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drawings/drawing1.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comments4.xml" ContentType="application/vnd.openxmlformats-officedocument.spreadsheetml.comments+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comments5.xml" ContentType="application/vnd.openxmlformats-officedocument.spreadsheetml.comments+xml"/>
  <Override PartName="/xl/threadedComments/threadedComment4.xml" ContentType="application/vnd.ms-excel.threadedcomments+xml"/>
  <Override PartName="/xl/tables/table5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jessica\Cascadia Consulting Group, Inc\ORDEQRecycling2019 - Documents\P2T5-InitialScenarios\ForStakes\"/>
    </mc:Choice>
  </mc:AlternateContent>
  <xr:revisionPtr revIDLastSave="4696" documentId="6_{B5C2D01C-2976-40C1-BB7A-6DEF56781FD3}" xr6:coauthVersionLast="44" xr6:coauthVersionMax="44" xr10:uidLastSave="{D8406DD7-DC04-4A79-ACC9-68A14ABD64DD}"/>
  <workbookProtection workbookAlgorithmName="SHA-512" workbookHashValue="yL0AzC2CcQpyzH97M/nWdclxzCzWc+AC+A2O0sbveFr+Wh5YD32/MdyOiA+tWOLinjO9BT1GYeR4WubjPayRWg==" workbookSaltValue="Z3PtdOhqBLuJxzTIcmlD+Q==" workbookSpinCount="100000" lockStructure="1"/>
  <bookViews>
    <workbookView xWindow="28680" yWindow="-120" windowWidth="29040" windowHeight="17640" tabRatio="805" xr2:uid="{8BAAC6EF-177E-4283-A299-53B7E6CB5A7B}"/>
  </bookViews>
  <sheets>
    <sheet name="TableOfContents" sheetId="39" r:id="rId1"/>
    <sheet name="EvaluationSummary" sheetId="67" r:id="rId2"/>
    <sheet name="DetailedReport" sheetId="1" r:id="rId3"/>
    <sheet name="CollectionLabor" sheetId="48" r:id="rId4"/>
    <sheet name="CollectionCapital" sheetId="49" r:id="rId5"/>
    <sheet name="CollectionOps" sheetId="50" r:id="rId6"/>
    <sheet name="CollectionIndirect" sheetId="51" r:id="rId7"/>
    <sheet name="CollectionTotal" sheetId="17" r:id="rId8"/>
    <sheet name="Collection_FTEs" sheetId="22" r:id="rId9"/>
    <sheet name="DepotCosts" sheetId="29" r:id="rId10"/>
    <sheet name="LG_Engagement" sheetId="34" r:id="rId11"/>
    <sheet name="Transport" sheetId="62" r:id="rId12"/>
    <sheet name="MRF_CapEquip" sheetId="59" r:id="rId13"/>
    <sheet name="MRF_Labor" sheetId="60" r:id="rId14"/>
    <sheet name="MRF_Ops" sheetId="61" r:id="rId15"/>
    <sheet name="SortationTotal" sheetId="55" r:id="rId16"/>
    <sheet name="CommodityValues" sheetId="72" r:id="rId17"/>
    <sheet name="CommodityRevenues" sheetId="68" r:id="rId18"/>
    <sheet name="CostEscalators" sheetId="53" r:id="rId19"/>
    <sheet name="Definitions" sheetId="40" r:id="rId20"/>
    <sheet name="Groupings" sheetId="16" r:id="rId21"/>
    <sheet name="MetaData" sheetId="11" r:id="rId22"/>
    <sheet name="ForCostModel" sheetId="31" state="hidden" r:id="rId23"/>
    <sheet name="ScenarioTonsCalcs" sheetId="70" state="hidden" r:id="rId24"/>
    <sheet name="MRF_Summary" sheetId="65" state="hidden" r:id="rId25"/>
    <sheet name="BaleQuality" sheetId="71" state="hidden" r:id="rId26"/>
    <sheet name="5-BalesTargeted" sheetId="69" state="hidden" r:id="rId27"/>
    <sheet name="PopulationProjections" sheetId="41" state="hidden" r:id="rId28"/>
  </sheets>
  <externalReferences>
    <externalReference r:id="rId29"/>
    <externalReference r:id="rId30"/>
  </externalReferences>
  <definedNames>
    <definedName name="_xlnm._FilterDatabase" localSheetId="13" hidden="1">MRF_CapEquip!$B$16:$J$31</definedName>
    <definedName name="_xlnm._FilterDatabase" localSheetId="11" hidden="1">Transport!$I$6:$I$27</definedName>
    <definedName name="CommodityValue">CostEscalators!$D$5</definedName>
    <definedName name="CPI">CostEscalators!$D$4</definedName>
    <definedName name="_xlnm.Print_Area" localSheetId="2">DetailedReport!$D$17:$BE$76</definedName>
    <definedName name="_xlnm.Print_Area" localSheetId="1">EvaluationSummary!$D$12:$N$311</definedName>
    <definedName name="_xlnm.Print_Titles" localSheetId="2">DetailedReport!$17:$21</definedName>
    <definedName name="Rpt_1">#REF!</definedName>
    <definedName name="Rpt_2" localSheetId="26">#REF!</definedName>
    <definedName name="Rpt_2" localSheetId="17">#REF!</definedName>
    <definedName name="Rpt_2" localSheetId="11">#REF!</definedName>
    <definedName name="Rpt_2">#REF!</definedName>
    <definedName name="Rpt_3" localSheetId="26">#REF!</definedName>
    <definedName name="Rpt_3" localSheetId="17">#REF!</definedName>
    <definedName name="Rpt_3" localSheetId="11">#REF!</definedName>
    <definedName name="Rpt_3">#REF!</definedName>
    <definedName name="Rpt_4" localSheetId="26">#REF!</definedName>
    <definedName name="Rpt_4" localSheetId="17">#REF!</definedName>
    <definedName name="Rpt_4" localSheetId="11">#REF!</definedName>
    <definedName name="Rpt_4">#REF!</definedName>
    <definedName name="slcYear" localSheetId="11">[1]ReadMe!$C$17</definedName>
    <definedName name="slcYear">[2]ReadMe!$C$17</definedName>
    <definedName name="TransferTons">Transport!$AG$8</definedName>
  </definedNames>
  <calcPr calcId="191029" iterate="1" iterateCount="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F20" i="60" l="1"/>
  <c r="BF21" i="60"/>
  <c r="BF22" i="60"/>
  <c r="BF23" i="60"/>
  <c r="BF24" i="60"/>
  <c r="BF25" i="60"/>
  <c r="BF26" i="60"/>
  <c r="BF27" i="60"/>
  <c r="BF28" i="60"/>
  <c r="BF29" i="60"/>
  <c r="BF30" i="60"/>
  <c r="BF31" i="60"/>
  <c r="BF32" i="60"/>
  <c r="BF33" i="60"/>
  <c r="BF34" i="60"/>
  <c r="BF35" i="60"/>
  <c r="BF36" i="60"/>
  <c r="BF37" i="60"/>
  <c r="BF38" i="60"/>
  <c r="BF39" i="60"/>
  <c r="BF40" i="60"/>
  <c r="BF41" i="60"/>
  <c r="BF42" i="60"/>
  <c r="BF43" i="60"/>
  <c r="BF44" i="60"/>
  <c r="BF45" i="60"/>
  <c r="BF46" i="60"/>
  <c r="BF47" i="60"/>
  <c r="BF48" i="60"/>
  <c r="BF49" i="60"/>
  <c r="BF50" i="60"/>
  <c r="BF51" i="60"/>
  <c r="BF52" i="60"/>
  <c r="BF53" i="60"/>
  <c r="BF54" i="60"/>
  <c r="BF55" i="60"/>
  <c r="BF56" i="60"/>
  <c r="BF57" i="60"/>
  <c r="BF58" i="60"/>
  <c r="BF59" i="60"/>
  <c r="BF60" i="60"/>
  <c r="BF61" i="60"/>
  <c r="BF62" i="60"/>
  <c r="BF63" i="60"/>
  <c r="BF64" i="60"/>
  <c r="AE32" i="60"/>
  <c r="AE29" i="60"/>
  <c r="AE26" i="60" l="1"/>
  <c r="AE33" i="6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M16" i="49"/>
  <c r="M17" i="49"/>
  <c r="M18" i="49"/>
  <c r="M19" i="49"/>
  <c r="M20" i="49"/>
  <c r="M21" i="49"/>
  <c r="M22" i="49"/>
  <c r="M23" i="49"/>
  <c r="M24" i="49"/>
  <c r="M25" i="49"/>
  <c r="M26" i="49"/>
  <c r="M27" i="49"/>
  <c r="M28" i="49"/>
  <c r="M29" i="49"/>
  <c r="M30" i="49"/>
  <c r="M31" i="49"/>
  <c r="M32" i="49"/>
  <c r="M33" i="49"/>
  <c r="M34" i="49"/>
  <c r="M35" i="49"/>
  <c r="M36" i="49"/>
  <c r="M37" i="49"/>
  <c r="M38" i="49"/>
  <c r="M39" i="49"/>
  <c r="M40" i="49"/>
  <c r="M41" i="49"/>
  <c r="M42" i="49"/>
  <c r="M43" i="49"/>
  <c r="M44" i="49"/>
  <c r="M45" i="49"/>
  <c r="M46" i="49"/>
  <c r="M47" i="49"/>
  <c r="P16" i="48"/>
  <c r="O16" i="48" l="1"/>
  <c r="O17" i="48"/>
  <c r="O18" i="48"/>
  <c r="O19" i="48"/>
  <c r="O20" i="48"/>
  <c r="O21" i="48"/>
  <c r="O22" i="48"/>
  <c r="O23" i="48"/>
  <c r="O24" i="48"/>
  <c r="O25" i="48"/>
  <c r="O26" i="48"/>
  <c r="O27" i="48"/>
  <c r="O28" i="48"/>
  <c r="O29" i="48"/>
  <c r="O30" i="48"/>
  <c r="O31" i="48"/>
  <c r="O32" i="48"/>
  <c r="O33" i="48"/>
  <c r="O34" i="48"/>
  <c r="O35" i="48"/>
  <c r="O36" i="48"/>
  <c r="O37" i="48"/>
  <c r="O38" i="48"/>
  <c r="O39" i="48"/>
  <c r="O40" i="48"/>
  <c r="O41" i="48"/>
  <c r="O42" i="48"/>
  <c r="O43" i="48"/>
  <c r="O44" i="48"/>
  <c r="O45" i="48"/>
  <c r="O46" i="48"/>
  <c r="O47" i="48"/>
  <c r="U113" i="67" l="1"/>
  <c r="V113" i="67"/>
  <c r="W113" i="67"/>
  <c r="X113" i="67"/>
  <c r="U114" i="67"/>
  <c r="V114" i="67"/>
  <c r="W114" i="67"/>
  <c r="X114" i="67"/>
  <c r="U115" i="67"/>
  <c r="V115" i="67"/>
  <c r="W115" i="67"/>
  <c r="X115" i="67"/>
  <c r="T115" i="67"/>
  <c r="T114" i="67"/>
  <c r="T113" i="67"/>
  <c r="M129" i="67"/>
  <c r="L129" i="67"/>
  <c r="K129" i="67"/>
  <c r="J129" i="67"/>
  <c r="I129" i="67"/>
  <c r="M112" i="67"/>
  <c r="L112" i="67"/>
  <c r="K112" i="67"/>
  <c r="J112" i="67"/>
  <c r="I112" i="67"/>
  <c r="M103" i="67"/>
  <c r="L103" i="67"/>
  <c r="K103" i="67"/>
  <c r="J103" i="67"/>
  <c r="I103" i="67"/>
  <c r="T143" i="67"/>
  <c r="T217" i="67"/>
  <c r="T216" i="67"/>
  <c r="X25" i="29"/>
  <c r="X26" i="29"/>
  <c r="X27" i="29"/>
  <c r="X28" i="29"/>
  <c r="X29" i="29"/>
  <c r="X30" i="29"/>
  <c r="X31" i="29"/>
  <c r="X32" i="29"/>
  <c r="X33" i="29"/>
  <c r="X34" i="29"/>
  <c r="X35" i="29"/>
  <c r="X36" i="29"/>
  <c r="X37" i="29"/>
  <c r="X38" i="29"/>
  <c r="X39" i="29"/>
  <c r="X40" i="29"/>
  <c r="X41" i="29"/>
  <c r="X42" i="29"/>
  <c r="X43" i="29"/>
  <c r="X44" i="29"/>
  <c r="I15" i="31"/>
  <c r="I16" i="31"/>
  <c r="I23" i="31"/>
  <c r="I24" i="31"/>
  <c r="G15" i="31"/>
  <c r="G16" i="31"/>
  <c r="G23" i="31"/>
  <c r="G24" i="31"/>
  <c r="D10" i="31"/>
  <c r="D11" i="31"/>
  <c r="I11" i="31" s="1"/>
  <c r="D12" i="31"/>
  <c r="I12" i="31" s="1"/>
  <c r="D13" i="31"/>
  <c r="H13" i="31" s="1"/>
  <c r="D14" i="31"/>
  <c r="H14" i="31" s="1"/>
  <c r="D15" i="31"/>
  <c r="H15" i="31" s="1"/>
  <c r="D16" i="31"/>
  <c r="H16" i="31" s="1"/>
  <c r="D17" i="31"/>
  <c r="I17" i="31" s="1"/>
  <c r="D18" i="31"/>
  <c r="I18" i="31" s="1"/>
  <c r="D19" i="31"/>
  <c r="I19" i="31" s="1"/>
  <c r="D20" i="31"/>
  <c r="I20" i="31" s="1"/>
  <c r="D21" i="31"/>
  <c r="H21" i="31" s="1"/>
  <c r="D22" i="31"/>
  <c r="H22" i="31" s="1"/>
  <c r="D23" i="31"/>
  <c r="H23" i="31" s="1"/>
  <c r="D24" i="31"/>
  <c r="H24" i="31" s="1"/>
  <c r="D25" i="31"/>
  <c r="I25" i="31" s="1"/>
  <c r="D26" i="31"/>
  <c r="I26" i="31" s="1"/>
  <c r="D27" i="31"/>
  <c r="I27" i="31" s="1"/>
  <c r="D28" i="31"/>
  <c r="I28" i="31" s="1"/>
  <c r="D29" i="31"/>
  <c r="H29" i="31" s="1"/>
  <c r="C10" i="31"/>
  <c r="C11" i="31"/>
  <c r="C12" i="31"/>
  <c r="C13" i="31"/>
  <c r="C14" i="31"/>
  <c r="C15" i="31"/>
  <c r="C16" i="31"/>
  <c r="C17" i="31"/>
  <c r="C18" i="31"/>
  <c r="C19" i="31"/>
  <c r="C20" i="31"/>
  <c r="C21" i="31"/>
  <c r="C22" i="31"/>
  <c r="C23" i="31"/>
  <c r="C24" i="31"/>
  <c r="C25" i="31"/>
  <c r="C26" i="31"/>
  <c r="C27" i="31"/>
  <c r="C28" i="31"/>
  <c r="C29" i="31"/>
  <c r="G22" i="31" l="1"/>
  <c r="G14" i="31"/>
  <c r="H26" i="31"/>
  <c r="H18" i="31"/>
  <c r="H10" i="31"/>
  <c r="I22" i="31"/>
  <c r="I14" i="31"/>
  <c r="H28" i="31"/>
  <c r="H20" i="31"/>
  <c r="H12" i="31"/>
  <c r="H19" i="31"/>
  <c r="G29" i="31"/>
  <c r="H25" i="31"/>
  <c r="I21" i="31"/>
  <c r="G28" i="31"/>
  <c r="G20" i="31"/>
  <c r="G12" i="31"/>
  <c r="H27" i="31"/>
  <c r="H11" i="31"/>
  <c r="G13" i="31"/>
  <c r="H17" i="31"/>
  <c r="I13" i="31"/>
  <c r="G27" i="31"/>
  <c r="G19" i="31"/>
  <c r="G11" i="31"/>
  <c r="G21" i="31"/>
  <c r="I29" i="31"/>
  <c r="G26" i="31"/>
  <c r="G18" i="31"/>
  <c r="G10" i="31"/>
  <c r="I10" i="31"/>
  <c r="G25" i="31"/>
  <c r="G17" i="31"/>
  <c r="Y14" i="68" l="1"/>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260" i="68"/>
  <c r="Y261" i="68"/>
  <c r="Y262" i="68"/>
  <c r="Y263" i="68"/>
  <c r="Y264" i="68"/>
  <c r="Y265" i="68"/>
  <c r="Y266" i="68"/>
  <c r="Y267" i="68"/>
  <c r="Y268" i="68"/>
  <c r="Y269" i="68"/>
  <c r="Y270" i="68"/>
  <c r="Y271" i="68"/>
  <c r="Y272" i="68"/>
  <c r="Y273" i="68"/>
  <c r="Y274" i="68"/>
  <c r="Y275" i="68"/>
  <c r="Y276" i="68"/>
  <c r="Y277" i="68"/>
  <c r="Y278" i="68"/>
  <c r="Y279" i="68"/>
  <c r="Y280" i="68"/>
  <c r="Y281" i="68"/>
  <c r="Y282" i="68"/>
  <c r="Y283" i="68"/>
  <c r="Y284" i="68"/>
  <c r="Y285" i="68"/>
  <c r="Y286" i="68"/>
  <c r="Y287" i="68"/>
  <c r="Y288" i="68"/>
  <c r="Y289" i="68"/>
  <c r="Y290" i="68"/>
  <c r="Y291" i="68"/>
  <c r="Y292" i="68"/>
  <c r="Y293" i="68"/>
  <c r="Y294" i="68"/>
  <c r="Y295" i="68"/>
  <c r="Y296" i="68"/>
  <c r="Y297" i="68"/>
  <c r="Y298" i="68"/>
  <c r="Y299" i="68"/>
  <c r="Y300" i="68"/>
  <c r="Y301" i="68"/>
  <c r="Y302" i="68"/>
  <c r="Y303" i="68"/>
  <c r="Y304" i="68"/>
  <c r="Y305" i="68"/>
  <c r="Y306" i="68"/>
  <c r="Y307" i="68"/>
  <c r="Y308" i="68"/>
  <c r="Y309" i="68"/>
  <c r="Y310" i="68"/>
  <c r="Y311" i="68"/>
  <c r="Y312" i="68"/>
  <c r="Y313" i="68"/>
  <c r="Y314" i="68"/>
  <c r="Y315" i="68"/>
  <c r="Y316" i="68"/>
  <c r="Y317" i="68"/>
  <c r="Y318" i="68"/>
  <c r="Y319" i="68"/>
  <c r="Y320" i="68"/>
  <c r="Y321" i="68"/>
  <c r="Y322" i="68"/>
  <c r="Y323" i="68"/>
  <c r="Y324" i="68"/>
  <c r="Y325" i="68"/>
  <c r="Y326" i="68"/>
  <c r="Y327" i="68"/>
  <c r="Y328" i="68"/>
  <c r="Y329" i="68"/>
  <c r="Y330" i="68"/>
  <c r="Y331" i="68"/>
  <c r="Y332" i="68"/>
  <c r="Y333" i="68"/>
  <c r="Y334" i="68"/>
  <c r="Y335" i="68"/>
  <c r="Y336" i="68"/>
  <c r="Y337" i="68"/>
  <c r="Y338" i="68"/>
  <c r="Y339" i="68"/>
  <c r="Y340" i="68"/>
  <c r="Y341" i="68"/>
  <c r="Y342" i="68"/>
  <c r="Y343" i="68"/>
  <c r="Y344" i="68"/>
  <c r="Y345" i="68"/>
  <c r="Y346" i="68"/>
  <c r="Y347" i="68"/>
  <c r="Y348" i="68"/>
  <c r="Y349" i="68"/>
  <c r="Y350" i="68"/>
  <c r="Y351" i="68"/>
  <c r="Y352" i="68"/>
  <c r="Y353" i="68"/>
  <c r="Y354" i="68"/>
  <c r="Y355" i="68"/>
  <c r="Y356" i="68"/>
  <c r="Y357" i="68"/>
  <c r="Y358" i="68"/>
  <c r="Y359" i="68"/>
  <c r="Y360" i="68"/>
  <c r="Y361" i="68"/>
  <c r="Y362" i="68"/>
  <c r="Y363" i="68"/>
  <c r="Y364" i="68"/>
  <c r="Y365" i="68"/>
  <c r="Y366" i="68"/>
  <c r="Y367" i="68"/>
  <c r="Y368" i="68"/>
  <c r="Y369" i="68"/>
  <c r="Y370" i="68"/>
  <c r="Y371" i="68"/>
  <c r="Y372" i="68"/>
  <c r="Y373" i="68"/>
  <c r="Y374" i="68"/>
  <c r="Y375" i="68"/>
  <c r="Y376" i="68"/>
  <c r="Y377" i="68"/>
  <c r="Y378" i="68"/>
  <c r="Y379" i="68"/>
  <c r="Y380" i="68"/>
  <c r="Y381" i="68"/>
  <c r="Y382" i="68"/>
  <c r="Y383" i="68"/>
  <c r="Y384" i="68"/>
  <c r="Y385" i="68"/>
  <c r="Y386" i="68"/>
  <c r="Y387" i="68"/>
  <c r="Y388" i="68"/>
  <c r="Y389" i="68"/>
  <c r="Y390" i="68"/>
  <c r="Y391" i="68"/>
  <c r="Y392" i="68"/>
  <c r="Y393" i="68"/>
  <c r="Y394" i="68"/>
  <c r="Y395" i="68"/>
  <c r="Y396" i="68"/>
  <c r="Y397" i="68"/>
  <c r="Y398" i="68"/>
  <c r="Y399" i="68"/>
  <c r="Y400" i="68"/>
  <c r="Y401" i="68"/>
  <c r="Y402" i="68"/>
  <c r="Y403" i="68"/>
  <c r="Y404" i="68"/>
  <c r="Y405" i="68"/>
  <c r="Y406" i="68"/>
  <c r="Y407" i="68"/>
  <c r="Y408" i="68"/>
  <c r="Y409" i="68"/>
  <c r="Y410" i="68"/>
  <c r="Y411" i="68"/>
  <c r="Y412" i="68"/>
  <c r="Y413" i="68"/>
  <c r="Y414" i="68"/>
  <c r="Y415" i="68"/>
  <c r="Y416" i="68"/>
  <c r="Y417" i="68"/>
  <c r="Y418" i="68"/>
  <c r="Y419" i="68"/>
  <c r="Y420" i="68"/>
  <c r="Y421" i="68"/>
  <c r="Y422" i="68"/>
  <c r="Y423" i="68"/>
  <c r="Y424" i="68"/>
  <c r="Y425" i="68"/>
  <c r="Y426" i="68"/>
  <c r="Y427" i="68"/>
  <c r="Y428" i="68"/>
  <c r="Y429" i="68"/>
  <c r="Y430" i="68"/>
  <c r="Y431" i="68"/>
  <c r="Y432" i="68"/>
  <c r="Y433" i="68"/>
  <c r="Y434" i="68"/>
  <c r="Y435" i="68"/>
  <c r="Y436" i="68"/>
  <c r="Y437" i="68"/>
  <c r="Y438" i="68"/>
  <c r="Y439" i="68"/>
  <c r="Y440" i="68"/>
  <c r="Y441" i="68"/>
  <c r="Y442" i="68"/>
  <c r="Y443" i="68"/>
  <c r="Y444" i="68"/>
  <c r="Y445" i="68"/>
  <c r="Y446" i="68"/>
  <c r="Y447" i="68"/>
  <c r="Y448" i="68"/>
  <c r="Y449" i="68"/>
  <c r="Y450" i="68"/>
  <c r="Y451" i="68"/>
  <c r="Y452" i="68"/>
  <c r="Y453" i="68"/>
  <c r="Y454" i="68"/>
  <c r="Y455" i="68"/>
  <c r="Y456" i="68"/>
  <c r="Y457" i="68"/>
  <c r="Y458" i="68"/>
  <c r="Y459" i="68"/>
  <c r="Y460" i="68"/>
  <c r="Y461" i="68"/>
  <c r="Y462" i="68"/>
  <c r="Y463" i="68"/>
  <c r="Y464" i="68"/>
  <c r="Y465" i="68"/>
  <c r="Y466" i="68"/>
  <c r="Y467" i="68"/>
  <c r="Y468" i="68"/>
  <c r="Y469" i="68"/>
  <c r="Y470" i="68"/>
  <c r="Y471" i="68"/>
  <c r="Y472" i="68"/>
  <c r="Y473" i="68"/>
  <c r="Y474" i="68"/>
  <c r="Y475" i="68"/>
  <c r="Y476" i="68"/>
  <c r="Y477" i="68"/>
  <c r="Y478" i="68"/>
  <c r="Y479" i="68"/>
  <c r="Y480" i="68"/>
  <c r="Y481" i="68"/>
  <c r="Y482" i="68"/>
  <c r="Y483" i="68"/>
  <c r="Y484" i="68"/>
  <c r="Y485" i="68"/>
  <c r="Y486" i="68"/>
  <c r="Y487" i="68"/>
  <c r="Y488" i="68"/>
  <c r="Y489" i="68"/>
  <c r="Y490" i="68"/>
  <c r="Y491" i="68"/>
  <c r="Y492" i="68"/>
  <c r="Y493" i="68"/>
  <c r="Y494" i="68"/>
  <c r="Y495" i="68"/>
  <c r="Y496" i="68"/>
  <c r="Y497" i="68"/>
  <c r="Y498" i="68"/>
  <c r="Y499" i="68"/>
  <c r="Y500" i="68"/>
  <c r="Y501" i="68"/>
  <c r="Y502" i="68"/>
  <c r="Y503" i="68"/>
  <c r="Y504" i="68"/>
  <c r="Y505" i="68"/>
  <c r="Y506" i="68"/>
  <c r="Y507" i="68"/>
  <c r="Y508" i="68"/>
  <c r="Y509" i="68"/>
  <c r="Y510" i="68"/>
  <c r="Y511" i="68"/>
  <c r="Y512" i="68"/>
  <c r="Y513" i="68"/>
  <c r="Y514" i="68"/>
  <c r="Y515" i="68"/>
  <c r="Y516" i="68"/>
  <c r="Y517" i="68"/>
  <c r="Y518" i="68"/>
  <c r="Y519" i="68"/>
  <c r="Y520" i="68"/>
  <c r="Y521" i="68"/>
  <c r="Y522" i="68"/>
  <c r="Y523" i="68"/>
  <c r="Y524" i="68"/>
  <c r="Y525" i="68"/>
  <c r="Y526" i="68"/>
  <c r="Y527" i="68"/>
  <c r="Y528" i="68"/>
  <c r="Y529" i="68"/>
  <c r="Y530" i="68"/>
  <c r="Y531" i="68"/>
  <c r="Y532" i="68"/>
  <c r="Y533" i="68"/>
  <c r="Y534" i="68"/>
  <c r="Y535" i="68"/>
  <c r="Y536" i="68"/>
  <c r="Y537" i="68"/>
  <c r="Y538" i="68"/>
  <c r="Y539" i="68"/>
  <c r="Y540" i="68"/>
  <c r="Y541" i="68"/>
  <c r="Y542" i="68"/>
  <c r="Y543" i="68"/>
  <c r="Y544" i="68"/>
  <c r="Y545" i="68"/>
  <c r="Y546" i="68"/>
  <c r="Y547" i="68"/>
  <c r="Y548" i="68"/>
  <c r="Y549" i="68"/>
  <c r="Y550" i="68"/>
  <c r="Y551" i="68"/>
  <c r="Y552" i="68"/>
  <c r="Y553" i="68"/>
  <c r="Y554" i="68"/>
  <c r="Y555" i="68"/>
  <c r="Y556" i="68"/>
  <c r="Y557" i="68"/>
  <c r="Y558" i="68"/>
  <c r="Y559" i="68"/>
  <c r="Y560" i="68"/>
  <c r="Y561" i="68"/>
  <c r="Y562" i="68"/>
  <c r="Y563" i="68"/>
  <c r="Y564" i="68"/>
  <c r="Y565" i="68"/>
  <c r="Y566" i="68"/>
  <c r="Y567" i="68"/>
  <c r="Y568" i="68"/>
  <c r="Y569" i="68"/>
  <c r="Y570" i="68"/>
  <c r="Y571" i="68"/>
  <c r="Y572" i="68"/>
  <c r="Y573" i="68"/>
  <c r="Y574" i="68"/>
  <c r="Y575" i="68"/>
  <c r="Y576" i="68"/>
  <c r="Y577" i="68"/>
  <c r="Y578" i="68"/>
  <c r="Y579" i="68"/>
  <c r="Y580" i="68"/>
  <c r="Y581" i="68"/>
  <c r="Y582" i="68"/>
  <c r="Y583" i="68"/>
  <c r="Y584" i="68"/>
  <c r="Y585" i="68"/>
  <c r="Y586" i="68"/>
  <c r="Y587" i="68"/>
  <c r="Y588" i="68"/>
  <c r="Y589" i="68"/>
  <c r="Y590" i="68"/>
  <c r="Y591" i="68"/>
  <c r="Y592" i="68"/>
  <c r="Y593" i="68"/>
  <c r="Y594" i="68"/>
  <c r="Y595" i="68"/>
  <c r="Y596" i="68"/>
  <c r="Y597" i="68"/>
  <c r="Y598" i="68"/>
  <c r="Y599" i="68"/>
  <c r="Y600" i="68"/>
  <c r="Y601" i="68"/>
  <c r="Y602" i="68"/>
  <c r="Y603" i="68"/>
  <c r="Y604" i="68"/>
  <c r="Y605" i="68"/>
  <c r="Y606" i="68"/>
  <c r="Y607" i="68"/>
  <c r="Y608" i="68"/>
  <c r="Y609" i="68"/>
  <c r="Y610" i="68"/>
  <c r="Y611" i="68"/>
  <c r="Y612" i="68"/>
  <c r="Y613" i="68"/>
  <c r="Y614" i="68"/>
  <c r="Y615" i="68"/>
  <c r="Y616" i="68"/>
  <c r="Y617" i="68"/>
  <c r="Y618" i="68"/>
  <c r="Y619" i="68"/>
  <c r="Y620" i="68"/>
  <c r="Y621" i="68"/>
  <c r="Y622" i="68"/>
  <c r="Y623" i="68"/>
  <c r="Y624" i="68"/>
  <c r="Y625" i="68"/>
  <c r="Y626" i="68"/>
  <c r="Y627" i="68"/>
  <c r="Y628" i="68"/>
  <c r="Y629" i="68"/>
  <c r="Y630" i="68"/>
  <c r="Y631" i="68"/>
  <c r="Y632" i="68"/>
  <c r="Y633" i="68"/>
  <c r="Y634" i="68"/>
  <c r="Y635" i="68"/>
  <c r="Y636" i="68"/>
  <c r="Y637" i="68"/>
  <c r="Y638" i="68"/>
  <c r="Y639" i="68"/>
  <c r="Y640" i="68"/>
  <c r="Y641" i="68"/>
  <c r="Y642" i="68"/>
  <c r="Y643" i="68"/>
  <c r="Y644" i="68"/>
  <c r="Y645" i="68"/>
  <c r="Y646" i="68"/>
  <c r="Y647" i="68"/>
  <c r="Y648" i="68"/>
  <c r="Y649" i="68"/>
  <c r="Y650" i="68"/>
  <c r="Y651" i="68"/>
  <c r="Y652" i="68"/>
  <c r="Y653" i="68"/>
  <c r="Y654" i="68"/>
  <c r="Y655" i="68"/>
  <c r="Y656" i="68"/>
  <c r="Y657" i="68"/>
  <c r="Y658" i="68"/>
  <c r="Y659" i="68"/>
  <c r="Y660" i="68"/>
  <c r="Y661" i="68"/>
  <c r="Y662" i="68"/>
  <c r="Y663" i="68"/>
  <c r="Y664" i="68"/>
  <c r="Y665" i="68"/>
  <c r="Y666" i="68"/>
  <c r="Y667" i="68"/>
  <c r="Y668" i="68"/>
  <c r="Y669" i="68"/>
  <c r="Y670" i="68"/>
  <c r="Y671" i="68"/>
  <c r="Y672" i="68"/>
  <c r="Y673" i="68"/>
  <c r="Y674" i="68"/>
  <c r="Y675" i="68"/>
  <c r="Y676" i="68"/>
  <c r="Y677" i="68"/>
  <c r="Y678" i="68"/>
  <c r="Y679" i="68"/>
  <c r="Y680" i="68"/>
  <c r="X14" i="68"/>
  <c r="X15" i="68"/>
  <c r="X16" i="68"/>
  <c r="X17" i="68"/>
  <c r="X18" i="68"/>
  <c r="X19" i="68"/>
  <c r="X20" i="68"/>
  <c r="X21" i="68"/>
  <c r="X22" i="68"/>
  <c r="X23" i="68"/>
  <c r="X24" i="68"/>
  <c r="X25" i="68"/>
  <c r="X26" i="68"/>
  <c r="X27" i="68"/>
  <c r="X28" i="68"/>
  <c r="X29" i="68"/>
  <c r="X30" i="68"/>
  <c r="X31" i="68"/>
  <c r="X32" i="68"/>
  <c r="X33" i="68"/>
  <c r="X34" i="68"/>
  <c r="X35" i="68"/>
  <c r="X36" i="68"/>
  <c r="X37" i="68"/>
  <c r="X38" i="68"/>
  <c r="X39" i="68"/>
  <c r="X40" i="68"/>
  <c r="X41" i="68"/>
  <c r="X42" i="68"/>
  <c r="X43" i="68"/>
  <c r="X44" i="68"/>
  <c r="X45" i="68"/>
  <c r="X46" i="68"/>
  <c r="X47" i="68"/>
  <c r="X48" i="68"/>
  <c r="X49" i="68"/>
  <c r="X50" i="68"/>
  <c r="X51" i="68"/>
  <c r="X52" i="68"/>
  <c r="X53" i="68"/>
  <c r="X54" i="68"/>
  <c r="X55" i="68"/>
  <c r="X56" i="68"/>
  <c r="X57" i="68"/>
  <c r="X58" i="68"/>
  <c r="X59" i="68"/>
  <c r="X60" i="68"/>
  <c r="X61" i="68"/>
  <c r="X62" i="68"/>
  <c r="X63" i="68"/>
  <c r="X64" i="68"/>
  <c r="X65" i="68"/>
  <c r="X66" i="68"/>
  <c r="X67" i="68"/>
  <c r="X68" i="68"/>
  <c r="X69" i="68"/>
  <c r="X70" i="68"/>
  <c r="X71" i="68"/>
  <c r="X72" i="68"/>
  <c r="X73" i="68"/>
  <c r="X74" i="68"/>
  <c r="X75" i="68"/>
  <c r="X76" i="68"/>
  <c r="X77" i="68"/>
  <c r="X78" i="68"/>
  <c r="X79" i="68"/>
  <c r="X80" i="68"/>
  <c r="X81" i="68"/>
  <c r="X82" i="68"/>
  <c r="X83" i="68"/>
  <c r="X84" i="68"/>
  <c r="X85" i="68"/>
  <c r="X86" i="68"/>
  <c r="X87" i="68"/>
  <c r="X88" i="68"/>
  <c r="X89" i="68"/>
  <c r="X90" i="68"/>
  <c r="X91" i="68"/>
  <c r="X92" i="68"/>
  <c r="X93" i="68"/>
  <c r="X94" i="68"/>
  <c r="X95" i="68"/>
  <c r="X96" i="68"/>
  <c r="X97" i="68"/>
  <c r="X98" i="68"/>
  <c r="X99" i="68"/>
  <c r="X100" i="68"/>
  <c r="X101" i="68"/>
  <c r="X102" i="68"/>
  <c r="X103" i="68"/>
  <c r="X104" i="68"/>
  <c r="X105" i="68"/>
  <c r="X106" i="68"/>
  <c r="X107" i="68"/>
  <c r="X108" i="68"/>
  <c r="X109" i="68"/>
  <c r="X110" i="68"/>
  <c r="X111" i="68"/>
  <c r="X112" i="68"/>
  <c r="X113" i="68"/>
  <c r="X114" i="68"/>
  <c r="X115" i="68"/>
  <c r="X116" i="68"/>
  <c r="X117" i="68"/>
  <c r="X118" i="68"/>
  <c r="X119" i="68"/>
  <c r="X120" i="68"/>
  <c r="X121" i="68"/>
  <c r="X122" i="68"/>
  <c r="X123" i="68"/>
  <c r="X124" i="68"/>
  <c r="X125" i="68"/>
  <c r="X126" i="68"/>
  <c r="X127" i="68"/>
  <c r="X128" i="68"/>
  <c r="X129" i="68"/>
  <c r="X130" i="68"/>
  <c r="X131" i="68"/>
  <c r="X132" i="68"/>
  <c r="X133" i="68"/>
  <c r="X134" i="68"/>
  <c r="X135" i="68"/>
  <c r="X136" i="68"/>
  <c r="X137" i="68"/>
  <c r="X138" i="68"/>
  <c r="X139" i="68"/>
  <c r="X140" i="68"/>
  <c r="X141" i="68"/>
  <c r="X142" i="68"/>
  <c r="X143" i="68"/>
  <c r="X144" i="68"/>
  <c r="X145" i="68"/>
  <c r="X146" i="68"/>
  <c r="X147" i="68"/>
  <c r="X148" i="68"/>
  <c r="X149" i="68"/>
  <c r="X150" i="68"/>
  <c r="X151" i="68"/>
  <c r="X152" i="68"/>
  <c r="X153" i="68"/>
  <c r="X154" i="68"/>
  <c r="X155" i="68"/>
  <c r="X156" i="68"/>
  <c r="X157" i="68"/>
  <c r="X158" i="68"/>
  <c r="X159" i="68"/>
  <c r="X160" i="68"/>
  <c r="X161" i="68"/>
  <c r="X162" i="68"/>
  <c r="X163" i="68"/>
  <c r="X164" i="68"/>
  <c r="X165" i="68"/>
  <c r="X166" i="68"/>
  <c r="X167" i="68"/>
  <c r="X168" i="68"/>
  <c r="X169" i="68"/>
  <c r="X170" i="68"/>
  <c r="X171" i="68"/>
  <c r="X172" i="68"/>
  <c r="X173" i="68"/>
  <c r="X174" i="68"/>
  <c r="X175" i="68"/>
  <c r="X176" i="68"/>
  <c r="X177" i="68"/>
  <c r="X178" i="68"/>
  <c r="X179" i="68"/>
  <c r="X180" i="68"/>
  <c r="X181" i="68"/>
  <c r="X182" i="68"/>
  <c r="X183" i="68"/>
  <c r="X184" i="68"/>
  <c r="X185" i="68"/>
  <c r="X186" i="68"/>
  <c r="X187" i="68"/>
  <c r="X188" i="68"/>
  <c r="X189" i="68"/>
  <c r="X190" i="68"/>
  <c r="X191" i="68"/>
  <c r="X192" i="68"/>
  <c r="X193" i="68"/>
  <c r="X194" i="68"/>
  <c r="X195" i="68"/>
  <c r="X196" i="68"/>
  <c r="X197" i="68"/>
  <c r="X198" i="68"/>
  <c r="X199" i="68"/>
  <c r="X200" i="68"/>
  <c r="X201" i="68"/>
  <c r="X202" i="68"/>
  <c r="X203" i="68"/>
  <c r="X204" i="68"/>
  <c r="X205" i="68"/>
  <c r="X206" i="68"/>
  <c r="X207" i="68"/>
  <c r="X208" i="68"/>
  <c r="X209" i="68"/>
  <c r="X210" i="68"/>
  <c r="X211" i="68"/>
  <c r="X212" i="68"/>
  <c r="X213" i="68"/>
  <c r="X214" i="68"/>
  <c r="X215" i="68"/>
  <c r="X216" i="68"/>
  <c r="X217" i="68"/>
  <c r="X218" i="68"/>
  <c r="X219" i="68"/>
  <c r="X220" i="68"/>
  <c r="X221" i="68"/>
  <c r="X222" i="68"/>
  <c r="X223" i="68"/>
  <c r="X224" i="68"/>
  <c r="X225" i="68"/>
  <c r="X226" i="68"/>
  <c r="X227" i="68"/>
  <c r="X228" i="68"/>
  <c r="X229" i="68"/>
  <c r="X230" i="68"/>
  <c r="X231" i="68"/>
  <c r="X232" i="68"/>
  <c r="X233" i="68"/>
  <c r="X234" i="68"/>
  <c r="X235" i="68"/>
  <c r="X236" i="68"/>
  <c r="X237" i="68"/>
  <c r="X238" i="68"/>
  <c r="X239" i="68"/>
  <c r="X240" i="68"/>
  <c r="X241" i="68"/>
  <c r="X242" i="68"/>
  <c r="X243" i="68"/>
  <c r="X244" i="68"/>
  <c r="X245" i="68"/>
  <c r="X246" i="68"/>
  <c r="X247" i="68"/>
  <c r="X248" i="68"/>
  <c r="X249" i="68"/>
  <c r="X250" i="68"/>
  <c r="X251" i="68"/>
  <c r="X252" i="68"/>
  <c r="X253" i="68"/>
  <c r="X254" i="68"/>
  <c r="X255" i="68"/>
  <c r="X256" i="68"/>
  <c r="X257" i="68"/>
  <c r="X258" i="68"/>
  <c r="X259" i="68"/>
  <c r="X260" i="68"/>
  <c r="X261" i="68"/>
  <c r="X262" i="68"/>
  <c r="X263" i="68"/>
  <c r="X264" i="68"/>
  <c r="X265" i="68"/>
  <c r="X266" i="68"/>
  <c r="X267" i="68"/>
  <c r="X268" i="68"/>
  <c r="X269" i="68"/>
  <c r="X270" i="68"/>
  <c r="X271" i="68"/>
  <c r="X272" i="68"/>
  <c r="X273" i="68"/>
  <c r="X274" i="68"/>
  <c r="X275" i="68"/>
  <c r="X276" i="68"/>
  <c r="X277" i="68"/>
  <c r="X278" i="68"/>
  <c r="X279" i="68"/>
  <c r="X280" i="68"/>
  <c r="X281" i="68"/>
  <c r="X282" i="68"/>
  <c r="X283" i="68"/>
  <c r="X284" i="68"/>
  <c r="X285" i="68"/>
  <c r="X286" i="68"/>
  <c r="X287" i="68"/>
  <c r="X288" i="68"/>
  <c r="X289" i="68"/>
  <c r="X290" i="68"/>
  <c r="X291" i="68"/>
  <c r="X292" i="68"/>
  <c r="X293" i="68"/>
  <c r="X294" i="68"/>
  <c r="X295" i="68"/>
  <c r="X296" i="68"/>
  <c r="X297" i="68"/>
  <c r="X298" i="68"/>
  <c r="X299" i="68"/>
  <c r="X300" i="68"/>
  <c r="X301" i="68"/>
  <c r="X302" i="68"/>
  <c r="X303" i="68"/>
  <c r="X304" i="68"/>
  <c r="X305" i="68"/>
  <c r="X306" i="68"/>
  <c r="X307" i="68"/>
  <c r="X308" i="68"/>
  <c r="X309" i="68"/>
  <c r="X310" i="68"/>
  <c r="X311" i="68"/>
  <c r="X312" i="68"/>
  <c r="X313" i="68"/>
  <c r="X314" i="68"/>
  <c r="X315" i="68"/>
  <c r="X316" i="68"/>
  <c r="X317" i="68"/>
  <c r="X318" i="68"/>
  <c r="X319" i="68"/>
  <c r="X320" i="68"/>
  <c r="X321" i="68"/>
  <c r="X322" i="68"/>
  <c r="X323" i="68"/>
  <c r="X324" i="68"/>
  <c r="X325" i="68"/>
  <c r="X326" i="68"/>
  <c r="X327" i="68"/>
  <c r="X328" i="68"/>
  <c r="X329" i="68"/>
  <c r="X330" i="68"/>
  <c r="X331" i="68"/>
  <c r="X332" i="68"/>
  <c r="X333" i="68"/>
  <c r="X334" i="68"/>
  <c r="X335" i="68"/>
  <c r="X336" i="68"/>
  <c r="X337" i="68"/>
  <c r="X338" i="68"/>
  <c r="X339" i="68"/>
  <c r="X340" i="68"/>
  <c r="X341" i="68"/>
  <c r="X342" i="68"/>
  <c r="X343" i="68"/>
  <c r="X344" i="68"/>
  <c r="X345" i="68"/>
  <c r="X346" i="68"/>
  <c r="X347" i="68"/>
  <c r="X348" i="68"/>
  <c r="X349" i="68"/>
  <c r="X350" i="68"/>
  <c r="X351" i="68"/>
  <c r="X352" i="68"/>
  <c r="X353" i="68"/>
  <c r="X354" i="68"/>
  <c r="X355" i="68"/>
  <c r="X356" i="68"/>
  <c r="X357" i="68"/>
  <c r="X358" i="68"/>
  <c r="X359" i="68"/>
  <c r="X360" i="68"/>
  <c r="X361" i="68"/>
  <c r="X362" i="68"/>
  <c r="X363" i="68"/>
  <c r="X364" i="68"/>
  <c r="X365" i="68"/>
  <c r="X366" i="68"/>
  <c r="X367" i="68"/>
  <c r="X368" i="68"/>
  <c r="X369" i="68"/>
  <c r="X370" i="68"/>
  <c r="X371" i="68"/>
  <c r="X372" i="68"/>
  <c r="X373" i="68"/>
  <c r="X374" i="68"/>
  <c r="X375" i="68"/>
  <c r="X376" i="68"/>
  <c r="X377" i="68"/>
  <c r="X378" i="68"/>
  <c r="X379" i="68"/>
  <c r="X380" i="68"/>
  <c r="X381" i="68"/>
  <c r="X382" i="68"/>
  <c r="X383" i="68"/>
  <c r="X384" i="68"/>
  <c r="X385" i="68"/>
  <c r="X386" i="68"/>
  <c r="X387" i="68"/>
  <c r="X388" i="68"/>
  <c r="X389" i="68"/>
  <c r="X390" i="68"/>
  <c r="X391" i="68"/>
  <c r="X392" i="68"/>
  <c r="X393" i="68"/>
  <c r="X394" i="68"/>
  <c r="X395" i="68"/>
  <c r="X396" i="68"/>
  <c r="X397" i="68"/>
  <c r="X398" i="68"/>
  <c r="X399" i="68"/>
  <c r="X400" i="68"/>
  <c r="X401" i="68"/>
  <c r="X402" i="68"/>
  <c r="X403" i="68"/>
  <c r="X404" i="68"/>
  <c r="X405" i="68"/>
  <c r="X406" i="68"/>
  <c r="X407" i="68"/>
  <c r="X408" i="68"/>
  <c r="X409" i="68"/>
  <c r="X410" i="68"/>
  <c r="X411" i="68"/>
  <c r="X412" i="68"/>
  <c r="X413" i="68"/>
  <c r="X414" i="68"/>
  <c r="X415" i="68"/>
  <c r="X416" i="68"/>
  <c r="X417" i="68"/>
  <c r="X418" i="68"/>
  <c r="X419" i="68"/>
  <c r="X420" i="68"/>
  <c r="X421" i="68"/>
  <c r="X422" i="68"/>
  <c r="X423" i="68"/>
  <c r="X424" i="68"/>
  <c r="X425" i="68"/>
  <c r="X426" i="68"/>
  <c r="X427" i="68"/>
  <c r="X428" i="68"/>
  <c r="X429" i="68"/>
  <c r="X430" i="68"/>
  <c r="X431" i="68"/>
  <c r="X432" i="68"/>
  <c r="X433" i="68"/>
  <c r="X434" i="68"/>
  <c r="X435" i="68"/>
  <c r="X436" i="68"/>
  <c r="X437" i="68"/>
  <c r="X438" i="68"/>
  <c r="X439" i="68"/>
  <c r="X440" i="68"/>
  <c r="X441" i="68"/>
  <c r="X442" i="68"/>
  <c r="X443" i="68"/>
  <c r="X444" i="68"/>
  <c r="X445" i="68"/>
  <c r="X446" i="68"/>
  <c r="X447" i="68"/>
  <c r="X448" i="68"/>
  <c r="X449" i="68"/>
  <c r="X450" i="68"/>
  <c r="X451" i="68"/>
  <c r="X452" i="68"/>
  <c r="X453" i="68"/>
  <c r="X454" i="68"/>
  <c r="X455" i="68"/>
  <c r="X456" i="68"/>
  <c r="X457" i="68"/>
  <c r="X458" i="68"/>
  <c r="X459" i="68"/>
  <c r="X460" i="68"/>
  <c r="X461" i="68"/>
  <c r="X462" i="68"/>
  <c r="X463" i="68"/>
  <c r="X464" i="68"/>
  <c r="X465" i="68"/>
  <c r="X466" i="68"/>
  <c r="X467" i="68"/>
  <c r="X468" i="68"/>
  <c r="X469" i="68"/>
  <c r="X470" i="68"/>
  <c r="X471" i="68"/>
  <c r="X472" i="68"/>
  <c r="X473" i="68"/>
  <c r="X474" i="68"/>
  <c r="X475" i="68"/>
  <c r="X476" i="68"/>
  <c r="X477" i="68"/>
  <c r="X478" i="68"/>
  <c r="X479" i="68"/>
  <c r="X480" i="68"/>
  <c r="X481" i="68"/>
  <c r="X482" i="68"/>
  <c r="X483" i="68"/>
  <c r="X484" i="68"/>
  <c r="X485" i="68"/>
  <c r="X486" i="68"/>
  <c r="X487" i="68"/>
  <c r="X488" i="68"/>
  <c r="X489" i="68"/>
  <c r="X490" i="68"/>
  <c r="X491" i="68"/>
  <c r="X492" i="68"/>
  <c r="X493" i="68"/>
  <c r="X494" i="68"/>
  <c r="X495" i="68"/>
  <c r="X496" i="68"/>
  <c r="X497" i="68"/>
  <c r="X498" i="68"/>
  <c r="X499" i="68"/>
  <c r="X500" i="68"/>
  <c r="X501" i="68"/>
  <c r="X502" i="68"/>
  <c r="X503" i="68"/>
  <c r="X504" i="68"/>
  <c r="X505" i="68"/>
  <c r="X506" i="68"/>
  <c r="X507" i="68"/>
  <c r="X508" i="68"/>
  <c r="X509" i="68"/>
  <c r="X510" i="68"/>
  <c r="X511" i="68"/>
  <c r="X512" i="68"/>
  <c r="X513" i="68"/>
  <c r="X514" i="68"/>
  <c r="X515" i="68"/>
  <c r="X516" i="68"/>
  <c r="X517" i="68"/>
  <c r="X518" i="68"/>
  <c r="X519" i="68"/>
  <c r="X520" i="68"/>
  <c r="X521" i="68"/>
  <c r="X522" i="68"/>
  <c r="X523" i="68"/>
  <c r="X524" i="68"/>
  <c r="X525" i="68"/>
  <c r="X526" i="68"/>
  <c r="X527" i="68"/>
  <c r="X528" i="68"/>
  <c r="X529" i="68"/>
  <c r="X530" i="68"/>
  <c r="X531" i="68"/>
  <c r="X532" i="68"/>
  <c r="X533" i="68"/>
  <c r="X534" i="68"/>
  <c r="X535" i="68"/>
  <c r="X536" i="68"/>
  <c r="X537" i="68"/>
  <c r="X538" i="68"/>
  <c r="X539" i="68"/>
  <c r="X540" i="68"/>
  <c r="X541" i="68"/>
  <c r="X542" i="68"/>
  <c r="X543" i="68"/>
  <c r="X544" i="68"/>
  <c r="X545" i="68"/>
  <c r="X546" i="68"/>
  <c r="X547" i="68"/>
  <c r="X548" i="68"/>
  <c r="X549" i="68"/>
  <c r="X550" i="68"/>
  <c r="X551" i="68"/>
  <c r="X552" i="68"/>
  <c r="X553" i="68"/>
  <c r="X554" i="68"/>
  <c r="X555" i="68"/>
  <c r="X556" i="68"/>
  <c r="X557" i="68"/>
  <c r="X558" i="68"/>
  <c r="X559" i="68"/>
  <c r="X560" i="68"/>
  <c r="X561" i="68"/>
  <c r="X562" i="68"/>
  <c r="X563" i="68"/>
  <c r="X564" i="68"/>
  <c r="X565" i="68"/>
  <c r="X566" i="68"/>
  <c r="X567" i="68"/>
  <c r="X568" i="68"/>
  <c r="X569" i="68"/>
  <c r="X570" i="68"/>
  <c r="X571" i="68"/>
  <c r="X572" i="68"/>
  <c r="X573" i="68"/>
  <c r="X574" i="68"/>
  <c r="X575" i="68"/>
  <c r="X576" i="68"/>
  <c r="X577" i="68"/>
  <c r="X578" i="68"/>
  <c r="X579" i="68"/>
  <c r="X580" i="68"/>
  <c r="X581" i="68"/>
  <c r="X582" i="68"/>
  <c r="X583" i="68"/>
  <c r="X584" i="68"/>
  <c r="X585" i="68"/>
  <c r="X586" i="68"/>
  <c r="X587" i="68"/>
  <c r="X588" i="68"/>
  <c r="X589" i="68"/>
  <c r="X590" i="68"/>
  <c r="X591" i="68"/>
  <c r="X592" i="68"/>
  <c r="X593" i="68"/>
  <c r="X594" i="68"/>
  <c r="X595" i="68"/>
  <c r="X596" i="68"/>
  <c r="X597" i="68"/>
  <c r="X598" i="68"/>
  <c r="X599" i="68"/>
  <c r="X600" i="68"/>
  <c r="X601" i="68"/>
  <c r="X602" i="68"/>
  <c r="X603" i="68"/>
  <c r="X604" i="68"/>
  <c r="X605" i="68"/>
  <c r="X606" i="68"/>
  <c r="X607" i="68"/>
  <c r="X608" i="68"/>
  <c r="X609" i="68"/>
  <c r="X610" i="68"/>
  <c r="X611" i="68"/>
  <c r="X612" i="68"/>
  <c r="X613" i="68"/>
  <c r="X614" i="68"/>
  <c r="X615" i="68"/>
  <c r="X616" i="68"/>
  <c r="X617" i="68"/>
  <c r="X618" i="68"/>
  <c r="X619" i="68"/>
  <c r="X620" i="68"/>
  <c r="X621" i="68"/>
  <c r="X622" i="68"/>
  <c r="X623" i="68"/>
  <c r="X624" i="68"/>
  <c r="X625" i="68"/>
  <c r="X626" i="68"/>
  <c r="X627" i="68"/>
  <c r="X628" i="68"/>
  <c r="X629" i="68"/>
  <c r="X630" i="68"/>
  <c r="X631" i="68"/>
  <c r="X632" i="68"/>
  <c r="X633" i="68"/>
  <c r="X634" i="68"/>
  <c r="X635" i="68"/>
  <c r="X636" i="68"/>
  <c r="X637" i="68"/>
  <c r="X638" i="68"/>
  <c r="X639" i="68"/>
  <c r="X640" i="68"/>
  <c r="X641" i="68"/>
  <c r="X642" i="68"/>
  <c r="X643" i="68"/>
  <c r="X644" i="68"/>
  <c r="X645" i="68"/>
  <c r="X646" i="68"/>
  <c r="X647" i="68"/>
  <c r="X648" i="68"/>
  <c r="X649" i="68"/>
  <c r="X650" i="68"/>
  <c r="X651" i="68"/>
  <c r="X652" i="68"/>
  <c r="X653" i="68"/>
  <c r="X654" i="68"/>
  <c r="X655" i="68"/>
  <c r="X656" i="68"/>
  <c r="X657" i="68"/>
  <c r="X658" i="68"/>
  <c r="X659" i="68"/>
  <c r="X660" i="68"/>
  <c r="X661" i="68"/>
  <c r="X662" i="68"/>
  <c r="X663" i="68"/>
  <c r="X664" i="68"/>
  <c r="X665" i="68"/>
  <c r="X666" i="68"/>
  <c r="X667" i="68"/>
  <c r="X668" i="68"/>
  <c r="X669" i="68"/>
  <c r="X670" i="68"/>
  <c r="X671" i="68"/>
  <c r="X672" i="68"/>
  <c r="X673" i="68"/>
  <c r="X674" i="68"/>
  <c r="X675" i="68"/>
  <c r="X676" i="68"/>
  <c r="X677" i="68"/>
  <c r="X678" i="68"/>
  <c r="X679" i="68"/>
  <c r="X680"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W260" i="68"/>
  <c r="W261" i="68"/>
  <c r="W262" i="68"/>
  <c r="W263" i="68"/>
  <c r="W264" i="68"/>
  <c r="W265" i="68"/>
  <c r="W266" i="68"/>
  <c r="W267" i="68"/>
  <c r="W268" i="68"/>
  <c r="W269" i="68"/>
  <c r="W270" i="68"/>
  <c r="W271" i="68"/>
  <c r="W272" i="68"/>
  <c r="W273" i="68"/>
  <c r="W274" i="68"/>
  <c r="W275" i="68"/>
  <c r="W276" i="68"/>
  <c r="W277" i="68"/>
  <c r="W278" i="68"/>
  <c r="W279" i="68"/>
  <c r="W280" i="68"/>
  <c r="W281" i="68"/>
  <c r="W282" i="68"/>
  <c r="W283" i="68"/>
  <c r="W284" i="68"/>
  <c r="W285" i="68"/>
  <c r="W286" i="68"/>
  <c r="W287" i="68"/>
  <c r="W288" i="68"/>
  <c r="W289" i="68"/>
  <c r="W290" i="68"/>
  <c r="W291" i="68"/>
  <c r="W292" i="68"/>
  <c r="W293" i="68"/>
  <c r="W294" i="68"/>
  <c r="W295" i="68"/>
  <c r="W296" i="68"/>
  <c r="W297" i="68"/>
  <c r="W298" i="68"/>
  <c r="W299" i="68"/>
  <c r="W300" i="68"/>
  <c r="W301" i="68"/>
  <c r="W302" i="68"/>
  <c r="W303" i="68"/>
  <c r="W304" i="68"/>
  <c r="W305" i="68"/>
  <c r="W306" i="68"/>
  <c r="W307" i="68"/>
  <c r="W308" i="68"/>
  <c r="W309" i="68"/>
  <c r="W310" i="68"/>
  <c r="W311" i="68"/>
  <c r="W312" i="68"/>
  <c r="W313" i="68"/>
  <c r="W314" i="68"/>
  <c r="W315" i="68"/>
  <c r="W316" i="68"/>
  <c r="W317" i="68"/>
  <c r="W318" i="68"/>
  <c r="W319" i="68"/>
  <c r="W320" i="68"/>
  <c r="W321" i="68"/>
  <c r="W322" i="68"/>
  <c r="W323" i="68"/>
  <c r="W324" i="68"/>
  <c r="W325" i="68"/>
  <c r="W326" i="68"/>
  <c r="W327" i="68"/>
  <c r="W328" i="68"/>
  <c r="W329" i="68"/>
  <c r="W330" i="68"/>
  <c r="W331" i="68"/>
  <c r="W332" i="68"/>
  <c r="W333" i="68"/>
  <c r="W334" i="68"/>
  <c r="W335" i="68"/>
  <c r="W336" i="68"/>
  <c r="W337" i="68"/>
  <c r="W338" i="68"/>
  <c r="W339" i="68"/>
  <c r="W340" i="68"/>
  <c r="W341" i="68"/>
  <c r="W342" i="68"/>
  <c r="W343" i="68"/>
  <c r="W344" i="68"/>
  <c r="W345" i="68"/>
  <c r="W346" i="68"/>
  <c r="W347" i="68"/>
  <c r="W348" i="68"/>
  <c r="W349" i="68"/>
  <c r="W350" i="68"/>
  <c r="W351" i="68"/>
  <c r="W352" i="68"/>
  <c r="W353" i="68"/>
  <c r="W354" i="68"/>
  <c r="W355" i="68"/>
  <c r="W356" i="68"/>
  <c r="W357" i="68"/>
  <c r="W358" i="68"/>
  <c r="W359" i="68"/>
  <c r="W360" i="68"/>
  <c r="W361" i="68"/>
  <c r="W362" i="68"/>
  <c r="W363" i="68"/>
  <c r="W364" i="68"/>
  <c r="W365" i="68"/>
  <c r="W366" i="68"/>
  <c r="W367" i="68"/>
  <c r="W368" i="68"/>
  <c r="W369" i="68"/>
  <c r="W370" i="68"/>
  <c r="W371" i="68"/>
  <c r="W372" i="68"/>
  <c r="W373" i="68"/>
  <c r="W374" i="68"/>
  <c r="W375" i="68"/>
  <c r="W376" i="68"/>
  <c r="W377" i="68"/>
  <c r="W378" i="68"/>
  <c r="W379" i="68"/>
  <c r="W380" i="68"/>
  <c r="W381" i="68"/>
  <c r="W382" i="68"/>
  <c r="W383" i="68"/>
  <c r="W384" i="68"/>
  <c r="W385" i="68"/>
  <c r="W386" i="68"/>
  <c r="W387" i="68"/>
  <c r="W388" i="68"/>
  <c r="W389" i="68"/>
  <c r="W390" i="68"/>
  <c r="W391" i="68"/>
  <c r="W392" i="68"/>
  <c r="W393" i="68"/>
  <c r="W394" i="68"/>
  <c r="W395" i="68"/>
  <c r="W396" i="68"/>
  <c r="W397" i="68"/>
  <c r="W398" i="68"/>
  <c r="W399" i="68"/>
  <c r="W400" i="68"/>
  <c r="W401" i="68"/>
  <c r="W402" i="68"/>
  <c r="W403" i="68"/>
  <c r="W404" i="68"/>
  <c r="W405" i="68"/>
  <c r="W406" i="68"/>
  <c r="W407" i="68"/>
  <c r="W408" i="68"/>
  <c r="W409" i="68"/>
  <c r="W410" i="68"/>
  <c r="W411" i="68"/>
  <c r="W412" i="68"/>
  <c r="W413" i="68"/>
  <c r="W414" i="68"/>
  <c r="W415" i="68"/>
  <c r="W416" i="68"/>
  <c r="W417" i="68"/>
  <c r="W418" i="68"/>
  <c r="W419" i="68"/>
  <c r="W420" i="68"/>
  <c r="W421" i="68"/>
  <c r="W422" i="68"/>
  <c r="W423" i="68"/>
  <c r="W424" i="68"/>
  <c r="W425" i="68"/>
  <c r="W426" i="68"/>
  <c r="W427" i="68"/>
  <c r="W428" i="68"/>
  <c r="W429" i="68"/>
  <c r="W430" i="68"/>
  <c r="W431" i="68"/>
  <c r="W432" i="68"/>
  <c r="W433" i="68"/>
  <c r="W434" i="68"/>
  <c r="W435" i="68"/>
  <c r="W436" i="68"/>
  <c r="W437" i="68"/>
  <c r="W438" i="68"/>
  <c r="W439" i="68"/>
  <c r="W440" i="68"/>
  <c r="W441" i="68"/>
  <c r="W442" i="68"/>
  <c r="W443" i="68"/>
  <c r="W444" i="68"/>
  <c r="W445" i="68"/>
  <c r="W446" i="68"/>
  <c r="W447" i="68"/>
  <c r="W448" i="68"/>
  <c r="W449" i="68"/>
  <c r="W450" i="68"/>
  <c r="W451" i="68"/>
  <c r="W452" i="68"/>
  <c r="W453" i="68"/>
  <c r="W454" i="68"/>
  <c r="W455" i="68"/>
  <c r="W456" i="68"/>
  <c r="W457" i="68"/>
  <c r="W458" i="68"/>
  <c r="W459" i="68"/>
  <c r="W460" i="68"/>
  <c r="W461" i="68"/>
  <c r="W462" i="68"/>
  <c r="W463" i="68"/>
  <c r="W464" i="68"/>
  <c r="W465" i="68"/>
  <c r="W466" i="68"/>
  <c r="W467" i="68"/>
  <c r="W468" i="68"/>
  <c r="W469" i="68"/>
  <c r="W470" i="68"/>
  <c r="W471" i="68"/>
  <c r="W472" i="68"/>
  <c r="W473" i="68"/>
  <c r="W474" i="68"/>
  <c r="W475" i="68"/>
  <c r="W476" i="68"/>
  <c r="W477" i="68"/>
  <c r="W478" i="68"/>
  <c r="W479" i="68"/>
  <c r="W480" i="68"/>
  <c r="W481" i="68"/>
  <c r="W482" i="68"/>
  <c r="W483" i="68"/>
  <c r="I241" i="67" s="1"/>
  <c r="W484" i="68"/>
  <c r="W485" i="68"/>
  <c r="W486" i="68"/>
  <c r="W487" i="68"/>
  <c r="W488" i="68"/>
  <c r="W489" i="68"/>
  <c r="W490" i="68"/>
  <c r="W491" i="68"/>
  <c r="W492" i="68"/>
  <c r="W493" i="68"/>
  <c r="W494" i="68"/>
  <c r="W495" i="68"/>
  <c r="W496" i="68"/>
  <c r="W497" i="68"/>
  <c r="W498" i="68"/>
  <c r="W499" i="68"/>
  <c r="W500" i="68"/>
  <c r="W501" i="68"/>
  <c r="W502" i="68"/>
  <c r="W503" i="68"/>
  <c r="W504" i="68"/>
  <c r="W505" i="68"/>
  <c r="W506" i="68"/>
  <c r="W507" i="68"/>
  <c r="W508" i="68"/>
  <c r="W509" i="68"/>
  <c r="W510" i="68"/>
  <c r="W511" i="68"/>
  <c r="W512" i="68"/>
  <c r="W513" i="68"/>
  <c r="W514" i="68"/>
  <c r="W515" i="68"/>
  <c r="W516" i="68"/>
  <c r="W517" i="68"/>
  <c r="W518" i="68"/>
  <c r="W519" i="68"/>
  <c r="W520" i="68"/>
  <c r="W521" i="68"/>
  <c r="W522" i="68"/>
  <c r="W523" i="68"/>
  <c r="W524" i="68"/>
  <c r="W525" i="68"/>
  <c r="W526" i="68"/>
  <c r="W527" i="68"/>
  <c r="W528" i="68"/>
  <c r="W529" i="68"/>
  <c r="W530" i="68"/>
  <c r="W531" i="68"/>
  <c r="W532" i="68"/>
  <c r="W533" i="68"/>
  <c r="W534" i="68"/>
  <c r="W535" i="68"/>
  <c r="W536" i="68"/>
  <c r="W537" i="68"/>
  <c r="W538" i="68"/>
  <c r="W539" i="68"/>
  <c r="W540" i="68"/>
  <c r="W541" i="68"/>
  <c r="W542" i="68"/>
  <c r="W543" i="68"/>
  <c r="W544" i="68"/>
  <c r="W545" i="68"/>
  <c r="W546" i="68"/>
  <c r="W547" i="68"/>
  <c r="W548" i="68"/>
  <c r="W549" i="68"/>
  <c r="W550" i="68"/>
  <c r="W551" i="68"/>
  <c r="W552" i="68"/>
  <c r="W553" i="68"/>
  <c r="W554" i="68"/>
  <c r="W555" i="68"/>
  <c r="W556" i="68"/>
  <c r="W557" i="68"/>
  <c r="W558" i="68"/>
  <c r="W559" i="68"/>
  <c r="W560" i="68"/>
  <c r="W561" i="68"/>
  <c r="W562" i="68"/>
  <c r="W563" i="68"/>
  <c r="W564" i="68"/>
  <c r="W565" i="68"/>
  <c r="W566" i="68"/>
  <c r="W567" i="68"/>
  <c r="W568" i="68"/>
  <c r="W569" i="68"/>
  <c r="W570" i="68"/>
  <c r="W571" i="68"/>
  <c r="W572" i="68"/>
  <c r="W573" i="68"/>
  <c r="W574" i="68"/>
  <c r="W575" i="68"/>
  <c r="W576" i="68"/>
  <c r="W577" i="68"/>
  <c r="W578" i="68"/>
  <c r="W579" i="68"/>
  <c r="W580" i="68"/>
  <c r="W581" i="68"/>
  <c r="W582" i="68"/>
  <c r="W583" i="68"/>
  <c r="W584" i="68"/>
  <c r="W585" i="68"/>
  <c r="W586" i="68"/>
  <c r="W587" i="68"/>
  <c r="W588" i="68"/>
  <c r="W589" i="68"/>
  <c r="W590" i="68"/>
  <c r="W591" i="68"/>
  <c r="W592" i="68"/>
  <c r="W593" i="68"/>
  <c r="W594" i="68"/>
  <c r="W595" i="68"/>
  <c r="W596" i="68"/>
  <c r="W597" i="68"/>
  <c r="W598" i="68"/>
  <c r="W599" i="68"/>
  <c r="W600" i="68"/>
  <c r="W601" i="68"/>
  <c r="W602" i="68"/>
  <c r="W603" i="68"/>
  <c r="W604" i="68"/>
  <c r="W605" i="68"/>
  <c r="W606" i="68"/>
  <c r="W607" i="68"/>
  <c r="W608" i="68"/>
  <c r="W609" i="68"/>
  <c r="W610" i="68"/>
  <c r="W611" i="68"/>
  <c r="W612" i="68"/>
  <c r="W613" i="68"/>
  <c r="W614" i="68"/>
  <c r="W615" i="68"/>
  <c r="W616" i="68"/>
  <c r="W617" i="68"/>
  <c r="W618" i="68"/>
  <c r="W619" i="68"/>
  <c r="W620" i="68"/>
  <c r="W621" i="68"/>
  <c r="W622" i="68"/>
  <c r="W623" i="68"/>
  <c r="W624" i="68"/>
  <c r="W625" i="68"/>
  <c r="W626" i="68"/>
  <c r="W627" i="68"/>
  <c r="W628" i="68"/>
  <c r="W629" i="68"/>
  <c r="W630" i="68"/>
  <c r="W631" i="68"/>
  <c r="W632" i="68"/>
  <c r="W633" i="68"/>
  <c r="W634" i="68"/>
  <c r="W635" i="68"/>
  <c r="W636" i="68"/>
  <c r="W637" i="68"/>
  <c r="W638" i="68"/>
  <c r="W639" i="68"/>
  <c r="W640" i="68"/>
  <c r="W641" i="68"/>
  <c r="W642" i="68"/>
  <c r="W643" i="68"/>
  <c r="W644" i="68"/>
  <c r="W645" i="68"/>
  <c r="W646" i="68"/>
  <c r="W647" i="68"/>
  <c r="W648" i="68"/>
  <c r="W649" i="68"/>
  <c r="W650" i="68"/>
  <c r="W651" i="68"/>
  <c r="W652" i="68"/>
  <c r="W653" i="68"/>
  <c r="W654" i="68"/>
  <c r="W655" i="68"/>
  <c r="W656" i="68"/>
  <c r="W657" i="68"/>
  <c r="W658" i="68"/>
  <c r="W659" i="68"/>
  <c r="W660" i="68"/>
  <c r="W661" i="68"/>
  <c r="W662" i="68"/>
  <c r="W663" i="68"/>
  <c r="W664" i="68"/>
  <c r="W665" i="68"/>
  <c r="W666" i="68"/>
  <c r="W667" i="68"/>
  <c r="W668" i="68"/>
  <c r="W669" i="68"/>
  <c r="W670" i="68"/>
  <c r="W671" i="68"/>
  <c r="W672" i="68"/>
  <c r="W673" i="68"/>
  <c r="W674" i="68"/>
  <c r="W675" i="68"/>
  <c r="W676" i="68"/>
  <c r="W677" i="68"/>
  <c r="W678" i="68"/>
  <c r="W679" i="68"/>
  <c r="W680" i="68"/>
  <c r="E12" i="72"/>
  <c r="E13" i="72"/>
  <c r="E14" i="72"/>
  <c r="E15" i="72"/>
  <c r="E16" i="72"/>
  <c r="E19" i="72"/>
  <c r="E20" i="72"/>
  <c r="E22" i="72"/>
  <c r="E23" i="72"/>
  <c r="E24" i="72"/>
  <c r="E25" i="72"/>
  <c r="E26" i="72"/>
  <c r="E27" i="72"/>
  <c r="E28" i="72"/>
  <c r="E29" i="72"/>
  <c r="E30" i="72"/>
  <c r="E31" i="72"/>
  <c r="E32" i="72"/>
  <c r="E33" i="72"/>
  <c r="E34" i="72"/>
  <c r="E35" i="72"/>
  <c r="E37" i="72"/>
  <c r="E38" i="72"/>
  <c r="E39" i="72"/>
  <c r="E41" i="72"/>
  <c r="BI20" i="60" l="1"/>
  <c r="BI21" i="60"/>
  <c r="BI22" i="60"/>
  <c r="BI23" i="60"/>
  <c r="BI24" i="60"/>
  <c r="BI25" i="60"/>
  <c r="BI26" i="60"/>
  <c r="BI27" i="60"/>
  <c r="BI28" i="60"/>
  <c r="BI29" i="60"/>
  <c r="BI30" i="60"/>
  <c r="BI31" i="60"/>
  <c r="BI32" i="60"/>
  <c r="BI33" i="60"/>
  <c r="BI34" i="60"/>
  <c r="BI35" i="60"/>
  <c r="BI36" i="60"/>
  <c r="BI37" i="60"/>
  <c r="BI38" i="60"/>
  <c r="BI39" i="60"/>
  <c r="BI40" i="60"/>
  <c r="BI41" i="60"/>
  <c r="BI42" i="60"/>
  <c r="BI43" i="60"/>
  <c r="BI44" i="60"/>
  <c r="BI45" i="60"/>
  <c r="BI46" i="60"/>
  <c r="BI47" i="60"/>
  <c r="BI48" i="60"/>
  <c r="BI49" i="60"/>
  <c r="BI50" i="60"/>
  <c r="BI51" i="60"/>
  <c r="BI52" i="60"/>
  <c r="BI53" i="60"/>
  <c r="BI54" i="60"/>
  <c r="BI55" i="60"/>
  <c r="BI56" i="60"/>
  <c r="BI57" i="60"/>
  <c r="BI58" i="60"/>
  <c r="BI59" i="60"/>
  <c r="BI60" i="60"/>
  <c r="BI61" i="60"/>
  <c r="BI62" i="60"/>
  <c r="BI63" i="60"/>
  <c r="BI64" i="60"/>
  <c r="I253" i="67" l="1"/>
  <c r="H253" i="67"/>
  <c r="H252" i="67"/>
  <c r="AY68" i="1"/>
  <c r="AY67" i="1"/>
  <c r="AN68" i="1"/>
  <c r="AN67" i="1"/>
  <c r="AC68" i="1"/>
  <c r="AC67" i="1"/>
  <c r="R68" i="1"/>
  <c r="L68" i="1"/>
  <c r="K68" i="1"/>
  <c r="J68" i="1"/>
  <c r="I68" i="1"/>
  <c r="G259" i="67"/>
  <c r="G255" i="67"/>
  <c r="G251" i="67"/>
  <c r="H262" i="67"/>
  <c r="H261" i="67"/>
  <c r="H260" i="67"/>
  <c r="H257" i="67"/>
  <c r="H256" i="67"/>
  <c r="M68" i="1" l="1"/>
  <c r="Y658" i="62" l="1"/>
  <c r="V658" i="62"/>
  <c r="Y19" i="62"/>
  <c r="E58" i="1" l="1"/>
  <c r="E59" i="1"/>
  <c r="G62" i="1"/>
  <c r="G61" i="1"/>
  <c r="G60" i="1"/>
  <c r="E39" i="1"/>
  <c r="E37" i="1"/>
  <c r="E35" i="1"/>
  <c r="E26" i="1"/>
  <c r="E23" i="1"/>
  <c r="G300" i="67"/>
  <c r="G296" i="67"/>
  <c r="G289" i="67"/>
  <c r="G286" i="67"/>
  <c r="M185" i="67"/>
  <c r="L185" i="67"/>
  <c r="K185" i="67"/>
  <c r="J185" i="67"/>
  <c r="I185" i="67"/>
  <c r="M99" i="67"/>
  <c r="L99" i="67"/>
  <c r="K99" i="67"/>
  <c r="J99" i="67"/>
  <c r="I99" i="67"/>
  <c r="M134" i="67"/>
  <c r="L134" i="67"/>
  <c r="K134" i="67"/>
  <c r="J134" i="67"/>
  <c r="I134" i="67"/>
  <c r="M60" i="67"/>
  <c r="L60" i="67"/>
  <c r="K60" i="67"/>
  <c r="J60" i="67"/>
  <c r="I60" i="67"/>
  <c r="J40" i="67"/>
  <c r="K40" i="67"/>
  <c r="L40" i="67"/>
  <c r="M40" i="67"/>
  <c r="I40" i="67"/>
  <c r="H236" i="67"/>
  <c r="H235" i="67"/>
  <c r="H234" i="67"/>
  <c r="H233" i="67"/>
  <c r="H232" i="67"/>
  <c r="H229" i="67"/>
  <c r="H228" i="67"/>
  <c r="H227" i="67"/>
  <c r="H226" i="67"/>
  <c r="H225" i="67"/>
  <c r="AA1287" i="62" l="1"/>
  <c r="AA1288" i="62"/>
  <c r="AA1289" i="62"/>
  <c r="AA1290" i="62"/>
  <c r="AA1291" i="62"/>
  <c r="AA1292" i="62"/>
  <c r="AA1293" i="62"/>
  <c r="AA1294" i="62"/>
  <c r="AA1295" i="62"/>
  <c r="AA1296" i="62"/>
  <c r="AA1297" i="62"/>
  <c r="AA1298" i="62"/>
  <c r="AA1299" i="62"/>
  <c r="AA1300" i="62"/>
  <c r="AA1301" i="62"/>
  <c r="AA1302" i="62"/>
  <c r="AA1303" i="62"/>
  <c r="AA1304" i="62"/>
  <c r="AA1305" i="62"/>
  <c r="AA1306" i="62"/>
  <c r="AA1307" i="62"/>
  <c r="AA1308" i="62"/>
  <c r="AA1309" i="62"/>
  <c r="AA1310" i="62"/>
  <c r="AA1311" i="62"/>
  <c r="AA1312" i="62"/>
  <c r="AA1313" i="62"/>
  <c r="AA1314" i="62"/>
  <c r="AA1315" i="62"/>
  <c r="AA1316" i="62"/>
  <c r="AA1317" i="62"/>
  <c r="AA1318" i="62"/>
  <c r="AA1319" i="62"/>
  <c r="AA1320" i="62"/>
  <c r="AA1321" i="62"/>
  <c r="AA1322" i="62"/>
  <c r="AA1323" i="62"/>
  <c r="AA1324" i="62"/>
  <c r="AA1325" i="62"/>
  <c r="AA1326" i="62"/>
  <c r="AA1327" i="62"/>
  <c r="AA1328" i="62"/>
  <c r="AA1329" i="62"/>
  <c r="AA1330" i="62"/>
  <c r="AA1331" i="62"/>
  <c r="AA1332" i="62"/>
  <c r="AA1333" i="62"/>
  <c r="AA1334" i="62"/>
  <c r="AA1335" i="62"/>
  <c r="AA1336" i="62"/>
  <c r="AA1337" i="62"/>
  <c r="AA1338" i="62"/>
  <c r="AA1339" i="62"/>
  <c r="AA1340" i="62"/>
  <c r="AA1341" i="62"/>
  <c r="AA1342" i="62"/>
  <c r="AA1343" i="62"/>
  <c r="AA1344" i="62"/>
  <c r="AA1345" i="62"/>
  <c r="AA1346" i="62"/>
  <c r="AA1347" i="62"/>
  <c r="AA1348" i="62"/>
  <c r="AA1349" i="62"/>
  <c r="AA1350" i="62"/>
  <c r="AA1351" i="62"/>
  <c r="AA1352" i="62"/>
  <c r="AA1353" i="62"/>
  <c r="AA1354" i="62"/>
  <c r="AA1355" i="62"/>
  <c r="AA1356" i="62"/>
  <c r="AA1357" i="62"/>
  <c r="AA1358" i="62"/>
  <c r="AA1359" i="62"/>
  <c r="AA1360" i="62"/>
  <c r="AA1361" i="62"/>
  <c r="AA1362" i="62"/>
  <c r="AA1363" i="62"/>
  <c r="AA1364" i="62"/>
  <c r="AA1365" i="62"/>
  <c r="AA1366" i="62"/>
  <c r="AA1367" i="62"/>
  <c r="AA1368" i="62"/>
  <c r="AA1369" i="62"/>
  <c r="AA1370" i="62"/>
  <c r="AA1371" i="62"/>
  <c r="AA1372" i="62"/>
  <c r="AA1373" i="62"/>
  <c r="AA1374" i="62"/>
  <c r="AA1375" i="62"/>
  <c r="AA1376" i="62"/>
  <c r="AA1377" i="62"/>
  <c r="AA1378" i="62"/>
  <c r="AA1379" i="62"/>
  <c r="AA1380" i="62"/>
  <c r="AA1381" i="62"/>
  <c r="AA1382" i="62"/>
  <c r="AA1383" i="62"/>
  <c r="AA1384" i="62"/>
  <c r="AA1385" i="62"/>
  <c r="AA1386" i="62"/>
  <c r="AA1387" i="62"/>
  <c r="AA1388" i="62"/>
  <c r="AA1389" i="62"/>
  <c r="AA1390" i="62"/>
  <c r="AA1391" i="62"/>
  <c r="AA1392" i="62"/>
  <c r="AA1393" i="62"/>
  <c r="AA1394" i="62"/>
  <c r="AA1395" i="62"/>
  <c r="AA1396" i="62"/>
  <c r="AA1397" i="62"/>
  <c r="AA1398" i="62"/>
  <c r="AA1399" i="62"/>
  <c r="AA1400" i="62"/>
  <c r="AA1401" i="62"/>
  <c r="AA1402" i="62"/>
  <c r="AA1403" i="62"/>
  <c r="AA1404" i="62"/>
  <c r="AA1405" i="62"/>
  <c r="AA1406" i="62"/>
  <c r="AA1407" i="62"/>
  <c r="AA1408" i="62"/>
  <c r="AA1409" i="62"/>
  <c r="AA1410" i="62"/>
  <c r="AA1411" i="62"/>
  <c r="AA1412" i="62"/>
  <c r="AA1413" i="62"/>
  <c r="AA1414" i="62"/>
  <c r="AA1415" i="62"/>
  <c r="AA1416" i="62"/>
  <c r="AA1417" i="62"/>
  <c r="AA1418" i="62"/>
  <c r="AA1419" i="62"/>
  <c r="AA1420" i="62"/>
  <c r="AA1421" i="62"/>
  <c r="AA1422" i="62"/>
  <c r="AA1423" i="62"/>
  <c r="AA1424" i="62"/>
  <c r="AA1425" i="62"/>
  <c r="AA1426" i="62"/>
  <c r="AA1427" i="62"/>
  <c r="AA1428" i="62"/>
  <c r="AA1429" i="62"/>
  <c r="AA1430" i="62"/>
  <c r="AA1431" i="62"/>
  <c r="AA1432" i="62"/>
  <c r="AA1433" i="62"/>
  <c r="AA1434" i="62"/>
  <c r="AA1435" i="62"/>
  <c r="AA1436" i="62"/>
  <c r="AA1437" i="62"/>
  <c r="AA1438" i="62"/>
  <c r="AA1439" i="62"/>
  <c r="AA1440" i="62"/>
  <c r="AA1441" i="62"/>
  <c r="AA1442" i="62"/>
  <c r="AA1443" i="62"/>
  <c r="AA1444" i="62"/>
  <c r="AA1445" i="62"/>
  <c r="AA1446" i="62"/>
  <c r="AA1447" i="62"/>
  <c r="AA1448" i="62"/>
  <c r="AA1449" i="62"/>
  <c r="AA1450" i="62"/>
  <c r="AA1451" i="62"/>
  <c r="AA1452" i="62"/>
  <c r="AA1453" i="62"/>
  <c r="AA1454" i="62"/>
  <c r="AA1455" i="62"/>
  <c r="AA1456" i="62"/>
  <c r="AA1457" i="62"/>
  <c r="AA1458" i="62"/>
  <c r="AA1459" i="62"/>
  <c r="AA1460" i="62"/>
  <c r="AA1461" i="62"/>
  <c r="AA1462" i="62"/>
  <c r="AA1463" i="62"/>
  <c r="AA1464" i="62"/>
  <c r="AA1465" i="62"/>
  <c r="AA1466" i="62"/>
  <c r="AA1467" i="62"/>
  <c r="AA1468" i="62"/>
  <c r="AA1469" i="62"/>
  <c r="AA1470" i="62"/>
  <c r="AA1471" i="62"/>
  <c r="AA1472" i="62"/>
  <c r="AA1473" i="62"/>
  <c r="AA1474" i="62"/>
  <c r="AA1475" i="62"/>
  <c r="AA1476" i="62"/>
  <c r="AA1477" i="62"/>
  <c r="AA1478" i="62"/>
  <c r="AA1479" i="62"/>
  <c r="AA1480" i="62"/>
  <c r="AA1481" i="62"/>
  <c r="AA1482" i="62"/>
  <c r="AA1483" i="62"/>
  <c r="AA1484" i="62"/>
  <c r="AA1485" i="62"/>
  <c r="AA1486" i="62"/>
  <c r="AA1487" i="62"/>
  <c r="AA1488" i="62"/>
  <c r="AA1489" i="62"/>
  <c r="AA1490" i="62"/>
  <c r="AA1491" i="62"/>
  <c r="AA1492" i="62"/>
  <c r="AA1493" i="62"/>
  <c r="AA1494" i="62"/>
  <c r="AA1495" i="62"/>
  <c r="AA1496" i="62"/>
  <c r="AA1497" i="62"/>
  <c r="AA1498" i="62"/>
  <c r="AA1499" i="62"/>
  <c r="AA1500" i="62"/>
  <c r="AA1501" i="62"/>
  <c r="AA1502" i="62"/>
  <c r="AA1503" i="62"/>
  <c r="AA1504" i="62"/>
  <c r="AA1505" i="62"/>
  <c r="AA1506" i="62"/>
  <c r="AA1507" i="62"/>
  <c r="AA1508" i="62"/>
  <c r="AA1509" i="62"/>
  <c r="AA1510" i="62"/>
  <c r="AA1511" i="62"/>
  <c r="AA1512" i="62"/>
  <c r="AA1513" i="62"/>
  <c r="AA1514" i="62"/>
  <c r="AA1515" i="62"/>
  <c r="AA1516" i="62"/>
  <c r="AA1517" i="62"/>
  <c r="AA1518" i="62"/>
  <c r="AA1519" i="62"/>
  <c r="AA1520" i="62"/>
  <c r="AA1521" i="62"/>
  <c r="AA1522" i="62"/>
  <c r="AA1523" i="62"/>
  <c r="AA1524" i="62"/>
  <c r="AA1525" i="62"/>
  <c r="AA1526" i="62"/>
  <c r="AA1527" i="62"/>
  <c r="AA1528" i="62"/>
  <c r="AA1529" i="62"/>
  <c r="AA1530" i="62"/>
  <c r="AA1531" i="62"/>
  <c r="AA1532" i="62"/>
  <c r="AA1533" i="62"/>
  <c r="AA1534" i="62"/>
  <c r="AA1535" i="62"/>
  <c r="AA1536" i="62"/>
  <c r="AA1537" i="62"/>
  <c r="AA1538" i="62"/>
  <c r="AA1539" i="62"/>
  <c r="AA1540" i="62"/>
  <c r="AA1541" i="62"/>
  <c r="AA1542" i="62"/>
  <c r="AA1543" i="62"/>
  <c r="AA1544" i="62"/>
  <c r="AA1545" i="62"/>
  <c r="AA1546" i="62"/>
  <c r="AA1547" i="62"/>
  <c r="AA1548" i="62"/>
  <c r="AA1549" i="62"/>
  <c r="AA1550" i="62"/>
  <c r="AA1551" i="62"/>
  <c r="AA1552" i="62"/>
  <c r="AA1553" i="62"/>
  <c r="AA1554" i="62"/>
  <c r="AA1555" i="62"/>
  <c r="AA1556" i="62"/>
  <c r="AA1557" i="62"/>
  <c r="AA1558" i="62"/>
  <c r="AA1559" i="62"/>
  <c r="AA1560" i="62"/>
  <c r="AA1561" i="62"/>
  <c r="AA1562" i="62"/>
  <c r="AA1563" i="62"/>
  <c r="AA1564" i="62"/>
  <c r="AA1565" i="62"/>
  <c r="AA1566" i="62"/>
  <c r="E36" i="72"/>
  <c r="F18" i="72"/>
  <c r="G18" i="72"/>
  <c r="F17" i="72"/>
  <c r="E17" i="72" s="1"/>
  <c r="E21" i="72"/>
  <c r="G40" i="72"/>
  <c r="F40" i="72"/>
  <c r="D12" i="72"/>
  <c r="D13" i="72"/>
  <c r="D14" i="72"/>
  <c r="D15" i="72"/>
  <c r="D16" i="72"/>
  <c r="D17" i="72"/>
  <c r="D18" i="72"/>
  <c r="D19" i="72"/>
  <c r="D20" i="72"/>
  <c r="D21" i="72"/>
  <c r="D22" i="72"/>
  <c r="D23" i="72"/>
  <c r="D24" i="72"/>
  <c r="D25" i="72"/>
  <c r="D26" i="72"/>
  <c r="D27" i="72"/>
  <c r="D28" i="72"/>
  <c r="D29" i="72"/>
  <c r="D30" i="72"/>
  <c r="D31" i="72"/>
  <c r="D32" i="72"/>
  <c r="D33" i="72"/>
  <c r="D34" i="72"/>
  <c r="D35" i="72"/>
  <c r="D36" i="72"/>
  <c r="D37" i="72"/>
  <c r="D38" i="72"/>
  <c r="D39" i="72"/>
  <c r="D40" i="72"/>
  <c r="D41" i="72"/>
  <c r="M97" i="67"/>
  <c r="L97" i="67"/>
  <c r="K97" i="67"/>
  <c r="J97" i="67"/>
  <c r="I97" i="67"/>
  <c r="M96" i="67"/>
  <c r="L96" i="67"/>
  <c r="K96" i="67"/>
  <c r="J96" i="67"/>
  <c r="I96" i="67"/>
  <c r="M95" i="67"/>
  <c r="L95" i="67"/>
  <c r="K95" i="67"/>
  <c r="J95" i="67"/>
  <c r="I95" i="67"/>
  <c r="M92" i="67"/>
  <c r="M91" i="67" s="1"/>
  <c r="X71" i="67" s="1"/>
  <c r="L92" i="67"/>
  <c r="L91" i="67" s="1"/>
  <c r="W71" i="67" s="1"/>
  <c r="K92" i="67"/>
  <c r="K91" i="67" s="1"/>
  <c r="V71" i="67" s="1"/>
  <c r="J92" i="67"/>
  <c r="J91" i="67" s="1"/>
  <c r="U71" i="67" s="1"/>
  <c r="I92" i="67"/>
  <c r="I91" i="67" s="1"/>
  <c r="T71" i="67" s="1"/>
  <c r="M89" i="67"/>
  <c r="L89" i="67"/>
  <c r="K89" i="67"/>
  <c r="J89" i="67"/>
  <c r="I89" i="67"/>
  <c r="M88" i="67"/>
  <c r="L88" i="67"/>
  <c r="K88" i="67"/>
  <c r="J88" i="67"/>
  <c r="I88" i="67"/>
  <c r="M87" i="67"/>
  <c r="L87" i="67"/>
  <c r="K87" i="67"/>
  <c r="J87" i="67"/>
  <c r="I87" i="67"/>
  <c r="M86" i="67"/>
  <c r="L86" i="67"/>
  <c r="K86" i="67"/>
  <c r="J86" i="67"/>
  <c r="I86" i="67"/>
  <c r="M85" i="67"/>
  <c r="L85" i="67"/>
  <c r="K85" i="67"/>
  <c r="J85" i="67"/>
  <c r="I85" i="67"/>
  <c r="M84" i="67"/>
  <c r="L84" i="67"/>
  <c r="K84" i="67"/>
  <c r="J84" i="67"/>
  <c r="I84" i="67"/>
  <c r="M83" i="67"/>
  <c r="L83" i="67"/>
  <c r="K83" i="67"/>
  <c r="J83" i="67"/>
  <c r="I83" i="67"/>
  <c r="M82" i="67"/>
  <c r="L82" i="67"/>
  <c r="K82" i="67"/>
  <c r="J82" i="67"/>
  <c r="I82" i="67"/>
  <c r="M81" i="67"/>
  <c r="L81" i="67"/>
  <c r="K81" i="67"/>
  <c r="J81" i="67"/>
  <c r="I81" i="67"/>
  <c r="M80" i="67"/>
  <c r="L80" i="67"/>
  <c r="K80" i="67"/>
  <c r="J80" i="67"/>
  <c r="I80" i="67"/>
  <c r="M79" i="67"/>
  <c r="L79" i="67"/>
  <c r="K79" i="67"/>
  <c r="J79" i="67"/>
  <c r="I79" i="67"/>
  <c r="M78" i="67"/>
  <c r="L78" i="67"/>
  <c r="K78" i="67"/>
  <c r="J78" i="67"/>
  <c r="I78" i="67"/>
  <c r="M75" i="67"/>
  <c r="L75" i="67"/>
  <c r="K75" i="67"/>
  <c r="J75" i="67"/>
  <c r="I75" i="67"/>
  <c r="M74" i="67"/>
  <c r="L74" i="67"/>
  <c r="K74" i="67"/>
  <c r="J74" i="67"/>
  <c r="I74" i="67"/>
  <c r="M73" i="67"/>
  <c r="L73" i="67"/>
  <c r="K73" i="67"/>
  <c r="J73" i="67"/>
  <c r="I73" i="67"/>
  <c r="M72" i="67"/>
  <c r="L72" i="67"/>
  <c r="K72" i="67"/>
  <c r="J72" i="67"/>
  <c r="M71" i="67"/>
  <c r="L71" i="67"/>
  <c r="K71" i="67"/>
  <c r="J71" i="67"/>
  <c r="I71" i="67"/>
  <c r="M70" i="67"/>
  <c r="L70" i="67"/>
  <c r="K70" i="67"/>
  <c r="J70" i="67"/>
  <c r="I70" i="67"/>
  <c r="M69" i="67"/>
  <c r="L69" i="67"/>
  <c r="K69" i="67"/>
  <c r="J69" i="67"/>
  <c r="I69" i="67"/>
  <c r="I72" i="67"/>
  <c r="I104" i="67"/>
  <c r="M132" i="67"/>
  <c r="L132" i="67"/>
  <c r="K132" i="67"/>
  <c r="J132" i="67"/>
  <c r="I132" i="67"/>
  <c r="M131" i="67"/>
  <c r="L131" i="67"/>
  <c r="K131" i="67"/>
  <c r="J131" i="67"/>
  <c r="I131" i="67"/>
  <c r="M130" i="67"/>
  <c r="L130" i="67"/>
  <c r="K130" i="67"/>
  <c r="J130" i="67"/>
  <c r="I130" i="67"/>
  <c r="M127" i="67"/>
  <c r="L127" i="67"/>
  <c r="K127" i="67"/>
  <c r="J127" i="67"/>
  <c r="I127" i="67"/>
  <c r="M124" i="67"/>
  <c r="L124" i="67"/>
  <c r="K124" i="67"/>
  <c r="J124" i="67"/>
  <c r="I124" i="67"/>
  <c r="M123" i="67"/>
  <c r="L123" i="67"/>
  <c r="K123" i="67"/>
  <c r="J123" i="67"/>
  <c r="I123" i="67"/>
  <c r="M122" i="67"/>
  <c r="L122" i="67"/>
  <c r="K122" i="67"/>
  <c r="J122" i="67"/>
  <c r="I122" i="67"/>
  <c r="M121" i="67"/>
  <c r="L121" i="67"/>
  <c r="K121" i="67"/>
  <c r="J121" i="67"/>
  <c r="I121" i="67"/>
  <c r="M120" i="67"/>
  <c r="L120" i="67"/>
  <c r="K120" i="67"/>
  <c r="J120" i="67"/>
  <c r="I120" i="67"/>
  <c r="M119" i="67"/>
  <c r="L119" i="67"/>
  <c r="K119" i="67"/>
  <c r="J119" i="67"/>
  <c r="I119" i="67"/>
  <c r="M118" i="67"/>
  <c r="L118" i="67"/>
  <c r="K118" i="67"/>
  <c r="J118" i="67"/>
  <c r="I118" i="67"/>
  <c r="M117" i="67"/>
  <c r="L117" i="67"/>
  <c r="K117" i="67"/>
  <c r="J117" i="67"/>
  <c r="I117" i="67"/>
  <c r="M116" i="67"/>
  <c r="L116" i="67"/>
  <c r="K116" i="67"/>
  <c r="J116" i="67"/>
  <c r="I116" i="67"/>
  <c r="M115" i="67"/>
  <c r="L115" i="67"/>
  <c r="K115" i="67"/>
  <c r="J115" i="67"/>
  <c r="I115" i="67"/>
  <c r="M114" i="67"/>
  <c r="L114" i="67"/>
  <c r="K114" i="67"/>
  <c r="J114" i="67"/>
  <c r="I114" i="67"/>
  <c r="M113" i="67"/>
  <c r="L113" i="67"/>
  <c r="K113" i="67"/>
  <c r="J113" i="67"/>
  <c r="I113" i="67"/>
  <c r="M110" i="67"/>
  <c r="L110" i="67"/>
  <c r="K110" i="67"/>
  <c r="J110" i="67"/>
  <c r="I110" i="67"/>
  <c r="M109" i="67"/>
  <c r="L109" i="67"/>
  <c r="K109" i="67"/>
  <c r="J109" i="67"/>
  <c r="I109" i="67"/>
  <c r="M108" i="67"/>
  <c r="L108" i="67"/>
  <c r="K108" i="67"/>
  <c r="J108" i="67"/>
  <c r="I108" i="67"/>
  <c r="M107" i="67"/>
  <c r="L107" i="67"/>
  <c r="K107" i="67"/>
  <c r="J107" i="67"/>
  <c r="I107" i="67"/>
  <c r="M106" i="67"/>
  <c r="L106" i="67"/>
  <c r="K106" i="67"/>
  <c r="J106" i="67"/>
  <c r="I106" i="67"/>
  <c r="M105" i="67"/>
  <c r="L105" i="67"/>
  <c r="K105" i="67"/>
  <c r="J105" i="67"/>
  <c r="I105" i="67"/>
  <c r="M104" i="67"/>
  <c r="L104" i="67"/>
  <c r="K104" i="67"/>
  <c r="J104" i="67"/>
  <c r="G97" i="67"/>
  <c r="G96" i="67"/>
  <c r="G95" i="67"/>
  <c r="G92" i="67"/>
  <c r="G89" i="67"/>
  <c r="G88" i="67"/>
  <c r="G87" i="67"/>
  <c r="G86" i="67"/>
  <c r="G85" i="67"/>
  <c r="G84" i="67"/>
  <c r="G83" i="67"/>
  <c r="G82" i="67"/>
  <c r="G81" i="67"/>
  <c r="G80" i="67"/>
  <c r="G79" i="67"/>
  <c r="G78" i="67"/>
  <c r="G75" i="67"/>
  <c r="G74" i="67"/>
  <c r="G73" i="67"/>
  <c r="G72" i="67"/>
  <c r="G71" i="67"/>
  <c r="G70" i="67"/>
  <c r="G69" i="67"/>
  <c r="G105" i="67"/>
  <c r="G108" i="67"/>
  <c r="G110" i="67"/>
  <c r="E18" i="72" l="1"/>
  <c r="E40" i="72"/>
  <c r="I68" i="67"/>
  <c r="T69" i="67" s="1"/>
  <c r="H20" i="72"/>
  <c r="H31" i="72"/>
  <c r="H19" i="72"/>
  <c r="H15" i="72"/>
  <c r="H35" i="72"/>
  <c r="H12" i="72"/>
  <c r="J68" i="67"/>
  <c r="U69" i="67" s="1"/>
  <c r="H34" i="72"/>
  <c r="H26" i="72"/>
  <c r="H41" i="72"/>
  <c r="H33" i="72"/>
  <c r="H25" i="72"/>
  <c r="H32" i="72"/>
  <c r="H16" i="72"/>
  <c r="H39" i="72"/>
  <c r="H23" i="72"/>
  <c r="H38" i="72"/>
  <c r="H30" i="72"/>
  <c r="H22" i="72"/>
  <c r="H14" i="72"/>
  <c r="H37" i="72"/>
  <c r="H29" i="72"/>
  <c r="H13" i="72"/>
  <c r="H36" i="72"/>
  <c r="K68" i="67"/>
  <c r="V69" i="67" s="1"/>
  <c r="I94" i="67"/>
  <c r="T72" i="67" s="1"/>
  <c r="I77" i="67"/>
  <c r="T70" i="67" s="1"/>
  <c r="M77" i="67"/>
  <c r="X70" i="67" s="1"/>
  <c r="L94" i="67"/>
  <c r="W72" i="67" s="1"/>
  <c r="J94" i="67"/>
  <c r="U72" i="67" s="1"/>
  <c r="M94" i="67"/>
  <c r="X72" i="67" s="1"/>
  <c r="L68" i="67"/>
  <c r="W69" i="67" s="1"/>
  <c r="J77" i="67"/>
  <c r="U70" i="67" s="1"/>
  <c r="M68" i="67"/>
  <c r="X69" i="67" s="1"/>
  <c r="K77" i="67"/>
  <c r="V70" i="67" s="1"/>
  <c r="L77" i="67"/>
  <c r="W70" i="67" s="1"/>
  <c r="K94" i="67"/>
  <c r="V72" i="67" s="1"/>
  <c r="X73" i="67" l="1"/>
  <c r="W73" i="67"/>
  <c r="U73" i="67"/>
  <c r="V73" i="67"/>
  <c r="T73" i="67"/>
  <c r="K243" i="67"/>
  <c r="H24" i="72"/>
  <c r="J241" i="67"/>
  <c r="BE62" i="1"/>
  <c r="H18" i="72"/>
  <c r="H21" i="72"/>
  <c r="H28" i="72"/>
  <c r="H17" i="72"/>
  <c r="H27" i="72"/>
  <c r="H40" i="72"/>
  <c r="M66" i="67"/>
  <c r="L66" i="67"/>
  <c r="K66" i="67"/>
  <c r="J66" i="67"/>
  <c r="I66" i="67"/>
  <c r="AI62" i="1"/>
  <c r="M60" i="1"/>
  <c r="M62" i="1"/>
  <c r="K241" i="67"/>
  <c r="M241" i="67"/>
  <c r="J243" i="67"/>
  <c r="X62" i="1"/>
  <c r="X60" i="1"/>
  <c r="I243" i="67"/>
  <c r="L241" i="67"/>
  <c r="AT60" i="1"/>
  <c r="BE60" i="1"/>
  <c r="AT62" i="1"/>
  <c r="AI60" i="1"/>
  <c r="M243" i="67"/>
  <c r="L243" i="67"/>
  <c r="J242" i="67" l="1"/>
  <c r="X61" i="1"/>
  <c r="AT61" i="1"/>
  <c r="I242" i="67"/>
  <c r="M61" i="1"/>
  <c r="K242" i="67"/>
  <c r="AI61" i="1"/>
  <c r="BE61" i="1"/>
  <c r="M242" i="67"/>
  <c r="L242" i="67"/>
  <c r="K156" i="67" l="1"/>
  <c r="J156" i="67"/>
  <c r="I156" i="67"/>
  <c r="M175" i="67"/>
  <c r="L175" i="67"/>
  <c r="K175" i="67"/>
  <c r="J175" i="67"/>
  <c r="I175" i="67"/>
  <c r="G175" i="67"/>
  <c r="I45" i="67"/>
  <c r="M45" i="67"/>
  <c r="L45" i="67"/>
  <c r="K45" i="67"/>
  <c r="J45" i="67"/>
  <c r="J46" i="67"/>
  <c r="K46" i="67"/>
  <c r="L46" i="67"/>
  <c r="M46" i="67"/>
  <c r="J47" i="67"/>
  <c r="K47" i="67"/>
  <c r="L47" i="67"/>
  <c r="M47" i="67"/>
  <c r="J48" i="67"/>
  <c r="K48" i="67"/>
  <c r="L48" i="67"/>
  <c r="M48" i="67"/>
  <c r="J49" i="67"/>
  <c r="K49" i="67"/>
  <c r="L49" i="67"/>
  <c r="M49" i="67"/>
  <c r="I47" i="67"/>
  <c r="I48" i="67"/>
  <c r="I49" i="67"/>
  <c r="I46" i="67"/>
  <c r="G143" i="67"/>
  <c r="M153" i="67"/>
  <c r="L153" i="67"/>
  <c r="K153" i="67"/>
  <c r="J153" i="67"/>
  <c r="I153" i="67"/>
  <c r="G153" i="67"/>
  <c r="G154" i="67"/>
  <c r="I181" i="67"/>
  <c r="J181" i="67"/>
  <c r="K181" i="67"/>
  <c r="L181" i="67"/>
  <c r="M181" i="67"/>
  <c r="I182" i="67"/>
  <c r="J182" i="67"/>
  <c r="K182" i="67"/>
  <c r="L182" i="67"/>
  <c r="M182" i="67"/>
  <c r="I183" i="67"/>
  <c r="J183" i="67"/>
  <c r="K183" i="67"/>
  <c r="L183" i="67"/>
  <c r="M183" i="67"/>
  <c r="M180" i="67"/>
  <c r="L180" i="67"/>
  <c r="K180" i="67"/>
  <c r="J180" i="67"/>
  <c r="I180" i="67"/>
  <c r="M179" i="67"/>
  <c r="L179" i="67"/>
  <c r="K179" i="67"/>
  <c r="J179" i="67"/>
  <c r="I179" i="67"/>
  <c r="M176" i="67"/>
  <c r="L176" i="67"/>
  <c r="K176" i="67"/>
  <c r="J176" i="67"/>
  <c r="I176" i="67"/>
  <c r="I155" i="67"/>
  <c r="J155" i="67"/>
  <c r="K155" i="67"/>
  <c r="L155" i="67"/>
  <c r="M155" i="67"/>
  <c r="L156" i="67"/>
  <c r="M156" i="67"/>
  <c r="I157" i="67"/>
  <c r="J157" i="67"/>
  <c r="K157" i="67"/>
  <c r="L157" i="67"/>
  <c r="M157" i="67"/>
  <c r="I158" i="67"/>
  <c r="J158" i="67"/>
  <c r="K158" i="67"/>
  <c r="L158" i="67"/>
  <c r="M158" i="67"/>
  <c r="I159" i="67"/>
  <c r="J159" i="67"/>
  <c r="K159" i="67"/>
  <c r="L159" i="67"/>
  <c r="M159" i="67"/>
  <c r="I160" i="67"/>
  <c r="J160" i="67"/>
  <c r="K160" i="67"/>
  <c r="L160" i="67"/>
  <c r="M160" i="67"/>
  <c r="I161" i="67"/>
  <c r="J161" i="67"/>
  <c r="K161" i="67"/>
  <c r="L161" i="67"/>
  <c r="M161" i="67"/>
  <c r="I162" i="67"/>
  <c r="J162" i="67"/>
  <c r="K162" i="67"/>
  <c r="L162" i="67"/>
  <c r="M162" i="67"/>
  <c r="I163" i="67"/>
  <c r="J163" i="67"/>
  <c r="K163" i="67"/>
  <c r="L163" i="67"/>
  <c r="M163" i="67"/>
  <c r="I164" i="67"/>
  <c r="J164" i="67"/>
  <c r="K164" i="67"/>
  <c r="L164" i="67"/>
  <c r="M164" i="67"/>
  <c r="I165" i="67"/>
  <c r="J165" i="67"/>
  <c r="K165" i="67"/>
  <c r="L165" i="67"/>
  <c r="M165" i="67"/>
  <c r="I166" i="67"/>
  <c r="J166" i="67"/>
  <c r="K166" i="67"/>
  <c r="L166" i="67"/>
  <c r="M166" i="67"/>
  <c r="I167" i="67"/>
  <c r="J167" i="67"/>
  <c r="K167" i="67"/>
  <c r="L167" i="67"/>
  <c r="M167" i="67"/>
  <c r="I168" i="67"/>
  <c r="J168" i="67"/>
  <c r="K168" i="67"/>
  <c r="L168" i="67"/>
  <c r="M168" i="67"/>
  <c r="I169" i="67"/>
  <c r="J169" i="67"/>
  <c r="K169" i="67"/>
  <c r="L169" i="67"/>
  <c r="M169" i="67"/>
  <c r="I170" i="67"/>
  <c r="J170" i="67"/>
  <c r="K170" i="67"/>
  <c r="L170" i="67"/>
  <c r="M170" i="67"/>
  <c r="I171" i="67"/>
  <c r="J171" i="67"/>
  <c r="K171" i="67"/>
  <c r="L171" i="67"/>
  <c r="M171" i="67"/>
  <c r="I172" i="67"/>
  <c r="J172" i="67"/>
  <c r="K172" i="67"/>
  <c r="L172" i="67"/>
  <c r="M172" i="67"/>
  <c r="M154" i="67"/>
  <c r="L154" i="67"/>
  <c r="K154" i="67"/>
  <c r="J154" i="67"/>
  <c r="I154" i="67"/>
  <c r="M150" i="67"/>
  <c r="L150" i="67"/>
  <c r="K150" i="67"/>
  <c r="J150" i="67"/>
  <c r="I150" i="67"/>
  <c r="M149" i="67"/>
  <c r="L149" i="67"/>
  <c r="K149" i="67"/>
  <c r="J149" i="67"/>
  <c r="I149" i="67"/>
  <c r="M148" i="67"/>
  <c r="L148" i="67"/>
  <c r="K148" i="67"/>
  <c r="J148" i="67"/>
  <c r="I148" i="67"/>
  <c r="M147" i="67"/>
  <c r="L147" i="67"/>
  <c r="K147" i="67"/>
  <c r="J147" i="67"/>
  <c r="I147" i="67"/>
  <c r="M146" i="67"/>
  <c r="L146" i="67"/>
  <c r="K146" i="67"/>
  <c r="J146" i="67"/>
  <c r="I146" i="67"/>
  <c r="M145" i="67"/>
  <c r="L145" i="67"/>
  <c r="K145" i="67"/>
  <c r="J145" i="67"/>
  <c r="I145" i="67"/>
  <c r="M144" i="67"/>
  <c r="L144" i="67"/>
  <c r="K144" i="67"/>
  <c r="J144" i="67"/>
  <c r="I144" i="67"/>
  <c r="M143" i="67"/>
  <c r="L143" i="67"/>
  <c r="K143" i="67"/>
  <c r="J143" i="67"/>
  <c r="I143" i="67"/>
  <c r="J178" i="67" l="1"/>
  <c r="U146" i="67" s="1"/>
  <c r="L178" i="67"/>
  <c r="W146" i="67" s="1"/>
  <c r="I152" i="67"/>
  <c r="T144" i="67" s="1"/>
  <c r="I174" i="67"/>
  <c r="T145" i="67" s="1"/>
  <c r="M178" i="67"/>
  <c r="X146" i="67" s="1"/>
  <c r="J152" i="67"/>
  <c r="U144" i="67" s="1"/>
  <c r="J174" i="67"/>
  <c r="U145" i="67" s="1"/>
  <c r="K152" i="67"/>
  <c r="V144" i="67" s="1"/>
  <c r="K174" i="67"/>
  <c r="V145" i="67" s="1"/>
  <c r="L152" i="67"/>
  <c r="W144" i="67" s="1"/>
  <c r="L174" i="67"/>
  <c r="W145" i="67" s="1"/>
  <c r="M152" i="67"/>
  <c r="X144" i="67" s="1"/>
  <c r="M174" i="67"/>
  <c r="X145" i="67" s="1"/>
  <c r="I142" i="67"/>
  <c r="I178" i="67"/>
  <c r="T146" i="67" s="1"/>
  <c r="T147" i="67" s="1"/>
  <c r="K178" i="67"/>
  <c r="V146" i="67" s="1"/>
  <c r="J142" i="67"/>
  <c r="U143" i="67" s="1"/>
  <c r="U147" i="67" s="1"/>
  <c r="K142" i="67"/>
  <c r="V143" i="67" s="1"/>
  <c r="M142" i="67"/>
  <c r="X143" i="67" s="1"/>
  <c r="L142" i="67"/>
  <c r="W143" i="67" s="1"/>
  <c r="W147" i="67" l="1"/>
  <c r="X147" i="67"/>
  <c r="V147" i="67"/>
  <c r="I140" i="67"/>
  <c r="L140" i="67"/>
  <c r="J140" i="67"/>
  <c r="M140" i="67"/>
  <c r="K140" i="67"/>
  <c r="I55" i="67" l="1"/>
  <c r="J55" i="67"/>
  <c r="K55" i="67"/>
  <c r="L55" i="67"/>
  <c r="M55" i="67"/>
  <c r="J56" i="67"/>
  <c r="K56" i="67"/>
  <c r="L56" i="67"/>
  <c r="M56" i="67"/>
  <c r="J57" i="67"/>
  <c r="K57" i="67"/>
  <c r="L57" i="67"/>
  <c r="M57" i="67"/>
  <c r="J58" i="67"/>
  <c r="K58" i="67"/>
  <c r="L58" i="67"/>
  <c r="M58" i="67"/>
  <c r="I56" i="67"/>
  <c r="I57" i="67"/>
  <c r="I58" i="67"/>
  <c r="C3" i="70"/>
  <c r="AM7" i="62" l="1"/>
  <c r="AM8" i="62"/>
  <c r="AM9" i="62"/>
  <c r="AM10" i="62"/>
  <c r="AM11" i="62"/>
  <c r="AM12" i="62"/>
  <c r="AM13" i="62"/>
  <c r="AM14" i="62"/>
  <c r="AM15" i="62"/>
  <c r="AM16" i="62"/>
  <c r="AM17" i="62"/>
  <c r="AM18" i="62"/>
  <c r="AM19" i="62"/>
  <c r="AM20" i="62"/>
  <c r="AM21" i="62"/>
  <c r="AM22" i="62"/>
  <c r="AM23" i="62"/>
  <c r="AM24" i="62"/>
  <c r="AM25" i="62"/>
  <c r="AM26" i="62"/>
  <c r="AM27" i="62"/>
  <c r="AM28" i="62"/>
  <c r="AM29" i="62"/>
  <c r="AM30" i="62"/>
  <c r="AM31" i="62"/>
  <c r="AM32" i="62"/>
  <c r="AM33" i="62"/>
  <c r="AM34" i="62"/>
  <c r="AM35" i="62"/>
  <c r="AM36" i="62"/>
  <c r="AM37" i="62"/>
  <c r="AM38" i="62"/>
  <c r="AM39" i="62"/>
  <c r="AM40" i="62"/>
  <c r="AM41" i="62"/>
  <c r="AM42" i="62"/>
  <c r="AM43" i="62"/>
  <c r="AM44" i="62"/>
  <c r="AM45" i="62"/>
  <c r="AM46" i="62"/>
  <c r="AM47" i="62"/>
  <c r="AM48" i="62"/>
  <c r="AM49" i="62"/>
  <c r="AM50" i="62"/>
  <c r="AM51" i="62"/>
  <c r="AM52" i="62"/>
  <c r="AM53" i="62"/>
  <c r="AM54" i="62"/>
  <c r="AM55" i="62"/>
  <c r="AM56" i="62"/>
  <c r="AM57" i="62"/>
  <c r="AM58" i="62"/>
  <c r="AM59" i="62"/>
  <c r="AM60" i="62"/>
  <c r="AM61" i="62"/>
  <c r="AM62" i="62"/>
  <c r="AM63" i="62"/>
  <c r="AM64" i="62"/>
  <c r="AM65" i="62"/>
  <c r="AM66" i="62"/>
  <c r="AM67" i="62"/>
  <c r="AM68" i="62"/>
  <c r="AM69" i="62"/>
  <c r="AM70" i="62"/>
  <c r="AM71" i="62"/>
  <c r="AM72" i="62"/>
  <c r="AM73" i="62"/>
  <c r="AM74" i="62"/>
  <c r="AM75" i="62"/>
  <c r="AM76" i="62"/>
  <c r="AM77" i="62"/>
  <c r="AM78" i="62"/>
  <c r="AM79" i="62"/>
  <c r="AM80" i="62"/>
  <c r="AM81" i="62"/>
  <c r="AM82" i="62"/>
  <c r="AM83" i="62"/>
  <c r="AM84" i="62"/>
  <c r="AM85" i="62"/>
  <c r="AM86" i="62"/>
  <c r="AM87" i="62"/>
  <c r="AM88" i="62"/>
  <c r="AM89" i="62"/>
  <c r="AM90" i="62"/>
  <c r="AM91" i="62"/>
  <c r="AM92" i="62"/>
  <c r="AM93" i="62"/>
  <c r="AM94" i="62"/>
  <c r="AM95" i="62"/>
  <c r="AM96" i="62"/>
  <c r="AM97" i="62"/>
  <c r="AM98" i="62"/>
  <c r="AM99" i="62"/>
  <c r="AM100" i="62"/>
  <c r="AM101" i="62"/>
  <c r="AM102" i="62"/>
  <c r="AM103" i="62"/>
  <c r="AM104" i="62"/>
  <c r="AM105" i="62"/>
  <c r="AM106" i="62"/>
  <c r="AM107" i="62"/>
  <c r="AM108" i="62"/>
  <c r="AM109" i="62"/>
  <c r="AM110" i="62"/>
  <c r="AM111" i="62"/>
  <c r="AM112" i="62"/>
  <c r="AM113" i="62"/>
  <c r="AM114" i="62"/>
  <c r="AM115" i="62"/>
  <c r="AM116" i="62"/>
  <c r="AM117" i="62"/>
  <c r="AM118" i="62"/>
  <c r="AM119" i="62"/>
  <c r="AM120" i="62"/>
  <c r="AM121" i="62"/>
  <c r="AM122" i="62"/>
  <c r="AM123" i="62"/>
  <c r="AM124" i="62"/>
  <c r="AM125" i="62"/>
  <c r="AM126" i="62"/>
  <c r="AM127" i="62"/>
  <c r="AM128" i="62"/>
  <c r="AM129" i="62"/>
  <c r="AM130" i="62"/>
  <c r="AM131" i="62"/>
  <c r="AM132" i="62"/>
  <c r="AM133" i="62"/>
  <c r="AM134" i="62"/>
  <c r="AM135" i="62"/>
  <c r="AM136" i="62"/>
  <c r="AM137" i="62"/>
  <c r="AM138" i="62"/>
  <c r="AM139" i="62"/>
  <c r="AM140" i="62"/>
  <c r="AM141" i="62"/>
  <c r="AM142" i="62"/>
  <c r="AM143" i="62"/>
  <c r="AM144" i="62"/>
  <c r="AM145" i="62"/>
  <c r="AM146" i="62"/>
  <c r="AM147" i="62"/>
  <c r="AM148" i="62"/>
  <c r="AM149" i="62"/>
  <c r="AM150" i="62"/>
  <c r="AM151" i="62"/>
  <c r="AM152" i="62"/>
  <c r="AM153" i="62"/>
  <c r="AM154" i="62"/>
  <c r="AM155" i="62"/>
  <c r="AM156" i="62"/>
  <c r="AM157" i="62"/>
  <c r="AM158" i="62"/>
  <c r="AM159" i="62"/>
  <c r="AM160" i="62"/>
  <c r="AM161" i="62"/>
  <c r="AM162" i="62"/>
  <c r="AM163" i="62"/>
  <c r="AM164" i="62"/>
  <c r="AM165" i="62"/>
  <c r="AM166" i="62"/>
  <c r="AM167" i="62"/>
  <c r="AM168" i="62"/>
  <c r="AM169" i="62"/>
  <c r="AM170" i="62"/>
  <c r="AM171" i="62"/>
  <c r="AM172" i="62"/>
  <c r="AM173" i="62"/>
  <c r="AM174" i="62"/>
  <c r="AM175" i="62"/>
  <c r="AM176" i="62"/>
  <c r="AM177" i="62"/>
  <c r="AM178" i="62"/>
  <c r="AM179" i="62"/>
  <c r="AM180" i="62"/>
  <c r="AM181" i="62"/>
  <c r="AM182" i="62"/>
  <c r="AM183" i="62"/>
  <c r="AM184" i="62"/>
  <c r="AM185" i="62"/>
  <c r="AM186" i="62"/>
  <c r="AM187" i="62"/>
  <c r="AM188" i="62"/>
  <c r="AM189" i="62"/>
  <c r="AM190" i="62"/>
  <c r="AM191" i="62"/>
  <c r="AM192" i="62"/>
  <c r="AM193" i="62"/>
  <c r="AM194" i="62"/>
  <c r="AM195" i="62"/>
  <c r="AM196" i="62"/>
  <c r="AM197" i="62"/>
  <c r="AM198" i="62"/>
  <c r="AM199" i="62"/>
  <c r="AM200" i="62"/>
  <c r="AM201" i="62"/>
  <c r="AM202" i="62"/>
  <c r="AM203" i="62"/>
  <c r="AM204" i="62"/>
  <c r="AM205" i="62"/>
  <c r="AM206" i="62"/>
  <c r="AM207" i="62"/>
  <c r="AM208" i="62"/>
  <c r="AM209" i="62"/>
  <c r="AM210" i="62"/>
  <c r="AM211" i="62"/>
  <c r="AM212" i="62"/>
  <c r="AM213" i="62"/>
  <c r="AM214" i="62"/>
  <c r="AM215" i="62"/>
  <c r="AM216" i="62"/>
  <c r="AM217" i="62"/>
  <c r="AM218" i="62"/>
  <c r="AM219" i="62"/>
  <c r="AM220" i="62"/>
  <c r="AM221" i="62"/>
  <c r="AM222" i="62"/>
  <c r="AM223" i="62"/>
  <c r="AM224" i="62"/>
  <c r="AM225" i="62"/>
  <c r="AM226" i="62"/>
  <c r="AM227" i="62"/>
  <c r="AM228" i="62"/>
  <c r="AM229" i="62"/>
  <c r="AM230" i="62"/>
  <c r="AM231" i="62"/>
  <c r="AM232" i="62"/>
  <c r="AM233" i="62"/>
  <c r="AM234" i="62"/>
  <c r="AM235" i="62"/>
  <c r="AM236" i="62"/>
  <c r="AM237" i="62"/>
  <c r="AM238" i="62"/>
  <c r="AM239" i="62"/>
  <c r="AM240" i="62"/>
  <c r="AM241" i="62"/>
  <c r="AM242" i="62"/>
  <c r="AM243" i="62"/>
  <c r="AM244" i="62"/>
  <c r="AM245" i="62"/>
  <c r="AM246" i="62"/>
  <c r="AM247" i="62"/>
  <c r="AM248" i="62"/>
  <c r="AM249" i="62"/>
  <c r="AM250" i="62"/>
  <c r="AM251" i="62"/>
  <c r="AM252" i="62"/>
  <c r="AM253" i="62"/>
  <c r="AM254" i="62"/>
  <c r="AM255" i="62"/>
  <c r="AM256" i="62"/>
  <c r="AM257" i="62"/>
  <c r="AM258" i="62"/>
  <c r="AM259" i="62"/>
  <c r="AM260" i="62"/>
  <c r="AM261" i="62"/>
  <c r="AM262" i="62"/>
  <c r="AM263" i="62"/>
  <c r="AM264" i="62"/>
  <c r="AM265" i="62"/>
  <c r="AM266" i="62"/>
  <c r="AM267" i="62"/>
  <c r="AM268" i="62"/>
  <c r="AM269" i="62"/>
  <c r="AM270" i="62"/>
  <c r="AM271" i="62"/>
  <c r="AM272" i="62"/>
  <c r="AM273" i="62"/>
  <c r="AM274" i="62"/>
  <c r="AM275" i="62"/>
  <c r="AM276" i="62"/>
  <c r="AM277" i="62"/>
  <c r="AM278" i="62"/>
  <c r="AM279" i="62"/>
  <c r="AM280" i="62"/>
  <c r="AM281" i="62"/>
  <c r="AM282" i="62"/>
  <c r="AM283" i="62"/>
  <c r="AM284" i="62"/>
  <c r="AM285" i="62"/>
  <c r="AM286" i="62"/>
  <c r="AM287" i="62"/>
  <c r="AM288" i="62"/>
  <c r="AM289" i="62"/>
  <c r="AM290" i="62"/>
  <c r="AM291" i="62"/>
  <c r="AM292" i="62"/>
  <c r="AM293" i="62"/>
  <c r="AM294" i="62"/>
  <c r="AM295" i="62"/>
  <c r="AM296" i="62"/>
  <c r="AM297" i="62"/>
  <c r="AM298" i="62"/>
  <c r="AM299" i="62"/>
  <c r="AM300" i="62"/>
  <c r="AM301" i="62"/>
  <c r="AM302" i="62"/>
  <c r="AM303" i="62"/>
  <c r="AM304" i="62"/>
  <c r="AM305" i="62"/>
  <c r="AM306" i="62"/>
  <c r="AM307" i="62"/>
  <c r="AM308" i="62"/>
  <c r="AM309" i="62"/>
  <c r="AM310" i="62"/>
  <c r="AM311" i="62"/>
  <c r="AM312" i="62"/>
  <c r="AM313" i="62"/>
  <c r="AM314" i="62"/>
  <c r="AM315" i="62"/>
  <c r="AM316" i="62"/>
  <c r="AM317" i="62"/>
  <c r="AM318" i="62"/>
  <c r="AM319" i="62"/>
  <c r="AM320" i="62"/>
  <c r="AM321" i="62"/>
  <c r="AM322" i="62"/>
  <c r="AM323" i="62"/>
  <c r="AM324" i="62"/>
  <c r="AM325" i="62"/>
  <c r="AM326" i="62"/>
  <c r="AM327" i="62"/>
  <c r="AM328" i="62"/>
  <c r="AM329" i="62"/>
  <c r="AM330" i="62"/>
  <c r="AM331" i="62"/>
  <c r="AM332" i="62"/>
  <c r="AM333" i="62"/>
  <c r="AM334" i="62"/>
  <c r="AM335" i="62"/>
  <c r="AM336" i="62"/>
  <c r="AM337" i="62"/>
  <c r="AM338" i="62"/>
  <c r="AM339" i="62"/>
  <c r="AM340" i="62"/>
  <c r="AM341" i="62"/>
  <c r="AM342" i="62"/>
  <c r="AM343" i="62"/>
  <c r="AM344" i="62"/>
  <c r="AM345" i="62"/>
  <c r="AM346" i="62"/>
  <c r="AM347" i="62"/>
  <c r="AM348" i="62"/>
  <c r="AM349" i="62"/>
  <c r="AM350" i="62"/>
  <c r="AM351" i="62"/>
  <c r="AM352" i="62"/>
  <c r="AM353" i="62"/>
  <c r="AM354" i="62"/>
  <c r="AM355" i="62"/>
  <c r="AM356" i="62"/>
  <c r="AM357" i="62"/>
  <c r="AM358" i="62"/>
  <c r="AM359" i="62"/>
  <c r="AM360" i="62"/>
  <c r="AM361" i="62"/>
  <c r="AM362" i="62"/>
  <c r="AM363" i="62"/>
  <c r="AM364" i="62"/>
  <c r="AM365" i="62"/>
  <c r="AM366" i="62"/>
  <c r="AM367" i="62"/>
  <c r="AM368" i="62"/>
  <c r="AM369" i="62"/>
  <c r="AM370" i="62"/>
  <c r="AM371" i="62"/>
  <c r="AM372" i="62"/>
  <c r="AM373" i="62"/>
  <c r="AM374" i="62"/>
  <c r="AM375" i="62"/>
  <c r="AM376" i="62"/>
  <c r="AM377" i="62"/>
  <c r="AM378" i="62"/>
  <c r="AM379" i="62"/>
  <c r="AM380" i="62"/>
  <c r="AM381" i="62"/>
  <c r="AM382" i="62"/>
  <c r="AM383" i="62"/>
  <c r="AM384" i="62"/>
  <c r="AM385" i="62"/>
  <c r="AM386" i="62"/>
  <c r="AM387" i="62"/>
  <c r="AM388" i="62"/>
  <c r="AM389" i="62"/>
  <c r="AM390" i="62"/>
  <c r="AM391" i="62"/>
  <c r="AM392" i="62"/>
  <c r="AM393" i="62"/>
  <c r="AM394" i="62"/>
  <c r="AM395" i="62"/>
  <c r="AM396" i="62"/>
  <c r="AM397" i="62"/>
  <c r="AM398" i="62"/>
  <c r="AM399" i="62"/>
  <c r="AM400" i="62"/>
  <c r="AM401" i="62"/>
  <c r="AM402" i="62"/>
  <c r="AM403" i="62"/>
  <c r="AM404" i="62"/>
  <c r="AM405" i="62"/>
  <c r="AM406" i="62"/>
  <c r="AM407" i="62"/>
  <c r="AM408" i="62"/>
  <c r="AM409" i="62"/>
  <c r="AM410" i="62"/>
  <c r="AM411" i="62"/>
  <c r="AM412" i="62"/>
  <c r="AM413" i="62"/>
  <c r="AM414" i="62"/>
  <c r="AM415" i="62"/>
  <c r="AM416" i="62"/>
  <c r="AM417" i="62"/>
  <c r="AM418" i="62"/>
  <c r="AM419" i="62"/>
  <c r="AM420" i="62"/>
  <c r="AM421" i="62"/>
  <c r="AM422" i="62"/>
  <c r="AM423" i="62"/>
  <c r="AM424" i="62"/>
  <c r="AM425" i="62"/>
  <c r="AM426" i="62"/>
  <c r="AM427" i="62"/>
  <c r="AM428" i="62"/>
  <c r="AM429" i="62"/>
  <c r="AM430" i="62"/>
  <c r="AM431" i="62"/>
  <c r="AM432" i="62"/>
  <c r="AM433" i="62"/>
  <c r="AM434" i="62"/>
  <c r="AM435" i="62"/>
  <c r="AM436" i="62"/>
  <c r="AM437" i="62"/>
  <c r="AM438" i="62"/>
  <c r="AM439" i="62"/>
  <c r="AM440" i="62"/>
  <c r="AM441" i="62"/>
  <c r="AM442" i="62"/>
  <c r="AM443" i="62"/>
  <c r="AM444" i="62"/>
  <c r="AM445" i="62"/>
  <c r="AM446" i="62"/>
  <c r="AM447" i="62"/>
  <c r="AM448" i="62"/>
  <c r="AM449" i="62"/>
  <c r="AM450" i="62"/>
  <c r="AM451" i="62"/>
  <c r="AM452" i="62"/>
  <c r="AM453" i="62"/>
  <c r="AM454" i="62"/>
  <c r="AM455" i="62"/>
  <c r="AM456" i="62"/>
  <c r="AM457" i="62"/>
  <c r="AM458" i="62"/>
  <c r="AM459" i="62"/>
  <c r="AM460" i="62"/>
  <c r="AM461" i="62"/>
  <c r="AM462" i="62"/>
  <c r="AM463" i="62"/>
  <c r="AM464" i="62"/>
  <c r="AM465" i="62"/>
  <c r="AM466" i="62"/>
  <c r="AM467" i="62"/>
  <c r="AM468" i="62"/>
  <c r="AM469" i="62"/>
  <c r="AM470" i="62"/>
  <c r="AM471" i="62"/>
  <c r="AM472" i="62"/>
  <c r="AM473" i="62"/>
  <c r="AM474" i="62"/>
  <c r="AM475" i="62"/>
  <c r="AM476" i="62"/>
  <c r="AM477" i="62"/>
  <c r="AM478" i="62"/>
  <c r="AM479" i="62"/>
  <c r="AM480" i="62"/>
  <c r="AM481" i="62"/>
  <c r="AM482" i="62"/>
  <c r="AM483" i="62"/>
  <c r="AM484" i="62"/>
  <c r="AM485" i="62"/>
  <c r="AM486" i="62"/>
  <c r="AM487" i="62"/>
  <c r="AM488" i="62"/>
  <c r="AM489" i="62"/>
  <c r="AM490" i="62"/>
  <c r="AM491" i="62"/>
  <c r="AM492" i="62"/>
  <c r="AM493" i="62"/>
  <c r="AM494" i="62"/>
  <c r="AM495" i="62"/>
  <c r="AM496" i="62"/>
  <c r="AM497" i="62"/>
  <c r="AM498" i="62"/>
  <c r="AM499" i="62"/>
  <c r="AM500" i="62"/>
  <c r="AM501" i="62"/>
  <c r="AM502" i="62"/>
  <c r="AM503" i="62"/>
  <c r="AM504" i="62"/>
  <c r="AM505" i="62"/>
  <c r="AM506" i="62"/>
  <c r="AM507" i="62"/>
  <c r="AM508" i="62"/>
  <c r="AM509" i="62"/>
  <c r="AM510" i="62"/>
  <c r="AM511" i="62"/>
  <c r="AM512" i="62"/>
  <c r="AM513" i="62"/>
  <c r="AM514" i="62"/>
  <c r="AM515" i="62"/>
  <c r="AM516" i="62"/>
  <c r="AM517" i="62"/>
  <c r="AM518" i="62"/>
  <c r="AM519" i="62"/>
  <c r="AM520" i="62"/>
  <c r="AM521" i="62"/>
  <c r="AM522" i="62"/>
  <c r="AM523" i="62"/>
  <c r="AM524" i="62"/>
  <c r="AM525" i="62"/>
  <c r="AM526" i="62"/>
  <c r="AM527" i="62"/>
  <c r="AM528" i="62"/>
  <c r="AM529" i="62"/>
  <c r="AM530" i="62"/>
  <c r="AM531" i="62"/>
  <c r="AM532" i="62"/>
  <c r="AM533" i="62"/>
  <c r="AM534" i="62"/>
  <c r="AM535" i="62"/>
  <c r="AM536" i="62"/>
  <c r="AM537" i="62"/>
  <c r="AM538" i="62"/>
  <c r="AM539" i="62"/>
  <c r="AM540" i="62"/>
  <c r="AM541" i="62"/>
  <c r="AM542" i="62"/>
  <c r="AM543" i="62"/>
  <c r="AM544" i="62"/>
  <c r="AM545" i="62"/>
  <c r="AM546" i="62"/>
  <c r="AM547" i="62"/>
  <c r="AM548" i="62"/>
  <c r="AM549" i="62"/>
  <c r="AM550" i="62"/>
  <c r="AM551" i="62"/>
  <c r="AM552" i="62"/>
  <c r="AM553" i="62"/>
  <c r="AM554" i="62"/>
  <c r="AM555" i="62"/>
  <c r="AM556" i="62"/>
  <c r="AM557" i="62"/>
  <c r="AM558" i="62"/>
  <c r="AM559" i="62"/>
  <c r="AM560" i="62"/>
  <c r="AM561" i="62"/>
  <c r="AM562" i="62"/>
  <c r="AM563" i="62"/>
  <c r="AM564" i="62"/>
  <c r="AM565" i="62"/>
  <c r="AM566" i="62"/>
  <c r="AM567" i="62"/>
  <c r="AM568" i="62"/>
  <c r="AM569" i="62"/>
  <c r="AM570" i="62"/>
  <c r="AM571" i="62"/>
  <c r="AM572" i="62"/>
  <c r="AM573" i="62"/>
  <c r="AM574" i="62"/>
  <c r="AM575" i="62"/>
  <c r="AM576" i="62"/>
  <c r="AM577" i="62"/>
  <c r="AM578" i="62"/>
  <c r="AM579" i="62"/>
  <c r="AM580" i="62"/>
  <c r="AM581" i="62"/>
  <c r="AM582" i="62"/>
  <c r="AM583" i="62"/>
  <c r="AM584" i="62"/>
  <c r="AM585" i="62"/>
  <c r="AM586" i="62"/>
  <c r="AM587" i="62"/>
  <c r="AM588" i="62"/>
  <c r="AM589" i="62"/>
  <c r="AM590" i="62"/>
  <c r="AM591" i="62"/>
  <c r="AM592" i="62"/>
  <c r="AM593" i="62"/>
  <c r="AM594" i="62"/>
  <c r="AM595" i="62"/>
  <c r="AM596" i="62"/>
  <c r="AM597" i="62"/>
  <c r="AM598" i="62"/>
  <c r="AM599" i="62"/>
  <c r="AM600" i="62"/>
  <c r="AM601" i="62"/>
  <c r="AM602" i="62"/>
  <c r="AM603" i="62"/>
  <c r="AM604" i="62"/>
  <c r="AM605" i="62"/>
  <c r="AM606" i="62"/>
  <c r="AM607" i="62"/>
  <c r="AM608" i="62"/>
  <c r="AM609" i="62"/>
  <c r="AM610" i="62"/>
  <c r="AM611" i="62"/>
  <c r="AM612" i="62"/>
  <c r="AM613" i="62"/>
  <c r="AM614" i="62"/>
  <c r="AM615" i="62"/>
  <c r="AM616" i="62"/>
  <c r="AM617" i="62"/>
  <c r="AM618" i="62"/>
  <c r="AM619" i="62"/>
  <c r="AM620" i="62"/>
  <c r="AM621" i="62"/>
  <c r="AM622" i="62"/>
  <c r="AM623" i="62"/>
  <c r="AM624" i="62"/>
  <c r="AM625" i="62"/>
  <c r="AM626" i="62"/>
  <c r="AM627" i="62"/>
  <c r="AM628" i="62"/>
  <c r="AM629" i="62"/>
  <c r="AM630" i="62"/>
  <c r="AM631" i="62"/>
  <c r="AM632" i="62"/>
  <c r="AM633" i="62"/>
  <c r="AM634" i="62"/>
  <c r="AM635" i="62"/>
  <c r="AM636" i="62"/>
  <c r="AM637" i="62"/>
  <c r="AM638" i="62"/>
  <c r="AM639" i="62"/>
  <c r="AM640" i="62"/>
  <c r="AM641" i="62"/>
  <c r="AM642" i="62"/>
  <c r="AM643" i="62"/>
  <c r="AM644" i="62"/>
  <c r="AM645" i="62"/>
  <c r="AM646" i="62"/>
  <c r="AM647" i="62"/>
  <c r="AM648" i="62"/>
  <c r="AM649" i="62"/>
  <c r="AM650" i="62"/>
  <c r="AM651" i="62"/>
  <c r="AM652" i="62"/>
  <c r="AM653" i="62"/>
  <c r="AM654" i="62"/>
  <c r="AM655" i="62"/>
  <c r="AM656" i="62"/>
  <c r="AM657" i="62"/>
  <c r="AM658" i="62"/>
  <c r="AM659" i="62"/>
  <c r="AM660" i="62"/>
  <c r="AM661" i="62"/>
  <c r="AM662" i="62"/>
  <c r="AM663" i="62"/>
  <c r="AM664" i="62"/>
  <c r="AM665" i="62"/>
  <c r="AM666" i="62"/>
  <c r="AM667" i="62"/>
  <c r="AM668" i="62"/>
  <c r="AM669" i="62"/>
  <c r="AM670" i="62"/>
  <c r="AM671" i="62"/>
  <c r="AM672" i="62"/>
  <c r="AM673" i="62"/>
  <c r="AL7" i="62"/>
  <c r="AL8" i="62"/>
  <c r="AL9" i="62"/>
  <c r="AL10" i="62"/>
  <c r="AL11" i="62"/>
  <c r="AL12" i="62"/>
  <c r="AL13" i="62"/>
  <c r="AL14" i="62"/>
  <c r="AL15" i="62"/>
  <c r="AL16" i="62"/>
  <c r="AL17" i="62"/>
  <c r="AL18" i="62"/>
  <c r="AL19" i="62"/>
  <c r="AL20" i="62"/>
  <c r="AL21" i="62"/>
  <c r="AL22" i="62"/>
  <c r="AL23" i="62"/>
  <c r="AL24" i="62"/>
  <c r="AL25" i="62"/>
  <c r="AL26" i="62"/>
  <c r="AL27" i="62"/>
  <c r="AL28" i="62"/>
  <c r="AL29" i="62"/>
  <c r="AL30" i="62"/>
  <c r="AL31" i="62"/>
  <c r="AL32" i="62"/>
  <c r="AL33" i="62"/>
  <c r="AL34" i="62"/>
  <c r="AL35" i="62"/>
  <c r="AL36" i="62"/>
  <c r="AL37" i="62"/>
  <c r="AL38" i="62"/>
  <c r="AL39" i="62"/>
  <c r="AL40" i="62"/>
  <c r="AL41" i="62"/>
  <c r="AL42" i="62"/>
  <c r="AL43" i="62"/>
  <c r="AL44" i="62"/>
  <c r="AL45" i="62"/>
  <c r="AL46" i="62"/>
  <c r="AL47" i="62"/>
  <c r="AL48" i="62"/>
  <c r="AL49" i="62"/>
  <c r="AL50" i="62"/>
  <c r="AL51" i="62"/>
  <c r="AL52" i="62"/>
  <c r="AL53" i="62"/>
  <c r="AL54" i="62"/>
  <c r="AL55" i="62"/>
  <c r="AL56" i="62"/>
  <c r="AL57" i="62"/>
  <c r="AL58" i="62"/>
  <c r="AL59" i="62"/>
  <c r="AL60" i="62"/>
  <c r="AL61" i="62"/>
  <c r="AL62" i="62"/>
  <c r="AL63" i="62"/>
  <c r="AL64" i="62"/>
  <c r="AL65" i="62"/>
  <c r="AL66" i="62"/>
  <c r="AL67" i="62"/>
  <c r="AL68" i="62"/>
  <c r="AL69" i="62"/>
  <c r="AL70" i="62"/>
  <c r="AL71" i="62"/>
  <c r="AL72" i="62"/>
  <c r="AL73" i="62"/>
  <c r="AL74" i="62"/>
  <c r="AL75" i="62"/>
  <c r="AL76" i="62"/>
  <c r="AL77" i="62"/>
  <c r="AL78" i="62"/>
  <c r="AL79" i="62"/>
  <c r="AL80" i="62"/>
  <c r="AL81" i="62"/>
  <c r="AL82" i="62"/>
  <c r="AL83" i="62"/>
  <c r="AL84" i="62"/>
  <c r="AL85" i="62"/>
  <c r="AL86" i="62"/>
  <c r="AL87" i="62"/>
  <c r="AL88" i="62"/>
  <c r="AL89" i="62"/>
  <c r="AL90" i="62"/>
  <c r="AL91" i="62"/>
  <c r="AL92" i="62"/>
  <c r="AL93" i="62"/>
  <c r="AL94" i="62"/>
  <c r="AL95" i="62"/>
  <c r="AL96" i="62"/>
  <c r="AL97" i="62"/>
  <c r="AL98" i="62"/>
  <c r="AL99" i="62"/>
  <c r="AL100" i="62"/>
  <c r="AL101" i="62"/>
  <c r="AL102" i="62"/>
  <c r="AL103" i="62"/>
  <c r="AL104" i="62"/>
  <c r="AL105" i="62"/>
  <c r="AL106" i="62"/>
  <c r="AL107" i="62"/>
  <c r="AL108" i="62"/>
  <c r="AL109" i="62"/>
  <c r="AL110" i="62"/>
  <c r="AL111" i="62"/>
  <c r="AL112" i="62"/>
  <c r="AL113" i="62"/>
  <c r="AL114" i="62"/>
  <c r="AL115" i="62"/>
  <c r="AL116" i="62"/>
  <c r="AL117" i="62"/>
  <c r="AL118" i="62"/>
  <c r="AL119" i="62"/>
  <c r="AL120" i="62"/>
  <c r="AL121" i="62"/>
  <c r="AL122" i="62"/>
  <c r="AL123" i="62"/>
  <c r="AL124" i="62"/>
  <c r="AL125" i="62"/>
  <c r="AL126" i="62"/>
  <c r="AL127" i="62"/>
  <c r="AL128" i="62"/>
  <c r="AL129" i="62"/>
  <c r="AL130" i="62"/>
  <c r="AL131" i="62"/>
  <c r="AL132" i="62"/>
  <c r="AL133" i="62"/>
  <c r="AL134" i="62"/>
  <c r="AL135" i="62"/>
  <c r="AL136" i="62"/>
  <c r="AL137" i="62"/>
  <c r="AL138" i="62"/>
  <c r="AL139" i="62"/>
  <c r="AL140" i="62"/>
  <c r="AL141" i="62"/>
  <c r="AL142" i="62"/>
  <c r="AL143" i="62"/>
  <c r="AL144" i="62"/>
  <c r="AL145" i="62"/>
  <c r="AL146" i="62"/>
  <c r="AL147" i="62"/>
  <c r="AL148" i="62"/>
  <c r="AL149" i="62"/>
  <c r="AL150" i="62"/>
  <c r="AL151" i="62"/>
  <c r="AL152" i="62"/>
  <c r="AL153" i="62"/>
  <c r="AL154" i="62"/>
  <c r="AL155" i="62"/>
  <c r="AL156" i="62"/>
  <c r="AL157" i="62"/>
  <c r="AL158" i="62"/>
  <c r="AL159" i="62"/>
  <c r="AL160" i="62"/>
  <c r="AL161" i="62"/>
  <c r="AL162" i="62"/>
  <c r="AL163" i="62"/>
  <c r="AL164" i="62"/>
  <c r="AL165" i="62"/>
  <c r="AL166" i="62"/>
  <c r="AL167" i="62"/>
  <c r="AL168" i="62"/>
  <c r="AL169" i="62"/>
  <c r="AL170" i="62"/>
  <c r="AL171" i="62"/>
  <c r="AL172" i="62"/>
  <c r="AL173" i="62"/>
  <c r="AL174" i="62"/>
  <c r="AL175" i="62"/>
  <c r="AL176" i="62"/>
  <c r="AL177" i="62"/>
  <c r="AL178" i="62"/>
  <c r="AL179" i="62"/>
  <c r="AL180" i="62"/>
  <c r="AL181" i="62"/>
  <c r="AL182" i="62"/>
  <c r="AL183" i="62"/>
  <c r="AL184" i="62"/>
  <c r="AL185" i="62"/>
  <c r="AL186" i="62"/>
  <c r="AL187" i="62"/>
  <c r="AL188" i="62"/>
  <c r="AL189" i="62"/>
  <c r="AL190" i="62"/>
  <c r="AL191" i="62"/>
  <c r="AL192" i="62"/>
  <c r="AL193" i="62"/>
  <c r="AL194" i="62"/>
  <c r="AL195" i="62"/>
  <c r="AL196" i="62"/>
  <c r="AL197" i="62"/>
  <c r="AL198" i="62"/>
  <c r="AL199" i="62"/>
  <c r="AL200" i="62"/>
  <c r="AL201" i="62"/>
  <c r="AL202" i="62"/>
  <c r="AL203" i="62"/>
  <c r="AL204" i="62"/>
  <c r="AL205" i="62"/>
  <c r="AL206" i="62"/>
  <c r="AL207" i="62"/>
  <c r="AL208" i="62"/>
  <c r="AL209" i="62"/>
  <c r="AL210" i="62"/>
  <c r="AL211" i="62"/>
  <c r="AL212" i="62"/>
  <c r="AL213" i="62"/>
  <c r="AL214" i="62"/>
  <c r="AL215" i="62"/>
  <c r="AL216" i="62"/>
  <c r="AL217" i="62"/>
  <c r="AL218" i="62"/>
  <c r="AL219" i="62"/>
  <c r="AL220" i="62"/>
  <c r="AL221" i="62"/>
  <c r="AL222" i="62"/>
  <c r="AL223" i="62"/>
  <c r="AL224" i="62"/>
  <c r="AL225" i="62"/>
  <c r="AL226" i="62"/>
  <c r="AL227" i="62"/>
  <c r="AL228" i="62"/>
  <c r="AL229" i="62"/>
  <c r="AL230" i="62"/>
  <c r="AL231" i="62"/>
  <c r="AL232" i="62"/>
  <c r="AL233" i="62"/>
  <c r="AL234" i="62"/>
  <c r="AL235" i="62"/>
  <c r="AL236" i="62"/>
  <c r="AL237" i="62"/>
  <c r="AL238" i="62"/>
  <c r="AL239" i="62"/>
  <c r="AL240" i="62"/>
  <c r="AL241" i="62"/>
  <c r="AL242" i="62"/>
  <c r="AL243" i="62"/>
  <c r="AL244" i="62"/>
  <c r="AL245" i="62"/>
  <c r="AL246" i="62"/>
  <c r="AL247" i="62"/>
  <c r="AL248" i="62"/>
  <c r="AL249" i="62"/>
  <c r="AL250" i="62"/>
  <c r="AL251" i="62"/>
  <c r="AL252" i="62"/>
  <c r="AL253" i="62"/>
  <c r="AL254" i="62"/>
  <c r="AL255" i="62"/>
  <c r="AL256" i="62"/>
  <c r="AL257" i="62"/>
  <c r="AL258" i="62"/>
  <c r="AL259" i="62"/>
  <c r="AL260" i="62"/>
  <c r="AL261" i="62"/>
  <c r="AL262" i="62"/>
  <c r="AL263" i="62"/>
  <c r="AL264" i="62"/>
  <c r="AL265" i="62"/>
  <c r="AL266" i="62"/>
  <c r="AL267" i="62"/>
  <c r="AL268" i="62"/>
  <c r="AL269" i="62"/>
  <c r="AL270" i="62"/>
  <c r="AL271" i="62"/>
  <c r="AL272" i="62"/>
  <c r="AL273" i="62"/>
  <c r="AL274" i="62"/>
  <c r="AL275" i="62"/>
  <c r="AL276" i="62"/>
  <c r="AL277" i="62"/>
  <c r="AL278" i="62"/>
  <c r="AL279" i="62"/>
  <c r="AL280" i="62"/>
  <c r="AL281" i="62"/>
  <c r="AL282" i="62"/>
  <c r="AL283" i="62"/>
  <c r="AL284" i="62"/>
  <c r="AL285" i="62"/>
  <c r="AL286" i="62"/>
  <c r="AL287" i="62"/>
  <c r="AL288" i="62"/>
  <c r="AL289" i="62"/>
  <c r="AL290" i="62"/>
  <c r="AL291" i="62"/>
  <c r="AL292" i="62"/>
  <c r="AL293" i="62"/>
  <c r="AL294" i="62"/>
  <c r="AL295" i="62"/>
  <c r="AL296" i="62"/>
  <c r="AL297" i="62"/>
  <c r="AL298" i="62"/>
  <c r="AL299" i="62"/>
  <c r="AL300" i="62"/>
  <c r="AL301" i="62"/>
  <c r="AL302" i="62"/>
  <c r="AL303" i="62"/>
  <c r="AL304" i="62"/>
  <c r="AL305" i="62"/>
  <c r="AL306" i="62"/>
  <c r="AL307" i="62"/>
  <c r="AL308" i="62"/>
  <c r="AL309" i="62"/>
  <c r="AL310" i="62"/>
  <c r="AL311" i="62"/>
  <c r="AL312" i="62"/>
  <c r="AL313" i="62"/>
  <c r="AL314" i="62"/>
  <c r="AL315" i="62"/>
  <c r="AL316" i="62"/>
  <c r="AL317" i="62"/>
  <c r="AL318" i="62"/>
  <c r="AL319" i="62"/>
  <c r="AL320" i="62"/>
  <c r="AL321" i="62"/>
  <c r="AL322" i="62"/>
  <c r="AL323" i="62"/>
  <c r="AL324" i="62"/>
  <c r="AL325" i="62"/>
  <c r="AL326" i="62"/>
  <c r="AL327" i="62"/>
  <c r="AL328" i="62"/>
  <c r="AL329" i="62"/>
  <c r="AL330" i="62"/>
  <c r="AL331" i="62"/>
  <c r="AL332" i="62"/>
  <c r="AL333" i="62"/>
  <c r="AL334" i="62"/>
  <c r="AL335" i="62"/>
  <c r="AL336" i="62"/>
  <c r="AL337" i="62"/>
  <c r="AL338" i="62"/>
  <c r="AL339" i="62"/>
  <c r="AL340" i="62"/>
  <c r="AL341" i="62"/>
  <c r="AL342" i="62"/>
  <c r="AL343" i="62"/>
  <c r="AL344" i="62"/>
  <c r="AL345" i="62"/>
  <c r="AL346" i="62"/>
  <c r="AL347" i="62"/>
  <c r="AL348" i="62"/>
  <c r="AL349" i="62"/>
  <c r="AL350" i="62"/>
  <c r="AL351" i="62"/>
  <c r="AL352" i="62"/>
  <c r="AL353" i="62"/>
  <c r="AL354" i="62"/>
  <c r="AL355" i="62"/>
  <c r="AL356" i="62"/>
  <c r="AL357" i="62"/>
  <c r="AL358" i="62"/>
  <c r="AL359" i="62"/>
  <c r="AL360" i="62"/>
  <c r="AL361" i="62"/>
  <c r="AL362" i="62"/>
  <c r="AL363" i="62"/>
  <c r="AL364" i="62"/>
  <c r="AL365" i="62"/>
  <c r="AL366" i="62"/>
  <c r="AL367" i="62"/>
  <c r="AL368" i="62"/>
  <c r="AL369" i="62"/>
  <c r="AL370" i="62"/>
  <c r="AL371" i="62"/>
  <c r="AL372" i="62"/>
  <c r="AL373" i="62"/>
  <c r="AL374" i="62"/>
  <c r="AL375" i="62"/>
  <c r="AL376" i="62"/>
  <c r="AL377" i="62"/>
  <c r="AL378" i="62"/>
  <c r="AL379" i="62"/>
  <c r="AL380" i="62"/>
  <c r="AL381" i="62"/>
  <c r="AL382" i="62"/>
  <c r="AL383" i="62"/>
  <c r="AL384" i="62"/>
  <c r="AL385" i="62"/>
  <c r="AL386" i="62"/>
  <c r="AL387" i="62"/>
  <c r="AL388" i="62"/>
  <c r="AL389" i="62"/>
  <c r="AL390" i="62"/>
  <c r="AL391" i="62"/>
  <c r="AL392" i="62"/>
  <c r="AL393" i="62"/>
  <c r="AL394" i="62"/>
  <c r="AL395" i="62"/>
  <c r="AL396" i="62"/>
  <c r="AL397" i="62"/>
  <c r="AL398" i="62"/>
  <c r="AL399" i="62"/>
  <c r="AL400" i="62"/>
  <c r="AL401" i="62"/>
  <c r="AL402" i="62"/>
  <c r="AL403" i="62"/>
  <c r="AL404" i="62"/>
  <c r="AL405" i="62"/>
  <c r="AL406" i="62"/>
  <c r="AL407" i="62"/>
  <c r="AL408" i="62"/>
  <c r="AL409" i="62"/>
  <c r="AL410" i="62"/>
  <c r="AL411" i="62"/>
  <c r="AL412" i="62"/>
  <c r="AL413" i="62"/>
  <c r="AL414" i="62"/>
  <c r="AL415" i="62"/>
  <c r="AL416" i="62"/>
  <c r="AL417" i="62"/>
  <c r="AL418" i="62"/>
  <c r="AL419" i="62"/>
  <c r="AL420" i="62"/>
  <c r="AL421" i="62"/>
  <c r="AL422" i="62"/>
  <c r="AL423" i="62"/>
  <c r="AL424" i="62"/>
  <c r="AL425" i="62"/>
  <c r="AL426" i="62"/>
  <c r="AL427" i="62"/>
  <c r="AL428" i="62"/>
  <c r="AL429" i="62"/>
  <c r="AL430" i="62"/>
  <c r="AL431" i="62"/>
  <c r="AL432" i="62"/>
  <c r="AL433" i="62"/>
  <c r="AL434" i="62"/>
  <c r="AL435" i="62"/>
  <c r="AL436" i="62"/>
  <c r="AL437" i="62"/>
  <c r="AL438" i="62"/>
  <c r="AL439" i="62"/>
  <c r="AL440" i="62"/>
  <c r="AL441" i="62"/>
  <c r="AL442" i="62"/>
  <c r="AL443" i="62"/>
  <c r="AL444" i="62"/>
  <c r="AL445" i="62"/>
  <c r="AL446" i="62"/>
  <c r="AL447" i="62"/>
  <c r="AL448" i="62"/>
  <c r="AL449" i="62"/>
  <c r="AL450" i="62"/>
  <c r="AL451" i="62"/>
  <c r="AL452" i="62"/>
  <c r="AL453" i="62"/>
  <c r="AL454" i="62"/>
  <c r="AL455" i="62"/>
  <c r="AL456" i="62"/>
  <c r="AL457" i="62"/>
  <c r="AL458" i="62"/>
  <c r="AL459" i="62"/>
  <c r="AL460" i="62"/>
  <c r="AL461" i="62"/>
  <c r="AL462" i="62"/>
  <c r="AL463" i="62"/>
  <c r="AL464" i="62"/>
  <c r="AL465" i="62"/>
  <c r="AL466" i="62"/>
  <c r="AL467" i="62"/>
  <c r="AL468" i="62"/>
  <c r="AL469" i="62"/>
  <c r="AL470" i="62"/>
  <c r="AL471" i="62"/>
  <c r="AL472" i="62"/>
  <c r="AL473" i="62"/>
  <c r="AL474" i="62"/>
  <c r="AL475" i="62"/>
  <c r="AL476" i="62"/>
  <c r="AL477" i="62"/>
  <c r="AL478" i="62"/>
  <c r="AL479" i="62"/>
  <c r="AL480" i="62"/>
  <c r="AL481" i="62"/>
  <c r="AL482" i="62"/>
  <c r="AL483" i="62"/>
  <c r="AL484" i="62"/>
  <c r="AL485" i="62"/>
  <c r="AL486" i="62"/>
  <c r="AL487" i="62"/>
  <c r="AL488" i="62"/>
  <c r="AL489" i="62"/>
  <c r="AL490" i="62"/>
  <c r="AL491" i="62"/>
  <c r="AL492" i="62"/>
  <c r="AL493" i="62"/>
  <c r="AL494" i="62"/>
  <c r="AL495" i="62"/>
  <c r="AL496" i="62"/>
  <c r="AL497" i="62"/>
  <c r="AL498" i="62"/>
  <c r="AL499" i="62"/>
  <c r="AL500" i="62"/>
  <c r="AL501" i="62"/>
  <c r="AL502" i="62"/>
  <c r="AL503" i="62"/>
  <c r="AL504" i="62"/>
  <c r="AL505" i="62"/>
  <c r="AL506" i="62"/>
  <c r="AL507" i="62"/>
  <c r="AL508" i="62"/>
  <c r="AL509" i="62"/>
  <c r="AL510" i="62"/>
  <c r="AL511" i="62"/>
  <c r="AL512" i="62"/>
  <c r="AL513" i="62"/>
  <c r="AL514" i="62"/>
  <c r="AL515" i="62"/>
  <c r="AL516" i="62"/>
  <c r="AL517" i="62"/>
  <c r="AL518" i="62"/>
  <c r="AL519" i="62"/>
  <c r="AL520" i="62"/>
  <c r="AL521" i="62"/>
  <c r="AL522" i="62"/>
  <c r="AL523" i="62"/>
  <c r="AL524" i="62"/>
  <c r="AL525" i="62"/>
  <c r="AL526" i="62"/>
  <c r="AL527" i="62"/>
  <c r="AL528" i="62"/>
  <c r="AL529" i="62"/>
  <c r="AL530" i="62"/>
  <c r="AL531" i="62"/>
  <c r="AL532" i="62"/>
  <c r="AL533" i="62"/>
  <c r="AL534" i="62"/>
  <c r="AL535" i="62"/>
  <c r="AL536" i="62"/>
  <c r="AL537" i="62"/>
  <c r="AL538" i="62"/>
  <c r="AL539" i="62"/>
  <c r="AL540" i="62"/>
  <c r="AL541" i="62"/>
  <c r="AL542" i="62"/>
  <c r="AL543" i="62"/>
  <c r="AL544" i="62"/>
  <c r="AL545" i="62"/>
  <c r="AL546" i="62"/>
  <c r="AL547" i="62"/>
  <c r="AL548" i="62"/>
  <c r="AL549" i="62"/>
  <c r="AL550" i="62"/>
  <c r="AL551" i="62"/>
  <c r="AL552" i="62"/>
  <c r="AL553" i="62"/>
  <c r="AL554" i="62"/>
  <c r="AL555" i="62"/>
  <c r="AL556" i="62"/>
  <c r="AL557" i="62"/>
  <c r="AL558" i="62"/>
  <c r="AL559" i="62"/>
  <c r="AL560" i="62"/>
  <c r="AL561" i="62"/>
  <c r="AL562" i="62"/>
  <c r="AL563" i="62"/>
  <c r="AL564" i="62"/>
  <c r="AL565" i="62"/>
  <c r="AL566" i="62"/>
  <c r="AL567" i="62"/>
  <c r="AL568" i="62"/>
  <c r="AL569" i="62"/>
  <c r="AL570" i="62"/>
  <c r="AL571" i="62"/>
  <c r="AL572" i="62"/>
  <c r="AL573" i="62"/>
  <c r="AL574" i="62"/>
  <c r="AL575" i="62"/>
  <c r="AL576" i="62"/>
  <c r="AL577" i="62"/>
  <c r="AL578" i="62"/>
  <c r="AL579" i="62"/>
  <c r="AL580" i="62"/>
  <c r="AL581" i="62"/>
  <c r="AL582" i="62"/>
  <c r="AL583" i="62"/>
  <c r="AL584" i="62"/>
  <c r="AL585" i="62"/>
  <c r="AL586" i="62"/>
  <c r="AL587" i="62"/>
  <c r="AL588" i="62"/>
  <c r="AL589" i="62"/>
  <c r="AL590" i="62"/>
  <c r="AL591" i="62"/>
  <c r="AL592" i="62"/>
  <c r="AL593" i="62"/>
  <c r="AL594" i="62"/>
  <c r="AL595" i="62"/>
  <c r="AL596" i="62"/>
  <c r="AL597" i="62"/>
  <c r="AL598" i="62"/>
  <c r="AL599" i="62"/>
  <c r="AL600" i="62"/>
  <c r="AL601" i="62"/>
  <c r="AL602" i="62"/>
  <c r="AL603" i="62"/>
  <c r="AL604" i="62"/>
  <c r="AL605" i="62"/>
  <c r="AL606" i="62"/>
  <c r="AL607" i="62"/>
  <c r="AL608" i="62"/>
  <c r="AL609" i="62"/>
  <c r="AL610" i="62"/>
  <c r="AL611" i="62"/>
  <c r="AL612" i="62"/>
  <c r="AL613" i="62"/>
  <c r="AL614" i="62"/>
  <c r="AL615" i="62"/>
  <c r="AL616" i="62"/>
  <c r="AL617" i="62"/>
  <c r="AL618" i="62"/>
  <c r="AL619" i="62"/>
  <c r="AL620" i="62"/>
  <c r="AL621" i="62"/>
  <c r="AL622" i="62"/>
  <c r="AL623" i="62"/>
  <c r="AL624" i="62"/>
  <c r="AL625" i="62"/>
  <c r="AL626" i="62"/>
  <c r="AL627" i="62"/>
  <c r="AL628" i="62"/>
  <c r="AL629" i="62"/>
  <c r="AL630" i="62"/>
  <c r="AL631" i="62"/>
  <c r="AL632" i="62"/>
  <c r="AL633" i="62"/>
  <c r="AL634" i="62"/>
  <c r="AL635" i="62"/>
  <c r="AL636" i="62"/>
  <c r="AL637" i="62"/>
  <c r="AL638" i="62"/>
  <c r="AL639" i="62"/>
  <c r="AL640" i="62"/>
  <c r="AL641" i="62"/>
  <c r="AL642" i="62"/>
  <c r="AL643" i="62"/>
  <c r="AL644" i="62"/>
  <c r="AL645" i="62"/>
  <c r="AL646" i="62"/>
  <c r="AL647" i="62"/>
  <c r="AL648" i="62"/>
  <c r="AL649" i="62"/>
  <c r="AL650" i="62"/>
  <c r="AL651" i="62"/>
  <c r="AL652" i="62"/>
  <c r="AL653" i="62"/>
  <c r="AL654" i="62"/>
  <c r="AL655" i="62"/>
  <c r="AL656" i="62"/>
  <c r="AL657" i="62"/>
  <c r="AL658" i="62"/>
  <c r="AL659" i="62"/>
  <c r="AL660" i="62"/>
  <c r="AL661" i="62"/>
  <c r="AL662" i="62"/>
  <c r="AL663" i="62"/>
  <c r="AL664" i="62"/>
  <c r="AL665" i="62"/>
  <c r="AL666" i="62"/>
  <c r="AL667" i="62"/>
  <c r="AL668" i="62"/>
  <c r="AL669" i="62"/>
  <c r="AL670" i="62"/>
  <c r="AL671" i="62"/>
  <c r="AL672" i="62"/>
  <c r="AL673" i="62"/>
  <c r="AJ7" i="62"/>
  <c r="AK7" i="62" s="1"/>
  <c r="AJ8" i="62"/>
  <c r="AK8" i="62" s="1"/>
  <c r="AJ9" i="62"/>
  <c r="AK9" i="62" s="1"/>
  <c r="AJ10" i="62"/>
  <c r="AK10" i="62" s="1"/>
  <c r="AJ11" i="62"/>
  <c r="AK11" i="62" s="1"/>
  <c r="AJ12" i="62"/>
  <c r="AK12" i="62" s="1"/>
  <c r="AJ13" i="62"/>
  <c r="AK13" i="62" s="1"/>
  <c r="AJ14" i="62"/>
  <c r="AK14" i="62" s="1"/>
  <c r="AJ15" i="62"/>
  <c r="AK15" i="62" s="1"/>
  <c r="AJ16" i="62"/>
  <c r="AK16" i="62" s="1"/>
  <c r="AJ17" i="62"/>
  <c r="AK17" i="62" s="1"/>
  <c r="AJ18" i="62"/>
  <c r="AK18" i="62" s="1"/>
  <c r="AJ19" i="62"/>
  <c r="AK19" i="62" s="1"/>
  <c r="AJ20" i="62"/>
  <c r="AK20" i="62" s="1"/>
  <c r="AJ21" i="62"/>
  <c r="AK21" i="62" s="1"/>
  <c r="AJ22" i="62"/>
  <c r="AK22" i="62" s="1"/>
  <c r="AJ23" i="62"/>
  <c r="AK23" i="62" s="1"/>
  <c r="AJ24" i="62"/>
  <c r="AK24" i="62" s="1"/>
  <c r="AJ25" i="62"/>
  <c r="AK25" i="62" s="1"/>
  <c r="AJ26" i="62"/>
  <c r="AK26" i="62" s="1"/>
  <c r="AJ27" i="62"/>
  <c r="AK27" i="62" s="1"/>
  <c r="AJ28" i="62"/>
  <c r="AK28" i="62" s="1"/>
  <c r="AJ29" i="62"/>
  <c r="AK29" i="62" s="1"/>
  <c r="AJ30" i="62"/>
  <c r="AK30" i="62" s="1"/>
  <c r="AJ31" i="62"/>
  <c r="AK31" i="62" s="1"/>
  <c r="AJ32" i="62"/>
  <c r="AK32" i="62" s="1"/>
  <c r="AJ33" i="62"/>
  <c r="AK33" i="62" s="1"/>
  <c r="AJ34" i="62"/>
  <c r="AK34" i="62" s="1"/>
  <c r="AJ35" i="62"/>
  <c r="AK35" i="62" s="1"/>
  <c r="AJ36" i="62"/>
  <c r="AK36" i="62" s="1"/>
  <c r="AJ37" i="62"/>
  <c r="AK37" i="62" s="1"/>
  <c r="AJ38" i="62"/>
  <c r="AK38" i="62" s="1"/>
  <c r="AJ39" i="62"/>
  <c r="AK39" i="62" s="1"/>
  <c r="AJ40" i="62"/>
  <c r="AK40" i="62" s="1"/>
  <c r="AJ41" i="62"/>
  <c r="AK41" i="62" s="1"/>
  <c r="AJ42" i="62"/>
  <c r="AK42" i="62" s="1"/>
  <c r="AJ43" i="62"/>
  <c r="AK43" i="62" s="1"/>
  <c r="AJ44" i="62"/>
  <c r="AK44" i="62" s="1"/>
  <c r="AJ45" i="62"/>
  <c r="AK45" i="62" s="1"/>
  <c r="AJ46" i="62"/>
  <c r="AK46" i="62" s="1"/>
  <c r="AJ47" i="62"/>
  <c r="AK47" i="62" s="1"/>
  <c r="AJ48" i="62"/>
  <c r="AK48" i="62" s="1"/>
  <c r="AJ49" i="62"/>
  <c r="AK49" i="62" s="1"/>
  <c r="AJ50" i="62"/>
  <c r="AK50" i="62" s="1"/>
  <c r="AJ51" i="62"/>
  <c r="AK51" i="62" s="1"/>
  <c r="AJ52" i="62"/>
  <c r="AK52" i="62" s="1"/>
  <c r="AJ53" i="62"/>
  <c r="AK53" i="62" s="1"/>
  <c r="AJ54" i="62"/>
  <c r="AK54" i="62" s="1"/>
  <c r="AJ55" i="62"/>
  <c r="AK55" i="62" s="1"/>
  <c r="AJ56" i="62"/>
  <c r="AK56" i="62" s="1"/>
  <c r="AJ57" i="62"/>
  <c r="AK57" i="62" s="1"/>
  <c r="AJ58" i="62"/>
  <c r="AK58" i="62" s="1"/>
  <c r="AJ59" i="62"/>
  <c r="AK59" i="62" s="1"/>
  <c r="AJ60" i="62"/>
  <c r="AK60" i="62" s="1"/>
  <c r="AJ61" i="62"/>
  <c r="AK61" i="62" s="1"/>
  <c r="AJ62" i="62"/>
  <c r="AK62" i="62" s="1"/>
  <c r="AJ63" i="62"/>
  <c r="AK63" i="62" s="1"/>
  <c r="AJ64" i="62"/>
  <c r="AK64" i="62" s="1"/>
  <c r="AJ65" i="62"/>
  <c r="AK65" i="62" s="1"/>
  <c r="AJ66" i="62"/>
  <c r="AK66" i="62" s="1"/>
  <c r="AJ67" i="62"/>
  <c r="AK67" i="62" s="1"/>
  <c r="AJ68" i="62"/>
  <c r="AK68" i="62" s="1"/>
  <c r="AJ69" i="62"/>
  <c r="AK69" i="62" s="1"/>
  <c r="AJ70" i="62"/>
  <c r="AK70" i="62" s="1"/>
  <c r="AJ71" i="62"/>
  <c r="AK71" i="62" s="1"/>
  <c r="AJ72" i="62"/>
  <c r="AK72" i="62" s="1"/>
  <c r="AJ73" i="62"/>
  <c r="AK73" i="62" s="1"/>
  <c r="AJ74" i="62"/>
  <c r="AK74" i="62" s="1"/>
  <c r="AJ75" i="62"/>
  <c r="AK75" i="62" s="1"/>
  <c r="AJ76" i="62"/>
  <c r="AK76" i="62" s="1"/>
  <c r="AJ77" i="62"/>
  <c r="AK77" i="62" s="1"/>
  <c r="AJ78" i="62"/>
  <c r="AK78" i="62" s="1"/>
  <c r="AJ79" i="62"/>
  <c r="AK79" i="62" s="1"/>
  <c r="AJ80" i="62"/>
  <c r="AK80" i="62" s="1"/>
  <c r="AJ81" i="62"/>
  <c r="AK81" i="62" s="1"/>
  <c r="AJ82" i="62"/>
  <c r="AK82" i="62" s="1"/>
  <c r="AJ83" i="62"/>
  <c r="AK83" i="62" s="1"/>
  <c r="AJ84" i="62"/>
  <c r="AK84" i="62" s="1"/>
  <c r="AJ85" i="62"/>
  <c r="AK85" i="62" s="1"/>
  <c r="AJ86" i="62"/>
  <c r="AK86" i="62" s="1"/>
  <c r="AJ87" i="62"/>
  <c r="AK87" i="62" s="1"/>
  <c r="AJ88" i="62"/>
  <c r="AK88" i="62" s="1"/>
  <c r="AJ89" i="62"/>
  <c r="AK89" i="62" s="1"/>
  <c r="AJ90" i="62"/>
  <c r="AK90" i="62" s="1"/>
  <c r="AJ91" i="62"/>
  <c r="AK91" i="62" s="1"/>
  <c r="AJ92" i="62"/>
  <c r="AK92" i="62" s="1"/>
  <c r="AJ93" i="62"/>
  <c r="AK93" i="62" s="1"/>
  <c r="AJ94" i="62"/>
  <c r="AK94" i="62" s="1"/>
  <c r="AJ95" i="62"/>
  <c r="AK95" i="62" s="1"/>
  <c r="AJ96" i="62"/>
  <c r="AK96" i="62" s="1"/>
  <c r="AJ97" i="62"/>
  <c r="AK97" i="62" s="1"/>
  <c r="AJ98" i="62"/>
  <c r="AK98" i="62" s="1"/>
  <c r="AJ99" i="62"/>
  <c r="AK99" i="62" s="1"/>
  <c r="AJ100" i="62"/>
  <c r="AK100" i="62" s="1"/>
  <c r="AJ101" i="62"/>
  <c r="AK101" i="62" s="1"/>
  <c r="AJ102" i="62"/>
  <c r="AK102" i="62" s="1"/>
  <c r="AJ103" i="62"/>
  <c r="AK103" i="62" s="1"/>
  <c r="AJ104" i="62"/>
  <c r="AK104" i="62" s="1"/>
  <c r="AJ105" i="62"/>
  <c r="AK105" i="62" s="1"/>
  <c r="AJ106" i="62"/>
  <c r="AK106" i="62" s="1"/>
  <c r="AJ107" i="62"/>
  <c r="AK107" i="62" s="1"/>
  <c r="AJ108" i="62"/>
  <c r="AK108" i="62" s="1"/>
  <c r="AJ109" i="62"/>
  <c r="AK109" i="62" s="1"/>
  <c r="AJ110" i="62"/>
  <c r="AK110" i="62" s="1"/>
  <c r="AJ111" i="62"/>
  <c r="AK111" i="62" s="1"/>
  <c r="AJ112" i="62"/>
  <c r="AK112" i="62" s="1"/>
  <c r="AJ113" i="62"/>
  <c r="AK113" i="62" s="1"/>
  <c r="AJ114" i="62"/>
  <c r="AK114" i="62" s="1"/>
  <c r="AJ115" i="62"/>
  <c r="AK115" i="62" s="1"/>
  <c r="AJ116" i="62"/>
  <c r="AK116" i="62" s="1"/>
  <c r="AJ117" i="62"/>
  <c r="AK117" i="62" s="1"/>
  <c r="AJ118" i="62"/>
  <c r="AK118" i="62" s="1"/>
  <c r="AJ119" i="62"/>
  <c r="AK119" i="62" s="1"/>
  <c r="AJ120" i="62"/>
  <c r="AK120" i="62" s="1"/>
  <c r="AJ121" i="62"/>
  <c r="AK121" i="62" s="1"/>
  <c r="AJ122" i="62"/>
  <c r="AK122" i="62" s="1"/>
  <c r="AJ123" i="62"/>
  <c r="AK123" i="62" s="1"/>
  <c r="AJ124" i="62"/>
  <c r="AK124" i="62" s="1"/>
  <c r="AJ125" i="62"/>
  <c r="AK125" i="62" s="1"/>
  <c r="AJ126" i="62"/>
  <c r="AK126" i="62" s="1"/>
  <c r="AJ127" i="62"/>
  <c r="AK127" i="62" s="1"/>
  <c r="AJ128" i="62"/>
  <c r="AK128" i="62" s="1"/>
  <c r="AJ129" i="62"/>
  <c r="AK129" i="62" s="1"/>
  <c r="AJ130" i="62"/>
  <c r="AK130" i="62" s="1"/>
  <c r="AJ131" i="62"/>
  <c r="AK131" i="62" s="1"/>
  <c r="AJ132" i="62"/>
  <c r="AK132" i="62" s="1"/>
  <c r="AJ133" i="62"/>
  <c r="AK133" i="62" s="1"/>
  <c r="AJ134" i="62"/>
  <c r="AK134" i="62" s="1"/>
  <c r="AJ135" i="62"/>
  <c r="AK135" i="62" s="1"/>
  <c r="AJ136" i="62"/>
  <c r="AK136" i="62" s="1"/>
  <c r="AJ137" i="62"/>
  <c r="AK137" i="62" s="1"/>
  <c r="AJ138" i="62"/>
  <c r="AK138" i="62" s="1"/>
  <c r="AJ139" i="62"/>
  <c r="AK139" i="62" s="1"/>
  <c r="AJ140" i="62"/>
  <c r="AK140" i="62" s="1"/>
  <c r="AJ141" i="62"/>
  <c r="AK141" i="62" s="1"/>
  <c r="AJ142" i="62"/>
  <c r="AK142" i="62" s="1"/>
  <c r="AJ143" i="62"/>
  <c r="AK143" i="62" s="1"/>
  <c r="AJ144" i="62"/>
  <c r="AK144" i="62" s="1"/>
  <c r="AJ145" i="62"/>
  <c r="AK145" i="62" s="1"/>
  <c r="AJ146" i="62"/>
  <c r="AK146" i="62" s="1"/>
  <c r="AJ147" i="62"/>
  <c r="AK147" i="62" s="1"/>
  <c r="AJ148" i="62"/>
  <c r="AK148" i="62" s="1"/>
  <c r="AJ149" i="62"/>
  <c r="AK149" i="62" s="1"/>
  <c r="AJ150" i="62"/>
  <c r="AK150" i="62" s="1"/>
  <c r="AJ151" i="62"/>
  <c r="AK151" i="62" s="1"/>
  <c r="AJ152" i="62"/>
  <c r="AK152" i="62" s="1"/>
  <c r="AJ153" i="62"/>
  <c r="AK153" i="62" s="1"/>
  <c r="AJ154" i="62"/>
  <c r="AK154" i="62" s="1"/>
  <c r="AJ155" i="62"/>
  <c r="AK155" i="62" s="1"/>
  <c r="AJ156" i="62"/>
  <c r="AK156" i="62" s="1"/>
  <c r="AJ157" i="62"/>
  <c r="AK157" i="62" s="1"/>
  <c r="AJ158" i="62"/>
  <c r="AK158" i="62" s="1"/>
  <c r="AJ159" i="62"/>
  <c r="AK159" i="62" s="1"/>
  <c r="AJ160" i="62"/>
  <c r="AK160" i="62" s="1"/>
  <c r="AJ161" i="62"/>
  <c r="AK161" i="62" s="1"/>
  <c r="AJ162" i="62"/>
  <c r="AK162" i="62" s="1"/>
  <c r="AJ163" i="62"/>
  <c r="AK163" i="62" s="1"/>
  <c r="AJ164" i="62"/>
  <c r="AK164" i="62" s="1"/>
  <c r="AJ165" i="62"/>
  <c r="AK165" i="62" s="1"/>
  <c r="AJ166" i="62"/>
  <c r="AK166" i="62" s="1"/>
  <c r="AJ167" i="62"/>
  <c r="AK167" i="62" s="1"/>
  <c r="AJ168" i="62"/>
  <c r="AK168" i="62" s="1"/>
  <c r="AJ169" i="62"/>
  <c r="AK169" i="62" s="1"/>
  <c r="AJ170" i="62"/>
  <c r="AK170" i="62" s="1"/>
  <c r="AJ171" i="62"/>
  <c r="AK171" i="62" s="1"/>
  <c r="AJ172" i="62"/>
  <c r="AK172" i="62" s="1"/>
  <c r="AJ173" i="62"/>
  <c r="AK173" i="62" s="1"/>
  <c r="AJ174" i="62"/>
  <c r="AK174" i="62" s="1"/>
  <c r="AJ175" i="62"/>
  <c r="AK175" i="62" s="1"/>
  <c r="AJ176" i="62"/>
  <c r="AK176" i="62" s="1"/>
  <c r="AJ177" i="62"/>
  <c r="AK177" i="62" s="1"/>
  <c r="AJ178" i="62"/>
  <c r="AK178" i="62" s="1"/>
  <c r="AJ179" i="62"/>
  <c r="AK179" i="62" s="1"/>
  <c r="AJ180" i="62"/>
  <c r="AK180" i="62" s="1"/>
  <c r="AJ181" i="62"/>
  <c r="AK181" i="62" s="1"/>
  <c r="AJ182" i="62"/>
  <c r="AK182" i="62" s="1"/>
  <c r="AJ183" i="62"/>
  <c r="AK183" i="62" s="1"/>
  <c r="AJ184" i="62"/>
  <c r="AK184" i="62" s="1"/>
  <c r="AJ185" i="62"/>
  <c r="AK185" i="62" s="1"/>
  <c r="AJ186" i="62"/>
  <c r="AK186" i="62" s="1"/>
  <c r="AJ187" i="62"/>
  <c r="AK187" i="62" s="1"/>
  <c r="AJ188" i="62"/>
  <c r="AK188" i="62" s="1"/>
  <c r="AJ189" i="62"/>
  <c r="AK189" i="62" s="1"/>
  <c r="AJ190" i="62"/>
  <c r="AK190" i="62" s="1"/>
  <c r="AJ191" i="62"/>
  <c r="AK191" i="62" s="1"/>
  <c r="AJ192" i="62"/>
  <c r="AK192" i="62" s="1"/>
  <c r="AJ193" i="62"/>
  <c r="AK193" i="62" s="1"/>
  <c r="AJ194" i="62"/>
  <c r="AK194" i="62" s="1"/>
  <c r="AJ195" i="62"/>
  <c r="AK195" i="62" s="1"/>
  <c r="AJ196" i="62"/>
  <c r="AK196" i="62" s="1"/>
  <c r="AJ197" i="62"/>
  <c r="AK197" i="62" s="1"/>
  <c r="AJ198" i="62"/>
  <c r="AK198" i="62" s="1"/>
  <c r="AJ199" i="62"/>
  <c r="AK199" i="62" s="1"/>
  <c r="AJ200" i="62"/>
  <c r="AK200" i="62" s="1"/>
  <c r="AJ201" i="62"/>
  <c r="AK201" i="62" s="1"/>
  <c r="AJ202" i="62"/>
  <c r="AK202" i="62" s="1"/>
  <c r="AJ203" i="62"/>
  <c r="AK203" i="62" s="1"/>
  <c r="AJ204" i="62"/>
  <c r="AK204" i="62" s="1"/>
  <c r="AJ205" i="62"/>
  <c r="AK205" i="62" s="1"/>
  <c r="AJ206" i="62"/>
  <c r="AK206" i="62" s="1"/>
  <c r="AJ207" i="62"/>
  <c r="AK207" i="62" s="1"/>
  <c r="AJ208" i="62"/>
  <c r="AK208" i="62" s="1"/>
  <c r="AJ209" i="62"/>
  <c r="AK209" i="62" s="1"/>
  <c r="AJ210" i="62"/>
  <c r="AK210" i="62" s="1"/>
  <c r="AJ211" i="62"/>
  <c r="AK211" i="62" s="1"/>
  <c r="AJ212" i="62"/>
  <c r="AK212" i="62" s="1"/>
  <c r="AJ213" i="62"/>
  <c r="AK213" i="62" s="1"/>
  <c r="AJ214" i="62"/>
  <c r="AK214" i="62" s="1"/>
  <c r="AJ215" i="62"/>
  <c r="AK215" i="62" s="1"/>
  <c r="AJ216" i="62"/>
  <c r="AK216" i="62" s="1"/>
  <c r="AJ217" i="62"/>
  <c r="AK217" i="62" s="1"/>
  <c r="AJ218" i="62"/>
  <c r="AK218" i="62" s="1"/>
  <c r="AJ219" i="62"/>
  <c r="AK219" i="62" s="1"/>
  <c r="AJ220" i="62"/>
  <c r="AK220" i="62" s="1"/>
  <c r="AJ221" i="62"/>
  <c r="AK221" i="62" s="1"/>
  <c r="AJ222" i="62"/>
  <c r="AK222" i="62" s="1"/>
  <c r="AJ223" i="62"/>
  <c r="AK223" i="62" s="1"/>
  <c r="AJ224" i="62"/>
  <c r="AK224" i="62" s="1"/>
  <c r="AJ225" i="62"/>
  <c r="AK225" i="62" s="1"/>
  <c r="AJ226" i="62"/>
  <c r="AK226" i="62" s="1"/>
  <c r="AJ227" i="62"/>
  <c r="AK227" i="62" s="1"/>
  <c r="AJ228" i="62"/>
  <c r="AK228" i="62" s="1"/>
  <c r="AJ229" i="62"/>
  <c r="AK229" i="62" s="1"/>
  <c r="AJ230" i="62"/>
  <c r="AK230" i="62" s="1"/>
  <c r="AJ231" i="62"/>
  <c r="AK231" i="62" s="1"/>
  <c r="AJ232" i="62"/>
  <c r="AK232" i="62" s="1"/>
  <c r="AJ233" i="62"/>
  <c r="AK233" i="62" s="1"/>
  <c r="AJ234" i="62"/>
  <c r="AK234" i="62" s="1"/>
  <c r="AJ235" i="62"/>
  <c r="AK235" i="62" s="1"/>
  <c r="AJ236" i="62"/>
  <c r="AK236" i="62" s="1"/>
  <c r="AJ237" i="62"/>
  <c r="AK237" i="62" s="1"/>
  <c r="AJ238" i="62"/>
  <c r="AK238" i="62" s="1"/>
  <c r="AJ239" i="62"/>
  <c r="AK239" i="62" s="1"/>
  <c r="AJ240" i="62"/>
  <c r="AK240" i="62" s="1"/>
  <c r="AJ241" i="62"/>
  <c r="AK241" i="62" s="1"/>
  <c r="AJ242" i="62"/>
  <c r="AK242" i="62" s="1"/>
  <c r="AJ243" i="62"/>
  <c r="AK243" i="62" s="1"/>
  <c r="AJ244" i="62"/>
  <c r="AK244" i="62" s="1"/>
  <c r="AJ245" i="62"/>
  <c r="AK245" i="62" s="1"/>
  <c r="AJ246" i="62"/>
  <c r="AK246" i="62" s="1"/>
  <c r="AJ247" i="62"/>
  <c r="AK247" i="62" s="1"/>
  <c r="AJ248" i="62"/>
  <c r="AK248" i="62" s="1"/>
  <c r="AJ249" i="62"/>
  <c r="AK249" i="62" s="1"/>
  <c r="AJ250" i="62"/>
  <c r="AK250" i="62" s="1"/>
  <c r="AJ251" i="62"/>
  <c r="AK251" i="62" s="1"/>
  <c r="AJ252" i="62"/>
  <c r="AK252" i="62" s="1"/>
  <c r="AJ253" i="62"/>
  <c r="AK253" i="62" s="1"/>
  <c r="AJ254" i="62"/>
  <c r="AK254" i="62" s="1"/>
  <c r="AJ255" i="62"/>
  <c r="AK255" i="62" s="1"/>
  <c r="AJ256" i="62"/>
  <c r="AK256" i="62" s="1"/>
  <c r="AJ257" i="62"/>
  <c r="AK257" i="62" s="1"/>
  <c r="AJ258" i="62"/>
  <c r="AK258" i="62" s="1"/>
  <c r="AJ259" i="62"/>
  <c r="AK259" i="62" s="1"/>
  <c r="AJ260" i="62"/>
  <c r="AK260" i="62" s="1"/>
  <c r="AJ261" i="62"/>
  <c r="AK261" i="62" s="1"/>
  <c r="AJ262" i="62"/>
  <c r="AK262" i="62" s="1"/>
  <c r="AJ263" i="62"/>
  <c r="AK263" i="62" s="1"/>
  <c r="AJ264" i="62"/>
  <c r="AK264" i="62" s="1"/>
  <c r="AJ265" i="62"/>
  <c r="AK265" i="62" s="1"/>
  <c r="AJ266" i="62"/>
  <c r="AK266" i="62" s="1"/>
  <c r="AJ267" i="62"/>
  <c r="AK267" i="62" s="1"/>
  <c r="AJ268" i="62"/>
  <c r="AK268" i="62" s="1"/>
  <c r="AJ269" i="62"/>
  <c r="AK269" i="62" s="1"/>
  <c r="AJ270" i="62"/>
  <c r="AK270" i="62" s="1"/>
  <c r="AJ271" i="62"/>
  <c r="AK271" i="62" s="1"/>
  <c r="AJ272" i="62"/>
  <c r="AK272" i="62" s="1"/>
  <c r="AJ273" i="62"/>
  <c r="AK273" i="62" s="1"/>
  <c r="AJ274" i="62"/>
  <c r="AK274" i="62" s="1"/>
  <c r="AJ275" i="62"/>
  <c r="AK275" i="62" s="1"/>
  <c r="AJ276" i="62"/>
  <c r="AK276" i="62" s="1"/>
  <c r="AJ277" i="62"/>
  <c r="AK277" i="62" s="1"/>
  <c r="AJ278" i="62"/>
  <c r="AK278" i="62" s="1"/>
  <c r="AJ279" i="62"/>
  <c r="AK279" i="62" s="1"/>
  <c r="AJ280" i="62"/>
  <c r="AK280" i="62" s="1"/>
  <c r="AJ281" i="62"/>
  <c r="AK281" i="62" s="1"/>
  <c r="AJ282" i="62"/>
  <c r="AK282" i="62" s="1"/>
  <c r="AJ283" i="62"/>
  <c r="AK283" i="62" s="1"/>
  <c r="AJ284" i="62"/>
  <c r="AK284" i="62" s="1"/>
  <c r="AJ285" i="62"/>
  <c r="AK285" i="62" s="1"/>
  <c r="AJ286" i="62"/>
  <c r="AK286" i="62" s="1"/>
  <c r="AJ287" i="62"/>
  <c r="AK287" i="62" s="1"/>
  <c r="AJ288" i="62"/>
  <c r="AK288" i="62" s="1"/>
  <c r="AJ289" i="62"/>
  <c r="AK289" i="62" s="1"/>
  <c r="AJ290" i="62"/>
  <c r="AK290" i="62" s="1"/>
  <c r="AJ291" i="62"/>
  <c r="AK291" i="62" s="1"/>
  <c r="AJ292" i="62"/>
  <c r="AK292" i="62" s="1"/>
  <c r="AJ293" i="62"/>
  <c r="AK293" i="62" s="1"/>
  <c r="AJ294" i="62"/>
  <c r="AK294" i="62" s="1"/>
  <c r="AJ295" i="62"/>
  <c r="AK295" i="62" s="1"/>
  <c r="AJ296" i="62"/>
  <c r="AK296" i="62" s="1"/>
  <c r="AJ297" i="62"/>
  <c r="AK297" i="62" s="1"/>
  <c r="AJ298" i="62"/>
  <c r="AK298" i="62" s="1"/>
  <c r="AJ299" i="62"/>
  <c r="AK299" i="62" s="1"/>
  <c r="AJ300" i="62"/>
  <c r="AK300" i="62" s="1"/>
  <c r="AJ301" i="62"/>
  <c r="AK301" i="62" s="1"/>
  <c r="AJ302" i="62"/>
  <c r="AK302" i="62" s="1"/>
  <c r="AJ303" i="62"/>
  <c r="AK303" i="62" s="1"/>
  <c r="AJ304" i="62"/>
  <c r="AK304" i="62" s="1"/>
  <c r="AJ305" i="62"/>
  <c r="AK305" i="62" s="1"/>
  <c r="AJ306" i="62"/>
  <c r="AK306" i="62" s="1"/>
  <c r="AJ307" i="62"/>
  <c r="AK307" i="62" s="1"/>
  <c r="AJ308" i="62"/>
  <c r="AK308" i="62" s="1"/>
  <c r="AJ309" i="62"/>
  <c r="AK309" i="62" s="1"/>
  <c r="AJ310" i="62"/>
  <c r="AK310" i="62" s="1"/>
  <c r="AJ311" i="62"/>
  <c r="AK311" i="62" s="1"/>
  <c r="AJ312" i="62"/>
  <c r="AK312" i="62" s="1"/>
  <c r="AJ313" i="62"/>
  <c r="AK313" i="62" s="1"/>
  <c r="AJ314" i="62"/>
  <c r="AK314" i="62" s="1"/>
  <c r="AJ315" i="62"/>
  <c r="AK315" i="62" s="1"/>
  <c r="AJ316" i="62"/>
  <c r="AK316" i="62" s="1"/>
  <c r="AJ317" i="62"/>
  <c r="AK317" i="62" s="1"/>
  <c r="AJ318" i="62"/>
  <c r="AK318" i="62" s="1"/>
  <c r="AJ319" i="62"/>
  <c r="AK319" i="62" s="1"/>
  <c r="AJ320" i="62"/>
  <c r="AK320" i="62" s="1"/>
  <c r="AJ321" i="62"/>
  <c r="AK321" i="62" s="1"/>
  <c r="AJ322" i="62"/>
  <c r="AK322" i="62" s="1"/>
  <c r="AJ323" i="62"/>
  <c r="AK323" i="62" s="1"/>
  <c r="AJ324" i="62"/>
  <c r="AK324" i="62" s="1"/>
  <c r="AJ325" i="62"/>
  <c r="AK325" i="62" s="1"/>
  <c r="AJ326" i="62"/>
  <c r="AK326" i="62" s="1"/>
  <c r="AJ327" i="62"/>
  <c r="AK327" i="62" s="1"/>
  <c r="AJ328" i="62"/>
  <c r="AK328" i="62" s="1"/>
  <c r="AJ329" i="62"/>
  <c r="AK329" i="62" s="1"/>
  <c r="AJ330" i="62"/>
  <c r="AK330" i="62" s="1"/>
  <c r="AJ331" i="62"/>
  <c r="AK331" i="62" s="1"/>
  <c r="AJ332" i="62"/>
  <c r="AK332" i="62" s="1"/>
  <c r="AJ333" i="62"/>
  <c r="AK333" i="62" s="1"/>
  <c r="AJ334" i="62"/>
  <c r="AK334" i="62" s="1"/>
  <c r="AJ335" i="62"/>
  <c r="AK335" i="62" s="1"/>
  <c r="AJ336" i="62"/>
  <c r="AK336" i="62" s="1"/>
  <c r="AJ337" i="62"/>
  <c r="AK337" i="62" s="1"/>
  <c r="AJ338" i="62"/>
  <c r="AK338" i="62" s="1"/>
  <c r="AJ339" i="62"/>
  <c r="AK339" i="62" s="1"/>
  <c r="AJ340" i="62"/>
  <c r="AK340" i="62" s="1"/>
  <c r="AJ341" i="62"/>
  <c r="AK341" i="62" s="1"/>
  <c r="AJ342" i="62"/>
  <c r="AK342" i="62" s="1"/>
  <c r="AJ343" i="62"/>
  <c r="AK343" i="62" s="1"/>
  <c r="AJ344" i="62"/>
  <c r="AK344" i="62" s="1"/>
  <c r="AJ345" i="62"/>
  <c r="AK345" i="62" s="1"/>
  <c r="AJ346" i="62"/>
  <c r="AK346" i="62" s="1"/>
  <c r="AJ347" i="62"/>
  <c r="AK347" i="62" s="1"/>
  <c r="AJ348" i="62"/>
  <c r="AK348" i="62" s="1"/>
  <c r="AJ349" i="62"/>
  <c r="AK349" i="62" s="1"/>
  <c r="AJ350" i="62"/>
  <c r="AK350" i="62" s="1"/>
  <c r="AJ351" i="62"/>
  <c r="AK351" i="62" s="1"/>
  <c r="AJ352" i="62"/>
  <c r="AK352" i="62" s="1"/>
  <c r="AJ353" i="62"/>
  <c r="AK353" i="62" s="1"/>
  <c r="AJ354" i="62"/>
  <c r="AK354" i="62" s="1"/>
  <c r="AJ355" i="62"/>
  <c r="AK355" i="62" s="1"/>
  <c r="AJ356" i="62"/>
  <c r="AK356" i="62" s="1"/>
  <c r="AJ357" i="62"/>
  <c r="AK357" i="62" s="1"/>
  <c r="AJ358" i="62"/>
  <c r="AK358" i="62" s="1"/>
  <c r="AJ359" i="62"/>
  <c r="AK359" i="62" s="1"/>
  <c r="AJ360" i="62"/>
  <c r="AK360" i="62" s="1"/>
  <c r="AJ361" i="62"/>
  <c r="AK361" i="62" s="1"/>
  <c r="AJ362" i="62"/>
  <c r="AK362" i="62" s="1"/>
  <c r="AJ363" i="62"/>
  <c r="AK363" i="62" s="1"/>
  <c r="AJ364" i="62"/>
  <c r="AK364" i="62" s="1"/>
  <c r="AJ365" i="62"/>
  <c r="AK365" i="62" s="1"/>
  <c r="AJ366" i="62"/>
  <c r="AK366" i="62" s="1"/>
  <c r="AJ367" i="62"/>
  <c r="AK367" i="62" s="1"/>
  <c r="AJ368" i="62"/>
  <c r="AK368" i="62" s="1"/>
  <c r="AJ369" i="62"/>
  <c r="AK369" i="62" s="1"/>
  <c r="AJ370" i="62"/>
  <c r="AK370" i="62" s="1"/>
  <c r="AJ371" i="62"/>
  <c r="AK371" i="62" s="1"/>
  <c r="AJ372" i="62"/>
  <c r="AK372" i="62" s="1"/>
  <c r="AJ373" i="62"/>
  <c r="AK373" i="62" s="1"/>
  <c r="AJ374" i="62"/>
  <c r="AK374" i="62" s="1"/>
  <c r="AJ375" i="62"/>
  <c r="AK375" i="62" s="1"/>
  <c r="AJ376" i="62"/>
  <c r="AK376" i="62" s="1"/>
  <c r="AJ377" i="62"/>
  <c r="AK377" i="62" s="1"/>
  <c r="AJ378" i="62"/>
  <c r="AK378" i="62" s="1"/>
  <c r="AJ379" i="62"/>
  <c r="AK379" i="62" s="1"/>
  <c r="AJ380" i="62"/>
  <c r="AK380" i="62" s="1"/>
  <c r="AJ381" i="62"/>
  <c r="AK381" i="62" s="1"/>
  <c r="AJ382" i="62"/>
  <c r="AK382" i="62" s="1"/>
  <c r="AJ383" i="62"/>
  <c r="AK383" i="62" s="1"/>
  <c r="AJ384" i="62"/>
  <c r="AK384" i="62" s="1"/>
  <c r="AJ385" i="62"/>
  <c r="AK385" i="62" s="1"/>
  <c r="AJ386" i="62"/>
  <c r="AK386" i="62" s="1"/>
  <c r="AJ387" i="62"/>
  <c r="AK387" i="62" s="1"/>
  <c r="AJ388" i="62"/>
  <c r="AK388" i="62" s="1"/>
  <c r="AJ389" i="62"/>
  <c r="AK389" i="62" s="1"/>
  <c r="AJ390" i="62"/>
  <c r="AK390" i="62" s="1"/>
  <c r="AJ391" i="62"/>
  <c r="AK391" i="62" s="1"/>
  <c r="AJ392" i="62"/>
  <c r="AK392" i="62" s="1"/>
  <c r="AJ393" i="62"/>
  <c r="AK393" i="62" s="1"/>
  <c r="AJ394" i="62"/>
  <c r="AK394" i="62" s="1"/>
  <c r="AJ395" i="62"/>
  <c r="AK395" i="62" s="1"/>
  <c r="AJ396" i="62"/>
  <c r="AK396" i="62" s="1"/>
  <c r="AJ397" i="62"/>
  <c r="AK397" i="62" s="1"/>
  <c r="AJ398" i="62"/>
  <c r="AK398" i="62" s="1"/>
  <c r="AJ399" i="62"/>
  <c r="AK399" i="62" s="1"/>
  <c r="AJ400" i="62"/>
  <c r="AK400" i="62" s="1"/>
  <c r="AJ401" i="62"/>
  <c r="AK401" i="62" s="1"/>
  <c r="AJ402" i="62"/>
  <c r="AK402" i="62" s="1"/>
  <c r="AJ403" i="62"/>
  <c r="AK403" i="62" s="1"/>
  <c r="AJ404" i="62"/>
  <c r="AK404" i="62" s="1"/>
  <c r="AJ405" i="62"/>
  <c r="AK405" i="62" s="1"/>
  <c r="AJ406" i="62"/>
  <c r="AK406" i="62" s="1"/>
  <c r="AJ407" i="62"/>
  <c r="AK407" i="62" s="1"/>
  <c r="AJ408" i="62"/>
  <c r="AK408" i="62" s="1"/>
  <c r="AJ409" i="62"/>
  <c r="AK409" i="62" s="1"/>
  <c r="AJ410" i="62"/>
  <c r="AK410" i="62" s="1"/>
  <c r="AJ411" i="62"/>
  <c r="AK411" i="62" s="1"/>
  <c r="AJ412" i="62"/>
  <c r="AK412" i="62" s="1"/>
  <c r="AJ413" i="62"/>
  <c r="AK413" i="62" s="1"/>
  <c r="AJ414" i="62"/>
  <c r="AK414" i="62" s="1"/>
  <c r="AJ415" i="62"/>
  <c r="AK415" i="62" s="1"/>
  <c r="AJ416" i="62"/>
  <c r="AK416" i="62" s="1"/>
  <c r="AJ417" i="62"/>
  <c r="AK417" i="62" s="1"/>
  <c r="AJ418" i="62"/>
  <c r="AK418" i="62" s="1"/>
  <c r="AJ419" i="62"/>
  <c r="AK419" i="62" s="1"/>
  <c r="AJ420" i="62"/>
  <c r="AK420" i="62" s="1"/>
  <c r="AJ421" i="62"/>
  <c r="AK421" i="62" s="1"/>
  <c r="AJ422" i="62"/>
  <c r="AK422" i="62" s="1"/>
  <c r="AJ423" i="62"/>
  <c r="AK423" i="62" s="1"/>
  <c r="AJ424" i="62"/>
  <c r="AK424" i="62" s="1"/>
  <c r="AJ425" i="62"/>
  <c r="AK425" i="62" s="1"/>
  <c r="AJ426" i="62"/>
  <c r="AK426" i="62" s="1"/>
  <c r="AJ427" i="62"/>
  <c r="AK427" i="62" s="1"/>
  <c r="AJ428" i="62"/>
  <c r="AK428" i="62" s="1"/>
  <c r="AJ429" i="62"/>
  <c r="AK429" i="62" s="1"/>
  <c r="AJ430" i="62"/>
  <c r="AK430" i="62" s="1"/>
  <c r="AJ431" i="62"/>
  <c r="AK431" i="62" s="1"/>
  <c r="AJ432" i="62"/>
  <c r="AK432" i="62" s="1"/>
  <c r="AJ433" i="62"/>
  <c r="AK433" i="62" s="1"/>
  <c r="AJ434" i="62"/>
  <c r="AK434" i="62" s="1"/>
  <c r="AJ435" i="62"/>
  <c r="AK435" i="62" s="1"/>
  <c r="AJ436" i="62"/>
  <c r="AK436" i="62" s="1"/>
  <c r="AJ437" i="62"/>
  <c r="AK437" i="62" s="1"/>
  <c r="AJ438" i="62"/>
  <c r="AK438" i="62" s="1"/>
  <c r="AJ439" i="62"/>
  <c r="AK439" i="62" s="1"/>
  <c r="AJ440" i="62"/>
  <c r="AK440" i="62" s="1"/>
  <c r="AJ441" i="62"/>
  <c r="AK441" i="62" s="1"/>
  <c r="AJ442" i="62"/>
  <c r="AK442" i="62" s="1"/>
  <c r="AJ443" i="62"/>
  <c r="AK443" i="62" s="1"/>
  <c r="AJ444" i="62"/>
  <c r="AK444" i="62" s="1"/>
  <c r="AJ445" i="62"/>
  <c r="AK445" i="62" s="1"/>
  <c r="AJ446" i="62"/>
  <c r="AK446" i="62" s="1"/>
  <c r="AJ447" i="62"/>
  <c r="AK447" i="62" s="1"/>
  <c r="AJ448" i="62"/>
  <c r="AK448" i="62" s="1"/>
  <c r="AJ449" i="62"/>
  <c r="AK449" i="62" s="1"/>
  <c r="AJ450" i="62"/>
  <c r="AK450" i="62" s="1"/>
  <c r="AJ451" i="62"/>
  <c r="AK451" i="62" s="1"/>
  <c r="AJ452" i="62"/>
  <c r="AK452" i="62" s="1"/>
  <c r="AJ453" i="62"/>
  <c r="AK453" i="62" s="1"/>
  <c r="AJ454" i="62"/>
  <c r="AK454" i="62" s="1"/>
  <c r="AJ455" i="62"/>
  <c r="AK455" i="62" s="1"/>
  <c r="AJ456" i="62"/>
  <c r="AK456" i="62" s="1"/>
  <c r="AJ457" i="62"/>
  <c r="AK457" i="62" s="1"/>
  <c r="AJ458" i="62"/>
  <c r="AK458" i="62" s="1"/>
  <c r="AJ459" i="62"/>
  <c r="AK459" i="62" s="1"/>
  <c r="AJ460" i="62"/>
  <c r="AK460" i="62" s="1"/>
  <c r="AJ461" i="62"/>
  <c r="AK461" i="62" s="1"/>
  <c r="AJ462" i="62"/>
  <c r="AK462" i="62" s="1"/>
  <c r="AJ463" i="62"/>
  <c r="AK463" i="62" s="1"/>
  <c r="AJ464" i="62"/>
  <c r="AK464" i="62" s="1"/>
  <c r="AJ465" i="62"/>
  <c r="AK465" i="62" s="1"/>
  <c r="AJ466" i="62"/>
  <c r="AK466" i="62" s="1"/>
  <c r="AJ467" i="62"/>
  <c r="AK467" i="62" s="1"/>
  <c r="AJ468" i="62"/>
  <c r="AK468" i="62" s="1"/>
  <c r="AJ469" i="62"/>
  <c r="AK469" i="62" s="1"/>
  <c r="AJ470" i="62"/>
  <c r="AK470" i="62" s="1"/>
  <c r="AJ471" i="62"/>
  <c r="AK471" i="62" s="1"/>
  <c r="AJ472" i="62"/>
  <c r="AK472" i="62" s="1"/>
  <c r="AJ473" i="62"/>
  <c r="AK473" i="62" s="1"/>
  <c r="AJ474" i="62"/>
  <c r="AK474" i="62" s="1"/>
  <c r="AJ475" i="62"/>
  <c r="AK475" i="62" s="1"/>
  <c r="AJ476" i="62"/>
  <c r="AK476" i="62" s="1"/>
  <c r="AJ477" i="62"/>
  <c r="AK477" i="62" s="1"/>
  <c r="AJ478" i="62"/>
  <c r="AK478" i="62" s="1"/>
  <c r="AJ479" i="62"/>
  <c r="AK479" i="62" s="1"/>
  <c r="AJ480" i="62"/>
  <c r="AK480" i="62" s="1"/>
  <c r="AJ481" i="62"/>
  <c r="AK481" i="62" s="1"/>
  <c r="AJ482" i="62"/>
  <c r="AK482" i="62" s="1"/>
  <c r="AJ483" i="62"/>
  <c r="AK483" i="62" s="1"/>
  <c r="AJ484" i="62"/>
  <c r="AK484" i="62" s="1"/>
  <c r="AJ485" i="62"/>
  <c r="AK485" i="62" s="1"/>
  <c r="AJ486" i="62"/>
  <c r="AK486" i="62" s="1"/>
  <c r="AJ487" i="62"/>
  <c r="AK487" i="62" s="1"/>
  <c r="AJ488" i="62"/>
  <c r="AK488" i="62" s="1"/>
  <c r="AJ489" i="62"/>
  <c r="AK489" i="62" s="1"/>
  <c r="AJ490" i="62"/>
  <c r="AK490" i="62" s="1"/>
  <c r="AJ491" i="62"/>
  <c r="AK491" i="62" s="1"/>
  <c r="AJ492" i="62"/>
  <c r="AK492" i="62" s="1"/>
  <c r="AJ493" i="62"/>
  <c r="AK493" i="62" s="1"/>
  <c r="AJ494" i="62"/>
  <c r="AK494" i="62" s="1"/>
  <c r="AJ495" i="62"/>
  <c r="AK495" i="62" s="1"/>
  <c r="AJ496" i="62"/>
  <c r="AK496" i="62" s="1"/>
  <c r="AJ497" i="62"/>
  <c r="AK497" i="62" s="1"/>
  <c r="AJ498" i="62"/>
  <c r="AK498" i="62" s="1"/>
  <c r="AJ499" i="62"/>
  <c r="AK499" i="62" s="1"/>
  <c r="AJ500" i="62"/>
  <c r="AK500" i="62" s="1"/>
  <c r="AJ501" i="62"/>
  <c r="AK501" i="62" s="1"/>
  <c r="AJ502" i="62"/>
  <c r="AK502" i="62" s="1"/>
  <c r="AJ503" i="62"/>
  <c r="AK503" i="62" s="1"/>
  <c r="AJ504" i="62"/>
  <c r="AK504" i="62" s="1"/>
  <c r="AJ505" i="62"/>
  <c r="AK505" i="62" s="1"/>
  <c r="AJ506" i="62"/>
  <c r="AK506" i="62" s="1"/>
  <c r="AJ507" i="62"/>
  <c r="AK507" i="62" s="1"/>
  <c r="AJ508" i="62"/>
  <c r="AK508" i="62" s="1"/>
  <c r="AJ509" i="62"/>
  <c r="AK509" i="62" s="1"/>
  <c r="AJ510" i="62"/>
  <c r="AK510" i="62" s="1"/>
  <c r="AJ511" i="62"/>
  <c r="AK511" i="62" s="1"/>
  <c r="AJ512" i="62"/>
  <c r="AK512" i="62" s="1"/>
  <c r="AJ513" i="62"/>
  <c r="AK513" i="62" s="1"/>
  <c r="AJ514" i="62"/>
  <c r="AK514" i="62" s="1"/>
  <c r="AJ515" i="62"/>
  <c r="AK515" i="62" s="1"/>
  <c r="AJ516" i="62"/>
  <c r="AK516" i="62" s="1"/>
  <c r="AJ517" i="62"/>
  <c r="AK517" i="62" s="1"/>
  <c r="AJ518" i="62"/>
  <c r="AK518" i="62" s="1"/>
  <c r="AJ519" i="62"/>
  <c r="AK519" i="62" s="1"/>
  <c r="AJ520" i="62"/>
  <c r="AK520" i="62" s="1"/>
  <c r="AJ521" i="62"/>
  <c r="AK521" i="62" s="1"/>
  <c r="AJ522" i="62"/>
  <c r="AK522" i="62" s="1"/>
  <c r="AJ523" i="62"/>
  <c r="AK523" i="62" s="1"/>
  <c r="AJ524" i="62"/>
  <c r="AK524" i="62" s="1"/>
  <c r="AJ525" i="62"/>
  <c r="AK525" i="62" s="1"/>
  <c r="AJ526" i="62"/>
  <c r="AK526" i="62" s="1"/>
  <c r="AJ527" i="62"/>
  <c r="AK527" i="62" s="1"/>
  <c r="AJ528" i="62"/>
  <c r="AK528" i="62" s="1"/>
  <c r="AJ529" i="62"/>
  <c r="AK529" i="62" s="1"/>
  <c r="AJ530" i="62"/>
  <c r="AK530" i="62" s="1"/>
  <c r="AJ531" i="62"/>
  <c r="AK531" i="62" s="1"/>
  <c r="AJ532" i="62"/>
  <c r="AK532" i="62" s="1"/>
  <c r="AJ533" i="62"/>
  <c r="AK533" i="62" s="1"/>
  <c r="AJ534" i="62"/>
  <c r="AK534" i="62" s="1"/>
  <c r="AJ535" i="62"/>
  <c r="AK535" i="62" s="1"/>
  <c r="AJ536" i="62"/>
  <c r="AK536" i="62" s="1"/>
  <c r="AJ537" i="62"/>
  <c r="AK537" i="62" s="1"/>
  <c r="AJ538" i="62"/>
  <c r="AK538" i="62" s="1"/>
  <c r="AJ539" i="62"/>
  <c r="AK539" i="62" s="1"/>
  <c r="AJ540" i="62"/>
  <c r="AK540" i="62" s="1"/>
  <c r="AJ541" i="62"/>
  <c r="AK541" i="62" s="1"/>
  <c r="AJ542" i="62"/>
  <c r="AK542" i="62" s="1"/>
  <c r="AJ543" i="62"/>
  <c r="AK543" i="62" s="1"/>
  <c r="AJ544" i="62"/>
  <c r="AK544" i="62" s="1"/>
  <c r="AJ545" i="62"/>
  <c r="AK545" i="62" s="1"/>
  <c r="AJ546" i="62"/>
  <c r="AK546" i="62" s="1"/>
  <c r="AJ547" i="62"/>
  <c r="AK547" i="62" s="1"/>
  <c r="AJ548" i="62"/>
  <c r="AK548" i="62" s="1"/>
  <c r="AJ549" i="62"/>
  <c r="AK549" i="62" s="1"/>
  <c r="AJ550" i="62"/>
  <c r="AK550" i="62" s="1"/>
  <c r="AJ551" i="62"/>
  <c r="AK551" i="62" s="1"/>
  <c r="AJ552" i="62"/>
  <c r="AK552" i="62" s="1"/>
  <c r="AJ553" i="62"/>
  <c r="AK553" i="62" s="1"/>
  <c r="AJ554" i="62"/>
  <c r="AK554" i="62" s="1"/>
  <c r="AJ555" i="62"/>
  <c r="AK555" i="62" s="1"/>
  <c r="AJ556" i="62"/>
  <c r="AK556" i="62" s="1"/>
  <c r="AJ557" i="62"/>
  <c r="AK557" i="62" s="1"/>
  <c r="AJ558" i="62"/>
  <c r="AK558" i="62" s="1"/>
  <c r="AJ559" i="62"/>
  <c r="AK559" i="62" s="1"/>
  <c r="AJ560" i="62"/>
  <c r="AK560" i="62" s="1"/>
  <c r="AJ561" i="62"/>
  <c r="AK561" i="62" s="1"/>
  <c r="AJ562" i="62"/>
  <c r="AK562" i="62" s="1"/>
  <c r="AJ563" i="62"/>
  <c r="AK563" i="62" s="1"/>
  <c r="AJ564" i="62"/>
  <c r="AK564" i="62" s="1"/>
  <c r="AJ565" i="62"/>
  <c r="AK565" i="62" s="1"/>
  <c r="AJ566" i="62"/>
  <c r="AK566" i="62" s="1"/>
  <c r="AJ567" i="62"/>
  <c r="AK567" i="62" s="1"/>
  <c r="AJ568" i="62"/>
  <c r="AK568" i="62" s="1"/>
  <c r="AJ569" i="62"/>
  <c r="AK569" i="62" s="1"/>
  <c r="AJ570" i="62"/>
  <c r="AK570" i="62" s="1"/>
  <c r="AJ571" i="62"/>
  <c r="AK571" i="62" s="1"/>
  <c r="AJ572" i="62"/>
  <c r="AK572" i="62" s="1"/>
  <c r="AJ573" i="62"/>
  <c r="AK573" i="62" s="1"/>
  <c r="AJ574" i="62"/>
  <c r="AK574" i="62" s="1"/>
  <c r="AJ575" i="62"/>
  <c r="AK575" i="62" s="1"/>
  <c r="AJ576" i="62"/>
  <c r="AK576" i="62" s="1"/>
  <c r="AJ577" i="62"/>
  <c r="AK577" i="62" s="1"/>
  <c r="AJ578" i="62"/>
  <c r="AK578" i="62" s="1"/>
  <c r="AJ579" i="62"/>
  <c r="AK579" i="62" s="1"/>
  <c r="AJ580" i="62"/>
  <c r="AK580" i="62" s="1"/>
  <c r="AJ581" i="62"/>
  <c r="AK581" i="62" s="1"/>
  <c r="AJ582" i="62"/>
  <c r="AK582" i="62" s="1"/>
  <c r="AJ583" i="62"/>
  <c r="AK583" i="62" s="1"/>
  <c r="AJ584" i="62"/>
  <c r="AK584" i="62" s="1"/>
  <c r="AJ585" i="62"/>
  <c r="AK585" i="62" s="1"/>
  <c r="AJ586" i="62"/>
  <c r="AK586" i="62" s="1"/>
  <c r="AJ587" i="62"/>
  <c r="AK587" i="62" s="1"/>
  <c r="AJ588" i="62"/>
  <c r="AK588" i="62" s="1"/>
  <c r="AJ589" i="62"/>
  <c r="AK589" i="62" s="1"/>
  <c r="AJ590" i="62"/>
  <c r="AK590" i="62" s="1"/>
  <c r="AJ591" i="62"/>
  <c r="AK591" i="62" s="1"/>
  <c r="AJ592" i="62"/>
  <c r="AK592" i="62" s="1"/>
  <c r="AJ593" i="62"/>
  <c r="AK593" i="62" s="1"/>
  <c r="AJ594" i="62"/>
  <c r="AK594" i="62" s="1"/>
  <c r="AJ595" i="62"/>
  <c r="AK595" i="62" s="1"/>
  <c r="AJ596" i="62"/>
  <c r="AK596" i="62" s="1"/>
  <c r="AJ597" i="62"/>
  <c r="AK597" i="62" s="1"/>
  <c r="AJ598" i="62"/>
  <c r="AK598" i="62" s="1"/>
  <c r="AJ599" i="62"/>
  <c r="AK599" i="62" s="1"/>
  <c r="AJ600" i="62"/>
  <c r="AK600" i="62" s="1"/>
  <c r="AJ601" i="62"/>
  <c r="AK601" i="62" s="1"/>
  <c r="AJ602" i="62"/>
  <c r="AK602" i="62" s="1"/>
  <c r="AJ603" i="62"/>
  <c r="AK603" i="62" s="1"/>
  <c r="AJ604" i="62"/>
  <c r="AK604" i="62" s="1"/>
  <c r="AJ605" i="62"/>
  <c r="AK605" i="62" s="1"/>
  <c r="AJ606" i="62"/>
  <c r="AK606" i="62" s="1"/>
  <c r="AJ607" i="62"/>
  <c r="AK607" i="62" s="1"/>
  <c r="AJ608" i="62"/>
  <c r="AK608" i="62" s="1"/>
  <c r="AJ609" i="62"/>
  <c r="AK609" i="62" s="1"/>
  <c r="AJ610" i="62"/>
  <c r="AK610" i="62" s="1"/>
  <c r="AJ611" i="62"/>
  <c r="AK611" i="62" s="1"/>
  <c r="AJ612" i="62"/>
  <c r="AK612" i="62" s="1"/>
  <c r="AJ613" i="62"/>
  <c r="AK613" i="62" s="1"/>
  <c r="AJ614" i="62"/>
  <c r="AK614" i="62" s="1"/>
  <c r="AJ615" i="62"/>
  <c r="AK615" i="62" s="1"/>
  <c r="AJ616" i="62"/>
  <c r="AK616" i="62" s="1"/>
  <c r="AJ617" i="62"/>
  <c r="AK617" i="62" s="1"/>
  <c r="AJ618" i="62"/>
  <c r="AK618" i="62" s="1"/>
  <c r="AJ619" i="62"/>
  <c r="AK619" i="62" s="1"/>
  <c r="AJ620" i="62"/>
  <c r="AK620" i="62" s="1"/>
  <c r="AJ621" i="62"/>
  <c r="AK621" i="62" s="1"/>
  <c r="AJ622" i="62"/>
  <c r="AK622" i="62" s="1"/>
  <c r="AJ623" i="62"/>
  <c r="AK623" i="62" s="1"/>
  <c r="AJ624" i="62"/>
  <c r="AK624" i="62" s="1"/>
  <c r="AJ625" i="62"/>
  <c r="AK625" i="62" s="1"/>
  <c r="AJ626" i="62"/>
  <c r="AK626" i="62" s="1"/>
  <c r="AJ627" i="62"/>
  <c r="AK627" i="62" s="1"/>
  <c r="AJ628" i="62"/>
  <c r="AK628" i="62" s="1"/>
  <c r="AJ629" i="62"/>
  <c r="AK629" i="62" s="1"/>
  <c r="AJ630" i="62"/>
  <c r="AK630" i="62" s="1"/>
  <c r="AJ631" i="62"/>
  <c r="AK631" i="62" s="1"/>
  <c r="AJ632" i="62"/>
  <c r="AK632" i="62" s="1"/>
  <c r="AJ633" i="62"/>
  <c r="AK633" i="62" s="1"/>
  <c r="AJ634" i="62"/>
  <c r="AK634" i="62" s="1"/>
  <c r="AJ635" i="62"/>
  <c r="AK635" i="62" s="1"/>
  <c r="AJ636" i="62"/>
  <c r="AK636" i="62" s="1"/>
  <c r="AJ637" i="62"/>
  <c r="AK637" i="62" s="1"/>
  <c r="AJ638" i="62"/>
  <c r="AK638" i="62" s="1"/>
  <c r="AJ639" i="62"/>
  <c r="AK639" i="62" s="1"/>
  <c r="AJ640" i="62"/>
  <c r="AK640" i="62" s="1"/>
  <c r="AJ641" i="62"/>
  <c r="AK641" i="62" s="1"/>
  <c r="AJ642" i="62"/>
  <c r="AK642" i="62" s="1"/>
  <c r="AJ643" i="62"/>
  <c r="AK643" i="62" s="1"/>
  <c r="AJ644" i="62"/>
  <c r="AK644" i="62" s="1"/>
  <c r="AJ645" i="62"/>
  <c r="AK645" i="62" s="1"/>
  <c r="AJ646" i="62"/>
  <c r="AK646" i="62" s="1"/>
  <c r="AJ647" i="62"/>
  <c r="AK647" i="62" s="1"/>
  <c r="AJ648" i="62"/>
  <c r="AK648" i="62" s="1"/>
  <c r="AJ649" i="62"/>
  <c r="AK649" i="62" s="1"/>
  <c r="AJ650" i="62"/>
  <c r="AK650" i="62" s="1"/>
  <c r="AJ651" i="62"/>
  <c r="AK651" i="62" s="1"/>
  <c r="AJ652" i="62"/>
  <c r="AK652" i="62" s="1"/>
  <c r="AJ653" i="62"/>
  <c r="AK653" i="62" s="1"/>
  <c r="AJ654" i="62"/>
  <c r="AK654" i="62" s="1"/>
  <c r="AJ655" i="62"/>
  <c r="AK655" i="62" s="1"/>
  <c r="AJ656" i="62"/>
  <c r="AK656" i="62" s="1"/>
  <c r="AJ657" i="62"/>
  <c r="AK657" i="62" s="1"/>
  <c r="AJ658" i="62"/>
  <c r="AK658" i="62" s="1"/>
  <c r="AJ659" i="62"/>
  <c r="AK659" i="62" s="1"/>
  <c r="AJ660" i="62"/>
  <c r="AK660" i="62" s="1"/>
  <c r="AJ661" i="62"/>
  <c r="AK661" i="62" s="1"/>
  <c r="AJ662" i="62"/>
  <c r="AK662" i="62" s="1"/>
  <c r="AJ663" i="62"/>
  <c r="AK663" i="62" s="1"/>
  <c r="AJ664" i="62"/>
  <c r="AK664" i="62" s="1"/>
  <c r="AJ665" i="62"/>
  <c r="AK665" i="62" s="1"/>
  <c r="AJ666" i="62"/>
  <c r="AK666" i="62" s="1"/>
  <c r="AJ667" i="62"/>
  <c r="AK667" i="62" s="1"/>
  <c r="AJ668" i="62"/>
  <c r="AK668" i="62" s="1"/>
  <c r="AJ669" i="62"/>
  <c r="AK669" i="62" s="1"/>
  <c r="AJ670" i="62"/>
  <c r="AK670" i="62" s="1"/>
  <c r="AJ671" i="62"/>
  <c r="AK671" i="62" s="1"/>
  <c r="AJ672" i="62"/>
  <c r="AK672" i="62" s="1"/>
  <c r="AJ673" i="62"/>
  <c r="AK673" i="62" s="1"/>
  <c r="AH7" i="62"/>
  <c r="AI7" i="62" s="1"/>
  <c r="AH8" i="62"/>
  <c r="AI8" i="62" s="1"/>
  <c r="AH9" i="62"/>
  <c r="AI9" i="62" s="1"/>
  <c r="AH10" i="62"/>
  <c r="AI10" i="62" s="1"/>
  <c r="AH11" i="62"/>
  <c r="AI11" i="62" s="1"/>
  <c r="AH12" i="62"/>
  <c r="AI12" i="62" s="1"/>
  <c r="AH13" i="62"/>
  <c r="AI13" i="62" s="1"/>
  <c r="AH14" i="62"/>
  <c r="AI14" i="62" s="1"/>
  <c r="AH15" i="62"/>
  <c r="AI15" i="62" s="1"/>
  <c r="AH16" i="62"/>
  <c r="AI16" i="62" s="1"/>
  <c r="AH17" i="62"/>
  <c r="AI17" i="62" s="1"/>
  <c r="AH18" i="62"/>
  <c r="AI18" i="62" s="1"/>
  <c r="AH19" i="62"/>
  <c r="AI19" i="62" s="1"/>
  <c r="AH20" i="62"/>
  <c r="AI20" i="62" s="1"/>
  <c r="AH21" i="62"/>
  <c r="AI21" i="62" s="1"/>
  <c r="AH22" i="62"/>
  <c r="AI22" i="62" s="1"/>
  <c r="AH23" i="62"/>
  <c r="AI23" i="62" s="1"/>
  <c r="AH24" i="62"/>
  <c r="AI24" i="62" s="1"/>
  <c r="AH25" i="62"/>
  <c r="AI25" i="62" s="1"/>
  <c r="AH26" i="62"/>
  <c r="AI26" i="62" s="1"/>
  <c r="AH27" i="62"/>
  <c r="AI27" i="62" s="1"/>
  <c r="AH28" i="62"/>
  <c r="AI28" i="62" s="1"/>
  <c r="AH29" i="62"/>
  <c r="AI29" i="62" s="1"/>
  <c r="AH30" i="62"/>
  <c r="AI30" i="62" s="1"/>
  <c r="AH31" i="62"/>
  <c r="AI31" i="62" s="1"/>
  <c r="AH32" i="62"/>
  <c r="AI32" i="62" s="1"/>
  <c r="AH33" i="62"/>
  <c r="AI33" i="62" s="1"/>
  <c r="AH34" i="62"/>
  <c r="AI34" i="62" s="1"/>
  <c r="AH35" i="62"/>
  <c r="AI35" i="62" s="1"/>
  <c r="AH36" i="62"/>
  <c r="AI36" i="62" s="1"/>
  <c r="AH37" i="62"/>
  <c r="AI37" i="62" s="1"/>
  <c r="AH38" i="62"/>
  <c r="AI38" i="62" s="1"/>
  <c r="AH39" i="62"/>
  <c r="AI39" i="62" s="1"/>
  <c r="AH40" i="62"/>
  <c r="AI40" i="62" s="1"/>
  <c r="AH41" i="62"/>
  <c r="AI41" i="62" s="1"/>
  <c r="AH42" i="62"/>
  <c r="AI42" i="62" s="1"/>
  <c r="AH43" i="62"/>
  <c r="AI43" i="62" s="1"/>
  <c r="AH44" i="62"/>
  <c r="AI44" i="62" s="1"/>
  <c r="AH45" i="62"/>
  <c r="AI45" i="62" s="1"/>
  <c r="AH46" i="62"/>
  <c r="AI46" i="62" s="1"/>
  <c r="AH47" i="62"/>
  <c r="AI47" i="62" s="1"/>
  <c r="AH48" i="62"/>
  <c r="AI48" i="62" s="1"/>
  <c r="AH49" i="62"/>
  <c r="AI49" i="62" s="1"/>
  <c r="AH50" i="62"/>
  <c r="AI50" i="62" s="1"/>
  <c r="AH51" i="62"/>
  <c r="AI51" i="62" s="1"/>
  <c r="AH52" i="62"/>
  <c r="AI52" i="62" s="1"/>
  <c r="AH53" i="62"/>
  <c r="AI53" i="62" s="1"/>
  <c r="AH54" i="62"/>
  <c r="AI54" i="62" s="1"/>
  <c r="AH55" i="62"/>
  <c r="AI55" i="62" s="1"/>
  <c r="AH56" i="62"/>
  <c r="AI56" i="62" s="1"/>
  <c r="AH57" i="62"/>
  <c r="AI57" i="62" s="1"/>
  <c r="AH58" i="62"/>
  <c r="AI58" i="62" s="1"/>
  <c r="AH59" i="62"/>
  <c r="AI59" i="62" s="1"/>
  <c r="AH60" i="62"/>
  <c r="AI60" i="62" s="1"/>
  <c r="AH61" i="62"/>
  <c r="AI61" i="62" s="1"/>
  <c r="AH62" i="62"/>
  <c r="AI62" i="62" s="1"/>
  <c r="AH63" i="62"/>
  <c r="AI63" i="62" s="1"/>
  <c r="AH64" i="62"/>
  <c r="AI64" i="62" s="1"/>
  <c r="AH65" i="62"/>
  <c r="AI65" i="62" s="1"/>
  <c r="AH66" i="62"/>
  <c r="AI66" i="62" s="1"/>
  <c r="AH67" i="62"/>
  <c r="AI67" i="62" s="1"/>
  <c r="AH68" i="62"/>
  <c r="AI68" i="62" s="1"/>
  <c r="AH69" i="62"/>
  <c r="AI69" i="62" s="1"/>
  <c r="AH70" i="62"/>
  <c r="AI70" i="62" s="1"/>
  <c r="AH71" i="62"/>
  <c r="AI71" i="62" s="1"/>
  <c r="AH72" i="62"/>
  <c r="AI72" i="62" s="1"/>
  <c r="AH73" i="62"/>
  <c r="AI73" i="62" s="1"/>
  <c r="AH74" i="62"/>
  <c r="AI74" i="62" s="1"/>
  <c r="AH75" i="62"/>
  <c r="AI75" i="62" s="1"/>
  <c r="AH76" i="62"/>
  <c r="AI76" i="62" s="1"/>
  <c r="AH77" i="62"/>
  <c r="AI77" i="62" s="1"/>
  <c r="AH78" i="62"/>
  <c r="AI78" i="62" s="1"/>
  <c r="AH79" i="62"/>
  <c r="AI79" i="62" s="1"/>
  <c r="AH80" i="62"/>
  <c r="AI80" i="62" s="1"/>
  <c r="AH81" i="62"/>
  <c r="AI81" i="62" s="1"/>
  <c r="AH82" i="62"/>
  <c r="AI82" i="62" s="1"/>
  <c r="AH83" i="62"/>
  <c r="AI83" i="62" s="1"/>
  <c r="AH84" i="62"/>
  <c r="AI84" i="62" s="1"/>
  <c r="AH85" i="62"/>
  <c r="AI85" i="62" s="1"/>
  <c r="AH86" i="62"/>
  <c r="AI86" i="62" s="1"/>
  <c r="AH87" i="62"/>
  <c r="AI87" i="62" s="1"/>
  <c r="AH88" i="62"/>
  <c r="AI88" i="62" s="1"/>
  <c r="AH89" i="62"/>
  <c r="AI89" i="62" s="1"/>
  <c r="AH90" i="62"/>
  <c r="AI90" i="62" s="1"/>
  <c r="AH91" i="62"/>
  <c r="AI91" i="62" s="1"/>
  <c r="AH92" i="62"/>
  <c r="AI92" i="62" s="1"/>
  <c r="AH93" i="62"/>
  <c r="AI93" i="62" s="1"/>
  <c r="AH94" i="62"/>
  <c r="AI94" i="62" s="1"/>
  <c r="AH95" i="62"/>
  <c r="AI95" i="62" s="1"/>
  <c r="AH96" i="62"/>
  <c r="AI96" i="62" s="1"/>
  <c r="AH97" i="62"/>
  <c r="AI97" i="62" s="1"/>
  <c r="AH98" i="62"/>
  <c r="AI98" i="62" s="1"/>
  <c r="AH99" i="62"/>
  <c r="AI99" i="62" s="1"/>
  <c r="AH100" i="62"/>
  <c r="AI100" i="62" s="1"/>
  <c r="AH101" i="62"/>
  <c r="AI101" i="62" s="1"/>
  <c r="AH102" i="62"/>
  <c r="AI102" i="62" s="1"/>
  <c r="AH103" i="62"/>
  <c r="AI103" i="62" s="1"/>
  <c r="AH104" i="62"/>
  <c r="AI104" i="62" s="1"/>
  <c r="AH105" i="62"/>
  <c r="AI105" i="62" s="1"/>
  <c r="AH106" i="62"/>
  <c r="AI106" i="62" s="1"/>
  <c r="AH107" i="62"/>
  <c r="AI107" i="62" s="1"/>
  <c r="AH108" i="62"/>
  <c r="AI108" i="62" s="1"/>
  <c r="AH109" i="62"/>
  <c r="AI109" i="62" s="1"/>
  <c r="AH110" i="62"/>
  <c r="AI110" i="62" s="1"/>
  <c r="AH111" i="62"/>
  <c r="AI111" i="62" s="1"/>
  <c r="AH112" i="62"/>
  <c r="AI112" i="62" s="1"/>
  <c r="AH113" i="62"/>
  <c r="AI113" i="62" s="1"/>
  <c r="AH114" i="62"/>
  <c r="AI114" i="62" s="1"/>
  <c r="AH115" i="62"/>
  <c r="AI115" i="62" s="1"/>
  <c r="AH116" i="62"/>
  <c r="AI116" i="62" s="1"/>
  <c r="AH117" i="62"/>
  <c r="AI117" i="62" s="1"/>
  <c r="AH118" i="62"/>
  <c r="AI118" i="62" s="1"/>
  <c r="AH119" i="62"/>
  <c r="AI119" i="62" s="1"/>
  <c r="AH120" i="62"/>
  <c r="AI120" i="62" s="1"/>
  <c r="AH121" i="62"/>
  <c r="AI121" i="62" s="1"/>
  <c r="AH122" i="62"/>
  <c r="AI122" i="62" s="1"/>
  <c r="AH123" i="62"/>
  <c r="AI123" i="62" s="1"/>
  <c r="AH124" i="62"/>
  <c r="AI124" i="62" s="1"/>
  <c r="AH125" i="62"/>
  <c r="AI125" i="62" s="1"/>
  <c r="AH126" i="62"/>
  <c r="AI126" i="62" s="1"/>
  <c r="AH127" i="62"/>
  <c r="AI127" i="62" s="1"/>
  <c r="AH128" i="62"/>
  <c r="AI128" i="62" s="1"/>
  <c r="AH129" i="62"/>
  <c r="AI129" i="62" s="1"/>
  <c r="AH130" i="62"/>
  <c r="AI130" i="62" s="1"/>
  <c r="AH131" i="62"/>
  <c r="AI131" i="62" s="1"/>
  <c r="AH132" i="62"/>
  <c r="AI132" i="62" s="1"/>
  <c r="AH133" i="62"/>
  <c r="AI133" i="62" s="1"/>
  <c r="AH134" i="62"/>
  <c r="AI134" i="62" s="1"/>
  <c r="AH135" i="62"/>
  <c r="AI135" i="62" s="1"/>
  <c r="AH136" i="62"/>
  <c r="AI136" i="62" s="1"/>
  <c r="AH137" i="62"/>
  <c r="AI137" i="62" s="1"/>
  <c r="AH138" i="62"/>
  <c r="AI138" i="62" s="1"/>
  <c r="AH139" i="62"/>
  <c r="AI139" i="62" s="1"/>
  <c r="AH140" i="62"/>
  <c r="AI140" i="62" s="1"/>
  <c r="AH141" i="62"/>
  <c r="AI141" i="62" s="1"/>
  <c r="AH142" i="62"/>
  <c r="AI142" i="62" s="1"/>
  <c r="AH143" i="62"/>
  <c r="AI143" i="62" s="1"/>
  <c r="AH144" i="62"/>
  <c r="AI144" i="62" s="1"/>
  <c r="AH145" i="62"/>
  <c r="AI145" i="62" s="1"/>
  <c r="AH146" i="62"/>
  <c r="AI146" i="62" s="1"/>
  <c r="AH147" i="62"/>
  <c r="AI147" i="62" s="1"/>
  <c r="AH148" i="62"/>
  <c r="AI148" i="62" s="1"/>
  <c r="AH149" i="62"/>
  <c r="AI149" i="62" s="1"/>
  <c r="AH150" i="62"/>
  <c r="AI150" i="62" s="1"/>
  <c r="AH151" i="62"/>
  <c r="AI151" i="62" s="1"/>
  <c r="AH152" i="62"/>
  <c r="AI152" i="62" s="1"/>
  <c r="AH153" i="62"/>
  <c r="AI153" i="62" s="1"/>
  <c r="AH154" i="62"/>
  <c r="AI154" i="62" s="1"/>
  <c r="AH155" i="62"/>
  <c r="AI155" i="62" s="1"/>
  <c r="AH156" i="62"/>
  <c r="AI156" i="62" s="1"/>
  <c r="AH157" i="62"/>
  <c r="AI157" i="62" s="1"/>
  <c r="AH158" i="62"/>
  <c r="AI158" i="62" s="1"/>
  <c r="AH159" i="62"/>
  <c r="AI159" i="62" s="1"/>
  <c r="AH160" i="62"/>
  <c r="AI160" i="62" s="1"/>
  <c r="AH161" i="62"/>
  <c r="AI161" i="62" s="1"/>
  <c r="AH162" i="62"/>
  <c r="AI162" i="62" s="1"/>
  <c r="AH163" i="62"/>
  <c r="AI163" i="62" s="1"/>
  <c r="AH164" i="62"/>
  <c r="AI164" i="62" s="1"/>
  <c r="AH165" i="62"/>
  <c r="AI165" i="62" s="1"/>
  <c r="AH166" i="62"/>
  <c r="AI166" i="62" s="1"/>
  <c r="AH167" i="62"/>
  <c r="AI167" i="62" s="1"/>
  <c r="AH168" i="62"/>
  <c r="AI168" i="62" s="1"/>
  <c r="AH169" i="62"/>
  <c r="AI169" i="62" s="1"/>
  <c r="AH170" i="62"/>
  <c r="AI170" i="62" s="1"/>
  <c r="AH171" i="62"/>
  <c r="AI171" i="62" s="1"/>
  <c r="AH172" i="62"/>
  <c r="AI172" i="62" s="1"/>
  <c r="AH173" i="62"/>
  <c r="AI173" i="62" s="1"/>
  <c r="AH174" i="62"/>
  <c r="AI174" i="62" s="1"/>
  <c r="AH175" i="62"/>
  <c r="AI175" i="62" s="1"/>
  <c r="AH176" i="62"/>
  <c r="AI176" i="62" s="1"/>
  <c r="AH177" i="62"/>
  <c r="AI177" i="62" s="1"/>
  <c r="AH178" i="62"/>
  <c r="AI178" i="62" s="1"/>
  <c r="AH179" i="62"/>
  <c r="AI179" i="62" s="1"/>
  <c r="AH180" i="62"/>
  <c r="AI180" i="62" s="1"/>
  <c r="AH181" i="62"/>
  <c r="AI181" i="62" s="1"/>
  <c r="AH182" i="62"/>
  <c r="AI182" i="62" s="1"/>
  <c r="AH183" i="62"/>
  <c r="AI183" i="62" s="1"/>
  <c r="AH184" i="62"/>
  <c r="AI184" i="62" s="1"/>
  <c r="AH185" i="62"/>
  <c r="AI185" i="62" s="1"/>
  <c r="AH186" i="62"/>
  <c r="AI186" i="62" s="1"/>
  <c r="AH187" i="62"/>
  <c r="AI187" i="62" s="1"/>
  <c r="AH188" i="62"/>
  <c r="AI188" i="62" s="1"/>
  <c r="AH189" i="62"/>
  <c r="AI189" i="62" s="1"/>
  <c r="AH190" i="62"/>
  <c r="AI190" i="62" s="1"/>
  <c r="AH191" i="62"/>
  <c r="AI191" i="62" s="1"/>
  <c r="AH192" i="62"/>
  <c r="AI192" i="62" s="1"/>
  <c r="AH193" i="62"/>
  <c r="AI193" i="62" s="1"/>
  <c r="AH194" i="62"/>
  <c r="AI194" i="62" s="1"/>
  <c r="AH195" i="62"/>
  <c r="AI195" i="62" s="1"/>
  <c r="AH196" i="62"/>
  <c r="AI196" i="62" s="1"/>
  <c r="AH197" i="62"/>
  <c r="AI197" i="62" s="1"/>
  <c r="AH198" i="62"/>
  <c r="AI198" i="62" s="1"/>
  <c r="AH199" i="62"/>
  <c r="AI199" i="62" s="1"/>
  <c r="AH200" i="62"/>
  <c r="AI200" i="62" s="1"/>
  <c r="AH201" i="62"/>
  <c r="AI201" i="62" s="1"/>
  <c r="AH202" i="62"/>
  <c r="AI202" i="62" s="1"/>
  <c r="AH203" i="62"/>
  <c r="AI203" i="62" s="1"/>
  <c r="AH204" i="62"/>
  <c r="AI204" i="62" s="1"/>
  <c r="AH205" i="62"/>
  <c r="AI205" i="62" s="1"/>
  <c r="AH206" i="62"/>
  <c r="AI206" i="62" s="1"/>
  <c r="AH207" i="62"/>
  <c r="AI207" i="62" s="1"/>
  <c r="AH208" i="62"/>
  <c r="AI208" i="62" s="1"/>
  <c r="AH209" i="62"/>
  <c r="AI209" i="62" s="1"/>
  <c r="AH210" i="62"/>
  <c r="AI210" i="62" s="1"/>
  <c r="AH211" i="62"/>
  <c r="AI211" i="62" s="1"/>
  <c r="AH212" i="62"/>
  <c r="AI212" i="62" s="1"/>
  <c r="AH213" i="62"/>
  <c r="AI213" i="62" s="1"/>
  <c r="AH214" i="62"/>
  <c r="AI214" i="62" s="1"/>
  <c r="AH215" i="62"/>
  <c r="AI215" i="62" s="1"/>
  <c r="AH216" i="62"/>
  <c r="AI216" i="62" s="1"/>
  <c r="AH217" i="62"/>
  <c r="AI217" i="62" s="1"/>
  <c r="AH218" i="62"/>
  <c r="AI218" i="62" s="1"/>
  <c r="AH219" i="62"/>
  <c r="AI219" i="62" s="1"/>
  <c r="AH220" i="62"/>
  <c r="AI220" i="62" s="1"/>
  <c r="AH221" i="62"/>
  <c r="AI221" i="62" s="1"/>
  <c r="AH222" i="62"/>
  <c r="AI222" i="62" s="1"/>
  <c r="AH223" i="62"/>
  <c r="AI223" i="62" s="1"/>
  <c r="AH224" i="62"/>
  <c r="AI224" i="62" s="1"/>
  <c r="AH225" i="62"/>
  <c r="AI225" i="62" s="1"/>
  <c r="AH226" i="62"/>
  <c r="AI226" i="62" s="1"/>
  <c r="AH227" i="62"/>
  <c r="AI227" i="62" s="1"/>
  <c r="AH228" i="62"/>
  <c r="AI228" i="62" s="1"/>
  <c r="AH229" i="62"/>
  <c r="AI229" i="62" s="1"/>
  <c r="AH230" i="62"/>
  <c r="AI230" i="62" s="1"/>
  <c r="AH231" i="62"/>
  <c r="AI231" i="62" s="1"/>
  <c r="AH232" i="62"/>
  <c r="AI232" i="62" s="1"/>
  <c r="AH233" i="62"/>
  <c r="AI233" i="62" s="1"/>
  <c r="AH234" i="62"/>
  <c r="AI234" i="62" s="1"/>
  <c r="AH235" i="62"/>
  <c r="AI235" i="62" s="1"/>
  <c r="AH236" i="62"/>
  <c r="AI236" i="62" s="1"/>
  <c r="AH237" i="62"/>
  <c r="AI237" i="62" s="1"/>
  <c r="AH238" i="62"/>
  <c r="AI238" i="62" s="1"/>
  <c r="AH239" i="62"/>
  <c r="AI239" i="62" s="1"/>
  <c r="AH240" i="62"/>
  <c r="AI240" i="62" s="1"/>
  <c r="AH241" i="62"/>
  <c r="AI241" i="62" s="1"/>
  <c r="AH242" i="62"/>
  <c r="AI242" i="62" s="1"/>
  <c r="AH243" i="62"/>
  <c r="AI243" i="62" s="1"/>
  <c r="AH244" i="62"/>
  <c r="AI244" i="62" s="1"/>
  <c r="AH245" i="62"/>
  <c r="AI245" i="62" s="1"/>
  <c r="AH246" i="62"/>
  <c r="AI246" i="62" s="1"/>
  <c r="AH247" i="62"/>
  <c r="AI247" i="62" s="1"/>
  <c r="AH248" i="62"/>
  <c r="AI248" i="62" s="1"/>
  <c r="AH249" i="62"/>
  <c r="AI249" i="62" s="1"/>
  <c r="AH250" i="62"/>
  <c r="AI250" i="62" s="1"/>
  <c r="AH251" i="62"/>
  <c r="AI251" i="62" s="1"/>
  <c r="AH252" i="62"/>
  <c r="AI252" i="62" s="1"/>
  <c r="AH253" i="62"/>
  <c r="AI253" i="62" s="1"/>
  <c r="AH254" i="62"/>
  <c r="AI254" i="62" s="1"/>
  <c r="AH255" i="62"/>
  <c r="AI255" i="62" s="1"/>
  <c r="AH256" i="62"/>
  <c r="AI256" i="62" s="1"/>
  <c r="AH257" i="62"/>
  <c r="AI257" i="62" s="1"/>
  <c r="AH258" i="62"/>
  <c r="AI258" i="62" s="1"/>
  <c r="AH259" i="62"/>
  <c r="AI259" i="62" s="1"/>
  <c r="AH260" i="62"/>
  <c r="AI260" i="62" s="1"/>
  <c r="AH261" i="62"/>
  <c r="AI261" i="62" s="1"/>
  <c r="AH262" i="62"/>
  <c r="AI262" i="62" s="1"/>
  <c r="AH263" i="62"/>
  <c r="AI263" i="62" s="1"/>
  <c r="AH264" i="62"/>
  <c r="AI264" i="62" s="1"/>
  <c r="AH265" i="62"/>
  <c r="AI265" i="62" s="1"/>
  <c r="AH266" i="62"/>
  <c r="AI266" i="62" s="1"/>
  <c r="AH267" i="62"/>
  <c r="AI267" i="62" s="1"/>
  <c r="AH268" i="62"/>
  <c r="AI268" i="62" s="1"/>
  <c r="AH269" i="62"/>
  <c r="AI269" i="62" s="1"/>
  <c r="AH270" i="62"/>
  <c r="AI270" i="62" s="1"/>
  <c r="AH271" i="62"/>
  <c r="AI271" i="62" s="1"/>
  <c r="AH272" i="62"/>
  <c r="AI272" i="62" s="1"/>
  <c r="AH273" i="62"/>
  <c r="AI273" i="62" s="1"/>
  <c r="AH274" i="62"/>
  <c r="AI274" i="62" s="1"/>
  <c r="AH275" i="62"/>
  <c r="AI275" i="62" s="1"/>
  <c r="AH276" i="62"/>
  <c r="AI276" i="62" s="1"/>
  <c r="AH277" i="62"/>
  <c r="AI277" i="62" s="1"/>
  <c r="AH278" i="62"/>
  <c r="AI278" i="62" s="1"/>
  <c r="AH279" i="62"/>
  <c r="AI279" i="62" s="1"/>
  <c r="AH280" i="62"/>
  <c r="AI280" i="62" s="1"/>
  <c r="AH281" i="62"/>
  <c r="AI281" i="62" s="1"/>
  <c r="AH282" i="62"/>
  <c r="AI282" i="62" s="1"/>
  <c r="AH283" i="62"/>
  <c r="AI283" i="62" s="1"/>
  <c r="AH284" i="62"/>
  <c r="AI284" i="62" s="1"/>
  <c r="AH285" i="62"/>
  <c r="AI285" i="62" s="1"/>
  <c r="AH286" i="62"/>
  <c r="AI286" i="62" s="1"/>
  <c r="AH287" i="62"/>
  <c r="AI287" i="62" s="1"/>
  <c r="AH288" i="62"/>
  <c r="AI288" i="62" s="1"/>
  <c r="AH289" i="62"/>
  <c r="AI289" i="62" s="1"/>
  <c r="AH290" i="62"/>
  <c r="AI290" i="62" s="1"/>
  <c r="AH291" i="62"/>
  <c r="AI291" i="62" s="1"/>
  <c r="AH292" i="62"/>
  <c r="AI292" i="62" s="1"/>
  <c r="AH293" i="62"/>
  <c r="AI293" i="62" s="1"/>
  <c r="AH294" i="62"/>
  <c r="AI294" i="62" s="1"/>
  <c r="AH295" i="62"/>
  <c r="AI295" i="62" s="1"/>
  <c r="AH296" i="62"/>
  <c r="AI296" i="62" s="1"/>
  <c r="AH297" i="62"/>
  <c r="AI297" i="62" s="1"/>
  <c r="AH298" i="62"/>
  <c r="AI298" i="62" s="1"/>
  <c r="AH299" i="62"/>
  <c r="AI299" i="62" s="1"/>
  <c r="AH300" i="62"/>
  <c r="AI300" i="62" s="1"/>
  <c r="AH301" i="62"/>
  <c r="AI301" i="62" s="1"/>
  <c r="AH302" i="62"/>
  <c r="AI302" i="62" s="1"/>
  <c r="AH303" i="62"/>
  <c r="AI303" i="62" s="1"/>
  <c r="AH304" i="62"/>
  <c r="AI304" i="62" s="1"/>
  <c r="AH305" i="62"/>
  <c r="AI305" i="62" s="1"/>
  <c r="AH306" i="62"/>
  <c r="AI306" i="62" s="1"/>
  <c r="AH307" i="62"/>
  <c r="AI307" i="62" s="1"/>
  <c r="AH308" i="62"/>
  <c r="AI308" i="62" s="1"/>
  <c r="AH309" i="62"/>
  <c r="AI309" i="62" s="1"/>
  <c r="AH310" i="62"/>
  <c r="AI310" i="62" s="1"/>
  <c r="AH311" i="62"/>
  <c r="AI311" i="62" s="1"/>
  <c r="AH312" i="62"/>
  <c r="AI312" i="62" s="1"/>
  <c r="AH313" i="62"/>
  <c r="AI313" i="62" s="1"/>
  <c r="AH314" i="62"/>
  <c r="AI314" i="62" s="1"/>
  <c r="AH315" i="62"/>
  <c r="AI315" i="62" s="1"/>
  <c r="AH316" i="62"/>
  <c r="AI316" i="62" s="1"/>
  <c r="AH317" i="62"/>
  <c r="AI317" i="62" s="1"/>
  <c r="AH318" i="62"/>
  <c r="AI318" i="62" s="1"/>
  <c r="AH319" i="62"/>
  <c r="AI319" i="62" s="1"/>
  <c r="AH320" i="62"/>
  <c r="AI320" i="62" s="1"/>
  <c r="AH321" i="62"/>
  <c r="AI321" i="62" s="1"/>
  <c r="AH322" i="62"/>
  <c r="AI322" i="62" s="1"/>
  <c r="AH323" i="62"/>
  <c r="AI323" i="62" s="1"/>
  <c r="AH324" i="62"/>
  <c r="AI324" i="62" s="1"/>
  <c r="AH325" i="62"/>
  <c r="AI325" i="62" s="1"/>
  <c r="AH326" i="62"/>
  <c r="AI326" i="62" s="1"/>
  <c r="AH327" i="62"/>
  <c r="AI327" i="62" s="1"/>
  <c r="AH328" i="62"/>
  <c r="AI328" i="62" s="1"/>
  <c r="AH329" i="62"/>
  <c r="AI329" i="62" s="1"/>
  <c r="AH330" i="62"/>
  <c r="AI330" i="62" s="1"/>
  <c r="AH331" i="62"/>
  <c r="AI331" i="62" s="1"/>
  <c r="AH332" i="62"/>
  <c r="AI332" i="62" s="1"/>
  <c r="AH333" i="62"/>
  <c r="AI333" i="62" s="1"/>
  <c r="AH334" i="62"/>
  <c r="AI334" i="62" s="1"/>
  <c r="AH335" i="62"/>
  <c r="AI335" i="62" s="1"/>
  <c r="AH336" i="62"/>
  <c r="AI336" i="62" s="1"/>
  <c r="AH337" i="62"/>
  <c r="AI337" i="62" s="1"/>
  <c r="AH338" i="62"/>
  <c r="AI338" i="62" s="1"/>
  <c r="AH339" i="62"/>
  <c r="AI339" i="62" s="1"/>
  <c r="AH340" i="62"/>
  <c r="AI340" i="62" s="1"/>
  <c r="AH341" i="62"/>
  <c r="AI341" i="62" s="1"/>
  <c r="AH342" i="62"/>
  <c r="AI342" i="62" s="1"/>
  <c r="AH343" i="62"/>
  <c r="AI343" i="62" s="1"/>
  <c r="AH344" i="62"/>
  <c r="AI344" i="62" s="1"/>
  <c r="AH345" i="62"/>
  <c r="AI345" i="62" s="1"/>
  <c r="AH346" i="62"/>
  <c r="AI346" i="62" s="1"/>
  <c r="AH347" i="62"/>
  <c r="AI347" i="62" s="1"/>
  <c r="AH348" i="62"/>
  <c r="AI348" i="62" s="1"/>
  <c r="AH349" i="62"/>
  <c r="AI349" i="62" s="1"/>
  <c r="AH350" i="62"/>
  <c r="AI350" i="62" s="1"/>
  <c r="AH351" i="62"/>
  <c r="AI351" i="62" s="1"/>
  <c r="AH352" i="62"/>
  <c r="AI352" i="62" s="1"/>
  <c r="AH353" i="62"/>
  <c r="AI353" i="62" s="1"/>
  <c r="AH354" i="62"/>
  <c r="AI354" i="62" s="1"/>
  <c r="AH355" i="62"/>
  <c r="AI355" i="62" s="1"/>
  <c r="AH356" i="62"/>
  <c r="AI356" i="62" s="1"/>
  <c r="AH357" i="62"/>
  <c r="AI357" i="62" s="1"/>
  <c r="AH358" i="62"/>
  <c r="AI358" i="62" s="1"/>
  <c r="AH359" i="62"/>
  <c r="AI359" i="62" s="1"/>
  <c r="AH360" i="62"/>
  <c r="AI360" i="62" s="1"/>
  <c r="AH361" i="62"/>
  <c r="AI361" i="62" s="1"/>
  <c r="AH362" i="62"/>
  <c r="AI362" i="62" s="1"/>
  <c r="AH363" i="62"/>
  <c r="AI363" i="62" s="1"/>
  <c r="AH364" i="62"/>
  <c r="AI364" i="62" s="1"/>
  <c r="AH365" i="62"/>
  <c r="AI365" i="62" s="1"/>
  <c r="AH366" i="62"/>
  <c r="AI366" i="62" s="1"/>
  <c r="AH367" i="62"/>
  <c r="AI367" i="62" s="1"/>
  <c r="AH368" i="62"/>
  <c r="AI368" i="62" s="1"/>
  <c r="AH369" i="62"/>
  <c r="AI369" i="62" s="1"/>
  <c r="AH370" i="62"/>
  <c r="AI370" i="62" s="1"/>
  <c r="AH371" i="62"/>
  <c r="AI371" i="62" s="1"/>
  <c r="AH372" i="62"/>
  <c r="AI372" i="62" s="1"/>
  <c r="AH373" i="62"/>
  <c r="AI373" i="62" s="1"/>
  <c r="AH374" i="62"/>
  <c r="AI374" i="62" s="1"/>
  <c r="AH375" i="62"/>
  <c r="AI375" i="62" s="1"/>
  <c r="AH376" i="62"/>
  <c r="AI376" i="62" s="1"/>
  <c r="AH377" i="62"/>
  <c r="AI377" i="62" s="1"/>
  <c r="AH378" i="62"/>
  <c r="AI378" i="62" s="1"/>
  <c r="AH379" i="62"/>
  <c r="AI379" i="62" s="1"/>
  <c r="AH380" i="62"/>
  <c r="AI380" i="62" s="1"/>
  <c r="AH381" i="62"/>
  <c r="AI381" i="62" s="1"/>
  <c r="AH382" i="62"/>
  <c r="AI382" i="62" s="1"/>
  <c r="AH383" i="62"/>
  <c r="AI383" i="62" s="1"/>
  <c r="AH384" i="62"/>
  <c r="AI384" i="62" s="1"/>
  <c r="AH385" i="62"/>
  <c r="AI385" i="62" s="1"/>
  <c r="AH386" i="62"/>
  <c r="AI386" i="62" s="1"/>
  <c r="AH387" i="62"/>
  <c r="AI387" i="62" s="1"/>
  <c r="AH388" i="62"/>
  <c r="AI388" i="62" s="1"/>
  <c r="AH389" i="62"/>
  <c r="AI389" i="62" s="1"/>
  <c r="AH390" i="62"/>
  <c r="AI390" i="62" s="1"/>
  <c r="AH391" i="62"/>
  <c r="AI391" i="62" s="1"/>
  <c r="AH392" i="62"/>
  <c r="AI392" i="62" s="1"/>
  <c r="AH393" i="62"/>
  <c r="AI393" i="62" s="1"/>
  <c r="AH394" i="62"/>
  <c r="AI394" i="62" s="1"/>
  <c r="AH395" i="62"/>
  <c r="AI395" i="62" s="1"/>
  <c r="AH396" i="62"/>
  <c r="AI396" i="62" s="1"/>
  <c r="AH397" i="62"/>
  <c r="AI397" i="62" s="1"/>
  <c r="AH398" i="62"/>
  <c r="AI398" i="62" s="1"/>
  <c r="AH399" i="62"/>
  <c r="AI399" i="62" s="1"/>
  <c r="AH400" i="62"/>
  <c r="AI400" i="62" s="1"/>
  <c r="AH401" i="62"/>
  <c r="AI401" i="62" s="1"/>
  <c r="AH402" i="62"/>
  <c r="AI402" i="62" s="1"/>
  <c r="AH403" i="62"/>
  <c r="AI403" i="62" s="1"/>
  <c r="AH404" i="62"/>
  <c r="AI404" i="62" s="1"/>
  <c r="AH405" i="62"/>
  <c r="AI405" i="62" s="1"/>
  <c r="AH406" i="62"/>
  <c r="AI406" i="62" s="1"/>
  <c r="AH407" i="62"/>
  <c r="AI407" i="62" s="1"/>
  <c r="AH408" i="62"/>
  <c r="AI408" i="62" s="1"/>
  <c r="AH409" i="62"/>
  <c r="AI409" i="62" s="1"/>
  <c r="AH410" i="62"/>
  <c r="AI410" i="62" s="1"/>
  <c r="AH411" i="62"/>
  <c r="AI411" i="62" s="1"/>
  <c r="AH412" i="62"/>
  <c r="AI412" i="62" s="1"/>
  <c r="AH413" i="62"/>
  <c r="AI413" i="62" s="1"/>
  <c r="AH414" i="62"/>
  <c r="AI414" i="62" s="1"/>
  <c r="AH415" i="62"/>
  <c r="AI415" i="62" s="1"/>
  <c r="AH416" i="62"/>
  <c r="AI416" i="62" s="1"/>
  <c r="AH417" i="62"/>
  <c r="AI417" i="62" s="1"/>
  <c r="AH418" i="62"/>
  <c r="AI418" i="62" s="1"/>
  <c r="AH419" i="62"/>
  <c r="AI419" i="62" s="1"/>
  <c r="AH420" i="62"/>
  <c r="AI420" i="62" s="1"/>
  <c r="AH421" i="62"/>
  <c r="AI421" i="62" s="1"/>
  <c r="AH422" i="62"/>
  <c r="AI422" i="62" s="1"/>
  <c r="AH423" i="62"/>
  <c r="AI423" i="62" s="1"/>
  <c r="AH424" i="62"/>
  <c r="AI424" i="62" s="1"/>
  <c r="AH425" i="62"/>
  <c r="AI425" i="62" s="1"/>
  <c r="AH426" i="62"/>
  <c r="AI426" i="62" s="1"/>
  <c r="AH427" i="62"/>
  <c r="AI427" i="62" s="1"/>
  <c r="AH428" i="62"/>
  <c r="AI428" i="62" s="1"/>
  <c r="AH429" i="62"/>
  <c r="AI429" i="62" s="1"/>
  <c r="AH430" i="62"/>
  <c r="AI430" i="62" s="1"/>
  <c r="AH431" i="62"/>
  <c r="AI431" i="62" s="1"/>
  <c r="AH432" i="62"/>
  <c r="AI432" i="62" s="1"/>
  <c r="AH433" i="62"/>
  <c r="AI433" i="62" s="1"/>
  <c r="AH434" i="62"/>
  <c r="AI434" i="62" s="1"/>
  <c r="AH435" i="62"/>
  <c r="AI435" i="62" s="1"/>
  <c r="AH436" i="62"/>
  <c r="AI436" i="62" s="1"/>
  <c r="AH437" i="62"/>
  <c r="AI437" i="62" s="1"/>
  <c r="AH438" i="62"/>
  <c r="AI438" i="62" s="1"/>
  <c r="AH439" i="62"/>
  <c r="AI439" i="62" s="1"/>
  <c r="AH440" i="62"/>
  <c r="AI440" i="62" s="1"/>
  <c r="AH441" i="62"/>
  <c r="AI441" i="62" s="1"/>
  <c r="AH442" i="62"/>
  <c r="AI442" i="62" s="1"/>
  <c r="AH443" i="62"/>
  <c r="AI443" i="62" s="1"/>
  <c r="AH444" i="62"/>
  <c r="AI444" i="62" s="1"/>
  <c r="AH445" i="62"/>
  <c r="AI445" i="62" s="1"/>
  <c r="AH446" i="62"/>
  <c r="AI446" i="62" s="1"/>
  <c r="AH447" i="62"/>
  <c r="AI447" i="62" s="1"/>
  <c r="AH448" i="62"/>
  <c r="AI448" i="62" s="1"/>
  <c r="AH449" i="62"/>
  <c r="AI449" i="62" s="1"/>
  <c r="AH450" i="62"/>
  <c r="AI450" i="62" s="1"/>
  <c r="AH451" i="62"/>
  <c r="AI451" i="62" s="1"/>
  <c r="AH452" i="62"/>
  <c r="AI452" i="62" s="1"/>
  <c r="AH453" i="62"/>
  <c r="AI453" i="62" s="1"/>
  <c r="AH454" i="62"/>
  <c r="AI454" i="62" s="1"/>
  <c r="AH455" i="62"/>
  <c r="AI455" i="62" s="1"/>
  <c r="AH456" i="62"/>
  <c r="AI456" i="62" s="1"/>
  <c r="AH457" i="62"/>
  <c r="AI457" i="62" s="1"/>
  <c r="AH458" i="62"/>
  <c r="AI458" i="62" s="1"/>
  <c r="AH459" i="62"/>
  <c r="AI459" i="62" s="1"/>
  <c r="AH460" i="62"/>
  <c r="AI460" i="62" s="1"/>
  <c r="AH461" i="62"/>
  <c r="AI461" i="62" s="1"/>
  <c r="AH462" i="62"/>
  <c r="AI462" i="62" s="1"/>
  <c r="AH463" i="62"/>
  <c r="AI463" i="62" s="1"/>
  <c r="AH464" i="62"/>
  <c r="AI464" i="62" s="1"/>
  <c r="AH465" i="62"/>
  <c r="AI465" i="62" s="1"/>
  <c r="AH466" i="62"/>
  <c r="AI466" i="62" s="1"/>
  <c r="AH467" i="62"/>
  <c r="AI467" i="62" s="1"/>
  <c r="AH468" i="62"/>
  <c r="AI468" i="62" s="1"/>
  <c r="AH469" i="62"/>
  <c r="AI469" i="62" s="1"/>
  <c r="AH470" i="62"/>
  <c r="AI470" i="62" s="1"/>
  <c r="AH471" i="62"/>
  <c r="AI471" i="62" s="1"/>
  <c r="AH472" i="62"/>
  <c r="AI472" i="62" s="1"/>
  <c r="AH473" i="62"/>
  <c r="AI473" i="62" s="1"/>
  <c r="AH474" i="62"/>
  <c r="AI474" i="62" s="1"/>
  <c r="AH475" i="62"/>
  <c r="AI475" i="62" s="1"/>
  <c r="AH476" i="62"/>
  <c r="AI476" i="62" s="1"/>
  <c r="AH477" i="62"/>
  <c r="AI477" i="62" s="1"/>
  <c r="AH478" i="62"/>
  <c r="AI478" i="62" s="1"/>
  <c r="AH479" i="62"/>
  <c r="AI479" i="62" s="1"/>
  <c r="AH480" i="62"/>
  <c r="AI480" i="62" s="1"/>
  <c r="AH481" i="62"/>
  <c r="AI481" i="62" s="1"/>
  <c r="AH482" i="62"/>
  <c r="AI482" i="62" s="1"/>
  <c r="AH483" i="62"/>
  <c r="AI483" i="62" s="1"/>
  <c r="AH484" i="62"/>
  <c r="AI484" i="62" s="1"/>
  <c r="AH485" i="62"/>
  <c r="AI485" i="62" s="1"/>
  <c r="AH486" i="62"/>
  <c r="AI486" i="62" s="1"/>
  <c r="AH487" i="62"/>
  <c r="AI487" i="62" s="1"/>
  <c r="AH488" i="62"/>
  <c r="AI488" i="62" s="1"/>
  <c r="AH489" i="62"/>
  <c r="AI489" i="62" s="1"/>
  <c r="AH490" i="62"/>
  <c r="AI490" i="62" s="1"/>
  <c r="AH491" i="62"/>
  <c r="AI491" i="62" s="1"/>
  <c r="AH492" i="62"/>
  <c r="AI492" i="62" s="1"/>
  <c r="AH493" i="62"/>
  <c r="AI493" i="62" s="1"/>
  <c r="AH494" i="62"/>
  <c r="AI494" i="62" s="1"/>
  <c r="AH495" i="62"/>
  <c r="AI495" i="62" s="1"/>
  <c r="AH496" i="62"/>
  <c r="AI496" i="62" s="1"/>
  <c r="AH497" i="62"/>
  <c r="AI497" i="62" s="1"/>
  <c r="AH498" i="62"/>
  <c r="AI498" i="62" s="1"/>
  <c r="AH499" i="62"/>
  <c r="AI499" i="62" s="1"/>
  <c r="AH500" i="62"/>
  <c r="AI500" i="62" s="1"/>
  <c r="AH501" i="62"/>
  <c r="AI501" i="62" s="1"/>
  <c r="AH502" i="62"/>
  <c r="AI502" i="62" s="1"/>
  <c r="AH503" i="62"/>
  <c r="AI503" i="62" s="1"/>
  <c r="AH504" i="62"/>
  <c r="AI504" i="62" s="1"/>
  <c r="AH505" i="62"/>
  <c r="AI505" i="62" s="1"/>
  <c r="AH506" i="62"/>
  <c r="AI506" i="62" s="1"/>
  <c r="AH507" i="62"/>
  <c r="AI507" i="62" s="1"/>
  <c r="AH508" i="62"/>
  <c r="AI508" i="62" s="1"/>
  <c r="AH509" i="62"/>
  <c r="AI509" i="62" s="1"/>
  <c r="AH510" i="62"/>
  <c r="AI510" i="62" s="1"/>
  <c r="AH511" i="62"/>
  <c r="AI511" i="62" s="1"/>
  <c r="AH512" i="62"/>
  <c r="AI512" i="62" s="1"/>
  <c r="AH513" i="62"/>
  <c r="AI513" i="62" s="1"/>
  <c r="AH514" i="62"/>
  <c r="AI514" i="62" s="1"/>
  <c r="AH515" i="62"/>
  <c r="AI515" i="62" s="1"/>
  <c r="AH516" i="62"/>
  <c r="AI516" i="62" s="1"/>
  <c r="AH517" i="62"/>
  <c r="AI517" i="62" s="1"/>
  <c r="AH518" i="62"/>
  <c r="AI518" i="62" s="1"/>
  <c r="AH519" i="62"/>
  <c r="AI519" i="62" s="1"/>
  <c r="AH520" i="62"/>
  <c r="AI520" i="62" s="1"/>
  <c r="AH521" i="62"/>
  <c r="AI521" i="62" s="1"/>
  <c r="AH522" i="62"/>
  <c r="AI522" i="62" s="1"/>
  <c r="AH523" i="62"/>
  <c r="AI523" i="62" s="1"/>
  <c r="AH524" i="62"/>
  <c r="AI524" i="62" s="1"/>
  <c r="AH525" i="62"/>
  <c r="AI525" i="62" s="1"/>
  <c r="AH526" i="62"/>
  <c r="AI526" i="62" s="1"/>
  <c r="AH527" i="62"/>
  <c r="AI527" i="62" s="1"/>
  <c r="AH528" i="62"/>
  <c r="AI528" i="62" s="1"/>
  <c r="AH529" i="62"/>
  <c r="AI529" i="62" s="1"/>
  <c r="AH530" i="62"/>
  <c r="AI530" i="62" s="1"/>
  <c r="AH531" i="62"/>
  <c r="AI531" i="62" s="1"/>
  <c r="AH532" i="62"/>
  <c r="AI532" i="62" s="1"/>
  <c r="AH533" i="62"/>
  <c r="AI533" i="62" s="1"/>
  <c r="AH534" i="62"/>
  <c r="AI534" i="62" s="1"/>
  <c r="AH535" i="62"/>
  <c r="AI535" i="62" s="1"/>
  <c r="AH536" i="62"/>
  <c r="AI536" i="62" s="1"/>
  <c r="AH537" i="62"/>
  <c r="AI537" i="62" s="1"/>
  <c r="AH538" i="62"/>
  <c r="AI538" i="62" s="1"/>
  <c r="AH539" i="62"/>
  <c r="AI539" i="62" s="1"/>
  <c r="AH540" i="62"/>
  <c r="AI540" i="62" s="1"/>
  <c r="AH541" i="62"/>
  <c r="AI541" i="62" s="1"/>
  <c r="AH542" i="62"/>
  <c r="AI542" i="62" s="1"/>
  <c r="AH543" i="62"/>
  <c r="AI543" i="62" s="1"/>
  <c r="AH544" i="62"/>
  <c r="AI544" i="62" s="1"/>
  <c r="AH545" i="62"/>
  <c r="AI545" i="62" s="1"/>
  <c r="AH546" i="62"/>
  <c r="AI546" i="62" s="1"/>
  <c r="AH547" i="62"/>
  <c r="AI547" i="62" s="1"/>
  <c r="AH548" i="62"/>
  <c r="AI548" i="62" s="1"/>
  <c r="AH549" i="62"/>
  <c r="AI549" i="62" s="1"/>
  <c r="AH550" i="62"/>
  <c r="AI550" i="62" s="1"/>
  <c r="AH551" i="62"/>
  <c r="AI551" i="62" s="1"/>
  <c r="AH552" i="62"/>
  <c r="AI552" i="62" s="1"/>
  <c r="AH553" i="62"/>
  <c r="AI553" i="62" s="1"/>
  <c r="AH554" i="62"/>
  <c r="AI554" i="62" s="1"/>
  <c r="AH555" i="62"/>
  <c r="AI555" i="62" s="1"/>
  <c r="AH556" i="62"/>
  <c r="AI556" i="62" s="1"/>
  <c r="AH557" i="62"/>
  <c r="AI557" i="62" s="1"/>
  <c r="AH558" i="62"/>
  <c r="AI558" i="62" s="1"/>
  <c r="AH559" i="62"/>
  <c r="AI559" i="62" s="1"/>
  <c r="AH560" i="62"/>
  <c r="AI560" i="62" s="1"/>
  <c r="AH561" i="62"/>
  <c r="AI561" i="62" s="1"/>
  <c r="AH562" i="62"/>
  <c r="AI562" i="62" s="1"/>
  <c r="AH563" i="62"/>
  <c r="AI563" i="62" s="1"/>
  <c r="AH564" i="62"/>
  <c r="AI564" i="62" s="1"/>
  <c r="AH565" i="62"/>
  <c r="AI565" i="62" s="1"/>
  <c r="AH566" i="62"/>
  <c r="AI566" i="62" s="1"/>
  <c r="AH567" i="62"/>
  <c r="AI567" i="62" s="1"/>
  <c r="AH568" i="62"/>
  <c r="AI568" i="62" s="1"/>
  <c r="AH569" i="62"/>
  <c r="AI569" i="62" s="1"/>
  <c r="AH570" i="62"/>
  <c r="AI570" i="62" s="1"/>
  <c r="AH571" i="62"/>
  <c r="AI571" i="62" s="1"/>
  <c r="AH572" i="62"/>
  <c r="AI572" i="62" s="1"/>
  <c r="AH573" i="62"/>
  <c r="AI573" i="62" s="1"/>
  <c r="AH574" i="62"/>
  <c r="AI574" i="62" s="1"/>
  <c r="AH575" i="62"/>
  <c r="AI575" i="62" s="1"/>
  <c r="AH576" i="62"/>
  <c r="AI576" i="62" s="1"/>
  <c r="AH577" i="62"/>
  <c r="AI577" i="62" s="1"/>
  <c r="AH578" i="62"/>
  <c r="AI578" i="62" s="1"/>
  <c r="AH579" i="62"/>
  <c r="AI579" i="62" s="1"/>
  <c r="AH580" i="62"/>
  <c r="AI580" i="62" s="1"/>
  <c r="AH581" i="62"/>
  <c r="AI581" i="62" s="1"/>
  <c r="AH582" i="62"/>
  <c r="AI582" i="62" s="1"/>
  <c r="AH583" i="62"/>
  <c r="AI583" i="62" s="1"/>
  <c r="AH584" i="62"/>
  <c r="AI584" i="62" s="1"/>
  <c r="AH585" i="62"/>
  <c r="AI585" i="62" s="1"/>
  <c r="AH586" i="62"/>
  <c r="AI586" i="62" s="1"/>
  <c r="AH587" i="62"/>
  <c r="AI587" i="62" s="1"/>
  <c r="AH588" i="62"/>
  <c r="AI588" i="62" s="1"/>
  <c r="AH589" i="62"/>
  <c r="AI589" i="62" s="1"/>
  <c r="AH590" i="62"/>
  <c r="AI590" i="62" s="1"/>
  <c r="AH591" i="62"/>
  <c r="AI591" i="62" s="1"/>
  <c r="AH592" i="62"/>
  <c r="AI592" i="62" s="1"/>
  <c r="AH593" i="62"/>
  <c r="AI593" i="62" s="1"/>
  <c r="AH594" i="62"/>
  <c r="AI594" i="62" s="1"/>
  <c r="AH595" i="62"/>
  <c r="AI595" i="62" s="1"/>
  <c r="AH596" i="62"/>
  <c r="AI596" i="62" s="1"/>
  <c r="AH597" i="62"/>
  <c r="AI597" i="62" s="1"/>
  <c r="AH598" i="62"/>
  <c r="AI598" i="62" s="1"/>
  <c r="AH599" i="62"/>
  <c r="AI599" i="62" s="1"/>
  <c r="AH600" i="62"/>
  <c r="AI600" i="62" s="1"/>
  <c r="AH601" i="62"/>
  <c r="AI601" i="62" s="1"/>
  <c r="AH602" i="62"/>
  <c r="AI602" i="62" s="1"/>
  <c r="AH603" i="62"/>
  <c r="AI603" i="62" s="1"/>
  <c r="AH604" i="62"/>
  <c r="AI604" i="62" s="1"/>
  <c r="AH605" i="62"/>
  <c r="AI605" i="62" s="1"/>
  <c r="AH606" i="62"/>
  <c r="AI606" i="62" s="1"/>
  <c r="AH607" i="62"/>
  <c r="AI607" i="62" s="1"/>
  <c r="AH608" i="62"/>
  <c r="AI608" i="62" s="1"/>
  <c r="AH609" i="62"/>
  <c r="AI609" i="62" s="1"/>
  <c r="AH610" i="62"/>
  <c r="AI610" i="62" s="1"/>
  <c r="AH611" i="62"/>
  <c r="AI611" i="62" s="1"/>
  <c r="AH612" i="62"/>
  <c r="AI612" i="62" s="1"/>
  <c r="AH613" i="62"/>
  <c r="AI613" i="62" s="1"/>
  <c r="AH614" i="62"/>
  <c r="AI614" i="62" s="1"/>
  <c r="AH615" i="62"/>
  <c r="AI615" i="62" s="1"/>
  <c r="AH616" i="62"/>
  <c r="AI616" i="62" s="1"/>
  <c r="AH617" i="62"/>
  <c r="AI617" i="62" s="1"/>
  <c r="AH618" i="62"/>
  <c r="AI618" i="62" s="1"/>
  <c r="AH619" i="62"/>
  <c r="AI619" i="62" s="1"/>
  <c r="AH620" i="62"/>
  <c r="AI620" i="62" s="1"/>
  <c r="AH621" i="62"/>
  <c r="AI621" i="62" s="1"/>
  <c r="AH622" i="62"/>
  <c r="AI622" i="62" s="1"/>
  <c r="AH623" i="62"/>
  <c r="AI623" i="62" s="1"/>
  <c r="AH624" i="62"/>
  <c r="AI624" i="62" s="1"/>
  <c r="AH625" i="62"/>
  <c r="AI625" i="62" s="1"/>
  <c r="AH626" i="62"/>
  <c r="AI626" i="62" s="1"/>
  <c r="AH627" i="62"/>
  <c r="AI627" i="62" s="1"/>
  <c r="AH628" i="62"/>
  <c r="AI628" i="62" s="1"/>
  <c r="AH629" i="62"/>
  <c r="AI629" i="62" s="1"/>
  <c r="AH630" i="62"/>
  <c r="AI630" i="62" s="1"/>
  <c r="AH631" i="62"/>
  <c r="AI631" i="62" s="1"/>
  <c r="AH632" i="62"/>
  <c r="AI632" i="62" s="1"/>
  <c r="AH633" i="62"/>
  <c r="AI633" i="62" s="1"/>
  <c r="AH634" i="62"/>
  <c r="AI634" i="62" s="1"/>
  <c r="AH635" i="62"/>
  <c r="AI635" i="62" s="1"/>
  <c r="AH636" i="62"/>
  <c r="AI636" i="62" s="1"/>
  <c r="AH637" i="62"/>
  <c r="AI637" i="62" s="1"/>
  <c r="AH638" i="62"/>
  <c r="AI638" i="62" s="1"/>
  <c r="AH639" i="62"/>
  <c r="AI639" i="62" s="1"/>
  <c r="AH640" i="62"/>
  <c r="AI640" i="62" s="1"/>
  <c r="AH641" i="62"/>
  <c r="AI641" i="62" s="1"/>
  <c r="AH642" i="62"/>
  <c r="AI642" i="62" s="1"/>
  <c r="AH643" i="62"/>
  <c r="AI643" i="62" s="1"/>
  <c r="AH644" i="62"/>
  <c r="AI644" i="62" s="1"/>
  <c r="AH645" i="62"/>
  <c r="AI645" i="62" s="1"/>
  <c r="AH646" i="62"/>
  <c r="AI646" i="62" s="1"/>
  <c r="AH647" i="62"/>
  <c r="AI647" i="62" s="1"/>
  <c r="AH648" i="62"/>
  <c r="AI648" i="62" s="1"/>
  <c r="AH649" i="62"/>
  <c r="AI649" i="62" s="1"/>
  <c r="AH650" i="62"/>
  <c r="AI650" i="62" s="1"/>
  <c r="AH651" i="62"/>
  <c r="AI651" i="62" s="1"/>
  <c r="AH652" i="62"/>
  <c r="AI652" i="62" s="1"/>
  <c r="AH653" i="62"/>
  <c r="AI653" i="62" s="1"/>
  <c r="AH654" i="62"/>
  <c r="AI654" i="62" s="1"/>
  <c r="AH655" i="62"/>
  <c r="AI655" i="62" s="1"/>
  <c r="AH656" i="62"/>
  <c r="AI656" i="62" s="1"/>
  <c r="AH657" i="62"/>
  <c r="AI657" i="62" s="1"/>
  <c r="AH658" i="62"/>
  <c r="AI658" i="62" s="1"/>
  <c r="AH659" i="62"/>
  <c r="AI659" i="62" s="1"/>
  <c r="AH660" i="62"/>
  <c r="AI660" i="62" s="1"/>
  <c r="AH661" i="62"/>
  <c r="AI661" i="62" s="1"/>
  <c r="AH662" i="62"/>
  <c r="AI662" i="62" s="1"/>
  <c r="AH663" i="62"/>
  <c r="AI663" i="62" s="1"/>
  <c r="AH664" i="62"/>
  <c r="AI664" i="62" s="1"/>
  <c r="AH665" i="62"/>
  <c r="AI665" i="62" s="1"/>
  <c r="AH666" i="62"/>
  <c r="AI666" i="62" s="1"/>
  <c r="AH667" i="62"/>
  <c r="AI667" i="62" s="1"/>
  <c r="AH668" i="62"/>
  <c r="AI668" i="62" s="1"/>
  <c r="AH669" i="62"/>
  <c r="AI669" i="62" s="1"/>
  <c r="AH670" i="62"/>
  <c r="AI670" i="62" s="1"/>
  <c r="AH671" i="62"/>
  <c r="AI671" i="62" s="1"/>
  <c r="AH672" i="62"/>
  <c r="AI672" i="62" s="1"/>
  <c r="AH673" i="62"/>
  <c r="AI673" i="62" s="1"/>
  <c r="AG7" i="62"/>
  <c r="AG8" i="62"/>
  <c r="AG9" i="62"/>
  <c r="AG10" i="62"/>
  <c r="AG11" i="62"/>
  <c r="AG12" i="62"/>
  <c r="AG13" i="62"/>
  <c r="AG14" i="62"/>
  <c r="AG15" i="62"/>
  <c r="AG16" i="62"/>
  <c r="AG17" i="62"/>
  <c r="AG18" i="62"/>
  <c r="AG19" i="62"/>
  <c r="AG20" i="62"/>
  <c r="AG21" i="62"/>
  <c r="AG22" i="62"/>
  <c r="AG23" i="62"/>
  <c r="AG24" i="62"/>
  <c r="AG25" i="62"/>
  <c r="AG26" i="62"/>
  <c r="AG27" i="62"/>
  <c r="AG28" i="62"/>
  <c r="AG29" i="62"/>
  <c r="AG30" i="62"/>
  <c r="AG31" i="62"/>
  <c r="AG32" i="62"/>
  <c r="AG33" i="62"/>
  <c r="AG34" i="62"/>
  <c r="AG35" i="62"/>
  <c r="AG36" i="62"/>
  <c r="AG37" i="62"/>
  <c r="AG38" i="62"/>
  <c r="AG39" i="62"/>
  <c r="AG40" i="62"/>
  <c r="AG41" i="62"/>
  <c r="AG42" i="62"/>
  <c r="AG43" i="62"/>
  <c r="AG44" i="62"/>
  <c r="AG45" i="62"/>
  <c r="AG46" i="62"/>
  <c r="AG47" i="62"/>
  <c r="AG48" i="62"/>
  <c r="AG49" i="62"/>
  <c r="AG50" i="62"/>
  <c r="AG51" i="62"/>
  <c r="AG52" i="62"/>
  <c r="AG53" i="62"/>
  <c r="AG54" i="62"/>
  <c r="AG55" i="62"/>
  <c r="AG56" i="62"/>
  <c r="AG57" i="62"/>
  <c r="AG58" i="62"/>
  <c r="AG59" i="62"/>
  <c r="AG60" i="62"/>
  <c r="AG61" i="62"/>
  <c r="AG62" i="62"/>
  <c r="AG63" i="62"/>
  <c r="AG64" i="62"/>
  <c r="AG65" i="62"/>
  <c r="AG66" i="62"/>
  <c r="AG67" i="62"/>
  <c r="AG68" i="62"/>
  <c r="AG69" i="62"/>
  <c r="AG70" i="62"/>
  <c r="AG71" i="62"/>
  <c r="AG72" i="62"/>
  <c r="AG73" i="62"/>
  <c r="AG74" i="62"/>
  <c r="AG75" i="62"/>
  <c r="AG76" i="62"/>
  <c r="AG77" i="62"/>
  <c r="AG78" i="62"/>
  <c r="AG79" i="62"/>
  <c r="AG80" i="62"/>
  <c r="AG81" i="62"/>
  <c r="AG82" i="62"/>
  <c r="AG83" i="62"/>
  <c r="AG84" i="62"/>
  <c r="AG85" i="62"/>
  <c r="AG86" i="62"/>
  <c r="AG87" i="62"/>
  <c r="AG88" i="62"/>
  <c r="AG89" i="62"/>
  <c r="AG90" i="62"/>
  <c r="AG91" i="62"/>
  <c r="AG92" i="62"/>
  <c r="AG93" i="62"/>
  <c r="AG94" i="62"/>
  <c r="AG95" i="62"/>
  <c r="AG96" i="62"/>
  <c r="AG97" i="62"/>
  <c r="AG98" i="62"/>
  <c r="AG99" i="62"/>
  <c r="AG100" i="62"/>
  <c r="AG101" i="62"/>
  <c r="AG102" i="62"/>
  <c r="AG103" i="62"/>
  <c r="AG104" i="62"/>
  <c r="AG105" i="62"/>
  <c r="AG106" i="62"/>
  <c r="AG107" i="62"/>
  <c r="AG108" i="62"/>
  <c r="AG109" i="62"/>
  <c r="AG110" i="62"/>
  <c r="AG111" i="62"/>
  <c r="AG112" i="62"/>
  <c r="AG113" i="62"/>
  <c r="AG114" i="62"/>
  <c r="AG115" i="62"/>
  <c r="AG116" i="62"/>
  <c r="AG117" i="62"/>
  <c r="AG118" i="62"/>
  <c r="AG119" i="62"/>
  <c r="AG120" i="62"/>
  <c r="AG121" i="62"/>
  <c r="AG122" i="62"/>
  <c r="AG123" i="62"/>
  <c r="AG124" i="62"/>
  <c r="AG125" i="62"/>
  <c r="AG126" i="62"/>
  <c r="AG127" i="62"/>
  <c r="AG128" i="62"/>
  <c r="AG129" i="62"/>
  <c r="AG130" i="62"/>
  <c r="AG131" i="62"/>
  <c r="AG132" i="62"/>
  <c r="AG133" i="62"/>
  <c r="AG134" i="62"/>
  <c r="AG135" i="62"/>
  <c r="AG136" i="62"/>
  <c r="AG137" i="62"/>
  <c r="AG138" i="62"/>
  <c r="AG139" i="62"/>
  <c r="AG140" i="62"/>
  <c r="AG141" i="62"/>
  <c r="AG142" i="62"/>
  <c r="AG143" i="62"/>
  <c r="AG144" i="62"/>
  <c r="AG145" i="62"/>
  <c r="AG146" i="62"/>
  <c r="AG147" i="62"/>
  <c r="AG148" i="62"/>
  <c r="AG149" i="62"/>
  <c r="AG150" i="62"/>
  <c r="AG151" i="62"/>
  <c r="AG152" i="62"/>
  <c r="AG153" i="62"/>
  <c r="AG154" i="62"/>
  <c r="AG155" i="62"/>
  <c r="AG156" i="62"/>
  <c r="AG157" i="62"/>
  <c r="AG158" i="62"/>
  <c r="AG159" i="62"/>
  <c r="AG160" i="62"/>
  <c r="AG161" i="62"/>
  <c r="AG162" i="62"/>
  <c r="AG163" i="62"/>
  <c r="AG164" i="62"/>
  <c r="AG165" i="62"/>
  <c r="AG166" i="62"/>
  <c r="AG167" i="62"/>
  <c r="AG168" i="62"/>
  <c r="AG169" i="62"/>
  <c r="AG170" i="62"/>
  <c r="AG171" i="62"/>
  <c r="AG172" i="62"/>
  <c r="AG173" i="62"/>
  <c r="AG174" i="62"/>
  <c r="AG175" i="62"/>
  <c r="AG176" i="62"/>
  <c r="AG177" i="62"/>
  <c r="AG178" i="62"/>
  <c r="AG179" i="62"/>
  <c r="AG180" i="62"/>
  <c r="AG181" i="62"/>
  <c r="AG182" i="62"/>
  <c r="AG183" i="62"/>
  <c r="AG184" i="62"/>
  <c r="AG185" i="62"/>
  <c r="AG186" i="62"/>
  <c r="AG187" i="62"/>
  <c r="AG188" i="62"/>
  <c r="AG189" i="62"/>
  <c r="AG190" i="62"/>
  <c r="AG191" i="62"/>
  <c r="AG192" i="62"/>
  <c r="AG193" i="62"/>
  <c r="AG194" i="62"/>
  <c r="AG195" i="62"/>
  <c r="AG196" i="62"/>
  <c r="AG197" i="62"/>
  <c r="AG198" i="62"/>
  <c r="AG199" i="62"/>
  <c r="AG200" i="62"/>
  <c r="AG201" i="62"/>
  <c r="AG202" i="62"/>
  <c r="AG203" i="62"/>
  <c r="AG204" i="62"/>
  <c r="AG205" i="62"/>
  <c r="AG206" i="62"/>
  <c r="AG207" i="62"/>
  <c r="AG208" i="62"/>
  <c r="AG209" i="62"/>
  <c r="AG210" i="62"/>
  <c r="AG211" i="62"/>
  <c r="AG212" i="62"/>
  <c r="AG213" i="62"/>
  <c r="AG214" i="62"/>
  <c r="AG215" i="62"/>
  <c r="AG216" i="62"/>
  <c r="AG217" i="62"/>
  <c r="AG218" i="62"/>
  <c r="AG219" i="62"/>
  <c r="AG220" i="62"/>
  <c r="AG221" i="62"/>
  <c r="AG222" i="62"/>
  <c r="AG223" i="62"/>
  <c r="AG224" i="62"/>
  <c r="AG225" i="62"/>
  <c r="AG226" i="62"/>
  <c r="AG227" i="62"/>
  <c r="AG228" i="62"/>
  <c r="AG229" i="62"/>
  <c r="AG230" i="62"/>
  <c r="AG231" i="62"/>
  <c r="AG232" i="62"/>
  <c r="AG233" i="62"/>
  <c r="AG234" i="62"/>
  <c r="AG235" i="62"/>
  <c r="AG236" i="62"/>
  <c r="AG237" i="62"/>
  <c r="AG238" i="62"/>
  <c r="AG239" i="62"/>
  <c r="AG240" i="62"/>
  <c r="AG241" i="62"/>
  <c r="AG242" i="62"/>
  <c r="AG243" i="62"/>
  <c r="AG244" i="62"/>
  <c r="AG245" i="62"/>
  <c r="AG246" i="62"/>
  <c r="AG247" i="62"/>
  <c r="AG248" i="62"/>
  <c r="AG249" i="62"/>
  <c r="AG250" i="62"/>
  <c r="AG251" i="62"/>
  <c r="AG252" i="62"/>
  <c r="AG253" i="62"/>
  <c r="AG254" i="62"/>
  <c r="AG255" i="62"/>
  <c r="AG256" i="62"/>
  <c r="AG257" i="62"/>
  <c r="AG258" i="62"/>
  <c r="AG259" i="62"/>
  <c r="AG260" i="62"/>
  <c r="AG261" i="62"/>
  <c r="AG262" i="62"/>
  <c r="AG263" i="62"/>
  <c r="AG264" i="62"/>
  <c r="AG265" i="62"/>
  <c r="AG266" i="62"/>
  <c r="AG267" i="62"/>
  <c r="AG268" i="62"/>
  <c r="AG269" i="62"/>
  <c r="AG270" i="62"/>
  <c r="AG271" i="62"/>
  <c r="AG272" i="62"/>
  <c r="AG273" i="62"/>
  <c r="AG274" i="62"/>
  <c r="AG275" i="62"/>
  <c r="AG276" i="62"/>
  <c r="AG277" i="62"/>
  <c r="AG278" i="62"/>
  <c r="AG279" i="62"/>
  <c r="AG280" i="62"/>
  <c r="AG281" i="62"/>
  <c r="AG282" i="62"/>
  <c r="AG283" i="62"/>
  <c r="AG284" i="62"/>
  <c r="AG285" i="62"/>
  <c r="AG286" i="62"/>
  <c r="AG287" i="62"/>
  <c r="AG288" i="62"/>
  <c r="AG289" i="62"/>
  <c r="AG290" i="62"/>
  <c r="AG291" i="62"/>
  <c r="AG292" i="62"/>
  <c r="AG293" i="62"/>
  <c r="AG294" i="62"/>
  <c r="AG295" i="62"/>
  <c r="AG296" i="62"/>
  <c r="AG297" i="62"/>
  <c r="AG298" i="62"/>
  <c r="AG299" i="62"/>
  <c r="AG300" i="62"/>
  <c r="AG301" i="62"/>
  <c r="AG302" i="62"/>
  <c r="AG303" i="62"/>
  <c r="AG304" i="62"/>
  <c r="AG305" i="62"/>
  <c r="AG306" i="62"/>
  <c r="AG307" i="62"/>
  <c r="AG308" i="62"/>
  <c r="AG309" i="62"/>
  <c r="AG310" i="62"/>
  <c r="AG311" i="62"/>
  <c r="AG312" i="62"/>
  <c r="AG313" i="62"/>
  <c r="AG314" i="62"/>
  <c r="AG315" i="62"/>
  <c r="AG316" i="62"/>
  <c r="AG317" i="62"/>
  <c r="AG318" i="62"/>
  <c r="AG319" i="62"/>
  <c r="AG320" i="62"/>
  <c r="AG321" i="62"/>
  <c r="AG322" i="62"/>
  <c r="AG323" i="62"/>
  <c r="AG324" i="62"/>
  <c r="AG325" i="62"/>
  <c r="AG326" i="62"/>
  <c r="AG327" i="62"/>
  <c r="AG328" i="62"/>
  <c r="AG329" i="62"/>
  <c r="AG330" i="62"/>
  <c r="AG331" i="62"/>
  <c r="AG332" i="62"/>
  <c r="AG333" i="62"/>
  <c r="AG334" i="62"/>
  <c r="AG335" i="62"/>
  <c r="AG336" i="62"/>
  <c r="AG337" i="62"/>
  <c r="AG338" i="62"/>
  <c r="AG339" i="62"/>
  <c r="AG340" i="62"/>
  <c r="AG341" i="62"/>
  <c r="AG342" i="62"/>
  <c r="AG343" i="62"/>
  <c r="AG344" i="62"/>
  <c r="AG345" i="62"/>
  <c r="AG346" i="62"/>
  <c r="AG347" i="62"/>
  <c r="AG348" i="62"/>
  <c r="AG349" i="62"/>
  <c r="AG350" i="62"/>
  <c r="AG351" i="62"/>
  <c r="AG352" i="62"/>
  <c r="AG353" i="62"/>
  <c r="AG354" i="62"/>
  <c r="AG355" i="62"/>
  <c r="AG356" i="62"/>
  <c r="AG357" i="62"/>
  <c r="AG358" i="62"/>
  <c r="AG359" i="62"/>
  <c r="AG360" i="62"/>
  <c r="AG361" i="62"/>
  <c r="AG362" i="62"/>
  <c r="AG363" i="62"/>
  <c r="AG364" i="62"/>
  <c r="AG365" i="62"/>
  <c r="AG366" i="62"/>
  <c r="AG367" i="62"/>
  <c r="AG368" i="62"/>
  <c r="AG369" i="62"/>
  <c r="AG370" i="62"/>
  <c r="AG371" i="62"/>
  <c r="AG372" i="62"/>
  <c r="AG373" i="62"/>
  <c r="AG374" i="62"/>
  <c r="AG375" i="62"/>
  <c r="AG376" i="62"/>
  <c r="AG377" i="62"/>
  <c r="AG378" i="62"/>
  <c r="AG379" i="62"/>
  <c r="AG380" i="62"/>
  <c r="AG381" i="62"/>
  <c r="AG382" i="62"/>
  <c r="AG383" i="62"/>
  <c r="AG384" i="62"/>
  <c r="AG385" i="62"/>
  <c r="AG386" i="62"/>
  <c r="AG387" i="62"/>
  <c r="AG388" i="62"/>
  <c r="AG389" i="62"/>
  <c r="AG390" i="62"/>
  <c r="AG391" i="62"/>
  <c r="AG392" i="62"/>
  <c r="AG393" i="62"/>
  <c r="AG394" i="62"/>
  <c r="AG395" i="62"/>
  <c r="AG396" i="62"/>
  <c r="AG397" i="62"/>
  <c r="AG398" i="62"/>
  <c r="AG399" i="62"/>
  <c r="AG400" i="62"/>
  <c r="AG401" i="62"/>
  <c r="AG402" i="62"/>
  <c r="AG403" i="62"/>
  <c r="AG404" i="62"/>
  <c r="AG405" i="62"/>
  <c r="AG406" i="62"/>
  <c r="AG407" i="62"/>
  <c r="AG408" i="62"/>
  <c r="AG409" i="62"/>
  <c r="AG410" i="62"/>
  <c r="AG411" i="62"/>
  <c r="AG412" i="62"/>
  <c r="AG413" i="62"/>
  <c r="AG414" i="62"/>
  <c r="AG415" i="62"/>
  <c r="AG416" i="62"/>
  <c r="AG417" i="62"/>
  <c r="AG418" i="62"/>
  <c r="AG419" i="62"/>
  <c r="AG420" i="62"/>
  <c r="AG421" i="62"/>
  <c r="AG422" i="62"/>
  <c r="AG423" i="62"/>
  <c r="AG424" i="62"/>
  <c r="AG425" i="62"/>
  <c r="AG426" i="62"/>
  <c r="AG427" i="62"/>
  <c r="AG428" i="62"/>
  <c r="AG429" i="62"/>
  <c r="AG430" i="62"/>
  <c r="AG431" i="62"/>
  <c r="AG432" i="62"/>
  <c r="AG433" i="62"/>
  <c r="AG434" i="62"/>
  <c r="AG435" i="62"/>
  <c r="AG436" i="62"/>
  <c r="AG437" i="62"/>
  <c r="AG438" i="62"/>
  <c r="AG439" i="62"/>
  <c r="AG440" i="62"/>
  <c r="AG441" i="62"/>
  <c r="AG442" i="62"/>
  <c r="AG443" i="62"/>
  <c r="AG444" i="62"/>
  <c r="AG445" i="62"/>
  <c r="AG446" i="62"/>
  <c r="AG447" i="62"/>
  <c r="AG448" i="62"/>
  <c r="AG449" i="62"/>
  <c r="AG450" i="62"/>
  <c r="AG451" i="62"/>
  <c r="AG452" i="62"/>
  <c r="AG453" i="62"/>
  <c r="AG454" i="62"/>
  <c r="AG455" i="62"/>
  <c r="AG456" i="62"/>
  <c r="AG457" i="62"/>
  <c r="AG458" i="62"/>
  <c r="AG459" i="62"/>
  <c r="AG460" i="62"/>
  <c r="AG461" i="62"/>
  <c r="AG462" i="62"/>
  <c r="AG463" i="62"/>
  <c r="AG464" i="62"/>
  <c r="AG465" i="62"/>
  <c r="AG466" i="62"/>
  <c r="AG467" i="62"/>
  <c r="AG468" i="62"/>
  <c r="AG469" i="62"/>
  <c r="AG470" i="62"/>
  <c r="AG471" i="62"/>
  <c r="AG472" i="62"/>
  <c r="AG473" i="62"/>
  <c r="AG474" i="62"/>
  <c r="AG475" i="62"/>
  <c r="AG476" i="62"/>
  <c r="AG477" i="62"/>
  <c r="AG478" i="62"/>
  <c r="AG479" i="62"/>
  <c r="AG480" i="62"/>
  <c r="AG481" i="62"/>
  <c r="AG482" i="62"/>
  <c r="AG483" i="62"/>
  <c r="AG484" i="62"/>
  <c r="AG485" i="62"/>
  <c r="AG486" i="62"/>
  <c r="AG487" i="62"/>
  <c r="AG488" i="62"/>
  <c r="AG489" i="62"/>
  <c r="AG490" i="62"/>
  <c r="AG491" i="62"/>
  <c r="AG492" i="62"/>
  <c r="AG493" i="62"/>
  <c r="AG494" i="62"/>
  <c r="AG495" i="62"/>
  <c r="AG496" i="62"/>
  <c r="AG497" i="62"/>
  <c r="AG498" i="62"/>
  <c r="AG499" i="62"/>
  <c r="AG500" i="62"/>
  <c r="AG501" i="62"/>
  <c r="AG502" i="62"/>
  <c r="AG503" i="62"/>
  <c r="AG504" i="62"/>
  <c r="AG505" i="62"/>
  <c r="AG506" i="62"/>
  <c r="AG507" i="62"/>
  <c r="AG508" i="62"/>
  <c r="AG509" i="62"/>
  <c r="AG510" i="62"/>
  <c r="AG511" i="62"/>
  <c r="AG512" i="62"/>
  <c r="AG513" i="62"/>
  <c r="AG514" i="62"/>
  <c r="AG515" i="62"/>
  <c r="AG516" i="62"/>
  <c r="AG517" i="62"/>
  <c r="AG518" i="62"/>
  <c r="AG519" i="62"/>
  <c r="AG520" i="62"/>
  <c r="AG521" i="62"/>
  <c r="AG522" i="62"/>
  <c r="AG523" i="62"/>
  <c r="AG524" i="62"/>
  <c r="AG525" i="62"/>
  <c r="AG526" i="62"/>
  <c r="AG527" i="62"/>
  <c r="AG528" i="62"/>
  <c r="AG529" i="62"/>
  <c r="AG530" i="62"/>
  <c r="AG531" i="62"/>
  <c r="AG532" i="62"/>
  <c r="AG533" i="62"/>
  <c r="AG534" i="62"/>
  <c r="AG535" i="62"/>
  <c r="AG536" i="62"/>
  <c r="AG537" i="62"/>
  <c r="AG538" i="62"/>
  <c r="AG539" i="62"/>
  <c r="AG540" i="62"/>
  <c r="AG541" i="62"/>
  <c r="AG542" i="62"/>
  <c r="AG543" i="62"/>
  <c r="AG544" i="62"/>
  <c r="AG545" i="62"/>
  <c r="AG546" i="62"/>
  <c r="AG547" i="62"/>
  <c r="AG548" i="62"/>
  <c r="AG549" i="62"/>
  <c r="AG550" i="62"/>
  <c r="AG551" i="62"/>
  <c r="AG552" i="62"/>
  <c r="AG553" i="62"/>
  <c r="AG554" i="62"/>
  <c r="AG555" i="62"/>
  <c r="AG556" i="62"/>
  <c r="AG557" i="62"/>
  <c r="AG558" i="62"/>
  <c r="AG559" i="62"/>
  <c r="AG560" i="62"/>
  <c r="AG561" i="62"/>
  <c r="AG562" i="62"/>
  <c r="AG563" i="62"/>
  <c r="AG564" i="62"/>
  <c r="AG565" i="62"/>
  <c r="AG566" i="62"/>
  <c r="AG567" i="62"/>
  <c r="AG568" i="62"/>
  <c r="AG569" i="62"/>
  <c r="AG570" i="62"/>
  <c r="AG571" i="62"/>
  <c r="AG572" i="62"/>
  <c r="AG573" i="62"/>
  <c r="AG574" i="62"/>
  <c r="AG575" i="62"/>
  <c r="AG576" i="62"/>
  <c r="AG577" i="62"/>
  <c r="AG578" i="62"/>
  <c r="AG579" i="62"/>
  <c r="AG580" i="62"/>
  <c r="AG581" i="62"/>
  <c r="AG582" i="62"/>
  <c r="AG583" i="62"/>
  <c r="AG584" i="62"/>
  <c r="AG585" i="62"/>
  <c r="AG586" i="62"/>
  <c r="AG587" i="62"/>
  <c r="AG588" i="62"/>
  <c r="AG589" i="62"/>
  <c r="AG590" i="62"/>
  <c r="AG591" i="62"/>
  <c r="AG592" i="62"/>
  <c r="AG593" i="62"/>
  <c r="AG594" i="62"/>
  <c r="AG595" i="62"/>
  <c r="AG596" i="62"/>
  <c r="AG597" i="62"/>
  <c r="AG598" i="62"/>
  <c r="AG599" i="62"/>
  <c r="AG600" i="62"/>
  <c r="AG601" i="62"/>
  <c r="AG602" i="62"/>
  <c r="AG603" i="62"/>
  <c r="AG604" i="62"/>
  <c r="AG605" i="62"/>
  <c r="AG606" i="62"/>
  <c r="AG607" i="62"/>
  <c r="AG608" i="62"/>
  <c r="AG609" i="62"/>
  <c r="AG610" i="62"/>
  <c r="AG611" i="62"/>
  <c r="AG612" i="62"/>
  <c r="AG613" i="62"/>
  <c r="AG614" i="62"/>
  <c r="AG615" i="62"/>
  <c r="AG616" i="62"/>
  <c r="AG617" i="62"/>
  <c r="AG618" i="62"/>
  <c r="AG619" i="62"/>
  <c r="AG620" i="62"/>
  <c r="AG621" i="62"/>
  <c r="AG622" i="62"/>
  <c r="AG623" i="62"/>
  <c r="AG624" i="62"/>
  <c r="AG625" i="62"/>
  <c r="AG626" i="62"/>
  <c r="AG627" i="62"/>
  <c r="AG628" i="62"/>
  <c r="AG629" i="62"/>
  <c r="AG630" i="62"/>
  <c r="AG631" i="62"/>
  <c r="AG632" i="62"/>
  <c r="AG633" i="62"/>
  <c r="AG634" i="62"/>
  <c r="AG635" i="62"/>
  <c r="AG636" i="62"/>
  <c r="AG637" i="62"/>
  <c r="AG638" i="62"/>
  <c r="AG639" i="62"/>
  <c r="AG640" i="62"/>
  <c r="AG641" i="62"/>
  <c r="AG642" i="62"/>
  <c r="AG643" i="62"/>
  <c r="AG644" i="62"/>
  <c r="AG645" i="62"/>
  <c r="AG646" i="62"/>
  <c r="AG647" i="62"/>
  <c r="AG648" i="62"/>
  <c r="AG649" i="62"/>
  <c r="AG650" i="62"/>
  <c r="AG651" i="62"/>
  <c r="AG652" i="62"/>
  <c r="AG653" i="62"/>
  <c r="AG654" i="62"/>
  <c r="AG655" i="62"/>
  <c r="AG656" i="62"/>
  <c r="AG657" i="62"/>
  <c r="AG658" i="62"/>
  <c r="AG659" i="62"/>
  <c r="AG660" i="62"/>
  <c r="AG661" i="62"/>
  <c r="AG662" i="62"/>
  <c r="AG663" i="62"/>
  <c r="AG664" i="62"/>
  <c r="AG665" i="62"/>
  <c r="AG666" i="62"/>
  <c r="AG667" i="62"/>
  <c r="AG668" i="62"/>
  <c r="AG669" i="62"/>
  <c r="AG670" i="62"/>
  <c r="AG671" i="62"/>
  <c r="AG672" i="62"/>
  <c r="AG673" i="62"/>
  <c r="AT20" i="60"/>
  <c r="AU20" i="60" s="1"/>
  <c r="AV20" i="60" s="1"/>
  <c r="AT21" i="60"/>
  <c r="AU21" i="60" s="1"/>
  <c r="J19" i="61" s="1"/>
  <c r="AT22" i="60"/>
  <c r="AU22" i="60" s="1"/>
  <c r="J21" i="61" s="1"/>
  <c r="AT23" i="60"/>
  <c r="AT24" i="60"/>
  <c r="AT25" i="60"/>
  <c r="AT26" i="60"/>
  <c r="AT27" i="60"/>
  <c r="AT28" i="60"/>
  <c r="AT29" i="60"/>
  <c r="AT30" i="60"/>
  <c r="AT31" i="60"/>
  <c r="AT32" i="60"/>
  <c r="AT33" i="60"/>
  <c r="AT34" i="60"/>
  <c r="AC4" i="11"/>
  <c r="AC5" i="11"/>
  <c r="AC6" i="11"/>
  <c r="AC7" i="11"/>
  <c r="AC8" i="11"/>
  <c r="AC9" i="11"/>
  <c r="AC10" i="11"/>
  <c r="AC11" i="11"/>
  <c r="AC12" i="11"/>
  <c r="AC13" i="11"/>
  <c r="AC14" i="11"/>
  <c r="AC15" i="11"/>
  <c r="AC16" i="11"/>
  <c r="AC17" i="11"/>
  <c r="AC18" i="11"/>
  <c r="AC19" i="11"/>
  <c r="AC20" i="11"/>
  <c r="AC21" i="11"/>
  <c r="AC22" i="11"/>
  <c r="AC23" i="11"/>
  <c r="AC24" i="11"/>
  <c r="AC25" i="11"/>
  <c r="AC26" i="11"/>
  <c r="AC27" i="11"/>
  <c r="AC28" i="11"/>
  <c r="AC29" i="11"/>
  <c r="AC30" i="11"/>
  <c r="AC31" i="11"/>
  <c r="AC32" i="11"/>
  <c r="AC33" i="11"/>
  <c r="AC34" i="11"/>
  <c r="AC35" i="11"/>
  <c r="AC36" i="11"/>
  <c r="AC37" i="11"/>
  <c r="AC38" i="11"/>
  <c r="AC39" i="11"/>
  <c r="AC40" i="11"/>
  <c r="AC41" i="11"/>
  <c r="AC42" i="11"/>
  <c r="AC43" i="11"/>
  <c r="AC44" i="11"/>
  <c r="AC45" i="11"/>
  <c r="AC46" i="11"/>
  <c r="AC47" i="11"/>
  <c r="AC48" i="11"/>
  <c r="AC49" i="11"/>
  <c r="AC50" i="11"/>
  <c r="AC51" i="11"/>
  <c r="AC52" i="11"/>
  <c r="AC53" i="11"/>
  <c r="AU29" i="60" l="1"/>
  <c r="J38" i="61" s="1"/>
  <c r="AU32" i="60"/>
  <c r="J43" i="61" s="1"/>
  <c r="AU23" i="60"/>
  <c r="J24" i="61" s="1"/>
  <c r="J22" i="61"/>
  <c r="AU33" i="60"/>
  <c r="J46" i="61" s="1"/>
  <c r="AU25" i="60"/>
  <c r="J27" i="61" s="1"/>
  <c r="AU34" i="60"/>
  <c r="J47" i="61" s="1"/>
  <c r="AU31" i="60"/>
  <c r="J41" i="61" s="1"/>
  <c r="AU28" i="60"/>
  <c r="J34" i="61" s="1"/>
  <c r="AN11" i="62"/>
  <c r="AU30" i="60"/>
  <c r="AU26" i="60"/>
  <c r="J30" i="61" s="1"/>
  <c r="AN7" i="62"/>
  <c r="AU27" i="60"/>
  <c r="AU24" i="60"/>
  <c r="J20" i="61"/>
  <c r="J18" i="61"/>
  <c r="J17" i="61"/>
  <c r="J44" i="61" l="1"/>
  <c r="J37" i="61"/>
  <c r="J48" i="61"/>
  <c r="J42" i="61"/>
  <c r="J36" i="61"/>
  <c r="J28" i="61"/>
  <c r="J23" i="61"/>
  <c r="J45" i="61"/>
  <c r="J35" i="61"/>
  <c r="J31" i="61"/>
  <c r="J29" i="61"/>
  <c r="J40" i="61"/>
  <c r="J39" i="61"/>
  <c r="J25" i="61"/>
  <c r="J26" i="61"/>
  <c r="J33" i="61"/>
  <c r="J32" i="61"/>
  <c r="G183" i="67" l="1"/>
  <c r="G182" i="67"/>
  <c r="G181" i="67"/>
  <c r="G180" i="67"/>
  <c r="G179" i="67"/>
  <c r="G176" i="67"/>
  <c r="G172" i="67"/>
  <c r="G171" i="67"/>
  <c r="G170" i="67"/>
  <c r="G169" i="67"/>
  <c r="G168" i="67"/>
  <c r="G167" i="67"/>
  <c r="G166" i="67"/>
  <c r="G165" i="67"/>
  <c r="G164" i="67"/>
  <c r="G163" i="67"/>
  <c r="G162" i="67"/>
  <c r="G161" i="67"/>
  <c r="G160" i="67"/>
  <c r="G159" i="67"/>
  <c r="G158" i="67"/>
  <c r="G157" i="67"/>
  <c r="G156" i="67"/>
  <c r="G155" i="67"/>
  <c r="G150" i="67"/>
  <c r="G149" i="67"/>
  <c r="G148" i="67"/>
  <c r="G147" i="67"/>
  <c r="G146" i="67"/>
  <c r="G145" i="67"/>
  <c r="G144" i="67"/>
  <c r="G132" i="67"/>
  <c r="G131" i="67"/>
  <c r="G130" i="67"/>
  <c r="G127" i="67"/>
  <c r="G124" i="67"/>
  <c r="G123" i="67"/>
  <c r="G122" i="67"/>
  <c r="G121" i="67"/>
  <c r="G120" i="67"/>
  <c r="G119" i="67"/>
  <c r="G118" i="67"/>
  <c r="G117" i="67"/>
  <c r="G116" i="67"/>
  <c r="G115" i="67"/>
  <c r="G114" i="67"/>
  <c r="G113" i="67"/>
  <c r="G109" i="67"/>
  <c r="G107" i="67"/>
  <c r="G106" i="67"/>
  <c r="G104" i="67"/>
  <c r="AY36" i="1" l="1"/>
  <c r="AN36" i="1"/>
  <c r="AC36" i="1"/>
  <c r="R36" i="1"/>
  <c r="E13" i="55"/>
  <c r="Z994" i="62" s="1"/>
  <c r="AA994" i="62" s="1"/>
  <c r="E12" i="55"/>
  <c r="Z361" i="62" s="1"/>
  <c r="AA361" i="62" s="1"/>
  <c r="E11" i="55"/>
  <c r="G13" i="55"/>
  <c r="G12" i="55"/>
  <c r="F19" i="55"/>
  <c r="AV23" i="60"/>
  <c r="AS32" i="60"/>
  <c r="Z998" i="62" l="1"/>
  <c r="AA998" i="62" s="1"/>
  <c r="Z1493" i="62"/>
  <c r="Z1449" i="62"/>
  <c r="Z1393" i="62"/>
  <c r="Z1331" i="62"/>
  <c r="Z1050" i="62"/>
  <c r="AA1050" i="62" s="1"/>
  <c r="Z653" i="62"/>
  <c r="AA653" i="62" s="1"/>
  <c r="Z525" i="62"/>
  <c r="AA525" i="62" s="1"/>
  <c r="Z1508" i="62"/>
  <c r="Z1491" i="62"/>
  <c r="Z1389" i="62"/>
  <c r="Z1037" i="62"/>
  <c r="AA1037" i="62" s="1"/>
  <c r="Z1564" i="62"/>
  <c r="Z1549" i="62"/>
  <c r="Z1489" i="62"/>
  <c r="Z1443" i="62"/>
  <c r="Z1315" i="62"/>
  <c r="Z1563" i="62"/>
  <c r="Z1547" i="62"/>
  <c r="Z1504" i="62"/>
  <c r="Z1485" i="62"/>
  <c r="Z1441" i="62"/>
  <c r="Z1385" i="62"/>
  <c r="Z1129" i="62"/>
  <c r="AA1129" i="62" s="1"/>
  <c r="Z986" i="62"/>
  <c r="AA986" i="62" s="1"/>
  <c r="Z461" i="62"/>
  <c r="AA461" i="62" s="1"/>
  <c r="Z1555" i="62"/>
  <c r="Z1507" i="62"/>
  <c r="Z1445" i="62"/>
  <c r="Z1323" i="62"/>
  <c r="Z589" i="62"/>
  <c r="AA589" i="62" s="1"/>
  <c r="Z1505" i="62"/>
  <c r="Z1387" i="62"/>
  <c r="Z1561" i="62"/>
  <c r="Z1545" i="62"/>
  <c r="Z1501" i="62"/>
  <c r="Z1483" i="62"/>
  <c r="Z1435" i="62"/>
  <c r="Z1379" i="62"/>
  <c r="Z1118" i="62"/>
  <c r="AA1118" i="62" s="1"/>
  <c r="Z909" i="62"/>
  <c r="AA909" i="62" s="1"/>
  <c r="Z1509" i="62"/>
  <c r="Z1565" i="62"/>
  <c r="Z1560" i="62"/>
  <c r="Z1500" i="62"/>
  <c r="Z1427" i="62"/>
  <c r="Z845" i="62"/>
  <c r="AA845" i="62" s="1"/>
  <c r="Z1553" i="62"/>
  <c r="Z1541" i="62"/>
  <c r="Z1453" i="62"/>
  <c r="Z1371" i="62"/>
  <c r="Z1097" i="62"/>
  <c r="AA1097" i="62" s="1"/>
  <c r="Z1557" i="62"/>
  <c r="Z1539" i="62"/>
  <c r="Z1499" i="62"/>
  <c r="Z1452" i="62"/>
  <c r="Z1397" i="62"/>
  <c r="Z1341" i="62"/>
  <c r="Z1086" i="62"/>
  <c r="AA1086" i="62" s="1"/>
  <c r="Z781" i="62"/>
  <c r="AA781" i="62" s="1"/>
  <c r="Z1556" i="62"/>
  <c r="Z1497" i="62"/>
  <c r="Z1451" i="62"/>
  <c r="Z1395" i="62"/>
  <c r="Z1339" i="62"/>
  <c r="Z1062" i="62"/>
  <c r="AA1062" i="62" s="1"/>
  <c r="Z717" i="62"/>
  <c r="AA717" i="62" s="1"/>
  <c r="Z1562" i="62"/>
  <c r="Z1554" i="62"/>
  <c r="Z1546" i="62"/>
  <c r="Z1506" i="62"/>
  <c r="Z1498" i="62"/>
  <c r="Z1490" i="62"/>
  <c r="Z1450" i="62"/>
  <c r="Z1442" i="62"/>
  <c r="Z1434" i="62"/>
  <c r="Z1394" i="62"/>
  <c r="Z1386" i="62"/>
  <c r="Z1378" i="62"/>
  <c r="Z1338" i="62"/>
  <c r="Z1330" i="62"/>
  <c r="Z1322" i="62"/>
  <c r="Z1282" i="62"/>
  <c r="AA1282" i="62" s="1"/>
  <c r="Z1274" i="62"/>
  <c r="AA1274" i="62" s="1"/>
  <c r="Z1266" i="62"/>
  <c r="AA1266" i="62" s="1"/>
  <c r="Z1258" i="62"/>
  <c r="AA1258" i="62" s="1"/>
  <c r="Z1250" i="62"/>
  <c r="AA1250" i="62" s="1"/>
  <c r="Z1242" i="62"/>
  <c r="AA1242" i="62" s="1"/>
  <c r="Z1234" i="62"/>
  <c r="AA1234" i="62" s="1"/>
  <c r="Z1226" i="62"/>
  <c r="AA1226" i="62" s="1"/>
  <c r="Z1218" i="62"/>
  <c r="AA1218" i="62" s="1"/>
  <c r="Z1210" i="62"/>
  <c r="AA1210" i="62" s="1"/>
  <c r="Z1202" i="62"/>
  <c r="AA1202" i="62" s="1"/>
  <c r="Z1194" i="62"/>
  <c r="AA1194" i="62" s="1"/>
  <c r="Z1186" i="62"/>
  <c r="AA1186" i="62" s="1"/>
  <c r="Z1178" i="62"/>
  <c r="AA1178" i="62" s="1"/>
  <c r="Z1170" i="62"/>
  <c r="AA1170" i="62" s="1"/>
  <c r="Z1162" i="62"/>
  <c r="AA1162" i="62" s="1"/>
  <c r="Z1154" i="62"/>
  <c r="AA1154" i="62" s="1"/>
  <c r="Z1146" i="62"/>
  <c r="AA1146" i="62" s="1"/>
  <c r="Z1138" i="62"/>
  <c r="AA1138" i="62" s="1"/>
  <c r="Z1117" i="62"/>
  <c r="AA1117" i="62" s="1"/>
  <c r="Z1106" i="62"/>
  <c r="AA1106" i="62" s="1"/>
  <c r="Z1085" i="62"/>
  <c r="AA1085" i="62" s="1"/>
  <c r="Z1074" i="62"/>
  <c r="AA1074" i="62" s="1"/>
  <c r="Z1061" i="62"/>
  <c r="AA1061" i="62" s="1"/>
  <c r="Z1022" i="62"/>
  <c r="AA1022" i="62" s="1"/>
  <c r="Z1010" i="62"/>
  <c r="AA1010" i="62" s="1"/>
  <c r="Z997" i="62"/>
  <c r="AA997" i="62" s="1"/>
  <c r="Z965" i="62"/>
  <c r="AA965" i="62" s="1"/>
  <c r="Z901" i="62"/>
  <c r="AA901" i="62" s="1"/>
  <c r="Z837" i="62"/>
  <c r="AA837" i="62" s="1"/>
  <c r="Z773" i="62"/>
  <c r="AA773" i="62" s="1"/>
  <c r="Z709" i="62"/>
  <c r="AA709" i="62" s="1"/>
  <c r="Z645" i="62"/>
  <c r="AA645" i="62" s="1"/>
  <c r="Z581" i="62"/>
  <c r="AA581" i="62" s="1"/>
  <c r="Z517" i="62"/>
  <c r="AA517" i="62" s="1"/>
  <c r="Z453" i="62"/>
  <c r="AA453" i="62" s="1"/>
  <c r="Z381" i="62"/>
  <c r="AA381" i="62" s="1"/>
  <c r="Z1433" i="62"/>
  <c r="Z1377" i="62"/>
  <c r="Z1337" i="62"/>
  <c r="Z1329" i="62"/>
  <c r="Z1321" i="62"/>
  <c r="Z1281" i="62"/>
  <c r="AA1281" i="62" s="1"/>
  <c r="Z1273" i="62"/>
  <c r="AA1273" i="62" s="1"/>
  <c r="Z1265" i="62"/>
  <c r="AA1265" i="62" s="1"/>
  <c r="Z1257" i="62"/>
  <c r="AA1257" i="62" s="1"/>
  <c r="Z1249" i="62"/>
  <c r="AA1249" i="62" s="1"/>
  <c r="Z1241" i="62"/>
  <c r="AA1241" i="62" s="1"/>
  <c r="Z1233" i="62"/>
  <c r="AA1233" i="62" s="1"/>
  <c r="Z1225" i="62"/>
  <c r="AA1225" i="62" s="1"/>
  <c r="Z1217" i="62"/>
  <c r="AA1217" i="62" s="1"/>
  <c r="Z1209" i="62"/>
  <c r="AA1209" i="62" s="1"/>
  <c r="Z1201" i="62"/>
  <c r="AA1201" i="62" s="1"/>
  <c r="Z1193" i="62"/>
  <c r="AA1193" i="62" s="1"/>
  <c r="Z1185" i="62"/>
  <c r="AA1185" i="62" s="1"/>
  <c r="Z1177" i="62"/>
  <c r="AA1177" i="62" s="1"/>
  <c r="Z1169" i="62"/>
  <c r="AA1169" i="62" s="1"/>
  <c r="Z1161" i="62"/>
  <c r="AA1161" i="62" s="1"/>
  <c r="Z1153" i="62"/>
  <c r="AA1153" i="62" s="1"/>
  <c r="Z1145" i="62"/>
  <c r="AA1145" i="62" s="1"/>
  <c r="Z1137" i="62"/>
  <c r="AA1137" i="62" s="1"/>
  <c r="Z1126" i="62"/>
  <c r="AA1126" i="62" s="1"/>
  <c r="Z1105" i="62"/>
  <c r="AA1105" i="62" s="1"/>
  <c r="Z1094" i="62"/>
  <c r="AA1094" i="62" s="1"/>
  <c r="Z1046" i="62"/>
  <c r="AA1046" i="62" s="1"/>
  <c r="Z1034" i="62"/>
  <c r="AA1034" i="62" s="1"/>
  <c r="Z1021" i="62"/>
  <c r="AA1021" i="62" s="1"/>
  <c r="Z982" i="62"/>
  <c r="AA982" i="62" s="1"/>
  <c r="Z957" i="62"/>
  <c r="AA957" i="62" s="1"/>
  <c r="Z893" i="62"/>
  <c r="AA893" i="62" s="1"/>
  <c r="Z829" i="62"/>
  <c r="AA829" i="62" s="1"/>
  <c r="Z765" i="62"/>
  <c r="AA765" i="62" s="1"/>
  <c r="Z701" i="62"/>
  <c r="AA701" i="62" s="1"/>
  <c r="Z637" i="62"/>
  <c r="AA637" i="62" s="1"/>
  <c r="Z573" i="62"/>
  <c r="AA573" i="62" s="1"/>
  <c r="Z509" i="62"/>
  <c r="AA509" i="62" s="1"/>
  <c r="Z445" i="62"/>
  <c r="AA445" i="62" s="1"/>
  <c r="Z13" i="62"/>
  <c r="AA13" i="62" s="1"/>
  <c r="Z21" i="62"/>
  <c r="AA21" i="62" s="1"/>
  <c r="Z29" i="62"/>
  <c r="AA29" i="62" s="1"/>
  <c r="Z37" i="62"/>
  <c r="AA37" i="62" s="1"/>
  <c r="Z45" i="62"/>
  <c r="AA45" i="62" s="1"/>
  <c r="Z53" i="62"/>
  <c r="AA53" i="62" s="1"/>
  <c r="Z61" i="62"/>
  <c r="AA61" i="62" s="1"/>
  <c r="Z69" i="62"/>
  <c r="AA69" i="62" s="1"/>
  <c r="Z77" i="62"/>
  <c r="AA77" i="62" s="1"/>
  <c r="Z85" i="62"/>
  <c r="AA85" i="62" s="1"/>
  <c r="Z93" i="62"/>
  <c r="AA93" i="62" s="1"/>
  <c r="Z101" i="62"/>
  <c r="AA101" i="62" s="1"/>
  <c r="Z109" i="62"/>
  <c r="AA109" i="62" s="1"/>
  <c r="Z117" i="62"/>
  <c r="AA117" i="62" s="1"/>
  <c r="Z125" i="62"/>
  <c r="AA125" i="62" s="1"/>
  <c r="Z133" i="62"/>
  <c r="AA133" i="62" s="1"/>
  <c r="Z141" i="62"/>
  <c r="AA141" i="62" s="1"/>
  <c r="Z149" i="62"/>
  <c r="AA149" i="62" s="1"/>
  <c r="Z157" i="62"/>
  <c r="AA157" i="62" s="1"/>
  <c r="Z165" i="62"/>
  <c r="AA165" i="62" s="1"/>
  <c r="Z173" i="62"/>
  <c r="AA173" i="62" s="1"/>
  <c r="Z181" i="62"/>
  <c r="AA181" i="62" s="1"/>
  <c r="Z189" i="62"/>
  <c r="AA189" i="62" s="1"/>
  <c r="Z197" i="62"/>
  <c r="AA197" i="62" s="1"/>
  <c r="Z205" i="62"/>
  <c r="AA205" i="62" s="1"/>
  <c r="Z213" i="62"/>
  <c r="AA213" i="62" s="1"/>
  <c r="Z221" i="62"/>
  <c r="AA221" i="62" s="1"/>
  <c r="Z229" i="62"/>
  <c r="AA229" i="62" s="1"/>
  <c r="Z237" i="62"/>
  <c r="AA237" i="62" s="1"/>
  <c r="Z245" i="62"/>
  <c r="AA245" i="62" s="1"/>
  <c r="Z253" i="62"/>
  <c r="AA253" i="62" s="1"/>
  <c r="Z261" i="62"/>
  <c r="AA261" i="62" s="1"/>
  <c r="Z269" i="62"/>
  <c r="AA269" i="62" s="1"/>
  <c r="Z277" i="62"/>
  <c r="AA277" i="62" s="1"/>
  <c r="Z285" i="62"/>
  <c r="AA285" i="62" s="1"/>
  <c r="Z293" i="62"/>
  <c r="AA293" i="62" s="1"/>
  <c r="Z301" i="62"/>
  <c r="AA301" i="62" s="1"/>
  <c r="Z309" i="62"/>
  <c r="AA309" i="62" s="1"/>
  <c r="Z317" i="62"/>
  <c r="AA317" i="62" s="1"/>
  <c r="Z325" i="62"/>
  <c r="AA325" i="62" s="1"/>
  <c r="Z333" i="62"/>
  <c r="AA333" i="62" s="1"/>
  <c r="Z341" i="62"/>
  <c r="AA341" i="62" s="1"/>
  <c r="Z349" i="62"/>
  <c r="AA349" i="62" s="1"/>
  <c r="Z9" i="62"/>
  <c r="AA9" i="62" s="1"/>
  <c r="Z17" i="62"/>
  <c r="AA17" i="62" s="1"/>
  <c r="Z25" i="62"/>
  <c r="AA25" i="62" s="1"/>
  <c r="Z33" i="62"/>
  <c r="AA33" i="62" s="1"/>
  <c r="Z41" i="62"/>
  <c r="AA41" i="62" s="1"/>
  <c r="Z49" i="62"/>
  <c r="AA49" i="62" s="1"/>
  <c r="Z57" i="62"/>
  <c r="AA57" i="62" s="1"/>
  <c r="Z65" i="62"/>
  <c r="AA65" i="62" s="1"/>
  <c r="Z73" i="62"/>
  <c r="AA73" i="62" s="1"/>
  <c r="Z81" i="62"/>
  <c r="AA81" i="62" s="1"/>
  <c r="Z89" i="62"/>
  <c r="AA89" i="62" s="1"/>
  <c r="Z97" i="62"/>
  <c r="AA97" i="62" s="1"/>
  <c r="Z105" i="62"/>
  <c r="AA105" i="62" s="1"/>
  <c r="Z113" i="62"/>
  <c r="AA113" i="62" s="1"/>
  <c r="Z121" i="62"/>
  <c r="AA121" i="62" s="1"/>
  <c r="Z129" i="62"/>
  <c r="AA129" i="62" s="1"/>
  <c r="Z137" i="62"/>
  <c r="AA137" i="62" s="1"/>
  <c r="Z145" i="62"/>
  <c r="AA145" i="62" s="1"/>
  <c r="Z153" i="62"/>
  <c r="AA153" i="62" s="1"/>
  <c r="Z161" i="62"/>
  <c r="AA161" i="62" s="1"/>
  <c r="Z169" i="62"/>
  <c r="AA169" i="62" s="1"/>
  <c r="Z177" i="62"/>
  <c r="AA177" i="62" s="1"/>
  <c r="Z185" i="62"/>
  <c r="AA185" i="62" s="1"/>
  <c r="Z193" i="62"/>
  <c r="AA193" i="62" s="1"/>
  <c r="Z201" i="62"/>
  <c r="AA201" i="62" s="1"/>
  <c r="Z209" i="62"/>
  <c r="AA209" i="62" s="1"/>
  <c r="Z217" i="62"/>
  <c r="AA217" i="62" s="1"/>
  <c r="Z225" i="62"/>
  <c r="AA225" i="62" s="1"/>
  <c r="Z233" i="62"/>
  <c r="AA233" i="62" s="1"/>
  <c r="Z241" i="62"/>
  <c r="AA241" i="62" s="1"/>
  <c r="Z249" i="62"/>
  <c r="AA249" i="62" s="1"/>
  <c r="Z257" i="62"/>
  <c r="AA257" i="62" s="1"/>
  <c r="Z265" i="62"/>
  <c r="AA265" i="62" s="1"/>
  <c r="Z273" i="62"/>
  <c r="AA273" i="62" s="1"/>
  <c r="Z281" i="62"/>
  <c r="AA281" i="62" s="1"/>
  <c r="Z289" i="62"/>
  <c r="AA289" i="62" s="1"/>
  <c r="Z297" i="62"/>
  <c r="AA297" i="62" s="1"/>
  <c r="Z305" i="62"/>
  <c r="AA305" i="62" s="1"/>
  <c r="Z313" i="62"/>
  <c r="AA313" i="62" s="1"/>
  <c r="Z321" i="62"/>
  <c r="AA321" i="62" s="1"/>
  <c r="Z329" i="62"/>
  <c r="AA329" i="62" s="1"/>
  <c r="Z337" i="62"/>
  <c r="AA337" i="62" s="1"/>
  <c r="Z345" i="62"/>
  <c r="AA345" i="62" s="1"/>
  <c r="Z405" i="62"/>
  <c r="AA405" i="62" s="1"/>
  <c r="Z365" i="62"/>
  <c r="AA365" i="62" s="1"/>
  <c r="Z385" i="62"/>
  <c r="AA385" i="62" s="1"/>
  <c r="Z397" i="62"/>
  <c r="AA397" i="62" s="1"/>
  <c r="Z369" i="62"/>
  <c r="AA369" i="62" s="1"/>
  <c r="Z409" i="62"/>
  <c r="AA409" i="62" s="1"/>
  <c r="Z417" i="62"/>
  <c r="AA417" i="62" s="1"/>
  <c r="Z425" i="62"/>
  <c r="AA425" i="62" s="1"/>
  <c r="Z433" i="62"/>
  <c r="AA433" i="62" s="1"/>
  <c r="Z441" i="62"/>
  <c r="AA441" i="62" s="1"/>
  <c r="Z449" i="62"/>
  <c r="AA449" i="62" s="1"/>
  <c r="Z457" i="62"/>
  <c r="AA457" i="62" s="1"/>
  <c r="Z465" i="62"/>
  <c r="AA465" i="62" s="1"/>
  <c r="Z473" i="62"/>
  <c r="AA473" i="62" s="1"/>
  <c r="Z481" i="62"/>
  <c r="AA481" i="62" s="1"/>
  <c r="Z489" i="62"/>
  <c r="AA489" i="62" s="1"/>
  <c r="Z497" i="62"/>
  <c r="AA497" i="62" s="1"/>
  <c r="Z505" i="62"/>
  <c r="AA505" i="62" s="1"/>
  <c r="Z513" i="62"/>
  <c r="AA513" i="62" s="1"/>
  <c r="Z521" i="62"/>
  <c r="AA521" i="62" s="1"/>
  <c r="Z529" i="62"/>
  <c r="AA529" i="62" s="1"/>
  <c r="Z537" i="62"/>
  <c r="AA537" i="62" s="1"/>
  <c r="Z545" i="62"/>
  <c r="AA545" i="62" s="1"/>
  <c r="Z553" i="62"/>
  <c r="AA553" i="62" s="1"/>
  <c r="Z561" i="62"/>
  <c r="AA561" i="62" s="1"/>
  <c r="Z569" i="62"/>
  <c r="AA569" i="62" s="1"/>
  <c r="Z577" i="62"/>
  <c r="AA577" i="62" s="1"/>
  <c r="Z585" i="62"/>
  <c r="AA585" i="62" s="1"/>
  <c r="Z593" i="62"/>
  <c r="AA593" i="62" s="1"/>
  <c r="Z601" i="62"/>
  <c r="AA601" i="62" s="1"/>
  <c r="Z609" i="62"/>
  <c r="AA609" i="62" s="1"/>
  <c r="Z617" i="62"/>
  <c r="AA617" i="62" s="1"/>
  <c r="Z625" i="62"/>
  <c r="AA625" i="62" s="1"/>
  <c r="Z633" i="62"/>
  <c r="AA633" i="62" s="1"/>
  <c r="Z641" i="62"/>
  <c r="AA641" i="62" s="1"/>
  <c r="Z649" i="62"/>
  <c r="AA649" i="62" s="1"/>
  <c r="Z657" i="62"/>
  <c r="AA657" i="62" s="1"/>
  <c r="Z665" i="62"/>
  <c r="AA665" i="62" s="1"/>
  <c r="Z673" i="62"/>
  <c r="AA673" i="62" s="1"/>
  <c r="Z681" i="62"/>
  <c r="AA681" i="62" s="1"/>
  <c r="Z689" i="62"/>
  <c r="AA689" i="62" s="1"/>
  <c r="Z697" i="62"/>
  <c r="AA697" i="62" s="1"/>
  <c r="Z705" i="62"/>
  <c r="AA705" i="62" s="1"/>
  <c r="Z713" i="62"/>
  <c r="AA713" i="62" s="1"/>
  <c r="Z721" i="62"/>
  <c r="AA721" i="62" s="1"/>
  <c r="Z729" i="62"/>
  <c r="AA729" i="62" s="1"/>
  <c r="Z737" i="62"/>
  <c r="AA737" i="62" s="1"/>
  <c r="Z745" i="62"/>
  <c r="AA745" i="62" s="1"/>
  <c r="Z753" i="62"/>
  <c r="AA753" i="62" s="1"/>
  <c r="Z761" i="62"/>
  <c r="AA761" i="62" s="1"/>
  <c r="Z769" i="62"/>
  <c r="AA769" i="62" s="1"/>
  <c r="Z777" i="62"/>
  <c r="AA777" i="62" s="1"/>
  <c r="Z785" i="62"/>
  <c r="AA785" i="62" s="1"/>
  <c r="Z793" i="62"/>
  <c r="AA793" i="62" s="1"/>
  <c r="Z801" i="62"/>
  <c r="AA801" i="62" s="1"/>
  <c r="Z809" i="62"/>
  <c r="AA809" i="62" s="1"/>
  <c r="Z817" i="62"/>
  <c r="AA817" i="62" s="1"/>
  <c r="Z825" i="62"/>
  <c r="AA825" i="62" s="1"/>
  <c r="Z833" i="62"/>
  <c r="AA833" i="62" s="1"/>
  <c r="Z841" i="62"/>
  <c r="AA841" i="62" s="1"/>
  <c r="Z849" i="62"/>
  <c r="AA849" i="62" s="1"/>
  <c r="Z857" i="62"/>
  <c r="AA857" i="62" s="1"/>
  <c r="Z865" i="62"/>
  <c r="AA865" i="62" s="1"/>
  <c r="Z873" i="62"/>
  <c r="AA873" i="62" s="1"/>
  <c r="Z881" i="62"/>
  <c r="AA881" i="62" s="1"/>
  <c r="Z889" i="62"/>
  <c r="AA889" i="62" s="1"/>
  <c r="Z897" i="62"/>
  <c r="AA897" i="62" s="1"/>
  <c r="Z905" i="62"/>
  <c r="AA905" i="62" s="1"/>
  <c r="Z913" i="62"/>
  <c r="AA913" i="62" s="1"/>
  <c r="Z921" i="62"/>
  <c r="AA921" i="62" s="1"/>
  <c r="Z929" i="62"/>
  <c r="AA929" i="62" s="1"/>
  <c r="Z937" i="62"/>
  <c r="AA937" i="62" s="1"/>
  <c r="Z945" i="62"/>
  <c r="AA945" i="62" s="1"/>
  <c r="Z953" i="62"/>
  <c r="AA953" i="62" s="1"/>
  <c r="Z961" i="62"/>
  <c r="AA961" i="62" s="1"/>
  <c r="Z969" i="62"/>
  <c r="AA969" i="62" s="1"/>
  <c r="Z977" i="62"/>
  <c r="AA977" i="62" s="1"/>
  <c r="Z985" i="62"/>
  <c r="AA985" i="62" s="1"/>
  <c r="Z993" i="62"/>
  <c r="AA993" i="62" s="1"/>
  <c r="Z1001" i="62"/>
  <c r="AA1001" i="62" s="1"/>
  <c r="Z1009" i="62"/>
  <c r="AA1009" i="62" s="1"/>
  <c r="Z1017" i="62"/>
  <c r="AA1017" i="62" s="1"/>
  <c r="Z1025" i="62"/>
  <c r="AA1025" i="62" s="1"/>
  <c r="Z1033" i="62"/>
  <c r="AA1033" i="62" s="1"/>
  <c r="Z1041" i="62"/>
  <c r="AA1041" i="62" s="1"/>
  <c r="Z1049" i="62"/>
  <c r="AA1049" i="62" s="1"/>
  <c r="Z1057" i="62"/>
  <c r="AA1057" i="62" s="1"/>
  <c r="Z1065" i="62"/>
  <c r="AA1065" i="62" s="1"/>
  <c r="Z1073" i="62"/>
  <c r="AA1073" i="62" s="1"/>
  <c r="Z353" i="62"/>
  <c r="AA353" i="62" s="1"/>
  <c r="Z373" i="62"/>
  <c r="AA373" i="62" s="1"/>
  <c r="Z389" i="62"/>
  <c r="AA389" i="62" s="1"/>
  <c r="Z401" i="62"/>
  <c r="AA401" i="62" s="1"/>
  <c r="Z377" i="62"/>
  <c r="AA377" i="62" s="1"/>
  <c r="Z357" i="62"/>
  <c r="AA357" i="62" s="1"/>
  <c r="Z393" i="62"/>
  <c r="AA393" i="62" s="1"/>
  <c r="Z1552" i="62"/>
  <c r="Z1544" i="62"/>
  <c r="Z1496" i="62"/>
  <c r="Z1488" i="62"/>
  <c r="Z1448" i="62"/>
  <c r="Z1440" i="62"/>
  <c r="Z1432" i="62"/>
  <c r="Z1392" i="62"/>
  <c r="Z1384" i="62"/>
  <c r="Z1376" i="62"/>
  <c r="Z1336" i="62"/>
  <c r="Z1328" i="62"/>
  <c r="Z1320" i="62"/>
  <c r="Z1125" i="62"/>
  <c r="AA1125" i="62" s="1"/>
  <c r="Z1114" i="62"/>
  <c r="AA1114" i="62" s="1"/>
  <c r="Z1093" i="62"/>
  <c r="AA1093" i="62" s="1"/>
  <c r="Z1082" i="62"/>
  <c r="AA1082" i="62" s="1"/>
  <c r="Z1070" i="62"/>
  <c r="AA1070" i="62" s="1"/>
  <c r="Z1058" i="62"/>
  <c r="AA1058" i="62" s="1"/>
  <c r="Z1045" i="62"/>
  <c r="AA1045" i="62" s="1"/>
  <c r="Z1006" i="62"/>
  <c r="AA1006" i="62" s="1"/>
  <c r="Z981" i="62"/>
  <c r="AA981" i="62" s="1"/>
  <c r="Z949" i="62"/>
  <c r="AA949" i="62" s="1"/>
  <c r="Z885" i="62"/>
  <c r="AA885" i="62" s="1"/>
  <c r="Z821" i="62"/>
  <c r="AA821" i="62" s="1"/>
  <c r="Z757" i="62"/>
  <c r="AA757" i="62" s="1"/>
  <c r="Z693" i="62"/>
  <c r="AA693" i="62" s="1"/>
  <c r="Z629" i="62"/>
  <c r="AA629" i="62" s="1"/>
  <c r="Z565" i="62"/>
  <c r="AA565" i="62" s="1"/>
  <c r="Z501" i="62"/>
  <c r="AA501" i="62" s="1"/>
  <c r="Z437" i="62"/>
  <c r="AA437" i="62" s="1"/>
  <c r="Z14" i="62"/>
  <c r="AA14" i="62" s="1"/>
  <c r="Z22" i="62"/>
  <c r="AA22" i="62" s="1"/>
  <c r="Z30" i="62"/>
  <c r="AA30" i="62" s="1"/>
  <c r="Z38" i="62"/>
  <c r="AA38" i="62" s="1"/>
  <c r="Z46" i="62"/>
  <c r="AA46" i="62" s="1"/>
  <c r="Z54" i="62"/>
  <c r="AA54" i="62" s="1"/>
  <c r="Z62" i="62"/>
  <c r="AA62" i="62" s="1"/>
  <c r="Z70" i="62"/>
  <c r="AA70" i="62" s="1"/>
  <c r="Z78" i="62"/>
  <c r="AA78" i="62" s="1"/>
  <c r="Z86" i="62"/>
  <c r="AA86" i="62" s="1"/>
  <c r="Z94" i="62"/>
  <c r="AA94" i="62" s="1"/>
  <c r="Z102" i="62"/>
  <c r="AA102" i="62" s="1"/>
  <c r="Z110" i="62"/>
  <c r="AA110" i="62" s="1"/>
  <c r="Z118" i="62"/>
  <c r="AA118" i="62" s="1"/>
  <c r="Z126" i="62"/>
  <c r="AA126" i="62" s="1"/>
  <c r="Z134" i="62"/>
  <c r="AA134" i="62" s="1"/>
  <c r="Z142" i="62"/>
  <c r="AA142" i="62" s="1"/>
  <c r="Z150" i="62"/>
  <c r="AA150" i="62" s="1"/>
  <c r="Z158" i="62"/>
  <c r="AA158" i="62" s="1"/>
  <c r="Z166" i="62"/>
  <c r="AA166" i="62" s="1"/>
  <c r="Z174" i="62"/>
  <c r="AA174" i="62" s="1"/>
  <c r="Z182" i="62"/>
  <c r="AA182" i="62" s="1"/>
  <c r="Z190" i="62"/>
  <c r="AA190" i="62" s="1"/>
  <c r="Z198" i="62"/>
  <c r="AA198" i="62" s="1"/>
  <c r="Z206" i="62"/>
  <c r="AA206" i="62" s="1"/>
  <c r="Z214" i="62"/>
  <c r="AA214" i="62" s="1"/>
  <c r="Z222" i="62"/>
  <c r="AA222" i="62" s="1"/>
  <c r="Z230" i="62"/>
  <c r="AA230" i="62" s="1"/>
  <c r="Z238" i="62"/>
  <c r="AA238" i="62" s="1"/>
  <c r="Z246" i="62"/>
  <c r="AA246" i="62" s="1"/>
  <c r="Z254" i="62"/>
  <c r="AA254" i="62" s="1"/>
  <c r="Z262" i="62"/>
  <c r="AA262" i="62" s="1"/>
  <c r="Z270" i="62"/>
  <c r="AA270" i="62" s="1"/>
  <c r="Z278" i="62"/>
  <c r="AA278" i="62" s="1"/>
  <c r="Z286" i="62"/>
  <c r="AA286" i="62" s="1"/>
  <c r="Z294" i="62"/>
  <c r="AA294" i="62" s="1"/>
  <c r="Z302" i="62"/>
  <c r="AA302" i="62" s="1"/>
  <c r="Z310" i="62"/>
  <c r="AA310" i="62" s="1"/>
  <c r="Z318" i="62"/>
  <c r="AA318" i="62" s="1"/>
  <c r="Z326" i="62"/>
  <c r="AA326" i="62" s="1"/>
  <c r="Z334" i="62"/>
  <c r="AA334" i="62" s="1"/>
  <c r="Z342" i="62"/>
  <c r="AA342" i="62" s="1"/>
  <c r="Z350" i="62"/>
  <c r="AA350" i="62" s="1"/>
  <c r="Z358" i="62"/>
  <c r="AA358" i="62" s="1"/>
  <c r="Z366" i="62"/>
  <c r="AA366" i="62" s="1"/>
  <c r="Z374" i="62"/>
  <c r="AA374" i="62" s="1"/>
  <c r="Z382" i="62"/>
  <c r="AA382" i="62" s="1"/>
  <c r="Z390" i="62"/>
  <c r="AA390" i="62" s="1"/>
  <c r="Z398" i="62"/>
  <c r="AA398" i="62" s="1"/>
  <c r="Z406" i="62"/>
  <c r="AA406" i="62" s="1"/>
  <c r="Z10" i="62"/>
  <c r="AA10" i="62" s="1"/>
  <c r="Z18" i="62"/>
  <c r="AA18" i="62" s="1"/>
  <c r="Z26" i="62"/>
  <c r="AA26" i="62" s="1"/>
  <c r="Z34" i="62"/>
  <c r="AA34" i="62" s="1"/>
  <c r="Z42" i="62"/>
  <c r="AA42" i="62" s="1"/>
  <c r="Z50" i="62"/>
  <c r="AA50" i="62" s="1"/>
  <c r="Z58" i="62"/>
  <c r="AA58" i="62" s="1"/>
  <c r="Z66" i="62"/>
  <c r="AA66" i="62" s="1"/>
  <c r="Z74" i="62"/>
  <c r="AA74" i="62" s="1"/>
  <c r="Z82" i="62"/>
  <c r="AA82" i="62" s="1"/>
  <c r="Z90" i="62"/>
  <c r="AA90" i="62" s="1"/>
  <c r="Z98" i="62"/>
  <c r="AA98" i="62" s="1"/>
  <c r="Z106" i="62"/>
  <c r="AA106" i="62" s="1"/>
  <c r="Z114" i="62"/>
  <c r="AA114" i="62" s="1"/>
  <c r="Z122" i="62"/>
  <c r="AA122" i="62" s="1"/>
  <c r="Z130" i="62"/>
  <c r="AA130" i="62" s="1"/>
  <c r="Z138" i="62"/>
  <c r="AA138" i="62" s="1"/>
  <c r="Z146" i="62"/>
  <c r="AA146" i="62" s="1"/>
  <c r="Z154" i="62"/>
  <c r="AA154" i="62" s="1"/>
  <c r="Z162" i="62"/>
  <c r="AA162" i="62" s="1"/>
  <c r="Z170" i="62"/>
  <c r="AA170" i="62" s="1"/>
  <c r="Z178" i="62"/>
  <c r="AA178" i="62" s="1"/>
  <c r="Z186" i="62"/>
  <c r="AA186" i="62" s="1"/>
  <c r="Z194" i="62"/>
  <c r="AA194" i="62" s="1"/>
  <c r="Z202" i="62"/>
  <c r="AA202" i="62" s="1"/>
  <c r="Z210" i="62"/>
  <c r="AA210" i="62" s="1"/>
  <c r="Z218" i="62"/>
  <c r="AA218" i="62" s="1"/>
  <c r="Z226" i="62"/>
  <c r="AA226" i="62" s="1"/>
  <c r="Z234" i="62"/>
  <c r="AA234" i="62" s="1"/>
  <c r="Z242" i="62"/>
  <c r="AA242" i="62" s="1"/>
  <c r="Z250" i="62"/>
  <c r="AA250" i="62" s="1"/>
  <c r="Z258" i="62"/>
  <c r="AA258" i="62" s="1"/>
  <c r="Z266" i="62"/>
  <c r="AA266" i="62" s="1"/>
  <c r="Z274" i="62"/>
  <c r="AA274" i="62" s="1"/>
  <c r="Z282" i="62"/>
  <c r="AA282" i="62" s="1"/>
  <c r="Z290" i="62"/>
  <c r="AA290" i="62" s="1"/>
  <c r="Z298" i="62"/>
  <c r="AA298" i="62" s="1"/>
  <c r="Z306" i="62"/>
  <c r="AA306" i="62" s="1"/>
  <c r="Z314" i="62"/>
  <c r="AA314" i="62" s="1"/>
  <c r="Z322" i="62"/>
  <c r="AA322" i="62" s="1"/>
  <c r="Z330" i="62"/>
  <c r="AA330" i="62" s="1"/>
  <c r="Z338" i="62"/>
  <c r="AA338" i="62" s="1"/>
  <c r="Z346" i="62"/>
  <c r="AA346" i="62" s="1"/>
  <c r="Z354" i="62"/>
  <c r="AA354" i="62" s="1"/>
  <c r="Z362" i="62"/>
  <c r="AA362" i="62" s="1"/>
  <c r="Z370" i="62"/>
  <c r="AA370" i="62" s="1"/>
  <c r="Z378" i="62"/>
  <c r="AA378" i="62" s="1"/>
  <c r="Z386" i="62"/>
  <c r="AA386" i="62" s="1"/>
  <c r="Z394" i="62"/>
  <c r="AA394" i="62" s="1"/>
  <c r="Z414" i="62"/>
  <c r="AA414" i="62" s="1"/>
  <c r="Z422" i="62"/>
  <c r="AA422" i="62" s="1"/>
  <c r="Z430" i="62"/>
  <c r="AA430" i="62" s="1"/>
  <c r="Z438" i="62"/>
  <c r="AA438" i="62" s="1"/>
  <c r="Z446" i="62"/>
  <c r="AA446" i="62" s="1"/>
  <c r="Z454" i="62"/>
  <c r="AA454" i="62" s="1"/>
  <c r="Z462" i="62"/>
  <c r="AA462" i="62" s="1"/>
  <c r="Z470" i="62"/>
  <c r="AA470" i="62" s="1"/>
  <c r="Z478" i="62"/>
  <c r="AA478" i="62" s="1"/>
  <c r="Z486" i="62"/>
  <c r="AA486" i="62" s="1"/>
  <c r="Z494" i="62"/>
  <c r="AA494" i="62" s="1"/>
  <c r="Z502" i="62"/>
  <c r="AA502" i="62" s="1"/>
  <c r="Z510" i="62"/>
  <c r="AA510" i="62" s="1"/>
  <c r="Z518" i="62"/>
  <c r="AA518" i="62" s="1"/>
  <c r="Z526" i="62"/>
  <c r="AA526" i="62" s="1"/>
  <c r="Z534" i="62"/>
  <c r="AA534" i="62" s="1"/>
  <c r="Z542" i="62"/>
  <c r="AA542" i="62" s="1"/>
  <c r="Z550" i="62"/>
  <c r="AA550" i="62" s="1"/>
  <c r="Z558" i="62"/>
  <c r="AA558" i="62" s="1"/>
  <c r="Z566" i="62"/>
  <c r="AA566" i="62" s="1"/>
  <c r="Z574" i="62"/>
  <c r="AA574" i="62" s="1"/>
  <c r="Z582" i="62"/>
  <c r="AA582" i="62" s="1"/>
  <c r="Z590" i="62"/>
  <c r="AA590" i="62" s="1"/>
  <c r="Z598" i="62"/>
  <c r="AA598" i="62" s="1"/>
  <c r="Z606" i="62"/>
  <c r="AA606" i="62" s="1"/>
  <c r="Z614" i="62"/>
  <c r="AA614" i="62" s="1"/>
  <c r="Z622" i="62"/>
  <c r="AA622" i="62" s="1"/>
  <c r="Z630" i="62"/>
  <c r="AA630" i="62" s="1"/>
  <c r="Z638" i="62"/>
  <c r="AA638" i="62" s="1"/>
  <c r="Z646" i="62"/>
  <c r="AA646" i="62" s="1"/>
  <c r="Z654" i="62"/>
  <c r="AA654" i="62" s="1"/>
  <c r="Z662" i="62"/>
  <c r="AA662" i="62" s="1"/>
  <c r="Z670" i="62"/>
  <c r="AA670" i="62" s="1"/>
  <c r="Z678" i="62"/>
  <c r="AA678" i="62" s="1"/>
  <c r="Z686" i="62"/>
  <c r="AA686" i="62" s="1"/>
  <c r="Z694" i="62"/>
  <c r="AA694" i="62" s="1"/>
  <c r="Z702" i="62"/>
  <c r="AA702" i="62" s="1"/>
  <c r="Z710" i="62"/>
  <c r="AA710" i="62" s="1"/>
  <c r="Z718" i="62"/>
  <c r="AA718" i="62" s="1"/>
  <c r="Z726" i="62"/>
  <c r="AA726" i="62" s="1"/>
  <c r="Z734" i="62"/>
  <c r="AA734" i="62" s="1"/>
  <c r="Z742" i="62"/>
  <c r="AA742" i="62" s="1"/>
  <c r="Z750" i="62"/>
  <c r="AA750" i="62" s="1"/>
  <c r="Z758" i="62"/>
  <c r="AA758" i="62" s="1"/>
  <c r="Z766" i="62"/>
  <c r="AA766" i="62" s="1"/>
  <c r="Z774" i="62"/>
  <c r="AA774" i="62" s="1"/>
  <c r="Z782" i="62"/>
  <c r="AA782" i="62" s="1"/>
  <c r="Z790" i="62"/>
  <c r="AA790" i="62" s="1"/>
  <c r="Z798" i="62"/>
  <c r="AA798" i="62" s="1"/>
  <c r="Z806" i="62"/>
  <c r="AA806" i="62" s="1"/>
  <c r="Z814" i="62"/>
  <c r="AA814" i="62" s="1"/>
  <c r="Z822" i="62"/>
  <c r="AA822" i="62" s="1"/>
  <c r="Z830" i="62"/>
  <c r="AA830" i="62" s="1"/>
  <c r="Z838" i="62"/>
  <c r="AA838" i="62" s="1"/>
  <c r="Z846" i="62"/>
  <c r="AA846" i="62" s="1"/>
  <c r="Z854" i="62"/>
  <c r="AA854" i="62" s="1"/>
  <c r="Z862" i="62"/>
  <c r="AA862" i="62" s="1"/>
  <c r="Z870" i="62"/>
  <c r="AA870" i="62" s="1"/>
  <c r="Z878" i="62"/>
  <c r="AA878" i="62" s="1"/>
  <c r="Z886" i="62"/>
  <c r="AA886" i="62" s="1"/>
  <c r="Z894" i="62"/>
  <c r="AA894" i="62" s="1"/>
  <c r="Z902" i="62"/>
  <c r="AA902" i="62" s="1"/>
  <c r="Z910" i="62"/>
  <c r="AA910" i="62" s="1"/>
  <c r="Z918" i="62"/>
  <c r="AA918" i="62" s="1"/>
  <c r="Z926" i="62"/>
  <c r="AA926" i="62" s="1"/>
  <c r="Z934" i="62"/>
  <c r="AA934" i="62" s="1"/>
  <c r="Z942" i="62"/>
  <c r="AA942" i="62" s="1"/>
  <c r="Z950" i="62"/>
  <c r="AA950" i="62" s="1"/>
  <c r="Z958" i="62"/>
  <c r="AA958" i="62" s="1"/>
  <c r="Z966" i="62"/>
  <c r="AA966" i="62" s="1"/>
  <c r="Z974" i="62"/>
  <c r="AA974" i="62" s="1"/>
  <c r="Z410" i="62"/>
  <c r="AA410" i="62" s="1"/>
  <c r="Z418" i="62"/>
  <c r="AA418" i="62" s="1"/>
  <c r="Z426" i="62"/>
  <c r="AA426" i="62" s="1"/>
  <c r="Z434" i="62"/>
  <c r="AA434" i="62" s="1"/>
  <c r="Z442" i="62"/>
  <c r="AA442" i="62" s="1"/>
  <c r="Z450" i="62"/>
  <c r="AA450" i="62" s="1"/>
  <c r="Z458" i="62"/>
  <c r="AA458" i="62" s="1"/>
  <c r="Z466" i="62"/>
  <c r="AA466" i="62" s="1"/>
  <c r="Z474" i="62"/>
  <c r="AA474" i="62" s="1"/>
  <c r="Z482" i="62"/>
  <c r="AA482" i="62" s="1"/>
  <c r="Z490" i="62"/>
  <c r="AA490" i="62" s="1"/>
  <c r="Z498" i="62"/>
  <c r="AA498" i="62" s="1"/>
  <c r="Z506" i="62"/>
  <c r="AA506" i="62" s="1"/>
  <c r="Z514" i="62"/>
  <c r="AA514" i="62" s="1"/>
  <c r="Z522" i="62"/>
  <c r="AA522" i="62" s="1"/>
  <c r="Z530" i="62"/>
  <c r="AA530" i="62" s="1"/>
  <c r="Z538" i="62"/>
  <c r="AA538" i="62" s="1"/>
  <c r="Z546" i="62"/>
  <c r="AA546" i="62" s="1"/>
  <c r="Z554" i="62"/>
  <c r="AA554" i="62" s="1"/>
  <c r="Z562" i="62"/>
  <c r="AA562" i="62" s="1"/>
  <c r="Z570" i="62"/>
  <c r="AA570" i="62" s="1"/>
  <c r="Z578" i="62"/>
  <c r="AA578" i="62" s="1"/>
  <c r="Z586" i="62"/>
  <c r="AA586" i="62" s="1"/>
  <c r="Z594" i="62"/>
  <c r="AA594" i="62" s="1"/>
  <c r="Z602" i="62"/>
  <c r="AA602" i="62" s="1"/>
  <c r="Z610" i="62"/>
  <c r="AA610" i="62" s="1"/>
  <c r="Z618" i="62"/>
  <c r="AA618" i="62" s="1"/>
  <c r="Z626" i="62"/>
  <c r="AA626" i="62" s="1"/>
  <c r="Z634" i="62"/>
  <c r="AA634" i="62" s="1"/>
  <c r="Z642" i="62"/>
  <c r="AA642" i="62" s="1"/>
  <c r="Z650" i="62"/>
  <c r="AA650" i="62" s="1"/>
  <c r="Z658" i="62"/>
  <c r="AA658" i="62" s="1"/>
  <c r="Z666" i="62"/>
  <c r="AA666" i="62" s="1"/>
  <c r="Z674" i="62"/>
  <c r="AA674" i="62" s="1"/>
  <c r="Z682" i="62"/>
  <c r="AA682" i="62" s="1"/>
  <c r="Z690" i="62"/>
  <c r="AA690" i="62" s="1"/>
  <c r="Z698" i="62"/>
  <c r="AA698" i="62" s="1"/>
  <c r="Z706" i="62"/>
  <c r="AA706" i="62" s="1"/>
  <c r="Z714" i="62"/>
  <c r="AA714" i="62" s="1"/>
  <c r="Z722" i="62"/>
  <c r="AA722" i="62" s="1"/>
  <c r="Z730" i="62"/>
  <c r="AA730" i="62" s="1"/>
  <c r="Z738" i="62"/>
  <c r="AA738" i="62" s="1"/>
  <c r="Z746" i="62"/>
  <c r="AA746" i="62" s="1"/>
  <c r="Z754" i="62"/>
  <c r="AA754" i="62" s="1"/>
  <c r="Z762" i="62"/>
  <c r="AA762" i="62" s="1"/>
  <c r="Z770" i="62"/>
  <c r="AA770" i="62" s="1"/>
  <c r="Z778" i="62"/>
  <c r="AA778" i="62" s="1"/>
  <c r="Z786" i="62"/>
  <c r="AA786" i="62" s="1"/>
  <c r="Z794" i="62"/>
  <c r="AA794" i="62" s="1"/>
  <c r="Z802" i="62"/>
  <c r="AA802" i="62" s="1"/>
  <c r="Z810" i="62"/>
  <c r="AA810" i="62" s="1"/>
  <c r="Z818" i="62"/>
  <c r="AA818" i="62" s="1"/>
  <c r="Z826" i="62"/>
  <c r="AA826" i="62" s="1"/>
  <c r="Z834" i="62"/>
  <c r="AA834" i="62" s="1"/>
  <c r="Z842" i="62"/>
  <c r="AA842" i="62" s="1"/>
  <c r="Z850" i="62"/>
  <c r="AA850" i="62" s="1"/>
  <c r="Z858" i="62"/>
  <c r="AA858" i="62" s="1"/>
  <c r="Z866" i="62"/>
  <c r="AA866" i="62" s="1"/>
  <c r="Z874" i="62"/>
  <c r="AA874" i="62" s="1"/>
  <c r="Z882" i="62"/>
  <c r="AA882" i="62" s="1"/>
  <c r="Z890" i="62"/>
  <c r="AA890" i="62" s="1"/>
  <c r="Z898" i="62"/>
  <c r="AA898" i="62" s="1"/>
  <c r="Z906" i="62"/>
  <c r="AA906" i="62" s="1"/>
  <c r="Z914" i="62"/>
  <c r="AA914" i="62" s="1"/>
  <c r="Z922" i="62"/>
  <c r="AA922" i="62" s="1"/>
  <c r="Z930" i="62"/>
  <c r="AA930" i="62" s="1"/>
  <c r="Z938" i="62"/>
  <c r="AA938" i="62" s="1"/>
  <c r="Z946" i="62"/>
  <c r="AA946" i="62" s="1"/>
  <c r="Z954" i="62"/>
  <c r="AA954" i="62" s="1"/>
  <c r="Z962" i="62"/>
  <c r="AA962" i="62" s="1"/>
  <c r="Z970" i="62"/>
  <c r="AA970" i="62" s="1"/>
  <c r="Z402" i="62"/>
  <c r="AA402" i="62" s="1"/>
  <c r="Z1559" i="62"/>
  <c r="Z1551" i="62"/>
  <c r="Z1543" i="62"/>
  <c r="Z1503" i="62"/>
  <c r="Z1495" i="62"/>
  <c r="Z1487" i="62"/>
  <c r="Z1447" i="62"/>
  <c r="Z1439" i="62"/>
  <c r="Z1431" i="62"/>
  <c r="Z1391" i="62"/>
  <c r="Z1383" i="62"/>
  <c r="Z1375" i="62"/>
  <c r="Z1335" i="62"/>
  <c r="Z1327" i="62"/>
  <c r="Z1319" i="62"/>
  <c r="Z1134" i="62"/>
  <c r="AA1134" i="62" s="1"/>
  <c r="Z1113" i="62"/>
  <c r="AA1113" i="62" s="1"/>
  <c r="Z1102" i="62"/>
  <c r="AA1102" i="62" s="1"/>
  <c r="Z1081" i="62"/>
  <c r="AA1081" i="62" s="1"/>
  <c r="Z1069" i="62"/>
  <c r="AA1069" i="62" s="1"/>
  <c r="Z1030" i="62"/>
  <c r="AA1030" i="62" s="1"/>
  <c r="Z1018" i="62"/>
  <c r="AA1018" i="62" s="1"/>
  <c r="Z1005" i="62"/>
  <c r="AA1005" i="62" s="1"/>
  <c r="Z941" i="62"/>
  <c r="AA941" i="62" s="1"/>
  <c r="Z877" i="62"/>
  <c r="AA877" i="62" s="1"/>
  <c r="Z813" i="62"/>
  <c r="AA813" i="62" s="1"/>
  <c r="Z749" i="62"/>
  <c r="AA749" i="62" s="1"/>
  <c r="Z685" i="62"/>
  <c r="AA685" i="62" s="1"/>
  <c r="Z621" i="62"/>
  <c r="AA621" i="62" s="1"/>
  <c r="Z557" i="62"/>
  <c r="AA557" i="62" s="1"/>
  <c r="Z493" i="62"/>
  <c r="AA493" i="62" s="1"/>
  <c r="Z429" i="62"/>
  <c r="AA429" i="62" s="1"/>
  <c r="Z1566" i="62"/>
  <c r="Z1558" i="62"/>
  <c r="Z1550" i="62"/>
  <c r="Z1542" i="62"/>
  <c r="Z1510" i="62"/>
  <c r="Z1502" i="62"/>
  <c r="Z1494" i="62"/>
  <c r="Z1486" i="62"/>
  <c r="Z1454" i="62"/>
  <c r="Z1446" i="62"/>
  <c r="Z1438" i="62"/>
  <c r="Z1430" i="62"/>
  <c r="Z1398" i="62"/>
  <c r="Z1390" i="62"/>
  <c r="Z1382" i="62"/>
  <c r="Z1374" i="62"/>
  <c r="Z1342" i="62"/>
  <c r="Z1334" i="62"/>
  <c r="Z1326" i="62"/>
  <c r="Z1318" i="62"/>
  <c r="Z1286" i="62"/>
  <c r="AA1286" i="62" s="1"/>
  <c r="Z1278" i="62"/>
  <c r="AA1278" i="62" s="1"/>
  <c r="Z1270" i="62"/>
  <c r="AA1270" i="62" s="1"/>
  <c r="Z1262" i="62"/>
  <c r="AA1262" i="62" s="1"/>
  <c r="Z1254" i="62"/>
  <c r="AA1254" i="62" s="1"/>
  <c r="Z1246" i="62"/>
  <c r="AA1246" i="62" s="1"/>
  <c r="Z1238" i="62"/>
  <c r="AA1238" i="62" s="1"/>
  <c r="Z1230" i="62"/>
  <c r="AA1230" i="62" s="1"/>
  <c r="Z1222" i="62"/>
  <c r="AA1222" i="62" s="1"/>
  <c r="Z1214" i="62"/>
  <c r="AA1214" i="62" s="1"/>
  <c r="Z1206" i="62"/>
  <c r="AA1206" i="62" s="1"/>
  <c r="Z1198" i="62"/>
  <c r="AA1198" i="62" s="1"/>
  <c r="Z1190" i="62"/>
  <c r="AA1190" i="62" s="1"/>
  <c r="Z1182" i="62"/>
  <c r="AA1182" i="62" s="1"/>
  <c r="Z1174" i="62"/>
  <c r="AA1174" i="62" s="1"/>
  <c r="Z1166" i="62"/>
  <c r="AA1166" i="62" s="1"/>
  <c r="Z1158" i="62"/>
  <c r="AA1158" i="62" s="1"/>
  <c r="Z1150" i="62"/>
  <c r="AA1150" i="62" s="1"/>
  <c r="Z1142" i="62"/>
  <c r="AA1142" i="62" s="1"/>
  <c r="Z1133" i="62"/>
  <c r="AA1133" i="62" s="1"/>
  <c r="Z1122" i="62"/>
  <c r="AA1122" i="62" s="1"/>
  <c r="Z1101" i="62"/>
  <c r="AA1101" i="62" s="1"/>
  <c r="Z1090" i="62"/>
  <c r="AA1090" i="62" s="1"/>
  <c r="Z1054" i="62"/>
  <c r="AA1054" i="62" s="1"/>
  <c r="Z1042" i="62"/>
  <c r="AA1042" i="62" s="1"/>
  <c r="Z1029" i="62"/>
  <c r="AA1029" i="62" s="1"/>
  <c r="Z990" i="62"/>
  <c r="AA990" i="62" s="1"/>
  <c r="Z978" i="62"/>
  <c r="AA978" i="62" s="1"/>
  <c r="Z933" i="62"/>
  <c r="AA933" i="62" s="1"/>
  <c r="Z869" i="62"/>
  <c r="AA869" i="62" s="1"/>
  <c r="Z805" i="62"/>
  <c r="AA805" i="62" s="1"/>
  <c r="Z741" i="62"/>
  <c r="AA741" i="62" s="1"/>
  <c r="Z677" i="62"/>
  <c r="AA677" i="62" s="1"/>
  <c r="Z613" i="62"/>
  <c r="AA613" i="62" s="1"/>
  <c r="Z549" i="62"/>
  <c r="AA549" i="62" s="1"/>
  <c r="Z485" i="62"/>
  <c r="AA485" i="62" s="1"/>
  <c r="Z421" i="62"/>
  <c r="AA421" i="62" s="1"/>
  <c r="Z1437" i="62"/>
  <c r="Z1429" i="62"/>
  <c r="Z1381" i="62"/>
  <c r="Z1373" i="62"/>
  <c r="Z1333" i="62"/>
  <c r="Z1325" i="62"/>
  <c r="Z1317" i="62"/>
  <c r="Z1285" i="62"/>
  <c r="AA1285" i="62" s="1"/>
  <c r="Z1277" i="62"/>
  <c r="AA1277" i="62" s="1"/>
  <c r="Z1269" i="62"/>
  <c r="AA1269" i="62" s="1"/>
  <c r="Z1261" i="62"/>
  <c r="AA1261" i="62" s="1"/>
  <c r="Z1253" i="62"/>
  <c r="AA1253" i="62" s="1"/>
  <c r="Z1245" i="62"/>
  <c r="AA1245" i="62" s="1"/>
  <c r="Z1237" i="62"/>
  <c r="AA1237" i="62" s="1"/>
  <c r="Z1229" i="62"/>
  <c r="AA1229" i="62" s="1"/>
  <c r="Z1221" i="62"/>
  <c r="AA1221" i="62" s="1"/>
  <c r="Z1213" i="62"/>
  <c r="AA1213" i="62" s="1"/>
  <c r="Z1205" i="62"/>
  <c r="AA1205" i="62" s="1"/>
  <c r="Z1197" i="62"/>
  <c r="AA1197" i="62" s="1"/>
  <c r="Z1189" i="62"/>
  <c r="AA1189" i="62" s="1"/>
  <c r="Z1181" i="62"/>
  <c r="AA1181" i="62" s="1"/>
  <c r="Z1173" i="62"/>
  <c r="AA1173" i="62" s="1"/>
  <c r="Z1165" i="62"/>
  <c r="AA1165" i="62" s="1"/>
  <c r="Z1157" i="62"/>
  <c r="AA1157" i="62" s="1"/>
  <c r="Z1149" i="62"/>
  <c r="AA1149" i="62" s="1"/>
  <c r="Z1141" i="62"/>
  <c r="AA1141" i="62" s="1"/>
  <c r="Z1121" i="62"/>
  <c r="AA1121" i="62" s="1"/>
  <c r="Z1110" i="62"/>
  <c r="AA1110" i="62" s="1"/>
  <c r="Z1089" i="62"/>
  <c r="AA1089" i="62" s="1"/>
  <c r="Z1078" i="62"/>
  <c r="AA1078" i="62" s="1"/>
  <c r="Z1066" i="62"/>
  <c r="AA1066" i="62" s="1"/>
  <c r="Z1053" i="62"/>
  <c r="AA1053" i="62" s="1"/>
  <c r="Z1014" i="62"/>
  <c r="AA1014" i="62" s="1"/>
  <c r="Z1002" i="62"/>
  <c r="AA1002" i="62" s="1"/>
  <c r="Z989" i="62"/>
  <c r="AA989" i="62" s="1"/>
  <c r="Z925" i="62"/>
  <c r="AA925" i="62" s="1"/>
  <c r="Z861" i="62"/>
  <c r="AA861" i="62" s="1"/>
  <c r="Z797" i="62"/>
  <c r="AA797" i="62" s="1"/>
  <c r="Z733" i="62"/>
  <c r="AA733" i="62" s="1"/>
  <c r="Z669" i="62"/>
  <c r="AA669" i="62" s="1"/>
  <c r="Z605" i="62"/>
  <c r="AA605" i="62" s="1"/>
  <c r="Z541" i="62"/>
  <c r="AA541" i="62" s="1"/>
  <c r="Z477" i="62"/>
  <c r="AA477" i="62" s="1"/>
  <c r="Z413" i="62"/>
  <c r="AA413" i="62" s="1"/>
  <c r="Z1548" i="62"/>
  <c r="Z1540" i="62"/>
  <c r="Z1492" i="62"/>
  <c r="Z1484" i="62"/>
  <c r="Z1444" i="62"/>
  <c r="Z1436" i="62"/>
  <c r="Z1428" i="62"/>
  <c r="Z1396" i="62"/>
  <c r="Z1388" i="62"/>
  <c r="Z1380" i="62"/>
  <c r="Z1372" i="62"/>
  <c r="Z1340" i="62"/>
  <c r="Z1332" i="62"/>
  <c r="Z1324" i="62"/>
  <c r="Z1316" i="62"/>
  <c r="Z1130" i="62"/>
  <c r="AA1130" i="62" s="1"/>
  <c r="Z1109" i="62"/>
  <c r="AA1109" i="62" s="1"/>
  <c r="Z1098" i="62"/>
  <c r="AA1098" i="62" s="1"/>
  <c r="Z1077" i="62"/>
  <c r="AA1077" i="62" s="1"/>
  <c r="Z1038" i="62"/>
  <c r="AA1038" i="62" s="1"/>
  <c r="Z1026" i="62"/>
  <c r="AA1026" i="62" s="1"/>
  <c r="Z1013" i="62"/>
  <c r="AA1013" i="62" s="1"/>
  <c r="Z973" i="62"/>
  <c r="AA973" i="62" s="1"/>
  <c r="Z917" i="62"/>
  <c r="AA917" i="62" s="1"/>
  <c r="Z853" i="62"/>
  <c r="AA853" i="62" s="1"/>
  <c r="Z789" i="62"/>
  <c r="AA789" i="62" s="1"/>
  <c r="Z725" i="62"/>
  <c r="AA725" i="62" s="1"/>
  <c r="Z661" i="62"/>
  <c r="AA661" i="62" s="1"/>
  <c r="Z597" i="62"/>
  <c r="AA597" i="62" s="1"/>
  <c r="Z533" i="62"/>
  <c r="AA533" i="62" s="1"/>
  <c r="Z469" i="62"/>
  <c r="AA469" i="62" s="1"/>
  <c r="AV32" i="60"/>
  <c r="D30" i="59" l="1"/>
  <c r="AY56" i="1" l="1"/>
  <c r="AY55" i="1"/>
  <c r="AY54" i="1"/>
  <c r="AX53" i="1"/>
  <c r="AY52" i="1"/>
  <c r="AY51" i="1"/>
  <c r="AX50" i="1"/>
  <c r="AN56" i="1"/>
  <c r="AN55" i="1"/>
  <c r="AN54" i="1"/>
  <c r="AM53" i="1"/>
  <c r="AN52" i="1"/>
  <c r="AN51" i="1"/>
  <c r="AM50" i="1"/>
  <c r="AC56" i="1"/>
  <c r="AC55" i="1"/>
  <c r="AC54" i="1"/>
  <c r="AB53" i="1"/>
  <c r="AC52" i="1"/>
  <c r="AC51" i="1"/>
  <c r="AB50" i="1"/>
  <c r="Q53" i="1"/>
  <c r="Q50" i="1"/>
  <c r="R54" i="1"/>
  <c r="R51" i="1"/>
  <c r="BE54" i="1"/>
  <c r="AT54" i="1"/>
  <c r="AI54" i="1"/>
  <c r="X54" i="1"/>
  <c r="M54" i="1"/>
  <c r="Y7" i="62"/>
  <c r="Y8" i="62"/>
  <c r="Y9" i="62"/>
  <c r="Y10" i="62"/>
  <c r="Y11" i="62"/>
  <c r="Y12" i="62"/>
  <c r="Y13" i="62"/>
  <c r="Y14" i="62"/>
  <c r="Y15" i="62"/>
  <c r="Y16" i="62"/>
  <c r="Y17" i="62"/>
  <c r="Y18" i="62"/>
  <c r="Y20" i="62"/>
  <c r="Y21" i="62"/>
  <c r="Y22" i="62"/>
  <c r="Y23" i="62"/>
  <c r="Y24" i="62"/>
  <c r="Y25" i="62"/>
  <c r="Y26" i="62"/>
  <c r="Y27" i="62"/>
  <c r="Y28" i="62"/>
  <c r="Y29" i="62"/>
  <c r="Y30" i="62"/>
  <c r="Y31" i="62"/>
  <c r="Y32" i="62"/>
  <c r="Y33" i="62"/>
  <c r="Y34" i="62"/>
  <c r="Y35" i="62"/>
  <c r="Y36" i="62"/>
  <c r="Y37" i="62"/>
  <c r="Y38" i="62"/>
  <c r="Y39" i="62"/>
  <c r="Y40" i="62"/>
  <c r="Y41" i="62"/>
  <c r="Y42" i="62"/>
  <c r="Y43" i="62"/>
  <c r="Y44" i="62"/>
  <c r="Y45" i="62"/>
  <c r="Y46" i="62"/>
  <c r="Y47" i="62"/>
  <c r="Y48" i="62"/>
  <c r="Y49" i="62"/>
  <c r="Y50" i="62"/>
  <c r="Y51" i="62"/>
  <c r="Y52" i="62"/>
  <c r="Y53" i="62"/>
  <c r="Y54" i="62"/>
  <c r="Y55" i="62"/>
  <c r="Y56" i="62"/>
  <c r="Y57" i="62"/>
  <c r="Y58" i="62"/>
  <c r="Y59" i="62"/>
  <c r="Y60" i="62"/>
  <c r="Y61" i="62"/>
  <c r="Y62" i="62"/>
  <c r="Y63" i="62"/>
  <c r="Y64" i="62"/>
  <c r="Y65" i="62"/>
  <c r="Y66" i="62"/>
  <c r="Y67" i="62"/>
  <c r="Y68" i="62"/>
  <c r="Y69" i="62"/>
  <c r="Y70" i="62"/>
  <c r="Y71" i="62"/>
  <c r="Y72" i="62"/>
  <c r="Y73" i="62"/>
  <c r="Y74" i="62"/>
  <c r="Y75" i="62"/>
  <c r="Y76" i="62"/>
  <c r="Y77" i="62"/>
  <c r="Y78" i="62"/>
  <c r="Y79" i="62"/>
  <c r="Y80" i="62"/>
  <c r="Y81" i="62"/>
  <c r="Y82" i="62"/>
  <c r="Y83" i="62"/>
  <c r="Y84" i="62"/>
  <c r="Y85" i="62"/>
  <c r="Y86" i="62"/>
  <c r="Y87" i="62"/>
  <c r="Y88" i="62"/>
  <c r="Y89" i="62"/>
  <c r="Y90" i="62"/>
  <c r="Y91" i="62"/>
  <c r="Y92" i="62"/>
  <c r="Y93" i="62"/>
  <c r="Y94" i="62"/>
  <c r="Y95" i="62"/>
  <c r="Y96" i="62"/>
  <c r="Y97" i="62"/>
  <c r="Y98" i="62"/>
  <c r="Y99" i="62"/>
  <c r="Y100" i="62"/>
  <c r="Y101" i="62"/>
  <c r="Y102" i="62"/>
  <c r="Y103" i="62"/>
  <c r="Y104" i="62"/>
  <c r="Y105" i="62"/>
  <c r="Y106" i="62"/>
  <c r="Y107" i="62"/>
  <c r="Y108" i="62"/>
  <c r="Y109" i="62"/>
  <c r="Y110" i="62"/>
  <c r="Y111" i="62"/>
  <c r="Y112" i="62"/>
  <c r="Y113" i="62"/>
  <c r="Y114" i="62"/>
  <c r="Y115" i="62"/>
  <c r="Y116" i="62"/>
  <c r="Y117" i="62"/>
  <c r="Y118" i="62"/>
  <c r="Y119" i="62"/>
  <c r="Y120" i="62"/>
  <c r="Y121" i="62"/>
  <c r="Y122" i="62"/>
  <c r="Y123" i="62"/>
  <c r="Y124" i="62"/>
  <c r="Y125" i="62"/>
  <c r="Y126" i="62"/>
  <c r="Y127" i="62"/>
  <c r="Y128" i="62"/>
  <c r="Y129" i="62"/>
  <c r="Y130" i="62"/>
  <c r="Y131" i="62"/>
  <c r="Y132" i="62"/>
  <c r="Y133" i="62"/>
  <c r="Y134" i="62"/>
  <c r="Y135" i="62"/>
  <c r="Y136" i="62"/>
  <c r="Y137" i="62"/>
  <c r="Y138" i="62"/>
  <c r="Y139" i="62"/>
  <c r="Y140" i="62"/>
  <c r="Y141" i="62"/>
  <c r="Y142" i="62"/>
  <c r="Y143" i="62"/>
  <c r="Y144" i="62"/>
  <c r="Y145" i="62"/>
  <c r="Y146" i="62"/>
  <c r="Y147" i="62"/>
  <c r="Y148" i="62"/>
  <c r="Y149" i="62"/>
  <c r="Y150" i="62"/>
  <c r="Y151" i="62"/>
  <c r="Y152" i="62"/>
  <c r="Y153" i="62"/>
  <c r="Y154" i="62"/>
  <c r="Y155" i="62"/>
  <c r="Y156" i="62"/>
  <c r="Y157" i="62"/>
  <c r="Y158" i="62"/>
  <c r="Y159" i="62"/>
  <c r="Y160" i="62"/>
  <c r="Y161" i="62"/>
  <c r="Y162" i="62"/>
  <c r="Y163" i="62"/>
  <c r="Y164" i="62"/>
  <c r="Y165" i="62"/>
  <c r="Y166" i="62"/>
  <c r="Y167" i="62"/>
  <c r="Y168" i="62"/>
  <c r="Y169" i="62"/>
  <c r="Y170" i="62"/>
  <c r="Y171" i="62"/>
  <c r="Y172" i="62"/>
  <c r="Y173" i="62"/>
  <c r="Y174" i="62"/>
  <c r="Y175" i="62"/>
  <c r="Y176" i="62"/>
  <c r="Y177" i="62"/>
  <c r="Y178" i="62"/>
  <c r="Y179" i="62"/>
  <c r="Y180" i="62"/>
  <c r="Y181" i="62"/>
  <c r="Y182" i="62"/>
  <c r="Y183" i="62"/>
  <c r="Y184" i="62"/>
  <c r="Y185" i="62"/>
  <c r="Y186" i="62"/>
  <c r="Y187" i="62"/>
  <c r="Y188" i="62"/>
  <c r="Y189" i="62"/>
  <c r="Y190" i="62"/>
  <c r="Y191" i="62"/>
  <c r="Y192" i="62"/>
  <c r="Y193" i="62"/>
  <c r="Y194" i="62"/>
  <c r="Y195" i="62"/>
  <c r="Y196" i="62"/>
  <c r="Y197" i="62"/>
  <c r="Y198" i="62"/>
  <c r="Y199" i="62"/>
  <c r="Y200" i="62"/>
  <c r="Y201" i="62"/>
  <c r="Y202" i="62"/>
  <c r="Y203" i="62"/>
  <c r="Y204" i="62"/>
  <c r="Y205" i="62"/>
  <c r="Y206" i="62"/>
  <c r="Y207" i="62"/>
  <c r="Y208" i="62"/>
  <c r="Y209" i="62"/>
  <c r="Y210" i="62"/>
  <c r="Y211" i="62"/>
  <c r="Y212" i="62"/>
  <c r="Y213" i="62"/>
  <c r="Y214" i="62"/>
  <c r="Y215" i="62"/>
  <c r="Y216" i="62"/>
  <c r="Y217" i="62"/>
  <c r="Y218" i="62"/>
  <c r="Y219" i="62"/>
  <c r="Y220" i="62"/>
  <c r="Y221" i="62"/>
  <c r="Y222" i="62"/>
  <c r="Y223" i="62"/>
  <c r="Y224" i="62"/>
  <c r="Y225" i="62"/>
  <c r="Y226" i="62"/>
  <c r="Y227" i="62"/>
  <c r="Y228" i="62"/>
  <c r="Y229" i="62"/>
  <c r="Y230" i="62"/>
  <c r="Y231" i="62"/>
  <c r="Y232" i="62"/>
  <c r="Y233" i="62"/>
  <c r="Y234" i="62"/>
  <c r="Y235" i="62"/>
  <c r="Y236" i="62"/>
  <c r="Y237" i="62"/>
  <c r="Y238" i="62"/>
  <c r="Y239" i="62"/>
  <c r="Y240" i="62"/>
  <c r="Y241" i="62"/>
  <c r="Y242" i="62"/>
  <c r="Y243" i="62"/>
  <c r="Y244" i="62"/>
  <c r="Y245" i="62"/>
  <c r="Y246" i="62"/>
  <c r="Y247" i="62"/>
  <c r="Y248" i="62"/>
  <c r="Y249" i="62"/>
  <c r="Y250" i="62"/>
  <c r="Y251" i="62"/>
  <c r="Y252" i="62"/>
  <c r="Y253" i="62"/>
  <c r="Y254" i="62"/>
  <c r="Y255" i="62"/>
  <c r="Y256" i="62"/>
  <c r="Y257" i="62"/>
  <c r="Y258" i="62"/>
  <c r="Y259" i="62"/>
  <c r="Y260" i="62"/>
  <c r="Y261" i="62"/>
  <c r="Y262" i="62"/>
  <c r="Y263" i="62"/>
  <c r="Y264" i="62"/>
  <c r="Y265" i="62"/>
  <c r="Y266" i="62"/>
  <c r="Y267" i="62"/>
  <c r="Y268" i="62"/>
  <c r="Y269" i="62"/>
  <c r="Y270" i="62"/>
  <c r="Y271" i="62"/>
  <c r="Y272" i="62"/>
  <c r="Y273" i="62"/>
  <c r="Y274" i="62"/>
  <c r="Y275" i="62"/>
  <c r="Y276" i="62"/>
  <c r="Y277" i="62"/>
  <c r="Y278" i="62"/>
  <c r="Y279" i="62"/>
  <c r="Y280" i="62"/>
  <c r="Y281" i="62"/>
  <c r="Y282" i="62"/>
  <c r="Y283" i="62"/>
  <c r="Y284" i="62"/>
  <c r="Y285" i="62"/>
  <c r="Y286" i="62"/>
  <c r="Y287" i="62"/>
  <c r="Y288" i="62"/>
  <c r="Y289" i="62"/>
  <c r="Y290" i="62"/>
  <c r="Y291" i="62"/>
  <c r="Y292" i="62"/>
  <c r="Y293" i="62"/>
  <c r="Y294" i="62"/>
  <c r="Y295" i="62"/>
  <c r="Y296" i="62"/>
  <c r="Y297" i="62"/>
  <c r="Y298" i="62"/>
  <c r="Y299" i="62"/>
  <c r="Y300" i="62"/>
  <c r="Y301" i="62"/>
  <c r="Y302" i="62"/>
  <c r="Y303" i="62"/>
  <c r="Y304" i="62"/>
  <c r="Y305" i="62"/>
  <c r="Y306" i="62"/>
  <c r="Y307" i="62"/>
  <c r="Y308" i="62"/>
  <c r="Y309" i="62"/>
  <c r="Y310" i="62"/>
  <c r="Y311" i="62"/>
  <c r="Y312" i="62"/>
  <c r="Y313" i="62"/>
  <c r="Y314" i="62"/>
  <c r="Y315" i="62"/>
  <c r="Y316" i="62"/>
  <c r="Y317" i="62"/>
  <c r="Y318" i="62"/>
  <c r="Y319" i="62"/>
  <c r="Y320" i="62"/>
  <c r="Y321" i="62"/>
  <c r="Y322" i="62"/>
  <c r="Y323" i="62"/>
  <c r="Y324" i="62"/>
  <c r="Y325" i="62"/>
  <c r="Y326" i="62"/>
  <c r="Y327" i="62"/>
  <c r="Y328" i="62"/>
  <c r="Y329" i="62"/>
  <c r="Y330" i="62"/>
  <c r="Y331" i="62"/>
  <c r="Y332" i="62"/>
  <c r="Y333" i="62"/>
  <c r="Y334" i="62"/>
  <c r="Y335" i="62"/>
  <c r="Y336" i="62"/>
  <c r="Y337" i="62"/>
  <c r="Y338" i="62"/>
  <c r="Y339" i="62"/>
  <c r="Y340" i="62"/>
  <c r="Y341" i="62"/>
  <c r="Y342" i="62"/>
  <c r="Y343" i="62"/>
  <c r="Y344" i="62"/>
  <c r="Y345" i="62"/>
  <c r="Y346" i="62"/>
  <c r="Y347" i="62"/>
  <c r="Y348" i="62"/>
  <c r="Y349" i="62"/>
  <c r="Y350" i="62"/>
  <c r="Y351" i="62"/>
  <c r="Y352" i="62"/>
  <c r="Y353" i="62"/>
  <c r="Y354" i="62"/>
  <c r="Y355" i="62"/>
  <c r="Y356" i="62"/>
  <c r="Y357" i="62"/>
  <c r="Y358" i="62"/>
  <c r="Y359" i="62"/>
  <c r="Y360" i="62"/>
  <c r="Y361" i="62"/>
  <c r="Y362" i="62"/>
  <c r="Y363" i="62"/>
  <c r="Y364" i="62"/>
  <c r="Y365" i="62"/>
  <c r="Y366" i="62"/>
  <c r="Y367" i="62"/>
  <c r="Y368" i="62"/>
  <c r="Y369" i="62"/>
  <c r="Y370" i="62"/>
  <c r="Y371" i="62"/>
  <c r="Y372" i="62"/>
  <c r="Y373" i="62"/>
  <c r="Y374" i="62"/>
  <c r="Y375" i="62"/>
  <c r="Y376" i="62"/>
  <c r="Y377" i="62"/>
  <c r="Y378" i="62"/>
  <c r="Y379" i="62"/>
  <c r="Y380" i="62"/>
  <c r="Y381" i="62"/>
  <c r="Y382" i="62"/>
  <c r="Y383" i="62"/>
  <c r="Y384" i="62"/>
  <c r="Y385" i="62"/>
  <c r="Y386" i="62"/>
  <c r="Y387" i="62"/>
  <c r="Y388" i="62"/>
  <c r="Y389" i="62"/>
  <c r="Y390" i="62"/>
  <c r="Y391" i="62"/>
  <c r="Y392" i="62"/>
  <c r="Y393" i="62"/>
  <c r="Y394" i="62"/>
  <c r="Y395" i="62"/>
  <c r="Y396" i="62"/>
  <c r="Y397" i="62"/>
  <c r="Y398" i="62"/>
  <c r="Y399" i="62"/>
  <c r="Y400" i="62"/>
  <c r="Y401" i="62"/>
  <c r="Y402" i="62"/>
  <c r="Y403" i="62"/>
  <c r="Y404" i="62"/>
  <c r="Y405" i="62"/>
  <c r="Y406" i="62"/>
  <c r="Y407" i="62"/>
  <c r="Y408" i="62"/>
  <c r="Y409" i="62"/>
  <c r="Y410" i="62"/>
  <c r="Y411" i="62"/>
  <c r="Y412" i="62"/>
  <c r="Y413" i="62"/>
  <c r="Y414" i="62"/>
  <c r="Y415" i="62"/>
  <c r="Y416" i="62"/>
  <c r="Y417" i="62"/>
  <c r="Y418" i="62"/>
  <c r="Y419" i="62"/>
  <c r="Y420" i="62"/>
  <c r="Y421" i="62"/>
  <c r="Y422" i="62"/>
  <c r="Y423" i="62"/>
  <c r="Y424" i="62"/>
  <c r="Y425" i="62"/>
  <c r="Y426" i="62"/>
  <c r="Y427" i="62"/>
  <c r="Y428" i="62"/>
  <c r="Y429" i="62"/>
  <c r="Y430" i="62"/>
  <c r="Y431" i="62"/>
  <c r="Y432" i="62"/>
  <c r="Y433" i="62"/>
  <c r="Y434" i="62"/>
  <c r="Y435" i="62"/>
  <c r="Y436" i="62"/>
  <c r="Y437" i="62"/>
  <c r="Y438" i="62"/>
  <c r="Y439" i="62"/>
  <c r="Y440" i="62"/>
  <c r="Y441" i="62"/>
  <c r="Y442" i="62"/>
  <c r="Y443" i="62"/>
  <c r="Y444" i="62"/>
  <c r="Y445" i="62"/>
  <c r="Y446" i="62"/>
  <c r="Y447" i="62"/>
  <c r="Y448" i="62"/>
  <c r="Y449" i="62"/>
  <c r="Y450" i="62"/>
  <c r="Y451" i="62"/>
  <c r="Y452" i="62"/>
  <c r="Y453" i="62"/>
  <c r="Y454" i="62"/>
  <c r="Y455" i="62"/>
  <c r="Y456" i="62"/>
  <c r="Y457" i="62"/>
  <c r="Y458" i="62"/>
  <c r="Y459" i="62"/>
  <c r="Y460" i="62"/>
  <c r="Y461" i="62"/>
  <c r="Y462" i="62"/>
  <c r="Y463" i="62"/>
  <c r="Y464" i="62"/>
  <c r="Y465" i="62"/>
  <c r="Y466" i="62"/>
  <c r="Y467" i="62"/>
  <c r="Y468" i="62"/>
  <c r="Y469" i="62"/>
  <c r="Y470" i="62"/>
  <c r="Y471" i="62"/>
  <c r="Y472" i="62"/>
  <c r="Y473" i="62"/>
  <c r="Y474" i="62"/>
  <c r="Y475" i="62"/>
  <c r="Y476" i="62"/>
  <c r="Y477" i="62"/>
  <c r="Y478" i="62"/>
  <c r="Y479" i="62"/>
  <c r="Y480" i="62"/>
  <c r="Y481" i="62"/>
  <c r="Y482" i="62"/>
  <c r="Y483" i="62"/>
  <c r="Y484" i="62"/>
  <c r="Y485" i="62"/>
  <c r="Y486" i="62"/>
  <c r="Y487" i="62"/>
  <c r="Y488" i="62"/>
  <c r="Y489" i="62"/>
  <c r="Y490" i="62"/>
  <c r="Y491" i="62"/>
  <c r="Y492" i="62"/>
  <c r="Y493" i="62"/>
  <c r="Y494" i="62"/>
  <c r="Y495" i="62"/>
  <c r="Y496" i="62"/>
  <c r="Y497" i="62"/>
  <c r="Y498" i="62"/>
  <c r="Y499" i="62"/>
  <c r="Y500" i="62"/>
  <c r="Y501" i="62"/>
  <c r="Y502" i="62"/>
  <c r="Y503" i="62"/>
  <c r="Y504" i="62"/>
  <c r="Y505" i="62"/>
  <c r="Y506" i="62"/>
  <c r="Y507" i="62"/>
  <c r="Y508" i="62"/>
  <c r="Y509" i="62"/>
  <c r="Y510" i="62"/>
  <c r="Y511" i="62"/>
  <c r="Y512" i="62"/>
  <c r="Y513" i="62"/>
  <c r="Y514" i="62"/>
  <c r="Y515" i="62"/>
  <c r="Y516" i="62"/>
  <c r="Y517" i="62"/>
  <c r="Y518" i="62"/>
  <c r="Y519" i="62"/>
  <c r="Y520" i="62"/>
  <c r="Y521" i="62"/>
  <c r="Y522" i="62"/>
  <c r="Y523" i="62"/>
  <c r="Y524" i="62"/>
  <c r="Y525" i="62"/>
  <c r="Y526" i="62"/>
  <c r="Y527" i="62"/>
  <c r="Y528" i="62"/>
  <c r="Y529" i="62"/>
  <c r="Y530" i="62"/>
  <c r="Y531" i="62"/>
  <c r="Y532" i="62"/>
  <c r="Y533" i="62"/>
  <c r="Y534" i="62"/>
  <c r="Y535" i="62"/>
  <c r="Y536" i="62"/>
  <c r="Y537" i="62"/>
  <c r="Y538" i="62"/>
  <c r="Y539" i="62"/>
  <c r="Y540" i="62"/>
  <c r="Y541" i="62"/>
  <c r="Y542" i="62"/>
  <c r="Y543" i="62"/>
  <c r="Y544" i="62"/>
  <c r="Y545" i="62"/>
  <c r="Y546" i="62"/>
  <c r="Y547" i="62"/>
  <c r="Y548" i="62"/>
  <c r="Y549" i="62"/>
  <c r="Y550" i="62"/>
  <c r="Y551" i="62"/>
  <c r="Y552" i="62"/>
  <c r="Y553" i="62"/>
  <c r="Y554" i="62"/>
  <c r="Y555" i="62"/>
  <c r="Y556" i="62"/>
  <c r="Y557" i="62"/>
  <c r="Y558" i="62"/>
  <c r="Y559" i="62"/>
  <c r="Y560" i="62"/>
  <c r="Y561" i="62"/>
  <c r="Y562" i="62"/>
  <c r="Y563" i="62"/>
  <c r="Y564" i="62"/>
  <c r="Y565" i="62"/>
  <c r="Y566" i="62"/>
  <c r="Y567" i="62"/>
  <c r="Y568" i="62"/>
  <c r="Y569" i="62"/>
  <c r="Y570" i="62"/>
  <c r="Y571" i="62"/>
  <c r="Y572" i="62"/>
  <c r="Y573" i="62"/>
  <c r="Y574" i="62"/>
  <c r="Y575" i="62"/>
  <c r="Y576" i="62"/>
  <c r="Y577" i="62"/>
  <c r="Y578" i="62"/>
  <c r="Y579" i="62"/>
  <c r="Y580" i="62"/>
  <c r="Y581" i="62"/>
  <c r="Y582" i="62"/>
  <c r="Y583" i="62"/>
  <c r="Y584" i="62"/>
  <c r="Y585" i="62"/>
  <c r="Y586" i="62"/>
  <c r="Y587" i="62"/>
  <c r="Y588" i="62"/>
  <c r="Y589" i="62"/>
  <c r="Y590" i="62"/>
  <c r="Y591" i="62"/>
  <c r="Y592" i="62"/>
  <c r="Y593" i="62"/>
  <c r="Y594" i="62"/>
  <c r="Y595" i="62"/>
  <c r="Y596" i="62"/>
  <c r="Y597" i="62"/>
  <c r="Y598" i="62"/>
  <c r="Y599" i="62"/>
  <c r="Y600" i="62"/>
  <c r="Y601" i="62"/>
  <c r="Y602" i="62"/>
  <c r="Y603" i="62"/>
  <c r="Y604" i="62"/>
  <c r="Y605" i="62"/>
  <c r="Y606" i="62"/>
  <c r="Y607" i="62"/>
  <c r="Y608" i="62"/>
  <c r="Y609" i="62"/>
  <c r="Y610" i="62"/>
  <c r="Y611" i="62"/>
  <c r="Y612" i="62"/>
  <c r="Y613" i="62"/>
  <c r="Y614" i="62"/>
  <c r="Y615" i="62"/>
  <c r="Y616" i="62"/>
  <c r="Y617" i="62"/>
  <c r="Y618" i="62"/>
  <c r="Y619" i="62"/>
  <c r="Y620" i="62"/>
  <c r="Y621" i="62"/>
  <c r="Y622" i="62"/>
  <c r="Y623" i="62"/>
  <c r="Y624" i="62"/>
  <c r="Y625" i="62"/>
  <c r="Y626" i="62"/>
  <c r="Y627" i="62"/>
  <c r="Y628" i="62"/>
  <c r="Y629" i="62"/>
  <c r="Y630" i="62"/>
  <c r="Y631" i="62"/>
  <c r="Y632" i="62"/>
  <c r="Y633" i="62"/>
  <c r="Y634" i="62"/>
  <c r="Y635" i="62"/>
  <c r="Y636" i="62"/>
  <c r="Y637" i="62"/>
  <c r="Y638" i="62"/>
  <c r="Y639" i="62"/>
  <c r="Y640" i="62"/>
  <c r="Y641" i="62"/>
  <c r="Y642" i="62"/>
  <c r="Y643" i="62"/>
  <c r="Y644" i="62"/>
  <c r="Y645" i="62"/>
  <c r="Y646" i="62"/>
  <c r="Y647" i="62"/>
  <c r="Y648" i="62"/>
  <c r="Y649" i="62"/>
  <c r="Y650" i="62"/>
  <c r="Y651" i="62"/>
  <c r="Y652" i="62"/>
  <c r="Y653" i="62"/>
  <c r="Y654" i="62"/>
  <c r="Y655" i="62"/>
  <c r="Y656" i="62"/>
  <c r="Y657" i="62"/>
  <c r="Y659" i="62"/>
  <c r="Y660" i="62"/>
  <c r="Y661" i="62"/>
  <c r="Y662" i="62"/>
  <c r="Y663" i="62"/>
  <c r="Y664" i="62"/>
  <c r="Y665" i="62"/>
  <c r="Y666" i="62"/>
  <c r="Y667" i="62"/>
  <c r="Y668" i="62"/>
  <c r="Y669" i="62"/>
  <c r="Y670" i="62"/>
  <c r="Y671" i="62"/>
  <c r="Y672" i="62"/>
  <c r="Y673" i="62"/>
  <c r="Y674" i="62"/>
  <c r="Y675" i="62"/>
  <c r="Y676" i="62"/>
  <c r="Y677" i="62"/>
  <c r="Y678" i="62"/>
  <c r="Y679" i="62"/>
  <c r="Y680" i="62"/>
  <c r="Y681" i="62"/>
  <c r="Y682" i="62"/>
  <c r="Y683" i="62"/>
  <c r="Y684" i="62"/>
  <c r="Y685" i="62"/>
  <c r="Y686" i="62"/>
  <c r="Y687" i="62"/>
  <c r="Y688" i="62"/>
  <c r="Y689" i="62"/>
  <c r="Y690" i="62"/>
  <c r="Y691" i="62"/>
  <c r="Y692" i="62"/>
  <c r="Y693" i="62"/>
  <c r="Y694" i="62"/>
  <c r="Y695" i="62"/>
  <c r="Y696" i="62"/>
  <c r="Y697" i="62"/>
  <c r="Y698" i="62"/>
  <c r="Y699" i="62"/>
  <c r="Y700" i="62"/>
  <c r="Y701" i="62"/>
  <c r="Y702" i="62"/>
  <c r="Y703" i="62"/>
  <c r="Y704" i="62"/>
  <c r="Y705" i="62"/>
  <c r="Y706" i="62"/>
  <c r="Y707" i="62"/>
  <c r="Y708" i="62"/>
  <c r="Y709" i="62"/>
  <c r="Y710" i="62"/>
  <c r="Y711" i="62"/>
  <c r="Y712" i="62"/>
  <c r="Y713" i="62"/>
  <c r="Y714" i="62"/>
  <c r="Y715" i="62"/>
  <c r="Y716" i="62"/>
  <c r="Y717" i="62"/>
  <c r="Y718" i="62"/>
  <c r="Y719" i="62"/>
  <c r="Y720" i="62"/>
  <c r="Y721" i="62"/>
  <c r="Y722" i="62"/>
  <c r="Y723" i="62"/>
  <c r="Y724" i="62"/>
  <c r="Y725" i="62"/>
  <c r="Y726" i="62"/>
  <c r="Y727" i="62"/>
  <c r="Y728" i="62"/>
  <c r="Y729" i="62"/>
  <c r="Y730" i="62"/>
  <c r="Y731" i="62"/>
  <c r="Y732" i="62"/>
  <c r="Y733" i="62"/>
  <c r="Y734" i="62"/>
  <c r="Y735" i="62"/>
  <c r="Y736" i="62"/>
  <c r="Y737" i="62"/>
  <c r="Y738" i="62"/>
  <c r="Y739" i="62"/>
  <c r="Y740" i="62"/>
  <c r="Y741" i="62"/>
  <c r="Y742" i="62"/>
  <c r="Y743" i="62"/>
  <c r="Y744" i="62"/>
  <c r="Y745" i="62"/>
  <c r="Y746" i="62"/>
  <c r="Y747" i="62"/>
  <c r="Y748" i="62"/>
  <c r="Y749" i="62"/>
  <c r="Y750" i="62"/>
  <c r="Y751" i="62"/>
  <c r="Y752" i="62"/>
  <c r="Y753" i="62"/>
  <c r="Y754" i="62"/>
  <c r="Y755" i="62"/>
  <c r="Y756" i="62"/>
  <c r="Y757" i="62"/>
  <c r="Y758" i="62"/>
  <c r="Y759" i="62"/>
  <c r="Y760" i="62"/>
  <c r="Y761" i="62"/>
  <c r="Y762" i="62"/>
  <c r="Y763" i="62"/>
  <c r="Y764" i="62"/>
  <c r="Y765" i="62"/>
  <c r="Y766" i="62"/>
  <c r="Y767" i="62"/>
  <c r="Y768" i="62"/>
  <c r="Y769" i="62"/>
  <c r="Y770" i="62"/>
  <c r="Y771" i="62"/>
  <c r="Y772" i="62"/>
  <c r="Y773" i="62"/>
  <c r="Y774" i="62"/>
  <c r="Y775" i="62"/>
  <c r="Y776" i="62"/>
  <c r="Y777" i="62"/>
  <c r="Y778" i="62"/>
  <c r="Y779" i="62"/>
  <c r="Y780" i="62"/>
  <c r="Y781" i="62"/>
  <c r="Y782" i="62"/>
  <c r="Y783" i="62"/>
  <c r="Y784" i="62"/>
  <c r="Y785" i="62"/>
  <c r="Y786" i="62"/>
  <c r="Y787" i="62"/>
  <c r="Y788" i="62"/>
  <c r="Y789" i="62"/>
  <c r="Y790" i="62"/>
  <c r="Y791" i="62"/>
  <c r="Y792" i="62"/>
  <c r="Y793" i="62"/>
  <c r="Y794" i="62"/>
  <c r="Y795" i="62"/>
  <c r="Y796" i="62"/>
  <c r="Y797" i="62"/>
  <c r="Y798" i="62"/>
  <c r="Y799" i="62"/>
  <c r="Y800" i="62"/>
  <c r="Y801" i="62"/>
  <c r="Y802" i="62"/>
  <c r="Y803" i="62"/>
  <c r="Y804" i="62"/>
  <c r="Y805" i="62"/>
  <c r="Y806" i="62"/>
  <c r="Y807" i="62"/>
  <c r="Y808" i="62"/>
  <c r="Y809" i="62"/>
  <c r="Y810" i="62"/>
  <c r="Y811" i="62"/>
  <c r="Y812" i="62"/>
  <c r="Y813" i="62"/>
  <c r="Y814" i="62"/>
  <c r="Y815" i="62"/>
  <c r="Y816" i="62"/>
  <c r="Y817" i="62"/>
  <c r="Y818" i="62"/>
  <c r="Y819" i="62"/>
  <c r="Y820" i="62"/>
  <c r="Y821" i="62"/>
  <c r="Y822" i="62"/>
  <c r="Y823" i="62"/>
  <c r="Y824" i="62"/>
  <c r="Y825" i="62"/>
  <c r="Y826" i="62"/>
  <c r="Y827" i="62"/>
  <c r="Y828" i="62"/>
  <c r="Y829" i="62"/>
  <c r="Y830" i="62"/>
  <c r="Y831" i="62"/>
  <c r="Y832" i="62"/>
  <c r="Y833" i="62"/>
  <c r="Y834" i="62"/>
  <c r="Y835" i="62"/>
  <c r="Y836" i="62"/>
  <c r="Y837" i="62"/>
  <c r="Y838" i="62"/>
  <c r="Y839" i="62"/>
  <c r="Y840" i="62"/>
  <c r="Y841" i="62"/>
  <c r="Y842" i="62"/>
  <c r="Y843" i="62"/>
  <c r="Y844" i="62"/>
  <c r="Y845" i="62"/>
  <c r="Y846" i="62"/>
  <c r="Y847" i="62"/>
  <c r="Y848" i="62"/>
  <c r="Y849" i="62"/>
  <c r="Y850" i="62"/>
  <c r="Y851" i="62"/>
  <c r="Y852" i="62"/>
  <c r="Y853" i="62"/>
  <c r="Y854" i="62"/>
  <c r="Y855" i="62"/>
  <c r="Y856" i="62"/>
  <c r="Y857" i="62"/>
  <c r="Y858" i="62"/>
  <c r="Y859" i="62"/>
  <c r="Y860" i="62"/>
  <c r="Y861" i="62"/>
  <c r="Y862" i="62"/>
  <c r="Y863" i="62"/>
  <c r="Y864" i="62"/>
  <c r="Y865" i="62"/>
  <c r="Y866" i="62"/>
  <c r="Y867" i="62"/>
  <c r="Y868" i="62"/>
  <c r="Y869" i="62"/>
  <c r="Y870" i="62"/>
  <c r="Y871" i="62"/>
  <c r="Y872" i="62"/>
  <c r="Y873" i="62"/>
  <c r="Y874" i="62"/>
  <c r="Y875" i="62"/>
  <c r="Y876" i="62"/>
  <c r="Y877" i="62"/>
  <c r="Y878" i="62"/>
  <c r="Y879" i="62"/>
  <c r="Y880" i="62"/>
  <c r="Y881" i="62"/>
  <c r="Y882" i="62"/>
  <c r="Y883" i="62"/>
  <c r="Y884" i="62"/>
  <c r="Y885" i="62"/>
  <c r="Y886" i="62"/>
  <c r="Y887" i="62"/>
  <c r="Y888" i="62"/>
  <c r="Y889" i="62"/>
  <c r="Y890" i="62"/>
  <c r="Y891" i="62"/>
  <c r="Y892" i="62"/>
  <c r="Y893" i="62"/>
  <c r="Y894" i="62"/>
  <c r="Y895" i="62"/>
  <c r="Y896" i="62"/>
  <c r="Y897" i="62"/>
  <c r="Y898" i="62"/>
  <c r="Y899" i="62"/>
  <c r="Y900" i="62"/>
  <c r="Y901" i="62"/>
  <c r="Y902" i="62"/>
  <c r="Y903" i="62"/>
  <c r="Y904" i="62"/>
  <c r="Y905" i="62"/>
  <c r="Y906" i="62"/>
  <c r="Y907" i="62"/>
  <c r="Y908" i="62"/>
  <c r="Y909" i="62"/>
  <c r="Y910" i="62"/>
  <c r="Y911" i="62"/>
  <c r="Y912" i="62"/>
  <c r="Y913" i="62"/>
  <c r="Y914" i="62"/>
  <c r="Y915" i="62"/>
  <c r="Y916" i="62"/>
  <c r="Y917" i="62"/>
  <c r="Y918" i="62"/>
  <c r="Y919" i="62"/>
  <c r="Y920" i="62"/>
  <c r="Y921" i="62"/>
  <c r="Y922" i="62"/>
  <c r="Y923" i="62"/>
  <c r="Y924" i="62"/>
  <c r="Y925" i="62"/>
  <c r="Y926" i="62"/>
  <c r="Y927" i="62"/>
  <c r="Y928" i="62"/>
  <c r="Y929" i="62"/>
  <c r="Y930" i="62"/>
  <c r="Y931" i="62"/>
  <c r="Y932" i="62"/>
  <c r="Y933" i="62"/>
  <c r="Y934" i="62"/>
  <c r="Y935" i="62"/>
  <c r="Y936" i="62"/>
  <c r="Y937" i="62"/>
  <c r="Y938" i="62"/>
  <c r="Y939" i="62"/>
  <c r="Y940" i="62"/>
  <c r="Y941" i="62"/>
  <c r="Y942" i="62"/>
  <c r="Y943" i="62"/>
  <c r="Y944" i="62"/>
  <c r="Y945" i="62"/>
  <c r="Y946" i="62"/>
  <c r="Y947" i="62"/>
  <c r="Y948" i="62"/>
  <c r="Y949" i="62"/>
  <c r="Y950" i="62"/>
  <c r="Y951" i="62"/>
  <c r="Y952" i="62"/>
  <c r="Y953" i="62"/>
  <c r="Y954" i="62"/>
  <c r="Y955" i="62"/>
  <c r="Y956" i="62"/>
  <c r="Y957" i="62"/>
  <c r="Y958" i="62"/>
  <c r="Y959" i="62"/>
  <c r="Y960" i="62"/>
  <c r="Y961" i="62"/>
  <c r="Y962" i="62"/>
  <c r="Y963" i="62"/>
  <c r="Y964" i="62"/>
  <c r="Y965" i="62"/>
  <c r="Y966" i="62"/>
  <c r="Y967" i="62"/>
  <c r="Y968" i="62"/>
  <c r="Y969" i="62"/>
  <c r="Y970" i="62"/>
  <c r="Y971" i="62"/>
  <c r="Y972" i="62"/>
  <c r="Y973" i="62"/>
  <c r="Y974" i="62"/>
  <c r="Y975" i="62"/>
  <c r="Y976" i="62"/>
  <c r="Y977" i="62"/>
  <c r="Y978" i="62"/>
  <c r="Y979" i="62"/>
  <c r="Y980" i="62"/>
  <c r="Y981" i="62"/>
  <c r="Y982" i="62"/>
  <c r="Y983" i="62"/>
  <c r="Y984" i="62"/>
  <c r="Y985" i="62"/>
  <c r="Y986" i="62"/>
  <c r="Y987" i="62"/>
  <c r="Y988" i="62"/>
  <c r="Y989" i="62"/>
  <c r="Y990" i="62"/>
  <c r="Y991" i="62"/>
  <c r="Y992" i="62"/>
  <c r="Y993" i="62"/>
  <c r="Y994" i="62"/>
  <c r="Y995" i="62"/>
  <c r="Y996" i="62"/>
  <c r="Y997" i="62"/>
  <c r="Y998" i="62"/>
  <c r="Y999" i="62"/>
  <c r="Y1000" i="62"/>
  <c r="Y1001" i="62"/>
  <c r="Y1002" i="62"/>
  <c r="Y1003" i="62"/>
  <c r="Y1004" i="62"/>
  <c r="Y1005" i="62"/>
  <c r="Y1006" i="62"/>
  <c r="Y1007" i="62"/>
  <c r="Y1008" i="62"/>
  <c r="Y1009" i="62"/>
  <c r="Y1010" i="62"/>
  <c r="Y1011" i="62"/>
  <c r="Y1012" i="62"/>
  <c r="Y1013" i="62"/>
  <c r="Y1014" i="62"/>
  <c r="Y1015" i="62"/>
  <c r="Y1016" i="62"/>
  <c r="Y1017" i="62"/>
  <c r="Y1018" i="62"/>
  <c r="Y1019" i="62"/>
  <c r="Y1020" i="62"/>
  <c r="Y1021" i="62"/>
  <c r="Y1022" i="62"/>
  <c r="Y1023" i="62"/>
  <c r="Y1024" i="62"/>
  <c r="Y1025" i="62"/>
  <c r="Y1026" i="62"/>
  <c r="Y1027" i="62"/>
  <c r="Y1028" i="62"/>
  <c r="Y1029" i="62"/>
  <c r="Y1030" i="62"/>
  <c r="Y1031" i="62"/>
  <c r="Y1032" i="62"/>
  <c r="Y1033" i="62"/>
  <c r="Y1034" i="62"/>
  <c r="Y1035" i="62"/>
  <c r="Y1036" i="62"/>
  <c r="Y1037" i="62"/>
  <c r="Y1038" i="62"/>
  <c r="Y1039" i="62"/>
  <c r="Y1040" i="62"/>
  <c r="Y1041" i="62"/>
  <c r="Y1042" i="62"/>
  <c r="Y1043" i="62"/>
  <c r="Y1044" i="62"/>
  <c r="Y1045" i="62"/>
  <c r="Y1046" i="62"/>
  <c r="Y1047" i="62"/>
  <c r="Y1048" i="62"/>
  <c r="Y1049" i="62"/>
  <c r="Y1050" i="62"/>
  <c r="Y1051" i="62"/>
  <c r="Y1052" i="62"/>
  <c r="Y1053" i="62"/>
  <c r="Y1054" i="62"/>
  <c r="Y1055" i="62"/>
  <c r="Y1056" i="62"/>
  <c r="Y1057" i="62"/>
  <c r="Y1058" i="62"/>
  <c r="Y1059" i="62"/>
  <c r="Y1060" i="62"/>
  <c r="Y1061" i="62"/>
  <c r="Y1062" i="62"/>
  <c r="Y1063" i="62"/>
  <c r="Y1064" i="62"/>
  <c r="Y1065" i="62"/>
  <c r="Y1066" i="62"/>
  <c r="Y1067" i="62"/>
  <c r="Y1068" i="62"/>
  <c r="Y1069" i="62"/>
  <c r="Y1070" i="62"/>
  <c r="Y1071" i="62"/>
  <c r="Y1072" i="62"/>
  <c r="Y1073" i="62"/>
  <c r="Y1074" i="62"/>
  <c r="Y1075" i="62"/>
  <c r="Y1076" i="62"/>
  <c r="Y1077" i="62"/>
  <c r="Y1078" i="62"/>
  <c r="Y1079" i="62"/>
  <c r="Y1080" i="62"/>
  <c r="Y1081" i="62"/>
  <c r="Y1082" i="62"/>
  <c r="Y1083" i="62"/>
  <c r="Y1084" i="62"/>
  <c r="Y1085" i="62"/>
  <c r="Y1086" i="62"/>
  <c r="Y1087" i="62"/>
  <c r="Y1088" i="62"/>
  <c r="Y1089" i="62"/>
  <c r="Y1090" i="62"/>
  <c r="Y1091" i="62"/>
  <c r="Y1092" i="62"/>
  <c r="Y1093" i="62"/>
  <c r="Y1094" i="62"/>
  <c r="Y1095" i="62"/>
  <c r="Y1096" i="62"/>
  <c r="Y1097" i="62"/>
  <c r="Y1098" i="62"/>
  <c r="Y1099" i="62"/>
  <c r="Y1100" i="62"/>
  <c r="Y1101" i="62"/>
  <c r="Y1102" i="62"/>
  <c r="Y1103" i="62"/>
  <c r="Y1104" i="62"/>
  <c r="Y1105" i="62"/>
  <c r="Y1106" i="62"/>
  <c r="Y1107" i="62"/>
  <c r="Y1108" i="62"/>
  <c r="Y1109" i="62"/>
  <c r="Y1110" i="62"/>
  <c r="Y1111" i="62"/>
  <c r="Y1112" i="62"/>
  <c r="Y1113" i="62"/>
  <c r="Y1114" i="62"/>
  <c r="Y1115" i="62"/>
  <c r="Y1116" i="62"/>
  <c r="Y1117" i="62"/>
  <c r="Y1118" i="62"/>
  <c r="Y1119" i="62"/>
  <c r="Y1120" i="62"/>
  <c r="Y1121" i="62"/>
  <c r="Y1122" i="62"/>
  <c r="Y1123" i="62"/>
  <c r="Y1124" i="62"/>
  <c r="Y1125" i="62"/>
  <c r="Y1126" i="62"/>
  <c r="Y1127" i="62"/>
  <c r="Y1128" i="62"/>
  <c r="Y1129" i="62"/>
  <c r="Y1130" i="62"/>
  <c r="Y1131" i="62"/>
  <c r="Y1132" i="62"/>
  <c r="Y1133" i="62"/>
  <c r="Y1134" i="62"/>
  <c r="Y1135" i="62"/>
  <c r="Y1136" i="62"/>
  <c r="Y1137" i="62"/>
  <c r="Y1138" i="62"/>
  <c r="Y1139" i="62"/>
  <c r="Y1140" i="62"/>
  <c r="Y1141" i="62"/>
  <c r="Y1142" i="62"/>
  <c r="Y1143" i="62"/>
  <c r="Y1144" i="62"/>
  <c r="Y1145" i="62"/>
  <c r="Y1146" i="62"/>
  <c r="Y1147" i="62"/>
  <c r="Y1148" i="62"/>
  <c r="Y1149" i="62"/>
  <c r="Y1150" i="62"/>
  <c r="Y1151" i="62"/>
  <c r="Y1152" i="62"/>
  <c r="Y1153" i="62"/>
  <c r="Y1154" i="62"/>
  <c r="Y1155" i="62"/>
  <c r="Y1156" i="62"/>
  <c r="Y1157" i="62"/>
  <c r="Y1158" i="62"/>
  <c r="Y1159" i="62"/>
  <c r="Y1160" i="62"/>
  <c r="Y1161" i="62"/>
  <c r="Y1162" i="62"/>
  <c r="Y1163" i="62"/>
  <c r="Y1164" i="62"/>
  <c r="Y1165" i="62"/>
  <c r="Y1166" i="62"/>
  <c r="Y1167" i="62"/>
  <c r="Y1168" i="62"/>
  <c r="Y1169" i="62"/>
  <c r="Y1170" i="62"/>
  <c r="Y1171" i="62"/>
  <c r="Y1172" i="62"/>
  <c r="Y1173" i="62"/>
  <c r="Y1174" i="62"/>
  <c r="Y1175" i="62"/>
  <c r="Y1176" i="62"/>
  <c r="Y1177" i="62"/>
  <c r="Y1178" i="62"/>
  <c r="Y1179" i="62"/>
  <c r="Y1180" i="62"/>
  <c r="Y1181" i="62"/>
  <c r="Y1182" i="62"/>
  <c r="Y1183" i="62"/>
  <c r="Y1184" i="62"/>
  <c r="Y1185" i="62"/>
  <c r="Y1186" i="62"/>
  <c r="Y1187" i="62"/>
  <c r="Y1188" i="62"/>
  <c r="Y1189" i="62"/>
  <c r="Y1190" i="62"/>
  <c r="Y1191" i="62"/>
  <c r="Y1192" i="62"/>
  <c r="Y1193" i="62"/>
  <c r="Y1194" i="62"/>
  <c r="Y1195" i="62"/>
  <c r="Y1196" i="62"/>
  <c r="Y1197" i="62"/>
  <c r="Y1198" i="62"/>
  <c r="Y1199" i="62"/>
  <c r="Y1200" i="62"/>
  <c r="Y1201" i="62"/>
  <c r="Y1202" i="62"/>
  <c r="Y1203" i="62"/>
  <c r="Y1204" i="62"/>
  <c r="Y1205" i="62"/>
  <c r="Y1206" i="62"/>
  <c r="Y1207" i="62"/>
  <c r="Y1208" i="62"/>
  <c r="Y1209" i="62"/>
  <c r="Y1210" i="62"/>
  <c r="Y1211" i="62"/>
  <c r="Y1212" i="62"/>
  <c r="Y1213" i="62"/>
  <c r="Y1214" i="62"/>
  <c r="Y1215" i="62"/>
  <c r="Y1216" i="62"/>
  <c r="Y1217" i="62"/>
  <c r="Y1218" i="62"/>
  <c r="Y1219" i="62"/>
  <c r="Y1220" i="62"/>
  <c r="Y1221" i="62"/>
  <c r="Y1222" i="62"/>
  <c r="Y1223" i="62"/>
  <c r="Y1224" i="62"/>
  <c r="Y1225" i="62"/>
  <c r="Y1226" i="62"/>
  <c r="Y1227" i="62"/>
  <c r="Y1228" i="62"/>
  <c r="Y1229" i="62"/>
  <c r="Y1230" i="62"/>
  <c r="Y1231" i="62"/>
  <c r="Y1232" i="62"/>
  <c r="Y1233" i="62"/>
  <c r="Y1234" i="62"/>
  <c r="Y1235" i="62"/>
  <c r="Y1236" i="62"/>
  <c r="Y1237" i="62"/>
  <c r="Y1238" i="62"/>
  <c r="Y1239" i="62"/>
  <c r="Y1240" i="62"/>
  <c r="Y1241" i="62"/>
  <c r="Y1242" i="62"/>
  <c r="Y1243" i="62"/>
  <c r="Y1244" i="62"/>
  <c r="Y1245" i="62"/>
  <c r="Y1246" i="62"/>
  <c r="Y1247" i="62"/>
  <c r="Y1248" i="62"/>
  <c r="Y1249" i="62"/>
  <c r="Y1250" i="62"/>
  <c r="Y1251" i="62"/>
  <c r="Y1252" i="62"/>
  <c r="Y1253" i="62"/>
  <c r="Y1254" i="62"/>
  <c r="Y1255" i="62"/>
  <c r="Y1256" i="62"/>
  <c r="Y1257" i="62"/>
  <c r="Y1258" i="62"/>
  <c r="Y1259" i="62"/>
  <c r="Y1260" i="62"/>
  <c r="Y1261" i="62"/>
  <c r="Y1262" i="62"/>
  <c r="Y1263" i="62"/>
  <c r="Y1264" i="62"/>
  <c r="Y1265" i="62"/>
  <c r="Y1266" i="62"/>
  <c r="Y1267" i="62"/>
  <c r="Y1268" i="62"/>
  <c r="Y1269" i="62"/>
  <c r="Y1270" i="62"/>
  <c r="Y1271" i="62"/>
  <c r="Y1272" i="62"/>
  <c r="Y1273" i="62"/>
  <c r="Y1274" i="62"/>
  <c r="Y1275" i="62"/>
  <c r="Y1276" i="62"/>
  <c r="Y1277" i="62"/>
  <c r="Y1278" i="62"/>
  <c r="Y1279" i="62"/>
  <c r="Y1280" i="62"/>
  <c r="Y1281" i="62"/>
  <c r="Y1282" i="62"/>
  <c r="Y1283" i="62"/>
  <c r="Y1284" i="62"/>
  <c r="Y1285" i="62"/>
  <c r="Y1286" i="62"/>
  <c r="Y1287" i="62"/>
  <c r="Y1288" i="62"/>
  <c r="Y1289" i="62"/>
  <c r="Y1290" i="62"/>
  <c r="Y1291" i="62"/>
  <c r="Y1292" i="62"/>
  <c r="Y1293" i="62"/>
  <c r="Y1294" i="62"/>
  <c r="Y1295" i="62"/>
  <c r="Y1296" i="62"/>
  <c r="Y1297" i="62"/>
  <c r="Y1298" i="62"/>
  <c r="Y1299" i="62"/>
  <c r="Y1300" i="62"/>
  <c r="Y1301" i="62"/>
  <c r="Y1302" i="62"/>
  <c r="Y1303" i="62"/>
  <c r="Y1304" i="62"/>
  <c r="Y1305" i="62"/>
  <c r="Y1306" i="62"/>
  <c r="Y1307" i="62"/>
  <c r="Y1308" i="62"/>
  <c r="Y1309" i="62"/>
  <c r="Y1310" i="62"/>
  <c r="Y1311" i="62"/>
  <c r="Y1312" i="62"/>
  <c r="Y1313" i="62"/>
  <c r="Y1314" i="62"/>
  <c r="Y1315" i="62"/>
  <c r="Y1316" i="62"/>
  <c r="Y1317" i="62"/>
  <c r="Y1318" i="62"/>
  <c r="Y1319" i="62"/>
  <c r="Y1320" i="62"/>
  <c r="Y1321" i="62"/>
  <c r="Y1322" i="62"/>
  <c r="Y1323" i="62"/>
  <c r="Y1324" i="62"/>
  <c r="Y1325" i="62"/>
  <c r="Y1326" i="62"/>
  <c r="Y1327" i="62"/>
  <c r="Y1328" i="62"/>
  <c r="Y1329" i="62"/>
  <c r="Y1330" i="62"/>
  <c r="Y1331" i="62"/>
  <c r="Y1332" i="62"/>
  <c r="Y1333" i="62"/>
  <c r="Y1334" i="62"/>
  <c r="Y1335" i="62"/>
  <c r="Y1336" i="62"/>
  <c r="Y1337" i="62"/>
  <c r="Y1338" i="62"/>
  <c r="Y1339" i="62"/>
  <c r="Y1340" i="62"/>
  <c r="Y1341" i="62"/>
  <c r="Y1342" i="62"/>
  <c r="Y1343" i="62"/>
  <c r="Y1344" i="62"/>
  <c r="Y1345" i="62"/>
  <c r="Y1346" i="62"/>
  <c r="Y1347" i="62"/>
  <c r="Y1348" i="62"/>
  <c r="Y1349" i="62"/>
  <c r="Y1350" i="62"/>
  <c r="Y1351" i="62"/>
  <c r="Y1352" i="62"/>
  <c r="Y1353" i="62"/>
  <c r="Y1354" i="62"/>
  <c r="Y1355" i="62"/>
  <c r="Y1356" i="62"/>
  <c r="Y1357" i="62"/>
  <c r="Y1358" i="62"/>
  <c r="Y1359" i="62"/>
  <c r="Y1360" i="62"/>
  <c r="Y1361" i="62"/>
  <c r="Y1362" i="62"/>
  <c r="Y1363" i="62"/>
  <c r="Y1364" i="62"/>
  <c r="Y1365" i="62"/>
  <c r="Y1366" i="62"/>
  <c r="Y1367" i="62"/>
  <c r="Y1368" i="62"/>
  <c r="Y1369" i="62"/>
  <c r="Y1370" i="62"/>
  <c r="Y1371" i="62"/>
  <c r="Y1372" i="62"/>
  <c r="Y1373" i="62"/>
  <c r="Y1374" i="62"/>
  <c r="Y1375" i="62"/>
  <c r="Y1376" i="62"/>
  <c r="Y1377" i="62"/>
  <c r="Y1378" i="62"/>
  <c r="Y1379" i="62"/>
  <c r="Y1380" i="62"/>
  <c r="Y1381" i="62"/>
  <c r="Y1382" i="62"/>
  <c r="Y1383" i="62"/>
  <c r="Y1384" i="62"/>
  <c r="Y1385" i="62"/>
  <c r="Y1386" i="62"/>
  <c r="Y1387" i="62"/>
  <c r="Y1388" i="62"/>
  <c r="Y1389" i="62"/>
  <c r="Y1390" i="62"/>
  <c r="Y1391" i="62"/>
  <c r="Y1392" i="62"/>
  <c r="Y1393" i="62"/>
  <c r="Y1394" i="62"/>
  <c r="Y1395" i="62"/>
  <c r="Y1396" i="62"/>
  <c r="Y1397" i="62"/>
  <c r="Y1398" i="62"/>
  <c r="Y1399" i="62"/>
  <c r="Y1400" i="62"/>
  <c r="Y1401" i="62"/>
  <c r="Y1402" i="62"/>
  <c r="Y1403" i="62"/>
  <c r="Y1404" i="62"/>
  <c r="Y1405" i="62"/>
  <c r="Y1406" i="62"/>
  <c r="Y1407" i="62"/>
  <c r="Y1408" i="62"/>
  <c r="Y1409" i="62"/>
  <c r="Y1410" i="62"/>
  <c r="Y1411" i="62"/>
  <c r="Y1412" i="62"/>
  <c r="Y1413" i="62"/>
  <c r="Y1414" i="62"/>
  <c r="Y1415" i="62"/>
  <c r="Y1416" i="62"/>
  <c r="Y1417" i="62"/>
  <c r="Y1418" i="62"/>
  <c r="Y1419" i="62"/>
  <c r="Y1420" i="62"/>
  <c r="Y1421" i="62"/>
  <c r="Y1422" i="62"/>
  <c r="Y1423" i="62"/>
  <c r="Y1424" i="62"/>
  <c r="Y1425" i="62"/>
  <c r="Y1426" i="62"/>
  <c r="Y1427" i="62"/>
  <c r="Y1428" i="62"/>
  <c r="Y1429" i="62"/>
  <c r="Y1430" i="62"/>
  <c r="Y1431" i="62"/>
  <c r="Y1432" i="62"/>
  <c r="Y1433" i="62"/>
  <c r="Y1434" i="62"/>
  <c r="Y1435" i="62"/>
  <c r="Y1436" i="62"/>
  <c r="Y1437" i="62"/>
  <c r="Y1438" i="62"/>
  <c r="Y1439" i="62"/>
  <c r="Y1440" i="62"/>
  <c r="Y1441" i="62"/>
  <c r="Y1442" i="62"/>
  <c r="Y1443" i="62"/>
  <c r="Y1444" i="62"/>
  <c r="Y1445" i="62"/>
  <c r="Y1446" i="62"/>
  <c r="Y1447" i="62"/>
  <c r="Y1448" i="62"/>
  <c r="Y1449" i="62"/>
  <c r="Y1450" i="62"/>
  <c r="Y1451" i="62"/>
  <c r="Y1452" i="62"/>
  <c r="Y1453" i="62"/>
  <c r="Y1454" i="62"/>
  <c r="Y1455" i="62"/>
  <c r="Y1456" i="62"/>
  <c r="Y1457" i="62"/>
  <c r="Y1458" i="62"/>
  <c r="Y1459" i="62"/>
  <c r="Y1460" i="62"/>
  <c r="Y1461" i="62"/>
  <c r="Y1462" i="62"/>
  <c r="Y1463" i="62"/>
  <c r="Y1464" i="62"/>
  <c r="Y1465" i="62"/>
  <c r="Y1466" i="62"/>
  <c r="Y1467" i="62"/>
  <c r="Y1468" i="62"/>
  <c r="Y1469" i="62"/>
  <c r="Y1470" i="62"/>
  <c r="Y1471" i="62"/>
  <c r="Y1472" i="62"/>
  <c r="Y1473" i="62"/>
  <c r="Y1474" i="62"/>
  <c r="Y1475" i="62"/>
  <c r="Y1476" i="62"/>
  <c r="Y1477" i="62"/>
  <c r="Y1478" i="62"/>
  <c r="Y1479" i="62"/>
  <c r="Y1480" i="62"/>
  <c r="Y1481" i="62"/>
  <c r="Y1482" i="62"/>
  <c r="Y1483" i="62"/>
  <c r="Y1484" i="62"/>
  <c r="Y1485" i="62"/>
  <c r="Y1486" i="62"/>
  <c r="Y1487" i="62"/>
  <c r="Y1488" i="62"/>
  <c r="Y1489" i="62"/>
  <c r="Y1490" i="62"/>
  <c r="Y1491" i="62"/>
  <c r="Y1492" i="62"/>
  <c r="Y1493" i="62"/>
  <c r="Y1494" i="62"/>
  <c r="Y1495" i="62"/>
  <c r="Y1496" i="62"/>
  <c r="Y1497" i="62"/>
  <c r="Y1498" i="62"/>
  <c r="Y1499" i="62"/>
  <c r="Y1500" i="62"/>
  <c r="Y1501" i="62"/>
  <c r="Y1502" i="62"/>
  <c r="Y1503" i="62"/>
  <c r="Y1504" i="62"/>
  <c r="Y1505" i="62"/>
  <c r="Y1506" i="62"/>
  <c r="Y1507" i="62"/>
  <c r="Y1508" i="62"/>
  <c r="Y1509" i="62"/>
  <c r="Y1510" i="62"/>
  <c r="Y1511" i="62"/>
  <c r="Y1512" i="62"/>
  <c r="Y1513" i="62"/>
  <c r="Y1514" i="62"/>
  <c r="Y1515" i="62"/>
  <c r="Y1516" i="62"/>
  <c r="Y1517" i="62"/>
  <c r="Y1518" i="62"/>
  <c r="Y1519" i="62"/>
  <c r="Y1520" i="62"/>
  <c r="Y1521" i="62"/>
  <c r="Y1522" i="62"/>
  <c r="Y1523" i="62"/>
  <c r="Y1524" i="62"/>
  <c r="Y1525" i="62"/>
  <c r="Y1526" i="62"/>
  <c r="Y1527" i="62"/>
  <c r="Y1528" i="62"/>
  <c r="Y1529" i="62"/>
  <c r="Y1530" i="62"/>
  <c r="Y1531" i="62"/>
  <c r="Y1532" i="62"/>
  <c r="Y1533" i="62"/>
  <c r="Y1534" i="62"/>
  <c r="Y1535" i="62"/>
  <c r="Y1536" i="62"/>
  <c r="Y1537" i="62"/>
  <c r="Y1538" i="62"/>
  <c r="Y1539" i="62"/>
  <c r="Y1540" i="62"/>
  <c r="Y1541" i="62"/>
  <c r="Y1542" i="62"/>
  <c r="Y1543" i="62"/>
  <c r="Y1544" i="62"/>
  <c r="Y1545" i="62"/>
  <c r="Y1546" i="62"/>
  <c r="Y1547" i="62"/>
  <c r="Y1548" i="62"/>
  <c r="Y1549" i="62"/>
  <c r="Y1550" i="62"/>
  <c r="Y1551" i="62"/>
  <c r="Y1552" i="62"/>
  <c r="Y1553" i="62"/>
  <c r="Y1554" i="62"/>
  <c r="Y1555" i="62"/>
  <c r="Y1556" i="62"/>
  <c r="Y1557" i="62"/>
  <c r="Y1558" i="62"/>
  <c r="Y1559" i="62"/>
  <c r="Y1560" i="62"/>
  <c r="Y1561" i="62"/>
  <c r="Y1562" i="62"/>
  <c r="Y1563" i="62"/>
  <c r="Y1564" i="62"/>
  <c r="Y1565" i="62"/>
  <c r="Y1566" i="62"/>
  <c r="AN673" i="62" l="1"/>
  <c r="AP673" i="62" s="1"/>
  <c r="AO673" i="62"/>
  <c r="AQ673" i="62" l="1"/>
  <c r="AR673" i="62" s="1"/>
  <c r="AS673" i="62" s="1"/>
  <c r="AR7" i="62"/>
  <c r="AR8" i="62"/>
  <c r="AR9" i="62"/>
  <c r="AR10" i="62"/>
  <c r="AR11" i="62"/>
  <c r="AR12" i="62"/>
  <c r="AR13" i="62"/>
  <c r="AR14" i="62"/>
  <c r="AR15" i="62"/>
  <c r="AR16" i="62"/>
  <c r="AR17" i="62"/>
  <c r="AR18" i="62"/>
  <c r="AR19" i="62"/>
  <c r="AR20" i="62"/>
  <c r="AR21" i="62"/>
  <c r="AR22" i="62"/>
  <c r="AR23" i="62"/>
  <c r="AR24" i="62"/>
  <c r="AR25" i="62"/>
  <c r="AR26" i="62"/>
  <c r="AR27" i="62"/>
  <c r="AR28" i="62"/>
  <c r="AR29" i="62"/>
  <c r="AR30" i="62"/>
  <c r="AR31" i="62"/>
  <c r="AR32" i="62"/>
  <c r="AR33" i="62"/>
  <c r="AR34" i="62"/>
  <c r="AR35" i="62"/>
  <c r="AR36" i="62"/>
  <c r="AR37" i="62"/>
  <c r="AR38" i="62"/>
  <c r="AR39" i="62"/>
  <c r="AR40" i="62"/>
  <c r="AR41" i="62"/>
  <c r="AR42" i="62"/>
  <c r="AR43" i="62"/>
  <c r="AR44" i="62"/>
  <c r="AR45" i="62"/>
  <c r="AR46" i="62"/>
  <c r="AR47" i="62"/>
  <c r="AR48" i="62"/>
  <c r="AR49" i="62"/>
  <c r="AR50" i="62"/>
  <c r="AR51" i="62"/>
  <c r="AR52" i="62"/>
  <c r="AR53" i="62"/>
  <c r="AR54" i="62"/>
  <c r="AR55" i="62"/>
  <c r="AR56" i="62"/>
  <c r="AR57" i="62"/>
  <c r="AR58" i="62"/>
  <c r="AR59" i="62"/>
  <c r="AR60" i="62"/>
  <c r="AR61" i="62"/>
  <c r="AR62" i="62"/>
  <c r="AR63" i="62"/>
  <c r="AR64" i="62"/>
  <c r="AR65" i="62"/>
  <c r="AR66" i="62"/>
  <c r="AR67" i="62"/>
  <c r="AR68" i="62"/>
  <c r="AR69" i="62"/>
  <c r="AR70" i="62"/>
  <c r="AR71" i="62"/>
  <c r="AR72" i="62"/>
  <c r="AR73" i="62"/>
  <c r="AR74" i="62"/>
  <c r="AR75" i="62"/>
  <c r="AR76" i="62"/>
  <c r="AR77" i="62"/>
  <c r="AR78" i="62"/>
  <c r="AR79" i="62"/>
  <c r="AR80" i="62"/>
  <c r="AR81" i="62"/>
  <c r="AR82" i="62"/>
  <c r="AR83" i="62"/>
  <c r="AR84" i="62"/>
  <c r="AR85" i="62"/>
  <c r="AR86" i="62"/>
  <c r="AR87" i="62"/>
  <c r="AR88" i="62"/>
  <c r="AR89" i="62"/>
  <c r="AR90" i="62"/>
  <c r="AR91" i="62"/>
  <c r="AR92" i="62"/>
  <c r="AR93" i="62"/>
  <c r="AR94" i="62"/>
  <c r="AR95" i="62"/>
  <c r="AR96" i="62"/>
  <c r="AR97" i="62"/>
  <c r="AR98" i="62"/>
  <c r="AR99" i="62"/>
  <c r="AR100" i="62"/>
  <c r="AR101" i="62"/>
  <c r="AR102" i="62"/>
  <c r="AR103" i="62"/>
  <c r="AR104" i="62"/>
  <c r="AR105" i="62"/>
  <c r="AR106" i="62"/>
  <c r="AR107" i="62"/>
  <c r="AR108" i="62"/>
  <c r="AR109" i="62"/>
  <c r="AR110" i="62"/>
  <c r="AR111" i="62"/>
  <c r="AR112" i="62"/>
  <c r="AR113" i="62"/>
  <c r="AR114" i="62"/>
  <c r="AR115" i="62"/>
  <c r="AR116" i="62"/>
  <c r="AR117" i="62"/>
  <c r="AR118" i="62"/>
  <c r="AR119" i="62"/>
  <c r="AR120" i="62"/>
  <c r="AR121" i="62"/>
  <c r="AR122" i="62"/>
  <c r="AR123" i="62"/>
  <c r="AR124" i="62"/>
  <c r="AR125" i="62"/>
  <c r="AR126" i="62"/>
  <c r="AR127" i="62"/>
  <c r="AR128" i="62"/>
  <c r="AR129" i="62"/>
  <c r="AR130" i="62"/>
  <c r="AR131" i="62"/>
  <c r="AR132" i="62"/>
  <c r="AR133" i="62"/>
  <c r="AR134" i="62"/>
  <c r="AR135" i="62"/>
  <c r="AR136" i="62"/>
  <c r="AR137" i="62"/>
  <c r="AR138" i="62"/>
  <c r="AR139" i="62"/>
  <c r="AR140" i="62"/>
  <c r="AR141" i="62"/>
  <c r="AR142" i="62"/>
  <c r="AR143" i="62"/>
  <c r="AR144" i="62"/>
  <c r="AR145" i="62"/>
  <c r="AR146" i="62"/>
  <c r="AR147" i="62"/>
  <c r="AR148" i="62"/>
  <c r="AR149" i="62"/>
  <c r="AR150" i="62"/>
  <c r="AR151" i="62"/>
  <c r="AR152" i="62"/>
  <c r="AR153" i="62"/>
  <c r="AR154" i="62"/>
  <c r="AR155" i="62"/>
  <c r="AR156" i="62"/>
  <c r="AR157" i="62"/>
  <c r="AR158" i="62"/>
  <c r="AR159" i="62"/>
  <c r="AR160" i="62"/>
  <c r="AR161" i="62"/>
  <c r="AR162" i="62"/>
  <c r="AR163" i="62"/>
  <c r="AR164" i="62"/>
  <c r="AR165" i="62"/>
  <c r="AR166" i="62"/>
  <c r="AR167" i="62"/>
  <c r="AR168" i="62"/>
  <c r="AR169" i="62"/>
  <c r="AR170" i="62"/>
  <c r="AR171" i="62"/>
  <c r="AR172" i="62"/>
  <c r="AR173" i="62"/>
  <c r="AR174" i="62"/>
  <c r="AR175" i="62"/>
  <c r="AR176" i="62"/>
  <c r="AR177" i="62"/>
  <c r="AR178" i="62"/>
  <c r="AR179" i="62"/>
  <c r="AR180" i="62"/>
  <c r="AR181" i="62"/>
  <c r="AR182" i="62"/>
  <c r="AR183" i="62"/>
  <c r="AR184" i="62"/>
  <c r="AR185" i="62"/>
  <c r="AR186" i="62"/>
  <c r="AR187" i="62"/>
  <c r="AR188" i="62"/>
  <c r="AR189" i="62"/>
  <c r="AR190" i="62"/>
  <c r="AR191" i="62"/>
  <c r="AR192" i="62"/>
  <c r="AR193" i="62"/>
  <c r="AR194" i="62"/>
  <c r="AR195" i="62"/>
  <c r="AR196" i="62"/>
  <c r="AR197" i="62"/>
  <c r="AR198" i="62"/>
  <c r="AR199" i="62"/>
  <c r="AR200" i="62"/>
  <c r="AR201" i="62"/>
  <c r="AR202" i="62"/>
  <c r="AR203" i="62"/>
  <c r="AR204" i="62"/>
  <c r="AR205" i="62"/>
  <c r="AR206" i="62"/>
  <c r="AR207" i="62"/>
  <c r="AR208" i="62"/>
  <c r="AR209" i="62"/>
  <c r="AR210" i="62"/>
  <c r="AR211" i="62"/>
  <c r="AR212" i="62"/>
  <c r="AR213" i="62"/>
  <c r="AR214" i="62"/>
  <c r="AR215" i="62"/>
  <c r="AR216" i="62"/>
  <c r="AR217" i="62"/>
  <c r="AR218" i="62"/>
  <c r="AR219" i="62"/>
  <c r="AR220" i="62"/>
  <c r="AR221" i="62"/>
  <c r="AR222" i="62"/>
  <c r="AR223" i="62"/>
  <c r="AR224" i="62"/>
  <c r="AR225" i="62"/>
  <c r="AR226" i="62"/>
  <c r="AR227" i="62"/>
  <c r="AR228" i="62"/>
  <c r="AR229" i="62"/>
  <c r="AR230" i="62"/>
  <c r="AR231" i="62"/>
  <c r="AR232" i="62"/>
  <c r="AR233" i="62"/>
  <c r="AR234" i="62"/>
  <c r="AR235" i="62"/>
  <c r="AR236" i="62"/>
  <c r="AR237" i="62"/>
  <c r="AR238" i="62"/>
  <c r="AR239" i="62"/>
  <c r="AR240" i="62"/>
  <c r="AR241" i="62"/>
  <c r="AR242" i="62"/>
  <c r="AR243" i="62"/>
  <c r="AR244" i="62"/>
  <c r="AR245" i="62"/>
  <c r="AR246" i="62"/>
  <c r="AR247" i="62"/>
  <c r="AR248" i="62"/>
  <c r="AR249" i="62"/>
  <c r="AR250" i="62"/>
  <c r="AR251" i="62"/>
  <c r="AR252" i="62"/>
  <c r="AR253" i="62"/>
  <c r="AR254" i="62"/>
  <c r="AR255" i="62"/>
  <c r="AR256" i="62"/>
  <c r="AR257" i="62"/>
  <c r="AR258" i="62"/>
  <c r="AR259" i="62"/>
  <c r="AR260" i="62"/>
  <c r="AR261" i="62"/>
  <c r="AR262" i="62"/>
  <c r="AR263" i="62"/>
  <c r="AR264" i="62"/>
  <c r="AR265" i="62"/>
  <c r="AR266" i="62"/>
  <c r="AR267" i="62"/>
  <c r="AR268" i="62"/>
  <c r="AR269" i="62"/>
  <c r="AR270" i="62"/>
  <c r="AR271" i="62"/>
  <c r="AR272" i="62"/>
  <c r="AR273" i="62"/>
  <c r="AR274" i="62"/>
  <c r="AR275" i="62"/>
  <c r="AR276" i="62"/>
  <c r="AR277" i="62"/>
  <c r="AR278" i="62"/>
  <c r="AR279" i="62"/>
  <c r="AR280" i="62"/>
  <c r="AR281" i="62"/>
  <c r="AR282" i="62"/>
  <c r="AR283" i="62"/>
  <c r="AR284" i="62"/>
  <c r="AR285" i="62"/>
  <c r="AR286" i="62"/>
  <c r="AR287" i="62"/>
  <c r="AR288" i="62"/>
  <c r="AR289" i="62"/>
  <c r="AR290" i="62"/>
  <c r="AR291" i="62"/>
  <c r="AR292" i="62"/>
  <c r="AR293" i="62"/>
  <c r="AR294" i="62"/>
  <c r="AR295" i="62"/>
  <c r="AR296" i="62"/>
  <c r="AR297" i="62"/>
  <c r="AR298" i="62"/>
  <c r="AR299" i="62"/>
  <c r="AR300" i="62"/>
  <c r="AR301" i="62"/>
  <c r="AR302" i="62"/>
  <c r="AR303" i="62"/>
  <c r="AR304" i="62"/>
  <c r="AR305" i="62"/>
  <c r="AR306" i="62"/>
  <c r="AR307" i="62"/>
  <c r="AR308" i="62"/>
  <c r="AR309" i="62"/>
  <c r="AR310" i="62"/>
  <c r="AR311" i="62"/>
  <c r="AR312" i="62"/>
  <c r="AR313" i="62"/>
  <c r="AR314" i="62"/>
  <c r="AR315" i="62"/>
  <c r="AR316" i="62"/>
  <c r="AR317" i="62"/>
  <c r="AR318" i="62"/>
  <c r="AR319" i="62"/>
  <c r="AR320" i="62"/>
  <c r="AR321" i="62"/>
  <c r="AR322" i="62"/>
  <c r="AR323" i="62"/>
  <c r="AR324" i="62"/>
  <c r="AR325" i="62"/>
  <c r="AR326" i="62"/>
  <c r="AR327" i="62"/>
  <c r="AR328" i="62"/>
  <c r="AR329" i="62"/>
  <c r="AR330" i="62"/>
  <c r="AR331" i="62"/>
  <c r="AR332" i="62"/>
  <c r="AR333" i="62"/>
  <c r="AR334" i="62"/>
  <c r="AR335" i="62"/>
  <c r="AR336" i="62"/>
  <c r="AR337" i="62"/>
  <c r="AR338" i="62"/>
  <c r="AR339" i="62"/>
  <c r="AR340" i="62"/>
  <c r="AR341" i="62"/>
  <c r="AR342" i="62"/>
  <c r="AR343" i="62"/>
  <c r="AR344" i="62"/>
  <c r="AR345" i="62"/>
  <c r="AR346" i="62"/>
  <c r="AR347" i="62"/>
  <c r="AR348" i="62"/>
  <c r="AR349" i="62"/>
  <c r="AR350" i="62"/>
  <c r="AR351" i="62"/>
  <c r="AR352" i="62"/>
  <c r="AR353" i="62"/>
  <c r="AR354" i="62"/>
  <c r="AR355" i="62"/>
  <c r="AR356" i="62"/>
  <c r="AR357" i="62"/>
  <c r="AR358" i="62"/>
  <c r="AR359" i="62"/>
  <c r="AR360" i="62"/>
  <c r="AR361" i="62"/>
  <c r="AR362" i="62"/>
  <c r="AR363" i="62"/>
  <c r="AR364" i="62"/>
  <c r="AR365" i="62"/>
  <c r="AR366" i="62"/>
  <c r="AR367" i="62"/>
  <c r="AR368" i="62"/>
  <c r="AR369" i="62"/>
  <c r="AR370" i="62"/>
  <c r="AR371" i="62"/>
  <c r="AR372" i="62"/>
  <c r="AR373" i="62"/>
  <c r="AR374" i="62"/>
  <c r="AR375" i="62"/>
  <c r="AR376" i="62"/>
  <c r="AR377" i="62"/>
  <c r="AR378" i="62"/>
  <c r="AR379" i="62"/>
  <c r="AR380" i="62"/>
  <c r="AR381" i="62"/>
  <c r="AR382" i="62"/>
  <c r="AR383" i="62"/>
  <c r="AR384" i="62"/>
  <c r="AR385" i="62"/>
  <c r="AR386" i="62"/>
  <c r="AR387" i="62"/>
  <c r="AR388" i="62"/>
  <c r="AR389" i="62"/>
  <c r="AR390" i="62"/>
  <c r="AR391" i="62"/>
  <c r="AR392" i="62"/>
  <c r="AR393" i="62"/>
  <c r="AR394" i="62"/>
  <c r="AR395" i="62"/>
  <c r="AR396" i="62"/>
  <c r="AR397" i="62"/>
  <c r="AR398" i="62"/>
  <c r="AR399" i="62"/>
  <c r="AR400" i="62"/>
  <c r="AR401" i="62"/>
  <c r="AR402" i="62"/>
  <c r="AR403" i="62"/>
  <c r="AR404" i="62"/>
  <c r="AR405" i="62"/>
  <c r="AR406" i="62"/>
  <c r="AR407" i="62"/>
  <c r="AR408" i="62"/>
  <c r="AR409" i="62"/>
  <c r="AR410" i="62"/>
  <c r="AR411" i="62"/>
  <c r="AR412" i="62"/>
  <c r="AR413" i="62"/>
  <c r="AR414" i="62"/>
  <c r="AR415" i="62"/>
  <c r="AR416" i="62"/>
  <c r="AR417" i="62"/>
  <c r="AR418" i="62"/>
  <c r="AR419" i="62"/>
  <c r="AR420" i="62"/>
  <c r="AR421" i="62"/>
  <c r="AR422" i="62"/>
  <c r="AR423" i="62"/>
  <c r="AR424" i="62"/>
  <c r="AR425" i="62"/>
  <c r="AR426" i="62"/>
  <c r="AR427" i="62"/>
  <c r="AR428" i="62"/>
  <c r="AR429" i="62"/>
  <c r="AR430" i="62"/>
  <c r="AR431" i="62"/>
  <c r="AR432" i="62"/>
  <c r="AR433" i="62"/>
  <c r="AR434" i="62"/>
  <c r="AR435" i="62"/>
  <c r="AR436" i="62"/>
  <c r="AR437" i="62"/>
  <c r="AR438" i="62"/>
  <c r="AR439" i="62"/>
  <c r="AR440" i="62"/>
  <c r="AR441" i="62"/>
  <c r="AR442" i="62"/>
  <c r="AR443" i="62"/>
  <c r="AR444" i="62"/>
  <c r="AR445" i="62"/>
  <c r="AR446" i="62"/>
  <c r="AR447" i="62"/>
  <c r="AR448" i="62"/>
  <c r="AR449" i="62"/>
  <c r="AR450" i="62"/>
  <c r="AR451" i="62"/>
  <c r="AR452" i="62"/>
  <c r="AR453" i="62"/>
  <c r="AR454" i="62"/>
  <c r="AR455" i="62"/>
  <c r="AR456" i="62"/>
  <c r="AR457" i="62"/>
  <c r="AR458" i="62"/>
  <c r="AR459" i="62"/>
  <c r="AR460" i="62"/>
  <c r="AR461" i="62"/>
  <c r="AR462" i="62"/>
  <c r="AR463" i="62"/>
  <c r="AR464" i="62"/>
  <c r="AR465" i="62"/>
  <c r="AR466" i="62"/>
  <c r="AR467" i="62"/>
  <c r="AR468" i="62"/>
  <c r="AR469" i="62"/>
  <c r="AR470" i="62"/>
  <c r="AR471" i="62"/>
  <c r="AR472" i="62"/>
  <c r="AR473" i="62"/>
  <c r="AR474" i="62"/>
  <c r="AR475" i="62"/>
  <c r="AR476" i="62"/>
  <c r="AR477" i="62"/>
  <c r="AR478" i="62"/>
  <c r="AR479" i="62"/>
  <c r="AR480" i="62"/>
  <c r="AR481" i="62"/>
  <c r="AR482" i="62"/>
  <c r="AR483" i="62"/>
  <c r="AR484" i="62"/>
  <c r="AR485" i="62"/>
  <c r="AR486" i="62"/>
  <c r="AR487" i="62"/>
  <c r="AR488" i="62"/>
  <c r="AR489" i="62"/>
  <c r="AR490" i="62"/>
  <c r="AR491" i="62"/>
  <c r="AR492" i="62"/>
  <c r="AR493" i="62"/>
  <c r="AR494" i="62"/>
  <c r="AR495" i="62"/>
  <c r="AR496" i="62"/>
  <c r="AR497" i="62"/>
  <c r="AR498" i="62"/>
  <c r="AR499" i="62"/>
  <c r="AR500" i="62"/>
  <c r="AR501" i="62"/>
  <c r="AR502" i="62"/>
  <c r="AR503" i="62"/>
  <c r="AR504" i="62"/>
  <c r="AR505" i="62"/>
  <c r="AR506" i="62"/>
  <c r="AR507" i="62"/>
  <c r="AR508" i="62"/>
  <c r="AR509" i="62"/>
  <c r="AR510" i="62"/>
  <c r="AR511" i="62"/>
  <c r="AR512" i="62"/>
  <c r="AR513" i="62"/>
  <c r="AR514" i="62"/>
  <c r="AR515" i="62"/>
  <c r="AR516" i="62"/>
  <c r="AR517" i="62"/>
  <c r="AR518" i="62"/>
  <c r="AR519" i="62"/>
  <c r="AR520" i="62"/>
  <c r="AR521" i="62"/>
  <c r="AR522" i="62"/>
  <c r="AR523" i="62"/>
  <c r="AR524" i="62"/>
  <c r="AR525" i="62"/>
  <c r="AR526" i="62"/>
  <c r="AR527" i="62"/>
  <c r="AR528" i="62"/>
  <c r="AR529" i="62"/>
  <c r="AR530" i="62"/>
  <c r="AR531" i="62"/>
  <c r="AR532" i="62"/>
  <c r="AR533" i="62"/>
  <c r="AR534" i="62"/>
  <c r="AR535" i="62"/>
  <c r="AR536" i="62"/>
  <c r="AR537" i="62"/>
  <c r="AR538" i="62"/>
  <c r="AR539" i="62"/>
  <c r="AR540" i="62"/>
  <c r="AR541" i="62"/>
  <c r="AR542" i="62"/>
  <c r="AR543" i="62"/>
  <c r="AR544" i="62"/>
  <c r="AR545" i="62"/>
  <c r="AR546" i="62"/>
  <c r="AR547" i="62"/>
  <c r="AR548" i="62"/>
  <c r="AR549" i="62"/>
  <c r="AR550" i="62"/>
  <c r="AR551" i="62"/>
  <c r="AR552" i="62"/>
  <c r="AR553" i="62"/>
  <c r="AR554" i="62"/>
  <c r="AR555" i="62"/>
  <c r="AR556" i="62"/>
  <c r="AR557" i="62"/>
  <c r="AR558" i="62"/>
  <c r="AR559" i="62"/>
  <c r="AR560" i="62"/>
  <c r="AR561" i="62"/>
  <c r="AR562" i="62"/>
  <c r="AR563" i="62"/>
  <c r="AR564" i="62"/>
  <c r="AR565" i="62"/>
  <c r="AR566" i="62"/>
  <c r="AR567" i="62"/>
  <c r="AR568" i="62"/>
  <c r="AR569" i="62"/>
  <c r="AR570" i="62"/>
  <c r="AR571" i="62"/>
  <c r="AR572" i="62"/>
  <c r="AR573" i="62"/>
  <c r="AR574" i="62"/>
  <c r="AR575" i="62"/>
  <c r="AR576" i="62"/>
  <c r="AR577" i="62"/>
  <c r="AR578" i="62"/>
  <c r="AR579" i="62"/>
  <c r="AR580" i="62"/>
  <c r="AR581" i="62"/>
  <c r="AR582" i="62"/>
  <c r="AR583" i="62"/>
  <c r="AR584" i="62"/>
  <c r="AR585" i="62"/>
  <c r="AR586" i="62"/>
  <c r="AR587" i="62"/>
  <c r="AR588" i="62"/>
  <c r="AR589" i="62"/>
  <c r="AR590" i="62"/>
  <c r="AR591" i="62"/>
  <c r="AR592" i="62"/>
  <c r="AR593" i="62"/>
  <c r="AR594" i="62"/>
  <c r="AR595" i="62"/>
  <c r="AR596" i="62"/>
  <c r="AR597" i="62"/>
  <c r="AR598" i="62"/>
  <c r="AR599" i="62"/>
  <c r="AR600" i="62"/>
  <c r="AR601" i="62"/>
  <c r="AR602" i="62"/>
  <c r="AR603" i="62"/>
  <c r="AR604" i="62"/>
  <c r="AR605" i="62"/>
  <c r="AR606" i="62"/>
  <c r="AR607" i="62"/>
  <c r="AR608" i="62"/>
  <c r="AR609" i="62"/>
  <c r="AR610" i="62"/>
  <c r="AR611" i="62"/>
  <c r="AR612" i="62"/>
  <c r="AR613" i="62"/>
  <c r="AR614" i="62"/>
  <c r="AR615" i="62"/>
  <c r="AR616" i="62"/>
  <c r="AR617" i="62"/>
  <c r="AR618" i="62"/>
  <c r="AR619" i="62"/>
  <c r="AR620" i="62"/>
  <c r="AR621" i="62"/>
  <c r="AR622" i="62"/>
  <c r="AR623" i="62"/>
  <c r="AR624" i="62"/>
  <c r="AR625" i="62"/>
  <c r="AR626" i="62"/>
  <c r="AR627" i="62"/>
  <c r="AR628" i="62"/>
  <c r="AR629" i="62"/>
  <c r="AR630" i="62"/>
  <c r="AR631" i="62"/>
  <c r="AR632" i="62"/>
  <c r="AR633" i="62"/>
  <c r="AR634" i="62"/>
  <c r="AR635" i="62"/>
  <c r="AR636" i="62"/>
  <c r="AR637" i="62"/>
  <c r="AR638" i="62"/>
  <c r="AR639" i="62"/>
  <c r="AR640" i="62"/>
  <c r="AR641" i="62"/>
  <c r="AR642" i="62"/>
  <c r="AN8" i="62"/>
  <c r="AN9" i="62"/>
  <c r="AN10" i="62"/>
  <c r="AP11" i="62"/>
  <c r="AN12" i="62"/>
  <c r="AN13" i="62"/>
  <c r="AP13" i="62" s="1"/>
  <c r="AN14" i="62"/>
  <c r="AN15" i="62"/>
  <c r="AN16" i="62"/>
  <c r="AN17" i="62"/>
  <c r="AN18" i="62"/>
  <c r="AN19" i="62"/>
  <c r="AP19" i="62" s="1"/>
  <c r="AN20" i="62"/>
  <c r="AN21" i="62"/>
  <c r="AP21" i="62" s="1"/>
  <c r="AN22" i="62"/>
  <c r="AN23" i="62"/>
  <c r="AN24" i="62"/>
  <c r="AN25" i="62"/>
  <c r="AN26" i="62"/>
  <c r="AN27" i="62"/>
  <c r="AP27" i="62" s="1"/>
  <c r="AN28" i="62"/>
  <c r="AN29" i="62"/>
  <c r="AP29" i="62" s="1"/>
  <c r="AN30" i="62"/>
  <c r="AN31" i="62"/>
  <c r="AN32" i="62"/>
  <c r="AN33" i="62"/>
  <c r="AQ33" i="62" s="1"/>
  <c r="AN34" i="62"/>
  <c r="AN35" i="62"/>
  <c r="AP35" i="62" s="1"/>
  <c r="AN36" i="62"/>
  <c r="AN37" i="62"/>
  <c r="AP37" i="62" s="1"/>
  <c r="AN38" i="62"/>
  <c r="AN39" i="62"/>
  <c r="AN40" i="62"/>
  <c r="AN41" i="62"/>
  <c r="AQ41" i="62" s="1"/>
  <c r="AN42" i="62"/>
  <c r="AN43" i="62"/>
  <c r="AP43" i="62" s="1"/>
  <c r="AN44" i="62"/>
  <c r="AN45" i="62"/>
  <c r="AP45" i="62" s="1"/>
  <c r="AN46" i="62"/>
  <c r="AN47" i="62"/>
  <c r="AN48" i="62"/>
  <c r="AN49" i="62"/>
  <c r="AQ49" i="62" s="1"/>
  <c r="AN50" i="62"/>
  <c r="AQ50" i="62" s="1"/>
  <c r="AN51" i="62"/>
  <c r="AP51" i="62" s="1"/>
  <c r="AN52" i="62"/>
  <c r="AN53" i="62"/>
  <c r="AP53" i="62" s="1"/>
  <c r="AN54" i="62"/>
  <c r="AN55" i="62"/>
  <c r="AN56" i="62"/>
  <c r="AQ56" i="62" s="1"/>
  <c r="AN57" i="62"/>
  <c r="AQ57" i="62" s="1"/>
  <c r="AN58" i="62"/>
  <c r="AQ58" i="62" s="1"/>
  <c r="AN59" i="62"/>
  <c r="AP59" i="62" s="1"/>
  <c r="AN60" i="62"/>
  <c r="AN61" i="62"/>
  <c r="AP61" i="62" s="1"/>
  <c r="AN62" i="62"/>
  <c r="AP62" i="62" s="1"/>
  <c r="AN63" i="62"/>
  <c r="AN64" i="62"/>
  <c r="AQ64" i="62" s="1"/>
  <c r="AN65" i="62"/>
  <c r="AQ65" i="62" s="1"/>
  <c r="AN66" i="62"/>
  <c r="AQ66" i="62" s="1"/>
  <c r="AN67" i="62"/>
  <c r="AP67" i="62" s="1"/>
  <c r="AN68" i="62"/>
  <c r="AN69" i="62"/>
  <c r="AP69" i="62" s="1"/>
  <c r="AN70" i="62"/>
  <c r="AN71" i="62"/>
  <c r="AN72" i="62"/>
  <c r="AN73" i="62"/>
  <c r="AN74" i="62"/>
  <c r="AN75" i="62"/>
  <c r="AN76" i="62"/>
  <c r="AN77" i="62"/>
  <c r="AP77" i="62" s="1"/>
  <c r="AN78" i="62"/>
  <c r="AN79" i="62"/>
  <c r="AQ79" i="62" s="1"/>
  <c r="AN80" i="62"/>
  <c r="AQ80" i="62" s="1"/>
  <c r="AN81" i="62"/>
  <c r="AQ81" i="62" s="1"/>
  <c r="AN82" i="62"/>
  <c r="AQ82" i="62" s="1"/>
  <c r="AN83" i="62"/>
  <c r="AP83" i="62" s="1"/>
  <c r="AN84" i="62"/>
  <c r="AN85" i="62"/>
  <c r="AP85" i="62" s="1"/>
  <c r="AN86" i="62"/>
  <c r="AN87" i="62"/>
  <c r="AQ87" i="62" s="1"/>
  <c r="AN88" i="62"/>
  <c r="AQ88" i="62" s="1"/>
  <c r="AN89" i="62"/>
  <c r="AQ89" i="62" s="1"/>
  <c r="AN90" i="62"/>
  <c r="AQ90" i="62" s="1"/>
  <c r="AN91" i="62"/>
  <c r="AP91" i="62" s="1"/>
  <c r="AN92" i="62"/>
  <c r="AN93" i="62"/>
  <c r="AP93" i="62" s="1"/>
  <c r="AN94" i="62"/>
  <c r="AN95" i="62"/>
  <c r="AN96" i="62"/>
  <c r="AN97" i="62"/>
  <c r="AQ97" i="62" s="1"/>
  <c r="AN98" i="62"/>
  <c r="AQ98" i="62" s="1"/>
  <c r="AN99" i="62"/>
  <c r="AP99" i="62" s="1"/>
  <c r="AN100" i="62"/>
  <c r="AN101" i="62"/>
  <c r="AP101" i="62" s="1"/>
  <c r="AN102" i="62"/>
  <c r="AN103" i="62"/>
  <c r="AN104" i="62"/>
  <c r="AN105" i="62"/>
  <c r="AN106" i="62"/>
  <c r="AN107" i="62"/>
  <c r="AP107" i="62" s="1"/>
  <c r="AN108" i="62"/>
  <c r="AN109" i="62"/>
  <c r="AP109" i="62" s="1"/>
  <c r="AN110" i="62"/>
  <c r="AN111" i="62"/>
  <c r="AN112" i="62"/>
  <c r="AN113" i="62"/>
  <c r="AN114" i="62"/>
  <c r="AN115" i="62"/>
  <c r="AP115" i="62" s="1"/>
  <c r="AN116" i="62"/>
  <c r="AN117" i="62"/>
  <c r="AP117" i="62" s="1"/>
  <c r="AN118" i="62"/>
  <c r="AN119" i="62"/>
  <c r="AQ119" i="62" s="1"/>
  <c r="AN120" i="62"/>
  <c r="AQ120" i="62" s="1"/>
  <c r="AN121" i="62"/>
  <c r="AQ121" i="62" s="1"/>
  <c r="AN122" i="62"/>
  <c r="AN123" i="62"/>
  <c r="AP123" i="62" s="1"/>
  <c r="AN124" i="62"/>
  <c r="AN125" i="62"/>
  <c r="AP125" i="62" s="1"/>
  <c r="AN126" i="62"/>
  <c r="AN127" i="62"/>
  <c r="AN128" i="62"/>
  <c r="AQ128" i="62" s="1"/>
  <c r="AN129" i="62"/>
  <c r="AQ129" i="62" s="1"/>
  <c r="AN130" i="62"/>
  <c r="AN131" i="62"/>
  <c r="AP131" i="62" s="1"/>
  <c r="AN132" i="62"/>
  <c r="AN133" i="62"/>
  <c r="AP133" i="62" s="1"/>
  <c r="AN134" i="62"/>
  <c r="AN135" i="62"/>
  <c r="AN136" i="62"/>
  <c r="AQ136" i="62" s="1"/>
  <c r="AN137" i="62"/>
  <c r="AQ137" i="62" s="1"/>
  <c r="AN138" i="62"/>
  <c r="AP138" i="62" s="1"/>
  <c r="AN139" i="62"/>
  <c r="AP139" i="62" s="1"/>
  <c r="AN140" i="62"/>
  <c r="AN141" i="62"/>
  <c r="AP141" i="62" s="1"/>
  <c r="AN142" i="62"/>
  <c r="AN143" i="62"/>
  <c r="AN144" i="62"/>
  <c r="AQ144" i="62" s="1"/>
  <c r="AN145" i="62"/>
  <c r="AN146" i="62"/>
  <c r="AP146" i="62" s="1"/>
  <c r="AN147" i="62"/>
  <c r="AP147" i="62" s="1"/>
  <c r="AN148" i="62"/>
  <c r="AN149" i="62"/>
  <c r="AP149" i="62" s="1"/>
  <c r="AN150" i="62"/>
  <c r="AN151" i="62"/>
  <c r="AN152" i="62"/>
  <c r="AQ152" i="62" s="1"/>
  <c r="AN153" i="62"/>
  <c r="AQ153" i="62" s="1"/>
  <c r="AN154" i="62"/>
  <c r="AP154" i="62" s="1"/>
  <c r="AN155" i="62"/>
  <c r="AP155" i="62" s="1"/>
  <c r="AN156" i="62"/>
  <c r="AN157" i="62"/>
  <c r="AP157" i="62" s="1"/>
  <c r="AN158" i="62"/>
  <c r="AN159" i="62"/>
  <c r="AN160" i="62"/>
  <c r="AN161" i="62"/>
  <c r="AQ161" i="62" s="1"/>
  <c r="AN162" i="62"/>
  <c r="AP162" i="62" s="1"/>
  <c r="AN163" i="62"/>
  <c r="AP163" i="62" s="1"/>
  <c r="AN164" i="62"/>
  <c r="AN165" i="62"/>
  <c r="AP165" i="62" s="1"/>
  <c r="AN166" i="62"/>
  <c r="AN167" i="62"/>
  <c r="AN168" i="62"/>
  <c r="AQ168" i="62" s="1"/>
  <c r="AN169" i="62"/>
  <c r="AQ169" i="62" s="1"/>
  <c r="AN170" i="62"/>
  <c r="AP170" i="62" s="1"/>
  <c r="AN171" i="62"/>
  <c r="AP171" i="62" s="1"/>
  <c r="AN172" i="62"/>
  <c r="AN173" i="62"/>
  <c r="AP173" i="62" s="1"/>
  <c r="AN174" i="62"/>
  <c r="AN175" i="62"/>
  <c r="AQ175" i="62" s="1"/>
  <c r="AN176" i="62"/>
  <c r="AQ176" i="62" s="1"/>
  <c r="AN177" i="62"/>
  <c r="AQ177" i="62" s="1"/>
  <c r="AN178" i="62"/>
  <c r="AP178" i="62" s="1"/>
  <c r="AN179" i="62"/>
  <c r="AP179" i="62" s="1"/>
  <c r="AN180" i="62"/>
  <c r="AN181" i="62"/>
  <c r="AP181" i="62" s="1"/>
  <c r="AN182" i="62"/>
  <c r="AN183" i="62"/>
  <c r="AN184" i="62"/>
  <c r="AQ184" i="62" s="1"/>
  <c r="AN185" i="62"/>
  <c r="AQ185" i="62" s="1"/>
  <c r="AN186" i="62"/>
  <c r="AP186" i="62" s="1"/>
  <c r="AN187" i="62"/>
  <c r="AP187" i="62" s="1"/>
  <c r="AN188" i="62"/>
  <c r="AN189" i="62"/>
  <c r="AP189" i="62" s="1"/>
  <c r="AN190" i="62"/>
  <c r="AP190" i="62" s="1"/>
  <c r="AN191" i="62"/>
  <c r="AN192" i="62"/>
  <c r="AQ192" i="62" s="1"/>
  <c r="AN193" i="62"/>
  <c r="AQ193" i="62" s="1"/>
  <c r="AN194" i="62"/>
  <c r="AP194" i="62" s="1"/>
  <c r="AN195" i="62"/>
  <c r="AP195" i="62" s="1"/>
  <c r="AN196" i="62"/>
  <c r="AN197" i="62"/>
  <c r="AP197" i="62" s="1"/>
  <c r="AN198" i="62"/>
  <c r="AN199" i="62"/>
  <c r="AN200" i="62"/>
  <c r="AQ200" i="62" s="1"/>
  <c r="AN201" i="62"/>
  <c r="AQ201" i="62" s="1"/>
  <c r="AN202" i="62"/>
  <c r="AP202" i="62" s="1"/>
  <c r="AN203" i="62"/>
  <c r="AP203" i="62" s="1"/>
  <c r="AN204" i="62"/>
  <c r="AN205" i="62"/>
  <c r="AP205" i="62" s="1"/>
  <c r="AN206" i="62"/>
  <c r="AN207" i="62"/>
  <c r="AN208" i="62"/>
  <c r="AQ208" i="62" s="1"/>
  <c r="AN209" i="62"/>
  <c r="AQ209" i="62" s="1"/>
  <c r="AN210" i="62"/>
  <c r="AP210" i="62" s="1"/>
  <c r="AN211" i="62"/>
  <c r="AP211" i="62" s="1"/>
  <c r="AN212" i="62"/>
  <c r="AN213" i="62"/>
  <c r="AP213" i="62" s="1"/>
  <c r="AN214" i="62"/>
  <c r="AN215" i="62"/>
  <c r="AN216" i="62"/>
  <c r="AN217" i="62"/>
  <c r="AN218" i="62"/>
  <c r="AP218" i="62" s="1"/>
  <c r="AN219" i="62"/>
  <c r="AP219" i="62" s="1"/>
  <c r="AN220" i="62"/>
  <c r="AN221" i="62"/>
  <c r="AP221" i="62" s="1"/>
  <c r="AN222" i="62"/>
  <c r="AN223" i="62"/>
  <c r="AN224" i="62"/>
  <c r="AN225" i="62"/>
  <c r="AN226" i="62"/>
  <c r="AP226" i="62" s="1"/>
  <c r="AN227" i="62"/>
  <c r="AP227" i="62" s="1"/>
  <c r="AN228" i="62"/>
  <c r="AN229" i="62"/>
  <c r="AP229" i="62" s="1"/>
  <c r="AN230" i="62"/>
  <c r="AN231" i="62"/>
  <c r="AN232" i="62"/>
  <c r="AN233" i="62"/>
  <c r="AN234" i="62"/>
  <c r="AP234" i="62" s="1"/>
  <c r="AN235" i="62"/>
  <c r="AP235" i="62" s="1"/>
  <c r="AN236" i="62"/>
  <c r="AN237" i="62"/>
  <c r="AP237" i="62" s="1"/>
  <c r="AN238" i="62"/>
  <c r="AN239" i="62"/>
  <c r="AN240" i="62"/>
  <c r="AN241" i="62"/>
  <c r="AN242" i="62"/>
  <c r="AP242" i="62" s="1"/>
  <c r="AN243" i="62"/>
  <c r="AP243" i="62" s="1"/>
  <c r="AN244" i="62"/>
  <c r="AN245" i="62"/>
  <c r="AP245" i="62" s="1"/>
  <c r="AN246" i="62"/>
  <c r="AN247" i="62"/>
  <c r="AN248" i="62"/>
  <c r="AN249" i="62"/>
  <c r="AN250" i="62"/>
  <c r="AP250" i="62" s="1"/>
  <c r="AN251" i="62"/>
  <c r="AP251" i="62" s="1"/>
  <c r="AN252" i="62"/>
  <c r="AN253" i="62"/>
  <c r="AP253" i="62" s="1"/>
  <c r="AN254" i="62"/>
  <c r="AN255" i="62"/>
  <c r="AN256" i="62"/>
  <c r="AN257" i="62"/>
  <c r="AN258" i="62"/>
  <c r="AP258" i="62" s="1"/>
  <c r="AN259" i="62"/>
  <c r="AP259" i="62" s="1"/>
  <c r="AN260" i="62"/>
  <c r="AN261" i="62"/>
  <c r="AP261" i="62" s="1"/>
  <c r="AN262" i="62"/>
  <c r="AN263" i="62"/>
  <c r="AN264" i="62"/>
  <c r="AN265" i="62"/>
  <c r="AN266" i="62"/>
  <c r="AP266" i="62" s="1"/>
  <c r="AN267" i="62"/>
  <c r="AP267" i="62" s="1"/>
  <c r="AN268" i="62"/>
  <c r="AN269" i="62"/>
  <c r="AP269" i="62" s="1"/>
  <c r="AN270" i="62"/>
  <c r="AN271" i="62"/>
  <c r="AN272" i="62"/>
  <c r="AN273" i="62"/>
  <c r="AN274" i="62"/>
  <c r="AP274" i="62" s="1"/>
  <c r="AN275" i="62"/>
  <c r="AP275" i="62" s="1"/>
  <c r="AN276" i="62"/>
  <c r="AN277" i="62"/>
  <c r="AP277" i="62" s="1"/>
  <c r="AN278" i="62"/>
  <c r="AN279" i="62"/>
  <c r="AQ279" i="62" s="1"/>
  <c r="AN280" i="62"/>
  <c r="AQ280" i="62" s="1"/>
  <c r="AN281" i="62"/>
  <c r="AQ281" i="62" s="1"/>
  <c r="AN282" i="62"/>
  <c r="AP282" i="62" s="1"/>
  <c r="AN283" i="62"/>
  <c r="AP283" i="62" s="1"/>
  <c r="AN284" i="62"/>
  <c r="AN285" i="62"/>
  <c r="AP285" i="62" s="1"/>
  <c r="AN286" i="62"/>
  <c r="AN287" i="62"/>
  <c r="AN288" i="62"/>
  <c r="AN289" i="62"/>
  <c r="AN290" i="62"/>
  <c r="AP290" i="62" s="1"/>
  <c r="AN291" i="62"/>
  <c r="AP291" i="62" s="1"/>
  <c r="AN292" i="62"/>
  <c r="AN293" i="62"/>
  <c r="AP293" i="62" s="1"/>
  <c r="AN294" i="62"/>
  <c r="AN295" i="62"/>
  <c r="AN296" i="62"/>
  <c r="AN297" i="62"/>
  <c r="AN298" i="62"/>
  <c r="AP298" i="62" s="1"/>
  <c r="AN299" i="62"/>
  <c r="AP299" i="62" s="1"/>
  <c r="AN300" i="62"/>
  <c r="AN301" i="62"/>
  <c r="AP301" i="62" s="1"/>
  <c r="AN302" i="62"/>
  <c r="AN303" i="62"/>
  <c r="AN304" i="62"/>
  <c r="AQ304" i="62" s="1"/>
  <c r="AN305" i="62"/>
  <c r="AQ305" i="62" s="1"/>
  <c r="AN306" i="62"/>
  <c r="AP306" i="62" s="1"/>
  <c r="AN307" i="62"/>
  <c r="AP307" i="62" s="1"/>
  <c r="AN308" i="62"/>
  <c r="AN309" i="62"/>
  <c r="AP309" i="62" s="1"/>
  <c r="AN310" i="62"/>
  <c r="AQ310" i="62" s="1"/>
  <c r="AN311" i="62"/>
  <c r="AN312" i="62"/>
  <c r="AQ312" i="62" s="1"/>
  <c r="AN313" i="62"/>
  <c r="AQ313" i="62" s="1"/>
  <c r="AN314" i="62"/>
  <c r="AP314" i="62" s="1"/>
  <c r="AN315" i="62"/>
  <c r="AP315" i="62" s="1"/>
  <c r="AN316" i="62"/>
  <c r="AN317" i="62"/>
  <c r="AP317" i="62" s="1"/>
  <c r="AN318" i="62"/>
  <c r="AN319" i="62"/>
  <c r="AN320" i="62"/>
  <c r="AN321" i="62"/>
  <c r="AN322" i="62"/>
  <c r="AP322" i="62" s="1"/>
  <c r="AN323" i="62"/>
  <c r="AP323" i="62" s="1"/>
  <c r="AN324" i="62"/>
  <c r="AN325" i="62"/>
  <c r="AP325" i="62" s="1"/>
  <c r="AN326" i="62"/>
  <c r="AN327" i="62"/>
  <c r="AN328" i="62"/>
  <c r="AN329" i="62"/>
  <c r="AN330" i="62"/>
  <c r="AP330" i="62" s="1"/>
  <c r="AN331" i="62"/>
  <c r="AP331" i="62" s="1"/>
  <c r="AN332" i="62"/>
  <c r="AN333" i="62"/>
  <c r="AP333" i="62" s="1"/>
  <c r="AN334" i="62"/>
  <c r="AN335" i="62"/>
  <c r="AN336" i="62"/>
  <c r="AQ336" i="62" s="1"/>
  <c r="AN337" i="62"/>
  <c r="AQ337" i="62" s="1"/>
  <c r="AN338" i="62"/>
  <c r="AP338" i="62" s="1"/>
  <c r="AN339" i="62"/>
  <c r="AP339" i="62" s="1"/>
  <c r="AN340" i="62"/>
  <c r="AN341" i="62"/>
  <c r="AP341" i="62" s="1"/>
  <c r="AN342" i="62"/>
  <c r="AQ342" i="62" s="1"/>
  <c r="AN343" i="62"/>
  <c r="AN344" i="62"/>
  <c r="AN345" i="62"/>
  <c r="AQ345" i="62" s="1"/>
  <c r="AN346" i="62"/>
  <c r="AP346" i="62" s="1"/>
  <c r="AN347" i="62"/>
  <c r="AP347" i="62" s="1"/>
  <c r="AN348" i="62"/>
  <c r="AN349" i="62"/>
  <c r="AP349" i="62" s="1"/>
  <c r="AN350" i="62"/>
  <c r="AN351" i="62"/>
  <c r="AN352" i="62"/>
  <c r="AN353" i="62"/>
  <c r="AN354" i="62"/>
  <c r="AP354" i="62" s="1"/>
  <c r="AN355" i="62"/>
  <c r="AP355" i="62" s="1"/>
  <c r="AN356" i="62"/>
  <c r="AN357" i="62"/>
  <c r="AP357" i="62" s="1"/>
  <c r="AN358" i="62"/>
  <c r="AN359" i="62"/>
  <c r="AQ359" i="62" s="1"/>
  <c r="AN360" i="62"/>
  <c r="AN361" i="62"/>
  <c r="AQ361" i="62" s="1"/>
  <c r="AN362" i="62"/>
  <c r="AP362" i="62" s="1"/>
  <c r="AN363" i="62"/>
  <c r="AP363" i="62" s="1"/>
  <c r="AN364" i="62"/>
  <c r="AN365" i="62"/>
  <c r="AP365" i="62" s="1"/>
  <c r="AN366" i="62"/>
  <c r="AP366" i="62" s="1"/>
  <c r="AN367" i="62"/>
  <c r="AN368" i="62"/>
  <c r="AN369" i="62"/>
  <c r="AN370" i="62"/>
  <c r="AP370" i="62" s="1"/>
  <c r="AN371" i="62"/>
  <c r="AP371" i="62" s="1"/>
  <c r="AN372" i="62"/>
  <c r="AN373" i="62"/>
  <c r="AP373" i="62" s="1"/>
  <c r="AN374" i="62"/>
  <c r="AN375" i="62"/>
  <c r="AQ375" i="62" s="1"/>
  <c r="AN376" i="62"/>
  <c r="AQ376" i="62" s="1"/>
  <c r="AN377" i="62"/>
  <c r="AQ377" i="62" s="1"/>
  <c r="AN378" i="62"/>
  <c r="AP378" i="62" s="1"/>
  <c r="AN379" i="62"/>
  <c r="AP379" i="62" s="1"/>
  <c r="AN380" i="62"/>
  <c r="AN381" i="62"/>
  <c r="AP381" i="62" s="1"/>
  <c r="AN382" i="62"/>
  <c r="AN383" i="62"/>
  <c r="AN384" i="62"/>
  <c r="AN385" i="62"/>
  <c r="AN386" i="62"/>
  <c r="AP386" i="62" s="1"/>
  <c r="AN387" i="62"/>
  <c r="AP387" i="62" s="1"/>
  <c r="AN388" i="62"/>
  <c r="AN389" i="62"/>
  <c r="AP389" i="62" s="1"/>
  <c r="AN390" i="62"/>
  <c r="AN391" i="62"/>
  <c r="AN392" i="62"/>
  <c r="AQ392" i="62" s="1"/>
  <c r="AN393" i="62"/>
  <c r="AQ393" i="62" s="1"/>
  <c r="AN394" i="62"/>
  <c r="AP394" i="62" s="1"/>
  <c r="AN395" i="62"/>
  <c r="AP395" i="62" s="1"/>
  <c r="AN396" i="62"/>
  <c r="AN397" i="62"/>
  <c r="AP397" i="62" s="1"/>
  <c r="AN398" i="62"/>
  <c r="AN399" i="62"/>
  <c r="AN400" i="62"/>
  <c r="AQ400" i="62" s="1"/>
  <c r="AN401" i="62"/>
  <c r="AQ401" i="62" s="1"/>
  <c r="AN402" i="62"/>
  <c r="AP402" i="62" s="1"/>
  <c r="AN403" i="62"/>
  <c r="AP403" i="62" s="1"/>
  <c r="AN404" i="62"/>
  <c r="AN405" i="62"/>
  <c r="AP405" i="62" s="1"/>
  <c r="AN406" i="62"/>
  <c r="AN407" i="62"/>
  <c r="AN408" i="62"/>
  <c r="AQ408" i="62" s="1"/>
  <c r="AN409" i="62"/>
  <c r="AQ409" i="62" s="1"/>
  <c r="AN410" i="62"/>
  <c r="AP410" i="62" s="1"/>
  <c r="AN411" i="62"/>
  <c r="AP411" i="62" s="1"/>
  <c r="AN412" i="62"/>
  <c r="AN413" i="62"/>
  <c r="AP413" i="62" s="1"/>
  <c r="AN414" i="62"/>
  <c r="AN415" i="62"/>
  <c r="AN416" i="62"/>
  <c r="AN417" i="62"/>
  <c r="AQ417" i="62" s="1"/>
  <c r="AN418" i="62"/>
  <c r="AP418" i="62" s="1"/>
  <c r="AN419" i="62"/>
  <c r="AP419" i="62" s="1"/>
  <c r="AN420" i="62"/>
  <c r="AN421" i="62"/>
  <c r="AP421" i="62" s="1"/>
  <c r="AN422" i="62"/>
  <c r="AN423" i="62"/>
  <c r="AN424" i="62"/>
  <c r="AN425" i="62"/>
  <c r="AQ425" i="62" s="1"/>
  <c r="AN426" i="62"/>
  <c r="AP426" i="62" s="1"/>
  <c r="AN427" i="62"/>
  <c r="AP427" i="62" s="1"/>
  <c r="AN428" i="62"/>
  <c r="AN429" i="62"/>
  <c r="AP429" i="62" s="1"/>
  <c r="AN430" i="62"/>
  <c r="AP430" i="62" s="1"/>
  <c r="AN431" i="62"/>
  <c r="AN432" i="62"/>
  <c r="AQ432" i="62" s="1"/>
  <c r="AN433" i="62"/>
  <c r="AQ433" i="62" s="1"/>
  <c r="AN434" i="62"/>
  <c r="AP434" i="62" s="1"/>
  <c r="AN435" i="62"/>
  <c r="AP435" i="62" s="1"/>
  <c r="AN436" i="62"/>
  <c r="AN437" i="62"/>
  <c r="AP437" i="62" s="1"/>
  <c r="AN438" i="62"/>
  <c r="AN439" i="62"/>
  <c r="AN440" i="62"/>
  <c r="AN441" i="62"/>
  <c r="AN442" i="62"/>
  <c r="AP442" i="62" s="1"/>
  <c r="AN443" i="62"/>
  <c r="AP443" i="62" s="1"/>
  <c r="AN444" i="62"/>
  <c r="AN445" i="62"/>
  <c r="AP445" i="62" s="1"/>
  <c r="AN446" i="62"/>
  <c r="AN447" i="62"/>
  <c r="AQ447" i="62" s="1"/>
  <c r="AN448" i="62"/>
  <c r="AQ448" i="62" s="1"/>
  <c r="AN449" i="62"/>
  <c r="AQ449" i="62" s="1"/>
  <c r="AN450" i="62"/>
  <c r="AP450" i="62" s="1"/>
  <c r="AN451" i="62"/>
  <c r="AP451" i="62" s="1"/>
  <c r="AN452" i="62"/>
  <c r="AN453" i="62"/>
  <c r="AP453" i="62" s="1"/>
  <c r="AN454" i="62"/>
  <c r="AN455" i="62"/>
  <c r="AQ455" i="62" s="1"/>
  <c r="AN456" i="62"/>
  <c r="AQ456" i="62" s="1"/>
  <c r="AN457" i="62"/>
  <c r="AN458" i="62"/>
  <c r="AP458" i="62" s="1"/>
  <c r="AN459" i="62"/>
  <c r="AP459" i="62" s="1"/>
  <c r="AN460" i="62"/>
  <c r="AN461" i="62"/>
  <c r="AP461" i="62" s="1"/>
  <c r="AN462" i="62"/>
  <c r="AN463" i="62"/>
  <c r="AN464" i="62"/>
  <c r="AQ464" i="62" s="1"/>
  <c r="AN465" i="62"/>
  <c r="AQ465" i="62" s="1"/>
  <c r="AN466" i="62"/>
  <c r="AP466" i="62" s="1"/>
  <c r="AN467" i="62"/>
  <c r="AP467" i="62" s="1"/>
  <c r="AN468" i="62"/>
  <c r="AN469" i="62"/>
  <c r="AP469" i="62" s="1"/>
  <c r="AN470" i="62"/>
  <c r="AN471" i="62"/>
  <c r="AN472" i="62"/>
  <c r="AN473" i="62"/>
  <c r="AN474" i="62"/>
  <c r="AP474" i="62" s="1"/>
  <c r="AN475" i="62"/>
  <c r="AP475" i="62" s="1"/>
  <c r="AN476" i="62"/>
  <c r="AN477" i="62"/>
  <c r="AP477" i="62" s="1"/>
  <c r="AN478" i="62"/>
  <c r="AN479" i="62"/>
  <c r="AN480" i="62"/>
  <c r="AN481" i="62"/>
  <c r="AQ481" i="62" s="1"/>
  <c r="AN482" i="62"/>
  <c r="AP482" i="62" s="1"/>
  <c r="AN483" i="62"/>
  <c r="AP483" i="62" s="1"/>
  <c r="AN484" i="62"/>
  <c r="AN485" i="62"/>
  <c r="AP485" i="62" s="1"/>
  <c r="AN486" i="62"/>
  <c r="AN487" i="62"/>
  <c r="AN488" i="62"/>
  <c r="AN489" i="62"/>
  <c r="AN490" i="62"/>
  <c r="AP490" i="62" s="1"/>
  <c r="AN491" i="62"/>
  <c r="AP491" i="62" s="1"/>
  <c r="AN492" i="62"/>
  <c r="AN493" i="62"/>
  <c r="AP493" i="62" s="1"/>
  <c r="AN494" i="62"/>
  <c r="AP494" i="62" s="1"/>
  <c r="AN495" i="62"/>
  <c r="AN496" i="62"/>
  <c r="AN497" i="62"/>
  <c r="AN498" i="62"/>
  <c r="AP498" i="62" s="1"/>
  <c r="AN499" i="62"/>
  <c r="AP499" i="62" s="1"/>
  <c r="AN500" i="62"/>
  <c r="AN501" i="62"/>
  <c r="AP501" i="62" s="1"/>
  <c r="AN502" i="62"/>
  <c r="AN503" i="62"/>
  <c r="AN504" i="62"/>
  <c r="AN505" i="62"/>
  <c r="AN506" i="62"/>
  <c r="AP506" i="62" s="1"/>
  <c r="AN507" i="62"/>
  <c r="AP507" i="62" s="1"/>
  <c r="AN508" i="62"/>
  <c r="AN509" i="62"/>
  <c r="AP509" i="62" s="1"/>
  <c r="AN510" i="62"/>
  <c r="AN511" i="62"/>
  <c r="AN512" i="62"/>
  <c r="AN513" i="62"/>
  <c r="AP513" i="62" s="1"/>
  <c r="AN514" i="62"/>
  <c r="AP514" i="62" s="1"/>
  <c r="AN515" i="62"/>
  <c r="AP515" i="62" s="1"/>
  <c r="AN516" i="62"/>
  <c r="AN517" i="62"/>
  <c r="AP517" i="62" s="1"/>
  <c r="AN518" i="62"/>
  <c r="AN519" i="62"/>
  <c r="AN520" i="62"/>
  <c r="AN521" i="62"/>
  <c r="AP521" i="62" s="1"/>
  <c r="AN522" i="62"/>
  <c r="AP522" i="62" s="1"/>
  <c r="AN523" i="62"/>
  <c r="AP523" i="62" s="1"/>
  <c r="AN524" i="62"/>
  <c r="AN525" i="62"/>
  <c r="AP525" i="62" s="1"/>
  <c r="AN526" i="62"/>
  <c r="AN527" i="62"/>
  <c r="AN528" i="62"/>
  <c r="AN529" i="62"/>
  <c r="AP529" i="62" s="1"/>
  <c r="AN530" i="62"/>
  <c r="AP530" i="62" s="1"/>
  <c r="AN531" i="62"/>
  <c r="AP531" i="62" s="1"/>
  <c r="AN532" i="62"/>
  <c r="AN533" i="62"/>
  <c r="AP533" i="62" s="1"/>
  <c r="AN534" i="62"/>
  <c r="AN535" i="62"/>
  <c r="AN536" i="62"/>
  <c r="AN537" i="62"/>
  <c r="AP537" i="62" s="1"/>
  <c r="AN538" i="62"/>
  <c r="AP538" i="62" s="1"/>
  <c r="AN539" i="62"/>
  <c r="AP539" i="62" s="1"/>
  <c r="AN540" i="62"/>
  <c r="AN541" i="62"/>
  <c r="AP541" i="62" s="1"/>
  <c r="AN542" i="62"/>
  <c r="AN543" i="62"/>
  <c r="AQ543" i="62" s="1"/>
  <c r="AN544" i="62"/>
  <c r="AQ544" i="62" s="1"/>
  <c r="AN545" i="62"/>
  <c r="AP545" i="62" s="1"/>
  <c r="AN546" i="62"/>
  <c r="AP546" i="62" s="1"/>
  <c r="AN547" i="62"/>
  <c r="AP547" i="62" s="1"/>
  <c r="AN548" i="62"/>
  <c r="AN549" i="62"/>
  <c r="AP549" i="62" s="1"/>
  <c r="AN550" i="62"/>
  <c r="AN551" i="62"/>
  <c r="AN552" i="62"/>
  <c r="AN553" i="62"/>
  <c r="AP553" i="62" s="1"/>
  <c r="AN554" i="62"/>
  <c r="AP554" i="62" s="1"/>
  <c r="AN555" i="62"/>
  <c r="AP555" i="62" s="1"/>
  <c r="AN556" i="62"/>
  <c r="AN557" i="62"/>
  <c r="AP557" i="62" s="1"/>
  <c r="AN558" i="62"/>
  <c r="AN559" i="62"/>
  <c r="AN560" i="62"/>
  <c r="AN561" i="62"/>
  <c r="AP561" i="62" s="1"/>
  <c r="AN562" i="62"/>
  <c r="AP562" i="62" s="1"/>
  <c r="AN563" i="62"/>
  <c r="AP563" i="62" s="1"/>
  <c r="AN564" i="62"/>
  <c r="AN565" i="62"/>
  <c r="AP565" i="62" s="1"/>
  <c r="AN566" i="62"/>
  <c r="AN567" i="62"/>
  <c r="AN568" i="62"/>
  <c r="AN569" i="62"/>
  <c r="AP569" i="62" s="1"/>
  <c r="AN570" i="62"/>
  <c r="AP570" i="62" s="1"/>
  <c r="AN571" i="62"/>
  <c r="AP571" i="62" s="1"/>
  <c r="AN572" i="62"/>
  <c r="AN573" i="62"/>
  <c r="AP573" i="62" s="1"/>
  <c r="AN574" i="62"/>
  <c r="AN575" i="62"/>
  <c r="AP575" i="62" s="1"/>
  <c r="AN576" i="62"/>
  <c r="AN577" i="62"/>
  <c r="AP577" i="62" s="1"/>
  <c r="AN578" i="62"/>
  <c r="AP578" i="62" s="1"/>
  <c r="AN579" i="62"/>
  <c r="AP579" i="62" s="1"/>
  <c r="AN580" i="62"/>
  <c r="AN581" i="62"/>
  <c r="AP581" i="62" s="1"/>
  <c r="AN582" i="62"/>
  <c r="AN583" i="62"/>
  <c r="AP583" i="62" s="1"/>
  <c r="AN584" i="62"/>
  <c r="AQ584" i="62" s="1"/>
  <c r="AN585" i="62"/>
  <c r="AP585" i="62" s="1"/>
  <c r="AN586" i="62"/>
  <c r="AP586" i="62" s="1"/>
  <c r="AN587" i="62"/>
  <c r="AP587" i="62" s="1"/>
  <c r="AN588" i="62"/>
  <c r="AN589" i="62"/>
  <c r="AP589" i="62" s="1"/>
  <c r="AN590" i="62"/>
  <c r="AN591" i="62"/>
  <c r="AP591" i="62" s="1"/>
  <c r="AN592" i="62"/>
  <c r="AN593" i="62"/>
  <c r="AP593" i="62" s="1"/>
  <c r="AN594" i="62"/>
  <c r="AP594" i="62" s="1"/>
  <c r="AN595" i="62"/>
  <c r="AP595" i="62" s="1"/>
  <c r="AN596" i="62"/>
  <c r="AN597" i="62"/>
  <c r="AP597" i="62" s="1"/>
  <c r="AN598" i="62"/>
  <c r="AN599" i="62"/>
  <c r="AP599" i="62" s="1"/>
  <c r="AN600" i="62"/>
  <c r="AN601" i="62"/>
  <c r="AP601" i="62" s="1"/>
  <c r="AN602" i="62"/>
  <c r="AP602" i="62" s="1"/>
  <c r="AN603" i="62"/>
  <c r="AP603" i="62" s="1"/>
  <c r="AN604" i="62"/>
  <c r="AN605" i="62"/>
  <c r="AP605" i="62" s="1"/>
  <c r="AN606" i="62"/>
  <c r="AN607" i="62"/>
  <c r="AP607" i="62" s="1"/>
  <c r="AN608" i="62"/>
  <c r="AQ608" i="62" s="1"/>
  <c r="AN609" i="62"/>
  <c r="AP609" i="62" s="1"/>
  <c r="AN610" i="62"/>
  <c r="AP610" i="62" s="1"/>
  <c r="AN611" i="62"/>
  <c r="AP611" i="62" s="1"/>
  <c r="AN612" i="62"/>
  <c r="AN613" i="62"/>
  <c r="AP613" i="62" s="1"/>
  <c r="AN614" i="62"/>
  <c r="AN615" i="62"/>
  <c r="AP615" i="62" s="1"/>
  <c r="AN616" i="62"/>
  <c r="AN617" i="62"/>
  <c r="AP617" i="62" s="1"/>
  <c r="AN618" i="62"/>
  <c r="AP618" i="62" s="1"/>
  <c r="AN619" i="62"/>
  <c r="AP619" i="62" s="1"/>
  <c r="AN620" i="62"/>
  <c r="AN621" i="62"/>
  <c r="AP621" i="62" s="1"/>
  <c r="AN622" i="62"/>
  <c r="AN623" i="62"/>
  <c r="AP623" i="62" s="1"/>
  <c r="AN624" i="62"/>
  <c r="AN625" i="62"/>
  <c r="AP625" i="62" s="1"/>
  <c r="AN626" i="62"/>
  <c r="AP626" i="62" s="1"/>
  <c r="AN627" i="62"/>
  <c r="AP627" i="62" s="1"/>
  <c r="AN628" i="62"/>
  <c r="AN629" i="62"/>
  <c r="AP629" i="62" s="1"/>
  <c r="AN630" i="62"/>
  <c r="AN631" i="62"/>
  <c r="AP631" i="62" s="1"/>
  <c r="AN632" i="62"/>
  <c r="AN633" i="62"/>
  <c r="AP633" i="62" s="1"/>
  <c r="AN634" i="62"/>
  <c r="AP634" i="62" s="1"/>
  <c r="AN635" i="62"/>
  <c r="AP635" i="62" s="1"/>
  <c r="AN636" i="62"/>
  <c r="AN637" i="62"/>
  <c r="AP637" i="62" s="1"/>
  <c r="AN638" i="62"/>
  <c r="AN639" i="62"/>
  <c r="AP639" i="62" s="1"/>
  <c r="AN640" i="62"/>
  <c r="AN641" i="62"/>
  <c r="AP641" i="62" s="1"/>
  <c r="AN642" i="62"/>
  <c r="AP642" i="62" s="1"/>
  <c r="AN643" i="62"/>
  <c r="AN644" i="62"/>
  <c r="AN645" i="62"/>
  <c r="AP645" i="62" s="1"/>
  <c r="AN646" i="62"/>
  <c r="AN647" i="62"/>
  <c r="AN648" i="62"/>
  <c r="AN649" i="62"/>
  <c r="AN650" i="62"/>
  <c r="AN651" i="62"/>
  <c r="AN652" i="62"/>
  <c r="AN653" i="62"/>
  <c r="AP653" i="62" s="1"/>
  <c r="AN654" i="62"/>
  <c r="AN655" i="62"/>
  <c r="AN656" i="62"/>
  <c r="AQ656" i="62" s="1"/>
  <c r="AN657" i="62"/>
  <c r="AN658" i="62"/>
  <c r="AN659" i="62"/>
  <c r="AN660" i="62"/>
  <c r="AN661" i="62"/>
  <c r="AP661" i="62" s="1"/>
  <c r="AN662" i="62"/>
  <c r="AP662" i="62" s="1"/>
  <c r="AN663" i="62"/>
  <c r="AN664" i="62"/>
  <c r="AQ664" i="62" s="1"/>
  <c r="AN665" i="62"/>
  <c r="AN666" i="62"/>
  <c r="AN667" i="62"/>
  <c r="AN668" i="62"/>
  <c r="AN669" i="62"/>
  <c r="AP669" i="62" s="1"/>
  <c r="AN670" i="62"/>
  <c r="AN671" i="62"/>
  <c r="AQ671" i="62" s="1"/>
  <c r="AN672" i="62"/>
  <c r="AQ672" i="62" s="1"/>
  <c r="G6" i="55"/>
  <c r="AQ34" i="62"/>
  <c r="AQ42" i="62"/>
  <c r="AQ55" i="62"/>
  <c r="AQ63" i="62"/>
  <c r="AQ127" i="62"/>
  <c r="AQ135" i="62"/>
  <c r="AQ143" i="62"/>
  <c r="AQ145" i="62"/>
  <c r="AQ151" i="62"/>
  <c r="AQ167" i="62"/>
  <c r="AQ183" i="62"/>
  <c r="AQ191" i="62"/>
  <c r="AQ199" i="62"/>
  <c r="AQ207" i="62"/>
  <c r="AQ303" i="62"/>
  <c r="AQ311" i="62"/>
  <c r="AQ335" i="62"/>
  <c r="AQ391" i="62"/>
  <c r="AQ407" i="62"/>
  <c r="AQ415" i="62"/>
  <c r="AQ463" i="62"/>
  <c r="AQ575" i="62"/>
  <c r="AO7" i="62"/>
  <c r="AO8" i="62"/>
  <c r="AO9" i="62"/>
  <c r="AO10" i="62"/>
  <c r="AO11" i="62"/>
  <c r="AO12" i="62"/>
  <c r="AO13" i="62"/>
  <c r="AO14" i="62"/>
  <c r="AO15" i="62"/>
  <c r="AO16" i="62"/>
  <c r="AO17" i="62"/>
  <c r="AO18" i="62"/>
  <c r="AO19" i="62"/>
  <c r="AO20" i="62"/>
  <c r="AO21" i="62"/>
  <c r="AO22" i="62"/>
  <c r="AO23" i="62"/>
  <c r="AO24" i="62"/>
  <c r="AO25" i="62"/>
  <c r="AO26" i="62"/>
  <c r="AO27" i="62"/>
  <c r="AO28" i="62"/>
  <c r="AO29" i="62"/>
  <c r="AO30" i="62"/>
  <c r="AO31" i="62"/>
  <c r="AO32" i="62"/>
  <c r="AO33" i="62"/>
  <c r="AO34" i="62"/>
  <c r="AO35" i="62"/>
  <c r="AO36" i="62"/>
  <c r="AO37" i="62"/>
  <c r="AO38" i="62"/>
  <c r="AO39" i="62"/>
  <c r="AO40" i="62"/>
  <c r="AO41" i="62"/>
  <c r="AO42" i="62"/>
  <c r="AO43" i="62"/>
  <c r="AO44" i="62"/>
  <c r="AO45" i="62"/>
  <c r="AO46" i="62"/>
  <c r="AO47" i="62"/>
  <c r="AO48" i="62"/>
  <c r="AO49" i="62"/>
  <c r="AO50" i="62"/>
  <c r="AO51" i="62"/>
  <c r="AO52" i="62"/>
  <c r="AO53" i="62"/>
  <c r="AO54" i="62"/>
  <c r="AO55" i="62"/>
  <c r="AO56" i="62"/>
  <c r="AO57" i="62"/>
  <c r="AO58" i="62"/>
  <c r="AO59" i="62"/>
  <c r="AO60" i="62"/>
  <c r="AO61" i="62"/>
  <c r="AO62" i="62"/>
  <c r="AO63" i="62"/>
  <c r="AO64" i="62"/>
  <c r="AO65" i="62"/>
  <c r="AO66" i="62"/>
  <c r="AO67" i="62"/>
  <c r="AO68" i="62"/>
  <c r="AO69" i="62"/>
  <c r="AO70" i="62"/>
  <c r="AO71" i="62"/>
  <c r="AO72" i="62"/>
  <c r="AO73" i="62"/>
  <c r="AO74" i="62"/>
  <c r="AO75" i="62"/>
  <c r="AO76" i="62"/>
  <c r="AO77" i="62"/>
  <c r="AO78" i="62"/>
  <c r="AO79" i="62"/>
  <c r="AO80" i="62"/>
  <c r="AO81" i="62"/>
  <c r="AO82" i="62"/>
  <c r="AO83" i="62"/>
  <c r="AO84" i="62"/>
  <c r="AO85" i="62"/>
  <c r="AO86" i="62"/>
  <c r="AO87" i="62"/>
  <c r="AO88" i="62"/>
  <c r="AO89" i="62"/>
  <c r="AO90" i="62"/>
  <c r="AO91" i="62"/>
  <c r="AO92" i="62"/>
  <c r="AO93" i="62"/>
  <c r="AO94" i="62"/>
  <c r="AO95" i="62"/>
  <c r="AO96" i="62"/>
  <c r="AO97" i="62"/>
  <c r="AO98" i="62"/>
  <c r="AO99" i="62"/>
  <c r="AO100" i="62"/>
  <c r="AO101" i="62"/>
  <c r="AO102" i="62"/>
  <c r="AO103" i="62"/>
  <c r="AO104" i="62"/>
  <c r="AO105" i="62"/>
  <c r="AO106" i="62"/>
  <c r="AO107" i="62"/>
  <c r="AO108" i="62"/>
  <c r="AO109" i="62"/>
  <c r="AO110" i="62"/>
  <c r="AO111" i="62"/>
  <c r="AO112" i="62"/>
  <c r="AO113" i="62"/>
  <c r="AO114" i="62"/>
  <c r="AO115" i="62"/>
  <c r="AO116" i="62"/>
  <c r="AO117" i="62"/>
  <c r="AO118" i="62"/>
  <c r="AO119" i="62"/>
  <c r="AO120" i="62"/>
  <c r="AO121" i="62"/>
  <c r="AO122" i="62"/>
  <c r="AO123" i="62"/>
  <c r="AO124" i="62"/>
  <c r="AO125" i="62"/>
  <c r="AO126" i="62"/>
  <c r="AO127" i="62"/>
  <c r="AO128" i="62"/>
  <c r="AO129" i="62"/>
  <c r="AO130" i="62"/>
  <c r="AO131" i="62"/>
  <c r="AO132" i="62"/>
  <c r="AO133" i="62"/>
  <c r="AO134" i="62"/>
  <c r="AO135" i="62"/>
  <c r="AO136" i="62"/>
  <c r="AO137" i="62"/>
  <c r="AO138" i="62"/>
  <c r="AO139" i="62"/>
  <c r="AO140" i="62"/>
  <c r="AO141" i="62"/>
  <c r="AO142" i="62"/>
  <c r="AO143" i="62"/>
  <c r="AO144" i="62"/>
  <c r="AO145" i="62"/>
  <c r="AO146" i="62"/>
  <c r="AO147" i="62"/>
  <c r="AO148" i="62"/>
  <c r="AO149" i="62"/>
  <c r="AO150" i="62"/>
  <c r="AO151" i="62"/>
  <c r="AO152" i="62"/>
  <c r="AO153" i="62"/>
  <c r="AO154" i="62"/>
  <c r="AO155" i="62"/>
  <c r="AO156" i="62"/>
  <c r="AO157" i="62"/>
  <c r="AO158" i="62"/>
  <c r="AO159" i="62"/>
  <c r="AO160" i="62"/>
  <c r="AO161" i="62"/>
  <c r="AO162" i="62"/>
  <c r="AO163" i="62"/>
  <c r="AO164" i="62"/>
  <c r="AO165" i="62"/>
  <c r="AO166" i="62"/>
  <c r="AO167" i="62"/>
  <c r="AO168" i="62"/>
  <c r="AO169" i="62"/>
  <c r="AO170" i="62"/>
  <c r="AO171" i="62"/>
  <c r="AO172" i="62"/>
  <c r="AO173" i="62"/>
  <c r="AO174" i="62"/>
  <c r="AO175" i="62"/>
  <c r="AO176" i="62"/>
  <c r="AO177" i="62"/>
  <c r="AO178" i="62"/>
  <c r="AO179" i="62"/>
  <c r="AO180" i="62"/>
  <c r="AO181" i="62"/>
  <c r="AO182" i="62"/>
  <c r="AO183" i="62"/>
  <c r="AO184" i="62"/>
  <c r="AO185" i="62"/>
  <c r="AO186" i="62"/>
  <c r="AO187" i="62"/>
  <c r="AO188" i="62"/>
  <c r="AO189" i="62"/>
  <c r="AO190" i="62"/>
  <c r="AO191" i="62"/>
  <c r="AO192" i="62"/>
  <c r="AO193" i="62"/>
  <c r="AO194" i="62"/>
  <c r="AO195" i="62"/>
  <c r="AO196" i="62"/>
  <c r="AO197" i="62"/>
  <c r="AO198" i="62"/>
  <c r="AO199" i="62"/>
  <c r="AO200" i="62"/>
  <c r="AO201" i="62"/>
  <c r="AO202" i="62"/>
  <c r="AO203" i="62"/>
  <c r="AO204" i="62"/>
  <c r="AO205" i="62"/>
  <c r="AO206" i="62"/>
  <c r="AO207" i="62"/>
  <c r="AO208" i="62"/>
  <c r="AO209" i="62"/>
  <c r="AO210" i="62"/>
  <c r="AO211" i="62"/>
  <c r="AO212" i="62"/>
  <c r="AO213" i="62"/>
  <c r="AO214" i="62"/>
  <c r="AO215" i="62"/>
  <c r="AO216" i="62"/>
  <c r="AO217" i="62"/>
  <c r="AO218" i="62"/>
  <c r="AO219" i="62"/>
  <c r="AO220" i="62"/>
  <c r="AO221" i="62"/>
  <c r="AO222" i="62"/>
  <c r="AO223" i="62"/>
  <c r="AO224" i="62"/>
  <c r="AO225" i="62"/>
  <c r="AO226" i="62"/>
  <c r="AO227" i="62"/>
  <c r="AO228" i="62"/>
  <c r="AO229" i="62"/>
  <c r="AO230" i="62"/>
  <c r="AO231" i="62"/>
  <c r="AO232" i="62"/>
  <c r="AO233" i="62"/>
  <c r="AO234" i="62"/>
  <c r="AO235" i="62"/>
  <c r="AO236" i="62"/>
  <c r="AO237" i="62"/>
  <c r="AO238" i="62"/>
  <c r="AO239" i="62"/>
  <c r="AO240" i="62"/>
  <c r="AO241" i="62"/>
  <c r="AO242" i="62"/>
  <c r="AO243" i="62"/>
  <c r="AO244" i="62"/>
  <c r="AO245" i="62"/>
  <c r="AO246" i="62"/>
  <c r="AO247" i="62"/>
  <c r="AO248" i="62"/>
  <c r="AO249" i="62"/>
  <c r="AO250" i="62"/>
  <c r="AO251" i="62"/>
  <c r="AO252" i="62"/>
  <c r="AO253" i="62"/>
  <c r="AO254" i="62"/>
  <c r="AO255" i="62"/>
  <c r="AO256" i="62"/>
  <c r="AO257" i="62"/>
  <c r="AO258" i="62"/>
  <c r="AO259" i="62"/>
  <c r="AO260" i="62"/>
  <c r="AO261" i="62"/>
  <c r="AO262" i="62"/>
  <c r="AO263" i="62"/>
  <c r="AO264" i="62"/>
  <c r="AO265" i="62"/>
  <c r="AO266" i="62"/>
  <c r="AO267" i="62"/>
  <c r="AO268" i="62"/>
  <c r="AO269" i="62"/>
  <c r="AO270" i="62"/>
  <c r="AO271" i="62"/>
  <c r="AO272" i="62"/>
  <c r="AO273" i="62"/>
  <c r="AO274" i="62"/>
  <c r="AO275" i="62"/>
  <c r="AO276" i="62"/>
  <c r="AO277" i="62"/>
  <c r="AO278" i="62"/>
  <c r="AO279" i="62"/>
  <c r="AO280" i="62"/>
  <c r="AO281" i="62"/>
  <c r="AO282" i="62"/>
  <c r="AO283" i="62"/>
  <c r="AO284" i="62"/>
  <c r="AO285" i="62"/>
  <c r="AO286" i="62"/>
  <c r="AO287" i="62"/>
  <c r="AO288" i="62"/>
  <c r="AO289" i="62"/>
  <c r="AO290" i="62"/>
  <c r="AO291" i="62"/>
  <c r="AO292" i="62"/>
  <c r="AO293" i="62"/>
  <c r="AO294" i="62"/>
  <c r="AO295" i="62"/>
  <c r="AO296" i="62"/>
  <c r="AO297" i="62"/>
  <c r="AO298" i="62"/>
  <c r="AO299" i="62"/>
  <c r="AO300" i="62"/>
  <c r="AO301" i="62"/>
  <c r="AO302" i="62"/>
  <c r="AO303" i="62"/>
  <c r="AO304" i="62"/>
  <c r="AO305" i="62"/>
  <c r="AO306" i="62"/>
  <c r="AO307" i="62"/>
  <c r="AO308" i="62"/>
  <c r="AO309" i="62"/>
  <c r="AO310" i="62"/>
  <c r="AO311" i="62"/>
  <c r="AO312" i="62"/>
  <c r="AO313" i="62"/>
  <c r="AO314" i="62"/>
  <c r="AO315" i="62"/>
  <c r="AO316" i="62"/>
  <c r="AO317" i="62"/>
  <c r="AO318" i="62"/>
  <c r="AO319" i="62"/>
  <c r="AO320" i="62"/>
  <c r="AO321" i="62"/>
  <c r="AO322" i="62"/>
  <c r="AO323" i="62"/>
  <c r="AO324" i="62"/>
  <c r="AO325" i="62"/>
  <c r="AO326" i="62"/>
  <c r="AO327" i="62"/>
  <c r="AO328" i="62"/>
  <c r="AO329" i="62"/>
  <c r="AO330" i="62"/>
  <c r="AO331" i="62"/>
  <c r="AO332" i="62"/>
  <c r="AO333" i="62"/>
  <c r="AO334" i="62"/>
  <c r="AO335" i="62"/>
  <c r="AO336" i="62"/>
  <c r="AO337" i="62"/>
  <c r="AO338" i="62"/>
  <c r="AO339" i="62"/>
  <c r="AO340" i="62"/>
  <c r="AO341" i="62"/>
  <c r="AO342" i="62"/>
  <c r="AO343" i="62"/>
  <c r="AO344" i="62"/>
  <c r="AO345" i="62"/>
  <c r="AO346" i="62"/>
  <c r="AO347" i="62"/>
  <c r="AO348" i="62"/>
  <c r="AO349" i="62"/>
  <c r="AO350" i="62"/>
  <c r="AO351" i="62"/>
  <c r="AO352" i="62"/>
  <c r="AO353" i="62"/>
  <c r="AO354" i="62"/>
  <c r="AO355" i="62"/>
  <c r="AO356" i="62"/>
  <c r="AO357" i="62"/>
  <c r="AO358" i="62"/>
  <c r="AO359" i="62"/>
  <c r="AO360" i="62"/>
  <c r="AO361" i="62"/>
  <c r="AO362" i="62"/>
  <c r="AO363" i="62"/>
  <c r="AO364" i="62"/>
  <c r="AO365" i="62"/>
  <c r="AO366" i="62"/>
  <c r="AO367" i="62"/>
  <c r="AO368" i="62"/>
  <c r="AO369" i="62"/>
  <c r="AO370" i="62"/>
  <c r="AO371" i="62"/>
  <c r="AO372" i="62"/>
  <c r="AO373" i="62"/>
  <c r="AO374" i="62"/>
  <c r="AO375" i="62"/>
  <c r="AO376" i="62"/>
  <c r="AO377" i="62"/>
  <c r="AO378" i="62"/>
  <c r="AO379" i="62"/>
  <c r="AO380" i="62"/>
  <c r="AO381" i="62"/>
  <c r="AO382" i="62"/>
  <c r="AO383" i="62"/>
  <c r="AO384" i="62"/>
  <c r="AO385" i="62"/>
  <c r="AO386" i="62"/>
  <c r="AO387" i="62"/>
  <c r="AO388" i="62"/>
  <c r="AO389" i="62"/>
  <c r="AO390" i="62"/>
  <c r="AO391" i="62"/>
  <c r="AO392" i="62"/>
  <c r="AO393" i="62"/>
  <c r="AO394" i="62"/>
  <c r="AO395" i="62"/>
  <c r="AO396" i="62"/>
  <c r="AO397" i="62"/>
  <c r="AO398" i="62"/>
  <c r="AO399" i="62"/>
  <c r="AO400" i="62"/>
  <c r="AO401" i="62"/>
  <c r="AO402" i="62"/>
  <c r="AO403" i="62"/>
  <c r="AO404" i="62"/>
  <c r="AO405" i="62"/>
  <c r="AO406" i="62"/>
  <c r="AO407" i="62"/>
  <c r="AO408" i="62"/>
  <c r="AO409" i="62"/>
  <c r="AO410" i="62"/>
  <c r="AO411" i="62"/>
  <c r="AO412" i="62"/>
  <c r="AO413" i="62"/>
  <c r="AO414" i="62"/>
  <c r="AO415" i="62"/>
  <c r="AO416" i="62"/>
  <c r="AO417" i="62"/>
  <c r="AO418" i="62"/>
  <c r="AO419" i="62"/>
  <c r="AO420" i="62"/>
  <c r="AO421" i="62"/>
  <c r="AO422" i="62"/>
  <c r="AO423" i="62"/>
  <c r="AO424" i="62"/>
  <c r="AO425" i="62"/>
  <c r="AO426" i="62"/>
  <c r="AO427" i="62"/>
  <c r="AO428" i="62"/>
  <c r="AO429" i="62"/>
  <c r="AO430" i="62"/>
  <c r="AO431" i="62"/>
  <c r="AO432" i="62"/>
  <c r="AO433" i="62"/>
  <c r="AO434" i="62"/>
  <c r="AO435" i="62"/>
  <c r="AO436" i="62"/>
  <c r="AO437" i="62"/>
  <c r="AO438" i="62"/>
  <c r="AO439" i="62"/>
  <c r="AO440" i="62"/>
  <c r="AO441" i="62"/>
  <c r="AO442" i="62"/>
  <c r="AO443" i="62"/>
  <c r="AO444" i="62"/>
  <c r="AO445" i="62"/>
  <c r="AO446" i="62"/>
  <c r="AO447" i="62"/>
  <c r="AO448" i="62"/>
  <c r="AO449" i="62"/>
  <c r="AO450" i="62"/>
  <c r="AO451" i="62"/>
  <c r="AO452" i="62"/>
  <c r="AO453" i="62"/>
  <c r="AO454" i="62"/>
  <c r="AO455" i="62"/>
  <c r="AO456" i="62"/>
  <c r="AO457" i="62"/>
  <c r="AO458" i="62"/>
  <c r="AO459" i="62"/>
  <c r="AO460" i="62"/>
  <c r="AO461" i="62"/>
  <c r="AO462" i="62"/>
  <c r="AO463" i="62"/>
  <c r="AO464" i="62"/>
  <c r="AO465" i="62"/>
  <c r="AO466" i="62"/>
  <c r="AO467" i="62"/>
  <c r="AO468" i="62"/>
  <c r="AO469" i="62"/>
  <c r="AO470" i="62"/>
  <c r="AO471" i="62"/>
  <c r="AO472" i="62"/>
  <c r="AO473" i="62"/>
  <c r="AO474" i="62"/>
  <c r="AO475" i="62"/>
  <c r="AO476" i="62"/>
  <c r="AO477" i="62"/>
  <c r="AO478" i="62"/>
  <c r="AO479" i="62"/>
  <c r="AO480" i="62"/>
  <c r="AO481" i="62"/>
  <c r="AO482" i="62"/>
  <c r="AO483" i="62"/>
  <c r="AO484" i="62"/>
  <c r="AO485" i="62"/>
  <c r="AO486" i="62"/>
  <c r="AO487" i="62"/>
  <c r="AO488" i="62"/>
  <c r="AO489" i="62"/>
  <c r="AO490" i="62"/>
  <c r="AO491" i="62"/>
  <c r="AO492" i="62"/>
  <c r="AO493" i="62"/>
  <c r="AO494" i="62"/>
  <c r="AO495" i="62"/>
  <c r="AO496" i="62"/>
  <c r="AO497" i="62"/>
  <c r="AO498" i="62"/>
  <c r="AO499" i="62"/>
  <c r="AO500" i="62"/>
  <c r="AO501" i="62"/>
  <c r="AO502" i="62"/>
  <c r="AO503" i="62"/>
  <c r="AO504" i="62"/>
  <c r="AO505" i="62"/>
  <c r="AO506" i="62"/>
  <c r="AO507" i="62"/>
  <c r="AO508" i="62"/>
  <c r="AO509" i="62"/>
  <c r="AO510" i="62"/>
  <c r="AO511" i="62"/>
  <c r="AO512" i="62"/>
  <c r="AO513" i="62"/>
  <c r="AO514" i="62"/>
  <c r="AO515" i="62"/>
  <c r="AO516" i="62"/>
  <c r="AO517" i="62"/>
  <c r="AO518" i="62"/>
  <c r="AO519" i="62"/>
  <c r="AO520" i="62"/>
  <c r="AO521" i="62"/>
  <c r="AO522" i="62"/>
  <c r="AO523" i="62"/>
  <c r="AO524" i="62"/>
  <c r="AO525" i="62"/>
  <c r="AO526" i="62"/>
  <c r="AO527" i="62"/>
  <c r="AO528" i="62"/>
  <c r="AO529" i="62"/>
  <c r="AO530" i="62"/>
  <c r="AO531" i="62"/>
  <c r="AO532" i="62"/>
  <c r="AO533" i="62"/>
  <c r="AO534" i="62"/>
  <c r="AO535" i="62"/>
  <c r="AO536" i="62"/>
  <c r="AO537" i="62"/>
  <c r="AO538" i="62"/>
  <c r="AO539" i="62"/>
  <c r="AO540" i="62"/>
  <c r="AO541" i="62"/>
  <c r="AO542" i="62"/>
  <c r="AO543" i="62"/>
  <c r="AO544" i="62"/>
  <c r="AO545" i="62"/>
  <c r="AO546" i="62"/>
  <c r="AO547" i="62"/>
  <c r="AO548" i="62"/>
  <c r="AO549" i="62"/>
  <c r="AO550" i="62"/>
  <c r="AO551" i="62"/>
  <c r="AO552" i="62"/>
  <c r="AO553" i="62"/>
  <c r="AO554" i="62"/>
  <c r="AO555" i="62"/>
  <c r="AO556" i="62"/>
  <c r="AO557" i="62"/>
  <c r="AO558" i="62"/>
  <c r="AO559" i="62"/>
  <c r="AO560" i="62"/>
  <c r="AO561" i="62"/>
  <c r="AO562" i="62"/>
  <c r="AO563" i="62"/>
  <c r="AO564" i="62"/>
  <c r="AO565" i="62"/>
  <c r="AO566" i="62"/>
  <c r="AO567" i="62"/>
  <c r="AO568" i="62"/>
  <c r="AO569" i="62"/>
  <c r="AO570" i="62"/>
  <c r="AO571" i="62"/>
  <c r="AO572" i="62"/>
  <c r="AO573" i="62"/>
  <c r="AO574" i="62"/>
  <c r="AO575" i="62"/>
  <c r="AO576" i="62"/>
  <c r="AO577" i="62"/>
  <c r="AO578" i="62"/>
  <c r="AO579" i="62"/>
  <c r="AO580" i="62"/>
  <c r="AO581" i="62"/>
  <c r="AO582" i="62"/>
  <c r="AO583" i="62"/>
  <c r="AO584" i="62"/>
  <c r="AO585" i="62"/>
  <c r="AO586" i="62"/>
  <c r="AO587" i="62"/>
  <c r="AO588" i="62"/>
  <c r="AO589" i="62"/>
  <c r="AO590" i="62"/>
  <c r="AO591" i="62"/>
  <c r="AO592" i="62"/>
  <c r="AO593" i="62"/>
  <c r="AO594" i="62"/>
  <c r="AO595" i="62"/>
  <c r="AO596" i="62"/>
  <c r="AO597" i="62"/>
  <c r="AO598" i="62"/>
  <c r="AO599" i="62"/>
  <c r="AO600" i="62"/>
  <c r="AO601" i="62"/>
  <c r="AO602" i="62"/>
  <c r="AO603" i="62"/>
  <c r="AO604" i="62"/>
  <c r="AO605" i="62"/>
  <c r="AO606" i="62"/>
  <c r="AO607" i="62"/>
  <c r="AO608" i="62"/>
  <c r="AO609" i="62"/>
  <c r="AO610" i="62"/>
  <c r="AO611" i="62"/>
  <c r="AO612" i="62"/>
  <c r="AO613" i="62"/>
  <c r="AO614" i="62"/>
  <c r="AO615" i="62"/>
  <c r="AO616" i="62"/>
  <c r="AO617" i="62"/>
  <c r="AO618" i="62"/>
  <c r="AO619" i="62"/>
  <c r="AO620" i="62"/>
  <c r="AO621" i="62"/>
  <c r="AO622" i="62"/>
  <c r="AO623" i="62"/>
  <c r="AO624" i="62"/>
  <c r="AO625" i="62"/>
  <c r="AO626" i="62"/>
  <c r="AO627" i="62"/>
  <c r="AO628" i="62"/>
  <c r="AO629" i="62"/>
  <c r="AO630" i="62"/>
  <c r="AO631" i="62"/>
  <c r="AO632" i="62"/>
  <c r="AO633" i="62"/>
  <c r="AO634" i="62"/>
  <c r="AO635" i="62"/>
  <c r="AO636" i="62"/>
  <c r="AO637" i="62"/>
  <c r="AO638" i="62"/>
  <c r="AO639" i="62"/>
  <c r="AO640" i="62"/>
  <c r="AO641" i="62"/>
  <c r="AO642" i="62"/>
  <c r="AO643" i="62"/>
  <c r="AO644" i="62"/>
  <c r="AO645" i="62"/>
  <c r="AO646" i="62"/>
  <c r="AO647" i="62"/>
  <c r="AO648" i="62"/>
  <c r="AO649" i="62"/>
  <c r="AO650" i="62"/>
  <c r="AO651" i="62"/>
  <c r="AO652" i="62"/>
  <c r="AO653" i="62"/>
  <c r="AO654" i="62"/>
  <c r="AO655" i="62"/>
  <c r="AO656" i="62"/>
  <c r="AO657" i="62"/>
  <c r="AO658" i="62"/>
  <c r="AO659" i="62"/>
  <c r="AO660" i="62"/>
  <c r="AO661" i="62"/>
  <c r="AO662" i="62"/>
  <c r="AO663" i="62"/>
  <c r="AO664" i="62"/>
  <c r="AO665" i="62"/>
  <c r="AO666" i="62"/>
  <c r="AO667" i="62"/>
  <c r="AO668" i="62"/>
  <c r="AO669" i="62"/>
  <c r="AO670" i="62"/>
  <c r="AO671" i="62"/>
  <c r="AO672" i="62"/>
  <c r="AQ633" i="62" l="1"/>
  <c r="AS633" i="62" s="1"/>
  <c r="AQ625" i="62"/>
  <c r="AS625" i="62" s="1"/>
  <c r="AQ617" i="62"/>
  <c r="AS617" i="62" s="1"/>
  <c r="AQ601" i="62"/>
  <c r="AS601" i="62" s="1"/>
  <c r="AQ593" i="62"/>
  <c r="AS593" i="62" s="1"/>
  <c r="AQ577" i="62"/>
  <c r="AS577" i="62" s="1"/>
  <c r="AQ569" i="62"/>
  <c r="AS569" i="62" s="1"/>
  <c r="AQ561" i="62"/>
  <c r="AS561" i="62" s="1"/>
  <c r="AQ529" i="62"/>
  <c r="AS529" i="62" s="1"/>
  <c r="AQ513" i="62"/>
  <c r="AS513" i="62" s="1"/>
  <c r="AQ186" i="62"/>
  <c r="AS186" i="62" s="1"/>
  <c r="AQ170" i="62"/>
  <c r="AS170" i="62" s="1"/>
  <c r="AQ607" i="62"/>
  <c r="AS607" i="62" s="1"/>
  <c r="AQ537" i="62"/>
  <c r="AS537" i="62" s="1"/>
  <c r="AQ338" i="62"/>
  <c r="AS338" i="62" s="1"/>
  <c r="AQ615" i="62"/>
  <c r="AS615" i="62" s="1"/>
  <c r="AQ583" i="62"/>
  <c r="AS583" i="62" s="1"/>
  <c r="AS447" i="62"/>
  <c r="AS87" i="62"/>
  <c r="AS342" i="62"/>
  <c r="AS310" i="62"/>
  <c r="AS63" i="62"/>
  <c r="AQ426" i="62"/>
  <c r="AS426" i="62" s="1"/>
  <c r="AQ459" i="62"/>
  <c r="AS459" i="62" s="1"/>
  <c r="AS90" i="62"/>
  <c r="AS66" i="62"/>
  <c r="AS50" i="62"/>
  <c r="AS169" i="62"/>
  <c r="AS129" i="62"/>
  <c r="AS121" i="62"/>
  <c r="AS41" i="62"/>
  <c r="AS481" i="62"/>
  <c r="AP590" i="62"/>
  <c r="AQ590" i="62" s="1"/>
  <c r="AS590" i="62" s="1"/>
  <c r="AP574" i="62"/>
  <c r="AS608" i="62"/>
  <c r="AS575" i="62"/>
  <c r="AS543" i="62"/>
  <c r="AS463" i="62"/>
  <c r="AS455" i="62"/>
  <c r="AS98" i="62"/>
  <c r="AS82" i="62"/>
  <c r="AS58" i="62"/>
  <c r="AS42" i="62"/>
  <c r="AS34" i="62"/>
  <c r="AS465" i="62"/>
  <c r="AS449" i="62"/>
  <c r="AS433" i="62"/>
  <c r="AS425" i="62"/>
  <c r="AS417" i="62"/>
  <c r="AS409" i="62"/>
  <c r="AS401" i="62"/>
  <c r="AS393" i="62"/>
  <c r="AS377" i="62"/>
  <c r="AS361" i="62"/>
  <c r="AS345" i="62"/>
  <c r="AS337" i="62"/>
  <c r="AS313" i="62"/>
  <c r="AS305" i="62"/>
  <c r="AS281" i="62"/>
  <c r="AS209" i="62"/>
  <c r="AS201" i="62"/>
  <c r="AS193" i="62"/>
  <c r="AS185" i="62"/>
  <c r="AS177" i="62"/>
  <c r="AS161" i="62"/>
  <c r="AS153" i="62"/>
  <c r="AS145" i="62"/>
  <c r="AS137" i="62"/>
  <c r="AS97" i="62"/>
  <c r="AS89" i="62"/>
  <c r="AS81" i="62"/>
  <c r="AS65" i="62"/>
  <c r="AS57" i="62"/>
  <c r="AS49" i="62"/>
  <c r="AS33" i="62"/>
  <c r="AS584" i="62"/>
  <c r="AS544" i="62"/>
  <c r="AS464" i="62"/>
  <c r="AS456" i="62"/>
  <c r="AS448" i="62"/>
  <c r="AS432" i="62"/>
  <c r="AS408" i="62"/>
  <c r="AS400" i="62"/>
  <c r="AS392" i="62"/>
  <c r="AS376" i="62"/>
  <c r="AS336" i="62"/>
  <c r="AS312" i="62"/>
  <c r="AS304" i="62"/>
  <c r="AS280" i="62"/>
  <c r="AS208" i="62"/>
  <c r="AS200" i="62"/>
  <c r="AS192" i="62"/>
  <c r="AS184" i="62"/>
  <c r="AS176" i="62"/>
  <c r="AS168" i="62"/>
  <c r="AS152" i="62"/>
  <c r="AS144" i="62"/>
  <c r="AS136" i="62"/>
  <c r="AS128" i="62"/>
  <c r="AS120" i="62"/>
  <c r="AS88" i="62"/>
  <c r="AS80" i="62"/>
  <c r="AS64" i="62"/>
  <c r="AS56" i="62"/>
  <c r="AS415" i="62"/>
  <c r="AS407" i="62"/>
  <c r="AS391" i="62"/>
  <c r="AS375" i="62"/>
  <c r="AS359" i="62"/>
  <c r="AS335" i="62"/>
  <c r="AS311" i="62"/>
  <c r="AS303" i="62"/>
  <c r="AS279" i="62"/>
  <c r="AS207" i="62"/>
  <c r="AS199" i="62"/>
  <c r="AS191" i="62"/>
  <c r="AS183" i="62"/>
  <c r="AS175" i="62"/>
  <c r="AS167" i="62"/>
  <c r="AS151" i="62"/>
  <c r="AS143" i="62"/>
  <c r="AS135" i="62"/>
  <c r="AS127" i="62"/>
  <c r="AS119" i="62"/>
  <c r="AS79" i="62"/>
  <c r="AS55" i="62"/>
  <c r="AP398" i="62"/>
  <c r="AQ398" i="62"/>
  <c r="AS398" i="62" s="1"/>
  <c r="AP558" i="62"/>
  <c r="AQ558" i="62" s="1"/>
  <c r="AS558" i="62" s="1"/>
  <c r="AP534" i="62"/>
  <c r="AQ534" i="62" s="1"/>
  <c r="AS534" i="62" s="1"/>
  <c r="AP478" i="62"/>
  <c r="AQ478" i="62" s="1"/>
  <c r="AS478" i="62" s="1"/>
  <c r="AQ454" i="62"/>
  <c r="AS454" i="62" s="1"/>
  <c r="AP454" i="62"/>
  <c r="AP414" i="62"/>
  <c r="AQ358" i="62"/>
  <c r="AS358" i="62" s="1"/>
  <c r="AP358" i="62"/>
  <c r="AQ302" i="62"/>
  <c r="AS302" i="62" s="1"/>
  <c r="AP302" i="62"/>
  <c r="AQ262" i="62"/>
  <c r="AS262" i="62" s="1"/>
  <c r="AP262" i="62"/>
  <c r="AQ190" i="62"/>
  <c r="AS190" i="62" s="1"/>
  <c r="AQ70" i="62"/>
  <c r="AS70" i="62" s="1"/>
  <c r="AP70" i="62"/>
  <c r="AQ30" i="62"/>
  <c r="AS30" i="62" s="1"/>
  <c r="AP30" i="62"/>
  <c r="AQ654" i="62"/>
  <c r="AR654" i="62" s="1"/>
  <c r="AS654" i="62" s="1"/>
  <c r="AP654" i="62"/>
  <c r="AP638" i="62"/>
  <c r="AQ638" i="62" s="1"/>
  <c r="AS638" i="62" s="1"/>
  <c r="AQ614" i="62"/>
  <c r="AS614" i="62" s="1"/>
  <c r="AP566" i="62"/>
  <c r="AQ390" i="62"/>
  <c r="AS390" i="62" s="1"/>
  <c r="AP390" i="62"/>
  <c r="AP350" i="62"/>
  <c r="AQ350" i="62" s="1"/>
  <c r="AS350" i="62" s="1"/>
  <c r="AP326" i="62"/>
  <c r="AQ326" i="62" s="1"/>
  <c r="AS326" i="62" s="1"/>
  <c r="AP294" i="62"/>
  <c r="AP246" i="62"/>
  <c r="AP214" i="62"/>
  <c r="AQ214" i="62" s="1"/>
  <c r="AS214" i="62" s="1"/>
  <c r="AQ174" i="62"/>
  <c r="AS174" i="62" s="1"/>
  <c r="AP174" i="62"/>
  <c r="AP142" i="62"/>
  <c r="AP118" i="62"/>
  <c r="AQ118" i="62" s="1"/>
  <c r="AS118" i="62" s="1"/>
  <c r="AP86" i="62"/>
  <c r="AP54" i="62"/>
  <c r="AP38" i="62"/>
  <c r="AP510" i="62"/>
  <c r="AQ510" i="62" s="1"/>
  <c r="AS510" i="62" s="1"/>
  <c r="AQ670" i="62"/>
  <c r="AR670" i="62" s="1"/>
  <c r="AS670" i="62" s="1"/>
  <c r="AP646" i="62"/>
  <c r="AQ646" i="62" s="1"/>
  <c r="AR646" i="62" s="1"/>
  <c r="AS646" i="62" s="1"/>
  <c r="AP622" i="62"/>
  <c r="AQ622" i="62" s="1"/>
  <c r="AS622" i="62" s="1"/>
  <c r="AP598" i="62"/>
  <c r="AQ598" i="62" s="1"/>
  <c r="AS598" i="62" s="1"/>
  <c r="AP582" i="62"/>
  <c r="AP550" i="62"/>
  <c r="AQ550" i="62" s="1"/>
  <c r="AS550" i="62" s="1"/>
  <c r="AQ542" i="62"/>
  <c r="AS542" i="62" s="1"/>
  <c r="AP542" i="62"/>
  <c r="AP526" i="62"/>
  <c r="AP518" i="62"/>
  <c r="AQ518" i="62" s="1"/>
  <c r="AS518" i="62" s="1"/>
  <c r="AP502" i="62"/>
  <c r="AP486" i="62"/>
  <c r="AQ486" i="62" s="1"/>
  <c r="AS486" i="62" s="1"/>
  <c r="AP470" i="62"/>
  <c r="AQ446" i="62"/>
  <c r="AS446" i="62" s="1"/>
  <c r="AP422" i="62"/>
  <c r="AQ422" i="62" s="1"/>
  <c r="AS422" i="62" s="1"/>
  <c r="AQ382" i="62"/>
  <c r="AS382" i="62" s="1"/>
  <c r="AP342" i="62"/>
  <c r="AP310" i="62"/>
  <c r="AP278" i="62"/>
  <c r="AQ238" i="62"/>
  <c r="AS238" i="62" s="1"/>
  <c r="AP238" i="62"/>
  <c r="AP206" i="62"/>
  <c r="AQ158" i="62"/>
  <c r="AS158" i="62" s="1"/>
  <c r="AP158" i="62"/>
  <c r="AP78" i="62"/>
  <c r="AP446" i="62"/>
  <c r="AP462" i="62"/>
  <c r="AQ462" i="62"/>
  <c r="AS462" i="62" s="1"/>
  <c r="AP438" i="62"/>
  <c r="AQ438" i="62" s="1"/>
  <c r="AS438" i="62" s="1"/>
  <c r="AP406" i="62"/>
  <c r="AQ406" i="62"/>
  <c r="AS406" i="62" s="1"/>
  <c r="AP374" i="62"/>
  <c r="AQ318" i="62"/>
  <c r="AS318" i="62" s="1"/>
  <c r="AP270" i="62"/>
  <c r="AQ270" i="62" s="1"/>
  <c r="AS270" i="62" s="1"/>
  <c r="AP230" i="62"/>
  <c r="AQ198" i="62"/>
  <c r="AS198" i="62" s="1"/>
  <c r="AP198" i="62"/>
  <c r="AQ166" i="62"/>
  <c r="AS166" i="62" s="1"/>
  <c r="AP166" i="62"/>
  <c r="AP134" i="62"/>
  <c r="AQ134" i="62" s="1"/>
  <c r="AS134" i="62" s="1"/>
  <c r="AP102" i="62"/>
  <c r="AQ62" i="62"/>
  <c r="AS62" i="62" s="1"/>
  <c r="AP22" i="62"/>
  <c r="AP126" i="62"/>
  <c r="AQ126" i="62" s="1"/>
  <c r="AS126" i="62" s="1"/>
  <c r="AP382" i="62"/>
  <c r="AP630" i="62"/>
  <c r="AQ630" i="62" s="1"/>
  <c r="AS630" i="62" s="1"/>
  <c r="AQ606" i="62"/>
  <c r="AS606" i="62" s="1"/>
  <c r="AQ574" i="62"/>
  <c r="AS574" i="62" s="1"/>
  <c r="AQ334" i="62"/>
  <c r="AS334" i="62" s="1"/>
  <c r="AP334" i="62"/>
  <c r="AQ286" i="62"/>
  <c r="AS286" i="62" s="1"/>
  <c r="AP286" i="62"/>
  <c r="AQ254" i="62"/>
  <c r="AS254" i="62" s="1"/>
  <c r="AP222" i="62"/>
  <c r="AQ222" i="62" s="1"/>
  <c r="AS222" i="62" s="1"/>
  <c r="AP182" i="62"/>
  <c r="AQ182" i="62" s="1"/>
  <c r="AS182" i="62" s="1"/>
  <c r="AP150" i="62"/>
  <c r="AP110" i="62"/>
  <c r="AQ94" i="62"/>
  <c r="AS94" i="62" s="1"/>
  <c r="AP94" i="62"/>
  <c r="AQ46" i="62"/>
  <c r="AS46" i="62" s="1"/>
  <c r="AP46" i="62"/>
  <c r="AP14" i="62"/>
  <c r="AP318" i="62"/>
  <c r="AP254" i="62"/>
  <c r="AQ585" i="62"/>
  <c r="AS585" i="62" s="1"/>
  <c r="AP671" i="62"/>
  <c r="AR671" i="62"/>
  <c r="AS671" i="62" s="1"/>
  <c r="AP663" i="62"/>
  <c r="AQ663" i="62" s="1"/>
  <c r="AR663" i="62" s="1"/>
  <c r="AS663" i="62" s="1"/>
  <c r="AP655" i="62"/>
  <c r="AP647" i="62"/>
  <c r="AP567" i="62"/>
  <c r="AQ567" i="62" s="1"/>
  <c r="AS567" i="62" s="1"/>
  <c r="AP559" i="62"/>
  <c r="AQ559" i="62" s="1"/>
  <c r="AS559" i="62" s="1"/>
  <c r="AP551" i="62"/>
  <c r="AQ551" i="62" s="1"/>
  <c r="AS551" i="62" s="1"/>
  <c r="AP543" i="62"/>
  <c r="AP535" i="62"/>
  <c r="AQ535" i="62" s="1"/>
  <c r="AS535" i="62" s="1"/>
  <c r="AP527" i="62"/>
  <c r="AQ527" i="62" s="1"/>
  <c r="AS527" i="62" s="1"/>
  <c r="AP519" i="62"/>
  <c r="AQ519" i="62" s="1"/>
  <c r="AS519" i="62" s="1"/>
  <c r="AP511" i="62"/>
  <c r="AQ511" i="62" s="1"/>
  <c r="AS511" i="62" s="1"/>
  <c r="AP503" i="62"/>
  <c r="AQ503" i="62" s="1"/>
  <c r="AS503" i="62" s="1"/>
  <c r="AP495" i="62"/>
  <c r="AQ495" i="62" s="1"/>
  <c r="AS495" i="62" s="1"/>
  <c r="AP487" i="62"/>
  <c r="AQ487" i="62" s="1"/>
  <c r="AS487" i="62" s="1"/>
  <c r="AP479" i="62"/>
  <c r="AQ479" i="62" s="1"/>
  <c r="AS479" i="62" s="1"/>
  <c r="AP471" i="62"/>
  <c r="AQ471" i="62" s="1"/>
  <c r="AS471" i="62" s="1"/>
  <c r="AP463" i="62"/>
  <c r="AP455" i="62"/>
  <c r="AP447" i="62"/>
  <c r="AP439" i="62"/>
  <c r="AQ439" i="62" s="1"/>
  <c r="AS439" i="62" s="1"/>
  <c r="AP431" i="62"/>
  <c r="AP423" i="62"/>
  <c r="AQ423" i="62" s="1"/>
  <c r="AS423" i="62" s="1"/>
  <c r="AP415" i="62"/>
  <c r="AP407" i="62"/>
  <c r="AP399" i="62"/>
  <c r="AP391" i="62"/>
  <c r="AP383" i="62"/>
  <c r="AQ383" i="62" s="1"/>
  <c r="AS383" i="62" s="1"/>
  <c r="AP375" i="62"/>
  <c r="AP367" i="62"/>
  <c r="AQ367" i="62" s="1"/>
  <c r="AS367" i="62" s="1"/>
  <c r="AP359" i="62"/>
  <c r="AP351" i="62"/>
  <c r="AQ351" i="62" s="1"/>
  <c r="AS351" i="62" s="1"/>
  <c r="AP343" i="62"/>
  <c r="AQ343" i="62" s="1"/>
  <c r="AS343" i="62" s="1"/>
  <c r="AP335" i="62"/>
  <c r="AP327" i="62"/>
  <c r="AQ327" i="62" s="1"/>
  <c r="AS327" i="62" s="1"/>
  <c r="AP319" i="62"/>
  <c r="AQ319" i="62" s="1"/>
  <c r="AS319" i="62" s="1"/>
  <c r="AP311" i="62"/>
  <c r="AP303" i="62"/>
  <c r="AP295" i="62"/>
  <c r="AQ295" i="62" s="1"/>
  <c r="AS295" i="62" s="1"/>
  <c r="AP287" i="62"/>
  <c r="AQ287" i="62" s="1"/>
  <c r="AS287" i="62" s="1"/>
  <c r="AP279" i="62"/>
  <c r="AP271" i="62"/>
  <c r="AQ271" i="62" s="1"/>
  <c r="AS271" i="62" s="1"/>
  <c r="AP263" i="62"/>
  <c r="AQ263" i="62" s="1"/>
  <c r="AS263" i="62" s="1"/>
  <c r="AP255" i="62"/>
  <c r="AQ255" i="62" s="1"/>
  <c r="AS255" i="62" s="1"/>
  <c r="AP247" i="62"/>
  <c r="AQ247" i="62" s="1"/>
  <c r="AS247" i="62" s="1"/>
  <c r="AP239" i="62"/>
  <c r="AQ239" i="62" s="1"/>
  <c r="AS239" i="62" s="1"/>
  <c r="AP231" i="62"/>
  <c r="AQ231" i="62" s="1"/>
  <c r="AS231" i="62" s="1"/>
  <c r="AP223" i="62"/>
  <c r="AQ223" i="62" s="1"/>
  <c r="AS223" i="62" s="1"/>
  <c r="AP215" i="62"/>
  <c r="AQ215" i="62" s="1"/>
  <c r="AS215" i="62" s="1"/>
  <c r="AP207" i="62"/>
  <c r="AP199" i="62"/>
  <c r="AP191" i="62"/>
  <c r="AP183" i="62"/>
  <c r="AP175" i="62"/>
  <c r="AP167" i="62"/>
  <c r="AP159" i="62"/>
  <c r="AQ159" i="62" s="1"/>
  <c r="AS159" i="62" s="1"/>
  <c r="AP151" i="62"/>
  <c r="AP143" i="62"/>
  <c r="AP135" i="62"/>
  <c r="AP127" i="62"/>
  <c r="AP119" i="62"/>
  <c r="AP111" i="62"/>
  <c r="AQ111" i="62" s="1"/>
  <c r="AS111" i="62" s="1"/>
  <c r="AP103" i="62"/>
  <c r="AQ103" i="62" s="1"/>
  <c r="AS103" i="62" s="1"/>
  <c r="AP95" i="62"/>
  <c r="AQ95" i="62" s="1"/>
  <c r="AS95" i="62" s="1"/>
  <c r="AP87" i="62"/>
  <c r="AP79" i="62"/>
  <c r="AP71" i="62"/>
  <c r="AQ71" i="62" s="1"/>
  <c r="AS71" i="62" s="1"/>
  <c r="AP63" i="62"/>
  <c r="AP55" i="62"/>
  <c r="AP47" i="62"/>
  <c r="AQ47" i="62" s="1"/>
  <c r="AS47" i="62" s="1"/>
  <c r="AP39" i="62"/>
  <c r="AQ39" i="62" s="1"/>
  <c r="AS39" i="62" s="1"/>
  <c r="AP31" i="62"/>
  <c r="AQ31" i="62" s="1"/>
  <c r="AS31" i="62" s="1"/>
  <c r="AP23" i="62"/>
  <c r="AQ23" i="62" s="1"/>
  <c r="AS23" i="62" s="1"/>
  <c r="AP15" i="62"/>
  <c r="AQ15" i="62" s="1"/>
  <c r="AS15" i="62" s="1"/>
  <c r="AP7" i="62"/>
  <c r="AQ7" i="62" s="1"/>
  <c r="AS7" i="62" s="1"/>
  <c r="AP668" i="62"/>
  <c r="AP660" i="62"/>
  <c r="AP652" i="62"/>
  <c r="AP644" i="62"/>
  <c r="AP636" i="62"/>
  <c r="AQ636" i="62" s="1"/>
  <c r="AS636" i="62" s="1"/>
  <c r="AP628" i="62"/>
  <c r="AP620" i="62"/>
  <c r="AQ620" i="62" s="1"/>
  <c r="AS620" i="62" s="1"/>
  <c r="AP612" i="62"/>
  <c r="AP604" i="62"/>
  <c r="AP596" i="62"/>
  <c r="AP588" i="62"/>
  <c r="AP580" i="62"/>
  <c r="AP572" i="62"/>
  <c r="AP564" i="62"/>
  <c r="AP556" i="62"/>
  <c r="AP548" i="62"/>
  <c r="AQ548" i="62" s="1"/>
  <c r="AS548" i="62" s="1"/>
  <c r="AP540" i="62"/>
  <c r="AP532" i="62"/>
  <c r="AP524" i="62"/>
  <c r="AP516" i="62"/>
  <c r="AP508" i="62"/>
  <c r="AQ508" i="62" s="1"/>
  <c r="AS508" i="62" s="1"/>
  <c r="AP500" i="62"/>
  <c r="AP492" i="62"/>
  <c r="AP484" i="62"/>
  <c r="AP476" i="62"/>
  <c r="AQ476" i="62" s="1"/>
  <c r="AS476" i="62" s="1"/>
  <c r="AP468" i="62"/>
  <c r="AP460" i="62"/>
  <c r="AP452" i="62"/>
  <c r="AP444" i="62"/>
  <c r="AP436" i="62"/>
  <c r="AP428" i="62"/>
  <c r="AP420" i="62"/>
  <c r="AQ420" i="62" s="1"/>
  <c r="AS420" i="62" s="1"/>
  <c r="AP412" i="62"/>
  <c r="AQ412" i="62" s="1"/>
  <c r="AS412" i="62" s="1"/>
  <c r="AP404" i="62"/>
  <c r="AP396" i="62"/>
  <c r="AP388" i="62"/>
  <c r="AP380" i="62"/>
  <c r="AQ380" i="62" s="1"/>
  <c r="AS380" i="62" s="1"/>
  <c r="AP372" i="62"/>
  <c r="AP364" i="62"/>
  <c r="AP356" i="62"/>
  <c r="AQ356" i="62" s="1"/>
  <c r="AS356" i="62" s="1"/>
  <c r="AP348" i="62"/>
  <c r="AQ348" i="62" s="1"/>
  <c r="AS348" i="62" s="1"/>
  <c r="AP340" i="62"/>
  <c r="AP332" i="62"/>
  <c r="AP324" i="62"/>
  <c r="AP316" i="62"/>
  <c r="AP308" i="62"/>
  <c r="AP300" i="62"/>
  <c r="AQ300" i="62" s="1"/>
  <c r="AS300" i="62" s="1"/>
  <c r="AP292" i="62"/>
  <c r="AQ292" i="62" s="1"/>
  <c r="AS292" i="62" s="1"/>
  <c r="AP284" i="62"/>
  <c r="AP276" i="62"/>
  <c r="AP268" i="62"/>
  <c r="AP260" i="62"/>
  <c r="AP252" i="62"/>
  <c r="AP244" i="62"/>
  <c r="AP236" i="62"/>
  <c r="AP228" i="62"/>
  <c r="AP220" i="62"/>
  <c r="AQ220" i="62" s="1"/>
  <c r="AS220" i="62" s="1"/>
  <c r="AP212" i="62"/>
  <c r="AP204" i="62"/>
  <c r="AP196" i="62"/>
  <c r="AP188" i="62"/>
  <c r="AQ188" i="62" s="1"/>
  <c r="AS188" i="62" s="1"/>
  <c r="AP180" i="62"/>
  <c r="AP172" i="62"/>
  <c r="AP164" i="62"/>
  <c r="AP156" i="62"/>
  <c r="AQ156" i="62" s="1"/>
  <c r="AS156" i="62" s="1"/>
  <c r="AP148" i="62"/>
  <c r="AP140" i="62"/>
  <c r="AP132" i="62"/>
  <c r="AP124" i="62"/>
  <c r="AQ124" i="62" s="1"/>
  <c r="AS124" i="62" s="1"/>
  <c r="AP116" i="62"/>
  <c r="AP108" i="62"/>
  <c r="AP100" i="62"/>
  <c r="AP92" i="62"/>
  <c r="AP84" i="62"/>
  <c r="AP76" i="62"/>
  <c r="AP68" i="62"/>
  <c r="AP60" i="62"/>
  <c r="AP52" i="62"/>
  <c r="AP44" i="62"/>
  <c r="AP36" i="62"/>
  <c r="AP28" i="62"/>
  <c r="AP20" i="62"/>
  <c r="AP12" i="62"/>
  <c r="AP667" i="62"/>
  <c r="AP659" i="62"/>
  <c r="AQ659" i="62" s="1"/>
  <c r="AR659" i="62" s="1"/>
  <c r="AS659" i="62" s="1"/>
  <c r="AP651" i="62"/>
  <c r="AP643" i="62"/>
  <c r="AQ643" i="62" s="1"/>
  <c r="AR643" i="62" s="1"/>
  <c r="AP666" i="62"/>
  <c r="AP658" i="62"/>
  <c r="AP650" i="62"/>
  <c r="AP130" i="62"/>
  <c r="AP122" i="62"/>
  <c r="AP114" i="62"/>
  <c r="AQ114" i="62" s="1"/>
  <c r="AS114" i="62" s="1"/>
  <c r="AP106" i="62"/>
  <c r="AP98" i="62"/>
  <c r="AP90" i="62"/>
  <c r="AP82" i="62"/>
  <c r="AP74" i="62"/>
  <c r="AP66" i="62"/>
  <c r="AP58" i="62"/>
  <c r="AP50" i="62"/>
  <c r="AP42" i="62"/>
  <c r="AP34" i="62"/>
  <c r="AP18" i="62"/>
  <c r="AQ18" i="62" s="1"/>
  <c r="AS18" i="62" s="1"/>
  <c r="AP10" i="62"/>
  <c r="AQ10" i="62" s="1"/>
  <c r="AS10" i="62" s="1"/>
  <c r="AP665" i="62"/>
  <c r="AP657" i="62"/>
  <c r="AP649" i="62"/>
  <c r="AP505" i="62"/>
  <c r="AQ505" i="62" s="1"/>
  <c r="AS505" i="62" s="1"/>
  <c r="AP497" i="62"/>
  <c r="AQ497" i="62" s="1"/>
  <c r="AS497" i="62" s="1"/>
  <c r="AP489" i="62"/>
  <c r="AQ489" i="62" s="1"/>
  <c r="AS489" i="62" s="1"/>
  <c r="AP481" i="62"/>
  <c r="AP473" i="62"/>
  <c r="AQ473" i="62" s="1"/>
  <c r="AS473" i="62" s="1"/>
  <c r="AP465" i="62"/>
  <c r="AP457" i="62"/>
  <c r="AP449" i="62"/>
  <c r="AP441" i="62"/>
  <c r="AQ441" i="62" s="1"/>
  <c r="AS441" i="62" s="1"/>
  <c r="AP433" i="62"/>
  <c r="AP425" i="62"/>
  <c r="AP417" i="62"/>
  <c r="AP409" i="62"/>
  <c r="AP401" i="62"/>
  <c r="AP393" i="62"/>
  <c r="AP385" i="62"/>
  <c r="AQ385" i="62" s="1"/>
  <c r="AS385" i="62" s="1"/>
  <c r="AP377" i="62"/>
  <c r="AP369" i="62"/>
  <c r="AQ369" i="62" s="1"/>
  <c r="AS369" i="62" s="1"/>
  <c r="AP361" i="62"/>
  <c r="AP353" i="62"/>
  <c r="AQ353" i="62" s="1"/>
  <c r="AS353" i="62" s="1"/>
  <c r="AP345" i="62"/>
  <c r="AP337" i="62"/>
  <c r="AP329" i="62"/>
  <c r="AQ329" i="62" s="1"/>
  <c r="AS329" i="62" s="1"/>
  <c r="AP321" i="62"/>
  <c r="AQ321" i="62" s="1"/>
  <c r="AS321" i="62" s="1"/>
  <c r="AP313" i="62"/>
  <c r="AP305" i="62"/>
  <c r="AP297" i="62"/>
  <c r="AQ297" i="62" s="1"/>
  <c r="AS297" i="62" s="1"/>
  <c r="AP289" i="62"/>
  <c r="AQ289" i="62" s="1"/>
  <c r="AS289" i="62" s="1"/>
  <c r="AP281" i="62"/>
  <c r="AP273" i="62"/>
  <c r="AQ273" i="62" s="1"/>
  <c r="AS273" i="62" s="1"/>
  <c r="AP265" i="62"/>
  <c r="AQ265" i="62" s="1"/>
  <c r="AS265" i="62" s="1"/>
  <c r="AP257" i="62"/>
  <c r="AQ257" i="62" s="1"/>
  <c r="AS257" i="62" s="1"/>
  <c r="AP249" i="62"/>
  <c r="AQ249" i="62" s="1"/>
  <c r="AS249" i="62" s="1"/>
  <c r="AP241" i="62"/>
  <c r="AQ241" i="62" s="1"/>
  <c r="AS241" i="62" s="1"/>
  <c r="AP233" i="62"/>
  <c r="AQ233" i="62" s="1"/>
  <c r="AS233" i="62" s="1"/>
  <c r="AP225" i="62"/>
  <c r="AQ225" i="62" s="1"/>
  <c r="AS225" i="62" s="1"/>
  <c r="AP217" i="62"/>
  <c r="AQ217" i="62" s="1"/>
  <c r="AS217" i="62" s="1"/>
  <c r="AP209" i="62"/>
  <c r="AP201" i="62"/>
  <c r="AP193" i="62"/>
  <c r="AP185" i="62"/>
  <c r="AP177" i="62"/>
  <c r="AP169" i="62"/>
  <c r="AP161" i="62"/>
  <c r="AP153" i="62"/>
  <c r="AP145" i="62"/>
  <c r="AP137" i="62"/>
  <c r="AP129" i="62"/>
  <c r="AP121" i="62"/>
  <c r="AP113" i="62"/>
  <c r="AQ113" i="62" s="1"/>
  <c r="AS113" i="62" s="1"/>
  <c r="AP105" i="62"/>
  <c r="AQ105" i="62" s="1"/>
  <c r="AS105" i="62" s="1"/>
  <c r="AP97" i="62"/>
  <c r="AP89" i="62"/>
  <c r="AP81" i="62"/>
  <c r="AP73" i="62"/>
  <c r="AQ73" i="62" s="1"/>
  <c r="AS73" i="62" s="1"/>
  <c r="AP65" i="62"/>
  <c r="AP57" i="62"/>
  <c r="AP49" i="62"/>
  <c r="AP41" i="62"/>
  <c r="AP33" i="62"/>
  <c r="AP25" i="62"/>
  <c r="AQ25" i="62" s="1"/>
  <c r="AS25" i="62" s="1"/>
  <c r="AP17" i="62"/>
  <c r="AQ17" i="62" s="1"/>
  <c r="AS17" i="62" s="1"/>
  <c r="AP9" i="62"/>
  <c r="AP672" i="62"/>
  <c r="AR672" i="62"/>
  <c r="AS672" i="62" s="1"/>
  <c r="AP664" i="62"/>
  <c r="AR664" i="62"/>
  <c r="AS664" i="62" s="1"/>
  <c r="AP656" i="62"/>
  <c r="AR656" i="62"/>
  <c r="AS656" i="62" s="1"/>
  <c r="AP648" i="62"/>
  <c r="AQ648" i="62" s="1"/>
  <c r="AR648" i="62" s="1"/>
  <c r="AS648" i="62" s="1"/>
  <c r="AP640" i="62"/>
  <c r="AQ640" i="62" s="1"/>
  <c r="AS640" i="62" s="1"/>
  <c r="AP632" i="62"/>
  <c r="AQ632" i="62" s="1"/>
  <c r="AS632" i="62" s="1"/>
  <c r="AP624" i="62"/>
  <c r="AQ624" i="62" s="1"/>
  <c r="AS624" i="62" s="1"/>
  <c r="AP616" i="62"/>
  <c r="AQ616" i="62" s="1"/>
  <c r="AS616" i="62" s="1"/>
  <c r="AP608" i="62"/>
  <c r="AP600" i="62"/>
  <c r="AQ600" i="62" s="1"/>
  <c r="AS600" i="62" s="1"/>
  <c r="AP592" i="62"/>
  <c r="AQ592" i="62" s="1"/>
  <c r="AS592" i="62" s="1"/>
  <c r="AP584" i="62"/>
  <c r="AP576" i="62"/>
  <c r="AQ576" i="62" s="1"/>
  <c r="AS576" i="62" s="1"/>
  <c r="AP568" i="62"/>
  <c r="AQ568" i="62" s="1"/>
  <c r="AS568" i="62" s="1"/>
  <c r="AP560" i="62"/>
  <c r="AP552" i="62"/>
  <c r="AQ552" i="62" s="1"/>
  <c r="AS552" i="62" s="1"/>
  <c r="AP544" i="62"/>
  <c r="AP536" i="62"/>
  <c r="AP528" i="62"/>
  <c r="AQ528" i="62" s="1"/>
  <c r="AS528" i="62" s="1"/>
  <c r="AP520" i="62"/>
  <c r="AQ520" i="62" s="1"/>
  <c r="AS520" i="62" s="1"/>
  <c r="AP512" i="62"/>
  <c r="AQ512" i="62" s="1"/>
  <c r="AS512" i="62" s="1"/>
  <c r="AP504" i="62"/>
  <c r="AQ504" i="62" s="1"/>
  <c r="AS504" i="62" s="1"/>
  <c r="AP496" i="62"/>
  <c r="AQ496" i="62" s="1"/>
  <c r="AS496" i="62" s="1"/>
  <c r="AP488" i="62"/>
  <c r="AQ488" i="62" s="1"/>
  <c r="AS488" i="62" s="1"/>
  <c r="AP480" i="62"/>
  <c r="AQ480" i="62" s="1"/>
  <c r="AS480" i="62" s="1"/>
  <c r="AP472" i="62"/>
  <c r="AQ472" i="62" s="1"/>
  <c r="AS472" i="62" s="1"/>
  <c r="AP464" i="62"/>
  <c r="AP456" i="62"/>
  <c r="AP448" i="62"/>
  <c r="AP440" i="62"/>
  <c r="AP432" i="62"/>
  <c r="AP424" i="62"/>
  <c r="AQ424" i="62" s="1"/>
  <c r="AS424" i="62" s="1"/>
  <c r="AP416" i="62"/>
  <c r="AQ416" i="62" s="1"/>
  <c r="AS416" i="62" s="1"/>
  <c r="AP408" i="62"/>
  <c r="AP400" i="62"/>
  <c r="AP392" i="62"/>
  <c r="AP384" i="62"/>
  <c r="AQ384" i="62" s="1"/>
  <c r="AS384" i="62" s="1"/>
  <c r="AP376" i="62"/>
  <c r="AP368" i="62"/>
  <c r="AQ368" i="62" s="1"/>
  <c r="AS368" i="62" s="1"/>
  <c r="AP360" i="62"/>
  <c r="AP352" i="62"/>
  <c r="AQ352" i="62" s="1"/>
  <c r="AS352" i="62" s="1"/>
  <c r="AP344" i="62"/>
  <c r="AQ344" i="62" s="1"/>
  <c r="AS344" i="62" s="1"/>
  <c r="AP336" i="62"/>
  <c r="AP328" i="62"/>
  <c r="AQ328" i="62" s="1"/>
  <c r="AS328" i="62" s="1"/>
  <c r="AP320" i="62"/>
  <c r="AQ320" i="62" s="1"/>
  <c r="AS320" i="62" s="1"/>
  <c r="AP312" i="62"/>
  <c r="AP304" i="62"/>
  <c r="AP296" i="62"/>
  <c r="AQ296" i="62" s="1"/>
  <c r="AS296" i="62" s="1"/>
  <c r="AP288" i="62"/>
  <c r="AQ288" i="62" s="1"/>
  <c r="AS288" i="62" s="1"/>
  <c r="AP280" i="62"/>
  <c r="AP272" i="62"/>
  <c r="AQ272" i="62" s="1"/>
  <c r="AS272" i="62" s="1"/>
  <c r="AP264" i="62"/>
  <c r="AQ264" i="62" s="1"/>
  <c r="AS264" i="62" s="1"/>
  <c r="AP256" i="62"/>
  <c r="AQ256" i="62" s="1"/>
  <c r="AS256" i="62" s="1"/>
  <c r="AP248" i="62"/>
  <c r="AQ248" i="62" s="1"/>
  <c r="AS248" i="62" s="1"/>
  <c r="AP240" i="62"/>
  <c r="AQ240" i="62" s="1"/>
  <c r="AS240" i="62" s="1"/>
  <c r="AP232" i="62"/>
  <c r="AQ232" i="62" s="1"/>
  <c r="AS232" i="62" s="1"/>
  <c r="AP224" i="62"/>
  <c r="AQ224" i="62" s="1"/>
  <c r="AS224" i="62" s="1"/>
  <c r="AP216" i="62"/>
  <c r="AQ216" i="62" s="1"/>
  <c r="AS216" i="62" s="1"/>
  <c r="AP208" i="62"/>
  <c r="AP200" i="62"/>
  <c r="AP192" i="62"/>
  <c r="AP184" i="62"/>
  <c r="AP176" i="62"/>
  <c r="AP168" i="62"/>
  <c r="AP160" i="62"/>
  <c r="AQ160" i="62" s="1"/>
  <c r="AS160" i="62" s="1"/>
  <c r="AP152" i="62"/>
  <c r="AP144" i="62"/>
  <c r="AP136" i="62"/>
  <c r="AP128" i="62"/>
  <c r="AP120" i="62"/>
  <c r="AP112" i="62"/>
  <c r="AQ112" i="62" s="1"/>
  <c r="AS112" i="62" s="1"/>
  <c r="AP104" i="62"/>
  <c r="AQ104" i="62" s="1"/>
  <c r="AS104" i="62" s="1"/>
  <c r="AP96" i="62"/>
  <c r="AQ96" i="62" s="1"/>
  <c r="AS96" i="62" s="1"/>
  <c r="AP88" i="62"/>
  <c r="AP80" i="62"/>
  <c r="AP72" i="62"/>
  <c r="AQ72" i="62" s="1"/>
  <c r="AS72" i="62" s="1"/>
  <c r="AP64" i="62"/>
  <c r="AP56" i="62"/>
  <c r="AP48" i="62"/>
  <c r="AQ48" i="62" s="1"/>
  <c r="AS48" i="62" s="1"/>
  <c r="AP40" i="62"/>
  <c r="AQ40" i="62" s="1"/>
  <c r="AS40" i="62" s="1"/>
  <c r="AP32" i="62"/>
  <c r="AQ32" i="62" s="1"/>
  <c r="AS32" i="62" s="1"/>
  <c r="AP24" i="62"/>
  <c r="AQ24" i="62" s="1"/>
  <c r="AS24" i="62" s="1"/>
  <c r="AP16" i="62"/>
  <c r="AQ16" i="62" s="1"/>
  <c r="AS16" i="62" s="1"/>
  <c r="AP8" i="62"/>
  <c r="AQ8" i="62" s="1"/>
  <c r="AS8" i="62" s="1"/>
  <c r="AP75" i="62"/>
  <c r="AQ75" i="62"/>
  <c r="AS75" i="62" s="1"/>
  <c r="AQ665" i="62"/>
  <c r="AR665" i="62" s="1"/>
  <c r="AQ536" i="62"/>
  <c r="AS536" i="62" s="1"/>
  <c r="AQ427" i="62"/>
  <c r="AS427" i="62" s="1"/>
  <c r="AQ195" i="62"/>
  <c r="AS195" i="62" s="1"/>
  <c r="AQ483" i="62"/>
  <c r="AS483" i="62" s="1"/>
  <c r="AQ227" i="62"/>
  <c r="AS227" i="62" s="1"/>
  <c r="AP614" i="62"/>
  <c r="AP670" i="62"/>
  <c r="AP606" i="62"/>
  <c r="AQ651" i="62"/>
  <c r="AR651" i="62" s="1"/>
  <c r="AS651" i="62" s="1"/>
  <c r="AQ411" i="62"/>
  <c r="AS411" i="62" s="1"/>
  <c r="AQ363" i="62"/>
  <c r="AS363" i="62" s="1"/>
  <c r="AQ35" i="62"/>
  <c r="AS35" i="62" s="1"/>
  <c r="AP26" i="62"/>
  <c r="AQ26" i="62" s="1"/>
  <c r="AS26" i="62" s="1"/>
  <c r="AQ655" i="62"/>
  <c r="AR655" i="62" s="1"/>
  <c r="AS655" i="62" s="1"/>
  <c r="AQ538" i="62"/>
  <c r="AS538" i="62" s="1"/>
  <c r="AQ202" i="62"/>
  <c r="AS202" i="62" s="1"/>
  <c r="AQ154" i="62"/>
  <c r="AS154" i="62" s="1"/>
  <c r="AQ138" i="62"/>
  <c r="AS138" i="62" s="1"/>
  <c r="AQ122" i="62"/>
  <c r="AS122" i="62" s="1"/>
  <c r="AQ274" i="62"/>
  <c r="AS274" i="62" s="1"/>
  <c r="AQ650" i="62"/>
  <c r="AR650" i="62" s="1"/>
  <c r="AS650" i="62" s="1"/>
  <c r="AQ386" i="62"/>
  <c r="AS386" i="62" s="1"/>
  <c r="AQ362" i="62"/>
  <c r="AS362" i="62" s="1"/>
  <c r="AQ560" i="62"/>
  <c r="AS560" i="62" s="1"/>
  <c r="AQ642" i="62"/>
  <c r="AS642" i="62" s="1"/>
  <c r="AQ634" i="62"/>
  <c r="AS634" i="62" s="1"/>
  <c r="AQ626" i="62"/>
  <c r="AS626" i="62" s="1"/>
  <c r="AQ602" i="62"/>
  <c r="AS602" i="62" s="1"/>
  <c r="AQ594" i="62"/>
  <c r="AS594" i="62" s="1"/>
  <c r="AQ578" i="62"/>
  <c r="AS578" i="62" s="1"/>
  <c r="AQ570" i="62"/>
  <c r="AS570" i="62" s="1"/>
  <c r="AQ562" i="62"/>
  <c r="AS562" i="62" s="1"/>
  <c r="AQ546" i="62"/>
  <c r="AS546" i="62" s="1"/>
  <c r="AQ530" i="62"/>
  <c r="AS530" i="62" s="1"/>
  <c r="AQ514" i="62"/>
  <c r="AS514" i="62" s="1"/>
  <c r="AQ506" i="62"/>
  <c r="AS506" i="62" s="1"/>
  <c r="AQ498" i="62"/>
  <c r="AS498" i="62" s="1"/>
  <c r="AQ474" i="62"/>
  <c r="AS474" i="62" s="1"/>
  <c r="AQ466" i="62"/>
  <c r="AS466" i="62" s="1"/>
  <c r="AQ418" i="62"/>
  <c r="AS418" i="62" s="1"/>
  <c r="AQ370" i="62"/>
  <c r="AS370" i="62" s="1"/>
  <c r="AQ354" i="62"/>
  <c r="AS354" i="62" s="1"/>
  <c r="AQ322" i="62"/>
  <c r="AS322" i="62" s="1"/>
  <c r="AQ290" i="62"/>
  <c r="AS290" i="62" s="1"/>
  <c r="AQ258" i="62"/>
  <c r="AS258" i="62" s="1"/>
  <c r="AQ250" i="62"/>
  <c r="AS250" i="62" s="1"/>
  <c r="AQ242" i="62"/>
  <c r="AS242" i="62" s="1"/>
  <c r="AQ226" i="62"/>
  <c r="AS226" i="62" s="1"/>
  <c r="AQ218" i="62"/>
  <c r="AS218" i="62" s="1"/>
  <c r="AQ106" i="62"/>
  <c r="AS106" i="62" s="1"/>
  <c r="AQ74" i="62"/>
  <c r="AS74" i="62" s="1"/>
  <c r="AQ649" i="62"/>
  <c r="AR649" i="62" s="1"/>
  <c r="AS649" i="62" s="1"/>
  <c r="AQ458" i="62"/>
  <c r="AS458" i="62" s="1"/>
  <c r="AQ442" i="62"/>
  <c r="AS442" i="62" s="1"/>
  <c r="AQ210" i="62"/>
  <c r="AS210" i="62" s="1"/>
  <c r="AQ146" i="62"/>
  <c r="AS146" i="62" s="1"/>
  <c r="AQ130" i="62"/>
  <c r="AS130" i="62" s="1"/>
  <c r="AQ658" i="62"/>
  <c r="AR658" i="62" s="1"/>
  <c r="AS658" i="62" s="1"/>
  <c r="AQ647" i="62"/>
  <c r="AR647" i="62" s="1"/>
  <c r="AS647" i="62" s="1"/>
  <c r="AQ545" i="62"/>
  <c r="AS545" i="62" s="1"/>
  <c r="AQ482" i="62"/>
  <c r="AS482" i="62" s="1"/>
  <c r="AQ457" i="62"/>
  <c r="AS457" i="62" s="1"/>
  <c r="AQ440" i="62"/>
  <c r="AS440" i="62" s="1"/>
  <c r="AQ399" i="62"/>
  <c r="AS399" i="62" s="1"/>
  <c r="AQ378" i="62"/>
  <c r="AS378" i="62" s="1"/>
  <c r="AQ360" i="62"/>
  <c r="AS360" i="62" s="1"/>
  <c r="AQ314" i="62"/>
  <c r="AS314" i="62" s="1"/>
  <c r="AQ194" i="62"/>
  <c r="AS194" i="62" s="1"/>
  <c r="AQ178" i="62"/>
  <c r="AS178" i="62" s="1"/>
  <c r="AQ162" i="62"/>
  <c r="AS162" i="62" s="1"/>
  <c r="AQ657" i="62"/>
  <c r="AR657" i="62" s="1"/>
  <c r="AS657" i="62" s="1"/>
  <c r="AQ410" i="62"/>
  <c r="AS410" i="62" s="1"/>
  <c r="AQ298" i="62"/>
  <c r="AS298" i="62" s="1"/>
  <c r="AQ641" i="62"/>
  <c r="AS641" i="62" s="1"/>
  <c r="AQ394" i="62"/>
  <c r="AS394" i="62" s="1"/>
  <c r="AQ635" i="62"/>
  <c r="AS635" i="62" s="1"/>
  <c r="AQ619" i="62"/>
  <c r="AS619" i="62" s="1"/>
  <c r="AQ603" i="62"/>
  <c r="AS603" i="62" s="1"/>
  <c r="AQ587" i="62"/>
  <c r="AS587" i="62" s="1"/>
  <c r="AQ579" i="62"/>
  <c r="AS579" i="62" s="1"/>
  <c r="AQ555" i="62"/>
  <c r="AS555" i="62" s="1"/>
  <c r="AQ547" i="62"/>
  <c r="AS547" i="62" s="1"/>
  <c r="AQ523" i="62"/>
  <c r="AS523" i="62" s="1"/>
  <c r="AQ515" i="62"/>
  <c r="AS515" i="62" s="1"/>
  <c r="AQ507" i="62"/>
  <c r="AS507" i="62" s="1"/>
  <c r="AQ491" i="62"/>
  <c r="AS491" i="62" s="1"/>
  <c r="AQ475" i="62"/>
  <c r="AS475" i="62" s="1"/>
  <c r="AQ443" i="62"/>
  <c r="AS443" i="62" s="1"/>
  <c r="AQ387" i="62"/>
  <c r="AS387" i="62" s="1"/>
  <c r="AQ379" i="62"/>
  <c r="AS379" i="62" s="1"/>
  <c r="AQ355" i="62"/>
  <c r="AS355" i="62" s="1"/>
  <c r="AQ347" i="62"/>
  <c r="AS347" i="62" s="1"/>
  <c r="AQ323" i="62"/>
  <c r="AS323" i="62" s="1"/>
  <c r="AQ291" i="62"/>
  <c r="AS291" i="62" s="1"/>
  <c r="AQ267" i="62"/>
  <c r="AS267" i="62" s="1"/>
  <c r="AQ219" i="62"/>
  <c r="AS219" i="62" s="1"/>
  <c r="AQ203" i="62"/>
  <c r="AS203" i="62" s="1"/>
  <c r="AQ187" i="62"/>
  <c r="AS187" i="62" s="1"/>
  <c r="AQ155" i="62"/>
  <c r="AS155" i="62" s="1"/>
  <c r="AQ147" i="62"/>
  <c r="AS147" i="62" s="1"/>
  <c r="AQ131" i="62"/>
  <c r="AS131" i="62" s="1"/>
  <c r="AQ123" i="62"/>
  <c r="AS123" i="62" s="1"/>
  <c r="AQ115" i="62"/>
  <c r="AS115" i="62" s="1"/>
  <c r="AQ107" i="62"/>
  <c r="AS107" i="62" s="1"/>
  <c r="AQ51" i="62"/>
  <c r="AS51" i="62" s="1"/>
  <c r="AQ666" i="62"/>
  <c r="AR666" i="62" s="1"/>
  <c r="AS666" i="62" s="1"/>
  <c r="AQ609" i="62"/>
  <c r="AS609" i="62" s="1"/>
  <c r="AQ450" i="62"/>
  <c r="AS450" i="62" s="1"/>
  <c r="AQ402" i="62"/>
  <c r="AS402" i="62" s="1"/>
  <c r="AQ371" i="62"/>
  <c r="AS371" i="62" s="1"/>
  <c r="AQ315" i="62"/>
  <c r="AS315" i="62" s="1"/>
  <c r="AQ235" i="62"/>
  <c r="AS235" i="62" s="1"/>
  <c r="AQ139" i="62"/>
  <c r="AS139" i="62" s="1"/>
  <c r="AQ91" i="62"/>
  <c r="AS91" i="62" s="1"/>
  <c r="AQ59" i="62"/>
  <c r="AS59" i="62" s="1"/>
  <c r="AQ275" i="62"/>
  <c r="AS275" i="62" s="1"/>
  <c r="AQ67" i="62"/>
  <c r="AS67" i="62" s="1"/>
  <c r="AQ631" i="62"/>
  <c r="AS631" i="62" s="1"/>
  <c r="AQ623" i="62"/>
  <c r="AS623" i="62" s="1"/>
  <c r="AQ599" i="62"/>
  <c r="AS599" i="62" s="1"/>
  <c r="AQ591" i="62"/>
  <c r="AS591" i="62" s="1"/>
  <c r="AQ431" i="62"/>
  <c r="AS431" i="62" s="1"/>
  <c r="AQ539" i="62"/>
  <c r="AS539" i="62" s="1"/>
  <c r="AQ299" i="62"/>
  <c r="AS299" i="62" s="1"/>
  <c r="AQ163" i="62"/>
  <c r="AS163" i="62" s="1"/>
  <c r="AQ395" i="62"/>
  <c r="AS395" i="62" s="1"/>
  <c r="AQ259" i="62"/>
  <c r="AS259" i="62" s="1"/>
  <c r="AQ99" i="62"/>
  <c r="AS99" i="62" s="1"/>
  <c r="AQ83" i="62"/>
  <c r="AS83" i="62" s="1"/>
  <c r="AQ27" i="62"/>
  <c r="AS27" i="62" s="1"/>
  <c r="AQ611" i="62"/>
  <c r="AS611" i="62" s="1"/>
  <c r="AQ435" i="62"/>
  <c r="AS435" i="62" s="1"/>
  <c r="AQ419" i="62"/>
  <c r="AS419" i="62" s="1"/>
  <c r="AQ331" i="62"/>
  <c r="AS331" i="62" s="1"/>
  <c r="AQ307" i="62"/>
  <c r="AS307" i="62" s="1"/>
  <c r="AQ283" i="62"/>
  <c r="AS283" i="62" s="1"/>
  <c r="AQ251" i="62"/>
  <c r="AS251" i="62" s="1"/>
  <c r="AQ19" i="62"/>
  <c r="AS19" i="62" s="1"/>
  <c r="AQ667" i="62"/>
  <c r="AR667" i="62" s="1"/>
  <c r="AS667" i="62" s="1"/>
  <c r="AQ610" i="62"/>
  <c r="AS610" i="62" s="1"/>
  <c r="AQ571" i="62"/>
  <c r="AS571" i="62" s="1"/>
  <c r="AQ451" i="62"/>
  <c r="AS451" i="62" s="1"/>
  <c r="AQ434" i="62"/>
  <c r="AS434" i="62" s="1"/>
  <c r="AQ403" i="62"/>
  <c r="AS403" i="62" s="1"/>
  <c r="AQ346" i="62"/>
  <c r="AS346" i="62" s="1"/>
  <c r="AQ306" i="62"/>
  <c r="AS306" i="62" s="1"/>
  <c r="AQ282" i="62"/>
  <c r="AS282" i="62" s="1"/>
  <c r="AQ243" i="62"/>
  <c r="AS243" i="62" s="1"/>
  <c r="AQ171" i="62"/>
  <c r="AS171" i="62" s="1"/>
  <c r="AQ43" i="62"/>
  <c r="AS43" i="62" s="1"/>
  <c r="AQ11" i="62"/>
  <c r="AS11" i="62" s="1"/>
  <c r="AQ662" i="62"/>
  <c r="AR662" i="62" s="1"/>
  <c r="AS662" i="62" s="1"/>
  <c r="AQ566" i="62"/>
  <c r="AS566" i="62" s="1"/>
  <c r="AQ470" i="62"/>
  <c r="AS470" i="62" s="1"/>
  <c r="AQ582" i="62"/>
  <c r="AS582" i="62" s="1"/>
  <c r="AQ278" i="62"/>
  <c r="AS278" i="62" s="1"/>
  <c r="AQ206" i="62"/>
  <c r="AS206" i="62" s="1"/>
  <c r="AQ54" i="62"/>
  <c r="AS54" i="62" s="1"/>
  <c r="AQ526" i="62"/>
  <c r="AS526" i="62" s="1"/>
  <c r="AQ494" i="62"/>
  <c r="AS494" i="62" s="1"/>
  <c r="AQ430" i="62"/>
  <c r="AS430" i="62" s="1"/>
  <c r="AQ414" i="62"/>
  <c r="AS414" i="62" s="1"/>
  <c r="AQ366" i="62"/>
  <c r="AS366" i="62" s="1"/>
  <c r="AQ110" i="62"/>
  <c r="AS110" i="62" s="1"/>
  <c r="AQ294" i="62"/>
  <c r="AS294" i="62" s="1"/>
  <c r="AQ230" i="62"/>
  <c r="AS230" i="62" s="1"/>
  <c r="AQ142" i="62"/>
  <c r="AS142" i="62" s="1"/>
  <c r="AQ102" i="62"/>
  <c r="AS102" i="62" s="1"/>
  <c r="AQ78" i="62"/>
  <c r="AS78" i="62" s="1"/>
  <c r="AQ38" i="62"/>
  <c r="AS38" i="62" s="1"/>
  <c r="AQ22" i="62"/>
  <c r="AS22" i="62" s="1"/>
  <c r="AQ374" i="62"/>
  <c r="AS374" i="62" s="1"/>
  <c r="AQ246" i="62"/>
  <c r="AS246" i="62" s="1"/>
  <c r="AQ86" i="62"/>
  <c r="AS86" i="62" s="1"/>
  <c r="AQ14" i="62"/>
  <c r="AS14" i="62" s="1"/>
  <c r="AQ502" i="62"/>
  <c r="AS502" i="62" s="1"/>
  <c r="AQ150" i="62"/>
  <c r="AS150" i="62" s="1"/>
  <c r="AQ618" i="62"/>
  <c r="AS618" i="62" s="1"/>
  <c r="AQ586" i="62"/>
  <c r="AS586" i="62" s="1"/>
  <c r="AQ554" i="62"/>
  <c r="AS554" i="62" s="1"/>
  <c r="AQ522" i="62"/>
  <c r="AS522" i="62" s="1"/>
  <c r="AQ490" i="62"/>
  <c r="AS490" i="62" s="1"/>
  <c r="AQ330" i="62"/>
  <c r="AS330" i="62" s="1"/>
  <c r="AQ266" i="62"/>
  <c r="AS266" i="62" s="1"/>
  <c r="AQ234" i="62"/>
  <c r="AS234" i="62" s="1"/>
  <c r="AQ627" i="62"/>
  <c r="AS627" i="62" s="1"/>
  <c r="AQ595" i="62"/>
  <c r="AS595" i="62" s="1"/>
  <c r="AQ563" i="62"/>
  <c r="AS563" i="62" s="1"/>
  <c r="AQ553" i="62"/>
  <c r="AS553" i="62" s="1"/>
  <c r="AQ531" i="62"/>
  <c r="AS531" i="62" s="1"/>
  <c r="AQ521" i="62"/>
  <c r="AS521" i="62" s="1"/>
  <c r="AQ499" i="62"/>
  <c r="AS499" i="62" s="1"/>
  <c r="AQ467" i="62"/>
  <c r="AS467" i="62" s="1"/>
  <c r="AQ339" i="62"/>
  <c r="AS339" i="62" s="1"/>
  <c r="AQ211" i="62"/>
  <c r="AS211" i="62" s="1"/>
  <c r="AQ179" i="62"/>
  <c r="AS179" i="62" s="1"/>
  <c r="AQ9" i="62"/>
  <c r="AS9" i="62" s="1"/>
  <c r="AQ669" i="62"/>
  <c r="AR669" i="62" s="1"/>
  <c r="AS669" i="62" s="1"/>
  <c r="AQ621" i="62"/>
  <c r="AS621" i="62" s="1"/>
  <c r="AQ581" i="62"/>
  <c r="AS581" i="62" s="1"/>
  <c r="AQ541" i="62"/>
  <c r="AS541" i="62" s="1"/>
  <c r="AQ517" i="62"/>
  <c r="AS517" i="62" s="1"/>
  <c r="AQ477" i="62"/>
  <c r="AS477" i="62" s="1"/>
  <c r="AQ437" i="62"/>
  <c r="AS437" i="62" s="1"/>
  <c r="AQ397" i="62"/>
  <c r="AS397" i="62" s="1"/>
  <c r="AQ373" i="62"/>
  <c r="AS373" i="62" s="1"/>
  <c r="AQ341" i="62"/>
  <c r="AS341" i="62" s="1"/>
  <c r="AQ317" i="62"/>
  <c r="AS317" i="62" s="1"/>
  <c r="AQ285" i="62"/>
  <c r="AS285" i="62" s="1"/>
  <c r="AQ237" i="62"/>
  <c r="AS237" i="62" s="1"/>
  <c r="AQ205" i="62"/>
  <c r="AS205" i="62" s="1"/>
  <c r="AQ181" i="62"/>
  <c r="AS181" i="62" s="1"/>
  <c r="AQ157" i="62"/>
  <c r="AS157" i="62" s="1"/>
  <c r="AQ125" i="62"/>
  <c r="AS125" i="62" s="1"/>
  <c r="AQ101" i="62"/>
  <c r="AS101" i="62" s="1"/>
  <c r="AQ77" i="62"/>
  <c r="AS77" i="62" s="1"/>
  <c r="AQ69" i="62"/>
  <c r="AS69" i="62" s="1"/>
  <c r="AQ21" i="62"/>
  <c r="AS21" i="62" s="1"/>
  <c r="AQ661" i="62"/>
  <c r="AR661" i="62" s="1"/>
  <c r="AS661" i="62" s="1"/>
  <c r="AQ629" i="62"/>
  <c r="AS629" i="62" s="1"/>
  <c r="AQ589" i="62"/>
  <c r="AS589" i="62" s="1"/>
  <c r="AQ565" i="62"/>
  <c r="AS565" i="62" s="1"/>
  <c r="AQ525" i="62"/>
  <c r="AS525" i="62" s="1"/>
  <c r="AQ493" i="62"/>
  <c r="AS493" i="62" s="1"/>
  <c r="AQ461" i="62"/>
  <c r="AS461" i="62" s="1"/>
  <c r="AQ429" i="62"/>
  <c r="AS429" i="62" s="1"/>
  <c r="AQ413" i="62"/>
  <c r="AS413" i="62" s="1"/>
  <c r="AQ381" i="62"/>
  <c r="AS381" i="62" s="1"/>
  <c r="AQ349" i="62"/>
  <c r="AS349" i="62" s="1"/>
  <c r="AQ309" i="62"/>
  <c r="AS309" i="62" s="1"/>
  <c r="AQ277" i="62"/>
  <c r="AS277" i="62" s="1"/>
  <c r="AQ245" i="62"/>
  <c r="AS245" i="62" s="1"/>
  <c r="AQ213" i="62"/>
  <c r="AS213" i="62" s="1"/>
  <c r="AQ173" i="62"/>
  <c r="AS173" i="62" s="1"/>
  <c r="AQ149" i="62"/>
  <c r="AS149" i="62" s="1"/>
  <c r="AQ117" i="62"/>
  <c r="AS117" i="62" s="1"/>
  <c r="AQ93" i="62"/>
  <c r="AS93" i="62" s="1"/>
  <c r="AQ29" i="62"/>
  <c r="AS29" i="62" s="1"/>
  <c r="AQ639" i="62"/>
  <c r="AS639" i="62" s="1"/>
  <c r="AQ53" i="62"/>
  <c r="AS53" i="62" s="1"/>
  <c r="AQ653" i="62"/>
  <c r="AR653" i="62" s="1"/>
  <c r="AS653" i="62" s="1"/>
  <c r="AQ605" i="62"/>
  <c r="AS605" i="62" s="1"/>
  <c r="AQ557" i="62"/>
  <c r="AS557" i="62" s="1"/>
  <c r="AQ501" i="62"/>
  <c r="AS501" i="62" s="1"/>
  <c r="AQ469" i="62"/>
  <c r="AS469" i="62" s="1"/>
  <c r="AQ421" i="62"/>
  <c r="AS421" i="62" s="1"/>
  <c r="AQ389" i="62"/>
  <c r="AS389" i="62" s="1"/>
  <c r="AQ357" i="62"/>
  <c r="AS357" i="62" s="1"/>
  <c r="AQ325" i="62"/>
  <c r="AS325" i="62" s="1"/>
  <c r="AQ293" i="62"/>
  <c r="AS293" i="62" s="1"/>
  <c r="AQ261" i="62"/>
  <c r="AS261" i="62" s="1"/>
  <c r="AQ229" i="62"/>
  <c r="AS229" i="62" s="1"/>
  <c r="AQ197" i="62"/>
  <c r="AS197" i="62" s="1"/>
  <c r="AQ141" i="62"/>
  <c r="AS141" i="62" s="1"/>
  <c r="AQ37" i="62"/>
  <c r="AS37" i="62" s="1"/>
  <c r="AQ637" i="62"/>
  <c r="AS637" i="62" s="1"/>
  <c r="AQ597" i="62"/>
  <c r="AS597" i="62" s="1"/>
  <c r="AQ549" i="62"/>
  <c r="AS549" i="62" s="1"/>
  <c r="AQ509" i="62"/>
  <c r="AS509" i="62" s="1"/>
  <c r="AQ485" i="62"/>
  <c r="AS485" i="62" s="1"/>
  <c r="AQ445" i="62"/>
  <c r="AS445" i="62" s="1"/>
  <c r="AQ405" i="62"/>
  <c r="AS405" i="62" s="1"/>
  <c r="AQ365" i="62"/>
  <c r="AS365" i="62" s="1"/>
  <c r="AQ333" i="62"/>
  <c r="AS333" i="62" s="1"/>
  <c r="AQ301" i="62"/>
  <c r="AS301" i="62" s="1"/>
  <c r="AQ269" i="62"/>
  <c r="AS269" i="62" s="1"/>
  <c r="AQ253" i="62"/>
  <c r="AS253" i="62" s="1"/>
  <c r="AQ221" i="62"/>
  <c r="AS221" i="62" s="1"/>
  <c r="AQ189" i="62"/>
  <c r="AS189" i="62" s="1"/>
  <c r="AQ165" i="62"/>
  <c r="AS165" i="62" s="1"/>
  <c r="AQ133" i="62"/>
  <c r="AS133" i="62" s="1"/>
  <c r="AQ109" i="62"/>
  <c r="AS109" i="62" s="1"/>
  <c r="AQ85" i="62"/>
  <c r="AS85" i="62" s="1"/>
  <c r="AQ61" i="62"/>
  <c r="AS61" i="62" s="1"/>
  <c r="AQ13" i="62"/>
  <c r="AS13" i="62" s="1"/>
  <c r="AQ645" i="62"/>
  <c r="AR645" i="62" s="1"/>
  <c r="AS645" i="62" s="1"/>
  <c r="AQ613" i="62"/>
  <c r="AS613" i="62" s="1"/>
  <c r="AQ573" i="62"/>
  <c r="AS573" i="62" s="1"/>
  <c r="AQ533" i="62"/>
  <c r="AS533" i="62" s="1"/>
  <c r="AQ453" i="62"/>
  <c r="AS453" i="62" s="1"/>
  <c r="AQ45" i="62"/>
  <c r="AS45" i="62" s="1"/>
  <c r="AQ12" i="62"/>
  <c r="AS12" i="62" s="1"/>
  <c r="AQ612" i="62"/>
  <c r="AS612" i="62" s="1"/>
  <c r="AQ604" i="62"/>
  <c r="AS604" i="62" s="1"/>
  <c r="AQ596" i="62"/>
  <c r="AS596" i="62" s="1"/>
  <c r="AQ588" i="62"/>
  <c r="AS588" i="62" s="1"/>
  <c r="AQ580" i="62"/>
  <c r="AS580" i="62" s="1"/>
  <c r="AQ572" i="62"/>
  <c r="AS572" i="62" s="1"/>
  <c r="AQ564" i="62"/>
  <c r="AS564" i="62" s="1"/>
  <c r="AQ556" i="62"/>
  <c r="AS556" i="62" s="1"/>
  <c r="AQ540" i="62"/>
  <c r="AS540" i="62" s="1"/>
  <c r="AQ532" i="62"/>
  <c r="AS532" i="62" s="1"/>
  <c r="AQ524" i="62"/>
  <c r="AS524" i="62" s="1"/>
  <c r="AQ516" i="62"/>
  <c r="AS516" i="62" s="1"/>
  <c r="AQ500" i="62"/>
  <c r="AS500" i="62" s="1"/>
  <c r="AQ492" i="62"/>
  <c r="AS492" i="62" s="1"/>
  <c r="AQ484" i="62"/>
  <c r="AS484" i="62" s="1"/>
  <c r="AQ468" i="62"/>
  <c r="AS468" i="62" s="1"/>
  <c r="AQ460" i="62"/>
  <c r="AS460" i="62" s="1"/>
  <c r="AQ452" i="62"/>
  <c r="AS452" i="62" s="1"/>
  <c r="AQ444" i="62"/>
  <c r="AS444" i="62" s="1"/>
  <c r="AQ436" i="62"/>
  <c r="AS436" i="62" s="1"/>
  <c r="AQ428" i="62"/>
  <c r="AS428" i="62" s="1"/>
  <c r="AQ404" i="62"/>
  <c r="AS404" i="62" s="1"/>
  <c r="AQ396" i="62"/>
  <c r="AS396" i="62" s="1"/>
  <c r="AQ388" i="62"/>
  <c r="AS388" i="62" s="1"/>
  <c r="AQ372" i="62"/>
  <c r="AS372" i="62" s="1"/>
  <c r="AQ364" i="62"/>
  <c r="AS364" i="62" s="1"/>
  <c r="AQ340" i="62"/>
  <c r="AS340" i="62" s="1"/>
  <c r="AQ332" i="62"/>
  <c r="AS332" i="62" s="1"/>
  <c r="AQ324" i="62"/>
  <c r="AS324" i="62" s="1"/>
  <c r="AQ316" i="62"/>
  <c r="AS316" i="62" s="1"/>
  <c r="AQ308" i="62"/>
  <c r="AS308" i="62" s="1"/>
  <c r="AQ284" i="62"/>
  <c r="AS284" i="62" s="1"/>
  <c r="AQ276" i="62"/>
  <c r="AS276" i="62" s="1"/>
  <c r="AQ268" i="62"/>
  <c r="AS268" i="62" s="1"/>
  <c r="AQ260" i="62"/>
  <c r="AS260" i="62" s="1"/>
  <c r="AQ252" i="62"/>
  <c r="AS252" i="62" s="1"/>
  <c r="AQ244" i="62"/>
  <c r="AS244" i="62" s="1"/>
  <c r="AQ236" i="62"/>
  <c r="AS236" i="62" s="1"/>
  <c r="AQ228" i="62"/>
  <c r="AS228" i="62" s="1"/>
  <c r="AQ212" i="62"/>
  <c r="AS212" i="62" s="1"/>
  <c r="AQ204" i="62"/>
  <c r="AS204" i="62" s="1"/>
  <c r="AQ196" i="62"/>
  <c r="AS196" i="62" s="1"/>
  <c r="AQ180" i="62"/>
  <c r="AS180" i="62" s="1"/>
  <c r="AQ172" i="62"/>
  <c r="AS172" i="62" s="1"/>
  <c r="AQ164" i="62"/>
  <c r="AS164" i="62" s="1"/>
  <c r="AQ148" i="62"/>
  <c r="AS148" i="62" s="1"/>
  <c r="AQ140" i="62"/>
  <c r="AS140" i="62" s="1"/>
  <c r="AQ132" i="62"/>
  <c r="AS132" i="62" s="1"/>
  <c r="AQ116" i="62"/>
  <c r="AS116" i="62" s="1"/>
  <c r="AQ108" i="62"/>
  <c r="AS108" i="62" s="1"/>
  <c r="AQ100" i="62"/>
  <c r="AS100" i="62" s="1"/>
  <c r="AQ92" i="62"/>
  <c r="AS92" i="62" s="1"/>
  <c r="AQ84" i="62"/>
  <c r="AS84" i="62" s="1"/>
  <c r="AQ76" i="62"/>
  <c r="AS76" i="62" s="1"/>
  <c r="AQ68" i="62"/>
  <c r="AS68" i="62" s="1"/>
  <c r="AQ60" i="62"/>
  <c r="AS60" i="62" s="1"/>
  <c r="AQ52" i="62"/>
  <c r="AS52" i="62" s="1"/>
  <c r="AQ44" i="62"/>
  <c r="AS44" i="62" s="1"/>
  <c r="AQ36" i="62"/>
  <c r="AS36" i="62" s="1"/>
  <c r="AQ28" i="62"/>
  <c r="AS28" i="62" s="1"/>
  <c r="AQ20" i="62"/>
  <c r="AS20" i="62" s="1"/>
  <c r="AQ668" i="62"/>
  <c r="AR668" i="62" s="1"/>
  <c r="AS668" i="62" s="1"/>
  <c r="AQ660" i="62"/>
  <c r="AR660" i="62" s="1"/>
  <c r="AS660" i="62" s="1"/>
  <c r="AQ652" i="62"/>
  <c r="AR652" i="62" s="1"/>
  <c r="AS652" i="62" s="1"/>
  <c r="AQ644" i="62"/>
  <c r="AR644" i="62" s="1"/>
  <c r="AS644" i="62" s="1"/>
  <c r="AQ628" i="62"/>
  <c r="AS628" i="62" s="1"/>
  <c r="K217" i="67" l="1"/>
  <c r="V217" i="67" s="1"/>
  <c r="I217" i="67"/>
  <c r="J217" i="67"/>
  <c r="U217" i="67" s="1"/>
  <c r="M217" i="67"/>
  <c r="X217" i="67" s="1"/>
  <c r="L217" i="67"/>
  <c r="W217" i="67" s="1"/>
  <c r="AS665" i="62"/>
  <c r="AS643" i="62"/>
  <c r="F20" i="55" l="1"/>
  <c r="F21" i="55"/>
  <c r="F22" i="55"/>
  <c r="F23" i="55"/>
  <c r="F24" i="55"/>
  <c r="F25" i="55"/>
  <c r="F26" i="55"/>
  <c r="F27" i="55"/>
  <c r="F28" i="55"/>
  <c r="F29" i="55"/>
  <c r="F30" i="55"/>
  <c r="F31" i="55"/>
  <c r="F32" i="55"/>
  <c r="F33" i="55"/>
  <c r="E19" i="55"/>
  <c r="E20" i="55"/>
  <c r="E21" i="55"/>
  <c r="E22" i="55"/>
  <c r="E23" i="55"/>
  <c r="E24" i="55"/>
  <c r="E25" i="55"/>
  <c r="E26" i="55"/>
  <c r="E27" i="55"/>
  <c r="E28" i="55"/>
  <c r="E29" i="55"/>
  <c r="E30" i="55"/>
  <c r="E31" i="55"/>
  <c r="E32" i="55"/>
  <c r="E33" i="55"/>
  <c r="AW35" i="1" l="1"/>
  <c r="AL35" i="1"/>
  <c r="AA35" i="1"/>
  <c r="P35" i="1"/>
  <c r="AA59" i="1"/>
  <c r="AY61" i="1"/>
  <c r="AY62" i="1"/>
  <c r="AN62" i="1"/>
  <c r="AN61" i="1"/>
  <c r="AN60" i="1"/>
  <c r="AC62" i="1"/>
  <c r="AC61" i="1"/>
  <c r="AC60" i="1"/>
  <c r="R61" i="1"/>
  <c r="R62" i="1"/>
  <c r="BE20" i="1"/>
  <c r="AT20" i="1"/>
  <c r="AI20" i="1"/>
  <c r="X20" i="1"/>
  <c r="AW76" i="1"/>
  <c r="AY75" i="1"/>
  <c r="AY74" i="1"/>
  <c r="AY73" i="1"/>
  <c r="AW72" i="1"/>
  <c r="AY71" i="1"/>
  <c r="AY70" i="1"/>
  <c r="AW69" i="1"/>
  <c r="AW66" i="1"/>
  <c r="AW65" i="1"/>
  <c r="AW64" i="1"/>
  <c r="AY63" i="1"/>
  <c r="AY60" i="1"/>
  <c r="AW59" i="1"/>
  <c r="AW58" i="1"/>
  <c r="AY48" i="1"/>
  <c r="AW47" i="1"/>
  <c r="AY46" i="1"/>
  <c r="AY45" i="1"/>
  <c r="AY44" i="1"/>
  <c r="AY42" i="1"/>
  <c r="AY41" i="1"/>
  <c r="AY40" i="1"/>
  <c r="AW39" i="1"/>
  <c r="AY43" i="1"/>
  <c r="AY38" i="1"/>
  <c r="AW37" i="1"/>
  <c r="AY34" i="1"/>
  <c r="AY33" i="1"/>
  <c r="AX32" i="1"/>
  <c r="AY31" i="1"/>
  <c r="AY30" i="1"/>
  <c r="AY29" i="1"/>
  <c r="AY28" i="1"/>
  <c r="AX27" i="1"/>
  <c r="AW26" i="1"/>
  <c r="AY25" i="1"/>
  <c r="AX25" i="1"/>
  <c r="AW25" i="1"/>
  <c r="AY24" i="1"/>
  <c r="AX24" i="1"/>
  <c r="AW24" i="1"/>
  <c r="AW23" i="1"/>
  <c r="AW22" i="1"/>
  <c r="AL76" i="1"/>
  <c r="AN75" i="1"/>
  <c r="AN74" i="1"/>
  <c r="AN73" i="1"/>
  <c r="AL72" i="1"/>
  <c r="AN71" i="1"/>
  <c r="AN70" i="1"/>
  <c r="AL69" i="1"/>
  <c r="AL66" i="1"/>
  <c r="AL65" i="1"/>
  <c r="AL64" i="1"/>
  <c r="AL59" i="1"/>
  <c r="AL58" i="1"/>
  <c r="AN48" i="1"/>
  <c r="AL47" i="1"/>
  <c r="AN46" i="1"/>
  <c r="AN45" i="1"/>
  <c r="AN44" i="1"/>
  <c r="AN42" i="1"/>
  <c r="AN41" i="1"/>
  <c r="AN40" i="1"/>
  <c r="AL39" i="1"/>
  <c r="AN43" i="1"/>
  <c r="AN38" i="1"/>
  <c r="AL37" i="1"/>
  <c r="AN34" i="1"/>
  <c r="AN33" i="1"/>
  <c r="AM32" i="1"/>
  <c r="AN31" i="1"/>
  <c r="AN30" i="1"/>
  <c r="AN29" i="1"/>
  <c r="AN28" i="1"/>
  <c r="AM27" i="1"/>
  <c r="AL26" i="1"/>
  <c r="AN25" i="1"/>
  <c r="AM25" i="1"/>
  <c r="AL25" i="1"/>
  <c r="AN24" i="1"/>
  <c r="AM24" i="1"/>
  <c r="AL24" i="1"/>
  <c r="AL23" i="1"/>
  <c r="AL22" i="1"/>
  <c r="AA76" i="1"/>
  <c r="AC75" i="1"/>
  <c r="AC74" i="1"/>
  <c r="AC73" i="1"/>
  <c r="AA72" i="1"/>
  <c r="AC71" i="1"/>
  <c r="AC70" i="1"/>
  <c r="AA69" i="1"/>
  <c r="AA66" i="1"/>
  <c r="AA65" i="1"/>
  <c r="AA64" i="1"/>
  <c r="AA58" i="1"/>
  <c r="AC48" i="1"/>
  <c r="AA47" i="1"/>
  <c r="AC46" i="1"/>
  <c r="AC45" i="1"/>
  <c r="AC44" i="1"/>
  <c r="AC42" i="1"/>
  <c r="AC41" i="1"/>
  <c r="AC40" i="1"/>
  <c r="AA39" i="1"/>
  <c r="AC43" i="1"/>
  <c r="AC38" i="1"/>
  <c r="AA37" i="1"/>
  <c r="AC34" i="1"/>
  <c r="AC33" i="1"/>
  <c r="AB32" i="1"/>
  <c r="AC31" i="1"/>
  <c r="AC30" i="1"/>
  <c r="AC29" i="1"/>
  <c r="AC28" i="1"/>
  <c r="AB27" i="1"/>
  <c r="AA26" i="1"/>
  <c r="AC25" i="1"/>
  <c r="AB25" i="1"/>
  <c r="AA25" i="1"/>
  <c r="AC24" i="1"/>
  <c r="AB24" i="1"/>
  <c r="AA24" i="1"/>
  <c r="AA23" i="1"/>
  <c r="AA22" i="1"/>
  <c r="R75" i="1"/>
  <c r="R74" i="1"/>
  <c r="R73" i="1"/>
  <c r="R71" i="1"/>
  <c r="R70" i="1"/>
  <c r="R67" i="1"/>
  <c r="R60" i="1"/>
  <c r="R56" i="1"/>
  <c r="R55" i="1"/>
  <c r="R52" i="1"/>
  <c r="R48" i="1"/>
  <c r="R46" i="1"/>
  <c r="R45" i="1"/>
  <c r="R44" i="1"/>
  <c r="R42" i="1"/>
  <c r="R41" i="1"/>
  <c r="R40" i="1"/>
  <c r="R43" i="1"/>
  <c r="R38" i="1"/>
  <c r="R34" i="1"/>
  <c r="R33" i="1"/>
  <c r="R31" i="1"/>
  <c r="R30" i="1"/>
  <c r="R29" i="1"/>
  <c r="R28" i="1"/>
  <c r="R25" i="1"/>
  <c r="R24" i="1"/>
  <c r="Q32" i="1"/>
  <c r="Q27" i="1"/>
  <c r="Q25" i="1"/>
  <c r="Q24" i="1"/>
  <c r="P76" i="1"/>
  <c r="P72" i="1"/>
  <c r="P69" i="1"/>
  <c r="P66" i="1"/>
  <c r="P65" i="1"/>
  <c r="P64" i="1"/>
  <c r="P59" i="1"/>
  <c r="P58" i="1"/>
  <c r="P47" i="1"/>
  <c r="P39" i="1"/>
  <c r="P37" i="1"/>
  <c r="P26" i="1"/>
  <c r="P25" i="1"/>
  <c r="P24" i="1"/>
  <c r="P23" i="1"/>
  <c r="P22" i="1"/>
  <c r="N30" i="48" l="1"/>
  <c r="N29" i="48"/>
  <c r="AV17" i="59"/>
  <c r="AV18" i="59"/>
  <c r="AV19" i="59"/>
  <c r="AV20" i="59"/>
  <c r="AV21" i="59"/>
  <c r="AV22" i="59"/>
  <c r="AV23" i="59"/>
  <c r="AV24" i="59"/>
  <c r="AV25" i="59"/>
  <c r="AV26" i="59"/>
  <c r="AV27" i="59"/>
  <c r="AV28" i="59"/>
  <c r="AV29" i="59"/>
  <c r="AV30" i="59"/>
  <c r="AV31" i="59"/>
  <c r="AE17" i="59"/>
  <c r="AE18" i="59"/>
  <c r="AE19" i="59"/>
  <c r="AE20" i="59"/>
  <c r="AE21" i="59"/>
  <c r="AE22" i="59"/>
  <c r="AE23" i="59"/>
  <c r="AE24" i="59"/>
  <c r="AE25" i="59"/>
  <c r="AE26" i="59"/>
  <c r="AE27" i="59"/>
  <c r="AE28" i="59"/>
  <c r="AE29" i="59"/>
  <c r="AE30" i="59"/>
  <c r="AE31" i="59"/>
  <c r="Q17" i="59"/>
  <c r="Q18" i="59"/>
  <c r="Q19" i="59"/>
  <c r="Q20" i="59"/>
  <c r="Q21" i="59"/>
  <c r="Q22" i="59"/>
  <c r="Q23" i="59"/>
  <c r="Q24" i="59"/>
  <c r="Q25" i="59"/>
  <c r="Q26" i="59"/>
  <c r="Q27" i="59"/>
  <c r="Q28" i="59"/>
  <c r="Q29" i="59"/>
  <c r="Q30" i="59"/>
  <c r="Q31" i="59"/>
  <c r="D6" i="31" l="1"/>
  <c r="W7" i="62" l="1"/>
  <c r="W8" i="62"/>
  <c r="W9" i="62"/>
  <c r="W10" i="62"/>
  <c r="W11" i="62"/>
  <c r="W12" i="62"/>
  <c r="W13" i="62"/>
  <c r="W14" i="62"/>
  <c r="W15" i="62"/>
  <c r="W16" i="62"/>
  <c r="W17" i="62"/>
  <c r="W18" i="62"/>
  <c r="W19" i="62"/>
  <c r="W20" i="62"/>
  <c r="W21" i="62"/>
  <c r="W22" i="62"/>
  <c r="W23" i="62"/>
  <c r="W24" i="62"/>
  <c r="W25" i="62"/>
  <c r="W26" i="62"/>
  <c r="W27" i="62"/>
  <c r="W28" i="62"/>
  <c r="W29" i="62"/>
  <c r="W30" i="62"/>
  <c r="W31" i="62"/>
  <c r="W32" i="62"/>
  <c r="W33" i="62"/>
  <c r="W34" i="62"/>
  <c r="W35" i="62"/>
  <c r="W36" i="62"/>
  <c r="W37" i="62"/>
  <c r="W38" i="62"/>
  <c r="W39" i="62"/>
  <c r="W40" i="62"/>
  <c r="W41" i="62"/>
  <c r="W42" i="62"/>
  <c r="W43" i="62"/>
  <c r="W44" i="62"/>
  <c r="W45" i="62"/>
  <c r="W46" i="62"/>
  <c r="W47" i="62"/>
  <c r="W48" i="62"/>
  <c r="W49" i="62"/>
  <c r="W50" i="62"/>
  <c r="W51" i="62"/>
  <c r="W52" i="62"/>
  <c r="W53" i="62"/>
  <c r="W54" i="62"/>
  <c r="W55" i="62"/>
  <c r="W56" i="62"/>
  <c r="W57" i="62"/>
  <c r="W58" i="62"/>
  <c r="W59" i="62"/>
  <c r="W60" i="62"/>
  <c r="W61" i="62"/>
  <c r="W62" i="62"/>
  <c r="W63" i="62"/>
  <c r="W64" i="62"/>
  <c r="W65" i="62"/>
  <c r="W66" i="62"/>
  <c r="W67" i="62"/>
  <c r="W68" i="62"/>
  <c r="W69" i="62"/>
  <c r="W70" i="62"/>
  <c r="W71" i="62"/>
  <c r="W72" i="62"/>
  <c r="W73" i="62"/>
  <c r="W74" i="62"/>
  <c r="W75" i="62"/>
  <c r="W76" i="62"/>
  <c r="W77" i="62"/>
  <c r="W78" i="62"/>
  <c r="W79" i="62"/>
  <c r="W80" i="62"/>
  <c r="W81" i="62"/>
  <c r="W82" i="62"/>
  <c r="W83" i="62"/>
  <c r="W84" i="62"/>
  <c r="W85" i="62"/>
  <c r="W86" i="62"/>
  <c r="W87" i="62"/>
  <c r="W88" i="62"/>
  <c r="W89" i="62"/>
  <c r="W90" i="62"/>
  <c r="W91" i="62"/>
  <c r="W92" i="62"/>
  <c r="W93" i="62"/>
  <c r="W94" i="62"/>
  <c r="W95" i="62"/>
  <c r="W96" i="62"/>
  <c r="W97" i="62"/>
  <c r="W98" i="62"/>
  <c r="W99" i="62"/>
  <c r="W100" i="62"/>
  <c r="W101" i="62"/>
  <c r="W102" i="62"/>
  <c r="W103" i="62"/>
  <c r="W104" i="62"/>
  <c r="W105" i="62"/>
  <c r="W106" i="62"/>
  <c r="W107" i="62"/>
  <c r="W108" i="62"/>
  <c r="W109" i="62"/>
  <c r="W110" i="62"/>
  <c r="W111" i="62"/>
  <c r="W112" i="62"/>
  <c r="W113" i="62"/>
  <c r="W114" i="62"/>
  <c r="W115" i="62"/>
  <c r="W116" i="62"/>
  <c r="W117" i="62"/>
  <c r="W118" i="62"/>
  <c r="W119" i="62"/>
  <c r="W120" i="62"/>
  <c r="W121" i="62"/>
  <c r="W122" i="62"/>
  <c r="W123" i="62"/>
  <c r="W124" i="62"/>
  <c r="W125" i="62"/>
  <c r="W126" i="62"/>
  <c r="W127" i="62"/>
  <c r="W128" i="62"/>
  <c r="W129" i="62"/>
  <c r="W130" i="62"/>
  <c r="W131" i="62"/>
  <c r="W132" i="62"/>
  <c r="W133" i="62"/>
  <c r="W134" i="62"/>
  <c r="W135" i="62"/>
  <c r="W136" i="62"/>
  <c r="W137" i="62"/>
  <c r="W138" i="62"/>
  <c r="W139" i="62"/>
  <c r="W140" i="62"/>
  <c r="W141" i="62"/>
  <c r="W142" i="62"/>
  <c r="W143" i="62"/>
  <c r="W144" i="62"/>
  <c r="W145" i="62"/>
  <c r="W146" i="62"/>
  <c r="W147" i="62"/>
  <c r="W148" i="62"/>
  <c r="W149" i="62"/>
  <c r="W150" i="62"/>
  <c r="W151" i="62"/>
  <c r="W152" i="62"/>
  <c r="W153" i="62"/>
  <c r="W154" i="62"/>
  <c r="W155" i="62"/>
  <c r="W156" i="62"/>
  <c r="W157" i="62"/>
  <c r="W158" i="62"/>
  <c r="W159" i="62"/>
  <c r="W160" i="62"/>
  <c r="W161" i="62"/>
  <c r="W162" i="62"/>
  <c r="W163" i="62"/>
  <c r="W164" i="62"/>
  <c r="W165" i="62"/>
  <c r="W166" i="62"/>
  <c r="W167" i="62"/>
  <c r="W168" i="62"/>
  <c r="W169" i="62"/>
  <c r="W170" i="62"/>
  <c r="W171" i="62"/>
  <c r="W172" i="62"/>
  <c r="W173" i="62"/>
  <c r="W174" i="62"/>
  <c r="W175" i="62"/>
  <c r="W176" i="62"/>
  <c r="W177" i="62"/>
  <c r="W178" i="62"/>
  <c r="W179" i="62"/>
  <c r="W180" i="62"/>
  <c r="W181" i="62"/>
  <c r="W182" i="62"/>
  <c r="W183" i="62"/>
  <c r="W184" i="62"/>
  <c r="W185" i="62"/>
  <c r="W186" i="62"/>
  <c r="W187" i="62"/>
  <c r="W188" i="62"/>
  <c r="W189" i="62"/>
  <c r="W190" i="62"/>
  <c r="W191" i="62"/>
  <c r="W192" i="62"/>
  <c r="W193" i="62"/>
  <c r="W194" i="62"/>
  <c r="W195" i="62"/>
  <c r="W196" i="62"/>
  <c r="W197" i="62"/>
  <c r="W198" i="62"/>
  <c r="W199" i="62"/>
  <c r="W200" i="62"/>
  <c r="W201" i="62"/>
  <c r="W202" i="62"/>
  <c r="W203" i="62"/>
  <c r="W204" i="62"/>
  <c r="W205" i="62"/>
  <c r="W206" i="62"/>
  <c r="W207" i="62"/>
  <c r="W208" i="62"/>
  <c r="W209" i="62"/>
  <c r="W210" i="62"/>
  <c r="W211" i="62"/>
  <c r="W212" i="62"/>
  <c r="W213" i="62"/>
  <c r="W214" i="62"/>
  <c r="W215" i="62"/>
  <c r="W216" i="62"/>
  <c r="W217" i="62"/>
  <c r="W218" i="62"/>
  <c r="W219" i="62"/>
  <c r="W220" i="62"/>
  <c r="W221" i="62"/>
  <c r="W222" i="62"/>
  <c r="W223" i="62"/>
  <c r="W224" i="62"/>
  <c r="W225" i="62"/>
  <c r="W226" i="62"/>
  <c r="W227" i="62"/>
  <c r="W228" i="62"/>
  <c r="W229" i="62"/>
  <c r="W230" i="62"/>
  <c r="W231" i="62"/>
  <c r="W232" i="62"/>
  <c r="W233" i="62"/>
  <c r="W234" i="62"/>
  <c r="W235" i="62"/>
  <c r="W236" i="62"/>
  <c r="W237" i="62"/>
  <c r="W238" i="62"/>
  <c r="W239" i="62"/>
  <c r="W240" i="62"/>
  <c r="W241" i="62"/>
  <c r="W242" i="62"/>
  <c r="W243" i="62"/>
  <c r="W244" i="62"/>
  <c r="W245" i="62"/>
  <c r="W246" i="62"/>
  <c r="W247" i="62"/>
  <c r="W248" i="62"/>
  <c r="W249" i="62"/>
  <c r="W250" i="62"/>
  <c r="W251" i="62"/>
  <c r="W252" i="62"/>
  <c r="W253" i="62"/>
  <c r="W254" i="62"/>
  <c r="W255" i="62"/>
  <c r="W256" i="62"/>
  <c r="W257" i="62"/>
  <c r="W258" i="62"/>
  <c r="W259" i="62"/>
  <c r="W260" i="62"/>
  <c r="W261" i="62"/>
  <c r="W262" i="62"/>
  <c r="W263" i="62"/>
  <c r="W264" i="62"/>
  <c r="W265" i="62"/>
  <c r="W266" i="62"/>
  <c r="W267" i="62"/>
  <c r="W268" i="62"/>
  <c r="W269" i="62"/>
  <c r="W270" i="62"/>
  <c r="W271" i="62"/>
  <c r="W272" i="62"/>
  <c r="W273" i="62"/>
  <c r="W274" i="62"/>
  <c r="W275" i="62"/>
  <c r="W276" i="62"/>
  <c r="W277" i="62"/>
  <c r="W278" i="62"/>
  <c r="W279" i="62"/>
  <c r="W280" i="62"/>
  <c r="W281" i="62"/>
  <c r="W282" i="62"/>
  <c r="W283" i="62"/>
  <c r="W284" i="62"/>
  <c r="W285" i="62"/>
  <c r="W286" i="62"/>
  <c r="W287" i="62"/>
  <c r="W288" i="62"/>
  <c r="W289" i="62"/>
  <c r="W290" i="62"/>
  <c r="W291" i="62"/>
  <c r="W292" i="62"/>
  <c r="W293" i="62"/>
  <c r="W294" i="62"/>
  <c r="W295" i="62"/>
  <c r="W296" i="62"/>
  <c r="W297" i="62"/>
  <c r="W298" i="62"/>
  <c r="W299" i="62"/>
  <c r="W300" i="62"/>
  <c r="W301" i="62"/>
  <c r="W302" i="62"/>
  <c r="W303" i="62"/>
  <c r="W304" i="62"/>
  <c r="W305" i="62"/>
  <c r="W306" i="62"/>
  <c r="W307" i="62"/>
  <c r="W308" i="62"/>
  <c r="W309" i="62"/>
  <c r="W310" i="62"/>
  <c r="W311" i="62"/>
  <c r="W312" i="62"/>
  <c r="W313" i="62"/>
  <c r="W314" i="62"/>
  <c r="W315" i="62"/>
  <c r="W316" i="62"/>
  <c r="W317" i="62"/>
  <c r="W318" i="62"/>
  <c r="W319" i="62"/>
  <c r="W320" i="62"/>
  <c r="W321" i="62"/>
  <c r="W322" i="62"/>
  <c r="W323" i="62"/>
  <c r="W324" i="62"/>
  <c r="W325" i="62"/>
  <c r="W326" i="62"/>
  <c r="W327" i="62"/>
  <c r="W328" i="62"/>
  <c r="W329" i="62"/>
  <c r="W330" i="62"/>
  <c r="W331" i="62"/>
  <c r="W332" i="62"/>
  <c r="W333" i="62"/>
  <c r="W334" i="62"/>
  <c r="W335" i="62"/>
  <c r="W336" i="62"/>
  <c r="W337" i="62"/>
  <c r="W338" i="62"/>
  <c r="W339" i="62"/>
  <c r="W340" i="62"/>
  <c r="W341" i="62"/>
  <c r="W342" i="62"/>
  <c r="W343" i="62"/>
  <c r="W344" i="62"/>
  <c r="W345" i="62"/>
  <c r="W346" i="62"/>
  <c r="W347" i="62"/>
  <c r="W348" i="62"/>
  <c r="W349" i="62"/>
  <c r="W350" i="62"/>
  <c r="W351" i="62"/>
  <c r="W352" i="62"/>
  <c r="W353" i="62"/>
  <c r="W354" i="62"/>
  <c r="W355" i="62"/>
  <c r="W356" i="62"/>
  <c r="W357" i="62"/>
  <c r="W358" i="62"/>
  <c r="W359" i="62"/>
  <c r="W360" i="62"/>
  <c r="W361" i="62"/>
  <c r="W362" i="62"/>
  <c r="W363" i="62"/>
  <c r="W364" i="62"/>
  <c r="W365" i="62"/>
  <c r="W366" i="62"/>
  <c r="W367" i="62"/>
  <c r="W368" i="62"/>
  <c r="W369" i="62"/>
  <c r="W370" i="62"/>
  <c r="W371" i="62"/>
  <c r="W372" i="62"/>
  <c r="W373" i="62"/>
  <c r="W374" i="62"/>
  <c r="W375" i="62"/>
  <c r="W376" i="62"/>
  <c r="W377" i="62"/>
  <c r="W378" i="62"/>
  <c r="W379" i="62"/>
  <c r="W380" i="62"/>
  <c r="W381" i="62"/>
  <c r="W382" i="62"/>
  <c r="W383" i="62"/>
  <c r="W384" i="62"/>
  <c r="W385" i="62"/>
  <c r="W386" i="62"/>
  <c r="W387" i="62"/>
  <c r="W388" i="62"/>
  <c r="W389" i="62"/>
  <c r="W390" i="62"/>
  <c r="W391" i="62"/>
  <c r="W392" i="62"/>
  <c r="W393" i="62"/>
  <c r="W394" i="62"/>
  <c r="W395" i="62"/>
  <c r="W396" i="62"/>
  <c r="W397" i="62"/>
  <c r="W398" i="62"/>
  <c r="W399" i="62"/>
  <c r="W400" i="62"/>
  <c r="W401" i="62"/>
  <c r="W402" i="62"/>
  <c r="W403" i="62"/>
  <c r="W404" i="62"/>
  <c r="W405" i="62"/>
  <c r="W406" i="62"/>
  <c r="W407" i="62"/>
  <c r="W408" i="62"/>
  <c r="W409" i="62"/>
  <c r="W410" i="62"/>
  <c r="W411" i="62"/>
  <c r="W412" i="62"/>
  <c r="W413" i="62"/>
  <c r="W414" i="62"/>
  <c r="W415" i="62"/>
  <c r="W416" i="62"/>
  <c r="W417" i="62"/>
  <c r="W418" i="62"/>
  <c r="W419" i="62"/>
  <c r="W420" i="62"/>
  <c r="W421" i="62"/>
  <c r="W422" i="62"/>
  <c r="W423" i="62"/>
  <c r="W424" i="62"/>
  <c r="W425" i="62"/>
  <c r="W426" i="62"/>
  <c r="W427" i="62"/>
  <c r="W428" i="62"/>
  <c r="W429" i="62"/>
  <c r="W430" i="62"/>
  <c r="W431" i="62"/>
  <c r="W432" i="62"/>
  <c r="W433" i="62"/>
  <c r="W434" i="62"/>
  <c r="W435" i="62"/>
  <c r="W436" i="62"/>
  <c r="W437" i="62"/>
  <c r="W438" i="62"/>
  <c r="W439" i="62"/>
  <c r="W440" i="62"/>
  <c r="W441" i="62"/>
  <c r="W442" i="62"/>
  <c r="W443" i="62"/>
  <c r="W444" i="62"/>
  <c r="W445" i="62"/>
  <c r="W446" i="62"/>
  <c r="W447" i="62"/>
  <c r="W448" i="62"/>
  <c r="W449" i="62"/>
  <c r="W450" i="62"/>
  <c r="W451" i="62"/>
  <c r="W452" i="62"/>
  <c r="W453" i="62"/>
  <c r="W454" i="62"/>
  <c r="W455" i="62"/>
  <c r="W456" i="62"/>
  <c r="W457" i="62"/>
  <c r="W458" i="62"/>
  <c r="W459" i="62"/>
  <c r="W460" i="62"/>
  <c r="W461" i="62"/>
  <c r="W462" i="62"/>
  <c r="W463" i="62"/>
  <c r="W464" i="62"/>
  <c r="W465" i="62"/>
  <c r="W466" i="62"/>
  <c r="W467" i="62"/>
  <c r="W468" i="62"/>
  <c r="W469" i="62"/>
  <c r="W470" i="62"/>
  <c r="W471" i="62"/>
  <c r="W472" i="62"/>
  <c r="W473" i="62"/>
  <c r="W474" i="62"/>
  <c r="W475" i="62"/>
  <c r="W476" i="62"/>
  <c r="W477" i="62"/>
  <c r="W478" i="62"/>
  <c r="W479" i="62"/>
  <c r="W480" i="62"/>
  <c r="W481" i="62"/>
  <c r="W482" i="62"/>
  <c r="W483" i="62"/>
  <c r="W484" i="62"/>
  <c r="W485" i="62"/>
  <c r="W486" i="62"/>
  <c r="W487" i="62"/>
  <c r="W488" i="62"/>
  <c r="W489" i="62"/>
  <c r="W490" i="62"/>
  <c r="W491" i="62"/>
  <c r="W492" i="62"/>
  <c r="W493" i="62"/>
  <c r="W494" i="62"/>
  <c r="W495" i="62"/>
  <c r="W496" i="62"/>
  <c r="W497" i="62"/>
  <c r="W498" i="62"/>
  <c r="W499" i="62"/>
  <c r="W500" i="62"/>
  <c r="W501" i="62"/>
  <c r="W502" i="62"/>
  <c r="W503" i="62"/>
  <c r="W504" i="62"/>
  <c r="W505" i="62"/>
  <c r="W506" i="62"/>
  <c r="W507" i="62"/>
  <c r="W508" i="62"/>
  <c r="W509" i="62"/>
  <c r="W510" i="62"/>
  <c r="W511" i="62"/>
  <c r="W512" i="62"/>
  <c r="W513" i="62"/>
  <c r="W514" i="62"/>
  <c r="W515" i="62"/>
  <c r="W516" i="62"/>
  <c r="W517" i="62"/>
  <c r="W518" i="62"/>
  <c r="W519" i="62"/>
  <c r="W520" i="62"/>
  <c r="W521" i="62"/>
  <c r="W522" i="62"/>
  <c r="W523" i="62"/>
  <c r="W524" i="62"/>
  <c r="W525" i="62"/>
  <c r="W526" i="62"/>
  <c r="W527" i="62"/>
  <c r="W528" i="62"/>
  <c r="W529" i="62"/>
  <c r="W530" i="62"/>
  <c r="W531" i="62"/>
  <c r="W532" i="62"/>
  <c r="W533" i="62"/>
  <c r="W534" i="62"/>
  <c r="W535" i="62"/>
  <c r="W536" i="62"/>
  <c r="W537" i="62"/>
  <c r="W538" i="62"/>
  <c r="W539" i="62"/>
  <c r="W540" i="62"/>
  <c r="W541" i="62"/>
  <c r="W542" i="62"/>
  <c r="W543" i="62"/>
  <c r="W544" i="62"/>
  <c r="W545" i="62"/>
  <c r="W546" i="62"/>
  <c r="W547" i="62"/>
  <c r="W548" i="62"/>
  <c r="W549" i="62"/>
  <c r="W550" i="62"/>
  <c r="W551" i="62"/>
  <c r="W552" i="62"/>
  <c r="W553" i="62"/>
  <c r="W554" i="62"/>
  <c r="W555" i="62"/>
  <c r="W556" i="62"/>
  <c r="W557" i="62"/>
  <c r="W558" i="62"/>
  <c r="W559" i="62"/>
  <c r="W560" i="62"/>
  <c r="W561" i="62"/>
  <c r="W562" i="62"/>
  <c r="W563" i="62"/>
  <c r="W564" i="62"/>
  <c r="W565" i="62"/>
  <c r="W566" i="62"/>
  <c r="W567" i="62"/>
  <c r="W568" i="62"/>
  <c r="W569" i="62"/>
  <c r="W570" i="62"/>
  <c r="W571" i="62"/>
  <c r="W572" i="62"/>
  <c r="W573" i="62"/>
  <c r="W574" i="62"/>
  <c r="W575" i="62"/>
  <c r="W576" i="62"/>
  <c r="W577" i="62"/>
  <c r="W578" i="62"/>
  <c r="W579" i="62"/>
  <c r="W580" i="62"/>
  <c r="W581" i="62"/>
  <c r="W582" i="62"/>
  <c r="W583" i="62"/>
  <c r="W584" i="62"/>
  <c r="W585" i="62"/>
  <c r="W586" i="62"/>
  <c r="W587" i="62"/>
  <c r="W588" i="62"/>
  <c r="W589" i="62"/>
  <c r="W590" i="62"/>
  <c r="W591" i="62"/>
  <c r="W592" i="62"/>
  <c r="W593" i="62"/>
  <c r="W594" i="62"/>
  <c r="W595" i="62"/>
  <c r="W596" i="62"/>
  <c r="W597" i="62"/>
  <c r="W598" i="62"/>
  <c r="W599" i="62"/>
  <c r="W600" i="62"/>
  <c r="W601" i="62"/>
  <c r="W602" i="62"/>
  <c r="W603" i="62"/>
  <c r="W604" i="62"/>
  <c r="W605" i="62"/>
  <c r="W606" i="62"/>
  <c r="W607" i="62"/>
  <c r="W608" i="62"/>
  <c r="W609" i="62"/>
  <c r="W610" i="62"/>
  <c r="W611" i="62"/>
  <c r="W612" i="62"/>
  <c r="W613" i="62"/>
  <c r="W614" i="62"/>
  <c r="W615" i="62"/>
  <c r="W616" i="62"/>
  <c r="W617" i="62"/>
  <c r="W618" i="62"/>
  <c r="W619" i="62"/>
  <c r="W620" i="62"/>
  <c r="W621" i="62"/>
  <c r="W622" i="62"/>
  <c r="W623" i="62"/>
  <c r="W624" i="62"/>
  <c r="W625" i="62"/>
  <c r="W626" i="62"/>
  <c r="W627" i="62"/>
  <c r="W628" i="62"/>
  <c r="W629" i="62"/>
  <c r="W630" i="62"/>
  <c r="W631" i="62"/>
  <c r="W632" i="62"/>
  <c r="W633" i="62"/>
  <c r="W634" i="62"/>
  <c r="W635" i="62"/>
  <c r="W636" i="62"/>
  <c r="W637" i="62"/>
  <c r="W638" i="62"/>
  <c r="W639" i="62"/>
  <c r="W640" i="62"/>
  <c r="W641" i="62"/>
  <c r="W642" i="62"/>
  <c r="W643" i="62"/>
  <c r="W644" i="62"/>
  <c r="W645" i="62"/>
  <c r="W646" i="62"/>
  <c r="W647" i="62"/>
  <c r="W648" i="62"/>
  <c r="W649" i="62"/>
  <c r="W650" i="62"/>
  <c r="W651" i="62"/>
  <c r="W652" i="62"/>
  <c r="W653" i="62"/>
  <c r="W654" i="62"/>
  <c r="W655" i="62"/>
  <c r="W656" i="62"/>
  <c r="W657" i="62"/>
  <c r="W658" i="62"/>
  <c r="W659" i="62"/>
  <c r="W660" i="62"/>
  <c r="W661" i="62"/>
  <c r="W662" i="62"/>
  <c r="W663" i="62"/>
  <c r="W664" i="62"/>
  <c r="W665" i="62"/>
  <c r="W666" i="62"/>
  <c r="W667" i="62"/>
  <c r="W668" i="62"/>
  <c r="W669" i="62"/>
  <c r="W670" i="62"/>
  <c r="W671" i="62"/>
  <c r="W672" i="62"/>
  <c r="W673" i="62"/>
  <c r="W674" i="62"/>
  <c r="W675" i="62"/>
  <c r="W676" i="62"/>
  <c r="W677" i="62"/>
  <c r="W678" i="62"/>
  <c r="W679" i="62"/>
  <c r="W680" i="62"/>
  <c r="W681" i="62"/>
  <c r="W682" i="62"/>
  <c r="W683" i="62"/>
  <c r="W684" i="62"/>
  <c r="W685" i="62"/>
  <c r="W686" i="62"/>
  <c r="W687" i="62"/>
  <c r="W688" i="62"/>
  <c r="W689" i="62"/>
  <c r="W690" i="62"/>
  <c r="W691" i="62"/>
  <c r="W692" i="62"/>
  <c r="W693" i="62"/>
  <c r="W694" i="62"/>
  <c r="W695" i="62"/>
  <c r="W696" i="62"/>
  <c r="W697" i="62"/>
  <c r="W698" i="62"/>
  <c r="W699" i="62"/>
  <c r="W700" i="62"/>
  <c r="W701" i="62"/>
  <c r="W702" i="62"/>
  <c r="W703" i="62"/>
  <c r="W704" i="62"/>
  <c r="W705" i="62"/>
  <c r="W706" i="62"/>
  <c r="W707" i="62"/>
  <c r="W708" i="62"/>
  <c r="W709" i="62"/>
  <c r="W710" i="62"/>
  <c r="W711" i="62"/>
  <c r="W712" i="62"/>
  <c r="W713" i="62"/>
  <c r="W714" i="62"/>
  <c r="W715" i="62"/>
  <c r="W716" i="62"/>
  <c r="W717" i="62"/>
  <c r="W718" i="62"/>
  <c r="W719" i="62"/>
  <c r="W720" i="62"/>
  <c r="W721" i="62"/>
  <c r="W722" i="62"/>
  <c r="W723" i="62"/>
  <c r="W724" i="62"/>
  <c r="W725" i="62"/>
  <c r="W726" i="62"/>
  <c r="W727" i="62"/>
  <c r="W728" i="62"/>
  <c r="W729" i="62"/>
  <c r="W730" i="62"/>
  <c r="W731" i="62"/>
  <c r="W732" i="62"/>
  <c r="W733" i="62"/>
  <c r="W734" i="62"/>
  <c r="W735" i="62"/>
  <c r="W736" i="62"/>
  <c r="W737" i="62"/>
  <c r="W738" i="62"/>
  <c r="W739" i="62"/>
  <c r="W740" i="62"/>
  <c r="W741" i="62"/>
  <c r="W742" i="62"/>
  <c r="W743" i="62"/>
  <c r="W744" i="62"/>
  <c r="W745" i="62"/>
  <c r="W746" i="62"/>
  <c r="W747" i="62"/>
  <c r="W748" i="62"/>
  <c r="W749" i="62"/>
  <c r="W750" i="62"/>
  <c r="W751" i="62"/>
  <c r="W752" i="62"/>
  <c r="W753" i="62"/>
  <c r="W754" i="62"/>
  <c r="W755" i="62"/>
  <c r="W756" i="62"/>
  <c r="W757" i="62"/>
  <c r="W758" i="62"/>
  <c r="W759" i="62"/>
  <c r="W760" i="62"/>
  <c r="W761" i="62"/>
  <c r="W762" i="62"/>
  <c r="W763" i="62"/>
  <c r="W764" i="62"/>
  <c r="W765" i="62"/>
  <c r="W766" i="62"/>
  <c r="W767" i="62"/>
  <c r="W768" i="62"/>
  <c r="W769" i="62"/>
  <c r="W770" i="62"/>
  <c r="W771" i="62"/>
  <c r="W772" i="62"/>
  <c r="W773" i="62"/>
  <c r="W774" i="62"/>
  <c r="W775" i="62"/>
  <c r="W776" i="62"/>
  <c r="W777" i="62"/>
  <c r="W778" i="62"/>
  <c r="W779" i="62"/>
  <c r="W780" i="62"/>
  <c r="W781" i="62"/>
  <c r="W782" i="62"/>
  <c r="W783" i="62"/>
  <c r="W784" i="62"/>
  <c r="W785" i="62"/>
  <c r="W786" i="62"/>
  <c r="W787" i="62"/>
  <c r="W788" i="62"/>
  <c r="W789" i="62"/>
  <c r="W790" i="62"/>
  <c r="W791" i="62"/>
  <c r="W792" i="62"/>
  <c r="W793" i="62"/>
  <c r="W794" i="62"/>
  <c r="W795" i="62"/>
  <c r="W796" i="62"/>
  <c r="W797" i="62"/>
  <c r="W798" i="62"/>
  <c r="W799" i="62"/>
  <c r="W800" i="62"/>
  <c r="W801" i="62"/>
  <c r="W802" i="62"/>
  <c r="W803" i="62"/>
  <c r="W804" i="62"/>
  <c r="W805" i="62"/>
  <c r="W806" i="62"/>
  <c r="W807" i="62"/>
  <c r="W808" i="62"/>
  <c r="W809" i="62"/>
  <c r="W810" i="62"/>
  <c r="W811" i="62"/>
  <c r="W812" i="62"/>
  <c r="W813" i="62"/>
  <c r="W814" i="62"/>
  <c r="W815" i="62"/>
  <c r="W816" i="62"/>
  <c r="W817" i="62"/>
  <c r="W818" i="62"/>
  <c r="W819" i="62"/>
  <c r="W820" i="62"/>
  <c r="W821" i="62"/>
  <c r="W822" i="62"/>
  <c r="W823" i="62"/>
  <c r="W824" i="62"/>
  <c r="W825" i="62"/>
  <c r="W826" i="62"/>
  <c r="W827" i="62"/>
  <c r="W828" i="62"/>
  <c r="W829" i="62"/>
  <c r="W830" i="62"/>
  <c r="W831" i="62"/>
  <c r="W832" i="62"/>
  <c r="W833" i="62"/>
  <c r="W834" i="62"/>
  <c r="W835" i="62"/>
  <c r="W836" i="62"/>
  <c r="W837" i="62"/>
  <c r="W838" i="62"/>
  <c r="W839" i="62"/>
  <c r="W840" i="62"/>
  <c r="W841" i="62"/>
  <c r="W842" i="62"/>
  <c r="W843" i="62"/>
  <c r="W844" i="62"/>
  <c r="W845" i="62"/>
  <c r="W846" i="62"/>
  <c r="W847" i="62"/>
  <c r="W848" i="62"/>
  <c r="W849" i="62"/>
  <c r="W850" i="62"/>
  <c r="W851" i="62"/>
  <c r="W852" i="62"/>
  <c r="W853" i="62"/>
  <c r="W854" i="62"/>
  <c r="W855" i="62"/>
  <c r="W856" i="62"/>
  <c r="W857" i="62"/>
  <c r="W858" i="62"/>
  <c r="W859" i="62"/>
  <c r="W860" i="62"/>
  <c r="W861" i="62"/>
  <c r="W862" i="62"/>
  <c r="W863" i="62"/>
  <c r="W864" i="62"/>
  <c r="W865" i="62"/>
  <c r="W866" i="62"/>
  <c r="W867" i="62"/>
  <c r="W868" i="62"/>
  <c r="W869" i="62"/>
  <c r="W870" i="62"/>
  <c r="W871" i="62"/>
  <c r="W872" i="62"/>
  <c r="W873" i="62"/>
  <c r="W874" i="62"/>
  <c r="W875" i="62"/>
  <c r="W876" i="62"/>
  <c r="W877" i="62"/>
  <c r="W878" i="62"/>
  <c r="W879" i="62"/>
  <c r="W880" i="62"/>
  <c r="W881" i="62"/>
  <c r="W882" i="62"/>
  <c r="W883" i="62"/>
  <c r="W884" i="62"/>
  <c r="W885" i="62"/>
  <c r="W886" i="62"/>
  <c r="W887" i="62"/>
  <c r="W888" i="62"/>
  <c r="W889" i="62"/>
  <c r="W890" i="62"/>
  <c r="W891" i="62"/>
  <c r="W892" i="62"/>
  <c r="W893" i="62"/>
  <c r="W894" i="62"/>
  <c r="W895" i="62"/>
  <c r="W896" i="62"/>
  <c r="W897" i="62"/>
  <c r="W898" i="62"/>
  <c r="W899" i="62"/>
  <c r="W900" i="62"/>
  <c r="W901" i="62"/>
  <c r="W902" i="62"/>
  <c r="W903" i="62"/>
  <c r="W904" i="62"/>
  <c r="W905" i="62"/>
  <c r="W906" i="62"/>
  <c r="W907" i="62"/>
  <c r="W908" i="62"/>
  <c r="W909" i="62"/>
  <c r="W910" i="62"/>
  <c r="W911" i="62"/>
  <c r="W912" i="62"/>
  <c r="W913" i="62"/>
  <c r="W914" i="62"/>
  <c r="W915" i="62"/>
  <c r="W916" i="62"/>
  <c r="W917" i="62"/>
  <c r="W918" i="62"/>
  <c r="W919" i="62"/>
  <c r="W920" i="62"/>
  <c r="W921" i="62"/>
  <c r="W922" i="62"/>
  <c r="W923" i="62"/>
  <c r="W924" i="62"/>
  <c r="W925" i="62"/>
  <c r="W926" i="62"/>
  <c r="W927" i="62"/>
  <c r="W928" i="62"/>
  <c r="W929" i="62"/>
  <c r="W930" i="62"/>
  <c r="W931" i="62"/>
  <c r="W932" i="62"/>
  <c r="W933" i="62"/>
  <c r="W934" i="62"/>
  <c r="W935" i="62"/>
  <c r="W936" i="62"/>
  <c r="W937" i="62"/>
  <c r="W938" i="62"/>
  <c r="W939" i="62"/>
  <c r="W940" i="62"/>
  <c r="W941" i="62"/>
  <c r="W942" i="62"/>
  <c r="W943" i="62"/>
  <c r="W944" i="62"/>
  <c r="W945" i="62"/>
  <c r="W946" i="62"/>
  <c r="W947" i="62"/>
  <c r="W948" i="62"/>
  <c r="W949" i="62"/>
  <c r="W950" i="62"/>
  <c r="W951" i="62"/>
  <c r="W952" i="62"/>
  <c r="W953" i="62"/>
  <c r="W954" i="62"/>
  <c r="W955" i="62"/>
  <c r="W956" i="62"/>
  <c r="W957" i="62"/>
  <c r="W958" i="62"/>
  <c r="W959" i="62"/>
  <c r="W960" i="62"/>
  <c r="W961" i="62"/>
  <c r="W962" i="62"/>
  <c r="W963" i="62"/>
  <c r="W964" i="62"/>
  <c r="W965" i="62"/>
  <c r="W966" i="62"/>
  <c r="W967" i="62"/>
  <c r="W968" i="62"/>
  <c r="W969" i="62"/>
  <c r="W970" i="62"/>
  <c r="W971" i="62"/>
  <c r="W972" i="62"/>
  <c r="W973" i="62"/>
  <c r="W974" i="62"/>
  <c r="W975" i="62"/>
  <c r="W976" i="62"/>
  <c r="W977" i="62"/>
  <c r="W978" i="62"/>
  <c r="W979" i="62"/>
  <c r="W980" i="62"/>
  <c r="W981" i="62"/>
  <c r="W982" i="62"/>
  <c r="W983" i="62"/>
  <c r="W984" i="62"/>
  <c r="W985" i="62"/>
  <c r="W986" i="62"/>
  <c r="W987" i="62"/>
  <c r="W988" i="62"/>
  <c r="W989" i="62"/>
  <c r="W990" i="62"/>
  <c r="W991" i="62"/>
  <c r="W992" i="62"/>
  <c r="W993" i="62"/>
  <c r="W994" i="62"/>
  <c r="W995" i="62"/>
  <c r="W996" i="62"/>
  <c r="W997" i="62"/>
  <c r="W998" i="62"/>
  <c r="W999" i="62"/>
  <c r="W1000" i="62"/>
  <c r="W1001" i="62"/>
  <c r="W1002" i="62"/>
  <c r="W1003" i="62"/>
  <c r="W1004" i="62"/>
  <c r="W1005" i="62"/>
  <c r="W1006" i="62"/>
  <c r="W1007" i="62"/>
  <c r="W1008" i="62"/>
  <c r="W1009" i="62"/>
  <c r="W1010" i="62"/>
  <c r="W1011" i="62"/>
  <c r="W1012" i="62"/>
  <c r="W1013" i="62"/>
  <c r="W1014" i="62"/>
  <c r="W1015" i="62"/>
  <c r="W1016" i="62"/>
  <c r="W1017" i="62"/>
  <c r="W1018" i="62"/>
  <c r="W1019" i="62"/>
  <c r="W1020" i="62"/>
  <c r="W1021" i="62"/>
  <c r="W1022" i="62"/>
  <c r="W1023" i="62"/>
  <c r="W1024" i="62"/>
  <c r="W1025" i="62"/>
  <c r="W1026" i="62"/>
  <c r="W1027" i="62"/>
  <c r="W1028" i="62"/>
  <c r="W1029" i="62"/>
  <c r="W1030" i="62"/>
  <c r="W1031" i="62"/>
  <c r="W1032" i="62"/>
  <c r="W1033" i="62"/>
  <c r="W1034" i="62"/>
  <c r="W1035" i="62"/>
  <c r="W1036" i="62"/>
  <c r="W1037" i="62"/>
  <c r="W1038" i="62"/>
  <c r="W1039" i="62"/>
  <c r="W1040" i="62"/>
  <c r="W1041" i="62"/>
  <c r="W1042" i="62"/>
  <c r="W1043" i="62"/>
  <c r="W1044" i="62"/>
  <c r="W1045" i="62"/>
  <c r="W1046" i="62"/>
  <c r="W1047" i="62"/>
  <c r="W1048" i="62"/>
  <c r="W1049" i="62"/>
  <c r="W1050" i="62"/>
  <c r="W1051" i="62"/>
  <c r="W1052" i="62"/>
  <c r="W1053" i="62"/>
  <c r="W1054" i="62"/>
  <c r="W1055" i="62"/>
  <c r="W1056" i="62"/>
  <c r="W1057" i="62"/>
  <c r="W1058" i="62"/>
  <c r="W1059" i="62"/>
  <c r="W1060" i="62"/>
  <c r="W1061" i="62"/>
  <c r="W1062" i="62"/>
  <c r="W1063" i="62"/>
  <c r="W1064" i="62"/>
  <c r="W1065" i="62"/>
  <c r="W1066" i="62"/>
  <c r="W1067" i="62"/>
  <c r="W1068" i="62"/>
  <c r="W1069" i="62"/>
  <c r="W1070" i="62"/>
  <c r="W1071" i="62"/>
  <c r="W1072" i="62"/>
  <c r="W1073" i="62"/>
  <c r="W1074" i="62"/>
  <c r="W1075" i="62"/>
  <c r="W1076" i="62"/>
  <c r="W1077" i="62"/>
  <c r="W1078" i="62"/>
  <c r="W1079" i="62"/>
  <c r="W1080" i="62"/>
  <c r="W1081" i="62"/>
  <c r="W1082" i="62"/>
  <c r="W1083" i="62"/>
  <c r="W1084" i="62"/>
  <c r="W1085" i="62"/>
  <c r="W1086" i="62"/>
  <c r="W1087" i="62"/>
  <c r="W1088" i="62"/>
  <c r="W1089" i="62"/>
  <c r="W1090" i="62"/>
  <c r="W1091" i="62"/>
  <c r="W1092" i="62"/>
  <c r="W1093" i="62"/>
  <c r="W1094" i="62"/>
  <c r="W1095" i="62"/>
  <c r="W1096" i="62"/>
  <c r="W1097" i="62"/>
  <c r="W1098" i="62"/>
  <c r="W1099" i="62"/>
  <c r="W1100" i="62"/>
  <c r="W1101" i="62"/>
  <c r="W1102" i="62"/>
  <c r="W1103" i="62"/>
  <c r="W1104" i="62"/>
  <c r="W1105" i="62"/>
  <c r="W1106" i="62"/>
  <c r="W1107" i="62"/>
  <c r="W1108" i="62"/>
  <c r="W1109" i="62"/>
  <c r="W1110" i="62"/>
  <c r="W1111" i="62"/>
  <c r="W1112" i="62"/>
  <c r="W1113" i="62"/>
  <c r="W1114" i="62"/>
  <c r="W1115" i="62"/>
  <c r="W1116" i="62"/>
  <c r="W1117" i="62"/>
  <c r="W1118" i="62"/>
  <c r="W1119" i="62"/>
  <c r="W1120" i="62"/>
  <c r="W1121" i="62"/>
  <c r="W1122" i="62"/>
  <c r="W1123" i="62"/>
  <c r="W1124" i="62"/>
  <c r="W1125" i="62"/>
  <c r="W1126" i="62"/>
  <c r="W1127" i="62"/>
  <c r="W1128" i="62"/>
  <c r="W1129" i="62"/>
  <c r="W1130" i="62"/>
  <c r="W1131" i="62"/>
  <c r="W1132" i="62"/>
  <c r="W1133" i="62"/>
  <c r="W1134" i="62"/>
  <c r="W1135" i="62"/>
  <c r="W1136" i="62"/>
  <c r="W1137" i="62"/>
  <c r="W1138" i="62"/>
  <c r="W1139" i="62"/>
  <c r="W1140" i="62"/>
  <c r="W1141" i="62"/>
  <c r="W1142" i="62"/>
  <c r="W1143" i="62"/>
  <c r="W1144" i="62"/>
  <c r="W1145" i="62"/>
  <c r="W1146" i="62"/>
  <c r="W1147" i="62"/>
  <c r="W1148" i="62"/>
  <c r="W1149" i="62"/>
  <c r="W1150" i="62"/>
  <c r="W1151" i="62"/>
  <c r="W1152" i="62"/>
  <c r="W1153" i="62"/>
  <c r="W1154" i="62"/>
  <c r="W1155" i="62"/>
  <c r="W1156" i="62"/>
  <c r="W1157" i="62"/>
  <c r="W1158" i="62"/>
  <c r="W1159" i="62"/>
  <c r="W1160" i="62"/>
  <c r="W1161" i="62"/>
  <c r="W1162" i="62"/>
  <c r="W1163" i="62"/>
  <c r="W1164" i="62"/>
  <c r="W1165" i="62"/>
  <c r="W1166" i="62"/>
  <c r="W1167" i="62"/>
  <c r="W1168" i="62"/>
  <c r="W1169" i="62"/>
  <c r="W1170" i="62"/>
  <c r="W1171" i="62"/>
  <c r="W1172" i="62"/>
  <c r="W1173" i="62"/>
  <c r="W1174" i="62"/>
  <c r="W1175" i="62"/>
  <c r="W1176" i="62"/>
  <c r="W1177" i="62"/>
  <c r="W1178" i="62"/>
  <c r="W1179" i="62"/>
  <c r="W1180" i="62"/>
  <c r="W1181" i="62"/>
  <c r="W1182" i="62"/>
  <c r="W1183" i="62"/>
  <c r="W1184" i="62"/>
  <c r="W1185" i="62"/>
  <c r="W1186" i="62"/>
  <c r="W1187" i="62"/>
  <c r="W1188" i="62"/>
  <c r="W1189" i="62"/>
  <c r="W1190" i="62"/>
  <c r="W1191" i="62"/>
  <c r="W1192" i="62"/>
  <c r="W1193" i="62"/>
  <c r="W1194" i="62"/>
  <c r="W1195" i="62"/>
  <c r="W1196" i="62"/>
  <c r="W1197" i="62"/>
  <c r="W1198" i="62"/>
  <c r="W1199" i="62"/>
  <c r="W1200" i="62"/>
  <c r="W1201" i="62"/>
  <c r="W1202" i="62"/>
  <c r="W1203" i="62"/>
  <c r="W1204" i="62"/>
  <c r="W1205" i="62"/>
  <c r="W1206" i="62"/>
  <c r="W1207" i="62"/>
  <c r="W1208" i="62"/>
  <c r="W1209" i="62"/>
  <c r="W1210" i="62"/>
  <c r="W1211" i="62"/>
  <c r="W1212" i="62"/>
  <c r="W1213" i="62"/>
  <c r="W1214" i="62"/>
  <c r="W1215" i="62"/>
  <c r="W1216" i="62"/>
  <c r="W1217" i="62"/>
  <c r="W1218" i="62"/>
  <c r="W1219" i="62"/>
  <c r="W1220" i="62"/>
  <c r="W1221" i="62"/>
  <c r="W1222" i="62"/>
  <c r="W1223" i="62"/>
  <c r="W1224" i="62"/>
  <c r="W1225" i="62"/>
  <c r="W1226" i="62"/>
  <c r="W1227" i="62"/>
  <c r="W1228" i="62"/>
  <c r="W1229" i="62"/>
  <c r="W1230" i="62"/>
  <c r="W1231" i="62"/>
  <c r="W1232" i="62"/>
  <c r="W1233" i="62"/>
  <c r="W1234" i="62"/>
  <c r="W1235" i="62"/>
  <c r="W1236" i="62"/>
  <c r="W1237" i="62"/>
  <c r="W1238" i="62"/>
  <c r="W1239" i="62"/>
  <c r="W1240" i="62"/>
  <c r="W1241" i="62"/>
  <c r="W1242" i="62"/>
  <c r="W1243" i="62"/>
  <c r="W1244" i="62"/>
  <c r="W1245" i="62"/>
  <c r="W1246" i="62"/>
  <c r="W1247" i="62"/>
  <c r="W1248" i="62"/>
  <c r="W1249" i="62"/>
  <c r="W1250" i="62"/>
  <c r="W1251" i="62"/>
  <c r="W1252" i="62"/>
  <c r="W1253" i="62"/>
  <c r="W1254" i="62"/>
  <c r="W1255" i="62"/>
  <c r="W1256" i="62"/>
  <c r="W1257" i="62"/>
  <c r="W1258" i="62"/>
  <c r="W1259" i="62"/>
  <c r="W1260" i="62"/>
  <c r="W1261" i="62"/>
  <c r="W1262" i="62"/>
  <c r="W1263" i="62"/>
  <c r="W1264" i="62"/>
  <c r="W1265" i="62"/>
  <c r="W1266" i="62"/>
  <c r="W1267" i="62"/>
  <c r="W1268" i="62"/>
  <c r="W1269" i="62"/>
  <c r="W1270" i="62"/>
  <c r="W1271" i="62"/>
  <c r="W1272" i="62"/>
  <c r="W1273" i="62"/>
  <c r="W1274" i="62"/>
  <c r="W1275" i="62"/>
  <c r="W1276" i="62"/>
  <c r="W1277" i="62"/>
  <c r="W1278" i="62"/>
  <c r="W1279" i="62"/>
  <c r="W1280" i="62"/>
  <c r="W1281" i="62"/>
  <c r="W1282" i="62"/>
  <c r="W1283" i="62"/>
  <c r="W1284" i="62"/>
  <c r="W1285" i="62"/>
  <c r="W1286" i="62"/>
  <c r="W1287" i="62"/>
  <c r="W1288" i="62"/>
  <c r="W1289" i="62"/>
  <c r="W1290" i="62"/>
  <c r="W1291" i="62"/>
  <c r="W1292" i="62"/>
  <c r="W1293" i="62"/>
  <c r="W1294" i="62"/>
  <c r="W1295" i="62"/>
  <c r="W1296" i="62"/>
  <c r="W1297" i="62"/>
  <c r="W1298" i="62"/>
  <c r="W1299" i="62"/>
  <c r="W1300" i="62"/>
  <c r="W1301" i="62"/>
  <c r="W1302" i="62"/>
  <c r="W1303" i="62"/>
  <c r="W1304" i="62"/>
  <c r="W1305" i="62"/>
  <c r="W1306" i="62"/>
  <c r="W1307" i="62"/>
  <c r="W1308" i="62"/>
  <c r="W1309" i="62"/>
  <c r="W1310" i="62"/>
  <c r="W1311" i="62"/>
  <c r="W1312" i="62"/>
  <c r="W1313" i="62"/>
  <c r="W1314" i="62"/>
  <c r="W1315" i="62"/>
  <c r="W1316" i="62"/>
  <c r="W1317" i="62"/>
  <c r="W1318" i="62"/>
  <c r="W1319" i="62"/>
  <c r="W1320" i="62"/>
  <c r="W1321" i="62"/>
  <c r="W1322" i="62"/>
  <c r="W1323" i="62"/>
  <c r="W1324" i="62"/>
  <c r="W1325" i="62"/>
  <c r="W1326" i="62"/>
  <c r="W1327" i="62"/>
  <c r="W1328" i="62"/>
  <c r="W1329" i="62"/>
  <c r="W1330" i="62"/>
  <c r="W1331" i="62"/>
  <c r="W1332" i="62"/>
  <c r="W1333" i="62"/>
  <c r="W1334" i="62"/>
  <c r="W1335" i="62"/>
  <c r="W1336" i="62"/>
  <c r="W1337" i="62"/>
  <c r="W1338" i="62"/>
  <c r="W1339" i="62"/>
  <c r="W1340" i="62"/>
  <c r="W1341" i="62"/>
  <c r="W1342" i="62"/>
  <c r="W1343" i="62"/>
  <c r="W1344" i="62"/>
  <c r="W1345" i="62"/>
  <c r="W1346" i="62"/>
  <c r="W1347" i="62"/>
  <c r="W1348" i="62"/>
  <c r="W1349" i="62"/>
  <c r="W1350" i="62"/>
  <c r="W1351" i="62"/>
  <c r="W1352" i="62"/>
  <c r="W1353" i="62"/>
  <c r="W1354" i="62"/>
  <c r="W1355" i="62"/>
  <c r="W1356" i="62"/>
  <c r="W1357" i="62"/>
  <c r="W1358" i="62"/>
  <c r="W1359" i="62"/>
  <c r="W1360" i="62"/>
  <c r="W1361" i="62"/>
  <c r="W1362" i="62"/>
  <c r="W1363" i="62"/>
  <c r="W1364" i="62"/>
  <c r="W1365" i="62"/>
  <c r="W1366" i="62"/>
  <c r="W1367" i="62"/>
  <c r="W1368" i="62"/>
  <c r="W1369" i="62"/>
  <c r="W1370" i="62"/>
  <c r="W1371" i="62"/>
  <c r="W1372" i="62"/>
  <c r="W1373" i="62"/>
  <c r="W1374" i="62"/>
  <c r="W1375" i="62"/>
  <c r="W1376" i="62"/>
  <c r="W1377" i="62"/>
  <c r="W1378" i="62"/>
  <c r="W1379" i="62"/>
  <c r="W1380" i="62"/>
  <c r="W1381" i="62"/>
  <c r="W1382" i="62"/>
  <c r="W1383" i="62"/>
  <c r="W1384" i="62"/>
  <c r="W1385" i="62"/>
  <c r="W1386" i="62"/>
  <c r="W1387" i="62"/>
  <c r="W1388" i="62"/>
  <c r="W1389" i="62"/>
  <c r="W1390" i="62"/>
  <c r="W1391" i="62"/>
  <c r="W1392" i="62"/>
  <c r="W1393" i="62"/>
  <c r="W1394" i="62"/>
  <c r="W1395" i="62"/>
  <c r="W1396" i="62"/>
  <c r="W1397" i="62"/>
  <c r="W1398" i="62"/>
  <c r="W1399" i="62"/>
  <c r="W1400" i="62"/>
  <c r="W1401" i="62"/>
  <c r="W1402" i="62"/>
  <c r="W1403" i="62"/>
  <c r="W1404" i="62"/>
  <c r="W1405" i="62"/>
  <c r="W1406" i="62"/>
  <c r="W1407" i="62"/>
  <c r="W1408" i="62"/>
  <c r="W1409" i="62"/>
  <c r="W1410" i="62"/>
  <c r="W1411" i="62"/>
  <c r="W1412" i="62"/>
  <c r="W1413" i="62"/>
  <c r="W1414" i="62"/>
  <c r="W1415" i="62"/>
  <c r="W1416" i="62"/>
  <c r="W1417" i="62"/>
  <c r="W1418" i="62"/>
  <c r="W1419" i="62"/>
  <c r="W1420" i="62"/>
  <c r="W1421" i="62"/>
  <c r="W1422" i="62"/>
  <c r="W1423" i="62"/>
  <c r="W1424" i="62"/>
  <c r="W1425" i="62"/>
  <c r="W1426" i="62"/>
  <c r="W1427" i="62"/>
  <c r="W1428" i="62"/>
  <c r="W1429" i="62"/>
  <c r="W1430" i="62"/>
  <c r="W1431" i="62"/>
  <c r="W1432" i="62"/>
  <c r="W1433" i="62"/>
  <c r="W1434" i="62"/>
  <c r="W1435" i="62"/>
  <c r="W1436" i="62"/>
  <c r="W1437" i="62"/>
  <c r="W1438" i="62"/>
  <c r="W1439" i="62"/>
  <c r="W1440" i="62"/>
  <c r="W1441" i="62"/>
  <c r="W1442" i="62"/>
  <c r="W1443" i="62"/>
  <c r="W1444" i="62"/>
  <c r="W1445" i="62"/>
  <c r="W1446" i="62"/>
  <c r="W1447" i="62"/>
  <c r="W1448" i="62"/>
  <c r="W1449" i="62"/>
  <c r="W1450" i="62"/>
  <c r="W1451" i="62"/>
  <c r="W1452" i="62"/>
  <c r="W1453" i="62"/>
  <c r="W1454" i="62"/>
  <c r="W1455" i="62"/>
  <c r="W1456" i="62"/>
  <c r="W1457" i="62"/>
  <c r="W1458" i="62"/>
  <c r="W1459" i="62"/>
  <c r="W1460" i="62"/>
  <c r="W1461" i="62"/>
  <c r="W1462" i="62"/>
  <c r="W1463" i="62"/>
  <c r="W1464" i="62"/>
  <c r="W1465" i="62"/>
  <c r="W1466" i="62"/>
  <c r="W1467" i="62"/>
  <c r="W1468" i="62"/>
  <c r="W1469" i="62"/>
  <c r="W1470" i="62"/>
  <c r="W1471" i="62"/>
  <c r="W1472" i="62"/>
  <c r="W1473" i="62"/>
  <c r="W1474" i="62"/>
  <c r="W1475" i="62"/>
  <c r="W1476" i="62"/>
  <c r="W1477" i="62"/>
  <c r="W1478" i="62"/>
  <c r="W1479" i="62"/>
  <c r="W1480" i="62"/>
  <c r="W1481" i="62"/>
  <c r="W1482" i="62"/>
  <c r="W1483" i="62"/>
  <c r="W1484" i="62"/>
  <c r="W1485" i="62"/>
  <c r="W1486" i="62"/>
  <c r="W1487" i="62"/>
  <c r="W1488" i="62"/>
  <c r="W1489" i="62"/>
  <c r="W1490" i="62"/>
  <c r="W1491" i="62"/>
  <c r="W1492" i="62"/>
  <c r="W1493" i="62"/>
  <c r="W1494" i="62"/>
  <c r="W1495" i="62"/>
  <c r="W1496" i="62"/>
  <c r="W1497" i="62"/>
  <c r="W1498" i="62"/>
  <c r="W1499" i="62"/>
  <c r="W1500" i="62"/>
  <c r="W1501" i="62"/>
  <c r="W1502" i="62"/>
  <c r="W1503" i="62"/>
  <c r="W1504" i="62"/>
  <c r="W1505" i="62"/>
  <c r="W1506" i="62"/>
  <c r="W1507" i="62"/>
  <c r="W1508" i="62"/>
  <c r="W1509" i="62"/>
  <c r="W1510" i="62"/>
  <c r="W1511" i="62"/>
  <c r="W1512" i="62"/>
  <c r="W1513" i="62"/>
  <c r="W1514" i="62"/>
  <c r="W1515" i="62"/>
  <c r="W1516" i="62"/>
  <c r="W1517" i="62"/>
  <c r="W1518" i="62"/>
  <c r="W1519" i="62"/>
  <c r="W1520" i="62"/>
  <c r="W1521" i="62"/>
  <c r="W1522" i="62"/>
  <c r="W1523" i="62"/>
  <c r="W1524" i="62"/>
  <c r="W1525" i="62"/>
  <c r="W1526" i="62"/>
  <c r="W1527" i="62"/>
  <c r="W1528" i="62"/>
  <c r="W1529" i="62"/>
  <c r="W1530" i="62"/>
  <c r="W1531" i="62"/>
  <c r="W1532" i="62"/>
  <c r="W1533" i="62"/>
  <c r="W1534" i="62"/>
  <c r="W1535" i="62"/>
  <c r="W1536" i="62"/>
  <c r="W1537" i="62"/>
  <c r="W1538" i="62"/>
  <c r="W1539" i="62"/>
  <c r="W1540" i="62"/>
  <c r="W1541" i="62"/>
  <c r="W1542" i="62"/>
  <c r="W1543" i="62"/>
  <c r="W1544" i="62"/>
  <c r="W1545" i="62"/>
  <c r="W1546" i="62"/>
  <c r="W1547" i="62"/>
  <c r="W1548" i="62"/>
  <c r="W1549" i="62"/>
  <c r="W1550" i="62"/>
  <c r="W1551" i="62"/>
  <c r="W1552" i="62"/>
  <c r="W1553" i="62"/>
  <c r="W1554" i="62"/>
  <c r="W1555" i="62"/>
  <c r="W1556" i="62"/>
  <c r="W1557" i="62"/>
  <c r="W1558" i="62"/>
  <c r="W1559" i="62"/>
  <c r="W1560" i="62"/>
  <c r="W1561" i="62"/>
  <c r="W1562" i="62"/>
  <c r="W1563" i="62"/>
  <c r="W1564" i="62"/>
  <c r="W1565" i="62"/>
  <c r="W1566" i="62"/>
  <c r="I17" i="61" l="1"/>
  <c r="I18" i="61"/>
  <c r="I19" i="61"/>
  <c r="I20" i="61"/>
  <c r="I21" i="61"/>
  <c r="I22" i="61"/>
  <c r="I23" i="61"/>
  <c r="I24" i="61"/>
  <c r="I25" i="61"/>
  <c r="I26" i="61"/>
  <c r="I27" i="61"/>
  <c r="I28" i="61"/>
  <c r="I29" i="61"/>
  <c r="I30" i="61"/>
  <c r="I31" i="61"/>
  <c r="I32" i="61"/>
  <c r="I33" i="61"/>
  <c r="I34" i="61"/>
  <c r="I35" i="61"/>
  <c r="I36" i="61"/>
  <c r="I37" i="61"/>
  <c r="I38" i="61"/>
  <c r="I39" i="61"/>
  <c r="I40" i="61"/>
  <c r="I41" i="61"/>
  <c r="I42" i="61"/>
  <c r="I43" i="61"/>
  <c r="I44" i="61"/>
  <c r="I45" i="61"/>
  <c r="I46" i="61"/>
  <c r="I47" i="61"/>
  <c r="I48" i="61"/>
  <c r="BE20" i="60"/>
  <c r="BE21" i="60"/>
  <c r="BE22" i="60"/>
  <c r="BE23" i="60"/>
  <c r="BE24" i="60"/>
  <c r="BE25" i="60"/>
  <c r="BE26" i="60"/>
  <c r="BE27" i="60"/>
  <c r="BE28" i="60"/>
  <c r="BE29" i="60"/>
  <c r="BE30" i="60"/>
  <c r="BE31" i="60"/>
  <c r="BE32" i="60"/>
  <c r="BE33" i="60"/>
  <c r="BE34" i="60"/>
  <c r="BE35" i="60"/>
  <c r="BE36" i="60"/>
  <c r="BE37" i="60"/>
  <c r="BE38" i="60"/>
  <c r="BE39" i="60"/>
  <c r="BE40" i="60"/>
  <c r="BE41" i="60"/>
  <c r="BE42" i="60"/>
  <c r="BE43" i="60"/>
  <c r="BE44" i="60"/>
  <c r="BE45" i="60"/>
  <c r="BE46" i="60"/>
  <c r="BE47" i="60"/>
  <c r="BE48" i="60"/>
  <c r="BE49" i="60"/>
  <c r="BE50" i="60"/>
  <c r="BE51" i="60"/>
  <c r="BE52" i="60"/>
  <c r="BE53" i="60"/>
  <c r="BE54" i="60"/>
  <c r="BE55" i="60"/>
  <c r="BE56" i="60"/>
  <c r="BE57" i="60"/>
  <c r="BE58" i="60"/>
  <c r="BE59" i="60"/>
  <c r="BE60" i="60"/>
  <c r="BE61" i="60"/>
  <c r="BE62" i="60"/>
  <c r="BE63" i="60"/>
  <c r="BE64" i="60"/>
  <c r="V1566" i="62" l="1"/>
  <c r="V1447" i="62"/>
  <c r="V1448" i="62"/>
  <c r="V1449" i="62"/>
  <c r="V1450" i="62"/>
  <c r="V1451" i="62"/>
  <c r="V1452" i="62"/>
  <c r="V1453" i="62"/>
  <c r="V1454" i="62"/>
  <c r="V1455" i="62"/>
  <c r="V1456" i="62"/>
  <c r="V1457" i="62"/>
  <c r="V1458" i="62"/>
  <c r="V1459" i="62"/>
  <c r="V1460" i="62"/>
  <c r="V1461" i="62"/>
  <c r="V1462" i="62"/>
  <c r="V1463" i="62"/>
  <c r="V1464" i="62"/>
  <c r="V1465" i="62"/>
  <c r="V1466" i="62"/>
  <c r="V1467" i="62"/>
  <c r="V1468" i="62"/>
  <c r="V1469" i="62"/>
  <c r="V1470" i="62"/>
  <c r="V1471" i="62"/>
  <c r="V1472" i="62"/>
  <c r="V1473" i="62"/>
  <c r="V1474" i="62"/>
  <c r="V1475" i="62"/>
  <c r="V1476" i="62"/>
  <c r="V1477" i="62"/>
  <c r="V1478" i="62"/>
  <c r="V1479" i="62"/>
  <c r="V1480" i="62"/>
  <c r="V1481" i="62"/>
  <c r="V1482" i="62"/>
  <c r="V1483" i="62"/>
  <c r="V1484" i="62"/>
  <c r="V1485" i="62"/>
  <c r="V1486" i="62"/>
  <c r="V1487" i="62"/>
  <c r="V1488" i="62"/>
  <c r="V1489" i="62"/>
  <c r="V1490" i="62"/>
  <c r="V1491" i="62"/>
  <c r="V1492" i="62"/>
  <c r="V1493" i="62"/>
  <c r="V1494" i="62"/>
  <c r="V1495" i="62"/>
  <c r="V1496" i="62"/>
  <c r="V1497" i="62"/>
  <c r="V1498" i="62"/>
  <c r="V1499" i="62"/>
  <c r="V1500" i="62"/>
  <c r="V1501" i="62"/>
  <c r="V1502" i="62"/>
  <c r="V1503" i="62"/>
  <c r="V1504" i="62"/>
  <c r="V1505" i="62"/>
  <c r="V1506" i="62"/>
  <c r="V1507" i="62"/>
  <c r="V1508" i="62"/>
  <c r="V1509" i="62"/>
  <c r="V1510" i="62"/>
  <c r="V1511" i="62"/>
  <c r="V1512" i="62"/>
  <c r="V1513" i="62"/>
  <c r="V1514" i="62"/>
  <c r="V1515" i="62"/>
  <c r="V1516" i="62"/>
  <c r="V1517" i="62"/>
  <c r="V1518" i="62"/>
  <c r="V1519" i="62"/>
  <c r="V1520" i="62"/>
  <c r="V1521" i="62"/>
  <c r="V1522" i="62"/>
  <c r="V1523" i="62"/>
  <c r="V1524" i="62"/>
  <c r="V1525" i="62"/>
  <c r="V1526" i="62"/>
  <c r="V1527" i="62"/>
  <c r="V1528" i="62"/>
  <c r="V1529" i="62"/>
  <c r="V1530" i="62"/>
  <c r="V1531" i="62"/>
  <c r="V1532" i="62"/>
  <c r="V1533" i="62"/>
  <c r="V1534" i="62"/>
  <c r="V1535" i="62"/>
  <c r="V1536" i="62"/>
  <c r="V1537" i="62"/>
  <c r="V1538" i="62"/>
  <c r="V1539" i="62"/>
  <c r="V1540" i="62"/>
  <c r="V1541" i="62"/>
  <c r="V1542" i="62"/>
  <c r="V1543" i="62"/>
  <c r="V1544" i="62"/>
  <c r="V1545" i="62"/>
  <c r="V1546" i="62"/>
  <c r="V1547" i="62"/>
  <c r="V1548" i="62"/>
  <c r="V1549" i="62"/>
  <c r="V1550" i="62"/>
  <c r="V1551" i="62"/>
  <c r="V1552" i="62"/>
  <c r="V1553" i="62"/>
  <c r="V1554" i="62"/>
  <c r="V1555" i="62"/>
  <c r="V1556" i="62"/>
  <c r="V1557" i="62"/>
  <c r="V1558" i="62"/>
  <c r="V1559" i="62"/>
  <c r="V1560" i="62"/>
  <c r="V1561" i="62"/>
  <c r="V1562" i="62"/>
  <c r="V1563" i="62"/>
  <c r="V1564" i="62"/>
  <c r="V1565" i="62"/>
  <c r="X1447" i="62"/>
  <c r="X1448" i="62"/>
  <c r="X1449" i="62"/>
  <c r="X1450" i="62"/>
  <c r="X1451" i="62"/>
  <c r="X1452" i="62"/>
  <c r="X1453" i="62"/>
  <c r="X1454" i="62"/>
  <c r="X1455" i="62"/>
  <c r="X1456" i="62"/>
  <c r="X1457" i="62"/>
  <c r="X1458" i="62"/>
  <c r="X1459" i="62"/>
  <c r="X1460" i="62"/>
  <c r="X1461" i="62"/>
  <c r="X1462" i="62"/>
  <c r="X1463" i="62"/>
  <c r="X1464" i="62"/>
  <c r="X1465" i="62"/>
  <c r="X1466" i="62"/>
  <c r="X1467" i="62"/>
  <c r="X1468" i="62"/>
  <c r="X1469" i="62"/>
  <c r="X1470" i="62"/>
  <c r="X1471" i="62"/>
  <c r="X1472" i="62"/>
  <c r="X1473" i="62"/>
  <c r="X1474" i="62"/>
  <c r="X1475" i="62"/>
  <c r="X1476" i="62"/>
  <c r="X1477" i="62"/>
  <c r="X1478" i="62"/>
  <c r="X1479" i="62"/>
  <c r="X1480" i="62"/>
  <c r="X1481" i="62"/>
  <c r="X1482" i="62"/>
  <c r="X1483" i="62"/>
  <c r="X1484" i="62"/>
  <c r="X1485" i="62"/>
  <c r="X1486" i="62"/>
  <c r="X1487" i="62"/>
  <c r="X1488" i="62"/>
  <c r="X1489" i="62"/>
  <c r="X1490" i="62"/>
  <c r="X1491" i="62"/>
  <c r="X1492" i="62"/>
  <c r="X1493" i="62"/>
  <c r="X1494" i="62"/>
  <c r="X1495" i="62"/>
  <c r="X1496" i="62"/>
  <c r="X1497" i="62"/>
  <c r="X1498" i="62"/>
  <c r="X1499" i="62"/>
  <c r="X1500" i="62"/>
  <c r="X1501" i="62"/>
  <c r="X1502" i="62"/>
  <c r="X1503" i="62"/>
  <c r="X1504" i="62"/>
  <c r="X1505" i="62"/>
  <c r="X1506" i="62"/>
  <c r="X1507" i="62"/>
  <c r="X1508" i="62"/>
  <c r="X1509" i="62"/>
  <c r="X1510" i="62"/>
  <c r="X1511" i="62"/>
  <c r="X1512" i="62"/>
  <c r="X1513" i="62"/>
  <c r="X1514" i="62"/>
  <c r="X1515" i="62"/>
  <c r="X1516" i="62"/>
  <c r="X1517" i="62"/>
  <c r="X1518" i="62"/>
  <c r="X1519" i="62"/>
  <c r="X1520" i="62"/>
  <c r="X1521" i="62"/>
  <c r="X1522" i="62"/>
  <c r="X1523" i="62"/>
  <c r="X1524" i="62"/>
  <c r="X1525" i="62"/>
  <c r="X1526" i="62"/>
  <c r="X1527" i="62"/>
  <c r="X1528" i="62"/>
  <c r="X1529" i="62"/>
  <c r="X1530" i="62"/>
  <c r="X1531" i="62"/>
  <c r="X1532" i="62"/>
  <c r="X1533" i="62"/>
  <c r="X1534" i="62"/>
  <c r="X1535" i="62"/>
  <c r="X1536" i="62"/>
  <c r="X1537" i="62"/>
  <c r="X1538" i="62"/>
  <c r="X1539" i="62"/>
  <c r="X1540" i="62"/>
  <c r="X1541" i="62"/>
  <c r="X1542" i="62"/>
  <c r="X1543" i="62"/>
  <c r="X1544" i="62"/>
  <c r="X1545" i="62"/>
  <c r="X1546" i="62"/>
  <c r="X1547" i="62"/>
  <c r="X1548" i="62"/>
  <c r="X1549" i="62"/>
  <c r="X1550" i="62"/>
  <c r="X1551" i="62"/>
  <c r="X1552" i="62"/>
  <c r="X1553" i="62"/>
  <c r="X1554" i="62"/>
  <c r="X1555" i="62"/>
  <c r="X1556" i="62"/>
  <c r="X1557" i="62"/>
  <c r="X1558" i="62"/>
  <c r="X1559" i="62"/>
  <c r="X1560" i="62"/>
  <c r="X1561" i="62"/>
  <c r="X1562" i="62"/>
  <c r="X1563" i="62"/>
  <c r="X1564" i="62"/>
  <c r="X1565" i="62"/>
  <c r="X1566" i="62"/>
  <c r="V7" i="62"/>
  <c r="V8" i="62"/>
  <c r="V9" i="62"/>
  <c r="V10" i="62"/>
  <c r="V11" i="62"/>
  <c r="V12" i="62"/>
  <c r="V13" i="62"/>
  <c r="V14" i="62"/>
  <c r="V15" i="62"/>
  <c r="V16" i="62"/>
  <c r="V17" i="62"/>
  <c r="V18" i="62"/>
  <c r="V19" i="62"/>
  <c r="V20" i="62"/>
  <c r="V21" i="62"/>
  <c r="V22" i="62"/>
  <c r="V23" i="62"/>
  <c r="V24" i="62"/>
  <c r="V25" i="62"/>
  <c r="V26" i="62"/>
  <c r="V27" i="62"/>
  <c r="V28" i="62"/>
  <c r="V29" i="62"/>
  <c r="V30" i="62"/>
  <c r="V31" i="62"/>
  <c r="V32" i="62"/>
  <c r="V33" i="62"/>
  <c r="V34" i="62"/>
  <c r="V35" i="62"/>
  <c r="V36" i="62"/>
  <c r="V37" i="62"/>
  <c r="V38" i="62"/>
  <c r="V39" i="62"/>
  <c r="V40" i="62"/>
  <c r="V41" i="62"/>
  <c r="V42" i="62"/>
  <c r="V43" i="62"/>
  <c r="V44" i="62"/>
  <c r="V45" i="62"/>
  <c r="V46" i="62"/>
  <c r="V47" i="62"/>
  <c r="V48" i="62"/>
  <c r="V49" i="62"/>
  <c r="V50" i="62"/>
  <c r="V51" i="62"/>
  <c r="V52" i="62"/>
  <c r="V53" i="62"/>
  <c r="V54" i="62"/>
  <c r="V55" i="62"/>
  <c r="V56" i="62"/>
  <c r="V57" i="62"/>
  <c r="V58" i="62"/>
  <c r="V59" i="62"/>
  <c r="V60" i="62"/>
  <c r="V61" i="62"/>
  <c r="V62" i="62"/>
  <c r="V63" i="62"/>
  <c r="V64" i="62"/>
  <c r="V65" i="62"/>
  <c r="V66" i="62"/>
  <c r="V67" i="62"/>
  <c r="V68" i="62"/>
  <c r="V69" i="62"/>
  <c r="V70" i="62"/>
  <c r="V71" i="62"/>
  <c r="V72" i="62"/>
  <c r="V73" i="62"/>
  <c r="V74" i="62"/>
  <c r="V75" i="62"/>
  <c r="V76" i="62"/>
  <c r="V77" i="62"/>
  <c r="V78" i="62"/>
  <c r="V79" i="62"/>
  <c r="V80" i="62"/>
  <c r="V81" i="62"/>
  <c r="V82" i="62"/>
  <c r="V83" i="62"/>
  <c r="V84" i="62"/>
  <c r="V85" i="62"/>
  <c r="V86" i="62"/>
  <c r="V87" i="62"/>
  <c r="V88" i="62"/>
  <c r="V89" i="62"/>
  <c r="V90" i="62"/>
  <c r="V91" i="62"/>
  <c r="V92" i="62"/>
  <c r="V93" i="62"/>
  <c r="V94" i="62"/>
  <c r="V95" i="62"/>
  <c r="V96" i="62"/>
  <c r="V97" i="62"/>
  <c r="V98" i="62"/>
  <c r="V99" i="62"/>
  <c r="V100" i="62"/>
  <c r="V101" i="62"/>
  <c r="V102" i="62"/>
  <c r="V103" i="62"/>
  <c r="V104" i="62"/>
  <c r="V105" i="62"/>
  <c r="V106" i="62"/>
  <c r="V107" i="62"/>
  <c r="V108" i="62"/>
  <c r="V109" i="62"/>
  <c r="V110" i="62"/>
  <c r="V111" i="62"/>
  <c r="V112" i="62"/>
  <c r="V113" i="62"/>
  <c r="V114" i="62"/>
  <c r="V115" i="62"/>
  <c r="V116" i="62"/>
  <c r="V117" i="62"/>
  <c r="V118" i="62"/>
  <c r="V119" i="62"/>
  <c r="V120" i="62"/>
  <c r="V121" i="62"/>
  <c r="V122" i="62"/>
  <c r="V123" i="62"/>
  <c r="V124" i="62"/>
  <c r="V125" i="62"/>
  <c r="V126" i="62"/>
  <c r="V127" i="62"/>
  <c r="V128" i="62"/>
  <c r="V129" i="62"/>
  <c r="V130" i="62"/>
  <c r="V131" i="62"/>
  <c r="V132" i="62"/>
  <c r="V133" i="62"/>
  <c r="V134" i="62"/>
  <c r="V135" i="62"/>
  <c r="V136" i="62"/>
  <c r="V137" i="62"/>
  <c r="V138" i="62"/>
  <c r="V139" i="62"/>
  <c r="V140" i="62"/>
  <c r="V141" i="62"/>
  <c r="V142" i="62"/>
  <c r="V143" i="62"/>
  <c r="V144" i="62"/>
  <c r="V145" i="62"/>
  <c r="V146" i="62"/>
  <c r="V147" i="62"/>
  <c r="V148" i="62"/>
  <c r="V149" i="62"/>
  <c r="V150" i="62"/>
  <c r="V151" i="62"/>
  <c r="V152" i="62"/>
  <c r="V153" i="62"/>
  <c r="V154" i="62"/>
  <c r="V155" i="62"/>
  <c r="V156" i="62"/>
  <c r="V157" i="62"/>
  <c r="V158" i="62"/>
  <c r="V159" i="62"/>
  <c r="V160" i="62"/>
  <c r="V161" i="62"/>
  <c r="V162" i="62"/>
  <c r="V163" i="62"/>
  <c r="V164" i="62"/>
  <c r="V165" i="62"/>
  <c r="V166" i="62"/>
  <c r="V167" i="62"/>
  <c r="V168" i="62"/>
  <c r="V169" i="62"/>
  <c r="V170" i="62"/>
  <c r="V171" i="62"/>
  <c r="V172" i="62"/>
  <c r="V173" i="62"/>
  <c r="V174" i="62"/>
  <c r="V175" i="62"/>
  <c r="V176" i="62"/>
  <c r="V177" i="62"/>
  <c r="V178" i="62"/>
  <c r="V179" i="62"/>
  <c r="V180" i="62"/>
  <c r="V181" i="62"/>
  <c r="V182" i="62"/>
  <c r="V183" i="62"/>
  <c r="V184" i="62"/>
  <c r="V185" i="62"/>
  <c r="V186" i="62"/>
  <c r="V187" i="62"/>
  <c r="V188" i="62"/>
  <c r="V189" i="62"/>
  <c r="V190" i="62"/>
  <c r="V191" i="62"/>
  <c r="V192" i="62"/>
  <c r="V193" i="62"/>
  <c r="V194" i="62"/>
  <c r="V195" i="62"/>
  <c r="V196" i="62"/>
  <c r="V197" i="62"/>
  <c r="V198" i="62"/>
  <c r="V199" i="62"/>
  <c r="V200" i="62"/>
  <c r="V201" i="62"/>
  <c r="V202" i="62"/>
  <c r="V203" i="62"/>
  <c r="V204" i="62"/>
  <c r="V205" i="62"/>
  <c r="V206" i="62"/>
  <c r="V207" i="62"/>
  <c r="V208" i="62"/>
  <c r="V209" i="62"/>
  <c r="V210" i="62"/>
  <c r="V211" i="62"/>
  <c r="V212" i="62"/>
  <c r="V213" i="62"/>
  <c r="V214" i="62"/>
  <c r="V215" i="62"/>
  <c r="V216" i="62"/>
  <c r="V217" i="62"/>
  <c r="V218" i="62"/>
  <c r="V219" i="62"/>
  <c r="V220" i="62"/>
  <c r="V221" i="62"/>
  <c r="V222" i="62"/>
  <c r="V223" i="62"/>
  <c r="V224" i="62"/>
  <c r="V225" i="62"/>
  <c r="V226" i="62"/>
  <c r="V227" i="62"/>
  <c r="V228" i="62"/>
  <c r="V229" i="62"/>
  <c r="V230" i="62"/>
  <c r="V231" i="62"/>
  <c r="V232" i="62"/>
  <c r="V233" i="62"/>
  <c r="V234" i="62"/>
  <c r="V235" i="62"/>
  <c r="V236" i="62"/>
  <c r="V237" i="62"/>
  <c r="V238" i="62"/>
  <c r="V239" i="62"/>
  <c r="V240" i="62"/>
  <c r="V241" i="62"/>
  <c r="V242" i="62"/>
  <c r="V243" i="62"/>
  <c r="V244" i="62"/>
  <c r="V245" i="62"/>
  <c r="V246" i="62"/>
  <c r="V247" i="62"/>
  <c r="V248" i="62"/>
  <c r="V249" i="62"/>
  <c r="V250" i="62"/>
  <c r="V251" i="62"/>
  <c r="V252" i="62"/>
  <c r="V253" i="62"/>
  <c r="V254" i="62"/>
  <c r="V255" i="62"/>
  <c r="V256" i="62"/>
  <c r="V257" i="62"/>
  <c r="V258" i="62"/>
  <c r="V259" i="62"/>
  <c r="V260" i="62"/>
  <c r="V261" i="62"/>
  <c r="V262" i="62"/>
  <c r="V263" i="62"/>
  <c r="V264" i="62"/>
  <c r="V265" i="62"/>
  <c r="V266" i="62"/>
  <c r="V267" i="62"/>
  <c r="V268" i="62"/>
  <c r="V269" i="62"/>
  <c r="V270" i="62"/>
  <c r="V271" i="62"/>
  <c r="V272" i="62"/>
  <c r="V273" i="62"/>
  <c r="V274" i="62"/>
  <c r="V275" i="62"/>
  <c r="V276" i="62"/>
  <c r="V277" i="62"/>
  <c r="V278" i="62"/>
  <c r="V279" i="62"/>
  <c r="V280" i="62"/>
  <c r="V281" i="62"/>
  <c r="V282" i="62"/>
  <c r="V283" i="62"/>
  <c r="V284" i="62"/>
  <c r="V285" i="62"/>
  <c r="V286" i="62"/>
  <c r="V287" i="62"/>
  <c r="V288" i="62"/>
  <c r="V289" i="62"/>
  <c r="V290" i="62"/>
  <c r="V291" i="62"/>
  <c r="V292" i="62"/>
  <c r="V293" i="62"/>
  <c r="V294" i="62"/>
  <c r="V295" i="62"/>
  <c r="V296" i="62"/>
  <c r="V297" i="62"/>
  <c r="V298" i="62"/>
  <c r="V299" i="62"/>
  <c r="V300" i="62"/>
  <c r="V301" i="62"/>
  <c r="V302" i="62"/>
  <c r="V303" i="62"/>
  <c r="V304" i="62"/>
  <c r="V305" i="62"/>
  <c r="V306" i="62"/>
  <c r="V307" i="62"/>
  <c r="V308" i="62"/>
  <c r="V309" i="62"/>
  <c r="V310" i="62"/>
  <c r="V311" i="62"/>
  <c r="V312" i="62"/>
  <c r="V313" i="62"/>
  <c r="V314" i="62"/>
  <c r="V315" i="62"/>
  <c r="V316" i="62"/>
  <c r="V317" i="62"/>
  <c r="V318" i="62"/>
  <c r="V319" i="62"/>
  <c r="V320" i="62"/>
  <c r="V321" i="62"/>
  <c r="V322" i="62"/>
  <c r="V323" i="62"/>
  <c r="V324" i="62"/>
  <c r="V325" i="62"/>
  <c r="V326" i="62"/>
  <c r="V327" i="62"/>
  <c r="V328" i="62"/>
  <c r="V329" i="62"/>
  <c r="V330" i="62"/>
  <c r="V331" i="62"/>
  <c r="V332" i="62"/>
  <c r="V333" i="62"/>
  <c r="V334" i="62"/>
  <c r="V335" i="62"/>
  <c r="V336" i="62"/>
  <c r="V337" i="62"/>
  <c r="V338" i="62"/>
  <c r="V339" i="62"/>
  <c r="V340" i="62"/>
  <c r="V341" i="62"/>
  <c r="V342" i="62"/>
  <c r="V343" i="62"/>
  <c r="V344" i="62"/>
  <c r="V345" i="62"/>
  <c r="V346" i="62"/>
  <c r="V347" i="62"/>
  <c r="V348" i="62"/>
  <c r="V349" i="62"/>
  <c r="V350" i="62"/>
  <c r="V351" i="62"/>
  <c r="V352" i="62"/>
  <c r="V353" i="62"/>
  <c r="V354" i="62"/>
  <c r="V355" i="62"/>
  <c r="V356" i="62"/>
  <c r="V357" i="62"/>
  <c r="V358" i="62"/>
  <c r="V359" i="62"/>
  <c r="V360" i="62"/>
  <c r="V361" i="62"/>
  <c r="V362" i="62"/>
  <c r="V363" i="62"/>
  <c r="V364" i="62"/>
  <c r="V365" i="62"/>
  <c r="V366" i="62"/>
  <c r="V367" i="62"/>
  <c r="V368" i="62"/>
  <c r="V369" i="62"/>
  <c r="V370" i="62"/>
  <c r="V371" i="62"/>
  <c r="V372" i="62"/>
  <c r="V373" i="62"/>
  <c r="V374" i="62"/>
  <c r="V375" i="62"/>
  <c r="V376" i="62"/>
  <c r="V377" i="62"/>
  <c r="V378" i="62"/>
  <c r="V379" i="62"/>
  <c r="V380" i="62"/>
  <c r="V381" i="62"/>
  <c r="V382" i="62"/>
  <c r="V383" i="62"/>
  <c r="V384" i="62"/>
  <c r="V385" i="62"/>
  <c r="V386" i="62"/>
  <c r="V387" i="62"/>
  <c r="V388" i="62"/>
  <c r="V389" i="62"/>
  <c r="V390" i="62"/>
  <c r="V391" i="62"/>
  <c r="V392" i="62"/>
  <c r="V393" i="62"/>
  <c r="V394" i="62"/>
  <c r="V395" i="62"/>
  <c r="V396" i="62"/>
  <c r="V397" i="62"/>
  <c r="V398" i="62"/>
  <c r="V399" i="62"/>
  <c r="V400" i="62"/>
  <c r="V401" i="62"/>
  <c r="V402" i="62"/>
  <c r="V403" i="62"/>
  <c r="V404" i="62"/>
  <c r="V405" i="62"/>
  <c r="V406" i="62"/>
  <c r="V407" i="62"/>
  <c r="V408" i="62"/>
  <c r="V409" i="62"/>
  <c r="V410" i="62"/>
  <c r="V411" i="62"/>
  <c r="V412" i="62"/>
  <c r="V413" i="62"/>
  <c r="V414" i="62"/>
  <c r="V415" i="62"/>
  <c r="V416" i="62"/>
  <c r="V417" i="62"/>
  <c r="V418" i="62"/>
  <c r="V419" i="62"/>
  <c r="V420" i="62"/>
  <c r="V421" i="62"/>
  <c r="V422" i="62"/>
  <c r="V423" i="62"/>
  <c r="V424" i="62"/>
  <c r="V425" i="62"/>
  <c r="V426" i="62"/>
  <c r="V427" i="62"/>
  <c r="V428" i="62"/>
  <c r="V429" i="62"/>
  <c r="V430" i="62"/>
  <c r="V431" i="62"/>
  <c r="V432" i="62"/>
  <c r="V433" i="62"/>
  <c r="V434" i="62"/>
  <c r="V435" i="62"/>
  <c r="V436" i="62"/>
  <c r="V437" i="62"/>
  <c r="V438" i="62"/>
  <c r="V439" i="62"/>
  <c r="V440" i="62"/>
  <c r="V441" i="62"/>
  <c r="V442" i="62"/>
  <c r="V443" i="62"/>
  <c r="V444" i="62"/>
  <c r="V445" i="62"/>
  <c r="V446" i="62"/>
  <c r="V447" i="62"/>
  <c r="V448" i="62"/>
  <c r="V449" i="62"/>
  <c r="V450" i="62"/>
  <c r="V451" i="62"/>
  <c r="V452" i="62"/>
  <c r="V453" i="62"/>
  <c r="V454" i="62"/>
  <c r="V455" i="62"/>
  <c r="V456" i="62"/>
  <c r="V457" i="62"/>
  <c r="V458" i="62"/>
  <c r="V459" i="62"/>
  <c r="V460" i="62"/>
  <c r="V461" i="62"/>
  <c r="V462" i="62"/>
  <c r="V463" i="62"/>
  <c r="V464" i="62"/>
  <c r="V465" i="62"/>
  <c r="V466" i="62"/>
  <c r="V467" i="62"/>
  <c r="V468" i="62"/>
  <c r="V469" i="62"/>
  <c r="V470" i="62"/>
  <c r="V471" i="62"/>
  <c r="V472" i="62"/>
  <c r="V473" i="62"/>
  <c r="V474" i="62"/>
  <c r="V475" i="62"/>
  <c r="V476" i="62"/>
  <c r="V477" i="62"/>
  <c r="V478" i="62"/>
  <c r="V479" i="62"/>
  <c r="V480" i="62"/>
  <c r="V481" i="62"/>
  <c r="V482" i="62"/>
  <c r="V483" i="62"/>
  <c r="V484" i="62"/>
  <c r="V485" i="62"/>
  <c r="V486" i="62"/>
  <c r="V487" i="62"/>
  <c r="V488" i="62"/>
  <c r="V489" i="62"/>
  <c r="V490" i="62"/>
  <c r="V491" i="62"/>
  <c r="V492" i="62"/>
  <c r="V493" i="62"/>
  <c r="V494" i="62"/>
  <c r="V495" i="62"/>
  <c r="V496" i="62"/>
  <c r="V497" i="62"/>
  <c r="V498" i="62"/>
  <c r="V499" i="62"/>
  <c r="V500" i="62"/>
  <c r="V501" i="62"/>
  <c r="V502" i="62"/>
  <c r="V503" i="62"/>
  <c r="V504" i="62"/>
  <c r="V505" i="62"/>
  <c r="V506" i="62"/>
  <c r="V507" i="62"/>
  <c r="V508" i="62"/>
  <c r="V509" i="62"/>
  <c r="V510" i="62"/>
  <c r="V511" i="62"/>
  <c r="V512" i="62"/>
  <c r="V513" i="62"/>
  <c r="V514" i="62"/>
  <c r="V515" i="62"/>
  <c r="V516" i="62"/>
  <c r="V517" i="62"/>
  <c r="V518" i="62"/>
  <c r="V519" i="62"/>
  <c r="V520" i="62"/>
  <c r="V521" i="62"/>
  <c r="V522" i="62"/>
  <c r="V523" i="62"/>
  <c r="V524" i="62"/>
  <c r="V525" i="62"/>
  <c r="V526" i="62"/>
  <c r="V527" i="62"/>
  <c r="V528" i="62"/>
  <c r="V529" i="62"/>
  <c r="V530" i="62"/>
  <c r="V531" i="62"/>
  <c r="V532" i="62"/>
  <c r="V533" i="62"/>
  <c r="V534" i="62"/>
  <c r="V535" i="62"/>
  <c r="V536" i="62"/>
  <c r="V537" i="62"/>
  <c r="V538" i="62"/>
  <c r="V539" i="62"/>
  <c r="V540" i="62"/>
  <c r="V541" i="62"/>
  <c r="V542" i="62"/>
  <c r="V543" i="62"/>
  <c r="V544" i="62"/>
  <c r="V545" i="62"/>
  <c r="V546" i="62"/>
  <c r="V547" i="62"/>
  <c r="V548" i="62"/>
  <c r="V549" i="62"/>
  <c r="V550" i="62"/>
  <c r="V551" i="62"/>
  <c r="V552" i="62"/>
  <c r="V553" i="62"/>
  <c r="V554" i="62"/>
  <c r="V555" i="62"/>
  <c r="V556" i="62"/>
  <c r="V557" i="62"/>
  <c r="V558" i="62"/>
  <c r="V559" i="62"/>
  <c r="V560" i="62"/>
  <c r="V561" i="62"/>
  <c r="V562" i="62"/>
  <c r="V563" i="62"/>
  <c r="V564" i="62"/>
  <c r="V565" i="62"/>
  <c r="V566" i="62"/>
  <c r="V567" i="62"/>
  <c r="V568" i="62"/>
  <c r="V569" i="62"/>
  <c r="V570" i="62"/>
  <c r="V571" i="62"/>
  <c r="V572" i="62"/>
  <c r="V573" i="62"/>
  <c r="V574" i="62"/>
  <c r="V575" i="62"/>
  <c r="V576" i="62"/>
  <c r="V577" i="62"/>
  <c r="V578" i="62"/>
  <c r="V579" i="62"/>
  <c r="V580" i="62"/>
  <c r="V581" i="62"/>
  <c r="V582" i="62"/>
  <c r="V583" i="62"/>
  <c r="V584" i="62"/>
  <c r="V585" i="62"/>
  <c r="V586" i="62"/>
  <c r="V587" i="62"/>
  <c r="V588" i="62"/>
  <c r="V589" i="62"/>
  <c r="V590" i="62"/>
  <c r="V591" i="62"/>
  <c r="V592" i="62"/>
  <c r="V593" i="62"/>
  <c r="V594" i="62"/>
  <c r="V595" i="62"/>
  <c r="V596" i="62"/>
  <c r="V597" i="62"/>
  <c r="V598" i="62"/>
  <c r="V599" i="62"/>
  <c r="V600" i="62"/>
  <c r="V601" i="62"/>
  <c r="V602" i="62"/>
  <c r="V603" i="62"/>
  <c r="V604" i="62"/>
  <c r="V605" i="62"/>
  <c r="V606" i="62"/>
  <c r="V607" i="62"/>
  <c r="V608" i="62"/>
  <c r="V609" i="62"/>
  <c r="V610" i="62"/>
  <c r="V611" i="62"/>
  <c r="V612" i="62"/>
  <c r="V613" i="62"/>
  <c r="V614" i="62"/>
  <c r="V615" i="62"/>
  <c r="V616" i="62"/>
  <c r="V617" i="62"/>
  <c r="V618" i="62"/>
  <c r="V619" i="62"/>
  <c r="V620" i="62"/>
  <c r="V621" i="62"/>
  <c r="V622" i="62"/>
  <c r="V623" i="62"/>
  <c r="V624" i="62"/>
  <c r="V625" i="62"/>
  <c r="V626" i="62"/>
  <c r="V627" i="62"/>
  <c r="V628" i="62"/>
  <c r="V629" i="62"/>
  <c r="V630" i="62"/>
  <c r="V631" i="62"/>
  <c r="V632" i="62"/>
  <c r="V633" i="62"/>
  <c r="V634" i="62"/>
  <c r="V635" i="62"/>
  <c r="V636" i="62"/>
  <c r="V637" i="62"/>
  <c r="V638" i="62"/>
  <c r="V639" i="62"/>
  <c r="V640" i="62"/>
  <c r="V641" i="62"/>
  <c r="V642" i="62"/>
  <c r="V643" i="62"/>
  <c r="V644" i="62"/>
  <c r="V645" i="62"/>
  <c r="V646" i="62"/>
  <c r="V647" i="62"/>
  <c r="V648" i="62"/>
  <c r="V649" i="62"/>
  <c r="V650" i="62"/>
  <c r="V651" i="62"/>
  <c r="V652" i="62"/>
  <c r="V653" i="62"/>
  <c r="V654" i="62"/>
  <c r="V655" i="62"/>
  <c r="V656" i="62"/>
  <c r="V657" i="62"/>
  <c r="V659" i="62"/>
  <c r="V660" i="62"/>
  <c r="V661" i="62"/>
  <c r="V662" i="62"/>
  <c r="V663" i="62"/>
  <c r="V664" i="62"/>
  <c r="V665" i="62"/>
  <c r="V666" i="62"/>
  <c r="V667" i="62"/>
  <c r="V668" i="62"/>
  <c r="V669" i="62"/>
  <c r="V670" i="62"/>
  <c r="V671" i="62"/>
  <c r="V672" i="62"/>
  <c r="V673" i="62"/>
  <c r="V674" i="62"/>
  <c r="V675" i="62"/>
  <c r="V676" i="62"/>
  <c r="V677" i="62"/>
  <c r="V678" i="62"/>
  <c r="V679" i="62"/>
  <c r="V680" i="62"/>
  <c r="V681" i="62"/>
  <c r="V682" i="62"/>
  <c r="V683" i="62"/>
  <c r="V684" i="62"/>
  <c r="V685" i="62"/>
  <c r="V686" i="62"/>
  <c r="V687" i="62"/>
  <c r="V688" i="62"/>
  <c r="V689" i="62"/>
  <c r="V690" i="62"/>
  <c r="V691" i="62"/>
  <c r="V692" i="62"/>
  <c r="V693" i="62"/>
  <c r="V694" i="62"/>
  <c r="V695" i="62"/>
  <c r="V696" i="62"/>
  <c r="V697" i="62"/>
  <c r="V698" i="62"/>
  <c r="V699" i="62"/>
  <c r="V700" i="62"/>
  <c r="V701" i="62"/>
  <c r="V702" i="62"/>
  <c r="V703" i="62"/>
  <c r="V704" i="62"/>
  <c r="V705" i="62"/>
  <c r="V706" i="62"/>
  <c r="V707" i="62"/>
  <c r="V708" i="62"/>
  <c r="V709" i="62"/>
  <c r="V710" i="62"/>
  <c r="V711" i="62"/>
  <c r="V712" i="62"/>
  <c r="V713" i="62"/>
  <c r="V714" i="62"/>
  <c r="V715" i="62"/>
  <c r="V716" i="62"/>
  <c r="V717" i="62"/>
  <c r="V718" i="62"/>
  <c r="V719" i="62"/>
  <c r="V720" i="62"/>
  <c r="V721" i="62"/>
  <c r="V722" i="62"/>
  <c r="V723" i="62"/>
  <c r="V724" i="62"/>
  <c r="V725" i="62"/>
  <c r="V726" i="62"/>
  <c r="V727" i="62"/>
  <c r="V728" i="62"/>
  <c r="V729" i="62"/>
  <c r="V730" i="62"/>
  <c r="V731" i="62"/>
  <c r="V732" i="62"/>
  <c r="V733" i="62"/>
  <c r="V734" i="62"/>
  <c r="V735" i="62"/>
  <c r="V736" i="62"/>
  <c r="V737" i="62"/>
  <c r="V738" i="62"/>
  <c r="V739" i="62"/>
  <c r="V740" i="62"/>
  <c r="V741" i="62"/>
  <c r="V742" i="62"/>
  <c r="V743" i="62"/>
  <c r="V744" i="62"/>
  <c r="V745" i="62"/>
  <c r="V746" i="62"/>
  <c r="V747" i="62"/>
  <c r="V748" i="62"/>
  <c r="V749" i="62"/>
  <c r="V750" i="62"/>
  <c r="V751" i="62"/>
  <c r="V752" i="62"/>
  <c r="V753" i="62"/>
  <c r="V754" i="62"/>
  <c r="V755" i="62"/>
  <c r="V756" i="62"/>
  <c r="V757" i="62"/>
  <c r="V758" i="62"/>
  <c r="V759" i="62"/>
  <c r="V760" i="62"/>
  <c r="V761" i="62"/>
  <c r="V762" i="62"/>
  <c r="V763" i="62"/>
  <c r="V764" i="62"/>
  <c r="V765" i="62"/>
  <c r="V766" i="62"/>
  <c r="V767" i="62"/>
  <c r="V768" i="62"/>
  <c r="V769" i="62"/>
  <c r="V770" i="62"/>
  <c r="V771" i="62"/>
  <c r="V772" i="62"/>
  <c r="V773" i="62"/>
  <c r="V774" i="62"/>
  <c r="V775" i="62"/>
  <c r="V776" i="62"/>
  <c r="V777" i="62"/>
  <c r="V778" i="62"/>
  <c r="V779" i="62"/>
  <c r="V780" i="62"/>
  <c r="V781" i="62"/>
  <c r="V782" i="62"/>
  <c r="V783" i="62"/>
  <c r="V784" i="62"/>
  <c r="V785" i="62"/>
  <c r="V786" i="62"/>
  <c r="V787" i="62"/>
  <c r="V788" i="62"/>
  <c r="V789" i="62"/>
  <c r="V790" i="62"/>
  <c r="V791" i="62"/>
  <c r="V792" i="62"/>
  <c r="V793" i="62"/>
  <c r="V794" i="62"/>
  <c r="V795" i="62"/>
  <c r="V796" i="62"/>
  <c r="V797" i="62"/>
  <c r="V798" i="62"/>
  <c r="V799" i="62"/>
  <c r="V800" i="62"/>
  <c r="V801" i="62"/>
  <c r="V802" i="62"/>
  <c r="V803" i="62"/>
  <c r="V804" i="62"/>
  <c r="V805" i="62"/>
  <c r="V806" i="62"/>
  <c r="V807" i="62"/>
  <c r="V808" i="62"/>
  <c r="V809" i="62"/>
  <c r="V810" i="62"/>
  <c r="V811" i="62"/>
  <c r="V812" i="62"/>
  <c r="V813" i="62"/>
  <c r="V814" i="62"/>
  <c r="V815" i="62"/>
  <c r="V816" i="62"/>
  <c r="V817" i="62"/>
  <c r="V818" i="62"/>
  <c r="V819" i="62"/>
  <c r="V820" i="62"/>
  <c r="V821" i="62"/>
  <c r="V822" i="62"/>
  <c r="V823" i="62"/>
  <c r="V824" i="62"/>
  <c r="V825" i="62"/>
  <c r="V826" i="62"/>
  <c r="V827" i="62"/>
  <c r="V828" i="62"/>
  <c r="V829" i="62"/>
  <c r="V830" i="62"/>
  <c r="V831" i="62"/>
  <c r="V832" i="62"/>
  <c r="V833" i="62"/>
  <c r="V834" i="62"/>
  <c r="V835" i="62"/>
  <c r="V836" i="62"/>
  <c r="V837" i="62"/>
  <c r="V838" i="62"/>
  <c r="V839" i="62"/>
  <c r="V840" i="62"/>
  <c r="V841" i="62"/>
  <c r="V842" i="62"/>
  <c r="V843" i="62"/>
  <c r="V844" i="62"/>
  <c r="V845" i="62"/>
  <c r="V846" i="62"/>
  <c r="V847" i="62"/>
  <c r="V848" i="62"/>
  <c r="V849" i="62"/>
  <c r="V850" i="62"/>
  <c r="V851" i="62"/>
  <c r="V852" i="62"/>
  <c r="V853" i="62"/>
  <c r="V854" i="62"/>
  <c r="V855" i="62"/>
  <c r="V856" i="62"/>
  <c r="V857" i="62"/>
  <c r="V858" i="62"/>
  <c r="V859" i="62"/>
  <c r="V860" i="62"/>
  <c r="V861" i="62"/>
  <c r="V862" i="62"/>
  <c r="V863" i="62"/>
  <c r="V864" i="62"/>
  <c r="V865" i="62"/>
  <c r="V866" i="62"/>
  <c r="V867" i="62"/>
  <c r="V868" i="62"/>
  <c r="V869" i="62"/>
  <c r="V870" i="62"/>
  <c r="V871" i="62"/>
  <c r="V872" i="62"/>
  <c r="V873" i="62"/>
  <c r="V874" i="62"/>
  <c r="V875" i="62"/>
  <c r="V876" i="62"/>
  <c r="V877" i="62"/>
  <c r="V878" i="62"/>
  <c r="V879" i="62"/>
  <c r="V880" i="62"/>
  <c r="V881" i="62"/>
  <c r="V882" i="62"/>
  <c r="V883" i="62"/>
  <c r="V884" i="62"/>
  <c r="V885" i="62"/>
  <c r="V886" i="62"/>
  <c r="V887" i="62"/>
  <c r="V888" i="62"/>
  <c r="V889" i="62"/>
  <c r="V890" i="62"/>
  <c r="V891" i="62"/>
  <c r="V892" i="62"/>
  <c r="V893" i="62"/>
  <c r="V894" i="62"/>
  <c r="V895" i="62"/>
  <c r="V896" i="62"/>
  <c r="V897" i="62"/>
  <c r="V898" i="62"/>
  <c r="V899" i="62"/>
  <c r="V900" i="62"/>
  <c r="V901" i="62"/>
  <c r="V902" i="62"/>
  <c r="V903" i="62"/>
  <c r="V904" i="62"/>
  <c r="V905" i="62"/>
  <c r="V906" i="62"/>
  <c r="V907" i="62"/>
  <c r="V908" i="62"/>
  <c r="V909" i="62"/>
  <c r="V910" i="62"/>
  <c r="V911" i="62"/>
  <c r="V912" i="62"/>
  <c r="V913" i="62"/>
  <c r="V914" i="62"/>
  <c r="V915" i="62"/>
  <c r="V916" i="62"/>
  <c r="V917" i="62"/>
  <c r="V918" i="62"/>
  <c r="V919" i="62"/>
  <c r="V920" i="62"/>
  <c r="V921" i="62"/>
  <c r="V922" i="62"/>
  <c r="V923" i="62"/>
  <c r="V924" i="62"/>
  <c r="V925" i="62"/>
  <c r="V926" i="62"/>
  <c r="V927" i="62"/>
  <c r="V928" i="62"/>
  <c r="V929" i="62"/>
  <c r="V930" i="62"/>
  <c r="V931" i="62"/>
  <c r="V932" i="62"/>
  <c r="V933" i="62"/>
  <c r="V934" i="62"/>
  <c r="V935" i="62"/>
  <c r="V936" i="62"/>
  <c r="V937" i="62"/>
  <c r="V938" i="62"/>
  <c r="V939" i="62"/>
  <c r="V940" i="62"/>
  <c r="V941" i="62"/>
  <c r="V942" i="62"/>
  <c r="V943" i="62"/>
  <c r="V944" i="62"/>
  <c r="V945" i="62"/>
  <c r="V946" i="62"/>
  <c r="V947" i="62"/>
  <c r="V948" i="62"/>
  <c r="V949" i="62"/>
  <c r="V950" i="62"/>
  <c r="V951" i="62"/>
  <c r="V952" i="62"/>
  <c r="V953" i="62"/>
  <c r="V954" i="62"/>
  <c r="V955" i="62"/>
  <c r="V956" i="62"/>
  <c r="V957" i="62"/>
  <c r="V958" i="62"/>
  <c r="V959" i="62"/>
  <c r="V960" i="62"/>
  <c r="V961" i="62"/>
  <c r="V962" i="62"/>
  <c r="V963" i="62"/>
  <c r="V964" i="62"/>
  <c r="V965" i="62"/>
  <c r="V966" i="62"/>
  <c r="V967" i="62"/>
  <c r="V968" i="62"/>
  <c r="V969" i="62"/>
  <c r="V970" i="62"/>
  <c r="V971" i="62"/>
  <c r="V972" i="62"/>
  <c r="V973" i="62"/>
  <c r="V974" i="62"/>
  <c r="V975" i="62"/>
  <c r="V976" i="62"/>
  <c r="V977" i="62"/>
  <c r="V978" i="62"/>
  <c r="V979" i="62"/>
  <c r="V980" i="62"/>
  <c r="V981" i="62"/>
  <c r="V982" i="62"/>
  <c r="V983" i="62"/>
  <c r="V984" i="62"/>
  <c r="V985" i="62"/>
  <c r="V986" i="62"/>
  <c r="V987" i="62"/>
  <c r="V988" i="62"/>
  <c r="V989" i="62"/>
  <c r="V990" i="62"/>
  <c r="V991" i="62"/>
  <c r="V992" i="62"/>
  <c r="V993" i="62"/>
  <c r="V994" i="62"/>
  <c r="V995" i="62"/>
  <c r="V996" i="62"/>
  <c r="V997" i="62"/>
  <c r="V998" i="62"/>
  <c r="V999" i="62"/>
  <c r="V1000" i="62"/>
  <c r="V1001" i="62"/>
  <c r="V1002" i="62"/>
  <c r="V1003" i="62"/>
  <c r="V1004" i="62"/>
  <c r="V1005" i="62"/>
  <c r="V1006" i="62"/>
  <c r="V1007" i="62"/>
  <c r="V1008" i="62"/>
  <c r="V1009" i="62"/>
  <c r="V1010" i="62"/>
  <c r="V1011" i="62"/>
  <c r="V1012" i="62"/>
  <c r="V1013" i="62"/>
  <c r="V1014" i="62"/>
  <c r="V1015" i="62"/>
  <c r="V1016" i="62"/>
  <c r="V1017" i="62"/>
  <c r="V1018" i="62"/>
  <c r="V1019" i="62"/>
  <c r="V1020" i="62"/>
  <c r="V1021" i="62"/>
  <c r="V1022" i="62"/>
  <c r="V1023" i="62"/>
  <c r="V1024" i="62"/>
  <c r="V1025" i="62"/>
  <c r="V1026" i="62"/>
  <c r="V1027" i="62"/>
  <c r="V1028" i="62"/>
  <c r="V1029" i="62"/>
  <c r="V1030" i="62"/>
  <c r="V1031" i="62"/>
  <c r="V1032" i="62"/>
  <c r="V1033" i="62"/>
  <c r="V1034" i="62"/>
  <c r="V1035" i="62"/>
  <c r="V1036" i="62"/>
  <c r="V1037" i="62"/>
  <c r="V1038" i="62"/>
  <c r="V1039" i="62"/>
  <c r="V1040" i="62"/>
  <c r="V1041" i="62"/>
  <c r="V1042" i="62"/>
  <c r="V1043" i="62"/>
  <c r="V1044" i="62"/>
  <c r="V1045" i="62"/>
  <c r="V1046" i="62"/>
  <c r="V1047" i="62"/>
  <c r="V1048" i="62"/>
  <c r="V1049" i="62"/>
  <c r="V1050" i="62"/>
  <c r="V1051" i="62"/>
  <c r="V1052" i="62"/>
  <c r="V1053" i="62"/>
  <c r="V1054" i="62"/>
  <c r="V1055" i="62"/>
  <c r="V1056" i="62"/>
  <c r="V1057" i="62"/>
  <c r="V1058" i="62"/>
  <c r="V1059" i="62"/>
  <c r="V1060" i="62"/>
  <c r="V1061" i="62"/>
  <c r="V1062" i="62"/>
  <c r="V1063" i="62"/>
  <c r="V1064" i="62"/>
  <c r="V1065" i="62"/>
  <c r="V1066" i="62"/>
  <c r="V1067" i="62"/>
  <c r="V1068" i="62"/>
  <c r="V1069" i="62"/>
  <c r="V1070" i="62"/>
  <c r="V1071" i="62"/>
  <c r="V1072" i="62"/>
  <c r="V1073" i="62"/>
  <c r="V1074" i="62"/>
  <c r="V1075" i="62"/>
  <c r="V1076" i="62"/>
  <c r="V1077" i="62"/>
  <c r="V1078" i="62"/>
  <c r="V1079" i="62"/>
  <c r="V1080" i="62"/>
  <c r="V1081" i="62"/>
  <c r="V1082" i="62"/>
  <c r="V1083" i="62"/>
  <c r="V1084" i="62"/>
  <c r="V1085" i="62"/>
  <c r="V1086" i="62"/>
  <c r="V1087" i="62"/>
  <c r="V1088" i="62"/>
  <c r="V1089" i="62"/>
  <c r="V1090" i="62"/>
  <c r="V1091" i="62"/>
  <c r="V1092" i="62"/>
  <c r="V1093" i="62"/>
  <c r="V1094" i="62"/>
  <c r="V1095" i="62"/>
  <c r="V1096" i="62"/>
  <c r="V1097" i="62"/>
  <c r="V1098" i="62"/>
  <c r="V1099" i="62"/>
  <c r="V1100" i="62"/>
  <c r="V1101" i="62"/>
  <c r="V1102" i="62"/>
  <c r="V1103" i="62"/>
  <c r="V1104" i="62"/>
  <c r="V1105" i="62"/>
  <c r="V1106" i="62"/>
  <c r="V1107" i="62"/>
  <c r="V1108" i="62"/>
  <c r="V1109" i="62"/>
  <c r="V1110" i="62"/>
  <c r="V1111" i="62"/>
  <c r="V1112" i="62"/>
  <c r="V1113" i="62"/>
  <c r="V1114" i="62"/>
  <c r="V1115" i="62"/>
  <c r="V1116" i="62"/>
  <c r="V1117" i="62"/>
  <c r="V1118" i="62"/>
  <c r="V1119" i="62"/>
  <c r="V1120" i="62"/>
  <c r="V1121" i="62"/>
  <c r="V1122" i="62"/>
  <c r="V1123" i="62"/>
  <c r="V1124" i="62"/>
  <c r="V1125" i="62"/>
  <c r="V1126" i="62"/>
  <c r="V1127" i="62"/>
  <c r="V1128" i="62"/>
  <c r="V1129" i="62"/>
  <c r="V1130" i="62"/>
  <c r="V1131" i="62"/>
  <c r="V1132" i="62"/>
  <c r="V1133" i="62"/>
  <c r="V1134" i="62"/>
  <c r="V1135" i="62"/>
  <c r="V1136" i="62"/>
  <c r="V1137" i="62"/>
  <c r="V1138" i="62"/>
  <c r="V1139" i="62"/>
  <c r="V1140" i="62"/>
  <c r="V1141" i="62"/>
  <c r="V1142" i="62"/>
  <c r="V1143" i="62"/>
  <c r="V1144" i="62"/>
  <c r="V1145" i="62"/>
  <c r="V1146" i="62"/>
  <c r="V1147" i="62"/>
  <c r="V1148" i="62"/>
  <c r="V1149" i="62"/>
  <c r="V1150" i="62"/>
  <c r="V1151" i="62"/>
  <c r="V1152" i="62"/>
  <c r="V1153" i="62"/>
  <c r="V1154" i="62"/>
  <c r="V1155" i="62"/>
  <c r="V1156" i="62"/>
  <c r="V1157" i="62"/>
  <c r="V1158" i="62"/>
  <c r="V1159" i="62"/>
  <c r="V1160" i="62"/>
  <c r="V1161" i="62"/>
  <c r="V1162" i="62"/>
  <c r="V1163" i="62"/>
  <c r="V1164" i="62"/>
  <c r="V1165" i="62"/>
  <c r="V1166" i="62"/>
  <c r="V1167" i="62"/>
  <c r="V1168" i="62"/>
  <c r="V1169" i="62"/>
  <c r="V1170" i="62"/>
  <c r="V1171" i="62"/>
  <c r="V1172" i="62"/>
  <c r="V1173" i="62"/>
  <c r="V1174" i="62"/>
  <c r="V1175" i="62"/>
  <c r="V1176" i="62"/>
  <c r="V1177" i="62"/>
  <c r="V1178" i="62"/>
  <c r="V1179" i="62"/>
  <c r="V1180" i="62"/>
  <c r="V1181" i="62"/>
  <c r="V1182" i="62"/>
  <c r="V1183" i="62"/>
  <c r="V1184" i="62"/>
  <c r="V1185" i="62"/>
  <c r="V1186" i="62"/>
  <c r="V1187" i="62"/>
  <c r="V1188" i="62"/>
  <c r="V1189" i="62"/>
  <c r="V1190" i="62"/>
  <c r="V1191" i="62"/>
  <c r="V1192" i="62"/>
  <c r="V1193" i="62"/>
  <c r="V1194" i="62"/>
  <c r="V1195" i="62"/>
  <c r="V1196" i="62"/>
  <c r="V1197" i="62"/>
  <c r="V1198" i="62"/>
  <c r="V1199" i="62"/>
  <c r="V1200" i="62"/>
  <c r="V1201" i="62"/>
  <c r="V1202" i="62"/>
  <c r="V1203" i="62"/>
  <c r="V1204" i="62"/>
  <c r="V1205" i="62"/>
  <c r="V1206" i="62"/>
  <c r="V1207" i="62"/>
  <c r="V1208" i="62"/>
  <c r="V1209" i="62"/>
  <c r="V1210" i="62"/>
  <c r="V1211" i="62"/>
  <c r="V1212" i="62"/>
  <c r="V1213" i="62"/>
  <c r="V1214" i="62"/>
  <c r="V1215" i="62"/>
  <c r="V1216" i="62"/>
  <c r="V1217" i="62"/>
  <c r="V1218" i="62"/>
  <c r="V1219" i="62"/>
  <c r="V1220" i="62"/>
  <c r="V1221" i="62"/>
  <c r="V1222" i="62"/>
  <c r="V1223" i="62"/>
  <c r="V1224" i="62"/>
  <c r="V1225" i="62"/>
  <c r="V1226" i="62"/>
  <c r="V1227" i="62"/>
  <c r="V1228" i="62"/>
  <c r="V1229" i="62"/>
  <c r="V1230" i="62"/>
  <c r="V1231" i="62"/>
  <c r="V1232" i="62"/>
  <c r="V1233" i="62"/>
  <c r="V1234" i="62"/>
  <c r="V1235" i="62"/>
  <c r="V1236" i="62"/>
  <c r="V1237" i="62"/>
  <c r="V1238" i="62"/>
  <c r="V1239" i="62"/>
  <c r="V1240" i="62"/>
  <c r="V1241" i="62"/>
  <c r="V1242" i="62"/>
  <c r="V1243" i="62"/>
  <c r="V1244" i="62"/>
  <c r="V1245" i="62"/>
  <c r="V1246" i="62"/>
  <c r="V1247" i="62"/>
  <c r="V1248" i="62"/>
  <c r="V1249" i="62"/>
  <c r="V1250" i="62"/>
  <c r="V1251" i="62"/>
  <c r="V1252" i="62"/>
  <c r="V1253" i="62"/>
  <c r="V1254" i="62"/>
  <c r="V1255" i="62"/>
  <c r="V1256" i="62"/>
  <c r="V1257" i="62"/>
  <c r="V1258" i="62"/>
  <c r="V1259" i="62"/>
  <c r="V1260" i="62"/>
  <c r="V1261" i="62"/>
  <c r="V1262" i="62"/>
  <c r="V1263" i="62"/>
  <c r="V1264" i="62"/>
  <c r="V1265" i="62"/>
  <c r="V1266" i="62"/>
  <c r="V1267" i="62"/>
  <c r="V1268" i="62"/>
  <c r="V1269" i="62"/>
  <c r="V1270" i="62"/>
  <c r="V1271" i="62"/>
  <c r="V1272" i="62"/>
  <c r="V1273" i="62"/>
  <c r="V1274" i="62"/>
  <c r="V1275" i="62"/>
  <c r="V1276" i="62"/>
  <c r="V1277" i="62"/>
  <c r="V1278" i="62"/>
  <c r="V1279" i="62"/>
  <c r="V1280" i="62"/>
  <c r="V1281" i="62"/>
  <c r="V1282" i="62"/>
  <c r="V1283" i="62"/>
  <c r="V1284" i="62"/>
  <c r="V1285" i="62"/>
  <c r="V1286" i="62"/>
  <c r="V1287" i="62"/>
  <c r="V1288" i="62"/>
  <c r="V1289" i="62"/>
  <c r="V1290" i="62"/>
  <c r="V1291" i="62"/>
  <c r="V1292" i="62"/>
  <c r="V1293" i="62"/>
  <c r="V1294" i="62"/>
  <c r="V1295" i="62"/>
  <c r="V1296" i="62"/>
  <c r="V1297" i="62"/>
  <c r="V1298" i="62"/>
  <c r="V1299" i="62"/>
  <c r="V1300" i="62"/>
  <c r="V1301" i="62"/>
  <c r="V1302" i="62"/>
  <c r="V1303" i="62"/>
  <c r="V1304" i="62"/>
  <c r="V1305" i="62"/>
  <c r="V1306" i="62"/>
  <c r="V1307" i="62"/>
  <c r="V1308" i="62"/>
  <c r="V1309" i="62"/>
  <c r="V1310" i="62"/>
  <c r="V1311" i="62"/>
  <c r="V1312" i="62"/>
  <c r="V1313" i="62"/>
  <c r="V1314" i="62"/>
  <c r="V1315" i="62"/>
  <c r="V1316" i="62"/>
  <c r="V1317" i="62"/>
  <c r="V1318" i="62"/>
  <c r="V1319" i="62"/>
  <c r="V1320" i="62"/>
  <c r="V1321" i="62"/>
  <c r="V1322" i="62"/>
  <c r="V1323" i="62"/>
  <c r="V1324" i="62"/>
  <c r="V1325" i="62"/>
  <c r="V1326" i="62"/>
  <c r="V1327" i="62"/>
  <c r="V1328" i="62"/>
  <c r="V1329" i="62"/>
  <c r="V1330" i="62"/>
  <c r="V1331" i="62"/>
  <c r="V1332" i="62"/>
  <c r="V1333" i="62"/>
  <c r="V1334" i="62"/>
  <c r="V1335" i="62"/>
  <c r="V1336" i="62"/>
  <c r="V1337" i="62"/>
  <c r="V1338" i="62"/>
  <c r="V1339" i="62"/>
  <c r="V1340" i="62"/>
  <c r="V1341" i="62"/>
  <c r="V1342" i="62"/>
  <c r="V1343" i="62"/>
  <c r="V1344" i="62"/>
  <c r="V1345" i="62"/>
  <c r="V1346" i="62"/>
  <c r="V1347" i="62"/>
  <c r="V1348" i="62"/>
  <c r="V1349" i="62"/>
  <c r="V1350" i="62"/>
  <c r="V1351" i="62"/>
  <c r="V1352" i="62"/>
  <c r="V1353" i="62"/>
  <c r="V1354" i="62"/>
  <c r="V1355" i="62"/>
  <c r="V1356" i="62"/>
  <c r="V1357" i="62"/>
  <c r="V1358" i="62"/>
  <c r="V1359" i="62"/>
  <c r="V1360" i="62"/>
  <c r="V1361" i="62"/>
  <c r="V1362" i="62"/>
  <c r="V1363" i="62"/>
  <c r="V1364" i="62"/>
  <c r="V1365" i="62"/>
  <c r="V1366" i="62"/>
  <c r="V1367" i="62"/>
  <c r="V1368" i="62"/>
  <c r="V1369" i="62"/>
  <c r="V1370" i="62"/>
  <c r="V1371" i="62"/>
  <c r="V1372" i="62"/>
  <c r="V1373" i="62"/>
  <c r="V1374" i="62"/>
  <c r="V1375" i="62"/>
  <c r="V1376" i="62"/>
  <c r="V1377" i="62"/>
  <c r="V1378" i="62"/>
  <c r="V1379" i="62"/>
  <c r="V1380" i="62"/>
  <c r="V1381" i="62"/>
  <c r="V1382" i="62"/>
  <c r="V1383" i="62"/>
  <c r="V1384" i="62"/>
  <c r="V1385" i="62"/>
  <c r="V1386" i="62"/>
  <c r="V1387" i="62"/>
  <c r="V1388" i="62"/>
  <c r="V1389" i="62"/>
  <c r="V1390" i="62"/>
  <c r="V1391" i="62"/>
  <c r="V1392" i="62"/>
  <c r="V1393" i="62"/>
  <c r="V1394" i="62"/>
  <c r="V1395" i="62"/>
  <c r="V1396" i="62"/>
  <c r="V1397" i="62"/>
  <c r="V1398" i="62"/>
  <c r="V1399" i="62"/>
  <c r="V1400" i="62"/>
  <c r="V1401" i="62"/>
  <c r="V1402" i="62"/>
  <c r="V1403" i="62"/>
  <c r="V1404" i="62"/>
  <c r="V1405" i="62"/>
  <c r="V1406" i="62"/>
  <c r="V1407" i="62"/>
  <c r="V1408" i="62"/>
  <c r="V1409" i="62"/>
  <c r="V1410" i="62"/>
  <c r="V1411" i="62"/>
  <c r="V1412" i="62"/>
  <c r="V1413" i="62"/>
  <c r="V1414" i="62"/>
  <c r="V1415" i="62"/>
  <c r="V1416" i="62"/>
  <c r="V1417" i="62"/>
  <c r="V1418" i="62"/>
  <c r="V1419" i="62"/>
  <c r="V1420" i="62"/>
  <c r="V1421" i="62"/>
  <c r="V1422" i="62"/>
  <c r="V1423" i="62"/>
  <c r="V1424" i="62"/>
  <c r="V1425" i="62"/>
  <c r="V1426" i="62"/>
  <c r="V1427" i="62"/>
  <c r="V1428" i="62"/>
  <c r="V1429" i="62"/>
  <c r="V1430" i="62"/>
  <c r="V1431" i="62"/>
  <c r="V1432" i="62"/>
  <c r="V1433" i="62"/>
  <c r="V1434" i="62"/>
  <c r="V1435" i="62"/>
  <c r="V1436" i="62"/>
  <c r="V1437" i="62"/>
  <c r="V1438" i="62"/>
  <c r="V1439" i="62"/>
  <c r="V1440" i="62"/>
  <c r="V1441" i="62"/>
  <c r="V1442" i="62"/>
  <c r="V1443" i="62"/>
  <c r="V1444" i="62"/>
  <c r="V1445" i="62"/>
  <c r="V1446" i="62"/>
  <c r="M211" i="67" l="1"/>
  <c r="L211" i="67"/>
  <c r="W190" i="67" s="1"/>
  <c r="K211" i="67"/>
  <c r="V190" i="67" s="1"/>
  <c r="J211" i="67"/>
  <c r="U190" i="67" s="1"/>
  <c r="I211" i="67"/>
  <c r="T190" i="67" s="1"/>
  <c r="G7" i="55"/>
  <c r="G8" i="55"/>
  <c r="G9" i="55"/>
  <c r="G10" i="55"/>
  <c r="G11" i="55"/>
  <c r="M235" i="67" l="1"/>
  <c r="X190" i="67"/>
  <c r="M228" i="67"/>
  <c r="I235" i="67"/>
  <c r="I228" i="67"/>
  <c r="J235" i="67"/>
  <c r="J228" i="67"/>
  <c r="K228" i="67"/>
  <c r="K235" i="67"/>
  <c r="L235" i="67"/>
  <c r="L228" i="67"/>
  <c r="M45" i="17"/>
  <c r="M50" i="17"/>
  <c r="M61" i="17"/>
  <c r="M66" i="17"/>
  <c r="M77" i="17"/>
  <c r="M82" i="17"/>
  <c r="M93" i="17"/>
  <c r="M98" i="17"/>
  <c r="M109" i="17"/>
  <c r="M114" i="17"/>
  <c r="M125" i="17"/>
  <c r="M130" i="17"/>
  <c r="M141" i="17"/>
  <c r="M146" i="17"/>
  <c r="M157" i="17"/>
  <c r="M162" i="17"/>
  <c r="M173" i="17"/>
  <c r="M178" i="17"/>
  <c r="M189" i="17"/>
  <c r="M194" i="17"/>
  <c r="AC11" i="1" l="1"/>
  <c r="AY11" i="1"/>
  <c r="AN11" i="1"/>
  <c r="R11" i="1"/>
  <c r="AW17" i="1" l="1"/>
  <c r="BD65" i="1"/>
  <c r="BC65" i="1"/>
  <c r="BB65" i="1"/>
  <c r="BA65" i="1"/>
  <c r="BD20" i="1"/>
  <c r="BC20" i="1"/>
  <c r="BB20" i="1"/>
  <c r="BA20" i="1"/>
  <c r="AL17" i="1"/>
  <c r="P17" i="1"/>
  <c r="AA17" i="1"/>
  <c r="AS65" i="1"/>
  <c r="AR65" i="1"/>
  <c r="AQ65" i="1"/>
  <c r="AP65" i="1"/>
  <c r="AS20" i="1"/>
  <c r="AR20" i="1"/>
  <c r="AQ20" i="1"/>
  <c r="AP20" i="1"/>
  <c r="AH65" i="1"/>
  <c r="AG65" i="1"/>
  <c r="AF65" i="1"/>
  <c r="AE65" i="1"/>
  <c r="AH20" i="1"/>
  <c r="AG20" i="1"/>
  <c r="AF20" i="1"/>
  <c r="AE20" i="1"/>
  <c r="W65" i="1"/>
  <c r="V65" i="1"/>
  <c r="U65" i="1"/>
  <c r="T65" i="1"/>
  <c r="W20" i="1"/>
  <c r="V20" i="1"/>
  <c r="U20" i="1"/>
  <c r="T20" i="1"/>
  <c r="C2" i="1"/>
  <c r="E17" i="1"/>
  <c r="AH68" i="1" l="1"/>
  <c r="BD68" i="1"/>
  <c r="W68" i="1"/>
  <c r="AS68" i="1"/>
  <c r="P18" i="1"/>
  <c r="AW18" i="1"/>
  <c r="AA18" i="1"/>
  <c r="AL18" i="1"/>
  <c r="E18" i="1"/>
  <c r="X7" i="62" l="1"/>
  <c r="X8" i="62"/>
  <c r="X9" i="62"/>
  <c r="X10" i="62"/>
  <c r="X11" i="62"/>
  <c r="X12" i="62"/>
  <c r="X13" i="62"/>
  <c r="X14" i="62"/>
  <c r="X15" i="62"/>
  <c r="X16" i="62"/>
  <c r="X17" i="62"/>
  <c r="X18" i="62"/>
  <c r="X19" i="62"/>
  <c r="X20" i="62"/>
  <c r="X21" i="62"/>
  <c r="X22" i="62"/>
  <c r="X23" i="62"/>
  <c r="X24" i="62"/>
  <c r="X25" i="62"/>
  <c r="X26" i="62"/>
  <c r="X27" i="62"/>
  <c r="X28" i="62"/>
  <c r="X29" i="62"/>
  <c r="X30" i="62"/>
  <c r="X31" i="62"/>
  <c r="X32" i="62"/>
  <c r="X33" i="62"/>
  <c r="X34" i="62"/>
  <c r="X35" i="62"/>
  <c r="X36" i="62"/>
  <c r="X37" i="62"/>
  <c r="X38" i="62"/>
  <c r="X39" i="62"/>
  <c r="X40" i="62"/>
  <c r="X41" i="62"/>
  <c r="X42" i="62"/>
  <c r="X43" i="62"/>
  <c r="X44" i="62"/>
  <c r="X45" i="62"/>
  <c r="X46" i="62"/>
  <c r="X47" i="62"/>
  <c r="X48" i="62"/>
  <c r="X49" i="62"/>
  <c r="X50" i="62"/>
  <c r="X51" i="62"/>
  <c r="X52" i="62"/>
  <c r="X53" i="62"/>
  <c r="X54" i="62"/>
  <c r="X55" i="62"/>
  <c r="X56" i="62"/>
  <c r="X57" i="62"/>
  <c r="X58" i="62"/>
  <c r="X59" i="62"/>
  <c r="X60" i="62"/>
  <c r="X61" i="62"/>
  <c r="X62" i="62"/>
  <c r="X63" i="62"/>
  <c r="X64" i="62"/>
  <c r="X65" i="62"/>
  <c r="X66" i="62"/>
  <c r="X67" i="62"/>
  <c r="X68" i="62"/>
  <c r="X69" i="62"/>
  <c r="X70" i="62"/>
  <c r="X71" i="62"/>
  <c r="X72" i="62"/>
  <c r="X73" i="62"/>
  <c r="X74" i="62"/>
  <c r="X75" i="62"/>
  <c r="X76" i="62"/>
  <c r="X77" i="62"/>
  <c r="X78" i="62"/>
  <c r="X79" i="62"/>
  <c r="X80" i="62"/>
  <c r="X81" i="62"/>
  <c r="X82" i="62"/>
  <c r="X83" i="62"/>
  <c r="X84" i="62"/>
  <c r="X85" i="62"/>
  <c r="X86" i="62"/>
  <c r="X87" i="62"/>
  <c r="X88" i="62"/>
  <c r="X89" i="62"/>
  <c r="X90" i="62"/>
  <c r="X91" i="62"/>
  <c r="X92" i="62"/>
  <c r="X93" i="62"/>
  <c r="X94" i="62"/>
  <c r="X95" i="62"/>
  <c r="X96" i="62"/>
  <c r="X97" i="62"/>
  <c r="X98" i="62"/>
  <c r="X99" i="62"/>
  <c r="X100" i="62"/>
  <c r="X101" i="62"/>
  <c r="X102" i="62"/>
  <c r="X103" i="62"/>
  <c r="X104" i="62"/>
  <c r="X105" i="62"/>
  <c r="X106" i="62"/>
  <c r="X107" i="62"/>
  <c r="X108" i="62"/>
  <c r="X109" i="62"/>
  <c r="X110" i="62"/>
  <c r="X111" i="62"/>
  <c r="X112" i="62"/>
  <c r="X113" i="62"/>
  <c r="X114" i="62"/>
  <c r="X115" i="62"/>
  <c r="X116" i="62"/>
  <c r="X117" i="62"/>
  <c r="X118" i="62"/>
  <c r="X119" i="62"/>
  <c r="X120" i="62"/>
  <c r="X121" i="62"/>
  <c r="X122" i="62"/>
  <c r="X123" i="62"/>
  <c r="X124" i="62"/>
  <c r="X125" i="62"/>
  <c r="X126" i="62"/>
  <c r="X127" i="62"/>
  <c r="X128" i="62"/>
  <c r="X129" i="62"/>
  <c r="X130" i="62"/>
  <c r="X131" i="62"/>
  <c r="X132" i="62"/>
  <c r="X133" i="62"/>
  <c r="X134" i="62"/>
  <c r="X135" i="62"/>
  <c r="X136" i="62"/>
  <c r="X137" i="62"/>
  <c r="X138" i="62"/>
  <c r="X139" i="62"/>
  <c r="X140" i="62"/>
  <c r="X141" i="62"/>
  <c r="X142" i="62"/>
  <c r="X143" i="62"/>
  <c r="X144" i="62"/>
  <c r="X145" i="62"/>
  <c r="X146" i="62"/>
  <c r="X147" i="62"/>
  <c r="X148" i="62"/>
  <c r="X149" i="62"/>
  <c r="X150" i="62"/>
  <c r="X151" i="62"/>
  <c r="X152" i="62"/>
  <c r="X153" i="62"/>
  <c r="X154" i="62"/>
  <c r="X155" i="62"/>
  <c r="X156" i="62"/>
  <c r="X157" i="62"/>
  <c r="X158" i="62"/>
  <c r="X159" i="62"/>
  <c r="X160" i="62"/>
  <c r="X161" i="62"/>
  <c r="X162" i="62"/>
  <c r="X163" i="62"/>
  <c r="X164" i="62"/>
  <c r="X165" i="62"/>
  <c r="X166" i="62"/>
  <c r="X167" i="62"/>
  <c r="X168" i="62"/>
  <c r="X169" i="62"/>
  <c r="X170" i="62"/>
  <c r="X171" i="62"/>
  <c r="X172" i="62"/>
  <c r="X173" i="62"/>
  <c r="X174" i="62"/>
  <c r="X175" i="62"/>
  <c r="X176" i="62"/>
  <c r="X177" i="62"/>
  <c r="X178" i="62"/>
  <c r="X179" i="62"/>
  <c r="X180" i="62"/>
  <c r="X181" i="62"/>
  <c r="X182" i="62"/>
  <c r="X183" i="62"/>
  <c r="X184" i="62"/>
  <c r="X185" i="62"/>
  <c r="X186" i="62"/>
  <c r="X187" i="62"/>
  <c r="X188" i="62"/>
  <c r="X189" i="62"/>
  <c r="X190" i="62"/>
  <c r="X191" i="62"/>
  <c r="X192" i="62"/>
  <c r="X193" i="62"/>
  <c r="X194" i="62"/>
  <c r="X195" i="62"/>
  <c r="X196" i="62"/>
  <c r="X197" i="62"/>
  <c r="X198" i="62"/>
  <c r="X199" i="62"/>
  <c r="X200" i="62"/>
  <c r="X201" i="62"/>
  <c r="X202" i="62"/>
  <c r="X203" i="62"/>
  <c r="X204" i="62"/>
  <c r="X205" i="62"/>
  <c r="X206" i="62"/>
  <c r="X207" i="62"/>
  <c r="X208" i="62"/>
  <c r="X209" i="62"/>
  <c r="X210" i="62"/>
  <c r="X211" i="62"/>
  <c r="X212" i="62"/>
  <c r="X213" i="62"/>
  <c r="X214" i="62"/>
  <c r="X215" i="62"/>
  <c r="X216" i="62"/>
  <c r="X217" i="62"/>
  <c r="X218" i="62"/>
  <c r="X219" i="62"/>
  <c r="X220" i="62"/>
  <c r="X221" i="62"/>
  <c r="X222" i="62"/>
  <c r="X223" i="62"/>
  <c r="X224" i="62"/>
  <c r="X225" i="62"/>
  <c r="X226" i="62"/>
  <c r="X227" i="62"/>
  <c r="X228" i="62"/>
  <c r="X229" i="62"/>
  <c r="X230" i="62"/>
  <c r="X231" i="62"/>
  <c r="X232" i="62"/>
  <c r="X233" i="62"/>
  <c r="X234" i="62"/>
  <c r="X235" i="62"/>
  <c r="X236" i="62"/>
  <c r="X237" i="62"/>
  <c r="X238" i="62"/>
  <c r="X239" i="62"/>
  <c r="X240" i="62"/>
  <c r="X241" i="62"/>
  <c r="X242" i="62"/>
  <c r="X243" i="62"/>
  <c r="X244" i="62"/>
  <c r="X245" i="62"/>
  <c r="X246" i="62"/>
  <c r="X247" i="62"/>
  <c r="X248" i="62"/>
  <c r="X249" i="62"/>
  <c r="X250" i="62"/>
  <c r="X251" i="62"/>
  <c r="X252" i="62"/>
  <c r="X253" i="62"/>
  <c r="X254" i="62"/>
  <c r="X255" i="62"/>
  <c r="X256" i="62"/>
  <c r="X257" i="62"/>
  <c r="X258" i="62"/>
  <c r="X259" i="62"/>
  <c r="X260" i="62"/>
  <c r="X261" i="62"/>
  <c r="X262" i="62"/>
  <c r="X263" i="62"/>
  <c r="X264" i="62"/>
  <c r="X265" i="62"/>
  <c r="X266" i="62"/>
  <c r="X267" i="62"/>
  <c r="X268" i="62"/>
  <c r="X269" i="62"/>
  <c r="X270" i="62"/>
  <c r="X271" i="62"/>
  <c r="X272" i="62"/>
  <c r="X273" i="62"/>
  <c r="X274" i="62"/>
  <c r="X275" i="62"/>
  <c r="X276" i="62"/>
  <c r="X277" i="62"/>
  <c r="X278" i="62"/>
  <c r="X279" i="62"/>
  <c r="X280" i="62"/>
  <c r="X281" i="62"/>
  <c r="X282" i="62"/>
  <c r="X283" i="62"/>
  <c r="X284" i="62"/>
  <c r="X285" i="62"/>
  <c r="X286" i="62"/>
  <c r="X287" i="62"/>
  <c r="X288" i="62"/>
  <c r="X289" i="62"/>
  <c r="X290" i="62"/>
  <c r="X291" i="62"/>
  <c r="X292" i="62"/>
  <c r="X293" i="62"/>
  <c r="X294" i="62"/>
  <c r="X295" i="62"/>
  <c r="X296" i="62"/>
  <c r="X297" i="62"/>
  <c r="X298" i="62"/>
  <c r="X299" i="62"/>
  <c r="X300" i="62"/>
  <c r="X301" i="62"/>
  <c r="X302" i="62"/>
  <c r="X303" i="62"/>
  <c r="X304" i="62"/>
  <c r="X305" i="62"/>
  <c r="X306" i="62"/>
  <c r="X307" i="62"/>
  <c r="X308" i="62"/>
  <c r="X309" i="62"/>
  <c r="X310" i="62"/>
  <c r="X311" i="62"/>
  <c r="X312" i="62"/>
  <c r="X313" i="62"/>
  <c r="X314" i="62"/>
  <c r="X315" i="62"/>
  <c r="X316" i="62"/>
  <c r="X317" i="62"/>
  <c r="X318" i="62"/>
  <c r="X319" i="62"/>
  <c r="X320" i="62"/>
  <c r="X321" i="62"/>
  <c r="X322" i="62"/>
  <c r="X323" i="62"/>
  <c r="X324" i="62"/>
  <c r="X325" i="62"/>
  <c r="X326" i="62"/>
  <c r="X327" i="62"/>
  <c r="X328" i="62"/>
  <c r="X329" i="62"/>
  <c r="X330" i="62"/>
  <c r="X331" i="62"/>
  <c r="X332" i="62"/>
  <c r="X333" i="62"/>
  <c r="X334" i="62"/>
  <c r="X335" i="62"/>
  <c r="X336" i="62"/>
  <c r="X337" i="62"/>
  <c r="X338" i="62"/>
  <c r="X339" i="62"/>
  <c r="X340" i="62"/>
  <c r="X341" i="62"/>
  <c r="X342" i="62"/>
  <c r="X343" i="62"/>
  <c r="X344" i="62"/>
  <c r="X345" i="62"/>
  <c r="X346" i="62"/>
  <c r="X347" i="62"/>
  <c r="X348" i="62"/>
  <c r="X349" i="62"/>
  <c r="X350" i="62"/>
  <c r="X351" i="62"/>
  <c r="X352" i="62"/>
  <c r="X353" i="62"/>
  <c r="X354" i="62"/>
  <c r="X355" i="62"/>
  <c r="X356" i="62"/>
  <c r="X357" i="62"/>
  <c r="X358" i="62"/>
  <c r="X359" i="62"/>
  <c r="X360" i="62"/>
  <c r="X361" i="62"/>
  <c r="X362" i="62"/>
  <c r="X363" i="62"/>
  <c r="X364" i="62"/>
  <c r="X365" i="62"/>
  <c r="X366" i="62"/>
  <c r="X367" i="62"/>
  <c r="X368" i="62"/>
  <c r="X369" i="62"/>
  <c r="X370" i="62"/>
  <c r="X371" i="62"/>
  <c r="X372" i="62"/>
  <c r="X373" i="62"/>
  <c r="X374" i="62"/>
  <c r="X375" i="62"/>
  <c r="X376" i="62"/>
  <c r="X377" i="62"/>
  <c r="X378" i="62"/>
  <c r="X379" i="62"/>
  <c r="X380" i="62"/>
  <c r="X381" i="62"/>
  <c r="X382" i="62"/>
  <c r="X383" i="62"/>
  <c r="X384" i="62"/>
  <c r="X385" i="62"/>
  <c r="X386" i="62"/>
  <c r="X387" i="62"/>
  <c r="X388" i="62"/>
  <c r="X389" i="62"/>
  <c r="X390" i="62"/>
  <c r="X391" i="62"/>
  <c r="X392" i="62"/>
  <c r="X393" i="62"/>
  <c r="X394" i="62"/>
  <c r="X395" i="62"/>
  <c r="X396" i="62"/>
  <c r="X397" i="62"/>
  <c r="X398" i="62"/>
  <c r="X399" i="62"/>
  <c r="X400" i="62"/>
  <c r="X401" i="62"/>
  <c r="X402" i="62"/>
  <c r="X403" i="62"/>
  <c r="X404" i="62"/>
  <c r="X405" i="62"/>
  <c r="X406" i="62"/>
  <c r="X407" i="62"/>
  <c r="X408" i="62"/>
  <c r="X409" i="62"/>
  <c r="X410" i="62"/>
  <c r="X411" i="62"/>
  <c r="X412" i="62"/>
  <c r="X413" i="62"/>
  <c r="X414" i="62"/>
  <c r="X415" i="62"/>
  <c r="X416" i="62"/>
  <c r="X417" i="62"/>
  <c r="X418" i="62"/>
  <c r="X419" i="62"/>
  <c r="X420" i="62"/>
  <c r="X421" i="62"/>
  <c r="X422" i="62"/>
  <c r="X423" i="62"/>
  <c r="X424" i="62"/>
  <c r="X425" i="62"/>
  <c r="X426" i="62"/>
  <c r="X427" i="62"/>
  <c r="X428" i="62"/>
  <c r="X429" i="62"/>
  <c r="X430" i="62"/>
  <c r="X431" i="62"/>
  <c r="X432" i="62"/>
  <c r="X433" i="62"/>
  <c r="X434" i="62"/>
  <c r="X435" i="62"/>
  <c r="X436" i="62"/>
  <c r="X437" i="62"/>
  <c r="X438" i="62"/>
  <c r="X439" i="62"/>
  <c r="X440" i="62"/>
  <c r="X441" i="62"/>
  <c r="X442" i="62"/>
  <c r="X443" i="62"/>
  <c r="X444" i="62"/>
  <c r="X445" i="62"/>
  <c r="X446" i="62"/>
  <c r="X447" i="62"/>
  <c r="X448" i="62"/>
  <c r="X449" i="62"/>
  <c r="X450" i="62"/>
  <c r="X451" i="62"/>
  <c r="X452" i="62"/>
  <c r="X453" i="62"/>
  <c r="X454" i="62"/>
  <c r="X455" i="62"/>
  <c r="X456" i="62"/>
  <c r="X457" i="62"/>
  <c r="X458" i="62"/>
  <c r="X459" i="62"/>
  <c r="X460" i="62"/>
  <c r="X461" i="62"/>
  <c r="X462" i="62"/>
  <c r="X463" i="62"/>
  <c r="X464" i="62"/>
  <c r="X465" i="62"/>
  <c r="X466" i="62"/>
  <c r="X467" i="62"/>
  <c r="X468" i="62"/>
  <c r="X469" i="62"/>
  <c r="X470" i="62"/>
  <c r="X471" i="62"/>
  <c r="X472" i="62"/>
  <c r="X473" i="62"/>
  <c r="X474" i="62"/>
  <c r="X475" i="62"/>
  <c r="X476" i="62"/>
  <c r="X477" i="62"/>
  <c r="X478" i="62"/>
  <c r="X479" i="62"/>
  <c r="X480" i="62"/>
  <c r="X481" i="62"/>
  <c r="X482" i="62"/>
  <c r="X483" i="62"/>
  <c r="X484" i="62"/>
  <c r="X485" i="62"/>
  <c r="X486" i="62"/>
  <c r="X487" i="62"/>
  <c r="X488" i="62"/>
  <c r="X489" i="62"/>
  <c r="X490" i="62"/>
  <c r="X491" i="62"/>
  <c r="X492" i="62"/>
  <c r="X493" i="62"/>
  <c r="X494" i="62"/>
  <c r="X495" i="62"/>
  <c r="X496" i="62"/>
  <c r="X497" i="62"/>
  <c r="X498" i="62"/>
  <c r="X499" i="62"/>
  <c r="X500" i="62"/>
  <c r="X501" i="62"/>
  <c r="X502" i="62"/>
  <c r="X503" i="62"/>
  <c r="X504" i="62"/>
  <c r="X505" i="62"/>
  <c r="X506" i="62"/>
  <c r="X507" i="62"/>
  <c r="X508" i="62"/>
  <c r="X509" i="62"/>
  <c r="X510" i="62"/>
  <c r="X511" i="62"/>
  <c r="X512" i="62"/>
  <c r="X513" i="62"/>
  <c r="X514" i="62"/>
  <c r="X515" i="62"/>
  <c r="X516" i="62"/>
  <c r="X517" i="62"/>
  <c r="X518" i="62"/>
  <c r="X519" i="62"/>
  <c r="X520" i="62"/>
  <c r="X521" i="62"/>
  <c r="X522" i="62"/>
  <c r="X523" i="62"/>
  <c r="X524" i="62"/>
  <c r="X525" i="62"/>
  <c r="X526" i="62"/>
  <c r="X527" i="62"/>
  <c r="X528" i="62"/>
  <c r="X529" i="62"/>
  <c r="X530" i="62"/>
  <c r="X531" i="62"/>
  <c r="X532" i="62"/>
  <c r="X533" i="62"/>
  <c r="X534" i="62"/>
  <c r="X535" i="62"/>
  <c r="X536" i="62"/>
  <c r="X537" i="62"/>
  <c r="X538" i="62"/>
  <c r="X539" i="62"/>
  <c r="X540" i="62"/>
  <c r="X541" i="62"/>
  <c r="X542" i="62"/>
  <c r="X543" i="62"/>
  <c r="X544" i="62"/>
  <c r="X545" i="62"/>
  <c r="X546" i="62"/>
  <c r="X547" i="62"/>
  <c r="X548" i="62"/>
  <c r="X549" i="62"/>
  <c r="X550" i="62"/>
  <c r="X551" i="62"/>
  <c r="X552" i="62"/>
  <c r="X553" i="62"/>
  <c r="X554" i="62"/>
  <c r="X555" i="62"/>
  <c r="X556" i="62"/>
  <c r="X557" i="62"/>
  <c r="X558" i="62"/>
  <c r="X559" i="62"/>
  <c r="X560" i="62"/>
  <c r="X561" i="62"/>
  <c r="X562" i="62"/>
  <c r="X563" i="62"/>
  <c r="X564" i="62"/>
  <c r="X565" i="62"/>
  <c r="X566" i="62"/>
  <c r="X567" i="62"/>
  <c r="X568" i="62"/>
  <c r="X569" i="62"/>
  <c r="X570" i="62"/>
  <c r="X571" i="62"/>
  <c r="X572" i="62"/>
  <c r="X573" i="62"/>
  <c r="X574" i="62"/>
  <c r="X575" i="62"/>
  <c r="X576" i="62"/>
  <c r="X577" i="62"/>
  <c r="X578" i="62"/>
  <c r="X579" i="62"/>
  <c r="X580" i="62"/>
  <c r="X581" i="62"/>
  <c r="X582" i="62"/>
  <c r="X583" i="62"/>
  <c r="X584" i="62"/>
  <c r="X585" i="62"/>
  <c r="X586" i="62"/>
  <c r="X587" i="62"/>
  <c r="X588" i="62"/>
  <c r="X589" i="62"/>
  <c r="X590" i="62"/>
  <c r="X591" i="62"/>
  <c r="X592" i="62"/>
  <c r="X593" i="62"/>
  <c r="X594" i="62"/>
  <c r="X595" i="62"/>
  <c r="X596" i="62"/>
  <c r="X597" i="62"/>
  <c r="X598" i="62"/>
  <c r="X599" i="62"/>
  <c r="X600" i="62"/>
  <c r="X601" i="62"/>
  <c r="X602" i="62"/>
  <c r="X603" i="62"/>
  <c r="X604" i="62"/>
  <c r="X605" i="62"/>
  <c r="X606" i="62"/>
  <c r="X607" i="62"/>
  <c r="X608" i="62"/>
  <c r="X609" i="62"/>
  <c r="X610" i="62"/>
  <c r="X611" i="62"/>
  <c r="X612" i="62"/>
  <c r="X613" i="62"/>
  <c r="X614" i="62"/>
  <c r="X615" i="62"/>
  <c r="X616" i="62"/>
  <c r="X617" i="62"/>
  <c r="X618" i="62"/>
  <c r="X619" i="62"/>
  <c r="X620" i="62"/>
  <c r="X621" i="62"/>
  <c r="X622" i="62"/>
  <c r="X623" i="62"/>
  <c r="X624" i="62"/>
  <c r="X625" i="62"/>
  <c r="X626" i="62"/>
  <c r="X627" i="62"/>
  <c r="X628" i="62"/>
  <c r="X629" i="62"/>
  <c r="X630" i="62"/>
  <c r="X631" i="62"/>
  <c r="X632" i="62"/>
  <c r="X633" i="62"/>
  <c r="X634" i="62"/>
  <c r="X635" i="62"/>
  <c r="X636" i="62"/>
  <c r="X637" i="62"/>
  <c r="X638" i="62"/>
  <c r="X639" i="62"/>
  <c r="X640" i="62"/>
  <c r="X641" i="62"/>
  <c r="X642" i="62"/>
  <c r="X643" i="62"/>
  <c r="X644" i="62"/>
  <c r="X645" i="62"/>
  <c r="X646" i="62"/>
  <c r="X647" i="62"/>
  <c r="X648" i="62"/>
  <c r="X649" i="62"/>
  <c r="X650" i="62"/>
  <c r="X651" i="62"/>
  <c r="X652" i="62"/>
  <c r="X653" i="62"/>
  <c r="X654" i="62"/>
  <c r="X655" i="62"/>
  <c r="X656" i="62"/>
  <c r="X657" i="62"/>
  <c r="X658" i="62"/>
  <c r="X659" i="62"/>
  <c r="X660" i="62"/>
  <c r="X661" i="62"/>
  <c r="X662" i="62"/>
  <c r="X663" i="62"/>
  <c r="X664" i="62"/>
  <c r="X665" i="62"/>
  <c r="X666" i="62"/>
  <c r="X667" i="62"/>
  <c r="X668" i="62"/>
  <c r="X669" i="62"/>
  <c r="X670" i="62"/>
  <c r="X671" i="62"/>
  <c r="X672" i="62"/>
  <c r="X673" i="62"/>
  <c r="X674" i="62"/>
  <c r="X675" i="62"/>
  <c r="X676" i="62"/>
  <c r="X677" i="62"/>
  <c r="X678" i="62"/>
  <c r="X679" i="62"/>
  <c r="X680" i="62"/>
  <c r="X681" i="62"/>
  <c r="X682" i="62"/>
  <c r="X683" i="62"/>
  <c r="X684" i="62"/>
  <c r="X685" i="62"/>
  <c r="X686" i="62"/>
  <c r="X687" i="62"/>
  <c r="X688" i="62"/>
  <c r="X689" i="62"/>
  <c r="X690" i="62"/>
  <c r="X691" i="62"/>
  <c r="X692" i="62"/>
  <c r="X693" i="62"/>
  <c r="X694" i="62"/>
  <c r="X695" i="62"/>
  <c r="X696" i="62"/>
  <c r="X697" i="62"/>
  <c r="X698" i="62"/>
  <c r="X699" i="62"/>
  <c r="X700" i="62"/>
  <c r="X701" i="62"/>
  <c r="X702" i="62"/>
  <c r="X703" i="62"/>
  <c r="X704" i="62"/>
  <c r="X705" i="62"/>
  <c r="X706" i="62"/>
  <c r="X707" i="62"/>
  <c r="X708" i="62"/>
  <c r="X709" i="62"/>
  <c r="X710" i="62"/>
  <c r="X711" i="62"/>
  <c r="X712" i="62"/>
  <c r="X713" i="62"/>
  <c r="X714" i="62"/>
  <c r="X715" i="62"/>
  <c r="X716" i="62"/>
  <c r="X717" i="62"/>
  <c r="X718" i="62"/>
  <c r="X719" i="62"/>
  <c r="X720" i="62"/>
  <c r="X721" i="62"/>
  <c r="X722" i="62"/>
  <c r="X723" i="62"/>
  <c r="X724" i="62"/>
  <c r="X725" i="62"/>
  <c r="X726" i="62"/>
  <c r="X727" i="62"/>
  <c r="X728" i="62"/>
  <c r="X729" i="62"/>
  <c r="X730" i="62"/>
  <c r="X731" i="62"/>
  <c r="X732" i="62"/>
  <c r="X733" i="62"/>
  <c r="X734" i="62"/>
  <c r="X735" i="62"/>
  <c r="X736" i="62"/>
  <c r="X737" i="62"/>
  <c r="X738" i="62"/>
  <c r="X739" i="62"/>
  <c r="X740" i="62"/>
  <c r="X741" i="62"/>
  <c r="X742" i="62"/>
  <c r="X743" i="62"/>
  <c r="X744" i="62"/>
  <c r="X745" i="62"/>
  <c r="X746" i="62"/>
  <c r="X747" i="62"/>
  <c r="X748" i="62"/>
  <c r="X749" i="62"/>
  <c r="X750" i="62"/>
  <c r="X751" i="62"/>
  <c r="X752" i="62"/>
  <c r="X753" i="62"/>
  <c r="X754" i="62"/>
  <c r="X755" i="62"/>
  <c r="X756" i="62"/>
  <c r="X757" i="62"/>
  <c r="X758" i="62"/>
  <c r="X759" i="62"/>
  <c r="X760" i="62"/>
  <c r="X761" i="62"/>
  <c r="X762" i="62"/>
  <c r="X763" i="62"/>
  <c r="X764" i="62"/>
  <c r="X765" i="62"/>
  <c r="X766" i="62"/>
  <c r="X767" i="62"/>
  <c r="X768" i="62"/>
  <c r="X769" i="62"/>
  <c r="X770" i="62"/>
  <c r="X771" i="62"/>
  <c r="X772" i="62"/>
  <c r="X773" i="62"/>
  <c r="X774" i="62"/>
  <c r="X775" i="62"/>
  <c r="X776" i="62"/>
  <c r="X777" i="62"/>
  <c r="X778" i="62"/>
  <c r="X779" i="62"/>
  <c r="X780" i="62"/>
  <c r="X781" i="62"/>
  <c r="X782" i="62"/>
  <c r="X783" i="62"/>
  <c r="X784" i="62"/>
  <c r="X785" i="62"/>
  <c r="X786" i="62"/>
  <c r="X787" i="62"/>
  <c r="X788" i="62"/>
  <c r="X789" i="62"/>
  <c r="X790" i="62"/>
  <c r="X791" i="62"/>
  <c r="X792" i="62"/>
  <c r="X793" i="62"/>
  <c r="X794" i="62"/>
  <c r="X795" i="62"/>
  <c r="X796" i="62"/>
  <c r="X797" i="62"/>
  <c r="X798" i="62"/>
  <c r="X799" i="62"/>
  <c r="X800" i="62"/>
  <c r="X801" i="62"/>
  <c r="X802" i="62"/>
  <c r="X803" i="62"/>
  <c r="X804" i="62"/>
  <c r="X805" i="62"/>
  <c r="X806" i="62"/>
  <c r="X807" i="62"/>
  <c r="X808" i="62"/>
  <c r="X809" i="62"/>
  <c r="X810" i="62"/>
  <c r="X811" i="62"/>
  <c r="X812" i="62"/>
  <c r="X813" i="62"/>
  <c r="X814" i="62"/>
  <c r="X815" i="62"/>
  <c r="X816" i="62"/>
  <c r="X817" i="62"/>
  <c r="X818" i="62"/>
  <c r="X819" i="62"/>
  <c r="X820" i="62"/>
  <c r="X821" i="62"/>
  <c r="X822" i="62"/>
  <c r="X823" i="62"/>
  <c r="X824" i="62"/>
  <c r="X825" i="62"/>
  <c r="X826" i="62"/>
  <c r="X827" i="62"/>
  <c r="X828" i="62"/>
  <c r="X829" i="62"/>
  <c r="X830" i="62"/>
  <c r="X831" i="62"/>
  <c r="X832" i="62"/>
  <c r="X833" i="62"/>
  <c r="X834" i="62"/>
  <c r="X835" i="62"/>
  <c r="X836" i="62"/>
  <c r="X837" i="62"/>
  <c r="X838" i="62"/>
  <c r="X839" i="62"/>
  <c r="X840" i="62"/>
  <c r="X841" i="62"/>
  <c r="X842" i="62"/>
  <c r="X843" i="62"/>
  <c r="X844" i="62"/>
  <c r="X845" i="62"/>
  <c r="X846" i="62"/>
  <c r="X847" i="62"/>
  <c r="X848" i="62"/>
  <c r="X849" i="62"/>
  <c r="X850" i="62"/>
  <c r="X851" i="62"/>
  <c r="X852" i="62"/>
  <c r="X853" i="62"/>
  <c r="X854" i="62"/>
  <c r="X855" i="62"/>
  <c r="X856" i="62"/>
  <c r="X857" i="62"/>
  <c r="X858" i="62"/>
  <c r="X859" i="62"/>
  <c r="X860" i="62"/>
  <c r="X861" i="62"/>
  <c r="X862" i="62"/>
  <c r="X863" i="62"/>
  <c r="X864" i="62"/>
  <c r="X865" i="62"/>
  <c r="X866" i="62"/>
  <c r="X867" i="62"/>
  <c r="X868" i="62"/>
  <c r="X869" i="62"/>
  <c r="X870" i="62"/>
  <c r="X871" i="62"/>
  <c r="X872" i="62"/>
  <c r="X873" i="62"/>
  <c r="X874" i="62"/>
  <c r="X875" i="62"/>
  <c r="X876" i="62"/>
  <c r="X877" i="62"/>
  <c r="X878" i="62"/>
  <c r="X879" i="62"/>
  <c r="X880" i="62"/>
  <c r="X881" i="62"/>
  <c r="X882" i="62"/>
  <c r="X883" i="62"/>
  <c r="X884" i="62"/>
  <c r="X885" i="62"/>
  <c r="X886" i="62"/>
  <c r="X887" i="62"/>
  <c r="X888" i="62"/>
  <c r="X889" i="62"/>
  <c r="X890" i="62"/>
  <c r="X891" i="62"/>
  <c r="X892" i="62"/>
  <c r="X893" i="62"/>
  <c r="X894" i="62"/>
  <c r="X895" i="62"/>
  <c r="X896" i="62"/>
  <c r="X897" i="62"/>
  <c r="X898" i="62"/>
  <c r="X899" i="62"/>
  <c r="X900" i="62"/>
  <c r="X901" i="62"/>
  <c r="X902" i="62"/>
  <c r="X903" i="62"/>
  <c r="X904" i="62"/>
  <c r="X905" i="62"/>
  <c r="X906" i="62"/>
  <c r="X907" i="62"/>
  <c r="X908" i="62"/>
  <c r="X909" i="62"/>
  <c r="X910" i="62"/>
  <c r="X911" i="62"/>
  <c r="X912" i="62"/>
  <c r="X913" i="62"/>
  <c r="X914" i="62"/>
  <c r="X915" i="62"/>
  <c r="X916" i="62"/>
  <c r="X917" i="62"/>
  <c r="X918" i="62"/>
  <c r="X919" i="62"/>
  <c r="X920" i="62"/>
  <c r="X921" i="62"/>
  <c r="X922" i="62"/>
  <c r="X923" i="62"/>
  <c r="X924" i="62"/>
  <c r="X925" i="62"/>
  <c r="X926" i="62"/>
  <c r="X927" i="62"/>
  <c r="X928" i="62"/>
  <c r="X929" i="62"/>
  <c r="X930" i="62"/>
  <c r="X931" i="62"/>
  <c r="X932" i="62"/>
  <c r="X933" i="62"/>
  <c r="X934" i="62"/>
  <c r="X935" i="62"/>
  <c r="X936" i="62"/>
  <c r="X937" i="62"/>
  <c r="X938" i="62"/>
  <c r="X939" i="62"/>
  <c r="X940" i="62"/>
  <c r="X941" i="62"/>
  <c r="X942" i="62"/>
  <c r="X943" i="62"/>
  <c r="X944" i="62"/>
  <c r="X945" i="62"/>
  <c r="X946" i="62"/>
  <c r="X947" i="62"/>
  <c r="X948" i="62"/>
  <c r="X949" i="62"/>
  <c r="X950" i="62"/>
  <c r="X951" i="62"/>
  <c r="X952" i="62"/>
  <c r="X953" i="62"/>
  <c r="X954" i="62"/>
  <c r="X955" i="62"/>
  <c r="X956" i="62"/>
  <c r="X957" i="62"/>
  <c r="X958" i="62"/>
  <c r="X959" i="62"/>
  <c r="X960" i="62"/>
  <c r="X961" i="62"/>
  <c r="X962" i="62"/>
  <c r="X963" i="62"/>
  <c r="X964" i="62"/>
  <c r="X965" i="62"/>
  <c r="X966" i="62"/>
  <c r="X967" i="62"/>
  <c r="X968" i="62"/>
  <c r="X969" i="62"/>
  <c r="X970" i="62"/>
  <c r="X971" i="62"/>
  <c r="X972" i="62"/>
  <c r="X973" i="62"/>
  <c r="X974" i="62"/>
  <c r="X975" i="62"/>
  <c r="X976" i="62"/>
  <c r="X977" i="62"/>
  <c r="X978" i="62"/>
  <c r="X979" i="62"/>
  <c r="X980" i="62"/>
  <c r="X981" i="62"/>
  <c r="X982" i="62"/>
  <c r="X983" i="62"/>
  <c r="X984" i="62"/>
  <c r="X985" i="62"/>
  <c r="X986" i="62"/>
  <c r="X987" i="62"/>
  <c r="X988" i="62"/>
  <c r="X989" i="62"/>
  <c r="X990" i="62"/>
  <c r="X991" i="62"/>
  <c r="X992" i="62"/>
  <c r="X993" i="62"/>
  <c r="X994" i="62"/>
  <c r="X995" i="62"/>
  <c r="X996" i="62"/>
  <c r="X997" i="62"/>
  <c r="X998" i="62"/>
  <c r="X999" i="62"/>
  <c r="X1000" i="62"/>
  <c r="X1001" i="62"/>
  <c r="X1002" i="62"/>
  <c r="X1003" i="62"/>
  <c r="X1004" i="62"/>
  <c r="X1005" i="62"/>
  <c r="X1006" i="62"/>
  <c r="X1007" i="62"/>
  <c r="X1008" i="62"/>
  <c r="X1009" i="62"/>
  <c r="X1010" i="62"/>
  <c r="X1011" i="62"/>
  <c r="X1012" i="62"/>
  <c r="X1013" i="62"/>
  <c r="X1014" i="62"/>
  <c r="X1015" i="62"/>
  <c r="X1016" i="62"/>
  <c r="X1017" i="62"/>
  <c r="X1018" i="62"/>
  <c r="X1019" i="62"/>
  <c r="X1020" i="62"/>
  <c r="X1021" i="62"/>
  <c r="X1022" i="62"/>
  <c r="X1023" i="62"/>
  <c r="X1024" i="62"/>
  <c r="X1025" i="62"/>
  <c r="X1026" i="62"/>
  <c r="X1027" i="62"/>
  <c r="X1028" i="62"/>
  <c r="X1029" i="62"/>
  <c r="X1030" i="62"/>
  <c r="X1031" i="62"/>
  <c r="X1032" i="62"/>
  <c r="X1033" i="62"/>
  <c r="X1034" i="62"/>
  <c r="X1035" i="62"/>
  <c r="X1036" i="62"/>
  <c r="X1037" i="62"/>
  <c r="X1038" i="62"/>
  <c r="X1039" i="62"/>
  <c r="X1040" i="62"/>
  <c r="X1041" i="62"/>
  <c r="X1042" i="62"/>
  <c r="X1043" i="62"/>
  <c r="X1044" i="62"/>
  <c r="X1045" i="62"/>
  <c r="X1046" i="62"/>
  <c r="X1047" i="62"/>
  <c r="X1048" i="62"/>
  <c r="X1049" i="62"/>
  <c r="X1050" i="62"/>
  <c r="X1051" i="62"/>
  <c r="X1052" i="62"/>
  <c r="X1053" i="62"/>
  <c r="X1054" i="62"/>
  <c r="X1055" i="62"/>
  <c r="X1056" i="62"/>
  <c r="X1057" i="62"/>
  <c r="X1058" i="62"/>
  <c r="X1059" i="62"/>
  <c r="X1060" i="62"/>
  <c r="X1061" i="62"/>
  <c r="X1062" i="62"/>
  <c r="X1063" i="62"/>
  <c r="X1064" i="62"/>
  <c r="X1065" i="62"/>
  <c r="X1066" i="62"/>
  <c r="X1067" i="62"/>
  <c r="X1068" i="62"/>
  <c r="X1069" i="62"/>
  <c r="X1070" i="62"/>
  <c r="X1071" i="62"/>
  <c r="X1072" i="62"/>
  <c r="X1073" i="62"/>
  <c r="X1074" i="62"/>
  <c r="X1075" i="62"/>
  <c r="X1076" i="62"/>
  <c r="X1077" i="62"/>
  <c r="X1078" i="62"/>
  <c r="X1079" i="62"/>
  <c r="X1080" i="62"/>
  <c r="X1081" i="62"/>
  <c r="X1082" i="62"/>
  <c r="X1083" i="62"/>
  <c r="X1084" i="62"/>
  <c r="X1085" i="62"/>
  <c r="X1086" i="62"/>
  <c r="X1087" i="62"/>
  <c r="X1088" i="62"/>
  <c r="X1089" i="62"/>
  <c r="X1090" i="62"/>
  <c r="X1091" i="62"/>
  <c r="X1092" i="62"/>
  <c r="X1093" i="62"/>
  <c r="X1094" i="62"/>
  <c r="X1095" i="62"/>
  <c r="X1096" i="62"/>
  <c r="X1097" i="62"/>
  <c r="X1098" i="62"/>
  <c r="X1099" i="62"/>
  <c r="X1100" i="62"/>
  <c r="X1101" i="62"/>
  <c r="X1102" i="62"/>
  <c r="X1103" i="62"/>
  <c r="X1104" i="62"/>
  <c r="X1105" i="62"/>
  <c r="X1106" i="62"/>
  <c r="X1107" i="62"/>
  <c r="X1108" i="62"/>
  <c r="X1109" i="62"/>
  <c r="X1110" i="62"/>
  <c r="X1111" i="62"/>
  <c r="X1112" i="62"/>
  <c r="X1113" i="62"/>
  <c r="X1114" i="62"/>
  <c r="X1115" i="62"/>
  <c r="X1116" i="62"/>
  <c r="X1117" i="62"/>
  <c r="X1118" i="62"/>
  <c r="X1119" i="62"/>
  <c r="X1120" i="62"/>
  <c r="X1121" i="62"/>
  <c r="X1122" i="62"/>
  <c r="X1123" i="62"/>
  <c r="X1124" i="62"/>
  <c r="X1125" i="62"/>
  <c r="X1126" i="62"/>
  <c r="X1127" i="62"/>
  <c r="X1128" i="62"/>
  <c r="X1129" i="62"/>
  <c r="X1130" i="62"/>
  <c r="X1131" i="62"/>
  <c r="X1132" i="62"/>
  <c r="X1133" i="62"/>
  <c r="X1134" i="62"/>
  <c r="X1135" i="62"/>
  <c r="X1136" i="62"/>
  <c r="X1137" i="62"/>
  <c r="X1138" i="62"/>
  <c r="X1139" i="62"/>
  <c r="X1140" i="62"/>
  <c r="X1141" i="62"/>
  <c r="X1142" i="62"/>
  <c r="X1143" i="62"/>
  <c r="X1144" i="62"/>
  <c r="X1145" i="62"/>
  <c r="X1146" i="62"/>
  <c r="X1147" i="62"/>
  <c r="X1148" i="62"/>
  <c r="X1149" i="62"/>
  <c r="X1150" i="62"/>
  <c r="X1151" i="62"/>
  <c r="X1152" i="62"/>
  <c r="X1153" i="62"/>
  <c r="X1154" i="62"/>
  <c r="X1155" i="62"/>
  <c r="X1156" i="62"/>
  <c r="X1157" i="62"/>
  <c r="X1158" i="62"/>
  <c r="X1159" i="62"/>
  <c r="X1160" i="62"/>
  <c r="X1161" i="62"/>
  <c r="X1162" i="62"/>
  <c r="X1163" i="62"/>
  <c r="X1164" i="62"/>
  <c r="X1165" i="62"/>
  <c r="X1166" i="62"/>
  <c r="X1167" i="62"/>
  <c r="X1168" i="62"/>
  <c r="X1169" i="62"/>
  <c r="X1170" i="62"/>
  <c r="X1171" i="62"/>
  <c r="X1172" i="62"/>
  <c r="X1173" i="62"/>
  <c r="X1174" i="62"/>
  <c r="X1175" i="62"/>
  <c r="X1176" i="62"/>
  <c r="X1177" i="62"/>
  <c r="X1178" i="62"/>
  <c r="X1179" i="62"/>
  <c r="X1180" i="62"/>
  <c r="X1181" i="62"/>
  <c r="X1182" i="62"/>
  <c r="X1183" i="62"/>
  <c r="X1184" i="62"/>
  <c r="X1185" i="62"/>
  <c r="X1186" i="62"/>
  <c r="X1187" i="62"/>
  <c r="X1188" i="62"/>
  <c r="X1189" i="62"/>
  <c r="X1190" i="62"/>
  <c r="X1191" i="62"/>
  <c r="X1192" i="62"/>
  <c r="X1193" i="62"/>
  <c r="X1194" i="62"/>
  <c r="X1195" i="62"/>
  <c r="X1196" i="62"/>
  <c r="X1197" i="62"/>
  <c r="X1198" i="62"/>
  <c r="X1199" i="62"/>
  <c r="X1200" i="62"/>
  <c r="X1201" i="62"/>
  <c r="X1202" i="62"/>
  <c r="X1203" i="62"/>
  <c r="X1204" i="62"/>
  <c r="X1205" i="62"/>
  <c r="X1206" i="62"/>
  <c r="X1207" i="62"/>
  <c r="X1208" i="62"/>
  <c r="X1209" i="62"/>
  <c r="X1210" i="62"/>
  <c r="X1211" i="62"/>
  <c r="X1212" i="62"/>
  <c r="X1213" i="62"/>
  <c r="X1214" i="62"/>
  <c r="X1215" i="62"/>
  <c r="X1216" i="62"/>
  <c r="X1217" i="62"/>
  <c r="X1218" i="62"/>
  <c r="X1219" i="62"/>
  <c r="X1220" i="62"/>
  <c r="X1221" i="62"/>
  <c r="X1222" i="62"/>
  <c r="X1223" i="62"/>
  <c r="X1224" i="62"/>
  <c r="X1225" i="62"/>
  <c r="X1226" i="62"/>
  <c r="X1227" i="62"/>
  <c r="X1228" i="62"/>
  <c r="X1229" i="62"/>
  <c r="X1230" i="62"/>
  <c r="X1231" i="62"/>
  <c r="X1232" i="62"/>
  <c r="X1233" i="62"/>
  <c r="X1234" i="62"/>
  <c r="X1235" i="62"/>
  <c r="X1236" i="62"/>
  <c r="X1237" i="62"/>
  <c r="X1238" i="62"/>
  <c r="X1239" i="62"/>
  <c r="X1240" i="62"/>
  <c r="X1241" i="62"/>
  <c r="X1242" i="62"/>
  <c r="X1243" i="62"/>
  <c r="X1244" i="62"/>
  <c r="X1245" i="62"/>
  <c r="X1246" i="62"/>
  <c r="X1247" i="62"/>
  <c r="X1248" i="62"/>
  <c r="X1249" i="62"/>
  <c r="X1250" i="62"/>
  <c r="X1251" i="62"/>
  <c r="X1252" i="62"/>
  <c r="X1253" i="62"/>
  <c r="X1254" i="62"/>
  <c r="X1255" i="62"/>
  <c r="X1256" i="62"/>
  <c r="X1257" i="62"/>
  <c r="X1258" i="62"/>
  <c r="X1259" i="62"/>
  <c r="X1260" i="62"/>
  <c r="X1261" i="62"/>
  <c r="X1262" i="62"/>
  <c r="X1263" i="62"/>
  <c r="X1264" i="62"/>
  <c r="X1265" i="62"/>
  <c r="X1266" i="62"/>
  <c r="X1267" i="62"/>
  <c r="X1268" i="62"/>
  <c r="X1269" i="62"/>
  <c r="X1270" i="62"/>
  <c r="X1271" i="62"/>
  <c r="X1272" i="62"/>
  <c r="X1273" i="62"/>
  <c r="X1274" i="62"/>
  <c r="X1275" i="62"/>
  <c r="X1276" i="62"/>
  <c r="X1277" i="62"/>
  <c r="X1278" i="62"/>
  <c r="X1279" i="62"/>
  <c r="X1280" i="62"/>
  <c r="X1281" i="62"/>
  <c r="X1282" i="62"/>
  <c r="X1283" i="62"/>
  <c r="X1284" i="62"/>
  <c r="X1285" i="62"/>
  <c r="X1286" i="62"/>
  <c r="X1287" i="62"/>
  <c r="X1288" i="62"/>
  <c r="X1289" i="62"/>
  <c r="X1290" i="62"/>
  <c r="X1291" i="62"/>
  <c r="X1292" i="62"/>
  <c r="X1293" i="62"/>
  <c r="X1294" i="62"/>
  <c r="X1295" i="62"/>
  <c r="X1296" i="62"/>
  <c r="X1297" i="62"/>
  <c r="X1298" i="62"/>
  <c r="X1299" i="62"/>
  <c r="X1300" i="62"/>
  <c r="X1301" i="62"/>
  <c r="X1302" i="62"/>
  <c r="X1303" i="62"/>
  <c r="X1304" i="62"/>
  <c r="X1305" i="62"/>
  <c r="X1306" i="62"/>
  <c r="X1307" i="62"/>
  <c r="X1308" i="62"/>
  <c r="X1309" i="62"/>
  <c r="X1310" i="62"/>
  <c r="X1311" i="62"/>
  <c r="X1312" i="62"/>
  <c r="X1313" i="62"/>
  <c r="X1314" i="62"/>
  <c r="X1315" i="62"/>
  <c r="X1316" i="62"/>
  <c r="X1317" i="62"/>
  <c r="X1318" i="62"/>
  <c r="X1319" i="62"/>
  <c r="X1320" i="62"/>
  <c r="X1321" i="62"/>
  <c r="X1322" i="62"/>
  <c r="X1323" i="62"/>
  <c r="X1324" i="62"/>
  <c r="X1325" i="62"/>
  <c r="X1326" i="62"/>
  <c r="X1327" i="62"/>
  <c r="X1328" i="62"/>
  <c r="X1329" i="62"/>
  <c r="X1330" i="62"/>
  <c r="X1331" i="62"/>
  <c r="X1332" i="62"/>
  <c r="X1333" i="62"/>
  <c r="X1334" i="62"/>
  <c r="X1335" i="62"/>
  <c r="X1336" i="62"/>
  <c r="X1337" i="62"/>
  <c r="X1338" i="62"/>
  <c r="X1339" i="62"/>
  <c r="X1340" i="62"/>
  <c r="X1341" i="62"/>
  <c r="X1342" i="62"/>
  <c r="X1343" i="62"/>
  <c r="X1344" i="62"/>
  <c r="X1345" i="62"/>
  <c r="X1346" i="62"/>
  <c r="X1347" i="62"/>
  <c r="X1348" i="62"/>
  <c r="X1349" i="62"/>
  <c r="X1350" i="62"/>
  <c r="X1351" i="62"/>
  <c r="X1352" i="62"/>
  <c r="X1353" i="62"/>
  <c r="X1354" i="62"/>
  <c r="X1355" i="62"/>
  <c r="X1356" i="62"/>
  <c r="X1357" i="62"/>
  <c r="X1358" i="62"/>
  <c r="X1359" i="62"/>
  <c r="X1360" i="62"/>
  <c r="X1361" i="62"/>
  <c r="X1362" i="62"/>
  <c r="X1363" i="62"/>
  <c r="X1364" i="62"/>
  <c r="X1365" i="62"/>
  <c r="X1366" i="62"/>
  <c r="X1367" i="62"/>
  <c r="X1368" i="62"/>
  <c r="X1369" i="62"/>
  <c r="X1370" i="62"/>
  <c r="X1371" i="62"/>
  <c r="X1372" i="62"/>
  <c r="X1373" i="62"/>
  <c r="X1374" i="62"/>
  <c r="X1375" i="62"/>
  <c r="X1376" i="62"/>
  <c r="X1377" i="62"/>
  <c r="X1378" i="62"/>
  <c r="X1379" i="62"/>
  <c r="X1380" i="62"/>
  <c r="X1381" i="62"/>
  <c r="X1382" i="62"/>
  <c r="X1383" i="62"/>
  <c r="X1384" i="62"/>
  <c r="X1385" i="62"/>
  <c r="X1386" i="62"/>
  <c r="X1387" i="62"/>
  <c r="X1388" i="62"/>
  <c r="X1389" i="62"/>
  <c r="X1390" i="62"/>
  <c r="X1391" i="62"/>
  <c r="X1392" i="62"/>
  <c r="X1393" i="62"/>
  <c r="X1394" i="62"/>
  <c r="X1395" i="62"/>
  <c r="X1396" i="62"/>
  <c r="X1397" i="62"/>
  <c r="X1398" i="62"/>
  <c r="X1399" i="62"/>
  <c r="X1400" i="62"/>
  <c r="X1401" i="62"/>
  <c r="X1402" i="62"/>
  <c r="X1403" i="62"/>
  <c r="X1404" i="62"/>
  <c r="X1405" i="62"/>
  <c r="X1406" i="62"/>
  <c r="X1407" i="62"/>
  <c r="X1408" i="62"/>
  <c r="X1409" i="62"/>
  <c r="X1410" i="62"/>
  <c r="X1411" i="62"/>
  <c r="X1412" i="62"/>
  <c r="X1413" i="62"/>
  <c r="X1414" i="62"/>
  <c r="X1415" i="62"/>
  <c r="X1416" i="62"/>
  <c r="X1417" i="62"/>
  <c r="X1418" i="62"/>
  <c r="X1419" i="62"/>
  <c r="X1420" i="62"/>
  <c r="X1421" i="62"/>
  <c r="X1422" i="62"/>
  <c r="X1423" i="62"/>
  <c r="X1424" i="62"/>
  <c r="X1425" i="62"/>
  <c r="X1426" i="62"/>
  <c r="X1427" i="62"/>
  <c r="X1428" i="62"/>
  <c r="X1429" i="62"/>
  <c r="X1430" i="62"/>
  <c r="X1431" i="62"/>
  <c r="X1432" i="62"/>
  <c r="X1433" i="62"/>
  <c r="X1434" i="62"/>
  <c r="X1435" i="62"/>
  <c r="X1436" i="62"/>
  <c r="X1437" i="62"/>
  <c r="X1438" i="62"/>
  <c r="X1439" i="62"/>
  <c r="X1440" i="62"/>
  <c r="X1441" i="62"/>
  <c r="X1442" i="62"/>
  <c r="X1443" i="62"/>
  <c r="X1444" i="62"/>
  <c r="X1445" i="62"/>
  <c r="X1446" i="62"/>
  <c r="L7" i="16"/>
  <c r="O7" i="16"/>
  <c r="L8" i="16"/>
  <c r="O8" i="16"/>
  <c r="L9" i="16"/>
  <c r="O9" i="16"/>
  <c r="L10" i="16"/>
  <c r="O10" i="16"/>
  <c r="AW17" i="59"/>
  <c r="AW18" i="59"/>
  <c r="AW19" i="59"/>
  <c r="AW20" i="59"/>
  <c r="AW21" i="59"/>
  <c r="AW22" i="59"/>
  <c r="AW23" i="59"/>
  <c r="AW24" i="59"/>
  <c r="AW25" i="59"/>
  <c r="AW26" i="59"/>
  <c r="AW27" i="59"/>
  <c r="AW28" i="59"/>
  <c r="AW29" i="59"/>
  <c r="AW30" i="59"/>
  <c r="AW31" i="59"/>
  <c r="G11" i="1"/>
  <c r="G32" i="34"/>
  <c r="E32" i="34"/>
  <c r="C32" i="34"/>
  <c r="B32" i="34"/>
  <c r="G31" i="34"/>
  <c r="E31" i="34"/>
  <c r="C31" i="34"/>
  <c r="B31" i="34"/>
  <c r="G30" i="34"/>
  <c r="E30" i="34"/>
  <c r="C30" i="34"/>
  <c r="B30" i="34"/>
  <c r="G29" i="34"/>
  <c r="E29" i="34"/>
  <c r="C29" i="34"/>
  <c r="B29" i="34"/>
  <c r="G28" i="34"/>
  <c r="E28" i="34"/>
  <c r="C28" i="34"/>
  <c r="B28" i="34"/>
  <c r="G27" i="34"/>
  <c r="E27" i="34"/>
  <c r="C27" i="34"/>
  <c r="B27" i="34"/>
  <c r="G26" i="34"/>
  <c r="E26" i="34"/>
  <c r="C26" i="34"/>
  <c r="B26" i="34"/>
  <c r="G25" i="34"/>
  <c r="E25" i="34"/>
  <c r="C25" i="34"/>
  <c r="B25" i="34"/>
  <c r="G24" i="34"/>
  <c r="E24" i="34"/>
  <c r="C24" i="34"/>
  <c r="L25" i="1" s="1"/>
  <c r="B24" i="34"/>
  <c r="G9" i="34"/>
  <c r="E9" i="34"/>
  <c r="D21" i="17"/>
  <c r="F21" i="17"/>
  <c r="D22" i="17"/>
  <c r="F22" i="17"/>
  <c r="D12" i="59"/>
  <c r="L67" i="1" l="1"/>
  <c r="L66" i="1" s="1"/>
  <c r="BD67" i="1"/>
  <c r="BD66" i="1" s="1"/>
  <c r="BD25" i="1"/>
  <c r="W67" i="1"/>
  <c r="W66" i="1" s="1"/>
  <c r="AS25" i="1"/>
  <c r="AH25" i="1"/>
  <c r="AH67" i="1"/>
  <c r="AH66" i="1" s="1"/>
  <c r="AS67" i="1"/>
  <c r="AS66" i="1" s="1"/>
  <c r="W25" i="1"/>
  <c r="V51" i="1"/>
  <c r="BA9" i="1"/>
  <c r="BD7" i="1"/>
  <c r="BC7" i="1"/>
  <c r="BB7" i="1"/>
  <c r="BC9" i="1"/>
  <c r="BA7" i="1"/>
  <c r="BD9" i="1"/>
  <c r="BB9" i="1"/>
  <c r="BD8" i="1"/>
  <c r="BC8" i="1"/>
  <c r="BB8" i="1"/>
  <c r="BD6" i="1"/>
  <c r="BC6" i="1"/>
  <c r="BA6" i="1"/>
  <c r="BA8" i="1"/>
  <c r="BB6" i="1"/>
  <c r="AP9" i="1"/>
  <c r="AS7" i="1"/>
  <c r="AR9" i="1"/>
  <c r="AR7" i="1"/>
  <c r="AQ7" i="1"/>
  <c r="AP7" i="1"/>
  <c r="AS9" i="1"/>
  <c r="AQ9" i="1"/>
  <c r="AS8" i="1"/>
  <c r="AR8" i="1"/>
  <c r="AQ8" i="1"/>
  <c r="AS6" i="1"/>
  <c r="AR6" i="1"/>
  <c r="AQ6" i="1"/>
  <c r="AP8" i="1"/>
  <c r="AP6" i="1"/>
  <c r="AE9" i="1"/>
  <c r="AH7" i="1"/>
  <c r="AG7" i="1"/>
  <c r="AF7" i="1"/>
  <c r="AE7" i="1"/>
  <c r="AH9" i="1"/>
  <c r="AG9" i="1"/>
  <c r="AF9" i="1"/>
  <c r="AH8" i="1"/>
  <c r="AG8" i="1"/>
  <c r="AF8" i="1"/>
  <c r="AH6" i="1"/>
  <c r="AG6" i="1"/>
  <c r="AF6" i="1"/>
  <c r="AE8" i="1"/>
  <c r="AE6" i="1"/>
  <c r="T9" i="1"/>
  <c r="W7" i="1"/>
  <c r="U7" i="1"/>
  <c r="T7" i="1"/>
  <c r="W9" i="1"/>
  <c r="U9" i="1"/>
  <c r="V7" i="1"/>
  <c r="V9" i="1"/>
  <c r="W8" i="1"/>
  <c r="V8" i="1"/>
  <c r="U8" i="1"/>
  <c r="T6" i="1"/>
  <c r="W6" i="1"/>
  <c r="V6" i="1"/>
  <c r="U6" i="1"/>
  <c r="T8" i="1"/>
  <c r="L9" i="1"/>
  <c r="L8" i="1"/>
  <c r="K9" i="1"/>
  <c r="J7" i="1"/>
  <c r="J9" i="1"/>
  <c r="I9" i="1"/>
  <c r="K7" i="1"/>
  <c r="L7" i="1"/>
  <c r="I7" i="1"/>
  <c r="J6" i="1"/>
  <c r="I8" i="1"/>
  <c r="J8" i="1"/>
  <c r="L6" i="1"/>
  <c r="K6" i="1"/>
  <c r="K8" i="1"/>
  <c r="I38" i="1"/>
  <c r="I6" i="1"/>
  <c r="BD38" i="1"/>
  <c r="AS38" i="1"/>
  <c r="AH38" i="1"/>
  <c r="W38" i="1"/>
  <c r="L38" i="1"/>
  <c r="BD52" i="1"/>
  <c r="BB52" i="1"/>
  <c r="BD51" i="1"/>
  <c r="BB51" i="1"/>
  <c r="BC51" i="1"/>
  <c r="BC52" i="1"/>
  <c r="BA52" i="1"/>
  <c r="BA51" i="1"/>
  <c r="AS52" i="1"/>
  <c r="AQ52" i="1"/>
  <c r="AS51" i="1"/>
  <c r="AQ51" i="1"/>
  <c r="AR52" i="1"/>
  <c r="AP52" i="1"/>
  <c r="AR51" i="1"/>
  <c r="AP51" i="1"/>
  <c r="AH52" i="1"/>
  <c r="AF52" i="1"/>
  <c r="AH51" i="1"/>
  <c r="AF51" i="1"/>
  <c r="AG52" i="1"/>
  <c r="AG51" i="1"/>
  <c r="AE51" i="1"/>
  <c r="AE52" i="1"/>
  <c r="V52" i="1"/>
  <c r="T52" i="1"/>
  <c r="T51" i="1"/>
  <c r="W52" i="1"/>
  <c r="U52" i="1"/>
  <c r="W51" i="1"/>
  <c r="U51" i="1"/>
  <c r="K51" i="1"/>
  <c r="L52" i="1"/>
  <c r="L51" i="1"/>
  <c r="I52" i="1"/>
  <c r="K52" i="1"/>
  <c r="J52" i="1"/>
  <c r="J51" i="1"/>
  <c r="I51" i="1"/>
  <c r="C42" i="29"/>
  <c r="C43" i="29"/>
  <c r="C44" i="29"/>
  <c r="E42" i="29"/>
  <c r="E43" i="29"/>
  <c r="E44" i="29"/>
  <c r="G42" i="29"/>
  <c r="G43" i="29"/>
  <c r="G44" i="29"/>
  <c r="C41" i="29"/>
  <c r="E41" i="29"/>
  <c r="G41" i="29"/>
  <c r="C38" i="29"/>
  <c r="C39" i="29"/>
  <c r="C40" i="29"/>
  <c r="E38" i="29"/>
  <c r="E39" i="29"/>
  <c r="E40" i="29"/>
  <c r="G38" i="29"/>
  <c r="G39" i="29"/>
  <c r="G40" i="29"/>
  <c r="C34" i="29"/>
  <c r="C35" i="29"/>
  <c r="C36" i="29"/>
  <c r="C37" i="29"/>
  <c r="E34" i="29"/>
  <c r="E35" i="29"/>
  <c r="E36" i="29"/>
  <c r="E37" i="29"/>
  <c r="G34" i="29"/>
  <c r="G35" i="29"/>
  <c r="G36" i="29"/>
  <c r="G37" i="29"/>
  <c r="C33" i="29"/>
  <c r="E33" i="29"/>
  <c r="G33" i="29"/>
  <c r="C30" i="29"/>
  <c r="C31" i="29"/>
  <c r="C32" i="29"/>
  <c r="E30" i="29"/>
  <c r="E31" i="29"/>
  <c r="E32" i="29"/>
  <c r="G30" i="29"/>
  <c r="G31" i="29"/>
  <c r="G32" i="29"/>
  <c r="C29" i="29"/>
  <c r="E29" i="29"/>
  <c r="G29" i="29"/>
  <c r="R15" i="29"/>
  <c r="R16" i="29"/>
  <c r="R17" i="29"/>
  <c r="R18" i="29"/>
  <c r="Q15" i="29"/>
  <c r="Q16" i="29"/>
  <c r="Q17" i="29"/>
  <c r="Q18" i="29"/>
  <c r="P15" i="29"/>
  <c r="P16" i="29"/>
  <c r="P17" i="29"/>
  <c r="P18" i="29"/>
  <c r="N15" i="29"/>
  <c r="N16" i="29"/>
  <c r="N17" i="29"/>
  <c r="N18" i="29"/>
  <c r="O15" i="29"/>
  <c r="O16" i="29"/>
  <c r="O17" i="29"/>
  <c r="O18" i="29"/>
  <c r="C25" i="29"/>
  <c r="C26" i="29"/>
  <c r="C27" i="29"/>
  <c r="C28" i="29"/>
  <c r="C15" i="29"/>
  <c r="C16" i="29"/>
  <c r="C17" i="29"/>
  <c r="C18" i="29"/>
  <c r="I26" i="29" l="1"/>
  <c r="I29" i="29"/>
  <c r="I31" i="29"/>
  <c r="I34" i="29"/>
  <c r="I39" i="29"/>
  <c r="I37" i="29"/>
  <c r="I42" i="29"/>
  <c r="I28" i="29"/>
  <c r="I36" i="29"/>
  <c r="I27" i="29"/>
  <c r="I32" i="29"/>
  <c r="I35" i="29"/>
  <c r="I40" i="29"/>
  <c r="I25" i="29"/>
  <c r="I30" i="29"/>
  <c r="I38" i="29"/>
  <c r="I44" i="29"/>
  <c r="I33" i="29"/>
  <c r="I41" i="29"/>
  <c r="I43" i="29"/>
  <c r="P32" i="29"/>
  <c r="P25" i="29"/>
  <c r="H38" i="29"/>
  <c r="H42" i="29"/>
  <c r="H30" i="29"/>
  <c r="H26" i="29"/>
  <c r="H34" i="29"/>
  <c r="H41" i="29"/>
  <c r="H29" i="29"/>
  <c r="H37" i="29"/>
  <c r="H33" i="29"/>
  <c r="H25" i="29"/>
  <c r="H28" i="29"/>
  <c r="H36" i="29"/>
  <c r="H32" i="29"/>
  <c r="H40" i="29"/>
  <c r="H44" i="29"/>
  <c r="H27" i="29"/>
  <c r="H31" i="29"/>
  <c r="H39" i="29"/>
  <c r="H43" i="29"/>
  <c r="H35" i="29"/>
  <c r="AT7" i="1"/>
  <c r="BE6" i="1"/>
  <c r="X8" i="1"/>
  <c r="AI6" i="1"/>
  <c r="AT6" i="1"/>
  <c r="AI8" i="1"/>
  <c r="AT8" i="1"/>
  <c r="BE8" i="1"/>
  <c r="BE7" i="1"/>
  <c r="AI7" i="1"/>
  <c r="X6" i="1"/>
  <c r="X7" i="1"/>
  <c r="X9" i="1"/>
  <c r="AI9" i="1"/>
  <c r="AT9" i="1"/>
  <c r="BE9" i="1"/>
  <c r="M8" i="1"/>
  <c r="M9" i="1"/>
  <c r="M7" i="1"/>
  <c r="M6" i="1"/>
  <c r="AT52" i="1"/>
  <c r="X52" i="1"/>
  <c r="AI52" i="1"/>
  <c r="BE52" i="1"/>
  <c r="M52" i="1"/>
  <c r="L50" i="1"/>
  <c r="V50" i="1"/>
  <c r="BD50" i="1"/>
  <c r="BA50" i="1"/>
  <c r="AG50" i="1"/>
  <c r="AH50" i="1"/>
  <c r="K50" i="1"/>
  <c r="AE50" i="1"/>
  <c r="U50" i="1"/>
  <c r="AP50" i="1"/>
  <c r="W50" i="1"/>
  <c r="AR50" i="1"/>
  <c r="BC50" i="1"/>
  <c r="T50" i="1"/>
  <c r="AF50" i="1"/>
  <c r="AQ50" i="1"/>
  <c r="BB50" i="1"/>
  <c r="AS50" i="1"/>
  <c r="J50" i="1"/>
  <c r="M51" i="1"/>
  <c r="I50" i="1"/>
  <c r="AI51" i="1"/>
  <c r="BE51" i="1"/>
  <c r="AT51" i="1"/>
  <c r="X51" i="1"/>
  <c r="R37" i="29"/>
  <c r="P37" i="29"/>
  <c r="Q37" i="29"/>
  <c r="Q27" i="29"/>
  <c r="P27" i="29"/>
  <c r="R27" i="29"/>
  <c r="Q32" i="29"/>
  <c r="R32" i="29"/>
  <c r="Q35" i="29"/>
  <c r="P35" i="29"/>
  <c r="R35" i="29"/>
  <c r="Q40" i="29"/>
  <c r="P40" i="29"/>
  <c r="R40" i="29"/>
  <c r="Q26" i="29"/>
  <c r="R26" i="29"/>
  <c r="P26" i="29"/>
  <c r="R29" i="29"/>
  <c r="P29" i="29"/>
  <c r="Q29" i="29"/>
  <c r="P31" i="29"/>
  <c r="R31" i="29"/>
  <c r="Q31" i="29"/>
  <c r="Q34" i="29"/>
  <c r="R34" i="29"/>
  <c r="P34" i="29"/>
  <c r="P39" i="29"/>
  <c r="R39" i="29"/>
  <c r="Q39" i="29"/>
  <c r="R44" i="29"/>
  <c r="P44" i="29"/>
  <c r="Q44" i="29"/>
  <c r="R30" i="29"/>
  <c r="P30" i="29"/>
  <c r="Q30" i="29"/>
  <c r="R38" i="29"/>
  <c r="P38" i="29"/>
  <c r="Q38" i="29"/>
  <c r="Q33" i="29"/>
  <c r="R33" i="29"/>
  <c r="P33" i="29"/>
  <c r="Q41" i="29"/>
  <c r="R41" i="29"/>
  <c r="P41" i="29"/>
  <c r="Q43" i="29"/>
  <c r="P43" i="29"/>
  <c r="R43" i="29"/>
  <c r="Q25" i="29"/>
  <c r="R25" i="29"/>
  <c r="Q42" i="29"/>
  <c r="R42" i="29"/>
  <c r="P42" i="29"/>
  <c r="R28" i="29"/>
  <c r="Q28" i="29"/>
  <c r="P28" i="29"/>
  <c r="R36" i="29"/>
  <c r="Q36" i="29"/>
  <c r="P36" i="29"/>
  <c r="L28" i="29"/>
  <c r="L27" i="29"/>
  <c r="W27" i="29" s="1"/>
  <c r="L36" i="29"/>
  <c r="K32" i="29"/>
  <c r="L26" i="29"/>
  <c r="K29" i="29"/>
  <c r="K31" i="29"/>
  <c r="L34" i="29"/>
  <c r="K39" i="29"/>
  <c r="K40" i="29"/>
  <c r="V40" i="29" s="1"/>
  <c r="K30" i="29"/>
  <c r="K38" i="29"/>
  <c r="L25" i="29"/>
  <c r="L35" i="29"/>
  <c r="J31" i="29"/>
  <c r="L44" i="29"/>
  <c r="L33" i="29"/>
  <c r="L41" i="29"/>
  <c r="L43" i="29"/>
  <c r="K37" i="29"/>
  <c r="L42" i="29"/>
  <c r="J40" i="29"/>
  <c r="U40" i="29" s="1"/>
  <c r="J32" i="29"/>
  <c r="K44" i="29"/>
  <c r="K36" i="29"/>
  <c r="K28" i="29"/>
  <c r="L40" i="29"/>
  <c r="W40" i="29" s="1"/>
  <c r="L32" i="29"/>
  <c r="K27" i="29"/>
  <c r="J38" i="29"/>
  <c r="J30" i="29"/>
  <c r="K42" i="29"/>
  <c r="K34" i="29"/>
  <c r="K26" i="29"/>
  <c r="L38" i="29"/>
  <c r="L30" i="29"/>
  <c r="L39" i="29"/>
  <c r="J37" i="29"/>
  <c r="J29" i="29"/>
  <c r="K41" i="29"/>
  <c r="K33" i="29"/>
  <c r="K25" i="29"/>
  <c r="L37" i="29"/>
  <c r="L29" i="29"/>
  <c r="K43" i="29"/>
  <c r="L31" i="29"/>
  <c r="W31" i="29" s="1"/>
  <c r="J44" i="29"/>
  <c r="J36" i="29"/>
  <c r="J28" i="29"/>
  <c r="K35" i="29"/>
  <c r="J43" i="29"/>
  <c r="J35" i="29"/>
  <c r="J27" i="29"/>
  <c r="J39" i="29"/>
  <c r="J42" i="29"/>
  <c r="J34" i="29"/>
  <c r="J26" i="29"/>
  <c r="J41" i="29"/>
  <c r="J33" i="29"/>
  <c r="J25" i="29"/>
  <c r="S18" i="29"/>
  <c r="S17" i="29"/>
  <c r="S16" i="29"/>
  <c r="S15" i="29"/>
  <c r="AS70" i="1" l="1"/>
  <c r="AS69" i="1" s="1"/>
  <c r="AH70" i="1"/>
  <c r="AH69" i="1" s="1"/>
  <c r="BD70" i="1"/>
  <c r="BD69" i="1" s="1"/>
  <c r="W39" i="29"/>
  <c r="U38" i="29"/>
  <c r="U31" i="29"/>
  <c r="V31" i="29"/>
  <c r="V27" i="29"/>
  <c r="U27" i="29"/>
  <c r="U29" i="29"/>
  <c r="V29" i="29"/>
  <c r="W29" i="29"/>
  <c r="V39" i="29"/>
  <c r="U41" i="29"/>
  <c r="U39" i="29"/>
  <c r="V38" i="29"/>
  <c r="V26" i="29"/>
  <c r="V32" i="29"/>
  <c r="U32" i="29"/>
  <c r="W32" i="29"/>
  <c r="W35" i="29"/>
  <c r="U37" i="29"/>
  <c r="W26" i="29"/>
  <c r="V37" i="29"/>
  <c r="U30" i="29"/>
  <c r="U26" i="29"/>
  <c r="U35" i="29"/>
  <c r="W37" i="29"/>
  <c r="W41" i="29"/>
  <c r="O38" i="29"/>
  <c r="S38" i="29" s="1"/>
  <c r="O36" i="29"/>
  <c r="S36" i="29" s="1"/>
  <c r="O42" i="29"/>
  <c r="S42" i="29" s="1"/>
  <c r="V30" i="29"/>
  <c r="U34" i="29"/>
  <c r="W30" i="29"/>
  <c r="W33" i="1" s="1"/>
  <c r="W32" i="1" s="1"/>
  <c r="W34" i="29"/>
  <c r="O25" i="29"/>
  <c r="S25" i="29" s="1"/>
  <c r="O30" i="29"/>
  <c r="S30" i="29" s="1"/>
  <c r="V35" i="29"/>
  <c r="V34" i="29"/>
  <c r="O27" i="29"/>
  <c r="S27" i="29" s="1"/>
  <c r="O39" i="29"/>
  <c r="S39" i="29" s="1"/>
  <c r="O41" i="29"/>
  <c r="S41" i="29" s="1"/>
  <c r="O35" i="29"/>
  <c r="S35" i="29" s="1"/>
  <c r="O29" i="29"/>
  <c r="S29" i="29" s="1"/>
  <c r="O34" i="29"/>
  <c r="S34" i="29" s="1"/>
  <c r="O26" i="29"/>
  <c r="S26" i="29" s="1"/>
  <c r="O32" i="29"/>
  <c r="S32" i="29" s="1"/>
  <c r="O37" i="29"/>
  <c r="S37" i="29" s="1"/>
  <c r="O33" i="29"/>
  <c r="S33" i="29" s="1"/>
  <c r="O43" i="29"/>
  <c r="S43" i="29" s="1"/>
  <c r="O28" i="29"/>
  <c r="S28" i="29" s="1"/>
  <c r="O44" i="29"/>
  <c r="S44" i="29" s="1"/>
  <c r="O31" i="29"/>
  <c r="S31" i="29" s="1"/>
  <c r="O40" i="29"/>
  <c r="S40" i="29" s="1"/>
  <c r="X43" i="1"/>
  <c r="V43" i="1" s="1"/>
  <c r="BE43" i="1"/>
  <c r="BA43" i="1" s="1"/>
  <c r="AT43" i="1"/>
  <c r="AQ43" i="1" s="1"/>
  <c r="AI43" i="1"/>
  <c r="AG43" i="1" s="1"/>
  <c r="M43" i="1"/>
  <c r="I43" i="1" s="1"/>
  <c r="W25" i="29"/>
  <c r="V25" i="29"/>
  <c r="U25" i="29"/>
  <c r="BE50" i="1"/>
  <c r="BA54" i="1" s="1"/>
  <c r="BA53" i="1" s="1"/>
  <c r="AT50" i="1"/>
  <c r="AS54" i="1" s="1"/>
  <c r="AS53" i="1" s="1"/>
  <c r="AI50" i="1"/>
  <c r="AF54" i="1" s="1"/>
  <c r="AF53" i="1" s="1"/>
  <c r="X50" i="1"/>
  <c r="T54" i="1" s="1"/>
  <c r="T53" i="1" s="1"/>
  <c r="M50" i="1"/>
  <c r="J54" i="1" s="1"/>
  <c r="J53" i="1" s="1"/>
  <c r="V41" i="29"/>
  <c r="W33" i="29"/>
  <c r="V33" i="29"/>
  <c r="W44" i="29"/>
  <c r="U44" i="29"/>
  <c r="V44" i="29"/>
  <c r="L70" i="1"/>
  <c r="U42" i="29"/>
  <c r="AS37" i="1"/>
  <c r="W37" i="1"/>
  <c r="U33" i="29"/>
  <c r="W38" i="29"/>
  <c r="AS33" i="1" s="1"/>
  <c r="AS32" i="1" s="1"/>
  <c r="W42" i="29"/>
  <c r="U28" i="29"/>
  <c r="V42" i="29"/>
  <c r="V28" i="29"/>
  <c r="U36" i="29"/>
  <c r="V36" i="29"/>
  <c r="AH37" i="1" s="1"/>
  <c r="W36" i="29"/>
  <c r="W28" i="29"/>
  <c r="V43" i="29"/>
  <c r="W43" i="29"/>
  <c r="U43" i="29"/>
  <c r="M43" i="29"/>
  <c r="M28" i="29"/>
  <c r="M44" i="29"/>
  <c r="M31" i="29"/>
  <c r="M40" i="29"/>
  <c r="M27" i="29"/>
  <c r="M42" i="29"/>
  <c r="M38" i="29"/>
  <c r="M39" i="29"/>
  <c r="M41" i="29"/>
  <c r="M35" i="29"/>
  <c r="M29" i="29"/>
  <c r="M36" i="29"/>
  <c r="M25" i="29"/>
  <c r="M30" i="29"/>
  <c r="M34" i="29"/>
  <c r="M33" i="29"/>
  <c r="M26" i="29"/>
  <c r="M32" i="29"/>
  <c r="M37" i="29"/>
  <c r="H8" i="61"/>
  <c r="H9" i="61"/>
  <c r="H10" i="61"/>
  <c r="I20" i="60"/>
  <c r="I22" i="60"/>
  <c r="I21" i="60"/>
  <c r="AS31" i="1" l="1"/>
  <c r="W70" i="1"/>
  <c r="W69" i="1" s="1"/>
  <c r="W31" i="1"/>
  <c r="L28" i="1"/>
  <c r="BD31" i="1"/>
  <c r="T43" i="1"/>
  <c r="BB43" i="1"/>
  <c r="U43" i="1"/>
  <c r="W43" i="1"/>
  <c r="AS43" i="1"/>
  <c r="AR43" i="1"/>
  <c r="BD43" i="1"/>
  <c r="AP43" i="1"/>
  <c r="BC43" i="1"/>
  <c r="AF43" i="1"/>
  <c r="AH43" i="1"/>
  <c r="AE43" i="1"/>
  <c r="J43" i="1"/>
  <c r="L43" i="1"/>
  <c r="K43" i="1"/>
  <c r="I54" i="1"/>
  <c r="I53" i="1" s="1"/>
  <c r="BC54" i="1"/>
  <c r="BC53" i="1" s="1"/>
  <c r="BB54" i="1"/>
  <c r="BB53" i="1" s="1"/>
  <c r="BD54" i="1"/>
  <c r="BD53" i="1" s="1"/>
  <c r="AR54" i="1"/>
  <c r="AR53" i="1" s="1"/>
  <c r="K54" i="1"/>
  <c r="K53" i="1" s="1"/>
  <c r="AP54" i="1"/>
  <c r="AP53" i="1" s="1"/>
  <c r="AQ54" i="1"/>
  <c r="AQ53" i="1" s="1"/>
  <c r="L54" i="1"/>
  <c r="L53" i="1" s="1"/>
  <c r="V54" i="1"/>
  <c r="V53" i="1" s="1"/>
  <c r="U54" i="1"/>
  <c r="U53" i="1" s="1"/>
  <c r="AG54" i="1"/>
  <c r="AG53" i="1" s="1"/>
  <c r="AE54" i="1"/>
  <c r="AE53" i="1" s="1"/>
  <c r="AH54" i="1"/>
  <c r="AH53" i="1" s="1"/>
  <c r="W54" i="1"/>
  <c r="W53" i="1" s="1"/>
  <c r="AH33" i="1"/>
  <c r="AH32" i="1" s="1"/>
  <c r="BD37" i="1"/>
  <c r="W28" i="1"/>
  <c r="L31" i="1"/>
  <c r="BD28" i="1"/>
  <c r="L33" i="1"/>
  <c r="L32" i="1" s="1"/>
  <c r="BD33" i="1"/>
  <c r="BD32" i="1" s="1"/>
  <c r="AH31" i="1"/>
  <c r="AH28" i="1"/>
  <c r="AS28" i="1"/>
  <c r="E41" i="62"/>
  <c r="E32" i="62"/>
  <c r="E38" i="62"/>
  <c r="BE53" i="1" l="1"/>
  <c r="AT53" i="1"/>
  <c r="M53" i="1"/>
  <c r="AI53" i="1"/>
  <c r="X53" i="1"/>
  <c r="N194" i="17"/>
  <c r="K194" i="17"/>
  <c r="G194" i="17"/>
  <c r="E194" i="17"/>
  <c r="C194" i="17"/>
  <c r="B194" i="17"/>
  <c r="N193" i="17"/>
  <c r="K193" i="17"/>
  <c r="G193" i="17"/>
  <c r="E193" i="17"/>
  <c r="C193" i="17"/>
  <c r="B193" i="17"/>
  <c r="N192" i="17"/>
  <c r="K192" i="17"/>
  <c r="G192" i="17"/>
  <c r="E192" i="17"/>
  <c r="C192" i="17"/>
  <c r="B192" i="17"/>
  <c r="N191" i="17"/>
  <c r="K191" i="17"/>
  <c r="G191" i="17"/>
  <c r="E191" i="17"/>
  <c r="C191" i="17"/>
  <c r="B191" i="17"/>
  <c r="N190" i="17"/>
  <c r="K190" i="17"/>
  <c r="G190" i="17"/>
  <c r="E190" i="17"/>
  <c r="C190" i="17"/>
  <c r="B190" i="17"/>
  <c r="N189" i="17"/>
  <c r="K189" i="17"/>
  <c r="G189" i="17"/>
  <c r="E189" i="17"/>
  <c r="C189" i="17"/>
  <c r="B189" i="17"/>
  <c r="N188" i="17"/>
  <c r="K188" i="17"/>
  <c r="G188" i="17"/>
  <c r="E188" i="17"/>
  <c r="C188" i="17"/>
  <c r="B188" i="17"/>
  <c r="N187" i="17"/>
  <c r="K187" i="17"/>
  <c r="G187" i="17"/>
  <c r="E187" i="17"/>
  <c r="C187" i="17"/>
  <c r="B187" i="17"/>
  <c r="N186" i="17"/>
  <c r="K186" i="17"/>
  <c r="G186" i="17"/>
  <c r="E186" i="17"/>
  <c r="C186" i="17"/>
  <c r="B186" i="17"/>
  <c r="N185" i="17"/>
  <c r="K185" i="17"/>
  <c r="G185" i="17"/>
  <c r="E185" i="17"/>
  <c r="C185" i="17"/>
  <c r="B185" i="17"/>
  <c r="N184" i="17"/>
  <c r="K184" i="17"/>
  <c r="G184" i="17"/>
  <c r="E184" i="17"/>
  <c r="C184" i="17"/>
  <c r="B184" i="17"/>
  <c r="N183" i="17"/>
  <c r="K183" i="17"/>
  <c r="G183" i="17"/>
  <c r="E183" i="17"/>
  <c r="C183" i="17"/>
  <c r="B183" i="17"/>
  <c r="N182" i="17"/>
  <c r="K182" i="17"/>
  <c r="G182" i="17"/>
  <c r="E182" i="17"/>
  <c r="C182" i="17"/>
  <c r="B182" i="17"/>
  <c r="N181" i="17"/>
  <c r="K181" i="17"/>
  <c r="G181" i="17"/>
  <c r="E181" i="17"/>
  <c r="C181" i="17"/>
  <c r="B181" i="17"/>
  <c r="N180" i="17"/>
  <c r="K180" i="17"/>
  <c r="G180" i="17"/>
  <c r="E180" i="17"/>
  <c r="C180" i="17"/>
  <c r="B180" i="17"/>
  <c r="N179" i="17"/>
  <c r="K179" i="17"/>
  <c r="G179" i="17"/>
  <c r="E179" i="17"/>
  <c r="C179" i="17"/>
  <c r="B179" i="17"/>
  <c r="N178" i="17"/>
  <c r="K178" i="17"/>
  <c r="G178" i="17"/>
  <c r="E178" i="17"/>
  <c r="C178" i="17"/>
  <c r="B178" i="17"/>
  <c r="N177" i="17"/>
  <c r="K177" i="17"/>
  <c r="G177" i="17"/>
  <c r="E177" i="17"/>
  <c r="C177" i="17"/>
  <c r="B177" i="17"/>
  <c r="N176" i="17"/>
  <c r="K176" i="17"/>
  <c r="G176" i="17"/>
  <c r="E176" i="17"/>
  <c r="C176" i="17"/>
  <c r="B176" i="17"/>
  <c r="N175" i="17"/>
  <c r="K175" i="17"/>
  <c r="G175" i="17"/>
  <c r="E175" i="17"/>
  <c r="C175" i="17"/>
  <c r="B175" i="17"/>
  <c r="N174" i="17"/>
  <c r="K174" i="17"/>
  <c r="G174" i="17"/>
  <c r="E174" i="17"/>
  <c r="C174" i="17"/>
  <c r="B174" i="17"/>
  <c r="N173" i="17"/>
  <c r="K173" i="17"/>
  <c r="G173" i="17"/>
  <c r="E173" i="17"/>
  <c r="C173" i="17"/>
  <c r="B173" i="17"/>
  <c r="N172" i="17"/>
  <c r="K172" i="17"/>
  <c r="G172" i="17"/>
  <c r="E172" i="17"/>
  <c r="C172" i="17"/>
  <c r="B172" i="17"/>
  <c r="N171" i="17"/>
  <c r="K171" i="17"/>
  <c r="G171" i="17"/>
  <c r="E171" i="17"/>
  <c r="C171" i="17"/>
  <c r="B171" i="17"/>
  <c r="N170" i="17"/>
  <c r="K170" i="17"/>
  <c r="G170" i="17"/>
  <c r="E170" i="17"/>
  <c r="C170" i="17"/>
  <c r="B170" i="17"/>
  <c r="N169" i="17"/>
  <c r="K169" i="17"/>
  <c r="G169" i="17"/>
  <c r="E169" i="17"/>
  <c r="C169" i="17"/>
  <c r="B169" i="17"/>
  <c r="N168" i="17"/>
  <c r="K168" i="17"/>
  <c r="G168" i="17"/>
  <c r="E168" i="17"/>
  <c r="C168" i="17"/>
  <c r="B168" i="17"/>
  <c r="N167" i="17"/>
  <c r="K167" i="17"/>
  <c r="G167" i="17"/>
  <c r="E167" i="17"/>
  <c r="C167" i="17"/>
  <c r="B167" i="17"/>
  <c r="N166" i="17"/>
  <c r="K166" i="17"/>
  <c r="G166" i="17"/>
  <c r="E166" i="17"/>
  <c r="C166" i="17"/>
  <c r="B166" i="17"/>
  <c r="N165" i="17"/>
  <c r="K165" i="17"/>
  <c r="G165" i="17"/>
  <c r="E165" i="17"/>
  <c r="C165" i="17"/>
  <c r="B165" i="17"/>
  <c r="N164" i="17"/>
  <c r="K164" i="17"/>
  <c r="G164" i="17"/>
  <c r="E164" i="17"/>
  <c r="C164" i="17"/>
  <c r="B164" i="17"/>
  <c r="N163" i="17"/>
  <c r="K163" i="17"/>
  <c r="G163" i="17"/>
  <c r="E163" i="17"/>
  <c r="C163" i="17"/>
  <c r="B163" i="17"/>
  <c r="N162" i="17"/>
  <c r="K162" i="17"/>
  <c r="G162" i="17"/>
  <c r="E162" i="17"/>
  <c r="C162" i="17"/>
  <c r="B162" i="17"/>
  <c r="N161" i="17"/>
  <c r="K161" i="17"/>
  <c r="G161" i="17"/>
  <c r="E161" i="17"/>
  <c r="C161" i="17"/>
  <c r="B161" i="17"/>
  <c r="N160" i="17"/>
  <c r="K160" i="17"/>
  <c r="G160" i="17"/>
  <c r="E160" i="17"/>
  <c r="C160" i="17"/>
  <c r="B160" i="17"/>
  <c r="N159" i="17"/>
  <c r="K159" i="17"/>
  <c r="G159" i="17"/>
  <c r="E159" i="17"/>
  <c r="C159" i="17"/>
  <c r="B159" i="17"/>
  <c r="N158" i="17"/>
  <c r="K158" i="17"/>
  <c r="G158" i="17"/>
  <c r="E158" i="17"/>
  <c r="C158" i="17"/>
  <c r="B158" i="17"/>
  <c r="N157" i="17"/>
  <c r="K157" i="17"/>
  <c r="G157" i="17"/>
  <c r="E157" i="17"/>
  <c r="C157" i="17"/>
  <c r="B157" i="17"/>
  <c r="N156" i="17"/>
  <c r="K156" i="17"/>
  <c r="G156" i="17"/>
  <c r="E156" i="17"/>
  <c r="C156" i="17"/>
  <c r="B156" i="17"/>
  <c r="N155" i="17"/>
  <c r="K155" i="17"/>
  <c r="G155" i="17"/>
  <c r="E155" i="17"/>
  <c r="C155" i="17"/>
  <c r="B155" i="17"/>
  <c r="N154" i="17"/>
  <c r="K154" i="17"/>
  <c r="G154" i="17"/>
  <c r="E154" i="17"/>
  <c r="C154" i="17"/>
  <c r="B154" i="17"/>
  <c r="N153" i="17"/>
  <c r="K153" i="17"/>
  <c r="G153" i="17"/>
  <c r="E153" i="17"/>
  <c r="C153" i="17"/>
  <c r="B153" i="17"/>
  <c r="N152" i="17"/>
  <c r="K152" i="17"/>
  <c r="G152" i="17"/>
  <c r="E152" i="17"/>
  <c r="C152" i="17"/>
  <c r="B152" i="17"/>
  <c r="N151" i="17"/>
  <c r="K151" i="17"/>
  <c r="G151" i="17"/>
  <c r="E151" i="17"/>
  <c r="C151" i="17"/>
  <c r="B151" i="17"/>
  <c r="N150" i="17"/>
  <c r="K150" i="17"/>
  <c r="G150" i="17"/>
  <c r="E150" i="17"/>
  <c r="C150" i="17"/>
  <c r="B150" i="17"/>
  <c r="N149" i="17"/>
  <c r="K149" i="17"/>
  <c r="G149" i="17"/>
  <c r="E149" i="17"/>
  <c r="C149" i="17"/>
  <c r="B149" i="17"/>
  <c r="N148" i="17"/>
  <c r="K148" i="17"/>
  <c r="G148" i="17"/>
  <c r="E148" i="17"/>
  <c r="C148" i="17"/>
  <c r="B148" i="17"/>
  <c r="N147" i="17"/>
  <c r="K147" i="17"/>
  <c r="G147" i="17"/>
  <c r="E147" i="17"/>
  <c r="C147" i="17"/>
  <c r="B147" i="17"/>
  <c r="N146" i="17"/>
  <c r="K146" i="17"/>
  <c r="G146" i="17"/>
  <c r="E146" i="17"/>
  <c r="C146" i="17"/>
  <c r="B146" i="17"/>
  <c r="N145" i="17"/>
  <c r="K145" i="17"/>
  <c r="G145" i="17"/>
  <c r="E145" i="17"/>
  <c r="C145" i="17"/>
  <c r="B145" i="17"/>
  <c r="N144" i="17"/>
  <c r="K144" i="17"/>
  <c r="G144" i="17"/>
  <c r="E144" i="17"/>
  <c r="C144" i="17"/>
  <c r="B144" i="17"/>
  <c r="N143" i="17"/>
  <c r="K143" i="17"/>
  <c r="G143" i="17"/>
  <c r="E143" i="17"/>
  <c r="C143" i="17"/>
  <c r="B143" i="17"/>
  <c r="N142" i="17"/>
  <c r="K142" i="17"/>
  <c r="G142" i="17"/>
  <c r="E142" i="17"/>
  <c r="C142" i="17"/>
  <c r="B142" i="17"/>
  <c r="N141" i="17"/>
  <c r="K141" i="17"/>
  <c r="G141" i="17"/>
  <c r="E141" i="17"/>
  <c r="C141" i="17"/>
  <c r="B141" i="17"/>
  <c r="N140" i="17"/>
  <c r="K140" i="17"/>
  <c r="G140" i="17"/>
  <c r="E140" i="17"/>
  <c r="C140" i="17"/>
  <c r="B140" i="17"/>
  <c r="N139" i="17"/>
  <c r="K139" i="17"/>
  <c r="G139" i="17"/>
  <c r="E139" i="17"/>
  <c r="C139" i="17"/>
  <c r="B139" i="17"/>
  <c r="N138" i="17"/>
  <c r="K138" i="17"/>
  <c r="G138" i="17"/>
  <c r="E138" i="17"/>
  <c r="C138" i="17"/>
  <c r="B138" i="17"/>
  <c r="N137" i="17"/>
  <c r="K137" i="17"/>
  <c r="G137" i="17"/>
  <c r="E137" i="17"/>
  <c r="C137" i="17"/>
  <c r="B137" i="17"/>
  <c r="N136" i="17"/>
  <c r="K136" i="17"/>
  <c r="G136" i="17"/>
  <c r="E136" i="17"/>
  <c r="C136" i="17"/>
  <c r="B136" i="17"/>
  <c r="N135" i="17"/>
  <c r="K135" i="17"/>
  <c r="G135" i="17"/>
  <c r="E135" i="17"/>
  <c r="C135" i="17"/>
  <c r="B135" i="17"/>
  <c r="N134" i="17"/>
  <c r="K134" i="17"/>
  <c r="G134" i="17"/>
  <c r="E134" i="17"/>
  <c r="C134" i="17"/>
  <c r="B134" i="17"/>
  <c r="N133" i="17"/>
  <c r="K133" i="17"/>
  <c r="G133" i="17"/>
  <c r="E133" i="17"/>
  <c r="C133" i="17"/>
  <c r="B133" i="17"/>
  <c r="N132" i="17"/>
  <c r="K132" i="17"/>
  <c r="G132" i="17"/>
  <c r="E132" i="17"/>
  <c r="C132" i="17"/>
  <c r="B132" i="17"/>
  <c r="N131" i="17"/>
  <c r="K131" i="17"/>
  <c r="G131" i="17"/>
  <c r="E131" i="17"/>
  <c r="C131" i="17"/>
  <c r="B131" i="17"/>
  <c r="N130" i="17"/>
  <c r="K130" i="17"/>
  <c r="G130" i="17"/>
  <c r="E130" i="17"/>
  <c r="C130" i="17"/>
  <c r="B130" i="17"/>
  <c r="N129" i="17"/>
  <c r="K129" i="17"/>
  <c r="G129" i="17"/>
  <c r="E129" i="17"/>
  <c r="C129" i="17"/>
  <c r="B129" i="17"/>
  <c r="N128" i="17"/>
  <c r="K128" i="17"/>
  <c r="G128" i="17"/>
  <c r="E128" i="17"/>
  <c r="C128" i="17"/>
  <c r="B128" i="17"/>
  <c r="N127" i="17"/>
  <c r="K127" i="17"/>
  <c r="G127" i="17"/>
  <c r="E127" i="17"/>
  <c r="C127" i="17"/>
  <c r="B127" i="17"/>
  <c r="N126" i="17"/>
  <c r="K126" i="17"/>
  <c r="G126" i="17"/>
  <c r="E126" i="17"/>
  <c r="C126" i="17"/>
  <c r="B126" i="17"/>
  <c r="N125" i="17"/>
  <c r="K125" i="17"/>
  <c r="G125" i="17"/>
  <c r="E125" i="17"/>
  <c r="C125" i="17"/>
  <c r="B125" i="17"/>
  <c r="N124" i="17"/>
  <c r="K124" i="17"/>
  <c r="G124" i="17"/>
  <c r="E124" i="17"/>
  <c r="C124" i="17"/>
  <c r="B124" i="17"/>
  <c r="N123" i="17"/>
  <c r="K123" i="17"/>
  <c r="G123" i="17"/>
  <c r="E123" i="17"/>
  <c r="C123" i="17"/>
  <c r="B123" i="17"/>
  <c r="N122" i="17"/>
  <c r="K122" i="17"/>
  <c r="G122" i="17"/>
  <c r="E122" i="17"/>
  <c r="C122" i="17"/>
  <c r="B122" i="17"/>
  <c r="N121" i="17"/>
  <c r="K121" i="17"/>
  <c r="G121" i="17"/>
  <c r="E121" i="17"/>
  <c r="C121" i="17"/>
  <c r="B121" i="17"/>
  <c r="N120" i="17"/>
  <c r="K120" i="17"/>
  <c r="G120" i="17"/>
  <c r="E120" i="17"/>
  <c r="C120" i="17"/>
  <c r="B120" i="17"/>
  <c r="N119" i="17"/>
  <c r="K119" i="17"/>
  <c r="G119" i="17"/>
  <c r="E119" i="17"/>
  <c r="C119" i="17"/>
  <c r="B119" i="17"/>
  <c r="N118" i="17"/>
  <c r="K118" i="17"/>
  <c r="G118" i="17"/>
  <c r="E118" i="17"/>
  <c r="C118" i="17"/>
  <c r="B118" i="17"/>
  <c r="N117" i="17"/>
  <c r="K117" i="17"/>
  <c r="G117" i="17"/>
  <c r="E117" i="17"/>
  <c r="C117" i="17"/>
  <c r="B117" i="17"/>
  <c r="N116" i="17"/>
  <c r="K116" i="17"/>
  <c r="G116" i="17"/>
  <c r="E116" i="17"/>
  <c r="C116" i="17"/>
  <c r="B116" i="17"/>
  <c r="N115" i="17"/>
  <c r="K115" i="17"/>
  <c r="G115" i="17"/>
  <c r="E115" i="17"/>
  <c r="C115" i="17"/>
  <c r="B115" i="17"/>
  <c r="N114" i="17"/>
  <c r="K114" i="17"/>
  <c r="G114" i="17"/>
  <c r="E114" i="17"/>
  <c r="C114" i="17"/>
  <c r="B114" i="17"/>
  <c r="N113" i="17"/>
  <c r="K113" i="17"/>
  <c r="G113" i="17"/>
  <c r="E113" i="17"/>
  <c r="C113" i="17"/>
  <c r="B113" i="17"/>
  <c r="N112" i="17"/>
  <c r="K112" i="17"/>
  <c r="G112" i="17"/>
  <c r="E112" i="17"/>
  <c r="C112" i="17"/>
  <c r="B112" i="17"/>
  <c r="N111" i="17"/>
  <c r="K111" i="17"/>
  <c r="G111" i="17"/>
  <c r="E111" i="17"/>
  <c r="C111" i="17"/>
  <c r="B111" i="17"/>
  <c r="N110" i="17"/>
  <c r="K110" i="17"/>
  <c r="G110" i="17"/>
  <c r="E110" i="17"/>
  <c r="C110" i="17"/>
  <c r="B110" i="17"/>
  <c r="N109" i="17"/>
  <c r="K109" i="17"/>
  <c r="G109" i="17"/>
  <c r="E109" i="17"/>
  <c r="C109" i="17"/>
  <c r="B109" i="17"/>
  <c r="N108" i="17"/>
  <c r="K108" i="17"/>
  <c r="G108" i="17"/>
  <c r="E108" i="17"/>
  <c r="C108" i="17"/>
  <c r="B108" i="17"/>
  <c r="N107" i="17"/>
  <c r="K107" i="17"/>
  <c r="G107" i="17"/>
  <c r="E107" i="17"/>
  <c r="C107" i="17"/>
  <c r="B107" i="17"/>
  <c r="N106" i="17"/>
  <c r="K106" i="17"/>
  <c r="G106" i="17"/>
  <c r="E106" i="17"/>
  <c r="C106" i="17"/>
  <c r="B106" i="17"/>
  <c r="N105" i="17"/>
  <c r="K105" i="17"/>
  <c r="G105" i="17"/>
  <c r="E105" i="17"/>
  <c r="C105" i="17"/>
  <c r="B105" i="17"/>
  <c r="N104" i="17"/>
  <c r="K104" i="17"/>
  <c r="G104" i="17"/>
  <c r="E104" i="17"/>
  <c r="C104" i="17"/>
  <c r="B104" i="17"/>
  <c r="N103" i="17"/>
  <c r="K103" i="17"/>
  <c r="G103" i="17"/>
  <c r="E103" i="17"/>
  <c r="C103" i="17"/>
  <c r="B103" i="17"/>
  <c r="N102" i="17"/>
  <c r="K102" i="17"/>
  <c r="G102" i="17"/>
  <c r="E102" i="17"/>
  <c r="C102" i="17"/>
  <c r="B102" i="17"/>
  <c r="N101" i="17"/>
  <c r="K101" i="17"/>
  <c r="G101" i="17"/>
  <c r="E101" i="17"/>
  <c r="C101" i="17"/>
  <c r="B101" i="17"/>
  <c r="N100" i="17"/>
  <c r="K100" i="17"/>
  <c r="G100" i="17"/>
  <c r="E100" i="17"/>
  <c r="C100" i="17"/>
  <c r="B100" i="17"/>
  <c r="N99" i="17"/>
  <c r="K99" i="17"/>
  <c r="G99" i="17"/>
  <c r="E99" i="17"/>
  <c r="C99" i="17"/>
  <c r="B99" i="17"/>
  <c r="F8" i="61"/>
  <c r="E20" i="60"/>
  <c r="W24" i="1" l="1"/>
  <c r="W23" i="1" s="1"/>
  <c r="AH24" i="1"/>
  <c r="AH23" i="1" s="1"/>
  <c r="AS24" i="1"/>
  <c r="AS23" i="1" s="1"/>
  <c r="D17" i="59" l="1"/>
  <c r="D18" i="59"/>
  <c r="D19" i="59"/>
  <c r="D20" i="59"/>
  <c r="D21" i="59"/>
  <c r="D22" i="59"/>
  <c r="D23" i="59"/>
  <c r="D24" i="59"/>
  <c r="D25" i="59"/>
  <c r="D26" i="59"/>
  <c r="D27" i="59"/>
  <c r="D28" i="59"/>
  <c r="D29" i="59"/>
  <c r="D31" i="59"/>
  <c r="AX17" i="59"/>
  <c r="AX18" i="59"/>
  <c r="AX19" i="59"/>
  <c r="AX20" i="59"/>
  <c r="AX21" i="59"/>
  <c r="AX22" i="59"/>
  <c r="AX23" i="59"/>
  <c r="AX24" i="59"/>
  <c r="AX25" i="59"/>
  <c r="AX26" i="59"/>
  <c r="AX27" i="59"/>
  <c r="AX28" i="59"/>
  <c r="AX29" i="59"/>
  <c r="AX30" i="59"/>
  <c r="AX31" i="59"/>
  <c r="E6" i="55" l="1"/>
  <c r="E7" i="55"/>
  <c r="E8" i="55"/>
  <c r="E9" i="55"/>
  <c r="E10" i="55"/>
  <c r="J32" i="55" s="1"/>
  <c r="J33" i="55"/>
  <c r="Z7" i="62" l="1"/>
  <c r="AA7" i="62" s="1"/>
  <c r="Z15" i="62"/>
  <c r="AA15" i="62" s="1"/>
  <c r="Z23" i="62"/>
  <c r="AA23" i="62" s="1"/>
  <c r="Z31" i="62"/>
  <c r="AA31" i="62" s="1"/>
  <c r="Z39" i="62"/>
  <c r="AA39" i="62" s="1"/>
  <c r="Z47" i="62"/>
  <c r="AA47" i="62" s="1"/>
  <c r="Z55" i="62"/>
  <c r="AA55" i="62" s="1"/>
  <c r="Z63" i="62"/>
  <c r="AA63" i="62" s="1"/>
  <c r="Z71" i="62"/>
  <c r="AA71" i="62" s="1"/>
  <c r="Z79" i="62"/>
  <c r="AA79" i="62" s="1"/>
  <c r="Z87" i="62"/>
  <c r="AA87" i="62" s="1"/>
  <c r="Z95" i="62"/>
  <c r="AA95" i="62" s="1"/>
  <c r="Z103" i="62"/>
  <c r="AA103" i="62" s="1"/>
  <c r="Z111" i="62"/>
  <c r="AA111" i="62" s="1"/>
  <c r="Z119" i="62"/>
  <c r="AA119" i="62" s="1"/>
  <c r="Z127" i="62"/>
  <c r="AA127" i="62" s="1"/>
  <c r="Z135" i="62"/>
  <c r="AA135" i="62" s="1"/>
  <c r="Z143" i="62"/>
  <c r="AA143" i="62" s="1"/>
  <c r="Z151" i="62"/>
  <c r="AA151" i="62" s="1"/>
  <c r="Z159" i="62"/>
  <c r="AA159" i="62" s="1"/>
  <c r="Z167" i="62"/>
  <c r="AA167" i="62" s="1"/>
  <c r="Z175" i="62"/>
  <c r="AA175" i="62" s="1"/>
  <c r="Z183" i="62"/>
  <c r="AA183" i="62" s="1"/>
  <c r="Z191" i="62"/>
  <c r="AA191" i="62" s="1"/>
  <c r="Z199" i="62"/>
  <c r="AA199" i="62" s="1"/>
  <c r="Z207" i="62"/>
  <c r="AA207" i="62" s="1"/>
  <c r="Z215" i="62"/>
  <c r="AA215" i="62" s="1"/>
  <c r="Z223" i="62"/>
  <c r="AA223" i="62" s="1"/>
  <c r="Z231" i="62"/>
  <c r="AA231" i="62" s="1"/>
  <c r="Z239" i="62"/>
  <c r="AA239" i="62" s="1"/>
  <c r="Z247" i="62"/>
  <c r="AA247" i="62" s="1"/>
  <c r="Z255" i="62"/>
  <c r="AA255" i="62" s="1"/>
  <c r="Z263" i="62"/>
  <c r="AA263" i="62" s="1"/>
  <c r="Z271" i="62"/>
  <c r="AA271" i="62" s="1"/>
  <c r="Z279" i="62"/>
  <c r="AA279" i="62" s="1"/>
  <c r="Z287" i="62"/>
  <c r="AA287" i="62" s="1"/>
  <c r="Z295" i="62"/>
  <c r="AA295" i="62" s="1"/>
  <c r="Z303" i="62"/>
  <c r="AA303" i="62" s="1"/>
  <c r="Z311" i="62"/>
  <c r="AA311" i="62" s="1"/>
  <c r="Z319" i="62"/>
  <c r="AA319" i="62" s="1"/>
  <c r="Z327" i="62"/>
  <c r="AA327" i="62" s="1"/>
  <c r="Z335" i="62"/>
  <c r="AA335" i="62" s="1"/>
  <c r="Z343" i="62"/>
  <c r="AA343" i="62" s="1"/>
  <c r="Z351" i="62"/>
  <c r="AA351" i="62" s="1"/>
  <c r="Z359" i="62"/>
  <c r="AA359" i="62" s="1"/>
  <c r="Z367" i="62"/>
  <c r="AA367" i="62" s="1"/>
  <c r="Z375" i="62"/>
  <c r="AA375" i="62" s="1"/>
  <c r="Z383" i="62"/>
  <c r="AA383" i="62" s="1"/>
  <c r="Z391" i="62"/>
  <c r="AA391" i="62" s="1"/>
  <c r="Z67" i="62"/>
  <c r="AA67" i="62" s="1"/>
  <c r="Z131" i="62"/>
  <c r="AA131" i="62" s="1"/>
  <c r="Z195" i="62"/>
  <c r="AA195" i="62" s="1"/>
  <c r="Z259" i="62"/>
  <c r="AA259" i="62" s="1"/>
  <c r="Z323" i="62"/>
  <c r="AA323" i="62" s="1"/>
  <c r="Z363" i="62"/>
  <c r="AA363" i="62" s="1"/>
  <c r="Z11" i="62"/>
  <c r="AA11" i="62" s="1"/>
  <c r="Z75" i="62"/>
  <c r="AA75" i="62" s="1"/>
  <c r="Z139" i="62"/>
  <c r="AA139" i="62" s="1"/>
  <c r="Z203" i="62"/>
  <c r="AA203" i="62" s="1"/>
  <c r="Z267" i="62"/>
  <c r="AA267" i="62" s="1"/>
  <c r="Z331" i="62"/>
  <c r="AA331" i="62" s="1"/>
  <c r="Z407" i="62"/>
  <c r="AA407" i="62" s="1"/>
  <c r="Z415" i="62"/>
  <c r="AA415" i="62" s="1"/>
  <c r="Z423" i="62"/>
  <c r="AA423" i="62" s="1"/>
  <c r="Z431" i="62"/>
  <c r="AA431" i="62" s="1"/>
  <c r="Z439" i="62"/>
  <c r="AA439" i="62" s="1"/>
  <c r="Z447" i="62"/>
  <c r="AA447" i="62" s="1"/>
  <c r="Z455" i="62"/>
  <c r="AA455" i="62" s="1"/>
  <c r="Z463" i="62"/>
  <c r="AA463" i="62" s="1"/>
  <c r="Z471" i="62"/>
  <c r="AA471" i="62" s="1"/>
  <c r="Z479" i="62"/>
  <c r="AA479" i="62" s="1"/>
  <c r="Z487" i="62"/>
  <c r="AA487" i="62" s="1"/>
  <c r="Z495" i="62"/>
  <c r="AA495" i="62" s="1"/>
  <c r="Z503" i="62"/>
  <c r="AA503" i="62" s="1"/>
  <c r="Z511" i="62"/>
  <c r="AA511" i="62" s="1"/>
  <c r="Z519" i="62"/>
  <c r="AA519" i="62" s="1"/>
  <c r="Z527" i="62"/>
  <c r="AA527" i="62" s="1"/>
  <c r="Z535" i="62"/>
  <c r="AA535" i="62" s="1"/>
  <c r="Z543" i="62"/>
  <c r="AA543" i="62" s="1"/>
  <c r="Z551" i="62"/>
  <c r="AA551" i="62" s="1"/>
  <c r="Z559" i="62"/>
  <c r="AA559" i="62" s="1"/>
  <c r="Z567" i="62"/>
  <c r="AA567" i="62" s="1"/>
  <c r="Z575" i="62"/>
  <c r="AA575" i="62" s="1"/>
  <c r="Z583" i="62"/>
  <c r="AA583" i="62" s="1"/>
  <c r="Z591" i="62"/>
  <c r="AA591" i="62" s="1"/>
  <c r="Z599" i="62"/>
  <c r="AA599" i="62" s="1"/>
  <c r="Z607" i="62"/>
  <c r="AA607" i="62" s="1"/>
  <c r="Z615" i="62"/>
  <c r="AA615" i="62" s="1"/>
  <c r="Z623" i="62"/>
  <c r="AA623" i="62" s="1"/>
  <c r="Z631" i="62"/>
  <c r="AA631" i="62" s="1"/>
  <c r="Z639" i="62"/>
  <c r="AA639" i="62" s="1"/>
  <c r="Z647" i="62"/>
  <c r="AA647" i="62" s="1"/>
  <c r="Z655" i="62"/>
  <c r="AA655" i="62" s="1"/>
  <c r="Z663" i="62"/>
  <c r="AA663" i="62" s="1"/>
  <c r="Z671" i="62"/>
  <c r="AA671" i="62" s="1"/>
  <c r="Z679" i="62"/>
  <c r="AA679" i="62" s="1"/>
  <c r="Z687" i="62"/>
  <c r="AA687" i="62" s="1"/>
  <c r="Z695" i="62"/>
  <c r="AA695" i="62" s="1"/>
  <c r="Z703" i="62"/>
  <c r="AA703" i="62" s="1"/>
  <c r="Z711" i="62"/>
  <c r="AA711" i="62" s="1"/>
  <c r="Z719" i="62"/>
  <c r="AA719" i="62" s="1"/>
  <c r="Z727" i="62"/>
  <c r="AA727" i="62" s="1"/>
  <c r="Z735" i="62"/>
  <c r="AA735" i="62" s="1"/>
  <c r="Z743" i="62"/>
  <c r="AA743" i="62" s="1"/>
  <c r="Z751" i="62"/>
  <c r="AA751" i="62" s="1"/>
  <c r="Z759" i="62"/>
  <c r="AA759" i="62" s="1"/>
  <c r="Z767" i="62"/>
  <c r="AA767" i="62" s="1"/>
  <c r="Z775" i="62"/>
  <c r="AA775" i="62" s="1"/>
  <c r="Z783" i="62"/>
  <c r="AA783" i="62" s="1"/>
  <c r="Z791" i="62"/>
  <c r="AA791" i="62" s="1"/>
  <c r="Z799" i="62"/>
  <c r="AA799" i="62" s="1"/>
  <c r="Z807" i="62"/>
  <c r="AA807" i="62" s="1"/>
  <c r="Z815" i="62"/>
  <c r="AA815" i="62" s="1"/>
  <c r="Z823" i="62"/>
  <c r="AA823" i="62" s="1"/>
  <c r="Z831" i="62"/>
  <c r="AA831" i="62" s="1"/>
  <c r="Z839" i="62"/>
  <c r="AA839" i="62" s="1"/>
  <c r="Z847" i="62"/>
  <c r="AA847" i="62" s="1"/>
  <c r="Z855" i="62"/>
  <c r="AA855" i="62" s="1"/>
  <c r="Z863" i="62"/>
  <c r="AA863" i="62" s="1"/>
  <c r="Z871" i="62"/>
  <c r="AA871" i="62" s="1"/>
  <c r="Z879" i="62"/>
  <c r="AA879" i="62" s="1"/>
  <c r="Z887" i="62"/>
  <c r="AA887" i="62" s="1"/>
  <c r="Z895" i="62"/>
  <c r="AA895" i="62" s="1"/>
  <c r="Z903" i="62"/>
  <c r="AA903" i="62" s="1"/>
  <c r="Z911" i="62"/>
  <c r="AA911" i="62" s="1"/>
  <c r="Z919" i="62"/>
  <c r="AA919" i="62" s="1"/>
  <c r="Z927" i="62"/>
  <c r="AA927" i="62" s="1"/>
  <c r="Z935" i="62"/>
  <c r="AA935" i="62" s="1"/>
  <c r="Z943" i="62"/>
  <c r="AA943" i="62" s="1"/>
  <c r="Z951" i="62"/>
  <c r="AA951" i="62" s="1"/>
  <c r="Z959" i="62"/>
  <c r="AA959" i="62" s="1"/>
  <c r="Z967" i="62"/>
  <c r="AA967" i="62" s="1"/>
  <c r="Z19" i="62"/>
  <c r="AA19" i="62" s="1"/>
  <c r="Z83" i="62"/>
  <c r="AA83" i="62" s="1"/>
  <c r="Z147" i="62"/>
  <c r="AA147" i="62" s="1"/>
  <c r="Z211" i="62"/>
  <c r="AA211" i="62" s="1"/>
  <c r="Z275" i="62"/>
  <c r="AA275" i="62" s="1"/>
  <c r="Z339" i="62"/>
  <c r="AA339" i="62" s="1"/>
  <c r="Z387" i="62"/>
  <c r="AA387" i="62" s="1"/>
  <c r="Z399" i="62"/>
  <c r="AA399" i="62" s="1"/>
  <c r="Z27" i="62"/>
  <c r="AA27" i="62" s="1"/>
  <c r="Z91" i="62"/>
  <c r="AA91" i="62" s="1"/>
  <c r="Z155" i="62"/>
  <c r="AA155" i="62" s="1"/>
  <c r="Z219" i="62"/>
  <c r="AA219" i="62" s="1"/>
  <c r="Z283" i="62"/>
  <c r="AA283" i="62" s="1"/>
  <c r="Z347" i="62"/>
  <c r="AA347" i="62" s="1"/>
  <c r="Z371" i="62"/>
  <c r="AA371" i="62" s="1"/>
  <c r="Z35" i="62"/>
  <c r="AA35" i="62" s="1"/>
  <c r="Z99" i="62"/>
  <c r="AA99" i="62" s="1"/>
  <c r="Z163" i="62"/>
  <c r="AA163" i="62" s="1"/>
  <c r="Z227" i="62"/>
  <c r="AA227" i="62" s="1"/>
  <c r="Z291" i="62"/>
  <c r="AA291" i="62" s="1"/>
  <c r="Z43" i="62"/>
  <c r="AA43" i="62" s="1"/>
  <c r="Z107" i="62"/>
  <c r="AA107" i="62" s="1"/>
  <c r="Z171" i="62"/>
  <c r="AA171" i="62" s="1"/>
  <c r="Z235" i="62"/>
  <c r="AA235" i="62" s="1"/>
  <c r="Z299" i="62"/>
  <c r="AA299" i="62" s="1"/>
  <c r="Z355" i="62"/>
  <c r="AA355" i="62" s="1"/>
  <c r="Z411" i="62"/>
  <c r="AA411" i="62" s="1"/>
  <c r="Z419" i="62"/>
  <c r="AA419" i="62" s="1"/>
  <c r="Z427" i="62"/>
  <c r="AA427" i="62" s="1"/>
  <c r="Z435" i="62"/>
  <c r="AA435" i="62" s="1"/>
  <c r="Z443" i="62"/>
  <c r="AA443" i="62" s="1"/>
  <c r="Z451" i="62"/>
  <c r="AA451" i="62" s="1"/>
  <c r="Z459" i="62"/>
  <c r="AA459" i="62" s="1"/>
  <c r="Z467" i="62"/>
  <c r="AA467" i="62" s="1"/>
  <c r="Z475" i="62"/>
  <c r="AA475" i="62" s="1"/>
  <c r="Z483" i="62"/>
  <c r="AA483" i="62" s="1"/>
  <c r="Z491" i="62"/>
  <c r="AA491" i="62" s="1"/>
  <c r="Z499" i="62"/>
  <c r="AA499" i="62" s="1"/>
  <c r="Z507" i="62"/>
  <c r="AA507" i="62" s="1"/>
  <c r="Z515" i="62"/>
  <c r="AA515" i="62" s="1"/>
  <c r="Z523" i="62"/>
  <c r="AA523" i="62" s="1"/>
  <c r="Z531" i="62"/>
  <c r="AA531" i="62" s="1"/>
  <c r="Z539" i="62"/>
  <c r="AA539" i="62" s="1"/>
  <c r="Z547" i="62"/>
  <c r="AA547" i="62" s="1"/>
  <c r="Z555" i="62"/>
  <c r="AA555" i="62" s="1"/>
  <c r="Z563" i="62"/>
  <c r="AA563" i="62" s="1"/>
  <c r="Z571" i="62"/>
  <c r="AA571" i="62" s="1"/>
  <c r="Z579" i="62"/>
  <c r="AA579" i="62" s="1"/>
  <c r="Z587" i="62"/>
  <c r="AA587" i="62" s="1"/>
  <c r="Z595" i="62"/>
  <c r="AA595" i="62" s="1"/>
  <c r="Z603" i="62"/>
  <c r="AA603" i="62" s="1"/>
  <c r="Z611" i="62"/>
  <c r="AA611" i="62" s="1"/>
  <c r="Z619" i="62"/>
  <c r="AA619" i="62" s="1"/>
  <c r="Z627" i="62"/>
  <c r="AA627" i="62" s="1"/>
  <c r="Z635" i="62"/>
  <c r="AA635" i="62" s="1"/>
  <c r="Z643" i="62"/>
  <c r="AA643" i="62" s="1"/>
  <c r="Z651" i="62"/>
  <c r="AA651" i="62" s="1"/>
  <c r="Z659" i="62"/>
  <c r="AA659" i="62" s="1"/>
  <c r="Z667" i="62"/>
  <c r="AA667" i="62" s="1"/>
  <c r="Z675" i="62"/>
  <c r="AA675" i="62" s="1"/>
  <c r="Z683" i="62"/>
  <c r="AA683" i="62" s="1"/>
  <c r="Z691" i="62"/>
  <c r="AA691" i="62" s="1"/>
  <c r="Z699" i="62"/>
  <c r="AA699" i="62" s="1"/>
  <c r="Z707" i="62"/>
  <c r="AA707" i="62" s="1"/>
  <c r="Z715" i="62"/>
  <c r="AA715" i="62" s="1"/>
  <c r="Z723" i="62"/>
  <c r="AA723" i="62" s="1"/>
  <c r="Z731" i="62"/>
  <c r="AA731" i="62" s="1"/>
  <c r="Z739" i="62"/>
  <c r="AA739" i="62" s="1"/>
  <c r="Z747" i="62"/>
  <c r="AA747" i="62" s="1"/>
  <c r="Z755" i="62"/>
  <c r="AA755" i="62" s="1"/>
  <c r="Z763" i="62"/>
  <c r="AA763" i="62" s="1"/>
  <c r="Z771" i="62"/>
  <c r="AA771" i="62" s="1"/>
  <c r="Z779" i="62"/>
  <c r="AA779" i="62" s="1"/>
  <c r="Z787" i="62"/>
  <c r="AA787" i="62" s="1"/>
  <c r="Z795" i="62"/>
  <c r="AA795" i="62" s="1"/>
  <c r="Z803" i="62"/>
  <c r="AA803" i="62" s="1"/>
  <c r="Z811" i="62"/>
  <c r="AA811" i="62" s="1"/>
  <c r="Z819" i="62"/>
  <c r="AA819" i="62" s="1"/>
  <c r="Z827" i="62"/>
  <c r="AA827" i="62" s="1"/>
  <c r="Z835" i="62"/>
  <c r="AA835" i="62" s="1"/>
  <c r="Z843" i="62"/>
  <c r="AA843" i="62" s="1"/>
  <c r="Z851" i="62"/>
  <c r="AA851" i="62" s="1"/>
  <c r="Z859" i="62"/>
  <c r="AA859" i="62" s="1"/>
  <c r="Z867" i="62"/>
  <c r="AA867" i="62" s="1"/>
  <c r="Z875" i="62"/>
  <c r="AA875" i="62" s="1"/>
  <c r="Z883" i="62"/>
  <c r="AA883" i="62" s="1"/>
  <c r="Z891" i="62"/>
  <c r="AA891" i="62" s="1"/>
  <c r="Z899" i="62"/>
  <c r="AA899" i="62" s="1"/>
  <c r="Z907" i="62"/>
  <c r="AA907" i="62" s="1"/>
  <c r="Z915" i="62"/>
  <c r="AA915" i="62" s="1"/>
  <c r="Z923" i="62"/>
  <c r="AA923" i="62" s="1"/>
  <c r="Z931" i="62"/>
  <c r="AA931" i="62" s="1"/>
  <c r="Z939" i="62"/>
  <c r="AA939" i="62" s="1"/>
  <c r="Z947" i="62"/>
  <c r="AA947" i="62" s="1"/>
  <c r="Z955" i="62"/>
  <c r="AA955" i="62" s="1"/>
  <c r="Z963" i="62"/>
  <c r="AA963" i="62" s="1"/>
  <c r="Z51" i="62"/>
  <c r="AA51" i="62" s="1"/>
  <c r="Z115" i="62"/>
  <c r="AA115" i="62" s="1"/>
  <c r="Z179" i="62"/>
  <c r="AA179" i="62" s="1"/>
  <c r="Z243" i="62"/>
  <c r="AA243" i="62" s="1"/>
  <c r="Z307" i="62"/>
  <c r="AA307" i="62" s="1"/>
  <c r="Z379" i="62"/>
  <c r="AA379" i="62" s="1"/>
  <c r="Z403" i="62"/>
  <c r="AA403" i="62" s="1"/>
  <c r="Z59" i="62"/>
  <c r="AA59" i="62" s="1"/>
  <c r="Z987" i="62"/>
  <c r="AA987" i="62" s="1"/>
  <c r="Z999" i="62"/>
  <c r="AA999" i="62" s="1"/>
  <c r="Z1051" i="62"/>
  <c r="AA1051" i="62" s="1"/>
  <c r="Z1063" i="62"/>
  <c r="AA1063" i="62" s="1"/>
  <c r="Z1087" i="62"/>
  <c r="AA1087" i="62" s="1"/>
  <c r="Z1119" i="62"/>
  <c r="AA1119" i="62" s="1"/>
  <c r="Z1292" i="62"/>
  <c r="Z1300" i="62"/>
  <c r="Z1348" i="62"/>
  <c r="Z1356" i="62"/>
  <c r="Z1404" i="62"/>
  <c r="Z1412" i="62"/>
  <c r="Z1460" i="62"/>
  <c r="Z1468" i="62"/>
  <c r="Z1516" i="62"/>
  <c r="Z1524" i="62"/>
  <c r="Z123" i="62"/>
  <c r="AA123" i="62" s="1"/>
  <c r="Z975" i="62"/>
  <c r="AA975" i="62" s="1"/>
  <c r="Z1027" i="62"/>
  <c r="AA1027" i="62" s="1"/>
  <c r="Z1039" i="62"/>
  <c r="AA1039" i="62" s="1"/>
  <c r="Z1099" i="62"/>
  <c r="AA1099" i="62" s="1"/>
  <c r="Z1131" i="62"/>
  <c r="AA1131" i="62" s="1"/>
  <c r="Z1293" i="62"/>
  <c r="Z1349" i="62"/>
  <c r="Z1405" i="62"/>
  <c r="Z1461" i="62"/>
  <c r="Z1517" i="62"/>
  <c r="Z1243" i="62"/>
  <c r="AA1243" i="62" s="1"/>
  <c r="Z187" i="62"/>
  <c r="AA187" i="62" s="1"/>
  <c r="Z1003" i="62"/>
  <c r="AA1003" i="62" s="1"/>
  <c r="Z1015" i="62"/>
  <c r="AA1015" i="62" s="1"/>
  <c r="Z1067" i="62"/>
  <c r="AA1067" i="62" s="1"/>
  <c r="Z1079" i="62"/>
  <c r="AA1079" i="62" s="1"/>
  <c r="Z1111" i="62"/>
  <c r="AA1111" i="62" s="1"/>
  <c r="Z1294" i="62"/>
  <c r="Z1350" i="62"/>
  <c r="Z1406" i="62"/>
  <c r="Z1462" i="62"/>
  <c r="Z1518" i="62"/>
  <c r="Z395" i="62"/>
  <c r="AA395" i="62" s="1"/>
  <c r="Z1023" i="62"/>
  <c r="AA1023" i="62" s="1"/>
  <c r="Z1187" i="62"/>
  <c r="AA1187" i="62" s="1"/>
  <c r="Z1227" i="62"/>
  <c r="AA1227" i="62" s="1"/>
  <c r="Z1259" i="62"/>
  <c r="AA1259" i="62" s="1"/>
  <c r="Z1291" i="62"/>
  <c r="Z1467" i="62"/>
  <c r="Z251" i="62"/>
  <c r="AA251" i="62" s="1"/>
  <c r="Z979" i="62"/>
  <c r="AA979" i="62" s="1"/>
  <c r="Z991" i="62"/>
  <c r="AA991" i="62" s="1"/>
  <c r="Z1043" i="62"/>
  <c r="AA1043" i="62" s="1"/>
  <c r="Z1055" i="62"/>
  <c r="AA1055" i="62" s="1"/>
  <c r="Z1091" i="62"/>
  <c r="AA1091" i="62" s="1"/>
  <c r="Z1123" i="62"/>
  <c r="AA1123" i="62" s="1"/>
  <c r="Z1143" i="62"/>
  <c r="AA1143" i="62" s="1"/>
  <c r="Z1151" i="62"/>
  <c r="AA1151" i="62" s="1"/>
  <c r="Z1159" i="62"/>
  <c r="AA1159" i="62" s="1"/>
  <c r="Z1167" i="62"/>
  <c r="AA1167" i="62" s="1"/>
  <c r="Z1175" i="62"/>
  <c r="AA1175" i="62" s="1"/>
  <c r="Z1183" i="62"/>
  <c r="AA1183" i="62" s="1"/>
  <c r="Z1191" i="62"/>
  <c r="AA1191" i="62" s="1"/>
  <c r="Z1199" i="62"/>
  <c r="AA1199" i="62" s="1"/>
  <c r="Z1207" i="62"/>
  <c r="AA1207" i="62" s="1"/>
  <c r="Z1215" i="62"/>
  <c r="AA1215" i="62" s="1"/>
  <c r="Z1223" i="62"/>
  <c r="AA1223" i="62" s="1"/>
  <c r="BD36" i="1" s="1"/>
  <c r="Z1231" i="62"/>
  <c r="AA1231" i="62" s="1"/>
  <c r="Z1239" i="62"/>
  <c r="AA1239" i="62" s="1"/>
  <c r="Z1247" i="62"/>
  <c r="AA1247" i="62" s="1"/>
  <c r="Z1255" i="62"/>
  <c r="AA1255" i="62" s="1"/>
  <c r="Z1263" i="62"/>
  <c r="AA1263" i="62" s="1"/>
  <c r="Z1271" i="62"/>
  <c r="AA1271" i="62" s="1"/>
  <c r="Z1279" i="62"/>
  <c r="AA1279" i="62" s="1"/>
  <c r="Z1287" i="62"/>
  <c r="Z1295" i="62"/>
  <c r="Z1343" i="62"/>
  <c r="Z1351" i="62"/>
  <c r="Z1399" i="62"/>
  <c r="Z1407" i="62"/>
  <c r="Z1455" i="62"/>
  <c r="Z1463" i="62"/>
  <c r="Z1511" i="62"/>
  <c r="Z1519" i="62"/>
  <c r="Z1107" i="62"/>
  <c r="AA1107" i="62" s="1"/>
  <c r="Z1147" i="62"/>
  <c r="AA1147" i="62" s="1"/>
  <c r="Z1179" i="62"/>
  <c r="AA1179" i="62" s="1"/>
  <c r="Z1219" i="62"/>
  <c r="AA1219" i="62" s="1"/>
  <c r="Z1267" i="62"/>
  <c r="AA1267" i="62" s="1"/>
  <c r="Z1347" i="62"/>
  <c r="Z1411" i="62"/>
  <c r="Z1523" i="62"/>
  <c r="Z315" i="62"/>
  <c r="AA315" i="62" s="1"/>
  <c r="Z1019" i="62"/>
  <c r="AA1019" i="62" s="1"/>
  <c r="Z1031" i="62"/>
  <c r="AA1031" i="62" s="1"/>
  <c r="Z1103" i="62"/>
  <c r="AA1103" i="62" s="1"/>
  <c r="Z1135" i="62"/>
  <c r="AA1135" i="62" s="1"/>
  <c r="Z1288" i="62"/>
  <c r="Z1296" i="62"/>
  <c r="Z1344" i="62"/>
  <c r="Z1352" i="62"/>
  <c r="Z1400" i="62"/>
  <c r="Z1408" i="62"/>
  <c r="Z1456" i="62"/>
  <c r="Z1464" i="62"/>
  <c r="Z1512" i="62"/>
  <c r="Z1520" i="62"/>
  <c r="Z1075" i="62"/>
  <c r="AA1075" i="62" s="1"/>
  <c r="Z1139" i="62"/>
  <c r="AA1139" i="62" s="1"/>
  <c r="Z1155" i="62"/>
  <c r="AA1155" i="62" s="1"/>
  <c r="Z1195" i="62"/>
  <c r="AA1195" i="62" s="1"/>
  <c r="Z1235" i="62"/>
  <c r="AA1235" i="62" s="1"/>
  <c r="Z1283" i="62"/>
  <c r="AA1283" i="62" s="1"/>
  <c r="Z1355" i="62"/>
  <c r="Z1459" i="62"/>
  <c r="Z995" i="62"/>
  <c r="AA995" i="62" s="1"/>
  <c r="Z1007" i="62"/>
  <c r="AA1007" i="62" s="1"/>
  <c r="Z1059" i="62"/>
  <c r="AA1059" i="62" s="1"/>
  <c r="Z1071" i="62"/>
  <c r="AA1071" i="62" s="1"/>
  <c r="Z1083" i="62"/>
  <c r="AA1083" i="62" s="1"/>
  <c r="Z1115" i="62"/>
  <c r="AA1115" i="62" s="1"/>
  <c r="Z1289" i="62"/>
  <c r="Z1297" i="62"/>
  <c r="Z1345" i="62"/>
  <c r="Z1353" i="62"/>
  <c r="Z1401" i="62"/>
  <c r="Z1409" i="62"/>
  <c r="Z1457" i="62"/>
  <c r="Z1465" i="62"/>
  <c r="Z1513" i="62"/>
  <c r="Z1521" i="62"/>
  <c r="Z1163" i="62"/>
  <c r="AA1163" i="62" s="1"/>
  <c r="Z1203" i="62"/>
  <c r="AA1203" i="62" s="1"/>
  <c r="Z1275" i="62"/>
  <c r="AA1275" i="62" s="1"/>
  <c r="Z1515" i="62"/>
  <c r="Z983" i="62"/>
  <c r="AA983" i="62" s="1"/>
  <c r="Z1035" i="62"/>
  <c r="AA1035" i="62" s="1"/>
  <c r="Z1047" i="62"/>
  <c r="AA1047" i="62" s="1"/>
  <c r="Z1095" i="62"/>
  <c r="AA1095" i="62" s="1"/>
  <c r="AH36" i="1" s="1"/>
  <c r="Z1127" i="62"/>
  <c r="AA1127" i="62" s="1"/>
  <c r="Z1290" i="62"/>
  <c r="Z1298" i="62"/>
  <c r="Z1346" i="62"/>
  <c r="Z1354" i="62"/>
  <c r="Z1402" i="62"/>
  <c r="Z1410" i="62"/>
  <c r="Z1458" i="62"/>
  <c r="Z1466" i="62"/>
  <c r="Z1514" i="62"/>
  <c r="Z1522" i="62"/>
  <c r="Z971" i="62"/>
  <c r="AA971" i="62" s="1"/>
  <c r="Z1011" i="62"/>
  <c r="AA1011" i="62" s="1"/>
  <c r="Z1171" i="62"/>
  <c r="AA1171" i="62" s="1"/>
  <c r="Z1211" i="62"/>
  <c r="AA1211" i="62" s="1"/>
  <c r="Z1251" i="62"/>
  <c r="AA1251" i="62" s="1"/>
  <c r="Z1299" i="62"/>
  <c r="Z1403" i="62"/>
  <c r="Z12" i="62"/>
  <c r="AA12" i="62" s="1"/>
  <c r="Z20" i="62"/>
  <c r="AA20" i="62" s="1"/>
  <c r="Z28" i="62"/>
  <c r="AA28" i="62" s="1"/>
  <c r="Z36" i="62"/>
  <c r="AA36" i="62" s="1"/>
  <c r="Z44" i="62"/>
  <c r="AA44" i="62" s="1"/>
  <c r="Z52" i="62"/>
  <c r="AA52" i="62" s="1"/>
  <c r="Z60" i="62"/>
  <c r="AA60" i="62" s="1"/>
  <c r="Z68" i="62"/>
  <c r="AA68" i="62" s="1"/>
  <c r="Z76" i="62"/>
  <c r="AA76" i="62" s="1"/>
  <c r="Z84" i="62"/>
  <c r="AA84" i="62" s="1"/>
  <c r="Z92" i="62"/>
  <c r="AA92" i="62" s="1"/>
  <c r="Z100" i="62"/>
  <c r="AA100" i="62" s="1"/>
  <c r="Z108" i="62"/>
  <c r="AA108" i="62" s="1"/>
  <c r="Z116" i="62"/>
  <c r="AA116" i="62" s="1"/>
  <c r="Z124" i="62"/>
  <c r="AA124" i="62" s="1"/>
  <c r="Z132" i="62"/>
  <c r="AA132" i="62" s="1"/>
  <c r="Z140" i="62"/>
  <c r="AA140" i="62" s="1"/>
  <c r="Z148" i="62"/>
  <c r="AA148" i="62" s="1"/>
  <c r="Z156" i="62"/>
  <c r="AA156" i="62" s="1"/>
  <c r="Z164" i="62"/>
  <c r="AA164" i="62" s="1"/>
  <c r="Z172" i="62"/>
  <c r="AA172" i="62" s="1"/>
  <c r="Z180" i="62"/>
  <c r="AA180" i="62" s="1"/>
  <c r="Z188" i="62"/>
  <c r="AA188" i="62" s="1"/>
  <c r="Z196" i="62"/>
  <c r="AA196" i="62" s="1"/>
  <c r="Z204" i="62"/>
  <c r="AA204" i="62" s="1"/>
  <c r="Z212" i="62"/>
  <c r="AA212" i="62" s="1"/>
  <c r="Z220" i="62"/>
  <c r="AA220" i="62" s="1"/>
  <c r="Z228" i="62"/>
  <c r="AA228" i="62" s="1"/>
  <c r="Z236" i="62"/>
  <c r="AA236" i="62" s="1"/>
  <c r="Z244" i="62"/>
  <c r="AA244" i="62" s="1"/>
  <c r="Z252" i="62"/>
  <c r="AA252" i="62" s="1"/>
  <c r="Z260" i="62"/>
  <c r="AA260" i="62" s="1"/>
  <c r="Z268" i="62"/>
  <c r="AA268" i="62" s="1"/>
  <c r="Z276" i="62"/>
  <c r="AA276" i="62" s="1"/>
  <c r="Z284" i="62"/>
  <c r="AA284" i="62" s="1"/>
  <c r="Z292" i="62"/>
  <c r="AA292" i="62" s="1"/>
  <c r="Z300" i="62"/>
  <c r="AA300" i="62" s="1"/>
  <c r="Z308" i="62"/>
  <c r="AA308" i="62" s="1"/>
  <c r="Z316" i="62"/>
  <c r="AA316" i="62" s="1"/>
  <c r="Z324" i="62"/>
  <c r="AA324" i="62" s="1"/>
  <c r="Z332" i="62"/>
  <c r="AA332" i="62" s="1"/>
  <c r="Z340" i="62"/>
  <c r="AA340" i="62" s="1"/>
  <c r="Z348" i="62"/>
  <c r="AA348" i="62" s="1"/>
  <c r="Z356" i="62"/>
  <c r="AA356" i="62" s="1"/>
  <c r="Z364" i="62"/>
  <c r="AA364" i="62" s="1"/>
  <c r="Z372" i="62"/>
  <c r="AA372" i="62" s="1"/>
  <c r="Z380" i="62"/>
  <c r="AA380" i="62" s="1"/>
  <c r="Z8" i="62"/>
  <c r="AA8" i="62" s="1"/>
  <c r="Z16" i="62"/>
  <c r="AA16" i="62" s="1"/>
  <c r="Z24" i="62"/>
  <c r="AA24" i="62" s="1"/>
  <c r="Z32" i="62"/>
  <c r="AA32" i="62" s="1"/>
  <c r="Z40" i="62"/>
  <c r="AA40" i="62" s="1"/>
  <c r="Z48" i="62"/>
  <c r="AA48" i="62" s="1"/>
  <c r="Z56" i="62"/>
  <c r="AA56" i="62" s="1"/>
  <c r="Z64" i="62"/>
  <c r="AA64" i="62" s="1"/>
  <c r="Z72" i="62"/>
  <c r="AA72" i="62" s="1"/>
  <c r="Z80" i="62"/>
  <c r="AA80" i="62" s="1"/>
  <c r="Z88" i="62"/>
  <c r="AA88" i="62" s="1"/>
  <c r="Z96" i="62"/>
  <c r="AA96" i="62" s="1"/>
  <c r="Z104" i="62"/>
  <c r="AA104" i="62" s="1"/>
  <c r="Z112" i="62"/>
  <c r="AA112" i="62" s="1"/>
  <c r="Z120" i="62"/>
  <c r="AA120" i="62" s="1"/>
  <c r="Z128" i="62"/>
  <c r="AA128" i="62" s="1"/>
  <c r="Z136" i="62"/>
  <c r="AA136" i="62" s="1"/>
  <c r="Z144" i="62"/>
  <c r="AA144" i="62" s="1"/>
  <c r="Z152" i="62"/>
  <c r="AA152" i="62" s="1"/>
  <c r="Z160" i="62"/>
  <c r="AA160" i="62" s="1"/>
  <c r="Z168" i="62"/>
  <c r="AA168" i="62" s="1"/>
  <c r="Z176" i="62"/>
  <c r="AA176" i="62" s="1"/>
  <c r="Z184" i="62"/>
  <c r="AA184" i="62" s="1"/>
  <c r="Z192" i="62"/>
  <c r="AA192" i="62" s="1"/>
  <c r="Z200" i="62"/>
  <c r="AA200" i="62" s="1"/>
  <c r="Z208" i="62"/>
  <c r="AA208" i="62" s="1"/>
  <c r="Z216" i="62"/>
  <c r="AA216" i="62" s="1"/>
  <c r="Z224" i="62"/>
  <c r="AA224" i="62" s="1"/>
  <c r="Z232" i="62"/>
  <c r="AA232" i="62" s="1"/>
  <c r="Z240" i="62"/>
  <c r="AA240" i="62" s="1"/>
  <c r="Z248" i="62"/>
  <c r="AA248" i="62" s="1"/>
  <c r="Z256" i="62"/>
  <c r="AA256" i="62" s="1"/>
  <c r="Z264" i="62"/>
  <c r="AA264" i="62" s="1"/>
  <c r="Z272" i="62"/>
  <c r="AA272" i="62" s="1"/>
  <c r="Z280" i="62"/>
  <c r="AA280" i="62" s="1"/>
  <c r="Z288" i="62"/>
  <c r="AA288" i="62" s="1"/>
  <c r="Z296" i="62"/>
  <c r="AA296" i="62" s="1"/>
  <c r="Z304" i="62"/>
  <c r="AA304" i="62" s="1"/>
  <c r="Z312" i="62"/>
  <c r="AA312" i="62" s="1"/>
  <c r="Z320" i="62"/>
  <c r="AA320" i="62" s="1"/>
  <c r="Z328" i="62"/>
  <c r="AA328" i="62" s="1"/>
  <c r="Z336" i="62"/>
  <c r="AA336" i="62" s="1"/>
  <c r="Z344" i="62"/>
  <c r="AA344" i="62" s="1"/>
  <c r="Z352" i="62"/>
  <c r="AA352" i="62" s="1"/>
  <c r="Z360" i="62"/>
  <c r="AA360" i="62" s="1"/>
  <c r="Z368" i="62"/>
  <c r="AA368" i="62" s="1"/>
  <c r="Z376" i="62"/>
  <c r="AA376" i="62" s="1"/>
  <c r="Z384" i="62"/>
  <c r="AA384" i="62" s="1"/>
  <c r="Z396" i="62"/>
  <c r="AA396" i="62" s="1"/>
  <c r="Z408" i="62"/>
  <c r="AA408" i="62" s="1"/>
  <c r="Z416" i="62"/>
  <c r="AA416" i="62" s="1"/>
  <c r="Z424" i="62"/>
  <c r="AA424" i="62" s="1"/>
  <c r="Z432" i="62"/>
  <c r="AA432" i="62" s="1"/>
  <c r="Z440" i="62"/>
  <c r="AA440" i="62" s="1"/>
  <c r="Z448" i="62"/>
  <c r="AA448" i="62" s="1"/>
  <c r="Z456" i="62"/>
  <c r="AA456" i="62" s="1"/>
  <c r="Z464" i="62"/>
  <c r="AA464" i="62" s="1"/>
  <c r="Z472" i="62"/>
  <c r="AA472" i="62" s="1"/>
  <c r="Z480" i="62"/>
  <c r="AA480" i="62" s="1"/>
  <c r="Z488" i="62"/>
  <c r="AA488" i="62" s="1"/>
  <c r="Z496" i="62"/>
  <c r="AA496" i="62" s="1"/>
  <c r="Z504" i="62"/>
  <c r="AA504" i="62" s="1"/>
  <c r="Z512" i="62"/>
  <c r="AA512" i="62" s="1"/>
  <c r="Z520" i="62"/>
  <c r="AA520" i="62" s="1"/>
  <c r="Z528" i="62"/>
  <c r="AA528" i="62" s="1"/>
  <c r="Z536" i="62"/>
  <c r="AA536" i="62" s="1"/>
  <c r="Z544" i="62"/>
  <c r="AA544" i="62" s="1"/>
  <c r="Z552" i="62"/>
  <c r="AA552" i="62" s="1"/>
  <c r="Z560" i="62"/>
  <c r="AA560" i="62" s="1"/>
  <c r="Z568" i="62"/>
  <c r="AA568" i="62" s="1"/>
  <c r="Z576" i="62"/>
  <c r="AA576" i="62" s="1"/>
  <c r="Z584" i="62"/>
  <c r="AA584" i="62" s="1"/>
  <c r="Z592" i="62"/>
  <c r="AA592" i="62" s="1"/>
  <c r="Z600" i="62"/>
  <c r="AA600" i="62" s="1"/>
  <c r="Z608" i="62"/>
  <c r="AA608" i="62" s="1"/>
  <c r="Z616" i="62"/>
  <c r="AA616" i="62" s="1"/>
  <c r="Z624" i="62"/>
  <c r="AA624" i="62" s="1"/>
  <c r="Z632" i="62"/>
  <c r="AA632" i="62" s="1"/>
  <c r="Z640" i="62"/>
  <c r="AA640" i="62" s="1"/>
  <c r="Z648" i="62"/>
  <c r="AA648" i="62" s="1"/>
  <c r="Z656" i="62"/>
  <c r="AA656" i="62" s="1"/>
  <c r="Z664" i="62"/>
  <c r="AA664" i="62" s="1"/>
  <c r="Z672" i="62"/>
  <c r="AA672" i="62" s="1"/>
  <c r="Z680" i="62"/>
  <c r="AA680" i="62" s="1"/>
  <c r="Z688" i="62"/>
  <c r="AA688" i="62" s="1"/>
  <c r="Z696" i="62"/>
  <c r="AA696" i="62" s="1"/>
  <c r="Z704" i="62"/>
  <c r="AA704" i="62" s="1"/>
  <c r="Z712" i="62"/>
  <c r="AA712" i="62" s="1"/>
  <c r="Z720" i="62"/>
  <c r="AA720" i="62" s="1"/>
  <c r="Z728" i="62"/>
  <c r="AA728" i="62" s="1"/>
  <c r="Z736" i="62"/>
  <c r="AA736" i="62" s="1"/>
  <c r="Z744" i="62"/>
  <c r="AA744" i="62" s="1"/>
  <c r="Z752" i="62"/>
  <c r="AA752" i="62" s="1"/>
  <c r="Z760" i="62"/>
  <c r="AA760" i="62" s="1"/>
  <c r="Z768" i="62"/>
  <c r="AA768" i="62" s="1"/>
  <c r="Z776" i="62"/>
  <c r="AA776" i="62" s="1"/>
  <c r="Z784" i="62"/>
  <c r="AA784" i="62" s="1"/>
  <c r="Z792" i="62"/>
  <c r="AA792" i="62" s="1"/>
  <c r="Z800" i="62"/>
  <c r="AA800" i="62" s="1"/>
  <c r="Z808" i="62"/>
  <c r="AA808" i="62" s="1"/>
  <c r="Z816" i="62"/>
  <c r="AA816" i="62" s="1"/>
  <c r="Z824" i="62"/>
  <c r="AA824" i="62" s="1"/>
  <c r="Z832" i="62"/>
  <c r="AA832" i="62" s="1"/>
  <c r="Z840" i="62"/>
  <c r="AA840" i="62" s="1"/>
  <c r="Z848" i="62"/>
  <c r="AA848" i="62" s="1"/>
  <c r="Z856" i="62"/>
  <c r="AA856" i="62" s="1"/>
  <c r="Z864" i="62"/>
  <c r="AA864" i="62" s="1"/>
  <c r="Z872" i="62"/>
  <c r="AA872" i="62" s="1"/>
  <c r="Z880" i="62"/>
  <c r="AA880" i="62" s="1"/>
  <c r="Z888" i="62"/>
  <c r="AA888" i="62" s="1"/>
  <c r="Z896" i="62"/>
  <c r="AA896" i="62" s="1"/>
  <c r="Z904" i="62"/>
  <c r="AA904" i="62" s="1"/>
  <c r="Z912" i="62"/>
  <c r="AA912" i="62" s="1"/>
  <c r="Z920" i="62"/>
  <c r="AA920" i="62" s="1"/>
  <c r="Z928" i="62"/>
  <c r="AA928" i="62" s="1"/>
  <c r="Z936" i="62"/>
  <c r="AA936" i="62" s="1"/>
  <c r="Z944" i="62"/>
  <c r="AA944" i="62" s="1"/>
  <c r="Z952" i="62"/>
  <c r="AA952" i="62" s="1"/>
  <c r="Z960" i="62"/>
  <c r="AA960" i="62" s="1"/>
  <c r="Z968" i="62"/>
  <c r="AA968" i="62" s="1"/>
  <c r="Z976" i="62"/>
  <c r="AA976" i="62" s="1"/>
  <c r="Z984" i="62"/>
  <c r="AA984" i="62" s="1"/>
  <c r="Z992" i="62"/>
  <c r="AA992" i="62" s="1"/>
  <c r="Z1000" i="62"/>
  <c r="AA1000" i="62" s="1"/>
  <c r="Z1008" i="62"/>
  <c r="AA1008" i="62" s="1"/>
  <c r="Z1016" i="62"/>
  <c r="AA1016" i="62" s="1"/>
  <c r="Z1024" i="62"/>
  <c r="AA1024" i="62" s="1"/>
  <c r="Z1032" i="62"/>
  <c r="AA1032" i="62" s="1"/>
  <c r="Z1040" i="62"/>
  <c r="AA1040" i="62" s="1"/>
  <c r="Z1048" i="62"/>
  <c r="AA1048" i="62" s="1"/>
  <c r="Z1056" i="62"/>
  <c r="AA1056" i="62" s="1"/>
  <c r="Z1064" i="62"/>
  <c r="AA1064" i="62" s="1"/>
  <c r="Z1072" i="62"/>
  <c r="AA1072" i="62" s="1"/>
  <c r="Z1080" i="62"/>
  <c r="AA1080" i="62" s="1"/>
  <c r="Z1088" i="62"/>
  <c r="AA1088" i="62" s="1"/>
  <c r="Z1096" i="62"/>
  <c r="AA1096" i="62" s="1"/>
  <c r="Z1104" i="62"/>
  <c r="AA1104" i="62" s="1"/>
  <c r="Z1112" i="62"/>
  <c r="AA1112" i="62" s="1"/>
  <c r="Z1120" i="62"/>
  <c r="AA1120" i="62" s="1"/>
  <c r="Z1128" i="62"/>
  <c r="AA1128" i="62" s="1"/>
  <c r="Z1136" i="62"/>
  <c r="AA1136" i="62" s="1"/>
  <c r="Z388" i="62"/>
  <c r="AA388" i="62" s="1"/>
  <c r="Z400" i="62"/>
  <c r="AA400" i="62" s="1"/>
  <c r="Z392" i="62"/>
  <c r="AA392" i="62" s="1"/>
  <c r="Z412" i="62"/>
  <c r="AA412" i="62" s="1"/>
  <c r="Z420" i="62"/>
  <c r="AA420" i="62" s="1"/>
  <c r="Z428" i="62"/>
  <c r="AA428" i="62" s="1"/>
  <c r="Z436" i="62"/>
  <c r="AA436" i="62" s="1"/>
  <c r="Z444" i="62"/>
  <c r="AA444" i="62" s="1"/>
  <c r="Z452" i="62"/>
  <c r="AA452" i="62" s="1"/>
  <c r="Z460" i="62"/>
  <c r="AA460" i="62" s="1"/>
  <c r="Z468" i="62"/>
  <c r="AA468" i="62" s="1"/>
  <c r="Z476" i="62"/>
  <c r="AA476" i="62" s="1"/>
  <c r="Z484" i="62"/>
  <c r="AA484" i="62" s="1"/>
  <c r="Z492" i="62"/>
  <c r="AA492" i="62" s="1"/>
  <c r="Z500" i="62"/>
  <c r="AA500" i="62" s="1"/>
  <c r="Z508" i="62"/>
  <c r="AA508" i="62" s="1"/>
  <c r="Z516" i="62"/>
  <c r="AA516" i="62" s="1"/>
  <c r="Z524" i="62"/>
  <c r="AA524" i="62" s="1"/>
  <c r="Z532" i="62"/>
  <c r="AA532" i="62" s="1"/>
  <c r="Z540" i="62"/>
  <c r="AA540" i="62" s="1"/>
  <c r="Z548" i="62"/>
  <c r="AA548" i="62" s="1"/>
  <c r="Z556" i="62"/>
  <c r="AA556" i="62" s="1"/>
  <c r="Z564" i="62"/>
  <c r="AA564" i="62" s="1"/>
  <c r="Z572" i="62"/>
  <c r="AA572" i="62" s="1"/>
  <c r="Z580" i="62"/>
  <c r="AA580" i="62" s="1"/>
  <c r="Z588" i="62"/>
  <c r="AA588" i="62" s="1"/>
  <c r="Z596" i="62"/>
  <c r="AA596" i="62" s="1"/>
  <c r="Z604" i="62"/>
  <c r="AA604" i="62" s="1"/>
  <c r="Z612" i="62"/>
  <c r="AA612" i="62" s="1"/>
  <c r="Z620" i="62"/>
  <c r="AA620" i="62" s="1"/>
  <c r="Z628" i="62"/>
  <c r="AA628" i="62" s="1"/>
  <c r="Z636" i="62"/>
  <c r="AA636" i="62" s="1"/>
  <c r="Z644" i="62"/>
  <c r="AA644" i="62" s="1"/>
  <c r="Z652" i="62"/>
  <c r="AA652" i="62" s="1"/>
  <c r="Z660" i="62"/>
  <c r="AA660" i="62" s="1"/>
  <c r="Z668" i="62"/>
  <c r="AA668" i="62" s="1"/>
  <c r="Z676" i="62"/>
  <c r="AA676" i="62" s="1"/>
  <c r="Z684" i="62"/>
  <c r="AA684" i="62" s="1"/>
  <c r="Z692" i="62"/>
  <c r="AA692" i="62" s="1"/>
  <c r="Z700" i="62"/>
  <c r="AA700" i="62" s="1"/>
  <c r="Z708" i="62"/>
  <c r="AA708" i="62" s="1"/>
  <c r="Z716" i="62"/>
  <c r="AA716" i="62" s="1"/>
  <c r="Z724" i="62"/>
  <c r="AA724" i="62" s="1"/>
  <c r="Z732" i="62"/>
  <c r="AA732" i="62" s="1"/>
  <c r="Z740" i="62"/>
  <c r="AA740" i="62" s="1"/>
  <c r="Z748" i="62"/>
  <c r="AA748" i="62" s="1"/>
  <c r="Z756" i="62"/>
  <c r="AA756" i="62" s="1"/>
  <c r="Z764" i="62"/>
  <c r="AA764" i="62" s="1"/>
  <c r="Z772" i="62"/>
  <c r="AA772" i="62" s="1"/>
  <c r="Z780" i="62"/>
  <c r="AA780" i="62" s="1"/>
  <c r="Z788" i="62"/>
  <c r="AA788" i="62" s="1"/>
  <c r="Z796" i="62"/>
  <c r="AA796" i="62" s="1"/>
  <c r="Z804" i="62"/>
  <c r="AA804" i="62" s="1"/>
  <c r="Z812" i="62"/>
  <c r="AA812" i="62" s="1"/>
  <c r="Z820" i="62"/>
  <c r="AA820" i="62" s="1"/>
  <c r="Z828" i="62"/>
  <c r="AA828" i="62" s="1"/>
  <c r="Z836" i="62"/>
  <c r="AA836" i="62" s="1"/>
  <c r="Z844" i="62"/>
  <c r="AA844" i="62" s="1"/>
  <c r="Z852" i="62"/>
  <c r="AA852" i="62" s="1"/>
  <c r="Z860" i="62"/>
  <c r="AA860" i="62" s="1"/>
  <c r="Z868" i="62"/>
  <c r="AA868" i="62" s="1"/>
  <c r="Z876" i="62"/>
  <c r="AA876" i="62" s="1"/>
  <c r="Z884" i="62"/>
  <c r="AA884" i="62" s="1"/>
  <c r="Z892" i="62"/>
  <c r="AA892" i="62" s="1"/>
  <c r="Z900" i="62"/>
  <c r="AA900" i="62" s="1"/>
  <c r="Z908" i="62"/>
  <c r="AA908" i="62" s="1"/>
  <c r="Z916" i="62"/>
  <c r="AA916" i="62" s="1"/>
  <c r="Z924" i="62"/>
  <c r="AA924" i="62" s="1"/>
  <c r="Z932" i="62"/>
  <c r="AA932" i="62" s="1"/>
  <c r="Z940" i="62"/>
  <c r="AA940" i="62" s="1"/>
  <c r="Z948" i="62"/>
  <c r="AA948" i="62" s="1"/>
  <c r="Z956" i="62"/>
  <c r="AA956" i="62" s="1"/>
  <c r="Z964" i="62"/>
  <c r="AA964" i="62" s="1"/>
  <c r="Z972" i="62"/>
  <c r="AA972" i="62" s="1"/>
  <c r="Z980" i="62"/>
  <c r="AA980" i="62" s="1"/>
  <c r="Z988" i="62"/>
  <c r="AA988" i="62" s="1"/>
  <c r="Z996" i="62"/>
  <c r="AA996" i="62" s="1"/>
  <c r="Z1004" i="62"/>
  <c r="AA1004" i="62" s="1"/>
  <c r="Z1012" i="62"/>
  <c r="AA1012" i="62" s="1"/>
  <c r="Z1020" i="62"/>
  <c r="AA1020" i="62" s="1"/>
  <c r="Z1028" i="62"/>
  <c r="AA1028" i="62" s="1"/>
  <c r="Z1036" i="62"/>
  <c r="AA1036" i="62" s="1"/>
  <c r="Z1044" i="62"/>
  <c r="AA1044" i="62" s="1"/>
  <c r="Z1052" i="62"/>
  <c r="AA1052" i="62" s="1"/>
  <c r="Z1060" i="62"/>
  <c r="AA1060" i="62" s="1"/>
  <c r="Z1068" i="62"/>
  <c r="AA1068" i="62" s="1"/>
  <c r="Z1076" i="62"/>
  <c r="AA1076" i="62" s="1"/>
  <c r="Z1084" i="62"/>
  <c r="AA1084" i="62" s="1"/>
  <c r="Z1092" i="62"/>
  <c r="AA1092" i="62" s="1"/>
  <c r="Z1100" i="62"/>
  <c r="AA1100" i="62" s="1"/>
  <c r="Z1108" i="62"/>
  <c r="AA1108" i="62" s="1"/>
  <c r="Z1116" i="62"/>
  <c r="AA1116" i="62" s="1"/>
  <c r="Z1124" i="62"/>
  <c r="AA1124" i="62" s="1"/>
  <c r="Z1132" i="62"/>
  <c r="AA1132" i="62" s="1"/>
  <c r="Z404" i="62"/>
  <c r="AA404" i="62" s="1"/>
  <c r="Z1140" i="62"/>
  <c r="AA1140" i="62" s="1"/>
  <c r="Z1148" i="62"/>
  <c r="AA1148" i="62" s="1"/>
  <c r="Z1156" i="62"/>
  <c r="AA1156" i="62" s="1"/>
  <c r="Z1164" i="62"/>
  <c r="AA1164" i="62" s="1"/>
  <c r="Z1172" i="62"/>
  <c r="AA1172" i="62" s="1"/>
  <c r="Z1180" i="62"/>
  <c r="AA1180" i="62" s="1"/>
  <c r="Z1188" i="62"/>
  <c r="AA1188" i="62" s="1"/>
  <c r="Z1196" i="62"/>
  <c r="AA1196" i="62" s="1"/>
  <c r="Z1204" i="62"/>
  <c r="AA1204" i="62" s="1"/>
  <c r="Z1212" i="62"/>
  <c r="AA1212" i="62" s="1"/>
  <c r="Z1220" i="62"/>
  <c r="AA1220" i="62" s="1"/>
  <c r="Z1228" i="62"/>
  <c r="AA1228" i="62" s="1"/>
  <c r="Z1236" i="62"/>
  <c r="AA1236" i="62" s="1"/>
  <c r="Z1244" i="62"/>
  <c r="AA1244" i="62" s="1"/>
  <c r="Z1252" i="62"/>
  <c r="AA1252" i="62" s="1"/>
  <c r="Z1260" i="62"/>
  <c r="AA1260" i="62" s="1"/>
  <c r="Z1268" i="62"/>
  <c r="AA1268" i="62" s="1"/>
  <c r="Z1276" i="62"/>
  <c r="AA1276" i="62" s="1"/>
  <c r="Z1284" i="62"/>
  <c r="AA1284" i="62" s="1"/>
  <c r="Z1308" i="62"/>
  <c r="Z1364" i="62"/>
  <c r="Z1420" i="62"/>
  <c r="Z1476" i="62"/>
  <c r="Z1532" i="62"/>
  <c r="Z1301" i="62"/>
  <c r="Z1309" i="62"/>
  <c r="Z1357" i="62"/>
  <c r="Z1365" i="62"/>
  <c r="Z1413" i="62"/>
  <c r="Z1421" i="62"/>
  <c r="Z1469" i="62"/>
  <c r="Z1477" i="62"/>
  <c r="Z1525" i="62"/>
  <c r="Z1533" i="62"/>
  <c r="Z1302" i="62"/>
  <c r="Z1310" i="62"/>
  <c r="Z1358" i="62"/>
  <c r="Z1366" i="62"/>
  <c r="Z1414" i="62"/>
  <c r="Z1422" i="62"/>
  <c r="Z1470" i="62"/>
  <c r="Z1478" i="62"/>
  <c r="Z1526" i="62"/>
  <c r="Z1534" i="62"/>
  <c r="Z1363" i="62"/>
  <c r="Z1531" i="62"/>
  <c r="Z1303" i="62"/>
  <c r="Z1311" i="62"/>
  <c r="Z1359" i="62"/>
  <c r="Z1367" i="62"/>
  <c r="Z1415" i="62"/>
  <c r="Z1423" i="62"/>
  <c r="Z1471" i="62"/>
  <c r="Z1479" i="62"/>
  <c r="Z1527" i="62"/>
  <c r="Z1535" i="62"/>
  <c r="Z1307" i="62"/>
  <c r="Z1144" i="62"/>
  <c r="AA1144" i="62" s="1"/>
  <c r="Z1152" i="62"/>
  <c r="AA1152" i="62" s="1"/>
  <c r="Z1160" i="62"/>
  <c r="AA1160" i="62" s="1"/>
  <c r="Z1168" i="62"/>
  <c r="AA1168" i="62" s="1"/>
  <c r="Z1176" i="62"/>
  <c r="AA1176" i="62" s="1"/>
  <c r="Z1184" i="62"/>
  <c r="AA1184" i="62" s="1"/>
  <c r="Z1192" i="62"/>
  <c r="AA1192" i="62" s="1"/>
  <c r="Z1200" i="62"/>
  <c r="AA1200" i="62" s="1"/>
  <c r="Z1208" i="62"/>
  <c r="AA1208" i="62" s="1"/>
  <c r="Z1216" i="62"/>
  <c r="AA1216" i="62" s="1"/>
  <c r="Z1224" i="62"/>
  <c r="AA1224" i="62" s="1"/>
  <c r="Z1232" i="62"/>
  <c r="AA1232" i="62" s="1"/>
  <c r="Z1240" i="62"/>
  <c r="AA1240" i="62" s="1"/>
  <c r="Z1248" i="62"/>
  <c r="AA1248" i="62" s="1"/>
  <c r="Z1256" i="62"/>
  <c r="AA1256" i="62" s="1"/>
  <c r="Z1264" i="62"/>
  <c r="AA1264" i="62" s="1"/>
  <c r="Z1272" i="62"/>
  <c r="AA1272" i="62" s="1"/>
  <c r="Z1280" i="62"/>
  <c r="AA1280" i="62" s="1"/>
  <c r="Z1304" i="62"/>
  <c r="Z1312" i="62"/>
  <c r="Z1360" i="62"/>
  <c r="Z1368" i="62"/>
  <c r="Z1416" i="62"/>
  <c r="Z1424" i="62"/>
  <c r="Z1472" i="62"/>
  <c r="Z1480" i="62"/>
  <c r="Z1528" i="62"/>
  <c r="Z1536" i="62"/>
  <c r="Z1305" i="62"/>
  <c r="Z1313" i="62"/>
  <c r="Z1361" i="62"/>
  <c r="Z1369" i="62"/>
  <c r="Z1417" i="62"/>
  <c r="Z1425" i="62"/>
  <c r="Z1473" i="62"/>
  <c r="Z1481" i="62"/>
  <c r="Z1529" i="62"/>
  <c r="Z1537" i="62"/>
  <c r="Z1419" i="62"/>
  <c r="Z1475" i="62"/>
  <c r="Z1306" i="62"/>
  <c r="Z1314" i="62"/>
  <c r="Z1362" i="62"/>
  <c r="Z1370" i="62"/>
  <c r="Z1418" i="62"/>
  <c r="Z1426" i="62"/>
  <c r="Z1474" i="62"/>
  <c r="Z1482" i="62"/>
  <c r="Z1530" i="62"/>
  <c r="Z1538" i="62"/>
  <c r="J31" i="55"/>
  <c r="BE44" i="1" s="1"/>
  <c r="J21" i="55"/>
  <c r="J30" i="55"/>
  <c r="J24" i="55"/>
  <c r="J27" i="55"/>
  <c r="J26" i="55"/>
  <c r="J23" i="55"/>
  <c r="J29" i="55"/>
  <c r="J20" i="55"/>
  <c r="J19" i="55"/>
  <c r="J25" i="55"/>
  <c r="J28" i="55"/>
  <c r="J22" i="55"/>
  <c r="AV25" i="60"/>
  <c r="AV31" i="60"/>
  <c r="AV34" i="60"/>
  <c r="AV22" i="60"/>
  <c r="AV28" i="60"/>
  <c r="AV30" i="60"/>
  <c r="AV33" i="60"/>
  <c r="AV24" i="60"/>
  <c r="AV29" i="60"/>
  <c r="AV26" i="60"/>
  <c r="AV21" i="60"/>
  <c r="AS36" i="1" l="1"/>
  <c r="L36" i="1"/>
  <c r="BC36" i="1"/>
  <c r="M209" i="67"/>
  <c r="X192" i="67" s="1"/>
  <c r="L209" i="67"/>
  <c r="W192" i="67" s="1"/>
  <c r="K209" i="67"/>
  <c r="V192" i="67" s="1"/>
  <c r="J209" i="67"/>
  <c r="U192" i="67" s="1"/>
  <c r="I209" i="67"/>
  <c r="T192" i="67" s="1"/>
  <c r="M44" i="1"/>
  <c r="W36" i="1"/>
  <c r="AR36" i="1"/>
  <c r="K36" i="1"/>
  <c r="BB36" i="1"/>
  <c r="AQ36" i="1"/>
  <c r="AF36" i="1"/>
  <c r="V36" i="1"/>
  <c r="AG36" i="1"/>
  <c r="U36" i="1"/>
  <c r="J36" i="1"/>
  <c r="BA36" i="1"/>
  <c r="AP36" i="1"/>
  <c r="AE36" i="1"/>
  <c r="T36" i="1"/>
  <c r="I36" i="1"/>
  <c r="AT44" i="1"/>
  <c r="K218" i="67"/>
  <c r="V216" i="67" s="1"/>
  <c r="AI44" i="1"/>
  <c r="X44" i="1"/>
  <c r="L218" i="67"/>
  <c r="W216" i="67" s="1"/>
  <c r="I218" i="67"/>
  <c r="M218" i="67"/>
  <c r="X216" i="67" s="1"/>
  <c r="J218" i="67"/>
  <c r="U216" i="67" s="1"/>
  <c r="BC44" i="1"/>
  <c r="BB44" i="1"/>
  <c r="BD44" i="1"/>
  <c r="BA44" i="1"/>
  <c r="AV27" i="60"/>
  <c r="AS20" i="60"/>
  <c r="AS21" i="60"/>
  <c r="AS22" i="60"/>
  <c r="AS23" i="60"/>
  <c r="AS24" i="60"/>
  <c r="AS25" i="60"/>
  <c r="AS26" i="60"/>
  <c r="AS27" i="60"/>
  <c r="AS28" i="60"/>
  <c r="AS29" i="60"/>
  <c r="AS30" i="60"/>
  <c r="AS31" i="60"/>
  <c r="AS33" i="60"/>
  <c r="AS34" i="60"/>
  <c r="AP20" i="60"/>
  <c r="AP21" i="60"/>
  <c r="AP22" i="60"/>
  <c r="AP23" i="60"/>
  <c r="AP24" i="60"/>
  <c r="AP25" i="60"/>
  <c r="AP26" i="60"/>
  <c r="AP27" i="60"/>
  <c r="AP28" i="60"/>
  <c r="AP29" i="60"/>
  <c r="AP30" i="60"/>
  <c r="AP31" i="60"/>
  <c r="AP32" i="60"/>
  <c r="AP33" i="60"/>
  <c r="AP34" i="60"/>
  <c r="I234" i="67" l="1"/>
  <c r="I227" i="67"/>
  <c r="J227" i="67"/>
  <c r="J234" i="67"/>
  <c r="K227" i="67"/>
  <c r="K234" i="67"/>
  <c r="L234" i="67"/>
  <c r="L227" i="67"/>
  <c r="M227" i="67"/>
  <c r="M234" i="67"/>
  <c r="BE36" i="1"/>
  <c r="X36" i="1"/>
  <c r="AT36" i="1"/>
  <c r="AI36" i="1"/>
  <c r="M36" i="1"/>
  <c r="AH44" i="1"/>
  <c r="AF44" i="1"/>
  <c r="AG44" i="1"/>
  <c r="AE44" i="1"/>
  <c r="W44" i="1"/>
  <c r="U44" i="1"/>
  <c r="V44" i="1"/>
  <c r="T44" i="1"/>
  <c r="AR44" i="1"/>
  <c r="AQ44" i="1"/>
  <c r="AS44" i="1"/>
  <c r="AP44" i="1"/>
  <c r="I44" i="1"/>
  <c r="J44" i="1"/>
  <c r="L44" i="1"/>
  <c r="K44" i="1"/>
  <c r="AF20" i="60"/>
  <c r="AK20" i="60" s="1"/>
  <c r="AF21" i="60"/>
  <c r="AK21" i="60" s="1"/>
  <c r="AF22" i="60"/>
  <c r="AK22" i="60" s="1"/>
  <c r="AF23" i="60"/>
  <c r="AK23" i="60" s="1"/>
  <c r="AF24" i="60"/>
  <c r="AK24" i="60" s="1"/>
  <c r="AF25" i="60"/>
  <c r="AK25" i="60" s="1"/>
  <c r="AF26" i="60"/>
  <c r="AK26" i="60" s="1"/>
  <c r="AF27" i="60"/>
  <c r="AK27" i="60" s="1"/>
  <c r="AF28" i="60"/>
  <c r="AK28" i="60" s="1"/>
  <c r="AF29" i="60"/>
  <c r="AK29" i="60" s="1"/>
  <c r="AF30" i="60"/>
  <c r="AK30" i="60" s="1"/>
  <c r="AF31" i="60"/>
  <c r="AK31" i="60" s="1"/>
  <c r="AF32" i="60"/>
  <c r="AK32" i="60" s="1"/>
  <c r="AF33" i="60"/>
  <c r="AK33" i="60" s="1"/>
  <c r="AF34" i="60"/>
  <c r="AK34" i="60" s="1"/>
  <c r="AC20" i="60"/>
  <c r="AC21" i="60"/>
  <c r="AC22" i="60"/>
  <c r="AC23" i="60"/>
  <c r="AC24" i="60"/>
  <c r="AC25" i="60"/>
  <c r="AC26" i="60"/>
  <c r="AC27" i="60"/>
  <c r="AC28" i="60"/>
  <c r="AC29" i="60"/>
  <c r="AC30" i="60"/>
  <c r="AC31" i="60"/>
  <c r="AC32" i="60"/>
  <c r="AC33" i="60"/>
  <c r="AC34" i="60"/>
  <c r="AA12" i="11"/>
  <c r="AA13" i="11"/>
  <c r="AA33" i="11"/>
  <c r="AA36" i="11"/>
  <c r="AA37" i="11"/>
  <c r="AA40" i="11"/>
  <c r="AA46" i="11"/>
  <c r="AA47" i="11"/>
  <c r="AA48" i="11"/>
  <c r="AA49" i="11"/>
  <c r="AA50" i="11"/>
  <c r="AA51" i="11"/>
  <c r="AA52" i="11"/>
  <c r="AA53" i="11"/>
  <c r="D19" i="55"/>
  <c r="D20" i="55"/>
  <c r="D21" i="55"/>
  <c r="D22" i="55"/>
  <c r="D23" i="55"/>
  <c r="D24" i="55"/>
  <c r="D25" i="55"/>
  <c r="D26" i="55"/>
  <c r="D27" i="55"/>
  <c r="D28" i="55"/>
  <c r="D29" i="55"/>
  <c r="D30" i="55"/>
  <c r="D31" i="55"/>
  <c r="D32" i="55"/>
  <c r="D33" i="55"/>
  <c r="G17" i="61" l="1"/>
  <c r="G18" i="61"/>
  <c r="G19" i="61"/>
  <c r="G20" i="61"/>
  <c r="G21" i="61"/>
  <c r="G22" i="61"/>
  <c r="G23" i="61"/>
  <c r="G24" i="61"/>
  <c r="G25" i="61"/>
  <c r="G26" i="61"/>
  <c r="G27" i="61"/>
  <c r="G28" i="61"/>
  <c r="G29" i="61"/>
  <c r="G30" i="61"/>
  <c r="G31" i="61"/>
  <c r="G32" i="61"/>
  <c r="G33" i="61"/>
  <c r="G34" i="61"/>
  <c r="G35" i="61"/>
  <c r="G36" i="61"/>
  <c r="G37" i="61"/>
  <c r="G38" i="61"/>
  <c r="G39" i="61"/>
  <c r="G40" i="61"/>
  <c r="G41" i="61"/>
  <c r="G42" i="61"/>
  <c r="G43" i="61"/>
  <c r="G44" i="61"/>
  <c r="G45" i="61"/>
  <c r="G46" i="61"/>
  <c r="G47" i="61"/>
  <c r="G48" i="61"/>
  <c r="BC20" i="60"/>
  <c r="BC21" i="60"/>
  <c r="BC22" i="60"/>
  <c r="BC23" i="60"/>
  <c r="BC24" i="60"/>
  <c r="BC25" i="60"/>
  <c r="BC26" i="60"/>
  <c r="BC27" i="60"/>
  <c r="BC28" i="60"/>
  <c r="BC29" i="60"/>
  <c r="BC30" i="60"/>
  <c r="BC31" i="60"/>
  <c r="BC32" i="60"/>
  <c r="BC33" i="60"/>
  <c r="BC34" i="60"/>
  <c r="BC35" i="60"/>
  <c r="BC36" i="60"/>
  <c r="BC37" i="60"/>
  <c r="BC38" i="60"/>
  <c r="BC39" i="60"/>
  <c r="BC40" i="60"/>
  <c r="BC41" i="60"/>
  <c r="BC42" i="60"/>
  <c r="BC43" i="60"/>
  <c r="BC44" i="60"/>
  <c r="BC45" i="60"/>
  <c r="BC46" i="60"/>
  <c r="BC47" i="60"/>
  <c r="BC48" i="60"/>
  <c r="BC49" i="60"/>
  <c r="BC50" i="60"/>
  <c r="BC51" i="60"/>
  <c r="BC52" i="60"/>
  <c r="BC53" i="60"/>
  <c r="BC54" i="60"/>
  <c r="BC55" i="60"/>
  <c r="BC56" i="60"/>
  <c r="BC57" i="60"/>
  <c r="BC58" i="60"/>
  <c r="BC59" i="60"/>
  <c r="BC60" i="60"/>
  <c r="BC61" i="60"/>
  <c r="BC62" i="60"/>
  <c r="BC63" i="60"/>
  <c r="BC64" i="60"/>
  <c r="Z20" i="60"/>
  <c r="Z21" i="60"/>
  <c r="Z22" i="60"/>
  <c r="Z23" i="60"/>
  <c r="Z24" i="60"/>
  <c r="Z25" i="60"/>
  <c r="Z26" i="60"/>
  <c r="Z27" i="60"/>
  <c r="Z28" i="60"/>
  <c r="Z29" i="60"/>
  <c r="Z30" i="60"/>
  <c r="Z31" i="60"/>
  <c r="Z32" i="60"/>
  <c r="Z33" i="60"/>
  <c r="Z34" i="60"/>
  <c r="Q20" i="60"/>
  <c r="Q21" i="60"/>
  <c r="Q22" i="60"/>
  <c r="Q23" i="60"/>
  <c r="Q24" i="60"/>
  <c r="Q25" i="60"/>
  <c r="Q26" i="60"/>
  <c r="Q27" i="60"/>
  <c r="Q28" i="60"/>
  <c r="Q29" i="60"/>
  <c r="Q30" i="60"/>
  <c r="Q31" i="60"/>
  <c r="Q32" i="60"/>
  <c r="Q33" i="60"/>
  <c r="Q34" i="60"/>
  <c r="V38" i="1" l="1"/>
  <c r="V37" i="1" s="1"/>
  <c r="AR38" i="1"/>
  <c r="AR37" i="1" s="1"/>
  <c r="BC38" i="1"/>
  <c r="BC37" i="1" s="1"/>
  <c r="T38" i="1"/>
  <c r="AE38" i="1"/>
  <c r="AP38" i="1"/>
  <c r="BA38" i="1"/>
  <c r="U38" i="1"/>
  <c r="U37" i="1" s="1"/>
  <c r="AF38" i="1"/>
  <c r="AF37" i="1" s="1"/>
  <c r="AQ38" i="1"/>
  <c r="AQ37" i="1" s="1"/>
  <c r="BB38" i="1"/>
  <c r="BB37" i="1" s="1"/>
  <c r="AG38" i="1"/>
  <c r="AG37" i="1" s="1"/>
  <c r="K38" i="1"/>
  <c r="J38" i="1"/>
  <c r="C39" i="62"/>
  <c r="E39" i="62"/>
  <c r="C40" i="62"/>
  <c r="E40" i="62"/>
  <c r="C37" i="62"/>
  <c r="E37" i="62"/>
  <c r="C30" i="62"/>
  <c r="E30" i="62"/>
  <c r="C31" i="62"/>
  <c r="E31" i="62"/>
  <c r="C28" i="62"/>
  <c r="E28" i="62"/>
  <c r="C21" i="62"/>
  <c r="E21" i="62"/>
  <c r="C22" i="62"/>
  <c r="E22" i="62"/>
  <c r="C19" i="62"/>
  <c r="E19" i="62"/>
  <c r="E12" i="62"/>
  <c r="C12" i="62"/>
  <c r="E11" i="62"/>
  <c r="C11" i="62"/>
  <c r="E9" i="62"/>
  <c r="C9" i="62"/>
  <c r="C16" i="62"/>
  <c r="E16" i="62"/>
  <c r="C10" i="62"/>
  <c r="C20" i="62"/>
  <c r="C29" i="62"/>
  <c r="C38" i="62"/>
  <c r="C7" i="62"/>
  <c r="C17" i="62"/>
  <c r="C26" i="62"/>
  <c r="C35" i="62"/>
  <c r="C8" i="62"/>
  <c r="C18" i="62"/>
  <c r="C27" i="62"/>
  <c r="C36" i="62"/>
  <c r="C15" i="62"/>
  <c r="C25" i="62"/>
  <c r="C34" i="62"/>
  <c r="C43" i="62"/>
  <c r="C14" i="62"/>
  <c r="C24" i="62"/>
  <c r="C33" i="62"/>
  <c r="C42" i="62"/>
  <c r="C13" i="62"/>
  <c r="C23" i="62"/>
  <c r="C32" i="62"/>
  <c r="C41" i="62"/>
  <c r="E10" i="62"/>
  <c r="E20" i="62"/>
  <c r="E29" i="62"/>
  <c r="E7" i="62"/>
  <c r="E17" i="62"/>
  <c r="E26" i="62"/>
  <c r="E35" i="62"/>
  <c r="E8" i="62"/>
  <c r="E18" i="62"/>
  <c r="E27" i="62"/>
  <c r="E36" i="62"/>
  <c r="E15" i="62"/>
  <c r="E25" i="62"/>
  <c r="E34" i="62"/>
  <c r="E43" i="62"/>
  <c r="E14" i="62"/>
  <c r="E24" i="62"/>
  <c r="E33" i="62"/>
  <c r="E42" i="62"/>
  <c r="E13" i="62"/>
  <c r="E23" i="62"/>
  <c r="X38" i="1" l="1"/>
  <c r="T37" i="1"/>
  <c r="X37" i="1" s="1"/>
  <c r="AP37" i="1"/>
  <c r="AT37" i="1" s="1"/>
  <c r="AT38" i="1"/>
  <c r="AI38" i="1"/>
  <c r="AE37" i="1"/>
  <c r="AI37" i="1" s="1"/>
  <c r="BE38" i="1"/>
  <c r="BA37" i="1"/>
  <c r="BE37" i="1" s="1"/>
  <c r="Z45" i="11"/>
  <c r="AA45" i="11" s="1"/>
  <c r="Z44" i="11"/>
  <c r="AA44" i="11" s="1"/>
  <c r="Z43" i="11"/>
  <c r="AA43" i="11" s="1"/>
  <c r="Z42" i="11"/>
  <c r="AA42" i="11" s="1"/>
  <c r="Z41" i="11"/>
  <c r="AA41" i="11" s="1"/>
  <c r="Z39" i="11"/>
  <c r="AA39" i="11" s="1"/>
  <c r="Z38" i="11"/>
  <c r="AA38" i="11" s="1"/>
  <c r="Z35" i="11"/>
  <c r="AA35" i="11" s="1"/>
  <c r="Z34" i="11"/>
  <c r="AA34" i="11" s="1"/>
  <c r="Z32" i="11"/>
  <c r="AA32" i="11" s="1"/>
  <c r="Z31" i="11"/>
  <c r="AA31" i="11" s="1"/>
  <c r="Z30" i="11"/>
  <c r="AA30" i="11" s="1"/>
  <c r="Z29" i="11"/>
  <c r="AA29" i="11" s="1"/>
  <c r="Z28" i="11"/>
  <c r="AA28" i="11" s="1"/>
  <c r="Z27" i="11"/>
  <c r="AA27" i="11" s="1"/>
  <c r="Z26" i="11"/>
  <c r="AA26" i="11" s="1"/>
  <c r="Z25" i="11"/>
  <c r="AA25" i="11" s="1"/>
  <c r="Z24" i="11"/>
  <c r="AA24" i="11" s="1"/>
  <c r="Z23" i="11"/>
  <c r="AA23" i="11" s="1"/>
  <c r="Z22" i="11"/>
  <c r="AA22" i="11" s="1"/>
  <c r="Z21" i="11"/>
  <c r="AA21" i="11" s="1"/>
  <c r="Z20" i="11"/>
  <c r="AA20" i="11" s="1"/>
  <c r="Z19" i="11"/>
  <c r="AA19" i="11" s="1"/>
  <c r="Z18" i="11"/>
  <c r="AA18" i="11" s="1"/>
  <c r="Z17" i="11"/>
  <c r="AA17" i="11" s="1"/>
  <c r="Z16" i="11"/>
  <c r="AA16" i="11" s="1"/>
  <c r="Z15" i="11"/>
  <c r="AA15" i="11" s="1"/>
  <c r="Z14" i="11"/>
  <c r="AA14" i="11" s="1"/>
  <c r="Z11" i="11"/>
  <c r="AA11" i="11" s="1"/>
  <c r="Z10" i="11"/>
  <c r="AA10" i="11" s="1"/>
  <c r="Z9" i="11"/>
  <c r="AA9" i="11" s="1"/>
  <c r="Z8" i="11"/>
  <c r="AA8" i="11" s="1"/>
  <c r="Z7" i="11"/>
  <c r="AA7" i="11" s="1"/>
  <c r="Z6" i="11"/>
  <c r="AA6" i="11" s="1"/>
  <c r="Z5" i="11"/>
  <c r="AA5" i="11" s="1"/>
  <c r="Z4" i="11"/>
  <c r="AA4" i="11" s="1"/>
  <c r="I8" i="61" l="1"/>
  <c r="H17" i="61" s="1"/>
  <c r="K17" i="61" s="1"/>
  <c r="D17" i="61"/>
  <c r="E17" i="61"/>
  <c r="F9" i="61"/>
  <c r="I9" i="61" s="1"/>
  <c r="H18" i="61" s="1"/>
  <c r="D18" i="61"/>
  <c r="E18" i="61"/>
  <c r="F10" i="61"/>
  <c r="I10" i="61" s="1"/>
  <c r="D19" i="61"/>
  <c r="E19" i="61"/>
  <c r="H19" i="61"/>
  <c r="D20" i="61"/>
  <c r="E20" i="61"/>
  <c r="D21" i="61"/>
  <c r="E21" i="61"/>
  <c r="H21" i="61"/>
  <c r="D22" i="61"/>
  <c r="E22" i="61"/>
  <c r="D23" i="61"/>
  <c r="E23" i="61"/>
  <c r="D24" i="61"/>
  <c r="E24" i="61"/>
  <c r="D25" i="61"/>
  <c r="E25" i="61"/>
  <c r="H25" i="61"/>
  <c r="D26" i="61"/>
  <c r="E26" i="61"/>
  <c r="D27" i="61"/>
  <c r="E27" i="61"/>
  <c r="H27" i="61"/>
  <c r="D28" i="61"/>
  <c r="E28" i="61"/>
  <c r="D29" i="61"/>
  <c r="E29" i="61"/>
  <c r="D30" i="61"/>
  <c r="E30" i="61"/>
  <c r="D31" i="61"/>
  <c r="E31" i="61"/>
  <c r="D32" i="61"/>
  <c r="E32" i="61"/>
  <c r="D33" i="61"/>
  <c r="E33" i="61"/>
  <c r="D34" i="61"/>
  <c r="E34" i="61"/>
  <c r="H34" i="61"/>
  <c r="D35" i="61"/>
  <c r="E35" i="61"/>
  <c r="D36" i="61"/>
  <c r="E36" i="61"/>
  <c r="D37" i="61"/>
  <c r="E37" i="61"/>
  <c r="D38" i="61"/>
  <c r="E38" i="61"/>
  <c r="D39" i="61"/>
  <c r="E39" i="61"/>
  <c r="D40" i="61"/>
  <c r="E40" i="61"/>
  <c r="D41" i="61"/>
  <c r="E41" i="61"/>
  <c r="D42" i="61"/>
  <c r="E42" i="61"/>
  <c r="D43" i="61"/>
  <c r="E43" i="61"/>
  <c r="H43" i="61"/>
  <c r="D44" i="61"/>
  <c r="E44" i="61"/>
  <c r="D45" i="61"/>
  <c r="E45" i="61"/>
  <c r="D46" i="61"/>
  <c r="E46" i="61"/>
  <c r="D47" i="61"/>
  <c r="E47" i="61"/>
  <c r="D48" i="61"/>
  <c r="E48" i="61"/>
  <c r="G20" i="60"/>
  <c r="J20" i="60" s="1"/>
  <c r="X20" i="60"/>
  <c r="AG20" i="60"/>
  <c r="AH20" i="60" s="1"/>
  <c r="BD20" i="60"/>
  <c r="X21" i="60"/>
  <c r="AG21" i="60"/>
  <c r="BD21" i="60"/>
  <c r="G22" i="60"/>
  <c r="J22" i="60" s="1"/>
  <c r="K22" i="60" s="1"/>
  <c r="X22" i="60"/>
  <c r="AG22" i="60"/>
  <c r="BD22" i="60"/>
  <c r="X23" i="60"/>
  <c r="AG23" i="60"/>
  <c r="BD23" i="60"/>
  <c r="X24" i="60"/>
  <c r="AG24" i="60"/>
  <c r="BD24" i="60"/>
  <c r="X25" i="60"/>
  <c r="AG25" i="60"/>
  <c r="BD25" i="60"/>
  <c r="BD26" i="60"/>
  <c r="X26" i="60"/>
  <c r="AG26" i="60"/>
  <c r="BD27" i="60"/>
  <c r="X27" i="60"/>
  <c r="AG27" i="60"/>
  <c r="BD28" i="60"/>
  <c r="BG28" i="60"/>
  <c r="X28" i="60"/>
  <c r="AG28" i="60"/>
  <c r="BD29" i="60"/>
  <c r="BD30" i="60"/>
  <c r="X29" i="60"/>
  <c r="AG29" i="60"/>
  <c r="BD31" i="60"/>
  <c r="BD32" i="60"/>
  <c r="X30" i="60"/>
  <c r="AG30" i="60"/>
  <c r="BD33" i="60"/>
  <c r="BD34" i="60"/>
  <c r="X31" i="60"/>
  <c r="AG31" i="60"/>
  <c r="BD35" i="60"/>
  <c r="BD36" i="60"/>
  <c r="X32" i="60"/>
  <c r="AG32" i="60"/>
  <c r="BD37" i="60"/>
  <c r="X33" i="60"/>
  <c r="AG33" i="60"/>
  <c r="AH33" i="60" s="1"/>
  <c r="BD38" i="60"/>
  <c r="X34" i="60"/>
  <c r="AG34" i="60"/>
  <c r="BD39" i="60"/>
  <c r="BD40" i="60"/>
  <c r="BD41" i="60"/>
  <c r="BD42" i="60"/>
  <c r="BD43" i="60"/>
  <c r="BD44" i="60"/>
  <c r="BD45" i="60"/>
  <c r="BD46" i="60"/>
  <c r="BD47" i="60"/>
  <c r="BD48" i="60"/>
  <c r="BD49" i="60"/>
  <c r="BD50" i="60"/>
  <c r="BD51" i="60"/>
  <c r="BD52" i="60"/>
  <c r="BD53" i="60"/>
  <c r="BD54" i="60"/>
  <c r="BD55" i="60"/>
  <c r="BD56" i="60"/>
  <c r="BD57" i="60"/>
  <c r="BD58" i="60"/>
  <c r="BD59" i="60"/>
  <c r="BD60" i="60"/>
  <c r="BD61" i="60"/>
  <c r="BD62" i="60"/>
  <c r="BD63" i="60"/>
  <c r="BD64" i="60"/>
  <c r="AG17" i="59"/>
  <c r="AH17" i="59"/>
  <c r="AI17" i="59"/>
  <c r="AJ17" i="59"/>
  <c r="AK17" i="59"/>
  <c r="AL17" i="59"/>
  <c r="AM17" i="59"/>
  <c r="AN17" i="59"/>
  <c r="AO17" i="59"/>
  <c r="AY17" i="59"/>
  <c r="AZ17" i="59" s="1"/>
  <c r="AG18" i="59"/>
  <c r="AH18" i="59"/>
  <c r="AI18" i="59"/>
  <c r="AJ18" i="59"/>
  <c r="AK18" i="59"/>
  <c r="AL18" i="59"/>
  <c r="AM18" i="59"/>
  <c r="AN18" i="59"/>
  <c r="AO18" i="59"/>
  <c r="AY18" i="59"/>
  <c r="AG19" i="59"/>
  <c r="AH19" i="59"/>
  <c r="AI19" i="59"/>
  <c r="AJ19" i="59"/>
  <c r="AK19" i="59"/>
  <c r="AL19" i="59"/>
  <c r="AM19" i="59"/>
  <c r="AN19" i="59"/>
  <c r="AO19" i="59"/>
  <c r="AY19" i="59"/>
  <c r="AG20" i="59"/>
  <c r="AH20" i="59"/>
  <c r="AI20" i="59"/>
  <c r="AJ20" i="59"/>
  <c r="AK20" i="59"/>
  <c r="AL20" i="59"/>
  <c r="AM20" i="59"/>
  <c r="AN20" i="59"/>
  <c r="AO20" i="59"/>
  <c r="AY20" i="59"/>
  <c r="AG21" i="59"/>
  <c r="AH21" i="59"/>
  <c r="AI21" i="59"/>
  <c r="AJ21" i="59"/>
  <c r="AK21" i="59"/>
  <c r="AL21" i="59"/>
  <c r="AM21" i="59"/>
  <c r="AN21" i="59"/>
  <c r="AO21" i="59"/>
  <c r="AY21" i="59"/>
  <c r="AG22" i="59"/>
  <c r="AH22" i="59"/>
  <c r="AI22" i="59"/>
  <c r="AJ22" i="59"/>
  <c r="AK22" i="59"/>
  <c r="AL22" i="59"/>
  <c r="AM22" i="59"/>
  <c r="AN22" i="59"/>
  <c r="AO22" i="59"/>
  <c r="AY22" i="59"/>
  <c r="AG23" i="59"/>
  <c r="AH23" i="59"/>
  <c r="AI23" i="59"/>
  <c r="AJ23" i="59"/>
  <c r="AK23" i="59"/>
  <c r="AL23" i="59"/>
  <c r="AM23" i="59"/>
  <c r="AN23" i="59"/>
  <c r="AO23" i="59"/>
  <c r="AY23" i="59"/>
  <c r="AG24" i="59"/>
  <c r="AH24" i="59"/>
  <c r="AI24" i="59"/>
  <c r="AJ24" i="59"/>
  <c r="AK24" i="59"/>
  <c r="AL24" i="59"/>
  <c r="AM24" i="59"/>
  <c r="AN24" i="59"/>
  <c r="AO24" i="59"/>
  <c r="AY24" i="59"/>
  <c r="AG25" i="59"/>
  <c r="AH25" i="59"/>
  <c r="AI25" i="59"/>
  <c r="AJ25" i="59"/>
  <c r="AK25" i="59"/>
  <c r="AL25" i="59"/>
  <c r="AM25" i="59"/>
  <c r="AN25" i="59"/>
  <c r="AO25" i="59"/>
  <c r="AY25" i="59"/>
  <c r="AG26" i="59"/>
  <c r="AH26" i="59"/>
  <c r="AI26" i="59"/>
  <c r="AJ26" i="59"/>
  <c r="AK26" i="59"/>
  <c r="AL26" i="59"/>
  <c r="AM26" i="59"/>
  <c r="AN26" i="59"/>
  <c r="AO26" i="59"/>
  <c r="AY26" i="59"/>
  <c r="AG27" i="59"/>
  <c r="AH27" i="59"/>
  <c r="AI27" i="59"/>
  <c r="AJ27" i="59"/>
  <c r="AK27" i="59"/>
  <c r="AL27" i="59"/>
  <c r="AM27" i="59"/>
  <c r="AN27" i="59"/>
  <c r="AO27" i="59"/>
  <c r="AY27" i="59"/>
  <c r="AG28" i="59"/>
  <c r="AH28" i="59"/>
  <c r="AI28" i="59"/>
  <c r="AJ28" i="59"/>
  <c r="AK28" i="59"/>
  <c r="AL28" i="59"/>
  <c r="AM28" i="59"/>
  <c r="AN28" i="59"/>
  <c r="AO28" i="59"/>
  <c r="AY28" i="59"/>
  <c r="AG29" i="59"/>
  <c r="AH29" i="59"/>
  <c r="AI29" i="59"/>
  <c r="AJ29" i="59"/>
  <c r="AK29" i="59"/>
  <c r="AL29" i="59"/>
  <c r="AM29" i="59"/>
  <c r="AN29" i="59"/>
  <c r="AO29" i="59"/>
  <c r="AY29" i="59"/>
  <c r="AG30" i="59"/>
  <c r="AH30" i="59"/>
  <c r="AI30" i="59"/>
  <c r="AJ30" i="59"/>
  <c r="AK30" i="59"/>
  <c r="AL30" i="59"/>
  <c r="AM30" i="59"/>
  <c r="AN30" i="59"/>
  <c r="AO30" i="59"/>
  <c r="AY30" i="59"/>
  <c r="AG31" i="59"/>
  <c r="AH31" i="59"/>
  <c r="AI31" i="59"/>
  <c r="AJ31" i="59"/>
  <c r="AK31" i="59"/>
  <c r="AL31" i="59"/>
  <c r="AM31" i="59"/>
  <c r="AN31" i="59"/>
  <c r="AO31" i="59"/>
  <c r="AY31" i="59"/>
  <c r="AH26" i="60" l="1"/>
  <c r="BG41" i="60" s="1"/>
  <c r="AH32" i="60"/>
  <c r="BG56" i="60" s="1"/>
  <c r="AH30" i="60"/>
  <c r="BG53" i="60" s="1"/>
  <c r="AH28" i="60"/>
  <c r="BG38" i="60" s="1"/>
  <c r="AH21" i="60"/>
  <c r="BG26" i="60" s="1"/>
  <c r="AH23" i="60"/>
  <c r="BG32" i="60" s="1"/>
  <c r="AH34" i="60"/>
  <c r="BG62" i="60" s="1"/>
  <c r="BG23" i="60"/>
  <c r="AH31" i="60"/>
  <c r="BG47" i="60" s="1"/>
  <c r="AH29" i="60"/>
  <c r="BG50" i="60" s="1"/>
  <c r="AH27" i="60"/>
  <c r="BG44" i="60" s="1"/>
  <c r="AH22" i="60"/>
  <c r="AH25" i="60"/>
  <c r="BG29" i="60" s="1"/>
  <c r="AH24" i="60"/>
  <c r="BG59" i="60"/>
  <c r="K18" i="61"/>
  <c r="AZ31" i="59"/>
  <c r="AZ23" i="59"/>
  <c r="AZ29" i="59"/>
  <c r="AZ21" i="59"/>
  <c r="AZ25" i="59"/>
  <c r="C9" i="29"/>
  <c r="K20" i="60"/>
  <c r="H39" i="61"/>
  <c r="K39" i="61" s="1"/>
  <c r="H29" i="61"/>
  <c r="K29" i="61" s="1"/>
  <c r="H41" i="61"/>
  <c r="K41" i="61" s="1"/>
  <c r="H32" i="61"/>
  <c r="K32" i="61" s="1"/>
  <c r="H47" i="61"/>
  <c r="K47" i="61" s="1"/>
  <c r="H45" i="61"/>
  <c r="K45" i="61" s="1"/>
  <c r="H37" i="61"/>
  <c r="K37" i="61" s="1"/>
  <c r="H23" i="61"/>
  <c r="K23" i="61" s="1"/>
  <c r="AZ27" i="59"/>
  <c r="AZ19" i="59"/>
  <c r="H42" i="61"/>
  <c r="K42" i="61" s="1"/>
  <c r="AP27" i="59"/>
  <c r="AQ27" i="59" s="1"/>
  <c r="BA27" i="59" s="1"/>
  <c r="AZ30" i="59"/>
  <c r="AZ26" i="59"/>
  <c r="AZ22" i="59"/>
  <c r="AZ18" i="59"/>
  <c r="AZ28" i="59"/>
  <c r="AZ24" i="59"/>
  <c r="AZ20" i="59"/>
  <c r="K43" i="61"/>
  <c r="H31" i="61"/>
  <c r="H36" i="61"/>
  <c r="K36" i="61" s="1"/>
  <c r="H33" i="61"/>
  <c r="K33" i="61" s="1"/>
  <c r="H30" i="61"/>
  <c r="K30" i="61" s="1"/>
  <c r="H24" i="61"/>
  <c r="K24" i="61" s="1"/>
  <c r="H20" i="61"/>
  <c r="K20" i="61" s="1"/>
  <c r="H48" i="61"/>
  <c r="K48" i="61" s="1"/>
  <c r="K34" i="61"/>
  <c r="K25" i="61"/>
  <c r="K21" i="61"/>
  <c r="H46" i="61"/>
  <c r="K46" i="61" s="1"/>
  <c r="H28" i="61"/>
  <c r="K28" i="61" s="1"/>
  <c r="H22" i="61"/>
  <c r="K22" i="61" s="1"/>
  <c r="H44" i="61"/>
  <c r="K44" i="61" s="1"/>
  <c r="H26" i="61"/>
  <c r="K26" i="61" s="1"/>
  <c r="H40" i="61"/>
  <c r="K40" i="61" s="1"/>
  <c r="H38" i="61"/>
  <c r="K38" i="61" s="1"/>
  <c r="H35" i="61"/>
  <c r="K35" i="61" s="1"/>
  <c r="K27" i="61"/>
  <c r="K19" i="61"/>
  <c r="BH28" i="60"/>
  <c r="BJ28" i="60" s="1"/>
  <c r="BG61" i="60"/>
  <c r="BH61" i="60" s="1"/>
  <c r="BJ61" i="60" s="1"/>
  <c r="BG45" i="60"/>
  <c r="AP30" i="59"/>
  <c r="AQ30" i="59" s="1"/>
  <c r="BA30" i="59" s="1"/>
  <c r="AP26" i="59"/>
  <c r="AQ26" i="59" s="1"/>
  <c r="BA26" i="59" s="1"/>
  <c r="AP18" i="59"/>
  <c r="AQ18" i="59" s="1"/>
  <c r="BA18" i="59" s="1"/>
  <c r="AP23" i="59"/>
  <c r="AQ23" i="59" s="1"/>
  <c r="BA23" i="59" s="1"/>
  <c r="AP31" i="59"/>
  <c r="AQ31" i="59" s="1"/>
  <c r="BA31" i="59" s="1"/>
  <c r="AP28" i="59"/>
  <c r="AQ28" i="59" s="1"/>
  <c r="BA28" i="59" s="1"/>
  <c r="AP20" i="59"/>
  <c r="AQ20" i="59" s="1"/>
  <c r="BA20" i="59" s="1"/>
  <c r="BG27" i="60"/>
  <c r="BG25" i="60"/>
  <c r="BH25" i="60" s="1"/>
  <c r="BJ25" i="60" s="1"/>
  <c r="AP25" i="59"/>
  <c r="AQ25" i="59" s="1"/>
  <c r="BA25" i="59" s="1"/>
  <c r="AP17" i="59"/>
  <c r="AQ17" i="59" s="1"/>
  <c r="BA17" i="59" s="1"/>
  <c r="BG30" i="60"/>
  <c r="AP22" i="59"/>
  <c r="AQ22" i="59" s="1"/>
  <c r="BA22" i="59" s="1"/>
  <c r="AP19" i="59"/>
  <c r="AQ19" i="59" s="1"/>
  <c r="BA19" i="59" s="1"/>
  <c r="AP24" i="59"/>
  <c r="AQ24" i="59" s="1"/>
  <c r="BA24" i="59" s="1"/>
  <c r="AP29" i="59"/>
  <c r="AP21" i="59"/>
  <c r="AQ21" i="59" s="1"/>
  <c r="BG55" i="60"/>
  <c r="BH55" i="60" s="1"/>
  <c r="BJ55" i="60" s="1"/>
  <c r="BG37" i="60"/>
  <c r="BH37" i="60" s="1"/>
  <c r="BJ37" i="60" s="1"/>
  <c r="BG52" i="60"/>
  <c r="BH52" i="60" s="1"/>
  <c r="BJ52" i="60" s="1"/>
  <c r="BG43" i="60"/>
  <c r="BH43" i="60" s="1"/>
  <c r="BJ43" i="60" s="1"/>
  <c r="BG34" i="60"/>
  <c r="BH34" i="60" s="1"/>
  <c r="BJ34" i="60" s="1"/>
  <c r="BG57" i="60"/>
  <c r="BG46" i="60"/>
  <c r="BH46" i="60" s="1"/>
  <c r="BJ46" i="60" s="1"/>
  <c r="BG36" i="60"/>
  <c r="BG31" i="60"/>
  <c r="BG24" i="60"/>
  <c r="BG51" i="60"/>
  <c r="BG60" i="60"/>
  <c r="BG33" i="60"/>
  <c r="BG58" i="60"/>
  <c r="BG49" i="60"/>
  <c r="BG42" i="60"/>
  <c r="BG21" i="60"/>
  <c r="BG63" i="60"/>
  <c r="BG40" i="60"/>
  <c r="BG64" i="60"/>
  <c r="BH64" i="60" s="1"/>
  <c r="BJ64" i="60" s="1"/>
  <c r="BG48" i="60"/>
  <c r="BG54" i="60"/>
  <c r="BG22" i="60"/>
  <c r="BG39" i="60"/>
  <c r="E21" i="60"/>
  <c r="G21" i="60" s="1"/>
  <c r="J21" i="60" s="1"/>
  <c r="K21" i="60" s="1"/>
  <c r="H27" i="17"/>
  <c r="D27" i="17"/>
  <c r="F27" i="17"/>
  <c r="AA13" i="60" l="1"/>
  <c r="BH50" i="60"/>
  <c r="BJ50" i="60" s="1"/>
  <c r="AA15" i="60"/>
  <c r="BG20" i="60"/>
  <c r="BH44" i="60"/>
  <c r="BJ44" i="60" s="1"/>
  <c r="AA14" i="60"/>
  <c r="AA12" i="60"/>
  <c r="BG35" i="60"/>
  <c r="J260" i="67" s="1"/>
  <c r="BH53" i="60"/>
  <c r="BJ53" i="60" s="1"/>
  <c r="BH59" i="60"/>
  <c r="BJ59" i="60" s="1"/>
  <c r="K261" i="67"/>
  <c r="AI74" i="1"/>
  <c r="J262" i="67"/>
  <c r="X75" i="1"/>
  <c r="K262" i="67"/>
  <c r="AI75" i="1"/>
  <c r="M261" i="67"/>
  <c r="BE74" i="1"/>
  <c r="J261" i="67"/>
  <c r="X74" i="1"/>
  <c r="I262" i="67"/>
  <c r="M75" i="1"/>
  <c r="L261" i="67"/>
  <c r="AT74" i="1"/>
  <c r="I261" i="67"/>
  <c r="M74" i="1"/>
  <c r="M260" i="67"/>
  <c r="BE73" i="1"/>
  <c r="M262" i="67"/>
  <c r="BE75" i="1"/>
  <c r="L260" i="67"/>
  <c r="AT73" i="1"/>
  <c r="K260" i="67"/>
  <c r="AI73" i="1"/>
  <c r="L262" i="67"/>
  <c r="AT75" i="1"/>
  <c r="BH26" i="60"/>
  <c r="BJ26" i="60" s="1"/>
  <c r="BH62" i="60"/>
  <c r="BJ62" i="60" s="1"/>
  <c r="BH41" i="60"/>
  <c r="BJ41" i="60" s="1"/>
  <c r="BH40" i="60"/>
  <c r="BJ40" i="60" s="1"/>
  <c r="BH31" i="60"/>
  <c r="BJ31" i="60" s="1"/>
  <c r="BH49" i="60"/>
  <c r="BJ49" i="60" s="1"/>
  <c r="BH58" i="60"/>
  <c r="BJ58" i="60" s="1"/>
  <c r="BH22" i="60"/>
  <c r="BJ22" i="60" s="1"/>
  <c r="I21" i="55"/>
  <c r="I22" i="55"/>
  <c r="BB17" i="59"/>
  <c r="BB25" i="59"/>
  <c r="BC25" i="59" s="1"/>
  <c r="N26" i="29"/>
  <c r="T26" i="29" s="1"/>
  <c r="N35" i="29"/>
  <c r="T35" i="29" s="1"/>
  <c r="N40" i="29"/>
  <c r="T40" i="29" s="1"/>
  <c r="N44" i="29"/>
  <c r="T44" i="29" s="1"/>
  <c r="N33" i="29"/>
  <c r="T33" i="29" s="1"/>
  <c r="N36" i="29"/>
  <c r="T36" i="29" s="1"/>
  <c r="N27" i="29"/>
  <c r="T27" i="29" s="1"/>
  <c r="N37" i="29"/>
  <c r="T37" i="29" s="1"/>
  <c r="N32" i="29"/>
  <c r="T32" i="29" s="1"/>
  <c r="N28" i="29"/>
  <c r="T28" i="29" s="1"/>
  <c r="N43" i="29"/>
  <c r="T43" i="29" s="1"/>
  <c r="N41" i="29"/>
  <c r="T41" i="29" s="1"/>
  <c r="N29" i="29"/>
  <c r="T29" i="29" s="1"/>
  <c r="N39" i="29"/>
  <c r="T39" i="29" s="1"/>
  <c r="N34" i="29"/>
  <c r="T34" i="29" s="1"/>
  <c r="N30" i="29"/>
  <c r="T30" i="29" s="1"/>
  <c r="N42" i="29"/>
  <c r="T42" i="29" s="1"/>
  <c r="N31" i="29"/>
  <c r="T31" i="29" s="1"/>
  <c r="N25" i="29"/>
  <c r="T25" i="29" s="1"/>
  <c r="N38" i="29"/>
  <c r="T38" i="29" s="1"/>
  <c r="BH29" i="60"/>
  <c r="BJ29" i="60" s="1"/>
  <c r="BH38" i="60"/>
  <c r="BJ38" i="60" s="1"/>
  <c r="BE13" i="60"/>
  <c r="BE15" i="60"/>
  <c r="BH47" i="60"/>
  <c r="BJ47" i="60" s="1"/>
  <c r="BE14" i="60"/>
  <c r="BB22" i="59"/>
  <c r="BB18" i="59"/>
  <c r="I28" i="55"/>
  <c r="BB26" i="59"/>
  <c r="BC26" i="59" s="1"/>
  <c r="I30" i="55"/>
  <c r="I25" i="55"/>
  <c r="K31" i="61"/>
  <c r="I26" i="55" s="1"/>
  <c r="I27" i="55"/>
  <c r="I31" i="55"/>
  <c r="I29" i="55"/>
  <c r="I19" i="55"/>
  <c r="I33" i="55"/>
  <c r="I23" i="55"/>
  <c r="I24" i="55"/>
  <c r="I32" i="55"/>
  <c r="BB20" i="59"/>
  <c r="BC20" i="59" s="1"/>
  <c r="BB28" i="59"/>
  <c r="BC28" i="59" s="1"/>
  <c r="BA21" i="59"/>
  <c r="BB21" i="59" s="1"/>
  <c r="BC21" i="59" s="1"/>
  <c r="I20" i="55"/>
  <c r="AQ29" i="59"/>
  <c r="BA29" i="59" s="1"/>
  <c r="BB29" i="59" s="1"/>
  <c r="K30" i="55"/>
  <c r="K23" i="55"/>
  <c r="K27" i="55"/>
  <c r="K26" i="55"/>
  <c r="BH30" i="60"/>
  <c r="BJ30" i="60" s="1"/>
  <c r="K29" i="55"/>
  <c r="K20" i="55"/>
  <c r="K32" i="55"/>
  <c r="K33" i="55"/>
  <c r="K24" i="55"/>
  <c r="K21" i="55"/>
  <c r="BB24" i="59"/>
  <c r="BC24" i="59" s="1"/>
  <c r="BH51" i="60"/>
  <c r="BJ51" i="60" s="1"/>
  <c r="BB27" i="59"/>
  <c r="BC27" i="59" s="1"/>
  <c r="BB31" i="59"/>
  <c r="BC31" i="59" s="1"/>
  <c r="BH60" i="60"/>
  <c r="BJ60" i="60" s="1"/>
  <c r="BB23" i="59"/>
  <c r="BC23" i="59" s="1"/>
  <c r="BH32" i="60"/>
  <c r="BJ32" i="60" s="1"/>
  <c r="BB30" i="59"/>
  <c r="BC30" i="59" s="1"/>
  <c r="BB19" i="59"/>
  <c r="BC19" i="59" s="1"/>
  <c r="BH57" i="60"/>
  <c r="BJ57" i="60" s="1"/>
  <c r="BH23" i="60"/>
  <c r="BJ23" i="60" s="1"/>
  <c r="BH48" i="60"/>
  <c r="BJ48" i="60" s="1"/>
  <c r="BH45" i="60"/>
  <c r="BJ45" i="60" s="1"/>
  <c r="BH21" i="60"/>
  <c r="BJ21" i="60" s="1"/>
  <c r="BH54" i="60"/>
  <c r="BJ54" i="60" s="1"/>
  <c r="BH42" i="60"/>
  <c r="BJ42" i="60" s="1"/>
  <c r="BH39" i="60"/>
  <c r="BJ39" i="60" s="1"/>
  <c r="BH24" i="60"/>
  <c r="BJ24" i="60" s="1"/>
  <c r="BH27" i="60"/>
  <c r="BJ27" i="60" s="1"/>
  <c r="BH36" i="60"/>
  <c r="BJ36" i="60" s="1"/>
  <c r="BH33" i="60"/>
  <c r="BJ33" i="60" s="1"/>
  <c r="BH56" i="60"/>
  <c r="BJ56" i="60" s="1"/>
  <c r="BH63" i="60"/>
  <c r="BJ63" i="60" s="1"/>
  <c r="BE12" i="60" l="1"/>
  <c r="BH35" i="60"/>
  <c r="BJ35" i="60" s="1"/>
  <c r="K19" i="55"/>
  <c r="M45" i="1" s="1"/>
  <c r="I260" i="67"/>
  <c r="M73" i="1"/>
  <c r="K73" i="1" s="1"/>
  <c r="BE11" i="60"/>
  <c r="BH20" i="60"/>
  <c r="BJ20" i="60" s="1"/>
  <c r="X73" i="1"/>
  <c r="V73" i="1" s="1"/>
  <c r="M259" i="67"/>
  <c r="X262" i="67" s="1"/>
  <c r="J259" i="67"/>
  <c r="U262" i="67" s="1"/>
  <c r="K259" i="67"/>
  <c r="V262" i="67" s="1"/>
  <c r="I259" i="67"/>
  <c r="T262" i="67" s="1"/>
  <c r="L259" i="67"/>
  <c r="W262" i="67" s="1"/>
  <c r="BB75" i="1"/>
  <c r="BD75" i="1"/>
  <c r="BA75" i="1"/>
  <c r="BC75" i="1"/>
  <c r="K75" i="1"/>
  <c r="L75" i="1"/>
  <c r="J75" i="1"/>
  <c r="I75" i="1"/>
  <c r="K216" i="67"/>
  <c r="AI42" i="1"/>
  <c r="AP75" i="1"/>
  <c r="AS75" i="1"/>
  <c r="AQ75" i="1"/>
  <c r="AR75" i="1"/>
  <c r="BE72" i="1"/>
  <c r="BA73" i="1"/>
  <c r="BB73" i="1"/>
  <c r="BD73" i="1"/>
  <c r="BC73" i="1"/>
  <c r="W74" i="1"/>
  <c r="V74" i="1"/>
  <c r="T74" i="1"/>
  <c r="U74" i="1"/>
  <c r="AE73" i="1"/>
  <c r="AG73" i="1"/>
  <c r="AF73" i="1"/>
  <c r="AI72" i="1"/>
  <c r="AH73" i="1"/>
  <c r="L74" i="1"/>
  <c r="K74" i="1"/>
  <c r="I74" i="1"/>
  <c r="J74" i="1"/>
  <c r="BD74" i="1"/>
  <c r="BC74" i="1"/>
  <c r="BA74" i="1"/>
  <c r="BB74" i="1"/>
  <c r="T75" i="1"/>
  <c r="W75" i="1"/>
  <c r="U75" i="1"/>
  <c r="V75" i="1"/>
  <c r="I216" i="67"/>
  <c r="M42" i="1"/>
  <c r="L216" i="67"/>
  <c r="AT42" i="1"/>
  <c r="J216" i="67"/>
  <c r="X42" i="1"/>
  <c r="AP73" i="1"/>
  <c r="AQ73" i="1"/>
  <c r="AR73" i="1"/>
  <c r="AS73" i="1"/>
  <c r="AT72" i="1"/>
  <c r="AP74" i="1"/>
  <c r="AR74" i="1"/>
  <c r="AQ74" i="1"/>
  <c r="AS74" i="1"/>
  <c r="AE75" i="1"/>
  <c r="AG75" i="1"/>
  <c r="AF75" i="1"/>
  <c r="AH75" i="1"/>
  <c r="AH74" i="1"/>
  <c r="AG74" i="1"/>
  <c r="AE74" i="1"/>
  <c r="AF74" i="1"/>
  <c r="M216" i="67"/>
  <c r="BE42" i="1"/>
  <c r="H31" i="55"/>
  <c r="BC29" i="59"/>
  <c r="H19" i="55"/>
  <c r="BC17" i="59"/>
  <c r="H20" i="55"/>
  <c r="BC18" i="59"/>
  <c r="H24" i="55"/>
  <c r="BC22" i="59"/>
  <c r="H27" i="55"/>
  <c r="K25" i="55"/>
  <c r="BI14" i="60"/>
  <c r="G32" i="55"/>
  <c r="G33" i="55"/>
  <c r="BI12" i="60"/>
  <c r="K31" i="55"/>
  <c r="BG14" i="60"/>
  <c r="BI11" i="60"/>
  <c r="K28" i="55"/>
  <c r="BG12" i="60"/>
  <c r="AS30" i="1"/>
  <c r="AS27" i="1" s="1"/>
  <c r="AS26" i="1" s="1"/>
  <c r="W30" i="1"/>
  <c r="W27" i="1" s="1"/>
  <c r="W26" i="1" s="1"/>
  <c r="AH30" i="1"/>
  <c r="AH27" i="1" s="1"/>
  <c r="AH26" i="1" s="1"/>
  <c r="BD30" i="1"/>
  <c r="BD27" i="1" s="1"/>
  <c r="BD26" i="1" s="1"/>
  <c r="L30" i="1"/>
  <c r="L27" i="1" s="1"/>
  <c r="K22" i="55"/>
  <c r="BI15" i="60"/>
  <c r="BG13" i="60"/>
  <c r="BI13" i="60"/>
  <c r="H30" i="55"/>
  <c r="H28" i="55"/>
  <c r="H22" i="55"/>
  <c r="H26" i="55"/>
  <c r="H23" i="55"/>
  <c r="G30" i="55"/>
  <c r="H29" i="55"/>
  <c r="G26" i="55"/>
  <c r="G27" i="55"/>
  <c r="G24" i="55"/>
  <c r="G23" i="55"/>
  <c r="G20" i="55"/>
  <c r="G29" i="55"/>
  <c r="G21" i="55"/>
  <c r="BH15" i="60"/>
  <c r="H33" i="55"/>
  <c r="H21" i="55"/>
  <c r="H25" i="55"/>
  <c r="H32" i="55"/>
  <c r="BH12" i="60"/>
  <c r="BG15" i="60"/>
  <c r="BH11" i="60"/>
  <c r="BH14" i="60"/>
  <c r="BH13" i="60"/>
  <c r="BG11" i="60" l="1"/>
  <c r="BJ11" i="60" s="1"/>
  <c r="X72" i="1"/>
  <c r="L73" i="1"/>
  <c r="L72" i="1" s="1"/>
  <c r="G19" i="55"/>
  <c r="L19" i="55" s="1"/>
  <c r="M72" i="1"/>
  <c r="I219" i="67"/>
  <c r="I73" i="1"/>
  <c r="I72" i="1" s="1"/>
  <c r="J73" i="1"/>
  <c r="J72" i="1" s="1"/>
  <c r="W73" i="1"/>
  <c r="W72" i="1" s="1"/>
  <c r="W76" i="1" s="1"/>
  <c r="U73" i="1"/>
  <c r="U72" i="1" s="1"/>
  <c r="T73" i="1"/>
  <c r="T72" i="1" s="1"/>
  <c r="M40" i="1"/>
  <c r="I40" i="1" s="1"/>
  <c r="BD72" i="1"/>
  <c r="BD76" i="1" s="1"/>
  <c r="AF62" i="1"/>
  <c r="T62" i="1"/>
  <c r="AE62" i="1"/>
  <c r="BC62" i="1"/>
  <c r="AH62" i="1"/>
  <c r="BB62" i="1"/>
  <c r="U62" i="1"/>
  <c r="K62" i="1"/>
  <c r="W62" i="1"/>
  <c r="AQ62" i="1"/>
  <c r="J62" i="1"/>
  <c r="AG62" i="1"/>
  <c r="BA62" i="1"/>
  <c r="AP62" i="1"/>
  <c r="AR62" i="1"/>
  <c r="BD62" i="1"/>
  <c r="I62" i="1"/>
  <c r="V62" i="1"/>
  <c r="AS62" i="1"/>
  <c r="L62" i="1"/>
  <c r="K72" i="1"/>
  <c r="AQ72" i="1"/>
  <c r="AG72" i="1"/>
  <c r="BB72" i="1"/>
  <c r="J215" i="67"/>
  <c r="U215" i="67" s="1"/>
  <c r="X41" i="1"/>
  <c r="BC72" i="1"/>
  <c r="AF72" i="1"/>
  <c r="BA72" i="1"/>
  <c r="AI45" i="1"/>
  <c r="AF45" i="1" s="1"/>
  <c r="K219" i="67"/>
  <c r="L215" i="67"/>
  <c r="W215" i="67" s="1"/>
  <c r="AT41" i="1"/>
  <c r="BE45" i="1"/>
  <c r="BC45" i="1" s="1"/>
  <c r="M219" i="67"/>
  <c r="M215" i="67"/>
  <c r="X215" i="67" s="1"/>
  <c r="BE41" i="1"/>
  <c r="AT45" i="1"/>
  <c r="AQ45" i="1" s="1"/>
  <c r="L219" i="67"/>
  <c r="AP72" i="1"/>
  <c r="AE72" i="1"/>
  <c r="AR72" i="1"/>
  <c r="V72" i="1"/>
  <c r="AS72" i="1"/>
  <c r="AS76" i="1" s="1"/>
  <c r="K215" i="67"/>
  <c r="V215" i="67" s="1"/>
  <c r="AI41" i="1"/>
  <c r="G25" i="55"/>
  <c r="L25" i="55" s="1"/>
  <c r="G22" i="55"/>
  <c r="L22" i="55" s="1"/>
  <c r="X45" i="1"/>
  <c r="J219" i="67"/>
  <c r="I215" i="67"/>
  <c r="T215" i="67" s="1"/>
  <c r="M41" i="1"/>
  <c r="AH72" i="1"/>
  <c r="AH76" i="1" s="1"/>
  <c r="BJ14" i="60"/>
  <c r="G28" i="55"/>
  <c r="G31" i="55"/>
  <c r="BJ12" i="60"/>
  <c r="BB42" i="1"/>
  <c r="BD42" i="1"/>
  <c r="BA42" i="1"/>
  <c r="BC42" i="1"/>
  <c r="W42" i="1"/>
  <c r="T42" i="1"/>
  <c r="U42" i="1"/>
  <c r="V42" i="1"/>
  <c r="AS42" i="1"/>
  <c r="AQ42" i="1"/>
  <c r="AP42" i="1"/>
  <c r="AR42" i="1"/>
  <c r="AG42" i="1"/>
  <c r="AF42" i="1"/>
  <c r="AE42" i="1"/>
  <c r="AH42" i="1"/>
  <c r="L42" i="1"/>
  <c r="K42" i="1"/>
  <c r="J42" i="1"/>
  <c r="I42" i="1"/>
  <c r="I45" i="1"/>
  <c r="L45" i="1"/>
  <c r="J45" i="1"/>
  <c r="K45" i="1"/>
  <c r="BJ13" i="60"/>
  <c r="L30" i="55"/>
  <c r="M30" i="55" s="1"/>
  <c r="N30" i="55" s="1"/>
  <c r="BJ15" i="60"/>
  <c r="L23" i="55"/>
  <c r="M23" i="55" s="1"/>
  <c r="N23" i="55" s="1"/>
  <c r="L32" i="55"/>
  <c r="M32" i="55" s="1"/>
  <c r="N32" i="55" s="1"/>
  <c r="L33" i="55"/>
  <c r="M33" i="55" s="1"/>
  <c r="N33" i="55" s="1"/>
  <c r="L24" i="55"/>
  <c r="M24" i="55" s="1"/>
  <c r="N24" i="55" s="1"/>
  <c r="L21" i="55"/>
  <c r="M21" i="55" s="1"/>
  <c r="N21" i="55" s="1"/>
  <c r="L27" i="55"/>
  <c r="M27" i="55" s="1"/>
  <c r="N27" i="55" s="1"/>
  <c r="L29" i="55"/>
  <c r="M29" i="55" s="1"/>
  <c r="N29" i="55" s="1"/>
  <c r="L20" i="55"/>
  <c r="M20" i="55" s="1"/>
  <c r="N20" i="55" s="1"/>
  <c r="L26" i="55"/>
  <c r="M26" i="55" s="1"/>
  <c r="N26" i="55" s="1"/>
  <c r="J90" i="22"/>
  <c r="G90" i="22"/>
  <c r="E90" i="22"/>
  <c r="C90" i="22"/>
  <c r="B90" i="22"/>
  <c r="J89" i="22"/>
  <c r="G89" i="22"/>
  <c r="E89" i="22"/>
  <c r="C89" i="22"/>
  <c r="B89" i="22"/>
  <c r="J88" i="22"/>
  <c r="G88" i="22"/>
  <c r="E88" i="22"/>
  <c r="C88" i="22"/>
  <c r="B88" i="22"/>
  <c r="J87" i="22"/>
  <c r="G87" i="22"/>
  <c r="E87" i="22"/>
  <c r="C87" i="22"/>
  <c r="B87" i="22"/>
  <c r="J86" i="22"/>
  <c r="G86" i="22"/>
  <c r="E86" i="22"/>
  <c r="C86" i="22"/>
  <c r="B86" i="22"/>
  <c r="J85" i="22"/>
  <c r="G85" i="22"/>
  <c r="E85" i="22"/>
  <c r="C85" i="22"/>
  <c r="B85" i="22"/>
  <c r="J84" i="22"/>
  <c r="G84" i="22"/>
  <c r="E84" i="22"/>
  <c r="C84" i="22"/>
  <c r="B84" i="22"/>
  <c r="J83" i="22"/>
  <c r="G83" i="22"/>
  <c r="E83" i="22"/>
  <c r="C83" i="22"/>
  <c r="B83" i="22"/>
  <c r="J82" i="22"/>
  <c r="G82" i="22"/>
  <c r="E82" i="22"/>
  <c r="C82" i="22"/>
  <c r="B82" i="22"/>
  <c r="J81" i="22"/>
  <c r="G81" i="22"/>
  <c r="E81" i="22"/>
  <c r="C81" i="22"/>
  <c r="B81" i="22"/>
  <c r="J80" i="22"/>
  <c r="G80" i="22"/>
  <c r="E80" i="22"/>
  <c r="C80" i="22"/>
  <c r="B80" i="22"/>
  <c r="J79" i="22"/>
  <c r="G79" i="22"/>
  <c r="E79" i="22"/>
  <c r="C79" i="22"/>
  <c r="B79" i="22"/>
  <c r="J78" i="22"/>
  <c r="G78" i="22"/>
  <c r="E78" i="22"/>
  <c r="C78" i="22"/>
  <c r="B78" i="22"/>
  <c r="J77" i="22"/>
  <c r="G77" i="22"/>
  <c r="E77" i="22"/>
  <c r="C77" i="22"/>
  <c r="B77" i="22"/>
  <c r="J76" i="22"/>
  <c r="G76" i="22"/>
  <c r="E76" i="22"/>
  <c r="C76" i="22"/>
  <c r="B76" i="22"/>
  <c r="J75" i="22"/>
  <c r="G75" i="22"/>
  <c r="E75" i="22"/>
  <c r="C75" i="22"/>
  <c r="B75" i="22"/>
  <c r="J74" i="22"/>
  <c r="G74" i="22"/>
  <c r="E74" i="22"/>
  <c r="C74" i="22"/>
  <c r="B74" i="22"/>
  <c r="J73" i="22"/>
  <c r="G73" i="22"/>
  <c r="E73" i="22"/>
  <c r="C73" i="22"/>
  <c r="B73" i="22"/>
  <c r="J72" i="22"/>
  <c r="G72" i="22"/>
  <c r="E72" i="22"/>
  <c r="C72" i="22"/>
  <c r="B72" i="22"/>
  <c r="J71" i="22"/>
  <c r="G71" i="22"/>
  <c r="E71" i="22"/>
  <c r="C71" i="22"/>
  <c r="B71" i="22"/>
  <c r="J70" i="22"/>
  <c r="G70" i="22"/>
  <c r="E70" i="22"/>
  <c r="C70" i="22"/>
  <c r="B70" i="22"/>
  <c r="J69" i="22"/>
  <c r="G69" i="22"/>
  <c r="E69" i="22"/>
  <c r="C69" i="22"/>
  <c r="B69" i="22"/>
  <c r="J68" i="22"/>
  <c r="G68" i="22"/>
  <c r="E68" i="22"/>
  <c r="C68" i="22"/>
  <c r="B68" i="22"/>
  <c r="J67" i="22"/>
  <c r="G67" i="22"/>
  <c r="E67" i="22"/>
  <c r="C67" i="22"/>
  <c r="B67" i="22"/>
  <c r="J66" i="22"/>
  <c r="G66" i="22"/>
  <c r="E66" i="22"/>
  <c r="C66" i="22"/>
  <c r="B66" i="22"/>
  <c r="J65" i="22"/>
  <c r="G65" i="22"/>
  <c r="E65" i="22"/>
  <c r="C65" i="22"/>
  <c r="B65" i="22"/>
  <c r="J64" i="22"/>
  <c r="G64" i="22"/>
  <c r="E64" i="22"/>
  <c r="C64" i="22"/>
  <c r="B64" i="22"/>
  <c r="J63" i="22"/>
  <c r="G63" i="22"/>
  <c r="E63" i="22"/>
  <c r="C63" i="22"/>
  <c r="B63" i="22"/>
  <c r="J62" i="22"/>
  <c r="G62" i="22"/>
  <c r="E62" i="22"/>
  <c r="C62" i="22"/>
  <c r="B62" i="22"/>
  <c r="J61" i="22"/>
  <c r="G61" i="22"/>
  <c r="E61" i="22"/>
  <c r="C61" i="22"/>
  <c r="B61" i="22"/>
  <c r="J60" i="22"/>
  <c r="G60" i="22"/>
  <c r="E60" i="22"/>
  <c r="C60" i="22"/>
  <c r="B60" i="22"/>
  <c r="J59" i="22"/>
  <c r="G59" i="22"/>
  <c r="E59" i="22"/>
  <c r="C59" i="22"/>
  <c r="B59" i="22"/>
  <c r="B43" i="22"/>
  <c r="B44" i="22"/>
  <c r="B45" i="22"/>
  <c r="B46" i="22"/>
  <c r="B47" i="22"/>
  <c r="B48" i="22"/>
  <c r="B49" i="22"/>
  <c r="B50" i="22"/>
  <c r="B51" i="22"/>
  <c r="B52" i="22"/>
  <c r="B53" i="22"/>
  <c r="B54" i="22"/>
  <c r="B55" i="22"/>
  <c r="B56" i="22"/>
  <c r="B57" i="22"/>
  <c r="B58" i="22"/>
  <c r="C43" i="22"/>
  <c r="C44" i="22"/>
  <c r="C45" i="22"/>
  <c r="C46" i="22"/>
  <c r="C47" i="22"/>
  <c r="C48" i="22"/>
  <c r="C49" i="22"/>
  <c r="C50" i="22"/>
  <c r="C51" i="22"/>
  <c r="C52" i="22"/>
  <c r="C53" i="22"/>
  <c r="C54" i="22"/>
  <c r="C55" i="22"/>
  <c r="C56" i="22"/>
  <c r="C57" i="22"/>
  <c r="C58" i="22"/>
  <c r="E43" i="22"/>
  <c r="E44" i="22"/>
  <c r="E45" i="22"/>
  <c r="E46" i="22"/>
  <c r="E47" i="22"/>
  <c r="E48" i="22"/>
  <c r="E49" i="22"/>
  <c r="E50" i="22"/>
  <c r="E51" i="22"/>
  <c r="E52" i="22"/>
  <c r="E53" i="22"/>
  <c r="E54" i="22"/>
  <c r="E55" i="22"/>
  <c r="E56" i="22"/>
  <c r="E57" i="22"/>
  <c r="E58" i="22"/>
  <c r="G43" i="22"/>
  <c r="G44" i="22"/>
  <c r="G45" i="22"/>
  <c r="G46" i="22"/>
  <c r="G47" i="22"/>
  <c r="G48" i="22"/>
  <c r="G49" i="22"/>
  <c r="G50" i="22"/>
  <c r="G51" i="22"/>
  <c r="G52" i="22"/>
  <c r="G53" i="22"/>
  <c r="G54" i="22"/>
  <c r="G55" i="22"/>
  <c r="G56" i="22"/>
  <c r="G57" i="22"/>
  <c r="G58" i="22"/>
  <c r="J43" i="22"/>
  <c r="J44" i="22"/>
  <c r="J45" i="22"/>
  <c r="J46" i="22"/>
  <c r="J47" i="22"/>
  <c r="J48" i="22"/>
  <c r="J49" i="22"/>
  <c r="J50" i="22"/>
  <c r="J51" i="22"/>
  <c r="J52" i="22"/>
  <c r="J53" i="22"/>
  <c r="J54" i="22"/>
  <c r="J55" i="22"/>
  <c r="J56" i="22"/>
  <c r="J57" i="22"/>
  <c r="J58" i="22"/>
  <c r="I214" i="67" l="1"/>
  <c r="T214" i="67" s="1"/>
  <c r="AG45" i="1"/>
  <c r="BC61" i="1"/>
  <c r="U61" i="1"/>
  <c r="BB61" i="1"/>
  <c r="AG61" i="1"/>
  <c r="I61" i="1"/>
  <c r="AF61" i="1"/>
  <c r="BA61" i="1"/>
  <c r="AE61" i="1"/>
  <c r="V61" i="1"/>
  <c r="BD61" i="1"/>
  <c r="J61" i="1"/>
  <c r="W61" i="1"/>
  <c r="AR61" i="1"/>
  <c r="K61" i="1"/>
  <c r="AP61" i="1"/>
  <c r="AH61" i="1"/>
  <c r="AS61" i="1"/>
  <c r="T61" i="1"/>
  <c r="L61" i="1"/>
  <c r="AQ61" i="1"/>
  <c r="V60" i="1"/>
  <c r="BD60" i="1"/>
  <c r="BA60" i="1"/>
  <c r="AG60" i="1"/>
  <c r="T60" i="1"/>
  <c r="AH60" i="1"/>
  <c r="U60" i="1"/>
  <c r="J60" i="1"/>
  <c r="AS60" i="1"/>
  <c r="AR60" i="1"/>
  <c r="AF60" i="1"/>
  <c r="BC60" i="1"/>
  <c r="AQ60" i="1"/>
  <c r="AE60" i="1"/>
  <c r="AP60" i="1"/>
  <c r="I60" i="1"/>
  <c r="K60" i="1"/>
  <c r="BB60" i="1"/>
  <c r="W60" i="1"/>
  <c r="BA45" i="1"/>
  <c r="BB45" i="1"/>
  <c r="BD45" i="1"/>
  <c r="AH45" i="1"/>
  <c r="M214" i="67"/>
  <c r="X214" i="67" s="1"/>
  <c r="BE40" i="1"/>
  <c r="BB40" i="1" s="1"/>
  <c r="J214" i="67"/>
  <c r="U214" i="67" s="1"/>
  <c r="X40" i="1"/>
  <c r="W40" i="1" s="1"/>
  <c r="AE45" i="1"/>
  <c r="L28" i="55"/>
  <c r="AT46" i="1" s="1"/>
  <c r="L214" i="67"/>
  <c r="W214" i="67" s="1"/>
  <c r="AT40" i="1"/>
  <c r="AR40" i="1" s="1"/>
  <c r="K214" i="67"/>
  <c r="V214" i="67" s="1"/>
  <c r="AI40" i="1"/>
  <c r="AH40" i="1" s="1"/>
  <c r="AS45" i="1"/>
  <c r="AR45" i="1"/>
  <c r="AP45" i="1"/>
  <c r="K220" i="67"/>
  <c r="V218" i="67" s="1"/>
  <c r="AI46" i="1"/>
  <c r="M46" i="1"/>
  <c r="X46" i="1"/>
  <c r="I220" i="67"/>
  <c r="T218" i="67" s="1"/>
  <c r="T219" i="67" s="1"/>
  <c r="J220" i="67"/>
  <c r="U218" i="67" s="1"/>
  <c r="L31" i="55"/>
  <c r="BE46" i="1" s="1"/>
  <c r="BC41" i="1"/>
  <c r="BA41" i="1"/>
  <c r="BB41" i="1"/>
  <c r="BD41" i="1"/>
  <c r="AH41" i="1"/>
  <c r="AF41" i="1"/>
  <c r="AE41" i="1"/>
  <c r="AG41" i="1"/>
  <c r="V45" i="1"/>
  <c r="U45" i="1"/>
  <c r="W45" i="1"/>
  <c r="T45" i="1"/>
  <c r="AQ41" i="1"/>
  <c r="AP41" i="1"/>
  <c r="AS41" i="1"/>
  <c r="AR41" i="1"/>
  <c r="U41" i="1"/>
  <c r="V41" i="1"/>
  <c r="T41" i="1"/>
  <c r="W41" i="1"/>
  <c r="J40" i="1"/>
  <c r="K40" i="1"/>
  <c r="L60" i="1"/>
  <c r="J41" i="1"/>
  <c r="L41" i="1"/>
  <c r="K41" i="1"/>
  <c r="I41" i="1"/>
  <c r="M25" i="55"/>
  <c r="N25" i="55" s="1"/>
  <c r="M22" i="55"/>
  <c r="N22" i="55" s="1"/>
  <c r="M19" i="55"/>
  <c r="N19" i="55" s="1"/>
  <c r="G25" i="29"/>
  <c r="G26" i="29"/>
  <c r="G27" i="29"/>
  <c r="G28" i="29"/>
  <c r="E25" i="29"/>
  <c r="E26" i="29"/>
  <c r="E27" i="29"/>
  <c r="E28" i="29"/>
  <c r="G16" i="29"/>
  <c r="G17" i="29"/>
  <c r="G18" i="29"/>
  <c r="E16" i="29"/>
  <c r="E17" i="29"/>
  <c r="E18" i="29"/>
  <c r="M19" i="16"/>
  <c r="M20" i="16"/>
  <c r="M21" i="16"/>
  <c r="M22" i="16"/>
  <c r="M23" i="16"/>
  <c r="M24" i="16"/>
  <c r="M25" i="16"/>
  <c r="M26" i="16"/>
  <c r="M27" i="16"/>
  <c r="M28" i="16"/>
  <c r="M29" i="16"/>
  <c r="M30" i="16"/>
  <c r="M31" i="16"/>
  <c r="M32" i="16"/>
  <c r="M33" i="16"/>
  <c r="M34" i="16"/>
  <c r="M35" i="16"/>
  <c r="M36" i="16"/>
  <c r="M37" i="16"/>
  <c r="M38" i="16"/>
  <c r="M39" i="16"/>
  <c r="M40" i="16"/>
  <c r="M41" i="16"/>
  <c r="M42" i="16"/>
  <c r="M43" i="16"/>
  <c r="M44" i="16"/>
  <c r="M45" i="16"/>
  <c r="M46" i="16"/>
  <c r="M47" i="16"/>
  <c r="M48" i="16"/>
  <c r="M49" i="16"/>
  <c r="M50" i="16"/>
  <c r="M51" i="16"/>
  <c r="M52" i="16"/>
  <c r="M53" i="16"/>
  <c r="M54" i="16"/>
  <c r="M55"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94" i="16"/>
  <c r="M95" i="16"/>
  <c r="M9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8" i="16"/>
  <c r="M149" i="16"/>
  <c r="M150" i="16"/>
  <c r="M151" i="16"/>
  <c r="M152" i="16"/>
  <c r="M153" i="16"/>
  <c r="M154" i="16"/>
  <c r="M155" i="16"/>
  <c r="M156" i="16"/>
  <c r="M157" i="16"/>
  <c r="M158" i="16"/>
  <c r="M159" i="16"/>
  <c r="M160" i="16"/>
  <c r="M161" i="16"/>
  <c r="M162" i="16"/>
  <c r="M163" i="16"/>
  <c r="M164" i="16"/>
  <c r="M165" i="16"/>
  <c r="M166" i="16"/>
  <c r="M167" i="16"/>
  <c r="M168" i="16"/>
  <c r="M169" i="16"/>
  <c r="M170" i="16"/>
  <c r="M171" i="16"/>
  <c r="M172" i="16"/>
  <c r="M173" i="16"/>
  <c r="M174" i="16"/>
  <c r="M175" i="16"/>
  <c r="M176" i="16"/>
  <c r="M177" i="16"/>
  <c r="M178" i="16"/>
  <c r="M179" i="16"/>
  <c r="M180" i="16"/>
  <c r="M181" i="16"/>
  <c r="M182" i="16"/>
  <c r="M183" i="16"/>
  <c r="M184" i="16"/>
  <c r="M185" i="16"/>
  <c r="M186" i="16"/>
  <c r="M187" i="16"/>
  <c r="M188" i="16"/>
  <c r="M189" i="16"/>
  <c r="M190" i="16"/>
  <c r="M191" i="16"/>
  <c r="M192" i="16"/>
  <c r="M193" i="16"/>
  <c r="M194" i="16"/>
  <c r="M195" i="16"/>
  <c r="M196" i="16"/>
  <c r="M197" i="16"/>
  <c r="M198" i="16"/>
  <c r="M199" i="16"/>
  <c r="M200" i="16"/>
  <c r="M201" i="16"/>
  <c r="M202" i="16"/>
  <c r="M203" i="16"/>
  <c r="M204" i="16"/>
  <c r="M205" i="16"/>
  <c r="M206" i="16"/>
  <c r="M207" i="16"/>
  <c r="M208" i="16"/>
  <c r="M209" i="16"/>
  <c r="M210" i="16"/>
  <c r="M211" i="16"/>
  <c r="M212" i="16"/>
  <c r="M213" i="16"/>
  <c r="M214" i="16"/>
  <c r="M215" i="16"/>
  <c r="M216" i="16"/>
  <c r="M217" i="16"/>
  <c r="M218" i="16"/>
  <c r="M219" i="16"/>
  <c r="M220" i="16"/>
  <c r="M221" i="16"/>
  <c r="M222" i="16"/>
  <c r="M223" i="16"/>
  <c r="M224" i="16"/>
  <c r="M225" i="16"/>
  <c r="M226" i="16"/>
  <c r="M227" i="16"/>
  <c r="M228" i="16"/>
  <c r="M229" i="16"/>
  <c r="M230" i="16"/>
  <c r="M231" i="16"/>
  <c r="M232" i="16"/>
  <c r="M233" i="16"/>
  <c r="M234" i="16"/>
  <c r="M235" i="16"/>
  <c r="M236" i="16"/>
  <c r="M237" i="16"/>
  <c r="M238" i="16"/>
  <c r="M239" i="16"/>
  <c r="M240" i="16"/>
  <c r="M241" i="16"/>
  <c r="M242" i="16"/>
  <c r="M243" i="16"/>
  <c r="M244" i="16"/>
  <c r="M245" i="16"/>
  <c r="M246" i="16"/>
  <c r="M247" i="16"/>
  <c r="M248" i="16"/>
  <c r="M249" i="16"/>
  <c r="M250" i="16"/>
  <c r="M251" i="16"/>
  <c r="M252" i="16"/>
  <c r="M253" i="16"/>
  <c r="M254" i="16"/>
  <c r="M255" i="16"/>
  <c r="M256" i="16"/>
  <c r="M257" i="16"/>
  <c r="M258" i="16"/>
  <c r="M259" i="16"/>
  <c r="M260" i="16"/>
  <c r="M261" i="16"/>
  <c r="M262" i="16"/>
  <c r="M263" i="16"/>
  <c r="M264" i="16"/>
  <c r="M265" i="16"/>
  <c r="M266" i="16"/>
  <c r="M267" i="16"/>
  <c r="M268" i="16"/>
  <c r="M269" i="16"/>
  <c r="M270" i="16"/>
  <c r="M271" i="16"/>
  <c r="M272" i="16"/>
  <c r="M273" i="16"/>
  <c r="M274" i="16"/>
  <c r="M275" i="16"/>
  <c r="M276" i="16"/>
  <c r="M277" i="16"/>
  <c r="M278" i="16"/>
  <c r="M279" i="16"/>
  <c r="M280" i="16"/>
  <c r="M281" i="16"/>
  <c r="M282" i="16"/>
  <c r="M283" i="16"/>
  <c r="M284" i="16"/>
  <c r="M285" i="16"/>
  <c r="M286" i="16"/>
  <c r="M287" i="16"/>
  <c r="M288" i="16"/>
  <c r="M289" i="16"/>
  <c r="M290" i="16"/>
  <c r="M291" i="16"/>
  <c r="M292" i="16"/>
  <c r="M293" i="16"/>
  <c r="M294" i="16"/>
  <c r="M295" i="16"/>
  <c r="M296" i="16"/>
  <c r="M297" i="16"/>
  <c r="M298" i="16"/>
  <c r="M299" i="16"/>
  <c r="M300" i="16"/>
  <c r="M301" i="16"/>
  <c r="M302" i="16"/>
  <c r="M303" i="16"/>
  <c r="M304" i="16"/>
  <c r="M305" i="16"/>
  <c r="M306" i="16"/>
  <c r="M307" i="16"/>
  <c r="M308" i="16"/>
  <c r="M309" i="16"/>
  <c r="M310" i="16"/>
  <c r="M311" i="16"/>
  <c r="M312" i="16"/>
  <c r="M313" i="16"/>
  <c r="M314" i="16"/>
  <c r="M315" i="16"/>
  <c r="M316" i="16"/>
  <c r="M317" i="16"/>
  <c r="M318" i="16"/>
  <c r="M319" i="16"/>
  <c r="M320" i="16"/>
  <c r="M321" i="16"/>
  <c r="M322" i="16"/>
  <c r="M323" i="16"/>
  <c r="M324" i="16"/>
  <c r="M325" i="16"/>
  <c r="M326" i="16"/>
  <c r="M327" i="16"/>
  <c r="M328" i="16"/>
  <c r="M329" i="16"/>
  <c r="M330" i="16"/>
  <c r="M331" i="16"/>
  <c r="M332" i="16"/>
  <c r="M333" i="16"/>
  <c r="M334" i="16"/>
  <c r="M335" i="16"/>
  <c r="M336" i="16"/>
  <c r="M337" i="16"/>
  <c r="M338" i="16"/>
  <c r="M339" i="16"/>
  <c r="M340" i="16"/>
  <c r="M341" i="16"/>
  <c r="M342" i="16"/>
  <c r="M343" i="16"/>
  <c r="M344" i="16"/>
  <c r="M345" i="16"/>
  <c r="M346" i="16"/>
  <c r="M347" i="16"/>
  <c r="M348" i="16"/>
  <c r="M349" i="16"/>
  <c r="M350" i="16"/>
  <c r="M351" i="16"/>
  <c r="M352" i="16"/>
  <c r="M353" i="16"/>
  <c r="M354" i="16"/>
  <c r="M355" i="16"/>
  <c r="M356" i="16"/>
  <c r="M357" i="16"/>
  <c r="M358" i="16"/>
  <c r="M359" i="16"/>
  <c r="M360" i="16"/>
  <c r="M361" i="16"/>
  <c r="M362" i="16"/>
  <c r="M363" i="16"/>
  <c r="M364" i="16"/>
  <c r="M365" i="16"/>
  <c r="M366" i="16"/>
  <c r="M367" i="16"/>
  <c r="M368" i="16"/>
  <c r="M369" i="16"/>
  <c r="M370" i="16"/>
  <c r="M371" i="16"/>
  <c r="M372" i="16"/>
  <c r="M373" i="16"/>
  <c r="M374" i="16"/>
  <c r="M375" i="16"/>
  <c r="M376" i="16"/>
  <c r="M377" i="16"/>
  <c r="M378" i="16"/>
  <c r="M379" i="16"/>
  <c r="M380" i="16"/>
  <c r="M381" i="16"/>
  <c r="M382" i="16"/>
  <c r="M383" i="16"/>
  <c r="M384" i="16"/>
  <c r="M385" i="16"/>
  <c r="M386" i="16"/>
  <c r="M387" i="16"/>
  <c r="M388" i="16"/>
  <c r="M389" i="16"/>
  <c r="M390" i="16"/>
  <c r="M391" i="16"/>
  <c r="M392" i="16"/>
  <c r="M393" i="16"/>
  <c r="M394" i="16"/>
  <c r="M395" i="16"/>
  <c r="E17" i="34"/>
  <c r="E16" i="34"/>
  <c r="E15" i="34"/>
  <c r="E14" i="34"/>
  <c r="E13" i="34"/>
  <c r="E12" i="34"/>
  <c r="E11" i="34"/>
  <c r="E10" i="34"/>
  <c r="G17" i="34"/>
  <c r="G16" i="34"/>
  <c r="G15" i="34"/>
  <c r="G14" i="34"/>
  <c r="G13" i="34"/>
  <c r="G12" i="34"/>
  <c r="G11" i="34"/>
  <c r="G10" i="34"/>
  <c r="D7" i="17"/>
  <c r="D8" i="17"/>
  <c r="D9" i="17"/>
  <c r="D10" i="17"/>
  <c r="D11" i="17"/>
  <c r="D12" i="17"/>
  <c r="D13" i="17"/>
  <c r="D14" i="17"/>
  <c r="D15" i="17"/>
  <c r="D16" i="17"/>
  <c r="D17" i="17"/>
  <c r="D18" i="17"/>
  <c r="D19" i="17"/>
  <c r="D20" i="17"/>
  <c r="D23" i="17"/>
  <c r="D24" i="17"/>
  <c r="D25" i="17"/>
  <c r="D26" i="17"/>
  <c r="F7" i="17"/>
  <c r="F8" i="17"/>
  <c r="F9" i="17"/>
  <c r="F10" i="17"/>
  <c r="F11" i="17"/>
  <c r="F12" i="17"/>
  <c r="F13" i="17"/>
  <c r="F14" i="17"/>
  <c r="F15" i="17"/>
  <c r="F16" i="17"/>
  <c r="F17" i="17"/>
  <c r="F18" i="17"/>
  <c r="F19" i="17"/>
  <c r="F20" i="17"/>
  <c r="F23" i="17"/>
  <c r="F24" i="17"/>
  <c r="F25" i="17"/>
  <c r="F26" i="17"/>
  <c r="G67" i="17"/>
  <c r="G68" i="17"/>
  <c r="G69" i="17"/>
  <c r="G70" i="17"/>
  <c r="G71" i="17"/>
  <c r="G72" i="17"/>
  <c r="G73" i="17"/>
  <c r="G74" i="17"/>
  <c r="G75" i="17"/>
  <c r="G76" i="17"/>
  <c r="G77" i="17"/>
  <c r="G78" i="17"/>
  <c r="G79" i="17"/>
  <c r="G80" i="17"/>
  <c r="G81" i="17"/>
  <c r="G82" i="17"/>
  <c r="G35" i="17"/>
  <c r="G36" i="17"/>
  <c r="G37" i="17"/>
  <c r="G38" i="17"/>
  <c r="G39" i="17"/>
  <c r="G40" i="17"/>
  <c r="G41" i="17"/>
  <c r="G42" i="17"/>
  <c r="G43" i="17"/>
  <c r="G44" i="17"/>
  <c r="G45" i="17"/>
  <c r="G46" i="17"/>
  <c r="G47" i="17"/>
  <c r="G48" i="17"/>
  <c r="G49" i="17"/>
  <c r="G50" i="17"/>
  <c r="G83" i="17"/>
  <c r="G84" i="17"/>
  <c r="G85" i="17"/>
  <c r="G86" i="17"/>
  <c r="G87" i="17"/>
  <c r="G88" i="17"/>
  <c r="G89" i="17"/>
  <c r="G90" i="17"/>
  <c r="G91" i="17"/>
  <c r="G92" i="17"/>
  <c r="G93" i="17"/>
  <c r="G94" i="17"/>
  <c r="G95" i="17"/>
  <c r="G96" i="17"/>
  <c r="G97" i="17"/>
  <c r="G98" i="17"/>
  <c r="G51" i="17"/>
  <c r="G52" i="17"/>
  <c r="G53" i="17"/>
  <c r="G54" i="17"/>
  <c r="G55" i="17"/>
  <c r="G56" i="17"/>
  <c r="G57" i="17"/>
  <c r="G58" i="17"/>
  <c r="G59" i="17"/>
  <c r="G60" i="17"/>
  <c r="G61" i="17"/>
  <c r="G62" i="17"/>
  <c r="G63" i="17"/>
  <c r="G64" i="17"/>
  <c r="G65" i="17"/>
  <c r="G66" i="17"/>
  <c r="F16" i="51"/>
  <c r="F17" i="51"/>
  <c r="F18" i="51"/>
  <c r="F19" i="51"/>
  <c r="F20" i="51"/>
  <c r="F21" i="51"/>
  <c r="F22" i="51"/>
  <c r="F23" i="51"/>
  <c r="F24" i="51"/>
  <c r="F25" i="51"/>
  <c r="F26" i="51"/>
  <c r="F27" i="51"/>
  <c r="F28" i="51"/>
  <c r="F29" i="51"/>
  <c r="F30" i="51"/>
  <c r="F31" i="51"/>
  <c r="F32" i="51"/>
  <c r="F33" i="51"/>
  <c r="F34" i="51"/>
  <c r="F35" i="51"/>
  <c r="F36" i="51"/>
  <c r="F37" i="51"/>
  <c r="F38" i="51"/>
  <c r="F39" i="51"/>
  <c r="F40" i="51"/>
  <c r="F41" i="51"/>
  <c r="F42" i="51"/>
  <c r="F43" i="51"/>
  <c r="F44" i="51"/>
  <c r="F45" i="51"/>
  <c r="F46" i="51"/>
  <c r="F47" i="51"/>
  <c r="F16" i="50"/>
  <c r="F17" i="50"/>
  <c r="F18" i="50"/>
  <c r="F19" i="50"/>
  <c r="F20" i="50"/>
  <c r="F21" i="50"/>
  <c r="F22" i="50"/>
  <c r="F23" i="50"/>
  <c r="F24" i="50"/>
  <c r="F25" i="50"/>
  <c r="F26" i="50"/>
  <c r="F27" i="50"/>
  <c r="F28" i="50"/>
  <c r="F29" i="50"/>
  <c r="F30" i="50"/>
  <c r="F31" i="50"/>
  <c r="F32" i="50"/>
  <c r="F33" i="50"/>
  <c r="F34" i="50"/>
  <c r="F35" i="50"/>
  <c r="F36" i="50"/>
  <c r="F37" i="50"/>
  <c r="F38" i="50"/>
  <c r="F39" i="50"/>
  <c r="F40" i="50"/>
  <c r="F41" i="50"/>
  <c r="F42" i="50"/>
  <c r="F43" i="50"/>
  <c r="F44" i="50"/>
  <c r="F45" i="50"/>
  <c r="F46" i="50"/>
  <c r="F47" i="50"/>
  <c r="F16" i="49"/>
  <c r="F17" i="49"/>
  <c r="F18" i="49"/>
  <c r="F19" i="49"/>
  <c r="F20" i="49"/>
  <c r="F21" i="49"/>
  <c r="F22" i="49"/>
  <c r="F23" i="49"/>
  <c r="F24" i="49"/>
  <c r="F25" i="49"/>
  <c r="F26" i="49"/>
  <c r="F27" i="49"/>
  <c r="F28" i="49"/>
  <c r="F29" i="49"/>
  <c r="F30" i="49"/>
  <c r="F31" i="49"/>
  <c r="F32" i="49"/>
  <c r="F33" i="49"/>
  <c r="F34" i="49"/>
  <c r="F35" i="49"/>
  <c r="F36" i="49"/>
  <c r="F37" i="49"/>
  <c r="F38" i="49"/>
  <c r="F39" i="49"/>
  <c r="F40" i="49"/>
  <c r="F41" i="49"/>
  <c r="F42" i="49"/>
  <c r="F43" i="49"/>
  <c r="F44" i="49"/>
  <c r="F45" i="49"/>
  <c r="F46" i="49"/>
  <c r="F47" i="49"/>
  <c r="F16" i="48"/>
  <c r="F17" i="48"/>
  <c r="F18" i="48"/>
  <c r="F19" i="48"/>
  <c r="F20" i="48"/>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G15" i="29"/>
  <c r="D6" i="22"/>
  <c r="D7" i="22"/>
  <c r="D8" i="22"/>
  <c r="D9" i="22"/>
  <c r="D10" i="22"/>
  <c r="D11" i="22"/>
  <c r="D12" i="22"/>
  <c r="D13" i="22"/>
  <c r="D14" i="22"/>
  <c r="D15" i="22"/>
  <c r="D16" i="22"/>
  <c r="D17" i="22"/>
  <c r="D18" i="22"/>
  <c r="D19" i="22"/>
  <c r="G27" i="22"/>
  <c r="G28" i="22"/>
  <c r="G29" i="22"/>
  <c r="G30" i="22"/>
  <c r="G31" i="22"/>
  <c r="G32" i="22"/>
  <c r="G33" i="22"/>
  <c r="G34" i="22"/>
  <c r="G35" i="22"/>
  <c r="G36" i="22"/>
  <c r="G37" i="22"/>
  <c r="G38" i="22"/>
  <c r="G39" i="22"/>
  <c r="G40" i="22"/>
  <c r="G41" i="22"/>
  <c r="G42" i="22"/>
  <c r="E15" i="29"/>
  <c r="E27" i="22"/>
  <c r="E28" i="22"/>
  <c r="E29" i="22"/>
  <c r="E30" i="22"/>
  <c r="E31" i="22"/>
  <c r="E32" i="22"/>
  <c r="E33" i="22"/>
  <c r="E34" i="22"/>
  <c r="E35" i="22"/>
  <c r="E36" i="22"/>
  <c r="E37" i="22"/>
  <c r="E38" i="22"/>
  <c r="E39" i="22"/>
  <c r="E40" i="22"/>
  <c r="E41" i="22"/>
  <c r="E42" i="22"/>
  <c r="E67" i="17"/>
  <c r="E68" i="17"/>
  <c r="E69" i="17"/>
  <c r="E70" i="17"/>
  <c r="E71" i="17"/>
  <c r="E72" i="17"/>
  <c r="E73" i="17"/>
  <c r="E74" i="17"/>
  <c r="E75" i="17"/>
  <c r="E76" i="17"/>
  <c r="E77" i="17"/>
  <c r="E78" i="17"/>
  <c r="E79" i="17"/>
  <c r="E80" i="17"/>
  <c r="E81" i="17"/>
  <c r="E82" i="17"/>
  <c r="E35" i="17"/>
  <c r="E36" i="17"/>
  <c r="E37" i="17"/>
  <c r="E38" i="17"/>
  <c r="E39" i="17"/>
  <c r="E40" i="17"/>
  <c r="E41" i="17"/>
  <c r="E42" i="17"/>
  <c r="E43" i="17"/>
  <c r="E44" i="17"/>
  <c r="E45" i="17"/>
  <c r="E46" i="17"/>
  <c r="E47" i="17"/>
  <c r="E48" i="17"/>
  <c r="E49" i="17"/>
  <c r="E50" i="17"/>
  <c r="E83" i="17"/>
  <c r="E84" i="17"/>
  <c r="E85" i="17"/>
  <c r="E86" i="17"/>
  <c r="E87" i="17"/>
  <c r="E88" i="17"/>
  <c r="E89" i="17"/>
  <c r="E90" i="17"/>
  <c r="E91" i="17"/>
  <c r="E92" i="17"/>
  <c r="E93" i="17"/>
  <c r="E94" i="17"/>
  <c r="E95" i="17"/>
  <c r="E96" i="17"/>
  <c r="E97" i="17"/>
  <c r="E98" i="17"/>
  <c r="E51" i="17"/>
  <c r="E52" i="17"/>
  <c r="E53" i="17"/>
  <c r="E54" i="17"/>
  <c r="E55" i="17"/>
  <c r="E56" i="17"/>
  <c r="E57" i="17"/>
  <c r="E58" i="17"/>
  <c r="E59" i="17"/>
  <c r="E60" i="17"/>
  <c r="E61" i="17"/>
  <c r="E62" i="17"/>
  <c r="E63" i="17"/>
  <c r="E64" i="17"/>
  <c r="E65" i="17"/>
  <c r="E66" i="17"/>
  <c r="D16" i="51"/>
  <c r="D17" i="51"/>
  <c r="D18" i="51"/>
  <c r="D19" i="51"/>
  <c r="D20" i="51"/>
  <c r="D21" i="51"/>
  <c r="D22" i="51"/>
  <c r="D23" i="51"/>
  <c r="D24" i="51"/>
  <c r="D25" i="51"/>
  <c r="D26" i="51"/>
  <c r="D27" i="51"/>
  <c r="D28" i="51"/>
  <c r="D29" i="51"/>
  <c r="D30" i="51"/>
  <c r="D31" i="51"/>
  <c r="D32" i="51"/>
  <c r="D33" i="51"/>
  <c r="D34" i="51"/>
  <c r="D35" i="51"/>
  <c r="D36" i="51"/>
  <c r="D37" i="51"/>
  <c r="D38" i="51"/>
  <c r="D39" i="51"/>
  <c r="D40" i="51"/>
  <c r="D41" i="51"/>
  <c r="D42" i="51"/>
  <c r="D43" i="51"/>
  <c r="D44" i="51"/>
  <c r="D45" i="51"/>
  <c r="D46" i="51"/>
  <c r="D47" i="51"/>
  <c r="D16" i="50"/>
  <c r="D17" i="50"/>
  <c r="D18" i="50"/>
  <c r="D19" i="50"/>
  <c r="D20" i="50"/>
  <c r="D21" i="50"/>
  <c r="D22" i="50"/>
  <c r="D23" i="50"/>
  <c r="D24" i="50"/>
  <c r="D25" i="50"/>
  <c r="D26" i="50"/>
  <c r="D27" i="50"/>
  <c r="D28" i="50"/>
  <c r="D29" i="50"/>
  <c r="D30" i="50"/>
  <c r="D31" i="50"/>
  <c r="D32" i="50"/>
  <c r="D33" i="50"/>
  <c r="D34" i="50"/>
  <c r="D35" i="50"/>
  <c r="D36" i="50"/>
  <c r="D37" i="50"/>
  <c r="D38" i="50"/>
  <c r="D39" i="50"/>
  <c r="D40" i="50"/>
  <c r="D41" i="50"/>
  <c r="D42" i="50"/>
  <c r="D43" i="50"/>
  <c r="D44" i="50"/>
  <c r="D45" i="50"/>
  <c r="D46" i="50"/>
  <c r="D47" i="50"/>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M28" i="55" l="1"/>
  <c r="N28" i="55" s="1"/>
  <c r="U219" i="67"/>
  <c r="I213" i="67"/>
  <c r="T189" i="67" s="1"/>
  <c r="V219" i="67"/>
  <c r="J213" i="67"/>
  <c r="BA40" i="1"/>
  <c r="T40" i="1"/>
  <c r="AE40" i="1"/>
  <c r="AG40" i="1"/>
  <c r="AF40" i="1"/>
  <c r="BD40" i="1"/>
  <c r="BC40" i="1"/>
  <c r="K213" i="67"/>
  <c r="V189" i="67" s="1"/>
  <c r="V40" i="1"/>
  <c r="U40" i="1"/>
  <c r="L220" i="67"/>
  <c r="BE39" i="1"/>
  <c r="M220" i="67"/>
  <c r="AS40" i="1"/>
  <c r="M31" i="55"/>
  <c r="N31" i="55" s="1"/>
  <c r="AQ40" i="1"/>
  <c r="AP40" i="1"/>
  <c r="X39" i="1"/>
  <c r="V46" i="1"/>
  <c r="W46" i="1"/>
  <c r="W39" i="1" s="1"/>
  <c r="W48" i="1" s="1"/>
  <c r="U46" i="1"/>
  <c r="T46" i="1"/>
  <c r="AT39" i="1"/>
  <c r="AR46" i="1"/>
  <c r="AR39" i="1" s="1"/>
  <c r="AQ46" i="1"/>
  <c r="AP46" i="1"/>
  <c r="AS46" i="1"/>
  <c r="AI39" i="1"/>
  <c r="AG46" i="1"/>
  <c r="AH46" i="1"/>
  <c r="AH39" i="1" s="1"/>
  <c r="AH48" i="1" s="1"/>
  <c r="AF46" i="1"/>
  <c r="AE46" i="1"/>
  <c r="M39" i="1"/>
  <c r="K46" i="1"/>
  <c r="K39" i="1" s="1"/>
  <c r="L46" i="1"/>
  <c r="L39" i="1" s="1"/>
  <c r="J46" i="1"/>
  <c r="J39" i="1" s="1"/>
  <c r="I46" i="1"/>
  <c r="I39" i="1" s="1"/>
  <c r="O130" i="17"/>
  <c r="O146" i="17"/>
  <c r="O162" i="17"/>
  <c r="O178" i="17"/>
  <c r="O194" i="17"/>
  <c r="O114" i="17"/>
  <c r="O189" i="17"/>
  <c r="O109" i="17"/>
  <c r="O157" i="17"/>
  <c r="O125" i="17"/>
  <c r="O141" i="17"/>
  <c r="O173" i="17"/>
  <c r="J27" i="22"/>
  <c r="J28" i="22"/>
  <c r="J29" i="22"/>
  <c r="J30" i="22"/>
  <c r="J31" i="22"/>
  <c r="J32" i="22"/>
  <c r="J33" i="22"/>
  <c r="J34" i="22"/>
  <c r="J35" i="22"/>
  <c r="J36" i="22"/>
  <c r="J37" i="22"/>
  <c r="J38" i="22"/>
  <c r="J39" i="22"/>
  <c r="J40" i="22"/>
  <c r="J41" i="22"/>
  <c r="J42" i="22"/>
  <c r="G6" i="22"/>
  <c r="G7" i="22"/>
  <c r="G8" i="22"/>
  <c r="G9" i="22"/>
  <c r="G10" i="22"/>
  <c r="G11" i="22"/>
  <c r="G12" i="22"/>
  <c r="G13" i="22"/>
  <c r="G14" i="22"/>
  <c r="G15" i="22"/>
  <c r="G16" i="22"/>
  <c r="G17" i="22"/>
  <c r="G18" i="22"/>
  <c r="G19" i="22"/>
  <c r="K67" i="17"/>
  <c r="K68" i="17"/>
  <c r="K69" i="17"/>
  <c r="K70" i="17"/>
  <c r="K71" i="17"/>
  <c r="K72" i="17"/>
  <c r="K73" i="17"/>
  <c r="K74" i="17"/>
  <c r="K75" i="17"/>
  <c r="K76" i="17"/>
  <c r="K77" i="17"/>
  <c r="K78" i="17"/>
  <c r="K79" i="17"/>
  <c r="K80" i="17"/>
  <c r="K81" i="17"/>
  <c r="K82" i="17"/>
  <c r="K35" i="17"/>
  <c r="K36" i="17"/>
  <c r="K37" i="17"/>
  <c r="K38" i="17"/>
  <c r="K39" i="17"/>
  <c r="K40" i="17"/>
  <c r="K41" i="17"/>
  <c r="K42" i="17"/>
  <c r="K43" i="17"/>
  <c r="K44" i="17"/>
  <c r="K45" i="17"/>
  <c r="K46" i="17"/>
  <c r="K47" i="17"/>
  <c r="K48" i="17"/>
  <c r="K49" i="17"/>
  <c r="K50" i="17"/>
  <c r="K83" i="17"/>
  <c r="K84" i="17"/>
  <c r="K85" i="17"/>
  <c r="K86" i="17"/>
  <c r="K87" i="17"/>
  <c r="K88" i="17"/>
  <c r="K89" i="17"/>
  <c r="K90" i="17"/>
  <c r="K91" i="17"/>
  <c r="K92" i="17"/>
  <c r="K93" i="17"/>
  <c r="K94" i="17"/>
  <c r="K95" i="17"/>
  <c r="K96" i="17"/>
  <c r="K97" i="17"/>
  <c r="K98" i="17"/>
  <c r="K51" i="17"/>
  <c r="K52" i="17"/>
  <c r="K53" i="17"/>
  <c r="K54" i="17"/>
  <c r="K55" i="17"/>
  <c r="K56" i="17"/>
  <c r="K57" i="17"/>
  <c r="K58" i="17"/>
  <c r="K59" i="17"/>
  <c r="K60" i="17"/>
  <c r="K61" i="17"/>
  <c r="K62" i="17"/>
  <c r="K63" i="17"/>
  <c r="K64" i="17"/>
  <c r="K65" i="17"/>
  <c r="K66" i="17"/>
  <c r="I16" i="51"/>
  <c r="I17" i="51"/>
  <c r="I18" i="51"/>
  <c r="I19" i="51"/>
  <c r="I20" i="51"/>
  <c r="I21" i="51"/>
  <c r="I22" i="51"/>
  <c r="I23" i="51"/>
  <c r="I24" i="51"/>
  <c r="I25" i="51"/>
  <c r="I26" i="51"/>
  <c r="I27" i="51"/>
  <c r="I28" i="51"/>
  <c r="I29" i="51"/>
  <c r="I30" i="51"/>
  <c r="I31" i="51"/>
  <c r="I32" i="51"/>
  <c r="I33" i="51"/>
  <c r="I34" i="51"/>
  <c r="I35" i="51"/>
  <c r="I36" i="51"/>
  <c r="I37" i="51"/>
  <c r="I38" i="51"/>
  <c r="I39" i="51"/>
  <c r="I40" i="51"/>
  <c r="I41" i="51"/>
  <c r="I42" i="51"/>
  <c r="I43" i="51"/>
  <c r="I44" i="51"/>
  <c r="I45" i="51"/>
  <c r="I46" i="51"/>
  <c r="I47" i="51"/>
  <c r="I16" i="50"/>
  <c r="I17" i="50"/>
  <c r="I18" i="50"/>
  <c r="I19" i="50"/>
  <c r="I20" i="50"/>
  <c r="I21" i="50"/>
  <c r="I22" i="50"/>
  <c r="I23" i="50"/>
  <c r="I24" i="50"/>
  <c r="I25" i="50"/>
  <c r="I26" i="50"/>
  <c r="I27" i="50"/>
  <c r="I28" i="50"/>
  <c r="I29" i="50"/>
  <c r="I30" i="50"/>
  <c r="I31" i="50"/>
  <c r="I32" i="50"/>
  <c r="I33" i="50"/>
  <c r="I34" i="50"/>
  <c r="I35" i="50"/>
  <c r="I36" i="50"/>
  <c r="I37" i="50"/>
  <c r="I38" i="50"/>
  <c r="I39" i="50"/>
  <c r="I40" i="50"/>
  <c r="I41" i="50"/>
  <c r="I42" i="50"/>
  <c r="I43" i="50"/>
  <c r="I44" i="50"/>
  <c r="I45" i="50"/>
  <c r="I46" i="50"/>
  <c r="I47" i="50"/>
  <c r="I16" i="49"/>
  <c r="I17" i="49"/>
  <c r="I18" i="49"/>
  <c r="I19" i="49"/>
  <c r="I20" i="49"/>
  <c r="I21" i="49"/>
  <c r="I22" i="49"/>
  <c r="I23" i="49"/>
  <c r="I24" i="49"/>
  <c r="I25" i="49"/>
  <c r="I26" i="49"/>
  <c r="I27" i="49"/>
  <c r="I28" i="49"/>
  <c r="I29" i="49"/>
  <c r="I30" i="49"/>
  <c r="I31" i="49"/>
  <c r="I32" i="49"/>
  <c r="I33" i="49"/>
  <c r="I34" i="49"/>
  <c r="I35" i="49"/>
  <c r="I36" i="49"/>
  <c r="I37" i="49"/>
  <c r="I38" i="49"/>
  <c r="I39" i="49"/>
  <c r="I40" i="49"/>
  <c r="I41" i="49"/>
  <c r="I42" i="49"/>
  <c r="I43" i="49"/>
  <c r="I44" i="49"/>
  <c r="I45" i="49"/>
  <c r="I46" i="49"/>
  <c r="I47" i="49"/>
  <c r="I16" i="48"/>
  <c r="I17" i="48"/>
  <c r="I18" i="48"/>
  <c r="I19" i="48"/>
  <c r="I20" i="48"/>
  <c r="I21" i="48"/>
  <c r="I22" i="48"/>
  <c r="I23" i="48"/>
  <c r="I24" i="48"/>
  <c r="I25" i="48"/>
  <c r="I26" i="48"/>
  <c r="I27" i="48"/>
  <c r="I28" i="48"/>
  <c r="I29" i="48"/>
  <c r="I30" i="48"/>
  <c r="I31" i="48"/>
  <c r="I32" i="48"/>
  <c r="I33" i="48"/>
  <c r="I34" i="48"/>
  <c r="I35" i="48"/>
  <c r="I36" i="48"/>
  <c r="I37" i="48"/>
  <c r="I38" i="48"/>
  <c r="I39" i="48"/>
  <c r="I40" i="48"/>
  <c r="I41" i="48"/>
  <c r="I42" i="48"/>
  <c r="I43" i="48"/>
  <c r="I44" i="48"/>
  <c r="I45" i="48"/>
  <c r="I46" i="48"/>
  <c r="I47" i="48"/>
  <c r="B33" i="22"/>
  <c r="B34" i="22"/>
  <c r="B35" i="22"/>
  <c r="B36" i="22"/>
  <c r="B37" i="22"/>
  <c r="B38" i="22"/>
  <c r="B39" i="22"/>
  <c r="B40" i="22"/>
  <c r="B41" i="22"/>
  <c r="B42" i="22"/>
  <c r="C33" i="22"/>
  <c r="C34" i="22"/>
  <c r="C35" i="22"/>
  <c r="C36" i="22"/>
  <c r="C37" i="22"/>
  <c r="C38" i="22"/>
  <c r="C39" i="22"/>
  <c r="C40" i="22"/>
  <c r="C41" i="22"/>
  <c r="C42" i="22"/>
  <c r="B27" i="22"/>
  <c r="B28" i="22"/>
  <c r="B29" i="22"/>
  <c r="B30" i="22"/>
  <c r="B31" i="22"/>
  <c r="B32" i="22"/>
  <c r="B6" i="22"/>
  <c r="B7" i="22"/>
  <c r="B8" i="22"/>
  <c r="B9" i="22"/>
  <c r="B10" i="22"/>
  <c r="B11" i="22"/>
  <c r="B12" i="22"/>
  <c r="B13" i="22"/>
  <c r="B14" i="22"/>
  <c r="B15" i="22"/>
  <c r="B16" i="22"/>
  <c r="B17" i="22"/>
  <c r="B18" i="22"/>
  <c r="B19" i="22"/>
  <c r="I229" i="67" l="1"/>
  <c r="I236" i="67"/>
  <c r="J229" i="67"/>
  <c r="U189" i="67"/>
  <c r="M213" i="67"/>
  <c r="X189" i="67" s="1"/>
  <c r="X218" i="67"/>
  <c r="X219" i="67" s="1"/>
  <c r="L213" i="67"/>
  <c r="W189" i="67" s="1"/>
  <c r="W218" i="67"/>
  <c r="W219" i="67" s="1"/>
  <c r="J236" i="67"/>
  <c r="AE39" i="1"/>
  <c r="T39" i="1"/>
  <c r="AH55" i="1"/>
  <c r="AH56" i="1"/>
  <c r="W55" i="1"/>
  <c r="W56" i="1"/>
  <c r="AG39" i="1"/>
  <c r="U39" i="1"/>
  <c r="K229" i="67"/>
  <c r="K236" i="67"/>
  <c r="V39" i="1"/>
  <c r="AF39" i="1"/>
  <c r="BA46" i="1"/>
  <c r="BA39" i="1" s="1"/>
  <c r="BC46" i="1"/>
  <c r="BC39" i="1" s="1"/>
  <c r="BB46" i="1"/>
  <c r="BB39" i="1" s="1"/>
  <c r="BD46" i="1"/>
  <c r="BD39" i="1" s="1"/>
  <c r="AS39" i="1"/>
  <c r="AS48" i="1" s="1"/>
  <c r="AP39" i="1"/>
  <c r="AQ39" i="1"/>
  <c r="H23" i="17"/>
  <c r="H24" i="17"/>
  <c r="H25" i="17"/>
  <c r="H26" i="17"/>
  <c r="H20" i="17"/>
  <c r="L229" i="67" l="1"/>
  <c r="M236" i="67"/>
  <c r="M229" i="67"/>
  <c r="L236" i="67"/>
  <c r="H21" i="17"/>
  <c r="H22" i="17"/>
  <c r="AS55" i="1"/>
  <c r="AS56" i="1"/>
  <c r="B83" i="17"/>
  <c r="B84" i="17"/>
  <c r="B85" i="17"/>
  <c r="B86" i="17"/>
  <c r="B87" i="17"/>
  <c r="B88" i="17"/>
  <c r="B89" i="17"/>
  <c r="B90" i="17"/>
  <c r="B91" i="17"/>
  <c r="B92" i="17"/>
  <c r="B93" i="17"/>
  <c r="B94" i="17"/>
  <c r="B95" i="17"/>
  <c r="B96" i="17"/>
  <c r="B97" i="17"/>
  <c r="B98" i="17"/>
  <c r="B51" i="17"/>
  <c r="B52" i="17"/>
  <c r="B53" i="17"/>
  <c r="B54" i="17"/>
  <c r="B55" i="17"/>
  <c r="B56" i="17"/>
  <c r="B57" i="17"/>
  <c r="B58" i="17"/>
  <c r="B59" i="17"/>
  <c r="B60" i="17"/>
  <c r="B61" i="17"/>
  <c r="B62" i="17"/>
  <c r="B63" i="17"/>
  <c r="B64" i="17"/>
  <c r="B65" i="17"/>
  <c r="B66" i="17"/>
  <c r="C83" i="17"/>
  <c r="C84" i="17"/>
  <c r="C85" i="17"/>
  <c r="C86" i="17"/>
  <c r="C87" i="17"/>
  <c r="C88" i="17"/>
  <c r="C89" i="17"/>
  <c r="C90" i="17"/>
  <c r="C91" i="17"/>
  <c r="C92" i="17"/>
  <c r="C93" i="17"/>
  <c r="C94" i="17"/>
  <c r="C95" i="17"/>
  <c r="C96" i="17"/>
  <c r="C97" i="17"/>
  <c r="C98" i="17"/>
  <c r="C51" i="17"/>
  <c r="C52" i="17"/>
  <c r="C53" i="17"/>
  <c r="C54" i="17"/>
  <c r="C55" i="17"/>
  <c r="C56" i="17"/>
  <c r="C57" i="17"/>
  <c r="C58" i="17"/>
  <c r="C59" i="17"/>
  <c r="C60" i="17"/>
  <c r="C61" i="17"/>
  <c r="C62" i="17"/>
  <c r="C63" i="17"/>
  <c r="C64" i="17"/>
  <c r="C65" i="17"/>
  <c r="C66" i="17"/>
  <c r="N83" i="17"/>
  <c r="N84" i="17"/>
  <c r="N85" i="17"/>
  <c r="N86" i="17"/>
  <c r="N87" i="17"/>
  <c r="N88" i="17"/>
  <c r="N89" i="17"/>
  <c r="N90" i="17"/>
  <c r="N91" i="17"/>
  <c r="N92" i="17"/>
  <c r="N93" i="17"/>
  <c r="N94" i="17"/>
  <c r="N95" i="17"/>
  <c r="N96" i="17"/>
  <c r="N97" i="17"/>
  <c r="N98" i="17"/>
  <c r="N51" i="17"/>
  <c r="N52" i="17"/>
  <c r="N53" i="17"/>
  <c r="N54" i="17"/>
  <c r="N55" i="17"/>
  <c r="N56" i="17"/>
  <c r="N57" i="17"/>
  <c r="N58" i="17"/>
  <c r="N59" i="17"/>
  <c r="N60" i="17"/>
  <c r="N61" i="17"/>
  <c r="N62" i="17"/>
  <c r="N63" i="17"/>
  <c r="N64" i="17"/>
  <c r="N65" i="17"/>
  <c r="N66" i="17"/>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16" i="48"/>
  <c r="B17" i="48"/>
  <c r="B18" i="48"/>
  <c r="B19" i="48"/>
  <c r="B20" i="48"/>
  <c r="B21" i="48"/>
  <c r="B22" i="48"/>
  <c r="B23" i="48"/>
  <c r="B24" i="48"/>
  <c r="B25" i="48"/>
  <c r="B26" i="48"/>
  <c r="B27" i="48"/>
  <c r="B28" i="48"/>
  <c r="B29" i="48"/>
  <c r="B30" i="48"/>
  <c r="B31" i="48"/>
  <c r="B32" i="48"/>
  <c r="B33" i="48"/>
  <c r="B34" i="48"/>
  <c r="B35" i="48"/>
  <c r="B36" i="48"/>
  <c r="B37" i="48"/>
  <c r="B38" i="48"/>
  <c r="B39" i="48"/>
  <c r="B40" i="48"/>
  <c r="B41" i="48"/>
  <c r="B42" i="48"/>
  <c r="B43" i="48"/>
  <c r="B44" i="48"/>
  <c r="B45" i="48"/>
  <c r="B46" i="48"/>
  <c r="B47" i="48"/>
  <c r="B67" i="17"/>
  <c r="B68" i="17"/>
  <c r="B69" i="17"/>
  <c r="B70" i="17"/>
  <c r="B71" i="17"/>
  <c r="B72" i="17"/>
  <c r="B73" i="17"/>
  <c r="B74" i="17"/>
  <c r="B75" i="17"/>
  <c r="B76" i="17"/>
  <c r="B77" i="17"/>
  <c r="B78" i="17"/>
  <c r="B79" i="17"/>
  <c r="B80" i="17"/>
  <c r="B81" i="17"/>
  <c r="B82" i="17"/>
  <c r="B35" i="17"/>
  <c r="B36" i="17"/>
  <c r="B37" i="17"/>
  <c r="B38" i="17"/>
  <c r="B39" i="17"/>
  <c r="B40" i="17"/>
  <c r="B41" i="17"/>
  <c r="B42" i="17"/>
  <c r="B43" i="17"/>
  <c r="B44" i="17"/>
  <c r="B45" i="17"/>
  <c r="B46" i="17"/>
  <c r="B47" i="17"/>
  <c r="B48" i="17"/>
  <c r="B49" i="17"/>
  <c r="B50" i="17"/>
  <c r="C67" i="17"/>
  <c r="C68" i="17"/>
  <c r="C69" i="17"/>
  <c r="C70" i="17"/>
  <c r="C71" i="17"/>
  <c r="C72" i="17"/>
  <c r="C73" i="17"/>
  <c r="C74" i="17"/>
  <c r="C75" i="17"/>
  <c r="C76" i="17"/>
  <c r="C77" i="17"/>
  <c r="C78" i="17"/>
  <c r="C79" i="17"/>
  <c r="C80" i="17"/>
  <c r="C81" i="17"/>
  <c r="C82" i="17"/>
  <c r="C35" i="17"/>
  <c r="C36" i="17"/>
  <c r="C37" i="17"/>
  <c r="C38" i="17"/>
  <c r="C39" i="17"/>
  <c r="C40" i="17"/>
  <c r="C41" i="17"/>
  <c r="C42" i="17"/>
  <c r="C43" i="17"/>
  <c r="C44" i="17"/>
  <c r="C45" i="17"/>
  <c r="C46" i="17"/>
  <c r="C47" i="17"/>
  <c r="C48" i="17"/>
  <c r="C49" i="17"/>
  <c r="C50" i="17"/>
  <c r="N35" i="17"/>
  <c r="N36" i="17"/>
  <c r="N37" i="17"/>
  <c r="N38" i="17"/>
  <c r="N39" i="17"/>
  <c r="N40" i="17"/>
  <c r="N41" i="17"/>
  <c r="N42" i="17"/>
  <c r="N43" i="17"/>
  <c r="N44" i="17"/>
  <c r="N45" i="17"/>
  <c r="N46" i="17"/>
  <c r="N47" i="17"/>
  <c r="N48" i="17"/>
  <c r="N49" i="17"/>
  <c r="N50" i="17"/>
  <c r="P125" i="17" l="1"/>
  <c r="P178" i="17"/>
  <c r="P157" i="17"/>
  <c r="P141" i="17"/>
  <c r="P130" i="17"/>
  <c r="P162" i="17"/>
  <c r="P189" i="17"/>
  <c r="P109" i="17"/>
  <c r="P146" i="17"/>
  <c r="P173" i="17"/>
  <c r="P114" i="17"/>
  <c r="P194" i="17"/>
  <c r="M27" i="22"/>
  <c r="BD24" i="1"/>
  <c r="BD23" i="1" s="1"/>
  <c r="BD48" i="1" s="1"/>
  <c r="L24" i="1"/>
  <c r="L23" i="1" s="1"/>
  <c r="U162" i="17"/>
  <c r="U189" i="17"/>
  <c r="U141" i="17"/>
  <c r="U125" i="17"/>
  <c r="U130" i="17"/>
  <c r="U114" i="17"/>
  <c r="U146" i="17"/>
  <c r="U178" i="17"/>
  <c r="U194" i="17"/>
  <c r="U157" i="17"/>
  <c r="U173" i="17"/>
  <c r="U109" i="17"/>
  <c r="M83" i="22"/>
  <c r="M53" i="22"/>
  <c r="M63" i="22"/>
  <c r="M54" i="22"/>
  <c r="M75" i="22"/>
  <c r="M55" i="22"/>
  <c r="M59" i="22"/>
  <c r="M87" i="22"/>
  <c r="M67" i="22"/>
  <c r="M45" i="22"/>
  <c r="M71" i="22"/>
  <c r="M79" i="22"/>
  <c r="M47" i="22"/>
  <c r="M50" i="22"/>
  <c r="M51" i="22"/>
  <c r="M86" i="22"/>
  <c r="M62" i="22"/>
  <c r="M73" i="22"/>
  <c r="M80" i="22"/>
  <c r="M48" i="22"/>
  <c r="M56" i="22"/>
  <c r="M69" i="22"/>
  <c r="M89" i="22"/>
  <c r="M65" i="22"/>
  <c r="M61" i="22"/>
  <c r="M84" i="22"/>
  <c r="M70" i="22"/>
  <c r="M66" i="22"/>
  <c r="M78" i="22"/>
  <c r="M90" i="22"/>
  <c r="M88" i="22"/>
  <c r="M72" i="22"/>
  <c r="M76" i="22"/>
  <c r="M43" i="22"/>
  <c r="M49" i="22"/>
  <c r="M60" i="22"/>
  <c r="M52" i="22"/>
  <c r="M44" i="22"/>
  <c r="M74" i="22"/>
  <c r="M82" i="22"/>
  <c r="M64" i="22"/>
  <c r="M58" i="22"/>
  <c r="M77" i="22"/>
  <c r="M85" i="22"/>
  <c r="M68" i="22"/>
  <c r="M46" i="22"/>
  <c r="M81" i="22"/>
  <c r="M57" i="22"/>
  <c r="M37" i="22"/>
  <c r="M34" i="22"/>
  <c r="M40" i="22"/>
  <c r="M35" i="22"/>
  <c r="M41" i="22"/>
  <c r="M38" i="22"/>
  <c r="M36" i="22"/>
  <c r="M42" i="22"/>
  <c r="M33" i="22"/>
  <c r="M39" i="22"/>
  <c r="K33" i="51"/>
  <c r="K36" i="51" s="1"/>
  <c r="K32" i="51"/>
  <c r="K31" i="51"/>
  <c r="K34" i="51" s="1"/>
  <c r="K37" i="51" s="1"/>
  <c r="K26" i="51"/>
  <c r="L32" i="50"/>
  <c r="L33" i="50"/>
  <c r="L34" i="50"/>
  <c r="L35" i="50"/>
  <c r="L36" i="50"/>
  <c r="L37" i="50"/>
  <c r="L38" i="50"/>
  <c r="L39" i="50"/>
  <c r="L40" i="50"/>
  <c r="L41" i="50"/>
  <c r="L42" i="50"/>
  <c r="L43" i="50"/>
  <c r="L44" i="50"/>
  <c r="L45" i="50"/>
  <c r="L46" i="50"/>
  <c r="L47" i="50"/>
  <c r="K31" i="50"/>
  <c r="J31" i="50"/>
  <c r="K30" i="50"/>
  <c r="J30" i="50"/>
  <c r="K29" i="50"/>
  <c r="J29" i="50"/>
  <c r="K26" i="50"/>
  <c r="J26" i="50"/>
  <c r="L22" i="50"/>
  <c r="L23" i="50"/>
  <c r="L24" i="50"/>
  <c r="L25" i="50"/>
  <c r="L27" i="50"/>
  <c r="L28" i="50"/>
  <c r="L21" i="50"/>
  <c r="L20" i="50"/>
  <c r="L19" i="50"/>
  <c r="L18" i="50"/>
  <c r="L17" i="50"/>
  <c r="L16" i="50"/>
  <c r="K31" i="49"/>
  <c r="J31" i="49"/>
  <c r="K30" i="49"/>
  <c r="J30" i="49"/>
  <c r="K29" i="49"/>
  <c r="J29" i="49"/>
  <c r="K26" i="49"/>
  <c r="J26" i="49"/>
  <c r="L32" i="48"/>
  <c r="L33" i="48"/>
  <c r="M33" i="48" s="1"/>
  <c r="P33" i="48" s="1"/>
  <c r="L34" i="48"/>
  <c r="M34" i="48" s="1"/>
  <c r="L35" i="48"/>
  <c r="M35" i="48" s="1"/>
  <c r="L36" i="48"/>
  <c r="M36" i="48" s="1"/>
  <c r="L37" i="48"/>
  <c r="M37" i="48" s="1"/>
  <c r="L38" i="48"/>
  <c r="M38" i="48" s="1"/>
  <c r="L39" i="48"/>
  <c r="M39" i="48" s="1"/>
  <c r="L40" i="48"/>
  <c r="M40" i="48" s="1"/>
  <c r="L41" i="48"/>
  <c r="M41" i="48" s="1"/>
  <c r="L42" i="48"/>
  <c r="M42" i="48" s="1"/>
  <c r="L43" i="48"/>
  <c r="M43" i="48" s="1"/>
  <c r="L44" i="48"/>
  <c r="M44" i="48" s="1"/>
  <c r="L45" i="48"/>
  <c r="M45" i="48" s="1"/>
  <c r="L46" i="48"/>
  <c r="M46" i="48" s="1"/>
  <c r="P46" i="48" s="1"/>
  <c r="L47" i="48"/>
  <c r="M47" i="48" s="1"/>
  <c r="P47" i="48" s="1"/>
  <c r="M32" i="48"/>
  <c r="P32" i="48" s="1"/>
  <c r="N73" i="17"/>
  <c r="N74" i="17"/>
  <c r="N75" i="17"/>
  <c r="N76" i="17"/>
  <c r="N77" i="17"/>
  <c r="N78" i="17"/>
  <c r="N79" i="17"/>
  <c r="N80" i="17"/>
  <c r="N81" i="17"/>
  <c r="N82" i="17"/>
  <c r="L22" i="48"/>
  <c r="M22" i="48" s="1"/>
  <c r="L23" i="48"/>
  <c r="M23" i="48" s="1"/>
  <c r="L24" i="48"/>
  <c r="M24" i="48" s="1"/>
  <c r="L25" i="48"/>
  <c r="M25" i="48" s="1"/>
  <c r="P25" i="48" s="1"/>
  <c r="L26" i="48"/>
  <c r="M26" i="48" s="1"/>
  <c r="P26" i="48" s="1"/>
  <c r="L27" i="48"/>
  <c r="M27" i="48" s="1"/>
  <c r="P27" i="48" s="1"/>
  <c r="L28" i="48"/>
  <c r="M28" i="48" s="1"/>
  <c r="P28" i="48" s="1"/>
  <c r="L29" i="48"/>
  <c r="M29" i="48" s="1"/>
  <c r="L30" i="48"/>
  <c r="M30" i="48" s="1"/>
  <c r="L31" i="48"/>
  <c r="M31" i="48" s="1"/>
  <c r="M32" i="50"/>
  <c r="O32" i="50" s="1"/>
  <c r="L16" i="48"/>
  <c r="M16" i="48" s="1"/>
  <c r="L17" i="48"/>
  <c r="M17" i="48" s="1"/>
  <c r="L18" i="48"/>
  <c r="M18" i="48" s="1"/>
  <c r="L19" i="48"/>
  <c r="M19" i="48" s="1"/>
  <c r="L20" i="48"/>
  <c r="M20" i="48" s="1"/>
  <c r="L21" i="48"/>
  <c r="M21" i="48" s="1"/>
  <c r="BD55" i="1" l="1"/>
  <c r="BD56" i="1"/>
  <c r="P39" i="48"/>
  <c r="L30" i="50"/>
  <c r="L29" i="50"/>
  <c r="P37" i="48"/>
  <c r="P40" i="48"/>
  <c r="L31" i="50"/>
  <c r="P38" i="48"/>
  <c r="P45" i="48"/>
  <c r="L26" i="50"/>
  <c r="P35" i="48"/>
  <c r="P42" i="48"/>
  <c r="P34" i="48"/>
  <c r="P41" i="48"/>
  <c r="P44" i="48"/>
  <c r="P43" i="48"/>
  <c r="P22" i="48"/>
  <c r="M19" i="50"/>
  <c r="O19" i="50" s="1"/>
  <c r="M27" i="50"/>
  <c r="O27" i="50" s="1"/>
  <c r="P36" i="48"/>
  <c r="K39" i="51"/>
  <c r="K40" i="51"/>
  <c r="K35" i="51"/>
  <c r="M40" i="50"/>
  <c r="O40" i="50" s="1"/>
  <c r="L40" i="49"/>
  <c r="M18" i="50"/>
  <c r="O18" i="50" s="1"/>
  <c r="M25" i="50"/>
  <c r="O25" i="50" s="1"/>
  <c r="M26" i="50"/>
  <c r="M39" i="50"/>
  <c r="O39" i="50" s="1"/>
  <c r="M46" i="50"/>
  <c r="O46" i="50" s="1"/>
  <c r="M38" i="50"/>
  <c r="O38" i="50" s="1"/>
  <c r="M17" i="50"/>
  <c r="O17" i="50" s="1"/>
  <c r="M24" i="50"/>
  <c r="O24" i="50" s="1"/>
  <c r="M47" i="50"/>
  <c r="O47" i="50" s="1"/>
  <c r="M37" i="50"/>
  <c r="O37" i="50" s="1"/>
  <c r="M16" i="50"/>
  <c r="O16" i="50" s="1"/>
  <c r="M22" i="50"/>
  <c r="O22" i="50" s="1"/>
  <c r="M45" i="50"/>
  <c r="O45" i="50" s="1"/>
  <c r="M36" i="50"/>
  <c r="O36" i="50" s="1"/>
  <c r="M31" i="50"/>
  <c r="M23" i="50"/>
  <c r="O23" i="50" s="1"/>
  <c r="M44" i="50"/>
  <c r="O44" i="50" s="1"/>
  <c r="M35" i="50"/>
  <c r="O35" i="50" s="1"/>
  <c r="M43" i="50"/>
  <c r="O43" i="50" s="1"/>
  <c r="M34" i="50"/>
  <c r="O34" i="50" s="1"/>
  <c r="M21" i="50"/>
  <c r="O21" i="50" s="1"/>
  <c r="M29" i="50"/>
  <c r="M42" i="50"/>
  <c r="O42" i="50" s="1"/>
  <c r="M33" i="50"/>
  <c r="O33" i="50" s="1"/>
  <c r="M20" i="50"/>
  <c r="O20" i="50" s="1"/>
  <c r="M30" i="50"/>
  <c r="M28" i="50"/>
  <c r="O28" i="50" s="1"/>
  <c r="M41" i="50"/>
  <c r="O41" i="50" s="1"/>
  <c r="L37" i="49"/>
  <c r="L38" i="49"/>
  <c r="L41" i="49"/>
  <c r="L47" i="49"/>
  <c r="L39" i="49"/>
  <c r="L45" i="49"/>
  <c r="L22" i="49"/>
  <c r="L36" i="49"/>
  <c r="L35" i="49"/>
  <c r="L44" i="49"/>
  <c r="L34" i="49"/>
  <c r="L46" i="49"/>
  <c r="L30" i="49"/>
  <c r="N30" i="49" s="1"/>
  <c r="L43" i="49"/>
  <c r="L33" i="49"/>
  <c r="L42" i="49"/>
  <c r="L32" i="49"/>
  <c r="L29" i="49"/>
  <c r="O29" i="49" s="1"/>
  <c r="L19" i="49"/>
  <c r="L18" i="49"/>
  <c r="L26" i="49"/>
  <c r="O26" i="49" s="1"/>
  <c r="L20" i="49"/>
  <c r="L27" i="49"/>
  <c r="L28" i="49"/>
  <c r="L25" i="49"/>
  <c r="L16" i="49"/>
  <c r="L24" i="49"/>
  <c r="L31" i="49"/>
  <c r="N31" i="49" s="1"/>
  <c r="L23" i="49"/>
  <c r="L21" i="49"/>
  <c r="L17" i="49"/>
  <c r="P30" i="48"/>
  <c r="P29" i="48"/>
  <c r="P24" i="48"/>
  <c r="P31" i="48"/>
  <c r="P23" i="48"/>
  <c r="P19" i="48"/>
  <c r="P18" i="48"/>
  <c r="P20" i="48"/>
  <c r="P21" i="48"/>
  <c r="P17" i="48"/>
  <c r="Q146" i="17" l="1"/>
  <c r="Q194" i="17"/>
  <c r="Q130" i="17"/>
  <c r="Q178" i="17"/>
  <c r="Q114" i="17"/>
  <c r="Q162" i="17"/>
  <c r="S141" i="17"/>
  <c r="S109" i="17"/>
  <c r="S173" i="17"/>
  <c r="S157" i="17"/>
  <c r="S189" i="17"/>
  <c r="S125" i="17"/>
  <c r="R114" i="17"/>
  <c r="R178" i="17"/>
  <c r="R146" i="17"/>
  <c r="R194" i="17"/>
  <c r="R162" i="17"/>
  <c r="R130" i="17"/>
  <c r="Q125" i="17"/>
  <c r="Q173" i="17"/>
  <c r="Q157" i="17"/>
  <c r="Q141" i="17"/>
  <c r="Q189" i="17"/>
  <c r="Q109" i="17"/>
  <c r="N29" i="49"/>
  <c r="N39" i="49"/>
  <c r="J39" i="51" s="1"/>
  <c r="L39" i="51" s="1"/>
  <c r="O39" i="49"/>
  <c r="N26" i="49"/>
  <c r="O24" i="49"/>
  <c r="N24" i="49"/>
  <c r="J24" i="51" s="1"/>
  <c r="L24" i="51" s="1"/>
  <c r="O24" i="51" s="1"/>
  <c r="O19" i="49"/>
  <c r="N19" i="49"/>
  <c r="J19" i="51" s="1"/>
  <c r="L19" i="51" s="1"/>
  <c r="O19" i="51" s="1"/>
  <c r="O47" i="49"/>
  <c r="N47" i="49"/>
  <c r="O40" i="49"/>
  <c r="N40" i="49"/>
  <c r="O31" i="49"/>
  <c r="O16" i="49"/>
  <c r="N16" i="49"/>
  <c r="J16" i="51" s="1"/>
  <c r="L16" i="51" s="1"/>
  <c r="O16" i="51" s="1"/>
  <c r="O34" i="49"/>
  <c r="N34" i="49"/>
  <c r="J34" i="51" s="1"/>
  <c r="L34" i="51" s="1"/>
  <c r="O41" i="49"/>
  <c r="N41" i="49"/>
  <c r="J41" i="51" s="1"/>
  <c r="N43" i="49"/>
  <c r="O43" i="49"/>
  <c r="O18" i="49"/>
  <c r="N18" i="49"/>
  <c r="J18" i="51" s="1"/>
  <c r="L18" i="51" s="1"/>
  <c r="O18" i="51" s="1"/>
  <c r="N38" i="49"/>
  <c r="J38" i="51" s="1"/>
  <c r="O38" i="49"/>
  <c r="O28" i="49"/>
  <c r="N28" i="49"/>
  <c r="J28" i="51" s="1"/>
  <c r="L28" i="51" s="1"/>
  <c r="O28" i="51" s="1"/>
  <c r="O32" i="49"/>
  <c r="N32" i="49"/>
  <c r="O35" i="49"/>
  <c r="N35" i="49"/>
  <c r="J35" i="51" s="1"/>
  <c r="L35" i="51" s="1"/>
  <c r="O37" i="49"/>
  <c r="N37" i="49"/>
  <c r="J37" i="51" s="1"/>
  <c r="L37" i="51" s="1"/>
  <c r="O42" i="49"/>
  <c r="N42" i="49"/>
  <c r="O25" i="49"/>
  <c r="N25" i="49"/>
  <c r="J25" i="51" s="1"/>
  <c r="L25" i="51" s="1"/>
  <c r="O25" i="51" s="1"/>
  <c r="O44" i="49"/>
  <c r="N44" i="49"/>
  <c r="J44" i="51" s="1"/>
  <c r="O17" i="49"/>
  <c r="N17" i="49"/>
  <c r="J17" i="51" s="1"/>
  <c r="L17" i="51" s="1"/>
  <c r="O17" i="51" s="1"/>
  <c r="O27" i="49"/>
  <c r="N27" i="49"/>
  <c r="J27" i="51" s="1"/>
  <c r="L27" i="51" s="1"/>
  <c r="O27" i="51" s="1"/>
  <c r="O36" i="49"/>
  <c r="N36" i="49"/>
  <c r="J36" i="51" s="1"/>
  <c r="L36" i="51" s="1"/>
  <c r="O30" i="49"/>
  <c r="N21" i="49"/>
  <c r="O21" i="49"/>
  <c r="O20" i="49"/>
  <c r="N20" i="49"/>
  <c r="J20" i="51" s="1"/>
  <c r="L20" i="51" s="1"/>
  <c r="O20" i="51" s="1"/>
  <c r="O33" i="49"/>
  <c r="N33" i="49"/>
  <c r="J33" i="51" s="1"/>
  <c r="L33" i="51" s="1"/>
  <c r="O22" i="49"/>
  <c r="N22" i="49"/>
  <c r="J22" i="51" s="1"/>
  <c r="L22" i="51" s="1"/>
  <c r="O22" i="51" s="1"/>
  <c r="N23" i="49"/>
  <c r="J23" i="51" s="1"/>
  <c r="L23" i="51" s="1"/>
  <c r="O23" i="51" s="1"/>
  <c r="O23" i="49"/>
  <c r="O45" i="49"/>
  <c r="N45" i="49"/>
  <c r="J45" i="51" s="1"/>
  <c r="O46" i="49"/>
  <c r="N46" i="49"/>
  <c r="O31" i="50"/>
  <c r="O26" i="50"/>
  <c r="O30" i="50"/>
  <c r="O29" i="50"/>
  <c r="J40" i="51"/>
  <c r="L40" i="51" s="1"/>
  <c r="J43" i="51"/>
  <c r="K42" i="51"/>
  <c r="K43" i="51"/>
  <c r="K38" i="51"/>
  <c r="T141" i="17" l="1"/>
  <c r="T109" i="17"/>
  <c r="T173" i="17"/>
  <c r="T157" i="17"/>
  <c r="T125" i="17"/>
  <c r="T189" i="17"/>
  <c r="T178" i="17"/>
  <c r="V178" i="17" s="1"/>
  <c r="T114" i="17"/>
  <c r="V114" i="17" s="1"/>
  <c r="T146" i="17"/>
  <c r="V146" i="17" s="1"/>
  <c r="T194" i="17"/>
  <c r="V194" i="17" s="1"/>
  <c r="T162" i="17"/>
  <c r="V162" i="17" s="1"/>
  <c r="T130" i="17"/>
  <c r="V130" i="17" s="1"/>
  <c r="S114" i="17"/>
  <c r="S178" i="17"/>
  <c r="S146" i="17"/>
  <c r="S162" i="17"/>
  <c r="S194" i="17"/>
  <c r="S130" i="17"/>
  <c r="R109" i="17"/>
  <c r="R141" i="17"/>
  <c r="R173" i="17"/>
  <c r="V173" i="17" s="1"/>
  <c r="R125" i="17"/>
  <c r="R189" i="17"/>
  <c r="R157" i="17"/>
  <c r="V157" i="17" s="1"/>
  <c r="J21" i="51"/>
  <c r="L21" i="51" s="1"/>
  <c r="O21" i="51" s="1"/>
  <c r="J32" i="51"/>
  <c r="L32" i="51" s="1"/>
  <c r="O32" i="51" s="1"/>
  <c r="J26" i="51"/>
  <c r="L26" i="51" s="1"/>
  <c r="O26" i="51" s="1"/>
  <c r="J29" i="51"/>
  <c r="L29" i="51" s="1"/>
  <c r="O29" i="51" s="1"/>
  <c r="O33" i="51"/>
  <c r="O36" i="51"/>
  <c r="O35" i="51"/>
  <c r="O37" i="51"/>
  <c r="O39" i="51"/>
  <c r="O40" i="51"/>
  <c r="O34" i="51"/>
  <c r="J47" i="51"/>
  <c r="J31" i="51"/>
  <c r="L31" i="51" s="1"/>
  <c r="O31" i="51" s="1"/>
  <c r="J30" i="51"/>
  <c r="L30" i="51" s="1"/>
  <c r="O30" i="51" s="1"/>
  <c r="L43" i="51"/>
  <c r="L38" i="51"/>
  <c r="J42" i="51"/>
  <c r="L42" i="51" s="1"/>
  <c r="J46" i="51"/>
  <c r="K45" i="51"/>
  <c r="L45" i="51" s="1"/>
  <c r="K41" i="51"/>
  <c r="L41" i="51" s="1"/>
  <c r="K46" i="51"/>
  <c r="N70" i="17"/>
  <c r="V189" i="17" l="1"/>
  <c r="W189" i="17" s="1"/>
  <c r="W130" i="17"/>
  <c r="V109" i="17"/>
  <c r="W109" i="17" s="1"/>
  <c r="W146" i="17"/>
  <c r="V125" i="17"/>
  <c r="W125" i="17" s="1"/>
  <c r="V141" i="17"/>
  <c r="W141" i="17" s="1"/>
  <c r="W178" i="17"/>
  <c r="W173" i="17"/>
  <c r="W114" i="17"/>
  <c r="W157" i="17"/>
  <c r="W194" i="17"/>
  <c r="W162" i="17"/>
  <c r="O42" i="51"/>
  <c r="O38" i="51"/>
  <c r="O43" i="51"/>
  <c r="L46" i="51"/>
  <c r="O45" i="51"/>
  <c r="K44" i="51"/>
  <c r="L44" i="51" s="1"/>
  <c r="O41" i="51"/>
  <c r="O46" i="51" l="1"/>
  <c r="K47" i="51"/>
  <c r="L47" i="51" s="1"/>
  <c r="O44" i="51"/>
  <c r="O47" i="51" l="1"/>
  <c r="P22" i="16" l="1"/>
  <c r="P30" i="16"/>
  <c r="P46" i="16"/>
  <c r="P359" i="16" l="1"/>
  <c r="P271" i="16"/>
  <c r="P239" i="16"/>
  <c r="P215" i="16"/>
  <c r="P79" i="16"/>
  <c r="P393" i="16"/>
  <c r="P385" i="16"/>
  <c r="P383" i="16"/>
  <c r="P223" i="16"/>
  <c r="P303" i="16"/>
  <c r="P207" i="16"/>
  <c r="P295" i="16"/>
  <c r="P103" i="16"/>
  <c r="P391" i="16"/>
  <c r="P263" i="16"/>
  <c r="P55" i="16"/>
  <c r="P386" i="16"/>
  <c r="P255" i="16"/>
  <c r="P39" i="16"/>
  <c r="P311" i="16"/>
  <c r="P47" i="16"/>
  <c r="P389" i="16"/>
  <c r="P381" i="16"/>
  <c r="P373" i="16"/>
  <c r="P365" i="16"/>
  <c r="P357" i="16"/>
  <c r="P349" i="16"/>
  <c r="P341" i="16"/>
  <c r="P333" i="16"/>
  <c r="P325" i="16"/>
  <c r="P317" i="16"/>
  <c r="P309" i="16"/>
  <c r="P301" i="16"/>
  <c r="P293" i="16"/>
  <c r="P285" i="16"/>
  <c r="P277" i="16"/>
  <c r="P269" i="16"/>
  <c r="P261" i="16"/>
  <c r="P245" i="16"/>
  <c r="P237" i="16"/>
  <c r="P229" i="16"/>
  <c r="P221" i="16"/>
  <c r="P213" i="16"/>
  <c r="P197" i="16"/>
  <c r="P189" i="16"/>
  <c r="P173" i="16"/>
  <c r="P149" i="16"/>
  <c r="P141" i="16"/>
  <c r="P133" i="16"/>
  <c r="P109" i="16"/>
  <c r="P77" i="16"/>
  <c r="P69" i="16"/>
  <c r="P61" i="16"/>
  <c r="P53" i="16"/>
  <c r="P45" i="16"/>
  <c r="P37" i="16"/>
  <c r="P29" i="16"/>
  <c r="P21" i="16"/>
  <c r="P343" i="16"/>
  <c r="P135" i="16"/>
  <c r="P388" i="16"/>
  <c r="P380" i="16"/>
  <c r="P372" i="16"/>
  <c r="P364" i="16"/>
  <c r="P356" i="16"/>
  <c r="P348" i="16"/>
  <c r="P332" i="16"/>
  <c r="P324" i="16"/>
  <c r="P316" i="16"/>
  <c r="P308" i="16"/>
  <c r="P300" i="16"/>
  <c r="P292" i="16"/>
  <c r="P284" i="16"/>
  <c r="P276" i="16"/>
  <c r="P268" i="16"/>
  <c r="P260" i="16"/>
  <c r="P252" i="16"/>
  <c r="P244" i="16"/>
  <c r="P220" i="16"/>
  <c r="P212" i="16"/>
  <c r="P196" i="16"/>
  <c r="P188" i="16"/>
  <c r="P180" i="16"/>
  <c r="P172" i="16"/>
  <c r="P148" i="16"/>
  <c r="P140" i="16"/>
  <c r="P132" i="16"/>
  <c r="P116" i="16"/>
  <c r="P108" i="16"/>
  <c r="P92" i="16"/>
  <c r="P84" i="16"/>
  <c r="P76" i="16"/>
  <c r="P68" i="16"/>
  <c r="P60" i="16"/>
  <c r="P52" i="16"/>
  <c r="P44" i="16"/>
  <c r="P36" i="16"/>
  <c r="P28" i="16"/>
  <c r="P20" i="16"/>
  <c r="P375" i="16"/>
  <c r="P335" i="16"/>
  <c r="P287" i="16"/>
  <c r="P247" i="16"/>
  <c r="P159" i="16"/>
  <c r="P95" i="16"/>
  <c r="P23" i="16"/>
  <c r="P395" i="16"/>
  <c r="P387" i="16"/>
  <c r="P379" i="16"/>
  <c r="P371" i="16"/>
  <c r="P363" i="16"/>
  <c r="P355" i="16"/>
  <c r="P347" i="16"/>
  <c r="P331" i="16"/>
  <c r="P323" i="16"/>
  <c r="P315" i="16"/>
  <c r="P307" i="16"/>
  <c r="P299" i="16"/>
  <c r="P291" i="16"/>
  <c r="P283" i="16"/>
  <c r="P275" i="16"/>
  <c r="P267" i="16"/>
  <c r="P259" i="16"/>
  <c r="P243" i="16"/>
  <c r="P235" i="16"/>
  <c r="P219" i="16"/>
  <c r="P211" i="16"/>
  <c r="P203" i="16"/>
  <c r="P187" i="16"/>
  <c r="P179" i="16"/>
  <c r="P147" i="16"/>
  <c r="P139" i="16"/>
  <c r="P131" i="16"/>
  <c r="P115" i="16"/>
  <c r="P107" i="16"/>
  <c r="P91" i="16"/>
  <c r="P75" i="16"/>
  <c r="P67" i="16"/>
  <c r="P59" i="16"/>
  <c r="P51" i="16"/>
  <c r="P43" i="16"/>
  <c r="P27" i="16"/>
  <c r="P19" i="16"/>
  <c r="P351" i="16"/>
  <c r="P327" i="16"/>
  <c r="P231" i="16"/>
  <c r="P143" i="16"/>
  <c r="P63" i="16"/>
  <c r="P394" i="16"/>
  <c r="P378" i="16"/>
  <c r="P370" i="16"/>
  <c r="P362" i="16"/>
  <c r="P346" i="16"/>
  <c r="P330" i="16"/>
  <c r="P322" i="16"/>
  <c r="P314" i="16"/>
  <c r="P306" i="16"/>
  <c r="P298" i="16"/>
  <c r="P290" i="16"/>
  <c r="P282" i="16"/>
  <c r="P274" i="16"/>
  <c r="P266" i="16"/>
  <c r="P258" i="16"/>
  <c r="P250" i="16"/>
  <c r="P242" i="16"/>
  <c r="P218" i="16"/>
  <c r="P202" i="16"/>
  <c r="P186" i="16"/>
  <c r="P170" i="16"/>
  <c r="P146" i="16"/>
  <c r="P138" i="16"/>
  <c r="P130" i="16"/>
  <c r="P114" i="16"/>
  <c r="P106" i="16"/>
  <c r="P98" i="16"/>
  <c r="P74" i="16"/>
  <c r="P66" i="16"/>
  <c r="P58" i="16"/>
  <c r="P50" i="16"/>
  <c r="P42" i="16"/>
  <c r="P34" i="16"/>
  <c r="P26" i="16"/>
  <c r="P377" i="16"/>
  <c r="P361" i="16"/>
  <c r="P353" i="16"/>
  <c r="P337" i="16"/>
  <c r="P329" i="16"/>
  <c r="P321" i="16"/>
  <c r="P313" i="16"/>
  <c r="P305" i="16"/>
  <c r="P297" i="16"/>
  <c r="P289" i="16"/>
  <c r="P281" i="16"/>
  <c r="P273" i="16"/>
  <c r="P265" i="16"/>
  <c r="P257" i="16"/>
  <c r="P249" i="16"/>
  <c r="P241" i="16"/>
  <c r="P233" i="16"/>
  <c r="P217" i="16"/>
  <c r="P209" i="16"/>
  <c r="P185" i="16"/>
  <c r="P177" i="16"/>
  <c r="P169" i="16"/>
  <c r="P145" i="16"/>
  <c r="P137" i="16"/>
  <c r="P129" i="16"/>
  <c r="P105" i="16"/>
  <c r="P73" i="16"/>
  <c r="P65" i="16"/>
  <c r="P57" i="16"/>
  <c r="P49" i="16"/>
  <c r="P41" i="16"/>
  <c r="P33" i="16"/>
  <c r="P25" i="16"/>
  <c r="P369" i="16"/>
  <c r="P392" i="16"/>
  <c r="P384" i="16"/>
  <c r="P376" i="16"/>
  <c r="P368" i="16"/>
  <c r="P360" i="16"/>
  <c r="P352" i="16"/>
  <c r="P344" i="16"/>
  <c r="P336" i="16"/>
  <c r="P328" i="16"/>
  <c r="P320" i="16"/>
  <c r="P312" i="16"/>
  <c r="P304" i="16"/>
  <c r="P296" i="16"/>
  <c r="P288" i="16"/>
  <c r="P280" i="16"/>
  <c r="P272" i="16"/>
  <c r="P264" i="16"/>
  <c r="P248" i="16"/>
  <c r="P240" i="16"/>
  <c r="P232" i="16"/>
  <c r="P216" i="16"/>
  <c r="P208" i="16"/>
  <c r="P144" i="16"/>
  <c r="P136" i="16"/>
  <c r="P128" i="16"/>
  <c r="P112" i="16"/>
  <c r="P104" i="16"/>
  <c r="P80" i="16"/>
  <c r="P72" i="16"/>
  <c r="P64" i="16"/>
  <c r="P56" i="16"/>
  <c r="P48" i="16"/>
  <c r="P40" i="16"/>
  <c r="P32" i="16"/>
  <c r="P24" i="16"/>
  <c r="P367" i="16"/>
  <c r="P319" i="16"/>
  <c r="P279" i="16"/>
  <c r="P183" i="16"/>
  <c r="P71" i="16"/>
  <c r="P31" i="16"/>
  <c r="P390" i="16"/>
  <c r="P382" i="16"/>
  <c r="P374" i="16"/>
  <c r="P366" i="16"/>
  <c r="P358" i="16"/>
  <c r="P350" i="16"/>
  <c r="P342" i="16"/>
  <c r="P334" i="16"/>
  <c r="P326" i="16"/>
  <c r="P318" i="16"/>
  <c r="P310" i="16"/>
  <c r="P302" i="16"/>
  <c r="P294" i="16"/>
  <c r="P286" i="16"/>
  <c r="P278" i="16"/>
  <c r="P270" i="16"/>
  <c r="P254" i="16"/>
  <c r="P238" i="16"/>
  <c r="P230" i="16"/>
  <c r="P222" i="16"/>
  <c r="P214" i="16"/>
  <c r="P206" i="16"/>
  <c r="P190" i="16"/>
  <c r="P142" i="16"/>
  <c r="P134" i="16"/>
  <c r="P110" i="16"/>
  <c r="P78" i="16"/>
  <c r="P70" i="16"/>
  <c r="P62" i="16"/>
  <c r="P54" i="16"/>
  <c r="P38" i="16"/>
  <c r="P184" i="16"/>
  <c r="I38" i="67" l="1"/>
  <c r="M42" i="17"/>
  <c r="M58" i="17"/>
  <c r="M74" i="17"/>
  <c r="M90" i="17"/>
  <c r="M106" i="17"/>
  <c r="M122" i="17"/>
  <c r="O122" i="17" s="1"/>
  <c r="P122" i="17" s="1"/>
  <c r="M138" i="17"/>
  <c r="O138" i="17" s="1"/>
  <c r="P138" i="17" s="1"/>
  <c r="M154" i="17"/>
  <c r="O154" i="17" s="1"/>
  <c r="P154" i="17" s="1"/>
  <c r="M186" i="17"/>
  <c r="M170" i="17"/>
  <c r="M35" i="17"/>
  <c r="O35" i="17" s="1"/>
  <c r="L43" i="22" s="1"/>
  <c r="Q43" i="22" s="1"/>
  <c r="M51" i="17"/>
  <c r="O51" i="17" s="1"/>
  <c r="M67" i="17"/>
  <c r="M83" i="17"/>
  <c r="O83" i="17" s="1"/>
  <c r="M99" i="17"/>
  <c r="O99" i="17" s="1"/>
  <c r="P99" i="17" s="1"/>
  <c r="M115" i="17"/>
  <c r="M131" i="17"/>
  <c r="M147" i="17"/>
  <c r="M163" i="17"/>
  <c r="M36" i="17"/>
  <c r="O36" i="17" s="1"/>
  <c r="M52" i="17"/>
  <c r="M68" i="17"/>
  <c r="M84" i="17"/>
  <c r="O84" i="17" s="1"/>
  <c r="M100" i="17"/>
  <c r="O100" i="17" s="1"/>
  <c r="P100" i="17" s="1"/>
  <c r="M116" i="17"/>
  <c r="M132" i="17"/>
  <c r="M148" i="17"/>
  <c r="M164" i="17"/>
  <c r="O164" i="17" s="1"/>
  <c r="P164" i="17" s="1"/>
  <c r="M180" i="17"/>
  <c r="O180" i="17" s="1"/>
  <c r="P180" i="17" s="1"/>
  <c r="M41" i="17"/>
  <c r="M57" i="17"/>
  <c r="M73" i="17"/>
  <c r="M89" i="17"/>
  <c r="M105" i="17"/>
  <c r="M121" i="17"/>
  <c r="O121" i="17" s="1"/>
  <c r="P121" i="17" s="1"/>
  <c r="M137" i="17"/>
  <c r="O137" i="17" s="1"/>
  <c r="P137" i="17" s="1"/>
  <c r="M153" i="17"/>
  <c r="M169" i="17"/>
  <c r="O169" i="17" s="1"/>
  <c r="P169" i="17" s="1"/>
  <c r="M185" i="17"/>
  <c r="O185" i="17" s="1"/>
  <c r="P185" i="17" s="1"/>
  <c r="M179" i="17"/>
  <c r="O179" i="17" s="1"/>
  <c r="P179" i="17" s="1"/>
  <c r="M44" i="17"/>
  <c r="M60" i="17"/>
  <c r="M76" i="17"/>
  <c r="M92" i="17"/>
  <c r="M108" i="17"/>
  <c r="O108" i="17" s="1"/>
  <c r="P108" i="17" s="1"/>
  <c r="M124" i="17"/>
  <c r="O124" i="17" s="1"/>
  <c r="P124" i="17" s="1"/>
  <c r="M140" i="17"/>
  <c r="O140" i="17" s="1"/>
  <c r="P140" i="17" s="1"/>
  <c r="M156" i="17"/>
  <c r="O156" i="17" s="1"/>
  <c r="P156" i="17" s="1"/>
  <c r="M172" i="17"/>
  <c r="O172" i="17" s="1"/>
  <c r="P172" i="17" s="1"/>
  <c r="M188" i="17"/>
  <c r="M165" i="17"/>
  <c r="O165" i="17" s="1"/>
  <c r="P165" i="17" s="1"/>
  <c r="M43" i="17"/>
  <c r="M59" i="17"/>
  <c r="M75" i="17"/>
  <c r="M91" i="17"/>
  <c r="M107" i="17"/>
  <c r="O107" i="17" s="1"/>
  <c r="P107" i="17" s="1"/>
  <c r="M123" i="17"/>
  <c r="O123" i="17" s="1"/>
  <c r="P123" i="17" s="1"/>
  <c r="M139" i="17"/>
  <c r="M155" i="17"/>
  <c r="O155" i="17" s="1"/>
  <c r="P155" i="17" s="1"/>
  <c r="M171" i="17"/>
  <c r="O171" i="17" s="1"/>
  <c r="P171" i="17" s="1"/>
  <c r="M53" i="17"/>
  <c r="O53" i="17" s="1"/>
  <c r="M181" i="17"/>
  <c r="O181" i="17" s="1"/>
  <c r="P181" i="17" s="1"/>
  <c r="M37" i="17"/>
  <c r="O37" i="17" s="1"/>
  <c r="M38" i="17"/>
  <c r="O38" i="17" s="1"/>
  <c r="M54" i="17"/>
  <c r="M70" i="17"/>
  <c r="M86" i="17"/>
  <c r="O86" i="17" s="1"/>
  <c r="M102" i="17"/>
  <c r="O102" i="17" s="1"/>
  <c r="P102" i="17" s="1"/>
  <c r="M118" i="17"/>
  <c r="O118" i="17" s="1"/>
  <c r="P118" i="17" s="1"/>
  <c r="M134" i="17"/>
  <c r="O134" i="17" s="1"/>
  <c r="P134" i="17" s="1"/>
  <c r="M150" i="17"/>
  <c r="O150" i="17" s="1"/>
  <c r="P150" i="17" s="1"/>
  <c r="M166" i="17"/>
  <c r="O166" i="17" s="1"/>
  <c r="P166" i="17" s="1"/>
  <c r="M182" i="17"/>
  <c r="O182" i="17" s="1"/>
  <c r="P182" i="17" s="1"/>
  <c r="M149" i="17"/>
  <c r="O149" i="17" s="1"/>
  <c r="P149" i="17" s="1"/>
  <c r="M187" i="17"/>
  <c r="O187" i="17" s="1"/>
  <c r="P187" i="17" s="1"/>
  <c r="M101" i="17"/>
  <c r="O101" i="17" s="1"/>
  <c r="P101" i="17" s="1"/>
  <c r="M133" i="17"/>
  <c r="O133" i="17" s="1"/>
  <c r="P133" i="17" s="1"/>
  <c r="M69" i="17"/>
  <c r="M85" i="17"/>
  <c r="O85" i="17" s="1"/>
  <c r="M117" i="17"/>
  <c r="O117" i="17" s="1"/>
  <c r="P117" i="17" s="1"/>
  <c r="O170" i="17"/>
  <c r="P170" i="17" s="1"/>
  <c r="O148" i="17"/>
  <c r="P148" i="17" s="1"/>
  <c r="O139" i="17"/>
  <c r="P139" i="17" s="1"/>
  <c r="O147" i="17"/>
  <c r="P147" i="17" s="1"/>
  <c r="O54" i="17"/>
  <c r="O106" i="17"/>
  <c r="P106" i="17" s="1"/>
  <c r="O186" i="17"/>
  <c r="P186" i="17" s="1"/>
  <c r="O116" i="17"/>
  <c r="P116" i="17" s="1"/>
  <c r="O131" i="17"/>
  <c r="P131" i="17" s="1"/>
  <c r="O132" i="17"/>
  <c r="P132" i="17" s="1"/>
  <c r="O163" i="17"/>
  <c r="P163" i="17" s="1"/>
  <c r="O115" i="17"/>
  <c r="P115" i="17" s="1"/>
  <c r="O153" i="17"/>
  <c r="P153" i="17" s="1"/>
  <c r="O105" i="17"/>
  <c r="P105" i="17" s="1"/>
  <c r="O52" i="17"/>
  <c r="P35" i="17"/>
  <c r="O188" i="17"/>
  <c r="P188" i="17" s="1"/>
  <c r="P86" i="16"/>
  <c r="P94" i="16"/>
  <c r="P102" i="16"/>
  <c r="P118" i="16"/>
  <c r="P126" i="16"/>
  <c r="P150" i="16"/>
  <c r="P158" i="16"/>
  <c r="P166" i="16"/>
  <c r="P174" i="16"/>
  <c r="P182" i="16"/>
  <c r="P198" i="16"/>
  <c r="P246" i="16"/>
  <c r="P262" i="16"/>
  <c r="P127" i="16"/>
  <c r="P151" i="16"/>
  <c r="P88" i="16"/>
  <c r="P96" i="16"/>
  <c r="P120" i="16"/>
  <c r="P152" i="16"/>
  <c r="P160" i="16"/>
  <c r="P168" i="16"/>
  <c r="P176" i="16"/>
  <c r="P192" i="16"/>
  <c r="P200" i="16"/>
  <c r="P224" i="16"/>
  <c r="P256" i="16"/>
  <c r="P345" i="16"/>
  <c r="P81" i="16"/>
  <c r="P89" i="16"/>
  <c r="P97" i="16"/>
  <c r="P113" i="16"/>
  <c r="P121" i="16"/>
  <c r="P153" i="16"/>
  <c r="P161" i="16"/>
  <c r="P193" i="16"/>
  <c r="P201" i="16"/>
  <c r="P225" i="16"/>
  <c r="P82" i="16"/>
  <c r="P90" i="16"/>
  <c r="P122" i="16"/>
  <c r="P154" i="16"/>
  <c r="P162" i="16"/>
  <c r="P178" i="16"/>
  <c r="P194" i="16"/>
  <c r="P210" i="16"/>
  <c r="P226" i="16"/>
  <c r="P234" i="16"/>
  <c r="P338" i="16"/>
  <c r="P354" i="16"/>
  <c r="P111" i="16"/>
  <c r="P167" i="16"/>
  <c r="P199" i="16"/>
  <c r="P35" i="16"/>
  <c r="P83" i="16"/>
  <c r="P99" i="16"/>
  <c r="P123" i="16"/>
  <c r="P155" i="16"/>
  <c r="P163" i="16"/>
  <c r="P171" i="16"/>
  <c r="P195" i="16"/>
  <c r="P227" i="16"/>
  <c r="P251" i="16"/>
  <c r="P339" i="16"/>
  <c r="P119" i="16"/>
  <c r="P100" i="16"/>
  <c r="P124" i="16"/>
  <c r="P156" i="16"/>
  <c r="P164" i="16"/>
  <c r="P204" i="16"/>
  <c r="P228" i="16"/>
  <c r="P236" i="16"/>
  <c r="P340" i="16"/>
  <c r="P87" i="16"/>
  <c r="P175" i="16"/>
  <c r="P85" i="16"/>
  <c r="P93" i="16"/>
  <c r="P101" i="16"/>
  <c r="P117" i="16"/>
  <c r="P125" i="16"/>
  <c r="P157" i="16"/>
  <c r="P165" i="16"/>
  <c r="P181" i="16"/>
  <c r="P205" i="16"/>
  <c r="P253" i="16"/>
  <c r="P191" i="16"/>
  <c r="I37" i="67" l="1"/>
  <c r="P38" i="17"/>
  <c r="L46" i="22"/>
  <c r="Q46" i="22" s="1"/>
  <c r="P85" i="17"/>
  <c r="L61" i="22"/>
  <c r="Q61" i="22" s="1"/>
  <c r="P37" i="17"/>
  <c r="L45" i="22"/>
  <c r="Q45" i="22" s="1"/>
  <c r="P84" i="17"/>
  <c r="L60" i="22"/>
  <c r="Q60" i="22" s="1"/>
  <c r="P51" i="17"/>
  <c r="L75" i="22"/>
  <c r="Q75" i="22" s="1"/>
  <c r="P52" i="17"/>
  <c r="L76" i="22"/>
  <c r="Q76" i="22" s="1"/>
  <c r="P53" i="17"/>
  <c r="L77" i="22"/>
  <c r="Q77" i="22" s="1"/>
  <c r="P36" i="17"/>
  <c r="L44" i="22"/>
  <c r="Q44" i="22" s="1"/>
  <c r="P54" i="17"/>
  <c r="L78" i="22"/>
  <c r="Q78" i="22" s="1"/>
  <c r="P86" i="17"/>
  <c r="L62" i="22"/>
  <c r="Q62" i="22" s="1"/>
  <c r="P83" i="17"/>
  <c r="L59" i="22"/>
  <c r="Q59" i="22" s="1"/>
  <c r="M46" i="17"/>
  <c r="M62" i="17"/>
  <c r="M78" i="17"/>
  <c r="M94" i="17"/>
  <c r="M110" i="17"/>
  <c r="O110" i="17" s="1"/>
  <c r="P110" i="17" s="1"/>
  <c r="M126" i="17"/>
  <c r="M142" i="17"/>
  <c r="M158" i="17"/>
  <c r="O158" i="17" s="1"/>
  <c r="P158" i="17" s="1"/>
  <c r="M174" i="17"/>
  <c r="O174" i="17" s="1"/>
  <c r="P174" i="17" s="1"/>
  <c r="M190" i="17"/>
  <c r="O190" i="17" s="1"/>
  <c r="P190" i="17" s="1"/>
  <c r="M111" i="17"/>
  <c r="O111" i="17" s="1"/>
  <c r="P111" i="17" s="1"/>
  <c r="M127" i="17"/>
  <c r="M143" i="17"/>
  <c r="O143" i="17" s="1"/>
  <c r="P143" i="17" s="1"/>
  <c r="M175" i="17"/>
  <c r="O175" i="17" s="1"/>
  <c r="P175" i="17" s="1"/>
  <c r="M47" i="17"/>
  <c r="M63" i="17"/>
  <c r="M79" i="17"/>
  <c r="M95" i="17"/>
  <c r="M159" i="17"/>
  <c r="M191" i="17"/>
  <c r="M48" i="17"/>
  <c r="M64" i="17"/>
  <c r="M80" i="17"/>
  <c r="M96" i="17"/>
  <c r="M112" i="17"/>
  <c r="O112" i="17" s="1"/>
  <c r="P112" i="17" s="1"/>
  <c r="M128" i="17"/>
  <c r="O128" i="17" s="1"/>
  <c r="P128" i="17" s="1"/>
  <c r="M144" i="17"/>
  <c r="O144" i="17" s="1"/>
  <c r="P144" i="17" s="1"/>
  <c r="M160" i="17"/>
  <c r="M176" i="17"/>
  <c r="O176" i="17" s="1"/>
  <c r="P176" i="17" s="1"/>
  <c r="M192" i="17"/>
  <c r="O192" i="17" s="1"/>
  <c r="P192" i="17" s="1"/>
  <c r="M151" i="17"/>
  <c r="M167" i="17"/>
  <c r="O167" i="17" s="1"/>
  <c r="P167" i="17" s="1"/>
  <c r="M183" i="17"/>
  <c r="O183" i="17" s="1"/>
  <c r="P183" i="17" s="1"/>
  <c r="M39" i="17"/>
  <c r="O39" i="17" s="1"/>
  <c r="M55" i="17"/>
  <c r="M71" i="17"/>
  <c r="M87" i="17"/>
  <c r="O87" i="17" s="1"/>
  <c r="M103" i="17"/>
  <c r="M119" i="17"/>
  <c r="M135" i="17"/>
  <c r="O135" i="17" s="1"/>
  <c r="P135" i="17" s="1"/>
  <c r="M40" i="17"/>
  <c r="O40" i="17" s="1"/>
  <c r="M56" i="17"/>
  <c r="O56" i="17" s="1"/>
  <c r="M72" i="17"/>
  <c r="M88" i="17"/>
  <c r="O88" i="17" s="1"/>
  <c r="M104" i="17"/>
  <c r="M120" i="17"/>
  <c r="O120" i="17" s="1"/>
  <c r="P120" i="17" s="1"/>
  <c r="M136" i="17"/>
  <c r="M152" i="17"/>
  <c r="O152" i="17" s="1"/>
  <c r="P152" i="17" s="1"/>
  <c r="M168" i="17"/>
  <c r="O168" i="17" s="1"/>
  <c r="P168" i="17" s="1"/>
  <c r="M184" i="17"/>
  <c r="O184" i="17" s="1"/>
  <c r="P184" i="17" s="1"/>
  <c r="M49" i="17"/>
  <c r="M65" i="17"/>
  <c r="M81" i="17"/>
  <c r="M97" i="17"/>
  <c r="M113" i="17"/>
  <c r="O113" i="17" s="1"/>
  <c r="P113" i="17" s="1"/>
  <c r="M129" i="17"/>
  <c r="O129" i="17" s="1"/>
  <c r="P129" i="17" s="1"/>
  <c r="M145" i="17"/>
  <c r="O145" i="17" s="1"/>
  <c r="P145" i="17" s="1"/>
  <c r="M161" i="17"/>
  <c r="O161" i="17" s="1"/>
  <c r="P161" i="17" s="1"/>
  <c r="M177" i="17"/>
  <c r="O177" i="17" s="1"/>
  <c r="P177" i="17" s="1"/>
  <c r="M193" i="17"/>
  <c r="O193" i="17" s="1"/>
  <c r="P193" i="17" s="1"/>
  <c r="O104" i="17"/>
  <c r="P104" i="17" s="1"/>
  <c r="O103" i="17"/>
  <c r="P103" i="17" s="1"/>
  <c r="O127" i="17"/>
  <c r="P127" i="17" s="1"/>
  <c r="O159" i="17"/>
  <c r="P159" i="17" s="1"/>
  <c r="O151" i="17"/>
  <c r="P151" i="17" s="1"/>
  <c r="I29" i="34"/>
  <c r="I28" i="34"/>
  <c r="I25" i="34"/>
  <c r="I26" i="34"/>
  <c r="O119" i="17"/>
  <c r="P119" i="17" s="1"/>
  <c r="O136" i="17"/>
  <c r="P136" i="17" s="1"/>
  <c r="O55" i="17"/>
  <c r="S140" i="17"/>
  <c r="Q140" i="17"/>
  <c r="R140" i="17"/>
  <c r="U140" i="17"/>
  <c r="T140" i="17"/>
  <c r="T51" i="17"/>
  <c r="Q51" i="17"/>
  <c r="U51" i="17"/>
  <c r="R51" i="17"/>
  <c r="S51" i="17"/>
  <c r="U105" i="17"/>
  <c r="Q105" i="17"/>
  <c r="T105" i="17"/>
  <c r="S105" i="17"/>
  <c r="R105" i="17"/>
  <c r="S100" i="17"/>
  <c r="U100" i="17"/>
  <c r="Q100" i="17"/>
  <c r="T100" i="17"/>
  <c r="R100" i="17"/>
  <c r="U116" i="17"/>
  <c r="T116" i="17"/>
  <c r="S116" i="17"/>
  <c r="R116" i="17"/>
  <c r="Q116" i="17"/>
  <c r="R106" i="17"/>
  <c r="Q106" i="17"/>
  <c r="U106" i="17"/>
  <c r="T106" i="17"/>
  <c r="S106" i="17"/>
  <c r="U86" i="17"/>
  <c r="T86" i="17"/>
  <c r="Q86" i="17"/>
  <c r="R86" i="17"/>
  <c r="S86" i="17"/>
  <c r="U171" i="17"/>
  <c r="Q171" i="17"/>
  <c r="R171" i="17"/>
  <c r="T171" i="17"/>
  <c r="S171" i="17"/>
  <c r="T134" i="17"/>
  <c r="Q134" i="17"/>
  <c r="U134" i="17"/>
  <c r="R134" i="17"/>
  <c r="S134" i="17"/>
  <c r="O160" i="17"/>
  <c r="P160" i="17" s="1"/>
  <c r="U156" i="17"/>
  <c r="R156" i="17"/>
  <c r="Q156" i="17"/>
  <c r="T156" i="17"/>
  <c r="S156" i="17"/>
  <c r="U185" i="17"/>
  <c r="T185" i="17"/>
  <c r="Q185" i="17"/>
  <c r="R185" i="17"/>
  <c r="S185" i="17"/>
  <c r="R164" i="17"/>
  <c r="Q164" i="17"/>
  <c r="U164" i="17"/>
  <c r="S164" i="17"/>
  <c r="T164" i="17"/>
  <c r="U180" i="17"/>
  <c r="S180" i="17"/>
  <c r="R180" i="17"/>
  <c r="T180" i="17"/>
  <c r="Q180" i="17"/>
  <c r="U170" i="17"/>
  <c r="R170" i="17"/>
  <c r="Q170" i="17"/>
  <c r="S170" i="17"/>
  <c r="T170" i="17"/>
  <c r="U85" i="17"/>
  <c r="T85" i="17"/>
  <c r="Q85" i="17"/>
  <c r="S85" i="17"/>
  <c r="R85" i="17"/>
  <c r="U187" i="17"/>
  <c r="Q187" i="17"/>
  <c r="R187" i="17"/>
  <c r="S187" i="17"/>
  <c r="T187" i="17"/>
  <c r="U133" i="17"/>
  <c r="S133" i="17"/>
  <c r="T133" i="17"/>
  <c r="Q133" i="17"/>
  <c r="R133" i="17"/>
  <c r="T172" i="17"/>
  <c r="S172" i="17"/>
  <c r="U172" i="17"/>
  <c r="R172" i="17"/>
  <c r="Q172" i="17"/>
  <c r="U36" i="17"/>
  <c r="Q36" i="17"/>
  <c r="T36" i="17"/>
  <c r="S36" i="17"/>
  <c r="R36" i="17"/>
  <c r="S169" i="17"/>
  <c r="T169" i="17"/>
  <c r="R169" i="17"/>
  <c r="U169" i="17"/>
  <c r="Q169" i="17"/>
  <c r="T99" i="17"/>
  <c r="Q99" i="17"/>
  <c r="S99" i="17"/>
  <c r="R99" i="17"/>
  <c r="U99" i="17"/>
  <c r="U54" i="17"/>
  <c r="T54" i="17"/>
  <c r="Q54" i="17"/>
  <c r="R54" i="17"/>
  <c r="S54" i="17"/>
  <c r="Q139" i="17"/>
  <c r="T139" i="17"/>
  <c r="S139" i="17"/>
  <c r="U139" i="17"/>
  <c r="R139" i="17"/>
  <c r="S102" i="17"/>
  <c r="Q102" i="17"/>
  <c r="U102" i="17"/>
  <c r="R102" i="17"/>
  <c r="T102" i="17"/>
  <c r="O191" i="17"/>
  <c r="P191" i="17" s="1"/>
  <c r="U124" i="17"/>
  <c r="S124" i="17"/>
  <c r="R124" i="17"/>
  <c r="Q124" i="17"/>
  <c r="T124" i="17"/>
  <c r="Q35" i="17"/>
  <c r="U35" i="17"/>
  <c r="T35" i="17"/>
  <c r="S35" i="17"/>
  <c r="R35" i="17"/>
  <c r="U121" i="17"/>
  <c r="T121" i="17"/>
  <c r="Q121" i="17"/>
  <c r="R121" i="17"/>
  <c r="S121" i="17"/>
  <c r="U163" i="17"/>
  <c r="Q163" i="17"/>
  <c r="T163" i="17"/>
  <c r="R163" i="17"/>
  <c r="S163" i="17"/>
  <c r="U38" i="17"/>
  <c r="R38" i="17"/>
  <c r="Q38" i="17"/>
  <c r="T38" i="17"/>
  <c r="S38" i="17"/>
  <c r="R107" i="17"/>
  <c r="U107" i="17"/>
  <c r="T107" i="17"/>
  <c r="S107" i="17"/>
  <c r="Q107" i="17"/>
  <c r="U118" i="17"/>
  <c r="R118" i="17"/>
  <c r="S118" i="17"/>
  <c r="T118" i="17"/>
  <c r="Q118" i="17"/>
  <c r="T137" i="17"/>
  <c r="R137" i="17"/>
  <c r="U137" i="17"/>
  <c r="Q137" i="17"/>
  <c r="S137" i="17"/>
  <c r="U148" i="17"/>
  <c r="T148" i="17"/>
  <c r="S148" i="17"/>
  <c r="Q148" i="17"/>
  <c r="R148" i="17"/>
  <c r="U186" i="17"/>
  <c r="S186" i="17"/>
  <c r="R186" i="17"/>
  <c r="Q186" i="17"/>
  <c r="T186" i="17"/>
  <c r="U53" i="17"/>
  <c r="Q53" i="17"/>
  <c r="T53" i="17"/>
  <c r="R53" i="17"/>
  <c r="S53" i="17"/>
  <c r="U101" i="17"/>
  <c r="T101" i="17"/>
  <c r="R101" i="17"/>
  <c r="Q101" i="17"/>
  <c r="S101" i="17"/>
  <c r="U182" i="17"/>
  <c r="T182" i="17"/>
  <c r="R182" i="17"/>
  <c r="S182" i="17"/>
  <c r="Q182" i="17"/>
  <c r="O142" i="17"/>
  <c r="P142" i="17" s="1"/>
  <c r="O126" i="17"/>
  <c r="P126" i="17" s="1"/>
  <c r="U84" i="17"/>
  <c r="T84" i="17"/>
  <c r="Q84" i="17"/>
  <c r="R84" i="17"/>
  <c r="S84" i="17"/>
  <c r="U153" i="17"/>
  <c r="S153" i="17"/>
  <c r="R153" i="17"/>
  <c r="T153" i="17"/>
  <c r="Q153" i="17"/>
  <c r="U147" i="17"/>
  <c r="S147" i="17"/>
  <c r="R147" i="17"/>
  <c r="T147" i="17"/>
  <c r="Q147" i="17"/>
  <c r="S138" i="17"/>
  <c r="R138" i="17"/>
  <c r="U138" i="17"/>
  <c r="Q138" i="17"/>
  <c r="T138" i="17"/>
  <c r="T165" i="17"/>
  <c r="R165" i="17"/>
  <c r="Q165" i="17"/>
  <c r="S165" i="17"/>
  <c r="U165" i="17"/>
  <c r="U117" i="17"/>
  <c r="T117" i="17"/>
  <c r="S117" i="17"/>
  <c r="R117" i="17"/>
  <c r="Q117" i="17"/>
  <c r="T108" i="17"/>
  <c r="U108" i="17"/>
  <c r="Q108" i="17"/>
  <c r="S108" i="17"/>
  <c r="R108" i="17"/>
  <c r="U83" i="17"/>
  <c r="T83" i="17"/>
  <c r="Q83" i="17"/>
  <c r="S83" i="17"/>
  <c r="R83" i="17"/>
  <c r="U115" i="17"/>
  <c r="Q115" i="17"/>
  <c r="T115" i="17"/>
  <c r="R115" i="17"/>
  <c r="S115" i="17"/>
  <c r="S132" i="17"/>
  <c r="Q132" i="17"/>
  <c r="U132" i="17"/>
  <c r="T132" i="17"/>
  <c r="R132" i="17"/>
  <c r="U154" i="17"/>
  <c r="T154" i="17"/>
  <c r="S154" i="17"/>
  <c r="R154" i="17"/>
  <c r="Q154" i="17"/>
  <c r="U155" i="17"/>
  <c r="R155" i="17"/>
  <c r="S155" i="17"/>
  <c r="T155" i="17"/>
  <c r="Q155" i="17"/>
  <c r="U150" i="17"/>
  <c r="S150" i="17"/>
  <c r="R150" i="17"/>
  <c r="T150" i="17"/>
  <c r="Q150" i="17"/>
  <c r="U181" i="17"/>
  <c r="R181" i="17"/>
  <c r="Q181" i="17"/>
  <c r="S181" i="17"/>
  <c r="T181" i="17"/>
  <c r="U188" i="17"/>
  <c r="T188" i="17"/>
  <c r="S188" i="17"/>
  <c r="R188" i="17"/>
  <c r="Q188" i="17"/>
  <c r="Q52" i="17"/>
  <c r="U52" i="17"/>
  <c r="T52" i="17"/>
  <c r="S52" i="17"/>
  <c r="R52" i="17"/>
  <c r="U179" i="17"/>
  <c r="T179" i="17"/>
  <c r="R179" i="17"/>
  <c r="S179" i="17"/>
  <c r="Q179" i="17"/>
  <c r="R131" i="17"/>
  <c r="S131" i="17"/>
  <c r="Q131" i="17"/>
  <c r="U131" i="17"/>
  <c r="T131" i="17"/>
  <c r="U122" i="17"/>
  <c r="R122" i="17"/>
  <c r="T122" i="17"/>
  <c r="S122" i="17"/>
  <c r="Q122" i="17"/>
  <c r="U37" i="17"/>
  <c r="T37" i="17"/>
  <c r="Q37" i="17"/>
  <c r="R37" i="17"/>
  <c r="S37" i="17"/>
  <c r="U123" i="17"/>
  <c r="R123" i="17"/>
  <c r="S123" i="17"/>
  <c r="T123" i="17"/>
  <c r="Q123" i="17"/>
  <c r="U149" i="17"/>
  <c r="R149" i="17"/>
  <c r="T149" i="17"/>
  <c r="S149" i="17"/>
  <c r="Q149" i="17"/>
  <c r="U166" i="17"/>
  <c r="R166" i="17"/>
  <c r="Q166" i="17"/>
  <c r="T166" i="17"/>
  <c r="S166" i="17"/>
  <c r="C27" i="22"/>
  <c r="C28" i="22"/>
  <c r="C29" i="22"/>
  <c r="C30" i="22"/>
  <c r="C31" i="22"/>
  <c r="C32" i="22"/>
  <c r="K198" i="67" l="1"/>
  <c r="J198" i="67"/>
  <c r="L198" i="67"/>
  <c r="P87" i="17"/>
  <c r="L63" i="22"/>
  <c r="Q63" i="22" s="1"/>
  <c r="P88" i="17"/>
  <c r="L64" i="22"/>
  <c r="Q64" i="22" s="1"/>
  <c r="AR68" i="1" s="1"/>
  <c r="P56" i="17"/>
  <c r="L80" i="22"/>
  <c r="Q80" i="22" s="1"/>
  <c r="BC68" i="1" s="1"/>
  <c r="P39" i="17"/>
  <c r="L47" i="22"/>
  <c r="Q47" i="22" s="1"/>
  <c r="P40" i="17"/>
  <c r="L48" i="22"/>
  <c r="Q48" i="22" s="1"/>
  <c r="P55" i="17"/>
  <c r="L79" i="22"/>
  <c r="Q79" i="22" s="1"/>
  <c r="BB68" i="1" s="1"/>
  <c r="V24" i="1"/>
  <c r="AG24" i="1"/>
  <c r="AR24" i="1"/>
  <c r="AQ24" i="1"/>
  <c r="U24" i="1"/>
  <c r="AF24" i="1"/>
  <c r="AE24" i="1"/>
  <c r="AP24" i="1"/>
  <c r="T24" i="1"/>
  <c r="J24" i="1"/>
  <c r="I31" i="34"/>
  <c r="K24" i="1"/>
  <c r="I32" i="34"/>
  <c r="V149" i="17"/>
  <c r="W149" i="17" s="1"/>
  <c r="V182" i="17"/>
  <c r="W182" i="17" s="1"/>
  <c r="V35" i="17"/>
  <c r="W35" i="17" s="1"/>
  <c r="V147" i="17"/>
  <c r="V51" i="17"/>
  <c r="V122" i="17"/>
  <c r="W122" i="17" s="1"/>
  <c r="V52" i="17"/>
  <c r="V187" i="17"/>
  <c r="W187" i="17" s="1"/>
  <c r="V154" i="17"/>
  <c r="W154" i="17" s="1"/>
  <c r="V117" i="17"/>
  <c r="W117" i="17" s="1"/>
  <c r="V165" i="17"/>
  <c r="W165" i="17" s="1"/>
  <c r="V85" i="17"/>
  <c r="W85" i="17" s="1"/>
  <c r="V153" i="17"/>
  <c r="V137" i="17"/>
  <c r="W137" i="17" s="1"/>
  <c r="V121" i="17"/>
  <c r="V172" i="17"/>
  <c r="W172" i="17" s="1"/>
  <c r="V86" i="17"/>
  <c r="W86" i="17" s="1"/>
  <c r="V84" i="17"/>
  <c r="V164" i="17"/>
  <c r="W164" i="17" s="1"/>
  <c r="V116" i="17"/>
  <c r="V133" i="17"/>
  <c r="W133" i="17" s="1"/>
  <c r="V180" i="17"/>
  <c r="V37" i="17"/>
  <c r="W37" i="17" s="1"/>
  <c r="V155" i="17"/>
  <c r="W155" i="17" s="1"/>
  <c r="V132" i="17"/>
  <c r="W132" i="17" s="1"/>
  <c r="V83" i="17"/>
  <c r="N60" i="22"/>
  <c r="U126" i="17"/>
  <c r="T126" i="17"/>
  <c r="R126" i="17"/>
  <c r="S126" i="17"/>
  <c r="Q126" i="17"/>
  <c r="V186" i="17"/>
  <c r="W186" i="17" s="1"/>
  <c r="V107" i="17"/>
  <c r="W107" i="17" s="1"/>
  <c r="V124" i="17"/>
  <c r="W124" i="17" s="1"/>
  <c r="N78" i="22"/>
  <c r="V169" i="17"/>
  <c r="W169" i="17" s="1"/>
  <c r="U112" i="17"/>
  <c r="R112" i="17"/>
  <c r="Q112" i="17"/>
  <c r="T112" i="17"/>
  <c r="S112" i="17"/>
  <c r="V134" i="17"/>
  <c r="W134" i="17" s="1"/>
  <c r="U87" i="17"/>
  <c r="T87" i="17"/>
  <c r="Q87" i="17"/>
  <c r="R87" i="17"/>
  <c r="S87" i="17"/>
  <c r="T145" i="17"/>
  <c r="Q145" i="17"/>
  <c r="S145" i="17"/>
  <c r="R145" i="17"/>
  <c r="U145" i="17"/>
  <c r="U120" i="17"/>
  <c r="V33" i="1" s="1"/>
  <c r="R120" i="17"/>
  <c r="V28" i="1" s="1"/>
  <c r="T120" i="17"/>
  <c r="V31" i="1" s="1"/>
  <c r="S120" i="17"/>
  <c r="V29" i="1" s="1"/>
  <c r="Q120" i="17"/>
  <c r="V30" i="1" s="1"/>
  <c r="N76" i="22"/>
  <c r="N59" i="22"/>
  <c r="V166" i="17"/>
  <c r="W166" i="17" s="1"/>
  <c r="V123" i="17"/>
  <c r="W123" i="17" s="1"/>
  <c r="V179" i="17"/>
  <c r="U190" i="17"/>
  <c r="S190" i="17"/>
  <c r="R190" i="17"/>
  <c r="T190" i="17"/>
  <c r="Q190" i="17"/>
  <c r="V53" i="17"/>
  <c r="W53" i="17" s="1"/>
  <c r="V118" i="17"/>
  <c r="W118" i="17" s="1"/>
  <c r="U159" i="17"/>
  <c r="T159" i="17"/>
  <c r="R159" i="17"/>
  <c r="Q159" i="17"/>
  <c r="S159" i="17"/>
  <c r="V170" i="17"/>
  <c r="W170" i="17" s="1"/>
  <c r="V156" i="17"/>
  <c r="W156" i="17" s="1"/>
  <c r="U160" i="17"/>
  <c r="S160" i="17"/>
  <c r="T160" i="17"/>
  <c r="Q160" i="17"/>
  <c r="R160" i="17"/>
  <c r="U56" i="17"/>
  <c r="BC33" i="1" s="1"/>
  <c r="T56" i="17"/>
  <c r="Q56" i="17"/>
  <c r="R56" i="17"/>
  <c r="S56" i="17"/>
  <c r="U193" i="17"/>
  <c r="R193" i="17"/>
  <c r="S193" i="17"/>
  <c r="Q193" i="17"/>
  <c r="T193" i="17"/>
  <c r="U184" i="17"/>
  <c r="AR33" i="1" s="1"/>
  <c r="T184" i="17"/>
  <c r="AR31" i="1" s="1"/>
  <c r="Q184" i="17"/>
  <c r="AR30" i="1" s="1"/>
  <c r="R184" i="17"/>
  <c r="AR28" i="1" s="1"/>
  <c r="S184" i="17"/>
  <c r="AR29" i="1" s="1"/>
  <c r="V150" i="17"/>
  <c r="W150" i="17" s="1"/>
  <c r="V108" i="17"/>
  <c r="W108" i="17" s="1"/>
  <c r="V138" i="17"/>
  <c r="W138" i="17" s="1"/>
  <c r="S174" i="17"/>
  <c r="U174" i="17"/>
  <c r="R174" i="17"/>
  <c r="T174" i="17"/>
  <c r="Q174" i="17"/>
  <c r="S175" i="17"/>
  <c r="T175" i="17"/>
  <c r="R175" i="17"/>
  <c r="U175" i="17"/>
  <c r="Q175" i="17"/>
  <c r="V139" i="17"/>
  <c r="W139" i="17" s="1"/>
  <c r="V36" i="17"/>
  <c r="W36" i="17" s="1"/>
  <c r="V185" i="17"/>
  <c r="T176" i="17"/>
  <c r="Q176" i="17"/>
  <c r="U176" i="17"/>
  <c r="S176" i="17"/>
  <c r="R176" i="17"/>
  <c r="V140" i="17"/>
  <c r="W140" i="17" s="1"/>
  <c r="U88" i="17"/>
  <c r="T88" i="17"/>
  <c r="Q88" i="17"/>
  <c r="S88" i="17"/>
  <c r="R88" i="17"/>
  <c r="K28" i="1" s="1"/>
  <c r="U161" i="17"/>
  <c r="S161" i="17"/>
  <c r="R161" i="17"/>
  <c r="Q161" i="17"/>
  <c r="T161" i="17"/>
  <c r="U119" i="17"/>
  <c r="U33" i="1" s="1"/>
  <c r="S119" i="17"/>
  <c r="U29" i="1" s="1"/>
  <c r="R119" i="17"/>
  <c r="U28" i="1" s="1"/>
  <c r="T119" i="17"/>
  <c r="U31" i="1" s="1"/>
  <c r="Q119" i="17"/>
  <c r="U30" i="1" s="1"/>
  <c r="N45" i="22"/>
  <c r="S142" i="17"/>
  <c r="Q142" i="17"/>
  <c r="U142" i="17"/>
  <c r="R142" i="17"/>
  <c r="T142" i="17"/>
  <c r="V101" i="17"/>
  <c r="W101" i="17" s="1"/>
  <c r="N46" i="22"/>
  <c r="U191" i="17"/>
  <c r="Q191" i="17"/>
  <c r="R191" i="17"/>
  <c r="S191" i="17"/>
  <c r="T191" i="17"/>
  <c r="V102" i="17"/>
  <c r="W102" i="17" s="1"/>
  <c r="N61" i="22"/>
  <c r="U128" i="17"/>
  <c r="Q128" i="17"/>
  <c r="S128" i="17"/>
  <c r="T128" i="17"/>
  <c r="R128" i="17"/>
  <c r="V106" i="17"/>
  <c r="W106" i="17" s="1"/>
  <c r="U55" i="17"/>
  <c r="Q55" i="17"/>
  <c r="T55" i="17"/>
  <c r="R55" i="17"/>
  <c r="BB28" i="1" s="1"/>
  <c r="S55" i="17"/>
  <c r="U113" i="17"/>
  <c r="Q113" i="17"/>
  <c r="R113" i="17"/>
  <c r="S113" i="17"/>
  <c r="T113" i="17"/>
  <c r="U183" i="17"/>
  <c r="AQ33" i="1" s="1"/>
  <c r="S183" i="17"/>
  <c r="AQ29" i="1" s="1"/>
  <c r="Q183" i="17"/>
  <c r="AQ30" i="1" s="1"/>
  <c r="T183" i="17"/>
  <c r="AQ31" i="1" s="1"/>
  <c r="R183" i="17"/>
  <c r="AQ28" i="1" s="1"/>
  <c r="S143" i="17"/>
  <c r="R143" i="17"/>
  <c r="Q143" i="17"/>
  <c r="U143" i="17"/>
  <c r="T143" i="17"/>
  <c r="N44" i="22"/>
  <c r="N62" i="22"/>
  <c r="N75" i="22"/>
  <c r="U152" i="17"/>
  <c r="AG33" i="1" s="1"/>
  <c r="Q152" i="17"/>
  <c r="AG30" i="1" s="1"/>
  <c r="S152" i="17"/>
  <c r="AG29" i="1" s="1"/>
  <c r="R152" i="17"/>
  <c r="AG28" i="1" s="1"/>
  <c r="T152" i="17"/>
  <c r="AG31" i="1" s="1"/>
  <c r="Q168" i="17"/>
  <c r="T168" i="17"/>
  <c r="S168" i="17"/>
  <c r="R168" i="17"/>
  <c r="U168" i="17"/>
  <c r="R111" i="17"/>
  <c r="S111" i="17"/>
  <c r="T111" i="17"/>
  <c r="U111" i="17"/>
  <c r="Q111" i="17"/>
  <c r="V54" i="17"/>
  <c r="W54" i="17" s="1"/>
  <c r="V171" i="17"/>
  <c r="W171" i="17" s="1"/>
  <c r="V100" i="17"/>
  <c r="W100" i="17" s="1"/>
  <c r="V105" i="17"/>
  <c r="W105" i="17" s="1"/>
  <c r="U151" i="17"/>
  <c r="AF33" i="1" s="1"/>
  <c r="R151" i="17"/>
  <c r="AF28" i="1" s="1"/>
  <c r="T151" i="17"/>
  <c r="AF31" i="1" s="1"/>
  <c r="Q151" i="17"/>
  <c r="AF30" i="1" s="1"/>
  <c r="S151" i="17"/>
  <c r="AF29" i="1" s="1"/>
  <c r="S104" i="17"/>
  <c r="Q104" i="17"/>
  <c r="T104" i="17"/>
  <c r="U104" i="17"/>
  <c r="R104" i="17"/>
  <c r="V131" i="17"/>
  <c r="W131" i="17" s="1"/>
  <c r="V115" i="17"/>
  <c r="S110" i="17"/>
  <c r="Q110" i="17"/>
  <c r="U110" i="17"/>
  <c r="T110" i="17"/>
  <c r="R110" i="17"/>
  <c r="N77" i="22"/>
  <c r="V148" i="17"/>
  <c r="N43" i="22"/>
  <c r="U127" i="17"/>
  <c r="Q127" i="17"/>
  <c r="R127" i="17"/>
  <c r="T127" i="17"/>
  <c r="S127" i="17"/>
  <c r="V99" i="17"/>
  <c r="W99" i="17" s="1"/>
  <c r="U192" i="17"/>
  <c r="R192" i="17"/>
  <c r="Q192" i="17"/>
  <c r="S192" i="17"/>
  <c r="T192" i="17"/>
  <c r="U40" i="17"/>
  <c r="Q40" i="17"/>
  <c r="T40" i="17"/>
  <c r="S40" i="17"/>
  <c r="R40" i="17"/>
  <c r="S177" i="17"/>
  <c r="U177" i="17"/>
  <c r="Q177" i="17"/>
  <c r="T177" i="17"/>
  <c r="R177" i="17"/>
  <c r="S136" i="17"/>
  <c r="T136" i="17"/>
  <c r="R136" i="17"/>
  <c r="Q136" i="17"/>
  <c r="U136" i="17"/>
  <c r="Q103" i="17"/>
  <c r="S103" i="17"/>
  <c r="U103" i="17"/>
  <c r="R103" i="17"/>
  <c r="T103" i="17"/>
  <c r="V188" i="17"/>
  <c r="W188" i="17" s="1"/>
  <c r="V181" i="17"/>
  <c r="W181" i="17" s="1"/>
  <c r="U158" i="17"/>
  <c r="T158" i="17"/>
  <c r="S158" i="17"/>
  <c r="R158" i="17"/>
  <c r="Q158" i="17"/>
  <c r="V38" i="17"/>
  <c r="W38" i="17" s="1"/>
  <c r="V163" i="17"/>
  <c r="W163" i="17" s="1"/>
  <c r="S144" i="17"/>
  <c r="R144" i="17"/>
  <c r="U144" i="17"/>
  <c r="T144" i="17"/>
  <c r="Q144" i="17"/>
  <c r="U39" i="17"/>
  <c r="Q39" i="17"/>
  <c r="T39" i="17"/>
  <c r="S39" i="17"/>
  <c r="R39" i="17"/>
  <c r="U129" i="17"/>
  <c r="S129" i="17"/>
  <c r="R129" i="17"/>
  <c r="Q129" i="17"/>
  <c r="T129" i="17"/>
  <c r="Q135" i="17"/>
  <c r="U135" i="17"/>
  <c r="T135" i="17"/>
  <c r="S135" i="17"/>
  <c r="R135" i="17"/>
  <c r="S167" i="17"/>
  <c r="U167" i="17"/>
  <c r="Q167" i="17"/>
  <c r="R167" i="17"/>
  <c r="T167" i="17"/>
  <c r="AF68" i="1" l="1"/>
  <c r="U68" i="1"/>
  <c r="V68" i="1"/>
  <c r="AQ68" i="1"/>
  <c r="AG68" i="1"/>
  <c r="L203" i="67"/>
  <c r="J203" i="67"/>
  <c r="J206" i="67"/>
  <c r="U205" i="67" s="1"/>
  <c r="J205" i="67"/>
  <c r="U204" i="67" s="1"/>
  <c r="K203" i="67"/>
  <c r="L204" i="67"/>
  <c r="W202" i="67" s="1"/>
  <c r="J204" i="67"/>
  <c r="U202" i="67" s="1"/>
  <c r="L202" i="67"/>
  <c r="AE33" i="1"/>
  <c r="AI33" i="1" s="1"/>
  <c r="K202" i="67"/>
  <c r="K205" i="67"/>
  <c r="V204" i="67" s="1"/>
  <c r="L205" i="67"/>
  <c r="W204" i="67" s="1"/>
  <c r="L206" i="67"/>
  <c r="W205" i="67" s="1"/>
  <c r="J202" i="67"/>
  <c r="K204" i="67"/>
  <c r="V202" i="67" s="1"/>
  <c r="K206" i="67"/>
  <c r="V205" i="67" s="1"/>
  <c r="W84" i="17"/>
  <c r="W83" i="17"/>
  <c r="W116" i="17"/>
  <c r="W147" i="17"/>
  <c r="J30" i="1"/>
  <c r="AI24" i="1"/>
  <c r="AE30" i="1"/>
  <c r="AI30" i="1" s="1"/>
  <c r="J33" i="1"/>
  <c r="J31" i="1"/>
  <c r="AP33" i="1"/>
  <c r="AT33" i="1" s="1"/>
  <c r="AT24" i="1"/>
  <c r="T29" i="1"/>
  <c r="X29" i="1" s="1"/>
  <c r="AE28" i="1"/>
  <c r="AI28" i="1" s="1"/>
  <c r="T30" i="1"/>
  <c r="X30" i="1" s="1"/>
  <c r="T33" i="1"/>
  <c r="X33" i="1" s="1"/>
  <c r="K31" i="1"/>
  <c r="T28" i="1"/>
  <c r="X28" i="1" s="1"/>
  <c r="BC24" i="1"/>
  <c r="X24" i="1"/>
  <c r="AP30" i="1"/>
  <c r="AT30" i="1" s="1"/>
  <c r="T31" i="1"/>
  <c r="X31" i="1" s="1"/>
  <c r="AE29" i="1"/>
  <c r="AI29" i="1" s="1"/>
  <c r="AE31" i="1"/>
  <c r="AI31" i="1" s="1"/>
  <c r="AP31" i="1"/>
  <c r="AT31" i="1" s="1"/>
  <c r="AP28" i="1"/>
  <c r="AT28" i="1" s="1"/>
  <c r="AP29" i="1"/>
  <c r="AT29" i="1" s="1"/>
  <c r="BB24" i="1"/>
  <c r="AG27" i="1"/>
  <c r="AR27" i="1"/>
  <c r="V27" i="1"/>
  <c r="U27" i="1"/>
  <c r="AQ27" i="1"/>
  <c r="AF27" i="1"/>
  <c r="K29" i="1"/>
  <c r="BB30" i="1"/>
  <c r="K30" i="1"/>
  <c r="W121" i="17"/>
  <c r="BC28" i="1"/>
  <c r="W115" i="17"/>
  <c r="W180" i="17"/>
  <c r="BC29" i="1"/>
  <c r="W179" i="17"/>
  <c r="W148" i="17"/>
  <c r="K33" i="1"/>
  <c r="W153" i="17"/>
  <c r="BB33" i="1"/>
  <c r="BC30" i="1"/>
  <c r="BB31" i="1"/>
  <c r="J29" i="1"/>
  <c r="BB29" i="1"/>
  <c r="BC31" i="1"/>
  <c r="J28" i="1"/>
  <c r="W185" i="17"/>
  <c r="W51" i="17"/>
  <c r="W52" i="17"/>
  <c r="P45" i="22"/>
  <c r="O45" i="22"/>
  <c r="P46" i="22"/>
  <c r="O46" i="22"/>
  <c r="P61" i="22"/>
  <c r="O61" i="22"/>
  <c r="P43" i="22"/>
  <c r="O43" i="22"/>
  <c r="P75" i="22"/>
  <c r="O75" i="22"/>
  <c r="P77" i="22"/>
  <c r="O77" i="22"/>
  <c r="P62" i="22"/>
  <c r="O62" i="22"/>
  <c r="O59" i="22"/>
  <c r="P59" i="22"/>
  <c r="P44" i="22"/>
  <c r="O44" i="22"/>
  <c r="O76" i="22"/>
  <c r="P76" i="22"/>
  <c r="P78" i="22"/>
  <c r="O78" i="22"/>
  <c r="O60" i="22"/>
  <c r="P60" i="22"/>
  <c r="V144" i="17"/>
  <c r="W144" i="17" s="1"/>
  <c r="V39" i="17"/>
  <c r="W39" i="17" s="1"/>
  <c r="V158" i="17"/>
  <c r="W158" i="17" s="1"/>
  <c r="V177" i="17"/>
  <c r="W177" i="17" s="1"/>
  <c r="V167" i="17"/>
  <c r="W167" i="17" s="1"/>
  <c r="V135" i="17"/>
  <c r="W135" i="17" s="1"/>
  <c r="V111" i="17"/>
  <c r="W111" i="17" s="1"/>
  <c r="V126" i="17"/>
  <c r="W126" i="17" s="1"/>
  <c r="V159" i="17"/>
  <c r="W159" i="17" s="1"/>
  <c r="V176" i="17"/>
  <c r="W176" i="17" s="1"/>
  <c r="V113" i="17"/>
  <c r="W113" i="17" s="1"/>
  <c r="V119" i="17"/>
  <c r="W119" i="17" s="1"/>
  <c r="V110" i="17"/>
  <c r="W110" i="17" s="1"/>
  <c r="V40" i="17"/>
  <c r="W40" i="17" s="1"/>
  <c r="V104" i="17"/>
  <c r="W104" i="17" s="1"/>
  <c r="V152" i="17"/>
  <c r="W152" i="17" s="1"/>
  <c r="V160" i="17"/>
  <c r="W160" i="17" s="1"/>
  <c r="V183" i="17"/>
  <c r="W183" i="17" s="1"/>
  <c r="V142" i="17"/>
  <c r="W142" i="17" s="1"/>
  <c r="V88" i="17"/>
  <c r="W88" i="17" s="1"/>
  <c r="V193" i="17"/>
  <c r="W193" i="17" s="1"/>
  <c r="V192" i="17"/>
  <c r="W192" i="17" s="1"/>
  <c r="V55" i="17"/>
  <c r="W55" i="17" s="1"/>
  <c r="V136" i="17"/>
  <c r="W136" i="17" s="1"/>
  <c r="V128" i="17"/>
  <c r="W128" i="17" s="1"/>
  <c r="V184" i="17"/>
  <c r="W184" i="17" s="1"/>
  <c r="N80" i="22"/>
  <c r="V112" i="17"/>
  <c r="W112" i="17" s="1"/>
  <c r="N79" i="22"/>
  <c r="V129" i="17"/>
  <c r="W129" i="17" s="1"/>
  <c r="V191" i="17"/>
  <c r="W191" i="17" s="1"/>
  <c r="V190" i="17"/>
  <c r="W190" i="17" s="1"/>
  <c r="V120" i="17"/>
  <c r="W120" i="17" s="1"/>
  <c r="N63" i="22"/>
  <c r="N47" i="22"/>
  <c r="V103" i="17"/>
  <c r="W103" i="17" s="1"/>
  <c r="V168" i="17"/>
  <c r="W168" i="17" s="1"/>
  <c r="V143" i="17"/>
  <c r="W143" i="17" s="1"/>
  <c r="V174" i="17"/>
  <c r="W174" i="17" s="1"/>
  <c r="V56" i="17"/>
  <c r="W56" i="17" s="1"/>
  <c r="V145" i="17"/>
  <c r="W145" i="17" s="1"/>
  <c r="V151" i="17"/>
  <c r="W151" i="17" s="1"/>
  <c r="V175" i="17"/>
  <c r="W175" i="17" s="1"/>
  <c r="V127" i="17"/>
  <c r="W127" i="17" s="1"/>
  <c r="N48" i="22"/>
  <c r="V161" i="17"/>
  <c r="W161" i="17" s="1"/>
  <c r="N64" i="22"/>
  <c r="V87" i="17"/>
  <c r="W87" i="17" s="1"/>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N46" i="16"/>
  <c r="N47" i="16"/>
  <c r="N48" i="16"/>
  <c r="N49" i="16"/>
  <c r="N50" i="16"/>
  <c r="N51" i="16"/>
  <c r="N52" i="16"/>
  <c r="N53" i="16"/>
  <c r="N54" i="16"/>
  <c r="N55" i="16"/>
  <c r="N56" i="16"/>
  <c r="N57" i="16"/>
  <c r="N58" i="16"/>
  <c r="N59" i="16"/>
  <c r="N60" i="16"/>
  <c r="N61" i="16"/>
  <c r="N62" i="16"/>
  <c r="N63" i="16"/>
  <c r="N64" i="16"/>
  <c r="N65" i="16"/>
  <c r="N66" i="16"/>
  <c r="N67" i="16"/>
  <c r="N68" i="16"/>
  <c r="N69" i="16"/>
  <c r="N70" i="16"/>
  <c r="N71" i="16"/>
  <c r="N72" i="16"/>
  <c r="N73" i="16"/>
  <c r="N74" i="16"/>
  <c r="N75" i="16"/>
  <c r="N76" i="16"/>
  <c r="N77" i="16"/>
  <c r="N78" i="16"/>
  <c r="N79" i="16"/>
  <c r="N80" i="16"/>
  <c r="N81" i="16"/>
  <c r="N82" i="16"/>
  <c r="N83" i="16"/>
  <c r="N84" i="16"/>
  <c r="N85" i="16"/>
  <c r="N86" i="16"/>
  <c r="N87" i="16"/>
  <c r="N88" i="16"/>
  <c r="N89" i="16"/>
  <c r="N90" i="16"/>
  <c r="N91" i="16"/>
  <c r="N92" i="16"/>
  <c r="N93" i="16"/>
  <c r="N94" i="16"/>
  <c r="N95" i="16"/>
  <c r="N96" i="16"/>
  <c r="N97" i="16"/>
  <c r="N98" i="16"/>
  <c r="N99" i="16"/>
  <c r="N100" i="16"/>
  <c r="N101" i="16"/>
  <c r="N102" i="16"/>
  <c r="N103" i="16"/>
  <c r="N104" i="16"/>
  <c r="N105" i="16"/>
  <c r="N106" i="16"/>
  <c r="N107" i="16"/>
  <c r="N108" i="16"/>
  <c r="N109" i="16"/>
  <c r="N110" i="16"/>
  <c r="N111" i="16"/>
  <c r="N112" i="16"/>
  <c r="N113" i="16"/>
  <c r="N114" i="16"/>
  <c r="N115" i="16"/>
  <c r="N116" i="16"/>
  <c r="N117" i="16"/>
  <c r="N118" i="16"/>
  <c r="N119" i="16"/>
  <c r="N120" i="16"/>
  <c r="N121" i="16"/>
  <c r="N122" i="16"/>
  <c r="N123" i="16"/>
  <c r="N124" i="16"/>
  <c r="N125" i="16"/>
  <c r="N126" i="16"/>
  <c r="N127" i="16"/>
  <c r="N128" i="16"/>
  <c r="N129" i="16"/>
  <c r="N130" i="16"/>
  <c r="N131" i="16"/>
  <c r="N132" i="16"/>
  <c r="N133" i="16"/>
  <c r="N134" i="16"/>
  <c r="N135" i="16"/>
  <c r="N136" i="16"/>
  <c r="N137" i="16"/>
  <c r="N138" i="16"/>
  <c r="N139" i="16"/>
  <c r="N140" i="16"/>
  <c r="N141" i="16"/>
  <c r="N142" i="16"/>
  <c r="N143" i="16"/>
  <c r="N144" i="16"/>
  <c r="N145" i="16"/>
  <c r="N146" i="16"/>
  <c r="N147" i="16"/>
  <c r="N148" i="16"/>
  <c r="N149" i="16"/>
  <c r="N150" i="16"/>
  <c r="N151" i="16"/>
  <c r="N152" i="16"/>
  <c r="N153" i="16"/>
  <c r="N154" i="16"/>
  <c r="N155" i="16"/>
  <c r="N156" i="16"/>
  <c r="N157" i="16"/>
  <c r="N158" i="16"/>
  <c r="N159" i="16"/>
  <c r="N160" i="16"/>
  <c r="N161" i="16"/>
  <c r="N162" i="16"/>
  <c r="N163" i="16"/>
  <c r="N164" i="16"/>
  <c r="N165" i="16"/>
  <c r="N166" i="16"/>
  <c r="N167" i="16"/>
  <c r="N168" i="16"/>
  <c r="N169" i="16"/>
  <c r="N170" i="16"/>
  <c r="N171" i="16"/>
  <c r="N172" i="16"/>
  <c r="N173" i="16"/>
  <c r="N174" i="16"/>
  <c r="N175" i="16"/>
  <c r="N176" i="16"/>
  <c r="N177" i="16"/>
  <c r="N178" i="16"/>
  <c r="N179" i="16"/>
  <c r="N180" i="16"/>
  <c r="N181" i="16"/>
  <c r="N182" i="16"/>
  <c r="N183" i="16"/>
  <c r="N184" i="16"/>
  <c r="N185" i="16"/>
  <c r="N186" i="16"/>
  <c r="N187" i="16"/>
  <c r="N188" i="16"/>
  <c r="N189" i="16"/>
  <c r="N190" i="16"/>
  <c r="N191" i="16"/>
  <c r="N192" i="16"/>
  <c r="N193" i="16"/>
  <c r="N194" i="16"/>
  <c r="N195" i="16"/>
  <c r="N196" i="16"/>
  <c r="N197" i="16"/>
  <c r="N198" i="16"/>
  <c r="N199" i="16"/>
  <c r="N200" i="16"/>
  <c r="N201" i="16"/>
  <c r="N202" i="16"/>
  <c r="N203" i="16"/>
  <c r="N204" i="16"/>
  <c r="N205" i="16"/>
  <c r="N206" i="16"/>
  <c r="N207" i="16"/>
  <c r="N208" i="16"/>
  <c r="N209" i="16"/>
  <c r="N210" i="16"/>
  <c r="N211" i="16"/>
  <c r="N212" i="16"/>
  <c r="N213" i="16"/>
  <c r="N214" i="16"/>
  <c r="N215" i="16"/>
  <c r="N216" i="16"/>
  <c r="N217" i="16"/>
  <c r="N218" i="16"/>
  <c r="N219" i="16"/>
  <c r="N220" i="16"/>
  <c r="N221" i="16"/>
  <c r="N222" i="16"/>
  <c r="N223" i="16"/>
  <c r="N224" i="16"/>
  <c r="N225" i="16"/>
  <c r="N226" i="16"/>
  <c r="N227" i="16"/>
  <c r="N228" i="16"/>
  <c r="N229" i="16"/>
  <c r="N230" i="16"/>
  <c r="N231" i="16"/>
  <c r="N232" i="16"/>
  <c r="N233" i="16"/>
  <c r="N234" i="16"/>
  <c r="N235" i="16"/>
  <c r="N236" i="16"/>
  <c r="N237" i="16"/>
  <c r="N238" i="16"/>
  <c r="N239" i="16"/>
  <c r="N240" i="16"/>
  <c r="N241" i="16"/>
  <c r="N242" i="16"/>
  <c r="N243" i="16"/>
  <c r="N244" i="16"/>
  <c r="N245" i="16"/>
  <c r="N246" i="16"/>
  <c r="N247" i="16"/>
  <c r="N248" i="16"/>
  <c r="N249" i="16"/>
  <c r="N250" i="16"/>
  <c r="N251" i="16"/>
  <c r="N252" i="16"/>
  <c r="N253" i="16"/>
  <c r="N254" i="16"/>
  <c r="N255" i="16"/>
  <c r="N256" i="16"/>
  <c r="N257" i="16"/>
  <c r="N258" i="16"/>
  <c r="N259" i="16"/>
  <c r="N260" i="16"/>
  <c r="N261" i="16"/>
  <c r="N262" i="16"/>
  <c r="N263" i="16"/>
  <c r="N264" i="16"/>
  <c r="N265" i="16"/>
  <c r="N266" i="16"/>
  <c r="N267" i="16"/>
  <c r="N268" i="16"/>
  <c r="N269" i="16"/>
  <c r="N270" i="16"/>
  <c r="N271" i="16"/>
  <c r="N272" i="16"/>
  <c r="N273" i="16"/>
  <c r="N274" i="16"/>
  <c r="N275" i="16"/>
  <c r="N276" i="16"/>
  <c r="N277" i="16"/>
  <c r="N278" i="16"/>
  <c r="N279" i="16"/>
  <c r="N280" i="16"/>
  <c r="N281" i="16"/>
  <c r="N282" i="16"/>
  <c r="N283" i="16"/>
  <c r="N284" i="16"/>
  <c r="N285" i="16"/>
  <c r="N286" i="16"/>
  <c r="N287" i="16"/>
  <c r="N288" i="16"/>
  <c r="N289" i="16"/>
  <c r="N290" i="16"/>
  <c r="N291" i="16"/>
  <c r="N292" i="16"/>
  <c r="N293" i="16"/>
  <c r="N294" i="16"/>
  <c r="N295" i="16"/>
  <c r="N296" i="16"/>
  <c r="N297" i="16"/>
  <c r="N298" i="16"/>
  <c r="N299" i="16"/>
  <c r="N300" i="16"/>
  <c r="N301" i="16"/>
  <c r="N302" i="16"/>
  <c r="N303" i="16"/>
  <c r="N304" i="16"/>
  <c r="N305" i="16"/>
  <c r="N306" i="16"/>
  <c r="N307" i="16"/>
  <c r="N308" i="16"/>
  <c r="N309" i="16"/>
  <c r="N310" i="16"/>
  <c r="N311" i="16"/>
  <c r="N312" i="16"/>
  <c r="N313" i="16"/>
  <c r="N314" i="16"/>
  <c r="N315" i="16"/>
  <c r="N316" i="16"/>
  <c r="N317" i="16"/>
  <c r="N318" i="16"/>
  <c r="N319" i="16"/>
  <c r="N320" i="16"/>
  <c r="N321" i="16"/>
  <c r="N322" i="16"/>
  <c r="N323" i="16"/>
  <c r="N324" i="16"/>
  <c r="N325" i="16"/>
  <c r="N326" i="16"/>
  <c r="N327" i="16"/>
  <c r="N328" i="16"/>
  <c r="N329" i="16"/>
  <c r="N330" i="16"/>
  <c r="N331" i="16"/>
  <c r="N332" i="16"/>
  <c r="N333" i="16"/>
  <c r="N334" i="16"/>
  <c r="N335" i="16"/>
  <c r="N336" i="16"/>
  <c r="N337" i="16"/>
  <c r="N338" i="16"/>
  <c r="N339" i="16"/>
  <c r="N340" i="16"/>
  <c r="N341" i="16"/>
  <c r="N342" i="16"/>
  <c r="N343" i="16"/>
  <c r="N344" i="16"/>
  <c r="N345" i="16"/>
  <c r="N346" i="16"/>
  <c r="N347" i="16"/>
  <c r="N348" i="16"/>
  <c r="N349" i="16"/>
  <c r="N350" i="16"/>
  <c r="N351" i="16"/>
  <c r="N352" i="16"/>
  <c r="N353" i="16"/>
  <c r="N354" i="16"/>
  <c r="N355" i="16"/>
  <c r="N356" i="16"/>
  <c r="N357" i="16"/>
  <c r="N358" i="16"/>
  <c r="N359" i="16"/>
  <c r="N360" i="16"/>
  <c r="N361" i="16"/>
  <c r="N362" i="16"/>
  <c r="N363" i="16"/>
  <c r="N364" i="16"/>
  <c r="N365" i="16"/>
  <c r="N366" i="16"/>
  <c r="N367" i="16"/>
  <c r="N368" i="16"/>
  <c r="N369" i="16"/>
  <c r="N370" i="16"/>
  <c r="N371" i="16"/>
  <c r="N372" i="16"/>
  <c r="N373" i="16"/>
  <c r="N374" i="16"/>
  <c r="N375" i="16"/>
  <c r="N376" i="16"/>
  <c r="N377" i="16"/>
  <c r="N378" i="16"/>
  <c r="N379" i="16"/>
  <c r="N380" i="16"/>
  <c r="N381" i="16"/>
  <c r="N382" i="16"/>
  <c r="N383" i="16"/>
  <c r="N384" i="16"/>
  <c r="N385" i="16"/>
  <c r="N386" i="16"/>
  <c r="N387" i="16"/>
  <c r="N388" i="16"/>
  <c r="N389" i="16"/>
  <c r="N390" i="16"/>
  <c r="N391" i="16"/>
  <c r="N392" i="16"/>
  <c r="N393" i="16"/>
  <c r="N394" i="16"/>
  <c r="N395" i="16"/>
  <c r="W203" i="67" l="1"/>
  <c r="V203" i="67"/>
  <c r="U203" i="67"/>
  <c r="L207" i="67"/>
  <c r="K207" i="67"/>
  <c r="J207" i="67"/>
  <c r="K27" i="1"/>
  <c r="J27" i="1"/>
  <c r="T27" i="1"/>
  <c r="X27" i="1" s="1"/>
  <c r="AE27" i="1"/>
  <c r="AI27" i="1" s="1"/>
  <c r="BB27" i="1"/>
  <c r="AP27" i="1"/>
  <c r="AT27" i="1" s="1"/>
  <c r="AF34" i="1"/>
  <c r="AF32" i="1" s="1"/>
  <c r="AF26" i="1" s="1"/>
  <c r="V34" i="1"/>
  <c r="V32" i="1" s="1"/>
  <c r="V26" i="1" s="1"/>
  <c r="AR34" i="1"/>
  <c r="AR32" i="1" s="1"/>
  <c r="AR26" i="1" s="1"/>
  <c r="AE34" i="1"/>
  <c r="AP34" i="1"/>
  <c r="AG34" i="1"/>
  <c r="AG32" i="1" s="1"/>
  <c r="AG26" i="1" s="1"/>
  <c r="U34" i="1"/>
  <c r="U32" i="1" s="1"/>
  <c r="U26" i="1" s="1"/>
  <c r="BC27" i="1"/>
  <c r="AQ34" i="1"/>
  <c r="AQ32" i="1" s="1"/>
  <c r="AQ26" i="1" s="1"/>
  <c r="BC34" i="1"/>
  <c r="BC32" i="1" s="1"/>
  <c r="BB34" i="1"/>
  <c r="BB32" i="1" s="1"/>
  <c r="T34" i="1"/>
  <c r="K34" i="1"/>
  <c r="K32" i="1" s="1"/>
  <c r="J34" i="1"/>
  <c r="J32" i="1" s="1"/>
  <c r="P63" i="22"/>
  <c r="AQ71" i="1" s="1"/>
  <c r="O63" i="22"/>
  <c r="AF70" i="1" s="1"/>
  <c r="P80" i="22"/>
  <c r="O80" i="22"/>
  <c r="P47" i="22"/>
  <c r="O47" i="22"/>
  <c r="P64" i="22"/>
  <c r="AG71" i="1" s="1"/>
  <c r="O64" i="22"/>
  <c r="AR70" i="1" s="1"/>
  <c r="P48" i="22"/>
  <c r="O48" i="22"/>
  <c r="P79" i="22"/>
  <c r="O79" i="22"/>
  <c r="O94" i="17"/>
  <c r="O96" i="17"/>
  <c r="O95" i="17"/>
  <c r="O62" i="17"/>
  <c r="O64" i="17"/>
  <c r="O63" i="17"/>
  <c r="O98" i="17"/>
  <c r="O49" i="17"/>
  <c r="O66" i="17"/>
  <c r="O97" i="17"/>
  <c r="O50" i="17"/>
  <c r="O47" i="17"/>
  <c r="O65" i="17"/>
  <c r="O48" i="17"/>
  <c r="L56" i="22" s="1"/>
  <c r="Q56" i="22" s="1"/>
  <c r="O46" i="17"/>
  <c r="O82" i="17"/>
  <c r="O80" i="17"/>
  <c r="O81" i="17"/>
  <c r="O79" i="17"/>
  <c r="O78" i="17"/>
  <c r="O89" i="17"/>
  <c r="O90" i="17"/>
  <c r="O58" i="17"/>
  <c r="O57" i="17"/>
  <c r="O41" i="17"/>
  <c r="O42" i="17"/>
  <c r="O73" i="17"/>
  <c r="O74" i="17"/>
  <c r="O91" i="17"/>
  <c r="O92" i="17"/>
  <c r="O93" i="17"/>
  <c r="O60" i="17"/>
  <c r="O59" i="17"/>
  <c r="O61" i="17"/>
  <c r="O44" i="17"/>
  <c r="O45" i="17"/>
  <c r="O43" i="17"/>
  <c r="O77" i="17"/>
  <c r="O76" i="17"/>
  <c r="O75" i="17"/>
  <c r="K378" i="16"/>
  <c r="K379" i="16"/>
  <c r="K380" i="16"/>
  <c r="K381" i="16"/>
  <c r="K382" i="16"/>
  <c r="K383" i="16"/>
  <c r="K384" i="16"/>
  <c r="K385" i="16"/>
  <c r="K386" i="16"/>
  <c r="K387" i="16"/>
  <c r="K388" i="16"/>
  <c r="K389" i="16"/>
  <c r="K390" i="16"/>
  <c r="K391" i="16"/>
  <c r="K392" i="16"/>
  <c r="K393" i="16"/>
  <c r="K394" i="16"/>
  <c r="K395" i="16"/>
  <c r="L378" i="16"/>
  <c r="L379" i="16"/>
  <c r="L380" i="16"/>
  <c r="L381" i="16"/>
  <c r="L382" i="16"/>
  <c r="L383" i="16"/>
  <c r="L384" i="16"/>
  <c r="L385" i="16"/>
  <c r="L386" i="16"/>
  <c r="L387" i="16"/>
  <c r="L388" i="16"/>
  <c r="L389" i="16"/>
  <c r="L390" i="16"/>
  <c r="L391" i="16"/>
  <c r="L392" i="16"/>
  <c r="L393" i="16"/>
  <c r="L394" i="16"/>
  <c r="L395" i="16"/>
  <c r="I30" i="67" l="1"/>
  <c r="Q30" i="67" s="1"/>
  <c r="M30" i="67"/>
  <c r="J201" i="67"/>
  <c r="U188" i="67" s="1"/>
  <c r="U206" i="67"/>
  <c r="U207" i="67" s="1"/>
  <c r="K201" i="67"/>
  <c r="V188" i="67" s="1"/>
  <c r="V206" i="67"/>
  <c r="V207" i="67" s="1"/>
  <c r="L201" i="67"/>
  <c r="W188" i="67" s="1"/>
  <c r="W206" i="67"/>
  <c r="W207" i="67" s="1"/>
  <c r="J26" i="1"/>
  <c r="J70" i="1"/>
  <c r="I31" i="67"/>
  <c r="P44" i="17"/>
  <c r="L52" i="22"/>
  <c r="Q52" i="22" s="1"/>
  <c r="P50" i="17"/>
  <c r="L58" i="22"/>
  <c r="Q58" i="22" s="1"/>
  <c r="P81" i="17"/>
  <c r="L41" i="22"/>
  <c r="Q41" i="22" s="1"/>
  <c r="P77" i="17"/>
  <c r="L37" i="22"/>
  <c r="Q37" i="22" s="1"/>
  <c r="P92" i="17"/>
  <c r="L68" i="22"/>
  <c r="Q68" i="22" s="1"/>
  <c r="P90" i="17"/>
  <c r="L66" i="22"/>
  <c r="Q66" i="22" s="1"/>
  <c r="P63" i="17"/>
  <c r="L87" i="22"/>
  <c r="Q87" i="22" s="1"/>
  <c r="P73" i="17"/>
  <c r="L33" i="22"/>
  <c r="Q33" i="22" s="1"/>
  <c r="P79" i="17"/>
  <c r="L39" i="22"/>
  <c r="Q39" i="22" s="1"/>
  <c r="P95" i="17"/>
  <c r="L71" i="22"/>
  <c r="Q71" i="22" s="1"/>
  <c r="P61" i="17"/>
  <c r="L85" i="22"/>
  <c r="Q85" i="22" s="1"/>
  <c r="P42" i="17"/>
  <c r="L50" i="22"/>
  <c r="Q50" i="22" s="1"/>
  <c r="P97" i="17"/>
  <c r="L73" i="22"/>
  <c r="Q73" i="22" s="1"/>
  <c r="P96" i="17"/>
  <c r="L72" i="22"/>
  <c r="Q72" i="22" s="1"/>
  <c r="P59" i="17"/>
  <c r="L83" i="22"/>
  <c r="Q83" i="22" s="1"/>
  <c r="P41" i="17"/>
  <c r="L49" i="22"/>
  <c r="Q49" i="22" s="1"/>
  <c r="P80" i="17"/>
  <c r="L40" i="22"/>
  <c r="Q40" i="22" s="1"/>
  <c r="P66" i="17"/>
  <c r="L90" i="22"/>
  <c r="Q90" i="22" s="1"/>
  <c r="P94" i="17"/>
  <c r="L70" i="22"/>
  <c r="Q70" i="22" s="1"/>
  <c r="P76" i="17"/>
  <c r="L36" i="22"/>
  <c r="Q36" i="22" s="1"/>
  <c r="P46" i="17"/>
  <c r="L54" i="22"/>
  <c r="Q54" i="22" s="1"/>
  <c r="P75" i="17"/>
  <c r="L35" i="22"/>
  <c r="Q35" i="22" s="1"/>
  <c r="P60" i="17"/>
  <c r="L84" i="22"/>
  <c r="Q84" i="22" s="1"/>
  <c r="P57" i="17"/>
  <c r="L81" i="22"/>
  <c r="Q81" i="22" s="1"/>
  <c r="P82" i="17"/>
  <c r="L42" i="22"/>
  <c r="Q42" i="22" s="1"/>
  <c r="P49" i="17"/>
  <c r="L57" i="22"/>
  <c r="Q57" i="22" s="1"/>
  <c r="P98" i="17"/>
  <c r="L74" i="22"/>
  <c r="Q74" i="22" s="1"/>
  <c r="P43" i="17"/>
  <c r="L51" i="22"/>
  <c r="Q51" i="22" s="1"/>
  <c r="P91" i="17"/>
  <c r="L67" i="22"/>
  <c r="Q67" i="22" s="1"/>
  <c r="P89" i="17"/>
  <c r="L65" i="22"/>
  <c r="Q65" i="22" s="1"/>
  <c r="P65" i="17"/>
  <c r="L89" i="22"/>
  <c r="Q89" i="22" s="1"/>
  <c r="P64" i="17"/>
  <c r="L88" i="22"/>
  <c r="Q88" i="22" s="1"/>
  <c r="P93" i="17"/>
  <c r="L69" i="22"/>
  <c r="Q69" i="22" s="1"/>
  <c r="P58" i="17"/>
  <c r="L82" i="22"/>
  <c r="Q82" i="22" s="1"/>
  <c r="P45" i="17"/>
  <c r="L53" i="22"/>
  <c r="Q53" i="22" s="1"/>
  <c r="P74" i="17"/>
  <c r="L34" i="22"/>
  <c r="Q34" i="22" s="1"/>
  <c r="P78" i="17"/>
  <c r="L38" i="22"/>
  <c r="Q38" i="22" s="1"/>
  <c r="P47" i="17"/>
  <c r="L55" i="22"/>
  <c r="Q55" i="22" s="1"/>
  <c r="P62" i="17"/>
  <c r="L86" i="22"/>
  <c r="Q86" i="22" s="1"/>
  <c r="P48" i="17"/>
  <c r="BB26" i="1"/>
  <c r="J71" i="1"/>
  <c r="K70" i="1"/>
  <c r="AG70" i="1"/>
  <c r="AG69" i="1" s="1"/>
  <c r="V71" i="1"/>
  <c r="BC26" i="1"/>
  <c r="X34" i="1"/>
  <c r="T32" i="1"/>
  <c r="AR71" i="1"/>
  <c r="AR69" i="1" s="1"/>
  <c r="AT34" i="1"/>
  <c r="AP32" i="1"/>
  <c r="K71" i="1"/>
  <c r="BC70" i="1"/>
  <c r="AI34" i="1"/>
  <c r="AE32" i="1"/>
  <c r="U70" i="1"/>
  <c r="AQ70" i="1"/>
  <c r="AQ69" i="1" s="1"/>
  <c r="AF71" i="1"/>
  <c r="AF69" i="1" s="1"/>
  <c r="BB71" i="1"/>
  <c r="U71" i="1"/>
  <c r="BB70" i="1"/>
  <c r="BC71" i="1"/>
  <c r="V70" i="1"/>
  <c r="I15" i="34"/>
  <c r="I12" i="34"/>
  <c r="I30" i="34"/>
  <c r="I27" i="34"/>
  <c r="I9" i="34"/>
  <c r="I24" i="34"/>
  <c r="S82" i="17"/>
  <c r="S46" i="17"/>
  <c r="S77" i="17"/>
  <c r="S92" i="17"/>
  <c r="N66" i="22"/>
  <c r="S90" i="17"/>
  <c r="N56" i="22"/>
  <c r="S48" i="17"/>
  <c r="S63" i="17"/>
  <c r="S49" i="17"/>
  <c r="S89" i="17"/>
  <c r="S60" i="17"/>
  <c r="S93" i="17"/>
  <c r="S91" i="17"/>
  <c r="S45" i="17"/>
  <c r="S78" i="17"/>
  <c r="S73" i="17"/>
  <c r="S79" i="17"/>
  <c r="N58" i="22"/>
  <c r="S50" i="17"/>
  <c r="S95" i="17"/>
  <c r="S57" i="17"/>
  <c r="S58" i="17"/>
  <c r="S43" i="17"/>
  <c r="S64" i="17"/>
  <c r="S74" i="17"/>
  <c r="S47" i="17"/>
  <c r="S62" i="17"/>
  <c r="S61" i="17"/>
  <c r="S42" i="17"/>
  <c r="S81" i="17"/>
  <c r="S97" i="17"/>
  <c r="S96" i="17"/>
  <c r="S75" i="17"/>
  <c r="S76" i="17"/>
  <c r="S98" i="17"/>
  <c r="S65" i="17"/>
  <c r="S44" i="17"/>
  <c r="S59" i="17"/>
  <c r="S41" i="17"/>
  <c r="S80" i="17"/>
  <c r="S66" i="17"/>
  <c r="S94" i="17"/>
  <c r="U76" i="17"/>
  <c r="T76" i="17"/>
  <c r="R76" i="17"/>
  <c r="Q76" i="17"/>
  <c r="Q75" i="17"/>
  <c r="U75" i="17"/>
  <c r="R75" i="17"/>
  <c r="T75" i="17"/>
  <c r="U60" i="17"/>
  <c r="R60" i="17"/>
  <c r="T60" i="17"/>
  <c r="Q60" i="17"/>
  <c r="U57" i="17"/>
  <c r="T57" i="17"/>
  <c r="R57" i="17"/>
  <c r="Q57" i="17"/>
  <c r="Q82" i="17"/>
  <c r="U82" i="17"/>
  <c r="T82" i="17"/>
  <c r="R82" i="17"/>
  <c r="Q49" i="17"/>
  <c r="U49" i="17"/>
  <c r="R49" i="17"/>
  <c r="T49" i="17"/>
  <c r="U98" i="17"/>
  <c r="Q98" i="17"/>
  <c r="R98" i="17"/>
  <c r="T98" i="17"/>
  <c r="U90" i="17"/>
  <c r="Q90" i="17"/>
  <c r="R90" i="17"/>
  <c r="T90" i="17"/>
  <c r="U43" i="17"/>
  <c r="T43" i="17"/>
  <c r="Q43" i="17"/>
  <c r="R43" i="17"/>
  <c r="Q91" i="17"/>
  <c r="U91" i="17"/>
  <c r="R91" i="17"/>
  <c r="T91" i="17"/>
  <c r="U89" i="17"/>
  <c r="Q89" i="17"/>
  <c r="R89" i="17"/>
  <c r="T89" i="17"/>
  <c r="U65" i="17"/>
  <c r="Q65" i="17"/>
  <c r="T65" i="17"/>
  <c r="R65" i="17"/>
  <c r="U64" i="17"/>
  <c r="Q64" i="17"/>
  <c r="R64" i="17"/>
  <c r="T64" i="17"/>
  <c r="U46" i="17"/>
  <c r="T46" i="17"/>
  <c r="Q46" i="17"/>
  <c r="R46" i="17"/>
  <c r="U63" i="17"/>
  <c r="Q63" i="17"/>
  <c r="T63" i="17"/>
  <c r="R63" i="17"/>
  <c r="U74" i="17"/>
  <c r="T74" i="17"/>
  <c r="R74" i="17"/>
  <c r="Q74" i="17"/>
  <c r="Q78" i="17"/>
  <c r="U78" i="17"/>
  <c r="T78" i="17"/>
  <c r="R78" i="17"/>
  <c r="U47" i="17"/>
  <c r="Q47" i="17"/>
  <c r="T47" i="17"/>
  <c r="R47" i="17"/>
  <c r="U62" i="17"/>
  <c r="R62" i="17"/>
  <c r="Q62" i="17"/>
  <c r="T62" i="17"/>
  <c r="U92" i="17"/>
  <c r="Q92" i="17"/>
  <c r="T92" i="17"/>
  <c r="R92" i="17"/>
  <c r="U45" i="17"/>
  <c r="Q45" i="17"/>
  <c r="T45" i="17"/>
  <c r="R45" i="17"/>
  <c r="U44" i="17"/>
  <c r="T44" i="17"/>
  <c r="Q44" i="17"/>
  <c r="R44" i="17"/>
  <c r="Q73" i="17"/>
  <c r="R73" i="17"/>
  <c r="U73" i="17"/>
  <c r="T73" i="17"/>
  <c r="U79" i="17"/>
  <c r="T79" i="17"/>
  <c r="R79" i="17"/>
  <c r="Q79" i="17"/>
  <c r="U50" i="17"/>
  <c r="Q50" i="17"/>
  <c r="R50" i="17"/>
  <c r="T50" i="17"/>
  <c r="U95" i="17"/>
  <c r="Q95" i="17"/>
  <c r="T95" i="17"/>
  <c r="R95" i="17"/>
  <c r="U58" i="17"/>
  <c r="R58" i="17"/>
  <c r="Q58" i="17"/>
  <c r="T58" i="17"/>
  <c r="U48" i="17"/>
  <c r="T48" i="17"/>
  <c r="R48" i="17"/>
  <c r="Q48" i="17"/>
  <c r="U42" i="17"/>
  <c r="Q42" i="17"/>
  <c r="R42" i="17"/>
  <c r="T42" i="17"/>
  <c r="Q81" i="17"/>
  <c r="U81" i="17"/>
  <c r="R81" i="17"/>
  <c r="T81" i="17"/>
  <c r="Q97" i="17"/>
  <c r="U97" i="17"/>
  <c r="R97" i="17"/>
  <c r="T97" i="17"/>
  <c r="U96" i="17"/>
  <c r="Q96" i="17"/>
  <c r="R96" i="17"/>
  <c r="T96" i="17"/>
  <c r="U93" i="17"/>
  <c r="Q93" i="17"/>
  <c r="T93" i="17"/>
  <c r="R93" i="17"/>
  <c r="U77" i="17"/>
  <c r="Q77" i="17"/>
  <c r="R77" i="17"/>
  <c r="T77" i="17"/>
  <c r="U61" i="17"/>
  <c r="Q61" i="17"/>
  <c r="T61" i="17"/>
  <c r="R61" i="17"/>
  <c r="U59" i="17"/>
  <c r="R59" i="17"/>
  <c r="T59" i="17"/>
  <c r="Q59" i="17"/>
  <c r="U41" i="17"/>
  <c r="R41" i="17"/>
  <c r="Q41" i="17"/>
  <c r="T41" i="17"/>
  <c r="R80" i="17"/>
  <c r="Q80" i="17"/>
  <c r="U80" i="17"/>
  <c r="T80" i="17"/>
  <c r="U66" i="17"/>
  <c r="Q66" i="17"/>
  <c r="T66" i="17"/>
  <c r="R66" i="17"/>
  <c r="Q94" i="17"/>
  <c r="U94" i="17"/>
  <c r="T94" i="17"/>
  <c r="R94" i="17"/>
  <c r="J233" i="67" l="1"/>
  <c r="J226" i="67"/>
  <c r="K233" i="67"/>
  <c r="K226" i="67"/>
  <c r="L226" i="67"/>
  <c r="L233" i="67"/>
  <c r="AP68" i="1"/>
  <c r="AE68" i="1"/>
  <c r="T68" i="1"/>
  <c r="L253" i="67"/>
  <c r="K253" i="67"/>
  <c r="J253" i="67"/>
  <c r="BA68" i="1"/>
  <c r="M253" i="67"/>
  <c r="N67" i="22"/>
  <c r="O67" i="22" s="1"/>
  <c r="N69" i="22"/>
  <c r="N86" i="22"/>
  <c r="P86" i="22" s="1"/>
  <c r="N89" i="22"/>
  <c r="P89" i="22" s="1"/>
  <c r="N84" i="22"/>
  <c r="P84" i="22" s="1"/>
  <c r="N83" i="22"/>
  <c r="N85" i="22"/>
  <c r="O85" i="22" s="1"/>
  <c r="N87" i="22"/>
  <c r="P87" i="22" s="1"/>
  <c r="N74" i="22"/>
  <c r="P74" i="22" s="1"/>
  <c r="N72" i="22"/>
  <c r="P72" i="22" s="1"/>
  <c r="N71" i="22"/>
  <c r="O71" i="22" s="1"/>
  <c r="N54" i="22"/>
  <c r="O54" i="22" s="1"/>
  <c r="N73" i="22"/>
  <c r="O73" i="22" s="1"/>
  <c r="N88" i="22"/>
  <c r="N51" i="22"/>
  <c r="P51" i="22" s="1"/>
  <c r="N81" i="22"/>
  <c r="O81" i="22" s="1"/>
  <c r="N49" i="22"/>
  <c r="O49" i="22" s="1"/>
  <c r="I206" i="67"/>
  <c r="T205" i="67" s="1"/>
  <c r="M202" i="67"/>
  <c r="M206" i="67"/>
  <c r="X205" i="67" s="1"/>
  <c r="I205" i="67"/>
  <c r="T204" i="67" s="1"/>
  <c r="I202" i="67"/>
  <c r="I204" i="67"/>
  <c r="T202" i="67" s="1"/>
  <c r="M198" i="67"/>
  <c r="M204" i="67"/>
  <c r="X202" i="67" s="1"/>
  <c r="I203" i="67"/>
  <c r="M203" i="67"/>
  <c r="M205" i="67"/>
  <c r="X204" i="67" s="1"/>
  <c r="I198" i="67"/>
  <c r="V80" i="17"/>
  <c r="W80" i="17" s="1"/>
  <c r="V69" i="1"/>
  <c r="BA28" i="1"/>
  <c r="BE28" i="1" s="1"/>
  <c r="BA24" i="1"/>
  <c r="BE24" i="1" s="1"/>
  <c r="BA31" i="1"/>
  <c r="BE31" i="1" s="1"/>
  <c r="BA29" i="1"/>
  <c r="BE29" i="1" s="1"/>
  <c r="BA33" i="1"/>
  <c r="AT32" i="1"/>
  <c r="AP26" i="1"/>
  <c r="U69" i="1"/>
  <c r="X32" i="1"/>
  <c r="T26" i="1"/>
  <c r="AI32" i="1"/>
  <c r="AE26" i="1"/>
  <c r="BB69" i="1"/>
  <c r="BC69" i="1"/>
  <c r="BA30" i="1"/>
  <c r="BE30" i="1" s="1"/>
  <c r="I24" i="1"/>
  <c r="P88" i="22"/>
  <c r="O88" i="22"/>
  <c r="P56" i="22"/>
  <c r="O56" i="22"/>
  <c r="P54" i="22"/>
  <c r="O86" i="22"/>
  <c r="P58" i="22"/>
  <c r="O58" i="22"/>
  <c r="O66" i="22"/>
  <c r="P66" i="22"/>
  <c r="O51" i="22"/>
  <c r="P83" i="22"/>
  <c r="O83" i="22"/>
  <c r="P67" i="22"/>
  <c r="P81" i="22"/>
  <c r="P69" i="22"/>
  <c r="O69" i="22"/>
  <c r="I30" i="1"/>
  <c r="I29" i="1"/>
  <c r="I33" i="1"/>
  <c r="I31" i="1"/>
  <c r="I28" i="1"/>
  <c r="M28" i="1" s="1"/>
  <c r="N65" i="22"/>
  <c r="N53" i="22"/>
  <c r="N50" i="22"/>
  <c r="N57" i="22"/>
  <c r="N68" i="22"/>
  <c r="N70" i="22"/>
  <c r="N82" i="22"/>
  <c r="N90" i="22"/>
  <c r="N55" i="22"/>
  <c r="N52" i="22"/>
  <c r="V75" i="17"/>
  <c r="W75" i="17" s="1"/>
  <c r="V90" i="17"/>
  <c r="W90" i="17" s="1"/>
  <c r="V79" i="17"/>
  <c r="W79" i="17" s="1"/>
  <c r="V49" i="17"/>
  <c r="W49" i="17" s="1"/>
  <c r="V64" i="17"/>
  <c r="W64" i="17" s="1"/>
  <c r="V57" i="17"/>
  <c r="V76" i="17"/>
  <c r="W76" i="17" s="1"/>
  <c r="V44" i="17"/>
  <c r="W44" i="17" s="1"/>
  <c r="V61" i="17"/>
  <c r="W61" i="17" s="1"/>
  <c r="V77" i="17"/>
  <c r="W77" i="17" s="1"/>
  <c r="V96" i="17"/>
  <c r="W96" i="17" s="1"/>
  <c r="V46" i="17"/>
  <c r="W46" i="17" s="1"/>
  <c r="V98" i="17"/>
  <c r="W98" i="17" s="1"/>
  <c r="V45" i="17"/>
  <c r="W45" i="17" s="1"/>
  <c r="V63" i="17"/>
  <c r="W63" i="17" s="1"/>
  <c r="V81" i="17"/>
  <c r="W81" i="17" s="1"/>
  <c r="V94" i="17"/>
  <c r="W94" i="17" s="1"/>
  <c r="V91" i="17"/>
  <c r="W91" i="17" s="1"/>
  <c r="V93" i="17"/>
  <c r="W93" i="17" s="1"/>
  <c r="N34" i="22"/>
  <c r="N37" i="22"/>
  <c r="V42" i="17"/>
  <c r="W42" i="17" s="1"/>
  <c r="V95" i="17"/>
  <c r="W95" i="17" s="1"/>
  <c r="V78" i="17"/>
  <c r="W78" i="17" s="1"/>
  <c r="N35" i="22"/>
  <c r="V59" i="17"/>
  <c r="W59" i="17" s="1"/>
  <c r="V58" i="17"/>
  <c r="W58" i="17" s="1"/>
  <c r="V73" i="17"/>
  <c r="W73" i="17" s="1"/>
  <c r="V47" i="17"/>
  <c r="W47" i="17" s="1"/>
  <c r="N38" i="22"/>
  <c r="N33" i="22"/>
  <c r="V65" i="17"/>
  <c r="W65" i="17" s="1"/>
  <c r="V82" i="17"/>
  <c r="W82" i="17" s="1"/>
  <c r="V43" i="17"/>
  <c r="W43" i="17" s="1"/>
  <c r="N42" i="22"/>
  <c r="V66" i="17"/>
  <c r="W66" i="17" s="1"/>
  <c r="N40" i="22"/>
  <c r="V48" i="17"/>
  <c r="W48" i="17" s="1"/>
  <c r="V74" i="17"/>
  <c r="W74" i="17" s="1"/>
  <c r="N39" i="22"/>
  <c r="V62" i="17"/>
  <c r="W62" i="17" s="1"/>
  <c r="V97" i="17"/>
  <c r="W97" i="17" s="1"/>
  <c r="V41" i="17"/>
  <c r="W41" i="17" s="1"/>
  <c r="N41" i="22"/>
  <c r="V50" i="17"/>
  <c r="W50" i="17" s="1"/>
  <c r="V92" i="17"/>
  <c r="W92" i="17" s="1"/>
  <c r="V89" i="17"/>
  <c r="V60" i="17"/>
  <c r="W60" i="17" s="1"/>
  <c r="N36" i="22"/>
  <c r="L19" i="16"/>
  <c r="P85" i="22" l="1"/>
  <c r="P49" i="22"/>
  <c r="O74" i="22"/>
  <c r="O72" i="22"/>
  <c r="O89" i="22"/>
  <c r="T203" i="67"/>
  <c r="P73" i="22"/>
  <c r="O84" i="22"/>
  <c r="X203" i="67"/>
  <c r="P71" i="22"/>
  <c r="O87" i="22"/>
  <c r="I207" i="67"/>
  <c r="AT26" i="1"/>
  <c r="AI26" i="1"/>
  <c r="X26" i="1"/>
  <c r="M207" i="67"/>
  <c r="BA27" i="1"/>
  <c r="BE33" i="1"/>
  <c r="W57" i="17"/>
  <c r="BA34" i="1"/>
  <c r="BE34" i="1" s="1"/>
  <c r="O42" i="22"/>
  <c r="P42" i="22"/>
  <c r="O36" i="22"/>
  <c r="P36" i="22"/>
  <c r="P39" i="22"/>
  <c r="O39" i="22"/>
  <c r="P50" i="22"/>
  <c r="O50" i="22"/>
  <c r="P33" i="22"/>
  <c r="O33" i="22"/>
  <c r="P52" i="22"/>
  <c r="O52" i="22"/>
  <c r="P53" i="22"/>
  <c r="O53" i="22"/>
  <c r="P55" i="22"/>
  <c r="O55" i="22"/>
  <c r="P40" i="22"/>
  <c r="O40" i="22"/>
  <c r="P37" i="22"/>
  <c r="O37" i="22"/>
  <c r="O90" i="22"/>
  <c r="P90" i="22"/>
  <c r="P38" i="22"/>
  <c r="O38" i="22"/>
  <c r="P65" i="22"/>
  <c r="O65" i="22"/>
  <c r="P41" i="22"/>
  <c r="O41" i="22"/>
  <c r="P34" i="22"/>
  <c r="O34" i="22"/>
  <c r="P82" i="22"/>
  <c r="O82" i="22"/>
  <c r="P68" i="22"/>
  <c r="O68" i="22"/>
  <c r="P70" i="22"/>
  <c r="O70" i="22"/>
  <c r="P35" i="22"/>
  <c r="O35" i="22"/>
  <c r="P57" i="22"/>
  <c r="O57" i="22"/>
  <c r="W89" i="17"/>
  <c r="I34" i="1"/>
  <c r="C17" i="34"/>
  <c r="B17" i="34"/>
  <c r="C14" i="34"/>
  <c r="B14" i="34"/>
  <c r="C11" i="34"/>
  <c r="B11" i="34"/>
  <c r="C16" i="34"/>
  <c r="B16" i="34"/>
  <c r="C13" i="34"/>
  <c r="B13" i="34"/>
  <c r="C10" i="34"/>
  <c r="B10" i="34"/>
  <c r="C15" i="34"/>
  <c r="B15" i="34"/>
  <c r="C12" i="34"/>
  <c r="B12" i="34"/>
  <c r="C9" i="34"/>
  <c r="B9" i="34"/>
  <c r="J256" i="67" l="1"/>
  <c r="I256" i="67"/>
  <c r="M201" i="67"/>
  <c r="X188" i="67" s="1"/>
  <c r="X206" i="67"/>
  <c r="X207" i="67" s="1"/>
  <c r="I201" i="67"/>
  <c r="T188" i="67" s="1"/>
  <c r="T206" i="67"/>
  <c r="T207" i="67" s="1"/>
  <c r="J26" i="34"/>
  <c r="J31" i="34"/>
  <c r="J24" i="34"/>
  <c r="J29" i="34"/>
  <c r="J25" i="34"/>
  <c r="J27" i="34"/>
  <c r="J32" i="34"/>
  <c r="J30" i="34"/>
  <c r="J28" i="34"/>
  <c r="K27" i="34"/>
  <c r="K24" i="34"/>
  <c r="K30" i="34"/>
  <c r="M226" i="67"/>
  <c r="M233" i="67"/>
  <c r="I233" i="67"/>
  <c r="I70" i="1"/>
  <c r="M70" i="1" s="1"/>
  <c r="K256" i="67"/>
  <c r="L256" i="67"/>
  <c r="L257" i="67"/>
  <c r="K257" i="67"/>
  <c r="J257" i="67"/>
  <c r="I257" i="67"/>
  <c r="BA70" i="1"/>
  <c r="BE70" i="1" s="1"/>
  <c r="BA71" i="1"/>
  <c r="BE71" i="1" s="1"/>
  <c r="I71" i="1"/>
  <c r="M71" i="1" s="1"/>
  <c r="BA32" i="1"/>
  <c r="BE32" i="1" s="1"/>
  <c r="AE70" i="1"/>
  <c r="T70" i="1"/>
  <c r="AP70" i="1"/>
  <c r="AP71" i="1"/>
  <c r="AT71" i="1" s="1"/>
  <c r="T71" i="1"/>
  <c r="X71" i="1" s="1"/>
  <c r="AE71" i="1"/>
  <c r="AI71" i="1" s="1"/>
  <c r="BE27" i="1"/>
  <c r="I226" i="67" l="1"/>
  <c r="J255" i="67"/>
  <c r="U261" i="67" s="1"/>
  <c r="L255" i="67"/>
  <c r="W261" i="67" s="1"/>
  <c r="J25" i="1"/>
  <c r="BB25" i="1"/>
  <c r="BB23" i="1" s="1"/>
  <c r="BB48" i="1" s="1"/>
  <c r="AQ25" i="1"/>
  <c r="AQ23" i="1" s="1"/>
  <c r="AQ48" i="1" s="1"/>
  <c r="U25" i="1"/>
  <c r="U23" i="1" s="1"/>
  <c r="U48" i="1" s="1"/>
  <c r="AF25" i="1"/>
  <c r="AF23" i="1" s="1"/>
  <c r="AF48" i="1" s="1"/>
  <c r="I67" i="1"/>
  <c r="I66" i="1" s="1"/>
  <c r="AP67" i="1"/>
  <c r="AP66" i="1" s="1"/>
  <c r="AE67" i="1"/>
  <c r="AE66" i="1" s="1"/>
  <c r="T67" i="1"/>
  <c r="T66" i="1" s="1"/>
  <c r="BA67" i="1"/>
  <c r="BA66" i="1" s="1"/>
  <c r="J199" i="67"/>
  <c r="J197" i="67" s="1"/>
  <c r="U191" i="67" s="1"/>
  <c r="U193" i="67" s="1"/>
  <c r="K199" i="67"/>
  <c r="K197" i="67" s="1"/>
  <c r="V191" i="67" s="1"/>
  <c r="V193" i="67" s="1"/>
  <c r="AE25" i="1"/>
  <c r="M199" i="67"/>
  <c r="M197" i="67" s="1"/>
  <c r="X191" i="67" s="1"/>
  <c r="X193" i="67" s="1"/>
  <c r="BA25" i="1"/>
  <c r="T25" i="1"/>
  <c r="I199" i="67"/>
  <c r="I197" i="67" s="1"/>
  <c r="T191" i="67" s="1"/>
  <c r="T193" i="67" s="1"/>
  <c r="L199" i="67"/>
  <c r="L197" i="67" s="1"/>
  <c r="W191" i="67" s="1"/>
  <c r="W193" i="67" s="1"/>
  <c r="I25" i="1"/>
  <c r="I23" i="1" s="1"/>
  <c r="AP25" i="1"/>
  <c r="BC25" i="1"/>
  <c r="BC23" i="1" s="1"/>
  <c r="BC48" i="1" s="1"/>
  <c r="K25" i="1"/>
  <c r="K23" i="1" s="1"/>
  <c r="AG25" i="1"/>
  <c r="AG23" i="1" s="1"/>
  <c r="AG48" i="1" s="1"/>
  <c r="AR25" i="1"/>
  <c r="AR23" i="1" s="1"/>
  <c r="AR48" i="1" s="1"/>
  <c r="V25" i="1"/>
  <c r="V23" i="1" s="1"/>
  <c r="V48" i="1" s="1"/>
  <c r="I255" i="67"/>
  <c r="T261" i="67" s="1"/>
  <c r="K255" i="67"/>
  <c r="V261" i="67" s="1"/>
  <c r="BA26" i="1"/>
  <c r="BA69" i="1"/>
  <c r="BE69" i="1" s="1"/>
  <c r="AP69" i="1"/>
  <c r="AT69" i="1" s="1"/>
  <c r="AT70" i="1"/>
  <c r="AI70" i="1"/>
  <c r="AE69" i="1"/>
  <c r="AI69" i="1" s="1"/>
  <c r="T69" i="1"/>
  <c r="X69" i="1" s="1"/>
  <c r="X70" i="1"/>
  <c r="I69" i="1"/>
  <c r="K37" i="1"/>
  <c r="I37" i="1"/>
  <c r="J37" i="1"/>
  <c r="BC55" i="1" l="1"/>
  <c r="BC56" i="1"/>
  <c r="AI25" i="1"/>
  <c r="AE23" i="1"/>
  <c r="AF55" i="1"/>
  <c r="AF56" i="1"/>
  <c r="AT25" i="1"/>
  <c r="AP23" i="1"/>
  <c r="K232" i="67"/>
  <c r="K231" i="67" s="1"/>
  <c r="K225" i="67"/>
  <c r="K224" i="67" s="1"/>
  <c r="K194" i="67"/>
  <c r="V226" i="67" s="1"/>
  <c r="U56" i="1"/>
  <c r="U55" i="1"/>
  <c r="J225" i="67"/>
  <c r="J224" i="67" s="1"/>
  <c r="J232" i="67"/>
  <c r="J231" i="67" s="1"/>
  <c r="J194" i="67"/>
  <c r="U226" i="67" s="1"/>
  <c r="AQ55" i="1"/>
  <c r="AQ56" i="1"/>
  <c r="BB55" i="1"/>
  <c r="BB56" i="1"/>
  <c r="V55" i="1"/>
  <c r="V56" i="1"/>
  <c r="I225" i="67"/>
  <c r="I224" i="67" s="1"/>
  <c r="I232" i="67"/>
  <c r="I231" i="67" s="1"/>
  <c r="I194" i="67"/>
  <c r="T226" i="67" s="1"/>
  <c r="M25" i="1"/>
  <c r="J23" i="1"/>
  <c r="J48" i="1" s="1"/>
  <c r="X25" i="1"/>
  <c r="T23" i="1"/>
  <c r="L232" i="67"/>
  <c r="L231" i="67" s="1"/>
  <c r="L225" i="67"/>
  <c r="L224" i="67" s="1"/>
  <c r="L194" i="67"/>
  <c r="W226" i="67" s="1"/>
  <c r="AG55" i="1"/>
  <c r="AG56" i="1"/>
  <c r="BE25" i="1"/>
  <c r="BA23" i="1"/>
  <c r="BE23" i="1" s="1"/>
  <c r="AR55" i="1"/>
  <c r="AR56" i="1"/>
  <c r="M225" i="67"/>
  <c r="M224" i="67" s="1"/>
  <c r="M232" i="67"/>
  <c r="M231" i="67" s="1"/>
  <c r="M194" i="67"/>
  <c r="X226" i="67" s="1"/>
  <c r="BE26" i="1"/>
  <c r="AE76" i="1"/>
  <c r="T76" i="1"/>
  <c r="AP76" i="1"/>
  <c r="BA76" i="1"/>
  <c r="L69" i="1"/>
  <c r="I76" i="1"/>
  <c r="L65" i="1"/>
  <c r="K65" i="1"/>
  <c r="J65" i="1"/>
  <c r="I65" i="1"/>
  <c r="L20" i="1"/>
  <c r="K20" i="1"/>
  <c r="J20" i="1"/>
  <c r="I20" i="1"/>
  <c r="T243" i="67" l="1"/>
  <c r="T227" i="67"/>
  <c r="T234" i="67"/>
  <c r="U227" i="67"/>
  <c r="U243" i="67"/>
  <c r="U234" i="67"/>
  <c r="V232" i="67"/>
  <c r="V225" i="67"/>
  <c r="V241" i="67"/>
  <c r="U232" i="67"/>
  <c r="U225" i="67"/>
  <c r="U241" i="67"/>
  <c r="X227" i="67"/>
  <c r="X234" i="67"/>
  <c r="X243" i="67"/>
  <c r="W225" i="67"/>
  <c r="W232" i="67"/>
  <c r="W241" i="67"/>
  <c r="W227" i="67"/>
  <c r="W234" i="67"/>
  <c r="W243" i="67"/>
  <c r="X225" i="67"/>
  <c r="X232" i="67"/>
  <c r="X241" i="67"/>
  <c r="T241" i="67"/>
  <c r="T232" i="67"/>
  <c r="T225" i="67"/>
  <c r="V227" i="67"/>
  <c r="V234" i="67"/>
  <c r="V243" i="67"/>
  <c r="J55" i="1"/>
  <c r="J56" i="1"/>
  <c r="M23" i="1"/>
  <c r="BA48" i="1"/>
  <c r="BA56" i="1" s="1"/>
  <c r="AT23" i="1"/>
  <c r="AT48" i="1" s="1"/>
  <c r="AP48" i="1"/>
  <c r="J245" i="67"/>
  <c r="J246" i="67" s="1"/>
  <c r="U242" i="67" s="1"/>
  <c r="J195" i="67"/>
  <c r="U233" i="67" s="1"/>
  <c r="X23" i="1"/>
  <c r="X48" i="1" s="1"/>
  <c r="T48" i="1"/>
  <c r="BE48" i="1"/>
  <c r="BE55" i="1" s="1"/>
  <c r="AI23" i="1"/>
  <c r="AI48" i="1" s="1"/>
  <c r="AE48" i="1"/>
  <c r="M245" i="67"/>
  <c r="M246" i="67" s="1"/>
  <c r="X242" i="67" s="1"/>
  <c r="M195" i="67"/>
  <c r="X233" i="67" s="1"/>
  <c r="K195" i="67"/>
  <c r="V233" i="67" s="1"/>
  <c r="K245" i="67"/>
  <c r="K246" i="67" s="1"/>
  <c r="V242" i="67" s="1"/>
  <c r="L245" i="67"/>
  <c r="L246" i="67" s="1"/>
  <c r="W242" i="67" s="1"/>
  <c r="L195" i="67"/>
  <c r="W233" i="67" s="1"/>
  <c r="I195" i="67"/>
  <c r="T233" i="67" s="1"/>
  <c r="I245" i="67"/>
  <c r="I246" i="67" s="1"/>
  <c r="T242" i="67" s="1"/>
  <c r="L76" i="1"/>
  <c r="N72" i="17"/>
  <c r="N71" i="17"/>
  <c r="N69" i="17"/>
  <c r="N68" i="17"/>
  <c r="N67" i="17"/>
  <c r="BA55" i="1" l="1"/>
  <c r="AI56" i="1"/>
  <c r="AI55" i="1"/>
  <c r="AE55" i="1"/>
  <c r="AE56" i="1"/>
  <c r="AT56" i="1"/>
  <c r="AT55" i="1"/>
  <c r="T55" i="1"/>
  <c r="T56" i="1"/>
  <c r="X55" i="1"/>
  <c r="X56" i="1"/>
  <c r="BE56" i="1"/>
  <c r="AP56" i="1"/>
  <c r="AP55" i="1"/>
  <c r="M32" i="22"/>
  <c r="M31" i="22"/>
  <c r="M30" i="22"/>
  <c r="M29" i="22"/>
  <c r="M28" i="22"/>
  <c r="O69" i="17"/>
  <c r="O67" i="17"/>
  <c r="I32" i="67" s="1"/>
  <c r="O72" i="17"/>
  <c r="O71" i="17"/>
  <c r="O70" i="17"/>
  <c r="O68" i="17"/>
  <c r="I33" i="67" s="1"/>
  <c r="P72" i="17" l="1"/>
  <c r="L32" i="22"/>
  <c r="Q32" i="22" s="1"/>
  <c r="P67" i="17"/>
  <c r="L27" i="22"/>
  <c r="Q27" i="22" s="1"/>
  <c r="P69" i="17"/>
  <c r="L29" i="22"/>
  <c r="Q29" i="22" s="1"/>
  <c r="P70" i="17"/>
  <c r="L30" i="22"/>
  <c r="Q30" i="22" s="1"/>
  <c r="P68" i="17"/>
  <c r="L28" i="22"/>
  <c r="Q28" i="22" s="1"/>
  <c r="P71" i="17"/>
  <c r="L31" i="22"/>
  <c r="Q31" i="22" s="1"/>
  <c r="I11" i="34"/>
  <c r="K26" i="34" s="1"/>
  <c r="I14" i="34"/>
  <c r="K29" i="34" s="1"/>
  <c r="I16" i="34"/>
  <c r="K31" i="34" s="1"/>
  <c r="I10" i="34"/>
  <c r="K25" i="34" s="1"/>
  <c r="I13" i="34"/>
  <c r="K28" i="34" s="1"/>
  <c r="I17" i="34"/>
  <c r="K32" i="34" s="1"/>
  <c r="S67" i="17"/>
  <c r="S72" i="17"/>
  <c r="S69" i="17"/>
  <c r="S70" i="17"/>
  <c r="S71" i="17"/>
  <c r="S68" i="17"/>
  <c r="U68" i="17"/>
  <c r="T68" i="17"/>
  <c r="R68" i="17"/>
  <c r="Q68" i="17"/>
  <c r="Q70" i="17"/>
  <c r="U70" i="17"/>
  <c r="T70" i="17"/>
  <c r="R70" i="17"/>
  <c r="U69" i="17"/>
  <c r="T69" i="17"/>
  <c r="R69" i="17"/>
  <c r="Q69" i="17"/>
  <c r="U71" i="17"/>
  <c r="T71" i="17"/>
  <c r="R71" i="17"/>
  <c r="Q71" i="17"/>
  <c r="U72" i="17"/>
  <c r="T72" i="17"/>
  <c r="R72" i="17"/>
  <c r="Q72" i="17"/>
  <c r="R67" i="17"/>
  <c r="Q67" i="17"/>
  <c r="U67" i="17"/>
  <c r="T67" i="17"/>
  <c r="AF67" i="1" l="1"/>
  <c r="AF66" i="1" s="1"/>
  <c r="U67" i="1"/>
  <c r="BB67" i="1"/>
  <c r="BB66" i="1" s="1"/>
  <c r="J67" i="1"/>
  <c r="AQ67" i="1"/>
  <c r="AQ66" i="1" s="1"/>
  <c r="M252" i="67"/>
  <c r="M251" i="67" s="1"/>
  <c r="X260" i="67" s="1"/>
  <c r="K252" i="67"/>
  <c r="K251" i="67" s="1"/>
  <c r="V260" i="67" s="1"/>
  <c r="I252" i="67"/>
  <c r="I251" i="67" s="1"/>
  <c r="T260" i="67" s="1"/>
  <c r="L252" i="67"/>
  <c r="L251" i="67" s="1"/>
  <c r="W260" i="67" s="1"/>
  <c r="J252" i="67"/>
  <c r="J251" i="67" s="1"/>
  <c r="U260" i="67" s="1"/>
  <c r="AG67" i="1"/>
  <c r="AG66" i="1" s="1"/>
  <c r="AG76" i="1" s="1"/>
  <c r="K67" i="1"/>
  <c r="K66" i="1" s="1"/>
  <c r="V67" i="1"/>
  <c r="V66" i="1" s="1"/>
  <c r="V76" i="1" s="1"/>
  <c r="AR67" i="1"/>
  <c r="AR66" i="1" s="1"/>
  <c r="AR76" i="1" s="1"/>
  <c r="BC67" i="1"/>
  <c r="BC66" i="1" s="1"/>
  <c r="BC76" i="1" s="1"/>
  <c r="N28" i="22"/>
  <c r="P28" i="22" s="1"/>
  <c r="L250" i="67"/>
  <c r="V72" i="17"/>
  <c r="W72" i="17" s="1"/>
  <c r="V70" i="17"/>
  <c r="W70" i="17" s="1"/>
  <c r="V67" i="17"/>
  <c r="W67" i="17" s="1"/>
  <c r="V68" i="17"/>
  <c r="W68" i="17" s="1"/>
  <c r="V69" i="17"/>
  <c r="W69" i="17" s="1"/>
  <c r="V71" i="17"/>
  <c r="W71" i="17" s="1"/>
  <c r="N27" i="22"/>
  <c r="O28" i="22" l="1"/>
  <c r="I250" i="67"/>
  <c r="K250" i="67"/>
  <c r="J250" i="67"/>
  <c r="J66" i="1"/>
  <c r="M66" i="1" s="1"/>
  <c r="M67" i="1"/>
  <c r="U66" i="1"/>
  <c r="X67" i="1"/>
  <c r="AT67" i="1"/>
  <c r="AI67" i="1"/>
  <c r="BE67" i="1"/>
  <c r="O27" i="22"/>
  <c r="P27" i="22"/>
  <c r="M29" i="1"/>
  <c r="M33" i="1"/>
  <c r="M31" i="1"/>
  <c r="M30" i="1"/>
  <c r="L377" i="16"/>
  <c r="K377" i="16"/>
  <c r="L376" i="16"/>
  <c r="K376" i="16"/>
  <c r="L375" i="16"/>
  <c r="K375" i="16"/>
  <c r="L374" i="16"/>
  <c r="K374" i="16"/>
  <c r="L373" i="16"/>
  <c r="K373" i="16"/>
  <c r="L372" i="16"/>
  <c r="K372" i="16"/>
  <c r="L371" i="16"/>
  <c r="K371" i="16"/>
  <c r="L370" i="16"/>
  <c r="K370" i="16"/>
  <c r="L369" i="16"/>
  <c r="K369" i="16"/>
  <c r="L368" i="16"/>
  <c r="K368" i="16"/>
  <c r="L367" i="16"/>
  <c r="K367" i="16"/>
  <c r="L366" i="16"/>
  <c r="K366" i="16"/>
  <c r="L365" i="16"/>
  <c r="K365" i="16"/>
  <c r="L364" i="16"/>
  <c r="K364" i="16"/>
  <c r="L363" i="16"/>
  <c r="K363" i="16"/>
  <c r="L362" i="16"/>
  <c r="K362" i="16"/>
  <c r="L361" i="16"/>
  <c r="K361" i="16"/>
  <c r="L360" i="16"/>
  <c r="K360" i="16"/>
  <c r="L359" i="16"/>
  <c r="K359" i="16"/>
  <c r="L358" i="16"/>
  <c r="K358" i="16"/>
  <c r="L357" i="16"/>
  <c r="K357" i="16"/>
  <c r="L356" i="16"/>
  <c r="K356" i="16"/>
  <c r="L355" i="16"/>
  <c r="K355" i="16"/>
  <c r="L354" i="16"/>
  <c r="K354" i="16"/>
  <c r="L353" i="16"/>
  <c r="K353" i="16"/>
  <c r="L352" i="16"/>
  <c r="K352" i="16"/>
  <c r="L351" i="16"/>
  <c r="K351" i="16"/>
  <c r="L350" i="16"/>
  <c r="K350" i="16"/>
  <c r="L349" i="16"/>
  <c r="K349" i="16"/>
  <c r="L348" i="16"/>
  <c r="K348" i="16"/>
  <c r="L347" i="16"/>
  <c r="K347" i="16"/>
  <c r="L346" i="16"/>
  <c r="K346" i="16"/>
  <c r="L345" i="16"/>
  <c r="K345" i="16"/>
  <c r="L344" i="16"/>
  <c r="K344" i="16"/>
  <c r="L343" i="16"/>
  <c r="K343" i="16"/>
  <c r="L342" i="16"/>
  <c r="K342" i="16"/>
  <c r="L341" i="16"/>
  <c r="K341" i="16"/>
  <c r="L340" i="16"/>
  <c r="K340" i="16"/>
  <c r="L339" i="16"/>
  <c r="K339" i="16"/>
  <c r="L338" i="16"/>
  <c r="K338" i="16"/>
  <c r="L337" i="16"/>
  <c r="K337" i="16"/>
  <c r="L336" i="16"/>
  <c r="K336" i="16"/>
  <c r="L335" i="16"/>
  <c r="K335" i="16"/>
  <c r="L334" i="16"/>
  <c r="K334" i="16"/>
  <c r="L333" i="16"/>
  <c r="K333" i="16"/>
  <c r="L332" i="16"/>
  <c r="K332" i="16"/>
  <c r="L331" i="16"/>
  <c r="K331" i="16"/>
  <c r="L330" i="16"/>
  <c r="K330" i="16"/>
  <c r="L329" i="16"/>
  <c r="K329" i="16"/>
  <c r="L328" i="16"/>
  <c r="K328" i="16"/>
  <c r="L327" i="16"/>
  <c r="K327" i="16"/>
  <c r="L326" i="16"/>
  <c r="K326" i="16"/>
  <c r="L325" i="16"/>
  <c r="K325" i="16"/>
  <c r="L324" i="16"/>
  <c r="K324" i="16"/>
  <c r="L323" i="16"/>
  <c r="K323" i="16"/>
  <c r="L322" i="16"/>
  <c r="K322" i="16"/>
  <c r="L321" i="16"/>
  <c r="K321" i="16"/>
  <c r="L320" i="16"/>
  <c r="K320" i="16"/>
  <c r="L319" i="16"/>
  <c r="K319" i="16"/>
  <c r="L318" i="16"/>
  <c r="K318" i="16"/>
  <c r="L317" i="16"/>
  <c r="K317" i="16"/>
  <c r="L316" i="16"/>
  <c r="K316" i="16"/>
  <c r="L315" i="16"/>
  <c r="K315" i="16"/>
  <c r="L314" i="16"/>
  <c r="K314" i="16"/>
  <c r="L313" i="16"/>
  <c r="K313" i="16"/>
  <c r="L312" i="16"/>
  <c r="K312" i="16"/>
  <c r="L311" i="16"/>
  <c r="K311" i="16"/>
  <c r="L310" i="16"/>
  <c r="K310" i="16"/>
  <c r="L309" i="16"/>
  <c r="K309" i="16"/>
  <c r="L308" i="16"/>
  <c r="K308" i="16"/>
  <c r="L307" i="16"/>
  <c r="K307" i="16"/>
  <c r="L306" i="16"/>
  <c r="K306" i="16"/>
  <c r="L305" i="16"/>
  <c r="K305" i="16"/>
  <c r="L304" i="16"/>
  <c r="K304" i="16"/>
  <c r="L303" i="16"/>
  <c r="K303" i="16"/>
  <c r="L302" i="16"/>
  <c r="K302" i="16"/>
  <c r="L301" i="16"/>
  <c r="K301" i="16"/>
  <c r="L300" i="16"/>
  <c r="K300" i="16"/>
  <c r="L299" i="16"/>
  <c r="K299" i="16"/>
  <c r="L298" i="16"/>
  <c r="K298" i="16"/>
  <c r="L297" i="16"/>
  <c r="K297" i="16"/>
  <c r="L296" i="16"/>
  <c r="K296" i="16"/>
  <c r="L295" i="16"/>
  <c r="K295" i="16"/>
  <c r="L294" i="16"/>
  <c r="K294" i="16"/>
  <c r="L293" i="16"/>
  <c r="K293" i="16"/>
  <c r="L292" i="16"/>
  <c r="K292" i="16"/>
  <c r="L291" i="16"/>
  <c r="K291" i="16"/>
  <c r="L290" i="16"/>
  <c r="K290" i="16"/>
  <c r="L289" i="16"/>
  <c r="K289" i="16"/>
  <c r="L288" i="16"/>
  <c r="K288" i="16"/>
  <c r="L287" i="16"/>
  <c r="K287" i="16"/>
  <c r="L286" i="16"/>
  <c r="K286" i="16"/>
  <c r="L285" i="16"/>
  <c r="K285" i="16"/>
  <c r="L284" i="16"/>
  <c r="K284" i="16"/>
  <c r="L283" i="16"/>
  <c r="K283" i="16"/>
  <c r="L282" i="16"/>
  <c r="K282" i="16"/>
  <c r="L281" i="16"/>
  <c r="K281" i="16"/>
  <c r="L280" i="16"/>
  <c r="K280" i="16"/>
  <c r="L279" i="16"/>
  <c r="K279" i="16"/>
  <c r="L278" i="16"/>
  <c r="K278" i="16"/>
  <c r="L277" i="16"/>
  <c r="K277" i="16"/>
  <c r="L276" i="16"/>
  <c r="K276" i="16"/>
  <c r="L275" i="16"/>
  <c r="K275" i="16"/>
  <c r="L274" i="16"/>
  <c r="K274" i="16"/>
  <c r="L273" i="16"/>
  <c r="K273" i="16"/>
  <c r="L272" i="16"/>
  <c r="K272" i="16"/>
  <c r="L271" i="16"/>
  <c r="K271" i="16"/>
  <c r="L270" i="16"/>
  <c r="K270" i="16"/>
  <c r="L269" i="16"/>
  <c r="K269" i="16"/>
  <c r="L268" i="16"/>
  <c r="K268" i="16"/>
  <c r="L267" i="16"/>
  <c r="K267" i="16"/>
  <c r="L266" i="16"/>
  <c r="K266" i="16"/>
  <c r="L265" i="16"/>
  <c r="K265" i="16"/>
  <c r="L264" i="16"/>
  <c r="K264" i="16"/>
  <c r="L263" i="16"/>
  <c r="K263" i="16"/>
  <c r="L262" i="16"/>
  <c r="K262" i="16"/>
  <c r="L261" i="16"/>
  <c r="K261" i="16"/>
  <c r="L260" i="16"/>
  <c r="K260" i="16"/>
  <c r="L259" i="16"/>
  <c r="K259" i="16"/>
  <c r="L258" i="16"/>
  <c r="K258" i="16"/>
  <c r="L257" i="16"/>
  <c r="K257" i="16"/>
  <c r="L256" i="16"/>
  <c r="K256" i="16"/>
  <c r="L255" i="16"/>
  <c r="K255" i="16"/>
  <c r="L254" i="16"/>
  <c r="K254" i="16"/>
  <c r="L253" i="16"/>
  <c r="K253" i="16"/>
  <c r="L252" i="16"/>
  <c r="K252" i="16"/>
  <c r="L251" i="16"/>
  <c r="K251" i="16"/>
  <c r="L250" i="16"/>
  <c r="K250" i="16"/>
  <c r="L249" i="16"/>
  <c r="K249" i="16"/>
  <c r="L248" i="16"/>
  <c r="K248" i="16"/>
  <c r="L247" i="16"/>
  <c r="K247" i="16"/>
  <c r="L246" i="16"/>
  <c r="K246" i="16"/>
  <c r="L245" i="16"/>
  <c r="K245" i="16"/>
  <c r="L244" i="16"/>
  <c r="K244" i="16"/>
  <c r="L243" i="16"/>
  <c r="K243" i="16"/>
  <c r="L242" i="16"/>
  <c r="K242" i="16"/>
  <c r="L241" i="16"/>
  <c r="K241" i="16"/>
  <c r="L240" i="16"/>
  <c r="K240" i="16"/>
  <c r="L239" i="16"/>
  <c r="K239" i="16"/>
  <c r="L238" i="16"/>
  <c r="K238" i="16"/>
  <c r="L237" i="16"/>
  <c r="K237" i="16"/>
  <c r="L236" i="16"/>
  <c r="K236" i="16"/>
  <c r="L235" i="16"/>
  <c r="K235" i="16"/>
  <c r="L234" i="16"/>
  <c r="K234" i="16"/>
  <c r="L233" i="16"/>
  <c r="K233" i="16"/>
  <c r="L232" i="16"/>
  <c r="K232" i="16"/>
  <c r="L231" i="16"/>
  <c r="K231" i="16"/>
  <c r="L230" i="16"/>
  <c r="K230" i="16"/>
  <c r="L229" i="16"/>
  <c r="K229" i="16"/>
  <c r="L228" i="16"/>
  <c r="K228" i="16"/>
  <c r="L227" i="16"/>
  <c r="K227" i="16"/>
  <c r="L226" i="16"/>
  <c r="K226" i="16"/>
  <c r="L225" i="16"/>
  <c r="K225" i="16"/>
  <c r="L224" i="16"/>
  <c r="K224" i="16"/>
  <c r="L223" i="16"/>
  <c r="K223" i="16"/>
  <c r="L222" i="16"/>
  <c r="K222" i="16"/>
  <c r="L221" i="16"/>
  <c r="K221" i="16"/>
  <c r="L220" i="16"/>
  <c r="K220" i="16"/>
  <c r="L219" i="16"/>
  <c r="K219" i="16"/>
  <c r="L218" i="16"/>
  <c r="K218" i="16"/>
  <c r="L217" i="16"/>
  <c r="K217" i="16"/>
  <c r="L216" i="16"/>
  <c r="K216" i="16"/>
  <c r="L215" i="16"/>
  <c r="K215" i="16"/>
  <c r="L214" i="16"/>
  <c r="K214" i="16"/>
  <c r="L213" i="16"/>
  <c r="K213" i="16"/>
  <c r="L212" i="16"/>
  <c r="K212" i="16"/>
  <c r="L211" i="16"/>
  <c r="K211" i="16"/>
  <c r="L210" i="16"/>
  <c r="K210" i="16"/>
  <c r="L209" i="16"/>
  <c r="K209" i="16"/>
  <c r="L208" i="16"/>
  <c r="K208" i="16"/>
  <c r="L207" i="16"/>
  <c r="K207" i="16"/>
  <c r="L206" i="16"/>
  <c r="K206" i="16"/>
  <c r="L205" i="16"/>
  <c r="K205" i="16"/>
  <c r="L204" i="16"/>
  <c r="K204" i="16"/>
  <c r="L203" i="16"/>
  <c r="K203" i="16"/>
  <c r="L202" i="16"/>
  <c r="K202" i="16"/>
  <c r="L201" i="16"/>
  <c r="K201" i="16"/>
  <c r="L200" i="16"/>
  <c r="K200" i="16"/>
  <c r="L199" i="16"/>
  <c r="K199" i="16"/>
  <c r="L198" i="16"/>
  <c r="K198" i="16"/>
  <c r="L197" i="16"/>
  <c r="K197" i="16"/>
  <c r="L196" i="16"/>
  <c r="K196" i="16"/>
  <c r="L195" i="16"/>
  <c r="K195" i="16"/>
  <c r="L194" i="16"/>
  <c r="K194" i="16"/>
  <c r="L193" i="16"/>
  <c r="K193" i="16"/>
  <c r="L192" i="16"/>
  <c r="K192" i="16"/>
  <c r="L191" i="16"/>
  <c r="K191" i="16"/>
  <c r="L190" i="16"/>
  <c r="K190" i="16"/>
  <c r="L189" i="16"/>
  <c r="K189" i="16"/>
  <c r="L188" i="16"/>
  <c r="K188" i="16"/>
  <c r="L187" i="16"/>
  <c r="K187" i="16"/>
  <c r="L186" i="16"/>
  <c r="K186" i="16"/>
  <c r="L185" i="16"/>
  <c r="K185" i="16"/>
  <c r="L184" i="16"/>
  <c r="K184" i="16"/>
  <c r="L183" i="16"/>
  <c r="K183" i="16"/>
  <c r="L182" i="16"/>
  <c r="K182" i="16"/>
  <c r="L181" i="16"/>
  <c r="K181" i="16"/>
  <c r="L180" i="16"/>
  <c r="K180" i="16"/>
  <c r="L179" i="16"/>
  <c r="K179" i="16"/>
  <c r="L178" i="16"/>
  <c r="K178" i="16"/>
  <c r="L177" i="16"/>
  <c r="K177" i="16"/>
  <c r="L176" i="16"/>
  <c r="K176" i="16"/>
  <c r="L175" i="16"/>
  <c r="K175" i="16"/>
  <c r="L174" i="16"/>
  <c r="K174" i="16"/>
  <c r="L173" i="16"/>
  <c r="K173" i="16"/>
  <c r="L172" i="16"/>
  <c r="K172" i="16"/>
  <c r="L171" i="16"/>
  <c r="K171" i="16"/>
  <c r="L170" i="16"/>
  <c r="K170" i="16"/>
  <c r="L169" i="16"/>
  <c r="K169" i="16"/>
  <c r="L168" i="16"/>
  <c r="K168" i="16"/>
  <c r="L167" i="16"/>
  <c r="K167" i="16"/>
  <c r="L166" i="16"/>
  <c r="K166" i="16"/>
  <c r="L165" i="16"/>
  <c r="K165" i="16"/>
  <c r="L164" i="16"/>
  <c r="K164" i="16"/>
  <c r="L163" i="16"/>
  <c r="K163" i="16"/>
  <c r="L162" i="16"/>
  <c r="K162" i="16"/>
  <c r="L161" i="16"/>
  <c r="K161" i="16"/>
  <c r="L160" i="16"/>
  <c r="K160" i="16"/>
  <c r="L159" i="16"/>
  <c r="K159" i="16"/>
  <c r="L158" i="16"/>
  <c r="K158" i="16"/>
  <c r="L157" i="16"/>
  <c r="K157" i="16"/>
  <c r="L156" i="16"/>
  <c r="K156" i="16"/>
  <c r="L155" i="16"/>
  <c r="K155" i="16"/>
  <c r="L154" i="16"/>
  <c r="K154" i="16"/>
  <c r="L153" i="16"/>
  <c r="K153" i="16"/>
  <c r="L152" i="16"/>
  <c r="K152" i="16"/>
  <c r="L151" i="16"/>
  <c r="K151" i="16"/>
  <c r="L150" i="16"/>
  <c r="K150" i="16"/>
  <c r="L149" i="16"/>
  <c r="K149" i="16"/>
  <c r="L148" i="16"/>
  <c r="K148" i="16"/>
  <c r="L147" i="16"/>
  <c r="K147" i="16"/>
  <c r="L146" i="16"/>
  <c r="K146" i="16"/>
  <c r="L145" i="16"/>
  <c r="K145" i="16"/>
  <c r="L144" i="16"/>
  <c r="K144" i="16"/>
  <c r="L143" i="16"/>
  <c r="K143" i="16"/>
  <c r="L142" i="16"/>
  <c r="K142" i="16"/>
  <c r="L141" i="16"/>
  <c r="K141" i="16"/>
  <c r="L140" i="16"/>
  <c r="K140" i="16"/>
  <c r="L139" i="16"/>
  <c r="K139" i="16"/>
  <c r="L138" i="16"/>
  <c r="K138" i="16"/>
  <c r="L137" i="16"/>
  <c r="K137" i="16"/>
  <c r="L136" i="16"/>
  <c r="K136" i="16"/>
  <c r="L135" i="16"/>
  <c r="K135" i="16"/>
  <c r="L134" i="16"/>
  <c r="K134" i="16"/>
  <c r="L133" i="16"/>
  <c r="K133" i="16"/>
  <c r="L132" i="16"/>
  <c r="K132" i="16"/>
  <c r="L131" i="16"/>
  <c r="K131" i="16"/>
  <c r="L130" i="16"/>
  <c r="K130" i="16"/>
  <c r="L129" i="16"/>
  <c r="K129" i="16"/>
  <c r="L128" i="16"/>
  <c r="K128" i="16"/>
  <c r="L127" i="16"/>
  <c r="K127" i="16"/>
  <c r="L126" i="16"/>
  <c r="K126" i="16"/>
  <c r="L125" i="16"/>
  <c r="K125" i="16"/>
  <c r="L124" i="16"/>
  <c r="K124" i="16"/>
  <c r="L123" i="16"/>
  <c r="K123" i="16"/>
  <c r="L122" i="16"/>
  <c r="K122" i="16"/>
  <c r="L121" i="16"/>
  <c r="K121" i="16"/>
  <c r="L120" i="16"/>
  <c r="K120" i="16"/>
  <c r="L119" i="16"/>
  <c r="K119" i="16"/>
  <c r="L118" i="16"/>
  <c r="K118" i="16"/>
  <c r="L117" i="16"/>
  <c r="K117" i="16"/>
  <c r="L116" i="16"/>
  <c r="K116" i="16"/>
  <c r="L115" i="16"/>
  <c r="K115" i="16"/>
  <c r="L114" i="16"/>
  <c r="K114" i="16"/>
  <c r="L113" i="16"/>
  <c r="K113" i="16"/>
  <c r="L112" i="16"/>
  <c r="K112" i="16"/>
  <c r="L111" i="16"/>
  <c r="K111" i="16"/>
  <c r="L110" i="16"/>
  <c r="K110" i="16"/>
  <c r="L109" i="16"/>
  <c r="K109" i="16"/>
  <c r="L108" i="16"/>
  <c r="K108" i="16"/>
  <c r="L107" i="16"/>
  <c r="K107" i="16"/>
  <c r="L106" i="16"/>
  <c r="K106" i="16"/>
  <c r="L105" i="16"/>
  <c r="K105" i="16"/>
  <c r="L104" i="16"/>
  <c r="K104" i="16"/>
  <c r="L103" i="16"/>
  <c r="K103" i="16"/>
  <c r="L102" i="16"/>
  <c r="K102" i="16"/>
  <c r="L101" i="16"/>
  <c r="K101" i="16"/>
  <c r="L100" i="16"/>
  <c r="K100" i="16"/>
  <c r="L99" i="16"/>
  <c r="K99" i="16"/>
  <c r="L98" i="16"/>
  <c r="K98" i="16"/>
  <c r="L97" i="16"/>
  <c r="K97" i="16"/>
  <c r="L96" i="16"/>
  <c r="K96" i="16"/>
  <c r="L95" i="16"/>
  <c r="K95" i="16"/>
  <c r="L94" i="16"/>
  <c r="K94" i="16"/>
  <c r="L93" i="16"/>
  <c r="K93" i="16"/>
  <c r="L92" i="16"/>
  <c r="K92" i="16"/>
  <c r="L91" i="16"/>
  <c r="K91" i="16"/>
  <c r="L90" i="16"/>
  <c r="K90" i="16"/>
  <c r="L89" i="16"/>
  <c r="K89" i="16"/>
  <c r="L88" i="16"/>
  <c r="K88" i="16"/>
  <c r="L87" i="16"/>
  <c r="K87" i="16"/>
  <c r="L86" i="16"/>
  <c r="K86" i="16"/>
  <c r="L85" i="16"/>
  <c r="K85" i="16"/>
  <c r="L84" i="16"/>
  <c r="K84" i="16"/>
  <c r="L83" i="16"/>
  <c r="K83" i="16"/>
  <c r="L82" i="16"/>
  <c r="K82" i="16"/>
  <c r="L81" i="16"/>
  <c r="K81" i="16"/>
  <c r="L80" i="16"/>
  <c r="K80" i="16"/>
  <c r="L79" i="16"/>
  <c r="K79" i="16"/>
  <c r="L78" i="16"/>
  <c r="K78" i="16"/>
  <c r="L77" i="16"/>
  <c r="K77" i="16"/>
  <c r="L76" i="16"/>
  <c r="K76" i="16"/>
  <c r="L75" i="16"/>
  <c r="K75" i="16"/>
  <c r="L74" i="16"/>
  <c r="K74" i="16"/>
  <c r="L73" i="16"/>
  <c r="K73" i="16"/>
  <c r="L72" i="16"/>
  <c r="K72" i="16"/>
  <c r="L71" i="16"/>
  <c r="K71" i="16"/>
  <c r="L70" i="16"/>
  <c r="K70" i="16"/>
  <c r="L69" i="16"/>
  <c r="K69" i="16"/>
  <c r="L68" i="16"/>
  <c r="K68" i="16"/>
  <c r="L67" i="16"/>
  <c r="K67" i="16"/>
  <c r="L66" i="16"/>
  <c r="K66" i="16"/>
  <c r="L65" i="16"/>
  <c r="K65" i="16"/>
  <c r="L64" i="16"/>
  <c r="K64" i="16"/>
  <c r="L63" i="16"/>
  <c r="K63" i="16"/>
  <c r="L62" i="16"/>
  <c r="K62" i="16"/>
  <c r="L61" i="16"/>
  <c r="K61" i="16"/>
  <c r="L60" i="16"/>
  <c r="K60" i="16"/>
  <c r="L59" i="16"/>
  <c r="K59" i="16"/>
  <c r="L58" i="16"/>
  <c r="K58" i="16"/>
  <c r="L57" i="16"/>
  <c r="K57" i="16"/>
  <c r="L56" i="16"/>
  <c r="K56" i="16"/>
  <c r="L55" i="16"/>
  <c r="K55" i="16"/>
  <c r="L54" i="16"/>
  <c r="K54" i="16"/>
  <c r="L53" i="16"/>
  <c r="K53" i="16"/>
  <c r="L52" i="16"/>
  <c r="K52" i="16"/>
  <c r="L51" i="16"/>
  <c r="K51" i="16"/>
  <c r="L50" i="16"/>
  <c r="K50" i="16"/>
  <c r="L49" i="16"/>
  <c r="K49" i="16"/>
  <c r="L48" i="16"/>
  <c r="K48" i="16"/>
  <c r="L47" i="16"/>
  <c r="K47" i="16"/>
  <c r="L46" i="16"/>
  <c r="K46" i="16"/>
  <c r="L45" i="16"/>
  <c r="K45" i="16"/>
  <c r="L44" i="16"/>
  <c r="K44" i="16"/>
  <c r="L43" i="16"/>
  <c r="K43" i="16"/>
  <c r="L42" i="16"/>
  <c r="K42" i="16"/>
  <c r="L41" i="16"/>
  <c r="K41" i="16"/>
  <c r="L40" i="16"/>
  <c r="K40" i="16"/>
  <c r="L39" i="16"/>
  <c r="K39" i="16"/>
  <c r="L38" i="16"/>
  <c r="K38" i="16"/>
  <c r="L37" i="16"/>
  <c r="K37" i="16"/>
  <c r="L36" i="16"/>
  <c r="K36" i="16"/>
  <c r="L35" i="16"/>
  <c r="K35" i="16"/>
  <c r="L34" i="16"/>
  <c r="K34" i="16"/>
  <c r="L33" i="16"/>
  <c r="K33" i="16"/>
  <c r="L32" i="16"/>
  <c r="K32" i="16"/>
  <c r="L31" i="16"/>
  <c r="K31" i="16"/>
  <c r="L30" i="16"/>
  <c r="K30" i="16"/>
  <c r="L29" i="16"/>
  <c r="K29" i="16"/>
  <c r="L28" i="16"/>
  <c r="K28" i="16"/>
  <c r="L27" i="16"/>
  <c r="K27" i="16"/>
  <c r="L26" i="16"/>
  <c r="K26" i="16"/>
  <c r="L25" i="16"/>
  <c r="K25" i="16"/>
  <c r="L24" i="16"/>
  <c r="K24" i="16"/>
  <c r="L23" i="16"/>
  <c r="K23" i="16"/>
  <c r="L22" i="16"/>
  <c r="K22" i="16"/>
  <c r="L21" i="16"/>
  <c r="K21" i="16"/>
  <c r="L20" i="16"/>
  <c r="K20" i="16"/>
  <c r="K19" i="16"/>
  <c r="AI66" i="1" l="1"/>
  <c r="AI76" i="1" s="1"/>
  <c r="AF76" i="1"/>
  <c r="AT66" i="1"/>
  <c r="AT76" i="1" s="1"/>
  <c r="AQ76" i="1"/>
  <c r="X66" i="1"/>
  <c r="X76" i="1" s="1"/>
  <c r="U76" i="1"/>
  <c r="BE66" i="1"/>
  <c r="BE76" i="1" s="1"/>
  <c r="BB76" i="1"/>
  <c r="M34" i="1"/>
  <c r="M24" i="1" l="1"/>
  <c r="I27" i="1" l="1"/>
  <c r="I32" i="1"/>
  <c r="I26" i="1" l="1"/>
  <c r="I48" i="1" s="1"/>
  <c r="M38" i="1"/>
  <c r="L37" i="1"/>
  <c r="M37" i="1" s="1"/>
  <c r="N31" i="22"/>
  <c r="N32" i="22"/>
  <c r="N29" i="22"/>
  <c r="I56" i="1" l="1"/>
  <c r="I55" i="1"/>
  <c r="P31" i="22"/>
  <c r="O31" i="22"/>
  <c r="P29" i="22"/>
  <c r="O29" i="22"/>
  <c r="P32" i="22"/>
  <c r="M257" i="67" s="1"/>
  <c r="O32" i="22"/>
  <c r="M256" i="67" s="1"/>
  <c r="L26" i="1"/>
  <c r="L48" i="1" s="1"/>
  <c r="J69" i="1"/>
  <c r="J76" i="1" s="1"/>
  <c r="N30" i="22"/>
  <c r="M255" i="67" l="1"/>
  <c r="X261" i="67" s="1"/>
  <c r="L56" i="1"/>
  <c r="L55" i="1"/>
  <c r="P30" i="22"/>
  <c r="O30" i="22"/>
  <c r="K69" i="1"/>
  <c r="K76" i="1" s="1"/>
  <c r="M250" i="67" l="1"/>
  <c r="M69" i="1"/>
  <c r="M76" i="1" s="1"/>
  <c r="K26" i="1" l="1"/>
  <c r="K48" i="1" s="1"/>
  <c r="M27" i="1"/>
  <c r="K56" i="1" l="1"/>
  <c r="K55" i="1"/>
  <c r="M32" i="1"/>
  <c r="M26" i="1" l="1"/>
  <c r="M48" i="1" s="1"/>
  <c r="M55" i="1" s="1"/>
  <c r="M5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tc={CECCBBA1-30C1-4CFD-AB5B-C753252CAE66}</author>
  </authors>
  <commentList>
    <comment ref="F6" authorId="0" shapeId="0" xr:uid="{CECCBBA1-30C1-4CFD-AB5B-C753252CAE66}">
      <text>
        <t>[Threaded comment]
Your version of Excel allows you to read this threaded comment; however, any edits to it will get removed if the file is opened in a newer version of Excel. Learn more: https://go.microsoft.com/fwlink/?linkid=870924
Comment:
    Chris -- confirm data year and whether escalation is needed.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tc={8CEBA3DB-A5BB-429A-8297-58253289C4CB}</author>
  </authors>
  <commentList>
    <comment ref="C16" authorId="0" shapeId="0" xr:uid="{8CEBA3DB-A5BB-429A-8297-58253289C4CB}">
      <text>
        <t>[Threaded comment]
Your version of Excel allows you to read this threaded comment; however, any edits to it will get removed if the file is opened in a newer version of Excel. Learn more: https://go.microsoft.com/fwlink/?linkid=870924
Comment:
    Jessica changed the MRF numbers to separate the CRF. Figure this out.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tc={6B5EA1A5-D3CB-4648-9668-9D8E74BB05FE}</author>
  </authors>
  <commentList>
    <comment ref="J16" authorId="0" shapeId="0" xr:uid="{6B5EA1A5-D3CB-4648-9668-9D8E74BB05FE}">
      <text>
        <t>[Threaded comment]
Your version of Excel allows you to read this threaded comment; however, any edits to it will get removed if the file is opened in a newer version of Excel. Learn more: https://go.microsoft.com/fwlink/?linkid=870924
Comment:
    Jessica needs to make a new table to hold this data. Probably in the Bales file beucase it's already organized vertically.</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Peter Spendelow</author>
  </authors>
  <commentList>
    <comment ref="E95" authorId="0" shapeId="0" xr:uid="{00000000-0006-0000-0F00-000001000000}">
      <text>
        <r>
          <rPr>
            <b/>
            <sz val="9"/>
            <color indexed="81"/>
            <rFont val="Tahoma"/>
            <family val="2"/>
          </rPr>
          <t>Peter Spendelow:</t>
        </r>
        <r>
          <rPr>
            <sz val="9"/>
            <color indexed="81"/>
            <rFont val="Tahoma"/>
            <family val="2"/>
          </rPr>
          <t xml:space="preserve">
A very rural CCD</t>
        </r>
      </text>
    </comment>
    <comment ref="E101" authorId="0" shapeId="0" xr:uid="{00000000-0006-0000-0F00-000002000000}">
      <text>
        <r>
          <rPr>
            <b/>
            <sz val="9"/>
            <color indexed="81"/>
            <rFont val="Tahoma"/>
            <family val="2"/>
          </rPr>
          <t>Peter Spendelow:</t>
        </r>
        <r>
          <rPr>
            <sz val="9"/>
            <color indexed="81"/>
            <rFont val="Tahoma"/>
            <family val="2"/>
          </rPr>
          <t xml:space="preserve">
This is a county census division that matches pretty well with the UGB for Brookings.  We don't have precise Brookings UGB data - the "9" in population is really essentially a placeholder for missing 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tc={D9DDC73F-124C-4598-B59E-D81688E6DE86}</author>
  </authors>
  <commentList>
    <comment ref="I14" authorId="0" shapeId="0" xr:uid="{D9DDC73F-124C-4598-B59E-D81688E6DE86}">
      <text>
        <t>[Threaded comment]
Your version of Excel allows you to read this threaded comment; however, any edits to it will get removed if the file is opened in a newer version of Excel. Learn more: https://go.microsoft.com/fwlink/?linkid=870924
Comment:
    missing 2000-06 and 2000-12, but these are not currently used (would directly marketed)</t>
      </text>
    </comment>
  </commentList>
</comments>
</file>

<file path=xl/sharedStrings.xml><?xml version="1.0" encoding="utf-8"?>
<sst xmlns="http://schemas.openxmlformats.org/spreadsheetml/2006/main" count="109169" uniqueCount="3749">
  <si>
    <t>Report Tabs</t>
  </si>
  <si>
    <t>Description: Model Outputs</t>
  </si>
  <si>
    <t>Notes</t>
  </si>
  <si>
    <t>Statewide-Report</t>
  </si>
  <si>
    <t>Notes for reviewers</t>
  </si>
  <si>
    <t xml:space="preserve">The Cascadia team recommends that you focus your review on the green report tabs and on the yellow input cells. </t>
  </si>
  <si>
    <t>Cells are color-coded as follows:</t>
  </si>
  <si>
    <t>Input cell (focus on these)</t>
  </si>
  <si>
    <t>Data linking from elsewhere in the model</t>
  </si>
  <si>
    <t>Interim calculations within a table</t>
  </si>
  <si>
    <t>Output of a table for review or used elsewhere</t>
  </si>
  <si>
    <t>Model Tabs</t>
  </si>
  <si>
    <t>Description: Model Inputs and Calculations</t>
  </si>
  <si>
    <t>FTEs</t>
  </si>
  <si>
    <t>LG_Engagement</t>
  </si>
  <si>
    <t>Estimates and inputs used in the Cost Model around single-family, multi-family, and commercial customer engagement costs provided by local governments.</t>
  </si>
  <si>
    <t>Reference Tabs</t>
  </si>
  <si>
    <t>Description</t>
  </si>
  <si>
    <t>Definitions</t>
  </si>
  <si>
    <t>Definitions of terms used in the Cost Model.</t>
  </si>
  <si>
    <t>Groupings</t>
  </si>
  <si>
    <t>Assignment of incorporated areas, urban growth boundary (UGB) areas, and other unincorporated areas to groupings.</t>
  </si>
  <si>
    <t>MetaData</t>
  </si>
  <si>
    <t>Codes and categorizations for data that support formulas used in the model.</t>
  </si>
  <si>
    <t>*</t>
  </si>
  <si>
    <t>Total</t>
  </si>
  <si>
    <t>Engagement</t>
  </si>
  <si>
    <t>Collection</t>
  </si>
  <si>
    <t>Direct Collection Costs</t>
  </si>
  <si>
    <t>Collection Labor</t>
  </si>
  <si>
    <t>Collection Operations</t>
  </si>
  <si>
    <t>Indirect Collection Costs</t>
  </si>
  <si>
    <t>Collection Administrative</t>
  </si>
  <si>
    <t>Collection Margin and Franchise Fee</t>
  </si>
  <si>
    <t>Sortation</t>
  </si>
  <si>
    <t>Sortation Labor</t>
  </si>
  <si>
    <t>Sortation Capital</t>
  </si>
  <si>
    <t>Sortation Facility</t>
  </si>
  <si>
    <t>Sortation Residual Disposal</t>
  </si>
  <si>
    <t>Sortation Administrative &amp; Marketing</t>
  </si>
  <si>
    <t>Sortation Margin</t>
  </si>
  <si>
    <t>Overall System Costs</t>
  </si>
  <si>
    <t>Total Costs</t>
  </si>
  <si>
    <t>Total Cost per Ton Collected</t>
  </si>
  <si>
    <t>Total Cost per Ton Marketed</t>
  </si>
  <si>
    <t>Full-Time Equivalent (FTE) Employment</t>
  </si>
  <si>
    <t>Local Government Engagement</t>
  </si>
  <si>
    <t>Management and Administrative</t>
  </si>
  <si>
    <t>Admininstrative and Marketing</t>
  </si>
  <si>
    <t>Data Sources, Inputs, and Notes</t>
  </si>
  <si>
    <t>A</t>
  </si>
  <si>
    <t>D</t>
  </si>
  <si>
    <t>Margin is the regulated profit for collection operations. Most jurisdictions within Oregon had a target margin of 10%. Franchise fees are the fees assessed by local government. Most jurisdictions within Oregon assess a 5% fee within the rates. The margin and fee are embedded within the rate; therefore, dividing by 85% (1 – 10% margin + 5% franchise fee) grosses up the rate. For example, if the cost of service is $10, the rate would be $11.76. The franchise fee paid on the $11.76 rate is $0.59 ($11.76 x 5%) and the margin is $1.17 ($11.76 - x 10%).</t>
  </si>
  <si>
    <t>E</t>
  </si>
  <si>
    <t>Admin costs in the model were calculated as a percentage of the direct costs, depending on how it was recognized by each jurisdiction. Admin costs are not directly assigned to recycling, but they are recognized at the company level. Admin costs are typically higher for smaller haulers. Admin costs typically include margin, franchise fee, and engagement costs, but these items are shown separately in the model.</t>
  </si>
  <si>
    <t>Collection_ID</t>
  </si>
  <si>
    <t>Grouping_ID</t>
  </si>
  <si>
    <t>Grouping_Name</t>
  </si>
  <si>
    <t>Frequency_ID</t>
  </si>
  <si>
    <t>Collection_Frequency</t>
  </si>
  <si>
    <t>Sector_ID</t>
  </si>
  <si>
    <t>Sector_Name</t>
  </si>
  <si>
    <t>Benefits_Ratio</t>
  </si>
  <si>
    <t>Pickups_Per_Year</t>
  </si>
  <si>
    <t>W</t>
  </si>
  <si>
    <t>U</t>
  </si>
  <si>
    <t>BM</t>
  </si>
  <si>
    <t>M</t>
  </si>
  <si>
    <t>Capital Costs Per Pickup 2018</t>
  </si>
  <si>
    <t>Other Operational Expenses Per Pickup 2018</t>
  </si>
  <si>
    <t>Annual Indirect Costs Per Customer (Margin, Franchise Fee, Admin, Customer Engagement) 2018</t>
  </si>
  <si>
    <t>Margin_FranchiseFee_Rate</t>
  </si>
  <si>
    <t>Annual_Margin_FranchiseFee_PerCustomer</t>
  </si>
  <si>
    <t>Annual_Admin_Per_Customer</t>
  </si>
  <si>
    <t>Annual_Engagement_Per_Customer</t>
  </si>
  <si>
    <t>C*</t>
  </si>
  <si>
    <t>Annual_Labor_Cost_Per_Customer</t>
  </si>
  <si>
    <t>Annual_OtherOps_Cost_Per_Customer</t>
  </si>
  <si>
    <t>Escalator</t>
  </si>
  <si>
    <t>CPI</t>
  </si>
  <si>
    <t>Trucks</t>
  </si>
  <si>
    <t>Confidential information on cost and average lift per business per week from haulers serving Oregon.</t>
  </si>
  <si>
    <t>F</t>
  </si>
  <si>
    <t>NOTE:</t>
  </si>
  <si>
    <t>Lift ratio could be higher in "Other areas with curbside" due to additional containers on-site or smaller containers that require increased pickups.</t>
  </si>
  <si>
    <t>Labor Collection Costs Per Customer 2018</t>
  </si>
  <si>
    <t>OnRoute_Labor_Per_Lift</t>
  </si>
  <si>
    <t>OnRoute_Benefits_Per_Lift</t>
  </si>
  <si>
    <t>Labor_Cost_Per_Lift</t>
  </si>
  <si>
    <t>Average_Lifts_Per_Week</t>
  </si>
  <si>
    <t>Weeks_Per_Year</t>
  </si>
  <si>
    <t>V</t>
  </si>
  <si>
    <t>Container_Capital_Per_Lift</t>
  </si>
  <si>
    <t>Truck_Capital_Per_Lift</t>
  </si>
  <si>
    <t>Route_Operations_Per_Lift</t>
  </si>
  <si>
    <t>Other_DirectCosts_Per_Lift</t>
  </si>
  <si>
    <t>OtherOps_Cost_Per_Lift</t>
  </si>
  <si>
    <t>Annual_Indirect_Cost_Per_Customer</t>
  </si>
  <si>
    <t>Depot Cost Allocations (excluding sortation) 2018</t>
  </si>
  <si>
    <t>Labor_Pct</t>
  </si>
  <si>
    <t>Capital_Pct</t>
  </si>
  <si>
    <t>Operations_Pct</t>
  </si>
  <si>
    <t>Transport_Pct</t>
  </si>
  <si>
    <t>Admin_Pct</t>
  </si>
  <si>
    <t>Labor_Cost_Per_Ton</t>
  </si>
  <si>
    <t>Capital_Cost_Per_Ton</t>
  </si>
  <si>
    <t>Operations_Cost_Per_Ton</t>
  </si>
  <si>
    <t>Transport_Cost_Per_Ton</t>
  </si>
  <si>
    <t>Admin_Cost_Per_Ton</t>
  </si>
  <si>
    <t>Depot Cost Allocations (excluding sortation) 2025</t>
  </si>
  <si>
    <t>Escalator:</t>
  </si>
  <si>
    <t>B</t>
  </si>
  <si>
    <t>GroupSector_ID</t>
  </si>
  <si>
    <t>C</t>
  </si>
  <si>
    <t>Admin / Mgmt / Marketing Expense</t>
  </si>
  <si>
    <t>Weekly</t>
  </si>
  <si>
    <t>FTE (Full-Time Equivalent) Employee Unit Inputs: Customers served per FTE</t>
  </si>
  <si>
    <t>Customer_Or_Lift_Per_Driver</t>
  </si>
  <si>
    <t>Unit</t>
  </si>
  <si>
    <t>Customer_Per_Admin</t>
  </si>
  <si>
    <t>Lifts per driver per week</t>
  </si>
  <si>
    <t>Lifts per driver</t>
  </si>
  <si>
    <t>Customers</t>
  </si>
  <si>
    <t>Lifts_Per_Week</t>
  </si>
  <si>
    <t>OnRoute_FTE</t>
  </si>
  <si>
    <t>AdminFTE</t>
  </si>
  <si>
    <t>Tons_Per_FTE</t>
  </si>
  <si>
    <t>N</t>
  </si>
  <si>
    <r>
      <t xml:space="preserve">A   </t>
    </r>
    <r>
      <rPr>
        <sz val="11"/>
        <rFont val="Arial"/>
        <family val="2"/>
        <scheme val="minor"/>
      </rPr>
      <t>Industry standards applied to the estimated populations. On-Route FTEs include drivers, on-route supervisors, and other related labor.</t>
    </r>
  </si>
  <si>
    <t>Admin</t>
  </si>
  <si>
    <t>Baseline Engagement Costs and FTEs by Local Governments</t>
  </si>
  <si>
    <t>Total_Spending</t>
  </si>
  <si>
    <t>Expenses_Spending</t>
  </si>
  <si>
    <t>Broad estimates based on IGA and funding reports from Metro, data on other Metro spending on the Recycling Information Center and other education, and additional information from City of Portland.</t>
  </si>
  <si>
    <t>Ratio between customers and population</t>
  </si>
  <si>
    <t>Source_ID</t>
  </si>
  <si>
    <t>Item</t>
  </si>
  <si>
    <t>Number</t>
  </si>
  <si>
    <t>Source</t>
  </si>
  <si>
    <t>Confidential data on customers compared to 2018 population from Oregon haulers</t>
  </si>
  <si>
    <t>Escalators use to account for inflation</t>
  </si>
  <si>
    <t>Financial_ID</t>
  </si>
  <si>
    <t>Fuel</t>
  </si>
  <si>
    <t>Pop2018</t>
  </si>
  <si>
    <t>Pct. Customers/Pop</t>
  </si>
  <si>
    <t>Collection_Labor</t>
  </si>
  <si>
    <t>Collection_Ops</t>
  </si>
  <si>
    <t>CollectionAdmin</t>
  </si>
  <si>
    <t>Collection_MarginFF</t>
  </si>
  <si>
    <t>Transport</t>
  </si>
  <si>
    <t>Pop2025</t>
  </si>
  <si>
    <t>Population or Employment Growth Rates 2017 to 2025</t>
  </si>
  <si>
    <t>Source: Portland State University, College or Urban &amp; Public Affairs: Population Research Center</t>
  </si>
  <si>
    <t>GrowthRate</t>
  </si>
  <si>
    <t>Source: copied from Tonnage Model</t>
  </si>
  <si>
    <t>1 - Metro area</t>
  </si>
  <si>
    <t>SF Res. (on-route)</t>
  </si>
  <si>
    <t>2 - Willamette Valley, etc.</t>
  </si>
  <si>
    <t>3 - Other areas with curbside</t>
  </si>
  <si>
    <t>MF Res. (on-route)</t>
  </si>
  <si>
    <t>Commercial (on-route)</t>
  </si>
  <si>
    <t>4 - Areas without curbside</t>
  </si>
  <si>
    <t>Administrative Costs</t>
  </si>
  <si>
    <t xml:space="preserve">Administrative Medical Insurance </t>
  </si>
  <si>
    <t xml:space="preserve">Administrative Other Benefits </t>
  </si>
  <si>
    <t xml:space="preserve">Administrative Payroll Tax Expense </t>
  </si>
  <si>
    <t xml:space="preserve">Administrative Pension Plan Expense </t>
  </si>
  <si>
    <t xml:space="preserve">Administrative Salaries </t>
  </si>
  <si>
    <t xml:space="preserve">Administrative Workers Compensation </t>
  </si>
  <si>
    <t xml:space="preserve">Advertising and Public Education </t>
  </si>
  <si>
    <t xml:space="preserve">Amortization - Route &amp; Intangibles </t>
  </si>
  <si>
    <t xml:space="preserve">Bad Debts </t>
  </si>
  <si>
    <t xml:space="preserve">Cleaning and Maintenance </t>
  </si>
  <si>
    <t xml:space="preserve">Contributions </t>
  </si>
  <si>
    <t xml:space="preserve">Corporate Overhead </t>
  </si>
  <si>
    <t xml:space="preserve">Depreciation - Office Building </t>
  </si>
  <si>
    <t xml:space="preserve">Depreciation - Office Equipment </t>
  </si>
  <si>
    <t xml:space="preserve">Dues &amp; Subscriptions </t>
  </si>
  <si>
    <t xml:space="preserve">Equipment Rental </t>
  </si>
  <si>
    <t xml:space="preserve">Insurance </t>
  </si>
  <si>
    <t xml:space="preserve">Interest - Route </t>
  </si>
  <si>
    <t xml:space="preserve">Management Medical Insurance </t>
  </si>
  <si>
    <t xml:space="preserve">Management Other Benefits </t>
  </si>
  <si>
    <t xml:space="preserve">Management Payroll Tax Expense </t>
  </si>
  <si>
    <t xml:space="preserve">Management Pension Plan Expense </t>
  </si>
  <si>
    <t xml:space="preserve">Management Salaries </t>
  </si>
  <si>
    <t xml:space="preserve">Management Workers Compensation </t>
  </si>
  <si>
    <t xml:space="preserve">Miscellaneous Expense </t>
  </si>
  <si>
    <t xml:space="preserve">Office Rent </t>
  </si>
  <si>
    <t xml:space="preserve">Office Supplies </t>
  </si>
  <si>
    <t xml:space="preserve">Postage &amp; Freight </t>
  </si>
  <si>
    <t xml:space="preserve">Professional Fees </t>
  </si>
  <si>
    <t xml:space="preserve">Professional Meetings and Seminars </t>
  </si>
  <si>
    <t xml:space="preserve">Property Taxes/Licenses/Fees </t>
  </si>
  <si>
    <t xml:space="preserve">Repairs &amp; Maintenance - Office </t>
  </si>
  <si>
    <t xml:space="preserve">Telephone </t>
  </si>
  <si>
    <t xml:space="preserve">Training &amp; Worker Safety </t>
  </si>
  <si>
    <t xml:space="preserve">Travel/Meals/lodging </t>
  </si>
  <si>
    <t xml:space="preserve">Utilities </t>
  </si>
  <si>
    <t>Route Operations (Collection Expenses)</t>
  </si>
  <si>
    <t>Fuel </t>
  </si>
  <si>
    <t>Repairs &amp; Maintenance - Vehicles </t>
  </si>
  <si>
    <t>Wages - Mechanic </t>
  </si>
  <si>
    <t>Supplies </t>
  </si>
  <si>
    <t>Insurance </t>
  </si>
  <si>
    <t>PUC/Licenses/Fees </t>
  </si>
  <si>
    <r>
      <t>Collection Truck Expense</t>
    </r>
    <r>
      <rPr>
        <sz val="10"/>
        <rFont val="Arial"/>
        <family val="2"/>
      </rPr>
      <t> </t>
    </r>
  </si>
  <si>
    <t>Vehicle Rent </t>
  </si>
  <si>
    <t>Depreciation - Vehicles </t>
  </si>
  <si>
    <t>Interest – Vehicles </t>
  </si>
  <si>
    <r>
      <t>Labor Burden</t>
    </r>
    <r>
      <rPr>
        <sz val="10"/>
        <rFont val="Arial"/>
        <family val="2"/>
      </rPr>
      <t> </t>
    </r>
  </si>
  <si>
    <t>Payroll Tax Expense </t>
  </si>
  <si>
    <t>Medical Insurance </t>
  </si>
  <si>
    <t>Pension Plan Expense </t>
  </si>
  <si>
    <t>Workers Comp Insurance </t>
  </si>
  <si>
    <t>Other Benefits </t>
  </si>
  <si>
    <t>Training and Worker Safety </t>
  </si>
  <si>
    <r>
      <t>Labor Expense</t>
    </r>
    <r>
      <rPr>
        <sz val="10"/>
        <rFont val="Arial"/>
        <family val="2"/>
      </rPr>
      <t> </t>
    </r>
  </si>
  <si>
    <t>Wages - Route Drivers/Utility </t>
  </si>
  <si>
    <t>Other Direct Costs (Non-Route Collection Expenses)</t>
  </si>
  <si>
    <t>Repairs &amp; Maint. - Containers &amp; Carts </t>
  </si>
  <si>
    <t>Repairs &amp; Maintenance - Other Equipment </t>
  </si>
  <si>
    <t>Repairs &amp; Maintenance - Yard/Buildings </t>
  </si>
  <si>
    <t>Depreciation - Other Equipment </t>
  </si>
  <si>
    <t>Depreciation - Yard/Buildings </t>
  </si>
  <si>
    <t>Yard Rent </t>
  </si>
  <si>
    <t>Other Equipment Rent </t>
  </si>
  <si>
    <t>Interest - Other Equipment </t>
  </si>
  <si>
    <t>Interest - Yard/Buildings </t>
  </si>
  <si>
    <t>Other Operational Expenses </t>
  </si>
  <si>
    <r>
      <t>Recycle Container Costs</t>
    </r>
    <r>
      <rPr>
        <sz val="10"/>
        <rFont val="Arial"/>
        <family val="2"/>
      </rPr>
      <t> </t>
    </r>
  </si>
  <si>
    <t>Depreciation - Containers &amp; Carts </t>
  </si>
  <si>
    <t>Recycling Bins </t>
  </si>
  <si>
    <t>Interest - Containers &amp; Carts </t>
  </si>
  <si>
    <t>Margin and Franchise Fees</t>
  </si>
  <si>
    <t>Margin is the regulated profit for collection operations</t>
  </si>
  <si>
    <t>Franchise fees are the fees assessed by local government</t>
  </si>
  <si>
    <t>Source: Peter Spendelow, Oregon DEQ, revised March 3, 2020</t>
  </si>
  <si>
    <t>County</t>
  </si>
  <si>
    <t>Jurisdiction</t>
  </si>
  <si>
    <t>UGB Name</t>
  </si>
  <si>
    <t>Area Type</t>
  </si>
  <si>
    <t>Jurisdiction - Orig</t>
  </si>
  <si>
    <t>FreqCode</t>
  </si>
  <si>
    <t>Required</t>
  </si>
  <si>
    <t>Group</t>
  </si>
  <si>
    <t>Duplicates</t>
  </si>
  <si>
    <t>GroupName</t>
  </si>
  <si>
    <t>FreqName</t>
  </si>
  <si>
    <t>Where Does It MRF?</t>
  </si>
  <si>
    <t>new1Mod2</t>
  </si>
  <si>
    <t>Baker</t>
  </si>
  <si>
    <t>Baker City</t>
  </si>
  <si>
    <t>Incorporated Area</t>
  </si>
  <si>
    <t>Y</t>
  </si>
  <si>
    <t>UGB</t>
  </si>
  <si>
    <t>Baker City UGB</t>
  </si>
  <si>
    <t>Baker Rest</t>
  </si>
  <si>
    <t>Rest of County</t>
  </si>
  <si>
    <t xml:space="preserve"> </t>
  </si>
  <si>
    <t>Greenhorn</t>
  </si>
  <si>
    <t>Haines</t>
  </si>
  <si>
    <t>Halfway</t>
  </si>
  <si>
    <t>Huntington</t>
  </si>
  <si>
    <t>Richland</t>
  </si>
  <si>
    <t>Sumpter</t>
  </si>
  <si>
    <t>Unity</t>
  </si>
  <si>
    <t>Benton</t>
  </si>
  <si>
    <t>Adair Village</t>
  </si>
  <si>
    <t>Albany</t>
  </si>
  <si>
    <t>Benton Rest NR</t>
  </si>
  <si>
    <t>Benton Rest</t>
  </si>
  <si>
    <t>Benton Rest R</t>
  </si>
  <si>
    <t>Corvallis</t>
  </si>
  <si>
    <t>Corvallis UGB</t>
  </si>
  <si>
    <t>Monroe</t>
  </si>
  <si>
    <t>Philomath</t>
  </si>
  <si>
    <t>Philomath UGB</t>
  </si>
  <si>
    <t>Clackamas</t>
  </si>
  <si>
    <t>Barlow</t>
  </si>
  <si>
    <t>Canby</t>
  </si>
  <si>
    <t>Canby UGB</t>
  </si>
  <si>
    <t>Clackamas Metro</t>
  </si>
  <si>
    <t>Metro</t>
  </si>
  <si>
    <t>Clackamas Metro UGB</t>
  </si>
  <si>
    <t>Clackamas Rest NR</t>
  </si>
  <si>
    <t>Clackamas Rest</t>
  </si>
  <si>
    <t>Clackamas Out NR</t>
  </si>
  <si>
    <t>Clackamas Rest R</t>
  </si>
  <si>
    <t>Clackamas Out R</t>
  </si>
  <si>
    <t>Estacada</t>
  </si>
  <si>
    <t>Gladstone</t>
  </si>
  <si>
    <t>Happy Valley</t>
  </si>
  <si>
    <t>Johnson City</t>
  </si>
  <si>
    <t>Lake Oswego</t>
  </si>
  <si>
    <t>Milwaukie</t>
  </si>
  <si>
    <t>Molalla</t>
  </si>
  <si>
    <t>Molalla UGB</t>
  </si>
  <si>
    <t>Oregon City</t>
  </si>
  <si>
    <t>Portland</t>
  </si>
  <si>
    <t>Rivergrove</t>
  </si>
  <si>
    <t>Sandy</t>
  </si>
  <si>
    <t>Sandy UGB</t>
  </si>
  <si>
    <t>Tualatin</t>
  </si>
  <si>
    <t>West Linn</t>
  </si>
  <si>
    <t>Wilsonville</t>
  </si>
  <si>
    <t>Clatsop</t>
  </si>
  <si>
    <t>Astoria</t>
  </si>
  <si>
    <t>Astoria UGB</t>
  </si>
  <si>
    <t>Cannon Beach</t>
  </si>
  <si>
    <t>Clatsop Rest NR</t>
  </si>
  <si>
    <t>Clatsop Rest</t>
  </si>
  <si>
    <t>Clatsop Rest R</t>
  </si>
  <si>
    <t>Gearhart</t>
  </si>
  <si>
    <t>Seaside</t>
  </si>
  <si>
    <t>Seaside UGB</t>
  </si>
  <si>
    <t>Warrenton</t>
  </si>
  <si>
    <t>Warrenton UGB</t>
  </si>
  <si>
    <t>Columbia</t>
  </si>
  <si>
    <t>Clatskanie</t>
  </si>
  <si>
    <t>Columbia City</t>
  </si>
  <si>
    <t>Columbia Rest NR</t>
  </si>
  <si>
    <t>Columbia Rest</t>
  </si>
  <si>
    <t>Columbia Rest R</t>
  </si>
  <si>
    <t>Prescott</t>
  </si>
  <si>
    <t>Rainier</t>
  </si>
  <si>
    <t>Scappoose</t>
  </si>
  <si>
    <t>Scappoose UGB</t>
  </si>
  <si>
    <t>St. Helens</t>
  </si>
  <si>
    <t>St. Helens UGB</t>
  </si>
  <si>
    <t>Vernonia</t>
  </si>
  <si>
    <t>Coos</t>
  </si>
  <si>
    <t>Bandon</t>
  </si>
  <si>
    <t>Coos Bay</t>
  </si>
  <si>
    <t>Coos Bay UGB</t>
  </si>
  <si>
    <t>Coos Rest</t>
  </si>
  <si>
    <t>Coquille</t>
  </si>
  <si>
    <t>Coquille UGB</t>
  </si>
  <si>
    <t>Lakeside</t>
  </si>
  <si>
    <t>Myrtle Point</t>
  </si>
  <si>
    <t>North Bend</t>
  </si>
  <si>
    <t>North Bend UGB</t>
  </si>
  <si>
    <t>Powers</t>
  </si>
  <si>
    <t>Crook</t>
  </si>
  <si>
    <t>Crook Rest</t>
  </si>
  <si>
    <t>Prineville</t>
  </si>
  <si>
    <t>Prineville UGB</t>
  </si>
  <si>
    <t>Curry</t>
  </si>
  <si>
    <t>Agness CCD</t>
  </si>
  <si>
    <t>Not Sure</t>
  </si>
  <si>
    <t>Brookings</t>
  </si>
  <si>
    <t>Brookings UGB</t>
  </si>
  <si>
    <t>Curry Rest NR</t>
  </si>
  <si>
    <t>Curry Rest</t>
  </si>
  <si>
    <t>Curry Rest R</t>
  </si>
  <si>
    <t>Gold Beach</t>
  </si>
  <si>
    <t>Harbor CCD</t>
  </si>
  <si>
    <t>Port Orford</t>
  </si>
  <si>
    <t>Deschutes</t>
  </si>
  <si>
    <t>Bend</t>
  </si>
  <si>
    <t>Bend UGB</t>
  </si>
  <si>
    <t>Deschutes Rest NR</t>
  </si>
  <si>
    <t>Deschutes Rest</t>
  </si>
  <si>
    <t>Deschutes Rest R</t>
  </si>
  <si>
    <t>La Pine</t>
  </si>
  <si>
    <t>Redmond</t>
  </si>
  <si>
    <t>Redmond UGB</t>
  </si>
  <si>
    <t>Sisters</t>
  </si>
  <si>
    <t>Douglas</t>
  </si>
  <si>
    <t>Canyonville</t>
  </si>
  <si>
    <t>Douglas Rest NR</t>
  </si>
  <si>
    <t>Douglas Rest</t>
  </si>
  <si>
    <t>Douglas Rest R</t>
  </si>
  <si>
    <t>Drain</t>
  </si>
  <si>
    <t>Elkton</t>
  </si>
  <si>
    <t>Glendale</t>
  </si>
  <si>
    <t>Myrtle Creek</t>
  </si>
  <si>
    <t>Oakland</t>
  </si>
  <si>
    <t>Reedsport</t>
  </si>
  <si>
    <t>Reedsport UGB</t>
  </si>
  <si>
    <t>Riddle</t>
  </si>
  <si>
    <t>Roseburg</t>
  </si>
  <si>
    <t>Roseburg UGB</t>
  </si>
  <si>
    <t>Sutherlin</t>
  </si>
  <si>
    <t>Sutherlin UGB</t>
  </si>
  <si>
    <t>Winston</t>
  </si>
  <si>
    <t>Winston UGB</t>
  </si>
  <si>
    <t>Yoncalla</t>
  </si>
  <si>
    <t>Gilliam</t>
  </si>
  <si>
    <t>Arlington</t>
  </si>
  <si>
    <t>Condon</t>
  </si>
  <si>
    <t>Gilliam Rest</t>
  </si>
  <si>
    <t>Lonerock</t>
  </si>
  <si>
    <t>Grant</t>
  </si>
  <si>
    <t>Canyon City</t>
  </si>
  <si>
    <t>Dayville</t>
  </si>
  <si>
    <t>Granite</t>
  </si>
  <si>
    <t>Grant Rest</t>
  </si>
  <si>
    <t>John Day</t>
  </si>
  <si>
    <t>Long Creek</t>
  </si>
  <si>
    <t>Monument</t>
  </si>
  <si>
    <t>Mt. Vernon</t>
  </si>
  <si>
    <t>Prairie City</t>
  </si>
  <si>
    <t>Seneca</t>
  </si>
  <si>
    <t>Harney</t>
  </si>
  <si>
    <t>Burns</t>
  </si>
  <si>
    <t>Harney Rest</t>
  </si>
  <si>
    <t>Hines</t>
  </si>
  <si>
    <t>Hood River</t>
  </si>
  <si>
    <t>Cascade Locks</t>
  </si>
  <si>
    <t>Hood River UGB</t>
  </si>
  <si>
    <t>Hood River Rest</t>
  </si>
  <si>
    <t>Jackson</t>
  </si>
  <si>
    <t>Ashland</t>
  </si>
  <si>
    <t>Ashland UGB</t>
  </si>
  <si>
    <t>Butte Falls</t>
  </si>
  <si>
    <t>Central Point</t>
  </si>
  <si>
    <t>Central Point UGB</t>
  </si>
  <si>
    <t>Eagle Point</t>
  </si>
  <si>
    <t>Eagle Point UGB</t>
  </si>
  <si>
    <t>Gold Hill</t>
  </si>
  <si>
    <t>Jackson Rest R</t>
  </si>
  <si>
    <t>Jackson Rest</t>
  </si>
  <si>
    <t>Jackson Rest NR</t>
  </si>
  <si>
    <t>Jacksonville</t>
  </si>
  <si>
    <t>Medford</t>
  </si>
  <si>
    <t>Medford UGB</t>
  </si>
  <si>
    <t>Phoenix</t>
  </si>
  <si>
    <t>Phoenix UGB</t>
  </si>
  <si>
    <t>Rogue River</t>
  </si>
  <si>
    <t>Shady Cove</t>
  </si>
  <si>
    <t>Talent</t>
  </si>
  <si>
    <t>Talent UGB</t>
  </si>
  <si>
    <t>Jefferson</t>
  </si>
  <si>
    <t>Culver</t>
  </si>
  <si>
    <t>Jefferson Rest</t>
  </si>
  <si>
    <t>Madras</t>
  </si>
  <si>
    <t>Madras UGB</t>
  </si>
  <si>
    <t>Metolius</t>
  </si>
  <si>
    <t>Josephine</t>
  </si>
  <si>
    <t>Cave Junction</t>
  </si>
  <si>
    <t>Grants Pass</t>
  </si>
  <si>
    <t>Grants Pass UGB</t>
  </si>
  <si>
    <t>Josephine Rest NR</t>
  </si>
  <si>
    <t>Josephine Rest</t>
  </si>
  <si>
    <t>Josephine Rest R</t>
  </si>
  <si>
    <t>Klamath</t>
  </si>
  <si>
    <t>Bonanza</t>
  </si>
  <si>
    <t>Chiloquin</t>
  </si>
  <si>
    <t>Klamath Falls</t>
  </si>
  <si>
    <t>Klamath Falls UGB</t>
  </si>
  <si>
    <t>Klamath Rest NR</t>
  </si>
  <si>
    <t>Klamath Rest</t>
  </si>
  <si>
    <t>Klamath Rest R</t>
  </si>
  <si>
    <t>Malin</t>
  </si>
  <si>
    <t>Merrill</t>
  </si>
  <si>
    <t>Lake</t>
  </si>
  <si>
    <t>Lake Rest</t>
  </si>
  <si>
    <t>Lakeview</t>
  </si>
  <si>
    <t>Paisley</t>
  </si>
  <si>
    <t>Lane</t>
  </si>
  <si>
    <t>Coburg</t>
  </si>
  <si>
    <t>Cottage Grove</t>
  </si>
  <si>
    <t>Cottage Grove UGB</t>
  </si>
  <si>
    <t>Creswell</t>
  </si>
  <si>
    <t>Creswell UGB</t>
  </si>
  <si>
    <t>Dunes City</t>
  </si>
  <si>
    <t>Eugene</t>
  </si>
  <si>
    <t>Eugene UGB</t>
  </si>
  <si>
    <t>Florence</t>
  </si>
  <si>
    <t>Florence UGB</t>
  </si>
  <si>
    <t>Junction City</t>
  </si>
  <si>
    <t>Junction City UGB</t>
  </si>
  <si>
    <t>Lane Rest NR</t>
  </si>
  <si>
    <t>Lane Rest</t>
  </si>
  <si>
    <t>Lane Rest R</t>
  </si>
  <si>
    <t>Lowell</t>
  </si>
  <si>
    <t>Oakridge</t>
  </si>
  <si>
    <t>Springfield</t>
  </si>
  <si>
    <t>Springfield UGB</t>
  </si>
  <si>
    <t>Veneta</t>
  </si>
  <si>
    <t>Veneta UGB</t>
  </si>
  <si>
    <t>Westfir</t>
  </si>
  <si>
    <t>Lincoln</t>
  </si>
  <si>
    <t>Depoe Bay</t>
  </si>
  <si>
    <t>Lincoln City</t>
  </si>
  <si>
    <t>Lincoln City UGB</t>
  </si>
  <si>
    <t>Lincoln Rest NR</t>
  </si>
  <si>
    <t>Lincoln Rest</t>
  </si>
  <si>
    <t>Lincoln Rest R</t>
  </si>
  <si>
    <t>Newport</t>
  </si>
  <si>
    <t>Newport UGB</t>
  </si>
  <si>
    <t>Siletz</t>
  </si>
  <si>
    <t>Toledo</t>
  </si>
  <si>
    <t>Waldport</t>
  </si>
  <si>
    <t>Yachats</t>
  </si>
  <si>
    <t>Linn</t>
  </si>
  <si>
    <t>Albany UGB</t>
  </si>
  <si>
    <t>Brownsville</t>
  </si>
  <si>
    <t>Gates</t>
  </si>
  <si>
    <t>Halsey</t>
  </si>
  <si>
    <t>Harrisburg</t>
  </si>
  <si>
    <t>Idanha</t>
  </si>
  <si>
    <t>Lebanon</t>
  </si>
  <si>
    <t>Lebanon UGB</t>
  </si>
  <si>
    <t>Linn Rest NR</t>
  </si>
  <si>
    <t>Linn Rest</t>
  </si>
  <si>
    <t>Linn Rest R</t>
  </si>
  <si>
    <t>Lyons</t>
  </si>
  <si>
    <t>Mill City</t>
  </si>
  <si>
    <t>Millersburg</t>
  </si>
  <si>
    <t>Scio</t>
  </si>
  <si>
    <t>Sodaville</t>
  </si>
  <si>
    <t>Sweet Home</t>
  </si>
  <si>
    <t>Sweet Home UGB</t>
  </si>
  <si>
    <t>Tangent</t>
  </si>
  <si>
    <t>Waterloo</t>
  </si>
  <si>
    <t>Malheur</t>
  </si>
  <si>
    <t>Adrian</t>
  </si>
  <si>
    <t>Jordan Valley</t>
  </si>
  <si>
    <t>Malheur Rest</t>
  </si>
  <si>
    <t>Nyssa</t>
  </si>
  <si>
    <t>Ontario</t>
  </si>
  <si>
    <t>Ontario UGB</t>
  </si>
  <si>
    <t>Vale</t>
  </si>
  <si>
    <t>Marion</t>
  </si>
  <si>
    <t>Aumsville</t>
  </si>
  <si>
    <t>Aurora</t>
  </si>
  <si>
    <t>Detroit</t>
  </si>
  <si>
    <t>Donald</t>
  </si>
  <si>
    <t>Gervais</t>
  </si>
  <si>
    <t>Hubbard</t>
  </si>
  <si>
    <t>Keizer</t>
  </si>
  <si>
    <t>Salem/Keizer</t>
  </si>
  <si>
    <t>Keizer UGB</t>
  </si>
  <si>
    <t>Marion Rest NR</t>
  </si>
  <si>
    <t>Marion Rest</t>
  </si>
  <si>
    <t>Marion Rest R</t>
  </si>
  <si>
    <t>Mt. Angel</t>
  </si>
  <si>
    <t>Salem</t>
  </si>
  <si>
    <t>Salem Marion Co</t>
  </si>
  <si>
    <t>Salem UGB Marion Co</t>
  </si>
  <si>
    <t>Scotts Mills</t>
  </si>
  <si>
    <t>Silverton</t>
  </si>
  <si>
    <t>Silverton UGB</t>
  </si>
  <si>
    <t>St. Paul</t>
  </si>
  <si>
    <t>Stayton</t>
  </si>
  <si>
    <t>Stayton UGB</t>
  </si>
  <si>
    <t>Sublimity</t>
  </si>
  <si>
    <t>Turner</t>
  </si>
  <si>
    <t>Woodburn</t>
  </si>
  <si>
    <t>Woodburn UGB</t>
  </si>
  <si>
    <t>Morrow</t>
  </si>
  <si>
    <t>Boardman</t>
  </si>
  <si>
    <t>Heppner</t>
  </si>
  <si>
    <t>Ione</t>
  </si>
  <si>
    <t>Irrigon</t>
  </si>
  <si>
    <t>Lexington</t>
  </si>
  <si>
    <t>Morrow Rest</t>
  </si>
  <si>
    <t>Multnomah</t>
  </si>
  <si>
    <t>Fairview</t>
  </si>
  <si>
    <t>Gresham</t>
  </si>
  <si>
    <t>Maywood Park</t>
  </si>
  <si>
    <t>Multnomah Metro</t>
  </si>
  <si>
    <t>Multnomah Metro UGB</t>
  </si>
  <si>
    <t>Multnomah Rest NR</t>
  </si>
  <si>
    <t>Multnomah Rest</t>
  </si>
  <si>
    <t>Multnomah Rest R</t>
  </si>
  <si>
    <t>Troutdale</t>
  </si>
  <si>
    <t>Wood Village</t>
  </si>
  <si>
    <t>Polk</t>
  </si>
  <si>
    <t>Dallas</t>
  </si>
  <si>
    <t>Dallas UGB</t>
  </si>
  <si>
    <t>Falls City</t>
  </si>
  <si>
    <t>Independence</t>
  </si>
  <si>
    <t>Independence UGB</t>
  </si>
  <si>
    <t>Monmouth</t>
  </si>
  <si>
    <t>Monmouth UGB</t>
  </si>
  <si>
    <t>Polk Rest NR</t>
  </si>
  <si>
    <t>Polk Rest</t>
  </si>
  <si>
    <t>Polk Rest R</t>
  </si>
  <si>
    <t>Salem Polk Co</t>
  </si>
  <si>
    <t>Salem UGB Polk Co</t>
  </si>
  <si>
    <t>Willamina</t>
  </si>
  <si>
    <t>Sherman</t>
  </si>
  <si>
    <t>Grass Valley</t>
  </si>
  <si>
    <t>Moro</t>
  </si>
  <si>
    <t>Rufus</t>
  </si>
  <si>
    <t>Sherman Rest</t>
  </si>
  <si>
    <t>Wasco</t>
  </si>
  <si>
    <t>Tillamook</t>
  </si>
  <si>
    <t>Bay City</t>
  </si>
  <si>
    <t>Garibaldi</t>
  </si>
  <si>
    <t>Manzanita</t>
  </si>
  <si>
    <t>Nehalem</t>
  </si>
  <si>
    <t>Rockaway Beach</t>
  </si>
  <si>
    <t>Tillamook UGB</t>
  </si>
  <si>
    <t>Tillamook Rest</t>
  </si>
  <si>
    <r>
      <t>Tillamook</t>
    </r>
    <r>
      <rPr>
        <sz val="8"/>
        <color rgb="FF595959"/>
        <rFont val="Calibri"/>
        <family val="2"/>
      </rPr>
      <t>  </t>
    </r>
  </si>
  <si>
    <t>Wheeler</t>
  </si>
  <si>
    <t>Umatilla</t>
  </si>
  <si>
    <t>Adams</t>
  </si>
  <si>
    <t>Athena</t>
  </si>
  <si>
    <t>Echo</t>
  </si>
  <si>
    <t>Helix</t>
  </si>
  <si>
    <t>Hermiston</t>
  </si>
  <si>
    <t>Hermiston UGB</t>
  </si>
  <si>
    <t>Milton-Freewater</t>
  </si>
  <si>
    <t>Milton-Freewater UGB</t>
  </si>
  <si>
    <t>Pendleton</t>
  </si>
  <si>
    <t>Pendleton UGB</t>
  </si>
  <si>
    <t>Pilot Rock</t>
  </si>
  <si>
    <t>Stanfield</t>
  </si>
  <si>
    <t>Ukiah</t>
  </si>
  <si>
    <t>Umatilla UGB</t>
  </si>
  <si>
    <t>Umatilla Rest</t>
  </si>
  <si>
    <t>Weston</t>
  </si>
  <si>
    <t>Union</t>
  </si>
  <si>
    <t>Cove</t>
  </si>
  <si>
    <t>Elgin</t>
  </si>
  <si>
    <t>Imbler</t>
  </si>
  <si>
    <t>Island City</t>
  </si>
  <si>
    <t>La Grande</t>
  </si>
  <si>
    <t>La Grande UGB</t>
  </si>
  <si>
    <t>North Powder</t>
  </si>
  <si>
    <t>Summerville</t>
  </si>
  <si>
    <t>Union Rest NR</t>
  </si>
  <si>
    <t>Union Rest</t>
  </si>
  <si>
    <t>Union Rest R</t>
  </si>
  <si>
    <t>Wallowa</t>
  </si>
  <si>
    <t>Enterprise</t>
  </si>
  <si>
    <t>Joseph</t>
  </si>
  <si>
    <t>Lostine</t>
  </si>
  <si>
    <t>Wallowa Rest</t>
  </si>
  <si>
    <t>Antelope</t>
  </si>
  <si>
    <t>Dufur</t>
  </si>
  <si>
    <t>Maupin</t>
  </si>
  <si>
    <t>Mosier</t>
  </si>
  <si>
    <t>Shaniko</t>
  </si>
  <si>
    <t>The Dalles</t>
  </si>
  <si>
    <t>The Dalles UGB</t>
  </si>
  <si>
    <t>Wasco Rest</t>
  </si>
  <si>
    <t>Washington</t>
  </si>
  <si>
    <t>Banks</t>
  </si>
  <si>
    <t>Beaverton</t>
  </si>
  <si>
    <t>Cornelius</t>
  </si>
  <si>
    <t>Durham</t>
  </si>
  <si>
    <t>Forest Grove</t>
  </si>
  <si>
    <t>Gaston</t>
  </si>
  <si>
    <t>Hillsboro</t>
  </si>
  <si>
    <t>King City</t>
  </si>
  <si>
    <t>North Plains</t>
  </si>
  <si>
    <t>Sherwood</t>
  </si>
  <si>
    <t>Tigard</t>
  </si>
  <si>
    <t>Washington Metro</t>
  </si>
  <si>
    <t>Washington Metro UGB</t>
  </si>
  <si>
    <t>Washington Rest</t>
  </si>
  <si>
    <t>Fossil</t>
  </si>
  <si>
    <t>Mitchell</t>
  </si>
  <si>
    <t>Spray</t>
  </si>
  <si>
    <t>Wheeler Rest</t>
  </si>
  <si>
    <t>Yamhill</t>
  </si>
  <si>
    <t>Amity</t>
  </si>
  <si>
    <t>Carlton</t>
  </si>
  <si>
    <t>Dayton</t>
  </si>
  <si>
    <t>Dundee</t>
  </si>
  <si>
    <t>Lafayette</t>
  </si>
  <si>
    <t>McMinnville</t>
  </si>
  <si>
    <t>McMinnville UGB</t>
  </si>
  <si>
    <t>Newberg</t>
  </si>
  <si>
    <t>Newberg UGB</t>
  </si>
  <si>
    <t>Sheridan</t>
  </si>
  <si>
    <t>Sheridan UGB</t>
  </si>
  <si>
    <t xml:space="preserve">Willamina </t>
  </si>
  <si>
    <t>Yamhill Rest NR</t>
  </si>
  <si>
    <t>Yamhill Rest</t>
  </si>
  <si>
    <t>Table_Grouping</t>
  </si>
  <si>
    <t>Table_Sector</t>
  </si>
  <si>
    <t>Table_Frequency</t>
  </si>
  <si>
    <t>Table_Class</t>
  </si>
  <si>
    <t>Table_SubClass</t>
  </si>
  <si>
    <t>Table_SubMaterial</t>
  </si>
  <si>
    <t>Table_CollectionStream</t>
  </si>
  <si>
    <t>Table_ConsTransp</t>
  </si>
  <si>
    <t>Table_MRFS</t>
  </si>
  <si>
    <t>Table_Bale</t>
  </si>
  <si>
    <t>Class_ID</t>
  </si>
  <si>
    <t>Class_Name</t>
  </si>
  <si>
    <t>SubClass_ID</t>
  </si>
  <si>
    <t>SubClass_Name</t>
  </si>
  <si>
    <t>SubMaterial_ID</t>
  </si>
  <si>
    <t>SubMaterial_Name</t>
  </si>
  <si>
    <t>CollectionStream_ID</t>
  </si>
  <si>
    <t>CollectionStream_Name</t>
  </si>
  <si>
    <t>Bale_ID</t>
  </si>
  <si>
    <t>Bale_Name</t>
  </si>
  <si>
    <t>Statewide</t>
  </si>
  <si>
    <t>Bimonthly</t>
  </si>
  <si>
    <t>Paper</t>
  </si>
  <si>
    <t>Corrugated cardboard</t>
  </si>
  <si>
    <t>01</t>
  </si>
  <si>
    <t>None (deliver in collection vehicle)</t>
  </si>
  <si>
    <t>Every other week</t>
  </si>
  <si>
    <t>Plastic</t>
  </si>
  <si>
    <t>Recyclable paper</t>
  </si>
  <si>
    <t>Newspaper</t>
  </si>
  <si>
    <t>02</t>
  </si>
  <si>
    <t>Glass on the side</t>
  </si>
  <si>
    <t>Monthly</t>
  </si>
  <si>
    <t>Glass</t>
  </si>
  <si>
    <t>Compostable paper</t>
  </si>
  <si>
    <t>Printing and writing paper</t>
  </si>
  <si>
    <t>03</t>
  </si>
  <si>
    <t>Garbage</t>
  </si>
  <si>
    <t>Self-haul (excluding Bottle Bill)</t>
  </si>
  <si>
    <t>No collection</t>
  </si>
  <si>
    <t>Metal</t>
  </si>
  <si>
    <t>Non-recyclable paper</t>
  </si>
  <si>
    <t>Other paper recyclable with newspaper</t>
  </si>
  <si>
    <t>04</t>
  </si>
  <si>
    <t>Organics</t>
  </si>
  <si>
    <t>Other Commercial</t>
  </si>
  <si>
    <t>NA</t>
  </si>
  <si>
    <t>NA - Depot</t>
  </si>
  <si>
    <t>Other</t>
  </si>
  <si>
    <t>Recyclable plastic</t>
  </si>
  <si>
    <t>Paperboard</t>
  </si>
  <si>
    <t>05</t>
  </si>
  <si>
    <t>C&amp;D / HHW - OUT OF SCOPE</t>
  </si>
  <si>
    <t>Uncertain (TBD)</t>
  </si>
  <si>
    <t>Bottle Bill</t>
  </si>
  <si>
    <t>Uncertain</t>
  </si>
  <si>
    <t>Non-recoverable plastic</t>
  </si>
  <si>
    <t>Polycoated containers &amp; cups</t>
  </si>
  <si>
    <t>Other paper not recyclable with newspaper</t>
  </si>
  <si>
    <t>06</t>
  </si>
  <si>
    <t>Bottle bill - OUT OF SCOPE</t>
  </si>
  <si>
    <t>Varies by customer need</t>
  </si>
  <si>
    <t>Film</t>
  </si>
  <si>
    <t>07</t>
  </si>
  <si>
    <t>Other commercial - OUT OF SCOPE</t>
  </si>
  <si>
    <t>MRFs</t>
  </si>
  <si>
    <t>Recyclable glass</t>
  </si>
  <si>
    <t>Non-recoverable paper</t>
  </si>
  <si>
    <t>08</t>
  </si>
  <si>
    <t>Non-recoverable glass</t>
  </si>
  <si>
    <t>09</t>
  </si>
  <si>
    <t>Non-ferrous metal</t>
  </si>
  <si>
    <t>10</t>
  </si>
  <si>
    <t>Ferrous metal</t>
  </si>
  <si>
    <t>11</t>
  </si>
  <si>
    <t>Scrap metal</t>
  </si>
  <si>
    <t>12</t>
  </si>
  <si>
    <t>Non-recoverable metal</t>
  </si>
  <si>
    <t>13</t>
  </si>
  <si>
    <t>Mixed compostable</t>
  </si>
  <si>
    <t>Other deposit plastic bottles</t>
  </si>
  <si>
    <t>14</t>
  </si>
  <si>
    <t>Other recoverable</t>
  </si>
  <si>
    <t>15</t>
  </si>
  <si>
    <t>Other materials</t>
  </si>
  <si>
    <t>16</t>
  </si>
  <si>
    <t>Fiber</t>
  </si>
  <si>
    <t>Deposit glass bottles</t>
  </si>
  <si>
    <t>17</t>
  </si>
  <si>
    <t>Containers</t>
  </si>
  <si>
    <t>Container glass</t>
  </si>
  <si>
    <t>Other other bottles</t>
  </si>
  <si>
    <t>18</t>
  </si>
  <si>
    <t>19</t>
  </si>
  <si>
    <t>Deposit and accepted aluminum cans</t>
  </si>
  <si>
    <t>20</t>
  </si>
  <si>
    <t>Accepted other aluminum</t>
  </si>
  <si>
    <t>21</t>
  </si>
  <si>
    <t>Deposit and accepted steel cans</t>
  </si>
  <si>
    <t>Other accepted tubs &amp; pails</t>
  </si>
  <si>
    <t>22</t>
  </si>
  <si>
    <t>Accepted other steel</t>
  </si>
  <si>
    <t>23</t>
  </si>
  <si>
    <t>Scrap metals</t>
  </si>
  <si>
    <t>Other bulky rigids</t>
  </si>
  <si>
    <t>24</t>
  </si>
  <si>
    <t>25</t>
  </si>
  <si>
    <t>Food</t>
  </si>
  <si>
    <t>Other other rigid plastic containers</t>
  </si>
  <si>
    <t>Yard</t>
  </si>
  <si>
    <t>Motor oil</t>
  </si>
  <si>
    <t>Other non-recoverable plastic</t>
  </si>
  <si>
    <t>Recoverable C&amp;D</t>
  </si>
  <si>
    <t>Other recoverable film</t>
  </si>
  <si>
    <t>Plastic pouches</t>
  </si>
  <si>
    <t>Other other film</t>
  </si>
  <si>
    <t>Oregon Population by County, 2018-2025</t>
  </si>
  <si>
    <t>Years</t>
  </si>
  <si>
    <t>Grouping</t>
  </si>
  <si>
    <t>2018</t>
  </si>
  <si>
    <t>2019</t>
  </si>
  <si>
    <t>2020</t>
  </si>
  <si>
    <t>2025</t>
  </si>
  <si>
    <t>2030</t>
  </si>
  <si>
    <t>3</t>
  </si>
  <si>
    <t xml:space="preserve">Morrow </t>
  </si>
  <si>
    <t>2018 population data courtesy of Portland State University, College or Urban &amp; Public Affairs: Population Research Center, Population Estimates and Reports, https://www.pdx.edu/prc/population-reports-estimates</t>
  </si>
  <si>
    <t>2020, 2025 and 2030 data courtesy of Portland State University, College or Urban &amp; Public Affairs: Population Research Center, Oregon Population Forecast, https://www.pdx.edu/prc/cycle-1-2014-17</t>
  </si>
  <si>
    <t>Total_Lifts_Per_Week</t>
  </si>
  <si>
    <t>SS_or_DS</t>
  </si>
  <si>
    <t>SS</t>
  </si>
  <si>
    <t>Confidential information on cost and average lifts per business per week from haulers serving Oregon. In areas with bimonthly, monthly, or uncertain collection frequency, the model uses unit costs for every-other-week collection in the same grouping, adjusted for reduced pick-ups.</t>
  </si>
  <si>
    <t>DS</t>
  </si>
  <si>
    <t>Collection Capital Costs Per Single-Family, MultiFamily, and Commercial On-Route Customer</t>
  </si>
  <si>
    <t>Collection Operations Costs Per Single-Family, MultiFamily, and Commercial On-Route Customer</t>
  </si>
  <si>
    <t>Collection Indirect Costs Per Single-Family, MultiFamily, and Commercial On-Route Customer</t>
  </si>
  <si>
    <t>Collection Unit Costs Per Single-Family, MultiFamily, and Commercial On-Route Customer</t>
  </si>
  <si>
    <t>A, B</t>
  </si>
  <si>
    <t>Direct_Costs</t>
  </si>
  <si>
    <t>Franchise Fee and Margin</t>
  </si>
  <si>
    <t>A,B</t>
  </si>
  <si>
    <t>Year</t>
  </si>
  <si>
    <t>Population</t>
  </si>
  <si>
    <t>BLS.gov</t>
  </si>
  <si>
    <t>Min Wage Labor</t>
  </si>
  <si>
    <t>Oregon BOLI</t>
  </si>
  <si>
    <t>Material Handling</t>
  </si>
  <si>
    <t>Union Driver Labor</t>
  </si>
  <si>
    <t>Teamster Contracts</t>
  </si>
  <si>
    <t>MRF Machinery</t>
  </si>
  <si>
    <t>Industrial Construction</t>
  </si>
  <si>
    <t>$2.63 in 2018 and $2.95 in 2025</t>
  </si>
  <si>
    <t>$10.75 in 2018 and $15.75 in 2025</t>
  </si>
  <si>
    <t>$15.49 in 2018 and $20.15 in 2025</t>
  </si>
  <si>
    <t>$25.76 in 2018 and $30.11 in 2025</t>
  </si>
  <si>
    <t>$2.47 in 2018 and $2.79 in 2025</t>
  </si>
  <si>
    <t>$1.43 in 2018 and $1.57 in 2025</t>
  </si>
  <si>
    <t>$2.54 in 2018 and $3.01 in 2025</t>
  </si>
  <si>
    <t>$1.4 in 2019 and $1.51 in 2025</t>
  </si>
  <si>
    <t>$1.35 in 2019 and $1.51 in 2025</t>
  </si>
  <si>
    <t>G</t>
  </si>
  <si>
    <t>Engagement cost escalator</t>
  </si>
  <si>
    <t>Collection_Labor cost escalator</t>
  </si>
  <si>
    <t>Collection_Ops cost escalator</t>
  </si>
  <si>
    <t>CollectionAdmin cost escalator</t>
  </si>
  <si>
    <t>Collection Employment Calculations (FTEs)</t>
  </si>
  <si>
    <t>Customer per driver</t>
  </si>
  <si>
    <t>Orig_Frequency_ID</t>
  </si>
  <si>
    <t>Orig_Collection_Frequency</t>
  </si>
  <si>
    <t>Transp_ID</t>
  </si>
  <si>
    <t>Transp_Name</t>
  </si>
  <si>
    <t>Van trailer (baled)</t>
  </si>
  <si>
    <t>Walking floor (DS fiber)</t>
  </si>
  <si>
    <t>Walking floor (DS containers)</t>
  </si>
  <si>
    <t>Weekly (formerly bimonthly)</t>
  </si>
  <si>
    <t>Weekly (formerly every other week)</t>
  </si>
  <si>
    <t>Weekly (formerly monthly)</t>
  </si>
  <si>
    <t>More Notes</t>
  </si>
  <si>
    <t>Use for collection drivers</t>
  </si>
  <si>
    <t>Use for other collection expense</t>
  </si>
  <si>
    <t>Use for container capital</t>
  </si>
  <si>
    <t>Use for truck capital</t>
  </si>
  <si>
    <t>Annual_Container_Cost_Per_Customer</t>
  </si>
  <si>
    <t>Annual_Truck_Cost_Per_Customer</t>
  </si>
  <si>
    <t>H</t>
  </si>
  <si>
    <t>Container_Capital cost escalator</t>
  </si>
  <si>
    <t>Truck_Capital cost escalator</t>
  </si>
  <si>
    <t>Single-Family, Multifamily, and Commercial Collection Costs 2018 and 2025</t>
  </si>
  <si>
    <t>Mixed paper</t>
  </si>
  <si>
    <t>Equipment</t>
  </si>
  <si>
    <t>OUT OF SCOPE (landfill, organics, other)</t>
  </si>
  <si>
    <t>Cost_Unit</t>
  </si>
  <si>
    <t>MRF_Name</t>
  </si>
  <si>
    <t>MRF_ID</t>
  </si>
  <si>
    <t>S4</t>
  </si>
  <si>
    <t>Compostables</t>
  </si>
  <si>
    <t>Commingled</t>
  </si>
  <si>
    <t>S3</t>
  </si>
  <si>
    <t>S2</t>
  </si>
  <si>
    <t>S1</t>
  </si>
  <si>
    <t>S0</t>
  </si>
  <si>
    <t>Scenario_ID</t>
  </si>
  <si>
    <t>1 new screen</t>
  </si>
  <si>
    <t>No additional equipment (baseline)</t>
  </si>
  <si>
    <t>Quality AI Vision System</t>
  </si>
  <si>
    <t>Robot_Residue/Coated Paper</t>
  </si>
  <si>
    <t>Optical_Paper</t>
  </si>
  <si>
    <t>Optical_Containers</t>
  </si>
  <si>
    <t>Screens_Paper</t>
  </si>
  <si>
    <t>ContainerInfeed+Presort</t>
  </si>
  <si>
    <t>Bag_Breakers</t>
  </si>
  <si>
    <t>Wrap resistant to reduce screen maintenance and reduced fiber carryover to the container line</t>
  </si>
  <si>
    <t>One MRF</t>
  </si>
  <si>
    <t>Five MRFS</t>
  </si>
  <si>
    <t>Total_CapitalCost_Annualized_PerTon</t>
  </si>
  <si>
    <t>Total_CapitalCost_Annualized</t>
  </si>
  <si>
    <t>Additional_CapitalCost_Annualized</t>
  </si>
  <si>
    <t>Remaining_BaseCapital_Annualized</t>
  </si>
  <si>
    <t>MRF_Count</t>
  </si>
  <si>
    <t>Pct_BasePaidOff</t>
  </si>
  <si>
    <t>BaseCapitalCost_PerMRF</t>
  </si>
  <si>
    <t>Additional_CapitalCost_Annualized_2025</t>
  </si>
  <si>
    <t>Additional_Capital_Cost_2025</t>
  </si>
  <si>
    <t>Robot_Container</t>
  </si>
  <si>
    <t>Additional Bunkers</t>
  </si>
  <si>
    <t>Additonal System Equipment (Unit Costs in 2025)</t>
  </si>
  <si>
    <t>Additonal System Equipment (counts)</t>
  </si>
  <si>
    <t>Avg. reduce 5.0 container FTE/shift, 1.5 shifts/day; avg. reduce 2.0 per-sort FTE/shift due to less contamination and need to sort bulky rigid plastic.</t>
  </si>
  <si>
    <t>Equipment Operators / Supervisors / Maintenance / Scalehouse</t>
  </si>
  <si>
    <t>Avg. reduce 5.0 container FTE/shift, 1.5 shifts/day.</t>
  </si>
  <si>
    <t>Sort Labor</t>
  </si>
  <si>
    <t>Avg. reduce 5.0 container FTE/shift per MRF, 1.5 shifts/day.</t>
  </si>
  <si>
    <t>No changes</t>
  </si>
  <si>
    <t>Baseline - no change</t>
  </si>
  <si>
    <t>LaborCostPerTon</t>
  </si>
  <si>
    <t>Tons_Sorted</t>
  </si>
  <si>
    <t>Scenario_LaborCost</t>
  </si>
  <si>
    <t>Scenario_FTE</t>
  </si>
  <si>
    <t>FTE_Change</t>
  </si>
  <si>
    <t>Base_FTE</t>
  </si>
  <si>
    <t>LaborType_Name</t>
  </si>
  <si>
    <t>LaborType_ID</t>
  </si>
  <si>
    <t>StartingMRF_ID</t>
  </si>
  <si>
    <t>Shifts_Per_MRF</t>
  </si>
  <si>
    <t>Fiber Opticals</t>
  </si>
  <si>
    <t>Change_Per_Fiber_Optical_Per_Shift</t>
  </si>
  <si>
    <t>LaborChangeNotes</t>
  </si>
  <si>
    <t>Labor_Name</t>
  </si>
  <si>
    <t>Average Shifts per Day</t>
  </si>
  <si>
    <t>Baseline_FTE</t>
  </si>
  <si>
    <t>Annual_CostPerFTE_2025</t>
  </si>
  <si>
    <t>MRF Shifts</t>
  </si>
  <si>
    <t>Total FTE Change</t>
  </si>
  <si>
    <t>Equip Operators</t>
  </si>
  <si>
    <t>Sorters</t>
  </si>
  <si>
    <t>Assume labor is agency supplied with 60% markup for taxes, insurance, benefits, recruiting, payroll, agency operations and profit</t>
  </si>
  <si>
    <t>Equipment Operators, Supervisors, Maintenance, Scale hours labor hourly pay: add $5 to Sort Labor</t>
  </si>
  <si>
    <t>Sort Labor hourly pay: Starting 2020 pay of $13.50 from Leadpoint for Pioneer, inflation adjusted back to 2018, assume average tenure is 1 year and at 1 year get a 1.2% raise plus inflation adjustment</t>
  </si>
  <si>
    <t>Used to reduce equipment O&amp;M costs when containers are transferred loose</t>
  </si>
  <si>
    <t>Per ton baled ton of plastic</t>
  </si>
  <si>
    <t>Baling wire (containers) savings</t>
  </si>
  <si>
    <t>Per incoming ton</t>
  </si>
  <si>
    <t>Facility</t>
  </si>
  <si>
    <t>Facility lease, maintenance, and repair</t>
  </si>
  <si>
    <t>2018 cost estimates $2/ton utilities, $4.50/ton baling wire, $4.36/ton parts</t>
  </si>
  <si>
    <t>Equipment O&amp;M Costs</t>
  </si>
  <si>
    <t>IncomingTons</t>
  </si>
  <si>
    <t>CostPerTon</t>
  </si>
  <si>
    <t>OperatingCost_Type</t>
  </si>
  <si>
    <t>OperatingCost_Name</t>
  </si>
  <si>
    <t>OperatingCost_ID</t>
  </si>
  <si>
    <t>Cost Notes</t>
  </si>
  <si>
    <t>Cost_Amt_2025</t>
  </si>
  <si>
    <t>EscalatorPct</t>
  </si>
  <si>
    <t>Escalator_ID</t>
  </si>
  <si>
    <t>Cost_Amt_2018</t>
  </si>
  <si>
    <t>MRF Operation Changes</t>
  </si>
  <si>
    <t>Unit Operating Costs</t>
  </si>
  <si>
    <t>Single-family, Multifamily, and Commercial Engagement Costs and FTEs (2018)</t>
  </si>
  <si>
    <t>Collection Costs for Depot Collection</t>
  </si>
  <si>
    <t>Sortation Capital Costs</t>
  </si>
  <si>
    <t>Sortation Labor Costs and FTEs</t>
  </si>
  <si>
    <t>Sortation Operating Costs and FTEs</t>
  </si>
  <si>
    <t>Reporting_ID</t>
  </si>
  <si>
    <t>Reporting_Name</t>
  </si>
  <si>
    <t>StartingStream_ID</t>
  </si>
  <si>
    <t>Source separated (all)</t>
  </si>
  <si>
    <t>Separated scrap metal</t>
  </si>
  <si>
    <t>Other separated</t>
  </si>
  <si>
    <t>CRF containers (in Metro)</t>
  </si>
  <si>
    <t>CRF containers (out of Metro)</t>
  </si>
  <si>
    <t>OUT OF SCOPE</t>
  </si>
  <si>
    <t>Not used</t>
  </si>
  <si>
    <t>1000-01</t>
  </si>
  <si>
    <t>OCC (corrugated cardboard) </t>
  </si>
  <si>
    <t>1000-02</t>
  </si>
  <si>
    <t>Sorted clean newsprint</t>
  </si>
  <si>
    <t>1000-03</t>
  </si>
  <si>
    <t>Sorted residential paper and news</t>
  </si>
  <si>
    <t>1000-04</t>
  </si>
  <si>
    <t>Sorted office paper and sorted white ledger</t>
  </si>
  <si>
    <t>1000-05</t>
  </si>
  <si>
    <t>1000-06</t>
  </si>
  <si>
    <t>1000-07</t>
  </si>
  <si>
    <t>Aseptic and gable-top cartons</t>
  </si>
  <si>
    <t>1000-08</t>
  </si>
  <si>
    <t>2000-01</t>
  </si>
  <si>
    <t>PET #1 bottles and jars </t>
  </si>
  <si>
    <t>2000-02</t>
  </si>
  <si>
    <t>PET #1 thermoforms and tubs</t>
  </si>
  <si>
    <t>2000-03</t>
  </si>
  <si>
    <t>HDPE #2 natural bottles </t>
  </si>
  <si>
    <t>2000-04</t>
  </si>
  <si>
    <t>HDPE #2 colored bottles </t>
  </si>
  <si>
    <t>2000-05</t>
  </si>
  <si>
    <t>HDPE #2 and PP #5 tubs </t>
  </si>
  <si>
    <t>2000-06</t>
  </si>
  <si>
    <t>HDPE #2 injection bulky rigid plastic</t>
  </si>
  <si>
    <t>2000-07</t>
  </si>
  <si>
    <t>PE clear film</t>
  </si>
  <si>
    <t>2000-08</t>
  </si>
  <si>
    <t>PE colored film</t>
  </si>
  <si>
    <t>2000-09</t>
  </si>
  <si>
    <t>PE retail mix film</t>
  </si>
  <si>
    <t>2000-10</t>
  </si>
  <si>
    <t>Mixed bulky rigid plastics (mainly PE and PP) </t>
  </si>
  <si>
    <t>2000-11</t>
  </si>
  <si>
    <t>PP #5 bottles and jars</t>
  </si>
  <si>
    <t>2000-12</t>
  </si>
  <si>
    <t>PP #5 injection bulky rigid plastic</t>
  </si>
  <si>
    <t>2000-13</t>
  </si>
  <si>
    <t>PP #5 small rigid plastic</t>
  </si>
  <si>
    <t>2000-14</t>
  </si>
  <si>
    <t>Solid PS #6 (rigid) </t>
  </si>
  <si>
    <t>2000-16</t>
  </si>
  <si>
    <t>Foam PS #6 (transport block and shape, densified)</t>
  </si>
  <si>
    <t>2000-17</t>
  </si>
  <si>
    <t>Densified MRF Grade Foam PS #6 (food service and packaging) </t>
  </si>
  <si>
    <t>2000-18</t>
  </si>
  <si>
    <t>3000-01</t>
  </si>
  <si>
    <t>Container glass </t>
  </si>
  <si>
    <t>4000-01</t>
  </si>
  <si>
    <t>Aluminum cans and foil</t>
  </si>
  <si>
    <t>4000-02</t>
  </si>
  <si>
    <t>Steel cans </t>
  </si>
  <si>
    <t>4000-03</t>
  </si>
  <si>
    <t>Cost per Ton Mile</t>
  </si>
  <si>
    <t>Tons by stream transported by each transport method</t>
  </si>
  <si>
    <t>Trans_Tons_All</t>
  </si>
  <si>
    <t>Walking floor (commingled)</t>
  </si>
  <si>
    <t>DELETE</t>
  </si>
  <si>
    <t>Miles</t>
  </si>
  <si>
    <t>AverageWeight</t>
  </si>
  <si>
    <t>TransportCost</t>
  </si>
  <si>
    <t>MRF_Capital</t>
  </si>
  <si>
    <t>MRF_Residual</t>
  </si>
  <si>
    <t>MRF_AdminMarket</t>
  </si>
  <si>
    <t>MRF_Margin</t>
  </si>
  <si>
    <t>Single-family, Multifamily, and Commercial Sortation Costs 2025</t>
  </si>
  <si>
    <t>MRFLaborType_ID</t>
  </si>
  <si>
    <t>MRFLaborType_Name</t>
  </si>
  <si>
    <t>Change_PerMRF_PerShift_Contamination</t>
  </si>
  <si>
    <t>MRF Equipment Operator Labor Changes (based on changes in tons baled)</t>
  </si>
  <si>
    <t>Baled tons per baler/skid FTE per year</t>
  </si>
  <si>
    <t>TotalBaledTonsChange</t>
  </si>
  <si>
    <t>MRF_Facility-Maintenance</t>
  </si>
  <si>
    <t>Cost_Cumulative</t>
  </si>
  <si>
    <t>Landfill Fee 2018</t>
  </si>
  <si>
    <t>MRF_Sort_Maintenance_Labor</t>
  </si>
  <si>
    <t>ResidualTons</t>
  </si>
  <si>
    <t>Capital Costs (per MRF) in 2025</t>
  </si>
  <si>
    <t>Cumulative FTEs and Labor Costs</t>
  </si>
  <si>
    <t>Additonal System Equipment (Total Cost 2025)</t>
  </si>
  <si>
    <t>Table_Scenario</t>
  </si>
  <si>
    <t>Scenario_Name</t>
  </si>
  <si>
    <t>Annual_Container_Cost</t>
  </si>
  <si>
    <t>Annual_Truck_Cost</t>
  </si>
  <si>
    <t>Collection Capital - Containers</t>
  </si>
  <si>
    <t>Collection Capital - Trucks</t>
  </si>
  <si>
    <t>Drop-box</t>
  </si>
  <si>
    <t>n/a</t>
  </si>
  <si>
    <t>Glass &amp; scrap metal</t>
  </si>
  <si>
    <t>Total Per Ton</t>
  </si>
  <si>
    <t>Metro Tip Fee</t>
  </si>
  <si>
    <t>Metro anticipates having a tip fee increase of approximately 10% per year for four years</t>
  </si>
  <si>
    <t>Truck costs in Metro are higher because of CNG powered trucks and local requirements to collect material with the tier III diesel engines. Most jurisdictions outside Metro do not have these requirements. Hopper cams are becoming a standard feature, so they are assumed to be included in the baselines as well as alternative scenarios.</t>
  </si>
  <si>
    <t>Collection_ID2</t>
  </si>
  <si>
    <t>Total_Cost_Per_Ton_2018</t>
  </si>
  <si>
    <t>Total_Cost_Per_Ton_2025</t>
  </si>
  <si>
    <t>Scenario</t>
  </si>
  <si>
    <t>Scrap_Metal_Tons</t>
  </si>
  <si>
    <t>PS_Foam_Tons</t>
  </si>
  <si>
    <t>FTE</t>
  </si>
  <si>
    <t>Foam_Densifier_Capital_Cost</t>
  </si>
  <si>
    <t>Densifier_Operator_FTE</t>
  </si>
  <si>
    <t>Densifier_Operator_Cost</t>
  </si>
  <si>
    <t>Tons_Excluding_Scrap_Metal</t>
  </si>
  <si>
    <t>For one mobile densifier, allocated proportionally to collected tonnages</t>
  </si>
  <si>
    <t>EPS tons per hour for 1 crew (based on costs for municipalities in Ontario, Canada.</t>
  </si>
  <si>
    <t>Annual cost based on fully loaded rate for sortation labor (see MRF costs tabs)</t>
  </si>
  <si>
    <t>Hourly Labor Costs Inputs (2018 and 2025)</t>
  </si>
  <si>
    <t>Inputs regarding changes in MRF sortation labor due to capital upgrades in alternative scenarios.</t>
  </si>
  <si>
    <t>Hourly labor costs for MRF staff and baseline FTE</t>
  </si>
  <si>
    <t>Unit cost for each type of equipment based on past experience designing MRFs and interivews with equipment manufacturers.</t>
  </si>
  <si>
    <t>Inputs regarding the number and type of additonal equipment added to the sortation system in Oregon in each scenario.</t>
  </si>
  <si>
    <t>Calculations combining number and unit costs of additional equipment, annualized.</t>
  </si>
  <si>
    <t>Finance rate for capital equipment, making annual payments over 10 years.</t>
  </si>
  <si>
    <t>NOTE</t>
  </si>
  <si>
    <t>Original modeled processing costs for Metro-area MRFs were developed by Chris Bell. MRFs in Oregon, including EFI, Far West Recycling, and Pioneer Recycling were invited to review and suggest changes. They suggested no changes. In developing alternative scenarios, costs were further refined.</t>
  </si>
  <si>
    <t>Open bags of containers, assumed to increase with dual-stream container collection.</t>
  </si>
  <si>
    <t>Additional infeed and pre-sort area for containers.</t>
  </si>
  <si>
    <t>Opticals to sort additonal container grades.</t>
  </si>
  <si>
    <t>Opticals to redirect small OCC out of the paper stream and into OCC, (b) positively sort of flat paper only to Grade 56 Sorted Residential Papers and News, (c) redirect desired containers and poly coated paper (foodservice packaging, freezer board) to the container line for sorting, (d) remove contamination including film, PS foam, etc.</t>
  </si>
  <si>
    <t>RobotRedirect desired containers and poly coated paper (foodservice packaging, freezer board) to the container line for sorting, and (2) remove contamination including film, PS foam, etc.</t>
  </si>
  <si>
    <t>Support container opticals.</t>
  </si>
  <si>
    <t>Total_Depot_Capital_Cost</t>
  </si>
  <si>
    <t>Total_Depot_Labor_Cost</t>
  </si>
  <si>
    <t>Total_Depot_Operations_Cost</t>
  </si>
  <si>
    <t>Total_Depot_Transport_Cost</t>
  </si>
  <si>
    <t>Total_Depot_Admin_Cost</t>
  </si>
  <si>
    <t>Based on 1 square foot of space per ton per year. Monthly cost of $1 per square foot times 12 months per year, plus annual building-related maintenance cost of $0.416 per square foot (interior and exterior maintenance, groundskeeping, janitorial, and repairs.</t>
  </si>
  <si>
    <t>Confidential cost information from depots in Pacific City Transfer Station in Tillamook County, Sandy Transfer Station in Clackamas County, and transfer stations in Lane County. Per-ton costs were calculated excluding scrap metal and other accepted steel because their variability obscured trends in unit costs. Operations costs in include processing for materials collected commingled, representing approximately 30% of incoming recycling tons.</t>
  </si>
  <si>
    <t>Single-family contamination engagement</t>
  </si>
  <si>
    <t>Multifamily and commercial contamination engagement</t>
  </si>
  <si>
    <t>Single-family, Multifamily, and Commercial Engagement Costs and FTEs (2025)</t>
  </si>
  <si>
    <t>Sector</t>
  </si>
  <si>
    <t>Collection Engagement Labor and Expenses</t>
  </si>
  <si>
    <t>Local Government Engagement Labor and Expenses</t>
  </si>
  <si>
    <t>Method</t>
  </si>
  <si>
    <t>Equipment:</t>
  </si>
  <si>
    <t>Average capital equipment cost per basic single-stream MRF, based on Circular Matters experience.</t>
  </si>
  <si>
    <t>-</t>
  </si>
  <si>
    <t>Sorting Labor</t>
  </si>
  <si>
    <t>Equipment Operators, Supervisors, Maintenance</t>
  </si>
  <si>
    <t>CollectionLabor
CollectionCapital
CollectionOps
CollectionIndirect
CollectionTotal
Collection_FTEs</t>
  </si>
  <si>
    <t>Estimates and inputs used in the Cost Model around depot collection costs and FTEs.</t>
  </si>
  <si>
    <t>DepotCosts</t>
  </si>
  <si>
    <r>
      <t xml:space="preserve">Estimates and inputs used in the Cost Model around labor collection costs, capital costs, other operational expenses, annual indirect costs, and full-time equivalent employees (e.g., customers served per FTE, single-family, multifamily, and commercial collection and transfer FTEs).
</t>
    </r>
    <r>
      <rPr>
        <b/>
        <i/>
        <sz val="10"/>
        <color theme="1"/>
        <rFont val="Arial"/>
        <family val="2"/>
      </rPr>
      <t>Sample size of data coming from confidential sources:</t>
    </r>
    <r>
      <rPr>
        <i/>
        <sz val="10"/>
        <color theme="1"/>
        <rFont val="Arial"/>
        <family val="2"/>
      </rPr>
      <t xml:space="preserve">
--Metro is four composite cities with 92,738 customers using a cart and 5.727 commercial customers using a container for recycling. 
--Willamette Valley is the composite cost of Eugene and Salem with 83,894 residential and 5,655 commercial container customers. 
--The rural area is two counties and one coastal city that has 14,500 residential customers and 563 commercial customers. 
--Depot costs are from recycling activities at the Sandy Transfer Station, Pacific City Transfer Station, and (forthcoming) transfer stations in Lane County.</t>
    </r>
  </si>
  <si>
    <t>CostEscalators</t>
  </si>
  <si>
    <t>Inputs regarding cost escalators from 2018 to 2025</t>
  </si>
  <si>
    <t>ScenarioColumn</t>
  </si>
  <si>
    <t>Depot Tonnages (2025)</t>
  </si>
  <si>
    <t>Estimates and inputs used in the Cost Model around transfer transport of recyclables to the first sorting location.</t>
  </si>
  <si>
    <t>Consolidation and Transfer to MRF</t>
  </si>
  <si>
    <t>Select grouping from the dropdown:</t>
  </si>
  <si>
    <t>Glass &amp; scrap metal (tractor &amp; gondola)</t>
  </si>
  <si>
    <t>Tons Transferred by MRF &amp; Scenario</t>
  </si>
  <si>
    <t>Total tons includes contamination</t>
  </si>
  <si>
    <t>In baseline, customer engagement costs by collection companies are estimated to be approximately $1 per customer per year, largely for mailings.</t>
  </si>
  <si>
    <t>Transport costs per ton-mile and transport type</t>
  </si>
  <si>
    <t>Total On-Route Collection Costs</t>
  </si>
  <si>
    <t>Sortation Total Costs</t>
  </si>
  <si>
    <t>Residual_Transport_Cost_Per_Ton</t>
  </si>
  <si>
    <t>Residual Disposal Unit Costs</t>
  </si>
  <si>
    <t>TransportMiles</t>
  </si>
  <si>
    <t>Transport cost data collected by Chris Bell from haulers, jurisdictions, and transport companies.</t>
  </si>
  <si>
    <t>This table summarizes the tons by stream transported by each transport method (first transport only), transport cost (for in-scope recyclables) and transport miles (all collected materials)</t>
  </si>
  <si>
    <t>Timestamp</t>
  </si>
  <si>
    <t>Destination</t>
  </si>
  <si>
    <t>S0tons</t>
  </si>
  <si>
    <t>1-4</t>
  </si>
  <si>
    <t>2-4</t>
  </si>
  <si>
    <t>3-4</t>
  </si>
  <si>
    <t>4-4</t>
  </si>
  <si>
    <t>S1tons</t>
  </si>
  <si>
    <t>S2tons</t>
  </si>
  <si>
    <t>S3tons</t>
  </si>
  <si>
    <t>S4tons</t>
  </si>
  <si>
    <t>Transport_Cost</t>
  </si>
  <si>
    <t>MRF Efficiency Summary Table</t>
  </si>
  <si>
    <t>This table summarizes the efficiency of each MRF for each incoming stream it accepts.</t>
  </si>
  <si>
    <t>Rpt_MRFefficiency</t>
  </si>
  <si>
    <t>Incoming Tons (all)</t>
  </si>
  <si>
    <t>Pct unwanted materials (all)</t>
  </si>
  <si>
    <t>Properly Baled Tons</t>
  </si>
  <si>
    <t>Bale Contamination Tons</t>
  </si>
  <si>
    <t>Total Baled Tons</t>
  </si>
  <si>
    <t>Avg Bale Quality Pct</t>
  </si>
  <si>
    <t>Avg Bale Contamination</t>
  </si>
  <si>
    <t>Landfilled Residue</t>
  </si>
  <si>
    <t>Residue Rate Pct.</t>
  </si>
  <si>
    <t>Transferred Glass</t>
  </si>
  <si>
    <t>Transferred Containers</t>
  </si>
  <si>
    <t>Single-Family, Multifamily, and Commercial Collection FTEs</t>
  </si>
  <si>
    <t>Inputs regarding the number of MRFs and shifts per day (operating five days per week).</t>
  </si>
  <si>
    <t>Recycling System Costs</t>
  </si>
  <si>
    <t>Access to Recycling</t>
  </si>
  <si>
    <t>Single-Family Residential</t>
  </si>
  <si>
    <t>Multifamily Residential</t>
  </si>
  <si>
    <t>Commercial</t>
  </si>
  <si>
    <t>Population with Access</t>
  </si>
  <si>
    <t>Depot</t>
  </si>
  <si>
    <t>Employment</t>
  </si>
  <si>
    <t>Transactional Costs</t>
  </si>
  <si>
    <t>Customer Engagement Costs</t>
  </si>
  <si>
    <t>Stranded Assets</t>
  </si>
  <si>
    <t>Number of Customers (participation rates)</t>
  </si>
  <si>
    <t>Resiliency/Adaptability</t>
  </si>
  <si>
    <t>Equity Considerations</t>
  </si>
  <si>
    <t>Inbound_Tons</t>
  </si>
  <si>
    <t>MRF_Cost_ID</t>
  </si>
  <si>
    <t>Scenario_MRF_Bale_ID</t>
  </si>
  <si>
    <t>Total_Baled_tons</t>
  </si>
  <si>
    <t>Ton-Miles</t>
  </si>
  <si>
    <t>S0-02-1000-01</t>
  </si>
  <si>
    <t>S1-02-1000-01</t>
  </si>
  <si>
    <t>S2-02-1000-01</t>
  </si>
  <si>
    <t>S3-02-1000-01</t>
  </si>
  <si>
    <t>S0-02-1000-02</t>
  </si>
  <si>
    <t>S1-02-1000-02</t>
  </si>
  <si>
    <t>S2-02-1000-02</t>
  </si>
  <si>
    <t>S3-02-1000-02</t>
  </si>
  <si>
    <t>S0-02-1000-03</t>
  </si>
  <si>
    <t>S1-02-1000-03</t>
  </si>
  <si>
    <t>S2-02-1000-03</t>
  </si>
  <si>
    <t>S3-02-1000-03</t>
  </si>
  <si>
    <t>S0-02-1000-04</t>
  </si>
  <si>
    <t>S1-02-1000-04</t>
  </si>
  <si>
    <t>S2-02-1000-04</t>
  </si>
  <si>
    <t>S3-02-1000-04</t>
  </si>
  <si>
    <t>S0-02-1000-05</t>
  </si>
  <si>
    <t>S1-02-1000-05</t>
  </si>
  <si>
    <t>S2-02-1000-05</t>
  </si>
  <si>
    <t>S3-02-1000-05</t>
  </si>
  <si>
    <t>S0-02-1000-06</t>
  </si>
  <si>
    <t>S1-02-1000-06</t>
  </si>
  <si>
    <t>S2-02-1000-06</t>
  </si>
  <si>
    <t>S3-02-1000-06</t>
  </si>
  <si>
    <t>S0-02-1000-07</t>
  </si>
  <si>
    <t>S1-02-1000-07</t>
  </si>
  <si>
    <t>S2-02-1000-07</t>
  </si>
  <si>
    <t>S3-02-1000-07</t>
  </si>
  <si>
    <t>S0-02-1000-08</t>
  </si>
  <si>
    <t>S1-02-1000-08</t>
  </si>
  <si>
    <t>S2-02-1000-08</t>
  </si>
  <si>
    <t>S3-02-1000-08</t>
  </si>
  <si>
    <t>S0-02-2000-01</t>
  </si>
  <si>
    <t>S1-02-2000-01</t>
  </si>
  <si>
    <t>S2-02-2000-01</t>
  </si>
  <si>
    <t>S3-02-2000-01</t>
  </si>
  <si>
    <t>S0-02-2000-02</t>
  </si>
  <si>
    <t>S1-02-2000-02</t>
  </si>
  <si>
    <t>S2-02-2000-02</t>
  </si>
  <si>
    <t>S3-02-2000-02</t>
  </si>
  <si>
    <t>S0-02-2000-03</t>
  </si>
  <si>
    <t>S1-02-2000-03</t>
  </si>
  <si>
    <t>S2-02-2000-03</t>
  </si>
  <si>
    <t>S3-02-2000-03</t>
  </si>
  <si>
    <t>S0-02-2000-04</t>
  </si>
  <si>
    <t>S1-02-2000-04</t>
  </si>
  <si>
    <t>S2-02-2000-04</t>
  </si>
  <si>
    <t>S3-02-2000-04</t>
  </si>
  <si>
    <t>S0-02-2000-05</t>
  </si>
  <si>
    <t>S1-02-2000-05</t>
  </si>
  <si>
    <t>S2-02-2000-05</t>
  </si>
  <si>
    <t>S3-02-2000-05</t>
  </si>
  <si>
    <t>S0-02-2000-07</t>
  </si>
  <si>
    <t>S1-02-2000-07</t>
  </si>
  <si>
    <t>S2-02-2000-07</t>
  </si>
  <si>
    <t>S3-02-2000-07</t>
  </si>
  <si>
    <t>S0-02-2000-08</t>
  </si>
  <si>
    <t>S1-02-2000-08</t>
  </si>
  <si>
    <t>S2-02-2000-08</t>
  </si>
  <si>
    <t>S3-02-2000-08</t>
  </si>
  <si>
    <t>S0-02-2000-09</t>
  </si>
  <si>
    <t>S1-02-2000-09</t>
  </si>
  <si>
    <t>S2-02-2000-09</t>
  </si>
  <si>
    <t>S3-02-2000-09</t>
  </si>
  <si>
    <t>S0-02-2000-10</t>
  </si>
  <si>
    <t>S1-02-2000-10</t>
  </si>
  <si>
    <t>S2-02-2000-10</t>
  </si>
  <si>
    <t>S3-02-2000-10</t>
  </si>
  <si>
    <t>S0-02-2000-11</t>
  </si>
  <si>
    <t>S1-02-2000-11</t>
  </si>
  <si>
    <t>S2-02-2000-11</t>
  </si>
  <si>
    <t>S3-02-2000-11</t>
  </si>
  <si>
    <t>S0-02-2000-13</t>
  </si>
  <si>
    <t>S1-02-2000-13</t>
  </si>
  <si>
    <t>S2-02-2000-13</t>
  </si>
  <si>
    <t>S3-02-2000-13</t>
  </si>
  <si>
    <t>S0-02-2000-14</t>
  </si>
  <si>
    <t>S1-02-2000-14</t>
  </si>
  <si>
    <t>S2-02-2000-14</t>
  </si>
  <si>
    <t>S3-02-2000-14</t>
  </si>
  <si>
    <t>S0-02-2000-16</t>
  </si>
  <si>
    <t>S1-02-2000-16</t>
  </si>
  <si>
    <t>S2-02-2000-16</t>
  </si>
  <si>
    <t>S3-02-2000-16</t>
  </si>
  <si>
    <t>S0-02-2000-17</t>
  </si>
  <si>
    <t>S1-02-2000-17</t>
  </si>
  <si>
    <t>S2-02-2000-17</t>
  </si>
  <si>
    <t>S3-02-2000-17</t>
  </si>
  <si>
    <t>S0-02-2000-18</t>
  </si>
  <si>
    <t>S1-02-2000-18</t>
  </si>
  <si>
    <t>S2-02-2000-18</t>
  </si>
  <si>
    <t>S3-02-2000-18</t>
  </si>
  <si>
    <t>S0-02-3000-01</t>
  </si>
  <si>
    <t>S1-02-3000-01</t>
  </si>
  <si>
    <t>S2-02-3000-01</t>
  </si>
  <si>
    <t>S3-02-3000-01</t>
  </si>
  <si>
    <t>S0-02-4000-01</t>
  </si>
  <si>
    <t>S1-02-4000-01</t>
  </si>
  <si>
    <t>S2-02-4000-01</t>
  </si>
  <si>
    <t>S3-02-4000-01</t>
  </si>
  <si>
    <t>S0-02-4000-02</t>
  </si>
  <si>
    <t>S1-02-4000-02</t>
  </si>
  <si>
    <t>S2-02-4000-02</t>
  </si>
  <si>
    <t>S3-02-4000-02</t>
  </si>
  <si>
    <t>S0-02-4000-03</t>
  </si>
  <si>
    <t>S1-02-4000-03</t>
  </si>
  <si>
    <t>S2-02-4000-03</t>
  </si>
  <si>
    <t>S3-02-4000-03</t>
  </si>
  <si>
    <t>S0-03-1000-01</t>
  </si>
  <si>
    <t>S1-03-1000-01</t>
  </si>
  <si>
    <t>S2-03-1000-01</t>
  </si>
  <si>
    <t>S3-03-1000-01</t>
  </si>
  <si>
    <t>S0-03-1000-02</t>
  </si>
  <si>
    <t>S1-03-1000-02</t>
  </si>
  <si>
    <t>S2-03-1000-02</t>
  </si>
  <si>
    <t>S3-03-1000-02</t>
  </si>
  <si>
    <t>S0-03-1000-03</t>
  </si>
  <si>
    <t>S1-03-1000-03</t>
  </si>
  <si>
    <t>S2-03-1000-03</t>
  </si>
  <si>
    <t>S3-03-1000-03</t>
  </si>
  <si>
    <t>S0-03-1000-04</t>
  </si>
  <si>
    <t>S1-03-1000-04</t>
  </si>
  <si>
    <t>S2-03-1000-04</t>
  </si>
  <si>
    <t>S3-03-1000-04</t>
  </si>
  <si>
    <t>S0-03-1000-05</t>
  </si>
  <si>
    <t>S1-03-1000-05</t>
  </si>
  <si>
    <t>S2-03-1000-05</t>
  </si>
  <si>
    <t>S3-03-1000-05</t>
  </si>
  <si>
    <t>S0-03-1000-06</t>
  </si>
  <si>
    <t>S1-03-1000-06</t>
  </si>
  <si>
    <t>S2-03-1000-06</t>
  </si>
  <si>
    <t>S3-03-1000-06</t>
  </si>
  <si>
    <t>S0-03-1000-07</t>
  </si>
  <si>
    <t>S1-03-1000-07</t>
  </si>
  <si>
    <t>S2-03-1000-07</t>
  </si>
  <si>
    <t>S3-03-1000-07</t>
  </si>
  <si>
    <t>S0-03-1000-08</t>
  </si>
  <si>
    <t>S1-03-1000-08</t>
  </si>
  <si>
    <t>S2-03-1000-08</t>
  </si>
  <si>
    <t>S3-03-1000-08</t>
  </si>
  <si>
    <t>S0-03-2000-01</t>
  </si>
  <si>
    <t>S1-03-2000-01</t>
  </si>
  <si>
    <t>S2-03-2000-01</t>
  </si>
  <si>
    <t>S3-03-2000-01</t>
  </si>
  <si>
    <t>S0-03-2000-02</t>
  </si>
  <si>
    <t>S1-03-2000-02</t>
  </si>
  <si>
    <t>S2-03-2000-02</t>
  </si>
  <si>
    <t>S3-03-2000-02</t>
  </si>
  <si>
    <t>S0-03-2000-03</t>
  </si>
  <si>
    <t>S1-03-2000-03</t>
  </si>
  <si>
    <t>S2-03-2000-03</t>
  </si>
  <si>
    <t>S3-03-2000-03</t>
  </si>
  <si>
    <t>S0-03-2000-04</t>
  </si>
  <si>
    <t>S1-03-2000-04</t>
  </si>
  <si>
    <t>S2-03-2000-04</t>
  </si>
  <si>
    <t>S3-03-2000-04</t>
  </si>
  <si>
    <t>S0-03-2000-05</t>
  </si>
  <si>
    <t>S1-03-2000-05</t>
  </si>
  <si>
    <t>S2-03-2000-05</t>
  </si>
  <si>
    <t>S3-03-2000-05</t>
  </si>
  <si>
    <t>S0-03-2000-07</t>
  </si>
  <si>
    <t>S1-03-2000-07</t>
  </si>
  <si>
    <t>S2-03-2000-07</t>
  </si>
  <si>
    <t>S3-03-2000-07</t>
  </si>
  <si>
    <t>S0-03-2000-08</t>
  </si>
  <si>
    <t>S1-03-2000-08</t>
  </si>
  <si>
    <t>S2-03-2000-08</t>
  </si>
  <si>
    <t>S3-03-2000-08</t>
  </si>
  <si>
    <t>S0-03-2000-09</t>
  </si>
  <si>
    <t>S1-03-2000-09</t>
  </si>
  <si>
    <t>S2-03-2000-09</t>
  </si>
  <si>
    <t>S3-03-2000-09</t>
  </si>
  <si>
    <t>S0-03-2000-10</t>
  </si>
  <si>
    <t>S1-03-2000-10</t>
  </si>
  <si>
    <t>S2-03-2000-10</t>
  </si>
  <si>
    <t>S3-03-2000-10</t>
  </si>
  <si>
    <t>S0-03-2000-11</t>
  </si>
  <si>
    <t>S1-03-2000-11</t>
  </si>
  <si>
    <t>S2-03-2000-11</t>
  </si>
  <si>
    <t>S3-03-2000-11</t>
  </si>
  <si>
    <t>S0-03-2000-13</t>
  </si>
  <si>
    <t>S1-03-2000-13</t>
  </si>
  <si>
    <t>S2-03-2000-13</t>
  </si>
  <si>
    <t>S3-03-2000-13</t>
  </si>
  <si>
    <t>S0-03-2000-14</t>
  </si>
  <si>
    <t>S1-03-2000-14</t>
  </si>
  <si>
    <t>S2-03-2000-14</t>
  </si>
  <si>
    <t>S3-03-2000-14</t>
  </si>
  <si>
    <t>S0-03-2000-16</t>
  </si>
  <si>
    <t>S1-03-2000-16</t>
  </si>
  <si>
    <t>S2-03-2000-16</t>
  </si>
  <si>
    <t>S3-03-2000-16</t>
  </si>
  <si>
    <t>S0-03-2000-17</t>
  </si>
  <si>
    <t>S1-03-2000-17</t>
  </si>
  <si>
    <t>S2-03-2000-17</t>
  </si>
  <si>
    <t>S3-03-2000-17</t>
  </si>
  <si>
    <t>S0-03-2000-18</t>
  </si>
  <si>
    <t>S1-03-2000-18</t>
  </si>
  <si>
    <t>S2-03-2000-18</t>
  </si>
  <si>
    <t>S3-03-2000-18</t>
  </si>
  <si>
    <t>S0-03-3000-01</t>
  </si>
  <si>
    <t>S1-03-3000-01</t>
  </si>
  <si>
    <t>S2-03-3000-01</t>
  </si>
  <si>
    <t>S3-03-3000-01</t>
  </si>
  <si>
    <t>S0-03-4000-01</t>
  </si>
  <si>
    <t>S1-03-4000-01</t>
  </si>
  <si>
    <t>S2-03-4000-01</t>
  </si>
  <si>
    <t>S3-03-4000-01</t>
  </si>
  <si>
    <t>S0-03-4000-02</t>
  </si>
  <si>
    <t>S1-03-4000-02</t>
  </si>
  <si>
    <t>S2-03-4000-02</t>
  </si>
  <si>
    <t>S3-03-4000-02</t>
  </si>
  <si>
    <t>S0-03-4000-03</t>
  </si>
  <si>
    <t>S1-03-4000-03</t>
  </si>
  <si>
    <t>S2-03-4000-03</t>
  </si>
  <si>
    <t>S3-03-4000-03</t>
  </si>
  <si>
    <t>S0-04-1000-01</t>
  </si>
  <si>
    <t>S1-04-1000-01</t>
  </si>
  <si>
    <t>S2-04-1000-01</t>
  </si>
  <si>
    <t>S3-04-1000-01</t>
  </si>
  <si>
    <t>S0-04-1000-02</t>
  </si>
  <si>
    <t>S1-04-1000-02</t>
  </si>
  <si>
    <t>S2-04-1000-02</t>
  </si>
  <si>
    <t>S3-04-1000-02</t>
  </si>
  <si>
    <t>S0-04-1000-03</t>
  </si>
  <si>
    <t>S1-04-1000-03</t>
  </si>
  <si>
    <t>S2-04-1000-03</t>
  </si>
  <si>
    <t>S3-04-1000-03</t>
  </si>
  <si>
    <t>S0-04-1000-04</t>
  </si>
  <si>
    <t>S1-04-1000-04</t>
  </si>
  <si>
    <t>S2-04-1000-04</t>
  </si>
  <si>
    <t>S3-04-1000-04</t>
  </si>
  <si>
    <t>S0-04-1000-05</t>
  </si>
  <si>
    <t>S1-04-1000-05</t>
  </si>
  <si>
    <t>S2-04-1000-05</t>
  </si>
  <si>
    <t>S3-04-1000-05</t>
  </si>
  <si>
    <t>S0-04-1000-06</t>
  </si>
  <si>
    <t>S1-04-1000-06</t>
  </si>
  <si>
    <t>S2-04-1000-06</t>
  </si>
  <si>
    <t>S3-04-1000-06</t>
  </si>
  <si>
    <t>S0-04-1000-07</t>
  </si>
  <si>
    <t>S1-04-1000-07</t>
  </si>
  <si>
    <t>S2-04-1000-07</t>
  </si>
  <si>
    <t>S3-04-1000-07</t>
  </si>
  <si>
    <t>S0-04-1000-08</t>
  </si>
  <si>
    <t>S1-04-1000-08</t>
  </si>
  <si>
    <t>S2-04-1000-08</t>
  </si>
  <si>
    <t>S3-04-1000-08</t>
  </si>
  <si>
    <t>S0-04-2000-01</t>
  </si>
  <si>
    <t>S1-04-2000-01</t>
  </si>
  <si>
    <t>S2-04-2000-01</t>
  </si>
  <si>
    <t>S3-04-2000-01</t>
  </si>
  <si>
    <t>S0-04-2000-02</t>
  </si>
  <si>
    <t>S1-04-2000-02</t>
  </si>
  <si>
    <t>S2-04-2000-02</t>
  </si>
  <si>
    <t>S3-04-2000-02</t>
  </si>
  <si>
    <t>S0-04-2000-03</t>
  </si>
  <si>
    <t>S1-04-2000-03</t>
  </si>
  <si>
    <t>S2-04-2000-03</t>
  </si>
  <si>
    <t>S3-04-2000-03</t>
  </si>
  <si>
    <t>S0-04-2000-04</t>
  </si>
  <si>
    <t>S1-04-2000-04</t>
  </si>
  <si>
    <t>S2-04-2000-04</t>
  </si>
  <si>
    <t>S3-04-2000-04</t>
  </si>
  <si>
    <t>S0-04-2000-05</t>
  </si>
  <si>
    <t>S1-04-2000-05</t>
  </si>
  <si>
    <t>S2-04-2000-05</t>
  </si>
  <si>
    <t>S3-04-2000-05</t>
  </si>
  <si>
    <t>S0-04-2000-07</t>
  </si>
  <si>
    <t>S1-04-2000-07</t>
  </si>
  <si>
    <t>S2-04-2000-07</t>
  </si>
  <si>
    <t>S3-04-2000-07</t>
  </si>
  <si>
    <t>S0-04-2000-08</t>
  </si>
  <si>
    <t>S1-04-2000-08</t>
  </si>
  <si>
    <t>S2-04-2000-08</t>
  </si>
  <si>
    <t>S3-04-2000-08</t>
  </si>
  <si>
    <t>S0-04-2000-09</t>
  </si>
  <si>
    <t>S1-04-2000-09</t>
  </si>
  <si>
    <t>S2-04-2000-09</t>
  </si>
  <si>
    <t>S3-04-2000-09</t>
  </si>
  <si>
    <t>S0-04-2000-10</t>
  </si>
  <si>
    <t>S1-04-2000-10</t>
  </si>
  <si>
    <t>S2-04-2000-10</t>
  </si>
  <si>
    <t>S3-04-2000-10</t>
  </si>
  <si>
    <t>S0-04-2000-11</t>
  </si>
  <si>
    <t>S1-04-2000-11</t>
  </si>
  <si>
    <t>S2-04-2000-11</t>
  </si>
  <si>
    <t>S3-04-2000-11</t>
  </si>
  <si>
    <t>S0-04-2000-13</t>
  </si>
  <si>
    <t>S1-04-2000-13</t>
  </si>
  <si>
    <t>S2-04-2000-13</t>
  </si>
  <si>
    <t>S3-04-2000-13</t>
  </si>
  <si>
    <t>S0-04-2000-14</t>
  </si>
  <si>
    <t>S1-04-2000-14</t>
  </si>
  <si>
    <t>S2-04-2000-14</t>
  </si>
  <si>
    <t>S3-04-2000-14</t>
  </si>
  <si>
    <t>S0-04-2000-16</t>
  </si>
  <si>
    <t>S1-04-2000-16</t>
  </si>
  <si>
    <t>S2-04-2000-16</t>
  </si>
  <si>
    <t>S3-04-2000-16</t>
  </si>
  <si>
    <t>S0-04-2000-17</t>
  </si>
  <si>
    <t>S1-04-2000-17</t>
  </si>
  <si>
    <t>S2-04-2000-17</t>
  </si>
  <si>
    <t>S3-04-2000-17</t>
  </si>
  <si>
    <t>S0-04-2000-18</t>
  </si>
  <si>
    <t>S1-04-2000-18</t>
  </si>
  <si>
    <t>S2-04-2000-18</t>
  </si>
  <si>
    <t>S3-04-2000-18</t>
  </si>
  <si>
    <t>S0-04-3000-01</t>
  </si>
  <si>
    <t>S1-04-3000-01</t>
  </si>
  <si>
    <t>S2-04-3000-01</t>
  </si>
  <si>
    <t>S3-04-3000-01</t>
  </si>
  <si>
    <t>S0-04-4000-01</t>
  </si>
  <si>
    <t>S1-04-4000-01</t>
  </si>
  <si>
    <t>S2-04-4000-01</t>
  </si>
  <si>
    <t>S3-04-4000-01</t>
  </si>
  <si>
    <t>S0-04-4000-02</t>
  </si>
  <si>
    <t>S1-04-4000-02</t>
  </si>
  <si>
    <t>S2-04-4000-02</t>
  </si>
  <si>
    <t>S3-04-4000-02</t>
  </si>
  <si>
    <t>S0-04-4000-03</t>
  </si>
  <si>
    <t>S1-04-4000-03</t>
  </si>
  <si>
    <t>S2-04-4000-03</t>
  </si>
  <si>
    <t>S3-04-4000-03</t>
  </si>
  <si>
    <t>S2-05-1000-01</t>
  </si>
  <si>
    <t>S3-05-1000-01</t>
  </si>
  <si>
    <t>S2-05-1000-02</t>
  </si>
  <si>
    <t>S3-05-1000-02</t>
  </si>
  <si>
    <t>S2-05-1000-03</t>
  </si>
  <si>
    <t>S3-05-1000-03</t>
  </si>
  <si>
    <t>S2-05-1000-04</t>
  </si>
  <si>
    <t>S3-05-1000-04</t>
  </si>
  <si>
    <t>S2-05-1000-05</t>
  </si>
  <si>
    <t>S3-05-1000-05</t>
  </si>
  <si>
    <t>S2-05-1000-06</t>
  </si>
  <si>
    <t>S3-05-1000-06</t>
  </si>
  <si>
    <t>S2-05-1000-07</t>
  </si>
  <si>
    <t>S3-05-1000-07</t>
  </si>
  <si>
    <t>S2-05-1000-08</t>
  </si>
  <si>
    <t>S3-05-1000-08</t>
  </si>
  <si>
    <t>S2-05-2000-01</t>
  </si>
  <si>
    <t>S3-05-2000-01</t>
  </si>
  <si>
    <t>S2-05-2000-02</t>
  </si>
  <si>
    <t>S3-05-2000-02</t>
  </si>
  <si>
    <t>S2-05-2000-03</t>
  </si>
  <si>
    <t>S3-05-2000-03</t>
  </si>
  <si>
    <t>S2-05-2000-04</t>
  </si>
  <si>
    <t>S3-05-2000-04</t>
  </si>
  <si>
    <t>S2-05-2000-05</t>
  </si>
  <si>
    <t>S3-05-2000-05</t>
  </si>
  <si>
    <t>S2-05-2000-07</t>
  </si>
  <si>
    <t>S3-05-2000-07</t>
  </si>
  <si>
    <t>S2-05-2000-08</t>
  </si>
  <si>
    <t>S3-05-2000-08</t>
  </si>
  <si>
    <t>S2-05-2000-09</t>
  </si>
  <si>
    <t>S3-05-2000-09</t>
  </si>
  <si>
    <t>S2-05-2000-10</t>
  </si>
  <si>
    <t>S3-05-2000-10</t>
  </si>
  <si>
    <t>S2-05-2000-11</t>
  </si>
  <si>
    <t>S3-05-2000-11</t>
  </si>
  <si>
    <t>S2-05-2000-13</t>
  </si>
  <si>
    <t>S3-05-2000-13</t>
  </si>
  <si>
    <t>S2-05-2000-14</t>
  </si>
  <si>
    <t>S3-05-2000-14</t>
  </si>
  <si>
    <t>S2-05-2000-16</t>
  </si>
  <si>
    <t>S3-05-2000-16</t>
  </si>
  <si>
    <t>S2-05-2000-17</t>
  </si>
  <si>
    <t>S3-05-2000-17</t>
  </si>
  <si>
    <t>S2-05-2000-18</t>
  </si>
  <si>
    <t>S3-05-2000-18</t>
  </si>
  <si>
    <t>S2-05-3000-01</t>
  </si>
  <si>
    <t>S3-05-3000-01</t>
  </si>
  <si>
    <t>S2-05-4000-01</t>
  </si>
  <si>
    <t>S3-05-4000-01</t>
  </si>
  <si>
    <t>S2-05-4000-02</t>
  </si>
  <si>
    <t>S3-05-4000-02</t>
  </si>
  <si>
    <t>S2-05-4000-03</t>
  </si>
  <si>
    <t>S3-05-4000-03</t>
  </si>
  <si>
    <t>S4-06-1000-01</t>
  </si>
  <si>
    <t>S4-06-1000-02</t>
  </si>
  <si>
    <t>S4-06-1000-03</t>
  </si>
  <si>
    <t>S4-06-1000-04</t>
  </si>
  <si>
    <t>S4-06-1000-05</t>
  </si>
  <si>
    <t>S4-06-1000-06</t>
  </si>
  <si>
    <t>S4-06-1000-07</t>
  </si>
  <si>
    <t>S4-06-1000-08</t>
  </si>
  <si>
    <t>S4-06-2000-01</t>
  </si>
  <si>
    <t>S4-06-2000-02</t>
  </si>
  <si>
    <t>S4-06-2000-03</t>
  </si>
  <si>
    <t>S4-06-2000-04</t>
  </si>
  <si>
    <t>S4-06-2000-05</t>
  </si>
  <si>
    <t>S4-06-2000-07</t>
  </si>
  <si>
    <t>S4-06-2000-08</t>
  </si>
  <si>
    <t>S4-06-2000-09</t>
  </si>
  <si>
    <t>S4-06-2000-10</t>
  </si>
  <si>
    <t>S4-06-2000-11</t>
  </si>
  <si>
    <t>S4-06-2000-13</t>
  </si>
  <si>
    <t>S4-06-2000-14</t>
  </si>
  <si>
    <t>S4-06-2000-16</t>
  </si>
  <si>
    <t>S4-06-2000-17</t>
  </si>
  <si>
    <t>S4-06-2000-18</t>
  </si>
  <si>
    <t>S4-06-3000-01</t>
  </si>
  <si>
    <t>S4-06-4000-01</t>
  </si>
  <si>
    <t>S4-06-4000-02</t>
  </si>
  <si>
    <t>S4-06-4000-03</t>
  </si>
  <si>
    <t>S4-07-1000-01</t>
  </si>
  <si>
    <t>S4-07-1000-02</t>
  </si>
  <si>
    <t>S4-07-1000-03</t>
  </si>
  <si>
    <t>S4-07-1000-04</t>
  </si>
  <si>
    <t>S4-07-1000-05</t>
  </si>
  <si>
    <t>S4-07-1000-06</t>
  </si>
  <si>
    <t>S4-07-1000-07</t>
  </si>
  <si>
    <t>S4-07-1000-08</t>
  </si>
  <si>
    <t>S4-07-2000-01</t>
  </si>
  <si>
    <t>S4-07-2000-02</t>
  </si>
  <si>
    <t>S4-07-2000-03</t>
  </si>
  <si>
    <t>S4-07-2000-04</t>
  </si>
  <si>
    <t>S4-07-2000-05</t>
  </si>
  <si>
    <t>S4-07-2000-07</t>
  </si>
  <si>
    <t>S4-07-2000-08</t>
  </si>
  <si>
    <t>S4-07-2000-09</t>
  </si>
  <si>
    <t>S4-07-2000-10</t>
  </si>
  <si>
    <t>S4-07-2000-11</t>
  </si>
  <si>
    <t>S4-07-2000-13</t>
  </si>
  <si>
    <t>S4-07-2000-14</t>
  </si>
  <si>
    <t>S4-07-2000-16</t>
  </si>
  <si>
    <t>S4-07-2000-17</t>
  </si>
  <si>
    <t>S4-07-2000-18</t>
  </si>
  <si>
    <t>S4-07-3000-01</t>
  </si>
  <si>
    <t>S4-07-4000-01</t>
  </si>
  <si>
    <t>S4-07-4000-02</t>
  </si>
  <si>
    <t>S4-07-4000-03</t>
  </si>
  <si>
    <t>S4-08-1000-01</t>
  </si>
  <si>
    <t>S4-08-1000-02</t>
  </si>
  <si>
    <t>S4-08-1000-03</t>
  </si>
  <si>
    <t>S4-08-1000-04</t>
  </si>
  <si>
    <t>S4-08-1000-05</t>
  </si>
  <si>
    <t>S4-08-1000-06</t>
  </si>
  <si>
    <t>S4-08-1000-07</t>
  </si>
  <si>
    <t>S4-08-1000-08</t>
  </si>
  <si>
    <t>S4-08-2000-01</t>
  </si>
  <si>
    <t>S4-08-2000-02</t>
  </si>
  <si>
    <t>S4-08-2000-03</t>
  </si>
  <si>
    <t>S4-08-2000-04</t>
  </si>
  <si>
    <t>S4-08-2000-05</t>
  </si>
  <si>
    <t>S4-08-2000-07</t>
  </si>
  <si>
    <t>S4-08-2000-08</t>
  </si>
  <si>
    <t>S4-08-2000-09</t>
  </si>
  <si>
    <t>S4-08-2000-10</t>
  </si>
  <si>
    <t>S4-08-2000-11</t>
  </si>
  <si>
    <t>S4-08-2000-13</t>
  </si>
  <si>
    <t>S4-08-2000-14</t>
  </si>
  <si>
    <t>S4-08-2000-16</t>
  </si>
  <si>
    <t>S4-08-2000-17</t>
  </si>
  <si>
    <t>S4-08-2000-18</t>
  </si>
  <si>
    <t>S4-08-3000-01</t>
  </si>
  <si>
    <t>S4-08-4000-01</t>
  </si>
  <si>
    <t>S4-08-4000-02</t>
  </si>
  <si>
    <t>S4-08-4000-03</t>
  </si>
  <si>
    <t>S0-13-1000-01</t>
  </si>
  <si>
    <t>S1-13-1000-01</t>
  </si>
  <si>
    <t>S2-13-1000-01</t>
  </si>
  <si>
    <t>S3-13-1000-01</t>
  </si>
  <si>
    <t>S4-13-1000-01</t>
  </si>
  <si>
    <t>S0-13-1000-02</t>
  </si>
  <si>
    <t>S1-13-1000-02</t>
  </si>
  <si>
    <t>S2-13-1000-02</t>
  </si>
  <si>
    <t>S3-13-1000-02</t>
  </si>
  <si>
    <t>S4-13-1000-02</t>
  </si>
  <si>
    <t>S0-13-1000-03</t>
  </si>
  <si>
    <t>S1-13-1000-03</t>
  </si>
  <si>
    <t>S2-13-1000-03</t>
  </si>
  <si>
    <t>S3-13-1000-03</t>
  </si>
  <si>
    <t>S4-13-1000-03</t>
  </si>
  <si>
    <t>S0-13-1000-04</t>
  </si>
  <si>
    <t>S1-13-1000-04</t>
  </si>
  <si>
    <t>S2-13-1000-04</t>
  </si>
  <si>
    <t>S3-13-1000-04</t>
  </si>
  <si>
    <t>S4-13-1000-04</t>
  </si>
  <si>
    <t>S0-13-1000-05</t>
  </si>
  <si>
    <t>S1-13-1000-05</t>
  </si>
  <si>
    <t>S2-13-1000-05</t>
  </si>
  <si>
    <t>S3-13-1000-05</t>
  </si>
  <si>
    <t>S4-13-1000-05</t>
  </si>
  <si>
    <t>S0-13-1000-06</t>
  </si>
  <si>
    <t>S1-13-1000-06</t>
  </si>
  <si>
    <t>S2-13-1000-06</t>
  </si>
  <si>
    <t>S3-13-1000-06</t>
  </si>
  <si>
    <t>S4-13-1000-06</t>
  </si>
  <si>
    <t>S0-13-1000-07</t>
  </si>
  <si>
    <t>S1-13-1000-07</t>
  </si>
  <si>
    <t>S2-13-1000-07</t>
  </si>
  <si>
    <t>S3-13-1000-07</t>
  </si>
  <si>
    <t>S4-13-1000-07</t>
  </si>
  <si>
    <t>S0-13-1000-08</t>
  </si>
  <si>
    <t>S1-13-1000-08</t>
  </si>
  <si>
    <t>S2-13-1000-08</t>
  </si>
  <si>
    <t>S3-13-1000-08</t>
  </si>
  <si>
    <t>S4-13-1000-08</t>
  </si>
  <si>
    <t>S0-13-2000-01</t>
  </si>
  <si>
    <t>S1-13-2000-01</t>
  </si>
  <si>
    <t>S2-13-2000-01</t>
  </si>
  <si>
    <t>S3-13-2000-01</t>
  </si>
  <si>
    <t>S4-13-2000-01</t>
  </si>
  <si>
    <t>S0-13-2000-02</t>
  </si>
  <si>
    <t>S1-13-2000-02</t>
  </si>
  <si>
    <t>S2-13-2000-02</t>
  </si>
  <si>
    <t>S3-13-2000-02</t>
  </si>
  <si>
    <t>S4-13-2000-02</t>
  </si>
  <si>
    <t>S0-13-2000-03</t>
  </si>
  <si>
    <t>S1-13-2000-03</t>
  </si>
  <si>
    <t>S2-13-2000-03</t>
  </si>
  <si>
    <t>S3-13-2000-03</t>
  </si>
  <si>
    <t>S4-13-2000-03</t>
  </si>
  <si>
    <t>S0-13-2000-04</t>
  </si>
  <si>
    <t>S1-13-2000-04</t>
  </si>
  <si>
    <t>S2-13-2000-04</t>
  </si>
  <si>
    <t>S3-13-2000-04</t>
  </si>
  <si>
    <t>S4-13-2000-04</t>
  </si>
  <si>
    <t>S0-13-2000-05</t>
  </si>
  <si>
    <t>S1-13-2000-05</t>
  </si>
  <si>
    <t>S2-13-2000-05</t>
  </si>
  <si>
    <t>S3-13-2000-05</t>
  </si>
  <si>
    <t>S4-13-2000-05</t>
  </si>
  <si>
    <t>S0-13-2000-07</t>
  </si>
  <si>
    <t>S1-13-2000-07</t>
  </si>
  <si>
    <t>S2-13-2000-07</t>
  </si>
  <si>
    <t>S3-13-2000-07</t>
  </si>
  <si>
    <t>S4-13-2000-07</t>
  </si>
  <si>
    <t>S0-13-2000-08</t>
  </si>
  <si>
    <t>S1-13-2000-08</t>
  </si>
  <si>
    <t>S2-13-2000-08</t>
  </si>
  <si>
    <t>S3-13-2000-08</t>
  </si>
  <si>
    <t>S4-13-2000-08</t>
  </si>
  <si>
    <t>S0-13-2000-09</t>
  </si>
  <si>
    <t>S1-13-2000-09</t>
  </si>
  <si>
    <t>S2-13-2000-09</t>
  </si>
  <si>
    <t>S3-13-2000-09</t>
  </si>
  <si>
    <t>S4-13-2000-09</t>
  </si>
  <si>
    <t>S0-13-2000-10</t>
  </si>
  <si>
    <t>S1-13-2000-10</t>
  </si>
  <si>
    <t>S2-13-2000-10</t>
  </si>
  <si>
    <t>S3-13-2000-10</t>
  </si>
  <si>
    <t>S4-13-2000-10</t>
  </si>
  <si>
    <t>S0-13-2000-11</t>
  </si>
  <si>
    <t>S1-13-2000-11</t>
  </si>
  <si>
    <t>S2-13-2000-11</t>
  </si>
  <si>
    <t>S3-13-2000-11</t>
  </si>
  <si>
    <t>S4-13-2000-11</t>
  </si>
  <si>
    <t>S0-13-2000-13</t>
  </si>
  <si>
    <t>S1-13-2000-13</t>
  </si>
  <si>
    <t>S2-13-2000-13</t>
  </si>
  <si>
    <t>S3-13-2000-13</t>
  </si>
  <si>
    <t>S4-13-2000-13</t>
  </si>
  <si>
    <t>S0-13-2000-14</t>
  </si>
  <si>
    <t>S1-13-2000-14</t>
  </si>
  <si>
    <t>S2-13-2000-14</t>
  </si>
  <si>
    <t>S3-13-2000-14</t>
  </si>
  <si>
    <t>S4-13-2000-14</t>
  </si>
  <si>
    <t>S0-13-2000-16</t>
  </si>
  <si>
    <t>S1-13-2000-16</t>
  </si>
  <si>
    <t>S2-13-2000-16</t>
  </si>
  <si>
    <t>S3-13-2000-16</t>
  </si>
  <si>
    <t>S4-13-2000-16</t>
  </si>
  <si>
    <t>S0-13-2000-17</t>
  </si>
  <si>
    <t>S1-13-2000-17</t>
  </si>
  <si>
    <t>S2-13-2000-17</t>
  </si>
  <si>
    <t>S3-13-2000-17</t>
  </si>
  <si>
    <t>S4-13-2000-17</t>
  </si>
  <si>
    <t>S0-13-2000-18</t>
  </si>
  <si>
    <t>S1-13-2000-18</t>
  </si>
  <si>
    <t>S2-13-2000-18</t>
  </si>
  <si>
    <t>S3-13-2000-18</t>
  </si>
  <si>
    <t>S4-13-2000-18</t>
  </si>
  <si>
    <t>S0-13-3000-01</t>
  </si>
  <si>
    <t>S1-13-3000-01</t>
  </si>
  <si>
    <t>S2-13-3000-01</t>
  </si>
  <si>
    <t>S3-13-3000-01</t>
  </si>
  <si>
    <t>S4-13-3000-01</t>
  </si>
  <si>
    <t>S0-13-4000-01</t>
  </si>
  <si>
    <t>S1-13-4000-01</t>
  </si>
  <si>
    <t>S2-13-4000-01</t>
  </si>
  <si>
    <t>S3-13-4000-01</t>
  </si>
  <si>
    <t>S4-13-4000-01</t>
  </si>
  <si>
    <t>S0-13-4000-02</t>
  </si>
  <si>
    <t>S1-13-4000-02</t>
  </si>
  <si>
    <t>S2-13-4000-02</t>
  </si>
  <si>
    <t>S3-13-4000-02</t>
  </si>
  <si>
    <t>S4-13-4000-02</t>
  </si>
  <si>
    <t>S0-13-4000-03</t>
  </si>
  <si>
    <t>S1-13-4000-03</t>
  </si>
  <si>
    <t>S2-13-4000-03</t>
  </si>
  <si>
    <t>S3-13-4000-03</t>
  </si>
  <si>
    <t>S4-13-4000-03</t>
  </si>
  <si>
    <t>S0-14-3000-01</t>
  </si>
  <si>
    <t>S1-14-3000-01</t>
  </si>
  <si>
    <t>S2-14-3000-01</t>
  </si>
  <si>
    <t>S3-14-3000-01</t>
  </si>
  <si>
    <t>S4-14-3000-01</t>
  </si>
  <si>
    <t>S0-13-2000-06</t>
  </si>
  <si>
    <t>S1-13-2000-06</t>
  </si>
  <si>
    <t>S2-13-2000-06</t>
  </si>
  <si>
    <t>S3-13-2000-06</t>
  </si>
  <si>
    <t>S4-13-2000-06</t>
  </si>
  <si>
    <t>S0-13-2000-12</t>
  </si>
  <si>
    <t>S1-13-2000-12</t>
  </si>
  <si>
    <t>S2-13-2000-12</t>
  </si>
  <si>
    <t>S3-13-2000-12</t>
  </si>
  <si>
    <t>S4-13-2000-12</t>
  </si>
  <si>
    <t>S0-02-9000-01</t>
  </si>
  <si>
    <t>S1-02-9000-01</t>
  </si>
  <si>
    <t>S2-02-9000-01</t>
  </si>
  <si>
    <t>S3-02-9000-01</t>
  </si>
  <si>
    <t>S0-03-9000-01</t>
  </si>
  <si>
    <t>S1-03-9000-01</t>
  </si>
  <si>
    <t>S2-03-9000-01</t>
  </si>
  <si>
    <t>S3-03-9000-01</t>
  </si>
  <si>
    <t>S0-04-9000-01</t>
  </si>
  <si>
    <t>S1-04-9000-01</t>
  </si>
  <si>
    <t>S2-04-9000-01</t>
  </si>
  <si>
    <t>S3-04-9000-01</t>
  </si>
  <si>
    <t>S2-05-9000-01</t>
  </si>
  <si>
    <t>S3-05-9000-01</t>
  </si>
  <si>
    <t>S4-06-9000-01</t>
  </si>
  <si>
    <t>S4-07-9000-01</t>
  </si>
  <si>
    <t>S4-08-9000-01</t>
  </si>
  <si>
    <t>S0-13-9000-01</t>
  </si>
  <si>
    <t>S1-13-9000-01</t>
  </si>
  <si>
    <t>S2-13-9000-01</t>
  </si>
  <si>
    <t>S3-13-9000-01</t>
  </si>
  <si>
    <t>S4-13-9000-01</t>
  </si>
  <si>
    <t>S0-14-9000-01</t>
  </si>
  <si>
    <t>S1-14-9000-01</t>
  </si>
  <si>
    <t>S2-14-9000-01</t>
  </si>
  <si>
    <t>S3-14-9000-01</t>
  </si>
  <si>
    <t>S4-14-9000-01</t>
  </si>
  <si>
    <t>S2-02-5000-01</t>
  </si>
  <si>
    <t>S3-02-5000-01</t>
  </si>
  <si>
    <t>S2-03-5000-01</t>
  </si>
  <si>
    <t>S3-03-5000-01</t>
  </si>
  <si>
    <t>S2-04-5000-01</t>
  </si>
  <si>
    <t>S3-04-5000-01</t>
  </si>
  <si>
    <t>S2-13-5000-01</t>
  </si>
  <si>
    <t>S3-13-5000-01</t>
  </si>
  <si>
    <t>S0-02-5000-02</t>
  </si>
  <si>
    <t>S1-02-5000-02</t>
  </si>
  <si>
    <t>S2-02-5000-02</t>
  </si>
  <si>
    <t>S3-02-5000-02</t>
  </si>
  <si>
    <t>S0-03-5000-02</t>
  </si>
  <si>
    <t>S1-03-5000-02</t>
  </si>
  <si>
    <t>S2-03-5000-02</t>
  </si>
  <si>
    <t>S3-03-5000-02</t>
  </si>
  <si>
    <t>S0-04-5000-02</t>
  </si>
  <si>
    <t>S1-04-5000-02</t>
  </si>
  <si>
    <t>S2-04-5000-02</t>
  </si>
  <si>
    <t>S3-04-5000-02</t>
  </si>
  <si>
    <t>S2-05-5000-02</t>
  </si>
  <si>
    <t>S3-05-5000-02</t>
  </si>
  <si>
    <t>S4-06-5000-02</t>
  </si>
  <si>
    <t>S4-07-5000-02</t>
  </si>
  <si>
    <t>S4-08-5000-02</t>
  </si>
  <si>
    <t>S0-13-5000-02</t>
  </si>
  <si>
    <t>S1-13-5000-02</t>
  </si>
  <si>
    <t>S2-13-5000-02</t>
  </si>
  <si>
    <t>S3-13-5000-02</t>
  </si>
  <si>
    <t>S4-13-5000-02</t>
  </si>
  <si>
    <t>9000-01</t>
  </si>
  <si>
    <t>5000-01</t>
  </si>
  <si>
    <t>5000-02</t>
  </si>
  <si>
    <t>Glass transferred from MRFs</t>
  </si>
  <si>
    <t>Bales - medium</t>
  </si>
  <si>
    <t>Bales - far</t>
  </si>
  <si>
    <t>Bales - near</t>
  </si>
  <si>
    <t>Proxy_GroupingI_ID</t>
  </si>
  <si>
    <t>Bale_ID2</t>
  </si>
  <si>
    <t>Cost_Per_Ton-Mile</t>
  </si>
  <si>
    <t>5000-01-S2</t>
  </si>
  <si>
    <t>5000-01-S3</t>
  </si>
  <si>
    <t>Container_Transfer</t>
  </si>
  <si>
    <t>Bale_Transfer</t>
  </si>
  <si>
    <t>S4-04-5000-02</t>
  </si>
  <si>
    <t>Glass and Container Transfer</t>
  </si>
  <si>
    <t>Tons Collected Commingled</t>
  </si>
  <si>
    <t>Tons Collected for Recycling</t>
  </si>
  <si>
    <t>Tons Collected Source-Separated</t>
  </si>
  <si>
    <t>StreamType</t>
  </si>
  <si>
    <t>Tons Marketed (excluding bale contamination)</t>
  </si>
  <si>
    <t>Tons Marketed</t>
  </si>
  <si>
    <t>Disposal Tip Fee 2025</t>
  </si>
  <si>
    <t>Avoided_Disposal2</t>
  </si>
  <si>
    <t>Disposal_Fee</t>
  </si>
  <si>
    <t>Avoided Disposal Tip Fees</t>
  </si>
  <si>
    <t>Gable tops &amp; aseptics</t>
  </si>
  <si>
    <t>PET bottles (BB)</t>
  </si>
  <si>
    <t>HDPE bottles (BB)</t>
  </si>
  <si>
    <t>PP bottles (BB)</t>
  </si>
  <si>
    <t>Other PET bottles &amp; jars</t>
  </si>
  <si>
    <t>HDPE bottles &amp; jars</t>
  </si>
  <si>
    <t>PP bottles &amp; jars</t>
  </si>
  <si>
    <t>PET tubs</t>
  </si>
  <si>
    <t>HDPE tubs</t>
  </si>
  <si>
    <t>PP tubs and small rigids</t>
  </si>
  <si>
    <t>PP rigid products</t>
  </si>
  <si>
    <t>PET thermoforms</t>
  </si>
  <si>
    <t>PP rigid packaging and products</t>
  </si>
  <si>
    <t>Polystyrene foam</t>
  </si>
  <si>
    <t>Solid polystyrene</t>
  </si>
  <si>
    <t>PE film</t>
  </si>
  <si>
    <t>Metal not recoverable at curbside</t>
  </si>
  <si>
    <t>Accepted other compostable</t>
  </si>
  <si>
    <t>Clean wood</t>
  </si>
  <si>
    <t>Other recoverables</t>
  </si>
  <si>
    <t>Paperboard/old boxboard</t>
  </si>
  <si>
    <t>#3-7 bottles and small rigid plastics </t>
  </si>
  <si>
    <t>Containers transferred for further sorting</t>
  </si>
  <si>
    <t>Landfilled residue</t>
  </si>
  <si>
    <t>Grouping 1 OUT OF SCOPE (landfill, organics, other)</t>
  </si>
  <si>
    <t>Grouping 2 OUT OF SCOPE (landfill, organics, other)</t>
  </si>
  <si>
    <t>Grouping 3 OUT OF SCOPE (landfill, organics, other)</t>
  </si>
  <si>
    <t>Grouping 4 OUT OF SCOPE (landfill, organics, other)</t>
  </si>
  <si>
    <t>Bale_Order</t>
  </si>
  <si>
    <t>Bale_Type</t>
  </si>
  <si>
    <t>Cartons</t>
  </si>
  <si>
    <t>Plastics</t>
  </si>
  <si>
    <t>Plastic film</t>
  </si>
  <si>
    <t>Transfer</t>
  </si>
  <si>
    <t>31</t>
  </si>
  <si>
    <t>32</t>
  </si>
  <si>
    <t>Residue</t>
  </si>
  <si>
    <t>StartingGrouping_ID</t>
  </si>
  <si>
    <t>StartingSector_ID</t>
  </si>
  <si>
    <t>Table_DEQ_WIC_Material</t>
  </si>
  <si>
    <t>DEQWICMat_ID</t>
  </si>
  <si>
    <t>DEQWICMat_Name</t>
  </si>
  <si>
    <t>D1111</t>
  </si>
  <si>
    <t>Cardboard</t>
  </si>
  <si>
    <t>D1211</t>
  </si>
  <si>
    <t>Newsprint</t>
  </si>
  <si>
    <t>D1221</t>
  </si>
  <si>
    <t>PrintingWritingPaper</t>
  </si>
  <si>
    <t>D1231</t>
  </si>
  <si>
    <t>D1299</t>
  </si>
  <si>
    <t>PaperFiber</t>
  </si>
  <si>
    <t>S1242</t>
  </si>
  <si>
    <t>GableTopCartons</t>
  </si>
  <si>
    <t>D1243</t>
  </si>
  <si>
    <t>AsepticContainers</t>
  </si>
  <si>
    <t>D1252</t>
  </si>
  <si>
    <t>FreezerBoxes</t>
  </si>
  <si>
    <t>D2001</t>
  </si>
  <si>
    <t>PET</t>
  </si>
  <si>
    <t>D2002</t>
  </si>
  <si>
    <t>HDPE</t>
  </si>
  <si>
    <t>D2004</t>
  </si>
  <si>
    <t>LDPE</t>
  </si>
  <si>
    <t>D2005</t>
  </si>
  <si>
    <t>PP</t>
  </si>
  <si>
    <t>D2006</t>
  </si>
  <si>
    <t>PS</t>
  </si>
  <si>
    <t>D2016</t>
  </si>
  <si>
    <t>EPS</t>
  </si>
  <si>
    <t>D2008</t>
  </si>
  <si>
    <t>RigidPlastic</t>
  </si>
  <si>
    <t>D2009</t>
  </si>
  <si>
    <t>PlasticFilm</t>
  </si>
  <si>
    <t>D3000</t>
  </si>
  <si>
    <t>D4111</t>
  </si>
  <si>
    <t>Aluminum</t>
  </si>
  <si>
    <t>D4231</t>
  </si>
  <si>
    <t>TinnedCan</t>
  </si>
  <si>
    <t>D4241</t>
  </si>
  <si>
    <t>AcceptedOtherSteel</t>
  </si>
  <si>
    <t>D4311</t>
  </si>
  <si>
    <t>ScrapMetal</t>
  </si>
  <si>
    <t>D5121</t>
  </si>
  <si>
    <t>YardDebris</t>
  </si>
  <si>
    <t>D5141</t>
  </si>
  <si>
    <t>Wood</t>
  </si>
  <si>
    <t>D5111</t>
  </si>
  <si>
    <t>FoodWaste</t>
  </si>
  <si>
    <t>D5411</t>
  </si>
  <si>
    <t>Carpeting</t>
  </si>
  <si>
    <t>D5412</t>
  </si>
  <si>
    <t>Electronics</t>
  </si>
  <si>
    <t>D5413</t>
  </si>
  <si>
    <t>Nonrecyclables</t>
  </si>
  <si>
    <t>D5414</t>
  </si>
  <si>
    <t>ScenDef_Matl</t>
  </si>
  <si>
    <t>OCC, MP</t>
  </si>
  <si>
    <t>SCN, SRPN, MP</t>
  </si>
  <si>
    <t>MP</t>
  </si>
  <si>
    <t>Coated paper</t>
  </si>
  <si>
    <t>Not recoverable</t>
  </si>
  <si>
    <t>PET bottles</t>
  </si>
  <si>
    <t>HDPE bottles</t>
  </si>
  <si>
    <t>PP containers</t>
  </si>
  <si>
    <t>3-7s</t>
  </si>
  <si>
    <t>PET thermof</t>
  </si>
  <si>
    <t>Tubs &amp; lids</t>
  </si>
  <si>
    <t>PP containers, Tubs &amp; lids</t>
  </si>
  <si>
    <t>Mixed bulky</t>
  </si>
  <si>
    <t>PS foam</t>
  </si>
  <si>
    <t>PS rigid</t>
  </si>
  <si>
    <t>Other recoverable (out of scope)</t>
  </si>
  <si>
    <t>Clear or color film</t>
  </si>
  <si>
    <t>Sep. glass</t>
  </si>
  <si>
    <t>Alum cans</t>
  </si>
  <si>
    <t>Alum foil</t>
  </si>
  <si>
    <t>Steel cans</t>
  </si>
  <si>
    <t>Scrap metal (acceptable on-route)</t>
  </si>
  <si>
    <t>Scrap metal (not acceptable on-route)</t>
  </si>
  <si>
    <t>Out of scope recovery</t>
  </si>
  <si>
    <t>1 MRF for SS (Salem)</t>
  </si>
  <si>
    <t>5 MRFs for SS with fiber upgrades (Portland)</t>
  </si>
  <si>
    <t>1 MRF for SS with fiber and container upgrades (Portland)</t>
  </si>
  <si>
    <t>1 CRF (BC) or 1 infeed for transferred containers (Portland)</t>
  </si>
  <si>
    <t>5 MRFs for DS fiber (Portland)</t>
  </si>
  <si>
    <t>1 MRF for DS with fiber and container lines (Portland)</t>
  </si>
  <si>
    <t>1 MRF for DS fiber (Salem)</t>
  </si>
  <si>
    <t>Directly marketed (no sorting)</t>
  </si>
  <si>
    <t>Glass 2 Glass (Portland)</t>
  </si>
  <si>
    <t>Baseline (S0)</t>
  </si>
  <si>
    <t>Scenario A: Single-Stream with Modern MRF (S1)</t>
  </si>
  <si>
    <t>Scenario A+: Single-Stream with Modern MRFs and Expanded List (S2)</t>
  </si>
  <si>
    <t>Scenario B: Single-Stream with CRF (S3)</t>
  </si>
  <si>
    <t>Scenario C: Dual-Stream Statewide (S4)</t>
  </si>
  <si>
    <t>Table_DEQ_WIC_Disposition</t>
  </si>
  <si>
    <t>WIC_Disposition_ID</t>
  </si>
  <si>
    <t>WIC_Disposition_Name</t>
  </si>
  <si>
    <t>D001</t>
  </si>
  <si>
    <t>combustion</t>
  </si>
  <si>
    <t>D002</t>
  </si>
  <si>
    <t>landfilling</t>
  </si>
  <si>
    <t>D003</t>
  </si>
  <si>
    <t>production</t>
  </si>
  <si>
    <t>D004</t>
  </si>
  <si>
    <t>recycling</t>
  </si>
  <si>
    <t>D005</t>
  </si>
  <si>
    <t>anaerobicDigestion</t>
  </si>
  <si>
    <t>D006</t>
  </si>
  <si>
    <t>composting</t>
  </si>
  <si>
    <t>D007</t>
  </si>
  <si>
    <t>recyclingPozzolan</t>
  </si>
  <si>
    <t>D008</t>
  </si>
  <si>
    <t>recyclingToFiberglass</t>
  </si>
  <si>
    <t>D009</t>
  </si>
  <si>
    <t>useAsAggregate</t>
  </si>
  <si>
    <t>[ORDEQ-P2T5-DraftScenarioModel_PassingFile_v5.xlsx]ForCostModel</t>
  </si>
  <si>
    <t>Bale Mover</t>
  </si>
  <si>
    <t>This table moves bales to secondary processing (for mixed containers), landfill (for residue), or market (for processed bales). Total_Baled_tons represents the total tons of the bale, including target materials and contamination.</t>
  </si>
  <si>
    <t>A separate table presents the tons of each target material (excluding contamination) in each non-residue bale.</t>
  </si>
  <si>
    <t>[ORDEQ-P2T5-DraftScenarioModel_BALES_v12.xlsx]4-BaleMover</t>
  </si>
  <si>
    <t>Martin Brown for social/environmental impacts (transport)</t>
  </si>
  <si>
    <t>Martin, here are miles from MRF to final disposition (or, for exported bales, to a port)</t>
  </si>
  <si>
    <t>Unfortunately, for collection streams 11 and 12, it double-counts distance to some extent with Transport_Cost</t>
  </si>
  <si>
    <t>Spacer1</t>
  </si>
  <si>
    <t>Spacer2</t>
  </si>
  <si>
    <t>Scenario_MRF_ID</t>
  </si>
  <si>
    <t>MRF_Location_ID</t>
  </si>
  <si>
    <t>Destination_ID</t>
  </si>
  <si>
    <t>MRF_Market_Loc_ID</t>
  </si>
  <si>
    <t>Market_Loc</t>
  </si>
  <si>
    <t>Disposition_ID</t>
  </si>
  <si>
    <t>Disposition_Name</t>
  </si>
  <si>
    <t>Spacer3</t>
  </si>
  <si>
    <t>Check</t>
  </si>
  <si>
    <t>Dupes</t>
  </si>
  <si>
    <t>S0-02</t>
  </si>
  <si>
    <t>SLE</t>
  </si>
  <si>
    <t>SLE-6</t>
  </si>
  <si>
    <t>Springfield, Oregon</t>
  </si>
  <si>
    <t>S1-02</t>
  </si>
  <si>
    <t>S2-02</t>
  </si>
  <si>
    <t>S3-02</t>
  </si>
  <si>
    <t/>
  </si>
  <si>
    <t>SLE-7</t>
  </si>
  <si>
    <t>Tacoma, Washington</t>
  </si>
  <si>
    <t>SLE-5</t>
  </si>
  <si>
    <t>Longview, Washington</t>
  </si>
  <si>
    <t>SLE-13</t>
  </si>
  <si>
    <t>Toledo, Oregon</t>
  </si>
  <si>
    <t>SLE-10</t>
  </si>
  <si>
    <t>Turlock, California</t>
  </si>
  <si>
    <t>SLE-11</t>
  </si>
  <si>
    <t>Los Angeles, California</t>
  </si>
  <si>
    <t>SLE-1</t>
  </si>
  <si>
    <t>Portland, Oregon</t>
  </si>
  <si>
    <t>SLE-8</t>
  </si>
  <si>
    <t>Delta, British Columbia</t>
  </si>
  <si>
    <t>SLE-12</t>
  </si>
  <si>
    <t>Troy, Alabama</t>
  </si>
  <si>
    <t>SLE-2</t>
  </si>
  <si>
    <t>Tigard, Oregon</t>
  </si>
  <si>
    <t>SLE-20</t>
  </si>
  <si>
    <t>McMinnville, Oregon</t>
  </si>
  <si>
    <t>S0-03</t>
  </si>
  <si>
    <t>PDX</t>
  </si>
  <si>
    <t>PDX-5</t>
  </si>
  <si>
    <t>S1-03</t>
  </si>
  <si>
    <t>S2-03</t>
  </si>
  <si>
    <t>S3-03</t>
  </si>
  <si>
    <t>PDX-7</t>
  </si>
  <si>
    <t>PDX-13</t>
  </si>
  <si>
    <t>PDX-10</t>
  </si>
  <si>
    <t>PDX-11</t>
  </si>
  <si>
    <t>PDX-8</t>
  </si>
  <si>
    <t>PDX-1</t>
  </si>
  <si>
    <t>PDX-12</t>
  </si>
  <si>
    <t>PDX-2</t>
  </si>
  <si>
    <t>PDX-20</t>
  </si>
  <si>
    <t>S0-04</t>
  </si>
  <si>
    <t>S1-04</t>
  </si>
  <si>
    <t>S2-04</t>
  </si>
  <si>
    <t>S3-04</t>
  </si>
  <si>
    <t>S2-05</t>
  </si>
  <si>
    <t>S3-05</t>
  </si>
  <si>
    <t>BC</t>
  </si>
  <si>
    <t>BC-14</t>
  </si>
  <si>
    <t>Paperboard Mill in BC for mix paper</t>
  </si>
  <si>
    <t>BC-18</t>
  </si>
  <si>
    <t>Vancouver, British Columbia</t>
  </si>
  <si>
    <t>BC-13</t>
  </si>
  <si>
    <t>BC-15</t>
  </si>
  <si>
    <t>Calgary, Alberta</t>
  </si>
  <si>
    <t>BC-8</t>
  </si>
  <si>
    <t>BC-12</t>
  </si>
  <si>
    <t>BC-2</t>
  </si>
  <si>
    <t>BC-19</t>
  </si>
  <si>
    <t>Glass in BC</t>
  </si>
  <si>
    <t>BC-11</t>
  </si>
  <si>
    <t>BC-17</t>
  </si>
  <si>
    <t>Scrap metal smelter in BC</t>
  </si>
  <si>
    <t>S4-06</t>
  </si>
  <si>
    <t>PDX-3</t>
  </si>
  <si>
    <t>Warren, Oregon</t>
  </si>
  <si>
    <t>S4-07</t>
  </si>
  <si>
    <t>S4-08</t>
  </si>
  <si>
    <t>SLE-3</t>
  </si>
  <si>
    <t>S0-13</t>
  </si>
  <si>
    <t>S1-13</t>
  </si>
  <si>
    <t>S2-13</t>
  </si>
  <si>
    <t>S3-13</t>
  </si>
  <si>
    <t>S4-13</t>
  </si>
  <si>
    <t>S0-14</t>
  </si>
  <si>
    <t>PDX-99</t>
  </si>
  <si>
    <t>No movement</t>
  </si>
  <si>
    <t>S1-14</t>
  </si>
  <si>
    <t>S2-14</t>
  </si>
  <si>
    <t>S3-14</t>
  </si>
  <si>
    <t>S4-14</t>
  </si>
  <si>
    <t>SLE-4</t>
  </si>
  <si>
    <t>Salem, Oregon</t>
  </si>
  <si>
    <t>SLE-9</t>
  </si>
  <si>
    <t>New Westminster, British Columbia</t>
  </si>
  <si>
    <t>PDX-9</t>
  </si>
  <si>
    <t>S4-04</t>
  </si>
  <si>
    <t>Materials that successfully reach markets (excluding contamination in bales).</t>
  </si>
  <si>
    <t>This table summarizes the properly baled materials that reach markets.</t>
  </si>
  <si>
    <t>[ORDEQ-P2T5-DraftScenarioModel_BALES_v12.xlsx]5-BalesTargeted</t>
  </si>
  <si>
    <t>Martin Brown for social/environmental impacts (materials and end-markets)</t>
  </si>
  <si>
    <t>Properly baled is tons of materials that made it to the intended end-market (e.g., cardboard in cardboard or mixed paper bales).</t>
  </si>
  <si>
    <t>Properly Baled Tons excludes cross-contamination in bales (e.g., cardboard in PET bales).</t>
  </si>
  <si>
    <t>Submaterial_ID</t>
  </si>
  <si>
    <t>Submaterial_Name</t>
  </si>
  <si>
    <t>Bale_SubMatl_ID</t>
  </si>
  <si>
    <t>Properly_Baled_Tons</t>
  </si>
  <si>
    <t>Scenario-MRF_Total</t>
  </si>
  <si>
    <t>1000-01-1111</t>
  </si>
  <si>
    <t>1000-01-1231</t>
  </si>
  <si>
    <t>1000-02-1211</t>
  </si>
  <si>
    <t>1000-03-1211</t>
  </si>
  <si>
    <t>1000-03-1221</t>
  </si>
  <si>
    <t>1000-03-1222</t>
  </si>
  <si>
    <t>TBD</t>
  </si>
  <si>
    <t>1000-04-1221</t>
  </si>
  <si>
    <t>1000-05-1111</t>
  </si>
  <si>
    <t>1000-05-1211</t>
  </si>
  <si>
    <t>1000-05-1221</t>
  </si>
  <si>
    <t>1000-05-1222</t>
  </si>
  <si>
    <t>1000-05-1231</t>
  </si>
  <si>
    <t>1000-05-1232</t>
  </si>
  <si>
    <t>1000-05-1241</t>
  </si>
  <si>
    <t>1000-05-1251</t>
  </si>
  <si>
    <t>1000-06-1111</t>
  </si>
  <si>
    <t>1000-06-1231</t>
  </si>
  <si>
    <t>1000-07-1241</t>
  </si>
  <si>
    <t>1000-08-1241</t>
  </si>
  <si>
    <t>1000-08-1251</t>
  </si>
  <si>
    <t>2000-01-2111</t>
  </si>
  <si>
    <t>2000-01-2121</t>
  </si>
  <si>
    <t>2000-01-2131</t>
  </si>
  <si>
    <t>2000-01-2211</t>
  </si>
  <si>
    <t>2000-02-2111</t>
  </si>
  <si>
    <t>2000-02-2121</t>
  </si>
  <si>
    <t>2000-02-2131</t>
  </si>
  <si>
    <t>2000-02-2211</t>
  </si>
  <si>
    <t>2000-03-2112</t>
  </si>
  <si>
    <t>2000-03-2122</t>
  </si>
  <si>
    <t>2000-04-2112</t>
  </si>
  <si>
    <t>2000-04-2122</t>
  </si>
  <si>
    <t>2000-05-2132</t>
  </si>
  <si>
    <t>2000-07-2311</t>
  </si>
  <si>
    <t>2000-08-2311</t>
  </si>
  <si>
    <t>2000-09-2311</t>
  </si>
  <si>
    <t>2000-09-2312</t>
  </si>
  <si>
    <t>2000-10-2141</t>
  </si>
  <si>
    <t>2000-10-2142</t>
  </si>
  <si>
    <t>2000-11-2113</t>
  </si>
  <si>
    <t>2000-11-2123</t>
  </si>
  <si>
    <t>2000-13-2133</t>
  </si>
  <si>
    <t>2000-13-2141</t>
  </si>
  <si>
    <t>2000-13-2221</t>
  </si>
  <si>
    <t>2000-14-2223</t>
  </si>
  <si>
    <t>D010</t>
  </si>
  <si>
    <t>2000-16-2222</t>
  </si>
  <si>
    <t>2000-17-2222</t>
  </si>
  <si>
    <t>2000-18-2131</t>
  </si>
  <si>
    <t>2000-18-2132</t>
  </si>
  <si>
    <t>2000-18-2133</t>
  </si>
  <si>
    <t>2000-18-2134</t>
  </si>
  <si>
    <t>2000-18-2141</t>
  </si>
  <si>
    <t>2000-18-2211</t>
  </si>
  <si>
    <t>2000-18-2221</t>
  </si>
  <si>
    <t>3000-01-3111</t>
  </si>
  <si>
    <t>3000-01-3121</t>
  </si>
  <si>
    <t>4000-01-4111</t>
  </si>
  <si>
    <t>4000-01-4121</t>
  </si>
  <si>
    <t>4000-02-4231</t>
  </si>
  <si>
    <t>4000-02-4241</t>
  </si>
  <si>
    <t>4000-02-4311</t>
  </si>
  <si>
    <t>4000-03-4231</t>
  </si>
  <si>
    <t>4000-03-4241</t>
  </si>
  <si>
    <t>4000-03-4311</t>
  </si>
  <si>
    <t>Chemical recycling</t>
  </si>
  <si>
    <t>Baled tons excludes landfill residue, glass, and transferred containers</t>
  </si>
  <si>
    <t>Containers_Transferred_Loose</t>
  </si>
  <si>
    <t>[ORDEQ-P2T5-DraftScenarioModel_BALES_v12.xlsx]MRF_Summary</t>
  </si>
  <si>
    <t>[ORDEQ-P2T5-DraftScenarioModel_TONS_v12.xlsx]Trans_TonsCalcs</t>
  </si>
  <si>
    <t>End paste here</t>
  </si>
  <si>
    <t>Freq</t>
  </si>
  <si>
    <t>On-Route Single-Family Residential (weekly)</t>
  </si>
  <si>
    <t>On-Route Single-Family Residential (not weekly)</t>
  </si>
  <si>
    <t>On-Route Multifamily Residential Customers</t>
  </si>
  <si>
    <t>On-Route Commercial Customers</t>
  </si>
  <si>
    <t>Third, tons are calculated using the new capture rates (S21tons through S4 tons). Finally, percentage compositions by submaterial are created for each grouping-stream (S0pctComp to S4pctComp) to be used on the MRF_Tons tab.</t>
  </si>
  <si>
    <t>[ORDEQ-P2T5-DraftScenarioModel_TONS_v12.xlsx]ScenarioTonsCalcs</t>
  </si>
  <si>
    <t>Destination 1</t>
  </si>
  <si>
    <t>[ORDEQ-P2T5-DraftScenarioModel_BALES_v11.xlsx]ScenarioTonsCalcs</t>
  </si>
  <si>
    <t>Destination 2</t>
  </si>
  <si>
    <t>[ORDEQ-P2T5-DraftScenarioModel_COST_v8.xlsx]ScenarioTonsCalcs</t>
  </si>
  <si>
    <t>Generation_ID</t>
  </si>
  <si>
    <t>Group-Sector-Stream_ID</t>
  </si>
  <si>
    <t>Group-Sector_ID</t>
  </si>
  <si>
    <t>Spacer</t>
  </si>
  <si>
    <t>Reporting_ID2</t>
  </si>
  <si>
    <t>Validity</t>
  </si>
  <si>
    <t>ProxySubMaterial_ID</t>
  </si>
  <si>
    <t>Proxy1</t>
  </si>
  <si>
    <t>Proxy1Pct</t>
  </si>
  <si>
    <t>Proxy2</t>
  </si>
  <si>
    <t>Proxy2pct</t>
  </si>
  <si>
    <t>Acc-S1</t>
  </si>
  <si>
    <t>Acc-S2S3</t>
  </si>
  <si>
    <t>Acc-S4</t>
  </si>
  <si>
    <t>Acc-S5</t>
  </si>
  <si>
    <t>Acc-S6</t>
  </si>
  <si>
    <t>S0pctCap</t>
  </si>
  <si>
    <t>S0pctComp</t>
  </si>
  <si>
    <t>S1pctCap</t>
  </si>
  <si>
    <t>S1pctComp</t>
  </si>
  <si>
    <t>S2pctCap</t>
  </si>
  <si>
    <t>S2pctComp</t>
  </si>
  <si>
    <t>S3pctCap</t>
  </si>
  <si>
    <t>S3pctComp</t>
  </si>
  <si>
    <t>S4pctCap</t>
  </si>
  <si>
    <t>S4pctComp</t>
  </si>
  <si>
    <t>S5tons</t>
  </si>
  <si>
    <t>S5pctCap</t>
  </si>
  <si>
    <t>S5pctComp</t>
  </si>
  <si>
    <t>S6tons</t>
  </si>
  <si>
    <t>S6pctCap</t>
  </si>
  <si>
    <t>S6pctComp</t>
  </si>
  <si>
    <t>IN-SCOPE</t>
  </si>
  <si>
    <t>1111-1-1-2025</t>
  </si>
  <si>
    <t>1-1-01</t>
  </si>
  <si>
    <t>1-1</t>
  </si>
  <si>
    <t>Core Recoverable</t>
  </si>
  <si>
    <t>Yes</t>
  </si>
  <si>
    <t>DNE</t>
  </si>
  <si>
    <t>1111-2-1-2025</t>
  </si>
  <si>
    <t>2-1-01</t>
  </si>
  <si>
    <t>2-1</t>
  </si>
  <si>
    <t>1111-3-1-2025</t>
  </si>
  <si>
    <t>3-1-01</t>
  </si>
  <si>
    <t>3-1</t>
  </si>
  <si>
    <t>1111-4-1-2025</t>
  </si>
  <si>
    <t>4-1-01</t>
  </si>
  <si>
    <t>4-1</t>
  </si>
  <si>
    <t>Yes Carry forward</t>
  </si>
  <si>
    <t>1-1-03</t>
  </si>
  <si>
    <t>NA - Garbage</t>
  </si>
  <si>
    <t>2-1-03</t>
  </si>
  <si>
    <t>3-1-03</t>
  </si>
  <si>
    <t>4-1-03</t>
  </si>
  <si>
    <t>1-1-09</t>
  </si>
  <si>
    <t>2-1-09</t>
  </si>
  <si>
    <t>3-1-09</t>
  </si>
  <si>
    <t>4-1-09</t>
  </si>
  <si>
    <t>1-1-10</t>
  </si>
  <si>
    <t>Core Recoverable - Wrong Stream</t>
  </si>
  <si>
    <t>Wrong Stream</t>
  </si>
  <si>
    <t>2-1-10</t>
  </si>
  <si>
    <t>3-1-10</t>
  </si>
  <si>
    <t>4-1-10</t>
  </si>
  <si>
    <t>1111-1-2-2025</t>
  </si>
  <si>
    <t>1-2-01</t>
  </si>
  <si>
    <t>1-2</t>
  </si>
  <si>
    <t>1111-2-2-2025</t>
  </si>
  <si>
    <t>2-2-01</t>
  </si>
  <si>
    <t>2-2</t>
  </si>
  <si>
    <t>1111-3-2-2025</t>
  </si>
  <si>
    <t>3-2-01</t>
  </si>
  <si>
    <t>3-2</t>
  </si>
  <si>
    <t>1111-4-2-2025</t>
  </si>
  <si>
    <t>4-2-01</t>
  </si>
  <si>
    <t>4-2</t>
  </si>
  <si>
    <t>1-2-03</t>
  </si>
  <si>
    <t>2-2-03</t>
  </si>
  <si>
    <t>3-2-03</t>
  </si>
  <si>
    <t>4-2-03</t>
  </si>
  <si>
    <t>1-2-09</t>
  </si>
  <si>
    <t>2-2-09</t>
  </si>
  <si>
    <t>3-2-09</t>
  </si>
  <si>
    <t>4-2-09</t>
  </si>
  <si>
    <t>1-2-10</t>
  </si>
  <si>
    <t>2-2-10</t>
  </si>
  <si>
    <t>3-2-10</t>
  </si>
  <si>
    <t>4-2-10</t>
  </si>
  <si>
    <t>1-2-12</t>
  </si>
  <si>
    <t>2-2-12</t>
  </si>
  <si>
    <t>3-2-12</t>
  </si>
  <si>
    <t>4-2-12</t>
  </si>
  <si>
    <t>1111-1-3-2025</t>
  </si>
  <si>
    <t>1-3-01</t>
  </si>
  <si>
    <t>1-3</t>
  </si>
  <si>
    <t>1111-2-3-2025</t>
  </si>
  <si>
    <t>2-3-01</t>
  </si>
  <si>
    <t>2-3</t>
  </si>
  <si>
    <t>1111-3-3-2025</t>
  </si>
  <si>
    <t>3-3-01</t>
  </si>
  <si>
    <t>3-3</t>
  </si>
  <si>
    <t>1111-4-3-2025</t>
  </si>
  <si>
    <t>4-3-01</t>
  </si>
  <si>
    <t>4-3</t>
  </si>
  <si>
    <t>1-3-03</t>
  </si>
  <si>
    <t>2-3-03</t>
  </si>
  <si>
    <t>3-3-03</t>
  </si>
  <si>
    <t>4-3-03</t>
  </si>
  <si>
    <t>1-3-09</t>
  </si>
  <si>
    <t>2-3-09</t>
  </si>
  <si>
    <t>3-3-09</t>
  </si>
  <si>
    <t>4-3-09</t>
  </si>
  <si>
    <t>1-3-10</t>
  </si>
  <si>
    <t>2-3-10</t>
  </si>
  <si>
    <t>3-3-10</t>
  </si>
  <si>
    <t>4-3-10</t>
  </si>
  <si>
    <t>1-3-12</t>
  </si>
  <si>
    <t>2-3-12</t>
  </si>
  <si>
    <t>3-3-12</t>
  </si>
  <si>
    <t>4-3-12</t>
  </si>
  <si>
    <t>1111-1-4-2025</t>
  </si>
  <si>
    <t>1-4-01</t>
  </si>
  <si>
    <t>1111-2-4-2025</t>
  </si>
  <si>
    <t>2-4-01</t>
  </si>
  <si>
    <t>1111-3-4-2025</t>
  </si>
  <si>
    <t>3-4-01</t>
  </si>
  <si>
    <t>1111-4-4-2025</t>
  </si>
  <si>
    <t>4-4-01</t>
  </si>
  <si>
    <t>1-4-03</t>
  </si>
  <si>
    <t>2-4-03</t>
  </si>
  <si>
    <t>3-4-03</t>
  </si>
  <si>
    <t>4-4-03</t>
  </si>
  <si>
    <t>1-4-09</t>
  </si>
  <si>
    <t>2-4-09</t>
  </si>
  <si>
    <t>3-4-09</t>
  </si>
  <si>
    <t>4-4-09</t>
  </si>
  <si>
    <t>1-4-10</t>
  </si>
  <si>
    <t>2-4-10</t>
  </si>
  <si>
    <t>3-4-10</t>
  </si>
  <si>
    <t>4-4-10</t>
  </si>
  <si>
    <t>1-4-12</t>
  </si>
  <si>
    <t>2-4-12</t>
  </si>
  <si>
    <t>3-4-12</t>
  </si>
  <si>
    <t>4-4-12</t>
  </si>
  <si>
    <t>1111-1-5-2025</t>
  </si>
  <si>
    <t>1-5-13</t>
  </si>
  <si>
    <t>1-5</t>
  </si>
  <si>
    <t>NA - BB or Other COM</t>
  </si>
  <si>
    <t>1111-2-5-2025</t>
  </si>
  <si>
    <t>2-5-13</t>
  </si>
  <si>
    <t>2-5</t>
  </si>
  <si>
    <t>1111-3-5-2025</t>
  </si>
  <si>
    <t>3-5-13</t>
  </si>
  <si>
    <t>3-5</t>
  </si>
  <si>
    <t>1111-4-5-2025</t>
  </si>
  <si>
    <t>4-5-13</t>
  </si>
  <si>
    <t>4-5</t>
  </si>
  <si>
    <t>1111-1-6-2025</t>
  </si>
  <si>
    <t>1-6-13</t>
  </si>
  <si>
    <t>1-6</t>
  </si>
  <si>
    <t>1111-2-6-2025</t>
  </si>
  <si>
    <t>2-6-13</t>
  </si>
  <si>
    <t>2-6</t>
  </si>
  <si>
    <t>1111-3-6-2025</t>
  </si>
  <si>
    <t>3-6-13</t>
  </si>
  <si>
    <t>3-6</t>
  </si>
  <si>
    <t>1111-4-6-2025</t>
  </si>
  <si>
    <t>4-6-13</t>
  </si>
  <si>
    <t>4-6</t>
  </si>
  <si>
    <t>1211-1-1-2025</t>
  </si>
  <si>
    <t>1211-2-1-2025</t>
  </si>
  <si>
    <t>1211-3-1-2025</t>
  </si>
  <si>
    <t>1211-4-1-2025</t>
  </si>
  <si>
    <t>1211-1-2-2025</t>
  </si>
  <si>
    <t>1211-2-2-2025</t>
  </si>
  <si>
    <t>1211-3-2-2025</t>
  </si>
  <si>
    <t>1211-4-2-2025</t>
  </si>
  <si>
    <t>1211-1-3-2025</t>
  </si>
  <si>
    <t>1211-2-3-2025</t>
  </si>
  <si>
    <t>1211-3-3-2025</t>
  </si>
  <si>
    <t>1211-4-3-2025</t>
  </si>
  <si>
    <t>1211-1-4-2025</t>
  </si>
  <si>
    <t>1211-2-4-2025</t>
  </si>
  <si>
    <t>1211-3-4-2025</t>
  </si>
  <si>
    <t>1211-4-4-2025</t>
  </si>
  <si>
    <t>1211-1-5-2025</t>
  </si>
  <si>
    <t>1211-2-5-2025</t>
  </si>
  <si>
    <t>1211-3-5-2025</t>
  </si>
  <si>
    <t>1211-4-5-2025</t>
  </si>
  <si>
    <t>1221-1-1-2025</t>
  </si>
  <si>
    <t>1221-2-1-2025</t>
  </si>
  <si>
    <t>1221-3-1-2025</t>
  </si>
  <si>
    <t>1221-4-1-2025</t>
  </si>
  <si>
    <t>1221-1-2-2025</t>
  </si>
  <si>
    <t>1221-2-2-2025</t>
  </si>
  <si>
    <t>1221-3-2-2025</t>
  </si>
  <si>
    <t>1221-4-2-2025</t>
  </si>
  <si>
    <t>1221-1-3-2025</t>
  </si>
  <si>
    <t>1221-2-3-2025</t>
  </si>
  <si>
    <t>1221-3-3-2025</t>
  </si>
  <si>
    <t>1221-4-3-2025</t>
  </si>
  <si>
    <t>1221-1-4-2025</t>
  </si>
  <si>
    <t>1221-2-4-2025</t>
  </si>
  <si>
    <t>1221-3-4-2025</t>
  </si>
  <si>
    <t>1221-4-4-2025</t>
  </si>
  <si>
    <t>1221-1-5-2025</t>
  </si>
  <si>
    <t>1221-2-5-2025</t>
  </si>
  <si>
    <t>1221-3-5-2025</t>
  </si>
  <si>
    <t>1221-4-5-2025</t>
  </si>
  <si>
    <t>1222-1-1-2025</t>
  </si>
  <si>
    <t>Other Recoverable</t>
  </si>
  <si>
    <t>1222-2-1-2025</t>
  </si>
  <si>
    <t>1222-3-1-2025</t>
  </si>
  <si>
    <t>1222-4-1-2025</t>
  </si>
  <si>
    <t>Other Recoverable - Wrong Stream</t>
  </si>
  <si>
    <t>1222-1-2-2025</t>
  </si>
  <si>
    <t>1222-2-2-2025</t>
  </si>
  <si>
    <t>1222-3-2-2025</t>
  </si>
  <si>
    <t>1222-4-2-2025</t>
  </si>
  <si>
    <t>1222-1-3-2025</t>
  </si>
  <si>
    <t>1222-2-3-2025</t>
  </si>
  <si>
    <t>1222-3-3-2025</t>
  </si>
  <si>
    <t>1222-4-3-2025</t>
  </si>
  <si>
    <t>1222-1-4-2025</t>
  </si>
  <si>
    <t>1222-2-4-2025</t>
  </si>
  <si>
    <t>1222-3-4-2025</t>
  </si>
  <si>
    <t>1222-4-4-2025</t>
  </si>
  <si>
    <t>1222-1-5-2025</t>
  </si>
  <si>
    <t>1222-2-5-2025</t>
  </si>
  <si>
    <t>1222-3-5-2025</t>
  </si>
  <si>
    <t>1222-4-5-2025</t>
  </si>
  <si>
    <t>1231-1-1-2025</t>
  </si>
  <si>
    <t>1231-2-1-2025</t>
  </si>
  <si>
    <t>1231-3-1-2025</t>
  </si>
  <si>
    <t>1231-4-1-2025</t>
  </si>
  <si>
    <t>1231-1-2-2025</t>
  </si>
  <si>
    <t>1231-2-2-2025</t>
  </si>
  <si>
    <t>1231-3-2-2025</t>
  </si>
  <si>
    <t>1231-4-2-2025</t>
  </si>
  <si>
    <t>1231-1-3-2025</t>
  </si>
  <si>
    <t>1231-2-3-2025</t>
  </si>
  <si>
    <t>1231-3-3-2025</t>
  </si>
  <si>
    <t>1231-4-3-2025</t>
  </si>
  <si>
    <t>1231-1-4-2025</t>
  </si>
  <si>
    <t>1231-2-4-2025</t>
  </si>
  <si>
    <t>1231-3-4-2025</t>
  </si>
  <si>
    <t>1231-4-4-2025</t>
  </si>
  <si>
    <t>1231-1-5-2025</t>
  </si>
  <si>
    <t>1231-2-5-2025</t>
  </si>
  <si>
    <t>1231-3-5-2025</t>
  </si>
  <si>
    <t>1231-4-5-2025</t>
  </si>
  <si>
    <t>1232-1-1-2025</t>
  </si>
  <si>
    <t>1232-2-1-2025</t>
  </si>
  <si>
    <t>1232-3-1-2025</t>
  </si>
  <si>
    <t>1232-4-1-2025</t>
  </si>
  <si>
    <t>1232-1-2-2025</t>
  </si>
  <si>
    <t>1232-2-2-2025</t>
  </si>
  <si>
    <t>1232-3-2-2025</t>
  </si>
  <si>
    <t>1232-4-2-2025</t>
  </si>
  <si>
    <t>1232-1-3-2025</t>
  </si>
  <si>
    <t>1232-2-3-2025</t>
  </si>
  <si>
    <t>1232-3-3-2025</t>
  </si>
  <si>
    <t>1232-4-3-2025</t>
  </si>
  <si>
    <t>1232-1-4-2025</t>
  </si>
  <si>
    <t>1232-2-4-2025</t>
  </si>
  <si>
    <t>1232-3-4-2025</t>
  </si>
  <si>
    <t>1232-4-4-2025</t>
  </si>
  <si>
    <t>1232-1-5-2025</t>
  </si>
  <si>
    <t>1232-2-5-2025</t>
  </si>
  <si>
    <t>1232-3-5-2025</t>
  </si>
  <si>
    <t>1232-4-5-2025</t>
  </si>
  <si>
    <t>1241-1-1-2025</t>
  </si>
  <si>
    <t>1241-2-1-2025</t>
  </si>
  <si>
    <t>No</t>
  </si>
  <si>
    <t>1241-3-1-2025</t>
  </si>
  <si>
    <t>1241-4-1-2025</t>
  </si>
  <si>
    <t>1241-1-2-2025</t>
  </si>
  <si>
    <t>1241-2-2-2025</t>
  </si>
  <si>
    <t>1241-3-2-2025</t>
  </si>
  <si>
    <t>1241-4-2-2025</t>
  </si>
  <si>
    <t>1241-1-3-2025</t>
  </si>
  <si>
    <t>1241-2-3-2025</t>
  </si>
  <si>
    <t>1241-3-3-2025</t>
  </si>
  <si>
    <t>1241-4-3-2025</t>
  </si>
  <si>
    <t>1241-1-4-2025</t>
  </si>
  <si>
    <t>1241-2-4-2025</t>
  </si>
  <si>
    <t>1241-3-4-2025</t>
  </si>
  <si>
    <t>1241-4-4-2025</t>
  </si>
  <si>
    <t>1241-1-5-2025</t>
  </si>
  <si>
    <t>1241-2-5-2025</t>
  </si>
  <si>
    <t>1241-3-5-2025</t>
  </si>
  <si>
    <t>1241-4-5-2025</t>
  </si>
  <si>
    <t>1241-1-6-2025</t>
  </si>
  <si>
    <t>1241-2-6-2025</t>
  </si>
  <si>
    <t>1241-3-6-2025</t>
  </si>
  <si>
    <t>1241-4-6-2025</t>
  </si>
  <si>
    <t>1251-1-1-2025</t>
  </si>
  <si>
    <t>Edge Recoverable</t>
  </si>
  <si>
    <t>1251-2-1-2025</t>
  </si>
  <si>
    <t>1251-3-1-2025</t>
  </si>
  <si>
    <t>1251-4-1-2025</t>
  </si>
  <si>
    <t>Edge Recoverable - Wrong Stream</t>
  </si>
  <si>
    <t>1251-1-2-2025</t>
  </si>
  <si>
    <t>1251-2-2-2025</t>
  </si>
  <si>
    <t>1251-3-2-2025</t>
  </si>
  <si>
    <t>1251-4-2-2025</t>
  </si>
  <si>
    <t>1251-1-3-2025</t>
  </si>
  <si>
    <t>1251-2-3-2025</t>
  </si>
  <si>
    <t>1251-3-3-2025</t>
  </si>
  <si>
    <t>1251-4-3-2025</t>
  </si>
  <si>
    <t>1251-1-4-2025</t>
  </si>
  <si>
    <t>1251-2-4-2025</t>
  </si>
  <si>
    <t>1251-3-4-2025</t>
  </si>
  <si>
    <t>1251-4-4-2025</t>
  </si>
  <si>
    <t>1251-1-5-2025</t>
  </si>
  <si>
    <t>1251-2-5-2025</t>
  </si>
  <si>
    <t>1251-3-5-2025</t>
  </si>
  <si>
    <t>1251-4-5-2025</t>
  </si>
  <si>
    <t>1251-1-6-2025</t>
  </si>
  <si>
    <t>1251-2-6-2025</t>
  </si>
  <si>
    <t>1251-3-6-2025</t>
  </si>
  <si>
    <t>1251-4-6-2025</t>
  </si>
  <si>
    <t>1311-1-1-2025</t>
  </si>
  <si>
    <t>Always contamination</t>
  </si>
  <si>
    <t>No - Never</t>
  </si>
  <si>
    <t>1311-2-1-2025</t>
  </si>
  <si>
    <t>1311-3-1-2025</t>
  </si>
  <si>
    <t>1311-4-1-2025</t>
  </si>
  <si>
    <t>1311-1-2-2025</t>
  </si>
  <si>
    <t>1311-2-2-2025</t>
  </si>
  <si>
    <t>1311-3-2-2025</t>
  </si>
  <si>
    <t>1311-4-2-2025</t>
  </si>
  <si>
    <t>1311-1-3-2025</t>
  </si>
  <si>
    <t>1311-2-3-2025</t>
  </si>
  <si>
    <t>1311-3-3-2025</t>
  </si>
  <si>
    <t>1311-4-3-2025</t>
  </si>
  <si>
    <t>1311-1-4-2025</t>
  </si>
  <si>
    <t>1311-2-4-2025</t>
  </si>
  <si>
    <t>1311-3-4-2025</t>
  </si>
  <si>
    <t>1311-4-4-2025</t>
  </si>
  <si>
    <t>1-4-04</t>
  </si>
  <si>
    <t>Out of Scope Organics</t>
  </si>
  <si>
    <t>2-4-04</t>
  </si>
  <si>
    <t>3-4-04</t>
  </si>
  <si>
    <t>4-4-04</t>
  </si>
  <si>
    <t>1311-1-5-2025</t>
  </si>
  <si>
    <t>1311-2-5-2025</t>
  </si>
  <si>
    <t>1311-3-5-2025</t>
  </si>
  <si>
    <t>1311-4-5-2025</t>
  </si>
  <si>
    <t>1411-1-1-2025</t>
  </si>
  <si>
    <t>1411-2-1-2025</t>
  </si>
  <si>
    <t>1411-3-1-2025</t>
  </si>
  <si>
    <t>1411-4-1-2025</t>
  </si>
  <si>
    <t>1411-1-2-2025</t>
  </si>
  <si>
    <t>1411-2-2-2025</t>
  </si>
  <si>
    <t>1411-3-2-2025</t>
  </si>
  <si>
    <t>1411-4-2-2025</t>
  </si>
  <si>
    <t>1411-1-3-2025</t>
  </si>
  <si>
    <t>1411-2-3-2025</t>
  </si>
  <si>
    <t>1411-3-3-2025</t>
  </si>
  <si>
    <t>1411-4-3-2025</t>
  </si>
  <si>
    <t>1411-1-4-2025</t>
  </si>
  <si>
    <t>1411-2-4-2025</t>
  </si>
  <si>
    <t>1411-3-4-2025</t>
  </si>
  <si>
    <t>1411-4-4-2025</t>
  </si>
  <si>
    <t>1411-1-5-2025</t>
  </si>
  <si>
    <t>1411-2-5-2025</t>
  </si>
  <si>
    <t>1411-3-5-2025</t>
  </si>
  <si>
    <t>1411-4-5-2025</t>
  </si>
  <si>
    <t>2111-1-1-2025</t>
  </si>
  <si>
    <t>2111-2-1-2025</t>
  </si>
  <si>
    <t>2111-3-1-2025</t>
  </si>
  <si>
    <t>2111-4-1-2025</t>
  </si>
  <si>
    <t>2111-1-2-2025</t>
  </si>
  <si>
    <t>2111-2-2-2025</t>
  </si>
  <si>
    <t>2111-3-2-2025</t>
  </si>
  <si>
    <t>2111-4-2-2025</t>
  </si>
  <si>
    <t>2111-1-3-2025</t>
  </si>
  <si>
    <t>2111-2-3-2025</t>
  </si>
  <si>
    <t>2111-3-3-2025</t>
  </si>
  <si>
    <t>2111-4-3-2025</t>
  </si>
  <si>
    <t>2111-1-4-2025</t>
  </si>
  <si>
    <t>2111-2-4-2025</t>
  </si>
  <si>
    <t>2111-3-4-2025</t>
  </si>
  <si>
    <t>2111-4-4-2025</t>
  </si>
  <si>
    <t>2111-1-5-2025</t>
  </si>
  <si>
    <t>2111-2-5-2025</t>
  </si>
  <si>
    <t>2111-3-5-2025</t>
  </si>
  <si>
    <t>2111-4-5-2025</t>
  </si>
  <si>
    <t>2111-1-6-2025</t>
  </si>
  <si>
    <t>2111-2-6-2025</t>
  </si>
  <si>
    <t>2111-3-6-2025</t>
  </si>
  <si>
    <t>2111-4-6-2025</t>
  </si>
  <si>
    <t>2112-1-1-2025</t>
  </si>
  <si>
    <t>2112-2-1-2025</t>
  </si>
  <si>
    <t>2112-3-1-2025</t>
  </si>
  <si>
    <t>2112-4-1-2025</t>
  </si>
  <si>
    <t>2112-1-2-2025</t>
  </si>
  <si>
    <t>2112-2-2-2025</t>
  </si>
  <si>
    <t>2112-3-2-2025</t>
  </si>
  <si>
    <t>2112-4-2-2025</t>
  </si>
  <si>
    <t>2112-1-3-2025</t>
  </si>
  <si>
    <t>2112-2-3-2025</t>
  </si>
  <si>
    <t>2112-3-3-2025</t>
  </si>
  <si>
    <t>2112-4-3-2025</t>
  </si>
  <si>
    <t>2112-1-4-2025</t>
  </si>
  <si>
    <t>2112-2-4-2025</t>
  </si>
  <si>
    <t>2112-3-4-2025</t>
  </si>
  <si>
    <t>2112-4-4-2025</t>
  </si>
  <si>
    <t>2112-1-5-2025</t>
  </si>
  <si>
    <t>2112-2-5-2025</t>
  </si>
  <si>
    <t>2112-3-5-2025</t>
  </si>
  <si>
    <t>2112-4-5-2025</t>
  </si>
  <si>
    <t>2112-1-6-2025</t>
  </si>
  <si>
    <t>2112-2-6-2025</t>
  </si>
  <si>
    <t>2112-3-6-2025</t>
  </si>
  <si>
    <t>2112-4-6-2025</t>
  </si>
  <si>
    <t>2113-1-1-2025</t>
  </si>
  <si>
    <t>2113-2-1-2025</t>
  </si>
  <si>
    <t>2113-3-1-2025</t>
  </si>
  <si>
    <t>2113-4-1-2025</t>
  </si>
  <si>
    <t>2113-1-2-2025</t>
  </si>
  <si>
    <t>2113-2-2-2025</t>
  </si>
  <si>
    <t>2113-3-2-2025</t>
  </si>
  <si>
    <t>2113-4-2-2025</t>
  </si>
  <si>
    <t>2113-1-3-2025</t>
  </si>
  <si>
    <t>2113-2-3-2025</t>
  </si>
  <si>
    <t>2113-3-3-2025</t>
  </si>
  <si>
    <t>2113-4-3-2025</t>
  </si>
  <si>
    <t>2113-1-4-2025</t>
  </si>
  <si>
    <t>2113-2-4-2025</t>
  </si>
  <si>
    <t>2113-3-4-2025</t>
  </si>
  <si>
    <t>2113-4-4-2025</t>
  </si>
  <si>
    <t>2113-1-5-2025</t>
  </si>
  <si>
    <t>2113-2-5-2025</t>
  </si>
  <si>
    <t>2113-3-5-2025</t>
  </si>
  <si>
    <t>2113-4-5-2025</t>
  </si>
  <si>
    <t>2113-1-6-2025</t>
  </si>
  <si>
    <t>2113-2-6-2025</t>
  </si>
  <si>
    <t>2113-3-6-2025</t>
  </si>
  <si>
    <t>2113-4-6-2025</t>
  </si>
  <si>
    <t>2114-1-1-2025</t>
  </si>
  <si>
    <t>2114-2-1-2025</t>
  </si>
  <si>
    <t>2114-3-1-2025</t>
  </si>
  <si>
    <t>2114-4-1-2025</t>
  </si>
  <si>
    <t>2114-1-2-2025</t>
  </si>
  <si>
    <t>2114-2-2-2025</t>
  </si>
  <si>
    <t>2114-3-2-2025</t>
  </si>
  <si>
    <t>2114-4-2-2025</t>
  </si>
  <si>
    <t>2114-1-3-2025</t>
  </si>
  <si>
    <t>2114-2-3-2025</t>
  </si>
  <si>
    <t>2114-3-3-2025</t>
  </si>
  <si>
    <t>2114-4-3-2025</t>
  </si>
  <si>
    <t>2114-1-4-2025</t>
  </si>
  <si>
    <t>2114-2-4-2025</t>
  </si>
  <si>
    <t>2114-3-4-2025</t>
  </si>
  <si>
    <t>2114-4-4-2025</t>
  </si>
  <si>
    <t>2114-1-5-2025</t>
  </si>
  <si>
    <t>2114-2-5-2025</t>
  </si>
  <si>
    <t>2114-3-5-2025</t>
  </si>
  <si>
    <t>2114-4-5-2025</t>
  </si>
  <si>
    <t>2114-1-6-2025</t>
  </si>
  <si>
    <t>2114-2-6-2025</t>
  </si>
  <si>
    <t>2114-3-6-2025</t>
  </si>
  <si>
    <t>2114-4-6-2025</t>
  </si>
  <si>
    <t>2121-1-1-2025</t>
  </si>
  <si>
    <t>2121-2-1-2025</t>
  </si>
  <si>
    <t>2121-3-1-2025</t>
  </si>
  <si>
    <t>2121-4-1-2025</t>
  </si>
  <si>
    <t>2121-1-2-2025</t>
  </si>
  <si>
    <t>2121-2-2-2025</t>
  </si>
  <si>
    <t>2121-3-2-2025</t>
  </si>
  <si>
    <t>2121-4-2-2025</t>
  </si>
  <si>
    <t>2121-1-3-2025</t>
  </si>
  <si>
    <t>2121-2-3-2025</t>
  </si>
  <si>
    <t>2121-3-3-2025</t>
  </si>
  <si>
    <t>2121-4-3-2025</t>
  </si>
  <si>
    <t>2121-1-4-2025</t>
  </si>
  <si>
    <t>2121-2-4-2025</t>
  </si>
  <si>
    <t>2121-3-4-2025</t>
  </si>
  <si>
    <t>2121-4-4-2025</t>
  </si>
  <si>
    <t>2121-1-5-2025</t>
  </si>
  <si>
    <t>2121-2-5-2025</t>
  </si>
  <si>
    <t>2121-3-5-2025</t>
  </si>
  <si>
    <t>2121-4-5-2025</t>
  </si>
  <si>
    <t>2121-1-6-2025</t>
  </si>
  <si>
    <t>2121-2-6-2025</t>
  </si>
  <si>
    <t>2121-3-6-2025</t>
  </si>
  <si>
    <t>2121-4-6-2025</t>
  </si>
  <si>
    <t>2122-1-1-2025</t>
  </si>
  <si>
    <t>2122-2-1-2025</t>
  </si>
  <si>
    <t>2122-3-1-2025</t>
  </si>
  <si>
    <t>2122-4-1-2025</t>
  </si>
  <si>
    <t>2122-1-2-2025</t>
  </si>
  <si>
    <t>2122-2-2-2025</t>
  </si>
  <si>
    <t>2122-3-2-2025</t>
  </si>
  <si>
    <t>2122-4-2-2025</t>
  </si>
  <si>
    <t>2122-1-3-2025</t>
  </si>
  <si>
    <t>2122-2-3-2025</t>
  </si>
  <si>
    <t>2122-3-3-2025</t>
  </si>
  <si>
    <t>2122-4-3-2025</t>
  </si>
  <si>
    <t>2122-1-4-2025</t>
  </si>
  <si>
    <t>2122-2-4-2025</t>
  </si>
  <si>
    <t>2122-3-4-2025</t>
  </si>
  <si>
    <t>2122-4-4-2025</t>
  </si>
  <si>
    <t>2122-1-5-2025</t>
  </si>
  <si>
    <t>2122-2-5-2025</t>
  </si>
  <si>
    <t>2122-3-5-2025</t>
  </si>
  <si>
    <t>2122-4-5-2025</t>
  </si>
  <si>
    <t>2122-1-6-2025</t>
  </si>
  <si>
    <t>2122-2-6-2025</t>
  </si>
  <si>
    <t>2122-3-6-2025</t>
  </si>
  <si>
    <t>2122-4-6-2025</t>
  </si>
  <si>
    <t>2123-1-1-2025</t>
  </si>
  <si>
    <t>2123-2-1-2025</t>
  </si>
  <si>
    <t>2123-3-1-2025</t>
  </si>
  <si>
    <t>2123-4-1-2025</t>
  </si>
  <si>
    <t>2123-1-2-2025</t>
  </si>
  <si>
    <t>2123-2-2-2025</t>
  </si>
  <si>
    <t>2123-3-2-2025</t>
  </si>
  <si>
    <t>2123-4-2-2025</t>
  </si>
  <si>
    <t>2123-1-3-2025</t>
  </si>
  <si>
    <t>2123-2-3-2025</t>
  </si>
  <si>
    <t>2123-3-3-2025</t>
  </si>
  <si>
    <t>2123-4-3-2025</t>
  </si>
  <si>
    <t>2123-1-4-2025</t>
  </si>
  <si>
    <t>2123-2-4-2025</t>
  </si>
  <si>
    <t>2123-3-4-2025</t>
  </si>
  <si>
    <t>2123-4-4-2025</t>
  </si>
  <si>
    <t>2123-1-5-2025</t>
  </si>
  <si>
    <t>2123-2-5-2025</t>
  </si>
  <si>
    <t>2123-3-5-2025</t>
  </si>
  <si>
    <t>2123-4-5-2025</t>
  </si>
  <si>
    <t>2123-1-6-2025</t>
  </si>
  <si>
    <t>2123-2-6-2025</t>
  </si>
  <si>
    <t>2123-3-6-2025</t>
  </si>
  <si>
    <t>2123-4-6-2025</t>
  </si>
  <si>
    <t>2124-1-1-2025</t>
  </si>
  <si>
    <t>2124-2-1-2025</t>
  </si>
  <si>
    <t>2124-3-1-2025</t>
  </si>
  <si>
    <t>2124-4-1-2025</t>
  </si>
  <si>
    <t>2124-1-2-2025</t>
  </si>
  <si>
    <t>2124-2-2-2025</t>
  </si>
  <si>
    <t>2124-3-2-2025</t>
  </si>
  <si>
    <t>2124-4-2-2025</t>
  </si>
  <si>
    <t>2124-1-3-2025</t>
  </si>
  <si>
    <t>2124-2-3-2025</t>
  </si>
  <si>
    <t>2124-3-3-2025</t>
  </si>
  <si>
    <t>2124-4-3-2025</t>
  </si>
  <si>
    <t>2124-1-4-2025</t>
  </si>
  <si>
    <t>2124-2-4-2025</t>
  </si>
  <si>
    <t>2124-3-4-2025</t>
  </si>
  <si>
    <t>2124-4-4-2025</t>
  </si>
  <si>
    <t>2124-1-5-2025</t>
  </si>
  <si>
    <t>2124-2-5-2025</t>
  </si>
  <si>
    <t>2124-3-5-2025</t>
  </si>
  <si>
    <t>2124-4-5-2025</t>
  </si>
  <si>
    <t>2124-1-6-2025</t>
  </si>
  <si>
    <t>2124-2-6-2025</t>
  </si>
  <si>
    <t>2124-3-6-2025</t>
  </si>
  <si>
    <t>2124-4-6-2025</t>
  </si>
  <si>
    <t>2131-1-1-2025</t>
  </si>
  <si>
    <t>2131-2-1-2025</t>
  </si>
  <si>
    <t>2131-3-1-2025</t>
  </si>
  <si>
    <t>2131-4-1-2025</t>
  </si>
  <si>
    <t>2131-1-2-2025</t>
  </si>
  <si>
    <t>2131-2-2-2025</t>
  </si>
  <si>
    <t>2131-3-2-2025</t>
  </si>
  <si>
    <t>2131-4-2-2025</t>
  </si>
  <si>
    <t>2131-1-3-2025</t>
  </si>
  <si>
    <t>2131-2-3-2025</t>
  </si>
  <si>
    <t>2131-3-3-2025</t>
  </si>
  <si>
    <t>2131-4-3-2025</t>
  </si>
  <si>
    <t>2131-1-4-2025</t>
  </si>
  <si>
    <t>2131-2-4-2025</t>
  </si>
  <si>
    <t>2131-3-4-2025</t>
  </si>
  <si>
    <t>2131-4-4-2025</t>
  </si>
  <si>
    <t>2131-1-5-2025</t>
  </si>
  <si>
    <t>2131-2-5-2025</t>
  </si>
  <si>
    <t>2131-3-5-2025</t>
  </si>
  <si>
    <t>2131-4-5-2025</t>
  </si>
  <si>
    <t>2131-1-6-2025</t>
  </si>
  <si>
    <t>2131-2-6-2025</t>
  </si>
  <si>
    <t>2131-3-6-2025</t>
  </si>
  <si>
    <t>2131-4-6-2025</t>
  </si>
  <si>
    <t>2132-1-1-2025</t>
  </si>
  <si>
    <t>2132-2-1-2025</t>
  </si>
  <si>
    <t>2132-3-1-2025</t>
  </si>
  <si>
    <t>2132-4-1-2025</t>
  </si>
  <si>
    <t>2132-1-2-2025</t>
  </si>
  <si>
    <t>2132-2-2-2025</t>
  </si>
  <si>
    <t>2132-3-2-2025</t>
  </si>
  <si>
    <t>2132-4-2-2025</t>
  </si>
  <si>
    <t>2132-1-3-2025</t>
  </si>
  <si>
    <t>2132-2-3-2025</t>
  </si>
  <si>
    <t>2132-3-3-2025</t>
  </si>
  <si>
    <t>2132-4-3-2025</t>
  </si>
  <si>
    <t>2132-1-4-2025</t>
  </si>
  <si>
    <t>2132-2-4-2025</t>
  </si>
  <si>
    <t>2132-3-4-2025</t>
  </si>
  <si>
    <t>2132-4-4-2025</t>
  </si>
  <si>
    <t>2132-1-5-2025</t>
  </si>
  <si>
    <t>2132-2-5-2025</t>
  </si>
  <si>
    <t>2132-3-5-2025</t>
  </si>
  <si>
    <t>2132-4-5-2025</t>
  </si>
  <si>
    <t>2132-1-6-2025</t>
  </si>
  <si>
    <t>2132-2-6-2025</t>
  </si>
  <si>
    <t>2132-3-6-2025</t>
  </si>
  <si>
    <t>2132-4-6-2025</t>
  </si>
  <si>
    <t>2133-1-1-2025</t>
  </si>
  <si>
    <t>2133-2-1-2025</t>
  </si>
  <si>
    <t>2133-3-1-2025</t>
  </si>
  <si>
    <t>2133-4-1-2025</t>
  </si>
  <si>
    <t>2133-1-2-2025</t>
  </si>
  <si>
    <t>2133-2-2-2025</t>
  </si>
  <si>
    <t>2133-3-2-2025</t>
  </si>
  <si>
    <t>2133-4-2-2025</t>
  </si>
  <si>
    <t>2133-1-3-2025</t>
  </si>
  <si>
    <t>2133-2-3-2025</t>
  </si>
  <si>
    <t>2133-3-3-2025</t>
  </si>
  <si>
    <t>2133-4-3-2025</t>
  </si>
  <si>
    <t>2133-1-4-2025</t>
  </si>
  <si>
    <t>2133-2-4-2025</t>
  </si>
  <si>
    <t>2133-3-4-2025</t>
  </si>
  <si>
    <t>2133-4-4-2025</t>
  </si>
  <si>
    <t>2133-1-5-2025</t>
  </si>
  <si>
    <t>2133-2-5-2025</t>
  </si>
  <si>
    <t>2133-3-5-2025</t>
  </si>
  <si>
    <t>2133-4-5-2025</t>
  </si>
  <si>
    <t>2133-1-6-2025</t>
  </si>
  <si>
    <t>2133-2-6-2025</t>
  </si>
  <si>
    <t>2133-3-6-2025</t>
  </si>
  <si>
    <t>2133-4-6-2025</t>
  </si>
  <si>
    <t>2134-1-1-2025</t>
  </si>
  <si>
    <t>2134-2-1-2025</t>
  </si>
  <si>
    <t>2134-3-1-2025</t>
  </si>
  <si>
    <t>2134-4-1-2025</t>
  </si>
  <si>
    <t>2134-1-2-2025</t>
  </si>
  <si>
    <t>2134-2-2-2025</t>
  </si>
  <si>
    <t>2134-3-2-2025</t>
  </si>
  <si>
    <t>2134-4-2-2025</t>
  </si>
  <si>
    <t>2134-1-3-2025</t>
  </si>
  <si>
    <t>2134-2-3-2025</t>
  </si>
  <si>
    <t>2134-3-3-2025</t>
  </si>
  <si>
    <t>2134-4-3-2025</t>
  </si>
  <si>
    <t>2134-1-4-2025</t>
  </si>
  <si>
    <t>2134-2-4-2025</t>
  </si>
  <si>
    <t>2134-3-4-2025</t>
  </si>
  <si>
    <t>2134-4-4-2025</t>
  </si>
  <si>
    <t>2134-1-5-2025</t>
  </si>
  <si>
    <t>2134-2-5-2025</t>
  </si>
  <si>
    <t>2134-3-5-2025</t>
  </si>
  <si>
    <t>2134-4-5-2025</t>
  </si>
  <si>
    <t>2134-1-6-2025</t>
  </si>
  <si>
    <t>2134-2-6-2025</t>
  </si>
  <si>
    <t>2134-3-6-2025</t>
  </si>
  <si>
    <t>2134-4-6-2025</t>
  </si>
  <si>
    <t>2141-1-1-2025</t>
  </si>
  <si>
    <t>2141-2-1-2025</t>
  </si>
  <si>
    <t>2141-3-1-2025</t>
  </si>
  <si>
    <t>2141-4-1-2025</t>
  </si>
  <si>
    <t>2141-1-2-2025</t>
  </si>
  <si>
    <t>2141-2-2-2025</t>
  </si>
  <si>
    <t>2141-3-2-2025</t>
  </si>
  <si>
    <t>2141-4-2-2025</t>
  </si>
  <si>
    <t>2141-1-3-2025</t>
  </si>
  <si>
    <t>2141-2-3-2025</t>
  </si>
  <si>
    <t>2141-3-3-2025</t>
  </si>
  <si>
    <t>2141-4-3-2025</t>
  </si>
  <si>
    <t>2141-1-4-2025</t>
  </si>
  <si>
    <t>2141-2-4-2025</t>
  </si>
  <si>
    <t>2141-3-4-2025</t>
  </si>
  <si>
    <t>2141-4-4-2025</t>
  </si>
  <si>
    <t>2141-1-5-2025</t>
  </si>
  <si>
    <t>2141-2-5-2025</t>
  </si>
  <si>
    <t>2141-3-5-2025</t>
  </si>
  <si>
    <t>2141-4-5-2025</t>
  </si>
  <si>
    <t>2142-1-1-2025</t>
  </si>
  <si>
    <t>2142-2-1-2025</t>
  </si>
  <si>
    <t>2142-3-1-2025</t>
  </si>
  <si>
    <t>2142-4-1-2025</t>
  </si>
  <si>
    <t>2142-1-2-2025</t>
  </si>
  <si>
    <t>2142-2-2-2025</t>
  </si>
  <si>
    <t>2142-3-2-2025</t>
  </si>
  <si>
    <t>2142-4-2-2025</t>
  </si>
  <si>
    <t>2142-1-3-2025</t>
  </si>
  <si>
    <t>2142-2-3-2025</t>
  </si>
  <si>
    <t>2142-3-3-2025</t>
  </si>
  <si>
    <t>2142-4-3-2025</t>
  </si>
  <si>
    <t>2142-1-4-2025</t>
  </si>
  <si>
    <t>2142-2-4-2025</t>
  </si>
  <si>
    <t>2142-3-4-2025</t>
  </si>
  <si>
    <t>2142-4-4-2025</t>
  </si>
  <si>
    <t>2142-1-5-2025</t>
  </si>
  <si>
    <t>2142-2-5-2025</t>
  </si>
  <si>
    <t>2142-3-5-2025</t>
  </si>
  <si>
    <t>2142-4-5-2025</t>
  </si>
  <si>
    <t>2211-1-1-2025</t>
  </si>
  <si>
    <t>2211-2-1-2025</t>
  </si>
  <si>
    <t>2211-3-1-2025</t>
  </si>
  <si>
    <t>2211-4-1-2025</t>
  </si>
  <si>
    <t>2211-1-2-2025</t>
  </si>
  <si>
    <t>2211-2-2-2025</t>
  </si>
  <si>
    <t>2211-3-2-2025</t>
  </si>
  <si>
    <t>2211-4-2-2025</t>
  </si>
  <si>
    <t>2211-1-3-2025</t>
  </si>
  <si>
    <t>2211-2-3-2025</t>
  </si>
  <si>
    <t>2211-3-3-2025</t>
  </si>
  <si>
    <t>2211-4-3-2025</t>
  </si>
  <si>
    <t>2211-1-4-2025</t>
  </si>
  <si>
    <t>2211-2-4-2025</t>
  </si>
  <si>
    <t>2211-3-4-2025</t>
  </si>
  <si>
    <t>2211-4-4-2025</t>
  </si>
  <si>
    <t>2211-1-5-2025</t>
  </si>
  <si>
    <t>2211-2-5-2025</t>
  </si>
  <si>
    <t>2211-3-5-2025</t>
  </si>
  <si>
    <t>2211-4-5-2025</t>
  </si>
  <si>
    <t>2211-1-6-2025</t>
  </si>
  <si>
    <t>2211-2-6-2025</t>
  </si>
  <si>
    <t>2211-3-6-2025</t>
  </si>
  <si>
    <t>2211-4-6-2025</t>
  </si>
  <si>
    <t>2212-1-1-2025</t>
  </si>
  <si>
    <t>2212-2-1-2025</t>
  </si>
  <si>
    <t>2212-3-1-2025</t>
  </si>
  <si>
    <t>2212-4-1-2025</t>
  </si>
  <si>
    <t>2212-1-2-2025</t>
  </si>
  <si>
    <t>2212-2-2-2025</t>
  </si>
  <si>
    <t>2212-3-2-2025</t>
  </si>
  <si>
    <t>2212-4-2-2025</t>
  </si>
  <si>
    <t>2212-1-3-2025</t>
  </si>
  <si>
    <t>2212-2-3-2025</t>
  </si>
  <si>
    <t>2212-3-3-2025</t>
  </si>
  <si>
    <t>2212-4-3-2025</t>
  </si>
  <si>
    <t>2212-1-4-2025</t>
  </si>
  <si>
    <t>2212-2-4-2025</t>
  </si>
  <si>
    <t>2212-3-4-2025</t>
  </si>
  <si>
    <t>2212-4-4-2025</t>
  </si>
  <si>
    <t>2212-1-5-2025</t>
  </si>
  <si>
    <t>2212-2-5-2025</t>
  </si>
  <si>
    <t>2212-3-5-2025</t>
  </si>
  <si>
    <t>2212-4-5-2025</t>
  </si>
  <si>
    <t>2212-1-6-2025</t>
  </si>
  <si>
    <t>2212-2-6-2025</t>
  </si>
  <si>
    <t>2212-3-6-2025</t>
  </si>
  <si>
    <t>2212-4-6-2025</t>
  </si>
  <si>
    <t>2221-1-1-2025</t>
  </si>
  <si>
    <t>2221-2-1-2025</t>
  </si>
  <si>
    <t>2221-3-1-2025</t>
  </si>
  <si>
    <t>2221-4-1-2025</t>
  </si>
  <si>
    <t>2221-1-2-2025</t>
  </si>
  <si>
    <t>2221-2-2-2025</t>
  </si>
  <si>
    <t>2221-3-2-2025</t>
  </si>
  <si>
    <t>2221-4-2-2025</t>
  </si>
  <si>
    <t>2221-1-3-2025</t>
  </si>
  <si>
    <t>2221-2-3-2025</t>
  </si>
  <si>
    <t>2221-3-3-2025</t>
  </si>
  <si>
    <t>2221-4-3-2025</t>
  </si>
  <si>
    <t>2221-1-4-2025</t>
  </si>
  <si>
    <t>2221-2-4-2025</t>
  </si>
  <si>
    <t>2221-3-4-2025</t>
  </si>
  <si>
    <t>2221-4-4-2025</t>
  </si>
  <si>
    <t>2221-1-5-2025</t>
  </si>
  <si>
    <t>2221-2-5-2025</t>
  </si>
  <si>
    <t>2221-3-5-2025</t>
  </si>
  <si>
    <t>2221-4-5-2025</t>
  </si>
  <si>
    <t>2221-1-6-2025</t>
  </si>
  <si>
    <t>2221-2-6-2025</t>
  </si>
  <si>
    <t>2221-3-6-2025</t>
  </si>
  <si>
    <t>2221-4-6-2025</t>
  </si>
  <si>
    <t>2222-1-1-2025</t>
  </si>
  <si>
    <t>Contaminant in mix</t>
  </si>
  <si>
    <t>2222-2-1-2025</t>
  </si>
  <si>
    <t>2222-3-1-2025</t>
  </si>
  <si>
    <t>2222-4-1-2025</t>
  </si>
  <si>
    <t>2222-1-2-2025</t>
  </si>
  <si>
    <t>2222-2-2-2025</t>
  </si>
  <si>
    <t>2222-3-2-2025</t>
  </si>
  <si>
    <t>2222-4-2-2025</t>
  </si>
  <si>
    <t>2222-1-3-2025</t>
  </si>
  <si>
    <t>2222-2-3-2025</t>
  </si>
  <si>
    <t>2222-3-3-2025</t>
  </si>
  <si>
    <t>2222-4-3-2025</t>
  </si>
  <si>
    <t>Accepted when Separated</t>
  </si>
  <si>
    <t>2222-1-4-2025</t>
  </si>
  <si>
    <t>2222-2-4-2025</t>
  </si>
  <si>
    <t>2222-3-4-2025</t>
  </si>
  <si>
    <t>2222-4-4-2025</t>
  </si>
  <si>
    <t>2222-1-5-2025</t>
  </si>
  <si>
    <t>2222-2-5-2025</t>
  </si>
  <si>
    <t>2222-3-5-2025</t>
  </si>
  <si>
    <t>2222-4-5-2025</t>
  </si>
  <si>
    <t>2223-1-1-2025</t>
  </si>
  <si>
    <t>2223-2-1-2025</t>
  </si>
  <si>
    <t>2223-3-1-2025</t>
  </si>
  <si>
    <t>2223-4-1-2025</t>
  </si>
  <si>
    <t>2223-1-2-2025</t>
  </si>
  <si>
    <t>2223-2-2-2025</t>
  </si>
  <si>
    <t>2223-3-2-2025</t>
  </si>
  <si>
    <t>2223-4-2-2025</t>
  </si>
  <si>
    <t>2223-1-3-2025</t>
  </si>
  <si>
    <t>2223-2-3-2025</t>
  </si>
  <si>
    <t>2223-3-3-2025</t>
  </si>
  <si>
    <t>2223-4-3-2025</t>
  </si>
  <si>
    <t>2223-1-4-2025</t>
  </si>
  <si>
    <t>2223-2-4-2025</t>
  </si>
  <si>
    <t>2223-3-4-2025</t>
  </si>
  <si>
    <t>2223-4-4-2025</t>
  </si>
  <si>
    <t>2223-1-5-2025</t>
  </si>
  <si>
    <t>2223-2-5-2025</t>
  </si>
  <si>
    <t>2223-3-5-2025</t>
  </si>
  <si>
    <t>2223-4-5-2025</t>
  </si>
  <si>
    <t>2224-1-1-2025</t>
  </si>
  <si>
    <t>2224-2-1-2025</t>
  </si>
  <si>
    <t>2224-3-1-2025</t>
  </si>
  <si>
    <t>2224-4-1-2025</t>
  </si>
  <si>
    <t>2224-1-2-2025</t>
  </si>
  <si>
    <t>2224-2-2-2025</t>
  </si>
  <si>
    <t>2224-3-2-2025</t>
  </si>
  <si>
    <t>2224-4-2-2025</t>
  </si>
  <si>
    <t>2224-1-3-2025</t>
  </si>
  <si>
    <t>2224-2-3-2025</t>
  </si>
  <si>
    <t>2224-3-3-2025</t>
  </si>
  <si>
    <t>2224-4-3-2025</t>
  </si>
  <si>
    <t>2224-1-4-2025</t>
  </si>
  <si>
    <t>2224-2-4-2025</t>
  </si>
  <si>
    <t>2224-3-4-2025</t>
  </si>
  <si>
    <t>2224-4-4-2025</t>
  </si>
  <si>
    <t>2224-1-5-2025</t>
  </si>
  <si>
    <t>2224-2-5-2025</t>
  </si>
  <si>
    <t>2224-3-5-2025</t>
  </si>
  <si>
    <t>2224-4-5-2025</t>
  </si>
  <si>
    <t>2311-1-1-2025</t>
  </si>
  <si>
    <t>2311-2-1-2025</t>
  </si>
  <si>
    <t>2311-3-1-2025</t>
  </si>
  <si>
    <t>2311-4-1-2025</t>
  </si>
  <si>
    <t>2311-1-2-2025</t>
  </si>
  <si>
    <t>2311-2-2-2025</t>
  </si>
  <si>
    <t>2311-3-2-2025</t>
  </si>
  <si>
    <t>2311-4-2-2025</t>
  </si>
  <si>
    <t>2311-1-3-2025</t>
  </si>
  <si>
    <t>2311-2-3-2025</t>
  </si>
  <si>
    <t>2311-3-3-2025</t>
  </si>
  <si>
    <t>2311-4-3-2025</t>
  </si>
  <si>
    <t>2311-1-4-2025</t>
  </si>
  <si>
    <t>2311-2-4-2025</t>
  </si>
  <si>
    <t>2311-3-4-2025</t>
  </si>
  <si>
    <t>2311-4-4-2025</t>
  </si>
  <si>
    <t>2311-1-5-2025</t>
  </si>
  <si>
    <t>2311-2-5-2025</t>
  </si>
  <si>
    <t>2311-3-5-2025</t>
  </si>
  <si>
    <t>2311-4-5-2025</t>
  </si>
  <si>
    <t>2312-1-1-2025</t>
  </si>
  <si>
    <t>2312-2-1-2025</t>
  </si>
  <si>
    <t>2312-3-1-2025</t>
  </si>
  <si>
    <t>2312-4-1-2025</t>
  </si>
  <si>
    <t>2312-1-2-2025</t>
  </si>
  <si>
    <t>2312-2-2-2025</t>
  </si>
  <si>
    <t>2312-3-2-2025</t>
  </si>
  <si>
    <t>2312-4-2-2025</t>
  </si>
  <si>
    <t>2312-1-3-2025</t>
  </si>
  <si>
    <t>2312-2-3-2025</t>
  </si>
  <si>
    <t>2312-3-3-2025</t>
  </si>
  <si>
    <t>2312-4-3-2025</t>
  </si>
  <si>
    <t>2312-1-4-2025</t>
  </si>
  <si>
    <t>2312-2-4-2025</t>
  </si>
  <si>
    <t>2312-3-4-2025</t>
  </si>
  <si>
    <t>2312-4-4-2025</t>
  </si>
  <si>
    <t>2312-1-5-2025</t>
  </si>
  <si>
    <t>2312-2-5-2025</t>
  </si>
  <si>
    <t>2312-3-5-2025</t>
  </si>
  <si>
    <t>2312-4-5-2025</t>
  </si>
  <si>
    <t>2321-1-1-2025</t>
  </si>
  <si>
    <t>2321-2-1-2025</t>
  </si>
  <si>
    <t>2321-3-1-2025</t>
  </si>
  <si>
    <t>2321-4-1-2025</t>
  </si>
  <si>
    <t>2321-1-2-2025</t>
  </si>
  <si>
    <t>2321-2-2-2025</t>
  </si>
  <si>
    <t>2321-3-2-2025</t>
  </si>
  <si>
    <t>2321-4-2-2025</t>
  </si>
  <si>
    <t>2321-1-3-2025</t>
  </si>
  <si>
    <t>2321-2-3-2025</t>
  </si>
  <si>
    <t>2321-3-3-2025</t>
  </si>
  <si>
    <t>2321-4-3-2025</t>
  </si>
  <si>
    <t>2321-1-4-2025</t>
  </si>
  <si>
    <t>2321-2-4-2025</t>
  </si>
  <si>
    <t>2321-3-4-2025</t>
  </si>
  <si>
    <t>2321-4-4-2025</t>
  </si>
  <si>
    <t>2321-1-5-2025</t>
  </si>
  <si>
    <t>2321-2-5-2025</t>
  </si>
  <si>
    <t>2321-3-5-2025</t>
  </si>
  <si>
    <t>2321-4-5-2025</t>
  </si>
  <si>
    <t>2322-1-1-2025</t>
  </si>
  <si>
    <t>2322-2-1-2025</t>
  </si>
  <si>
    <t>2322-3-1-2025</t>
  </si>
  <si>
    <t>2322-4-1-2025</t>
  </si>
  <si>
    <t>2322-1-2-2025</t>
  </si>
  <si>
    <t>2322-2-2-2025</t>
  </si>
  <si>
    <t>2322-3-2-2025</t>
  </si>
  <si>
    <t>2322-4-2-2025</t>
  </si>
  <si>
    <t>2322-1-3-2025</t>
  </si>
  <si>
    <t>2322-2-3-2025</t>
  </si>
  <si>
    <t>2322-3-3-2025</t>
  </si>
  <si>
    <t>2322-4-3-2025</t>
  </si>
  <si>
    <t>2322-1-4-2025</t>
  </si>
  <si>
    <t>2322-2-4-2025</t>
  </si>
  <si>
    <t>2322-3-4-2025</t>
  </si>
  <si>
    <t>2322-4-4-2025</t>
  </si>
  <si>
    <t>2322-1-5-2025</t>
  </si>
  <si>
    <t>2322-2-5-2025</t>
  </si>
  <si>
    <t>2322-3-5-2025</t>
  </si>
  <si>
    <t>2322-4-5-2025</t>
  </si>
  <si>
    <t>3111-1-1-2025</t>
  </si>
  <si>
    <t>3111-2-1-2025</t>
  </si>
  <si>
    <t>3111-3-1-2025</t>
  </si>
  <si>
    <t>3111-4-1-2025</t>
  </si>
  <si>
    <t>1-1-02</t>
  </si>
  <si>
    <t>2-1-02</t>
  </si>
  <si>
    <t>3-1-02</t>
  </si>
  <si>
    <t>4-1-02</t>
  </si>
  <si>
    <t>3111-1-2-2025</t>
  </si>
  <si>
    <t>3111-2-2-2025</t>
  </si>
  <si>
    <t>3111-3-2-2025</t>
  </si>
  <si>
    <t>3111-4-2-2025</t>
  </si>
  <si>
    <t>1-2-02</t>
  </si>
  <si>
    <t>2-2-02</t>
  </si>
  <si>
    <t>3-2-02</t>
  </si>
  <si>
    <t>4-2-02</t>
  </si>
  <si>
    <t>3111-1-3-2025</t>
  </si>
  <si>
    <t>3111-2-3-2025</t>
  </si>
  <si>
    <t>3111-3-3-2025</t>
  </si>
  <si>
    <t>3111-4-3-2025</t>
  </si>
  <si>
    <t>1-3-02</t>
  </si>
  <si>
    <t>2-3-02</t>
  </si>
  <si>
    <t>3-3-02</t>
  </si>
  <si>
    <t>4-3-02</t>
  </si>
  <si>
    <t>3111-1-4-2025</t>
  </si>
  <si>
    <t>3111-2-4-2025</t>
  </si>
  <si>
    <t>3111-3-4-2025</t>
  </si>
  <si>
    <t>3111-4-4-2025</t>
  </si>
  <si>
    <t>1-4-02</t>
  </si>
  <si>
    <t>2-4-02</t>
  </si>
  <si>
    <t>3-4-02</t>
  </si>
  <si>
    <t>4-4-02</t>
  </si>
  <si>
    <t>3111-1-5-2025</t>
  </si>
  <si>
    <t>3111-2-5-2025</t>
  </si>
  <si>
    <t>3111-3-5-2025</t>
  </si>
  <si>
    <t>3111-4-5-2025</t>
  </si>
  <si>
    <t>3111-1-6-2025</t>
  </si>
  <si>
    <t>3111-2-6-2025</t>
  </si>
  <si>
    <t>3111-3-6-2025</t>
  </si>
  <si>
    <t>3111-4-6-2025</t>
  </si>
  <si>
    <t>3121-1-1-2025</t>
  </si>
  <si>
    <t>3121-2-1-2025</t>
  </si>
  <si>
    <t>3121-3-1-2025</t>
  </si>
  <si>
    <t>3121-4-1-2025</t>
  </si>
  <si>
    <t>3121-1-2-2025</t>
  </si>
  <si>
    <t>3121-2-2-2025</t>
  </si>
  <si>
    <t>3121-3-2-2025</t>
  </si>
  <si>
    <t>3121-4-2-2025</t>
  </si>
  <si>
    <t>3121-1-3-2025</t>
  </si>
  <si>
    <t>3121-2-3-2025</t>
  </si>
  <si>
    <t>3121-3-3-2025</t>
  </si>
  <si>
    <t>3121-4-3-2025</t>
  </si>
  <si>
    <t>3121-1-4-2025</t>
  </si>
  <si>
    <t>3121-2-4-2025</t>
  </si>
  <si>
    <t>3121-3-4-2025</t>
  </si>
  <si>
    <t>3121-4-4-2025</t>
  </si>
  <si>
    <t>3121-1-5-2025</t>
  </si>
  <si>
    <t>3121-2-5-2025</t>
  </si>
  <si>
    <t>3121-3-5-2025</t>
  </si>
  <si>
    <t>3121-4-5-2025</t>
  </si>
  <si>
    <t>3121-1-6-2025</t>
  </si>
  <si>
    <t>3121-2-6-2025</t>
  </si>
  <si>
    <t>3121-3-6-2025</t>
  </si>
  <si>
    <t>3121-4-6-2025</t>
  </si>
  <si>
    <t>3211-1-1-2025</t>
  </si>
  <si>
    <t>3211-2-1-2025</t>
  </si>
  <si>
    <t>3211-3-1-2025</t>
  </si>
  <si>
    <t>3211-4-1-2025</t>
  </si>
  <si>
    <t>3211-1-2-2025</t>
  </si>
  <si>
    <t>3211-2-2-2025</t>
  </si>
  <si>
    <t>3211-3-2-2025</t>
  </si>
  <si>
    <t>3211-4-2-2025</t>
  </si>
  <si>
    <t>3211-1-3-2025</t>
  </si>
  <si>
    <t>3211-2-3-2025</t>
  </si>
  <si>
    <t>3211-3-3-2025</t>
  </si>
  <si>
    <t>3211-4-3-2025</t>
  </si>
  <si>
    <t>3211-1-4-2025</t>
  </si>
  <si>
    <t>3211-2-4-2025</t>
  </si>
  <si>
    <t>3211-3-4-2025</t>
  </si>
  <si>
    <t>3211-4-4-2025</t>
  </si>
  <si>
    <t>3211-1-5-2025</t>
  </si>
  <si>
    <t>3211-2-5-2025</t>
  </si>
  <si>
    <t>3211-3-5-2025</t>
  </si>
  <si>
    <t>3211-4-5-2025</t>
  </si>
  <si>
    <t>4111-1-1-2025</t>
  </si>
  <si>
    <t>4111-2-1-2025</t>
  </si>
  <si>
    <t>4111-3-1-2025</t>
  </si>
  <si>
    <t>4111-4-1-2025</t>
  </si>
  <si>
    <t>4111-1-2-2025</t>
  </si>
  <si>
    <t>4111-2-2-2025</t>
  </si>
  <si>
    <t>4111-3-2-2025</t>
  </si>
  <si>
    <t>4111-4-2-2025</t>
  </si>
  <si>
    <t>4111-1-3-2025</t>
  </si>
  <si>
    <t>4111-2-3-2025</t>
  </si>
  <si>
    <t>4111-3-3-2025</t>
  </si>
  <si>
    <t>4111-4-3-2025</t>
  </si>
  <si>
    <t>4111-1-4-2025</t>
  </si>
  <si>
    <t>4111-2-4-2025</t>
  </si>
  <si>
    <t>4111-3-4-2025</t>
  </si>
  <si>
    <t>4111-4-4-2025</t>
  </si>
  <si>
    <t>4111-1-5-2025</t>
  </si>
  <si>
    <t>4111-2-5-2025</t>
  </si>
  <si>
    <t>4111-3-5-2025</t>
  </si>
  <si>
    <t>4111-4-5-2025</t>
  </si>
  <si>
    <t>4111-1-6-2025</t>
  </si>
  <si>
    <t>4111-2-6-2025</t>
  </si>
  <si>
    <t>4111-3-6-2025</t>
  </si>
  <si>
    <t>4111-4-6-2025</t>
  </si>
  <si>
    <t>4121-1-1-2025</t>
  </si>
  <si>
    <t>4121-2-1-2025</t>
  </si>
  <si>
    <t>4121-3-1-2025</t>
  </si>
  <si>
    <t>4121-4-1-2025</t>
  </si>
  <si>
    <t>4121-1-2-2025</t>
  </si>
  <si>
    <t>4121-2-2-2025</t>
  </si>
  <si>
    <t>4121-3-2-2025</t>
  </si>
  <si>
    <t>4121-4-2-2025</t>
  </si>
  <si>
    <t>4121-1-3-2025</t>
  </si>
  <si>
    <t>4121-2-3-2025</t>
  </si>
  <si>
    <t>4121-3-3-2025</t>
  </si>
  <si>
    <t>4121-4-3-2025</t>
  </si>
  <si>
    <t>4121-1-4-2025</t>
  </si>
  <si>
    <t>4121-2-4-2025</t>
  </si>
  <si>
    <t>4121-3-4-2025</t>
  </si>
  <si>
    <t>4121-4-4-2025</t>
  </si>
  <si>
    <t>4121-1-5-2025</t>
  </si>
  <si>
    <t>4121-2-5-2025</t>
  </si>
  <si>
    <t>4121-3-5-2025</t>
  </si>
  <si>
    <t>4121-4-5-2025</t>
  </si>
  <si>
    <t>4231-1-1-2025</t>
  </si>
  <si>
    <t>4231-2-1-2025</t>
  </si>
  <si>
    <t>4231-3-1-2025</t>
  </si>
  <si>
    <t>4231-4-1-2025</t>
  </si>
  <si>
    <t>4231-1-2-2025</t>
  </si>
  <si>
    <t>4231-2-2-2025</t>
  </si>
  <si>
    <t>4231-3-2-2025</t>
  </si>
  <si>
    <t>4231-4-2-2025</t>
  </si>
  <si>
    <t>4231-1-3-2025</t>
  </si>
  <si>
    <t>4231-2-3-2025</t>
  </si>
  <si>
    <t>4231-3-3-2025</t>
  </si>
  <si>
    <t>4231-4-3-2025</t>
  </si>
  <si>
    <t>4231-1-4-2025</t>
  </si>
  <si>
    <t>4231-2-4-2025</t>
  </si>
  <si>
    <t>4231-3-4-2025</t>
  </si>
  <si>
    <t>4231-4-4-2025</t>
  </si>
  <si>
    <t>4231-1-5-2025</t>
  </si>
  <si>
    <t>4231-2-5-2025</t>
  </si>
  <si>
    <t>4231-3-5-2025</t>
  </si>
  <si>
    <t>4231-4-5-2025</t>
  </si>
  <si>
    <t>4231-1-6-2025</t>
  </si>
  <si>
    <t>4231-2-6-2025</t>
  </si>
  <si>
    <t>4231-3-6-2025</t>
  </si>
  <si>
    <t>4231-4-6-2025</t>
  </si>
  <si>
    <t>4241-1-1-2025</t>
  </si>
  <si>
    <t>4241-2-1-2025</t>
  </si>
  <si>
    <t>4241-3-1-2025</t>
  </si>
  <si>
    <t>4241-4-1-2025</t>
  </si>
  <si>
    <t>4241-1-2-2025</t>
  </si>
  <si>
    <t>4241-2-2-2025</t>
  </si>
  <si>
    <t>4241-3-2-2025</t>
  </si>
  <si>
    <t>4241-4-2-2025</t>
  </si>
  <si>
    <t>4241-1-3-2025</t>
  </si>
  <si>
    <t>4241-2-3-2025</t>
  </si>
  <si>
    <t>4241-3-3-2025</t>
  </si>
  <si>
    <t>4241-4-3-2025</t>
  </si>
  <si>
    <t>4241-1-4-2025</t>
  </si>
  <si>
    <t>4241-2-4-2025</t>
  </si>
  <si>
    <t>4241-3-4-2025</t>
  </si>
  <si>
    <t>4241-4-4-2025</t>
  </si>
  <si>
    <t>4241-1-5-2025</t>
  </si>
  <si>
    <t>4241-2-5-2025</t>
  </si>
  <si>
    <t>4241-3-5-2025</t>
  </si>
  <si>
    <t>4241-4-5-2025</t>
  </si>
  <si>
    <t>4241-1-6-2025</t>
  </si>
  <si>
    <t>4241-2-6-2025</t>
  </si>
  <si>
    <t>4241-3-6-2025</t>
  </si>
  <si>
    <t>4241-4-6-2025</t>
  </si>
  <si>
    <t>4311-1-1-2025</t>
  </si>
  <si>
    <t>4311-2-1-2025</t>
  </si>
  <si>
    <t>4311-3-1-2025</t>
  </si>
  <si>
    <t>4311-4-1-2025</t>
  </si>
  <si>
    <t>4311-1-2-2025</t>
  </si>
  <si>
    <t>4311-2-2-2025</t>
  </si>
  <si>
    <t>4311-3-2-2025</t>
  </si>
  <si>
    <t>4311-4-2-2025</t>
  </si>
  <si>
    <t>1-2-11</t>
  </si>
  <si>
    <t>2-2-11</t>
  </si>
  <si>
    <t>3-2-11</t>
  </si>
  <si>
    <t>4-2-11</t>
  </si>
  <si>
    <t>4311-1-3-2025</t>
  </si>
  <si>
    <t>4311-2-3-2025</t>
  </si>
  <si>
    <t>4311-3-3-2025</t>
  </si>
  <si>
    <t>4311-4-3-2025</t>
  </si>
  <si>
    <t>1-3-11</t>
  </si>
  <si>
    <t>2-3-11</t>
  </si>
  <si>
    <t>3-3-11</t>
  </si>
  <si>
    <t>4-3-11</t>
  </si>
  <si>
    <t>4311-1-4-2025</t>
  </si>
  <si>
    <t>4311-2-4-2025</t>
  </si>
  <si>
    <t>4311-3-4-2025</t>
  </si>
  <si>
    <t>4311-4-4-2025</t>
  </si>
  <si>
    <t>1-4-11</t>
  </si>
  <si>
    <t>2-4-11</t>
  </si>
  <si>
    <t>3-4-11</t>
  </si>
  <si>
    <t>4-4-11</t>
  </si>
  <si>
    <t>4311-1-5-2025</t>
  </si>
  <si>
    <t>4311-2-5-2025</t>
  </si>
  <si>
    <t>4311-3-5-2025</t>
  </si>
  <si>
    <t>4311-4-5-2025</t>
  </si>
  <si>
    <t>4411-1-1-2025</t>
  </si>
  <si>
    <t>4411-2-1-2025</t>
  </si>
  <si>
    <t>4411-3-1-2025</t>
  </si>
  <si>
    <t>4411-4-1-2025</t>
  </si>
  <si>
    <t>4411-1-2-2025</t>
  </si>
  <si>
    <t>4411-2-2-2025</t>
  </si>
  <si>
    <t>4411-3-2-2025</t>
  </si>
  <si>
    <t>4411-4-2-2025</t>
  </si>
  <si>
    <t>4411-1-3-2025</t>
  </si>
  <si>
    <t>4411-2-3-2025</t>
  </si>
  <si>
    <t>4411-3-3-2025</t>
  </si>
  <si>
    <t>4411-4-3-2025</t>
  </si>
  <si>
    <t>4411-1-4-2025</t>
  </si>
  <si>
    <t>4411-2-4-2025</t>
  </si>
  <si>
    <t>4411-3-4-2025</t>
  </si>
  <si>
    <t>4411-4-4-2025</t>
  </si>
  <si>
    <t>4411-1-5-2025</t>
  </si>
  <si>
    <t>4411-2-5-2025</t>
  </si>
  <si>
    <t>4411-3-5-2025</t>
  </si>
  <si>
    <t>4411-4-5-2025</t>
  </si>
  <si>
    <t>5111-1-1-2025</t>
  </si>
  <si>
    <t>5111-2-1-2025</t>
  </si>
  <si>
    <t>5111-3-1-2025</t>
  </si>
  <si>
    <t>5111-4-1-2025</t>
  </si>
  <si>
    <t>1-1-04</t>
  </si>
  <si>
    <t>NA - Organics</t>
  </si>
  <si>
    <t>2-1-04</t>
  </si>
  <si>
    <t>3-1-04</t>
  </si>
  <si>
    <t>4-1-04</t>
  </si>
  <si>
    <t>5111-1-2-2025</t>
  </si>
  <si>
    <t>5111-2-2-2025</t>
  </si>
  <si>
    <t>5111-3-2-2025</t>
  </si>
  <si>
    <t>5111-4-2-2025</t>
  </si>
  <si>
    <t>1-2-04</t>
  </si>
  <si>
    <t>2-2-04</t>
  </si>
  <si>
    <t>3-2-04</t>
  </si>
  <si>
    <t>4-2-04</t>
  </si>
  <si>
    <t>5111-1-3-2025</t>
  </si>
  <si>
    <t>5111-2-3-2025</t>
  </si>
  <si>
    <t>5111-3-3-2025</t>
  </si>
  <si>
    <t>5111-4-3-2025</t>
  </si>
  <si>
    <t>1-3-04</t>
  </si>
  <si>
    <t>2-3-04</t>
  </si>
  <si>
    <t>3-3-04</t>
  </si>
  <si>
    <t>4-3-04</t>
  </si>
  <si>
    <t>5111-1-4-2025</t>
  </si>
  <si>
    <t>5111-2-4-2025</t>
  </si>
  <si>
    <t>5111-3-4-2025</t>
  </si>
  <si>
    <t>5111-4-4-2025</t>
  </si>
  <si>
    <t>5111-1-5-2025</t>
  </si>
  <si>
    <t>5111-2-5-2025</t>
  </si>
  <si>
    <t>5111-3-5-2025</t>
  </si>
  <si>
    <t>5111-4-5-2025</t>
  </si>
  <si>
    <t>5121-1-1-2025</t>
  </si>
  <si>
    <t>5121-2-1-2025</t>
  </si>
  <si>
    <t>5121-3-1-2025</t>
  </si>
  <si>
    <t>5121-4-1-2025</t>
  </si>
  <si>
    <t>5121-1-2-2025</t>
  </si>
  <si>
    <t>5121-2-2-2025</t>
  </si>
  <si>
    <t>5121-3-2-2025</t>
  </si>
  <si>
    <t>5121-4-2-2025</t>
  </si>
  <si>
    <t>5121-1-3-2025</t>
  </si>
  <si>
    <t>5121-2-3-2025</t>
  </si>
  <si>
    <t>5121-3-3-2025</t>
  </si>
  <si>
    <t>5121-4-3-2025</t>
  </si>
  <si>
    <t>5121-1-4-2025</t>
  </si>
  <si>
    <t>5121-2-4-2025</t>
  </si>
  <si>
    <t>5121-3-4-2025</t>
  </si>
  <si>
    <t>5121-4-4-2025</t>
  </si>
  <si>
    <t>5121-1-5-2025</t>
  </si>
  <si>
    <t>5121-2-5-2025</t>
  </si>
  <si>
    <t>5121-3-5-2025</t>
  </si>
  <si>
    <t>5121-4-5-2025</t>
  </si>
  <si>
    <t>5131-1-1-2025</t>
  </si>
  <si>
    <t>5131-2-1-2025</t>
  </si>
  <si>
    <t>5131-3-1-2025</t>
  </si>
  <si>
    <t>5131-4-1-2025</t>
  </si>
  <si>
    <t>5131-1-2-2025</t>
  </si>
  <si>
    <t>5131-2-2-2025</t>
  </si>
  <si>
    <t>5131-3-2-2025</t>
  </si>
  <si>
    <t>5131-4-2-2025</t>
  </si>
  <si>
    <t>5131-1-3-2025</t>
  </si>
  <si>
    <t>5131-2-3-2025</t>
  </si>
  <si>
    <t>5131-3-3-2025</t>
  </si>
  <si>
    <t>5131-4-3-2025</t>
  </si>
  <si>
    <t>5131-1-4-2025</t>
  </si>
  <si>
    <t>5131-2-4-2025</t>
  </si>
  <si>
    <t>5131-3-4-2025</t>
  </si>
  <si>
    <t>5131-4-4-2025</t>
  </si>
  <si>
    <t>5131-1-5-2025</t>
  </si>
  <si>
    <t>5131-2-5-2025</t>
  </si>
  <si>
    <t>5131-3-5-2025</t>
  </si>
  <si>
    <t>5131-4-5-2025</t>
  </si>
  <si>
    <t>5141-1-1-2025</t>
  </si>
  <si>
    <t>5141-2-1-2025</t>
  </si>
  <si>
    <t>5141-3-1-2025</t>
  </si>
  <si>
    <t>5141-4-1-2025</t>
  </si>
  <si>
    <t>1-1-13</t>
  </si>
  <si>
    <t>2-1-13</t>
  </si>
  <si>
    <t>3-1-13</t>
  </si>
  <si>
    <t>4-1-13</t>
  </si>
  <si>
    <t>5141-1-2-2025</t>
  </si>
  <si>
    <t>5141-2-2-2025</t>
  </si>
  <si>
    <t>5141-3-2-2025</t>
  </si>
  <si>
    <t>5141-4-2-2025</t>
  </si>
  <si>
    <t>1-2-13</t>
  </si>
  <si>
    <t>2-2-13</t>
  </si>
  <si>
    <t>3-2-13</t>
  </si>
  <si>
    <t>4-2-13</t>
  </si>
  <si>
    <t>5141-1-3-2025</t>
  </si>
  <si>
    <t>5141-2-3-2025</t>
  </si>
  <si>
    <t>5141-3-3-2025</t>
  </si>
  <si>
    <t>5141-4-3-2025</t>
  </si>
  <si>
    <t>1-3-13</t>
  </si>
  <si>
    <t>2-3-13</t>
  </si>
  <si>
    <t>3-3-13</t>
  </si>
  <si>
    <t>4-3-13</t>
  </si>
  <si>
    <t>5141-1-4-2025</t>
  </si>
  <si>
    <t>5141-2-4-2025</t>
  </si>
  <si>
    <t>5141-3-4-2025</t>
  </si>
  <si>
    <t>5141-4-4-2025</t>
  </si>
  <si>
    <t>5141-1-5-2025</t>
  </si>
  <si>
    <t>5141-2-5-2025</t>
  </si>
  <si>
    <t>5141-3-5-2025</t>
  </si>
  <si>
    <t>5141-4-5-2025</t>
  </si>
  <si>
    <t>5211-1-1-2025</t>
  </si>
  <si>
    <t>5211-2-1-2025</t>
  </si>
  <si>
    <t>5211-3-1-2025</t>
  </si>
  <si>
    <t>5211-4-1-2025</t>
  </si>
  <si>
    <t>Out of Scope HHW C&amp;D</t>
  </si>
  <si>
    <t>5211-1-2-2025</t>
  </si>
  <si>
    <t>5211-2-2-2025</t>
  </si>
  <si>
    <t>5211-3-2-2025</t>
  </si>
  <si>
    <t>5211-4-2-2025</t>
  </si>
  <si>
    <t>5211-1-3-2025</t>
  </si>
  <si>
    <t>5211-2-3-2025</t>
  </si>
  <si>
    <t>5211-3-3-2025</t>
  </si>
  <si>
    <t>5211-4-3-2025</t>
  </si>
  <si>
    <t>5211-1-4-2025</t>
  </si>
  <si>
    <t>5211-2-4-2025</t>
  </si>
  <si>
    <t>5211-3-4-2025</t>
  </si>
  <si>
    <t>5211-4-4-2025</t>
  </si>
  <si>
    <t>1-4-13</t>
  </si>
  <si>
    <t>2-4-13</t>
  </si>
  <si>
    <t>3-4-13</t>
  </si>
  <si>
    <t>4-4-13</t>
  </si>
  <si>
    <t>5211-1-5-2025</t>
  </si>
  <si>
    <t>5211-2-5-2025</t>
  </si>
  <si>
    <t>5211-3-5-2025</t>
  </si>
  <si>
    <t>5211-4-5-2025</t>
  </si>
  <si>
    <t>5311-1-1-2025</t>
  </si>
  <si>
    <t>5311-2-1-2025</t>
  </si>
  <si>
    <t>5311-3-1-2025</t>
  </si>
  <si>
    <t>5311-4-1-2025</t>
  </si>
  <si>
    <t>5311-1-2-2025</t>
  </si>
  <si>
    <t>5311-2-2-2025</t>
  </si>
  <si>
    <t>5311-3-2-2025</t>
  </si>
  <si>
    <t>5311-4-2-2025</t>
  </si>
  <si>
    <t>5311-1-3-2025</t>
  </si>
  <si>
    <t>5311-2-3-2025</t>
  </si>
  <si>
    <t>5311-3-3-2025</t>
  </si>
  <si>
    <t>5311-4-3-2025</t>
  </si>
  <si>
    <t>5311-1-4-2025</t>
  </si>
  <si>
    <t>5311-2-4-2025</t>
  </si>
  <si>
    <t>5311-3-4-2025</t>
  </si>
  <si>
    <t>5311-4-4-2025</t>
  </si>
  <si>
    <t>5311-1-5-2025</t>
  </si>
  <si>
    <t>5311-2-5-2025</t>
  </si>
  <si>
    <t>5311-3-5-2025</t>
  </si>
  <si>
    <t>5311-4-5-2025</t>
  </si>
  <si>
    <t>5321-1-1-2025</t>
  </si>
  <si>
    <t>5321-2-1-2025</t>
  </si>
  <si>
    <t>5321-3-1-2025</t>
  </si>
  <si>
    <t>5321-4-1-2025</t>
  </si>
  <si>
    <t>5321-1-2-2025</t>
  </si>
  <si>
    <t>5321-2-2-2025</t>
  </si>
  <si>
    <t>5321-3-2-2025</t>
  </si>
  <si>
    <t>5321-4-2-2025</t>
  </si>
  <si>
    <t>5321-1-3-2025</t>
  </si>
  <si>
    <t>5321-2-3-2025</t>
  </si>
  <si>
    <t>5321-3-3-2025</t>
  </si>
  <si>
    <t>5321-4-3-2025</t>
  </si>
  <si>
    <t>5321-1-4-2025</t>
  </si>
  <si>
    <t>5321-2-4-2025</t>
  </si>
  <si>
    <t>5321-3-4-2025</t>
  </si>
  <si>
    <t>5321-4-4-2025</t>
  </si>
  <si>
    <t>5321-1-5-2025</t>
  </si>
  <si>
    <t>5321-2-5-2025</t>
  </si>
  <si>
    <t>5321-3-5-2025</t>
  </si>
  <si>
    <t>5321-4-5-2025</t>
  </si>
  <si>
    <t>Proxy materials and streams for adjusting capture rates</t>
  </si>
  <si>
    <t>Acceptance by scenario</t>
  </si>
  <si>
    <t>Pulled from base</t>
  </si>
  <si>
    <t>Calculated input</t>
  </si>
  <si>
    <t>Scenario Tons</t>
  </si>
  <si>
    <t>Accepted flag</t>
  </si>
  <si>
    <t>Contamination Rates in Commingled SS and DS Collection</t>
  </si>
  <si>
    <t>&lt;5</t>
  </si>
  <si>
    <t>Tubs &amp; lids, 3-7s</t>
  </si>
  <si>
    <t>2000-18-2114</t>
  </si>
  <si>
    <t>2000-18-2124</t>
  </si>
  <si>
    <t>2000-18-2212</t>
  </si>
  <si>
    <t>This is the output table that shows that average contamination in bales produced by each MRF in each scenario.</t>
  </si>
  <si>
    <t>Reference only (possibly no need)</t>
  </si>
  <si>
    <t>BalesQuality_KEY</t>
  </si>
  <si>
    <t>BaleType</t>
  </si>
  <si>
    <t>S0_Bale_Weight</t>
  </si>
  <si>
    <t>S1_Bale_Weight</t>
  </si>
  <si>
    <t>S2_Bale_Weight</t>
  </si>
  <si>
    <t>S3_Bale_Weight</t>
  </si>
  <si>
    <t>S4_Bale_Weight</t>
  </si>
  <si>
    <t>S5_Bale_Weight</t>
  </si>
  <si>
    <t>S6_Bale_Weight</t>
  </si>
  <si>
    <t>S0_BaleWeight-TargetMaterials</t>
  </si>
  <si>
    <t>S1_BaleWeight-TargetMaterials</t>
  </si>
  <si>
    <t>S2_BaleWeight-TargetMaterials</t>
  </si>
  <si>
    <t>S3_BaleWeight-TargetMaterials</t>
  </si>
  <si>
    <t>S4_BaleWeight-TargetMaterials</t>
  </si>
  <si>
    <t>S5_BaleWeight-TargetMaterials</t>
  </si>
  <si>
    <t>S6_BaleWeight-TargetMaterials</t>
  </si>
  <si>
    <t>S0_BaleContaminationPct</t>
  </si>
  <si>
    <t>S1_BaleContaminationPct</t>
  </si>
  <si>
    <t>S2_BaleContaminationPct</t>
  </si>
  <si>
    <t>S3_BaleContaminationPct</t>
  </si>
  <si>
    <t>S4_BaleContaminationPct</t>
  </si>
  <si>
    <t>S5_BaleContaminationPct</t>
  </si>
  <si>
    <t>S5_BaleContaminationPct2</t>
  </si>
  <si>
    <t>AcceptableContaminationLevel</t>
  </si>
  <si>
    <t>Total Bale Weight</t>
  </si>
  <si>
    <t>Target Material in Bales Weight</t>
  </si>
  <si>
    <t>Hide</t>
  </si>
  <si>
    <t>SS or DS</t>
  </si>
  <si>
    <t>space</t>
  </si>
  <si>
    <t>Tons by Grouping</t>
  </si>
  <si>
    <t>StatewideTons</t>
  </si>
  <si>
    <t>Tons by Grouping (mixed)</t>
  </si>
  <si>
    <t>StatewideTons (mixed)</t>
  </si>
  <si>
    <t>Glass and Unsorted Container Transfer</t>
  </si>
  <si>
    <t>Full-Time Equivalent (FTE) Employees</t>
  </si>
  <si>
    <t>Social and Environmental Outcomes</t>
  </si>
  <si>
    <t>Commodity Revenues</t>
  </si>
  <si>
    <t>Inbound Collection Quantities (tons)</t>
  </si>
  <si>
    <t>Material Quantities Baled Excluding Contamination (tons)</t>
  </si>
  <si>
    <t>Low</t>
  </si>
  <si>
    <t>High</t>
  </si>
  <si>
    <t>Prices were developed using professional judgement while considering the following publicly available data sources</t>
  </si>
  <si>
    <t>Commodity prices listed in Resource Recycling magazine articles and market analyses from 2017-2020 (online and print)</t>
  </si>
  <si>
    <t>Long-term prices in "Oregon Recycling Market Prices, Cycles, and Trends" prepared by Dr. Jeffrey Morris for Oregon DEQ (https://srmginc.com/images/Recycling-Prices-Analysis.pdf)</t>
  </si>
  <si>
    <t>Charts of historical commodity prices in Puget Sound compiled by Dr. Jeffrey Morris (https://srmginc.com/northwest-price-histories)</t>
  </si>
  <si>
    <t>Annual average commodity prices reported by Ontario's Continuous Improvement Fund, used only for commodities without other price data points (https://thecif.ca/wp-content/uploads/2020/05/April-2020-Price-Sheet.pdf)</t>
  </si>
  <si>
    <t>Mid-Point</t>
  </si>
  <si>
    <t>Range</t>
  </si>
  <si>
    <t>BalePrice_Low</t>
  </si>
  <si>
    <t>BalePrice_Mid</t>
  </si>
  <si>
    <t>BalePrice_High</t>
  </si>
  <si>
    <t>Commodity Sales (mid-point)</t>
  </si>
  <si>
    <t>Total System Dollar Costs and Avoided Disposal</t>
  </si>
  <si>
    <t>Sensitivity Analysis of Total System Dollar Costs and Avoided Disposal</t>
  </si>
  <si>
    <t>Lower Range</t>
  </si>
  <si>
    <t>Upper Range</t>
  </si>
  <si>
    <t>Commodity Sales (lower range)</t>
  </si>
  <si>
    <t>Commodity Sales (upper range)</t>
  </si>
  <si>
    <t>Cost Savings from Reduced Garbage Disposal</t>
  </si>
  <si>
    <t>Customer engagement methods include providing direct feedback to customers, with refusal to collect from customers with repeated contamination.</t>
  </si>
  <si>
    <t>While customers appreciate clear instructions, there may be negative feedback from customers who habitually contaminate recycling.</t>
  </si>
  <si>
    <t>Baseline</t>
  </si>
  <si>
    <t>Total Materials</t>
  </si>
  <si>
    <t>Material Quality: Bale Contamination Rates</t>
  </si>
  <si>
    <t>Bale/Commodity Tonnages</t>
  </si>
  <si>
    <t>This section presents bale/commodity tonnages for all in-scope recyclables, including materials collected commingled and source-separated.</t>
  </si>
  <si>
    <t>Tonnages include bale contamination, such as PET bottles in corrugated cardboard bales.</t>
  </si>
  <si>
    <t>This section presents tonnages for all in-scope recyclables that are assumed to reach their intended markets.</t>
  </si>
  <si>
    <t>Tonnages include materials at MRFs that are sorted into their intended bales as well as materials collected source-separated.</t>
  </si>
  <si>
    <t>Tonnages exclude bale contamination, such as PET bottles in corrugated cardboard bales.</t>
  </si>
  <si>
    <t>This section presents bale contamination rates for materials that are sorted at MRFs.</t>
  </si>
  <si>
    <t>Figures in this report represent the consultant team's reasonable modeling estimates but should be considered to have substantial error ranges.</t>
  </si>
  <si>
    <t>Where data were limited, the consultant team used professional judgement and prior experience to develop inputs.</t>
  </si>
  <si>
    <t>Data were especially limited regarding current processing costs, revenues, bales produced, and bale quality.</t>
  </si>
  <si>
    <r>
      <t>IMPORTANT NOTE</t>
    </r>
    <r>
      <rPr>
        <sz val="11"/>
        <color theme="1"/>
        <rFont val="Arial"/>
        <family val="2"/>
        <scheme val="minor"/>
      </rPr>
      <t>: Please take the following factors into account when reviewing this summary.</t>
    </r>
  </si>
  <si>
    <t xml:space="preserve">Improving Oregon Recycling Systems Infrastructure Research
</t>
  </si>
  <si>
    <t>This section presents the transactional costs and revenues from recycling in-scope materials. It includes direct costs, avoided disposal, and bale sales.</t>
  </si>
  <si>
    <t>Paper Bales</t>
  </si>
  <si>
    <t>Plastics Bales</t>
  </si>
  <si>
    <t>Per ton (excluding commodity revenues)</t>
  </si>
  <si>
    <t xml:space="preserve">Per ton </t>
  </si>
  <si>
    <t>Alternative scenarios include MRF capital investments to allow for sorting more materials with a long accepted materials list and less sort-line labor.</t>
  </si>
  <si>
    <t xml:space="preserve">Costs in the dual-stream scenario are largely driven by the increase in single-family customers receiving collection effectively weekly instead of less than weekly. </t>
  </si>
  <si>
    <t>To prevent stranded assets, capital investment inputs assume that capital equipment with remaining lifespans will continue to be used.</t>
  </si>
  <si>
    <t>Capital equipment includes assumptions regarding current equipment and planned upgrades that have been publicly announced.</t>
  </si>
  <si>
    <t>Capital investments largely replace sort-line labor or allow MRFs to sort addition materials or commodities.</t>
  </si>
  <si>
    <t>Fewer manual sorters will also reduce the potential for the spread of infectious diseases among the workers.</t>
  </si>
  <si>
    <t>Worker safety will improve because wrap-resistant screens will require less frequent cleaning and removal of tanglers, which is a dangerous task.</t>
  </si>
  <si>
    <t>Other Qualitative Criteria</t>
  </si>
  <si>
    <t>Initial Alternative Scenario Analysis - Evaluation Criteria Summary</t>
  </si>
  <si>
    <t>Social and environmental outcomes will be presented separately by DEQ.</t>
  </si>
  <si>
    <t>Scenario  C  
Dual-Stream</t>
  </si>
  <si>
    <t>Scenario A  
Modern MRFs</t>
  </si>
  <si>
    <t>Scenario A+  
Modern MRFs &amp; Longer List</t>
  </si>
  <si>
    <t>Scenario B  
Out-of-State CRF</t>
  </si>
  <si>
    <t>Investments in fiber cleanup in all of the MRFs in all of the scenarios provided greatly improved bale quality and thus provide more market resiliency.</t>
  </si>
  <si>
    <t>Fiber-line optical sorters can also change the grades being produced to either make sorted residential paper and news, mixed paper,</t>
  </si>
  <si>
    <t>or sorted office paper when running commercial fiber in response to market pricing and demand shifts.</t>
  </si>
  <si>
    <t>Multiple Scenarios</t>
  </si>
  <si>
    <t>Scenarios A+, B, and C also provide advanced sorting of containers that meets end-market specifications and avoids producing mixed plastic bales.</t>
  </si>
  <si>
    <t>See above.</t>
  </si>
  <si>
    <t>Scenario A+ includes high-technology container sorting at one MRF in Portland, in lieu of making investments in all Oregon MRFs.</t>
  </si>
  <si>
    <t>If this MRF could not receive and sort loose containers for a period of time, contingency measures would be needed, which could include:</t>
  </si>
  <si>
    <t>(1) Baling and storing the mixed containers at the source MRFs until container sorting line is returned to operation.</t>
  </si>
  <si>
    <t>(2) Placing temporary manual sorters at the source MRFs to manually sort the material as is the case today.</t>
  </si>
  <si>
    <t>The existing in-state MRFs can resume sorting containers manually if there is a disruption to an out-of-state plastics recycling facility.</t>
  </si>
  <si>
    <t>Scenario B (out-of-state CRF) has similar adaptability options as Scenario A+.</t>
  </si>
  <si>
    <t>Scenario C sends all collected containers to a container-sorting facility. If there were a disruption to that facility, the container stream could be blended</t>
  </si>
  <si>
    <t xml:space="preserve"> into the residential fiber on the tip floors of the MRFs and sorted temporarily as single-stream recyclables.</t>
  </si>
  <si>
    <t>For single-family customers with recycling collected less than weekly, the substantial increase in collection costs in Scenario C (dual-stream) may affect</t>
  </si>
  <si>
    <t>affordability of waste collection or worsen other affordability issues, which has equity implications.</t>
  </si>
  <si>
    <t>Optical sorters and robots will replace some manual sorters, reducing the prevalence of repetitive motion injuries and needle sticks.</t>
  </si>
  <si>
    <t>Materials Collected</t>
  </si>
  <si>
    <t>This section summarizes in-scope materials collected, including those collected commingled and source-separated.</t>
  </si>
  <si>
    <t>Tonnages include contamination in collection, which largely drives the reduction in collected tons between the baseline and Scenario A.</t>
  </si>
  <si>
    <t>No changes.</t>
  </si>
  <si>
    <t>Total System Cost net of Revenues (mid-point)</t>
  </si>
  <si>
    <t>Worker Safety</t>
  </si>
  <si>
    <t>Initial Transfer Transport</t>
  </si>
  <si>
    <t>Figures represent 2025. Dollars are 2025$ and weights are in short tons (2000 pounds).</t>
  </si>
  <si>
    <t>(3) Baling and sending the mixed containers to container-sorting facilities in British Columbia or California.</t>
  </si>
  <si>
    <t>Polycoated cups and containers</t>
  </si>
  <si>
    <t>Route Drivers, Route Operations, Depot Operations</t>
  </si>
  <si>
    <t>Recycling Collection</t>
  </si>
  <si>
    <t>Overall Recycling System FTEs</t>
  </si>
  <si>
    <t>Recycling Customer Engagement</t>
  </si>
  <si>
    <t>On-Route and Depot Collection</t>
  </si>
  <si>
    <t>Depot Collection Only</t>
  </si>
  <si>
    <t>&lt;4</t>
  </si>
  <si>
    <t>NA (see population)</t>
  </si>
  <si>
    <t>Total Bale Weights</t>
  </si>
  <si>
    <t>Metal Bales</t>
  </si>
  <si>
    <t>hide</t>
  </si>
  <si>
    <t>Reductions in total baled tonnages between Scenario A and the baseline are due to reduced accepted material lists to reflect current lists as well as reduced contamination.</t>
  </si>
  <si>
    <t>Alternative scenarios also include costs for contamination reduction through customer engagement, refusal to collect contaminated load, inbound load monitoring,</t>
  </si>
  <si>
    <t>at MRFs and outbound bale quality monitoring through artificial intelligence visioning before the balers.</t>
  </si>
  <si>
    <t>Based  four hours per site visit per customer (including preparation and follow-up time) every two years, escalated to 2025 costs.</t>
  </si>
  <si>
    <t>Baseline FTEs</t>
  </si>
  <si>
    <t>New_Outreach_FTEs</t>
  </si>
  <si>
    <t>Based on estimated cost of $1.50 to $2.50 per customer from The Recycling Partnership, assuming a cart-tagging and mailer campaign is conducted every two years, escalated to 2025 costs and doubled to reflect potentially higher wages for permanent outreach staff.</t>
  </si>
  <si>
    <t>New Engagement (costs in collection engagement)</t>
  </si>
  <si>
    <t>Paper Materials</t>
  </si>
  <si>
    <t>Plastic Materials</t>
  </si>
  <si>
    <t>Metal Materials</t>
  </si>
  <si>
    <t>Glass Materials</t>
  </si>
  <si>
    <t>EvaluationSummary</t>
  </si>
  <si>
    <t>This tab presents the evaluation summary, which is also available as a PDF.</t>
  </si>
  <si>
    <t>This tab presents the detailed cost report, which is also available as a PDF. This report allows users to select a grouping from a drop-down menu to view the system costs by grouping.</t>
  </si>
  <si>
    <t>Estimates and inputs used in the Cost Model around sortation costs (labor, capital, facility, residual disposal, administrative, marketing, commodity values).</t>
  </si>
  <si>
    <t>Note: commodity values in the dual-stream scenario are given a $2/ton premium.</t>
  </si>
  <si>
    <t>Commodity Prices</t>
  </si>
  <si>
    <t>Input from MORE Recycling regarding plastics</t>
  </si>
  <si>
    <t>Commodity values in the baseline scenario are $2 per ton lower than in alternative scenarios to reflect differences in bale quality.</t>
  </si>
  <si>
    <t>No change</t>
  </si>
  <si>
    <t>Alternative scenarios expanded material lists but did not include changes to participation or recycling access in general.</t>
  </si>
  <si>
    <t>However, in the dual-stream scenario, all single-family residential customers have effectively weekly collection (fiber one week, containers the next).</t>
  </si>
  <si>
    <t>Plastics Materials</t>
  </si>
  <si>
    <t>Labor</t>
  </si>
  <si>
    <t>Capital</t>
  </si>
  <si>
    <t>Operations</t>
  </si>
  <si>
    <t>Administrative</t>
  </si>
  <si>
    <t>Residual Disposal</t>
  </si>
  <si>
    <t>Glass/Container Transfer</t>
  </si>
  <si>
    <t>Initial Transport to MRF</t>
  </si>
  <si>
    <t>Customer Engagement</t>
  </si>
  <si>
    <t>In alternative scenarios S2 (Scenario A+), S3 (Scenario B), and S4 (Scenario C), capital costs per ton are doubled to account for additional collection containers for expanded materials. In all alternative scenarios, labor costs are increased by 25% to account for contamination reduction.</t>
  </si>
  <si>
    <t>In all alternative scenarios, labor costs are increased by 25% to account for contamination reduction.</t>
  </si>
  <si>
    <t>Alternative scenarios do not address equity beyond standardizing materials collected in geographic groupings and increasing worker safety.</t>
  </si>
  <si>
    <t>Margin &amp; Franchise Fee</t>
  </si>
  <si>
    <t>Cost sensitivity</t>
  </si>
  <si>
    <t>Cost per ton sensitivity</t>
  </si>
  <si>
    <t>Net cost per ton sensitivity</t>
  </si>
  <si>
    <t>Overall System Cost</t>
  </si>
  <si>
    <t>Bales Sent to Market</t>
  </si>
  <si>
    <t>Target Materials Received</t>
  </si>
  <si>
    <t>Average Bale Quality</t>
  </si>
  <si>
    <t>Space</t>
  </si>
  <si>
    <t>MRF_CapEquip
MRF_Labor
MRF_Ops
SortationTotal
CommodityValues
CommodityRevenues</t>
  </si>
  <si>
    <t>June 9, 2020</t>
  </si>
  <si>
    <t xml:space="preserve">Avg. reduce 5.0 container FTE/shift, 1.5 shifts/day. </t>
  </si>
  <si>
    <t>Avg. reduce 4.3 FTE/shift/optical, 1.5 shifts/day; avg. reduce 5.0 container FTE/shift per MRF, 1.5 shifts/day; avg. reduce 2.0 pre-sort FTE/shift per MF due to less contamination and need to sort bulky rigid plastic. Add 0.5 FTE for additional opticals/robots maintentance.</t>
  </si>
  <si>
    <t>No container optical or robot upgrades</t>
  </si>
  <si>
    <t>FTE_Equipment</t>
  </si>
  <si>
    <t>Change_Per_MRF_OpticalRobot-Maintenance</t>
  </si>
  <si>
    <t>MRF Sorter and Maintenance Labor Changes (based on new equipment, operational, or stream-type changes)</t>
  </si>
  <si>
    <t>Change_Per_MRF_ContainersGrades</t>
  </si>
  <si>
    <t>Avg. reduce 4.3 FTE/shift/optical, 1.5 shifts/day. Add 0.5 FTE/MRF for additional opticals/robots maintentance.</t>
  </si>
  <si>
    <t>Avg. reduce 4.3 FTE/shift/optical, 1.5 shifts/day; avg. reduce 5.0 container FTE/shift per MRF, 1.5 shifts/day. Add 0.5 FTE/MRF for additional opticals/robots maintentance.</t>
  </si>
  <si>
    <t>Avg. reduces 1.0 FTE/robot per shift for existing manual and QC sorters while producing more grades (assume robots are 50% sorting and 50% QC); add 1.0 container FTE/shift for 3 shifts/day. Add 1.0 FTE/MRF for additional opticals/robots maintentance.</t>
  </si>
  <si>
    <t>Avg. reduces 1 FTE/robot per shift for existing manual and QC sorters while producing more grades (assume robots are 50% sorting and 50% QC) (net -4 FTE); add 1.0 container FTE/shift for 3 shifts/day. On pre-sort, add 4 pre-sort FTE/shift at container to pre-sort contamination and sort bulky rigid plastic; on paper side avg. reduce 2 pre-sort FTE/shift due to less contamination. Add 1.0 FTE/MRF for additional opticals/robots maintentance.</t>
  </si>
  <si>
    <t>SortFTE_Cumulative</t>
  </si>
  <si>
    <t>MaintenanceFTE_Cumulative</t>
  </si>
  <si>
    <t>LaborType_ID2</t>
  </si>
  <si>
    <t>Hourly_Pay_2018</t>
  </si>
  <si>
    <t>HourlyLoadedCost_2025</t>
  </si>
  <si>
    <t>HourlyLoadedCost_2018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</si>
</sst>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quot;$&quot;#,##0"/>
    <numFmt numFmtId="168" formatCode="&quot;$&quot;#,##0.00"/>
    <numFmt numFmtId="169" formatCode="_([$$-409]* #,##0_);_([$$-409]* \(#,##0\);_([$$-409]* &quot;-&quot;??_);_(@_)"/>
    <numFmt numFmtId="170" formatCode="_(#,##0_);_(\(#,##0\);_(&quot;-&quot;??_);_(@_)"/>
    <numFmt numFmtId="171" formatCode="_(* #,##0_);_(* \(#,##0\);_(* &quot;-&quot;?_);_(@_)"/>
    <numFmt numFmtId="172" formatCode="_(* #,##0.0_);_(* \(#,##0.0\);_(* &quot;-&quot;?_);_(@_)"/>
    <numFmt numFmtId="173" formatCode="_([$$-409]* #,##0.00_);_([$$-409]* \(#,##0.00\);_([$$-409]* &quot;-&quot;??_);_(@_)"/>
    <numFmt numFmtId="174" formatCode="_(&quot;$&quot;* #,##0.0_);_(&quot;$&quot;* \(#,##0.0\);_(&quot;$&quot;* &quot;-&quot;?_);_(@_)"/>
    <numFmt numFmtId="175" formatCode="_(&quot;$&quot;* #,##0.00_);_(&quot;$&quot;* \(#,##0.00\);_(&quot;$&quot;* &quot;-&quot;_);_(@_)"/>
    <numFmt numFmtId="176" formatCode="[$-409]m/d/yy\ h:mm\ AM/PM;@"/>
    <numFmt numFmtId="177" formatCode="0%;[Red]\-0%;_(* &quot;-&quot;??_);_(@_)"/>
    <numFmt numFmtId="178" formatCode="0%;\-0%;&quot;-&quot;??"/>
    <numFmt numFmtId="179" formatCode="0.00%;[Red]\-0.00%;_(* &quot;-&quot;??_);_(@_)"/>
    <numFmt numFmtId="180" formatCode="0.00%;\-0.00%;&quot;-&quot;??"/>
    <numFmt numFmtId="181" formatCode="_(&quot;$&quot;* #,###,&quot;,000&quot;_);_(&quot;$&quot;* \(#,###,&quot;,000&quot;\);_(&quot;$&quot;* &quot;-&quot;_);* @_)"/>
    <numFmt numFmtId="182" formatCode="\+0%;\-0%;&quot;-&quot;??"/>
    <numFmt numFmtId="183" formatCode="###,&quot;k&quot;;\-###,&quot;k&quot;;&quot;-&quot;;_(@_)"/>
    <numFmt numFmtId="184" formatCode="&quot;$&quot;###.0,,&quot;m&quot;;\-&quot;$&quot;###.0,,&quot;m&quot;;&quot;-&quot;;_(@_)"/>
  </numFmts>
  <fonts count="78" x14ac:knownFonts="1">
    <font>
      <sz val="11"/>
      <color theme="1"/>
      <name val="Arial"/>
      <family val="2"/>
      <scheme val="minor"/>
    </font>
    <font>
      <sz val="11"/>
      <color theme="1"/>
      <name val="Arial"/>
      <family val="2"/>
      <scheme val="minor"/>
    </font>
    <font>
      <sz val="11"/>
      <color theme="0"/>
      <name val="Arial"/>
      <family val="2"/>
      <scheme val="minor"/>
    </font>
    <font>
      <sz val="10"/>
      <color theme="1"/>
      <name val="Arial"/>
      <family val="2"/>
    </font>
    <font>
      <b/>
      <sz val="10"/>
      <color rgb="FF000000"/>
      <name val="Arial"/>
      <family val="2"/>
    </font>
    <font>
      <b/>
      <sz val="10"/>
      <color rgb="FFFFFFFF"/>
      <name val="Arial"/>
      <family val="2"/>
    </font>
    <font>
      <sz val="10"/>
      <color rgb="FFFFFFFF"/>
      <name val="Arial"/>
      <family val="2"/>
    </font>
    <font>
      <sz val="10"/>
      <color rgb="FF000000"/>
      <name val="Arial"/>
      <family val="2"/>
    </font>
    <font>
      <b/>
      <sz val="10"/>
      <color theme="1"/>
      <name val="Arial"/>
      <family val="2"/>
    </font>
    <font>
      <b/>
      <sz val="10"/>
      <color theme="0"/>
      <name val="Arial"/>
      <family val="2"/>
    </font>
    <font>
      <sz val="10"/>
      <color theme="0"/>
      <name val="Arial"/>
      <family val="2"/>
    </font>
    <font>
      <i/>
      <sz val="10"/>
      <color rgb="FFFF0000"/>
      <name val="Arial"/>
      <family val="2"/>
    </font>
    <font>
      <sz val="10"/>
      <color rgb="FFFF0000"/>
      <name val="Arial"/>
      <family val="2"/>
    </font>
    <font>
      <i/>
      <sz val="10"/>
      <color theme="1"/>
      <name val="Arial"/>
      <family val="2"/>
    </font>
    <font>
      <sz val="8"/>
      <color rgb="FF595959"/>
      <name val="Calibri"/>
      <family val="2"/>
    </font>
    <font>
      <sz val="8"/>
      <name val="Arial"/>
      <family val="2"/>
      <scheme val="minor"/>
    </font>
    <font>
      <b/>
      <sz val="15"/>
      <color theme="3"/>
      <name val="Arial"/>
      <family val="2"/>
      <scheme val="minor"/>
    </font>
    <font>
      <b/>
      <sz val="11"/>
      <color rgb="FF3F3F3F"/>
      <name val="Arial"/>
      <family val="2"/>
      <scheme val="minor"/>
    </font>
    <font>
      <i/>
      <sz val="10"/>
      <color rgb="FF000000"/>
      <name val="Arial"/>
      <family val="2"/>
    </font>
    <font>
      <b/>
      <sz val="13"/>
      <color theme="3"/>
      <name val="Arial"/>
      <family val="2"/>
      <scheme val="minor"/>
    </font>
    <font>
      <sz val="11"/>
      <name val="Arial"/>
      <family val="2"/>
    </font>
    <font>
      <sz val="10"/>
      <color rgb="FF3F3F76"/>
      <name val="Arial"/>
      <family val="2"/>
    </font>
    <font>
      <sz val="10"/>
      <name val="Arial"/>
      <family val="2"/>
    </font>
    <font>
      <sz val="11"/>
      <name val="Arial"/>
      <family val="2"/>
      <scheme val="minor"/>
    </font>
    <font>
      <i/>
      <sz val="11"/>
      <color rgb="FF7F7F7F"/>
      <name val="Arial"/>
      <family val="2"/>
      <scheme val="minor"/>
    </font>
    <font>
      <b/>
      <sz val="10"/>
      <name val="Arial"/>
      <family val="2"/>
    </font>
    <font>
      <sz val="5"/>
      <color theme="1"/>
      <name val="Arial"/>
      <family val="2"/>
    </font>
    <font>
      <i/>
      <sz val="10"/>
      <name val="Arial"/>
      <family val="2"/>
    </font>
    <font>
      <b/>
      <sz val="11"/>
      <color theme="9" tint="-0.24994659260841701"/>
      <name val="Arial"/>
      <family val="2"/>
      <scheme val="minor"/>
    </font>
    <font>
      <b/>
      <sz val="11"/>
      <color theme="4"/>
      <name val="Arial"/>
      <family val="2"/>
      <scheme val="minor"/>
    </font>
    <font>
      <b/>
      <sz val="15"/>
      <color theme="3"/>
      <name val="Arial"/>
      <family val="2"/>
    </font>
    <font>
      <b/>
      <sz val="11"/>
      <color theme="9" tint="-0.24994659260841701"/>
      <name val="Arial"/>
      <family val="2"/>
    </font>
    <font>
      <sz val="11"/>
      <color theme="1"/>
      <name val="Arial"/>
      <family val="2"/>
    </font>
    <font>
      <b/>
      <sz val="11"/>
      <color rgb="FF3F3F3F"/>
      <name val="Arial"/>
      <family val="2"/>
    </font>
    <font>
      <b/>
      <sz val="13"/>
      <color theme="3"/>
      <name val="Arial"/>
      <family val="2"/>
    </font>
    <font>
      <b/>
      <sz val="11"/>
      <color theme="4"/>
      <name val="Arial"/>
      <family val="2"/>
    </font>
    <font>
      <b/>
      <sz val="5"/>
      <color theme="3"/>
      <name val="Arial"/>
      <family val="2"/>
    </font>
    <font>
      <i/>
      <sz val="11"/>
      <color rgb="FFFF0000"/>
      <name val="Arial"/>
      <family val="2"/>
    </font>
    <font>
      <sz val="11"/>
      <color rgb="FFFF0000"/>
      <name val="Arial"/>
      <family val="2"/>
      <scheme val="minor"/>
    </font>
    <font>
      <sz val="11"/>
      <color indexed="8"/>
      <name val="Calibri"/>
      <family val="2"/>
    </font>
    <font>
      <b/>
      <sz val="9"/>
      <color indexed="81"/>
      <name val="Tahoma"/>
      <family val="2"/>
    </font>
    <font>
      <sz val="9"/>
      <color indexed="81"/>
      <name val="Tahoma"/>
      <family val="2"/>
    </font>
    <font>
      <b/>
      <sz val="10"/>
      <color theme="9" tint="-0.249977111117893"/>
      <name val="Arial"/>
      <family val="2"/>
    </font>
    <font>
      <sz val="11"/>
      <color indexed="8"/>
      <name val="Arial"/>
      <family val="2"/>
      <scheme val="minor"/>
    </font>
    <font>
      <b/>
      <sz val="11"/>
      <color theme="9" tint="-0.249977111117893"/>
      <name val="Arial"/>
      <family val="2"/>
    </font>
    <font>
      <b/>
      <sz val="11"/>
      <color theme="1"/>
      <name val="Arial"/>
      <family val="2"/>
      <scheme val="minor"/>
    </font>
    <font>
      <b/>
      <sz val="14"/>
      <color theme="1"/>
      <name val="Arial"/>
      <family val="2"/>
      <scheme val="minor"/>
    </font>
    <font>
      <sz val="10"/>
      <color theme="1"/>
      <name val="Arial"/>
      <family val="2"/>
    </font>
    <font>
      <sz val="11"/>
      <name val="Arial"/>
      <family val="2"/>
    </font>
    <font>
      <b/>
      <sz val="11"/>
      <color theme="4"/>
      <name val="Arial"/>
      <family val="2"/>
    </font>
    <font>
      <b/>
      <sz val="11"/>
      <color rgb="FF3F3F3F"/>
      <name val="Arial"/>
      <family val="2"/>
    </font>
    <font>
      <strike/>
      <sz val="10"/>
      <color theme="1"/>
      <name val="Arial"/>
      <family val="2"/>
    </font>
    <font>
      <b/>
      <sz val="11"/>
      <color theme="0"/>
      <name val="Arial"/>
      <family val="2"/>
      <scheme val="minor"/>
    </font>
    <font>
      <b/>
      <sz val="11"/>
      <name val="Arial"/>
      <family val="2"/>
      <scheme val="minor"/>
    </font>
    <font>
      <i/>
      <sz val="11"/>
      <color theme="1"/>
      <name val="Arial"/>
      <family val="2"/>
      <scheme val="minor"/>
    </font>
    <font>
      <b/>
      <strike/>
      <sz val="10"/>
      <color theme="0"/>
      <name val="Arial"/>
      <family val="2"/>
    </font>
    <font>
      <strike/>
      <sz val="10"/>
      <color theme="0"/>
      <name val="Arial"/>
      <family val="2"/>
    </font>
    <font>
      <b/>
      <i/>
      <sz val="10"/>
      <color rgb="FFFF0000"/>
      <name val="Arial"/>
      <family val="2"/>
    </font>
    <font>
      <sz val="11"/>
      <color theme="4"/>
      <name val="Arial"/>
      <family val="2"/>
      <scheme val="minor"/>
    </font>
    <font>
      <sz val="10"/>
      <color theme="1"/>
      <name val="Arial"/>
      <family val="2"/>
    </font>
    <font>
      <b/>
      <sz val="11"/>
      <color rgb="FF3F3F3F"/>
      <name val="Arial"/>
      <family val="2"/>
    </font>
    <font>
      <b/>
      <sz val="10"/>
      <color theme="1"/>
      <name val="Arial"/>
      <family val="2"/>
    </font>
    <font>
      <b/>
      <i/>
      <sz val="10"/>
      <color theme="1"/>
      <name val="Arial"/>
      <family val="2"/>
    </font>
    <font>
      <sz val="10"/>
      <color theme="1"/>
      <name val="Arial"/>
      <family val="2"/>
      <scheme val="minor"/>
    </font>
    <font>
      <b/>
      <sz val="12"/>
      <name val="Arial"/>
      <family val="2"/>
    </font>
    <font>
      <b/>
      <sz val="12"/>
      <color rgb="FFFFFFFF"/>
      <name val="Arial"/>
      <family val="2"/>
    </font>
    <font>
      <b/>
      <sz val="12"/>
      <color theme="1"/>
      <name val="Arial"/>
      <family val="2"/>
    </font>
    <font>
      <sz val="9"/>
      <color theme="1"/>
      <name val="Arial"/>
      <family val="2"/>
      <scheme val="minor"/>
    </font>
    <font>
      <sz val="10"/>
      <color theme="2"/>
      <name val="Arial"/>
      <family val="2"/>
    </font>
    <font>
      <i/>
      <sz val="11"/>
      <name val="Arial"/>
      <family val="2"/>
    </font>
    <font>
      <sz val="10"/>
      <color theme="1"/>
      <name val="Arial"/>
      <family val="2"/>
    </font>
    <font>
      <strike/>
      <sz val="10"/>
      <color theme="2" tint="-0.249977111117893"/>
      <name val="Arial"/>
      <family val="2"/>
    </font>
    <font>
      <sz val="11"/>
      <color theme="2"/>
      <name val="Arial"/>
      <family val="2"/>
      <scheme val="minor"/>
    </font>
    <font>
      <b/>
      <sz val="9"/>
      <color theme="0"/>
      <name val="Arial"/>
      <family val="2"/>
      <scheme val="minor"/>
    </font>
    <font>
      <sz val="3"/>
      <color theme="1"/>
      <name val="Arial"/>
      <family val="2"/>
      <scheme val="minor"/>
    </font>
    <font>
      <b/>
      <sz val="16"/>
      <color theme="1"/>
      <name val="Arial"/>
      <family val="2"/>
      <scheme val="minor"/>
    </font>
    <font>
      <sz val="14"/>
      <color theme="1"/>
      <name val="Arial"/>
      <family val="2"/>
      <scheme val="minor"/>
    </font>
    <font>
      <sz val="10"/>
      <color theme="1"/>
      <name val="Arial"/>
    </font>
  </fonts>
  <fills count="47">
    <fill>
      <patternFill patternType="none"/>
    </fill>
    <fill>
      <patternFill patternType="gray125"/>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1"/>
        <bgColor indexed="64"/>
      </patternFill>
    </fill>
    <fill>
      <patternFill patternType="solid">
        <fgColor theme="9" tint="-0.249977111117893"/>
        <bgColor rgb="FFFFFFFF"/>
      </patternFill>
    </fill>
    <fill>
      <patternFill patternType="solid">
        <fgColor theme="9" tint="0.59999389629810485"/>
        <bgColor rgb="FFFFFFFF"/>
      </patternFill>
    </fill>
    <fill>
      <patternFill patternType="solid">
        <fgColor theme="4" tint="0.79998168889431442"/>
        <bgColor indexed="65"/>
      </patternFill>
    </fill>
    <fill>
      <patternFill patternType="solid">
        <fgColor theme="4" tint="0.39997558519241921"/>
        <bgColor indexed="65"/>
      </patternFill>
    </fill>
    <fill>
      <patternFill patternType="solid">
        <fgColor theme="4"/>
        <bgColor theme="4"/>
      </patternFill>
    </fill>
    <fill>
      <patternFill patternType="solid">
        <fgColor theme="2"/>
        <bgColor rgb="FFFFFFFF"/>
      </patternFill>
    </fill>
    <fill>
      <patternFill patternType="solid">
        <fgColor rgb="FFFFFFCC"/>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theme="0" tint="-4.9989318521683403E-2"/>
        <bgColor indexed="64"/>
      </patternFill>
    </fill>
    <fill>
      <patternFill patternType="solid">
        <fgColor rgb="FFC5D3ED"/>
        <bgColor indexed="64"/>
      </patternFill>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A5A5A5"/>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4"/>
      </patternFill>
    </fill>
    <fill>
      <patternFill patternType="solid">
        <fgColor theme="1"/>
        <bgColor theme="1"/>
      </patternFill>
    </fill>
    <fill>
      <patternFill patternType="solid">
        <fgColor theme="8" tint="0.79998168889431442"/>
        <bgColor indexed="64"/>
      </patternFill>
    </fill>
    <fill>
      <patternFill patternType="solid">
        <fgColor theme="8"/>
        <bgColor indexed="64"/>
      </patternFill>
    </fill>
    <fill>
      <patternFill patternType="solid">
        <fgColor theme="1" tint="0.249977111117893"/>
        <bgColor indexed="64"/>
      </patternFill>
    </fill>
    <fill>
      <patternFill patternType="solid">
        <fgColor theme="5"/>
        <bgColor indexed="64"/>
      </patternFill>
    </fill>
    <fill>
      <patternFill patternType="solid">
        <fgColor theme="9" tint="0.39997558519241921"/>
        <bgColor rgb="FFFFFFFF"/>
      </patternFill>
    </fill>
    <fill>
      <patternFill patternType="solid">
        <fgColor theme="9" tint="0.39997558519241921"/>
        <bgColor indexed="64"/>
      </patternFill>
    </fill>
    <fill>
      <patternFill patternType="solid">
        <fgColor theme="9" tint="-0.249977111117893"/>
        <bgColor indexed="64"/>
      </patternFill>
    </fill>
    <fill>
      <patternFill patternType="solid">
        <fgColor rgb="FF8BE1FF"/>
        <bgColor indexed="64"/>
      </patternFill>
    </fill>
    <fill>
      <patternFill patternType="solid">
        <fgColor theme="0" tint="-0.14999847407452621"/>
        <bgColor indexed="64"/>
      </patternFill>
    </fill>
    <fill>
      <patternFill patternType="solid">
        <fgColor theme="6" tint="0.79998168889431442"/>
        <bgColor indexed="65"/>
      </patternFill>
    </fill>
    <fill>
      <patternFill patternType="solid">
        <fgColor rgb="FFCC99FF"/>
        <bgColor indexed="64"/>
      </patternFill>
    </fill>
    <fill>
      <patternFill patternType="solid">
        <fgColor theme="6" tint="-0.499984740745262"/>
        <bgColor indexed="64"/>
      </patternFill>
    </fill>
    <fill>
      <patternFill patternType="solid">
        <fgColor rgb="FFFF33CC"/>
        <bgColor indexed="64"/>
      </patternFill>
    </fill>
    <fill>
      <patternFill patternType="solid">
        <fgColor rgb="FFFF99FF"/>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5" tint="0.39997558519241921"/>
        <bgColor indexed="64"/>
      </patternFill>
    </fill>
    <fill>
      <patternFill patternType="solid">
        <fgColor theme="5" tint="0.59999389629810485"/>
        <bgColor indexed="64"/>
      </patternFill>
    </fill>
  </fills>
  <borders count="43">
    <border>
      <left/>
      <right/>
      <top/>
      <bottom/>
      <diagonal/>
    </border>
    <border>
      <left/>
      <right style="thin">
        <color theme="6" tint="0.39997558519241921"/>
      </right>
      <top style="thin">
        <color theme="6" tint="0.39997558519241921"/>
      </top>
      <bottom style="thin">
        <color theme="6" tint="0.39997558519241921"/>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
      <left style="thin">
        <color rgb="FF7F7F7F"/>
      </left>
      <right style="thin">
        <color rgb="FF7F7F7F"/>
      </right>
      <top style="thin">
        <color rgb="FF7F7F7F"/>
      </top>
      <bottom/>
      <diagonal/>
    </border>
    <border>
      <left style="thin">
        <color theme="0" tint="-0.499984740745262"/>
      </left>
      <right style="thin">
        <color theme="0" tint="-0.499984740745262"/>
      </right>
      <top style="thin">
        <color theme="0" tint="-0.499984740745262"/>
      </top>
      <bottom/>
      <diagonal/>
    </border>
    <border>
      <left style="thin">
        <color rgb="FF3F3F3F"/>
      </left>
      <right style="thin">
        <color rgb="FF3F3F3F"/>
      </right>
      <top style="thin">
        <color rgb="FF3F3F3F"/>
      </top>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rgb="FF7F7F7F"/>
      </right>
      <top style="thin">
        <color theme="0" tint="-0.499984740745262"/>
      </top>
      <bottom style="thin">
        <color theme="0" tint="-0.499984740745262"/>
      </bottom>
      <diagonal/>
    </border>
    <border>
      <left style="thin">
        <color theme="0" tint="-0.499984740745262"/>
      </left>
      <right style="thin">
        <color rgb="FF7F7F7F"/>
      </right>
      <top style="thin">
        <color theme="0" tint="-0.499984740745262"/>
      </top>
      <bottom/>
      <diagonal/>
    </border>
    <border>
      <left style="double">
        <color rgb="FF3F3F3F"/>
      </left>
      <right style="double">
        <color rgb="FF3F3F3F"/>
      </right>
      <top style="double">
        <color rgb="FF3F3F3F"/>
      </top>
      <bottom style="double">
        <color rgb="FF3F3F3F"/>
      </bottom>
      <diagonal/>
    </border>
    <border>
      <left style="thin">
        <color theme="4"/>
      </left>
      <right/>
      <top/>
      <bottom/>
      <diagonal/>
    </border>
    <border>
      <left/>
      <right style="thin">
        <color theme="4"/>
      </right>
      <top style="thin">
        <color theme="4"/>
      </top>
      <bottom/>
      <diagonal/>
    </border>
    <border>
      <left/>
      <right/>
      <top style="thin">
        <color theme="4"/>
      </top>
      <bottom style="thin">
        <color theme="4"/>
      </bottom>
      <diagonal/>
    </border>
    <border>
      <left/>
      <right style="thin">
        <color rgb="FF7F7F7F"/>
      </right>
      <top style="thin">
        <color theme="4"/>
      </top>
      <bottom/>
      <diagonal/>
    </border>
    <border>
      <left/>
      <right/>
      <top style="thin">
        <color theme="1"/>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top style="thin">
        <color rgb="FF7F7F7F"/>
      </top>
      <bottom style="medium">
        <color indexed="64"/>
      </bottom>
      <diagonal/>
    </border>
    <border>
      <left style="thin">
        <color rgb="FF7F7F7F"/>
      </left>
      <right/>
      <top style="thin">
        <color rgb="FF7F7F7F"/>
      </top>
      <bottom/>
      <diagonal/>
    </border>
    <border>
      <left/>
      <right/>
      <top style="thin">
        <color theme="6" tint="0.39997558519241921"/>
      </top>
      <bottom style="thin">
        <color theme="6" tint="0.39997558519241921"/>
      </bottom>
      <diagonal/>
    </border>
    <border>
      <left/>
      <right/>
      <top style="thin">
        <color theme="6" tint="0.39997558519241921"/>
      </top>
      <bottom/>
      <diagonal/>
    </border>
  </borders>
  <cellStyleXfs count="29">
    <xf numFmtId="0" fontId="0" fillId="0" borderId="0"/>
    <xf numFmtId="43"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2" applyNumberFormat="0" applyFill="0" applyAlignment="0" applyProtection="0"/>
    <xf numFmtId="0" fontId="23" fillId="17" borderId="3" applyNumberFormat="0" applyAlignment="0" applyProtection="0"/>
    <xf numFmtId="0" fontId="1" fillId="9" borderId="0" applyNumberFormat="0" applyBorder="0" applyAlignment="0" applyProtection="0"/>
    <xf numFmtId="0" fontId="1" fillId="10" borderId="0" applyNumberFormat="0" applyBorder="0" applyAlignment="0" applyProtection="0"/>
    <xf numFmtId="0" fontId="19" fillId="0" borderId="6" applyNumberFormat="0" applyFill="0" applyAlignment="0" applyProtection="0"/>
    <xf numFmtId="0" fontId="24" fillId="0" borderId="0" applyNumberFormat="0" applyFill="0" applyBorder="0" applyAlignment="0" applyProtection="0"/>
    <xf numFmtId="0" fontId="17" fillId="18" borderId="4" applyNumberFormat="0" applyAlignment="0" applyProtection="0"/>
    <xf numFmtId="0" fontId="28" fillId="0" borderId="0" applyNumberFormat="0" applyBorder="0" applyAlignment="0" applyProtection="0"/>
    <xf numFmtId="0" fontId="23" fillId="13" borderId="3" applyNumberFormat="0" applyAlignment="0" applyProtection="0"/>
    <xf numFmtId="0" fontId="29" fillId="17" borderId="10" applyNumberFormat="0" applyAlignment="0" applyProtection="0"/>
    <xf numFmtId="0" fontId="38" fillId="0" borderId="0" applyNumberFormat="0" applyFill="0" applyBorder="0" applyAlignment="0" applyProtection="0"/>
    <xf numFmtId="0" fontId="32" fillId="0" borderId="0"/>
    <xf numFmtId="43" fontId="32"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43" fillId="0" borderId="0"/>
    <xf numFmtId="44" fontId="43" fillId="0" borderId="0" applyFont="0" applyFill="0" applyBorder="0" applyAlignment="0" applyProtection="0"/>
    <xf numFmtId="0" fontId="1" fillId="0" borderId="0"/>
    <xf numFmtId="0" fontId="52" fillId="22" borderId="19" applyNumberFormat="0" applyAlignment="0" applyProtection="0"/>
    <xf numFmtId="0" fontId="2" fillId="26" borderId="0" applyNumberFormat="0" applyBorder="0" applyAlignment="0" applyProtection="0"/>
    <xf numFmtId="0" fontId="1" fillId="37" borderId="0" applyNumberFormat="0" applyBorder="0" applyAlignment="0" applyProtection="0"/>
  </cellStyleXfs>
  <cellXfs count="618">
    <xf numFmtId="0" fontId="0" fillId="0" borderId="0" xfId="0"/>
    <xf numFmtId="0" fontId="3" fillId="0" borderId="0" xfId="0" applyFont="1"/>
    <xf numFmtId="0" fontId="8" fillId="0" borderId="0" xfId="0" applyFont="1"/>
    <xf numFmtId="0" fontId="10" fillId="6" borderId="0" xfId="0" applyFont="1" applyFill="1" applyAlignment="1">
      <alignment horizontal="left" vertical="top"/>
    </xf>
    <xf numFmtId="0" fontId="3" fillId="0" borderId="0" xfId="0" applyFont="1" applyAlignment="1">
      <alignment horizontal="left" vertical="top"/>
    </xf>
    <xf numFmtId="49" fontId="3" fillId="0" borderId="0" xfId="0" applyNumberFormat="1" applyFont="1" applyAlignment="1">
      <alignment horizontal="left" vertical="top"/>
    </xf>
    <xf numFmtId="0" fontId="3" fillId="0" borderId="0" xfId="0" quotePrefix="1" applyFont="1" applyAlignment="1">
      <alignment horizontal="left" vertical="top"/>
    </xf>
    <xf numFmtId="0" fontId="11" fillId="0" borderId="0" xfId="0" applyFont="1" applyAlignment="1">
      <alignment horizontal="left" vertical="top"/>
    </xf>
    <xf numFmtId="0" fontId="3" fillId="0" borderId="1" xfId="0" applyFont="1" applyBorder="1" applyAlignment="1">
      <alignment horizontal="left" vertical="top"/>
    </xf>
    <xf numFmtId="0" fontId="8" fillId="0" borderId="0" xfId="0" applyFont="1" applyAlignment="1">
      <alignment horizontal="left" vertical="top"/>
    </xf>
    <xf numFmtId="164" fontId="3" fillId="0" borderId="0" xfId="1" applyNumberFormat="1" applyFont="1" applyAlignment="1">
      <alignment horizontal="left" vertical="top"/>
    </xf>
    <xf numFmtId="0" fontId="12" fillId="0" borderId="0" xfId="0" applyFont="1" applyAlignment="1">
      <alignment horizontal="left" vertical="top"/>
    </xf>
    <xf numFmtId="0" fontId="28" fillId="0" borderId="0" xfId="15"/>
    <xf numFmtId="0" fontId="28" fillId="0" borderId="0" xfId="15" applyAlignment="1">
      <alignment horizontal="center" vertical="top"/>
    </xf>
    <xf numFmtId="0" fontId="3" fillId="0" borderId="0" xfId="0" applyFont="1" applyAlignment="1">
      <alignment horizontal="center"/>
    </xf>
    <xf numFmtId="0" fontId="8" fillId="0" borderId="0" xfId="0" applyFont="1" applyAlignment="1">
      <alignment horizontal="left" wrapText="1"/>
    </xf>
    <xf numFmtId="164" fontId="8" fillId="0" borderId="0" xfId="1" applyNumberFormat="1" applyFont="1" applyAlignment="1">
      <alignment horizontal="left" wrapText="1"/>
    </xf>
    <xf numFmtId="0" fontId="9" fillId="11" borderId="5" xfId="0" applyFont="1" applyFill="1" applyBorder="1" applyAlignment="1">
      <alignment horizontal="left" wrapText="1"/>
    </xf>
    <xf numFmtId="0" fontId="3" fillId="0" borderId="0" xfId="0" applyFont="1" applyFill="1" applyAlignment="1">
      <alignment horizontal="left" vertical="top"/>
    </xf>
    <xf numFmtId="0" fontId="23" fillId="13" borderId="3" xfId="16"/>
    <xf numFmtId="164" fontId="3" fillId="0" borderId="0" xfId="1" applyNumberFormat="1" applyFont="1"/>
    <xf numFmtId="165" fontId="3" fillId="0" borderId="0" xfId="0" applyNumberFormat="1" applyFont="1"/>
    <xf numFmtId="0" fontId="3" fillId="0" borderId="0" xfId="0" applyFont="1" applyAlignment="1">
      <alignment horizontal="left"/>
    </xf>
    <xf numFmtId="0" fontId="3" fillId="0" borderId="0" xfId="0" applyNumberFormat="1" applyFont="1" applyAlignment="1">
      <alignment horizontal="left"/>
    </xf>
    <xf numFmtId="0" fontId="3" fillId="0" borderId="0" xfId="0" applyNumberFormat="1" applyFont="1"/>
    <xf numFmtId="0" fontId="3" fillId="0" borderId="0" xfId="0" applyFont="1" applyAlignment="1">
      <alignment wrapText="1"/>
    </xf>
    <xf numFmtId="0" fontId="16" fillId="0" borderId="2" xfId="8" applyFill="1" applyAlignment="1">
      <alignment horizontal="left" vertical="top"/>
    </xf>
    <xf numFmtId="0" fontId="16" fillId="0" borderId="2" xfId="8"/>
    <xf numFmtId="0" fontId="3" fillId="0" borderId="0" xfId="0" applyFont="1" applyAlignment="1"/>
    <xf numFmtId="0" fontId="12" fillId="0" borderId="0" xfId="15" applyFont="1" applyAlignment="1">
      <alignment horizontal="center"/>
    </xf>
    <xf numFmtId="0" fontId="3" fillId="0" borderId="0" xfId="0" applyFont="1" applyAlignment="1">
      <alignment horizontal="right"/>
    </xf>
    <xf numFmtId="164" fontId="3" fillId="0" borderId="0" xfId="0" applyNumberFormat="1" applyFont="1"/>
    <xf numFmtId="164" fontId="29" fillId="17" borderId="10" xfId="17" applyNumberFormat="1"/>
    <xf numFmtId="164" fontId="23" fillId="13" borderId="3" xfId="16" applyNumberFormat="1"/>
    <xf numFmtId="0" fontId="0" fillId="0" borderId="0" xfId="0"/>
    <xf numFmtId="0" fontId="3" fillId="0" borderId="0" xfId="0" applyFont="1"/>
    <xf numFmtId="0" fontId="8" fillId="0" borderId="0" xfId="0" applyFont="1"/>
    <xf numFmtId="0" fontId="9" fillId="7" borderId="0" xfId="2" applyFont="1" applyFill="1"/>
    <xf numFmtId="0" fontId="10" fillId="7" borderId="0" xfId="2" applyFont="1" applyFill="1"/>
    <xf numFmtId="0" fontId="5" fillId="7" borderId="0" xfId="3" applyFont="1" applyFill="1"/>
    <xf numFmtId="0" fontId="6" fillId="7" borderId="0" xfId="3" applyFont="1" applyFill="1"/>
    <xf numFmtId="0" fontId="4" fillId="8" borderId="0" xfId="5" applyFont="1" applyFill="1"/>
    <xf numFmtId="0" fontId="4" fillId="8" borderId="0" xfId="4" applyFont="1" applyFill="1"/>
    <xf numFmtId="0" fontId="7" fillId="8" borderId="0" xfId="4" applyFont="1" applyFill="1"/>
    <xf numFmtId="0" fontId="3" fillId="0" borderId="0" xfId="0" applyFont="1" applyFill="1"/>
    <xf numFmtId="0" fontId="4" fillId="8" borderId="0" xfId="5" applyFont="1" applyFill="1" applyAlignment="1">
      <alignment horizontal="center" wrapText="1"/>
    </xf>
    <xf numFmtId="0" fontId="7" fillId="12" borderId="0" xfId="10" applyFont="1" applyFill="1"/>
    <xf numFmtId="0" fontId="7" fillId="8" borderId="0" xfId="11" applyFont="1" applyFill="1"/>
    <xf numFmtId="165" fontId="7" fillId="8" borderId="0" xfId="6" applyNumberFormat="1" applyFont="1" applyFill="1"/>
    <xf numFmtId="165" fontId="3" fillId="0" borderId="0" xfId="6" applyNumberFormat="1" applyFont="1" applyFill="1"/>
    <xf numFmtId="165" fontId="7" fillId="12" borderId="0" xfId="6" applyNumberFormat="1" applyFont="1" applyFill="1"/>
    <xf numFmtId="165" fontId="4" fillId="8" borderId="0" xfId="6" applyNumberFormat="1" applyFont="1" applyFill="1"/>
    <xf numFmtId="165" fontId="18" fillId="8" borderId="0" xfId="6" applyNumberFormat="1" applyFont="1" applyFill="1"/>
    <xf numFmtId="164" fontId="3" fillId="0" borderId="0" xfId="1" applyNumberFormat="1" applyFont="1" applyFill="1" applyAlignment="1">
      <alignment horizontal="right"/>
    </xf>
    <xf numFmtId="164" fontId="7" fillId="8" borderId="0" xfId="1" applyNumberFormat="1" applyFont="1" applyFill="1" applyAlignment="1">
      <alignment horizontal="right"/>
    </xf>
    <xf numFmtId="0" fontId="24" fillId="0" borderId="0" xfId="13"/>
    <xf numFmtId="0" fontId="9" fillId="16" borderId="7" xfId="0" applyFont="1" applyFill="1" applyBorder="1" applyAlignment="1">
      <alignment horizontal="left" vertical="top"/>
    </xf>
    <xf numFmtId="0" fontId="9" fillId="16" borderId="9" xfId="0" applyFont="1" applyFill="1" applyBorder="1" applyAlignment="1">
      <alignment vertical="top"/>
    </xf>
    <xf numFmtId="0" fontId="13" fillId="0" borderId="7" xfId="0" applyFont="1" applyBorder="1" applyAlignment="1">
      <alignment horizontal="left" vertical="top" wrapText="1"/>
    </xf>
    <xf numFmtId="0" fontId="25" fillId="0" borderId="0" xfId="0" applyFont="1" applyFill="1" applyAlignment="1">
      <alignment horizontal="left" vertical="top"/>
    </xf>
    <xf numFmtId="0" fontId="26" fillId="0" borderId="0" xfId="0" applyFont="1" applyAlignment="1">
      <alignment horizontal="left" vertical="top"/>
    </xf>
    <xf numFmtId="0" fontId="27" fillId="0" borderId="9" xfId="0" applyFont="1" applyFill="1" applyBorder="1" applyAlignment="1">
      <alignment horizontal="left" vertical="top"/>
    </xf>
    <xf numFmtId="0" fontId="3" fillId="0" borderId="0" xfId="0" applyFont="1" applyAlignment="1">
      <alignment vertical="top"/>
    </xf>
    <xf numFmtId="0" fontId="22" fillId="0" borderId="0" xfId="0" applyFont="1" applyAlignment="1">
      <alignment horizontal="left" vertical="top"/>
    </xf>
    <xf numFmtId="0" fontId="10" fillId="6" borderId="0" xfId="0" applyFont="1" applyFill="1" applyAlignment="1">
      <alignment vertical="top"/>
    </xf>
    <xf numFmtId="0" fontId="30" fillId="0" borderId="2" xfId="8" applyFont="1" applyFill="1" applyAlignment="1">
      <alignment horizontal="left" vertical="top"/>
    </xf>
    <xf numFmtId="0" fontId="30" fillId="0" borderId="2" xfId="8" applyFont="1" applyAlignment="1">
      <alignment horizontal="left" vertical="top"/>
    </xf>
    <xf numFmtId="0" fontId="25" fillId="0" borderId="0" xfId="0" applyFont="1" applyAlignment="1">
      <alignment horizontal="left" vertical="top"/>
    </xf>
    <xf numFmtId="0" fontId="31" fillId="0" borderId="0" xfId="15" applyFont="1" applyAlignment="1">
      <alignment horizontal="center" vertical="top"/>
    </xf>
    <xf numFmtId="0" fontId="32" fillId="0" borderId="0" xfId="0" applyFont="1" applyAlignment="1">
      <alignment horizontal="center"/>
    </xf>
    <xf numFmtId="9" fontId="20" fillId="13" borderId="3" xfId="16" applyNumberFormat="1" applyFont="1" applyAlignment="1">
      <alignment horizontal="center" vertical="top"/>
    </xf>
    <xf numFmtId="44" fontId="20" fillId="13" borderId="3" xfId="16" applyNumberFormat="1" applyFont="1" applyAlignment="1">
      <alignment horizontal="center" vertical="top"/>
    </xf>
    <xf numFmtId="44" fontId="33" fillId="18" borderId="4" xfId="14" applyNumberFormat="1" applyFont="1" applyAlignment="1">
      <alignment horizontal="center" vertical="top"/>
    </xf>
    <xf numFmtId="9" fontId="20" fillId="13" borderId="3" xfId="16" applyNumberFormat="1" applyFont="1" applyAlignment="1">
      <alignment horizontal="center"/>
    </xf>
    <xf numFmtId="0" fontId="34" fillId="0" borderId="6" xfId="12" applyFont="1" applyAlignment="1">
      <alignment horizontal="left" vertical="top"/>
    </xf>
    <xf numFmtId="0" fontId="31" fillId="0" borderId="0" xfId="15" applyFont="1" applyAlignment="1">
      <alignment horizontal="left" vertical="top"/>
    </xf>
    <xf numFmtId="0" fontId="30" fillId="0" borderId="2" xfId="8" applyFont="1"/>
    <xf numFmtId="44" fontId="20" fillId="13" borderId="3" xfId="16" applyNumberFormat="1" applyFont="1" applyAlignment="1">
      <alignment horizontal="left" vertical="top"/>
    </xf>
    <xf numFmtId="0" fontId="31" fillId="0" borderId="0" xfId="15" applyFont="1" applyAlignment="1">
      <alignment horizontal="center"/>
    </xf>
    <xf numFmtId="164" fontId="30" fillId="0" borderId="2" xfId="8" applyNumberFormat="1" applyFont="1" applyAlignment="1">
      <alignment horizontal="left" vertical="top"/>
    </xf>
    <xf numFmtId="0" fontId="36" fillId="0" borderId="0" xfId="12" applyFont="1" applyBorder="1" applyAlignment="1">
      <alignment horizontal="left" vertical="top"/>
    </xf>
    <xf numFmtId="164" fontId="31" fillId="0" borderId="0" xfId="15" applyNumberFormat="1" applyFont="1" applyAlignment="1">
      <alignment horizontal="center" vertical="top"/>
    </xf>
    <xf numFmtId="0" fontId="37" fillId="0" borderId="0" xfId="15" applyFont="1" applyAlignment="1">
      <alignment horizontal="center" vertical="top"/>
    </xf>
    <xf numFmtId="166" fontId="20" fillId="13" borderId="3" xfId="16" applyNumberFormat="1" applyFont="1" applyAlignment="1">
      <alignment horizontal="right" vertical="top"/>
    </xf>
    <xf numFmtId="44" fontId="20" fillId="17" borderId="3" xfId="9" applyNumberFormat="1" applyFont="1" applyAlignment="1">
      <alignment horizontal="left" vertical="top"/>
    </xf>
    <xf numFmtId="43" fontId="20" fillId="13" borderId="3" xfId="16" applyNumberFormat="1" applyFont="1" applyAlignment="1">
      <alignment horizontal="left" vertical="top"/>
    </xf>
    <xf numFmtId="0" fontId="35" fillId="17" borderId="10" xfId="17" applyFont="1"/>
    <xf numFmtId="44" fontId="33" fillId="18" borderId="4" xfId="14" applyNumberFormat="1" applyFont="1" applyAlignment="1">
      <alignment horizontal="left" vertical="top"/>
    </xf>
    <xf numFmtId="9" fontId="20" fillId="13" borderId="3" xfId="16" applyNumberFormat="1" applyFont="1" applyAlignment="1">
      <alignment horizontal="right" vertical="top"/>
    </xf>
    <xf numFmtId="165" fontId="20" fillId="13" borderId="3" xfId="16" applyNumberFormat="1" applyFont="1" applyAlignment="1">
      <alignment horizontal="left" vertical="top"/>
    </xf>
    <xf numFmtId="164" fontId="20" fillId="13" borderId="3" xfId="16" applyNumberFormat="1" applyFont="1" applyAlignment="1">
      <alignment horizontal="left" vertical="top"/>
    </xf>
    <xf numFmtId="165" fontId="20" fillId="13" borderId="3" xfId="16" applyNumberFormat="1" applyFont="1"/>
    <xf numFmtId="164" fontId="20" fillId="13" borderId="3" xfId="16" applyNumberFormat="1" applyFont="1"/>
    <xf numFmtId="0" fontId="34" fillId="0" borderId="6" xfId="12" applyFont="1"/>
    <xf numFmtId="0" fontId="32" fillId="0" borderId="0" xfId="0" applyFont="1"/>
    <xf numFmtId="0" fontId="0" fillId="0" borderId="0" xfId="0" applyFill="1"/>
    <xf numFmtId="0" fontId="0" fillId="0" borderId="0" xfId="0" applyNumberFormat="1" applyFill="1"/>
    <xf numFmtId="44" fontId="20" fillId="13" borderId="3" xfId="6" applyFont="1" applyFill="1" applyBorder="1" applyAlignment="1">
      <alignment horizontal="left" vertical="top"/>
    </xf>
    <xf numFmtId="0" fontId="3" fillId="0" borderId="0" xfId="0" applyFont="1" applyAlignment="1">
      <alignment horizontal="right" wrapText="1"/>
    </xf>
    <xf numFmtId="10" fontId="29" fillId="17" borderId="10" xfId="17" applyNumberFormat="1"/>
    <xf numFmtId="164" fontId="23" fillId="17" borderId="3" xfId="9" applyNumberFormat="1"/>
    <xf numFmtId="165" fontId="23" fillId="17" borderId="3" xfId="9" applyNumberFormat="1"/>
    <xf numFmtId="165" fontId="17" fillId="18" borderId="4" xfId="14" applyNumberFormat="1"/>
    <xf numFmtId="44" fontId="29" fillId="17" borderId="10" xfId="17" applyNumberFormat="1"/>
    <xf numFmtId="10" fontId="23" fillId="13" borderId="3" xfId="16" applyNumberFormat="1"/>
    <xf numFmtId="0" fontId="42" fillId="0" borderId="0" xfId="0" applyFont="1"/>
    <xf numFmtId="164" fontId="44" fillId="0" borderId="0" xfId="15" applyNumberFormat="1" applyFont="1" applyAlignment="1">
      <alignment horizontal="center" vertical="top"/>
    </xf>
    <xf numFmtId="0" fontId="44" fillId="0" borderId="0" xfId="15" applyFont="1" applyAlignment="1">
      <alignment horizontal="center" vertical="top"/>
    </xf>
    <xf numFmtId="0" fontId="3" fillId="0" borderId="0" xfId="19" applyFont="1" applyFill="1" applyAlignment="1">
      <alignment horizontal="left" vertical="top"/>
    </xf>
    <xf numFmtId="164" fontId="17" fillId="18" borderId="4" xfId="14" applyNumberFormat="1"/>
    <xf numFmtId="0" fontId="3" fillId="19" borderId="0" xfId="0" applyFont="1" applyFill="1" applyAlignment="1">
      <alignment horizontal="left" vertical="top"/>
    </xf>
    <xf numFmtId="164" fontId="3" fillId="19" borderId="0" xfId="1" applyNumberFormat="1" applyFont="1" applyFill="1" applyAlignment="1">
      <alignment horizontal="left" vertical="top"/>
    </xf>
    <xf numFmtId="0" fontId="3" fillId="6" borderId="0" xfId="0" applyFont="1" applyFill="1"/>
    <xf numFmtId="0" fontId="3" fillId="6" borderId="0" xfId="0" applyFont="1" applyFill="1" applyAlignment="1"/>
    <xf numFmtId="0" fontId="9" fillId="6" borderId="0" xfId="0" applyFont="1" applyFill="1"/>
    <xf numFmtId="44" fontId="23" fillId="17" borderId="3" xfId="9" applyNumberFormat="1"/>
    <xf numFmtId="0" fontId="42" fillId="0" borderId="0" xfId="0" applyFont="1" applyAlignment="1">
      <alignment horizontal="right" vertical="top"/>
    </xf>
    <xf numFmtId="0" fontId="1" fillId="0" borderId="0" xfId="25"/>
    <xf numFmtId="3" fontId="1" fillId="0" borderId="0" xfId="25" applyNumberFormat="1" applyAlignment="1">
      <alignment horizontal="center"/>
    </xf>
    <xf numFmtId="0" fontId="45" fillId="0" borderId="0" xfId="25" applyFont="1"/>
    <xf numFmtId="3" fontId="1" fillId="0" borderId="0" xfId="25" applyNumberFormat="1"/>
    <xf numFmtId="164" fontId="1" fillId="0" borderId="0" xfId="1" applyNumberFormat="1"/>
    <xf numFmtId="49" fontId="1" fillId="0" borderId="0" xfId="25" applyNumberFormat="1"/>
    <xf numFmtId="0" fontId="45" fillId="0" borderId="0" xfId="25" applyFont="1" applyAlignment="1">
      <alignment horizontal="left"/>
    </xf>
    <xf numFmtId="0" fontId="45" fillId="20" borderId="0" xfId="25" applyFont="1" applyFill="1"/>
    <xf numFmtId="1" fontId="45" fillId="0" borderId="0" xfId="25" applyNumberFormat="1" applyFont="1" applyAlignment="1">
      <alignment horizontal="center"/>
    </xf>
    <xf numFmtId="0" fontId="3" fillId="0" borderId="0" xfId="0" applyFont="1" applyBorder="1"/>
    <xf numFmtId="0" fontId="3" fillId="0" borderId="0" xfId="0" applyNumberFormat="1" applyFont="1" applyBorder="1"/>
    <xf numFmtId="164" fontId="29" fillId="17" borderId="14" xfId="17" applyNumberFormat="1" applyBorder="1"/>
    <xf numFmtId="165" fontId="17" fillId="18" borderId="15" xfId="14" applyNumberFormat="1" applyBorder="1"/>
    <xf numFmtId="10" fontId="3" fillId="0" borderId="0" xfId="7" applyNumberFormat="1" applyFont="1" applyAlignment="1">
      <alignment horizontal="right" vertical="top"/>
    </xf>
    <xf numFmtId="9" fontId="23" fillId="13" borderId="3" xfId="16" applyNumberFormat="1"/>
    <xf numFmtId="43" fontId="0" fillId="0" borderId="0" xfId="1" applyFont="1" applyFill="1"/>
    <xf numFmtId="43" fontId="39" fillId="0" borderId="11" xfId="1" applyFont="1" applyFill="1" applyBorder="1" applyAlignment="1">
      <alignment horizontal="right" wrapText="1"/>
    </xf>
    <xf numFmtId="0" fontId="28" fillId="0" borderId="0" xfId="15" applyAlignment="1">
      <alignment horizontal="center"/>
    </xf>
    <xf numFmtId="9" fontId="23" fillId="17" borderId="3" xfId="9" applyNumberFormat="1"/>
    <xf numFmtId="164" fontId="17" fillId="18" borderId="15" xfId="14" applyNumberFormat="1" applyBorder="1"/>
    <xf numFmtId="0" fontId="23" fillId="13" borderId="3" xfId="16" applyAlignment="1">
      <alignment horizontal="center" vertical="top"/>
    </xf>
    <xf numFmtId="0" fontId="29" fillId="17" borderId="10" xfId="17" applyAlignment="1">
      <alignment horizontal="center" vertical="top"/>
    </xf>
    <xf numFmtId="0" fontId="23" fillId="17" borderId="3" xfId="9" applyAlignment="1">
      <alignment horizontal="center" vertical="top"/>
    </xf>
    <xf numFmtId="0" fontId="17" fillId="18" borderId="4" xfId="14" applyAlignment="1">
      <alignment horizontal="center" vertical="top"/>
    </xf>
    <xf numFmtId="0" fontId="22" fillId="0" borderId="0" xfId="18" applyFont="1" applyFill="1" applyAlignment="1">
      <alignment horizontal="left" vertical="top"/>
    </xf>
    <xf numFmtId="0" fontId="27" fillId="0" borderId="0" xfId="0" applyFont="1" applyFill="1" applyAlignment="1">
      <alignment horizontal="left" vertical="top"/>
    </xf>
    <xf numFmtId="0" fontId="0" fillId="0" borderId="0" xfId="25" applyFont="1"/>
    <xf numFmtId="43" fontId="23" fillId="17" borderId="3" xfId="9" applyNumberFormat="1"/>
    <xf numFmtId="0" fontId="9" fillId="6" borderId="0" xfId="0" applyFont="1" applyFill="1" applyAlignment="1">
      <alignment horizontal="left" vertical="top"/>
    </xf>
    <xf numFmtId="0" fontId="10" fillId="0" borderId="0" xfId="0" applyFont="1" applyFill="1"/>
    <xf numFmtId="0" fontId="24" fillId="0" borderId="0" xfId="13" applyFill="1"/>
    <xf numFmtId="44" fontId="48" fillId="13" borderId="3" xfId="16" applyNumberFormat="1" applyFont="1" applyBorder="1" applyAlignment="1">
      <alignment horizontal="left" vertical="top"/>
    </xf>
    <xf numFmtId="166" fontId="48" fillId="13" borderId="3" xfId="16" applyNumberFormat="1" applyFont="1" applyAlignment="1">
      <alignment horizontal="right" vertical="top"/>
    </xf>
    <xf numFmtId="44" fontId="48" fillId="17" borderId="3" xfId="9" applyNumberFormat="1" applyFont="1" applyBorder="1" applyAlignment="1">
      <alignment horizontal="left" vertical="top"/>
    </xf>
    <xf numFmtId="44" fontId="48" fillId="17" borderId="3" xfId="9" applyNumberFormat="1" applyFont="1" applyAlignment="1">
      <alignment horizontal="left" vertical="top"/>
    </xf>
    <xf numFmtId="0" fontId="49" fillId="17" borderId="10" xfId="17" applyFont="1"/>
    <xf numFmtId="44" fontId="50" fillId="18" borderId="4" xfId="14" applyNumberFormat="1" applyFont="1" applyAlignment="1">
      <alignment horizontal="left" vertical="top"/>
    </xf>
    <xf numFmtId="44" fontId="48" fillId="13" borderId="13" xfId="16" applyNumberFormat="1" applyFont="1" applyBorder="1" applyAlignment="1">
      <alignment horizontal="left" vertical="top"/>
    </xf>
    <xf numFmtId="166" fontId="48" fillId="13" borderId="13" xfId="16" applyNumberFormat="1" applyFont="1" applyBorder="1" applyAlignment="1">
      <alignment horizontal="right" vertical="top"/>
    </xf>
    <xf numFmtId="44" fontId="48" fillId="17" borderId="13" xfId="9" applyNumberFormat="1" applyFont="1" applyBorder="1" applyAlignment="1">
      <alignment horizontal="left" vertical="top"/>
    </xf>
    <xf numFmtId="0" fontId="49" fillId="17" borderId="14" xfId="17" applyFont="1" applyBorder="1"/>
    <xf numFmtId="44" fontId="50" fillId="18" borderId="15" xfId="14" applyNumberFormat="1" applyFont="1" applyBorder="1" applyAlignment="1">
      <alignment horizontal="left" vertical="top"/>
    </xf>
    <xf numFmtId="10" fontId="29" fillId="17" borderId="14" xfId="17" applyNumberFormat="1" applyBorder="1"/>
    <xf numFmtId="164" fontId="23" fillId="17" borderId="13" xfId="9" applyNumberFormat="1" applyBorder="1"/>
    <xf numFmtId="165" fontId="23" fillId="17" borderId="13" xfId="9" applyNumberFormat="1" applyBorder="1"/>
    <xf numFmtId="0" fontId="32" fillId="0" borderId="0" xfId="0" applyFont="1" applyFill="1" applyAlignment="1">
      <alignment horizontal="center"/>
    </xf>
    <xf numFmtId="0" fontId="3" fillId="0" borderId="0" xfId="0" applyFont="1" applyBorder="1" applyAlignment="1">
      <alignment horizontal="left" vertical="top"/>
    </xf>
    <xf numFmtId="44" fontId="20" fillId="13" borderId="3" xfId="16" applyNumberFormat="1" applyFont="1" applyBorder="1" applyAlignment="1">
      <alignment horizontal="left" vertical="top"/>
    </xf>
    <xf numFmtId="44" fontId="20" fillId="17" borderId="3" xfId="9" applyNumberFormat="1" applyFont="1" applyBorder="1" applyAlignment="1">
      <alignment horizontal="left" vertical="top"/>
    </xf>
    <xf numFmtId="44" fontId="20" fillId="13" borderId="13" xfId="16" applyNumberFormat="1" applyFont="1" applyBorder="1" applyAlignment="1">
      <alignment horizontal="left" vertical="top"/>
    </xf>
    <xf numFmtId="166" fontId="20" fillId="13" borderId="13" xfId="16" applyNumberFormat="1" applyFont="1" applyBorder="1" applyAlignment="1">
      <alignment horizontal="right" vertical="top"/>
    </xf>
    <xf numFmtId="44" fontId="20" fillId="17" borderId="13" xfId="9" applyNumberFormat="1" applyFont="1" applyBorder="1" applyAlignment="1">
      <alignment horizontal="left" vertical="top"/>
    </xf>
    <xf numFmtId="0" fontId="35" fillId="17" borderId="14" xfId="17" applyFont="1" applyBorder="1"/>
    <xf numFmtId="44" fontId="33" fillId="18" borderId="15" xfId="14" applyNumberFormat="1" applyFont="1" applyBorder="1" applyAlignment="1">
      <alignment horizontal="left" vertical="top"/>
    </xf>
    <xf numFmtId="0" fontId="3" fillId="0" borderId="0" xfId="0" applyFont="1" applyFill="1" applyAlignment="1">
      <alignment horizontal="center"/>
    </xf>
    <xf numFmtId="0" fontId="47" fillId="0" borderId="0" xfId="0" applyFont="1" applyFill="1" applyAlignment="1">
      <alignment horizontal="center"/>
    </xf>
    <xf numFmtId="0" fontId="47" fillId="0" borderId="0" xfId="0" applyFont="1" applyFill="1" applyAlignment="1">
      <alignment horizontal="left" vertical="top"/>
    </xf>
    <xf numFmtId="0" fontId="47" fillId="0" borderId="0" xfId="0" applyFont="1" applyFill="1" applyBorder="1" applyAlignment="1">
      <alignment horizontal="center"/>
    </xf>
    <xf numFmtId="0" fontId="47" fillId="0" borderId="0" xfId="0" applyFont="1" applyFill="1" applyBorder="1" applyAlignment="1">
      <alignment horizontal="left" vertical="top"/>
    </xf>
    <xf numFmtId="0" fontId="36" fillId="19" borderId="0" xfId="12" applyFont="1" applyFill="1" applyBorder="1" applyAlignment="1">
      <alignment horizontal="left" vertical="top"/>
    </xf>
    <xf numFmtId="0" fontId="31" fillId="19" borderId="0" xfId="15" applyFont="1" applyFill="1" applyAlignment="1">
      <alignment horizontal="center" vertical="top"/>
    </xf>
    <xf numFmtId="0" fontId="3" fillId="0" borderId="0" xfId="0" applyFont="1" applyBorder="1" applyAlignment="1">
      <alignment horizontal="center"/>
    </xf>
    <xf numFmtId="2" fontId="35" fillId="17" borderId="10" xfId="17" applyNumberFormat="1" applyFont="1"/>
    <xf numFmtId="2" fontId="35" fillId="17" borderId="14" xfId="17" applyNumberFormat="1" applyFont="1" applyBorder="1"/>
    <xf numFmtId="0" fontId="0" fillId="19" borderId="0" xfId="0" applyFill="1"/>
    <xf numFmtId="0" fontId="3" fillId="0" borderId="0" xfId="0" applyFont="1" applyFill="1" applyBorder="1" applyAlignment="1">
      <alignment horizontal="center"/>
    </xf>
    <xf numFmtId="0" fontId="3" fillId="0" borderId="0" xfId="0" applyFont="1" applyFill="1" applyBorder="1" applyAlignment="1">
      <alignment horizontal="left" vertical="top"/>
    </xf>
    <xf numFmtId="2" fontId="35" fillId="17" borderId="10" xfId="17" applyNumberFormat="1" applyFont="1" applyAlignment="1">
      <alignment horizontal="right"/>
    </xf>
    <xf numFmtId="2" fontId="35" fillId="17" borderId="10" xfId="17" applyNumberFormat="1" applyFont="1" applyAlignment="1">
      <alignment horizontal="right" vertical="top"/>
    </xf>
    <xf numFmtId="2" fontId="35" fillId="17" borderId="14" xfId="17" applyNumberFormat="1" applyFont="1" applyBorder="1" applyAlignment="1">
      <alignment horizontal="right" vertical="top"/>
    </xf>
    <xf numFmtId="44" fontId="20" fillId="17" borderId="16" xfId="9" applyNumberFormat="1" applyFont="1" applyBorder="1" applyAlignment="1">
      <alignment horizontal="left" vertical="top"/>
    </xf>
    <xf numFmtId="0" fontId="35" fillId="17" borderId="10" xfId="17" applyFont="1" applyBorder="1"/>
    <xf numFmtId="0" fontId="3" fillId="0" borderId="0" xfId="0" applyNumberFormat="1" applyFont="1" applyAlignment="1">
      <alignment horizontal="center"/>
    </xf>
    <xf numFmtId="0" fontId="3" fillId="0" borderId="0" xfId="0" applyNumberFormat="1" applyFont="1" applyBorder="1" applyAlignment="1">
      <alignment horizontal="center"/>
    </xf>
    <xf numFmtId="44" fontId="0" fillId="0" borderId="0" xfId="0" applyNumberFormat="1"/>
    <xf numFmtId="44" fontId="29" fillId="17" borderId="10" xfId="17" applyNumberFormat="1" applyAlignment="1">
      <alignment horizontal="left" vertical="top"/>
    </xf>
    <xf numFmtId="10" fontId="22" fillId="13" borderId="3" xfId="7" applyNumberFormat="1" applyFont="1" applyFill="1" applyBorder="1"/>
    <xf numFmtId="0" fontId="0" fillId="0" borderId="0" xfId="0" applyNumberFormat="1"/>
    <xf numFmtId="0" fontId="3" fillId="0" borderId="0" xfId="19" applyFont="1" applyFill="1" applyBorder="1" applyAlignment="1">
      <alignment horizontal="left" vertical="top"/>
    </xf>
    <xf numFmtId="0" fontId="47" fillId="0" borderId="0" xfId="0" applyNumberFormat="1" applyFont="1" applyAlignment="1">
      <alignment horizontal="left"/>
    </xf>
    <xf numFmtId="0" fontId="47" fillId="0" borderId="0" xfId="0" applyFont="1"/>
    <xf numFmtId="0" fontId="47" fillId="0" borderId="0" xfId="0" applyNumberFormat="1" applyFont="1"/>
    <xf numFmtId="0" fontId="47" fillId="0" borderId="0" xfId="0" applyNumberFormat="1" applyFont="1" applyBorder="1" applyAlignment="1">
      <alignment horizontal="left"/>
    </xf>
    <xf numFmtId="0" fontId="47" fillId="0" borderId="0" xfId="0" applyFont="1" applyBorder="1"/>
    <xf numFmtId="0" fontId="47" fillId="0" borderId="0" xfId="0" applyNumberFormat="1" applyFont="1" applyBorder="1"/>
    <xf numFmtId="164" fontId="29" fillId="17" borderId="17" xfId="17" applyNumberFormat="1" applyBorder="1"/>
    <xf numFmtId="164" fontId="23" fillId="17" borderId="3" xfId="9" applyNumberFormat="1" applyBorder="1"/>
    <xf numFmtId="164" fontId="29" fillId="17" borderId="18" xfId="17" applyNumberFormat="1" applyBorder="1"/>
    <xf numFmtId="43" fontId="23" fillId="17" borderId="13" xfId="9" applyNumberFormat="1" applyBorder="1"/>
    <xf numFmtId="49" fontId="3" fillId="0" borderId="0" xfId="0" quotePrefix="1" applyNumberFormat="1" applyFont="1" applyAlignment="1">
      <alignment horizontal="left" vertical="top"/>
    </xf>
    <xf numFmtId="44" fontId="17" fillId="18" borderId="4" xfId="14" applyNumberFormat="1" applyAlignment="1">
      <alignment horizontal="left" vertical="top"/>
    </xf>
    <xf numFmtId="0" fontId="3" fillId="0" borderId="0" xfId="0" applyFont="1" applyFill="1" applyAlignment="1">
      <alignment horizontal="left"/>
    </xf>
    <xf numFmtId="0" fontId="3" fillId="0" borderId="0" xfId="0" applyNumberFormat="1" applyFont="1" applyFill="1" applyAlignment="1">
      <alignment horizontal="left"/>
    </xf>
    <xf numFmtId="0" fontId="3" fillId="0" borderId="0" xfId="0" applyNumberFormat="1" applyFont="1" applyFill="1" applyBorder="1" applyAlignment="1">
      <alignment horizontal="left"/>
    </xf>
    <xf numFmtId="10" fontId="23" fillId="13" borderId="3" xfId="16" applyNumberFormat="1" applyAlignment="1"/>
    <xf numFmtId="0" fontId="0" fillId="0" borderId="0" xfId="0"/>
    <xf numFmtId="0" fontId="9" fillId="6" borderId="0" xfId="0" applyFont="1" applyFill="1" applyAlignment="1">
      <alignment horizontal="left" vertical="top"/>
    </xf>
    <xf numFmtId="44" fontId="0" fillId="0" borderId="0" xfId="6" applyFont="1"/>
    <xf numFmtId="0" fontId="45" fillId="0" borderId="0" xfId="0" applyFont="1"/>
    <xf numFmtId="165" fontId="23" fillId="13" borderId="3" xfId="16" applyNumberFormat="1"/>
    <xf numFmtId="0" fontId="2" fillId="0" borderId="0" xfId="0" applyFont="1"/>
    <xf numFmtId="164" fontId="0" fillId="0" borderId="0" xfId="0" applyNumberFormat="1"/>
    <xf numFmtId="0" fontId="54" fillId="0" borderId="0" xfId="0" applyFont="1" applyAlignment="1">
      <alignment horizontal="left"/>
    </xf>
    <xf numFmtId="0" fontId="54" fillId="0" borderId="0" xfId="0" applyFont="1"/>
    <xf numFmtId="0" fontId="0" fillId="0" borderId="0" xfId="0" applyAlignment="1">
      <alignment wrapText="1"/>
    </xf>
    <xf numFmtId="0" fontId="45" fillId="0" borderId="0" xfId="0" applyFont="1" applyAlignment="1">
      <alignment wrapText="1"/>
    </xf>
    <xf numFmtId="44" fontId="17" fillId="18" borderId="4" xfId="14" applyNumberFormat="1"/>
    <xf numFmtId="165" fontId="0" fillId="0" borderId="0" xfId="0" applyNumberFormat="1"/>
    <xf numFmtId="0" fontId="29" fillId="17" borderId="10" xfId="17"/>
    <xf numFmtId="167" fontId="17" fillId="18" borderId="4" xfId="14" applyNumberFormat="1"/>
    <xf numFmtId="167" fontId="23" fillId="17" borderId="3" xfId="9" applyNumberFormat="1"/>
    <xf numFmtId="168" fontId="52" fillId="22" borderId="19" xfId="26" applyNumberFormat="1"/>
    <xf numFmtId="0" fontId="52" fillId="22" borderId="19" xfId="26"/>
    <xf numFmtId="169" fontId="0" fillId="0" borderId="0" xfId="0" applyNumberFormat="1"/>
    <xf numFmtId="170" fontId="0" fillId="0" borderId="0" xfId="0" applyNumberFormat="1"/>
    <xf numFmtId="3" fontId="29" fillId="17" borderId="10" xfId="17" applyNumberFormat="1"/>
    <xf numFmtId="172" fontId="0" fillId="0" borderId="0" xfId="0" applyNumberFormat="1"/>
    <xf numFmtId="172" fontId="23" fillId="13" borderId="3" xfId="16" applyNumberFormat="1"/>
    <xf numFmtId="0" fontId="23" fillId="13" borderId="3" xfId="16" applyAlignment="1">
      <alignment wrapText="1"/>
    </xf>
    <xf numFmtId="3" fontId="23" fillId="13" borderId="3" xfId="16" applyNumberFormat="1"/>
    <xf numFmtId="1" fontId="52" fillId="22" borderId="19" xfId="26" applyNumberFormat="1"/>
    <xf numFmtId="0" fontId="38" fillId="0" borderId="0" xfId="0" applyFont="1"/>
    <xf numFmtId="170" fontId="29" fillId="17" borderId="10" xfId="17" applyNumberFormat="1"/>
    <xf numFmtId="9" fontId="29" fillId="17" borderId="10" xfId="17" applyNumberFormat="1"/>
    <xf numFmtId="44" fontId="23" fillId="13" borderId="3" xfId="16" applyNumberFormat="1"/>
    <xf numFmtId="0" fontId="8" fillId="0" borderId="0" xfId="0" applyFont="1" applyFill="1" applyAlignment="1">
      <alignment horizontal="left" wrapText="1"/>
    </xf>
    <xf numFmtId="0" fontId="47" fillId="0" borderId="0" xfId="0" applyFont="1" applyAlignment="1">
      <alignment horizontal="left" vertical="top"/>
    </xf>
    <xf numFmtId="0" fontId="47" fillId="0" borderId="0" xfId="10" applyFont="1" applyFill="1"/>
    <xf numFmtId="0" fontId="3" fillId="23" borderId="0" xfId="0" applyFont="1" applyFill="1" applyAlignment="1">
      <alignment horizontal="left" vertical="top"/>
    </xf>
    <xf numFmtId="0" fontId="55" fillId="6" borderId="0" xfId="0" applyFont="1" applyFill="1" applyAlignment="1">
      <alignment horizontal="left" vertical="top"/>
    </xf>
    <xf numFmtId="0" fontId="56" fillId="6" borderId="0" xfId="0" applyFont="1" applyFill="1" applyAlignment="1">
      <alignment horizontal="left" vertical="top"/>
    </xf>
    <xf numFmtId="0" fontId="51" fillId="0" borderId="0" xfId="0" applyFont="1" applyAlignment="1">
      <alignment horizontal="left" vertical="top"/>
    </xf>
    <xf numFmtId="0" fontId="51" fillId="0" borderId="0" xfId="0" quotePrefix="1" applyFont="1" applyAlignment="1">
      <alignment horizontal="left" vertical="top"/>
    </xf>
    <xf numFmtId="0" fontId="57" fillId="0" borderId="0" xfId="0" applyFont="1" applyAlignment="1">
      <alignment horizontal="left" vertical="top"/>
    </xf>
    <xf numFmtId="41" fontId="0" fillId="0" borderId="0" xfId="0" applyNumberFormat="1"/>
    <xf numFmtId="0" fontId="0" fillId="0" borderId="0" xfId="0" quotePrefix="1"/>
    <xf numFmtId="0" fontId="52" fillId="25" borderId="20" xfId="0" applyFont="1" applyFill="1" applyBorder="1" applyAlignment="1">
      <alignment horizontal="left"/>
    </xf>
    <xf numFmtId="0" fontId="52" fillId="25" borderId="0" xfId="0" applyFont="1" applyFill="1" applyAlignment="1">
      <alignment horizontal="left"/>
    </xf>
    <xf numFmtId="173" fontId="3" fillId="0" borderId="0" xfId="0" applyNumberFormat="1" applyFont="1" applyAlignment="1">
      <alignment horizontal="right" vertical="top"/>
    </xf>
    <xf numFmtId="42" fontId="17" fillId="18" borderId="4" xfId="14" applyNumberFormat="1"/>
    <xf numFmtId="0" fontId="0" fillId="0" borderId="0" xfId="0" applyFill="1" applyAlignment="1">
      <alignment wrapText="1"/>
    </xf>
    <xf numFmtId="0" fontId="52" fillId="11" borderId="5" xfId="0" applyFont="1" applyFill="1" applyBorder="1" applyAlignment="1">
      <alignment wrapText="1"/>
    </xf>
    <xf numFmtId="0" fontId="52" fillId="11" borderId="0" xfId="0" applyFont="1" applyFill="1" applyBorder="1" applyAlignment="1">
      <alignment wrapText="1"/>
    </xf>
    <xf numFmtId="0" fontId="52" fillId="11" borderId="20" xfId="0" applyFont="1" applyFill="1" applyBorder="1" applyAlignment="1">
      <alignment wrapText="1"/>
    </xf>
    <xf numFmtId="171" fontId="17" fillId="18" borderId="4" xfId="14" applyNumberFormat="1"/>
    <xf numFmtId="42" fontId="0" fillId="0" borderId="0" xfId="0" applyNumberFormat="1"/>
    <xf numFmtId="1" fontId="29" fillId="17" borderId="10" xfId="17" applyNumberFormat="1"/>
    <xf numFmtId="0" fontId="0" fillId="0" borderId="5" xfId="0" applyFont="1" applyBorder="1"/>
    <xf numFmtId="0" fontId="0" fillId="0" borderId="22" xfId="0" applyFont="1" applyBorder="1"/>
    <xf numFmtId="0" fontId="52" fillId="11" borderId="5" xfId="0" applyFont="1" applyFill="1" applyBorder="1"/>
    <xf numFmtId="0" fontId="52" fillId="11" borderId="0" xfId="0" applyFont="1" applyFill="1" applyBorder="1"/>
    <xf numFmtId="0" fontId="52" fillId="11" borderId="21" xfId="0" applyFont="1" applyFill="1" applyBorder="1" applyAlignment="1">
      <alignment wrapText="1"/>
    </xf>
    <xf numFmtId="41" fontId="29" fillId="17" borderId="10" xfId="17" applyNumberFormat="1" applyAlignment="1">
      <alignment wrapText="1"/>
    </xf>
    <xf numFmtId="41" fontId="29" fillId="17" borderId="10" xfId="17" applyNumberFormat="1"/>
    <xf numFmtId="41" fontId="17" fillId="18" borderId="4" xfId="14" applyNumberFormat="1" applyAlignment="1">
      <alignment wrapText="1"/>
    </xf>
    <xf numFmtId="41" fontId="17" fillId="18" borderId="4" xfId="14" applyNumberFormat="1"/>
    <xf numFmtId="172" fontId="29" fillId="17" borderId="10" xfId="17" applyNumberFormat="1"/>
    <xf numFmtId="44" fontId="21" fillId="13" borderId="3" xfId="6" applyNumberFormat="1" applyFont="1" applyFill="1" applyBorder="1"/>
    <xf numFmtId="0" fontId="3" fillId="0" borderId="23" xfId="0" quotePrefix="1" applyFont="1" applyBorder="1"/>
    <xf numFmtId="44" fontId="21" fillId="13" borderId="0" xfId="6" applyNumberFormat="1" applyFont="1" applyFill="1" applyBorder="1"/>
    <xf numFmtId="9" fontId="23" fillId="13" borderId="3" xfId="16" applyNumberFormat="1" applyFont="1" applyFill="1" applyBorder="1"/>
    <xf numFmtId="0" fontId="9" fillId="0" borderId="5" xfId="0" applyFont="1" applyFill="1" applyBorder="1" applyAlignment="1">
      <alignment horizontal="left" wrapText="1"/>
    </xf>
    <xf numFmtId="174" fontId="0" fillId="0" borderId="0" xfId="0" applyNumberFormat="1"/>
    <xf numFmtId="43" fontId="0" fillId="0" borderId="0" xfId="0" applyNumberFormat="1"/>
    <xf numFmtId="0" fontId="53" fillId="0" borderId="0" xfId="0" applyFont="1"/>
    <xf numFmtId="44" fontId="23" fillId="13" borderId="3" xfId="6" applyFont="1" applyFill="1" applyBorder="1"/>
    <xf numFmtId="43" fontId="3" fillId="0" borderId="0" xfId="0" applyNumberFormat="1" applyFont="1"/>
    <xf numFmtId="164" fontId="29" fillId="17" borderId="10" xfId="17" applyNumberFormat="1" applyBorder="1"/>
    <xf numFmtId="10" fontId="29" fillId="17" borderId="10" xfId="17" applyNumberFormat="1" applyBorder="1"/>
    <xf numFmtId="165" fontId="23" fillId="17" borderId="3" xfId="9" applyNumberFormat="1" applyBorder="1"/>
    <xf numFmtId="165" fontId="17" fillId="18" borderId="4" xfId="14" applyNumberFormat="1" applyBorder="1"/>
    <xf numFmtId="0" fontId="3" fillId="0" borderId="0" xfId="0" quotePrefix="1" applyNumberFormat="1" applyFont="1"/>
    <xf numFmtId="0" fontId="3" fillId="0" borderId="0" xfId="0" applyNumberFormat="1" applyFont="1" applyFill="1" applyAlignment="1">
      <alignment horizontal="left" vertical="top"/>
    </xf>
    <xf numFmtId="0" fontId="3" fillId="0" borderId="0" xfId="0" applyNumberFormat="1" applyFont="1" applyFill="1" applyBorder="1" applyAlignment="1">
      <alignment horizontal="left" vertical="top"/>
    </xf>
    <xf numFmtId="0" fontId="52" fillId="11" borderId="0" xfId="0" applyFont="1" applyFill="1" applyAlignment="1">
      <alignment wrapText="1"/>
    </xf>
    <xf numFmtId="175" fontId="0" fillId="0" borderId="0" xfId="0" applyNumberFormat="1"/>
    <xf numFmtId="0" fontId="59" fillId="0" borderId="0" xfId="19" applyFont="1" applyFill="1" applyBorder="1" applyAlignment="1">
      <alignment horizontal="left" vertical="top"/>
    </xf>
    <xf numFmtId="44" fontId="60" fillId="18" borderId="4" xfId="14" applyNumberFormat="1" applyFont="1" applyAlignment="1">
      <alignment horizontal="center" vertical="top"/>
    </xf>
    <xf numFmtId="0" fontId="61" fillId="0" borderId="0" xfId="0" applyFont="1" applyAlignment="1">
      <alignment horizontal="left" wrapText="1"/>
    </xf>
    <xf numFmtId="0" fontId="32" fillId="0" borderId="0" xfId="0" applyNumberFormat="1" applyFont="1" applyAlignment="1">
      <alignment horizontal="center"/>
    </xf>
    <xf numFmtId="0" fontId="59" fillId="0" borderId="0" xfId="0" applyNumberFormat="1" applyFont="1" applyAlignment="1">
      <alignment horizontal="left" vertical="top"/>
    </xf>
    <xf numFmtId="0" fontId="59" fillId="0" borderId="12" xfId="0" applyNumberFormat="1" applyFont="1" applyBorder="1" applyAlignment="1">
      <alignment horizontal="left" vertical="top"/>
    </xf>
    <xf numFmtId="0" fontId="32" fillId="0" borderId="0" xfId="0" applyNumberFormat="1" applyFont="1" applyBorder="1" applyAlignment="1">
      <alignment horizontal="center"/>
    </xf>
    <xf numFmtId="0" fontId="59" fillId="0" borderId="0" xfId="0" applyNumberFormat="1" applyFont="1" applyBorder="1" applyAlignment="1">
      <alignment horizontal="left" vertical="top"/>
    </xf>
    <xf numFmtId="0" fontId="3" fillId="0" borderId="0" xfId="0" applyFont="1" applyFill="1" applyAlignment="1">
      <alignment horizontal="left" vertical="top" wrapText="1"/>
    </xf>
    <xf numFmtId="165" fontId="29" fillId="17" borderId="10" xfId="17" applyNumberFormat="1"/>
    <xf numFmtId="0" fontId="54" fillId="0" borderId="0" xfId="0" applyFont="1" applyFill="1"/>
    <xf numFmtId="0" fontId="54" fillId="0" borderId="0" xfId="0" applyFont="1" applyBorder="1"/>
    <xf numFmtId="44" fontId="23" fillId="17" borderId="3" xfId="9" applyNumberFormat="1" applyAlignment="1">
      <alignment horizontal="center" vertical="top"/>
    </xf>
    <xf numFmtId="172" fontId="23" fillId="17" borderId="3" xfId="9" applyNumberFormat="1" applyAlignment="1">
      <alignment horizontal="center" vertical="top"/>
    </xf>
    <xf numFmtId="165" fontId="23" fillId="17" borderId="3" xfId="9" applyNumberFormat="1" applyAlignment="1">
      <alignment horizontal="center" vertical="top"/>
    </xf>
    <xf numFmtId="44" fontId="23" fillId="17" borderId="3" xfId="9" applyNumberFormat="1" applyAlignment="1">
      <alignment horizontal="left" vertical="top"/>
    </xf>
    <xf numFmtId="172" fontId="23" fillId="17" borderId="3" xfId="9" applyNumberFormat="1" applyAlignment="1">
      <alignment horizontal="left" vertical="top"/>
    </xf>
    <xf numFmtId="165" fontId="23" fillId="17" borderId="3" xfId="9" applyNumberFormat="1" applyAlignment="1">
      <alignment horizontal="left" vertical="top"/>
    </xf>
    <xf numFmtId="41" fontId="29" fillId="17" borderId="10" xfId="17" applyNumberFormat="1" applyAlignment="1">
      <alignment horizontal="center" vertical="top"/>
    </xf>
    <xf numFmtId="165" fontId="17" fillId="18" borderId="4" xfId="14" applyNumberFormat="1" applyAlignment="1">
      <alignment horizontal="center" vertical="top"/>
    </xf>
    <xf numFmtId="165" fontId="17" fillId="18" borderId="4" xfId="14" applyNumberFormat="1" applyAlignment="1">
      <alignment horizontal="left" vertical="top"/>
    </xf>
    <xf numFmtId="0" fontId="8" fillId="0" borderId="0" xfId="0" applyFont="1" applyAlignment="1">
      <alignment horizontal="left" wrapText="1"/>
    </xf>
    <xf numFmtId="0" fontId="44" fillId="0" borderId="0" xfId="15" applyFont="1" applyAlignment="1">
      <alignment horizontal="center" vertical="top"/>
    </xf>
    <xf numFmtId="164" fontId="23" fillId="13" borderId="3" xfId="16" applyNumberFormat="1"/>
    <xf numFmtId="0" fontId="0" fillId="0" borderId="0" xfId="0"/>
    <xf numFmtId="0" fontId="3" fillId="0" borderId="0" xfId="0" applyFont="1"/>
    <xf numFmtId="0" fontId="8" fillId="0" borderId="0" xfId="0" applyFont="1" applyAlignment="1">
      <alignment horizontal="left" wrapText="1"/>
    </xf>
    <xf numFmtId="0" fontId="28" fillId="0" borderId="0" xfId="15" applyAlignment="1">
      <alignment horizontal="left" vertical="top"/>
    </xf>
    <xf numFmtId="0" fontId="3" fillId="0" borderId="0" xfId="0" applyFont="1" applyAlignment="1">
      <alignment horizontal="left"/>
    </xf>
    <xf numFmtId="0" fontId="3" fillId="0" borderId="0" xfId="0" applyNumberFormat="1" applyFont="1" applyAlignment="1">
      <alignment horizontal="left"/>
    </xf>
    <xf numFmtId="0" fontId="3" fillId="0" borderId="0" xfId="0" applyNumberFormat="1" applyFont="1"/>
    <xf numFmtId="0" fontId="3" fillId="0" borderId="0" xfId="0" applyFont="1" applyAlignment="1">
      <alignment wrapText="1"/>
    </xf>
    <xf numFmtId="0" fontId="3" fillId="0" borderId="0" xfId="0" applyFont="1" applyAlignment="1"/>
    <xf numFmtId="0" fontId="3" fillId="0" borderId="0" xfId="0" applyFont="1" applyFill="1"/>
    <xf numFmtId="165" fontId="7" fillId="8" borderId="0" xfId="6" applyNumberFormat="1" applyFont="1" applyFill="1"/>
    <xf numFmtId="165" fontId="3" fillId="0" borderId="0" xfId="6" applyNumberFormat="1" applyFont="1" applyFill="1"/>
    <xf numFmtId="165" fontId="7" fillId="12" borderId="0" xfId="6" applyNumberFormat="1" applyFont="1" applyFill="1"/>
    <xf numFmtId="0" fontId="30" fillId="0" borderId="2" xfId="8" applyFont="1" applyAlignment="1">
      <alignment horizontal="left" vertical="top"/>
    </xf>
    <xf numFmtId="0" fontId="25" fillId="0" borderId="0" xfId="0" applyFont="1" applyAlignment="1">
      <alignment horizontal="left" vertical="top"/>
    </xf>
    <xf numFmtId="0" fontId="31" fillId="0" borderId="0" xfId="15" applyFont="1" applyAlignment="1">
      <alignment horizontal="center" vertical="top"/>
    </xf>
    <xf numFmtId="0" fontId="30" fillId="0" borderId="2" xfId="8" applyFont="1"/>
    <xf numFmtId="0" fontId="34" fillId="0" borderId="6" xfId="12" applyFont="1"/>
    <xf numFmtId="0" fontId="32" fillId="0" borderId="0" xfId="0" applyFont="1"/>
    <xf numFmtId="164" fontId="23" fillId="17" borderId="3" xfId="9" applyNumberFormat="1"/>
    <xf numFmtId="165" fontId="23" fillId="17" borderId="3" xfId="9" applyNumberFormat="1"/>
    <xf numFmtId="0" fontId="42" fillId="0" borderId="0" xfId="0" applyFont="1"/>
    <xf numFmtId="0" fontId="28" fillId="0" borderId="0" xfId="15" applyAlignment="1">
      <alignment horizontal="center"/>
    </xf>
    <xf numFmtId="0" fontId="45" fillId="0" borderId="0" xfId="0" applyFont="1" applyFill="1" applyAlignment="1">
      <alignment wrapText="1"/>
    </xf>
    <xf numFmtId="0" fontId="52" fillId="0" borderId="0" xfId="0" applyFont="1" applyFill="1" applyBorder="1" applyAlignment="1">
      <alignment wrapText="1"/>
    </xf>
    <xf numFmtId="0" fontId="45" fillId="0" borderId="0" xfId="0" applyFont="1" applyFill="1"/>
    <xf numFmtId="10" fontId="22" fillId="13" borderId="3" xfId="16" applyNumberFormat="1" applyFont="1" applyAlignment="1"/>
    <xf numFmtId="8" fontId="22" fillId="13" borderId="3" xfId="16" applyNumberFormat="1" applyFont="1" applyAlignment="1"/>
    <xf numFmtId="41" fontId="33" fillId="18" borderId="4" xfId="14" applyNumberFormat="1" applyFont="1" applyAlignment="1">
      <alignment horizontal="left" vertical="top"/>
    </xf>
    <xf numFmtId="165" fontId="3" fillId="0" borderId="0" xfId="6" applyNumberFormat="1" applyFont="1" applyFill="1" applyAlignment="1">
      <alignment horizontal="right"/>
    </xf>
    <xf numFmtId="0" fontId="63" fillId="29" borderId="7" xfId="0" applyFont="1" applyFill="1" applyBorder="1" applyAlignment="1">
      <alignment wrapText="1"/>
    </xf>
    <xf numFmtId="0" fontId="9" fillId="30" borderId="9" xfId="0" applyFont="1" applyFill="1" applyBorder="1" applyAlignment="1">
      <alignment vertical="top"/>
    </xf>
    <xf numFmtId="0" fontId="13" fillId="0" borderId="25" xfId="0" applyFont="1" applyBorder="1" applyAlignment="1">
      <alignment horizontal="left" vertical="top"/>
    </xf>
    <xf numFmtId="0" fontId="9" fillId="30" borderId="7" xfId="0" applyFont="1" applyFill="1" applyBorder="1" applyAlignment="1">
      <alignment horizontal="left" vertical="top"/>
    </xf>
    <xf numFmtId="0" fontId="13" fillId="28" borderId="7" xfId="0" applyFont="1" applyFill="1" applyBorder="1" applyAlignment="1">
      <alignment horizontal="left" vertical="top" wrapText="1"/>
    </xf>
    <xf numFmtId="0" fontId="0" fillId="0" borderId="0" xfId="0"/>
    <xf numFmtId="0" fontId="3" fillId="0" borderId="0" xfId="0" applyFont="1"/>
    <xf numFmtId="0" fontId="8" fillId="0" borderId="0" xfId="0" applyFont="1"/>
    <xf numFmtId="0" fontId="3" fillId="0" borderId="0" xfId="0" applyFont="1" applyAlignment="1">
      <alignment horizontal="left" vertical="top"/>
    </xf>
    <xf numFmtId="164" fontId="3" fillId="0" borderId="0" xfId="1" applyNumberFormat="1" applyFont="1"/>
    <xf numFmtId="165" fontId="3" fillId="0" borderId="0" xfId="0" applyNumberFormat="1" applyFont="1"/>
    <xf numFmtId="0" fontId="9" fillId="7" borderId="0" xfId="2" applyFont="1" applyFill="1"/>
    <xf numFmtId="0" fontId="10" fillId="7" borderId="0" xfId="2" applyFont="1" applyFill="1"/>
    <xf numFmtId="0" fontId="5" fillId="7" borderId="0" xfId="3" applyFont="1" applyFill="1"/>
    <xf numFmtId="0" fontId="6" fillId="7" borderId="0" xfId="3" applyFont="1" applyFill="1"/>
    <xf numFmtId="0" fontId="4" fillId="8" borderId="0" xfId="5" applyFont="1" applyFill="1"/>
    <xf numFmtId="0" fontId="4" fillId="8" borderId="0" xfId="4" applyFont="1" applyFill="1"/>
    <xf numFmtId="0" fontId="7" fillId="8" borderId="0" xfId="4" applyFont="1" applyFill="1"/>
    <xf numFmtId="0" fontId="3" fillId="0" borderId="0" xfId="0" applyFont="1" applyFill="1"/>
    <xf numFmtId="0" fontId="4" fillId="8" borderId="0" xfId="5" applyFont="1" applyFill="1" applyAlignment="1">
      <alignment horizontal="center" wrapText="1"/>
    </xf>
    <xf numFmtId="0" fontId="7" fillId="12" borderId="0" xfId="10" applyFont="1" applyFill="1"/>
    <xf numFmtId="0" fontId="7" fillId="8" borderId="0" xfId="11" applyFont="1" applyFill="1"/>
    <xf numFmtId="165" fontId="7" fillId="8" borderId="0" xfId="6" applyNumberFormat="1" applyFont="1" applyFill="1"/>
    <xf numFmtId="165" fontId="3" fillId="0" borderId="0" xfId="6" applyNumberFormat="1" applyFont="1" applyFill="1"/>
    <xf numFmtId="165" fontId="7" fillId="12" borderId="0" xfId="6" applyNumberFormat="1" applyFont="1" applyFill="1"/>
    <xf numFmtId="165" fontId="4" fillId="8" borderId="0" xfId="6" applyNumberFormat="1" applyFont="1" applyFill="1"/>
    <xf numFmtId="165" fontId="18" fillId="8" borderId="0" xfId="6" applyNumberFormat="1" applyFont="1" applyFill="1"/>
    <xf numFmtId="164" fontId="3" fillId="0" borderId="0" xfId="1" applyNumberFormat="1" applyFont="1" applyFill="1" applyAlignment="1">
      <alignment horizontal="right"/>
    </xf>
    <xf numFmtId="164" fontId="7" fillId="8" borderId="0" xfId="1" applyNumberFormat="1" applyFont="1" applyFill="1" applyAlignment="1">
      <alignment horizontal="right"/>
    </xf>
    <xf numFmtId="164" fontId="3" fillId="0" borderId="0" xfId="1" applyNumberFormat="1" applyFont="1" applyFill="1"/>
    <xf numFmtId="0" fontId="25" fillId="0" borderId="0" xfId="0" applyFont="1" applyFill="1" applyAlignment="1">
      <alignment horizontal="left" vertical="top"/>
    </xf>
    <xf numFmtId="0" fontId="0" fillId="0" borderId="0" xfId="0" applyFill="1"/>
    <xf numFmtId="164" fontId="17" fillId="18" borderId="4" xfId="14" applyNumberFormat="1"/>
    <xf numFmtId="0" fontId="27" fillId="0" borderId="0" xfId="0" applyFont="1" applyFill="1" applyAlignment="1">
      <alignment horizontal="left" vertical="top"/>
    </xf>
    <xf numFmtId="0" fontId="45" fillId="0" borderId="0" xfId="0" applyFont="1"/>
    <xf numFmtId="165" fontId="23" fillId="13" borderId="3" xfId="16" applyNumberFormat="1"/>
    <xf numFmtId="0" fontId="54" fillId="0" borderId="0" xfId="0" applyFont="1"/>
    <xf numFmtId="0" fontId="0" fillId="0" borderId="0" xfId="0" quotePrefix="1"/>
    <xf numFmtId="0" fontId="52" fillId="25" borderId="0" xfId="0" applyFont="1" applyFill="1" applyAlignment="1">
      <alignment horizontal="left"/>
    </xf>
    <xf numFmtId="41" fontId="58" fillId="17" borderId="10" xfId="17" applyNumberFormat="1" applyFont="1"/>
    <xf numFmtId="0" fontId="0" fillId="0" borderId="0" xfId="0" applyFill="1" applyAlignment="1">
      <alignment wrapText="1"/>
    </xf>
    <xf numFmtId="0" fontId="63" fillId="16" borderId="7" xfId="0" applyFont="1" applyFill="1" applyBorder="1" applyAlignment="1">
      <alignment wrapText="1"/>
    </xf>
    <xf numFmtId="0" fontId="13" fillId="15" borderId="7" xfId="0" applyFont="1" applyFill="1" applyBorder="1" applyAlignment="1">
      <alignment horizontal="left" vertical="top" wrapText="1"/>
    </xf>
    <xf numFmtId="0" fontId="63" fillId="21" borderId="0" xfId="0" applyFont="1" applyFill="1"/>
    <xf numFmtId="0" fontId="64" fillId="32" borderId="26" xfId="27" applyFont="1" applyFill="1" applyBorder="1" applyAlignment="1">
      <alignment horizontal="centerContinuous" vertical="center"/>
    </xf>
    <xf numFmtId="0" fontId="64" fillId="33" borderId="27" xfId="0" applyFont="1" applyFill="1" applyBorder="1" applyAlignment="1">
      <alignment horizontal="centerContinuous"/>
    </xf>
    <xf numFmtId="0" fontId="64" fillId="33" borderId="28" xfId="0" applyFont="1" applyFill="1" applyBorder="1" applyAlignment="1">
      <alignment horizontal="centerContinuous"/>
    </xf>
    <xf numFmtId="0" fontId="65" fillId="7" borderId="26" xfId="27" applyFont="1" applyFill="1" applyBorder="1" applyAlignment="1">
      <alignment horizontal="centerContinuous" vertical="center"/>
    </xf>
    <xf numFmtId="0" fontId="66" fillId="34" borderId="27" xfId="0" applyFont="1" applyFill="1" applyBorder="1" applyAlignment="1">
      <alignment horizontal="centerContinuous"/>
    </xf>
    <xf numFmtId="0" fontId="66" fillId="34" borderId="28" xfId="0" applyFont="1" applyFill="1" applyBorder="1" applyAlignment="1">
      <alignment horizontal="centerContinuous"/>
    </xf>
    <xf numFmtId="41" fontId="0" fillId="23" borderId="0" xfId="0" applyNumberFormat="1" applyFill="1"/>
    <xf numFmtId="173" fontId="23" fillId="17" borderId="3" xfId="9" applyNumberFormat="1"/>
    <xf numFmtId="176" fontId="3" fillId="0" borderId="0" xfId="0" applyNumberFormat="1" applyFont="1" applyAlignment="1">
      <alignment horizontal="left" vertical="top"/>
    </xf>
    <xf numFmtId="0" fontId="45" fillId="35" borderId="0" xfId="0" applyFont="1" applyFill="1"/>
    <xf numFmtId="0" fontId="0" fillId="35" borderId="0" xfId="0" applyFill="1"/>
    <xf numFmtId="22" fontId="0" fillId="0" borderId="0" xfId="0" applyNumberFormat="1"/>
    <xf numFmtId="0" fontId="52" fillId="27" borderId="24" xfId="0" applyFont="1" applyFill="1" applyBorder="1" applyAlignment="1">
      <alignment horizontal="center"/>
    </xf>
    <xf numFmtId="0" fontId="67" fillId="17" borderId="0" xfId="0" applyFont="1" applyFill="1"/>
    <xf numFmtId="41" fontId="0" fillId="0" borderId="0" xfId="0" quotePrefix="1" applyNumberFormat="1"/>
    <xf numFmtId="9" fontId="0" fillId="0" borderId="0" xfId="7" quotePrefix="1" applyFont="1"/>
    <xf numFmtId="166" fontId="0" fillId="0" borderId="0" xfId="7" applyNumberFormat="1" applyFont="1"/>
    <xf numFmtId="9" fontId="0" fillId="0" borderId="0" xfId="7" applyFont="1"/>
    <xf numFmtId="41" fontId="0" fillId="0" borderId="0" xfId="7" applyNumberFormat="1" applyFont="1"/>
    <xf numFmtId="22" fontId="68" fillId="0" borderId="0" xfId="0" applyNumberFormat="1" applyFont="1" applyAlignment="1">
      <alignment horizontal="left" vertical="top"/>
    </xf>
    <xf numFmtId="0" fontId="52" fillId="27" borderId="0" xfId="0" applyFont="1" applyFill="1" applyBorder="1" applyAlignment="1">
      <alignment horizontal="center"/>
    </xf>
    <xf numFmtId="165" fontId="3" fillId="0" borderId="0" xfId="0" quotePrefix="1" applyNumberFormat="1" applyFont="1" applyFill="1"/>
    <xf numFmtId="0" fontId="13" fillId="0" borderId="0" xfId="0" applyFont="1"/>
    <xf numFmtId="0" fontId="9" fillId="6" borderId="0" xfId="0" applyFont="1" applyFill="1" applyAlignment="1">
      <alignment horizontal="left" vertical="top"/>
    </xf>
    <xf numFmtId="0" fontId="9" fillId="6" borderId="0" xfId="0" applyFont="1" applyFill="1" applyAlignment="1">
      <alignment horizontal="left" vertical="top"/>
    </xf>
    <xf numFmtId="0" fontId="8" fillId="0" borderId="0" xfId="0" applyFont="1" applyAlignment="1">
      <alignment horizontal="left" vertical="top"/>
    </xf>
    <xf numFmtId="0" fontId="0" fillId="0" borderId="0" xfId="0" applyBorder="1"/>
    <xf numFmtId="44" fontId="23" fillId="13" borderId="13" xfId="16" applyNumberFormat="1" applyBorder="1"/>
    <xf numFmtId="173" fontId="23" fillId="17" borderId="13" xfId="9" quotePrefix="1" applyNumberFormat="1" applyBorder="1"/>
    <xf numFmtId="0" fontId="0" fillId="0" borderId="0" xfId="0" quotePrefix="1" applyBorder="1"/>
    <xf numFmtId="44" fontId="58" fillId="17" borderId="10" xfId="17" applyNumberFormat="1" applyFont="1"/>
    <xf numFmtId="0" fontId="27" fillId="0" borderId="0" xfId="0" applyFont="1"/>
    <xf numFmtId="0" fontId="27" fillId="0" borderId="0" xfId="0" applyFont="1" applyFill="1"/>
    <xf numFmtId="41" fontId="27" fillId="0" borderId="0" xfId="6" applyNumberFormat="1" applyFont="1" applyFill="1"/>
    <xf numFmtId="41" fontId="27" fillId="0" borderId="0" xfId="0" applyNumberFormat="1" applyFont="1"/>
    <xf numFmtId="0" fontId="27" fillId="0" borderId="0" xfId="13" applyFont="1"/>
    <xf numFmtId="164" fontId="27" fillId="0" borderId="0" xfId="1" applyNumberFormat="1" applyFont="1" applyFill="1"/>
    <xf numFmtId="0" fontId="69" fillId="0" borderId="0" xfId="0" applyFont="1"/>
    <xf numFmtId="0" fontId="27" fillId="0" borderId="0" xfId="13" applyFont="1" applyFill="1"/>
    <xf numFmtId="41" fontId="27" fillId="0" borderId="0" xfId="0" quotePrefix="1" applyNumberFormat="1" applyFont="1" applyFill="1"/>
    <xf numFmtId="0" fontId="18" fillId="12" borderId="0" xfId="10" applyFont="1" applyFill="1"/>
    <xf numFmtId="41" fontId="18" fillId="12" borderId="0" xfId="6" applyNumberFormat="1" applyFont="1" applyFill="1"/>
    <xf numFmtId="165" fontId="22" fillId="0" borderId="0" xfId="0" applyNumberFormat="1" applyFont="1"/>
    <xf numFmtId="165" fontId="22" fillId="0" borderId="0" xfId="0" applyNumberFormat="1" applyFont="1" applyFill="1"/>
    <xf numFmtId="165" fontId="22" fillId="0" borderId="0" xfId="6" applyNumberFormat="1" applyFont="1" applyFill="1"/>
    <xf numFmtId="0" fontId="3" fillId="0" borderId="0" xfId="10" applyFont="1" applyFill="1"/>
    <xf numFmtId="49" fontId="9" fillId="6" borderId="0" xfId="0" applyNumberFormat="1" applyFont="1" applyFill="1" applyAlignment="1">
      <alignment horizontal="left" vertical="top"/>
    </xf>
    <xf numFmtId="0" fontId="70" fillId="0" borderId="0" xfId="0" applyFont="1" applyAlignment="1">
      <alignment horizontal="left" vertical="top"/>
    </xf>
    <xf numFmtId="0" fontId="71" fillId="0" borderId="0" xfId="0" applyFont="1" applyAlignment="1">
      <alignment horizontal="left" vertical="top"/>
    </xf>
    <xf numFmtId="41" fontId="0" fillId="35" borderId="0" xfId="0" applyNumberFormat="1" applyFill="1"/>
    <xf numFmtId="0" fontId="54" fillId="35" borderId="0" xfId="0" applyFont="1" applyFill="1"/>
    <xf numFmtId="0" fontId="0" fillId="19" borderId="5" xfId="0" applyFill="1" applyBorder="1"/>
    <xf numFmtId="41" fontId="0" fillId="19" borderId="0" xfId="0" applyNumberFormat="1" applyFill="1"/>
    <xf numFmtId="0" fontId="0" fillId="19" borderId="5" xfId="0" applyNumberFormat="1" applyFill="1" applyBorder="1"/>
    <xf numFmtId="0" fontId="0" fillId="19" borderId="0" xfId="0" applyNumberFormat="1" applyFill="1"/>
    <xf numFmtId="0" fontId="0" fillId="36" borderId="0" xfId="0" applyFill="1"/>
    <xf numFmtId="176" fontId="0" fillId="0" borderId="0" xfId="0" applyNumberFormat="1"/>
    <xf numFmtId="0" fontId="0" fillId="36" borderId="0" xfId="0" quotePrefix="1" applyFill="1"/>
    <xf numFmtId="0" fontId="23" fillId="36" borderId="0" xfId="0" applyFont="1" applyFill="1"/>
    <xf numFmtId="0" fontId="23" fillId="36" borderId="0" xfId="0" quotePrefix="1" applyFont="1" applyFill="1"/>
    <xf numFmtId="0" fontId="23" fillId="36" borderId="0" xfId="0" applyNumberFormat="1" applyFont="1" applyFill="1"/>
    <xf numFmtId="41" fontId="0" fillId="36" borderId="0" xfId="0" applyNumberFormat="1" applyFill="1"/>
    <xf numFmtId="0" fontId="0" fillId="38" borderId="0" xfId="0" applyFill="1"/>
    <xf numFmtId="22" fontId="72" fillId="0" borderId="0" xfId="0" applyNumberFormat="1" applyFont="1"/>
    <xf numFmtId="37" fontId="0" fillId="0" borderId="0" xfId="0" applyNumberFormat="1"/>
    <xf numFmtId="0" fontId="0" fillId="39" borderId="0" xfId="0" applyFill="1"/>
    <xf numFmtId="0" fontId="0" fillId="21" borderId="0" xfId="0" applyFill="1"/>
    <xf numFmtId="0" fontId="0" fillId="31" borderId="0" xfId="0" applyFill="1"/>
    <xf numFmtId="0" fontId="0" fillId="40" borderId="0" xfId="0" applyFill="1"/>
    <xf numFmtId="0" fontId="3" fillId="0" borderId="0" xfId="19" applyFont="1" applyAlignment="1">
      <alignment horizontal="left" vertical="top"/>
    </xf>
    <xf numFmtId="0" fontId="3" fillId="0" borderId="0" xfId="19" quotePrefix="1" applyFont="1" applyAlignment="1">
      <alignment horizontal="left" vertical="top"/>
    </xf>
    <xf numFmtId="9" fontId="3" fillId="0" borderId="0" xfId="7" applyFont="1" applyAlignment="1">
      <alignment horizontal="left" vertical="top"/>
    </xf>
    <xf numFmtId="0" fontId="3" fillId="23" borderId="0" xfId="19" applyFont="1" applyFill="1" applyAlignment="1">
      <alignment horizontal="left" vertical="top"/>
    </xf>
    <xf numFmtId="164" fontId="1" fillId="37" borderId="0" xfId="28" applyNumberFormat="1"/>
    <xf numFmtId="177" fontId="0" fillId="24" borderId="0" xfId="7" applyNumberFormat="1" applyFont="1" applyFill="1" applyAlignment="1">
      <alignment horizontal="right"/>
    </xf>
    <xf numFmtId="164" fontId="0" fillId="28" borderId="0" xfId="0" quotePrefix="1" applyNumberFormat="1" applyFill="1" applyAlignment="1">
      <alignment wrapText="1"/>
    </xf>
    <xf numFmtId="178" fontId="0" fillId="28" borderId="0" xfId="0" applyNumberFormat="1" applyFill="1"/>
    <xf numFmtId="177" fontId="0" fillId="28" borderId="0" xfId="7" applyNumberFormat="1" applyFont="1" applyFill="1" applyAlignment="1">
      <alignment horizontal="right"/>
    </xf>
    <xf numFmtId="164" fontId="0" fillId="0" borderId="0" xfId="0" quotePrefix="1" applyNumberFormat="1" applyAlignment="1">
      <alignment wrapText="1"/>
    </xf>
    <xf numFmtId="178" fontId="0" fillId="0" borderId="0" xfId="7" applyNumberFormat="1" applyFont="1"/>
    <xf numFmtId="177" fontId="0" fillId="0" borderId="0" xfId="7" applyNumberFormat="1" applyFont="1" applyAlignment="1">
      <alignment horizontal="right"/>
    </xf>
    <xf numFmtId="164" fontId="0" fillId="15" borderId="0" xfId="0" quotePrefix="1" applyNumberFormat="1" applyFill="1" applyAlignment="1">
      <alignment wrapText="1"/>
    </xf>
    <xf numFmtId="178" fontId="0" fillId="15" borderId="0" xfId="0" applyNumberFormat="1" applyFill="1"/>
    <xf numFmtId="177" fontId="0" fillId="15" borderId="0" xfId="7" applyNumberFormat="1" applyFont="1" applyFill="1" applyAlignment="1">
      <alignment horizontal="right"/>
    </xf>
    <xf numFmtId="9" fontId="3" fillId="0" borderId="0" xfId="19" applyNumberFormat="1" applyFont="1" applyAlignment="1">
      <alignment horizontal="left" vertical="top"/>
    </xf>
    <xf numFmtId="164" fontId="0" fillId="28" borderId="0" xfId="0" applyNumberFormat="1" applyFill="1"/>
    <xf numFmtId="164" fontId="0" fillId="15" borderId="0" xfId="0" applyNumberFormat="1" applyFill="1"/>
    <xf numFmtId="178" fontId="0" fillId="15" borderId="0" xfId="7" applyNumberFormat="1" applyFont="1" applyFill="1"/>
    <xf numFmtId="0" fontId="3" fillId="41" borderId="0" xfId="19" applyFont="1" applyFill="1" applyAlignment="1">
      <alignment horizontal="left" vertical="top"/>
    </xf>
    <xf numFmtId="179" fontId="0" fillId="24" borderId="0" xfId="7" applyNumberFormat="1" applyFont="1" applyFill="1" applyAlignment="1">
      <alignment horizontal="right"/>
    </xf>
    <xf numFmtId="180" fontId="0" fillId="28" borderId="0" xfId="0" applyNumberFormat="1" applyFill="1"/>
    <xf numFmtId="180" fontId="0" fillId="0" borderId="0" xfId="7" applyNumberFormat="1" applyFont="1"/>
    <xf numFmtId="180" fontId="0" fillId="15" borderId="0" xfId="0" applyNumberFormat="1" applyFill="1"/>
    <xf numFmtId="164" fontId="3" fillId="23" borderId="0" xfId="28" applyNumberFormat="1" applyFont="1" applyFill="1" applyAlignment="1">
      <alignment horizontal="left" vertical="top"/>
    </xf>
    <xf numFmtId="164" fontId="0" fillId="28" borderId="0" xfId="7" applyNumberFormat="1" applyFont="1" applyFill="1" applyAlignment="1">
      <alignment horizontal="right"/>
    </xf>
    <xf numFmtId="164" fontId="0" fillId="0" borderId="0" xfId="7" applyNumberFormat="1" applyFont="1" applyAlignment="1">
      <alignment horizontal="right"/>
    </xf>
    <xf numFmtId="164" fontId="0" fillId="15" borderId="0" xfId="7" applyNumberFormat="1" applyFont="1" applyFill="1" applyAlignment="1">
      <alignment horizontal="right"/>
    </xf>
    <xf numFmtId="0" fontId="54" fillId="42" borderId="0" xfId="0" applyFont="1" applyFill="1"/>
    <xf numFmtId="0" fontId="0" fillId="42" borderId="0" xfId="0" applyFill="1"/>
    <xf numFmtId="0" fontId="0" fillId="23" borderId="0" xfId="0" applyFill="1"/>
    <xf numFmtId="0" fontId="0" fillId="0" borderId="29" xfId="0" applyBorder="1"/>
    <xf numFmtId="0" fontId="0" fillId="0" borderId="30" xfId="0" applyBorder="1"/>
    <xf numFmtId="0" fontId="0" fillId="0" borderId="31" xfId="0" applyBorder="1"/>
    <xf numFmtId="0" fontId="0" fillId="40" borderId="31" xfId="0" applyFill="1" applyBorder="1"/>
    <xf numFmtId="0" fontId="73" fillId="0" borderId="0" xfId="0" applyFont="1" applyAlignment="1">
      <alignment horizontal="left" vertical="top"/>
    </xf>
    <xf numFmtId="0" fontId="0" fillId="17" borderId="0" xfId="0" applyFill="1"/>
    <xf numFmtId="49" fontId="3" fillId="24" borderId="0" xfId="0" applyNumberFormat="1" applyFont="1" applyFill="1" applyAlignment="1">
      <alignment horizontal="left" vertical="top"/>
    </xf>
    <xf numFmtId="0" fontId="0" fillId="17" borderId="0" xfId="0" quotePrefix="1" applyFill="1"/>
    <xf numFmtId="0" fontId="0" fillId="20" borderId="0" xfId="0" applyFill="1"/>
    <xf numFmtId="41" fontId="23" fillId="20" borderId="32" xfId="16" applyNumberFormat="1" applyFill="1" applyBorder="1"/>
    <xf numFmtId="41" fontId="23" fillId="20" borderId="3" xfId="16" applyNumberFormat="1" applyFill="1"/>
    <xf numFmtId="41" fontId="23" fillId="20" borderId="33" xfId="16" applyNumberFormat="1" applyFill="1" applyBorder="1"/>
    <xf numFmtId="41" fontId="23" fillId="20" borderId="34" xfId="16" applyNumberFormat="1" applyFill="1" applyBorder="1"/>
    <xf numFmtId="166" fontId="23" fillId="20" borderId="32" xfId="16" applyNumberFormat="1" applyFill="1" applyBorder="1"/>
    <xf numFmtId="166" fontId="23" fillId="20" borderId="3" xfId="16" applyNumberFormat="1" applyFill="1"/>
    <xf numFmtId="166" fontId="23" fillId="20" borderId="33" xfId="16" applyNumberFormat="1" applyFill="1" applyBorder="1"/>
    <xf numFmtId="166" fontId="23" fillId="20" borderId="35" xfId="16" applyNumberFormat="1" applyFill="1" applyBorder="1"/>
    <xf numFmtId="0" fontId="0" fillId="24" borderId="0" xfId="0" applyFill="1"/>
    <xf numFmtId="49" fontId="3" fillId="24" borderId="0" xfId="0" quotePrefix="1" applyNumberFormat="1" applyFont="1" applyFill="1" applyAlignment="1">
      <alignment horizontal="left" vertical="top"/>
    </xf>
    <xf numFmtId="41" fontId="23" fillId="20" borderId="36" xfId="16" applyNumberFormat="1" applyFill="1" applyBorder="1"/>
    <xf numFmtId="41" fontId="23" fillId="20" borderId="37" xfId="16" applyNumberFormat="1" applyFill="1" applyBorder="1"/>
    <xf numFmtId="41" fontId="23" fillId="20" borderId="38" xfId="16" applyNumberFormat="1" applyFill="1" applyBorder="1"/>
    <xf numFmtId="41" fontId="23" fillId="20" borderId="39" xfId="16" applyNumberFormat="1" applyFill="1" applyBorder="1"/>
    <xf numFmtId="166" fontId="23" fillId="20" borderId="36" xfId="16" applyNumberFormat="1" applyFill="1" applyBorder="1"/>
    <xf numFmtId="166" fontId="23" fillId="20" borderId="37" xfId="16" applyNumberFormat="1" applyFill="1" applyBorder="1"/>
    <xf numFmtId="166" fontId="23" fillId="20" borderId="38" xfId="16" applyNumberFormat="1" applyFill="1" applyBorder="1"/>
    <xf numFmtId="166" fontId="23" fillId="20" borderId="40" xfId="16" applyNumberFormat="1" applyFill="1" applyBorder="1"/>
    <xf numFmtId="0" fontId="0" fillId="0" borderId="0" xfId="0" applyFill="1" applyBorder="1"/>
    <xf numFmtId="0" fontId="63" fillId="0" borderId="0" xfId="0" applyFont="1" applyFill="1"/>
    <xf numFmtId="0" fontId="0" fillId="0" borderId="0" xfId="0"/>
    <xf numFmtId="0" fontId="0" fillId="0" borderId="0" xfId="0"/>
    <xf numFmtId="181" fontId="45" fillId="0" borderId="0" xfId="0" applyNumberFormat="1" applyFont="1"/>
    <xf numFmtId="41" fontId="3" fillId="0" borderId="0" xfId="0" quotePrefix="1" applyNumberFormat="1" applyFont="1" applyFill="1"/>
    <xf numFmtId="0" fontId="27" fillId="20" borderId="0" xfId="0" applyFont="1" applyFill="1"/>
    <xf numFmtId="41" fontId="0" fillId="20" borderId="0" xfId="0" applyNumberFormat="1" applyFill="1"/>
    <xf numFmtId="0" fontId="27" fillId="20" borderId="0" xfId="13" applyFont="1" applyFill="1"/>
    <xf numFmtId="0" fontId="3" fillId="20" borderId="0" xfId="0" applyFont="1" applyFill="1"/>
    <xf numFmtId="0" fontId="0" fillId="20" borderId="0" xfId="0" applyFill="1" applyBorder="1"/>
    <xf numFmtId="0" fontId="46" fillId="0" borderId="0" xfId="0" applyFont="1"/>
    <xf numFmtId="0" fontId="74" fillId="0" borderId="0" xfId="0" applyFont="1"/>
    <xf numFmtId="0" fontId="63" fillId="0" borderId="0" xfId="0" applyFont="1"/>
    <xf numFmtId="41" fontId="3" fillId="0" borderId="0" xfId="1" applyNumberFormat="1" applyFont="1" applyFill="1" applyAlignment="1">
      <alignment horizontal="right"/>
    </xf>
    <xf numFmtId="0" fontId="74" fillId="0" borderId="0" xfId="0" applyFont="1" applyFill="1"/>
    <xf numFmtId="0" fontId="2" fillId="34" borderId="0" xfId="0" applyFont="1" applyFill="1"/>
    <xf numFmtId="0" fontId="52" fillId="34" borderId="0" xfId="0" applyFont="1" applyFill="1"/>
    <xf numFmtId="0" fontId="0" fillId="43" borderId="0" xfId="0" applyFill="1"/>
    <xf numFmtId="0" fontId="23" fillId="43" borderId="0" xfId="0" applyFont="1" applyFill="1"/>
    <xf numFmtId="0" fontId="53" fillId="43" borderId="0" xfId="0" applyFont="1" applyFill="1"/>
    <xf numFmtId="0" fontId="45" fillId="43" borderId="0" xfId="0" applyFont="1" applyFill="1"/>
    <xf numFmtId="49" fontId="9" fillId="0" borderId="41" xfId="0" applyNumberFormat="1" applyFont="1" applyFill="1" applyBorder="1" applyAlignment="1">
      <alignment horizontal="left" vertical="top"/>
    </xf>
    <xf numFmtId="49" fontId="3" fillId="0" borderId="42" xfId="0" applyNumberFormat="1" applyFont="1" applyFill="1" applyBorder="1" applyAlignment="1">
      <alignment horizontal="left" vertical="top"/>
    </xf>
    <xf numFmtId="0" fontId="0" fillId="0" borderId="0" xfId="0" applyNumberFormat="1" applyFill="1" applyBorder="1"/>
    <xf numFmtId="165" fontId="0" fillId="0" borderId="0" xfId="0" applyNumberFormat="1" applyFill="1"/>
    <xf numFmtId="9" fontId="0" fillId="0" borderId="0" xfId="7" applyFont="1" applyFill="1"/>
    <xf numFmtId="0" fontId="0" fillId="20" borderId="5" xfId="0" applyFill="1" applyBorder="1"/>
    <xf numFmtId="165" fontId="3" fillId="0" borderId="0" xfId="6" applyNumberFormat="1" applyFont="1" applyFill="1" applyAlignment="1">
      <alignment horizontal="center"/>
    </xf>
    <xf numFmtId="182" fontId="63" fillId="19" borderId="0" xfId="0" applyNumberFormat="1" applyFont="1" applyFill="1"/>
    <xf numFmtId="182" fontId="63" fillId="0" borderId="0" xfId="0" applyNumberFormat="1" applyFont="1" applyFill="1"/>
    <xf numFmtId="0" fontId="0" fillId="0" borderId="0" xfId="0" applyFont="1"/>
    <xf numFmtId="41" fontId="45" fillId="43" borderId="0" xfId="7" applyNumberFormat="1" applyFont="1" applyFill="1" applyAlignment="1">
      <alignment horizontal="right"/>
    </xf>
    <xf numFmtId="0" fontId="0" fillId="0" borderId="0" xfId="0" applyAlignment="1">
      <alignment horizontal="right"/>
    </xf>
    <xf numFmtId="0" fontId="67" fillId="20" borderId="7" xfId="0" applyFont="1" applyFill="1" applyBorder="1" applyAlignment="1">
      <alignment horizontal="right"/>
    </xf>
    <xf numFmtId="0" fontId="67" fillId="20" borderId="0" xfId="0" applyFont="1" applyFill="1" applyBorder="1" applyAlignment="1">
      <alignment horizontal="right"/>
    </xf>
    <xf numFmtId="0" fontId="52" fillId="34" borderId="0" xfId="0" applyFont="1" applyFill="1" applyAlignment="1">
      <alignment horizontal="right"/>
    </xf>
    <xf numFmtId="181" fontId="74" fillId="0" borderId="0" xfId="0" applyNumberFormat="1" applyFont="1" applyAlignment="1">
      <alignment horizontal="right"/>
    </xf>
    <xf numFmtId="41" fontId="0" fillId="0" borderId="0" xfId="0" applyNumberFormat="1" applyAlignment="1">
      <alignment horizontal="right"/>
    </xf>
    <xf numFmtId="41" fontId="0" fillId="17" borderId="0" xfId="0" applyNumberFormat="1" applyFill="1" applyAlignment="1">
      <alignment horizontal="right"/>
    </xf>
    <xf numFmtId="41" fontId="54" fillId="17" borderId="0" xfId="0" applyNumberFormat="1" applyFont="1" applyFill="1" applyAlignment="1">
      <alignment horizontal="right"/>
    </xf>
    <xf numFmtId="166" fontId="45" fillId="43" borderId="0" xfId="7" quotePrefix="1" applyNumberFormat="1" applyFont="1" applyFill="1" applyAlignment="1">
      <alignment horizontal="right" wrapText="1"/>
    </xf>
    <xf numFmtId="166" fontId="0" fillId="0" borderId="0" xfId="7" quotePrefix="1" applyNumberFormat="1" applyFont="1" applyAlignment="1">
      <alignment horizontal="right" wrapText="1"/>
    </xf>
    <xf numFmtId="41" fontId="0" fillId="0" borderId="0" xfId="0" applyNumberFormat="1" applyFill="1" applyAlignment="1">
      <alignment horizontal="right"/>
    </xf>
    <xf numFmtId="41" fontId="0" fillId="0" borderId="0" xfId="7" applyNumberFormat="1" applyFont="1" applyFill="1" applyAlignment="1">
      <alignment horizontal="right"/>
    </xf>
    <xf numFmtId="181" fontId="74" fillId="0" borderId="0" xfId="0" applyNumberFormat="1" applyFont="1" applyFill="1" applyAlignment="1">
      <alignment horizontal="right"/>
    </xf>
    <xf numFmtId="166" fontId="0" fillId="0" borderId="0" xfId="7" applyNumberFormat="1" applyFont="1" applyAlignment="1">
      <alignment horizontal="right"/>
    </xf>
    <xf numFmtId="166" fontId="0" fillId="0" borderId="0" xfId="7" applyNumberFormat="1" applyFont="1" applyFill="1" applyAlignment="1">
      <alignment horizontal="right"/>
    </xf>
    <xf numFmtId="0" fontId="0" fillId="0" borderId="0" xfId="0" applyFill="1" applyAlignment="1">
      <alignment horizontal="right"/>
    </xf>
    <xf numFmtId="0" fontId="2" fillId="34" borderId="0" xfId="0" applyFont="1" applyFill="1" applyAlignment="1">
      <alignment horizontal="right"/>
    </xf>
    <xf numFmtId="42" fontId="53" fillId="43" borderId="0" xfId="0" applyNumberFormat="1" applyFont="1" applyFill="1" applyAlignment="1">
      <alignment horizontal="right"/>
    </xf>
    <xf numFmtId="42" fontId="0" fillId="20" borderId="0" xfId="0" applyNumberFormat="1" applyFill="1" applyAlignment="1">
      <alignment horizontal="right"/>
    </xf>
    <xf numFmtId="42" fontId="63" fillId="0" borderId="0" xfId="0" applyNumberFormat="1" applyFont="1" applyAlignment="1">
      <alignment horizontal="right"/>
    </xf>
    <xf numFmtId="42" fontId="74" fillId="0" borderId="0" xfId="0" applyNumberFormat="1" applyFont="1" applyAlignment="1">
      <alignment horizontal="right"/>
    </xf>
    <xf numFmtId="165" fontId="0" fillId="20" borderId="0" xfId="0" applyNumberFormat="1" applyFill="1" applyAlignment="1">
      <alignment horizontal="right"/>
    </xf>
    <xf numFmtId="42" fontId="63" fillId="0" borderId="0" xfId="0" applyNumberFormat="1" applyFont="1" applyFill="1" applyAlignment="1">
      <alignment horizontal="right"/>
    </xf>
    <xf numFmtId="41" fontId="0" fillId="20" borderId="0" xfId="0" applyNumberFormat="1" applyFill="1" applyAlignment="1">
      <alignment horizontal="right"/>
    </xf>
    <xf numFmtId="0" fontId="52" fillId="34" borderId="0" xfId="0" applyFont="1" applyFill="1" applyAlignment="1">
      <alignment horizontal="right" wrapText="1"/>
    </xf>
    <xf numFmtId="0" fontId="52" fillId="39" borderId="0" xfId="0" applyFont="1" applyFill="1"/>
    <xf numFmtId="41" fontId="52" fillId="39" borderId="0" xfId="0" applyNumberFormat="1" applyFont="1" applyFill="1" applyAlignment="1">
      <alignment horizontal="right"/>
    </xf>
    <xf numFmtId="0" fontId="75" fillId="0" borderId="0" xfId="0" applyFont="1"/>
    <xf numFmtId="0" fontId="54" fillId="0" borderId="0" xfId="0" quotePrefix="1" applyFont="1"/>
    <xf numFmtId="0" fontId="76" fillId="0" borderId="0" xfId="0" applyFont="1" applyAlignment="1"/>
    <xf numFmtId="0" fontId="53" fillId="43" borderId="0" xfId="0" applyFont="1" applyFill="1" applyAlignment="1">
      <alignment horizontal="right"/>
    </xf>
    <xf numFmtId="0" fontId="52" fillId="39" borderId="0" xfId="0" applyFont="1" applyFill="1" applyAlignment="1">
      <alignment horizontal="right"/>
    </xf>
    <xf numFmtId="42" fontId="52" fillId="39" borderId="0" xfId="0" applyNumberFormat="1" applyFont="1" applyFill="1" applyAlignment="1">
      <alignment horizontal="right"/>
    </xf>
    <xf numFmtId="0" fontId="0" fillId="0" borderId="0" xfId="0" applyFont="1" applyFill="1"/>
    <xf numFmtId="181" fontId="0" fillId="0" borderId="0" xfId="0" applyNumberFormat="1" applyFont="1" applyAlignment="1">
      <alignment horizontal="right"/>
    </xf>
    <xf numFmtId="0" fontId="7" fillId="0" borderId="0" xfId="11" applyFont="1" applyFill="1"/>
    <xf numFmtId="165" fontId="7" fillId="0" borderId="0" xfId="6" applyNumberFormat="1" applyFont="1" applyFill="1"/>
    <xf numFmtId="176" fontId="67" fillId="0" borderId="0" xfId="0" applyNumberFormat="1" applyFont="1"/>
    <xf numFmtId="165" fontId="0" fillId="23" borderId="0" xfId="0" applyNumberFormat="1" applyFill="1"/>
    <xf numFmtId="49" fontId="3" fillId="0" borderId="0" xfId="0" applyNumberFormat="1" applyFont="1" applyFill="1" applyAlignment="1">
      <alignment horizontal="left" vertical="top"/>
    </xf>
    <xf numFmtId="0" fontId="77" fillId="0" borderId="0" xfId="0" applyFont="1"/>
    <xf numFmtId="0" fontId="13" fillId="0" borderId="8" xfId="0" applyFont="1" applyBorder="1" applyAlignment="1">
      <alignment horizontal="left" vertical="center" wrapText="1"/>
    </xf>
    <xf numFmtId="0" fontId="32" fillId="14" borderId="7" xfId="0" applyFont="1" applyFill="1" applyBorder="1" applyAlignment="1" applyProtection="1">
      <alignment horizontal="left" indent="1"/>
      <protection locked="0"/>
    </xf>
    <xf numFmtId="0" fontId="3" fillId="0" borderId="0" xfId="19" quotePrefix="1" applyFont="1" applyFill="1" applyAlignment="1">
      <alignment horizontal="left" vertical="top"/>
    </xf>
    <xf numFmtId="0" fontId="45" fillId="0" borderId="0" xfId="0" applyFont="1" applyAlignment="1">
      <alignment vertical="top" wrapText="1"/>
    </xf>
    <xf numFmtId="0" fontId="0" fillId="44" borderId="0" xfId="0" applyFill="1"/>
    <xf numFmtId="0" fontId="74" fillId="44" borderId="0" xfId="0" applyFont="1" applyFill="1"/>
    <xf numFmtId="0" fontId="0" fillId="44" borderId="0" xfId="0" applyFont="1" applyFill="1"/>
    <xf numFmtId="42" fontId="0" fillId="44" borderId="0" xfId="0" applyNumberFormat="1" applyFill="1"/>
    <xf numFmtId="0" fontId="0" fillId="0" borderId="0" xfId="0"/>
    <xf numFmtId="183" fontId="0" fillId="0" borderId="0" xfId="0" applyNumberFormat="1"/>
    <xf numFmtId="184" fontId="0" fillId="0" borderId="0" xfId="0" applyNumberFormat="1"/>
    <xf numFmtId="167" fontId="0" fillId="0" borderId="0" xfId="0" applyNumberFormat="1"/>
    <xf numFmtId="0" fontId="0" fillId="45" borderId="0" xfId="0" applyFont="1" applyFill="1"/>
    <xf numFmtId="0" fontId="0" fillId="42" borderId="0" xfId="0" applyFont="1" applyFill="1"/>
    <xf numFmtId="166" fontId="0" fillId="43" borderId="0" xfId="7" applyNumberFormat="1" applyFont="1" applyFill="1" applyAlignment="1">
      <alignment horizontal="right"/>
    </xf>
    <xf numFmtId="0" fontId="3" fillId="0" borderId="3" xfId="16" applyNumberFormat="1" applyFont="1" applyFill="1" applyAlignment="1">
      <alignment horizontal="center"/>
    </xf>
    <xf numFmtId="0" fontId="3" fillId="0" borderId="13" xfId="16" applyNumberFormat="1" applyFont="1" applyFill="1" applyBorder="1" applyAlignment="1">
      <alignment horizontal="center"/>
    </xf>
    <xf numFmtId="0" fontId="63" fillId="31" borderId="7" xfId="0" applyFont="1" applyFill="1" applyBorder="1" applyAlignment="1">
      <alignment wrapText="1"/>
    </xf>
    <xf numFmtId="0" fontId="13" fillId="46" borderId="7" xfId="0" applyFont="1" applyFill="1" applyBorder="1" applyAlignment="1">
      <alignment horizontal="left" vertical="top" wrapText="1"/>
    </xf>
    <xf numFmtId="0" fontId="3" fillId="19" borderId="0" xfId="0" applyFont="1" applyFill="1" applyAlignment="1">
      <alignment horizontal="left" vertical="top" wrapText="1"/>
    </xf>
    <xf numFmtId="0" fontId="3" fillId="0" borderId="0" xfId="0" applyFont="1" applyAlignment="1">
      <alignment horizontal="left" vertical="top" wrapText="1"/>
    </xf>
    <xf numFmtId="0" fontId="3" fillId="0" borderId="0" xfId="0" applyFont="1" applyFill="1" applyBorder="1" applyAlignment="1">
      <alignment horizontal="left" vertical="top" wrapText="1"/>
    </xf>
    <xf numFmtId="0" fontId="9" fillId="6" borderId="0" xfId="0" applyFont="1" applyFill="1" applyAlignment="1">
      <alignment horizontal="left" vertical="top"/>
    </xf>
    <xf numFmtId="0" fontId="46" fillId="0" borderId="0" xfId="25" applyFont="1" applyAlignment="1">
      <alignment horizontal="center"/>
    </xf>
    <xf numFmtId="3" fontId="45" fillId="20" borderId="0" xfId="25" applyNumberFormat="1" applyFont="1" applyFill="1" applyAlignment="1">
      <alignment horizontal="center"/>
    </xf>
    <xf numFmtId="172" fontId="0" fillId="0" borderId="0" xfId="0" applyNumberFormat="1" applyFill="1"/>
  </cellXfs>
  <cellStyles count="29">
    <cellStyle name="20% - Accent1" xfId="10" builtinId="30"/>
    <cellStyle name="20% - Accent3" xfId="28" builtinId="38"/>
    <cellStyle name="40% - Accent4" xfId="4" builtinId="43"/>
    <cellStyle name="60% - Accent1" xfId="11" builtinId="32"/>
    <cellStyle name="60% - Accent4" xfId="5" builtinId="44"/>
    <cellStyle name="Accent1" xfId="27" builtinId="29"/>
    <cellStyle name="Accent3" xfId="2" builtinId="37"/>
    <cellStyle name="Accent4" xfId="3" builtinId="41"/>
    <cellStyle name="Calculation" xfId="9" builtinId="22" customBuiltin="1"/>
    <cellStyle name="Check Cell" xfId="26" builtinId="23"/>
    <cellStyle name="Comma" xfId="1" builtinId="3"/>
    <cellStyle name="Comma 2" xfId="20" xr:uid="{00000000-0005-0000-0000-000008000000}"/>
    <cellStyle name="Currency" xfId="6" builtinId="4"/>
    <cellStyle name="Currency 2" xfId="21" xr:uid="{00000000-0005-0000-0000-00000A000000}"/>
    <cellStyle name="Currency 2 2" xfId="24" xr:uid="{00000000-0005-0000-0000-00000B000000}"/>
    <cellStyle name="Explanatory Text" xfId="13" builtinId="53"/>
    <cellStyle name="Heading 1" xfId="8" builtinId="16"/>
    <cellStyle name="Heading 2" xfId="12" builtinId="17"/>
    <cellStyle name="Input" xfId="16" builtinId="20" customBuiltin="1"/>
    <cellStyle name="Linked Cell" xfId="17" builtinId="24" customBuiltin="1"/>
    <cellStyle name="Normal" xfId="0" builtinId="0"/>
    <cellStyle name="Normal 2" xfId="19" xr:uid="{00000000-0005-0000-0000-000013000000}"/>
    <cellStyle name="Normal 3" xfId="25" xr:uid="{00000000-0005-0000-0000-000014000000}"/>
    <cellStyle name="Normal 3 2" xfId="23" xr:uid="{00000000-0005-0000-0000-000015000000}"/>
    <cellStyle name="Output" xfId="14" builtinId="21" customBuiltin="1"/>
    <cellStyle name="Percent" xfId="7" builtinId="5"/>
    <cellStyle name="Percent 2" xfId="22" xr:uid="{00000000-0005-0000-0000-000018000000}"/>
    <cellStyle name="Warning Text" xfId="15" builtinId="11" customBuiltin="1"/>
    <cellStyle name="Warning Text 2" xfId="18" xr:uid="{00000000-0005-0000-0000-00001A000000}"/>
  </cellStyles>
  <dxfs count="639">
    <dxf>
      <numFmt numFmtId="172" formatCode="_(* #,##0.0_);_(* \(#,##0.0\);_(* &quot;-&quot;?_);_(@_)"/>
    </dxf>
    <dxf>
      <numFmt numFmtId="172" formatCode="_(* #,##0.0_);_(* \(#,##0.0\);_(* &quot;-&quot;?_);_(@_)"/>
      <border diagonalUp="0" diagonalDown="0">
        <left/>
        <right/>
        <top style="thin">
          <color theme="4"/>
        </top>
        <bottom/>
        <vertical/>
        <horizontal/>
      </border>
    </dxf>
    <dxf>
      <fill>
        <patternFill>
          <bgColor theme="5" tint="0.59996337778862885"/>
        </patternFill>
      </fill>
    </dxf>
    <dxf>
      <fill>
        <patternFill>
          <bgColor theme="5" tint="0.59996337778862885"/>
        </patternFill>
      </fill>
    </dxf>
    <dxf>
      <numFmt numFmtId="172" formatCode="_(* #,##0.0_);_(* \(#,##0.0\);_(* &quot;-&quot;?_);_(@_)"/>
      <fill>
        <patternFill patternType="none">
          <fgColor indexed="64"/>
          <bgColor auto="1"/>
        </patternFill>
      </fill>
    </dxf>
    <dxf>
      <numFmt numFmtId="172" formatCode="_(* #,##0.0_);_(* \(#,##0.0\);_(* &quot;-&quot;?_);_(@_)"/>
    </dxf>
    <dxf>
      <numFmt numFmtId="33" formatCode="_(* #,##0_);_(* \(#,##0\);_(* &quot;-&quot;_);_(@_)"/>
      <border outline="0">
        <left style="thin">
          <color theme="0" tint="-0.499984740745262"/>
        </left>
        <right/>
      </border>
    </dxf>
    <dxf>
      <font>
        <strike val="0"/>
        <outline val="0"/>
        <shadow val="0"/>
        <u val="none"/>
        <vertAlign val="baseline"/>
        <name val="Arial"/>
        <scheme val="none"/>
      </font>
      <numFmt numFmtId="0" formatCode="General"/>
      <border>
        <left style="thin">
          <color theme="0" tint="-0.499984740745262"/>
        </left>
      </border>
    </dxf>
    <dxf>
      <font>
        <strike val="0"/>
        <outline val="0"/>
        <shadow val="0"/>
        <u val="none"/>
        <vertAlign val="baseline"/>
        <name val="Arial"/>
        <scheme val="none"/>
      </font>
      <numFmt numFmtId="0" formatCode="General"/>
      <border>
        <left style="thin">
          <color theme="0" tint="-0.499984740745262"/>
        </left>
      </border>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font>
        <b/>
        <i val="0"/>
        <strike val="0"/>
        <condense val="0"/>
        <extend val="0"/>
        <outline val="0"/>
        <shadow val="0"/>
        <u val="none"/>
        <vertAlign val="baseline"/>
        <sz val="11"/>
        <color theme="1"/>
        <name val="Arial"/>
        <scheme val="minor"/>
      </font>
    </dxf>
    <dxf>
      <numFmt numFmtId="30" formatCode="@"/>
    </dxf>
    <dxf>
      <font>
        <b/>
        <i val="0"/>
        <strike val="0"/>
        <condense val="0"/>
        <extend val="0"/>
        <outline val="0"/>
        <shadow val="0"/>
        <u val="none"/>
        <vertAlign val="baseline"/>
        <sz val="11"/>
        <color theme="1"/>
        <name val="Arial"/>
        <scheme val="minor"/>
      </font>
      <numFmt numFmtId="1" formatCode="0"/>
      <fill>
        <patternFill patternType="solid">
          <fgColor indexed="64"/>
          <bgColor theme="4" tint="0.79998168889431442"/>
        </patternFill>
      </fill>
      <alignment horizontal="center" vertical="bottom" textRotation="0" wrapText="0" indent="0" justifyLastLine="0" shrinkToFit="0" readingOrder="0"/>
    </dxf>
    <dxf>
      <numFmt numFmtId="33" formatCode="_(* #,##0_);_(* \(#,##0\);_(* &quot;-&quot;_);_(@_)"/>
    </dxf>
    <dxf>
      <numFmt numFmtId="0" formatCode="General"/>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6" formatCode="0.0%"/>
      <fill>
        <patternFill patternType="solid">
          <fgColor indexed="64"/>
          <bgColor theme="2"/>
        </patternFill>
      </fill>
    </dxf>
    <dxf>
      <numFmt numFmtId="33" formatCode="_(* #,##0_);_(* \(#,##0\);_(* &quot;-&quot;_);_(@_)"/>
      <fill>
        <patternFill patternType="solid">
          <fgColor indexed="64"/>
          <bgColor theme="2"/>
        </patternFill>
      </fill>
    </dxf>
    <dxf>
      <numFmt numFmtId="166" formatCode="0.0%"/>
      <fill>
        <patternFill patternType="solid">
          <fgColor indexed="64"/>
          <bgColor theme="2"/>
        </patternFill>
      </fill>
    </dxf>
    <dxf>
      <numFmt numFmtId="166" formatCode="0.0%"/>
      <fill>
        <patternFill patternType="solid">
          <fgColor indexed="64"/>
          <bgColor theme="2"/>
        </patternFill>
      </fill>
      <border diagonalUp="0" diagonalDown="0">
        <left style="thin">
          <color rgb="FF7F7F7F"/>
        </left>
        <right/>
        <top style="thin">
          <color rgb="FF7F7F7F"/>
        </top>
        <bottom style="thin">
          <color rgb="FF7F7F7F"/>
        </bottom>
        <vertical/>
        <horizontal/>
      </border>
    </dxf>
    <dxf>
      <numFmt numFmtId="166" formatCode="0.0%"/>
      <fill>
        <patternFill patternType="solid">
          <fgColor indexed="64"/>
          <bgColor theme="2"/>
        </patternFill>
      </fill>
      <border diagonalUp="0" diagonalDown="0">
        <left style="thin">
          <color rgb="FF7F7F7F"/>
        </left>
        <right/>
        <top style="thin">
          <color rgb="FF7F7F7F"/>
        </top>
        <bottom style="thin">
          <color rgb="FF7F7F7F"/>
        </bottom>
        <vertical/>
        <horizontal/>
      </border>
    </dxf>
    <dxf>
      <numFmt numFmtId="166" formatCode="0.0%"/>
      <fill>
        <patternFill patternType="solid">
          <fgColor indexed="64"/>
          <bgColor theme="2"/>
        </patternFill>
      </fill>
    </dxf>
    <dxf>
      <numFmt numFmtId="166" formatCode="0.0%"/>
      <fill>
        <patternFill patternType="solid">
          <fgColor indexed="64"/>
          <bgColor theme="2"/>
        </patternFill>
      </fill>
    </dxf>
    <dxf>
      <numFmt numFmtId="166" formatCode="0.0%"/>
      <fill>
        <patternFill patternType="solid">
          <fgColor indexed="64"/>
          <bgColor theme="2"/>
        </patternFill>
      </fill>
    </dxf>
    <dxf>
      <numFmt numFmtId="166" formatCode="0.0%"/>
      <fill>
        <patternFill patternType="solid">
          <fgColor indexed="64"/>
          <bgColor theme="2"/>
        </patternFill>
      </fill>
    </dxf>
    <dxf>
      <numFmt numFmtId="166" formatCode="0.0%"/>
      <fill>
        <patternFill patternType="solid">
          <fgColor indexed="64"/>
          <bgColor theme="2"/>
        </patternFill>
      </fill>
      <border diagonalUp="0" diagonalDown="0">
        <left style="medium">
          <color indexed="64"/>
        </left>
      </border>
    </dxf>
    <dxf>
      <numFmt numFmtId="33" formatCode="_(* #,##0_);_(* \(#,##0\);_(* &quot;-&quot;_);_(@_)"/>
      <fill>
        <patternFill patternType="solid">
          <fgColor indexed="64"/>
          <bgColor theme="2"/>
        </patternFill>
      </fill>
      <border diagonalUp="0" diagonalDown="0">
        <left/>
        <right/>
        <top style="thin">
          <color rgb="FF7F7F7F"/>
        </top>
        <bottom style="thin">
          <color rgb="FF7F7F7F"/>
        </bottom>
        <vertical/>
        <horizontal/>
      </border>
    </dxf>
    <dxf>
      <numFmt numFmtId="33" formatCode="_(* #,##0_);_(* \(#,##0\);_(* &quot;-&quot;_);_(@_)"/>
      <fill>
        <patternFill patternType="solid">
          <fgColor indexed="64"/>
          <bgColor theme="2"/>
        </patternFill>
      </fill>
      <border diagonalUp="0" diagonalDown="0">
        <left/>
        <right/>
        <top style="thin">
          <color rgb="FF7F7F7F"/>
        </top>
        <bottom style="thin">
          <color rgb="FF7F7F7F"/>
        </bottom>
        <vertical/>
        <horizontal/>
      </border>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border diagonalUp="0" diagonalDown="0">
        <left style="medium">
          <color indexed="64"/>
        </left>
      </border>
    </dxf>
    <dxf>
      <numFmt numFmtId="33" formatCode="_(* #,##0_);_(* \(#,##0\);_(* &quot;-&quot;_);_(@_)"/>
      <fill>
        <patternFill patternType="solid">
          <fgColor indexed="64"/>
          <bgColor theme="2"/>
        </patternFill>
      </fill>
      <border diagonalUp="0" diagonalDown="0">
        <left/>
        <right/>
        <top style="thin">
          <color rgb="FF7F7F7F"/>
        </top>
        <bottom style="thin">
          <color rgb="FF7F7F7F"/>
        </bottom>
        <vertical/>
        <horizontal/>
      </border>
    </dxf>
    <dxf>
      <numFmt numFmtId="33" formatCode="_(* #,##0_);_(* \(#,##0\);_(* &quot;-&quot;_);_(@_)"/>
      <fill>
        <patternFill patternType="solid">
          <fgColor indexed="64"/>
          <bgColor theme="2"/>
        </patternFill>
      </fill>
      <border diagonalUp="0" diagonalDown="0">
        <left/>
        <right/>
        <top style="thin">
          <color rgb="FF7F7F7F"/>
        </top>
        <bottom style="thin">
          <color rgb="FF7F7F7F"/>
        </bottom>
        <vertical/>
        <horizontal/>
      </border>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dxf>
    <dxf>
      <numFmt numFmtId="33" formatCode="_(* #,##0_);_(* \(#,##0\);_(* &quot;-&quot;_);_(@_)"/>
      <fill>
        <patternFill patternType="solid">
          <fgColor indexed="64"/>
          <bgColor theme="2"/>
        </patternFill>
      </fill>
      <border diagonalUp="0" diagonalDown="0">
        <left style="thin">
          <color rgb="FF7F7F7F"/>
        </left>
      </border>
    </dxf>
    <dxf>
      <numFmt numFmtId="33" formatCode="_(* #,##0_);_(* \(#,##0\);_(* &quot;-&quot;_);_(@_)"/>
      <fill>
        <patternFill patternType="solid">
          <fgColor indexed="64"/>
          <bgColor theme="2"/>
        </patternFill>
      </fill>
      <border diagonalUp="0" diagonalDown="0">
        <left style="medium">
          <color indexed="64"/>
        </left>
      </border>
    </dxf>
    <dxf>
      <numFmt numFmtId="0" formatCode="General"/>
      <fill>
        <patternFill patternType="solid">
          <fgColor indexed="64"/>
          <bgColor theme="2"/>
        </patternFill>
      </fill>
    </dxf>
    <dxf>
      <fill>
        <patternFill>
          <fgColor indexed="64"/>
          <bgColor theme="0" tint="-4.9989318521683403E-2"/>
        </patternFill>
      </fill>
    </dxf>
    <dxf>
      <numFmt numFmtId="0" formatCode="General"/>
      <fill>
        <patternFill>
          <fgColor indexed="64"/>
          <bgColor theme="0" tint="-4.9989318521683403E-2"/>
        </patternFill>
      </fill>
    </dxf>
    <dxf>
      <numFmt numFmtId="0" formatCode="General"/>
      <fill>
        <patternFill patternType="solid">
          <fgColor indexed="64"/>
          <bgColor theme="0" tint="-4.9989318521683403E-2"/>
        </patternFill>
      </fill>
    </dxf>
    <dxf>
      <numFmt numFmtId="0" formatCode="General"/>
      <fill>
        <patternFill patternType="solid">
          <fgColor indexed="64"/>
          <bgColor theme="0" tint="-4.9989318521683403E-2"/>
        </patternFill>
      </fill>
    </dxf>
    <dxf>
      <numFmt numFmtId="0" formatCode="General"/>
      <fill>
        <patternFill patternType="solid">
          <fgColor indexed="64"/>
          <bgColor theme="0" tint="-4.9989318521683403E-2"/>
        </patternFill>
      </fill>
    </dxf>
    <dxf>
      <fill>
        <patternFill patternType="solid">
          <fgColor indexed="64"/>
          <bgColor theme="6" tint="0.79998168889431442"/>
        </patternFill>
      </fill>
    </dxf>
    <dxf>
      <numFmt numFmtId="0" formatCode="General"/>
      <fill>
        <patternFill>
          <fgColor indexed="64"/>
          <bgColor theme="0" tint="-4.9989318521683403E-2"/>
        </patternFill>
      </fill>
    </dxf>
    <dxf>
      <fill>
        <patternFill>
          <fgColor indexed="64"/>
          <bgColor theme="0" tint="-4.9989318521683403E-2"/>
        </patternFill>
      </fill>
    </dxf>
    <dxf>
      <numFmt numFmtId="0" formatCode="General"/>
    </dxf>
    <dxf>
      <numFmt numFmtId="13" formatCode="0%"/>
      <fill>
        <patternFill patternType="none">
          <fgColor indexed="64"/>
          <bgColor auto="1"/>
        </patternFill>
      </fill>
    </dxf>
    <dxf>
      <numFmt numFmtId="33" formatCode="_(* #,##0_);_(* \(#,##0\);_(* &quot;-&quot;_);_(@_)"/>
      <fill>
        <patternFill patternType="none">
          <fgColor indexed="64"/>
          <bgColor auto="1"/>
        </patternFill>
      </fill>
    </dxf>
    <dxf>
      <font>
        <b val="0"/>
        <i val="0"/>
        <strike val="0"/>
        <condense val="0"/>
        <extend val="0"/>
        <outline val="0"/>
        <shadow val="0"/>
        <u val="none"/>
        <vertAlign val="baseline"/>
        <sz val="11"/>
        <color theme="1"/>
        <name val="Arial"/>
        <family val="2"/>
        <scheme val="minor"/>
      </font>
      <numFmt numFmtId="166" formatCode="0.0%"/>
      <fill>
        <patternFill patternType="none">
          <fgColor indexed="64"/>
          <bgColor auto="1"/>
        </patternFill>
      </fill>
    </dxf>
    <dxf>
      <numFmt numFmtId="166" formatCode="0.0%"/>
      <fill>
        <patternFill patternType="none">
          <fgColor indexed="64"/>
          <bgColor auto="1"/>
        </patternFill>
      </fill>
    </dxf>
    <dxf>
      <numFmt numFmtId="33" formatCode="_(* #,##0_);_(* \(#,##0\);_(* &quot;-&quot;_);_(@_)"/>
      <fill>
        <patternFill patternType="none">
          <fgColor indexed="64"/>
          <bgColor auto="1"/>
        </patternFill>
      </fill>
    </dxf>
    <dxf>
      <numFmt numFmtId="33" formatCode="_(* #,##0_);_(* \(#,##0\);_(* &quot;-&quot;_);_(@_)"/>
    </dxf>
    <dxf>
      <numFmt numFmtId="33" formatCode="_(* #,##0_);_(* \(#,##0\);_(* &quot;-&quot;_);_(@_)"/>
    </dxf>
    <dxf>
      <numFmt numFmtId="13" formatCode="0%"/>
    </dxf>
    <dxf>
      <numFmt numFmtId="33" formatCode="_(* #,##0_);_(* \(#,##0\);_(* &quot;-&quot;_);_(@_)"/>
    </dxf>
    <dxf>
      <font>
        <strike val="0"/>
        <outline val="0"/>
        <shadow val="0"/>
        <u val="none"/>
        <vertAlign val="baseline"/>
        <sz val="9"/>
        <color theme="1"/>
        <name val="Arial"/>
        <family val="2"/>
        <scheme val="minor"/>
      </font>
      <numFmt numFmtId="0" formatCode="General"/>
      <fill>
        <patternFill patternType="solid">
          <fgColor indexed="64"/>
          <bgColor theme="0" tint="-4.9989318521683403E-2"/>
        </patternFill>
      </fill>
    </dxf>
    <dxf>
      <font>
        <strike val="0"/>
        <outline val="0"/>
        <shadow val="0"/>
        <u val="none"/>
        <vertAlign val="baseline"/>
        <sz val="9"/>
        <color theme="1"/>
        <name val="Arial"/>
        <family val="2"/>
        <scheme val="minor"/>
      </font>
      <numFmt numFmtId="0" formatCode="General"/>
      <fill>
        <patternFill patternType="solid">
          <fgColor indexed="64"/>
          <bgColor theme="0" tint="-4.9989318521683403E-2"/>
        </patternFill>
      </fill>
    </dxf>
    <dxf>
      <font>
        <b val="0"/>
        <i val="0"/>
        <strike val="0"/>
        <condense val="0"/>
        <extend val="0"/>
        <outline val="0"/>
        <shadow val="0"/>
        <u val="none"/>
        <vertAlign val="baseline"/>
        <sz val="9"/>
        <color theme="1"/>
        <name val="Arial"/>
        <family val="2"/>
        <scheme val="minor"/>
      </font>
      <fill>
        <patternFill patternType="solid">
          <fgColor indexed="64"/>
          <bgColor theme="0" tint="-4.9989318521683403E-2"/>
        </patternFill>
      </fill>
    </dxf>
    <dxf>
      <font>
        <strike val="0"/>
        <outline val="0"/>
        <shadow val="0"/>
        <u val="none"/>
        <vertAlign val="baseline"/>
        <sz val="9"/>
        <color theme="1"/>
        <name val="Arial"/>
        <family val="2"/>
        <scheme val="minor"/>
      </font>
      <fill>
        <patternFill patternType="solid">
          <fgColor indexed="64"/>
          <bgColor theme="0" tint="-4.9989318521683403E-2"/>
        </patternFill>
      </fill>
    </dxf>
    <dxf>
      <font>
        <strike val="0"/>
        <outline val="0"/>
        <shadow val="0"/>
        <u val="none"/>
        <vertAlign val="baseline"/>
        <sz val="9"/>
        <color theme="1"/>
        <name val="Arial"/>
        <family val="2"/>
        <scheme val="minor"/>
      </font>
      <fill>
        <patternFill patternType="solid">
          <fgColor indexed="64"/>
          <bgColor theme="0" tint="-4.9989318521683403E-2"/>
        </patternFill>
      </fill>
    </dxf>
    <dxf>
      <font>
        <strike val="0"/>
        <outline val="0"/>
        <shadow val="0"/>
        <u val="none"/>
        <vertAlign val="baseline"/>
        <sz val="9"/>
        <color theme="1"/>
        <name val="Arial"/>
        <family val="2"/>
        <scheme val="minor"/>
      </font>
      <numFmt numFmtId="0" formatCode="General"/>
      <fill>
        <patternFill patternType="solid">
          <fgColor indexed="64"/>
          <bgColor theme="0" tint="-4.9989318521683403E-2"/>
        </patternFill>
      </fill>
    </dxf>
    <dxf>
      <numFmt numFmtId="0" formatCode="General"/>
    </dxf>
    <dxf>
      <font>
        <b val="0"/>
        <i val="0"/>
        <strike val="0"/>
        <condense val="0"/>
        <extend val="0"/>
        <outline val="0"/>
        <shadow val="0"/>
        <u val="none"/>
        <vertAlign val="baseline"/>
        <sz val="11"/>
        <color theme="1"/>
        <name val="Arial"/>
        <family val="2"/>
        <scheme val="minor"/>
      </font>
      <numFmt numFmtId="177" formatCode="0%;[Red]\-0%;_(* &quot;-&quot;??_);_(@_)"/>
      <fill>
        <patternFill patternType="solid">
          <fgColor indexed="64"/>
          <bgColor theme="9" tint="0.79998168889431442"/>
        </patternFill>
      </fill>
      <alignment horizontal="right" vertical="bottom" textRotation="0" wrapText="0" indent="0" justifyLastLine="0" shrinkToFit="0" readingOrder="0"/>
    </dxf>
    <dxf>
      <numFmt numFmtId="178" formatCode="0%;\-0%;&quot;-&quot;??"/>
      <fill>
        <patternFill patternType="solid">
          <fgColor indexed="64"/>
          <bgColor theme="9" tint="0.79998168889431442"/>
        </patternFill>
      </fill>
    </dxf>
    <dxf>
      <numFmt numFmtId="164" formatCode="_(* #,##0_);_(* \(#,##0\);_(* &quot;-&quot;??_);_(@_)"/>
      <fill>
        <patternFill patternType="solid">
          <fgColor indexed="64"/>
          <bgColor theme="9"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77" formatCode="0%;[Red]\-0%;_(* &quot;-&quot;??_);_(@_)"/>
      <fill>
        <patternFill patternType="none">
          <fgColor indexed="64"/>
          <bgColor indexed="65"/>
        </patternFill>
      </fill>
      <alignment horizontal="right" vertical="bottom" textRotation="0" wrapText="0" indent="0" justifyLastLine="0" shrinkToFit="0" readingOrder="0"/>
    </dxf>
    <dxf>
      <numFmt numFmtId="178" formatCode="0%;\-0%;&quot;-&quot;??"/>
      <fill>
        <patternFill patternType="none">
          <fgColor indexed="64"/>
          <bgColor auto="1"/>
        </patternFill>
      </fill>
    </dxf>
    <dxf>
      <numFmt numFmtId="164" formatCode="_(* #,##0_);_(* \(#,##0\);_(* &quot;-&quot;??_);_(@_)"/>
      <fill>
        <patternFill patternType="none">
          <fgColor indexed="64"/>
          <bgColor indexed="65"/>
        </patternFill>
      </fill>
      <alignment horizontal="right" vertical="bottom" textRotation="0" wrapText="0" indent="0" justifyLastLine="0" shrinkToFit="0" readingOrder="0"/>
    </dxf>
    <dxf>
      <numFmt numFmtId="177" formatCode="0%;[Red]\-0%;_(* &quot;-&quot;??_);_(@_)"/>
      <fill>
        <patternFill patternType="none">
          <fgColor indexed="64"/>
          <bgColor indexed="65"/>
        </patternFill>
      </fill>
      <alignment horizontal="right" vertical="bottom" textRotation="0" wrapText="0" indent="0" justifyLastLine="0" shrinkToFit="0" readingOrder="0"/>
    </dxf>
    <dxf>
      <numFmt numFmtId="178" formatCode="0%;\-0%;&quot;-&quot;??"/>
      <fill>
        <patternFill patternType="none">
          <fgColor indexed="64"/>
          <bgColor auto="1"/>
        </patternFill>
      </fill>
    </dxf>
    <dxf>
      <numFmt numFmtId="164" formatCode="_(* #,##0_);_(* \(#,##0\);_(* &quot;-&quot;??_);_(@_)"/>
      <fill>
        <patternFill patternType="solid">
          <fgColor indexed="64"/>
          <bgColor theme="8" tint="0.79998168889431442"/>
        </patternFill>
      </fill>
      <alignment horizontal="right" vertical="bottom" textRotation="0" wrapText="0" indent="0" justifyLastLine="0" shrinkToFit="0" readingOrder="0"/>
    </dxf>
    <dxf>
      <numFmt numFmtId="177" formatCode="0%;[Red]\-0%;_(* &quot;-&quot;??_);_(@_)"/>
      <fill>
        <patternFill patternType="solid">
          <fgColor indexed="64"/>
          <bgColor theme="8" tint="0.79998168889431442"/>
        </patternFill>
      </fill>
      <alignment horizontal="right" vertical="bottom" textRotation="0" wrapText="0" indent="0" justifyLastLine="0" shrinkToFit="0" readingOrder="0"/>
    </dxf>
    <dxf>
      <numFmt numFmtId="178" formatCode="0%;\-0%;&quot;-&quot;??"/>
      <fill>
        <patternFill>
          <fgColor indexed="64"/>
          <bgColor theme="8" tint="0.79998168889431442"/>
        </patternFill>
      </fill>
    </dxf>
    <dxf>
      <numFmt numFmtId="164" formatCode="_(* #,##0_);_(* \(#,##0\);_(* &quot;-&quot;??_);_(@_)"/>
      <fill>
        <patternFill patternType="solid">
          <fgColor indexed="64"/>
          <bgColor theme="8" tint="0.79998168889431442"/>
        </patternFill>
      </fill>
      <alignment horizontal="right" vertical="bottom" textRotation="0" wrapText="0" indent="0" justifyLastLine="0" shrinkToFit="0" readingOrder="0"/>
    </dxf>
    <dxf>
      <numFmt numFmtId="177" formatCode="0%;[Red]\-0%;_(* &quot;-&quot;??_);_(@_)"/>
      <fill>
        <patternFill patternType="solid">
          <fgColor indexed="64"/>
          <bgColor theme="6" tint="0.79998168889431442"/>
        </patternFill>
      </fill>
      <alignment horizontal="right" vertical="bottom" textRotation="0" wrapText="0" indent="0" justifyLastLine="0" shrinkToFit="0" readingOrder="0"/>
    </dxf>
    <dxf>
      <numFmt numFmtId="177" formatCode="0%;[Red]\-0%;_(* &quot;-&quot;??_);_(@_)"/>
      <fill>
        <patternFill patternType="solid">
          <fgColor indexed="64"/>
          <bgColor theme="6" tint="0.79998168889431442"/>
        </patternFill>
      </fill>
      <alignment horizontal="right" vertical="bottom" textRotation="0" wrapText="0" indent="0" justifyLastLine="0" shrinkToFit="0" readingOrder="0"/>
    </dxf>
    <dxf>
      <font>
        <sz val="10"/>
        <name val="Arial"/>
        <family val="2"/>
        <scheme val="none"/>
      </font>
      <numFmt numFmtId="164" formatCode="_(* #,##0_);_(* \(#,##0\);_(* &quot;-&quot;??_);_(@_)"/>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3" formatCode="0%"/>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3" formatCode="0%"/>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numFmt numFmtId="0" formatCode="General"/>
    </dxf>
    <dxf>
      <numFmt numFmtId="0" formatCode="General"/>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numFmt numFmtId="164" formatCode="_(* #,##0_);_(* \(#,##0\);_(* &quot;-&quot;??_);_(@_)"/>
    </dxf>
    <dxf>
      <numFmt numFmtId="164" formatCode="_(* #,##0_);_(* \(#,##0\);_(* &quot;-&quot;??_);_(@_)"/>
    </dxf>
    <dxf>
      <numFmt numFmtId="164" formatCode="_(* #,##0_);_(* \(#,##0\);_(* &quot;-&quot;??_);_(@_)"/>
    </dxf>
    <dxf>
      <numFmt numFmtId="0" formatCode="General"/>
    </dxf>
    <dxf>
      <numFmt numFmtId="0" formatCode="General"/>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strike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numFmt numFmtId="164" formatCode="_(* #,##0_);_(* \(#,##0\);_(* &quot;-&quot;??_);_(@_)"/>
    </dxf>
    <dxf>
      <font>
        <b val="0"/>
        <i val="0"/>
        <strike val="0"/>
        <condense val="0"/>
        <extend val="0"/>
        <outline val="0"/>
        <shadow val="0"/>
        <u val="none"/>
        <vertAlign val="baseline"/>
        <sz val="10"/>
        <color theme="1"/>
        <name val="Arial"/>
        <scheme val="none"/>
      </font>
      <numFmt numFmtId="14" formatCode="0.00%"/>
      <alignment horizontal="right" vertical="top" textRotation="0" wrapText="0" indent="0" justifyLastLine="0" shrinkToFit="0" readingOrder="0"/>
    </dxf>
    <dxf>
      <numFmt numFmtId="164" formatCode="_(* #,##0_);_(* \(#,##0\);_(* &quot;-&quot;??_);_(@_)"/>
    </dxf>
    <dxf>
      <font>
        <strike val="0"/>
        <outline val="0"/>
        <shadow val="0"/>
        <u val="none"/>
        <vertAlign val="baseline"/>
        <sz val="10"/>
        <name val="Arial"/>
        <scheme val="none"/>
      </font>
      <numFmt numFmtId="164" formatCode="_(* #,##0_);_(* \(#,##0\);_(* &quot;-&quot;??_);_(@_)"/>
      <alignment horizontal="left" vertical="top" textRotation="0" wrapText="0" indent="0" justifyLastLine="0" shrinkToFit="0" readingOrder="0"/>
    </dxf>
    <dxf>
      <numFmt numFmtId="164" formatCode="_(* #,##0_);_(* \(#,##0\);_(* &quot;-&quot;??_);_(@_)"/>
    </dxf>
    <dxf>
      <font>
        <strike val="0"/>
        <outline val="0"/>
        <shadow val="0"/>
        <u val="none"/>
        <vertAlign val="baseline"/>
        <sz val="10"/>
        <name val="Arial"/>
        <scheme val="none"/>
      </font>
      <numFmt numFmtId="164" formatCode="_(* #,##0_);_(* \(#,##0\);_(* &quot;-&quot;??_);_(@_)"/>
      <alignment horizontal="left" vertical="top" textRotation="0" wrapText="0" indent="0" justifyLastLine="0" shrinkToFit="0" readingOrder="0"/>
    </dxf>
    <dxf>
      <font>
        <strike val="0"/>
        <outline val="0"/>
        <shadow val="0"/>
        <u val="none"/>
        <vertAlign val="baseline"/>
        <sz val="10"/>
        <name val="Arial"/>
        <scheme val="none"/>
      </font>
      <numFmt numFmtId="0" formatCode="General"/>
      <alignment horizontal="left" vertical="top" textRotation="0" wrapText="0" indent="0" justifyLastLine="0" shrinkToFit="0" readingOrder="0"/>
    </dxf>
    <dxf>
      <font>
        <strike val="0"/>
        <outline val="0"/>
        <shadow val="0"/>
        <u val="none"/>
        <vertAlign val="baseline"/>
        <sz val="10"/>
        <name val="Arial"/>
        <scheme val="none"/>
      </font>
      <numFmt numFmtId="30" formatCode="@"/>
      <alignment horizontal="left" vertical="top" textRotation="0" wrapText="0" indent="0" justifyLastLine="0" shrinkToFit="0" readingOrder="0"/>
    </dxf>
    <dxf>
      <font>
        <strike val="0"/>
        <outline val="0"/>
        <shadow val="0"/>
        <u val="none"/>
        <vertAlign val="baseline"/>
        <sz val="10"/>
        <name val="Arial"/>
        <scheme val="none"/>
      </font>
      <alignment horizontal="left" vertical="top" textRotation="0" wrapText="0" indent="0" justifyLastLine="0" shrinkToFit="0" readingOrder="0"/>
    </dxf>
    <dxf>
      <font>
        <strike val="0"/>
        <outline val="0"/>
        <shadow val="0"/>
        <u val="none"/>
        <vertAlign val="baseline"/>
        <sz val="10"/>
        <name val="Arial"/>
        <scheme val="none"/>
      </font>
      <alignment horizontal="left" vertical="top" textRotation="0" wrapText="0" indent="0" justifyLastLine="0" shrinkToFit="0" readingOrder="0"/>
    </dxf>
    <dxf>
      <font>
        <strike val="0"/>
        <outline val="0"/>
        <shadow val="0"/>
        <u val="none"/>
        <vertAlign val="baseline"/>
        <sz val="10"/>
        <name val="Arial"/>
        <scheme val="none"/>
      </font>
      <alignment horizontal="left" vertical="top" textRotation="0" wrapText="0" indent="0" justifyLastLine="0" shrinkToFit="0" readingOrder="0"/>
    </dxf>
    <dxf>
      <numFmt numFmtId="164" formatCode="_(* #,##0_);_(* \(#,##0\);_(* &quot;-&quot;??_);_(@_)"/>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numFmt numFmtId="165" formatCode="_(&quot;$&quot;* #,##0_);_(&quot;$&quot;* \(#,##0\);_(&quot;$&quot;* &quot;-&quot;??_);_(@_)"/>
      <fill>
        <patternFill patternType="solid">
          <fgColor indexed="64"/>
          <bgColor theme="7" tint="0.79998168889431442"/>
        </patternFill>
      </fill>
    </dxf>
    <dxf>
      <numFmt numFmtId="165" formatCode="_(&quot;$&quot;* #,##0_);_(&quot;$&quot;* \(#,##0\);_(&quot;$&quot;* &quot;-&quot;??_);_(@_)"/>
      <fill>
        <patternFill patternType="solid">
          <fgColor indexed="64"/>
          <bgColor theme="7" tint="0.79998168889431442"/>
        </patternFill>
      </fill>
    </dxf>
    <dxf>
      <numFmt numFmtId="165" formatCode="_(&quot;$&quot;* #,##0_);_(&quot;$&quot;* \(#,##0\);_(&quot;$&quot;* &quot;-&quot;??_);_(@_)"/>
      <fill>
        <patternFill patternType="solid">
          <fgColor indexed="64"/>
          <bgColor theme="7" tint="0.79998168889431442"/>
        </patternFill>
      </fill>
    </dxf>
    <dxf>
      <numFmt numFmtId="33" formatCode="_(* #,##0_);_(* \(#,##0\);_(* &quot;-&quot;_);_(@_)"/>
      <fill>
        <patternFill patternType="solid">
          <fgColor indexed="64"/>
          <bgColor theme="2"/>
        </patternFill>
      </fill>
    </dxf>
    <dxf>
      <numFmt numFmtId="33" formatCode="_(* #,##0_);_(* \(#,##0\);_(* &quot;-&quot;_);_(@_)"/>
      <fill>
        <patternFill>
          <fgColor indexed="64"/>
          <bgColor theme="2"/>
        </patternFill>
      </fill>
    </dxf>
    <dxf>
      <numFmt numFmtId="33" formatCode="_(* #,##0_);_(* \(#,##0\);_(* &quot;-&quot;_);_(@_)"/>
      <fill>
        <patternFill>
          <fgColor indexed="64"/>
          <bgColor theme="2"/>
        </patternFill>
      </fill>
    </dxf>
    <dxf>
      <numFmt numFmtId="33" formatCode="_(* #,##0_);_(* \(#,##0\);_(* &quot;-&quot;_);_(@_)"/>
      <fill>
        <patternFill>
          <fgColor indexed="64"/>
          <bgColor theme="2"/>
        </patternFill>
      </fill>
    </dxf>
    <dxf>
      <fill>
        <patternFill>
          <fgColor indexed="64"/>
          <bgColor theme="2"/>
        </patternFill>
      </fill>
    </dxf>
    <dxf>
      <numFmt numFmtId="0" formatCode="General"/>
      <fill>
        <patternFill>
          <fgColor indexed="64"/>
          <bgColor theme="2"/>
        </patternFill>
      </fill>
    </dxf>
    <dxf>
      <numFmt numFmtId="0" formatCode="General"/>
      <fill>
        <patternFill>
          <fgColor indexed="64"/>
          <bgColor theme="2"/>
        </patternFill>
      </fill>
    </dxf>
    <dxf>
      <numFmt numFmtId="33" formatCode="_(* #,##0_);_(* \(#,##0\);_(* &quot;-&quot;_);_(@_)"/>
      <fill>
        <patternFill>
          <fgColor indexed="64"/>
          <bgColor theme="2"/>
        </patternFill>
      </fill>
    </dxf>
    <dxf>
      <numFmt numFmtId="0" formatCode="General"/>
      <fill>
        <patternFill>
          <fgColor indexed="64"/>
          <bgColor theme="2"/>
        </patternFill>
      </fill>
    </dxf>
    <dxf>
      <numFmt numFmtId="0" formatCode="General"/>
      <fill>
        <patternFill>
          <fgColor indexed="64"/>
          <bgColor theme="2"/>
        </patternFill>
      </fill>
    </dxf>
    <dxf>
      <numFmt numFmtId="0" formatCode="General"/>
      <fill>
        <patternFill patternType="solid">
          <fgColor indexed="64"/>
          <bgColor theme="2"/>
        </patternFill>
      </fill>
    </dxf>
    <dxf>
      <numFmt numFmtId="0" formatCode="General"/>
      <fill>
        <patternFill>
          <fgColor indexed="64"/>
          <bgColor theme="2"/>
        </patternFill>
      </fill>
    </dxf>
    <dxf>
      <numFmt numFmtId="0" formatCode="General"/>
      <fill>
        <patternFill>
          <fgColor indexed="64"/>
          <bgColor theme="2"/>
        </patternFill>
      </fill>
    </dxf>
    <dxf>
      <fill>
        <patternFill>
          <fgColor indexed="64"/>
          <bgColor theme="2"/>
        </patternFill>
      </fill>
    </dxf>
    <dxf>
      <numFmt numFmtId="0" formatCode="General"/>
      <fill>
        <patternFill>
          <fgColor indexed="64"/>
          <bgColor theme="2"/>
        </patternFill>
      </fill>
    </dxf>
    <dxf>
      <numFmt numFmtId="0" formatCode="General"/>
      <fill>
        <patternFill>
          <fgColor indexed="64"/>
          <bgColor theme="2"/>
        </patternFill>
      </fill>
    </dxf>
    <dxf>
      <numFmt numFmtId="0" formatCode="General"/>
      <fill>
        <patternFill>
          <fgColor indexed="64"/>
          <bgColor theme="2"/>
        </patternFill>
      </fill>
    </dxf>
    <dxf>
      <fill>
        <patternFill>
          <fgColor indexed="64"/>
          <bgColor theme="2"/>
        </patternFill>
      </fill>
    </dxf>
    <dxf>
      <fill>
        <patternFill>
          <fgColor indexed="64"/>
          <bgColor theme="2"/>
        </patternFill>
      </fill>
    </dxf>
    <dxf>
      <fill>
        <patternFill>
          <fgColor indexed="64"/>
          <bgColor theme="2"/>
        </patternFill>
      </fill>
    </dxf>
    <dxf>
      <fill>
        <patternFill>
          <fgColor indexed="64"/>
          <bgColor theme="2"/>
        </patternFill>
      </fill>
      <border diagonalUp="0" diagonalDown="0" outline="0">
        <left/>
        <right/>
        <top style="thin">
          <color theme="4"/>
        </top>
        <bottom/>
      </border>
    </dxf>
    <dxf>
      <numFmt numFmtId="13" formatCode="0%"/>
      <fill>
        <patternFill patternType="none">
          <fgColor indexed="64"/>
          <bgColor auto="1"/>
        </patternFill>
      </fill>
    </dxf>
    <dxf>
      <numFmt numFmtId="165" formatCode="_(&quot;$&quot;* #,##0_);_(&quot;$&quot;* \(#,##0\);_(&quot;$&quot;* &quot;-&quot;??_);_(@_)"/>
      <fill>
        <patternFill patternType="none">
          <fgColor indexed="64"/>
          <bgColor indexed="65"/>
        </patternFill>
      </fill>
    </dxf>
    <dxf>
      <numFmt numFmtId="165" formatCode="_(&quot;$&quot;* #,##0_);_(&quot;$&quot;* \(#,##0\);_(&quot;$&quot;* &quot;-&quot;??_);_(@_)"/>
      <fill>
        <patternFill patternType="none">
          <fgColor indexed="64"/>
          <bgColor indexed="65"/>
        </patternFill>
      </fill>
    </dxf>
    <dxf>
      <numFmt numFmtId="165" formatCode="_(&quot;$&quot;* #,##0_);_(&quot;$&quot;* \(#,##0\);_(&quot;$&quot;* &quot;-&quot;??_);_(@_)"/>
      <fill>
        <patternFill patternType="none">
          <fgColor indexed="64"/>
          <bgColor auto="1"/>
        </patternFill>
      </fill>
    </dxf>
    <dxf>
      <numFmt numFmtId="0" formatCode="General"/>
      <fill>
        <patternFill patternType="none">
          <fgColor indexed="64"/>
          <bgColor auto="1"/>
        </patternFill>
      </fill>
    </dxf>
    <dxf>
      <font>
        <b val="0"/>
        <i val="0"/>
        <strike val="0"/>
        <condense val="0"/>
        <extend val="0"/>
        <outline val="0"/>
        <shadow val="0"/>
        <u val="none"/>
        <vertAlign val="baseline"/>
        <sz val="10"/>
        <color theme="1"/>
        <name val="Arial"/>
        <family val="2"/>
        <scheme val="none"/>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right/>
        <top style="thin">
          <color theme="6" tint="0.39997558519241921"/>
        </top>
        <bottom style="thin">
          <color theme="6" tint="0.39997558519241921"/>
        </bottom>
      </border>
    </dxf>
    <dxf>
      <border outline="0">
        <left style="thin">
          <color theme="6" tint="0.39997558519241921"/>
        </left>
      </border>
    </dxf>
    <dxf>
      <fill>
        <patternFill patternType="none">
          <fgColor indexed="64"/>
          <bgColor auto="1"/>
        </patternFill>
      </fill>
    </dxf>
    <dxf>
      <fill>
        <patternFill patternType="none">
          <fgColor indexed="64"/>
          <bgColor auto="1"/>
        </patternFill>
      </fill>
    </dxf>
    <dxf>
      <numFmt numFmtId="173" formatCode="_([$$-409]* #,##0.00_);_([$$-409]* \(#,##0.00\);_([$$-409]* &quot;-&quot;??_);_(@_)"/>
    </dxf>
    <dxf>
      <numFmt numFmtId="34" formatCode="_(&quot;$&quot;* #,##0.00_);_(&quot;$&quot;* \(#,##0.00\);_(&quot;$&quot;* &quot;-&quot;??_);_(@_)"/>
    </dxf>
    <dxf>
      <font>
        <b val="0"/>
        <i val="0"/>
        <strike val="0"/>
        <condense val="0"/>
        <extend val="0"/>
        <outline val="0"/>
        <shadow val="0"/>
        <u val="none"/>
        <vertAlign val="baseline"/>
        <sz val="10"/>
        <color rgb="FF3F3F76"/>
        <name val="Arial"/>
        <family val="2"/>
        <scheme val="none"/>
      </font>
      <numFmt numFmtId="34" formatCode="_(&quot;$&quot;* #,##0.00_);_(&quot;$&quot;* \(#,##0.00\);_(&quot;$&quot;* &quot;-&quot;??_);_(@_)"/>
      <fill>
        <patternFill patternType="solid">
          <fgColor indexed="64"/>
          <bgColor rgb="FFFFFFCC"/>
        </patternFill>
      </fill>
    </dxf>
    <dxf>
      <font>
        <b val="0"/>
        <i val="0"/>
        <strike val="0"/>
        <condense val="0"/>
        <extend val="0"/>
        <outline val="0"/>
        <shadow val="0"/>
        <u val="none"/>
        <vertAlign val="baseline"/>
        <sz val="10"/>
        <color rgb="FF3F3F76"/>
        <name val="Arial"/>
        <family val="2"/>
        <scheme val="none"/>
      </font>
      <numFmt numFmtId="34" formatCode="_(&quot;$&quot;* #,##0.00_);_(&quot;$&quot;* \(#,##0.00\);_(&quot;$&quot;* &quot;-&quot;??_);_(@_)"/>
      <fill>
        <patternFill patternType="solid">
          <fgColor indexed="64"/>
          <bgColor rgb="FFFFFFCC"/>
        </patternFill>
      </fill>
      <border diagonalUp="0" diagonalDown="0">
        <left style="thin">
          <color rgb="FF7F7F7F"/>
        </left>
        <right style="thin">
          <color rgb="FF7F7F7F"/>
        </right>
        <top style="thin">
          <color rgb="FF7F7F7F"/>
        </top>
        <bottom style="thin">
          <color rgb="FF7F7F7F"/>
        </bottom>
        <vertical/>
        <horizontal/>
      </border>
    </dxf>
    <dxf>
      <numFmt numFmtId="175" formatCode="_(&quot;$&quot;* #,##0.00_);_(&quot;$&quot;* \(#,##0.00\);_(&quot;$&quot;* &quot;-&quot;_);_(@_)"/>
    </dxf>
    <dxf>
      <numFmt numFmtId="32" formatCode="_(&quot;$&quot;* #,##0_);_(&quot;$&quot;* \(#,##0\);_(&quot;$&quot;* &quot;-&quot;_);_(@_)"/>
    </dxf>
    <dxf>
      <numFmt numFmtId="32" formatCode="_(&quot;$&quot;* #,##0_);_(&quot;$&quot;* \(#,##0\);_(&quot;$&quot;* &quot;-&quot;_);_(@_)"/>
    </dxf>
    <dxf>
      <numFmt numFmtId="32" formatCode="_(&quot;$&quot;* #,##0_);_(&quot;$&quot;* \(#,##0\);_(&quot;$&quot;* &quot;-&quot;_);_(@_)"/>
    </dxf>
    <dxf>
      <numFmt numFmtId="32" formatCode="_(&quot;$&quot;* #,##0_);_(&quot;$&quot;* \(#,##0\);_(&quot;$&quot;* &quot;-&quot;_);_(@_)"/>
    </dxf>
    <dxf>
      <numFmt numFmtId="32" formatCode="_(&quot;$&quot;* #,##0_);_(&quot;$&quot;* \(#,##0\);_(&quot;$&quot;* &quot;-&quot;_);_(@_)"/>
    </dxf>
    <dxf>
      <numFmt numFmtId="32" formatCode="_(&quot;$&quot;* #,##0_);_(&quot;$&quot;* \(#,##0\);_(&quot;$&quot;* &quot;-&quot;_);_(@_)"/>
    </dxf>
    <dxf>
      <numFmt numFmtId="32" formatCode="_(&quot;$&quot;* #,##0_);_(&quot;$&quot;* \(#,##0\);_(&quot;$&quot;* &quot;-&quot;_);_(@_)"/>
    </dxf>
    <dxf>
      <numFmt numFmtId="33" formatCode="_(* #,##0_);_(* \(#,##0\);_(* &quot;-&quot;_);_(@_)"/>
      <fill>
        <patternFill patternType="solid">
          <fgColor indexed="64"/>
          <bgColor theme="7" tint="0.79998168889431442"/>
        </patternFill>
      </fill>
    </dxf>
    <dxf>
      <numFmt numFmtId="0" formatCode="General"/>
    </dxf>
    <dxf>
      <numFmt numFmtId="0" formatCode="General"/>
    </dxf>
    <dxf>
      <border outline="0">
        <top style="thin">
          <color theme="4"/>
        </top>
      </border>
    </dxf>
    <dxf>
      <font>
        <b/>
        <i val="0"/>
        <strike val="0"/>
        <condense val="0"/>
        <extend val="0"/>
        <outline val="0"/>
        <shadow val="0"/>
        <u val="none"/>
        <vertAlign val="baseline"/>
        <sz val="11"/>
        <color theme="0"/>
        <name val="Arial"/>
        <family val="2"/>
        <scheme val="minor"/>
      </font>
      <fill>
        <patternFill patternType="solid">
          <fgColor theme="4"/>
          <bgColor theme="4"/>
        </patternFill>
      </fill>
      <alignment horizontal="general"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numFmt numFmtId="34" formatCode="_(&quot;$&quot;* #,##0.00_);_(&quot;$&quot;* \(#,##0.00\);_(&quot;$&quot;* &quot;-&quot;??_);_(@_)"/>
    </dxf>
    <dxf>
      <numFmt numFmtId="13" formatCode="0%"/>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72" formatCode="_(* #,##0.0_);_(* \(#,##0.0\);_(* &quot;-&quot;?_);_(@_)"/>
    </dxf>
    <dxf>
      <numFmt numFmtId="170" formatCode="_(#,##0_);_(\(#,##0\);_(&quot;-&quot;??_);_(@_)"/>
      <border>
        <left style="thin">
          <color theme="0" tint="-0.499984740745262"/>
        </left>
      </border>
    </dxf>
    <dxf>
      <numFmt numFmtId="170" formatCode="_(#,##0_);_(\(#,##0\);_(&quot;-&quot;??_);_(@_)"/>
    </dxf>
    <dxf>
      <numFmt numFmtId="34" formatCode="_(&quot;$&quot;* #,##0.00_);_(&quot;$&quot;* \(#,##0.00\);_(&quot;$&quot;* &quot;-&quot;??_);_(@_)"/>
      <border outline="0">
        <right style="thin">
          <color theme="0" tint="-0.499984740745262"/>
        </right>
      </border>
    </dxf>
    <dxf>
      <numFmt numFmtId="0" formatCode="General"/>
      <fill>
        <patternFill patternType="none">
          <fgColor indexed="64"/>
          <bgColor auto="1"/>
        </patternFill>
      </fill>
    </dxf>
    <dxf>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Arial"/>
        <family val="2"/>
        <scheme val="minor"/>
      </font>
      <fill>
        <patternFill patternType="none">
          <fgColor indexed="64"/>
          <bgColor auto="1"/>
        </patternFill>
      </fill>
    </dxf>
    <dxf>
      <numFmt numFmtId="33" formatCode="_(* #,##0_);_(* \(#,##0\);_(* &quot;-&quot;_);_(@_)"/>
      <border>
        <left style="thin">
          <color theme="0" tint="-0.499984740745262"/>
        </left>
      </border>
    </dxf>
    <dxf>
      <numFmt numFmtId="33" formatCode="_(* #,##0_);_(* \(#,##0\);_(* &quot;-&quot;_);_(@_)"/>
      <border>
        <right style="thin">
          <color theme="0" tint="-0.499984740745262"/>
        </right>
      </border>
    </dxf>
    <dxf>
      <font>
        <b val="0"/>
        <i val="0"/>
        <strike val="0"/>
        <condense val="0"/>
        <extend val="0"/>
        <outline val="0"/>
        <shadow val="0"/>
        <u val="none"/>
        <vertAlign val="baseline"/>
        <sz val="11"/>
        <color theme="1"/>
        <name val="Arial"/>
        <family val="2"/>
        <scheme val="minor"/>
      </font>
      <numFmt numFmtId="0" formatCode="General"/>
      <border diagonalUp="0" diagonalDown="0">
        <left/>
        <right/>
        <top style="thin">
          <color theme="4"/>
        </top>
        <bottom/>
        <vertical/>
        <horizontal/>
      </border>
    </dxf>
    <dxf>
      <font>
        <b val="0"/>
        <i val="0"/>
        <strike val="0"/>
        <condense val="0"/>
        <extend val="0"/>
        <outline val="0"/>
        <shadow val="0"/>
        <u val="none"/>
        <vertAlign val="baseline"/>
        <sz val="11"/>
        <color theme="1"/>
        <name val="Arial"/>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Arial"/>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Arial"/>
        <family val="2"/>
        <scheme val="minor"/>
      </font>
      <numFmt numFmtId="0" formatCode="General"/>
      <border diagonalUp="0" diagonalDown="0">
        <left/>
        <right/>
        <top style="thin">
          <color theme="4"/>
        </top>
        <bottom/>
        <vertical/>
        <horizontal/>
      </border>
    </dxf>
    <dxf>
      <font>
        <b val="0"/>
        <i val="0"/>
        <strike val="0"/>
        <condense val="0"/>
        <extend val="0"/>
        <outline val="0"/>
        <shadow val="0"/>
        <u val="none"/>
        <vertAlign val="baseline"/>
        <sz val="11"/>
        <color theme="1"/>
        <name val="Arial"/>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Arial"/>
        <family val="2"/>
        <scheme val="minor"/>
      </font>
      <border diagonalUp="0" diagonalDown="0">
        <left/>
        <right/>
        <top style="thin">
          <color theme="4"/>
        </top>
        <bottom/>
        <vertical/>
        <horizontal/>
      </border>
    </dxf>
    <dxf>
      <border outline="0">
        <left style="thin">
          <color theme="4"/>
        </left>
      </border>
    </dxf>
    <dxf>
      <font>
        <b/>
        <i val="0"/>
        <strike val="0"/>
        <condense val="0"/>
        <extend val="0"/>
        <outline val="0"/>
        <shadow val="0"/>
        <u val="none"/>
        <vertAlign val="baseline"/>
        <sz val="11"/>
        <color theme="0"/>
        <name val="Arial"/>
        <family val="2"/>
        <scheme val="minor"/>
      </font>
      <fill>
        <patternFill patternType="solid">
          <fgColor theme="4"/>
          <bgColor theme="4"/>
        </patternFill>
      </fill>
    </dxf>
    <dxf>
      <numFmt numFmtId="165" formatCode="_(&quot;$&quot;* #,##0_);_(&quot;$&quot;* \(#,##0\);_(&quot;$&quot;* &quot;-&quot;??_);_(@_)"/>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172" formatCode="_(* #,##0.0_);_(* \(#,##0.0\);_(* &quot;-&quot;?_);_(@_)"/>
      <fill>
        <patternFill patternType="none">
          <fgColor indexed="64"/>
          <bgColor auto="1"/>
        </patternFill>
      </fill>
    </dxf>
    <dxf>
      <numFmt numFmtId="0" formatCode="General"/>
    </dxf>
    <dxf>
      <numFmt numFmtId="1" formatCode="0"/>
    </dxf>
    <dxf>
      <numFmt numFmtId="172" formatCode="_(* #,##0.0_);_(* \(#,##0.0\);_(* &quot;-&quot;?_);_(@_)"/>
    </dxf>
    <dxf>
      <border outline="0">
        <right style="thin">
          <color theme="0" tint="-0.499984740745262"/>
        </right>
      </border>
    </dxf>
    <dxf>
      <numFmt numFmtId="164" formatCode="_(* #,##0_);_(* \(#,##0\);_(* &quot;-&quot;??_);_(@_)"/>
    </dxf>
    <dxf>
      <numFmt numFmtId="0" formatCode="General"/>
      <alignment horizontal="general" vertical="bottom" textRotation="0" wrapText="1" indent="0" justifyLastLine="0" shrinkToFit="0" readingOrder="0"/>
    </dxf>
    <dxf>
      <numFmt numFmtId="0" formatCode="General"/>
      <fill>
        <patternFill patternType="none">
          <fgColor indexed="64"/>
          <bgColor auto="1"/>
        </patternFill>
      </fill>
    </dxf>
    <dxf>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Arial"/>
        <family val="2"/>
        <scheme val="minor"/>
      </font>
      <fill>
        <patternFill patternType="none">
          <fgColor indexed="64"/>
          <bgColor auto="1"/>
        </patternFill>
      </fill>
    </dxf>
    <dxf>
      <numFmt numFmtId="3" formatCode="#,##0"/>
    </dxf>
    <dxf>
      <numFmt numFmtId="165" formatCode="_(&quot;$&quot;* #,##0_);_(&quot;$&quot;* \(#,##0\);_(&quot;$&quot;* &quot;-&quot;??_);_(@_)"/>
    </dxf>
    <dxf>
      <numFmt numFmtId="34" formatCode="_(&quot;$&quot;* #,##0.00_);_(&quot;$&quot;* \(#,##0.00\);_(&quot;$&quot;* &quot;-&quot;??_);_(@_)"/>
      <border outline="0">
        <left style="thin">
          <color rgb="FF7F7F7F"/>
        </left>
        <right style="thin">
          <color rgb="FF7F7F7F"/>
        </right>
      </border>
    </dxf>
    <dxf>
      <numFmt numFmtId="34" formatCode="_(&quot;$&quot;* #,##0.00_);_(&quot;$&quot;* \(#,##0.00\);_(&quot;$&quot;* &quot;-&quot;??_);_(@_)"/>
    </dxf>
    <dxf>
      <numFmt numFmtId="34" formatCode="_(&quot;$&quot;* #,##0.00_);_(&quot;$&quot;* \(#,##0.00\);_(&quot;$&quot;* &quot;-&quot;??_);_(@_)"/>
      <border outline="0">
        <right style="thin">
          <color rgb="FF7F7F7F"/>
        </right>
      </border>
    </dxf>
    <dxf>
      <border outline="0">
        <left style="thin">
          <color rgb="FF7F7F7F"/>
        </left>
      </border>
    </dxf>
    <dxf>
      <numFmt numFmtId="34" formatCode="_(&quot;$&quot;* #,##0.00_);_(&quot;$&quot;* \(#,##0.00\);_(&quot;$&quot;* &quot;-&quot;??_);_(@_)"/>
    </dxf>
    <dxf>
      <fill>
        <patternFill patternType="none">
          <fgColor indexed="64"/>
          <bgColor indexed="65"/>
        </patternFill>
      </fill>
      <border outline="0">
        <right style="thin">
          <color rgb="FF7F7F7F"/>
        </right>
      </border>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Arial"/>
        <family val="2"/>
        <scheme val="minor"/>
      </font>
      <fill>
        <patternFill patternType="none">
          <fgColor indexed="64"/>
          <bgColor auto="1"/>
        </patternFill>
      </fill>
      <alignment horizontal="general" vertical="top" textRotation="0" wrapText="1" indent="0" justifyLastLine="0" shrinkToFit="0" readingOrder="0"/>
    </dxf>
    <dxf>
      <numFmt numFmtId="34" formatCode="_(&quot;$&quot;* #,##0.00_);_(&quot;$&quot;* \(#,##0.00\);_(&quot;$&quot;* &quot;-&quot;??_);_(@_)"/>
      <fill>
        <patternFill patternType="none">
          <fgColor indexed="64"/>
          <bgColor auto="1"/>
        </patternFill>
      </fill>
    </dxf>
    <dxf>
      <numFmt numFmtId="170" formatCode="_(#,##0_);_(\(#,##0\);_(&quot;-&quot;??_);_(@_)"/>
      <fill>
        <patternFill patternType="none">
          <fgColor indexed="64"/>
          <bgColor indexed="65"/>
        </patternFill>
      </fill>
    </dxf>
    <dxf>
      <numFmt numFmtId="165" formatCode="_(&quot;$&quot;* #,##0_);_(&quot;$&quot;* \(#,##0\);_(&quot;$&quot;* &quot;-&quot;??_);_(@_)"/>
    </dxf>
    <dxf>
      <numFmt numFmtId="171" formatCode="_(* #,##0_);_(* \(#,##0\);_(* &quot;-&quot;?_);_(@_)"/>
    </dxf>
    <dxf>
      <numFmt numFmtId="3" formatCode="#,##0"/>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Arial"/>
        <family val="2"/>
        <scheme val="minor"/>
      </font>
      <fill>
        <patternFill patternType="none">
          <fgColor indexed="64"/>
          <bgColor auto="1"/>
        </patternFill>
      </fill>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numFmt numFmtId="167" formatCode="&quot;$&quot;#,##0"/>
    </dxf>
    <dxf>
      <fill>
        <patternFill patternType="none">
          <fgColor indexed="64"/>
          <bgColor indexed="65"/>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34" formatCode="_(&quot;$&quot;* #,##0.00_);_(&quot;$&quot;* \(#,##0.00\);_(&quot;$&quot;* &quot;-&quot;??_);_(@_)"/>
      <fill>
        <patternFill patternType="none">
          <fgColor indexed="64"/>
          <bgColor auto="1"/>
        </patternFill>
      </fill>
    </dxf>
    <dxf>
      <numFmt numFmtId="165" formatCode="_(&quot;$&quot;* #,##0_);_(&quot;$&quot;* \(#,##0\);_(&quot;$&quot;* &quot;-&quot;??_);_(@_)"/>
      <border outline="0">
        <right style="thin">
          <color rgb="FF3F3F3F"/>
        </right>
      </border>
    </dxf>
    <dxf>
      <numFmt numFmtId="165" formatCode="_(&quot;$&quot;* #,##0_);_(&quot;$&quot;* \(#,##0\);_(&quot;$&quot;* &quot;-&quot;??_);_(@_)"/>
      <fill>
        <patternFill patternType="none">
          <fgColor indexed="64"/>
          <bgColor auto="1"/>
        </patternFill>
      </fill>
    </dxf>
    <dxf>
      <numFmt numFmtId="165" formatCode="_(&quot;$&quot;* #,##0_);_(&quot;$&quot;* \(#,##0\);_(&quot;$&quot;* &quot;-&quot;??_);_(@_)"/>
      <fill>
        <patternFill patternType="none">
          <fgColor indexed="64"/>
          <bgColor auto="1"/>
        </patternFill>
      </fill>
    </dxf>
    <dxf>
      <numFmt numFmtId="13" formatCode="0%"/>
      <fill>
        <patternFill patternType="none">
          <fgColor indexed="64"/>
          <bgColor indexed="65"/>
        </patternFill>
      </fill>
    </dxf>
    <dxf>
      <numFmt numFmtId="165" formatCode="_(&quot;$&quot;* #,##0_);_(&quot;$&quot;* \(#,##0\);_(&quot;$&quot;* &quot;-&quot;??_);_(@_)"/>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165" formatCode="_(&quot;$&quot;* #,##0_);_(&quot;$&quot;* \(#,##0\);_(&quot;$&quot;* &quot;-&quot;??_);_(@_)"/>
    </dxf>
    <dxf>
      <numFmt numFmtId="165" formatCode="_(&quot;$&quot;* #,##0_);_(&quot;$&quot;* \(#,##0\);_(&quot;$&quot;* &quot;-&quot;??_);_(@_)"/>
    </dxf>
    <dxf>
      <numFmt numFmtId="34" formatCode="_(&quot;$&quot;* #,##0.00_);_(&quot;$&quot;* \(#,##0.00\);_(&quot;$&quot;* &quot;-&quot;??_);_(@_)"/>
    </dxf>
    <dxf>
      <numFmt numFmtId="0" formatCode="General"/>
    </dxf>
    <dxf>
      <numFmt numFmtId="0" formatCode="General"/>
    </dxf>
    <dxf>
      <numFmt numFmtId="33" formatCode="_(* #,##0_);_(* \(#,##0\);_(* &quot;-&quot;_);_(@_)"/>
    </dxf>
    <dxf>
      <numFmt numFmtId="33" formatCode="_(* #,##0_);_(* \(#,##0\);_(* &quot;-&quot;_);_(@_)"/>
      <fill>
        <patternFill patternType="solid">
          <fgColor indexed="64"/>
          <bgColor theme="0"/>
        </patternFill>
      </fill>
    </dxf>
    <dxf>
      <numFmt numFmtId="33" formatCode="_(* #,##0_);_(* \(#,##0\);_(* &quot;-&quot;_);_(@_)"/>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border diagonalUp="0" diagonalDown="0" outline="0">
        <left/>
        <right/>
        <top style="thin">
          <color theme="4"/>
        </top>
        <bottom/>
      </border>
    </dxf>
    <dxf>
      <numFmt numFmtId="0" formatCode="General"/>
      <fill>
        <patternFill patternType="solid">
          <fgColor indexed="64"/>
          <bgColor theme="0" tint="-0.14999847407452621"/>
        </patternFill>
      </fill>
    </dxf>
    <dxf>
      <numFmt numFmtId="165" formatCode="_(&quot;$&quot;* #,##0_);_(&quot;$&quot;* \(#,##0\);_(&quot;$&quot;* &quot;-&quot;??_);_(@_)"/>
      <border>
        <left style="thin">
          <color theme="0" tint="-0.499984740745262"/>
        </left>
      </border>
    </dxf>
    <dxf>
      <font>
        <b val="0"/>
      </font>
      <numFmt numFmtId="34" formatCode="_(&quot;$&quot;* #,##0.00_);_(&quot;$&quot;* \(#,##0.00\);_(&quot;$&quot;* &quot;-&quot;??_);_(@_)"/>
      <border outline="0">
        <right style="thin">
          <color rgb="FF3F3F3F"/>
        </right>
      </border>
    </dxf>
    <dxf>
      <font>
        <b val="0"/>
        <i val="0"/>
        <strike val="0"/>
        <condense val="0"/>
        <extend val="0"/>
        <outline val="0"/>
        <shadow val="0"/>
        <u val="none"/>
        <vertAlign val="baseline"/>
        <sz val="11"/>
        <color theme="4"/>
        <name val="Arial"/>
        <family val="2"/>
        <scheme val="minor"/>
      </font>
      <numFmt numFmtId="33" formatCode="_(* #,##0_);_(* \(#,##0\);_(* &quot;-&quot;_);_(@_)"/>
      <border outline="0">
        <right style="thin">
          <color theme="0" tint="-0.499984740745262"/>
        </right>
      </border>
    </dxf>
    <dxf>
      <font>
        <b val="0"/>
      </font>
      <numFmt numFmtId="33" formatCode="_(* #,##0_);_(* \(#,##0\);_(* &quot;-&quot;_);_(@_)"/>
    </dxf>
    <dxf>
      <numFmt numFmtId="33" formatCode="_(* #,##0_);_(* \(#,##0\);_(* &quot;-&quot;_);_(@_)"/>
    </dxf>
    <dxf>
      <numFmt numFmtId="32" formatCode="_(&quot;$&quot;* #,##0_);_(&quot;$&quot;* \(#,##0\);_(&quot;$&quot;* &quot;-&quot;_);_(@_)"/>
    </dxf>
    <dxf>
      <numFmt numFmtId="33" formatCode="_(* #,##0_);_(* \(#,##0\);_(* &quot;-&quot;_);_(@_)"/>
      <fill>
        <patternFill patternType="solid">
          <fgColor indexed="64"/>
          <bgColor theme="0" tint="-0.14999847407452621"/>
        </patternFill>
      </fill>
    </dxf>
    <dxf>
      <font>
        <strike val="0"/>
        <outline val="0"/>
        <shadow val="0"/>
        <u val="none"/>
        <vertAlign val="baseline"/>
        <sz val="11"/>
        <color auto="1"/>
        <name val="Arial"/>
        <family val="2"/>
        <scheme val="minor"/>
      </font>
      <numFmt numFmtId="0" formatCode="General"/>
      <fill>
        <patternFill patternType="none">
          <fgColor indexed="64"/>
          <bgColor theme="0" tint="-0.14999847407452621"/>
        </patternFill>
      </fill>
    </dxf>
    <dxf>
      <font>
        <strike val="0"/>
        <outline val="0"/>
        <shadow val="0"/>
        <u val="none"/>
        <vertAlign val="baseline"/>
        <sz val="11"/>
        <color auto="1"/>
        <name val="Arial"/>
        <family val="2"/>
        <scheme val="minor"/>
      </font>
      <numFmt numFmtId="0" formatCode="General"/>
      <fill>
        <patternFill patternType="none">
          <fgColor indexed="64"/>
          <bgColor theme="0" tint="-0.14999847407452621"/>
        </patternFill>
      </fill>
    </dxf>
    <dxf>
      <font>
        <strike val="0"/>
        <outline val="0"/>
        <shadow val="0"/>
        <u val="none"/>
        <vertAlign val="baseline"/>
        <sz val="11"/>
        <color auto="1"/>
        <name val="Arial"/>
        <family val="2"/>
        <scheme val="minor"/>
      </font>
      <fill>
        <patternFill patternType="solid">
          <fgColor indexed="64"/>
          <bgColor theme="0" tint="-0.14999847407452621"/>
        </patternFill>
      </fill>
    </dxf>
    <dxf>
      <font>
        <strike val="0"/>
        <outline val="0"/>
        <shadow val="0"/>
        <u val="none"/>
        <vertAlign val="baseline"/>
        <sz val="11"/>
        <color auto="1"/>
        <name val="Arial"/>
        <family val="2"/>
        <scheme val="minor"/>
      </font>
      <fill>
        <patternFill patternType="solid">
          <fgColor indexed="64"/>
          <bgColor theme="0" tint="-0.14999847407452621"/>
        </patternFill>
      </fill>
    </dxf>
    <dxf>
      <font>
        <strike val="0"/>
        <outline val="0"/>
        <shadow val="0"/>
        <u val="none"/>
        <vertAlign val="baseline"/>
        <sz val="11"/>
        <color auto="1"/>
        <name val="Arial"/>
        <family val="2"/>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border outline="0">
        <top style="thin">
          <color theme="4"/>
        </top>
      </border>
    </dxf>
    <dxf>
      <font>
        <b/>
        <i val="0"/>
        <strike val="0"/>
        <condense val="0"/>
        <extend val="0"/>
        <outline val="0"/>
        <shadow val="0"/>
        <u val="none"/>
        <vertAlign val="baseline"/>
        <sz val="11"/>
        <color theme="0"/>
        <name val="Arial"/>
        <family val="2"/>
        <scheme val="minor"/>
      </font>
      <fill>
        <patternFill patternType="solid">
          <fgColor indexed="64"/>
          <bgColor theme="6" tint="-0.249977111117893"/>
        </patternFill>
      </fill>
      <alignment horizontal="left" vertical="bottom" textRotation="0" wrapText="0" indent="0" justifyLastLine="0" shrinkToFit="0" readingOrder="0"/>
    </dxf>
    <dxf>
      <numFmt numFmtId="0" formatCode="General"/>
    </dxf>
    <dxf>
      <alignment horizontal="right" textRotation="0" wrapText="0" indent="0" justifyLastLine="0" shrinkToFit="0" readingOrder="0"/>
    </dxf>
    <dxf>
      <numFmt numFmtId="0" formatCode="General"/>
    </dxf>
    <dxf>
      <numFmt numFmtId="0" formatCode="General"/>
    </dxf>
    <dxf>
      <numFmt numFmtId="164" formatCode="_(* #,##0_);_(* \(#,##0\);_(* &quot;-&quot;??_);_(@_)"/>
      <alignment horizontal="left" vertical="top" textRotation="0" wrapText="0" indent="0" justifyLastLine="0" shrinkToFit="0" readingOrder="0"/>
    </dxf>
    <dxf>
      <numFmt numFmtId="165" formatCode="_(&quot;$&quot;* #,##0_);_(&quot;$&quot;* \(#,##0\);_(&quot;$&quot;* &quot;-&quot;??_);_(@_)"/>
    </dxf>
    <dxf>
      <numFmt numFmtId="33" formatCode="_(* #,##0_);_(* \(#,##0\);_(* &quot;-&quot;_);_(@_)"/>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scheme val="none"/>
      </font>
      <numFmt numFmtId="0" formatCode="General"/>
      <border outline="0">
        <right style="thin">
          <color rgb="FF7F7F7F"/>
        </right>
      </border>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alignment horizontal="left" vertical="bottom" textRotation="0" wrapText="0" indent="0" justifyLastLine="0" shrinkToFit="0" readingOrder="0"/>
    </dxf>
    <dxf>
      <font>
        <strike val="0"/>
        <outline val="0"/>
        <shadow val="0"/>
        <u val="none"/>
        <vertAlign val="baseline"/>
        <sz val="10"/>
        <name val="Arial"/>
        <scheme val="none"/>
      </font>
      <numFmt numFmtId="0" formatCode="General"/>
      <alignment horizontal="left" vertical="bottom" textRotation="0" wrapText="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horizontal="general" vertical="bottom" textRotation="0" wrapText="1" indent="0" justifyLastLine="0" shrinkToFit="0" readingOrder="0"/>
    </dxf>
    <dxf>
      <font>
        <strike val="0"/>
        <outline val="0"/>
        <shadow val="0"/>
        <u val="none"/>
        <vertAlign val="baseline"/>
        <name val="Arial"/>
        <scheme val="none"/>
      </font>
      <numFmt numFmtId="164" formatCode="_(* #,##0_);_(* \(#,##0\);_(* &quot;-&quot;??_);_(@_)"/>
      <alignment horizontal="left" vertical="top" textRotation="0" wrapText="0" indent="0" justifyLastLine="0" shrinkToFit="0" readingOrder="0"/>
    </dxf>
    <dxf>
      <font>
        <strike val="0"/>
        <outline val="0"/>
        <shadow val="0"/>
        <u val="none"/>
        <vertAlign val="baseline"/>
        <name val="Arial"/>
        <scheme val="none"/>
      </font>
      <numFmt numFmtId="165" formatCode="_(&quot;$&quot;* #,##0_);_(&quot;$&quot;* \(#,##0\);_(&quot;$&quot;* &quot;-&quot;??_);_(@_)"/>
    </dxf>
    <dxf>
      <numFmt numFmtId="33" formatCode="_(* #,##0_);_(* \(#,##0\);_(* &quot;-&quot;_);_(@_)"/>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scheme val="none"/>
      </font>
      <numFmt numFmtId="0" formatCode="General"/>
      <border outline="0">
        <right style="thin">
          <color rgb="FF7F7F7F"/>
        </right>
      </border>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alignment horizontal="left" vertical="bottom" textRotation="0" wrapText="0" indent="0" justifyLastLine="0" shrinkToFit="0" readingOrder="0"/>
    </dxf>
    <dxf>
      <font>
        <strike val="0"/>
        <outline val="0"/>
        <shadow val="0"/>
        <u val="none"/>
        <vertAlign val="baseline"/>
        <sz val="10"/>
        <name val="Arial"/>
        <scheme val="none"/>
      </font>
      <numFmt numFmtId="0" formatCode="General"/>
      <alignment horizontal="left" vertical="bottom" textRotation="0" wrapText="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horizontal="general" vertical="bottom" textRotation="0" wrapText="1" indent="0" justifyLastLine="0" shrinkToFit="0" readingOrder="0"/>
    </dxf>
    <dxf>
      <font>
        <strike val="0"/>
        <outline val="0"/>
        <shadow val="0"/>
        <u val="none"/>
        <vertAlign val="baseline"/>
        <name val="Arial"/>
        <scheme val="none"/>
      </font>
      <numFmt numFmtId="33" formatCode="_(* #,##0_);_(* \(#,##0\);_(* &quot;-&quot;_);_(@_)"/>
      <alignment horizontal="left" vertical="top" textRotation="0" wrapText="0" indent="0" justifyLastLine="0" shrinkToFit="0" readingOrder="0"/>
    </dxf>
    <dxf>
      <numFmt numFmtId="165" formatCode="_(&quot;$&quot;* #,##0_);_(&quot;$&quot;* \(#,##0\);_(&quot;$&quot;* &quot;-&quot;??_);_(@_)"/>
      <alignment horizontal="left" vertical="top" textRotation="0" wrapText="0" indent="0" justifyLastLine="0" shrinkToFit="0" readingOrder="0"/>
      <border outline="0">
        <right style="thin">
          <color rgb="FF3F3F3F"/>
        </right>
      </border>
    </dxf>
    <dxf>
      <numFmt numFmtId="165" formatCode="_(&quot;$&quot;* #,##0_);_(&quot;$&quot;* \(#,##0\);_(&quot;$&quot;* &quot;-&quot;??_);_(@_)"/>
      <alignment horizontal="left" vertical="top" textRotation="0" wrapText="0" indent="0" justifyLastLine="0" shrinkToFit="0" readingOrder="0"/>
    </dxf>
    <dxf>
      <numFmt numFmtId="165" formatCode="_(&quot;$&quot;* #,##0_);_(&quot;$&quot;* \(#,##0\);_(&quot;$&quot;* &quot;-&quot;??_);_(@_)"/>
      <alignment horizontal="left" vertical="top" textRotation="0" wrapText="0" indent="0" justifyLastLine="0" shrinkToFit="0" readingOrder="0"/>
    </dxf>
    <dxf>
      <numFmt numFmtId="165" formatCode="_(&quot;$&quot;* #,##0_);_(&quot;$&quot;* \(#,##0\);_(&quot;$&quot;* &quot;-&quot;??_);_(@_)"/>
    </dxf>
    <dxf>
      <numFmt numFmtId="165" formatCode="_(&quot;$&quot;* #,##0_);_(&quot;$&quot;* \(#,##0\);_(&quot;$&quot;* &quot;-&quot;??_);_(@_)"/>
      <alignment horizontal="center" vertical="top" textRotation="0" wrapText="0" indent="0" justifyLastLine="0" shrinkToFit="0" readingOrder="0"/>
    </dxf>
    <dxf>
      <numFmt numFmtId="33" formatCode="_(* #,##0_);_(* \(#,##0\);_(* &quot;-&quot;_);_(@_)"/>
      <alignment horizontal="center" vertical="top" textRotation="0" wrapText="0" indent="0" justifyLastLine="0" shrinkToFit="0" readingOrder="0"/>
    </dxf>
    <dxf>
      <numFmt numFmtId="33" formatCode="_(* #,##0_);_(* \(#,##0\);_(* &quot;-&quot;_);_(@_)"/>
      <alignment horizontal="center" vertical="top" textRotation="0" wrapText="0" indent="0" justifyLastLine="0" shrinkToFit="0" readingOrder="0"/>
    </dxf>
    <dxf>
      <numFmt numFmtId="33" formatCode="_(* #,##0_);_(* \(#,##0\);_(* &quot;-&quot;_);_(@_)"/>
      <alignment horizontal="center" vertical="top" textRotation="0" wrapText="0" indent="0" justifyLastLine="0" shrinkToFit="0" readingOrder="0"/>
    </dxf>
    <dxf>
      <numFmt numFmtId="34" formatCode="_(&quot;$&quot;* #,##0.00_);_(&quot;$&quot;* \(#,##0.00\);_(&quot;$&quot;* &quot;-&quot;??_);_(@_)"/>
      <alignment horizontal="center" vertical="top" textRotation="0" wrapText="0" indent="0" justifyLastLine="0" shrinkToFit="0" readingOrder="0"/>
    </dxf>
    <dxf>
      <numFmt numFmtId="165" formatCode="_(&quot;$&quot;* #,##0_);_(&quot;$&quot;* \(#,##0\);_(&quot;$&quot;* &quot;-&quot;??_);_(@_)"/>
      <alignment horizontal="left" vertical="top" textRotation="0" wrapText="0" indent="0" justifyLastLine="0" shrinkToFit="0" readingOrder="0"/>
    </dxf>
    <dxf>
      <numFmt numFmtId="172" formatCode="_(* #,##0.0_);_(* \(#,##0.0\);_(* &quot;-&quot;?_);_(@_)"/>
      <alignment horizontal="left" vertical="top" textRotation="0" wrapText="0" indent="0" justifyLastLine="0" shrinkToFit="0" readingOrder="0"/>
    </dxf>
    <dxf>
      <numFmt numFmtId="34" formatCode="_(&quot;$&quot;* #,##0.00_);_(&quot;$&quot;* \(#,##0.00\);_(&quot;$&quot;* &quot;-&quot;??_);_(@_)"/>
      <alignment horizontal="center" vertical="top" textRotation="0" wrapText="0" indent="0" justifyLastLine="0" shrinkToFit="0" readingOrder="0"/>
    </dxf>
    <dxf>
      <numFmt numFmtId="34" formatCode="_(&quot;$&quot;* #,##0.00_);_(&quot;$&quot;* \(#,##0.00\);_(&quot;$&quot;* &quot;-&quot;??_);_(@_)"/>
      <alignment horizontal="center" vertical="top" textRotation="0" wrapText="0" indent="0" justifyLastLine="0" shrinkToFit="0" readingOrder="0"/>
    </dxf>
    <dxf>
      <numFmt numFmtId="34" formatCode="_(&quot;$&quot;* #,##0.00_);_(&quot;$&quot;* \(#,##0.00\);_(&quot;$&quot;* &quot;-&quot;??_);_(@_)"/>
      <alignment horizontal="center" vertical="top" textRotation="0" wrapText="0" indent="0" justifyLastLine="0" shrinkToFit="0" readingOrder="0"/>
    </dxf>
    <dxf>
      <numFmt numFmtId="34" formatCode="_(&quot;$&quot;* #,##0.00_);_(&quot;$&quot;* \(#,##0.00\);_(&quot;$&quot;* &quot;-&quot;??_);_(@_)"/>
      <alignment horizontal="left" vertical="top" textRotation="0" wrapText="0" indent="0" justifyLastLine="0" shrinkToFit="0" readingOrder="0"/>
    </dxf>
    <dxf>
      <numFmt numFmtId="34" formatCode="_(&quot;$&quot;* #,##0.00_);_(&quot;$&quot;* \(#,##0.00\);_(&quot;$&quot;* &quot;-&quot;??_);_(@_)"/>
      <alignment horizontal="center"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border>
        <right style="thin">
          <color rgb="FF7F7F7F"/>
        </right>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name val="Arial"/>
        <scheme val="none"/>
      </font>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center" vertical="top" textRotation="0" wrapText="0" indent="0" justifyLastLine="0" shrinkToFit="0" readingOrder="0"/>
    </dxf>
    <dxf>
      <font>
        <b/>
        <strike val="0"/>
        <outline val="0"/>
        <shadow val="0"/>
        <u val="none"/>
        <vertAlign val="baseline"/>
        <color rgb="FF3F3F3F"/>
        <name val="Arial"/>
        <scheme val="none"/>
      </font>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center" vertical="top" textRotation="0" wrapText="0" indent="0" justifyLastLine="0" shrinkToFit="0" readingOrder="0"/>
    </dxf>
    <dxf>
      <font>
        <strike val="0"/>
        <outline val="0"/>
        <shadow val="0"/>
        <u val="none"/>
        <vertAlign val="baseline"/>
        <name val="Arial"/>
        <scheme val="none"/>
      </font>
      <alignment horizontal="center" vertical="top" textRotation="0" wrapText="0" indent="0" justifyLastLine="0" shrinkToFit="0" readingOrder="0"/>
    </dxf>
    <dxf>
      <font>
        <strike val="0"/>
        <outline val="0"/>
        <shadow val="0"/>
        <u val="none"/>
        <vertAlign val="baseline"/>
        <name val="Arial"/>
        <scheme val="none"/>
      </font>
      <alignment horizontal="center" vertical="top" textRotation="0" wrapText="0" indent="0" justifyLastLine="0" shrinkToFit="0" readingOrder="0"/>
    </dxf>
    <dxf>
      <font>
        <strike val="0"/>
        <outline val="0"/>
        <shadow val="0"/>
        <u val="none"/>
        <vertAlign val="baseline"/>
        <name val="Arial"/>
        <scheme val="none"/>
      </font>
      <alignment horizontal="center" vertical="top" textRotation="0" wrapText="0" indent="0" justifyLastLine="0" shrinkToFit="0" readingOrder="0"/>
    </dxf>
    <dxf>
      <font>
        <strike val="0"/>
        <outline val="0"/>
        <shadow val="0"/>
        <u val="none"/>
        <vertAlign val="baseline"/>
        <name val="Arial"/>
        <scheme val="none"/>
      </font>
      <alignment horizontal="center" vertical="top" textRotation="0" wrapText="0" indent="0" justifyLastLine="0" shrinkToFit="0" readingOrder="0"/>
    </dxf>
    <dxf>
      <font>
        <strike val="0"/>
        <outline val="0"/>
        <shadow val="0"/>
        <u val="none"/>
        <vertAlign val="baseline"/>
        <color auto="1"/>
        <name val="Arial"/>
        <scheme val="none"/>
      </font>
      <numFmt numFmtId="13" formatCode="0%"/>
      <alignment horizontal="center" vertical="top" textRotation="0" wrapText="0" indent="0" justifyLastLine="0" shrinkToFit="0" readingOrder="0"/>
    </dxf>
    <dxf>
      <font>
        <strike val="0"/>
        <outline val="0"/>
        <shadow val="0"/>
        <u val="none"/>
        <vertAlign val="baseline"/>
        <name val="Arial"/>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border outline="0">
        <right style="thin">
          <color rgb="FF7F7F7F"/>
        </right>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name val="Arial"/>
        <scheme val="none"/>
      </font>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4" formatCode="_(* #,##0_);_(* \(#,##0\);_(* &quot;-&quot;??_);_(@_)"/>
    </dxf>
    <dxf>
      <numFmt numFmtId="164" formatCode="_(* #,##0_);_(* \(#,##0\);_(* &quot;-&quot;??_);_(@_)"/>
    </dxf>
    <dxf>
      <numFmt numFmtId="164" formatCode="_(* #,##0_);_(* \(#,##0\);_(* &quot;-&quot;??_);_(@_)"/>
    </dxf>
    <dxf>
      <numFmt numFmtId="164" formatCode="_(* #,##0_);_(* \(#,##0\);_(* &quot;-&quot;??_);_(@_)"/>
      <border outline="0">
        <left style="thin">
          <color rgb="FF7F7F7F"/>
        </left>
      </border>
    </dxf>
    <dxf>
      <numFmt numFmtId="35" formatCode="_(* #,##0.00_);_(* \(#,##0.00\);_(* &quot;-&quot;??_);_(@_)"/>
    </dxf>
    <dxf>
      <numFmt numFmtId="164" formatCode="_(* #,##0_);_(* \(#,##0\);_(* &quot;-&quot;??_);_(@_)"/>
      <border>
        <right style="thin">
          <color rgb="FF7F7F7F"/>
        </right>
      </border>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numFmt numFmtId="164" formatCode="_(* #,##0_);_(* \(#,##0\);_(* &quot;-&quot;??_);_(@_)"/>
    </dxf>
    <dxf>
      <numFmt numFmtId="164" formatCode="_(* #,##0_);_(* \(#,##0\);_(* &quot;-&quot;??_);_(@_)"/>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scheme val="none"/>
      </font>
      <numFmt numFmtId="0" formatCode="Genera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dxf>
    <dxf>
      <numFmt numFmtId="164" formatCode="_(* #,##0_);_(* \(#,##0\);_(* &quot;-&quot;??_);_(@_)"/>
    </dxf>
    <dxf>
      <numFmt numFmtId="164" formatCode="_(* #,##0_);_(* \(#,##0\);_(* &quot;-&quot;??_);_(@_)"/>
    </dxf>
    <dxf>
      <numFmt numFmtId="14" formatCode="0.00%"/>
    </dxf>
    <dxf>
      <numFmt numFmtId="164" formatCode="_(* #,##0_);_(* \(#,##0\);_(* &quot;-&quot;??_);_(@_)"/>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scheme val="none"/>
      </font>
      <numFmt numFmtId="0" formatCode="General"/>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dxf>
    <dxf>
      <font>
        <strike val="0"/>
        <outline val="0"/>
        <shadow val="0"/>
        <u val="none"/>
        <vertAlign val="baseline"/>
        <sz val="10"/>
        <name val="Arial"/>
        <scheme val="none"/>
      </font>
      <numFmt numFmtId="0" formatCode="General"/>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0" indent="0" justifyLastLine="0" shrinkToFit="0" readingOrder="0"/>
    </dxf>
    <dxf>
      <font>
        <strike val="0"/>
        <outline val="0"/>
        <shadow val="0"/>
        <u val="none"/>
        <vertAlign val="baseline"/>
        <sz val="10"/>
        <name val="Arial"/>
        <scheme val="none"/>
      </font>
      <numFmt numFmtId="14" formatCode="0.00%"/>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dxf>
    <dxf>
      <font>
        <strike val="0"/>
        <outline val="0"/>
        <shadow val="0"/>
        <u val="none"/>
        <vertAlign val="baseline"/>
        <sz val="10"/>
        <name val="Arial"/>
        <scheme val="none"/>
      </font>
    </dxf>
    <dxf>
      <font>
        <b/>
        <strike val="0"/>
        <outline val="0"/>
        <shadow val="0"/>
        <u val="none"/>
        <vertAlign val="baseline"/>
        <sz val="10"/>
        <color theme="9" tint="-0.249977111117893"/>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alignment horizontal="left" vertical="top" textRotation="0" wrapText="0" indent="0" justifyLastLine="0" shrinkToFit="0" readingOrder="0"/>
      <border>
        <right style="thin">
          <color rgb="FF7F7F7F"/>
        </right>
      </border>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4" formatCode="_(&quot;$&quot;* #,##0.00_);_(&quot;$&quot;* \(#,##0.00\);_(&quot;$&quot;* &quot;-&quot;??_);_(@_)"/>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2" formatCode="0.00"/>
      <alignment horizontal="righ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border outline="0">
        <right style="thin">
          <color theme="0" tint="-0.499984740745262"/>
        </right>
      </border>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2" formatCode="0.0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border outline="0">
        <right style="thin">
          <color theme="0" tint="-0.499984740745262"/>
        </right>
      </border>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0"/>
        <color rgb="FF000000"/>
        <name val="Arial"/>
        <scheme val="none"/>
      </font>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0" formatCode="General"/>
    </dxf>
    <dxf>
      <font>
        <strike val="0"/>
        <outline val="0"/>
        <shadow val="0"/>
        <u val="none"/>
        <vertAlign val="baseline"/>
        <color auto="1"/>
        <name val="Arial"/>
        <scheme val="none"/>
      </font>
      <numFmt numFmtId="35" formatCode="_(* #,##0.00_);_(* \(#,##0.00\);_(* &quot;-&quot;??_);_(@_)"/>
      <alignment horizontal="lef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border outline="0">
        <left style="thin">
          <color rgb="FF7F7F7F"/>
        </left>
      </border>
    </dxf>
    <dxf>
      <font>
        <strike val="0"/>
        <outline val="0"/>
        <shadow val="0"/>
        <u val="none"/>
        <vertAlign val="baseline"/>
        <name val="Arial"/>
        <scheme val="none"/>
      </font>
      <numFmt numFmtId="166" formatCode="0.0%"/>
      <alignment horizontal="right" vertical="top" textRotation="0" wrapText="0" indent="0" justifyLastLine="0" shrinkToFit="0" readingOrder="0"/>
    </dxf>
    <dxf>
      <font>
        <strike val="0"/>
        <outline val="0"/>
        <shadow val="0"/>
        <u val="none"/>
        <vertAlign val="baseline"/>
        <name val="Arial"/>
        <scheme val="none"/>
      </font>
      <numFmt numFmtId="34" formatCode="_(&quot;$&quot;* #,##0.00_);_(&quot;$&quot;* \(#,##0.00\);_(&quot;$&quot;* &quot;-&quot;??_);_(@_)"/>
      <alignment horizontal="left" vertical="top" textRotation="0" wrapText="0" indent="0" justifyLastLine="0" shrinkToFit="0" readingOrder="0"/>
      <border outline="0">
        <right style="thin">
          <color rgb="FF7F7F7F"/>
        </right>
      </border>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5"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5" tint="-0.249977111117893"/>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5"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5" tint="-0.249977111117893"/>
        </patternFill>
      </fil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0"/>
        <color rgb="FF000000"/>
        <name val="Arial"/>
        <scheme val="none"/>
      </font>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bottom" textRotation="0" wrapText="1" indent="0" justifyLastLine="0" shrinkToFit="0" readingOrder="0"/>
    </dxf>
  </dxfs>
  <tableStyles count="0" defaultTableStyle="TableStyleMedium2" defaultPivotStyle="PivotStyleLight16"/>
  <colors>
    <mruColors>
      <color rgb="FFFF00FF"/>
      <color rgb="FFFF66FF"/>
      <color rgb="FFFFCCFF"/>
      <color rgb="FFFF99FF"/>
      <color rgb="FF66FF66"/>
      <color rgb="FFFFFFCC"/>
      <color rgb="FFC5D3ED"/>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219075</xdr:colOff>
      <xdr:row>1</xdr:row>
      <xdr:rowOff>123825</xdr:rowOff>
    </xdr:from>
    <xdr:to>
      <xdr:col>6</xdr:col>
      <xdr:colOff>1190625</xdr:colOff>
      <xdr:row>14</xdr:row>
      <xdr:rowOff>28575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09575" y="314325"/>
          <a:ext cx="7791450" cy="238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Service Level Groupings </a:t>
          </a:r>
        </a:p>
        <a:p>
          <a:r>
            <a:rPr lang="en-US" sz="1100">
              <a:solidFill>
                <a:schemeClr val="dk1"/>
              </a:solidFill>
              <a:effectLst/>
              <a:latin typeface="+mn-lt"/>
              <a:ea typeface="+mn-ea"/>
              <a:cs typeface="+mn-cs"/>
            </a:rPr>
            <a:t>DEQ categorized all areas of the state — cities, county areas within urban growth boundaries and county areas outside urban growth boundaries — into one of four grouping based on factors related to service level, geography (transportation to markets), population density and amounts of commercial activity in order to simplify the scope of work for the sake of efficiency and to reduce the costs of research. Groupings provided by DEQ:</a:t>
          </a:r>
        </a:p>
        <a:p>
          <a:pPr lvl="0"/>
          <a:r>
            <a:rPr lang="en-US" sz="1100" b="1">
              <a:solidFill>
                <a:schemeClr val="dk1"/>
              </a:solidFill>
              <a:effectLst/>
              <a:latin typeface="+mn-lt"/>
              <a:ea typeface="+mn-ea"/>
              <a:cs typeface="+mn-cs"/>
            </a:rPr>
            <a:t>Category 1</a:t>
          </a:r>
          <a:r>
            <a:rPr lang="en-US" sz="1100">
              <a:solidFill>
                <a:schemeClr val="dk1"/>
              </a:solidFill>
              <a:effectLst/>
              <a:latin typeface="+mn-lt"/>
              <a:ea typeface="+mn-ea"/>
              <a:cs typeface="+mn-cs"/>
            </a:rPr>
            <a:t>: all areas within the Metro urban growth boundary</a:t>
          </a:r>
        </a:p>
        <a:p>
          <a:pPr lvl="0"/>
          <a:r>
            <a:rPr lang="en-US" sz="1100" b="1">
              <a:solidFill>
                <a:schemeClr val="dk1"/>
              </a:solidFill>
              <a:effectLst/>
              <a:latin typeface="+mn-lt"/>
              <a:ea typeface="+mn-ea"/>
              <a:cs typeface="+mn-cs"/>
            </a:rPr>
            <a:t>Category 2</a:t>
          </a:r>
          <a:r>
            <a:rPr lang="en-US" sz="1100">
              <a:solidFill>
                <a:schemeClr val="dk1"/>
              </a:solidFill>
              <a:effectLst/>
              <a:latin typeface="+mn-lt"/>
              <a:ea typeface="+mn-ea"/>
              <a:cs typeface="+mn-cs"/>
            </a:rPr>
            <a:t>: Areas with curbside collection in most of the Willamette Valley, The Oregon Coast south to Lincoln County, Deschutes County, Hood River County, and Wasco County. </a:t>
          </a:r>
        </a:p>
        <a:p>
          <a:pPr lvl="0"/>
          <a:r>
            <a:rPr lang="en-US" sz="1100" b="1">
              <a:solidFill>
                <a:schemeClr val="dk1"/>
              </a:solidFill>
              <a:effectLst/>
              <a:latin typeface="+mn-lt"/>
              <a:ea typeface="+mn-ea"/>
              <a:cs typeface="+mn-cs"/>
            </a:rPr>
            <a:t>Category 3</a:t>
          </a:r>
          <a:r>
            <a:rPr lang="en-US" sz="1100">
              <a:solidFill>
                <a:schemeClr val="dk1"/>
              </a:solidFill>
              <a:effectLst/>
              <a:latin typeface="+mn-lt"/>
              <a:ea typeface="+mn-ea"/>
              <a:cs typeface="+mn-cs"/>
            </a:rPr>
            <a:t>: All other areas with curbside collection including some small towns from areas in Category 2 if they are distant from Portland and other population centers, such as the city of Oakridge in Lane County.</a:t>
          </a:r>
        </a:p>
        <a:p>
          <a:pPr lvl="0"/>
          <a:r>
            <a:rPr lang="en-US" sz="1100" b="1">
              <a:solidFill>
                <a:schemeClr val="dk1"/>
              </a:solidFill>
              <a:effectLst/>
              <a:latin typeface="+mn-lt"/>
              <a:ea typeface="+mn-ea"/>
              <a:cs typeface="+mn-cs"/>
            </a:rPr>
            <a:t>Category 4</a:t>
          </a:r>
          <a:r>
            <a:rPr lang="en-US" sz="1100">
              <a:solidFill>
                <a:schemeClr val="dk1"/>
              </a:solidFill>
              <a:effectLst/>
              <a:latin typeface="+mn-lt"/>
              <a:ea typeface="+mn-ea"/>
              <a:cs typeface="+mn-cs"/>
            </a:rPr>
            <a:t>: All areas without curbside collection or minimal curbside collection — served mainly by depots, if at all.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cadiainc.sharepoint.com/sites/ORDEQRecycling2019/Shared%20Documents/P2T5-InitialScenarios/ORDEQ-P2T5-DraftScenarioModel_TONS_v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cadiainc.sharepoint.com/sites/ORDEQRecycling2019/Shared%20Documents/P2T5-InitialScenarios/ORDEQ-P2T5-DraftScenarioModel_TON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atewide-Report"/>
      <sheetName val="1_MetroRpt"/>
      <sheetName val="Groupings"/>
      <sheetName val="Growth Rates"/>
      <sheetName val="PopulationProjections"/>
      <sheetName val="BaselineContamination"/>
      <sheetName val="NewCaptureContamination"/>
      <sheetName val="ScenarioTons"/>
      <sheetName val="Transport1"/>
      <sheetName val="MetaData"/>
      <sheetName val="MRF_Pivot"/>
      <sheetName val="MRF_TonsMatlCalcs"/>
      <sheetName val="MRF_TonsSumCalcs"/>
      <sheetName val="Trans_Tons1"/>
      <sheetName val="DataTable_CollectionTons"/>
      <sheetName val="GrowthFactorsCalcs"/>
      <sheetName val="DataTable_Generation"/>
      <sheetName val="Calc_Generation"/>
      <sheetName val="ForCostModel"/>
      <sheetName val="ORDEQ-P2T5-DraftScenarioModel_T"/>
    </sheetNames>
    <sheetDataSet>
      <sheetData sheetId="0">
        <row r="17">
          <cell r="C17">
            <v>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atewide-Report"/>
      <sheetName val="1_MetroRpt"/>
      <sheetName val="2_WillametteRpt"/>
      <sheetName val="3_OtherCurbRpt"/>
      <sheetName val="4_NoCurbRpt"/>
      <sheetName val="Groupings"/>
      <sheetName val="Growth Rates"/>
      <sheetName val="PopulationProjections"/>
      <sheetName val="BaselineContamination"/>
      <sheetName val="NewCaptureContamination"/>
      <sheetName val="ScenarioTons"/>
      <sheetName val="Transport1"/>
      <sheetName val="MRF_Tons"/>
      <sheetName val="MRF_Pivot"/>
      <sheetName val="MetaData"/>
      <sheetName val="DataTable_CollectionTons"/>
      <sheetName val="GrowthFactorsCalcs"/>
      <sheetName val="DataTable_Generation"/>
      <sheetName val="Calc_Generation"/>
      <sheetName val="ForCostModel"/>
      <sheetName val="MRF_TonsMatlCalcs"/>
      <sheetName val="MRF_TonsSumCalcs"/>
    </sheetNames>
    <sheetDataSet>
      <sheetData sheetId="0">
        <row r="17">
          <cell r="C17">
            <v>2025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person displayName="Jessica Branom-Zwick" id="{8A4C0E1C-842F-480D-85AB-80C210207A91}" userId="S::jessica@cascadiaconsulting.com::3e56544f-6941-4692-9c20-6b344fb3892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8000000}" name="LaborCostPerLift" displayName="LaborCostPerLift" ref="B15:P47" totalsRowShown="0" headerRowDxfId="638" dataDxfId="637">
  <autoFilter ref="B15:P47" xr:uid="{00000000-0009-0000-0100-00001E000000}"/>
  <tableColumns count="15">
    <tableColumn id="22" xr3:uid="{00000000-0010-0000-0800-000016000000}" name="Collection_ID" dataDxfId="636" dataCellStyle="Normal">
      <calculatedColumnFormula>LaborCostPerLift[[#This Row],[Grouping_ID]]&amp;"-"&amp;LaborCostPerLift[[#This Row],[Sector_ID]]&amp;"-"&amp;LaborCostPerLift[[#This Row],[Frequency_ID]]&amp;"-"&amp;LaborCostPerLift[[#This Row],[SS_or_DS]]</calculatedColumnFormula>
    </tableColumn>
    <tableColumn id="1" xr3:uid="{00000000-0010-0000-0800-000001000000}" name="Grouping_ID" dataDxfId="635"/>
    <tableColumn id="2" xr3:uid="{00000000-0010-0000-0800-000002000000}" name="Grouping_Name" dataDxfId="634">
      <calculatedColumnFormula>INDEX(Grouping[Grouping_Name],MATCH(LaborCostPerLift[[#This Row],[Grouping_ID]],Grouping[Grouping_ID],0))</calculatedColumnFormula>
    </tableColumn>
    <tableColumn id="4" xr3:uid="{00000000-0010-0000-0800-000004000000}" name="Sector_ID" dataDxfId="633"/>
    <tableColumn id="5" xr3:uid="{00000000-0010-0000-0800-000005000000}" name="Sector_Name" dataDxfId="632">
      <calculatedColumnFormula>INDEX(Sector[Sector_Name],MATCH(LaborCostPerLift[[#This Row],[Sector_ID]],Sector[Sector_ID],0))</calculatedColumnFormula>
    </tableColumn>
    <tableColumn id="10" xr3:uid="{BCA6FC6D-45B8-4999-859C-506777CCA33A}" name="SS_or_DS" dataDxfId="631"/>
    <tableColumn id="23" xr3:uid="{00000000-0010-0000-0800-000017000000}" name="Frequency_ID" dataDxfId="630"/>
    <tableColumn id="3" xr3:uid="{00000000-0010-0000-0800-000003000000}" name="Orig_Collection_Frequency" dataDxfId="629">
      <calculatedColumnFormula>INDEX(Frequency[Collection_Frequency],MATCH(LaborCostPerLift[[#This Row],[Frequency_ID]],Frequency[Orig_Frequency_ID],0)+(LaborCostPerLift[[#This Row],[SS_or_DS]]="DS")*COUNTA(Frequency[Orig_Frequency_ID])/2)</calculatedColumnFormula>
    </tableColumn>
    <tableColumn id="6" xr3:uid="{00000000-0010-0000-0800-000006000000}" name="OnRoute_Labor_Per_Lift" dataDxfId="628" dataCellStyle="Input"/>
    <tableColumn id="21" xr3:uid="{00000000-0010-0000-0800-000015000000}" name="Benefits_Ratio" dataDxfId="627" dataCellStyle="Input"/>
    <tableColumn id="7" xr3:uid="{00000000-0010-0000-0800-000007000000}" name="OnRoute_Benefits_Per_Lift" dataDxfId="626" dataCellStyle="Calculation">
      <calculatedColumnFormula>LaborCostPerLift[[#This Row],[OnRoute_Labor_Per_Lift]]*LaborCostPerLift[[#This Row],[Benefits_Ratio]]</calculatedColumnFormula>
    </tableColumn>
    <tableColumn id="20" xr3:uid="{00000000-0010-0000-0800-000014000000}" name="Labor_Cost_Per_Lift" dataDxfId="625" dataCellStyle="Calculation">
      <calculatedColumnFormula>SUM(LaborCostPerLift[[#This Row],[OnRoute_Labor_Per_Lift]],LaborCostPerLift[[#This Row],[OnRoute_Benefits_Per_Lift]])</calculatedColumnFormula>
    </tableColumn>
    <tableColumn id="8" xr3:uid="{00000000-0010-0000-0800-000008000000}" name="Average_Lifts_Per_Week" dataDxfId="624" dataCellStyle="Input"/>
    <tableColumn id="25" xr3:uid="{00000000-0010-0000-0800-000019000000}" name="Weeks_Per_Year" dataDxfId="623" dataCellStyle="Linked Cell">
      <calculatedColumnFormula>52</calculatedColumnFormula>
    </tableColumn>
    <tableColumn id="24" xr3:uid="{00000000-0010-0000-0800-000018000000}" name="Annual_Labor_Cost_Per_Customer" dataDxfId="622" dataCellStyle="Output">
      <calculatedColumnFormula>LaborCostPerLift[[#This Row],[Labor_Cost_Per_Lift]]*LaborCostPerLift[[#This Row],[Average_Lifts_Per_Week]]*LaborCostPerLift[[#This Row],[Weeks_Per_Year]]</calculatedColumnFormula>
    </tableColumn>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1000000}" name="DepotCostAllocations2025" displayName="DepotCostAllocations2025" ref="B24:X44" totalsRowShown="0" headerRowDxfId="492" dataDxfId="491">
  <autoFilter ref="B24:X44" xr:uid="{00000000-0009-0000-0100-00002A000000}"/>
  <tableColumns count="23">
    <tableColumn id="12" xr3:uid="{00000000-0010-0000-1100-00000C000000}" name="Scenario_ID" dataDxfId="490"/>
    <tableColumn id="1" xr3:uid="{431FC1DE-5AFB-42EE-A704-A7A8E653C28D}" name="Collection_ID" dataDxfId="489">
      <calculatedColumnFormula>_xlfn.CONCAT(DepotCostAllocations2025[[#This Row],[Grouping_ID]],"-",DepotCostAllocations2025[[#This Row],[Sector_ID]])</calculatedColumnFormula>
    </tableColumn>
    <tableColumn id="11" xr3:uid="{00000000-0010-0000-1100-00000B000000}" name="Grouping_ID" dataDxfId="488"/>
    <tableColumn id="10" xr3:uid="{00000000-0010-0000-1100-00000A000000}" name="Grouping_Name" dataDxfId="487">
      <calculatedColumnFormula>INDEX(Grouping[Grouping_Name],MATCH(DepotCostAllocations2025[[#This Row],[Grouping_ID]],Grouping[Grouping_ID],0))</calculatedColumnFormula>
    </tableColumn>
    <tableColumn id="9" xr3:uid="{00000000-0010-0000-1100-000009000000}" name="Sector_ID" dataDxfId="486"/>
    <tableColumn id="8" xr3:uid="{00000000-0010-0000-1100-000008000000}" name="Sector_Name" dataDxfId="485">
      <calculatedColumnFormula>INDEX(Sector[Sector_Name],MATCH(DepotCostAllocations2025[[#This Row],[Sector_ID]],Sector[Sector_ID],0))</calculatedColumnFormula>
    </tableColumn>
    <tableColumn id="16" xr3:uid="{00000000-0010-0000-1100-000010000000}" name="Capital_Cost_Per_Ton" dataDxfId="484" dataCellStyle="Calculation">
      <calculatedColumnFormula>IF(OR(DepotCostAllocations2025[[#This Row],[Scenario_ID]]="S0",DepotCostAllocations2025[[#This Row],[Scenario_ID]]="S1"),1,2)*SUMIFS(DepotCostAllocations[Capital_Cost_Per_Ton],DepotCostAllocations[Collection_ID2],DepotCostAllocations2025[[#This Row],[Collection_ID]])</calculatedColumnFormula>
    </tableColumn>
    <tableColumn id="15" xr3:uid="{00000000-0010-0000-1100-00000F000000}" name="Labor_Cost_Per_Ton" dataDxfId="483" dataCellStyle="Calculation">
      <calculatedColumnFormula>IF(DepotCostAllocations2025[[#This Row],[Scenario_ID]]="S0",1,1.25)*SUMIFS(DepotCostAllocations[Labor_Cost_Per_Ton],DepotCostAllocations[Collection_ID2],DepotCostAllocations2025[[#This Row],[Collection_ID]])</calculatedColumnFormula>
    </tableColumn>
    <tableColumn id="17" xr3:uid="{00000000-0010-0000-1100-000011000000}" name="Operations_Cost_Per_Ton" dataDxfId="482" dataCellStyle="Calculation">
      <calculatedColumnFormula>SUMIFS(DepotCostAllocations[Operations_Cost_Per_Ton],DepotCostAllocations[Collection_ID2],DepotCostAllocations2025[[#This Row],[Collection_ID]])</calculatedColumnFormula>
    </tableColumn>
    <tableColumn id="18" xr3:uid="{00000000-0010-0000-1100-000012000000}" name="Transport_Cost_Per_Ton" dataDxfId="481" dataCellStyle="Calculation">
      <calculatedColumnFormula>SUMIFS(DepotCostAllocations[Transport_Cost_Per_Ton],DepotCostAllocations[Collection_ID2],DepotCostAllocations2025[[#This Row],[Collection_ID]])</calculatedColumnFormula>
    </tableColumn>
    <tableColumn id="19" xr3:uid="{00000000-0010-0000-1100-000013000000}" name="Admin_Cost_Per_Ton" dataDxfId="480" dataCellStyle="Calculation">
      <calculatedColumnFormula>SUMIFS(DepotCostAllocations[Admin_Cost_Per_Ton],DepotCostAllocations[Collection_ID2],DepotCostAllocations2025[[#This Row],[Collection_ID]])</calculatedColumnFormula>
    </tableColumn>
    <tableColumn id="7" xr3:uid="{1CFC0E8F-63D6-4529-BBE4-AC2AFE8E318A}" name="Densifier_Operator_FTE" dataDxfId="479" dataCellStyle="Calculation">
      <calculatedColumnFormula>$C$8*DepotCostAllocations2025[[#This Row],[PS_Foam_Tons]]</calculatedColumnFormula>
    </tableColumn>
    <tableColumn id="13" xr3:uid="{E8EBEBF5-A38C-4FE0-9C0D-CF6A0992FFA8}" name="Densifier_Operator_Cost" dataDxfId="478" dataCellStyle="Calculation">
      <calculatedColumnFormula>$C$9*DepotCostAllocations2025[[#This Row],[Densifier_Operator_FTE]]</calculatedColumnFormula>
    </tableColumn>
    <tableColumn id="6" xr3:uid="{4B93DB9A-58A0-4771-BDEC-4177DCD8858A}" name="Foam_Densifier_Capital_Cost" dataDxfId="477" dataCellStyle="Calculation">
      <calculatedColumnFormula>IF(OR(DepotCostAllocations2025[[#This Row],[Scenario_ID]]="S0",DepotCostAllocations2025[[#This Row],[Scenario_ID]]="S1"),0,1)*$C$7*DepotCostAllocations2025[[#This Row],[PS_Foam_Tons]]/SUMIFS(DepotCostAllocations2025[PS_Foam_Tons],DepotCostAllocations2025[Scenario_ID],DepotCostAllocations2025[[#This Row],[Scenario_ID]])</calculatedColumnFormula>
    </tableColumn>
    <tableColumn id="2" xr3:uid="{A4F7E766-970E-47AD-815F-184356334875}" name="Tons_Excluding_Scrap_Metal" dataDxfId="476" dataCellStyle="Linked Cell">
      <calculatedColumnFormula>SUMIFS(DepotTons[Tons_Excluding_Scrap_Metal],DepotTons[Scenario_ID],DepotCostAllocations2025[[#This Row],[Scenario_ID]],DepotTons[Collection_ID],DepotCostAllocations2025[[#This Row],[Collection_ID]])</calculatedColumnFormula>
    </tableColumn>
    <tableColumn id="3" xr3:uid="{EE78ACB1-AFAA-47CA-918C-478BC04AD136}" name="Scrap_Metal_Tons" dataDxfId="475" dataCellStyle="Linked Cell">
      <calculatedColumnFormula>SUMIFS(DepotTons[Scrap_Metal_Tons],DepotTons[Scenario_ID],DepotCostAllocations2025[[#This Row],[Scenario_ID]],DepotTons[Collection_ID],DepotCostAllocations2025[[#This Row],[Collection_ID]])</calculatedColumnFormula>
    </tableColumn>
    <tableColumn id="4" xr3:uid="{140B7C17-FF94-4515-8CFE-797AC84ED379}" name="PS_Foam_Tons" dataDxfId="474" dataCellStyle="Linked Cell">
      <calculatedColumnFormula>SUMIFS(DepotTons[PS_Foam_Tons],DepotTons[Scenario_ID],DepotCostAllocations2025[[#This Row],[Scenario_ID]],DepotTons[Collection_ID],DepotCostAllocations2025[[#This Row],[Collection_ID]])</calculatedColumnFormula>
    </tableColumn>
    <tableColumn id="5" xr3:uid="{C5CE4663-F705-48CC-980E-7F71928A68A3}" name="Total_Depot_Capital_Cost" dataDxfId="473" dataCellStyle="Output">
      <calculatedColumnFormula>DepotCostAllocations2025[[#This Row],[Capital_Cost_Per_Ton]]*DepotCostAllocations2025[[#This Row],[Tons_Excluding_Scrap_Metal]]+PMT($C$10,10,-DepotCostAllocations2025[[#This Row],[Foam_Densifier_Capital_Cost]])</calculatedColumnFormula>
    </tableColumn>
    <tableColumn id="14" xr3:uid="{EE63BC7F-1D48-4771-8235-E5E121206376}" name="Total_Depot_Labor_Cost" dataDxfId="472" dataCellStyle="Output">
      <calculatedColumnFormula>DepotCostAllocations2025[[#This Row],[Labor_Cost_Per_Ton]]*DepotCostAllocations2025[[#This Row],[Tons_Excluding_Scrap_Metal]]+DepotCostAllocations2025[[#This Row],[Densifier_Operator_Cost]]</calculatedColumnFormula>
    </tableColumn>
    <tableColumn id="20" xr3:uid="{96472394-7D0F-42F0-9DE2-9F51B235993B}" name="Total_Depot_Operations_Cost" dataDxfId="471" dataCellStyle="Output">
      <calculatedColumnFormula>DepotCostAllocations2025[[#This Row],[Operations_Cost_Per_Ton]]*DepotCostAllocations2025[[#This Row],[Tons_Excluding_Scrap_Metal]]</calculatedColumnFormula>
    </tableColumn>
    <tableColumn id="21" xr3:uid="{2E229D4C-4D6B-4C2F-AB9C-957C326BD5D0}" name="Total_Depot_Transport_Cost" dataDxfId="470" dataCellStyle="Output">
      <calculatedColumnFormula>DepotCostAllocations2025[[#This Row],[Transport_Cost_Per_Ton]]*DepotCostAllocations2025[[#This Row],[Tons_Excluding_Scrap_Metal]]</calculatedColumnFormula>
    </tableColumn>
    <tableColumn id="22" xr3:uid="{83ECBA55-C8E7-4230-8965-1968C2E390DE}" name="Total_Depot_Admin_Cost" dataDxfId="469" dataCellStyle="Output">
      <calculatedColumnFormula>DepotCostAllocations2025[[#This Row],[Admin_Cost_Per_Ton]]*DepotCostAllocations2025[[#This Row],[Tons_Excluding_Scrap_Metal]]</calculatedColumnFormula>
    </tableColumn>
    <tableColumn id="23" xr3:uid="{8D31307E-9996-4422-821E-68A56D8D92CA}" name="FTE" dataDxfId="468" dataCellStyle="Output">
      <calculatedColumnFormula>(IF(DepotCostAllocations2025[[#This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calculatedColumnFormula>
    </tableColumn>
  </tableColumns>
  <tableStyleInfo name="TableStyleLight9"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A000000}" name="LGengagement2018" displayName="LGengagement2018" ref="B8:K17" headerRowDxfId="467" dataDxfId="466" totalsRowDxfId="465">
  <autoFilter ref="B8:K17" xr:uid="{00000000-0009-0000-0100-000028000000}"/>
  <sortState xmlns:xlrd2="http://schemas.microsoft.com/office/spreadsheetml/2017/richdata2" ref="B9:K17">
    <sortCondition ref="D8:D17"/>
  </sortState>
  <tableColumns count="10">
    <tableColumn id="10" xr3:uid="{00000000-0010-0000-1A00-00000A000000}" name="Collection_ID" dataDxfId="464">
      <calculatedColumnFormula>_xlfn.CONCAT(LGengagement2018[[#This Row],[Grouping_ID]],"-",LGengagement2018[[#This Row],[Sector_ID]])</calculatedColumnFormula>
    </tableColumn>
    <tableColumn id="25" xr3:uid="{00000000-0010-0000-1A00-000019000000}" name="GroupSector_ID" dataDxfId="463">
      <calculatedColumnFormula>_xlfn.CONCAT(LGengagement2018[[#This Row],[Grouping_ID]],"-",LGengagement2018[[#This Row],[Sector_ID]])</calculatedColumnFormula>
    </tableColumn>
    <tableColumn id="1" xr3:uid="{00000000-0010-0000-1A00-000001000000}" name="Grouping_ID" totalsRowLabel="Total" dataDxfId="462"/>
    <tableColumn id="2" xr3:uid="{00000000-0010-0000-1A00-000002000000}" name="Grouping_Name" dataDxfId="461">
      <calculatedColumnFormula>INDEX(Grouping[Grouping_Name],MATCH(LGengagement2018[[#This Row],[Grouping_ID]],Grouping[Grouping_ID],0))</calculatedColumnFormula>
    </tableColumn>
    <tableColumn id="5" xr3:uid="{00000000-0010-0000-1A00-000005000000}" name="Sector_ID" dataDxfId="460"/>
    <tableColumn id="4" xr3:uid="{00000000-0010-0000-1A00-000004000000}" name="Sector_Name" dataDxfId="459">
      <calculatedColumnFormula>INDEX(Sector[Sector_Name],MATCH(LGengagement2018[[#This Row],[Sector_ID]],Sector[Sector_ID],0))</calculatedColumnFormula>
    </tableColumn>
    <tableColumn id="7" xr3:uid="{AF31D7FF-6839-4E3F-89EA-1FEC596C9C20}" name="Year" dataDxfId="458"/>
    <tableColumn id="9" xr3:uid="{5E821732-2D3C-4362-85D2-E20210C14387}" name="Customers" dataDxfId="457" dataCellStyle="Linked Cell">
      <calculatedColumnFormula>SUMIFS(CollectionCostTotal[Customers],CollectionCostTotal[Grouping_ID],LGengagement2018[[#This Row],[Grouping_ID]],CollectionCostTotal[Sector_ID],LGengagement2018[[#This Row],[Sector_ID]],CollectionCostTotal[Year],LGengagement2018[[#This Row],[Year]])</calculatedColumnFormula>
    </tableColumn>
    <tableColumn id="8" xr3:uid="{00000000-0010-0000-1A00-000008000000}" name="Total_Spending" dataDxfId="456" dataCellStyle="Input"/>
    <tableColumn id="12" xr3:uid="{00000000-0010-0000-1A00-00000C000000}" name="FTEs" dataDxfId="455" dataCellStyle="Input"/>
  </tableColumns>
  <tableStyleInfo name="TableStyleLight9"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33FC124-218A-437C-A156-735F43CD3482}" name="LGengagement2025" displayName="LGengagement2025" ref="B23:K32" headerRowDxfId="454" dataDxfId="453" totalsRowDxfId="452">
  <autoFilter ref="B23:K32" xr:uid="{4251E5CC-DC1E-4086-B8AD-40312F879453}"/>
  <sortState xmlns:xlrd2="http://schemas.microsoft.com/office/spreadsheetml/2017/richdata2" ref="B24:M32">
    <sortCondition ref="D8:D17"/>
  </sortState>
  <tableColumns count="10">
    <tableColumn id="10" xr3:uid="{7A88B375-EA6E-4171-AC4C-73BC37D44379}" name="Collection_ID" dataDxfId="451">
      <calculatedColumnFormula>_xlfn.CONCAT(LGengagement2025[[#This Row],[Grouping_ID]],"-",LGengagement2025[[#This Row],[Sector_ID]])</calculatedColumnFormula>
    </tableColumn>
    <tableColumn id="25" xr3:uid="{F63551E8-36A0-4C70-80D5-FA1BCF0A9AFD}" name="GroupSector_ID" dataDxfId="450">
      <calculatedColumnFormula>_xlfn.CONCAT(LGengagement2025[[#This Row],[Grouping_ID]],"-",LGengagement2025[[#This Row],[Sector_ID]])</calculatedColumnFormula>
    </tableColumn>
    <tableColumn id="1" xr3:uid="{8AB94D37-24B0-44AB-91FB-AA9E5C37DAEE}" name="Grouping_ID" totalsRowLabel="Total" dataDxfId="449"/>
    <tableColumn id="2" xr3:uid="{E513AF86-1704-4036-8C17-21FC53FC974E}" name="Grouping_Name" dataDxfId="448">
      <calculatedColumnFormula>INDEX(Grouping[Grouping_Name],MATCH(LGengagement2025[[#This Row],[Grouping_ID]],Grouping[Grouping_ID],0))</calculatedColumnFormula>
    </tableColumn>
    <tableColumn id="5" xr3:uid="{C80C7893-BC97-460F-9605-476B1DD15D51}" name="Sector_ID" dataDxfId="447"/>
    <tableColumn id="4" xr3:uid="{8DD2846D-FE48-4236-80E2-A81106D2965E}" name="Sector_Name" dataDxfId="446">
      <calculatedColumnFormula>INDEX(Sector[Sector_Name],MATCH(LGengagement2025[[#This Row],[Sector_ID]],Sector[Sector_ID],0))</calculatedColumnFormula>
    </tableColumn>
    <tableColumn id="7" xr3:uid="{826F889C-F5E9-4AC4-94BB-3907311A49B3}" name="Year" dataDxfId="445"/>
    <tableColumn id="9" xr3:uid="{77E9DA23-E418-4161-A1A8-6C639CD59B5B}" name="Customers" dataDxfId="444" dataCellStyle="Linked Cell">
      <calculatedColumnFormula>SUMIFS(CollectionCostTotal[Customers],CollectionCostTotal[Grouping_ID],LGengagement2025[[#This Row],[Grouping_ID]],CollectionCostTotal[Sector_ID],LGengagement2025[[#This Row],[Sector_ID]],CollectionCostTotal[Year],LGengagement2025[[#This Row],[Year]])</calculatedColumnFormula>
    </tableColumn>
    <tableColumn id="8" xr3:uid="{84580ECC-FBB9-45EF-8655-75A1470F9C16}" name="Expenses_Spending" dataDxfId="443" dataCellStyle="Calculation">
      <calculatedColumnFormula>SUMIFS(LGengagement2018[Total_Spending],LGengagement2018[GroupSector_ID],LGengagement2025[[#This Row],[GroupSector_ID]])*INDEX(Inflation[Escalator],MATCH("CPI",Inflation[Financial_ID],0))</calculatedColumnFormula>
    </tableColumn>
    <tableColumn id="3" xr3:uid="{C710BB3C-BB09-4FC8-A4AB-779741164815}" name="Baseline FTEs" dataDxfId="442" dataCellStyle="Calculation">
      <calculatedColumnFormula>SUMIFS(LGengagement2018[FTEs],LGengagement2018[GroupSector_ID],LGengagement2025[[#This Row],[GroupSector_ID]])*(LGengagement2025[[#This Row],[Customers]]/SUMIFS(LGengagement2018[Customers],LGengagement2018[GroupSector_ID],LGengagement2025[[#This Row],[GroupSector_ID]]))</calculatedColumnFormula>
    </tableColumn>
  </tableColumns>
  <tableStyleInfo name="TableStyleLight9"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F098FE-49CC-4189-BAB5-CC14CD826E37}" name="TransUnitCost" displayName="TransUnitCost" ref="B6:I43" totalsRowShown="0">
  <autoFilter ref="B6:I43" xr:uid="{6F2CB053-3009-4AFF-954C-1AF50CFE9561}"/>
  <tableColumns count="8">
    <tableColumn id="1" xr3:uid="{DD3C107A-E728-4380-92C0-F6D4B38F81E5}" name="Grouping_ID"/>
    <tableColumn id="2" xr3:uid="{C70296A4-0172-460D-A276-75023948AB53}" name="Grouping_Name" dataDxfId="441">
      <calculatedColumnFormula>INDEX(Grouping[Grouping_Name],MATCH(TransUnitCost[[#This Row],[Grouping_ID]],Grouping[Grouping_ID],0))</calculatedColumnFormula>
    </tableColumn>
    <tableColumn id="3" xr3:uid="{908B6B9A-37D2-4738-87D9-FC8B969B8792}" name="Transp_ID"/>
    <tableColumn id="4" xr3:uid="{49930C02-D1FE-45CE-98B9-0C3350327B65}" name="Transp_Name" dataDxfId="440">
      <calculatedColumnFormula>INDEX(ConsTransp[Transp_Name],MATCH(TransUnitCost[[#This Row],[Transp_ID]],ConsTransp[Transp_ID],0))</calculatedColumnFormula>
    </tableColumn>
    <tableColumn id="5" xr3:uid="{A0C0485A-2680-46A7-83EA-488107A51805}" name="Cost per Ton Mile" dataDxfId="439"/>
    <tableColumn id="6" xr3:uid="{13788187-B617-4B1B-A063-F75D362E467F}" name="Miles"/>
    <tableColumn id="7" xr3:uid="{C195C46C-0003-4B18-A5E8-7AF14B48EA30}" name="AverageWeight" dataDxfId="438"/>
    <tableColumn id="8" xr3:uid="{792DB045-AC30-4906-92AA-4288AB290F4E}" name="Bale_ID"/>
  </tableColumns>
  <tableStyleInfo name="TableStyleMedium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83C49D14-D932-4C64-B308-F542CD59AA37}" name="TransTonsShort" displayName="TransTonsShort" ref="L6:AA1566" totalsRowShown="0" headerRowDxfId="437" tableBorderDxfId="436">
  <autoFilter ref="L6:AA1566" xr:uid="{592FDA32-6AD7-43BA-A972-8A675CA86792}"/>
  <tableColumns count="16">
    <tableColumn id="1" xr3:uid="{37BD4D62-A6BE-4F49-BF01-008389431D59}" name="Scenario_ID" dataDxfId="435"/>
    <tableColumn id="11" xr3:uid="{3C03CE5A-A0BC-474E-A507-63018E9C549A}" name="Grouping_ID" dataDxfId="434"/>
    <tableColumn id="13" xr3:uid="{C8AF571C-952C-4AF7-B794-37D6F759683A}" name="Sector_ID" dataDxfId="433"/>
    <tableColumn id="2" xr3:uid="{BF892855-F5FF-4801-B8C8-E0BDBD750490}" name="CollectionStream_ID" dataDxfId="432"/>
    <tableColumn id="4" xr3:uid="{3FD9A389-B1A6-42BF-BF9B-98273E8B902A}" name="Transp_ID" dataDxfId="431"/>
    <tableColumn id="8" xr3:uid="{6F800532-AAE1-429B-8C42-DFE9E5D53A67}" name="Spacer1" dataDxfId="430"/>
    <tableColumn id="7" xr3:uid="{E6261ABE-292D-4E4E-BDCD-456B0C8CC06D}" name="Spacer2" dataDxfId="429"/>
    <tableColumn id="3" xr3:uid="{2757E045-1952-4C98-9650-50FAEDCE2CF7}" name="CollectionStream_Name" dataDxfId="428"/>
    <tableColumn id="5" xr3:uid="{898F6F21-7351-42C1-902C-CCEDB92C7E05}" name="Transp_Name" dataDxfId="427"/>
    <tableColumn id="12" xr3:uid="{9550455B-EA04-42F0-B23E-EFA7F65F84CA}" name="Trans_Tons_All" dataDxfId="426" dataCellStyle="Normal"/>
    <tableColumn id="14" xr3:uid="{BCC9E309-AD5A-4EFF-81C6-60D2D4F8BE81}" name="TransportCost" dataDxfId="425" dataCellStyle="Output">
      <calculatedColumnFormula>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calculatedColumnFormula>
    </tableColumn>
    <tableColumn id="6" xr3:uid="{BA4D0DFB-FD0B-4954-8F00-D15301951B63}" name="TransportMiles" dataDxfId="424" dataCellStyle="Output">
      <calculatedColumnFormula>IFERROR(SUMIFS(TransUnitCost[Miles],TransUnitCost[Grouping_ID],TransTonsShort[[#This Row],[Grouping_ID]],TransUnitCost[Transp_ID],TransTonsShort[[#This Row],[Transp_ID]])*TransTonsShort[[#This Row],[Trans_Tons_All]]/TransTonsShort[[#This Row],[Trans_Tons_All]],"")</calculatedColumnFormula>
    </tableColumn>
    <tableColumn id="15" xr3:uid="{E2AB6C78-6E0E-48C7-AEFA-2F3087D2FB6C}" name="GroupSector_ID" dataDxfId="423" dataCellStyle="Linked Cell">
      <calculatedColumnFormula>TransTonsShort[[#This Row],[Grouping_ID]]&amp;"-"&amp;TransTonsShort[[#This Row],[Sector_ID]]</calculatedColumnFormula>
    </tableColumn>
    <tableColumn id="9" xr3:uid="{4896AF02-7B31-4651-95CE-59AA947288A7}" name="StreamType" dataDxfId="422" dataCellStyle="Linked Cell">
      <calculatedColumnFormula>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calculatedColumnFormula>
    </tableColumn>
    <tableColumn id="10" xr3:uid="{F44644FD-723F-4C67-9731-78E5EEE83F7A}" name="Disposal_Fee" dataDxfId="421" dataCellStyle="Linked Cell">
      <calculatedColumnFormula>INDEX(LandfillFees[Disposal Tip Fee 2025],MATCH(TransTonsShort[[#This Row],[Grouping_ID]],LandfillFees[Grouping_ID],0))</calculatedColumnFormula>
    </tableColumn>
    <tableColumn id="16" xr3:uid="{CABF6AD5-697E-41D4-8327-A431D2791EAA}" name="Avoided_Disposal2" dataDxfId="420" dataCellStyle="Output">
      <calculatedColumnFormula>IF(OR(TransTonsShort[[#This Row],[CollectionStream_ID]]="03",TransTonsShort[[#This Row],[CollectionStream_ID]]="04",TransTonsShort[[#This Row],[CollectionStream_ID]]="13"),0,TransTonsShort[[#This Row],[Trans_Tons_All]]*TransTonsShort[[#This Row],[Disposal_Fee]])</calculatedColumnFormula>
    </tableColumn>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9D465EE-69F5-4215-8138-CF0F3CBF35FD}" name="SecondaryTransport" displayName="SecondaryTransport" ref="AF6:AS673" totalsRowShown="0">
  <autoFilter ref="AF6:AS673" xr:uid="{F18C3BDC-8130-45CD-95C6-E7EB5F28B7FF}"/>
  <tableColumns count="14">
    <tableColumn id="1" xr3:uid="{A733B64C-8BD7-4075-A041-61B69A0BA5A0}" name="Scenario_MRF_Bale_ID" dataDxfId="419"/>
    <tableColumn id="5" xr3:uid="{01CCD557-62F0-45D5-8492-666E32DA78B4}" name="Scenario_ID" dataDxfId="418">
      <calculatedColumnFormula>LEFT(SecondaryTransport[[#This Row],[Scenario_MRF_Bale_ID]],2)</calculatedColumnFormula>
    </tableColumn>
    <tableColumn id="6" xr3:uid="{4F499794-0F96-4847-8CB3-C1A188C552BD}" name="MRF_ID" dataDxfId="417">
      <calculatedColumnFormula>LEFT(RIGHT(SecondaryTransport[[#This Row],[Scenario_MRF_Bale_ID]],10),2)</calculatedColumnFormula>
    </tableColumn>
    <tableColumn id="4" xr3:uid="{9FAAD195-3962-42C7-B172-A76109B22C60}" name="MRF_Name" dataDxfId="416">
      <calculatedColumnFormula>INDEX(MRFs[MRF_Name],MATCH(SecondaryTransport[[#This Row],[MRF_ID]],MRFs[MRF_ID],0))</calculatedColumnFormula>
    </tableColumn>
    <tableColumn id="7" xr3:uid="{1DA671F1-B105-410A-ABB2-CD7B00CA4534}" name="Bale_ID" dataDxfId="415">
      <calculatedColumnFormula>RIGHT(SecondaryTransport[[#This Row],[Scenario_MRF_Bale_ID]],7)</calculatedColumnFormula>
    </tableColumn>
    <tableColumn id="17" xr3:uid="{B0975CE0-A56F-4A3E-AC43-FF1E07D2BD8B}" name="Bale_Name" dataDxfId="414">
      <calculatedColumnFormula>INDEX(Bales[Bale_Name],MATCH(SecondaryTransport[[#This Row],[Bale_ID]],Bales[Bale_ID],0))</calculatedColumnFormula>
    </tableColumn>
    <tableColumn id="13" xr3:uid="{FDF35A3E-6C71-4AEA-924A-6756962B44F5}" name="Total_Baled_tons" dataDxfId="413">
      <calculatedColumnFormula>INDEX(BaleMover[Total_Baled_tons],MATCH(SecondaryTransport[[#This Row],[Scenario_MRF_Bale_ID]],BaleMover[Scenario_MRF_Bale_ID],0))</calculatedColumnFormula>
    </tableColumn>
    <tableColumn id="14" xr3:uid="{DB8E64DE-92C8-4073-BB41-8A884734F88E}" name="Miles" dataDxfId="412">
      <calculatedColumnFormula>IF(INDEX(BaleMover[Miles],MATCH(SecondaryTransport[[#This Row],[Scenario_MRF_Bale_ID]],BaleMover[Scenario_MRF_Bale_ID],0))="",0,INDEX(BaleMover[Miles],MATCH(SecondaryTransport[[#This Row],[Scenario_MRF_Bale_ID]],BaleMover[Scenario_MRF_Bale_ID],0)))</calculatedColumnFormula>
    </tableColumn>
    <tableColumn id="20" xr3:uid="{B20836FF-07E0-476A-B7EA-19142E3292AF}" name="Ton-Miles" dataDxfId="411">
      <calculatedColumnFormula>IF(SecondaryTransport[[#This Row],[Bale_ID]]="9000-01","costs elsewhere",SecondaryTransport[[#This Row],[Total_Baled_tons]]*SecondaryTransport[[#This Row],[Miles]])</calculatedColumnFormula>
    </tableColumn>
    <tableColumn id="21" xr3:uid="{CEB4927B-19C8-4F98-8FA5-88E13DB13E01}" name="Proxy_GroupingI_ID" dataDxfId="410">
      <calculatedColumnFormula>IF(LEFT(SecondaryTransport[[#This Row],[Bale_ID]],1)*1=5,IF(OR(SecondaryTransport[[#This Row],[MRF_ID]]="02",SecondaryTransport[[#This Row],[MRF_ID]]="08"),2,1),"")</calculatedColumnFormula>
    </tableColumn>
    <tableColumn id="22" xr3:uid="{40838480-25B4-4347-9FBF-FC78ED064CBE}" name="Bale_ID2" dataDxfId="409">
      <calculatedColumnFormula>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calculatedColumnFormula>
    </tableColumn>
    <tableColumn id="23" xr3:uid="{C07AA6E5-75BF-43E7-840F-E41D0A9050CB}" name="Cost_Per_Ton-Mile" dataDxfId="408">
      <calculatedColumnFormula>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calculatedColumnFormula>
    </tableColumn>
    <tableColumn id="24" xr3:uid="{2642E673-BE10-48CB-97AB-5E70B3E69A28}" name="Container_Transfer" dataDxfId="407">
      <calculatedColumnFormula>IFERROR(IF(1*LEFT(SecondaryTransport[[#This Row],[Bale_ID]],1)=5,SecondaryTransport[[#This Row],[Ton-Miles]]*SecondaryTransport[[#This Row],[Cost_Per_Ton-Mile]],""),"")</calculatedColumnFormula>
    </tableColumn>
    <tableColumn id="25" xr3:uid="{9DAB3077-FB83-4447-8D96-45491E0B3B43}" name="Bale_Transfer" dataDxfId="406">
      <calculatedColumnFormula>IFERROR(IF(SecondaryTransport[[#This Row],[Container_Transfer]]="",(SecondaryTransport[[#This Row],[Ton-Miles]]*SecondaryTransport[[#This Row],[Cost_Per_Ton-Mile]]),""),"")</calculatedColumnFormula>
    </tableColumn>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3CC3301-3944-4FFC-A7B9-7C382465C77E}" name="NewMRFEquipCounts" displayName="NewMRFEquipCounts" ref="B16:M31" totalsRowShown="0" headerRowDxfId="405" dataDxfId="404">
  <autoFilter ref="B16:M31" xr:uid="{3B70EAF0-D75E-4820-82A2-558547026EEB}"/>
  <sortState xmlns:xlrd2="http://schemas.microsoft.com/office/spreadsheetml/2017/richdata2" ref="B17:M31">
    <sortCondition ref="B16:B31"/>
  </sortState>
  <tableColumns count="12">
    <tableColumn id="1" xr3:uid="{080428BC-F973-4B24-BB71-F452273E5D2C}" name="Scenario_ID" dataDxfId="403"/>
    <tableColumn id="2" xr3:uid="{79A5B334-2B29-48CF-AE36-1DF94D5BFC11}" name="MRF_ID" dataDxfId="402"/>
    <tableColumn id="4" xr3:uid="{19D4324F-226A-4450-8B8D-01C41F5DA2D4}" name="MRF_Name" dataDxfId="401">
      <calculatedColumnFormula>INDEX(MRFs[MRF_Name],MATCH(NewMRFEquipCounts[[#This Row],[MRF_ID]],MRFs[MRF_ID],0))</calculatedColumnFormula>
    </tableColumn>
    <tableColumn id="5" xr3:uid="{9359B81B-30B8-454F-B1B6-806690807D75}" name="Bag_Breakers" dataDxfId="400" dataCellStyle="Input"/>
    <tableColumn id="6" xr3:uid="{1CEB4F22-0AA6-4A4D-8C99-B3FD51B2CEBE}" name="ContainerInfeed+Presort" dataDxfId="399" dataCellStyle="Input"/>
    <tableColumn id="7" xr3:uid="{43682075-F71B-448C-A08C-56D3A77DF42C}" name="Screens_Paper" dataDxfId="398" dataCellStyle="Input"/>
    <tableColumn id="8" xr3:uid="{41C22A8E-37C6-4D97-B5E1-249814D24C31}" name="Optical_Containers" dataDxfId="397" dataCellStyle="Input"/>
    <tableColumn id="9" xr3:uid="{601972FA-A575-4DEB-BFC3-4DB6FFD19C82}" name="Optical_Paper" dataDxfId="396" dataCellStyle="Input"/>
    <tableColumn id="10" xr3:uid="{9C4873B9-BC34-45D5-A40D-2527864BC25A}" name="Additional Bunkers" dataDxfId="395" dataCellStyle="Input"/>
    <tableColumn id="11" xr3:uid="{7D03D986-A3C7-42B2-A648-2D8B4C1324D8}" name="Robot_Residue/Coated Paper" dataDxfId="394" dataCellStyle="Input"/>
    <tableColumn id="12" xr3:uid="{44362653-2168-47B7-BFF0-F0DC0E93652A}" name="Robot_Container" dataDxfId="393" dataCellStyle="Input"/>
    <tableColumn id="3" xr3:uid="{0A92653C-76D7-4DBB-ABA3-186FECD8C3AF}" name="Quality AI Vision System" dataDxfId="392" dataCellStyle="Input"/>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06148CF-8032-4FFE-BC40-BD59C57E2107}" name="MRF_CapitalCost" displayName="MRF_CapitalCost" ref="AT16:BC31" totalsRowShown="0" headerRowDxfId="391" dataDxfId="390">
  <autoFilter ref="AT16:BC31" xr:uid="{FE2581F9-0FA3-4A0D-ADBD-7C3EA56D12F6}"/>
  <tableColumns count="10">
    <tableColumn id="1" xr3:uid="{42DA4956-CBD0-435C-9B88-F062C9A56BE9}" name="Scenario_ID" dataDxfId="389"/>
    <tableColumn id="2" xr3:uid="{DDC7FFA4-1E9A-42F2-A0F0-4DE634BFEFBB}" name="MRF_ID" dataDxfId="388"/>
    <tableColumn id="4" xr3:uid="{9EEAE8BE-10F2-400D-9F05-1F41A79C04F9}" name="MRF_Name" dataDxfId="387">
      <calculatedColumnFormula>INDEX(MRFs[MRF_Name],MATCH(MRF_CapitalCost[[#This Row],[MRF_ID]],MRFs[MRF_ID],0))</calculatedColumnFormula>
    </tableColumn>
    <tableColumn id="3" xr3:uid="{EF5AE699-90A1-494F-8FFA-BF2839F66BDB}" name="BaseCapitalCost_PerMRF" dataDxfId="386" dataCellStyle="Input">
      <calculatedColumnFormula>$C$11</calculatedColumnFormula>
    </tableColumn>
    <tableColumn id="5" xr3:uid="{7C3B23A4-44D1-42E4-B931-0E97E0CD2FE5}" name="Pct_BasePaidOff" dataDxfId="385" dataCellStyle="Input">
      <calculatedColumnFormula>$C$12</calculatedColumnFormula>
    </tableColumn>
    <tableColumn id="14" xr3:uid="{A929458A-7A16-462A-8A1E-98D055D81A4B}" name="MRF_Count" dataCellStyle="Linked Cell">
      <calculatedColumnFormula>SUMIFS(MRF_Shifts[MRF_Count],MRF_Shifts[Scenario_ID],MRF_CapitalCost[[#This Row],[Scenario_ID]],MRF_Shifts[MRF_ID],MRF_CapitalCost[[#This Row],[MRF_ID]])</calculatedColumnFormula>
    </tableColumn>
    <tableColumn id="15" xr3:uid="{42B73880-C5CC-44B8-B567-63EE5E59C48C}" name="Remaining_BaseCapital_Annualized" dataDxfId="384">
      <calculatedColumnFormula>MRF_CapitalCost[[#This Row],[MRF_Count]]*PMT(MRF_CapEquip!$C$10,10,-((1-MRF_CapitalCost[[#This Row],[Pct_BasePaidOff]])*MRF_CapitalCost[[#This Row],[BaseCapitalCost_PerMRF]]))</calculatedColumnFormula>
    </tableColumn>
    <tableColumn id="16" xr3:uid="{276B175C-E820-42D5-A82E-4B9163F41C05}" name="Additional_CapitalCost_Annualized" dataDxfId="383">
      <calculatedColumnFormula>SUMIFS(NewMRFEquipTotalCost[Additional_CapitalCost_Annualized_2025],NewMRFEquipTotalCost[Scenario_ID],MRF_CapitalCost[[#This Row],[Scenario_ID]],NewMRFEquipTotalCost[MRF_ID],MRF_CapitalCost[[#This Row],[MRF_ID]])</calculatedColumnFormula>
    </tableColumn>
    <tableColumn id="6" xr3:uid="{783E535B-3432-4DB3-84A1-0F80307635F0}" name="Total_CapitalCost_Annualized" dataDxfId="382" dataCellStyle="Output">
      <calculatedColumnFormula>MRF_CapitalCost[[#This Row],[Remaining_BaseCapital_Annualized]]+MRF_CapitalCost[[#This Row],[Additional_CapitalCost_Annualized]]</calculatedColumnFormula>
    </tableColumn>
    <tableColumn id="7" xr3:uid="{7451F2A4-B411-4338-9FFB-A5A63DE3B5C9}" name="Total_CapitalCost_Annualized_PerTon" dataDxfId="381" dataCellStyle="Output">
      <calculatedColumnFormula>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calculatedColumnFormula>
    </tableColumn>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E9DF240-A63A-4304-A50E-048A73C485C0}" name="NewMRFEquipUnitCost" displayName="NewMRFEquipUnitCost" ref="O16:Z31" totalsRowShown="0" headerRowDxfId="380" dataDxfId="379">
  <autoFilter ref="O16:Z31" xr:uid="{E315ECEB-C7A5-4D05-90A8-7B4428717B12}"/>
  <sortState xmlns:xlrd2="http://schemas.microsoft.com/office/spreadsheetml/2017/richdata2" ref="O17:Z31">
    <sortCondition ref="O16:O31"/>
  </sortState>
  <tableColumns count="12">
    <tableColumn id="1" xr3:uid="{893490EF-45AB-4DE4-B329-E9C965F4E156}" name="Scenario_ID" dataDxfId="378"/>
    <tableColumn id="2" xr3:uid="{7C9F6297-1BB4-4363-9A8B-8E79A5813DFA}" name="MRF_ID" dataDxfId="377"/>
    <tableColumn id="4" xr3:uid="{16E17D60-88F8-4898-B344-F954E58F1FE6}" name="MRF_Name" dataDxfId="376">
      <calculatedColumnFormula>INDEX(MRFs[MRF_Name],MATCH(NewMRFEquipUnitCost[[#This Row],[MRF_ID]],MRFs[MRF_ID],0))</calculatedColumnFormula>
    </tableColumn>
    <tableColumn id="5" xr3:uid="{8D0C80CC-4476-41C7-9804-D295A3009942}" name="Bag_Breakers" dataDxfId="375" dataCellStyle="Input"/>
    <tableColumn id="6" xr3:uid="{881B1D6A-6560-4DD2-B952-8339861E7F7B}" name="ContainerInfeed+Presort" dataDxfId="374" dataCellStyle="Input"/>
    <tableColumn id="7" xr3:uid="{9715A552-7347-4A43-B7FA-27326283D3D1}" name="Screens_Paper" dataDxfId="373" dataCellStyle="Input"/>
    <tableColumn id="8" xr3:uid="{616CBA89-C1C7-4320-974F-5C5EE784693D}" name="Optical_Containers" dataDxfId="372" dataCellStyle="Input"/>
    <tableColumn id="9" xr3:uid="{0B0F2445-55F8-4C0A-B78A-153B2B5AE57C}" name="Optical_Paper" dataDxfId="371" dataCellStyle="Input"/>
    <tableColumn id="10" xr3:uid="{C06139A1-F552-4A78-A5FF-CDE4C6BD5805}" name="Additional Bunkers" dataDxfId="370" dataCellStyle="Input"/>
    <tableColumn id="11" xr3:uid="{C53AE52C-DB48-4012-AE3B-BF816B136AA0}" name="Robot_Residue/Coated Paper" dataDxfId="369" dataCellStyle="Input"/>
    <tableColumn id="12" xr3:uid="{5118AE41-75BB-46BC-B70D-9E3AFC4718FD}" name="Robot_Container" dataDxfId="368" dataCellStyle="Input"/>
    <tableColumn id="3" xr3:uid="{144E86A9-FE84-4B19-82A8-19FB05421E14}" name="Quality AI Vision System" dataDxfId="367" dataCellStyle="Input"/>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A008E18-4FC8-4154-AB79-A60816580A34}" name="NewMRFEquipTotalCost" displayName="NewMRFEquipTotalCost" ref="AC16:AQ31" totalsRowShown="0" headerRowDxfId="366" dataDxfId="365">
  <autoFilter ref="AC16:AQ31" xr:uid="{17E60BA3-83B0-4087-B716-DD20B0337B05}"/>
  <sortState xmlns:xlrd2="http://schemas.microsoft.com/office/spreadsheetml/2017/richdata2" ref="AC17:AO31">
    <sortCondition ref="AC16:AC31"/>
  </sortState>
  <tableColumns count="15">
    <tableColumn id="1" xr3:uid="{60EE3879-6067-44E6-9CD1-86B314583BA1}" name="Scenario_ID" dataDxfId="364"/>
    <tableColumn id="2" xr3:uid="{E2DC6246-BC30-48B4-97ED-CECDC4243456}" name="MRF_ID" dataDxfId="363"/>
    <tableColumn id="4" xr3:uid="{9C13C2EE-7BD1-4DF1-9201-466E643E08AF}" name="MRF_Name" dataDxfId="362">
      <calculatedColumnFormula>INDEX(MRFs[MRF_Name],MATCH(NewMRFEquipTotalCost[[#This Row],[MRF_ID]],MRFs[MRF_ID],0))</calculatedColumnFormula>
    </tableColumn>
    <tableColumn id="14" xr3:uid="{1E49887E-239F-4608-8657-629B775D02FD}" name="Notes" dataDxfId="361"/>
    <tableColumn id="5" xr3:uid="{759D271A-92E7-45D5-9DF8-8519235CC40E}" name="Bag_Breakers" dataDxfId="360" dataCellStyle="Calculation">
      <calculatedColumnFormula>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calculatedColumnFormula>
    </tableColumn>
    <tableColumn id="6" xr3:uid="{DBFE721E-73B2-46A7-80D3-6B58161B7586}" name="ContainerInfeed+Presort" dataDxfId="359" dataCellStyle="Calculation">
      <calculatedColumnFormula>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calculatedColumnFormula>
    </tableColumn>
    <tableColumn id="7" xr3:uid="{047D87F8-3248-4607-AE71-6D375A74B7CF}" name="Screens_Paper" dataDxfId="358" dataCellStyle="Calculation">
      <calculatedColumnFormula>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calculatedColumnFormula>
    </tableColumn>
    <tableColumn id="8" xr3:uid="{C3BD3F21-9C7E-427C-9194-BE970593E7F8}" name="Optical_Containers" dataDxfId="357" dataCellStyle="Calculation">
      <calculatedColumnFormula>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calculatedColumnFormula>
    </tableColumn>
    <tableColumn id="9" xr3:uid="{69DA91DD-B5CB-448A-B2BF-669164E2D73C}" name="Optical_Paper" dataDxfId="356" dataCellStyle="Calculation">
      <calculatedColumnFormula>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calculatedColumnFormula>
    </tableColumn>
    <tableColumn id="10" xr3:uid="{50EE0FDF-2630-4CAB-8AE2-C65EDB35232B}" name="Additional Bunkers" dataDxfId="355" dataCellStyle="Calculation">
      <calculatedColumnFormula>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calculatedColumnFormula>
    </tableColumn>
    <tableColumn id="11" xr3:uid="{3228A3B4-D7F4-4E05-9B8B-F03D544A5629}" name="Robot_Residue/Coated Paper" dataDxfId="354" dataCellStyle="Calculation">
      <calculatedColumnFormula>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calculatedColumnFormula>
    </tableColumn>
    <tableColumn id="12" xr3:uid="{28486F65-1623-43ED-BB3B-C9AB0A48A073}" name="Robot_Container" dataDxfId="353" dataCellStyle="Calculation">
      <calculatedColumnFormula>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calculatedColumnFormula>
    </tableColumn>
    <tableColumn id="3" xr3:uid="{C8C76AD8-1917-4FFE-80C4-FFEDF784D313}" name="Quality AI Vision System" dataDxfId="352" dataCellStyle="Calculation">
      <calculatedColumnFormula>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calculatedColumnFormula>
    </tableColumn>
    <tableColumn id="15" xr3:uid="{E28A065F-F591-403C-9F34-E9FB3C75761E}" name="Additional_Capital_Cost_2025" dataDxfId="351" dataCellStyle="Output">
      <calculatedColumnFormula>SUM(NewMRFEquipTotalCost[[#This Row],[Bag_Breakers]:[Quality AI Vision System]])</calculatedColumnFormula>
    </tableColumn>
    <tableColumn id="16" xr3:uid="{114C26F2-B13C-4FDF-9C8C-D4AF679E8281}" name="Additional_CapitalCost_Annualized_2025" dataDxfId="350" dataCellStyle="Output">
      <calculatedColumnFormula>PMT(MRF_CapEquip!$C$10,10,-NewMRFEquipTotalCost[[#This Row],[Additional_Capital_Cost_2025]])</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D000000}" name="ContainerCapitalCostPerPickup" displayName="ContainerCapitalCostPerPickup" ref="B15:O47" totalsRowShown="0" headerRowDxfId="621" dataDxfId="620">
  <autoFilter ref="B15:O47" xr:uid="{00000000-0009-0000-0100-000024000000}"/>
  <tableColumns count="14">
    <tableColumn id="22" xr3:uid="{00000000-0010-0000-0D00-000016000000}" name="Collection_ID" dataDxfId="619" dataCellStyle="Normal">
      <calculatedColumnFormula>ContainerCapitalCostPerPickup[[#This Row],[Grouping_ID]]&amp;"-"&amp;ContainerCapitalCostPerPickup[[#This Row],[Sector_ID]]&amp;"-"&amp;ContainerCapitalCostPerPickup[[#This Row],[Frequency_ID]]&amp;"-"&amp;ContainerCapitalCostPerPickup[[#This Row],[SS_or_DS]]</calculatedColumnFormula>
    </tableColumn>
    <tableColumn id="1" xr3:uid="{00000000-0010-0000-0D00-000001000000}" name="Grouping_ID" dataDxfId="618"/>
    <tableColumn id="2" xr3:uid="{00000000-0010-0000-0D00-000002000000}" name="Grouping_Name" dataDxfId="617">
      <calculatedColumnFormula>INDEX(Grouping[Grouping_Name],MATCH(ContainerCapitalCostPerPickup[[#This Row],[Grouping_ID]],Grouping[Grouping_ID],0))</calculatedColumnFormula>
    </tableColumn>
    <tableColumn id="4" xr3:uid="{00000000-0010-0000-0D00-000004000000}" name="Sector_ID" dataDxfId="616"/>
    <tableColumn id="5" xr3:uid="{00000000-0010-0000-0D00-000005000000}" name="Sector_Name" dataDxfId="615">
      <calculatedColumnFormula>INDEX(Sector[Sector_Name],MATCH(ContainerCapitalCostPerPickup[[#This Row],[Sector_ID]],Sector[Sector_ID],0))</calculatedColumnFormula>
    </tableColumn>
    <tableColumn id="6" xr3:uid="{B3A41653-567E-4FD2-AAD4-EB2492FC93CA}" name="SS_or_DS" dataDxfId="614"/>
    <tableColumn id="23" xr3:uid="{00000000-0010-0000-0D00-000017000000}" name="Frequency_ID" dataDxfId="613"/>
    <tableColumn id="3" xr3:uid="{00000000-0010-0000-0D00-000003000000}" name="Collection_Frequency" dataDxfId="612">
      <calculatedColumnFormula>INDEX(Frequency[Collection_Frequency],MATCH(ContainerCapitalCostPerPickup[[#This Row],[Frequency_ID]],Frequency[Orig_Frequency_ID],0)+(ContainerCapitalCostPerPickup[[#This Row],[SS_or_DS]]="DS")*COUNTA(Frequency[Orig_Frequency_ID])/2)</calculatedColumnFormula>
    </tableColumn>
    <tableColumn id="9" xr3:uid="{00000000-0010-0000-0D00-000009000000}" name="Container_Capital_Per_Lift" dataDxfId="611" dataCellStyle="Input"/>
    <tableColumn id="10" xr3:uid="{00000000-0010-0000-0D00-00000A000000}" name="Truck_Capital_Per_Lift" dataDxfId="610" dataCellStyle="Input"/>
    <tableColumn id="7" xr3:uid="{00000000-0010-0000-0D00-000007000000}" name="Average_Lifts_Per_Week" dataDxfId="609" dataCellStyle="Linked Cell">
      <calculatedColumnFormula>INDEX(LaborCostPerLift[Average_Lifts_Per_Week],MATCH(ContainerCapitalCostPerPickup[[#This Row],[Collection_ID]],LaborCostPerLift[Collection_ID],0))</calculatedColumnFormula>
    </tableColumn>
    <tableColumn id="25" xr3:uid="{00000000-0010-0000-0D00-000019000000}" name="Weeks_Per_Year" dataDxfId="8" dataCellStyle="Linked Cell">
      <calculatedColumnFormula>INDEX(LaborCostPerLift[Weeks_Per_Year],MATCH(ContainerCapitalCostPerPickup[[#This Row],[Collection_ID]],LaborCostPerLift[Collection_ID],0))</calculatedColumnFormula>
    </tableColumn>
    <tableColumn id="24" xr3:uid="{00000000-0010-0000-0D00-000018000000}" name="Annual_Container_Cost_Per_Customer" dataDxfId="608" dataCellStyle="Output">
      <calculatedColumnFormula>ContainerCapitalCostPerPickup[[#This Row],[Container_Capital_Per_Lift]]*ContainerCapitalCostPerPickup[[#This Row],[Average_Lifts_Per_Week]]*ContainerCapitalCostPerPickup[[#This Row],[Weeks_Per_Year]]</calculatedColumnFormula>
    </tableColumn>
    <tableColumn id="8" xr3:uid="{AE3B4142-7556-4CCA-B1EA-A3D96A23A751}" name="Annual_Truck_Cost_Per_Customer" dataDxfId="607" dataCellStyle="Output">
      <calculatedColumnFormula>ContainerCapitalCostPerPickup[[#This Row],[Truck_Capital_Per_Lift]]*ContainerCapitalCostPerPickup[[#This Row],[Average_Lifts_Per_Week]]*ContainerCapitalCostPerPickup[[#This Row],[Weeks_Per_Year]]</calculatedColumnFormula>
    </tableColumn>
  </tableColumns>
  <tableStyleInfo name="TableStyleMedium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E307E0C-7648-4D01-9599-A4749A51C961}" name="MRFLaborProductivity" displayName="MRFLaborProductivity" ref="AY19:BJ64" totalsRowShown="0" headerRowDxfId="349" dataDxfId="348">
  <autoFilter ref="AY19:BJ64" xr:uid="{B36A52EF-8E13-44E3-A5AE-547E910D56F0}"/>
  <tableColumns count="12">
    <tableColumn id="1" xr3:uid="{9376351D-040D-45BD-BC04-189A5A7E2FE2}" name="Scenario_ID" dataDxfId="347"/>
    <tableColumn id="2" xr3:uid="{8CBD58A7-2D9A-4477-B8DD-3811F131CD79}" name="MRF_ID" dataDxfId="346"/>
    <tableColumn id="13" xr3:uid="{1F8625CF-81AC-4192-BA64-8408CE632A9C}" name="StartingMRF_ID" dataDxfId="345"/>
    <tableColumn id="3" xr3:uid="{9782DF54-C71B-404F-A25E-762592B664EB}" name="LaborType_ID" dataDxfId="344"/>
    <tableColumn id="4" xr3:uid="{5AFCE6F5-E033-4337-99BD-2CD6C9D14944}" name="MRF_Name" dataDxfId="343">
      <calculatedColumnFormula>INDEX(MRFs[MRF_Name],MATCH(MRFLaborProductivity[[#This Row],[MRF_ID]],MRFs[MRF_ID],0))</calculatedColumnFormula>
    </tableColumn>
    <tableColumn id="5" xr3:uid="{DD9E9D95-2493-4EF8-93B9-D23DDE64E5B5}" name="LaborType_Name" dataDxfId="342">
      <calculatedColumnFormula>INDEX(MRFLaborCost[MRFLaborType_Name],MATCH(MRFLaborProductivity[[#This Row],[LaborType_ID]],MRFLaborCost[MRFLaborType_ID],0))</calculatedColumnFormula>
    </tableColumn>
    <tableColumn id="7" xr3:uid="{B66BB9A3-1F08-4A56-B4A2-A3295AECFF2F}" name="Base_FTE" dataDxfId="341">
      <calculatedColumnFormula>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calculatedColumnFormula>
    </tableColumn>
    <tableColumn id="8" xr3:uid="{3C8E35BE-7E40-46F9-B62D-BEF3A49F0C4A}" name="FTE_Change" dataDxfId="0" dataCellStyle="Linked Cell">
      <calculatedColumnFormula>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calculatedColumnFormula>
    </tableColumn>
    <tableColumn id="9" xr3:uid="{D0809BCF-45C7-447B-9FA3-469ACF096377}" name="Scenario_FTE" dataDxfId="340" dataCellStyle="Output">
      <calculatedColumnFormula>MRFLaborProductivity[[#This Row],[Base_FTE]]+MRFLaborProductivity[[#This Row],[FTE_Change]]</calculatedColumnFormula>
    </tableColumn>
    <tableColumn id="11" xr3:uid="{E5A3B1DC-505B-4B15-9321-76C8B1C63B88}" name="Scenario_LaborCost" dataDxfId="339" dataCellStyle="Output">
      <calculatedColumnFormula>MRFLaborProductivity[[#This Row],[Scenario_FTE]]*SUMIFS(MRFLaborCost[Annual_CostPerFTE_2025],MRFLaborCost[MRFLaborType_ID],MRFLaborProductivity[[#This Row],[LaborType_ID]])</calculatedColumnFormula>
    </tableColumn>
    <tableColumn id="6" xr3:uid="{4B3F3319-A2D6-4936-B1A7-D15BC063DECE}" name="Tons_Sorted" dataDxfId="338">
      <calculatedColumnFormula>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calculatedColumnFormula>
    </tableColumn>
    <tableColumn id="12" xr3:uid="{FF8CDD28-923A-476E-A294-4109022CB17A}" name="LaborCostPerTon" dataDxfId="337">
      <calculatedColumnFormula>IFERROR(MRFLaborProductivity[[#This Row],[Scenario_LaborCost]]/MRFLaborProductivity[[#This Row],[Tons_Sorted]],"")</calculatedColumnFormula>
    </tableColumn>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740AA01-6815-45B2-8C08-78E44A848BFF}" name="MRFLaborCost" displayName="MRFLaborCost" ref="B19:L22" totalsRowShown="0" headerRowDxfId="336" dataDxfId="335">
  <autoFilter ref="B19:L22" xr:uid="{F1523B2A-C5FD-4E77-A11C-E46F8C854A56}"/>
  <tableColumns count="11">
    <tableColumn id="1" xr3:uid="{BD20F76E-087D-4E55-A4BB-00A71262E130}" name="Scenario_ID" dataDxfId="334"/>
    <tableColumn id="2" xr3:uid="{343A127F-ADDC-46DF-99D5-38B23F3B9157}" name="MRFLaborType_ID" dataDxfId="333"/>
    <tableColumn id="3" xr3:uid="{2583C683-0595-45CA-B2AC-5BB0BDD4EB6F}" name="MRFLaborType_Name" dataDxfId="332"/>
    <tableColumn id="4" xr3:uid="{5BA920A8-A105-445C-BD33-3DD29942F32C}" name="Hourly_Pay_2018" dataDxfId="331" dataCellStyle="Input"/>
    <tableColumn id="5" xr3:uid="{B6096E5C-A7EF-4825-86BB-3CDC9CF6F25A}" name="Benefits_Ratio" dataDxfId="330" dataCellStyle="Input"/>
    <tableColumn id="6" xr3:uid="{F9CE8382-033E-4FBC-BDEF-EB4FC693BA95}" name="HourlyLoadedCost_2018" dataDxfId="329" dataCellStyle="Calculation">
      <calculatedColumnFormula>MRFLaborCost[[#This Row],[Hourly_Pay_2018]]*MRFLaborCost[[#This Row],[Benefits_Ratio]]</calculatedColumnFormula>
    </tableColumn>
    <tableColumn id="12" xr3:uid="{4AB293A1-0AB2-485C-BBD3-D2DBACCC8881}" name="Escalator_ID" dataDxfId="328" dataCellStyle="Input"/>
    <tableColumn id="10" xr3:uid="{7E5793F9-A360-4034-A026-FABBA66BBB44}" name="Escalator" dataCellStyle="Calculation"/>
    <tableColumn id="9" xr3:uid="{8E637F48-1B3E-4F6B-BA07-480BF3D8A9B8}" name="HourlyLoadedCost_2025" dataDxfId="327" dataCellStyle="Calculation">
      <calculatedColumnFormula>MRFLaborCost[[#This Row],[HourlyLoadedCost_2018]]*MRFLaborCost[[#This Row],[Escalator]]</calculatedColumnFormula>
    </tableColumn>
    <tableColumn id="11" xr3:uid="{685A7876-E75D-45AC-BD45-3484AF612CF6}" name="Annual_CostPerFTE_2025" dataDxfId="326" dataCellStyle="Calculation">
      <calculatedColumnFormula>MRFLaborCost[[#This Row],[HourlyLoadedCost_2025]]*40*52</calculatedColumnFormula>
    </tableColumn>
    <tableColumn id="8" xr3:uid="{D8DB66AB-088D-4CAF-AD1E-50CF044D09EB}" name="Baseline_FTE" dataDxfId="325" dataCellStyle="Linked Cell"/>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04BFC44-7933-43D4-948E-D0A693BD4741}" name="MRFSorterFTEChanges" displayName="MRFSorterFTEChanges" ref="V19:AK34" totalsRowShown="0" headerRowDxfId="324" dataDxfId="323">
  <autoFilter ref="V19:AK34" xr:uid="{853708CA-73AC-4A7E-ACD3-A72F45480002}"/>
  <tableColumns count="16">
    <tableColumn id="1" xr3:uid="{2157A1C6-8F5D-49DE-A729-197803C50065}" name="Scenario_ID" dataDxfId="322"/>
    <tableColumn id="3" xr3:uid="{A3B97027-9F45-466B-839D-DD24AA568B9C}" name="LaborType_ID" dataDxfId="321"/>
    <tableColumn id="8" xr3:uid="{64F374C2-0603-44E4-8F43-B280E8799BE8}" name="Labor_Name" dataDxfId="320">
      <calculatedColumnFormula>INDEX(MRFLaborCost[MRFLaborType_Name],MATCH(MRFSorterFTEChanges[[#This Row],[LaborType_ID]],MRFLaborCost[MRFLaborType_ID],0))</calculatedColumnFormula>
    </tableColumn>
    <tableColumn id="2" xr3:uid="{8EEDB29E-45ED-4101-848E-A0DDCAD67373}" name="MRF_ID" dataDxfId="319"/>
    <tableColumn id="4" xr3:uid="{70235ECB-26D6-4839-85BE-818BDDDA370C}" name="MRF_Name" dataDxfId="318">
      <calculatedColumnFormula>INDEX(MRFs[MRF_Name],MATCH(MRFSorterFTEChanges[[#This Row],[MRF_ID]],MRFs[MRF_ID],0))</calculatedColumnFormula>
    </tableColumn>
    <tableColumn id="5" xr3:uid="{4D2C3BA3-A428-4EE2-B576-E575FFD631D0}" name="LaborChangeNotes" dataDxfId="317"/>
    <tableColumn id="13" xr3:uid="{871942B0-1A96-4E79-ADE5-5BA5300C4237}" name="Change_Per_Fiber_Optical_Per_Shift"/>
    <tableColumn id="15" xr3:uid="{7212594E-8919-4BB3-BE1E-31F9B56AA534}" name="Fiber Opticals" dataDxfId="316">
      <calculatedColumnFormula>(MRFSorterFTEChanges[[#This Row],[LaborType_ID]]=1)*SUMIFS(NewMRFEquipCounts[Optical_Paper],NewMRFEquipCounts[Scenario_ID],MRFSorterFTEChanges[[#This Row],[Scenario_ID]],NewMRFEquipCounts[MRF_ID],MRFSorterFTEChanges[[#This Row],[MRF_ID]])</calculatedColumnFormula>
    </tableColumn>
    <tableColumn id="17" xr3:uid="{C469B6C5-5733-4F4D-A38B-EB1FECA06F48}" name="Change_PerMRF_PerShift_Contamination" dataDxfId="315"/>
    <tableColumn id="16" xr3:uid="{B4CAE97B-5456-40EE-92BE-EE498565F7C4}" name="Change_Per_MRF_ContainersGrades" dataDxfId="314" dataCellStyle="Input"/>
    <tableColumn id="14" xr3:uid="{33C5E8A6-3877-4F74-ABE5-1F3E9E0EC267}" name="MRF_Count" dataDxfId="313" dataCellStyle="Linked Cell">
      <calculatedColumnFormula>SUMIFS(MRF_Shifts[MRF_Count],MRF_Shifts[Scenario_ID],MRFSorterFTEChanges[[#This Row],[Scenario_ID]],MRF_Shifts[MRF_ID],MRFSorterFTEChanges[[#This Row],[MRF_ID]])</calculatedColumnFormula>
    </tableColumn>
    <tableColumn id="9" xr3:uid="{B0E35784-8B5F-4885-80B9-FEB80D966C39}" name="Shifts_Per_MRF" dataDxfId="312" dataCellStyle="Linked Cell">
      <calculatedColumnFormula>SUMIFS(MRF_Shifts[Average Shifts per Day],MRF_Shifts[Scenario_ID],MRFSorterFTEChanges[[#This Row],[Scenario_ID]],MRF_Shifts[MRF_ID],MRFSorterFTEChanges[[#This Row],[MRF_ID]])</calculatedColumnFormula>
    </tableColumn>
    <tableColumn id="10" xr3:uid="{369F92E1-FA36-4B4B-9216-AE9122ECD3F5}" name="SortFTE_Cumulative" dataDxfId="311">
      <calculatedColumnFormula>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calculatedColumnFormula>
    </tableColumn>
    <tableColumn id="12" xr3:uid="{EF49E02D-D5E6-49E5-BFB8-F98A3BFE0B8D}" name="LaborType_ID2" dataDxfId="1"/>
    <tableColumn id="11" xr3:uid="{50ABA0F5-2D97-400C-B1EE-5BA48CA21FC4}" name="Change_Per_MRF_OpticalRobot-Maintenance" dataDxfId="5" dataCellStyle="Input"/>
    <tableColumn id="7" xr3:uid="{5CD2B736-D825-4679-8F14-6E9C963B4E58}" name="MaintenanceFTE_Cumulative" dataDxfId="4">
      <calculatedColumnFormula>MRFSorterFTEChanges[[#This Row],[MRF_Count]]*MRFSorterFTEChanges[[#This Row],[Change_Per_MRF_OpticalRobot-Maintenance]]</calculatedColumnFormula>
    </tableColumn>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B092E0E-7BDB-4C75-AE79-EF63D563C2BF}" name="MRF_Shifts" displayName="MRF_Shifts" ref="O19:S34" totalsRowShown="0" headerRowDxfId="310" dataDxfId="309">
  <autoFilter ref="O19:S34" xr:uid="{B35CBEB7-743B-43BC-AE01-586B1D9C3DBF}"/>
  <tableColumns count="5">
    <tableColumn id="1" xr3:uid="{D7166DA0-542D-4A69-8CB6-F088C794D0A4}" name="Scenario_ID" dataDxfId="308"/>
    <tableColumn id="2" xr3:uid="{25408914-3E1E-4F4F-A4D5-86FE86DC9B8B}" name="MRF_ID" dataDxfId="307"/>
    <tableColumn id="4" xr3:uid="{60144339-528A-4BA4-B836-01F13F42129E}" name="MRF_Name" dataDxfId="306">
      <calculatedColumnFormula>INDEX(MRFs[MRF_Name],MATCH(MRF_Shifts[[#This Row],[MRF_ID]],MRFs[MRF_ID],0))</calculatedColumnFormula>
    </tableColumn>
    <tableColumn id="3" xr3:uid="{0BEC5620-5AFB-4BEF-8943-23FB6D1CF57F}" name="Average Shifts per Day" dataDxfId="305" dataCellStyle="Input"/>
    <tableColumn id="14" xr3:uid="{F2016E7F-9C41-4F38-A901-E8CCFC0E029E}" name="MRF_Count" dataCellStyle="Input"/>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CDC09D6-B641-4591-87CB-31B510736B3A}" name="MRFEquipOpFTEChanges" displayName="MRFEquipOpFTEChanges" ref="AN19:AV34" totalsRowShown="0" headerRowDxfId="304" tableBorderDxfId="303">
  <autoFilter ref="AN19:AV34" xr:uid="{936DBC66-2528-4555-8ED9-DC183F35E38F}"/>
  <tableColumns count="9">
    <tableColumn id="1" xr3:uid="{C0A1F8BB-394E-4A3A-ACFF-A494075FBB23}" name="Scenario_ID" dataDxfId="302"/>
    <tableColumn id="2" xr3:uid="{753EA509-4424-4EA0-ADDA-1B6557DE7813}" name="LaborType_ID" dataDxfId="301"/>
    <tableColumn id="3" xr3:uid="{FFAD773E-34FC-4250-80D1-59936EFAEA7E}" name="Labor_Name" dataDxfId="300">
      <calculatedColumnFormula>INDEX(MRFLaborCost[MRFLaborType_Name],MATCH(MRFEquipOpFTEChanges[[#This Row],[LaborType_ID]],MRFLaborCost[MRFLaborType_ID],0))</calculatedColumnFormula>
    </tableColumn>
    <tableColumn id="4" xr3:uid="{FCCD59B9-6171-4166-B4DD-DDCE759D4C76}" name="MRF_ID" dataDxfId="299"/>
    <tableColumn id="15" xr3:uid="{257E4234-2B5D-4ECF-93D4-C8CE428F52DE}" name="StartingMRF_ID" dataDxfId="298"/>
    <tableColumn id="5" xr3:uid="{AACFD1A0-A654-41E5-859F-524C9355805E}" name="MRF_Name" dataDxfId="297">
      <calculatedColumnFormula>INDEX(MRFs[MRF_Name],MATCH(MRFEquipOpFTEChanges[[#This Row],[MRF_ID]],MRFs[MRF_ID],0))</calculatedColumnFormula>
    </tableColumn>
    <tableColumn id="10" xr3:uid="{8F364602-DE17-4A6B-AEC3-02A6D6CDF060}" name="Total Baled Tons" dataDxfId="296" dataCellStyle="Linked Cell">
      <calculatedColumnFormula>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calculatedColumnFormula>
    </tableColumn>
    <tableColumn id="14" xr3:uid="{96359FBE-19C9-48B3-AE47-EB68520C49D3}" name="TotalBaledTonsChange" dataDxfId="295">
      <calculatedColumnFormula>(MRFEquipOpFTEChanges[[#This Row],[Total Baled Tons]])-(SUMIFS(MRFEquipOpFTEChanges[Total Baled Tons],MRFEquipOpFTEChanges[Scenario_ID],"S0",MRFEquipOpFTEChanges[MRF_ID],MRFEquipOpFTEChanges[[#This Row],[StartingMRF_ID]]))</calculatedColumnFormula>
    </tableColumn>
    <tableColumn id="9" xr3:uid="{DFC8F683-4DDA-4DF3-B733-A4470A8D5E51}" name="FTE_Equipment" dataDxfId="6" dataCellStyle="Output">
      <calculatedColumnFormula>MRFEquipOpFTEChanges[[#This Row],[TotalBaledTonsChange]]/$AN$18</calculatedColumnFormula>
    </tableColumn>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7097107-AFD6-4DC9-AA09-68DF1B0F4455}" name="OperatingCost_Changes" displayName="OperatingCost_Changes" ref="B16:K48" totalsRowShown="0" headerRowDxfId="294" dataDxfId="293">
  <autoFilter ref="B16:K48" xr:uid="{53862738-2D29-4C16-9C44-99B5AC6B2517}"/>
  <tableColumns count="10">
    <tableColumn id="1" xr3:uid="{6309C068-1D84-4296-AB4D-AE46FFC298ED}" name="Scenario_ID" dataDxfId="292"/>
    <tableColumn id="3" xr3:uid="{DC33B945-9EB6-4F66-BBD8-EDAC9D1DA0A2}" name="OperatingCost_ID" dataDxfId="291"/>
    <tableColumn id="8" xr3:uid="{D7A56D63-999A-4522-B372-FECE0F4FE6FD}" name="OperatingCost_Name" dataDxfId="290">
      <calculatedColumnFormula>INDEX(OperatingCosts_Unit[OperatingCost_Name],MATCH(OperatingCost_Changes[[#This Row],[OperatingCost_ID]],OperatingCosts_Unit[OperatingCost_ID],0))</calculatedColumnFormula>
    </tableColumn>
    <tableColumn id="5" xr3:uid="{21A34773-7058-4D81-965B-6F6C9FFFF0E1}" name="OperatingCost_Type" dataDxfId="289">
      <calculatedColumnFormula>INDEX(OperatingCosts_Unit[OperatingCost_Type],MATCH(OperatingCost_Changes[[#This Row],[OperatingCost_ID]],OperatingCosts_Unit[OperatingCost_ID],0))</calculatedColumnFormula>
    </tableColumn>
    <tableColumn id="2" xr3:uid="{1EC0432B-1BE8-4AFC-B56B-569D19B08BAB}" name="MRF_ID" dataDxfId="288"/>
    <tableColumn id="4" xr3:uid="{AF968095-F9A5-45FA-9119-AFB017F46FEE}" name="MRF_Name" dataDxfId="287">
      <calculatedColumnFormula>INDEX(MRFs[MRF_Name],MATCH(OperatingCost_Changes[[#This Row],[MRF_ID]],MRFs[MRF_ID],0))</calculatedColumnFormula>
    </tableColumn>
    <tableColumn id="7" xr3:uid="{C33450EF-1621-4DF3-BF68-4A6124F4DBE4}" name="CostPerTon" dataDxfId="286" dataCellStyle="Linked Cell">
      <calculatedColumnFormula>INDEX(OperatingCosts_Unit[Cost_Amt_2025],MATCH(OperatingCost_Changes[[#This Row],[OperatingCost_ID]],OperatingCosts_Unit[OperatingCost_ID],0))</calculatedColumnFormula>
    </tableColumn>
    <tableColumn id="6" xr3:uid="{E2862834-7AB3-4871-9AD8-6ED855C30186}" name="IncomingTons" dataDxfId="285" dataCellStyle="Linked Cell">
      <calculatedColumnFormula>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calculatedColumnFormula>
    </tableColumn>
    <tableColumn id="9" xr3:uid="{38ADD682-92C8-4172-BF7C-0CEC965E35E4}" name="Containers_Transferred_Loose" dataDxfId="284" dataCellStyle="Linked Cell">
      <calculatedColumnFormula>SUMIFS(MRFEquipOpFTEChanges[TotalBaledTonsChange],MRFEquipOpFTEChanges[Scenario_ID],OperatingCost_Changes[[#This Row],[Scenario_ID]],MRFEquipOpFTEChanges[MRF_ID],OperatingCost_Changes[[#This Row],[MRF_ID]])</calculatedColumnFormula>
    </tableColumn>
    <tableColumn id="10" xr3:uid="{40DB4519-6560-4EB2-A1E9-E25E9FCFACCC}" name="Cost_Cumulative" dataDxfId="283" dataCellStyle="Calculation">
      <calculatedColumnFormula>((OperatingCost_Changes[[#This Row],[OperatingCost_ID]]&lt;&gt;3)*OperatingCost_Changes[[#This Row],[CostPerTon]]*OperatingCost_Changes[[#This Row],[IncomingTons]])+((OperatingCost_Changes[[#This Row],[OperatingCost_ID]]=3)*OperatingCost_Changes[[#This Row],[CostPerTon]]*OperatingCost_Changes[[#This Row],[Containers_Transferred_Loose]])</calculatedColumnFormula>
    </tableColumn>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DDAD5FD-95CD-4224-8217-2FFB419480B8}" name="OperatingCosts_Unit" displayName="OperatingCosts_Unit" ref="C7:K10" totalsRowShown="0" headerRowDxfId="282" dataDxfId="281">
  <autoFilter ref="C7:K10" xr:uid="{C3EE64CB-A568-4171-8AC4-0BD70CF27933}"/>
  <tableColumns count="9">
    <tableColumn id="1" xr3:uid="{540A4A0D-0DA6-4B65-868A-758129140A40}" name="OperatingCost_ID" dataDxfId="280"/>
    <tableColumn id="2" xr3:uid="{366DEDE4-31C0-491C-998D-9E1DA3CD240F}" name="OperatingCost_Name" dataDxfId="279"/>
    <tableColumn id="9" xr3:uid="{9278A216-CBEB-4976-A945-FC8CFB8F914A}" name="OperatingCost_Type" dataDxfId="278"/>
    <tableColumn id="3" xr3:uid="{D81BCD4C-BC22-462F-B2E1-1B85BAF94BEE}" name="Cost_Amt_2018" dataDxfId="277"/>
    <tableColumn id="8" xr3:uid="{2468A38E-11F1-4ECF-B870-22A3BC8F2F30}" name="Escalator_ID" dataCellStyle="Input"/>
    <tableColumn id="7" xr3:uid="{C5174048-249D-4946-A8F5-DD7BFD604DFE}" name="EscalatorPct" dataDxfId="276" dataCellStyle="Linked Cell">
      <calculatedColumnFormula>INDEX(Inflation[Escalator],MATCH(OperatingCosts_Unit[[#This Row],[Escalator_ID]],Inflation[Financial_ID],0))</calculatedColumnFormula>
    </tableColumn>
    <tableColumn id="6" xr3:uid="{B1E98C72-F6A6-44E2-87E7-0AC8C0BF9EA0}" name="Cost_Amt_2025" dataDxfId="275" dataCellStyle="Calculation">
      <calculatedColumnFormula>OperatingCosts_Unit[[#This Row],[Cost_Amt_2018]]*OperatingCosts_Unit[[#This Row],[EscalatorPct]]</calculatedColumnFormula>
    </tableColumn>
    <tableColumn id="4" xr3:uid="{6295BD5A-033B-44AF-88E0-8F5C9F336CC3}" name="Cost_Unit" dataDxfId="274"/>
    <tableColumn id="5" xr3:uid="{ECD81386-56D1-4214-A19E-C4DA02954FE2}" name="Cost Notes" dataDxfId="273" dataCellStyle="Explanatory Text"/>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FEE058-65F9-479C-BEEC-F17273BF2398}" name="MRF1_CostTotal" displayName="MRF1_CostTotal" ref="B18:N33" totalsRowShown="0" headerRowDxfId="272" tableBorderDxfId="271">
  <autoFilter ref="B18:N33" xr:uid="{E1C99F9A-B949-4DE3-B550-14FF5F52E431}"/>
  <tableColumns count="13">
    <tableColumn id="1" xr3:uid="{BC8ADD7C-8897-44FC-90C5-7C2F99A85387}" name="Scenario_ID"/>
    <tableColumn id="2" xr3:uid="{2A9C4E04-C98D-44F5-8DBC-D2A0FA0D3781}" name="MRF_ID"/>
    <tableColumn id="3" xr3:uid="{F57B02D5-4BB6-46E9-A50D-B912DFFD91EA}" name="MRF_Name" dataDxfId="270">
      <calculatedColumnFormula>INDEX(MRFs[MRF_Name],MATCH(MRF1_CostTotal[[#This Row],[MRF_ID]],MRFs[MRF_ID],0))</calculatedColumnFormula>
    </tableColumn>
    <tableColumn id="13" xr3:uid="{F3F1B3F9-603A-40C8-933B-ABE4B81E078A}" name="Inbound_Tons" dataDxfId="269">
      <calculatedColumnFormula>SUMIFS(MRFefficiency[Incoming Tons (all)],MRFefficiency[Scenario_ID],MRF1_CostTotal[[#This Row],[Scenario_ID]],MRFefficiency[MRF_ID],MRF1_CostTotal[[#This Row],[MRF_ID]])</calculatedColumnFormula>
    </tableColumn>
    <tableColumn id="10" xr3:uid="{79FCFDE7-A7D7-4D09-8D05-16119D170C34}" name="ResidualTons" dataDxfId="268">
      <calculatedColumnFormula>SUMIFS(MRFefficiency[Landfilled Residue],MRFefficiency[Scenario_ID],MRF1_CostTotal[[#This Row],[Scenario_ID]],MRFefficiency[MRF_Cost_ID],MRF1_CostTotal[[#This Row],[MRF_ID]])</calculatedColumnFormula>
    </tableColumn>
    <tableColumn id="4" xr3:uid="{77327438-0336-4BAD-B31B-B32540D588D9}" name="MRF_Sort_Maintenance_Labor" dataDxfId="267">
      <calculatedColumnFormula>SUMIFS(MRFLaborProductivity[Scenario_LaborCost],MRFLaborProductivity[Scenario_ID],MRF1_CostTotal[[#This Row],[Scenario_ID]],MRFLaborProductivity[MRF_ID],MRF1_CostTotal[[#This Row],[MRF_ID]])-MRF1_CostTotal[[#This Row],[MRF_AdminMarket]]</calculatedColumnFormula>
    </tableColumn>
    <tableColumn id="5" xr3:uid="{754AFEBA-132C-4343-B54E-8B6737C767EE}" name="MRF_Capital" dataDxfId="266">
      <calculatedColumnFormula>SUMIFS(MRF_CapitalCost[Total_CapitalCost_Annualized],MRF_CapitalCost[Scenario_ID],MRF1_CostTotal[[#This Row],[Scenario_ID]],MRF_CapitalCost[MRF_ID],MRF1_CostTotal[[#This Row],[MRF_ID]])</calculatedColumnFormula>
    </tableColumn>
    <tableColumn id="6" xr3:uid="{F66547E0-E56D-44E5-B460-F1D53535144E}" name="MRF_Facility-Maintenance" dataDxfId="265">
      <calculatedColumnFormula>SUMIFS(OperatingCost_Changes[Cost_Cumulative],OperatingCost_Changes[Scenario_ID],MRF1_CostTotal[[#This Row],[Scenario_ID]],OperatingCost_Changes[MRF_ID],MRF1_CostTotal[[#This Row],[MRF_ID]])</calculatedColumnFormula>
    </tableColumn>
    <tableColumn id="7" xr3:uid="{B0B993EF-E3A2-44E8-8247-A228BF1442DC}" name="MRF_Residual" dataDxfId="264">
      <calculatedColumnFormula>MRF1_CostTotal[[#This Row],[ResidualTons]]*(SUMIFS(LandfillFees[Disposal Tip Fee 2025],LandfillFees[MRF_ID],MRF1_CostTotal[[#This Row],[MRF_ID]])+SUMIFS(LandfillFees[Residual_Transport_Cost_Per_Ton],LandfillFees[MRF_ID],MRF1_CostTotal[[#This Row],[MRF_ID]]))</calculatedColumnFormula>
    </tableColumn>
    <tableColumn id="8" xr3:uid="{B204128D-E274-454F-917F-9A216F0D6E0A}" name="MRF_AdminMarket" dataDxfId="263">
      <calculatedColumnFormula>SUMIFS(MRFLaborProductivity[Scenario_LaborCost],MRFLaborProductivity[Scenario_ID],MRF1_CostTotal[[#This Row],[Scenario_ID]],MRFLaborProductivity[MRF_ID],MRF1_CostTotal[[#This Row],[MRF_ID]],MRFLaborProductivity[LaborType_ID],3)</calculatedColumnFormula>
    </tableColumn>
    <tableColumn id="9" xr3:uid="{16A7B367-5611-4F23-8D50-3D4F581C27DC}" name="MRF_Margin" dataDxfId="262">
      <calculatedColumnFormula>(MRF1_CostTotal[[#This Row],[MRF_Sort_Maintenance_Labor]]+MRF1_CostTotal[[#This Row],[MRF_Capital]]+MRF1_CostTotal[[#This Row],[MRF_Facility-Maintenance]]+MRF1_CostTotal[[#This Row],[MRF_Residual]]+MRF1_CostTotal[[#This Row],[MRF_AdminMarket]])*0.08</calculatedColumnFormula>
    </tableColumn>
    <tableColumn id="11" xr3:uid="{618D13D1-09AA-4D4A-A0C8-0232B2BA44CF}" name="Total" dataDxfId="261">
      <calculatedColumnFormula>SUM(MRF1_CostTotal[[#This Row],[MRF_Sort_Maintenance_Labor]],MRF1_CostTotal[[#This Row],[MRF_Capital]],MRF1_CostTotal[[#This Row],[MRF_Facility-Maintenance]],MRF1_CostTotal[[#This Row],[MRF_Residual]],MRF1_CostTotal[[#This Row],[MRF_AdminMarket]],MRF1_CostTotal[[#This Row],[MRF_Margin]])</calculatedColumnFormula>
    </tableColumn>
    <tableColumn id="12" xr3:uid="{8D3FF74F-E693-466B-8DE3-B731063439B9}" name="Total Per Ton" dataDxfId="260">
      <calculatedColumnFormula>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calculatedColumnFormula>
    </tableColumn>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6F9468E-FCE6-4CE6-A317-B99882E42268}" name="LandfillFees" displayName="LandfillFees" ref="B5:H13" totalsRowShown="0">
  <autoFilter ref="B5:H13" xr:uid="{9FD2CC9B-52A8-4160-B7CA-D2058B6AD93D}"/>
  <tableColumns count="7">
    <tableColumn id="1" xr3:uid="{59037F9B-83F2-41A4-8735-995108FD5001}" name="MRF_ID"/>
    <tableColumn id="2" xr3:uid="{DB4ABF3E-9823-434F-8798-5FE61A155CF1}" name="Landfill Fee 2018" dataDxfId="259" dataCellStyle="Currency"/>
    <tableColumn id="4" xr3:uid="{E000CE5D-1FFD-4CC6-A377-47E4028CF37A}" name="Escalator" dataDxfId="258" dataCellStyle="Currency"/>
    <tableColumn id="3" xr3:uid="{360A3D5F-7D82-4E51-976F-CC0D73164F55}" name="Disposal Tip Fee 2025" dataDxfId="257" dataCellStyle="Input">
      <calculatedColumnFormula>INDEX(Inflation[Escalator],MATCH(LandfillFees[[#This Row],[Escalator]],Inflation[Financial_ID],0))*LandfillFees[[#This Row],[Landfill Fee 2018]]</calculatedColumnFormula>
    </tableColumn>
    <tableColumn id="7" xr3:uid="{A393CCC1-23D1-43FD-954C-A0F7C61520F6}" name="Transp_ID"/>
    <tableColumn id="5" xr3:uid="{8935F274-228F-45B8-8239-AAB282C0A8E9}" name="Residual_Transport_Cost_Per_Ton" dataDxfId="256" dataCellStyle="Calculation">
      <calculatedColumnFormula>SUMIFS(TransUnitCost[Cost per Ton Mile],TransUnitCost[Grouping_ID],1,TransUnitCost[Transp_ID],LandfillFees[[#This Row],[Transp_ID]])*(SUMIFS(TransUnitCost[Miles],TransUnitCost[Grouping_ID],1,TransUnitCost[Transp_ID],LandfillFees[[#This Row],[Transp_ID]]))</calculatedColumnFormula>
    </tableColumn>
    <tableColumn id="6" xr3:uid="{C1F1BD14-380E-49A5-8007-535CB9182F60}" name="Grouping_ID"/>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16EA5EB-3D73-4DC1-9BDF-28F5AFF16245}" name="BalePrices" displayName="BalePrices" ref="C11:H41" totalsRowShown="0" headerRowDxfId="255" dataDxfId="254" tableBorderDxfId="253">
  <autoFilter ref="C11:H41" xr:uid="{15A73C9E-380C-44AE-8274-8B5AD5D00A21}"/>
  <tableColumns count="6">
    <tableColumn id="1" xr3:uid="{E93980A3-6CDB-42C9-BF83-0944765625EB}" name="Bale_ID" dataDxfId="252"/>
    <tableColumn id="2" xr3:uid="{1B4788E4-1AD2-495B-9F8C-0EAFAB142EC7}" name="Bale_Name" dataDxfId="251">
      <calculatedColumnFormula>INDEX(Bales[Bale_Name],MATCH(BalePrices[[#This Row],[Bale_ID]],Bales[Bale_ID],0))</calculatedColumnFormula>
    </tableColumn>
    <tableColumn id="4" xr3:uid="{C6145E34-CDCD-449E-A447-7A0D3ADF085D}" name="Mid-Point" dataDxfId="250">
      <calculatedColumnFormula>AVERAGE(BalePrices[[#This Row],[Low]:[High]])</calculatedColumnFormula>
    </tableColumn>
    <tableColumn id="10" xr3:uid="{5E3EF650-C0C8-4D5B-B9DB-D5E66ECE5D0E}" name="Low" dataDxfId="249"/>
    <tableColumn id="9" xr3:uid="{42D3583B-F586-4206-8151-CC2D9FFE0470}" name="High" dataDxfId="248"/>
    <tableColumn id="11" xr3:uid="{EF49665C-20FF-4430-A6F3-79196B3E537B}" name="Range" dataDxfId="247" dataCellStyle="Percent">
      <calculatedColumnFormula>IFERROR((BalePrices[[#This Row],[High]]-BalePrices[[#This Row],[Low]])/BalePrices[[#This Row],[Mid-Point]],"")</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C000000}" name="ContainerOtherOpsCostPerPickup" displayName="ContainerOtherOpsCostPerPickup" ref="B15:O47" totalsRowShown="0" headerRowDxfId="606" dataDxfId="605">
  <autoFilter ref="B15:O47" xr:uid="{00000000-0009-0000-0100-000023000000}"/>
  <tableColumns count="14">
    <tableColumn id="22" xr3:uid="{00000000-0010-0000-0C00-000016000000}" name="Collection_ID" dataDxfId="604" dataCellStyle="Input">
      <calculatedColumnFormula>ContainerOtherOpsCostPerPickup[[#This Row],[Grouping_ID]]&amp;"-"&amp;ContainerOtherOpsCostPerPickup[[#This Row],[Sector_ID]]&amp;"-"&amp;ContainerOtherOpsCostPerPickup[[#This Row],[Frequency_ID]]&amp;"-"&amp;ContainerOtherOpsCostPerPickup[[#This Row],[SS_or_DS]]</calculatedColumnFormula>
    </tableColumn>
    <tableColumn id="1" xr3:uid="{00000000-0010-0000-0C00-000001000000}" name="Grouping_ID" dataDxfId="603"/>
    <tableColumn id="2" xr3:uid="{00000000-0010-0000-0C00-000002000000}" name="Grouping_Name" dataDxfId="602">
      <calculatedColumnFormula>INDEX(Grouping[Grouping_Name],MATCH(ContainerOtherOpsCostPerPickup[[#This Row],[Grouping_ID]],Grouping[Grouping_ID],0))</calculatedColumnFormula>
    </tableColumn>
    <tableColumn id="4" xr3:uid="{00000000-0010-0000-0C00-000004000000}" name="Sector_ID" dataDxfId="601"/>
    <tableColumn id="5" xr3:uid="{00000000-0010-0000-0C00-000005000000}" name="Sector_Name" dataDxfId="600">
      <calculatedColumnFormula>INDEX(Sector[Sector_Name],MATCH(ContainerOtherOpsCostPerPickup[[#This Row],[Sector_ID]],Sector[Sector_ID],0))</calculatedColumnFormula>
    </tableColumn>
    <tableColumn id="7" xr3:uid="{8F04D17A-2614-4DB2-8A7D-73299D9F1249}" name="SS_or_DS" dataDxfId="599"/>
    <tableColumn id="23" xr3:uid="{00000000-0010-0000-0C00-000017000000}" name="Frequency_ID" dataDxfId="598"/>
    <tableColumn id="3" xr3:uid="{00000000-0010-0000-0C00-000003000000}" name="Collection_Frequency" dataDxfId="597">
      <calculatedColumnFormula>INDEX(Frequency[Collection_Frequency],MATCH(ContainerOtherOpsCostPerPickup[[#This Row],[Frequency_ID]],Frequency[Orig_Frequency_ID],0)+(ContainerOtherOpsCostPerPickup[[#This Row],[SS_or_DS]]="DS")*COUNTA(Frequency[Orig_Frequency_ID])/2)</calculatedColumnFormula>
    </tableColumn>
    <tableColumn id="8" xr3:uid="{00000000-0010-0000-0C00-000008000000}" name="Route_Operations_Per_Lift" dataDxfId="596" dataCellStyle="Input"/>
    <tableColumn id="11" xr3:uid="{00000000-0010-0000-0C00-00000B000000}" name="Other_DirectCosts_Per_Lift" dataDxfId="595" dataCellStyle="Input"/>
    <tableColumn id="20" xr3:uid="{00000000-0010-0000-0C00-000014000000}" name="OtherOps_Cost_Per_Lift" dataDxfId="594" dataCellStyle="Calculation">
      <calculatedColumnFormula>SUM(ContainerOtherOpsCostPerPickup[[#This Row],[Route_Operations_Per_Lift]],ContainerOtherOpsCostPerPickup[[#This Row],[Other_DirectCosts_Per_Lift]])</calculatedColumnFormula>
    </tableColumn>
    <tableColumn id="6" xr3:uid="{00000000-0010-0000-0C00-000006000000}" name="Average_Lifts_Per_Week" dataDxfId="593" dataCellStyle="Linked Cell">
      <calculatedColumnFormula>INDEX(LaborCostPerLift[Average_Lifts_Per_Week],MATCH(ContainerOtherOpsCostPerPickup[[#This Row],[Collection_ID]],LaborCostPerLift[Collection_ID],0))</calculatedColumnFormula>
    </tableColumn>
    <tableColumn id="25" xr3:uid="{00000000-0010-0000-0C00-000019000000}" name="Weeks_Per_Year" dataDxfId="7" dataCellStyle="Linked Cell">
      <calculatedColumnFormula>INDEX(LaborCostPerLift[Weeks_Per_Year],MATCH(ContainerOtherOpsCostPerPickup[[#This Row],[Collection_ID]],LaborCostPerLift[Collection_ID],0))</calculatedColumnFormula>
    </tableColumn>
    <tableColumn id="24" xr3:uid="{00000000-0010-0000-0C00-000018000000}" name="Annual_OtherOps_Cost_Per_Customer" dataDxfId="592" dataCellStyle="Output">
      <calculatedColumnFormula>ContainerOtherOpsCostPerPickup[[#This Row],[OtherOps_Cost_Per_Lift]]*ContainerOtherOpsCostPerPickup[[#This Row],[Average_Lifts_Per_Week]]*ContainerOtherOpsCostPerPickup[[#This Row],[Weeks_Per_Year]]</calculatedColumnFormula>
    </tableColumn>
  </tableColumns>
  <tableStyleInfo name="TableStyleMedium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0960F8D-DE13-40B4-AE2B-22B68750B221}" name="BaleMover" displayName="BaleMover" ref="B13:Y680" totalsRowShown="0">
  <autoFilter ref="B13:Y680" xr:uid="{D614AF55-2B08-4D11-A437-7C2F27691EB3}"/>
  <tableColumns count="24">
    <tableColumn id="5" xr3:uid="{03BE1FA0-6F48-4381-BA12-36AE72017287}" name="Scenario_ID" dataDxfId="246"/>
    <tableColumn id="6" xr3:uid="{E58447C5-31CF-46CA-BC0B-ADFAFA80E588}" name="MRF_ID" dataDxfId="245"/>
    <tableColumn id="8" xr3:uid="{F3672A45-96CB-4791-8EB4-0CA5BD9B68C8}" name="Spacer1" dataDxfId="244"/>
    <tableColumn id="9" xr3:uid="{714C02B0-0613-4A42-BB8E-DD039A42C8E5}" name="Spacer2" dataDxfId="243"/>
    <tableColumn id="4" xr3:uid="{E8982BBE-E046-44E5-8582-D7F9FA4B90D7}" name="MRF_Name" dataDxfId="242"/>
    <tableColumn id="2" xr3:uid="{B1EC4244-17C9-4E50-A2A4-8EC96D0EF2A0}" name="Scenario_MRF_ID" dataDxfId="241"/>
    <tableColumn id="1" xr3:uid="{23BFD3B3-C77A-4700-80CE-AAFAE2312F55}" name="Scenario_MRF_Bale_ID" dataDxfId="240"/>
    <tableColumn id="7" xr3:uid="{0AC98288-829D-4AB9-A9F4-7EEF8A5071CB}" name="Bale_ID" dataDxfId="239"/>
    <tableColumn id="17" xr3:uid="{EEB2FCD0-5CCA-45CB-8099-B05B80686D04}" name="Bale_Name" dataDxfId="238"/>
    <tableColumn id="11" xr3:uid="{6F0E6A0E-27CC-49FC-8C2A-8B992CB847D5}" name="MRF_Location_ID" dataDxfId="237"/>
    <tableColumn id="12" xr3:uid="{EDB6ECBE-5080-46DD-A77F-3DC5841FD24E}" name="Destination_ID" dataDxfId="236"/>
    <tableColumn id="16" xr3:uid="{0A2E20D9-0348-4EE0-B9AA-3A9C2E9BF9DC}" name="MRF_Market_Loc_ID" dataDxfId="235"/>
    <tableColumn id="10" xr3:uid="{389DA330-D4BF-4C62-9CBF-8B825823F921}" name="Market_Loc" dataDxfId="234"/>
    <tableColumn id="13" xr3:uid="{73807406-5C76-4A1C-8F52-4B250EFCE6B1}" name="Total_Baled_tons" dataDxfId="233"/>
    <tableColumn id="14" xr3:uid="{FF00DF4C-5979-4BC1-8EE2-C3BFA4F0B99A}" name="Miles" dataDxfId="232"/>
    <tableColumn id="3" xr3:uid="{0194A023-6F20-466A-93AC-BEEE28349487}" name="Disposition_ID" dataDxfId="231"/>
    <tableColumn id="15" xr3:uid="{86AA1BE2-30B8-49F8-955A-3E787FD7C236}" name="Disposition_Name" dataDxfId="230"/>
    <tableColumn id="18" xr3:uid="{5B4CE316-13B0-41EF-BC3F-D4C3B7D507C1}" name="Spacer3" dataDxfId="229"/>
    <tableColumn id="21" xr3:uid="{F3A84E71-7DF3-4743-A730-0E181B5AA494}" name="Check" dataDxfId="228"/>
    <tableColumn id="19" xr3:uid="{499EAF83-AAA4-47E6-86C0-0F7F4C85D32E}" name="Dupes" dataDxfId="227"/>
    <tableColumn id="20" xr3:uid="{34EEB2C1-4FA6-4AD7-9760-DE7C2EEBDF15}" name="Ton-Miles" dataDxfId="226"/>
    <tableColumn id="22" xr3:uid="{108FEF2C-8B22-4587-8BCD-496BC3AB5F43}" name="BalePrice_Low" dataDxfId="225">
      <calculatedColumnFormula>IF(AND(BaleMover[[#This Row],[Scenario_ID]]="S3",BaleMover[[#This Row],[MRF_ID]]="05"),0,IFERROR(BaleMover[[#This Row],[Total_Baled_tons]]*(IF(BaleMover[[#This Row],[Scenario_ID]]="S0",-2,0)+INDEX(BalePrices[Low],MATCH(BaleMover[[#This Row],[Bale_ID]],BalePrices[Bale_ID],0))),0))</calculatedColumnFormula>
    </tableColumn>
    <tableColumn id="23" xr3:uid="{6C02103C-CEB8-48D0-B6D8-B18A14E16453}" name="BalePrice_Mid" dataDxfId="224">
      <calculatedColumnFormula>IF(AND(BaleMover[[#This Row],[Scenario_ID]]="S3",BaleMover[[#This Row],[MRF_ID]]="05"),0,IFERROR(BaleMover[[#This Row],[Total_Baled_tons]]*(IF(BaleMover[[#This Row],[Scenario_ID]]="S0",-2,0)+INDEX(BalePrices[Mid-Point],MATCH(BaleMover[[#This Row],[Bale_ID]],BalePrices[Bale_ID],0))),0))</calculatedColumnFormula>
    </tableColumn>
    <tableColumn id="24" xr3:uid="{FD8D3160-413F-4C5C-BF1B-9D0445FE3003}" name="BalePrice_High" dataDxfId="223">
      <calculatedColumnFormula>IF(AND(BaleMover[[#This Row],[Scenario_ID]]="S3",BaleMover[[#This Row],[MRF_ID]]="05"),0,IFERROR(BaleMover[[#This Row],[Total_Baled_tons]]*(IF(BaleMover[[#This Row],[Scenario_ID]]="S0",-2,0)+INDEX(BalePrices[High],MATCH(BaleMover[[#This Row],[Bale_ID]],BalePrices[Bale_ID],0))),0))</calculatedColumnFormula>
    </tableColumn>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Inflation" displayName="Inflation" ref="B3:G13" totalsRowShown="0">
  <autoFilter ref="B3:G13" xr:uid="{00000000-0009-0000-0100-000026000000}"/>
  <tableColumns count="6">
    <tableColumn id="4" xr3:uid="{AAEF4D95-83FE-454C-A3A6-773935899E20}" name="Year" dataDxfId="222" dataCellStyle="Normal 2"/>
    <tableColumn id="1" xr3:uid="{00000000-0010-0000-2300-000001000000}" name="Financial_ID" dataDxfId="221" dataCellStyle="Normal 2"/>
    <tableColumn id="2" xr3:uid="{00000000-0010-0000-2300-000002000000}" name="Escalator" dataDxfId="220" dataCellStyle="Input"/>
    <tableColumn id="6" xr3:uid="{D72FD678-279C-4EE5-9594-68338AFD3AF8}" name="Source" dataDxfId="219"/>
    <tableColumn id="5" xr3:uid="{EE87502A-E096-4B82-8F1B-086003D8ACB0}" name="Notes" dataDxfId="218"/>
    <tableColumn id="3" xr3:uid="{1FFECC07-8197-42E4-ADD7-6E5CC1B71851}" name="More Notes" dataDxfId="217"/>
  </tableColumns>
  <tableStyleInfo name="TableStyleLight1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A000000}" name="GroupPop2018" displayName="GroupPop2018" ref="B18:P395" totalsRowShown="0" headerRowDxfId="216" dataDxfId="215">
  <autoFilter ref="B18:P395" xr:uid="{00000000-0009-0000-0100-00000D000000}"/>
  <tableColumns count="15">
    <tableColumn id="1" xr3:uid="{00000000-0010-0000-2A00-000001000000}" name="County" dataDxfId="214"/>
    <tableColumn id="2" xr3:uid="{00000000-0010-0000-2A00-000002000000}" name="Jurisdiction" dataDxfId="213"/>
    <tableColumn id="3" xr3:uid="{00000000-0010-0000-2A00-000003000000}" name="UGB Name" dataDxfId="212"/>
    <tableColumn id="4" xr3:uid="{00000000-0010-0000-2A00-000004000000}" name="Area Type" dataDxfId="211"/>
    <tableColumn id="6" xr3:uid="{00000000-0010-0000-2A00-000006000000}" name="Jurisdiction - Orig" dataDxfId="210"/>
    <tableColumn id="7" xr3:uid="{00000000-0010-0000-2A00-000007000000}" name="FreqCode" dataDxfId="209"/>
    <tableColumn id="8" xr3:uid="{00000000-0010-0000-2A00-000008000000}" name="Required" dataDxfId="208"/>
    <tableColumn id="9" xr3:uid="{00000000-0010-0000-2A00-000009000000}" name="Pop2018" dataDxfId="207" dataCellStyle="Comma"/>
    <tableColumn id="10" xr3:uid="{00000000-0010-0000-2A00-00000A000000}" name="Group" dataDxfId="206"/>
    <tableColumn id="11" xr3:uid="{00000000-0010-0000-2A00-00000B000000}" name="Duplicates" dataDxfId="205">
      <calculatedColumnFormula>COUNTIFS($B$1:$B$16,C19,$D$1:$D$16,E19)</calculatedColumnFormula>
    </tableColumn>
    <tableColumn id="12" xr3:uid="{00000000-0010-0000-2A00-00000C000000}" name="GroupName" dataDxfId="204">
      <calculatedColumnFormula>IFERROR(VLOOKUP(GroupPop2018[[#This Row],[Group]],Grouping[#All],2,0),"Unknown")</calculatedColumnFormula>
    </tableColumn>
    <tableColumn id="5" xr3:uid="{00000000-0010-0000-2A00-000005000000}" name="FreqName" dataDxfId="203">
      <calculatedColumnFormula>INDEX(Frequency[Collection_Frequency],MATCH(GroupPop2018[[#This Row],[FreqCode]],Frequency[Orig_Frequency_ID],0))</calculatedColumnFormula>
    </tableColumn>
    <tableColumn id="13" xr3:uid="{00000000-0010-0000-2A00-00000D000000}" name="Where Does It MRF?" dataDxfId="202">
      <calculatedColumnFormula>IF(GroupPop2018[[#This Row],[Group]]=1,"Metro",IF(GroupPop2018[[#This Row],[Group]]=4,"Nowhere",IF(GroupPop2018[[#This Row],[Group]]=3,"Remote",IF(GroupPop2018[[#This Row],[County]]="Marion","Marion County","Transported to Metro"))))</calculatedColumnFormula>
    </tableColumn>
    <tableColumn id="14" xr3:uid="{00000000-0010-0000-2A00-00000E000000}" name="new1Mod2" dataDxfId="201"/>
    <tableColumn id="15" xr3:uid="{00000000-0010-0000-2A00-00000F000000}" name="Pop2025" dataDxfId="200" dataCellStyle="Calculation">
      <calculatedColumnFormula>GroupPop2018[[#This Row],[Pop2018]]*(1+SUMIFS(Growth[GrowthRate],Growth[Grouping_ID],GroupPop2018[[#This Row],[Group]]))</calculatedColumnFormula>
    </tableColumn>
  </tableColumns>
  <tableStyleInfo name="TableStyleMedium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29000000}" name="Growth" displayName="Growth" ref="K6:O10" headerRowDxfId="199" dataDxfId="198" totalsRowDxfId="197">
  <autoFilter ref="K6:O10" xr:uid="{00000000-0009-0000-0100-000039000000}"/>
  <tableColumns count="5">
    <tableColumn id="1" xr3:uid="{00000000-0010-0000-2900-000001000000}" name="Grouping_ID" totalsRowLabel="Total" dataDxfId="196"/>
    <tableColumn id="2" xr3:uid="{00000000-0010-0000-2900-000002000000}" name="Grouping_Name" dataDxfId="195">
      <calculatedColumnFormula>INDEX(Grouping[Grouping_Name],MATCH(Growth[[#This Row],[Grouping_ID]],Grouping[Grouping_ID],0))</calculatedColumnFormula>
    </tableColumn>
    <tableColumn id="7" xr3:uid="{00000000-0010-0000-2900-000007000000}" name="Pop2018" totalsRowFunction="sum" dataDxfId="194" totalsRowDxfId="193" dataCellStyle="Comma"/>
    <tableColumn id="3" xr3:uid="{00000000-0010-0000-2900-000003000000}" name="Pop2025" dataDxfId="192" totalsRowDxfId="191" dataCellStyle="Comma"/>
    <tableColumn id="4" xr3:uid="{00000000-0010-0000-2900-000004000000}" name="GrowthRate" dataDxfId="190" totalsRowDxfId="189" dataCellStyle="Percent">
      <calculatedColumnFormula>(Growth[[#This Row],[Pop2025]]-Growth[[#This Row],[Pop2018]])/Growth[[#This Row],[Pop2018]]</calculatedColumnFormula>
    </tableColumn>
  </tableColumns>
  <tableStyleInfo name="TableStyleLight10"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2B000000}" name="Sector" displayName="Sector" ref="F3:H9" totalsRowShown="0" headerRowDxfId="188" dataDxfId="187">
  <autoFilter ref="F3:H9" xr:uid="{00000000-0009-0000-0100-000001000000}"/>
  <tableColumns count="3">
    <tableColumn id="1" xr3:uid="{00000000-0010-0000-2B00-000001000000}" name="Sector_ID" dataDxfId="186"/>
    <tableColumn id="2" xr3:uid="{00000000-0010-0000-2B00-000002000000}" name="Sector_Name" dataDxfId="185"/>
    <tableColumn id="3" xr3:uid="{CB8D2ED6-E8C9-4171-9B55-C2531E0622ED}" name="StartingSector_ID" dataDxfId="184"/>
  </tableColumns>
  <tableStyleInfo name="TableStyleMedium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2C000000}" name="Grouping" displayName="Grouping" ref="B3:D11" totalsRowShown="0" headerRowDxfId="183" dataDxfId="182">
  <autoFilter ref="B3:D11" xr:uid="{00000000-0009-0000-0100-000002000000}"/>
  <tableColumns count="3">
    <tableColumn id="1" xr3:uid="{00000000-0010-0000-2C00-000001000000}" name="Grouping_ID" dataDxfId="181"/>
    <tableColumn id="2" xr3:uid="{00000000-0010-0000-2C00-000002000000}" name="Grouping_Name" dataDxfId="180"/>
    <tableColumn id="3" xr3:uid="{7EF02D0E-456F-4863-A541-66BB8E665EAC}" name="StartingGrouping_ID" dataDxfId="179"/>
  </tableColumns>
  <tableStyleInfo name="TableStyleMedium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30000000}" name="Class" displayName="Class" ref="O3:P11" totalsRowShown="0" headerRowDxfId="178" dataDxfId="177">
  <autoFilter ref="O3:P11" xr:uid="{00000000-0009-0000-0100-000006000000}"/>
  <tableColumns count="2">
    <tableColumn id="10" xr3:uid="{00000000-0010-0000-3000-00000A000000}" name="Class_ID" dataDxfId="176"/>
    <tableColumn id="2" xr3:uid="{00000000-0010-0000-3000-000002000000}" name="Class_Name" dataDxfId="175"/>
  </tableColumns>
  <tableStyleInfo name="TableStyleMedium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32000000}" name="Bales" displayName="Bales" ref="AQ3:AT78" totalsRowShown="0" headerRowDxfId="174" dataDxfId="173">
  <autoFilter ref="AQ3:AT78" xr:uid="{00000000-0009-0000-0100-000008000000}"/>
  <tableColumns count="4">
    <tableColumn id="1" xr3:uid="{00000000-0010-0000-3200-000001000000}" name="Bale_ID" dataDxfId="172"/>
    <tableColumn id="3" xr3:uid="{EEDCA122-B1FF-4AB7-8320-D7F69EEB8E4D}" name="Bale_Order" dataDxfId="171"/>
    <tableColumn id="2" xr3:uid="{00000000-0010-0000-3200-000002000000}" name="Bale_Name" dataDxfId="170"/>
    <tableColumn id="4" xr3:uid="{125C490C-5E1F-434E-99F5-A49D65F4E7A3}" name="Bale_Type" dataDxfId="169"/>
  </tableColumns>
  <tableStyleInfo name="TableStyleMedium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33000000}" name="ConsTransp" displayName="ConsTransp" ref="AK3:AL28" totalsRowShown="0" headerRowDxfId="168" dataDxfId="167">
  <autoFilter ref="AK3:AL28" xr:uid="{00000000-0009-0000-0100-000009000000}"/>
  <tableColumns count="2">
    <tableColumn id="1" xr3:uid="{00000000-0010-0000-3300-000001000000}" name="Transp_ID" dataDxfId="166"/>
    <tableColumn id="2" xr3:uid="{00000000-0010-0000-3300-000002000000}" name="Transp_Name" dataDxfId="165"/>
  </tableColumns>
  <tableStyleInfo name="TableStyleMedium4"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34000000}" name="MRFs" displayName="MRFs" ref="AN3:AO28" totalsRowShown="0" headerRowDxfId="164" dataDxfId="163">
  <autoFilter ref="AN3:AO28" xr:uid="{00000000-0009-0000-0100-00000A000000}"/>
  <tableColumns count="2">
    <tableColumn id="1" xr3:uid="{00000000-0010-0000-3400-000001000000}" name="MRF_ID" dataDxfId="162"/>
    <tableColumn id="2" xr3:uid="{00000000-0010-0000-3400-000002000000}" name="MRF_Name" dataDxfId="161"/>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9000000}" name="ContainerMarginAdmin" displayName="ContainerMarginAdmin" ref="B15:O47" totalsRowShown="0" headerRowDxfId="591" dataDxfId="590">
  <autoFilter ref="B15:O47" xr:uid="{00000000-0009-0000-0100-00001F000000}"/>
  <tableColumns count="14">
    <tableColumn id="21" xr3:uid="{00000000-0010-0000-0900-000015000000}" name="Collection_ID" dataDxfId="589">
      <calculatedColumnFormula>ContainerMarginAdmin[[#This Row],[Grouping_ID]]&amp;"-"&amp;ContainerMarginAdmin[[#This Row],[Sector_ID]]&amp;"-"&amp;ContainerMarginAdmin[[#This Row],[Frequency_ID]]&amp;"-"&amp;ContainerMarginAdmin[[#This Row],[SS_or_DS]]</calculatedColumnFormula>
    </tableColumn>
    <tableColumn id="1" xr3:uid="{00000000-0010-0000-0900-000001000000}" name="Grouping_ID" dataDxfId="588"/>
    <tableColumn id="2" xr3:uid="{00000000-0010-0000-0900-000002000000}" name="Grouping_Name" dataDxfId="587">
      <calculatedColumnFormula>INDEX(Grouping[Grouping_Name],MATCH(ContainerMarginAdmin[[#This Row],[Grouping_ID]],Grouping[Grouping_ID],0))</calculatedColumnFormula>
    </tableColumn>
    <tableColumn id="4" xr3:uid="{00000000-0010-0000-0900-000004000000}" name="Sector_ID" dataDxfId="586"/>
    <tableColumn id="5" xr3:uid="{00000000-0010-0000-0900-000005000000}" name="Sector_Name" dataDxfId="585">
      <calculatedColumnFormula>INDEX(Sector[Sector_Name],MATCH(ContainerMarginAdmin[[#This Row],[Sector_ID]],Sector[Sector_ID],0))</calculatedColumnFormula>
    </tableColumn>
    <tableColumn id="6" xr3:uid="{3018565E-A2D9-46C1-BDC7-E1A89D675983}" name="SS_or_DS" dataDxfId="584"/>
    <tableColumn id="22" xr3:uid="{00000000-0010-0000-0900-000016000000}" name="Frequency_ID" dataDxfId="583"/>
    <tableColumn id="3" xr3:uid="{00000000-0010-0000-0900-000003000000}" name="Collection_Frequency" dataDxfId="582">
      <calculatedColumnFormula>INDEX(Frequency[Collection_Frequency],MATCH(ContainerMarginAdmin[[#This Row],[Frequency_ID]],Frequency[Orig_Frequency_ID],0)+(ContainerMarginAdmin[[#This Row],[SS_or_DS]]="DS")*COUNTA(Frequency[Orig_Frequency_ID])/2)</calculatedColumnFormula>
    </tableColumn>
    <tableColumn id="7" xr3:uid="{133EE89E-DB6A-4445-92B7-C4D666C95810}" name="Direct_Costs" dataDxfId="581">
      <calculatedColumnFormula>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calculatedColumnFormula>
    </tableColumn>
    <tableColumn id="13" xr3:uid="{00000000-0010-0000-0900-00000D000000}" name="Margin_FranchiseFee_Rate" dataDxfId="580" dataCellStyle="Input"/>
    <tableColumn id="20" xr3:uid="{00000000-0010-0000-0900-000014000000}" name="Annual_Margin_FranchiseFee_PerCustomer" dataDxfId="579" dataCellStyle="Calculation">
      <calculatedColumnFormula>ContainerMarginAdmin[[#This Row],[Direct_Costs]]*(ContainerMarginAdmin[[#This Row],[Margin_FranchiseFee_Rate]]/(1-ContainerMarginAdmin[[#This Row],[Margin_FranchiseFee_Rate]]))</calculatedColumnFormula>
    </tableColumn>
    <tableColumn id="14" xr3:uid="{00000000-0010-0000-0900-00000E000000}" name="Annual_Admin_Per_Customer" dataDxfId="578" dataCellStyle="Input"/>
    <tableColumn id="18" xr3:uid="{00000000-0010-0000-0900-000012000000}" name="Annual_Engagement_Per_Customer" dataDxfId="577" dataCellStyle="Currency"/>
    <tableColumn id="23" xr3:uid="{00000000-0010-0000-0900-000017000000}" name="Annual_Indirect_Cost_Per_Customer" dataDxfId="576" dataCellStyle="Output">
      <calculatedColumnFormula>SUM(ContainerMarginAdmin[[#This Row],[Annual_Margin_FranchiseFee_PerCustomer]:[Annual_Engagement_Per_Customer]])</calculatedColumnFormula>
    </tableColumn>
  </tableColumns>
  <tableStyleInfo name="TableStyleMedium2"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35000000}" name="Frequency" displayName="Frequency" ref="J3:M19" totalsRowShown="0" headerRowDxfId="160" dataDxfId="159">
  <autoFilter ref="J3:M19" xr:uid="{00000000-0009-0000-0100-000010000000}"/>
  <tableColumns count="4">
    <tableColumn id="1" xr3:uid="{00000000-0010-0000-3500-000001000000}" name="Orig_Frequency_ID" dataDxfId="158"/>
    <tableColumn id="2" xr3:uid="{00000000-0010-0000-3500-000002000000}" name="Collection_Frequency" dataDxfId="157"/>
    <tableColumn id="5" xr3:uid="{C6CECFF4-E77D-4893-AFE1-5F8D05D9CA58}" name="SS_or_DS" dataDxfId="156"/>
    <tableColumn id="3" xr3:uid="{00000000-0010-0000-3500-000003000000}" name="Pickups_Per_Year" dataDxfId="155"/>
  </tableColumns>
  <tableStyleInfo name="TableStyleMedium4"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405F1-9F97-4FBA-8BAE-7FE17B35D658}" name="SubMaterial" displayName="SubMaterial" ref="X3:AD53" totalsRowShown="0" headerRowDxfId="154" dataDxfId="153">
  <autoFilter ref="X3:AD53" xr:uid="{B8C2D5A1-AABD-47D8-819D-78E9616073DC}"/>
  <tableColumns count="7">
    <tableColumn id="1" xr3:uid="{00986F9F-8743-494D-BC27-DC5799A273BB}" name="SubMaterial_ID" dataDxfId="152"/>
    <tableColumn id="5" xr3:uid="{C574CE9A-8B4F-4C0E-96A2-2796C198F0A2}" name="SubMaterial_Name" dataDxfId="151"/>
    <tableColumn id="3" xr3:uid="{A810D10E-0B02-420A-8E58-D0A09460E389}" name="Reporting_ID" dataDxfId="150">
      <calculatedColumnFormula>SubMaterial[[#This Row],[SubMaterial_ID]]</calculatedColumnFormula>
    </tableColumn>
    <tableColumn id="2" xr3:uid="{DEBDA41B-AF6D-42D6-B11B-D90D123B4F32}" name="Reporting_Name" dataDxfId="149">
      <calculatedColumnFormula>IFERROR(INDEX(Class[Class_Name],MATCH(SubMaterial[[#This Row],[Reporting_ID]],Class[Class_ID],0)),SubMaterial[[#This Row],[SubMaterial_Name]])</calculatedColumnFormula>
    </tableColumn>
    <tableColumn id="4" xr3:uid="{6428D064-B663-4E26-9B36-FFC02E18FB8A}" name="DEQWICMat_ID" dataDxfId="148"/>
    <tableColumn id="6" xr3:uid="{377DD6A5-BF98-4D50-A2D0-63E88F8490A1}" name="DEQWICMat_Name" dataDxfId="147">
      <calculatedColumnFormula>IFERROR(INDEX(DEQ_WIC_Matl[DEQWICMat_Name],MATCH(SubMaterial[[#This Row],[DEQWICMat_ID]],DEQ_WIC_Matl[DEQWICMat_ID],0)),"TBD")</calculatedColumnFormula>
    </tableColumn>
    <tableColumn id="7" xr3:uid="{BBF8CF8D-62EB-4263-BD2C-3B4A241D644B}" name="ScenDef_Matl" dataDxfId="146"/>
  </tableColumns>
  <tableStyleInfo name="TableStyleMedium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A63728-FB4C-43AC-B279-453B9DC166F2}" name="DEQ_WIC_Matl" displayName="DEQ_WIC_Matl" ref="U3:V31" totalsRowShown="0" headerRowDxfId="145" dataDxfId="144">
  <autoFilter ref="U3:V31" xr:uid="{AED6D2CD-AFB6-4F91-834F-6D6E86DE2409}"/>
  <tableColumns count="2">
    <tableColumn id="1" xr3:uid="{9B3D2692-7723-4CC6-85EB-7E58D2B55CB8}" name="DEQWICMat_ID" dataDxfId="143"/>
    <tableColumn id="4" xr3:uid="{C226FB90-2B11-49F7-995A-DC7BCA75ED9D}" name="DEQWICMat_Name" dataDxfId="142"/>
  </tableColumns>
  <tableStyleInfo name="TableStyleMedium4"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56188B-998D-4F7D-B97D-7BE5B9B515E4}" name="zzNoUseSubClass" displayName="zzNoUseSubClass" ref="R3:S19" totalsRowShown="0" headerRowDxfId="141" dataDxfId="140">
  <autoFilter ref="R3:S19" xr:uid="{46541823-514C-425C-98B6-B7647B2BD731}"/>
  <tableColumns count="2">
    <tableColumn id="9" xr3:uid="{4150AD1B-5573-4EA8-B91B-2E63320D8DDA}" name="SubClass_ID" dataDxfId="139"/>
    <tableColumn id="3" xr3:uid="{FAFCB8DD-AAE2-4C44-AE6C-D1FFFDE72A48}" name="SubClass_Name" dataDxfId="138"/>
  </tableColumns>
  <tableStyleInfo name="TableStyleMedium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E49111-9083-4807-8022-A01F6D3A8F1F}" name="CollectionStream" displayName="CollectionStream" ref="AF3:AH28" totalsRowShown="0" headerRowDxfId="137" dataDxfId="136">
  <autoFilter ref="AF3:AH28" xr:uid="{2C4D9D05-3779-49F7-8AD3-71269090E2E3}"/>
  <tableColumns count="3">
    <tableColumn id="1" xr3:uid="{06348B5C-C73E-4176-A5A4-44C385A08C2A}" name="CollectionStream_ID" dataDxfId="135"/>
    <tableColumn id="2" xr3:uid="{6E3FFBA9-A216-473C-996F-71B9C0F569F9}" name="CollectionStream_Name" dataDxfId="134"/>
    <tableColumn id="3" xr3:uid="{3603D000-8FA9-4B92-92C2-CEA411B34D16}" name="StartingStream_ID" dataDxfId="133"/>
  </tableColumns>
  <tableStyleInfo name="TableStyleMedium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600E090-47E2-4793-8173-F98F460C3F4C}" name="Scenarios" displayName="Scenarios" ref="AV3:AW8" totalsRowShown="0" headerRowDxfId="132" dataDxfId="131">
  <autoFilter ref="AV3:AW8" xr:uid="{B0C4C59A-9C06-4409-AF39-597EDD8D07CB}"/>
  <tableColumns count="2">
    <tableColumn id="1" xr3:uid="{E5DBBCDC-B8F0-4342-991C-EC4604CEB9DA}" name="Scenario_ID" dataDxfId="130"/>
    <tableColumn id="2" xr3:uid="{5170C176-1881-487C-95C9-306CADE5D40E}" name="Scenario_Name" dataDxfId="129"/>
  </tableColumns>
  <tableStyleInfo name="TableStyleMedium4"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6D815EB-9B8E-45A8-B76C-9FA39E27B6AD}" name="WIC_Disposition" displayName="WIC_Disposition" ref="AY3:AZ12" totalsRowShown="0">
  <autoFilter ref="AY3:AZ12" xr:uid="{CD8B5744-7E7A-492B-AAAD-3F3E664EFFC7}"/>
  <tableColumns count="2">
    <tableColumn id="1" xr3:uid="{87EE92E5-E9C9-43E1-BFE0-9C971ED647AE}" name="WIC_Disposition_ID"/>
    <tableColumn id="2" xr3:uid="{999DC4FF-76FD-48C0-B713-51A58F531EFE}" name="WIC_Disposition_Name"/>
  </tableColumns>
  <tableStyleInfo name="TableStyleMedium4"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9DC4BA9-C644-460B-A93C-F621D2E70B38}" name="DepotTons" displayName="DepotTons" ref="B9:I29" totalsRowShown="0" headerRowDxfId="128">
  <autoFilter ref="B9:I29" xr:uid="{4E540B6B-F3E9-46FF-A26C-BAFD9B601314}"/>
  <tableColumns count="8">
    <tableColumn id="12" xr3:uid="{17BB9420-0138-441C-951D-4727BB5147E6}" name="Scenario_ID"/>
    <tableColumn id="16" xr3:uid="{99B19A8F-057D-48B9-AC4B-7D7F4644D4CF}" name="ScenarioColumn" dataDxfId="127">
      <calculatedColumnFormula>DepotTons[[#This Row],[Scenario_ID]]&amp;"tons"</calculatedColumnFormula>
    </tableColumn>
    <tableColumn id="1" xr3:uid="{93CC1531-1F99-44AA-8D8C-A3D8CB872774}" name="Collection_ID" dataDxfId="126">
      <calculatedColumnFormula>_xlfn.CONCAT(DepotTons[[#This Row],[Grouping_ID]],"-",DepotTons[[#This Row],[Sector_ID]])</calculatedColumnFormula>
    </tableColumn>
    <tableColumn id="11" xr3:uid="{96215A0B-AA24-433D-B0F4-237ADF7D3CC9}" name="Grouping_ID"/>
    <tableColumn id="9" xr3:uid="{0EAEBA10-09D4-492D-A829-311DACB492E5}" name="Sector_ID"/>
    <tableColumn id="2" xr3:uid="{1FEEEE00-3401-43D1-919E-5DE7AC8DA38F}" name="Tons_Excluding_Scrap_Metal" dataDxfId="125">
      <calculatedColumnFormula>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calculatedColumnFormula>
    </tableColumn>
    <tableColumn id="3" xr3:uid="{DFFBE334-37E0-4732-BE51-52D16F2E05FB}" name="Scrap_Metal_Tons" dataDxfId="124">
      <calculatedColumnFormula>SUMIFS(INDEX(CaptureRate[#Data],,MATCH(DepotTons[[#This Row],[ScenarioColumn]],CaptureRate[#Headers],0)),CaptureRate[Group-Sector_ID],DepotTons[[#This Row],[Collection_ID]],CaptureRate[StartingStream_ID],"11")</calculatedColumnFormula>
    </tableColumn>
    <tableColumn id="4" xr3:uid="{CF6E9D38-3200-414F-81CE-17CF9CA7180F}" name="PS_Foam_Tons" dataDxfId="123">
      <calculatedColumnFormula>SUMIFS(INDEX(CaptureRate[#Data],,MATCH(DepotTons[[#This Row],[ScenarioColumn]],CaptureRate[#Headers],0)),CaptureRate[Group-Sector_ID],DepotTons[[#This Row],[Collection_ID]],CaptureRate[StartingStream_ID],"12",CaptureRate[SubMaterial_ID],"2222")</calculatedColumnFormula>
    </tableColumn>
  </tableColumns>
  <tableStyleInfo name="TableStyleLight10"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F307384-9D33-4086-8000-81CAF1D5A3CD}" name="CaptureRate" displayName="CaptureRate" ref="B14:AW4010" totalsRowShown="0">
  <autoFilter ref="B14:AW4010" xr:uid="{C2C05CFA-74D2-4010-83E3-4C915685A8F7}"/>
  <tableColumns count="48">
    <tableColumn id="23" xr3:uid="{F4FAC0BB-4060-4F4F-AEDD-9BA04ED47941}" name="Generation_ID" dataDxfId="122" dataCellStyle="Normal 2"/>
    <tableColumn id="24" xr3:uid="{D77E3E51-70D2-453C-A36D-EBEEB65B79A0}" name="Reporting_ID" dataDxfId="121" dataCellStyle="Normal 2"/>
    <tableColumn id="25" xr3:uid="{65669F36-9B75-4360-BC56-6472088AF12C}" name="Group-Sector-Stream_ID" dataDxfId="120" dataCellStyle="Normal 2"/>
    <tableColumn id="30" xr3:uid="{D3A6ECA5-C727-41DC-A704-C99438F6008B}" name="Group-Sector_ID" dataDxfId="119" dataCellStyle="Normal 2"/>
    <tableColumn id="1" xr3:uid="{56EC630D-9CE8-4E83-B65D-97A7EDAD6735}" name="Grouping_ID" dataDxfId="118" dataCellStyle="Normal 2"/>
    <tableColumn id="2" xr3:uid="{8E904464-CEC2-45D8-8B61-7A1CCE0BAC48}" name="Sector_ID" dataDxfId="117" dataCellStyle="Normal 2"/>
    <tableColumn id="3" xr3:uid="{4967F103-0371-4C29-916D-4742392A1BCE}" name="CollectionStream_ID" dataDxfId="116" dataCellStyle="Normal 2"/>
    <tableColumn id="21" xr3:uid="{540021C8-E05B-4D61-8D6D-15A15800546E}" name="CollectionStream_Name" dataDxfId="115" dataCellStyle="Normal 2"/>
    <tableColumn id="36" xr3:uid="{BD5B379A-D218-462D-87C6-D264A4AC3873}" name="StartingStream_ID" dataDxfId="114" dataCellStyle="Normal 2"/>
    <tableColumn id="28" xr3:uid="{4FA4CE02-EB0B-4FD7-993B-49C4D92BEDE9}" name="StartingSector_ID" dataDxfId="113" dataCellStyle="Normal 2"/>
    <tableColumn id="26" xr3:uid="{EC786FAC-EB90-4289-BE5A-BF3BF79C5C00}" name="Spacer" dataDxfId="112" dataCellStyle="Normal 2"/>
    <tableColumn id="29" xr3:uid="{DB7DF127-20C4-453E-AE12-6616F4F73906}" name="Reporting_ID2" dataDxfId="111"/>
    <tableColumn id="27" xr3:uid="{D51089F6-ED38-41CF-A2CF-4501D09BD061}" name="Class_Name" dataDxfId="110"/>
    <tableColumn id="4" xr3:uid="{7B1F2BF8-420E-45D0-9FEE-4010D5B0B7DA}" name="SubMaterial_ID" dataDxfId="109" dataCellStyle="Normal 2"/>
    <tableColumn id="22" xr3:uid="{67F80416-49DA-4A48-8F38-09FC66926F7E}" name="SubMaterial_Name" dataDxfId="108" dataCellStyle="Normal 2"/>
    <tableColumn id="5" xr3:uid="{DCFD9EEF-AFBA-4B1E-8BD9-BE2FACB6696A}" name="Validity" dataDxfId="107" dataCellStyle="Normal 2"/>
    <tableColumn id="31" xr3:uid="{0DFED84F-0E72-4200-AAEF-EF52CA361582}" name="ProxySubMaterial_ID" dataDxfId="106" dataCellStyle="Normal 2"/>
    <tableColumn id="35" xr3:uid="{7E438959-D640-4A04-9B3C-ABE0E59E229E}" name="Proxy1" dataDxfId="105" dataCellStyle="Normal 2"/>
    <tableColumn id="34" xr3:uid="{6E126EC7-D40C-4BBC-8450-7EA54E3D1850}" name="Proxy1Pct" dataDxfId="104" dataCellStyle="Percent"/>
    <tableColumn id="33" xr3:uid="{45C50D55-EEFC-46BA-B5B5-18F099D4B225}" name="Proxy2" dataDxfId="103" dataCellStyle="Normal 2"/>
    <tableColumn id="32" xr3:uid="{57161E80-9988-46CB-9524-3C92CA0983F4}" name="Proxy2pct" dataDxfId="102" dataCellStyle="Normal 2"/>
    <tableColumn id="39" xr3:uid="{66F10525-FB14-45EC-BD84-0AFAE85350EF}" name="Acc-S1" dataDxfId="101" dataCellStyle="Normal 2"/>
    <tableColumn id="38" xr3:uid="{D2CDF803-22AF-4FD1-8777-AB11AE0196EF}" name="Acc-S2S3" dataDxfId="100" dataCellStyle="Normal 2"/>
    <tableColumn id="37" xr3:uid="{85B4C1E8-9D35-4789-AC19-E9DFB7527541}" name="Acc-S4" dataDxfId="99" dataCellStyle="Normal 2"/>
    <tableColumn id="46" xr3:uid="{2371A447-65A5-4EA1-8E73-4058C36A4A78}" name="Acc-S5" dataDxfId="98" dataCellStyle="Normal 2"/>
    <tableColumn id="47" xr3:uid="{4FFBCF6A-63E8-4D62-A522-E3D9B9C9ECFF}" name="Acc-S6" dataDxfId="97" dataCellStyle="Normal 2"/>
    <tableColumn id="11" xr3:uid="{25D278E9-BCF5-4A20-ABB9-B580005CA28F}" name="S0tons" dataDxfId="96" dataCellStyle="20% - Accent3"/>
    <tableColumn id="6" xr3:uid="{00DAE776-805F-4647-8DA2-CE38212B4976}" name="S0pctCap" dataDxfId="95" dataCellStyle="Percent"/>
    <tableColumn id="16" xr3:uid="{636DD36A-0273-4E58-8821-C97273EA2433}" name="S0pctComp" dataDxfId="94" dataCellStyle="Percent"/>
    <tableColumn id="12" xr3:uid="{C96A2456-8268-4249-B32D-755CD59CF547}" name="S1tons" dataDxfId="93" dataCellStyle="Percent"/>
    <tableColumn id="7" xr3:uid="{4310E277-7BE0-42E6-A936-03CFA413A35C}" name="S1pctCap" dataDxfId="92"/>
    <tableColumn id="17" xr3:uid="{B2DCAB64-E0EC-4C9C-856E-69C9DFAE5FDC}" name="S1pctComp" dataDxfId="91" dataCellStyle="Percent"/>
    <tableColumn id="13" xr3:uid="{F7AD6120-C273-4A2F-842B-5B4626E11A30}" name="S2tons" dataDxfId="90" dataCellStyle="Percent"/>
    <tableColumn id="8" xr3:uid="{C4E69123-2FD6-4FBE-86FC-C4A73FCF0D3A}" name="S2pctCap" dataDxfId="89" dataCellStyle="Percent"/>
    <tableColumn id="18" xr3:uid="{CFE68C93-B737-4F7D-9412-C185ED42CEA9}" name="S2pctComp" dataDxfId="88" dataCellStyle="Percent"/>
    <tableColumn id="14" xr3:uid="{083C79E4-F2C3-4580-9847-73F79A76F749}" name="S3tons" dataDxfId="87" dataCellStyle="Percent"/>
    <tableColumn id="9" xr3:uid="{03DF7EA0-DD27-4A70-8074-7492FD75CCEA}" name="S3pctCap" dataDxfId="86" dataCellStyle="Percent"/>
    <tableColumn id="19" xr3:uid="{1E1C2F1F-82AC-488F-9547-0647645313C7}" name="S3pctComp" dataDxfId="85" dataCellStyle="Percent"/>
    <tableColumn id="15" xr3:uid="{8EE9E615-C343-45C8-A866-2AFB58BB8848}" name="S4tons" dataDxfId="84" dataCellStyle="Percent"/>
    <tableColumn id="10" xr3:uid="{8CF675F9-C4FD-409B-9354-CA7679BF2CB0}" name="S4pctCap" dataDxfId="83"/>
    <tableColumn id="20" xr3:uid="{CDE47DB9-73BB-472A-99DE-8F32496B97D0}" name="S4pctComp" dataDxfId="82" dataCellStyle="Percent"/>
    <tableColumn id="40" xr3:uid="{069BC6CA-AFAC-4779-8B0B-4CFE06ADCFB5}" name="S5tons"/>
    <tableColumn id="41" xr3:uid="{95E6331F-9C2F-46BB-8F45-030C14957E9C}" name="S5pctCap"/>
    <tableColumn id="42" xr3:uid="{4A534070-B4F9-43B9-971C-33B80372411C}" name="S5pctComp"/>
    <tableColumn id="43" xr3:uid="{1609BBEF-EE42-40FB-8DA5-D10F80EDD478}" name="S6tons"/>
    <tableColumn id="44" xr3:uid="{6360D056-F474-4137-9CBE-D8FB71785C48}" name="S6pctCap"/>
    <tableColumn id="45" xr3:uid="{2D5A3021-C94B-4D81-A461-09A294AFC5A6}" name="S6pctComp"/>
    <tableColumn id="48" xr3:uid="{9E88D144-5C58-440F-BFFE-E3934416F502}" name="IN-SCOPE" dataDxfId="81"/>
  </tableColumns>
  <tableStyleInfo name="TableStyleLight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210BD86-14D5-4F87-BA0D-7C343848284E}" name="MRFefficiency" displayName="MRFefficiency" ref="C7:Q46" totalsRowShown="0">
  <autoFilter ref="C7:Q46" xr:uid="{83381FDC-9A4E-422A-A4FA-B23B14D97C36}">
    <filterColumn colId="1">
      <filters>
        <filter val="06"/>
        <filter val="07"/>
      </filters>
    </filterColumn>
  </autoFilter>
  <tableColumns count="15">
    <tableColumn id="3" xr3:uid="{58F39160-D189-46FB-AD5A-98BE14F2A7E0}" name="Scenario_ID" dataDxfId="80"/>
    <tableColumn id="4" xr3:uid="{8ADC65C2-AEC2-4CEF-88F8-BAFED13ACC30}" name="MRF_ID" dataDxfId="79"/>
    <tableColumn id="2" xr3:uid="{EB7261E5-CF10-4A56-820A-5A9BBF421F43}" name="CollectionStream_ID" dataDxfId="78"/>
    <tableColumn id="1" xr3:uid="{26E00D19-E535-4287-A46B-484F1A5B7568}" name="MRF_Cost_ID" dataDxfId="77"/>
    <tableColumn id="5" xr3:uid="{060836C4-94CF-435E-A195-7FE1E4B804DC}" name="MRF_Name" dataDxfId="76"/>
    <tableColumn id="6" xr3:uid="{DA063191-666D-4B17-956E-140D69669FCB}" name="CollectionStream_Name" dataDxfId="75"/>
    <tableColumn id="7" xr3:uid="{92693061-8265-4564-9CCA-0ACDCA1AA216}" name="Incoming Tons (all)" dataDxfId="74"/>
    <tableColumn id="16" xr3:uid="{6C226923-7267-4A9B-9C3F-F7B5EACDC283}" name="Pct unwanted materials (all)" dataDxfId="73" dataCellStyle="Percent"/>
    <tableColumn id="8" xr3:uid="{4F82A2DF-7A8C-4F7D-843B-63C8C1207A9C}" name="Properly Baled Tons" dataDxfId="72" dataCellStyle="Percent"/>
    <tableColumn id="9" xr3:uid="{6198AD1D-9A05-4368-9BBF-7CEE5E285FFC}" name="Bale Contamination Tons" dataDxfId="71"/>
    <tableColumn id="10" xr3:uid="{0C82CC0E-0491-4EE4-BCAD-1F16438D734F}" name="Total Baled Tons" dataDxfId="70"/>
    <tableColumn id="11" xr3:uid="{EEE6584F-874C-42BF-9EBA-2D2E16EED440}" name="Avg Bale Quality Pct" dataDxfId="69" dataCellStyle="Percent"/>
    <tableColumn id="14" xr3:uid="{ECDB6625-0D64-47AC-B048-9C708B9518FB}" name="Avg Bale Contamination" dataDxfId="68" dataCellStyle="Percent"/>
    <tableColumn id="12" xr3:uid="{F1795FA8-FFCE-4CDA-BA6F-447B6474D8C5}" name="Landfilled Residue" dataDxfId="67"/>
    <tableColumn id="13" xr3:uid="{5A2AE0EF-DD14-4B5B-8079-9D0F0CC09EBB}" name="Residue Rate Pct." dataDxfId="66" dataCellStyle="Percen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C000000}" name="CustCntSrcs" displayName="CustCntSrcs" ref="B6:I27" totalsRowShown="0" headerRowDxfId="575" dataDxfId="574">
  <autoFilter ref="B6:I27" xr:uid="{00000000-0009-0000-0100-00000C000000}"/>
  <tableColumns count="8">
    <tableColumn id="8" xr3:uid="{00000000-0010-0000-1C00-000008000000}" name="Source_ID" dataDxfId="573"/>
    <tableColumn id="1" xr3:uid="{00000000-0010-0000-1C00-000001000000}" name="Grouping_ID" dataDxfId="572"/>
    <tableColumn id="2" xr3:uid="{00000000-0010-0000-1C00-000002000000}" name="Grouping_Name" dataDxfId="571">
      <calculatedColumnFormula>INDEX(Grouping[Grouping_Name],MATCH(CustCntSrcs[[#This Row],[Grouping_ID]],Grouping[Grouping_ID],0))</calculatedColumnFormula>
    </tableColumn>
    <tableColumn id="7" xr3:uid="{00000000-0010-0000-1C00-000007000000}" name="Sector_ID" dataDxfId="570"/>
    <tableColumn id="6" xr3:uid="{00000000-0010-0000-1C00-000006000000}" name="Sector_Name" dataDxfId="569">
      <calculatedColumnFormula>IFERROR(INDEX(Sector[Sector_Name],MATCH(CustCntSrcs[[#This Row],[Sector_ID]],Sector[Sector_ID],0)),"not applicable")</calculatedColumnFormula>
    </tableColumn>
    <tableColumn id="9" xr3:uid="{00000000-0010-0000-1C00-000009000000}" name="Item" dataDxfId="568"/>
    <tableColumn id="4" xr3:uid="{00000000-0010-0000-1C00-000004000000}" name="Number" dataDxfId="567" dataCellStyle="Percent"/>
    <tableColumn id="5" xr3:uid="{00000000-0010-0000-1C00-000005000000}" name="Source" dataDxfId="566"/>
  </tableColumns>
  <tableStyleInfo name="TableStyleLight1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4C3D374-8F11-4645-B7BE-9C2B8F0EC44D}" name="BaleQuality" displayName="BaleQuality" ref="B11:AI302" totalsRowShown="0">
  <autoFilter ref="B11:AI302" xr:uid="{AC61DBB7-3AC0-4BC3-9C16-15E21A6999B8}"/>
  <tableColumns count="34">
    <tableColumn id="10" xr3:uid="{B48F4B5D-A626-422A-8B5F-20FE6183ED55}" name="BalesQuality_KEY" dataDxfId="65"/>
    <tableColumn id="1" xr3:uid="{17BBF4C2-12BF-4A0C-A02F-667E1FD739CE}" name="MRF_ID" dataDxfId="64"/>
    <tableColumn id="2" xr3:uid="{7B66136D-4761-47E3-A779-EF78F7E87EC1}" name="MRF_Name" dataDxfId="63"/>
    <tableColumn id="13" xr3:uid="{99B30378-E122-4C71-B401-A0DD0CBF1CCE}" name="CollectionStream_ID" dataDxfId="62"/>
    <tableColumn id="12" xr3:uid="{82D216FE-9356-47D8-A51C-4EC3E99DEA48}" name="CollectionStream_Name" dataDxfId="61"/>
    <tableColumn id="6" xr3:uid="{C135E161-B294-473C-9A94-747D706B196D}" name="Spacer1" dataDxfId="60"/>
    <tableColumn id="7" xr3:uid="{12BB43D8-5E32-4965-BECD-27220D37FC55}" name="Spacer2" dataDxfId="59"/>
    <tableColumn id="11" xr3:uid="{50D09083-0E2B-446A-BD75-2846BBBBC3AA}" name="BaleType" dataDxfId="58"/>
    <tableColumn id="3" xr3:uid="{DADCF95E-8749-4685-889C-229877B60CDA}" name="Bale_ID" dataDxfId="57"/>
    <tableColumn id="4" xr3:uid="{6A83DCE8-E4DA-4A6D-85B7-02F1D65216E9}" name="Bale_Name" dataDxfId="56"/>
    <tableColumn id="15" xr3:uid="{69EA2859-15FE-444C-9F8F-EA1BE0A135CF}" name="S0_Bale_Weight" dataDxfId="55" dataCellStyle="Input"/>
    <tableColumn id="16" xr3:uid="{33EF93C7-777C-401D-9997-FB974454B3FF}" name="S1_Bale_Weight" dataDxfId="54" dataCellStyle="Input"/>
    <tableColumn id="17" xr3:uid="{F70C6BA1-F7FE-4589-B99A-0FC001AD9321}" name="S2_Bale_Weight" dataDxfId="53" dataCellStyle="Input"/>
    <tableColumn id="18" xr3:uid="{616098E9-CD0C-434C-B779-C30486A8CC72}" name="S3_Bale_Weight" dataDxfId="52" dataCellStyle="Input"/>
    <tableColumn id="19" xr3:uid="{C69099B7-842E-4B2F-992D-141C97D1D653}" name="S4_Bale_Weight" dataDxfId="51" dataCellStyle="Input"/>
    <tableColumn id="8" xr3:uid="{65C57A7E-B10B-4BA6-B200-978B8EC40EFF}" name="S5_Bale_Weight" dataDxfId="50" dataCellStyle="Input"/>
    <tableColumn id="9" xr3:uid="{A5ACFDAB-51E0-4E76-A1AD-BEF1750A95F9}" name="S6_Bale_Weight" dataDxfId="49" dataCellStyle="Input"/>
    <tableColumn id="20" xr3:uid="{2A39D65D-7F69-4EA2-8F4B-C920F46A663C}" name="S0_BaleWeight-TargetMaterials" dataDxfId="48" dataCellStyle="Input"/>
    <tableColumn id="21" xr3:uid="{CDDC8B3D-9C34-4DC1-BC66-27D8720922AE}" name="S1_BaleWeight-TargetMaterials" dataDxfId="47" dataCellStyle="Input"/>
    <tableColumn id="22" xr3:uid="{96A7EDDE-DCB9-4713-8E7B-729876D060FC}" name="S2_BaleWeight-TargetMaterials" dataDxfId="46" dataCellStyle="Input"/>
    <tableColumn id="23" xr3:uid="{38881030-2EFF-4279-A0E9-A2739990A48C}" name="S3_BaleWeight-TargetMaterials" dataDxfId="45" dataCellStyle="Input"/>
    <tableColumn id="24" xr3:uid="{AB301ED1-F2C2-474A-ACFD-C5328A1D4968}" name="S4_BaleWeight-TargetMaterials" dataDxfId="44" dataCellStyle="Input"/>
    <tableColumn id="32" xr3:uid="{3331F892-8C74-4D2F-9C47-8092940FF357}" name="S5_BaleWeight-TargetMaterials" dataDxfId="43" dataCellStyle="Input"/>
    <tableColumn id="14" xr3:uid="{61DBE83B-F5EF-4852-9BA7-A5663E05FE38}" name="S6_BaleWeight-TargetMaterials" dataDxfId="42" dataCellStyle="Input"/>
    <tableColumn id="25" xr3:uid="{C6211EBF-4530-4586-8693-0407F7016001}" name="S0_BaleContaminationPct" dataDxfId="41" dataCellStyle="Input"/>
    <tableColumn id="26" xr3:uid="{68CA648A-7700-4D20-880B-652AC68294A2}" name="S1_BaleContaminationPct" dataDxfId="40" dataCellStyle="Input"/>
    <tableColumn id="27" xr3:uid="{1A849733-B6B8-4062-9AA6-F1346A857DF4}" name="S2_BaleContaminationPct" dataDxfId="39" dataCellStyle="Input"/>
    <tableColumn id="28" xr3:uid="{B8A5E89D-EE88-4677-9A2B-8993D01BBFBA}" name="S3_BaleContaminationPct" dataDxfId="38" dataCellStyle="Input"/>
    <tableColumn id="29" xr3:uid="{14F75145-7835-48ED-94B3-706C72F6271B}" name="S4_BaleContaminationPct" dataDxfId="37" dataCellStyle="Input"/>
    <tableColumn id="34" xr3:uid="{198FADBA-4377-48A4-9803-07EBBE62241C}" name="S5_BaleContaminationPct" dataDxfId="36" dataCellStyle="Input"/>
    <tableColumn id="33" xr3:uid="{6AE25698-6369-444E-907F-C4640B2330C8}" name="S5_BaleContaminationPct2" dataDxfId="35" dataCellStyle="Input"/>
    <tableColumn id="30" xr3:uid="{996A2558-9A52-4F1A-9D79-FF3887EA343E}" name="AcceptableContaminationLevel" dataDxfId="34" dataCellStyle="Input"/>
    <tableColumn id="31" xr3:uid="{3C97D958-2043-4023-9151-13DD1604CAA0}" name="Check" dataDxfId="33" dataCellStyle="Input"/>
    <tableColumn id="5" xr3:uid="{92CE1D4A-78CB-4911-86CE-67E0E33801BF}" name="Spacer" dataDxfId="32" dataCellStyle="Input"/>
  </tableColumns>
  <tableStyleInfo name="TableStyleLight14"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D1E75F5-78A1-4A54-A840-5766F414D169}" name="BaleMarketer" displayName="BaleMarketer" ref="B14:X1492" totalsRowShown="0">
  <autoFilter ref="B14:X1492" xr:uid="{10FA1812-E232-4282-9D53-97CE5992ABD6}"/>
  <tableColumns count="23">
    <tableColumn id="5" xr3:uid="{76D0637F-54CC-41E3-8E58-AD54A9E28DFC}" name="Scenario_ID"/>
    <tableColumn id="6" xr3:uid="{0676885E-A712-471D-9CBA-23ADFAD9F343}" name="MRF_ID"/>
    <tableColumn id="19" xr3:uid="{61A19994-3400-42D1-97C3-E2167243A2E2}" name="Spacer1"/>
    <tableColumn id="15" xr3:uid="{45527C61-3EA4-424B-9F0E-29998C09B83A}" name="Spacer2"/>
    <tableColumn id="4" xr3:uid="{CA16F982-AA84-47DC-B20A-183B18012D31}" name="MRF_Name" dataDxfId="31"/>
    <tableColumn id="2" xr3:uid="{812E8539-CBDF-443C-8265-C5B8AD0832E5}" name="Scenario_MRF_ID" dataDxfId="30"/>
    <tableColumn id="3" xr3:uid="{A6310126-F0D1-4214-8470-4E73064603FE}" name="Scenario_MRF_Bale_ID" dataDxfId="29"/>
    <tableColumn id="7" xr3:uid="{D7831909-509F-45BA-8060-09C79BD018E7}" name="Bale_ID"/>
    <tableColumn id="17" xr3:uid="{13E54C88-7184-46B8-B221-C73DBC69E0C1}" name="Bale_Name" dataDxfId="28"/>
    <tableColumn id="8" xr3:uid="{698EA23D-958E-4B7A-B288-B97935F29867}" name="Submaterial_ID"/>
    <tableColumn id="1" xr3:uid="{F812F140-3DFF-42DD-8B27-700F68200966}" name="Submaterial_Name" dataDxfId="27"/>
    <tableColumn id="9" xr3:uid="{82704D7E-F2B7-45BC-A978-C43828902C01}" name="Bale_SubMatl_ID"/>
    <tableColumn id="11" xr3:uid="{49AFEEE4-088C-489A-A1D4-576F6DCD000B}" name="MRF_Location_ID" dataDxfId="26"/>
    <tableColumn id="12" xr3:uid="{852B00CD-12B1-42FC-95FF-3A0D4984F0F4}" name="Destination_ID"/>
    <tableColumn id="16" xr3:uid="{F79EB146-D8D3-4AD0-836B-8B8A9A78D450}" name="MRF_Market_Loc_ID" dataDxfId="25"/>
    <tableColumn id="10" xr3:uid="{A655EBF4-CDCC-4F2D-B4CA-953C12E177D6}" name="Market_Loc" dataDxfId="24"/>
    <tableColumn id="13" xr3:uid="{219969EE-66EB-4DE8-8B99-1CFEA2B43C45}" name="Properly_Baled_Tons" dataDxfId="23"/>
    <tableColumn id="21" xr3:uid="{40007BDD-32C5-437A-8667-5FB07B639343}" name="WIC_Disposition_ID" dataDxfId="22"/>
    <tableColumn id="20" xr3:uid="{0D101903-2036-48E8-B1E8-1D4EB5B7AB4D}" name="WIC_Disposition_Name" dataDxfId="21"/>
    <tableColumn id="23" xr3:uid="{4141E5AF-323B-4F4C-8478-9FDE09F74615}" name="DEQWICMat_ID" dataDxfId="20"/>
    <tableColumn id="22" xr3:uid="{61F75F8A-6424-4311-8577-A928A1EB9A5B}" name="DEQWICMat_Name" dataDxfId="19"/>
    <tableColumn id="14" xr3:uid="{95DEB59C-E80A-456D-8393-A319236A10A8}" name="Spacer3" dataDxfId="18"/>
    <tableColumn id="18" xr3:uid="{87A5EB52-F12F-409C-9CB4-EFBB5A5FD79A}" name="Scenario-MRF_Total" dataDxfId="17"/>
  </tableColumns>
  <tableStyleInfo name="TableStyleLight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6000000}" name="PopProjections33" displayName="PopProjections33" ref="B4:H40" totalsRowShown="0" headerRowDxfId="16" headerRowCellStyle="Normal 3" dataCellStyle="Normal 3">
  <autoFilter ref="B4:H40" xr:uid="{00000000-0009-0000-0100-000031000000}"/>
  <tableColumns count="7">
    <tableColumn id="1" xr3:uid="{00000000-0010-0000-3600-000001000000}" name="Grouping" dataDxfId="15" dataCellStyle="Normal 3"/>
    <tableColumn id="2" xr3:uid="{00000000-0010-0000-3600-000002000000}" name="County" dataDxfId="14" dataCellStyle="Normal 3"/>
    <tableColumn id="3" xr3:uid="{00000000-0010-0000-3600-000003000000}" name="2018" dataDxfId="13" dataCellStyle="Comma"/>
    <tableColumn id="4" xr3:uid="{00000000-0010-0000-3600-000004000000}" name="2019" dataDxfId="12" dataCellStyle="Comma"/>
    <tableColumn id="5" xr3:uid="{00000000-0010-0000-3600-000005000000}" name="2020" dataDxfId="11" dataCellStyle="Comma"/>
    <tableColumn id="10" xr3:uid="{00000000-0010-0000-3600-00000A000000}" name="2025" dataDxfId="10" dataCellStyle="Comma"/>
    <tableColumn id="15" xr3:uid="{00000000-0010-0000-3600-00000F000000}" name="2030" dataDxfId="9" dataCellStyle="Comma"/>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CollectionCostTotal" displayName="CollectionCostTotal" ref="B34:W194" headerRowDxfId="565" dataDxfId="564" totalsRowDxfId="563">
  <autoFilter ref="B34:W194" xr:uid="{00000000-0009-0000-0100-000019000000}"/>
  <tableColumns count="22">
    <tableColumn id="10" xr3:uid="{00000000-0010-0000-1D00-00000A000000}" name="Collection_ID" dataDxfId="562">
      <calculatedColumnFormula>CollectionCostTotal[[#This Row],[Grouping_ID]]&amp;"-"&amp;CollectionCostTotal[[#This Row],[Sector_ID]]&amp;"-"&amp;CollectionCostTotal[[#This Row],[Frequency_ID]]&amp;"-"&amp;CollectionCostTotal[[#This Row],[SS_or_DS]]</calculatedColumnFormula>
    </tableColumn>
    <tableColumn id="25" xr3:uid="{00000000-0010-0000-1D00-000019000000}" name="GroupSector_ID" dataDxfId="561">
      <calculatedColumnFormula>CollectionCostTotal[[#This Row],[Grouping_ID]]&amp;"-"&amp;CollectionCostTotal[[#This Row],[Sector_ID]]&amp;"-"&amp;CollectionCostTotal[[#This Row],[SS_or_DS]]</calculatedColumnFormula>
    </tableColumn>
    <tableColumn id="1" xr3:uid="{00000000-0010-0000-1D00-000001000000}" name="Grouping_ID" totalsRowLabel="Total" dataDxfId="560"/>
    <tableColumn id="2" xr3:uid="{00000000-0010-0000-1D00-000002000000}" name="Grouping_Name" dataDxfId="559">
      <calculatedColumnFormula>INDEX(Grouping[Grouping_Name],MATCH(CollectionCostTotal[[#This Row],[Grouping_ID]],Grouping[Grouping_ID],0))</calculatedColumnFormula>
    </tableColumn>
    <tableColumn id="5" xr3:uid="{00000000-0010-0000-1D00-000005000000}" name="Sector_ID" dataDxfId="558"/>
    <tableColumn id="4" xr3:uid="{00000000-0010-0000-1D00-000004000000}" name="Sector_Name" dataDxfId="557">
      <calculatedColumnFormula>INDEX(Sector[Sector_Name],MATCH(CollectionCostTotal[[#This Row],[Sector_ID]],Sector[Sector_ID],0))</calculatedColumnFormula>
    </tableColumn>
    <tableColumn id="14" xr3:uid="{1A866980-5BA2-4721-B248-E52F79983F17}" name="Scenario_ID" dataDxfId="556"/>
    <tableColumn id="11" xr3:uid="{DF838734-2D79-4201-B644-3F468438B4A4}" name="SS_or_DS" dataDxfId="555"/>
    <tableColumn id="6" xr3:uid="{00000000-0010-0000-1D00-000006000000}" name="Frequency_ID" dataDxfId="554"/>
    <tableColumn id="3" xr3:uid="{00000000-0010-0000-1D00-000003000000}" name="Collection_Frequency" dataDxfId="553">
      <calculatedColumnFormula>INDEX(Frequency[Collection_Frequency],MATCH(CollectionCostTotal[[#This Row],[Frequency_ID]],Frequency[Orig_Frequency_ID],0)+(CollectionCostTotal[[#This Row],[SS_or_DS]]="DS")*COUNTA(Frequency[Orig_Frequency_ID])/2)</calculatedColumnFormula>
    </tableColumn>
    <tableColumn id="12" xr3:uid="{C7863BDA-0D5F-49C0-A506-25DC52617F3E}" name="Year" dataDxfId="552"/>
    <tableColumn id="7" xr3:uid="{00000000-0010-0000-1D00-000007000000}" name="Population" totalsRowFunction="sum" dataDxfId="551" dataCellStyle="Linked Cell">
      <calculatedColumnFormula>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calculatedColumnFormula>
    </tableColumn>
    <tableColumn id="8" xr3:uid="{00000000-0010-0000-1D00-000008000000}" name="Pct. Customers/Pop" dataDxfId="550" dataCellStyle="Linked Cell">
      <calculatedColumnFormula>SUMIFS(CustCntSrcs[Number],CustCntSrcs[Grouping_ID],CollectionCostTotal[[#This Row],[Grouping_ID]],CustCntSrcs[Sector_ID],CollectionCostTotal[[#This Row],[Sector_ID]])</calculatedColumnFormula>
    </tableColumn>
    <tableColumn id="9" xr3:uid="{00000000-0010-0000-1D00-000009000000}" name="Customers" totalsRowFunction="sum" dataDxfId="549" totalsRowDxfId="548" dataCellStyle="Calculation">
      <calculatedColumnFormula>CollectionCostTotal[[#This Row],[Population]]*CollectionCostTotal[[#This Row],[Pct. Customers/Pop]]</calculatedColumnFormula>
    </tableColumn>
    <tableColumn id="17" xr3:uid="{00000000-0010-0000-1D00-000011000000}" name="Engagement" dataDxfId="547" dataCellStyle="Calculation">
      <calculatedColumnFormula>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calculatedColumnFormula>
    </tableColumn>
    <tableColumn id="18" xr3:uid="{00000000-0010-0000-1D00-000012000000}" name="Collection_Labor" dataDxfId="546" dataCellStyle="Calculation">
      <calculatedColumnFormula>CollectionCostTotal[[#This Row],[Customers]]*INDEX(LaborCostPerLift[Annual_Labor_Cost_Per_Customer],MATCH(CollectionCostTotal[[#This Row],[Collection_ID]],LaborCostPerLift[Collection_ID],0))*(IF(CollectionCostTotal[[#This Row],[Year]]=2025,SUMIFS(CustCntSrcs[Number],CustCntSrcs[Source_ID],$Q$33),1))</calculatedColumnFormula>
    </tableColumn>
    <tableColumn id="19" xr3:uid="{00000000-0010-0000-1D00-000013000000}" name="Annual_Container_Cost" dataDxfId="545" dataCellStyle="Calculation">
      <calculatedColumnFormula>CollectionCostTotal[[#This Row],[Customers]]*INDEX(ContainerCapitalCostPerPickup[Annual_Container_Cost_Per_Customer],MATCH(CollectionCostTotal[[#This Row],[Collection_ID]],ContainerCapitalCostPerPickup[Collection_ID],0))*(IF(CollectionCostTotal[[#This Row],[Year]]=2025,SUMIFS(CustCntSrcs[Number],CustCntSrcs[Source_ID],$R$33),1))</calculatedColumnFormula>
    </tableColumn>
    <tableColumn id="13" xr3:uid="{F28F6905-C1EE-48EC-BE9D-94E45EC64004}" name="Annual_Truck_Cost" dataDxfId="544" dataCellStyle="Calculation">
      <calculatedColumnFormula>CollectionCostTotal[[#This Row],[Customers]]*INDEX(ContainerCapitalCostPerPickup[Annual_Truck_Cost_Per_Customer],MATCH(CollectionCostTotal[[#This Row],[Collection_ID]],ContainerCapitalCostPerPickup[Collection_ID],0))*(IF(CollectionCostTotal[[#This Row],[Year]]=2025,SUMIFS(CustCntSrcs[Number],CustCntSrcs[Source_ID],$R$33),1))</calculatedColumnFormula>
    </tableColumn>
    <tableColumn id="20" xr3:uid="{00000000-0010-0000-1D00-000014000000}" name="Collection_Ops" dataDxfId="543" dataCellStyle="Calculation">
      <calculatedColumnFormula>CollectionCostTotal[[#This Row],[Customers]]*INDEX(ContainerOtherOpsCostPerPickup[Annual_OtherOps_Cost_Per_Customer],MATCH(CollectionCostTotal[[#This Row],[Collection_ID]],ContainerOtherOpsCostPerPickup[Collection_ID],0))*(IF(CollectionCostTotal[[#This Row],[Year]]=2025,SUMIFS(CustCntSrcs[Number],CustCntSrcs[Source_ID],$T$33),1))</calculatedColumnFormula>
    </tableColumn>
    <tableColumn id="21" xr3:uid="{00000000-0010-0000-1D00-000015000000}" name="CollectionAdmin" dataDxfId="542" dataCellStyle="Calculation">
      <calculatedColumnFormula>CollectionCostTotal[[#This Row],[Customers]]*INDEX(ContainerMarginAdmin[Annual_Admin_Per_Customer],MATCH(CollectionCostTotal[[#This Row],[Collection_ID]],ContainerMarginAdmin[Collection_ID],0))*(IF(CollectionCostTotal[[#This Row],[Year]]=2025,SUMIFS(CustCntSrcs[Number],CustCntSrcs[Source_ID],$U$33),1))</calculatedColumnFormula>
    </tableColumn>
    <tableColumn id="22" xr3:uid="{00000000-0010-0000-1D00-000016000000}" name="Collection_MarginFF" dataDxfId="541" dataCellStyle="Calculation">
      <calculatedColumnFormula>(SUMIFS(CustCntSrcs[Number],CustCntSrcs[Source_ID],$V$33)/(1-SUMIFS(CustCntSrcs[Number],CustCntSrcs[Source_ID],$V$33)))*SUM(CollectionCostTotal[[#This Row],[Collection_Labor]],CollectionCostTotal[[#This Row],[Annual_Container_Cost]],CollectionCostTotal[[#This Row],[Collection_Ops]])</calculatedColumnFormula>
    </tableColumn>
    <tableColumn id="24" xr3:uid="{00000000-0010-0000-1D00-000018000000}" name="Total" dataDxfId="540" dataCellStyle="Output">
      <calculatedColumnFormula>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calculatedColumnFormula>
    </tableColumn>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6000000}" name="FTE_Per_Customer" displayName="FTE_Per_Customer" ref="B5:J19" totalsRowShown="0" headerRowDxfId="539">
  <autoFilter ref="B5:J19" xr:uid="{00000000-0009-0000-0100-000012000000}"/>
  <tableColumns count="9">
    <tableColumn id="1" xr3:uid="{00000000-0010-0000-1600-000001000000}" name="Collection_ID" dataDxfId="538">
      <calculatedColumnFormula>FTE_Per_Customer[[#This Row],[Sector_ID]]&amp;"-"&amp;FTE_Per_Customer[[#This Row],[Frequency_ID]]&amp;"-"&amp;FTE_Per_Customer[[#This Row],[SS_or_DS]]</calculatedColumnFormula>
    </tableColumn>
    <tableColumn id="2" xr3:uid="{00000000-0010-0000-1600-000002000000}" name="Sector_ID" dataDxfId="537"/>
    <tableColumn id="3" xr3:uid="{00000000-0010-0000-1600-000003000000}" name="Sector_Name" dataDxfId="536">
      <calculatedColumnFormula>INDEX(Sector[Sector_Name],MATCH(FTE_Per_Customer[[#This Row],[Sector_ID]],Sector[Sector_ID],0))</calculatedColumnFormula>
    </tableColumn>
    <tableColumn id="9" xr3:uid="{8E0156F0-063E-42E6-AC75-18FB8F54BF3F}" name="SS_or_DS" dataDxfId="535"/>
    <tableColumn id="4" xr3:uid="{00000000-0010-0000-1600-000004000000}" name="Frequency_ID" dataDxfId="534"/>
    <tableColumn id="5" xr3:uid="{00000000-0010-0000-1600-000005000000}" name="Collection_Frequency" dataDxfId="533">
      <calculatedColumnFormula>INDEX(Frequency[Collection_Frequency],MATCH(FTE_Per_Customer[[#This Row],[Frequency_ID]],Frequency[Orig_Frequency_ID],0)+(FTE_Per_Customer[[#This Row],[SS_or_DS]]="DS")*COUNTA(Frequency[Orig_Frequency_ID])/2)</calculatedColumnFormula>
    </tableColumn>
    <tableColumn id="6" xr3:uid="{00000000-0010-0000-1600-000006000000}" name="Customer_Or_Lift_Per_Driver" dataDxfId="532" dataCellStyle="Input"/>
    <tableColumn id="7" xr3:uid="{00000000-0010-0000-1600-000007000000}" name="Unit" dataCellStyle="Explanatory Text"/>
    <tableColumn id="8" xr3:uid="{00000000-0010-0000-1600-000008000000}" name="Customer_Per_Admin" dataDxfId="531" dataCellStyle="Input"/>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CollectionFTEs" displayName="CollectionFTEs" ref="B26:Q90" totalsRowShown="0" headerRowDxfId="530">
  <autoFilter ref="B26:Q90" xr:uid="{00000000-0009-0000-0100-000017000000}"/>
  <tableColumns count="16">
    <tableColumn id="1" xr3:uid="{00000000-0010-0000-1800-000001000000}" name="Collection_ID" dataDxfId="529">
      <calculatedColumnFormula>CollectionFTEs[[#This Row],[Grouping_ID]]&amp;"-"&amp;CollectionFTEs[[#This Row],[Sector_ID]]&amp;"-"&amp;CollectionFTEs[[#This Row],[Frequency_ID]]&amp;"-"&amp;CollectionFTEs[[#This Row],[SS_or_DS]]</calculatedColumnFormula>
    </tableColumn>
    <tableColumn id="2" xr3:uid="{00000000-0010-0000-1800-000002000000}" name="GroupSector_ID" dataDxfId="528">
      <calculatedColumnFormula>_xlfn.CONCAT(CollectionFTEs[[#This Row],[Grouping_ID]],"-",CollectionFTEs[[#This Row],[Sector_ID]])</calculatedColumnFormula>
    </tableColumn>
    <tableColumn id="3" xr3:uid="{00000000-0010-0000-1800-000003000000}" name="Grouping_ID" dataDxfId="527"/>
    <tableColumn id="4" xr3:uid="{00000000-0010-0000-1800-000004000000}" name="Grouping_Name" dataDxfId="526">
      <calculatedColumnFormula>INDEX(Grouping[Grouping_Name],MATCH(CollectionFTEs[[#This Row],[Grouping_ID]],Grouping[Grouping_ID],0))</calculatedColumnFormula>
    </tableColumn>
    <tableColumn id="5" xr3:uid="{00000000-0010-0000-1800-000005000000}" name="Sector_ID" dataDxfId="525"/>
    <tableColumn id="6" xr3:uid="{00000000-0010-0000-1800-000006000000}" name="Sector_Name" dataDxfId="524">
      <calculatedColumnFormula>INDEX(Sector[Sector_Name],MATCH(CollectionFTEs[[#This Row],[Sector_ID]],Sector[Sector_ID],0))</calculatedColumnFormula>
    </tableColumn>
    <tableColumn id="14" xr3:uid="{2724B28F-0F09-4E6B-BA8C-F90E7BBE2146}" name="SS_or_DS" dataDxfId="523"/>
    <tableColumn id="7" xr3:uid="{00000000-0010-0000-1800-000007000000}" name="Frequency_ID" dataDxfId="522"/>
    <tableColumn id="8" xr3:uid="{00000000-0010-0000-1800-000008000000}" name="Collection_Frequency" dataDxfId="521">
      <calculatedColumnFormula>INDEX(Frequency[Collection_Frequency],MATCH(CollectionFTEs[[#This Row],[Frequency_ID]],Frequency[Orig_Frequency_ID],0)+(CollectionFTEs[[#This Row],[SS_or_DS]]="DS")*COUNTA(Frequency[Orig_Frequency_ID])/2)</calculatedColumnFormula>
    </tableColumn>
    <tableColumn id="15" xr3:uid="{5D5B264B-10F9-44FE-A293-DCF1E8EC96A9}" name="Year" dataDxfId="520"/>
    <tableColumn id="9" xr3:uid="{00000000-0010-0000-1800-000009000000}" name="Customers" dataDxfId="519" dataCellStyle="Linked Cell">
      <calculatedColumnFormula>SUMIFS(CollectionCostTotal[Customers],CollectionCostTotal[Collection_ID],CollectionFTEs[[#This Row],[Collection_ID]],CollectionCostTotal[Year],CollectionFTEs[[#This Row],[Year]])/COUNTIFS(CollectionCostTotal[Collection_ID],CollectionFTEs[[#This Row],[Collection_ID]],CollectionCostTotal[Year],CollectionFTEs[[#This Row],[Year]])</calculatedColumnFormula>
    </tableColumn>
    <tableColumn id="10" xr3:uid="{00000000-0010-0000-1800-00000A000000}" name="Lifts_Per_Week" dataDxfId="518" dataCellStyle="Calculation">
      <calculatedColumnFormula>INDEX(LaborCostPerLift[Average_Lifts_Per_Week],MATCH(CollectionFTEs[[#This Row],[Collection_ID]],LaborCostPerLift[Collection_ID],0))</calculatedColumnFormula>
    </tableColumn>
    <tableColumn id="11" xr3:uid="{00000000-0010-0000-1800-00000B000000}" name="Total_Lifts_Per_Week" dataDxfId="517" dataCellStyle="Calculation">
      <calculatedColumnFormula>IFERROR(CollectionFTEs[[#This Row],[Customers]]*CollectionFTEs[[#This Row],[Lifts_Per_Week]],0)</calculatedColumnFormula>
    </tableColumn>
    <tableColumn id="12" xr3:uid="{00000000-0010-0000-1800-00000C000000}" name="OnRoute_FTE" dataDxfId="516" dataCellStyle="Output">
      <calculatedColumnFormula>IFERROR(CollectionFTEs[[#This Row],[Total_Lifts_Per_Week]]/SUMIFS(FTE_Per_Customer[Customer_Or_Lift_Per_Driver],FTE_Per_Customer[Sector_ID],CollectionFTEs[[#This Row],[Sector_ID]],FTE_Per_Customer[SS_or_DS],CollectionFTEs[SS_or_DS],FTE_Per_Customer[Frequency_ID],CollectionFTEs[Frequency_ID]),0)</calculatedColumnFormula>
    </tableColumn>
    <tableColumn id="13" xr3:uid="{00000000-0010-0000-1800-00000D000000}" name="AdminFTE" dataDxfId="515" dataCellStyle="Output">
      <calculatedColumnFormula>IFERROR(CollectionFTEs[[#This Row],[Total_Lifts_Per_Week]]/SUMIFS(FTE_Per_Customer[Customer_Per_Admin],FTE_Per_Customer[Sector_ID],CollectionFTEs[[#This Row],[Sector_ID]],FTE_Per_Customer[SS_or_DS],CollectionFTEs[SS_or_DS],FTE_Per_Customer[Frequency_ID],CollectionFTEs[Frequency_ID]),0)</calculatedColumnFormula>
    </tableColumn>
    <tableColumn id="16" xr3:uid="{CBBAA7F7-E653-4574-8DBB-34C1ABCD2080}" name="New_Outreach_FTEs" dataDxfId="514" dataCellStyle="Output">
      <calculatedColumnFormula>IF(CollectionFTEs[[#This Row],[Sector_ID]]=1,(CollectionFTEs[[#This Row],[Customers]]*CollectionTotal!$H$21*0.8)/(50*2080),(CollectionFTEs[[#This Row],[Customers]]*CollectionTotal!$H$22*0.8)/(50*2080))</calculatedColumnFormula>
    </tableColumn>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DepotCostAllocations" displayName="DepotCostAllocations" ref="B14:T18" totalsRowShown="0" headerRowDxfId="513" dataDxfId="512">
  <autoFilter ref="B14:T18" xr:uid="{00000000-0009-0000-0100-000014000000}"/>
  <tableColumns count="19">
    <tableColumn id="12" xr3:uid="{00000000-0010-0000-1000-00000C000000}" name="Scenario_ID" dataDxfId="511"/>
    <tableColumn id="1" xr3:uid="{33B4D296-31A4-4471-BF1F-4E16CBED38F9}" name="Collection_ID2" dataDxfId="510">
      <calculatedColumnFormula>_xlfn.CONCAT(DepotCostAllocations[[#This Row],[Grouping_ID]],"-",DepotCostAllocations[[#This Row],[Sector_ID]])</calculatedColumnFormula>
    </tableColumn>
    <tableColumn id="11" xr3:uid="{00000000-0010-0000-1000-00000B000000}" name="Grouping_ID" dataDxfId="509"/>
    <tableColumn id="10" xr3:uid="{00000000-0010-0000-1000-00000A000000}" name="Grouping_Name" dataDxfId="508">
      <calculatedColumnFormula>INDEX(Grouping[Grouping_Name],MATCH(DepotCostAllocations[[#This Row],[Grouping_ID]],Grouping[Grouping_ID],0))</calculatedColumnFormula>
    </tableColumn>
    <tableColumn id="9" xr3:uid="{00000000-0010-0000-1000-000009000000}" name="Sector_ID" dataDxfId="507"/>
    <tableColumn id="8" xr3:uid="{00000000-0010-0000-1000-000008000000}" name="Sector_Name" dataDxfId="506">
      <calculatedColumnFormula>INDEX(Sector[Sector_Name],MATCH(DepotCostAllocations[[#This Row],[Sector_ID]],Sector[Sector_ID],0))</calculatedColumnFormula>
    </tableColumn>
    <tableColumn id="4" xr3:uid="{00000000-0010-0000-1000-000004000000}" name="Capital_Pct" dataDxfId="505" dataCellStyle="Input"/>
    <tableColumn id="3" xr3:uid="{00000000-0010-0000-1000-000003000000}" name="Labor_Pct" dataDxfId="504" dataCellStyle="Input"/>
    <tableColumn id="5" xr3:uid="{00000000-0010-0000-1000-000005000000}" name="Operations_Pct" dataDxfId="503" dataCellStyle="Input"/>
    <tableColumn id="6" xr3:uid="{00000000-0010-0000-1000-000006000000}" name="Transport_Pct" dataDxfId="502" dataCellStyle="Input"/>
    <tableColumn id="7" xr3:uid="{00000000-0010-0000-1000-000007000000}" name="Admin_Pct" dataDxfId="501" dataCellStyle="Input"/>
    <tableColumn id="13" xr3:uid="{00000000-0010-0000-1000-00000D000000}" name="Total_Cost_Per_Ton_2018" dataDxfId="500" dataCellStyle="Input"/>
    <tableColumn id="16" xr3:uid="{00000000-0010-0000-1000-000010000000}" name="Capital_Cost_Per_Ton" dataDxfId="499" dataCellStyle="Output">
      <calculatedColumnFormula>DepotCostAllocations[[#This Row],[Capital_Pct]]*DepotCostAllocations[[#This Row],[Total_Cost_Per_Ton_2018]]*INDEX(Inflation[Escalator],MATCH(N$13,Inflation[Financial_ID],0))</calculatedColumnFormula>
    </tableColumn>
    <tableColumn id="15" xr3:uid="{00000000-0010-0000-1000-00000F000000}" name="Labor_Cost_Per_Ton" dataDxfId="498" dataCellStyle="Output">
      <calculatedColumnFormula>DepotCostAllocations[[#This Row],[Labor_Pct]]*DepotCostAllocations[[#This Row],[Total_Cost_Per_Ton_2018]]*INDEX(Inflation[Escalator],MATCH(O$13,Inflation[Financial_ID],0))</calculatedColumnFormula>
    </tableColumn>
    <tableColumn id="17" xr3:uid="{00000000-0010-0000-1000-000011000000}" name="Operations_Cost_Per_Ton" dataDxfId="497" dataCellStyle="Output">
      <calculatedColumnFormula>DepotCostAllocations[[#This Row],[Operations_Pct]]*DepotCostAllocations[[#This Row],[Total_Cost_Per_Ton_2018]]*INDEX(Inflation[Escalator],MATCH(P$13,Inflation[Financial_ID],0))</calculatedColumnFormula>
    </tableColumn>
    <tableColumn id="18" xr3:uid="{00000000-0010-0000-1000-000012000000}" name="Transport_Cost_Per_Ton" dataDxfId="496" dataCellStyle="Output">
      <calculatedColumnFormula>DepotCostAllocations[[#This Row],[Transport_Pct]]*DepotCostAllocations[[#This Row],[Total_Cost_Per_Ton_2018]]*INDEX(Inflation[Escalator],MATCH(Q$13,Inflation[Financial_ID],0))</calculatedColumnFormula>
    </tableColumn>
    <tableColumn id="19" xr3:uid="{00000000-0010-0000-1000-000013000000}" name="Admin_Cost_Per_Ton" dataDxfId="495" dataCellStyle="Output">
      <calculatedColumnFormula>DepotCostAllocations[[#This Row],[Admin_Pct]]*DepotCostAllocations[[#This Row],[Total_Cost_Per_Ton_2018]]*INDEX(Inflation[Escalator],MATCH(R$13,Inflation[Financial_ID],0))</calculatedColumnFormula>
    </tableColumn>
    <tableColumn id="2" xr3:uid="{1A0FE3B7-46BA-40C0-88A0-01D59CB2E735}" name="Total_Cost_Per_Ton_2025" dataDxfId="494" dataCellStyle="Output">
      <calculatedColumnFormula>SUM(DepotCostAllocations[[#This Row],[Labor_Cost_Per_Ton]:[Admin_Cost_Per_Ton]])</calculatedColumnFormula>
    </tableColumn>
    <tableColumn id="14" xr3:uid="{6E92015C-28F7-40FF-ADBC-B078BC66DCD0}" name="Tons_Per_FTE" dataDxfId="493" dataCellStyle="Input"/>
  </tableColumns>
  <tableStyleInfo name="TableStyleLight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0-05-20T20:31:56.96" personId="{8A4C0E1C-842F-480D-85AB-80C210207A91}" id="{CECCBBA1-30C1-4CFD-AB5B-C753252CAE66}">
    <text>Chris -- confirm data year and whether escalation is needed.</text>
  </threadedComment>
</ThreadedComments>
</file>

<file path=xl/threadedComments/threadedComment2.xml><?xml version="1.0" encoding="utf-8"?>
<ThreadedComments xmlns="http://schemas.microsoft.com/office/spreadsheetml/2018/threadedcomments" xmlns:x="http://schemas.openxmlformats.org/spreadsheetml/2006/main">
  <threadedComment ref="C16" dT="2020-05-21T00:29:43.53" personId="{8A4C0E1C-842F-480D-85AB-80C210207A91}" id="{8CEBA3DB-A5BB-429A-8297-58253289C4CB}">
    <text>Jessica changed the MRF numbers to separate the CRF. Figure this out.</text>
  </threadedComment>
</ThreadedComments>
</file>

<file path=xl/threadedComments/threadedComment3.xml><?xml version="1.0" encoding="utf-8"?>
<ThreadedComments xmlns="http://schemas.microsoft.com/office/spreadsheetml/2018/threadedcomments" xmlns:x="http://schemas.openxmlformats.org/spreadsheetml/2006/main">
  <threadedComment ref="J16" dT="2020-05-21T00:48:05.28" personId="{8A4C0E1C-842F-480D-85AB-80C210207A91}" id="{6B5EA1A5-D3CB-4648-9668-9D8E74BB05FE}">
    <text>Jessica needs to make a new table to hold this data. Probably in the Bales file beucase it's already organized vertically.</text>
  </threadedComment>
</ThreadedComments>
</file>

<file path=xl/threadedComments/threadedComment4.xml><?xml version="1.0" encoding="utf-8"?>
<ThreadedComments xmlns="http://schemas.microsoft.com/office/spreadsheetml/2018/threadedcomments" xmlns:x="http://schemas.openxmlformats.org/spreadsheetml/2006/main">
  <threadedComment ref="I14" dT="2020-05-19T21:46:09.54" personId="{8A4C0E1C-842F-480D-85AB-80C210207A91}" id="{D9DDC73F-124C-4598-B59E-D81688E6DE86}">
    <text>missing 2000-06 and 2000-12, but these are not currently used (would directly marketed)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3.xml"/><Relationship Id="rId7" Type="http://schemas.microsoft.com/office/2017/10/relationships/threadedComment" Target="../threadedComments/threadedComment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table" Target="../tables/table15.xml"/><Relationship Id="rId4" Type="http://schemas.openxmlformats.org/officeDocument/2006/relationships/table" Target="../tables/table14.xml"/></Relationships>
</file>

<file path=xl/worksheets/_rels/sheet1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table" Target="../tables/table16.xml"/><Relationship Id="rId7"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9.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26.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12.bin"/><Relationship Id="rId6" Type="http://schemas.openxmlformats.org/officeDocument/2006/relationships/comments" Target="../comments4.xml"/><Relationship Id="rId5" Type="http://schemas.openxmlformats.org/officeDocument/2006/relationships/table" Target="../tables/table33.xml"/><Relationship Id="rId4" Type="http://schemas.openxmlformats.org/officeDocument/2006/relationships/table" Target="../tables/table32.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40.xml"/><Relationship Id="rId13" Type="http://schemas.openxmlformats.org/officeDocument/2006/relationships/table" Target="../tables/table45.xml"/><Relationship Id="rId3" Type="http://schemas.openxmlformats.org/officeDocument/2006/relationships/table" Target="../tables/table35.xml"/><Relationship Id="rId7" Type="http://schemas.openxmlformats.org/officeDocument/2006/relationships/table" Target="../tables/table39.xml"/><Relationship Id="rId12" Type="http://schemas.openxmlformats.org/officeDocument/2006/relationships/table" Target="../tables/table44.xml"/><Relationship Id="rId2" Type="http://schemas.openxmlformats.org/officeDocument/2006/relationships/table" Target="../tables/table34.xml"/><Relationship Id="rId1" Type="http://schemas.openxmlformats.org/officeDocument/2006/relationships/printerSettings" Target="../printerSettings/printerSettings13.bin"/><Relationship Id="rId6" Type="http://schemas.openxmlformats.org/officeDocument/2006/relationships/table" Target="../tables/table38.xml"/><Relationship Id="rId11" Type="http://schemas.openxmlformats.org/officeDocument/2006/relationships/table" Target="../tables/table43.xml"/><Relationship Id="rId5" Type="http://schemas.openxmlformats.org/officeDocument/2006/relationships/table" Target="../tables/table37.xml"/><Relationship Id="rId10" Type="http://schemas.openxmlformats.org/officeDocument/2006/relationships/table" Target="../tables/table42.xml"/><Relationship Id="rId4" Type="http://schemas.openxmlformats.org/officeDocument/2006/relationships/table" Target="../tables/table36.xml"/><Relationship Id="rId9" Type="http://schemas.openxmlformats.org/officeDocument/2006/relationships/table" Target="../tables/table41.xml"/><Relationship Id="rId14" Type="http://schemas.openxmlformats.org/officeDocument/2006/relationships/table" Target="../tables/table46.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51.xml"/><Relationship Id="rId1" Type="http://schemas.openxmlformats.org/officeDocument/2006/relationships/vmlDrawing" Target="../drawings/vmlDrawing5.vml"/><Relationship Id="rId4" Type="http://schemas.microsoft.com/office/2017/10/relationships/threadedComment" Target="../threadedComments/threadedComment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D33"/>
  <sheetViews>
    <sheetView tabSelected="1" workbookViewId="0">
      <selection activeCell="D21" sqref="D21"/>
    </sheetView>
  </sheetViews>
  <sheetFormatPr defaultColWidth="9" defaultRowHeight="12.75" x14ac:dyDescent="0.2"/>
  <cols>
    <col min="1" max="1" width="2.625" style="4" customWidth="1"/>
    <col min="2" max="2" width="18.25" style="4" customWidth="1"/>
    <col min="3" max="3" width="111.125" style="4" customWidth="1"/>
    <col min="4" max="4" width="51" style="4" customWidth="1"/>
    <col min="5" max="16384" width="9" style="4"/>
  </cols>
  <sheetData>
    <row r="1" spans="2:4" ht="14.25" x14ac:dyDescent="0.2">
      <c r="D1"/>
    </row>
    <row r="2" spans="2:4" ht="14.25" x14ac:dyDescent="0.2">
      <c r="B2" s="57" t="s">
        <v>0</v>
      </c>
      <c r="C2" s="56" t="s">
        <v>1</v>
      </c>
      <c r="D2"/>
    </row>
    <row r="3" spans="2:4" s="355" customFormat="1" ht="14.25" x14ac:dyDescent="0.2">
      <c r="B3" s="378" t="s">
        <v>3698</v>
      </c>
      <c r="C3" s="592" t="s">
        <v>3699</v>
      </c>
      <c r="D3" s="521"/>
    </row>
    <row r="4" spans="2:4" ht="25.5" x14ac:dyDescent="0.2">
      <c r="B4" s="378" t="s">
        <v>3</v>
      </c>
      <c r="C4" s="592" t="s">
        <v>3700</v>
      </c>
      <c r="D4"/>
    </row>
    <row r="5" spans="2:4" ht="14.25" x14ac:dyDescent="0.2">
      <c r="D5"/>
    </row>
    <row r="6" spans="2:4" ht="14.25" x14ac:dyDescent="0.2">
      <c r="B6" s="9" t="s">
        <v>4</v>
      </c>
      <c r="D6"/>
    </row>
    <row r="7" spans="2:4" ht="14.25" x14ac:dyDescent="0.2">
      <c r="B7" s="4" t="s">
        <v>5</v>
      </c>
      <c r="D7"/>
    </row>
    <row r="8" spans="2:4" x14ac:dyDescent="0.2">
      <c r="B8" s="4" t="s">
        <v>6</v>
      </c>
    </row>
    <row r="9" spans="2:4" ht="14.25" x14ac:dyDescent="0.2">
      <c r="C9" s="137" t="s">
        <v>7</v>
      </c>
    </row>
    <row r="10" spans="2:4" ht="15" x14ac:dyDescent="0.2">
      <c r="C10" s="138" t="s">
        <v>8</v>
      </c>
    </row>
    <row r="11" spans="2:4" ht="14.25" x14ac:dyDescent="0.2">
      <c r="C11" s="139" t="s">
        <v>9</v>
      </c>
      <c r="D11"/>
    </row>
    <row r="12" spans="2:4" ht="15" x14ac:dyDescent="0.2">
      <c r="C12" s="140" t="s">
        <v>10</v>
      </c>
      <c r="D12"/>
    </row>
    <row r="13" spans="2:4" ht="14.25" x14ac:dyDescent="0.2">
      <c r="D13"/>
    </row>
    <row r="14" spans="2:4" ht="14.25" x14ac:dyDescent="0.2">
      <c r="D14"/>
    </row>
    <row r="15" spans="2:4" ht="14.25" x14ac:dyDescent="0.2">
      <c r="D15"/>
    </row>
    <row r="16" spans="2:4" ht="14.25" x14ac:dyDescent="0.2">
      <c r="B16" s="348" t="s">
        <v>11</v>
      </c>
      <c r="C16" s="350" t="s">
        <v>12</v>
      </c>
      <c r="D16"/>
    </row>
    <row r="17" spans="2:4" ht="102" x14ac:dyDescent="0.2">
      <c r="B17" s="347" t="s">
        <v>1110</v>
      </c>
      <c r="C17" s="351" t="s">
        <v>1113</v>
      </c>
      <c r="D17"/>
    </row>
    <row r="18" spans="2:4" ht="14.25" x14ac:dyDescent="0.2">
      <c r="B18" s="347" t="s">
        <v>1112</v>
      </c>
      <c r="C18" s="351" t="s">
        <v>1111</v>
      </c>
      <c r="D18"/>
    </row>
    <row r="19" spans="2:4" ht="25.5" x14ac:dyDescent="0.2">
      <c r="B19" s="609" t="s">
        <v>14</v>
      </c>
      <c r="C19" s="610" t="s">
        <v>15</v>
      </c>
      <c r="D19"/>
    </row>
    <row r="20" spans="2:4" s="355" customFormat="1" ht="14.25" x14ac:dyDescent="0.2">
      <c r="B20" s="609" t="s">
        <v>1144</v>
      </c>
      <c r="C20" s="610" t="s">
        <v>1118</v>
      </c>
      <c r="D20" s="352"/>
    </row>
    <row r="21" spans="2:4" ht="76.5" x14ac:dyDescent="0.2">
      <c r="B21" s="388" t="s">
        <v>3730</v>
      </c>
      <c r="C21" s="389" t="s">
        <v>3701</v>
      </c>
      <c r="D21"/>
    </row>
    <row r="22" spans="2:4" ht="14.25" x14ac:dyDescent="0.2">
      <c r="B22" s="387"/>
      <c r="C22" s="349"/>
      <c r="D22"/>
    </row>
    <row r="23" spans="2:4" ht="14.25" x14ac:dyDescent="0.2">
      <c r="D23"/>
    </row>
    <row r="24" spans="2:4" ht="14.25" x14ac:dyDescent="0.2">
      <c r="B24" s="348" t="s">
        <v>16</v>
      </c>
      <c r="C24" s="350" t="s">
        <v>17</v>
      </c>
      <c r="D24"/>
    </row>
    <row r="25" spans="2:4" s="355" customFormat="1" ht="14.25" x14ac:dyDescent="0.2">
      <c r="B25" s="390" t="s">
        <v>1114</v>
      </c>
      <c r="C25" s="61" t="s">
        <v>1115</v>
      </c>
      <c r="D25" s="352"/>
    </row>
    <row r="26" spans="2:4" ht="14.25" x14ac:dyDescent="0.2">
      <c r="B26" s="390" t="s">
        <v>18</v>
      </c>
      <c r="C26" s="61" t="s">
        <v>19</v>
      </c>
      <c r="D26"/>
    </row>
    <row r="27" spans="2:4" ht="14.25" x14ac:dyDescent="0.2">
      <c r="B27" s="390" t="s">
        <v>20</v>
      </c>
      <c r="C27" s="58" t="s">
        <v>21</v>
      </c>
      <c r="D27"/>
    </row>
    <row r="28" spans="2:4" ht="14.25" x14ac:dyDescent="0.2">
      <c r="B28" s="390" t="s">
        <v>22</v>
      </c>
      <c r="C28" s="58" t="s">
        <v>23</v>
      </c>
      <c r="D28"/>
    </row>
    <row r="29" spans="2:4" ht="14.25" x14ac:dyDescent="0.2">
      <c r="D29"/>
    </row>
    <row r="30" spans="2:4" ht="14.25" x14ac:dyDescent="0.2">
      <c r="D30"/>
    </row>
    <row r="31" spans="2:4" ht="14.25" x14ac:dyDescent="0.2">
      <c r="D31"/>
    </row>
    <row r="32" spans="2:4" ht="14.25" x14ac:dyDescent="0.2">
      <c r="D32"/>
    </row>
    <row r="33" spans="4:4" ht="14.25" x14ac:dyDescent="0.2">
      <c r="D33"/>
    </row>
  </sheetData>
  <sheetProtection algorithmName="SHA-512" hashValue="7xNazqtNWrfNO+BfFqGw9HdW9YSRJwIQOZzxQ2SZ6/vp02KTVxHleN+myRoouyB7KMVLVuR+RWip8Nm3UVbWYA==" saltValue="RIIbiPHvkzaOJ9Q/oZhWsA==" spinCount="100000" sheet="1" objects="1" scenarios="1" autoFilter="0"/>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499984740745262"/>
  </sheetPr>
  <dimension ref="B1:AA44"/>
  <sheetViews>
    <sheetView workbookViewId="0">
      <selection activeCell="X25" sqref="X25"/>
    </sheetView>
  </sheetViews>
  <sheetFormatPr defaultColWidth="9" defaultRowHeight="12.75" x14ac:dyDescent="0.2"/>
  <cols>
    <col min="1" max="1" width="2" style="4" bestFit="1" customWidth="1"/>
    <col min="2" max="2" width="14" style="4" customWidth="1"/>
    <col min="3" max="3" width="12.875" style="4" customWidth="1"/>
    <col min="4" max="4" width="6.125" style="4" customWidth="1"/>
    <col min="5" max="5" width="11.875" style="4" customWidth="1"/>
    <col min="6" max="6" width="6" style="4" customWidth="1"/>
    <col min="7" max="7" width="27.125" style="4" customWidth="1"/>
    <col min="8" max="8" width="19" style="10" customWidth="1"/>
    <col min="9" max="11" width="16.875" style="4" customWidth="1"/>
    <col min="12" max="12" width="23.625" style="4" customWidth="1"/>
    <col min="13" max="13" width="16.875" style="4" customWidth="1"/>
    <col min="14" max="14" width="18.5" style="4" customWidth="1"/>
    <col min="15" max="18" width="16.875" style="4" customWidth="1"/>
    <col min="19" max="23" width="15.5" style="4" customWidth="1"/>
    <col min="24" max="24" width="10.25" style="4" bestFit="1" customWidth="1"/>
    <col min="25" max="16384" width="9" style="4"/>
  </cols>
  <sheetData>
    <row r="1" spans="2:27" ht="20.25" thickBot="1" x14ac:dyDescent="0.25">
      <c r="B1" s="65" t="s">
        <v>955</v>
      </c>
      <c r="C1" s="66"/>
      <c r="D1" s="66"/>
      <c r="E1" s="66"/>
      <c r="F1" s="66"/>
      <c r="G1" s="66"/>
      <c r="H1" s="66"/>
      <c r="I1" s="66"/>
      <c r="J1" s="66"/>
      <c r="K1" s="66"/>
      <c r="L1" s="66"/>
      <c r="M1" s="66"/>
      <c r="N1" s="66"/>
      <c r="O1" s="66"/>
      <c r="P1" s="66"/>
      <c r="Q1" s="66"/>
      <c r="R1" s="66"/>
    </row>
    <row r="2" spans="2:27" ht="13.5" thickTop="1" x14ac:dyDescent="0.2">
      <c r="H2" s="4"/>
    </row>
    <row r="3" spans="2:27" ht="17.25" thickBot="1" x14ac:dyDescent="0.25">
      <c r="B3" s="74" t="s">
        <v>49</v>
      </c>
      <c r="C3" s="74"/>
      <c r="D3" s="74"/>
      <c r="E3" s="74"/>
      <c r="F3" s="74"/>
      <c r="G3" s="74"/>
      <c r="H3" s="74"/>
      <c r="I3" s="74"/>
      <c r="J3" s="74"/>
      <c r="K3" s="74"/>
      <c r="L3" s="74"/>
      <c r="M3" s="74"/>
      <c r="N3" s="74"/>
      <c r="O3" s="74"/>
      <c r="P3" s="74"/>
      <c r="Q3" s="74"/>
      <c r="R3" s="74"/>
    </row>
    <row r="4" spans="2:27" ht="15.75" thickTop="1" x14ac:dyDescent="0.2">
      <c r="B4" s="75" t="s">
        <v>50</v>
      </c>
      <c r="C4" s="613" t="s">
        <v>1097</v>
      </c>
      <c r="D4" s="613"/>
      <c r="E4" s="613"/>
      <c r="F4" s="613"/>
      <c r="G4" s="613"/>
      <c r="H4" s="613"/>
      <c r="I4" s="613"/>
      <c r="J4" s="613"/>
      <c r="K4" s="613"/>
      <c r="L4" s="613"/>
      <c r="M4" s="613"/>
      <c r="N4" s="613"/>
      <c r="O4" s="613"/>
      <c r="P4" s="613"/>
      <c r="Q4" s="613"/>
      <c r="R4" s="613"/>
      <c r="S4" s="613"/>
      <c r="T4" s="613"/>
      <c r="U4" s="613"/>
      <c r="V4" s="613"/>
      <c r="W4" s="613"/>
      <c r="X4" s="613"/>
      <c r="Y4" s="613"/>
      <c r="Z4" s="613"/>
      <c r="AA4" s="613"/>
    </row>
    <row r="5" spans="2:27" ht="15" x14ac:dyDescent="0.2">
      <c r="B5" s="75"/>
      <c r="C5" s="613"/>
      <c r="D5" s="613"/>
      <c r="E5" s="613"/>
      <c r="F5" s="613"/>
      <c r="G5" s="613"/>
      <c r="H5" s="613"/>
      <c r="I5" s="613"/>
      <c r="J5" s="613"/>
      <c r="K5" s="613"/>
      <c r="L5" s="613"/>
      <c r="M5" s="613"/>
      <c r="N5" s="613"/>
      <c r="O5" s="613"/>
      <c r="P5" s="613"/>
      <c r="Q5" s="613"/>
      <c r="R5" s="613"/>
      <c r="S5" s="613"/>
      <c r="T5" s="613"/>
      <c r="U5" s="613"/>
      <c r="V5" s="613"/>
      <c r="W5" s="613"/>
      <c r="X5" s="613"/>
      <c r="Y5" s="613"/>
      <c r="Z5" s="613"/>
      <c r="AA5" s="613"/>
    </row>
    <row r="6" spans="2:27" ht="15" x14ac:dyDescent="0.2">
      <c r="B6" s="75" t="s">
        <v>111</v>
      </c>
      <c r="C6" s="4" t="s">
        <v>3718</v>
      </c>
      <c r="H6" s="4"/>
    </row>
    <row r="7" spans="2:27" ht="15" x14ac:dyDescent="0.2">
      <c r="B7" s="75" t="s">
        <v>113</v>
      </c>
      <c r="C7" s="216">
        <v>88800</v>
      </c>
      <c r="D7" t="s">
        <v>1073</v>
      </c>
      <c r="E7" s="301"/>
      <c r="F7" s="301"/>
      <c r="G7" s="301"/>
      <c r="H7" s="301"/>
      <c r="I7" s="301"/>
      <c r="J7" s="301"/>
      <c r="K7" s="301"/>
      <c r="L7" s="301"/>
      <c r="M7" s="301"/>
      <c r="N7" s="301"/>
      <c r="O7" s="301"/>
      <c r="P7" s="301"/>
    </row>
    <row r="8" spans="2:27" ht="15" x14ac:dyDescent="0.2">
      <c r="B8" s="75" t="s">
        <v>51</v>
      </c>
      <c r="C8" s="19">
        <v>6.25E-2</v>
      </c>
      <c r="D8" t="s">
        <v>1074</v>
      </c>
      <c r="E8" s="301"/>
      <c r="F8" s="301"/>
      <c r="G8" s="301"/>
      <c r="H8" s="301"/>
      <c r="I8" s="301"/>
      <c r="J8" s="301"/>
      <c r="K8" s="301"/>
      <c r="L8" s="301"/>
      <c r="M8" s="301"/>
      <c r="N8" s="301"/>
      <c r="O8" s="301"/>
      <c r="P8" s="301"/>
    </row>
    <row r="9" spans="2:27" ht="15" x14ac:dyDescent="0.25">
      <c r="B9" s="75"/>
      <c r="C9" s="302">
        <f>MRF_Labor!$J$20*40*52</f>
        <v>64281.323611852175</v>
      </c>
      <c r="D9" t="s">
        <v>1075</v>
      </c>
      <c r="E9" s="301"/>
      <c r="F9" s="301"/>
      <c r="G9" s="301"/>
      <c r="H9" s="301"/>
      <c r="I9" s="301"/>
      <c r="J9" s="301"/>
      <c r="K9" s="301"/>
      <c r="L9" s="301"/>
      <c r="M9" s="301"/>
      <c r="N9" s="301"/>
      <c r="O9" s="301"/>
      <c r="P9" s="301"/>
    </row>
    <row r="10" spans="2:27" ht="15" x14ac:dyDescent="0.2">
      <c r="B10" s="75" t="s">
        <v>53</v>
      </c>
      <c r="C10" s="104">
        <v>6.5000000000000002E-2</v>
      </c>
      <c r="D10" s="212" t="s">
        <v>1082</v>
      </c>
      <c r="H10" s="4"/>
    </row>
    <row r="11" spans="2:27" ht="15" x14ac:dyDescent="0.2">
      <c r="B11" s="75" t="s">
        <v>82</v>
      </c>
      <c r="C11" s="355" t="s">
        <v>3719</v>
      </c>
      <c r="H11" s="4"/>
    </row>
    <row r="12" spans="2:27" x14ac:dyDescent="0.2">
      <c r="H12" s="4"/>
    </row>
    <row r="13" spans="2:27" ht="15" x14ac:dyDescent="0.2">
      <c r="B13" s="67" t="s">
        <v>98</v>
      </c>
      <c r="C13" s="67"/>
      <c r="D13" s="67"/>
      <c r="E13" s="67"/>
      <c r="F13" s="67"/>
      <c r="G13" s="67"/>
      <c r="H13" s="68" t="s">
        <v>50</v>
      </c>
      <c r="I13" s="68" t="s">
        <v>50</v>
      </c>
      <c r="J13" s="68" t="s">
        <v>50</v>
      </c>
      <c r="K13" s="68" t="s">
        <v>50</v>
      </c>
      <c r="L13" s="68" t="s">
        <v>50</v>
      </c>
      <c r="M13" s="116" t="s">
        <v>110</v>
      </c>
      <c r="N13" s="106" t="s">
        <v>825</v>
      </c>
      <c r="O13" s="107" t="s">
        <v>79</v>
      </c>
      <c r="P13" s="107" t="s">
        <v>822</v>
      </c>
      <c r="Q13" s="107" t="s">
        <v>149</v>
      </c>
      <c r="R13" s="106" t="s">
        <v>79</v>
      </c>
      <c r="T13" s="315" t="s">
        <v>113</v>
      </c>
    </row>
    <row r="14" spans="2:27" ht="38.25" x14ac:dyDescent="0.2">
      <c r="B14" s="15" t="s">
        <v>877</v>
      </c>
      <c r="C14" s="15" t="s">
        <v>1062</v>
      </c>
      <c r="D14" s="15" t="s">
        <v>56</v>
      </c>
      <c r="E14" s="15" t="s">
        <v>57</v>
      </c>
      <c r="F14" s="15" t="s">
        <v>60</v>
      </c>
      <c r="G14" s="15" t="s">
        <v>61</v>
      </c>
      <c r="H14" s="16" t="s">
        <v>100</v>
      </c>
      <c r="I14" s="16" t="s">
        <v>99</v>
      </c>
      <c r="J14" s="16" t="s">
        <v>101</v>
      </c>
      <c r="K14" s="16" t="s">
        <v>102</v>
      </c>
      <c r="L14" s="15" t="s">
        <v>103</v>
      </c>
      <c r="M14" s="15" t="s">
        <v>1063</v>
      </c>
      <c r="N14" s="16" t="s">
        <v>105</v>
      </c>
      <c r="O14" s="16" t="s">
        <v>104</v>
      </c>
      <c r="P14" s="16" t="s">
        <v>106</v>
      </c>
      <c r="Q14" s="16" t="s">
        <v>107</v>
      </c>
      <c r="R14" s="15" t="s">
        <v>108</v>
      </c>
      <c r="S14" s="295" t="s">
        <v>1064</v>
      </c>
      <c r="T14" s="314" t="s">
        <v>126</v>
      </c>
    </row>
    <row r="15" spans="2:27" ht="15" x14ac:dyDescent="0.2">
      <c r="B15" s="69" t="s">
        <v>876</v>
      </c>
      <c r="C15" s="69" t="str">
        <f>_xlfn.CONCAT(DepotCostAllocations[[#This Row],[Grouping_ID]],"-",DepotCostAllocations[[#This Row],[Sector_ID]])</f>
        <v>1-4</v>
      </c>
      <c r="D15" s="69">
        <v>1</v>
      </c>
      <c r="E15" s="4" t="str">
        <f>INDEX(Grouping[Grouping_Name],MATCH(DepotCostAllocations[[#This Row],[Grouping_ID]],Grouping[Grouping_ID],0))</f>
        <v>1 - Metro area</v>
      </c>
      <c r="F15" s="14">
        <v>4</v>
      </c>
      <c r="G15" s="4" t="str">
        <f>INDEX(Sector[Sector_Name],MATCH(DepotCostAllocations[[#This Row],[Sector_ID]],Sector[Sector_ID],0))</f>
        <v>Self-haul (excluding Bottle Bill)</v>
      </c>
      <c r="H15" s="70">
        <v>4.0858833893375163E-2</v>
      </c>
      <c r="I15" s="70">
        <v>0.37281830936646065</v>
      </c>
      <c r="J15" s="70">
        <v>9.028860494314668E-2</v>
      </c>
      <c r="K15" s="70">
        <v>0.3302229137443663</v>
      </c>
      <c r="L15" s="70">
        <v>0.16581133805265122</v>
      </c>
      <c r="M15" s="71">
        <v>75.035310064250794</v>
      </c>
      <c r="N15" s="72">
        <f>DepotCostAllocations[[#This Row],[Capital_Pct]]*DepotCostAllocations[[#This Row],[Total_Cost_Per_Ton_2018]]*INDEX(Inflation[Escalator],MATCH(N$13,Inflation[Financial_ID],0))</f>
        <v>3.2966387146545362</v>
      </c>
      <c r="O15" s="72">
        <f>DepotCostAllocations[[#This Row],[Labor_Pct]]*DepotCostAllocations[[#This Row],[Total_Cost_Per_Ton_2018]]*INDEX(Inflation[Escalator],MATCH(O$13,Inflation[Financial_ID],0))</f>
        <v>31.299039943488577</v>
      </c>
      <c r="P15" s="72">
        <f>DepotCostAllocations[[#This Row],[Operations_Pct]]*DepotCostAllocations[[#This Row],[Total_Cost_Per_Ton_2018]]*INDEX(Inflation[Escalator],MATCH(P$13,Inflation[Financial_ID],0))</f>
        <v>7.507169942445052</v>
      </c>
      <c r="Q15" s="72">
        <f>DepotCostAllocations[[#This Row],[Transport_Pct]]*DepotCostAllocations[[#This Row],[Total_Cost_Per_Ton_2018]]*INDEX(Inflation[Escalator],MATCH(Q$13,Inflation[Financial_ID],0))</f>
        <v>27.243260786119947</v>
      </c>
      <c r="R15" s="72">
        <f>DepotCostAllocations[[#This Row],[Admin_Pct]]*DepotCostAllocations[[#This Row],[Total_Cost_Per_Ton_2018]]*INDEX(Inflation[Escalator],MATCH(R$13,Inflation[Financial_ID],0))</f>
        <v>13.92028117291842</v>
      </c>
      <c r="S15" s="294">
        <f>SUM(DepotCostAllocations[[#This Row],[Labor_Cost_Per_Ton]:[Admin_Cost_Per_Ton]])</f>
        <v>79.969751844971995</v>
      </c>
      <c r="T15" s="316">
        <v>270</v>
      </c>
    </row>
    <row r="16" spans="2:27" ht="15" x14ac:dyDescent="0.2">
      <c r="B16" s="69" t="s">
        <v>876</v>
      </c>
      <c r="C16" s="69" t="str">
        <f>_xlfn.CONCAT(DepotCostAllocations[[#This Row],[Grouping_ID]],"-",DepotCostAllocations[[#This Row],[Sector_ID]])</f>
        <v>2-4</v>
      </c>
      <c r="D16" s="14">
        <v>2</v>
      </c>
      <c r="E16" s="4" t="str">
        <f>INDEX(Grouping[Grouping_Name],MATCH(DepotCostAllocations[[#This Row],[Grouping_ID]],Grouping[Grouping_ID],0))</f>
        <v>2 - Willamette Valley, etc.</v>
      </c>
      <c r="F16" s="14">
        <v>4</v>
      </c>
      <c r="G16" s="4" t="str">
        <f>INDEX(Sector[Sector_Name],MATCH(DepotCostAllocations[[#This Row],[Sector_ID]],Sector[Sector_ID],0))</f>
        <v>Self-haul (excluding Bottle Bill)</v>
      </c>
      <c r="H16" s="70">
        <v>0.04</v>
      </c>
      <c r="I16" s="70">
        <v>0.45</v>
      </c>
      <c r="J16" s="70">
        <v>0.15</v>
      </c>
      <c r="K16" s="70">
        <v>0.28000000000000003</v>
      </c>
      <c r="L16" s="70">
        <v>0.08</v>
      </c>
      <c r="M16" s="71">
        <v>284.95652070041956</v>
      </c>
      <c r="N16" s="72">
        <f>DepotCostAllocations[[#This Row],[Capital_Pct]]*DepotCostAllocations[[#This Row],[Total_Cost_Per_Ton_2018]]*INDEX(Inflation[Escalator],MATCH(N$13,Inflation[Financial_ID],0))</f>
        <v>12.256269332870135</v>
      </c>
      <c r="O16" s="72">
        <f>DepotCostAllocations[[#This Row],[Labor_Pct]]*DepotCostAllocations[[#This Row],[Total_Cost_Per_Ton_2018]]*INDEX(Inflation[Escalator],MATCH(O$13,Inflation[Financial_ID],0))</f>
        <v>143.46937796826759</v>
      </c>
      <c r="P16" s="72">
        <f>DepotCostAllocations[[#This Row],[Operations_Pct]]*DepotCostAllocations[[#This Row],[Total_Cost_Per_Ton_2018]]*INDEX(Inflation[Escalator],MATCH(P$13,Inflation[Financial_ID],0))</f>
        <v>47.363902835469069</v>
      </c>
      <c r="Q16" s="72">
        <f>DepotCostAllocations[[#This Row],[Transport_Pct]]*DepotCostAllocations[[#This Row],[Total_Cost_Per_Ton_2018]]*INDEX(Inflation[Escalator],MATCH(Q$13,Inflation[Financial_ID],0))</f>
        <v>87.724889913485725</v>
      </c>
      <c r="R16" s="72">
        <f>DepotCostAllocations[[#This Row],[Admin_Pct]]*DepotCostAllocations[[#This Row],[Total_Cost_Per_Ton_2018]]*INDEX(Inflation[Escalator],MATCH(R$13,Inflation[Financial_ID],0))</f>
        <v>25.505667194358683</v>
      </c>
      <c r="S16" s="294">
        <f>SUM(DepotCostAllocations[[#This Row],[Labor_Cost_Per_Ton]:[Admin_Cost_Per_Ton]])</f>
        <v>304.06383791158112</v>
      </c>
      <c r="T16" s="316">
        <v>270</v>
      </c>
    </row>
    <row r="17" spans="2:25" ht="15" x14ac:dyDescent="0.2">
      <c r="B17" s="69" t="s">
        <v>876</v>
      </c>
      <c r="C17" s="69" t="str">
        <f>_xlfn.CONCAT(DepotCostAllocations[[#This Row],[Grouping_ID]],"-",DepotCostAllocations[[#This Row],[Sector_ID]])</f>
        <v>3-4</v>
      </c>
      <c r="D17" s="69">
        <v>3</v>
      </c>
      <c r="E17" s="4" t="str">
        <f>INDEX(Grouping[Grouping_Name],MATCH(DepotCostAllocations[[#This Row],[Grouping_ID]],Grouping[Grouping_ID],0))</f>
        <v>3 - Other areas with curbside</v>
      </c>
      <c r="F17" s="14">
        <v>4</v>
      </c>
      <c r="G17" s="4" t="str">
        <f>INDEX(Sector[Sector_Name],MATCH(DepotCostAllocations[[#This Row],[Sector_ID]],Sector[Sector_ID],0))</f>
        <v>Self-haul (excluding Bottle Bill)</v>
      </c>
      <c r="H17" s="70">
        <v>4.6239755282200631E-2</v>
      </c>
      <c r="I17" s="73">
        <v>0.61780688120725802</v>
      </c>
      <c r="J17" s="70">
        <v>0.12523112456903879</v>
      </c>
      <c r="K17" s="70">
        <v>0.1736538260690671</v>
      </c>
      <c r="L17" s="70">
        <v>3.706841287243548E-2</v>
      </c>
      <c r="M17" s="71">
        <v>234.77127626060818</v>
      </c>
      <c r="N17" s="72">
        <f>DepotCostAllocations[[#This Row],[Capital_Pct]]*DepotCostAllocations[[#This Row],[Total_Cost_Per_Ton_2018]]*INDEX(Inflation[Escalator],MATCH(N$13,Inflation[Financial_ID],0))</f>
        <v>11.672938385056375</v>
      </c>
      <c r="O17" s="72">
        <f>DepotCostAllocations[[#This Row],[Labor_Pct]]*DepotCostAllocations[[#This Row],[Total_Cost_Per_Ton_2018]]*INDEX(Inflation[Escalator],MATCH(O$13,Inflation[Financial_ID],0))</f>
        <v>162.28030087349444</v>
      </c>
      <c r="P17" s="72">
        <f>DepotCostAllocations[[#This Row],[Operations_Pct]]*DepotCostAllocations[[#This Row],[Total_Cost_Per_Ton_2018]]*INDEX(Inflation[Escalator],MATCH(P$13,Inflation[Financial_ID],0))</f>
        <v>32.578783560880098</v>
      </c>
      <c r="Q17" s="72">
        <f>DepotCostAllocations[[#This Row],[Transport_Pct]]*DepotCostAllocations[[#This Row],[Total_Cost_Per_Ton_2018]]*INDEX(Inflation[Escalator],MATCH(Q$13,Inflation[Financial_ID],0))</f>
        <v>44.824506661814482</v>
      </c>
      <c r="R17" s="72">
        <f>DepotCostAllocations[[#This Row],[Admin_Pct]]*DepotCostAllocations[[#This Row],[Total_Cost_Per_Ton_2018]]*INDEX(Inflation[Escalator],MATCH(R$13,Inflation[Financial_ID],0))</f>
        <v>9.7368180524096655</v>
      </c>
      <c r="S17" s="294">
        <f>SUM(DepotCostAllocations[[#This Row],[Labor_Cost_Per_Ton]:[Admin_Cost_Per_Ton]])</f>
        <v>249.42040914859871</v>
      </c>
      <c r="T17" s="316">
        <v>232</v>
      </c>
    </row>
    <row r="18" spans="2:25" ht="15" x14ac:dyDescent="0.2">
      <c r="B18" s="69" t="s">
        <v>876</v>
      </c>
      <c r="C18" s="69" t="str">
        <f>_xlfn.CONCAT(DepotCostAllocations[[#This Row],[Grouping_ID]],"-",DepotCostAllocations[[#This Row],[Sector_ID]])</f>
        <v>4-4</v>
      </c>
      <c r="D18" s="14">
        <v>4</v>
      </c>
      <c r="E18" s="4" t="str">
        <f>INDEX(Grouping[Grouping_Name],MATCH(DepotCostAllocations[[#This Row],[Grouping_ID]],Grouping[Grouping_ID],0))</f>
        <v>4 - Areas without curbside</v>
      </c>
      <c r="F18" s="14">
        <v>4</v>
      </c>
      <c r="G18" s="4" t="str">
        <f>INDEX(Sector[Sector_Name],MATCH(DepotCostAllocations[[#This Row],[Sector_ID]],Sector[Sector_ID],0))</f>
        <v>Self-haul (excluding Bottle Bill)</v>
      </c>
      <c r="H18" s="70">
        <v>4.6239755282200631E-2</v>
      </c>
      <c r="I18" s="73">
        <v>0.61780688120725802</v>
      </c>
      <c r="J18" s="70">
        <v>0.12523112456903879</v>
      </c>
      <c r="K18" s="70">
        <v>0.1736538260690671</v>
      </c>
      <c r="L18" s="70">
        <v>3.706841287243548E-2</v>
      </c>
      <c r="M18" s="71">
        <v>284.95999999999998</v>
      </c>
      <c r="N18" s="72">
        <f>DepotCostAllocations[[#This Row],[Capital_Pct]]*DepotCostAllocations[[#This Row],[Total_Cost_Per_Ton_2018]]*INDEX(Inflation[Escalator],MATCH(N$13,Inflation[Financial_ID],0))</f>
        <v>14.168345358029564</v>
      </c>
      <c r="O18" s="72">
        <f>DepotCostAllocations[[#This Row],[Labor_Pct]]*DepotCostAllocations[[#This Row],[Total_Cost_Per_Ton_2018]]*INDEX(Inflation[Escalator],MATCH(O$13,Inflation[Financial_ID],0))</f>
        <v>196.97211376735214</v>
      </c>
      <c r="P18" s="72">
        <f>DepotCostAllocations[[#This Row],[Operations_Pct]]*DepotCostAllocations[[#This Row],[Total_Cost_Per_Ton_2018]]*INDEX(Inflation[Escalator],MATCH(P$13,Inflation[Financial_ID],0))</f>
        <v>39.543381589846042</v>
      </c>
      <c r="Q18" s="72">
        <f>DepotCostAllocations[[#This Row],[Transport_Pct]]*DepotCostAllocations[[#This Row],[Total_Cost_Per_Ton_2018]]*INDEX(Inflation[Escalator],MATCH(Q$13,Inflation[Financial_ID],0))</f>
        <v>54.406959922012582</v>
      </c>
      <c r="R18" s="72">
        <f>DepotCostAllocations[[#This Row],[Admin_Pct]]*DepotCostAllocations[[#This Row],[Total_Cost_Per_Ton_2018]]*INDEX(Inflation[Escalator],MATCH(R$13,Inflation[Financial_ID],0))</f>
        <v>11.818326826041128</v>
      </c>
      <c r="S18" s="294">
        <f>SUM(DepotCostAllocations[[#This Row],[Labor_Cost_Per_Ton]:[Admin_Cost_Per_Ton]])</f>
        <v>302.74078210525187</v>
      </c>
      <c r="T18" s="316">
        <v>232</v>
      </c>
    </row>
    <row r="20" spans="2:25" ht="14.25" x14ac:dyDescent="0.2">
      <c r="B20"/>
      <c r="C20"/>
      <c r="D20"/>
      <c r="E20"/>
      <c r="F20"/>
    </row>
    <row r="21" spans="2:25" ht="14.25" x14ac:dyDescent="0.2">
      <c r="B21"/>
      <c r="C21"/>
      <c r="D21"/>
      <c r="E21"/>
      <c r="F21"/>
      <c r="Q21" s="462"/>
    </row>
    <row r="22" spans="2:25" x14ac:dyDescent="0.2">
      <c r="H22" s="4"/>
      <c r="I22" s="10"/>
      <c r="Q22" s="462"/>
    </row>
    <row r="23" spans="2:25" ht="15" x14ac:dyDescent="0.2">
      <c r="B23" s="67" t="s">
        <v>109</v>
      </c>
      <c r="C23" s="67"/>
      <c r="D23" s="67"/>
      <c r="E23" s="67"/>
      <c r="F23" s="67"/>
      <c r="G23" s="67"/>
      <c r="H23" s="68" t="s">
        <v>111</v>
      </c>
      <c r="I23" s="332" t="s">
        <v>82</v>
      </c>
      <c r="K23" s="68"/>
      <c r="L23" s="68"/>
      <c r="M23" s="107" t="s">
        <v>113</v>
      </c>
      <c r="N23" s="107" t="s">
        <v>113</v>
      </c>
      <c r="O23" s="107" t="s">
        <v>113</v>
      </c>
      <c r="Q23" s="462"/>
      <c r="R23" s="106"/>
    </row>
    <row r="24" spans="2:25" ht="38.25" x14ac:dyDescent="0.2">
      <c r="B24" s="15" t="s">
        <v>877</v>
      </c>
      <c r="C24" s="15" t="s">
        <v>55</v>
      </c>
      <c r="D24" s="15" t="s">
        <v>56</v>
      </c>
      <c r="E24" s="15" t="s">
        <v>57</v>
      </c>
      <c r="F24" s="15" t="s">
        <v>60</v>
      </c>
      <c r="G24" s="15" t="s">
        <v>61</v>
      </c>
      <c r="H24" s="16" t="s">
        <v>105</v>
      </c>
      <c r="I24" s="16" t="s">
        <v>104</v>
      </c>
      <c r="J24" s="16" t="s">
        <v>106</v>
      </c>
      <c r="K24" s="16" t="s">
        <v>107</v>
      </c>
      <c r="L24" s="15" t="s">
        <v>108</v>
      </c>
      <c r="M24" s="16" t="s">
        <v>1070</v>
      </c>
      <c r="N24" s="16" t="s">
        <v>1071</v>
      </c>
      <c r="O24" s="16" t="s">
        <v>1069</v>
      </c>
      <c r="P24" s="15" t="s">
        <v>1072</v>
      </c>
      <c r="Q24" s="15" t="s">
        <v>1066</v>
      </c>
      <c r="R24" s="15" t="s">
        <v>1067</v>
      </c>
      <c r="S24" s="15" t="s">
        <v>1091</v>
      </c>
      <c r="T24" s="15" t="s">
        <v>1092</v>
      </c>
      <c r="U24" s="15" t="s">
        <v>1093</v>
      </c>
      <c r="V24" s="15" t="s">
        <v>1094</v>
      </c>
      <c r="W24" s="15" t="s">
        <v>1095</v>
      </c>
      <c r="X24" s="319" t="s">
        <v>1068</v>
      </c>
    </row>
    <row r="25" spans="2:25" ht="15" x14ac:dyDescent="0.2">
      <c r="B25" s="69" t="s">
        <v>876</v>
      </c>
      <c r="C25" s="69" t="str">
        <f>_xlfn.CONCAT(DepotCostAllocations2025[[#This Row],[Grouping_ID]],"-",DepotCostAllocations2025[[#This Row],[Sector_ID]])</f>
        <v>1-4</v>
      </c>
      <c r="D25" s="69">
        <v>1</v>
      </c>
      <c r="E25" s="4" t="str">
        <f>INDEX(Grouping[Grouping_Name],MATCH(DepotCostAllocations2025[[#This Row],[Grouping_ID]],Grouping[Grouping_ID],0))</f>
        <v>1 - Metro area</v>
      </c>
      <c r="F25" s="14">
        <v>4</v>
      </c>
      <c r="G25" s="4" t="str">
        <f>INDEX(Sector[Sector_Name],MATCH(DepotCostAllocations2025[[#This Row],[Sector_ID]],Sector[Sector_ID],0))</f>
        <v>Self-haul (excluding Bottle Bill)</v>
      </c>
      <c r="H25" s="305">
        <f>IF(OR(DepotCostAllocations2025[[#This Row],[Scenario_ID]]="S0",DepotCostAllocations2025[[#This Row],[Scenario_ID]]="S1"),1,2)*SUMIFS(DepotCostAllocations[Capital_Cost_Per_Ton],DepotCostAllocations[Collection_ID2],DepotCostAllocations2025[[#This Row],[Collection_ID]])</f>
        <v>3.2966387146545362</v>
      </c>
      <c r="I25" s="305">
        <f>IF(DepotCostAllocations2025[[#This Row],[Scenario_ID]]="S0",1,1.25)*SUMIFS(DepotCostAllocations[Labor_Cost_Per_Ton],DepotCostAllocations[Collection_ID2],DepotCostAllocations2025[[#This Row],[Collection_ID]])</f>
        <v>31.299039943488577</v>
      </c>
      <c r="J25" s="305">
        <f>SUMIFS(DepotCostAllocations[Operations_Cost_Per_Ton],DepotCostAllocations[Collection_ID2],DepotCostAllocations2025[[#This Row],[Collection_ID]])</f>
        <v>7.507169942445052</v>
      </c>
      <c r="K25" s="305">
        <f>SUMIFS(DepotCostAllocations[Transport_Cost_Per_Ton],DepotCostAllocations[Collection_ID2],DepotCostAllocations2025[[#This Row],[Collection_ID]])</f>
        <v>27.243260786119947</v>
      </c>
      <c r="L25" s="305">
        <f>SUMIFS(DepotCostAllocations[Admin_Cost_Per_Ton],DepotCostAllocations[Collection_ID2],DepotCostAllocations2025[[#This Row],[Collection_ID]])</f>
        <v>13.92028117291842</v>
      </c>
      <c r="M25" s="306">
        <f>$C$8*DepotCostAllocations2025[[#This Row],[PS_Foam_Tons]]</f>
        <v>3.9288232928936585E-4</v>
      </c>
      <c r="N25" s="307">
        <f>$C$9*DepotCostAllocations2025[[#This Row],[Densifier_Operator_FTE]]</f>
        <v>25.254996150427996</v>
      </c>
      <c r="O25" s="305">
        <f>IF(OR(DepotCostAllocations2025[[#This Row],[Scenario_ID]]="S0",DepotCostAllocations2025[[#This Row],[Scenario_ID]]="S1"),0,1)*$C$7*DepotCostAllocations2025[[#This Row],[PS_Foam_Tons]]/SUMIFS(DepotCostAllocations2025[PS_Foam_Tons],DepotCostAllocations2025[Scenario_ID],DepotCostAllocations2025[[#This Row],[Scenario_ID]])</f>
        <v>0</v>
      </c>
      <c r="P25" s="311">
        <f>SUMIFS(DepotTons[Tons_Excluding_Scrap_Metal],DepotTons[Scenario_ID],DepotCostAllocations2025[[#This Row],[Scenario_ID]],DepotTons[Collection_ID],DepotCostAllocations2025[[#This Row],[Collection_ID]])</f>
        <v>3664.457679387614</v>
      </c>
      <c r="Q25" s="311">
        <f>SUMIFS(DepotTons[Scrap_Metal_Tons],DepotTons[Scenario_ID],DepotCostAllocations2025[[#This Row],[Scenario_ID]],DepotTons[Collection_ID],DepotCostAllocations2025[[#This Row],[Collection_ID]])</f>
        <v>1208.699586158147</v>
      </c>
      <c r="R25" s="311">
        <f>SUMIFS(DepotTons[PS_Foam_Tons],DepotTons[Scenario_ID],DepotCostAllocations2025[[#This Row],[Scenario_ID]],DepotTons[Collection_ID],DepotCostAllocations2025[[#This Row],[Collection_ID]])</f>
        <v>6.2861172686298535E-3</v>
      </c>
      <c r="S25" s="312">
        <f>DepotCostAllocations2025[[#This Row],[Capital_Cost_Per_Ton]]*DepotCostAllocations2025[[#This Row],[Tons_Excluding_Scrap_Metal]]+PMT($C$10,10,-DepotCostAllocations2025[[#This Row],[Foam_Densifier_Capital_Cost]])</f>
        <v>12080.393054082328</v>
      </c>
      <c r="T25" s="313">
        <f>DepotCostAllocations2025[[#This Row],[Labor_Cost_Per_Ton]]*DepotCostAllocations2025[[#This Row],[Tons_Excluding_Scrap_Metal]]+DepotCostAllocations2025[[#This Row],[Densifier_Operator_Cost]]</f>
        <v>114719.26227452682</v>
      </c>
      <c r="U25" s="313">
        <f>DepotCostAllocations2025[[#This Row],[Operations_Cost_Per_Ton]]*DepotCostAllocations2025[[#This Row],[Tons_Excluding_Scrap_Metal]]</f>
        <v>27509.706546060643</v>
      </c>
      <c r="V25" s="313">
        <f>DepotCostAllocations2025[[#This Row],[Transport_Cost_Per_Ton]]*DepotCostAllocations2025[[#This Row],[Tons_Excluding_Scrap_Metal]]</f>
        <v>99831.776199256681</v>
      </c>
      <c r="W25" s="313">
        <f>DepotCostAllocations2025[[#This Row],[Admin_Cost_Per_Ton]]*DepotCostAllocations2025[[#This Row],[Tons_Excluding_Scrap_Metal]]</f>
        <v>51010.281243335725</v>
      </c>
      <c r="X25"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13.572458361542676</v>
      </c>
      <c r="Y25" s="6"/>
    </row>
    <row r="26" spans="2:25" ht="15" x14ac:dyDescent="0.2">
      <c r="B26" s="69" t="s">
        <v>876</v>
      </c>
      <c r="C26" s="69" t="str">
        <f>_xlfn.CONCAT(DepotCostAllocations2025[[#This Row],[Grouping_ID]],"-",DepotCostAllocations2025[[#This Row],[Sector_ID]])</f>
        <v>2-4</v>
      </c>
      <c r="D26" s="14">
        <v>2</v>
      </c>
      <c r="E26" s="4" t="str">
        <f>INDEX(Grouping[Grouping_Name],MATCH(DepotCostAllocations2025[[#This Row],[Grouping_ID]],Grouping[Grouping_ID],0))</f>
        <v>2 - Willamette Valley, etc.</v>
      </c>
      <c r="F26" s="14">
        <v>4</v>
      </c>
      <c r="G26" s="4" t="str">
        <f>INDEX(Sector[Sector_Name],MATCH(DepotCostAllocations2025[[#This Row],[Sector_ID]],Sector[Sector_ID],0))</f>
        <v>Self-haul (excluding Bottle Bill)</v>
      </c>
      <c r="H26" s="305">
        <f>IF(OR(DepotCostAllocations2025[[#This Row],[Scenario_ID]]="S0",DepotCostAllocations2025[[#This Row],[Scenario_ID]]="S1"),1,2)*SUMIFS(DepotCostAllocations[Capital_Cost_Per_Ton],DepotCostAllocations[Collection_ID2],DepotCostAllocations2025[[#This Row],[Collection_ID]])</f>
        <v>12.256269332870135</v>
      </c>
      <c r="I26" s="305">
        <f>IF(DepotCostAllocations2025[[#This Row],[Scenario_ID]]="S0",1,1.25)*SUMIFS(DepotCostAllocations[Labor_Cost_Per_Ton],DepotCostAllocations[Collection_ID2],DepotCostAllocations2025[[#This Row],[Collection_ID]])</f>
        <v>143.46937796826759</v>
      </c>
      <c r="J26" s="305">
        <f>SUMIFS(DepotCostAllocations[Operations_Cost_Per_Ton],DepotCostAllocations[Collection_ID2],DepotCostAllocations2025[[#This Row],[Collection_ID]])</f>
        <v>47.363902835469069</v>
      </c>
      <c r="K26" s="305">
        <f>SUMIFS(DepotCostAllocations[Transport_Cost_Per_Ton],DepotCostAllocations[Collection_ID2],DepotCostAllocations2025[[#This Row],[Collection_ID]])</f>
        <v>87.724889913485725</v>
      </c>
      <c r="L26" s="305">
        <f>SUMIFS(DepotCostAllocations[Admin_Cost_Per_Ton],DepotCostAllocations[Collection_ID2],DepotCostAllocations2025[[#This Row],[Collection_ID]])</f>
        <v>25.505667194358683</v>
      </c>
      <c r="M26" s="306">
        <f>$C$8*DepotCostAllocations2025[[#This Row],[PS_Foam_Tons]]</f>
        <v>6.2112901418921826E-4</v>
      </c>
      <c r="N26" s="307">
        <f>$C$9*DepotCostAllocations2025[[#This Row],[Densifier_Operator_FTE]]</f>
        <v>39.92699516580786</v>
      </c>
      <c r="O26"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26" s="311">
        <f>SUMIFS(DepotTons[Tons_Excluding_Scrap_Metal],DepotTons[Scenario_ID],DepotCostAllocations2025[[#This Row],[Scenario_ID]],DepotTons[Collection_ID],DepotCostAllocations2025[[#This Row],[Collection_ID]])</f>
        <v>18334.805521901158</v>
      </c>
      <c r="Q26" s="311">
        <f>SUMIFS(DepotTons[Scrap_Metal_Tons],DepotTons[Scenario_ID],DepotCostAllocations2025[[#This Row],[Scenario_ID]],DepotTons[Collection_ID],DepotCostAllocations2025[[#This Row],[Collection_ID]])</f>
        <v>5211.3592078475976</v>
      </c>
      <c r="R26" s="311">
        <f>SUMIFS(DepotTons[PS_Foam_Tons],DepotTons[Scenario_ID],DepotCostAllocations2025[[#This Row],[Scenario_ID]],DepotTons[Collection_ID],DepotCostAllocations2025[[#This Row],[Collection_ID]])</f>
        <v>9.9380642270274922E-3</v>
      </c>
      <c r="S26" s="312">
        <f>DepotCostAllocations2025[[#This Row],[Capital_Cost_Per_Ton]]*DepotCostAllocations2025[[#This Row],[Tons_Excluding_Scrap_Metal]]+PMT($C$10,10,-DepotCostAllocations2025[[#This Row],[Foam_Densifier_Capital_Cost]])</f>
        <v>224716.31464221518</v>
      </c>
      <c r="T26" s="313">
        <f>DepotCostAllocations2025[[#This Row],[Labor_Cost_Per_Ton]]*DepotCostAllocations2025[[#This Row],[Tons_Excluding_Scrap_Metal]]+DepotCostAllocations2025[[#This Row],[Densifier_Operator_Cost]]</f>
        <v>2630523.0703914827</v>
      </c>
      <c r="U26" s="313">
        <f>DepotCostAllocations2025[[#This Row],[Operations_Cost_Per_Ton]]*DepotCostAllocations2025[[#This Row],[Tons_Excluding_Scrap_Metal]]</f>
        <v>868407.94724654825</v>
      </c>
      <c r="V26" s="313">
        <f>DepotCostAllocations2025[[#This Row],[Transport_Cost_Per_Ton]]*DepotCostAllocations2025[[#This Row],[Tons_Excluding_Scrap_Metal]]</f>
        <v>1608418.7959939493</v>
      </c>
      <c r="W26" s="313">
        <f>DepotCostAllocations2025[[#This Row],[Admin_Cost_Per_Ton]]*DepotCostAllocations2025[[#This Row],[Tons_Excluding_Scrap_Metal]]</f>
        <v>467641.44771490083</v>
      </c>
      <c r="X26"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67.907308247166625</v>
      </c>
    </row>
    <row r="27" spans="2:25" ht="15" x14ac:dyDescent="0.2">
      <c r="B27" s="69" t="s">
        <v>876</v>
      </c>
      <c r="C27" s="69" t="str">
        <f>_xlfn.CONCAT(DepotCostAllocations2025[[#This Row],[Grouping_ID]],"-",DepotCostAllocations2025[[#This Row],[Sector_ID]])</f>
        <v>3-4</v>
      </c>
      <c r="D27" s="69">
        <v>3</v>
      </c>
      <c r="E27" s="4" t="str">
        <f>INDEX(Grouping[Grouping_Name],MATCH(DepotCostAllocations2025[[#This Row],[Grouping_ID]],Grouping[Grouping_ID],0))</f>
        <v>3 - Other areas with curbside</v>
      </c>
      <c r="F27" s="14">
        <v>4</v>
      </c>
      <c r="G27" s="4" t="str">
        <f>INDEX(Sector[Sector_Name],MATCH(DepotCostAllocations2025[[#This Row],[Sector_ID]],Sector[Sector_ID],0))</f>
        <v>Self-haul (excluding Bottle Bill)</v>
      </c>
      <c r="H27" s="305">
        <f>IF(OR(DepotCostAllocations2025[[#This Row],[Scenario_ID]]="S0",DepotCostAllocations2025[[#This Row],[Scenario_ID]]="S1"),1,2)*SUMIFS(DepotCostAllocations[Capital_Cost_Per_Ton],DepotCostAllocations[Collection_ID2],DepotCostAllocations2025[[#This Row],[Collection_ID]])</f>
        <v>11.672938385056375</v>
      </c>
      <c r="I27" s="305">
        <f>IF(DepotCostAllocations2025[[#This Row],[Scenario_ID]]="S0",1,1.25)*SUMIFS(DepotCostAllocations[Labor_Cost_Per_Ton],DepotCostAllocations[Collection_ID2],DepotCostAllocations2025[[#This Row],[Collection_ID]])</f>
        <v>162.28030087349444</v>
      </c>
      <c r="J27" s="305">
        <f>SUMIFS(DepotCostAllocations[Operations_Cost_Per_Ton],DepotCostAllocations[Collection_ID2],DepotCostAllocations2025[[#This Row],[Collection_ID]])</f>
        <v>32.578783560880098</v>
      </c>
      <c r="K27" s="305">
        <f>SUMIFS(DepotCostAllocations[Transport_Cost_Per_Ton],DepotCostAllocations[Collection_ID2],DepotCostAllocations2025[[#This Row],[Collection_ID]])</f>
        <v>44.824506661814482</v>
      </c>
      <c r="L27" s="305">
        <f>SUMIFS(DepotCostAllocations[Admin_Cost_Per_Ton],DepotCostAllocations[Collection_ID2],DepotCostAllocations2025[[#This Row],[Collection_ID]])</f>
        <v>9.7368180524096655</v>
      </c>
      <c r="M27" s="306">
        <f>$C$8*DepotCostAllocations2025[[#This Row],[PS_Foam_Tons]]</f>
        <v>1.6036294829384351E-4</v>
      </c>
      <c r="N27" s="307">
        <f>$C$9*DepotCostAllocations2025[[#This Row],[Densifier_Operator_FTE]]</f>
        <v>10.308342574627272</v>
      </c>
      <c r="O27"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27" s="311">
        <f>SUMIFS(DepotTons[Tons_Excluding_Scrap_Metal],DepotTons[Scenario_ID],DepotCostAllocations2025[[#This Row],[Scenario_ID]],DepotTons[Collection_ID],DepotCostAllocations2025[[#This Row],[Collection_ID]])</f>
        <v>10448.678289681484</v>
      </c>
      <c r="Q27" s="311">
        <f>SUMIFS(DepotTons[Scrap_Metal_Tons],DepotTons[Scenario_ID],DepotCostAllocations2025[[#This Row],[Scenario_ID]],DepotTons[Collection_ID],DepotCostAllocations2025[[#This Row],[Collection_ID]])</f>
        <v>1287.303248860916</v>
      </c>
      <c r="R27" s="311">
        <f>SUMIFS(DepotTons[PS_Foam_Tons],DepotTons[Scenario_ID],DepotCostAllocations2025[[#This Row],[Scenario_ID]],DepotTons[Collection_ID],DepotCostAllocations2025[[#This Row],[Collection_ID]])</f>
        <v>2.5658071727014961E-3</v>
      </c>
      <c r="S27" s="312">
        <f>DepotCostAllocations2025[[#This Row],[Capital_Cost_Per_Ton]]*DepotCostAllocations2025[[#This Row],[Tons_Excluding_Scrap_Metal]]+PMT($C$10,10,-DepotCostAllocations2025[[#This Row],[Foam_Densifier_Capital_Cost]])</f>
        <v>121966.77788072819</v>
      </c>
      <c r="T27" s="313">
        <f>DepotCostAllocations2025[[#This Row],[Labor_Cost_Per_Ton]]*DepotCostAllocations2025[[#This Row],[Tons_Excluding_Scrap_Metal]]+DepotCostAllocations2025[[#This Row],[Densifier_Operator_Cost]]</f>
        <v>1695624.9649224351</v>
      </c>
      <c r="U27" s="313">
        <f>DepotCostAllocations2025[[#This Row],[Operations_Cost_Per_Ton]]*DepotCostAllocations2025[[#This Row],[Tons_Excluding_Scrap_Metal]]</f>
        <v>340405.22849679989</v>
      </c>
      <c r="V27" s="313">
        <f>DepotCostAllocations2025[[#This Row],[Transport_Cost_Per_Ton]]*DepotCostAllocations2025[[#This Row],[Tons_Excluding_Scrap_Metal]]</f>
        <v>468356.84960298403</v>
      </c>
      <c r="W27" s="313">
        <f>DepotCostAllocations2025[[#This Row],[Admin_Cost_Per_Ton]]*DepotCostAllocations2025[[#This Row],[Tons_Excluding_Scrap_Metal]]</f>
        <v>101736.87939479163</v>
      </c>
      <c r="X27"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45.03756678398917</v>
      </c>
    </row>
    <row r="28" spans="2:25" ht="15" x14ac:dyDescent="0.2">
      <c r="B28" s="69" t="s">
        <v>876</v>
      </c>
      <c r="C28" s="69" t="str">
        <f>_xlfn.CONCAT(DepotCostAllocations2025[[#This Row],[Grouping_ID]],"-",DepotCostAllocations2025[[#This Row],[Sector_ID]])</f>
        <v>4-4</v>
      </c>
      <c r="D28" s="14">
        <v>4</v>
      </c>
      <c r="E28" s="4" t="str">
        <f>INDEX(Grouping[Grouping_Name],MATCH(DepotCostAllocations2025[[#This Row],[Grouping_ID]],Grouping[Grouping_ID],0))</f>
        <v>4 - Areas without curbside</v>
      </c>
      <c r="F28" s="14">
        <v>4</v>
      </c>
      <c r="G28" s="4" t="str">
        <f>INDEX(Sector[Sector_Name],MATCH(DepotCostAllocations2025[[#This Row],[Sector_ID]],Sector[Sector_ID],0))</f>
        <v>Self-haul (excluding Bottle Bill)</v>
      </c>
      <c r="H28" s="305">
        <f>IF(OR(DepotCostAllocations2025[[#This Row],[Scenario_ID]]="S0",DepotCostAllocations2025[[#This Row],[Scenario_ID]]="S1"),1,2)*SUMIFS(DepotCostAllocations[Capital_Cost_Per_Ton],DepotCostAllocations[Collection_ID2],DepotCostAllocations2025[[#This Row],[Collection_ID]])</f>
        <v>14.168345358029564</v>
      </c>
      <c r="I28" s="305">
        <f>IF(DepotCostAllocations2025[[#This Row],[Scenario_ID]]="S0",1,1.25)*SUMIFS(DepotCostAllocations[Labor_Cost_Per_Ton],DepotCostAllocations[Collection_ID2],DepotCostAllocations2025[[#This Row],[Collection_ID]])</f>
        <v>196.97211376735214</v>
      </c>
      <c r="J28" s="305">
        <f>SUMIFS(DepotCostAllocations[Operations_Cost_Per_Ton],DepotCostAllocations[Collection_ID2],DepotCostAllocations2025[[#This Row],[Collection_ID]])</f>
        <v>39.543381589846042</v>
      </c>
      <c r="K28" s="305">
        <f>SUMIFS(DepotCostAllocations[Transport_Cost_Per_Ton],DepotCostAllocations[Collection_ID2],DepotCostAllocations2025[[#This Row],[Collection_ID]])</f>
        <v>54.406959922012582</v>
      </c>
      <c r="L28" s="305">
        <f>SUMIFS(DepotCostAllocations[Admin_Cost_Per_Ton],DepotCostAllocations[Collection_ID2],DepotCostAllocations2025[[#This Row],[Collection_ID]])</f>
        <v>11.818326826041128</v>
      </c>
      <c r="M28" s="306">
        <f>$C$8*DepotCostAllocations2025[[#This Row],[PS_Foam_Tons]]</f>
        <v>7.4991231367678886E-3</v>
      </c>
      <c r="N28" s="307">
        <f>$C$9*DepotCostAllocations2025[[#This Row],[Densifier_Operator_FTE]]</f>
        <v>482.0535611597046</v>
      </c>
      <c r="O28"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28" s="311">
        <f>SUMIFS(DepotTons[Tons_Excluding_Scrap_Metal],DepotTons[Scenario_ID],DepotCostAllocations2025[[#This Row],[Scenario_ID]],DepotTons[Collection_ID],DepotCostAllocations2025[[#This Row],[Collection_ID]])</f>
        <v>26783.080442024653</v>
      </c>
      <c r="Q28" s="311">
        <f>SUMIFS(DepotTons[Scrap_Metal_Tons],DepotTons[Scenario_ID],DepotCostAllocations2025[[#This Row],[Scenario_ID]],DepotTons[Collection_ID],DepotCostAllocations2025[[#This Row],[Collection_ID]])</f>
        <v>11682.399622554176</v>
      </c>
      <c r="R28" s="311">
        <f>SUMIFS(DepotTons[PS_Foam_Tons],DepotTons[Scenario_ID],DepotCostAllocations2025[[#This Row],[Scenario_ID]],DepotTons[Collection_ID],DepotCostAllocations2025[[#This Row],[Collection_ID]])</f>
        <v>0.11998597018828622</v>
      </c>
      <c r="S28" s="312">
        <f>DepotCostAllocations2025[[#This Row],[Capital_Cost_Per_Ton]]*DepotCostAllocations2025[[#This Row],[Tons_Excluding_Scrap_Metal]]+PMT($C$10,10,-DepotCostAllocations2025[[#This Row],[Foam_Densifier_Capital_Cost]])</f>
        <v>379471.93345449236</v>
      </c>
      <c r="T28" s="313">
        <f>DepotCostAllocations2025[[#This Row],[Labor_Cost_Per_Ton]]*DepotCostAllocations2025[[#This Row],[Tons_Excluding_Scrap_Metal]]+DepotCostAllocations2025[[#This Row],[Densifier_Operator_Cost]]</f>
        <v>5276002.0214277832</v>
      </c>
      <c r="U28" s="313">
        <f>DepotCostAllocations2025[[#This Row],[Operations_Cost_Per_Ton]]*DepotCostAllocations2025[[#This Row],[Tons_Excluding_Scrap_Metal]]</f>
        <v>1059093.5700705233</v>
      </c>
      <c r="V28" s="313">
        <f>DepotCostAllocations2025[[#This Row],[Transport_Cost_Per_Ton]]*DepotCostAllocations2025[[#This Row],[Tons_Excluding_Scrap_Metal]]</f>
        <v>1457185.9841972743</v>
      </c>
      <c r="W28" s="313">
        <f>DepotCostAllocations2025[[#This Row],[Admin_Cost_Per_Ton]]*DepotCostAllocations2025[[#This Row],[Tons_Excluding_Scrap_Metal]]</f>
        <v>316531.19807199744</v>
      </c>
      <c r="X28"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115.45181137324303</v>
      </c>
    </row>
    <row r="29" spans="2:25" ht="15" x14ac:dyDescent="0.2">
      <c r="B29" s="69" t="s">
        <v>875</v>
      </c>
      <c r="C29" s="299" t="str">
        <f>_xlfn.CONCAT(DepotCostAllocations2025[[#This Row],[Grouping_ID]],"-",DepotCostAllocations2025[[#This Row],[Sector_ID]])</f>
        <v>1-4</v>
      </c>
      <c r="D29" s="69">
        <v>1</v>
      </c>
      <c r="E29" s="300" t="str">
        <f>INDEX(Grouping[Grouping_Name],MATCH(DepotCostAllocations2025[[#This Row],[Grouping_ID]],Grouping[Grouping_ID],0))</f>
        <v>1 - Metro area</v>
      </c>
      <c r="F29" s="14">
        <v>4</v>
      </c>
      <c r="G29" s="298" t="str">
        <f>INDEX(Sector[Sector_Name],MATCH(DepotCostAllocations2025[[#This Row],[Sector_ID]],Sector[Sector_ID],0))</f>
        <v>Self-haul (excluding Bottle Bill)</v>
      </c>
      <c r="H29" s="305">
        <f>IF(OR(DepotCostAllocations2025[[#This Row],[Scenario_ID]]="S0",DepotCostAllocations2025[[#This Row],[Scenario_ID]]="S1"),1,2)*SUMIFS(DepotCostAllocations[Capital_Cost_Per_Ton],DepotCostAllocations[Collection_ID2],DepotCostAllocations2025[[#This Row],[Collection_ID]])</f>
        <v>3.2966387146545362</v>
      </c>
      <c r="I29" s="308">
        <f>IF(DepotCostAllocations2025[[#This Row],[Scenario_ID]]="S0",1,1.25)*SUMIFS(DepotCostAllocations[Labor_Cost_Per_Ton],DepotCostAllocations[Collection_ID2],DepotCostAllocations2025[[#This Row],[Collection_ID]])</f>
        <v>39.123799929360722</v>
      </c>
      <c r="J29" s="305">
        <f>SUMIFS(DepotCostAllocations[Operations_Cost_Per_Ton],DepotCostAllocations[Collection_ID2],DepotCostAllocations2025[[#This Row],[Collection_ID]])</f>
        <v>7.507169942445052</v>
      </c>
      <c r="K29" s="305">
        <f>SUMIFS(DepotCostAllocations[Transport_Cost_Per_Ton],DepotCostAllocations[Collection_ID2],DepotCostAllocations2025[[#This Row],[Collection_ID]])</f>
        <v>27.243260786119947</v>
      </c>
      <c r="L29" s="305">
        <f>SUMIFS(DepotCostAllocations[Admin_Cost_Per_Ton],DepotCostAllocations[Collection_ID2],DepotCostAllocations2025[[#This Row],[Collection_ID]])</f>
        <v>13.92028117291842</v>
      </c>
      <c r="M29" s="309">
        <f>$C$8*DepotCostAllocations2025[[#This Row],[PS_Foam_Tons]]</f>
        <v>3.9288232928936585E-4</v>
      </c>
      <c r="N29" s="310">
        <f>$C$9*DepotCostAllocations2025[[#This Row],[Densifier_Operator_FTE]]</f>
        <v>25.254996150427996</v>
      </c>
      <c r="O29"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29" s="311">
        <f>SUMIFS(DepotTons[Tons_Excluding_Scrap_Metal],DepotTons[Scenario_ID],DepotCostAllocations2025[[#This Row],[Scenario_ID]],DepotTons[Collection_ID],DepotCostAllocations2025[[#This Row],[Collection_ID]])</f>
        <v>3636.3089935633734</v>
      </c>
      <c r="Q29" s="311">
        <f>SUMIFS(DepotTons[Scrap_Metal_Tons],DepotTons[Scenario_ID],DepotCostAllocations2025[[#This Row],[Scenario_ID]],DepotTons[Collection_ID],DepotCostAllocations2025[[#This Row],[Collection_ID]])</f>
        <v>1208.699586158147</v>
      </c>
      <c r="R29" s="311">
        <f>SUMIFS(DepotTons[PS_Foam_Tons],DepotTons[Scenario_ID],DepotCostAllocations2025[[#This Row],[Scenario_ID]],DepotTons[Collection_ID],DepotCostAllocations2025[[#This Row],[Collection_ID]])</f>
        <v>6.2861172686298535E-3</v>
      </c>
      <c r="S29" s="312">
        <f>DepotCostAllocations2025[[#This Row],[Capital_Cost_Per_Ton]]*DepotCostAllocations2025[[#This Row],[Tons_Excluding_Scrap_Metal]]+PMT($C$10,10,-DepotCostAllocations2025[[#This Row],[Foam_Densifier_Capital_Cost]])</f>
        <v>11987.597006627489</v>
      </c>
      <c r="T29" s="313">
        <f>DepotCostAllocations2025[[#This Row],[Labor_Cost_Per_Ton]]*DepotCostAllocations2025[[#This Row],[Tons_Excluding_Scrap_Metal]]+DepotCostAllocations2025[[#This Row],[Densifier_Operator_Cost]]</f>
        <v>142291.48054165891</v>
      </c>
      <c r="U29" s="313">
        <f>DepotCostAllocations2025[[#This Row],[Operations_Cost_Per_Ton]]*DepotCostAllocations2025[[#This Row],[Tons_Excluding_Scrap_Metal]]</f>
        <v>27298.389577921575</v>
      </c>
      <c r="V29" s="313">
        <f>DepotCostAllocations2025[[#This Row],[Transport_Cost_Per_Ton]]*DepotCostAllocations2025[[#This Row],[Tons_Excluding_Scrap_Metal]]</f>
        <v>99064.914210560339</v>
      </c>
      <c r="W29" s="313">
        <f>DepotCostAllocations2025[[#This Row],[Admin_Cost_Per_Ton]]*DepotCostAllocations2025[[#This Row],[Tons_Excluding_Scrap_Metal]]</f>
        <v>50618.443622014158</v>
      </c>
      <c r="X29"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16.835156741418981</v>
      </c>
    </row>
    <row r="30" spans="2:25" ht="15" x14ac:dyDescent="0.2">
      <c r="B30" s="69" t="s">
        <v>875</v>
      </c>
      <c r="C30" s="296" t="str">
        <f>_xlfn.CONCAT(DepotCostAllocations2025[[#This Row],[Grouping_ID]],"-",DepotCostAllocations2025[[#This Row],[Sector_ID]])</f>
        <v>2-4</v>
      </c>
      <c r="D30" s="14">
        <v>2</v>
      </c>
      <c r="E30" s="297" t="str">
        <f>INDEX(Grouping[Grouping_Name],MATCH(DepotCostAllocations2025[[#This Row],[Grouping_ID]],Grouping[Grouping_ID],0))</f>
        <v>2 - Willamette Valley, etc.</v>
      </c>
      <c r="F30" s="14">
        <v>4</v>
      </c>
      <c r="G30" s="298" t="str">
        <f>INDEX(Sector[Sector_Name],MATCH(DepotCostAllocations2025[[#This Row],[Sector_ID]],Sector[Sector_ID],0))</f>
        <v>Self-haul (excluding Bottle Bill)</v>
      </c>
      <c r="H30" s="305">
        <f>IF(OR(DepotCostAllocations2025[[#This Row],[Scenario_ID]]="S0",DepotCostAllocations2025[[#This Row],[Scenario_ID]]="S1"),1,2)*SUMIFS(DepotCostAllocations[Capital_Cost_Per_Ton],DepotCostAllocations[Collection_ID2],DepotCostAllocations2025[[#This Row],[Collection_ID]])</f>
        <v>12.256269332870135</v>
      </c>
      <c r="I30" s="308">
        <f>IF(DepotCostAllocations2025[[#This Row],[Scenario_ID]]="S0",1,1.25)*SUMIFS(DepotCostAllocations[Labor_Cost_Per_Ton],DepotCostAllocations[Collection_ID2],DepotCostAllocations2025[[#This Row],[Collection_ID]])</f>
        <v>179.3367224603345</v>
      </c>
      <c r="J30" s="305">
        <f>SUMIFS(DepotCostAllocations[Operations_Cost_Per_Ton],DepotCostAllocations[Collection_ID2],DepotCostAllocations2025[[#This Row],[Collection_ID]])</f>
        <v>47.363902835469069</v>
      </c>
      <c r="K30" s="305">
        <f>SUMIFS(DepotCostAllocations[Transport_Cost_Per_Ton],DepotCostAllocations[Collection_ID2],DepotCostAllocations2025[[#This Row],[Collection_ID]])</f>
        <v>87.724889913485725</v>
      </c>
      <c r="L30" s="305">
        <f>SUMIFS(DepotCostAllocations[Admin_Cost_Per_Ton],DepotCostAllocations[Collection_ID2],DepotCostAllocations2025[[#This Row],[Collection_ID]])</f>
        <v>25.505667194358683</v>
      </c>
      <c r="M30" s="309">
        <f>$C$8*DepotCostAllocations2025[[#This Row],[PS_Foam_Tons]]</f>
        <v>6.2112901418921826E-4</v>
      </c>
      <c r="N30" s="310">
        <f>$C$9*DepotCostAllocations2025[[#This Row],[Densifier_Operator_FTE]]</f>
        <v>39.92699516580786</v>
      </c>
      <c r="O30"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30" s="311">
        <f>SUMIFS(DepotTons[Tons_Excluding_Scrap_Metal],DepotTons[Scenario_ID],DepotCostAllocations2025[[#This Row],[Scenario_ID]],DepotTons[Collection_ID],DepotCostAllocations2025[[#This Row],[Collection_ID]])</f>
        <v>18016.935129789323</v>
      </c>
      <c r="Q30" s="311">
        <f>SUMIFS(DepotTons[Scrap_Metal_Tons],DepotTons[Scenario_ID],DepotCostAllocations2025[[#This Row],[Scenario_ID]],DepotTons[Collection_ID],DepotCostAllocations2025[[#This Row],[Collection_ID]])</f>
        <v>5211.3592078475976</v>
      </c>
      <c r="R30" s="311">
        <f>SUMIFS(DepotTons[PS_Foam_Tons],DepotTons[Scenario_ID],DepotCostAllocations2025[[#This Row],[Scenario_ID]],DepotTons[Collection_ID],DepotCostAllocations2025[[#This Row],[Collection_ID]])</f>
        <v>9.9380642270274922E-3</v>
      </c>
      <c r="S30" s="312">
        <f>DepotCostAllocations2025[[#This Row],[Capital_Cost_Per_Ton]]*DepotCostAllocations2025[[#This Row],[Tons_Excluding_Scrap_Metal]]+PMT($C$10,10,-DepotCostAllocations2025[[#This Row],[Foam_Densifier_Capital_Cost]])</f>
        <v>220820.40950354747</v>
      </c>
      <c r="T30" s="313">
        <f>DepotCostAllocations2025[[#This Row],[Labor_Cost_Per_Ton]]*DepotCostAllocations2025[[#This Row],[Tons_Excluding_Scrap_Metal]]+DepotCostAllocations2025[[#This Row],[Densifier_Operator_Cost]]</f>
        <v>3231138.0219520442</v>
      </c>
      <c r="U30" s="313">
        <f>DepotCostAllocations2025[[#This Row],[Operations_Cost_Per_Ton]]*DepotCostAllocations2025[[#This Row],[Tons_Excluding_Scrap_Metal]]</f>
        <v>853352.36488029081</v>
      </c>
      <c r="V30" s="313">
        <f>DepotCostAllocations2025[[#This Row],[Transport_Cost_Per_Ton]]*DepotCostAllocations2025[[#This Row],[Tons_Excluding_Scrap_Metal]]</f>
        <v>1580533.6508391821</v>
      </c>
      <c r="W30" s="313">
        <f>DepotCostAllocations2025[[#This Row],[Admin_Cost_Per_Ton]]*DepotCostAllocations2025[[#This Row],[Tons_Excluding_Scrap_Metal]]</f>
        <v>459533.951282756</v>
      </c>
      <c r="X30"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83.412357841001793</v>
      </c>
    </row>
    <row r="31" spans="2:25" ht="15" x14ac:dyDescent="0.2">
      <c r="B31" s="69" t="s">
        <v>875</v>
      </c>
      <c r="C31" s="296" t="str">
        <f>_xlfn.CONCAT(DepotCostAllocations2025[[#This Row],[Grouping_ID]],"-",DepotCostAllocations2025[[#This Row],[Sector_ID]])</f>
        <v>3-4</v>
      </c>
      <c r="D31" s="69">
        <v>3</v>
      </c>
      <c r="E31" s="297" t="str">
        <f>INDEX(Grouping[Grouping_Name],MATCH(DepotCostAllocations2025[[#This Row],[Grouping_ID]],Grouping[Grouping_ID],0))</f>
        <v>3 - Other areas with curbside</v>
      </c>
      <c r="F31" s="14">
        <v>4</v>
      </c>
      <c r="G31" s="298" t="str">
        <f>INDEX(Sector[Sector_Name],MATCH(DepotCostAllocations2025[[#This Row],[Sector_ID]],Sector[Sector_ID],0))</f>
        <v>Self-haul (excluding Bottle Bill)</v>
      </c>
      <c r="H31" s="305">
        <f>IF(OR(DepotCostAllocations2025[[#This Row],[Scenario_ID]]="S0",DepotCostAllocations2025[[#This Row],[Scenario_ID]]="S1"),1,2)*SUMIFS(DepotCostAllocations[Capital_Cost_Per_Ton],DepotCostAllocations[Collection_ID2],DepotCostAllocations2025[[#This Row],[Collection_ID]])</f>
        <v>11.672938385056375</v>
      </c>
      <c r="I31" s="308">
        <f>IF(DepotCostAllocations2025[[#This Row],[Scenario_ID]]="S0",1,1.25)*SUMIFS(DepotCostAllocations[Labor_Cost_Per_Ton],DepotCostAllocations[Collection_ID2],DepotCostAllocations2025[[#This Row],[Collection_ID]])</f>
        <v>202.85037609186804</v>
      </c>
      <c r="J31" s="305">
        <f>SUMIFS(DepotCostAllocations[Operations_Cost_Per_Ton],DepotCostAllocations[Collection_ID2],DepotCostAllocations2025[[#This Row],[Collection_ID]])</f>
        <v>32.578783560880098</v>
      </c>
      <c r="K31" s="305">
        <f>SUMIFS(DepotCostAllocations[Transport_Cost_Per_Ton],DepotCostAllocations[Collection_ID2],DepotCostAllocations2025[[#This Row],[Collection_ID]])</f>
        <v>44.824506661814482</v>
      </c>
      <c r="L31" s="305">
        <f>SUMIFS(DepotCostAllocations[Admin_Cost_Per_Ton],DepotCostAllocations[Collection_ID2],DepotCostAllocations2025[[#This Row],[Collection_ID]])</f>
        <v>9.7368180524096655</v>
      </c>
      <c r="M31" s="309">
        <f>$C$8*DepotCostAllocations2025[[#This Row],[PS_Foam_Tons]]</f>
        <v>1.6036294829384351E-4</v>
      </c>
      <c r="N31" s="310">
        <f>$C$9*DepotCostAllocations2025[[#This Row],[Densifier_Operator_FTE]]</f>
        <v>10.308342574627272</v>
      </c>
      <c r="O31"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31" s="311">
        <f>SUMIFS(DepotTons[Tons_Excluding_Scrap_Metal],DepotTons[Scenario_ID],DepotCostAllocations2025[[#This Row],[Scenario_ID]],DepotTons[Collection_ID],DepotCostAllocations2025[[#This Row],[Collection_ID]])</f>
        <v>10274.452187849536</v>
      </c>
      <c r="Q31" s="311">
        <f>SUMIFS(DepotTons[Scrap_Metal_Tons],DepotTons[Scenario_ID],DepotCostAllocations2025[[#This Row],[Scenario_ID]],DepotTons[Collection_ID],DepotCostAllocations2025[[#This Row],[Collection_ID]])</f>
        <v>1287.303248860916</v>
      </c>
      <c r="R31" s="311">
        <f>SUMIFS(DepotTons[PS_Foam_Tons],DepotTons[Scenario_ID],DepotCostAllocations2025[[#This Row],[Scenario_ID]],DepotTons[Collection_ID],DepotCostAllocations2025[[#This Row],[Collection_ID]])</f>
        <v>2.5658071727014961E-3</v>
      </c>
      <c r="S31" s="312">
        <f>DepotCostAllocations2025[[#This Row],[Capital_Cost_Per_Ton]]*DepotCostAllocations2025[[#This Row],[Tons_Excluding_Scrap_Metal]]+PMT($C$10,10,-DepotCostAllocations2025[[#This Row],[Foam_Densifier_Capital_Cost]])</f>
        <v>119933.0473289753</v>
      </c>
      <c r="T31" s="313">
        <f>DepotCostAllocations2025[[#This Row],[Labor_Cost_Per_Ton]]*DepotCostAllocations2025[[#This Row],[Tons_Excluding_Scrap_Metal]]+DepotCostAllocations2025[[#This Row],[Densifier_Operator_Cost]]</f>
        <v>2084186.7987857694</v>
      </c>
      <c r="U31" s="313">
        <f>DepotCostAllocations2025[[#This Row],[Operations_Cost_Per_Ton]]*DepotCostAllocations2025[[#This Row],[Tons_Excluding_Scrap_Metal]]</f>
        <v>334729.15403456101</v>
      </c>
      <c r="V31" s="313">
        <f>DepotCostAllocations2025[[#This Row],[Transport_Cost_Per_Ton]]*DepotCostAllocations2025[[#This Row],[Tons_Excluding_Scrap_Metal]]</f>
        <v>460547.25054075592</v>
      </c>
      <c r="W31" s="313">
        <f>DepotCostAllocations2025[[#This Row],[Admin_Cost_Per_Ton]]*DepotCostAllocations2025[[#This Row],[Tons_Excluding_Scrap_Metal]]</f>
        <v>100040.47154127335</v>
      </c>
      <c r="X31"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55.35820016817209</v>
      </c>
    </row>
    <row r="32" spans="2:25" ht="15" x14ac:dyDescent="0.2">
      <c r="B32" s="69" t="s">
        <v>875</v>
      </c>
      <c r="C32" s="296" t="str">
        <f>_xlfn.CONCAT(DepotCostAllocations2025[[#This Row],[Grouping_ID]],"-",DepotCostAllocations2025[[#This Row],[Sector_ID]])</f>
        <v>4-4</v>
      </c>
      <c r="D32" s="14">
        <v>4</v>
      </c>
      <c r="E32" s="297" t="str">
        <f>INDEX(Grouping[Grouping_Name],MATCH(DepotCostAllocations2025[[#This Row],[Grouping_ID]],Grouping[Grouping_ID],0))</f>
        <v>4 - Areas without curbside</v>
      </c>
      <c r="F32" s="14">
        <v>4</v>
      </c>
      <c r="G32" s="298" t="str">
        <f>INDEX(Sector[Sector_Name],MATCH(DepotCostAllocations2025[[#This Row],[Sector_ID]],Sector[Sector_ID],0))</f>
        <v>Self-haul (excluding Bottle Bill)</v>
      </c>
      <c r="H32" s="305">
        <f>IF(OR(DepotCostAllocations2025[[#This Row],[Scenario_ID]]="S0",DepotCostAllocations2025[[#This Row],[Scenario_ID]]="S1"),1,2)*SUMIFS(DepotCostAllocations[Capital_Cost_Per_Ton],DepotCostAllocations[Collection_ID2],DepotCostAllocations2025[[#This Row],[Collection_ID]])</f>
        <v>14.168345358029564</v>
      </c>
      <c r="I32" s="308">
        <f>IF(DepotCostAllocations2025[[#This Row],[Scenario_ID]]="S0",1,1.25)*SUMIFS(DepotCostAllocations[Labor_Cost_Per_Ton],DepotCostAllocations[Collection_ID2],DepotCostAllocations2025[[#This Row],[Collection_ID]])</f>
        <v>246.21514220919016</v>
      </c>
      <c r="J32" s="305">
        <f>SUMIFS(DepotCostAllocations[Operations_Cost_Per_Ton],DepotCostAllocations[Collection_ID2],DepotCostAllocations2025[[#This Row],[Collection_ID]])</f>
        <v>39.543381589846042</v>
      </c>
      <c r="K32" s="305">
        <f>SUMIFS(DepotCostAllocations[Transport_Cost_Per_Ton],DepotCostAllocations[Collection_ID2],DepotCostAllocations2025[[#This Row],[Collection_ID]])</f>
        <v>54.406959922012582</v>
      </c>
      <c r="L32" s="305">
        <f>SUMIFS(DepotCostAllocations[Admin_Cost_Per_Ton],DepotCostAllocations[Collection_ID2],DepotCostAllocations2025[[#This Row],[Collection_ID]])</f>
        <v>11.818326826041128</v>
      </c>
      <c r="M32" s="309">
        <f>$C$8*DepotCostAllocations2025[[#This Row],[PS_Foam_Tons]]</f>
        <v>7.4991231367678886E-3</v>
      </c>
      <c r="N32" s="310">
        <f>$C$9*DepotCostAllocations2025[[#This Row],[Densifier_Operator_FTE]]</f>
        <v>482.0535611597046</v>
      </c>
      <c r="O32" s="307">
        <f>IF(OR(DepotCostAllocations2025[[#This Row],[Scenario_ID]]="S0",DepotCostAllocations2025[[#This Row],[Scenario_ID]]="S1"),0,1)*$C$7*DepotCostAllocations2025[[#This Row],[PS_Foam_Tons]]/SUMIFS(DepotCostAllocations2025[PS_Foam_Tons],DepotCostAllocations2025[Scenario_ID],DepotCostAllocations2025[[#This Row],[Scenario_ID]])</f>
        <v>0</v>
      </c>
      <c r="P32" s="311">
        <f>SUMIFS(DepotTons[Tons_Excluding_Scrap_Metal],DepotTons[Scenario_ID],DepotCostAllocations2025[[#This Row],[Scenario_ID]],DepotTons[Collection_ID],DepotCostAllocations2025[[#This Row],[Collection_ID]])</f>
        <v>26783.080442024653</v>
      </c>
      <c r="Q32" s="311">
        <f>SUMIFS(DepotTons[Scrap_Metal_Tons],DepotTons[Scenario_ID],DepotCostAllocations2025[[#This Row],[Scenario_ID]],DepotTons[Collection_ID],DepotCostAllocations2025[[#This Row],[Collection_ID]])</f>
        <v>11682.399622554176</v>
      </c>
      <c r="R32" s="311">
        <f>SUMIFS(DepotTons[PS_Foam_Tons],DepotTons[Scenario_ID],DepotCostAllocations2025[[#This Row],[Scenario_ID]],DepotTons[Collection_ID],DepotCostAllocations2025[[#This Row],[Collection_ID]])</f>
        <v>0.11998597018828622</v>
      </c>
      <c r="S32" s="312">
        <f>DepotCostAllocations2025[[#This Row],[Capital_Cost_Per_Ton]]*DepotCostAllocations2025[[#This Row],[Tons_Excluding_Scrap_Metal]]+PMT($C$10,10,-DepotCostAllocations2025[[#This Row],[Foam_Densifier_Capital_Cost]])</f>
        <v>379471.93345449236</v>
      </c>
      <c r="T32" s="313">
        <f>DepotCostAllocations2025[[#This Row],[Labor_Cost_Per_Ton]]*DepotCostAllocations2025[[#This Row],[Tons_Excluding_Scrap_Metal]]+DepotCostAllocations2025[[#This Row],[Densifier_Operator_Cost]]</f>
        <v>6594882.0133944387</v>
      </c>
      <c r="U32" s="313">
        <f>DepotCostAllocations2025[[#This Row],[Operations_Cost_Per_Ton]]*DepotCostAllocations2025[[#This Row],[Tons_Excluding_Scrap_Metal]]</f>
        <v>1059093.5700705233</v>
      </c>
      <c r="V32" s="313">
        <f>DepotCostAllocations2025[[#This Row],[Transport_Cost_Per_Ton]]*DepotCostAllocations2025[[#This Row],[Tons_Excluding_Scrap_Metal]]</f>
        <v>1457185.9841972743</v>
      </c>
      <c r="W32" s="313">
        <f>DepotCostAllocations2025[[#This Row],[Admin_Cost_Per_Ton]]*DepotCostAllocations2025[[#This Row],[Tons_Excluding_Scrap_Metal]]</f>
        <v>316531.19807199744</v>
      </c>
      <c r="X32"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144.31288943576959</v>
      </c>
    </row>
    <row r="33" spans="2:24" ht="15" x14ac:dyDescent="0.2">
      <c r="B33" s="69" t="s">
        <v>874</v>
      </c>
      <c r="C33" s="299" t="str">
        <f>_xlfn.CONCAT(DepotCostAllocations2025[[#This Row],[Grouping_ID]],"-",DepotCostAllocations2025[[#This Row],[Sector_ID]])</f>
        <v>1-4</v>
      </c>
      <c r="D33" s="69">
        <v>1</v>
      </c>
      <c r="E33" s="300" t="str">
        <f>INDEX(Grouping[Grouping_Name],MATCH(DepotCostAllocations2025[[#This Row],[Grouping_ID]],Grouping[Grouping_ID],0))</f>
        <v>1 - Metro area</v>
      </c>
      <c r="F33" s="14">
        <v>4</v>
      </c>
      <c r="G33" s="298" t="str">
        <f>INDEX(Sector[Sector_Name],MATCH(DepotCostAllocations2025[[#This Row],[Sector_ID]],Sector[Sector_ID],0))</f>
        <v>Self-haul (excluding Bottle Bill)</v>
      </c>
      <c r="H33" s="305">
        <f>IF(OR(DepotCostAllocations2025[[#This Row],[Scenario_ID]]="S0",DepotCostAllocations2025[[#This Row],[Scenario_ID]]="S1"),1,2)*SUMIFS(DepotCostAllocations[Capital_Cost_Per_Ton],DepotCostAllocations[Collection_ID2],DepotCostAllocations2025[[#This Row],[Collection_ID]])</f>
        <v>6.5932774293090723</v>
      </c>
      <c r="I33" s="308">
        <f>IF(DepotCostAllocations2025[[#This Row],[Scenario_ID]]="S0",1,1.25)*SUMIFS(DepotCostAllocations[Labor_Cost_Per_Ton],DepotCostAllocations[Collection_ID2],DepotCostAllocations2025[[#This Row],[Collection_ID]])</f>
        <v>39.123799929360722</v>
      </c>
      <c r="J33" s="305">
        <f>SUMIFS(DepotCostAllocations[Operations_Cost_Per_Ton],DepotCostAllocations[Collection_ID2],DepotCostAllocations2025[[#This Row],[Collection_ID]])</f>
        <v>7.507169942445052</v>
      </c>
      <c r="K33" s="305">
        <f>SUMIFS(DepotCostAllocations[Transport_Cost_Per_Ton],DepotCostAllocations[Collection_ID2],DepotCostAllocations2025[[#This Row],[Collection_ID]])</f>
        <v>27.243260786119947</v>
      </c>
      <c r="L33" s="305">
        <f>SUMIFS(DepotCostAllocations[Admin_Cost_Per_Ton],DepotCostAllocations[Collection_ID2],DepotCostAllocations2025[[#This Row],[Collection_ID]])</f>
        <v>13.92028117291842</v>
      </c>
      <c r="M33" s="309">
        <f>$C$8*DepotCostAllocations2025[[#This Row],[PS_Foam_Tons]]</f>
        <v>1.162874453903713</v>
      </c>
      <c r="N33" s="310">
        <f>$C$9*DepotCostAllocations2025[[#This Row],[Densifier_Operator_FTE]]</f>
        <v>74751.109091340448</v>
      </c>
      <c r="O33" s="307">
        <f>IF(OR(DepotCostAllocations2025[[#This Row],[Scenario_ID]]="S0",DepotCostAllocations2025[[#This Row],[Scenario_ID]]="S1"),0,1)*$C$7*DepotCostAllocations2025[[#This Row],[PS_Foam_Tons]]/SUMIFS(DepotCostAllocations2025[PS_Foam_Tons],DepotCostAllocations2025[Scenario_ID],DepotCostAllocations2025[[#This Row],[Scenario_ID]])</f>
        <v>12438.329967348056</v>
      </c>
      <c r="P33" s="311">
        <f>SUMIFS(DepotTons[Tons_Excluding_Scrap_Metal],DepotTons[Scenario_ID],DepotCostAllocations2025[[#This Row],[Scenario_ID]],DepotTons[Collection_ID],DepotCostAllocations2025[[#This Row],[Collection_ID]])</f>
        <v>5163.2089814956544</v>
      </c>
      <c r="Q33" s="311">
        <f>SUMIFS(DepotTons[Scrap_Metal_Tons],DepotTons[Scenario_ID],DepotCostAllocations2025[[#This Row],[Scenario_ID]],DepotTons[Collection_ID],DepotCostAllocations2025[[#This Row],[Collection_ID]])</f>
        <v>1208.699586158147</v>
      </c>
      <c r="R33" s="311">
        <f>SUMIFS(DepotTons[PS_Foam_Tons],DepotTons[Scenario_ID],DepotCostAllocations2025[[#This Row],[Scenario_ID]],DepotTons[Collection_ID],DepotCostAllocations2025[[#This Row],[Collection_ID]])</f>
        <v>18.605991262459408</v>
      </c>
      <c r="S33" s="312">
        <f>DepotCostAllocations2025[[#This Row],[Capital_Cost_Per_Ton]]*DepotCostAllocations2025[[#This Row],[Tons_Excluding_Scrap_Metal]]+PMT($C$10,10,-DepotCostAllocations2025[[#This Row],[Foam_Densifier_Capital_Cost]])</f>
        <v>35772.699275419254</v>
      </c>
      <c r="T33" s="313">
        <f>DepotCostAllocations2025[[#This Row],[Labor_Cost_Per_Ton]]*DepotCostAllocations2025[[#This Row],[Tons_Excluding_Scrap_Metal]]+DepotCostAllocations2025[[#This Row],[Densifier_Operator_Cost]]</f>
        <v>276755.46427685476</v>
      </c>
      <c r="U33" s="313">
        <f>DepotCostAllocations2025[[#This Row],[Operations_Cost_Per_Ton]]*DepotCostAllocations2025[[#This Row],[Tons_Excluding_Scrap_Metal]]</f>
        <v>38761.087272446508</v>
      </c>
      <c r="V33" s="313">
        <f>DepotCostAllocations2025[[#This Row],[Transport_Cost_Per_Ton]]*DepotCostAllocations2025[[#This Row],[Tons_Excluding_Scrap_Metal]]</f>
        <v>140662.64877612286</v>
      </c>
      <c r="W33" s="313">
        <f>DepotCostAllocations2025[[#This Row],[Admin_Cost_Per_Ton]]*DepotCostAllocations2025[[#This Row],[Tons_Excluding_Scrap_Metal]]</f>
        <v>71873.320776957247</v>
      </c>
      <c r="X33"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25.066619738605816</v>
      </c>
    </row>
    <row r="34" spans="2:24" ht="15" x14ac:dyDescent="0.2">
      <c r="B34" s="69" t="s">
        <v>874</v>
      </c>
      <c r="C34" s="296" t="str">
        <f>_xlfn.CONCAT(DepotCostAllocations2025[[#This Row],[Grouping_ID]],"-",DepotCostAllocations2025[[#This Row],[Sector_ID]])</f>
        <v>2-4</v>
      </c>
      <c r="D34" s="14">
        <v>2</v>
      </c>
      <c r="E34" s="297" t="str">
        <f>INDEX(Grouping[Grouping_Name],MATCH(DepotCostAllocations2025[[#This Row],[Grouping_ID]],Grouping[Grouping_ID],0))</f>
        <v>2 - Willamette Valley, etc.</v>
      </c>
      <c r="F34" s="14">
        <v>4</v>
      </c>
      <c r="G34" s="298" t="str">
        <f>INDEX(Sector[Sector_Name],MATCH(DepotCostAllocations2025[[#This Row],[Sector_ID]],Sector[Sector_ID],0))</f>
        <v>Self-haul (excluding Bottle Bill)</v>
      </c>
      <c r="H34" s="305">
        <f>IF(OR(DepotCostAllocations2025[[#This Row],[Scenario_ID]]="S0",DepotCostAllocations2025[[#This Row],[Scenario_ID]]="S1"),1,2)*SUMIFS(DepotCostAllocations[Capital_Cost_Per_Ton],DepotCostAllocations[Collection_ID2],DepotCostAllocations2025[[#This Row],[Collection_ID]])</f>
        <v>24.512538665740269</v>
      </c>
      <c r="I34" s="308">
        <f>IF(DepotCostAllocations2025[[#This Row],[Scenario_ID]]="S0",1,1.25)*SUMIFS(DepotCostAllocations[Labor_Cost_Per_Ton],DepotCostAllocations[Collection_ID2],DepotCostAllocations2025[[#This Row],[Collection_ID]])</f>
        <v>179.3367224603345</v>
      </c>
      <c r="J34" s="305">
        <f>SUMIFS(DepotCostAllocations[Operations_Cost_Per_Ton],DepotCostAllocations[Collection_ID2],DepotCostAllocations2025[[#This Row],[Collection_ID]])</f>
        <v>47.363902835469069</v>
      </c>
      <c r="K34" s="305">
        <f>SUMIFS(DepotCostAllocations[Transport_Cost_Per_Ton],DepotCostAllocations[Collection_ID2],DepotCostAllocations2025[[#This Row],[Collection_ID]])</f>
        <v>87.724889913485725</v>
      </c>
      <c r="L34" s="305">
        <f>SUMIFS(DepotCostAllocations[Admin_Cost_Per_Ton],DepotCostAllocations[Collection_ID2],DepotCostAllocations2025[[#This Row],[Collection_ID]])</f>
        <v>25.505667194358683</v>
      </c>
      <c r="M34" s="309">
        <f>$C$8*DepotCostAllocations2025[[#This Row],[PS_Foam_Tons]]</f>
        <v>0.23532332239440554</v>
      </c>
      <c r="N34" s="310">
        <f>$C$9*DepotCostAllocations2025[[#This Row],[Densifier_Operator_FTE]]</f>
        <v>15126.894640251003</v>
      </c>
      <c r="O34" s="307">
        <f>IF(OR(DepotCostAllocations2025[[#This Row],[Scenario_ID]]="S0",DepotCostAllocations2025[[#This Row],[Scenario_ID]]="S1"),0,1)*$C$7*DepotCostAllocations2025[[#This Row],[PS_Foam_Tons]]/SUMIFS(DepotCostAllocations2025[PS_Foam_Tons],DepotCostAllocations2025[Scenario_ID],DepotCostAllocations2025[[#This Row],[Scenario_ID]])</f>
        <v>2517.0637493397053</v>
      </c>
      <c r="P34" s="311">
        <f>SUMIFS(DepotTons[Tons_Excluding_Scrap_Metal],DepotTons[Scenario_ID],DepotCostAllocations2025[[#This Row],[Scenario_ID]],DepotTons[Collection_ID],DepotCostAllocations2025[[#This Row],[Collection_ID]])</f>
        <v>18835.087949389555</v>
      </c>
      <c r="Q34" s="311">
        <f>SUMIFS(DepotTons[Scrap_Metal_Tons],DepotTons[Scenario_ID],DepotCostAllocations2025[[#This Row],[Scenario_ID]],DepotTons[Collection_ID],DepotCostAllocations2025[[#This Row],[Collection_ID]])</f>
        <v>5211.3592078475976</v>
      </c>
      <c r="R34" s="311">
        <f>SUMIFS(DepotTons[PS_Foam_Tons],DepotTons[Scenario_ID],DepotCostAllocations2025[[#This Row],[Scenario_ID]],DepotTons[Collection_ID],DepotCostAllocations2025[[#This Row],[Collection_ID]])</f>
        <v>3.7651731583104886</v>
      </c>
      <c r="S34" s="312">
        <f>DepotCostAllocations2025[[#This Row],[Capital_Cost_Per_Ton]]*DepotCostAllocations2025[[#This Row],[Tons_Excluding_Scrap_Metal]]+PMT($C$10,10,-DepotCostAllocations2025[[#This Row],[Foam_Densifier_Capital_Cost]])</f>
        <v>462045.95700473234</v>
      </c>
      <c r="T34" s="313">
        <f>DepotCostAllocations2025[[#This Row],[Labor_Cost_Per_Ton]]*DepotCostAllocations2025[[#This Row],[Tons_Excluding_Scrap_Metal]]+DepotCostAllocations2025[[#This Row],[Densifier_Operator_Cost]]</f>
        <v>3392949.8347359165</v>
      </c>
      <c r="U34" s="313">
        <f>DepotCostAllocations2025[[#This Row],[Operations_Cost_Per_Ton]]*DepotCostAllocations2025[[#This Row],[Tons_Excluding_Scrap_Metal]]</f>
        <v>892103.27553240128</v>
      </c>
      <c r="V34" s="313">
        <f>DepotCostAllocations2025[[#This Row],[Transport_Cost_Per_Ton]]*DepotCostAllocations2025[[#This Row],[Tons_Excluding_Scrap_Metal]]</f>
        <v>1652306.0168710204</v>
      </c>
      <c r="W34" s="313">
        <f>DepotCostAllocations2025[[#This Row],[Admin_Cost_Per_Ton]]*DepotCostAllocations2025[[#This Row],[Tons_Excluding_Scrap_Metal]]</f>
        <v>480401.48481360573</v>
      </c>
      <c r="X34"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87.434804569568286</v>
      </c>
    </row>
    <row r="35" spans="2:24" ht="15" x14ac:dyDescent="0.2">
      <c r="B35" s="69" t="s">
        <v>874</v>
      </c>
      <c r="C35" s="296" t="str">
        <f>_xlfn.CONCAT(DepotCostAllocations2025[[#This Row],[Grouping_ID]],"-",DepotCostAllocations2025[[#This Row],[Sector_ID]])</f>
        <v>3-4</v>
      </c>
      <c r="D35" s="69">
        <v>3</v>
      </c>
      <c r="E35" s="297" t="str">
        <f>INDEX(Grouping[Grouping_Name],MATCH(DepotCostAllocations2025[[#This Row],[Grouping_ID]],Grouping[Grouping_ID],0))</f>
        <v>3 - Other areas with curbside</v>
      </c>
      <c r="F35" s="14">
        <v>4</v>
      </c>
      <c r="G35" s="298" t="str">
        <f>INDEX(Sector[Sector_Name],MATCH(DepotCostAllocations2025[[#This Row],[Sector_ID]],Sector[Sector_ID],0))</f>
        <v>Self-haul (excluding Bottle Bill)</v>
      </c>
      <c r="H35" s="305">
        <f>IF(OR(DepotCostAllocations2025[[#This Row],[Scenario_ID]]="S0",DepotCostAllocations2025[[#This Row],[Scenario_ID]]="S1"),1,2)*SUMIFS(DepotCostAllocations[Capital_Cost_Per_Ton],DepotCostAllocations[Collection_ID2],DepotCostAllocations2025[[#This Row],[Collection_ID]])</f>
        <v>23.345876770112749</v>
      </c>
      <c r="I35" s="308">
        <f>IF(DepotCostAllocations2025[[#This Row],[Scenario_ID]]="S0",1,1.25)*SUMIFS(DepotCostAllocations[Labor_Cost_Per_Ton],DepotCostAllocations[Collection_ID2],DepotCostAllocations2025[[#This Row],[Collection_ID]])</f>
        <v>202.85037609186804</v>
      </c>
      <c r="J35" s="305">
        <f>SUMIFS(DepotCostAllocations[Operations_Cost_Per_Ton],DepotCostAllocations[Collection_ID2],DepotCostAllocations2025[[#This Row],[Collection_ID]])</f>
        <v>32.578783560880098</v>
      </c>
      <c r="K35" s="305">
        <f>SUMIFS(DepotCostAllocations[Transport_Cost_Per_Ton],DepotCostAllocations[Collection_ID2],DepotCostAllocations2025[[#This Row],[Collection_ID]])</f>
        <v>44.824506661814482</v>
      </c>
      <c r="L35" s="305">
        <f>SUMIFS(DepotCostAllocations[Admin_Cost_Per_Ton],DepotCostAllocations[Collection_ID2],DepotCostAllocations2025[[#This Row],[Collection_ID]])</f>
        <v>9.7368180524096655</v>
      </c>
      <c r="M35" s="309">
        <f>$C$8*DepotCostAllocations2025[[#This Row],[PS_Foam_Tons]]</f>
        <v>0.73672764282214154</v>
      </c>
      <c r="N35" s="310">
        <f>$C$9*DepotCostAllocations2025[[#This Row],[Densifier_Operator_FTE]]</f>
        <v>47357.828022047121</v>
      </c>
      <c r="O35" s="307">
        <f>IF(OR(DepotCostAllocations2025[[#This Row],[Scenario_ID]]="S0",DepotCostAllocations2025[[#This Row],[Scenario_ID]]="S1"),0,1)*$C$7*DepotCostAllocations2025[[#This Row],[PS_Foam_Tons]]/SUMIFS(DepotCostAllocations2025[PS_Foam_Tons],DepotCostAllocations2025[Scenario_ID],DepotCostAllocations2025[[#This Row],[Scenario_ID]])</f>
        <v>7880.1812927667052</v>
      </c>
      <c r="P35" s="311">
        <f>SUMIFS(DepotTons[Tons_Excluding_Scrap_Metal],DepotTons[Scenario_ID],DepotCostAllocations2025[[#This Row],[Scenario_ID]],DepotTons[Collection_ID],DepotCostAllocations2025[[#This Row],[Collection_ID]])</f>
        <v>11205.149482173467</v>
      </c>
      <c r="Q35" s="311">
        <f>SUMIFS(DepotTons[Scrap_Metal_Tons],DepotTons[Scenario_ID],DepotCostAllocations2025[[#This Row],[Scenario_ID]],DepotTons[Collection_ID],DepotCostAllocations2025[[#This Row],[Collection_ID]])</f>
        <v>1287.303248860916</v>
      </c>
      <c r="R35" s="311">
        <f>SUMIFS(DepotTons[PS_Foam_Tons],DepotTons[Scenario_ID],DepotCostAllocations2025[[#This Row],[Scenario_ID]],DepotTons[Collection_ID],DepotCostAllocations2025[[#This Row],[Collection_ID]])</f>
        <v>11.787642285154265</v>
      </c>
      <c r="S35" s="312">
        <f>DepotCostAllocations2025[[#This Row],[Capital_Cost_Per_Ton]]*DepotCostAllocations2025[[#This Row],[Tons_Excluding_Scrap_Metal]]+PMT($C$10,10,-DepotCostAllocations2025[[#This Row],[Foam_Densifier_Capital_Cost]])</f>
        <v>262690.20917782723</v>
      </c>
      <c r="T35" s="313">
        <f>DepotCostAllocations2025[[#This Row],[Labor_Cost_Per_Ton]]*DepotCostAllocations2025[[#This Row],[Tons_Excluding_Scrap_Metal]]+DepotCostAllocations2025[[#This Row],[Densifier_Operator_Cost]]</f>
        <v>2320326.6146465354</v>
      </c>
      <c r="U35" s="313">
        <f>DepotCostAllocations2025[[#This Row],[Operations_Cost_Per_Ton]]*DepotCostAllocations2025[[#This Row],[Tons_Excluding_Scrap_Metal]]</f>
        <v>365050.13974703709</v>
      </c>
      <c r="V35" s="313">
        <f>DepotCostAllocations2025[[#This Row],[Transport_Cost_Per_Ton]]*DepotCostAllocations2025[[#This Row],[Tons_Excluding_Scrap_Metal]]</f>
        <v>502265.29761031165</v>
      </c>
      <c r="W35" s="313">
        <f>DepotCostAllocations2025[[#This Row],[Admin_Cost_Per_Ton]]*DepotCostAllocations2025[[#This Row],[Tons_Excluding_Scrap_Metal]]</f>
        <v>109102.50175797542</v>
      </c>
      <c r="X35"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61.10930028384297</v>
      </c>
    </row>
    <row r="36" spans="2:24" ht="15" x14ac:dyDescent="0.2">
      <c r="B36" s="69" t="s">
        <v>874</v>
      </c>
      <c r="C36" s="296" t="str">
        <f>_xlfn.CONCAT(DepotCostAllocations2025[[#This Row],[Grouping_ID]],"-",DepotCostAllocations2025[[#This Row],[Sector_ID]])</f>
        <v>4-4</v>
      </c>
      <c r="D36" s="14">
        <v>4</v>
      </c>
      <c r="E36" s="297" t="str">
        <f>INDEX(Grouping[Grouping_Name],MATCH(DepotCostAllocations2025[[#This Row],[Grouping_ID]],Grouping[Grouping_ID],0))</f>
        <v>4 - Areas without curbside</v>
      </c>
      <c r="F36" s="14">
        <v>4</v>
      </c>
      <c r="G36" s="298" t="str">
        <f>INDEX(Sector[Sector_Name],MATCH(DepotCostAllocations2025[[#This Row],[Sector_ID]],Sector[Sector_ID],0))</f>
        <v>Self-haul (excluding Bottle Bill)</v>
      </c>
      <c r="H36" s="305">
        <f>IF(OR(DepotCostAllocations2025[[#This Row],[Scenario_ID]]="S0",DepotCostAllocations2025[[#This Row],[Scenario_ID]]="S1"),1,2)*SUMIFS(DepotCostAllocations[Capital_Cost_Per_Ton],DepotCostAllocations[Collection_ID2],DepotCostAllocations2025[[#This Row],[Collection_ID]])</f>
        <v>28.336690716059127</v>
      </c>
      <c r="I36" s="308">
        <f>IF(DepotCostAllocations2025[[#This Row],[Scenario_ID]]="S0",1,1.25)*SUMIFS(DepotCostAllocations[Labor_Cost_Per_Ton],DepotCostAllocations[Collection_ID2],DepotCostAllocations2025[[#This Row],[Collection_ID]])</f>
        <v>246.21514220919016</v>
      </c>
      <c r="J36" s="305">
        <f>SUMIFS(DepotCostAllocations[Operations_Cost_Per_Ton],DepotCostAllocations[Collection_ID2],DepotCostAllocations2025[[#This Row],[Collection_ID]])</f>
        <v>39.543381589846042</v>
      </c>
      <c r="K36" s="305">
        <f>SUMIFS(DepotCostAllocations[Transport_Cost_Per_Ton],DepotCostAllocations[Collection_ID2],DepotCostAllocations2025[[#This Row],[Collection_ID]])</f>
        <v>54.406959922012582</v>
      </c>
      <c r="L36" s="305">
        <f>SUMIFS(DepotCostAllocations[Admin_Cost_Per_Ton],DepotCostAllocations[Collection_ID2],DepotCostAllocations2025[[#This Row],[Collection_ID]])</f>
        <v>11.818326826041128</v>
      </c>
      <c r="M36" s="309">
        <f>$C$8*DepotCostAllocations2025[[#This Row],[PS_Foam_Tons]]</f>
        <v>6.1670935639527711</v>
      </c>
      <c r="N36" s="310">
        <f>$C$9*DepotCostAllocations2025[[#This Row],[Densifier_Operator_FTE]]</f>
        <v>396428.93712901883</v>
      </c>
      <c r="O36" s="307">
        <f>IF(OR(DepotCostAllocations2025[[#This Row],[Scenario_ID]]="S0",DepotCostAllocations2025[[#This Row],[Scenario_ID]]="S1"),0,1)*$C$7*DepotCostAllocations2025[[#This Row],[PS_Foam_Tons]]/SUMIFS(DepotCostAllocations2025[PS_Foam_Tons],DepotCostAllocations2025[Scenario_ID],DepotCostAllocations2025[[#This Row],[Scenario_ID]])</f>
        <v>65964.424990545522</v>
      </c>
      <c r="P36" s="311">
        <f>SUMIFS(DepotTons[Tons_Excluding_Scrap_Metal],DepotTons[Scenario_ID],DepotCostAllocations2025[[#This Row],[Scenario_ID]],DepotTons[Collection_ID],DepotCostAllocations2025[[#This Row],[Collection_ID]])</f>
        <v>28684.684632878023</v>
      </c>
      <c r="Q36" s="311">
        <f>SUMIFS(DepotTons[Scrap_Metal_Tons],DepotTons[Scenario_ID],DepotCostAllocations2025[[#This Row],[Scenario_ID]],DepotTons[Collection_ID],DepotCostAllocations2025[[#This Row],[Collection_ID]])</f>
        <v>11682.399622554176</v>
      </c>
      <c r="R36" s="311">
        <f>SUMIFS(DepotTons[PS_Foam_Tons],DepotTons[Scenario_ID],DepotCostAllocations2025[[#This Row],[Scenario_ID]],DepotTons[Collection_ID],DepotCostAllocations2025[[#This Row],[Collection_ID]])</f>
        <v>98.673497023244337</v>
      </c>
      <c r="S36" s="312">
        <f>DepotCostAllocations2025[[#This Row],[Capital_Cost_Per_Ton]]*DepotCostAllocations2025[[#This Row],[Tons_Excluding_Scrap_Metal]]+PMT($C$10,10,-DepotCostAllocations2025[[#This Row],[Foam_Densifier_Capital_Cost]])</f>
        <v>822004.99762256874</v>
      </c>
      <c r="T36" s="313">
        <f>DepotCostAllocations2025[[#This Row],[Labor_Cost_Per_Ton]]*DepotCostAllocations2025[[#This Row],[Tons_Excluding_Scrap_Metal]]+DepotCostAllocations2025[[#This Row],[Densifier_Operator_Cost]]</f>
        <v>7459032.6432388527</v>
      </c>
      <c r="U36" s="313">
        <f>DepotCostAllocations2025[[#This Row],[Operations_Cost_Per_Ton]]*DepotCostAllocations2025[[#This Row],[Tons_Excluding_Scrap_Metal]]</f>
        <v>1134289.4302222885</v>
      </c>
      <c r="V36" s="313">
        <f>DepotCostAllocations2025[[#This Row],[Transport_Cost_Per_Ton]]*DepotCostAllocations2025[[#This Row],[Tons_Excluding_Scrap_Metal]]</f>
        <v>1560646.4871965649</v>
      </c>
      <c r="W36" s="313">
        <f>DepotCostAllocations2025[[#This Row],[Admin_Cost_Per_Ton]]*DepotCostAllocations2025[[#This Row],[Tons_Excluding_Scrap_Metal]]</f>
        <v>339004.97789327207</v>
      </c>
      <c r="X36"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160.71819611178694</v>
      </c>
    </row>
    <row r="37" spans="2:24" ht="15" x14ac:dyDescent="0.2">
      <c r="B37" s="69" t="s">
        <v>873</v>
      </c>
      <c r="C37" s="296" t="str">
        <f>_xlfn.CONCAT(DepotCostAllocations2025[[#This Row],[Grouping_ID]],"-",DepotCostAllocations2025[[#This Row],[Sector_ID]])</f>
        <v>1-4</v>
      </c>
      <c r="D37" s="69">
        <v>1</v>
      </c>
      <c r="E37" s="297" t="str">
        <f>INDEX(Grouping[Grouping_Name],MATCH(DepotCostAllocations2025[[#This Row],[Grouping_ID]],Grouping[Grouping_ID],0))</f>
        <v>1 - Metro area</v>
      </c>
      <c r="F37" s="14">
        <v>4</v>
      </c>
      <c r="G37" s="298" t="str">
        <f>INDEX(Sector[Sector_Name],MATCH(DepotCostAllocations2025[[#This Row],[Sector_ID]],Sector[Sector_ID],0))</f>
        <v>Self-haul (excluding Bottle Bill)</v>
      </c>
      <c r="H37" s="305">
        <f>IF(OR(DepotCostAllocations2025[[#This Row],[Scenario_ID]]="S0",DepotCostAllocations2025[[#This Row],[Scenario_ID]]="S1"),1,2)*SUMIFS(DepotCostAllocations[Capital_Cost_Per_Ton],DepotCostAllocations[Collection_ID2],DepotCostAllocations2025[[#This Row],[Collection_ID]])</f>
        <v>6.5932774293090723</v>
      </c>
      <c r="I37" s="308">
        <f>IF(DepotCostAllocations2025[[#This Row],[Scenario_ID]]="S0",1,1.25)*SUMIFS(DepotCostAllocations[Labor_Cost_Per_Ton],DepotCostAllocations[Collection_ID2],DepotCostAllocations2025[[#This Row],[Collection_ID]])</f>
        <v>39.123799929360722</v>
      </c>
      <c r="J37" s="305">
        <f>SUMIFS(DepotCostAllocations[Operations_Cost_Per_Ton],DepotCostAllocations[Collection_ID2],DepotCostAllocations2025[[#This Row],[Collection_ID]])</f>
        <v>7.507169942445052</v>
      </c>
      <c r="K37" s="305">
        <f>SUMIFS(DepotCostAllocations[Transport_Cost_Per_Ton],DepotCostAllocations[Collection_ID2],DepotCostAllocations2025[[#This Row],[Collection_ID]])</f>
        <v>27.243260786119947</v>
      </c>
      <c r="L37" s="305">
        <f>SUMIFS(DepotCostAllocations[Admin_Cost_Per_Ton],DepotCostAllocations[Collection_ID2],DepotCostAllocations2025[[#This Row],[Collection_ID]])</f>
        <v>13.92028117291842</v>
      </c>
      <c r="M37" s="309">
        <f>$C$8*DepotCostAllocations2025[[#This Row],[PS_Foam_Tons]]</f>
        <v>1.162874453903713</v>
      </c>
      <c r="N37" s="310">
        <f>$C$9*DepotCostAllocations2025[[#This Row],[Densifier_Operator_FTE]]</f>
        <v>74751.109091340448</v>
      </c>
      <c r="O37" s="307">
        <f>IF(OR(DepotCostAllocations2025[[#This Row],[Scenario_ID]]="S0",DepotCostAllocations2025[[#This Row],[Scenario_ID]]="S1"),0,1)*$C$7*DepotCostAllocations2025[[#This Row],[PS_Foam_Tons]]/SUMIFS(DepotCostAllocations2025[PS_Foam_Tons],DepotCostAllocations2025[Scenario_ID],DepotCostAllocations2025[[#This Row],[Scenario_ID]])</f>
        <v>12438.329967348056</v>
      </c>
      <c r="P37" s="311">
        <f>SUMIFS(DepotTons[Tons_Excluding_Scrap_Metal],DepotTons[Scenario_ID],DepotCostAllocations2025[[#This Row],[Scenario_ID]],DepotTons[Collection_ID],DepotCostAllocations2025[[#This Row],[Collection_ID]])</f>
        <v>5163.2089814956544</v>
      </c>
      <c r="Q37" s="311">
        <f>SUMIFS(DepotTons[Scrap_Metal_Tons],DepotTons[Scenario_ID],DepotCostAllocations2025[[#This Row],[Scenario_ID]],DepotTons[Collection_ID],DepotCostAllocations2025[[#This Row],[Collection_ID]])</f>
        <v>1208.699586158147</v>
      </c>
      <c r="R37" s="311">
        <f>SUMIFS(DepotTons[PS_Foam_Tons],DepotTons[Scenario_ID],DepotCostAllocations2025[[#This Row],[Scenario_ID]],DepotTons[Collection_ID],DepotCostAllocations2025[[#This Row],[Collection_ID]])</f>
        <v>18.605991262459408</v>
      </c>
      <c r="S37" s="312">
        <f>DepotCostAllocations2025[[#This Row],[Capital_Cost_Per_Ton]]*DepotCostAllocations2025[[#This Row],[Tons_Excluding_Scrap_Metal]]+PMT($C$10,10,-DepotCostAllocations2025[[#This Row],[Foam_Densifier_Capital_Cost]])</f>
        <v>35772.699275419254</v>
      </c>
      <c r="T37" s="313">
        <f>DepotCostAllocations2025[[#This Row],[Labor_Cost_Per_Ton]]*DepotCostAllocations2025[[#This Row],[Tons_Excluding_Scrap_Metal]]+DepotCostAllocations2025[[#This Row],[Densifier_Operator_Cost]]</f>
        <v>276755.46427685476</v>
      </c>
      <c r="U37" s="313">
        <f>DepotCostAllocations2025[[#This Row],[Operations_Cost_Per_Ton]]*DepotCostAllocations2025[[#This Row],[Tons_Excluding_Scrap_Metal]]</f>
        <v>38761.087272446508</v>
      </c>
      <c r="V37" s="313">
        <f>DepotCostAllocations2025[[#This Row],[Transport_Cost_Per_Ton]]*DepotCostAllocations2025[[#This Row],[Tons_Excluding_Scrap_Metal]]</f>
        <v>140662.64877612286</v>
      </c>
      <c r="W37" s="313">
        <f>DepotCostAllocations2025[[#This Row],[Admin_Cost_Per_Ton]]*DepotCostAllocations2025[[#This Row],[Tons_Excluding_Scrap_Metal]]</f>
        <v>71873.320776957247</v>
      </c>
      <c r="X37"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25.066619738605816</v>
      </c>
    </row>
    <row r="38" spans="2:24" ht="15" x14ac:dyDescent="0.2">
      <c r="B38" s="69" t="s">
        <v>873</v>
      </c>
      <c r="C38" s="296" t="str">
        <f>_xlfn.CONCAT(DepotCostAllocations2025[[#This Row],[Grouping_ID]],"-",DepotCostAllocations2025[[#This Row],[Sector_ID]])</f>
        <v>2-4</v>
      </c>
      <c r="D38" s="14">
        <v>2</v>
      </c>
      <c r="E38" s="297" t="str">
        <f>INDEX(Grouping[Grouping_Name],MATCH(DepotCostAllocations2025[[#This Row],[Grouping_ID]],Grouping[Grouping_ID],0))</f>
        <v>2 - Willamette Valley, etc.</v>
      </c>
      <c r="F38" s="14">
        <v>4</v>
      </c>
      <c r="G38" s="298" t="str">
        <f>INDEX(Sector[Sector_Name],MATCH(DepotCostAllocations2025[[#This Row],[Sector_ID]],Sector[Sector_ID],0))</f>
        <v>Self-haul (excluding Bottle Bill)</v>
      </c>
      <c r="H38" s="305">
        <f>IF(OR(DepotCostAllocations2025[[#This Row],[Scenario_ID]]="S0",DepotCostAllocations2025[[#This Row],[Scenario_ID]]="S1"),1,2)*SUMIFS(DepotCostAllocations[Capital_Cost_Per_Ton],DepotCostAllocations[Collection_ID2],DepotCostAllocations2025[[#This Row],[Collection_ID]])</f>
        <v>24.512538665740269</v>
      </c>
      <c r="I38" s="308">
        <f>IF(DepotCostAllocations2025[[#This Row],[Scenario_ID]]="S0",1,1.25)*SUMIFS(DepotCostAllocations[Labor_Cost_Per_Ton],DepotCostAllocations[Collection_ID2],DepotCostAllocations2025[[#This Row],[Collection_ID]])</f>
        <v>179.3367224603345</v>
      </c>
      <c r="J38" s="305">
        <f>SUMIFS(DepotCostAllocations[Operations_Cost_Per_Ton],DepotCostAllocations[Collection_ID2],DepotCostAllocations2025[[#This Row],[Collection_ID]])</f>
        <v>47.363902835469069</v>
      </c>
      <c r="K38" s="305">
        <f>SUMIFS(DepotCostAllocations[Transport_Cost_Per_Ton],DepotCostAllocations[Collection_ID2],DepotCostAllocations2025[[#This Row],[Collection_ID]])</f>
        <v>87.724889913485725</v>
      </c>
      <c r="L38" s="305">
        <f>SUMIFS(DepotCostAllocations[Admin_Cost_Per_Ton],DepotCostAllocations[Collection_ID2],DepotCostAllocations2025[[#This Row],[Collection_ID]])</f>
        <v>25.505667194358683</v>
      </c>
      <c r="M38" s="309">
        <f>$C$8*DepotCostAllocations2025[[#This Row],[PS_Foam_Tons]]</f>
        <v>0.23532332239440554</v>
      </c>
      <c r="N38" s="310">
        <f>$C$9*DepotCostAllocations2025[[#This Row],[Densifier_Operator_FTE]]</f>
        <v>15126.894640251003</v>
      </c>
      <c r="O38" s="307">
        <f>IF(OR(DepotCostAllocations2025[[#This Row],[Scenario_ID]]="S0",DepotCostAllocations2025[[#This Row],[Scenario_ID]]="S1"),0,1)*$C$7*DepotCostAllocations2025[[#This Row],[PS_Foam_Tons]]/SUMIFS(DepotCostAllocations2025[PS_Foam_Tons],DepotCostAllocations2025[Scenario_ID],DepotCostAllocations2025[[#This Row],[Scenario_ID]])</f>
        <v>2517.0637493397053</v>
      </c>
      <c r="P38" s="311">
        <f>SUMIFS(DepotTons[Tons_Excluding_Scrap_Metal],DepotTons[Scenario_ID],DepotCostAllocations2025[[#This Row],[Scenario_ID]],DepotTons[Collection_ID],DepotCostAllocations2025[[#This Row],[Collection_ID]])</f>
        <v>18835.087949389555</v>
      </c>
      <c r="Q38" s="311">
        <f>SUMIFS(DepotTons[Scrap_Metal_Tons],DepotTons[Scenario_ID],DepotCostAllocations2025[[#This Row],[Scenario_ID]],DepotTons[Collection_ID],DepotCostAllocations2025[[#This Row],[Collection_ID]])</f>
        <v>5211.3592078475976</v>
      </c>
      <c r="R38" s="311">
        <f>SUMIFS(DepotTons[PS_Foam_Tons],DepotTons[Scenario_ID],DepotCostAllocations2025[[#This Row],[Scenario_ID]],DepotTons[Collection_ID],DepotCostAllocations2025[[#This Row],[Collection_ID]])</f>
        <v>3.7651731583104886</v>
      </c>
      <c r="S38" s="312">
        <f>DepotCostAllocations2025[[#This Row],[Capital_Cost_Per_Ton]]*DepotCostAllocations2025[[#This Row],[Tons_Excluding_Scrap_Metal]]+PMT($C$10,10,-DepotCostAllocations2025[[#This Row],[Foam_Densifier_Capital_Cost]])</f>
        <v>462045.95700473234</v>
      </c>
      <c r="T38" s="313">
        <f>DepotCostAllocations2025[[#This Row],[Labor_Cost_Per_Ton]]*DepotCostAllocations2025[[#This Row],[Tons_Excluding_Scrap_Metal]]+DepotCostAllocations2025[[#This Row],[Densifier_Operator_Cost]]</f>
        <v>3392949.8347359165</v>
      </c>
      <c r="U38" s="313">
        <f>DepotCostAllocations2025[[#This Row],[Operations_Cost_Per_Ton]]*DepotCostAllocations2025[[#This Row],[Tons_Excluding_Scrap_Metal]]</f>
        <v>892103.27553240128</v>
      </c>
      <c r="V38" s="313">
        <f>DepotCostAllocations2025[[#This Row],[Transport_Cost_Per_Ton]]*DepotCostAllocations2025[[#This Row],[Tons_Excluding_Scrap_Metal]]</f>
        <v>1652306.0168710204</v>
      </c>
      <c r="W38" s="313">
        <f>DepotCostAllocations2025[[#This Row],[Admin_Cost_Per_Ton]]*DepotCostAllocations2025[[#This Row],[Tons_Excluding_Scrap_Metal]]</f>
        <v>480401.48481360573</v>
      </c>
      <c r="X38"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87.434804569568286</v>
      </c>
    </row>
    <row r="39" spans="2:24" ht="15" x14ac:dyDescent="0.2">
      <c r="B39" s="69" t="s">
        <v>873</v>
      </c>
      <c r="C39" s="296" t="str">
        <f>_xlfn.CONCAT(DepotCostAllocations2025[[#This Row],[Grouping_ID]],"-",DepotCostAllocations2025[[#This Row],[Sector_ID]])</f>
        <v>3-4</v>
      </c>
      <c r="D39" s="69">
        <v>3</v>
      </c>
      <c r="E39" s="297" t="str">
        <f>INDEX(Grouping[Grouping_Name],MATCH(DepotCostAllocations2025[[#This Row],[Grouping_ID]],Grouping[Grouping_ID],0))</f>
        <v>3 - Other areas with curbside</v>
      </c>
      <c r="F39" s="14">
        <v>4</v>
      </c>
      <c r="G39" s="298" t="str">
        <f>INDEX(Sector[Sector_Name],MATCH(DepotCostAllocations2025[[#This Row],[Sector_ID]],Sector[Sector_ID],0))</f>
        <v>Self-haul (excluding Bottle Bill)</v>
      </c>
      <c r="H39" s="305">
        <f>IF(OR(DepotCostAllocations2025[[#This Row],[Scenario_ID]]="S0",DepotCostAllocations2025[[#This Row],[Scenario_ID]]="S1"),1,2)*SUMIFS(DepotCostAllocations[Capital_Cost_Per_Ton],DepotCostAllocations[Collection_ID2],DepotCostAllocations2025[[#This Row],[Collection_ID]])</f>
        <v>23.345876770112749</v>
      </c>
      <c r="I39" s="308">
        <f>IF(DepotCostAllocations2025[[#This Row],[Scenario_ID]]="S0",1,1.25)*SUMIFS(DepotCostAllocations[Labor_Cost_Per_Ton],DepotCostAllocations[Collection_ID2],DepotCostAllocations2025[[#This Row],[Collection_ID]])</f>
        <v>202.85037609186804</v>
      </c>
      <c r="J39" s="305">
        <f>SUMIFS(DepotCostAllocations[Operations_Cost_Per_Ton],DepotCostAllocations[Collection_ID2],DepotCostAllocations2025[[#This Row],[Collection_ID]])</f>
        <v>32.578783560880098</v>
      </c>
      <c r="K39" s="305">
        <f>SUMIFS(DepotCostAllocations[Transport_Cost_Per_Ton],DepotCostAllocations[Collection_ID2],DepotCostAllocations2025[[#This Row],[Collection_ID]])</f>
        <v>44.824506661814482</v>
      </c>
      <c r="L39" s="305">
        <f>SUMIFS(DepotCostAllocations[Admin_Cost_Per_Ton],DepotCostAllocations[Collection_ID2],DepotCostAllocations2025[[#This Row],[Collection_ID]])</f>
        <v>9.7368180524096655</v>
      </c>
      <c r="M39" s="309">
        <f>$C$8*DepotCostAllocations2025[[#This Row],[PS_Foam_Tons]]</f>
        <v>0.73672764282214154</v>
      </c>
      <c r="N39" s="310">
        <f>$C$9*DepotCostAllocations2025[[#This Row],[Densifier_Operator_FTE]]</f>
        <v>47357.828022047121</v>
      </c>
      <c r="O39" s="307">
        <f>IF(OR(DepotCostAllocations2025[[#This Row],[Scenario_ID]]="S0",DepotCostAllocations2025[[#This Row],[Scenario_ID]]="S1"),0,1)*$C$7*DepotCostAllocations2025[[#This Row],[PS_Foam_Tons]]/SUMIFS(DepotCostAllocations2025[PS_Foam_Tons],DepotCostAllocations2025[Scenario_ID],DepotCostAllocations2025[[#This Row],[Scenario_ID]])</f>
        <v>7880.1812927667052</v>
      </c>
      <c r="P39" s="311">
        <f>SUMIFS(DepotTons[Tons_Excluding_Scrap_Metal],DepotTons[Scenario_ID],DepotCostAllocations2025[[#This Row],[Scenario_ID]],DepotTons[Collection_ID],DepotCostAllocations2025[[#This Row],[Collection_ID]])</f>
        <v>11205.149482173467</v>
      </c>
      <c r="Q39" s="311">
        <f>SUMIFS(DepotTons[Scrap_Metal_Tons],DepotTons[Scenario_ID],DepotCostAllocations2025[[#This Row],[Scenario_ID]],DepotTons[Collection_ID],DepotCostAllocations2025[[#This Row],[Collection_ID]])</f>
        <v>1287.303248860916</v>
      </c>
      <c r="R39" s="311">
        <f>SUMIFS(DepotTons[PS_Foam_Tons],DepotTons[Scenario_ID],DepotCostAllocations2025[[#This Row],[Scenario_ID]],DepotTons[Collection_ID],DepotCostAllocations2025[[#This Row],[Collection_ID]])</f>
        <v>11.787642285154265</v>
      </c>
      <c r="S39" s="312">
        <f>DepotCostAllocations2025[[#This Row],[Capital_Cost_Per_Ton]]*DepotCostAllocations2025[[#This Row],[Tons_Excluding_Scrap_Metal]]+PMT($C$10,10,-DepotCostAllocations2025[[#This Row],[Foam_Densifier_Capital_Cost]])</f>
        <v>262690.20917782723</v>
      </c>
      <c r="T39" s="313">
        <f>DepotCostAllocations2025[[#This Row],[Labor_Cost_Per_Ton]]*DepotCostAllocations2025[[#This Row],[Tons_Excluding_Scrap_Metal]]+DepotCostAllocations2025[[#This Row],[Densifier_Operator_Cost]]</f>
        <v>2320326.6146465354</v>
      </c>
      <c r="U39" s="313">
        <f>DepotCostAllocations2025[[#This Row],[Operations_Cost_Per_Ton]]*DepotCostAllocations2025[[#This Row],[Tons_Excluding_Scrap_Metal]]</f>
        <v>365050.13974703709</v>
      </c>
      <c r="V39" s="313">
        <f>DepotCostAllocations2025[[#This Row],[Transport_Cost_Per_Ton]]*DepotCostAllocations2025[[#This Row],[Tons_Excluding_Scrap_Metal]]</f>
        <v>502265.29761031165</v>
      </c>
      <c r="W39" s="313">
        <f>DepotCostAllocations2025[[#This Row],[Admin_Cost_Per_Ton]]*DepotCostAllocations2025[[#This Row],[Tons_Excluding_Scrap_Metal]]</f>
        <v>109102.50175797542</v>
      </c>
      <c r="X39"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61.10930028384297</v>
      </c>
    </row>
    <row r="40" spans="2:24" ht="15" x14ac:dyDescent="0.2">
      <c r="B40" s="69" t="s">
        <v>873</v>
      </c>
      <c r="C40" s="296" t="str">
        <f>_xlfn.CONCAT(DepotCostAllocations2025[[#This Row],[Grouping_ID]],"-",DepotCostAllocations2025[[#This Row],[Sector_ID]])</f>
        <v>4-4</v>
      </c>
      <c r="D40" s="14">
        <v>4</v>
      </c>
      <c r="E40" s="297" t="str">
        <f>INDEX(Grouping[Grouping_Name],MATCH(DepotCostAllocations2025[[#This Row],[Grouping_ID]],Grouping[Grouping_ID],0))</f>
        <v>4 - Areas without curbside</v>
      </c>
      <c r="F40" s="14">
        <v>4</v>
      </c>
      <c r="G40" s="298" t="str">
        <f>INDEX(Sector[Sector_Name],MATCH(DepotCostAllocations2025[[#This Row],[Sector_ID]],Sector[Sector_ID],0))</f>
        <v>Self-haul (excluding Bottle Bill)</v>
      </c>
      <c r="H40" s="305">
        <f>IF(OR(DepotCostAllocations2025[[#This Row],[Scenario_ID]]="S0",DepotCostAllocations2025[[#This Row],[Scenario_ID]]="S1"),1,2)*SUMIFS(DepotCostAllocations[Capital_Cost_Per_Ton],DepotCostAllocations[Collection_ID2],DepotCostAllocations2025[[#This Row],[Collection_ID]])</f>
        <v>28.336690716059127</v>
      </c>
      <c r="I40" s="308">
        <f>IF(DepotCostAllocations2025[[#This Row],[Scenario_ID]]="S0",1,1.25)*SUMIFS(DepotCostAllocations[Labor_Cost_Per_Ton],DepotCostAllocations[Collection_ID2],DepotCostAllocations2025[[#This Row],[Collection_ID]])</f>
        <v>246.21514220919016</v>
      </c>
      <c r="J40" s="305">
        <f>SUMIFS(DepotCostAllocations[Operations_Cost_Per_Ton],DepotCostAllocations[Collection_ID2],DepotCostAllocations2025[[#This Row],[Collection_ID]])</f>
        <v>39.543381589846042</v>
      </c>
      <c r="K40" s="305">
        <f>SUMIFS(DepotCostAllocations[Transport_Cost_Per_Ton],DepotCostAllocations[Collection_ID2],DepotCostAllocations2025[[#This Row],[Collection_ID]])</f>
        <v>54.406959922012582</v>
      </c>
      <c r="L40" s="305">
        <f>SUMIFS(DepotCostAllocations[Admin_Cost_Per_Ton],DepotCostAllocations[Collection_ID2],DepotCostAllocations2025[[#This Row],[Collection_ID]])</f>
        <v>11.818326826041128</v>
      </c>
      <c r="M40" s="309">
        <f>$C$8*DepotCostAllocations2025[[#This Row],[PS_Foam_Tons]]</f>
        <v>6.1670935639527711</v>
      </c>
      <c r="N40" s="310">
        <f>$C$9*DepotCostAllocations2025[[#This Row],[Densifier_Operator_FTE]]</f>
        <v>396428.93712901883</v>
      </c>
      <c r="O40" s="307">
        <f>IF(OR(DepotCostAllocations2025[[#This Row],[Scenario_ID]]="S0",DepotCostAllocations2025[[#This Row],[Scenario_ID]]="S1"),0,1)*$C$7*DepotCostAllocations2025[[#This Row],[PS_Foam_Tons]]/SUMIFS(DepotCostAllocations2025[PS_Foam_Tons],DepotCostAllocations2025[Scenario_ID],DepotCostAllocations2025[[#This Row],[Scenario_ID]])</f>
        <v>65964.424990545522</v>
      </c>
      <c r="P40" s="311">
        <f>SUMIFS(DepotTons[Tons_Excluding_Scrap_Metal],DepotTons[Scenario_ID],DepotCostAllocations2025[[#This Row],[Scenario_ID]],DepotTons[Collection_ID],DepotCostAllocations2025[[#This Row],[Collection_ID]])</f>
        <v>28684.684632878023</v>
      </c>
      <c r="Q40" s="311">
        <f>SUMIFS(DepotTons[Scrap_Metal_Tons],DepotTons[Scenario_ID],DepotCostAllocations2025[[#This Row],[Scenario_ID]],DepotTons[Collection_ID],DepotCostAllocations2025[[#This Row],[Collection_ID]])</f>
        <v>11682.399622554176</v>
      </c>
      <c r="R40" s="311">
        <f>SUMIFS(DepotTons[PS_Foam_Tons],DepotTons[Scenario_ID],DepotCostAllocations2025[[#This Row],[Scenario_ID]],DepotTons[Collection_ID],DepotCostAllocations2025[[#This Row],[Collection_ID]])</f>
        <v>98.673497023244337</v>
      </c>
      <c r="S40" s="312">
        <f>DepotCostAllocations2025[[#This Row],[Capital_Cost_Per_Ton]]*DepotCostAllocations2025[[#This Row],[Tons_Excluding_Scrap_Metal]]+PMT($C$10,10,-DepotCostAllocations2025[[#This Row],[Foam_Densifier_Capital_Cost]])</f>
        <v>822004.99762256874</v>
      </c>
      <c r="T40" s="313">
        <f>DepotCostAllocations2025[[#This Row],[Labor_Cost_Per_Ton]]*DepotCostAllocations2025[[#This Row],[Tons_Excluding_Scrap_Metal]]+DepotCostAllocations2025[[#This Row],[Densifier_Operator_Cost]]</f>
        <v>7459032.6432388527</v>
      </c>
      <c r="U40" s="313">
        <f>DepotCostAllocations2025[[#This Row],[Operations_Cost_Per_Ton]]*DepotCostAllocations2025[[#This Row],[Tons_Excluding_Scrap_Metal]]</f>
        <v>1134289.4302222885</v>
      </c>
      <c r="V40" s="313">
        <f>DepotCostAllocations2025[[#This Row],[Transport_Cost_Per_Ton]]*DepotCostAllocations2025[[#This Row],[Tons_Excluding_Scrap_Metal]]</f>
        <v>1560646.4871965649</v>
      </c>
      <c r="W40" s="313">
        <f>DepotCostAllocations2025[[#This Row],[Admin_Cost_Per_Ton]]*DepotCostAllocations2025[[#This Row],[Tons_Excluding_Scrap_Metal]]</f>
        <v>339004.97789327207</v>
      </c>
      <c r="X40"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160.71819611178694</v>
      </c>
    </row>
    <row r="41" spans="2:24" ht="15" x14ac:dyDescent="0.2">
      <c r="B41" s="69" t="s">
        <v>870</v>
      </c>
      <c r="C41" s="299" t="str">
        <f>_xlfn.CONCAT(DepotCostAllocations2025[[#This Row],[Grouping_ID]],"-",DepotCostAllocations2025[[#This Row],[Sector_ID]])</f>
        <v>1-4</v>
      </c>
      <c r="D41" s="69">
        <v>1</v>
      </c>
      <c r="E41" s="300" t="str">
        <f>INDEX(Grouping[Grouping_Name],MATCH(DepotCostAllocations2025[[#This Row],[Grouping_ID]],Grouping[Grouping_ID],0))</f>
        <v>1 - Metro area</v>
      </c>
      <c r="F41" s="14">
        <v>4</v>
      </c>
      <c r="G41" s="298" t="str">
        <f>INDEX(Sector[Sector_Name],MATCH(DepotCostAllocations2025[[#This Row],[Sector_ID]],Sector[Sector_ID],0))</f>
        <v>Self-haul (excluding Bottle Bill)</v>
      </c>
      <c r="H41" s="305">
        <f>IF(OR(DepotCostAllocations2025[[#This Row],[Scenario_ID]]="S0",DepotCostAllocations2025[[#This Row],[Scenario_ID]]="S1"),1,2)*SUMIFS(DepotCostAllocations[Capital_Cost_Per_Ton],DepotCostAllocations[Collection_ID2],DepotCostAllocations2025[[#This Row],[Collection_ID]])</f>
        <v>6.5932774293090723</v>
      </c>
      <c r="I41" s="308">
        <f>IF(DepotCostAllocations2025[[#This Row],[Scenario_ID]]="S0",1,1.25)*SUMIFS(DepotCostAllocations[Labor_Cost_Per_Ton],DepotCostAllocations[Collection_ID2],DepotCostAllocations2025[[#This Row],[Collection_ID]])</f>
        <v>39.123799929360722</v>
      </c>
      <c r="J41" s="305">
        <f>SUMIFS(DepotCostAllocations[Operations_Cost_Per_Ton],DepotCostAllocations[Collection_ID2],DepotCostAllocations2025[[#This Row],[Collection_ID]])</f>
        <v>7.507169942445052</v>
      </c>
      <c r="K41" s="305">
        <f>SUMIFS(DepotCostAllocations[Transport_Cost_Per_Ton],DepotCostAllocations[Collection_ID2],DepotCostAllocations2025[[#This Row],[Collection_ID]])</f>
        <v>27.243260786119947</v>
      </c>
      <c r="L41" s="305">
        <f>SUMIFS(DepotCostAllocations[Admin_Cost_Per_Ton],DepotCostAllocations[Collection_ID2],DepotCostAllocations2025[[#This Row],[Collection_ID]])</f>
        <v>13.92028117291842</v>
      </c>
      <c r="M41" s="309">
        <f>$C$8*DepotCostAllocations2025[[#This Row],[PS_Foam_Tons]]</f>
        <v>1.162874453903713</v>
      </c>
      <c r="N41" s="310">
        <f>$C$9*DepotCostAllocations2025[[#This Row],[Densifier_Operator_FTE]]</f>
        <v>74751.109091340448</v>
      </c>
      <c r="O41" s="307">
        <f>IF(OR(DepotCostAllocations2025[[#This Row],[Scenario_ID]]="S0",DepotCostAllocations2025[[#This Row],[Scenario_ID]]="S1"),0,1)*$C$7*DepotCostAllocations2025[[#This Row],[PS_Foam_Tons]]/SUMIFS(DepotCostAllocations2025[PS_Foam_Tons],DepotCostAllocations2025[Scenario_ID],DepotCostAllocations2025[[#This Row],[Scenario_ID]])</f>
        <v>12438.329967348056</v>
      </c>
      <c r="P41" s="311">
        <f>SUMIFS(DepotTons[Tons_Excluding_Scrap_Metal],DepotTons[Scenario_ID],DepotCostAllocations2025[[#This Row],[Scenario_ID]],DepotTons[Collection_ID],DepotCostAllocations2025[[#This Row],[Collection_ID]])</f>
        <v>4918.3527049698951</v>
      </c>
      <c r="Q41" s="311">
        <f>SUMIFS(DepotTons[Scrap_Metal_Tons],DepotTons[Scenario_ID],DepotCostAllocations2025[[#This Row],[Scenario_ID]],DepotTons[Collection_ID],DepotCostAllocations2025[[#This Row],[Collection_ID]])</f>
        <v>1208.699586158147</v>
      </c>
      <c r="R41" s="311">
        <f>SUMIFS(DepotTons[PS_Foam_Tons],DepotTons[Scenario_ID],DepotCostAllocations2025[[#This Row],[Scenario_ID]],DepotTons[Collection_ID],DepotCostAllocations2025[[#This Row],[Collection_ID]])</f>
        <v>18.605991262459408</v>
      </c>
      <c r="S41" s="312">
        <f>DepotCostAllocations2025[[#This Row],[Capital_Cost_Per_Ton]]*DepotCostAllocations2025[[#This Row],[Tons_Excluding_Scrap_Metal]]+PMT($C$10,10,-DepotCostAllocations2025[[#This Row],[Foam_Densifier_Capital_Cost]])</f>
        <v>34158.293913977308</v>
      </c>
      <c r="T41" s="313">
        <f>DepotCostAllocations2025[[#This Row],[Labor_Cost_Per_Ton]]*DepotCostAllocations2025[[#This Row],[Tons_Excluding_Scrap_Metal]]+DepotCostAllocations2025[[#This Row],[Densifier_Operator_Cost]]</f>
        <v>267175.75630261272</v>
      </c>
      <c r="U41" s="313">
        <f>DepotCostAllocations2025[[#This Row],[Operations_Cost_Per_Ton]]*DepotCostAllocations2025[[#This Row],[Tons_Excluding_Scrap_Metal]]</f>
        <v>36922.909593093311</v>
      </c>
      <c r="V41" s="313">
        <f>DepotCostAllocations2025[[#This Row],[Transport_Cost_Per_Ton]]*DepotCostAllocations2025[[#This Row],[Tons_Excluding_Scrap_Metal]]</f>
        <v>133991.96537961331</v>
      </c>
      <c r="W41" s="313">
        <f>DepotCostAllocations2025[[#This Row],[Admin_Cost_Per_Ton]]*DepotCostAllocations2025[[#This Row],[Tons_Excluding_Scrap_Metal]]</f>
        <v>68464.852560764819</v>
      </c>
      <c r="X41"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23.933025865801376</v>
      </c>
    </row>
    <row r="42" spans="2:24" ht="15" x14ac:dyDescent="0.2">
      <c r="B42" s="69" t="s">
        <v>870</v>
      </c>
      <c r="C42" s="296" t="str">
        <f>_xlfn.CONCAT(DepotCostAllocations2025[[#This Row],[Grouping_ID]],"-",DepotCostAllocations2025[[#This Row],[Sector_ID]])</f>
        <v>2-4</v>
      </c>
      <c r="D42" s="14">
        <v>2</v>
      </c>
      <c r="E42" s="297" t="str">
        <f>INDEX(Grouping[Grouping_Name],MATCH(DepotCostAllocations2025[[#This Row],[Grouping_ID]],Grouping[Grouping_ID],0))</f>
        <v>2 - Willamette Valley, etc.</v>
      </c>
      <c r="F42" s="14">
        <v>4</v>
      </c>
      <c r="G42" s="298" t="str">
        <f>INDEX(Sector[Sector_Name],MATCH(DepotCostAllocations2025[[#This Row],[Sector_ID]],Sector[Sector_ID],0))</f>
        <v>Self-haul (excluding Bottle Bill)</v>
      </c>
      <c r="H42" s="305">
        <f>IF(OR(DepotCostAllocations2025[[#This Row],[Scenario_ID]]="S0",DepotCostAllocations2025[[#This Row],[Scenario_ID]]="S1"),1,2)*SUMIFS(DepotCostAllocations[Capital_Cost_Per_Ton],DepotCostAllocations[Collection_ID2],DepotCostAllocations2025[[#This Row],[Collection_ID]])</f>
        <v>24.512538665740269</v>
      </c>
      <c r="I42" s="308">
        <f>IF(DepotCostAllocations2025[[#This Row],[Scenario_ID]]="S0",1,1.25)*SUMIFS(DepotCostAllocations[Labor_Cost_Per_Ton],DepotCostAllocations[Collection_ID2],DepotCostAllocations2025[[#This Row],[Collection_ID]])</f>
        <v>179.3367224603345</v>
      </c>
      <c r="J42" s="305">
        <f>SUMIFS(DepotCostAllocations[Operations_Cost_Per_Ton],DepotCostAllocations[Collection_ID2],DepotCostAllocations2025[[#This Row],[Collection_ID]])</f>
        <v>47.363902835469069</v>
      </c>
      <c r="K42" s="305">
        <f>SUMIFS(DepotCostAllocations[Transport_Cost_Per_Ton],DepotCostAllocations[Collection_ID2],DepotCostAllocations2025[[#This Row],[Collection_ID]])</f>
        <v>87.724889913485725</v>
      </c>
      <c r="L42" s="305">
        <f>SUMIFS(DepotCostAllocations[Admin_Cost_Per_Ton],DepotCostAllocations[Collection_ID2],DepotCostAllocations2025[[#This Row],[Collection_ID]])</f>
        <v>25.505667194358683</v>
      </c>
      <c r="M42" s="309">
        <f>$C$8*DepotCostAllocations2025[[#This Row],[PS_Foam_Tons]]</f>
        <v>0.23532332239440554</v>
      </c>
      <c r="N42" s="310">
        <f>$C$9*DepotCostAllocations2025[[#This Row],[Densifier_Operator_FTE]]</f>
        <v>15126.894640251003</v>
      </c>
      <c r="O42" s="307">
        <f>IF(OR(DepotCostAllocations2025[[#This Row],[Scenario_ID]]="S0",DepotCostAllocations2025[[#This Row],[Scenario_ID]]="S1"),0,1)*$C$7*DepotCostAllocations2025[[#This Row],[PS_Foam_Tons]]/SUMIFS(DepotCostAllocations2025[PS_Foam_Tons],DepotCostAllocations2025[Scenario_ID],DepotCostAllocations2025[[#This Row],[Scenario_ID]])</f>
        <v>2517.0637493397053</v>
      </c>
      <c r="P42" s="311">
        <f>SUMIFS(DepotTons[Tons_Excluding_Scrap_Metal],DepotTons[Scenario_ID],DepotCostAllocations2025[[#This Row],[Scenario_ID]],DepotTons[Collection_ID],DepotCostAllocations2025[[#This Row],[Collection_ID]])</f>
        <v>18692.702343800727</v>
      </c>
      <c r="Q42" s="311">
        <f>SUMIFS(DepotTons[Scrap_Metal_Tons],DepotTons[Scenario_ID],DepotCostAllocations2025[[#This Row],[Scenario_ID]],DepotTons[Collection_ID],DepotCostAllocations2025[[#This Row],[Collection_ID]])</f>
        <v>5211.3592078475976</v>
      </c>
      <c r="R42" s="311">
        <f>SUMIFS(DepotTons[PS_Foam_Tons],DepotTons[Scenario_ID],DepotCostAllocations2025[[#This Row],[Scenario_ID]],DepotTons[Collection_ID],DepotCostAllocations2025[[#This Row],[Collection_ID]])</f>
        <v>3.7651731583104886</v>
      </c>
      <c r="S42" s="312">
        <f>DepotCostAllocations2025[[#This Row],[Capital_Cost_Per_Ton]]*DepotCostAllocations2025[[#This Row],[Tons_Excluding_Scrap_Metal]]+PMT($C$10,10,-DepotCostAllocations2025[[#This Row],[Foam_Densifier_Capital_Cost]])</f>
        <v>458555.72434229136</v>
      </c>
      <c r="T42" s="313">
        <f>DepotCostAllocations2025[[#This Row],[Labor_Cost_Per_Ton]]*DepotCostAllocations2025[[#This Row],[Tons_Excluding_Scrap_Metal]]+DepotCostAllocations2025[[#This Row],[Densifier_Operator_Cost]]</f>
        <v>3367414.8669040864</v>
      </c>
      <c r="U42" s="313">
        <f>DepotCostAllocations2025[[#This Row],[Operations_Cost_Per_Ton]]*DepotCostAllocations2025[[#This Row],[Tons_Excluding_Scrap_Metal]]</f>
        <v>885359.33754412259</v>
      </c>
      <c r="V42" s="313">
        <f>DepotCostAllocations2025[[#This Row],[Transport_Cost_Per_Ton]]*DepotCostAllocations2025[[#This Row],[Tons_Excluding_Scrap_Metal]]</f>
        <v>1639815.2552954755</v>
      </c>
      <c r="W42" s="313">
        <f>DepotCostAllocations2025[[#This Row],[Admin_Cost_Per_Ton]]*DepotCostAllocations2025[[#This Row],[Tons_Excluding_Scrap_Metal]]</f>
        <v>476769.84494418988</v>
      </c>
      <c r="X42"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86.775611951101482</v>
      </c>
    </row>
    <row r="43" spans="2:24" ht="15" x14ac:dyDescent="0.2">
      <c r="B43" s="69" t="s">
        <v>870</v>
      </c>
      <c r="C43" s="296" t="str">
        <f>_xlfn.CONCAT(DepotCostAllocations2025[[#This Row],[Grouping_ID]],"-",DepotCostAllocations2025[[#This Row],[Sector_ID]])</f>
        <v>3-4</v>
      </c>
      <c r="D43" s="69">
        <v>3</v>
      </c>
      <c r="E43" s="297" t="str">
        <f>INDEX(Grouping[Grouping_Name],MATCH(DepotCostAllocations2025[[#This Row],[Grouping_ID]],Grouping[Grouping_ID],0))</f>
        <v>3 - Other areas with curbside</v>
      </c>
      <c r="F43" s="14">
        <v>4</v>
      </c>
      <c r="G43" s="298" t="str">
        <f>INDEX(Sector[Sector_Name],MATCH(DepotCostAllocations2025[[#This Row],[Sector_ID]],Sector[Sector_ID],0))</f>
        <v>Self-haul (excluding Bottle Bill)</v>
      </c>
      <c r="H43" s="305">
        <f>IF(OR(DepotCostAllocations2025[[#This Row],[Scenario_ID]]="S0",DepotCostAllocations2025[[#This Row],[Scenario_ID]]="S1"),1,2)*SUMIFS(DepotCostAllocations[Capital_Cost_Per_Ton],DepotCostAllocations[Collection_ID2],DepotCostAllocations2025[[#This Row],[Collection_ID]])</f>
        <v>23.345876770112749</v>
      </c>
      <c r="I43" s="308">
        <f>IF(DepotCostAllocations2025[[#This Row],[Scenario_ID]]="S0",1,1.25)*SUMIFS(DepotCostAllocations[Labor_Cost_Per_Ton],DepotCostAllocations[Collection_ID2],DepotCostAllocations2025[[#This Row],[Collection_ID]])</f>
        <v>202.85037609186804</v>
      </c>
      <c r="J43" s="305">
        <f>SUMIFS(DepotCostAllocations[Operations_Cost_Per_Ton],DepotCostAllocations[Collection_ID2],DepotCostAllocations2025[[#This Row],[Collection_ID]])</f>
        <v>32.578783560880098</v>
      </c>
      <c r="K43" s="305">
        <f>SUMIFS(DepotCostAllocations[Transport_Cost_Per_Ton],DepotCostAllocations[Collection_ID2],DepotCostAllocations2025[[#This Row],[Collection_ID]])</f>
        <v>44.824506661814482</v>
      </c>
      <c r="L43" s="305">
        <f>SUMIFS(DepotCostAllocations[Admin_Cost_Per_Ton],DepotCostAllocations[Collection_ID2],DepotCostAllocations2025[[#This Row],[Collection_ID]])</f>
        <v>9.7368180524096655</v>
      </c>
      <c r="M43" s="309">
        <f>$C$8*DepotCostAllocations2025[[#This Row],[PS_Foam_Tons]]</f>
        <v>0.73672764282214154</v>
      </c>
      <c r="N43" s="310">
        <f>$C$9*DepotCostAllocations2025[[#This Row],[Densifier_Operator_FTE]]</f>
        <v>47357.828022047121</v>
      </c>
      <c r="O43" s="307">
        <f>IF(OR(DepotCostAllocations2025[[#This Row],[Scenario_ID]]="S0",DepotCostAllocations2025[[#This Row],[Scenario_ID]]="S1"),0,1)*$C$7*DepotCostAllocations2025[[#This Row],[PS_Foam_Tons]]/SUMIFS(DepotCostAllocations2025[PS_Foam_Tons],DepotCostAllocations2025[Scenario_ID],DepotCostAllocations2025[[#This Row],[Scenario_ID]])</f>
        <v>7880.1812927667052</v>
      </c>
      <c r="P43" s="311">
        <f>SUMIFS(DepotTons[Tons_Excluding_Scrap_Metal],DepotTons[Scenario_ID],DepotCostAllocations2025[[#This Row],[Scenario_ID]],DepotTons[Collection_ID],DepotCostAllocations2025[[#This Row],[Collection_ID]])</f>
        <v>11199.167033753847</v>
      </c>
      <c r="Q43" s="311">
        <f>SUMIFS(DepotTons[Scrap_Metal_Tons],DepotTons[Scenario_ID],DepotCostAllocations2025[[#This Row],[Scenario_ID]],DepotTons[Collection_ID],DepotCostAllocations2025[[#This Row],[Collection_ID]])</f>
        <v>1287.303248860916</v>
      </c>
      <c r="R43" s="311">
        <f>SUMIFS(DepotTons[PS_Foam_Tons],DepotTons[Scenario_ID],DepotCostAllocations2025[[#This Row],[Scenario_ID]],DepotTons[Collection_ID],DepotCostAllocations2025[[#This Row],[Collection_ID]])</f>
        <v>11.787642285154265</v>
      </c>
      <c r="S43" s="312">
        <f>DepotCostAllocations2025[[#This Row],[Capital_Cost_Per_Ton]]*DepotCostAllocations2025[[#This Row],[Tons_Excluding_Scrap_Metal]]+PMT($C$10,10,-DepotCostAllocations2025[[#This Row],[Foam_Densifier_Capital_Cost]])</f>
        <v>262550.54367423925</v>
      </c>
      <c r="T43" s="313">
        <f>DepotCostAllocations2025[[#This Row],[Labor_Cost_Per_Ton]]*DepotCostAllocations2025[[#This Row],[Tons_Excluding_Scrap_Metal]]+DepotCostAllocations2025[[#This Row],[Densifier_Operator_Cost]]</f>
        <v>2319113.0727346651</v>
      </c>
      <c r="U43" s="313">
        <f>DepotCostAllocations2025[[#This Row],[Operations_Cost_Per_Ton]]*DepotCostAllocations2025[[#This Row],[Tons_Excluding_Scrap_Metal]]</f>
        <v>364855.23885481019</v>
      </c>
      <c r="V43" s="313">
        <f>DepotCostAllocations2025[[#This Row],[Transport_Cost_Per_Ton]]*DepotCostAllocations2025[[#This Row],[Tons_Excluding_Scrap_Metal]]</f>
        <v>501997.13731127244</v>
      </c>
      <c r="W43" s="313">
        <f>DepotCostAllocations2025[[#This Row],[Admin_Cost_Per_Ton]]*DepotCostAllocations2025[[#This Row],[Tons_Excluding_Scrap_Metal]]</f>
        <v>109044.25174620567</v>
      </c>
      <c r="X43"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61.077067264340712</v>
      </c>
    </row>
    <row r="44" spans="2:24" ht="15" x14ac:dyDescent="0.2">
      <c r="B44" s="69" t="s">
        <v>870</v>
      </c>
      <c r="C44" s="296" t="str">
        <f>_xlfn.CONCAT(DepotCostAllocations2025[[#This Row],[Grouping_ID]],"-",DepotCostAllocations2025[[#This Row],[Sector_ID]])</f>
        <v>4-4</v>
      </c>
      <c r="D44" s="14">
        <v>4</v>
      </c>
      <c r="E44" s="297" t="str">
        <f>INDEX(Grouping[Grouping_Name],MATCH(DepotCostAllocations2025[[#This Row],[Grouping_ID]],Grouping[Grouping_ID],0))</f>
        <v>4 - Areas without curbside</v>
      </c>
      <c r="F44" s="14">
        <v>4</v>
      </c>
      <c r="G44" s="298" t="str">
        <f>INDEX(Sector[Sector_Name],MATCH(DepotCostAllocations2025[[#This Row],[Sector_ID]],Sector[Sector_ID],0))</f>
        <v>Self-haul (excluding Bottle Bill)</v>
      </c>
      <c r="H44" s="305">
        <f>IF(OR(DepotCostAllocations2025[[#This Row],[Scenario_ID]]="S0",DepotCostAllocations2025[[#This Row],[Scenario_ID]]="S1"),1,2)*SUMIFS(DepotCostAllocations[Capital_Cost_Per_Ton],DepotCostAllocations[Collection_ID2],DepotCostAllocations2025[[#This Row],[Collection_ID]])</f>
        <v>28.336690716059127</v>
      </c>
      <c r="I44" s="308">
        <f>IF(DepotCostAllocations2025[[#This Row],[Scenario_ID]]="S0",1,1.25)*SUMIFS(DepotCostAllocations[Labor_Cost_Per_Ton],DepotCostAllocations[Collection_ID2],DepotCostAllocations2025[[#This Row],[Collection_ID]])</f>
        <v>246.21514220919016</v>
      </c>
      <c r="J44" s="305">
        <f>SUMIFS(DepotCostAllocations[Operations_Cost_Per_Ton],DepotCostAllocations[Collection_ID2],DepotCostAllocations2025[[#This Row],[Collection_ID]])</f>
        <v>39.543381589846042</v>
      </c>
      <c r="K44" s="305">
        <f>SUMIFS(DepotCostAllocations[Transport_Cost_Per_Ton],DepotCostAllocations[Collection_ID2],DepotCostAllocations2025[[#This Row],[Collection_ID]])</f>
        <v>54.406959922012582</v>
      </c>
      <c r="L44" s="305">
        <f>SUMIFS(DepotCostAllocations[Admin_Cost_Per_Ton],DepotCostAllocations[Collection_ID2],DepotCostAllocations2025[[#This Row],[Collection_ID]])</f>
        <v>11.818326826041128</v>
      </c>
      <c r="M44" s="309">
        <f>$C$8*DepotCostAllocations2025[[#This Row],[PS_Foam_Tons]]</f>
        <v>6.1670935639527711</v>
      </c>
      <c r="N44" s="310">
        <f>$C$9*DepotCostAllocations2025[[#This Row],[Densifier_Operator_FTE]]</f>
        <v>396428.93712901883</v>
      </c>
      <c r="O44" s="307">
        <f>IF(OR(DepotCostAllocations2025[[#This Row],[Scenario_ID]]="S0",DepotCostAllocations2025[[#This Row],[Scenario_ID]]="S1"),0,1)*$C$7*DepotCostAllocations2025[[#This Row],[PS_Foam_Tons]]/SUMIFS(DepotCostAllocations2025[PS_Foam_Tons],DepotCostAllocations2025[Scenario_ID],DepotCostAllocations2025[[#This Row],[Scenario_ID]])</f>
        <v>65964.424990545522</v>
      </c>
      <c r="P44" s="311">
        <f>SUMIFS(DepotTons[Tons_Excluding_Scrap_Metal],DepotTons[Scenario_ID],DepotCostAllocations2025[[#This Row],[Scenario_ID]],DepotTons[Collection_ID],DepotCostAllocations2025[[#This Row],[Collection_ID]])</f>
        <v>28684.684632878023</v>
      </c>
      <c r="Q44" s="311">
        <f>SUMIFS(DepotTons[Scrap_Metal_Tons],DepotTons[Scenario_ID],DepotCostAllocations2025[[#This Row],[Scenario_ID]],DepotTons[Collection_ID],DepotCostAllocations2025[[#This Row],[Collection_ID]])</f>
        <v>11682.399622554176</v>
      </c>
      <c r="R44" s="311">
        <f>SUMIFS(DepotTons[PS_Foam_Tons],DepotTons[Scenario_ID],DepotCostAllocations2025[[#This Row],[Scenario_ID]],DepotTons[Collection_ID],DepotCostAllocations2025[[#This Row],[Collection_ID]])</f>
        <v>98.673497023244337</v>
      </c>
      <c r="S44" s="312">
        <f>DepotCostAllocations2025[[#This Row],[Capital_Cost_Per_Ton]]*DepotCostAllocations2025[[#This Row],[Tons_Excluding_Scrap_Metal]]+PMT($C$10,10,-DepotCostAllocations2025[[#This Row],[Foam_Densifier_Capital_Cost]])</f>
        <v>822004.99762256874</v>
      </c>
      <c r="T44" s="313">
        <f>DepotCostAllocations2025[[#This Row],[Labor_Cost_Per_Ton]]*DepotCostAllocations2025[[#This Row],[Tons_Excluding_Scrap_Metal]]+DepotCostAllocations2025[[#This Row],[Densifier_Operator_Cost]]</f>
        <v>7459032.6432388527</v>
      </c>
      <c r="U44" s="313">
        <f>DepotCostAllocations2025[[#This Row],[Operations_Cost_Per_Ton]]*DepotCostAllocations2025[[#This Row],[Tons_Excluding_Scrap_Metal]]</f>
        <v>1134289.4302222885</v>
      </c>
      <c r="V44" s="313">
        <f>DepotCostAllocations2025[[#This Row],[Transport_Cost_Per_Ton]]*DepotCostAllocations2025[[#This Row],[Tons_Excluding_Scrap_Metal]]</f>
        <v>1560646.4871965649</v>
      </c>
      <c r="W44" s="313">
        <f>DepotCostAllocations2025[[#This Row],[Admin_Cost_Per_Ton]]*DepotCostAllocations2025[[#This Row],[Tons_Excluding_Scrap_Metal]]</f>
        <v>339004.97789327207</v>
      </c>
      <c r="X44" s="345">
        <f>(IF(DepotCostAllocations2025[[#This Row],[Scenario_ID]]="S0",1,1.25)*DepotCostAllocations2025[[#This Row],[Tons_Excluding_Scrap_Metal]]/SUMIFS(DepotCostAllocations[Tons_Per_FTE],DepotCostAllocations[Collection_ID2],DepotCostAllocations2025[[#This Row],[Collection_ID]]))+DepotCostAllocations2025[[#This Row],[Densifier_Operator_FTE]]</f>
        <v>160.71819611178694</v>
      </c>
    </row>
  </sheetData>
  <sheetProtection algorithmName="SHA-512" hashValue="NY4a4hnGktkywOshB8vq0RLysOrmPGwVBtLDWDFiB6BK2oqIOIxtDibV8Y2F4pakvsQLX2WndL51LRzr5cjQRA==" saltValue="SgCNm8M3sguyqu+1QYXJlg==" spinCount="100000" sheet="1" objects="1" scenarios="1" autoFilter="0"/>
  <mergeCells count="1">
    <mergeCell ref="C4:AA5"/>
  </mergeCells>
  <pageMargins left="0.7" right="0.7" top="0.75" bottom="0.75" header="0.3" footer="0.3"/>
  <pageSetup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N33"/>
  <sheetViews>
    <sheetView workbookViewId="0"/>
  </sheetViews>
  <sheetFormatPr defaultColWidth="9" defaultRowHeight="12.75" x14ac:dyDescent="0.2"/>
  <cols>
    <col min="1" max="1" width="2.875" style="35" customWidth="1"/>
    <col min="2" max="4" width="9.75" style="35" customWidth="1"/>
    <col min="5" max="5" width="22.5" style="35" customWidth="1"/>
    <col min="6" max="6" width="11.75" style="35" customWidth="1"/>
    <col min="7" max="7" width="19.5" style="35" customWidth="1"/>
    <col min="8" max="8" width="6.5" style="35" bestFit="1" customWidth="1"/>
    <col min="9" max="9" width="12.625" style="318" customWidth="1"/>
    <col min="10" max="12" width="21" style="35" customWidth="1"/>
    <col min="13" max="13" width="12" style="35" customWidth="1"/>
    <col min="14" max="14" width="16.875" style="35" customWidth="1"/>
    <col min="15" max="15" width="14.875" style="35" customWidth="1"/>
    <col min="16" max="21" width="15.625" style="35" customWidth="1"/>
    <col min="22" max="16384" width="9" style="35"/>
  </cols>
  <sheetData>
    <row r="1" spans="2:13" ht="20.25" thickBot="1" x14ac:dyDescent="0.35">
      <c r="B1" s="65" t="s">
        <v>130</v>
      </c>
      <c r="C1" s="76"/>
      <c r="D1" s="76"/>
      <c r="E1" s="76"/>
      <c r="F1" s="76"/>
      <c r="G1" s="76"/>
      <c r="H1" s="76"/>
      <c r="I1" s="333"/>
      <c r="J1" s="76"/>
      <c r="K1" s="76"/>
      <c r="L1" s="76"/>
      <c r="M1" s="76"/>
    </row>
    <row r="2" spans="2:13" ht="13.5" thickTop="1" x14ac:dyDescent="0.2"/>
    <row r="3" spans="2:13" ht="17.25" thickBot="1" x14ac:dyDescent="0.3">
      <c r="B3" s="74" t="s">
        <v>49</v>
      </c>
      <c r="C3" s="93"/>
      <c r="D3" s="93"/>
      <c r="E3" s="93"/>
      <c r="F3" s="93"/>
      <c r="G3" s="93"/>
      <c r="H3" s="93"/>
      <c r="I3" s="334"/>
      <c r="J3" s="93"/>
      <c r="K3" s="93"/>
      <c r="L3" s="93"/>
      <c r="M3" s="93"/>
    </row>
    <row r="4" spans="2:13" ht="15.75" thickTop="1" x14ac:dyDescent="0.2">
      <c r="B4" s="68" t="s">
        <v>50</v>
      </c>
      <c r="C4" s="94" t="s">
        <v>133</v>
      </c>
      <c r="D4" s="94"/>
      <c r="E4" s="94"/>
      <c r="F4" s="94"/>
      <c r="G4" s="94"/>
      <c r="H4" s="94"/>
      <c r="I4" s="335"/>
      <c r="J4" s="94"/>
    </row>
    <row r="5" spans="2:13" ht="15" x14ac:dyDescent="0.2">
      <c r="B5" s="68"/>
      <c r="C5" s="94"/>
      <c r="D5" s="94"/>
      <c r="E5" s="94"/>
      <c r="F5" s="94"/>
      <c r="G5" s="94"/>
      <c r="H5" s="94"/>
      <c r="I5" s="335"/>
      <c r="J5" s="94"/>
    </row>
    <row r="7" spans="2:13" ht="15" x14ac:dyDescent="0.2">
      <c r="B7" s="67" t="s">
        <v>954</v>
      </c>
      <c r="C7" s="67"/>
      <c r="D7" s="67"/>
      <c r="E7" s="67"/>
      <c r="F7" s="67"/>
      <c r="G7" s="67"/>
      <c r="J7" s="68" t="s">
        <v>50</v>
      </c>
      <c r="K7" s="68" t="s">
        <v>50</v>
      </c>
      <c r="L7" s="68"/>
      <c r="M7" s="68"/>
    </row>
    <row r="8" spans="2:13" ht="25.5" x14ac:dyDescent="0.2">
      <c r="B8" s="25" t="s">
        <v>55</v>
      </c>
      <c r="C8" s="25" t="s">
        <v>112</v>
      </c>
      <c r="D8" s="25" t="s">
        <v>56</v>
      </c>
      <c r="E8" s="25" t="s">
        <v>57</v>
      </c>
      <c r="F8" s="25" t="s">
        <v>60</v>
      </c>
      <c r="G8" s="25" t="s">
        <v>61</v>
      </c>
      <c r="H8" s="324" t="s">
        <v>817</v>
      </c>
      <c r="I8" s="324" t="s">
        <v>122</v>
      </c>
      <c r="J8" s="25" t="s">
        <v>131</v>
      </c>
      <c r="K8" s="25" t="s">
        <v>13</v>
      </c>
    </row>
    <row r="9" spans="2:13" ht="15" x14ac:dyDescent="0.25">
      <c r="B9" s="22" t="str">
        <f>_xlfn.CONCAT(LGengagement2018[[#This Row],[Grouping_ID]],"-",LGengagement2018[[#This Row],[Sector_ID]])</f>
        <v>1-1</v>
      </c>
      <c r="C9" s="22" t="str">
        <f>_xlfn.CONCAT(LGengagement2018[[#This Row],[Grouping_ID]],"-",LGengagement2018[[#This Row],[Sector_ID]])</f>
        <v>1-1</v>
      </c>
      <c r="D9" s="35">
        <v>1</v>
      </c>
      <c r="E9" s="35" t="str">
        <f>INDEX(Grouping[Grouping_Name],MATCH(LGengagement2018[[#This Row],[Grouping_ID]],Grouping[Grouping_ID],0))</f>
        <v>1 - Metro area</v>
      </c>
      <c r="F9" s="35">
        <v>1</v>
      </c>
      <c r="G9" s="35" t="str">
        <f>INDEX(Sector[Sector_Name],MATCH(LGengagement2018[[#This Row],[Sector_ID]],Sector[Sector_ID],0))</f>
        <v>SF Res. (on-route)</v>
      </c>
      <c r="H9" s="318">
        <v>2018</v>
      </c>
      <c r="I9" s="270">
        <f>SUMIFS(CollectionCostTotal[Customers],CollectionCostTotal[Grouping_ID],LGengagement2018[[#This Row],[Grouping_ID]],CollectionCostTotal[Sector_ID],LGengagement2018[[#This Row],[Sector_ID]],CollectionCostTotal[Year],LGengagement2018[[#This Row],[Year]])</f>
        <v>2145437.042940571</v>
      </c>
      <c r="J9" s="91">
        <v>1380000</v>
      </c>
      <c r="K9" s="92">
        <v>18</v>
      </c>
    </row>
    <row r="10" spans="2:13" ht="15" x14ac:dyDescent="0.25">
      <c r="B10" s="22" t="str">
        <f>_xlfn.CONCAT(LGengagement2018[[#This Row],[Grouping_ID]],"-",LGengagement2018[[#This Row],[Sector_ID]])</f>
        <v>1-2</v>
      </c>
      <c r="C10" s="22" t="str">
        <f>_xlfn.CONCAT(LGengagement2018[[#This Row],[Grouping_ID]],"-",LGengagement2018[[#This Row],[Sector_ID]])</f>
        <v>1-2</v>
      </c>
      <c r="D10" s="35">
        <v>1</v>
      </c>
      <c r="E10" s="35" t="str">
        <f>INDEX(Grouping[Grouping_Name],MATCH(LGengagement2018[[#This Row],[Grouping_ID]],Grouping[Grouping_ID],0))</f>
        <v>1 - Metro area</v>
      </c>
      <c r="F10" s="35">
        <v>2</v>
      </c>
      <c r="G10" s="35" t="str">
        <f>INDEX(Sector[Sector_Name],MATCH(LGengagement2018[[#This Row],[Sector_ID]],Sector[Sector_ID],0))</f>
        <v>MF Res. (on-route)</v>
      </c>
      <c r="H10" s="318">
        <v>2018</v>
      </c>
      <c r="I10" s="270">
        <f>SUMIFS(CollectionCostTotal[Customers],CollectionCostTotal[Grouping_ID],LGengagement2018[[#This Row],[Grouping_ID]],CollectionCostTotal[Sector_ID],LGengagement2018[[#This Row],[Sector_ID]],CollectionCostTotal[Year],LGengagement2018[[#This Row],[Year]])</f>
        <v>33256.60880291606</v>
      </c>
      <c r="J10" s="89">
        <v>930000</v>
      </c>
      <c r="K10" s="90">
        <v>12</v>
      </c>
    </row>
    <row r="11" spans="2:13" ht="15" x14ac:dyDescent="0.25">
      <c r="B11" s="23" t="str">
        <f>_xlfn.CONCAT(LGengagement2018[[#This Row],[Grouping_ID]],"-",LGengagement2018[[#This Row],[Sector_ID]])</f>
        <v>1-3</v>
      </c>
      <c r="C11" s="23" t="str">
        <f>_xlfn.CONCAT(LGengagement2018[[#This Row],[Grouping_ID]],"-",LGengagement2018[[#This Row],[Sector_ID]])</f>
        <v>1-3</v>
      </c>
      <c r="D11" s="35">
        <v>1</v>
      </c>
      <c r="E11" s="35" t="str">
        <f>INDEX(Grouping[Grouping_Name],MATCH(LGengagement2018[[#This Row],[Grouping_ID]],Grouping[Grouping_ID],0))</f>
        <v>1 - Metro area</v>
      </c>
      <c r="F11" s="35">
        <v>3</v>
      </c>
      <c r="G11" s="24" t="str">
        <f>INDEX(Sector[Sector_Name],MATCH(LGengagement2018[[#This Row],[Sector_ID]],Sector[Sector_ID],0))</f>
        <v>Commercial (on-route)</v>
      </c>
      <c r="H11" s="318">
        <v>2018</v>
      </c>
      <c r="I11" s="270">
        <f>SUMIFS(CollectionCostTotal[Customers],CollectionCostTotal[Grouping_ID],LGengagement2018[[#This Row],[Grouping_ID]],CollectionCostTotal[Sector_ID],LGengagement2018[[#This Row],[Sector_ID]],CollectionCostTotal[Year],LGengagement2018[[#This Row],[Year]])</f>
        <v>163536.96693254428</v>
      </c>
      <c r="J11" s="89">
        <v>2048000</v>
      </c>
      <c r="K11" s="90">
        <v>26</v>
      </c>
    </row>
    <row r="12" spans="2:13" ht="15" x14ac:dyDescent="0.25">
      <c r="B12" s="22" t="str">
        <f>_xlfn.CONCAT(LGengagement2018[[#This Row],[Grouping_ID]],"-",LGengagement2018[[#This Row],[Sector_ID]])</f>
        <v>2-1</v>
      </c>
      <c r="C12" s="22" t="str">
        <f>_xlfn.CONCAT(LGengagement2018[[#This Row],[Grouping_ID]],"-",LGengagement2018[[#This Row],[Sector_ID]])</f>
        <v>2-1</v>
      </c>
      <c r="D12" s="35">
        <v>2</v>
      </c>
      <c r="E12" s="35" t="str">
        <f>INDEX(Grouping[Grouping_Name],MATCH(LGengagement2018[[#This Row],[Grouping_ID]],Grouping[Grouping_ID],0))</f>
        <v>2 - Willamette Valley, etc.</v>
      </c>
      <c r="F12" s="35">
        <v>1</v>
      </c>
      <c r="G12" s="35" t="str">
        <f>INDEX(Sector[Sector_Name],MATCH(LGengagement2018[[#This Row],[Sector_ID]],Sector[Sector_ID],0))</f>
        <v>SF Res. (on-route)</v>
      </c>
      <c r="H12" s="318">
        <v>2018</v>
      </c>
      <c r="I12" s="270">
        <f>SUMIFS(CollectionCostTotal[Customers],CollectionCostTotal[Grouping_ID],LGengagement2018[[#This Row],[Grouping_ID]],CollectionCostTotal[Sector_ID],LGengagement2018[[#This Row],[Sector_ID]],CollectionCostTotal[Year],LGengagement2018[[#This Row],[Year]])</f>
        <v>1778413.0715000001</v>
      </c>
      <c r="J12" s="89"/>
      <c r="K12" s="90"/>
    </row>
    <row r="13" spans="2:13" ht="15" x14ac:dyDescent="0.25">
      <c r="B13" s="22" t="str">
        <f>_xlfn.CONCAT(LGengagement2018[[#This Row],[Grouping_ID]],"-",LGengagement2018[[#This Row],[Sector_ID]])</f>
        <v>2-2</v>
      </c>
      <c r="C13" s="22" t="str">
        <f>_xlfn.CONCAT(LGengagement2018[[#This Row],[Grouping_ID]],"-",LGengagement2018[[#This Row],[Sector_ID]])</f>
        <v>2-2</v>
      </c>
      <c r="D13" s="35">
        <v>2</v>
      </c>
      <c r="E13" s="35" t="str">
        <f>INDEX(Grouping[Grouping_Name],MATCH(LGengagement2018[[#This Row],[Grouping_ID]],Grouping[Grouping_ID],0))</f>
        <v>2 - Willamette Valley, etc.</v>
      </c>
      <c r="F13" s="35">
        <v>2</v>
      </c>
      <c r="G13" s="35" t="str">
        <f>INDEX(Sector[Sector_Name],MATCH(LGengagement2018[[#This Row],[Sector_ID]],Sector[Sector_ID],0))</f>
        <v>MF Res. (on-route)</v>
      </c>
      <c r="H13" s="318">
        <v>2018</v>
      </c>
      <c r="I13" s="270">
        <f>SUMIFS(CollectionCostTotal[Customers],CollectionCostTotal[Grouping_ID],LGengagement2018[[#This Row],[Grouping_ID]],CollectionCostTotal[Sector_ID],LGengagement2018[[#This Row],[Sector_ID]],CollectionCostTotal[Year],LGengagement2018[[#This Row],[Year]])</f>
        <v>42528.810000000005</v>
      </c>
      <c r="J13" s="89"/>
      <c r="K13" s="90"/>
    </row>
    <row r="14" spans="2:13" ht="15" x14ac:dyDescent="0.25">
      <c r="B14" s="23" t="str">
        <f>_xlfn.CONCAT(LGengagement2018[[#This Row],[Grouping_ID]],"-",LGengagement2018[[#This Row],[Sector_ID]])</f>
        <v>2-3</v>
      </c>
      <c r="C14" s="23" t="str">
        <f>_xlfn.CONCAT(LGengagement2018[[#This Row],[Grouping_ID]],"-",LGengagement2018[[#This Row],[Sector_ID]])</f>
        <v>2-3</v>
      </c>
      <c r="D14" s="35">
        <v>2</v>
      </c>
      <c r="E14" s="35" t="str">
        <f>INDEX(Grouping[Grouping_Name],MATCH(LGengagement2018[[#This Row],[Grouping_ID]],Grouping[Grouping_ID],0))</f>
        <v>2 - Willamette Valley, etc.</v>
      </c>
      <c r="F14" s="35">
        <v>3</v>
      </c>
      <c r="G14" s="24" t="str">
        <f>INDEX(Sector[Sector_Name],MATCH(LGengagement2018[[#This Row],[Sector_ID]],Sector[Sector_ID],0))</f>
        <v>Commercial (on-route)</v>
      </c>
      <c r="H14" s="318">
        <v>2018</v>
      </c>
      <c r="I14" s="270">
        <f>SUMIFS(CollectionCostTotal[Customers],CollectionCostTotal[Grouping_ID],LGengagement2018[[#This Row],[Grouping_ID]],CollectionCostTotal[Sector_ID],LGengagement2018[[#This Row],[Sector_ID]],CollectionCostTotal[Year],LGengagement2018[[#This Row],[Year]])</f>
        <v>111283.71949999999</v>
      </c>
      <c r="J14" s="89"/>
      <c r="K14" s="90"/>
    </row>
    <row r="15" spans="2:13" ht="15" x14ac:dyDescent="0.25">
      <c r="B15" s="22" t="str">
        <f>_xlfn.CONCAT(LGengagement2018[[#This Row],[Grouping_ID]],"-",LGengagement2018[[#This Row],[Sector_ID]])</f>
        <v>3-1</v>
      </c>
      <c r="C15" s="22" t="str">
        <f>_xlfn.CONCAT(LGengagement2018[[#This Row],[Grouping_ID]],"-",LGengagement2018[[#This Row],[Sector_ID]])</f>
        <v>3-1</v>
      </c>
      <c r="D15" s="35">
        <v>3</v>
      </c>
      <c r="E15" s="35" t="str">
        <f>INDEX(Grouping[Grouping_Name],MATCH(LGengagement2018[[#This Row],[Grouping_ID]],Grouping[Grouping_ID],0))</f>
        <v>3 - Other areas with curbside</v>
      </c>
      <c r="F15" s="35">
        <v>1</v>
      </c>
      <c r="G15" s="35" t="str">
        <f>INDEX(Sector[Sector_Name],MATCH(LGengagement2018[[#This Row],[Sector_ID]],Sector[Sector_ID],0))</f>
        <v>SF Res. (on-route)</v>
      </c>
      <c r="H15" s="318">
        <v>2018</v>
      </c>
      <c r="I15" s="270">
        <f>SUMIFS(CollectionCostTotal[Customers],CollectionCostTotal[Grouping_ID],LGengagement2018[[#This Row],[Grouping_ID]],CollectionCostTotal[Sector_ID],LGengagement2018[[#This Row],[Sector_ID]],CollectionCostTotal[Year],LGengagement2018[[#This Row],[Year]])</f>
        <v>702777.7350000001</v>
      </c>
      <c r="J15" s="89"/>
      <c r="K15" s="90"/>
    </row>
    <row r="16" spans="2:13" ht="15" x14ac:dyDescent="0.25">
      <c r="B16" s="22" t="str">
        <f>_xlfn.CONCAT(LGengagement2018[[#This Row],[Grouping_ID]],"-",LGengagement2018[[#This Row],[Sector_ID]])</f>
        <v>3-2</v>
      </c>
      <c r="C16" s="22" t="str">
        <f>_xlfn.CONCAT(LGengagement2018[[#This Row],[Grouping_ID]],"-",LGengagement2018[[#This Row],[Sector_ID]])</f>
        <v>3-2</v>
      </c>
      <c r="D16" s="35">
        <v>3</v>
      </c>
      <c r="E16" s="35" t="str">
        <f>INDEX(Grouping[Grouping_Name],MATCH(LGengagement2018[[#This Row],[Grouping_ID]],Grouping[Grouping_ID],0))</f>
        <v>3 - Other areas with curbside</v>
      </c>
      <c r="F16" s="35">
        <v>2</v>
      </c>
      <c r="G16" s="35" t="str">
        <f>INDEX(Sector[Sector_Name],MATCH(LGengagement2018[[#This Row],[Sector_ID]],Sector[Sector_ID],0))</f>
        <v>MF Res. (on-route)</v>
      </c>
      <c r="H16" s="318">
        <v>2018</v>
      </c>
      <c r="I16" s="270">
        <f>SUMIFS(CollectionCostTotal[Customers],CollectionCostTotal[Grouping_ID],LGengagement2018[[#This Row],[Grouping_ID]],CollectionCostTotal[Sector_ID],LGengagement2018[[#This Row],[Sector_ID]],CollectionCostTotal[Year],LGengagement2018[[#This Row],[Year]])</f>
        <v>6731.5875000000005</v>
      </c>
      <c r="J16" s="89"/>
      <c r="K16" s="90"/>
    </row>
    <row r="17" spans="1:14" ht="15" x14ac:dyDescent="0.25">
      <c r="B17" s="23" t="str">
        <f>_xlfn.CONCAT(LGengagement2018[[#This Row],[Grouping_ID]],"-",LGengagement2018[[#This Row],[Sector_ID]])</f>
        <v>3-3</v>
      </c>
      <c r="C17" s="23" t="str">
        <f>_xlfn.CONCAT(LGengagement2018[[#This Row],[Grouping_ID]],"-",LGengagement2018[[#This Row],[Sector_ID]])</f>
        <v>3-3</v>
      </c>
      <c r="D17" s="35">
        <v>3</v>
      </c>
      <c r="E17" s="35" t="str">
        <f>INDEX(Grouping[Grouping_Name],MATCH(LGengagement2018[[#This Row],[Grouping_ID]],Grouping[Grouping_ID],0))</f>
        <v>3 - Other areas with curbside</v>
      </c>
      <c r="F17" s="35">
        <v>3</v>
      </c>
      <c r="G17" s="24" t="str">
        <f>INDEX(Sector[Sector_Name],MATCH(LGengagement2018[[#This Row],[Sector_ID]],Sector[Sector_ID],0))</f>
        <v>Commercial (on-route)</v>
      </c>
      <c r="H17" s="318">
        <v>2018</v>
      </c>
      <c r="I17" s="270">
        <f>SUMIFS(CollectionCostTotal[Customers],CollectionCostTotal[Grouping_ID],LGengagement2018[[#This Row],[Grouping_ID]],CollectionCostTotal[Sector_ID],LGengagement2018[[#This Row],[Sector_ID]],CollectionCostTotal[Year],LGengagement2018[[#This Row],[Year]])</f>
        <v>42812.896500000003</v>
      </c>
      <c r="J17" s="89"/>
      <c r="K17" s="90"/>
    </row>
    <row r="22" spans="1:14" ht="15" x14ac:dyDescent="0.2">
      <c r="B22" s="331" t="s">
        <v>1100</v>
      </c>
      <c r="C22" s="331"/>
      <c r="D22" s="331"/>
      <c r="E22" s="331"/>
      <c r="F22" s="331"/>
      <c r="G22" s="331"/>
      <c r="H22" s="318"/>
      <c r="J22" s="332" t="s">
        <v>50</v>
      </c>
      <c r="K22" s="332" t="s">
        <v>50</v>
      </c>
      <c r="L22" s="318"/>
      <c r="M22" s="318"/>
      <c r="N22" s="318"/>
    </row>
    <row r="23" spans="1:14" ht="25.5" x14ac:dyDescent="0.2">
      <c r="B23" s="324" t="s">
        <v>55</v>
      </c>
      <c r="C23" s="324" t="s">
        <v>112</v>
      </c>
      <c r="D23" s="324" t="s">
        <v>56</v>
      </c>
      <c r="E23" s="324" t="s">
        <v>57</v>
      </c>
      <c r="F23" s="324" t="s">
        <v>60</v>
      </c>
      <c r="G23" s="324" t="s">
        <v>61</v>
      </c>
      <c r="H23" s="324" t="s">
        <v>817</v>
      </c>
      <c r="I23" s="324" t="s">
        <v>122</v>
      </c>
      <c r="J23" s="324" t="s">
        <v>132</v>
      </c>
      <c r="K23" s="324" t="s">
        <v>3690</v>
      </c>
      <c r="L23" s="318"/>
      <c r="M23" s="318"/>
      <c r="N23" s="318"/>
    </row>
    <row r="24" spans="1:14" ht="15" x14ac:dyDescent="0.25">
      <c r="A24" s="78"/>
      <c r="B24" s="321" t="str">
        <f>_xlfn.CONCAT(LGengagement2025[[#This Row],[Grouping_ID]],"-",LGengagement2025[[#This Row],[Sector_ID]])</f>
        <v>1-1</v>
      </c>
      <c r="C24" s="321" t="str">
        <f>_xlfn.CONCAT(LGengagement2025[[#This Row],[Grouping_ID]],"-",LGengagement2025[[#This Row],[Sector_ID]])</f>
        <v>1-1</v>
      </c>
      <c r="D24" s="318">
        <v>1</v>
      </c>
      <c r="E24" s="318" t="str">
        <f>INDEX(Grouping[Grouping_Name],MATCH(LGengagement2025[[#This Row],[Grouping_ID]],Grouping[Grouping_ID],0))</f>
        <v>1 - Metro area</v>
      </c>
      <c r="F24" s="318">
        <v>1</v>
      </c>
      <c r="G24" s="318" t="str">
        <f>INDEX(Sector[Sector_Name],MATCH(LGengagement2025[[#This Row],[Sector_ID]],Sector[Sector_ID],0))</f>
        <v>SF Res. (on-route)</v>
      </c>
      <c r="H24" s="318">
        <v>2025</v>
      </c>
      <c r="I24" s="270">
        <f>SUMIFS(CollectionCostTotal[Customers],CollectionCostTotal[Grouping_ID],LGengagement2025[[#This Row],[Grouping_ID]],CollectionCostTotal[Sector_ID],LGengagement2025[[#This Row],[Sector_ID]],CollectionCostTotal[Year],LGengagement2025[[#This Row],[Year]])</f>
        <v>2329326.9801041498</v>
      </c>
      <c r="J24" s="337">
        <f>SUMIFS(LGengagement2018[Total_Spending],LGengagement2018[GroupSector_ID],LGengagement2025[[#This Row],[GroupSector_ID]])*INDEX(Inflation[Escalator],MATCH("CPI",Inflation[Financial_ID],0))</f>
        <v>1543999.6179811563</v>
      </c>
      <c r="K24" s="336">
        <f>SUMIFS(LGengagement2018[FTEs],LGengagement2018[GroupSector_ID],LGengagement2025[[#This Row],[GroupSector_ID]])*(LGengagement2025[[#This Row],[Customers]]/SUMIFS(LGengagement2018[Customers],LGengagement2018[GroupSector_ID],LGengagement2025[[#This Row],[GroupSector_ID]]))</f>
        <v>19.542817991250701</v>
      </c>
      <c r="L24" s="318"/>
      <c r="M24" s="318"/>
      <c r="N24" s="318"/>
    </row>
    <row r="25" spans="1:14" ht="15" x14ac:dyDescent="0.25">
      <c r="B25" s="321" t="str">
        <f>_xlfn.CONCAT(LGengagement2025[[#This Row],[Grouping_ID]],"-",LGengagement2025[[#This Row],[Sector_ID]])</f>
        <v>1-2</v>
      </c>
      <c r="C25" s="321" t="str">
        <f>_xlfn.CONCAT(LGengagement2025[[#This Row],[Grouping_ID]],"-",LGengagement2025[[#This Row],[Sector_ID]])</f>
        <v>1-2</v>
      </c>
      <c r="D25" s="318">
        <v>1</v>
      </c>
      <c r="E25" s="318" t="str">
        <f>INDEX(Grouping[Grouping_Name],MATCH(LGengagement2025[[#This Row],[Grouping_ID]],Grouping[Grouping_ID],0))</f>
        <v>1 - Metro area</v>
      </c>
      <c r="F25" s="318">
        <v>2</v>
      </c>
      <c r="G25" s="318" t="str">
        <f>INDEX(Sector[Sector_Name],MATCH(LGengagement2025[[#This Row],[Sector_ID]],Sector[Sector_ID],0))</f>
        <v>MF Res. (on-route)</v>
      </c>
      <c r="H25" s="318">
        <v>2025</v>
      </c>
      <c r="I25" s="270">
        <f>SUMIFS(CollectionCostTotal[Customers],CollectionCostTotal[Grouping_ID],LGengagement2025[[#This Row],[Grouping_ID]],CollectionCostTotal[Sector_ID],LGengagement2025[[#This Row],[Sector_ID]],CollectionCostTotal[Year],LGengagement2025[[#This Row],[Year]])</f>
        <v>36107.102935645256</v>
      </c>
      <c r="J25" s="310">
        <f>SUMIFS(LGengagement2018[Total_Spending],LGengagement2018[GroupSector_ID],LGengagement2025[[#This Row],[GroupSector_ID]])*INDEX(Inflation[Escalator],MATCH("CPI",Inflation[Financial_ID],0))</f>
        <v>1040521.4816829532</v>
      </c>
      <c r="K25" s="336">
        <f>SUMIFS(LGengagement2018[FTEs],LGengagement2018[GroupSector_ID],LGengagement2025[[#This Row],[GroupSector_ID]])*(LGengagement2025[[#This Row],[Customers]]/SUMIFS(LGengagement2018[Customers],LGengagement2018[GroupSector_ID],LGengagement2025[[#This Row],[GroupSector_ID]]))</f>
        <v>13.028545327500472</v>
      </c>
      <c r="L25" s="318"/>
      <c r="M25" s="318"/>
      <c r="N25" s="318"/>
    </row>
    <row r="26" spans="1:14" ht="15" x14ac:dyDescent="0.25">
      <c r="B26" s="322" t="str">
        <f>_xlfn.CONCAT(LGengagement2025[[#This Row],[Grouping_ID]],"-",LGengagement2025[[#This Row],[Sector_ID]])</f>
        <v>1-3</v>
      </c>
      <c r="C26" s="322" t="str">
        <f>_xlfn.CONCAT(LGengagement2025[[#This Row],[Grouping_ID]],"-",LGengagement2025[[#This Row],[Sector_ID]])</f>
        <v>1-3</v>
      </c>
      <c r="D26" s="318">
        <v>1</v>
      </c>
      <c r="E26" s="318" t="str">
        <f>INDEX(Grouping[Grouping_Name],MATCH(LGengagement2025[[#This Row],[Grouping_ID]],Grouping[Grouping_ID],0))</f>
        <v>1 - Metro area</v>
      </c>
      <c r="F26" s="318">
        <v>3</v>
      </c>
      <c r="G26" s="323" t="str">
        <f>INDEX(Sector[Sector_Name],MATCH(LGengagement2025[[#This Row],[Sector_ID]],Sector[Sector_ID],0))</f>
        <v>Commercial (on-route)</v>
      </c>
      <c r="H26" s="318">
        <v>2025</v>
      </c>
      <c r="I26" s="270">
        <f>SUMIFS(CollectionCostTotal[Customers],CollectionCostTotal[Grouping_ID],LGengagement2025[[#This Row],[Grouping_ID]],CollectionCostTotal[Sector_ID],LGengagement2025[[#This Row],[Sector_ID]],CollectionCostTotal[Year],LGengagement2025[[#This Row],[Year]])</f>
        <v>177554.0655335499</v>
      </c>
      <c r="J26" s="310">
        <f>SUMIFS(LGengagement2018[Total_Spending],LGengagement2018[GroupSector_ID],LGengagement2025[[#This Row],[GroupSector_ID]])*INDEX(Inflation[Escalator],MATCH("CPI",Inflation[Financial_ID],0))</f>
        <v>2291384.9403082668</v>
      </c>
      <c r="K26" s="336">
        <f>SUMIFS(LGengagement2018[FTEs],LGengagement2018[GroupSector_ID],LGengagement2025[[#This Row],[GroupSector_ID]])*(LGengagement2025[[#This Row],[Customers]]/SUMIFS(LGengagement2018[Customers],LGengagement2018[GroupSector_ID],LGengagement2025[[#This Row],[GroupSector_ID]]))</f>
        <v>28.228514876251023</v>
      </c>
      <c r="L26" s="318"/>
      <c r="M26" s="318"/>
      <c r="N26" s="318"/>
    </row>
    <row r="27" spans="1:14" ht="15" x14ac:dyDescent="0.25">
      <c r="B27" s="321" t="str">
        <f>_xlfn.CONCAT(LGengagement2025[[#This Row],[Grouping_ID]],"-",LGengagement2025[[#This Row],[Sector_ID]])</f>
        <v>2-1</v>
      </c>
      <c r="C27" s="321" t="str">
        <f>_xlfn.CONCAT(LGengagement2025[[#This Row],[Grouping_ID]],"-",LGengagement2025[[#This Row],[Sector_ID]])</f>
        <v>2-1</v>
      </c>
      <c r="D27" s="318">
        <v>2</v>
      </c>
      <c r="E27" s="318" t="str">
        <f>INDEX(Grouping[Grouping_Name],MATCH(LGengagement2025[[#This Row],[Grouping_ID]],Grouping[Grouping_ID],0))</f>
        <v>2 - Willamette Valley, etc.</v>
      </c>
      <c r="F27" s="318">
        <v>1</v>
      </c>
      <c r="G27" s="318" t="str">
        <f>INDEX(Sector[Sector_Name],MATCH(LGengagement2025[[#This Row],[Sector_ID]],Sector[Sector_ID],0))</f>
        <v>SF Res. (on-route)</v>
      </c>
      <c r="H27" s="318">
        <v>2025</v>
      </c>
      <c r="I27" s="270">
        <f>SUMIFS(CollectionCostTotal[Customers],CollectionCostTotal[Grouping_ID],LGengagement2025[[#This Row],[Grouping_ID]],CollectionCostTotal[Sector_ID],LGengagement2025[[#This Row],[Sector_ID]],CollectionCostTotal[Year],LGengagement2025[[#This Row],[Year]])</f>
        <v>1894229.8255942226</v>
      </c>
      <c r="J27" s="310">
        <f>SUMIFS(LGengagement2018[Total_Spending],LGengagement2018[GroupSector_ID],LGengagement2025[[#This Row],[GroupSector_ID]])*INDEX(Inflation[Escalator],MATCH("CPI",Inflation[Financial_ID],0))</f>
        <v>0</v>
      </c>
      <c r="K27" s="336">
        <f>SUMIFS(LGengagement2018[FTEs],LGengagement2018[GroupSector_ID],LGengagement2025[[#This Row],[GroupSector_ID]])*(LGengagement2025[[#This Row],[Customers]]/SUMIFS(LGengagement2018[Customers],LGengagement2018[GroupSector_ID],LGengagement2025[[#This Row],[GroupSector_ID]]))</f>
        <v>0</v>
      </c>
      <c r="L27" s="318"/>
      <c r="M27" s="318"/>
      <c r="N27" s="318"/>
    </row>
    <row r="28" spans="1:14" ht="15" x14ac:dyDescent="0.25">
      <c r="B28" s="321" t="str">
        <f>_xlfn.CONCAT(LGengagement2025[[#This Row],[Grouping_ID]],"-",LGengagement2025[[#This Row],[Sector_ID]])</f>
        <v>2-2</v>
      </c>
      <c r="C28" s="321" t="str">
        <f>_xlfn.CONCAT(LGengagement2025[[#This Row],[Grouping_ID]],"-",LGengagement2025[[#This Row],[Sector_ID]])</f>
        <v>2-2</v>
      </c>
      <c r="D28" s="318">
        <v>2</v>
      </c>
      <c r="E28" s="318" t="str">
        <f>INDEX(Grouping[Grouping_Name],MATCH(LGengagement2025[[#This Row],[Grouping_ID]],Grouping[Grouping_ID],0))</f>
        <v>2 - Willamette Valley, etc.</v>
      </c>
      <c r="F28" s="318">
        <v>2</v>
      </c>
      <c r="G28" s="318" t="str">
        <f>INDEX(Sector[Sector_Name],MATCH(LGengagement2025[[#This Row],[Sector_ID]],Sector[Sector_ID],0))</f>
        <v>MF Res. (on-route)</v>
      </c>
      <c r="H28" s="318">
        <v>2025</v>
      </c>
      <c r="I28" s="270">
        <f>SUMIFS(CollectionCostTotal[Customers],CollectionCostTotal[Grouping_ID],LGengagement2025[[#This Row],[Grouping_ID]],CollectionCostTotal[Sector_ID],LGengagement2025[[#This Row],[Sector_ID]],CollectionCostTotal[Year],LGengagement2025[[#This Row],[Year]])</f>
        <v>45298.441425130877</v>
      </c>
      <c r="J28" s="310">
        <f>SUMIFS(LGengagement2018[Total_Spending],LGengagement2018[GroupSector_ID],LGengagement2025[[#This Row],[GroupSector_ID]])*INDEX(Inflation[Escalator],MATCH("CPI",Inflation[Financial_ID],0))</f>
        <v>0</v>
      </c>
      <c r="K28" s="336">
        <f>SUMIFS(LGengagement2018[FTEs],LGengagement2018[GroupSector_ID],LGengagement2025[[#This Row],[GroupSector_ID]])*(LGengagement2025[[#This Row],[Customers]]/SUMIFS(LGengagement2018[Customers],LGengagement2018[GroupSector_ID],LGengagement2025[[#This Row],[GroupSector_ID]]))</f>
        <v>0</v>
      </c>
      <c r="L28" s="318"/>
      <c r="M28" s="318"/>
      <c r="N28" s="318"/>
    </row>
    <row r="29" spans="1:14" ht="15" x14ac:dyDescent="0.25">
      <c r="B29" s="322" t="str">
        <f>_xlfn.CONCAT(LGengagement2025[[#This Row],[Grouping_ID]],"-",LGengagement2025[[#This Row],[Sector_ID]])</f>
        <v>2-3</v>
      </c>
      <c r="C29" s="322" t="str">
        <f>_xlfn.CONCAT(LGengagement2025[[#This Row],[Grouping_ID]],"-",LGengagement2025[[#This Row],[Sector_ID]])</f>
        <v>2-3</v>
      </c>
      <c r="D29" s="318">
        <v>2</v>
      </c>
      <c r="E29" s="318" t="str">
        <f>INDEX(Grouping[Grouping_Name],MATCH(LGengagement2025[[#This Row],[Grouping_ID]],Grouping[Grouping_ID],0))</f>
        <v>2 - Willamette Valley, etc.</v>
      </c>
      <c r="F29" s="318">
        <v>3</v>
      </c>
      <c r="G29" s="323" t="str">
        <f>INDEX(Sector[Sector_Name],MATCH(LGengagement2025[[#This Row],[Sector_ID]],Sector[Sector_ID],0))</f>
        <v>Commercial (on-route)</v>
      </c>
      <c r="H29" s="318">
        <v>2025</v>
      </c>
      <c r="I29" s="270">
        <f>SUMIFS(CollectionCostTotal[Customers],CollectionCostTotal[Grouping_ID],LGengagement2025[[#This Row],[Grouping_ID]],CollectionCostTotal[Sector_ID],LGengagement2025[[#This Row],[Sector_ID]],CollectionCostTotal[Year],LGengagement2025[[#This Row],[Year]])</f>
        <v>118530.92172909244</v>
      </c>
      <c r="J29" s="310">
        <f>SUMIFS(LGengagement2018[Total_Spending],LGengagement2018[GroupSector_ID],LGengagement2025[[#This Row],[GroupSector_ID]])*INDEX(Inflation[Escalator],MATCH("CPI",Inflation[Financial_ID],0))</f>
        <v>0</v>
      </c>
      <c r="K29" s="336">
        <f>SUMIFS(LGengagement2018[FTEs],LGengagement2018[GroupSector_ID],LGengagement2025[[#This Row],[GroupSector_ID]])*(LGengagement2025[[#This Row],[Customers]]/SUMIFS(LGengagement2018[Customers],LGengagement2018[GroupSector_ID],LGengagement2025[[#This Row],[GroupSector_ID]]))</f>
        <v>0</v>
      </c>
      <c r="L29" s="318"/>
      <c r="M29" s="318"/>
      <c r="N29" s="318"/>
    </row>
    <row r="30" spans="1:14" ht="15" x14ac:dyDescent="0.25">
      <c r="B30" s="321" t="str">
        <f>_xlfn.CONCAT(LGengagement2025[[#This Row],[Grouping_ID]],"-",LGengagement2025[[#This Row],[Sector_ID]])</f>
        <v>3-1</v>
      </c>
      <c r="C30" s="321" t="str">
        <f>_xlfn.CONCAT(LGengagement2025[[#This Row],[Grouping_ID]],"-",LGengagement2025[[#This Row],[Sector_ID]])</f>
        <v>3-1</v>
      </c>
      <c r="D30" s="318">
        <v>3</v>
      </c>
      <c r="E30" s="318" t="str">
        <f>INDEX(Grouping[Grouping_Name],MATCH(LGengagement2025[[#This Row],[Grouping_ID]],Grouping[Grouping_ID],0))</f>
        <v>3 - Other areas with curbside</v>
      </c>
      <c r="F30" s="318">
        <v>1</v>
      </c>
      <c r="G30" s="318" t="str">
        <f>INDEX(Sector[Sector_Name],MATCH(LGengagement2025[[#This Row],[Sector_ID]],Sector[Sector_ID],0))</f>
        <v>SF Res. (on-route)</v>
      </c>
      <c r="H30" s="318">
        <v>2025</v>
      </c>
      <c r="I30" s="270">
        <f>SUMIFS(CollectionCostTotal[Customers],CollectionCostTotal[Grouping_ID],LGengagement2025[[#This Row],[Grouping_ID]],CollectionCostTotal[Sector_ID],LGengagement2025[[#This Row],[Sector_ID]],CollectionCostTotal[Year],LGengagement2025[[#This Row],[Year]])</f>
        <v>754302.7779128328</v>
      </c>
      <c r="J30" s="310">
        <f>SUMIFS(LGengagement2018[Total_Spending],LGengagement2018[GroupSector_ID],LGengagement2025[[#This Row],[GroupSector_ID]])*INDEX(Inflation[Escalator],MATCH("CPI",Inflation[Financial_ID],0))</f>
        <v>0</v>
      </c>
      <c r="K30" s="336">
        <f>SUMIFS(LGengagement2018[FTEs],LGengagement2018[GroupSector_ID],LGengagement2025[[#This Row],[GroupSector_ID]])*(LGengagement2025[[#This Row],[Customers]]/SUMIFS(LGengagement2018[Customers],LGengagement2018[GroupSector_ID],LGengagement2025[[#This Row],[GroupSector_ID]]))</f>
        <v>0</v>
      </c>
      <c r="L30" s="318"/>
      <c r="M30" s="318"/>
      <c r="N30" s="318"/>
    </row>
    <row r="31" spans="1:14" ht="15" x14ac:dyDescent="0.25">
      <c r="B31" s="321" t="str">
        <f>_xlfn.CONCAT(LGengagement2025[[#This Row],[Grouping_ID]],"-",LGengagement2025[[#This Row],[Sector_ID]])</f>
        <v>3-2</v>
      </c>
      <c r="C31" s="321" t="str">
        <f>_xlfn.CONCAT(LGengagement2025[[#This Row],[Grouping_ID]],"-",LGengagement2025[[#This Row],[Sector_ID]])</f>
        <v>3-2</v>
      </c>
      <c r="D31" s="318">
        <v>3</v>
      </c>
      <c r="E31" s="318" t="str">
        <f>INDEX(Grouping[Grouping_Name],MATCH(LGengagement2025[[#This Row],[Grouping_ID]],Grouping[Grouping_ID],0))</f>
        <v>3 - Other areas with curbside</v>
      </c>
      <c r="F31" s="318">
        <v>2</v>
      </c>
      <c r="G31" s="318" t="str">
        <f>INDEX(Sector[Sector_Name],MATCH(LGengagement2025[[#This Row],[Sector_ID]],Sector[Sector_ID],0))</f>
        <v>MF Res. (on-route)</v>
      </c>
      <c r="H31" s="318">
        <v>2025</v>
      </c>
      <c r="I31" s="270">
        <f>SUMIFS(CollectionCostTotal[Customers],CollectionCostTotal[Grouping_ID],LGengagement2025[[#This Row],[Grouping_ID]],CollectionCostTotal[Sector_ID],LGengagement2025[[#This Row],[Sector_ID]],CollectionCostTotal[Year],LGengagement2025[[#This Row],[Year]])</f>
        <v>7225.1223938010762</v>
      </c>
      <c r="J31" s="310">
        <f>SUMIFS(LGengagement2018[Total_Spending],LGengagement2018[GroupSector_ID],LGengagement2025[[#This Row],[GroupSector_ID]])*INDEX(Inflation[Escalator],MATCH("CPI",Inflation[Financial_ID],0))</f>
        <v>0</v>
      </c>
      <c r="K31" s="336">
        <f>SUMIFS(LGengagement2018[FTEs],LGengagement2018[GroupSector_ID],LGengagement2025[[#This Row],[GroupSector_ID]])*(LGengagement2025[[#This Row],[Customers]]/SUMIFS(LGengagement2018[Customers],LGengagement2018[GroupSector_ID],LGengagement2025[[#This Row],[GroupSector_ID]]))</f>
        <v>0</v>
      </c>
      <c r="L31" s="318"/>
      <c r="M31" s="318"/>
      <c r="N31" s="318"/>
    </row>
    <row r="32" spans="1:14" ht="15" x14ac:dyDescent="0.25">
      <c r="B32" s="322" t="str">
        <f>_xlfn.CONCAT(LGengagement2025[[#This Row],[Grouping_ID]],"-",LGengagement2025[[#This Row],[Sector_ID]])</f>
        <v>3-3</v>
      </c>
      <c r="C32" s="322" t="str">
        <f>_xlfn.CONCAT(LGengagement2025[[#This Row],[Grouping_ID]],"-",LGengagement2025[[#This Row],[Sector_ID]])</f>
        <v>3-3</v>
      </c>
      <c r="D32" s="318">
        <v>3</v>
      </c>
      <c r="E32" s="318" t="str">
        <f>INDEX(Grouping[Grouping_Name],MATCH(LGengagement2025[[#This Row],[Grouping_ID]],Grouping[Grouping_ID],0))</f>
        <v>3 - Other areas with curbside</v>
      </c>
      <c r="F32" s="318">
        <v>3</v>
      </c>
      <c r="G32" s="323" t="str">
        <f>INDEX(Sector[Sector_Name],MATCH(LGengagement2025[[#This Row],[Sector_ID]],Sector[Sector_ID],0))</f>
        <v>Commercial (on-route)</v>
      </c>
      <c r="H32" s="318">
        <v>2025</v>
      </c>
      <c r="I32" s="270">
        <f>SUMIFS(CollectionCostTotal[Customers],CollectionCostTotal[Grouping_ID],LGengagement2025[[#This Row],[Grouping_ID]],CollectionCostTotal[Sector_ID],LGengagement2025[[#This Row],[Sector_ID]],CollectionCostTotal[Year],LGengagement2025[[#This Row],[Year]])</f>
        <v>45951.778424574848</v>
      </c>
      <c r="J32" s="310">
        <f>SUMIFS(LGengagement2018[Total_Spending],LGengagement2018[GroupSector_ID],LGengagement2025[[#This Row],[GroupSector_ID]])*INDEX(Inflation[Escalator],MATCH("CPI",Inflation[Financial_ID],0))</f>
        <v>0</v>
      </c>
      <c r="K32" s="336">
        <f>SUMIFS(LGengagement2018[FTEs],LGengagement2018[GroupSector_ID],LGengagement2025[[#This Row],[GroupSector_ID]])*(LGengagement2025[[#This Row],[Customers]]/SUMIFS(LGengagement2018[Customers],LGengagement2018[GroupSector_ID],LGengagement2025[[#This Row],[GroupSector_ID]]))</f>
        <v>0</v>
      </c>
      <c r="L32" s="318"/>
      <c r="M32" s="318"/>
      <c r="N32" s="318"/>
    </row>
    <row r="33" spans="2:14" ht="15" x14ac:dyDescent="0.2">
      <c r="B33" s="68"/>
      <c r="C33" s="94"/>
      <c r="D33" s="94"/>
      <c r="E33" s="94"/>
      <c r="F33" s="94"/>
      <c r="G33" s="94"/>
      <c r="H33" s="94"/>
      <c r="I33" s="335"/>
      <c r="J33" s="94"/>
      <c r="L33" s="318"/>
      <c r="M33" s="318"/>
      <c r="N33" s="318"/>
    </row>
  </sheetData>
  <sheetProtection algorithmName="SHA-512" hashValue="Su2XX3R+yf0zGXTa+fnY4CteKFXd97hHh1vyX1GhJoIlLSbWdfeFlzyFfXjUYk67ktBbQXs/8Z4VMOCHPo5zlQ==" saltValue="9qRikMyj/pl940Kzwam+GQ==" spinCount="100000" sheet="1" objects="1" scenarios="1" autoFilter="0"/>
  <pageMargins left="0.7" right="0.7" top="0.75" bottom="0.75" header="0.3" footer="0.3"/>
  <pageSetup orientation="portrait" horizontalDpi="1200" verticalDpi="1200"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1B4F-CD52-4E07-B12E-A0FF5F1FDD71}">
  <sheetPr>
    <tabColor theme="5"/>
  </sheetPr>
  <dimension ref="B1:AS1566"/>
  <sheetViews>
    <sheetView workbookViewId="0"/>
  </sheetViews>
  <sheetFormatPr defaultColWidth="9" defaultRowHeight="14.25" x14ac:dyDescent="0.2"/>
  <cols>
    <col min="1" max="1" width="9" style="212"/>
    <col min="2" max="2" width="14.125" style="212" bestFit="1" customWidth="1"/>
    <col min="3" max="3" width="24.875" style="212" bestFit="1" customWidth="1"/>
    <col min="4" max="4" width="12" style="212" bestFit="1" customWidth="1"/>
    <col min="5" max="5" width="33.875" style="212" bestFit="1" customWidth="1"/>
    <col min="6" max="6" width="18.875" style="212" bestFit="1" customWidth="1"/>
    <col min="7" max="7" width="7.625" style="212" bestFit="1" customWidth="1"/>
    <col min="8" max="8" width="16.5" style="212" bestFit="1" customWidth="1"/>
    <col min="9" max="9" width="9" style="212"/>
    <col min="11" max="11" width="9" style="212"/>
    <col min="12" max="12" width="17.25" style="212" customWidth="1"/>
    <col min="13" max="16" width="4.875" style="212" customWidth="1"/>
    <col min="17" max="18" width="4.875" style="352" customWidth="1"/>
    <col min="19" max="19" width="22.625" style="212" customWidth="1"/>
    <col min="20" max="20" width="33.875" style="212" bestFit="1" customWidth="1"/>
    <col min="21" max="21" width="20.125" style="212" customWidth="1"/>
    <col min="22" max="22" width="16.625" style="212" customWidth="1"/>
    <col min="23" max="23" width="16.625" style="352" customWidth="1"/>
    <col min="24" max="24" width="9" style="212"/>
    <col min="25" max="25" width="9" style="352"/>
    <col min="26" max="26" width="9" style="212"/>
    <col min="27" max="27" width="14.75" style="352" bestFit="1" customWidth="1"/>
    <col min="28" max="31" width="9" style="352"/>
    <col min="32" max="32" width="18.375" style="212" customWidth="1"/>
    <col min="33" max="33" width="13.75" style="212" customWidth="1"/>
    <col min="34" max="34" width="12.25" style="212" customWidth="1"/>
    <col min="35" max="35" width="15.625" style="212" customWidth="1"/>
    <col min="36" max="36" width="11.625" style="212" customWidth="1"/>
    <col min="37" max="37" width="54.875" style="212" bestFit="1" customWidth="1"/>
    <col min="38" max="39" width="9" style="212"/>
    <col min="40" max="40" width="13.25" style="212" customWidth="1"/>
    <col min="41" max="41" width="15.125" style="212" customWidth="1"/>
    <col min="42" max="43" width="9" style="212"/>
    <col min="44" max="44" width="12.125" style="212" bestFit="1" customWidth="1"/>
    <col min="45" max="45" width="13.75" style="212" bestFit="1" customWidth="1"/>
    <col min="46" max="16384" width="9" style="212"/>
  </cols>
  <sheetData>
    <row r="1" spans="2:45" ht="15" x14ac:dyDescent="0.25">
      <c r="B1" s="381" t="s">
        <v>1125</v>
      </c>
      <c r="L1" s="215" t="s">
        <v>1023</v>
      </c>
      <c r="AF1" s="381" t="s">
        <v>1122</v>
      </c>
    </row>
    <row r="2" spans="2:45" x14ac:dyDescent="0.2">
      <c r="B2" s="383" t="s">
        <v>1131</v>
      </c>
      <c r="L2" s="219" t="s">
        <v>1132</v>
      </c>
      <c r="AF2" s="352" t="s">
        <v>1123</v>
      </c>
    </row>
    <row r="3" spans="2:45" x14ac:dyDescent="0.2">
      <c r="K3" s="219"/>
      <c r="L3" s="352" t="s">
        <v>2217</v>
      </c>
      <c r="U3" s="251"/>
      <c r="AF3" s="352" t="s">
        <v>2031</v>
      </c>
      <c r="AG3" s="352"/>
      <c r="AH3" s="352"/>
    </row>
    <row r="4" spans="2:45" x14ac:dyDescent="0.2">
      <c r="D4"/>
      <c r="E4"/>
      <c r="F4"/>
      <c r="G4"/>
      <c r="H4"/>
      <c r="I4"/>
      <c r="L4" s="447">
        <v>43984.803226851851</v>
      </c>
      <c r="T4" s="252"/>
      <c r="U4" s="251"/>
      <c r="AF4" s="402">
        <v>43984.837170254628</v>
      </c>
      <c r="AG4" s="352"/>
      <c r="AH4" s="352"/>
      <c r="AP4" s="384"/>
    </row>
    <row r="5" spans="2:45" x14ac:dyDescent="0.2">
      <c r="D5"/>
      <c r="E5"/>
      <c r="F5"/>
      <c r="G5"/>
      <c r="H5"/>
      <c r="I5"/>
      <c r="U5" s="383" t="s">
        <v>2218</v>
      </c>
    </row>
    <row r="6" spans="2:45" ht="15" x14ac:dyDescent="0.25">
      <c r="B6" t="s">
        <v>56</v>
      </c>
      <c r="C6" t="s">
        <v>57</v>
      </c>
      <c r="D6" t="s">
        <v>845</v>
      </c>
      <c r="E6" t="s">
        <v>846</v>
      </c>
      <c r="F6" t="s">
        <v>1022</v>
      </c>
      <c r="G6" s="212" t="s">
        <v>1027</v>
      </c>
      <c r="H6" s="212" t="s">
        <v>1028</v>
      </c>
      <c r="I6" t="s">
        <v>694</v>
      </c>
      <c r="L6" s="253" t="s">
        <v>877</v>
      </c>
      <c r="M6" s="254" t="s">
        <v>56</v>
      </c>
      <c r="N6" s="254" t="s">
        <v>60</v>
      </c>
      <c r="O6" s="254" t="s">
        <v>692</v>
      </c>
      <c r="P6" s="254" t="s">
        <v>845</v>
      </c>
      <c r="Q6" s="385" t="s">
        <v>2035</v>
      </c>
      <c r="R6" s="385" t="s">
        <v>2036</v>
      </c>
      <c r="S6" s="254" t="s">
        <v>693</v>
      </c>
      <c r="T6" s="254" t="s">
        <v>846</v>
      </c>
      <c r="U6" s="254" t="s">
        <v>1024</v>
      </c>
      <c r="V6" s="254" t="s">
        <v>1029</v>
      </c>
      <c r="W6" s="385" t="s">
        <v>1130</v>
      </c>
      <c r="X6" s="385" t="s">
        <v>112</v>
      </c>
      <c r="Y6" s="385" t="s">
        <v>1865</v>
      </c>
      <c r="Z6" s="385" t="s">
        <v>1870</v>
      </c>
      <c r="AA6" s="385" t="s">
        <v>1869</v>
      </c>
      <c r="AF6" s="352" t="s">
        <v>1177</v>
      </c>
      <c r="AG6" s="352" t="s">
        <v>877</v>
      </c>
      <c r="AH6" s="352" t="s">
        <v>869</v>
      </c>
      <c r="AI6" s="352" t="s">
        <v>868</v>
      </c>
      <c r="AJ6" s="352" t="s">
        <v>694</v>
      </c>
      <c r="AK6" s="352" t="s">
        <v>695</v>
      </c>
      <c r="AL6" s="352" t="s">
        <v>1178</v>
      </c>
      <c r="AM6" s="352" t="s">
        <v>1027</v>
      </c>
      <c r="AN6" s="352" t="s">
        <v>1179</v>
      </c>
      <c r="AO6" s="352" t="s">
        <v>1853</v>
      </c>
      <c r="AP6" s="212" t="s">
        <v>1854</v>
      </c>
      <c r="AQ6" s="212" t="s">
        <v>1855</v>
      </c>
      <c r="AR6" s="212" t="s">
        <v>1858</v>
      </c>
      <c r="AS6" s="212" t="s">
        <v>1859</v>
      </c>
    </row>
    <row r="7" spans="2:45" ht="15" x14ac:dyDescent="0.25">
      <c r="B7">
        <v>1</v>
      </c>
      <c r="C7" t="str">
        <f>INDEX(Grouping[Grouping_Name],MATCH(TransUnitCost[[#This Row],[Grouping_ID]],Grouping[Grouping_ID],0))</f>
        <v>1 - Metro area</v>
      </c>
      <c r="D7" t="s">
        <v>700</v>
      </c>
      <c r="E7" t="str">
        <f>INDEX(ConsTransp[Transp_Name],MATCH(TransUnitCost[[#This Row],[Transp_ID]],ConsTransp[Transp_ID],0))</f>
        <v>None (deliver in collection vehicle)</v>
      </c>
      <c r="F7" s="255">
        <v>0</v>
      </c>
      <c r="G7" s="4">
        <v>0</v>
      </c>
      <c r="H7" s="212">
        <v>0</v>
      </c>
      <c r="I7" t="s">
        <v>722</v>
      </c>
      <c r="L7" s="446" t="s">
        <v>876</v>
      </c>
      <c r="M7" s="446">
        <v>1</v>
      </c>
      <c r="N7" s="446">
        <v>1</v>
      </c>
      <c r="O7" s="448" t="s">
        <v>700</v>
      </c>
      <c r="P7" s="449" t="s">
        <v>719</v>
      </c>
      <c r="Q7" s="449"/>
      <c r="R7" s="449"/>
      <c r="S7" s="450" t="s">
        <v>872</v>
      </c>
      <c r="T7" s="449" t="s">
        <v>1055</v>
      </c>
      <c r="U7" s="452">
        <v>0</v>
      </c>
      <c r="V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 s="272" t="str">
        <f>IFERROR(SUMIFS(TransUnitCost[Miles],TransUnitCost[Grouping_ID],TransTonsShort[[#This Row],[Grouping_ID]],TransUnitCost[Transp_ID],TransTonsShort[[#This Row],[Transp_ID]])*TransTonsShort[[#This Row],[Trans_Tons_All]]/TransTonsShort[[#This Row],[Trans_Tons_All]],"")</f>
        <v/>
      </c>
      <c r="X7" s="386" t="str">
        <f>TransTonsShort[[#This Row],[Grouping_ID]]&amp;"-"&amp;TransTonsShort[[#This Row],[Sector_ID]]</f>
        <v>1-1</v>
      </c>
      <c r="Y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 s="421">
        <f>INDEX(LandfillFees[Disposal Tip Fee 2025],MATCH(TransTonsShort[[#This Row],[Grouping_ID]],LandfillFees[Grouping_ID],0))</f>
        <v>134.68</v>
      </c>
      <c r="AA7" s="102">
        <f>IF(OR(TransTonsShort[[#This Row],[CollectionStream_ID]]="03",TransTonsShort[[#This Row],[CollectionStream_ID]]="04",TransTonsShort[[#This Row],[CollectionStream_ID]]="13"),0,TransTonsShort[[#This Row],[Trans_Tons_All]]*TransTonsShort[[#This Row],[Disposal_Fee]])</f>
        <v>0</v>
      </c>
      <c r="AF7" s="446" t="s">
        <v>1180</v>
      </c>
      <c r="AG7" s="442" t="str">
        <f>LEFT(SecondaryTransport[[#This Row],[Scenario_MRF_Bale_ID]],2)</f>
        <v>S0</v>
      </c>
      <c r="AH7" s="181" t="str">
        <f>LEFT(RIGHT(SecondaryTransport[[#This Row],[Scenario_MRF_Bale_ID]],10),2)</f>
        <v>02</v>
      </c>
      <c r="AI7" s="181" t="str">
        <f>INDEX(MRFs[MRF_Name],MATCH(SecondaryTransport[[#This Row],[MRF_ID]],MRFs[MRF_ID],0))</f>
        <v>1 MRF for SS (Salem)</v>
      </c>
      <c r="AJ7" s="181" t="str">
        <f>RIGHT(SecondaryTransport[[#This Row],[Scenario_MRF_Bale_ID]],7)</f>
        <v>1000-01</v>
      </c>
      <c r="AK7" s="181" t="str">
        <f>INDEX(Bales[Bale_Name],MATCH(SecondaryTransport[[#This Row],[Bale_ID]],Bales[Bale_ID],0))</f>
        <v>OCC (corrugated cardboard) </v>
      </c>
      <c r="AL7" s="443">
        <f>INDEX(BaleMover[Total_Baled_tons],MATCH(SecondaryTransport[[#This Row],[Scenario_MRF_Bale_ID]],BaleMover[Scenario_MRF_Bale_ID],0))</f>
        <v>48570.065823907287</v>
      </c>
      <c r="AM7" s="443">
        <f>IF(INDEX(BaleMover[Miles],MATCH(SecondaryTransport[[#This Row],[Scenario_MRF_Bale_ID]],BaleMover[Scenario_MRF_Bale_ID],0))="",0,INDEX(BaleMover[Miles],MATCH(SecondaryTransport[[#This Row],[Scenario_MRF_Bale_ID]],BaleMover[Scenario_MRF_Bale_ID],0)))</f>
        <v>65</v>
      </c>
      <c r="AN7" s="251">
        <f>IF(SecondaryTransport[[#This Row],[Bale_ID]]="9000-01","costs elsewhere",SecondaryTransport[[#This Row],[Total_Baled_tons]]*SecondaryTransport[[#This Row],[Miles]])</f>
        <v>3157054.2785539739</v>
      </c>
      <c r="AO7" s="352" t="str">
        <f>IF(LEFT(SecondaryTransport[[#This Row],[Bale_ID]],1)*1=5,IF(OR(SecondaryTransport[[#This Row],[MRF_ID]]="02",SecondaryTransport[[#This Row],[MRF_ID]]="08"),2,1),"")</f>
        <v/>
      </c>
      <c r="AP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7" s="224" t="str">
        <f>IFERROR(IF(1*LEFT(SecondaryTransport[[#This Row],[Bale_ID]],1)=5,SecondaryTransport[[#This Row],[Ton-Miles]]*SecondaryTransport[[#This Row],[Cost_Per_Ton-Mile]],""),"")</f>
        <v/>
      </c>
      <c r="AS7" s="224">
        <f>IFERROR(IF(SecondaryTransport[[#This Row],[Container_Transfer]]="",(SecondaryTransport[[#This Row],[Ton-Miles]]*SecondaryTransport[[#This Row],[Cost_Per_Ton-Mile]]),""),"")</f>
        <v>978686.8263517319</v>
      </c>
    </row>
    <row r="8" spans="2:45" ht="15" x14ac:dyDescent="0.25">
      <c r="B8">
        <v>1</v>
      </c>
      <c r="C8" t="str">
        <f>INDEX(Grouping[Grouping_Name],MATCH(TransUnitCost[[#This Row],[Grouping_ID]],Grouping[Grouping_ID],0))</f>
        <v>1 - Metro area</v>
      </c>
      <c r="D8" t="s">
        <v>706</v>
      </c>
      <c r="E8" t="str">
        <f>INDEX(ConsTransp[Transp_Name],MATCH(TransUnitCost[[#This Row],[Transp_ID]],ConsTransp[Transp_ID],0))</f>
        <v>Walking floor (commingled)</v>
      </c>
      <c r="F8" s="255">
        <v>1</v>
      </c>
      <c r="G8" s="4">
        <v>20</v>
      </c>
      <c r="H8" s="212">
        <v>18</v>
      </c>
      <c r="I8" s="352" t="s">
        <v>722</v>
      </c>
      <c r="L8" s="446" t="s">
        <v>876</v>
      </c>
      <c r="M8" s="446">
        <v>2</v>
      </c>
      <c r="N8" s="446">
        <v>1</v>
      </c>
      <c r="O8" s="448" t="s">
        <v>700</v>
      </c>
      <c r="P8" s="449" t="s">
        <v>719</v>
      </c>
      <c r="Q8" s="449"/>
      <c r="R8" s="449"/>
      <c r="S8" s="450" t="s">
        <v>872</v>
      </c>
      <c r="T8" s="449" t="s">
        <v>1055</v>
      </c>
      <c r="U8" s="452">
        <v>0</v>
      </c>
      <c r="V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 s="272" t="str">
        <f>IFERROR(SUMIFS(TransUnitCost[Miles],TransUnitCost[Grouping_ID],TransTonsShort[[#This Row],[Grouping_ID]],TransUnitCost[Transp_ID],TransTonsShort[[#This Row],[Transp_ID]])*TransTonsShort[[#This Row],[Trans_Tons_All]]/TransTonsShort[[#This Row],[Trans_Tons_All]],"")</f>
        <v/>
      </c>
      <c r="X8" s="386" t="str">
        <f>TransTonsShort[[#This Row],[Grouping_ID]]&amp;"-"&amp;TransTonsShort[[#This Row],[Sector_ID]]</f>
        <v>2-1</v>
      </c>
      <c r="Y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 s="421">
        <f>INDEX(LandfillFees[Disposal Tip Fee 2025],MATCH(TransTonsShort[[#This Row],[Grouping_ID]],LandfillFees[Grouping_ID],0))</f>
        <v>72.030938699729589</v>
      </c>
      <c r="AA8" s="102">
        <f>IF(OR(TransTonsShort[[#This Row],[CollectionStream_ID]]="03",TransTonsShort[[#This Row],[CollectionStream_ID]]="04",TransTonsShort[[#This Row],[CollectionStream_ID]]="13"),0,TransTonsShort[[#This Row],[Trans_Tons_All]]*TransTonsShort[[#This Row],[Disposal_Fee]])</f>
        <v>0</v>
      </c>
      <c r="AF8" s="446" t="s">
        <v>1181</v>
      </c>
      <c r="AG8" s="442" t="str">
        <f>LEFT(SecondaryTransport[[#This Row],[Scenario_MRF_Bale_ID]],2)</f>
        <v>S1</v>
      </c>
      <c r="AH8" s="181" t="str">
        <f>LEFT(RIGHT(SecondaryTransport[[#This Row],[Scenario_MRF_Bale_ID]],10),2)</f>
        <v>02</v>
      </c>
      <c r="AI8" s="181" t="str">
        <f>INDEX(MRFs[MRF_Name],MATCH(SecondaryTransport[[#This Row],[MRF_ID]],MRFs[MRF_ID],0))</f>
        <v>1 MRF for SS (Salem)</v>
      </c>
      <c r="AJ8" s="181" t="str">
        <f>RIGHT(SecondaryTransport[[#This Row],[Scenario_MRF_Bale_ID]],7)</f>
        <v>1000-01</v>
      </c>
      <c r="AK8" s="181" t="str">
        <f>INDEX(Bales[Bale_Name],MATCH(SecondaryTransport[[#This Row],[Bale_ID]],Bales[Bale_ID],0))</f>
        <v>OCC (corrugated cardboard) </v>
      </c>
      <c r="AL8" s="443">
        <f>INDEX(BaleMover[Total_Baled_tons],MATCH(SecondaryTransport[[#This Row],[Scenario_MRF_Bale_ID]],BaleMover[Scenario_MRF_Bale_ID],0))</f>
        <v>54956.757561472688</v>
      </c>
      <c r="AM8" s="443">
        <f>IF(INDEX(BaleMover[Miles],MATCH(SecondaryTransport[[#This Row],[Scenario_MRF_Bale_ID]],BaleMover[Scenario_MRF_Bale_ID],0))="",0,INDEX(BaleMover[Miles],MATCH(SecondaryTransport[[#This Row],[Scenario_MRF_Bale_ID]],BaleMover[Scenario_MRF_Bale_ID],0)))</f>
        <v>65</v>
      </c>
      <c r="AN8" s="251">
        <f>IF(SecondaryTransport[[#This Row],[Bale_ID]]="9000-01","costs elsewhere",SecondaryTransport[[#This Row],[Total_Baled_tons]]*SecondaryTransport[[#This Row],[Miles]])</f>
        <v>3572189.2414957248</v>
      </c>
      <c r="AO8" s="352" t="str">
        <f>IF(LEFT(SecondaryTransport[[#This Row],[Bale_ID]],1)*1=5,IF(OR(SecondaryTransport[[#This Row],[MRF_ID]]="02",SecondaryTransport[[#This Row],[MRF_ID]]="08"),2,1),"")</f>
        <v/>
      </c>
      <c r="AP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8" s="224" t="str">
        <f>IFERROR(IF(1*LEFT(SecondaryTransport[[#This Row],[Bale_ID]],1)=5,SecondaryTransport[[#This Row],[Ton-Miles]]*SecondaryTransport[[#This Row],[Cost_Per_Ton-Mile]],""),"")</f>
        <v/>
      </c>
      <c r="AS8" s="224">
        <f>IFERROR(IF(SecondaryTransport[[#This Row],[Container_Transfer]]="",(SecondaryTransport[[#This Row],[Ton-Miles]]*SecondaryTransport[[#This Row],[Cost_Per_Ton-Mile]]),""),"")</f>
        <v>1107378.6648636747</v>
      </c>
    </row>
    <row r="9" spans="2:45" ht="15" x14ac:dyDescent="0.25">
      <c r="B9" s="212">
        <v>1</v>
      </c>
      <c r="C9" s="194" t="str">
        <f>INDEX(Grouping[Grouping_Name],MATCH(TransUnitCost[[#This Row],[Grouping_ID]],Grouping[Grouping_ID],0))</f>
        <v>1 - Metro area</v>
      </c>
      <c r="D9" s="252" t="s">
        <v>712</v>
      </c>
      <c r="E9" s="194" t="str">
        <f>INDEX(ConsTransp[Transp_Name],MATCH(TransUnitCost[[#This Row],[Transp_ID]],ConsTransp[Transp_ID],0))</f>
        <v>Van trailer (baled)</v>
      </c>
      <c r="F9" s="255" t="s">
        <v>1056</v>
      </c>
      <c r="G9" s="4"/>
      <c r="H9" s="194"/>
      <c r="I9"/>
      <c r="L9" s="446" t="s">
        <v>876</v>
      </c>
      <c r="M9" s="446">
        <v>3</v>
      </c>
      <c r="N9" s="446">
        <v>1</v>
      </c>
      <c r="O9" s="448" t="s">
        <v>700</v>
      </c>
      <c r="P9" s="449" t="s">
        <v>719</v>
      </c>
      <c r="Q9" s="449"/>
      <c r="R9" s="449"/>
      <c r="S9" s="450" t="s">
        <v>872</v>
      </c>
      <c r="T9" s="449" t="s">
        <v>1055</v>
      </c>
      <c r="U9" s="452">
        <v>0</v>
      </c>
      <c r="V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 s="272" t="str">
        <f>IFERROR(SUMIFS(TransUnitCost[Miles],TransUnitCost[Grouping_ID],TransTonsShort[[#This Row],[Grouping_ID]],TransUnitCost[Transp_ID],TransTonsShort[[#This Row],[Transp_ID]])*TransTonsShort[[#This Row],[Trans_Tons_All]]/TransTonsShort[[#This Row],[Trans_Tons_All]],"")</f>
        <v/>
      </c>
      <c r="X9" s="386" t="str">
        <f>TransTonsShort[[#This Row],[Grouping_ID]]&amp;"-"&amp;TransTonsShort[[#This Row],[Sector_ID]]</f>
        <v>3-1</v>
      </c>
      <c r="Y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 s="421">
        <f>INDEX(LandfillFees[Disposal Tip Fee 2025],MATCH(TransTonsShort[[#This Row],[Grouping_ID]],LandfillFees[Grouping_ID],0))</f>
        <v>72.030938699729589</v>
      </c>
      <c r="AA9" s="102">
        <f>IF(OR(TransTonsShort[[#This Row],[CollectionStream_ID]]="03",TransTonsShort[[#This Row],[CollectionStream_ID]]="04",TransTonsShort[[#This Row],[CollectionStream_ID]]="13"),0,TransTonsShort[[#This Row],[Trans_Tons_All]]*TransTonsShort[[#This Row],[Disposal_Fee]])</f>
        <v>0</v>
      </c>
      <c r="AF9" s="446" t="s">
        <v>1182</v>
      </c>
      <c r="AG9" s="442" t="str">
        <f>LEFT(SecondaryTransport[[#This Row],[Scenario_MRF_Bale_ID]],2)</f>
        <v>S2</v>
      </c>
      <c r="AH9" s="181" t="str">
        <f>LEFT(RIGHT(SecondaryTransport[[#This Row],[Scenario_MRF_Bale_ID]],10),2)</f>
        <v>02</v>
      </c>
      <c r="AI9" s="181" t="str">
        <f>INDEX(MRFs[MRF_Name],MATCH(SecondaryTransport[[#This Row],[MRF_ID]],MRFs[MRF_ID],0))</f>
        <v>1 MRF for SS (Salem)</v>
      </c>
      <c r="AJ9" s="181" t="str">
        <f>RIGHT(SecondaryTransport[[#This Row],[Scenario_MRF_Bale_ID]],7)</f>
        <v>1000-01</v>
      </c>
      <c r="AK9" s="181" t="str">
        <f>INDEX(Bales[Bale_Name],MATCH(SecondaryTransport[[#This Row],[Bale_ID]],Bales[Bale_ID],0))</f>
        <v>OCC (corrugated cardboard) </v>
      </c>
      <c r="AL9" s="443">
        <f>INDEX(BaleMover[Total_Baled_tons],MATCH(SecondaryTransport[[#This Row],[Scenario_MRF_Bale_ID]],BaleMover[Scenario_MRF_Bale_ID],0))</f>
        <v>55905.934419657031</v>
      </c>
      <c r="AM9" s="443">
        <f>IF(INDEX(BaleMover[Miles],MATCH(SecondaryTransport[[#This Row],[Scenario_MRF_Bale_ID]],BaleMover[Scenario_MRF_Bale_ID],0))="",0,INDEX(BaleMover[Miles],MATCH(SecondaryTransport[[#This Row],[Scenario_MRF_Bale_ID]],BaleMover[Scenario_MRF_Bale_ID],0)))</f>
        <v>65</v>
      </c>
      <c r="AN9" s="251">
        <f>IF(SecondaryTransport[[#This Row],[Bale_ID]]="9000-01","costs elsewhere",SecondaryTransport[[#This Row],[Total_Baled_tons]]*SecondaryTransport[[#This Row],[Miles]])</f>
        <v>3633885.7372777071</v>
      </c>
      <c r="AO9" s="352" t="str">
        <f>IF(LEFT(SecondaryTransport[[#This Row],[Bale_ID]],1)*1=5,IF(OR(SecondaryTransport[[#This Row],[MRF_ID]]="02",SecondaryTransport[[#This Row],[MRF_ID]]="08"),2,1),"")</f>
        <v/>
      </c>
      <c r="AP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9" s="224" t="str">
        <f>IFERROR(IF(1*LEFT(SecondaryTransport[[#This Row],[Bale_ID]],1)=5,SecondaryTransport[[#This Row],[Ton-Miles]]*SecondaryTransport[[#This Row],[Cost_Per_Ton-Mile]],""),"")</f>
        <v/>
      </c>
      <c r="AS9" s="224">
        <f>IFERROR(IF(SecondaryTransport[[#This Row],[Container_Transfer]]="",(SecondaryTransport[[#This Row],[Ton-Miles]]*SecondaryTransport[[#This Row],[Cost_Per_Ton-Mile]]),""),"")</f>
        <v>1126504.5785560892</v>
      </c>
    </row>
    <row r="10" spans="2:45" ht="15" x14ac:dyDescent="0.25">
      <c r="B10">
        <v>1</v>
      </c>
      <c r="C10" t="str">
        <f>INDEX(Grouping[Grouping_Name],MATCH(TransUnitCost[[#This Row],[Grouping_ID]],Grouping[Grouping_ID],0))</f>
        <v>1 - Metro area</v>
      </c>
      <c r="D10" t="s">
        <v>719</v>
      </c>
      <c r="E10" t="str">
        <f>INDEX(ConsTransp[Transp_Name],MATCH(TransUnitCost[[#This Row],[Transp_ID]],ConsTransp[Transp_ID],0))</f>
        <v>Drop-box</v>
      </c>
      <c r="F10" s="255">
        <v>1.94</v>
      </c>
      <c r="G10" s="4">
        <v>20</v>
      </c>
      <c r="H10" s="212">
        <v>4</v>
      </c>
      <c r="I10" t="s">
        <v>1846</v>
      </c>
      <c r="L10" s="446" t="s">
        <v>876</v>
      </c>
      <c r="M10" s="446">
        <v>4</v>
      </c>
      <c r="N10" s="446">
        <v>1</v>
      </c>
      <c r="O10" s="448" t="s">
        <v>700</v>
      </c>
      <c r="P10" s="449" t="s">
        <v>719</v>
      </c>
      <c r="Q10" s="449"/>
      <c r="R10" s="449"/>
      <c r="S10" s="450" t="s">
        <v>872</v>
      </c>
      <c r="T10" s="449" t="s">
        <v>1055</v>
      </c>
      <c r="U10" s="452">
        <v>0</v>
      </c>
      <c r="V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 s="272" t="str">
        <f>IFERROR(SUMIFS(TransUnitCost[Miles],TransUnitCost[Grouping_ID],TransTonsShort[[#This Row],[Grouping_ID]],TransUnitCost[Transp_ID],TransTonsShort[[#This Row],[Transp_ID]])*TransTonsShort[[#This Row],[Trans_Tons_All]]/TransTonsShort[[#This Row],[Trans_Tons_All]],"")</f>
        <v/>
      </c>
      <c r="X10" s="386" t="str">
        <f>TransTonsShort[[#This Row],[Grouping_ID]]&amp;"-"&amp;TransTonsShort[[#This Row],[Sector_ID]]</f>
        <v>4-1</v>
      </c>
      <c r="Y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 s="421">
        <f>INDEX(LandfillFees[Disposal Tip Fee 2025],MATCH(TransTonsShort[[#This Row],[Grouping_ID]],LandfillFees[Grouping_ID],0))</f>
        <v>72.030938699729589</v>
      </c>
      <c r="AA10" s="102">
        <f>IF(OR(TransTonsShort[[#This Row],[CollectionStream_ID]]="03",TransTonsShort[[#This Row],[CollectionStream_ID]]="04",TransTonsShort[[#This Row],[CollectionStream_ID]]="13"),0,TransTonsShort[[#This Row],[Trans_Tons_All]]*TransTonsShort[[#This Row],[Disposal_Fee]])</f>
        <v>0</v>
      </c>
      <c r="AF10" s="446" t="s">
        <v>1183</v>
      </c>
      <c r="AG10" s="442" t="str">
        <f>LEFT(SecondaryTransport[[#This Row],[Scenario_MRF_Bale_ID]],2)</f>
        <v>S3</v>
      </c>
      <c r="AH10" s="181" t="str">
        <f>LEFT(RIGHT(SecondaryTransport[[#This Row],[Scenario_MRF_Bale_ID]],10),2)</f>
        <v>02</v>
      </c>
      <c r="AI10" s="181" t="str">
        <f>INDEX(MRFs[MRF_Name],MATCH(SecondaryTransport[[#This Row],[MRF_ID]],MRFs[MRF_ID],0))</f>
        <v>1 MRF for SS (Salem)</v>
      </c>
      <c r="AJ10" s="181" t="str">
        <f>RIGHT(SecondaryTransport[[#This Row],[Scenario_MRF_Bale_ID]],7)</f>
        <v>1000-01</v>
      </c>
      <c r="AK10" s="181" t="str">
        <f>INDEX(Bales[Bale_Name],MATCH(SecondaryTransport[[#This Row],[Bale_ID]],Bales[Bale_ID],0))</f>
        <v>OCC (corrugated cardboard) </v>
      </c>
      <c r="AL10" s="443">
        <f>INDEX(BaleMover[Total_Baled_tons],MATCH(SecondaryTransport[[#This Row],[Scenario_MRF_Bale_ID]],BaleMover[Scenario_MRF_Bale_ID],0))</f>
        <v>55870.9095390531</v>
      </c>
      <c r="AM10" s="443">
        <f>IF(INDEX(BaleMover[Miles],MATCH(SecondaryTransport[[#This Row],[Scenario_MRF_Bale_ID]],BaleMover[Scenario_MRF_Bale_ID],0))="",0,INDEX(BaleMover[Miles],MATCH(SecondaryTransport[[#This Row],[Scenario_MRF_Bale_ID]],BaleMover[Scenario_MRF_Bale_ID],0)))</f>
        <v>65</v>
      </c>
      <c r="AN10" s="251">
        <f>IF(SecondaryTransport[[#This Row],[Bale_ID]]="9000-01","costs elsewhere",SecondaryTransport[[#This Row],[Total_Baled_tons]]*SecondaryTransport[[#This Row],[Miles]])</f>
        <v>3631609.1200384516</v>
      </c>
      <c r="AO10" s="352" t="str">
        <f>IF(LEFT(SecondaryTransport[[#This Row],[Bale_ID]],1)*1=5,IF(OR(SecondaryTransport[[#This Row],[MRF_ID]]="02",SecondaryTransport[[#This Row],[MRF_ID]]="08"),2,1),"")</f>
        <v/>
      </c>
      <c r="AP10" s="384"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0" s="224" t="str">
        <f>IFERROR(IF(1*LEFT(SecondaryTransport[[#This Row],[Bale_ID]],1)=5,SecondaryTransport[[#This Row],[Ton-Miles]]*SecondaryTransport[[#This Row],[Cost_Per_Ton-Mile]],""),"")</f>
        <v/>
      </c>
      <c r="AS10" s="224">
        <f>IFERROR(IF(SecondaryTransport[[#This Row],[Container_Transfer]]="",(SecondaryTransport[[#This Row],[Ton-Miles]]*SecondaryTransport[[#This Row],[Cost_Per_Ton-Mile]]),""),"")</f>
        <v>1125798.8272119199</v>
      </c>
    </row>
    <row r="11" spans="2:45" ht="15" x14ac:dyDescent="0.25">
      <c r="B11" s="212">
        <v>1</v>
      </c>
      <c r="C11" s="194" t="str">
        <f>INDEX(Grouping[Grouping_Name],MATCH(TransUnitCost[[#This Row],[Grouping_ID]],Grouping[Grouping_ID],0))</f>
        <v>1 - Metro area</v>
      </c>
      <c r="D11" s="252" t="s">
        <v>727</v>
      </c>
      <c r="E11" s="194" t="str">
        <f>INDEX(ConsTransp[Transp_Name],MATCH(TransUnitCost[[#This Row],[Transp_ID]],ConsTransp[Transp_ID],0))</f>
        <v>CRF containers (in Metro)</v>
      </c>
      <c r="F11" s="255">
        <v>1.29</v>
      </c>
      <c r="G11" s="4">
        <v>20</v>
      </c>
      <c r="H11" s="194">
        <v>14</v>
      </c>
      <c r="I11" t="s">
        <v>1856</v>
      </c>
      <c r="L11" s="446" t="s">
        <v>876</v>
      </c>
      <c r="M11" s="446">
        <v>1</v>
      </c>
      <c r="N11" s="446">
        <v>1</v>
      </c>
      <c r="O11" s="448" t="s">
        <v>700</v>
      </c>
      <c r="P11" s="449" t="s">
        <v>700</v>
      </c>
      <c r="Q11" s="449"/>
      <c r="R11" s="449"/>
      <c r="S11" s="450" t="s">
        <v>872</v>
      </c>
      <c r="T11" s="449" t="s">
        <v>701</v>
      </c>
      <c r="U11" s="452">
        <v>93816.367128599872</v>
      </c>
      <c r="V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 s="272">
        <f>IFERROR(SUMIFS(TransUnitCost[Miles],TransUnitCost[Grouping_ID],TransTonsShort[[#This Row],[Grouping_ID]],TransUnitCost[Transp_ID],TransTonsShort[[#This Row],[Transp_ID]])*TransTonsShort[[#This Row],[Trans_Tons_All]]/TransTonsShort[[#This Row],[Trans_Tons_All]],"")</f>
        <v>0</v>
      </c>
      <c r="X11" s="386" t="str">
        <f>TransTonsShort[[#This Row],[Grouping_ID]]&amp;"-"&amp;TransTonsShort[[#This Row],[Sector_ID]]</f>
        <v>1-1</v>
      </c>
      <c r="Y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 s="421">
        <f>INDEX(LandfillFees[Disposal Tip Fee 2025],MATCH(TransTonsShort[[#This Row],[Grouping_ID]],LandfillFees[Grouping_ID],0))</f>
        <v>134.68</v>
      </c>
      <c r="AA11" s="102">
        <f>IF(OR(TransTonsShort[[#This Row],[CollectionStream_ID]]="03",TransTonsShort[[#This Row],[CollectionStream_ID]]="04",TransTonsShort[[#This Row],[CollectionStream_ID]]="13"),0,TransTonsShort[[#This Row],[Trans_Tons_All]]*TransTonsShort[[#This Row],[Disposal_Fee]])</f>
        <v>12635188.324879831</v>
      </c>
      <c r="AF11" s="446" t="s">
        <v>1184</v>
      </c>
      <c r="AG11" s="442" t="str">
        <f>LEFT(SecondaryTransport[[#This Row],[Scenario_MRF_Bale_ID]],2)</f>
        <v>S0</v>
      </c>
      <c r="AH11" s="181" t="str">
        <f>LEFT(RIGHT(SecondaryTransport[[#This Row],[Scenario_MRF_Bale_ID]],10),2)</f>
        <v>02</v>
      </c>
      <c r="AI11" s="181" t="str">
        <f>INDEX(MRFs[MRF_Name],MATCH(SecondaryTransport[[#This Row],[MRF_ID]],MRFs[MRF_ID],0))</f>
        <v>1 MRF for SS (Salem)</v>
      </c>
      <c r="AJ11" s="181" t="str">
        <f>RIGHT(SecondaryTransport[[#This Row],[Scenario_MRF_Bale_ID]],7)</f>
        <v>1000-02</v>
      </c>
      <c r="AK11" s="181" t="str">
        <f>INDEX(Bales[Bale_Name],MATCH(SecondaryTransport[[#This Row],[Bale_ID]],Bales[Bale_ID],0))</f>
        <v>Sorted clean newsprint</v>
      </c>
      <c r="AL11" s="443">
        <f>INDEX(BaleMover[Total_Baled_tons],MATCH(SecondaryTransport[[#This Row],[Scenario_MRF_Bale_ID]],BaleMover[Scenario_MRF_Bale_ID],0))</f>
        <v>0</v>
      </c>
      <c r="AM11" s="443">
        <f>IF(INDEX(BaleMover[Miles],MATCH(SecondaryTransport[[#This Row],[Scenario_MRF_Bale_ID]],BaleMover[Scenario_MRF_Bale_ID],0))="",0,INDEX(BaleMover[Miles],MATCH(SecondaryTransport[[#This Row],[Scenario_MRF_Bale_ID]],BaleMover[Scenario_MRF_Bale_ID],0)))</f>
        <v>0</v>
      </c>
      <c r="AN11" s="251">
        <f>IF(SecondaryTransport[[#This Row],[Bale_ID]]="9000-01","costs elsewhere",SecondaryTransport[[#This Row],[Total_Baled_tons]]*SecondaryTransport[[#This Row],[Miles]])</f>
        <v>0</v>
      </c>
      <c r="AO11" s="352" t="str">
        <f>IF(LEFT(SecondaryTransport[[#This Row],[Bale_ID]],1)*1=5,IF(OR(SecondaryTransport[[#This Row],[MRF_ID]]="02",SecondaryTransport[[#This Row],[MRF_ID]]="08"),2,1),"")</f>
        <v/>
      </c>
      <c r="AP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1" s="224" t="str">
        <f>IFERROR(IF(1*LEFT(SecondaryTransport[[#This Row],[Bale_ID]],1)=5,SecondaryTransport[[#This Row],[Ton-Miles]]*SecondaryTransport[[#This Row],[Cost_Per_Ton-Mile]],""),"")</f>
        <v/>
      </c>
      <c r="AS11" s="224" t="str">
        <f>IFERROR(IF(SecondaryTransport[[#This Row],[Container_Transfer]]="",(SecondaryTransport[[#This Row],[Ton-Miles]]*SecondaryTransport[[#This Row],[Cost_Per_Ton-Mile]]),""),"")</f>
        <v/>
      </c>
    </row>
    <row r="12" spans="2:45" ht="15" x14ac:dyDescent="0.25">
      <c r="B12" s="212">
        <v>1</v>
      </c>
      <c r="C12" s="194" t="str">
        <f>INDEX(Grouping[Grouping_Name],MATCH(TransUnitCost[[#This Row],[Grouping_ID]],Grouping[Grouping_ID],0))</f>
        <v>1 - Metro area</v>
      </c>
      <c r="D12" s="252" t="s">
        <v>735</v>
      </c>
      <c r="E12" s="194" t="str">
        <f>INDEX(ConsTransp[Transp_Name],MATCH(TransUnitCost[[#This Row],[Transp_ID]],ConsTransp[Transp_ID],0))</f>
        <v>CRF containers (out of Metro)</v>
      </c>
      <c r="F12" s="255">
        <v>0.18</v>
      </c>
      <c r="G12" s="4">
        <v>300</v>
      </c>
      <c r="H12" s="194">
        <v>22</v>
      </c>
      <c r="I12" s="352" t="s">
        <v>1857</v>
      </c>
      <c r="L12" s="446" t="s">
        <v>876</v>
      </c>
      <c r="M12" s="446">
        <v>2</v>
      </c>
      <c r="N12" s="446">
        <v>1</v>
      </c>
      <c r="O12" s="448" t="s">
        <v>700</v>
      </c>
      <c r="P12" s="449" t="s">
        <v>700</v>
      </c>
      <c r="Q12" s="449"/>
      <c r="R12" s="449"/>
      <c r="S12" s="450" t="s">
        <v>872</v>
      </c>
      <c r="T12" s="449" t="s">
        <v>701</v>
      </c>
      <c r="U12" s="452">
        <v>58838.734116191008</v>
      </c>
      <c r="V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 s="272">
        <f>IFERROR(SUMIFS(TransUnitCost[Miles],TransUnitCost[Grouping_ID],TransTonsShort[[#This Row],[Grouping_ID]],TransUnitCost[Transp_ID],TransTonsShort[[#This Row],[Transp_ID]])*TransTonsShort[[#This Row],[Trans_Tons_All]]/TransTonsShort[[#This Row],[Trans_Tons_All]],"")</f>
        <v>0</v>
      </c>
      <c r="X12" s="386" t="str">
        <f>TransTonsShort[[#This Row],[Grouping_ID]]&amp;"-"&amp;TransTonsShort[[#This Row],[Sector_ID]]</f>
        <v>2-1</v>
      </c>
      <c r="Y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 s="421">
        <f>INDEX(LandfillFees[Disposal Tip Fee 2025],MATCH(TransTonsShort[[#This Row],[Grouping_ID]],LandfillFees[Grouping_ID],0))</f>
        <v>72.030938699729589</v>
      </c>
      <c r="AA12" s="102">
        <f>IF(OR(TransTonsShort[[#This Row],[CollectionStream_ID]]="03",TransTonsShort[[#This Row],[CollectionStream_ID]]="04",TransTonsShort[[#This Row],[CollectionStream_ID]]="13"),0,TransTonsShort[[#This Row],[Trans_Tons_All]]*TransTonsShort[[#This Row],[Disposal_Fee]])</f>
        <v>4238209.2502930425</v>
      </c>
      <c r="AF12" s="446" t="s">
        <v>1185</v>
      </c>
      <c r="AG12" s="442" t="str">
        <f>LEFT(SecondaryTransport[[#This Row],[Scenario_MRF_Bale_ID]],2)</f>
        <v>S1</v>
      </c>
      <c r="AH12" s="181" t="str">
        <f>LEFT(RIGHT(SecondaryTransport[[#This Row],[Scenario_MRF_Bale_ID]],10),2)</f>
        <v>02</v>
      </c>
      <c r="AI12" s="181" t="str">
        <f>INDEX(MRFs[MRF_Name],MATCH(SecondaryTransport[[#This Row],[MRF_ID]],MRFs[MRF_ID],0))</f>
        <v>1 MRF for SS (Salem)</v>
      </c>
      <c r="AJ12" s="181" t="str">
        <f>RIGHT(SecondaryTransport[[#This Row],[Scenario_MRF_Bale_ID]],7)</f>
        <v>1000-02</v>
      </c>
      <c r="AK12" s="181" t="str">
        <f>INDEX(Bales[Bale_Name],MATCH(SecondaryTransport[[#This Row],[Bale_ID]],Bales[Bale_ID],0))</f>
        <v>Sorted clean newsprint</v>
      </c>
      <c r="AL12" s="443">
        <f>INDEX(BaleMover[Total_Baled_tons],MATCH(SecondaryTransport[[#This Row],[Scenario_MRF_Bale_ID]],BaleMover[Scenario_MRF_Bale_ID],0))</f>
        <v>0</v>
      </c>
      <c r="AM12" s="443">
        <f>IF(INDEX(BaleMover[Miles],MATCH(SecondaryTransport[[#This Row],[Scenario_MRF_Bale_ID]],BaleMover[Scenario_MRF_Bale_ID],0))="",0,INDEX(BaleMover[Miles],MATCH(SecondaryTransport[[#This Row],[Scenario_MRF_Bale_ID]],BaleMover[Scenario_MRF_Bale_ID],0)))</f>
        <v>0</v>
      </c>
      <c r="AN12" s="251">
        <f>IF(SecondaryTransport[[#This Row],[Bale_ID]]="9000-01","costs elsewhere",SecondaryTransport[[#This Row],[Total_Baled_tons]]*SecondaryTransport[[#This Row],[Miles]])</f>
        <v>0</v>
      </c>
      <c r="AO12" s="352" t="str">
        <f>IF(LEFT(SecondaryTransport[[#This Row],[Bale_ID]],1)*1=5,IF(OR(SecondaryTransport[[#This Row],[MRF_ID]]="02",SecondaryTransport[[#This Row],[MRF_ID]]="08"),2,1),"")</f>
        <v/>
      </c>
      <c r="AP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 s="224" t="str">
        <f>IFERROR(IF(1*LEFT(SecondaryTransport[[#This Row],[Bale_ID]],1)=5,SecondaryTransport[[#This Row],[Ton-Miles]]*SecondaryTransport[[#This Row],[Cost_Per_Ton-Mile]],""),"")</f>
        <v/>
      </c>
      <c r="AS12" s="224" t="str">
        <f>IFERROR(IF(SecondaryTransport[[#This Row],[Container_Transfer]]="",(SecondaryTransport[[#This Row],[Ton-Miles]]*SecondaryTransport[[#This Row],[Cost_Per_Ton-Mile]]),""),"")</f>
        <v/>
      </c>
    </row>
    <row r="13" spans="2:45" ht="15" x14ac:dyDescent="0.25">
      <c r="B13">
        <v>1</v>
      </c>
      <c r="C13" t="str">
        <f>INDEX(Grouping[Grouping_Name],MATCH(TransUnitCost[[#This Row],[Grouping_ID]],Grouping[Grouping_ID],0))</f>
        <v>1 - Metro area</v>
      </c>
      <c r="D13" t="s">
        <v>739</v>
      </c>
      <c r="E13" t="str">
        <f>INDEX(ConsTransp[Transp_Name],MATCH(TransUnitCost[[#This Row],[Transp_ID]],ConsTransp[Transp_ID],0))</f>
        <v>Glass &amp; scrap metal</v>
      </c>
      <c r="F13" s="255">
        <v>0.97</v>
      </c>
      <c r="G13" s="4">
        <v>20</v>
      </c>
      <c r="H13" s="212">
        <v>8</v>
      </c>
      <c r="I13" t="s">
        <v>1848</v>
      </c>
      <c r="L13" s="446" t="s">
        <v>876</v>
      </c>
      <c r="M13" s="446">
        <v>3</v>
      </c>
      <c r="N13" s="446">
        <v>1</v>
      </c>
      <c r="O13" s="448" t="s">
        <v>700</v>
      </c>
      <c r="P13" s="449" t="s">
        <v>700</v>
      </c>
      <c r="Q13" s="449"/>
      <c r="R13" s="449"/>
      <c r="S13" s="450" t="s">
        <v>872</v>
      </c>
      <c r="T13" s="449" t="s">
        <v>701</v>
      </c>
      <c r="U13" s="452">
        <v>0</v>
      </c>
      <c r="V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 s="272" t="str">
        <f>IFERROR(SUMIFS(TransUnitCost[Miles],TransUnitCost[Grouping_ID],TransTonsShort[[#This Row],[Grouping_ID]],TransUnitCost[Transp_ID],TransTonsShort[[#This Row],[Transp_ID]])*TransTonsShort[[#This Row],[Trans_Tons_All]]/TransTonsShort[[#This Row],[Trans_Tons_All]],"")</f>
        <v/>
      </c>
      <c r="X13" s="386" t="str">
        <f>TransTonsShort[[#This Row],[Grouping_ID]]&amp;"-"&amp;TransTonsShort[[#This Row],[Sector_ID]]</f>
        <v>3-1</v>
      </c>
      <c r="Y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 s="421">
        <f>INDEX(LandfillFees[Disposal Tip Fee 2025],MATCH(TransTonsShort[[#This Row],[Grouping_ID]],LandfillFees[Grouping_ID],0))</f>
        <v>72.030938699729589</v>
      </c>
      <c r="AA13" s="102">
        <f>IF(OR(TransTonsShort[[#This Row],[CollectionStream_ID]]="03",TransTonsShort[[#This Row],[CollectionStream_ID]]="04",TransTonsShort[[#This Row],[CollectionStream_ID]]="13"),0,TransTonsShort[[#This Row],[Trans_Tons_All]]*TransTonsShort[[#This Row],[Disposal_Fee]])</f>
        <v>0</v>
      </c>
      <c r="AF13" s="446" t="s">
        <v>1186</v>
      </c>
      <c r="AG13" s="442" t="str">
        <f>LEFT(SecondaryTransport[[#This Row],[Scenario_MRF_Bale_ID]],2)</f>
        <v>S2</v>
      </c>
      <c r="AH13" s="181" t="str">
        <f>LEFT(RIGHT(SecondaryTransport[[#This Row],[Scenario_MRF_Bale_ID]],10),2)</f>
        <v>02</v>
      </c>
      <c r="AI13" s="181" t="str">
        <f>INDEX(MRFs[MRF_Name],MATCH(SecondaryTransport[[#This Row],[MRF_ID]],MRFs[MRF_ID],0))</f>
        <v>1 MRF for SS (Salem)</v>
      </c>
      <c r="AJ13" s="181" t="str">
        <f>RIGHT(SecondaryTransport[[#This Row],[Scenario_MRF_Bale_ID]],7)</f>
        <v>1000-02</v>
      </c>
      <c r="AK13" s="181" t="str">
        <f>INDEX(Bales[Bale_Name],MATCH(SecondaryTransport[[#This Row],[Bale_ID]],Bales[Bale_ID],0))</f>
        <v>Sorted clean newsprint</v>
      </c>
      <c r="AL13" s="443">
        <f>INDEX(BaleMover[Total_Baled_tons],MATCH(SecondaryTransport[[#This Row],[Scenario_MRF_Bale_ID]],BaleMover[Scenario_MRF_Bale_ID],0))</f>
        <v>0</v>
      </c>
      <c r="AM13" s="443">
        <f>IF(INDEX(BaleMover[Miles],MATCH(SecondaryTransport[[#This Row],[Scenario_MRF_Bale_ID]],BaleMover[Scenario_MRF_Bale_ID],0))="",0,INDEX(BaleMover[Miles],MATCH(SecondaryTransport[[#This Row],[Scenario_MRF_Bale_ID]],BaleMover[Scenario_MRF_Bale_ID],0)))</f>
        <v>0</v>
      </c>
      <c r="AN13" s="251">
        <f>IF(SecondaryTransport[[#This Row],[Bale_ID]]="9000-01","costs elsewhere",SecondaryTransport[[#This Row],[Total_Baled_tons]]*SecondaryTransport[[#This Row],[Miles]])</f>
        <v>0</v>
      </c>
      <c r="AO13" s="352" t="str">
        <f>IF(LEFT(SecondaryTransport[[#This Row],[Bale_ID]],1)*1=5,IF(OR(SecondaryTransport[[#This Row],[MRF_ID]]="02",SecondaryTransport[[#This Row],[MRF_ID]]="08"),2,1),"")</f>
        <v/>
      </c>
      <c r="AP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 s="224" t="str">
        <f>IFERROR(IF(1*LEFT(SecondaryTransport[[#This Row],[Bale_ID]],1)=5,SecondaryTransport[[#This Row],[Ton-Miles]]*SecondaryTransport[[#This Row],[Cost_Per_Ton-Mile]],""),"")</f>
        <v/>
      </c>
      <c r="AS13" s="224" t="str">
        <f>IFERROR(IF(SecondaryTransport[[#This Row],[Container_Transfer]]="",(SecondaryTransport[[#This Row],[Ton-Miles]]*SecondaryTransport[[#This Row],[Cost_Per_Ton-Mile]]),""),"")</f>
        <v/>
      </c>
    </row>
    <row r="14" spans="2:45" ht="15" x14ac:dyDescent="0.25">
      <c r="B14">
        <v>1</v>
      </c>
      <c r="C14" t="str">
        <f>INDEX(Grouping[Grouping_Name],MATCH(TransUnitCost[[#This Row],[Grouping_ID]],Grouping[Grouping_ID],0))</f>
        <v>1 - Metro area</v>
      </c>
      <c r="D14" t="s">
        <v>746</v>
      </c>
      <c r="E14" t="str">
        <f>INDEX(ConsTransp[Transp_Name],MATCH(TransUnitCost[[#This Row],[Transp_ID]],ConsTransp[Transp_ID],0))</f>
        <v>Walking floor (DS fiber)</v>
      </c>
      <c r="F14" s="255">
        <v>0.82</v>
      </c>
      <c r="G14" s="4">
        <v>20</v>
      </c>
      <c r="H14" s="212">
        <v>22</v>
      </c>
      <c r="I14" s="352" t="s">
        <v>722</v>
      </c>
      <c r="L14" s="446" t="s">
        <v>876</v>
      </c>
      <c r="M14" s="446">
        <v>4</v>
      </c>
      <c r="N14" s="446">
        <v>1</v>
      </c>
      <c r="O14" s="448" t="s">
        <v>700</v>
      </c>
      <c r="P14" s="449" t="s">
        <v>700</v>
      </c>
      <c r="Q14" s="449"/>
      <c r="R14" s="449"/>
      <c r="S14" s="450" t="s">
        <v>872</v>
      </c>
      <c r="T14" s="449" t="s">
        <v>701</v>
      </c>
      <c r="U14" s="452">
        <v>0</v>
      </c>
      <c r="V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 s="272" t="str">
        <f>IFERROR(SUMIFS(TransUnitCost[Miles],TransUnitCost[Grouping_ID],TransTonsShort[[#This Row],[Grouping_ID]],TransUnitCost[Transp_ID],TransTonsShort[[#This Row],[Transp_ID]])*TransTonsShort[[#This Row],[Trans_Tons_All]]/TransTonsShort[[#This Row],[Trans_Tons_All]],"")</f>
        <v/>
      </c>
      <c r="X14" s="386" t="str">
        <f>TransTonsShort[[#This Row],[Grouping_ID]]&amp;"-"&amp;TransTonsShort[[#This Row],[Sector_ID]]</f>
        <v>4-1</v>
      </c>
      <c r="Y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 s="421">
        <f>INDEX(LandfillFees[Disposal Tip Fee 2025],MATCH(TransTonsShort[[#This Row],[Grouping_ID]],LandfillFees[Grouping_ID],0))</f>
        <v>72.030938699729589</v>
      </c>
      <c r="AA14" s="102">
        <f>IF(OR(TransTonsShort[[#This Row],[CollectionStream_ID]]="03",TransTonsShort[[#This Row],[CollectionStream_ID]]="04",TransTonsShort[[#This Row],[CollectionStream_ID]]="13"),0,TransTonsShort[[#This Row],[Trans_Tons_All]]*TransTonsShort[[#This Row],[Disposal_Fee]])</f>
        <v>0</v>
      </c>
      <c r="AF14" s="446" t="s">
        <v>1187</v>
      </c>
      <c r="AG14" s="442" t="str">
        <f>LEFT(SecondaryTransport[[#This Row],[Scenario_MRF_Bale_ID]],2)</f>
        <v>S3</v>
      </c>
      <c r="AH14" s="181" t="str">
        <f>LEFT(RIGHT(SecondaryTransport[[#This Row],[Scenario_MRF_Bale_ID]],10),2)</f>
        <v>02</v>
      </c>
      <c r="AI14" s="181" t="str">
        <f>INDEX(MRFs[MRF_Name],MATCH(SecondaryTransport[[#This Row],[MRF_ID]],MRFs[MRF_ID],0))</f>
        <v>1 MRF for SS (Salem)</v>
      </c>
      <c r="AJ14" s="181" t="str">
        <f>RIGHT(SecondaryTransport[[#This Row],[Scenario_MRF_Bale_ID]],7)</f>
        <v>1000-02</v>
      </c>
      <c r="AK14" s="181" t="str">
        <f>INDEX(Bales[Bale_Name],MATCH(SecondaryTransport[[#This Row],[Bale_ID]],Bales[Bale_ID],0))</f>
        <v>Sorted clean newsprint</v>
      </c>
      <c r="AL14" s="443">
        <f>INDEX(BaleMover[Total_Baled_tons],MATCH(SecondaryTransport[[#This Row],[Scenario_MRF_Bale_ID]],BaleMover[Scenario_MRF_Bale_ID],0))</f>
        <v>0</v>
      </c>
      <c r="AM14" s="443">
        <f>IF(INDEX(BaleMover[Miles],MATCH(SecondaryTransport[[#This Row],[Scenario_MRF_Bale_ID]],BaleMover[Scenario_MRF_Bale_ID],0))="",0,INDEX(BaleMover[Miles],MATCH(SecondaryTransport[[#This Row],[Scenario_MRF_Bale_ID]],BaleMover[Scenario_MRF_Bale_ID],0)))</f>
        <v>0</v>
      </c>
      <c r="AN14" s="251">
        <f>IF(SecondaryTransport[[#This Row],[Bale_ID]]="9000-01","costs elsewhere",SecondaryTransport[[#This Row],[Total_Baled_tons]]*SecondaryTransport[[#This Row],[Miles]])</f>
        <v>0</v>
      </c>
      <c r="AO14" s="352" t="str">
        <f>IF(LEFT(SecondaryTransport[[#This Row],[Bale_ID]],1)*1=5,IF(OR(SecondaryTransport[[#This Row],[MRF_ID]]="02",SecondaryTransport[[#This Row],[MRF_ID]]="08"),2,1),"")</f>
        <v/>
      </c>
      <c r="AP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 s="224" t="str">
        <f>IFERROR(IF(1*LEFT(SecondaryTransport[[#This Row],[Bale_ID]],1)=5,SecondaryTransport[[#This Row],[Ton-Miles]]*SecondaryTransport[[#This Row],[Cost_Per_Ton-Mile]],""),"")</f>
        <v/>
      </c>
      <c r="AS14" s="224" t="str">
        <f>IFERROR(IF(SecondaryTransport[[#This Row],[Container_Transfer]]="",(SecondaryTransport[[#This Row],[Ton-Miles]]*SecondaryTransport[[#This Row],[Cost_Per_Ton-Mile]]),""),"")</f>
        <v/>
      </c>
    </row>
    <row r="15" spans="2:45" ht="15" x14ac:dyDescent="0.25">
      <c r="B15">
        <v>1</v>
      </c>
      <c r="C15" t="str">
        <f>INDEX(Grouping[Grouping_Name],MATCH(TransUnitCost[[#This Row],[Grouping_ID]],Grouping[Grouping_ID],0))</f>
        <v>1 - Metro area</v>
      </c>
      <c r="D15" t="s">
        <v>748</v>
      </c>
      <c r="E15" t="str">
        <f>INDEX(ConsTransp[Transp_Name],MATCH(TransUnitCost[[#This Row],[Transp_ID]],ConsTransp[Transp_ID],0))</f>
        <v>Walking floor (DS containers)</v>
      </c>
      <c r="F15" s="255">
        <v>1.29</v>
      </c>
      <c r="G15" s="4">
        <v>20</v>
      </c>
      <c r="H15" s="212">
        <v>14</v>
      </c>
      <c r="I15" s="352" t="s">
        <v>722</v>
      </c>
      <c r="L15" s="446" t="s">
        <v>876</v>
      </c>
      <c r="M15" s="446">
        <v>1</v>
      </c>
      <c r="N15" s="446">
        <v>1</v>
      </c>
      <c r="O15" s="448" t="s">
        <v>700</v>
      </c>
      <c r="P15" s="449" t="s">
        <v>706</v>
      </c>
      <c r="Q15" s="449"/>
      <c r="R15" s="449"/>
      <c r="S15" s="450" t="s">
        <v>872</v>
      </c>
      <c r="T15" s="449" t="s">
        <v>1025</v>
      </c>
      <c r="U15" s="452">
        <v>14018.537616917223</v>
      </c>
      <c r="V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280370.75233834446</v>
      </c>
      <c r="W15" s="272">
        <f>IFERROR(SUMIFS(TransUnitCost[Miles],TransUnitCost[Grouping_ID],TransTonsShort[[#This Row],[Grouping_ID]],TransUnitCost[Transp_ID],TransTonsShort[[#This Row],[Transp_ID]])*TransTonsShort[[#This Row],[Trans_Tons_All]]/TransTonsShort[[#This Row],[Trans_Tons_All]],"")</f>
        <v>20</v>
      </c>
      <c r="X15" s="386" t="str">
        <f>TransTonsShort[[#This Row],[Grouping_ID]]&amp;"-"&amp;TransTonsShort[[#This Row],[Sector_ID]]</f>
        <v>1-1</v>
      </c>
      <c r="Y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 s="421">
        <f>INDEX(LandfillFees[Disposal Tip Fee 2025],MATCH(TransTonsShort[[#This Row],[Grouping_ID]],LandfillFees[Grouping_ID],0))</f>
        <v>134.68</v>
      </c>
      <c r="AA15" s="102">
        <f>IF(OR(TransTonsShort[[#This Row],[CollectionStream_ID]]="03",TransTonsShort[[#This Row],[CollectionStream_ID]]="04",TransTonsShort[[#This Row],[CollectionStream_ID]]="13"),0,TransTonsShort[[#This Row],[Trans_Tons_All]]*TransTonsShort[[#This Row],[Disposal_Fee]])</f>
        <v>1888016.6462464116</v>
      </c>
      <c r="AF15" s="446" t="s">
        <v>1188</v>
      </c>
      <c r="AG15" s="442" t="str">
        <f>LEFT(SecondaryTransport[[#This Row],[Scenario_MRF_Bale_ID]],2)</f>
        <v>S0</v>
      </c>
      <c r="AH15" s="181" t="str">
        <f>LEFT(RIGHT(SecondaryTransport[[#This Row],[Scenario_MRF_Bale_ID]],10),2)</f>
        <v>02</v>
      </c>
      <c r="AI15" s="181" t="str">
        <f>INDEX(MRFs[MRF_Name],MATCH(SecondaryTransport[[#This Row],[MRF_ID]],MRFs[MRF_ID],0))</f>
        <v>1 MRF for SS (Salem)</v>
      </c>
      <c r="AJ15" s="181" t="str">
        <f>RIGHT(SecondaryTransport[[#This Row],[Scenario_MRF_Bale_ID]],7)</f>
        <v>1000-03</v>
      </c>
      <c r="AK15" s="181" t="str">
        <f>INDEX(Bales[Bale_Name],MATCH(SecondaryTransport[[#This Row],[Bale_ID]],Bales[Bale_ID],0))</f>
        <v>Sorted residential paper and news</v>
      </c>
      <c r="AL15" s="443">
        <f>INDEX(BaleMover[Total_Baled_tons],MATCH(SecondaryTransport[[#This Row],[Scenario_MRF_Bale_ID]],BaleMover[Scenario_MRF_Bale_ID],0))</f>
        <v>10517.134945591815</v>
      </c>
      <c r="AM15" s="443">
        <f>IF(INDEX(BaleMover[Miles],MATCH(SecondaryTransport[[#This Row],[Scenario_MRF_Bale_ID]],BaleMover[Scenario_MRF_Bale_ID],0))="",0,INDEX(BaleMover[Miles],MATCH(SecondaryTransport[[#This Row],[Scenario_MRF_Bale_ID]],BaleMover[Scenario_MRF_Bale_ID],0)))</f>
        <v>65</v>
      </c>
      <c r="AN15" s="251">
        <f>IF(SecondaryTransport[[#This Row],[Bale_ID]]="9000-01","costs elsewhere",SecondaryTransport[[#This Row],[Total_Baled_tons]]*SecondaryTransport[[#This Row],[Miles]])</f>
        <v>683613.77146346797</v>
      </c>
      <c r="AO15" s="352" t="str">
        <f>IF(LEFT(SecondaryTransport[[#This Row],[Bale_ID]],1)*1=5,IF(OR(SecondaryTransport[[#This Row],[MRF_ID]]="02",SecondaryTransport[[#This Row],[MRF_ID]]="08"),2,1),"")</f>
        <v/>
      </c>
      <c r="AP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5" s="224" t="str">
        <f>IFERROR(IF(1*LEFT(SecondaryTransport[[#This Row],[Bale_ID]],1)=5,SecondaryTransport[[#This Row],[Ton-Miles]]*SecondaryTransport[[#This Row],[Cost_Per_Ton-Mile]],""),"")</f>
        <v/>
      </c>
      <c r="AS15" s="224">
        <f>IFERROR(IF(SecondaryTransport[[#This Row],[Container_Transfer]]="",(SecondaryTransport[[#This Row],[Ton-Miles]]*SecondaryTransport[[#This Row],[Cost_Per_Ton-Mile]]),""),"")</f>
        <v>211920.26915367506</v>
      </c>
    </row>
    <row r="16" spans="2:45" ht="15" x14ac:dyDescent="0.25">
      <c r="B16" s="212">
        <v>1</v>
      </c>
      <c r="C16" s="194" t="str">
        <f>INDEX(Grouping[Grouping_Name],MATCH(TransUnitCost[[#This Row],[Grouping_ID]],Grouping[Grouping_ID],0))</f>
        <v>1 - Metro area</v>
      </c>
      <c r="D16" s="252" t="s">
        <v>712</v>
      </c>
      <c r="E16" s="194" t="str">
        <f>INDEX(ConsTransp[Transp_Name],MATCH(TransUnitCost[[#This Row],[Transp_ID]],ConsTransp[Transp_ID],0))</f>
        <v>Van trailer (baled)</v>
      </c>
      <c r="F16" s="255" t="s">
        <v>1056</v>
      </c>
      <c r="G16" s="4"/>
      <c r="H16" s="194"/>
      <c r="I16" s="352"/>
      <c r="L16" s="446" t="s">
        <v>876</v>
      </c>
      <c r="M16" s="446">
        <v>2</v>
      </c>
      <c r="N16" s="446">
        <v>1</v>
      </c>
      <c r="O16" s="448" t="s">
        <v>700</v>
      </c>
      <c r="P16" s="449" t="s">
        <v>706</v>
      </c>
      <c r="Q16" s="449"/>
      <c r="R16" s="449"/>
      <c r="S16" s="450" t="s">
        <v>872</v>
      </c>
      <c r="T16" s="449" t="s">
        <v>1025</v>
      </c>
      <c r="U16" s="452">
        <v>21762.271522426814</v>
      </c>
      <c r="V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609343.60262795084</v>
      </c>
      <c r="W16" s="272">
        <f>IFERROR(SUMIFS(TransUnitCost[Miles],TransUnitCost[Grouping_ID],TransTonsShort[[#This Row],[Grouping_ID]],TransUnitCost[Transp_ID],TransTonsShort[[#This Row],[Transp_ID]])*TransTonsShort[[#This Row],[Trans_Tons_All]]/TransTonsShort[[#This Row],[Trans_Tons_All]],"")</f>
        <v>70</v>
      </c>
      <c r="X16" s="386" t="str">
        <f>TransTonsShort[[#This Row],[Grouping_ID]]&amp;"-"&amp;TransTonsShort[[#This Row],[Sector_ID]]</f>
        <v>2-1</v>
      </c>
      <c r="Y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 s="421">
        <f>INDEX(LandfillFees[Disposal Tip Fee 2025],MATCH(TransTonsShort[[#This Row],[Grouping_ID]],LandfillFees[Grouping_ID],0))</f>
        <v>72.030938699729589</v>
      </c>
      <c r="AA16" s="102">
        <f>IF(OR(TransTonsShort[[#This Row],[CollectionStream_ID]]="03",TransTonsShort[[#This Row],[CollectionStream_ID]]="04",TransTonsShort[[#This Row],[CollectionStream_ID]]="13"),0,TransTonsShort[[#This Row],[Trans_Tons_All]]*TransTonsShort[[#This Row],[Disposal_Fee]])</f>
        <v>1567556.8459987969</v>
      </c>
      <c r="AF16" s="446" t="s">
        <v>1189</v>
      </c>
      <c r="AG16" s="442" t="str">
        <f>LEFT(SecondaryTransport[[#This Row],[Scenario_MRF_Bale_ID]],2)</f>
        <v>S1</v>
      </c>
      <c r="AH16" s="181" t="str">
        <f>LEFT(RIGHT(SecondaryTransport[[#This Row],[Scenario_MRF_Bale_ID]],10),2)</f>
        <v>02</v>
      </c>
      <c r="AI16" s="181" t="str">
        <f>INDEX(MRFs[MRF_Name],MATCH(SecondaryTransport[[#This Row],[MRF_ID]],MRFs[MRF_ID],0))</f>
        <v>1 MRF for SS (Salem)</v>
      </c>
      <c r="AJ16" s="181" t="str">
        <f>RIGHT(SecondaryTransport[[#This Row],[Scenario_MRF_Bale_ID]],7)</f>
        <v>1000-03</v>
      </c>
      <c r="AK16" s="181" t="str">
        <f>INDEX(Bales[Bale_Name],MATCH(SecondaryTransport[[#This Row],[Bale_ID]],Bales[Bale_ID],0))</f>
        <v>Sorted residential paper and news</v>
      </c>
      <c r="AL16" s="443">
        <f>INDEX(BaleMover[Total_Baled_tons],MATCH(SecondaryTransport[[#This Row],[Scenario_MRF_Bale_ID]],BaleMover[Scenario_MRF_Bale_ID],0))</f>
        <v>21416.213276446859</v>
      </c>
      <c r="AM16" s="443">
        <f>IF(INDEX(BaleMover[Miles],MATCH(SecondaryTransport[[#This Row],[Scenario_MRF_Bale_ID]],BaleMover[Scenario_MRF_Bale_ID],0))="",0,INDEX(BaleMover[Miles],MATCH(SecondaryTransport[[#This Row],[Scenario_MRF_Bale_ID]],BaleMover[Scenario_MRF_Bale_ID],0)))</f>
        <v>65</v>
      </c>
      <c r="AN16" s="251">
        <f>IF(SecondaryTransport[[#This Row],[Bale_ID]]="9000-01","costs elsewhere",SecondaryTransport[[#This Row],[Total_Baled_tons]]*SecondaryTransport[[#This Row],[Miles]])</f>
        <v>1392053.8629690458</v>
      </c>
      <c r="AO16" s="352" t="str">
        <f>IF(LEFT(SecondaryTransport[[#This Row],[Bale_ID]],1)*1=5,IF(OR(SecondaryTransport[[#This Row],[MRF_ID]]="02",SecondaryTransport[[#This Row],[MRF_ID]]="08"),2,1),"")</f>
        <v/>
      </c>
      <c r="AP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6" s="224" t="str">
        <f>IFERROR(IF(1*LEFT(SecondaryTransport[[#This Row],[Bale_ID]],1)=5,SecondaryTransport[[#This Row],[Ton-Miles]]*SecondaryTransport[[#This Row],[Cost_Per_Ton-Mile]],""),"")</f>
        <v/>
      </c>
      <c r="AS16" s="224">
        <f>IFERROR(IF(SecondaryTransport[[#This Row],[Container_Transfer]]="",(SecondaryTransport[[#This Row],[Ton-Miles]]*SecondaryTransport[[#This Row],[Cost_Per_Ton-Mile]]),""),"")</f>
        <v>431536.69752040418</v>
      </c>
    </row>
    <row r="17" spans="2:45" ht="15" x14ac:dyDescent="0.25">
      <c r="B17">
        <v>2</v>
      </c>
      <c r="C17" t="str">
        <f>INDEX(Grouping[Grouping_Name],MATCH(TransUnitCost[[#This Row],[Grouping_ID]],Grouping[Grouping_ID],0))</f>
        <v>2 - Willamette Valley, etc.</v>
      </c>
      <c r="D17" t="s">
        <v>700</v>
      </c>
      <c r="E17" t="str">
        <f>INDEX(ConsTransp[Transp_Name],MATCH(TransUnitCost[[#This Row],[Transp_ID]],ConsTransp[Transp_ID],0))</f>
        <v>None (deliver in collection vehicle)</v>
      </c>
      <c r="F17" s="255">
        <v>0</v>
      </c>
      <c r="G17" s="4">
        <v>0</v>
      </c>
      <c r="H17" s="212">
        <v>0</v>
      </c>
      <c r="I17" s="352" t="s">
        <v>722</v>
      </c>
      <c r="L17" s="446" t="s">
        <v>876</v>
      </c>
      <c r="M17" s="446">
        <v>3</v>
      </c>
      <c r="N17" s="446">
        <v>1</v>
      </c>
      <c r="O17" s="448" t="s">
        <v>700</v>
      </c>
      <c r="P17" s="449" t="s">
        <v>706</v>
      </c>
      <c r="Q17" s="449"/>
      <c r="R17" s="449"/>
      <c r="S17" s="450" t="s">
        <v>872</v>
      </c>
      <c r="T17" s="449" t="s">
        <v>1025</v>
      </c>
      <c r="U17" s="452">
        <v>20214.411961611768</v>
      </c>
      <c r="V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1061256.6279846178</v>
      </c>
      <c r="W17" s="272">
        <f>IFERROR(SUMIFS(TransUnitCost[Miles],TransUnitCost[Grouping_ID],TransTonsShort[[#This Row],[Grouping_ID]],TransUnitCost[Transp_ID],TransTonsShort[[#This Row],[Transp_ID]])*TransTonsShort[[#This Row],[Trans_Tons_All]]/TransTonsShort[[#This Row],[Trans_Tons_All]],"")</f>
        <v>150</v>
      </c>
      <c r="X17" s="386" t="str">
        <f>TransTonsShort[[#This Row],[Grouping_ID]]&amp;"-"&amp;TransTonsShort[[#This Row],[Sector_ID]]</f>
        <v>3-1</v>
      </c>
      <c r="Y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7" s="421">
        <f>INDEX(LandfillFees[Disposal Tip Fee 2025],MATCH(TransTonsShort[[#This Row],[Grouping_ID]],LandfillFees[Grouping_ID],0))</f>
        <v>72.030938699729589</v>
      </c>
      <c r="AA17" s="102">
        <f>IF(OR(TransTonsShort[[#This Row],[CollectionStream_ID]]="03",TransTonsShort[[#This Row],[CollectionStream_ID]]="04",TransTonsShort[[#This Row],[CollectionStream_ID]]="13"),0,TransTonsShort[[#This Row],[Trans_Tons_All]]*TransTonsShort[[#This Row],[Disposal_Fee]])</f>
        <v>1456063.0688579378</v>
      </c>
      <c r="AF17" s="446" t="s">
        <v>1190</v>
      </c>
      <c r="AG17" s="442" t="str">
        <f>LEFT(SecondaryTransport[[#This Row],[Scenario_MRF_Bale_ID]],2)</f>
        <v>S2</v>
      </c>
      <c r="AH17" s="181" t="str">
        <f>LEFT(RIGHT(SecondaryTransport[[#This Row],[Scenario_MRF_Bale_ID]],10),2)</f>
        <v>02</v>
      </c>
      <c r="AI17" s="181" t="str">
        <f>INDEX(MRFs[MRF_Name],MATCH(SecondaryTransport[[#This Row],[MRF_ID]],MRFs[MRF_ID],0))</f>
        <v>1 MRF for SS (Salem)</v>
      </c>
      <c r="AJ17" s="181" t="str">
        <f>RIGHT(SecondaryTransport[[#This Row],[Scenario_MRF_Bale_ID]],7)</f>
        <v>1000-03</v>
      </c>
      <c r="AK17" s="181" t="str">
        <f>INDEX(Bales[Bale_Name],MATCH(SecondaryTransport[[#This Row],[Bale_ID]],Bales[Bale_ID],0))</f>
        <v>Sorted residential paper and news</v>
      </c>
      <c r="AL17" s="443">
        <f>INDEX(BaleMover[Total_Baled_tons],MATCH(SecondaryTransport[[#This Row],[Scenario_MRF_Bale_ID]],BaleMover[Scenario_MRF_Bale_ID],0))</f>
        <v>25031.31561002582</v>
      </c>
      <c r="AM17" s="443">
        <f>IF(INDEX(BaleMover[Miles],MATCH(SecondaryTransport[[#This Row],[Scenario_MRF_Bale_ID]],BaleMover[Scenario_MRF_Bale_ID],0))="",0,INDEX(BaleMover[Miles],MATCH(SecondaryTransport[[#This Row],[Scenario_MRF_Bale_ID]],BaleMover[Scenario_MRF_Bale_ID],0)))</f>
        <v>65</v>
      </c>
      <c r="AN17" s="251">
        <f>IF(SecondaryTransport[[#This Row],[Bale_ID]]="9000-01","costs elsewhere",SecondaryTransport[[#This Row],[Total_Baled_tons]]*SecondaryTransport[[#This Row],[Miles]])</f>
        <v>1627035.5146516783</v>
      </c>
      <c r="AO17" s="352" t="str">
        <f>IF(LEFT(SecondaryTransport[[#This Row],[Bale_ID]],1)*1=5,IF(OR(SecondaryTransport[[#This Row],[MRF_ID]]="02",SecondaryTransport[[#This Row],[MRF_ID]]="08"),2,1),"")</f>
        <v/>
      </c>
      <c r="AP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7" s="224" t="str">
        <f>IFERROR(IF(1*LEFT(SecondaryTransport[[#This Row],[Bale_ID]],1)=5,SecondaryTransport[[#This Row],[Ton-Miles]]*SecondaryTransport[[#This Row],[Cost_Per_Ton-Mile]],""),"")</f>
        <v/>
      </c>
      <c r="AS17" s="224">
        <f>IFERROR(IF(SecondaryTransport[[#This Row],[Container_Transfer]]="",(SecondaryTransport[[#This Row],[Ton-Miles]]*SecondaryTransport[[#This Row],[Cost_Per_Ton-Mile]]),""),"")</f>
        <v>504381.00954202027</v>
      </c>
    </row>
    <row r="18" spans="2:45" ht="15" x14ac:dyDescent="0.25">
      <c r="B18">
        <v>2</v>
      </c>
      <c r="C18" t="str">
        <f>INDEX(Grouping[Grouping_Name],MATCH(TransUnitCost[[#This Row],[Grouping_ID]],Grouping[Grouping_ID],0))</f>
        <v>2 - Willamette Valley, etc.</v>
      </c>
      <c r="D18" t="s">
        <v>706</v>
      </c>
      <c r="E18" t="str">
        <f>INDEX(ConsTransp[Transp_Name],MATCH(TransUnitCost[[#This Row],[Transp_ID]],ConsTransp[Transp_ID],0))</f>
        <v>Walking floor (commingled)</v>
      </c>
      <c r="F18" s="255">
        <v>0.4</v>
      </c>
      <c r="G18" s="4">
        <v>70</v>
      </c>
      <c r="H18" s="212">
        <v>18</v>
      </c>
      <c r="I18" s="352" t="s">
        <v>722</v>
      </c>
      <c r="L18" s="446" t="s">
        <v>876</v>
      </c>
      <c r="M18" s="446">
        <v>4</v>
      </c>
      <c r="N18" s="446">
        <v>1</v>
      </c>
      <c r="O18" s="448" t="s">
        <v>700</v>
      </c>
      <c r="P18" s="449" t="s">
        <v>706</v>
      </c>
      <c r="Q18" s="449"/>
      <c r="R18" s="449"/>
      <c r="S18" s="450" t="s">
        <v>872</v>
      </c>
      <c r="T18" s="449" t="s">
        <v>1025</v>
      </c>
      <c r="U18" s="452">
        <v>247.7571959913555</v>
      </c>
      <c r="V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24775.719599135551</v>
      </c>
      <c r="W18" s="272">
        <f>IFERROR(SUMIFS(TransUnitCost[Miles],TransUnitCost[Grouping_ID],TransTonsShort[[#This Row],[Grouping_ID]],TransUnitCost[Transp_ID],TransTonsShort[[#This Row],[Transp_ID]])*TransTonsShort[[#This Row],[Trans_Tons_All]]/TransTonsShort[[#This Row],[Trans_Tons_All]],"")</f>
        <v>250</v>
      </c>
      <c r="X18" s="386" t="str">
        <f>TransTonsShort[[#This Row],[Grouping_ID]]&amp;"-"&amp;TransTonsShort[[#This Row],[Sector_ID]]</f>
        <v>4-1</v>
      </c>
      <c r="Y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8" s="421">
        <f>INDEX(LandfillFees[Disposal Tip Fee 2025],MATCH(TransTonsShort[[#This Row],[Grouping_ID]],LandfillFees[Grouping_ID],0))</f>
        <v>72.030938699729589</v>
      </c>
      <c r="AA18" s="102">
        <f>IF(OR(TransTonsShort[[#This Row],[CollectionStream_ID]]="03",TransTonsShort[[#This Row],[CollectionStream_ID]]="04",TransTonsShort[[#This Row],[CollectionStream_ID]]="13"),0,TransTonsShort[[#This Row],[Trans_Tons_All]]*TransTonsShort[[#This Row],[Disposal_Fee]])</f>
        <v>17846.183396870216</v>
      </c>
      <c r="AF18" s="446" t="s">
        <v>1191</v>
      </c>
      <c r="AG18" s="442" t="str">
        <f>LEFT(SecondaryTransport[[#This Row],[Scenario_MRF_Bale_ID]],2)</f>
        <v>S3</v>
      </c>
      <c r="AH18" s="181" t="str">
        <f>LEFT(RIGHT(SecondaryTransport[[#This Row],[Scenario_MRF_Bale_ID]],10),2)</f>
        <v>02</v>
      </c>
      <c r="AI18" s="181" t="str">
        <f>INDEX(MRFs[MRF_Name],MATCH(SecondaryTransport[[#This Row],[MRF_ID]],MRFs[MRF_ID],0))</f>
        <v>1 MRF for SS (Salem)</v>
      </c>
      <c r="AJ18" s="181" t="str">
        <f>RIGHT(SecondaryTransport[[#This Row],[Scenario_MRF_Bale_ID]],7)</f>
        <v>1000-03</v>
      </c>
      <c r="AK18" s="181" t="str">
        <f>INDEX(Bales[Bale_Name],MATCH(SecondaryTransport[[#This Row],[Bale_ID]],Bales[Bale_ID],0))</f>
        <v>Sorted residential paper and news</v>
      </c>
      <c r="AL18" s="443">
        <f>INDEX(BaleMover[Total_Baled_tons],MATCH(SecondaryTransport[[#This Row],[Scenario_MRF_Bale_ID]],BaleMover[Scenario_MRF_Bale_ID],0))</f>
        <v>25015.722849974769</v>
      </c>
      <c r="AM18" s="443">
        <f>IF(INDEX(BaleMover[Miles],MATCH(SecondaryTransport[[#This Row],[Scenario_MRF_Bale_ID]],BaleMover[Scenario_MRF_Bale_ID],0))="",0,INDEX(BaleMover[Miles],MATCH(SecondaryTransport[[#This Row],[Scenario_MRF_Bale_ID]],BaleMover[Scenario_MRF_Bale_ID],0)))</f>
        <v>65</v>
      </c>
      <c r="AN18" s="251">
        <f>IF(SecondaryTransport[[#This Row],[Bale_ID]]="9000-01","costs elsewhere",SecondaryTransport[[#This Row],[Total_Baled_tons]]*SecondaryTransport[[#This Row],[Miles]])</f>
        <v>1626021.9852483601</v>
      </c>
      <c r="AO18" s="352" t="str">
        <f>IF(LEFT(SecondaryTransport[[#This Row],[Bale_ID]],1)*1=5,IF(OR(SecondaryTransport[[#This Row],[MRF_ID]]="02",SecondaryTransport[[#This Row],[MRF_ID]]="08"),2,1),"")</f>
        <v/>
      </c>
      <c r="AP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8" s="224" t="str">
        <f>IFERROR(IF(1*LEFT(SecondaryTransport[[#This Row],[Bale_ID]],1)=5,SecondaryTransport[[#This Row],[Ton-Miles]]*SecondaryTransport[[#This Row],[Cost_Per_Ton-Mile]],""),"")</f>
        <v/>
      </c>
      <c r="AS18" s="224">
        <f>IFERROR(IF(SecondaryTransport[[#This Row],[Container_Transfer]]="",(SecondaryTransport[[#This Row],[Ton-Miles]]*SecondaryTransport[[#This Row],[Cost_Per_Ton-Mile]]),""),"")</f>
        <v>504066.81542699161</v>
      </c>
    </row>
    <row r="19" spans="2:45" ht="15" x14ac:dyDescent="0.25">
      <c r="B19" s="212">
        <v>2</v>
      </c>
      <c r="C19" s="194" t="str">
        <f>INDEX(Grouping[Grouping_Name],MATCH(TransUnitCost[[#This Row],[Grouping_ID]],Grouping[Grouping_ID],0))</f>
        <v>2 - Willamette Valley, etc.</v>
      </c>
      <c r="D19" s="252" t="s">
        <v>712</v>
      </c>
      <c r="E19" s="194" t="str">
        <f>INDEX(ConsTransp[Transp_Name],MATCH(TransUnitCost[[#This Row],[Transp_ID]],ConsTransp[Transp_ID],0))</f>
        <v>Van trailer (baled)</v>
      </c>
      <c r="F19" s="255">
        <v>0.31</v>
      </c>
      <c r="G19" s="4">
        <v>70</v>
      </c>
      <c r="H19" s="194">
        <v>30</v>
      </c>
      <c r="I19" s="352" t="s">
        <v>1852</v>
      </c>
      <c r="L19" s="446" t="s">
        <v>876</v>
      </c>
      <c r="M19" s="446">
        <v>1</v>
      </c>
      <c r="N19" s="446">
        <v>1</v>
      </c>
      <c r="O19" s="446" t="s">
        <v>748</v>
      </c>
      <c r="P19" s="449" t="s">
        <v>719</v>
      </c>
      <c r="Q19" s="449"/>
      <c r="R19" s="449"/>
      <c r="S19" s="449" t="s">
        <v>765</v>
      </c>
      <c r="T19" s="449" t="s">
        <v>1055</v>
      </c>
      <c r="U19" s="452">
        <v>0</v>
      </c>
      <c r="V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 s="272" t="str">
        <f>IFERROR(SUMIFS(TransUnitCost[Miles],TransUnitCost[Grouping_ID],TransTonsShort[[#This Row],[Grouping_ID]],TransUnitCost[Transp_ID],TransTonsShort[[#This Row],[Transp_ID]])*TransTonsShort[[#This Row],[Trans_Tons_All]]/TransTonsShort[[#This Row],[Trans_Tons_All]],"")</f>
        <v/>
      </c>
      <c r="X19" s="386" t="str">
        <f>TransTonsShort[[#This Row],[Grouping_ID]]&amp;"-"&amp;TransTonsShort[[#This Row],[Sector_ID]]</f>
        <v>1-1</v>
      </c>
      <c r="Y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9" s="421">
        <f>INDEX(LandfillFees[Disposal Tip Fee 2025],MATCH(TransTonsShort[[#This Row],[Grouping_ID]],LandfillFees[Grouping_ID],0))</f>
        <v>134.68</v>
      </c>
      <c r="AA19" s="102">
        <f>IF(OR(TransTonsShort[[#This Row],[CollectionStream_ID]]="03",TransTonsShort[[#This Row],[CollectionStream_ID]]="04",TransTonsShort[[#This Row],[CollectionStream_ID]]="13"),0,TransTonsShort[[#This Row],[Trans_Tons_All]]*TransTonsShort[[#This Row],[Disposal_Fee]])</f>
        <v>0</v>
      </c>
      <c r="AF19" s="446" t="s">
        <v>1192</v>
      </c>
      <c r="AG19" s="442" t="str">
        <f>LEFT(SecondaryTransport[[#This Row],[Scenario_MRF_Bale_ID]],2)</f>
        <v>S0</v>
      </c>
      <c r="AH19" s="181" t="str">
        <f>LEFT(RIGHT(SecondaryTransport[[#This Row],[Scenario_MRF_Bale_ID]],10),2)</f>
        <v>02</v>
      </c>
      <c r="AI19" s="181" t="str">
        <f>INDEX(MRFs[MRF_Name],MATCH(SecondaryTransport[[#This Row],[MRF_ID]],MRFs[MRF_ID],0))</f>
        <v>1 MRF for SS (Salem)</v>
      </c>
      <c r="AJ19" s="181" t="str">
        <f>RIGHT(SecondaryTransport[[#This Row],[Scenario_MRF_Bale_ID]],7)</f>
        <v>1000-04</v>
      </c>
      <c r="AK19" s="181" t="str">
        <f>INDEX(Bales[Bale_Name],MATCH(SecondaryTransport[[#This Row],[Bale_ID]],Bales[Bale_ID],0))</f>
        <v>Sorted office paper and sorted white ledger</v>
      </c>
      <c r="AL19" s="443">
        <f>INDEX(BaleMover[Total_Baled_tons],MATCH(SecondaryTransport[[#This Row],[Scenario_MRF_Bale_ID]],BaleMover[Scenario_MRF_Bale_ID],0))</f>
        <v>0</v>
      </c>
      <c r="AM19" s="443">
        <f>IF(INDEX(BaleMover[Miles],MATCH(SecondaryTransport[[#This Row],[Scenario_MRF_Bale_ID]],BaleMover[Scenario_MRF_Bale_ID],0))="",0,INDEX(BaleMover[Miles],MATCH(SecondaryTransport[[#This Row],[Scenario_MRF_Bale_ID]],BaleMover[Scenario_MRF_Bale_ID],0)))</f>
        <v>0</v>
      </c>
      <c r="AN19" s="251">
        <f>IF(SecondaryTransport[[#This Row],[Bale_ID]]="9000-01","costs elsewhere",SecondaryTransport[[#This Row],[Total_Baled_tons]]*SecondaryTransport[[#This Row],[Miles]])</f>
        <v>0</v>
      </c>
      <c r="AO19" s="352" t="str">
        <f>IF(LEFT(SecondaryTransport[[#This Row],[Bale_ID]],1)*1=5,IF(OR(SecondaryTransport[[#This Row],[MRF_ID]]="02",SecondaryTransport[[#This Row],[MRF_ID]]="08"),2,1),"")</f>
        <v/>
      </c>
      <c r="AP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 s="224" t="str">
        <f>IFERROR(IF(1*LEFT(SecondaryTransport[[#This Row],[Bale_ID]],1)=5,SecondaryTransport[[#This Row],[Ton-Miles]]*SecondaryTransport[[#This Row],[Cost_Per_Ton-Mile]],""),"")</f>
        <v/>
      </c>
      <c r="AS19" s="224" t="str">
        <f>IFERROR(IF(SecondaryTransport[[#This Row],[Container_Transfer]]="",(SecondaryTransport[[#This Row],[Ton-Miles]]*SecondaryTransport[[#This Row],[Cost_Per_Ton-Mile]]),""),"")</f>
        <v/>
      </c>
    </row>
    <row r="20" spans="2:45" ht="15" x14ac:dyDescent="0.25">
      <c r="B20" s="212">
        <v>2</v>
      </c>
      <c r="C20" t="str">
        <f>INDEX(Grouping[Grouping_Name],MATCH(TransUnitCost[[#This Row],[Grouping_ID]],Grouping[Grouping_ID],0))</f>
        <v>2 - Willamette Valley, etc.</v>
      </c>
      <c r="D20" t="s">
        <v>719</v>
      </c>
      <c r="E20" t="str">
        <f>INDEX(ConsTransp[Transp_Name],MATCH(TransUnitCost[[#This Row],[Transp_ID]],ConsTransp[Transp_ID],0))</f>
        <v>Drop-box</v>
      </c>
      <c r="F20" s="255">
        <v>1.18</v>
      </c>
      <c r="G20" s="4">
        <v>70</v>
      </c>
      <c r="H20" s="212">
        <v>4</v>
      </c>
      <c r="I20"/>
      <c r="L20" s="446" t="s">
        <v>876</v>
      </c>
      <c r="M20" s="446">
        <v>2</v>
      </c>
      <c r="N20" s="446">
        <v>1</v>
      </c>
      <c r="O20" s="446" t="s">
        <v>748</v>
      </c>
      <c r="P20" s="449" t="s">
        <v>719</v>
      </c>
      <c r="Q20" s="449"/>
      <c r="R20" s="449"/>
      <c r="S20" s="449" t="s">
        <v>765</v>
      </c>
      <c r="T20" s="449" t="s">
        <v>1055</v>
      </c>
      <c r="U20" s="452">
        <v>0</v>
      </c>
      <c r="V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 s="272" t="str">
        <f>IFERROR(SUMIFS(TransUnitCost[Miles],TransUnitCost[Grouping_ID],TransTonsShort[[#This Row],[Grouping_ID]],TransUnitCost[Transp_ID],TransTonsShort[[#This Row],[Transp_ID]])*TransTonsShort[[#This Row],[Trans_Tons_All]]/TransTonsShort[[#This Row],[Trans_Tons_All]],"")</f>
        <v/>
      </c>
      <c r="X20" s="386" t="str">
        <f>TransTonsShort[[#This Row],[Grouping_ID]]&amp;"-"&amp;TransTonsShort[[#This Row],[Sector_ID]]</f>
        <v>2-1</v>
      </c>
      <c r="Y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 s="421">
        <f>INDEX(LandfillFees[Disposal Tip Fee 2025],MATCH(TransTonsShort[[#This Row],[Grouping_ID]],LandfillFees[Grouping_ID],0))</f>
        <v>72.030938699729589</v>
      </c>
      <c r="AA20" s="102">
        <f>IF(OR(TransTonsShort[[#This Row],[CollectionStream_ID]]="03",TransTonsShort[[#This Row],[CollectionStream_ID]]="04",TransTonsShort[[#This Row],[CollectionStream_ID]]="13"),0,TransTonsShort[[#This Row],[Trans_Tons_All]]*TransTonsShort[[#This Row],[Disposal_Fee]])</f>
        <v>0</v>
      </c>
      <c r="AF20" s="446" t="s">
        <v>1193</v>
      </c>
      <c r="AG20" s="442" t="str">
        <f>LEFT(SecondaryTransport[[#This Row],[Scenario_MRF_Bale_ID]],2)</f>
        <v>S1</v>
      </c>
      <c r="AH20" s="181" t="str">
        <f>LEFT(RIGHT(SecondaryTransport[[#This Row],[Scenario_MRF_Bale_ID]],10),2)</f>
        <v>02</v>
      </c>
      <c r="AI20" s="181" t="str">
        <f>INDEX(MRFs[MRF_Name],MATCH(SecondaryTransport[[#This Row],[MRF_ID]],MRFs[MRF_ID],0))</f>
        <v>1 MRF for SS (Salem)</v>
      </c>
      <c r="AJ20" s="181" t="str">
        <f>RIGHT(SecondaryTransport[[#This Row],[Scenario_MRF_Bale_ID]],7)</f>
        <v>1000-04</v>
      </c>
      <c r="AK20" s="181" t="str">
        <f>INDEX(Bales[Bale_Name],MATCH(SecondaryTransport[[#This Row],[Bale_ID]],Bales[Bale_ID],0))</f>
        <v>Sorted office paper and sorted white ledger</v>
      </c>
      <c r="AL20" s="443">
        <f>INDEX(BaleMover[Total_Baled_tons],MATCH(SecondaryTransport[[#This Row],[Scenario_MRF_Bale_ID]],BaleMover[Scenario_MRF_Bale_ID],0))</f>
        <v>0</v>
      </c>
      <c r="AM20" s="443">
        <f>IF(INDEX(BaleMover[Miles],MATCH(SecondaryTransport[[#This Row],[Scenario_MRF_Bale_ID]],BaleMover[Scenario_MRF_Bale_ID],0))="",0,INDEX(BaleMover[Miles],MATCH(SecondaryTransport[[#This Row],[Scenario_MRF_Bale_ID]],BaleMover[Scenario_MRF_Bale_ID],0)))</f>
        <v>0</v>
      </c>
      <c r="AN20" s="251">
        <f>IF(SecondaryTransport[[#This Row],[Bale_ID]]="9000-01","costs elsewhere",SecondaryTransport[[#This Row],[Total_Baled_tons]]*SecondaryTransport[[#This Row],[Miles]])</f>
        <v>0</v>
      </c>
      <c r="AO20" s="352" t="str">
        <f>IF(LEFT(SecondaryTransport[[#This Row],[Bale_ID]],1)*1=5,IF(OR(SecondaryTransport[[#This Row],[MRF_ID]]="02",SecondaryTransport[[#This Row],[MRF_ID]]="08"),2,1),"")</f>
        <v/>
      </c>
      <c r="AP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 s="224" t="str">
        <f>IFERROR(IF(1*LEFT(SecondaryTransport[[#This Row],[Bale_ID]],1)=5,SecondaryTransport[[#This Row],[Ton-Miles]]*SecondaryTransport[[#This Row],[Cost_Per_Ton-Mile]],""),"")</f>
        <v/>
      </c>
      <c r="AS20" s="224" t="str">
        <f>IFERROR(IF(SecondaryTransport[[#This Row],[Container_Transfer]]="",(SecondaryTransport[[#This Row],[Ton-Miles]]*SecondaryTransport[[#This Row],[Cost_Per_Ton-Mile]]),""),"")</f>
        <v/>
      </c>
    </row>
    <row r="21" spans="2:45" ht="15" x14ac:dyDescent="0.25">
      <c r="B21" s="212">
        <v>2</v>
      </c>
      <c r="C21" s="194" t="str">
        <f>INDEX(Grouping[Grouping_Name],MATCH(TransUnitCost[[#This Row],[Grouping_ID]],Grouping[Grouping_ID],0))</f>
        <v>2 - Willamette Valley, etc.</v>
      </c>
      <c r="D21" s="252" t="s">
        <v>727</v>
      </c>
      <c r="E21" s="194" t="str">
        <f>INDEX(ConsTransp[Transp_Name],MATCH(TransUnitCost[[#This Row],[Transp_ID]],ConsTransp[Transp_ID],0))</f>
        <v>CRF containers (in Metro)</v>
      </c>
      <c r="F21" s="255">
        <v>0.51</v>
      </c>
      <c r="G21" s="4">
        <v>70</v>
      </c>
      <c r="H21" s="194">
        <v>14</v>
      </c>
      <c r="I21" s="352" t="s">
        <v>1856</v>
      </c>
      <c r="L21" s="446" t="s">
        <v>876</v>
      </c>
      <c r="M21" s="446">
        <v>3</v>
      </c>
      <c r="N21" s="446">
        <v>1</v>
      </c>
      <c r="O21" s="446" t="s">
        <v>748</v>
      </c>
      <c r="P21" s="449" t="s">
        <v>719</v>
      </c>
      <c r="Q21" s="449"/>
      <c r="R21" s="449"/>
      <c r="S21" s="449" t="s">
        <v>765</v>
      </c>
      <c r="T21" s="449" t="s">
        <v>1055</v>
      </c>
      <c r="U21" s="452">
        <v>0</v>
      </c>
      <c r="V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 s="272" t="str">
        <f>IFERROR(SUMIFS(TransUnitCost[Miles],TransUnitCost[Grouping_ID],TransTonsShort[[#This Row],[Grouping_ID]],TransUnitCost[Transp_ID],TransTonsShort[[#This Row],[Transp_ID]])*TransTonsShort[[#This Row],[Trans_Tons_All]]/TransTonsShort[[#This Row],[Trans_Tons_All]],"")</f>
        <v/>
      </c>
      <c r="X21" s="386" t="str">
        <f>TransTonsShort[[#This Row],[Grouping_ID]]&amp;"-"&amp;TransTonsShort[[#This Row],[Sector_ID]]</f>
        <v>3-1</v>
      </c>
      <c r="Y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 s="421">
        <f>INDEX(LandfillFees[Disposal Tip Fee 2025],MATCH(TransTonsShort[[#This Row],[Grouping_ID]],LandfillFees[Grouping_ID],0))</f>
        <v>72.030938699729589</v>
      </c>
      <c r="AA21" s="102">
        <f>IF(OR(TransTonsShort[[#This Row],[CollectionStream_ID]]="03",TransTonsShort[[#This Row],[CollectionStream_ID]]="04",TransTonsShort[[#This Row],[CollectionStream_ID]]="13"),0,TransTonsShort[[#This Row],[Trans_Tons_All]]*TransTonsShort[[#This Row],[Disposal_Fee]])</f>
        <v>0</v>
      </c>
      <c r="AF21" s="446" t="s">
        <v>1194</v>
      </c>
      <c r="AG21" s="442" t="str">
        <f>LEFT(SecondaryTransport[[#This Row],[Scenario_MRF_Bale_ID]],2)</f>
        <v>S2</v>
      </c>
      <c r="AH21" s="181" t="str">
        <f>LEFT(RIGHT(SecondaryTransport[[#This Row],[Scenario_MRF_Bale_ID]],10),2)</f>
        <v>02</v>
      </c>
      <c r="AI21" s="181" t="str">
        <f>INDEX(MRFs[MRF_Name],MATCH(SecondaryTransport[[#This Row],[MRF_ID]],MRFs[MRF_ID],0))</f>
        <v>1 MRF for SS (Salem)</v>
      </c>
      <c r="AJ21" s="181" t="str">
        <f>RIGHT(SecondaryTransport[[#This Row],[Scenario_MRF_Bale_ID]],7)</f>
        <v>1000-04</v>
      </c>
      <c r="AK21" s="181" t="str">
        <f>INDEX(Bales[Bale_Name],MATCH(SecondaryTransport[[#This Row],[Bale_ID]],Bales[Bale_ID],0))</f>
        <v>Sorted office paper and sorted white ledger</v>
      </c>
      <c r="AL21" s="443">
        <f>INDEX(BaleMover[Total_Baled_tons],MATCH(SecondaryTransport[[#This Row],[Scenario_MRF_Bale_ID]],BaleMover[Scenario_MRF_Bale_ID],0))</f>
        <v>0</v>
      </c>
      <c r="AM21" s="443">
        <f>IF(INDEX(BaleMover[Miles],MATCH(SecondaryTransport[[#This Row],[Scenario_MRF_Bale_ID]],BaleMover[Scenario_MRF_Bale_ID],0))="",0,INDEX(BaleMover[Miles],MATCH(SecondaryTransport[[#This Row],[Scenario_MRF_Bale_ID]],BaleMover[Scenario_MRF_Bale_ID],0)))</f>
        <v>0</v>
      </c>
      <c r="AN21" s="251">
        <f>IF(SecondaryTransport[[#This Row],[Bale_ID]]="9000-01","costs elsewhere",SecondaryTransport[[#This Row],[Total_Baled_tons]]*SecondaryTransport[[#This Row],[Miles]])</f>
        <v>0</v>
      </c>
      <c r="AO21" s="352" t="str">
        <f>IF(LEFT(SecondaryTransport[[#This Row],[Bale_ID]],1)*1=5,IF(OR(SecondaryTransport[[#This Row],[MRF_ID]]="02",SecondaryTransport[[#This Row],[MRF_ID]]="08"),2,1),"")</f>
        <v/>
      </c>
      <c r="AP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1" s="224" t="str">
        <f>IFERROR(IF(1*LEFT(SecondaryTransport[[#This Row],[Bale_ID]],1)=5,SecondaryTransport[[#This Row],[Ton-Miles]]*SecondaryTransport[[#This Row],[Cost_Per_Ton-Mile]],""),"")</f>
        <v/>
      </c>
      <c r="AS21" s="224" t="str">
        <f>IFERROR(IF(SecondaryTransport[[#This Row],[Container_Transfer]]="",(SecondaryTransport[[#This Row],[Ton-Miles]]*SecondaryTransport[[#This Row],[Cost_Per_Ton-Mile]]),""),"")</f>
        <v/>
      </c>
    </row>
    <row r="22" spans="2:45" ht="15" x14ac:dyDescent="0.25">
      <c r="B22" s="212">
        <v>2</v>
      </c>
      <c r="C22" s="194" t="str">
        <f>INDEX(Grouping[Grouping_Name],MATCH(TransUnitCost[[#This Row],[Grouping_ID]],Grouping[Grouping_ID],0))</f>
        <v>2 - Willamette Valley, etc.</v>
      </c>
      <c r="D22" s="252" t="s">
        <v>735</v>
      </c>
      <c r="E22" s="194" t="str">
        <f>INDEX(ConsTransp[Transp_Name],MATCH(TransUnitCost[[#This Row],[Transp_ID]],ConsTransp[Transp_ID],0))</f>
        <v>CRF containers (out of Metro)</v>
      </c>
      <c r="F22" s="255">
        <v>0.17</v>
      </c>
      <c r="G22" s="4">
        <v>370</v>
      </c>
      <c r="H22" s="194">
        <v>22</v>
      </c>
      <c r="I22" s="352" t="s">
        <v>1857</v>
      </c>
      <c r="L22" s="446" t="s">
        <v>876</v>
      </c>
      <c r="M22" s="446">
        <v>4</v>
      </c>
      <c r="N22" s="446">
        <v>1</v>
      </c>
      <c r="O22" s="446" t="s">
        <v>748</v>
      </c>
      <c r="P22" s="449" t="s">
        <v>719</v>
      </c>
      <c r="Q22" s="449"/>
      <c r="R22" s="449"/>
      <c r="S22" s="449" t="s">
        <v>765</v>
      </c>
      <c r="T22" s="449" t="s">
        <v>1055</v>
      </c>
      <c r="U22" s="452">
        <v>0</v>
      </c>
      <c r="V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 s="272" t="str">
        <f>IFERROR(SUMIFS(TransUnitCost[Miles],TransUnitCost[Grouping_ID],TransTonsShort[[#This Row],[Grouping_ID]],TransUnitCost[Transp_ID],TransTonsShort[[#This Row],[Transp_ID]])*TransTonsShort[[#This Row],[Trans_Tons_All]]/TransTonsShort[[#This Row],[Trans_Tons_All]],"")</f>
        <v/>
      </c>
      <c r="X22" s="386" t="str">
        <f>TransTonsShort[[#This Row],[Grouping_ID]]&amp;"-"&amp;TransTonsShort[[#This Row],[Sector_ID]]</f>
        <v>4-1</v>
      </c>
      <c r="Y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 s="421">
        <f>INDEX(LandfillFees[Disposal Tip Fee 2025],MATCH(TransTonsShort[[#This Row],[Grouping_ID]],LandfillFees[Grouping_ID],0))</f>
        <v>72.030938699729589</v>
      </c>
      <c r="AA22" s="102">
        <f>IF(OR(TransTonsShort[[#This Row],[CollectionStream_ID]]="03",TransTonsShort[[#This Row],[CollectionStream_ID]]="04",TransTonsShort[[#This Row],[CollectionStream_ID]]="13"),0,TransTonsShort[[#This Row],[Trans_Tons_All]]*TransTonsShort[[#This Row],[Disposal_Fee]])</f>
        <v>0</v>
      </c>
      <c r="AF22" s="446" t="s">
        <v>1195</v>
      </c>
      <c r="AG22" s="442" t="str">
        <f>LEFT(SecondaryTransport[[#This Row],[Scenario_MRF_Bale_ID]],2)</f>
        <v>S3</v>
      </c>
      <c r="AH22" s="181" t="str">
        <f>LEFT(RIGHT(SecondaryTransport[[#This Row],[Scenario_MRF_Bale_ID]],10),2)</f>
        <v>02</v>
      </c>
      <c r="AI22" s="181" t="str">
        <f>INDEX(MRFs[MRF_Name],MATCH(SecondaryTransport[[#This Row],[MRF_ID]],MRFs[MRF_ID],0))</f>
        <v>1 MRF for SS (Salem)</v>
      </c>
      <c r="AJ22" s="181" t="str">
        <f>RIGHT(SecondaryTransport[[#This Row],[Scenario_MRF_Bale_ID]],7)</f>
        <v>1000-04</v>
      </c>
      <c r="AK22" s="181" t="str">
        <f>INDEX(Bales[Bale_Name],MATCH(SecondaryTransport[[#This Row],[Bale_ID]],Bales[Bale_ID],0))</f>
        <v>Sorted office paper and sorted white ledger</v>
      </c>
      <c r="AL22" s="443">
        <f>INDEX(BaleMover[Total_Baled_tons],MATCH(SecondaryTransport[[#This Row],[Scenario_MRF_Bale_ID]],BaleMover[Scenario_MRF_Bale_ID],0))</f>
        <v>0</v>
      </c>
      <c r="AM22" s="443">
        <f>IF(INDEX(BaleMover[Miles],MATCH(SecondaryTransport[[#This Row],[Scenario_MRF_Bale_ID]],BaleMover[Scenario_MRF_Bale_ID],0))="",0,INDEX(BaleMover[Miles],MATCH(SecondaryTransport[[#This Row],[Scenario_MRF_Bale_ID]],BaleMover[Scenario_MRF_Bale_ID],0)))</f>
        <v>0</v>
      </c>
      <c r="AN22" s="251">
        <f>IF(SecondaryTransport[[#This Row],[Bale_ID]]="9000-01","costs elsewhere",SecondaryTransport[[#This Row],[Total_Baled_tons]]*SecondaryTransport[[#This Row],[Miles]])</f>
        <v>0</v>
      </c>
      <c r="AO22" s="352" t="str">
        <f>IF(LEFT(SecondaryTransport[[#This Row],[Bale_ID]],1)*1=5,IF(OR(SecondaryTransport[[#This Row],[MRF_ID]]="02",SecondaryTransport[[#This Row],[MRF_ID]]="08"),2,1),"")</f>
        <v/>
      </c>
      <c r="AP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2" s="224" t="str">
        <f>IFERROR(IF(1*LEFT(SecondaryTransport[[#This Row],[Bale_ID]],1)=5,SecondaryTransport[[#This Row],[Ton-Miles]]*SecondaryTransport[[#This Row],[Cost_Per_Ton-Mile]],""),"")</f>
        <v/>
      </c>
      <c r="AS22" s="224" t="str">
        <f>IFERROR(IF(SecondaryTransport[[#This Row],[Container_Transfer]]="",(SecondaryTransport[[#This Row],[Ton-Miles]]*SecondaryTransport[[#This Row],[Cost_Per_Ton-Mile]]),""),"")</f>
        <v/>
      </c>
    </row>
    <row r="23" spans="2:45" ht="15" x14ac:dyDescent="0.25">
      <c r="B23" s="212">
        <v>2</v>
      </c>
      <c r="C23" t="str">
        <f>INDEX(Grouping[Grouping_Name],MATCH(TransUnitCost[[#This Row],[Grouping_ID]],Grouping[Grouping_ID],0))</f>
        <v>2 - Willamette Valley, etc.</v>
      </c>
      <c r="D23" t="s">
        <v>739</v>
      </c>
      <c r="E23" t="str">
        <f>INDEX(ConsTransp[Transp_Name],MATCH(TransUnitCost[[#This Row],[Transp_ID]],ConsTransp[Transp_ID],0))</f>
        <v>Glass &amp; scrap metal</v>
      </c>
      <c r="F23" s="255">
        <v>0.59</v>
      </c>
      <c r="G23" s="4">
        <v>70</v>
      </c>
      <c r="H23" s="212">
        <v>8</v>
      </c>
      <c r="I23" s="352" t="s">
        <v>1848</v>
      </c>
      <c r="L23" s="446" t="s">
        <v>876</v>
      </c>
      <c r="M23" s="446">
        <v>1</v>
      </c>
      <c r="N23" s="446">
        <v>1</v>
      </c>
      <c r="O23" s="446" t="s">
        <v>748</v>
      </c>
      <c r="P23" s="449" t="s">
        <v>700</v>
      </c>
      <c r="Q23" s="449"/>
      <c r="R23" s="449"/>
      <c r="S23" s="449" t="s">
        <v>765</v>
      </c>
      <c r="T23" s="449" t="s">
        <v>701</v>
      </c>
      <c r="U23" s="452">
        <v>0</v>
      </c>
      <c r="V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 s="272" t="str">
        <f>IFERROR(SUMIFS(TransUnitCost[Miles],TransUnitCost[Grouping_ID],TransTonsShort[[#This Row],[Grouping_ID]],TransUnitCost[Transp_ID],TransTonsShort[[#This Row],[Transp_ID]])*TransTonsShort[[#This Row],[Trans_Tons_All]]/TransTonsShort[[#This Row],[Trans_Tons_All]],"")</f>
        <v/>
      </c>
      <c r="X23" s="386" t="str">
        <f>TransTonsShort[[#This Row],[Grouping_ID]]&amp;"-"&amp;TransTonsShort[[#This Row],[Sector_ID]]</f>
        <v>1-1</v>
      </c>
      <c r="Y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 s="421">
        <f>INDEX(LandfillFees[Disposal Tip Fee 2025],MATCH(TransTonsShort[[#This Row],[Grouping_ID]],LandfillFees[Grouping_ID],0))</f>
        <v>134.68</v>
      </c>
      <c r="AA23" s="102">
        <f>IF(OR(TransTonsShort[[#This Row],[CollectionStream_ID]]="03",TransTonsShort[[#This Row],[CollectionStream_ID]]="04",TransTonsShort[[#This Row],[CollectionStream_ID]]="13"),0,TransTonsShort[[#This Row],[Trans_Tons_All]]*TransTonsShort[[#This Row],[Disposal_Fee]])</f>
        <v>0</v>
      </c>
      <c r="AF23" s="446" t="s">
        <v>1196</v>
      </c>
      <c r="AG23" s="442" t="str">
        <f>LEFT(SecondaryTransport[[#This Row],[Scenario_MRF_Bale_ID]],2)</f>
        <v>S0</v>
      </c>
      <c r="AH23" s="181" t="str">
        <f>LEFT(RIGHT(SecondaryTransport[[#This Row],[Scenario_MRF_Bale_ID]],10),2)</f>
        <v>02</v>
      </c>
      <c r="AI23" s="181" t="str">
        <f>INDEX(MRFs[MRF_Name],MATCH(SecondaryTransport[[#This Row],[MRF_ID]],MRFs[MRF_ID],0))</f>
        <v>1 MRF for SS (Salem)</v>
      </c>
      <c r="AJ23" s="181" t="str">
        <f>RIGHT(SecondaryTransport[[#This Row],[Scenario_MRF_Bale_ID]],7)</f>
        <v>1000-05</v>
      </c>
      <c r="AK23" s="181" t="str">
        <f>INDEX(Bales[Bale_Name],MATCH(SecondaryTransport[[#This Row],[Bale_ID]],Bales[Bale_ID],0))</f>
        <v>Mixed paper</v>
      </c>
      <c r="AL23" s="443">
        <f>INDEX(BaleMover[Total_Baled_tons],MATCH(SecondaryTransport[[#This Row],[Scenario_MRF_Bale_ID]],BaleMover[Scenario_MRF_Bale_ID],0))</f>
        <v>32826.742002962805</v>
      </c>
      <c r="AM23" s="443">
        <f>IF(INDEX(BaleMover[Miles],MATCH(SecondaryTransport[[#This Row],[Scenario_MRF_Bale_ID]],BaleMover[Scenario_MRF_Bale_ID],0))="",0,INDEX(BaleMover[Miles],MATCH(SecondaryTransport[[#This Row],[Scenario_MRF_Bale_ID]],BaleMover[Scenario_MRF_Bale_ID],0)))</f>
        <v>100</v>
      </c>
      <c r="AN23" s="251">
        <f>IF(SecondaryTransport[[#This Row],[Bale_ID]]="9000-01","costs elsewhere",SecondaryTransport[[#This Row],[Total_Baled_tons]]*SecondaryTransport[[#This Row],[Miles]])</f>
        <v>3282674.2002962804</v>
      </c>
      <c r="AO23" s="352" t="str">
        <f>IF(LEFT(SecondaryTransport[[#This Row],[Bale_ID]],1)*1=5,IF(OR(SecondaryTransport[[#This Row],[MRF_ID]]="02",SecondaryTransport[[#This Row],[MRF_ID]]="08"),2,1),"")</f>
        <v/>
      </c>
      <c r="AP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3" s="224" t="str">
        <f>IFERROR(IF(1*LEFT(SecondaryTransport[[#This Row],[Bale_ID]],1)=5,SecondaryTransport[[#This Row],[Ton-Miles]]*SecondaryTransport[[#This Row],[Cost_Per_Ton-Mile]],""),"")</f>
        <v/>
      </c>
      <c r="AS23" s="224">
        <f>IFERROR(IF(SecondaryTransport[[#This Row],[Container_Transfer]]="",(SecondaryTransport[[#This Row],[Ton-Miles]]*SecondaryTransport[[#This Row],[Cost_Per_Ton-Mile]]),""),"")</f>
        <v>623708.09805629333</v>
      </c>
    </row>
    <row r="24" spans="2:45" ht="15" x14ac:dyDescent="0.25">
      <c r="B24" s="212">
        <v>2</v>
      </c>
      <c r="C24" t="str">
        <f>INDEX(Grouping[Grouping_Name],MATCH(TransUnitCost[[#This Row],[Grouping_ID]],Grouping[Grouping_ID],0))</f>
        <v>2 - Willamette Valley, etc.</v>
      </c>
      <c r="D24" t="s">
        <v>746</v>
      </c>
      <c r="E24" t="str">
        <f>INDEX(ConsTransp[Transp_Name],MATCH(TransUnitCost[[#This Row],[Transp_ID]],ConsTransp[Transp_ID],0))</f>
        <v>Walking floor (DS fiber)</v>
      </c>
      <c r="F24" s="255">
        <v>0.32</v>
      </c>
      <c r="G24" s="4">
        <v>70</v>
      </c>
      <c r="H24" s="212">
        <v>22</v>
      </c>
      <c r="I24" s="352" t="s">
        <v>722</v>
      </c>
      <c r="L24" s="446" t="s">
        <v>876</v>
      </c>
      <c r="M24" s="446">
        <v>2</v>
      </c>
      <c r="N24" s="446">
        <v>1</v>
      </c>
      <c r="O24" s="446" t="s">
        <v>748</v>
      </c>
      <c r="P24" s="449" t="s">
        <v>700</v>
      </c>
      <c r="Q24" s="449"/>
      <c r="R24" s="449"/>
      <c r="S24" s="449" t="s">
        <v>765</v>
      </c>
      <c r="T24" s="449" t="s">
        <v>701</v>
      </c>
      <c r="U24" s="452">
        <v>0</v>
      </c>
      <c r="V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 s="272" t="str">
        <f>IFERROR(SUMIFS(TransUnitCost[Miles],TransUnitCost[Grouping_ID],TransTonsShort[[#This Row],[Grouping_ID]],TransUnitCost[Transp_ID],TransTonsShort[[#This Row],[Transp_ID]])*TransTonsShort[[#This Row],[Trans_Tons_All]]/TransTonsShort[[#This Row],[Trans_Tons_All]],"")</f>
        <v/>
      </c>
      <c r="X24" s="386" t="str">
        <f>TransTonsShort[[#This Row],[Grouping_ID]]&amp;"-"&amp;TransTonsShort[[#This Row],[Sector_ID]]</f>
        <v>2-1</v>
      </c>
      <c r="Y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4" s="421">
        <f>INDEX(LandfillFees[Disposal Tip Fee 2025],MATCH(TransTonsShort[[#This Row],[Grouping_ID]],LandfillFees[Grouping_ID],0))</f>
        <v>72.030938699729589</v>
      </c>
      <c r="AA24" s="102">
        <f>IF(OR(TransTonsShort[[#This Row],[CollectionStream_ID]]="03",TransTonsShort[[#This Row],[CollectionStream_ID]]="04",TransTonsShort[[#This Row],[CollectionStream_ID]]="13"),0,TransTonsShort[[#This Row],[Trans_Tons_All]]*TransTonsShort[[#This Row],[Disposal_Fee]])</f>
        <v>0</v>
      </c>
      <c r="AF24" s="446" t="s">
        <v>1197</v>
      </c>
      <c r="AG24" s="442" t="str">
        <f>LEFT(SecondaryTransport[[#This Row],[Scenario_MRF_Bale_ID]],2)</f>
        <v>S1</v>
      </c>
      <c r="AH24" s="181" t="str">
        <f>LEFT(RIGHT(SecondaryTransport[[#This Row],[Scenario_MRF_Bale_ID]],10),2)</f>
        <v>02</v>
      </c>
      <c r="AI24" s="181" t="str">
        <f>INDEX(MRFs[MRF_Name],MATCH(SecondaryTransport[[#This Row],[MRF_ID]],MRFs[MRF_ID],0))</f>
        <v>1 MRF for SS (Salem)</v>
      </c>
      <c r="AJ24" s="181" t="str">
        <f>RIGHT(SecondaryTransport[[#This Row],[Scenario_MRF_Bale_ID]],7)</f>
        <v>1000-05</v>
      </c>
      <c r="AK24" s="181" t="str">
        <f>INDEX(Bales[Bale_Name],MATCH(SecondaryTransport[[#This Row],[Bale_ID]],Bales[Bale_ID],0))</f>
        <v>Mixed paper</v>
      </c>
      <c r="AL24" s="443">
        <f>INDEX(BaleMover[Total_Baled_tons],MATCH(SecondaryTransport[[#This Row],[Scenario_MRF_Bale_ID]],BaleMover[Scenario_MRF_Bale_ID],0))</f>
        <v>14636.363225947705</v>
      </c>
      <c r="AM24" s="443">
        <f>IF(INDEX(BaleMover[Miles],MATCH(SecondaryTransport[[#This Row],[Scenario_MRF_Bale_ID]],BaleMover[Scenario_MRF_Bale_ID],0))="",0,INDEX(BaleMover[Miles],MATCH(SecondaryTransport[[#This Row],[Scenario_MRF_Bale_ID]],BaleMover[Scenario_MRF_Bale_ID],0)))</f>
        <v>100</v>
      </c>
      <c r="AN24" s="251">
        <f>IF(SecondaryTransport[[#This Row],[Bale_ID]]="9000-01","costs elsewhere",SecondaryTransport[[#This Row],[Total_Baled_tons]]*SecondaryTransport[[#This Row],[Miles]])</f>
        <v>1463636.3225947705</v>
      </c>
      <c r="AO24" s="352" t="str">
        <f>IF(LEFT(SecondaryTransport[[#This Row],[Bale_ID]],1)*1=5,IF(OR(SecondaryTransport[[#This Row],[MRF_ID]]="02",SecondaryTransport[[#This Row],[MRF_ID]]="08"),2,1),"")</f>
        <v/>
      </c>
      <c r="AP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4" s="224" t="str">
        <f>IFERROR(IF(1*LEFT(SecondaryTransport[[#This Row],[Bale_ID]],1)=5,SecondaryTransport[[#This Row],[Ton-Miles]]*SecondaryTransport[[#This Row],[Cost_Per_Ton-Mile]],""),"")</f>
        <v/>
      </c>
      <c r="AS24" s="224">
        <f>IFERROR(IF(SecondaryTransport[[#This Row],[Container_Transfer]]="",(SecondaryTransport[[#This Row],[Ton-Miles]]*SecondaryTransport[[#This Row],[Cost_Per_Ton-Mile]]),""),"")</f>
        <v>278090.90129300638</v>
      </c>
    </row>
    <row r="25" spans="2:45" ht="15" x14ac:dyDescent="0.25">
      <c r="B25">
        <v>2</v>
      </c>
      <c r="C25" t="str">
        <f>INDEX(Grouping[Grouping_Name],MATCH(TransUnitCost[[#This Row],[Grouping_ID]],Grouping[Grouping_ID],0))</f>
        <v>2 - Willamette Valley, etc.</v>
      </c>
      <c r="D25" t="s">
        <v>748</v>
      </c>
      <c r="E25" t="str">
        <f>INDEX(ConsTransp[Transp_Name],MATCH(TransUnitCost[[#This Row],[Transp_ID]],ConsTransp[Transp_ID],0))</f>
        <v>Walking floor (DS containers)</v>
      </c>
      <c r="F25" s="255">
        <v>0.51</v>
      </c>
      <c r="G25" s="4">
        <v>70</v>
      </c>
      <c r="H25" s="212">
        <v>14</v>
      </c>
      <c r="I25" s="352" t="s">
        <v>722</v>
      </c>
      <c r="L25" s="446" t="s">
        <v>876</v>
      </c>
      <c r="M25" s="446">
        <v>3</v>
      </c>
      <c r="N25" s="446">
        <v>1</v>
      </c>
      <c r="O25" s="446" t="s">
        <v>748</v>
      </c>
      <c r="P25" s="449" t="s">
        <v>700</v>
      </c>
      <c r="Q25" s="449"/>
      <c r="R25" s="449"/>
      <c r="S25" s="449" t="s">
        <v>765</v>
      </c>
      <c r="T25" s="449" t="s">
        <v>701</v>
      </c>
      <c r="U25" s="452">
        <v>0</v>
      </c>
      <c r="V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 s="272" t="str">
        <f>IFERROR(SUMIFS(TransUnitCost[Miles],TransUnitCost[Grouping_ID],TransTonsShort[[#This Row],[Grouping_ID]],TransUnitCost[Transp_ID],TransTonsShort[[#This Row],[Transp_ID]])*TransTonsShort[[#This Row],[Trans_Tons_All]]/TransTonsShort[[#This Row],[Trans_Tons_All]],"")</f>
        <v/>
      </c>
      <c r="X25" s="386" t="str">
        <f>TransTonsShort[[#This Row],[Grouping_ID]]&amp;"-"&amp;TransTonsShort[[#This Row],[Sector_ID]]</f>
        <v>3-1</v>
      </c>
      <c r="Y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5" s="421">
        <f>INDEX(LandfillFees[Disposal Tip Fee 2025],MATCH(TransTonsShort[[#This Row],[Grouping_ID]],LandfillFees[Grouping_ID],0))</f>
        <v>72.030938699729589</v>
      </c>
      <c r="AA25" s="102">
        <f>IF(OR(TransTonsShort[[#This Row],[CollectionStream_ID]]="03",TransTonsShort[[#This Row],[CollectionStream_ID]]="04",TransTonsShort[[#This Row],[CollectionStream_ID]]="13"),0,TransTonsShort[[#This Row],[Trans_Tons_All]]*TransTonsShort[[#This Row],[Disposal_Fee]])</f>
        <v>0</v>
      </c>
      <c r="AF25" s="446" t="s">
        <v>1198</v>
      </c>
      <c r="AG25" s="442" t="str">
        <f>LEFT(SecondaryTransport[[#This Row],[Scenario_MRF_Bale_ID]],2)</f>
        <v>S2</v>
      </c>
      <c r="AH25" s="181" t="str">
        <f>LEFT(RIGHT(SecondaryTransport[[#This Row],[Scenario_MRF_Bale_ID]],10),2)</f>
        <v>02</v>
      </c>
      <c r="AI25" s="181" t="str">
        <f>INDEX(MRFs[MRF_Name],MATCH(SecondaryTransport[[#This Row],[MRF_ID]],MRFs[MRF_ID],0))</f>
        <v>1 MRF for SS (Salem)</v>
      </c>
      <c r="AJ25" s="181" t="str">
        <f>RIGHT(SecondaryTransport[[#This Row],[Scenario_MRF_Bale_ID]],7)</f>
        <v>1000-05</v>
      </c>
      <c r="AK25" s="181" t="str">
        <f>INDEX(Bales[Bale_Name],MATCH(SecondaryTransport[[#This Row],[Bale_ID]],Bales[Bale_ID],0))</f>
        <v>Mixed paper</v>
      </c>
      <c r="AL25" s="443">
        <f>INDEX(BaleMover[Total_Baled_tons],MATCH(SecondaryTransport[[#This Row],[Scenario_MRF_Bale_ID]],BaleMover[Scenario_MRF_Bale_ID],0))</f>
        <v>19037.309299380977</v>
      </c>
      <c r="AM25" s="443">
        <f>IF(INDEX(BaleMover[Miles],MATCH(SecondaryTransport[[#This Row],[Scenario_MRF_Bale_ID]],BaleMover[Scenario_MRF_Bale_ID],0))="",0,INDEX(BaleMover[Miles],MATCH(SecondaryTransport[[#This Row],[Scenario_MRF_Bale_ID]],BaleMover[Scenario_MRF_Bale_ID],0)))</f>
        <v>100</v>
      </c>
      <c r="AN25" s="251">
        <f>IF(SecondaryTransport[[#This Row],[Bale_ID]]="9000-01","costs elsewhere",SecondaryTransport[[#This Row],[Total_Baled_tons]]*SecondaryTransport[[#This Row],[Miles]])</f>
        <v>1903730.9299380977</v>
      </c>
      <c r="AO25" s="352" t="str">
        <f>IF(LEFT(SecondaryTransport[[#This Row],[Bale_ID]],1)*1=5,IF(OR(SecondaryTransport[[#This Row],[MRF_ID]]="02",SecondaryTransport[[#This Row],[MRF_ID]]="08"),2,1),"")</f>
        <v/>
      </c>
      <c r="AP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5" s="224" t="str">
        <f>IFERROR(IF(1*LEFT(SecondaryTransport[[#This Row],[Bale_ID]],1)=5,SecondaryTransport[[#This Row],[Ton-Miles]]*SecondaryTransport[[#This Row],[Cost_Per_Ton-Mile]],""),"")</f>
        <v/>
      </c>
      <c r="AS25" s="224">
        <f>IFERROR(IF(SecondaryTransport[[#This Row],[Container_Transfer]]="",(SecondaryTransport[[#This Row],[Ton-Miles]]*SecondaryTransport[[#This Row],[Cost_Per_Ton-Mile]]),""),"")</f>
        <v>361708.87668823858</v>
      </c>
    </row>
    <row r="26" spans="2:45" ht="15" x14ac:dyDescent="0.25">
      <c r="B26">
        <v>3</v>
      </c>
      <c r="C26" t="str">
        <f>INDEX(Grouping[Grouping_Name],MATCH(TransUnitCost[[#This Row],[Grouping_ID]],Grouping[Grouping_ID],0))</f>
        <v>3 - Other areas with curbside</v>
      </c>
      <c r="D26" t="s">
        <v>700</v>
      </c>
      <c r="E26" t="str">
        <f>INDEX(ConsTransp[Transp_Name],MATCH(TransUnitCost[[#This Row],[Transp_ID]],ConsTransp[Transp_ID],0))</f>
        <v>None (deliver in collection vehicle)</v>
      </c>
      <c r="F26" s="255">
        <v>0</v>
      </c>
      <c r="G26" s="4">
        <v>0</v>
      </c>
      <c r="H26" s="212">
        <v>0</v>
      </c>
      <c r="I26" s="352" t="s">
        <v>722</v>
      </c>
      <c r="L26" s="446" t="s">
        <v>876</v>
      </c>
      <c r="M26" s="446">
        <v>4</v>
      </c>
      <c r="N26" s="446">
        <v>1</v>
      </c>
      <c r="O26" s="446" t="s">
        <v>748</v>
      </c>
      <c r="P26" s="449" t="s">
        <v>700</v>
      </c>
      <c r="Q26" s="449"/>
      <c r="R26" s="449"/>
      <c r="S26" s="449" t="s">
        <v>765</v>
      </c>
      <c r="T26" s="449" t="s">
        <v>701</v>
      </c>
      <c r="U26" s="452">
        <v>0</v>
      </c>
      <c r="V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 s="272" t="str">
        <f>IFERROR(SUMIFS(TransUnitCost[Miles],TransUnitCost[Grouping_ID],TransTonsShort[[#This Row],[Grouping_ID]],TransUnitCost[Transp_ID],TransTonsShort[[#This Row],[Transp_ID]])*TransTonsShort[[#This Row],[Trans_Tons_All]]/TransTonsShort[[#This Row],[Trans_Tons_All]],"")</f>
        <v/>
      </c>
      <c r="X26" s="386" t="str">
        <f>TransTonsShort[[#This Row],[Grouping_ID]]&amp;"-"&amp;TransTonsShort[[#This Row],[Sector_ID]]</f>
        <v>4-1</v>
      </c>
      <c r="Y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 s="421">
        <f>INDEX(LandfillFees[Disposal Tip Fee 2025],MATCH(TransTonsShort[[#This Row],[Grouping_ID]],LandfillFees[Grouping_ID],0))</f>
        <v>72.030938699729589</v>
      </c>
      <c r="AA26" s="102">
        <f>IF(OR(TransTonsShort[[#This Row],[CollectionStream_ID]]="03",TransTonsShort[[#This Row],[CollectionStream_ID]]="04",TransTonsShort[[#This Row],[CollectionStream_ID]]="13"),0,TransTonsShort[[#This Row],[Trans_Tons_All]]*TransTonsShort[[#This Row],[Disposal_Fee]])</f>
        <v>0</v>
      </c>
      <c r="AF26" s="446" t="s">
        <v>1199</v>
      </c>
      <c r="AG26" s="442" t="str">
        <f>LEFT(SecondaryTransport[[#This Row],[Scenario_MRF_Bale_ID]],2)</f>
        <v>S3</v>
      </c>
      <c r="AH26" s="181" t="str">
        <f>LEFT(RIGHT(SecondaryTransport[[#This Row],[Scenario_MRF_Bale_ID]],10),2)</f>
        <v>02</v>
      </c>
      <c r="AI26" s="181" t="str">
        <f>INDEX(MRFs[MRF_Name],MATCH(SecondaryTransport[[#This Row],[MRF_ID]],MRFs[MRF_ID],0))</f>
        <v>1 MRF for SS (Salem)</v>
      </c>
      <c r="AJ26" s="181" t="str">
        <f>RIGHT(SecondaryTransport[[#This Row],[Scenario_MRF_Bale_ID]],7)</f>
        <v>1000-05</v>
      </c>
      <c r="AK26" s="181" t="str">
        <f>INDEX(Bales[Bale_Name],MATCH(SecondaryTransport[[#This Row],[Bale_ID]],Bales[Bale_ID],0))</f>
        <v>Mixed paper</v>
      </c>
      <c r="AL26" s="443">
        <f>INDEX(BaleMover[Total_Baled_tons],MATCH(SecondaryTransport[[#This Row],[Scenario_MRF_Bale_ID]],BaleMover[Scenario_MRF_Bale_ID],0))</f>
        <v>19025.445129841257</v>
      </c>
      <c r="AM26" s="443">
        <f>IF(INDEX(BaleMover[Miles],MATCH(SecondaryTransport[[#This Row],[Scenario_MRF_Bale_ID]],BaleMover[Scenario_MRF_Bale_ID],0))="",0,INDEX(BaleMover[Miles],MATCH(SecondaryTransport[[#This Row],[Scenario_MRF_Bale_ID]],BaleMover[Scenario_MRF_Bale_ID],0)))</f>
        <v>100</v>
      </c>
      <c r="AN26" s="251">
        <f>IF(SecondaryTransport[[#This Row],[Bale_ID]]="9000-01","costs elsewhere",SecondaryTransport[[#This Row],[Total_Baled_tons]]*SecondaryTransport[[#This Row],[Miles]])</f>
        <v>1902544.5129841256</v>
      </c>
      <c r="AO26" s="352" t="str">
        <f>IF(LEFT(SecondaryTransport[[#This Row],[Bale_ID]],1)*1=5,IF(OR(SecondaryTransport[[#This Row],[MRF_ID]]="02",SecondaryTransport[[#This Row],[MRF_ID]]="08"),2,1),"")</f>
        <v/>
      </c>
      <c r="AP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6" s="224" t="str">
        <f>IFERROR(IF(1*LEFT(SecondaryTransport[[#This Row],[Bale_ID]],1)=5,SecondaryTransport[[#This Row],[Ton-Miles]]*SecondaryTransport[[#This Row],[Cost_Per_Ton-Mile]],""),"")</f>
        <v/>
      </c>
      <c r="AS26" s="224">
        <f>IFERROR(IF(SecondaryTransport[[#This Row],[Container_Transfer]]="",(SecondaryTransport[[#This Row],[Ton-Miles]]*SecondaryTransport[[#This Row],[Cost_Per_Ton-Mile]]),""),"")</f>
        <v>361483.45746698388</v>
      </c>
    </row>
    <row r="27" spans="2:45" ht="15" x14ac:dyDescent="0.25">
      <c r="B27">
        <v>3</v>
      </c>
      <c r="C27" t="str">
        <f>INDEX(Grouping[Grouping_Name],MATCH(TransUnitCost[[#This Row],[Grouping_ID]],Grouping[Grouping_ID],0))</f>
        <v>3 - Other areas with curbside</v>
      </c>
      <c r="D27" t="s">
        <v>706</v>
      </c>
      <c r="E27" t="str">
        <f>INDEX(ConsTransp[Transp_Name],MATCH(TransUnitCost[[#This Row],[Transp_ID]],ConsTransp[Transp_ID],0))</f>
        <v>Walking floor (commingled)</v>
      </c>
      <c r="F27" s="255">
        <v>0.35</v>
      </c>
      <c r="G27" s="4">
        <v>150</v>
      </c>
      <c r="H27" s="212">
        <v>18</v>
      </c>
      <c r="I27" s="352" t="s">
        <v>722</v>
      </c>
      <c r="L27" s="446" t="s">
        <v>876</v>
      </c>
      <c r="M27" s="446">
        <v>1</v>
      </c>
      <c r="N27" s="446">
        <v>1</v>
      </c>
      <c r="O27" s="446" t="s">
        <v>748</v>
      </c>
      <c r="P27" s="449" t="s">
        <v>748</v>
      </c>
      <c r="Q27" s="449"/>
      <c r="R27" s="449"/>
      <c r="S27" s="449" t="s">
        <v>765</v>
      </c>
      <c r="T27" s="449" t="s">
        <v>849</v>
      </c>
      <c r="U27" s="452">
        <v>0</v>
      </c>
      <c r="V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 s="272" t="str">
        <f>IFERROR(SUMIFS(TransUnitCost[Miles],TransUnitCost[Grouping_ID],TransTonsShort[[#This Row],[Grouping_ID]],TransUnitCost[Transp_ID],TransTonsShort[[#This Row],[Transp_ID]])*TransTonsShort[[#This Row],[Trans_Tons_All]]/TransTonsShort[[#This Row],[Trans_Tons_All]],"")</f>
        <v/>
      </c>
      <c r="X27" s="386" t="str">
        <f>TransTonsShort[[#This Row],[Grouping_ID]]&amp;"-"&amp;TransTonsShort[[#This Row],[Sector_ID]]</f>
        <v>1-1</v>
      </c>
      <c r="Y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 s="421">
        <f>INDEX(LandfillFees[Disposal Tip Fee 2025],MATCH(TransTonsShort[[#This Row],[Grouping_ID]],LandfillFees[Grouping_ID],0))</f>
        <v>134.68</v>
      </c>
      <c r="AA27" s="102">
        <f>IF(OR(TransTonsShort[[#This Row],[CollectionStream_ID]]="03",TransTonsShort[[#This Row],[CollectionStream_ID]]="04",TransTonsShort[[#This Row],[CollectionStream_ID]]="13"),0,TransTonsShort[[#This Row],[Trans_Tons_All]]*TransTonsShort[[#This Row],[Disposal_Fee]])</f>
        <v>0</v>
      </c>
      <c r="AF27" s="446" t="s">
        <v>1200</v>
      </c>
      <c r="AG27" s="442" t="str">
        <f>LEFT(SecondaryTransport[[#This Row],[Scenario_MRF_Bale_ID]],2)</f>
        <v>S0</v>
      </c>
      <c r="AH27" s="181" t="str">
        <f>LEFT(RIGHT(SecondaryTransport[[#This Row],[Scenario_MRF_Bale_ID]],10),2)</f>
        <v>02</v>
      </c>
      <c r="AI27" s="181" t="str">
        <f>INDEX(MRFs[MRF_Name],MATCH(SecondaryTransport[[#This Row],[MRF_ID]],MRFs[MRF_ID],0))</f>
        <v>1 MRF for SS (Salem)</v>
      </c>
      <c r="AJ27" s="181" t="str">
        <f>RIGHT(SecondaryTransport[[#This Row],[Scenario_MRF_Bale_ID]],7)</f>
        <v>1000-06</v>
      </c>
      <c r="AK27" s="181" t="str">
        <f>INDEX(Bales[Bale_Name],MATCH(SecondaryTransport[[#This Row],[Bale_ID]],Bales[Bale_ID],0))</f>
        <v>Paperboard/old boxboard</v>
      </c>
      <c r="AL27" s="443">
        <f>INDEX(BaleMover[Total_Baled_tons],MATCH(SecondaryTransport[[#This Row],[Scenario_MRF_Bale_ID]],BaleMover[Scenario_MRF_Bale_ID],0))</f>
        <v>0</v>
      </c>
      <c r="AM27" s="443">
        <f>IF(INDEX(BaleMover[Miles],MATCH(SecondaryTransport[[#This Row],[Scenario_MRF_Bale_ID]],BaleMover[Scenario_MRF_Bale_ID],0))="",0,INDEX(BaleMover[Miles],MATCH(SecondaryTransport[[#This Row],[Scenario_MRF_Bale_ID]],BaleMover[Scenario_MRF_Bale_ID],0)))</f>
        <v>0</v>
      </c>
      <c r="AN27" s="251">
        <f>IF(SecondaryTransport[[#This Row],[Bale_ID]]="9000-01","costs elsewhere",SecondaryTransport[[#This Row],[Total_Baled_tons]]*SecondaryTransport[[#This Row],[Miles]])</f>
        <v>0</v>
      </c>
      <c r="AO27" s="352" t="str">
        <f>IF(LEFT(SecondaryTransport[[#This Row],[Bale_ID]],1)*1=5,IF(OR(SecondaryTransport[[#This Row],[MRF_ID]]="02",SecondaryTransport[[#This Row],[MRF_ID]]="08"),2,1),"")</f>
        <v/>
      </c>
      <c r="AP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 s="224" t="str">
        <f>IFERROR(IF(1*LEFT(SecondaryTransport[[#This Row],[Bale_ID]],1)=5,SecondaryTransport[[#This Row],[Ton-Miles]]*SecondaryTransport[[#This Row],[Cost_Per_Ton-Mile]],""),"")</f>
        <v/>
      </c>
      <c r="AS27" s="224" t="str">
        <f>IFERROR(IF(SecondaryTransport[[#This Row],[Container_Transfer]]="",(SecondaryTransport[[#This Row],[Ton-Miles]]*SecondaryTransport[[#This Row],[Cost_Per_Ton-Mile]]),""),"")</f>
        <v/>
      </c>
    </row>
    <row r="28" spans="2:45" ht="15" x14ac:dyDescent="0.25">
      <c r="B28" s="212">
        <v>3</v>
      </c>
      <c r="C28" s="194" t="str">
        <f>INDEX(Grouping[Grouping_Name],MATCH(TransUnitCost[[#This Row],[Grouping_ID]],Grouping[Grouping_ID],0))</f>
        <v>3 - Other areas with curbside</v>
      </c>
      <c r="D28" s="252" t="s">
        <v>712</v>
      </c>
      <c r="E28" s="194" t="str">
        <f>INDEX(ConsTransp[Transp_Name],MATCH(TransUnitCost[[#This Row],[Transp_ID]],ConsTransp[Transp_ID],0))</f>
        <v>Van trailer (baled)</v>
      </c>
      <c r="F28" s="255">
        <v>0.19</v>
      </c>
      <c r="G28" s="4">
        <v>150</v>
      </c>
      <c r="H28" s="194">
        <v>30</v>
      </c>
      <c r="I28" s="352" t="s">
        <v>1850</v>
      </c>
      <c r="L28" s="446" t="s">
        <v>876</v>
      </c>
      <c r="M28" s="446">
        <v>2</v>
      </c>
      <c r="N28" s="446">
        <v>1</v>
      </c>
      <c r="O28" s="446" t="s">
        <v>748</v>
      </c>
      <c r="P28" s="449" t="s">
        <v>748</v>
      </c>
      <c r="Q28" s="449"/>
      <c r="R28" s="449"/>
      <c r="S28" s="449" t="s">
        <v>765</v>
      </c>
      <c r="T28" s="449" t="s">
        <v>849</v>
      </c>
      <c r="U28" s="452">
        <v>0</v>
      </c>
      <c r="V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 s="272" t="str">
        <f>IFERROR(SUMIFS(TransUnitCost[Miles],TransUnitCost[Grouping_ID],TransTonsShort[[#This Row],[Grouping_ID]],TransUnitCost[Transp_ID],TransTonsShort[[#This Row],[Transp_ID]])*TransTonsShort[[#This Row],[Trans_Tons_All]]/TransTonsShort[[#This Row],[Trans_Tons_All]],"")</f>
        <v/>
      </c>
      <c r="X28" s="386" t="str">
        <f>TransTonsShort[[#This Row],[Grouping_ID]]&amp;"-"&amp;TransTonsShort[[#This Row],[Sector_ID]]</f>
        <v>2-1</v>
      </c>
      <c r="Y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 s="421">
        <f>INDEX(LandfillFees[Disposal Tip Fee 2025],MATCH(TransTonsShort[[#This Row],[Grouping_ID]],LandfillFees[Grouping_ID],0))</f>
        <v>72.030938699729589</v>
      </c>
      <c r="AA28" s="102">
        <f>IF(OR(TransTonsShort[[#This Row],[CollectionStream_ID]]="03",TransTonsShort[[#This Row],[CollectionStream_ID]]="04",TransTonsShort[[#This Row],[CollectionStream_ID]]="13"),0,TransTonsShort[[#This Row],[Trans_Tons_All]]*TransTonsShort[[#This Row],[Disposal_Fee]])</f>
        <v>0</v>
      </c>
      <c r="AF28" s="446" t="s">
        <v>1201</v>
      </c>
      <c r="AG28" s="442" t="str">
        <f>LEFT(SecondaryTransport[[#This Row],[Scenario_MRF_Bale_ID]],2)</f>
        <v>S1</v>
      </c>
      <c r="AH28" s="181" t="str">
        <f>LEFT(RIGHT(SecondaryTransport[[#This Row],[Scenario_MRF_Bale_ID]],10),2)</f>
        <v>02</v>
      </c>
      <c r="AI28" s="181" t="str">
        <f>INDEX(MRFs[MRF_Name],MATCH(SecondaryTransport[[#This Row],[MRF_ID]],MRFs[MRF_ID],0))</f>
        <v>1 MRF for SS (Salem)</v>
      </c>
      <c r="AJ28" s="181" t="str">
        <f>RIGHT(SecondaryTransport[[#This Row],[Scenario_MRF_Bale_ID]],7)</f>
        <v>1000-06</v>
      </c>
      <c r="AK28" s="181" t="str">
        <f>INDEX(Bales[Bale_Name],MATCH(SecondaryTransport[[#This Row],[Bale_ID]],Bales[Bale_ID],0))</f>
        <v>Paperboard/old boxboard</v>
      </c>
      <c r="AL28" s="443">
        <f>INDEX(BaleMover[Total_Baled_tons],MATCH(SecondaryTransport[[#This Row],[Scenario_MRF_Bale_ID]],BaleMover[Scenario_MRF_Bale_ID],0))</f>
        <v>0</v>
      </c>
      <c r="AM28" s="443">
        <f>IF(INDEX(BaleMover[Miles],MATCH(SecondaryTransport[[#This Row],[Scenario_MRF_Bale_ID]],BaleMover[Scenario_MRF_Bale_ID],0))="",0,INDEX(BaleMover[Miles],MATCH(SecondaryTransport[[#This Row],[Scenario_MRF_Bale_ID]],BaleMover[Scenario_MRF_Bale_ID],0)))</f>
        <v>0</v>
      </c>
      <c r="AN28" s="251">
        <f>IF(SecondaryTransport[[#This Row],[Bale_ID]]="9000-01","costs elsewhere",SecondaryTransport[[#This Row],[Total_Baled_tons]]*SecondaryTransport[[#This Row],[Miles]])</f>
        <v>0</v>
      </c>
      <c r="AO28" s="352" t="str">
        <f>IF(LEFT(SecondaryTransport[[#This Row],[Bale_ID]],1)*1=5,IF(OR(SecondaryTransport[[#This Row],[MRF_ID]]="02",SecondaryTransport[[#This Row],[MRF_ID]]="08"),2,1),"")</f>
        <v/>
      </c>
      <c r="AP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 s="224" t="str">
        <f>IFERROR(IF(1*LEFT(SecondaryTransport[[#This Row],[Bale_ID]],1)=5,SecondaryTransport[[#This Row],[Ton-Miles]]*SecondaryTransport[[#This Row],[Cost_Per_Ton-Mile]],""),"")</f>
        <v/>
      </c>
      <c r="AS28" s="224" t="str">
        <f>IFERROR(IF(SecondaryTransport[[#This Row],[Container_Transfer]]="",(SecondaryTransport[[#This Row],[Ton-Miles]]*SecondaryTransport[[#This Row],[Cost_Per_Ton-Mile]]),""),"")</f>
        <v/>
      </c>
    </row>
    <row r="29" spans="2:45" ht="15" x14ac:dyDescent="0.25">
      <c r="B29" s="212">
        <v>3</v>
      </c>
      <c r="C29" t="str">
        <f>INDEX(Grouping[Grouping_Name],MATCH(TransUnitCost[[#This Row],[Grouping_ID]],Grouping[Grouping_ID],0))</f>
        <v>3 - Other areas with curbside</v>
      </c>
      <c r="D29" t="s">
        <v>719</v>
      </c>
      <c r="E29" t="str">
        <f>INDEX(ConsTransp[Transp_Name],MATCH(TransUnitCost[[#This Row],[Transp_ID]],ConsTransp[Transp_ID],0))</f>
        <v>Drop-box</v>
      </c>
      <c r="F29" s="255">
        <v>1.02</v>
      </c>
      <c r="G29" s="4">
        <v>150</v>
      </c>
      <c r="H29" s="212">
        <v>4</v>
      </c>
      <c r="I29" s="212" t="s">
        <v>722</v>
      </c>
      <c r="L29" s="446" t="s">
        <v>876</v>
      </c>
      <c r="M29" s="446">
        <v>3</v>
      </c>
      <c r="N29" s="446">
        <v>1</v>
      </c>
      <c r="O29" s="446" t="s">
        <v>748</v>
      </c>
      <c r="P29" s="449" t="s">
        <v>748</v>
      </c>
      <c r="Q29" s="449"/>
      <c r="R29" s="449"/>
      <c r="S29" s="449" t="s">
        <v>765</v>
      </c>
      <c r="T29" s="449" t="s">
        <v>849</v>
      </c>
      <c r="U29" s="452">
        <v>0</v>
      </c>
      <c r="V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 s="272" t="str">
        <f>IFERROR(SUMIFS(TransUnitCost[Miles],TransUnitCost[Grouping_ID],TransTonsShort[[#This Row],[Grouping_ID]],TransUnitCost[Transp_ID],TransTonsShort[[#This Row],[Transp_ID]])*TransTonsShort[[#This Row],[Trans_Tons_All]]/TransTonsShort[[#This Row],[Trans_Tons_All]],"")</f>
        <v/>
      </c>
      <c r="X29" s="386" t="str">
        <f>TransTonsShort[[#This Row],[Grouping_ID]]&amp;"-"&amp;TransTonsShort[[#This Row],[Sector_ID]]</f>
        <v>3-1</v>
      </c>
      <c r="Y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 s="421">
        <f>INDEX(LandfillFees[Disposal Tip Fee 2025],MATCH(TransTonsShort[[#This Row],[Grouping_ID]],LandfillFees[Grouping_ID],0))</f>
        <v>72.030938699729589</v>
      </c>
      <c r="AA29" s="102">
        <f>IF(OR(TransTonsShort[[#This Row],[CollectionStream_ID]]="03",TransTonsShort[[#This Row],[CollectionStream_ID]]="04",TransTonsShort[[#This Row],[CollectionStream_ID]]="13"),0,TransTonsShort[[#This Row],[Trans_Tons_All]]*TransTonsShort[[#This Row],[Disposal_Fee]])</f>
        <v>0</v>
      </c>
      <c r="AF29" s="446" t="s">
        <v>1202</v>
      </c>
      <c r="AG29" s="442" t="str">
        <f>LEFT(SecondaryTransport[[#This Row],[Scenario_MRF_Bale_ID]],2)</f>
        <v>S2</v>
      </c>
      <c r="AH29" s="181" t="str">
        <f>LEFT(RIGHT(SecondaryTransport[[#This Row],[Scenario_MRF_Bale_ID]],10),2)</f>
        <v>02</v>
      </c>
      <c r="AI29" s="181" t="str">
        <f>INDEX(MRFs[MRF_Name],MATCH(SecondaryTransport[[#This Row],[MRF_ID]],MRFs[MRF_ID],0))</f>
        <v>1 MRF for SS (Salem)</v>
      </c>
      <c r="AJ29" s="181" t="str">
        <f>RIGHT(SecondaryTransport[[#This Row],[Scenario_MRF_Bale_ID]],7)</f>
        <v>1000-06</v>
      </c>
      <c r="AK29" s="181" t="str">
        <f>INDEX(Bales[Bale_Name],MATCH(SecondaryTransport[[#This Row],[Bale_ID]],Bales[Bale_ID],0))</f>
        <v>Paperboard/old boxboard</v>
      </c>
      <c r="AL29" s="443">
        <f>INDEX(BaleMover[Total_Baled_tons],MATCH(SecondaryTransport[[#This Row],[Scenario_MRF_Bale_ID]],BaleMover[Scenario_MRF_Bale_ID],0))</f>
        <v>0</v>
      </c>
      <c r="AM29" s="443">
        <f>IF(INDEX(BaleMover[Miles],MATCH(SecondaryTransport[[#This Row],[Scenario_MRF_Bale_ID]],BaleMover[Scenario_MRF_Bale_ID],0))="",0,INDEX(BaleMover[Miles],MATCH(SecondaryTransport[[#This Row],[Scenario_MRF_Bale_ID]],BaleMover[Scenario_MRF_Bale_ID],0)))</f>
        <v>0</v>
      </c>
      <c r="AN29" s="251">
        <f>IF(SecondaryTransport[[#This Row],[Bale_ID]]="9000-01","costs elsewhere",SecondaryTransport[[#This Row],[Total_Baled_tons]]*SecondaryTransport[[#This Row],[Miles]])</f>
        <v>0</v>
      </c>
      <c r="AO29" s="352" t="str">
        <f>IF(LEFT(SecondaryTransport[[#This Row],[Bale_ID]],1)*1=5,IF(OR(SecondaryTransport[[#This Row],[MRF_ID]]="02",SecondaryTransport[[#This Row],[MRF_ID]]="08"),2,1),"")</f>
        <v/>
      </c>
      <c r="AP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9" s="224" t="str">
        <f>IFERROR(IF(1*LEFT(SecondaryTransport[[#This Row],[Bale_ID]],1)=5,SecondaryTransport[[#This Row],[Ton-Miles]]*SecondaryTransport[[#This Row],[Cost_Per_Ton-Mile]],""),"")</f>
        <v/>
      </c>
      <c r="AS29" s="224" t="str">
        <f>IFERROR(IF(SecondaryTransport[[#This Row],[Container_Transfer]]="",(SecondaryTransport[[#This Row],[Ton-Miles]]*SecondaryTransport[[#This Row],[Cost_Per_Ton-Mile]]),""),"")</f>
        <v/>
      </c>
    </row>
    <row r="30" spans="2:45" ht="15" x14ac:dyDescent="0.25">
      <c r="B30" s="212">
        <v>3</v>
      </c>
      <c r="C30" s="194" t="str">
        <f>INDEX(Grouping[Grouping_Name],MATCH(TransUnitCost[[#This Row],[Grouping_ID]],Grouping[Grouping_ID],0))</f>
        <v>3 - Other areas with curbside</v>
      </c>
      <c r="D30" s="252" t="s">
        <v>727</v>
      </c>
      <c r="E30" s="194" t="str">
        <f>INDEX(ConsTransp[Transp_Name],MATCH(TransUnitCost[[#This Row],[Transp_ID]],ConsTransp[Transp_ID],0))</f>
        <v>CRF containers (in Metro)</v>
      </c>
      <c r="F30" s="255">
        <v>0.45</v>
      </c>
      <c r="G30" s="4">
        <v>150</v>
      </c>
      <c r="H30" s="194">
        <v>14</v>
      </c>
      <c r="I30" s="212" t="s">
        <v>722</v>
      </c>
      <c r="L30" s="446" t="s">
        <v>876</v>
      </c>
      <c r="M30" s="446">
        <v>4</v>
      </c>
      <c r="N30" s="446">
        <v>1</v>
      </c>
      <c r="O30" s="446" t="s">
        <v>748</v>
      </c>
      <c r="P30" s="449" t="s">
        <v>748</v>
      </c>
      <c r="Q30" s="449"/>
      <c r="R30" s="449"/>
      <c r="S30" s="449" t="s">
        <v>765</v>
      </c>
      <c r="T30" s="449" t="s">
        <v>849</v>
      </c>
      <c r="U30" s="452">
        <v>0</v>
      </c>
      <c r="V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 s="272" t="str">
        <f>IFERROR(SUMIFS(TransUnitCost[Miles],TransUnitCost[Grouping_ID],TransTonsShort[[#This Row],[Grouping_ID]],TransUnitCost[Transp_ID],TransTonsShort[[#This Row],[Transp_ID]])*TransTonsShort[[#This Row],[Trans_Tons_All]]/TransTonsShort[[#This Row],[Trans_Tons_All]],"")</f>
        <v/>
      </c>
      <c r="X30" s="386" t="str">
        <f>TransTonsShort[[#This Row],[Grouping_ID]]&amp;"-"&amp;TransTonsShort[[#This Row],[Sector_ID]]</f>
        <v>4-1</v>
      </c>
      <c r="Y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0" s="421">
        <f>INDEX(LandfillFees[Disposal Tip Fee 2025],MATCH(TransTonsShort[[#This Row],[Grouping_ID]],LandfillFees[Grouping_ID],0))</f>
        <v>72.030938699729589</v>
      </c>
      <c r="AA30" s="102">
        <f>IF(OR(TransTonsShort[[#This Row],[CollectionStream_ID]]="03",TransTonsShort[[#This Row],[CollectionStream_ID]]="04",TransTonsShort[[#This Row],[CollectionStream_ID]]="13"),0,TransTonsShort[[#This Row],[Trans_Tons_All]]*TransTonsShort[[#This Row],[Disposal_Fee]])</f>
        <v>0</v>
      </c>
      <c r="AF30" s="446" t="s">
        <v>1203</v>
      </c>
      <c r="AG30" s="442" t="str">
        <f>LEFT(SecondaryTransport[[#This Row],[Scenario_MRF_Bale_ID]],2)</f>
        <v>S3</v>
      </c>
      <c r="AH30" s="181" t="str">
        <f>LEFT(RIGHT(SecondaryTransport[[#This Row],[Scenario_MRF_Bale_ID]],10),2)</f>
        <v>02</v>
      </c>
      <c r="AI30" s="181" t="str">
        <f>INDEX(MRFs[MRF_Name],MATCH(SecondaryTransport[[#This Row],[MRF_ID]],MRFs[MRF_ID],0))</f>
        <v>1 MRF for SS (Salem)</v>
      </c>
      <c r="AJ30" s="181" t="str">
        <f>RIGHT(SecondaryTransport[[#This Row],[Scenario_MRF_Bale_ID]],7)</f>
        <v>1000-06</v>
      </c>
      <c r="AK30" s="181" t="str">
        <f>INDEX(Bales[Bale_Name],MATCH(SecondaryTransport[[#This Row],[Bale_ID]],Bales[Bale_ID],0))</f>
        <v>Paperboard/old boxboard</v>
      </c>
      <c r="AL30" s="443">
        <f>INDEX(BaleMover[Total_Baled_tons],MATCH(SecondaryTransport[[#This Row],[Scenario_MRF_Bale_ID]],BaleMover[Scenario_MRF_Bale_ID],0))</f>
        <v>0</v>
      </c>
      <c r="AM30" s="443">
        <f>IF(INDEX(BaleMover[Miles],MATCH(SecondaryTransport[[#This Row],[Scenario_MRF_Bale_ID]],BaleMover[Scenario_MRF_Bale_ID],0))="",0,INDEX(BaleMover[Miles],MATCH(SecondaryTransport[[#This Row],[Scenario_MRF_Bale_ID]],BaleMover[Scenario_MRF_Bale_ID],0)))</f>
        <v>0</v>
      </c>
      <c r="AN30" s="251">
        <f>IF(SecondaryTransport[[#This Row],[Bale_ID]]="9000-01","costs elsewhere",SecondaryTransport[[#This Row],[Total_Baled_tons]]*SecondaryTransport[[#This Row],[Miles]])</f>
        <v>0</v>
      </c>
      <c r="AO30" s="352" t="str">
        <f>IF(LEFT(SecondaryTransport[[#This Row],[Bale_ID]],1)*1=5,IF(OR(SecondaryTransport[[#This Row],[MRF_ID]]="02",SecondaryTransport[[#This Row],[MRF_ID]]="08"),2,1),"")</f>
        <v/>
      </c>
      <c r="AP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 s="224" t="str">
        <f>IFERROR(IF(1*LEFT(SecondaryTransport[[#This Row],[Bale_ID]],1)=5,SecondaryTransport[[#This Row],[Ton-Miles]]*SecondaryTransport[[#This Row],[Cost_Per_Ton-Mile]],""),"")</f>
        <v/>
      </c>
      <c r="AS30" s="224" t="str">
        <f>IFERROR(IF(SecondaryTransport[[#This Row],[Container_Transfer]]="",(SecondaryTransport[[#This Row],[Ton-Miles]]*SecondaryTransport[[#This Row],[Cost_Per_Ton-Mile]]),""),"")</f>
        <v/>
      </c>
    </row>
    <row r="31" spans="2:45" ht="15" x14ac:dyDescent="0.25">
      <c r="B31" s="212">
        <v>3</v>
      </c>
      <c r="C31" s="194" t="str">
        <f>INDEX(Grouping[Grouping_Name],MATCH(TransUnitCost[[#This Row],[Grouping_ID]],Grouping[Grouping_ID],0))</f>
        <v>3 - Other areas with curbside</v>
      </c>
      <c r="D31" s="252" t="s">
        <v>735</v>
      </c>
      <c r="E31" s="194" t="str">
        <f>INDEX(ConsTransp[Transp_Name],MATCH(TransUnitCost[[#This Row],[Transp_ID]],ConsTransp[Transp_ID],0))</f>
        <v>CRF containers (out of Metro)</v>
      </c>
      <c r="F31" s="255">
        <v>0.16</v>
      </c>
      <c r="G31" s="4">
        <v>450</v>
      </c>
      <c r="H31" s="194">
        <v>22</v>
      </c>
      <c r="I31" s="352" t="s">
        <v>722</v>
      </c>
      <c r="L31" s="446" t="s">
        <v>876</v>
      </c>
      <c r="M31" s="446">
        <v>1</v>
      </c>
      <c r="N31" s="446">
        <v>1</v>
      </c>
      <c r="O31" s="446" t="s">
        <v>746</v>
      </c>
      <c r="P31" s="449" t="s">
        <v>719</v>
      </c>
      <c r="Q31" s="449"/>
      <c r="R31" s="449"/>
      <c r="S31" s="449" t="s">
        <v>762</v>
      </c>
      <c r="T31" s="449" t="s">
        <v>1055</v>
      </c>
      <c r="U31" s="452">
        <v>0</v>
      </c>
      <c r="V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 s="272" t="str">
        <f>IFERROR(SUMIFS(TransUnitCost[Miles],TransUnitCost[Grouping_ID],TransTonsShort[[#This Row],[Grouping_ID]],TransUnitCost[Transp_ID],TransTonsShort[[#This Row],[Transp_ID]])*TransTonsShort[[#This Row],[Trans_Tons_All]]/TransTonsShort[[#This Row],[Trans_Tons_All]],"")</f>
        <v/>
      </c>
      <c r="X31" s="386" t="str">
        <f>TransTonsShort[[#This Row],[Grouping_ID]]&amp;"-"&amp;TransTonsShort[[#This Row],[Sector_ID]]</f>
        <v>1-1</v>
      </c>
      <c r="Y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1" s="421">
        <f>INDEX(LandfillFees[Disposal Tip Fee 2025],MATCH(TransTonsShort[[#This Row],[Grouping_ID]],LandfillFees[Grouping_ID],0))</f>
        <v>134.68</v>
      </c>
      <c r="AA31" s="102">
        <f>IF(OR(TransTonsShort[[#This Row],[CollectionStream_ID]]="03",TransTonsShort[[#This Row],[CollectionStream_ID]]="04",TransTonsShort[[#This Row],[CollectionStream_ID]]="13"),0,TransTonsShort[[#This Row],[Trans_Tons_All]]*TransTonsShort[[#This Row],[Disposal_Fee]])</f>
        <v>0</v>
      </c>
      <c r="AF31" s="446" t="s">
        <v>1204</v>
      </c>
      <c r="AG31" s="442" t="str">
        <f>LEFT(SecondaryTransport[[#This Row],[Scenario_MRF_Bale_ID]],2)</f>
        <v>S0</v>
      </c>
      <c r="AH31" s="181" t="str">
        <f>LEFT(RIGHT(SecondaryTransport[[#This Row],[Scenario_MRF_Bale_ID]],10),2)</f>
        <v>02</v>
      </c>
      <c r="AI31" s="181" t="str">
        <f>INDEX(MRFs[MRF_Name],MATCH(SecondaryTransport[[#This Row],[MRF_ID]],MRFs[MRF_ID],0))</f>
        <v>1 MRF for SS (Salem)</v>
      </c>
      <c r="AJ31" s="181" t="str">
        <f>RIGHT(SecondaryTransport[[#This Row],[Scenario_MRF_Bale_ID]],7)</f>
        <v>1000-07</v>
      </c>
      <c r="AK31" s="181" t="str">
        <f>INDEX(Bales[Bale_Name],MATCH(SecondaryTransport[[#This Row],[Bale_ID]],Bales[Bale_ID],0))</f>
        <v>Aseptic and gable-top cartons</v>
      </c>
      <c r="AL31" s="443">
        <f>INDEX(BaleMover[Total_Baled_tons],MATCH(SecondaryTransport[[#This Row],[Scenario_MRF_Bale_ID]],BaleMover[Scenario_MRF_Bale_ID],0))</f>
        <v>278.50670627283205</v>
      </c>
      <c r="AM31" s="443">
        <f>IF(INDEX(BaleMover[Miles],MATCH(SecondaryTransport[[#This Row],[Scenario_MRF_Bale_ID]],BaleMover[Scenario_MRF_Bale_ID],0))="",0,INDEX(BaleMover[Miles],MATCH(SecondaryTransport[[#This Row],[Scenario_MRF_Bale_ID]],BaleMover[Scenario_MRF_Bale_ID],0)))</f>
        <v>195</v>
      </c>
      <c r="AN31" s="251">
        <f>IF(SecondaryTransport[[#This Row],[Bale_ID]]="9000-01","costs elsewhere",SecondaryTransport[[#This Row],[Total_Baled_tons]]*SecondaryTransport[[#This Row],[Miles]])</f>
        <v>54308.807723202248</v>
      </c>
      <c r="AO31" s="352" t="str">
        <f>IF(LEFT(SecondaryTransport[[#This Row],[Bale_ID]],1)*1=5,IF(OR(SecondaryTransport[[#This Row],[MRF_ID]]="02",SecondaryTransport[[#This Row],[MRF_ID]]="08"),2,1),"")</f>
        <v/>
      </c>
      <c r="AP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1" s="224" t="str">
        <f>IFERROR(IF(1*LEFT(SecondaryTransport[[#This Row],[Bale_ID]],1)=5,SecondaryTransport[[#This Row],[Ton-Miles]]*SecondaryTransport[[#This Row],[Cost_Per_Ton-Mile]],""),"")</f>
        <v/>
      </c>
      <c r="AS31" s="224">
        <f>IFERROR(IF(SecondaryTransport[[#This Row],[Container_Transfer]]="",(SecondaryTransport[[#This Row],[Ton-Miles]]*SecondaryTransport[[#This Row],[Cost_Per_Ton-Mile]]),""),"")</f>
        <v>7603.2330812483151</v>
      </c>
    </row>
    <row r="32" spans="2:45" ht="15" x14ac:dyDescent="0.25">
      <c r="B32" s="212">
        <v>3</v>
      </c>
      <c r="C32" t="str">
        <f>INDEX(Grouping[Grouping_Name],MATCH(TransUnitCost[[#This Row],[Grouping_ID]],Grouping[Grouping_ID],0))</f>
        <v>3 - Other areas with curbside</v>
      </c>
      <c r="D32" t="s">
        <v>739</v>
      </c>
      <c r="E32" t="str">
        <f>INDEX(ConsTransp[Transp_Name],MATCH(TransUnitCost[[#This Row],[Transp_ID]],ConsTransp[Transp_ID],0))</f>
        <v>Glass &amp; scrap metal</v>
      </c>
      <c r="F32" s="255">
        <v>0.24</v>
      </c>
      <c r="G32" s="4">
        <v>150</v>
      </c>
      <c r="H32" s="212">
        <v>30</v>
      </c>
      <c r="I32" s="212" t="s">
        <v>722</v>
      </c>
      <c r="L32" s="446" t="s">
        <v>876</v>
      </c>
      <c r="M32" s="446">
        <v>2</v>
      </c>
      <c r="N32" s="446">
        <v>1</v>
      </c>
      <c r="O32" s="446" t="s">
        <v>746</v>
      </c>
      <c r="P32" s="449" t="s">
        <v>719</v>
      </c>
      <c r="Q32" s="449"/>
      <c r="R32" s="449"/>
      <c r="S32" s="449" t="s">
        <v>762</v>
      </c>
      <c r="T32" s="449" t="s">
        <v>1055</v>
      </c>
      <c r="U32" s="452">
        <v>0</v>
      </c>
      <c r="V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 s="272" t="str">
        <f>IFERROR(SUMIFS(TransUnitCost[Miles],TransUnitCost[Grouping_ID],TransTonsShort[[#This Row],[Grouping_ID]],TransUnitCost[Transp_ID],TransTonsShort[[#This Row],[Transp_ID]])*TransTonsShort[[#This Row],[Trans_Tons_All]]/TransTonsShort[[#This Row],[Trans_Tons_All]],"")</f>
        <v/>
      </c>
      <c r="X32" s="386" t="str">
        <f>TransTonsShort[[#This Row],[Grouping_ID]]&amp;"-"&amp;TransTonsShort[[#This Row],[Sector_ID]]</f>
        <v>2-1</v>
      </c>
      <c r="Y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2" s="421">
        <f>INDEX(LandfillFees[Disposal Tip Fee 2025],MATCH(TransTonsShort[[#This Row],[Grouping_ID]],LandfillFees[Grouping_ID],0))</f>
        <v>72.030938699729589</v>
      </c>
      <c r="AA32" s="102">
        <f>IF(OR(TransTonsShort[[#This Row],[CollectionStream_ID]]="03",TransTonsShort[[#This Row],[CollectionStream_ID]]="04",TransTonsShort[[#This Row],[CollectionStream_ID]]="13"),0,TransTonsShort[[#This Row],[Trans_Tons_All]]*TransTonsShort[[#This Row],[Disposal_Fee]])</f>
        <v>0</v>
      </c>
      <c r="AF32" s="446" t="s">
        <v>1205</v>
      </c>
      <c r="AG32" s="442" t="str">
        <f>LEFT(SecondaryTransport[[#This Row],[Scenario_MRF_Bale_ID]],2)</f>
        <v>S1</v>
      </c>
      <c r="AH32" s="181" t="str">
        <f>LEFT(RIGHT(SecondaryTransport[[#This Row],[Scenario_MRF_Bale_ID]],10),2)</f>
        <v>02</v>
      </c>
      <c r="AI32" s="181" t="str">
        <f>INDEX(MRFs[MRF_Name],MATCH(SecondaryTransport[[#This Row],[MRF_ID]],MRFs[MRF_ID],0))</f>
        <v>1 MRF for SS (Salem)</v>
      </c>
      <c r="AJ32" s="181" t="str">
        <f>RIGHT(SecondaryTransport[[#This Row],[Scenario_MRF_Bale_ID]],7)</f>
        <v>1000-07</v>
      </c>
      <c r="AK32" s="181" t="str">
        <f>INDEX(Bales[Bale_Name],MATCH(SecondaryTransport[[#This Row],[Bale_ID]],Bales[Bale_ID],0))</f>
        <v>Aseptic and gable-top cartons</v>
      </c>
      <c r="AL32" s="443">
        <f>INDEX(BaleMover[Total_Baled_tons],MATCH(SecondaryTransport[[#This Row],[Scenario_MRF_Bale_ID]],BaleMover[Scenario_MRF_Bale_ID],0))</f>
        <v>221.42912550184988</v>
      </c>
      <c r="AM32" s="443">
        <f>IF(INDEX(BaleMover[Miles],MATCH(SecondaryTransport[[#This Row],[Scenario_MRF_Bale_ID]],BaleMover[Scenario_MRF_Bale_ID],0))="",0,INDEX(BaleMover[Miles],MATCH(SecondaryTransport[[#This Row],[Scenario_MRF_Bale_ID]],BaleMover[Scenario_MRF_Bale_ID],0)))</f>
        <v>195</v>
      </c>
      <c r="AN32" s="251">
        <f>IF(SecondaryTransport[[#This Row],[Bale_ID]]="9000-01","costs elsewhere",SecondaryTransport[[#This Row],[Total_Baled_tons]]*SecondaryTransport[[#This Row],[Miles]])</f>
        <v>43178.679472860727</v>
      </c>
      <c r="AO32" s="352" t="str">
        <f>IF(LEFT(SecondaryTransport[[#This Row],[Bale_ID]],1)*1=5,IF(OR(SecondaryTransport[[#This Row],[MRF_ID]]="02",SecondaryTransport[[#This Row],[MRF_ID]]="08"),2,1),"")</f>
        <v/>
      </c>
      <c r="AP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2" s="224" t="str">
        <f>IFERROR(IF(1*LEFT(SecondaryTransport[[#This Row],[Bale_ID]],1)=5,SecondaryTransport[[#This Row],[Ton-Miles]]*SecondaryTransport[[#This Row],[Cost_Per_Ton-Mile]],""),"")</f>
        <v/>
      </c>
      <c r="AS32" s="224">
        <f>IFERROR(IF(SecondaryTransport[[#This Row],[Container_Transfer]]="",(SecondaryTransport[[#This Row],[Ton-Miles]]*SecondaryTransport[[#This Row],[Cost_Per_Ton-Mile]]),""),"")</f>
        <v>6045.015126200502</v>
      </c>
    </row>
    <row r="33" spans="2:45" ht="15" x14ac:dyDescent="0.25">
      <c r="B33">
        <v>3</v>
      </c>
      <c r="C33" t="str">
        <f>INDEX(Grouping[Grouping_Name],MATCH(TransUnitCost[[#This Row],[Grouping_ID]],Grouping[Grouping_ID],0))</f>
        <v>3 - Other areas with curbside</v>
      </c>
      <c r="D33" t="s">
        <v>746</v>
      </c>
      <c r="E33" t="str">
        <f>INDEX(ConsTransp[Transp_Name],MATCH(TransUnitCost[[#This Row],[Transp_ID]],ConsTransp[Transp_ID],0))</f>
        <v>Walking floor (DS fiber)</v>
      </c>
      <c r="F33" s="255">
        <v>0.28999999999999998</v>
      </c>
      <c r="G33" s="4">
        <v>150</v>
      </c>
      <c r="H33" s="212">
        <v>22</v>
      </c>
      <c r="I33" s="352" t="s">
        <v>722</v>
      </c>
      <c r="L33" s="446" t="s">
        <v>876</v>
      </c>
      <c r="M33" s="446">
        <v>3</v>
      </c>
      <c r="N33" s="446">
        <v>1</v>
      </c>
      <c r="O33" s="446" t="s">
        <v>746</v>
      </c>
      <c r="P33" s="449" t="s">
        <v>719</v>
      </c>
      <c r="Q33" s="449"/>
      <c r="R33" s="449"/>
      <c r="S33" s="449" t="s">
        <v>762</v>
      </c>
      <c r="T33" s="449" t="s">
        <v>1055</v>
      </c>
      <c r="U33" s="452">
        <v>0</v>
      </c>
      <c r="V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 s="272" t="str">
        <f>IFERROR(SUMIFS(TransUnitCost[Miles],TransUnitCost[Grouping_ID],TransTonsShort[[#This Row],[Grouping_ID]],TransUnitCost[Transp_ID],TransTonsShort[[#This Row],[Transp_ID]])*TransTonsShort[[#This Row],[Trans_Tons_All]]/TransTonsShort[[#This Row],[Trans_Tons_All]],"")</f>
        <v/>
      </c>
      <c r="X33" s="386" t="str">
        <f>TransTonsShort[[#This Row],[Grouping_ID]]&amp;"-"&amp;TransTonsShort[[#This Row],[Sector_ID]]</f>
        <v>3-1</v>
      </c>
      <c r="Y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 s="421">
        <f>INDEX(LandfillFees[Disposal Tip Fee 2025],MATCH(TransTonsShort[[#This Row],[Grouping_ID]],LandfillFees[Grouping_ID],0))</f>
        <v>72.030938699729589</v>
      </c>
      <c r="AA33" s="102">
        <f>IF(OR(TransTonsShort[[#This Row],[CollectionStream_ID]]="03",TransTonsShort[[#This Row],[CollectionStream_ID]]="04",TransTonsShort[[#This Row],[CollectionStream_ID]]="13"),0,TransTonsShort[[#This Row],[Trans_Tons_All]]*TransTonsShort[[#This Row],[Disposal_Fee]])</f>
        <v>0</v>
      </c>
      <c r="AF33" s="446" t="s">
        <v>1206</v>
      </c>
      <c r="AG33" s="442" t="str">
        <f>LEFT(SecondaryTransport[[#This Row],[Scenario_MRF_Bale_ID]],2)</f>
        <v>S2</v>
      </c>
      <c r="AH33" s="181" t="str">
        <f>LEFT(RIGHT(SecondaryTransport[[#This Row],[Scenario_MRF_Bale_ID]],10),2)</f>
        <v>02</v>
      </c>
      <c r="AI33" s="181" t="str">
        <f>INDEX(MRFs[MRF_Name],MATCH(SecondaryTransport[[#This Row],[MRF_ID]],MRFs[MRF_ID],0))</f>
        <v>1 MRF for SS (Salem)</v>
      </c>
      <c r="AJ33" s="181" t="str">
        <f>RIGHT(SecondaryTransport[[#This Row],[Scenario_MRF_Bale_ID]],7)</f>
        <v>1000-07</v>
      </c>
      <c r="AK33" s="181" t="str">
        <f>INDEX(Bales[Bale_Name],MATCH(SecondaryTransport[[#This Row],[Bale_ID]],Bales[Bale_ID],0))</f>
        <v>Aseptic and gable-top cartons</v>
      </c>
      <c r="AL33" s="443">
        <f>INDEX(BaleMover[Total_Baled_tons],MATCH(SecondaryTransport[[#This Row],[Scenario_MRF_Bale_ID]],BaleMover[Scenario_MRF_Bale_ID],0))</f>
        <v>0</v>
      </c>
      <c r="AM33" s="443">
        <f>IF(INDEX(BaleMover[Miles],MATCH(SecondaryTransport[[#This Row],[Scenario_MRF_Bale_ID]],BaleMover[Scenario_MRF_Bale_ID],0))="",0,INDEX(BaleMover[Miles],MATCH(SecondaryTransport[[#This Row],[Scenario_MRF_Bale_ID]],BaleMover[Scenario_MRF_Bale_ID],0)))</f>
        <v>0</v>
      </c>
      <c r="AN33" s="251">
        <f>IF(SecondaryTransport[[#This Row],[Bale_ID]]="9000-01","costs elsewhere",SecondaryTransport[[#This Row],[Total_Baled_tons]]*SecondaryTransport[[#This Row],[Miles]])</f>
        <v>0</v>
      </c>
      <c r="AO33" s="352" t="str">
        <f>IF(LEFT(SecondaryTransport[[#This Row],[Bale_ID]],1)*1=5,IF(OR(SecondaryTransport[[#This Row],[MRF_ID]]="02",SecondaryTransport[[#This Row],[MRF_ID]]="08"),2,1),"")</f>
        <v/>
      </c>
      <c r="AP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 s="224" t="str">
        <f>IFERROR(IF(1*LEFT(SecondaryTransport[[#This Row],[Bale_ID]],1)=5,SecondaryTransport[[#This Row],[Ton-Miles]]*SecondaryTransport[[#This Row],[Cost_Per_Ton-Mile]],""),"")</f>
        <v/>
      </c>
      <c r="AS33" s="224" t="str">
        <f>IFERROR(IF(SecondaryTransport[[#This Row],[Container_Transfer]]="",(SecondaryTransport[[#This Row],[Ton-Miles]]*SecondaryTransport[[#This Row],[Cost_Per_Ton-Mile]]),""),"")</f>
        <v/>
      </c>
    </row>
    <row r="34" spans="2:45" ht="15" x14ac:dyDescent="0.25">
      <c r="B34">
        <v>3</v>
      </c>
      <c r="C34" t="str">
        <f>INDEX(Grouping[Grouping_Name],MATCH(TransUnitCost[[#This Row],[Grouping_ID]],Grouping[Grouping_ID],0))</f>
        <v>3 - Other areas with curbside</v>
      </c>
      <c r="D34" t="s">
        <v>748</v>
      </c>
      <c r="E34" t="str">
        <f>INDEX(ConsTransp[Transp_Name],MATCH(TransUnitCost[[#This Row],[Transp_ID]],ConsTransp[Transp_ID],0))</f>
        <v>Walking floor (DS containers)</v>
      </c>
      <c r="F34" s="255">
        <v>0.45</v>
      </c>
      <c r="G34" s="4">
        <v>150</v>
      </c>
      <c r="H34" s="212">
        <v>14</v>
      </c>
      <c r="I34" s="352" t="s">
        <v>722</v>
      </c>
      <c r="L34" s="446" t="s">
        <v>876</v>
      </c>
      <c r="M34" s="446">
        <v>4</v>
      </c>
      <c r="N34" s="446">
        <v>1</v>
      </c>
      <c r="O34" s="446" t="s">
        <v>746</v>
      </c>
      <c r="P34" s="449" t="s">
        <v>719</v>
      </c>
      <c r="Q34" s="449"/>
      <c r="R34" s="449"/>
      <c r="S34" s="449" t="s">
        <v>762</v>
      </c>
      <c r="T34" s="449" t="s">
        <v>1055</v>
      </c>
      <c r="U34" s="452">
        <v>0</v>
      </c>
      <c r="V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 s="272" t="str">
        <f>IFERROR(SUMIFS(TransUnitCost[Miles],TransUnitCost[Grouping_ID],TransTonsShort[[#This Row],[Grouping_ID]],TransUnitCost[Transp_ID],TransTonsShort[[#This Row],[Transp_ID]])*TransTonsShort[[#This Row],[Trans_Tons_All]]/TransTonsShort[[#This Row],[Trans_Tons_All]],"")</f>
        <v/>
      </c>
      <c r="X34" s="386" t="str">
        <f>TransTonsShort[[#This Row],[Grouping_ID]]&amp;"-"&amp;TransTonsShort[[#This Row],[Sector_ID]]</f>
        <v>4-1</v>
      </c>
      <c r="Y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 s="421">
        <f>INDEX(LandfillFees[Disposal Tip Fee 2025],MATCH(TransTonsShort[[#This Row],[Grouping_ID]],LandfillFees[Grouping_ID],0))</f>
        <v>72.030938699729589</v>
      </c>
      <c r="AA34" s="102">
        <f>IF(OR(TransTonsShort[[#This Row],[CollectionStream_ID]]="03",TransTonsShort[[#This Row],[CollectionStream_ID]]="04",TransTonsShort[[#This Row],[CollectionStream_ID]]="13"),0,TransTonsShort[[#This Row],[Trans_Tons_All]]*TransTonsShort[[#This Row],[Disposal_Fee]])</f>
        <v>0</v>
      </c>
      <c r="AF34" s="446" t="s">
        <v>1207</v>
      </c>
      <c r="AG34" s="442" t="str">
        <f>LEFT(SecondaryTransport[[#This Row],[Scenario_MRF_Bale_ID]],2)</f>
        <v>S3</v>
      </c>
      <c r="AH34" s="181" t="str">
        <f>LEFT(RIGHT(SecondaryTransport[[#This Row],[Scenario_MRF_Bale_ID]],10),2)</f>
        <v>02</v>
      </c>
      <c r="AI34" s="181" t="str">
        <f>INDEX(MRFs[MRF_Name],MATCH(SecondaryTransport[[#This Row],[MRF_ID]],MRFs[MRF_ID],0))</f>
        <v>1 MRF for SS (Salem)</v>
      </c>
      <c r="AJ34" s="181" t="str">
        <f>RIGHT(SecondaryTransport[[#This Row],[Scenario_MRF_Bale_ID]],7)</f>
        <v>1000-07</v>
      </c>
      <c r="AK34" s="181" t="str">
        <f>INDEX(Bales[Bale_Name],MATCH(SecondaryTransport[[#This Row],[Bale_ID]],Bales[Bale_ID],0))</f>
        <v>Aseptic and gable-top cartons</v>
      </c>
      <c r="AL34" s="443">
        <f>INDEX(BaleMover[Total_Baled_tons],MATCH(SecondaryTransport[[#This Row],[Scenario_MRF_Bale_ID]],BaleMover[Scenario_MRF_Bale_ID],0))</f>
        <v>0</v>
      </c>
      <c r="AM34" s="443">
        <f>IF(INDEX(BaleMover[Miles],MATCH(SecondaryTransport[[#This Row],[Scenario_MRF_Bale_ID]],BaleMover[Scenario_MRF_Bale_ID],0))="",0,INDEX(BaleMover[Miles],MATCH(SecondaryTransport[[#This Row],[Scenario_MRF_Bale_ID]],BaleMover[Scenario_MRF_Bale_ID],0)))</f>
        <v>0</v>
      </c>
      <c r="AN34" s="251">
        <f>IF(SecondaryTransport[[#This Row],[Bale_ID]]="9000-01","costs elsewhere",SecondaryTransport[[#This Row],[Total_Baled_tons]]*SecondaryTransport[[#This Row],[Miles]])</f>
        <v>0</v>
      </c>
      <c r="AO34" s="352" t="str">
        <f>IF(LEFT(SecondaryTransport[[#This Row],[Bale_ID]],1)*1=5,IF(OR(SecondaryTransport[[#This Row],[MRF_ID]]="02",SecondaryTransport[[#This Row],[MRF_ID]]="08"),2,1),"")</f>
        <v/>
      </c>
      <c r="AP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4" s="224" t="str">
        <f>IFERROR(IF(1*LEFT(SecondaryTransport[[#This Row],[Bale_ID]],1)=5,SecondaryTransport[[#This Row],[Ton-Miles]]*SecondaryTransport[[#This Row],[Cost_Per_Ton-Mile]],""),"")</f>
        <v/>
      </c>
      <c r="AS34" s="224" t="str">
        <f>IFERROR(IF(SecondaryTransport[[#This Row],[Container_Transfer]]="",(SecondaryTransport[[#This Row],[Ton-Miles]]*SecondaryTransport[[#This Row],[Cost_Per_Ton-Mile]]),""),"")</f>
        <v/>
      </c>
    </row>
    <row r="35" spans="2:45" ht="15" x14ac:dyDescent="0.25">
      <c r="B35">
        <v>4</v>
      </c>
      <c r="C35" t="str">
        <f>INDEX(Grouping[Grouping_Name],MATCH(TransUnitCost[[#This Row],[Grouping_ID]],Grouping[Grouping_ID],0))</f>
        <v>4 - Areas without curbside</v>
      </c>
      <c r="D35" t="s">
        <v>700</v>
      </c>
      <c r="E35" t="str">
        <f>INDEX(ConsTransp[Transp_Name],MATCH(TransUnitCost[[#This Row],[Transp_ID]],ConsTransp[Transp_ID],0))</f>
        <v>None (deliver in collection vehicle)</v>
      </c>
      <c r="F35" s="255">
        <v>0</v>
      </c>
      <c r="G35" s="4">
        <v>0</v>
      </c>
      <c r="H35" s="212">
        <v>0</v>
      </c>
      <c r="I35" s="352" t="s">
        <v>722</v>
      </c>
      <c r="L35" s="446" t="s">
        <v>876</v>
      </c>
      <c r="M35" s="446">
        <v>1</v>
      </c>
      <c r="N35" s="446">
        <v>1</v>
      </c>
      <c r="O35" s="446" t="s">
        <v>746</v>
      </c>
      <c r="P35" s="449" t="s">
        <v>700</v>
      </c>
      <c r="Q35" s="449"/>
      <c r="R35" s="449"/>
      <c r="S35" s="449" t="s">
        <v>762</v>
      </c>
      <c r="T35" s="449" t="s">
        <v>701</v>
      </c>
      <c r="U35" s="452">
        <v>0</v>
      </c>
      <c r="V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 s="272" t="str">
        <f>IFERROR(SUMIFS(TransUnitCost[Miles],TransUnitCost[Grouping_ID],TransTonsShort[[#This Row],[Grouping_ID]],TransUnitCost[Transp_ID],TransTonsShort[[#This Row],[Transp_ID]])*TransTonsShort[[#This Row],[Trans_Tons_All]]/TransTonsShort[[#This Row],[Trans_Tons_All]],"")</f>
        <v/>
      </c>
      <c r="X35" s="386" t="str">
        <f>TransTonsShort[[#This Row],[Grouping_ID]]&amp;"-"&amp;TransTonsShort[[#This Row],[Sector_ID]]</f>
        <v>1-1</v>
      </c>
      <c r="Y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 s="421">
        <f>INDEX(LandfillFees[Disposal Tip Fee 2025],MATCH(TransTonsShort[[#This Row],[Grouping_ID]],LandfillFees[Grouping_ID],0))</f>
        <v>134.68</v>
      </c>
      <c r="AA35" s="102">
        <f>IF(OR(TransTonsShort[[#This Row],[CollectionStream_ID]]="03",TransTonsShort[[#This Row],[CollectionStream_ID]]="04",TransTonsShort[[#This Row],[CollectionStream_ID]]="13"),0,TransTonsShort[[#This Row],[Trans_Tons_All]]*TransTonsShort[[#This Row],[Disposal_Fee]])</f>
        <v>0</v>
      </c>
      <c r="AF35" s="446" t="s">
        <v>1208</v>
      </c>
      <c r="AG35" s="442" t="str">
        <f>LEFT(SecondaryTransport[[#This Row],[Scenario_MRF_Bale_ID]],2)</f>
        <v>S0</v>
      </c>
      <c r="AH35" s="181" t="str">
        <f>LEFT(RIGHT(SecondaryTransport[[#This Row],[Scenario_MRF_Bale_ID]],10),2)</f>
        <v>02</v>
      </c>
      <c r="AI35" s="181" t="str">
        <f>INDEX(MRFs[MRF_Name],MATCH(SecondaryTransport[[#This Row],[MRF_ID]],MRFs[MRF_ID],0))</f>
        <v>1 MRF for SS (Salem)</v>
      </c>
      <c r="AJ35" s="181" t="str">
        <f>RIGHT(SecondaryTransport[[#This Row],[Scenario_MRF_Bale_ID]],7)</f>
        <v>1000-08</v>
      </c>
      <c r="AK35" s="181" t="str">
        <f>INDEX(Bales[Bale_Name],MATCH(SecondaryTransport[[#This Row],[Bale_ID]],Bales[Bale_ID],0))</f>
        <v>Polycoated cups and containers</v>
      </c>
      <c r="AL35" s="443">
        <f>INDEX(BaleMover[Total_Baled_tons],MATCH(SecondaryTransport[[#This Row],[Scenario_MRF_Bale_ID]],BaleMover[Scenario_MRF_Bale_ID],0))</f>
        <v>0</v>
      </c>
      <c r="AM35" s="443">
        <f>IF(INDEX(BaleMover[Miles],MATCH(SecondaryTransport[[#This Row],[Scenario_MRF_Bale_ID]],BaleMover[Scenario_MRF_Bale_ID],0))="",0,INDEX(BaleMover[Miles],MATCH(SecondaryTransport[[#This Row],[Scenario_MRF_Bale_ID]],BaleMover[Scenario_MRF_Bale_ID],0)))</f>
        <v>0</v>
      </c>
      <c r="AN35" s="251">
        <f>IF(SecondaryTransport[[#This Row],[Bale_ID]]="9000-01","costs elsewhere",SecondaryTransport[[#This Row],[Total_Baled_tons]]*SecondaryTransport[[#This Row],[Miles]])</f>
        <v>0</v>
      </c>
      <c r="AO35" s="352" t="str">
        <f>IF(LEFT(SecondaryTransport[[#This Row],[Bale_ID]],1)*1=5,IF(OR(SecondaryTransport[[#This Row],[MRF_ID]]="02",SecondaryTransport[[#This Row],[MRF_ID]]="08"),2,1),"")</f>
        <v/>
      </c>
      <c r="AP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5" s="224" t="str">
        <f>IFERROR(IF(1*LEFT(SecondaryTransport[[#This Row],[Bale_ID]],1)=5,SecondaryTransport[[#This Row],[Ton-Miles]]*SecondaryTransport[[#This Row],[Cost_Per_Ton-Mile]],""),"")</f>
        <v/>
      </c>
      <c r="AS35" s="224" t="str">
        <f>IFERROR(IF(SecondaryTransport[[#This Row],[Container_Transfer]]="",(SecondaryTransport[[#This Row],[Ton-Miles]]*SecondaryTransport[[#This Row],[Cost_Per_Ton-Mile]]),""),"")</f>
        <v/>
      </c>
    </row>
    <row r="36" spans="2:45" ht="15" x14ac:dyDescent="0.25">
      <c r="B36">
        <v>4</v>
      </c>
      <c r="C36" t="str">
        <f>INDEX(Grouping[Grouping_Name],MATCH(TransUnitCost[[#This Row],[Grouping_ID]],Grouping[Grouping_ID],0))</f>
        <v>4 - Areas without curbside</v>
      </c>
      <c r="D36" t="s">
        <v>706</v>
      </c>
      <c r="E36" t="str">
        <f>INDEX(ConsTransp[Transp_Name],MATCH(TransUnitCost[[#This Row],[Transp_ID]],ConsTransp[Transp_ID],0))</f>
        <v>Walking floor (commingled)</v>
      </c>
      <c r="F36" s="255">
        <v>0.4</v>
      </c>
      <c r="G36" s="4">
        <v>250</v>
      </c>
      <c r="H36" s="212">
        <v>18</v>
      </c>
      <c r="I36" s="352" t="s">
        <v>722</v>
      </c>
      <c r="L36" s="446" t="s">
        <v>876</v>
      </c>
      <c r="M36" s="446">
        <v>2</v>
      </c>
      <c r="N36" s="446">
        <v>1</v>
      </c>
      <c r="O36" s="446" t="s">
        <v>746</v>
      </c>
      <c r="P36" s="449" t="s">
        <v>700</v>
      </c>
      <c r="Q36" s="449"/>
      <c r="R36" s="449"/>
      <c r="S36" s="449" t="s">
        <v>762</v>
      </c>
      <c r="T36" s="449" t="s">
        <v>701</v>
      </c>
      <c r="U36" s="452">
        <v>0</v>
      </c>
      <c r="V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 s="272" t="str">
        <f>IFERROR(SUMIFS(TransUnitCost[Miles],TransUnitCost[Grouping_ID],TransTonsShort[[#This Row],[Grouping_ID]],TransUnitCost[Transp_ID],TransTonsShort[[#This Row],[Transp_ID]])*TransTonsShort[[#This Row],[Trans_Tons_All]]/TransTonsShort[[#This Row],[Trans_Tons_All]],"")</f>
        <v/>
      </c>
      <c r="X36" s="386" t="str">
        <f>TransTonsShort[[#This Row],[Grouping_ID]]&amp;"-"&amp;TransTonsShort[[#This Row],[Sector_ID]]</f>
        <v>2-1</v>
      </c>
      <c r="Y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6" s="421">
        <f>INDEX(LandfillFees[Disposal Tip Fee 2025],MATCH(TransTonsShort[[#This Row],[Grouping_ID]],LandfillFees[Grouping_ID],0))</f>
        <v>72.030938699729589</v>
      </c>
      <c r="AA36" s="102">
        <f>IF(OR(TransTonsShort[[#This Row],[CollectionStream_ID]]="03",TransTonsShort[[#This Row],[CollectionStream_ID]]="04",TransTonsShort[[#This Row],[CollectionStream_ID]]="13"),0,TransTonsShort[[#This Row],[Trans_Tons_All]]*TransTonsShort[[#This Row],[Disposal_Fee]])</f>
        <v>0</v>
      </c>
      <c r="AF36" s="446" t="s">
        <v>1209</v>
      </c>
      <c r="AG36" s="442" t="str">
        <f>LEFT(SecondaryTransport[[#This Row],[Scenario_MRF_Bale_ID]],2)</f>
        <v>S1</v>
      </c>
      <c r="AH36" s="181" t="str">
        <f>LEFT(RIGHT(SecondaryTransport[[#This Row],[Scenario_MRF_Bale_ID]],10),2)</f>
        <v>02</v>
      </c>
      <c r="AI36" s="181" t="str">
        <f>INDEX(MRFs[MRF_Name],MATCH(SecondaryTransport[[#This Row],[MRF_ID]],MRFs[MRF_ID],0))</f>
        <v>1 MRF for SS (Salem)</v>
      </c>
      <c r="AJ36" s="181" t="str">
        <f>RIGHT(SecondaryTransport[[#This Row],[Scenario_MRF_Bale_ID]],7)</f>
        <v>1000-08</v>
      </c>
      <c r="AK36" s="181" t="str">
        <f>INDEX(Bales[Bale_Name],MATCH(SecondaryTransport[[#This Row],[Bale_ID]],Bales[Bale_ID],0))</f>
        <v>Polycoated cups and containers</v>
      </c>
      <c r="AL36" s="443">
        <f>INDEX(BaleMover[Total_Baled_tons],MATCH(SecondaryTransport[[#This Row],[Scenario_MRF_Bale_ID]],BaleMover[Scenario_MRF_Bale_ID],0))</f>
        <v>0</v>
      </c>
      <c r="AM36" s="443">
        <f>IF(INDEX(BaleMover[Miles],MATCH(SecondaryTransport[[#This Row],[Scenario_MRF_Bale_ID]],BaleMover[Scenario_MRF_Bale_ID],0))="",0,INDEX(BaleMover[Miles],MATCH(SecondaryTransport[[#This Row],[Scenario_MRF_Bale_ID]],BaleMover[Scenario_MRF_Bale_ID],0)))</f>
        <v>0</v>
      </c>
      <c r="AN36" s="251">
        <f>IF(SecondaryTransport[[#This Row],[Bale_ID]]="9000-01","costs elsewhere",SecondaryTransport[[#This Row],[Total_Baled_tons]]*SecondaryTransport[[#This Row],[Miles]])</f>
        <v>0</v>
      </c>
      <c r="AO36" s="352" t="str">
        <f>IF(LEFT(SecondaryTransport[[#This Row],[Bale_ID]],1)*1=5,IF(OR(SecondaryTransport[[#This Row],[MRF_ID]]="02",SecondaryTransport[[#This Row],[MRF_ID]]="08"),2,1),"")</f>
        <v/>
      </c>
      <c r="AP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 s="224" t="str">
        <f>IFERROR(IF(1*LEFT(SecondaryTransport[[#This Row],[Bale_ID]],1)=5,SecondaryTransport[[#This Row],[Ton-Miles]]*SecondaryTransport[[#This Row],[Cost_Per_Ton-Mile]],""),"")</f>
        <v/>
      </c>
      <c r="AS36" s="224" t="str">
        <f>IFERROR(IF(SecondaryTransport[[#This Row],[Container_Transfer]]="",(SecondaryTransport[[#This Row],[Ton-Miles]]*SecondaryTransport[[#This Row],[Cost_Per_Ton-Mile]]),""),"")</f>
        <v/>
      </c>
    </row>
    <row r="37" spans="2:45" ht="15" x14ac:dyDescent="0.25">
      <c r="B37" s="212">
        <v>4</v>
      </c>
      <c r="C37" s="194" t="str">
        <f>INDEX(Grouping[Grouping_Name],MATCH(TransUnitCost[[#This Row],[Grouping_ID]],Grouping[Grouping_ID],0))</f>
        <v>4 - Areas without curbside</v>
      </c>
      <c r="D37" s="252" t="s">
        <v>712</v>
      </c>
      <c r="E37" s="194" t="str">
        <f>INDEX(ConsTransp[Transp_Name],MATCH(TransUnitCost[[#This Row],[Transp_ID]],ConsTransp[Transp_ID],0))</f>
        <v>Van trailer (baled)</v>
      </c>
      <c r="F37" s="255">
        <v>0.14000000000000001</v>
      </c>
      <c r="G37" s="4">
        <v>250</v>
      </c>
      <c r="H37" s="194">
        <v>30</v>
      </c>
      <c r="I37" s="352" t="s">
        <v>1851</v>
      </c>
      <c r="L37" s="446" t="s">
        <v>876</v>
      </c>
      <c r="M37" s="446">
        <v>3</v>
      </c>
      <c r="N37" s="446">
        <v>1</v>
      </c>
      <c r="O37" s="446" t="s">
        <v>746</v>
      </c>
      <c r="P37" s="449" t="s">
        <v>700</v>
      </c>
      <c r="Q37" s="449"/>
      <c r="R37" s="449"/>
      <c r="S37" s="449" t="s">
        <v>762</v>
      </c>
      <c r="T37" s="449" t="s">
        <v>701</v>
      </c>
      <c r="U37" s="452">
        <v>0</v>
      </c>
      <c r="V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 s="272" t="str">
        <f>IFERROR(SUMIFS(TransUnitCost[Miles],TransUnitCost[Grouping_ID],TransTonsShort[[#This Row],[Grouping_ID]],TransUnitCost[Transp_ID],TransTonsShort[[#This Row],[Transp_ID]])*TransTonsShort[[#This Row],[Trans_Tons_All]]/TransTonsShort[[#This Row],[Trans_Tons_All]],"")</f>
        <v/>
      </c>
      <c r="X37" s="386" t="str">
        <f>TransTonsShort[[#This Row],[Grouping_ID]]&amp;"-"&amp;TransTonsShort[[#This Row],[Sector_ID]]</f>
        <v>3-1</v>
      </c>
      <c r="Y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7" s="421">
        <f>INDEX(LandfillFees[Disposal Tip Fee 2025],MATCH(TransTonsShort[[#This Row],[Grouping_ID]],LandfillFees[Grouping_ID],0))</f>
        <v>72.030938699729589</v>
      </c>
      <c r="AA37" s="102">
        <f>IF(OR(TransTonsShort[[#This Row],[CollectionStream_ID]]="03",TransTonsShort[[#This Row],[CollectionStream_ID]]="04",TransTonsShort[[#This Row],[CollectionStream_ID]]="13"),0,TransTonsShort[[#This Row],[Trans_Tons_All]]*TransTonsShort[[#This Row],[Disposal_Fee]])</f>
        <v>0</v>
      </c>
      <c r="AF37" s="446" t="s">
        <v>1210</v>
      </c>
      <c r="AG37" s="442" t="str">
        <f>LEFT(SecondaryTransport[[#This Row],[Scenario_MRF_Bale_ID]],2)</f>
        <v>S2</v>
      </c>
      <c r="AH37" s="181" t="str">
        <f>LEFT(RIGHT(SecondaryTransport[[#This Row],[Scenario_MRF_Bale_ID]],10),2)</f>
        <v>02</v>
      </c>
      <c r="AI37" s="181" t="str">
        <f>INDEX(MRFs[MRF_Name],MATCH(SecondaryTransport[[#This Row],[MRF_ID]],MRFs[MRF_ID],0))</f>
        <v>1 MRF for SS (Salem)</v>
      </c>
      <c r="AJ37" s="181" t="str">
        <f>RIGHT(SecondaryTransport[[#This Row],[Scenario_MRF_Bale_ID]],7)</f>
        <v>1000-08</v>
      </c>
      <c r="AK37" s="181" t="str">
        <f>INDEX(Bales[Bale_Name],MATCH(SecondaryTransport[[#This Row],[Bale_ID]],Bales[Bale_ID],0))</f>
        <v>Polycoated cups and containers</v>
      </c>
      <c r="AL37" s="443">
        <f>INDEX(BaleMover[Total_Baled_tons],MATCH(SecondaryTransport[[#This Row],[Scenario_MRF_Bale_ID]],BaleMover[Scenario_MRF_Bale_ID],0))</f>
        <v>0</v>
      </c>
      <c r="AM37" s="443">
        <f>IF(INDEX(BaleMover[Miles],MATCH(SecondaryTransport[[#This Row],[Scenario_MRF_Bale_ID]],BaleMover[Scenario_MRF_Bale_ID],0))="",0,INDEX(BaleMover[Miles],MATCH(SecondaryTransport[[#This Row],[Scenario_MRF_Bale_ID]],BaleMover[Scenario_MRF_Bale_ID],0)))</f>
        <v>0</v>
      </c>
      <c r="AN37" s="251">
        <f>IF(SecondaryTransport[[#This Row],[Bale_ID]]="9000-01","costs elsewhere",SecondaryTransport[[#This Row],[Total_Baled_tons]]*SecondaryTransport[[#This Row],[Miles]])</f>
        <v>0</v>
      </c>
      <c r="AO37" s="352" t="str">
        <f>IF(LEFT(SecondaryTransport[[#This Row],[Bale_ID]],1)*1=5,IF(OR(SecondaryTransport[[#This Row],[MRF_ID]]="02",SecondaryTransport[[#This Row],[MRF_ID]]="08"),2,1),"")</f>
        <v/>
      </c>
      <c r="AP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 s="224" t="str">
        <f>IFERROR(IF(1*LEFT(SecondaryTransport[[#This Row],[Bale_ID]],1)=5,SecondaryTransport[[#This Row],[Ton-Miles]]*SecondaryTransport[[#This Row],[Cost_Per_Ton-Mile]],""),"")</f>
        <v/>
      </c>
      <c r="AS37" s="224" t="str">
        <f>IFERROR(IF(SecondaryTransport[[#This Row],[Container_Transfer]]="",(SecondaryTransport[[#This Row],[Ton-Miles]]*SecondaryTransport[[#This Row],[Cost_Per_Ton-Mile]]),""),"")</f>
        <v/>
      </c>
    </row>
    <row r="38" spans="2:45" ht="15" x14ac:dyDescent="0.25">
      <c r="B38" s="212">
        <v>4</v>
      </c>
      <c r="C38" t="str">
        <f>INDEX(Grouping[Grouping_Name],MATCH(TransUnitCost[[#This Row],[Grouping_ID]],Grouping[Grouping_ID],0))</f>
        <v>4 - Areas without curbside</v>
      </c>
      <c r="D38" t="s">
        <v>719</v>
      </c>
      <c r="E38" t="str">
        <f>INDEX(ConsTransp[Transp_Name],MATCH(TransUnitCost[[#This Row],[Transp_ID]],ConsTransp[Transp_ID],0))</f>
        <v>Drop-box</v>
      </c>
      <c r="F38" s="255">
        <v>0.96</v>
      </c>
      <c r="G38" s="4">
        <v>250</v>
      </c>
      <c r="H38" s="212">
        <v>4</v>
      </c>
      <c r="I38" s="212" t="s">
        <v>722</v>
      </c>
      <c r="L38" s="446" t="s">
        <v>876</v>
      </c>
      <c r="M38" s="446">
        <v>4</v>
      </c>
      <c r="N38" s="446">
        <v>1</v>
      </c>
      <c r="O38" s="446" t="s">
        <v>746</v>
      </c>
      <c r="P38" s="449" t="s">
        <v>700</v>
      </c>
      <c r="Q38" s="449"/>
      <c r="R38" s="449"/>
      <c r="S38" s="449" t="s">
        <v>762</v>
      </c>
      <c r="T38" s="449" t="s">
        <v>701</v>
      </c>
      <c r="U38" s="452">
        <v>0</v>
      </c>
      <c r="V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 s="272" t="str">
        <f>IFERROR(SUMIFS(TransUnitCost[Miles],TransUnitCost[Grouping_ID],TransTonsShort[[#This Row],[Grouping_ID]],TransUnitCost[Transp_ID],TransTonsShort[[#This Row],[Transp_ID]])*TransTonsShort[[#This Row],[Trans_Tons_All]]/TransTonsShort[[#This Row],[Trans_Tons_All]],"")</f>
        <v/>
      </c>
      <c r="X38" s="386" t="str">
        <f>TransTonsShort[[#This Row],[Grouping_ID]]&amp;"-"&amp;TransTonsShort[[#This Row],[Sector_ID]]</f>
        <v>4-1</v>
      </c>
      <c r="Y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8" s="421">
        <f>INDEX(LandfillFees[Disposal Tip Fee 2025],MATCH(TransTonsShort[[#This Row],[Grouping_ID]],LandfillFees[Grouping_ID],0))</f>
        <v>72.030938699729589</v>
      </c>
      <c r="AA38" s="102">
        <f>IF(OR(TransTonsShort[[#This Row],[CollectionStream_ID]]="03",TransTonsShort[[#This Row],[CollectionStream_ID]]="04",TransTonsShort[[#This Row],[CollectionStream_ID]]="13"),0,TransTonsShort[[#This Row],[Trans_Tons_All]]*TransTonsShort[[#This Row],[Disposal_Fee]])</f>
        <v>0</v>
      </c>
      <c r="AF38" s="446" t="s">
        <v>1211</v>
      </c>
      <c r="AG38" s="442" t="str">
        <f>LEFT(SecondaryTransport[[#This Row],[Scenario_MRF_Bale_ID]],2)</f>
        <v>S3</v>
      </c>
      <c r="AH38" s="181" t="str">
        <f>LEFT(RIGHT(SecondaryTransport[[#This Row],[Scenario_MRF_Bale_ID]],10),2)</f>
        <v>02</v>
      </c>
      <c r="AI38" s="181" t="str">
        <f>INDEX(MRFs[MRF_Name],MATCH(SecondaryTransport[[#This Row],[MRF_ID]],MRFs[MRF_ID],0))</f>
        <v>1 MRF for SS (Salem)</v>
      </c>
      <c r="AJ38" s="181" t="str">
        <f>RIGHT(SecondaryTransport[[#This Row],[Scenario_MRF_Bale_ID]],7)</f>
        <v>1000-08</v>
      </c>
      <c r="AK38" s="181" t="str">
        <f>INDEX(Bales[Bale_Name],MATCH(SecondaryTransport[[#This Row],[Bale_ID]],Bales[Bale_ID],0))</f>
        <v>Polycoated cups and containers</v>
      </c>
      <c r="AL38" s="443">
        <f>INDEX(BaleMover[Total_Baled_tons],MATCH(SecondaryTransport[[#This Row],[Scenario_MRF_Bale_ID]],BaleMover[Scenario_MRF_Bale_ID],0))</f>
        <v>0</v>
      </c>
      <c r="AM38" s="443">
        <f>IF(INDEX(BaleMover[Miles],MATCH(SecondaryTransport[[#This Row],[Scenario_MRF_Bale_ID]],BaleMover[Scenario_MRF_Bale_ID],0))="",0,INDEX(BaleMover[Miles],MATCH(SecondaryTransport[[#This Row],[Scenario_MRF_Bale_ID]],BaleMover[Scenario_MRF_Bale_ID],0)))</f>
        <v>0</v>
      </c>
      <c r="AN38" s="251">
        <f>IF(SecondaryTransport[[#This Row],[Bale_ID]]="9000-01","costs elsewhere",SecondaryTransport[[#This Row],[Total_Baled_tons]]*SecondaryTransport[[#This Row],[Miles]])</f>
        <v>0</v>
      </c>
      <c r="AO38" s="352" t="str">
        <f>IF(LEFT(SecondaryTransport[[#This Row],[Bale_ID]],1)*1=5,IF(OR(SecondaryTransport[[#This Row],[MRF_ID]]="02",SecondaryTransport[[#This Row],[MRF_ID]]="08"),2,1),"")</f>
        <v/>
      </c>
      <c r="AP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8" s="224" t="str">
        <f>IFERROR(IF(1*LEFT(SecondaryTransport[[#This Row],[Bale_ID]],1)=5,SecondaryTransport[[#This Row],[Ton-Miles]]*SecondaryTransport[[#This Row],[Cost_Per_Ton-Mile]],""),"")</f>
        <v/>
      </c>
      <c r="AS38" s="224" t="str">
        <f>IFERROR(IF(SecondaryTransport[[#This Row],[Container_Transfer]]="",(SecondaryTransport[[#This Row],[Ton-Miles]]*SecondaryTransport[[#This Row],[Cost_Per_Ton-Mile]]),""),"")</f>
        <v/>
      </c>
    </row>
    <row r="39" spans="2:45" ht="15" x14ac:dyDescent="0.25">
      <c r="B39" s="212">
        <v>4</v>
      </c>
      <c r="C39" s="194" t="str">
        <f>INDEX(Grouping[Grouping_Name],MATCH(TransUnitCost[[#This Row],[Grouping_ID]],Grouping[Grouping_ID],0))</f>
        <v>4 - Areas without curbside</v>
      </c>
      <c r="D39" s="252" t="s">
        <v>727</v>
      </c>
      <c r="E39" s="194" t="str">
        <f>INDEX(ConsTransp[Transp_Name],MATCH(TransUnitCost[[#This Row],[Transp_ID]],ConsTransp[Transp_ID],0))</f>
        <v>CRF containers (in Metro)</v>
      </c>
      <c r="F39" s="255">
        <v>0.51</v>
      </c>
      <c r="G39" s="4">
        <v>250</v>
      </c>
      <c r="H39" s="194">
        <v>14</v>
      </c>
      <c r="I39" s="352" t="s">
        <v>722</v>
      </c>
      <c r="L39" s="446" t="s">
        <v>876</v>
      </c>
      <c r="M39" s="446">
        <v>1</v>
      </c>
      <c r="N39" s="446">
        <v>1</v>
      </c>
      <c r="O39" s="446" t="s">
        <v>746</v>
      </c>
      <c r="P39" s="449" t="s">
        <v>746</v>
      </c>
      <c r="Q39" s="449"/>
      <c r="R39" s="449"/>
      <c r="S39" s="449" t="s">
        <v>762</v>
      </c>
      <c r="T39" s="449" t="s">
        <v>848</v>
      </c>
      <c r="U39" s="452">
        <v>0</v>
      </c>
      <c r="V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 s="272" t="str">
        <f>IFERROR(SUMIFS(TransUnitCost[Miles],TransUnitCost[Grouping_ID],TransTonsShort[[#This Row],[Grouping_ID]],TransUnitCost[Transp_ID],TransTonsShort[[#This Row],[Transp_ID]])*TransTonsShort[[#This Row],[Trans_Tons_All]]/TransTonsShort[[#This Row],[Trans_Tons_All]],"")</f>
        <v/>
      </c>
      <c r="X39" s="386" t="str">
        <f>TransTonsShort[[#This Row],[Grouping_ID]]&amp;"-"&amp;TransTonsShort[[#This Row],[Sector_ID]]</f>
        <v>1-1</v>
      </c>
      <c r="Y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 s="421">
        <f>INDEX(LandfillFees[Disposal Tip Fee 2025],MATCH(TransTonsShort[[#This Row],[Grouping_ID]],LandfillFees[Grouping_ID],0))</f>
        <v>134.68</v>
      </c>
      <c r="AA39" s="102">
        <f>IF(OR(TransTonsShort[[#This Row],[CollectionStream_ID]]="03",TransTonsShort[[#This Row],[CollectionStream_ID]]="04",TransTonsShort[[#This Row],[CollectionStream_ID]]="13"),0,TransTonsShort[[#This Row],[Trans_Tons_All]]*TransTonsShort[[#This Row],[Disposal_Fee]])</f>
        <v>0</v>
      </c>
      <c r="AF39" s="446" t="s">
        <v>1212</v>
      </c>
      <c r="AG39" s="442" t="str">
        <f>LEFT(SecondaryTransport[[#This Row],[Scenario_MRF_Bale_ID]],2)</f>
        <v>S0</v>
      </c>
      <c r="AH39" s="181" t="str">
        <f>LEFT(RIGHT(SecondaryTransport[[#This Row],[Scenario_MRF_Bale_ID]],10),2)</f>
        <v>02</v>
      </c>
      <c r="AI39" s="181" t="str">
        <f>INDEX(MRFs[MRF_Name],MATCH(SecondaryTransport[[#This Row],[MRF_ID]],MRFs[MRF_ID],0))</f>
        <v>1 MRF for SS (Salem)</v>
      </c>
      <c r="AJ39" s="181" t="str">
        <f>RIGHT(SecondaryTransport[[#This Row],[Scenario_MRF_Bale_ID]],7)</f>
        <v>2000-01</v>
      </c>
      <c r="AK39" s="181" t="str">
        <f>INDEX(Bales[Bale_Name],MATCH(SecondaryTransport[[#This Row],[Bale_ID]],Bales[Bale_ID],0))</f>
        <v>PET #1 bottles and jars </v>
      </c>
      <c r="AL39" s="443">
        <f>INDEX(BaleMover[Total_Baled_tons],MATCH(SecondaryTransport[[#This Row],[Scenario_MRF_Bale_ID]],BaleMover[Scenario_MRF_Bale_ID],0))</f>
        <v>2121.740377011457</v>
      </c>
      <c r="AM39" s="443">
        <f>IF(INDEX(BaleMover[Miles],MATCH(SecondaryTransport[[#This Row],[Scenario_MRF_Bale_ID]],BaleMover[Scenario_MRF_Bale_ID],0))="",0,INDEX(BaleMover[Miles],MATCH(SecondaryTransport[[#This Row],[Scenario_MRF_Bale_ID]],BaleMover[Scenario_MRF_Bale_ID],0)))</f>
        <v>620</v>
      </c>
      <c r="AN39" s="251">
        <f>IF(SecondaryTransport[[#This Row],[Bale_ID]]="9000-01","costs elsewhere",SecondaryTransport[[#This Row],[Total_Baled_tons]]*SecondaryTransport[[#This Row],[Miles]])</f>
        <v>1315479.0337471033</v>
      </c>
      <c r="AO39" s="352" t="str">
        <f>IF(LEFT(SecondaryTransport[[#This Row],[Bale_ID]],1)*1=5,IF(OR(SecondaryTransport[[#This Row],[MRF_ID]]="02",SecondaryTransport[[#This Row],[MRF_ID]]="08"),2,1),"")</f>
        <v/>
      </c>
      <c r="AP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9" s="224" t="str">
        <f>IFERROR(IF(1*LEFT(SecondaryTransport[[#This Row],[Bale_ID]],1)=5,SecondaryTransport[[#This Row],[Ton-Miles]]*SecondaryTransport[[#This Row],[Cost_Per_Ton-Mile]],""),"")</f>
        <v/>
      </c>
      <c r="AS39" s="224">
        <f>IFERROR(IF(SecondaryTransport[[#This Row],[Container_Transfer]]="",(SecondaryTransport[[#This Row],[Ton-Miles]]*SecondaryTransport[[#This Row],[Cost_Per_Ton-Mile]]),""),"")</f>
        <v>184167.06472459447</v>
      </c>
    </row>
    <row r="40" spans="2:45" ht="15" x14ac:dyDescent="0.25">
      <c r="B40" s="212">
        <v>4</v>
      </c>
      <c r="C40" s="194" t="str">
        <f>INDEX(Grouping[Grouping_Name],MATCH(TransUnitCost[[#This Row],[Grouping_ID]],Grouping[Grouping_ID],0))</f>
        <v>4 - Areas without curbside</v>
      </c>
      <c r="D40" s="252" t="s">
        <v>735</v>
      </c>
      <c r="E40" s="194" t="str">
        <f>INDEX(ConsTransp[Transp_Name],MATCH(TransUnitCost[[#This Row],[Transp_ID]],ConsTransp[Transp_ID],0))</f>
        <v>CRF containers (out of Metro)</v>
      </c>
      <c r="F40" s="255">
        <v>0.15</v>
      </c>
      <c r="G40" s="4">
        <v>550</v>
      </c>
      <c r="H40" s="194">
        <v>22</v>
      </c>
      <c r="I40" s="352" t="s">
        <v>722</v>
      </c>
      <c r="L40" s="446" t="s">
        <v>876</v>
      </c>
      <c r="M40" s="446">
        <v>2</v>
      </c>
      <c r="N40" s="446">
        <v>1</v>
      </c>
      <c r="O40" s="446" t="s">
        <v>746</v>
      </c>
      <c r="P40" s="449" t="s">
        <v>746</v>
      </c>
      <c r="Q40" s="449"/>
      <c r="R40" s="449"/>
      <c r="S40" s="449" t="s">
        <v>762</v>
      </c>
      <c r="T40" s="449" t="s">
        <v>848</v>
      </c>
      <c r="U40" s="452">
        <v>0</v>
      </c>
      <c r="V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 s="272" t="str">
        <f>IFERROR(SUMIFS(TransUnitCost[Miles],TransUnitCost[Grouping_ID],TransTonsShort[[#This Row],[Grouping_ID]],TransUnitCost[Transp_ID],TransTonsShort[[#This Row],[Transp_ID]])*TransTonsShort[[#This Row],[Trans_Tons_All]]/TransTonsShort[[#This Row],[Trans_Tons_All]],"")</f>
        <v/>
      </c>
      <c r="X40" s="386" t="str">
        <f>TransTonsShort[[#This Row],[Grouping_ID]]&amp;"-"&amp;TransTonsShort[[#This Row],[Sector_ID]]</f>
        <v>2-1</v>
      </c>
      <c r="Y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 s="421">
        <f>INDEX(LandfillFees[Disposal Tip Fee 2025],MATCH(TransTonsShort[[#This Row],[Grouping_ID]],LandfillFees[Grouping_ID],0))</f>
        <v>72.030938699729589</v>
      </c>
      <c r="AA40" s="102">
        <f>IF(OR(TransTonsShort[[#This Row],[CollectionStream_ID]]="03",TransTonsShort[[#This Row],[CollectionStream_ID]]="04",TransTonsShort[[#This Row],[CollectionStream_ID]]="13"),0,TransTonsShort[[#This Row],[Trans_Tons_All]]*TransTonsShort[[#This Row],[Disposal_Fee]])</f>
        <v>0</v>
      </c>
      <c r="AF40" s="446" t="s">
        <v>1213</v>
      </c>
      <c r="AG40" s="442" t="str">
        <f>LEFT(SecondaryTransport[[#This Row],[Scenario_MRF_Bale_ID]],2)</f>
        <v>S1</v>
      </c>
      <c r="AH40" s="181" t="str">
        <f>LEFT(RIGHT(SecondaryTransport[[#This Row],[Scenario_MRF_Bale_ID]],10),2)</f>
        <v>02</v>
      </c>
      <c r="AI40" s="181" t="str">
        <f>INDEX(MRFs[MRF_Name],MATCH(SecondaryTransport[[#This Row],[MRF_ID]],MRFs[MRF_ID],0))</f>
        <v>1 MRF for SS (Salem)</v>
      </c>
      <c r="AJ40" s="181" t="str">
        <f>RIGHT(SecondaryTransport[[#This Row],[Scenario_MRF_Bale_ID]],7)</f>
        <v>2000-01</v>
      </c>
      <c r="AK40" s="181" t="str">
        <f>INDEX(Bales[Bale_Name],MATCH(SecondaryTransport[[#This Row],[Bale_ID]],Bales[Bale_ID],0))</f>
        <v>PET #1 bottles and jars </v>
      </c>
      <c r="AL40" s="443">
        <f>INDEX(BaleMover[Total_Baled_tons],MATCH(SecondaryTransport[[#This Row],[Scenario_MRF_Bale_ID]],BaleMover[Scenario_MRF_Bale_ID],0))</f>
        <v>2007.9833614979054</v>
      </c>
      <c r="AM40" s="443">
        <f>IF(INDEX(BaleMover[Miles],MATCH(SecondaryTransport[[#This Row],[Scenario_MRF_Bale_ID]],BaleMover[Scenario_MRF_Bale_ID],0))="",0,INDEX(BaleMover[Miles],MATCH(SecondaryTransport[[#This Row],[Scenario_MRF_Bale_ID]],BaleMover[Scenario_MRF_Bale_ID],0)))</f>
        <v>620</v>
      </c>
      <c r="AN40" s="251">
        <f>IF(SecondaryTransport[[#This Row],[Bale_ID]]="9000-01","costs elsewhere",SecondaryTransport[[#This Row],[Total_Baled_tons]]*SecondaryTransport[[#This Row],[Miles]])</f>
        <v>1244949.6841287015</v>
      </c>
      <c r="AO40" s="352" t="str">
        <f>IF(LEFT(SecondaryTransport[[#This Row],[Bale_ID]],1)*1=5,IF(OR(SecondaryTransport[[#This Row],[MRF_ID]]="02",SecondaryTransport[[#This Row],[MRF_ID]]="08"),2,1),"")</f>
        <v/>
      </c>
      <c r="AP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0" s="224" t="str">
        <f>IFERROR(IF(1*LEFT(SecondaryTransport[[#This Row],[Bale_ID]],1)=5,SecondaryTransport[[#This Row],[Ton-Miles]]*SecondaryTransport[[#This Row],[Cost_Per_Ton-Mile]],""),"")</f>
        <v/>
      </c>
      <c r="AS40" s="224">
        <f>IFERROR(IF(SecondaryTransport[[#This Row],[Container_Transfer]]="",(SecondaryTransport[[#This Row],[Ton-Miles]]*SecondaryTransport[[#This Row],[Cost_Per_Ton-Mile]]),""),"")</f>
        <v>174292.95577801822</v>
      </c>
    </row>
    <row r="41" spans="2:45" ht="15" x14ac:dyDescent="0.25">
      <c r="B41">
        <v>4</v>
      </c>
      <c r="C41" t="str">
        <f>INDEX(Grouping[Grouping_Name],MATCH(TransUnitCost[[#This Row],[Grouping_ID]],Grouping[Grouping_ID],0))</f>
        <v>4 - Areas without curbside</v>
      </c>
      <c r="D41" t="s">
        <v>739</v>
      </c>
      <c r="E41" t="str">
        <f>INDEX(ConsTransp[Transp_Name],MATCH(TransUnitCost[[#This Row],[Transp_ID]],ConsTransp[Transp_ID],0))</f>
        <v>Glass &amp; scrap metal</v>
      </c>
      <c r="F41" s="255">
        <v>0.22</v>
      </c>
      <c r="G41" s="4">
        <v>250</v>
      </c>
      <c r="H41" s="212">
        <v>30</v>
      </c>
      <c r="I41" s="212" t="s">
        <v>722</v>
      </c>
      <c r="L41" s="446" t="s">
        <v>876</v>
      </c>
      <c r="M41" s="446">
        <v>3</v>
      </c>
      <c r="N41" s="446">
        <v>1</v>
      </c>
      <c r="O41" s="446" t="s">
        <v>746</v>
      </c>
      <c r="P41" s="449" t="s">
        <v>746</v>
      </c>
      <c r="Q41" s="449"/>
      <c r="R41" s="449"/>
      <c r="S41" s="449" t="s">
        <v>762</v>
      </c>
      <c r="T41" s="449" t="s">
        <v>848</v>
      </c>
      <c r="U41" s="452">
        <v>0</v>
      </c>
      <c r="V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 s="272" t="str">
        <f>IFERROR(SUMIFS(TransUnitCost[Miles],TransUnitCost[Grouping_ID],TransTonsShort[[#This Row],[Grouping_ID]],TransUnitCost[Transp_ID],TransTonsShort[[#This Row],[Transp_ID]])*TransTonsShort[[#This Row],[Trans_Tons_All]]/TransTonsShort[[#This Row],[Trans_Tons_All]],"")</f>
        <v/>
      </c>
      <c r="X41" s="386" t="str">
        <f>TransTonsShort[[#This Row],[Grouping_ID]]&amp;"-"&amp;TransTonsShort[[#This Row],[Sector_ID]]</f>
        <v>3-1</v>
      </c>
      <c r="Y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 s="421">
        <f>INDEX(LandfillFees[Disposal Tip Fee 2025],MATCH(TransTonsShort[[#This Row],[Grouping_ID]],LandfillFees[Grouping_ID],0))</f>
        <v>72.030938699729589</v>
      </c>
      <c r="AA41" s="102">
        <f>IF(OR(TransTonsShort[[#This Row],[CollectionStream_ID]]="03",TransTonsShort[[#This Row],[CollectionStream_ID]]="04",TransTonsShort[[#This Row],[CollectionStream_ID]]="13"),0,TransTonsShort[[#This Row],[Trans_Tons_All]]*TransTonsShort[[#This Row],[Disposal_Fee]])</f>
        <v>0</v>
      </c>
      <c r="AF41" s="446" t="s">
        <v>1214</v>
      </c>
      <c r="AG41" s="442" t="str">
        <f>LEFT(SecondaryTransport[[#This Row],[Scenario_MRF_Bale_ID]],2)</f>
        <v>S2</v>
      </c>
      <c r="AH41" s="181" t="str">
        <f>LEFT(RIGHT(SecondaryTransport[[#This Row],[Scenario_MRF_Bale_ID]],10),2)</f>
        <v>02</v>
      </c>
      <c r="AI41" s="181" t="str">
        <f>INDEX(MRFs[MRF_Name],MATCH(SecondaryTransport[[#This Row],[MRF_ID]],MRFs[MRF_ID],0))</f>
        <v>1 MRF for SS (Salem)</v>
      </c>
      <c r="AJ41" s="181" t="str">
        <f>RIGHT(SecondaryTransport[[#This Row],[Scenario_MRF_Bale_ID]],7)</f>
        <v>2000-01</v>
      </c>
      <c r="AK41" s="181" t="str">
        <f>INDEX(Bales[Bale_Name],MATCH(SecondaryTransport[[#This Row],[Bale_ID]],Bales[Bale_ID],0))</f>
        <v>PET #1 bottles and jars </v>
      </c>
      <c r="AL41" s="443">
        <f>INDEX(BaleMover[Total_Baled_tons],MATCH(SecondaryTransport[[#This Row],[Scenario_MRF_Bale_ID]],BaleMover[Scenario_MRF_Bale_ID],0))</f>
        <v>0</v>
      </c>
      <c r="AM41" s="443">
        <f>IF(INDEX(BaleMover[Miles],MATCH(SecondaryTransport[[#This Row],[Scenario_MRF_Bale_ID]],BaleMover[Scenario_MRF_Bale_ID],0))="",0,INDEX(BaleMover[Miles],MATCH(SecondaryTransport[[#This Row],[Scenario_MRF_Bale_ID]],BaleMover[Scenario_MRF_Bale_ID],0)))</f>
        <v>0</v>
      </c>
      <c r="AN41" s="251">
        <f>IF(SecondaryTransport[[#This Row],[Bale_ID]]="9000-01","costs elsewhere",SecondaryTransport[[#This Row],[Total_Baled_tons]]*SecondaryTransport[[#This Row],[Miles]])</f>
        <v>0</v>
      </c>
      <c r="AO41" s="352" t="str">
        <f>IF(LEFT(SecondaryTransport[[#This Row],[Bale_ID]],1)*1=5,IF(OR(SecondaryTransport[[#This Row],[MRF_ID]]="02",SecondaryTransport[[#This Row],[MRF_ID]]="08"),2,1),"")</f>
        <v/>
      </c>
      <c r="AP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 s="224" t="str">
        <f>IFERROR(IF(1*LEFT(SecondaryTransport[[#This Row],[Bale_ID]],1)=5,SecondaryTransport[[#This Row],[Ton-Miles]]*SecondaryTransport[[#This Row],[Cost_Per_Ton-Mile]],""),"")</f>
        <v/>
      </c>
      <c r="AS41" s="224" t="str">
        <f>IFERROR(IF(SecondaryTransport[[#This Row],[Container_Transfer]]="",(SecondaryTransport[[#This Row],[Ton-Miles]]*SecondaryTransport[[#This Row],[Cost_Per_Ton-Mile]]),""),"")</f>
        <v/>
      </c>
    </row>
    <row r="42" spans="2:45" ht="15" x14ac:dyDescent="0.25">
      <c r="B42">
        <v>4</v>
      </c>
      <c r="C42" t="str">
        <f>INDEX(Grouping[Grouping_Name],MATCH(TransUnitCost[[#This Row],[Grouping_ID]],Grouping[Grouping_ID],0))</f>
        <v>4 - Areas without curbside</v>
      </c>
      <c r="D42" t="s">
        <v>746</v>
      </c>
      <c r="E42" t="str">
        <f>INDEX(ConsTransp[Transp_Name],MATCH(TransUnitCost[[#This Row],[Transp_ID]],ConsTransp[Transp_ID],0))</f>
        <v>Walking floor (DS fiber)</v>
      </c>
      <c r="F42" s="255">
        <v>0.32</v>
      </c>
      <c r="G42" s="4">
        <v>250</v>
      </c>
      <c r="H42" s="212">
        <v>22</v>
      </c>
      <c r="I42" s="352" t="s">
        <v>722</v>
      </c>
      <c r="L42" s="446" t="s">
        <v>876</v>
      </c>
      <c r="M42" s="446">
        <v>4</v>
      </c>
      <c r="N42" s="446">
        <v>1</v>
      </c>
      <c r="O42" s="446" t="s">
        <v>746</v>
      </c>
      <c r="P42" s="449" t="s">
        <v>746</v>
      </c>
      <c r="Q42" s="449"/>
      <c r="R42" s="449"/>
      <c r="S42" s="449" t="s">
        <v>762</v>
      </c>
      <c r="T42" s="449" t="s">
        <v>848</v>
      </c>
      <c r="U42" s="452">
        <v>0</v>
      </c>
      <c r="V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 s="272" t="str">
        <f>IFERROR(SUMIFS(TransUnitCost[Miles],TransUnitCost[Grouping_ID],TransTonsShort[[#This Row],[Grouping_ID]],TransUnitCost[Transp_ID],TransTonsShort[[#This Row],[Transp_ID]])*TransTonsShort[[#This Row],[Trans_Tons_All]]/TransTonsShort[[#This Row],[Trans_Tons_All]],"")</f>
        <v/>
      </c>
      <c r="X42" s="386" t="str">
        <f>TransTonsShort[[#This Row],[Grouping_ID]]&amp;"-"&amp;TransTonsShort[[#This Row],[Sector_ID]]</f>
        <v>4-1</v>
      </c>
      <c r="Y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 s="421">
        <f>INDEX(LandfillFees[Disposal Tip Fee 2025],MATCH(TransTonsShort[[#This Row],[Grouping_ID]],LandfillFees[Grouping_ID],0))</f>
        <v>72.030938699729589</v>
      </c>
      <c r="AA42" s="102">
        <f>IF(OR(TransTonsShort[[#This Row],[CollectionStream_ID]]="03",TransTonsShort[[#This Row],[CollectionStream_ID]]="04",TransTonsShort[[#This Row],[CollectionStream_ID]]="13"),0,TransTonsShort[[#This Row],[Trans_Tons_All]]*TransTonsShort[[#This Row],[Disposal_Fee]])</f>
        <v>0</v>
      </c>
      <c r="AF42" s="446" t="s">
        <v>1215</v>
      </c>
      <c r="AG42" s="442" t="str">
        <f>LEFT(SecondaryTransport[[#This Row],[Scenario_MRF_Bale_ID]],2)</f>
        <v>S3</v>
      </c>
      <c r="AH42" s="181" t="str">
        <f>LEFT(RIGHT(SecondaryTransport[[#This Row],[Scenario_MRF_Bale_ID]],10),2)</f>
        <v>02</v>
      </c>
      <c r="AI42" s="181" t="str">
        <f>INDEX(MRFs[MRF_Name],MATCH(SecondaryTransport[[#This Row],[MRF_ID]],MRFs[MRF_ID],0))</f>
        <v>1 MRF for SS (Salem)</v>
      </c>
      <c r="AJ42" s="181" t="str">
        <f>RIGHT(SecondaryTransport[[#This Row],[Scenario_MRF_Bale_ID]],7)</f>
        <v>2000-01</v>
      </c>
      <c r="AK42" s="181" t="str">
        <f>INDEX(Bales[Bale_Name],MATCH(SecondaryTransport[[#This Row],[Bale_ID]],Bales[Bale_ID],0))</f>
        <v>PET #1 bottles and jars </v>
      </c>
      <c r="AL42" s="443">
        <f>INDEX(BaleMover[Total_Baled_tons],MATCH(SecondaryTransport[[#This Row],[Scenario_MRF_Bale_ID]],BaleMover[Scenario_MRF_Bale_ID],0))</f>
        <v>0</v>
      </c>
      <c r="AM42" s="443">
        <f>IF(INDEX(BaleMover[Miles],MATCH(SecondaryTransport[[#This Row],[Scenario_MRF_Bale_ID]],BaleMover[Scenario_MRF_Bale_ID],0))="",0,INDEX(BaleMover[Miles],MATCH(SecondaryTransport[[#This Row],[Scenario_MRF_Bale_ID]],BaleMover[Scenario_MRF_Bale_ID],0)))</f>
        <v>0</v>
      </c>
      <c r="AN42" s="251">
        <f>IF(SecondaryTransport[[#This Row],[Bale_ID]]="9000-01","costs elsewhere",SecondaryTransport[[#This Row],[Total_Baled_tons]]*SecondaryTransport[[#This Row],[Miles]])</f>
        <v>0</v>
      </c>
      <c r="AO42" s="352" t="str">
        <f>IF(LEFT(SecondaryTransport[[#This Row],[Bale_ID]],1)*1=5,IF(OR(SecondaryTransport[[#This Row],[MRF_ID]]="02",SecondaryTransport[[#This Row],[MRF_ID]]="08"),2,1),"")</f>
        <v/>
      </c>
      <c r="AP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2" s="224" t="str">
        <f>IFERROR(IF(1*LEFT(SecondaryTransport[[#This Row],[Bale_ID]],1)=5,SecondaryTransport[[#This Row],[Ton-Miles]]*SecondaryTransport[[#This Row],[Cost_Per_Ton-Mile]],""),"")</f>
        <v/>
      </c>
      <c r="AS42" s="224" t="str">
        <f>IFERROR(IF(SecondaryTransport[[#This Row],[Container_Transfer]]="",(SecondaryTransport[[#This Row],[Ton-Miles]]*SecondaryTransport[[#This Row],[Cost_Per_Ton-Mile]]),""),"")</f>
        <v/>
      </c>
    </row>
    <row r="43" spans="2:45" ht="15" x14ac:dyDescent="0.25">
      <c r="B43">
        <v>4</v>
      </c>
      <c r="C43" t="str">
        <f>INDEX(Grouping[Grouping_Name],MATCH(TransUnitCost[[#This Row],[Grouping_ID]],Grouping[Grouping_ID],0))</f>
        <v>4 - Areas without curbside</v>
      </c>
      <c r="D43" t="s">
        <v>748</v>
      </c>
      <c r="E43" t="str">
        <f>INDEX(ConsTransp[Transp_Name],MATCH(TransUnitCost[[#This Row],[Transp_ID]],ConsTransp[Transp_ID],0))</f>
        <v>Walking floor (DS containers)</v>
      </c>
      <c r="F43" s="255">
        <v>0.51</v>
      </c>
      <c r="G43" s="4">
        <v>250</v>
      </c>
      <c r="H43" s="212">
        <v>14</v>
      </c>
      <c r="I43" s="352" t="s">
        <v>722</v>
      </c>
      <c r="L43" s="446" t="s">
        <v>876</v>
      </c>
      <c r="M43" s="446">
        <v>1</v>
      </c>
      <c r="N43" s="446">
        <v>1</v>
      </c>
      <c r="O43" s="446" t="s">
        <v>706</v>
      </c>
      <c r="P43" s="450" t="s">
        <v>739</v>
      </c>
      <c r="Q43" s="450"/>
      <c r="R43" s="450"/>
      <c r="S43" s="449" t="s">
        <v>707</v>
      </c>
      <c r="T43" s="449" t="s">
        <v>1121</v>
      </c>
      <c r="U43" s="452">
        <v>0</v>
      </c>
      <c r="V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 s="272" t="str">
        <f>IFERROR(SUMIFS(TransUnitCost[Miles],TransUnitCost[Grouping_ID],TransTonsShort[[#This Row],[Grouping_ID]],TransUnitCost[Transp_ID],TransTonsShort[[#This Row],[Transp_ID]])*TransTonsShort[[#This Row],[Trans_Tons_All]]/TransTonsShort[[#This Row],[Trans_Tons_All]],"")</f>
        <v/>
      </c>
      <c r="X43" s="386" t="str">
        <f>TransTonsShort[[#This Row],[Grouping_ID]]&amp;"-"&amp;TransTonsShort[[#This Row],[Sector_ID]]</f>
        <v>1-1</v>
      </c>
      <c r="Y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 s="421">
        <f>INDEX(LandfillFees[Disposal Tip Fee 2025],MATCH(TransTonsShort[[#This Row],[Grouping_ID]],LandfillFees[Grouping_ID],0))</f>
        <v>134.68</v>
      </c>
      <c r="AA43" s="102">
        <f>IF(OR(TransTonsShort[[#This Row],[CollectionStream_ID]]="03",TransTonsShort[[#This Row],[CollectionStream_ID]]="04",TransTonsShort[[#This Row],[CollectionStream_ID]]="13"),0,TransTonsShort[[#This Row],[Trans_Tons_All]]*TransTonsShort[[#This Row],[Disposal_Fee]])</f>
        <v>0</v>
      </c>
      <c r="AF43" s="446" t="s">
        <v>1216</v>
      </c>
      <c r="AG43" s="442" t="str">
        <f>LEFT(SecondaryTransport[[#This Row],[Scenario_MRF_Bale_ID]],2)</f>
        <v>S0</v>
      </c>
      <c r="AH43" s="181" t="str">
        <f>LEFT(RIGHT(SecondaryTransport[[#This Row],[Scenario_MRF_Bale_ID]],10),2)</f>
        <v>02</v>
      </c>
      <c r="AI43" s="181" t="str">
        <f>INDEX(MRFs[MRF_Name],MATCH(SecondaryTransport[[#This Row],[MRF_ID]],MRFs[MRF_ID],0))</f>
        <v>1 MRF for SS (Salem)</v>
      </c>
      <c r="AJ43" s="181" t="str">
        <f>RIGHT(SecondaryTransport[[#This Row],[Scenario_MRF_Bale_ID]],7)</f>
        <v>2000-02</v>
      </c>
      <c r="AK43" s="181" t="str">
        <f>INDEX(Bales[Bale_Name],MATCH(SecondaryTransport[[#This Row],[Bale_ID]],Bales[Bale_ID],0))</f>
        <v>PET #1 thermoforms and tubs</v>
      </c>
      <c r="AL43" s="443">
        <f>INDEX(BaleMover[Total_Baled_tons],MATCH(SecondaryTransport[[#This Row],[Scenario_MRF_Bale_ID]],BaleMover[Scenario_MRF_Bale_ID],0))</f>
        <v>0</v>
      </c>
      <c r="AM43" s="443">
        <f>IF(INDEX(BaleMover[Miles],MATCH(SecondaryTransport[[#This Row],[Scenario_MRF_Bale_ID]],BaleMover[Scenario_MRF_Bale_ID],0))="",0,INDEX(BaleMover[Miles],MATCH(SecondaryTransport[[#This Row],[Scenario_MRF_Bale_ID]],BaleMover[Scenario_MRF_Bale_ID],0)))</f>
        <v>0</v>
      </c>
      <c r="AN43" s="251">
        <f>IF(SecondaryTransport[[#This Row],[Bale_ID]]="9000-01","costs elsewhere",SecondaryTransport[[#This Row],[Total_Baled_tons]]*SecondaryTransport[[#This Row],[Miles]])</f>
        <v>0</v>
      </c>
      <c r="AO43" s="352" t="str">
        <f>IF(LEFT(SecondaryTransport[[#This Row],[Bale_ID]],1)*1=5,IF(OR(SecondaryTransport[[#This Row],[MRF_ID]]="02",SecondaryTransport[[#This Row],[MRF_ID]]="08"),2,1),"")</f>
        <v/>
      </c>
      <c r="AP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3" s="224" t="str">
        <f>IFERROR(IF(1*LEFT(SecondaryTransport[[#This Row],[Bale_ID]],1)=5,SecondaryTransport[[#This Row],[Ton-Miles]]*SecondaryTransport[[#This Row],[Cost_Per_Ton-Mile]],""),"")</f>
        <v/>
      </c>
      <c r="AS43" s="224" t="str">
        <f>IFERROR(IF(SecondaryTransport[[#This Row],[Container_Transfer]]="",(SecondaryTransport[[#This Row],[Ton-Miles]]*SecondaryTransport[[#This Row],[Cost_Per_Ton-Mile]]),""),"")</f>
        <v/>
      </c>
    </row>
    <row r="44" spans="2:45" ht="15" x14ac:dyDescent="0.25">
      <c r="L44" s="446" t="s">
        <v>876</v>
      </c>
      <c r="M44" s="446">
        <v>2</v>
      </c>
      <c r="N44" s="446">
        <v>1</v>
      </c>
      <c r="O44" s="446" t="s">
        <v>706</v>
      </c>
      <c r="P44" s="450" t="s">
        <v>739</v>
      </c>
      <c r="Q44" s="450"/>
      <c r="R44" s="450"/>
      <c r="S44" s="449" t="s">
        <v>707</v>
      </c>
      <c r="T44" s="449" t="s">
        <v>1121</v>
      </c>
      <c r="U44" s="452">
        <v>10858.887070593693</v>
      </c>
      <c r="V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448472.03601551952</v>
      </c>
      <c r="W44" s="272">
        <f>IFERROR(SUMIFS(TransUnitCost[Miles],TransUnitCost[Grouping_ID],TransTonsShort[[#This Row],[Grouping_ID]],TransUnitCost[Transp_ID],TransTonsShort[[#This Row],[Transp_ID]])*TransTonsShort[[#This Row],[Trans_Tons_All]]/TransTonsShort[[#This Row],[Trans_Tons_All]],"")</f>
        <v>70</v>
      </c>
      <c r="X44" s="386" t="str">
        <f>TransTonsShort[[#This Row],[Grouping_ID]]&amp;"-"&amp;TransTonsShort[[#This Row],[Sector_ID]]</f>
        <v>2-1</v>
      </c>
      <c r="Y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 s="421">
        <f>INDEX(LandfillFees[Disposal Tip Fee 2025],MATCH(TransTonsShort[[#This Row],[Grouping_ID]],LandfillFees[Grouping_ID],0))</f>
        <v>72.030938699729589</v>
      </c>
      <c r="AA44" s="102">
        <f>IF(OR(TransTonsShort[[#This Row],[CollectionStream_ID]]="03",TransTonsShort[[#This Row],[CollectionStream_ID]]="04",TransTonsShort[[#This Row],[CollectionStream_ID]]="13"),0,TransTonsShort[[#This Row],[Trans_Tons_All]]*TransTonsShort[[#This Row],[Disposal_Fee]])</f>
        <v>782175.82892922056</v>
      </c>
      <c r="AF44" s="446" t="s">
        <v>1217</v>
      </c>
      <c r="AG44" s="442" t="str">
        <f>LEFT(SecondaryTransport[[#This Row],[Scenario_MRF_Bale_ID]],2)</f>
        <v>S1</v>
      </c>
      <c r="AH44" s="181" t="str">
        <f>LEFT(RIGHT(SecondaryTransport[[#This Row],[Scenario_MRF_Bale_ID]],10),2)</f>
        <v>02</v>
      </c>
      <c r="AI44" s="181" t="str">
        <f>INDEX(MRFs[MRF_Name],MATCH(SecondaryTransport[[#This Row],[MRF_ID]],MRFs[MRF_ID],0))</f>
        <v>1 MRF for SS (Salem)</v>
      </c>
      <c r="AJ44" s="181" t="str">
        <f>RIGHT(SecondaryTransport[[#This Row],[Scenario_MRF_Bale_ID]],7)</f>
        <v>2000-02</v>
      </c>
      <c r="AK44" s="181" t="str">
        <f>INDEX(Bales[Bale_Name],MATCH(SecondaryTransport[[#This Row],[Bale_ID]],Bales[Bale_ID],0))</f>
        <v>PET #1 thermoforms and tubs</v>
      </c>
      <c r="AL44" s="443">
        <f>INDEX(BaleMover[Total_Baled_tons],MATCH(SecondaryTransport[[#This Row],[Scenario_MRF_Bale_ID]],BaleMover[Scenario_MRF_Bale_ID],0))</f>
        <v>0</v>
      </c>
      <c r="AM44" s="443">
        <f>IF(INDEX(BaleMover[Miles],MATCH(SecondaryTransport[[#This Row],[Scenario_MRF_Bale_ID]],BaleMover[Scenario_MRF_Bale_ID],0))="",0,INDEX(BaleMover[Miles],MATCH(SecondaryTransport[[#This Row],[Scenario_MRF_Bale_ID]],BaleMover[Scenario_MRF_Bale_ID],0)))</f>
        <v>0</v>
      </c>
      <c r="AN44" s="251">
        <f>IF(SecondaryTransport[[#This Row],[Bale_ID]]="9000-01","costs elsewhere",SecondaryTransport[[#This Row],[Total_Baled_tons]]*SecondaryTransport[[#This Row],[Miles]])</f>
        <v>0</v>
      </c>
      <c r="AO44" s="352" t="str">
        <f>IF(LEFT(SecondaryTransport[[#This Row],[Bale_ID]],1)*1=5,IF(OR(SecondaryTransport[[#This Row],[MRF_ID]]="02",SecondaryTransport[[#This Row],[MRF_ID]]="08"),2,1),"")</f>
        <v/>
      </c>
      <c r="AP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 s="224" t="str">
        <f>IFERROR(IF(1*LEFT(SecondaryTransport[[#This Row],[Bale_ID]],1)=5,SecondaryTransport[[#This Row],[Ton-Miles]]*SecondaryTransport[[#This Row],[Cost_Per_Ton-Mile]],""),"")</f>
        <v/>
      </c>
      <c r="AS44" s="224" t="str">
        <f>IFERROR(IF(SecondaryTransport[[#This Row],[Container_Transfer]]="",(SecondaryTransport[[#This Row],[Ton-Miles]]*SecondaryTransport[[#This Row],[Cost_Per_Ton-Mile]]),""),"")</f>
        <v/>
      </c>
    </row>
    <row r="45" spans="2:45" ht="15" x14ac:dyDescent="0.25">
      <c r="L45" s="446" t="s">
        <v>876</v>
      </c>
      <c r="M45" s="446">
        <v>3</v>
      </c>
      <c r="N45" s="446">
        <v>1</v>
      </c>
      <c r="O45" s="446" t="s">
        <v>706</v>
      </c>
      <c r="P45" s="450" t="s">
        <v>739</v>
      </c>
      <c r="Q45" s="450"/>
      <c r="R45" s="450"/>
      <c r="S45" s="449" t="s">
        <v>707</v>
      </c>
      <c r="T45" s="449" t="s">
        <v>1121</v>
      </c>
      <c r="U45" s="452">
        <v>2098.715933855005</v>
      </c>
      <c r="V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75553.773618780178</v>
      </c>
      <c r="W45" s="272">
        <f>IFERROR(SUMIFS(TransUnitCost[Miles],TransUnitCost[Grouping_ID],TransTonsShort[[#This Row],[Grouping_ID]],TransUnitCost[Transp_ID],TransTonsShort[[#This Row],[Transp_ID]])*TransTonsShort[[#This Row],[Trans_Tons_All]]/TransTonsShort[[#This Row],[Trans_Tons_All]],"")</f>
        <v>150</v>
      </c>
      <c r="X45" s="386" t="str">
        <f>TransTonsShort[[#This Row],[Grouping_ID]]&amp;"-"&amp;TransTonsShort[[#This Row],[Sector_ID]]</f>
        <v>3-1</v>
      </c>
      <c r="Y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 s="421">
        <f>INDEX(LandfillFees[Disposal Tip Fee 2025],MATCH(TransTonsShort[[#This Row],[Grouping_ID]],LandfillFees[Grouping_ID],0))</f>
        <v>72.030938699729589</v>
      </c>
      <c r="AA45" s="102">
        <f>IF(OR(TransTonsShort[[#This Row],[CollectionStream_ID]]="03",TransTonsShort[[#This Row],[CollectionStream_ID]]="04",TransTonsShort[[#This Row],[CollectionStream_ID]]="13"),0,TransTonsShort[[#This Row],[Trans_Tons_All]]*TransTonsShort[[#This Row],[Disposal_Fee]])</f>
        <v>151172.47877965559</v>
      </c>
      <c r="AF45" s="446" t="s">
        <v>1218</v>
      </c>
      <c r="AG45" s="442" t="str">
        <f>LEFT(SecondaryTransport[[#This Row],[Scenario_MRF_Bale_ID]],2)</f>
        <v>S2</v>
      </c>
      <c r="AH45" s="181" t="str">
        <f>LEFT(RIGHT(SecondaryTransport[[#This Row],[Scenario_MRF_Bale_ID]],10),2)</f>
        <v>02</v>
      </c>
      <c r="AI45" s="181" t="str">
        <f>INDEX(MRFs[MRF_Name],MATCH(SecondaryTransport[[#This Row],[MRF_ID]],MRFs[MRF_ID],0))</f>
        <v>1 MRF for SS (Salem)</v>
      </c>
      <c r="AJ45" s="181" t="str">
        <f>RIGHT(SecondaryTransport[[#This Row],[Scenario_MRF_Bale_ID]],7)</f>
        <v>2000-02</v>
      </c>
      <c r="AK45" s="181" t="str">
        <f>INDEX(Bales[Bale_Name],MATCH(SecondaryTransport[[#This Row],[Bale_ID]],Bales[Bale_ID],0))</f>
        <v>PET #1 thermoforms and tubs</v>
      </c>
      <c r="AL45" s="443">
        <f>INDEX(BaleMover[Total_Baled_tons],MATCH(SecondaryTransport[[#This Row],[Scenario_MRF_Bale_ID]],BaleMover[Scenario_MRF_Bale_ID],0))</f>
        <v>0</v>
      </c>
      <c r="AM45" s="443">
        <f>IF(INDEX(BaleMover[Miles],MATCH(SecondaryTransport[[#This Row],[Scenario_MRF_Bale_ID]],BaleMover[Scenario_MRF_Bale_ID],0))="",0,INDEX(BaleMover[Miles],MATCH(SecondaryTransport[[#This Row],[Scenario_MRF_Bale_ID]],BaleMover[Scenario_MRF_Bale_ID],0)))</f>
        <v>0</v>
      </c>
      <c r="AN45" s="251">
        <f>IF(SecondaryTransport[[#This Row],[Bale_ID]]="9000-01","costs elsewhere",SecondaryTransport[[#This Row],[Total_Baled_tons]]*SecondaryTransport[[#This Row],[Miles]])</f>
        <v>0</v>
      </c>
      <c r="AO45" s="352" t="str">
        <f>IF(LEFT(SecondaryTransport[[#This Row],[Bale_ID]],1)*1=5,IF(OR(SecondaryTransport[[#This Row],[MRF_ID]]="02",SecondaryTransport[[#This Row],[MRF_ID]]="08"),2,1),"")</f>
        <v/>
      </c>
      <c r="AP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 s="224" t="str">
        <f>IFERROR(IF(1*LEFT(SecondaryTransport[[#This Row],[Bale_ID]],1)=5,SecondaryTransport[[#This Row],[Ton-Miles]]*SecondaryTransport[[#This Row],[Cost_Per_Ton-Mile]],""),"")</f>
        <v/>
      </c>
      <c r="AS45" s="224" t="str">
        <f>IFERROR(IF(SecondaryTransport[[#This Row],[Container_Transfer]]="",(SecondaryTransport[[#This Row],[Ton-Miles]]*SecondaryTransport[[#This Row],[Cost_Per_Ton-Mile]]),""),"")</f>
        <v/>
      </c>
    </row>
    <row r="46" spans="2:45" ht="15" x14ac:dyDescent="0.25">
      <c r="L46" s="446" t="s">
        <v>876</v>
      </c>
      <c r="M46" s="446">
        <v>4</v>
      </c>
      <c r="N46" s="446">
        <v>1</v>
      </c>
      <c r="O46" s="446" t="s">
        <v>706</v>
      </c>
      <c r="P46" s="450" t="s">
        <v>739</v>
      </c>
      <c r="Q46" s="450"/>
      <c r="R46" s="450"/>
      <c r="S46" s="449" t="s">
        <v>707</v>
      </c>
      <c r="T46" s="449" t="s">
        <v>1121</v>
      </c>
      <c r="U46" s="452">
        <v>2.8572275826359177</v>
      </c>
      <c r="V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157.14751704497547</v>
      </c>
      <c r="W46" s="272">
        <f>IFERROR(SUMIFS(TransUnitCost[Miles],TransUnitCost[Grouping_ID],TransTonsShort[[#This Row],[Grouping_ID]],TransUnitCost[Transp_ID],TransTonsShort[[#This Row],[Transp_ID]])*TransTonsShort[[#This Row],[Trans_Tons_All]]/TransTonsShort[[#This Row],[Trans_Tons_All]],"")</f>
        <v>250</v>
      </c>
      <c r="X46" s="386" t="str">
        <f>TransTonsShort[[#This Row],[Grouping_ID]]&amp;"-"&amp;TransTonsShort[[#This Row],[Sector_ID]]</f>
        <v>4-1</v>
      </c>
      <c r="Y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6" s="421">
        <f>INDEX(LandfillFees[Disposal Tip Fee 2025],MATCH(TransTonsShort[[#This Row],[Grouping_ID]],LandfillFees[Grouping_ID],0))</f>
        <v>72.030938699729589</v>
      </c>
      <c r="AA46" s="102">
        <f>IF(OR(TransTonsShort[[#This Row],[CollectionStream_ID]]="03",TransTonsShort[[#This Row],[CollectionStream_ID]]="04",TransTonsShort[[#This Row],[CollectionStream_ID]]="13"),0,TransTonsShort[[#This Row],[Trans_Tons_All]]*TransTonsShort[[#This Row],[Disposal_Fee]])</f>
        <v>205.80878485602435</v>
      </c>
      <c r="AF46" s="446" t="s">
        <v>1219</v>
      </c>
      <c r="AG46" s="442" t="str">
        <f>LEFT(SecondaryTransport[[#This Row],[Scenario_MRF_Bale_ID]],2)</f>
        <v>S3</v>
      </c>
      <c r="AH46" s="181" t="str">
        <f>LEFT(RIGHT(SecondaryTransport[[#This Row],[Scenario_MRF_Bale_ID]],10),2)</f>
        <v>02</v>
      </c>
      <c r="AI46" s="181" t="str">
        <f>INDEX(MRFs[MRF_Name],MATCH(SecondaryTransport[[#This Row],[MRF_ID]],MRFs[MRF_ID],0))</f>
        <v>1 MRF for SS (Salem)</v>
      </c>
      <c r="AJ46" s="181" t="str">
        <f>RIGHT(SecondaryTransport[[#This Row],[Scenario_MRF_Bale_ID]],7)</f>
        <v>2000-02</v>
      </c>
      <c r="AK46" s="181" t="str">
        <f>INDEX(Bales[Bale_Name],MATCH(SecondaryTransport[[#This Row],[Bale_ID]],Bales[Bale_ID],0))</f>
        <v>PET #1 thermoforms and tubs</v>
      </c>
      <c r="AL46" s="443">
        <f>INDEX(BaleMover[Total_Baled_tons],MATCH(SecondaryTransport[[#This Row],[Scenario_MRF_Bale_ID]],BaleMover[Scenario_MRF_Bale_ID],0))</f>
        <v>0</v>
      </c>
      <c r="AM46" s="443">
        <f>IF(INDEX(BaleMover[Miles],MATCH(SecondaryTransport[[#This Row],[Scenario_MRF_Bale_ID]],BaleMover[Scenario_MRF_Bale_ID],0))="",0,INDEX(BaleMover[Miles],MATCH(SecondaryTransport[[#This Row],[Scenario_MRF_Bale_ID]],BaleMover[Scenario_MRF_Bale_ID],0)))</f>
        <v>0</v>
      </c>
      <c r="AN46" s="251">
        <f>IF(SecondaryTransport[[#This Row],[Bale_ID]]="9000-01","costs elsewhere",SecondaryTransport[[#This Row],[Total_Baled_tons]]*SecondaryTransport[[#This Row],[Miles]])</f>
        <v>0</v>
      </c>
      <c r="AO46" s="352" t="str">
        <f>IF(LEFT(SecondaryTransport[[#This Row],[Bale_ID]],1)*1=5,IF(OR(SecondaryTransport[[#This Row],[MRF_ID]]="02",SecondaryTransport[[#This Row],[MRF_ID]]="08"),2,1),"")</f>
        <v/>
      </c>
      <c r="AP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 s="224" t="str">
        <f>IFERROR(IF(1*LEFT(SecondaryTransport[[#This Row],[Bale_ID]],1)=5,SecondaryTransport[[#This Row],[Ton-Miles]]*SecondaryTransport[[#This Row],[Cost_Per_Ton-Mile]],""),"")</f>
        <v/>
      </c>
      <c r="AS46" s="224" t="str">
        <f>IFERROR(IF(SecondaryTransport[[#This Row],[Container_Transfer]]="",(SecondaryTransport[[#This Row],[Ton-Miles]]*SecondaryTransport[[#This Row],[Cost_Per_Ton-Mile]]),""),"")</f>
        <v/>
      </c>
    </row>
    <row r="47" spans="2:45" ht="15" x14ac:dyDescent="0.25">
      <c r="L47" s="446" t="s">
        <v>876</v>
      </c>
      <c r="M47" s="446">
        <v>1</v>
      </c>
      <c r="N47" s="446">
        <v>1</v>
      </c>
      <c r="O47" s="446" t="s">
        <v>706</v>
      </c>
      <c r="P47" s="449" t="s">
        <v>700</v>
      </c>
      <c r="Q47" s="449"/>
      <c r="R47" s="449"/>
      <c r="S47" s="449" t="s">
        <v>707</v>
      </c>
      <c r="T47" s="449" t="s">
        <v>701</v>
      </c>
      <c r="U47" s="452">
        <v>21172.973465126317</v>
      </c>
      <c r="V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 s="272">
        <f>IFERROR(SUMIFS(TransUnitCost[Miles],TransUnitCost[Grouping_ID],TransTonsShort[[#This Row],[Grouping_ID]],TransUnitCost[Transp_ID],TransTonsShort[[#This Row],[Transp_ID]])*TransTonsShort[[#This Row],[Trans_Tons_All]]/TransTonsShort[[#This Row],[Trans_Tons_All]],"")</f>
        <v>0</v>
      </c>
      <c r="X47" s="386" t="str">
        <f>TransTonsShort[[#This Row],[Grouping_ID]]&amp;"-"&amp;TransTonsShort[[#This Row],[Sector_ID]]</f>
        <v>1-1</v>
      </c>
      <c r="Y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7" s="421">
        <f>INDEX(LandfillFees[Disposal Tip Fee 2025],MATCH(TransTonsShort[[#This Row],[Grouping_ID]],LandfillFees[Grouping_ID],0))</f>
        <v>134.68</v>
      </c>
      <c r="AA47" s="102">
        <f>IF(OR(TransTonsShort[[#This Row],[CollectionStream_ID]]="03",TransTonsShort[[#This Row],[CollectionStream_ID]]="04",TransTonsShort[[#This Row],[CollectionStream_ID]]="13"),0,TransTonsShort[[#This Row],[Trans_Tons_All]]*TransTonsShort[[#This Row],[Disposal_Fee]])</f>
        <v>2851576.0662832125</v>
      </c>
      <c r="AF47" s="446" t="s">
        <v>1220</v>
      </c>
      <c r="AG47" s="442" t="str">
        <f>LEFT(SecondaryTransport[[#This Row],[Scenario_MRF_Bale_ID]],2)</f>
        <v>S0</v>
      </c>
      <c r="AH47" s="181" t="str">
        <f>LEFT(RIGHT(SecondaryTransport[[#This Row],[Scenario_MRF_Bale_ID]],10),2)</f>
        <v>02</v>
      </c>
      <c r="AI47" s="181" t="str">
        <f>INDEX(MRFs[MRF_Name],MATCH(SecondaryTransport[[#This Row],[MRF_ID]],MRFs[MRF_ID],0))</f>
        <v>1 MRF for SS (Salem)</v>
      </c>
      <c r="AJ47" s="181" t="str">
        <f>RIGHT(SecondaryTransport[[#This Row],[Scenario_MRF_Bale_ID]],7)</f>
        <v>2000-03</v>
      </c>
      <c r="AK47" s="181" t="str">
        <f>INDEX(Bales[Bale_Name],MATCH(SecondaryTransport[[#This Row],[Bale_ID]],Bales[Bale_ID],0))</f>
        <v>HDPE #2 natural bottles </v>
      </c>
      <c r="AL47" s="443">
        <f>INDEX(BaleMover[Total_Baled_tons],MATCH(SecondaryTransport[[#This Row],[Scenario_MRF_Bale_ID]],BaleMover[Scenario_MRF_Bale_ID],0))</f>
        <v>651.81795741268343</v>
      </c>
      <c r="AM47" s="443">
        <f>IF(INDEX(BaleMover[Miles],MATCH(SecondaryTransport[[#This Row],[Scenario_MRF_Bale_ID]],BaleMover[Scenario_MRF_Bale_ID],0))="",0,INDEX(BaleMover[Miles],MATCH(SecondaryTransport[[#This Row],[Scenario_MRF_Bale_ID]],BaleMover[Scenario_MRF_Bale_ID],0)))</f>
        <v>915</v>
      </c>
      <c r="AN47" s="251">
        <f>IF(SecondaryTransport[[#This Row],[Bale_ID]]="9000-01","costs elsewhere",SecondaryTransport[[#This Row],[Total_Baled_tons]]*SecondaryTransport[[#This Row],[Miles]])</f>
        <v>596413.43103260535</v>
      </c>
      <c r="AO47" s="352" t="str">
        <f>IF(LEFT(SecondaryTransport[[#This Row],[Bale_ID]],1)*1=5,IF(OR(SecondaryTransport[[#This Row],[MRF_ID]]="02",SecondaryTransport[[#This Row],[MRF_ID]]="08"),2,1),"")</f>
        <v/>
      </c>
      <c r="AP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7" s="224" t="str">
        <f>IFERROR(IF(1*LEFT(SecondaryTransport[[#This Row],[Bale_ID]],1)=5,SecondaryTransport[[#This Row],[Ton-Miles]]*SecondaryTransport[[#This Row],[Cost_Per_Ton-Mile]],""),"")</f>
        <v/>
      </c>
      <c r="AS47" s="224">
        <f>IFERROR(IF(SecondaryTransport[[#This Row],[Container_Transfer]]="",(SecondaryTransport[[#This Row],[Ton-Miles]]*SecondaryTransport[[#This Row],[Cost_Per_Ton-Mile]]),""),"")</f>
        <v>83497.880344564765</v>
      </c>
    </row>
    <row r="48" spans="2:45" ht="15" x14ac:dyDescent="0.25">
      <c r="L48" s="446" t="s">
        <v>876</v>
      </c>
      <c r="M48" s="446">
        <v>2</v>
      </c>
      <c r="N48" s="446">
        <v>1</v>
      </c>
      <c r="O48" s="446" t="s">
        <v>706</v>
      </c>
      <c r="P48" s="449" t="s">
        <v>700</v>
      </c>
      <c r="Q48" s="449"/>
      <c r="R48" s="449"/>
      <c r="S48" s="449" t="s">
        <v>707</v>
      </c>
      <c r="T48" s="449" t="s">
        <v>701</v>
      </c>
      <c r="U48" s="452">
        <v>0</v>
      </c>
      <c r="V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 s="272" t="str">
        <f>IFERROR(SUMIFS(TransUnitCost[Miles],TransUnitCost[Grouping_ID],TransTonsShort[[#This Row],[Grouping_ID]],TransUnitCost[Transp_ID],TransTonsShort[[#This Row],[Transp_ID]])*TransTonsShort[[#This Row],[Trans_Tons_All]]/TransTonsShort[[#This Row],[Trans_Tons_All]],"")</f>
        <v/>
      </c>
      <c r="X48" s="386" t="str">
        <f>TransTonsShort[[#This Row],[Grouping_ID]]&amp;"-"&amp;TransTonsShort[[#This Row],[Sector_ID]]</f>
        <v>2-1</v>
      </c>
      <c r="Y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8" s="421">
        <f>INDEX(LandfillFees[Disposal Tip Fee 2025],MATCH(TransTonsShort[[#This Row],[Grouping_ID]],LandfillFees[Grouping_ID],0))</f>
        <v>72.030938699729589</v>
      </c>
      <c r="AA48" s="102">
        <f>IF(OR(TransTonsShort[[#This Row],[CollectionStream_ID]]="03",TransTonsShort[[#This Row],[CollectionStream_ID]]="04",TransTonsShort[[#This Row],[CollectionStream_ID]]="13"),0,TransTonsShort[[#This Row],[Trans_Tons_All]]*TransTonsShort[[#This Row],[Disposal_Fee]])</f>
        <v>0</v>
      </c>
      <c r="AF48" s="446" t="s">
        <v>1221</v>
      </c>
      <c r="AG48" s="442" t="str">
        <f>LEFT(SecondaryTransport[[#This Row],[Scenario_MRF_Bale_ID]],2)</f>
        <v>S1</v>
      </c>
      <c r="AH48" s="181" t="str">
        <f>LEFT(RIGHT(SecondaryTransport[[#This Row],[Scenario_MRF_Bale_ID]],10),2)</f>
        <v>02</v>
      </c>
      <c r="AI48" s="181" t="str">
        <f>INDEX(MRFs[MRF_Name],MATCH(SecondaryTransport[[#This Row],[MRF_ID]],MRFs[MRF_ID],0))</f>
        <v>1 MRF for SS (Salem)</v>
      </c>
      <c r="AJ48" s="181" t="str">
        <f>RIGHT(SecondaryTransport[[#This Row],[Scenario_MRF_Bale_ID]],7)</f>
        <v>2000-03</v>
      </c>
      <c r="AK48" s="181" t="str">
        <f>INDEX(Bales[Bale_Name],MATCH(SecondaryTransport[[#This Row],[Bale_ID]],Bales[Bale_ID],0))</f>
        <v>HDPE #2 natural bottles </v>
      </c>
      <c r="AL48" s="443">
        <f>INDEX(BaleMover[Total_Baled_tons],MATCH(SecondaryTransport[[#This Row],[Scenario_MRF_Bale_ID]],BaleMover[Scenario_MRF_Bale_ID],0))</f>
        <v>623.34769245303494</v>
      </c>
      <c r="AM48" s="443">
        <f>IF(INDEX(BaleMover[Miles],MATCH(SecondaryTransport[[#This Row],[Scenario_MRF_Bale_ID]],BaleMover[Scenario_MRF_Bale_ID],0))="",0,INDEX(BaleMover[Miles],MATCH(SecondaryTransport[[#This Row],[Scenario_MRF_Bale_ID]],BaleMover[Scenario_MRF_Bale_ID],0)))</f>
        <v>915</v>
      </c>
      <c r="AN48" s="251">
        <f>IF(SecondaryTransport[[#This Row],[Bale_ID]]="9000-01","costs elsewhere",SecondaryTransport[[#This Row],[Total_Baled_tons]]*SecondaryTransport[[#This Row],[Miles]])</f>
        <v>570363.13859452691</v>
      </c>
      <c r="AO48" s="352" t="str">
        <f>IF(LEFT(SecondaryTransport[[#This Row],[Bale_ID]],1)*1=5,IF(OR(SecondaryTransport[[#This Row],[MRF_ID]]="02",SecondaryTransport[[#This Row],[MRF_ID]]="08"),2,1),"")</f>
        <v/>
      </c>
      <c r="AP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8" s="224" t="str">
        <f>IFERROR(IF(1*LEFT(SecondaryTransport[[#This Row],[Bale_ID]],1)=5,SecondaryTransport[[#This Row],[Ton-Miles]]*SecondaryTransport[[#This Row],[Cost_Per_Ton-Mile]],""),"")</f>
        <v/>
      </c>
      <c r="AS48" s="224">
        <f>IFERROR(IF(SecondaryTransport[[#This Row],[Container_Transfer]]="",(SecondaryTransport[[#This Row],[Ton-Miles]]*SecondaryTransport[[#This Row],[Cost_Per_Ton-Mile]]),""),"")</f>
        <v>79850.839403233782</v>
      </c>
    </row>
    <row r="49" spans="12:45" ht="15" x14ac:dyDescent="0.25">
      <c r="L49" s="446" t="s">
        <v>876</v>
      </c>
      <c r="M49" s="446">
        <v>3</v>
      </c>
      <c r="N49" s="446">
        <v>1</v>
      </c>
      <c r="O49" s="446" t="s">
        <v>706</v>
      </c>
      <c r="P49" s="449" t="s">
        <v>700</v>
      </c>
      <c r="Q49" s="449"/>
      <c r="R49" s="449"/>
      <c r="S49" s="449" t="s">
        <v>707</v>
      </c>
      <c r="T49" s="449" t="s">
        <v>701</v>
      </c>
      <c r="U49" s="452">
        <v>0</v>
      </c>
      <c r="V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 s="272" t="str">
        <f>IFERROR(SUMIFS(TransUnitCost[Miles],TransUnitCost[Grouping_ID],TransTonsShort[[#This Row],[Grouping_ID]],TransUnitCost[Transp_ID],TransTonsShort[[#This Row],[Transp_ID]])*TransTonsShort[[#This Row],[Trans_Tons_All]]/TransTonsShort[[#This Row],[Trans_Tons_All]],"")</f>
        <v/>
      </c>
      <c r="X49" s="386" t="str">
        <f>TransTonsShort[[#This Row],[Grouping_ID]]&amp;"-"&amp;TransTonsShort[[#This Row],[Sector_ID]]</f>
        <v>3-1</v>
      </c>
      <c r="Y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 s="421">
        <f>INDEX(LandfillFees[Disposal Tip Fee 2025],MATCH(TransTonsShort[[#This Row],[Grouping_ID]],LandfillFees[Grouping_ID],0))</f>
        <v>72.030938699729589</v>
      </c>
      <c r="AA49" s="102">
        <f>IF(OR(TransTonsShort[[#This Row],[CollectionStream_ID]]="03",TransTonsShort[[#This Row],[CollectionStream_ID]]="04",TransTonsShort[[#This Row],[CollectionStream_ID]]="13"),0,TransTonsShort[[#This Row],[Trans_Tons_All]]*TransTonsShort[[#This Row],[Disposal_Fee]])</f>
        <v>0</v>
      </c>
      <c r="AF49" s="446" t="s">
        <v>1222</v>
      </c>
      <c r="AG49" s="442" t="str">
        <f>LEFT(SecondaryTransport[[#This Row],[Scenario_MRF_Bale_ID]],2)</f>
        <v>S2</v>
      </c>
      <c r="AH49" s="181" t="str">
        <f>LEFT(RIGHT(SecondaryTransport[[#This Row],[Scenario_MRF_Bale_ID]],10),2)</f>
        <v>02</v>
      </c>
      <c r="AI49" s="181" t="str">
        <f>INDEX(MRFs[MRF_Name],MATCH(SecondaryTransport[[#This Row],[MRF_ID]],MRFs[MRF_ID],0))</f>
        <v>1 MRF for SS (Salem)</v>
      </c>
      <c r="AJ49" s="181" t="str">
        <f>RIGHT(SecondaryTransport[[#This Row],[Scenario_MRF_Bale_ID]],7)</f>
        <v>2000-03</v>
      </c>
      <c r="AK49" s="181" t="str">
        <f>INDEX(Bales[Bale_Name],MATCH(SecondaryTransport[[#This Row],[Bale_ID]],Bales[Bale_ID],0))</f>
        <v>HDPE #2 natural bottles </v>
      </c>
      <c r="AL49" s="443">
        <f>INDEX(BaleMover[Total_Baled_tons],MATCH(SecondaryTransport[[#This Row],[Scenario_MRF_Bale_ID]],BaleMover[Scenario_MRF_Bale_ID],0))</f>
        <v>0</v>
      </c>
      <c r="AM49" s="443">
        <f>IF(INDEX(BaleMover[Miles],MATCH(SecondaryTransport[[#This Row],[Scenario_MRF_Bale_ID]],BaleMover[Scenario_MRF_Bale_ID],0))="",0,INDEX(BaleMover[Miles],MATCH(SecondaryTransport[[#This Row],[Scenario_MRF_Bale_ID]],BaleMover[Scenario_MRF_Bale_ID],0)))</f>
        <v>0</v>
      </c>
      <c r="AN49" s="251">
        <f>IF(SecondaryTransport[[#This Row],[Bale_ID]]="9000-01","costs elsewhere",SecondaryTransport[[#This Row],[Total_Baled_tons]]*SecondaryTransport[[#This Row],[Miles]])</f>
        <v>0</v>
      </c>
      <c r="AO49" s="352" t="str">
        <f>IF(LEFT(SecondaryTransport[[#This Row],[Bale_ID]],1)*1=5,IF(OR(SecondaryTransport[[#This Row],[MRF_ID]]="02",SecondaryTransport[[#This Row],[MRF_ID]]="08"),2,1),"")</f>
        <v/>
      </c>
      <c r="AP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9" s="224" t="str">
        <f>IFERROR(IF(1*LEFT(SecondaryTransport[[#This Row],[Bale_ID]],1)=5,SecondaryTransport[[#This Row],[Ton-Miles]]*SecondaryTransport[[#This Row],[Cost_Per_Ton-Mile]],""),"")</f>
        <v/>
      </c>
      <c r="AS49" s="224" t="str">
        <f>IFERROR(IF(SecondaryTransport[[#This Row],[Container_Transfer]]="",(SecondaryTransport[[#This Row],[Ton-Miles]]*SecondaryTransport[[#This Row],[Cost_Per_Ton-Mile]]),""),"")</f>
        <v/>
      </c>
    </row>
    <row r="50" spans="12:45" ht="15" x14ac:dyDescent="0.25">
      <c r="L50" s="446" t="s">
        <v>876</v>
      </c>
      <c r="M50" s="446">
        <v>4</v>
      </c>
      <c r="N50" s="446">
        <v>1</v>
      </c>
      <c r="O50" s="446" t="s">
        <v>706</v>
      </c>
      <c r="P50" s="449" t="s">
        <v>700</v>
      </c>
      <c r="Q50" s="449"/>
      <c r="R50" s="449"/>
      <c r="S50" s="449" t="s">
        <v>707</v>
      </c>
      <c r="T50" s="449" t="s">
        <v>701</v>
      </c>
      <c r="U50" s="452">
        <v>0</v>
      </c>
      <c r="V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 s="272" t="str">
        <f>IFERROR(SUMIFS(TransUnitCost[Miles],TransUnitCost[Grouping_ID],TransTonsShort[[#This Row],[Grouping_ID]],TransUnitCost[Transp_ID],TransTonsShort[[#This Row],[Transp_ID]])*TransTonsShort[[#This Row],[Trans_Tons_All]]/TransTonsShort[[#This Row],[Trans_Tons_All]],"")</f>
        <v/>
      </c>
      <c r="X50" s="386" t="str">
        <f>TransTonsShort[[#This Row],[Grouping_ID]]&amp;"-"&amp;TransTonsShort[[#This Row],[Sector_ID]]</f>
        <v>4-1</v>
      </c>
      <c r="Y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 s="421">
        <f>INDEX(LandfillFees[Disposal Tip Fee 2025],MATCH(TransTonsShort[[#This Row],[Grouping_ID]],LandfillFees[Grouping_ID],0))</f>
        <v>72.030938699729589</v>
      </c>
      <c r="AA50" s="102">
        <f>IF(OR(TransTonsShort[[#This Row],[CollectionStream_ID]]="03",TransTonsShort[[#This Row],[CollectionStream_ID]]="04",TransTonsShort[[#This Row],[CollectionStream_ID]]="13"),0,TransTonsShort[[#This Row],[Trans_Tons_All]]*TransTonsShort[[#This Row],[Disposal_Fee]])</f>
        <v>0</v>
      </c>
      <c r="AF50" s="446" t="s">
        <v>1223</v>
      </c>
      <c r="AG50" s="442" t="str">
        <f>LEFT(SecondaryTransport[[#This Row],[Scenario_MRF_Bale_ID]],2)</f>
        <v>S3</v>
      </c>
      <c r="AH50" s="181" t="str">
        <f>LEFT(RIGHT(SecondaryTransport[[#This Row],[Scenario_MRF_Bale_ID]],10),2)</f>
        <v>02</v>
      </c>
      <c r="AI50" s="181" t="str">
        <f>INDEX(MRFs[MRF_Name],MATCH(SecondaryTransport[[#This Row],[MRF_ID]],MRFs[MRF_ID],0))</f>
        <v>1 MRF for SS (Salem)</v>
      </c>
      <c r="AJ50" s="181" t="str">
        <f>RIGHT(SecondaryTransport[[#This Row],[Scenario_MRF_Bale_ID]],7)</f>
        <v>2000-03</v>
      </c>
      <c r="AK50" s="181" t="str">
        <f>INDEX(Bales[Bale_Name],MATCH(SecondaryTransport[[#This Row],[Bale_ID]],Bales[Bale_ID],0))</f>
        <v>HDPE #2 natural bottles </v>
      </c>
      <c r="AL50" s="443">
        <f>INDEX(BaleMover[Total_Baled_tons],MATCH(SecondaryTransport[[#This Row],[Scenario_MRF_Bale_ID]],BaleMover[Scenario_MRF_Bale_ID],0))</f>
        <v>0</v>
      </c>
      <c r="AM50" s="443">
        <f>IF(INDEX(BaleMover[Miles],MATCH(SecondaryTransport[[#This Row],[Scenario_MRF_Bale_ID]],BaleMover[Scenario_MRF_Bale_ID],0))="",0,INDEX(BaleMover[Miles],MATCH(SecondaryTransport[[#This Row],[Scenario_MRF_Bale_ID]],BaleMover[Scenario_MRF_Bale_ID],0)))</f>
        <v>0</v>
      </c>
      <c r="AN50" s="251">
        <f>IF(SecondaryTransport[[#This Row],[Bale_ID]]="9000-01","costs elsewhere",SecondaryTransport[[#This Row],[Total_Baled_tons]]*SecondaryTransport[[#This Row],[Miles]])</f>
        <v>0</v>
      </c>
      <c r="AO50" s="352" t="str">
        <f>IF(LEFT(SecondaryTransport[[#This Row],[Bale_ID]],1)*1=5,IF(OR(SecondaryTransport[[#This Row],[MRF_ID]]="02",SecondaryTransport[[#This Row],[MRF_ID]]="08"),2,1),"")</f>
        <v/>
      </c>
      <c r="AP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 s="224" t="str">
        <f>IFERROR(IF(1*LEFT(SecondaryTransport[[#This Row],[Bale_ID]],1)=5,SecondaryTransport[[#This Row],[Ton-Miles]]*SecondaryTransport[[#This Row],[Cost_Per_Ton-Mile]],""),"")</f>
        <v/>
      </c>
      <c r="AS50" s="224" t="str">
        <f>IFERROR(IF(SecondaryTransport[[#This Row],[Container_Transfer]]="",(SecondaryTransport[[#This Row],[Ton-Miles]]*SecondaryTransport[[#This Row],[Cost_Per_Ton-Mile]]),""),"")</f>
        <v/>
      </c>
    </row>
    <row r="51" spans="12:45" ht="15" x14ac:dyDescent="0.25">
      <c r="L51" s="446" t="s">
        <v>876</v>
      </c>
      <c r="M51" s="446">
        <v>1</v>
      </c>
      <c r="N51" s="446">
        <v>1</v>
      </c>
      <c r="O51" s="446" t="s">
        <v>752</v>
      </c>
      <c r="P51" s="449" t="s">
        <v>719</v>
      </c>
      <c r="Q51" s="449"/>
      <c r="R51" s="449"/>
      <c r="S51" s="449" t="s">
        <v>964</v>
      </c>
      <c r="T51" s="449" t="s">
        <v>1055</v>
      </c>
      <c r="U51" s="452">
        <v>0</v>
      </c>
      <c r="V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 s="272" t="str">
        <f>IFERROR(SUMIFS(TransUnitCost[Miles],TransUnitCost[Grouping_ID],TransTonsShort[[#This Row],[Grouping_ID]],TransUnitCost[Transp_ID],TransTonsShort[[#This Row],[Transp_ID]])*TransTonsShort[[#This Row],[Trans_Tons_All]]/TransTonsShort[[#This Row],[Trans_Tons_All]],"")</f>
        <v/>
      </c>
      <c r="X51" s="386" t="str">
        <f>TransTonsShort[[#This Row],[Grouping_ID]]&amp;"-"&amp;TransTonsShort[[#This Row],[Sector_ID]]</f>
        <v>1-1</v>
      </c>
      <c r="Y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 s="421">
        <f>INDEX(LandfillFees[Disposal Tip Fee 2025],MATCH(TransTonsShort[[#This Row],[Grouping_ID]],LandfillFees[Grouping_ID],0))</f>
        <v>134.68</v>
      </c>
      <c r="AA51" s="102">
        <f>IF(OR(TransTonsShort[[#This Row],[CollectionStream_ID]]="03",TransTonsShort[[#This Row],[CollectionStream_ID]]="04",TransTonsShort[[#This Row],[CollectionStream_ID]]="13"),0,TransTonsShort[[#This Row],[Trans_Tons_All]]*TransTonsShort[[#This Row],[Disposal_Fee]])</f>
        <v>0</v>
      </c>
      <c r="AF51" s="446" t="s">
        <v>1224</v>
      </c>
      <c r="AG51" s="442" t="str">
        <f>LEFT(SecondaryTransport[[#This Row],[Scenario_MRF_Bale_ID]],2)</f>
        <v>S0</v>
      </c>
      <c r="AH51" s="181" t="str">
        <f>LEFT(RIGHT(SecondaryTransport[[#This Row],[Scenario_MRF_Bale_ID]],10),2)</f>
        <v>02</v>
      </c>
      <c r="AI51" s="181" t="str">
        <f>INDEX(MRFs[MRF_Name],MATCH(SecondaryTransport[[#This Row],[MRF_ID]],MRFs[MRF_ID],0))</f>
        <v>1 MRF for SS (Salem)</v>
      </c>
      <c r="AJ51" s="181" t="str">
        <f>RIGHT(SecondaryTransport[[#This Row],[Scenario_MRF_Bale_ID]],7)</f>
        <v>2000-04</v>
      </c>
      <c r="AK51" s="181" t="str">
        <f>INDEX(Bales[Bale_Name],MATCH(SecondaryTransport[[#This Row],[Bale_ID]],Bales[Bale_ID],0))</f>
        <v>HDPE #2 colored bottles </v>
      </c>
      <c r="AL51" s="443">
        <f>INDEX(BaleMover[Total_Baled_tons],MATCH(SecondaryTransport[[#This Row],[Scenario_MRF_Bale_ID]],BaleMover[Scenario_MRF_Bale_ID],0))</f>
        <v>896.24969144243937</v>
      </c>
      <c r="AM51" s="443">
        <f>IF(INDEX(BaleMover[Miles],MATCH(SecondaryTransport[[#This Row],[Scenario_MRF_Bale_ID]],BaleMover[Scenario_MRF_Bale_ID],0))="",0,INDEX(BaleMover[Miles],MATCH(SecondaryTransport[[#This Row],[Scenario_MRF_Bale_ID]],BaleMover[Scenario_MRF_Bale_ID],0)))</f>
        <v>915</v>
      </c>
      <c r="AN51" s="251">
        <f>IF(SecondaryTransport[[#This Row],[Bale_ID]]="9000-01","costs elsewhere",SecondaryTransport[[#This Row],[Total_Baled_tons]]*SecondaryTransport[[#This Row],[Miles]])</f>
        <v>820068.46766983205</v>
      </c>
      <c r="AO51" s="352" t="str">
        <f>IF(LEFT(SecondaryTransport[[#This Row],[Bale_ID]],1)*1=5,IF(OR(SecondaryTransport[[#This Row],[MRF_ID]]="02",SecondaryTransport[[#This Row],[MRF_ID]]="08"),2,1),"")</f>
        <v/>
      </c>
      <c r="AP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 s="224" t="str">
        <f>IFERROR(IF(1*LEFT(SecondaryTransport[[#This Row],[Bale_ID]],1)=5,SecondaryTransport[[#This Row],[Ton-Miles]]*SecondaryTransport[[#This Row],[Cost_Per_Ton-Mile]],""),"")</f>
        <v/>
      </c>
      <c r="AS51" s="224">
        <f>IFERROR(IF(SecondaryTransport[[#This Row],[Container_Transfer]]="",(SecondaryTransport[[#This Row],[Ton-Miles]]*SecondaryTransport[[#This Row],[Cost_Per_Ton-Mile]]),""),"")</f>
        <v>114809.5854737765</v>
      </c>
    </row>
    <row r="52" spans="12:45" ht="15" x14ac:dyDescent="0.25">
      <c r="L52" s="446" t="s">
        <v>876</v>
      </c>
      <c r="M52" s="446">
        <v>2</v>
      </c>
      <c r="N52" s="446">
        <v>1</v>
      </c>
      <c r="O52" s="446" t="s">
        <v>752</v>
      </c>
      <c r="P52" s="449" t="s">
        <v>719</v>
      </c>
      <c r="Q52" s="449"/>
      <c r="R52" s="449"/>
      <c r="S52" s="449" t="s">
        <v>964</v>
      </c>
      <c r="T52" s="449" t="s">
        <v>1055</v>
      </c>
      <c r="U52" s="452">
        <v>0</v>
      </c>
      <c r="V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 s="272" t="str">
        <f>IFERROR(SUMIFS(TransUnitCost[Miles],TransUnitCost[Grouping_ID],TransTonsShort[[#This Row],[Grouping_ID]],TransUnitCost[Transp_ID],TransTonsShort[[#This Row],[Transp_ID]])*TransTonsShort[[#This Row],[Trans_Tons_All]]/TransTonsShort[[#This Row],[Trans_Tons_All]],"")</f>
        <v/>
      </c>
      <c r="X52" s="386" t="str">
        <f>TransTonsShort[[#This Row],[Grouping_ID]]&amp;"-"&amp;TransTonsShort[[#This Row],[Sector_ID]]</f>
        <v>2-1</v>
      </c>
      <c r="Y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2" s="421">
        <f>INDEX(LandfillFees[Disposal Tip Fee 2025],MATCH(TransTonsShort[[#This Row],[Grouping_ID]],LandfillFees[Grouping_ID],0))</f>
        <v>72.030938699729589</v>
      </c>
      <c r="AA52" s="102">
        <f>IF(OR(TransTonsShort[[#This Row],[CollectionStream_ID]]="03",TransTonsShort[[#This Row],[CollectionStream_ID]]="04",TransTonsShort[[#This Row],[CollectionStream_ID]]="13"),0,TransTonsShort[[#This Row],[Trans_Tons_All]]*TransTonsShort[[#This Row],[Disposal_Fee]])</f>
        <v>0</v>
      </c>
      <c r="AF52" s="446" t="s">
        <v>1225</v>
      </c>
      <c r="AG52" s="442" t="str">
        <f>LEFT(SecondaryTransport[[#This Row],[Scenario_MRF_Bale_ID]],2)</f>
        <v>S1</v>
      </c>
      <c r="AH52" s="181" t="str">
        <f>LEFT(RIGHT(SecondaryTransport[[#This Row],[Scenario_MRF_Bale_ID]],10),2)</f>
        <v>02</v>
      </c>
      <c r="AI52" s="181" t="str">
        <f>INDEX(MRFs[MRF_Name],MATCH(SecondaryTransport[[#This Row],[MRF_ID]],MRFs[MRF_ID],0))</f>
        <v>1 MRF for SS (Salem)</v>
      </c>
      <c r="AJ52" s="181" t="str">
        <f>RIGHT(SecondaryTransport[[#This Row],[Scenario_MRF_Bale_ID]],7)</f>
        <v>2000-04</v>
      </c>
      <c r="AK52" s="181" t="str">
        <f>INDEX(Bales[Bale_Name],MATCH(SecondaryTransport[[#This Row],[Bale_ID]],Bales[Bale_ID],0))</f>
        <v>HDPE #2 colored bottles </v>
      </c>
      <c r="AL52" s="443">
        <f>INDEX(BaleMover[Total_Baled_tons],MATCH(SecondaryTransport[[#This Row],[Scenario_MRF_Bale_ID]],BaleMover[Scenario_MRF_Bale_ID],0))</f>
        <v>857.10307712292308</v>
      </c>
      <c r="AM52" s="443">
        <f>IF(INDEX(BaleMover[Miles],MATCH(SecondaryTransport[[#This Row],[Scenario_MRF_Bale_ID]],BaleMover[Scenario_MRF_Bale_ID],0))="",0,INDEX(BaleMover[Miles],MATCH(SecondaryTransport[[#This Row],[Scenario_MRF_Bale_ID]],BaleMover[Scenario_MRF_Bale_ID],0)))</f>
        <v>915</v>
      </c>
      <c r="AN52" s="251">
        <f>IF(SecondaryTransport[[#This Row],[Bale_ID]]="9000-01","costs elsewhere",SecondaryTransport[[#This Row],[Total_Baled_tons]]*SecondaryTransport[[#This Row],[Miles]])</f>
        <v>784249.31556747458</v>
      </c>
      <c r="AO52" s="352" t="str">
        <f>IF(LEFT(SecondaryTransport[[#This Row],[Bale_ID]],1)*1=5,IF(OR(SecondaryTransport[[#This Row],[MRF_ID]]="02",SecondaryTransport[[#This Row],[MRF_ID]]="08"),2,1),"")</f>
        <v/>
      </c>
      <c r="AP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 s="224" t="str">
        <f>IFERROR(IF(1*LEFT(SecondaryTransport[[#This Row],[Bale_ID]],1)=5,SecondaryTransport[[#This Row],[Ton-Miles]]*SecondaryTransport[[#This Row],[Cost_Per_Ton-Mile]],""),"")</f>
        <v/>
      </c>
      <c r="AS52" s="224">
        <f>IFERROR(IF(SecondaryTransport[[#This Row],[Container_Transfer]]="",(SecondaryTransport[[#This Row],[Ton-Miles]]*SecondaryTransport[[#This Row],[Cost_Per_Ton-Mile]]),""),"")</f>
        <v>109794.90417944646</v>
      </c>
    </row>
    <row r="53" spans="12:45" ht="15" x14ac:dyDescent="0.25">
      <c r="L53" s="446" t="s">
        <v>876</v>
      </c>
      <c r="M53" s="446">
        <v>3</v>
      </c>
      <c r="N53" s="446">
        <v>1</v>
      </c>
      <c r="O53" s="446" t="s">
        <v>752</v>
      </c>
      <c r="P53" s="449" t="s">
        <v>719</v>
      </c>
      <c r="Q53" s="449"/>
      <c r="R53" s="449"/>
      <c r="S53" s="449" t="s">
        <v>964</v>
      </c>
      <c r="T53" s="449" t="s">
        <v>1055</v>
      </c>
      <c r="U53" s="452">
        <v>0</v>
      </c>
      <c r="V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 s="272" t="str">
        <f>IFERROR(SUMIFS(TransUnitCost[Miles],TransUnitCost[Grouping_ID],TransTonsShort[[#This Row],[Grouping_ID]],TransUnitCost[Transp_ID],TransTonsShort[[#This Row],[Transp_ID]])*TransTonsShort[[#This Row],[Trans_Tons_All]]/TransTonsShort[[#This Row],[Trans_Tons_All]],"")</f>
        <v/>
      </c>
      <c r="X53" s="386" t="str">
        <f>TransTonsShort[[#This Row],[Grouping_ID]]&amp;"-"&amp;TransTonsShort[[#This Row],[Sector_ID]]</f>
        <v>3-1</v>
      </c>
      <c r="Y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3" s="421">
        <f>INDEX(LandfillFees[Disposal Tip Fee 2025],MATCH(TransTonsShort[[#This Row],[Grouping_ID]],LandfillFees[Grouping_ID],0))</f>
        <v>72.030938699729589</v>
      </c>
      <c r="AA53" s="102">
        <f>IF(OR(TransTonsShort[[#This Row],[CollectionStream_ID]]="03",TransTonsShort[[#This Row],[CollectionStream_ID]]="04",TransTonsShort[[#This Row],[CollectionStream_ID]]="13"),0,TransTonsShort[[#This Row],[Trans_Tons_All]]*TransTonsShort[[#This Row],[Disposal_Fee]])</f>
        <v>0</v>
      </c>
      <c r="AF53" s="446" t="s">
        <v>1226</v>
      </c>
      <c r="AG53" s="442" t="str">
        <f>LEFT(SecondaryTransport[[#This Row],[Scenario_MRF_Bale_ID]],2)</f>
        <v>S2</v>
      </c>
      <c r="AH53" s="181" t="str">
        <f>LEFT(RIGHT(SecondaryTransport[[#This Row],[Scenario_MRF_Bale_ID]],10),2)</f>
        <v>02</v>
      </c>
      <c r="AI53" s="181" t="str">
        <f>INDEX(MRFs[MRF_Name],MATCH(SecondaryTransport[[#This Row],[MRF_ID]],MRFs[MRF_ID],0))</f>
        <v>1 MRF for SS (Salem)</v>
      </c>
      <c r="AJ53" s="181" t="str">
        <f>RIGHT(SecondaryTransport[[#This Row],[Scenario_MRF_Bale_ID]],7)</f>
        <v>2000-04</v>
      </c>
      <c r="AK53" s="181" t="str">
        <f>INDEX(Bales[Bale_Name],MATCH(SecondaryTransport[[#This Row],[Bale_ID]],Bales[Bale_ID],0))</f>
        <v>HDPE #2 colored bottles </v>
      </c>
      <c r="AL53" s="443">
        <f>INDEX(BaleMover[Total_Baled_tons],MATCH(SecondaryTransport[[#This Row],[Scenario_MRF_Bale_ID]],BaleMover[Scenario_MRF_Bale_ID],0))</f>
        <v>0</v>
      </c>
      <c r="AM53" s="443">
        <f>IF(INDEX(BaleMover[Miles],MATCH(SecondaryTransport[[#This Row],[Scenario_MRF_Bale_ID]],BaleMover[Scenario_MRF_Bale_ID],0))="",0,INDEX(BaleMover[Miles],MATCH(SecondaryTransport[[#This Row],[Scenario_MRF_Bale_ID]],BaleMover[Scenario_MRF_Bale_ID],0)))</f>
        <v>0</v>
      </c>
      <c r="AN53" s="251">
        <f>IF(SecondaryTransport[[#This Row],[Bale_ID]]="9000-01","costs elsewhere",SecondaryTransport[[#This Row],[Total_Baled_tons]]*SecondaryTransport[[#This Row],[Miles]])</f>
        <v>0</v>
      </c>
      <c r="AO53" s="352" t="str">
        <f>IF(LEFT(SecondaryTransport[[#This Row],[Bale_ID]],1)*1=5,IF(OR(SecondaryTransport[[#This Row],[MRF_ID]]="02",SecondaryTransport[[#This Row],[MRF_ID]]="08"),2,1),"")</f>
        <v/>
      </c>
      <c r="AP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3" s="224" t="str">
        <f>IFERROR(IF(1*LEFT(SecondaryTransport[[#This Row],[Bale_ID]],1)=5,SecondaryTransport[[#This Row],[Ton-Miles]]*SecondaryTransport[[#This Row],[Cost_Per_Ton-Mile]],""),"")</f>
        <v/>
      </c>
      <c r="AS53" s="224" t="str">
        <f>IFERROR(IF(SecondaryTransport[[#This Row],[Container_Transfer]]="",(SecondaryTransport[[#This Row],[Ton-Miles]]*SecondaryTransport[[#This Row],[Cost_Per_Ton-Mile]]),""),"")</f>
        <v/>
      </c>
    </row>
    <row r="54" spans="12:45" ht="15" x14ac:dyDescent="0.25">
      <c r="L54" s="446" t="s">
        <v>876</v>
      </c>
      <c r="M54" s="446">
        <v>4</v>
      </c>
      <c r="N54" s="446">
        <v>1</v>
      </c>
      <c r="O54" s="446" t="s">
        <v>752</v>
      </c>
      <c r="P54" s="449" t="s">
        <v>719</v>
      </c>
      <c r="Q54" s="449"/>
      <c r="R54" s="449"/>
      <c r="S54" s="449" t="s">
        <v>964</v>
      </c>
      <c r="T54" s="449" t="s">
        <v>1055</v>
      </c>
      <c r="U54" s="452">
        <v>0</v>
      </c>
      <c r="V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 s="272" t="str">
        <f>IFERROR(SUMIFS(TransUnitCost[Miles],TransUnitCost[Grouping_ID],TransTonsShort[[#This Row],[Grouping_ID]],TransUnitCost[Transp_ID],TransTonsShort[[#This Row],[Transp_ID]])*TransTonsShort[[#This Row],[Trans_Tons_All]]/TransTonsShort[[#This Row],[Trans_Tons_All]],"")</f>
        <v/>
      </c>
      <c r="X54" s="386" t="str">
        <f>TransTonsShort[[#This Row],[Grouping_ID]]&amp;"-"&amp;TransTonsShort[[#This Row],[Sector_ID]]</f>
        <v>4-1</v>
      </c>
      <c r="Y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4" s="421">
        <f>INDEX(LandfillFees[Disposal Tip Fee 2025],MATCH(TransTonsShort[[#This Row],[Grouping_ID]],LandfillFees[Grouping_ID],0))</f>
        <v>72.030938699729589</v>
      </c>
      <c r="AA54" s="102">
        <f>IF(OR(TransTonsShort[[#This Row],[CollectionStream_ID]]="03",TransTonsShort[[#This Row],[CollectionStream_ID]]="04",TransTonsShort[[#This Row],[CollectionStream_ID]]="13"),0,TransTonsShort[[#This Row],[Trans_Tons_All]]*TransTonsShort[[#This Row],[Disposal_Fee]])</f>
        <v>0</v>
      </c>
      <c r="AF54" s="446" t="s">
        <v>1227</v>
      </c>
      <c r="AG54" s="442" t="str">
        <f>LEFT(SecondaryTransport[[#This Row],[Scenario_MRF_Bale_ID]],2)</f>
        <v>S3</v>
      </c>
      <c r="AH54" s="181" t="str">
        <f>LEFT(RIGHT(SecondaryTransport[[#This Row],[Scenario_MRF_Bale_ID]],10),2)</f>
        <v>02</v>
      </c>
      <c r="AI54" s="181" t="str">
        <f>INDEX(MRFs[MRF_Name],MATCH(SecondaryTransport[[#This Row],[MRF_ID]],MRFs[MRF_ID],0))</f>
        <v>1 MRF for SS (Salem)</v>
      </c>
      <c r="AJ54" s="181" t="str">
        <f>RIGHT(SecondaryTransport[[#This Row],[Scenario_MRF_Bale_ID]],7)</f>
        <v>2000-04</v>
      </c>
      <c r="AK54" s="181" t="str">
        <f>INDEX(Bales[Bale_Name],MATCH(SecondaryTransport[[#This Row],[Bale_ID]],Bales[Bale_ID],0))</f>
        <v>HDPE #2 colored bottles </v>
      </c>
      <c r="AL54" s="443">
        <f>INDEX(BaleMover[Total_Baled_tons],MATCH(SecondaryTransport[[#This Row],[Scenario_MRF_Bale_ID]],BaleMover[Scenario_MRF_Bale_ID],0))</f>
        <v>0</v>
      </c>
      <c r="AM54" s="443">
        <f>IF(INDEX(BaleMover[Miles],MATCH(SecondaryTransport[[#This Row],[Scenario_MRF_Bale_ID]],BaleMover[Scenario_MRF_Bale_ID],0))="",0,INDEX(BaleMover[Miles],MATCH(SecondaryTransport[[#This Row],[Scenario_MRF_Bale_ID]],BaleMover[Scenario_MRF_Bale_ID],0)))</f>
        <v>0</v>
      </c>
      <c r="AN54" s="251">
        <f>IF(SecondaryTransport[[#This Row],[Bale_ID]]="9000-01","costs elsewhere",SecondaryTransport[[#This Row],[Total_Baled_tons]]*SecondaryTransport[[#This Row],[Miles]])</f>
        <v>0</v>
      </c>
      <c r="AO54" s="352" t="str">
        <f>IF(LEFT(SecondaryTransport[[#This Row],[Bale_ID]],1)*1=5,IF(OR(SecondaryTransport[[#This Row],[MRF_ID]]="02",SecondaryTransport[[#This Row],[MRF_ID]]="08"),2,1),"")</f>
        <v/>
      </c>
      <c r="AP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 s="224" t="str">
        <f>IFERROR(IF(1*LEFT(SecondaryTransport[[#This Row],[Bale_ID]],1)=5,SecondaryTransport[[#This Row],[Ton-Miles]]*SecondaryTransport[[#This Row],[Cost_Per_Ton-Mile]],""),"")</f>
        <v/>
      </c>
      <c r="AS54" s="224" t="str">
        <f>IFERROR(IF(SecondaryTransport[[#This Row],[Container_Transfer]]="",(SecondaryTransport[[#This Row],[Ton-Miles]]*SecondaryTransport[[#This Row],[Cost_Per_Ton-Mile]]),""),"")</f>
        <v/>
      </c>
    </row>
    <row r="55" spans="12:45" ht="15" x14ac:dyDescent="0.25">
      <c r="L55" s="446" t="s">
        <v>876</v>
      </c>
      <c r="M55" s="446">
        <v>1</v>
      </c>
      <c r="N55" s="446">
        <v>1</v>
      </c>
      <c r="O55" s="446" t="s">
        <v>752</v>
      </c>
      <c r="P55" s="449" t="s">
        <v>700</v>
      </c>
      <c r="Q55" s="449"/>
      <c r="R55" s="449"/>
      <c r="S55" s="449" t="s">
        <v>964</v>
      </c>
      <c r="T55" s="449" t="s">
        <v>701</v>
      </c>
      <c r="U55" s="452">
        <v>0</v>
      </c>
      <c r="V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 s="272" t="str">
        <f>IFERROR(SUMIFS(TransUnitCost[Miles],TransUnitCost[Grouping_ID],TransTonsShort[[#This Row],[Grouping_ID]],TransUnitCost[Transp_ID],TransTonsShort[[#This Row],[Transp_ID]])*TransTonsShort[[#This Row],[Trans_Tons_All]]/TransTonsShort[[#This Row],[Trans_Tons_All]],"")</f>
        <v/>
      </c>
      <c r="X55" s="386" t="str">
        <f>TransTonsShort[[#This Row],[Grouping_ID]]&amp;"-"&amp;TransTonsShort[[#This Row],[Sector_ID]]</f>
        <v>1-1</v>
      </c>
      <c r="Y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 s="421">
        <f>INDEX(LandfillFees[Disposal Tip Fee 2025],MATCH(TransTonsShort[[#This Row],[Grouping_ID]],LandfillFees[Grouping_ID],0))</f>
        <v>134.68</v>
      </c>
      <c r="AA55" s="102">
        <f>IF(OR(TransTonsShort[[#This Row],[CollectionStream_ID]]="03",TransTonsShort[[#This Row],[CollectionStream_ID]]="04",TransTonsShort[[#This Row],[CollectionStream_ID]]="13"),0,TransTonsShort[[#This Row],[Trans_Tons_All]]*TransTonsShort[[#This Row],[Disposal_Fee]])</f>
        <v>0</v>
      </c>
      <c r="AF55" s="446" t="s">
        <v>1228</v>
      </c>
      <c r="AG55" s="442" t="str">
        <f>LEFT(SecondaryTransport[[#This Row],[Scenario_MRF_Bale_ID]],2)</f>
        <v>S0</v>
      </c>
      <c r="AH55" s="181" t="str">
        <f>LEFT(RIGHT(SecondaryTransport[[#This Row],[Scenario_MRF_Bale_ID]],10),2)</f>
        <v>02</v>
      </c>
      <c r="AI55" s="181" t="str">
        <f>INDEX(MRFs[MRF_Name],MATCH(SecondaryTransport[[#This Row],[MRF_ID]],MRFs[MRF_ID],0))</f>
        <v>1 MRF for SS (Salem)</v>
      </c>
      <c r="AJ55" s="181" t="str">
        <f>RIGHT(SecondaryTransport[[#This Row],[Scenario_MRF_Bale_ID]],7)</f>
        <v>2000-05</v>
      </c>
      <c r="AK55" s="181" t="str">
        <f>INDEX(Bales[Bale_Name],MATCH(SecondaryTransport[[#This Row],[Bale_ID]],Bales[Bale_ID],0))</f>
        <v>HDPE #2 and PP #5 tubs </v>
      </c>
      <c r="AL55" s="443">
        <f>INDEX(BaleMover[Total_Baled_tons],MATCH(SecondaryTransport[[#This Row],[Scenario_MRF_Bale_ID]],BaleMover[Scenario_MRF_Bale_ID],0))</f>
        <v>0</v>
      </c>
      <c r="AM55" s="443">
        <f>IF(INDEX(BaleMover[Miles],MATCH(SecondaryTransport[[#This Row],[Scenario_MRF_Bale_ID]],BaleMover[Scenario_MRF_Bale_ID],0))="",0,INDEX(BaleMover[Miles],MATCH(SecondaryTransport[[#This Row],[Scenario_MRF_Bale_ID]],BaleMover[Scenario_MRF_Bale_ID],0)))</f>
        <v>0</v>
      </c>
      <c r="AN55" s="251">
        <f>IF(SecondaryTransport[[#This Row],[Bale_ID]]="9000-01","costs elsewhere",SecondaryTransport[[#This Row],[Total_Baled_tons]]*SecondaryTransport[[#This Row],[Miles]])</f>
        <v>0</v>
      </c>
      <c r="AO55" s="352" t="str">
        <f>IF(LEFT(SecondaryTransport[[#This Row],[Bale_ID]],1)*1=5,IF(OR(SecondaryTransport[[#This Row],[MRF_ID]]="02",SecondaryTransport[[#This Row],[MRF_ID]]="08"),2,1),"")</f>
        <v/>
      </c>
      <c r="AP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5" s="224" t="str">
        <f>IFERROR(IF(1*LEFT(SecondaryTransport[[#This Row],[Bale_ID]],1)=5,SecondaryTransport[[#This Row],[Ton-Miles]]*SecondaryTransport[[#This Row],[Cost_Per_Ton-Mile]],""),"")</f>
        <v/>
      </c>
      <c r="AS55" s="224" t="str">
        <f>IFERROR(IF(SecondaryTransport[[#This Row],[Container_Transfer]]="",(SecondaryTransport[[#This Row],[Ton-Miles]]*SecondaryTransport[[#This Row],[Cost_Per_Ton-Mile]]),""),"")</f>
        <v/>
      </c>
    </row>
    <row r="56" spans="12:45" ht="15" x14ac:dyDescent="0.25">
      <c r="L56" s="446" t="s">
        <v>876</v>
      </c>
      <c r="M56" s="446">
        <v>2</v>
      </c>
      <c r="N56" s="446">
        <v>1</v>
      </c>
      <c r="O56" s="446" t="s">
        <v>752</v>
      </c>
      <c r="P56" s="449" t="s">
        <v>700</v>
      </c>
      <c r="Q56" s="449"/>
      <c r="R56" s="449"/>
      <c r="S56" s="449" t="s">
        <v>964</v>
      </c>
      <c r="T56" s="449" t="s">
        <v>701</v>
      </c>
      <c r="U56" s="452">
        <v>0</v>
      </c>
      <c r="V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 s="272" t="str">
        <f>IFERROR(SUMIFS(TransUnitCost[Miles],TransUnitCost[Grouping_ID],TransTonsShort[[#This Row],[Grouping_ID]],TransUnitCost[Transp_ID],TransTonsShort[[#This Row],[Transp_ID]])*TransTonsShort[[#This Row],[Trans_Tons_All]]/TransTonsShort[[#This Row],[Trans_Tons_All]],"")</f>
        <v/>
      </c>
      <c r="X56" s="386" t="str">
        <f>TransTonsShort[[#This Row],[Grouping_ID]]&amp;"-"&amp;TransTonsShort[[#This Row],[Sector_ID]]</f>
        <v>2-1</v>
      </c>
      <c r="Y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 s="421">
        <f>INDEX(LandfillFees[Disposal Tip Fee 2025],MATCH(TransTonsShort[[#This Row],[Grouping_ID]],LandfillFees[Grouping_ID],0))</f>
        <v>72.030938699729589</v>
      </c>
      <c r="AA56" s="102">
        <f>IF(OR(TransTonsShort[[#This Row],[CollectionStream_ID]]="03",TransTonsShort[[#This Row],[CollectionStream_ID]]="04",TransTonsShort[[#This Row],[CollectionStream_ID]]="13"),0,TransTonsShort[[#This Row],[Trans_Tons_All]]*TransTonsShort[[#This Row],[Disposal_Fee]])</f>
        <v>0</v>
      </c>
      <c r="AF56" s="446" t="s">
        <v>1229</v>
      </c>
      <c r="AG56" s="442" t="str">
        <f>LEFT(SecondaryTransport[[#This Row],[Scenario_MRF_Bale_ID]],2)</f>
        <v>S1</v>
      </c>
      <c r="AH56" s="181" t="str">
        <f>LEFT(RIGHT(SecondaryTransport[[#This Row],[Scenario_MRF_Bale_ID]],10),2)</f>
        <v>02</v>
      </c>
      <c r="AI56" s="181" t="str">
        <f>INDEX(MRFs[MRF_Name],MATCH(SecondaryTransport[[#This Row],[MRF_ID]],MRFs[MRF_ID],0))</f>
        <v>1 MRF for SS (Salem)</v>
      </c>
      <c r="AJ56" s="181" t="str">
        <f>RIGHT(SecondaryTransport[[#This Row],[Scenario_MRF_Bale_ID]],7)</f>
        <v>2000-05</v>
      </c>
      <c r="AK56" s="181" t="str">
        <f>INDEX(Bales[Bale_Name],MATCH(SecondaryTransport[[#This Row],[Bale_ID]],Bales[Bale_ID],0))</f>
        <v>HDPE #2 and PP #5 tubs </v>
      </c>
      <c r="AL56" s="443">
        <f>INDEX(BaleMover[Total_Baled_tons],MATCH(SecondaryTransport[[#This Row],[Scenario_MRF_Bale_ID]],BaleMover[Scenario_MRF_Bale_ID],0))</f>
        <v>0</v>
      </c>
      <c r="AM56" s="443">
        <f>IF(INDEX(BaleMover[Miles],MATCH(SecondaryTransport[[#This Row],[Scenario_MRF_Bale_ID]],BaleMover[Scenario_MRF_Bale_ID],0))="",0,INDEX(BaleMover[Miles],MATCH(SecondaryTransport[[#This Row],[Scenario_MRF_Bale_ID]],BaleMover[Scenario_MRF_Bale_ID],0)))</f>
        <v>0</v>
      </c>
      <c r="AN56" s="251">
        <f>IF(SecondaryTransport[[#This Row],[Bale_ID]]="9000-01","costs elsewhere",SecondaryTransport[[#This Row],[Total_Baled_tons]]*SecondaryTransport[[#This Row],[Miles]])</f>
        <v>0</v>
      </c>
      <c r="AO56" s="352" t="str">
        <f>IF(LEFT(SecondaryTransport[[#This Row],[Bale_ID]],1)*1=5,IF(OR(SecondaryTransport[[#This Row],[MRF_ID]]="02",SecondaryTransport[[#This Row],[MRF_ID]]="08"),2,1),"")</f>
        <v/>
      </c>
      <c r="AP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6" s="224" t="str">
        <f>IFERROR(IF(1*LEFT(SecondaryTransport[[#This Row],[Bale_ID]],1)=5,SecondaryTransport[[#This Row],[Ton-Miles]]*SecondaryTransport[[#This Row],[Cost_Per_Ton-Mile]],""),"")</f>
        <v/>
      </c>
      <c r="AS56" s="224" t="str">
        <f>IFERROR(IF(SecondaryTransport[[#This Row],[Container_Transfer]]="",(SecondaryTransport[[#This Row],[Ton-Miles]]*SecondaryTransport[[#This Row],[Cost_Per_Ton-Mile]]),""),"")</f>
        <v/>
      </c>
    </row>
    <row r="57" spans="12:45" ht="15" x14ac:dyDescent="0.25">
      <c r="L57" s="446" t="s">
        <v>876</v>
      </c>
      <c r="M57" s="446">
        <v>3</v>
      </c>
      <c r="N57" s="446">
        <v>1</v>
      </c>
      <c r="O57" s="446" t="s">
        <v>752</v>
      </c>
      <c r="P57" s="449" t="s">
        <v>700</v>
      </c>
      <c r="Q57" s="449"/>
      <c r="R57" s="449"/>
      <c r="S57" s="449" t="s">
        <v>964</v>
      </c>
      <c r="T57" s="449" t="s">
        <v>701</v>
      </c>
      <c r="U57" s="452">
        <v>0</v>
      </c>
      <c r="V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 s="272" t="str">
        <f>IFERROR(SUMIFS(TransUnitCost[Miles],TransUnitCost[Grouping_ID],TransTonsShort[[#This Row],[Grouping_ID]],TransUnitCost[Transp_ID],TransTonsShort[[#This Row],[Transp_ID]])*TransTonsShort[[#This Row],[Trans_Tons_All]]/TransTonsShort[[#This Row],[Trans_Tons_All]],"")</f>
        <v/>
      </c>
      <c r="X57" s="386" t="str">
        <f>TransTonsShort[[#This Row],[Grouping_ID]]&amp;"-"&amp;TransTonsShort[[#This Row],[Sector_ID]]</f>
        <v>3-1</v>
      </c>
      <c r="Y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 s="421">
        <f>INDEX(LandfillFees[Disposal Tip Fee 2025],MATCH(TransTonsShort[[#This Row],[Grouping_ID]],LandfillFees[Grouping_ID],0))</f>
        <v>72.030938699729589</v>
      </c>
      <c r="AA57" s="102">
        <f>IF(OR(TransTonsShort[[#This Row],[CollectionStream_ID]]="03",TransTonsShort[[#This Row],[CollectionStream_ID]]="04",TransTonsShort[[#This Row],[CollectionStream_ID]]="13"),0,TransTonsShort[[#This Row],[Trans_Tons_All]]*TransTonsShort[[#This Row],[Disposal_Fee]])</f>
        <v>0</v>
      </c>
      <c r="AF57" s="446" t="s">
        <v>1230</v>
      </c>
      <c r="AG57" s="442" t="str">
        <f>LEFT(SecondaryTransport[[#This Row],[Scenario_MRF_Bale_ID]],2)</f>
        <v>S2</v>
      </c>
      <c r="AH57" s="181" t="str">
        <f>LEFT(RIGHT(SecondaryTransport[[#This Row],[Scenario_MRF_Bale_ID]],10),2)</f>
        <v>02</v>
      </c>
      <c r="AI57" s="181" t="str">
        <f>INDEX(MRFs[MRF_Name],MATCH(SecondaryTransport[[#This Row],[MRF_ID]],MRFs[MRF_ID],0))</f>
        <v>1 MRF for SS (Salem)</v>
      </c>
      <c r="AJ57" s="181" t="str">
        <f>RIGHT(SecondaryTransport[[#This Row],[Scenario_MRF_Bale_ID]],7)</f>
        <v>2000-05</v>
      </c>
      <c r="AK57" s="181" t="str">
        <f>INDEX(Bales[Bale_Name],MATCH(SecondaryTransport[[#This Row],[Bale_ID]],Bales[Bale_ID],0))</f>
        <v>HDPE #2 and PP #5 tubs </v>
      </c>
      <c r="AL57" s="443">
        <f>INDEX(BaleMover[Total_Baled_tons],MATCH(SecondaryTransport[[#This Row],[Scenario_MRF_Bale_ID]],BaleMover[Scenario_MRF_Bale_ID],0))</f>
        <v>0</v>
      </c>
      <c r="AM57" s="443">
        <f>IF(INDEX(BaleMover[Miles],MATCH(SecondaryTransport[[#This Row],[Scenario_MRF_Bale_ID]],BaleMover[Scenario_MRF_Bale_ID],0))="",0,INDEX(BaleMover[Miles],MATCH(SecondaryTransport[[#This Row],[Scenario_MRF_Bale_ID]],BaleMover[Scenario_MRF_Bale_ID],0)))</f>
        <v>0</v>
      </c>
      <c r="AN57" s="251">
        <f>IF(SecondaryTransport[[#This Row],[Bale_ID]]="9000-01","costs elsewhere",SecondaryTransport[[#This Row],[Total_Baled_tons]]*SecondaryTransport[[#This Row],[Miles]])</f>
        <v>0</v>
      </c>
      <c r="AO57" s="352" t="str">
        <f>IF(LEFT(SecondaryTransport[[#This Row],[Bale_ID]],1)*1=5,IF(OR(SecondaryTransport[[#This Row],[MRF_ID]]="02",SecondaryTransport[[#This Row],[MRF_ID]]="08"),2,1),"")</f>
        <v/>
      </c>
      <c r="AP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 s="224" t="str">
        <f>IFERROR(IF(1*LEFT(SecondaryTransport[[#This Row],[Bale_ID]],1)=5,SecondaryTransport[[#This Row],[Ton-Miles]]*SecondaryTransport[[#This Row],[Cost_Per_Ton-Mile]],""),"")</f>
        <v/>
      </c>
      <c r="AS57" s="224" t="str">
        <f>IFERROR(IF(SecondaryTransport[[#This Row],[Container_Transfer]]="",(SecondaryTransport[[#This Row],[Ton-Miles]]*SecondaryTransport[[#This Row],[Cost_Per_Ton-Mile]]),""),"")</f>
        <v/>
      </c>
    </row>
    <row r="58" spans="12:45" ht="15" x14ac:dyDescent="0.25">
      <c r="L58" s="446" t="s">
        <v>876</v>
      </c>
      <c r="M58" s="446">
        <v>4</v>
      </c>
      <c r="N58" s="446">
        <v>1</v>
      </c>
      <c r="O58" s="446" t="s">
        <v>752</v>
      </c>
      <c r="P58" s="449" t="s">
        <v>700</v>
      </c>
      <c r="Q58" s="449"/>
      <c r="R58" s="449"/>
      <c r="S58" s="449" t="s">
        <v>964</v>
      </c>
      <c r="T58" s="449" t="s">
        <v>701</v>
      </c>
      <c r="U58" s="452">
        <v>0</v>
      </c>
      <c r="V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 s="272" t="str">
        <f>IFERROR(SUMIFS(TransUnitCost[Miles],TransUnitCost[Grouping_ID],TransTonsShort[[#This Row],[Grouping_ID]],TransUnitCost[Transp_ID],TransTonsShort[[#This Row],[Transp_ID]])*TransTonsShort[[#This Row],[Trans_Tons_All]]/TransTonsShort[[#This Row],[Trans_Tons_All]],"")</f>
        <v/>
      </c>
      <c r="X58" s="386" t="str">
        <f>TransTonsShort[[#This Row],[Grouping_ID]]&amp;"-"&amp;TransTonsShort[[#This Row],[Sector_ID]]</f>
        <v>4-1</v>
      </c>
      <c r="Y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8" s="421">
        <f>INDEX(LandfillFees[Disposal Tip Fee 2025],MATCH(TransTonsShort[[#This Row],[Grouping_ID]],LandfillFees[Grouping_ID],0))</f>
        <v>72.030938699729589</v>
      </c>
      <c r="AA58" s="102">
        <f>IF(OR(TransTonsShort[[#This Row],[CollectionStream_ID]]="03",TransTonsShort[[#This Row],[CollectionStream_ID]]="04",TransTonsShort[[#This Row],[CollectionStream_ID]]="13"),0,TransTonsShort[[#This Row],[Trans_Tons_All]]*TransTonsShort[[#This Row],[Disposal_Fee]])</f>
        <v>0</v>
      </c>
      <c r="AF58" s="446" t="s">
        <v>1231</v>
      </c>
      <c r="AG58" s="442" t="str">
        <f>LEFT(SecondaryTransport[[#This Row],[Scenario_MRF_Bale_ID]],2)</f>
        <v>S3</v>
      </c>
      <c r="AH58" s="181" t="str">
        <f>LEFT(RIGHT(SecondaryTransport[[#This Row],[Scenario_MRF_Bale_ID]],10),2)</f>
        <v>02</v>
      </c>
      <c r="AI58" s="181" t="str">
        <f>INDEX(MRFs[MRF_Name],MATCH(SecondaryTransport[[#This Row],[MRF_ID]],MRFs[MRF_ID],0))</f>
        <v>1 MRF for SS (Salem)</v>
      </c>
      <c r="AJ58" s="181" t="str">
        <f>RIGHT(SecondaryTransport[[#This Row],[Scenario_MRF_Bale_ID]],7)</f>
        <v>2000-05</v>
      </c>
      <c r="AK58" s="181" t="str">
        <f>INDEX(Bales[Bale_Name],MATCH(SecondaryTransport[[#This Row],[Bale_ID]],Bales[Bale_ID],0))</f>
        <v>HDPE #2 and PP #5 tubs </v>
      </c>
      <c r="AL58" s="443">
        <f>INDEX(BaleMover[Total_Baled_tons],MATCH(SecondaryTransport[[#This Row],[Scenario_MRF_Bale_ID]],BaleMover[Scenario_MRF_Bale_ID],0))</f>
        <v>0</v>
      </c>
      <c r="AM58" s="443">
        <f>IF(INDEX(BaleMover[Miles],MATCH(SecondaryTransport[[#This Row],[Scenario_MRF_Bale_ID]],BaleMover[Scenario_MRF_Bale_ID],0))="",0,INDEX(BaleMover[Miles],MATCH(SecondaryTransport[[#This Row],[Scenario_MRF_Bale_ID]],BaleMover[Scenario_MRF_Bale_ID],0)))</f>
        <v>0</v>
      </c>
      <c r="AN58" s="251">
        <f>IF(SecondaryTransport[[#This Row],[Bale_ID]]="9000-01","costs elsewhere",SecondaryTransport[[#This Row],[Total_Baled_tons]]*SecondaryTransport[[#This Row],[Miles]])</f>
        <v>0</v>
      </c>
      <c r="AO58" s="352" t="str">
        <f>IF(LEFT(SecondaryTransport[[#This Row],[Bale_ID]],1)*1=5,IF(OR(SecondaryTransport[[#This Row],[MRF_ID]]="02",SecondaryTransport[[#This Row],[MRF_ID]]="08"),2,1),"")</f>
        <v/>
      </c>
      <c r="AP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 s="224" t="str">
        <f>IFERROR(IF(1*LEFT(SecondaryTransport[[#This Row],[Bale_ID]],1)=5,SecondaryTransport[[#This Row],[Ton-Miles]]*SecondaryTransport[[#This Row],[Cost_Per_Ton-Mile]],""),"")</f>
        <v/>
      </c>
      <c r="AS58" s="224" t="str">
        <f>IFERROR(IF(SecondaryTransport[[#This Row],[Container_Transfer]]="",(SecondaryTransport[[#This Row],[Ton-Miles]]*SecondaryTransport[[#This Row],[Cost_Per_Ton-Mile]]),""),"")</f>
        <v/>
      </c>
    </row>
    <row r="59" spans="12:45" ht="15" x14ac:dyDescent="0.25">
      <c r="L59" s="446" t="s">
        <v>876</v>
      </c>
      <c r="M59" s="446">
        <v>1</v>
      </c>
      <c r="N59" s="446">
        <v>1</v>
      </c>
      <c r="O59" s="446" t="s">
        <v>752</v>
      </c>
      <c r="P59" s="449" t="s">
        <v>706</v>
      </c>
      <c r="Q59" s="449"/>
      <c r="R59" s="449"/>
      <c r="S59" s="449" t="s">
        <v>964</v>
      </c>
      <c r="T59" s="449" t="s">
        <v>1025</v>
      </c>
      <c r="U59" s="452">
        <v>0</v>
      </c>
      <c r="V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 s="272" t="str">
        <f>IFERROR(SUMIFS(TransUnitCost[Miles],TransUnitCost[Grouping_ID],TransTonsShort[[#This Row],[Grouping_ID]],TransUnitCost[Transp_ID],TransTonsShort[[#This Row],[Transp_ID]])*TransTonsShort[[#This Row],[Trans_Tons_All]]/TransTonsShort[[#This Row],[Trans_Tons_All]],"")</f>
        <v/>
      </c>
      <c r="X59" s="386" t="str">
        <f>TransTonsShort[[#This Row],[Grouping_ID]]&amp;"-"&amp;TransTonsShort[[#This Row],[Sector_ID]]</f>
        <v>1-1</v>
      </c>
      <c r="Y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9" s="421">
        <f>INDEX(LandfillFees[Disposal Tip Fee 2025],MATCH(TransTonsShort[[#This Row],[Grouping_ID]],LandfillFees[Grouping_ID],0))</f>
        <v>134.68</v>
      </c>
      <c r="AA59" s="102">
        <f>IF(OR(TransTonsShort[[#This Row],[CollectionStream_ID]]="03",TransTonsShort[[#This Row],[CollectionStream_ID]]="04",TransTonsShort[[#This Row],[CollectionStream_ID]]="13"),0,TransTonsShort[[#This Row],[Trans_Tons_All]]*TransTonsShort[[#This Row],[Disposal_Fee]])</f>
        <v>0</v>
      </c>
      <c r="AF59" s="446" t="s">
        <v>1232</v>
      </c>
      <c r="AG59" s="442" t="str">
        <f>LEFT(SecondaryTransport[[#This Row],[Scenario_MRF_Bale_ID]],2)</f>
        <v>S0</v>
      </c>
      <c r="AH59" s="181" t="str">
        <f>LEFT(RIGHT(SecondaryTransport[[#This Row],[Scenario_MRF_Bale_ID]],10),2)</f>
        <v>02</v>
      </c>
      <c r="AI59" s="181" t="str">
        <f>INDEX(MRFs[MRF_Name],MATCH(SecondaryTransport[[#This Row],[MRF_ID]],MRFs[MRF_ID],0))</f>
        <v>1 MRF for SS (Salem)</v>
      </c>
      <c r="AJ59" s="181" t="str">
        <f>RIGHT(SecondaryTransport[[#This Row],[Scenario_MRF_Bale_ID]],7)</f>
        <v>2000-07</v>
      </c>
      <c r="AK59" s="181" t="str">
        <f>INDEX(Bales[Bale_Name],MATCH(SecondaryTransport[[#This Row],[Bale_ID]],Bales[Bale_ID],0))</f>
        <v>PE clear film</v>
      </c>
      <c r="AL59" s="443">
        <f>INDEX(BaleMover[Total_Baled_tons],MATCH(SecondaryTransport[[#This Row],[Scenario_MRF_Bale_ID]],BaleMover[Scenario_MRF_Bale_ID],0))</f>
        <v>0</v>
      </c>
      <c r="AM59" s="443">
        <f>IF(INDEX(BaleMover[Miles],MATCH(SecondaryTransport[[#This Row],[Scenario_MRF_Bale_ID]],BaleMover[Scenario_MRF_Bale_ID],0))="",0,INDEX(BaleMover[Miles],MATCH(SecondaryTransport[[#This Row],[Scenario_MRF_Bale_ID]],BaleMover[Scenario_MRF_Bale_ID],0)))</f>
        <v>0</v>
      </c>
      <c r="AN59" s="251">
        <f>IF(SecondaryTransport[[#This Row],[Bale_ID]]="9000-01","costs elsewhere",SecondaryTransport[[#This Row],[Total_Baled_tons]]*SecondaryTransport[[#This Row],[Miles]])</f>
        <v>0</v>
      </c>
      <c r="AO59" s="352" t="str">
        <f>IF(LEFT(SecondaryTransport[[#This Row],[Bale_ID]],1)*1=5,IF(OR(SecondaryTransport[[#This Row],[MRF_ID]]="02",SecondaryTransport[[#This Row],[MRF_ID]]="08"),2,1),"")</f>
        <v/>
      </c>
      <c r="AP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9" s="224" t="str">
        <f>IFERROR(IF(1*LEFT(SecondaryTransport[[#This Row],[Bale_ID]],1)=5,SecondaryTransport[[#This Row],[Ton-Miles]]*SecondaryTransport[[#This Row],[Cost_Per_Ton-Mile]],""),"")</f>
        <v/>
      </c>
      <c r="AS59" s="224" t="str">
        <f>IFERROR(IF(SecondaryTransport[[#This Row],[Container_Transfer]]="",(SecondaryTransport[[#This Row],[Ton-Miles]]*SecondaryTransport[[#This Row],[Cost_Per_Ton-Mile]]),""),"")</f>
        <v/>
      </c>
    </row>
    <row r="60" spans="12:45" ht="15" x14ac:dyDescent="0.25">
      <c r="L60" s="446" t="s">
        <v>876</v>
      </c>
      <c r="M60" s="446">
        <v>2</v>
      </c>
      <c r="N60" s="446">
        <v>1</v>
      </c>
      <c r="O60" s="446" t="s">
        <v>752</v>
      </c>
      <c r="P60" s="449" t="s">
        <v>706</v>
      </c>
      <c r="Q60" s="449"/>
      <c r="R60" s="449"/>
      <c r="S60" s="449" t="s">
        <v>964</v>
      </c>
      <c r="T60" s="449" t="s">
        <v>1025</v>
      </c>
      <c r="U60" s="452">
        <v>0</v>
      </c>
      <c r="V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 s="272" t="str">
        <f>IFERROR(SUMIFS(TransUnitCost[Miles],TransUnitCost[Grouping_ID],TransTonsShort[[#This Row],[Grouping_ID]],TransUnitCost[Transp_ID],TransTonsShort[[#This Row],[Transp_ID]])*TransTonsShort[[#This Row],[Trans_Tons_All]]/TransTonsShort[[#This Row],[Trans_Tons_All]],"")</f>
        <v/>
      </c>
      <c r="X60" s="386" t="str">
        <f>TransTonsShort[[#This Row],[Grouping_ID]]&amp;"-"&amp;TransTonsShort[[#This Row],[Sector_ID]]</f>
        <v>2-1</v>
      </c>
      <c r="Y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0" s="421">
        <f>INDEX(LandfillFees[Disposal Tip Fee 2025],MATCH(TransTonsShort[[#This Row],[Grouping_ID]],LandfillFees[Grouping_ID],0))</f>
        <v>72.030938699729589</v>
      </c>
      <c r="AA60" s="102">
        <f>IF(OR(TransTonsShort[[#This Row],[CollectionStream_ID]]="03",TransTonsShort[[#This Row],[CollectionStream_ID]]="04",TransTonsShort[[#This Row],[CollectionStream_ID]]="13"),0,TransTonsShort[[#This Row],[Trans_Tons_All]]*TransTonsShort[[#This Row],[Disposal_Fee]])</f>
        <v>0</v>
      </c>
      <c r="AF60" s="446" t="s">
        <v>1233</v>
      </c>
      <c r="AG60" s="442" t="str">
        <f>LEFT(SecondaryTransport[[#This Row],[Scenario_MRF_Bale_ID]],2)</f>
        <v>S1</v>
      </c>
      <c r="AH60" s="181" t="str">
        <f>LEFT(RIGHT(SecondaryTransport[[#This Row],[Scenario_MRF_Bale_ID]],10),2)</f>
        <v>02</v>
      </c>
      <c r="AI60" s="181" t="str">
        <f>INDEX(MRFs[MRF_Name],MATCH(SecondaryTransport[[#This Row],[MRF_ID]],MRFs[MRF_ID],0))</f>
        <v>1 MRF for SS (Salem)</v>
      </c>
      <c r="AJ60" s="181" t="str">
        <f>RIGHT(SecondaryTransport[[#This Row],[Scenario_MRF_Bale_ID]],7)</f>
        <v>2000-07</v>
      </c>
      <c r="AK60" s="181" t="str">
        <f>INDEX(Bales[Bale_Name],MATCH(SecondaryTransport[[#This Row],[Bale_ID]],Bales[Bale_ID],0))</f>
        <v>PE clear film</v>
      </c>
      <c r="AL60" s="443">
        <f>INDEX(BaleMover[Total_Baled_tons],MATCH(SecondaryTransport[[#This Row],[Scenario_MRF_Bale_ID]],BaleMover[Scenario_MRF_Bale_ID],0))</f>
        <v>0</v>
      </c>
      <c r="AM60" s="443">
        <f>IF(INDEX(BaleMover[Miles],MATCH(SecondaryTransport[[#This Row],[Scenario_MRF_Bale_ID]],BaleMover[Scenario_MRF_Bale_ID],0))="",0,INDEX(BaleMover[Miles],MATCH(SecondaryTransport[[#This Row],[Scenario_MRF_Bale_ID]],BaleMover[Scenario_MRF_Bale_ID],0)))</f>
        <v>0</v>
      </c>
      <c r="AN60" s="251">
        <f>IF(SecondaryTransport[[#This Row],[Bale_ID]]="9000-01","costs elsewhere",SecondaryTransport[[#This Row],[Total_Baled_tons]]*SecondaryTransport[[#This Row],[Miles]])</f>
        <v>0</v>
      </c>
      <c r="AO60" s="352" t="str">
        <f>IF(LEFT(SecondaryTransport[[#This Row],[Bale_ID]],1)*1=5,IF(OR(SecondaryTransport[[#This Row],[MRF_ID]]="02",SecondaryTransport[[#This Row],[MRF_ID]]="08"),2,1),"")</f>
        <v/>
      </c>
      <c r="AP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 s="224" t="str">
        <f>IFERROR(IF(1*LEFT(SecondaryTransport[[#This Row],[Bale_ID]],1)=5,SecondaryTransport[[#This Row],[Ton-Miles]]*SecondaryTransport[[#This Row],[Cost_Per_Ton-Mile]],""),"")</f>
        <v/>
      </c>
      <c r="AS60" s="224" t="str">
        <f>IFERROR(IF(SecondaryTransport[[#This Row],[Container_Transfer]]="",(SecondaryTransport[[#This Row],[Ton-Miles]]*SecondaryTransport[[#This Row],[Cost_Per_Ton-Mile]]),""),"")</f>
        <v/>
      </c>
    </row>
    <row r="61" spans="12:45" ht="15" x14ac:dyDescent="0.25">
      <c r="L61" s="446" t="s">
        <v>876</v>
      </c>
      <c r="M61" s="446">
        <v>3</v>
      </c>
      <c r="N61" s="446">
        <v>1</v>
      </c>
      <c r="O61" s="446" t="s">
        <v>752</v>
      </c>
      <c r="P61" s="449" t="s">
        <v>706</v>
      </c>
      <c r="Q61" s="449"/>
      <c r="R61" s="449"/>
      <c r="S61" s="449" t="s">
        <v>964</v>
      </c>
      <c r="T61" s="449" t="s">
        <v>1025</v>
      </c>
      <c r="U61" s="452">
        <v>0</v>
      </c>
      <c r="V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 s="272" t="str">
        <f>IFERROR(SUMIFS(TransUnitCost[Miles],TransUnitCost[Grouping_ID],TransTonsShort[[#This Row],[Grouping_ID]],TransUnitCost[Transp_ID],TransTonsShort[[#This Row],[Transp_ID]])*TransTonsShort[[#This Row],[Trans_Tons_All]]/TransTonsShort[[#This Row],[Trans_Tons_All]],"")</f>
        <v/>
      </c>
      <c r="X61" s="386" t="str">
        <f>TransTonsShort[[#This Row],[Grouping_ID]]&amp;"-"&amp;TransTonsShort[[#This Row],[Sector_ID]]</f>
        <v>3-1</v>
      </c>
      <c r="Y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1" s="421">
        <f>INDEX(LandfillFees[Disposal Tip Fee 2025],MATCH(TransTonsShort[[#This Row],[Grouping_ID]],LandfillFees[Grouping_ID],0))</f>
        <v>72.030938699729589</v>
      </c>
      <c r="AA61" s="102">
        <f>IF(OR(TransTonsShort[[#This Row],[CollectionStream_ID]]="03",TransTonsShort[[#This Row],[CollectionStream_ID]]="04",TransTonsShort[[#This Row],[CollectionStream_ID]]="13"),0,TransTonsShort[[#This Row],[Trans_Tons_All]]*TransTonsShort[[#This Row],[Disposal_Fee]])</f>
        <v>0</v>
      </c>
      <c r="AF61" s="446" t="s">
        <v>1234</v>
      </c>
      <c r="AG61" s="442" t="str">
        <f>LEFT(SecondaryTransport[[#This Row],[Scenario_MRF_Bale_ID]],2)</f>
        <v>S2</v>
      </c>
      <c r="AH61" s="181" t="str">
        <f>LEFT(RIGHT(SecondaryTransport[[#This Row],[Scenario_MRF_Bale_ID]],10),2)</f>
        <v>02</v>
      </c>
      <c r="AI61" s="181" t="str">
        <f>INDEX(MRFs[MRF_Name],MATCH(SecondaryTransport[[#This Row],[MRF_ID]],MRFs[MRF_ID],0))</f>
        <v>1 MRF for SS (Salem)</v>
      </c>
      <c r="AJ61" s="181" t="str">
        <f>RIGHT(SecondaryTransport[[#This Row],[Scenario_MRF_Bale_ID]],7)</f>
        <v>2000-07</v>
      </c>
      <c r="AK61" s="181" t="str">
        <f>INDEX(Bales[Bale_Name],MATCH(SecondaryTransport[[#This Row],[Bale_ID]],Bales[Bale_ID],0))</f>
        <v>PE clear film</v>
      </c>
      <c r="AL61" s="443">
        <f>INDEX(BaleMover[Total_Baled_tons],MATCH(SecondaryTransport[[#This Row],[Scenario_MRF_Bale_ID]],BaleMover[Scenario_MRF_Bale_ID],0))</f>
        <v>0</v>
      </c>
      <c r="AM61" s="443">
        <f>IF(INDEX(BaleMover[Miles],MATCH(SecondaryTransport[[#This Row],[Scenario_MRF_Bale_ID]],BaleMover[Scenario_MRF_Bale_ID],0))="",0,INDEX(BaleMover[Miles],MATCH(SecondaryTransport[[#This Row],[Scenario_MRF_Bale_ID]],BaleMover[Scenario_MRF_Bale_ID],0)))</f>
        <v>0</v>
      </c>
      <c r="AN61" s="251">
        <f>IF(SecondaryTransport[[#This Row],[Bale_ID]]="9000-01","costs elsewhere",SecondaryTransport[[#This Row],[Total_Baled_tons]]*SecondaryTransport[[#This Row],[Miles]])</f>
        <v>0</v>
      </c>
      <c r="AO61" s="352" t="str">
        <f>IF(LEFT(SecondaryTransport[[#This Row],[Bale_ID]],1)*1=5,IF(OR(SecondaryTransport[[#This Row],[MRF_ID]]="02",SecondaryTransport[[#This Row],[MRF_ID]]="08"),2,1),"")</f>
        <v/>
      </c>
      <c r="AP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 s="224" t="str">
        <f>IFERROR(IF(1*LEFT(SecondaryTransport[[#This Row],[Bale_ID]],1)=5,SecondaryTransport[[#This Row],[Ton-Miles]]*SecondaryTransport[[#This Row],[Cost_Per_Ton-Mile]],""),"")</f>
        <v/>
      </c>
      <c r="AS61" s="224" t="str">
        <f>IFERROR(IF(SecondaryTransport[[#This Row],[Container_Transfer]]="",(SecondaryTransport[[#This Row],[Ton-Miles]]*SecondaryTransport[[#This Row],[Cost_Per_Ton-Mile]]),""),"")</f>
        <v/>
      </c>
    </row>
    <row r="62" spans="12:45" ht="15" x14ac:dyDescent="0.25">
      <c r="L62" s="446" t="s">
        <v>876</v>
      </c>
      <c r="M62" s="446">
        <v>4</v>
      </c>
      <c r="N62" s="446">
        <v>1</v>
      </c>
      <c r="O62" s="446" t="s">
        <v>752</v>
      </c>
      <c r="P62" s="449" t="s">
        <v>706</v>
      </c>
      <c r="Q62" s="449"/>
      <c r="R62" s="449"/>
      <c r="S62" s="449" t="s">
        <v>964</v>
      </c>
      <c r="T62" s="449" t="s">
        <v>1025</v>
      </c>
      <c r="U62" s="452">
        <v>0</v>
      </c>
      <c r="V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 s="272" t="str">
        <f>IFERROR(SUMIFS(TransUnitCost[Miles],TransUnitCost[Grouping_ID],TransTonsShort[[#This Row],[Grouping_ID]],TransUnitCost[Transp_ID],TransTonsShort[[#This Row],[Transp_ID]])*TransTonsShort[[#This Row],[Trans_Tons_All]]/TransTonsShort[[#This Row],[Trans_Tons_All]],"")</f>
        <v/>
      </c>
      <c r="X62" s="386" t="str">
        <f>TransTonsShort[[#This Row],[Grouping_ID]]&amp;"-"&amp;TransTonsShort[[#This Row],[Sector_ID]]</f>
        <v>4-1</v>
      </c>
      <c r="Y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 s="421">
        <f>INDEX(LandfillFees[Disposal Tip Fee 2025],MATCH(TransTonsShort[[#This Row],[Grouping_ID]],LandfillFees[Grouping_ID],0))</f>
        <v>72.030938699729589</v>
      </c>
      <c r="AA62" s="102">
        <f>IF(OR(TransTonsShort[[#This Row],[CollectionStream_ID]]="03",TransTonsShort[[#This Row],[CollectionStream_ID]]="04",TransTonsShort[[#This Row],[CollectionStream_ID]]="13"),0,TransTonsShort[[#This Row],[Trans_Tons_All]]*TransTonsShort[[#This Row],[Disposal_Fee]])</f>
        <v>0</v>
      </c>
      <c r="AF62" s="446" t="s">
        <v>1235</v>
      </c>
      <c r="AG62" s="442" t="str">
        <f>LEFT(SecondaryTransport[[#This Row],[Scenario_MRF_Bale_ID]],2)</f>
        <v>S3</v>
      </c>
      <c r="AH62" s="181" t="str">
        <f>LEFT(RIGHT(SecondaryTransport[[#This Row],[Scenario_MRF_Bale_ID]],10),2)</f>
        <v>02</v>
      </c>
      <c r="AI62" s="181" t="str">
        <f>INDEX(MRFs[MRF_Name],MATCH(SecondaryTransport[[#This Row],[MRF_ID]],MRFs[MRF_ID],0))</f>
        <v>1 MRF for SS (Salem)</v>
      </c>
      <c r="AJ62" s="181" t="str">
        <f>RIGHT(SecondaryTransport[[#This Row],[Scenario_MRF_Bale_ID]],7)</f>
        <v>2000-07</v>
      </c>
      <c r="AK62" s="181" t="str">
        <f>INDEX(Bales[Bale_Name],MATCH(SecondaryTransport[[#This Row],[Bale_ID]],Bales[Bale_ID],0))</f>
        <v>PE clear film</v>
      </c>
      <c r="AL62" s="443">
        <f>INDEX(BaleMover[Total_Baled_tons],MATCH(SecondaryTransport[[#This Row],[Scenario_MRF_Bale_ID]],BaleMover[Scenario_MRF_Bale_ID],0))</f>
        <v>0</v>
      </c>
      <c r="AM62" s="443">
        <f>IF(INDEX(BaleMover[Miles],MATCH(SecondaryTransport[[#This Row],[Scenario_MRF_Bale_ID]],BaleMover[Scenario_MRF_Bale_ID],0))="",0,INDEX(BaleMover[Miles],MATCH(SecondaryTransport[[#This Row],[Scenario_MRF_Bale_ID]],BaleMover[Scenario_MRF_Bale_ID],0)))</f>
        <v>0</v>
      </c>
      <c r="AN62" s="251">
        <f>IF(SecondaryTransport[[#This Row],[Bale_ID]]="9000-01","costs elsewhere",SecondaryTransport[[#This Row],[Total_Baled_tons]]*SecondaryTransport[[#This Row],[Miles]])</f>
        <v>0</v>
      </c>
      <c r="AO62" s="352" t="str">
        <f>IF(LEFT(SecondaryTransport[[#This Row],[Bale_ID]],1)*1=5,IF(OR(SecondaryTransport[[#This Row],[MRF_ID]]="02",SecondaryTransport[[#This Row],[MRF_ID]]="08"),2,1),"")</f>
        <v/>
      </c>
      <c r="AP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2" s="224" t="str">
        <f>IFERROR(IF(1*LEFT(SecondaryTransport[[#This Row],[Bale_ID]],1)=5,SecondaryTransport[[#This Row],[Ton-Miles]]*SecondaryTransport[[#This Row],[Cost_Per_Ton-Mile]],""),"")</f>
        <v/>
      </c>
      <c r="AS62" s="224" t="str">
        <f>IFERROR(IF(SecondaryTransport[[#This Row],[Container_Transfer]]="",(SecondaryTransport[[#This Row],[Ton-Miles]]*SecondaryTransport[[#This Row],[Cost_Per_Ton-Mile]]),""),"")</f>
        <v/>
      </c>
    </row>
    <row r="63" spans="12:45" ht="15" x14ac:dyDescent="0.25">
      <c r="L63" s="446" t="s">
        <v>876</v>
      </c>
      <c r="M63" s="446">
        <v>1</v>
      </c>
      <c r="N63" s="446">
        <v>1</v>
      </c>
      <c r="O63" s="446" t="s">
        <v>750</v>
      </c>
      <c r="P63" s="449" t="s">
        <v>739</v>
      </c>
      <c r="Q63" s="449"/>
      <c r="R63" s="449"/>
      <c r="S63" s="449" t="s">
        <v>963</v>
      </c>
      <c r="T63" s="449" t="s">
        <v>1121</v>
      </c>
      <c r="U63" s="452">
        <v>0</v>
      </c>
      <c r="V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 s="272" t="str">
        <f>IFERROR(SUMIFS(TransUnitCost[Miles],TransUnitCost[Grouping_ID],TransTonsShort[[#This Row],[Grouping_ID]],TransUnitCost[Transp_ID],TransTonsShort[[#This Row],[Transp_ID]])*TransTonsShort[[#This Row],[Trans_Tons_All]]/TransTonsShort[[#This Row],[Trans_Tons_All]],"")</f>
        <v/>
      </c>
      <c r="X63" s="386" t="str">
        <f>TransTonsShort[[#This Row],[Grouping_ID]]&amp;"-"&amp;TransTonsShort[[#This Row],[Sector_ID]]</f>
        <v>1-1</v>
      </c>
      <c r="Y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 s="421">
        <f>INDEX(LandfillFees[Disposal Tip Fee 2025],MATCH(TransTonsShort[[#This Row],[Grouping_ID]],LandfillFees[Grouping_ID],0))</f>
        <v>134.68</v>
      </c>
      <c r="AA63" s="102">
        <f>IF(OR(TransTonsShort[[#This Row],[CollectionStream_ID]]="03",TransTonsShort[[#This Row],[CollectionStream_ID]]="04",TransTonsShort[[#This Row],[CollectionStream_ID]]="13"),0,TransTonsShort[[#This Row],[Trans_Tons_All]]*TransTonsShort[[#This Row],[Disposal_Fee]])</f>
        <v>0</v>
      </c>
      <c r="AF63" s="446" t="s">
        <v>1236</v>
      </c>
      <c r="AG63" s="442" t="str">
        <f>LEFT(SecondaryTransport[[#This Row],[Scenario_MRF_Bale_ID]],2)</f>
        <v>S0</v>
      </c>
      <c r="AH63" s="181" t="str">
        <f>LEFT(RIGHT(SecondaryTransport[[#This Row],[Scenario_MRF_Bale_ID]],10),2)</f>
        <v>02</v>
      </c>
      <c r="AI63" s="181" t="str">
        <f>INDEX(MRFs[MRF_Name],MATCH(SecondaryTransport[[#This Row],[MRF_ID]],MRFs[MRF_ID],0))</f>
        <v>1 MRF for SS (Salem)</v>
      </c>
      <c r="AJ63" s="181" t="str">
        <f>RIGHT(SecondaryTransport[[#This Row],[Scenario_MRF_Bale_ID]],7)</f>
        <v>2000-08</v>
      </c>
      <c r="AK63" s="181" t="str">
        <f>INDEX(Bales[Bale_Name],MATCH(SecondaryTransport[[#This Row],[Bale_ID]],Bales[Bale_ID],0))</f>
        <v>PE colored film</v>
      </c>
      <c r="AL63" s="443">
        <f>INDEX(BaleMover[Total_Baled_tons],MATCH(SecondaryTransport[[#This Row],[Scenario_MRF_Bale_ID]],BaleMover[Scenario_MRF_Bale_ID],0))</f>
        <v>0</v>
      </c>
      <c r="AM63" s="443">
        <f>IF(INDEX(BaleMover[Miles],MATCH(SecondaryTransport[[#This Row],[Scenario_MRF_Bale_ID]],BaleMover[Scenario_MRF_Bale_ID],0))="",0,INDEX(BaleMover[Miles],MATCH(SecondaryTransport[[#This Row],[Scenario_MRF_Bale_ID]],BaleMover[Scenario_MRF_Bale_ID],0)))</f>
        <v>0</v>
      </c>
      <c r="AN63" s="251">
        <f>IF(SecondaryTransport[[#This Row],[Bale_ID]]="9000-01","costs elsewhere",SecondaryTransport[[#This Row],[Total_Baled_tons]]*SecondaryTransport[[#This Row],[Miles]])</f>
        <v>0</v>
      </c>
      <c r="AO63" s="352" t="str">
        <f>IF(LEFT(SecondaryTransport[[#This Row],[Bale_ID]],1)*1=5,IF(OR(SecondaryTransport[[#This Row],[MRF_ID]]="02",SecondaryTransport[[#This Row],[MRF_ID]]="08"),2,1),"")</f>
        <v/>
      </c>
      <c r="AP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3" s="224" t="str">
        <f>IFERROR(IF(1*LEFT(SecondaryTransport[[#This Row],[Bale_ID]],1)=5,SecondaryTransport[[#This Row],[Ton-Miles]]*SecondaryTransport[[#This Row],[Cost_Per_Ton-Mile]],""),"")</f>
        <v/>
      </c>
      <c r="AS63" s="224" t="str">
        <f>IFERROR(IF(SecondaryTransport[[#This Row],[Container_Transfer]]="",(SecondaryTransport[[#This Row],[Ton-Miles]]*SecondaryTransport[[#This Row],[Cost_Per_Ton-Mile]]),""),"")</f>
        <v/>
      </c>
    </row>
    <row r="64" spans="12:45" ht="15" x14ac:dyDescent="0.25">
      <c r="L64" s="446" t="s">
        <v>876</v>
      </c>
      <c r="M64" s="446">
        <v>2</v>
      </c>
      <c r="N64" s="446">
        <v>1</v>
      </c>
      <c r="O64" s="446" t="s">
        <v>750</v>
      </c>
      <c r="P64" s="449" t="s">
        <v>739</v>
      </c>
      <c r="Q64" s="449"/>
      <c r="R64" s="449"/>
      <c r="S64" s="449" t="s">
        <v>963</v>
      </c>
      <c r="T64" s="449" t="s">
        <v>1121</v>
      </c>
      <c r="U64" s="452">
        <v>0</v>
      </c>
      <c r="V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 s="272" t="str">
        <f>IFERROR(SUMIFS(TransUnitCost[Miles],TransUnitCost[Grouping_ID],TransTonsShort[[#This Row],[Grouping_ID]],TransUnitCost[Transp_ID],TransTonsShort[[#This Row],[Transp_ID]])*TransTonsShort[[#This Row],[Trans_Tons_All]]/TransTonsShort[[#This Row],[Trans_Tons_All]],"")</f>
        <v/>
      </c>
      <c r="X64" s="386" t="str">
        <f>TransTonsShort[[#This Row],[Grouping_ID]]&amp;"-"&amp;TransTonsShort[[#This Row],[Sector_ID]]</f>
        <v>2-1</v>
      </c>
      <c r="Y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 s="421">
        <f>INDEX(LandfillFees[Disposal Tip Fee 2025],MATCH(TransTonsShort[[#This Row],[Grouping_ID]],LandfillFees[Grouping_ID],0))</f>
        <v>72.030938699729589</v>
      </c>
      <c r="AA64" s="102">
        <f>IF(OR(TransTonsShort[[#This Row],[CollectionStream_ID]]="03",TransTonsShort[[#This Row],[CollectionStream_ID]]="04",TransTonsShort[[#This Row],[CollectionStream_ID]]="13"),0,TransTonsShort[[#This Row],[Trans_Tons_All]]*TransTonsShort[[#This Row],[Disposal_Fee]])</f>
        <v>0</v>
      </c>
      <c r="AF64" s="446" t="s">
        <v>1237</v>
      </c>
      <c r="AG64" s="442" t="str">
        <f>LEFT(SecondaryTransport[[#This Row],[Scenario_MRF_Bale_ID]],2)</f>
        <v>S1</v>
      </c>
      <c r="AH64" s="181" t="str">
        <f>LEFT(RIGHT(SecondaryTransport[[#This Row],[Scenario_MRF_Bale_ID]],10),2)</f>
        <v>02</v>
      </c>
      <c r="AI64" s="181" t="str">
        <f>INDEX(MRFs[MRF_Name],MATCH(SecondaryTransport[[#This Row],[MRF_ID]],MRFs[MRF_ID],0))</f>
        <v>1 MRF for SS (Salem)</v>
      </c>
      <c r="AJ64" s="181" t="str">
        <f>RIGHT(SecondaryTransport[[#This Row],[Scenario_MRF_Bale_ID]],7)</f>
        <v>2000-08</v>
      </c>
      <c r="AK64" s="181" t="str">
        <f>INDEX(Bales[Bale_Name],MATCH(SecondaryTransport[[#This Row],[Bale_ID]],Bales[Bale_ID],0))</f>
        <v>PE colored film</v>
      </c>
      <c r="AL64" s="443">
        <f>INDEX(BaleMover[Total_Baled_tons],MATCH(SecondaryTransport[[#This Row],[Scenario_MRF_Bale_ID]],BaleMover[Scenario_MRF_Bale_ID],0))</f>
        <v>0</v>
      </c>
      <c r="AM64" s="443">
        <f>IF(INDEX(BaleMover[Miles],MATCH(SecondaryTransport[[#This Row],[Scenario_MRF_Bale_ID]],BaleMover[Scenario_MRF_Bale_ID],0))="",0,INDEX(BaleMover[Miles],MATCH(SecondaryTransport[[#This Row],[Scenario_MRF_Bale_ID]],BaleMover[Scenario_MRF_Bale_ID],0)))</f>
        <v>0</v>
      </c>
      <c r="AN64" s="251">
        <f>IF(SecondaryTransport[[#This Row],[Bale_ID]]="9000-01","costs elsewhere",SecondaryTransport[[#This Row],[Total_Baled_tons]]*SecondaryTransport[[#This Row],[Miles]])</f>
        <v>0</v>
      </c>
      <c r="AO64" s="352" t="str">
        <f>IF(LEFT(SecondaryTransport[[#This Row],[Bale_ID]],1)*1=5,IF(OR(SecondaryTransport[[#This Row],[MRF_ID]]="02",SecondaryTransport[[#This Row],[MRF_ID]]="08"),2,1),"")</f>
        <v/>
      </c>
      <c r="AP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4" s="224" t="str">
        <f>IFERROR(IF(1*LEFT(SecondaryTransport[[#This Row],[Bale_ID]],1)=5,SecondaryTransport[[#This Row],[Ton-Miles]]*SecondaryTransport[[#This Row],[Cost_Per_Ton-Mile]],""),"")</f>
        <v/>
      </c>
      <c r="AS64" s="224" t="str">
        <f>IFERROR(IF(SecondaryTransport[[#This Row],[Container_Transfer]]="",(SecondaryTransport[[#This Row],[Ton-Miles]]*SecondaryTransport[[#This Row],[Cost_Per_Ton-Mile]]),""),"")</f>
        <v/>
      </c>
    </row>
    <row r="65" spans="2:45" ht="15" x14ac:dyDescent="0.25">
      <c r="L65" s="446" t="s">
        <v>876</v>
      </c>
      <c r="M65" s="446">
        <v>3</v>
      </c>
      <c r="N65" s="446">
        <v>1</v>
      </c>
      <c r="O65" s="446" t="s">
        <v>750</v>
      </c>
      <c r="P65" s="449" t="s">
        <v>739</v>
      </c>
      <c r="Q65" s="449"/>
      <c r="R65" s="449"/>
      <c r="S65" s="449" t="s">
        <v>963</v>
      </c>
      <c r="T65" s="449" t="s">
        <v>1121</v>
      </c>
      <c r="U65" s="452">
        <v>0</v>
      </c>
      <c r="V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 s="272" t="str">
        <f>IFERROR(SUMIFS(TransUnitCost[Miles],TransUnitCost[Grouping_ID],TransTonsShort[[#This Row],[Grouping_ID]],TransUnitCost[Transp_ID],TransTonsShort[[#This Row],[Transp_ID]])*TransTonsShort[[#This Row],[Trans_Tons_All]]/TransTonsShort[[#This Row],[Trans_Tons_All]],"")</f>
        <v/>
      </c>
      <c r="X65" s="386" t="str">
        <f>TransTonsShort[[#This Row],[Grouping_ID]]&amp;"-"&amp;TransTonsShort[[#This Row],[Sector_ID]]</f>
        <v>3-1</v>
      </c>
      <c r="Y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5" s="421">
        <f>INDEX(LandfillFees[Disposal Tip Fee 2025],MATCH(TransTonsShort[[#This Row],[Grouping_ID]],LandfillFees[Grouping_ID],0))</f>
        <v>72.030938699729589</v>
      </c>
      <c r="AA65" s="102">
        <f>IF(OR(TransTonsShort[[#This Row],[CollectionStream_ID]]="03",TransTonsShort[[#This Row],[CollectionStream_ID]]="04",TransTonsShort[[#This Row],[CollectionStream_ID]]="13"),0,TransTonsShort[[#This Row],[Trans_Tons_All]]*TransTonsShort[[#This Row],[Disposal_Fee]])</f>
        <v>0</v>
      </c>
      <c r="AF65" s="446" t="s">
        <v>1238</v>
      </c>
      <c r="AG65" s="442" t="str">
        <f>LEFT(SecondaryTransport[[#This Row],[Scenario_MRF_Bale_ID]],2)</f>
        <v>S2</v>
      </c>
      <c r="AH65" s="181" t="str">
        <f>LEFT(RIGHT(SecondaryTransport[[#This Row],[Scenario_MRF_Bale_ID]],10),2)</f>
        <v>02</v>
      </c>
      <c r="AI65" s="181" t="str">
        <f>INDEX(MRFs[MRF_Name],MATCH(SecondaryTransport[[#This Row],[MRF_ID]],MRFs[MRF_ID],0))</f>
        <v>1 MRF for SS (Salem)</v>
      </c>
      <c r="AJ65" s="181" t="str">
        <f>RIGHT(SecondaryTransport[[#This Row],[Scenario_MRF_Bale_ID]],7)</f>
        <v>2000-08</v>
      </c>
      <c r="AK65" s="181" t="str">
        <f>INDEX(Bales[Bale_Name],MATCH(SecondaryTransport[[#This Row],[Bale_ID]],Bales[Bale_ID],0))</f>
        <v>PE colored film</v>
      </c>
      <c r="AL65" s="443">
        <f>INDEX(BaleMover[Total_Baled_tons],MATCH(SecondaryTransport[[#This Row],[Scenario_MRF_Bale_ID]],BaleMover[Scenario_MRF_Bale_ID],0))</f>
        <v>0</v>
      </c>
      <c r="AM65" s="443">
        <f>IF(INDEX(BaleMover[Miles],MATCH(SecondaryTransport[[#This Row],[Scenario_MRF_Bale_ID]],BaleMover[Scenario_MRF_Bale_ID],0))="",0,INDEX(BaleMover[Miles],MATCH(SecondaryTransport[[#This Row],[Scenario_MRF_Bale_ID]],BaleMover[Scenario_MRF_Bale_ID],0)))</f>
        <v>0</v>
      </c>
      <c r="AN65" s="251">
        <f>IF(SecondaryTransport[[#This Row],[Bale_ID]]="9000-01","costs elsewhere",SecondaryTransport[[#This Row],[Total_Baled_tons]]*SecondaryTransport[[#This Row],[Miles]])</f>
        <v>0</v>
      </c>
      <c r="AO65" s="352" t="str">
        <f>IF(LEFT(SecondaryTransport[[#This Row],[Bale_ID]],1)*1=5,IF(OR(SecondaryTransport[[#This Row],[MRF_ID]]="02",SecondaryTransport[[#This Row],[MRF_ID]]="08"),2,1),"")</f>
        <v/>
      </c>
      <c r="AP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 s="224" t="str">
        <f>IFERROR(IF(1*LEFT(SecondaryTransport[[#This Row],[Bale_ID]],1)=5,SecondaryTransport[[#This Row],[Ton-Miles]]*SecondaryTransport[[#This Row],[Cost_Per_Ton-Mile]],""),"")</f>
        <v/>
      </c>
      <c r="AS65" s="224" t="str">
        <f>IFERROR(IF(SecondaryTransport[[#This Row],[Container_Transfer]]="",(SecondaryTransport[[#This Row],[Ton-Miles]]*SecondaryTransport[[#This Row],[Cost_Per_Ton-Mile]]),""),"")</f>
        <v/>
      </c>
    </row>
    <row r="66" spans="2:45" ht="15" x14ac:dyDescent="0.25">
      <c r="L66" s="446" t="s">
        <v>876</v>
      </c>
      <c r="M66" s="446">
        <v>4</v>
      </c>
      <c r="N66" s="446">
        <v>1</v>
      </c>
      <c r="O66" s="446" t="s">
        <v>750</v>
      </c>
      <c r="P66" s="449" t="s">
        <v>739</v>
      </c>
      <c r="Q66" s="449"/>
      <c r="R66" s="449"/>
      <c r="S66" s="449" t="s">
        <v>963</v>
      </c>
      <c r="T66" s="449" t="s">
        <v>1121</v>
      </c>
      <c r="U66" s="452">
        <v>0</v>
      </c>
      <c r="V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 s="272" t="str">
        <f>IFERROR(SUMIFS(TransUnitCost[Miles],TransUnitCost[Grouping_ID],TransTonsShort[[#This Row],[Grouping_ID]],TransUnitCost[Transp_ID],TransTonsShort[[#This Row],[Transp_ID]])*TransTonsShort[[#This Row],[Trans_Tons_All]]/TransTonsShort[[#This Row],[Trans_Tons_All]],"")</f>
        <v/>
      </c>
      <c r="X66" s="386" t="str">
        <f>TransTonsShort[[#This Row],[Grouping_ID]]&amp;"-"&amp;TransTonsShort[[#This Row],[Sector_ID]]</f>
        <v>4-1</v>
      </c>
      <c r="Y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6" s="421">
        <f>INDEX(LandfillFees[Disposal Tip Fee 2025],MATCH(TransTonsShort[[#This Row],[Grouping_ID]],LandfillFees[Grouping_ID],0))</f>
        <v>72.030938699729589</v>
      </c>
      <c r="AA66" s="102">
        <f>IF(OR(TransTonsShort[[#This Row],[CollectionStream_ID]]="03",TransTonsShort[[#This Row],[CollectionStream_ID]]="04",TransTonsShort[[#This Row],[CollectionStream_ID]]="13"),0,TransTonsShort[[#This Row],[Trans_Tons_All]]*TransTonsShort[[#This Row],[Disposal_Fee]])</f>
        <v>0</v>
      </c>
      <c r="AF66" s="446" t="s">
        <v>1239</v>
      </c>
      <c r="AG66" s="442" t="str">
        <f>LEFT(SecondaryTransport[[#This Row],[Scenario_MRF_Bale_ID]],2)</f>
        <v>S3</v>
      </c>
      <c r="AH66" s="181" t="str">
        <f>LEFT(RIGHT(SecondaryTransport[[#This Row],[Scenario_MRF_Bale_ID]],10),2)</f>
        <v>02</v>
      </c>
      <c r="AI66" s="181" t="str">
        <f>INDEX(MRFs[MRF_Name],MATCH(SecondaryTransport[[#This Row],[MRF_ID]],MRFs[MRF_ID],0))</f>
        <v>1 MRF for SS (Salem)</v>
      </c>
      <c r="AJ66" s="181" t="str">
        <f>RIGHT(SecondaryTransport[[#This Row],[Scenario_MRF_Bale_ID]],7)</f>
        <v>2000-08</v>
      </c>
      <c r="AK66" s="181" t="str">
        <f>INDEX(Bales[Bale_Name],MATCH(SecondaryTransport[[#This Row],[Bale_ID]],Bales[Bale_ID],0))</f>
        <v>PE colored film</v>
      </c>
      <c r="AL66" s="443">
        <f>INDEX(BaleMover[Total_Baled_tons],MATCH(SecondaryTransport[[#This Row],[Scenario_MRF_Bale_ID]],BaleMover[Scenario_MRF_Bale_ID],0))</f>
        <v>0</v>
      </c>
      <c r="AM66" s="443">
        <f>IF(INDEX(BaleMover[Miles],MATCH(SecondaryTransport[[#This Row],[Scenario_MRF_Bale_ID]],BaleMover[Scenario_MRF_Bale_ID],0))="",0,INDEX(BaleMover[Miles],MATCH(SecondaryTransport[[#This Row],[Scenario_MRF_Bale_ID]],BaleMover[Scenario_MRF_Bale_ID],0)))</f>
        <v>0</v>
      </c>
      <c r="AN66" s="251">
        <f>IF(SecondaryTransport[[#This Row],[Bale_ID]]="9000-01","costs elsewhere",SecondaryTransport[[#This Row],[Total_Baled_tons]]*SecondaryTransport[[#This Row],[Miles]])</f>
        <v>0</v>
      </c>
      <c r="AO66" s="352" t="str">
        <f>IF(LEFT(SecondaryTransport[[#This Row],[Bale_ID]],1)*1=5,IF(OR(SecondaryTransport[[#This Row],[MRF_ID]]="02",SecondaryTransport[[#This Row],[MRF_ID]]="08"),2,1),"")</f>
        <v/>
      </c>
      <c r="AP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 s="224" t="str">
        <f>IFERROR(IF(1*LEFT(SecondaryTransport[[#This Row],[Bale_ID]],1)=5,SecondaryTransport[[#This Row],[Ton-Miles]]*SecondaryTransport[[#This Row],[Cost_Per_Ton-Mile]],""),"")</f>
        <v/>
      </c>
      <c r="AS66" s="224" t="str">
        <f>IFERROR(IF(SecondaryTransport[[#This Row],[Container_Transfer]]="",(SecondaryTransport[[#This Row],[Ton-Miles]]*SecondaryTransport[[#This Row],[Cost_Per_Ton-Mile]]),""),"")</f>
        <v/>
      </c>
    </row>
    <row r="67" spans="2:45" ht="15" x14ac:dyDescent="0.25">
      <c r="L67" s="446" t="s">
        <v>876</v>
      </c>
      <c r="M67" s="446">
        <v>1</v>
      </c>
      <c r="N67" s="446">
        <v>1</v>
      </c>
      <c r="O67" s="446" t="s">
        <v>750</v>
      </c>
      <c r="P67" s="450" t="s">
        <v>700</v>
      </c>
      <c r="Q67" s="450"/>
      <c r="R67" s="450"/>
      <c r="S67" s="449" t="s">
        <v>963</v>
      </c>
      <c r="T67" s="449" t="s">
        <v>701</v>
      </c>
      <c r="U67" s="452">
        <v>0</v>
      </c>
      <c r="V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 s="272" t="str">
        <f>IFERROR(SUMIFS(TransUnitCost[Miles],TransUnitCost[Grouping_ID],TransTonsShort[[#This Row],[Grouping_ID]],TransUnitCost[Transp_ID],TransTonsShort[[#This Row],[Transp_ID]])*TransTonsShort[[#This Row],[Trans_Tons_All]]/TransTonsShort[[#This Row],[Trans_Tons_All]],"")</f>
        <v/>
      </c>
      <c r="X67" s="386" t="str">
        <f>TransTonsShort[[#This Row],[Grouping_ID]]&amp;"-"&amp;TransTonsShort[[#This Row],[Sector_ID]]</f>
        <v>1-1</v>
      </c>
      <c r="Y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7" s="421">
        <f>INDEX(LandfillFees[Disposal Tip Fee 2025],MATCH(TransTonsShort[[#This Row],[Grouping_ID]],LandfillFees[Grouping_ID],0))</f>
        <v>134.68</v>
      </c>
      <c r="AA67" s="102">
        <f>IF(OR(TransTonsShort[[#This Row],[CollectionStream_ID]]="03",TransTonsShort[[#This Row],[CollectionStream_ID]]="04",TransTonsShort[[#This Row],[CollectionStream_ID]]="13"),0,TransTonsShort[[#This Row],[Trans_Tons_All]]*TransTonsShort[[#This Row],[Disposal_Fee]])</f>
        <v>0</v>
      </c>
      <c r="AF67" s="446" t="s">
        <v>1240</v>
      </c>
      <c r="AG67" s="442" t="str">
        <f>LEFT(SecondaryTransport[[#This Row],[Scenario_MRF_Bale_ID]],2)</f>
        <v>S0</v>
      </c>
      <c r="AH67" s="181" t="str">
        <f>LEFT(RIGHT(SecondaryTransport[[#This Row],[Scenario_MRF_Bale_ID]],10),2)</f>
        <v>02</v>
      </c>
      <c r="AI67" s="181" t="str">
        <f>INDEX(MRFs[MRF_Name],MATCH(SecondaryTransport[[#This Row],[MRF_ID]],MRFs[MRF_ID],0))</f>
        <v>1 MRF for SS (Salem)</v>
      </c>
      <c r="AJ67" s="181" t="str">
        <f>RIGHT(SecondaryTransport[[#This Row],[Scenario_MRF_Bale_ID]],7)</f>
        <v>2000-09</v>
      </c>
      <c r="AK67" s="181" t="str">
        <f>INDEX(Bales[Bale_Name],MATCH(SecondaryTransport[[#This Row],[Bale_ID]],Bales[Bale_ID],0))</f>
        <v>PE retail mix film</v>
      </c>
      <c r="AL67" s="443">
        <f>INDEX(BaleMover[Total_Baled_tons],MATCH(SecondaryTransport[[#This Row],[Scenario_MRF_Bale_ID]],BaleMover[Scenario_MRF_Bale_ID],0))</f>
        <v>0</v>
      </c>
      <c r="AM67" s="443">
        <f>IF(INDEX(BaleMover[Miles],MATCH(SecondaryTransport[[#This Row],[Scenario_MRF_Bale_ID]],BaleMover[Scenario_MRF_Bale_ID],0))="",0,INDEX(BaleMover[Miles],MATCH(SecondaryTransport[[#This Row],[Scenario_MRF_Bale_ID]],BaleMover[Scenario_MRF_Bale_ID],0)))</f>
        <v>0</v>
      </c>
      <c r="AN67" s="251">
        <f>IF(SecondaryTransport[[#This Row],[Bale_ID]]="9000-01","costs elsewhere",SecondaryTransport[[#This Row],[Total_Baled_tons]]*SecondaryTransport[[#This Row],[Miles]])</f>
        <v>0</v>
      </c>
      <c r="AO67" s="352" t="str">
        <f>IF(LEFT(SecondaryTransport[[#This Row],[Bale_ID]],1)*1=5,IF(OR(SecondaryTransport[[#This Row],[MRF_ID]]="02",SecondaryTransport[[#This Row],[MRF_ID]]="08"),2,1),"")</f>
        <v/>
      </c>
      <c r="AP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7" s="224" t="str">
        <f>IFERROR(IF(1*LEFT(SecondaryTransport[[#This Row],[Bale_ID]],1)=5,SecondaryTransport[[#This Row],[Ton-Miles]]*SecondaryTransport[[#This Row],[Cost_Per_Ton-Mile]],""),"")</f>
        <v/>
      </c>
      <c r="AS67" s="224" t="str">
        <f>IFERROR(IF(SecondaryTransport[[#This Row],[Container_Transfer]]="",(SecondaryTransport[[#This Row],[Ton-Miles]]*SecondaryTransport[[#This Row],[Cost_Per_Ton-Mile]]),""),"")</f>
        <v/>
      </c>
    </row>
    <row r="68" spans="2:45" ht="15" x14ac:dyDescent="0.25">
      <c r="L68" s="446" t="s">
        <v>876</v>
      </c>
      <c r="M68" s="446">
        <v>2</v>
      </c>
      <c r="N68" s="446">
        <v>1</v>
      </c>
      <c r="O68" s="446" t="s">
        <v>750</v>
      </c>
      <c r="P68" s="450" t="s">
        <v>700</v>
      </c>
      <c r="Q68" s="450"/>
      <c r="R68" s="450"/>
      <c r="S68" s="449" t="s">
        <v>963</v>
      </c>
      <c r="T68" s="449" t="s">
        <v>701</v>
      </c>
      <c r="U68" s="452">
        <v>0</v>
      </c>
      <c r="V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 s="272" t="str">
        <f>IFERROR(SUMIFS(TransUnitCost[Miles],TransUnitCost[Grouping_ID],TransTonsShort[[#This Row],[Grouping_ID]],TransUnitCost[Transp_ID],TransTonsShort[[#This Row],[Transp_ID]])*TransTonsShort[[#This Row],[Trans_Tons_All]]/TransTonsShort[[#This Row],[Trans_Tons_All]],"")</f>
        <v/>
      </c>
      <c r="X68" s="386" t="str">
        <f>TransTonsShort[[#This Row],[Grouping_ID]]&amp;"-"&amp;TransTonsShort[[#This Row],[Sector_ID]]</f>
        <v>2-1</v>
      </c>
      <c r="Y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 s="421">
        <f>INDEX(LandfillFees[Disposal Tip Fee 2025],MATCH(TransTonsShort[[#This Row],[Grouping_ID]],LandfillFees[Grouping_ID],0))</f>
        <v>72.030938699729589</v>
      </c>
      <c r="AA68" s="102">
        <f>IF(OR(TransTonsShort[[#This Row],[CollectionStream_ID]]="03",TransTonsShort[[#This Row],[CollectionStream_ID]]="04",TransTonsShort[[#This Row],[CollectionStream_ID]]="13"),0,TransTonsShort[[#This Row],[Trans_Tons_All]]*TransTonsShort[[#This Row],[Disposal_Fee]])</f>
        <v>0</v>
      </c>
      <c r="AF68" s="446" t="s">
        <v>1241</v>
      </c>
      <c r="AG68" s="442" t="str">
        <f>LEFT(SecondaryTransport[[#This Row],[Scenario_MRF_Bale_ID]],2)</f>
        <v>S1</v>
      </c>
      <c r="AH68" s="181" t="str">
        <f>LEFT(RIGHT(SecondaryTransport[[#This Row],[Scenario_MRF_Bale_ID]],10),2)</f>
        <v>02</v>
      </c>
      <c r="AI68" s="181" t="str">
        <f>INDEX(MRFs[MRF_Name],MATCH(SecondaryTransport[[#This Row],[MRF_ID]],MRFs[MRF_ID],0))</f>
        <v>1 MRF for SS (Salem)</v>
      </c>
      <c r="AJ68" s="181" t="str">
        <f>RIGHT(SecondaryTransport[[#This Row],[Scenario_MRF_Bale_ID]],7)</f>
        <v>2000-09</v>
      </c>
      <c r="AK68" s="181" t="str">
        <f>INDEX(Bales[Bale_Name],MATCH(SecondaryTransport[[#This Row],[Bale_ID]],Bales[Bale_ID],0))</f>
        <v>PE retail mix film</v>
      </c>
      <c r="AL68" s="443">
        <f>INDEX(BaleMover[Total_Baled_tons],MATCH(SecondaryTransport[[#This Row],[Scenario_MRF_Bale_ID]],BaleMover[Scenario_MRF_Bale_ID],0))</f>
        <v>0</v>
      </c>
      <c r="AM68" s="443">
        <f>IF(INDEX(BaleMover[Miles],MATCH(SecondaryTransport[[#This Row],[Scenario_MRF_Bale_ID]],BaleMover[Scenario_MRF_Bale_ID],0))="",0,INDEX(BaleMover[Miles],MATCH(SecondaryTransport[[#This Row],[Scenario_MRF_Bale_ID]],BaleMover[Scenario_MRF_Bale_ID],0)))</f>
        <v>0</v>
      </c>
      <c r="AN68" s="251">
        <f>IF(SecondaryTransport[[#This Row],[Bale_ID]]="9000-01","costs elsewhere",SecondaryTransport[[#This Row],[Total_Baled_tons]]*SecondaryTransport[[#This Row],[Miles]])</f>
        <v>0</v>
      </c>
      <c r="AO68" s="352" t="str">
        <f>IF(LEFT(SecondaryTransport[[#This Row],[Bale_ID]],1)*1=5,IF(OR(SecondaryTransport[[#This Row],[MRF_ID]]="02",SecondaryTransport[[#This Row],[MRF_ID]]="08"),2,1),"")</f>
        <v/>
      </c>
      <c r="AP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8" s="224" t="str">
        <f>IFERROR(IF(1*LEFT(SecondaryTransport[[#This Row],[Bale_ID]],1)=5,SecondaryTransport[[#This Row],[Ton-Miles]]*SecondaryTransport[[#This Row],[Cost_Per_Ton-Mile]],""),"")</f>
        <v/>
      </c>
      <c r="AS68" s="224" t="str">
        <f>IFERROR(IF(SecondaryTransport[[#This Row],[Container_Transfer]]="",(SecondaryTransport[[#This Row],[Ton-Miles]]*SecondaryTransport[[#This Row],[Cost_Per_Ton-Mile]]),""),"")</f>
        <v/>
      </c>
    </row>
    <row r="69" spans="2:45" ht="15" x14ac:dyDescent="0.25">
      <c r="C69"/>
      <c r="D69"/>
      <c r="L69" s="446" t="s">
        <v>876</v>
      </c>
      <c r="M69" s="446">
        <v>3</v>
      </c>
      <c r="N69" s="446">
        <v>1</v>
      </c>
      <c r="O69" s="446" t="s">
        <v>750</v>
      </c>
      <c r="P69" s="450" t="s">
        <v>700</v>
      </c>
      <c r="Q69" s="450"/>
      <c r="R69" s="450"/>
      <c r="S69" s="449" t="s">
        <v>963</v>
      </c>
      <c r="T69" s="449" t="s">
        <v>701</v>
      </c>
      <c r="U69" s="452">
        <v>0</v>
      </c>
      <c r="V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 s="272" t="str">
        <f>IFERROR(SUMIFS(TransUnitCost[Miles],TransUnitCost[Grouping_ID],TransTonsShort[[#This Row],[Grouping_ID]],TransUnitCost[Transp_ID],TransTonsShort[[#This Row],[Transp_ID]])*TransTonsShort[[#This Row],[Trans_Tons_All]]/TransTonsShort[[#This Row],[Trans_Tons_All]],"")</f>
        <v/>
      </c>
      <c r="X69" s="386" t="str">
        <f>TransTonsShort[[#This Row],[Grouping_ID]]&amp;"-"&amp;TransTonsShort[[#This Row],[Sector_ID]]</f>
        <v>3-1</v>
      </c>
      <c r="Y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 s="421">
        <f>INDEX(LandfillFees[Disposal Tip Fee 2025],MATCH(TransTonsShort[[#This Row],[Grouping_ID]],LandfillFees[Grouping_ID],0))</f>
        <v>72.030938699729589</v>
      </c>
      <c r="AA69" s="102">
        <f>IF(OR(TransTonsShort[[#This Row],[CollectionStream_ID]]="03",TransTonsShort[[#This Row],[CollectionStream_ID]]="04",TransTonsShort[[#This Row],[CollectionStream_ID]]="13"),0,TransTonsShort[[#This Row],[Trans_Tons_All]]*TransTonsShort[[#This Row],[Disposal_Fee]])</f>
        <v>0</v>
      </c>
      <c r="AF69" s="446" t="s">
        <v>1242</v>
      </c>
      <c r="AG69" s="442" t="str">
        <f>LEFT(SecondaryTransport[[#This Row],[Scenario_MRF_Bale_ID]],2)</f>
        <v>S2</v>
      </c>
      <c r="AH69" s="181" t="str">
        <f>LEFT(RIGHT(SecondaryTransport[[#This Row],[Scenario_MRF_Bale_ID]],10),2)</f>
        <v>02</v>
      </c>
      <c r="AI69" s="181" t="str">
        <f>INDEX(MRFs[MRF_Name],MATCH(SecondaryTransport[[#This Row],[MRF_ID]],MRFs[MRF_ID],0))</f>
        <v>1 MRF for SS (Salem)</v>
      </c>
      <c r="AJ69" s="181" t="str">
        <f>RIGHT(SecondaryTransport[[#This Row],[Scenario_MRF_Bale_ID]],7)</f>
        <v>2000-09</v>
      </c>
      <c r="AK69" s="181" t="str">
        <f>INDEX(Bales[Bale_Name],MATCH(SecondaryTransport[[#This Row],[Bale_ID]],Bales[Bale_ID],0))</f>
        <v>PE retail mix film</v>
      </c>
      <c r="AL69" s="443">
        <f>INDEX(BaleMover[Total_Baled_tons],MATCH(SecondaryTransport[[#This Row],[Scenario_MRF_Bale_ID]],BaleMover[Scenario_MRF_Bale_ID],0))</f>
        <v>0</v>
      </c>
      <c r="AM69" s="443">
        <f>IF(INDEX(BaleMover[Miles],MATCH(SecondaryTransport[[#This Row],[Scenario_MRF_Bale_ID]],BaleMover[Scenario_MRF_Bale_ID],0))="",0,INDEX(BaleMover[Miles],MATCH(SecondaryTransport[[#This Row],[Scenario_MRF_Bale_ID]],BaleMover[Scenario_MRF_Bale_ID],0)))</f>
        <v>0</v>
      </c>
      <c r="AN69" s="251">
        <f>IF(SecondaryTransport[[#This Row],[Bale_ID]]="9000-01","costs elsewhere",SecondaryTransport[[#This Row],[Total_Baled_tons]]*SecondaryTransport[[#This Row],[Miles]])</f>
        <v>0</v>
      </c>
      <c r="AO69" s="352" t="str">
        <f>IF(LEFT(SecondaryTransport[[#This Row],[Bale_ID]],1)*1=5,IF(OR(SecondaryTransport[[#This Row],[MRF_ID]]="02",SecondaryTransport[[#This Row],[MRF_ID]]="08"),2,1),"")</f>
        <v/>
      </c>
      <c r="AP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9" s="224" t="str">
        <f>IFERROR(IF(1*LEFT(SecondaryTransport[[#This Row],[Bale_ID]],1)=5,SecondaryTransport[[#This Row],[Ton-Miles]]*SecondaryTransport[[#This Row],[Cost_Per_Ton-Mile]],""),"")</f>
        <v/>
      </c>
      <c r="AS69" s="224" t="str">
        <f>IFERROR(IF(SecondaryTransport[[#This Row],[Container_Transfer]]="",(SecondaryTransport[[#This Row],[Ton-Miles]]*SecondaryTransport[[#This Row],[Cost_Per_Ton-Mile]]),""),"")</f>
        <v/>
      </c>
    </row>
    <row r="70" spans="2:45" ht="15" x14ac:dyDescent="0.25">
      <c r="C70"/>
      <c r="D70"/>
      <c r="L70" s="446" t="s">
        <v>876</v>
      </c>
      <c r="M70" s="446">
        <v>4</v>
      </c>
      <c r="N70" s="446">
        <v>1</v>
      </c>
      <c r="O70" s="446" t="s">
        <v>750</v>
      </c>
      <c r="P70" s="450" t="s">
        <v>700</v>
      </c>
      <c r="Q70" s="450"/>
      <c r="R70" s="450"/>
      <c r="S70" s="449" t="s">
        <v>963</v>
      </c>
      <c r="T70" s="449" t="s">
        <v>701</v>
      </c>
      <c r="U70" s="452">
        <v>0</v>
      </c>
      <c r="V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0" s="272" t="str">
        <f>IFERROR(SUMIFS(TransUnitCost[Miles],TransUnitCost[Grouping_ID],TransTonsShort[[#This Row],[Grouping_ID]],TransUnitCost[Transp_ID],TransTonsShort[[#This Row],[Transp_ID]])*TransTonsShort[[#This Row],[Trans_Tons_All]]/TransTonsShort[[#This Row],[Trans_Tons_All]],"")</f>
        <v/>
      </c>
      <c r="X70" s="386" t="str">
        <f>TransTonsShort[[#This Row],[Grouping_ID]]&amp;"-"&amp;TransTonsShort[[#This Row],[Sector_ID]]</f>
        <v>4-1</v>
      </c>
      <c r="Y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 s="421">
        <f>INDEX(LandfillFees[Disposal Tip Fee 2025],MATCH(TransTonsShort[[#This Row],[Grouping_ID]],LandfillFees[Grouping_ID],0))</f>
        <v>72.030938699729589</v>
      </c>
      <c r="AA70" s="102">
        <f>IF(OR(TransTonsShort[[#This Row],[CollectionStream_ID]]="03",TransTonsShort[[#This Row],[CollectionStream_ID]]="04",TransTonsShort[[#This Row],[CollectionStream_ID]]="13"),0,TransTonsShort[[#This Row],[Trans_Tons_All]]*TransTonsShort[[#This Row],[Disposal_Fee]])</f>
        <v>0</v>
      </c>
      <c r="AF70" s="446" t="s">
        <v>1243</v>
      </c>
      <c r="AG70" s="442" t="str">
        <f>LEFT(SecondaryTransport[[#This Row],[Scenario_MRF_Bale_ID]],2)</f>
        <v>S3</v>
      </c>
      <c r="AH70" s="181" t="str">
        <f>LEFT(RIGHT(SecondaryTransport[[#This Row],[Scenario_MRF_Bale_ID]],10),2)</f>
        <v>02</v>
      </c>
      <c r="AI70" s="181" t="str">
        <f>INDEX(MRFs[MRF_Name],MATCH(SecondaryTransport[[#This Row],[MRF_ID]],MRFs[MRF_ID],0))</f>
        <v>1 MRF for SS (Salem)</v>
      </c>
      <c r="AJ70" s="181" t="str">
        <f>RIGHT(SecondaryTransport[[#This Row],[Scenario_MRF_Bale_ID]],7)</f>
        <v>2000-09</v>
      </c>
      <c r="AK70" s="181" t="str">
        <f>INDEX(Bales[Bale_Name],MATCH(SecondaryTransport[[#This Row],[Bale_ID]],Bales[Bale_ID],0))</f>
        <v>PE retail mix film</v>
      </c>
      <c r="AL70" s="443">
        <f>INDEX(BaleMover[Total_Baled_tons],MATCH(SecondaryTransport[[#This Row],[Scenario_MRF_Bale_ID]],BaleMover[Scenario_MRF_Bale_ID],0))</f>
        <v>0</v>
      </c>
      <c r="AM70" s="443">
        <f>IF(INDEX(BaleMover[Miles],MATCH(SecondaryTransport[[#This Row],[Scenario_MRF_Bale_ID]],BaleMover[Scenario_MRF_Bale_ID],0))="",0,INDEX(BaleMover[Miles],MATCH(SecondaryTransport[[#This Row],[Scenario_MRF_Bale_ID]],BaleMover[Scenario_MRF_Bale_ID],0)))</f>
        <v>0</v>
      </c>
      <c r="AN70" s="251">
        <f>IF(SecondaryTransport[[#This Row],[Bale_ID]]="9000-01","costs elsewhere",SecondaryTransport[[#This Row],[Total_Baled_tons]]*SecondaryTransport[[#This Row],[Miles]])</f>
        <v>0</v>
      </c>
      <c r="AO70" s="352" t="str">
        <f>IF(LEFT(SecondaryTransport[[#This Row],[Bale_ID]],1)*1=5,IF(OR(SecondaryTransport[[#This Row],[MRF_ID]]="02",SecondaryTransport[[#This Row],[MRF_ID]]="08"),2,1),"")</f>
        <v/>
      </c>
      <c r="AP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0" s="224" t="str">
        <f>IFERROR(IF(1*LEFT(SecondaryTransport[[#This Row],[Bale_ID]],1)=5,SecondaryTransport[[#This Row],[Ton-Miles]]*SecondaryTransport[[#This Row],[Cost_Per_Ton-Mile]],""),"")</f>
        <v/>
      </c>
      <c r="AS70" s="224" t="str">
        <f>IFERROR(IF(SecondaryTransport[[#This Row],[Container_Transfer]]="",(SecondaryTransport[[#This Row],[Ton-Miles]]*SecondaryTransport[[#This Row],[Cost_Per_Ton-Mile]]),""),"")</f>
        <v/>
      </c>
    </row>
    <row r="71" spans="2:45" ht="15" x14ac:dyDescent="0.25">
      <c r="C71"/>
      <c r="D71"/>
      <c r="L71" s="446" t="s">
        <v>875</v>
      </c>
      <c r="M71" s="446">
        <v>1</v>
      </c>
      <c r="N71" s="446">
        <v>1</v>
      </c>
      <c r="O71" s="446" t="s">
        <v>700</v>
      </c>
      <c r="P71" s="449" t="s">
        <v>719</v>
      </c>
      <c r="Q71" s="449"/>
      <c r="R71" s="449"/>
      <c r="S71" s="449" t="s">
        <v>872</v>
      </c>
      <c r="T71" s="449" t="s">
        <v>1055</v>
      </c>
      <c r="U71" s="452">
        <v>0</v>
      </c>
      <c r="V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 s="272" t="str">
        <f>IFERROR(SUMIFS(TransUnitCost[Miles],TransUnitCost[Grouping_ID],TransTonsShort[[#This Row],[Grouping_ID]],TransUnitCost[Transp_ID],TransTonsShort[[#This Row],[Transp_ID]])*TransTonsShort[[#This Row],[Trans_Tons_All]]/TransTonsShort[[#This Row],[Trans_Tons_All]],"")</f>
        <v/>
      </c>
      <c r="X71" s="386" t="str">
        <f>TransTonsShort[[#This Row],[Grouping_ID]]&amp;"-"&amp;TransTonsShort[[#This Row],[Sector_ID]]</f>
        <v>1-1</v>
      </c>
      <c r="Y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 s="421">
        <f>INDEX(LandfillFees[Disposal Tip Fee 2025],MATCH(TransTonsShort[[#This Row],[Grouping_ID]],LandfillFees[Grouping_ID],0))</f>
        <v>134.68</v>
      </c>
      <c r="AA71" s="102">
        <f>IF(OR(TransTonsShort[[#This Row],[CollectionStream_ID]]="03",TransTonsShort[[#This Row],[CollectionStream_ID]]="04",TransTonsShort[[#This Row],[CollectionStream_ID]]="13"),0,TransTonsShort[[#This Row],[Trans_Tons_All]]*TransTonsShort[[#This Row],[Disposal_Fee]])</f>
        <v>0</v>
      </c>
      <c r="AF71" s="446" t="s">
        <v>1244</v>
      </c>
      <c r="AG71" s="442" t="str">
        <f>LEFT(SecondaryTransport[[#This Row],[Scenario_MRF_Bale_ID]],2)</f>
        <v>S0</v>
      </c>
      <c r="AH71" s="181" t="str">
        <f>LEFT(RIGHT(SecondaryTransport[[#This Row],[Scenario_MRF_Bale_ID]],10),2)</f>
        <v>02</v>
      </c>
      <c r="AI71" s="181" t="str">
        <f>INDEX(MRFs[MRF_Name],MATCH(SecondaryTransport[[#This Row],[MRF_ID]],MRFs[MRF_ID],0))</f>
        <v>1 MRF for SS (Salem)</v>
      </c>
      <c r="AJ71" s="181" t="str">
        <f>RIGHT(SecondaryTransport[[#This Row],[Scenario_MRF_Bale_ID]],7)</f>
        <v>2000-10</v>
      </c>
      <c r="AK71" s="181" t="str">
        <f>INDEX(Bales[Bale_Name],MATCH(SecondaryTransport[[#This Row],[Bale_ID]],Bales[Bale_ID],0))</f>
        <v>Mixed bulky rigid plastics (mainly PE and PP) </v>
      </c>
      <c r="AL71" s="443">
        <f>INDEX(BaleMover[Total_Baled_tons],MATCH(SecondaryTransport[[#This Row],[Scenario_MRF_Bale_ID]],BaleMover[Scenario_MRF_Bale_ID],0))</f>
        <v>679.21994758898074</v>
      </c>
      <c r="AM71" s="443">
        <f>IF(INDEX(BaleMover[Miles],MATCH(SecondaryTransport[[#This Row],[Scenario_MRF_Bale_ID]],BaleMover[Scenario_MRF_Bale_ID],0))="",0,INDEX(BaleMover[Miles],MATCH(SecondaryTransport[[#This Row],[Scenario_MRF_Bale_ID]],BaleMover[Scenario_MRF_Bale_ID],0)))</f>
        <v>2680</v>
      </c>
      <c r="AN71" s="251">
        <f>IF(SecondaryTransport[[#This Row],[Bale_ID]]="9000-01","costs elsewhere",SecondaryTransport[[#This Row],[Total_Baled_tons]]*SecondaryTransport[[#This Row],[Miles]])</f>
        <v>1820309.4595384684</v>
      </c>
      <c r="AO71" s="352" t="str">
        <f>IF(LEFT(SecondaryTransport[[#This Row],[Bale_ID]],1)*1=5,IF(OR(SecondaryTransport[[#This Row],[MRF_ID]]="02",SecondaryTransport[[#This Row],[MRF_ID]]="08"),2,1),"")</f>
        <v/>
      </c>
      <c r="AP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7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71" s="224" t="str">
        <f>IFERROR(IF(1*LEFT(SecondaryTransport[[#This Row],[Bale_ID]],1)=5,SecondaryTransport[[#This Row],[Ton-Miles]]*SecondaryTransport[[#This Row],[Cost_Per_Ton-Mile]],""),"")</f>
        <v/>
      </c>
      <c r="AS71" s="224">
        <f>IFERROR(IF(SecondaryTransport[[#This Row],[Container_Transfer]]="",(SecondaryTransport[[#This Row],[Ton-Miles]]*SecondaryTransport[[#This Row],[Cost_Per_Ton-Mile]]),""),"")</f>
        <v>254843.32433538561</v>
      </c>
    </row>
    <row r="72" spans="2:45" ht="15" x14ac:dyDescent="0.25">
      <c r="B72"/>
      <c r="C72"/>
      <c r="D72"/>
      <c r="E72"/>
      <c r="F72"/>
      <c r="G72"/>
      <c r="H72"/>
      <c r="L72" s="446" t="s">
        <v>875</v>
      </c>
      <c r="M72" s="446">
        <v>2</v>
      </c>
      <c r="N72" s="446">
        <v>1</v>
      </c>
      <c r="O72" s="446" t="s">
        <v>700</v>
      </c>
      <c r="P72" s="449" t="s">
        <v>719</v>
      </c>
      <c r="Q72" s="449"/>
      <c r="R72" s="449"/>
      <c r="S72" s="449" t="s">
        <v>872</v>
      </c>
      <c r="T72" s="449" t="s">
        <v>1055</v>
      </c>
      <c r="U72" s="452">
        <v>0</v>
      </c>
      <c r="V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 s="272" t="str">
        <f>IFERROR(SUMIFS(TransUnitCost[Miles],TransUnitCost[Grouping_ID],TransTonsShort[[#This Row],[Grouping_ID]],TransUnitCost[Transp_ID],TransTonsShort[[#This Row],[Transp_ID]])*TransTonsShort[[#This Row],[Trans_Tons_All]]/TransTonsShort[[#This Row],[Trans_Tons_All]],"")</f>
        <v/>
      </c>
      <c r="X72" s="386" t="str">
        <f>TransTonsShort[[#This Row],[Grouping_ID]]&amp;"-"&amp;TransTonsShort[[#This Row],[Sector_ID]]</f>
        <v>2-1</v>
      </c>
      <c r="Y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 s="421">
        <f>INDEX(LandfillFees[Disposal Tip Fee 2025],MATCH(TransTonsShort[[#This Row],[Grouping_ID]],LandfillFees[Grouping_ID],0))</f>
        <v>72.030938699729589</v>
      </c>
      <c r="AA72" s="102">
        <f>IF(OR(TransTonsShort[[#This Row],[CollectionStream_ID]]="03",TransTonsShort[[#This Row],[CollectionStream_ID]]="04",TransTonsShort[[#This Row],[CollectionStream_ID]]="13"),0,TransTonsShort[[#This Row],[Trans_Tons_All]]*TransTonsShort[[#This Row],[Disposal_Fee]])</f>
        <v>0</v>
      </c>
      <c r="AF72" s="446" t="s">
        <v>1245</v>
      </c>
      <c r="AG72" s="442" t="str">
        <f>LEFT(SecondaryTransport[[#This Row],[Scenario_MRF_Bale_ID]],2)</f>
        <v>S1</v>
      </c>
      <c r="AH72" s="181" t="str">
        <f>LEFT(RIGHT(SecondaryTransport[[#This Row],[Scenario_MRF_Bale_ID]],10),2)</f>
        <v>02</v>
      </c>
      <c r="AI72" s="181" t="str">
        <f>INDEX(MRFs[MRF_Name],MATCH(SecondaryTransport[[#This Row],[MRF_ID]],MRFs[MRF_ID],0))</f>
        <v>1 MRF for SS (Salem)</v>
      </c>
      <c r="AJ72" s="181" t="str">
        <f>RIGHT(SecondaryTransport[[#This Row],[Scenario_MRF_Bale_ID]],7)</f>
        <v>2000-10</v>
      </c>
      <c r="AK72" s="181" t="str">
        <f>INDEX(Bales[Bale_Name],MATCH(SecondaryTransport[[#This Row],[Bale_ID]],Bales[Bale_ID],0))</f>
        <v>Mixed bulky rigid plastics (mainly PE and PP) </v>
      </c>
      <c r="AL72" s="443">
        <f>INDEX(BaleMover[Total_Baled_tons],MATCH(SecondaryTransport[[#This Row],[Scenario_MRF_Bale_ID]],BaleMover[Scenario_MRF_Bale_ID],0))</f>
        <v>389.73806547155027</v>
      </c>
      <c r="AM72" s="443">
        <f>IF(INDEX(BaleMover[Miles],MATCH(SecondaryTransport[[#This Row],[Scenario_MRF_Bale_ID]],BaleMover[Scenario_MRF_Bale_ID],0))="",0,INDEX(BaleMover[Miles],MATCH(SecondaryTransport[[#This Row],[Scenario_MRF_Bale_ID]],BaleMover[Scenario_MRF_Bale_ID],0)))</f>
        <v>2680</v>
      </c>
      <c r="AN72" s="251">
        <f>IF(SecondaryTransport[[#This Row],[Bale_ID]]="9000-01","costs elsewhere",SecondaryTransport[[#This Row],[Total_Baled_tons]]*SecondaryTransport[[#This Row],[Miles]])</f>
        <v>1044498.0154637548</v>
      </c>
      <c r="AO72" s="352" t="str">
        <f>IF(LEFT(SecondaryTransport[[#This Row],[Bale_ID]],1)*1=5,IF(OR(SecondaryTransport[[#This Row],[MRF_ID]]="02",SecondaryTransport[[#This Row],[MRF_ID]]="08"),2,1),"")</f>
        <v/>
      </c>
      <c r="AP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7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72" s="224" t="str">
        <f>IFERROR(IF(1*LEFT(SecondaryTransport[[#This Row],[Bale_ID]],1)=5,SecondaryTransport[[#This Row],[Ton-Miles]]*SecondaryTransport[[#This Row],[Cost_Per_Ton-Mile]],""),"")</f>
        <v/>
      </c>
      <c r="AS72" s="224">
        <f>IFERROR(IF(SecondaryTransport[[#This Row],[Container_Transfer]]="",(SecondaryTransport[[#This Row],[Ton-Miles]]*SecondaryTransport[[#This Row],[Cost_Per_Ton-Mile]]),""),"")</f>
        <v>146229.72216492568</v>
      </c>
    </row>
    <row r="73" spans="2:45" ht="15" x14ac:dyDescent="0.25">
      <c r="B73"/>
      <c r="C73"/>
      <c r="D73"/>
      <c r="E73"/>
      <c r="F73"/>
      <c r="G73"/>
      <c r="H73"/>
      <c r="L73" s="446" t="s">
        <v>875</v>
      </c>
      <c r="M73" s="446">
        <v>3</v>
      </c>
      <c r="N73" s="446">
        <v>1</v>
      </c>
      <c r="O73" s="446" t="s">
        <v>700</v>
      </c>
      <c r="P73" s="449" t="s">
        <v>719</v>
      </c>
      <c r="Q73" s="449"/>
      <c r="R73" s="449"/>
      <c r="S73" s="449" t="s">
        <v>872</v>
      </c>
      <c r="T73" s="449" t="s">
        <v>1055</v>
      </c>
      <c r="U73" s="452">
        <v>0</v>
      </c>
      <c r="V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 s="272" t="str">
        <f>IFERROR(SUMIFS(TransUnitCost[Miles],TransUnitCost[Grouping_ID],TransTonsShort[[#This Row],[Grouping_ID]],TransUnitCost[Transp_ID],TransTonsShort[[#This Row],[Transp_ID]])*TransTonsShort[[#This Row],[Trans_Tons_All]]/TransTonsShort[[#This Row],[Trans_Tons_All]],"")</f>
        <v/>
      </c>
      <c r="X73" s="386" t="str">
        <f>TransTonsShort[[#This Row],[Grouping_ID]]&amp;"-"&amp;TransTonsShort[[#This Row],[Sector_ID]]</f>
        <v>3-1</v>
      </c>
      <c r="Y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 s="421">
        <f>INDEX(LandfillFees[Disposal Tip Fee 2025],MATCH(TransTonsShort[[#This Row],[Grouping_ID]],LandfillFees[Grouping_ID],0))</f>
        <v>72.030938699729589</v>
      </c>
      <c r="AA73" s="102">
        <f>IF(OR(TransTonsShort[[#This Row],[CollectionStream_ID]]="03",TransTonsShort[[#This Row],[CollectionStream_ID]]="04",TransTonsShort[[#This Row],[CollectionStream_ID]]="13"),0,TransTonsShort[[#This Row],[Trans_Tons_All]]*TransTonsShort[[#This Row],[Disposal_Fee]])</f>
        <v>0</v>
      </c>
      <c r="AF73" s="446" t="s">
        <v>1246</v>
      </c>
      <c r="AG73" s="442" t="str">
        <f>LEFT(SecondaryTransport[[#This Row],[Scenario_MRF_Bale_ID]],2)</f>
        <v>S2</v>
      </c>
      <c r="AH73" s="181" t="str">
        <f>LEFT(RIGHT(SecondaryTransport[[#This Row],[Scenario_MRF_Bale_ID]],10),2)</f>
        <v>02</v>
      </c>
      <c r="AI73" s="181" t="str">
        <f>INDEX(MRFs[MRF_Name],MATCH(SecondaryTransport[[#This Row],[MRF_ID]],MRFs[MRF_ID],0))</f>
        <v>1 MRF for SS (Salem)</v>
      </c>
      <c r="AJ73" s="181" t="str">
        <f>RIGHT(SecondaryTransport[[#This Row],[Scenario_MRF_Bale_ID]],7)</f>
        <v>2000-10</v>
      </c>
      <c r="AK73" s="181" t="str">
        <f>INDEX(Bales[Bale_Name],MATCH(SecondaryTransport[[#This Row],[Bale_ID]],Bales[Bale_ID],0))</f>
        <v>Mixed bulky rigid plastics (mainly PE and PP) </v>
      </c>
      <c r="AL73" s="443">
        <f>INDEX(BaleMover[Total_Baled_tons],MATCH(SecondaryTransport[[#This Row],[Scenario_MRF_Bale_ID]],BaleMover[Scenario_MRF_Bale_ID],0))</f>
        <v>3183.4967427556176</v>
      </c>
      <c r="AM73" s="443">
        <f>IF(INDEX(BaleMover[Miles],MATCH(SecondaryTransport[[#This Row],[Scenario_MRF_Bale_ID]],BaleMover[Scenario_MRF_Bale_ID],0))="",0,INDEX(BaleMover[Miles],MATCH(SecondaryTransport[[#This Row],[Scenario_MRF_Bale_ID]],BaleMover[Scenario_MRF_Bale_ID],0)))</f>
        <v>2680</v>
      </c>
      <c r="AN73" s="251">
        <f>IF(SecondaryTransport[[#This Row],[Bale_ID]]="9000-01","costs elsewhere",SecondaryTransport[[#This Row],[Total_Baled_tons]]*SecondaryTransport[[#This Row],[Miles]])</f>
        <v>8531771.2705850545</v>
      </c>
      <c r="AO73" s="352" t="str">
        <f>IF(LEFT(SecondaryTransport[[#This Row],[Bale_ID]],1)*1=5,IF(OR(SecondaryTransport[[#This Row],[MRF_ID]]="02",SecondaryTransport[[#This Row],[MRF_ID]]="08"),2,1),"")</f>
        <v/>
      </c>
      <c r="AP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7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73" s="224" t="str">
        <f>IFERROR(IF(1*LEFT(SecondaryTransport[[#This Row],[Bale_ID]],1)=5,SecondaryTransport[[#This Row],[Ton-Miles]]*SecondaryTransport[[#This Row],[Cost_Per_Ton-Mile]],""),"")</f>
        <v/>
      </c>
      <c r="AS73" s="224">
        <f>IFERROR(IF(SecondaryTransport[[#This Row],[Container_Transfer]]="",(SecondaryTransport[[#This Row],[Ton-Miles]]*SecondaryTransport[[#This Row],[Cost_Per_Ton-Mile]]),""),"")</f>
        <v>1194447.9778819077</v>
      </c>
    </row>
    <row r="74" spans="2:45" ht="15" x14ac:dyDescent="0.25">
      <c r="B74"/>
      <c r="C74"/>
      <c r="D74"/>
      <c r="E74"/>
      <c r="F74"/>
      <c r="G74"/>
      <c r="H74"/>
      <c r="L74" s="446" t="s">
        <v>875</v>
      </c>
      <c r="M74" s="446">
        <v>4</v>
      </c>
      <c r="N74" s="446">
        <v>1</v>
      </c>
      <c r="O74" s="446" t="s">
        <v>700</v>
      </c>
      <c r="P74" s="449" t="s">
        <v>719</v>
      </c>
      <c r="Q74" s="449"/>
      <c r="R74" s="449"/>
      <c r="S74" s="449" t="s">
        <v>872</v>
      </c>
      <c r="T74" s="449" t="s">
        <v>1055</v>
      </c>
      <c r="U74" s="452">
        <v>0</v>
      </c>
      <c r="V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 s="272" t="str">
        <f>IFERROR(SUMIFS(TransUnitCost[Miles],TransUnitCost[Grouping_ID],TransTonsShort[[#This Row],[Grouping_ID]],TransUnitCost[Transp_ID],TransTonsShort[[#This Row],[Transp_ID]])*TransTonsShort[[#This Row],[Trans_Tons_All]]/TransTonsShort[[#This Row],[Trans_Tons_All]],"")</f>
        <v/>
      </c>
      <c r="X74" s="386" t="str">
        <f>TransTonsShort[[#This Row],[Grouping_ID]]&amp;"-"&amp;TransTonsShort[[#This Row],[Sector_ID]]</f>
        <v>4-1</v>
      </c>
      <c r="Y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 s="421">
        <f>INDEX(LandfillFees[Disposal Tip Fee 2025],MATCH(TransTonsShort[[#This Row],[Grouping_ID]],LandfillFees[Grouping_ID],0))</f>
        <v>72.030938699729589</v>
      </c>
      <c r="AA74" s="102">
        <f>IF(OR(TransTonsShort[[#This Row],[CollectionStream_ID]]="03",TransTonsShort[[#This Row],[CollectionStream_ID]]="04",TransTonsShort[[#This Row],[CollectionStream_ID]]="13"),0,TransTonsShort[[#This Row],[Trans_Tons_All]]*TransTonsShort[[#This Row],[Disposal_Fee]])</f>
        <v>0</v>
      </c>
      <c r="AF74" s="446" t="s">
        <v>1247</v>
      </c>
      <c r="AG74" s="442" t="str">
        <f>LEFT(SecondaryTransport[[#This Row],[Scenario_MRF_Bale_ID]],2)</f>
        <v>S3</v>
      </c>
      <c r="AH74" s="181" t="str">
        <f>LEFT(RIGHT(SecondaryTransport[[#This Row],[Scenario_MRF_Bale_ID]],10),2)</f>
        <v>02</v>
      </c>
      <c r="AI74" s="181" t="str">
        <f>INDEX(MRFs[MRF_Name],MATCH(SecondaryTransport[[#This Row],[MRF_ID]],MRFs[MRF_ID],0))</f>
        <v>1 MRF for SS (Salem)</v>
      </c>
      <c r="AJ74" s="181" t="str">
        <f>RIGHT(SecondaryTransport[[#This Row],[Scenario_MRF_Bale_ID]],7)</f>
        <v>2000-10</v>
      </c>
      <c r="AK74" s="181" t="str">
        <f>INDEX(Bales[Bale_Name],MATCH(SecondaryTransport[[#This Row],[Bale_ID]],Bales[Bale_ID],0))</f>
        <v>Mixed bulky rigid plastics (mainly PE and PP) </v>
      </c>
      <c r="AL74" s="443">
        <f>INDEX(BaleMover[Total_Baled_tons],MATCH(SecondaryTransport[[#This Row],[Scenario_MRF_Bale_ID]],BaleMover[Scenario_MRF_Bale_ID],0))</f>
        <v>3181.3793325681795</v>
      </c>
      <c r="AM74" s="443">
        <f>IF(INDEX(BaleMover[Miles],MATCH(SecondaryTransport[[#This Row],[Scenario_MRF_Bale_ID]],BaleMover[Scenario_MRF_Bale_ID],0))="",0,INDEX(BaleMover[Miles],MATCH(SecondaryTransport[[#This Row],[Scenario_MRF_Bale_ID]],BaleMover[Scenario_MRF_Bale_ID],0)))</f>
        <v>2680</v>
      </c>
      <c r="AN74" s="251">
        <f>IF(SecondaryTransport[[#This Row],[Bale_ID]]="9000-01","costs elsewhere",SecondaryTransport[[#This Row],[Total_Baled_tons]]*SecondaryTransport[[#This Row],[Miles]])</f>
        <v>8526096.6112827212</v>
      </c>
      <c r="AO74" s="352" t="str">
        <f>IF(LEFT(SecondaryTransport[[#This Row],[Bale_ID]],1)*1=5,IF(OR(SecondaryTransport[[#This Row],[MRF_ID]]="02",SecondaryTransport[[#This Row],[MRF_ID]]="08"),2,1),"")</f>
        <v/>
      </c>
      <c r="AP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7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74" s="224" t="str">
        <f>IFERROR(IF(1*LEFT(SecondaryTransport[[#This Row],[Bale_ID]],1)=5,SecondaryTransport[[#This Row],[Ton-Miles]]*SecondaryTransport[[#This Row],[Cost_Per_Ton-Mile]],""),"")</f>
        <v/>
      </c>
      <c r="AS74" s="224">
        <f>IFERROR(IF(SecondaryTransport[[#This Row],[Container_Transfer]]="",(SecondaryTransport[[#This Row],[Ton-Miles]]*SecondaryTransport[[#This Row],[Cost_Per_Ton-Mile]]),""),"")</f>
        <v>1193653.525579581</v>
      </c>
    </row>
    <row r="75" spans="2:45" ht="15" x14ac:dyDescent="0.25">
      <c r="B75"/>
      <c r="C75"/>
      <c r="D75"/>
      <c r="E75"/>
      <c r="F75"/>
      <c r="G75"/>
      <c r="H75"/>
      <c r="L75" s="446" t="s">
        <v>875</v>
      </c>
      <c r="M75" s="446">
        <v>1</v>
      </c>
      <c r="N75" s="446">
        <v>1</v>
      </c>
      <c r="O75" s="446" t="s">
        <v>700</v>
      </c>
      <c r="P75" s="449" t="s">
        <v>700</v>
      </c>
      <c r="Q75" s="449"/>
      <c r="R75" s="449"/>
      <c r="S75" s="449" t="s">
        <v>872</v>
      </c>
      <c r="T75" s="449" t="s">
        <v>701</v>
      </c>
      <c r="U75" s="452">
        <v>87825.829654279907</v>
      </c>
      <c r="V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 s="272">
        <f>IFERROR(SUMIFS(TransUnitCost[Miles],TransUnitCost[Grouping_ID],TransTonsShort[[#This Row],[Grouping_ID]],TransUnitCost[Transp_ID],TransTonsShort[[#This Row],[Transp_ID]])*TransTonsShort[[#This Row],[Trans_Tons_All]]/TransTonsShort[[#This Row],[Trans_Tons_All]],"")</f>
        <v>0</v>
      </c>
      <c r="X75" s="386" t="str">
        <f>TransTonsShort[[#This Row],[Grouping_ID]]&amp;"-"&amp;TransTonsShort[[#This Row],[Sector_ID]]</f>
        <v>1-1</v>
      </c>
      <c r="Y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5" s="421">
        <f>INDEX(LandfillFees[Disposal Tip Fee 2025],MATCH(TransTonsShort[[#This Row],[Grouping_ID]],LandfillFees[Grouping_ID],0))</f>
        <v>134.68</v>
      </c>
      <c r="AA75" s="102">
        <f>IF(OR(TransTonsShort[[#This Row],[CollectionStream_ID]]="03",TransTonsShort[[#This Row],[CollectionStream_ID]]="04",TransTonsShort[[#This Row],[CollectionStream_ID]]="13"),0,TransTonsShort[[#This Row],[Trans_Tons_All]]*TransTonsShort[[#This Row],[Disposal_Fee]])</f>
        <v>11828382.737838419</v>
      </c>
      <c r="AF75" s="446" t="s">
        <v>1248</v>
      </c>
      <c r="AG75" s="442" t="str">
        <f>LEFT(SecondaryTransport[[#This Row],[Scenario_MRF_Bale_ID]],2)</f>
        <v>S0</v>
      </c>
      <c r="AH75" s="181" t="str">
        <f>LEFT(RIGHT(SecondaryTransport[[#This Row],[Scenario_MRF_Bale_ID]],10),2)</f>
        <v>02</v>
      </c>
      <c r="AI75" s="181" t="str">
        <f>INDEX(MRFs[MRF_Name],MATCH(SecondaryTransport[[#This Row],[MRF_ID]],MRFs[MRF_ID],0))</f>
        <v>1 MRF for SS (Salem)</v>
      </c>
      <c r="AJ75" s="181" t="str">
        <f>RIGHT(SecondaryTransport[[#This Row],[Scenario_MRF_Bale_ID]],7)</f>
        <v>2000-11</v>
      </c>
      <c r="AK75" s="181" t="str">
        <f>INDEX(Bales[Bale_Name],MATCH(SecondaryTransport[[#This Row],[Bale_ID]],Bales[Bale_ID],0))</f>
        <v>PP #5 bottles and jars</v>
      </c>
      <c r="AL75" s="443">
        <f>INDEX(BaleMover[Total_Baled_tons],MATCH(SecondaryTransport[[#This Row],[Scenario_MRF_Bale_ID]],BaleMover[Scenario_MRF_Bale_ID],0))</f>
        <v>0</v>
      </c>
      <c r="AM75" s="443">
        <f>IF(INDEX(BaleMover[Miles],MATCH(SecondaryTransport[[#This Row],[Scenario_MRF_Bale_ID]],BaleMover[Scenario_MRF_Bale_ID],0))="",0,INDEX(BaleMover[Miles],MATCH(SecondaryTransport[[#This Row],[Scenario_MRF_Bale_ID]],BaleMover[Scenario_MRF_Bale_ID],0)))</f>
        <v>0</v>
      </c>
      <c r="AN75" s="251">
        <f>IF(SecondaryTransport[[#This Row],[Bale_ID]]="9000-01","costs elsewhere",SecondaryTransport[[#This Row],[Total_Baled_tons]]*SecondaryTransport[[#This Row],[Miles]])</f>
        <v>0</v>
      </c>
      <c r="AO75" s="352" t="str">
        <f>IF(LEFT(SecondaryTransport[[#This Row],[Bale_ID]],1)*1=5,IF(OR(SecondaryTransport[[#This Row],[MRF_ID]]="02",SecondaryTransport[[#This Row],[MRF_ID]]="08"),2,1),"")</f>
        <v/>
      </c>
      <c r="AP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5" s="224" t="str">
        <f>IFERROR(IF(1*LEFT(SecondaryTransport[[#This Row],[Bale_ID]],1)=5,SecondaryTransport[[#This Row],[Ton-Miles]]*SecondaryTransport[[#This Row],[Cost_Per_Ton-Mile]],""),"")</f>
        <v/>
      </c>
      <c r="AS75" s="224" t="str">
        <f>IFERROR(IF(SecondaryTransport[[#This Row],[Container_Transfer]]="",(SecondaryTransport[[#This Row],[Ton-Miles]]*SecondaryTransport[[#This Row],[Cost_Per_Ton-Mile]]),""),"")</f>
        <v/>
      </c>
    </row>
    <row r="76" spans="2:45" ht="15" x14ac:dyDescent="0.25">
      <c r="B76"/>
      <c r="C76"/>
      <c r="D76"/>
      <c r="E76"/>
      <c r="F76"/>
      <c r="G76"/>
      <c r="H76"/>
      <c r="L76" s="446" t="s">
        <v>875</v>
      </c>
      <c r="M76" s="446">
        <v>2</v>
      </c>
      <c r="N76" s="446">
        <v>1</v>
      </c>
      <c r="O76" s="446" t="s">
        <v>700</v>
      </c>
      <c r="P76" s="449" t="s">
        <v>700</v>
      </c>
      <c r="Q76" s="449"/>
      <c r="R76" s="449"/>
      <c r="S76" s="449" t="s">
        <v>872</v>
      </c>
      <c r="T76" s="449" t="s">
        <v>701</v>
      </c>
      <c r="U76" s="452">
        <v>54296.242515154059</v>
      </c>
      <c r="V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6" s="272">
        <f>IFERROR(SUMIFS(TransUnitCost[Miles],TransUnitCost[Grouping_ID],TransTonsShort[[#This Row],[Grouping_ID]],TransUnitCost[Transp_ID],TransTonsShort[[#This Row],[Transp_ID]])*TransTonsShort[[#This Row],[Trans_Tons_All]]/TransTonsShort[[#This Row],[Trans_Tons_All]],"")</f>
        <v>0</v>
      </c>
      <c r="X76" s="386" t="str">
        <f>TransTonsShort[[#This Row],[Grouping_ID]]&amp;"-"&amp;TransTonsShort[[#This Row],[Sector_ID]]</f>
        <v>2-1</v>
      </c>
      <c r="Y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6" s="421">
        <f>INDEX(LandfillFees[Disposal Tip Fee 2025],MATCH(TransTonsShort[[#This Row],[Grouping_ID]],LandfillFees[Grouping_ID],0))</f>
        <v>72.030938699729589</v>
      </c>
      <c r="AA76" s="102">
        <f>IF(OR(TransTonsShort[[#This Row],[CollectionStream_ID]]="03",TransTonsShort[[#This Row],[CollectionStream_ID]]="04",TransTonsShort[[#This Row],[CollectionStream_ID]]="13"),0,TransTonsShort[[#This Row],[Trans_Tons_All]]*TransTonsShort[[#This Row],[Disposal_Fee]])</f>
        <v>3911009.3162347134</v>
      </c>
      <c r="AF76" s="446" t="s">
        <v>1249</v>
      </c>
      <c r="AG76" s="442" t="str">
        <f>LEFT(SecondaryTransport[[#This Row],[Scenario_MRF_Bale_ID]],2)</f>
        <v>S1</v>
      </c>
      <c r="AH76" s="181" t="str">
        <f>LEFT(RIGHT(SecondaryTransport[[#This Row],[Scenario_MRF_Bale_ID]],10),2)</f>
        <v>02</v>
      </c>
      <c r="AI76" s="181" t="str">
        <f>INDEX(MRFs[MRF_Name],MATCH(SecondaryTransport[[#This Row],[MRF_ID]],MRFs[MRF_ID],0))</f>
        <v>1 MRF for SS (Salem)</v>
      </c>
      <c r="AJ76" s="181" t="str">
        <f>RIGHT(SecondaryTransport[[#This Row],[Scenario_MRF_Bale_ID]],7)</f>
        <v>2000-11</v>
      </c>
      <c r="AK76" s="181" t="str">
        <f>INDEX(Bales[Bale_Name],MATCH(SecondaryTransport[[#This Row],[Bale_ID]],Bales[Bale_ID],0))</f>
        <v>PP #5 bottles and jars</v>
      </c>
      <c r="AL76" s="443">
        <f>INDEX(BaleMover[Total_Baled_tons],MATCH(SecondaryTransport[[#This Row],[Scenario_MRF_Bale_ID]],BaleMover[Scenario_MRF_Bale_ID],0))</f>
        <v>0</v>
      </c>
      <c r="AM76" s="443">
        <f>IF(INDEX(BaleMover[Miles],MATCH(SecondaryTransport[[#This Row],[Scenario_MRF_Bale_ID]],BaleMover[Scenario_MRF_Bale_ID],0))="",0,INDEX(BaleMover[Miles],MATCH(SecondaryTransport[[#This Row],[Scenario_MRF_Bale_ID]],BaleMover[Scenario_MRF_Bale_ID],0)))</f>
        <v>0</v>
      </c>
      <c r="AN76" s="251">
        <f>IF(SecondaryTransport[[#This Row],[Bale_ID]]="9000-01","costs elsewhere",SecondaryTransport[[#This Row],[Total_Baled_tons]]*SecondaryTransport[[#This Row],[Miles]])</f>
        <v>0</v>
      </c>
      <c r="AO76" s="352" t="str">
        <f>IF(LEFT(SecondaryTransport[[#This Row],[Bale_ID]],1)*1=5,IF(OR(SecondaryTransport[[#This Row],[MRF_ID]]="02",SecondaryTransport[[#This Row],[MRF_ID]]="08"),2,1),"")</f>
        <v/>
      </c>
      <c r="AP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6" s="224" t="str">
        <f>IFERROR(IF(1*LEFT(SecondaryTransport[[#This Row],[Bale_ID]],1)=5,SecondaryTransport[[#This Row],[Ton-Miles]]*SecondaryTransport[[#This Row],[Cost_Per_Ton-Mile]],""),"")</f>
        <v/>
      </c>
      <c r="AS76" s="224" t="str">
        <f>IFERROR(IF(SecondaryTransport[[#This Row],[Container_Transfer]]="",(SecondaryTransport[[#This Row],[Ton-Miles]]*SecondaryTransport[[#This Row],[Cost_Per_Ton-Mile]]),""),"")</f>
        <v/>
      </c>
    </row>
    <row r="77" spans="2:45" ht="15" x14ac:dyDescent="0.25">
      <c r="B77"/>
      <c r="C77"/>
      <c r="D77"/>
      <c r="E77"/>
      <c r="F77"/>
      <c r="G77"/>
      <c r="H77"/>
      <c r="L77" s="446" t="s">
        <v>875</v>
      </c>
      <c r="M77" s="446">
        <v>3</v>
      </c>
      <c r="N77" s="446">
        <v>1</v>
      </c>
      <c r="O77" s="446" t="s">
        <v>700</v>
      </c>
      <c r="P77" s="449" t="s">
        <v>700</v>
      </c>
      <c r="Q77" s="449"/>
      <c r="R77" s="449"/>
      <c r="S77" s="449" t="s">
        <v>872</v>
      </c>
      <c r="T77" s="449" t="s">
        <v>701</v>
      </c>
      <c r="U77" s="452">
        <v>0</v>
      </c>
      <c r="V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 s="272" t="str">
        <f>IFERROR(SUMIFS(TransUnitCost[Miles],TransUnitCost[Grouping_ID],TransTonsShort[[#This Row],[Grouping_ID]],TransUnitCost[Transp_ID],TransTonsShort[[#This Row],[Transp_ID]])*TransTonsShort[[#This Row],[Trans_Tons_All]]/TransTonsShort[[#This Row],[Trans_Tons_All]],"")</f>
        <v/>
      </c>
      <c r="X77" s="386" t="str">
        <f>TransTonsShort[[#This Row],[Grouping_ID]]&amp;"-"&amp;TransTonsShort[[#This Row],[Sector_ID]]</f>
        <v>3-1</v>
      </c>
      <c r="Y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 s="421">
        <f>INDEX(LandfillFees[Disposal Tip Fee 2025],MATCH(TransTonsShort[[#This Row],[Grouping_ID]],LandfillFees[Grouping_ID],0))</f>
        <v>72.030938699729589</v>
      </c>
      <c r="AA77" s="102">
        <f>IF(OR(TransTonsShort[[#This Row],[CollectionStream_ID]]="03",TransTonsShort[[#This Row],[CollectionStream_ID]]="04",TransTonsShort[[#This Row],[CollectionStream_ID]]="13"),0,TransTonsShort[[#This Row],[Trans_Tons_All]]*TransTonsShort[[#This Row],[Disposal_Fee]])</f>
        <v>0</v>
      </c>
      <c r="AF77" s="446" t="s">
        <v>1250</v>
      </c>
      <c r="AG77" s="442" t="str">
        <f>LEFT(SecondaryTransport[[#This Row],[Scenario_MRF_Bale_ID]],2)</f>
        <v>S2</v>
      </c>
      <c r="AH77" s="181" t="str">
        <f>LEFT(RIGHT(SecondaryTransport[[#This Row],[Scenario_MRF_Bale_ID]],10),2)</f>
        <v>02</v>
      </c>
      <c r="AI77" s="181" t="str">
        <f>INDEX(MRFs[MRF_Name],MATCH(SecondaryTransport[[#This Row],[MRF_ID]],MRFs[MRF_ID],0))</f>
        <v>1 MRF for SS (Salem)</v>
      </c>
      <c r="AJ77" s="181" t="str">
        <f>RIGHT(SecondaryTransport[[#This Row],[Scenario_MRF_Bale_ID]],7)</f>
        <v>2000-11</v>
      </c>
      <c r="AK77" s="181" t="str">
        <f>INDEX(Bales[Bale_Name],MATCH(SecondaryTransport[[#This Row],[Bale_ID]],Bales[Bale_ID],0))</f>
        <v>PP #5 bottles and jars</v>
      </c>
      <c r="AL77" s="443">
        <f>INDEX(BaleMover[Total_Baled_tons],MATCH(SecondaryTransport[[#This Row],[Scenario_MRF_Bale_ID]],BaleMover[Scenario_MRF_Bale_ID],0))</f>
        <v>0</v>
      </c>
      <c r="AM77" s="443">
        <f>IF(INDEX(BaleMover[Miles],MATCH(SecondaryTransport[[#This Row],[Scenario_MRF_Bale_ID]],BaleMover[Scenario_MRF_Bale_ID],0))="",0,INDEX(BaleMover[Miles],MATCH(SecondaryTransport[[#This Row],[Scenario_MRF_Bale_ID]],BaleMover[Scenario_MRF_Bale_ID],0)))</f>
        <v>0</v>
      </c>
      <c r="AN77" s="251">
        <f>IF(SecondaryTransport[[#This Row],[Bale_ID]]="9000-01","costs elsewhere",SecondaryTransport[[#This Row],[Total_Baled_tons]]*SecondaryTransport[[#This Row],[Miles]])</f>
        <v>0</v>
      </c>
      <c r="AO77" s="352" t="str">
        <f>IF(LEFT(SecondaryTransport[[#This Row],[Bale_ID]],1)*1=5,IF(OR(SecondaryTransport[[#This Row],[MRF_ID]]="02",SecondaryTransport[[#This Row],[MRF_ID]]="08"),2,1),"")</f>
        <v/>
      </c>
      <c r="AP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7" s="224" t="str">
        <f>IFERROR(IF(1*LEFT(SecondaryTransport[[#This Row],[Bale_ID]],1)=5,SecondaryTransport[[#This Row],[Ton-Miles]]*SecondaryTransport[[#This Row],[Cost_Per_Ton-Mile]],""),"")</f>
        <v/>
      </c>
      <c r="AS77" s="224" t="str">
        <f>IFERROR(IF(SecondaryTransport[[#This Row],[Container_Transfer]]="",(SecondaryTransport[[#This Row],[Ton-Miles]]*SecondaryTransport[[#This Row],[Cost_Per_Ton-Mile]]),""),"")</f>
        <v/>
      </c>
    </row>
    <row r="78" spans="2:45" ht="15" x14ac:dyDescent="0.25">
      <c r="B78"/>
      <c r="C78"/>
      <c r="D78"/>
      <c r="E78"/>
      <c r="F78"/>
      <c r="G78"/>
      <c r="H78"/>
      <c r="L78" s="446" t="s">
        <v>875</v>
      </c>
      <c r="M78" s="446">
        <v>4</v>
      </c>
      <c r="N78" s="446">
        <v>1</v>
      </c>
      <c r="O78" s="446" t="s">
        <v>700</v>
      </c>
      <c r="P78" s="449" t="s">
        <v>700</v>
      </c>
      <c r="Q78" s="449"/>
      <c r="R78" s="449"/>
      <c r="S78" s="449" t="s">
        <v>872</v>
      </c>
      <c r="T78" s="449" t="s">
        <v>701</v>
      </c>
      <c r="U78" s="452">
        <v>0</v>
      </c>
      <c r="V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 s="272" t="str">
        <f>IFERROR(SUMIFS(TransUnitCost[Miles],TransUnitCost[Grouping_ID],TransTonsShort[[#This Row],[Grouping_ID]],TransUnitCost[Transp_ID],TransTonsShort[[#This Row],[Transp_ID]])*TransTonsShort[[#This Row],[Trans_Tons_All]]/TransTonsShort[[#This Row],[Trans_Tons_All]],"")</f>
        <v/>
      </c>
      <c r="X78" s="386" t="str">
        <f>TransTonsShort[[#This Row],[Grouping_ID]]&amp;"-"&amp;TransTonsShort[[#This Row],[Sector_ID]]</f>
        <v>4-1</v>
      </c>
      <c r="Y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 s="421">
        <f>INDEX(LandfillFees[Disposal Tip Fee 2025],MATCH(TransTonsShort[[#This Row],[Grouping_ID]],LandfillFees[Grouping_ID],0))</f>
        <v>72.030938699729589</v>
      </c>
      <c r="AA78" s="102">
        <f>IF(OR(TransTonsShort[[#This Row],[CollectionStream_ID]]="03",TransTonsShort[[#This Row],[CollectionStream_ID]]="04",TransTonsShort[[#This Row],[CollectionStream_ID]]="13"),0,TransTonsShort[[#This Row],[Trans_Tons_All]]*TransTonsShort[[#This Row],[Disposal_Fee]])</f>
        <v>0</v>
      </c>
      <c r="AF78" s="446" t="s">
        <v>1251</v>
      </c>
      <c r="AG78" s="442" t="str">
        <f>LEFT(SecondaryTransport[[#This Row],[Scenario_MRF_Bale_ID]],2)</f>
        <v>S3</v>
      </c>
      <c r="AH78" s="181" t="str">
        <f>LEFT(RIGHT(SecondaryTransport[[#This Row],[Scenario_MRF_Bale_ID]],10),2)</f>
        <v>02</v>
      </c>
      <c r="AI78" s="181" t="str">
        <f>INDEX(MRFs[MRF_Name],MATCH(SecondaryTransport[[#This Row],[MRF_ID]],MRFs[MRF_ID],0))</f>
        <v>1 MRF for SS (Salem)</v>
      </c>
      <c r="AJ78" s="181" t="str">
        <f>RIGHT(SecondaryTransport[[#This Row],[Scenario_MRF_Bale_ID]],7)</f>
        <v>2000-11</v>
      </c>
      <c r="AK78" s="181" t="str">
        <f>INDEX(Bales[Bale_Name],MATCH(SecondaryTransport[[#This Row],[Bale_ID]],Bales[Bale_ID],0))</f>
        <v>PP #5 bottles and jars</v>
      </c>
      <c r="AL78" s="443">
        <f>INDEX(BaleMover[Total_Baled_tons],MATCH(SecondaryTransport[[#This Row],[Scenario_MRF_Bale_ID]],BaleMover[Scenario_MRF_Bale_ID],0))</f>
        <v>0</v>
      </c>
      <c r="AM78" s="443">
        <f>IF(INDEX(BaleMover[Miles],MATCH(SecondaryTransport[[#This Row],[Scenario_MRF_Bale_ID]],BaleMover[Scenario_MRF_Bale_ID],0))="",0,INDEX(BaleMover[Miles],MATCH(SecondaryTransport[[#This Row],[Scenario_MRF_Bale_ID]],BaleMover[Scenario_MRF_Bale_ID],0)))</f>
        <v>0</v>
      </c>
      <c r="AN78" s="251">
        <f>IF(SecondaryTransport[[#This Row],[Bale_ID]]="9000-01","costs elsewhere",SecondaryTransport[[#This Row],[Total_Baled_tons]]*SecondaryTransport[[#This Row],[Miles]])</f>
        <v>0</v>
      </c>
      <c r="AO78" s="352" t="str">
        <f>IF(LEFT(SecondaryTransport[[#This Row],[Bale_ID]],1)*1=5,IF(OR(SecondaryTransport[[#This Row],[MRF_ID]]="02",SecondaryTransport[[#This Row],[MRF_ID]]="08"),2,1),"")</f>
        <v/>
      </c>
      <c r="AP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8" s="224" t="str">
        <f>IFERROR(IF(1*LEFT(SecondaryTransport[[#This Row],[Bale_ID]],1)=5,SecondaryTransport[[#This Row],[Ton-Miles]]*SecondaryTransport[[#This Row],[Cost_Per_Ton-Mile]],""),"")</f>
        <v/>
      </c>
      <c r="AS78" s="224" t="str">
        <f>IFERROR(IF(SecondaryTransport[[#This Row],[Container_Transfer]]="",(SecondaryTransport[[#This Row],[Ton-Miles]]*SecondaryTransport[[#This Row],[Cost_Per_Ton-Mile]]),""),"")</f>
        <v/>
      </c>
    </row>
    <row r="79" spans="2:45" ht="15" x14ac:dyDescent="0.25">
      <c r="B79"/>
      <c r="C79"/>
      <c r="D79"/>
      <c r="E79"/>
      <c r="F79"/>
      <c r="G79"/>
      <c r="H79"/>
      <c r="L79" s="446" t="s">
        <v>875</v>
      </c>
      <c r="M79" s="446">
        <v>1</v>
      </c>
      <c r="N79" s="446">
        <v>1</v>
      </c>
      <c r="O79" s="448" t="s">
        <v>700</v>
      </c>
      <c r="P79" s="449" t="s">
        <v>706</v>
      </c>
      <c r="Q79" s="449"/>
      <c r="R79" s="449"/>
      <c r="S79" s="449" t="s">
        <v>872</v>
      </c>
      <c r="T79" s="449" t="s">
        <v>1025</v>
      </c>
      <c r="U79" s="452">
        <v>13123.399833398147</v>
      </c>
      <c r="V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262467.99666796293</v>
      </c>
      <c r="W79" s="272">
        <f>IFERROR(SUMIFS(TransUnitCost[Miles],TransUnitCost[Grouping_ID],TransTonsShort[[#This Row],[Grouping_ID]],TransUnitCost[Transp_ID],TransTonsShort[[#This Row],[Transp_ID]])*TransTonsShort[[#This Row],[Trans_Tons_All]]/TransTonsShort[[#This Row],[Trans_Tons_All]],"")</f>
        <v>20</v>
      </c>
      <c r="X79" s="386" t="str">
        <f>TransTonsShort[[#This Row],[Grouping_ID]]&amp;"-"&amp;TransTonsShort[[#This Row],[Sector_ID]]</f>
        <v>1-1</v>
      </c>
      <c r="Y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 s="421">
        <f>INDEX(LandfillFees[Disposal Tip Fee 2025],MATCH(TransTonsShort[[#This Row],[Grouping_ID]],LandfillFees[Grouping_ID],0))</f>
        <v>134.68</v>
      </c>
      <c r="AA79" s="102">
        <f>IF(OR(TransTonsShort[[#This Row],[CollectionStream_ID]]="03",TransTonsShort[[#This Row],[CollectionStream_ID]]="04",TransTonsShort[[#This Row],[CollectionStream_ID]]="13"),0,TransTonsShort[[#This Row],[Trans_Tons_All]]*TransTonsShort[[#This Row],[Disposal_Fee]])</f>
        <v>1767459.4895620625</v>
      </c>
      <c r="AF79" s="446" t="s">
        <v>1252</v>
      </c>
      <c r="AG79" s="442" t="str">
        <f>LEFT(SecondaryTransport[[#This Row],[Scenario_MRF_Bale_ID]],2)</f>
        <v>S0</v>
      </c>
      <c r="AH79" s="181" t="str">
        <f>LEFT(RIGHT(SecondaryTransport[[#This Row],[Scenario_MRF_Bale_ID]],10),2)</f>
        <v>02</v>
      </c>
      <c r="AI79" s="181" t="str">
        <f>INDEX(MRFs[MRF_Name],MATCH(SecondaryTransport[[#This Row],[MRF_ID]],MRFs[MRF_ID],0))</f>
        <v>1 MRF for SS (Salem)</v>
      </c>
      <c r="AJ79" s="181" t="str">
        <f>RIGHT(SecondaryTransport[[#This Row],[Scenario_MRF_Bale_ID]],7)</f>
        <v>2000-13</v>
      </c>
      <c r="AK79" s="181" t="str">
        <f>INDEX(Bales[Bale_Name],MATCH(SecondaryTransport[[#This Row],[Bale_ID]],Bales[Bale_ID],0))</f>
        <v>PP #5 small rigid plastic</v>
      </c>
      <c r="AL79" s="443">
        <f>INDEX(BaleMover[Total_Baled_tons],MATCH(SecondaryTransport[[#This Row],[Scenario_MRF_Bale_ID]],BaleMover[Scenario_MRF_Bale_ID],0))</f>
        <v>0</v>
      </c>
      <c r="AM79" s="443">
        <f>IF(INDEX(BaleMover[Miles],MATCH(SecondaryTransport[[#This Row],[Scenario_MRF_Bale_ID]],BaleMover[Scenario_MRF_Bale_ID],0))="",0,INDEX(BaleMover[Miles],MATCH(SecondaryTransport[[#This Row],[Scenario_MRF_Bale_ID]],BaleMover[Scenario_MRF_Bale_ID],0)))</f>
        <v>0</v>
      </c>
      <c r="AN79" s="251">
        <f>IF(SecondaryTransport[[#This Row],[Bale_ID]]="9000-01","costs elsewhere",SecondaryTransport[[#This Row],[Total_Baled_tons]]*SecondaryTransport[[#This Row],[Miles]])</f>
        <v>0</v>
      </c>
      <c r="AO79" s="352" t="str">
        <f>IF(LEFT(SecondaryTransport[[#This Row],[Bale_ID]],1)*1=5,IF(OR(SecondaryTransport[[#This Row],[MRF_ID]]="02",SecondaryTransport[[#This Row],[MRF_ID]]="08"),2,1),"")</f>
        <v/>
      </c>
      <c r="AP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7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79" s="224" t="str">
        <f>IFERROR(IF(1*LEFT(SecondaryTransport[[#This Row],[Bale_ID]],1)=5,SecondaryTransport[[#This Row],[Ton-Miles]]*SecondaryTransport[[#This Row],[Cost_Per_Ton-Mile]],""),"")</f>
        <v/>
      </c>
      <c r="AS79" s="224" t="str">
        <f>IFERROR(IF(SecondaryTransport[[#This Row],[Container_Transfer]]="",(SecondaryTransport[[#This Row],[Ton-Miles]]*SecondaryTransport[[#This Row],[Cost_Per_Ton-Mile]]),""),"")</f>
        <v/>
      </c>
    </row>
    <row r="80" spans="2:45" ht="15" x14ac:dyDescent="0.25">
      <c r="B80"/>
      <c r="C80"/>
      <c r="D80"/>
      <c r="E80"/>
      <c r="F80"/>
      <c r="G80"/>
      <c r="H80"/>
      <c r="L80" s="446" t="s">
        <v>875</v>
      </c>
      <c r="M80" s="446">
        <v>2</v>
      </c>
      <c r="N80" s="446">
        <v>1</v>
      </c>
      <c r="O80" s="448" t="s">
        <v>700</v>
      </c>
      <c r="P80" s="449" t="s">
        <v>706</v>
      </c>
      <c r="Q80" s="449"/>
      <c r="R80" s="449"/>
      <c r="S80" s="449" t="s">
        <v>872</v>
      </c>
      <c r="T80" s="449" t="s">
        <v>1025</v>
      </c>
      <c r="U80" s="452">
        <v>20082.171889166573</v>
      </c>
      <c r="V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562300.81289666402</v>
      </c>
      <c r="W80" s="272">
        <f>IFERROR(SUMIFS(TransUnitCost[Miles],TransUnitCost[Grouping_ID],TransTonsShort[[#This Row],[Grouping_ID]],TransUnitCost[Transp_ID],TransTonsShort[[#This Row],[Transp_ID]])*TransTonsShort[[#This Row],[Trans_Tons_All]]/TransTonsShort[[#This Row],[Trans_Tons_All]],"")</f>
        <v>70</v>
      </c>
      <c r="X80" s="386" t="str">
        <f>TransTonsShort[[#This Row],[Grouping_ID]]&amp;"-"&amp;TransTonsShort[[#This Row],[Sector_ID]]</f>
        <v>2-1</v>
      </c>
      <c r="Y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 s="421">
        <f>INDEX(LandfillFees[Disposal Tip Fee 2025],MATCH(TransTonsShort[[#This Row],[Grouping_ID]],LandfillFees[Grouping_ID],0))</f>
        <v>72.030938699729589</v>
      </c>
      <c r="AA80" s="102">
        <f>IF(OR(TransTonsShort[[#This Row],[CollectionStream_ID]]="03",TransTonsShort[[#This Row],[CollectionStream_ID]]="04",TransTonsShort[[#This Row],[CollectionStream_ID]]="13"),0,TransTonsShort[[#This Row],[Trans_Tons_All]]*TransTonsShort[[#This Row],[Disposal_Fee]])</f>
        <v>1446537.6923059903</v>
      </c>
      <c r="AF80" s="446" t="s">
        <v>1253</v>
      </c>
      <c r="AG80" s="442" t="str">
        <f>LEFT(SecondaryTransport[[#This Row],[Scenario_MRF_Bale_ID]],2)</f>
        <v>S1</v>
      </c>
      <c r="AH80" s="181" t="str">
        <f>LEFT(RIGHT(SecondaryTransport[[#This Row],[Scenario_MRF_Bale_ID]],10),2)</f>
        <v>02</v>
      </c>
      <c r="AI80" s="181" t="str">
        <f>INDEX(MRFs[MRF_Name],MATCH(SecondaryTransport[[#This Row],[MRF_ID]],MRFs[MRF_ID],0))</f>
        <v>1 MRF for SS (Salem)</v>
      </c>
      <c r="AJ80" s="181" t="str">
        <f>RIGHT(SecondaryTransport[[#This Row],[Scenario_MRF_Bale_ID]],7)</f>
        <v>2000-13</v>
      </c>
      <c r="AK80" s="181" t="str">
        <f>INDEX(Bales[Bale_Name],MATCH(SecondaryTransport[[#This Row],[Bale_ID]],Bales[Bale_ID],0))</f>
        <v>PP #5 small rigid plastic</v>
      </c>
      <c r="AL80" s="443">
        <f>INDEX(BaleMover[Total_Baled_tons],MATCH(SecondaryTransport[[#This Row],[Scenario_MRF_Bale_ID]],BaleMover[Scenario_MRF_Bale_ID],0))</f>
        <v>0</v>
      </c>
      <c r="AM80" s="443">
        <f>IF(INDEX(BaleMover[Miles],MATCH(SecondaryTransport[[#This Row],[Scenario_MRF_Bale_ID]],BaleMover[Scenario_MRF_Bale_ID],0))="",0,INDEX(BaleMover[Miles],MATCH(SecondaryTransport[[#This Row],[Scenario_MRF_Bale_ID]],BaleMover[Scenario_MRF_Bale_ID],0)))</f>
        <v>0</v>
      </c>
      <c r="AN80" s="251">
        <f>IF(SecondaryTransport[[#This Row],[Bale_ID]]="9000-01","costs elsewhere",SecondaryTransport[[#This Row],[Total_Baled_tons]]*SecondaryTransport[[#This Row],[Miles]])</f>
        <v>0</v>
      </c>
      <c r="AO80" s="352" t="str">
        <f>IF(LEFT(SecondaryTransport[[#This Row],[Bale_ID]],1)*1=5,IF(OR(SecondaryTransport[[#This Row],[MRF_ID]]="02",SecondaryTransport[[#This Row],[MRF_ID]]="08"),2,1),"")</f>
        <v/>
      </c>
      <c r="AP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0" s="224" t="str">
        <f>IFERROR(IF(1*LEFT(SecondaryTransport[[#This Row],[Bale_ID]],1)=5,SecondaryTransport[[#This Row],[Ton-Miles]]*SecondaryTransport[[#This Row],[Cost_Per_Ton-Mile]],""),"")</f>
        <v/>
      </c>
      <c r="AS80" s="224" t="str">
        <f>IFERROR(IF(SecondaryTransport[[#This Row],[Container_Transfer]]="",(SecondaryTransport[[#This Row],[Ton-Miles]]*SecondaryTransport[[#This Row],[Cost_Per_Ton-Mile]]),""),"")</f>
        <v/>
      </c>
    </row>
    <row r="81" spans="2:45" ht="15" x14ac:dyDescent="0.25">
      <c r="B81"/>
      <c r="C81"/>
      <c r="D81"/>
      <c r="E81"/>
      <c r="F81"/>
      <c r="G81"/>
      <c r="H81"/>
      <c r="L81" s="446" t="s">
        <v>875</v>
      </c>
      <c r="M81" s="446">
        <v>3</v>
      </c>
      <c r="N81" s="446">
        <v>1</v>
      </c>
      <c r="O81" s="448" t="s">
        <v>700</v>
      </c>
      <c r="P81" s="449" t="s">
        <v>706</v>
      </c>
      <c r="Q81" s="449"/>
      <c r="R81" s="449"/>
      <c r="S81" s="449" t="s">
        <v>872</v>
      </c>
      <c r="T81" s="449" t="s">
        <v>1025</v>
      </c>
      <c r="U81" s="452">
        <v>18662.201123077466</v>
      </c>
      <c r="V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979765.558961567</v>
      </c>
      <c r="W81" s="272">
        <f>IFERROR(SUMIFS(TransUnitCost[Miles],TransUnitCost[Grouping_ID],TransTonsShort[[#This Row],[Grouping_ID]],TransUnitCost[Transp_ID],TransTonsShort[[#This Row],[Transp_ID]])*TransTonsShort[[#This Row],[Trans_Tons_All]]/TransTonsShort[[#This Row],[Trans_Tons_All]],"")</f>
        <v>150</v>
      </c>
      <c r="X81" s="386" t="str">
        <f>TransTonsShort[[#This Row],[Grouping_ID]]&amp;"-"&amp;TransTonsShort[[#This Row],[Sector_ID]]</f>
        <v>3-1</v>
      </c>
      <c r="Y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1" s="421">
        <f>INDEX(LandfillFees[Disposal Tip Fee 2025],MATCH(TransTonsShort[[#This Row],[Grouping_ID]],LandfillFees[Grouping_ID],0))</f>
        <v>72.030938699729589</v>
      </c>
      <c r="AA81" s="102">
        <f>IF(OR(TransTonsShort[[#This Row],[CollectionStream_ID]]="03",TransTonsShort[[#This Row],[CollectionStream_ID]]="04",TransTonsShort[[#This Row],[CollectionStream_ID]]="13"),0,TransTonsShort[[#This Row],[Trans_Tons_All]]*TransTonsShort[[#This Row],[Disposal_Fee]])</f>
        <v>1344255.8650984177</v>
      </c>
      <c r="AF81" s="446" t="s">
        <v>1254</v>
      </c>
      <c r="AG81" s="442" t="str">
        <f>LEFT(SecondaryTransport[[#This Row],[Scenario_MRF_Bale_ID]],2)</f>
        <v>S2</v>
      </c>
      <c r="AH81" s="181" t="str">
        <f>LEFT(RIGHT(SecondaryTransport[[#This Row],[Scenario_MRF_Bale_ID]],10),2)</f>
        <v>02</v>
      </c>
      <c r="AI81" s="181" t="str">
        <f>INDEX(MRFs[MRF_Name],MATCH(SecondaryTransport[[#This Row],[MRF_ID]],MRFs[MRF_ID],0))</f>
        <v>1 MRF for SS (Salem)</v>
      </c>
      <c r="AJ81" s="181" t="str">
        <f>RIGHT(SecondaryTransport[[#This Row],[Scenario_MRF_Bale_ID]],7)</f>
        <v>2000-13</v>
      </c>
      <c r="AK81" s="181" t="str">
        <f>INDEX(Bales[Bale_Name],MATCH(SecondaryTransport[[#This Row],[Bale_ID]],Bales[Bale_ID],0))</f>
        <v>PP #5 small rigid plastic</v>
      </c>
      <c r="AL81" s="443">
        <f>INDEX(BaleMover[Total_Baled_tons],MATCH(SecondaryTransport[[#This Row],[Scenario_MRF_Bale_ID]],BaleMover[Scenario_MRF_Bale_ID],0))</f>
        <v>0</v>
      </c>
      <c r="AM81" s="443">
        <f>IF(INDEX(BaleMover[Miles],MATCH(SecondaryTransport[[#This Row],[Scenario_MRF_Bale_ID]],BaleMover[Scenario_MRF_Bale_ID],0))="",0,INDEX(BaleMover[Miles],MATCH(SecondaryTransport[[#This Row],[Scenario_MRF_Bale_ID]],BaleMover[Scenario_MRF_Bale_ID],0)))</f>
        <v>0</v>
      </c>
      <c r="AN81" s="251">
        <f>IF(SecondaryTransport[[#This Row],[Bale_ID]]="9000-01","costs elsewhere",SecondaryTransport[[#This Row],[Total_Baled_tons]]*SecondaryTransport[[#This Row],[Miles]])</f>
        <v>0</v>
      </c>
      <c r="AO81" s="352" t="str">
        <f>IF(LEFT(SecondaryTransport[[#This Row],[Bale_ID]],1)*1=5,IF(OR(SecondaryTransport[[#This Row],[MRF_ID]]="02",SecondaryTransport[[#This Row],[MRF_ID]]="08"),2,1),"")</f>
        <v/>
      </c>
      <c r="AP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1" s="224" t="str">
        <f>IFERROR(IF(1*LEFT(SecondaryTransport[[#This Row],[Bale_ID]],1)=5,SecondaryTransport[[#This Row],[Ton-Miles]]*SecondaryTransport[[#This Row],[Cost_Per_Ton-Mile]],""),"")</f>
        <v/>
      </c>
      <c r="AS81" s="224" t="str">
        <f>IFERROR(IF(SecondaryTransport[[#This Row],[Container_Transfer]]="",(SecondaryTransport[[#This Row],[Ton-Miles]]*SecondaryTransport[[#This Row],[Cost_Per_Ton-Mile]]),""),"")</f>
        <v/>
      </c>
    </row>
    <row r="82" spans="2:45" ht="15" x14ac:dyDescent="0.25">
      <c r="B82"/>
      <c r="C82"/>
      <c r="D82"/>
      <c r="E82"/>
      <c r="F82"/>
      <c r="G82"/>
      <c r="H82"/>
      <c r="L82" s="446" t="s">
        <v>875</v>
      </c>
      <c r="M82" s="446">
        <v>4</v>
      </c>
      <c r="N82" s="446">
        <v>1</v>
      </c>
      <c r="O82" s="448" t="s">
        <v>700</v>
      </c>
      <c r="P82" s="449" t="s">
        <v>706</v>
      </c>
      <c r="Q82" s="449"/>
      <c r="R82" s="449"/>
      <c r="S82" s="449" t="s">
        <v>872</v>
      </c>
      <c r="T82" s="449" t="s">
        <v>1025</v>
      </c>
      <c r="U82" s="452">
        <v>221.61795891348567</v>
      </c>
      <c r="V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22161.795891348567</v>
      </c>
      <c r="W82" s="272">
        <f>IFERROR(SUMIFS(TransUnitCost[Miles],TransUnitCost[Grouping_ID],TransTonsShort[[#This Row],[Grouping_ID]],TransUnitCost[Transp_ID],TransTonsShort[[#This Row],[Transp_ID]])*TransTonsShort[[#This Row],[Trans_Tons_All]]/TransTonsShort[[#This Row],[Trans_Tons_All]],"")</f>
        <v>250</v>
      </c>
      <c r="X82" s="386" t="str">
        <f>TransTonsShort[[#This Row],[Grouping_ID]]&amp;"-"&amp;TransTonsShort[[#This Row],[Sector_ID]]</f>
        <v>4-1</v>
      </c>
      <c r="Y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2" s="421">
        <f>INDEX(LandfillFees[Disposal Tip Fee 2025],MATCH(TransTonsShort[[#This Row],[Grouping_ID]],LandfillFees[Grouping_ID],0))</f>
        <v>72.030938699729589</v>
      </c>
      <c r="AA82" s="102">
        <f>IF(OR(TransTonsShort[[#This Row],[CollectionStream_ID]]="03",TransTonsShort[[#This Row],[CollectionStream_ID]]="04",TransTonsShort[[#This Row],[CollectionStream_ID]]="13"),0,TransTonsShort[[#This Row],[Trans_Tons_All]]*TransTonsShort[[#This Row],[Disposal_Fee]])</f>
        <v>15963.349613256476</v>
      </c>
      <c r="AF82" s="446" t="s">
        <v>1255</v>
      </c>
      <c r="AG82" s="442" t="str">
        <f>LEFT(SecondaryTransport[[#This Row],[Scenario_MRF_Bale_ID]],2)</f>
        <v>S3</v>
      </c>
      <c r="AH82" s="181" t="str">
        <f>LEFT(RIGHT(SecondaryTransport[[#This Row],[Scenario_MRF_Bale_ID]],10),2)</f>
        <v>02</v>
      </c>
      <c r="AI82" s="181" t="str">
        <f>INDEX(MRFs[MRF_Name],MATCH(SecondaryTransport[[#This Row],[MRF_ID]],MRFs[MRF_ID],0))</f>
        <v>1 MRF for SS (Salem)</v>
      </c>
      <c r="AJ82" s="181" t="str">
        <f>RIGHT(SecondaryTransport[[#This Row],[Scenario_MRF_Bale_ID]],7)</f>
        <v>2000-13</v>
      </c>
      <c r="AK82" s="181" t="str">
        <f>INDEX(Bales[Bale_Name],MATCH(SecondaryTransport[[#This Row],[Bale_ID]],Bales[Bale_ID],0))</f>
        <v>PP #5 small rigid plastic</v>
      </c>
      <c r="AL82" s="443">
        <f>INDEX(BaleMover[Total_Baled_tons],MATCH(SecondaryTransport[[#This Row],[Scenario_MRF_Bale_ID]],BaleMover[Scenario_MRF_Bale_ID],0))</f>
        <v>0</v>
      </c>
      <c r="AM82" s="443">
        <f>IF(INDEX(BaleMover[Miles],MATCH(SecondaryTransport[[#This Row],[Scenario_MRF_Bale_ID]],BaleMover[Scenario_MRF_Bale_ID],0))="",0,INDEX(BaleMover[Miles],MATCH(SecondaryTransport[[#This Row],[Scenario_MRF_Bale_ID]],BaleMover[Scenario_MRF_Bale_ID],0)))</f>
        <v>0</v>
      </c>
      <c r="AN82" s="251">
        <f>IF(SecondaryTransport[[#This Row],[Bale_ID]]="9000-01","costs elsewhere",SecondaryTransport[[#This Row],[Total_Baled_tons]]*SecondaryTransport[[#This Row],[Miles]])</f>
        <v>0</v>
      </c>
      <c r="AO82" s="352" t="str">
        <f>IF(LEFT(SecondaryTransport[[#This Row],[Bale_ID]],1)*1=5,IF(OR(SecondaryTransport[[#This Row],[MRF_ID]]="02",SecondaryTransport[[#This Row],[MRF_ID]]="08"),2,1),"")</f>
        <v/>
      </c>
      <c r="AP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2" s="224" t="str">
        <f>IFERROR(IF(1*LEFT(SecondaryTransport[[#This Row],[Bale_ID]],1)=5,SecondaryTransport[[#This Row],[Ton-Miles]]*SecondaryTransport[[#This Row],[Cost_Per_Ton-Mile]],""),"")</f>
        <v/>
      </c>
      <c r="AS82" s="224" t="str">
        <f>IFERROR(IF(SecondaryTransport[[#This Row],[Container_Transfer]]="",(SecondaryTransport[[#This Row],[Ton-Miles]]*SecondaryTransport[[#This Row],[Cost_Per_Ton-Mile]]),""),"")</f>
        <v/>
      </c>
    </row>
    <row r="83" spans="2:45" ht="15" x14ac:dyDescent="0.25">
      <c r="B83"/>
      <c r="C83"/>
      <c r="D83"/>
      <c r="E83"/>
      <c r="F83"/>
      <c r="G83"/>
      <c r="H83"/>
      <c r="L83" s="446" t="s">
        <v>875</v>
      </c>
      <c r="M83" s="446">
        <v>1</v>
      </c>
      <c r="N83" s="446">
        <v>1</v>
      </c>
      <c r="O83" s="448" t="s">
        <v>748</v>
      </c>
      <c r="P83" s="449" t="s">
        <v>719</v>
      </c>
      <c r="Q83" s="449"/>
      <c r="R83" s="449"/>
      <c r="S83" s="449" t="s">
        <v>765</v>
      </c>
      <c r="T83" s="449" t="s">
        <v>1055</v>
      </c>
      <c r="U83" s="452">
        <v>0</v>
      </c>
      <c r="V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 s="272" t="str">
        <f>IFERROR(SUMIFS(TransUnitCost[Miles],TransUnitCost[Grouping_ID],TransTonsShort[[#This Row],[Grouping_ID]],TransUnitCost[Transp_ID],TransTonsShort[[#This Row],[Transp_ID]])*TransTonsShort[[#This Row],[Trans_Tons_All]]/TransTonsShort[[#This Row],[Trans_Tons_All]],"")</f>
        <v/>
      </c>
      <c r="X83" s="386" t="str">
        <f>TransTonsShort[[#This Row],[Grouping_ID]]&amp;"-"&amp;TransTonsShort[[#This Row],[Sector_ID]]</f>
        <v>1-1</v>
      </c>
      <c r="Y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3" s="421">
        <f>INDEX(LandfillFees[Disposal Tip Fee 2025],MATCH(TransTonsShort[[#This Row],[Grouping_ID]],LandfillFees[Grouping_ID],0))</f>
        <v>134.68</v>
      </c>
      <c r="AA83" s="102">
        <f>IF(OR(TransTonsShort[[#This Row],[CollectionStream_ID]]="03",TransTonsShort[[#This Row],[CollectionStream_ID]]="04",TransTonsShort[[#This Row],[CollectionStream_ID]]="13"),0,TransTonsShort[[#This Row],[Trans_Tons_All]]*TransTonsShort[[#This Row],[Disposal_Fee]])</f>
        <v>0</v>
      </c>
      <c r="AF83" s="446" t="s">
        <v>1256</v>
      </c>
      <c r="AG83" s="442" t="str">
        <f>LEFT(SecondaryTransport[[#This Row],[Scenario_MRF_Bale_ID]],2)</f>
        <v>S0</v>
      </c>
      <c r="AH83" s="181" t="str">
        <f>LEFT(RIGHT(SecondaryTransport[[#This Row],[Scenario_MRF_Bale_ID]],10),2)</f>
        <v>02</v>
      </c>
      <c r="AI83" s="181" t="str">
        <f>INDEX(MRFs[MRF_Name],MATCH(SecondaryTransport[[#This Row],[MRF_ID]],MRFs[MRF_ID],0))</f>
        <v>1 MRF for SS (Salem)</v>
      </c>
      <c r="AJ83" s="181" t="str">
        <f>RIGHT(SecondaryTransport[[#This Row],[Scenario_MRF_Bale_ID]],7)</f>
        <v>2000-14</v>
      </c>
      <c r="AK83" s="181" t="str">
        <f>INDEX(Bales[Bale_Name],MATCH(SecondaryTransport[[#This Row],[Bale_ID]],Bales[Bale_ID],0))</f>
        <v>Solid PS #6 (rigid) </v>
      </c>
      <c r="AL83" s="443">
        <f>INDEX(BaleMover[Total_Baled_tons],MATCH(SecondaryTransport[[#This Row],[Scenario_MRF_Bale_ID]],BaleMover[Scenario_MRF_Bale_ID],0))</f>
        <v>0</v>
      </c>
      <c r="AM83" s="443">
        <f>IF(INDEX(BaleMover[Miles],MATCH(SecondaryTransport[[#This Row],[Scenario_MRF_Bale_ID]],BaleMover[Scenario_MRF_Bale_ID],0))="",0,INDEX(BaleMover[Miles],MATCH(SecondaryTransport[[#This Row],[Scenario_MRF_Bale_ID]],BaleMover[Scenario_MRF_Bale_ID],0)))</f>
        <v>0</v>
      </c>
      <c r="AN83" s="251">
        <f>IF(SecondaryTransport[[#This Row],[Bale_ID]]="9000-01","costs elsewhere",SecondaryTransport[[#This Row],[Total_Baled_tons]]*SecondaryTransport[[#This Row],[Miles]])</f>
        <v>0</v>
      </c>
      <c r="AO83" s="352" t="str">
        <f>IF(LEFT(SecondaryTransport[[#This Row],[Bale_ID]],1)*1=5,IF(OR(SecondaryTransport[[#This Row],[MRF_ID]]="02",SecondaryTransport[[#This Row],[MRF_ID]]="08"),2,1),"")</f>
        <v/>
      </c>
      <c r="AP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3" s="224" t="str">
        <f>IFERROR(IF(1*LEFT(SecondaryTransport[[#This Row],[Bale_ID]],1)=5,SecondaryTransport[[#This Row],[Ton-Miles]]*SecondaryTransport[[#This Row],[Cost_Per_Ton-Mile]],""),"")</f>
        <v/>
      </c>
      <c r="AS83" s="224" t="str">
        <f>IFERROR(IF(SecondaryTransport[[#This Row],[Container_Transfer]]="",(SecondaryTransport[[#This Row],[Ton-Miles]]*SecondaryTransport[[#This Row],[Cost_Per_Ton-Mile]]),""),"")</f>
        <v/>
      </c>
    </row>
    <row r="84" spans="2:45" ht="15" x14ac:dyDescent="0.25">
      <c r="B84"/>
      <c r="C84"/>
      <c r="D84"/>
      <c r="E84"/>
      <c r="F84"/>
      <c r="G84"/>
      <c r="H84"/>
      <c r="L84" s="446" t="s">
        <v>875</v>
      </c>
      <c r="M84" s="446">
        <v>2</v>
      </c>
      <c r="N84" s="446">
        <v>1</v>
      </c>
      <c r="O84" s="448" t="s">
        <v>748</v>
      </c>
      <c r="P84" s="449" t="s">
        <v>719</v>
      </c>
      <c r="Q84" s="449"/>
      <c r="R84" s="449"/>
      <c r="S84" s="449" t="s">
        <v>765</v>
      </c>
      <c r="T84" s="449" t="s">
        <v>1055</v>
      </c>
      <c r="U84" s="452">
        <v>0</v>
      </c>
      <c r="V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 s="272" t="str">
        <f>IFERROR(SUMIFS(TransUnitCost[Miles],TransUnitCost[Grouping_ID],TransTonsShort[[#This Row],[Grouping_ID]],TransUnitCost[Transp_ID],TransTonsShort[[#This Row],[Transp_ID]])*TransTonsShort[[#This Row],[Trans_Tons_All]]/TransTonsShort[[#This Row],[Trans_Tons_All]],"")</f>
        <v/>
      </c>
      <c r="X84" s="386" t="str">
        <f>TransTonsShort[[#This Row],[Grouping_ID]]&amp;"-"&amp;TransTonsShort[[#This Row],[Sector_ID]]</f>
        <v>2-1</v>
      </c>
      <c r="Y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 s="421">
        <f>INDEX(LandfillFees[Disposal Tip Fee 2025],MATCH(TransTonsShort[[#This Row],[Grouping_ID]],LandfillFees[Grouping_ID],0))</f>
        <v>72.030938699729589</v>
      </c>
      <c r="AA84" s="102">
        <f>IF(OR(TransTonsShort[[#This Row],[CollectionStream_ID]]="03",TransTonsShort[[#This Row],[CollectionStream_ID]]="04",TransTonsShort[[#This Row],[CollectionStream_ID]]="13"),0,TransTonsShort[[#This Row],[Trans_Tons_All]]*TransTonsShort[[#This Row],[Disposal_Fee]])</f>
        <v>0</v>
      </c>
      <c r="AF84" s="446" t="s">
        <v>1257</v>
      </c>
      <c r="AG84" s="442" t="str">
        <f>LEFT(SecondaryTransport[[#This Row],[Scenario_MRF_Bale_ID]],2)</f>
        <v>S1</v>
      </c>
      <c r="AH84" s="181" t="str">
        <f>LEFT(RIGHT(SecondaryTransport[[#This Row],[Scenario_MRF_Bale_ID]],10),2)</f>
        <v>02</v>
      </c>
      <c r="AI84" s="181" t="str">
        <f>INDEX(MRFs[MRF_Name],MATCH(SecondaryTransport[[#This Row],[MRF_ID]],MRFs[MRF_ID],0))</f>
        <v>1 MRF for SS (Salem)</v>
      </c>
      <c r="AJ84" s="181" t="str">
        <f>RIGHT(SecondaryTransport[[#This Row],[Scenario_MRF_Bale_ID]],7)</f>
        <v>2000-14</v>
      </c>
      <c r="AK84" s="181" t="str">
        <f>INDEX(Bales[Bale_Name],MATCH(SecondaryTransport[[#This Row],[Bale_ID]],Bales[Bale_ID],0))</f>
        <v>Solid PS #6 (rigid) </v>
      </c>
      <c r="AL84" s="443">
        <f>INDEX(BaleMover[Total_Baled_tons],MATCH(SecondaryTransport[[#This Row],[Scenario_MRF_Bale_ID]],BaleMover[Scenario_MRF_Bale_ID],0))</f>
        <v>0</v>
      </c>
      <c r="AM84" s="443">
        <f>IF(INDEX(BaleMover[Miles],MATCH(SecondaryTransport[[#This Row],[Scenario_MRF_Bale_ID]],BaleMover[Scenario_MRF_Bale_ID],0))="",0,INDEX(BaleMover[Miles],MATCH(SecondaryTransport[[#This Row],[Scenario_MRF_Bale_ID]],BaleMover[Scenario_MRF_Bale_ID],0)))</f>
        <v>0</v>
      </c>
      <c r="AN84" s="251">
        <f>IF(SecondaryTransport[[#This Row],[Bale_ID]]="9000-01","costs elsewhere",SecondaryTransport[[#This Row],[Total_Baled_tons]]*SecondaryTransport[[#This Row],[Miles]])</f>
        <v>0</v>
      </c>
      <c r="AO84" s="352" t="str">
        <f>IF(LEFT(SecondaryTransport[[#This Row],[Bale_ID]],1)*1=5,IF(OR(SecondaryTransport[[#This Row],[MRF_ID]]="02",SecondaryTransport[[#This Row],[MRF_ID]]="08"),2,1),"")</f>
        <v/>
      </c>
      <c r="AP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4" s="224" t="str">
        <f>IFERROR(IF(1*LEFT(SecondaryTransport[[#This Row],[Bale_ID]],1)=5,SecondaryTransport[[#This Row],[Ton-Miles]]*SecondaryTransport[[#This Row],[Cost_Per_Ton-Mile]],""),"")</f>
        <v/>
      </c>
      <c r="AS84" s="224" t="str">
        <f>IFERROR(IF(SecondaryTransport[[#This Row],[Container_Transfer]]="",(SecondaryTransport[[#This Row],[Ton-Miles]]*SecondaryTransport[[#This Row],[Cost_Per_Ton-Mile]]),""),"")</f>
        <v/>
      </c>
    </row>
    <row r="85" spans="2:45" ht="15" x14ac:dyDescent="0.25">
      <c r="B85"/>
      <c r="C85"/>
      <c r="D85"/>
      <c r="E85"/>
      <c r="F85"/>
      <c r="G85"/>
      <c r="H85"/>
      <c r="L85" s="446" t="s">
        <v>875</v>
      </c>
      <c r="M85" s="446">
        <v>3</v>
      </c>
      <c r="N85" s="446">
        <v>1</v>
      </c>
      <c r="O85" s="448" t="s">
        <v>748</v>
      </c>
      <c r="P85" s="449" t="s">
        <v>719</v>
      </c>
      <c r="Q85" s="449"/>
      <c r="R85" s="449"/>
      <c r="S85" s="449" t="s">
        <v>765</v>
      </c>
      <c r="T85" s="449" t="s">
        <v>1055</v>
      </c>
      <c r="U85" s="452">
        <v>0</v>
      </c>
      <c r="V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 s="272" t="str">
        <f>IFERROR(SUMIFS(TransUnitCost[Miles],TransUnitCost[Grouping_ID],TransTonsShort[[#This Row],[Grouping_ID]],TransUnitCost[Transp_ID],TransTonsShort[[#This Row],[Transp_ID]])*TransTonsShort[[#This Row],[Trans_Tons_All]]/TransTonsShort[[#This Row],[Trans_Tons_All]],"")</f>
        <v/>
      </c>
      <c r="X85" s="386" t="str">
        <f>TransTonsShort[[#This Row],[Grouping_ID]]&amp;"-"&amp;TransTonsShort[[#This Row],[Sector_ID]]</f>
        <v>3-1</v>
      </c>
      <c r="Y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 s="421">
        <f>INDEX(LandfillFees[Disposal Tip Fee 2025],MATCH(TransTonsShort[[#This Row],[Grouping_ID]],LandfillFees[Grouping_ID],0))</f>
        <v>72.030938699729589</v>
      </c>
      <c r="AA85" s="102">
        <f>IF(OR(TransTonsShort[[#This Row],[CollectionStream_ID]]="03",TransTonsShort[[#This Row],[CollectionStream_ID]]="04",TransTonsShort[[#This Row],[CollectionStream_ID]]="13"),0,TransTonsShort[[#This Row],[Trans_Tons_All]]*TransTonsShort[[#This Row],[Disposal_Fee]])</f>
        <v>0</v>
      </c>
      <c r="AF85" s="446" t="s">
        <v>1258</v>
      </c>
      <c r="AG85" s="442" t="str">
        <f>LEFT(SecondaryTransport[[#This Row],[Scenario_MRF_Bale_ID]],2)</f>
        <v>S2</v>
      </c>
      <c r="AH85" s="181" t="str">
        <f>LEFT(RIGHT(SecondaryTransport[[#This Row],[Scenario_MRF_Bale_ID]],10),2)</f>
        <v>02</v>
      </c>
      <c r="AI85" s="181" t="str">
        <f>INDEX(MRFs[MRF_Name],MATCH(SecondaryTransport[[#This Row],[MRF_ID]],MRFs[MRF_ID],0))</f>
        <v>1 MRF for SS (Salem)</v>
      </c>
      <c r="AJ85" s="181" t="str">
        <f>RIGHT(SecondaryTransport[[#This Row],[Scenario_MRF_Bale_ID]],7)</f>
        <v>2000-14</v>
      </c>
      <c r="AK85" s="181" t="str">
        <f>INDEX(Bales[Bale_Name],MATCH(SecondaryTransport[[#This Row],[Bale_ID]],Bales[Bale_ID],0))</f>
        <v>Solid PS #6 (rigid) </v>
      </c>
      <c r="AL85" s="443">
        <f>INDEX(BaleMover[Total_Baled_tons],MATCH(SecondaryTransport[[#This Row],[Scenario_MRF_Bale_ID]],BaleMover[Scenario_MRF_Bale_ID],0))</f>
        <v>0</v>
      </c>
      <c r="AM85" s="443">
        <f>IF(INDEX(BaleMover[Miles],MATCH(SecondaryTransport[[#This Row],[Scenario_MRF_Bale_ID]],BaleMover[Scenario_MRF_Bale_ID],0))="",0,INDEX(BaleMover[Miles],MATCH(SecondaryTransport[[#This Row],[Scenario_MRF_Bale_ID]],BaleMover[Scenario_MRF_Bale_ID],0)))</f>
        <v>0</v>
      </c>
      <c r="AN85" s="251">
        <f>IF(SecondaryTransport[[#This Row],[Bale_ID]]="9000-01","costs elsewhere",SecondaryTransport[[#This Row],[Total_Baled_tons]]*SecondaryTransport[[#This Row],[Miles]])</f>
        <v>0</v>
      </c>
      <c r="AO85" s="352" t="str">
        <f>IF(LEFT(SecondaryTransport[[#This Row],[Bale_ID]],1)*1=5,IF(OR(SecondaryTransport[[#This Row],[MRF_ID]]="02",SecondaryTransport[[#This Row],[MRF_ID]]="08"),2,1),"")</f>
        <v/>
      </c>
      <c r="AP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5" s="224" t="str">
        <f>IFERROR(IF(1*LEFT(SecondaryTransport[[#This Row],[Bale_ID]],1)=5,SecondaryTransport[[#This Row],[Ton-Miles]]*SecondaryTransport[[#This Row],[Cost_Per_Ton-Mile]],""),"")</f>
        <v/>
      </c>
      <c r="AS85" s="224" t="str">
        <f>IFERROR(IF(SecondaryTransport[[#This Row],[Container_Transfer]]="",(SecondaryTransport[[#This Row],[Ton-Miles]]*SecondaryTransport[[#This Row],[Cost_Per_Ton-Mile]]),""),"")</f>
        <v/>
      </c>
    </row>
    <row r="86" spans="2:45" ht="15" x14ac:dyDescent="0.25">
      <c r="B86"/>
      <c r="C86"/>
      <c r="D86"/>
      <c r="E86"/>
      <c r="F86"/>
      <c r="G86"/>
      <c r="H86"/>
      <c r="L86" s="446" t="s">
        <v>875</v>
      </c>
      <c r="M86" s="446">
        <v>4</v>
      </c>
      <c r="N86" s="446">
        <v>1</v>
      </c>
      <c r="O86" s="448" t="s">
        <v>748</v>
      </c>
      <c r="P86" s="449" t="s">
        <v>719</v>
      </c>
      <c r="Q86" s="449"/>
      <c r="R86" s="449"/>
      <c r="S86" s="449" t="s">
        <v>765</v>
      </c>
      <c r="T86" s="449" t="s">
        <v>1055</v>
      </c>
      <c r="U86" s="452">
        <v>0</v>
      </c>
      <c r="V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 s="272" t="str">
        <f>IFERROR(SUMIFS(TransUnitCost[Miles],TransUnitCost[Grouping_ID],TransTonsShort[[#This Row],[Grouping_ID]],TransUnitCost[Transp_ID],TransTonsShort[[#This Row],[Transp_ID]])*TransTonsShort[[#This Row],[Trans_Tons_All]]/TransTonsShort[[#This Row],[Trans_Tons_All]],"")</f>
        <v/>
      </c>
      <c r="X86" s="386" t="str">
        <f>TransTonsShort[[#This Row],[Grouping_ID]]&amp;"-"&amp;TransTonsShort[[#This Row],[Sector_ID]]</f>
        <v>4-1</v>
      </c>
      <c r="Y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 s="421">
        <f>INDEX(LandfillFees[Disposal Tip Fee 2025],MATCH(TransTonsShort[[#This Row],[Grouping_ID]],LandfillFees[Grouping_ID],0))</f>
        <v>72.030938699729589</v>
      </c>
      <c r="AA86" s="102">
        <f>IF(OR(TransTonsShort[[#This Row],[CollectionStream_ID]]="03",TransTonsShort[[#This Row],[CollectionStream_ID]]="04",TransTonsShort[[#This Row],[CollectionStream_ID]]="13"),0,TransTonsShort[[#This Row],[Trans_Tons_All]]*TransTonsShort[[#This Row],[Disposal_Fee]])</f>
        <v>0</v>
      </c>
      <c r="AF86" s="446" t="s">
        <v>1259</v>
      </c>
      <c r="AG86" s="442" t="str">
        <f>LEFT(SecondaryTransport[[#This Row],[Scenario_MRF_Bale_ID]],2)</f>
        <v>S3</v>
      </c>
      <c r="AH86" s="181" t="str">
        <f>LEFT(RIGHT(SecondaryTransport[[#This Row],[Scenario_MRF_Bale_ID]],10),2)</f>
        <v>02</v>
      </c>
      <c r="AI86" s="181" t="str">
        <f>INDEX(MRFs[MRF_Name],MATCH(SecondaryTransport[[#This Row],[MRF_ID]],MRFs[MRF_ID],0))</f>
        <v>1 MRF for SS (Salem)</v>
      </c>
      <c r="AJ86" s="181" t="str">
        <f>RIGHT(SecondaryTransport[[#This Row],[Scenario_MRF_Bale_ID]],7)</f>
        <v>2000-14</v>
      </c>
      <c r="AK86" s="181" t="str">
        <f>INDEX(Bales[Bale_Name],MATCH(SecondaryTransport[[#This Row],[Bale_ID]],Bales[Bale_ID],0))</f>
        <v>Solid PS #6 (rigid) </v>
      </c>
      <c r="AL86" s="443">
        <f>INDEX(BaleMover[Total_Baled_tons],MATCH(SecondaryTransport[[#This Row],[Scenario_MRF_Bale_ID]],BaleMover[Scenario_MRF_Bale_ID],0))</f>
        <v>0</v>
      </c>
      <c r="AM86" s="443">
        <f>IF(INDEX(BaleMover[Miles],MATCH(SecondaryTransport[[#This Row],[Scenario_MRF_Bale_ID]],BaleMover[Scenario_MRF_Bale_ID],0))="",0,INDEX(BaleMover[Miles],MATCH(SecondaryTransport[[#This Row],[Scenario_MRF_Bale_ID]],BaleMover[Scenario_MRF_Bale_ID],0)))</f>
        <v>0</v>
      </c>
      <c r="AN86" s="251">
        <f>IF(SecondaryTransport[[#This Row],[Bale_ID]]="9000-01","costs elsewhere",SecondaryTransport[[#This Row],[Total_Baled_tons]]*SecondaryTransport[[#This Row],[Miles]])</f>
        <v>0</v>
      </c>
      <c r="AO86" s="352" t="str">
        <f>IF(LEFT(SecondaryTransport[[#This Row],[Bale_ID]],1)*1=5,IF(OR(SecondaryTransport[[#This Row],[MRF_ID]]="02",SecondaryTransport[[#This Row],[MRF_ID]]="08"),2,1),"")</f>
        <v/>
      </c>
      <c r="AP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6" s="224" t="str">
        <f>IFERROR(IF(1*LEFT(SecondaryTransport[[#This Row],[Bale_ID]],1)=5,SecondaryTransport[[#This Row],[Ton-Miles]]*SecondaryTransport[[#This Row],[Cost_Per_Ton-Mile]],""),"")</f>
        <v/>
      </c>
      <c r="AS86" s="224" t="str">
        <f>IFERROR(IF(SecondaryTransport[[#This Row],[Container_Transfer]]="",(SecondaryTransport[[#This Row],[Ton-Miles]]*SecondaryTransport[[#This Row],[Cost_Per_Ton-Mile]]),""),"")</f>
        <v/>
      </c>
    </row>
    <row r="87" spans="2:45" ht="15" x14ac:dyDescent="0.25">
      <c r="B87"/>
      <c r="C87"/>
      <c r="D87"/>
      <c r="E87"/>
      <c r="F87"/>
      <c r="G87"/>
      <c r="H87"/>
      <c r="L87" s="446" t="s">
        <v>875</v>
      </c>
      <c r="M87" s="446">
        <v>1</v>
      </c>
      <c r="N87" s="446">
        <v>1</v>
      </c>
      <c r="O87" s="448" t="s">
        <v>748</v>
      </c>
      <c r="P87" s="449" t="s">
        <v>700</v>
      </c>
      <c r="Q87" s="449"/>
      <c r="R87" s="449"/>
      <c r="S87" s="449" t="s">
        <v>765</v>
      </c>
      <c r="T87" s="449" t="s">
        <v>701</v>
      </c>
      <c r="U87" s="452">
        <v>0</v>
      </c>
      <c r="V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 s="272" t="str">
        <f>IFERROR(SUMIFS(TransUnitCost[Miles],TransUnitCost[Grouping_ID],TransTonsShort[[#This Row],[Grouping_ID]],TransUnitCost[Transp_ID],TransTonsShort[[#This Row],[Transp_ID]])*TransTonsShort[[#This Row],[Trans_Tons_All]]/TransTonsShort[[#This Row],[Trans_Tons_All]],"")</f>
        <v/>
      </c>
      <c r="X87" s="386" t="str">
        <f>TransTonsShort[[#This Row],[Grouping_ID]]&amp;"-"&amp;TransTonsShort[[#This Row],[Sector_ID]]</f>
        <v>1-1</v>
      </c>
      <c r="Y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 s="421">
        <f>INDEX(LandfillFees[Disposal Tip Fee 2025],MATCH(TransTonsShort[[#This Row],[Grouping_ID]],LandfillFees[Grouping_ID],0))</f>
        <v>134.68</v>
      </c>
      <c r="AA87" s="102">
        <f>IF(OR(TransTonsShort[[#This Row],[CollectionStream_ID]]="03",TransTonsShort[[#This Row],[CollectionStream_ID]]="04",TransTonsShort[[#This Row],[CollectionStream_ID]]="13"),0,TransTonsShort[[#This Row],[Trans_Tons_All]]*TransTonsShort[[#This Row],[Disposal_Fee]])</f>
        <v>0</v>
      </c>
      <c r="AF87" s="446" t="s">
        <v>1260</v>
      </c>
      <c r="AG87" s="442" t="str">
        <f>LEFT(SecondaryTransport[[#This Row],[Scenario_MRF_Bale_ID]],2)</f>
        <v>S0</v>
      </c>
      <c r="AH87" s="181" t="str">
        <f>LEFT(RIGHT(SecondaryTransport[[#This Row],[Scenario_MRF_Bale_ID]],10),2)</f>
        <v>02</v>
      </c>
      <c r="AI87" s="181" t="str">
        <f>INDEX(MRFs[MRF_Name],MATCH(SecondaryTransport[[#This Row],[MRF_ID]],MRFs[MRF_ID],0))</f>
        <v>1 MRF for SS (Salem)</v>
      </c>
      <c r="AJ87" s="181" t="str">
        <f>RIGHT(SecondaryTransport[[#This Row],[Scenario_MRF_Bale_ID]],7)</f>
        <v>2000-16</v>
      </c>
      <c r="AK87" s="181" t="str">
        <f>INDEX(Bales[Bale_Name],MATCH(SecondaryTransport[[#This Row],[Bale_ID]],Bales[Bale_ID],0))</f>
        <v>Foam PS #6 (transport block and shape, densified)</v>
      </c>
      <c r="AL87" s="443">
        <f>INDEX(BaleMover[Total_Baled_tons],MATCH(SecondaryTransport[[#This Row],[Scenario_MRF_Bale_ID]],BaleMover[Scenario_MRF_Bale_ID],0))</f>
        <v>0</v>
      </c>
      <c r="AM87" s="443">
        <f>IF(INDEX(BaleMover[Miles],MATCH(SecondaryTransport[[#This Row],[Scenario_MRF_Bale_ID]],BaleMover[Scenario_MRF_Bale_ID],0))="",0,INDEX(BaleMover[Miles],MATCH(SecondaryTransport[[#This Row],[Scenario_MRF_Bale_ID]],BaleMover[Scenario_MRF_Bale_ID],0)))</f>
        <v>0</v>
      </c>
      <c r="AN87" s="251">
        <f>IF(SecondaryTransport[[#This Row],[Bale_ID]]="9000-01","costs elsewhere",SecondaryTransport[[#This Row],[Total_Baled_tons]]*SecondaryTransport[[#This Row],[Miles]])</f>
        <v>0</v>
      </c>
      <c r="AO87" s="352" t="str">
        <f>IF(LEFT(SecondaryTransport[[#This Row],[Bale_ID]],1)*1=5,IF(OR(SecondaryTransport[[#This Row],[MRF_ID]]="02",SecondaryTransport[[#This Row],[MRF_ID]]="08"),2,1),"")</f>
        <v/>
      </c>
      <c r="AP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7" s="224" t="str">
        <f>IFERROR(IF(1*LEFT(SecondaryTransport[[#This Row],[Bale_ID]],1)=5,SecondaryTransport[[#This Row],[Ton-Miles]]*SecondaryTransport[[#This Row],[Cost_Per_Ton-Mile]],""),"")</f>
        <v/>
      </c>
      <c r="AS87" s="224" t="str">
        <f>IFERROR(IF(SecondaryTransport[[#This Row],[Container_Transfer]]="",(SecondaryTransport[[#This Row],[Ton-Miles]]*SecondaryTransport[[#This Row],[Cost_Per_Ton-Mile]]),""),"")</f>
        <v/>
      </c>
    </row>
    <row r="88" spans="2:45" ht="15" x14ac:dyDescent="0.25">
      <c r="B88"/>
      <c r="C88"/>
      <c r="D88"/>
      <c r="E88"/>
      <c r="F88"/>
      <c r="G88"/>
      <c r="H88"/>
      <c r="L88" s="446" t="s">
        <v>875</v>
      </c>
      <c r="M88" s="446">
        <v>2</v>
      </c>
      <c r="N88" s="446">
        <v>1</v>
      </c>
      <c r="O88" s="448" t="s">
        <v>748</v>
      </c>
      <c r="P88" s="449" t="s">
        <v>700</v>
      </c>
      <c r="Q88" s="449"/>
      <c r="R88" s="449"/>
      <c r="S88" s="449" t="s">
        <v>765</v>
      </c>
      <c r="T88" s="449" t="s">
        <v>701</v>
      </c>
      <c r="U88" s="452">
        <v>0</v>
      </c>
      <c r="V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 s="272" t="str">
        <f>IFERROR(SUMIFS(TransUnitCost[Miles],TransUnitCost[Grouping_ID],TransTonsShort[[#This Row],[Grouping_ID]],TransUnitCost[Transp_ID],TransTonsShort[[#This Row],[Transp_ID]])*TransTonsShort[[#This Row],[Trans_Tons_All]]/TransTonsShort[[#This Row],[Trans_Tons_All]],"")</f>
        <v/>
      </c>
      <c r="X88" s="386" t="str">
        <f>TransTonsShort[[#This Row],[Grouping_ID]]&amp;"-"&amp;TransTonsShort[[#This Row],[Sector_ID]]</f>
        <v>2-1</v>
      </c>
      <c r="Y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8" s="421">
        <f>INDEX(LandfillFees[Disposal Tip Fee 2025],MATCH(TransTonsShort[[#This Row],[Grouping_ID]],LandfillFees[Grouping_ID],0))</f>
        <v>72.030938699729589</v>
      </c>
      <c r="AA88" s="102">
        <f>IF(OR(TransTonsShort[[#This Row],[CollectionStream_ID]]="03",TransTonsShort[[#This Row],[CollectionStream_ID]]="04",TransTonsShort[[#This Row],[CollectionStream_ID]]="13"),0,TransTonsShort[[#This Row],[Trans_Tons_All]]*TransTonsShort[[#This Row],[Disposal_Fee]])</f>
        <v>0</v>
      </c>
      <c r="AF88" s="446" t="s">
        <v>1261</v>
      </c>
      <c r="AG88" s="442" t="str">
        <f>LEFT(SecondaryTransport[[#This Row],[Scenario_MRF_Bale_ID]],2)</f>
        <v>S1</v>
      </c>
      <c r="AH88" s="181" t="str">
        <f>LEFT(RIGHT(SecondaryTransport[[#This Row],[Scenario_MRF_Bale_ID]],10),2)</f>
        <v>02</v>
      </c>
      <c r="AI88" s="181" t="str">
        <f>INDEX(MRFs[MRF_Name],MATCH(SecondaryTransport[[#This Row],[MRF_ID]],MRFs[MRF_ID],0))</f>
        <v>1 MRF for SS (Salem)</v>
      </c>
      <c r="AJ88" s="181" t="str">
        <f>RIGHT(SecondaryTransport[[#This Row],[Scenario_MRF_Bale_ID]],7)</f>
        <v>2000-16</v>
      </c>
      <c r="AK88" s="181" t="str">
        <f>INDEX(Bales[Bale_Name],MATCH(SecondaryTransport[[#This Row],[Bale_ID]],Bales[Bale_ID],0))</f>
        <v>Foam PS #6 (transport block and shape, densified)</v>
      </c>
      <c r="AL88" s="443">
        <f>INDEX(BaleMover[Total_Baled_tons],MATCH(SecondaryTransport[[#This Row],[Scenario_MRF_Bale_ID]],BaleMover[Scenario_MRF_Bale_ID],0))</f>
        <v>0</v>
      </c>
      <c r="AM88" s="443">
        <f>IF(INDEX(BaleMover[Miles],MATCH(SecondaryTransport[[#This Row],[Scenario_MRF_Bale_ID]],BaleMover[Scenario_MRF_Bale_ID],0))="",0,INDEX(BaleMover[Miles],MATCH(SecondaryTransport[[#This Row],[Scenario_MRF_Bale_ID]],BaleMover[Scenario_MRF_Bale_ID],0)))</f>
        <v>0</v>
      </c>
      <c r="AN88" s="251">
        <f>IF(SecondaryTransport[[#This Row],[Bale_ID]]="9000-01","costs elsewhere",SecondaryTransport[[#This Row],[Total_Baled_tons]]*SecondaryTransport[[#This Row],[Miles]])</f>
        <v>0</v>
      </c>
      <c r="AO88" s="352" t="str">
        <f>IF(LEFT(SecondaryTransport[[#This Row],[Bale_ID]],1)*1=5,IF(OR(SecondaryTransport[[#This Row],[MRF_ID]]="02",SecondaryTransport[[#This Row],[MRF_ID]]="08"),2,1),"")</f>
        <v/>
      </c>
      <c r="AP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8" s="224" t="str">
        <f>IFERROR(IF(1*LEFT(SecondaryTransport[[#This Row],[Bale_ID]],1)=5,SecondaryTransport[[#This Row],[Ton-Miles]]*SecondaryTransport[[#This Row],[Cost_Per_Ton-Mile]],""),"")</f>
        <v/>
      </c>
      <c r="AS88" s="224" t="str">
        <f>IFERROR(IF(SecondaryTransport[[#This Row],[Container_Transfer]]="",(SecondaryTransport[[#This Row],[Ton-Miles]]*SecondaryTransport[[#This Row],[Cost_Per_Ton-Mile]]),""),"")</f>
        <v/>
      </c>
    </row>
    <row r="89" spans="2:45" ht="15" x14ac:dyDescent="0.25">
      <c r="B89"/>
      <c r="C89"/>
      <c r="D89"/>
      <c r="E89"/>
      <c r="F89"/>
      <c r="G89"/>
      <c r="H89"/>
      <c r="L89" s="446" t="s">
        <v>875</v>
      </c>
      <c r="M89" s="446">
        <v>3</v>
      </c>
      <c r="N89" s="446">
        <v>1</v>
      </c>
      <c r="O89" s="448" t="s">
        <v>748</v>
      </c>
      <c r="P89" s="449" t="s">
        <v>700</v>
      </c>
      <c r="Q89" s="449"/>
      <c r="R89" s="449"/>
      <c r="S89" s="449" t="s">
        <v>765</v>
      </c>
      <c r="T89" s="449" t="s">
        <v>701</v>
      </c>
      <c r="U89" s="452">
        <v>0</v>
      </c>
      <c r="V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9" s="272" t="str">
        <f>IFERROR(SUMIFS(TransUnitCost[Miles],TransUnitCost[Grouping_ID],TransTonsShort[[#This Row],[Grouping_ID]],TransUnitCost[Transp_ID],TransTonsShort[[#This Row],[Transp_ID]])*TransTonsShort[[#This Row],[Trans_Tons_All]]/TransTonsShort[[#This Row],[Trans_Tons_All]],"")</f>
        <v/>
      </c>
      <c r="X89" s="386" t="str">
        <f>TransTonsShort[[#This Row],[Grouping_ID]]&amp;"-"&amp;TransTonsShort[[#This Row],[Sector_ID]]</f>
        <v>3-1</v>
      </c>
      <c r="Y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9" s="421">
        <f>INDEX(LandfillFees[Disposal Tip Fee 2025],MATCH(TransTonsShort[[#This Row],[Grouping_ID]],LandfillFees[Grouping_ID],0))</f>
        <v>72.030938699729589</v>
      </c>
      <c r="AA89" s="102">
        <f>IF(OR(TransTonsShort[[#This Row],[CollectionStream_ID]]="03",TransTonsShort[[#This Row],[CollectionStream_ID]]="04",TransTonsShort[[#This Row],[CollectionStream_ID]]="13"),0,TransTonsShort[[#This Row],[Trans_Tons_All]]*TransTonsShort[[#This Row],[Disposal_Fee]])</f>
        <v>0</v>
      </c>
      <c r="AF89" s="446" t="s">
        <v>1262</v>
      </c>
      <c r="AG89" s="442" t="str">
        <f>LEFT(SecondaryTransport[[#This Row],[Scenario_MRF_Bale_ID]],2)</f>
        <v>S2</v>
      </c>
      <c r="AH89" s="181" t="str">
        <f>LEFT(RIGHT(SecondaryTransport[[#This Row],[Scenario_MRF_Bale_ID]],10),2)</f>
        <v>02</v>
      </c>
      <c r="AI89" s="181" t="str">
        <f>INDEX(MRFs[MRF_Name],MATCH(SecondaryTransport[[#This Row],[MRF_ID]],MRFs[MRF_ID],0))</f>
        <v>1 MRF for SS (Salem)</v>
      </c>
      <c r="AJ89" s="181" t="str">
        <f>RIGHT(SecondaryTransport[[#This Row],[Scenario_MRF_Bale_ID]],7)</f>
        <v>2000-16</v>
      </c>
      <c r="AK89" s="181" t="str">
        <f>INDEX(Bales[Bale_Name],MATCH(SecondaryTransport[[#This Row],[Bale_ID]],Bales[Bale_ID],0))</f>
        <v>Foam PS #6 (transport block and shape, densified)</v>
      </c>
      <c r="AL89" s="443">
        <f>INDEX(BaleMover[Total_Baled_tons],MATCH(SecondaryTransport[[#This Row],[Scenario_MRF_Bale_ID]],BaleMover[Scenario_MRF_Bale_ID],0))</f>
        <v>0</v>
      </c>
      <c r="AM89" s="443">
        <f>IF(INDEX(BaleMover[Miles],MATCH(SecondaryTransport[[#This Row],[Scenario_MRF_Bale_ID]],BaleMover[Scenario_MRF_Bale_ID],0))="",0,INDEX(BaleMover[Miles],MATCH(SecondaryTransport[[#This Row],[Scenario_MRF_Bale_ID]],BaleMover[Scenario_MRF_Bale_ID],0)))</f>
        <v>0</v>
      </c>
      <c r="AN89" s="251">
        <f>IF(SecondaryTransport[[#This Row],[Bale_ID]]="9000-01","costs elsewhere",SecondaryTransport[[#This Row],[Total_Baled_tons]]*SecondaryTransport[[#This Row],[Miles]])</f>
        <v>0</v>
      </c>
      <c r="AO89" s="352" t="str">
        <f>IF(LEFT(SecondaryTransport[[#This Row],[Bale_ID]],1)*1=5,IF(OR(SecondaryTransport[[#This Row],[MRF_ID]]="02",SecondaryTransport[[#This Row],[MRF_ID]]="08"),2,1),"")</f>
        <v/>
      </c>
      <c r="AP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8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89" s="224" t="str">
        <f>IFERROR(IF(1*LEFT(SecondaryTransport[[#This Row],[Bale_ID]],1)=5,SecondaryTransport[[#This Row],[Ton-Miles]]*SecondaryTransport[[#This Row],[Cost_Per_Ton-Mile]],""),"")</f>
        <v/>
      </c>
      <c r="AS89" s="224" t="str">
        <f>IFERROR(IF(SecondaryTransport[[#This Row],[Container_Transfer]]="",(SecondaryTransport[[#This Row],[Ton-Miles]]*SecondaryTransport[[#This Row],[Cost_Per_Ton-Mile]]),""),"")</f>
        <v/>
      </c>
    </row>
    <row r="90" spans="2:45" ht="15" x14ac:dyDescent="0.25">
      <c r="B90"/>
      <c r="C90"/>
      <c r="D90"/>
      <c r="E90"/>
      <c r="F90"/>
      <c r="G90"/>
      <c r="H90"/>
      <c r="L90" s="446" t="s">
        <v>875</v>
      </c>
      <c r="M90" s="446">
        <v>4</v>
      </c>
      <c r="N90" s="446">
        <v>1</v>
      </c>
      <c r="O90" s="448" t="s">
        <v>748</v>
      </c>
      <c r="P90" s="449" t="s">
        <v>700</v>
      </c>
      <c r="Q90" s="449"/>
      <c r="R90" s="449"/>
      <c r="S90" s="449" t="s">
        <v>765</v>
      </c>
      <c r="T90" s="449" t="s">
        <v>701</v>
      </c>
      <c r="U90" s="452">
        <v>0</v>
      </c>
      <c r="V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 s="272" t="str">
        <f>IFERROR(SUMIFS(TransUnitCost[Miles],TransUnitCost[Grouping_ID],TransTonsShort[[#This Row],[Grouping_ID]],TransUnitCost[Transp_ID],TransTonsShort[[#This Row],[Transp_ID]])*TransTonsShort[[#This Row],[Trans_Tons_All]]/TransTonsShort[[#This Row],[Trans_Tons_All]],"")</f>
        <v/>
      </c>
      <c r="X90" s="386" t="str">
        <f>TransTonsShort[[#This Row],[Grouping_ID]]&amp;"-"&amp;TransTonsShort[[#This Row],[Sector_ID]]</f>
        <v>4-1</v>
      </c>
      <c r="Y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 s="421">
        <f>INDEX(LandfillFees[Disposal Tip Fee 2025],MATCH(TransTonsShort[[#This Row],[Grouping_ID]],LandfillFees[Grouping_ID],0))</f>
        <v>72.030938699729589</v>
      </c>
      <c r="AA90" s="102">
        <f>IF(OR(TransTonsShort[[#This Row],[CollectionStream_ID]]="03",TransTonsShort[[#This Row],[CollectionStream_ID]]="04",TransTonsShort[[#This Row],[CollectionStream_ID]]="13"),0,TransTonsShort[[#This Row],[Trans_Tons_All]]*TransTonsShort[[#This Row],[Disposal_Fee]])</f>
        <v>0</v>
      </c>
      <c r="AF90" s="446" t="s">
        <v>1263</v>
      </c>
      <c r="AG90" s="442" t="str">
        <f>LEFT(SecondaryTransport[[#This Row],[Scenario_MRF_Bale_ID]],2)</f>
        <v>S3</v>
      </c>
      <c r="AH90" s="181" t="str">
        <f>LEFT(RIGHT(SecondaryTransport[[#This Row],[Scenario_MRF_Bale_ID]],10),2)</f>
        <v>02</v>
      </c>
      <c r="AI90" s="181" t="str">
        <f>INDEX(MRFs[MRF_Name],MATCH(SecondaryTransport[[#This Row],[MRF_ID]],MRFs[MRF_ID],0))</f>
        <v>1 MRF for SS (Salem)</v>
      </c>
      <c r="AJ90" s="181" t="str">
        <f>RIGHT(SecondaryTransport[[#This Row],[Scenario_MRF_Bale_ID]],7)</f>
        <v>2000-16</v>
      </c>
      <c r="AK90" s="181" t="str">
        <f>INDEX(Bales[Bale_Name],MATCH(SecondaryTransport[[#This Row],[Bale_ID]],Bales[Bale_ID],0))</f>
        <v>Foam PS #6 (transport block and shape, densified)</v>
      </c>
      <c r="AL90" s="443">
        <f>INDEX(BaleMover[Total_Baled_tons],MATCH(SecondaryTransport[[#This Row],[Scenario_MRF_Bale_ID]],BaleMover[Scenario_MRF_Bale_ID],0))</f>
        <v>0</v>
      </c>
      <c r="AM90" s="443">
        <f>IF(INDEX(BaleMover[Miles],MATCH(SecondaryTransport[[#This Row],[Scenario_MRF_Bale_ID]],BaleMover[Scenario_MRF_Bale_ID],0))="",0,INDEX(BaleMover[Miles],MATCH(SecondaryTransport[[#This Row],[Scenario_MRF_Bale_ID]],BaleMover[Scenario_MRF_Bale_ID],0)))</f>
        <v>0</v>
      </c>
      <c r="AN90" s="251">
        <f>IF(SecondaryTransport[[#This Row],[Bale_ID]]="9000-01","costs elsewhere",SecondaryTransport[[#This Row],[Total_Baled_tons]]*SecondaryTransport[[#This Row],[Miles]])</f>
        <v>0</v>
      </c>
      <c r="AO90" s="352" t="str">
        <f>IF(LEFT(SecondaryTransport[[#This Row],[Bale_ID]],1)*1=5,IF(OR(SecondaryTransport[[#This Row],[MRF_ID]]="02",SecondaryTransport[[#This Row],[MRF_ID]]="08"),2,1),"")</f>
        <v/>
      </c>
      <c r="AP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0" s="224" t="str">
        <f>IFERROR(IF(1*LEFT(SecondaryTransport[[#This Row],[Bale_ID]],1)=5,SecondaryTransport[[#This Row],[Ton-Miles]]*SecondaryTransport[[#This Row],[Cost_Per_Ton-Mile]],""),"")</f>
        <v/>
      </c>
      <c r="AS90" s="224" t="str">
        <f>IFERROR(IF(SecondaryTransport[[#This Row],[Container_Transfer]]="",(SecondaryTransport[[#This Row],[Ton-Miles]]*SecondaryTransport[[#This Row],[Cost_Per_Ton-Mile]]),""),"")</f>
        <v/>
      </c>
    </row>
    <row r="91" spans="2:45" ht="15" x14ac:dyDescent="0.25">
      <c r="B91"/>
      <c r="C91"/>
      <c r="D91"/>
      <c r="E91"/>
      <c r="F91"/>
      <c r="G91"/>
      <c r="H91"/>
      <c r="L91" s="446" t="s">
        <v>875</v>
      </c>
      <c r="M91" s="446">
        <v>1</v>
      </c>
      <c r="N91" s="446">
        <v>1</v>
      </c>
      <c r="O91" s="446" t="s">
        <v>748</v>
      </c>
      <c r="P91" s="449" t="s">
        <v>748</v>
      </c>
      <c r="Q91" s="449"/>
      <c r="R91" s="449"/>
      <c r="S91" s="449" t="s">
        <v>765</v>
      </c>
      <c r="T91" s="449" t="s">
        <v>849</v>
      </c>
      <c r="U91" s="452">
        <v>0</v>
      </c>
      <c r="V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 s="272" t="str">
        <f>IFERROR(SUMIFS(TransUnitCost[Miles],TransUnitCost[Grouping_ID],TransTonsShort[[#This Row],[Grouping_ID]],TransUnitCost[Transp_ID],TransTonsShort[[#This Row],[Transp_ID]])*TransTonsShort[[#This Row],[Trans_Tons_All]]/TransTonsShort[[#This Row],[Trans_Tons_All]],"")</f>
        <v/>
      </c>
      <c r="X91" s="386" t="str">
        <f>TransTonsShort[[#This Row],[Grouping_ID]]&amp;"-"&amp;TransTonsShort[[#This Row],[Sector_ID]]</f>
        <v>1-1</v>
      </c>
      <c r="Y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 s="421">
        <f>INDEX(LandfillFees[Disposal Tip Fee 2025],MATCH(TransTonsShort[[#This Row],[Grouping_ID]],LandfillFees[Grouping_ID],0))</f>
        <v>134.68</v>
      </c>
      <c r="AA91" s="102">
        <f>IF(OR(TransTonsShort[[#This Row],[CollectionStream_ID]]="03",TransTonsShort[[#This Row],[CollectionStream_ID]]="04",TransTonsShort[[#This Row],[CollectionStream_ID]]="13"),0,TransTonsShort[[#This Row],[Trans_Tons_All]]*TransTonsShort[[#This Row],[Disposal_Fee]])</f>
        <v>0</v>
      </c>
      <c r="AF91" s="446" t="s">
        <v>1264</v>
      </c>
      <c r="AG91" s="442" t="str">
        <f>LEFT(SecondaryTransport[[#This Row],[Scenario_MRF_Bale_ID]],2)</f>
        <v>S0</v>
      </c>
      <c r="AH91" s="181" t="str">
        <f>LEFT(RIGHT(SecondaryTransport[[#This Row],[Scenario_MRF_Bale_ID]],10),2)</f>
        <v>02</v>
      </c>
      <c r="AI91" s="181" t="str">
        <f>INDEX(MRFs[MRF_Name],MATCH(SecondaryTransport[[#This Row],[MRF_ID]],MRFs[MRF_ID],0))</f>
        <v>1 MRF for SS (Salem)</v>
      </c>
      <c r="AJ91" s="181" t="str">
        <f>RIGHT(SecondaryTransport[[#This Row],[Scenario_MRF_Bale_ID]],7)</f>
        <v>2000-17</v>
      </c>
      <c r="AK91" s="181" t="str">
        <f>INDEX(Bales[Bale_Name],MATCH(SecondaryTransport[[#This Row],[Bale_ID]],Bales[Bale_ID],0))</f>
        <v>Densified MRF Grade Foam PS #6 (food service and packaging) </v>
      </c>
      <c r="AL91" s="443">
        <f>INDEX(BaleMover[Total_Baled_tons],MATCH(SecondaryTransport[[#This Row],[Scenario_MRF_Bale_ID]],BaleMover[Scenario_MRF_Bale_ID],0))</f>
        <v>0</v>
      </c>
      <c r="AM91" s="443">
        <f>IF(INDEX(BaleMover[Miles],MATCH(SecondaryTransport[[#This Row],[Scenario_MRF_Bale_ID]],BaleMover[Scenario_MRF_Bale_ID],0))="",0,INDEX(BaleMover[Miles],MATCH(SecondaryTransport[[#This Row],[Scenario_MRF_Bale_ID]],BaleMover[Scenario_MRF_Bale_ID],0)))</f>
        <v>0</v>
      </c>
      <c r="AN91" s="251">
        <f>IF(SecondaryTransport[[#This Row],[Bale_ID]]="9000-01","costs elsewhere",SecondaryTransport[[#This Row],[Total_Baled_tons]]*SecondaryTransport[[#This Row],[Miles]])</f>
        <v>0</v>
      </c>
      <c r="AO91" s="352" t="str">
        <f>IF(LEFT(SecondaryTransport[[#This Row],[Bale_ID]],1)*1=5,IF(OR(SecondaryTransport[[#This Row],[MRF_ID]]="02",SecondaryTransport[[#This Row],[MRF_ID]]="08"),2,1),"")</f>
        <v/>
      </c>
      <c r="AP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1" s="224" t="str">
        <f>IFERROR(IF(1*LEFT(SecondaryTransport[[#This Row],[Bale_ID]],1)=5,SecondaryTransport[[#This Row],[Ton-Miles]]*SecondaryTransport[[#This Row],[Cost_Per_Ton-Mile]],""),"")</f>
        <v/>
      </c>
      <c r="AS91" s="224" t="str">
        <f>IFERROR(IF(SecondaryTransport[[#This Row],[Container_Transfer]]="",(SecondaryTransport[[#This Row],[Ton-Miles]]*SecondaryTransport[[#This Row],[Cost_Per_Ton-Mile]]),""),"")</f>
        <v/>
      </c>
    </row>
    <row r="92" spans="2:45" ht="15" x14ac:dyDescent="0.25">
      <c r="B92"/>
      <c r="C92"/>
      <c r="D92"/>
      <c r="E92"/>
      <c r="F92"/>
      <c r="G92"/>
      <c r="H92"/>
      <c r="L92" s="446" t="s">
        <v>875</v>
      </c>
      <c r="M92" s="446">
        <v>2</v>
      </c>
      <c r="N92" s="446">
        <v>1</v>
      </c>
      <c r="O92" s="446" t="s">
        <v>748</v>
      </c>
      <c r="P92" s="449" t="s">
        <v>748</v>
      </c>
      <c r="Q92" s="449"/>
      <c r="R92" s="449"/>
      <c r="S92" s="449" t="s">
        <v>765</v>
      </c>
      <c r="T92" s="449" t="s">
        <v>849</v>
      </c>
      <c r="U92" s="452">
        <v>0</v>
      </c>
      <c r="V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 s="272" t="str">
        <f>IFERROR(SUMIFS(TransUnitCost[Miles],TransUnitCost[Grouping_ID],TransTonsShort[[#This Row],[Grouping_ID]],TransUnitCost[Transp_ID],TransTonsShort[[#This Row],[Transp_ID]])*TransTonsShort[[#This Row],[Trans_Tons_All]]/TransTonsShort[[#This Row],[Trans_Tons_All]],"")</f>
        <v/>
      </c>
      <c r="X92" s="386" t="str">
        <f>TransTonsShort[[#This Row],[Grouping_ID]]&amp;"-"&amp;TransTonsShort[[#This Row],[Sector_ID]]</f>
        <v>2-1</v>
      </c>
      <c r="Y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 s="421">
        <f>INDEX(LandfillFees[Disposal Tip Fee 2025],MATCH(TransTonsShort[[#This Row],[Grouping_ID]],LandfillFees[Grouping_ID],0))</f>
        <v>72.030938699729589</v>
      </c>
      <c r="AA92" s="102">
        <f>IF(OR(TransTonsShort[[#This Row],[CollectionStream_ID]]="03",TransTonsShort[[#This Row],[CollectionStream_ID]]="04",TransTonsShort[[#This Row],[CollectionStream_ID]]="13"),0,TransTonsShort[[#This Row],[Trans_Tons_All]]*TransTonsShort[[#This Row],[Disposal_Fee]])</f>
        <v>0</v>
      </c>
      <c r="AF92" s="446" t="s">
        <v>1265</v>
      </c>
      <c r="AG92" s="442" t="str">
        <f>LEFT(SecondaryTransport[[#This Row],[Scenario_MRF_Bale_ID]],2)</f>
        <v>S1</v>
      </c>
      <c r="AH92" s="181" t="str">
        <f>LEFT(RIGHT(SecondaryTransport[[#This Row],[Scenario_MRF_Bale_ID]],10),2)</f>
        <v>02</v>
      </c>
      <c r="AI92" s="181" t="str">
        <f>INDEX(MRFs[MRF_Name],MATCH(SecondaryTransport[[#This Row],[MRF_ID]],MRFs[MRF_ID],0))</f>
        <v>1 MRF for SS (Salem)</v>
      </c>
      <c r="AJ92" s="181" t="str">
        <f>RIGHT(SecondaryTransport[[#This Row],[Scenario_MRF_Bale_ID]],7)</f>
        <v>2000-17</v>
      </c>
      <c r="AK92" s="181" t="str">
        <f>INDEX(Bales[Bale_Name],MATCH(SecondaryTransport[[#This Row],[Bale_ID]],Bales[Bale_ID],0))</f>
        <v>Densified MRF Grade Foam PS #6 (food service and packaging) </v>
      </c>
      <c r="AL92" s="443">
        <f>INDEX(BaleMover[Total_Baled_tons],MATCH(SecondaryTransport[[#This Row],[Scenario_MRF_Bale_ID]],BaleMover[Scenario_MRF_Bale_ID],0))</f>
        <v>0</v>
      </c>
      <c r="AM92" s="443">
        <f>IF(INDEX(BaleMover[Miles],MATCH(SecondaryTransport[[#This Row],[Scenario_MRF_Bale_ID]],BaleMover[Scenario_MRF_Bale_ID],0))="",0,INDEX(BaleMover[Miles],MATCH(SecondaryTransport[[#This Row],[Scenario_MRF_Bale_ID]],BaleMover[Scenario_MRF_Bale_ID],0)))</f>
        <v>0</v>
      </c>
      <c r="AN92" s="251">
        <f>IF(SecondaryTransport[[#This Row],[Bale_ID]]="9000-01","costs elsewhere",SecondaryTransport[[#This Row],[Total_Baled_tons]]*SecondaryTransport[[#This Row],[Miles]])</f>
        <v>0</v>
      </c>
      <c r="AO92" s="352" t="str">
        <f>IF(LEFT(SecondaryTransport[[#This Row],[Bale_ID]],1)*1=5,IF(OR(SecondaryTransport[[#This Row],[MRF_ID]]="02",SecondaryTransport[[#This Row],[MRF_ID]]="08"),2,1),"")</f>
        <v/>
      </c>
      <c r="AP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2" s="224" t="str">
        <f>IFERROR(IF(1*LEFT(SecondaryTransport[[#This Row],[Bale_ID]],1)=5,SecondaryTransport[[#This Row],[Ton-Miles]]*SecondaryTransport[[#This Row],[Cost_Per_Ton-Mile]],""),"")</f>
        <v/>
      </c>
      <c r="AS92" s="224" t="str">
        <f>IFERROR(IF(SecondaryTransport[[#This Row],[Container_Transfer]]="",(SecondaryTransport[[#This Row],[Ton-Miles]]*SecondaryTransport[[#This Row],[Cost_Per_Ton-Mile]]),""),"")</f>
        <v/>
      </c>
    </row>
    <row r="93" spans="2:45" ht="15" x14ac:dyDescent="0.25">
      <c r="B93"/>
      <c r="C93"/>
      <c r="D93"/>
      <c r="E93"/>
      <c r="F93"/>
      <c r="G93"/>
      <c r="H93"/>
      <c r="L93" s="446" t="s">
        <v>875</v>
      </c>
      <c r="M93" s="446">
        <v>3</v>
      </c>
      <c r="N93" s="446">
        <v>1</v>
      </c>
      <c r="O93" s="446" t="s">
        <v>748</v>
      </c>
      <c r="P93" s="449" t="s">
        <v>748</v>
      </c>
      <c r="Q93" s="449"/>
      <c r="R93" s="449"/>
      <c r="S93" s="449" t="s">
        <v>765</v>
      </c>
      <c r="T93" s="449" t="s">
        <v>849</v>
      </c>
      <c r="U93" s="452">
        <v>0</v>
      </c>
      <c r="V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 s="272" t="str">
        <f>IFERROR(SUMIFS(TransUnitCost[Miles],TransUnitCost[Grouping_ID],TransTonsShort[[#This Row],[Grouping_ID]],TransUnitCost[Transp_ID],TransTonsShort[[#This Row],[Transp_ID]])*TransTonsShort[[#This Row],[Trans_Tons_All]]/TransTonsShort[[#This Row],[Trans_Tons_All]],"")</f>
        <v/>
      </c>
      <c r="X93" s="386" t="str">
        <f>TransTonsShort[[#This Row],[Grouping_ID]]&amp;"-"&amp;TransTonsShort[[#This Row],[Sector_ID]]</f>
        <v>3-1</v>
      </c>
      <c r="Y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 s="421">
        <f>INDEX(LandfillFees[Disposal Tip Fee 2025],MATCH(TransTonsShort[[#This Row],[Grouping_ID]],LandfillFees[Grouping_ID],0))</f>
        <v>72.030938699729589</v>
      </c>
      <c r="AA93" s="102">
        <f>IF(OR(TransTonsShort[[#This Row],[CollectionStream_ID]]="03",TransTonsShort[[#This Row],[CollectionStream_ID]]="04",TransTonsShort[[#This Row],[CollectionStream_ID]]="13"),0,TransTonsShort[[#This Row],[Trans_Tons_All]]*TransTonsShort[[#This Row],[Disposal_Fee]])</f>
        <v>0</v>
      </c>
      <c r="AF93" s="446" t="s">
        <v>1266</v>
      </c>
      <c r="AG93" s="442" t="str">
        <f>LEFT(SecondaryTransport[[#This Row],[Scenario_MRF_Bale_ID]],2)</f>
        <v>S2</v>
      </c>
      <c r="AH93" s="181" t="str">
        <f>LEFT(RIGHT(SecondaryTransport[[#This Row],[Scenario_MRF_Bale_ID]],10),2)</f>
        <v>02</v>
      </c>
      <c r="AI93" s="181" t="str">
        <f>INDEX(MRFs[MRF_Name],MATCH(SecondaryTransport[[#This Row],[MRF_ID]],MRFs[MRF_ID],0))</f>
        <v>1 MRF for SS (Salem)</v>
      </c>
      <c r="AJ93" s="181" t="str">
        <f>RIGHT(SecondaryTransport[[#This Row],[Scenario_MRF_Bale_ID]],7)</f>
        <v>2000-17</v>
      </c>
      <c r="AK93" s="181" t="str">
        <f>INDEX(Bales[Bale_Name],MATCH(SecondaryTransport[[#This Row],[Bale_ID]],Bales[Bale_ID],0))</f>
        <v>Densified MRF Grade Foam PS #6 (food service and packaging) </v>
      </c>
      <c r="AL93" s="443">
        <f>INDEX(BaleMover[Total_Baled_tons],MATCH(SecondaryTransport[[#This Row],[Scenario_MRF_Bale_ID]],BaleMover[Scenario_MRF_Bale_ID],0))</f>
        <v>0</v>
      </c>
      <c r="AM93" s="443">
        <f>IF(INDEX(BaleMover[Miles],MATCH(SecondaryTransport[[#This Row],[Scenario_MRF_Bale_ID]],BaleMover[Scenario_MRF_Bale_ID],0))="",0,INDEX(BaleMover[Miles],MATCH(SecondaryTransport[[#This Row],[Scenario_MRF_Bale_ID]],BaleMover[Scenario_MRF_Bale_ID],0)))</f>
        <v>0</v>
      </c>
      <c r="AN93" s="251">
        <f>IF(SecondaryTransport[[#This Row],[Bale_ID]]="9000-01","costs elsewhere",SecondaryTransport[[#This Row],[Total_Baled_tons]]*SecondaryTransport[[#This Row],[Miles]])</f>
        <v>0</v>
      </c>
      <c r="AO93" s="352" t="str">
        <f>IF(LEFT(SecondaryTransport[[#This Row],[Bale_ID]],1)*1=5,IF(OR(SecondaryTransport[[#This Row],[MRF_ID]]="02",SecondaryTransport[[#This Row],[MRF_ID]]="08"),2,1),"")</f>
        <v/>
      </c>
      <c r="AP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3" s="224" t="str">
        <f>IFERROR(IF(1*LEFT(SecondaryTransport[[#This Row],[Bale_ID]],1)=5,SecondaryTransport[[#This Row],[Ton-Miles]]*SecondaryTransport[[#This Row],[Cost_Per_Ton-Mile]],""),"")</f>
        <v/>
      </c>
      <c r="AS93" s="224" t="str">
        <f>IFERROR(IF(SecondaryTransport[[#This Row],[Container_Transfer]]="",(SecondaryTransport[[#This Row],[Ton-Miles]]*SecondaryTransport[[#This Row],[Cost_Per_Ton-Mile]]),""),"")</f>
        <v/>
      </c>
    </row>
    <row r="94" spans="2:45" ht="15" x14ac:dyDescent="0.25">
      <c r="B94"/>
      <c r="C94"/>
      <c r="D94"/>
      <c r="E94"/>
      <c r="F94"/>
      <c r="G94"/>
      <c r="H94"/>
      <c r="L94" s="446" t="s">
        <v>875</v>
      </c>
      <c r="M94" s="446">
        <v>4</v>
      </c>
      <c r="N94" s="446">
        <v>1</v>
      </c>
      <c r="O94" s="446" t="s">
        <v>748</v>
      </c>
      <c r="P94" s="449" t="s">
        <v>748</v>
      </c>
      <c r="Q94" s="449"/>
      <c r="R94" s="449"/>
      <c r="S94" s="449" t="s">
        <v>765</v>
      </c>
      <c r="T94" s="449" t="s">
        <v>849</v>
      </c>
      <c r="U94" s="452">
        <v>0</v>
      </c>
      <c r="V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 s="272" t="str">
        <f>IFERROR(SUMIFS(TransUnitCost[Miles],TransUnitCost[Grouping_ID],TransTonsShort[[#This Row],[Grouping_ID]],TransUnitCost[Transp_ID],TransTonsShort[[#This Row],[Transp_ID]])*TransTonsShort[[#This Row],[Trans_Tons_All]]/TransTonsShort[[#This Row],[Trans_Tons_All]],"")</f>
        <v/>
      </c>
      <c r="X94" s="386" t="str">
        <f>TransTonsShort[[#This Row],[Grouping_ID]]&amp;"-"&amp;TransTonsShort[[#This Row],[Sector_ID]]</f>
        <v>4-1</v>
      </c>
      <c r="Y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4" s="421">
        <f>INDEX(LandfillFees[Disposal Tip Fee 2025],MATCH(TransTonsShort[[#This Row],[Grouping_ID]],LandfillFees[Grouping_ID],0))</f>
        <v>72.030938699729589</v>
      </c>
      <c r="AA94" s="102">
        <f>IF(OR(TransTonsShort[[#This Row],[CollectionStream_ID]]="03",TransTonsShort[[#This Row],[CollectionStream_ID]]="04",TransTonsShort[[#This Row],[CollectionStream_ID]]="13"),0,TransTonsShort[[#This Row],[Trans_Tons_All]]*TransTonsShort[[#This Row],[Disposal_Fee]])</f>
        <v>0</v>
      </c>
      <c r="AF94" s="446" t="s">
        <v>1267</v>
      </c>
      <c r="AG94" s="442" t="str">
        <f>LEFT(SecondaryTransport[[#This Row],[Scenario_MRF_Bale_ID]],2)</f>
        <v>S3</v>
      </c>
      <c r="AH94" s="181" t="str">
        <f>LEFT(RIGHT(SecondaryTransport[[#This Row],[Scenario_MRF_Bale_ID]],10),2)</f>
        <v>02</v>
      </c>
      <c r="AI94" s="181" t="str">
        <f>INDEX(MRFs[MRF_Name],MATCH(SecondaryTransport[[#This Row],[MRF_ID]],MRFs[MRF_ID],0))</f>
        <v>1 MRF for SS (Salem)</v>
      </c>
      <c r="AJ94" s="181" t="str">
        <f>RIGHT(SecondaryTransport[[#This Row],[Scenario_MRF_Bale_ID]],7)</f>
        <v>2000-17</v>
      </c>
      <c r="AK94" s="181" t="str">
        <f>INDEX(Bales[Bale_Name],MATCH(SecondaryTransport[[#This Row],[Bale_ID]],Bales[Bale_ID],0))</f>
        <v>Densified MRF Grade Foam PS #6 (food service and packaging) </v>
      </c>
      <c r="AL94" s="443">
        <f>INDEX(BaleMover[Total_Baled_tons],MATCH(SecondaryTransport[[#This Row],[Scenario_MRF_Bale_ID]],BaleMover[Scenario_MRF_Bale_ID],0))</f>
        <v>0</v>
      </c>
      <c r="AM94" s="443">
        <f>IF(INDEX(BaleMover[Miles],MATCH(SecondaryTransport[[#This Row],[Scenario_MRF_Bale_ID]],BaleMover[Scenario_MRF_Bale_ID],0))="",0,INDEX(BaleMover[Miles],MATCH(SecondaryTransport[[#This Row],[Scenario_MRF_Bale_ID]],BaleMover[Scenario_MRF_Bale_ID],0)))</f>
        <v>0</v>
      </c>
      <c r="AN94" s="251">
        <f>IF(SecondaryTransport[[#This Row],[Bale_ID]]="9000-01","costs elsewhere",SecondaryTransport[[#This Row],[Total_Baled_tons]]*SecondaryTransport[[#This Row],[Miles]])</f>
        <v>0</v>
      </c>
      <c r="AO94" s="352" t="str">
        <f>IF(LEFT(SecondaryTransport[[#This Row],[Bale_ID]],1)*1=5,IF(OR(SecondaryTransport[[#This Row],[MRF_ID]]="02",SecondaryTransport[[#This Row],[MRF_ID]]="08"),2,1),"")</f>
        <v/>
      </c>
      <c r="AP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4" s="224" t="str">
        <f>IFERROR(IF(1*LEFT(SecondaryTransport[[#This Row],[Bale_ID]],1)=5,SecondaryTransport[[#This Row],[Ton-Miles]]*SecondaryTransport[[#This Row],[Cost_Per_Ton-Mile]],""),"")</f>
        <v/>
      </c>
      <c r="AS94" s="224" t="str">
        <f>IFERROR(IF(SecondaryTransport[[#This Row],[Container_Transfer]]="",(SecondaryTransport[[#This Row],[Ton-Miles]]*SecondaryTransport[[#This Row],[Cost_Per_Ton-Mile]]),""),"")</f>
        <v/>
      </c>
    </row>
    <row r="95" spans="2:45" ht="15" x14ac:dyDescent="0.25">
      <c r="B95"/>
      <c r="C95"/>
      <c r="D95"/>
      <c r="E95"/>
      <c r="F95"/>
      <c r="G95"/>
      <c r="H95"/>
      <c r="L95" s="446" t="s">
        <v>875</v>
      </c>
      <c r="M95" s="446">
        <v>1</v>
      </c>
      <c r="N95" s="446">
        <v>1</v>
      </c>
      <c r="O95" s="446" t="s">
        <v>746</v>
      </c>
      <c r="P95" s="449" t="s">
        <v>719</v>
      </c>
      <c r="Q95" s="449"/>
      <c r="R95" s="449"/>
      <c r="S95" s="449" t="s">
        <v>762</v>
      </c>
      <c r="T95" s="449" t="s">
        <v>1055</v>
      </c>
      <c r="U95" s="452">
        <v>0</v>
      </c>
      <c r="V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 s="272" t="str">
        <f>IFERROR(SUMIFS(TransUnitCost[Miles],TransUnitCost[Grouping_ID],TransTonsShort[[#This Row],[Grouping_ID]],TransUnitCost[Transp_ID],TransTonsShort[[#This Row],[Transp_ID]])*TransTonsShort[[#This Row],[Trans_Tons_All]]/TransTonsShort[[#This Row],[Trans_Tons_All]],"")</f>
        <v/>
      </c>
      <c r="X95" s="386" t="str">
        <f>TransTonsShort[[#This Row],[Grouping_ID]]&amp;"-"&amp;TransTonsShort[[#This Row],[Sector_ID]]</f>
        <v>1-1</v>
      </c>
      <c r="Y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5" s="421">
        <f>INDEX(LandfillFees[Disposal Tip Fee 2025],MATCH(TransTonsShort[[#This Row],[Grouping_ID]],LandfillFees[Grouping_ID],0))</f>
        <v>134.68</v>
      </c>
      <c r="AA95" s="102">
        <f>IF(OR(TransTonsShort[[#This Row],[CollectionStream_ID]]="03",TransTonsShort[[#This Row],[CollectionStream_ID]]="04",TransTonsShort[[#This Row],[CollectionStream_ID]]="13"),0,TransTonsShort[[#This Row],[Trans_Tons_All]]*TransTonsShort[[#This Row],[Disposal_Fee]])</f>
        <v>0</v>
      </c>
      <c r="AF95" s="446" t="s">
        <v>1268</v>
      </c>
      <c r="AG95" s="442" t="str">
        <f>LEFT(SecondaryTransport[[#This Row],[Scenario_MRF_Bale_ID]],2)</f>
        <v>S0</v>
      </c>
      <c r="AH95" s="181" t="str">
        <f>LEFT(RIGHT(SecondaryTransport[[#This Row],[Scenario_MRF_Bale_ID]],10),2)</f>
        <v>02</v>
      </c>
      <c r="AI95" s="181" t="str">
        <f>INDEX(MRFs[MRF_Name],MATCH(SecondaryTransport[[#This Row],[MRF_ID]],MRFs[MRF_ID],0))</f>
        <v>1 MRF for SS (Salem)</v>
      </c>
      <c r="AJ95" s="181" t="str">
        <f>RIGHT(SecondaryTransport[[#This Row],[Scenario_MRF_Bale_ID]],7)</f>
        <v>2000-18</v>
      </c>
      <c r="AK95" s="181" t="str">
        <f>INDEX(Bales[Bale_Name],MATCH(SecondaryTransport[[#This Row],[Bale_ID]],Bales[Bale_ID],0))</f>
        <v>#3-7 bottles and small rigid plastics </v>
      </c>
      <c r="AL95" s="443">
        <f>INDEX(BaleMover[Total_Baled_tons],MATCH(SecondaryTransport[[#This Row],[Scenario_MRF_Bale_ID]],BaleMover[Scenario_MRF_Bale_ID],0))</f>
        <v>1252.6977404419315</v>
      </c>
      <c r="AM95" s="443">
        <f>IF(INDEX(BaleMover[Miles],MATCH(SecondaryTransport[[#This Row],[Scenario_MRF_Bale_ID]],BaleMover[Scenario_MRF_Bale_ID],0))="",0,INDEX(BaleMover[Miles],MATCH(SecondaryTransport[[#This Row],[Scenario_MRF_Bale_ID]],BaleMover[Scenario_MRF_Bale_ID],0)))</f>
        <v>355</v>
      </c>
      <c r="AN95" s="251">
        <f>IF(SecondaryTransport[[#This Row],[Bale_ID]]="9000-01","costs elsewhere",SecondaryTransport[[#This Row],[Total_Baled_tons]]*SecondaryTransport[[#This Row],[Miles]])</f>
        <v>444707.69785688567</v>
      </c>
      <c r="AO95" s="352" t="str">
        <f>IF(LEFT(SecondaryTransport[[#This Row],[Bale_ID]],1)*1=5,IF(OR(SecondaryTransport[[#This Row],[MRF_ID]]="02",SecondaryTransport[[#This Row],[MRF_ID]]="08"),2,1),"")</f>
        <v/>
      </c>
      <c r="AP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9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95" s="224" t="str">
        <f>IFERROR(IF(1*LEFT(SecondaryTransport[[#This Row],[Bale_ID]],1)=5,SecondaryTransport[[#This Row],[Ton-Miles]]*SecondaryTransport[[#This Row],[Cost_Per_Ton-Mile]],""),"")</f>
        <v/>
      </c>
      <c r="AS95" s="224">
        <f>IFERROR(IF(SecondaryTransport[[#This Row],[Container_Transfer]]="",(SecondaryTransport[[#This Row],[Ton-Miles]]*SecondaryTransport[[#This Row],[Cost_Per_Ton-Mile]]),""),"")</f>
        <v>62259.077699964</v>
      </c>
    </row>
    <row r="96" spans="2:45" ht="15" x14ac:dyDescent="0.25">
      <c r="B96"/>
      <c r="C96"/>
      <c r="D96"/>
      <c r="E96"/>
      <c r="F96"/>
      <c r="G96"/>
      <c r="H96"/>
      <c r="L96" s="446" t="s">
        <v>875</v>
      </c>
      <c r="M96" s="446">
        <v>2</v>
      </c>
      <c r="N96" s="446">
        <v>1</v>
      </c>
      <c r="O96" s="446" t="s">
        <v>746</v>
      </c>
      <c r="P96" s="449" t="s">
        <v>719</v>
      </c>
      <c r="Q96" s="449"/>
      <c r="R96" s="449"/>
      <c r="S96" s="449" t="s">
        <v>762</v>
      </c>
      <c r="T96" s="449" t="s">
        <v>1055</v>
      </c>
      <c r="U96" s="452">
        <v>0</v>
      </c>
      <c r="V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 s="272" t="str">
        <f>IFERROR(SUMIFS(TransUnitCost[Miles],TransUnitCost[Grouping_ID],TransTonsShort[[#This Row],[Grouping_ID]],TransUnitCost[Transp_ID],TransTonsShort[[#This Row],[Transp_ID]])*TransTonsShort[[#This Row],[Trans_Tons_All]]/TransTonsShort[[#This Row],[Trans_Tons_All]],"")</f>
        <v/>
      </c>
      <c r="X96" s="386" t="str">
        <f>TransTonsShort[[#This Row],[Grouping_ID]]&amp;"-"&amp;TransTonsShort[[#This Row],[Sector_ID]]</f>
        <v>2-1</v>
      </c>
      <c r="Y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6" s="421">
        <f>INDEX(LandfillFees[Disposal Tip Fee 2025],MATCH(TransTonsShort[[#This Row],[Grouping_ID]],LandfillFees[Grouping_ID],0))</f>
        <v>72.030938699729589</v>
      </c>
      <c r="AA96" s="102">
        <f>IF(OR(TransTonsShort[[#This Row],[CollectionStream_ID]]="03",TransTonsShort[[#This Row],[CollectionStream_ID]]="04",TransTonsShort[[#This Row],[CollectionStream_ID]]="13"),0,TransTonsShort[[#This Row],[Trans_Tons_All]]*TransTonsShort[[#This Row],[Disposal_Fee]])</f>
        <v>0</v>
      </c>
      <c r="AF96" s="446" t="s">
        <v>1269</v>
      </c>
      <c r="AG96" s="442" t="str">
        <f>LEFT(SecondaryTransport[[#This Row],[Scenario_MRF_Bale_ID]],2)</f>
        <v>S1</v>
      </c>
      <c r="AH96" s="181" t="str">
        <f>LEFT(RIGHT(SecondaryTransport[[#This Row],[Scenario_MRF_Bale_ID]],10),2)</f>
        <v>02</v>
      </c>
      <c r="AI96" s="181" t="str">
        <f>INDEX(MRFs[MRF_Name],MATCH(SecondaryTransport[[#This Row],[MRF_ID]],MRFs[MRF_ID],0))</f>
        <v>1 MRF for SS (Salem)</v>
      </c>
      <c r="AJ96" s="181" t="str">
        <f>RIGHT(SecondaryTransport[[#This Row],[Scenario_MRF_Bale_ID]],7)</f>
        <v>2000-18</v>
      </c>
      <c r="AK96" s="181" t="str">
        <f>INDEX(Bales[Bale_Name],MATCH(SecondaryTransport[[#This Row],[Bale_ID]],Bales[Bale_ID],0))</f>
        <v>#3-7 bottles and small rigid plastics </v>
      </c>
      <c r="AL96" s="443">
        <f>INDEX(BaleMover[Total_Baled_tons],MATCH(SecondaryTransport[[#This Row],[Scenario_MRF_Bale_ID]],BaleMover[Scenario_MRF_Bale_ID],0))</f>
        <v>725.64563555291909</v>
      </c>
      <c r="AM96" s="443">
        <f>IF(INDEX(BaleMover[Miles],MATCH(SecondaryTransport[[#This Row],[Scenario_MRF_Bale_ID]],BaleMover[Scenario_MRF_Bale_ID],0))="",0,INDEX(BaleMover[Miles],MATCH(SecondaryTransport[[#This Row],[Scenario_MRF_Bale_ID]],BaleMover[Scenario_MRF_Bale_ID],0)))</f>
        <v>355</v>
      </c>
      <c r="AN96" s="251">
        <f>IF(SecondaryTransport[[#This Row],[Bale_ID]]="9000-01","costs elsewhere",SecondaryTransport[[#This Row],[Total_Baled_tons]]*SecondaryTransport[[#This Row],[Miles]])</f>
        <v>257604.20062128629</v>
      </c>
      <c r="AO96" s="352" t="str">
        <f>IF(LEFT(SecondaryTransport[[#This Row],[Bale_ID]],1)*1=5,IF(OR(SecondaryTransport[[#This Row],[MRF_ID]]="02",SecondaryTransport[[#This Row],[MRF_ID]]="08"),2,1),"")</f>
        <v/>
      </c>
      <c r="AP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9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96" s="224" t="str">
        <f>IFERROR(IF(1*LEFT(SecondaryTransport[[#This Row],[Bale_ID]],1)=5,SecondaryTransport[[#This Row],[Ton-Miles]]*SecondaryTransport[[#This Row],[Cost_Per_Ton-Mile]],""),"")</f>
        <v/>
      </c>
      <c r="AS96" s="224">
        <f>IFERROR(IF(SecondaryTransport[[#This Row],[Container_Transfer]]="",(SecondaryTransport[[#This Row],[Ton-Miles]]*SecondaryTransport[[#This Row],[Cost_Per_Ton-Mile]]),""),"")</f>
        <v>36064.588086980082</v>
      </c>
    </row>
    <row r="97" spans="2:45" ht="15" x14ac:dyDescent="0.25">
      <c r="B97"/>
      <c r="C97"/>
      <c r="D97"/>
      <c r="E97"/>
      <c r="F97"/>
      <c r="G97"/>
      <c r="H97"/>
      <c r="L97" s="446" t="s">
        <v>875</v>
      </c>
      <c r="M97" s="446">
        <v>3</v>
      </c>
      <c r="N97" s="446">
        <v>1</v>
      </c>
      <c r="O97" s="446" t="s">
        <v>746</v>
      </c>
      <c r="P97" s="449" t="s">
        <v>719</v>
      </c>
      <c r="Q97" s="449"/>
      <c r="R97" s="449"/>
      <c r="S97" s="449" t="s">
        <v>762</v>
      </c>
      <c r="T97" s="449" t="s">
        <v>1055</v>
      </c>
      <c r="U97" s="452">
        <v>0</v>
      </c>
      <c r="V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 s="272" t="str">
        <f>IFERROR(SUMIFS(TransUnitCost[Miles],TransUnitCost[Grouping_ID],TransTonsShort[[#This Row],[Grouping_ID]],TransUnitCost[Transp_ID],TransTonsShort[[#This Row],[Transp_ID]])*TransTonsShort[[#This Row],[Trans_Tons_All]]/TransTonsShort[[#This Row],[Trans_Tons_All]],"")</f>
        <v/>
      </c>
      <c r="X97" s="386" t="str">
        <f>TransTonsShort[[#This Row],[Grouping_ID]]&amp;"-"&amp;TransTonsShort[[#This Row],[Sector_ID]]</f>
        <v>3-1</v>
      </c>
      <c r="Y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 s="421">
        <f>INDEX(LandfillFees[Disposal Tip Fee 2025],MATCH(TransTonsShort[[#This Row],[Grouping_ID]],LandfillFees[Grouping_ID],0))</f>
        <v>72.030938699729589</v>
      </c>
      <c r="AA97" s="102">
        <f>IF(OR(TransTonsShort[[#This Row],[CollectionStream_ID]]="03",TransTonsShort[[#This Row],[CollectionStream_ID]]="04",TransTonsShort[[#This Row],[CollectionStream_ID]]="13"),0,TransTonsShort[[#This Row],[Trans_Tons_All]]*TransTonsShort[[#This Row],[Disposal_Fee]])</f>
        <v>0</v>
      </c>
      <c r="AF97" s="446" t="s">
        <v>1270</v>
      </c>
      <c r="AG97" s="442" t="str">
        <f>LEFT(SecondaryTransport[[#This Row],[Scenario_MRF_Bale_ID]],2)</f>
        <v>S2</v>
      </c>
      <c r="AH97" s="181" t="str">
        <f>LEFT(RIGHT(SecondaryTransport[[#This Row],[Scenario_MRF_Bale_ID]],10),2)</f>
        <v>02</v>
      </c>
      <c r="AI97" s="181" t="str">
        <f>INDEX(MRFs[MRF_Name],MATCH(SecondaryTransport[[#This Row],[MRF_ID]],MRFs[MRF_ID],0))</f>
        <v>1 MRF for SS (Salem)</v>
      </c>
      <c r="AJ97" s="181" t="str">
        <f>RIGHT(SecondaryTransport[[#This Row],[Scenario_MRF_Bale_ID]],7)</f>
        <v>2000-18</v>
      </c>
      <c r="AK97" s="181" t="str">
        <f>INDEX(Bales[Bale_Name],MATCH(SecondaryTransport[[#This Row],[Bale_ID]],Bales[Bale_ID],0))</f>
        <v>#3-7 bottles and small rigid plastics </v>
      </c>
      <c r="AL97" s="443">
        <f>INDEX(BaleMover[Total_Baled_tons],MATCH(SecondaryTransport[[#This Row],[Scenario_MRF_Bale_ID]],BaleMover[Scenario_MRF_Bale_ID],0))</f>
        <v>0</v>
      </c>
      <c r="AM97" s="443">
        <f>IF(INDEX(BaleMover[Miles],MATCH(SecondaryTransport[[#This Row],[Scenario_MRF_Bale_ID]],BaleMover[Scenario_MRF_Bale_ID],0))="",0,INDEX(BaleMover[Miles],MATCH(SecondaryTransport[[#This Row],[Scenario_MRF_Bale_ID]],BaleMover[Scenario_MRF_Bale_ID],0)))</f>
        <v>0</v>
      </c>
      <c r="AN97" s="251">
        <f>IF(SecondaryTransport[[#This Row],[Bale_ID]]="9000-01","costs elsewhere",SecondaryTransport[[#This Row],[Total_Baled_tons]]*SecondaryTransport[[#This Row],[Miles]])</f>
        <v>0</v>
      </c>
      <c r="AO97" s="352" t="str">
        <f>IF(LEFT(SecondaryTransport[[#This Row],[Bale_ID]],1)*1=5,IF(OR(SecondaryTransport[[#This Row],[MRF_ID]]="02",SecondaryTransport[[#This Row],[MRF_ID]]="08"),2,1),"")</f>
        <v/>
      </c>
      <c r="AP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7" s="224" t="str">
        <f>IFERROR(IF(1*LEFT(SecondaryTransport[[#This Row],[Bale_ID]],1)=5,SecondaryTransport[[#This Row],[Ton-Miles]]*SecondaryTransport[[#This Row],[Cost_Per_Ton-Mile]],""),"")</f>
        <v/>
      </c>
      <c r="AS97" s="224" t="str">
        <f>IFERROR(IF(SecondaryTransport[[#This Row],[Container_Transfer]]="",(SecondaryTransport[[#This Row],[Ton-Miles]]*SecondaryTransport[[#This Row],[Cost_Per_Ton-Mile]]),""),"")</f>
        <v/>
      </c>
    </row>
    <row r="98" spans="2:45" ht="15" x14ac:dyDescent="0.25">
      <c r="B98"/>
      <c r="C98"/>
      <c r="D98"/>
      <c r="E98"/>
      <c r="F98"/>
      <c r="G98"/>
      <c r="H98"/>
      <c r="L98" s="446" t="s">
        <v>875</v>
      </c>
      <c r="M98" s="446">
        <v>4</v>
      </c>
      <c r="N98" s="446">
        <v>1</v>
      </c>
      <c r="O98" s="446" t="s">
        <v>746</v>
      </c>
      <c r="P98" s="449" t="s">
        <v>719</v>
      </c>
      <c r="Q98" s="449"/>
      <c r="R98" s="449"/>
      <c r="S98" s="449" t="s">
        <v>762</v>
      </c>
      <c r="T98" s="449" t="s">
        <v>1055</v>
      </c>
      <c r="U98" s="452">
        <v>0</v>
      </c>
      <c r="V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 s="272" t="str">
        <f>IFERROR(SUMIFS(TransUnitCost[Miles],TransUnitCost[Grouping_ID],TransTonsShort[[#This Row],[Grouping_ID]],TransUnitCost[Transp_ID],TransTonsShort[[#This Row],[Transp_ID]])*TransTonsShort[[#This Row],[Trans_Tons_All]]/TransTonsShort[[#This Row],[Trans_Tons_All]],"")</f>
        <v/>
      </c>
      <c r="X98" s="386" t="str">
        <f>TransTonsShort[[#This Row],[Grouping_ID]]&amp;"-"&amp;TransTonsShort[[#This Row],[Sector_ID]]</f>
        <v>4-1</v>
      </c>
      <c r="Y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 s="421">
        <f>INDEX(LandfillFees[Disposal Tip Fee 2025],MATCH(TransTonsShort[[#This Row],[Grouping_ID]],LandfillFees[Grouping_ID],0))</f>
        <v>72.030938699729589</v>
      </c>
      <c r="AA98" s="102">
        <f>IF(OR(TransTonsShort[[#This Row],[CollectionStream_ID]]="03",TransTonsShort[[#This Row],[CollectionStream_ID]]="04",TransTonsShort[[#This Row],[CollectionStream_ID]]="13"),0,TransTonsShort[[#This Row],[Trans_Tons_All]]*TransTonsShort[[#This Row],[Disposal_Fee]])</f>
        <v>0</v>
      </c>
      <c r="AF98" s="446" t="s">
        <v>1271</v>
      </c>
      <c r="AG98" s="442" t="str">
        <f>LEFT(SecondaryTransport[[#This Row],[Scenario_MRF_Bale_ID]],2)</f>
        <v>S3</v>
      </c>
      <c r="AH98" s="181" t="str">
        <f>LEFT(RIGHT(SecondaryTransport[[#This Row],[Scenario_MRF_Bale_ID]],10),2)</f>
        <v>02</v>
      </c>
      <c r="AI98" s="181" t="str">
        <f>INDEX(MRFs[MRF_Name],MATCH(SecondaryTransport[[#This Row],[MRF_ID]],MRFs[MRF_ID],0))</f>
        <v>1 MRF for SS (Salem)</v>
      </c>
      <c r="AJ98" s="181" t="str">
        <f>RIGHT(SecondaryTransport[[#This Row],[Scenario_MRF_Bale_ID]],7)</f>
        <v>2000-18</v>
      </c>
      <c r="AK98" s="181" t="str">
        <f>INDEX(Bales[Bale_Name],MATCH(SecondaryTransport[[#This Row],[Bale_ID]],Bales[Bale_ID],0))</f>
        <v>#3-7 bottles and small rigid plastics </v>
      </c>
      <c r="AL98" s="443">
        <f>INDEX(BaleMover[Total_Baled_tons],MATCH(SecondaryTransport[[#This Row],[Scenario_MRF_Bale_ID]],BaleMover[Scenario_MRF_Bale_ID],0))</f>
        <v>0</v>
      </c>
      <c r="AM98" s="443">
        <f>IF(INDEX(BaleMover[Miles],MATCH(SecondaryTransport[[#This Row],[Scenario_MRF_Bale_ID]],BaleMover[Scenario_MRF_Bale_ID],0))="",0,INDEX(BaleMover[Miles],MATCH(SecondaryTransport[[#This Row],[Scenario_MRF_Bale_ID]],BaleMover[Scenario_MRF_Bale_ID],0)))</f>
        <v>0</v>
      </c>
      <c r="AN98" s="251">
        <f>IF(SecondaryTransport[[#This Row],[Bale_ID]]="9000-01","costs elsewhere",SecondaryTransport[[#This Row],[Total_Baled_tons]]*SecondaryTransport[[#This Row],[Miles]])</f>
        <v>0</v>
      </c>
      <c r="AO98" s="352" t="str">
        <f>IF(LEFT(SecondaryTransport[[#This Row],[Bale_ID]],1)*1=5,IF(OR(SecondaryTransport[[#This Row],[MRF_ID]]="02",SecondaryTransport[[#This Row],[MRF_ID]]="08"),2,1),"")</f>
        <v/>
      </c>
      <c r="AP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8" s="224" t="str">
        <f>IFERROR(IF(1*LEFT(SecondaryTransport[[#This Row],[Bale_ID]],1)=5,SecondaryTransport[[#This Row],[Ton-Miles]]*SecondaryTransport[[#This Row],[Cost_Per_Ton-Mile]],""),"")</f>
        <v/>
      </c>
      <c r="AS98" s="224" t="str">
        <f>IFERROR(IF(SecondaryTransport[[#This Row],[Container_Transfer]]="",(SecondaryTransport[[#This Row],[Ton-Miles]]*SecondaryTransport[[#This Row],[Cost_Per_Ton-Mile]]),""),"")</f>
        <v/>
      </c>
    </row>
    <row r="99" spans="2:45" ht="15" x14ac:dyDescent="0.25">
      <c r="B99"/>
      <c r="C99"/>
      <c r="D99"/>
      <c r="E99"/>
      <c r="F99"/>
      <c r="G99"/>
      <c r="H99"/>
      <c r="L99" s="446" t="s">
        <v>875</v>
      </c>
      <c r="M99" s="446">
        <v>1</v>
      </c>
      <c r="N99" s="446">
        <v>1</v>
      </c>
      <c r="O99" s="446" t="s">
        <v>746</v>
      </c>
      <c r="P99" s="449" t="s">
        <v>700</v>
      </c>
      <c r="Q99" s="449"/>
      <c r="R99" s="449"/>
      <c r="S99" s="449" t="s">
        <v>762</v>
      </c>
      <c r="T99" s="449" t="s">
        <v>701</v>
      </c>
      <c r="U99" s="452">
        <v>0</v>
      </c>
      <c r="V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 s="272" t="str">
        <f>IFERROR(SUMIFS(TransUnitCost[Miles],TransUnitCost[Grouping_ID],TransTonsShort[[#This Row],[Grouping_ID]],TransUnitCost[Transp_ID],TransTonsShort[[#This Row],[Transp_ID]])*TransTonsShort[[#This Row],[Trans_Tons_All]]/TransTonsShort[[#This Row],[Trans_Tons_All]],"")</f>
        <v/>
      </c>
      <c r="X99" s="386" t="str">
        <f>TransTonsShort[[#This Row],[Grouping_ID]]&amp;"-"&amp;TransTonsShort[[#This Row],[Sector_ID]]</f>
        <v>1-1</v>
      </c>
      <c r="Y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 s="421">
        <f>INDEX(LandfillFees[Disposal Tip Fee 2025],MATCH(TransTonsShort[[#This Row],[Grouping_ID]],LandfillFees[Grouping_ID],0))</f>
        <v>134.68</v>
      </c>
      <c r="AA99" s="102">
        <f>IF(OR(TransTonsShort[[#This Row],[CollectionStream_ID]]="03",TransTonsShort[[#This Row],[CollectionStream_ID]]="04",TransTonsShort[[#This Row],[CollectionStream_ID]]="13"),0,TransTonsShort[[#This Row],[Trans_Tons_All]]*TransTonsShort[[#This Row],[Disposal_Fee]])</f>
        <v>0</v>
      </c>
      <c r="AF99" s="446" t="s">
        <v>1272</v>
      </c>
      <c r="AG99" s="442" t="str">
        <f>LEFT(SecondaryTransport[[#This Row],[Scenario_MRF_Bale_ID]],2)</f>
        <v>S0</v>
      </c>
      <c r="AH99" s="181" t="str">
        <f>LEFT(RIGHT(SecondaryTransport[[#This Row],[Scenario_MRF_Bale_ID]],10),2)</f>
        <v>02</v>
      </c>
      <c r="AI99" s="181" t="str">
        <f>INDEX(MRFs[MRF_Name],MATCH(SecondaryTransport[[#This Row],[MRF_ID]],MRFs[MRF_ID],0))</f>
        <v>1 MRF for SS (Salem)</v>
      </c>
      <c r="AJ99" s="181" t="str">
        <f>RIGHT(SecondaryTransport[[#This Row],[Scenario_MRF_Bale_ID]],7)</f>
        <v>3000-01</v>
      </c>
      <c r="AK99" s="181" t="str">
        <f>INDEX(Bales[Bale_Name],MATCH(SecondaryTransport[[#This Row],[Bale_ID]],Bales[Bale_ID],0))</f>
        <v>Container glass </v>
      </c>
      <c r="AL99" s="443">
        <f>INDEX(BaleMover[Total_Baled_tons],MATCH(SecondaryTransport[[#This Row],[Scenario_MRF_Bale_ID]],BaleMover[Scenario_MRF_Bale_ID],0))</f>
        <v>0</v>
      </c>
      <c r="AM99" s="443">
        <f>IF(INDEX(BaleMover[Miles],MATCH(SecondaryTransport[[#This Row],[Scenario_MRF_Bale_ID]],BaleMover[Scenario_MRF_Bale_ID],0))="",0,INDEX(BaleMover[Miles],MATCH(SecondaryTransport[[#This Row],[Scenario_MRF_Bale_ID]],BaleMover[Scenario_MRF_Bale_ID],0)))</f>
        <v>0</v>
      </c>
      <c r="AN99" s="251">
        <f>IF(SecondaryTransport[[#This Row],[Bale_ID]]="9000-01","costs elsewhere",SecondaryTransport[[#This Row],[Total_Baled_tons]]*SecondaryTransport[[#This Row],[Miles]])</f>
        <v>0</v>
      </c>
      <c r="AO99" s="352" t="str">
        <f>IF(LEFT(SecondaryTransport[[#This Row],[Bale_ID]],1)*1=5,IF(OR(SecondaryTransport[[#This Row],[MRF_ID]]="02",SecondaryTransport[[#This Row],[MRF_ID]]="08"),2,1),"")</f>
        <v/>
      </c>
      <c r="AP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9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99" s="224" t="str">
        <f>IFERROR(IF(1*LEFT(SecondaryTransport[[#This Row],[Bale_ID]],1)=5,SecondaryTransport[[#This Row],[Ton-Miles]]*SecondaryTransport[[#This Row],[Cost_Per_Ton-Mile]],""),"")</f>
        <v/>
      </c>
      <c r="AS99" s="224" t="str">
        <f>IFERROR(IF(SecondaryTransport[[#This Row],[Container_Transfer]]="",(SecondaryTransport[[#This Row],[Ton-Miles]]*SecondaryTransport[[#This Row],[Cost_Per_Ton-Mile]]),""),"")</f>
        <v/>
      </c>
    </row>
    <row r="100" spans="2:45" ht="15" x14ac:dyDescent="0.25">
      <c r="C100"/>
      <c r="D100"/>
      <c r="L100" s="446" t="s">
        <v>875</v>
      </c>
      <c r="M100" s="446">
        <v>2</v>
      </c>
      <c r="N100" s="446">
        <v>1</v>
      </c>
      <c r="O100" s="446" t="s">
        <v>746</v>
      </c>
      <c r="P100" s="449" t="s">
        <v>700</v>
      </c>
      <c r="Q100" s="449"/>
      <c r="R100" s="449"/>
      <c r="S100" s="449" t="s">
        <v>762</v>
      </c>
      <c r="T100" s="449" t="s">
        <v>701</v>
      </c>
      <c r="U100" s="452">
        <v>0</v>
      </c>
      <c r="V1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 s="272" t="str">
        <f>IFERROR(SUMIFS(TransUnitCost[Miles],TransUnitCost[Grouping_ID],TransTonsShort[[#This Row],[Grouping_ID]],TransUnitCost[Transp_ID],TransTonsShort[[#This Row],[Transp_ID]])*TransTonsShort[[#This Row],[Trans_Tons_All]]/TransTonsShort[[#This Row],[Trans_Tons_All]],"")</f>
        <v/>
      </c>
      <c r="X100" s="386" t="str">
        <f>TransTonsShort[[#This Row],[Grouping_ID]]&amp;"-"&amp;TransTonsShort[[#This Row],[Sector_ID]]</f>
        <v>2-1</v>
      </c>
      <c r="Y1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0" s="421">
        <f>INDEX(LandfillFees[Disposal Tip Fee 2025],MATCH(TransTonsShort[[#This Row],[Grouping_ID]],LandfillFees[Grouping_ID],0))</f>
        <v>72.030938699729589</v>
      </c>
      <c r="AA100" s="102">
        <f>IF(OR(TransTonsShort[[#This Row],[CollectionStream_ID]]="03",TransTonsShort[[#This Row],[CollectionStream_ID]]="04",TransTonsShort[[#This Row],[CollectionStream_ID]]="13"),0,TransTonsShort[[#This Row],[Trans_Tons_All]]*TransTonsShort[[#This Row],[Disposal_Fee]])</f>
        <v>0</v>
      </c>
      <c r="AF100" s="446" t="s">
        <v>1273</v>
      </c>
      <c r="AG100" s="442" t="str">
        <f>LEFT(SecondaryTransport[[#This Row],[Scenario_MRF_Bale_ID]],2)</f>
        <v>S1</v>
      </c>
      <c r="AH100" s="181" t="str">
        <f>LEFT(RIGHT(SecondaryTransport[[#This Row],[Scenario_MRF_Bale_ID]],10),2)</f>
        <v>02</v>
      </c>
      <c r="AI100" s="181" t="str">
        <f>INDEX(MRFs[MRF_Name],MATCH(SecondaryTransport[[#This Row],[MRF_ID]],MRFs[MRF_ID],0))</f>
        <v>1 MRF for SS (Salem)</v>
      </c>
      <c r="AJ100" s="181" t="str">
        <f>RIGHT(SecondaryTransport[[#This Row],[Scenario_MRF_Bale_ID]],7)</f>
        <v>3000-01</v>
      </c>
      <c r="AK100" s="181" t="str">
        <f>INDEX(Bales[Bale_Name],MATCH(SecondaryTransport[[#This Row],[Bale_ID]],Bales[Bale_ID],0))</f>
        <v>Container glass </v>
      </c>
      <c r="AL100" s="443">
        <f>INDEX(BaleMover[Total_Baled_tons],MATCH(SecondaryTransport[[#This Row],[Scenario_MRF_Bale_ID]],BaleMover[Scenario_MRF_Bale_ID],0))</f>
        <v>0</v>
      </c>
      <c r="AM100" s="443">
        <f>IF(INDEX(BaleMover[Miles],MATCH(SecondaryTransport[[#This Row],[Scenario_MRF_Bale_ID]],BaleMover[Scenario_MRF_Bale_ID],0))="",0,INDEX(BaleMover[Miles],MATCH(SecondaryTransport[[#This Row],[Scenario_MRF_Bale_ID]],BaleMover[Scenario_MRF_Bale_ID],0)))</f>
        <v>0</v>
      </c>
      <c r="AN100" s="251">
        <f>IF(SecondaryTransport[[#This Row],[Bale_ID]]="9000-01","costs elsewhere",SecondaryTransport[[#This Row],[Total_Baled_tons]]*SecondaryTransport[[#This Row],[Miles]])</f>
        <v>0</v>
      </c>
      <c r="AO100" s="352" t="str">
        <f>IF(LEFT(SecondaryTransport[[#This Row],[Bale_ID]],1)*1=5,IF(OR(SecondaryTransport[[#This Row],[MRF_ID]]="02",SecondaryTransport[[#This Row],[MRF_ID]]="08"),2,1),"")</f>
        <v/>
      </c>
      <c r="AP1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0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00" s="224" t="str">
        <f>IFERROR(IF(1*LEFT(SecondaryTransport[[#This Row],[Bale_ID]],1)=5,SecondaryTransport[[#This Row],[Ton-Miles]]*SecondaryTransport[[#This Row],[Cost_Per_Ton-Mile]],""),"")</f>
        <v/>
      </c>
      <c r="AS100" s="224" t="str">
        <f>IFERROR(IF(SecondaryTransport[[#This Row],[Container_Transfer]]="",(SecondaryTransport[[#This Row],[Ton-Miles]]*SecondaryTransport[[#This Row],[Cost_Per_Ton-Mile]]),""),"")</f>
        <v/>
      </c>
    </row>
    <row r="101" spans="2:45" ht="15" x14ac:dyDescent="0.25">
      <c r="C101"/>
      <c r="D101"/>
      <c r="L101" s="446" t="s">
        <v>875</v>
      </c>
      <c r="M101" s="446">
        <v>3</v>
      </c>
      <c r="N101" s="446">
        <v>1</v>
      </c>
      <c r="O101" s="446" t="s">
        <v>746</v>
      </c>
      <c r="P101" s="449" t="s">
        <v>700</v>
      </c>
      <c r="Q101" s="449"/>
      <c r="R101" s="449"/>
      <c r="S101" s="449" t="s">
        <v>762</v>
      </c>
      <c r="T101" s="449" t="s">
        <v>701</v>
      </c>
      <c r="U101" s="452">
        <v>0</v>
      </c>
      <c r="V1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 s="272" t="str">
        <f>IFERROR(SUMIFS(TransUnitCost[Miles],TransUnitCost[Grouping_ID],TransTonsShort[[#This Row],[Grouping_ID]],TransUnitCost[Transp_ID],TransTonsShort[[#This Row],[Transp_ID]])*TransTonsShort[[#This Row],[Trans_Tons_All]]/TransTonsShort[[#This Row],[Trans_Tons_All]],"")</f>
        <v/>
      </c>
      <c r="X101" s="386" t="str">
        <f>TransTonsShort[[#This Row],[Grouping_ID]]&amp;"-"&amp;TransTonsShort[[#This Row],[Sector_ID]]</f>
        <v>3-1</v>
      </c>
      <c r="Y1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1" s="421">
        <f>INDEX(LandfillFees[Disposal Tip Fee 2025],MATCH(TransTonsShort[[#This Row],[Grouping_ID]],LandfillFees[Grouping_ID],0))</f>
        <v>72.030938699729589</v>
      </c>
      <c r="AA101" s="102">
        <f>IF(OR(TransTonsShort[[#This Row],[CollectionStream_ID]]="03",TransTonsShort[[#This Row],[CollectionStream_ID]]="04",TransTonsShort[[#This Row],[CollectionStream_ID]]="13"),0,TransTonsShort[[#This Row],[Trans_Tons_All]]*TransTonsShort[[#This Row],[Disposal_Fee]])</f>
        <v>0</v>
      </c>
      <c r="AF101" s="446" t="s">
        <v>1274</v>
      </c>
      <c r="AG101" s="442" t="str">
        <f>LEFT(SecondaryTransport[[#This Row],[Scenario_MRF_Bale_ID]],2)</f>
        <v>S2</v>
      </c>
      <c r="AH101" s="181" t="str">
        <f>LEFT(RIGHT(SecondaryTransport[[#This Row],[Scenario_MRF_Bale_ID]],10),2)</f>
        <v>02</v>
      </c>
      <c r="AI101" s="181" t="str">
        <f>INDEX(MRFs[MRF_Name],MATCH(SecondaryTransport[[#This Row],[MRF_ID]],MRFs[MRF_ID],0))</f>
        <v>1 MRF for SS (Salem)</v>
      </c>
      <c r="AJ101" s="181" t="str">
        <f>RIGHT(SecondaryTransport[[#This Row],[Scenario_MRF_Bale_ID]],7)</f>
        <v>3000-01</v>
      </c>
      <c r="AK101" s="181" t="str">
        <f>INDEX(Bales[Bale_Name],MATCH(SecondaryTransport[[#This Row],[Bale_ID]],Bales[Bale_ID],0))</f>
        <v>Container glass </v>
      </c>
      <c r="AL101" s="443">
        <f>INDEX(BaleMover[Total_Baled_tons],MATCH(SecondaryTransport[[#This Row],[Scenario_MRF_Bale_ID]],BaleMover[Scenario_MRF_Bale_ID],0))</f>
        <v>0</v>
      </c>
      <c r="AM101" s="443">
        <f>IF(INDEX(BaleMover[Miles],MATCH(SecondaryTransport[[#This Row],[Scenario_MRF_Bale_ID]],BaleMover[Scenario_MRF_Bale_ID],0))="",0,INDEX(BaleMover[Miles],MATCH(SecondaryTransport[[#This Row],[Scenario_MRF_Bale_ID]],BaleMover[Scenario_MRF_Bale_ID],0)))</f>
        <v>0</v>
      </c>
      <c r="AN101" s="251">
        <f>IF(SecondaryTransport[[#This Row],[Bale_ID]]="9000-01","costs elsewhere",SecondaryTransport[[#This Row],[Total_Baled_tons]]*SecondaryTransport[[#This Row],[Miles]])</f>
        <v>0</v>
      </c>
      <c r="AO101" s="352" t="str">
        <f>IF(LEFT(SecondaryTransport[[#This Row],[Bale_ID]],1)*1=5,IF(OR(SecondaryTransport[[#This Row],[MRF_ID]]="02",SecondaryTransport[[#This Row],[MRF_ID]]="08"),2,1),"")</f>
        <v/>
      </c>
      <c r="AP1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0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01" s="224" t="str">
        <f>IFERROR(IF(1*LEFT(SecondaryTransport[[#This Row],[Bale_ID]],1)=5,SecondaryTransport[[#This Row],[Ton-Miles]]*SecondaryTransport[[#This Row],[Cost_Per_Ton-Mile]],""),"")</f>
        <v/>
      </c>
      <c r="AS101" s="224" t="str">
        <f>IFERROR(IF(SecondaryTransport[[#This Row],[Container_Transfer]]="",(SecondaryTransport[[#This Row],[Ton-Miles]]*SecondaryTransport[[#This Row],[Cost_Per_Ton-Mile]]),""),"")</f>
        <v/>
      </c>
    </row>
    <row r="102" spans="2:45" ht="15" x14ac:dyDescent="0.25">
      <c r="C102"/>
      <c r="D102"/>
      <c r="L102" s="446" t="s">
        <v>875</v>
      </c>
      <c r="M102" s="446">
        <v>4</v>
      </c>
      <c r="N102" s="446">
        <v>1</v>
      </c>
      <c r="O102" s="446" t="s">
        <v>746</v>
      </c>
      <c r="P102" s="449" t="s">
        <v>700</v>
      </c>
      <c r="Q102" s="449"/>
      <c r="R102" s="449"/>
      <c r="S102" s="449" t="s">
        <v>762</v>
      </c>
      <c r="T102" s="449" t="s">
        <v>701</v>
      </c>
      <c r="U102" s="452">
        <v>0</v>
      </c>
      <c r="V1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2" s="272" t="str">
        <f>IFERROR(SUMIFS(TransUnitCost[Miles],TransUnitCost[Grouping_ID],TransTonsShort[[#This Row],[Grouping_ID]],TransUnitCost[Transp_ID],TransTonsShort[[#This Row],[Transp_ID]])*TransTonsShort[[#This Row],[Trans_Tons_All]]/TransTonsShort[[#This Row],[Trans_Tons_All]],"")</f>
        <v/>
      </c>
      <c r="X102" s="386" t="str">
        <f>TransTonsShort[[#This Row],[Grouping_ID]]&amp;"-"&amp;TransTonsShort[[#This Row],[Sector_ID]]</f>
        <v>4-1</v>
      </c>
      <c r="Y1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2" s="421">
        <f>INDEX(LandfillFees[Disposal Tip Fee 2025],MATCH(TransTonsShort[[#This Row],[Grouping_ID]],LandfillFees[Grouping_ID],0))</f>
        <v>72.030938699729589</v>
      </c>
      <c r="AA102" s="102">
        <f>IF(OR(TransTonsShort[[#This Row],[CollectionStream_ID]]="03",TransTonsShort[[#This Row],[CollectionStream_ID]]="04",TransTonsShort[[#This Row],[CollectionStream_ID]]="13"),0,TransTonsShort[[#This Row],[Trans_Tons_All]]*TransTonsShort[[#This Row],[Disposal_Fee]])</f>
        <v>0</v>
      </c>
      <c r="AF102" s="446" t="s">
        <v>1275</v>
      </c>
      <c r="AG102" s="442" t="str">
        <f>LEFT(SecondaryTransport[[#This Row],[Scenario_MRF_Bale_ID]],2)</f>
        <v>S3</v>
      </c>
      <c r="AH102" s="181" t="str">
        <f>LEFT(RIGHT(SecondaryTransport[[#This Row],[Scenario_MRF_Bale_ID]],10),2)</f>
        <v>02</v>
      </c>
      <c r="AI102" s="181" t="str">
        <f>INDEX(MRFs[MRF_Name],MATCH(SecondaryTransport[[#This Row],[MRF_ID]],MRFs[MRF_ID],0))</f>
        <v>1 MRF for SS (Salem)</v>
      </c>
      <c r="AJ102" s="181" t="str">
        <f>RIGHT(SecondaryTransport[[#This Row],[Scenario_MRF_Bale_ID]],7)</f>
        <v>3000-01</v>
      </c>
      <c r="AK102" s="181" t="str">
        <f>INDEX(Bales[Bale_Name],MATCH(SecondaryTransport[[#This Row],[Bale_ID]],Bales[Bale_ID],0))</f>
        <v>Container glass </v>
      </c>
      <c r="AL102" s="443">
        <f>INDEX(BaleMover[Total_Baled_tons],MATCH(SecondaryTransport[[#This Row],[Scenario_MRF_Bale_ID]],BaleMover[Scenario_MRF_Bale_ID],0))</f>
        <v>0</v>
      </c>
      <c r="AM102" s="443">
        <f>IF(INDEX(BaleMover[Miles],MATCH(SecondaryTransport[[#This Row],[Scenario_MRF_Bale_ID]],BaleMover[Scenario_MRF_Bale_ID],0))="",0,INDEX(BaleMover[Miles],MATCH(SecondaryTransport[[#This Row],[Scenario_MRF_Bale_ID]],BaleMover[Scenario_MRF_Bale_ID],0)))</f>
        <v>0</v>
      </c>
      <c r="AN102" s="251">
        <f>IF(SecondaryTransport[[#This Row],[Bale_ID]]="9000-01","costs elsewhere",SecondaryTransport[[#This Row],[Total_Baled_tons]]*SecondaryTransport[[#This Row],[Miles]])</f>
        <v>0</v>
      </c>
      <c r="AO102" s="352" t="str">
        <f>IF(LEFT(SecondaryTransport[[#This Row],[Bale_ID]],1)*1=5,IF(OR(SecondaryTransport[[#This Row],[MRF_ID]]="02",SecondaryTransport[[#This Row],[MRF_ID]]="08"),2,1),"")</f>
        <v/>
      </c>
      <c r="AP1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02" s="224" t="str">
        <f>IFERROR(IF(1*LEFT(SecondaryTransport[[#This Row],[Bale_ID]],1)=5,SecondaryTransport[[#This Row],[Ton-Miles]]*SecondaryTransport[[#This Row],[Cost_Per_Ton-Mile]],""),"")</f>
        <v/>
      </c>
      <c r="AS102" s="224" t="str">
        <f>IFERROR(IF(SecondaryTransport[[#This Row],[Container_Transfer]]="",(SecondaryTransport[[#This Row],[Ton-Miles]]*SecondaryTransport[[#This Row],[Cost_Per_Ton-Mile]]),""),"")</f>
        <v/>
      </c>
    </row>
    <row r="103" spans="2:45" ht="15" x14ac:dyDescent="0.25">
      <c r="C103"/>
      <c r="D103"/>
      <c r="L103" s="446" t="s">
        <v>875</v>
      </c>
      <c r="M103" s="446">
        <v>1</v>
      </c>
      <c r="N103" s="446">
        <v>1</v>
      </c>
      <c r="O103" s="446" t="s">
        <v>746</v>
      </c>
      <c r="P103" s="449" t="s">
        <v>746</v>
      </c>
      <c r="Q103" s="449"/>
      <c r="R103" s="449"/>
      <c r="S103" s="449" t="s">
        <v>762</v>
      </c>
      <c r="T103" s="449" t="s">
        <v>848</v>
      </c>
      <c r="U103" s="452">
        <v>0</v>
      </c>
      <c r="V1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 s="272" t="str">
        <f>IFERROR(SUMIFS(TransUnitCost[Miles],TransUnitCost[Grouping_ID],TransTonsShort[[#This Row],[Grouping_ID]],TransUnitCost[Transp_ID],TransTonsShort[[#This Row],[Transp_ID]])*TransTonsShort[[#This Row],[Trans_Tons_All]]/TransTonsShort[[#This Row],[Trans_Tons_All]],"")</f>
        <v/>
      </c>
      <c r="X103" s="386" t="str">
        <f>TransTonsShort[[#This Row],[Grouping_ID]]&amp;"-"&amp;TransTonsShort[[#This Row],[Sector_ID]]</f>
        <v>1-1</v>
      </c>
      <c r="Y1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 s="421">
        <f>INDEX(LandfillFees[Disposal Tip Fee 2025],MATCH(TransTonsShort[[#This Row],[Grouping_ID]],LandfillFees[Grouping_ID],0))</f>
        <v>134.68</v>
      </c>
      <c r="AA103" s="102">
        <f>IF(OR(TransTonsShort[[#This Row],[CollectionStream_ID]]="03",TransTonsShort[[#This Row],[CollectionStream_ID]]="04",TransTonsShort[[#This Row],[CollectionStream_ID]]="13"),0,TransTonsShort[[#This Row],[Trans_Tons_All]]*TransTonsShort[[#This Row],[Disposal_Fee]])</f>
        <v>0</v>
      </c>
      <c r="AF103" s="446" t="s">
        <v>1276</v>
      </c>
      <c r="AG103" s="442" t="str">
        <f>LEFT(SecondaryTransport[[#This Row],[Scenario_MRF_Bale_ID]],2)</f>
        <v>S0</v>
      </c>
      <c r="AH103" s="181" t="str">
        <f>LEFT(RIGHT(SecondaryTransport[[#This Row],[Scenario_MRF_Bale_ID]],10),2)</f>
        <v>02</v>
      </c>
      <c r="AI103" s="181" t="str">
        <f>INDEX(MRFs[MRF_Name],MATCH(SecondaryTransport[[#This Row],[MRF_ID]],MRFs[MRF_ID],0))</f>
        <v>1 MRF for SS (Salem)</v>
      </c>
      <c r="AJ103" s="181" t="str">
        <f>RIGHT(SecondaryTransport[[#This Row],[Scenario_MRF_Bale_ID]],7)</f>
        <v>4000-01</v>
      </c>
      <c r="AK103" s="181" t="str">
        <f>INDEX(Bales[Bale_Name],MATCH(SecondaryTransport[[#This Row],[Bale_ID]],Bales[Bale_ID],0))</f>
        <v>Aluminum cans and foil</v>
      </c>
      <c r="AL103" s="443">
        <f>INDEX(BaleMover[Total_Baled_tons],MATCH(SecondaryTransport[[#This Row],[Scenario_MRF_Bale_ID]],BaleMover[Scenario_MRF_Bale_ID],0))</f>
        <v>241.87271373296713</v>
      </c>
      <c r="AM103" s="443">
        <f>IF(INDEX(BaleMover[Miles],MATCH(SecondaryTransport[[#This Row],[Scenario_MRF_Bale_ID]],BaleMover[Scenario_MRF_Bale_ID],0))="",0,INDEX(BaleMover[Miles],MATCH(SecondaryTransport[[#This Row],[Scenario_MRF_Bale_ID]],BaleMover[Scenario_MRF_Bale_ID],0)))</f>
        <v>915</v>
      </c>
      <c r="AN103" s="251">
        <f>IF(SecondaryTransport[[#This Row],[Bale_ID]]="9000-01","costs elsewhere",SecondaryTransport[[#This Row],[Total_Baled_tons]]*SecondaryTransport[[#This Row],[Miles]])</f>
        <v>221313.53306566493</v>
      </c>
      <c r="AO103" s="352" t="str">
        <f>IF(LEFT(SecondaryTransport[[#This Row],[Bale_ID]],1)*1=5,IF(OR(SecondaryTransport[[#This Row],[MRF_ID]]="02",SecondaryTransport[[#This Row],[MRF_ID]]="08"),2,1),"")</f>
        <v/>
      </c>
      <c r="AP1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0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03" s="224" t="str">
        <f>IFERROR(IF(1*LEFT(SecondaryTransport[[#This Row],[Bale_ID]],1)=5,SecondaryTransport[[#This Row],[Ton-Miles]]*SecondaryTransport[[#This Row],[Cost_Per_Ton-Mile]],""),"")</f>
        <v/>
      </c>
      <c r="AS103" s="224">
        <f>IFERROR(IF(SecondaryTransport[[#This Row],[Container_Transfer]]="",(SecondaryTransport[[#This Row],[Ton-Miles]]*SecondaryTransport[[#This Row],[Cost_Per_Ton-Mile]]),""),"")</f>
        <v>30983.894629193092</v>
      </c>
    </row>
    <row r="104" spans="2:45" ht="15" x14ac:dyDescent="0.25">
      <c r="C104"/>
      <c r="D104"/>
      <c r="L104" s="446" t="s">
        <v>875</v>
      </c>
      <c r="M104" s="446">
        <v>2</v>
      </c>
      <c r="N104" s="446">
        <v>1</v>
      </c>
      <c r="O104" s="446" t="s">
        <v>746</v>
      </c>
      <c r="P104" s="449" t="s">
        <v>746</v>
      </c>
      <c r="Q104" s="449"/>
      <c r="R104" s="449"/>
      <c r="S104" s="449" t="s">
        <v>762</v>
      </c>
      <c r="T104" s="449" t="s">
        <v>848</v>
      </c>
      <c r="U104" s="452">
        <v>0</v>
      </c>
      <c r="V1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 s="272" t="str">
        <f>IFERROR(SUMIFS(TransUnitCost[Miles],TransUnitCost[Grouping_ID],TransTonsShort[[#This Row],[Grouping_ID]],TransUnitCost[Transp_ID],TransTonsShort[[#This Row],[Transp_ID]])*TransTonsShort[[#This Row],[Trans_Tons_All]]/TransTonsShort[[#This Row],[Trans_Tons_All]],"")</f>
        <v/>
      </c>
      <c r="X104" s="386" t="str">
        <f>TransTonsShort[[#This Row],[Grouping_ID]]&amp;"-"&amp;TransTonsShort[[#This Row],[Sector_ID]]</f>
        <v>2-1</v>
      </c>
      <c r="Y1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 s="421">
        <f>INDEX(LandfillFees[Disposal Tip Fee 2025],MATCH(TransTonsShort[[#This Row],[Grouping_ID]],LandfillFees[Grouping_ID],0))</f>
        <v>72.030938699729589</v>
      </c>
      <c r="AA104" s="102">
        <f>IF(OR(TransTonsShort[[#This Row],[CollectionStream_ID]]="03",TransTonsShort[[#This Row],[CollectionStream_ID]]="04",TransTonsShort[[#This Row],[CollectionStream_ID]]="13"),0,TransTonsShort[[#This Row],[Trans_Tons_All]]*TransTonsShort[[#This Row],[Disposal_Fee]])</f>
        <v>0</v>
      </c>
      <c r="AF104" s="446" t="s">
        <v>1277</v>
      </c>
      <c r="AG104" s="442" t="str">
        <f>LEFT(SecondaryTransport[[#This Row],[Scenario_MRF_Bale_ID]],2)</f>
        <v>S1</v>
      </c>
      <c r="AH104" s="181" t="str">
        <f>LEFT(RIGHT(SecondaryTransport[[#This Row],[Scenario_MRF_Bale_ID]],10),2)</f>
        <v>02</v>
      </c>
      <c r="AI104" s="181" t="str">
        <f>INDEX(MRFs[MRF_Name],MATCH(SecondaryTransport[[#This Row],[MRF_ID]],MRFs[MRF_ID],0))</f>
        <v>1 MRF for SS (Salem)</v>
      </c>
      <c r="AJ104" s="181" t="str">
        <f>RIGHT(SecondaryTransport[[#This Row],[Scenario_MRF_Bale_ID]],7)</f>
        <v>4000-01</v>
      </c>
      <c r="AK104" s="181" t="str">
        <f>INDEX(Bales[Bale_Name],MATCH(SecondaryTransport[[#This Row],[Bale_ID]],Bales[Bale_ID],0))</f>
        <v>Aluminum cans and foil</v>
      </c>
      <c r="AL104" s="443">
        <f>INDEX(BaleMover[Total_Baled_tons],MATCH(SecondaryTransport[[#This Row],[Scenario_MRF_Bale_ID]],BaleMover[Scenario_MRF_Bale_ID],0))</f>
        <v>202.00252039743836</v>
      </c>
      <c r="AM104" s="443">
        <f>IF(INDEX(BaleMover[Miles],MATCH(SecondaryTransport[[#This Row],[Scenario_MRF_Bale_ID]],BaleMover[Scenario_MRF_Bale_ID],0))="",0,INDEX(BaleMover[Miles],MATCH(SecondaryTransport[[#This Row],[Scenario_MRF_Bale_ID]],BaleMover[Scenario_MRF_Bale_ID],0)))</f>
        <v>915</v>
      </c>
      <c r="AN104" s="251">
        <f>IF(SecondaryTransport[[#This Row],[Bale_ID]]="9000-01","costs elsewhere",SecondaryTransport[[#This Row],[Total_Baled_tons]]*SecondaryTransport[[#This Row],[Miles]])</f>
        <v>184832.30616365609</v>
      </c>
      <c r="AO104" s="352" t="str">
        <f>IF(LEFT(SecondaryTransport[[#This Row],[Bale_ID]],1)*1=5,IF(OR(SecondaryTransport[[#This Row],[MRF_ID]]="02",SecondaryTransport[[#This Row],[MRF_ID]]="08"),2,1),"")</f>
        <v/>
      </c>
      <c r="AP1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0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04" s="224" t="str">
        <f>IFERROR(IF(1*LEFT(SecondaryTransport[[#This Row],[Bale_ID]],1)=5,SecondaryTransport[[#This Row],[Ton-Miles]]*SecondaryTransport[[#This Row],[Cost_Per_Ton-Mile]],""),"")</f>
        <v/>
      </c>
      <c r="AS104" s="224">
        <f>IFERROR(IF(SecondaryTransport[[#This Row],[Container_Transfer]]="",(SecondaryTransport[[#This Row],[Ton-Miles]]*SecondaryTransport[[#This Row],[Cost_Per_Ton-Mile]]),""),"")</f>
        <v>25876.522862911854</v>
      </c>
    </row>
    <row r="105" spans="2:45" ht="15" x14ac:dyDescent="0.25">
      <c r="C105"/>
      <c r="D105"/>
      <c r="L105" s="446" t="s">
        <v>875</v>
      </c>
      <c r="M105" s="446">
        <v>3</v>
      </c>
      <c r="N105" s="446">
        <v>1</v>
      </c>
      <c r="O105" s="446" t="s">
        <v>746</v>
      </c>
      <c r="P105" s="449" t="s">
        <v>746</v>
      </c>
      <c r="Q105" s="449"/>
      <c r="R105" s="449"/>
      <c r="S105" s="449" t="s">
        <v>762</v>
      </c>
      <c r="T105" s="449" t="s">
        <v>848</v>
      </c>
      <c r="U105" s="452">
        <v>0</v>
      </c>
      <c r="V1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 s="272" t="str">
        <f>IFERROR(SUMIFS(TransUnitCost[Miles],TransUnitCost[Grouping_ID],TransTonsShort[[#This Row],[Grouping_ID]],TransUnitCost[Transp_ID],TransTonsShort[[#This Row],[Transp_ID]])*TransTonsShort[[#This Row],[Trans_Tons_All]]/TransTonsShort[[#This Row],[Trans_Tons_All]],"")</f>
        <v/>
      </c>
      <c r="X105" s="386" t="str">
        <f>TransTonsShort[[#This Row],[Grouping_ID]]&amp;"-"&amp;TransTonsShort[[#This Row],[Sector_ID]]</f>
        <v>3-1</v>
      </c>
      <c r="Y1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 s="421">
        <f>INDEX(LandfillFees[Disposal Tip Fee 2025],MATCH(TransTonsShort[[#This Row],[Grouping_ID]],LandfillFees[Grouping_ID],0))</f>
        <v>72.030938699729589</v>
      </c>
      <c r="AA105" s="102">
        <f>IF(OR(TransTonsShort[[#This Row],[CollectionStream_ID]]="03",TransTonsShort[[#This Row],[CollectionStream_ID]]="04",TransTonsShort[[#This Row],[CollectionStream_ID]]="13"),0,TransTonsShort[[#This Row],[Trans_Tons_All]]*TransTonsShort[[#This Row],[Disposal_Fee]])</f>
        <v>0</v>
      </c>
      <c r="AF105" s="446" t="s">
        <v>1278</v>
      </c>
      <c r="AG105" s="442" t="str">
        <f>LEFT(SecondaryTransport[[#This Row],[Scenario_MRF_Bale_ID]],2)</f>
        <v>S2</v>
      </c>
      <c r="AH105" s="181" t="str">
        <f>LEFT(RIGHT(SecondaryTransport[[#This Row],[Scenario_MRF_Bale_ID]],10),2)</f>
        <v>02</v>
      </c>
      <c r="AI105" s="181" t="str">
        <f>INDEX(MRFs[MRF_Name],MATCH(SecondaryTransport[[#This Row],[MRF_ID]],MRFs[MRF_ID],0))</f>
        <v>1 MRF for SS (Salem)</v>
      </c>
      <c r="AJ105" s="181" t="str">
        <f>RIGHT(SecondaryTransport[[#This Row],[Scenario_MRF_Bale_ID]],7)</f>
        <v>4000-01</v>
      </c>
      <c r="AK105" s="181" t="str">
        <f>INDEX(Bales[Bale_Name],MATCH(SecondaryTransport[[#This Row],[Bale_ID]],Bales[Bale_ID],0))</f>
        <v>Aluminum cans and foil</v>
      </c>
      <c r="AL105" s="443">
        <f>INDEX(BaleMover[Total_Baled_tons],MATCH(SecondaryTransport[[#This Row],[Scenario_MRF_Bale_ID]],BaleMover[Scenario_MRF_Bale_ID],0))</f>
        <v>256.09984797278958</v>
      </c>
      <c r="AM105" s="443">
        <f>IF(INDEX(BaleMover[Miles],MATCH(SecondaryTransport[[#This Row],[Scenario_MRF_Bale_ID]],BaleMover[Scenario_MRF_Bale_ID],0))="",0,INDEX(BaleMover[Miles],MATCH(SecondaryTransport[[#This Row],[Scenario_MRF_Bale_ID]],BaleMover[Scenario_MRF_Bale_ID],0)))</f>
        <v>915</v>
      </c>
      <c r="AN105" s="251">
        <f>IF(SecondaryTransport[[#This Row],[Bale_ID]]="9000-01","costs elsewhere",SecondaryTransport[[#This Row],[Total_Baled_tons]]*SecondaryTransport[[#This Row],[Miles]])</f>
        <v>234331.36089510247</v>
      </c>
      <c r="AO105" s="352" t="str">
        <f>IF(LEFT(SecondaryTransport[[#This Row],[Bale_ID]],1)*1=5,IF(OR(SecondaryTransport[[#This Row],[MRF_ID]]="02",SecondaryTransport[[#This Row],[MRF_ID]]="08"),2,1),"")</f>
        <v/>
      </c>
      <c r="AP1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0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05" s="224" t="str">
        <f>IFERROR(IF(1*LEFT(SecondaryTransport[[#This Row],[Bale_ID]],1)=5,SecondaryTransport[[#This Row],[Ton-Miles]]*SecondaryTransport[[#This Row],[Cost_Per_Ton-Mile]],""),"")</f>
        <v/>
      </c>
      <c r="AS105" s="224">
        <f>IFERROR(IF(SecondaryTransport[[#This Row],[Container_Transfer]]="",(SecondaryTransport[[#This Row],[Ton-Miles]]*SecondaryTransport[[#This Row],[Cost_Per_Ton-Mile]]),""),"")</f>
        <v>32806.390525314346</v>
      </c>
    </row>
    <row r="106" spans="2:45" ht="15" x14ac:dyDescent="0.25">
      <c r="C106"/>
      <c r="D106"/>
      <c r="L106" s="446" t="s">
        <v>875</v>
      </c>
      <c r="M106" s="446">
        <v>4</v>
      </c>
      <c r="N106" s="446">
        <v>1</v>
      </c>
      <c r="O106" s="446" t="s">
        <v>746</v>
      </c>
      <c r="P106" s="449" t="s">
        <v>746</v>
      </c>
      <c r="Q106" s="449"/>
      <c r="R106" s="449"/>
      <c r="S106" s="449" t="s">
        <v>762</v>
      </c>
      <c r="T106" s="449" t="s">
        <v>848</v>
      </c>
      <c r="U106" s="452">
        <v>0</v>
      </c>
      <c r="V1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 s="272" t="str">
        <f>IFERROR(SUMIFS(TransUnitCost[Miles],TransUnitCost[Grouping_ID],TransTonsShort[[#This Row],[Grouping_ID]],TransUnitCost[Transp_ID],TransTonsShort[[#This Row],[Transp_ID]])*TransTonsShort[[#This Row],[Trans_Tons_All]]/TransTonsShort[[#This Row],[Trans_Tons_All]],"")</f>
        <v/>
      </c>
      <c r="X106" s="386" t="str">
        <f>TransTonsShort[[#This Row],[Grouping_ID]]&amp;"-"&amp;TransTonsShort[[#This Row],[Sector_ID]]</f>
        <v>4-1</v>
      </c>
      <c r="Y1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 s="421">
        <f>INDEX(LandfillFees[Disposal Tip Fee 2025],MATCH(TransTonsShort[[#This Row],[Grouping_ID]],LandfillFees[Grouping_ID],0))</f>
        <v>72.030938699729589</v>
      </c>
      <c r="AA106" s="102">
        <f>IF(OR(TransTonsShort[[#This Row],[CollectionStream_ID]]="03",TransTonsShort[[#This Row],[CollectionStream_ID]]="04",TransTonsShort[[#This Row],[CollectionStream_ID]]="13"),0,TransTonsShort[[#This Row],[Trans_Tons_All]]*TransTonsShort[[#This Row],[Disposal_Fee]])</f>
        <v>0</v>
      </c>
      <c r="AF106" s="446" t="s">
        <v>1279</v>
      </c>
      <c r="AG106" s="442" t="str">
        <f>LEFT(SecondaryTransport[[#This Row],[Scenario_MRF_Bale_ID]],2)</f>
        <v>S3</v>
      </c>
      <c r="AH106" s="181" t="str">
        <f>LEFT(RIGHT(SecondaryTransport[[#This Row],[Scenario_MRF_Bale_ID]],10),2)</f>
        <v>02</v>
      </c>
      <c r="AI106" s="181" t="str">
        <f>INDEX(MRFs[MRF_Name],MATCH(SecondaryTransport[[#This Row],[MRF_ID]],MRFs[MRF_ID],0))</f>
        <v>1 MRF for SS (Salem)</v>
      </c>
      <c r="AJ106" s="181" t="str">
        <f>RIGHT(SecondaryTransport[[#This Row],[Scenario_MRF_Bale_ID]],7)</f>
        <v>4000-01</v>
      </c>
      <c r="AK106" s="181" t="str">
        <f>INDEX(Bales[Bale_Name],MATCH(SecondaryTransport[[#This Row],[Bale_ID]],Bales[Bale_ID],0))</f>
        <v>Aluminum cans and foil</v>
      </c>
      <c r="AL106" s="443">
        <f>INDEX(BaleMover[Total_Baled_tons],MATCH(SecondaryTransport[[#This Row],[Scenario_MRF_Bale_ID]],BaleMover[Scenario_MRF_Bale_ID],0))</f>
        <v>256.09984797278958</v>
      </c>
      <c r="AM106" s="443">
        <f>IF(INDEX(BaleMover[Miles],MATCH(SecondaryTransport[[#This Row],[Scenario_MRF_Bale_ID]],BaleMover[Scenario_MRF_Bale_ID],0))="",0,INDEX(BaleMover[Miles],MATCH(SecondaryTransport[[#This Row],[Scenario_MRF_Bale_ID]],BaleMover[Scenario_MRF_Bale_ID],0)))</f>
        <v>915</v>
      </c>
      <c r="AN106" s="251">
        <f>IF(SecondaryTransport[[#This Row],[Bale_ID]]="9000-01","costs elsewhere",SecondaryTransport[[#This Row],[Total_Baled_tons]]*SecondaryTransport[[#This Row],[Miles]])</f>
        <v>234331.36089510247</v>
      </c>
      <c r="AO106" s="352" t="str">
        <f>IF(LEFT(SecondaryTransport[[#This Row],[Bale_ID]],1)*1=5,IF(OR(SecondaryTransport[[#This Row],[MRF_ID]]="02",SecondaryTransport[[#This Row],[MRF_ID]]="08"),2,1),"")</f>
        <v/>
      </c>
      <c r="AP1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0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06" s="224" t="str">
        <f>IFERROR(IF(1*LEFT(SecondaryTransport[[#This Row],[Bale_ID]],1)=5,SecondaryTransport[[#This Row],[Ton-Miles]]*SecondaryTransport[[#This Row],[Cost_Per_Ton-Mile]],""),"")</f>
        <v/>
      </c>
      <c r="AS106" s="224">
        <f>IFERROR(IF(SecondaryTransport[[#This Row],[Container_Transfer]]="",(SecondaryTransport[[#This Row],[Ton-Miles]]*SecondaryTransport[[#This Row],[Cost_Per_Ton-Mile]]),""),"")</f>
        <v>32806.390525314346</v>
      </c>
    </row>
    <row r="107" spans="2:45" ht="15" x14ac:dyDescent="0.25">
      <c r="C107"/>
      <c r="D107"/>
      <c r="L107" s="446" t="s">
        <v>875</v>
      </c>
      <c r="M107" s="446">
        <v>1</v>
      </c>
      <c r="N107" s="446">
        <v>1</v>
      </c>
      <c r="O107" s="446" t="s">
        <v>706</v>
      </c>
      <c r="P107" s="449" t="s">
        <v>739</v>
      </c>
      <c r="Q107" s="449"/>
      <c r="R107" s="449"/>
      <c r="S107" s="449" t="s">
        <v>707</v>
      </c>
      <c r="T107" s="449" t="s">
        <v>1121</v>
      </c>
      <c r="U107" s="452">
        <v>0</v>
      </c>
      <c r="V1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 s="272" t="str">
        <f>IFERROR(SUMIFS(TransUnitCost[Miles],TransUnitCost[Grouping_ID],TransTonsShort[[#This Row],[Grouping_ID]],TransUnitCost[Transp_ID],TransTonsShort[[#This Row],[Transp_ID]])*TransTonsShort[[#This Row],[Trans_Tons_All]]/TransTonsShort[[#This Row],[Trans_Tons_All]],"")</f>
        <v/>
      </c>
      <c r="X107" s="386" t="str">
        <f>TransTonsShort[[#This Row],[Grouping_ID]]&amp;"-"&amp;TransTonsShort[[#This Row],[Sector_ID]]</f>
        <v>1-1</v>
      </c>
      <c r="Y1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 s="421">
        <f>INDEX(LandfillFees[Disposal Tip Fee 2025],MATCH(TransTonsShort[[#This Row],[Grouping_ID]],LandfillFees[Grouping_ID],0))</f>
        <v>134.68</v>
      </c>
      <c r="AA107" s="102">
        <f>IF(OR(TransTonsShort[[#This Row],[CollectionStream_ID]]="03",TransTonsShort[[#This Row],[CollectionStream_ID]]="04",TransTonsShort[[#This Row],[CollectionStream_ID]]="13"),0,TransTonsShort[[#This Row],[Trans_Tons_All]]*TransTonsShort[[#This Row],[Disposal_Fee]])</f>
        <v>0</v>
      </c>
      <c r="AF107" s="446" t="s">
        <v>1280</v>
      </c>
      <c r="AG107" s="442" t="str">
        <f>LEFT(SecondaryTransport[[#This Row],[Scenario_MRF_Bale_ID]],2)</f>
        <v>S0</v>
      </c>
      <c r="AH107" s="181" t="str">
        <f>LEFT(RIGHT(SecondaryTransport[[#This Row],[Scenario_MRF_Bale_ID]],10),2)</f>
        <v>02</v>
      </c>
      <c r="AI107" s="181" t="str">
        <f>INDEX(MRFs[MRF_Name],MATCH(SecondaryTransport[[#This Row],[MRF_ID]],MRFs[MRF_ID],0))</f>
        <v>1 MRF for SS (Salem)</v>
      </c>
      <c r="AJ107" s="181" t="str">
        <f>RIGHT(SecondaryTransport[[#This Row],[Scenario_MRF_Bale_ID]],7)</f>
        <v>4000-02</v>
      </c>
      <c r="AK107" s="181" t="str">
        <f>INDEX(Bales[Bale_Name],MATCH(SecondaryTransport[[#This Row],[Bale_ID]],Bales[Bale_ID],0))</f>
        <v>Steel cans </v>
      </c>
      <c r="AL107" s="443">
        <f>INDEX(BaleMover[Total_Baled_tons],MATCH(SecondaryTransport[[#This Row],[Scenario_MRF_Bale_ID]],BaleMover[Scenario_MRF_Bale_ID],0))</f>
        <v>1837.4199965633272</v>
      </c>
      <c r="AM107" s="443">
        <f>IF(INDEX(BaleMover[Miles],MATCH(SecondaryTransport[[#This Row],[Scenario_MRF_Bale_ID]],BaleMover[Scenario_MRF_Bale_ID],0))="",0,INDEX(BaleMover[Miles],MATCH(SecondaryTransport[[#This Row],[Scenario_MRF_Bale_ID]],BaleMover[Scenario_MRF_Bale_ID],0)))</f>
        <v>50</v>
      </c>
      <c r="AN107" s="251">
        <f>IF(SecondaryTransport[[#This Row],[Bale_ID]]="9000-01","costs elsewhere",SecondaryTransport[[#This Row],[Total_Baled_tons]]*SecondaryTransport[[#This Row],[Miles]])</f>
        <v>91870.999828166357</v>
      </c>
      <c r="AO107" s="352" t="str">
        <f>IF(LEFT(SecondaryTransport[[#This Row],[Bale_ID]],1)*1=5,IF(OR(SecondaryTransport[[#This Row],[MRF_ID]]="02",SecondaryTransport[[#This Row],[MRF_ID]]="08"),2,1),"")</f>
        <v/>
      </c>
      <c r="AP1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0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07" s="224" t="str">
        <f>IFERROR(IF(1*LEFT(SecondaryTransport[[#This Row],[Bale_ID]],1)=5,SecondaryTransport[[#This Row],[Ton-Miles]]*SecondaryTransport[[#This Row],[Cost_Per_Ton-Mile]],""),"")</f>
        <v/>
      </c>
      <c r="AS107" s="224">
        <f>IFERROR(IF(SecondaryTransport[[#This Row],[Container_Transfer]]="",(SecondaryTransport[[#This Row],[Ton-Miles]]*SecondaryTransport[[#This Row],[Cost_Per_Ton-Mile]]),""),"")</f>
        <v>28480.00994673157</v>
      </c>
    </row>
    <row r="108" spans="2:45" ht="15" x14ac:dyDescent="0.25">
      <c r="C108"/>
      <c r="D108"/>
      <c r="L108" s="446" t="s">
        <v>875</v>
      </c>
      <c r="M108" s="446">
        <v>2</v>
      </c>
      <c r="N108" s="446">
        <v>1</v>
      </c>
      <c r="O108" s="446" t="s">
        <v>706</v>
      </c>
      <c r="P108" s="449" t="s">
        <v>739</v>
      </c>
      <c r="Q108" s="449"/>
      <c r="R108" s="449"/>
      <c r="S108" s="449" t="s">
        <v>707</v>
      </c>
      <c r="T108" s="449" t="s">
        <v>1121</v>
      </c>
      <c r="U108" s="452">
        <v>10858.887070593693</v>
      </c>
      <c r="V1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448472.03601551952</v>
      </c>
      <c r="W108" s="272">
        <f>IFERROR(SUMIFS(TransUnitCost[Miles],TransUnitCost[Grouping_ID],TransTonsShort[[#This Row],[Grouping_ID]],TransUnitCost[Transp_ID],TransTonsShort[[#This Row],[Transp_ID]])*TransTonsShort[[#This Row],[Trans_Tons_All]]/TransTonsShort[[#This Row],[Trans_Tons_All]],"")</f>
        <v>70</v>
      </c>
      <c r="X108" s="386" t="str">
        <f>TransTonsShort[[#This Row],[Grouping_ID]]&amp;"-"&amp;TransTonsShort[[#This Row],[Sector_ID]]</f>
        <v>2-1</v>
      </c>
      <c r="Y1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 s="421">
        <f>INDEX(LandfillFees[Disposal Tip Fee 2025],MATCH(TransTonsShort[[#This Row],[Grouping_ID]],LandfillFees[Grouping_ID],0))</f>
        <v>72.030938699729589</v>
      </c>
      <c r="AA108" s="102">
        <f>IF(OR(TransTonsShort[[#This Row],[CollectionStream_ID]]="03",TransTonsShort[[#This Row],[CollectionStream_ID]]="04",TransTonsShort[[#This Row],[CollectionStream_ID]]="13"),0,TransTonsShort[[#This Row],[Trans_Tons_All]]*TransTonsShort[[#This Row],[Disposal_Fee]])</f>
        <v>782175.82892922056</v>
      </c>
      <c r="AF108" s="446" t="s">
        <v>1281</v>
      </c>
      <c r="AG108" s="442" t="str">
        <f>LEFT(SecondaryTransport[[#This Row],[Scenario_MRF_Bale_ID]],2)</f>
        <v>S1</v>
      </c>
      <c r="AH108" s="181" t="str">
        <f>LEFT(RIGHT(SecondaryTransport[[#This Row],[Scenario_MRF_Bale_ID]],10),2)</f>
        <v>02</v>
      </c>
      <c r="AI108" s="181" t="str">
        <f>INDEX(MRFs[MRF_Name],MATCH(SecondaryTransport[[#This Row],[MRF_ID]],MRFs[MRF_ID],0))</f>
        <v>1 MRF for SS (Salem)</v>
      </c>
      <c r="AJ108" s="181" t="str">
        <f>RIGHT(SecondaryTransport[[#This Row],[Scenario_MRF_Bale_ID]],7)</f>
        <v>4000-02</v>
      </c>
      <c r="AK108" s="181" t="str">
        <f>INDEX(Bales[Bale_Name],MATCH(SecondaryTransport[[#This Row],[Bale_ID]],Bales[Bale_ID],0))</f>
        <v>Steel cans </v>
      </c>
      <c r="AL108" s="443">
        <f>INDEX(BaleMover[Total_Baled_tons],MATCH(SecondaryTransport[[#This Row],[Scenario_MRF_Bale_ID]],BaleMover[Scenario_MRF_Bale_ID],0))</f>
        <v>1733.4602490695374</v>
      </c>
      <c r="AM108" s="443">
        <f>IF(INDEX(BaleMover[Miles],MATCH(SecondaryTransport[[#This Row],[Scenario_MRF_Bale_ID]],BaleMover[Scenario_MRF_Bale_ID],0))="",0,INDEX(BaleMover[Miles],MATCH(SecondaryTransport[[#This Row],[Scenario_MRF_Bale_ID]],BaleMover[Scenario_MRF_Bale_ID],0)))</f>
        <v>50</v>
      </c>
      <c r="AN108" s="251">
        <f>IF(SecondaryTransport[[#This Row],[Bale_ID]]="9000-01","costs elsewhere",SecondaryTransport[[#This Row],[Total_Baled_tons]]*SecondaryTransport[[#This Row],[Miles]])</f>
        <v>86673.012453476869</v>
      </c>
      <c r="AO108" s="352" t="str">
        <f>IF(LEFT(SecondaryTransport[[#This Row],[Bale_ID]],1)*1=5,IF(OR(SecondaryTransport[[#This Row],[MRF_ID]]="02",SecondaryTransport[[#This Row],[MRF_ID]]="08"),2,1),"")</f>
        <v/>
      </c>
      <c r="AP1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0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08" s="224" t="str">
        <f>IFERROR(IF(1*LEFT(SecondaryTransport[[#This Row],[Bale_ID]],1)=5,SecondaryTransport[[#This Row],[Ton-Miles]]*SecondaryTransport[[#This Row],[Cost_Per_Ton-Mile]],""),"")</f>
        <v/>
      </c>
      <c r="AS108" s="224">
        <f>IFERROR(IF(SecondaryTransport[[#This Row],[Container_Transfer]]="",(SecondaryTransport[[#This Row],[Ton-Miles]]*SecondaryTransport[[#This Row],[Cost_Per_Ton-Mile]]),""),"")</f>
        <v>26868.633860577829</v>
      </c>
    </row>
    <row r="109" spans="2:45" ht="15" x14ac:dyDescent="0.25">
      <c r="C109"/>
      <c r="D109"/>
      <c r="L109" s="446" t="s">
        <v>875</v>
      </c>
      <c r="M109" s="446">
        <v>3</v>
      </c>
      <c r="N109" s="446">
        <v>1</v>
      </c>
      <c r="O109" s="446" t="s">
        <v>706</v>
      </c>
      <c r="P109" s="449" t="s">
        <v>739</v>
      </c>
      <c r="Q109" s="449"/>
      <c r="R109" s="449"/>
      <c r="S109" s="449" t="s">
        <v>707</v>
      </c>
      <c r="T109" s="449" t="s">
        <v>1121</v>
      </c>
      <c r="U109" s="452">
        <v>2098.715933855005</v>
      </c>
      <c r="V1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75553.773618780178</v>
      </c>
      <c r="W109" s="272">
        <f>IFERROR(SUMIFS(TransUnitCost[Miles],TransUnitCost[Grouping_ID],TransTonsShort[[#This Row],[Grouping_ID]],TransUnitCost[Transp_ID],TransTonsShort[[#This Row],[Transp_ID]])*TransTonsShort[[#This Row],[Trans_Tons_All]]/TransTonsShort[[#This Row],[Trans_Tons_All]],"")</f>
        <v>150</v>
      </c>
      <c r="X109" s="386" t="str">
        <f>TransTonsShort[[#This Row],[Grouping_ID]]&amp;"-"&amp;TransTonsShort[[#This Row],[Sector_ID]]</f>
        <v>3-1</v>
      </c>
      <c r="Y1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 s="421">
        <f>INDEX(LandfillFees[Disposal Tip Fee 2025],MATCH(TransTonsShort[[#This Row],[Grouping_ID]],LandfillFees[Grouping_ID],0))</f>
        <v>72.030938699729589</v>
      </c>
      <c r="AA109" s="102">
        <f>IF(OR(TransTonsShort[[#This Row],[CollectionStream_ID]]="03",TransTonsShort[[#This Row],[CollectionStream_ID]]="04",TransTonsShort[[#This Row],[CollectionStream_ID]]="13"),0,TransTonsShort[[#This Row],[Trans_Tons_All]]*TransTonsShort[[#This Row],[Disposal_Fee]])</f>
        <v>151172.47877965559</v>
      </c>
      <c r="AF109" s="446" t="s">
        <v>1282</v>
      </c>
      <c r="AG109" s="442" t="str">
        <f>LEFT(SecondaryTransport[[#This Row],[Scenario_MRF_Bale_ID]],2)</f>
        <v>S2</v>
      </c>
      <c r="AH109" s="181" t="str">
        <f>LEFT(RIGHT(SecondaryTransport[[#This Row],[Scenario_MRF_Bale_ID]],10),2)</f>
        <v>02</v>
      </c>
      <c r="AI109" s="181" t="str">
        <f>INDEX(MRFs[MRF_Name],MATCH(SecondaryTransport[[#This Row],[MRF_ID]],MRFs[MRF_ID],0))</f>
        <v>1 MRF for SS (Salem)</v>
      </c>
      <c r="AJ109" s="181" t="str">
        <f>RIGHT(SecondaryTransport[[#This Row],[Scenario_MRF_Bale_ID]],7)</f>
        <v>4000-02</v>
      </c>
      <c r="AK109" s="181" t="str">
        <f>INDEX(Bales[Bale_Name],MATCH(SecondaryTransport[[#This Row],[Bale_ID]],Bales[Bale_ID],0))</f>
        <v>Steel cans </v>
      </c>
      <c r="AL109" s="443">
        <f>INDEX(BaleMover[Total_Baled_tons],MATCH(SecondaryTransport[[#This Row],[Scenario_MRF_Bale_ID]],BaleMover[Scenario_MRF_Bale_ID],0))</f>
        <v>2871.5417546969547</v>
      </c>
      <c r="AM109" s="443">
        <f>IF(INDEX(BaleMover[Miles],MATCH(SecondaryTransport[[#This Row],[Scenario_MRF_Bale_ID]],BaleMover[Scenario_MRF_Bale_ID],0))="",0,INDEX(BaleMover[Miles],MATCH(SecondaryTransport[[#This Row],[Scenario_MRF_Bale_ID]],BaleMover[Scenario_MRF_Bale_ID],0)))</f>
        <v>50</v>
      </c>
      <c r="AN109" s="251">
        <f>IF(SecondaryTransport[[#This Row],[Bale_ID]]="9000-01","costs elsewhere",SecondaryTransport[[#This Row],[Total_Baled_tons]]*SecondaryTransport[[#This Row],[Miles]])</f>
        <v>143577.08773484774</v>
      </c>
      <c r="AO109" s="352" t="str">
        <f>IF(LEFT(SecondaryTransport[[#This Row],[Bale_ID]],1)*1=5,IF(OR(SecondaryTransport[[#This Row],[MRF_ID]]="02",SecondaryTransport[[#This Row],[MRF_ID]]="08"),2,1),"")</f>
        <v/>
      </c>
      <c r="AP1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0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09" s="224" t="str">
        <f>IFERROR(IF(1*LEFT(SecondaryTransport[[#This Row],[Bale_ID]],1)=5,SecondaryTransport[[#This Row],[Ton-Miles]]*SecondaryTransport[[#This Row],[Cost_Per_Ton-Mile]],""),"")</f>
        <v/>
      </c>
      <c r="AS109" s="224">
        <f>IFERROR(IF(SecondaryTransport[[#This Row],[Container_Transfer]]="",(SecondaryTransport[[#This Row],[Ton-Miles]]*SecondaryTransport[[#This Row],[Cost_Per_Ton-Mile]]),""),"")</f>
        <v>44508.897197802798</v>
      </c>
    </row>
    <row r="110" spans="2:45" ht="15" x14ac:dyDescent="0.25">
      <c r="C110"/>
      <c r="D110"/>
      <c r="L110" s="446" t="s">
        <v>875</v>
      </c>
      <c r="M110" s="446">
        <v>4</v>
      </c>
      <c r="N110" s="446">
        <v>1</v>
      </c>
      <c r="O110" s="446" t="s">
        <v>706</v>
      </c>
      <c r="P110" s="449" t="s">
        <v>739</v>
      </c>
      <c r="Q110" s="449"/>
      <c r="R110" s="449"/>
      <c r="S110" s="449" t="s">
        <v>707</v>
      </c>
      <c r="T110" s="449" t="s">
        <v>1121</v>
      </c>
      <c r="U110" s="452">
        <v>2.8572275826359177</v>
      </c>
      <c r="V1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157.14751704497547</v>
      </c>
      <c r="W110" s="272">
        <f>IFERROR(SUMIFS(TransUnitCost[Miles],TransUnitCost[Grouping_ID],TransTonsShort[[#This Row],[Grouping_ID]],TransUnitCost[Transp_ID],TransTonsShort[[#This Row],[Transp_ID]])*TransTonsShort[[#This Row],[Trans_Tons_All]]/TransTonsShort[[#This Row],[Trans_Tons_All]],"")</f>
        <v>250</v>
      </c>
      <c r="X110" s="386" t="str">
        <f>TransTonsShort[[#This Row],[Grouping_ID]]&amp;"-"&amp;TransTonsShort[[#This Row],[Sector_ID]]</f>
        <v>4-1</v>
      </c>
      <c r="Y1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0" s="421">
        <f>INDEX(LandfillFees[Disposal Tip Fee 2025],MATCH(TransTonsShort[[#This Row],[Grouping_ID]],LandfillFees[Grouping_ID],0))</f>
        <v>72.030938699729589</v>
      </c>
      <c r="AA110" s="102">
        <f>IF(OR(TransTonsShort[[#This Row],[CollectionStream_ID]]="03",TransTonsShort[[#This Row],[CollectionStream_ID]]="04",TransTonsShort[[#This Row],[CollectionStream_ID]]="13"),0,TransTonsShort[[#This Row],[Trans_Tons_All]]*TransTonsShort[[#This Row],[Disposal_Fee]])</f>
        <v>205.80878485602435</v>
      </c>
      <c r="AF110" s="446" t="s">
        <v>1283</v>
      </c>
      <c r="AG110" s="442" t="str">
        <f>LEFT(SecondaryTransport[[#This Row],[Scenario_MRF_Bale_ID]],2)</f>
        <v>S3</v>
      </c>
      <c r="AH110" s="181" t="str">
        <f>LEFT(RIGHT(SecondaryTransport[[#This Row],[Scenario_MRF_Bale_ID]],10),2)</f>
        <v>02</v>
      </c>
      <c r="AI110" s="181" t="str">
        <f>INDEX(MRFs[MRF_Name],MATCH(SecondaryTransport[[#This Row],[MRF_ID]],MRFs[MRF_ID],0))</f>
        <v>1 MRF for SS (Salem)</v>
      </c>
      <c r="AJ110" s="181" t="str">
        <f>RIGHT(SecondaryTransport[[#This Row],[Scenario_MRF_Bale_ID]],7)</f>
        <v>4000-02</v>
      </c>
      <c r="AK110" s="181" t="str">
        <f>INDEX(Bales[Bale_Name],MATCH(SecondaryTransport[[#This Row],[Bale_ID]],Bales[Bale_ID],0))</f>
        <v>Steel cans </v>
      </c>
      <c r="AL110" s="443">
        <f>INDEX(BaleMover[Total_Baled_tons],MATCH(SecondaryTransport[[#This Row],[Scenario_MRF_Bale_ID]],BaleMover[Scenario_MRF_Bale_ID],0))</f>
        <v>2869.6237301853721</v>
      </c>
      <c r="AM110" s="443">
        <f>IF(INDEX(BaleMover[Miles],MATCH(SecondaryTransport[[#This Row],[Scenario_MRF_Bale_ID]],BaleMover[Scenario_MRF_Bale_ID],0))="",0,INDEX(BaleMover[Miles],MATCH(SecondaryTransport[[#This Row],[Scenario_MRF_Bale_ID]],BaleMover[Scenario_MRF_Bale_ID],0)))</f>
        <v>50</v>
      </c>
      <c r="AN110" s="251">
        <f>IF(SecondaryTransport[[#This Row],[Bale_ID]]="9000-01","costs elsewhere",SecondaryTransport[[#This Row],[Total_Baled_tons]]*SecondaryTransport[[#This Row],[Miles]])</f>
        <v>143481.18650926859</v>
      </c>
      <c r="AO110" s="352" t="str">
        <f>IF(LEFT(SecondaryTransport[[#This Row],[Bale_ID]],1)*1=5,IF(OR(SecondaryTransport[[#This Row],[MRF_ID]]="02",SecondaryTransport[[#This Row],[MRF_ID]]="08"),2,1),"")</f>
        <v/>
      </c>
      <c r="AP1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0" s="224" t="str">
        <f>IFERROR(IF(1*LEFT(SecondaryTransport[[#This Row],[Bale_ID]],1)=5,SecondaryTransport[[#This Row],[Ton-Miles]]*SecondaryTransport[[#This Row],[Cost_Per_Ton-Mile]],""),"")</f>
        <v/>
      </c>
      <c r="AS110" s="224">
        <f>IFERROR(IF(SecondaryTransport[[#This Row],[Container_Transfer]]="",(SecondaryTransport[[#This Row],[Ton-Miles]]*SecondaryTransport[[#This Row],[Cost_Per_Ton-Mile]]),""),"")</f>
        <v>44479.167817873262</v>
      </c>
    </row>
    <row r="111" spans="2:45" ht="15" x14ac:dyDescent="0.25">
      <c r="C111"/>
      <c r="D111"/>
      <c r="L111" s="446" t="s">
        <v>875</v>
      </c>
      <c r="M111" s="446">
        <v>1</v>
      </c>
      <c r="N111" s="446">
        <v>1</v>
      </c>
      <c r="O111" s="446" t="s">
        <v>706</v>
      </c>
      <c r="P111" s="449" t="s">
        <v>700</v>
      </c>
      <c r="Q111" s="449"/>
      <c r="R111" s="449"/>
      <c r="S111" s="449" t="s">
        <v>707</v>
      </c>
      <c r="T111" s="449" t="s">
        <v>701</v>
      </c>
      <c r="U111" s="452">
        <v>21172.973465126317</v>
      </c>
      <c r="V1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 s="272">
        <f>IFERROR(SUMIFS(TransUnitCost[Miles],TransUnitCost[Grouping_ID],TransTonsShort[[#This Row],[Grouping_ID]],TransUnitCost[Transp_ID],TransTonsShort[[#This Row],[Transp_ID]])*TransTonsShort[[#This Row],[Trans_Tons_All]]/TransTonsShort[[#This Row],[Trans_Tons_All]],"")</f>
        <v>0</v>
      </c>
      <c r="X111" s="386" t="str">
        <f>TransTonsShort[[#This Row],[Grouping_ID]]&amp;"-"&amp;TransTonsShort[[#This Row],[Sector_ID]]</f>
        <v>1-1</v>
      </c>
      <c r="Y1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1" s="421">
        <f>INDEX(LandfillFees[Disposal Tip Fee 2025],MATCH(TransTonsShort[[#This Row],[Grouping_ID]],LandfillFees[Grouping_ID],0))</f>
        <v>134.68</v>
      </c>
      <c r="AA111" s="102">
        <f>IF(OR(TransTonsShort[[#This Row],[CollectionStream_ID]]="03",TransTonsShort[[#This Row],[CollectionStream_ID]]="04",TransTonsShort[[#This Row],[CollectionStream_ID]]="13"),0,TransTonsShort[[#This Row],[Trans_Tons_All]]*TransTonsShort[[#This Row],[Disposal_Fee]])</f>
        <v>2851576.0662832125</v>
      </c>
      <c r="AF111" s="446" t="s">
        <v>1284</v>
      </c>
      <c r="AG111" s="442" t="str">
        <f>LEFT(SecondaryTransport[[#This Row],[Scenario_MRF_Bale_ID]],2)</f>
        <v>S0</v>
      </c>
      <c r="AH111" s="181" t="str">
        <f>LEFT(RIGHT(SecondaryTransport[[#This Row],[Scenario_MRF_Bale_ID]],10),2)</f>
        <v>02</v>
      </c>
      <c r="AI111" s="181" t="str">
        <f>INDEX(MRFs[MRF_Name],MATCH(SecondaryTransport[[#This Row],[MRF_ID]],MRFs[MRF_ID],0))</f>
        <v>1 MRF for SS (Salem)</v>
      </c>
      <c r="AJ111" s="181" t="str">
        <f>RIGHT(SecondaryTransport[[#This Row],[Scenario_MRF_Bale_ID]],7)</f>
        <v>4000-03</v>
      </c>
      <c r="AK111" s="181" t="str">
        <f>INDEX(Bales[Bale_Name],MATCH(SecondaryTransport[[#This Row],[Bale_ID]],Bales[Bale_ID],0))</f>
        <v>Scrap metal</v>
      </c>
      <c r="AL111" s="443">
        <f>INDEX(BaleMover[Total_Baled_tons],MATCH(SecondaryTransport[[#This Row],[Scenario_MRF_Bale_ID]],BaleMover[Scenario_MRF_Bale_ID],0))</f>
        <v>2141.0267418669778</v>
      </c>
      <c r="AM111" s="443">
        <f>IF(INDEX(BaleMover[Miles],MATCH(SecondaryTransport[[#This Row],[Scenario_MRF_Bale_ID]],BaleMover[Scenario_MRF_Bale_ID],0))="",0,INDEX(BaleMover[Miles],MATCH(SecondaryTransport[[#This Row],[Scenario_MRF_Bale_ID]],BaleMover[Scenario_MRF_Bale_ID],0)))</f>
        <v>25</v>
      </c>
      <c r="AN111" s="251">
        <f>IF(SecondaryTransport[[#This Row],[Bale_ID]]="9000-01","costs elsewhere",SecondaryTransport[[#This Row],[Total_Baled_tons]]*SecondaryTransport[[#This Row],[Miles]])</f>
        <v>53525.668546674446</v>
      </c>
      <c r="AO111" s="352" t="str">
        <f>IF(LEFT(SecondaryTransport[[#This Row],[Bale_ID]],1)*1=5,IF(OR(SecondaryTransport[[#This Row],[MRF_ID]]="02",SecondaryTransport[[#This Row],[MRF_ID]]="08"),2,1),"")</f>
        <v/>
      </c>
      <c r="AP1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1" s="224" t="str">
        <f>IFERROR(IF(1*LEFT(SecondaryTransport[[#This Row],[Bale_ID]],1)=5,SecondaryTransport[[#This Row],[Ton-Miles]]*SecondaryTransport[[#This Row],[Cost_Per_Ton-Mile]],""),"")</f>
        <v/>
      </c>
      <c r="AS111" s="224">
        <f>IFERROR(IF(SecondaryTransport[[#This Row],[Container_Transfer]]="",(SecondaryTransport[[#This Row],[Ton-Miles]]*SecondaryTransport[[#This Row],[Cost_Per_Ton-Mile]]),""),"")</f>
        <v>16592.957249469076</v>
      </c>
    </row>
    <row r="112" spans="2:45" ht="15" x14ac:dyDescent="0.25">
      <c r="C112"/>
      <c r="D112"/>
      <c r="L112" s="446" t="s">
        <v>875</v>
      </c>
      <c r="M112" s="446">
        <v>2</v>
      </c>
      <c r="N112" s="446">
        <v>1</v>
      </c>
      <c r="O112" s="446" t="s">
        <v>706</v>
      </c>
      <c r="P112" s="449" t="s">
        <v>700</v>
      </c>
      <c r="Q112" s="449"/>
      <c r="R112" s="449"/>
      <c r="S112" s="449" t="s">
        <v>707</v>
      </c>
      <c r="T112" s="449" t="s">
        <v>701</v>
      </c>
      <c r="U112" s="452">
        <v>0</v>
      </c>
      <c r="V1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 s="272" t="str">
        <f>IFERROR(SUMIFS(TransUnitCost[Miles],TransUnitCost[Grouping_ID],TransTonsShort[[#This Row],[Grouping_ID]],TransUnitCost[Transp_ID],TransTonsShort[[#This Row],[Transp_ID]])*TransTonsShort[[#This Row],[Trans_Tons_All]]/TransTonsShort[[#This Row],[Trans_Tons_All]],"")</f>
        <v/>
      </c>
      <c r="X112" s="386" t="str">
        <f>TransTonsShort[[#This Row],[Grouping_ID]]&amp;"-"&amp;TransTonsShort[[#This Row],[Sector_ID]]</f>
        <v>2-1</v>
      </c>
      <c r="Y1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2" s="421">
        <f>INDEX(LandfillFees[Disposal Tip Fee 2025],MATCH(TransTonsShort[[#This Row],[Grouping_ID]],LandfillFees[Grouping_ID],0))</f>
        <v>72.030938699729589</v>
      </c>
      <c r="AA112" s="102">
        <f>IF(OR(TransTonsShort[[#This Row],[CollectionStream_ID]]="03",TransTonsShort[[#This Row],[CollectionStream_ID]]="04",TransTonsShort[[#This Row],[CollectionStream_ID]]="13"),0,TransTonsShort[[#This Row],[Trans_Tons_All]]*TransTonsShort[[#This Row],[Disposal_Fee]])</f>
        <v>0</v>
      </c>
      <c r="AF112" s="446" t="s">
        <v>1285</v>
      </c>
      <c r="AG112" s="442" t="str">
        <f>LEFT(SecondaryTransport[[#This Row],[Scenario_MRF_Bale_ID]],2)</f>
        <v>S1</v>
      </c>
      <c r="AH112" s="181" t="str">
        <f>LEFT(RIGHT(SecondaryTransport[[#This Row],[Scenario_MRF_Bale_ID]],10),2)</f>
        <v>02</v>
      </c>
      <c r="AI112" s="181" t="str">
        <f>INDEX(MRFs[MRF_Name],MATCH(SecondaryTransport[[#This Row],[MRF_ID]],MRFs[MRF_ID],0))</f>
        <v>1 MRF for SS (Salem)</v>
      </c>
      <c r="AJ112" s="181" t="str">
        <f>RIGHT(SecondaryTransport[[#This Row],[Scenario_MRF_Bale_ID]],7)</f>
        <v>4000-03</v>
      </c>
      <c r="AK112" s="181" t="str">
        <f>INDEX(Bales[Bale_Name],MATCH(SecondaryTransport[[#This Row],[Bale_ID]],Bales[Bale_ID],0))</f>
        <v>Scrap metal</v>
      </c>
      <c r="AL112" s="443">
        <f>INDEX(BaleMover[Total_Baled_tons],MATCH(SecondaryTransport[[#This Row],[Scenario_MRF_Bale_ID]],BaleMover[Scenario_MRF_Bale_ID],0))</f>
        <v>1305.0630480371096</v>
      </c>
      <c r="AM112" s="443">
        <f>IF(INDEX(BaleMover[Miles],MATCH(SecondaryTransport[[#This Row],[Scenario_MRF_Bale_ID]],BaleMover[Scenario_MRF_Bale_ID],0))="",0,INDEX(BaleMover[Miles],MATCH(SecondaryTransport[[#This Row],[Scenario_MRF_Bale_ID]],BaleMover[Scenario_MRF_Bale_ID],0)))</f>
        <v>25</v>
      </c>
      <c r="AN112" s="251">
        <f>IF(SecondaryTransport[[#This Row],[Bale_ID]]="9000-01","costs elsewhere",SecondaryTransport[[#This Row],[Total_Baled_tons]]*SecondaryTransport[[#This Row],[Miles]])</f>
        <v>32626.576200927742</v>
      </c>
      <c r="AO112" s="352" t="str">
        <f>IF(LEFT(SecondaryTransport[[#This Row],[Bale_ID]],1)*1=5,IF(OR(SecondaryTransport[[#This Row],[MRF_ID]]="02",SecondaryTransport[[#This Row],[MRF_ID]]="08"),2,1),"")</f>
        <v/>
      </c>
      <c r="AP1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2" s="224" t="str">
        <f>IFERROR(IF(1*LEFT(SecondaryTransport[[#This Row],[Bale_ID]],1)=5,SecondaryTransport[[#This Row],[Ton-Miles]]*SecondaryTransport[[#This Row],[Cost_Per_Ton-Mile]],""),"")</f>
        <v/>
      </c>
      <c r="AS112" s="224">
        <f>IFERROR(IF(SecondaryTransport[[#This Row],[Container_Transfer]]="",(SecondaryTransport[[#This Row],[Ton-Miles]]*SecondaryTransport[[#This Row],[Cost_Per_Ton-Mile]]),""),"")</f>
        <v>10114.238622287599</v>
      </c>
    </row>
    <row r="113" spans="3:45" ht="15" x14ac:dyDescent="0.25">
      <c r="C113"/>
      <c r="D113"/>
      <c r="L113" s="446" t="s">
        <v>875</v>
      </c>
      <c r="M113" s="446">
        <v>3</v>
      </c>
      <c r="N113" s="446">
        <v>1</v>
      </c>
      <c r="O113" s="446" t="s">
        <v>706</v>
      </c>
      <c r="P113" s="449" t="s">
        <v>700</v>
      </c>
      <c r="Q113" s="449"/>
      <c r="R113" s="449"/>
      <c r="S113" s="449" t="s">
        <v>707</v>
      </c>
      <c r="T113" s="449" t="s">
        <v>701</v>
      </c>
      <c r="U113" s="452">
        <v>0</v>
      </c>
      <c r="V1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 s="272" t="str">
        <f>IFERROR(SUMIFS(TransUnitCost[Miles],TransUnitCost[Grouping_ID],TransTonsShort[[#This Row],[Grouping_ID]],TransUnitCost[Transp_ID],TransTonsShort[[#This Row],[Transp_ID]])*TransTonsShort[[#This Row],[Trans_Tons_All]]/TransTonsShort[[#This Row],[Trans_Tons_All]],"")</f>
        <v/>
      </c>
      <c r="X113" s="386" t="str">
        <f>TransTonsShort[[#This Row],[Grouping_ID]]&amp;"-"&amp;TransTonsShort[[#This Row],[Sector_ID]]</f>
        <v>3-1</v>
      </c>
      <c r="Y1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 s="421">
        <f>INDEX(LandfillFees[Disposal Tip Fee 2025],MATCH(TransTonsShort[[#This Row],[Grouping_ID]],LandfillFees[Grouping_ID],0))</f>
        <v>72.030938699729589</v>
      </c>
      <c r="AA113" s="102">
        <f>IF(OR(TransTonsShort[[#This Row],[CollectionStream_ID]]="03",TransTonsShort[[#This Row],[CollectionStream_ID]]="04",TransTonsShort[[#This Row],[CollectionStream_ID]]="13"),0,TransTonsShort[[#This Row],[Trans_Tons_All]]*TransTonsShort[[#This Row],[Disposal_Fee]])</f>
        <v>0</v>
      </c>
      <c r="AF113" s="446" t="s">
        <v>1286</v>
      </c>
      <c r="AG113" s="442" t="str">
        <f>LEFT(SecondaryTransport[[#This Row],[Scenario_MRF_Bale_ID]],2)</f>
        <v>S2</v>
      </c>
      <c r="AH113" s="181" t="str">
        <f>LEFT(RIGHT(SecondaryTransport[[#This Row],[Scenario_MRF_Bale_ID]],10),2)</f>
        <v>02</v>
      </c>
      <c r="AI113" s="181" t="str">
        <f>INDEX(MRFs[MRF_Name],MATCH(SecondaryTransport[[#This Row],[MRF_ID]],MRFs[MRF_ID],0))</f>
        <v>1 MRF for SS (Salem)</v>
      </c>
      <c r="AJ113" s="181" t="str">
        <f>RIGHT(SecondaryTransport[[#This Row],[Scenario_MRF_Bale_ID]],7)</f>
        <v>4000-03</v>
      </c>
      <c r="AK113" s="181" t="str">
        <f>INDEX(Bales[Bale_Name],MATCH(SecondaryTransport[[#This Row],[Bale_ID]],Bales[Bale_ID],0))</f>
        <v>Scrap metal</v>
      </c>
      <c r="AL113" s="443">
        <f>INDEX(BaleMover[Total_Baled_tons],MATCH(SecondaryTransport[[#This Row],[Scenario_MRF_Bale_ID]],BaleMover[Scenario_MRF_Bale_ID],0))</f>
        <v>2420.8892910080276</v>
      </c>
      <c r="AM113" s="443">
        <f>IF(INDEX(BaleMover[Miles],MATCH(SecondaryTransport[[#This Row],[Scenario_MRF_Bale_ID]],BaleMover[Scenario_MRF_Bale_ID],0))="",0,INDEX(BaleMover[Miles],MATCH(SecondaryTransport[[#This Row],[Scenario_MRF_Bale_ID]],BaleMover[Scenario_MRF_Bale_ID],0)))</f>
        <v>25</v>
      </c>
      <c r="AN113" s="251">
        <f>IF(SecondaryTransport[[#This Row],[Bale_ID]]="9000-01","costs elsewhere",SecondaryTransport[[#This Row],[Total_Baled_tons]]*SecondaryTransport[[#This Row],[Miles]])</f>
        <v>60522.232275200688</v>
      </c>
      <c r="AO113" s="352" t="str">
        <f>IF(LEFT(SecondaryTransport[[#This Row],[Bale_ID]],1)*1=5,IF(OR(SecondaryTransport[[#This Row],[MRF_ID]]="02",SecondaryTransport[[#This Row],[MRF_ID]]="08"),2,1),"")</f>
        <v/>
      </c>
      <c r="AP1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3" s="224" t="str">
        <f>IFERROR(IF(1*LEFT(SecondaryTransport[[#This Row],[Bale_ID]],1)=5,SecondaryTransport[[#This Row],[Ton-Miles]]*SecondaryTransport[[#This Row],[Cost_Per_Ton-Mile]],""),"")</f>
        <v/>
      </c>
      <c r="AS113" s="224">
        <f>IFERROR(IF(SecondaryTransport[[#This Row],[Container_Transfer]]="",(SecondaryTransport[[#This Row],[Ton-Miles]]*SecondaryTransport[[#This Row],[Cost_Per_Ton-Mile]]),""),"")</f>
        <v>18761.892005312213</v>
      </c>
    </row>
    <row r="114" spans="3:45" ht="15" x14ac:dyDescent="0.25">
      <c r="C114"/>
      <c r="D114"/>
      <c r="L114" s="446" t="s">
        <v>875</v>
      </c>
      <c r="M114" s="446">
        <v>4</v>
      </c>
      <c r="N114" s="446">
        <v>1</v>
      </c>
      <c r="O114" s="446" t="s">
        <v>706</v>
      </c>
      <c r="P114" s="449" t="s">
        <v>700</v>
      </c>
      <c r="Q114" s="449"/>
      <c r="R114" s="449"/>
      <c r="S114" s="449" t="s">
        <v>707</v>
      </c>
      <c r="T114" s="449" t="s">
        <v>701</v>
      </c>
      <c r="U114" s="452">
        <v>0</v>
      </c>
      <c r="V1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 s="272" t="str">
        <f>IFERROR(SUMIFS(TransUnitCost[Miles],TransUnitCost[Grouping_ID],TransTonsShort[[#This Row],[Grouping_ID]],TransUnitCost[Transp_ID],TransTonsShort[[#This Row],[Transp_ID]])*TransTonsShort[[#This Row],[Trans_Tons_All]]/TransTonsShort[[#This Row],[Trans_Tons_All]],"")</f>
        <v/>
      </c>
      <c r="X114" s="386" t="str">
        <f>TransTonsShort[[#This Row],[Grouping_ID]]&amp;"-"&amp;TransTonsShort[[#This Row],[Sector_ID]]</f>
        <v>4-1</v>
      </c>
      <c r="Y1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 s="421">
        <f>INDEX(LandfillFees[Disposal Tip Fee 2025],MATCH(TransTonsShort[[#This Row],[Grouping_ID]],LandfillFees[Grouping_ID],0))</f>
        <v>72.030938699729589</v>
      </c>
      <c r="AA114" s="102">
        <f>IF(OR(TransTonsShort[[#This Row],[CollectionStream_ID]]="03",TransTonsShort[[#This Row],[CollectionStream_ID]]="04",TransTonsShort[[#This Row],[CollectionStream_ID]]="13"),0,TransTonsShort[[#This Row],[Trans_Tons_All]]*TransTonsShort[[#This Row],[Disposal_Fee]])</f>
        <v>0</v>
      </c>
      <c r="AF114" s="446" t="s">
        <v>1287</v>
      </c>
      <c r="AG114" s="442" t="str">
        <f>LEFT(SecondaryTransport[[#This Row],[Scenario_MRF_Bale_ID]],2)</f>
        <v>S3</v>
      </c>
      <c r="AH114" s="181" t="str">
        <f>LEFT(RIGHT(SecondaryTransport[[#This Row],[Scenario_MRF_Bale_ID]],10),2)</f>
        <v>02</v>
      </c>
      <c r="AI114" s="181" t="str">
        <f>INDEX(MRFs[MRF_Name],MATCH(SecondaryTransport[[#This Row],[MRF_ID]],MRFs[MRF_ID],0))</f>
        <v>1 MRF for SS (Salem)</v>
      </c>
      <c r="AJ114" s="181" t="str">
        <f>RIGHT(SecondaryTransport[[#This Row],[Scenario_MRF_Bale_ID]],7)</f>
        <v>4000-03</v>
      </c>
      <c r="AK114" s="181" t="str">
        <f>INDEX(Bales[Bale_Name],MATCH(SecondaryTransport[[#This Row],[Bale_ID]],Bales[Bale_ID],0))</f>
        <v>Scrap metal</v>
      </c>
      <c r="AL114" s="443">
        <f>INDEX(BaleMover[Total_Baled_tons],MATCH(SecondaryTransport[[#This Row],[Scenario_MRF_Bale_ID]],BaleMover[Scenario_MRF_Bale_ID],0))</f>
        <v>2420.888868026916</v>
      </c>
      <c r="AM114" s="443">
        <f>IF(INDEX(BaleMover[Miles],MATCH(SecondaryTransport[[#This Row],[Scenario_MRF_Bale_ID]],BaleMover[Scenario_MRF_Bale_ID],0))="",0,INDEX(BaleMover[Miles],MATCH(SecondaryTransport[[#This Row],[Scenario_MRF_Bale_ID]],BaleMover[Scenario_MRF_Bale_ID],0)))</f>
        <v>25</v>
      </c>
      <c r="AN114" s="251">
        <f>IF(SecondaryTransport[[#This Row],[Bale_ID]]="9000-01","costs elsewhere",SecondaryTransport[[#This Row],[Total_Baled_tons]]*SecondaryTransport[[#This Row],[Miles]])</f>
        <v>60522.221700672904</v>
      </c>
      <c r="AO114" s="352" t="str">
        <f>IF(LEFT(SecondaryTransport[[#This Row],[Bale_ID]],1)*1=5,IF(OR(SecondaryTransport[[#This Row],[MRF_ID]]="02",SecondaryTransport[[#This Row],[MRF_ID]]="08"),2,1),"")</f>
        <v/>
      </c>
      <c r="AP1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4" s="224" t="str">
        <f>IFERROR(IF(1*LEFT(SecondaryTransport[[#This Row],[Bale_ID]],1)=5,SecondaryTransport[[#This Row],[Ton-Miles]]*SecondaryTransport[[#This Row],[Cost_Per_Ton-Mile]],""),"")</f>
        <v/>
      </c>
      <c r="AS114" s="224">
        <f>IFERROR(IF(SecondaryTransport[[#This Row],[Container_Transfer]]="",(SecondaryTransport[[#This Row],[Ton-Miles]]*SecondaryTransport[[#This Row],[Cost_Per_Ton-Mile]]),""),"")</f>
        <v>18761.888727208599</v>
      </c>
    </row>
    <row r="115" spans="3:45" ht="15" x14ac:dyDescent="0.25">
      <c r="C115"/>
      <c r="D115"/>
      <c r="L115" s="446" t="s">
        <v>875</v>
      </c>
      <c r="M115" s="446">
        <v>1</v>
      </c>
      <c r="N115" s="446">
        <v>1</v>
      </c>
      <c r="O115" s="446" t="s">
        <v>752</v>
      </c>
      <c r="P115" s="450" t="s">
        <v>719</v>
      </c>
      <c r="Q115" s="450"/>
      <c r="R115" s="450"/>
      <c r="S115" s="449" t="s">
        <v>964</v>
      </c>
      <c r="T115" s="449" t="s">
        <v>1055</v>
      </c>
      <c r="U115" s="452">
        <v>0</v>
      </c>
      <c r="V1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 s="272" t="str">
        <f>IFERROR(SUMIFS(TransUnitCost[Miles],TransUnitCost[Grouping_ID],TransTonsShort[[#This Row],[Grouping_ID]],TransUnitCost[Transp_ID],TransTonsShort[[#This Row],[Transp_ID]])*TransTonsShort[[#This Row],[Trans_Tons_All]]/TransTonsShort[[#This Row],[Trans_Tons_All]],"")</f>
        <v/>
      </c>
      <c r="X115" s="386" t="str">
        <f>TransTonsShort[[#This Row],[Grouping_ID]]&amp;"-"&amp;TransTonsShort[[#This Row],[Sector_ID]]</f>
        <v>1-1</v>
      </c>
      <c r="Y1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 s="421">
        <f>INDEX(LandfillFees[Disposal Tip Fee 2025],MATCH(TransTonsShort[[#This Row],[Grouping_ID]],LandfillFees[Grouping_ID],0))</f>
        <v>134.68</v>
      </c>
      <c r="AA115" s="102">
        <f>IF(OR(TransTonsShort[[#This Row],[CollectionStream_ID]]="03",TransTonsShort[[#This Row],[CollectionStream_ID]]="04",TransTonsShort[[#This Row],[CollectionStream_ID]]="13"),0,TransTonsShort[[#This Row],[Trans_Tons_All]]*TransTonsShort[[#This Row],[Disposal_Fee]])</f>
        <v>0</v>
      </c>
      <c r="AF115" s="446" t="s">
        <v>1288</v>
      </c>
      <c r="AG115" s="442" t="str">
        <f>LEFT(SecondaryTransport[[#This Row],[Scenario_MRF_Bale_ID]],2)</f>
        <v>S0</v>
      </c>
      <c r="AH115" s="181" t="str">
        <f>LEFT(RIGHT(SecondaryTransport[[#This Row],[Scenario_MRF_Bale_ID]],10),2)</f>
        <v>03</v>
      </c>
      <c r="AI115" s="181" t="str">
        <f>INDEX(MRFs[MRF_Name],MATCH(SecondaryTransport[[#This Row],[MRF_ID]],MRFs[MRF_ID],0))</f>
        <v>5 MRFs for SS with fiber upgrades (Portland)</v>
      </c>
      <c r="AJ115" s="181" t="str">
        <f>RIGHT(SecondaryTransport[[#This Row],[Scenario_MRF_Bale_ID]],7)</f>
        <v>1000-01</v>
      </c>
      <c r="AK115" s="181" t="str">
        <f>INDEX(Bales[Bale_Name],MATCH(SecondaryTransport[[#This Row],[Bale_ID]],Bales[Bale_ID],0))</f>
        <v>OCC (corrugated cardboard) </v>
      </c>
      <c r="AL115" s="443">
        <f>INDEX(BaleMover[Total_Baled_tons],MATCH(SecondaryTransport[[#This Row],[Scenario_MRF_Bale_ID]],BaleMover[Scenario_MRF_Bale_ID],0))</f>
        <v>83832.937839204184</v>
      </c>
      <c r="AM115" s="443">
        <f>IF(INDEX(BaleMover[Miles],MATCH(SecondaryTransport[[#This Row],[Scenario_MRF_Bale_ID]],BaleMover[Scenario_MRF_Bale_ID],0))="",0,INDEX(BaleMover[Miles],MATCH(SecondaryTransport[[#This Row],[Scenario_MRF_Bale_ID]],BaleMover[Scenario_MRF_Bale_ID],0)))</f>
        <v>50</v>
      </c>
      <c r="AN115" s="251">
        <f>IF(SecondaryTransport[[#This Row],[Bale_ID]]="9000-01","costs elsewhere",SecondaryTransport[[#This Row],[Total_Baled_tons]]*SecondaryTransport[[#This Row],[Miles]])</f>
        <v>4191646.8919602092</v>
      </c>
      <c r="AO115" s="352" t="str">
        <f>IF(LEFT(SecondaryTransport[[#This Row],[Bale_ID]],1)*1=5,IF(OR(SecondaryTransport[[#This Row],[MRF_ID]]="02",SecondaryTransport[[#This Row],[MRF_ID]]="08"),2,1),"")</f>
        <v/>
      </c>
      <c r="AP1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5" s="224" t="str">
        <f>IFERROR(IF(1*LEFT(SecondaryTransport[[#This Row],[Bale_ID]],1)=5,SecondaryTransport[[#This Row],[Ton-Miles]]*SecondaryTransport[[#This Row],[Cost_Per_Ton-Mile]],""),"")</f>
        <v/>
      </c>
      <c r="AS115" s="224">
        <f>IFERROR(IF(SecondaryTransport[[#This Row],[Container_Transfer]]="",(SecondaryTransport[[#This Row],[Ton-Miles]]*SecondaryTransport[[#This Row],[Cost_Per_Ton-Mile]]),""),"")</f>
        <v>1299410.5365076649</v>
      </c>
    </row>
    <row r="116" spans="3:45" ht="15" x14ac:dyDescent="0.25">
      <c r="C116"/>
      <c r="D116"/>
      <c r="L116" s="446" t="s">
        <v>875</v>
      </c>
      <c r="M116" s="446">
        <v>2</v>
      </c>
      <c r="N116" s="446">
        <v>1</v>
      </c>
      <c r="O116" s="446" t="s">
        <v>752</v>
      </c>
      <c r="P116" s="450" t="s">
        <v>719</v>
      </c>
      <c r="Q116" s="450"/>
      <c r="R116" s="450"/>
      <c r="S116" s="449" t="s">
        <v>964</v>
      </c>
      <c r="T116" s="449" t="s">
        <v>1055</v>
      </c>
      <c r="U116" s="452">
        <v>0</v>
      </c>
      <c r="V1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 s="272" t="str">
        <f>IFERROR(SUMIFS(TransUnitCost[Miles],TransUnitCost[Grouping_ID],TransTonsShort[[#This Row],[Grouping_ID]],TransUnitCost[Transp_ID],TransTonsShort[[#This Row],[Transp_ID]])*TransTonsShort[[#This Row],[Trans_Tons_All]]/TransTonsShort[[#This Row],[Trans_Tons_All]],"")</f>
        <v/>
      </c>
      <c r="X116" s="386" t="str">
        <f>TransTonsShort[[#This Row],[Grouping_ID]]&amp;"-"&amp;TransTonsShort[[#This Row],[Sector_ID]]</f>
        <v>2-1</v>
      </c>
      <c r="Y1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6" s="421">
        <f>INDEX(LandfillFees[Disposal Tip Fee 2025],MATCH(TransTonsShort[[#This Row],[Grouping_ID]],LandfillFees[Grouping_ID],0))</f>
        <v>72.030938699729589</v>
      </c>
      <c r="AA116" s="102">
        <f>IF(OR(TransTonsShort[[#This Row],[CollectionStream_ID]]="03",TransTonsShort[[#This Row],[CollectionStream_ID]]="04",TransTonsShort[[#This Row],[CollectionStream_ID]]="13"),0,TransTonsShort[[#This Row],[Trans_Tons_All]]*TransTonsShort[[#This Row],[Disposal_Fee]])</f>
        <v>0</v>
      </c>
      <c r="AF116" s="446" t="s">
        <v>1289</v>
      </c>
      <c r="AG116" s="442" t="str">
        <f>LEFT(SecondaryTransport[[#This Row],[Scenario_MRF_Bale_ID]],2)</f>
        <v>S1</v>
      </c>
      <c r="AH116" s="181" t="str">
        <f>LEFT(RIGHT(SecondaryTransport[[#This Row],[Scenario_MRF_Bale_ID]],10),2)</f>
        <v>03</v>
      </c>
      <c r="AI116" s="181" t="str">
        <f>INDEX(MRFs[MRF_Name],MATCH(SecondaryTransport[[#This Row],[MRF_ID]],MRFs[MRF_ID],0))</f>
        <v>5 MRFs for SS with fiber upgrades (Portland)</v>
      </c>
      <c r="AJ116" s="181" t="str">
        <f>RIGHT(SecondaryTransport[[#This Row],[Scenario_MRF_Bale_ID]],7)</f>
        <v>1000-01</v>
      </c>
      <c r="AK116" s="181" t="str">
        <f>INDEX(Bales[Bale_Name],MATCH(SecondaryTransport[[#This Row],[Bale_ID]],Bales[Bale_ID],0))</f>
        <v>OCC (corrugated cardboard) </v>
      </c>
      <c r="AL116" s="443">
        <f>INDEX(BaleMover[Total_Baled_tons],MATCH(SecondaryTransport[[#This Row],[Scenario_MRF_Bale_ID]],BaleMover[Scenario_MRF_Bale_ID],0))</f>
        <v>95094.926174471082</v>
      </c>
      <c r="AM116" s="443">
        <f>IF(INDEX(BaleMover[Miles],MATCH(SecondaryTransport[[#This Row],[Scenario_MRF_Bale_ID]],BaleMover[Scenario_MRF_Bale_ID],0))="",0,INDEX(BaleMover[Miles],MATCH(SecondaryTransport[[#This Row],[Scenario_MRF_Bale_ID]],BaleMover[Scenario_MRF_Bale_ID],0)))</f>
        <v>50</v>
      </c>
      <c r="AN116" s="251">
        <f>IF(SecondaryTransport[[#This Row],[Bale_ID]]="9000-01","costs elsewhere",SecondaryTransport[[#This Row],[Total_Baled_tons]]*SecondaryTransport[[#This Row],[Miles]])</f>
        <v>4754746.308723554</v>
      </c>
      <c r="AO116" s="352" t="str">
        <f>IF(LEFT(SecondaryTransport[[#This Row],[Bale_ID]],1)*1=5,IF(OR(SecondaryTransport[[#This Row],[MRF_ID]]="02",SecondaryTransport[[#This Row],[MRF_ID]]="08"),2,1),"")</f>
        <v/>
      </c>
      <c r="AP1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6" s="224" t="str">
        <f>IFERROR(IF(1*LEFT(SecondaryTransport[[#This Row],[Bale_ID]],1)=5,SecondaryTransport[[#This Row],[Ton-Miles]]*SecondaryTransport[[#This Row],[Cost_Per_Ton-Mile]],""),"")</f>
        <v/>
      </c>
      <c r="AS116" s="224">
        <f>IFERROR(IF(SecondaryTransport[[#This Row],[Container_Transfer]]="",(SecondaryTransport[[#This Row],[Ton-Miles]]*SecondaryTransport[[#This Row],[Cost_Per_Ton-Mile]]),""),"")</f>
        <v>1473971.3557043017</v>
      </c>
    </row>
    <row r="117" spans="3:45" ht="15" x14ac:dyDescent="0.25">
      <c r="C117"/>
      <c r="D117"/>
      <c r="L117" s="446" t="s">
        <v>875</v>
      </c>
      <c r="M117" s="446">
        <v>3</v>
      </c>
      <c r="N117" s="446">
        <v>1</v>
      </c>
      <c r="O117" s="446" t="s">
        <v>752</v>
      </c>
      <c r="P117" s="450" t="s">
        <v>719</v>
      </c>
      <c r="Q117" s="450"/>
      <c r="R117" s="450"/>
      <c r="S117" s="449" t="s">
        <v>964</v>
      </c>
      <c r="T117" s="449" t="s">
        <v>1055</v>
      </c>
      <c r="U117" s="452">
        <v>0</v>
      </c>
      <c r="V1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 s="272" t="str">
        <f>IFERROR(SUMIFS(TransUnitCost[Miles],TransUnitCost[Grouping_ID],TransTonsShort[[#This Row],[Grouping_ID]],TransUnitCost[Transp_ID],TransTonsShort[[#This Row],[Transp_ID]])*TransTonsShort[[#This Row],[Trans_Tons_All]]/TransTonsShort[[#This Row],[Trans_Tons_All]],"")</f>
        <v/>
      </c>
      <c r="X117" s="386" t="str">
        <f>TransTonsShort[[#This Row],[Grouping_ID]]&amp;"-"&amp;TransTonsShort[[#This Row],[Sector_ID]]</f>
        <v>3-1</v>
      </c>
      <c r="Y1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7" s="421">
        <f>INDEX(LandfillFees[Disposal Tip Fee 2025],MATCH(TransTonsShort[[#This Row],[Grouping_ID]],LandfillFees[Grouping_ID],0))</f>
        <v>72.030938699729589</v>
      </c>
      <c r="AA117" s="102">
        <f>IF(OR(TransTonsShort[[#This Row],[CollectionStream_ID]]="03",TransTonsShort[[#This Row],[CollectionStream_ID]]="04",TransTonsShort[[#This Row],[CollectionStream_ID]]="13"),0,TransTonsShort[[#This Row],[Trans_Tons_All]]*TransTonsShort[[#This Row],[Disposal_Fee]])</f>
        <v>0</v>
      </c>
      <c r="AF117" s="446" t="s">
        <v>1290</v>
      </c>
      <c r="AG117" s="442" t="str">
        <f>LEFT(SecondaryTransport[[#This Row],[Scenario_MRF_Bale_ID]],2)</f>
        <v>S2</v>
      </c>
      <c r="AH117" s="181" t="str">
        <f>LEFT(RIGHT(SecondaryTransport[[#This Row],[Scenario_MRF_Bale_ID]],10),2)</f>
        <v>03</v>
      </c>
      <c r="AI117" s="181" t="str">
        <f>INDEX(MRFs[MRF_Name],MATCH(SecondaryTransport[[#This Row],[MRF_ID]],MRFs[MRF_ID],0))</f>
        <v>5 MRFs for SS with fiber upgrades (Portland)</v>
      </c>
      <c r="AJ117" s="181" t="str">
        <f>RIGHT(SecondaryTransport[[#This Row],[Scenario_MRF_Bale_ID]],7)</f>
        <v>1000-01</v>
      </c>
      <c r="AK117" s="181" t="str">
        <f>INDEX(Bales[Bale_Name],MATCH(SecondaryTransport[[#This Row],[Bale_ID]],Bales[Bale_ID],0))</f>
        <v>OCC (corrugated cardboard) </v>
      </c>
      <c r="AL117" s="443">
        <f>INDEX(BaleMover[Total_Baled_tons],MATCH(SecondaryTransport[[#This Row],[Scenario_MRF_Bale_ID]],BaleMover[Scenario_MRF_Bale_ID],0))</f>
        <v>95875.724684872373</v>
      </c>
      <c r="AM117" s="443">
        <f>IF(INDEX(BaleMover[Miles],MATCH(SecondaryTransport[[#This Row],[Scenario_MRF_Bale_ID]],BaleMover[Scenario_MRF_Bale_ID],0))="",0,INDEX(BaleMover[Miles],MATCH(SecondaryTransport[[#This Row],[Scenario_MRF_Bale_ID]],BaleMover[Scenario_MRF_Bale_ID],0)))</f>
        <v>50</v>
      </c>
      <c r="AN117" s="251">
        <f>IF(SecondaryTransport[[#This Row],[Bale_ID]]="9000-01","costs elsewhere",SecondaryTransport[[#This Row],[Total_Baled_tons]]*SecondaryTransport[[#This Row],[Miles]])</f>
        <v>4793786.2342436183</v>
      </c>
      <c r="AO117" s="352" t="str">
        <f>IF(LEFT(SecondaryTransport[[#This Row],[Bale_ID]],1)*1=5,IF(OR(SecondaryTransport[[#This Row],[MRF_ID]]="02",SecondaryTransport[[#This Row],[MRF_ID]]="08"),2,1),"")</f>
        <v/>
      </c>
      <c r="AP1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7" s="224" t="str">
        <f>IFERROR(IF(1*LEFT(SecondaryTransport[[#This Row],[Bale_ID]],1)=5,SecondaryTransport[[#This Row],[Ton-Miles]]*SecondaryTransport[[#This Row],[Cost_Per_Ton-Mile]],""),"")</f>
        <v/>
      </c>
      <c r="AS117" s="224">
        <f>IFERROR(IF(SecondaryTransport[[#This Row],[Container_Transfer]]="",(SecondaryTransport[[#This Row],[Ton-Miles]]*SecondaryTransport[[#This Row],[Cost_Per_Ton-Mile]]),""),"")</f>
        <v>1486073.7326155216</v>
      </c>
    </row>
    <row r="118" spans="3:45" ht="15" x14ac:dyDescent="0.25">
      <c r="C118"/>
      <c r="D118"/>
      <c r="L118" s="446" t="s">
        <v>875</v>
      </c>
      <c r="M118" s="446">
        <v>4</v>
      </c>
      <c r="N118" s="446">
        <v>1</v>
      </c>
      <c r="O118" s="446" t="s">
        <v>752</v>
      </c>
      <c r="P118" s="450" t="s">
        <v>719</v>
      </c>
      <c r="Q118" s="450"/>
      <c r="R118" s="450"/>
      <c r="S118" s="449" t="s">
        <v>964</v>
      </c>
      <c r="T118" s="449" t="s">
        <v>1055</v>
      </c>
      <c r="U118" s="452">
        <v>0</v>
      </c>
      <c r="V1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 s="272" t="str">
        <f>IFERROR(SUMIFS(TransUnitCost[Miles],TransUnitCost[Grouping_ID],TransTonsShort[[#This Row],[Grouping_ID]],TransUnitCost[Transp_ID],TransTonsShort[[#This Row],[Transp_ID]])*TransTonsShort[[#This Row],[Trans_Tons_All]]/TransTonsShort[[#This Row],[Trans_Tons_All]],"")</f>
        <v/>
      </c>
      <c r="X118" s="386" t="str">
        <f>TransTonsShort[[#This Row],[Grouping_ID]]&amp;"-"&amp;TransTonsShort[[#This Row],[Sector_ID]]</f>
        <v>4-1</v>
      </c>
      <c r="Y1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8" s="421">
        <f>INDEX(LandfillFees[Disposal Tip Fee 2025],MATCH(TransTonsShort[[#This Row],[Grouping_ID]],LandfillFees[Grouping_ID],0))</f>
        <v>72.030938699729589</v>
      </c>
      <c r="AA118" s="102">
        <f>IF(OR(TransTonsShort[[#This Row],[CollectionStream_ID]]="03",TransTonsShort[[#This Row],[CollectionStream_ID]]="04",TransTonsShort[[#This Row],[CollectionStream_ID]]="13"),0,TransTonsShort[[#This Row],[Trans_Tons_All]]*TransTonsShort[[#This Row],[Disposal_Fee]])</f>
        <v>0</v>
      </c>
      <c r="AF118" s="446" t="s">
        <v>1291</v>
      </c>
      <c r="AG118" s="442" t="str">
        <f>LEFT(SecondaryTransport[[#This Row],[Scenario_MRF_Bale_ID]],2)</f>
        <v>S3</v>
      </c>
      <c r="AH118" s="181" t="str">
        <f>LEFT(RIGHT(SecondaryTransport[[#This Row],[Scenario_MRF_Bale_ID]],10),2)</f>
        <v>03</v>
      </c>
      <c r="AI118" s="181" t="str">
        <f>INDEX(MRFs[MRF_Name],MATCH(SecondaryTransport[[#This Row],[MRF_ID]],MRFs[MRF_ID],0))</f>
        <v>5 MRFs for SS with fiber upgrades (Portland)</v>
      </c>
      <c r="AJ118" s="181" t="str">
        <f>RIGHT(SecondaryTransport[[#This Row],[Scenario_MRF_Bale_ID]],7)</f>
        <v>1000-01</v>
      </c>
      <c r="AK118" s="181" t="str">
        <f>INDEX(Bales[Bale_Name],MATCH(SecondaryTransport[[#This Row],[Bale_ID]],Bales[Bale_ID],0))</f>
        <v>OCC (corrugated cardboard) </v>
      </c>
      <c r="AL118" s="443">
        <f>INDEX(BaleMover[Total_Baled_tons],MATCH(SecondaryTransport[[#This Row],[Scenario_MRF_Bale_ID]],BaleMover[Scenario_MRF_Bale_ID],0))</f>
        <v>95887.278403669203</v>
      </c>
      <c r="AM118" s="443">
        <f>IF(INDEX(BaleMover[Miles],MATCH(SecondaryTransport[[#This Row],[Scenario_MRF_Bale_ID]],BaleMover[Scenario_MRF_Bale_ID],0))="",0,INDEX(BaleMover[Miles],MATCH(SecondaryTransport[[#This Row],[Scenario_MRF_Bale_ID]],BaleMover[Scenario_MRF_Bale_ID],0)))</f>
        <v>50</v>
      </c>
      <c r="AN118" s="251">
        <f>IF(SecondaryTransport[[#This Row],[Bale_ID]]="9000-01","costs elsewhere",SecondaryTransport[[#This Row],[Total_Baled_tons]]*SecondaryTransport[[#This Row],[Miles]])</f>
        <v>4794363.9201834602</v>
      </c>
      <c r="AO118" s="352" t="str">
        <f>IF(LEFT(SecondaryTransport[[#This Row],[Bale_ID]],1)*1=5,IF(OR(SecondaryTransport[[#This Row],[MRF_ID]]="02",SecondaryTransport[[#This Row],[MRF_ID]]="08"),2,1),"")</f>
        <v/>
      </c>
      <c r="AP1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18" s="224" t="str">
        <f>IFERROR(IF(1*LEFT(SecondaryTransport[[#This Row],[Bale_ID]],1)=5,SecondaryTransport[[#This Row],[Ton-Miles]]*SecondaryTransport[[#This Row],[Cost_Per_Ton-Mile]],""),"")</f>
        <v/>
      </c>
      <c r="AS118" s="224">
        <f>IFERROR(IF(SecondaryTransport[[#This Row],[Container_Transfer]]="",(SecondaryTransport[[#This Row],[Ton-Miles]]*SecondaryTransport[[#This Row],[Cost_Per_Ton-Mile]]),""),"")</f>
        <v>1486252.8152568727</v>
      </c>
    </row>
    <row r="119" spans="3:45" ht="15" x14ac:dyDescent="0.25">
      <c r="C119"/>
      <c r="D119"/>
      <c r="L119" s="446" t="s">
        <v>875</v>
      </c>
      <c r="M119" s="446">
        <v>1</v>
      </c>
      <c r="N119" s="446">
        <v>1</v>
      </c>
      <c r="O119" s="446" t="s">
        <v>752</v>
      </c>
      <c r="P119" s="449" t="s">
        <v>700</v>
      </c>
      <c r="Q119" s="449"/>
      <c r="R119" s="449"/>
      <c r="S119" s="449" t="s">
        <v>964</v>
      </c>
      <c r="T119" s="449" t="s">
        <v>701</v>
      </c>
      <c r="U119" s="452">
        <v>0</v>
      </c>
      <c r="V1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 s="272" t="str">
        <f>IFERROR(SUMIFS(TransUnitCost[Miles],TransUnitCost[Grouping_ID],TransTonsShort[[#This Row],[Grouping_ID]],TransUnitCost[Transp_ID],TransTonsShort[[#This Row],[Transp_ID]])*TransTonsShort[[#This Row],[Trans_Tons_All]]/TransTonsShort[[#This Row],[Trans_Tons_All]],"")</f>
        <v/>
      </c>
      <c r="X119" s="386" t="str">
        <f>TransTonsShort[[#This Row],[Grouping_ID]]&amp;"-"&amp;TransTonsShort[[#This Row],[Sector_ID]]</f>
        <v>1-1</v>
      </c>
      <c r="Y1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 s="421">
        <f>INDEX(LandfillFees[Disposal Tip Fee 2025],MATCH(TransTonsShort[[#This Row],[Grouping_ID]],LandfillFees[Grouping_ID],0))</f>
        <v>134.68</v>
      </c>
      <c r="AA119" s="102">
        <f>IF(OR(TransTonsShort[[#This Row],[CollectionStream_ID]]="03",TransTonsShort[[#This Row],[CollectionStream_ID]]="04",TransTonsShort[[#This Row],[CollectionStream_ID]]="13"),0,TransTonsShort[[#This Row],[Trans_Tons_All]]*TransTonsShort[[#This Row],[Disposal_Fee]])</f>
        <v>0</v>
      </c>
      <c r="AF119" s="446" t="s">
        <v>1292</v>
      </c>
      <c r="AG119" s="442" t="str">
        <f>LEFT(SecondaryTransport[[#This Row],[Scenario_MRF_Bale_ID]],2)</f>
        <v>S0</v>
      </c>
      <c r="AH119" s="181" t="str">
        <f>LEFT(RIGHT(SecondaryTransport[[#This Row],[Scenario_MRF_Bale_ID]],10),2)</f>
        <v>03</v>
      </c>
      <c r="AI119" s="181" t="str">
        <f>INDEX(MRFs[MRF_Name],MATCH(SecondaryTransport[[#This Row],[MRF_ID]],MRFs[MRF_ID],0))</f>
        <v>5 MRFs for SS with fiber upgrades (Portland)</v>
      </c>
      <c r="AJ119" s="181" t="str">
        <f>RIGHT(SecondaryTransport[[#This Row],[Scenario_MRF_Bale_ID]],7)</f>
        <v>1000-02</v>
      </c>
      <c r="AK119" s="181" t="str">
        <f>INDEX(Bales[Bale_Name],MATCH(SecondaryTransport[[#This Row],[Bale_ID]],Bales[Bale_ID],0))</f>
        <v>Sorted clean newsprint</v>
      </c>
      <c r="AL119" s="443">
        <f>INDEX(BaleMover[Total_Baled_tons],MATCH(SecondaryTransport[[#This Row],[Scenario_MRF_Bale_ID]],BaleMover[Scenario_MRF_Bale_ID],0))</f>
        <v>0</v>
      </c>
      <c r="AM119" s="443">
        <f>IF(INDEX(BaleMover[Miles],MATCH(SecondaryTransport[[#This Row],[Scenario_MRF_Bale_ID]],BaleMover[Scenario_MRF_Bale_ID],0))="",0,INDEX(BaleMover[Miles],MATCH(SecondaryTransport[[#This Row],[Scenario_MRF_Bale_ID]],BaleMover[Scenario_MRF_Bale_ID],0)))</f>
        <v>0</v>
      </c>
      <c r="AN119" s="251">
        <f>IF(SecondaryTransport[[#This Row],[Bale_ID]]="9000-01","costs elsewhere",SecondaryTransport[[#This Row],[Total_Baled_tons]]*SecondaryTransport[[#This Row],[Miles]])</f>
        <v>0</v>
      </c>
      <c r="AO119" s="352" t="str">
        <f>IF(LEFT(SecondaryTransport[[#This Row],[Bale_ID]],1)*1=5,IF(OR(SecondaryTransport[[#This Row],[MRF_ID]]="02",SecondaryTransport[[#This Row],[MRF_ID]]="08"),2,1),"")</f>
        <v/>
      </c>
      <c r="AP1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1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19" s="224" t="str">
        <f>IFERROR(IF(1*LEFT(SecondaryTransport[[#This Row],[Bale_ID]],1)=5,SecondaryTransport[[#This Row],[Ton-Miles]]*SecondaryTransport[[#This Row],[Cost_Per_Ton-Mile]],""),"")</f>
        <v/>
      </c>
      <c r="AS119" s="224" t="str">
        <f>IFERROR(IF(SecondaryTransport[[#This Row],[Container_Transfer]]="",(SecondaryTransport[[#This Row],[Ton-Miles]]*SecondaryTransport[[#This Row],[Cost_Per_Ton-Mile]]),""),"")</f>
        <v/>
      </c>
    </row>
    <row r="120" spans="3:45" ht="15" x14ac:dyDescent="0.25">
      <c r="C120"/>
      <c r="D120"/>
      <c r="L120" s="446" t="s">
        <v>875</v>
      </c>
      <c r="M120" s="446">
        <v>2</v>
      </c>
      <c r="N120" s="446">
        <v>1</v>
      </c>
      <c r="O120" s="446" t="s">
        <v>752</v>
      </c>
      <c r="P120" s="449" t="s">
        <v>700</v>
      </c>
      <c r="Q120" s="449"/>
      <c r="R120" s="449"/>
      <c r="S120" s="449" t="s">
        <v>964</v>
      </c>
      <c r="T120" s="449" t="s">
        <v>701</v>
      </c>
      <c r="U120" s="452">
        <v>0</v>
      </c>
      <c r="V1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 s="272" t="str">
        <f>IFERROR(SUMIFS(TransUnitCost[Miles],TransUnitCost[Grouping_ID],TransTonsShort[[#This Row],[Grouping_ID]],TransUnitCost[Transp_ID],TransTonsShort[[#This Row],[Transp_ID]])*TransTonsShort[[#This Row],[Trans_Tons_All]]/TransTonsShort[[#This Row],[Trans_Tons_All]],"")</f>
        <v/>
      </c>
      <c r="X120" s="386" t="str">
        <f>TransTonsShort[[#This Row],[Grouping_ID]]&amp;"-"&amp;TransTonsShort[[#This Row],[Sector_ID]]</f>
        <v>2-1</v>
      </c>
      <c r="Y1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 s="421">
        <f>INDEX(LandfillFees[Disposal Tip Fee 2025],MATCH(TransTonsShort[[#This Row],[Grouping_ID]],LandfillFees[Grouping_ID],0))</f>
        <v>72.030938699729589</v>
      </c>
      <c r="AA120" s="102">
        <f>IF(OR(TransTonsShort[[#This Row],[CollectionStream_ID]]="03",TransTonsShort[[#This Row],[CollectionStream_ID]]="04",TransTonsShort[[#This Row],[CollectionStream_ID]]="13"),0,TransTonsShort[[#This Row],[Trans_Tons_All]]*TransTonsShort[[#This Row],[Disposal_Fee]])</f>
        <v>0</v>
      </c>
      <c r="AF120" s="446" t="s">
        <v>1293</v>
      </c>
      <c r="AG120" s="442" t="str">
        <f>LEFT(SecondaryTransport[[#This Row],[Scenario_MRF_Bale_ID]],2)</f>
        <v>S1</v>
      </c>
      <c r="AH120" s="181" t="str">
        <f>LEFT(RIGHT(SecondaryTransport[[#This Row],[Scenario_MRF_Bale_ID]],10),2)</f>
        <v>03</v>
      </c>
      <c r="AI120" s="181" t="str">
        <f>INDEX(MRFs[MRF_Name],MATCH(SecondaryTransport[[#This Row],[MRF_ID]],MRFs[MRF_ID],0))</f>
        <v>5 MRFs for SS with fiber upgrades (Portland)</v>
      </c>
      <c r="AJ120" s="181" t="str">
        <f>RIGHT(SecondaryTransport[[#This Row],[Scenario_MRF_Bale_ID]],7)</f>
        <v>1000-02</v>
      </c>
      <c r="AK120" s="181" t="str">
        <f>INDEX(Bales[Bale_Name],MATCH(SecondaryTransport[[#This Row],[Bale_ID]],Bales[Bale_ID],0))</f>
        <v>Sorted clean newsprint</v>
      </c>
      <c r="AL120" s="443">
        <f>INDEX(BaleMover[Total_Baled_tons],MATCH(SecondaryTransport[[#This Row],[Scenario_MRF_Bale_ID]],BaleMover[Scenario_MRF_Bale_ID],0))</f>
        <v>0</v>
      </c>
      <c r="AM120" s="443">
        <f>IF(INDEX(BaleMover[Miles],MATCH(SecondaryTransport[[#This Row],[Scenario_MRF_Bale_ID]],BaleMover[Scenario_MRF_Bale_ID],0))="",0,INDEX(BaleMover[Miles],MATCH(SecondaryTransport[[#This Row],[Scenario_MRF_Bale_ID]],BaleMover[Scenario_MRF_Bale_ID],0)))</f>
        <v>0</v>
      </c>
      <c r="AN120" s="251">
        <f>IF(SecondaryTransport[[#This Row],[Bale_ID]]="9000-01","costs elsewhere",SecondaryTransport[[#This Row],[Total_Baled_tons]]*SecondaryTransport[[#This Row],[Miles]])</f>
        <v>0</v>
      </c>
      <c r="AO120" s="352" t="str">
        <f>IF(LEFT(SecondaryTransport[[#This Row],[Bale_ID]],1)*1=5,IF(OR(SecondaryTransport[[#This Row],[MRF_ID]]="02",SecondaryTransport[[#This Row],[MRF_ID]]="08"),2,1),"")</f>
        <v/>
      </c>
      <c r="AP1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0" s="224" t="str">
        <f>IFERROR(IF(1*LEFT(SecondaryTransport[[#This Row],[Bale_ID]],1)=5,SecondaryTransport[[#This Row],[Ton-Miles]]*SecondaryTransport[[#This Row],[Cost_Per_Ton-Mile]],""),"")</f>
        <v/>
      </c>
      <c r="AS120" s="224" t="str">
        <f>IFERROR(IF(SecondaryTransport[[#This Row],[Container_Transfer]]="",(SecondaryTransport[[#This Row],[Ton-Miles]]*SecondaryTransport[[#This Row],[Cost_Per_Ton-Mile]]),""),"")</f>
        <v/>
      </c>
    </row>
    <row r="121" spans="3:45" ht="15" x14ac:dyDescent="0.25">
      <c r="C121"/>
      <c r="D121"/>
      <c r="L121" s="446" t="s">
        <v>875</v>
      </c>
      <c r="M121" s="446">
        <v>3</v>
      </c>
      <c r="N121" s="446">
        <v>1</v>
      </c>
      <c r="O121" s="446" t="s">
        <v>752</v>
      </c>
      <c r="P121" s="449" t="s">
        <v>700</v>
      </c>
      <c r="Q121" s="449"/>
      <c r="R121" s="449"/>
      <c r="S121" s="449" t="s">
        <v>964</v>
      </c>
      <c r="T121" s="449" t="s">
        <v>701</v>
      </c>
      <c r="U121" s="452">
        <v>0</v>
      </c>
      <c r="V1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1" s="272" t="str">
        <f>IFERROR(SUMIFS(TransUnitCost[Miles],TransUnitCost[Grouping_ID],TransTonsShort[[#This Row],[Grouping_ID]],TransUnitCost[Transp_ID],TransTonsShort[[#This Row],[Transp_ID]])*TransTonsShort[[#This Row],[Trans_Tons_All]]/TransTonsShort[[#This Row],[Trans_Tons_All]],"")</f>
        <v/>
      </c>
      <c r="X121" s="386" t="str">
        <f>TransTonsShort[[#This Row],[Grouping_ID]]&amp;"-"&amp;TransTonsShort[[#This Row],[Sector_ID]]</f>
        <v>3-1</v>
      </c>
      <c r="Y1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 s="421">
        <f>INDEX(LandfillFees[Disposal Tip Fee 2025],MATCH(TransTonsShort[[#This Row],[Grouping_ID]],LandfillFees[Grouping_ID],0))</f>
        <v>72.030938699729589</v>
      </c>
      <c r="AA121" s="102">
        <f>IF(OR(TransTonsShort[[#This Row],[CollectionStream_ID]]="03",TransTonsShort[[#This Row],[CollectionStream_ID]]="04",TransTonsShort[[#This Row],[CollectionStream_ID]]="13"),0,TransTonsShort[[#This Row],[Trans_Tons_All]]*TransTonsShort[[#This Row],[Disposal_Fee]])</f>
        <v>0</v>
      </c>
      <c r="AF121" s="446" t="s">
        <v>1294</v>
      </c>
      <c r="AG121" s="442" t="str">
        <f>LEFT(SecondaryTransport[[#This Row],[Scenario_MRF_Bale_ID]],2)</f>
        <v>S2</v>
      </c>
      <c r="AH121" s="181" t="str">
        <f>LEFT(RIGHT(SecondaryTransport[[#This Row],[Scenario_MRF_Bale_ID]],10),2)</f>
        <v>03</v>
      </c>
      <c r="AI121" s="181" t="str">
        <f>INDEX(MRFs[MRF_Name],MATCH(SecondaryTransport[[#This Row],[MRF_ID]],MRFs[MRF_ID],0))</f>
        <v>5 MRFs for SS with fiber upgrades (Portland)</v>
      </c>
      <c r="AJ121" s="181" t="str">
        <f>RIGHT(SecondaryTransport[[#This Row],[Scenario_MRF_Bale_ID]],7)</f>
        <v>1000-02</v>
      </c>
      <c r="AK121" s="181" t="str">
        <f>INDEX(Bales[Bale_Name],MATCH(SecondaryTransport[[#This Row],[Bale_ID]],Bales[Bale_ID],0))</f>
        <v>Sorted clean newsprint</v>
      </c>
      <c r="AL121" s="443">
        <f>INDEX(BaleMover[Total_Baled_tons],MATCH(SecondaryTransport[[#This Row],[Scenario_MRF_Bale_ID]],BaleMover[Scenario_MRF_Bale_ID],0))</f>
        <v>0</v>
      </c>
      <c r="AM121" s="443">
        <f>IF(INDEX(BaleMover[Miles],MATCH(SecondaryTransport[[#This Row],[Scenario_MRF_Bale_ID]],BaleMover[Scenario_MRF_Bale_ID],0))="",0,INDEX(BaleMover[Miles],MATCH(SecondaryTransport[[#This Row],[Scenario_MRF_Bale_ID]],BaleMover[Scenario_MRF_Bale_ID],0)))</f>
        <v>0</v>
      </c>
      <c r="AN121" s="251">
        <f>IF(SecondaryTransport[[#This Row],[Bale_ID]]="9000-01","costs elsewhere",SecondaryTransport[[#This Row],[Total_Baled_tons]]*SecondaryTransport[[#This Row],[Miles]])</f>
        <v>0</v>
      </c>
      <c r="AO121" s="352" t="str">
        <f>IF(LEFT(SecondaryTransport[[#This Row],[Bale_ID]],1)*1=5,IF(OR(SecondaryTransport[[#This Row],[MRF_ID]]="02",SecondaryTransport[[#This Row],[MRF_ID]]="08"),2,1),"")</f>
        <v/>
      </c>
      <c r="AP1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1" s="224" t="str">
        <f>IFERROR(IF(1*LEFT(SecondaryTransport[[#This Row],[Bale_ID]],1)=5,SecondaryTransport[[#This Row],[Ton-Miles]]*SecondaryTransport[[#This Row],[Cost_Per_Ton-Mile]],""),"")</f>
        <v/>
      </c>
      <c r="AS121" s="224" t="str">
        <f>IFERROR(IF(SecondaryTransport[[#This Row],[Container_Transfer]]="",(SecondaryTransport[[#This Row],[Ton-Miles]]*SecondaryTransport[[#This Row],[Cost_Per_Ton-Mile]]),""),"")</f>
        <v/>
      </c>
    </row>
    <row r="122" spans="3:45" ht="15" x14ac:dyDescent="0.25">
      <c r="C122"/>
      <c r="D122"/>
      <c r="L122" s="446" t="s">
        <v>875</v>
      </c>
      <c r="M122" s="446">
        <v>4</v>
      </c>
      <c r="N122" s="446">
        <v>1</v>
      </c>
      <c r="O122" s="446" t="s">
        <v>752</v>
      </c>
      <c r="P122" s="449" t="s">
        <v>700</v>
      </c>
      <c r="Q122" s="449"/>
      <c r="R122" s="449"/>
      <c r="S122" s="449" t="s">
        <v>964</v>
      </c>
      <c r="T122" s="449" t="s">
        <v>701</v>
      </c>
      <c r="U122" s="452">
        <v>0</v>
      </c>
      <c r="V1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 s="272" t="str">
        <f>IFERROR(SUMIFS(TransUnitCost[Miles],TransUnitCost[Grouping_ID],TransTonsShort[[#This Row],[Grouping_ID]],TransUnitCost[Transp_ID],TransTonsShort[[#This Row],[Transp_ID]])*TransTonsShort[[#This Row],[Trans_Tons_All]]/TransTonsShort[[#This Row],[Trans_Tons_All]],"")</f>
        <v/>
      </c>
      <c r="X122" s="386" t="str">
        <f>TransTonsShort[[#This Row],[Grouping_ID]]&amp;"-"&amp;TransTonsShort[[#This Row],[Sector_ID]]</f>
        <v>4-1</v>
      </c>
      <c r="Y1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2" s="421">
        <f>INDEX(LandfillFees[Disposal Tip Fee 2025],MATCH(TransTonsShort[[#This Row],[Grouping_ID]],LandfillFees[Grouping_ID],0))</f>
        <v>72.030938699729589</v>
      </c>
      <c r="AA122" s="102">
        <f>IF(OR(TransTonsShort[[#This Row],[CollectionStream_ID]]="03",TransTonsShort[[#This Row],[CollectionStream_ID]]="04",TransTonsShort[[#This Row],[CollectionStream_ID]]="13"),0,TransTonsShort[[#This Row],[Trans_Tons_All]]*TransTonsShort[[#This Row],[Disposal_Fee]])</f>
        <v>0</v>
      </c>
      <c r="AF122" s="446" t="s">
        <v>1295</v>
      </c>
      <c r="AG122" s="442" t="str">
        <f>LEFT(SecondaryTransport[[#This Row],[Scenario_MRF_Bale_ID]],2)</f>
        <v>S3</v>
      </c>
      <c r="AH122" s="181" t="str">
        <f>LEFT(RIGHT(SecondaryTransport[[#This Row],[Scenario_MRF_Bale_ID]],10),2)</f>
        <v>03</v>
      </c>
      <c r="AI122" s="181" t="str">
        <f>INDEX(MRFs[MRF_Name],MATCH(SecondaryTransport[[#This Row],[MRF_ID]],MRFs[MRF_ID],0))</f>
        <v>5 MRFs for SS with fiber upgrades (Portland)</v>
      </c>
      <c r="AJ122" s="181" t="str">
        <f>RIGHT(SecondaryTransport[[#This Row],[Scenario_MRF_Bale_ID]],7)</f>
        <v>1000-02</v>
      </c>
      <c r="AK122" s="181" t="str">
        <f>INDEX(Bales[Bale_Name],MATCH(SecondaryTransport[[#This Row],[Bale_ID]],Bales[Bale_ID],0))</f>
        <v>Sorted clean newsprint</v>
      </c>
      <c r="AL122" s="443">
        <f>INDEX(BaleMover[Total_Baled_tons],MATCH(SecondaryTransport[[#This Row],[Scenario_MRF_Bale_ID]],BaleMover[Scenario_MRF_Bale_ID],0))</f>
        <v>0</v>
      </c>
      <c r="AM122" s="443">
        <f>IF(INDEX(BaleMover[Miles],MATCH(SecondaryTransport[[#This Row],[Scenario_MRF_Bale_ID]],BaleMover[Scenario_MRF_Bale_ID],0))="",0,INDEX(BaleMover[Miles],MATCH(SecondaryTransport[[#This Row],[Scenario_MRF_Bale_ID]],BaleMover[Scenario_MRF_Bale_ID],0)))</f>
        <v>0</v>
      </c>
      <c r="AN122" s="251">
        <f>IF(SecondaryTransport[[#This Row],[Bale_ID]]="9000-01","costs elsewhere",SecondaryTransport[[#This Row],[Total_Baled_tons]]*SecondaryTransport[[#This Row],[Miles]])</f>
        <v>0</v>
      </c>
      <c r="AO122" s="352" t="str">
        <f>IF(LEFT(SecondaryTransport[[#This Row],[Bale_ID]],1)*1=5,IF(OR(SecondaryTransport[[#This Row],[MRF_ID]]="02",SecondaryTransport[[#This Row],[MRF_ID]]="08"),2,1),"")</f>
        <v/>
      </c>
      <c r="AP1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2" s="224" t="str">
        <f>IFERROR(IF(1*LEFT(SecondaryTransport[[#This Row],[Bale_ID]],1)=5,SecondaryTransport[[#This Row],[Ton-Miles]]*SecondaryTransport[[#This Row],[Cost_Per_Ton-Mile]],""),"")</f>
        <v/>
      </c>
      <c r="AS122" s="224" t="str">
        <f>IFERROR(IF(SecondaryTransport[[#This Row],[Container_Transfer]]="",(SecondaryTransport[[#This Row],[Ton-Miles]]*SecondaryTransport[[#This Row],[Cost_Per_Ton-Mile]]),""),"")</f>
        <v/>
      </c>
    </row>
    <row r="123" spans="3:45" ht="15" x14ac:dyDescent="0.25">
      <c r="C123"/>
      <c r="D123"/>
      <c r="L123" s="446" t="s">
        <v>875</v>
      </c>
      <c r="M123" s="446">
        <v>1</v>
      </c>
      <c r="N123" s="446">
        <v>1</v>
      </c>
      <c r="O123" s="446" t="s">
        <v>752</v>
      </c>
      <c r="P123" s="449" t="s">
        <v>706</v>
      </c>
      <c r="Q123" s="449"/>
      <c r="R123" s="449"/>
      <c r="S123" s="449" t="s">
        <v>964</v>
      </c>
      <c r="T123" s="449" t="s">
        <v>1025</v>
      </c>
      <c r="U123" s="452">
        <v>0</v>
      </c>
      <c r="V1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 s="272" t="str">
        <f>IFERROR(SUMIFS(TransUnitCost[Miles],TransUnitCost[Grouping_ID],TransTonsShort[[#This Row],[Grouping_ID]],TransUnitCost[Transp_ID],TransTonsShort[[#This Row],[Transp_ID]])*TransTonsShort[[#This Row],[Trans_Tons_All]]/TransTonsShort[[#This Row],[Trans_Tons_All]],"")</f>
        <v/>
      </c>
      <c r="X123" s="386" t="str">
        <f>TransTonsShort[[#This Row],[Grouping_ID]]&amp;"-"&amp;TransTonsShort[[#This Row],[Sector_ID]]</f>
        <v>1-1</v>
      </c>
      <c r="Y1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3" s="421">
        <f>INDEX(LandfillFees[Disposal Tip Fee 2025],MATCH(TransTonsShort[[#This Row],[Grouping_ID]],LandfillFees[Grouping_ID],0))</f>
        <v>134.68</v>
      </c>
      <c r="AA123" s="102">
        <f>IF(OR(TransTonsShort[[#This Row],[CollectionStream_ID]]="03",TransTonsShort[[#This Row],[CollectionStream_ID]]="04",TransTonsShort[[#This Row],[CollectionStream_ID]]="13"),0,TransTonsShort[[#This Row],[Trans_Tons_All]]*TransTonsShort[[#This Row],[Disposal_Fee]])</f>
        <v>0</v>
      </c>
      <c r="AF123" s="446" t="s">
        <v>1296</v>
      </c>
      <c r="AG123" s="442" t="str">
        <f>LEFT(SecondaryTransport[[#This Row],[Scenario_MRF_Bale_ID]],2)</f>
        <v>S0</v>
      </c>
      <c r="AH123" s="181" t="str">
        <f>LEFT(RIGHT(SecondaryTransport[[#This Row],[Scenario_MRF_Bale_ID]],10),2)</f>
        <v>03</v>
      </c>
      <c r="AI123" s="181" t="str">
        <f>INDEX(MRFs[MRF_Name],MATCH(SecondaryTransport[[#This Row],[MRF_ID]],MRFs[MRF_ID],0))</f>
        <v>5 MRFs for SS with fiber upgrades (Portland)</v>
      </c>
      <c r="AJ123" s="181" t="str">
        <f>RIGHT(SecondaryTransport[[#This Row],[Scenario_MRF_Bale_ID]],7)</f>
        <v>1000-03</v>
      </c>
      <c r="AK123" s="181" t="str">
        <f>INDEX(Bales[Bale_Name],MATCH(SecondaryTransport[[#This Row],[Bale_ID]],Bales[Bale_ID],0))</f>
        <v>Sorted residential paper and news</v>
      </c>
      <c r="AL123" s="443">
        <f>INDEX(BaleMover[Total_Baled_tons],MATCH(SecondaryTransport[[#This Row],[Scenario_MRF_Bale_ID]],BaleMover[Scenario_MRF_Bale_ID],0))</f>
        <v>524.99596609835976</v>
      </c>
      <c r="AM123" s="443">
        <f>IF(INDEX(BaleMover[Miles],MATCH(SecondaryTransport[[#This Row],[Scenario_MRF_Bale_ID]],BaleMover[Scenario_MRF_Bale_ID],0))="",0,INDEX(BaleMover[Miles],MATCH(SecondaryTransport[[#This Row],[Scenario_MRF_Bale_ID]],BaleMover[Scenario_MRF_Bale_ID],0)))</f>
        <v>50</v>
      </c>
      <c r="AN123" s="251">
        <f>IF(SecondaryTransport[[#This Row],[Bale_ID]]="9000-01","costs elsewhere",SecondaryTransport[[#This Row],[Total_Baled_tons]]*SecondaryTransport[[#This Row],[Miles]])</f>
        <v>26249.798304917989</v>
      </c>
      <c r="AO123" s="352" t="str">
        <f>IF(LEFT(SecondaryTransport[[#This Row],[Bale_ID]],1)*1=5,IF(OR(SecondaryTransport[[#This Row],[MRF_ID]]="02",SecondaryTransport[[#This Row],[MRF_ID]]="08"),2,1),"")</f>
        <v/>
      </c>
      <c r="AP1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23" s="224" t="str">
        <f>IFERROR(IF(1*LEFT(SecondaryTransport[[#This Row],[Bale_ID]],1)=5,SecondaryTransport[[#This Row],[Ton-Miles]]*SecondaryTransport[[#This Row],[Cost_Per_Ton-Mile]],""),"")</f>
        <v/>
      </c>
      <c r="AS123" s="224">
        <f>IFERROR(IF(SecondaryTransport[[#This Row],[Container_Transfer]]="",(SecondaryTransport[[#This Row],[Ton-Miles]]*SecondaryTransport[[#This Row],[Cost_Per_Ton-Mile]]),""),"")</f>
        <v>8137.4374745245768</v>
      </c>
    </row>
    <row r="124" spans="3:45" ht="15" x14ac:dyDescent="0.25">
      <c r="C124"/>
      <c r="D124"/>
      <c r="L124" s="446" t="s">
        <v>875</v>
      </c>
      <c r="M124" s="446">
        <v>2</v>
      </c>
      <c r="N124" s="446">
        <v>1</v>
      </c>
      <c r="O124" s="446" t="s">
        <v>752</v>
      </c>
      <c r="P124" s="449" t="s">
        <v>706</v>
      </c>
      <c r="Q124" s="449"/>
      <c r="R124" s="449"/>
      <c r="S124" s="449" t="s">
        <v>964</v>
      </c>
      <c r="T124" s="449" t="s">
        <v>1025</v>
      </c>
      <c r="U124" s="452">
        <v>0</v>
      </c>
      <c r="V1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 s="272" t="str">
        <f>IFERROR(SUMIFS(TransUnitCost[Miles],TransUnitCost[Grouping_ID],TransTonsShort[[#This Row],[Grouping_ID]],TransUnitCost[Transp_ID],TransTonsShort[[#This Row],[Transp_ID]])*TransTonsShort[[#This Row],[Trans_Tons_All]]/TransTonsShort[[#This Row],[Trans_Tons_All]],"")</f>
        <v/>
      </c>
      <c r="X124" s="386" t="str">
        <f>TransTonsShort[[#This Row],[Grouping_ID]]&amp;"-"&amp;TransTonsShort[[#This Row],[Sector_ID]]</f>
        <v>2-1</v>
      </c>
      <c r="Y1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4" s="421">
        <f>INDEX(LandfillFees[Disposal Tip Fee 2025],MATCH(TransTonsShort[[#This Row],[Grouping_ID]],LandfillFees[Grouping_ID],0))</f>
        <v>72.030938699729589</v>
      </c>
      <c r="AA124" s="102">
        <f>IF(OR(TransTonsShort[[#This Row],[CollectionStream_ID]]="03",TransTonsShort[[#This Row],[CollectionStream_ID]]="04",TransTonsShort[[#This Row],[CollectionStream_ID]]="13"),0,TransTonsShort[[#This Row],[Trans_Tons_All]]*TransTonsShort[[#This Row],[Disposal_Fee]])</f>
        <v>0</v>
      </c>
      <c r="AF124" s="446" t="s">
        <v>1297</v>
      </c>
      <c r="AG124" s="442" t="str">
        <f>LEFT(SecondaryTransport[[#This Row],[Scenario_MRF_Bale_ID]],2)</f>
        <v>S1</v>
      </c>
      <c r="AH124" s="181" t="str">
        <f>LEFT(RIGHT(SecondaryTransport[[#This Row],[Scenario_MRF_Bale_ID]],10),2)</f>
        <v>03</v>
      </c>
      <c r="AI124" s="181" t="str">
        <f>INDEX(MRFs[MRF_Name],MATCH(SecondaryTransport[[#This Row],[MRF_ID]],MRFs[MRF_ID],0))</f>
        <v>5 MRFs for SS with fiber upgrades (Portland)</v>
      </c>
      <c r="AJ124" s="181" t="str">
        <f>RIGHT(SecondaryTransport[[#This Row],[Scenario_MRF_Bale_ID]],7)</f>
        <v>1000-03</v>
      </c>
      <c r="AK124" s="181" t="str">
        <f>INDEX(Bales[Bale_Name],MATCH(SecondaryTransport[[#This Row],[Bale_ID]],Bales[Bale_ID],0))</f>
        <v>Sorted residential paper and news</v>
      </c>
      <c r="AL124" s="443">
        <f>INDEX(BaleMover[Total_Baled_tons],MATCH(SecondaryTransport[[#This Row],[Scenario_MRF_Bale_ID]],BaleMover[Scenario_MRF_Bale_ID],0))</f>
        <v>37142.199936910984</v>
      </c>
      <c r="AM124" s="443">
        <f>IF(INDEX(BaleMover[Miles],MATCH(SecondaryTransport[[#This Row],[Scenario_MRF_Bale_ID]],BaleMover[Scenario_MRF_Bale_ID],0))="",0,INDEX(BaleMover[Miles],MATCH(SecondaryTransport[[#This Row],[Scenario_MRF_Bale_ID]],BaleMover[Scenario_MRF_Bale_ID],0)))</f>
        <v>50</v>
      </c>
      <c r="AN124" s="251">
        <f>IF(SecondaryTransport[[#This Row],[Bale_ID]]="9000-01","costs elsewhere",SecondaryTransport[[#This Row],[Total_Baled_tons]]*SecondaryTransport[[#This Row],[Miles]])</f>
        <v>1857109.9968455492</v>
      </c>
      <c r="AO124" s="352" t="str">
        <f>IF(LEFT(SecondaryTransport[[#This Row],[Bale_ID]],1)*1=5,IF(OR(SecondaryTransport[[#This Row],[MRF_ID]]="02",SecondaryTransport[[#This Row],[MRF_ID]]="08"),2,1),"")</f>
        <v/>
      </c>
      <c r="AP1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24" s="224" t="str">
        <f>IFERROR(IF(1*LEFT(SecondaryTransport[[#This Row],[Bale_ID]],1)=5,SecondaryTransport[[#This Row],[Ton-Miles]]*SecondaryTransport[[#This Row],[Cost_Per_Ton-Mile]],""),"")</f>
        <v/>
      </c>
      <c r="AS124" s="224">
        <f>IFERROR(IF(SecondaryTransport[[#This Row],[Container_Transfer]]="",(SecondaryTransport[[#This Row],[Ton-Miles]]*SecondaryTransport[[#This Row],[Cost_Per_Ton-Mile]]),""),"")</f>
        <v>575704.09902212024</v>
      </c>
    </row>
    <row r="125" spans="3:45" ht="15" x14ac:dyDescent="0.25">
      <c r="C125"/>
      <c r="D125"/>
      <c r="L125" s="446" t="s">
        <v>875</v>
      </c>
      <c r="M125" s="446">
        <v>3</v>
      </c>
      <c r="N125" s="446">
        <v>1</v>
      </c>
      <c r="O125" s="446" t="s">
        <v>752</v>
      </c>
      <c r="P125" s="449" t="s">
        <v>706</v>
      </c>
      <c r="Q125" s="449"/>
      <c r="R125" s="449"/>
      <c r="S125" s="449" t="s">
        <v>964</v>
      </c>
      <c r="T125" s="449" t="s">
        <v>1025</v>
      </c>
      <c r="U125" s="452">
        <v>0</v>
      </c>
      <c r="V1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 s="272" t="str">
        <f>IFERROR(SUMIFS(TransUnitCost[Miles],TransUnitCost[Grouping_ID],TransTonsShort[[#This Row],[Grouping_ID]],TransUnitCost[Transp_ID],TransTonsShort[[#This Row],[Transp_ID]])*TransTonsShort[[#This Row],[Trans_Tons_All]]/TransTonsShort[[#This Row],[Trans_Tons_All]],"")</f>
        <v/>
      </c>
      <c r="X125" s="386" t="str">
        <f>TransTonsShort[[#This Row],[Grouping_ID]]&amp;"-"&amp;TransTonsShort[[#This Row],[Sector_ID]]</f>
        <v>3-1</v>
      </c>
      <c r="Y1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5" s="421">
        <f>INDEX(LandfillFees[Disposal Tip Fee 2025],MATCH(TransTonsShort[[#This Row],[Grouping_ID]],LandfillFees[Grouping_ID],0))</f>
        <v>72.030938699729589</v>
      </c>
      <c r="AA125" s="102">
        <f>IF(OR(TransTonsShort[[#This Row],[CollectionStream_ID]]="03",TransTonsShort[[#This Row],[CollectionStream_ID]]="04",TransTonsShort[[#This Row],[CollectionStream_ID]]="13"),0,TransTonsShort[[#This Row],[Trans_Tons_All]]*TransTonsShort[[#This Row],[Disposal_Fee]])</f>
        <v>0</v>
      </c>
      <c r="AF125" s="446" t="s">
        <v>1298</v>
      </c>
      <c r="AG125" s="442" t="str">
        <f>LEFT(SecondaryTransport[[#This Row],[Scenario_MRF_Bale_ID]],2)</f>
        <v>S2</v>
      </c>
      <c r="AH125" s="181" t="str">
        <f>LEFT(RIGHT(SecondaryTransport[[#This Row],[Scenario_MRF_Bale_ID]],10),2)</f>
        <v>03</v>
      </c>
      <c r="AI125" s="181" t="str">
        <f>INDEX(MRFs[MRF_Name],MATCH(SecondaryTransport[[#This Row],[MRF_ID]],MRFs[MRF_ID],0))</f>
        <v>5 MRFs for SS with fiber upgrades (Portland)</v>
      </c>
      <c r="AJ125" s="181" t="str">
        <f>RIGHT(SecondaryTransport[[#This Row],[Scenario_MRF_Bale_ID]],7)</f>
        <v>1000-03</v>
      </c>
      <c r="AK125" s="181" t="str">
        <f>INDEX(Bales[Bale_Name],MATCH(SecondaryTransport[[#This Row],[Bale_ID]],Bales[Bale_ID],0))</f>
        <v>Sorted residential paper and news</v>
      </c>
      <c r="AL125" s="443">
        <f>INDEX(BaleMover[Total_Baled_tons],MATCH(SecondaryTransport[[#This Row],[Scenario_MRF_Bale_ID]],BaleMover[Scenario_MRF_Bale_ID],0))</f>
        <v>38788.286555179679</v>
      </c>
      <c r="AM125" s="443">
        <f>IF(INDEX(BaleMover[Miles],MATCH(SecondaryTransport[[#This Row],[Scenario_MRF_Bale_ID]],BaleMover[Scenario_MRF_Bale_ID],0))="",0,INDEX(BaleMover[Miles],MATCH(SecondaryTransport[[#This Row],[Scenario_MRF_Bale_ID]],BaleMover[Scenario_MRF_Bale_ID],0)))</f>
        <v>50</v>
      </c>
      <c r="AN125" s="251">
        <f>IF(SecondaryTransport[[#This Row],[Bale_ID]]="9000-01","costs elsewhere",SecondaryTransport[[#This Row],[Total_Baled_tons]]*SecondaryTransport[[#This Row],[Miles]])</f>
        <v>1939414.3277589839</v>
      </c>
      <c r="AO125" s="352" t="str">
        <f>IF(LEFT(SecondaryTransport[[#This Row],[Bale_ID]],1)*1=5,IF(OR(SecondaryTransport[[#This Row],[MRF_ID]]="02",SecondaryTransport[[#This Row],[MRF_ID]]="08"),2,1),"")</f>
        <v/>
      </c>
      <c r="AP1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25" s="224" t="str">
        <f>IFERROR(IF(1*LEFT(SecondaryTransport[[#This Row],[Bale_ID]],1)=5,SecondaryTransport[[#This Row],[Ton-Miles]]*SecondaryTransport[[#This Row],[Cost_Per_Ton-Mile]],""),"")</f>
        <v/>
      </c>
      <c r="AS125" s="224">
        <f>IFERROR(IF(SecondaryTransport[[#This Row],[Container_Transfer]]="",(SecondaryTransport[[#This Row],[Ton-Miles]]*SecondaryTransport[[#This Row],[Cost_Per_Ton-Mile]]),""),"")</f>
        <v>601218.44160528504</v>
      </c>
    </row>
    <row r="126" spans="3:45" ht="15" x14ac:dyDescent="0.25">
      <c r="C126"/>
      <c r="D126"/>
      <c r="L126" s="446" t="s">
        <v>875</v>
      </c>
      <c r="M126" s="446">
        <v>4</v>
      </c>
      <c r="N126" s="446">
        <v>1</v>
      </c>
      <c r="O126" s="446" t="s">
        <v>752</v>
      </c>
      <c r="P126" s="449" t="s">
        <v>706</v>
      </c>
      <c r="Q126" s="449"/>
      <c r="R126" s="449"/>
      <c r="S126" s="449" t="s">
        <v>964</v>
      </c>
      <c r="T126" s="449" t="s">
        <v>1025</v>
      </c>
      <c r="U126" s="452">
        <v>0</v>
      </c>
      <c r="V1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 s="272" t="str">
        <f>IFERROR(SUMIFS(TransUnitCost[Miles],TransUnitCost[Grouping_ID],TransTonsShort[[#This Row],[Grouping_ID]],TransUnitCost[Transp_ID],TransTonsShort[[#This Row],[Transp_ID]])*TransTonsShort[[#This Row],[Trans_Tons_All]]/TransTonsShort[[#This Row],[Trans_Tons_All]],"")</f>
        <v/>
      </c>
      <c r="X126" s="386" t="str">
        <f>TransTonsShort[[#This Row],[Grouping_ID]]&amp;"-"&amp;TransTonsShort[[#This Row],[Sector_ID]]</f>
        <v>4-1</v>
      </c>
      <c r="Y1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 s="421">
        <f>INDEX(LandfillFees[Disposal Tip Fee 2025],MATCH(TransTonsShort[[#This Row],[Grouping_ID]],LandfillFees[Grouping_ID],0))</f>
        <v>72.030938699729589</v>
      </c>
      <c r="AA126" s="102">
        <f>IF(OR(TransTonsShort[[#This Row],[CollectionStream_ID]]="03",TransTonsShort[[#This Row],[CollectionStream_ID]]="04",TransTonsShort[[#This Row],[CollectionStream_ID]]="13"),0,TransTonsShort[[#This Row],[Trans_Tons_All]]*TransTonsShort[[#This Row],[Disposal_Fee]])</f>
        <v>0</v>
      </c>
      <c r="AF126" s="446" t="s">
        <v>1299</v>
      </c>
      <c r="AG126" s="442" t="str">
        <f>LEFT(SecondaryTransport[[#This Row],[Scenario_MRF_Bale_ID]],2)</f>
        <v>S3</v>
      </c>
      <c r="AH126" s="181" t="str">
        <f>LEFT(RIGHT(SecondaryTransport[[#This Row],[Scenario_MRF_Bale_ID]],10),2)</f>
        <v>03</v>
      </c>
      <c r="AI126" s="181" t="str">
        <f>INDEX(MRFs[MRF_Name],MATCH(SecondaryTransport[[#This Row],[MRF_ID]],MRFs[MRF_ID],0))</f>
        <v>5 MRFs for SS with fiber upgrades (Portland)</v>
      </c>
      <c r="AJ126" s="181" t="str">
        <f>RIGHT(SecondaryTransport[[#This Row],[Scenario_MRF_Bale_ID]],7)</f>
        <v>1000-03</v>
      </c>
      <c r="AK126" s="181" t="str">
        <f>INDEX(Bales[Bale_Name],MATCH(SecondaryTransport[[#This Row],[Bale_ID]],Bales[Bale_ID],0))</f>
        <v>Sorted residential paper and news</v>
      </c>
      <c r="AL126" s="443">
        <f>INDEX(BaleMover[Total_Baled_tons],MATCH(SecondaryTransport[[#This Row],[Scenario_MRF_Bale_ID]],BaleMover[Scenario_MRF_Bale_ID],0))</f>
        <v>38792.790118570025</v>
      </c>
      <c r="AM126" s="443">
        <f>IF(INDEX(BaleMover[Miles],MATCH(SecondaryTransport[[#This Row],[Scenario_MRF_Bale_ID]],BaleMover[Scenario_MRF_Bale_ID],0))="",0,INDEX(BaleMover[Miles],MATCH(SecondaryTransport[[#This Row],[Scenario_MRF_Bale_ID]],BaleMover[Scenario_MRF_Bale_ID],0)))</f>
        <v>50</v>
      </c>
      <c r="AN126" s="251">
        <f>IF(SecondaryTransport[[#This Row],[Bale_ID]]="9000-01","costs elsewhere",SecondaryTransport[[#This Row],[Total_Baled_tons]]*SecondaryTransport[[#This Row],[Miles]])</f>
        <v>1939639.5059285013</v>
      </c>
      <c r="AO126" s="352" t="str">
        <f>IF(LEFT(SecondaryTransport[[#This Row],[Bale_ID]],1)*1=5,IF(OR(SecondaryTransport[[#This Row],[MRF_ID]]="02",SecondaryTransport[[#This Row],[MRF_ID]]="08"),2,1),"")</f>
        <v/>
      </c>
      <c r="AP1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26" s="224" t="str">
        <f>IFERROR(IF(1*LEFT(SecondaryTransport[[#This Row],[Bale_ID]],1)=5,SecondaryTransport[[#This Row],[Ton-Miles]]*SecondaryTransport[[#This Row],[Cost_Per_Ton-Mile]],""),"")</f>
        <v/>
      </c>
      <c r="AS126" s="224">
        <f>IFERROR(IF(SecondaryTransport[[#This Row],[Container_Transfer]]="",(SecondaryTransport[[#This Row],[Ton-Miles]]*SecondaryTransport[[#This Row],[Cost_Per_Ton-Mile]]),""),"")</f>
        <v>601288.24683783541</v>
      </c>
    </row>
    <row r="127" spans="3:45" ht="15" x14ac:dyDescent="0.25">
      <c r="C127"/>
      <c r="D127"/>
      <c r="L127" s="446" t="s">
        <v>875</v>
      </c>
      <c r="M127" s="446">
        <v>1</v>
      </c>
      <c r="N127" s="446">
        <v>1</v>
      </c>
      <c r="O127" s="446" t="s">
        <v>750</v>
      </c>
      <c r="P127" s="449" t="s">
        <v>739</v>
      </c>
      <c r="Q127" s="449"/>
      <c r="R127" s="449"/>
      <c r="S127" s="449" t="s">
        <v>963</v>
      </c>
      <c r="T127" s="449" t="s">
        <v>1121</v>
      </c>
      <c r="U127" s="452">
        <v>0</v>
      </c>
      <c r="V1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 s="272" t="str">
        <f>IFERROR(SUMIFS(TransUnitCost[Miles],TransUnitCost[Grouping_ID],TransTonsShort[[#This Row],[Grouping_ID]],TransUnitCost[Transp_ID],TransTonsShort[[#This Row],[Transp_ID]])*TransTonsShort[[#This Row],[Trans_Tons_All]]/TransTonsShort[[#This Row],[Trans_Tons_All]],"")</f>
        <v/>
      </c>
      <c r="X127" s="386" t="str">
        <f>TransTonsShort[[#This Row],[Grouping_ID]]&amp;"-"&amp;TransTonsShort[[#This Row],[Sector_ID]]</f>
        <v>1-1</v>
      </c>
      <c r="Y1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 s="421">
        <f>INDEX(LandfillFees[Disposal Tip Fee 2025],MATCH(TransTonsShort[[#This Row],[Grouping_ID]],LandfillFees[Grouping_ID],0))</f>
        <v>134.68</v>
      </c>
      <c r="AA127" s="102">
        <f>IF(OR(TransTonsShort[[#This Row],[CollectionStream_ID]]="03",TransTonsShort[[#This Row],[CollectionStream_ID]]="04",TransTonsShort[[#This Row],[CollectionStream_ID]]="13"),0,TransTonsShort[[#This Row],[Trans_Tons_All]]*TransTonsShort[[#This Row],[Disposal_Fee]])</f>
        <v>0</v>
      </c>
      <c r="AF127" s="446" t="s">
        <v>1300</v>
      </c>
      <c r="AG127" s="442" t="str">
        <f>LEFT(SecondaryTransport[[#This Row],[Scenario_MRF_Bale_ID]],2)</f>
        <v>S0</v>
      </c>
      <c r="AH127" s="181" t="str">
        <f>LEFT(RIGHT(SecondaryTransport[[#This Row],[Scenario_MRF_Bale_ID]],10),2)</f>
        <v>03</v>
      </c>
      <c r="AI127" s="181" t="str">
        <f>INDEX(MRFs[MRF_Name],MATCH(SecondaryTransport[[#This Row],[MRF_ID]],MRFs[MRF_ID],0))</f>
        <v>5 MRFs for SS with fiber upgrades (Portland)</v>
      </c>
      <c r="AJ127" s="181" t="str">
        <f>RIGHT(SecondaryTransport[[#This Row],[Scenario_MRF_Bale_ID]],7)</f>
        <v>1000-04</v>
      </c>
      <c r="AK127" s="181" t="str">
        <f>INDEX(Bales[Bale_Name],MATCH(SecondaryTransport[[#This Row],[Bale_ID]],Bales[Bale_ID],0))</f>
        <v>Sorted office paper and sorted white ledger</v>
      </c>
      <c r="AL127" s="443">
        <f>INDEX(BaleMover[Total_Baled_tons],MATCH(SecondaryTransport[[#This Row],[Scenario_MRF_Bale_ID]],BaleMover[Scenario_MRF_Bale_ID],0))</f>
        <v>0</v>
      </c>
      <c r="AM127" s="443">
        <f>IF(INDEX(BaleMover[Miles],MATCH(SecondaryTransport[[#This Row],[Scenario_MRF_Bale_ID]],BaleMover[Scenario_MRF_Bale_ID],0))="",0,INDEX(BaleMover[Miles],MATCH(SecondaryTransport[[#This Row],[Scenario_MRF_Bale_ID]],BaleMover[Scenario_MRF_Bale_ID],0)))</f>
        <v>0</v>
      </c>
      <c r="AN127" s="251">
        <f>IF(SecondaryTransport[[#This Row],[Bale_ID]]="9000-01","costs elsewhere",SecondaryTransport[[#This Row],[Total_Baled_tons]]*SecondaryTransport[[#This Row],[Miles]])</f>
        <v>0</v>
      </c>
      <c r="AO127" s="352" t="str">
        <f>IF(LEFT(SecondaryTransport[[#This Row],[Bale_ID]],1)*1=5,IF(OR(SecondaryTransport[[#This Row],[MRF_ID]]="02",SecondaryTransport[[#This Row],[MRF_ID]]="08"),2,1),"")</f>
        <v/>
      </c>
      <c r="AP1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7" s="224" t="str">
        <f>IFERROR(IF(1*LEFT(SecondaryTransport[[#This Row],[Bale_ID]],1)=5,SecondaryTransport[[#This Row],[Ton-Miles]]*SecondaryTransport[[#This Row],[Cost_Per_Ton-Mile]],""),"")</f>
        <v/>
      </c>
      <c r="AS127" s="224" t="str">
        <f>IFERROR(IF(SecondaryTransport[[#This Row],[Container_Transfer]]="",(SecondaryTransport[[#This Row],[Ton-Miles]]*SecondaryTransport[[#This Row],[Cost_Per_Ton-Mile]]),""),"")</f>
        <v/>
      </c>
    </row>
    <row r="128" spans="3:45" ht="15" x14ac:dyDescent="0.25">
      <c r="C128"/>
      <c r="D128"/>
      <c r="L128" s="446" t="s">
        <v>875</v>
      </c>
      <c r="M128" s="446">
        <v>2</v>
      </c>
      <c r="N128" s="446">
        <v>1</v>
      </c>
      <c r="O128" s="446" t="s">
        <v>750</v>
      </c>
      <c r="P128" s="449" t="s">
        <v>739</v>
      </c>
      <c r="Q128" s="449"/>
      <c r="R128" s="449"/>
      <c r="S128" s="449" t="s">
        <v>963</v>
      </c>
      <c r="T128" s="449" t="s">
        <v>1121</v>
      </c>
      <c r="U128" s="452">
        <v>0</v>
      </c>
      <c r="V1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8" s="272" t="str">
        <f>IFERROR(SUMIFS(TransUnitCost[Miles],TransUnitCost[Grouping_ID],TransTonsShort[[#This Row],[Grouping_ID]],TransUnitCost[Transp_ID],TransTonsShort[[#This Row],[Transp_ID]])*TransTonsShort[[#This Row],[Trans_Tons_All]]/TransTonsShort[[#This Row],[Trans_Tons_All]],"")</f>
        <v/>
      </c>
      <c r="X128" s="386" t="str">
        <f>TransTonsShort[[#This Row],[Grouping_ID]]&amp;"-"&amp;TransTonsShort[[#This Row],[Sector_ID]]</f>
        <v>2-1</v>
      </c>
      <c r="Y1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 s="421">
        <f>INDEX(LandfillFees[Disposal Tip Fee 2025],MATCH(TransTonsShort[[#This Row],[Grouping_ID]],LandfillFees[Grouping_ID],0))</f>
        <v>72.030938699729589</v>
      </c>
      <c r="AA128" s="102">
        <f>IF(OR(TransTonsShort[[#This Row],[CollectionStream_ID]]="03",TransTonsShort[[#This Row],[CollectionStream_ID]]="04",TransTonsShort[[#This Row],[CollectionStream_ID]]="13"),0,TransTonsShort[[#This Row],[Trans_Tons_All]]*TransTonsShort[[#This Row],[Disposal_Fee]])</f>
        <v>0</v>
      </c>
      <c r="AF128" s="446" t="s">
        <v>1301</v>
      </c>
      <c r="AG128" s="442" t="str">
        <f>LEFT(SecondaryTransport[[#This Row],[Scenario_MRF_Bale_ID]],2)</f>
        <v>S1</v>
      </c>
      <c r="AH128" s="181" t="str">
        <f>LEFT(RIGHT(SecondaryTransport[[#This Row],[Scenario_MRF_Bale_ID]],10),2)</f>
        <v>03</v>
      </c>
      <c r="AI128" s="181" t="str">
        <f>INDEX(MRFs[MRF_Name],MATCH(SecondaryTransport[[#This Row],[MRF_ID]],MRFs[MRF_ID],0))</f>
        <v>5 MRFs for SS with fiber upgrades (Portland)</v>
      </c>
      <c r="AJ128" s="181" t="str">
        <f>RIGHT(SecondaryTransport[[#This Row],[Scenario_MRF_Bale_ID]],7)</f>
        <v>1000-04</v>
      </c>
      <c r="AK128" s="181" t="str">
        <f>INDEX(Bales[Bale_Name],MATCH(SecondaryTransport[[#This Row],[Bale_ID]],Bales[Bale_ID],0))</f>
        <v>Sorted office paper and sorted white ledger</v>
      </c>
      <c r="AL128" s="443">
        <f>INDEX(BaleMover[Total_Baled_tons],MATCH(SecondaryTransport[[#This Row],[Scenario_MRF_Bale_ID]],BaleMover[Scenario_MRF_Bale_ID],0))</f>
        <v>0</v>
      </c>
      <c r="AM128" s="443">
        <f>IF(INDEX(BaleMover[Miles],MATCH(SecondaryTransport[[#This Row],[Scenario_MRF_Bale_ID]],BaleMover[Scenario_MRF_Bale_ID],0))="",0,INDEX(BaleMover[Miles],MATCH(SecondaryTransport[[#This Row],[Scenario_MRF_Bale_ID]],BaleMover[Scenario_MRF_Bale_ID],0)))</f>
        <v>0</v>
      </c>
      <c r="AN128" s="251">
        <f>IF(SecondaryTransport[[#This Row],[Bale_ID]]="9000-01","costs elsewhere",SecondaryTransport[[#This Row],[Total_Baled_tons]]*SecondaryTransport[[#This Row],[Miles]])</f>
        <v>0</v>
      </c>
      <c r="AO128" s="352" t="str">
        <f>IF(LEFT(SecondaryTransport[[#This Row],[Bale_ID]],1)*1=5,IF(OR(SecondaryTransport[[#This Row],[MRF_ID]]="02",SecondaryTransport[[#This Row],[MRF_ID]]="08"),2,1),"")</f>
        <v/>
      </c>
      <c r="AP1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8" s="224" t="str">
        <f>IFERROR(IF(1*LEFT(SecondaryTransport[[#This Row],[Bale_ID]],1)=5,SecondaryTransport[[#This Row],[Ton-Miles]]*SecondaryTransport[[#This Row],[Cost_Per_Ton-Mile]],""),"")</f>
        <v/>
      </c>
      <c r="AS128" s="224" t="str">
        <f>IFERROR(IF(SecondaryTransport[[#This Row],[Container_Transfer]]="",(SecondaryTransport[[#This Row],[Ton-Miles]]*SecondaryTransport[[#This Row],[Cost_Per_Ton-Mile]]),""),"")</f>
        <v/>
      </c>
    </row>
    <row r="129" spans="3:45" ht="15" x14ac:dyDescent="0.25">
      <c r="C129"/>
      <c r="D129"/>
      <c r="L129" s="446" t="s">
        <v>875</v>
      </c>
      <c r="M129" s="446">
        <v>3</v>
      </c>
      <c r="N129" s="446">
        <v>1</v>
      </c>
      <c r="O129" s="446" t="s">
        <v>750</v>
      </c>
      <c r="P129" s="449" t="s">
        <v>739</v>
      </c>
      <c r="Q129" s="449"/>
      <c r="R129" s="449"/>
      <c r="S129" s="449" t="s">
        <v>963</v>
      </c>
      <c r="T129" s="449" t="s">
        <v>1121</v>
      </c>
      <c r="U129" s="452">
        <v>0</v>
      </c>
      <c r="V1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9" s="272" t="str">
        <f>IFERROR(SUMIFS(TransUnitCost[Miles],TransUnitCost[Grouping_ID],TransTonsShort[[#This Row],[Grouping_ID]],TransUnitCost[Transp_ID],TransTonsShort[[#This Row],[Transp_ID]])*TransTonsShort[[#This Row],[Trans_Tons_All]]/TransTonsShort[[#This Row],[Trans_Tons_All]],"")</f>
        <v/>
      </c>
      <c r="X129" s="386" t="str">
        <f>TransTonsShort[[#This Row],[Grouping_ID]]&amp;"-"&amp;TransTonsShort[[#This Row],[Sector_ID]]</f>
        <v>3-1</v>
      </c>
      <c r="Y1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9" s="421">
        <f>INDEX(LandfillFees[Disposal Tip Fee 2025],MATCH(TransTonsShort[[#This Row],[Grouping_ID]],LandfillFees[Grouping_ID],0))</f>
        <v>72.030938699729589</v>
      </c>
      <c r="AA129" s="102">
        <f>IF(OR(TransTonsShort[[#This Row],[CollectionStream_ID]]="03",TransTonsShort[[#This Row],[CollectionStream_ID]]="04",TransTonsShort[[#This Row],[CollectionStream_ID]]="13"),0,TransTonsShort[[#This Row],[Trans_Tons_All]]*TransTonsShort[[#This Row],[Disposal_Fee]])</f>
        <v>0</v>
      </c>
      <c r="AF129" s="446" t="s">
        <v>1302</v>
      </c>
      <c r="AG129" s="442" t="str">
        <f>LEFT(SecondaryTransport[[#This Row],[Scenario_MRF_Bale_ID]],2)</f>
        <v>S2</v>
      </c>
      <c r="AH129" s="181" t="str">
        <f>LEFT(RIGHT(SecondaryTransport[[#This Row],[Scenario_MRF_Bale_ID]],10),2)</f>
        <v>03</v>
      </c>
      <c r="AI129" s="181" t="str">
        <f>INDEX(MRFs[MRF_Name],MATCH(SecondaryTransport[[#This Row],[MRF_ID]],MRFs[MRF_ID],0))</f>
        <v>5 MRFs for SS with fiber upgrades (Portland)</v>
      </c>
      <c r="AJ129" s="181" t="str">
        <f>RIGHT(SecondaryTransport[[#This Row],[Scenario_MRF_Bale_ID]],7)</f>
        <v>1000-04</v>
      </c>
      <c r="AK129" s="181" t="str">
        <f>INDEX(Bales[Bale_Name],MATCH(SecondaryTransport[[#This Row],[Bale_ID]],Bales[Bale_ID],0))</f>
        <v>Sorted office paper and sorted white ledger</v>
      </c>
      <c r="AL129" s="443">
        <f>INDEX(BaleMover[Total_Baled_tons],MATCH(SecondaryTransport[[#This Row],[Scenario_MRF_Bale_ID]],BaleMover[Scenario_MRF_Bale_ID],0))</f>
        <v>0</v>
      </c>
      <c r="AM129" s="443">
        <f>IF(INDEX(BaleMover[Miles],MATCH(SecondaryTransport[[#This Row],[Scenario_MRF_Bale_ID]],BaleMover[Scenario_MRF_Bale_ID],0))="",0,INDEX(BaleMover[Miles],MATCH(SecondaryTransport[[#This Row],[Scenario_MRF_Bale_ID]],BaleMover[Scenario_MRF_Bale_ID],0)))</f>
        <v>0</v>
      </c>
      <c r="AN129" s="251">
        <f>IF(SecondaryTransport[[#This Row],[Bale_ID]]="9000-01","costs elsewhere",SecondaryTransport[[#This Row],[Total_Baled_tons]]*SecondaryTransport[[#This Row],[Miles]])</f>
        <v>0</v>
      </c>
      <c r="AO129" s="352" t="str">
        <f>IF(LEFT(SecondaryTransport[[#This Row],[Bale_ID]],1)*1=5,IF(OR(SecondaryTransport[[#This Row],[MRF_ID]]="02",SecondaryTransport[[#This Row],[MRF_ID]]="08"),2,1),"")</f>
        <v/>
      </c>
      <c r="AP1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2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29" s="224" t="str">
        <f>IFERROR(IF(1*LEFT(SecondaryTransport[[#This Row],[Bale_ID]],1)=5,SecondaryTransport[[#This Row],[Ton-Miles]]*SecondaryTransport[[#This Row],[Cost_Per_Ton-Mile]],""),"")</f>
        <v/>
      </c>
      <c r="AS129" s="224" t="str">
        <f>IFERROR(IF(SecondaryTransport[[#This Row],[Container_Transfer]]="",(SecondaryTransport[[#This Row],[Ton-Miles]]*SecondaryTransport[[#This Row],[Cost_Per_Ton-Mile]]),""),"")</f>
        <v/>
      </c>
    </row>
    <row r="130" spans="3:45" ht="15" x14ac:dyDescent="0.25">
      <c r="C130"/>
      <c r="D130"/>
      <c r="L130" s="446" t="s">
        <v>875</v>
      </c>
      <c r="M130" s="446">
        <v>4</v>
      </c>
      <c r="N130" s="446">
        <v>1</v>
      </c>
      <c r="O130" s="446" t="s">
        <v>750</v>
      </c>
      <c r="P130" s="449" t="s">
        <v>739</v>
      </c>
      <c r="Q130" s="449"/>
      <c r="R130" s="449"/>
      <c r="S130" s="449" t="s">
        <v>963</v>
      </c>
      <c r="T130" s="449" t="s">
        <v>1121</v>
      </c>
      <c r="U130" s="452">
        <v>0</v>
      </c>
      <c r="V1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0" s="272" t="str">
        <f>IFERROR(SUMIFS(TransUnitCost[Miles],TransUnitCost[Grouping_ID],TransTonsShort[[#This Row],[Grouping_ID]],TransUnitCost[Transp_ID],TransTonsShort[[#This Row],[Transp_ID]])*TransTonsShort[[#This Row],[Trans_Tons_All]]/TransTonsShort[[#This Row],[Trans_Tons_All]],"")</f>
        <v/>
      </c>
      <c r="X130" s="386" t="str">
        <f>TransTonsShort[[#This Row],[Grouping_ID]]&amp;"-"&amp;TransTonsShort[[#This Row],[Sector_ID]]</f>
        <v>4-1</v>
      </c>
      <c r="Y1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30" s="421">
        <f>INDEX(LandfillFees[Disposal Tip Fee 2025],MATCH(TransTonsShort[[#This Row],[Grouping_ID]],LandfillFees[Grouping_ID],0))</f>
        <v>72.030938699729589</v>
      </c>
      <c r="AA130" s="102">
        <f>IF(OR(TransTonsShort[[#This Row],[CollectionStream_ID]]="03",TransTonsShort[[#This Row],[CollectionStream_ID]]="04",TransTonsShort[[#This Row],[CollectionStream_ID]]="13"),0,TransTonsShort[[#This Row],[Trans_Tons_All]]*TransTonsShort[[#This Row],[Disposal_Fee]])</f>
        <v>0</v>
      </c>
      <c r="AF130" s="446" t="s">
        <v>1303</v>
      </c>
      <c r="AG130" s="442" t="str">
        <f>LEFT(SecondaryTransport[[#This Row],[Scenario_MRF_Bale_ID]],2)</f>
        <v>S3</v>
      </c>
      <c r="AH130" s="181" t="str">
        <f>LEFT(RIGHT(SecondaryTransport[[#This Row],[Scenario_MRF_Bale_ID]],10),2)</f>
        <v>03</v>
      </c>
      <c r="AI130" s="181" t="str">
        <f>INDEX(MRFs[MRF_Name],MATCH(SecondaryTransport[[#This Row],[MRF_ID]],MRFs[MRF_ID],0))</f>
        <v>5 MRFs for SS with fiber upgrades (Portland)</v>
      </c>
      <c r="AJ130" s="181" t="str">
        <f>RIGHT(SecondaryTransport[[#This Row],[Scenario_MRF_Bale_ID]],7)</f>
        <v>1000-04</v>
      </c>
      <c r="AK130" s="181" t="str">
        <f>INDEX(Bales[Bale_Name],MATCH(SecondaryTransport[[#This Row],[Bale_ID]],Bales[Bale_ID],0))</f>
        <v>Sorted office paper and sorted white ledger</v>
      </c>
      <c r="AL130" s="443">
        <f>INDEX(BaleMover[Total_Baled_tons],MATCH(SecondaryTransport[[#This Row],[Scenario_MRF_Bale_ID]],BaleMover[Scenario_MRF_Bale_ID],0))</f>
        <v>0</v>
      </c>
      <c r="AM130" s="443">
        <f>IF(INDEX(BaleMover[Miles],MATCH(SecondaryTransport[[#This Row],[Scenario_MRF_Bale_ID]],BaleMover[Scenario_MRF_Bale_ID],0))="",0,INDEX(BaleMover[Miles],MATCH(SecondaryTransport[[#This Row],[Scenario_MRF_Bale_ID]],BaleMover[Scenario_MRF_Bale_ID],0)))</f>
        <v>0</v>
      </c>
      <c r="AN130" s="251">
        <f>IF(SecondaryTransport[[#This Row],[Bale_ID]]="9000-01","costs elsewhere",SecondaryTransport[[#This Row],[Total_Baled_tons]]*SecondaryTransport[[#This Row],[Miles]])</f>
        <v>0</v>
      </c>
      <c r="AO130" s="352" t="str">
        <f>IF(LEFT(SecondaryTransport[[#This Row],[Bale_ID]],1)*1=5,IF(OR(SecondaryTransport[[#This Row],[MRF_ID]]="02",SecondaryTransport[[#This Row],[MRF_ID]]="08"),2,1),"")</f>
        <v/>
      </c>
      <c r="AP1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0" s="224" t="str">
        <f>IFERROR(IF(1*LEFT(SecondaryTransport[[#This Row],[Bale_ID]],1)=5,SecondaryTransport[[#This Row],[Ton-Miles]]*SecondaryTransport[[#This Row],[Cost_Per_Ton-Mile]],""),"")</f>
        <v/>
      </c>
      <c r="AS130" s="224" t="str">
        <f>IFERROR(IF(SecondaryTransport[[#This Row],[Container_Transfer]]="",(SecondaryTransport[[#This Row],[Ton-Miles]]*SecondaryTransport[[#This Row],[Cost_Per_Ton-Mile]]),""),"")</f>
        <v/>
      </c>
    </row>
    <row r="131" spans="3:45" ht="15" x14ac:dyDescent="0.25">
      <c r="C131"/>
      <c r="D131"/>
      <c r="L131" s="446" t="s">
        <v>875</v>
      </c>
      <c r="M131" s="446">
        <v>1</v>
      </c>
      <c r="N131" s="446">
        <v>1</v>
      </c>
      <c r="O131" s="446" t="s">
        <v>750</v>
      </c>
      <c r="P131" s="449" t="s">
        <v>700</v>
      </c>
      <c r="Q131" s="449"/>
      <c r="R131" s="449"/>
      <c r="S131" s="449" t="s">
        <v>963</v>
      </c>
      <c r="T131" s="449" t="s">
        <v>701</v>
      </c>
      <c r="U131" s="452">
        <v>0</v>
      </c>
      <c r="V1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1" s="272" t="str">
        <f>IFERROR(SUMIFS(TransUnitCost[Miles],TransUnitCost[Grouping_ID],TransTonsShort[[#This Row],[Grouping_ID]],TransUnitCost[Transp_ID],TransTonsShort[[#This Row],[Transp_ID]])*TransTonsShort[[#This Row],[Trans_Tons_All]]/TransTonsShort[[#This Row],[Trans_Tons_All]],"")</f>
        <v/>
      </c>
      <c r="X131" s="386" t="str">
        <f>TransTonsShort[[#This Row],[Grouping_ID]]&amp;"-"&amp;TransTonsShort[[#This Row],[Sector_ID]]</f>
        <v>1-1</v>
      </c>
      <c r="Y1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31" s="421">
        <f>INDEX(LandfillFees[Disposal Tip Fee 2025],MATCH(TransTonsShort[[#This Row],[Grouping_ID]],LandfillFees[Grouping_ID],0))</f>
        <v>134.68</v>
      </c>
      <c r="AA131" s="102">
        <f>IF(OR(TransTonsShort[[#This Row],[CollectionStream_ID]]="03",TransTonsShort[[#This Row],[CollectionStream_ID]]="04",TransTonsShort[[#This Row],[CollectionStream_ID]]="13"),0,TransTonsShort[[#This Row],[Trans_Tons_All]]*TransTonsShort[[#This Row],[Disposal_Fee]])</f>
        <v>0</v>
      </c>
      <c r="AF131" s="446" t="s">
        <v>1304</v>
      </c>
      <c r="AG131" s="442" t="str">
        <f>LEFT(SecondaryTransport[[#This Row],[Scenario_MRF_Bale_ID]],2)</f>
        <v>S0</v>
      </c>
      <c r="AH131" s="181" t="str">
        <f>LEFT(RIGHT(SecondaryTransport[[#This Row],[Scenario_MRF_Bale_ID]],10),2)</f>
        <v>03</v>
      </c>
      <c r="AI131" s="181" t="str">
        <f>INDEX(MRFs[MRF_Name],MATCH(SecondaryTransport[[#This Row],[MRF_ID]],MRFs[MRF_ID],0))</f>
        <v>5 MRFs for SS with fiber upgrades (Portland)</v>
      </c>
      <c r="AJ131" s="181" t="str">
        <f>RIGHT(SecondaryTransport[[#This Row],[Scenario_MRF_Bale_ID]],7)</f>
        <v>1000-05</v>
      </c>
      <c r="AK131" s="181" t="str">
        <f>INDEX(Bales[Bale_Name],MATCH(SecondaryTransport[[#This Row],[Bale_ID]],Bales[Bale_ID],0))</f>
        <v>Mixed paper</v>
      </c>
      <c r="AL131" s="443">
        <f>INDEX(BaleMover[Total_Baled_tons],MATCH(SecondaryTransport[[#This Row],[Scenario_MRF_Bale_ID]],BaleMover[Scenario_MRF_Bale_ID],0))</f>
        <v>74960.041534030344</v>
      </c>
      <c r="AM131" s="443">
        <f>IF(INDEX(BaleMover[Miles],MATCH(SecondaryTransport[[#This Row],[Scenario_MRF_Bale_ID]],BaleMover[Scenario_MRF_Bale_ID],0))="",0,INDEX(BaleMover[Miles],MATCH(SecondaryTransport[[#This Row],[Scenario_MRF_Bale_ID]],BaleMover[Scenario_MRF_Bale_ID],0)))</f>
        <v>50</v>
      </c>
      <c r="AN131" s="251">
        <f>IF(SecondaryTransport[[#This Row],[Bale_ID]]="9000-01","costs elsewhere",SecondaryTransport[[#This Row],[Total_Baled_tons]]*SecondaryTransport[[#This Row],[Miles]])</f>
        <v>3748002.0767015172</v>
      </c>
      <c r="AO131" s="352" t="str">
        <f>IF(LEFT(SecondaryTransport[[#This Row],[Bale_ID]],1)*1=5,IF(OR(SecondaryTransport[[#This Row],[MRF_ID]]="02",SecondaryTransport[[#This Row],[MRF_ID]]="08"),2,1),"")</f>
        <v/>
      </c>
      <c r="AP1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31" s="224" t="str">
        <f>IFERROR(IF(1*LEFT(SecondaryTransport[[#This Row],[Bale_ID]],1)=5,SecondaryTransport[[#This Row],[Ton-Miles]]*SecondaryTransport[[#This Row],[Cost_Per_Ton-Mile]],""),"")</f>
        <v/>
      </c>
      <c r="AS131" s="224">
        <f>IFERROR(IF(SecondaryTransport[[#This Row],[Container_Transfer]]="",(SecondaryTransport[[#This Row],[Ton-Miles]]*SecondaryTransport[[#This Row],[Cost_Per_Ton-Mile]]),""),"")</f>
        <v>1161880.6437774703</v>
      </c>
    </row>
    <row r="132" spans="3:45" ht="15" x14ac:dyDescent="0.25">
      <c r="C132"/>
      <c r="D132"/>
      <c r="L132" s="446" t="s">
        <v>875</v>
      </c>
      <c r="M132" s="446">
        <v>2</v>
      </c>
      <c r="N132" s="446">
        <v>1</v>
      </c>
      <c r="O132" s="446" t="s">
        <v>750</v>
      </c>
      <c r="P132" s="449" t="s">
        <v>700</v>
      </c>
      <c r="Q132" s="449"/>
      <c r="R132" s="449"/>
      <c r="S132" s="449" t="s">
        <v>963</v>
      </c>
      <c r="T132" s="449" t="s">
        <v>701</v>
      </c>
      <c r="U132" s="452">
        <v>0</v>
      </c>
      <c r="V1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2" s="272" t="str">
        <f>IFERROR(SUMIFS(TransUnitCost[Miles],TransUnitCost[Grouping_ID],TransTonsShort[[#This Row],[Grouping_ID]],TransUnitCost[Transp_ID],TransTonsShort[[#This Row],[Transp_ID]])*TransTonsShort[[#This Row],[Trans_Tons_All]]/TransTonsShort[[#This Row],[Trans_Tons_All]],"")</f>
        <v/>
      </c>
      <c r="X132" s="386" t="str">
        <f>TransTonsShort[[#This Row],[Grouping_ID]]&amp;"-"&amp;TransTonsShort[[#This Row],[Sector_ID]]</f>
        <v>2-1</v>
      </c>
      <c r="Y1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32" s="421">
        <f>INDEX(LandfillFees[Disposal Tip Fee 2025],MATCH(TransTonsShort[[#This Row],[Grouping_ID]],LandfillFees[Grouping_ID],0))</f>
        <v>72.030938699729589</v>
      </c>
      <c r="AA132" s="102">
        <f>IF(OR(TransTonsShort[[#This Row],[CollectionStream_ID]]="03",TransTonsShort[[#This Row],[CollectionStream_ID]]="04",TransTonsShort[[#This Row],[CollectionStream_ID]]="13"),0,TransTonsShort[[#This Row],[Trans_Tons_All]]*TransTonsShort[[#This Row],[Disposal_Fee]])</f>
        <v>0</v>
      </c>
      <c r="AF132" s="446" t="s">
        <v>1305</v>
      </c>
      <c r="AG132" s="442" t="str">
        <f>LEFT(SecondaryTransport[[#This Row],[Scenario_MRF_Bale_ID]],2)</f>
        <v>S1</v>
      </c>
      <c r="AH132" s="181" t="str">
        <f>LEFT(RIGHT(SecondaryTransport[[#This Row],[Scenario_MRF_Bale_ID]],10),2)</f>
        <v>03</v>
      </c>
      <c r="AI132" s="181" t="str">
        <f>INDEX(MRFs[MRF_Name],MATCH(SecondaryTransport[[#This Row],[MRF_ID]],MRFs[MRF_ID],0))</f>
        <v>5 MRFs for SS with fiber upgrades (Portland)</v>
      </c>
      <c r="AJ132" s="181" t="str">
        <f>RIGHT(SecondaryTransport[[#This Row],[Scenario_MRF_Bale_ID]],7)</f>
        <v>1000-05</v>
      </c>
      <c r="AK132" s="181" t="str">
        <f>INDEX(Bales[Bale_Name],MATCH(SecondaryTransport[[#This Row],[Bale_ID]],Bales[Bale_ID],0))</f>
        <v>Mixed paper</v>
      </c>
      <c r="AL132" s="443">
        <f>INDEX(BaleMover[Total_Baled_tons],MATCH(SecondaryTransport[[#This Row],[Scenario_MRF_Bale_ID]],BaleMover[Scenario_MRF_Bale_ID],0))</f>
        <v>25790.430077801535</v>
      </c>
      <c r="AM132" s="443">
        <f>IF(INDEX(BaleMover[Miles],MATCH(SecondaryTransport[[#This Row],[Scenario_MRF_Bale_ID]],BaleMover[Scenario_MRF_Bale_ID],0))="",0,INDEX(BaleMover[Miles],MATCH(SecondaryTransport[[#This Row],[Scenario_MRF_Bale_ID]],BaleMover[Scenario_MRF_Bale_ID],0)))</f>
        <v>50</v>
      </c>
      <c r="AN132" s="251">
        <f>IF(SecondaryTransport[[#This Row],[Bale_ID]]="9000-01","costs elsewhere",SecondaryTransport[[#This Row],[Total_Baled_tons]]*SecondaryTransport[[#This Row],[Miles]])</f>
        <v>1289521.5038900767</v>
      </c>
      <c r="AO132" s="352" t="str">
        <f>IF(LEFT(SecondaryTransport[[#This Row],[Bale_ID]],1)*1=5,IF(OR(SecondaryTransport[[#This Row],[MRF_ID]]="02",SecondaryTransport[[#This Row],[MRF_ID]]="08"),2,1),"")</f>
        <v/>
      </c>
      <c r="AP1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3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32" s="224" t="str">
        <f>IFERROR(IF(1*LEFT(SecondaryTransport[[#This Row],[Bale_ID]],1)=5,SecondaryTransport[[#This Row],[Ton-Miles]]*SecondaryTransport[[#This Row],[Cost_Per_Ton-Mile]],""),"")</f>
        <v/>
      </c>
      <c r="AS132" s="224">
        <f>IFERROR(IF(SecondaryTransport[[#This Row],[Container_Transfer]]="",(SecondaryTransport[[#This Row],[Ton-Miles]]*SecondaryTransport[[#This Row],[Cost_Per_Ton-Mile]]),""),"")</f>
        <v>399751.66620592377</v>
      </c>
    </row>
    <row r="133" spans="3:45" ht="15" x14ac:dyDescent="0.25">
      <c r="C133"/>
      <c r="D133"/>
      <c r="L133" s="446" t="s">
        <v>875</v>
      </c>
      <c r="M133" s="446">
        <v>3</v>
      </c>
      <c r="N133" s="446">
        <v>1</v>
      </c>
      <c r="O133" s="446" t="s">
        <v>750</v>
      </c>
      <c r="P133" s="449" t="s">
        <v>700</v>
      </c>
      <c r="Q133" s="449"/>
      <c r="R133" s="449"/>
      <c r="S133" s="449" t="s">
        <v>963</v>
      </c>
      <c r="T133" s="449" t="s">
        <v>701</v>
      </c>
      <c r="U133" s="452">
        <v>0</v>
      </c>
      <c r="V1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3" s="272" t="str">
        <f>IFERROR(SUMIFS(TransUnitCost[Miles],TransUnitCost[Grouping_ID],TransTonsShort[[#This Row],[Grouping_ID]],TransUnitCost[Transp_ID],TransTonsShort[[#This Row],[Transp_ID]])*TransTonsShort[[#This Row],[Trans_Tons_All]]/TransTonsShort[[#This Row],[Trans_Tons_All]],"")</f>
        <v/>
      </c>
      <c r="X133" s="386" t="str">
        <f>TransTonsShort[[#This Row],[Grouping_ID]]&amp;"-"&amp;TransTonsShort[[#This Row],[Sector_ID]]</f>
        <v>3-1</v>
      </c>
      <c r="Y1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33" s="421">
        <f>INDEX(LandfillFees[Disposal Tip Fee 2025],MATCH(TransTonsShort[[#This Row],[Grouping_ID]],LandfillFees[Grouping_ID],0))</f>
        <v>72.030938699729589</v>
      </c>
      <c r="AA133" s="102">
        <f>IF(OR(TransTonsShort[[#This Row],[CollectionStream_ID]]="03",TransTonsShort[[#This Row],[CollectionStream_ID]]="04",TransTonsShort[[#This Row],[CollectionStream_ID]]="13"),0,TransTonsShort[[#This Row],[Trans_Tons_All]]*TransTonsShort[[#This Row],[Disposal_Fee]])</f>
        <v>0</v>
      </c>
      <c r="AF133" s="446" t="s">
        <v>1306</v>
      </c>
      <c r="AG133" s="442" t="str">
        <f>LEFT(SecondaryTransport[[#This Row],[Scenario_MRF_Bale_ID]],2)</f>
        <v>S2</v>
      </c>
      <c r="AH133" s="181" t="str">
        <f>LEFT(RIGHT(SecondaryTransport[[#This Row],[Scenario_MRF_Bale_ID]],10),2)</f>
        <v>03</v>
      </c>
      <c r="AI133" s="181" t="str">
        <f>INDEX(MRFs[MRF_Name],MATCH(SecondaryTransport[[#This Row],[MRF_ID]],MRFs[MRF_ID],0))</f>
        <v>5 MRFs for SS with fiber upgrades (Portland)</v>
      </c>
      <c r="AJ133" s="181" t="str">
        <f>RIGHT(SecondaryTransport[[#This Row],[Scenario_MRF_Bale_ID]],7)</f>
        <v>1000-05</v>
      </c>
      <c r="AK133" s="181" t="str">
        <f>INDEX(Bales[Bale_Name],MATCH(SecondaryTransport[[#This Row],[Bale_ID]],Bales[Bale_ID],0))</f>
        <v>Mixed paper</v>
      </c>
      <c r="AL133" s="443">
        <f>INDEX(BaleMover[Total_Baled_tons],MATCH(SecondaryTransport[[#This Row],[Scenario_MRF_Bale_ID]],BaleMover[Scenario_MRF_Bale_ID],0))</f>
        <v>29003.531230337234</v>
      </c>
      <c r="AM133" s="443">
        <f>IF(INDEX(BaleMover[Miles],MATCH(SecondaryTransport[[#This Row],[Scenario_MRF_Bale_ID]],BaleMover[Scenario_MRF_Bale_ID],0))="",0,INDEX(BaleMover[Miles],MATCH(SecondaryTransport[[#This Row],[Scenario_MRF_Bale_ID]],BaleMover[Scenario_MRF_Bale_ID],0)))</f>
        <v>50</v>
      </c>
      <c r="AN133" s="251">
        <f>IF(SecondaryTransport[[#This Row],[Bale_ID]]="9000-01","costs elsewhere",SecondaryTransport[[#This Row],[Total_Baled_tons]]*SecondaryTransport[[#This Row],[Miles]])</f>
        <v>1450176.5615168617</v>
      </c>
      <c r="AO133" s="352" t="str">
        <f>IF(LEFT(SecondaryTransport[[#This Row],[Bale_ID]],1)*1=5,IF(OR(SecondaryTransport[[#This Row],[MRF_ID]]="02",SecondaryTransport[[#This Row],[MRF_ID]]="08"),2,1),"")</f>
        <v/>
      </c>
      <c r="AP1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3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33" s="224" t="str">
        <f>IFERROR(IF(1*LEFT(SecondaryTransport[[#This Row],[Bale_ID]],1)=5,SecondaryTransport[[#This Row],[Ton-Miles]]*SecondaryTransport[[#This Row],[Cost_Per_Ton-Mile]],""),"")</f>
        <v/>
      </c>
      <c r="AS133" s="224">
        <f>IFERROR(IF(SecondaryTransport[[#This Row],[Container_Transfer]]="",(SecondaryTransport[[#This Row],[Ton-Miles]]*SecondaryTransport[[#This Row],[Cost_Per_Ton-Mile]]),""),"")</f>
        <v>449554.73407022713</v>
      </c>
    </row>
    <row r="134" spans="3:45" ht="15" x14ac:dyDescent="0.25">
      <c r="C134"/>
      <c r="D134"/>
      <c r="L134" s="446" t="s">
        <v>875</v>
      </c>
      <c r="M134" s="446">
        <v>4</v>
      </c>
      <c r="N134" s="446">
        <v>1</v>
      </c>
      <c r="O134" s="446" t="s">
        <v>750</v>
      </c>
      <c r="P134" s="449" t="s">
        <v>700</v>
      </c>
      <c r="Q134" s="449"/>
      <c r="R134" s="449"/>
      <c r="S134" s="449" t="s">
        <v>963</v>
      </c>
      <c r="T134" s="449" t="s">
        <v>701</v>
      </c>
      <c r="U134" s="452">
        <v>0</v>
      </c>
      <c r="V1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4" s="272" t="str">
        <f>IFERROR(SUMIFS(TransUnitCost[Miles],TransUnitCost[Grouping_ID],TransTonsShort[[#This Row],[Grouping_ID]],TransUnitCost[Transp_ID],TransTonsShort[[#This Row],[Transp_ID]])*TransTonsShort[[#This Row],[Trans_Tons_All]]/TransTonsShort[[#This Row],[Trans_Tons_All]],"")</f>
        <v/>
      </c>
      <c r="X134" s="386" t="str">
        <f>TransTonsShort[[#This Row],[Grouping_ID]]&amp;"-"&amp;TransTonsShort[[#This Row],[Sector_ID]]</f>
        <v>4-1</v>
      </c>
      <c r="Y1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34" s="421">
        <f>INDEX(LandfillFees[Disposal Tip Fee 2025],MATCH(TransTonsShort[[#This Row],[Grouping_ID]],LandfillFees[Grouping_ID],0))</f>
        <v>72.030938699729589</v>
      </c>
      <c r="AA134" s="102">
        <f>IF(OR(TransTonsShort[[#This Row],[CollectionStream_ID]]="03",TransTonsShort[[#This Row],[CollectionStream_ID]]="04",TransTonsShort[[#This Row],[CollectionStream_ID]]="13"),0,TransTonsShort[[#This Row],[Trans_Tons_All]]*TransTonsShort[[#This Row],[Disposal_Fee]])</f>
        <v>0</v>
      </c>
      <c r="AF134" s="446" t="s">
        <v>1307</v>
      </c>
      <c r="AG134" s="442" t="str">
        <f>LEFT(SecondaryTransport[[#This Row],[Scenario_MRF_Bale_ID]],2)</f>
        <v>S3</v>
      </c>
      <c r="AH134" s="181" t="str">
        <f>LEFT(RIGHT(SecondaryTransport[[#This Row],[Scenario_MRF_Bale_ID]],10),2)</f>
        <v>03</v>
      </c>
      <c r="AI134" s="181" t="str">
        <f>INDEX(MRFs[MRF_Name],MATCH(SecondaryTransport[[#This Row],[MRF_ID]],MRFs[MRF_ID],0))</f>
        <v>5 MRFs for SS with fiber upgrades (Portland)</v>
      </c>
      <c r="AJ134" s="181" t="str">
        <f>RIGHT(SecondaryTransport[[#This Row],[Scenario_MRF_Bale_ID]],7)</f>
        <v>1000-05</v>
      </c>
      <c r="AK134" s="181" t="str">
        <f>INDEX(Bales[Bale_Name],MATCH(SecondaryTransport[[#This Row],[Bale_ID]],Bales[Bale_ID],0))</f>
        <v>Mixed paper</v>
      </c>
      <c r="AL134" s="443">
        <f>INDEX(BaleMover[Total_Baled_tons],MATCH(SecondaryTransport[[#This Row],[Scenario_MRF_Bale_ID]],BaleMover[Scenario_MRF_Bale_ID],0))</f>
        <v>29006.916526256755</v>
      </c>
      <c r="AM134" s="443">
        <f>IF(INDEX(BaleMover[Miles],MATCH(SecondaryTransport[[#This Row],[Scenario_MRF_Bale_ID]],BaleMover[Scenario_MRF_Bale_ID],0))="",0,INDEX(BaleMover[Miles],MATCH(SecondaryTransport[[#This Row],[Scenario_MRF_Bale_ID]],BaleMover[Scenario_MRF_Bale_ID],0)))</f>
        <v>50</v>
      </c>
      <c r="AN134" s="251">
        <f>IF(SecondaryTransport[[#This Row],[Bale_ID]]="9000-01","costs elsewhere",SecondaryTransport[[#This Row],[Total_Baled_tons]]*SecondaryTransport[[#This Row],[Miles]])</f>
        <v>1450345.8263128377</v>
      </c>
      <c r="AO134" s="352" t="str">
        <f>IF(LEFT(SecondaryTransport[[#This Row],[Bale_ID]],1)*1=5,IF(OR(SecondaryTransport[[#This Row],[MRF_ID]]="02",SecondaryTransport[[#This Row],[MRF_ID]]="08"),2,1),"")</f>
        <v/>
      </c>
      <c r="AP1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3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34" s="224" t="str">
        <f>IFERROR(IF(1*LEFT(SecondaryTransport[[#This Row],[Bale_ID]],1)=5,SecondaryTransport[[#This Row],[Ton-Miles]]*SecondaryTransport[[#This Row],[Cost_Per_Ton-Mile]],""),"")</f>
        <v/>
      </c>
      <c r="AS134" s="224">
        <f>IFERROR(IF(SecondaryTransport[[#This Row],[Container_Transfer]]="",(SecondaryTransport[[#This Row],[Ton-Miles]]*SecondaryTransport[[#This Row],[Cost_Per_Ton-Mile]]),""),"")</f>
        <v>449607.20615697966</v>
      </c>
    </row>
    <row r="135" spans="3:45" ht="15" x14ac:dyDescent="0.25">
      <c r="C135"/>
      <c r="D135"/>
      <c r="L135" s="446" t="s">
        <v>874</v>
      </c>
      <c r="M135" s="446">
        <v>1</v>
      </c>
      <c r="N135" s="446">
        <v>1</v>
      </c>
      <c r="O135" s="446" t="s">
        <v>700</v>
      </c>
      <c r="P135" s="449" t="s">
        <v>719</v>
      </c>
      <c r="Q135" s="449"/>
      <c r="R135" s="449"/>
      <c r="S135" s="449" t="s">
        <v>872</v>
      </c>
      <c r="T135" s="449" t="s">
        <v>1055</v>
      </c>
      <c r="U135" s="452">
        <v>0</v>
      </c>
      <c r="V1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5" s="272" t="str">
        <f>IFERROR(SUMIFS(TransUnitCost[Miles],TransUnitCost[Grouping_ID],TransTonsShort[[#This Row],[Grouping_ID]],TransUnitCost[Transp_ID],TransTonsShort[[#This Row],[Transp_ID]])*TransTonsShort[[#This Row],[Trans_Tons_All]]/TransTonsShort[[#This Row],[Trans_Tons_All]],"")</f>
        <v/>
      </c>
      <c r="X135" s="386" t="str">
        <f>TransTonsShort[[#This Row],[Grouping_ID]]&amp;"-"&amp;TransTonsShort[[#This Row],[Sector_ID]]</f>
        <v>1-1</v>
      </c>
      <c r="Y1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5" s="421">
        <f>INDEX(LandfillFees[Disposal Tip Fee 2025],MATCH(TransTonsShort[[#This Row],[Grouping_ID]],LandfillFees[Grouping_ID],0))</f>
        <v>134.68</v>
      </c>
      <c r="AA135" s="102">
        <f>IF(OR(TransTonsShort[[#This Row],[CollectionStream_ID]]="03",TransTonsShort[[#This Row],[CollectionStream_ID]]="04",TransTonsShort[[#This Row],[CollectionStream_ID]]="13"),0,TransTonsShort[[#This Row],[Trans_Tons_All]]*TransTonsShort[[#This Row],[Disposal_Fee]])</f>
        <v>0</v>
      </c>
      <c r="AF135" s="446" t="s">
        <v>1308</v>
      </c>
      <c r="AG135" s="442" t="str">
        <f>LEFT(SecondaryTransport[[#This Row],[Scenario_MRF_Bale_ID]],2)</f>
        <v>S0</v>
      </c>
      <c r="AH135" s="181" t="str">
        <f>LEFT(RIGHT(SecondaryTransport[[#This Row],[Scenario_MRF_Bale_ID]],10),2)</f>
        <v>03</v>
      </c>
      <c r="AI135" s="181" t="str">
        <f>INDEX(MRFs[MRF_Name],MATCH(SecondaryTransport[[#This Row],[MRF_ID]],MRFs[MRF_ID],0))</f>
        <v>5 MRFs for SS with fiber upgrades (Portland)</v>
      </c>
      <c r="AJ135" s="181" t="str">
        <f>RIGHT(SecondaryTransport[[#This Row],[Scenario_MRF_Bale_ID]],7)</f>
        <v>1000-06</v>
      </c>
      <c r="AK135" s="181" t="str">
        <f>INDEX(Bales[Bale_Name],MATCH(SecondaryTransport[[#This Row],[Bale_ID]],Bales[Bale_ID],0))</f>
        <v>Paperboard/old boxboard</v>
      </c>
      <c r="AL135" s="443">
        <f>INDEX(BaleMover[Total_Baled_tons],MATCH(SecondaryTransport[[#This Row],[Scenario_MRF_Bale_ID]],BaleMover[Scenario_MRF_Bale_ID],0))</f>
        <v>0</v>
      </c>
      <c r="AM135" s="443">
        <f>IF(INDEX(BaleMover[Miles],MATCH(SecondaryTransport[[#This Row],[Scenario_MRF_Bale_ID]],BaleMover[Scenario_MRF_Bale_ID],0))="",0,INDEX(BaleMover[Miles],MATCH(SecondaryTransport[[#This Row],[Scenario_MRF_Bale_ID]],BaleMover[Scenario_MRF_Bale_ID],0)))</f>
        <v>0</v>
      </c>
      <c r="AN135" s="251">
        <f>IF(SecondaryTransport[[#This Row],[Bale_ID]]="9000-01","costs elsewhere",SecondaryTransport[[#This Row],[Total_Baled_tons]]*SecondaryTransport[[#This Row],[Miles]])</f>
        <v>0</v>
      </c>
      <c r="AO135" s="352" t="str">
        <f>IF(LEFT(SecondaryTransport[[#This Row],[Bale_ID]],1)*1=5,IF(OR(SecondaryTransport[[#This Row],[MRF_ID]]="02",SecondaryTransport[[#This Row],[MRF_ID]]="08"),2,1),"")</f>
        <v/>
      </c>
      <c r="AP1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5" s="224" t="str">
        <f>IFERROR(IF(1*LEFT(SecondaryTransport[[#This Row],[Bale_ID]],1)=5,SecondaryTransport[[#This Row],[Ton-Miles]]*SecondaryTransport[[#This Row],[Cost_Per_Ton-Mile]],""),"")</f>
        <v/>
      </c>
      <c r="AS135" s="224" t="str">
        <f>IFERROR(IF(SecondaryTransport[[#This Row],[Container_Transfer]]="",(SecondaryTransport[[#This Row],[Ton-Miles]]*SecondaryTransport[[#This Row],[Cost_Per_Ton-Mile]]),""),"")</f>
        <v/>
      </c>
    </row>
    <row r="136" spans="3:45" ht="15" x14ac:dyDescent="0.25">
      <c r="C136"/>
      <c r="D136"/>
      <c r="L136" s="446" t="s">
        <v>874</v>
      </c>
      <c r="M136" s="446">
        <v>2</v>
      </c>
      <c r="N136" s="446">
        <v>1</v>
      </c>
      <c r="O136" s="446" t="s">
        <v>700</v>
      </c>
      <c r="P136" s="449" t="s">
        <v>719</v>
      </c>
      <c r="Q136" s="449"/>
      <c r="R136" s="449"/>
      <c r="S136" s="449" t="s">
        <v>872</v>
      </c>
      <c r="T136" s="449" t="s">
        <v>1055</v>
      </c>
      <c r="U136" s="452">
        <v>0</v>
      </c>
      <c r="V1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6" s="272" t="str">
        <f>IFERROR(SUMIFS(TransUnitCost[Miles],TransUnitCost[Grouping_ID],TransTonsShort[[#This Row],[Grouping_ID]],TransUnitCost[Transp_ID],TransTonsShort[[#This Row],[Transp_ID]])*TransTonsShort[[#This Row],[Trans_Tons_All]]/TransTonsShort[[#This Row],[Trans_Tons_All]],"")</f>
        <v/>
      </c>
      <c r="X136" s="386" t="str">
        <f>TransTonsShort[[#This Row],[Grouping_ID]]&amp;"-"&amp;TransTonsShort[[#This Row],[Sector_ID]]</f>
        <v>2-1</v>
      </c>
      <c r="Y1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6" s="421">
        <f>INDEX(LandfillFees[Disposal Tip Fee 2025],MATCH(TransTonsShort[[#This Row],[Grouping_ID]],LandfillFees[Grouping_ID],0))</f>
        <v>72.030938699729589</v>
      </c>
      <c r="AA136" s="102">
        <f>IF(OR(TransTonsShort[[#This Row],[CollectionStream_ID]]="03",TransTonsShort[[#This Row],[CollectionStream_ID]]="04",TransTonsShort[[#This Row],[CollectionStream_ID]]="13"),0,TransTonsShort[[#This Row],[Trans_Tons_All]]*TransTonsShort[[#This Row],[Disposal_Fee]])</f>
        <v>0</v>
      </c>
      <c r="AF136" s="446" t="s">
        <v>1309</v>
      </c>
      <c r="AG136" s="442" t="str">
        <f>LEFT(SecondaryTransport[[#This Row],[Scenario_MRF_Bale_ID]],2)</f>
        <v>S1</v>
      </c>
      <c r="AH136" s="181" t="str">
        <f>LEFT(RIGHT(SecondaryTransport[[#This Row],[Scenario_MRF_Bale_ID]],10),2)</f>
        <v>03</v>
      </c>
      <c r="AI136" s="181" t="str">
        <f>INDEX(MRFs[MRF_Name],MATCH(SecondaryTransport[[#This Row],[MRF_ID]],MRFs[MRF_ID],0))</f>
        <v>5 MRFs for SS with fiber upgrades (Portland)</v>
      </c>
      <c r="AJ136" s="181" t="str">
        <f>RIGHT(SecondaryTransport[[#This Row],[Scenario_MRF_Bale_ID]],7)</f>
        <v>1000-06</v>
      </c>
      <c r="AK136" s="181" t="str">
        <f>INDEX(Bales[Bale_Name],MATCH(SecondaryTransport[[#This Row],[Bale_ID]],Bales[Bale_ID],0))</f>
        <v>Paperboard/old boxboard</v>
      </c>
      <c r="AL136" s="443">
        <f>INDEX(BaleMover[Total_Baled_tons],MATCH(SecondaryTransport[[#This Row],[Scenario_MRF_Bale_ID]],BaleMover[Scenario_MRF_Bale_ID],0))</f>
        <v>0</v>
      </c>
      <c r="AM136" s="443">
        <f>IF(INDEX(BaleMover[Miles],MATCH(SecondaryTransport[[#This Row],[Scenario_MRF_Bale_ID]],BaleMover[Scenario_MRF_Bale_ID],0))="",0,INDEX(BaleMover[Miles],MATCH(SecondaryTransport[[#This Row],[Scenario_MRF_Bale_ID]],BaleMover[Scenario_MRF_Bale_ID],0)))</f>
        <v>0</v>
      </c>
      <c r="AN136" s="251">
        <f>IF(SecondaryTransport[[#This Row],[Bale_ID]]="9000-01","costs elsewhere",SecondaryTransport[[#This Row],[Total_Baled_tons]]*SecondaryTransport[[#This Row],[Miles]])</f>
        <v>0</v>
      </c>
      <c r="AO136" s="352" t="str">
        <f>IF(LEFT(SecondaryTransport[[#This Row],[Bale_ID]],1)*1=5,IF(OR(SecondaryTransport[[#This Row],[MRF_ID]]="02",SecondaryTransport[[#This Row],[MRF_ID]]="08"),2,1),"")</f>
        <v/>
      </c>
      <c r="AP1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6" s="224" t="str">
        <f>IFERROR(IF(1*LEFT(SecondaryTransport[[#This Row],[Bale_ID]],1)=5,SecondaryTransport[[#This Row],[Ton-Miles]]*SecondaryTransport[[#This Row],[Cost_Per_Ton-Mile]],""),"")</f>
        <v/>
      </c>
      <c r="AS136" s="224" t="str">
        <f>IFERROR(IF(SecondaryTransport[[#This Row],[Container_Transfer]]="",(SecondaryTransport[[#This Row],[Ton-Miles]]*SecondaryTransport[[#This Row],[Cost_Per_Ton-Mile]]),""),"")</f>
        <v/>
      </c>
    </row>
    <row r="137" spans="3:45" ht="15" x14ac:dyDescent="0.25">
      <c r="C137"/>
      <c r="D137"/>
      <c r="L137" s="446" t="s">
        <v>874</v>
      </c>
      <c r="M137" s="446">
        <v>3</v>
      </c>
      <c r="N137" s="446">
        <v>1</v>
      </c>
      <c r="O137" s="446" t="s">
        <v>700</v>
      </c>
      <c r="P137" s="449" t="s">
        <v>719</v>
      </c>
      <c r="Q137" s="449"/>
      <c r="R137" s="449"/>
      <c r="S137" s="449" t="s">
        <v>872</v>
      </c>
      <c r="T137" s="449" t="s">
        <v>1055</v>
      </c>
      <c r="U137" s="452">
        <v>0</v>
      </c>
      <c r="V1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7" s="272" t="str">
        <f>IFERROR(SUMIFS(TransUnitCost[Miles],TransUnitCost[Grouping_ID],TransTonsShort[[#This Row],[Grouping_ID]],TransUnitCost[Transp_ID],TransTonsShort[[#This Row],[Transp_ID]])*TransTonsShort[[#This Row],[Trans_Tons_All]]/TransTonsShort[[#This Row],[Trans_Tons_All]],"")</f>
        <v/>
      </c>
      <c r="X137" s="386" t="str">
        <f>TransTonsShort[[#This Row],[Grouping_ID]]&amp;"-"&amp;TransTonsShort[[#This Row],[Sector_ID]]</f>
        <v>3-1</v>
      </c>
      <c r="Y1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7" s="421">
        <f>INDEX(LandfillFees[Disposal Tip Fee 2025],MATCH(TransTonsShort[[#This Row],[Grouping_ID]],LandfillFees[Grouping_ID],0))</f>
        <v>72.030938699729589</v>
      </c>
      <c r="AA137" s="102">
        <f>IF(OR(TransTonsShort[[#This Row],[CollectionStream_ID]]="03",TransTonsShort[[#This Row],[CollectionStream_ID]]="04",TransTonsShort[[#This Row],[CollectionStream_ID]]="13"),0,TransTonsShort[[#This Row],[Trans_Tons_All]]*TransTonsShort[[#This Row],[Disposal_Fee]])</f>
        <v>0</v>
      </c>
      <c r="AF137" s="446" t="s">
        <v>1310</v>
      </c>
      <c r="AG137" s="442" t="str">
        <f>LEFT(SecondaryTransport[[#This Row],[Scenario_MRF_Bale_ID]],2)</f>
        <v>S2</v>
      </c>
      <c r="AH137" s="181" t="str">
        <f>LEFT(RIGHT(SecondaryTransport[[#This Row],[Scenario_MRF_Bale_ID]],10),2)</f>
        <v>03</v>
      </c>
      <c r="AI137" s="181" t="str">
        <f>INDEX(MRFs[MRF_Name],MATCH(SecondaryTransport[[#This Row],[MRF_ID]],MRFs[MRF_ID],0))</f>
        <v>5 MRFs for SS with fiber upgrades (Portland)</v>
      </c>
      <c r="AJ137" s="181" t="str">
        <f>RIGHT(SecondaryTransport[[#This Row],[Scenario_MRF_Bale_ID]],7)</f>
        <v>1000-06</v>
      </c>
      <c r="AK137" s="181" t="str">
        <f>INDEX(Bales[Bale_Name],MATCH(SecondaryTransport[[#This Row],[Bale_ID]],Bales[Bale_ID],0))</f>
        <v>Paperboard/old boxboard</v>
      </c>
      <c r="AL137" s="443">
        <f>INDEX(BaleMover[Total_Baled_tons],MATCH(SecondaryTransport[[#This Row],[Scenario_MRF_Bale_ID]],BaleMover[Scenario_MRF_Bale_ID],0))</f>
        <v>0</v>
      </c>
      <c r="AM137" s="443">
        <f>IF(INDEX(BaleMover[Miles],MATCH(SecondaryTransport[[#This Row],[Scenario_MRF_Bale_ID]],BaleMover[Scenario_MRF_Bale_ID],0))="",0,INDEX(BaleMover[Miles],MATCH(SecondaryTransport[[#This Row],[Scenario_MRF_Bale_ID]],BaleMover[Scenario_MRF_Bale_ID],0)))</f>
        <v>0</v>
      </c>
      <c r="AN137" s="251">
        <f>IF(SecondaryTransport[[#This Row],[Bale_ID]]="9000-01","costs elsewhere",SecondaryTransport[[#This Row],[Total_Baled_tons]]*SecondaryTransport[[#This Row],[Miles]])</f>
        <v>0</v>
      </c>
      <c r="AO137" s="352" t="str">
        <f>IF(LEFT(SecondaryTransport[[#This Row],[Bale_ID]],1)*1=5,IF(OR(SecondaryTransport[[#This Row],[MRF_ID]]="02",SecondaryTransport[[#This Row],[MRF_ID]]="08"),2,1),"")</f>
        <v/>
      </c>
      <c r="AP1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7" s="224" t="str">
        <f>IFERROR(IF(1*LEFT(SecondaryTransport[[#This Row],[Bale_ID]],1)=5,SecondaryTransport[[#This Row],[Ton-Miles]]*SecondaryTransport[[#This Row],[Cost_Per_Ton-Mile]],""),"")</f>
        <v/>
      </c>
      <c r="AS137" s="224" t="str">
        <f>IFERROR(IF(SecondaryTransport[[#This Row],[Container_Transfer]]="",(SecondaryTransport[[#This Row],[Ton-Miles]]*SecondaryTransport[[#This Row],[Cost_Per_Ton-Mile]]),""),"")</f>
        <v/>
      </c>
    </row>
    <row r="138" spans="3:45" ht="15" x14ac:dyDescent="0.25">
      <c r="C138"/>
      <c r="D138"/>
      <c r="L138" s="446" t="s">
        <v>874</v>
      </c>
      <c r="M138" s="446">
        <v>4</v>
      </c>
      <c r="N138" s="446">
        <v>1</v>
      </c>
      <c r="O138" s="446" t="s">
        <v>700</v>
      </c>
      <c r="P138" s="449" t="s">
        <v>719</v>
      </c>
      <c r="Q138" s="449"/>
      <c r="R138" s="449"/>
      <c r="S138" s="449" t="s">
        <v>872</v>
      </c>
      <c r="T138" s="449" t="s">
        <v>1055</v>
      </c>
      <c r="U138" s="452">
        <v>0</v>
      </c>
      <c r="V1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8" s="272" t="str">
        <f>IFERROR(SUMIFS(TransUnitCost[Miles],TransUnitCost[Grouping_ID],TransTonsShort[[#This Row],[Grouping_ID]],TransUnitCost[Transp_ID],TransTonsShort[[#This Row],[Transp_ID]])*TransTonsShort[[#This Row],[Trans_Tons_All]]/TransTonsShort[[#This Row],[Trans_Tons_All]],"")</f>
        <v/>
      </c>
      <c r="X138" s="386" t="str">
        <f>TransTonsShort[[#This Row],[Grouping_ID]]&amp;"-"&amp;TransTonsShort[[#This Row],[Sector_ID]]</f>
        <v>4-1</v>
      </c>
      <c r="Y1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8" s="421">
        <f>INDEX(LandfillFees[Disposal Tip Fee 2025],MATCH(TransTonsShort[[#This Row],[Grouping_ID]],LandfillFees[Grouping_ID],0))</f>
        <v>72.030938699729589</v>
      </c>
      <c r="AA138" s="102">
        <f>IF(OR(TransTonsShort[[#This Row],[CollectionStream_ID]]="03",TransTonsShort[[#This Row],[CollectionStream_ID]]="04",TransTonsShort[[#This Row],[CollectionStream_ID]]="13"),0,TransTonsShort[[#This Row],[Trans_Tons_All]]*TransTonsShort[[#This Row],[Disposal_Fee]])</f>
        <v>0</v>
      </c>
      <c r="AF138" s="446" t="s">
        <v>1311</v>
      </c>
      <c r="AG138" s="442" t="str">
        <f>LEFT(SecondaryTransport[[#This Row],[Scenario_MRF_Bale_ID]],2)</f>
        <v>S3</v>
      </c>
      <c r="AH138" s="181" t="str">
        <f>LEFT(RIGHT(SecondaryTransport[[#This Row],[Scenario_MRF_Bale_ID]],10),2)</f>
        <v>03</v>
      </c>
      <c r="AI138" s="181" t="str">
        <f>INDEX(MRFs[MRF_Name],MATCH(SecondaryTransport[[#This Row],[MRF_ID]],MRFs[MRF_ID],0))</f>
        <v>5 MRFs for SS with fiber upgrades (Portland)</v>
      </c>
      <c r="AJ138" s="181" t="str">
        <f>RIGHT(SecondaryTransport[[#This Row],[Scenario_MRF_Bale_ID]],7)</f>
        <v>1000-06</v>
      </c>
      <c r="AK138" s="181" t="str">
        <f>INDEX(Bales[Bale_Name],MATCH(SecondaryTransport[[#This Row],[Bale_ID]],Bales[Bale_ID],0))</f>
        <v>Paperboard/old boxboard</v>
      </c>
      <c r="AL138" s="443">
        <f>INDEX(BaleMover[Total_Baled_tons],MATCH(SecondaryTransport[[#This Row],[Scenario_MRF_Bale_ID]],BaleMover[Scenario_MRF_Bale_ID],0))</f>
        <v>0</v>
      </c>
      <c r="AM138" s="443">
        <f>IF(INDEX(BaleMover[Miles],MATCH(SecondaryTransport[[#This Row],[Scenario_MRF_Bale_ID]],BaleMover[Scenario_MRF_Bale_ID],0))="",0,INDEX(BaleMover[Miles],MATCH(SecondaryTransport[[#This Row],[Scenario_MRF_Bale_ID]],BaleMover[Scenario_MRF_Bale_ID],0)))</f>
        <v>0</v>
      </c>
      <c r="AN138" s="251">
        <f>IF(SecondaryTransport[[#This Row],[Bale_ID]]="9000-01","costs elsewhere",SecondaryTransport[[#This Row],[Total_Baled_tons]]*SecondaryTransport[[#This Row],[Miles]])</f>
        <v>0</v>
      </c>
      <c r="AO138" s="352" t="str">
        <f>IF(LEFT(SecondaryTransport[[#This Row],[Bale_ID]],1)*1=5,IF(OR(SecondaryTransport[[#This Row],[MRF_ID]]="02",SecondaryTransport[[#This Row],[MRF_ID]]="08"),2,1),"")</f>
        <v/>
      </c>
      <c r="AP1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8" s="224" t="str">
        <f>IFERROR(IF(1*LEFT(SecondaryTransport[[#This Row],[Bale_ID]],1)=5,SecondaryTransport[[#This Row],[Ton-Miles]]*SecondaryTransport[[#This Row],[Cost_Per_Ton-Mile]],""),"")</f>
        <v/>
      </c>
      <c r="AS138" s="224" t="str">
        <f>IFERROR(IF(SecondaryTransport[[#This Row],[Container_Transfer]]="",(SecondaryTransport[[#This Row],[Ton-Miles]]*SecondaryTransport[[#This Row],[Cost_Per_Ton-Mile]]),""),"")</f>
        <v/>
      </c>
    </row>
    <row r="139" spans="3:45" ht="15" x14ac:dyDescent="0.25">
      <c r="C139"/>
      <c r="D139"/>
      <c r="L139" s="446" t="s">
        <v>874</v>
      </c>
      <c r="M139" s="446">
        <v>1</v>
      </c>
      <c r="N139" s="446">
        <v>1</v>
      </c>
      <c r="O139" s="446" t="s">
        <v>700</v>
      </c>
      <c r="P139" s="450" t="s">
        <v>700</v>
      </c>
      <c r="Q139" s="450"/>
      <c r="R139" s="450"/>
      <c r="S139" s="449" t="s">
        <v>872</v>
      </c>
      <c r="T139" s="449" t="s">
        <v>701</v>
      </c>
      <c r="U139" s="452">
        <v>91239.544012056984</v>
      </c>
      <c r="V1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39" s="272">
        <f>IFERROR(SUMIFS(TransUnitCost[Miles],TransUnitCost[Grouping_ID],TransTonsShort[[#This Row],[Grouping_ID]],TransUnitCost[Transp_ID],TransTonsShort[[#This Row],[Transp_ID]])*TransTonsShort[[#This Row],[Trans_Tons_All]]/TransTonsShort[[#This Row],[Trans_Tons_All]],"")</f>
        <v>0</v>
      </c>
      <c r="X139" s="386" t="str">
        <f>TransTonsShort[[#This Row],[Grouping_ID]]&amp;"-"&amp;TransTonsShort[[#This Row],[Sector_ID]]</f>
        <v>1-1</v>
      </c>
      <c r="Y1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39" s="421">
        <f>INDEX(LandfillFees[Disposal Tip Fee 2025],MATCH(TransTonsShort[[#This Row],[Grouping_ID]],LandfillFees[Grouping_ID],0))</f>
        <v>134.68</v>
      </c>
      <c r="AA139" s="102">
        <f>IF(OR(TransTonsShort[[#This Row],[CollectionStream_ID]]="03",TransTonsShort[[#This Row],[CollectionStream_ID]]="04",TransTonsShort[[#This Row],[CollectionStream_ID]]="13"),0,TransTonsShort[[#This Row],[Trans_Tons_All]]*TransTonsShort[[#This Row],[Disposal_Fee]])</f>
        <v>12288141.787543835</v>
      </c>
      <c r="AF139" s="446" t="s">
        <v>1312</v>
      </c>
      <c r="AG139" s="442" t="str">
        <f>LEFT(SecondaryTransport[[#This Row],[Scenario_MRF_Bale_ID]],2)</f>
        <v>S0</v>
      </c>
      <c r="AH139" s="181" t="str">
        <f>LEFT(RIGHT(SecondaryTransport[[#This Row],[Scenario_MRF_Bale_ID]],10),2)</f>
        <v>03</v>
      </c>
      <c r="AI139" s="181" t="str">
        <f>INDEX(MRFs[MRF_Name],MATCH(SecondaryTransport[[#This Row],[MRF_ID]],MRFs[MRF_ID],0))</f>
        <v>5 MRFs for SS with fiber upgrades (Portland)</v>
      </c>
      <c r="AJ139" s="181" t="str">
        <f>RIGHT(SecondaryTransport[[#This Row],[Scenario_MRF_Bale_ID]],7)</f>
        <v>1000-07</v>
      </c>
      <c r="AK139" s="181" t="str">
        <f>INDEX(Bales[Bale_Name],MATCH(SecondaryTransport[[#This Row],[Bale_ID]],Bales[Bale_ID],0))</f>
        <v>Aseptic and gable-top cartons</v>
      </c>
      <c r="AL139" s="443">
        <f>INDEX(BaleMover[Total_Baled_tons],MATCH(SecondaryTransport[[#This Row],[Scenario_MRF_Bale_ID]],BaleMover[Scenario_MRF_Bale_ID],0))</f>
        <v>0</v>
      </c>
      <c r="AM139" s="443">
        <f>IF(INDEX(BaleMover[Miles],MATCH(SecondaryTransport[[#This Row],[Scenario_MRF_Bale_ID]],BaleMover[Scenario_MRF_Bale_ID],0))="",0,INDEX(BaleMover[Miles],MATCH(SecondaryTransport[[#This Row],[Scenario_MRF_Bale_ID]],BaleMover[Scenario_MRF_Bale_ID],0)))</f>
        <v>0</v>
      </c>
      <c r="AN139" s="251">
        <f>IF(SecondaryTransport[[#This Row],[Bale_ID]]="9000-01","costs elsewhere",SecondaryTransport[[#This Row],[Total_Baled_tons]]*SecondaryTransport[[#This Row],[Miles]])</f>
        <v>0</v>
      </c>
      <c r="AO139" s="352" t="str">
        <f>IF(LEFT(SecondaryTransport[[#This Row],[Bale_ID]],1)*1=5,IF(OR(SecondaryTransport[[#This Row],[MRF_ID]]="02",SecondaryTransport[[#This Row],[MRF_ID]]="08"),2,1),"")</f>
        <v/>
      </c>
      <c r="AP1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3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39" s="224" t="str">
        <f>IFERROR(IF(1*LEFT(SecondaryTransport[[#This Row],[Bale_ID]],1)=5,SecondaryTransport[[#This Row],[Ton-Miles]]*SecondaryTransport[[#This Row],[Cost_Per_Ton-Mile]],""),"")</f>
        <v/>
      </c>
      <c r="AS139" s="224" t="str">
        <f>IFERROR(IF(SecondaryTransport[[#This Row],[Container_Transfer]]="",(SecondaryTransport[[#This Row],[Ton-Miles]]*SecondaryTransport[[#This Row],[Cost_Per_Ton-Mile]]),""),"")</f>
        <v/>
      </c>
    </row>
    <row r="140" spans="3:45" ht="15" x14ac:dyDescent="0.25">
      <c r="C140"/>
      <c r="D140"/>
      <c r="L140" s="446" t="s">
        <v>874</v>
      </c>
      <c r="M140" s="446">
        <v>2</v>
      </c>
      <c r="N140" s="446">
        <v>1</v>
      </c>
      <c r="O140" s="446" t="s">
        <v>700</v>
      </c>
      <c r="P140" s="450" t="s">
        <v>700</v>
      </c>
      <c r="Q140" s="450"/>
      <c r="R140" s="450"/>
      <c r="S140" s="449" t="s">
        <v>872</v>
      </c>
      <c r="T140" s="449" t="s">
        <v>701</v>
      </c>
      <c r="U140" s="452">
        <v>61830.874144332425</v>
      </c>
      <c r="V1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0" s="272">
        <f>IFERROR(SUMIFS(TransUnitCost[Miles],TransUnitCost[Grouping_ID],TransTonsShort[[#This Row],[Grouping_ID]],TransUnitCost[Transp_ID],TransTonsShort[[#This Row],[Transp_ID]])*TransTonsShort[[#This Row],[Trans_Tons_All]]/TransTonsShort[[#This Row],[Trans_Tons_All]],"")</f>
        <v>0</v>
      </c>
      <c r="X140" s="386" t="str">
        <f>TransTonsShort[[#This Row],[Grouping_ID]]&amp;"-"&amp;TransTonsShort[[#This Row],[Sector_ID]]</f>
        <v>2-1</v>
      </c>
      <c r="Y1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0" s="421">
        <f>INDEX(LandfillFees[Disposal Tip Fee 2025],MATCH(TransTonsShort[[#This Row],[Grouping_ID]],LandfillFees[Grouping_ID],0))</f>
        <v>72.030938699729589</v>
      </c>
      <c r="AA140" s="102">
        <f>IF(OR(TransTonsShort[[#This Row],[CollectionStream_ID]]="03",TransTonsShort[[#This Row],[CollectionStream_ID]]="04",TransTonsShort[[#This Row],[CollectionStream_ID]]="13"),0,TransTonsShort[[#This Row],[Trans_Tons_All]]*TransTonsShort[[#This Row],[Disposal_Fee]])</f>
        <v>4453735.9052411038</v>
      </c>
      <c r="AF140" s="446" t="s">
        <v>1313</v>
      </c>
      <c r="AG140" s="442" t="str">
        <f>LEFT(SecondaryTransport[[#This Row],[Scenario_MRF_Bale_ID]],2)</f>
        <v>S1</v>
      </c>
      <c r="AH140" s="181" t="str">
        <f>LEFT(RIGHT(SecondaryTransport[[#This Row],[Scenario_MRF_Bale_ID]],10),2)</f>
        <v>03</v>
      </c>
      <c r="AI140" s="181" t="str">
        <f>INDEX(MRFs[MRF_Name],MATCH(SecondaryTransport[[#This Row],[MRF_ID]],MRFs[MRF_ID],0))</f>
        <v>5 MRFs for SS with fiber upgrades (Portland)</v>
      </c>
      <c r="AJ140" s="181" t="str">
        <f>RIGHT(SecondaryTransport[[#This Row],[Scenario_MRF_Bale_ID]],7)</f>
        <v>1000-07</v>
      </c>
      <c r="AK140" s="181" t="str">
        <f>INDEX(Bales[Bale_Name],MATCH(SecondaryTransport[[#This Row],[Bale_ID]],Bales[Bale_ID],0))</f>
        <v>Aseptic and gable-top cartons</v>
      </c>
      <c r="AL140" s="443">
        <f>INDEX(BaleMover[Total_Baled_tons],MATCH(SecondaryTransport[[#This Row],[Scenario_MRF_Bale_ID]],BaleMover[Scenario_MRF_Bale_ID],0))</f>
        <v>0</v>
      </c>
      <c r="AM140" s="443">
        <f>IF(INDEX(BaleMover[Miles],MATCH(SecondaryTransport[[#This Row],[Scenario_MRF_Bale_ID]],BaleMover[Scenario_MRF_Bale_ID],0))="",0,INDEX(BaleMover[Miles],MATCH(SecondaryTransport[[#This Row],[Scenario_MRF_Bale_ID]],BaleMover[Scenario_MRF_Bale_ID],0)))</f>
        <v>0</v>
      </c>
      <c r="AN140" s="251">
        <f>IF(SecondaryTransport[[#This Row],[Bale_ID]]="9000-01","costs elsewhere",SecondaryTransport[[#This Row],[Total_Baled_tons]]*SecondaryTransport[[#This Row],[Miles]])</f>
        <v>0</v>
      </c>
      <c r="AO140" s="352" t="str">
        <f>IF(LEFT(SecondaryTransport[[#This Row],[Bale_ID]],1)*1=5,IF(OR(SecondaryTransport[[#This Row],[MRF_ID]]="02",SecondaryTransport[[#This Row],[MRF_ID]]="08"),2,1),"")</f>
        <v/>
      </c>
      <c r="AP1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0" s="224" t="str">
        <f>IFERROR(IF(1*LEFT(SecondaryTransport[[#This Row],[Bale_ID]],1)=5,SecondaryTransport[[#This Row],[Ton-Miles]]*SecondaryTransport[[#This Row],[Cost_Per_Ton-Mile]],""),"")</f>
        <v/>
      </c>
      <c r="AS140" s="224" t="str">
        <f>IFERROR(IF(SecondaryTransport[[#This Row],[Container_Transfer]]="",(SecondaryTransport[[#This Row],[Ton-Miles]]*SecondaryTransport[[#This Row],[Cost_Per_Ton-Mile]]),""),"")</f>
        <v/>
      </c>
    </row>
    <row r="141" spans="3:45" ht="15" x14ac:dyDescent="0.25">
      <c r="C141"/>
      <c r="D141"/>
      <c r="L141" s="446" t="s">
        <v>874</v>
      </c>
      <c r="M141" s="446">
        <v>3</v>
      </c>
      <c r="N141" s="446">
        <v>1</v>
      </c>
      <c r="O141" s="446" t="s">
        <v>700</v>
      </c>
      <c r="P141" s="450" t="s">
        <v>700</v>
      </c>
      <c r="Q141" s="450"/>
      <c r="R141" s="450"/>
      <c r="S141" s="449" t="s">
        <v>872</v>
      </c>
      <c r="T141" s="449" t="s">
        <v>701</v>
      </c>
      <c r="U141" s="452">
        <v>0</v>
      </c>
      <c r="V1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1" s="272" t="str">
        <f>IFERROR(SUMIFS(TransUnitCost[Miles],TransUnitCost[Grouping_ID],TransTonsShort[[#This Row],[Grouping_ID]],TransUnitCost[Transp_ID],TransTonsShort[[#This Row],[Transp_ID]])*TransTonsShort[[#This Row],[Trans_Tons_All]]/TransTonsShort[[#This Row],[Trans_Tons_All]],"")</f>
        <v/>
      </c>
      <c r="X141" s="386" t="str">
        <f>TransTonsShort[[#This Row],[Grouping_ID]]&amp;"-"&amp;TransTonsShort[[#This Row],[Sector_ID]]</f>
        <v>3-1</v>
      </c>
      <c r="Y1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1" s="421">
        <f>INDEX(LandfillFees[Disposal Tip Fee 2025],MATCH(TransTonsShort[[#This Row],[Grouping_ID]],LandfillFees[Grouping_ID],0))</f>
        <v>72.030938699729589</v>
      </c>
      <c r="AA141" s="102">
        <f>IF(OR(TransTonsShort[[#This Row],[CollectionStream_ID]]="03",TransTonsShort[[#This Row],[CollectionStream_ID]]="04",TransTonsShort[[#This Row],[CollectionStream_ID]]="13"),0,TransTonsShort[[#This Row],[Trans_Tons_All]]*TransTonsShort[[#This Row],[Disposal_Fee]])</f>
        <v>0</v>
      </c>
      <c r="AF141" s="446" t="s">
        <v>1314</v>
      </c>
      <c r="AG141" s="442" t="str">
        <f>LEFT(SecondaryTransport[[#This Row],[Scenario_MRF_Bale_ID]],2)</f>
        <v>S2</v>
      </c>
      <c r="AH141" s="181" t="str">
        <f>LEFT(RIGHT(SecondaryTransport[[#This Row],[Scenario_MRF_Bale_ID]],10),2)</f>
        <v>03</v>
      </c>
      <c r="AI141" s="181" t="str">
        <f>INDEX(MRFs[MRF_Name],MATCH(SecondaryTransport[[#This Row],[MRF_ID]],MRFs[MRF_ID],0))</f>
        <v>5 MRFs for SS with fiber upgrades (Portland)</v>
      </c>
      <c r="AJ141" s="181" t="str">
        <f>RIGHT(SecondaryTransport[[#This Row],[Scenario_MRF_Bale_ID]],7)</f>
        <v>1000-07</v>
      </c>
      <c r="AK141" s="181" t="str">
        <f>INDEX(Bales[Bale_Name],MATCH(SecondaryTransport[[#This Row],[Bale_ID]],Bales[Bale_ID],0))</f>
        <v>Aseptic and gable-top cartons</v>
      </c>
      <c r="AL141" s="443">
        <f>INDEX(BaleMover[Total_Baled_tons],MATCH(SecondaryTransport[[#This Row],[Scenario_MRF_Bale_ID]],BaleMover[Scenario_MRF_Bale_ID],0))</f>
        <v>0</v>
      </c>
      <c r="AM141" s="443">
        <f>IF(INDEX(BaleMover[Miles],MATCH(SecondaryTransport[[#This Row],[Scenario_MRF_Bale_ID]],BaleMover[Scenario_MRF_Bale_ID],0))="",0,INDEX(BaleMover[Miles],MATCH(SecondaryTransport[[#This Row],[Scenario_MRF_Bale_ID]],BaleMover[Scenario_MRF_Bale_ID],0)))</f>
        <v>0</v>
      </c>
      <c r="AN141" s="251">
        <f>IF(SecondaryTransport[[#This Row],[Bale_ID]]="9000-01","costs elsewhere",SecondaryTransport[[#This Row],[Total_Baled_tons]]*SecondaryTransport[[#This Row],[Miles]])</f>
        <v>0</v>
      </c>
      <c r="AO141" s="352" t="str">
        <f>IF(LEFT(SecondaryTransport[[#This Row],[Bale_ID]],1)*1=5,IF(OR(SecondaryTransport[[#This Row],[MRF_ID]]="02",SecondaryTransport[[#This Row],[MRF_ID]]="08"),2,1),"")</f>
        <v/>
      </c>
      <c r="AP1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1" s="224" t="str">
        <f>IFERROR(IF(1*LEFT(SecondaryTransport[[#This Row],[Bale_ID]],1)=5,SecondaryTransport[[#This Row],[Ton-Miles]]*SecondaryTransport[[#This Row],[Cost_Per_Ton-Mile]],""),"")</f>
        <v/>
      </c>
      <c r="AS141" s="224" t="str">
        <f>IFERROR(IF(SecondaryTransport[[#This Row],[Container_Transfer]]="",(SecondaryTransport[[#This Row],[Ton-Miles]]*SecondaryTransport[[#This Row],[Cost_Per_Ton-Mile]]),""),"")</f>
        <v/>
      </c>
    </row>
    <row r="142" spans="3:45" ht="15" x14ac:dyDescent="0.25">
      <c r="C142"/>
      <c r="D142"/>
      <c r="L142" s="446" t="s">
        <v>874</v>
      </c>
      <c r="M142" s="446">
        <v>4</v>
      </c>
      <c r="N142" s="446">
        <v>1</v>
      </c>
      <c r="O142" s="446" t="s">
        <v>700</v>
      </c>
      <c r="P142" s="450" t="s">
        <v>700</v>
      </c>
      <c r="Q142" s="450"/>
      <c r="R142" s="450"/>
      <c r="S142" s="449" t="s">
        <v>872</v>
      </c>
      <c r="T142" s="449" t="s">
        <v>701</v>
      </c>
      <c r="U142" s="452">
        <v>0</v>
      </c>
      <c r="V1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2" s="272" t="str">
        <f>IFERROR(SUMIFS(TransUnitCost[Miles],TransUnitCost[Grouping_ID],TransTonsShort[[#This Row],[Grouping_ID]],TransUnitCost[Transp_ID],TransTonsShort[[#This Row],[Transp_ID]])*TransTonsShort[[#This Row],[Trans_Tons_All]]/TransTonsShort[[#This Row],[Trans_Tons_All]],"")</f>
        <v/>
      </c>
      <c r="X142" s="386" t="str">
        <f>TransTonsShort[[#This Row],[Grouping_ID]]&amp;"-"&amp;TransTonsShort[[#This Row],[Sector_ID]]</f>
        <v>4-1</v>
      </c>
      <c r="Y1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2" s="421">
        <f>INDEX(LandfillFees[Disposal Tip Fee 2025],MATCH(TransTonsShort[[#This Row],[Grouping_ID]],LandfillFees[Grouping_ID],0))</f>
        <v>72.030938699729589</v>
      </c>
      <c r="AA142" s="102">
        <f>IF(OR(TransTonsShort[[#This Row],[CollectionStream_ID]]="03",TransTonsShort[[#This Row],[CollectionStream_ID]]="04",TransTonsShort[[#This Row],[CollectionStream_ID]]="13"),0,TransTonsShort[[#This Row],[Trans_Tons_All]]*TransTonsShort[[#This Row],[Disposal_Fee]])</f>
        <v>0</v>
      </c>
      <c r="AF142" s="446" t="s">
        <v>1315</v>
      </c>
      <c r="AG142" s="442" t="str">
        <f>LEFT(SecondaryTransport[[#This Row],[Scenario_MRF_Bale_ID]],2)</f>
        <v>S3</v>
      </c>
      <c r="AH142" s="181" t="str">
        <f>LEFT(RIGHT(SecondaryTransport[[#This Row],[Scenario_MRF_Bale_ID]],10),2)</f>
        <v>03</v>
      </c>
      <c r="AI142" s="181" t="str">
        <f>INDEX(MRFs[MRF_Name],MATCH(SecondaryTransport[[#This Row],[MRF_ID]],MRFs[MRF_ID],0))</f>
        <v>5 MRFs for SS with fiber upgrades (Portland)</v>
      </c>
      <c r="AJ142" s="181" t="str">
        <f>RIGHT(SecondaryTransport[[#This Row],[Scenario_MRF_Bale_ID]],7)</f>
        <v>1000-07</v>
      </c>
      <c r="AK142" s="181" t="str">
        <f>INDEX(Bales[Bale_Name],MATCH(SecondaryTransport[[#This Row],[Bale_ID]],Bales[Bale_ID],0))</f>
        <v>Aseptic and gable-top cartons</v>
      </c>
      <c r="AL142" s="443">
        <f>INDEX(BaleMover[Total_Baled_tons],MATCH(SecondaryTransport[[#This Row],[Scenario_MRF_Bale_ID]],BaleMover[Scenario_MRF_Bale_ID],0))</f>
        <v>0</v>
      </c>
      <c r="AM142" s="443">
        <f>IF(INDEX(BaleMover[Miles],MATCH(SecondaryTransport[[#This Row],[Scenario_MRF_Bale_ID]],BaleMover[Scenario_MRF_Bale_ID],0))="",0,INDEX(BaleMover[Miles],MATCH(SecondaryTransport[[#This Row],[Scenario_MRF_Bale_ID]],BaleMover[Scenario_MRF_Bale_ID],0)))</f>
        <v>0</v>
      </c>
      <c r="AN142" s="251">
        <f>IF(SecondaryTransport[[#This Row],[Bale_ID]]="9000-01","costs elsewhere",SecondaryTransport[[#This Row],[Total_Baled_tons]]*SecondaryTransport[[#This Row],[Miles]])</f>
        <v>0</v>
      </c>
      <c r="AO142" s="352" t="str">
        <f>IF(LEFT(SecondaryTransport[[#This Row],[Bale_ID]],1)*1=5,IF(OR(SecondaryTransport[[#This Row],[MRF_ID]]="02",SecondaryTransport[[#This Row],[MRF_ID]]="08"),2,1),"")</f>
        <v/>
      </c>
      <c r="AP1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2" s="224" t="str">
        <f>IFERROR(IF(1*LEFT(SecondaryTransport[[#This Row],[Bale_ID]],1)=5,SecondaryTransport[[#This Row],[Ton-Miles]]*SecondaryTransport[[#This Row],[Cost_Per_Ton-Mile]],""),"")</f>
        <v/>
      </c>
      <c r="AS142" s="224" t="str">
        <f>IFERROR(IF(SecondaryTransport[[#This Row],[Container_Transfer]]="",(SecondaryTransport[[#This Row],[Ton-Miles]]*SecondaryTransport[[#This Row],[Cost_Per_Ton-Mile]]),""),"")</f>
        <v/>
      </c>
    </row>
    <row r="143" spans="3:45" ht="15" x14ac:dyDescent="0.25">
      <c r="C143"/>
      <c r="D143"/>
      <c r="L143" s="446" t="s">
        <v>874</v>
      </c>
      <c r="M143" s="446">
        <v>1</v>
      </c>
      <c r="N143" s="446">
        <v>1</v>
      </c>
      <c r="O143" s="446" t="s">
        <v>700</v>
      </c>
      <c r="P143" s="449" t="s">
        <v>706</v>
      </c>
      <c r="Q143" s="449"/>
      <c r="R143" s="449"/>
      <c r="S143" s="449" t="s">
        <v>872</v>
      </c>
      <c r="T143" s="449" t="s">
        <v>1025</v>
      </c>
      <c r="U143" s="452">
        <v>13633.49508226139</v>
      </c>
      <c r="V1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272669.9016452278</v>
      </c>
      <c r="W143" s="272">
        <f>IFERROR(SUMIFS(TransUnitCost[Miles],TransUnitCost[Grouping_ID],TransTonsShort[[#This Row],[Grouping_ID]],TransUnitCost[Transp_ID],TransTonsShort[[#This Row],[Transp_ID]])*TransTonsShort[[#This Row],[Trans_Tons_All]]/TransTonsShort[[#This Row],[Trans_Tons_All]],"")</f>
        <v>20</v>
      </c>
      <c r="X143" s="386" t="str">
        <f>TransTonsShort[[#This Row],[Grouping_ID]]&amp;"-"&amp;TransTonsShort[[#This Row],[Sector_ID]]</f>
        <v>1-1</v>
      </c>
      <c r="Y1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3" s="421">
        <f>INDEX(LandfillFees[Disposal Tip Fee 2025],MATCH(TransTonsShort[[#This Row],[Grouping_ID]],LandfillFees[Grouping_ID],0))</f>
        <v>134.68</v>
      </c>
      <c r="AA143" s="102">
        <f>IF(OR(TransTonsShort[[#This Row],[CollectionStream_ID]]="03",TransTonsShort[[#This Row],[CollectionStream_ID]]="04",TransTonsShort[[#This Row],[CollectionStream_ID]]="13"),0,TransTonsShort[[#This Row],[Trans_Tons_All]]*TransTonsShort[[#This Row],[Disposal_Fee]])</f>
        <v>1836159.117678964</v>
      </c>
      <c r="AF143" s="446" t="s">
        <v>1316</v>
      </c>
      <c r="AG143" s="442" t="str">
        <f>LEFT(SecondaryTransport[[#This Row],[Scenario_MRF_Bale_ID]],2)</f>
        <v>S0</v>
      </c>
      <c r="AH143" s="181" t="str">
        <f>LEFT(RIGHT(SecondaryTransport[[#This Row],[Scenario_MRF_Bale_ID]],10),2)</f>
        <v>03</v>
      </c>
      <c r="AI143" s="181" t="str">
        <f>INDEX(MRFs[MRF_Name],MATCH(SecondaryTransport[[#This Row],[MRF_ID]],MRFs[MRF_ID],0))</f>
        <v>5 MRFs for SS with fiber upgrades (Portland)</v>
      </c>
      <c r="AJ143" s="181" t="str">
        <f>RIGHT(SecondaryTransport[[#This Row],[Scenario_MRF_Bale_ID]],7)</f>
        <v>1000-08</v>
      </c>
      <c r="AK143" s="181" t="str">
        <f>INDEX(Bales[Bale_Name],MATCH(SecondaryTransport[[#This Row],[Bale_ID]],Bales[Bale_ID],0))</f>
        <v>Polycoated cups and containers</v>
      </c>
      <c r="AL143" s="443">
        <f>INDEX(BaleMover[Total_Baled_tons],MATCH(SecondaryTransport[[#This Row],[Scenario_MRF_Bale_ID]],BaleMover[Scenario_MRF_Bale_ID],0))</f>
        <v>0</v>
      </c>
      <c r="AM143" s="443">
        <f>IF(INDEX(BaleMover[Miles],MATCH(SecondaryTransport[[#This Row],[Scenario_MRF_Bale_ID]],BaleMover[Scenario_MRF_Bale_ID],0))="",0,INDEX(BaleMover[Miles],MATCH(SecondaryTransport[[#This Row],[Scenario_MRF_Bale_ID]],BaleMover[Scenario_MRF_Bale_ID],0)))</f>
        <v>0</v>
      </c>
      <c r="AN143" s="251">
        <f>IF(SecondaryTransport[[#This Row],[Bale_ID]]="9000-01","costs elsewhere",SecondaryTransport[[#This Row],[Total_Baled_tons]]*SecondaryTransport[[#This Row],[Miles]])</f>
        <v>0</v>
      </c>
      <c r="AO143" s="352" t="str">
        <f>IF(LEFT(SecondaryTransport[[#This Row],[Bale_ID]],1)*1=5,IF(OR(SecondaryTransport[[#This Row],[MRF_ID]]="02",SecondaryTransport[[#This Row],[MRF_ID]]="08"),2,1),"")</f>
        <v/>
      </c>
      <c r="AP1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3" s="224" t="str">
        <f>IFERROR(IF(1*LEFT(SecondaryTransport[[#This Row],[Bale_ID]],1)=5,SecondaryTransport[[#This Row],[Ton-Miles]]*SecondaryTransport[[#This Row],[Cost_Per_Ton-Mile]],""),"")</f>
        <v/>
      </c>
      <c r="AS143" s="224" t="str">
        <f>IFERROR(IF(SecondaryTransport[[#This Row],[Container_Transfer]]="",(SecondaryTransport[[#This Row],[Ton-Miles]]*SecondaryTransport[[#This Row],[Cost_Per_Ton-Mile]]),""),"")</f>
        <v/>
      </c>
    </row>
    <row r="144" spans="3:45" ht="15" x14ac:dyDescent="0.25">
      <c r="C144"/>
      <c r="D144"/>
      <c r="L144" s="446" t="s">
        <v>874</v>
      </c>
      <c r="M144" s="446">
        <v>2</v>
      </c>
      <c r="N144" s="446">
        <v>1</v>
      </c>
      <c r="O144" s="446" t="s">
        <v>700</v>
      </c>
      <c r="P144" s="449" t="s">
        <v>706</v>
      </c>
      <c r="Q144" s="449"/>
      <c r="R144" s="449"/>
      <c r="S144" s="449" t="s">
        <v>872</v>
      </c>
      <c r="T144" s="449" t="s">
        <v>1025</v>
      </c>
      <c r="U144" s="452">
        <v>22868.953450643501</v>
      </c>
      <c r="V1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640330.69661801797</v>
      </c>
      <c r="W144" s="272">
        <f>IFERROR(SUMIFS(TransUnitCost[Miles],TransUnitCost[Grouping_ID],TransTonsShort[[#This Row],[Grouping_ID]],TransUnitCost[Transp_ID],TransTonsShort[[#This Row],[Transp_ID]])*TransTonsShort[[#This Row],[Trans_Tons_All]]/TransTonsShort[[#This Row],[Trans_Tons_All]],"")</f>
        <v>70</v>
      </c>
      <c r="X144" s="386" t="str">
        <f>TransTonsShort[[#This Row],[Grouping_ID]]&amp;"-"&amp;TransTonsShort[[#This Row],[Sector_ID]]</f>
        <v>2-1</v>
      </c>
      <c r="Y1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4" s="421">
        <f>INDEX(LandfillFees[Disposal Tip Fee 2025],MATCH(TransTonsShort[[#This Row],[Grouping_ID]],LandfillFees[Grouping_ID],0))</f>
        <v>72.030938699729589</v>
      </c>
      <c r="AA144" s="102">
        <f>IF(OR(TransTonsShort[[#This Row],[CollectionStream_ID]]="03",TransTonsShort[[#This Row],[CollectionStream_ID]]="04",TransTonsShort[[#This Row],[CollectionStream_ID]]="13"),0,TransTonsShort[[#This Row],[Trans_Tons_All]]*TransTonsShort[[#This Row],[Disposal_Fee]])</f>
        <v>1647272.1841302714</v>
      </c>
      <c r="AF144" s="446" t="s">
        <v>1317</v>
      </c>
      <c r="AG144" s="442" t="str">
        <f>LEFT(SecondaryTransport[[#This Row],[Scenario_MRF_Bale_ID]],2)</f>
        <v>S1</v>
      </c>
      <c r="AH144" s="181" t="str">
        <f>LEFT(RIGHT(SecondaryTransport[[#This Row],[Scenario_MRF_Bale_ID]],10),2)</f>
        <v>03</v>
      </c>
      <c r="AI144" s="181" t="str">
        <f>INDEX(MRFs[MRF_Name],MATCH(SecondaryTransport[[#This Row],[MRF_ID]],MRFs[MRF_ID],0))</f>
        <v>5 MRFs for SS with fiber upgrades (Portland)</v>
      </c>
      <c r="AJ144" s="181" t="str">
        <f>RIGHT(SecondaryTransport[[#This Row],[Scenario_MRF_Bale_ID]],7)</f>
        <v>1000-08</v>
      </c>
      <c r="AK144" s="181" t="str">
        <f>INDEX(Bales[Bale_Name],MATCH(SecondaryTransport[[#This Row],[Bale_ID]],Bales[Bale_ID],0))</f>
        <v>Polycoated cups and containers</v>
      </c>
      <c r="AL144" s="443">
        <f>INDEX(BaleMover[Total_Baled_tons],MATCH(SecondaryTransport[[#This Row],[Scenario_MRF_Bale_ID]],BaleMover[Scenario_MRF_Bale_ID],0))</f>
        <v>0</v>
      </c>
      <c r="AM144" s="443">
        <f>IF(INDEX(BaleMover[Miles],MATCH(SecondaryTransport[[#This Row],[Scenario_MRF_Bale_ID]],BaleMover[Scenario_MRF_Bale_ID],0))="",0,INDEX(BaleMover[Miles],MATCH(SecondaryTransport[[#This Row],[Scenario_MRF_Bale_ID]],BaleMover[Scenario_MRF_Bale_ID],0)))</f>
        <v>0</v>
      </c>
      <c r="AN144" s="251">
        <f>IF(SecondaryTransport[[#This Row],[Bale_ID]]="9000-01","costs elsewhere",SecondaryTransport[[#This Row],[Total_Baled_tons]]*SecondaryTransport[[#This Row],[Miles]])</f>
        <v>0</v>
      </c>
      <c r="AO144" s="352" t="str">
        <f>IF(LEFT(SecondaryTransport[[#This Row],[Bale_ID]],1)*1=5,IF(OR(SecondaryTransport[[#This Row],[MRF_ID]]="02",SecondaryTransport[[#This Row],[MRF_ID]]="08"),2,1),"")</f>
        <v/>
      </c>
      <c r="AP1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4" s="224" t="str">
        <f>IFERROR(IF(1*LEFT(SecondaryTransport[[#This Row],[Bale_ID]],1)=5,SecondaryTransport[[#This Row],[Ton-Miles]]*SecondaryTransport[[#This Row],[Cost_Per_Ton-Mile]],""),"")</f>
        <v/>
      </c>
      <c r="AS144" s="224" t="str">
        <f>IFERROR(IF(SecondaryTransport[[#This Row],[Container_Transfer]]="",(SecondaryTransport[[#This Row],[Ton-Miles]]*SecondaryTransport[[#This Row],[Cost_Per_Ton-Mile]]),""),"")</f>
        <v/>
      </c>
    </row>
    <row r="145" spans="3:45" ht="15" x14ac:dyDescent="0.25">
      <c r="C145"/>
      <c r="D145"/>
      <c r="L145" s="446" t="s">
        <v>874</v>
      </c>
      <c r="M145" s="446">
        <v>3</v>
      </c>
      <c r="N145" s="446">
        <v>1</v>
      </c>
      <c r="O145" s="446" t="s">
        <v>700</v>
      </c>
      <c r="P145" s="449" t="s">
        <v>706</v>
      </c>
      <c r="Q145" s="449"/>
      <c r="R145" s="449"/>
      <c r="S145" s="449" t="s">
        <v>872</v>
      </c>
      <c r="T145" s="449" t="s">
        <v>1025</v>
      </c>
      <c r="U145" s="452">
        <v>25770.482645212571</v>
      </c>
      <c r="V1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1352950.33887366</v>
      </c>
      <c r="W145" s="272">
        <f>IFERROR(SUMIFS(TransUnitCost[Miles],TransUnitCost[Grouping_ID],TransTonsShort[[#This Row],[Grouping_ID]],TransUnitCost[Transp_ID],TransTonsShort[[#This Row],[Transp_ID]])*TransTonsShort[[#This Row],[Trans_Tons_All]]/TransTonsShort[[#This Row],[Trans_Tons_All]],"")</f>
        <v>150</v>
      </c>
      <c r="X145" s="386" t="str">
        <f>TransTonsShort[[#This Row],[Grouping_ID]]&amp;"-"&amp;TransTonsShort[[#This Row],[Sector_ID]]</f>
        <v>3-1</v>
      </c>
      <c r="Y1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5" s="421">
        <f>INDEX(LandfillFees[Disposal Tip Fee 2025],MATCH(TransTonsShort[[#This Row],[Grouping_ID]],LandfillFees[Grouping_ID],0))</f>
        <v>72.030938699729589</v>
      </c>
      <c r="AA145" s="102">
        <f>IF(OR(TransTonsShort[[#This Row],[CollectionStream_ID]]="03",TransTonsShort[[#This Row],[CollectionStream_ID]]="04",TransTonsShort[[#This Row],[CollectionStream_ID]]="13"),0,TransTonsShort[[#This Row],[Trans_Tons_All]]*TransTonsShort[[#This Row],[Disposal_Fee]])</f>
        <v>1856272.0556797518</v>
      </c>
      <c r="AF145" s="446" t="s">
        <v>1318</v>
      </c>
      <c r="AG145" s="442" t="str">
        <f>LEFT(SecondaryTransport[[#This Row],[Scenario_MRF_Bale_ID]],2)</f>
        <v>S2</v>
      </c>
      <c r="AH145" s="181" t="str">
        <f>LEFT(RIGHT(SecondaryTransport[[#This Row],[Scenario_MRF_Bale_ID]],10),2)</f>
        <v>03</v>
      </c>
      <c r="AI145" s="181" t="str">
        <f>INDEX(MRFs[MRF_Name],MATCH(SecondaryTransport[[#This Row],[MRF_ID]],MRFs[MRF_ID],0))</f>
        <v>5 MRFs for SS with fiber upgrades (Portland)</v>
      </c>
      <c r="AJ145" s="181" t="str">
        <f>RIGHT(SecondaryTransport[[#This Row],[Scenario_MRF_Bale_ID]],7)</f>
        <v>1000-08</v>
      </c>
      <c r="AK145" s="181" t="str">
        <f>INDEX(Bales[Bale_Name],MATCH(SecondaryTransport[[#This Row],[Bale_ID]],Bales[Bale_ID],0))</f>
        <v>Polycoated cups and containers</v>
      </c>
      <c r="AL145" s="443">
        <f>INDEX(BaleMover[Total_Baled_tons],MATCH(SecondaryTransport[[#This Row],[Scenario_MRF_Bale_ID]],BaleMover[Scenario_MRF_Bale_ID],0))</f>
        <v>0</v>
      </c>
      <c r="AM145" s="443">
        <f>IF(INDEX(BaleMover[Miles],MATCH(SecondaryTransport[[#This Row],[Scenario_MRF_Bale_ID]],BaleMover[Scenario_MRF_Bale_ID],0))="",0,INDEX(BaleMover[Miles],MATCH(SecondaryTransport[[#This Row],[Scenario_MRF_Bale_ID]],BaleMover[Scenario_MRF_Bale_ID],0)))</f>
        <v>0</v>
      </c>
      <c r="AN145" s="251">
        <f>IF(SecondaryTransport[[#This Row],[Bale_ID]]="9000-01","costs elsewhere",SecondaryTransport[[#This Row],[Total_Baled_tons]]*SecondaryTransport[[#This Row],[Miles]])</f>
        <v>0</v>
      </c>
      <c r="AO145" s="352" t="str">
        <f>IF(LEFT(SecondaryTransport[[#This Row],[Bale_ID]],1)*1=5,IF(OR(SecondaryTransport[[#This Row],[MRF_ID]]="02",SecondaryTransport[[#This Row],[MRF_ID]]="08"),2,1),"")</f>
        <v/>
      </c>
      <c r="AP1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5" s="224" t="str">
        <f>IFERROR(IF(1*LEFT(SecondaryTransport[[#This Row],[Bale_ID]],1)=5,SecondaryTransport[[#This Row],[Ton-Miles]]*SecondaryTransport[[#This Row],[Cost_Per_Ton-Mile]],""),"")</f>
        <v/>
      </c>
      <c r="AS145" s="224" t="str">
        <f>IFERROR(IF(SecondaryTransport[[#This Row],[Container_Transfer]]="",(SecondaryTransport[[#This Row],[Ton-Miles]]*SecondaryTransport[[#This Row],[Cost_Per_Ton-Mile]]),""),"")</f>
        <v/>
      </c>
    </row>
    <row r="146" spans="3:45" ht="15" x14ac:dyDescent="0.25">
      <c r="C146"/>
      <c r="D146"/>
      <c r="L146" s="446" t="s">
        <v>874</v>
      </c>
      <c r="M146" s="446">
        <v>4</v>
      </c>
      <c r="N146" s="446">
        <v>1</v>
      </c>
      <c r="O146" s="446" t="s">
        <v>700</v>
      </c>
      <c r="P146" s="449" t="s">
        <v>706</v>
      </c>
      <c r="Q146" s="449"/>
      <c r="R146" s="449"/>
      <c r="S146" s="449" t="s">
        <v>872</v>
      </c>
      <c r="T146" s="449" t="s">
        <v>1025</v>
      </c>
      <c r="U146" s="452">
        <v>231.22375350180778</v>
      </c>
      <c r="V1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23122.375350180777</v>
      </c>
      <c r="W146" s="272">
        <f>IFERROR(SUMIFS(TransUnitCost[Miles],TransUnitCost[Grouping_ID],TransTonsShort[[#This Row],[Grouping_ID]],TransUnitCost[Transp_ID],TransTonsShort[[#This Row],[Transp_ID]])*TransTonsShort[[#This Row],[Trans_Tons_All]]/TransTonsShort[[#This Row],[Trans_Tons_All]],"")</f>
        <v>250</v>
      </c>
      <c r="X146" s="386" t="str">
        <f>TransTonsShort[[#This Row],[Grouping_ID]]&amp;"-"&amp;TransTonsShort[[#This Row],[Sector_ID]]</f>
        <v>4-1</v>
      </c>
      <c r="Y1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6" s="421">
        <f>INDEX(LandfillFees[Disposal Tip Fee 2025],MATCH(TransTonsShort[[#This Row],[Grouping_ID]],LandfillFees[Grouping_ID],0))</f>
        <v>72.030938699729589</v>
      </c>
      <c r="AA146" s="102">
        <f>IF(OR(TransTonsShort[[#This Row],[CollectionStream_ID]]="03",TransTonsShort[[#This Row],[CollectionStream_ID]]="04",TransTonsShort[[#This Row],[CollectionStream_ID]]="13"),0,TransTonsShort[[#This Row],[Trans_Tons_All]]*TransTonsShort[[#This Row],[Disposal_Fee]])</f>
        <v>16655.264014410102</v>
      </c>
      <c r="AF146" s="446" t="s">
        <v>1319</v>
      </c>
      <c r="AG146" s="442" t="str">
        <f>LEFT(SecondaryTransport[[#This Row],[Scenario_MRF_Bale_ID]],2)</f>
        <v>S3</v>
      </c>
      <c r="AH146" s="181" t="str">
        <f>LEFT(RIGHT(SecondaryTransport[[#This Row],[Scenario_MRF_Bale_ID]],10),2)</f>
        <v>03</v>
      </c>
      <c r="AI146" s="181" t="str">
        <f>INDEX(MRFs[MRF_Name],MATCH(SecondaryTransport[[#This Row],[MRF_ID]],MRFs[MRF_ID],0))</f>
        <v>5 MRFs for SS with fiber upgrades (Portland)</v>
      </c>
      <c r="AJ146" s="181" t="str">
        <f>RIGHT(SecondaryTransport[[#This Row],[Scenario_MRF_Bale_ID]],7)</f>
        <v>1000-08</v>
      </c>
      <c r="AK146" s="181" t="str">
        <f>INDEX(Bales[Bale_Name],MATCH(SecondaryTransport[[#This Row],[Bale_ID]],Bales[Bale_ID],0))</f>
        <v>Polycoated cups and containers</v>
      </c>
      <c r="AL146" s="443">
        <f>INDEX(BaleMover[Total_Baled_tons],MATCH(SecondaryTransport[[#This Row],[Scenario_MRF_Bale_ID]],BaleMover[Scenario_MRF_Bale_ID],0))</f>
        <v>0</v>
      </c>
      <c r="AM146" s="443">
        <f>IF(INDEX(BaleMover[Miles],MATCH(SecondaryTransport[[#This Row],[Scenario_MRF_Bale_ID]],BaleMover[Scenario_MRF_Bale_ID],0))="",0,INDEX(BaleMover[Miles],MATCH(SecondaryTransport[[#This Row],[Scenario_MRF_Bale_ID]],BaleMover[Scenario_MRF_Bale_ID],0)))</f>
        <v>0</v>
      </c>
      <c r="AN146" s="251">
        <f>IF(SecondaryTransport[[#This Row],[Bale_ID]]="9000-01","costs elsewhere",SecondaryTransport[[#This Row],[Total_Baled_tons]]*SecondaryTransport[[#This Row],[Miles]])</f>
        <v>0</v>
      </c>
      <c r="AO146" s="352" t="str">
        <f>IF(LEFT(SecondaryTransport[[#This Row],[Bale_ID]],1)*1=5,IF(OR(SecondaryTransport[[#This Row],[MRF_ID]]="02",SecondaryTransport[[#This Row],[MRF_ID]]="08"),2,1),"")</f>
        <v/>
      </c>
      <c r="AP1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6" s="224" t="str">
        <f>IFERROR(IF(1*LEFT(SecondaryTransport[[#This Row],[Bale_ID]],1)=5,SecondaryTransport[[#This Row],[Ton-Miles]]*SecondaryTransport[[#This Row],[Cost_Per_Ton-Mile]],""),"")</f>
        <v/>
      </c>
      <c r="AS146" s="224" t="str">
        <f>IFERROR(IF(SecondaryTransport[[#This Row],[Container_Transfer]]="",(SecondaryTransport[[#This Row],[Ton-Miles]]*SecondaryTransport[[#This Row],[Cost_Per_Ton-Mile]]),""),"")</f>
        <v/>
      </c>
    </row>
    <row r="147" spans="3:45" ht="15" x14ac:dyDescent="0.25">
      <c r="C147"/>
      <c r="D147"/>
      <c r="L147" s="446" t="s">
        <v>874</v>
      </c>
      <c r="M147" s="446">
        <v>1</v>
      </c>
      <c r="N147" s="446">
        <v>1</v>
      </c>
      <c r="O147" s="446" t="s">
        <v>748</v>
      </c>
      <c r="P147" s="449" t="s">
        <v>719</v>
      </c>
      <c r="Q147" s="449"/>
      <c r="R147" s="449"/>
      <c r="S147" s="449" t="s">
        <v>765</v>
      </c>
      <c r="T147" s="449" t="s">
        <v>1055</v>
      </c>
      <c r="U147" s="452">
        <v>0</v>
      </c>
      <c r="V1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7" s="272" t="str">
        <f>IFERROR(SUMIFS(TransUnitCost[Miles],TransUnitCost[Grouping_ID],TransTonsShort[[#This Row],[Grouping_ID]],TransUnitCost[Transp_ID],TransTonsShort[[#This Row],[Transp_ID]])*TransTonsShort[[#This Row],[Trans_Tons_All]]/TransTonsShort[[#This Row],[Trans_Tons_All]],"")</f>
        <v/>
      </c>
      <c r="X147" s="386" t="str">
        <f>TransTonsShort[[#This Row],[Grouping_ID]]&amp;"-"&amp;TransTonsShort[[#This Row],[Sector_ID]]</f>
        <v>1-1</v>
      </c>
      <c r="Y1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7" s="421">
        <f>INDEX(LandfillFees[Disposal Tip Fee 2025],MATCH(TransTonsShort[[#This Row],[Grouping_ID]],LandfillFees[Grouping_ID],0))</f>
        <v>134.68</v>
      </c>
      <c r="AA147" s="102">
        <f>IF(OR(TransTonsShort[[#This Row],[CollectionStream_ID]]="03",TransTonsShort[[#This Row],[CollectionStream_ID]]="04",TransTonsShort[[#This Row],[CollectionStream_ID]]="13"),0,TransTonsShort[[#This Row],[Trans_Tons_All]]*TransTonsShort[[#This Row],[Disposal_Fee]])</f>
        <v>0</v>
      </c>
      <c r="AF147" s="446" t="s">
        <v>1320</v>
      </c>
      <c r="AG147" s="442" t="str">
        <f>LEFT(SecondaryTransport[[#This Row],[Scenario_MRF_Bale_ID]],2)</f>
        <v>S0</v>
      </c>
      <c r="AH147" s="181" t="str">
        <f>LEFT(RIGHT(SecondaryTransport[[#This Row],[Scenario_MRF_Bale_ID]],10),2)</f>
        <v>03</v>
      </c>
      <c r="AI147" s="181" t="str">
        <f>INDEX(MRFs[MRF_Name],MATCH(SecondaryTransport[[#This Row],[MRF_ID]],MRFs[MRF_ID],0))</f>
        <v>5 MRFs for SS with fiber upgrades (Portland)</v>
      </c>
      <c r="AJ147" s="181" t="str">
        <f>RIGHT(SecondaryTransport[[#This Row],[Scenario_MRF_Bale_ID]],7)</f>
        <v>2000-01</v>
      </c>
      <c r="AK147" s="181" t="str">
        <f>INDEX(Bales[Bale_Name],MATCH(SecondaryTransport[[#This Row],[Bale_ID]],Bales[Bale_ID],0))</f>
        <v>PET #1 bottles and jars </v>
      </c>
      <c r="AL147" s="443">
        <f>INDEX(BaleMover[Total_Baled_tons],MATCH(SecondaryTransport[[#This Row],[Scenario_MRF_Bale_ID]],BaleMover[Scenario_MRF_Bale_ID],0))</f>
        <v>2663.7484371571404</v>
      </c>
      <c r="AM147" s="443">
        <f>IF(INDEX(BaleMover[Miles],MATCH(SecondaryTransport[[#This Row],[Scenario_MRF_Bale_ID]],BaleMover[Scenario_MRF_Bale_ID],0))="",0,INDEX(BaleMover[Miles],MATCH(SecondaryTransport[[#This Row],[Scenario_MRF_Bale_ID]],BaleMover[Scenario_MRF_Bale_ID],0)))</f>
        <v>670</v>
      </c>
      <c r="AN147" s="251">
        <f>IF(SecondaryTransport[[#This Row],[Bale_ID]]="9000-01","costs elsewhere",SecondaryTransport[[#This Row],[Total_Baled_tons]]*SecondaryTransport[[#This Row],[Miles]])</f>
        <v>1784711.4528952842</v>
      </c>
      <c r="AO147" s="352" t="str">
        <f>IF(LEFT(SecondaryTransport[[#This Row],[Bale_ID]],1)*1=5,IF(OR(SecondaryTransport[[#This Row],[MRF_ID]]="02",SecondaryTransport[[#This Row],[MRF_ID]]="08"),2,1),"")</f>
        <v/>
      </c>
      <c r="AP1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4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47" s="224" t="str">
        <f>IFERROR(IF(1*LEFT(SecondaryTransport[[#This Row],[Bale_ID]],1)=5,SecondaryTransport[[#This Row],[Ton-Miles]]*SecondaryTransport[[#This Row],[Cost_Per_Ton-Mile]],""),"")</f>
        <v/>
      </c>
      <c r="AS147" s="224">
        <f>IFERROR(IF(SecondaryTransport[[#This Row],[Container_Transfer]]="",(SecondaryTransport[[#This Row],[Ton-Miles]]*SecondaryTransport[[#This Row],[Cost_Per_Ton-Mile]]),""),"")</f>
        <v>249859.60340533982</v>
      </c>
    </row>
    <row r="148" spans="3:45" ht="15" x14ac:dyDescent="0.25">
      <c r="C148"/>
      <c r="D148"/>
      <c r="L148" s="446" t="s">
        <v>874</v>
      </c>
      <c r="M148" s="446">
        <v>2</v>
      </c>
      <c r="N148" s="446">
        <v>1</v>
      </c>
      <c r="O148" s="446" t="s">
        <v>748</v>
      </c>
      <c r="P148" s="449" t="s">
        <v>719</v>
      </c>
      <c r="Q148" s="449"/>
      <c r="R148" s="449"/>
      <c r="S148" s="449" t="s">
        <v>765</v>
      </c>
      <c r="T148" s="449" t="s">
        <v>1055</v>
      </c>
      <c r="U148" s="452">
        <v>0</v>
      </c>
      <c r="V1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8" s="272" t="str">
        <f>IFERROR(SUMIFS(TransUnitCost[Miles],TransUnitCost[Grouping_ID],TransTonsShort[[#This Row],[Grouping_ID]],TransUnitCost[Transp_ID],TransTonsShort[[#This Row],[Transp_ID]])*TransTonsShort[[#This Row],[Trans_Tons_All]]/TransTonsShort[[#This Row],[Trans_Tons_All]],"")</f>
        <v/>
      </c>
      <c r="X148" s="386" t="str">
        <f>TransTonsShort[[#This Row],[Grouping_ID]]&amp;"-"&amp;TransTonsShort[[#This Row],[Sector_ID]]</f>
        <v>2-1</v>
      </c>
      <c r="Y1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8" s="421">
        <f>INDEX(LandfillFees[Disposal Tip Fee 2025],MATCH(TransTonsShort[[#This Row],[Grouping_ID]],LandfillFees[Grouping_ID],0))</f>
        <v>72.030938699729589</v>
      </c>
      <c r="AA148" s="102">
        <f>IF(OR(TransTonsShort[[#This Row],[CollectionStream_ID]]="03",TransTonsShort[[#This Row],[CollectionStream_ID]]="04",TransTonsShort[[#This Row],[CollectionStream_ID]]="13"),0,TransTonsShort[[#This Row],[Trans_Tons_All]]*TransTonsShort[[#This Row],[Disposal_Fee]])</f>
        <v>0</v>
      </c>
      <c r="AF148" s="446" t="s">
        <v>1321</v>
      </c>
      <c r="AG148" s="442" t="str">
        <f>LEFT(SecondaryTransport[[#This Row],[Scenario_MRF_Bale_ID]],2)</f>
        <v>S1</v>
      </c>
      <c r="AH148" s="181" t="str">
        <f>LEFT(RIGHT(SecondaryTransport[[#This Row],[Scenario_MRF_Bale_ID]],10),2)</f>
        <v>03</v>
      </c>
      <c r="AI148" s="181" t="str">
        <f>INDEX(MRFs[MRF_Name],MATCH(SecondaryTransport[[#This Row],[MRF_ID]],MRFs[MRF_ID],0))</f>
        <v>5 MRFs for SS with fiber upgrades (Portland)</v>
      </c>
      <c r="AJ148" s="181" t="str">
        <f>RIGHT(SecondaryTransport[[#This Row],[Scenario_MRF_Bale_ID]],7)</f>
        <v>2000-01</v>
      </c>
      <c r="AK148" s="181" t="str">
        <f>INDEX(Bales[Bale_Name],MATCH(SecondaryTransport[[#This Row],[Bale_ID]],Bales[Bale_ID],0))</f>
        <v>PET #1 bottles and jars </v>
      </c>
      <c r="AL148" s="443">
        <f>INDEX(BaleMover[Total_Baled_tons],MATCH(SecondaryTransport[[#This Row],[Scenario_MRF_Bale_ID]],BaleMover[Scenario_MRF_Bale_ID],0))</f>
        <v>2458.9204460564401</v>
      </c>
      <c r="AM148" s="443">
        <f>IF(INDEX(BaleMover[Miles],MATCH(SecondaryTransport[[#This Row],[Scenario_MRF_Bale_ID]],BaleMover[Scenario_MRF_Bale_ID],0))="",0,INDEX(BaleMover[Miles],MATCH(SecondaryTransport[[#This Row],[Scenario_MRF_Bale_ID]],BaleMover[Scenario_MRF_Bale_ID],0)))</f>
        <v>670</v>
      </c>
      <c r="AN148" s="251">
        <f>IF(SecondaryTransport[[#This Row],[Bale_ID]]="9000-01","costs elsewhere",SecondaryTransport[[#This Row],[Total_Baled_tons]]*SecondaryTransport[[#This Row],[Miles]])</f>
        <v>1647476.698857815</v>
      </c>
      <c r="AO148" s="352" t="str">
        <f>IF(LEFT(SecondaryTransport[[#This Row],[Bale_ID]],1)*1=5,IF(OR(SecondaryTransport[[#This Row],[MRF_ID]]="02",SecondaryTransport[[#This Row],[MRF_ID]]="08"),2,1),"")</f>
        <v/>
      </c>
      <c r="AP1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48" s="224" t="str">
        <f>IFERROR(IF(1*LEFT(SecondaryTransport[[#This Row],[Bale_ID]],1)=5,SecondaryTransport[[#This Row],[Ton-Miles]]*SecondaryTransport[[#This Row],[Cost_Per_Ton-Mile]],""),"")</f>
        <v/>
      </c>
      <c r="AS148" s="224">
        <f>IFERROR(IF(SecondaryTransport[[#This Row],[Container_Transfer]]="",(SecondaryTransport[[#This Row],[Ton-Miles]]*SecondaryTransport[[#This Row],[Cost_Per_Ton-Mile]]),""),"")</f>
        <v>230646.73784009411</v>
      </c>
    </row>
    <row r="149" spans="3:45" ht="15" x14ac:dyDescent="0.25">
      <c r="C149"/>
      <c r="D149"/>
      <c r="L149" s="446" t="s">
        <v>874</v>
      </c>
      <c r="M149" s="446">
        <v>3</v>
      </c>
      <c r="N149" s="446">
        <v>1</v>
      </c>
      <c r="O149" s="446" t="s">
        <v>748</v>
      </c>
      <c r="P149" s="449" t="s">
        <v>719</v>
      </c>
      <c r="Q149" s="449"/>
      <c r="R149" s="449"/>
      <c r="S149" s="449" t="s">
        <v>765</v>
      </c>
      <c r="T149" s="449" t="s">
        <v>1055</v>
      </c>
      <c r="U149" s="452">
        <v>0</v>
      </c>
      <c r="V1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49" s="272" t="str">
        <f>IFERROR(SUMIFS(TransUnitCost[Miles],TransUnitCost[Grouping_ID],TransTonsShort[[#This Row],[Grouping_ID]],TransUnitCost[Transp_ID],TransTonsShort[[#This Row],[Transp_ID]])*TransTonsShort[[#This Row],[Trans_Tons_All]]/TransTonsShort[[#This Row],[Trans_Tons_All]],"")</f>
        <v/>
      </c>
      <c r="X149" s="386" t="str">
        <f>TransTonsShort[[#This Row],[Grouping_ID]]&amp;"-"&amp;TransTonsShort[[#This Row],[Sector_ID]]</f>
        <v>3-1</v>
      </c>
      <c r="Y1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49" s="421">
        <f>INDEX(LandfillFees[Disposal Tip Fee 2025],MATCH(TransTonsShort[[#This Row],[Grouping_ID]],LandfillFees[Grouping_ID],0))</f>
        <v>72.030938699729589</v>
      </c>
      <c r="AA149" s="102">
        <f>IF(OR(TransTonsShort[[#This Row],[CollectionStream_ID]]="03",TransTonsShort[[#This Row],[CollectionStream_ID]]="04",TransTonsShort[[#This Row],[CollectionStream_ID]]="13"),0,TransTonsShort[[#This Row],[Trans_Tons_All]]*TransTonsShort[[#This Row],[Disposal_Fee]])</f>
        <v>0</v>
      </c>
      <c r="AF149" s="446" t="s">
        <v>1322</v>
      </c>
      <c r="AG149" s="442" t="str">
        <f>LEFT(SecondaryTransport[[#This Row],[Scenario_MRF_Bale_ID]],2)</f>
        <v>S2</v>
      </c>
      <c r="AH149" s="181" t="str">
        <f>LEFT(RIGHT(SecondaryTransport[[#This Row],[Scenario_MRF_Bale_ID]],10),2)</f>
        <v>03</v>
      </c>
      <c r="AI149" s="181" t="str">
        <f>INDEX(MRFs[MRF_Name],MATCH(SecondaryTransport[[#This Row],[MRF_ID]],MRFs[MRF_ID],0))</f>
        <v>5 MRFs for SS with fiber upgrades (Portland)</v>
      </c>
      <c r="AJ149" s="181" t="str">
        <f>RIGHT(SecondaryTransport[[#This Row],[Scenario_MRF_Bale_ID]],7)</f>
        <v>2000-01</v>
      </c>
      <c r="AK149" s="181" t="str">
        <f>INDEX(Bales[Bale_Name],MATCH(SecondaryTransport[[#This Row],[Bale_ID]],Bales[Bale_ID],0))</f>
        <v>PET #1 bottles and jars </v>
      </c>
      <c r="AL149" s="443">
        <f>INDEX(BaleMover[Total_Baled_tons],MATCH(SecondaryTransport[[#This Row],[Scenario_MRF_Bale_ID]],BaleMover[Scenario_MRF_Bale_ID],0))</f>
        <v>0</v>
      </c>
      <c r="AM149" s="443">
        <f>IF(INDEX(BaleMover[Miles],MATCH(SecondaryTransport[[#This Row],[Scenario_MRF_Bale_ID]],BaleMover[Scenario_MRF_Bale_ID],0))="",0,INDEX(BaleMover[Miles],MATCH(SecondaryTransport[[#This Row],[Scenario_MRF_Bale_ID]],BaleMover[Scenario_MRF_Bale_ID],0)))</f>
        <v>0</v>
      </c>
      <c r="AN149" s="251">
        <f>IF(SecondaryTransport[[#This Row],[Bale_ID]]="9000-01","costs elsewhere",SecondaryTransport[[#This Row],[Total_Baled_tons]]*SecondaryTransport[[#This Row],[Miles]])</f>
        <v>0</v>
      </c>
      <c r="AO149" s="352" t="str">
        <f>IF(LEFT(SecondaryTransport[[#This Row],[Bale_ID]],1)*1=5,IF(OR(SecondaryTransport[[#This Row],[MRF_ID]]="02",SecondaryTransport[[#This Row],[MRF_ID]]="08"),2,1),"")</f>
        <v/>
      </c>
      <c r="AP1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4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49" s="224" t="str">
        <f>IFERROR(IF(1*LEFT(SecondaryTransport[[#This Row],[Bale_ID]],1)=5,SecondaryTransport[[#This Row],[Ton-Miles]]*SecondaryTransport[[#This Row],[Cost_Per_Ton-Mile]],""),"")</f>
        <v/>
      </c>
      <c r="AS149" s="224" t="str">
        <f>IFERROR(IF(SecondaryTransport[[#This Row],[Container_Transfer]]="",(SecondaryTransport[[#This Row],[Ton-Miles]]*SecondaryTransport[[#This Row],[Cost_Per_Ton-Mile]]),""),"")</f>
        <v/>
      </c>
    </row>
    <row r="150" spans="3:45" ht="15" x14ac:dyDescent="0.25">
      <c r="C150"/>
      <c r="D150"/>
      <c r="L150" s="446" t="s">
        <v>874</v>
      </c>
      <c r="M150" s="446">
        <v>4</v>
      </c>
      <c r="N150" s="446">
        <v>1</v>
      </c>
      <c r="O150" s="446" t="s">
        <v>748</v>
      </c>
      <c r="P150" s="449" t="s">
        <v>719</v>
      </c>
      <c r="Q150" s="449"/>
      <c r="R150" s="449"/>
      <c r="S150" s="449" t="s">
        <v>765</v>
      </c>
      <c r="T150" s="449" t="s">
        <v>1055</v>
      </c>
      <c r="U150" s="452">
        <v>0</v>
      </c>
      <c r="V1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0" s="272" t="str">
        <f>IFERROR(SUMIFS(TransUnitCost[Miles],TransUnitCost[Grouping_ID],TransTonsShort[[#This Row],[Grouping_ID]],TransUnitCost[Transp_ID],TransTonsShort[[#This Row],[Transp_ID]])*TransTonsShort[[#This Row],[Trans_Tons_All]]/TransTonsShort[[#This Row],[Trans_Tons_All]],"")</f>
        <v/>
      </c>
      <c r="X150" s="386" t="str">
        <f>TransTonsShort[[#This Row],[Grouping_ID]]&amp;"-"&amp;TransTonsShort[[#This Row],[Sector_ID]]</f>
        <v>4-1</v>
      </c>
      <c r="Y1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0" s="421">
        <f>INDEX(LandfillFees[Disposal Tip Fee 2025],MATCH(TransTonsShort[[#This Row],[Grouping_ID]],LandfillFees[Grouping_ID],0))</f>
        <v>72.030938699729589</v>
      </c>
      <c r="AA150" s="102">
        <f>IF(OR(TransTonsShort[[#This Row],[CollectionStream_ID]]="03",TransTonsShort[[#This Row],[CollectionStream_ID]]="04",TransTonsShort[[#This Row],[CollectionStream_ID]]="13"),0,TransTonsShort[[#This Row],[Trans_Tons_All]]*TransTonsShort[[#This Row],[Disposal_Fee]])</f>
        <v>0</v>
      </c>
      <c r="AF150" s="446" t="s">
        <v>1323</v>
      </c>
      <c r="AG150" s="442" t="str">
        <f>LEFT(SecondaryTransport[[#This Row],[Scenario_MRF_Bale_ID]],2)</f>
        <v>S3</v>
      </c>
      <c r="AH150" s="181" t="str">
        <f>LEFT(RIGHT(SecondaryTransport[[#This Row],[Scenario_MRF_Bale_ID]],10),2)</f>
        <v>03</v>
      </c>
      <c r="AI150" s="181" t="str">
        <f>INDEX(MRFs[MRF_Name],MATCH(SecondaryTransport[[#This Row],[MRF_ID]],MRFs[MRF_ID],0))</f>
        <v>5 MRFs for SS with fiber upgrades (Portland)</v>
      </c>
      <c r="AJ150" s="181" t="str">
        <f>RIGHT(SecondaryTransport[[#This Row],[Scenario_MRF_Bale_ID]],7)</f>
        <v>2000-01</v>
      </c>
      <c r="AK150" s="181" t="str">
        <f>INDEX(Bales[Bale_Name],MATCH(SecondaryTransport[[#This Row],[Bale_ID]],Bales[Bale_ID],0))</f>
        <v>PET #1 bottles and jars </v>
      </c>
      <c r="AL150" s="443">
        <f>INDEX(BaleMover[Total_Baled_tons],MATCH(SecondaryTransport[[#This Row],[Scenario_MRF_Bale_ID]],BaleMover[Scenario_MRF_Bale_ID],0))</f>
        <v>0</v>
      </c>
      <c r="AM150" s="443">
        <f>IF(INDEX(BaleMover[Miles],MATCH(SecondaryTransport[[#This Row],[Scenario_MRF_Bale_ID]],BaleMover[Scenario_MRF_Bale_ID],0))="",0,INDEX(BaleMover[Miles],MATCH(SecondaryTransport[[#This Row],[Scenario_MRF_Bale_ID]],BaleMover[Scenario_MRF_Bale_ID],0)))</f>
        <v>0</v>
      </c>
      <c r="AN150" s="251">
        <f>IF(SecondaryTransport[[#This Row],[Bale_ID]]="9000-01","costs elsewhere",SecondaryTransport[[#This Row],[Total_Baled_tons]]*SecondaryTransport[[#This Row],[Miles]])</f>
        <v>0</v>
      </c>
      <c r="AO150" s="352" t="str">
        <f>IF(LEFT(SecondaryTransport[[#This Row],[Bale_ID]],1)*1=5,IF(OR(SecondaryTransport[[#This Row],[MRF_ID]]="02",SecondaryTransport[[#This Row],[MRF_ID]]="08"),2,1),"")</f>
        <v/>
      </c>
      <c r="AP1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0" s="224" t="str">
        <f>IFERROR(IF(1*LEFT(SecondaryTransport[[#This Row],[Bale_ID]],1)=5,SecondaryTransport[[#This Row],[Ton-Miles]]*SecondaryTransport[[#This Row],[Cost_Per_Ton-Mile]],""),"")</f>
        <v/>
      </c>
      <c r="AS150" s="224" t="str">
        <f>IFERROR(IF(SecondaryTransport[[#This Row],[Container_Transfer]]="",(SecondaryTransport[[#This Row],[Ton-Miles]]*SecondaryTransport[[#This Row],[Cost_Per_Ton-Mile]]),""),"")</f>
        <v/>
      </c>
    </row>
    <row r="151" spans="3:45" ht="15" x14ac:dyDescent="0.25">
      <c r="C151"/>
      <c r="D151"/>
      <c r="L151" s="446" t="s">
        <v>874</v>
      </c>
      <c r="M151" s="446">
        <v>1</v>
      </c>
      <c r="N151" s="446">
        <v>1</v>
      </c>
      <c r="O151" s="448" t="s">
        <v>748</v>
      </c>
      <c r="P151" s="449" t="s">
        <v>700</v>
      </c>
      <c r="Q151" s="449"/>
      <c r="R151" s="449"/>
      <c r="S151" s="449" t="s">
        <v>765</v>
      </c>
      <c r="T151" s="449" t="s">
        <v>701</v>
      </c>
      <c r="U151" s="452">
        <v>0</v>
      </c>
      <c r="V1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1" s="272" t="str">
        <f>IFERROR(SUMIFS(TransUnitCost[Miles],TransUnitCost[Grouping_ID],TransTonsShort[[#This Row],[Grouping_ID]],TransUnitCost[Transp_ID],TransTonsShort[[#This Row],[Transp_ID]])*TransTonsShort[[#This Row],[Trans_Tons_All]]/TransTonsShort[[#This Row],[Trans_Tons_All]],"")</f>
        <v/>
      </c>
      <c r="X151" s="386" t="str">
        <f>TransTonsShort[[#This Row],[Grouping_ID]]&amp;"-"&amp;TransTonsShort[[#This Row],[Sector_ID]]</f>
        <v>1-1</v>
      </c>
      <c r="Y1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1" s="421">
        <f>INDEX(LandfillFees[Disposal Tip Fee 2025],MATCH(TransTonsShort[[#This Row],[Grouping_ID]],LandfillFees[Grouping_ID],0))</f>
        <v>134.68</v>
      </c>
      <c r="AA151" s="102">
        <f>IF(OR(TransTonsShort[[#This Row],[CollectionStream_ID]]="03",TransTonsShort[[#This Row],[CollectionStream_ID]]="04",TransTonsShort[[#This Row],[CollectionStream_ID]]="13"),0,TransTonsShort[[#This Row],[Trans_Tons_All]]*TransTonsShort[[#This Row],[Disposal_Fee]])</f>
        <v>0</v>
      </c>
      <c r="AF151" s="446" t="s">
        <v>1324</v>
      </c>
      <c r="AG151" s="442" t="str">
        <f>LEFT(SecondaryTransport[[#This Row],[Scenario_MRF_Bale_ID]],2)</f>
        <v>S0</v>
      </c>
      <c r="AH151" s="181" t="str">
        <f>LEFT(RIGHT(SecondaryTransport[[#This Row],[Scenario_MRF_Bale_ID]],10),2)</f>
        <v>03</v>
      </c>
      <c r="AI151" s="181" t="str">
        <f>INDEX(MRFs[MRF_Name],MATCH(SecondaryTransport[[#This Row],[MRF_ID]],MRFs[MRF_ID],0))</f>
        <v>5 MRFs for SS with fiber upgrades (Portland)</v>
      </c>
      <c r="AJ151" s="181" t="str">
        <f>RIGHT(SecondaryTransport[[#This Row],[Scenario_MRF_Bale_ID]],7)</f>
        <v>2000-02</v>
      </c>
      <c r="AK151" s="181" t="str">
        <f>INDEX(Bales[Bale_Name],MATCH(SecondaryTransport[[#This Row],[Bale_ID]],Bales[Bale_ID],0))</f>
        <v>PET #1 thermoforms and tubs</v>
      </c>
      <c r="AL151" s="443">
        <f>INDEX(BaleMover[Total_Baled_tons],MATCH(SecondaryTransport[[#This Row],[Scenario_MRF_Bale_ID]],BaleMover[Scenario_MRF_Bale_ID],0))</f>
        <v>0</v>
      </c>
      <c r="AM151" s="443">
        <f>IF(INDEX(BaleMover[Miles],MATCH(SecondaryTransport[[#This Row],[Scenario_MRF_Bale_ID]],BaleMover[Scenario_MRF_Bale_ID],0))="",0,INDEX(BaleMover[Miles],MATCH(SecondaryTransport[[#This Row],[Scenario_MRF_Bale_ID]],BaleMover[Scenario_MRF_Bale_ID],0)))</f>
        <v>0</v>
      </c>
      <c r="AN151" s="251">
        <f>IF(SecondaryTransport[[#This Row],[Bale_ID]]="9000-01","costs elsewhere",SecondaryTransport[[#This Row],[Total_Baled_tons]]*SecondaryTransport[[#This Row],[Miles]])</f>
        <v>0</v>
      </c>
      <c r="AO151" s="352" t="str">
        <f>IF(LEFT(SecondaryTransport[[#This Row],[Bale_ID]],1)*1=5,IF(OR(SecondaryTransport[[#This Row],[MRF_ID]]="02",SecondaryTransport[[#This Row],[MRF_ID]]="08"),2,1),"")</f>
        <v/>
      </c>
      <c r="AP1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1" s="224" t="str">
        <f>IFERROR(IF(1*LEFT(SecondaryTransport[[#This Row],[Bale_ID]],1)=5,SecondaryTransport[[#This Row],[Ton-Miles]]*SecondaryTransport[[#This Row],[Cost_Per_Ton-Mile]],""),"")</f>
        <v/>
      </c>
      <c r="AS151" s="224" t="str">
        <f>IFERROR(IF(SecondaryTransport[[#This Row],[Container_Transfer]]="",(SecondaryTransport[[#This Row],[Ton-Miles]]*SecondaryTransport[[#This Row],[Cost_Per_Ton-Mile]]),""),"")</f>
        <v/>
      </c>
    </row>
    <row r="152" spans="3:45" ht="15" x14ac:dyDescent="0.25">
      <c r="C152"/>
      <c r="D152"/>
      <c r="L152" s="446" t="s">
        <v>874</v>
      </c>
      <c r="M152" s="446">
        <v>2</v>
      </c>
      <c r="N152" s="446">
        <v>1</v>
      </c>
      <c r="O152" s="448" t="s">
        <v>748</v>
      </c>
      <c r="P152" s="449" t="s">
        <v>700</v>
      </c>
      <c r="Q152" s="449"/>
      <c r="R152" s="449"/>
      <c r="S152" s="449" t="s">
        <v>765</v>
      </c>
      <c r="T152" s="449" t="s">
        <v>701</v>
      </c>
      <c r="U152" s="452">
        <v>0</v>
      </c>
      <c r="V1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2" s="272" t="str">
        <f>IFERROR(SUMIFS(TransUnitCost[Miles],TransUnitCost[Grouping_ID],TransTonsShort[[#This Row],[Grouping_ID]],TransUnitCost[Transp_ID],TransTonsShort[[#This Row],[Transp_ID]])*TransTonsShort[[#This Row],[Trans_Tons_All]]/TransTonsShort[[#This Row],[Trans_Tons_All]],"")</f>
        <v/>
      </c>
      <c r="X152" s="386" t="str">
        <f>TransTonsShort[[#This Row],[Grouping_ID]]&amp;"-"&amp;TransTonsShort[[#This Row],[Sector_ID]]</f>
        <v>2-1</v>
      </c>
      <c r="Y1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2" s="421">
        <f>INDEX(LandfillFees[Disposal Tip Fee 2025],MATCH(TransTonsShort[[#This Row],[Grouping_ID]],LandfillFees[Grouping_ID],0))</f>
        <v>72.030938699729589</v>
      </c>
      <c r="AA152" s="102">
        <f>IF(OR(TransTonsShort[[#This Row],[CollectionStream_ID]]="03",TransTonsShort[[#This Row],[CollectionStream_ID]]="04",TransTonsShort[[#This Row],[CollectionStream_ID]]="13"),0,TransTonsShort[[#This Row],[Trans_Tons_All]]*TransTonsShort[[#This Row],[Disposal_Fee]])</f>
        <v>0</v>
      </c>
      <c r="AF152" s="446" t="s">
        <v>1325</v>
      </c>
      <c r="AG152" s="442" t="str">
        <f>LEFT(SecondaryTransport[[#This Row],[Scenario_MRF_Bale_ID]],2)</f>
        <v>S1</v>
      </c>
      <c r="AH152" s="181" t="str">
        <f>LEFT(RIGHT(SecondaryTransport[[#This Row],[Scenario_MRF_Bale_ID]],10),2)</f>
        <v>03</v>
      </c>
      <c r="AI152" s="181" t="str">
        <f>INDEX(MRFs[MRF_Name],MATCH(SecondaryTransport[[#This Row],[MRF_ID]],MRFs[MRF_ID],0))</f>
        <v>5 MRFs for SS with fiber upgrades (Portland)</v>
      </c>
      <c r="AJ152" s="181" t="str">
        <f>RIGHT(SecondaryTransport[[#This Row],[Scenario_MRF_Bale_ID]],7)</f>
        <v>2000-02</v>
      </c>
      <c r="AK152" s="181" t="str">
        <f>INDEX(Bales[Bale_Name],MATCH(SecondaryTransport[[#This Row],[Bale_ID]],Bales[Bale_ID],0))</f>
        <v>PET #1 thermoforms and tubs</v>
      </c>
      <c r="AL152" s="443">
        <f>INDEX(BaleMover[Total_Baled_tons],MATCH(SecondaryTransport[[#This Row],[Scenario_MRF_Bale_ID]],BaleMover[Scenario_MRF_Bale_ID],0))</f>
        <v>0</v>
      </c>
      <c r="AM152" s="443">
        <f>IF(INDEX(BaleMover[Miles],MATCH(SecondaryTransport[[#This Row],[Scenario_MRF_Bale_ID]],BaleMover[Scenario_MRF_Bale_ID],0))="",0,INDEX(BaleMover[Miles],MATCH(SecondaryTransport[[#This Row],[Scenario_MRF_Bale_ID]],BaleMover[Scenario_MRF_Bale_ID],0)))</f>
        <v>0</v>
      </c>
      <c r="AN152" s="251">
        <f>IF(SecondaryTransport[[#This Row],[Bale_ID]]="9000-01","costs elsewhere",SecondaryTransport[[#This Row],[Total_Baled_tons]]*SecondaryTransport[[#This Row],[Miles]])</f>
        <v>0</v>
      </c>
      <c r="AO152" s="352" t="str">
        <f>IF(LEFT(SecondaryTransport[[#This Row],[Bale_ID]],1)*1=5,IF(OR(SecondaryTransport[[#This Row],[MRF_ID]]="02",SecondaryTransport[[#This Row],[MRF_ID]]="08"),2,1),"")</f>
        <v/>
      </c>
      <c r="AP1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2" s="224" t="str">
        <f>IFERROR(IF(1*LEFT(SecondaryTransport[[#This Row],[Bale_ID]],1)=5,SecondaryTransport[[#This Row],[Ton-Miles]]*SecondaryTransport[[#This Row],[Cost_Per_Ton-Mile]],""),"")</f>
        <v/>
      </c>
      <c r="AS152" s="224" t="str">
        <f>IFERROR(IF(SecondaryTransport[[#This Row],[Container_Transfer]]="",(SecondaryTransport[[#This Row],[Ton-Miles]]*SecondaryTransport[[#This Row],[Cost_Per_Ton-Mile]]),""),"")</f>
        <v/>
      </c>
    </row>
    <row r="153" spans="3:45" ht="15" x14ac:dyDescent="0.25">
      <c r="C153"/>
      <c r="D153"/>
      <c r="L153" s="446" t="s">
        <v>874</v>
      </c>
      <c r="M153" s="446">
        <v>3</v>
      </c>
      <c r="N153" s="446">
        <v>1</v>
      </c>
      <c r="O153" s="448" t="s">
        <v>748</v>
      </c>
      <c r="P153" s="449" t="s">
        <v>700</v>
      </c>
      <c r="Q153" s="449"/>
      <c r="R153" s="449"/>
      <c r="S153" s="449" t="s">
        <v>765</v>
      </c>
      <c r="T153" s="449" t="s">
        <v>701</v>
      </c>
      <c r="U153" s="452">
        <v>0</v>
      </c>
      <c r="V1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3" s="272" t="str">
        <f>IFERROR(SUMIFS(TransUnitCost[Miles],TransUnitCost[Grouping_ID],TransTonsShort[[#This Row],[Grouping_ID]],TransUnitCost[Transp_ID],TransTonsShort[[#This Row],[Transp_ID]])*TransTonsShort[[#This Row],[Trans_Tons_All]]/TransTonsShort[[#This Row],[Trans_Tons_All]],"")</f>
        <v/>
      </c>
      <c r="X153" s="386" t="str">
        <f>TransTonsShort[[#This Row],[Grouping_ID]]&amp;"-"&amp;TransTonsShort[[#This Row],[Sector_ID]]</f>
        <v>3-1</v>
      </c>
      <c r="Y1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3" s="421">
        <f>INDEX(LandfillFees[Disposal Tip Fee 2025],MATCH(TransTonsShort[[#This Row],[Grouping_ID]],LandfillFees[Grouping_ID],0))</f>
        <v>72.030938699729589</v>
      </c>
      <c r="AA153" s="102">
        <f>IF(OR(TransTonsShort[[#This Row],[CollectionStream_ID]]="03",TransTonsShort[[#This Row],[CollectionStream_ID]]="04",TransTonsShort[[#This Row],[CollectionStream_ID]]="13"),0,TransTonsShort[[#This Row],[Trans_Tons_All]]*TransTonsShort[[#This Row],[Disposal_Fee]])</f>
        <v>0</v>
      </c>
      <c r="AF153" s="446" t="s">
        <v>1326</v>
      </c>
      <c r="AG153" s="442" t="str">
        <f>LEFT(SecondaryTransport[[#This Row],[Scenario_MRF_Bale_ID]],2)</f>
        <v>S2</v>
      </c>
      <c r="AH153" s="181" t="str">
        <f>LEFT(RIGHT(SecondaryTransport[[#This Row],[Scenario_MRF_Bale_ID]],10),2)</f>
        <v>03</v>
      </c>
      <c r="AI153" s="181" t="str">
        <f>INDEX(MRFs[MRF_Name],MATCH(SecondaryTransport[[#This Row],[MRF_ID]],MRFs[MRF_ID],0))</f>
        <v>5 MRFs for SS with fiber upgrades (Portland)</v>
      </c>
      <c r="AJ153" s="181" t="str">
        <f>RIGHT(SecondaryTransport[[#This Row],[Scenario_MRF_Bale_ID]],7)</f>
        <v>2000-02</v>
      </c>
      <c r="AK153" s="181" t="str">
        <f>INDEX(Bales[Bale_Name],MATCH(SecondaryTransport[[#This Row],[Bale_ID]],Bales[Bale_ID],0))</f>
        <v>PET #1 thermoforms and tubs</v>
      </c>
      <c r="AL153" s="443">
        <f>INDEX(BaleMover[Total_Baled_tons],MATCH(SecondaryTransport[[#This Row],[Scenario_MRF_Bale_ID]],BaleMover[Scenario_MRF_Bale_ID],0))</f>
        <v>0</v>
      </c>
      <c r="AM153" s="443">
        <f>IF(INDEX(BaleMover[Miles],MATCH(SecondaryTransport[[#This Row],[Scenario_MRF_Bale_ID]],BaleMover[Scenario_MRF_Bale_ID],0))="",0,INDEX(BaleMover[Miles],MATCH(SecondaryTransport[[#This Row],[Scenario_MRF_Bale_ID]],BaleMover[Scenario_MRF_Bale_ID],0)))</f>
        <v>0</v>
      </c>
      <c r="AN153" s="251">
        <f>IF(SecondaryTransport[[#This Row],[Bale_ID]]="9000-01","costs elsewhere",SecondaryTransport[[#This Row],[Total_Baled_tons]]*SecondaryTransport[[#This Row],[Miles]])</f>
        <v>0</v>
      </c>
      <c r="AO153" s="352" t="str">
        <f>IF(LEFT(SecondaryTransport[[#This Row],[Bale_ID]],1)*1=5,IF(OR(SecondaryTransport[[#This Row],[MRF_ID]]="02",SecondaryTransport[[#This Row],[MRF_ID]]="08"),2,1),"")</f>
        <v/>
      </c>
      <c r="AP1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3" s="224" t="str">
        <f>IFERROR(IF(1*LEFT(SecondaryTransport[[#This Row],[Bale_ID]],1)=5,SecondaryTransport[[#This Row],[Ton-Miles]]*SecondaryTransport[[#This Row],[Cost_Per_Ton-Mile]],""),"")</f>
        <v/>
      </c>
      <c r="AS153" s="224" t="str">
        <f>IFERROR(IF(SecondaryTransport[[#This Row],[Container_Transfer]]="",(SecondaryTransport[[#This Row],[Ton-Miles]]*SecondaryTransport[[#This Row],[Cost_Per_Ton-Mile]]),""),"")</f>
        <v/>
      </c>
    </row>
    <row r="154" spans="3:45" ht="15" x14ac:dyDescent="0.25">
      <c r="C154"/>
      <c r="D154"/>
      <c r="L154" s="446" t="s">
        <v>874</v>
      </c>
      <c r="M154" s="446">
        <v>4</v>
      </c>
      <c r="N154" s="446">
        <v>1</v>
      </c>
      <c r="O154" s="448" t="s">
        <v>748</v>
      </c>
      <c r="P154" s="449" t="s">
        <v>700</v>
      </c>
      <c r="Q154" s="449"/>
      <c r="R154" s="449"/>
      <c r="S154" s="449" t="s">
        <v>765</v>
      </c>
      <c r="T154" s="449" t="s">
        <v>701</v>
      </c>
      <c r="U154" s="452">
        <v>0</v>
      </c>
      <c r="V1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4" s="272" t="str">
        <f>IFERROR(SUMIFS(TransUnitCost[Miles],TransUnitCost[Grouping_ID],TransTonsShort[[#This Row],[Grouping_ID]],TransUnitCost[Transp_ID],TransTonsShort[[#This Row],[Transp_ID]])*TransTonsShort[[#This Row],[Trans_Tons_All]]/TransTonsShort[[#This Row],[Trans_Tons_All]],"")</f>
        <v/>
      </c>
      <c r="X154" s="386" t="str">
        <f>TransTonsShort[[#This Row],[Grouping_ID]]&amp;"-"&amp;TransTonsShort[[#This Row],[Sector_ID]]</f>
        <v>4-1</v>
      </c>
      <c r="Y1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4" s="421">
        <f>INDEX(LandfillFees[Disposal Tip Fee 2025],MATCH(TransTonsShort[[#This Row],[Grouping_ID]],LandfillFees[Grouping_ID],0))</f>
        <v>72.030938699729589</v>
      </c>
      <c r="AA154" s="102">
        <f>IF(OR(TransTonsShort[[#This Row],[CollectionStream_ID]]="03",TransTonsShort[[#This Row],[CollectionStream_ID]]="04",TransTonsShort[[#This Row],[CollectionStream_ID]]="13"),0,TransTonsShort[[#This Row],[Trans_Tons_All]]*TransTonsShort[[#This Row],[Disposal_Fee]])</f>
        <v>0</v>
      </c>
      <c r="AF154" s="446" t="s">
        <v>1327</v>
      </c>
      <c r="AG154" s="442" t="str">
        <f>LEFT(SecondaryTransport[[#This Row],[Scenario_MRF_Bale_ID]],2)</f>
        <v>S3</v>
      </c>
      <c r="AH154" s="181" t="str">
        <f>LEFT(RIGHT(SecondaryTransport[[#This Row],[Scenario_MRF_Bale_ID]],10),2)</f>
        <v>03</v>
      </c>
      <c r="AI154" s="181" t="str">
        <f>INDEX(MRFs[MRF_Name],MATCH(SecondaryTransport[[#This Row],[MRF_ID]],MRFs[MRF_ID],0))</f>
        <v>5 MRFs for SS with fiber upgrades (Portland)</v>
      </c>
      <c r="AJ154" s="181" t="str">
        <f>RIGHT(SecondaryTransport[[#This Row],[Scenario_MRF_Bale_ID]],7)</f>
        <v>2000-02</v>
      </c>
      <c r="AK154" s="181" t="str">
        <f>INDEX(Bales[Bale_Name],MATCH(SecondaryTransport[[#This Row],[Bale_ID]],Bales[Bale_ID],0))</f>
        <v>PET #1 thermoforms and tubs</v>
      </c>
      <c r="AL154" s="443">
        <f>INDEX(BaleMover[Total_Baled_tons],MATCH(SecondaryTransport[[#This Row],[Scenario_MRF_Bale_ID]],BaleMover[Scenario_MRF_Bale_ID],0))</f>
        <v>0</v>
      </c>
      <c r="AM154" s="443">
        <f>IF(INDEX(BaleMover[Miles],MATCH(SecondaryTransport[[#This Row],[Scenario_MRF_Bale_ID]],BaleMover[Scenario_MRF_Bale_ID],0))="",0,INDEX(BaleMover[Miles],MATCH(SecondaryTransport[[#This Row],[Scenario_MRF_Bale_ID]],BaleMover[Scenario_MRF_Bale_ID],0)))</f>
        <v>0</v>
      </c>
      <c r="AN154" s="251">
        <f>IF(SecondaryTransport[[#This Row],[Bale_ID]]="9000-01","costs elsewhere",SecondaryTransport[[#This Row],[Total_Baled_tons]]*SecondaryTransport[[#This Row],[Miles]])</f>
        <v>0</v>
      </c>
      <c r="AO154" s="352" t="str">
        <f>IF(LEFT(SecondaryTransport[[#This Row],[Bale_ID]],1)*1=5,IF(OR(SecondaryTransport[[#This Row],[MRF_ID]]="02",SecondaryTransport[[#This Row],[MRF_ID]]="08"),2,1),"")</f>
        <v/>
      </c>
      <c r="AP1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4" s="224" t="str">
        <f>IFERROR(IF(1*LEFT(SecondaryTransport[[#This Row],[Bale_ID]],1)=5,SecondaryTransport[[#This Row],[Ton-Miles]]*SecondaryTransport[[#This Row],[Cost_Per_Ton-Mile]],""),"")</f>
        <v/>
      </c>
      <c r="AS154" s="224" t="str">
        <f>IFERROR(IF(SecondaryTransport[[#This Row],[Container_Transfer]]="",(SecondaryTransport[[#This Row],[Ton-Miles]]*SecondaryTransport[[#This Row],[Cost_Per_Ton-Mile]]),""),"")</f>
        <v/>
      </c>
    </row>
    <row r="155" spans="3:45" ht="15" x14ac:dyDescent="0.25">
      <c r="C155"/>
      <c r="D155"/>
      <c r="L155" s="446" t="s">
        <v>874</v>
      </c>
      <c r="M155" s="446">
        <v>1</v>
      </c>
      <c r="N155" s="446">
        <v>1</v>
      </c>
      <c r="O155" s="448" t="s">
        <v>748</v>
      </c>
      <c r="P155" s="449" t="s">
        <v>748</v>
      </c>
      <c r="Q155" s="449"/>
      <c r="R155" s="449"/>
      <c r="S155" s="449" t="s">
        <v>765</v>
      </c>
      <c r="T155" s="449" t="s">
        <v>849</v>
      </c>
      <c r="U155" s="452">
        <v>0</v>
      </c>
      <c r="V1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5" s="272" t="str">
        <f>IFERROR(SUMIFS(TransUnitCost[Miles],TransUnitCost[Grouping_ID],TransTonsShort[[#This Row],[Grouping_ID]],TransUnitCost[Transp_ID],TransTonsShort[[#This Row],[Transp_ID]])*TransTonsShort[[#This Row],[Trans_Tons_All]]/TransTonsShort[[#This Row],[Trans_Tons_All]],"")</f>
        <v/>
      </c>
      <c r="X155" s="386" t="str">
        <f>TransTonsShort[[#This Row],[Grouping_ID]]&amp;"-"&amp;TransTonsShort[[#This Row],[Sector_ID]]</f>
        <v>1-1</v>
      </c>
      <c r="Y1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5" s="421">
        <f>INDEX(LandfillFees[Disposal Tip Fee 2025],MATCH(TransTonsShort[[#This Row],[Grouping_ID]],LandfillFees[Grouping_ID],0))</f>
        <v>134.68</v>
      </c>
      <c r="AA155" s="102">
        <f>IF(OR(TransTonsShort[[#This Row],[CollectionStream_ID]]="03",TransTonsShort[[#This Row],[CollectionStream_ID]]="04",TransTonsShort[[#This Row],[CollectionStream_ID]]="13"),0,TransTonsShort[[#This Row],[Trans_Tons_All]]*TransTonsShort[[#This Row],[Disposal_Fee]])</f>
        <v>0</v>
      </c>
      <c r="AF155" s="446" t="s">
        <v>1328</v>
      </c>
      <c r="AG155" s="442" t="str">
        <f>LEFT(SecondaryTransport[[#This Row],[Scenario_MRF_Bale_ID]],2)</f>
        <v>S0</v>
      </c>
      <c r="AH155" s="181" t="str">
        <f>LEFT(RIGHT(SecondaryTransport[[#This Row],[Scenario_MRF_Bale_ID]],10),2)</f>
        <v>03</v>
      </c>
      <c r="AI155" s="181" t="str">
        <f>INDEX(MRFs[MRF_Name],MATCH(SecondaryTransport[[#This Row],[MRF_ID]],MRFs[MRF_ID],0))</f>
        <v>5 MRFs for SS with fiber upgrades (Portland)</v>
      </c>
      <c r="AJ155" s="181" t="str">
        <f>RIGHT(SecondaryTransport[[#This Row],[Scenario_MRF_Bale_ID]],7)</f>
        <v>2000-03</v>
      </c>
      <c r="AK155" s="181" t="str">
        <f>INDEX(Bales[Bale_Name],MATCH(SecondaryTransport[[#This Row],[Bale_ID]],Bales[Bale_ID],0))</f>
        <v>HDPE #2 natural bottles </v>
      </c>
      <c r="AL155" s="443">
        <f>INDEX(BaleMover[Total_Baled_tons],MATCH(SecondaryTransport[[#This Row],[Scenario_MRF_Bale_ID]],BaleMover[Scenario_MRF_Bale_ID],0))</f>
        <v>821.43492226863987</v>
      </c>
      <c r="AM155" s="443">
        <f>IF(INDEX(BaleMover[Miles],MATCH(SecondaryTransport[[#This Row],[Scenario_MRF_Bale_ID]],BaleMover[Scenario_MRF_Bale_ID],0))="",0,INDEX(BaleMover[Miles],MATCH(SecondaryTransport[[#This Row],[Scenario_MRF_Bale_ID]],BaleMover[Scenario_MRF_Bale_ID],0)))</f>
        <v>315</v>
      </c>
      <c r="AN155" s="251">
        <f>IF(SecondaryTransport[[#This Row],[Bale_ID]]="9000-01","costs elsewhere",SecondaryTransport[[#This Row],[Total_Baled_tons]]*SecondaryTransport[[#This Row],[Miles]])</f>
        <v>258752.00051462156</v>
      </c>
      <c r="AO155" s="352" t="str">
        <f>IF(LEFT(SecondaryTransport[[#This Row],[Bale_ID]],1)*1=5,IF(OR(SecondaryTransport[[#This Row],[MRF_ID]]="02",SecondaryTransport[[#This Row],[MRF_ID]]="08"),2,1),"")</f>
        <v/>
      </c>
      <c r="AP1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5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55" s="224" t="str">
        <f>IFERROR(IF(1*LEFT(SecondaryTransport[[#This Row],[Bale_ID]],1)=5,SecondaryTransport[[#This Row],[Ton-Miles]]*SecondaryTransport[[#This Row],[Cost_Per_Ton-Mile]],""),"")</f>
        <v/>
      </c>
      <c r="AS155" s="224">
        <f>IFERROR(IF(SecondaryTransport[[#This Row],[Container_Transfer]]="",(SecondaryTransport[[#This Row],[Ton-Miles]]*SecondaryTransport[[#This Row],[Cost_Per_Ton-Mile]]),""),"")</f>
        <v>36225.280072047019</v>
      </c>
    </row>
    <row r="156" spans="3:45" ht="15" x14ac:dyDescent="0.25">
      <c r="C156"/>
      <c r="D156"/>
      <c r="L156" s="446" t="s">
        <v>874</v>
      </c>
      <c r="M156" s="446">
        <v>2</v>
      </c>
      <c r="N156" s="446">
        <v>1</v>
      </c>
      <c r="O156" s="448" t="s">
        <v>748</v>
      </c>
      <c r="P156" s="449" t="s">
        <v>748</v>
      </c>
      <c r="Q156" s="449"/>
      <c r="R156" s="449"/>
      <c r="S156" s="449" t="s">
        <v>765</v>
      </c>
      <c r="T156" s="449" t="s">
        <v>849</v>
      </c>
      <c r="U156" s="452">
        <v>0</v>
      </c>
      <c r="V1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6" s="272" t="str">
        <f>IFERROR(SUMIFS(TransUnitCost[Miles],TransUnitCost[Grouping_ID],TransTonsShort[[#This Row],[Grouping_ID]],TransUnitCost[Transp_ID],TransTonsShort[[#This Row],[Transp_ID]])*TransTonsShort[[#This Row],[Trans_Tons_All]]/TransTonsShort[[#This Row],[Trans_Tons_All]],"")</f>
        <v/>
      </c>
      <c r="X156" s="386" t="str">
        <f>TransTonsShort[[#This Row],[Grouping_ID]]&amp;"-"&amp;TransTonsShort[[#This Row],[Sector_ID]]</f>
        <v>2-1</v>
      </c>
      <c r="Y1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6" s="421">
        <f>INDEX(LandfillFees[Disposal Tip Fee 2025],MATCH(TransTonsShort[[#This Row],[Grouping_ID]],LandfillFees[Grouping_ID],0))</f>
        <v>72.030938699729589</v>
      </c>
      <c r="AA156" s="102">
        <f>IF(OR(TransTonsShort[[#This Row],[CollectionStream_ID]]="03",TransTonsShort[[#This Row],[CollectionStream_ID]]="04",TransTonsShort[[#This Row],[CollectionStream_ID]]="13"),0,TransTonsShort[[#This Row],[Trans_Tons_All]]*TransTonsShort[[#This Row],[Disposal_Fee]])</f>
        <v>0</v>
      </c>
      <c r="AF156" s="446" t="s">
        <v>1329</v>
      </c>
      <c r="AG156" s="442" t="str">
        <f>LEFT(SecondaryTransport[[#This Row],[Scenario_MRF_Bale_ID]],2)</f>
        <v>S1</v>
      </c>
      <c r="AH156" s="181" t="str">
        <f>LEFT(RIGHT(SecondaryTransport[[#This Row],[Scenario_MRF_Bale_ID]],10),2)</f>
        <v>03</v>
      </c>
      <c r="AI156" s="181" t="str">
        <f>INDEX(MRFs[MRF_Name],MATCH(SecondaryTransport[[#This Row],[MRF_ID]],MRFs[MRF_ID],0))</f>
        <v>5 MRFs for SS with fiber upgrades (Portland)</v>
      </c>
      <c r="AJ156" s="181" t="str">
        <f>RIGHT(SecondaryTransport[[#This Row],[Scenario_MRF_Bale_ID]],7)</f>
        <v>2000-03</v>
      </c>
      <c r="AK156" s="181" t="str">
        <f>INDEX(Bales[Bale_Name],MATCH(SecondaryTransport[[#This Row],[Bale_ID]],Bales[Bale_ID],0))</f>
        <v>HDPE #2 natural bottles </v>
      </c>
      <c r="AL156" s="443">
        <f>INDEX(BaleMover[Total_Baled_tons],MATCH(SecondaryTransport[[#This Row],[Scenario_MRF_Bale_ID]],BaleMover[Scenario_MRF_Bale_ID],0))</f>
        <v>768.5985606682832</v>
      </c>
      <c r="AM156" s="443">
        <f>IF(INDEX(BaleMover[Miles],MATCH(SecondaryTransport[[#This Row],[Scenario_MRF_Bale_ID]],BaleMover[Scenario_MRF_Bale_ID],0))="",0,INDEX(BaleMover[Miles],MATCH(SecondaryTransport[[#This Row],[Scenario_MRF_Bale_ID]],BaleMover[Scenario_MRF_Bale_ID],0)))</f>
        <v>315</v>
      </c>
      <c r="AN156" s="251">
        <f>IF(SecondaryTransport[[#This Row],[Bale_ID]]="9000-01","costs elsewhere",SecondaryTransport[[#This Row],[Total_Baled_tons]]*SecondaryTransport[[#This Row],[Miles]])</f>
        <v>242108.54661050922</v>
      </c>
      <c r="AO156" s="352" t="str">
        <f>IF(LEFT(SecondaryTransport[[#This Row],[Bale_ID]],1)*1=5,IF(OR(SecondaryTransport[[#This Row],[MRF_ID]]="02",SecondaryTransport[[#This Row],[MRF_ID]]="08"),2,1),"")</f>
        <v/>
      </c>
      <c r="AP1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5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56" s="224" t="str">
        <f>IFERROR(IF(1*LEFT(SecondaryTransport[[#This Row],[Bale_ID]],1)=5,SecondaryTransport[[#This Row],[Ton-Miles]]*SecondaryTransport[[#This Row],[Cost_Per_Ton-Mile]],""),"")</f>
        <v/>
      </c>
      <c r="AS156" s="224">
        <f>IFERROR(IF(SecondaryTransport[[#This Row],[Container_Transfer]]="",(SecondaryTransport[[#This Row],[Ton-Miles]]*SecondaryTransport[[#This Row],[Cost_Per_Ton-Mile]]),""),"")</f>
        <v>33895.196525471292</v>
      </c>
    </row>
    <row r="157" spans="3:45" ht="15" x14ac:dyDescent="0.25">
      <c r="C157"/>
      <c r="D157"/>
      <c r="L157" s="446" t="s">
        <v>874</v>
      </c>
      <c r="M157" s="446">
        <v>3</v>
      </c>
      <c r="N157" s="446">
        <v>1</v>
      </c>
      <c r="O157" s="448" t="s">
        <v>748</v>
      </c>
      <c r="P157" s="449" t="s">
        <v>748</v>
      </c>
      <c r="Q157" s="449"/>
      <c r="R157" s="449"/>
      <c r="S157" s="449" t="s">
        <v>765</v>
      </c>
      <c r="T157" s="449" t="s">
        <v>849</v>
      </c>
      <c r="U157" s="452">
        <v>0</v>
      </c>
      <c r="V1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7" s="272" t="str">
        <f>IFERROR(SUMIFS(TransUnitCost[Miles],TransUnitCost[Grouping_ID],TransTonsShort[[#This Row],[Grouping_ID]],TransUnitCost[Transp_ID],TransTonsShort[[#This Row],[Transp_ID]])*TransTonsShort[[#This Row],[Trans_Tons_All]]/TransTonsShort[[#This Row],[Trans_Tons_All]],"")</f>
        <v/>
      </c>
      <c r="X157" s="386" t="str">
        <f>TransTonsShort[[#This Row],[Grouping_ID]]&amp;"-"&amp;TransTonsShort[[#This Row],[Sector_ID]]</f>
        <v>3-1</v>
      </c>
      <c r="Y1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7" s="421">
        <f>INDEX(LandfillFees[Disposal Tip Fee 2025],MATCH(TransTonsShort[[#This Row],[Grouping_ID]],LandfillFees[Grouping_ID],0))</f>
        <v>72.030938699729589</v>
      </c>
      <c r="AA157" s="102">
        <f>IF(OR(TransTonsShort[[#This Row],[CollectionStream_ID]]="03",TransTonsShort[[#This Row],[CollectionStream_ID]]="04",TransTonsShort[[#This Row],[CollectionStream_ID]]="13"),0,TransTonsShort[[#This Row],[Trans_Tons_All]]*TransTonsShort[[#This Row],[Disposal_Fee]])</f>
        <v>0</v>
      </c>
      <c r="AF157" s="446" t="s">
        <v>1330</v>
      </c>
      <c r="AG157" s="442" t="str">
        <f>LEFT(SecondaryTransport[[#This Row],[Scenario_MRF_Bale_ID]],2)</f>
        <v>S2</v>
      </c>
      <c r="AH157" s="181" t="str">
        <f>LEFT(RIGHT(SecondaryTransport[[#This Row],[Scenario_MRF_Bale_ID]],10),2)</f>
        <v>03</v>
      </c>
      <c r="AI157" s="181" t="str">
        <f>INDEX(MRFs[MRF_Name],MATCH(SecondaryTransport[[#This Row],[MRF_ID]],MRFs[MRF_ID],0))</f>
        <v>5 MRFs for SS with fiber upgrades (Portland)</v>
      </c>
      <c r="AJ157" s="181" t="str">
        <f>RIGHT(SecondaryTransport[[#This Row],[Scenario_MRF_Bale_ID]],7)</f>
        <v>2000-03</v>
      </c>
      <c r="AK157" s="181" t="str">
        <f>INDEX(Bales[Bale_Name],MATCH(SecondaryTransport[[#This Row],[Bale_ID]],Bales[Bale_ID],0))</f>
        <v>HDPE #2 natural bottles </v>
      </c>
      <c r="AL157" s="443">
        <f>INDEX(BaleMover[Total_Baled_tons],MATCH(SecondaryTransport[[#This Row],[Scenario_MRF_Bale_ID]],BaleMover[Scenario_MRF_Bale_ID],0))</f>
        <v>0</v>
      </c>
      <c r="AM157" s="443">
        <f>IF(INDEX(BaleMover[Miles],MATCH(SecondaryTransport[[#This Row],[Scenario_MRF_Bale_ID]],BaleMover[Scenario_MRF_Bale_ID],0))="",0,INDEX(BaleMover[Miles],MATCH(SecondaryTransport[[#This Row],[Scenario_MRF_Bale_ID]],BaleMover[Scenario_MRF_Bale_ID],0)))</f>
        <v>0</v>
      </c>
      <c r="AN157" s="251">
        <f>IF(SecondaryTransport[[#This Row],[Bale_ID]]="9000-01","costs elsewhere",SecondaryTransport[[#This Row],[Total_Baled_tons]]*SecondaryTransport[[#This Row],[Miles]])</f>
        <v>0</v>
      </c>
      <c r="AO157" s="352" t="str">
        <f>IF(LEFT(SecondaryTransport[[#This Row],[Bale_ID]],1)*1=5,IF(OR(SecondaryTransport[[#This Row],[MRF_ID]]="02",SecondaryTransport[[#This Row],[MRF_ID]]="08"),2,1),"")</f>
        <v/>
      </c>
      <c r="AP1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7" s="224" t="str">
        <f>IFERROR(IF(1*LEFT(SecondaryTransport[[#This Row],[Bale_ID]],1)=5,SecondaryTransport[[#This Row],[Ton-Miles]]*SecondaryTransport[[#This Row],[Cost_Per_Ton-Mile]],""),"")</f>
        <v/>
      </c>
      <c r="AS157" s="224" t="str">
        <f>IFERROR(IF(SecondaryTransport[[#This Row],[Container_Transfer]]="",(SecondaryTransport[[#This Row],[Ton-Miles]]*SecondaryTransport[[#This Row],[Cost_Per_Ton-Mile]]),""),"")</f>
        <v/>
      </c>
    </row>
    <row r="158" spans="3:45" ht="15" x14ac:dyDescent="0.25">
      <c r="C158"/>
      <c r="D158"/>
      <c r="L158" s="446" t="s">
        <v>874</v>
      </c>
      <c r="M158" s="446">
        <v>4</v>
      </c>
      <c r="N158" s="446">
        <v>1</v>
      </c>
      <c r="O158" s="448" t="s">
        <v>748</v>
      </c>
      <c r="P158" s="449" t="s">
        <v>748</v>
      </c>
      <c r="Q158" s="449"/>
      <c r="R158" s="449"/>
      <c r="S158" s="449" t="s">
        <v>765</v>
      </c>
      <c r="T158" s="449" t="s">
        <v>849</v>
      </c>
      <c r="U158" s="452">
        <v>0</v>
      </c>
      <c r="V1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8" s="272" t="str">
        <f>IFERROR(SUMIFS(TransUnitCost[Miles],TransUnitCost[Grouping_ID],TransTonsShort[[#This Row],[Grouping_ID]],TransUnitCost[Transp_ID],TransTonsShort[[#This Row],[Transp_ID]])*TransTonsShort[[#This Row],[Trans_Tons_All]]/TransTonsShort[[#This Row],[Trans_Tons_All]],"")</f>
        <v/>
      </c>
      <c r="X158" s="386" t="str">
        <f>TransTonsShort[[#This Row],[Grouping_ID]]&amp;"-"&amp;TransTonsShort[[#This Row],[Sector_ID]]</f>
        <v>4-1</v>
      </c>
      <c r="Y1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8" s="421">
        <f>INDEX(LandfillFees[Disposal Tip Fee 2025],MATCH(TransTonsShort[[#This Row],[Grouping_ID]],LandfillFees[Grouping_ID],0))</f>
        <v>72.030938699729589</v>
      </c>
      <c r="AA158" s="102">
        <f>IF(OR(TransTonsShort[[#This Row],[CollectionStream_ID]]="03",TransTonsShort[[#This Row],[CollectionStream_ID]]="04",TransTonsShort[[#This Row],[CollectionStream_ID]]="13"),0,TransTonsShort[[#This Row],[Trans_Tons_All]]*TransTonsShort[[#This Row],[Disposal_Fee]])</f>
        <v>0</v>
      </c>
      <c r="AF158" s="446" t="s">
        <v>1331</v>
      </c>
      <c r="AG158" s="442" t="str">
        <f>LEFT(SecondaryTransport[[#This Row],[Scenario_MRF_Bale_ID]],2)</f>
        <v>S3</v>
      </c>
      <c r="AH158" s="181" t="str">
        <f>LEFT(RIGHT(SecondaryTransport[[#This Row],[Scenario_MRF_Bale_ID]],10),2)</f>
        <v>03</v>
      </c>
      <c r="AI158" s="181" t="str">
        <f>INDEX(MRFs[MRF_Name],MATCH(SecondaryTransport[[#This Row],[MRF_ID]],MRFs[MRF_ID],0))</f>
        <v>5 MRFs for SS with fiber upgrades (Portland)</v>
      </c>
      <c r="AJ158" s="181" t="str">
        <f>RIGHT(SecondaryTransport[[#This Row],[Scenario_MRF_Bale_ID]],7)</f>
        <v>2000-03</v>
      </c>
      <c r="AK158" s="181" t="str">
        <f>INDEX(Bales[Bale_Name],MATCH(SecondaryTransport[[#This Row],[Bale_ID]],Bales[Bale_ID],0))</f>
        <v>HDPE #2 natural bottles </v>
      </c>
      <c r="AL158" s="443">
        <f>INDEX(BaleMover[Total_Baled_tons],MATCH(SecondaryTransport[[#This Row],[Scenario_MRF_Bale_ID]],BaleMover[Scenario_MRF_Bale_ID],0))</f>
        <v>0</v>
      </c>
      <c r="AM158" s="443">
        <f>IF(INDEX(BaleMover[Miles],MATCH(SecondaryTransport[[#This Row],[Scenario_MRF_Bale_ID]],BaleMover[Scenario_MRF_Bale_ID],0))="",0,INDEX(BaleMover[Miles],MATCH(SecondaryTransport[[#This Row],[Scenario_MRF_Bale_ID]],BaleMover[Scenario_MRF_Bale_ID],0)))</f>
        <v>0</v>
      </c>
      <c r="AN158" s="251">
        <f>IF(SecondaryTransport[[#This Row],[Bale_ID]]="9000-01","costs elsewhere",SecondaryTransport[[#This Row],[Total_Baled_tons]]*SecondaryTransport[[#This Row],[Miles]])</f>
        <v>0</v>
      </c>
      <c r="AO158" s="352" t="str">
        <f>IF(LEFT(SecondaryTransport[[#This Row],[Bale_ID]],1)*1=5,IF(OR(SecondaryTransport[[#This Row],[MRF_ID]]="02",SecondaryTransport[[#This Row],[MRF_ID]]="08"),2,1),"")</f>
        <v/>
      </c>
      <c r="AP1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5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58" s="224" t="str">
        <f>IFERROR(IF(1*LEFT(SecondaryTransport[[#This Row],[Bale_ID]],1)=5,SecondaryTransport[[#This Row],[Ton-Miles]]*SecondaryTransport[[#This Row],[Cost_Per_Ton-Mile]],""),"")</f>
        <v/>
      </c>
      <c r="AS158" s="224" t="str">
        <f>IFERROR(IF(SecondaryTransport[[#This Row],[Container_Transfer]]="",(SecondaryTransport[[#This Row],[Ton-Miles]]*SecondaryTransport[[#This Row],[Cost_Per_Ton-Mile]]),""),"")</f>
        <v/>
      </c>
    </row>
    <row r="159" spans="3:45" ht="15" x14ac:dyDescent="0.25">
      <c r="C159"/>
      <c r="D159"/>
      <c r="L159" s="446" t="s">
        <v>874</v>
      </c>
      <c r="M159" s="446">
        <v>1</v>
      </c>
      <c r="N159" s="446">
        <v>1</v>
      </c>
      <c r="O159" s="448" t="s">
        <v>746</v>
      </c>
      <c r="P159" s="449" t="s">
        <v>719</v>
      </c>
      <c r="Q159" s="449"/>
      <c r="R159" s="449"/>
      <c r="S159" s="449" t="s">
        <v>762</v>
      </c>
      <c r="T159" s="449" t="s">
        <v>1055</v>
      </c>
      <c r="U159" s="452">
        <v>0</v>
      </c>
      <c r="V1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59" s="272" t="str">
        <f>IFERROR(SUMIFS(TransUnitCost[Miles],TransUnitCost[Grouping_ID],TransTonsShort[[#This Row],[Grouping_ID]],TransUnitCost[Transp_ID],TransTonsShort[[#This Row],[Transp_ID]])*TransTonsShort[[#This Row],[Trans_Tons_All]]/TransTonsShort[[#This Row],[Trans_Tons_All]],"")</f>
        <v/>
      </c>
      <c r="X159" s="386" t="str">
        <f>TransTonsShort[[#This Row],[Grouping_ID]]&amp;"-"&amp;TransTonsShort[[#This Row],[Sector_ID]]</f>
        <v>1-1</v>
      </c>
      <c r="Y1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59" s="421">
        <f>INDEX(LandfillFees[Disposal Tip Fee 2025],MATCH(TransTonsShort[[#This Row],[Grouping_ID]],LandfillFees[Grouping_ID],0))</f>
        <v>134.68</v>
      </c>
      <c r="AA159" s="102">
        <f>IF(OR(TransTonsShort[[#This Row],[CollectionStream_ID]]="03",TransTonsShort[[#This Row],[CollectionStream_ID]]="04",TransTonsShort[[#This Row],[CollectionStream_ID]]="13"),0,TransTonsShort[[#This Row],[Trans_Tons_All]]*TransTonsShort[[#This Row],[Disposal_Fee]])</f>
        <v>0</v>
      </c>
      <c r="AF159" s="446" t="s">
        <v>1332</v>
      </c>
      <c r="AG159" s="442" t="str">
        <f>LEFT(SecondaryTransport[[#This Row],[Scenario_MRF_Bale_ID]],2)</f>
        <v>S0</v>
      </c>
      <c r="AH159" s="181" t="str">
        <f>LEFT(RIGHT(SecondaryTransport[[#This Row],[Scenario_MRF_Bale_ID]],10),2)</f>
        <v>03</v>
      </c>
      <c r="AI159" s="181" t="str">
        <f>INDEX(MRFs[MRF_Name],MATCH(SecondaryTransport[[#This Row],[MRF_ID]],MRFs[MRF_ID],0))</f>
        <v>5 MRFs for SS with fiber upgrades (Portland)</v>
      </c>
      <c r="AJ159" s="181" t="str">
        <f>RIGHT(SecondaryTransport[[#This Row],[Scenario_MRF_Bale_ID]],7)</f>
        <v>2000-04</v>
      </c>
      <c r="AK159" s="181" t="str">
        <f>INDEX(Bales[Bale_Name],MATCH(SecondaryTransport[[#This Row],[Bale_ID]],Bales[Bale_ID],0))</f>
        <v>HDPE #2 colored bottles </v>
      </c>
      <c r="AL159" s="443">
        <f>INDEX(BaleMover[Total_Baled_tons],MATCH(SecondaryTransport[[#This Row],[Scenario_MRF_Bale_ID]],BaleMover[Scenario_MRF_Bale_ID],0))</f>
        <v>1129.4730181193795</v>
      </c>
      <c r="AM159" s="443">
        <f>IF(INDEX(BaleMover[Miles],MATCH(SecondaryTransport[[#This Row],[Scenario_MRF_Bale_ID]],BaleMover[Scenario_MRF_Bale_ID],0))="",0,INDEX(BaleMover[Miles],MATCH(SecondaryTransport[[#This Row],[Scenario_MRF_Bale_ID]],BaleMover[Scenario_MRF_Bale_ID],0)))</f>
        <v>315</v>
      </c>
      <c r="AN159" s="251">
        <f>IF(SecondaryTransport[[#This Row],[Bale_ID]]="9000-01","costs elsewhere",SecondaryTransport[[#This Row],[Total_Baled_tons]]*SecondaryTransport[[#This Row],[Miles]])</f>
        <v>355784.00070760451</v>
      </c>
      <c r="AO159" s="352" t="str">
        <f>IF(LEFT(SecondaryTransport[[#This Row],[Bale_ID]],1)*1=5,IF(OR(SecondaryTransport[[#This Row],[MRF_ID]]="02",SecondaryTransport[[#This Row],[MRF_ID]]="08"),2,1),"")</f>
        <v/>
      </c>
      <c r="AP1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5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59" s="224" t="str">
        <f>IFERROR(IF(1*LEFT(SecondaryTransport[[#This Row],[Bale_ID]],1)=5,SecondaryTransport[[#This Row],[Ton-Miles]]*SecondaryTransport[[#This Row],[Cost_Per_Ton-Mile]],""),"")</f>
        <v/>
      </c>
      <c r="AS159" s="224">
        <f>IFERROR(IF(SecondaryTransport[[#This Row],[Container_Transfer]]="",(SecondaryTransport[[#This Row],[Ton-Miles]]*SecondaryTransport[[#This Row],[Cost_Per_Ton-Mile]]),""),"")</f>
        <v>49809.760099064639</v>
      </c>
    </row>
    <row r="160" spans="3:45" ht="15" x14ac:dyDescent="0.25">
      <c r="C160"/>
      <c r="D160"/>
      <c r="L160" s="446" t="s">
        <v>874</v>
      </c>
      <c r="M160" s="446">
        <v>2</v>
      </c>
      <c r="N160" s="446">
        <v>1</v>
      </c>
      <c r="O160" s="448" t="s">
        <v>746</v>
      </c>
      <c r="P160" s="449" t="s">
        <v>719</v>
      </c>
      <c r="Q160" s="449"/>
      <c r="R160" s="449"/>
      <c r="S160" s="449" t="s">
        <v>762</v>
      </c>
      <c r="T160" s="449" t="s">
        <v>1055</v>
      </c>
      <c r="U160" s="452">
        <v>0</v>
      </c>
      <c r="V1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0" s="272" t="str">
        <f>IFERROR(SUMIFS(TransUnitCost[Miles],TransUnitCost[Grouping_ID],TransTonsShort[[#This Row],[Grouping_ID]],TransUnitCost[Transp_ID],TransTonsShort[[#This Row],[Transp_ID]])*TransTonsShort[[#This Row],[Trans_Tons_All]]/TransTonsShort[[#This Row],[Trans_Tons_All]],"")</f>
        <v/>
      </c>
      <c r="X160" s="386" t="str">
        <f>TransTonsShort[[#This Row],[Grouping_ID]]&amp;"-"&amp;TransTonsShort[[#This Row],[Sector_ID]]</f>
        <v>2-1</v>
      </c>
      <c r="Y1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0" s="421">
        <f>INDEX(LandfillFees[Disposal Tip Fee 2025],MATCH(TransTonsShort[[#This Row],[Grouping_ID]],LandfillFees[Grouping_ID],0))</f>
        <v>72.030938699729589</v>
      </c>
      <c r="AA160" s="102">
        <f>IF(OR(TransTonsShort[[#This Row],[CollectionStream_ID]]="03",TransTonsShort[[#This Row],[CollectionStream_ID]]="04",TransTonsShort[[#This Row],[CollectionStream_ID]]="13"),0,TransTonsShort[[#This Row],[Trans_Tons_All]]*TransTonsShort[[#This Row],[Disposal_Fee]])</f>
        <v>0</v>
      </c>
      <c r="AF160" s="446" t="s">
        <v>1333</v>
      </c>
      <c r="AG160" s="442" t="str">
        <f>LEFT(SecondaryTransport[[#This Row],[Scenario_MRF_Bale_ID]],2)</f>
        <v>S1</v>
      </c>
      <c r="AH160" s="181" t="str">
        <f>LEFT(RIGHT(SecondaryTransport[[#This Row],[Scenario_MRF_Bale_ID]],10),2)</f>
        <v>03</v>
      </c>
      <c r="AI160" s="181" t="str">
        <f>INDEX(MRFs[MRF_Name],MATCH(SecondaryTransport[[#This Row],[MRF_ID]],MRFs[MRF_ID],0))</f>
        <v>5 MRFs for SS with fiber upgrades (Portland)</v>
      </c>
      <c r="AJ160" s="181" t="str">
        <f>RIGHT(SecondaryTransport[[#This Row],[Scenario_MRF_Bale_ID]],7)</f>
        <v>2000-04</v>
      </c>
      <c r="AK160" s="181" t="str">
        <f>INDEX(Bales[Bale_Name],MATCH(SecondaryTransport[[#This Row],[Bale_ID]],Bales[Bale_ID],0))</f>
        <v>HDPE #2 colored bottles </v>
      </c>
      <c r="AL160" s="443">
        <f>INDEX(BaleMover[Total_Baled_tons],MATCH(SecondaryTransport[[#This Row],[Scenario_MRF_Bale_ID]],BaleMover[Scenario_MRF_Bale_ID],0))</f>
        <v>1056.8230209188894</v>
      </c>
      <c r="AM160" s="443">
        <f>IF(INDEX(BaleMover[Miles],MATCH(SecondaryTransport[[#This Row],[Scenario_MRF_Bale_ID]],BaleMover[Scenario_MRF_Bale_ID],0))="",0,INDEX(BaleMover[Miles],MATCH(SecondaryTransport[[#This Row],[Scenario_MRF_Bale_ID]],BaleMover[Scenario_MRF_Bale_ID],0)))</f>
        <v>315</v>
      </c>
      <c r="AN160" s="251">
        <f>IF(SecondaryTransport[[#This Row],[Bale_ID]]="9000-01","costs elsewhere",SecondaryTransport[[#This Row],[Total_Baled_tons]]*SecondaryTransport[[#This Row],[Miles]])</f>
        <v>332899.25158945017</v>
      </c>
      <c r="AO160" s="352" t="str">
        <f>IF(LEFT(SecondaryTransport[[#This Row],[Bale_ID]],1)*1=5,IF(OR(SecondaryTransport[[#This Row],[MRF_ID]]="02",SecondaryTransport[[#This Row],[MRF_ID]]="08"),2,1),"")</f>
        <v/>
      </c>
      <c r="AP1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6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60" s="224" t="str">
        <f>IFERROR(IF(1*LEFT(SecondaryTransport[[#This Row],[Bale_ID]],1)=5,SecondaryTransport[[#This Row],[Ton-Miles]]*SecondaryTransport[[#This Row],[Cost_Per_Ton-Mile]],""),"")</f>
        <v/>
      </c>
      <c r="AS160" s="224">
        <f>IFERROR(IF(SecondaryTransport[[#This Row],[Container_Transfer]]="",(SecondaryTransport[[#This Row],[Ton-Miles]]*SecondaryTransport[[#This Row],[Cost_Per_Ton-Mile]]),""),"")</f>
        <v>46605.895222523031</v>
      </c>
    </row>
    <row r="161" spans="3:45" ht="15" x14ac:dyDescent="0.25">
      <c r="C161"/>
      <c r="D161"/>
      <c r="L161" s="446" t="s">
        <v>874</v>
      </c>
      <c r="M161" s="446">
        <v>3</v>
      </c>
      <c r="N161" s="446">
        <v>1</v>
      </c>
      <c r="O161" s="448" t="s">
        <v>746</v>
      </c>
      <c r="P161" s="449" t="s">
        <v>719</v>
      </c>
      <c r="Q161" s="449"/>
      <c r="R161" s="449"/>
      <c r="S161" s="449" t="s">
        <v>762</v>
      </c>
      <c r="T161" s="449" t="s">
        <v>1055</v>
      </c>
      <c r="U161" s="452">
        <v>0</v>
      </c>
      <c r="V1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1" s="272" t="str">
        <f>IFERROR(SUMIFS(TransUnitCost[Miles],TransUnitCost[Grouping_ID],TransTonsShort[[#This Row],[Grouping_ID]],TransUnitCost[Transp_ID],TransTonsShort[[#This Row],[Transp_ID]])*TransTonsShort[[#This Row],[Trans_Tons_All]]/TransTonsShort[[#This Row],[Trans_Tons_All]],"")</f>
        <v/>
      </c>
      <c r="X161" s="386" t="str">
        <f>TransTonsShort[[#This Row],[Grouping_ID]]&amp;"-"&amp;TransTonsShort[[#This Row],[Sector_ID]]</f>
        <v>3-1</v>
      </c>
      <c r="Y1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1" s="421">
        <f>INDEX(LandfillFees[Disposal Tip Fee 2025],MATCH(TransTonsShort[[#This Row],[Grouping_ID]],LandfillFees[Grouping_ID],0))</f>
        <v>72.030938699729589</v>
      </c>
      <c r="AA161" s="102">
        <f>IF(OR(TransTonsShort[[#This Row],[CollectionStream_ID]]="03",TransTonsShort[[#This Row],[CollectionStream_ID]]="04",TransTonsShort[[#This Row],[CollectionStream_ID]]="13"),0,TransTonsShort[[#This Row],[Trans_Tons_All]]*TransTonsShort[[#This Row],[Disposal_Fee]])</f>
        <v>0</v>
      </c>
      <c r="AF161" s="446" t="s">
        <v>1334</v>
      </c>
      <c r="AG161" s="442" t="str">
        <f>LEFT(SecondaryTransport[[#This Row],[Scenario_MRF_Bale_ID]],2)</f>
        <v>S2</v>
      </c>
      <c r="AH161" s="181" t="str">
        <f>LEFT(RIGHT(SecondaryTransport[[#This Row],[Scenario_MRF_Bale_ID]],10),2)</f>
        <v>03</v>
      </c>
      <c r="AI161" s="181" t="str">
        <f>INDEX(MRFs[MRF_Name],MATCH(SecondaryTransport[[#This Row],[MRF_ID]],MRFs[MRF_ID],0))</f>
        <v>5 MRFs for SS with fiber upgrades (Portland)</v>
      </c>
      <c r="AJ161" s="181" t="str">
        <f>RIGHT(SecondaryTransport[[#This Row],[Scenario_MRF_Bale_ID]],7)</f>
        <v>2000-04</v>
      </c>
      <c r="AK161" s="181" t="str">
        <f>INDEX(Bales[Bale_Name],MATCH(SecondaryTransport[[#This Row],[Bale_ID]],Bales[Bale_ID],0))</f>
        <v>HDPE #2 colored bottles </v>
      </c>
      <c r="AL161" s="443">
        <f>INDEX(BaleMover[Total_Baled_tons],MATCH(SecondaryTransport[[#This Row],[Scenario_MRF_Bale_ID]],BaleMover[Scenario_MRF_Bale_ID],0))</f>
        <v>0</v>
      </c>
      <c r="AM161" s="443">
        <f>IF(INDEX(BaleMover[Miles],MATCH(SecondaryTransport[[#This Row],[Scenario_MRF_Bale_ID]],BaleMover[Scenario_MRF_Bale_ID],0))="",0,INDEX(BaleMover[Miles],MATCH(SecondaryTransport[[#This Row],[Scenario_MRF_Bale_ID]],BaleMover[Scenario_MRF_Bale_ID],0)))</f>
        <v>0</v>
      </c>
      <c r="AN161" s="251">
        <f>IF(SecondaryTransport[[#This Row],[Bale_ID]]="9000-01","costs elsewhere",SecondaryTransport[[#This Row],[Total_Baled_tons]]*SecondaryTransport[[#This Row],[Miles]])</f>
        <v>0</v>
      </c>
      <c r="AO161" s="352" t="str">
        <f>IF(LEFT(SecondaryTransport[[#This Row],[Bale_ID]],1)*1=5,IF(OR(SecondaryTransport[[#This Row],[MRF_ID]]="02",SecondaryTransport[[#This Row],[MRF_ID]]="08"),2,1),"")</f>
        <v/>
      </c>
      <c r="AP1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1" s="224" t="str">
        <f>IFERROR(IF(1*LEFT(SecondaryTransport[[#This Row],[Bale_ID]],1)=5,SecondaryTransport[[#This Row],[Ton-Miles]]*SecondaryTransport[[#This Row],[Cost_Per_Ton-Mile]],""),"")</f>
        <v/>
      </c>
      <c r="AS161" s="224" t="str">
        <f>IFERROR(IF(SecondaryTransport[[#This Row],[Container_Transfer]]="",(SecondaryTransport[[#This Row],[Ton-Miles]]*SecondaryTransport[[#This Row],[Cost_Per_Ton-Mile]]),""),"")</f>
        <v/>
      </c>
    </row>
    <row r="162" spans="3:45" ht="15" x14ac:dyDescent="0.25">
      <c r="C162"/>
      <c r="D162"/>
      <c r="L162" s="446" t="s">
        <v>874</v>
      </c>
      <c r="M162" s="446">
        <v>4</v>
      </c>
      <c r="N162" s="446">
        <v>1</v>
      </c>
      <c r="O162" s="448" t="s">
        <v>746</v>
      </c>
      <c r="P162" s="449" t="s">
        <v>719</v>
      </c>
      <c r="Q162" s="449"/>
      <c r="R162" s="449"/>
      <c r="S162" s="449" t="s">
        <v>762</v>
      </c>
      <c r="T162" s="449" t="s">
        <v>1055</v>
      </c>
      <c r="U162" s="452">
        <v>0</v>
      </c>
      <c r="V1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2" s="272" t="str">
        <f>IFERROR(SUMIFS(TransUnitCost[Miles],TransUnitCost[Grouping_ID],TransTonsShort[[#This Row],[Grouping_ID]],TransUnitCost[Transp_ID],TransTonsShort[[#This Row],[Transp_ID]])*TransTonsShort[[#This Row],[Trans_Tons_All]]/TransTonsShort[[#This Row],[Trans_Tons_All]],"")</f>
        <v/>
      </c>
      <c r="X162" s="386" t="str">
        <f>TransTonsShort[[#This Row],[Grouping_ID]]&amp;"-"&amp;TransTonsShort[[#This Row],[Sector_ID]]</f>
        <v>4-1</v>
      </c>
      <c r="Y1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2" s="421">
        <f>INDEX(LandfillFees[Disposal Tip Fee 2025],MATCH(TransTonsShort[[#This Row],[Grouping_ID]],LandfillFees[Grouping_ID],0))</f>
        <v>72.030938699729589</v>
      </c>
      <c r="AA162" s="102">
        <f>IF(OR(TransTonsShort[[#This Row],[CollectionStream_ID]]="03",TransTonsShort[[#This Row],[CollectionStream_ID]]="04",TransTonsShort[[#This Row],[CollectionStream_ID]]="13"),0,TransTonsShort[[#This Row],[Trans_Tons_All]]*TransTonsShort[[#This Row],[Disposal_Fee]])</f>
        <v>0</v>
      </c>
      <c r="AF162" s="446" t="s">
        <v>1335</v>
      </c>
      <c r="AG162" s="442" t="str">
        <f>LEFT(SecondaryTransport[[#This Row],[Scenario_MRF_Bale_ID]],2)</f>
        <v>S3</v>
      </c>
      <c r="AH162" s="181" t="str">
        <f>LEFT(RIGHT(SecondaryTransport[[#This Row],[Scenario_MRF_Bale_ID]],10),2)</f>
        <v>03</v>
      </c>
      <c r="AI162" s="181" t="str">
        <f>INDEX(MRFs[MRF_Name],MATCH(SecondaryTransport[[#This Row],[MRF_ID]],MRFs[MRF_ID],0))</f>
        <v>5 MRFs for SS with fiber upgrades (Portland)</v>
      </c>
      <c r="AJ162" s="181" t="str">
        <f>RIGHT(SecondaryTransport[[#This Row],[Scenario_MRF_Bale_ID]],7)</f>
        <v>2000-04</v>
      </c>
      <c r="AK162" s="181" t="str">
        <f>INDEX(Bales[Bale_Name],MATCH(SecondaryTransport[[#This Row],[Bale_ID]],Bales[Bale_ID],0))</f>
        <v>HDPE #2 colored bottles </v>
      </c>
      <c r="AL162" s="443">
        <f>INDEX(BaleMover[Total_Baled_tons],MATCH(SecondaryTransport[[#This Row],[Scenario_MRF_Bale_ID]],BaleMover[Scenario_MRF_Bale_ID],0))</f>
        <v>0</v>
      </c>
      <c r="AM162" s="443">
        <f>IF(INDEX(BaleMover[Miles],MATCH(SecondaryTransport[[#This Row],[Scenario_MRF_Bale_ID]],BaleMover[Scenario_MRF_Bale_ID],0))="",0,INDEX(BaleMover[Miles],MATCH(SecondaryTransport[[#This Row],[Scenario_MRF_Bale_ID]],BaleMover[Scenario_MRF_Bale_ID],0)))</f>
        <v>0</v>
      </c>
      <c r="AN162" s="251">
        <f>IF(SecondaryTransport[[#This Row],[Bale_ID]]="9000-01","costs elsewhere",SecondaryTransport[[#This Row],[Total_Baled_tons]]*SecondaryTransport[[#This Row],[Miles]])</f>
        <v>0</v>
      </c>
      <c r="AO162" s="352" t="str">
        <f>IF(LEFT(SecondaryTransport[[#This Row],[Bale_ID]],1)*1=5,IF(OR(SecondaryTransport[[#This Row],[MRF_ID]]="02",SecondaryTransport[[#This Row],[MRF_ID]]="08"),2,1),"")</f>
        <v/>
      </c>
      <c r="AP1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2" s="224" t="str">
        <f>IFERROR(IF(1*LEFT(SecondaryTransport[[#This Row],[Bale_ID]],1)=5,SecondaryTransport[[#This Row],[Ton-Miles]]*SecondaryTransport[[#This Row],[Cost_Per_Ton-Mile]],""),"")</f>
        <v/>
      </c>
      <c r="AS162" s="224" t="str">
        <f>IFERROR(IF(SecondaryTransport[[#This Row],[Container_Transfer]]="",(SecondaryTransport[[#This Row],[Ton-Miles]]*SecondaryTransport[[#This Row],[Cost_Per_Ton-Mile]]),""),"")</f>
        <v/>
      </c>
    </row>
    <row r="163" spans="3:45" ht="15" x14ac:dyDescent="0.25">
      <c r="C163"/>
      <c r="D163"/>
      <c r="L163" s="446" t="s">
        <v>874</v>
      </c>
      <c r="M163" s="446">
        <v>1</v>
      </c>
      <c r="N163" s="446">
        <v>1</v>
      </c>
      <c r="O163" s="446" t="s">
        <v>746</v>
      </c>
      <c r="P163" s="449" t="s">
        <v>700</v>
      </c>
      <c r="Q163" s="449"/>
      <c r="R163" s="449"/>
      <c r="S163" s="449" t="s">
        <v>762</v>
      </c>
      <c r="T163" s="449" t="s">
        <v>701</v>
      </c>
      <c r="U163" s="452">
        <v>0</v>
      </c>
      <c r="V1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3" s="272" t="str">
        <f>IFERROR(SUMIFS(TransUnitCost[Miles],TransUnitCost[Grouping_ID],TransTonsShort[[#This Row],[Grouping_ID]],TransUnitCost[Transp_ID],TransTonsShort[[#This Row],[Transp_ID]])*TransTonsShort[[#This Row],[Trans_Tons_All]]/TransTonsShort[[#This Row],[Trans_Tons_All]],"")</f>
        <v/>
      </c>
      <c r="X163" s="386" t="str">
        <f>TransTonsShort[[#This Row],[Grouping_ID]]&amp;"-"&amp;TransTonsShort[[#This Row],[Sector_ID]]</f>
        <v>1-1</v>
      </c>
      <c r="Y1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3" s="421">
        <f>INDEX(LandfillFees[Disposal Tip Fee 2025],MATCH(TransTonsShort[[#This Row],[Grouping_ID]],LandfillFees[Grouping_ID],0))</f>
        <v>134.68</v>
      </c>
      <c r="AA163" s="102">
        <f>IF(OR(TransTonsShort[[#This Row],[CollectionStream_ID]]="03",TransTonsShort[[#This Row],[CollectionStream_ID]]="04",TransTonsShort[[#This Row],[CollectionStream_ID]]="13"),0,TransTonsShort[[#This Row],[Trans_Tons_All]]*TransTonsShort[[#This Row],[Disposal_Fee]])</f>
        <v>0</v>
      </c>
      <c r="AF163" s="446" t="s">
        <v>1336</v>
      </c>
      <c r="AG163" s="442" t="str">
        <f>LEFT(SecondaryTransport[[#This Row],[Scenario_MRF_Bale_ID]],2)</f>
        <v>S0</v>
      </c>
      <c r="AH163" s="181" t="str">
        <f>LEFT(RIGHT(SecondaryTransport[[#This Row],[Scenario_MRF_Bale_ID]],10),2)</f>
        <v>03</v>
      </c>
      <c r="AI163" s="181" t="str">
        <f>INDEX(MRFs[MRF_Name],MATCH(SecondaryTransport[[#This Row],[MRF_ID]],MRFs[MRF_ID],0))</f>
        <v>5 MRFs for SS with fiber upgrades (Portland)</v>
      </c>
      <c r="AJ163" s="181" t="str">
        <f>RIGHT(SecondaryTransport[[#This Row],[Scenario_MRF_Bale_ID]],7)</f>
        <v>2000-05</v>
      </c>
      <c r="AK163" s="181" t="str">
        <f>INDEX(Bales[Bale_Name],MATCH(SecondaryTransport[[#This Row],[Bale_ID]],Bales[Bale_ID],0))</f>
        <v>HDPE #2 and PP #5 tubs </v>
      </c>
      <c r="AL163" s="443">
        <f>INDEX(BaleMover[Total_Baled_tons],MATCH(SecondaryTransport[[#This Row],[Scenario_MRF_Bale_ID]],BaleMover[Scenario_MRF_Bale_ID],0))</f>
        <v>0</v>
      </c>
      <c r="AM163" s="443">
        <f>IF(INDEX(BaleMover[Miles],MATCH(SecondaryTransport[[#This Row],[Scenario_MRF_Bale_ID]],BaleMover[Scenario_MRF_Bale_ID],0))="",0,INDEX(BaleMover[Miles],MATCH(SecondaryTransport[[#This Row],[Scenario_MRF_Bale_ID]],BaleMover[Scenario_MRF_Bale_ID],0)))</f>
        <v>0</v>
      </c>
      <c r="AN163" s="251">
        <f>IF(SecondaryTransport[[#This Row],[Bale_ID]]="9000-01","costs elsewhere",SecondaryTransport[[#This Row],[Total_Baled_tons]]*SecondaryTransport[[#This Row],[Miles]])</f>
        <v>0</v>
      </c>
      <c r="AO163" s="352" t="str">
        <f>IF(LEFT(SecondaryTransport[[#This Row],[Bale_ID]],1)*1=5,IF(OR(SecondaryTransport[[#This Row],[MRF_ID]]="02",SecondaryTransport[[#This Row],[MRF_ID]]="08"),2,1),"")</f>
        <v/>
      </c>
      <c r="AP1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3" s="224" t="str">
        <f>IFERROR(IF(1*LEFT(SecondaryTransport[[#This Row],[Bale_ID]],1)=5,SecondaryTransport[[#This Row],[Ton-Miles]]*SecondaryTransport[[#This Row],[Cost_Per_Ton-Mile]],""),"")</f>
        <v/>
      </c>
      <c r="AS163" s="224" t="str">
        <f>IFERROR(IF(SecondaryTransport[[#This Row],[Container_Transfer]]="",(SecondaryTransport[[#This Row],[Ton-Miles]]*SecondaryTransport[[#This Row],[Cost_Per_Ton-Mile]]),""),"")</f>
        <v/>
      </c>
    </row>
    <row r="164" spans="3:45" ht="15" x14ac:dyDescent="0.25">
      <c r="C164"/>
      <c r="D164"/>
      <c r="L164" s="446" t="s">
        <v>874</v>
      </c>
      <c r="M164" s="446">
        <v>2</v>
      </c>
      <c r="N164" s="446">
        <v>1</v>
      </c>
      <c r="O164" s="446" t="s">
        <v>746</v>
      </c>
      <c r="P164" s="449" t="s">
        <v>700</v>
      </c>
      <c r="Q164" s="449"/>
      <c r="R164" s="449"/>
      <c r="S164" s="449" t="s">
        <v>762</v>
      </c>
      <c r="T164" s="449" t="s">
        <v>701</v>
      </c>
      <c r="U164" s="452">
        <v>0</v>
      </c>
      <c r="V1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4" s="272" t="str">
        <f>IFERROR(SUMIFS(TransUnitCost[Miles],TransUnitCost[Grouping_ID],TransTonsShort[[#This Row],[Grouping_ID]],TransUnitCost[Transp_ID],TransTonsShort[[#This Row],[Transp_ID]])*TransTonsShort[[#This Row],[Trans_Tons_All]]/TransTonsShort[[#This Row],[Trans_Tons_All]],"")</f>
        <v/>
      </c>
      <c r="X164" s="386" t="str">
        <f>TransTonsShort[[#This Row],[Grouping_ID]]&amp;"-"&amp;TransTonsShort[[#This Row],[Sector_ID]]</f>
        <v>2-1</v>
      </c>
      <c r="Y1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4" s="421">
        <f>INDEX(LandfillFees[Disposal Tip Fee 2025],MATCH(TransTonsShort[[#This Row],[Grouping_ID]],LandfillFees[Grouping_ID],0))</f>
        <v>72.030938699729589</v>
      </c>
      <c r="AA164" s="102">
        <f>IF(OR(TransTonsShort[[#This Row],[CollectionStream_ID]]="03",TransTonsShort[[#This Row],[CollectionStream_ID]]="04",TransTonsShort[[#This Row],[CollectionStream_ID]]="13"),0,TransTonsShort[[#This Row],[Trans_Tons_All]]*TransTonsShort[[#This Row],[Disposal_Fee]])</f>
        <v>0</v>
      </c>
      <c r="AF164" s="446" t="s">
        <v>1337</v>
      </c>
      <c r="AG164" s="442" t="str">
        <f>LEFT(SecondaryTransport[[#This Row],[Scenario_MRF_Bale_ID]],2)</f>
        <v>S1</v>
      </c>
      <c r="AH164" s="181" t="str">
        <f>LEFT(RIGHT(SecondaryTransport[[#This Row],[Scenario_MRF_Bale_ID]],10),2)</f>
        <v>03</v>
      </c>
      <c r="AI164" s="181" t="str">
        <f>INDEX(MRFs[MRF_Name],MATCH(SecondaryTransport[[#This Row],[MRF_ID]],MRFs[MRF_ID],0))</f>
        <v>5 MRFs for SS with fiber upgrades (Portland)</v>
      </c>
      <c r="AJ164" s="181" t="str">
        <f>RIGHT(SecondaryTransport[[#This Row],[Scenario_MRF_Bale_ID]],7)</f>
        <v>2000-05</v>
      </c>
      <c r="AK164" s="181" t="str">
        <f>INDEX(Bales[Bale_Name],MATCH(SecondaryTransport[[#This Row],[Bale_ID]],Bales[Bale_ID],0))</f>
        <v>HDPE #2 and PP #5 tubs </v>
      </c>
      <c r="AL164" s="443">
        <f>INDEX(BaleMover[Total_Baled_tons],MATCH(SecondaryTransport[[#This Row],[Scenario_MRF_Bale_ID]],BaleMover[Scenario_MRF_Bale_ID],0))</f>
        <v>0</v>
      </c>
      <c r="AM164" s="443">
        <f>IF(INDEX(BaleMover[Miles],MATCH(SecondaryTransport[[#This Row],[Scenario_MRF_Bale_ID]],BaleMover[Scenario_MRF_Bale_ID],0))="",0,INDEX(BaleMover[Miles],MATCH(SecondaryTransport[[#This Row],[Scenario_MRF_Bale_ID]],BaleMover[Scenario_MRF_Bale_ID],0)))</f>
        <v>0</v>
      </c>
      <c r="AN164" s="251">
        <f>IF(SecondaryTransport[[#This Row],[Bale_ID]]="9000-01","costs elsewhere",SecondaryTransport[[#This Row],[Total_Baled_tons]]*SecondaryTransport[[#This Row],[Miles]])</f>
        <v>0</v>
      </c>
      <c r="AO164" s="352" t="str">
        <f>IF(LEFT(SecondaryTransport[[#This Row],[Bale_ID]],1)*1=5,IF(OR(SecondaryTransport[[#This Row],[MRF_ID]]="02",SecondaryTransport[[#This Row],[MRF_ID]]="08"),2,1),"")</f>
        <v/>
      </c>
      <c r="AP1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4" s="224" t="str">
        <f>IFERROR(IF(1*LEFT(SecondaryTransport[[#This Row],[Bale_ID]],1)=5,SecondaryTransport[[#This Row],[Ton-Miles]]*SecondaryTransport[[#This Row],[Cost_Per_Ton-Mile]],""),"")</f>
        <v/>
      </c>
      <c r="AS164" s="224" t="str">
        <f>IFERROR(IF(SecondaryTransport[[#This Row],[Container_Transfer]]="",(SecondaryTransport[[#This Row],[Ton-Miles]]*SecondaryTransport[[#This Row],[Cost_Per_Ton-Mile]]),""),"")</f>
        <v/>
      </c>
    </row>
    <row r="165" spans="3:45" ht="15" x14ac:dyDescent="0.25">
      <c r="C165"/>
      <c r="D165"/>
      <c r="L165" s="446" t="s">
        <v>874</v>
      </c>
      <c r="M165" s="446">
        <v>3</v>
      </c>
      <c r="N165" s="446">
        <v>1</v>
      </c>
      <c r="O165" s="446" t="s">
        <v>746</v>
      </c>
      <c r="P165" s="449" t="s">
        <v>700</v>
      </c>
      <c r="Q165" s="449"/>
      <c r="R165" s="449"/>
      <c r="S165" s="449" t="s">
        <v>762</v>
      </c>
      <c r="T165" s="449" t="s">
        <v>701</v>
      </c>
      <c r="U165" s="452">
        <v>0</v>
      </c>
      <c r="V1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5" s="272" t="str">
        <f>IFERROR(SUMIFS(TransUnitCost[Miles],TransUnitCost[Grouping_ID],TransTonsShort[[#This Row],[Grouping_ID]],TransUnitCost[Transp_ID],TransTonsShort[[#This Row],[Transp_ID]])*TransTonsShort[[#This Row],[Trans_Tons_All]]/TransTonsShort[[#This Row],[Trans_Tons_All]],"")</f>
        <v/>
      </c>
      <c r="X165" s="386" t="str">
        <f>TransTonsShort[[#This Row],[Grouping_ID]]&amp;"-"&amp;TransTonsShort[[#This Row],[Sector_ID]]</f>
        <v>3-1</v>
      </c>
      <c r="Y1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5" s="421">
        <f>INDEX(LandfillFees[Disposal Tip Fee 2025],MATCH(TransTonsShort[[#This Row],[Grouping_ID]],LandfillFees[Grouping_ID],0))</f>
        <v>72.030938699729589</v>
      </c>
      <c r="AA165" s="102">
        <f>IF(OR(TransTonsShort[[#This Row],[CollectionStream_ID]]="03",TransTonsShort[[#This Row],[CollectionStream_ID]]="04",TransTonsShort[[#This Row],[CollectionStream_ID]]="13"),0,TransTonsShort[[#This Row],[Trans_Tons_All]]*TransTonsShort[[#This Row],[Disposal_Fee]])</f>
        <v>0</v>
      </c>
      <c r="AF165" s="446" t="s">
        <v>1338</v>
      </c>
      <c r="AG165" s="442" t="str">
        <f>LEFT(SecondaryTransport[[#This Row],[Scenario_MRF_Bale_ID]],2)</f>
        <v>S2</v>
      </c>
      <c r="AH165" s="181" t="str">
        <f>LEFT(RIGHT(SecondaryTransport[[#This Row],[Scenario_MRF_Bale_ID]],10),2)</f>
        <v>03</v>
      </c>
      <c r="AI165" s="181" t="str">
        <f>INDEX(MRFs[MRF_Name],MATCH(SecondaryTransport[[#This Row],[MRF_ID]],MRFs[MRF_ID],0))</f>
        <v>5 MRFs for SS with fiber upgrades (Portland)</v>
      </c>
      <c r="AJ165" s="181" t="str">
        <f>RIGHT(SecondaryTransport[[#This Row],[Scenario_MRF_Bale_ID]],7)</f>
        <v>2000-05</v>
      </c>
      <c r="AK165" s="181" t="str">
        <f>INDEX(Bales[Bale_Name],MATCH(SecondaryTransport[[#This Row],[Bale_ID]],Bales[Bale_ID],0))</f>
        <v>HDPE #2 and PP #5 tubs </v>
      </c>
      <c r="AL165" s="443">
        <f>INDEX(BaleMover[Total_Baled_tons],MATCH(SecondaryTransport[[#This Row],[Scenario_MRF_Bale_ID]],BaleMover[Scenario_MRF_Bale_ID],0))</f>
        <v>0</v>
      </c>
      <c r="AM165" s="443">
        <f>IF(INDEX(BaleMover[Miles],MATCH(SecondaryTransport[[#This Row],[Scenario_MRF_Bale_ID]],BaleMover[Scenario_MRF_Bale_ID],0))="",0,INDEX(BaleMover[Miles],MATCH(SecondaryTransport[[#This Row],[Scenario_MRF_Bale_ID]],BaleMover[Scenario_MRF_Bale_ID],0)))</f>
        <v>0</v>
      </c>
      <c r="AN165" s="251">
        <f>IF(SecondaryTransport[[#This Row],[Bale_ID]]="9000-01","costs elsewhere",SecondaryTransport[[#This Row],[Total_Baled_tons]]*SecondaryTransport[[#This Row],[Miles]])</f>
        <v>0</v>
      </c>
      <c r="AO165" s="352" t="str">
        <f>IF(LEFT(SecondaryTransport[[#This Row],[Bale_ID]],1)*1=5,IF(OR(SecondaryTransport[[#This Row],[MRF_ID]]="02",SecondaryTransport[[#This Row],[MRF_ID]]="08"),2,1),"")</f>
        <v/>
      </c>
      <c r="AP1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5" s="224" t="str">
        <f>IFERROR(IF(1*LEFT(SecondaryTransport[[#This Row],[Bale_ID]],1)=5,SecondaryTransport[[#This Row],[Ton-Miles]]*SecondaryTransport[[#This Row],[Cost_Per_Ton-Mile]],""),"")</f>
        <v/>
      </c>
      <c r="AS165" s="224" t="str">
        <f>IFERROR(IF(SecondaryTransport[[#This Row],[Container_Transfer]]="",(SecondaryTransport[[#This Row],[Ton-Miles]]*SecondaryTransport[[#This Row],[Cost_Per_Ton-Mile]]),""),"")</f>
        <v/>
      </c>
    </row>
    <row r="166" spans="3:45" ht="15" x14ac:dyDescent="0.25">
      <c r="C166"/>
      <c r="D166"/>
      <c r="L166" s="446" t="s">
        <v>874</v>
      </c>
      <c r="M166" s="446">
        <v>4</v>
      </c>
      <c r="N166" s="446">
        <v>1</v>
      </c>
      <c r="O166" s="446" t="s">
        <v>746</v>
      </c>
      <c r="P166" s="449" t="s">
        <v>700</v>
      </c>
      <c r="Q166" s="449"/>
      <c r="R166" s="449"/>
      <c r="S166" s="449" t="s">
        <v>762</v>
      </c>
      <c r="T166" s="449" t="s">
        <v>701</v>
      </c>
      <c r="U166" s="452">
        <v>0</v>
      </c>
      <c r="V1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6" s="272" t="str">
        <f>IFERROR(SUMIFS(TransUnitCost[Miles],TransUnitCost[Grouping_ID],TransTonsShort[[#This Row],[Grouping_ID]],TransUnitCost[Transp_ID],TransTonsShort[[#This Row],[Transp_ID]])*TransTonsShort[[#This Row],[Trans_Tons_All]]/TransTonsShort[[#This Row],[Trans_Tons_All]],"")</f>
        <v/>
      </c>
      <c r="X166" s="386" t="str">
        <f>TransTonsShort[[#This Row],[Grouping_ID]]&amp;"-"&amp;TransTonsShort[[#This Row],[Sector_ID]]</f>
        <v>4-1</v>
      </c>
      <c r="Y1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6" s="421">
        <f>INDEX(LandfillFees[Disposal Tip Fee 2025],MATCH(TransTonsShort[[#This Row],[Grouping_ID]],LandfillFees[Grouping_ID],0))</f>
        <v>72.030938699729589</v>
      </c>
      <c r="AA166" s="102">
        <f>IF(OR(TransTonsShort[[#This Row],[CollectionStream_ID]]="03",TransTonsShort[[#This Row],[CollectionStream_ID]]="04",TransTonsShort[[#This Row],[CollectionStream_ID]]="13"),0,TransTonsShort[[#This Row],[Trans_Tons_All]]*TransTonsShort[[#This Row],[Disposal_Fee]])</f>
        <v>0</v>
      </c>
      <c r="AF166" s="446" t="s">
        <v>1339</v>
      </c>
      <c r="AG166" s="442" t="str">
        <f>LEFT(SecondaryTransport[[#This Row],[Scenario_MRF_Bale_ID]],2)</f>
        <v>S3</v>
      </c>
      <c r="AH166" s="181" t="str">
        <f>LEFT(RIGHT(SecondaryTransport[[#This Row],[Scenario_MRF_Bale_ID]],10),2)</f>
        <v>03</v>
      </c>
      <c r="AI166" s="181" t="str">
        <f>INDEX(MRFs[MRF_Name],MATCH(SecondaryTransport[[#This Row],[MRF_ID]],MRFs[MRF_ID],0))</f>
        <v>5 MRFs for SS with fiber upgrades (Portland)</v>
      </c>
      <c r="AJ166" s="181" t="str">
        <f>RIGHT(SecondaryTransport[[#This Row],[Scenario_MRF_Bale_ID]],7)</f>
        <v>2000-05</v>
      </c>
      <c r="AK166" s="181" t="str">
        <f>INDEX(Bales[Bale_Name],MATCH(SecondaryTransport[[#This Row],[Bale_ID]],Bales[Bale_ID],0))</f>
        <v>HDPE #2 and PP #5 tubs </v>
      </c>
      <c r="AL166" s="443">
        <f>INDEX(BaleMover[Total_Baled_tons],MATCH(SecondaryTransport[[#This Row],[Scenario_MRF_Bale_ID]],BaleMover[Scenario_MRF_Bale_ID],0))</f>
        <v>0</v>
      </c>
      <c r="AM166" s="443">
        <f>IF(INDEX(BaleMover[Miles],MATCH(SecondaryTransport[[#This Row],[Scenario_MRF_Bale_ID]],BaleMover[Scenario_MRF_Bale_ID],0))="",0,INDEX(BaleMover[Miles],MATCH(SecondaryTransport[[#This Row],[Scenario_MRF_Bale_ID]],BaleMover[Scenario_MRF_Bale_ID],0)))</f>
        <v>0</v>
      </c>
      <c r="AN166" s="251">
        <f>IF(SecondaryTransport[[#This Row],[Bale_ID]]="9000-01","costs elsewhere",SecondaryTransport[[#This Row],[Total_Baled_tons]]*SecondaryTransport[[#This Row],[Miles]])</f>
        <v>0</v>
      </c>
      <c r="AO166" s="352" t="str">
        <f>IF(LEFT(SecondaryTransport[[#This Row],[Bale_ID]],1)*1=5,IF(OR(SecondaryTransport[[#This Row],[MRF_ID]]="02",SecondaryTransport[[#This Row],[MRF_ID]]="08"),2,1),"")</f>
        <v/>
      </c>
      <c r="AP1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6" s="224" t="str">
        <f>IFERROR(IF(1*LEFT(SecondaryTransport[[#This Row],[Bale_ID]],1)=5,SecondaryTransport[[#This Row],[Ton-Miles]]*SecondaryTransport[[#This Row],[Cost_Per_Ton-Mile]],""),"")</f>
        <v/>
      </c>
      <c r="AS166" s="224" t="str">
        <f>IFERROR(IF(SecondaryTransport[[#This Row],[Container_Transfer]]="",(SecondaryTransport[[#This Row],[Ton-Miles]]*SecondaryTransport[[#This Row],[Cost_Per_Ton-Mile]]),""),"")</f>
        <v/>
      </c>
    </row>
    <row r="167" spans="3:45" ht="15" x14ac:dyDescent="0.25">
      <c r="C167"/>
      <c r="D167"/>
      <c r="L167" s="446" t="s">
        <v>874</v>
      </c>
      <c r="M167" s="446">
        <v>1</v>
      </c>
      <c r="N167" s="446">
        <v>1</v>
      </c>
      <c r="O167" s="446" t="s">
        <v>746</v>
      </c>
      <c r="P167" s="449" t="s">
        <v>746</v>
      </c>
      <c r="Q167" s="449"/>
      <c r="R167" s="449"/>
      <c r="S167" s="449" t="s">
        <v>762</v>
      </c>
      <c r="T167" s="449" t="s">
        <v>848</v>
      </c>
      <c r="U167" s="452">
        <v>0</v>
      </c>
      <c r="V1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7" s="272" t="str">
        <f>IFERROR(SUMIFS(TransUnitCost[Miles],TransUnitCost[Grouping_ID],TransTonsShort[[#This Row],[Grouping_ID]],TransUnitCost[Transp_ID],TransTonsShort[[#This Row],[Transp_ID]])*TransTonsShort[[#This Row],[Trans_Tons_All]]/TransTonsShort[[#This Row],[Trans_Tons_All]],"")</f>
        <v/>
      </c>
      <c r="X167" s="386" t="str">
        <f>TransTonsShort[[#This Row],[Grouping_ID]]&amp;"-"&amp;TransTonsShort[[#This Row],[Sector_ID]]</f>
        <v>1-1</v>
      </c>
      <c r="Y1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7" s="421">
        <f>INDEX(LandfillFees[Disposal Tip Fee 2025],MATCH(TransTonsShort[[#This Row],[Grouping_ID]],LandfillFees[Grouping_ID],0))</f>
        <v>134.68</v>
      </c>
      <c r="AA167" s="102">
        <f>IF(OR(TransTonsShort[[#This Row],[CollectionStream_ID]]="03",TransTonsShort[[#This Row],[CollectionStream_ID]]="04",TransTonsShort[[#This Row],[CollectionStream_ID]]="13"),0,TransTonsShort[[#This Row],[Trans_Tons_All]]*TransTonsShort[[#This Row],[Disposal_Fee]])</f>
        <v>0</v>
      </c>
      <c r="AF167" s="446" t="s">
        <v>1340</v>
      </c>
      <c r="AG167" s="442" t="str">
        <f>LEFT(SecondaryTransport[[#This Row],[Scenario_MRF_Bale_ID]],2)</f>
        <v>S0</v>
      </c>
      <c r="AH167" s="181" t="str">
        <f>LEFT(RIGHT(SecondaryTransport[[#This Row],[Scenario_MRF_Bale_ID]],10),2)</f>
        <v>03</v>
      </c>
      <c r="AI167" s="181" t="str">
        <f>INDEX(MRFs[MRF_Name],MATCH(SecondaryTransport[[#This Row],[MRF_ID]],MRFs[MRF_ID],0))</f>
        <v>5 MRFs for SS with fiber upgrades (Portland)</v>
      </c>
      <c r="AJ167" s="181" t="str">
        <f>RIGHT(SecondaryTransport[[#This Row],[Scenario_MRF_Bale_ID]],7)</f>
        <v>2000-07</v>
      </c>
      <c r="AK167" s="181" t="str">
        <f>INDEX(Bales[Bale_Name],MATCH(SecondaryTransport[[#This Row],[Bale_ID]],Bales[Bale_ID],0))</f>
        <v>PE clear film</v>
      </c>
      <c r="AL167" s="443">
        <f>INDEX(BaleMover[Total_Baled_tons],MATCH(SecondaryTransport[[#This Row],[Scenario_MRF_Bale_ID]],BaleMover[Scenario_MRF_Bale_ID],0))</f>
        <v>0</v>
      </c>
      <c r="AM167" s="443">
        <f>IF(INDEX(BaleMover[Miles],MATCH(SecondaryTransport[[#This Row],[Scenario_MRF_Bale_ID]],BaleMover[Scenario_MRF_Bale_ID],0))="",0,INDEX(BaleMover[Miles],MATCH(SecondaryTransport[[#This Row],[Scenario_MRF_Bale_ID]],BaleMover[Scenario_MRF_Bale_ID],0)))</f>
        <v>0</v>
      </c>
      <c r="AN167" s="251">
        <f>IF(SecondaryTransport[[#This Row],[Bale_ID]]="9000-01","costs elsewhere",SecondaryTransport[[#This Row],[Total_Baled_tons]]*SecondaryTransport[[#This Row],[Miles]])</f>
        <v>0</v>
      </c>
      <c r="AO167" s="352" t="str">
        <f>IF(LEFT(SecondaryTransport[[#This Row],[Bale_ID]],1)*1=5,IF(OR(SecondaryTransport[[#This Row],[MRF_ID]]="02",SecondaryTransport[[#This Row],[MRF_ID]]="08"),2,1),"")</f>
        <v/>
      </c>
      <c r="AP1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7" s="224" t="str">
        <f>IFERROR(IF(1*LEFT(SecondaryTransport[[#This Row],[Bale_ID]],1)=5,SecondaryTransport[[#This Row],[Ton-Miles]]*SecondaryTransport[[#This Row],[Cost_Per_Ton-Mile]],""),"")</f>
        <v/>
      </c>
      <c r="AS167" s="224" t="str">
        <f>IFERROR(IF(SecondaryTransport[[#This Row],[Container_Transfer]]="",(SecondaryTransport[[#This Row],[Ton-Miles]]*SecondaryTransport[[#This Row],[Cost_Per_Ton-Mile]]),""),"")</f>
        <v/>
      </c>
    </row>
    <row r="168" spans="3:45" ht="15" x14ac:dyDescent="0.25">
      <c r="C168"/>
      <c r="D168"/>
      <c r="L168" s="446" t="s">
        <v>874</v>
      </c>
      <c r="M168" s="446">
        <v>2</v>
      </c>
      <c r="N168" s="446">
        <v>1</v>
      </c>
      <c r="O168" s="446" t="s">
        <v>746</v>
      </c>
      <c r="P168" s="449" t="s">
        <v>746</v>
      </c>
      <c r="Q168" s="449"/>
      <c r="R168" s="449"/>
      <c r="S168" s="449" t="s">
        <v>762</v>
      </c>
      <c r="T168" s="449" t="s">
        <v>848</v>
      </c>
      <c r="U168" s="452">
        <v>0</v>
      </c>
      <c r="V1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8" s="272" t="str">
        <f>IFERROR(SUMIFS(TransUnitCost[Miles],TransUnitCost[Grouping_ID],TransTonsShort[[#This Row],[Grouping_ID]],TransUnitCost[Transp_ID],TransTonsShort[[#This Row],[Transp_ID]])*TransTonsShort[[#This Row],[Trans_Tons_All]]/TransTonsShort[[#This Row],[Trans_Tons_All]],"")</f>
        <v/>
      </c>
      <c r="X168" s="386" t="str">
        <f>TransTonsShort[[#This Row],[Grouping_ID]]&amp;"-"&amp;TransTonsShort[[#This Row],[Sector_ID]]</f>
        <v>2-1</v>
      </c>
      <c r="Y1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8" s="421">
        <f>INDEX(LandfillFees[Disposal Tip Fee 2025],MATCH(TransTonsShort[[#This Row],[Grouping_ID]],LandfillFees[Grouping_ID],0))</f>
        <v>72.030938699729589</v>
      </c>
      <c r="AA168" s="102">
        <f>IF(OR(TransTonsShort[[#This Row],[CollectionStream_ID]]="03",TransTonsShort[[#This Row],[CollectionStream_ID]]="04",TransTonsShort[[#This Row],[CollectionStream_ID]]="13"),0,TransTonsShort[[#This Row],[Trans_Tons_All]]*TransTonsShort[[#This Row],[Disposal_Fee]])</f>
        <v>0</v>
      </c>
      <c r="AF168" s="446" t="s">
        <v>1341</v>
      </c>
      <c r="AG168" s="442" t="str">
        <f>LEFT(SecondaryTransport[[#This Row],[Scenario_MRF_Bale_ID]],2)</f>
        <v>S1</v>
      </c>
      <c r="AH168" s="181" t="str">
        <f>LEFT(RIGHT(SecondaryTransport[[#This Row],[Scenario_MRF_Bale_ID]],10),2)</f>
        <v>03</v>
      </c>
      <c r="AI168" s="181" t="str">
        <f>INDEX(MRFs[MRF_Name],MATCH(SecondaryTransport[[#This Row],[MRF_ID]],MRFs[MRF_ID],0))</f>
        <v>5 MRFs for SS with fiber upgrades (Portland)</v>
      </c>
      <c r="AJ168" s="181" t="str">
        <f>RIGHT(SecondaryTransport[[#This Row],[Scenario_MRF_Bale_ID]],7)</f>
        <v>2000-07</v>
      </c>
      <c r="AK168" s="181" t="str">
        <f>INDEX(Bales[Bale_Name],MATCH(SecondaryTransport[[#This Row],[Bale_ID]],Bales[Bale_ID],0))</f>
        <v>PE clear film</v>
      </c>
      <c r="AL168" s="443">
        <f>INDEX(BaleMover[Total_Baled_tons],MATCH(SecondaryTransport[[#This Row],[Scenario_MRF_Bale_ID]],BaleMover[Scenario_MRF_Bale_ID],0))</f>
        <v>0</v>
      </c>
      <c r="AM168" s="443">
        <f>IF(INDEX(BaleMover[Miles],MATCH(SecondaryTransport[[#This Row],[Scenario_MRF_Bale_ID]],BaleMover[Scenario_MRF_Bale_ID],0))="",0,INDEX(BaleMover[Miles],MATCH(SecondaryTransport[[#This Row],[Scenario_MRF_Bale_ID]],BaleMover[Scenario_MRF_Bale_ID],0)))</f>
        <v>0</v>
      </c>
      <c r="AN168" s="251">
        <f>IF(SecondaryTransport[[#This Row],[Bale_ID]]="9000-01","costs elsewhere",SecondaryTransport[[#This Row],[Total_Baled_tons]]*SecondaryTransport[[#This Row],[Miles]])</f>
        <v>0</v>
      </c>
      <c r="AO168" s="352" t="str">
        <f>IF(LEFT(SecondaryTransport[[#This Row],[Bale_ID]],1)*1=5,IF(OR(SecondaryTransport[[#This Row],[MRF_ID]]="02",SecondaryTransport[[#This Row],[MRF_ID]]="08"),2,1),"")</f>
        <v/>
      </c>
      <c r="AP1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8" s="224" t="str">
        <f>IFERROR(IF(1*LEFT(SecondaryTransport[[#This Row],[Bale_ID]],1)=5,SecondaryTransport[[#This Row],[Ton-Miles]]*SecondaryTransport[[#This Row],[Cost_Per_Ton-Mile]],""),"")</f>
        <v/>
      </c>
      <c r="AS168" s="224" t="str">
        <f>IFERROR(IF(SecondaryTransport[[#This Row],[Container_Transfer]]="",(SecondaryTransport[[#This Row],[Ton-Miles]]*SecondaryTransport[[#This Row],[Cost_Per_Ton-Mile]]),""),"")</f>
        <v/>
      </c>
    </row>
    <row r="169" spans="3:45" ht="15" x14ac:dyDescent="0.25">
      <c r="C169"/>
      <c r="D169"/>
      <c r="L169" s="446" t="s">
        <v>874</v>
      </c>
      <c r="M169" s="446">
        <v>3</v>
      </c>
      <c r="N169" s="446">
        <v>1</v>
      </c>
      <c r="O169" s="446" t="s">
        <v>746</v>
      </c>
      <c r="P169" s="449" t="s">
        <v>746</v>
      </c>
      <c r="Q169" s="449"/>
      <c r="R169" s="449"/>
      <c r="S169" s="449" t="s">
        <v>762</v>
      </c>
      <c r="T169" s="449" t="s">
        <v>848</v>
      </c>
      <c r="U169" s="452">
        <v>0</v>
      </c>
      <c r="V1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69" s="272" t="str">
        <f>IFERROR(SUMIFS(TransUnitCost[Miles],TransUnitCost[Grouping_ID],TransTonsShort[[#This Row],[Grouping_ID]],TransUnitCost[Transp_ID],TransTonsShort[[#This Row],[Transp_ID]])*TransTonsShort[[#This Row],[Trans_Tons_All]]/TransTonsShort[[#This Row],[Trans_Tons_All]],"")</f>
        <v/>
      </c>
      <c r="X169" s="386" t="str">
        <f>TransTonsShort[[#This Row],[Grouping_ID]]&amp;"-"&amp;TransTonsShort[[#This Row],[Sector_ID]]</f>
        <v>3-1</v>
      </c>
      <c r="Y1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69" s="421">
        <f>INDEX(LandfillFees[Disposal Tip Fee 2025],MATCH(TransTonsShort[[#This Row],[Grouping_ID]],LandfillFees[Grouping_ID],0))</f>
        <v>72.030938699729589</v>
      </c>
      <c r="AA169" s="102">
        <f>IF(OR(TransTonsShort[[#This Row],[CollectionStream_ID]]="03",TransTonsShort[[#This Row],[CollectionStream_ID]]="04",TransTonsShort[[#This Row],[CollectionStream_ID]]="13"),0,TransTonsShort[[#This Row],[Trans_Tons_All]]*TransTonsShort[[#This Row],[Disposal_Fee]])</f>
        <v>0</v>
      </c>
      <c r="AF169" s="446" t="s">
        <v>1342</v>
      </c>
      <c r="AG169" s="442" t="str">
        <f>LEFT(SecondaryTransport[[#This Row],[Scenario_MRF_Bale_ID]],2)</f>
        <v>S2</v>
      </c>
      <c r="AH169" s="181" t="str">
        <f>LEFT(RIGHT(SecondaryTransport[[#This Row],[Scenario_MRF_Bale_ID]],10),2)</f>
        <v>03</v>
      </c>
      <c r="AI169" s="181" t="str">
        <f>INDEX(MRFs[MRF_Name],MATCH(SecondaryTransport[[#This Row],[MRF_ID]],MRFs[MRF_ID],0))</f>
        <v>5 MRFs for SS with fiber upgrades (Portland)</v>
      </c>
      <c r="AJ169" s="181" t="str">
        <f>RIGHT(SecondaryTransport[[#This Row],[Scenario_MRF_Bale_ID]],7)</f>
        <v>2000-07</v>
      </c>
      <c r="AK169" s="181" t="str">
        <f>INDEX(Bales[Bale_Name],MATCH(SecondaryTransport[[#This Row],[Bale_ID]],Bales[Bale_ID],0))</f>
        <v>PE clear film</v>
      </c>
      <c r="AL169" s="443">
        <f>INDEX(BaleMover[Total_Baled_tons],MATCH(SecondaryTransport[[#This Row],[Scenario_MRF_Bale_ID]],BaleMover[Scenario_MRF_Bale_ID],0))</f>
        <v>0</v>
      </c>
      <c r="AM169" s="443">
        <f>IF(INDEX(BaleMover[Miles],MATCH(SecondaryTransport[[#This Row],[Scenario_MRF_Bale_ID]],BaleMover[Scenario_MRF_Bale_ID],0))="",0,INDEX(BaleMover[Miles],MATCH(SecondaryTransport[[#This Row],[Scenario_MRF_Bale_ID]],BaleMover[Scenario_MRF_Bale_ID],0)))</f>
        <v>0</v>
      </c>
      <c r="AN169" s="251">
        <f>IF(SecondaryTransport[[#This Row],[Bale_ID]]="9000-01","costs elsewhere",SecondaryTransport[[#This Row],[Total_Baled_tons]]*SecondaryTransport[[#This Row],[Miles]])</f>
        <v>0</v>
      </c>
      <c r="AO169" s="352" t="str">
        <f>IF(LEFT(SecondaryTransport[[#This Row],[Bale_ID]],1)*1=5,IF(OR(SecondaryTransport[[#This Row],[MRF_ID]]="02",SecondaryTransport[[#This Row],[MRF_ID]]="08"),2,1),"")</f>
        <v/>
      </c>
      <c r="AP1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6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69" s="224" t="str">
        <f>IFERROR(IF(1*LEFT(SecondaryTransport[[#This Row],[Bale_ID]],1)=5,SecondaryTransport[[#This Row],[Ton-Miles]]*SecondaryTransport[[#This Row],[Cost_Per_Ton-Mile]],""),"")</f>
        <v/>
      </c>
      <c r="AS169" s="224" t="str">
        <f>IFERROR(IF(SecondaryTransport[[#This Row],[Container_Transfer]]="",(SecondaryTransport[[#This Row],[Ton-Miles]]*SecondaryTransport[[#This Row],[Cost_Per_Ton-Mile]]),""),"")</f>
        <v/>
      </c>
    </row>
    <row r="170" spans="3:45" ht="15" x14ac:dyDescent="0.25">
      <c r="C170"/>
      <c r="D170"/>
      <c r="L170" s="446" t="s">
        <v>874</v>
      </c>
      <c r="M170" s="446">
        <v>4</v>
      </c>
      <c r="N170" s="446">
        <v>1</v>
      </c>
      <c r="O170" s="446" t="s">
        <v>746</v>
      </c>
      <c r="P170" s="449" t="s">
        <v>746</v>
      </c>
      <c r="Q170" s="449"/>
      <c r="R170" s="449"/>
      <c r="S170" s="449" t="s">
        <v>762</v>
      </c>
      <c r="T170" s="449" t="s">
        <v>848</v>
      </c>
      <c r="U170" s="452">
        <v>0</v>
      </c>
      <c r="V1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0" s="272" t="str">
        <f>IFERROR(SUMIFS(TransUnitCost[Miles],TransUnitCost[Grouping_ID],TransTonsShort[[#This Row],[Grouping_ID]],TransUnitCost[Transp_ID],TransTonsShort[[#This Row],[Transp_ID]])*TransTonsShort[[#This Row],[Trans_Tons_All]]/TransTonsShort[[#This Row],[Trans_Tons_All]],"")</f>
        <v/>
      </c>
      <c r="X170" s="386" t="str">
        <f>TransTonsShort[[#This Row],[Grouping_ID]]&amp;"-"&amp;TransTonsShort[[#This Row],[Sector_ID]]</f>
        <v>4-1</v>
      </c>
      <c r="Y1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70" s="421">
        <f>INDEX(LandfillFees[Disposal Tip Fee 2025],MATCH(TransTonsShort[[#This Row],[Grouping_ID]],LandfillFees[Grouping_ID],0))</f>
        <v>72.030938699729589</v>
      </c>
      <c r="AA170" s="102">
        <f>IF(OR(TransTonsShort[[#This Row],[CollectionStream_ID]]="03",TransTonsShort[[#This Row],[CollectionStream_ID]]="04",TransTonsShort[[#This Row],[CollectionStream_ID]]="13"),0,TransTonsShort[[#This Row],[Trans_Tons_All]]*TransTonsShort[[#This Row],[Disposal_Fee]])</f>
        <v>0</v>
      </c>
      <c r="AF170" s="446" t="s">
        <v>1343</v>
      </c>
      <c r="AG170" s="442" t="str">
        <f>LEFT(SecondaryTransport[[#This Row],[Scenario_MRF_Bale_ID]],2)</f>
        <v>S3</v>
      </c>
      <c r="AH170" s="181" t="str">
        <f>LEFT(RIGHT(SecondaryTransport[[#This Row],[Scenario_MRF_Bale_ID]],10),2)</f>
        <v>03</v>
      </c>
      <c r="AI170" s="181" t="str">
        <f>INDEX(MRFs[MRF_Name],MATCH(SecondaryTransport[[#This Row],[MRF_ID]],MRFs[MRF_ID],0))</f>
        <v>5 MRFs for SS with fiber upgrades (Portland)</v>
      </c>
      <c r="AJ170" s="181" t="str">
        <f>RIGHT(SecondaryTransport[[#This Row],[Scenario_MRF_Bale_ID]],7)</f>
        <v>2000-07</v>
      </c>
      <c r="AK170" s="181" t="str">
        <f>INDEX(Bales[Bale_Name],MATCH(SecondaryTransport[[#This Row],[Bale_ID]],Bales[Bale_ID],0))</f>
        <v>PE clear film</v>
      </c>
      <c r="AL170" s="443">
        <f>INDEX(BaleMover[Total_Baled_tons],MATCH(SecondaryTransport[[#This Row],[Scenario_MRF_Bale_ID]],BaleMover[Scenario_MRF_Bale_ID],0))</f>
        <v>0</v>
      </c>
      <c r="AM170" s="443">
        <f>IF(INDEX(BaleMover[Miles],MATCH(SecondaryTransport[[#This Row],[Scenario_MRF_Bale_ID]],BaleMover[Scenario_MRF_Bale_ID],0))="",0,INDEX(BaleMover[Miles],MATCH(SecondaryTransport[[#This Row],[Scenario_MRF_Bale_ID]],BaleMover[Scenario_MRF_Bale_ID],0)))</f>
        <v>0</v>
      </c>
      <c r="AN170" s="251">
        <f>IF(SecondaryTransport[[#This Row],[Bale_ID]]="9000-01","costs elsewhere",SecondaryTransport[[#This Row],[Total_Baled_tons]]*SecondaryTransport[[#This Row],[Miles]])</f>
        <v>0</v>
      </c>
      <c r="AO170" s="352" t="str">
        <f>IF(LEFT(SecondaryTransport[[#This Row],[Bale_ID]],1)*1=5,IF(OR(SecondaryTransport[[#This Row],[MRF_ID]]="02",SecondaryTransport[[#This Row],[MRF_ID]]="08"),2,1),"")</f>
        <v/>
      </c>
      <c r="AP1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0" s="224" t="str">
        <f>IFERROR(IF(1*LEFT(SecondaryTransport[[#This Row],[Bale_ID]],1)=5,SecondaryTransport[[#This Row],[Ton-Miles]]*SecondaryTransport[[#This Row],[Cost_Per_Ton-Mile]],""),"")</f>
        <v/>
      </c>
      <c r="AS170" s="224" t="str">
        <f>IFERROR(IF(SecondaryTransport[[#This Row],[Container_Transfer]]="",(SecondaryTransport[[#This Row],[Ton-Miles]]*SecondaryTransport[[#This Row],[Cost_Per_Ton-Mile]]),""),"")</f>
        <v/>
      </c>
    </row>
    <row r="171" spans="3:45" ht="15" x14ac:dyDescent="0.25">
      <c r="C171"/>
      <c r="D171"/>
      <c r="L171" s="446" t="s">
        <v>874</v>
      </c>
      <c r="M171" s="446">
        <v>1</v>
      </c>
      <c r="N171" s="446">
        <v>1</v>
      </c>
      <c r="O171" s="446" t="s">
        <v>706</v>
      </c>
      <c r="P171" s="449" t="s">
        <v>739</v>
      </c>
      <c r="Q171" s="449"/>
      <c r="R171" s="449"/>
      <c r="S171" s="449" t="s">
        <v>707</v>
      </c>
      <c r="T171" s="449" t="s">
        <v>1121</v>
      </c>
      <c r="U171" s="452">
        <v>0</v>
      </c>
      <c r="V1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1" s="272" t="str">
        <f>IFERROR(SUMIFS(TransUnitCost[Miles],TransUnitCost[Grouping_ID],TransTonsShort[[#This Row],[Grouping_ID]],TransUnitCost[Transp_ID],TransTonsShort[[#This Row],[Transp_ID]])*TransTonsShort[[#This Row],[Trans_Tons_All]]/TransTonsShort[[#This Row],[Trans_Tons_All]],"")</f>
        <v/>
      </c>
      <c r="X171" s="386" t="str">
        <f>TransTonsShort[[#This Row],[Grouping_ID]]&amp;"-"&amp;TransTonsShort[[#This Row],[Sector_ID]]</f>
        <v>1-1</v>
      </c>
      <c r="Y1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1" s="421">
        <f>INDEX(LandfillFees[Disposal Tip Fee 2025],MATCH(TransTonsShort[[#This Row],[Grouping_ID]],LandfillFees[Grouping_ID],0))</f>
        <v>134.68</v>
      </c>
      <c r="AA171" s="102">
        <f>IF(OR(TransTonsShort[[#This Row],[CollectionStream_ID]]="03",TransTonsShort[[#This Row],[CollectionStream_ID]]="04",TransTonsShort[[#This Row],[CollectionStream_ID]]="13"),0,TransTonsShort[[#This Row],[Trans_Tons_All]]*TransTonsShort[[#This Row],[Disposal_Fee]])</f>
        <v>0</v>
      </c>
      <c r="AF171" s="446" t="s">
        <v>1344</v>
      </c>
      <c r="AG171" s="442" t="str">
        <f>LEFT(SecondaryTransport[[#This Row],[Scenario_MRF_Bale_ID]],2)</f>
        <v>S0</v>
      </c>
      <c r="AH171" s="181" t="str">
        <f>LEFT(RIGHT(SecondaryTransport[[#This Row],[Scenario_MRF_Bale_ID]],10),2)</f>
        <v>03</v>
      </c>
      <c r="AI171" s="181" t="str">
        <f>INDEX(MRFs[MRF_Name],MATCH(SecondaryTransport[[#This Row],[MRF_ID]],MRFs[MRF_ID],0))</f>
        <v>5 MRFs for SS with fiber upgrades (Portland)</v>
      </c>
      <c r="AJ171" s="181" t="str">
        <f>RIGHT(SecondaryTransport[[#This Row],[Scenario_MRF_Bale_ID]],7)</f>
        <v>2000-08</v>
      </c>
      <c r="AK171" s="181" t="str">
        <f>INDEX(Bales[Bale_Name],MATCH(SecondaryTransport[[#This Row],[Bale_ID]],Bales[Bale_ID],0))</f>
        <v>PE colored film</v>
      </c>
      <c r="AL171" s="443">
        <f>INDEX(BaleMover[Total_Baled_tons],MATCH(SecondaryTransport[[#This Row],[Scenario_MRF_Bale_ID]],BaleMover[Scenario_MRF_Bale_ID],0))</f>
        <v>0</v>
      </c>
      <c r="AM171" s="443">
        <f>IF(INDEX(BaleMover[Miles],MATCH(SecondaryTransport[[#This Row],[Scenario_MRF_Bale_ID]],BaleMover[Scenario_MRF_Bale_ID],0))="",0,INDEX(BaleMover[Miles],MATCH(SecondaryTransport[[#This Row],[Scenario_MRF_Bale_ID]],BaleMover[Scenario_MRF_Bale_ID],0)))</f>
        <v>0</v>
      </c>
      <c r="AN171" s="251">
        <f>IF(SecondaryTransport[[#This Row],[Bale_ID]]="9000-01","costs elsewhere",SecondaryTransport[[#This Row],[Total_Baled_tons]]*SecondaryTransport[[#This Row],[Miles]])</f>
        <v>0</v>
      </c>
      <c r="AO171" s="352" t="str">
        <f>IF(LEFT(SecondaryTransport[[#This Row],[Bale_ID]],1)*1=5,IF(OR(SecondaryTransport[[#This Row],[MRF_ID]]="02",SecondaryTransport[[#This Row],[MRF_ID]]="08"),2,1),"")</f>
        <v/>
      </c>
      <c r="AP1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1" s="224" t="str">
        <f>IFERROR(IF(1*LEFT(SecondaryTransport[[#This Row],[Bale_ID]],1)=5,SecondaryTransport[[#This Row],[Ton-Miles]]*SecondaryTransport[[#This Row],[Cost_Per_Ton-Mile]],""),"")</f>
        <v/>
      </c>
      <c r="AS171" s="224" t="str">
        <f>IFERROR(IF(SecondaryTransport[[#This Row],[Container_Transfer]]="",(SecondaryTransport[[#This Row],[Ton-Miles]]*SecondaryTransport[[#This Row],[Cost_Per_Ton-Mile]]),""),"")</f>
        <v/>
      </c>
    </row>
    <row r="172" spans="3:45" ht="15" x14ac:dyDescent="0.25">
      <c r="C172"/>
      <c r="D172"/>
      <c r="L172" s="446" t="s">
        <v>874</v>
      </c>
      <c r="M172" s="446">
        <v>2</v>
      </c>
      <c r="N172" s="446">
        <v>1</v>
      </c>
      <c r="O172" s="446" t="s">
        <v>706</v>
      </c>
      <c r="P172" s="449" t="s">
        <v>739</v>
      </c>
      <c r="Q172" s="449"/>
      <c r="R172" s="449"/>
      <c r="S172" s="449" t="s">
        <v>707</v>
      </c>
      <c r="T172" s="449" t="s">
        <v>1121</v>
      </c>
      <c r="U172" s="452">
        <v>13461.428743893226</v>
      </c>
      <c r="V1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555957.00712279021</v>
      </c>
      <c r="W172" s="272">
        <f>IFERROR(SUMIFS(TransUnitCost[Miles],TransUnitCost[Grouping_ID],TransTonsShort[[#This Row],[Grouping_ID]],TransUnitCost[Transp_ID],TransTonsShort[[#This Row],[Transp_ID]])*TransTonsShort[[#This Row],[Trans_Tons_All]]/TransTonsShort[[#This Row],[Trans_Tons_All]],"")</f>
        <v>70</v>
      </c>
      <c r="X172" s="386" t="str">
        <f>TransTonsShort[[#This Row],[Grouping_ID]]&amp;"-"&amp;TransTonsShort[[#This Row],[Sector_ID]]</f>
        <v>2-1</v>
      </c>
      <c r="Y1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2" s="421">
        <f>INDEX(LandfillFees[Disposal Tip Fee 2025],MATCH(TransTonsShort[[#This Row],[Grouping_ID]],LandfillFees[Grouping_ID],0))</f>
        <v>72.030938699729589</v>
      </c>
      <c r="AA172" s="102">
        <f>IF(OR(TransTonsShort[[#This Row],[CollectionStream_ID]]="03",TransTonsShort[[#This Row],[CollectionStream_ID]]="04",TransTonsShort[[#This Row],[CollectionStream_ID]]="13"),0,TransTonsShort[[#This Row],[Trans_Tons_All]]*TransTonsShort[[#This Row],[Disposal_Fee]])</f>
        <v>969639.34866215079</v>
      </c>
      <c r="AF172" s="446" t="s">
        <v>1345</v>
      </c>
      <c r="AG172" s="442" t="str">
        <f>LEFT(SecondaryTransport[[#This Row],[Scenario_MRF_Bale_ID]],2)</f>
        <v>S1</v>
      </c>
      <c r="AH172" s="181" t="str">
        <f>LEFT(RIGHT(SecondaryTransport[[#This Row],[Scenario_MRF_Bale_ID]],10),2)</f>
        <v>03</v>
      </c>
      <c r="AI172" s="181" t="str">
        <f>INDEX(MRFs[MRF_Name],MATCH(SecondaryTransport[[#This Row],[MRF_ID]],MRFs[MRF_ID],0))</f>
        <v>5 MRFs for SS with fiber upgrades (Portland)</v>
      </c>
      <c r="AJ172" s="181" t="str">
        <f>RIGHT(SecondaryTransport[[#This Row],[Scenario_MRF_Bale_ID]],7)</f>
        <v>2000-08</v>
      </c>
      <c r="AK172" s="181" t="str">
        <f>INDEX(Bales[Bale_Name],MATCH(SecondaryTransport[[#This Row],[Bale_ID]],Bales[Bale_ID],0))</f>
        <v>PE colored film</v>
      </c>
      <c r="AL172" s="443">
        <f>INDEX(BaleMover[Total_Baled_tons],MATCH(SecondaryTransport[[#This Row],[Scenario_MRF_Bale_ID]],BaleMover[Scenario_MRF_Bale_ID],0))</f>
        <v>0</v>
      </c>
      <c r="AM172" s="443">
        <f>IF(INDEX(BaleMover[Miles],MATCH(SecondaryTransport[[#This Row],[Scenario_MRF_Bale_ID]],BaleMover[Scenario_MRF_Bale_ID],0))="",0,INDEX(BaleMover[Miles],MATCH(SecondaryTransport[[#This Row],[Scenario_MRF_Bale_ID]],BaleMover[Scenario_MRF_Bale_ID],0)))</f>
        <v>0</v>
      </c>
      <c r="AN172" s="251">
        <f>IF(SecondaryTransport[[#This Row],[Bale_ID]]="9000-01","costs elsewhere",SecondaryTransport[[#This Row],[Total_Baled_tons]]*SecondaryTransport[[#This Row],[Miles]])</f>
        <v>0</v>
      </c>
      <c r="AO172" s="352" t="str">
        <f>IF(LEFT(SecondaryTransport[[#This Row],[Bale_ID]],1)*1=5,IF(OR(SecondaryTransport[[#This Row],[MRF_ID]]="02",SecondaryTransport[[#This Row],[MRF_ID]]="08"),2,1),"")</f>
        <v/>
      </c>
      <c r="AP1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2" s="224" t="str">
        <f>IFERROR(IF(1*LEFT(SecondaryTransport[[#This Row],[Bale_ID]],1)=5,SecondaryTransport[[#This Row],[Ton-Miles]]*SecondaryTransport[[#This Row],[Cost_Per_Ton-Mile]],""),"")</f>
        <v/>
      </c>
      <c r="AS172" s="224" t="str">
        <f>IFERROR(IF(SecondaryTransport[[#This Row],[Container_Transfer]]="",(SecondaryTransport[[#This Row],[Ton-Miles]]*SecondaryTransport[[#This Row],[Cost_Per_Ton-Mile]]),""),"")</f>
        <v/>
      </c>
    </row>
    <row r="173" spans="3:45" ht="15" x14ac:dyDescent="0.25">
      <c r="C173"/>
      <c r="D173"/>
      <c r="L173" s="446" t="s">
        <v>874</v>
      </c>
      <c r="M173" s="446">
        <v>3</v>
      </c>
      <c r="N173" s="446">
        <v>1</v>
      </c>
      <c r="O173" s="446" t="s">
        <v>706</v>
      </c>
      <c r="P173" s="449" t="s">
        <v>739</v>
      </c>
      <c r="Q173" s="449"/>
      <c r="R173" s="449"/>
      <c r="S173" s="449" t="s">
        <v>707</v>
      </c>
      <c r="T173" s="449" t="s">
        <v>1121</v>
      </c>
      <c r="U173" s="452">
        <v>4491.1055547882461</v>
      </c>
      <c r="V1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161679.79997237684</v>
      </c>
      <c r="W173" s="272">
        <f>IFERROR(SUMIFS(TransUnitCost[Miles],TransUnitCost[Grouping_ID],TransTonsShort[[#This Row],[Grouping_ID]],TransUnitCost[Transp_ID],TransTonsShort[[#This Row],[Transp_ID]])*TransTonsShort[[#This Row],[Trans_Tons_All]]/TransTonsShort[[#This Row],[Trans_Tons_All]],"")</f>
        <v>150</v>
      </c>
      <c r="X173" s="386" t="str">
        <f>TransTonsShort[[#This Row],[Grouping_ID]]&amp;"-"&amp;TransTonsShort[[#This Row],[Sector_ID]]</f>
        <v>3-1</v>
      </c>
      <c r="Y1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3" s="421">
        <f>INDEX(LandfillFees[Disposal Tip Fee 2025],MATCH(TransTonsShort[[#This Row],[Grouping_ID]],LandfillFees[Grouping_ID],0))</f>
        <v>72.030938699729589</v>
      </c>
      <c r="AA173" s="102">
        <f>IF(OR(TransTonsShort[[#This Row],[CollectionStream_ID]]="03",TransTonsShort[[#This Row],[CollectionStream_ID]]="04",TransTonsShort[[#This Row],[CollectionStream_ID]]="13"),0,TransTonsShort[[#This Row],[Trans_Tons_All]]*TransTonsShort[[#This Row],[Disposal_Fee]])</f>
        <v>323498.54891096719</v>
      </c>
      <c r="AF173" s="446" t="s">
        <v>1346</v>
      </c>
      <c r="AG173" s="442" t="str">
        <f>LEFT(SecondaryTransport[[#This Row],[Scenario_MRF_Bale_ID]],2)</f>
        <v>S2</v>
      </c>
      <c r="AH173" s="181" t="str">
        <f>LEFT(RIGHT(SecondaryTransport[[#This Row],[Scenario_MRF_Bale_ID]],10),2)</f>
        <v>03</v>
      </c>
      <c r="AI173" s="181" t="str">
        <f>INDEX(MRFs[MRF_Name],MATCH(SecondaryTransport[[#This Row],[MRF_ID]],MRFs[MRF_ID],0))</f>
        <v>5 MRFs for SS with fiber upgrades (Portland)</v>
      </c>
      <c r="AJ173" s="181" t="str">
        <f>RIGHT(SecondaryTransport[[#This Row],[Scenario_MRF_Bale_ID]],7)</f>
        <v>2000-08</v>
      </c>
      <c r="AK173" s="181" t="str">
        <f>INDEX(Bales[Bale_Name],MATCH(SecondaryTransport[[#This Row],[Bale_ID]],Bales[Bale_ID],0))</f>
        <v>PE colored film</v>
      </c>
      <c r="AL173" s="443">
        <f>INDEX(BaleMover[Total_Baled_tons],MATCH(SecondaryTransport[[#This Row],[Scenario_MRF_Bale_ID]],BaleMover[Scenario_MRF_Bale_ID],0))</f>
        <v>0</v>
      </c>
      <c r="AM173" s="443">
        <f>IF(INDEX(BaleMover[Miles],MATCH(SecondaryTransport[[#This Row],[Scenario_MRF_Bale_ID]],BaleMover[Scenario_MRF_Bale_ID],0))="",0,INDEX(BaleMover[Miles],MATCH(SecondaryTransport[[#This Row],[Scenario_MRF_Bale_ID]],BaleMover[Scenario_MRF_Bale_ID],0)))</f>
        <v>0</v>
      </c>
      <c r="AN173" s="251">
        <f>IF(SecondaryTransport[[#This Row],[Bale_ID]]="9000-01","costs elsewhere",SecondaryTransport[[#This Row],[Total_Baled_tons]]*SecondaryTransport[[#This Row],[Miles]])</f>
        <v>0</v>
      </c>
      <c r="AO173" s="352" t="str">
        <f>IF(LEFT(SecondaryTransport[[#This Row],[Bale_ID]],1)*1=5,IF(OR(SecondaryTransport[[#This Row],[MRF_ID]]="02",SecondaryTransport[[#This Row],[MRF_ID]]="08"),2,1),"")</f>
        <v/>
      </c>
      <c r="AP1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3" s="224" t="str">
        <f>IFERROR(IF(1*LEFT(SecondaryTransport[[#This Row],[Bale_ID]],1)=5,SecondaryTransport[[#This Row],[Ton-Miles]]*SecondaryTransport[[#This Row],[Cost_Per_Ton-Mile]],""),"")</f>
        <v/>
      </c>
      <c r="AS173" s="224" t="str">
        <f>IFERROR(IF(SecondaryTransport[[#This Row],[Container_Transfer]]="",(SecondaryTransport[[#This Row],[Ton-Miles]]*SecondaryTransport[[#This Row],[Cost_Per_Ton-Mile]]),""),"")</f>
        <v/>
      </c>
    </row>
    <row r="174" spans="3:45" ht="15" x14ac:dyDescent="0.25">
      <c r="C174"/>
      <c r="D174"/>
      <c r="L174" s="446" t="s">
        <v>874</v>
      </c>
      <c r="M174" s="446">
        <v>4</v>
      </c>
      <c r="N174" s="446">
        <v>1</v>
      </c>
      <c r="O174" s="446" t="s">
        <v>706</v>
      </c>
      <c r="P174" s="449" t="s">
        <v>739</v>
      </c>
      <c r="Q174" s="449"/>
      <c r="R174" s="449"/>
      <c r="S174" s="449" t="s">
        <v>707</v>
      </c>
      <c r="T174" s="449" t="s">
        <v>1121</v>
      </c>
      <c r="U174" s="452">
        <v>2.8572275826359177</v>
      </c>
      <c r="V1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157.14751704497547</v>
      </c>
      <c r="W174" s="272">
        <f>IFERROR(SUMIFS(TransUnitCost[Miles],TransUnitCost[Grouping_ID],TransTonsShort[[#This Row],[Grouping_ID]],TransUnitCost[Transp_ID],TransTonsShort[[#This Row],[Transp_ID]])*TransTonsShort[[#This Row],[Trans_Tons_All]]/TransTonsShort[[#This Row],[Trans_Tons_All]],"")</f>
        <v>250</v>
      </c>
      <c r="X174" s="386" t="str">
        <f>TransTonsShort[[#This Row],[Grouping_ID]]&amp;"-"&amp;TransTonsShort[[#This Row],[Sector_ID]]</f>
        <v>4-1</v>
      </c>
      <c r="Y1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4" s="421">
        <f>INDEX(LandfillFees[Disposal Tip Fee 2025],MATCH(TransTonsShort[[#This Row],[Grouping_ID]],LandfillFees[Grouping_ID],0))</f>
        <v>72.030938699729589</v>
      </c>
      <c r="AA174" s="102">
        <f>IF(OR(TransTonsShort[[#This Row],[CollectionStream_ID]]="03",TransTonsShort[[#This Row],[CollectionStream_ID]]="04",TransTonsShort[[#This Row],[CollectionStream_ID]]="13"),0,TransTonsShort[[#This Row],[Trans_Tons_All]]*TransTonsShort[[#This Row],[Disposal_Fee]])</f>
        <v>205.80878485602435</v>
      </c>
      <c r="AF174" s="446" t="s">
        <v>1347</v>
      </c>
      <c r="AG174" s="442" t="str">
        <f>LEFT(SecondaryTransport[[#This Row],[Scenario_MRF_Bale_ID]],2)</f>
        <v>S3</v>
      </c>
      <c r="AH174" s="181" t="str">
        <f>LEFT(RIGHT(SecondaryTransport[[#This Row],[Scenario_MRF_Bale_ID]],10),2)</f>
        <v>03</v>
      </c>
      <c r="AI174" s="181" t="str">
        <f>INDEX(MRFs[MRF_Name],MATCH(SecondaryTransport[[#This Row],[MRF_ID]],MRFs[MRF_ID],0))</f>
        <v>5 MRFs for SS with fiber upgrades (Portland)</v>
      </c>
      <c r="AJ174" s="181" t="str">
        <f>RIGHT(SecondaryTransport[[#This Row],[Scenario_MRF_Bale_ID]],7)</f>
        <v>2000-08</v>
      </c>
      <c r="AK174" s="181" t="str">
        <f>INDEX(Bales[Bale_Name],MATCH(SecondaryTransport[[#This Row],[Bale_ID]],Bales[Bale_ID],0))</f>
        <v>PE colored film</v>
      </c>
      <c r="AL174" s="443">
        <f>INDEX(BaleMover[Total_Baled_tons],MATCH(SecondaryTransport[[#This Row],[Scenario_MRF_Bale_ID]],BaleMover[Scenario_MRF_Bale_ID],0))</f>
        <v>0</v>
      </c>
      <c r="AM174" s="443">
        <f>IF(INDEX(BaleMover[Miles],MATCH(SecondaryTransport[[#This Row],[Scenario_MRF_Bale_ID]],BaleMover[Scenario_MRF_Bale_ID],0))="",0,INDEX(BaleMover[Miles],MATCH(SecondaryTransport[[#This Row],[Scenario_MRF_Bale_ID]],BaleMover[Scenario_MRF_Bale_ID],0)))</f>
        <v>0</v>
      </c>
      <c r="AN174" s="251">
        <f>IF(SecondaryTransport[[#This Row],[Bale_ID]]="9000-01","costs elsewhere",SecondaryTransport[[#This Row],[Total_Baled_tons]]*SecondaryTransport[[#This Row],[Miles]])</f>
        <v>0</v>
      </c>
      <c r="AO174" s="352" t="str">
        <f>IF(LEFT(SecondaryTransport[[#This Row],[Bale_ID]],1)*1=5,IF(OR(SecondaryTransport[[#This Row],[MRF_ID]]="02",SecondaryTransport[[#This Row],[MRF_ID]]="08"),2,1),"")</f>
        <v/>
      </c>
      <c r="AP1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4" s="224" t="str">
        <f>IFERROR(IF(1*LEFT(SecondaryTransport[[#This Row],[Bale_ID]],1)=5,SecondaryTransport[[#This Row],[Ton-Miles]]*SecondaryTransport[[#This Row],[Cost_Per_Ton-Mile]],""),"")</f>
        <v/>
      </c>
      <c r="AS174" s="224" t="str">
        <f>IFERROR(IF(SecondaryTransport[[#This Row],[Container_Transfer]]="",(SecondaryTransport[[#This Row],[Ton-Miles]]*SecondaryTransport[[#This Row],[Cost_Per_Ton-Mile]]),""),"")</f>
        <v/>
      </c>
    </row>
    <row r="175" spans="3:45" ht="15" x14ac:dyDescent="0.25">
      <c r="C175"/>
      <c r="D175"/>
      <c r="L175" s="446" t="s">
        <v>874</v>
      </c>
      <c r="M175" s="446">
        <v>1</v>
      </c>
      <c r="N175" s="446">
        <v>1</v>
      </c>
      <c r="O175" s="446" t="s">
        <v>706</v>
      </c>
      <c r="P175" s="449" t="s">
        <v>700</v>
      </c>
      <c r="Q175" s="449"/>
      <c r="R175" s="449"/>
      <c r="S175" s="449" t="s">
        <v>707</v>
      </c>
      <c r="T175" s="449" t="s">
        <v>701</v>
      </c>
      <c r="U175" s="452">
        <v>21172.973465126317</v>
      </c>
      <c r="V1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5" s="272">
        <f>IFERROR(SUMIFS(TransUnitCost[Miles],TransUnitCost[Grouping_ID],TransTonsShort[[#This Row],[Grouping_ID]],TransUnitCost[Transp_ID],TransTonsShort[[#This Row],[Transp_ID]])*TransTonsShort[[#This Row],[Trans_Tons_All]]/TransTonsShort[[#This Row],[Trans_Tons_All]],"")</f>
        <v>0</v>
      </c>
      <c r="X175" s="386" t="str">
        <f>TransTonsShort[[#This Row],[Grouping_ID]]&amp;"-"&amp;TransTonsShort[[#This Row],[Sector_ID]]</f>
        <v>1-1</v>
      </c>
      <c r="Y1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5" s="421">
        <f>INDEX(LandfillFees[Disposal Tip Fee 2025],MATCH(TransTonsShort[[#This Row],[Grouping_ID]],LandfillFees[Grouping_ID],0))</f>
        <v>134.68</v>
      </c>
      <c r="AA175" s="102">
        <f>IF(OR(TransTonsShort[[#This Row],[CollectionStream_ID]]="03",TransTonsShort[[#This Row],[CollectionStream_ID]]="04",TransTonsShort[[#This Row],[CollectionStream_ID]]="13"),0,TransTonsShort[[#This Row],[Trans_Tons_All]]*TransTonsShort[[#This Row],[Disposal_Fee]])</f>
        <v>2851576.0662832125</v>
      </c>
      <c r="AF175" s="446" t="s">
        <v>1348</v>
      </c>
      <c r="AG175" s="442" t="str">
        <f>LEFT(SecondaryTransport[[#This Row],[Scenario_MRF_Bale_ID]],2)</f>
        <v>S0</v>
      </c>
      <c r="AH175" s="181" t="str">
        <f>LEFT(RIGHT(SecondaryTransport[[#This Row],[Scenario_MRF_Bale_ID]],10),2)</f>
        <v>03</v>
      </c>
      <c r="AI175" s="181" t="str">
        <f>INDEX(MRFs[MRF_Name],MATCH(SecondaryTransport[[#This Row],[MRF_ID]],MRFs[MRF_ID],0))</f>
        <v>5 MRFs for SS with fiber upgrades (Portland)</v>
      </c>
      <c r="AJ175" s="181" t="str">
        <f>RIGHT(SecondaryTransport[[#This Row],[Scenario_MRF_Bale_ID]],7)</f>
        <v>2000-09</v>
      </c>
      <c r="AK175" s="181" t="str">
        <f>INDEX(Bales[Bale_Name],MATCH(SecondaryTransport[[#This Row],[Bale_ID]],Bales[Bale_ID],0))</f>
        <v>PE retail mix film</v>
      </c>
      <c r="AL175" s="443">
        <f>INDEX(BaleMover[Total_Baled_tons],MATCH(SecondaryTransport[[#This Row],[Scenario_MRF_Bale_ID]],BaleMover[Scenario_MRF_Bale_ID],0))</f>
        <v>0</v>
      </c>
      <c r="AM175" s="443">
        <f>IF(INDEX(BaleMover[Miles],MATCH(SecondaryTransport[[#This Row],[Scenario_MRF_Bale_ID]],BaleMover[Scenario_MRF_Bale_ID],0))="",0,INDEX(BaleMover[Miles],MATCH(SecondaryTransport[[#This Row],[Scenario_MRF_Bale_ID]],BaleMover[Scenario_MRF_Bale_ID],0)))</f>
        <v>0</v>
      </c>
      <c r="AN175" s="251">
        <f>IF(SecondaryTransport[[#This Row],[Bale_ID]]="9000-01","costs elsewhere",SecondaryTransport[[#This Row],[Total_Baled_tons]]*SecondaryTransport[[#This Row],[Miles]])</f>
        <v>0</v>
      </c>
      <c r="AO175" s="352" t="str">
        <f>IF(LEFT(SecondaryTransport[[#This Row],[Bale_ID]],1)*1=5,IF(OR(SecondaryTransport[[#This Row],[MRF_ID]]="02",SecondaryTransport[[#This Row],[MRF_ID]]="08"),2,1),"")</f>
        <v/>
      </c>
      <c r="AP1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5" s="224" t="str">
        <f>IFERROR(IF(1*LEFT(SecondaryTransport[[#This Row],[Bale_ID]],1)=5,SecondaryTransport[[#This Row],[Ton-Miles]]*SecondaryTransport[[#This Row],[Cost_Per_Ton-Mile]],""),"")</f>
        <v/>
      </c>
      <c r="AS175" s="224" t="str">
        <f>IFERROR(IF(SecondaryTransport[[#This Row],[Container_Transfer]]="",(SecondaryTransport[[#This Row],[Ton-Miles]]*SecondaryTransport[[#This Row],[Cost_Per_Ton-Mile]]),""),"")</f>
        <v/>
      </c>
    </row>
    <row r="176" spans="3:45" ht="15" x14ac:dyDescent="0.25">
      <c r="C176"/>
      <c r="D176"/>
      <c r="L176" s="446" t="s">
        <v>874</v>
      </c>
      <c r="M176" s="446">
        <v>2</v>
      </c>
      <c r="N176" s="446">
        <v>1</v>
      </c>
      <c r="O176" s="446" t="s">
        <v>706</v>
      </c>
      <c r="P176" s="449" t="s">
        <v>700</v>
      </c>
      <c r="Q176" s="449"/>
      <c r="R176" s="449"/>
      <c r="S176" s="449" t="s">
        <v>707</v>
      </c>
      <c r="T176" s="449" t="s">
        <v>701</v>
      </c>
      <c r="U176" s="452">
        <v>0</v>
      </c>
      <c r="V1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6" s="272" t="str">
        <f>IFERROR(SUMIFS(TransUnitCost[Miles],TransUnitCost[Grouping_ID],TransTonsShort[[#This Row],[Grouping_ID]],TransUnitCost[Transp_ID],TransTonsShort[[#This Row],[Transp_ID]])*TransTonsShort[[#This Row],[Trans_Tons_All]]/TransTonsShort[[#This Row],[Trans_Tons_All]],"")</f>
        <v/>
      </c>
      <c r="X176" s="386" t="str">
        <f>TransTonsShort[[#This Row],[Grouping_ID]]&amp;"-"&amp;TransTonsShort[[#This Row],[Sector_ID]]</f>
        <v>2-1</v>
      </c>
      <c r="Y1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6" s="421">
        <f>INDEX(LandfillFees[Disposal Tip Fee 2025],MATCH(TransTonsShort[[#This Row],[Grouping_ID]],LandfillFees[Grouping_ID],0))</f>
        <v>72.030938699729589</v>
      </c>
      <c r="AA176" s="102">
        <f>IF(OR(TransTonsShort[[#This Row],[CollectionStream_ID]]="03",TransTonsShort[[#This Row],[CollectionStream_ID]]="04",TransTonsShort[[#This Row],[CollectionStream_ID]]="13"),0,TransTonsShort[[#This Row],[Trans_Tons_All]]*TransTonsShort[[#This Row],[Disposal_Fee]])</f>
        <v>0</v>
      </c>
      <c r="AF176" s="446" t="s">
        <v>1349</v>
      </c>
      <c r="AG176" s="442" t="str">
        <f>LEFT(SecondaryTransport[[#This Row],[Scenario_MRF_Bale_ID]],2)</f>
        <v>S1</v>
      </c>
      <c r="AH176" s="181" t="str">
        <f>LEFT(RIGHT(SecondaryTransport[[#This Row],[Scenario_MRF_Bale_ID]],10),2)</f>
        <v>03</v>
      </c>
      <c r="AI176" s="181" t="str">
        <f>INDEX(MRFs[MRF_Name],MATCH(SecondaryTransport[[#This Row],[MRF_ID]],MRFs[MRF_ID],0))</f>
        <v>5 MRFs for SS with fiber upgrades (Portland)</v>
      </c>
      <c r="AJ176" s="181" t="str">
        <f>RIGHT(SecondaryTransport[[#This Row],[Scenario_MRF_Bale_ID]],7)</f>
        <v>2000-09</v>
      </c>
      <c r="AK176" s="181" t="str">
        <f>INDEX(Bales[Bale_Name],MATCH(SecondaryTransport[[#This Row],[Bale_ID]],Bales[Bale_ID],0))</f>
        <v>PE retail mix film</v>
      </c>
      <c r="AL176" s="443">
        <f>INDEX(BaleMover[Total_Baled_tons],MATCH(SecondaryTransport[[#This Row],[Scenario_MRF_Bale_ID]],BaleMover[Scenario_MRF_Bale_ID],0))</f>
        <v>0</v>
      </c>
      <c r="AM176" s="443">
        <f>IF(INDEX(BaleMover[Miles],MATCH(SecondaryTransport[[#This Row],[Scenario_MRF_Bale_ID]],BaleMover[Scenario_MRF_Bale_ID],0))="",0,INDEX(BaleMover[Miles],MATCH(SecondaryTransport[[#This Row],[Scenario_MRF_Bale_ID]],BaleMover[Scenario_MRF_Bale_ID],0)))</f>
        <v>0</v>
      </c>
      <c r="AN176" s="251">
        <f>IF(SecondaryTransport[[#This Row],[Bale_ID]]="9000-01","costs elsewhere",SecondaryTransport[[#This Row],[Total_Baled_tons]]*SecondaryTransport[[#This Row],[Miles]])</f>
        <v>0</v>
      </c>
      <c r="AO176" s="352" t="str">
        <f>IF(LEFT(SecondaryTransport[[#This Row],[Bale_ID]],1)*1=5,IF(OR(SecondaryTransport[[#This Row],[MRF_ID]]="02",SecondaryTransport[[#This Row],[MRF_ID]]="08"),2,1),"")</f>
        <v/>
      </c>
      <c r="AP1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6" s="224" t="str">
        <f>IFERROR(IF(1*LEFT(SecondaryTransport[[#This Row],[Bale_ID]],1)=5,SecondaryTransport[[#This Row],[Ton-Miles]]*SecondaryTransport[[#This Row],[Cost_Per_Ton-Mile]],""),"")</f>
        <v/>
      </c>
      <c r="AS176" s="224" t="str">
        <f>IFERROR(IF(SecondaryTransport[[#This Row],[Container_Transfer]]="",(SecondaryTransport[[#This Row],[Ton-Miles]]*SecondaryTransport[[#This Row],[Cost_Per_Ton-Mile]]),""),"")</f>
        <v/>
      </c>
    </row>
    <row r="177" spans="3:45" ht="15" x14ac:dyDescent="0.25">
      <c r="C177"/>
      <c r="D177"/>
      <c r="L177" s="446" t="s">
        <v>874</v>
      </c>
      <c r="M177" s="446">
        <v>3</v>
      </c>
      <c r="N177" s="446">
        <v>1</v>
      </c>
      <c r="O177" s="446" t="s">
        <v>706</v>
      </c>
      <c r="P177" s="449" t="s">
        <v>700</v>
      </c>
      <c r="Q177" s="449"/>
      <c r="R177" s="449"/>
      <c r="S177" s="449" t="s">
        <v>707</v>
      </c>
      <c r="T177" s="449" t="s">
        <v>701</v>
      </c>
      <c r="U177" s="452">
        <v>0</v>
      </c>
      <c r="V1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7" s="272" t="str">
        <f>IFERROR(SUMIFS(TransUnitCost[Miles],TransUnitCost[Grouping_ID],TransTonsShort[[#This Row],[Grouping_ID]],TransUnitCost[Transp_ID],TransTonsShort[[#This Row],[Transp_ID]])*TransTonsShort[[#This Row],[Trans_Tons_All]]/TransTonsShort[[#This Row],[Trans_Tons_All]],"")</f>
        <v/>
      </c>
      <c r="X177" s="386" t="str">
        <f>TransTonsShort[[#This Row],[Grouping_ID]]&amp;"-"&amp;TransTonsShort[[#This Row],[Sector_ID]]</f>
        <v>3-1</v>
      </c>
      <c r="Y1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7" s="421">
        <f>INDEX(LandfillFees[Disposal Tip Fee 2025],MATCH(TransTonsShort[[#This Row],[Grouping_ID]],LandfillFees[Grouping_ID],0))</f>
        <v>72.030938699729589</v>
      </c>
      <c r="AA177" s="102">
        <f>IF(OR(TransTonsShort[[#This Row],[CollectionStream_ID]]="03",TransTonsShort[[#This Row],[CollectionStream_ID]]="04",TransTonsShort[[#This Row],[CollectionStream_ID]]="13"),0,TransTonsShort[[#This Row],[Trans_Tons_All]]*TransTonsShort[[#This Row],[Disposal_Fee]])</f>
        <v>0</v>
      </c>
      <c r="AF177" s="446" t="s">
        <v>1350</v>
      </c>
      <c r="AG177" s="442" t="str">
        <f>LEFT(SecondaryTransport[[#This Row],[Scenario_MRF_Bale_ID]],2)</f>
        <v>S2</v>
      </c>
      <c r="AH177" s="181" t="str">
        <f>LEFT(RIGHT(SecondaryTransport[[#This Row],[Scenario_MRF_Bale_ID]],10),2)</f>
        <v>03</v>
      </c>
      <c r="AI177" s="181" t="str">
        <f>INDEX(MRFs[MRF_Name],MATCH(SecondaryTransport[[#This Row],[MRF_ID]],MRFs[MRF_ID],0))</f>
        <v>5 MRFs for SS with fiber upgrades (Portland)</v>
      </c>
      <c r="AJ177" s="181" t="str">
        <f>RIGHT(SecondaryTransport[[#This Row],[Scenario_MRF_Bale_ID]],7)</f>
        <v>2000-09</v>
      </c>
      <c r="AK177" s="181" t="str">
        <f>INDEX(Bales[Bale_Name],MATCH(SecondaryTransport[[#This Row],[Bale_ID]],Bales[Bale_ID],0))</f>
        <v>PE retail mix film</v>
      </c>
      <c r="AL177" s="443">
        <f>INDEX(BaleMover[Total_Baled_tons],MATCH(SecondaryTransport[[#This Row],[Scenario_MRF_Bale_ID]],BaleMover[Scenario_MRF_Bale_ID],0))</f>
        <v>0</v>
      </c>
      <c r="AM177" s="443">
        <f>IF(INDEX(BaleMover[Miles],MATCH(SecondaryTransport[[#This Row],[Scenario_MRF_Bale_ID]],BaleMover[Scenario_MRF_Bale_ID],0))="",0,INDEX(BaleMover[Miles],MATCH(SecondaryTransport[[#This Row],[Scenario_MRF_Bale_ID]],BaleMover[Scenario_MRF_Bale_ID],0)))</f>
        <v>0</v>
      </c>
      <c r="AN177" s="251">
        <f>IF(SecondaryTransport[[#This Row],[Bale_ID]]="9000-01","costs elsewhere",SecondaryTransport[[#This Row],[Total_Baled_tons]]*SecondaryTransport[[#This Row],[Miles]])</f>
        <v>0</v>
      </c>
      <c r="AO177" s="352" t="str">
        <f>IF(LEFT(SecondaryTransport[[#This Row],[Bale_ID]],1)*1=5,IF(OR(SecondaryTransport[[#This Row],[MRF_ID]]="02",SecondaryTransport[[#This Row],[MRF_ID]]="08"),2,1),"")</f>
        <v/>
      </c>
      <c r="AP1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7" s="224" t="str">
        <f>IFERROR(IF(1*LEFT(SecondaryTransport[[#This Row],[Bale_ID]],1)=5,SecondaryTransport[[#This Row],[Ton-Miles]]*SecondaryTransport[[#This Row],[Cost_Per_Ton-Mile]],""),"")</f>
        <v/>
      </c>
      <c r="AS177" s="224" t="str">
        <f>IFERROR(IF(SecondaryTransport[[#This Row],[Container_Transfer]]="",(SecondaryTransport[[#This Row],[Ton-Miles]]*SecondaryTransport[[#This Row],[Cost_Per_Ton-Mile]]),""),"")</f>
        <v/>
      </c>
    </row>
    <row r="178" spans="3:45" ht="15" x14ac:dyDescent="0.25">
      <c r="C178"/>
      <c r="D178"/>
      <c r="L178" s="446" t="s">
        <v>874</v>
      </c>
      <c r="M178" s="446">
        <v>4</v>
      </c>
      <c r="N178" s="446">
        <v>1</v>
      </c>
      <c r="O178" s="446" t="s">
        <v>706</v>
      </c>
      <c r="P178" s="449" t="s">
        <v>700</v>
      </c>
      <c r="Q178" s="449"/>
      <c r="R178" s="449"/>
      <c r="S178" s="449" t="s">
        <v>707</v>
      </c>
      <c r="T178" s="449" t="s">
        <v>701</v>
      </c>
      <c r="U178" s="452">
        <v>0</v>
      </c>
      <c r="V1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8" s="272" t="str">
        <f>IFERROR(SUMIFS(TransUnitCost[Miles],TransUnitCost[Grouping_ID],TransTonsShort[[#This Row],[Grouping_ID]],TransUnitCost[Transp_ID],TransTonsShort[[#This Row],[Transp_ID]])*TransTonsShort[[#This Row],[Trans_Tons_All]]/TransTonsShort[[#This Row],[Trans_Tons_All]],"")</f>
        <v/>
      </c>
      <c r="X178" s="386" t="str">
        <f>TransTonsShort[[#This Row],[Grouping_ID]]&amp;"-"&amp;TransTonsShort[[#This Row],[Sector_ID]]</f>
        <v>4-1</v>
      </c>
      <c r="Y1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8" s="421">
        <f>INDEX(LandfillFees[Disposal Tip Fee 2025],MATCH(TransTonsShort[[#This Row],[Grouping_ID]],LandfillFees[Grouping_ID],0))</f>
        <v>72.030938699729589</v>
      </c>
      <c r="AA178" s="102">
        <f>IF(OR(TransTonsShort[[#This Row],[CollectionStream_ID]]="03",TransTonsShort[[#This Row],[CollectionStream_ID]]="04",TransTonsShort[[#This Row],[CollectionStream_ID]]="13"),0,TransTonsShort[[#This Row],[Trans_Tons_All]]*TransTonsShort[[#This Row],[Disposal_Fee]])</f>
        <v>0</v>
      </c>
      <c r="AF178" s="446" t="s">
        <v>1351</v>
      </c>
      <c r="AG178" s="442" t="str">
        <f>LEFT(SecondaryTransport[[#This Row],[Scenario_MRF_Bale_ID]],2)</f>
        <v>S3</v>
      </c>
      <c r="AH178" s="181" t="str">
        <f>LEFT(RIGHT(SecondaryTransport[[#This Row],[Scenario_MRF_Bale_ID]],10),2)</f>
        <v>03</v>
      </c>
      <c r="AI178" s="181" t="str">
        <f>INDEX(MRFs[MRF_Name],MATCH(SecondaryTransport[[#This Row],[MRF_ID]],MRFs[MRF_ID],0))</f>
        <v>5 MRFs for SS with fiber upgrades (Portland)</v>
      </c>
      <c r="AJ178" s="181" t="str">
        <f>RIGHT(SecondaryTransport[[#This Row],[Scenario_MRF_Bale_ID]],7)</f>
        <v>2000-09</v>
      </c>
      <c r="AK178" s="181" t="str">
        <f>INDEX(Bales[Bale_Name],MATCH(SecondaryTransport[[#This Row],[Bale_ID]],Bales[Bale_ID],0))</f>
        <v>PE retail mix film</v>
      </c>
      <c r="AL178" s="443">
        <f>INDEX(BaleMover[Total_Baled_tons],MATCH(SecondaryTransport[[#This Row],[Scenario_MRF_Bale_ID]],BaleMover[Scenario_MRF_Bale_ID],0))</f>
        <v>0</v>
      </c>
      <c r="AM178" s="443">
        <f>IF(INDEX(BaleMover[Miles],MATCH(SecondaryTransport[[#This Row],[Scenario_MRF_Bale_ID]],BaleMover[Scenario_MRF_Bale_ID],0))="",0,INDEX(BaleMover[Miles],MATCH(SecondaryTransport[[#This Row],[Scenario_MRF_Bale_ID]],BaleMover[Scenario_MRF_Bale_ID],0)))</f>
        <v>0</v>
      </c>
      <c r="AN178" s="251">
        <f>IF(SecondaryTransport[[#This Row],[Bale_ID]]="9000-01","costs elsewhere",SecondaryTransport[[#This Row],[Total_Baled_tons]]*SecondaryTransport[[#This Row],[Miles]])</f>
        <v>0</v>
      </c>
      <c r="AO178" s="352" t="str">
        <f>IF(LEFT(SecondaryTransport[[#This Row],[Bale_ID]],1)*1=5,IF(OR(SecondaryTransport[[#This Row],[MRF_ID]]="02",SecondaryTransport[[#This Row],[MRF_ID]]="08"),2,1),"")</f>
        <v/>
      </c>
      <c r="AP1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7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78" s="224" t="str">
        <f>IFERROR(IF(1*LEFT(SecondaryTransport[[#This Row],[Bale_ID]],1)=5,SecondaryTransport[[#This Row],[Ton-Miles]]*SecondaryTransport[[#This Row],[Cost_Per_Ton-Mile]],""),"")</f>
        <v/>
      </c>
      <c r="AS178" s="224" t="str">
        <f>IFERROR(IF(SecondaryTransport[[#This Row],[Container_Transfer]]="",(SecondaryTransport[[#This Row],[Ton-Miles]]*SecondaryTransport[[#This Row],[Cost_Per_Ton-Mile]]),""),"")</f>
        <v/>
      </c>
    </row>
    <row r="179" spans="3:45" ht="15" x14ac:dyDescent="0.25">
      <c r="C179"/>
      <c r="D179"/>
      <c r="L179" s="446" t="s">
        <v>874</v>
      </c>
      <c r="M179" s="446">
        <v>1</v>
      </c>
      <c r="N179" s="446">
        <v>1</v>
      </c>
      <c r="O179" s="446" t="s">
        <v>752</v>
      </c>
      <c r="P179" s="449" t="s">
        <v>719</v>
      </c>
      <c r="Q179" s="449"/>
      <c r="R179" s="449"/>
      <c r="S179" s="449" t="s">
        <v>964</v>
      </c>
      <c r="T179" s="449" t="s">
        <v>1055</v>
      </c>
      <c r="U179" s="452">
        <v>0</v>
      </c>
      <c r="V1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79" s="272" t="str">
        <f>IFERROR(SUMIFS(TransUnitCost[Miles],TransUnitCost[Grouping_ID],TransTonsShort[[#This Row],[Grouping_ID]],TransUnitCost[Transp_ID],TransTonsShort[[#This Row],[Transp_ID]])*TransTonsShort[[#This Row],[Trans_Tons_All]]/TransTonsShort[[#This Row],[Trans_Tons_All]],"")</f>
        <v/>
      </c>
      <c r="X179" s="386" t="str">
        <f>TransTonsShort[[#This Row],[Grouping_ID]]&amp;"-"&amp;TransTonsShort[[#This Row],[Sector_ID]]</f>
        <v>1-1</v>
      </c>
      <c r="Y1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79" s="421">
        <f>INDEX(LandfillFees[Disposal Tip Fee 2025],MATCH(TransTonsShort[[#This Row],[Grouping_ID]],LandfillFees[Grouping_ID],0))</f>
        <v>134.68</v>
      </c>
      <c r="AA179" s="102">
        <f>IF(OR(TransTonsShort[[#This Row],[CollectionStream_ID]]="03",TransTonsShort[[#This Row],[CollectionStream_ID]]="04",TransTonsShort[[#This Row],[CollectionStream_ID]]="13"),0,TransTonsShort[[#This Row],[Trans_Tons_All]]*TransTonsShort[[#This Row],[Disposal_Fee]])</f>
        <v>0</v>
      </c>
      <c r="AF179" s="446" t="s">
        <v>1352</v>
      </c>
      <c r="AG179" s="442" t="str">
        <f>LEFT(SecondaryTransport[[#This Row],[Scenario_MRF_Bale_ID]],2)</f>
        <v>S0</v>
      </c>
      <c r="AH179" s="181" t="str">
        <f>LEFT(RIGHT(SecondaryTransport[[#This Row],[Scenario_MRF_Bale_ID]],10),2)</f>
        <v>03</v>
      </c>
      <c r="AI179" s="181" t="str">
        <f>INDEX(MRFs[MRF_Name],MATCH(SecondaryTransport[[#This Row],[MRF_ID]],MRFs[MRF_ID],0))</f>
        <v>5 MRFs for SS with fiber upgrades (Portland)</v>
      </c>
      <c r="AJ179" s="181" t="str">
        <f>RIGHT(SecondaryTransport[[#This Row],[Scenario_MRF_Bale_ID]],7)</f>
        <v>2000-10</v>
      </c>
      <c r="AK179" s="181" t="str">
        <f>INDEX(Bales[Bale_Name],MATCH(SecondaryTransport[[#This Row],[Bale_ID]],Bales[Bale_ID],0))</f>
        <v>Mixed bulky rigid plastics (mainly PE and PP) </v>
      </c>
      <c r="AL179" s="443">
        <f>INDEX(BaleMover[Total_Baled_tons],MATCH(SecondaryTransport[[#This Row],[Scenario_MRF_Bale_ID]],BaleMover[Scenario_MRF_Bale_ID],0))</f>
        <v>1306.2849200075364</v>
      </c>
      <c r="AM179" s="443">
        <f>IF(INDEX(BaleMover[Miles],MATCH(SecondaryTransport[[#This Row],[Scenario_MRF_Bale_ID]],BaleMover[Scenario_MRF_Bale_ID],0))="",0,INDEX(BaleMover[Miles],MATCH(SecondaryTransport[[#This Row],[Scenario_MRF_Bale_ID]],BaleMover[Scenario_MRF_Bale_ID],0)))</f>
        <v>2630</v>
      </c>
      <c r="AN179" s="251">
        <f>IF(SecondaryTransport[[#This Row],[Bale_ID]]="9000-01","costs elsewhere",SecondaryTransport[[#This Row],[Total_Baled_tons]]*SecondaryTransport[[#This Row],[Miles]])</f>
        <v>3435529.3396198205</v>
      </c>
      <c r="AO179" s="352" t="str">
        <f>IF(LEFT(SecondaryTransport[[#This Row],[Bale_ID]],1)*1=5,IF(OR(SecondaryTransport[[#This Row],[MRF_ID]]="02",SecondaryTransport[[#This Row],[MRF_ID]]="08"),2,1),"")</f>
        <v/>
      </c>
      <c r="AP1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7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79" s="224" t="str">
        <f>IFERROR(IF(1*LEFT(SecondaryTransport[[#This Row],[Bale_ID]],1)=5,SecondaryTransport[[#This Row],[Ton-Miles]]*SecondaryTransport[[#This Row],[Cost_Per_Ton-Mile]],""),"")</f>
        <v/>
      </c>
      <c r="AS179" s="224">
        <f>IFERROR(IF(SecondaryTransport[[#This Row],[Container_Transfer]]="",(SecondaryTransport[[#This Row],[Ton-Miles]]*SecondaryTransport[[#This Row],[Cost_Per_Ton-Mile]]),""),"")</f>
        <v>480974.1075467749</v>
      </c>
    </row>
    <row r="180" spans="3:45" ht="15" x14ac:dyDescent="0.25">
      <c r="C180"/>
      <c r="D180"/>
      <c r="L180" s="446" t="s">
        <v>874</v>
      </c>
      <c r="M180" s="446">
        <v>2</v>
      </c>
      <c r="N180" s="446">
        <v>1</v>
      </c>
      <c r="O180" s="446" t="s">
        <v>752</v>
      </c>
      <c r="P180" s="449" t="s">
        <v>719</v>
      </c>
      <c r="Q180" s="449"/>
      <c r="R180" s="449"/>
      <c r="S180" s="449" t="s">
        <v>964</v>
      </c>
      <c r="T180" s="449" t="s">
        <v>1055</v>
      </c>
      <c r="U180" s="452">
        <v>0</v>
      </c>
      <c r="V1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0" s="272" t="str">
        <f>IFERROR(SUMIFS(TransUnitCost[Miles],TransUnitCost[Grouping_ID],TransTonsShort[[#This Row],[Grouping_ID]],TransUnitCost[Transp_ID],TransTonsShort[[#This Row],[Transp_ID]])*TransTonsShort[[#This Row],[Trans_Tons_All]]/TransTonsShort[[#This Row],[Trans_Tons_All]],"")</f>
        <v/>
      </c>
      <c r="X180" s="386" t="str">
        <f>TransTonsShort[[#This Row],[Grouping_ID]]&amp;"-"&amp;TransTonsShort[[#This Row],[Sector_ID]]</f>
        <v>2-1</v>
      </c>
      <c r="Y1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0" s="421">
        <f>INDEX(LandfillFees[Disposal Tip Fee 2025],MATCH(TransTonsShort[[#This Row],[Grouping_ID]],LandfillFees[Grouping_ID],0))</f>
        <v>72.030938699729589</v>
      </c>
      <c r="AA180" s="102">
        <f>IF(OR(TransTonsShort[[#This Row],[CollectionStream_ID]]="03",TransTonsShort[[#This Row],[CollectionStream_ID]]="04",TransTonsShort[[#This Row],[CollectionStream_ID]]="13"),0,TransTonsShort[[#This Row],[Trans_Tons_All]]*TransTonsShort[[#This Row],[Disposal_Fee]])</f>
        <v>0</v>
      </c>
      <c r="AF180" s="446" t="s">
        <v>1353</v>
      </c>
      <c r="AG180" s="442" t="str">
        <f>LEFT(SecondaryTransport[[#This Row],[Scenario_MRF_Bale_ID]],2)</f>
        <v>S1</v>
      </c>
      <c r="AH180" s="181" t="str">
        <f>LEFT(RIGHT(SecondaryTransport[[#This Row],[Scenario_MRF_Bale_ID]],10),2)</f>
        <v>03</v>
      </c>
      <c r="AI180" s="181" t="str">
        <f>INDEX(MRFs[MRF_Name],MATCH(SecondaryTransport[[#This Row],[MRF_ID]],MRFs[MRF_ID],0))</f>
        <v>5 MRFs for SS with fiber upgrades (Portland)</v>
      </c>
      <c r="AJ180" s="181" t="str">
        <f>RIGHT(SecondaryTransport[[#This Row],[Scenario_MRF_Bale_ID]],7)</f>
        <v>2000-10</v>
      </c>
      <c r="AK180" s="181" t="str">
        <f>INDEX(Bales[Bale_Name],MATCH(SecondaryTransport[[#This Row],[Bale_ID]],Bales[Bale_ID],0))</f>
        <v>Mixed bulky rigid plastics (mainly PE and PP) </v>
      </c>
      <c r="AL180" s="443">
        <f>INDEX(BaleMover[Total_Baled_tons],MATCH(SecondaryTransport[[#This Row],[Scenario_MRF_Bale_ID]],BaleMover[Scenario_MRF_Bale_ID],0))</f>
        <v>856.65220940150039</v>
      </c>
      <c r="AM180" s="443">
        <f>IF(INDEX(BaleMover[Miles],MATCH(SecondaryTransport[[#This Row],[Scenario_MRF_Bale_ID]],BaleMover[Scenario_MRF_Bale_ID],0))="",0,INDEX(BaleMover[Miles],MATCH(SecondaryTransport[[#This Row],[Scenario_MRF_Bale_ID]],BaleMover[Scenario_MRF_Bale_ID],0)))</f>
        <v>2630</v>
      </c>
      <c r="AN180" s="251">
        <f>IF(SecondaryTransport[[#This Row],[Bale_ID]]="9000-01","costs elsewhere",SecondaryTransport[[#This Row],[Total_Baled_tons]]*SecondaryTransport[[#This Row],[Miles]])</f>
        <v>2252995.310725946</v>
      </c>
      <c r="AO180" s="352" t="str">
        <f>IF(LEFT(SecondaryTransport[[#This Row],[Bale_ID]],1)*1=5,IF(OR(SecondaryTransport[[#This Row],[MRF_ID]]="02",SecondaryTransport[[#This Row],[MRF_ID]]="08"),2,1),"")</f>
        <v/>
      </c>
      <c r="AP1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8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80" s="224" t="str">
        <f>IFERROR(IF(1*LEFT(SecondaryTransport[[#This Row],[Bale_ID]],1)=5,SecondaryTransport[[#This Row],[Ton-Miles]]*SecondaryTransport[[#This Row],[Cost_Per_Ton-Mile]],""),"")</f>
        <v/>
      </c>
      <c r="AS180" s="224">
        <f>IFERROR(IF(SecondaryTransport[[#This Row],[Container_Transfer]]="",(SecondaryTransport[[#This Row],[Ton-Miles]]*SecondaryTransport[[#This Row],[Cost_Per_Ton-Mile]]),""),"")</f>
        <v>315419.34350163245</v>
      </c>
    </row>
    <row r="181" spans="3:45" ht="15" x14ac:dyDescent="0.25">
      <c r="C181"/>
      <c r="D181"/>
      <c r="L181" s="446" t="s">
        <v>874</v>
      </c>
      <c r="M181" s="446">
        <v>3</v>
      </c>
      <c r="N181" s="446">
        <v>1</v>
      </c>
      <c r="O181" s="446" t="s">
        <v>752</v>
      </c>
      <c r="P181" s="449" t="s">
        <v>719</v>
      </c>
      <c r="Q181" s="449"/>
      <c r="R181" s="449"/>
      <c r="S181" s="449" t="s">
        <v>964</v>
      </c>
      <c r="T181" s="449" t="s">
        <v>1055</v>
      </c>
      <c r="U181" s="452">
        <v>0</v>
      </c>
      <c r="V1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1" s="272" t="str">
        <f>IFERROR(SUMIFS(TransUnitCost[Miles],TransUnitCost[Grouping_ID],TransTonsShort[[#This Row],[Grouping_ID]],TransUnitCost[Transp_ID],TransTonsShort[[#This Row],[Transp_ID]])*TransTonsShort[[#This Row],[Trans_Tons_All]]/TransTonsShort[[#This Row],[Trans_Tons_All]],"")</f>
        <v/>
      </c>
      <c r="X181" s="386" t="str">
        <f>TransTonsShort[[#This Row],[Grouping_ID]]&amp;"-"&amp;TransTonsShort[[#This Row],[Sector_ID]]</f>
        <v>3-1</v>
      </c>
      <c r="Y1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1" s="421">
        <f>INDEX(LandfillFees[Disposal Tip Fee 2025],MATCH(TransTonsShort[[#This Row],[Grouping_ID]],LandfillFees[Grouping_ID],0))</f>
        <v>72.030938699729589</v>
      </c>
      <c r="AA181" s="102">
        <f>IF(OR(TransTonsShort[[#This Row],[CollectionStream_ID]]="03",TransTonsShort[[#This Row],[CollectionStream_ID]]="04",TransTonsShort[[#This Row],[CollectionStream_ID]]="13"),0,TransTonsShort[[#This Row],[Trans_Tons_All]]*TransTonsShort[[#This Row],[Disposal_Fee]])</f>
        <v>0</v>
      </c>
      <c r="AF181" s="446" t="s">
        <v>1354</v>
      </c>
      <c r="AG181" s="442" t="str">
        <f>LEFT(SecondaryTransport[[#This Row],[Scenario_MRF_Bale_ID]],2)</f>
        <v>S2</v>
      </c>
      <c r="AH181" s="181" t="str">
        <f>LEFT(RIGHT(SecondaryTransport[[#This Row],[Scenario_MRF_Bale_ID]],10),2)</f>
        <v>03</v>
      </c>
      <c r="AI181" s="181" t="str">
        <f>INDEX(MRFs[MRF_Name],MATCH(SecondaryTransport[[#This Row],[MRF_ID]],MRFs[MRF_ID],0))</f>
        <v>5 MRFs for SS with fiber upgrades (Portland)</v>
      </c>
      <c r="AJ181" s="181" t="str">
        <f>RIGHT(SecondaryTransport[[#This Row],[Scenario_MRF_Bale_ID]],7)</f>
        <v>2000-10</v>
      </c>
      <c r="AK181" s="181" t="str">
        <f>INDEX(Bales[Bale_Name],MATCH(SecondaryTransport[[#This Row],[Bale_ID]],Bales[Bale_ID],0))</f>
        <v>Mixed bulky rigid plastics (mainly PE and PP) </v>
      </c>
      <c r="AL181" s="443">
        <f>INDEX(BaleMover[Total_Baled_tons],MATCH(SecondaryTransport[[#This Row],[Scenario_MRF_Bale_ID]],BaleMover[Scenario_MRF_Bale_ID],0))</f>
        <v>5443.4298623514724</v>
      </c>
      <c r="AM181" s="443">
        <f>IF(INDEX(BaleMover[Miles],MATCH(SecondaryTransport[[#This Row],[Scenario_MRF_Bale_ID]],BaleMover[Scenario_MRF_Bale_ID],0))="",0,INDEX(BaleMover[Miles],MATCH(SecondaryTransport[[#This Row],[Scenario_MRF_Bale_ID]],BaleMover[Scenario_MRF_Bale_ID],0)))</f>
        <v>2630</v>
      </c>
      <c r="AN181" s="251">
        <f>IF(SecondaryTransport[[#This Row],[Bale_ID]]="9000-01","costs elsewhere",SecondaryTransport[[#This Row],[Total_Baled_tons]]*SecondaryTransport[[#This Row],[Miles]])</f>
        <v>14316220.537984373</v>
      </c>
      <c r="AO181" s="352" t="str">
        <f>IF(LEFT(SecondaryTransport[[#This Row],[Bale_ID]],1)*1=5,IF(OR(SecondaryTransport[[#This Row],[MRF_ID]]="02",SecondaryTransport[[#This Row],[MRF_ID]]="08"),2,1),"")</f>
        <v/>
      </c>
      <c r="AP1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8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81" s="224" t="str">
        <f>IFERROR(IF(1*LEFT(SecondaryTransport[[#This Row],[Bale_ID]],1)=5,SecondaryTransport[[#This Row],[Ton-Miles]]*SecondaryTransport[[#This Row],[Cost_Per_Ton-Mile]],""),"")</f>
        <v/>
      </c>
      <c r="AS181" s="224">
        <f>IFERROR(IF(SecondaryTransport[[#This Row],[Container_Transfer]]="",(SecondaryTransport[[#This Row],[Ton-Miles]]*SecondaryTransport[[#This Row],[Cost_Per_Ton-Mile]]),""),"")</f>
        <v>2004270.8753178124</v>
      </c>
    </row>
    <row r="182" spans="3:45" ht="15" x14ac:dyDescent="0.25">
      <c r="C182"/>
      <c r="D182"/>
      <c r="L182" s="446" t="s">
        <v>874</v>
      </c>
      <c r="M182" s="446">
        <v>4</v>
      </c>
      <c r="N182" s="446">
        <v>1</v>
      </c>
      <c r="O182" s="446" t="s">
        <v>752</v>
      </c>
      <c r="P182" s="449" t="s">
        <v>719</v>
      </c>
      <c r="Q182" s="449"/>
      <c r="R182" s="449"/>
      <c r="S182" s="449" t="s">
        <v>964</v>
      </c>
      <c r="T182" s="449" t="s">
        <v>1055</v>
      </c>
      <c r="U182" s="452">
        <v>0</v>
      </c>
      <c r="V1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2" s="272" t="str">
        <f>IFERROR(SUMIFS(TransUnitCost[Miles],TransUnitCost[Grouping_ID],TransTonsShort[[#This Row],[Grouping_ID]],TransUnitCost[Transp_ID],TransTonsShort[[#This Row],[Transp_ID]])*TransTonsShort[[#This Row],[Trans_Tons_All]]/TransTonsShort[[#This Row],[Trans_Tons_All]],"")</f>
        <v/>
      </c>
      <c r="X182" s="386" t="str">
        <f>TransTonsShort[[#This Row],[Grouping_ID]]&amp;"-"&amp;TransTonsShort[[#This Row],[Sector_ID]]</f>
        <v>4-1</v>
      </c>
      <c r="Y1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2" s="421">
        <f>INDEX(LandfillFees[Disposal Tip Fee 2025],MATCH(TransTonsShort[[#This Row],[Grouping_ID]],LandfillFees[Grouping_ID],0))</f>
        <v>72.030938699729589</v>
      </c>
      <c r="AA182" s="102">
        <f>IF(OR(TransTonsShort[[#This Row],[CollectionStream_ID]]="03",TransTonsShort[[#This Row],[CollectionStream_ID]]="04",TransTonsShort[[#This Row],[CollectionStream_ID]]="13"),0,TransTonsShort[[#This Row],[Trans_Tons_All]]*TransTonsShort[[#This Row],[Disposal_Fee]])</f>
        <v>0</v>
      </c>
      <c r="AF182" s="446" t="s">
        <v>1355</v>
      </c>
      <c r="AG182" s="442" t="str">
        <f>LEFT(SecondaryTransport[[#This Row],[Scenario_MRF_Bale_ID]],2)</f>
        <v>S3</v>
      </c>
      <c r="AH182" s="181" t="str">
        <f>LEFT(RIGHT(SecondaryTransport[[#This Row],[Scenario_MRF_Bale_ID]],10),2)</f>
        <v>03</v>
      </c>
      <c r="AI182" s="181" t="str">
        <f>INDEX(MRFs[MRF_Name],MATCH(SecondaryTransport[[#This Row],[MRF_ID]],MRFs[MRF_ID],0))</f>
        <v>5 MRFs for SS with fiber upgrades (Portland)</v>
      </c>
      <c r="AJ182" s="181" t="str">
        <f>RIGHT(SecondaryTransport[[#This Row],[Scenario_MRF_Bale_ID]],7)</f>
        <v>2000-10</v>
      </c>
      <c r="AK182" s="181" t="str">
        <f>INDEX(Bales[Bale_Name],MATCH(SecondaryTransport[[#This Row],[Bale_ID]],Bales[Bale_ID],0))</f>
        <v>Mixed bulky rigid plastics (mainly PE and PP) </v>
      </c>
      <c r="AL182" s="443">
        <f>INDEX(BaleMover[Total_Baled_tons],MATCH(SecondaryTransport[[#This Row],[Scenario_MRF_Bale_ID]],BaleMover[Scenario_MRF_Bale_ID],0))</f>
        <v>5444.2745042400138</v>
      </c>
      <c r="AM182" s="443">
        <f>IF(INDEX(BaleMover[Miles],MATCH(SecondaryTransport[[#This Row],[Scenario_MRF_Bale_ID]],BaleMover[Scenario_MRF_Bale_ID],0))="",0,INDEX(BaleMover[Miles],MATCH(SecondaryTransport[[#This Row],[Scenario_MRF_Bale_ID]],BaleMover[Scenario_MRF_Bale_ID],0)))</f>
        <v>2630</v>
      </c>
      <c r="AN182" s="251">
        <f>IF(SecondaryTransport[[#This Row],[Bale_ID]]="9000-01","costs elsewhere",SecondaryTransport[[#This Row],[Total_Baled_tons]]*SecondaryTransport[[#This Row],[Miles]])</f>
        <v>14318441.946151236</v>
      </c>
      <c r="AO182" s="352" t="str">
        <f>IF(LEFT(SecondaryTransport[[#This Row],[Bale_ID]],1)*1=5,IF(OR(SecondaryTransport[[#This Row],[MRF_ID]]="02",SecondaryTransport[[#This Row],[MRF_ID]]="08"),2,1),"")</f>
        <v/>
      </c>
      <c r="AP1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18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182" s="224" t="str">
        <f>IFERROR(IF(1*LEFT(SecondaryTransport[[#This Row],[Bale_ID]],1)=5,SecondaryTransport[[#This Row],[Ton-Miles]]*SecondaryTransport[[#This Row],[Cost_Per_Ton-Mile]],""),"")</f>
        <v/>
      </c>
      <c r="AS182" s="224">
        <f>IFERROR(IF(SecondaryTransport[[#This Row],[Container_Transfer]]="",(SecondaryTransport[[#This Row],[Ton-Miles]]*SecondaryTransport[[#This Row],[Cost_Per_Ton-Mile]]),""),"")</f>
        <v>2004581.8724611732</v>
      </c>
    </row>
    <row r="183" spans="3:45" ht="15" x14ac:dyDescent="0.25">
      <c r="C183"/>
      <c r="D183"/>
      <c r="L183" s="446" t="s">
        <v>874</v>
      </c>
      <c r="M183" s="446">
        <v>1</v>
      </c>
      <c r="N183" s="446">
        <v>1</v>
      </c>
      <c r="O183" s="446" t="s">
        <v>752</v>
      </c>
      <c r="P183" s="449" t="s">
        <v>700</v>
      </c>
      <c r="Q183" s="449"/>
      <c r="R183" s="449"/>
      <c r="S183" s="449" t="s">
        <v>964</v>
      </c>
      <c r="T183" s="449" t="s">
        <v>701</v>
      </c>
      <c r="U183" s="452">
        <v>0</v>
      </c>
      <c r="V1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3" s="272" t="str">
        <f>IFERROR(SUMIFS(TransUnitCost[Miles],TransUnitCost[Grouping_ID],TransTonsShort[[#This Row],[Grouping_ID]],TransUnitCost[Transp_ID],TransTonsShort[[#This Row],[Transp_ID]])*TransTonsShort[[#This Row],[Trans_Tons_All]]/TransTonsShort[[#This Row],[Trans_Tons_All]],"")</f>
        <v/>
      </c>
      <c r="X183" s="386" t="str">
        <f>TransTonsShort[[#This Row],[Grouping_ID]]&amp;"-"&amp;TransTonsShort[[#This Row],[Sector_ID]]</f>
        <v>1-1</v>
      </c>
      <c r="Y1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3" s="421">
        <f>INDEX(LandfillFees[Disposal Tip Fee 2025],MATCH(TransTonsShort[[#This Row],[Grouping_ID]],LandfillFees[Grouping_ID],0))</f>
        <v>134.68</v>
      </c>
      <c r="AA183" s="102">
        <f>IF(OR(TransTonsShort[[#This Row],[CollectionStream_ID]]="03",TransTonsShort[[#This Row],[CollectionStream_ID]]="04",TransTonsShort[[#This Row],[CollectionStream_ID]]="13"),0,TransTonsShort[[#This Row],[Trans_Tons_All]]*TransTonsShort[[#This Row],[Disposal_Fee]])</f>
        <v>0</v>
      </c>
      <c r="AF183" s="446" t="s">
        <v>1356</v>
      </c>
      <c r="AG183" s="442" t="str">
        <f>LEFT(SecondaryTransport[[#This Row],[Scenario_MRF_Bale_ID]],2)</f>
        <v>S0</v>
      </c>
      <c r="AH183" s="181" t="str">
        <f>LEFT(RIGHT(SecondaryTransport[[#This Row],[Scenario_MRF_Bale_ID]],10),2)</f>
        <v>03</v>
      </c>
      <c r="AI183" s="181" t="str">
        <f>INDEX(MRFs[MRF_Name],MATCH(SecondaryTransport[[#This Row],[MRF_ID]],MRFs[MRF_ID],0))</f>
        <v>5 MRFs for SS with fiber upgrades (Portland)</v>
      </c>
      <c r="AJ183" s="181" t="str">
        <f>RIGHT(SecondaryTransport[[#This Row],[Scenario_MRF_Bale_ID]],7)</f>
        <v>2000-11</v>
      </c>
      <c r="AK183" s="181" t="str">
        <f>INDEX(Bales[Bale_Name],MATCH(SecondaryTransport[[#This Row],[Bale_ID]],Bales[Bale_ID],0))</f>
        <v>PP #5 bottles and jars</v>
      </c>
      <c r="AL183" s="443">
        <f>INDEX(BaleMover[Total_Baled_tons],MATCH(SecondaryTransport[[#This Row],[Scenario_MRF_Bale_ID]],BaleMover[Scenario_MRF_Bale_ID],0))</f>
        <v>0</v>
      </c>
      <c r="AM183" s="443">
        <f>IF(INDEX(BaleMover[Miles],MATCH(SecondaryTransport[[#This Row],[Scenario_MRF_Bale_ID]],BaleMover[Scenario_MRF_Bale_ID],0))="",0,INDEX(BaleMover[Miles],MATCH(SecondaryTransport[[#This Row],[Scenario_MRF_Bale_ID]],BaleMover[Scenario_MRF_Bale_ID],0)))</f>
        <v>0</v>
      </c>
      <c r="AN183" s="251">
        <f>IF(SecondaryTransport[[#This Row],[Bale_ID]]="9000-01","costs elsewhere",SecondaryTransport[[#This Row],[Total_Baled_tons]]*SecondaryTransport[[#This Row],[Miles]])</f>
        <v>0</v>
      </c>
      <c r="AO183" s="352" t="str">
        <f>IF(LEFT(SecondaryTransport[[#This Row],[Bale_ID]],1)*1=5,IF(OR(SecondaryTransport[[#This Row],[MRF_ID]]="02",SecondaryTransport[[#This Row],[MRF_ID]]="08"),2,1),"")</f>
        <v/>
      </c>
      <c r="AP1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8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83" s="224" t="str">
        <f>IFERROR(IF(1*LEFT(SecondaryTransport[[#This Row],[Bale_ID]],1)=5,SecondaryTransport[[#This Row],[Ton-Miles]]*SecondaryTransport[[#This Row],[Cost_Per_Ton-Mile]],""),"")</f>
        <v/>
      </c>
      <c r="AS183" s="224" t="str">
        <f>IFERROR(IF(SecondaryTransport[[#This Row],[Container_Transfer]]="",(SecondaryTransport[[#This Row],[Ton-Miles]]*SecondaryTransport[[#This Row],[Cost_Per_Ton-Mile]]),""),"")</f>
        <v/>
      </c>
    </row>
    <row r="184" spans="3:45" ht="15" x14ac:dyDescent="0.25">
      <c r="C184"/>
      <c r="D184"/>
      <c r="L184" s="446" t="s">
        <v>874</v>
      </c>
      <c r="M184" s="446">
        <v>2</v>
      </c>
      <c r="N184" s="446">
        <v>1</v>
      </c>
      <c r="O184" s="446" t="s">
        <v>752</v>
      </c>
      <c r="P184" s="449" t="s">
        <v>700</v>
      </c>
      <c r="Q184" s="449"/>
      <c r="R184" s="449"/>
      <c r="S184" s="449" t="s">
        <v>964</v>
      </c>
      <c r="T184" s="449" t="s">
        <v>701</v>
      </c>
      <c r="U184" s="452">
        <v>0</v>
      </c>
      <c r="V1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4" s="272" t="str">
        <f>IFERROR(SUMIFS(TransUnitCost[Miles],TransUnitCost[Grouping_ID],TransTonsShort[[#This Row],[Grouping_ID]],TransUnitCost[Transp_ID],TransTonsShort[[#This Row],[Transp_ID]])*TransTonsShort[[#This Row],[Trans_Tons_All]]/TransTonsShort[[#This Row],[Trans_Tons_All]],"")</f>
        <v/>
      </c>
      <c r="X184" s="386" t="str">
        <f>TransTonsShort[[#This Row],[Grouping_ID]]&amp;"-"&amp;TransTonsShort[[#This Row],[Sector_ID]]</f>
        <v>2-1</v>
      </c>
      <c r="Y1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4" s="421">
        <f>INDEX(LandfillFees[Disposal Tip Fee 2025],MATCH(TransTonsShort[[#This Row],[Grouping_ID]],LandfillFees[Grouping_ID],0))</f>
        <v>72.030938699729589</v>
      </c>
      <c r="AA184" s="102">
        <f>IF(OR(TransTonsShort[[#This Row],[CollectionStream_ID]]="03",TransTonsShort[[#This Row],[CollectionStream_ID]]="04",TransTonsShort[[#This Row],[CollectionStream_ID]]="13"),0,TransTonsShort[[#This Row],[Trans_Tons_All]]*TransTonsShort[[#This Row],[Disposal_Fee]])</f>
        <v>0</v>
      </c>
      <c r="AF184" s="446" t="s">
        <v>1357</v>
      </c>
      <c r="AG184" s="442" t="str">
        <f>LEFT(SecondaryTransport[[#This Row],[Scenario_MRF_Bale_ID]],2)</f>
        <v>S1</v>
      </c>
      <c r="AH184" s="181" t="str">
        <f>LEFT(RIGHT(SecondaryTransport[[#This Row],[Scenario_MRF_Bale_ID]],10),2)</f>
        <v>03</v>
      </c>
      <c r="AI184" s="181" t="str">
        <f>INDEX(MRFs[MRF_Name],MATCH(SecondaryTransport[[#This Row],[MRF_ID]],MRFs[MRF_ID],0))</f>
        <v>5 MRFs for SS with fiber upgrades (Portland)</v>
      </c>
      <c r="AJ184" s="181" t="str">
        <f>RIGHT(SecondaryTransport[[#This Row],[Scenario_MRF_Bale_ID]],7)</f>
        <v>2000-11</v>
      </c>
      <c r="AK184" s="181" t="str">
        <f>INDEX(Bales[Bale_Name],MATCH(SecondaryTransport[[#This Row],[Bale_ID]],Bales[Bale_ID],0))</f>
        <v>PP #5 bottles and jars</v>
      </c>
      <c r="AL184" s="443">
        <f>INDEX(BaleMover[Total_Baled_tons],MATCH(SecondaryTransport[[#This Row],[Scenario_MRF_Bale_ID]],BaleMover[Scenario_MRF_Bale_ID],0))</f>
        <v>0</v>
      </c>
      <c r="AM184" s="443">
        <f>IF(INDEX(BaleMover[Miles],MATCH(SecondaryTransport[[#This Row],[Scenario_MRF_Bale_ID]],BaleMover[Scenario_MRF_Bale_ID],0))="",0,INDEX(BaleMover[Miles],MATCH(SecondaryTransport[[#This Row],[Scenario_MRF_Bale_ID]],BaleMover[Scenario_MRF_Bale_ID],0)))</f>
        <v>0</v>
      </c>
      <c r="AN184" s="251">
        <f>IF(SecondaryTransport[[#This Row],[Bale_ID]]="9000-01","costs elsewhere",SecondaryTransport[[#This Row],[Total_Baled_tons]]*SecondaryTransport[[#This Row],[Miles]])</f>
        <v>0</v>
      </c>
      <c r="AO184" s="352" t="str">
        <f>IF(LEFT(SecondaryTransport[[#This Row],[Bale_ID]],1)*1=5,IF(OR(SecondaryTransport[[#This Row],[MRF_ID]]="02",SecondaryTransport[[#This Row],[MRF_ID]]="08"),2,1),"")</f>
        <v/>
      </c>
      <c r="AP1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8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84" s="224" t="str">
        <f>IFERROR(IF(1*LEFT(SecondaryTransport[[#This Row],[Bale_ID]],1)=5,SecondaryTransport[[#This Row],[Ton-Miles]]*SecondaryTransport[[#This Row],[Cost_Per_Ton-Mile]],""),"")</f>
        <v/>
      </c>
      <c r="AS184" s="224" t="str">
        <f>IFERROR(IF(SecondaryTransport[[#This Row],[Container_Transfer]]="",(SecondaryTransport[[#This Row],[Ton-Miles]]*SecondaryTransport[[#This Row],[Cost_Per_Ton-Mile]]),""),"")</f>
        <v/>
      </c>
    </row>
    <row r="185" spans="3:45" ht="15" x14ac:dyDescent="0.25">
      <c r="C185"/>
      <c r="D185"/>
      <c r="L185" s="446" t="s">
        <v>874</v>
      </c>
      <c r="M185" s="446">
        <v>3</v>
      </c>
      <c r="N185" s="446">
        <v>1</v>
      </c>
      <c r="O185" s="446" t="s">
        <v>752</v>
      </c>
      <c r="P185" s="449" t="s">
        <v>700</v>
      </c>
      <c r="Q185" s="449"/>
      <c r="R185" s="449"/>
      <c r="S185" s="449" t="s">
        <v>964</v>
      </c>
      <c r="T185" s="449" t="s">
        <v>701</v>
      </c>
      <c r="U185" s="452">
        <v>0</v>
      </c>
      <c r="V1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5" s="272" t="str">
        <f>IFERROR(SUMIFS(TransUnitCost[Miles],TransUnitCost[Grouping_ID],TransTonsShort[[#This Row],[Grouping_ID]],TransUnitCost[Transp_ID],TransTonsShort[[#This Row],[Transp_ID]])*TransTonsShort[[#This Row],[Trans_Tons_All]]/TransTonsShort[[#This Row],[Trans_Tons_All]],"")</f>
        <v/>
      </c>
      <c r="X185" s="386" t="str">
        <f>TransTonsShort[[#This Row],[Grouping_ID]]&amp;"-"&amp;TransTonsShort[[#This Row],[Sector_ID]]</f>
        <v>3-1</v>
      </c>
      <c r="Y1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5" s="421">
        <f>INDEX(LandfillFees[Disposal Tip Fee 2025],MATCH(TransTonsShort[[#This Row],[Grouping_ID]],LandfillFees[Grouping_ID],0))</f>
        <v>72.030938699729589</v>
      </c>
      <c r="AA185" s="102">
        <f>IF(OR(TransTonsShort[[#This Row],[CollectionStream_ID]]="03",TransTonsShort[[#This Row],[CollectionStream_ID]]="04",TransTonsShort[[#This Row],[CollectionStream_ID]]="13"),0,TransTonsShort[[#This Row],[Trans_Tons_All]]*TransTonsShort[[#This Row],[Disposal_Fee]])</f>
        <v>0</v>
      </c>
      <c r="AF185" s="446" t="s">
        <v>1358</v>
      </c>
      <c r="AG185" s="442" t="str">
        <f>LEFT(SecondaryTransport[[#This Row],[Scenario_MRF_Bale_ID]],2)</f>
        <v>S2</v>
      </c>
      <c r="AH185" s="181" t="str">
        <f>LEFT(RIGHT(SecondaryTransport[[#This Row],[Scenario_MRF_Bale_ID]],10),2)</f>
        <v>03</v>
      </c>
      <c r="AI185" s="181" t="str">
        <f>INDEX(MRFs[MRF_Name],MATCH(SecondaryTransport[[#This Row],[MRF_ID]],MRFs[MRF_ID],0))</f>
        <v>5 MRFs for SS with fiber upgrades (Portland)</v>
      </c>
      <c r="AJ185" s="181" t="str">
        <f>RIGHT(SecondaryTransport[[#This Row],[Scenario_MRF_Bale_ID]],7)</f>
        <v>2000-11</v>
      </c>
      <c r="AK185" s="181" t="str">
        <f>INDEX(Bales[Bale_Name],MATCH(SecondaryTransport[[#This Row],[Bale_ID]],Bales[Bale_ID],0))</f>
        <v>PP #5 bottles and jars</v>
      </c>
      <c r="AL185" s="443">
        <f>INDEX(BaleMover[Total_Baled_tons],MATCH(SecondaryTransport[[#This Row],[Scenario_MRF_Bale_ID]],BaleMover[Scenario_MRF_Bale_ID],0))</f>
        <v>0</v>
      </c>
      <c r="AM185" s="443">
        <f>IF(INDEX(BaleMover[Miles],MATCH(SecondaryTransport[[#This Row],[Scenario_MRF_Bale_ID]],BaleMover[Scenario_MRF_Bale_ID],0))="",0,INDEX(BaleMover[Miles],MATCH(SecondaryTransport[[#This Row],[Scenario_MRF_Bale_ID]],BaleMover[Scenario_MRF_Bale_ID],0)))</f>
        <v>0</v>
      </c>
      <c r="AN185" s="251">
        <f>IF(SecondaryTransport[[#This Row],[Bale_ID]]="9000-01","costs elsewhere",SecondaryTransport[[#This Row],[Total_Baled_tons]]*SecondaryTransport[[#This Row],[Miles]])</f>
        <v>0</v>
      </c>
      <c r="AO185" s="352" t="str">
        <f>IF(LEFT(SecondaryTransport[[#This Row],[Bale_ID]],1)*1=5,IF(OR(SecondaryTransport[[#This Row],[MRF_ID]]="02",SecondaryTransport[[#This Row],[MRF_ID]]="08"),2,1),"")</f>
        <v/>
      </c>
      <c r="AP1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8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85" s="224" t="str">
        <f>IFERROR(IF(1*LEFT(SecondaryTransport[[#This Row],[Bale_ID]],1)=5,SecondaryTransport[[#This Row],[Ton-Miles]]*SecondaryTransport[[#This Row],[Cost_Per_Ton-Mile]],""),"")</f>
        <v/>
      </c>
      <c r="AS185" s="224" t="str">
        <f>IFERROR(IF(SecondaryTransport[[#This Row],[Container_Transfer]]="",(SecondaryTransport[[#This Row],[Ton-Miles]]*SecondaryTransport[[#This Row],[Cost_Per_Ton-Mile]]),""),"")</f>
        <v/>
      </c>
    </row>
    <row r="186" spans="3:45" ht="15" x14ac:dyDescent="0.25">
      <c r="C186"/>
      <c r="D186"/>
      <c r="L186" s="446" t="s">
        <v>874</v>
      </c>
      <c r="M186" s="446">
        <v>4</v>
      </c>
      <c r="N186" s="446">
        <v>1</v>
      </c>
      <c r="O186" s="446" t="s">
        <v>752</v>
      </c>
      <c r="P186" s="449" t="s">
        <v>700</v>
      </c>
      <c r="Q186" s="449"/>
      <c r="R186" s="449"/>
      <c r="S186" s="449" t="s">
        <v>964</v>
      </c>
      <c r="T186" s="449" t="s">
        <v>701</v>
      </c>
      <c r="U186" s="452">
        <v>0</v>
      </c>
      <c r="V1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6" s="272" t="str">
        <f>IFERROR(SUMIFS(TransUnitCost[Miles],TransUnitCost[Grouping_ID],TransTonsShort[[#This Row],[Grouping_ID]],TransUnitCost[Transp_ID],TransTonsShort[[#This Row],[Transp_ID]])*TransTonsShort[[#This Row],[Trans_Tons_All]]/TransTonsShort[[#This Row],[Trans_Tons_All]],"")</f>
        <v/>
      </c>
      <c r="X186" s="386" t="str">
        <f>TransTonsShort[[#This Row],[Grouping_ID]]&amp;"-"&amp;TransTonsShort[[#This Row],[Sector_ID]]</f>
        <v>4-1</v>
      </c>
      <c r="Y1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6" s="421">
        <f>INDEX(LandfillFees[Disposal Tip Fee 2025],MATCH(TransTonsShort[[#This Row],[Grouping_ID]],LandfillFees[Grouping_ID],0))</f>
        <v>72.030938699729589</v>
      </c>
      <c r="AA186" s="102">
        <f>IF(OR(TransTonsShort[[#This Row],[CollectionStream_ID]]="03",TransTonsShort[[#This Row],[CollectionStream_ID]]="04",TransTonsShort[[#This Row],[CollectionStream_ID]]="13"),0,TransTonsShort[[#This Row],[Trans_Tons_All]]*TransTonsShort[[#This Row],[Disposal_Fee]])</f>
        <v>0</v>
      </c>
      <c r="AF186" s="446" t="s">
        <v>1359</v>
      </c>
      <c r="AG186" s="442" t="str">
        <f>LEFT(SecondaryTransport[[#This Row],[Scenario_MRF_Bale_ID]],2)</f>
        <v>S3</v>
      </c>
      <c r="AH186" s="181" t="str">
        <f>LEFT(RIGHT(SecondaryTransport[[#This Row],[Scenario_MRF_Bale_ID]],10),2)</f>
        <v>03</v>
      </c>
      <c r="AI186" s="181" t="str">
        <f>INDEX(MRFs[MRF_Name],MATCH(SecondaryTransport[[#This Row],[MRF_ID]],MRFs[MRF_ID],0))</f>
        <v>5 MRFs for SS with fiber upgrades (Portland)</v>
      </c>
      <c r="AJ186" s="181" t="str">
        <f>RIGHT(SecondaryTransport[[#This Row],[Scenario_MRF_Bale_ID]],7)</f>
        <v>2000-11</v>
      </c>
      <c r="AK186" s="181" t="str">
        <f>INDEX(Bales[Bale_Name],MATCH(SecondaryTransport[[#This Row],[Bale_ID]],Bales[Bale_ID],0))</f>
        <v>PP #5 bottles and jars</v>
      </c>
      <c r="AL186" s="443">
        <f>INDEX(BaleMover[Total_Baled_tons],MATCH(SecondaryTransport[[#This Row],[Scenario_MRF_Bale_ID]],BaleMover[Scenario_MRF_Bale_ID],0))</f>
        <v>0</v>
      </c>
      <c r="AM186" s="443">
        <f>IF(INDEX(BaleMover[Miles],MATCH(SecondaryTransport[[#This Row],[Scenario_MRF_Bale_ID]],BaleMover[Scenario_MRF_Bale_ID],0))="",0,INDEX(BaleMover[Miles],MATCH(SecondaryTransport[[#This Row],[Scenario_MRF_Bale_ID]],BaleMover[Scenario_MRF_Bale_ID],0)))</f>
        <v>0</v>
      </c>
      <c r="AN186" s="251">
        <f>IF(SecondaryTransport[[#This Row],[Bale_ID]]="9000-01","costs elsewhere",SecondaryTransport[[#This Row],[Total_Baled_tons]]*SecondaryTransport[[#This Row],[Miles]])</f>
        <v>0</v>
      </c>
      <c r="AO186" s="352" t="str">
        <f>IF(LEFT(SecondaryTransport[[#This Row],[Bale_ID]],1)*1=5,IF(OR(SecondaryTransport[[#This Row],[MRF_ID]]="02",SecondaryTransport[[#This Row],[MRF_ID]]="08"),2,1),"")</f>
        <v/>
      </c>
      <c r="AP1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8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86" s="224" t="str">
        <f>IFERROR(IF(1*LEFT(SecondaryTransport[[#This Row],[Bale_ID]],1)=5,SecondaryTransport[[#This Row],[Ton-Miles]]*SecondaryTransport[[#This Row],[Cost_Per_Ton-Mile]],""),"")</f>
        <v/>
      </c>
      <c r="AS186" s="224" t="str">
        <f>IFERROR(IF(SecondaryTransport[[#This Row],[Container_Transfer]]="",(SecondaryTransport[[#This Row],[Ton-Miles]]*SecondaryTransport[[#This Row],[Cost_Per_Ton-Mile]]),""),"")</f>
        <v/>
      </c>
    </row>
    <row r="187" spans="3:45" ht="15" x14ac:dyDescent="0.25">
      <c r="C187"/>
      <c r="D187"/>
      <c r="L187" s="446" t="s">
        <v>874</v>
      </c>
      <c r="M187" s="446">
        <v>1</v>
      </c>
      <c r="N187" s="446">
        <v>1</v>
      </c>
      <c r="O187" s="446" t="s">
        <v>752</v>
      </c>
      <c r="P187" s="450" t="s">
        <v>706</v>
      </c>
      <c r="Q187" s="450"/>
      <c r="R187" s="450"/>
      <c r="S187" s="449" t="s">
        <v>964</v>
      </c>
      <c r="T187" s="449" t="s">
        <v>1025</v>
      </c>
      <c r="U187" s="452">
        <v>0</v>
      </c>
      <c r="V1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7" s="272" t="str">
        <f>IFERROR(SUMIFS(TransUnitCost[Miles],TransUnitCost[Grouping_ID],TransTonsShort[[#This Row],[Grouping_ID]],TransUnitCost[Transp_ID],TransTonsShort[[#This Row],[Transp_ID]])*TransTonsShort[[#This Row],[Trans_Tons_All]]/TransTonsShort[[#This Row],[Trans_Tons_All]],"")</f>
        <v/>
      </c>
      <c r="X187" s="386" t="str">
        <f>TransTonsShort[[#This Row],[Grouping_ID]]&amp;"-"&amp;TransTonsShort[[#This Row],[Sector_ID]]</f>
        <v>1-1</v>
      </c>
      <c r="Y1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7" s="421">
        <f>INDEX(LandfillFees[Disposal Tip Fee 2025],MATCH(TransTonsShort[[#This Row],[Grouping_ID]],LandfillFees[Grouping_ID],0))</f>
        <v>134.68</v>
      </c>
      <c r="AA187" s="102">
        <f>IF(OR(TransTonsShort[[#This Row],[CollectionStream_ID]]="03",TransTonsShort[[#This Row],[CollectionStream_ID]]="04",TransTonsShort[[#This Row],[CollectionStream_ID]]="13"),0,TransTonsShort[[#This Row],[Trans_Tons_All]]*TransTonsShort[[#This Row],[Disposal_Fee]])</f>
        <v>0</v>
      </c>
      <c r="AF187" s="446" t="s">
        <v>1360</v>
      </c>
      <c r="AG187" s="442" t="str">
        <f>LEFT(SecondaryTransport[[#This Row],[Scenario_MRF_Bale_ID]],2)</f>
        <v>S0</v>
      </c>
      <c r="AH187" s="181" t="str">
        <f>LEFT(RIGHT(SecondaryTransport[[#This Row],[Scenario_MRF_Bale_ID]],10),2)</f>
        <v>03</v>
      </c>
      <c r="AI187" s="181" t="str">
        <f>INDEX(MRFs[MRF_Name],MATCH(SecondaryTransport[[#This Row],[MRF_ID]],MRFs[MRF_ID],0))</f>
        <v>5 MRFs for SS with fiber upgrades (Portland)</v>
      </c>
      <c r="AJ187" s="181" t="str">
        <f>RIGHT(SecondaryTransport[[#This Row],[Scenario_MRF_Bale_ID]],7)</f>
        <v>2000-13</v>
      </c>
      <c r="AK187" s="181" t="str">
        <f>INDEX(Bales[Bale_Name],MATCH(SecondaryTransport[[#This Row],[Bale_ID]],Bales[Bale_ID],0))</f>
        <v>PP #5 small rigid plastic</v>
      </c>
      <c r="AL187" s="443">
        <f>INDEX(BaleMover[Total_Baled_tons],MATCH(SecondaryTransport[[#This Row],[Scenario_MRF_Bale_ID]],BaleMover[Scenario_MRF_Bale_ID],0))</f>
        <v>24.799942660244739</v>
      </c>
      <c r="AM187" s="443">
        <f>IF(INDEX(BaleMover[Miles],MATCH(SecondaryTransport[[#This Row],[Scenario_MRF_Bale_ID]],BaleMover[Scenario_MRF_Bale_ID],0))="",0,INDEX(BaleMover[Miles],MATCH(SecondaryTransport[[#This Row],[Scenario_MRF_Bale_ID]],BaleMover[Scenario_MRF_Bale_ID],0)))</f>
        <v>20</v>
      </c>
      <c r="AN187" s="251">
        <f>IF(SecondaryTransport[[#This Row],[Bale_ID]]="9000-01","costs elsewhere",SecondaryTransport[[#This Row],[Total_Baled_tons]]*SecondaryTransport[[#This Row],[Miles]])</f>
        <v>495.99885320489477</v>
      </c>
      <c r="AO187" s="352" t="str">
        <f>IF(LEFT(SecondaryTransport[[#This Row],[Bale_ID]],1)*1=5,IF(OR(SecondaryTransport[[#This Row],[MRF_ID]]="02",SecondaryTransport[[#This Row],[MRF_ID]]="08"),2,1),"")</f>
        <v/>
      </c>
      <c r="AP1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8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87" s="224" t="str">
        <f>IFERROR(IF(1*LEFT(SecondaryTransport[[#This Row],[Bale_ID]],1)=5,SecondaryTransport[[#This Row],[Ton-Miles]]*SecondaryTransport[[#This Row],[Cost_Per_Ton-Mile]],""),"")</f>
        <v/>
      </c>
      <c r="AS187" s="224">
        <f>IFERROR(IF(SecondaryTransport[[#This Row],[Container_Transfer]]="",(SecondaryTransport[[#This Row],[Ton-Miles]]*SecondaryTransport[[#This Row],[Cost_Per_Ton-Mile]]),""),"")</f>
        <v>153.75964449351738</v>
      </c>
    </row>
    <row r="188" spans="3:45" ht="15" x14ac:dyDescent="0.25">
      <c r="C188"/>
      <c r="D188"/>
      <c r="L188" s="446" t="s">
        <v>874</v>
      </c>
      <c r="M188" s="446">
        <v>2</v>
      </c>
      <c r="N188" s="446">
        <v>1</v>
      </c>
      <c r="O188" s="446" t="s">
        <v>752</v>
      </c>
      <c r="P188" s="450" t="s">
        <v>706</v>
      </c>
      <c r="Q188" s="450"/>
      <c r="R188" s="450"/>
      <c r="S188" s="449" t="s">
        <v>964</v>
      </c>
      <c r="T188" s="449" t="s">
        <v>1025</v>
      </c>
      <c r="U188" s="452">
        <v>0</v>
      </c>
      <c r="V1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8" s="272" t="str">
        <f>IFERROR(SUMIFS(TransUnitCost[Miles],TransUnitCost[Grouping_ID],TransTonsShort[[#This Row],[Grouping_ID]],TransUnitCost[Transp_ID],TransTonsShort[[#This Row],[Transp_ID]])*TransTonsShort[[#This Row],[Trans_Tons_All]]/TransTonsShort[[#This Row],[Trans_Tons_All]],"")</f>
        <v/>
      </c>
      <c r="X188" s="386" t="str">
        <f>TransTonsShort[[#This Row],[Grouping_ID]]&amp;"-"&amp;TransTonsShort[[#This Row],[Sector_ID]]</f>
        <v>2-1</v>
      </c>
      <c r="Y1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8" s="421">
        <f>INDEX(LandfillFees[Disposal Tip Fee 2025],MATCH(TransTonsShort[[#This Row],[Grouping_ID]],LandfillFees[Grouping_ID],0))</f>
        <v>72.030938699729589</v>
      </c>
      <c r="AA188" s="102">
        <f>IF(OR(TransTonsShort[[#This Row],[CollectionStream_ID]]="03",TransTonsShort[[#This Row],[CollectionStream_ID]]="04",TransTonsShort[[#This Row],[CollectionStream_ID]]="13"),0,TransTonsShort[[#This Row],[Trans_Tons_All]]*TransTonsShort[[#This Row],[Disposal_Fee]])</f>
        <v>0</v>
      </c>
      <c r="AF188" s="446" t="s">
        <v>1361</v>
      </c>
      <c r="AG188" s="442" t="str">
        <f>LEFT(SecondaryTransport[[#This Row],[Scenario_MRF_Bale_ID]],2)</f>
        <v>S1</v>
      </c>
      <c r="AH188" s="181" t="str">
        <f>LEFT(RIGHT(SecondaryTransport[[#This Row],[Scenario_MRF_Bale_ID]],10),2)</f>
        <v>03</v>
      </c>
      <c r="AI188" s="181" t="str">
        <f>INDEX(MRFs[MRF_Name],MATCH(SecondaryTransport[[#This Row],[MRF_ID]],MRFs[MRF_ID],0))</f>
        <v>5 MRFs for SS with fiber upgrades (Portland)</v>
      </c>
      <c r="AJ188" s="181" t="str">
        <f>RIGHT(SecondaryTransport[[#This Row],[Scenario_MRF_Bale_ID]],7)</f>
        <v>2000-13</v>
      </c>
      <c r="AK188" s="181" t="str">
        <f>INDEX(Bales[Bale_Name],MATCH(SecondaryTransport[[#This Row],[Bale_ID]],Bales[Bale_ID],0))</f>
        <v>PP #5 small rigid plastic</v>
      </c>
      <c r="AL188" s="443">
        <f>INDEX(BaleMover[Total_Baled_tons],MATCH(SecondaryTransport[[#This Row],[Scenario_MRF_Bale_ID]],BaleMover[Scenario_MRF_Bale_ID],0))</f>
        <v>13.918811744066472</v>
      </c>
      <c r="AM188" s="443">
        <f>IF(INDEX(BaleMover[Miles],MATCH(SecondaryTransport[[#This Row],[Scenario_MRF_Bale_ID]],BaleMover[Scenario_MRF_Bale_ID],0))="",0,INDEX(BaleMover[Miles],MATCH(SecondaryTransport[[#This Row],[Scenario_MRF_Bale_ID]],BaleMover[Scenario_MRF_Bale_ID],0)))</f>
        <v>20</v>
      </c>
      <c r="AN188" s="251">
        <f>IF(SecondaryTransport[[#This Row],[Bale_ID]]="9000-01","costs elsewhere",SecondaryTransport[[#This Row],[Total_Baled_tons]]*SecondaryTransport[[#This Row],[Miles]])</f>
        <v>278.37623488132942</v>
      </c>
      <c r="AO188" s="352" t="str">
        <f>IF(LEFT(SecondaryTransport[[#This Row],[Bale_ID]],1)*1=5,IF(OR(SecondaryTransport[[#This Row],[MRF_ID]]="02",SecondaryTransport[[#This Row],[MRF_ID]]="08"),2,1),"")</f>
        <v/>
      </c>
      <c r="AP1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18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188" s="224" t="str">
        <f>IFERROR(IF(1*LEFT(SecondaryTransport[[#This Row],[Bale_ID]],1)=5,SecondaryTransport[[#This Row],[Ton-Miles]]*SecondaryTransport[[#This Row],[Cost_Per_Ton-Mile]],""),"")</f>
        <v/>
      </c>
      <c r="AS188" s="224">
        <f>IFERROR(IF(SecondaryTransport[[#This Row],[Container_Transfer]]="",(SecondaryTransport[[#This Row],[Ton-Miles]]*SecondaryTransport[[#This Row],[Cost_Per_Ton-Mile]]),""),"")</f>
        <v>86.296632813212128</v>
      </c>
    </row>
    <row r="189" spans="3:45" ht="15" x14ac:dyDescent="0.25">
      <c r="C189"/>
      <c r="D189"/>
      <c r="L189" s="446" t="s">
        <v>874</v>
      </c>
      <c r="M189" s="446">
        <v>3</v>
      </c>
      <c r="N189" s="446">
        <v>1</v>
      </c>
      <c r="O189" s="446" t="s">
        <v>752</v>
      </c>
      <c r="P189" s="450" t="s">
        <v>706</v>
      </c>
      <c r="Q189" s="450"/>
      <c r="R189" s="450"/>
      <c r="S189" s="449" t="s">
        <v>964</v>
      </c>
      <c r="T189" s="449" t="s">
        <v>1025</v>
      </c>
      <c r="U189" s="452">
        <v>0</v>
      </c>
      <c r="V1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89" s="272" t="str">
        <f>IFERROR(SUMIFS(TransUnitCost[Miles],TransUnitCost[Grouping_ID],TransTonsShort[[#This Row],[Grouping_ID]],TransUnitCost[Transp_ID],TransTonsShort[[#This Row],[Transp_ID]])*TransTonsShort[[#This Row],[Trans_Tons_All]]/TransTonsShort[[#This Row],[Trans_Tons_All]],"")</f>
        <v/>
      </c>
      <c r="X189" s="386" t="str">
        <f>TransTonsShort[[#This Row],[Grouping_ID]]&amp;"-"&amp;TransTonsShort[[#This Row],[Sector_ID]]</f>
        <v>3-1</v>
      </c>
      <c r="Y1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89" s="421">
        <f>INDEX(LandfillFees[Disposal Tip Fee 2025],MATCH(TransTonsShort[[#This Row],[Grouping_ID]],LandfillFees[Grouping_ID],0))</f>
        <v>72.030938699729589</v>
      </c>
      <c r="AA189" s="102">
        <f>IF(OR(TransTonsShort[[#This Row],[CollectionStream_ID]]="03",TransTonsShort[[#This Row],[CollectionStream_ID]]="04",TransTonsShort[[#This Row],[CollectionStream_ID]]="13"),0,TransTonsShort[[#This Row],[Trans_Tons_All]]*TransTonsShort[[#This Row],[Disposal_Fee]])</f>
        <v>0</v>
      </c>
      <c r="AF189" s="446" t="s">
        <v>1362</v>
      </c>
      <c r="AG189" s="442" t="str">
        <f>LEFT(SecondaryTransport[[#This Row],[Scenario_MRF_Bale_ID]],2)</f>
        <v>S2</v>
      </c>
      <c r="AH189" s="181" t="str">
        <f>LEFT(RIGHT(SecondaryTransport[[#This Row],[Scenario_MRF_Bale_ID]],10),2)</f>
        <v>03</v>
      </c>
      <c r="AI189" s="181" t="str">
        <f>INDEX(MRFs[MRF_Name],MATCH(SecondaryTransport[[#This Row],[MRF_ID]],MRFs[MRF_ID],0))</f>
        <v>5 MRFs for SS with fiber upgrades (Portland)</v>
      </c>
      <c r="AJ189" s="181" t="str">
        <f>RIGHT(SecondaryTransport[[#This Row],[Scenario_MRF_Bale_ID]],7)</f>
        <v>2000-13</v>
      </c>
      <c r="AK189" s="181" t="str">
        <f>INDEX(Bales[Bale_Name],MATCH(SecondaryTransport[[#This Row],[Bale_ID]],Bales[Bale_ID],0))</f>
        <v>PP #5 small rigid plastic</v>
      </c>
      <c r="AL189" s="443">
        <f>INDEX(BaleMover[Total_Baled_tons],MATCH(SecondaryTransport[[#This Row],[Scenario_MRF_Bale_ID]],BaleMover[Scenario_MRF_Bale_ID],0))</f>
        <v>0</v>
      </c>
      <c r="AM189" s="443">
        <f>IF(INDEX(BaleMover[Miles],MATCH(SecondaryTransport[[#This Row],[Scenario_MRF_Bale_ID]],BaleMover[Scenario_MRF_Bale_ID],0))="",0,INDEX(BaleMover[Miles],MATCH(SecondaryTransport[[#This Row],[Scenario_MRF_Bale_ID]],BaleMover[Scenario_MRF_Bale_ID],0)))</f>
        <v>0</v>
      </c>
      <c r="AN189" s="251">
        <f>IF(SecondaryTransport[[#This Row],[Bale_ID]]="9000-01","costs elsewhere",SecondaryTransport[[#This Row],[Total_Baled_tons]]*SecondaryTransport[[#This Row],[Miles]])</f>
        <v>0</v>
      </c>
      <c r="AO189" s="352" t="str">
        <f>IF(LEFT(SecondaryTransport[[#This Row],[Bale_ID]],1)*1=5,IF(OR(SecondaryTransport[[#This Row],[MRF_ID]]="02",SecondaryTransport[[#This Row],[MRF_ID]]="08"),2,1),"")</f>
        <v/>
      </c>
      <c r="AP1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8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89" s="224" t="str">
        <f>IFERROR(IF(1*LEFT(SecondaryTransport[[#This Row],[Bale_ID]],1)=5,SecondaryTransport[[#This Row],[Ton-Miles]]*SecondaryTransport[[#This Row],[Cost_Per_Ton-Mile]],""),"")</f>
        <v/>
      </c>
      <c r="AS189" s="224" t="str">
        <f>IFERROR(IF(SecondaryTransport[[#This Row],[Container_Transfer]]="",(SecondaryTransport[[#This Row],[Ton-Miles]]*SecondaryTransport[[#This Row],[Cost_Per_Ton-Mile]]),""),"")</f>
        <v/>
      </c>
    </row>
    <row r="190" spans="3:45" ht="15" x14ac:dyDescent="0.25">
      <c r="C190"/>
      <c r="D190"/>
      <c r="L190" s="446" t="s">
        <v>874</v>
      </c>
      <c r="M190" s="446">
        <v>4</v>
      </c>
      <c r="N190" s="446">
        <v>1</v>
      </c>
      <c r="O190" s="446" t="s">
        <v>752</v>
      </c>
      <c r="P190" s="450" t="s">
        <v>706</v>
      </c>
      <c r="Q190" s="450"/>
      <c r="R190" s="450"/>
      <c r="S190" s="449" t="s">
        <v>964</v>
      </c>
      <c r="T190" s="449" t="s">
        <v>1025</v>
      </c>
      <c r="U190" s="452">
        <v>0</v>
      </c>
      <c r="V1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0" s="272" t="str">
        <f>IFERROR(SUMIFS(TransUnitCost[Miles],TransUnitCost[Grouping_ID],TransTonsShort[[#This Row],[Grouping_ID]],TransUnitCost[Transp_ID],TransTonsShort[[#This Row],[Transp_ID]])*TransTonsShort[[#This Row],[Trans_Tons_All]]/TransTonsShort[[#This Row],[Trans_Tons_All]],"")</f>
        <v/>
      </c>
      <c r="X190" s="386" t="str">
        <f>TransTonsShort[[#This Row],[Grouping_ID]]&amp;"-"&amp;TransTonsShort[[#This Row],[Sector_ID]]</f>
        <v>4-1</v>
      </c>
      <c r="Y1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0" s="421">
        <f>INDEX(LandfillFees[Disposal Tip Fee 2025],MATCH(TransTonsShort[[#This Row],[Grouping_ID]],LandfillFees[Grouping_ID],0))</f>
        <v>72.030938699729589</v>
      </c>
      <c r="AA190" s="102">
        <f>IF(OR(TransTonsShort[[#This Row],[CollectionStream_ID]]="03",TransTonsShort[[#This Row],[CollectionStream_ID]]="04",TransTonsShort[[#This Row],[CollectionStream_ID]]="13"),0,TransTonsShort[[#This Row],[Trans_Tons_All]]*TransTonsShort[[#This Row],[Disposal_Fee]])</f>
        <v>0</v>
      </c>
      <c r="AF190" s="446" t="s">
        <v>1363</v>
      </c>
      <c r="AG190" s="442" t="str">
        <f>LEFT(SecondaryTransport[[#This Row],[Scenario_MRF_Bale_ID]],2)</f>
        <v>S3</v>
      </c>
      <c r="AH190" s="181" t="str">
        <f>LEFT(RIGHT(SecondaryTransport[[#This Row],[Scenario_MRF_Bale_ID]],10),2)</f>
        <v>03</v>
      </c>
      <c r="AI190" s="181" t="str">
        <f>INDEX(MRFs[MRF_Name],MATCH(SecondaryTransport[[#This Row],[MRF_ID]],MRFs[MRF_ID],0))</f>
        <v>5 MRFs for SS with fiber upgrades (Portland)</v>
      </c>
      <c r="AJ190" s="181" t="str">
        <f>RIGHT(SecondaryTransport[[#This Row],[Scenario_MRF_Bale_ID]],7)</f>
        <v>2000-13</v>
      </c>
      <c r="AK190" s="181" t="str">
        <f>INDEX(Bales[Bale_Name],MATCH(SecondaryTransport[[#This Row],[Bale_ID]],Bales[Bale_ID],0))</f>
        <v>PP #5 small rigid plastic</v>
      </c>
      <c r="AL190" s="443">
        <f>INDEX(BaleMover[Total_Baled_tons],MATCH(SecondaryTransport[[#This Row],[Scenario_MRF_Bale_ID]],BaleMover[Scenario_MRF_Bale_ID],0))</f>
        <v>0</v>
      </c>
      <c r="AM190" s="443">
        <f>IF(INDEX(BaleMover[Miles],MATCH(SecondaryTransport[[#This Row],[Scenario_MRF_Bale_ID]],BaleMover[Scenario_MRF_Bale_ID],0))="",0,INDEX(BaleMover[Miles],MATCH(SecondaryTransport[[#This Row],[Scenario_MRF_Bale_ID]],BaleMover[Scenario_MRF_Bale_ID],0)))</f>
        <v>0</v>
      </c>
      <c r="AN190" s="251">
        <f>IF(SecondaryTransport[[#This Row],[Bale_ID]]="9000-01","costs elsewhere",SecondaryTransport[[#This Row],[Total_Baled_tons]]*SecondaryTransport[[#This Row],[Miles]])</f>
        <v>0</v>
      </c>
      <c r="AO190" s="352" t="str">
        <f>IF(LEFT(SecondaryTransport[[#This Row],[Bale_ID]],1)*1=5,IF(OR(SecondaryTransport[[#This Row],[MRF_ID]]="02",SecondaryTransport[[#This Row],[MRF_ID]]="08"),2,1),"")</f>
        <v/>
      </c>
      <c r="AP1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0" s="224" t="str">
        <f>IFERROR(IF(1*LEFT(SecondaryTransport[[#This Row],[Bale_ID]],1)=5,SecondaryTransport[[#This Row],[Ton-Miles]]*SecondaryTransport[[#This Row],[Cost_Per_Ton-Mile]],""),"")</f>
        <v/>
      </c>
      <c r="AS190" s="224" t="str">
        <f>IFERROR(IF(SecondaryTransport[[#This Row],[Container_Transfer]]="",(SecondaryTransport[[#This Row],[Ton-Miles]]*SecondaryTransport[[#This Row],[Cost_Per_Ton-Mile]]),""),"")</f>
        <v/>
      </c>
    </row>
    <row r="191" spans="3:45" ht="15" x14ac:dyDescent="0.25">
      <c r="C191"/>
      <c r="D191"/>
      <c r="L191" s="446" t="s">
        <v>874</v>
      </c>
      <c r="M191" s="446">
        <v>1</v>
      </c>
      <c r="N191" s="446">
        <v>1</v>
      </c>
      <c r="O191" s="446" t="s">
        <v>750</v>
      </c>
      <c r="P191" s="449" t="s">
        <v>739</v>
      </c>
      <c r="Q191" s="449"/>
      <c r="R191" s="449"/>
      <c r="S191" s="449" t="s">
        <v>963</v>
      </c>
      <c r="T191" s="449" t="s">
        <v>1121</v>
      </c>
      <c r="U191" s="452">
        <v>0</v>
      </c>
      <c r="V1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1" s="272" t="str">
        <f>IFERROR(SUMIFS(TransUnitCost[Miles],TransUnitCost[Grouping_ID],TransTonsShort[[#This Row],[Grouping_ID]],TransUnitCost[Transp_ID],TransTonsShort[[#This Row],[Transp_ID]])*TransTonsShort[[#This Row],[Trans_Tons_All]]/TransTonsShort[[#This Row],[Trans_Tons_All]],"")</f>
        <v/>
      </c>
      <c r="X191" s="386" t="str">
        <f>TransTonsShort[[#This Row],[Grouping_ID]]&amp;"-"&amp;TransTonsShort[[#This Row],[Sector_ID]]</f>
        <v>1-1</v>
      </c>
      <c r="Y1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1" s="421">
        <f>INDEX(LandfillFees[Disposal Tip Fee 2025],MATCH(TransTonsShort[[#This Row],[Grouping_ID]],LandfillFees[Grouping_ID],0))</f>
        <v>134.68</v>
      </c>
      <c r="AA191" s="102">
        <f>IF(OR(TransTonsShort[[#This Row],[CollectionStream_ID]]="03",TransTonsShort[[#This Row],[CollectionStream_ID]]="04",TransTonsShort[[#This Row],[CollectionStream_ID]]="13"),0,TransTonsShort[[#This Row],[Trans_Tons_All]]*TransTonsShort[[#This Row],[Disposal_Fee]])</f>
        <v>0</v>
      </c>
      <c r="AF191" s="446" t="s">
        <v>1364</v>
      </c>
      <c r="AG191" s="442" t="str">
        <f>LEFT(SecondaryTransport[[#This Row],[Scenario_MRF_Bale_ID]],2)</f>
        <v>S0</v>
      </c>
      <c r="AH191" s="181" t="str">
        <f>LEFT(RIGHT(SecondaryTransport[[#This Row],[Scenario_MRF_Bale_ID]],10),2)</f>
        <v>03</v>
      </c>
      <c r="AI191" s="181" t="str">
        <f>INDEX(MRFs[MRF_Name],MATCH(SecondaryTransport[[#This Row],[MRF_ID]],MRFs[MRF_ID],0))</f>
        <v>5 MRFs for SS with fiber upgrades (Portland)</v>
      </c>
      <c r="AJ191" s="181" t="str">
        <f>RIGHT(SecondaryTransport[[#This Row],[Scenario_MRF_Bale_ID]],7)</f>
        <v>2000-14</v>
      </c>
      <c r="AK191" s="181" t="str">
        <f>INDEX(Bales[Bale_Name],MATCH(SecondaryTransport[[#This Row],[Bale_ID]],Bales[Bale_ID],0))</f>
        <v>Solid PS #6 (rigid) </v>
      </c>
      <c r="AL191" s="443">
        <f>INDEX(BaleMover[Total_Baled_tons],MATCH(SecondaryTransport[[#This Row],[Scenario_MRF_Bale_ID]],BaleMover[Scenario_MRF_Bale_ID],0))</f>
        <v>0</v>
      </c>
      <c r="AM191" s="443">
        <f>IF(INDEX(BaleMover[Miles],MATCH(SecondaryTransport[[#This Row],[Scenario_MRF_Bale_ID]],BaleMover[Scenario_MRF_Bale_ID],0))="",0,INDEX(BaleMover[Miles],MATCH(SecondaryTransport[[#This Row],[Scenario_MRF_Bale_ID]],BaleMover[Scenario_MRF_Bale_ID],0)))</f>
        <v>0</v>
      </c>
      <c r="AN191" s="251">
        <f>IF(SecondaryTransport[[#This Row],[Bale_ID]]="9000-01","costs elsewhere",SecondaryTransport[[#This Row],[Total_Baled_tons]]*SecondaryTransport[[#This Row],[Miles]])</f>
        <v>0</v>
      </c>
      <c r="AO191" s="352" t="str">
        <f>IF(LEFT(SecondaryTransport[[#This Row],[Bale_ID]],1)*1=5,IF(OR(SecondaryTransport[[#This Row],[MRF_ID]]="02",SecondaryTransport[[#This Row],[MRF_ID]]="08"),2,1),"")</f>
        <v/>
      </c>
      <c r="AP1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1" s="224" t="str">
        <f>IFERROR(IF(1*LEFT(SecondaryTransport[[#This Row],[Bale_ID]],1)=5,SecondaryTransport[[#This Row],[Ton-Miles]]*SecondaryTransport[[#This Row],[Cost_Per_Ton-Mile]],""),"")</f>
        <v/>
      </c>
      <c r="AS191" s="224" t="str">
        <f>IFERROR(IF(SecondaryTransport[[#This Row],[Container_Transfer]]="",(SecondaryTransport[[#This Row],[Ton-Miles]]*SecondaryTransport[[#This Row],[Cost_Per_Ton-Mile]]),""),"")</f>
        <v/>
      </c>
    </row>
    <row r="192" spans="3:45" ht="15" x14ac:dyDescent="0.25">
      <c r="C192"/>
      <c r="D192"/>
      <c r="L192" s="446" t="s">
        <v>874</v>
      </c>
      <c r="M192" s="446">
        <v>2</v>
      </c>
      <c r="N192" s="446">
        <v>1</v>
      </c>
      <c r="O192" s="446" t="s">
        <v>750</v>
      </c>
      <c r="P192" s="449" t="s">
        <v>739</v>
      </c>
      <c r="Q192" s="449"/>
      <c r="R192" s="449"/>
      <c r="S192" s="449" t="s">
        <v>963</v>
      </c>
      <c r="T192" s="449" t="s">
        <v>1121</v>
      </c>
      <c r="U192" s="452">
        <v>0</v>
      </c>
      <c r="V1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2" s="272" t="str">
        <f>IFERROR(SUMIFS(TransUnitCost[Miles],TransUnitCost[Grouping_ID],TransTonsShort[[#This Row],[Grouping_ID]],TransUnitCost[Transp_ID],TransTonsShort[[#This Row],[Transp_ID]])*TransTonsShort[[#This Row],[Trans_Tons_All]]/TransTonsShort[[#This Row],[Trans_Tons_All]],"")</f>
        <v/>
      </c>
      <c r="X192" s="386" t="str">
        <f>TransTonsShort[[#This Row],[Grouping_ID]]&amp;"-"&amp;TransTonsShort[[#This Row],[Sector_ID]]</f>
        <v>2-1</v>
      </c>
      <c r="Y1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2" s="421">
        <f>INDEX(LandfillFees[Disposal Tip Fee 2025],MATCH(TransTonsShort[[#This Row],[Grouping_ID]],LandfillFees[Grouping_ID],0))</f>
        <v>72.030938699729589</v>
      </c>
      <c r="AA192" s="102">
        <f>IF(OR(TransTonsShort[[#This Row],[CollectionStream_ID]]="03",TransTonsShort[[#This Row],[CollectionStream_ID]]="04",TransTonsShort[[#This Row],[CollectionStream_ID]]="13"),0,TransTonsShort[[#This Row],[Trans_Tons_All]]*TransTonsShort[[#This Row],[Disposal_Fee]])</f>
        <v>0</v>
      </c>
      <c r="AF192" s="446" t="s">
        <v>1365</v>
      </c>
      <c r="AG192" s="442" t="str">
        <f>LEFT(SecondaryTransport[[#This Row],[Scenario_MRF_Bale_ID]],2)</f>
        <v>S1</v>
      </c>
      <c r="AH192" s="181" t="str">
        <f>LEFT(RIGHT(SecondaryTransport[[#This Row],[Scenario_MRF_Bale_ID]],10),2)</f>
        <v>03</v>
      </c>
      <c r="AI192" s="181" t="str">
        <f>INDEX(MRFs[MRF_Name],MATCH(SecondaryTransport[[#This Row],[MRF_ID]],MRFs[MRF_ID],0))</f>
        <v>5 MRFs for SS with fiber upgrades (Portland)</v>
      </c>
      <c r="AJ192" s="181" t="str">
        <f>RIGHT(SecondaryTransport[[#This Row],[Scenario_MRF_Bale_ID]],7)</f>
        <v>2000-14</v>
      </c>
      <c r="AK192" s="181" t="str">
        <f>INDEX(Bales[Bale_Name],MATCH(SecondaryTransport[[#This Row],[Bale_ID]],Bales[Bale_ID],0))</f>
        <v>Solid PS #6 (rigid) </v>
      </c>
      <c r="AL192" s="443">
        <f>INDEX(BaleMover[Total_Baled_tons],MATCH(SecondaryTransport[[#This Row],[Scenario_MRF_Bale_ID]],BaleMover[Scenario_MRF_Bale_ID],0))</f>
        <v>0</v>
      </c>
      <c r="AM192" s="443">
        <f>IF(INDEX(BaleMover[Miles],MATCH(SecondaryTransport[[#This Row],[Scenario_MRF_Bale_ID]],BaleMover[Scenario_MRF_Bale_ID],0))="",0,INDEX(BaleMover[Miles],MATCH(SecondaryTransport[[#This Row],[Scenario_MRF_Bale_ID]],BaleMover[Scenario_MRF_Bale_ID],0)))</f>
        <v>0</v>
      </c>
      <c r="AN192" s="251">
        <f>IF(SecondaryTransport[[#This Row],[Bale_ID]]="9000-01","costs elsewhere",SecondaryTransport[[#This Row],[Total_Baled_tons]]*SecondaryTransport[[#This Row],[Miles]])</f>
        <v>0</v>
      </c>
      <c r="AO192" s="352" t="str">
        <f>IF(LEFT(SecondaryTransport[[#This Row],[Bale_ID]],1)*1=5,IF(OR(SecondaryTransport[[#This Row],[MRF_ID]]="02",SecondaryTransport[[#This Row],[MRF_ID]]="08"),2,1),"")</f>
        <v/>
      </c>
      <c r="AP1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2" s="224" t="str">
        <f>IFERROR(IF(1*LEFT(SecondaryTransport[[#This Row],[Bale_ID]],1)=5,SecondaryTransport[[#This Row],[Ton-Miles]]*SecondaryTransport[[#This Row],[Cost_Per_Ton-Mile]],""),"")</f>
        <v/>
      </c>
      <c r="AS192" s="224" t="str">
        <f>IFERROR(IF(SecondaryTransport[[#This Row],[Container_Transfer]]="",(SecondaryTransport[[#This Row],[Ton-Miles]]*SecondaryTransport[[#This Row],[Cost_Per_Ton-Mile]]),""),"")</f>
        <v/>
      </c>
    </row>
    <row r="193" spans="3:45" ht="15" x14ac:dyDescent="0.25">
      <c r="C193"/>
      <c r="D193"/>
      <c r="L193" s="446" t="s">
        <v>874</v>
      </c>
      <c r="M193" s="446">
        <v>3</v>
      </c>
      <c r="N193" s="446">
        <v>1</v>
      </c>
      <c r="O193" s="446" t="s">
        <v>750</v>
      </c>
      <c r="P193" s="449" t="s">
        <v>739</v>
      </c>
      <c r="Q193" s="449"/>
      <c r="R193" s="449"/>
      <c r="S193" s="449" t="s">
        <v>963</v>
      </c>
      <c r="T193" s="449" t="s">
        <v>1121</v>
      </c>
      <c r="U193" s="452">
        <v>0</v>
      </c>
      <c r="V1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3" s="272" t="str">
        <f>IFERROR(SUMIFS(TransUnitCost[Miles],TransUnitCost[Grouping_ID],TransTonsShort[[#This Row],[Grouping_ID]],TransUnitCost[Transp_ID],TransTonsShort[[#This Row],[Transp_ID]])*TransTonsShort[[#This Row],[Trans_Tons_All]]/TransTonsShort[[#This Row],[Trans_Tons_All]],"")</f>
        <v/>
      </c>
      <c r="X193" s="386" t="str">
        <f>TransTonsShort[[#This Row],[Grouping_ID]]&amp;"-"&amp;TransTonsShort[[#This Row],[Sector_ID]]</f>
        <v>3-1</v>
      </c>
      <c r="Y1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3" s="421">
        <f>INDEX(LandfillFees[Disposal Tip Fee 2025],MATCH(TransTonsShort[[#This Row],[Grouping_ID]],LandfillFees[Grouping_ID],0))</f>
        <v>72.030938699729589</v>
      </c>
      <c r="AA193" s="102">
        <f>IF(OR(TransTonsShort[[#This Row],[CollectionStream_ID]]="03",TransTonsShort[[#This Row],[CollectionStream_ID]]="04",TransTonsShort[[#This Row],[CollectionStream_ID]]="13"),0,TransTonsShort[[#This Row],[Trans_Tons_All]]*TransTonsShort[[#This Row],[Disposal_Fee]])</f>
        <v>0</v>
      </c>
      <c r="AF193" s="446" t="s">
        <v>1366</v>
      </c>
      <c r="AG193" s="442" t="str">
        <f>LEFT(SecondaryTransport[[#This Row],[Scenario_MRF_Bale_ID]],2)</f>
        <v>S2</v>
      </c>
      <c r="AH193" s="181" t="str">
        <f>LEFT(RIGHT(SecondaryTransport[[#This Row],[Scenario_MRF_Bale_ID]],10),2)</f>
        <v>03</v>
      </c>
      <c r="AI193" s="181" t="str">
        <f>INDEX(MRFs[MRF_Name],MATCH(SecondaryTransport[[#This Row],[MRF_ID]],MRFs[MRF_ID],0))</f>
        <v>5 MRFs for SS with fiber upgrades (Portland)</v>
      </c>
      <c r="AJ193" s="181" t="str">
        <f>RIGHT(SecondaryTransport[[#This Row],[Scenario_MRF_Bale_ID]],7)</f>
        <v>2000-14</v>
      </c>
      <c r="AK193" s="181" t="str">
        <f>INDEX(Bales[Bale_Name],MATCH(SecondaryTransport[[#This Row],[Bale_ID]],Bales[Bale_ID],0))</f>
        <v>Solid PS #6 (rigid) </v>
      </c>
      <c r="AL193" s="443">
        <f>INDEX(BaleMover[Total_Baled_tons],MATCH(SecondaryTransport[[#This Row],[Scenario_MRF_Bale_ID]],BaleMover[Scenario_MRF_Bale_ID],0))</f>
        <v>0</v>
      </c>
      <c r="AM193" s="443">
        <f>IF(INDEX(BaleMover[Miles],MATCH(SecondaryTransport[[#This Row],[Scenario_MRF_Bale_ID]],BaleMover[Scenario_MRF_Bale_ID],0))="",0,INDEX(BaleMover[Miles],MATCH(SecondaryTransport[[#This Row],[Scenario_MRF_Bale_ID]],BaleMover[Scenario_MRF_Bale_ID],0)))</f>
        <v>0</v>
      </c>
      <c r="AN193" s="251">
        <f>IF(SecondaryTransport[[#This Row],[Bale_ID]]="9000-01","costs elsewhere",SecondaryTransport[[#This Row],[Total_Baled_tons]]*SecondaryTransport[[#This Row],[Miles]])</f>
        <v>0</v>
      </c>
      <c r="AO193" s="352" t="str">
        <f>IF(LEFT(SecondaryTransport[[#This Row],[Bale_ID]],1)*1=5,IF(OR(SecondaryTransport[[#This Row],[MRF_ID]]="02",SecondaryTransport[[#This Row],[MRF_ID]]="08"),2,1),"")</f>
        <v/>
      </c>
      <c r="AP1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3" s="224" t="str">
        <f>IFERROR(IF(1*LEFT(SecondaryTransport[[#This Row],[Bale_ID]],1)=5,SecondaryTransport[[#This Row],[Ton-Miles]]*SecondaryTransport[[#This Row],[Cost_Per_Ton-Mile]],""),"")</f>
        <v/>
      </c>
      <c r="AS193" s="224" t="str">
        <f>IFERROR(IF(SecondaryTransport[[#This Row],[Container_Transfer]]="",(SecondaryTransport[[#This Row],[Ton-Miles]]*SecondaryTransport[[#This Row],[Cost_Per_Ton-Mile]]),""),"")</f>
        <v/>
      </c>
    </row>
    <row r="194" spans="3:45" ht="15" x14ac:dyDescent="0.25">
      <c r="C194"/>
      <c r="D194"/>
      <c r="L194" s="446" t="s">
        <v>874</v>
      </c>
      <c r="M194" s="446">
        <v>4</v>
      </c>
      <c r="N194" s="446">
        <v>1</v>
      </c>
      <c r="O194" s="446" t="s">
        <v>750</v>
      </c>
      <c r="P194" s="449" t="s">
        <v>739</v>
      </c>
      <c r="Q194" s="449"/>
      <c r="R194" s="449"/>
      <c r="S194" s="449" t="s">
        <v>963</v>
      </c>
      <c r="T194" s="449" t="s">
        <v>1121</v>
      </c>
      <c r="U194" s="452">
        <v>0</v>
      </c>
      <c r="V1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4" s="272" t="str">
        <f>IFERROR(SUMIFS(TransUnitCost[Miles],TransUnitCost[Grouping_ID],TransTonsShort[[#This Row],[Grouping_ID]],TransUnitCost[Transp_ID],TransTonsShort[[#This Row],[Transp_ID]])*TransTonsShort[[#This Row],[Trans_Tons_All]]/TransTonsShort[[#This Row],[Trans_Tons_All]],"")</f>
        <v/>
      </c>
      <c r="X194" s="386" t="str">
        <f>TransTonsShort[[#This Row],[Grouping_ID]]&amp;"-"&amp;TransTonsShort[[#This Row],[Sector_ID]]</f>
        <v>4-1</v>
      </c>
      <c r="Y1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4" s="421">
        <f>INDEX(LandfillFees[Disposal Tip Fee 2025],MATCH(TransTonsShort[[#This Row],[Grouping_ID]],LandfillFees[Grouping_ID],0))</f>
        <v>72.030938699729589</v>
      </c>
      <c r="AA194" s="102">
        <f>IF(OR(TransTonsShort[[#This Row],[CollectionStream_ID]]="03",TransTonsShort[[#This Row],[CollectionStream_ID]]="04",TransTonsShort[[#This Row],[CollectionStream_ID]]="13"),0,TransTonsShort[[#This Row],[Trans_Tons_All]]*TransTonsShort[[#This Row],[Disposal_Fee]])</f>
        <v>0</v>
      </c>
      <c r="AF194" s="446" t="s">
        <v>1367</v>
      </c>
      <c r="AG194" s="442" t="str">
        <f>LEFT(SecondaryTransport[[#This Row],[Scenario_MRF_Bale_ID]],2)</f>
        <v>S3</v>
      </c>
      <c r="AH194" s="181" t="str">
        <f>LEFT(RIGHT(SecondaryTransport[[#This Row],[Scenario_MRF_Bale_ID]],10),2)</f>
        <v>03</v>
      </c>
      <c r="AI194" s="181" t="str">
        <f>INDEX(MRFs[MRF_Name],MATCH(SecondaryTransport[[#This Row],[MRF_ID]],MRFs[MRF_ID],0))</f>
        <v>5 MRFs for SS with fiber upgrades (Portland)</v>
      </c>
      <c r="AJ194" s="181" t="str">
        <f>RIGHT(SecondaryTransport[[#This Row],[Scenario_MRF_Bale_ID]],7)</f>
        <v>2000-14</v>
      </c>
      <c r="AK194" s="181" t="str">
        <f>INDEX(Bales[Bale_Name],MATCH(SecondaryTransport[[#This Row],[Bale_ID]],Bales[Bale_ID],0))</f>
        <v>Solid PS #6 (rigid) </v>
      </c>
      <c r="AL194" s="443">
        <f>INDEX(BaleMover[Total_Baled_tons],MATCH(SecondaryTransport[[#This Row],[Scenario_MRF_Bale_ID]],BaleMover[Scenario_MRF_Bale_ID],0))</f>
        <v>0</v>
      </c>
      <c r="AM194" s="443">
        <f>IF(INDEX(BaleMover[Miles],MATCH(SecondaryTransport[[#This Row],[Scenario_MRF_Bale_ID]],BaleMover[Scenario_MRF_Bale_ID],0))="",0,INDEX(BaleMover[Miles],MATCH(SecondaryTransport[[#This Row],[Scenario_MRF_Bale_ID]],BaleMover[Scenario_MRF_Bale_ID],0)))</f>
        <v>0</v>
      </c>
      <c r="AN194" s="251">
        <f>IF(SecondaryTransport[[#This Row],[Bale_ID]]="9000-01","costs elsewhere",SecondaryTransport[[#This Row],[Total_Baled_tons]]*SecondaryTransport[[#This Row],[Miles]])</f>
        <v>0</v>
      </c>
      <c r="AO194" s="352" t="str">
        <f>IF(LEFT(SecondaryTransport[[#This Row],[Bale_ID]],1)*1=5,IF(OR(SecondaryTransport[[#This Row],[MRF_ID]]="02",SecondaryTransport[[#This Row],[MRF_ID]]="08"),2,1),"")</f>
        <v/>
      </c>
      <c r="AP1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4" s="224" t="str">
        <f>IFERROR(IF(1*LEFT(SecondaryTransport[[#This Row],[Bale_ID]],1)=5,SecondaryTransport[[#This Row],[Ton-Miles]]*SecondaryTransport[[#This Row],[Cost_Per_Ton-Mile]],""),"")</f>
        <v/>
      </c>
      <c r="AS194" s="224" t="str">
        <f>IFERROR(IF(SecondaryTransport[[#This Row],[Container_Transfer]]="",(SecondaryTransport[[#This Row],[Ton-Miles]]*SecondaryTransport[[#This Row],[Cost_Per_Ton-Mile]]),""),"")</f>
        <v/>
      </c>
    </row>
    <row r="195" spans="3:45" ht="15" x14ac:dyDescent="0.25">
      <c r="C195"/>
      <c r="D195"/>
      <c r="L195" s="446" t="s">
        <v>874</v>
      </c>
      <c r="M195" s="446">
        <v>1</v>
      </c>
      <c r="N195" s="446">
        <v>1</v>
      </c>
      <c r="O195" s="446" t="s">
        <v>750</v>
      </c>
      <c r="P195" s="449" t="s">
        <v>700</v>
      </c>
      <c r="Q195" s="449"/>
      <c r="R195" s="449"/>
      <c r="S195" s="449" t="s">
        <v>963</v>
      </c>
      <c r="T195" s="449" t="s">
        <v>701</v>
      </c>
      <c r="U195" s="452">
        <v>0</v>
      </c>
      <c r="V1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5" s="272" t="str">
        <f>IFERROR(SUMIFS(TransUnitCost[Miles],TransUnitCost[Grouping_ID],TransTonsShort[[#This Row],[Grouping_ID]],TransUnitCost[Transp_ID],TransTonsShort[[#This Row],[Transp_ID]])*TransTonsShort[[#This Row],[Trans_Tons_All]]/TransTonsShort[[#This Row],[Trans_Tons_All]],"")</f>
        <v/>
      </c>
      <c r="X195" s="386" t="str">
        <f>TransTonsShort[[#This Row],[Grouping_ID]]&amp;"-"&amp;TransTonsShort[[#This Row],[Sector_ID]]</f>
        <v>1-1</v>
      </c>
      <c r="Y1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5" s="421">
        <f>INDEX(LandfillFees[Disposal Tip Fee 2025],MATCH(TransTonsShort[[#This Row],[Grouping_ID]],LandfillFees[Grouping_ID],0))</f>
        <v>134.68</v>
      </c>
      <c r="AA195" s="102">
        <f>IF(OR(TransTonsShort[[#This Row],[CollectionStream_ID]]="03",TransTonsShort[[#This Row],[CollectionStream_ID]]="04",TransTonsShort[[#This Row],[CollectionStream_ID]]="13"),0,TransTonsShort[[#This Row],[Trans_Tons_All]]*TransTonsShort[[#This Row],[Disposal_Fee]])</f>
        <v>0</v>
      </c>
      <c r="AF195" s="446" t="s">
        <v>1368</v>
      </c>
      <c r="AG195" s="442" t="str">
        <f>LEFT(SecondaryTransport[[#This Row],[Scenario_MRF_Bale_ID]],2)</f>
        <v>S0</v>
      </c>
      <c r="AH195" s="181" t="str">
        <f>LEFT(RIGHT(SecondaryTransport[[#This Row],[Scenario_MRF_Bale_ID]],10),2)</f>
        <v>03</v>
      </c>
      <c r="AI195" s="181" t="str">
        <f>INDEX(MRFs[MRF_Name],MATCH(SecondaryTransport[[#This Row],[MRF_ID]],MRFs[MRF_ID],0))</f>
        <v>5 MRFs for SS with fiber upgrades (Portland)</v>
      </c>
      <c r="AJ195" s="181" t="str">
        <f>RIGHT(SecondaryTransport[[#This Row],[Scenario_MRF_Bale_ID]],7)</f>
        <v>2000-16</v>
      </c>
      <c r="AK195" s="181" t="str">
        <f>INDEX(Bales[Bale_Name],MATCH(SecondaryTransport[[#This Row],[Bale_ID]],Bales[Bale_ID],0))</f>
        <v>Foam PS #6 (transport block and shape, densified)</v>
      </c>
      <c r="AL195" s="443">
        <f>INDEX(BaleMover[Total_Baled_tons],MATCH(SecondaryTransport[[#This Row],[Scenario_MRF_Bale_ID]],BaleMover[Scenario_MRF_Bale_ID],0))</f>
        <v>0</v>
      </c>
      <c r="AM195" s="443">
        <f>IF(INDEX(BaleMover[Miles],MATCH(SecondaryTransport[[#This Row],[Scenario_MRF_Bale_ID]],BaleMover[Scenario_MRF_Bale_ID],0))="",0,INDEX(BaleMover[Miles],MATCH(SecondaryTransport[[#This Row],[Scenario_MRF_Bale_ID]],BaleMover[Scenario_MRF_Bale_ID],0)))</f>
        <v>0</v>
      </c>
      <c r="AN195" s="251">
        <f>IF(SecondaryTransport[[#This Row],[Bale_ID]]="9000-01","costs elsewhere",SecondaryTransport[[#This Row],[Total_Baled_tons]]*SecondaryTransport[[#This Row],[Miles]])</f>
        <v>0</v>
      </c>
      <c r="AO195" s="352" t="str">
        <f>IF(LEFT(SecondaryTransport[[#This Row],[Bale_ID]],1)*1=5,IF(OR(SecondaryTransport[[#This Row],[MRF_ID]]="02",SecondaryTransport[[#This Row],[MRF_ID]]="08"),2,1),"")</f>
        <v/>
      </c>
      <c r="AP1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5" s="224" t="str">
        <f>IFERROR(IF(1*LEFT(SecondaryTransport[[#This Row],[Bale_ID]],1)=5,SecondaryTransport[[#This Row],[Ton-Miles]]*SecondaryTransport[[#This Row],[Cost_Per_Ton-Mile]],""),"")</f>
        <v/>
      </c>
      <c r="AS195" s="224" t="str">
        <f>IFERROR(IF(SecondaryTransport[[#This Row],[Container_Transfer]]="",(SecondaryTransport[[#This Row],[Ton-Miles]]*SecondaryTransport[[#This Row],[Cost_Per_Ton-Mile]]),""),"")</f>
        <v/>
      </c>
    </row>
    <row r="196" spans="3:45" ht="15" x14ac:dyDescent="0.25">
      <c r="C196"/>
      <c r="D196"/>
      <c r="L196" s="446" t="s">
        <v>874</v>
      </c>
      <c r="M196" s="446">
        <v>2</v>
      </c>
      <c r="N196" s="446">
        <v>1</v>
      </c>
      <c r="O196" s="446" t="s">
        <v>750</v>
      </c>
      <c r="P196" s="449" t="s">
        <v>700</v>
      </c>
      <c r="Q196" s="449"/>
      <c r="R196" s="449"/>
      <c r="S196" s="449" t="s">
        <v>963</v>
      </c>
      <c r="T196" s="449" t="s">
        <v>701</v>
      </c>
      <c r="U196" s="452">
        <v>0</v>
      </c>
      <c r="V1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6" s="272" t="str">
        <f>IFERROR(SUMIFS(TransUnitCost[Miles],TransUnitCost[Grouping_ID],TransTonsShort[[#This Row],[Grouping_ID]],TransUnitCost[Transp_ID],TransTonsShort[[#This Row],[Transp_ID]])*TransTonsShort[[#This Row],[Trans_Tons_All]]/TransTonsShort[[#This Row],[Trans_Tons_All]],"")</f>
        <v/>
      </c>
      <c r="X196" s="386" t="str">
        <f>TransTonsShort[[#This Row],[Grouping_ID]]&amp;"-"&amp;TransTonsShort[[#This Row],[Sector_ID]]</f>
        <v>2-1</v>
      </c>
      <c r="Y1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6" s="421">
        <f>INDEX(LandfillFees[Disposal Tip Fee 2025],MATCH(TransTonsShort[[#This Row],[Grouping_ID]],LandfillFees[Grouping_ID],0))</f>
        <v>72.030938699729589</v>
      </c>
      <c r="AA196" s="102">
        <f>IF(OR(TransTonsShort[[#This Row],[CollectionStream_ID]]="03",TransTonsShort[[#This Row],[CollectionStream_ID]]="04",TransTonsShort[[#This Row],[CollectionStream_ID]]="13"),0,TransTonsShort[[#This Row],[Trans_Tons_All]]*TransTonsShort[[#This Row],[Disposal_Fee]])</f>
        <v>0</v>
      </c>
      <c r="AF196" s="446" t="s">
        <v>1369</v>
      </c>
      <c r="AG196" s="442" t="str">
        <f>LEFT(SecondaryTransport[[#This Row],[Scenario_MRF_Bale_ID]],2)</f>
        <v>S1</v>
      </c>
      <c r="AH196" s="181" t="str">
        <f>LEFT(RIGHT(SecondaryTransport[[#This Row],[Scenario_MRF_Bale_ID]],10),2)</f>
        <v>03</v>
      </c>
      <c r="AI196" s="181" t="str">
        <f>INDEX(MRFs[MRF_Name],MATCH(SecondaryTransport[[#This Row],[MRF_ID]],MRFs[MRF_ID],0))</f>
        <v>5 MRFs for SS with fiber upgrades (Portland)</v>
      </c>
      <c r="AJ196" s="181" t="str">
        <f>RIGHT(SecondaryTransport[[#This Row],[Scenario_MRF_Bale_ID]],7)</f>
        <v>2000-16</v>
      </c>
      <c r="AK196" s="181" t="str">
        <f>INDEX(Bales[Bale_Name],MATCH(SecondaryTransport[[#This Row],[Bale_ID]],Bales[Bale_ID],0))</f>
        <v>Foam PS #6 (transport block and shape, densified)</v>
      </c>
      <c r="AL196" s="443">
        <f>INDEX(BaleMover[Total_Baled_tons],MATCH(SecondaryTransport[[#This Row],[Scenario_MRF_Bale_ID]],BaleMover[Scenario_MRF_Bale_ID],0))</f>
        <v>0</v>
      </c>
      <c r="AM196" s="443">
        <f>IF(INDEX(BaleMover[Miles],MATCH(SecondaryTransport[[#This Row],[Scenario_MRF_Bale_ID]],BaleMover[Scenario_MRF_Bale_ID],0))="",0,INDEX(BaleMover[Miles],MATCH(SecondaryTransport[[#This Row],[Scenario_MRF_Bale_ID]],BaleMover[Scenario_MRF_Bale_ID],0)))</f>
        <v>0</v>
      </c>
      <c r="AN196" s="251">
        <f>IF(SecondaryTransport[[#This Row],[Bale_ID]]="9000-01","costs elsewhere",SecondaryTransport[[#This Row],[Total_Baled_tons]]*SecondaryTransport[[#This Row],[Miles]])</f>
        <v>0</v>
      </c>
      <c r="AO196" s="352" t="str">
        <f>IF(LEFT(SecondaryTransport[[#This Row],[Bale_ID]],1)*1=5,IF(OR(SecondaryTransport[[#This Row],[MRF_ID]]="02",SecondaryTransport[[#This Row],[MRF_ID]]="08"),2,1),"")</f>
        <v/>
      </c>
      <c r="AP1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6" s="224" t="str">
        <f>IFERROR(IF(1*LEFT(SecondaryTransport[[#This Row],[Bale_ID]],1)=5,SecondaryTransport[[#This Row],[Ton-Miles]]*SecondaryTransport[[#This Row],[Cost_Per_Ton-Mile]],""),"")</f>
        <v/>
      </c>
      <c r="AS196" s="224" t="str">
        <f>IFERROR(IF(SecondaryTransport[[#This Row],[Container_Transfer]]="",(SecondaryTransport[[#This Row],[Ton-Miles]]*SecondaryTransport[[#This Row],[Cost_Per_Ton-Mile]]),""),"")</f>
        <v/>
      </c>
    </row>
    <row r="197" spans="3:45" ht="15" x14ac:dyDescent="0.25">
      <c r="C197"/>
      <c r="D197"/>
      <c r="L197" s="446" t="s">
        <v>874</v>
      </c>
      <c r="M197" s="446">
        <v>3</v>
      </c>
      <c r="N197" s="446">
        <v>1</v>
      </c>
      <c r="O197" s="446" t="s">
        <v>750</v>
      </c>
      <c r="P197" s="449" t="s">
        <v>700</v>
      </c>
      <c r="Q197" s="449"/>
      <c r="R197" s="449"/>
      <c r="S197" s="449" t="s">
        <v>963</v>
      </c>
      <c r="T197" s="449" t="s">
        <v>701</v>
      </c>
      <c r="U197" s="452">
        <v>0</v>
      </c>
      <c r="V1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7" s="272" t="str">
        <f>IFERROR(SUMIFS(TransUnitCost[Miles],TransUnitCost[Grouping_ID],TransTonsShort[[#This Row],[Grouping_ID]],TransUnitCost[Transp_ID],TransTonsShort[[#This Row],[Transp_ID]])*TransTonsShort[[#This Row],[Trans_Tons_All]]/TransTonsShort[[#This Row],[Trans_Tons_All]],"")</f>
        <v/>
      </c>
      <c r="X197" s="386" t="str">
        <f>TransTonsShort[[#This Row],[Grouping_ID]]&amp;"-"&amp;TransTonsShort[[#This Row],[Sector_ID]]</f>
        <v>3-1</v>
      </c>
      <c r="Y1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7" s="421">
        <f>INDEX(LandfillFees[Disposal Tip Fee 2025],MATCH(TransTonsShort[[#This Row],[Grouping_ID]],LandfillFees[Grouping_ID],0))</f>
        <v>72.030938699729589</v>
      </c>
      <c r="AA197" s="102">
        <f>IF(OR(TransTonsShort[[#This Row],[CollectionStream_ID]]="03",TransTonsShort[[#This Row],[CollectionStream_ID]]="04",TransTonsShort[[#This Row],[CollectionStream_ID]]="13"),0,TransTonsShort[[#This Row],[Trans_Tons_All]]*TransTonsShort[[#This Row],[Disposal_Fee]])</f>
        <v>0</v>
      </c>
      <c r="AF197" s="446" t="s">
        <v>1370</v>
      </c>
      <c r="AG197" s="442" t="str">
        <f>LEFT(SecondaryTransport[[#This Row],[Scenario_MRF_Bale_ID]],2)</f>
        <v>S2</v>
      </c>
      <c r="AH197" s="181" t="str">
        <f>LEFT(RIGHT(SecondaryTransport[[#This Row],[Scenario_MRF_Bale_ID]],10),2)</f>
        <v>03</v>
      </c>
      <c r="AI197" s="181" t="str">
        <f>INDEX(MRFs[MRF_Name],MATCH(SecondaryTransport[[#This Row],[MRF_ID]],MRFs[MRF_ID],0))</f>
        <v>5 MRFs for SS with fiber upgrades (Portland)</v>
      </c>
      <c r="AJ197" s="181" t="str">
        <f>RIGHT(SecondaryTransport[[#This Row],[Scenario_MRF_Bale_ID]],7)</f>
        <v>2000-16</v>
      </c>
      <c r="AK197" s="181" t="str">
        <f>INDEX(Bales[Bale_Name],MATCH(SecondaryTransport[[#This Row],[Bale_ID]],Bales[Bale_ID],0))</f>
        <v>Foam PS #6 (transport block and shape, densified)</v>
      </c>
      <c r="AL197" s="443">
        <f>INDEX(BaleMover[Total_Baled_tons],MATCH(SecondaryTransport[[#This Row],[Scenario_MRF_Bale_ID]],BaleMover[Scenario_MRF_Bale_ID],0))</f>
        <v>0</v>
      </c>
      <c r="AM197" s="443">
        <f>IF(INDEX(BaleMover[Miles],MATCH(SecondaryTransport[[#This Row],[Scenario_MRF_Bale_ID]],BaleMover[Scenario_MRF_Bale_ID],0))="",0,INDEX(BaleMover[Miles],MATCH(SecondaryTransport[[#This Row],[Scenario_MRF_Bale_ID]],BaleMover[Scenario_MRF_Bale_ID],0)))</f>
        <v>0</v>
      </c>
      <c r="AN197" s="251">
        <f>IF(SecondaryTransport[[#This Row],[Bale_ID]]="9000-01","costs elsewhere",SecondaryTransport[[#This Row],[Total_Baled_tons]]*SecondaryTransport[[#This Row],[Miles]])</f>
        <v>0</v>
      </c>
      <c r="AO197" s="352" t="str">
        <f>IF(LEFT(SecondaryTransport[[#This Row],[Bale_ID]],1)*1=5,IF(OR(SecondaryTransport[[#This Row],[MRF_ID]]="02",SecondaryTransport[[#This Row],[MRF_ID]]="08"),2,1),"")</f>
        <v/>
      </c>
      <c r="AP1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7" s="224" t="str">
        <f>IFERROR(IF(1*LEFT(SecondaryTransport[[#This Row],[Bale_ID]],1)=5,SecondaryTransport[[#This Row],[Ton-Miles]]*SecondaryTransport[[#This Row],[Cost_Per_Ton-Mile]],""),"")</f>
        <v/>
      </c>
      <c r="AS197" s="224" t="str">
        <f>IFERROR(IF(SecondaryTransport[[#This Row],[Container_Transfer]]="",(SecondaryTransport[[#This Row],[Ton-Miles]]*SecondaryTransport[[#This Row],[Cost_Per_Ton-Mile]]),""),"")</f>
        <v/>
      </c>
    </row>
    <row r="198" spans="3:45" ht="15" x14ac:dyDescent="0.25">
      <c r="C198"/>
      <c r="D198"/>
      <c r="L198" s="446" t="s">
        <v>874</v>
      </c>
      <c r="M198" s="446">
        <v>4</v>
      </c>
      <c r="N198" s="446">
        <v>1</v>
      </c>
      <c r="O198" s="446" t="s">
        <v>750</v>
      </c>
      <c r="P198" s="449" t="s">
        <v>700</v>
      </c>
      <c r="Q198" s="449"/>
      <c r="R198" s="449"/>
      <c r="S198" s="449" t="s">
        <v>963</v>
      </c>
      <c r="T198" s="449" t="s">
        <v>701</v>
      </c>
      <c r="U198" s="452">
        <v>0</v>
      </c>
      <c r="V1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8" s="272" t="str">
        <f>IFERROR(SUMIFS(TransUnitCost[Miles],TransUnitCost[Grouping_ID],TransTonsShort[[#This Row],[Grouping_ID]],TransUnitCost[Transp_ID],TransTonsShort[[#This Row],[Transp_ID]])*TransTonsShort[[#This Row],[Trans_Tons_All]]/TransTonsShort[[#This Row],[Trans_Tons_All]],"")</f>
        <v/>
      </c>
      <c r="X198" s="386" t="str">
        <f>TransTonsShort[[#This Row],[Grouping_ID]]&amp;"-"&amp;TransTonsShort[[#This Row],[Sector_ID]]</f>
        <v>4-1</v>
      </c>
      <c r="Y1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98" s="421">
        <f>INDEX(LandfillFees[Disposal Tip Fee 2025],MATCH(TransTonsShort[[#This Row],[Grouping_ID]],LandfillFees[Grouping_ID],0))</f>
        <v>72.030938699729589</v>
      </c>
      <c r="AA198" s="102">
        <f>IF(OR(TransTonsShort[[#This Row],[CollectionStream_ID]]="03",TransTonsShort[[#This Row],[CollectionStream_ID]]="04",TransTonsShort[[#This Row],[CollectionStream_ID]]="13"),0,TransTonsShort[[#This Row],[Trans_Tons_All]]*TransTonsShort[[#This Row],[Disposal_Fee]])</f>
        <v>0</v>
      </c>
      <c r="AF198" s="446" t="s">
        <v>1371</v>
      </c>
      <c r="AG198" s="442" t="str">
        <f>LEFT(SecondaryTransport[[#This Row],[Scenario_MRF_Bale_ID]],2)</f>
        <v>S3</v>
      </c>
      <c r="AH198" s="181" t="str">
        <f>LEFT(RIGHT(SecondaryTransport[[#This Row],[Scenario_MRF_Bale_ID]],10),2)</f>
        <v>03</v>
      </c>
      <c r="AI198" s="181" t="str">
        <f>INDEX(MRFs[MRF_Name],MATCH(SecondaryTransport[[#This Row],[MRF_ID]],MRFs[MRF_ID],0))</f>
        <v>5 MRFs for SS with fiber upgrades (Portland)</v>
      </c>
      <c r="AJ198" s="181" t="str">
        <f>RIGHT(SecondaryTransport[[#This Row],[Scenario_MRF_Bale_ID]],7)</f>
        <v>2000-16</v>
      </c>
      <c r="AK198" s="181" t="str">
        <f>INDEX(Bales[Bale_Name],MATCH(SecondaryTransport[[#This Row],[Bale_ID]],Bales[Bale_ID],0))</f>
        <v>Foam PS #6 (transport block and shape, densified)</v>
      </c>
      <c r="AL198" s="443">
        <f>INDEX(BaleMover[Total_Baled_tons],MATCH(SecondaryTransport[[#This Row],[Scenario_MRF_Bale_ID]],BaleMover[Scenario_MRF_Bale_ID],0))</f>
        <v>0</v>
      </c>
      <c r="AM198" s="443">
        <f>IF(INDEX(BaleMover[Miles],MATCH(SecondaryTransport[[#This Row],[Scenario_MRF_Bale_ID]],BaleMover[Scenario_MRF_Bale_ID],0))="",0,INDEX(BaleMover[Miles],MATCH(SecondaryTransport[[#This Row],[Scenario_MRF_Bale_ID]],BaleMover[Scenario_MRF_Bale_ID],0)))</f>
        <v>0</v>
      </c>
      <c r="AN198" s="251">
        <f>IF(SecondaryTransport[[#This Row],[Bale_ID]]="9000-01","costs elsewhere",SecondaryTransport[[#This Row],[Total_Baled_tons]]*SecondaryTransport[[#This Row],[Miles]])</f>
        <v>0</v>
      </c>
      <c r="AO198" s="352" t="str">
        <f>IF(LEFT(SecondaryTransport[[#This Row],[Bale_ID]],1)*1=5,IF(OR(SecondaryTransport[[#This Row],[MRF_ID]]="02",SecondaryTransport[[#This Row],[MRF_ID]]="08"),2,1),"")</f>
        <v/>
      </c>
      <c r="AP1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8" s="224" t="str">
        <f>IFERROR(IF(1*LEFT(SecondaryTransport[[#This Row],[Bale_ID]],1)=5,SecondaryTransport[[#This Row],[Ton-Miles]]*SecondaryTransport[[#This Row],[Cost_Per_Ton-Mile]],""),"")</f>
        <v/>
      </c>
      <c r="AS198" s="224" t="str">
        <f>IFERROR(IF(SecondaryTransport[[#This Row],[Container_Transfer]]="",(SecondaryTransport[[#This Row],[Ton-Miles]]*SecondaryTransport[[#This Row],[Cost_Per_Ton-Mile]]),""),"")</f>
        <v/>
      </c>
    </row>
    <row r="199" spans="3:45" ht="15" x14ac:dyDescent="0.25">
      <c r="C199"/>
      <c r="D199"/>
      <c r="L199" s="446" t="s">
        <v>873</v>
      </c>
      <c r="M199" s="446">
        <v>1</v>
      </c>
      <c r="N199" s="446">
        <v>1</v>
      </c>
      <c r="O199" s="446" t="s">
        <v>700</v>
      </c>
      <c r="P199" s="449" t="s">
        <v>719</v>
      </c>
      <c r="Q199" s="449"/>
      <c r="R199" s="449"/>
      <c r="S199" s="449" t="s">
        <v>872</v>
      </c>
      <c r="T199" s="449" t="s">
        <v>1055</v>
      </c>
      <c r="U199" s="452">
        <v>0</v>
      </c>
      <c r="V1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99" s="272" t="str">
        <f>IFERROR(SUMIFS(TransUnitCost[Miles],TransUnitCost[Grouping_ID],TransTonsShort[[#This Row],[Grouping_ID]],TransUnitCost[Transp_ID],TransTonsShort[[#This Row],[Transp_ID]])*TransTonsShort[[#This Row],[Trans_Tons_All]]/TransTonsShort[[#This Row],[Trans_Tons_All]],"")</f>
        <v/>
      </c>
      <c r="X199" s="386" t="str">
        <f>TransTonsShort[[#This Row],[Grouping_ID]]&amp;"-"&amp;TransTonsShort[[#This Row],[Sector_ID]]</f>
        <v>1-1</v>
      </c>
      <c r="Y1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99" s="421">
        <f>INDEX(LandfillFees[Disposal Tip Fee 2025],MATCH(TransTonsShort[[#This Row],[Grouping_ID]],LandfillFees[Grouping_ID],0))</f>
        <v>134.68</v>
      </c>
      <c r="AA199" s="102">
        <f>IF(OR(TransTonsShort[[#This Row],[CollectionStream_ID]]="03",TransTonsShort[[#This Row],[CollectionStream_ID]]="04",TransTonsShort[[#This Row],[CollectionStream_ID]]="13"),0,TransTonsShort[[#This Row],[Trans_Tons_All]]*TransTonsShort[[#This Row],[Disposal_Fee]])</f>
        <v>0</v>
      </c>
      <c r="AF199" s="446" t="s">
        <v>1372</v>
      </c>
      <c r="AG199" s="442" t="str">
        <f>LEFT(SecondaryTransport[[#This Row],[Scenario_MRF_Bale_ID]],2)</f>
        <v>S0</v>
      </c>
      <c r="AH199" s="181" t="str">
        <f>LEFT(RIGHT(SecondaryTransport[[#This Row],[Scenario_MRF_Bale_ID]],10),2)</f>
        <v>03</v>
      </c>
      <c r="AI199" s="181" t="str">
        <f>INDEX(MRFs[MRF_Name],MATCH(SecondaryTransport[[#This Row],[MRF_ID]],MRFs[MRF_ID],0))</f>
        <v>5 MRFs for SS with fiber upgrades (Portland)</v>
      </c>
      <c r="AJ199" s="181" t="str">
        <f>RIGHT(SecondaryTransport[[#This Row],[Scenario_MRF_Bale_ID]],7)</f>
        <v>2000-17</v>
      </c>
      <c r="AK199" s="181" t="str">
        <f>INDEX(Bales[Bale_Name],MATCH(SecondaryTransport[[#This Row],[Bale_ID]],Bales[Bale_ID],0))</f>
        <v>Densified MRF Grade Foam PS #6 (food service and packaging) </v>
      </c>
      <c r="AL199" s="443">
        <f>INDEX(BaleMover[Total_Baled_tons],MATCH(SecondaryTransport[[#This Row],[Scenario_MRF_Bale_ID]],BaleMover[Scenario_MRF_Bale_ID],0))</f>
        <v>0</v>
      </c>
      <c r="AM199" s="443">
        <f>IF(INDEX(BaleMover[Miles],MATCH(SecondaryTransport[[#This Row],[Scenario_MRF_Bale_ID]],BaleMover[Scenario_MRF_Bale_ID],0))="",0,INDEX(BaleMover[Miles],MATCH(SecondaryTransport[[#This Row],[Scenario_MRF_Bale_ID]],BaleMover[Scenario_MRF_Bale_ID],0)))</f>
        <v>0</v>
      </c>
      <c r="AN199" s="251">
        <f>IF(SecondaryTransport[[#This Row],[Bale_ID]]="9000-01","costs elsewhere",SecondaryTransport[[#This Row],[Total_Baled_tons]]*SecondaryTransport[[#This Row],[Miles]])</f>
        <v>0</v>
      </c>
      <c r="AO199" s="352" t="str">
        <f>IF(LEFT(SecondaryTransport[[#This Row],[Bale_ID]],1)*1=5,IF(OR(SecondaryTransport[[#This Row],[MRF_ID]]="02",SecondaryTransport[[#This Row],[MRF_ID]]="08"),2,1),"")</f>
        <v/>
      </c>
      <c r="AP1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19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199" s="224" t="str">
        <f>IFERROR(IF(1*LEFT(SecondaryTransport[[#This Row],[Bale_ID]],1)=5,SecondaryTransport[[#This Row],[Ton-Miles]]*SecondaryTransport[[#This Row],[Cost_Per_Ton-Mile]],""),"")</f>
        <v/>
      </c>
      <c r="AS199" s="224" t="str">
        <f>IFERROR(IF(SecondaryTransport[[#This Row],[Container_Transfer]]="",(SecondaryTransport[[#This Row],[Ton-Miles]]*SecondaryTransport[[#This Row],[Cost_Per_Ton-Mile]]),""),"")</f>
        <v/>
      </c>
    </row>
    <row r="200" spans="3:45" ht="15" x14ac:dyDescent="0.25">
      <c r="C200"/>
      <c r="D200"/>
      <c r="L200" s="446" t="s">
        <v>873</v>
      </c>
      <c r="M200" s="446">
        <v>2</v>
      </c>
      <c r="N200" s="446">
        <v>1</v>
      </c>
      <c r="O200" s="446" t="s">
        <v>700</v>
      </c>
      <c r="P200" s="449" t="s">
        <v>719</v>
      </c>
      <c r="Q200" s="449"/>
      <c r="R200" s="449"/>
      <c r="S200" s="449" t="s">
        <v>872</v>
      </c>
      <c r="T200" s="449" t="s">
        <v>1055</v>
      </c>
      <c r="U200" s="452">
        <v>0</v>
      </c>
      <c r="V2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0" s="272" t="str">
        <f>IFERROR(SUMIFS(TransUnitCost[Miles],TransUnitCost[Grouping_ID],TransTonsShort[[#This Row],[Grouping_ID]],TransUnitCost[Transp_ID],TransTonsShort[[#This Row],[Transp_ID]])*TransTonsShort[[#This Row],[Trans_Tons_All]]/TransTonsShort[[#This Row],[Trans_Tons_All]],"")</f>
        <v/>
      </c>
      <c r="X200" s="386" t="str">
        <f>TransTonsShort[[#This Row],[Grouping_ID]]&amp;"-"&amp;TransTonsShort[[#This Row],[Sector_ID]]</f>
        <v>2-1</v>
      </c>
      <c r="Y2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0" s="421">
        <f>INDEX(LandfillFees[Disposal Tip Fee 2025],MATCH(TransTonsShort[[#This Row],[Grouping_ID]],LandfillFees[Grouping_ID],0))</f>
        <v>72.030938699729589</v>
      </c>
      <c r="AA200" s="102">
        <f>IF(OR(TransTonsShort[[#This Row],[CollectionStream_ID]]="03",TransTonsShort[[#This Row],[CollectionStream_ID]]="04",TransTonsShort[[#This Row],[CollectionStream_ID]]="13"),0,TransTonsShort[[#This Row],[Trans_Tons_All]]*TransTonsShort[[#This Row],[Disposal_Fee]])</f>
        <v>0</v>
      </c>
      <c r="AF200" s="446" t="s">
        <v>1373</v>
      </c>
      <c r="AG200" s="442" t="str">
        <f>LEFT(SecondaryTransport[[#This Row],[Scenario_MRF_Bale_ID]],2)</f>
        <v>S1</v>
      </c>
      <c r="AH200" s="181" t="str">
        <f>LEFT(RIGHT(SecondaryTransport[[#This Row],[Scenario_MRF_Bale_ID]],10),2)</f>
        <v>03</v>
      </c>
      <c r="AI200" s="181" t="str">
        <f>INDEX(MRFs[MRF_Name],MATCH(SecondaryTransport[[#This Row],[MRF_ID]],MRFs[MRF_ID],0))</f>
        <v>5 MRFs for SS with fiber upgrades (Portland)</v>
      </c>
      <c r="AJ200" s="181" t="str">
        <f>RIGHT(SecondaryTransport[[#This Row],[Scenario_MRF_Bale_ID]],7)</f>
        <v>2000-17</v>
      </c>
      <c r="AK200" s="181" t="str">
        <f>INDEX(Bales[Bale_Name],MATCH(SecondaryTransport[[#This Row],[Bale_ID]],Bales[Bale_ID],0))</f>
        <v>Densified MRF Grade Foam PS #6 (food service and packaging) </v>
      </c>
      <c r="AL200" s="443">
        <f>INDEX(BaleMover[Total_Baled_tons],MATCH(SecondaryTransport[[#This Row],[Scenario_MRF_Bale_ID]],BaleMover[Scenario_MRF_Bale_ID],0))</f>
        <v>0</v>
      </c>
      <c r="AM200" s="443">
        <f>IF(INDEX(BaleMover[Miles],MATCH(SecondaryTransport[[#This Row],[Scenario_MRF_Bale_ID]],BaleMover[Scenario_MRF_Bale_ID],0))="",0,INDEX(BaleMover[Miles],MATCH(SecondaryTransport[[#This Row],[Scenario_MRF_Bale_ID]],BaleMover[Scenario_MRF_Bale_ID],0)))</f>
        <v>0</v>
      </c>
      <c r="AN200" s="251">
        <f>IF(SecondaryTransport[[#This Row],[Bale_ID]]="9000-01","costs elsewhere",SecondaryTransport[[#This Row],[Total_Baled_tons]]*SecondaryTransport[[#This Row],[Miles]])</f>
        <v>0</v>
      </c>
      <c r="AO200" s="352" t="str">
        <f>IF(LEFT(SecondaryTransport[[#This Row],[Bale_ID]],1)*1=5,IF(OR(SecondaryTransport[[#This Row],[MRF_ID]]="02",SecondaryTransport[[#This Row],[MRF_ID]]="08"),2,1),"")</f>
        <v/>
      </c>
      <c r="AP2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0" s="224" t="str">
        <f>IFERROR(IF(1*LEFT(SecondaryTransport[[#This Row],[Bale_ID]],1)=5,SecondaryTransport[[#This Row],[Ton-Miles]]*SecondaryTransport[[#This Row],[Cost_Per_Ton-Mile]],""),"")</f>
        <v/>
      </c>
      <c r="AS200" s="224" t="str">
        <f>IFERROR(IF(SecondaryTransport[[#This Row],[Container_Transfer]]="",(SecondaryTransport[[#This Row],[Ton-Miles]]*SecondaryTransport[[#This Row],[Cost_Per_Ton-Mile]]),""),"")</f>
        <v/>
      </c>
    </row>
    <row r="201" spans="3:45" ht="15" x14ac:dyDescent="0.25">
      <c r="C201"/>
      <c r="D201"/>
      <c r="L201" s="446" t="s">
        <v>873</v>
      </c>
      <c r="M201" s="446">
        <v>3</v>
      </c>
      <c r="N201" s="446">
        <v>1</v>
      </c>
      <c r="O201" s="446" t="s">
        <v>700</v>
      </c>
      <c r="P201" s="449" t="s">
        <v>719</v>
      </c>
      <c r="Q201" s="449"/>
      <c r="R201" s="449"/>
      <c r="S201" s="449" t="s">
        <v>872</v>
      </c>
      <c r="T201" s="449" t="s">
        <v>1055</v>
      </c>
      <c r="U201" s="452">
        <v>0</v>
      </c>
      <c r="V2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1" s="272" t="str">
        <f>IFERROR(SUMIFS(TransUnitCost[Miles],TransUnitCost[Grouping_ID],TransTonsShort[[#This Row],[Grouping_ID]],TransUnitCost[Transp_ID],TransTonsShort[[#This Row],[Transp_ID]])*TransTonsShort[[#This Row],[Trans_Tons_All]]/TransTonsShort[[#This Row],[Trans_Tons_All]],"")</f>
        <v/>
      </c>
      <c r="X201" s="386" t="str">
        <f>TransTonsShort[[#This Row],[Grouping_ID]]&amp;"-"&amp;TransTonsShort[[#This Row],[Sector_ID]]</f>
        <v>3-1</v>
      </c>
      <c r="Y2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1" s="421">
        <f>INDEX(LandfillFees[Disposal Tip Fee 2025],MATCH(TransTonsShort[[#This Row],[Grouping_ID]],LandfillFees[Grouping_ID],0))</f>
        <v>72.030938699729589</v>
      </c>
      <c r="AA201" s="102">
        <f>IF(OR(TransTonsShort[[#This Row],[CollectionStream_ID]]="03",TransTonsShort[[#This Row],[CollectionStream_ID]]="04",TransTonsShort[[#This Row],[CollectionStream_ID]]="13"),0,TransTonsShort[[#This Row],[Trans_Tons_All]]*TransTonsShort[[#This Row],[Disposal_Fee]])</f>
        <v>0</v>
      </c>
      <c r="AF201" s="446" t="s">
        <v>1374</v>
      </c>
      <c r="AG201" s="442" t="str">
        <f>LEFT(SecondaryTransport[[#This Row],[Scenario_MRF_Bale_ID]],2)</f>
        <v>S2</v>
      </c>
      <c r="AH201" s="181" t="str">
        <f>LEFT(RIGHT(SecondaryTransport[[#This Row],[Scenario_MRF_Bale_ID]],10),2)</f>
        <v>03</v>
      </c>
      <c r="AI201" s="181" t="str">
        <f>INDEX(MRFs[MRF_Name],MATCH(SecondaryTransport[[#This Row],[MRF_ID]],MRFs[MRF_ID],0))</f>
        <v>5 MRFs for SS with fiber upgrades (Portland)</v>
      </c>
      <c r="AJ201" s="181" t="str">
        <f>RIGHT(SecondaryTransport[[#This Row],[Scenario_MRF_Bale_ID]],7)</f>
        <v>2000-17</v>
      </c>
      <c r="AK201" s="181" t="str">
        <f>INDEX(Bales[Bale_Name],MATCH(SecondaryTransport[[#This Row],[Bale_ID]],Bales[Bale_ID],0))</f>
        <v>Densified MRF Grade Foam PS #6 (food service and packaging) </v>
      </c>
      <c r="AL201" s="443">
        <f>INDEX(BaleMover[Total_Baled_tons],MATCH(SecondaryTransport[[#This Row],[Scenario_MRF_Bale_ID]],BaleMover[Scenario_MRF_Bale_ID],0))</f>
        <v>0</v>
      </c>
      <c r="AM201" s="443">
        <f>IF(INDEX(BaleMover[Miles],MATCH(SecondaryTransport[[#This Row],[Scenario_MRF_Bale_ID]],BaleMover[Scenario_MRF_Bale_ID],0))="",0,INDEX(BaleMover[Miles],MATCH(SecondaryTransport[[#This Row],[Scenario_MRF_Bale_ID]],BaleMover[Scenario_MRF_Bale_ID],0)))</f>
        <v>0</v>
      </c>
      <c r="AN201" s="251">
        <f>IF(SecondaryTransport[[#This Row],[Bale_ID]]="9000-01","costs elsewhere",SecondaryTransport[[#This Row],[Total_Baled_tons]]*SecondaryTransport[[#This Row],[Miles]])</f>
        <v>0</v>
      </c>
      <c r="AO201" s="352" t="str">
        <f>IF(LEFT(SecondaryTransport[[#This Row],[Bale_ID]],1)*1=5,IF(OR(SecondaryTransport[[#This Row],[MRF_ID]]="02",SecondaryTransport[[#This Row],[MRF_ID]]="08"),2,1),"")</f>
        <v/>
      </c>
      <c r="AP2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1" s="224" t="str">
        <f>IFERROR(IF(1*LEFT(SecondaryTransport[[#This Row],[Bale_ID]],1)=5,SecondaryTransport[[#This Row],[Ton-Miles]]*SecondaryTransport[[#This Row],[Cost_Per_Ton-Mile]],""),"")</f>
        <v/>
      </c>
      <c r="AS201" s="224" t="str">
        <f>IFERROR(IF(SecondaryTransport[[#This Row],[Container_Transfer]]="",(SecondaryTransport[[#This Row],[Ton-Miles]]*SecondaryTransport[[#This Row],[Cost_Per_Ton-Mile]]),""),"")</f>
        <v/>
      </c>
    </row>
    <row r="202" spans="3:45" ht="15" x14ac:dyDescent="0.25">
      <c r="C202"/>
      <c r="D202"/>
      <c r="L202" s="446" t="s">
        <v>873</v>
      </c>
      <c r="M202" s="446">
        <v>4</v>
      </c>
      <c r="N202" s="446">
        <v>1</v>
      </c>
      <c r="O202" s="446" t="s">
        <v>700</v>
      </c>
      <c r="P202" s="449" t="s">
        <v>719</v>
      </c>
      <c r="Q202" s="449"/>
      <c r="R202" s="449"/>
      <c r="S202" s="449" t="s">
        <v>872</v>
      </c>
      <c r="T202" s="449" t="s">
        <v>1055</v>
      </c>
      <c r="U202" s="452">
        <v>0</v>
      </c>
      <c r="V2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2" s="272" t="str">
        <f>IFERROR(SUMIFS(TransUnitCost[Miles],TransUnitCost[Grouping_ID],TransTonsShort[[#This Row],[Grouping_ID]],TransUnitCost[Transp_ID],TransTonsShort[[#This Row],[Transp_ID]])*TransTonsShort[[#This Row],[Trans_Tons_All]]/TransTonsShort[[#This Row],[Trans_Tons_All]],"")</f>
        <v/>
      </c>
      <c r="X202" s="386" t="str">
        <f>TransTonsShort[[#This Row],[Grouping_ID]]&amp;"-"&amp;TransTonsShort[[#This Row],[Sector_ID]]</f>
        <v>4-1</v>
      </c>
      <c r="Y2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2" s="421">
        <f>INDEX(LandfillFees[Disposal Tip Fee 2025],MATCH(TransTonsShort[[#This Row],[Grouping_ID]],LandfillFees[Grouping_ID],0))</f>
        <v>72.030938699729589</v>
      </c>
      <c r="AA202" s="102">
        <f>IF(OR(TransTonsShort[[#This Row],[CollectionStream_ID]]="03",TransTonsShort[[#This Row],[CollectionStream_ID]]="04",TransTonsShort[[#This Row],[CollectionStream_ID]]="13"),0,TransTonsShort[[#This Row],[Trans_Tons_All]]*TransTonsShort[[#This Row],[Disposal_Fee]])</f>
        <v>0</v>
      </c>
      <c r="AF202" s="446" t="s">
        <v>1375</v>
      </c>
      <c r="AG202" s="442" t="str">
        <f>LEFT(SecondaryTransport[[#This Row],[Scenario_MRF_Bale_ID]],2)</f>
        <v>S3</v>
      </c>
      <c r="AH202" s="181" t="str">
        <f>LEFT(RIGHT(SecondaryTransport[[#This Row],[Scenario_MRF_Bale_ID]],10),2)</f>
        <v>03</v>
      </c>
      <c r="AI202" s="181" t="str">
        <f>INDEX(MRFs[MRF_Name],MATCH(SecondaryTransport[[#This Row],[MRF_ID]],MRFs[MRF_ID],0))</f>
        <v>5 MRFs for SS with fiber upgrades (Portland)</v>
      </c>
      <c r="AJ202" s="181" t="str">
        <f>RIGHT(SecondaryTransport[[#This Row],[Scenario_MRF_Bale_ID]],7)</f>
        <v>2000-17</v>
      </c>
      <c r="AK202" s="181" t="str">
        <f>INDEX(Bales[Bale_Name],MATCH(SecondaryTransport[[#This Row],[Bale_ID]],Bales[Bale_ID],0))</f>
        <v>Densified MRF Grade Foam PS #6 (food service and packaging) </v>
      </c>
      <c r="AL202" s="443">
        <f>INDEX(BaleMover[Total_Baled_tons],MATCH(SecondaryTransport[[#This Row],[Scenario_MRF_Bale_ID]],BaleMover[Scenario_MRF_Bale_ID],0))</f>
        <v>0</v>
      </c>
      <c r="AM202" s="443">
        <f>IF(INDEX(BaleMover[Miles],MATCH(SecondaryTransport[[#This Row],[Scenario_MRF_Bale_ID]],BaleMover[Scenario_MRF_Bale_ID],0))="",0,INDEX(BaleMover[Miles],MATCH(SecondaryTransport[[#This Row],[Scenario_MRF_Bale_ID]],BaleMover[Scenario_MRF_Bale_ID],0)))</f>
        <v>0</v>
      </c>
      <c r="AN202" s="251">
        <f>IF(SecondaryTransport[[#This Row],[Bale_ID]]="9000-01","costs elsewhere",SecondaryTransport[[#This Row],[Total_Baled_tons]]*SecondaryTransport[[#This Row],[Miles]])</f>
        <v>0</v>
      </c>
      <c r="AO202" s="352" t="str">
        <f>IF(LEFT(SecondaryTransport[[#This Row],[Bale_ID]],1)*1=5,IF(OR(SecondaryTransport[[#This Row],[MRF_ID]]="02",SecondaryTransport[[#This Row],[MRF_ID]]="08"),2,1),"")</f>
        <v/>
      </c>
      <c r="AP2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2" s="224" t="str">
        <f>IFERROR(IF(1*LEFT(SecondaryTransport[[#This Row],[Bale_ID]],1)=5,SecondaryTransport[[#This Row],[Ton-Miles]]*SecondaryTransport[[#This Row],[Cost_Per_Ton-Mile]],""),"")</f>
        <v/>
      </c>
      <c r="AS202" s="224" t="str">
        <f>IFERROR(IF(SecondaryTransport[[#This Row],[Container_Transfer]]="",(SecondaryTransport[[#This Row],[Ton-Miles]]*SecondaryTransport[[#This Row],[Cost_Per_Ton-Mile]]),""),"")</f>
        <v/>
      </c>
    </row>
    <row r="203" spans="3:45" ht="15" x14ac:dyDescent="0.25">
      <c r="C203"/>
      <c r="D203"/>
      <c r="L203" s="446" t="s">
        <v>873</v>
      </c>
      <c r="M203" s="446">
        <v>1</v>
      </c>
      <c r="N203" s="446">
        <v>1</v>
      </c>
      <c r="O203" s="446" t="s">
        <v>700</v>
      </c>
      <c r="P203" s="449" t="s">
        <v>700</v>
      </c>
      <c r="Q203" s="449"/>
      <c r="R203" s="449"/>
      <c r="S203" s="449" t="s">
        <v>872</v>
      </c>
      <c r="T203" s="449" t="s">
        <v>701</v>
      </c>
      <c r="U203" s="452">
        <v>91239.544012056984</v>
      </c>
      <c r="V2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3" s="272">
        <f>IFERROR(SUMIFS(TransUnitCost[Miles],TransUnitCost[Grouping_ID],TransTonsShort[[#This Row],[Grouping_ID]],TransUnitCost[Transp_ID],TransTonsShort[[#This Row],[Transp_ID]])*TransTonsShort[[#This Row],[Trans_Tons_All]]/TransTonsShort[[#This Row],[Trans_Tons_All]],"")</f>
        <v>0</v>
      </c>
      <c r="X203" s="386" t="str">
        <f>TransTonsShort[[#This Row],[Grouping_ID]]&amp;"-"&amp;TransTonsShort[[#This Row],[Sector_ID]]</f>
        <v>1-1</v>
      </c>
      <c r="Y2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3" s="421">
        <f>INDEX(LandfillFees[Disposal Tip Fee 2025],MATCH(TransTonsShort[[#This Row],[Grouping_ID]],LandfillFees[Grouping_ID],0))</f>
        <v>134.68</v>
      </c>
      <c r="AA203" s="102">
        <f>IF(OR(TransTonsShort[[#This Row],[CollectionStream_ID]]="03",TransTonsShort[[#This Row],[CollectionStream_ID]]="04",TransTonsShort[[#This Row],[CollectionStream_ID]]="13"),0,TransTonsShort[[#This Row],[Trans_Tons_All]]*TransTonsShort[[#This Row],[Disposal_Fee]])</f>
        <v>12288141.787543835</v>
      </c>
      <c r="AF203" s="446" t="s">
        <v>1376</v>
      </c>
      <c r="AG203" s="442" t="str">
        <f>LEFT(SecondaryTransport[[#This Row],[Scenario_MRF_Bale_ID]],2)</f>
        <v>S0</v>
      </c>
      <c r="AH203" s="181" t="str">
        <f>LEFT(RIGHT(SecondaryTransport[[#This Row],[Scenario_MRF_Bale_ID]],10),2)</f>
        <v>03</v>
      </c>
      <c r="AI203" s="181" t="str">
        <f>INDEX(MRFs[MRF_Name],MATCH(SecondaryTransport[[#This Row],[MRF_ID]],MRFs[MRF_ID],0))</f>
        <v>5 MRFs for SS with fiber upgrades (Portland)</v>
      </c>
      <c r="AJ203" s="181" t="str">
        <f>RIGHT(SecondaryTransport[[#This Row],[Scenario_MRF_Bale_ID]],7)</f>
        <v>2000-18</v>
      </c>
      <c r="AK203" s="181" t="str">
        <f>INDEX(Bales[Bale_Name],MATCH(SecondaryTransport[[#This Row],[Bale_ID]],Bales[Bale_ID],0))</f>
        <v>#3-7 bottles and small rigid plastics </v>
      </c>
      <c r="AL203" s="443">
        <f>INDEX(BaleMover[Total_Baled_tons],MATCH(SecondaryTransport[[#This Row],[Scenario_MRF_Bale_ID]],BaleMover[Scenario_MRF_Bale_ID],0))</f>
        <v>1895.4441336839075</v>
      </c>
      <c r="AM203" s="443">
        <f>IF(INDEX(BaleMover[Miles],MATCH(SecondaryTransport[[#This Row],[Scenario_MRF_Bale_ID]],BaleMover[Scenario_MRF_Bale_ID],0))="",0,INDEX(BaleMover[Miles],MATCH(SecondaryTransport[[#This Row],[Scenario_MRF_Bale_ID]],BaleMover[Scenario_MRF_Bale_ID],0)))</f>
        <v>315</v>
      </c>
      <c r="AN203" s="251">
        <f>IF(SecondaryTransport[[#This Row],[Bale_ID]]="9000-01","costs elsewhere",SecondaryTransport[[#This Row],[Total_Baled_tons]]*SecondaryTransport[[#This Row],[Miles]])</f>
        <v>597064.90211043088</v>
      </c>
      <c r="AO203" s="352" t="str">
        <f>IF(LEFT(SecondaryTransport[[#This Row],[Bale_ID]],1)*1=5,IF(OR(SecondaryTransport[[#This Row],[MRF_ID]]="02",SecondaryTransport[[#This Row],[MRF_ID]]="08"),2,1),"")</f>
        <v/>
      </c>
      <c r="AP2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0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03" s="224" t="str">
        <f>IFERROR(IF(1*LEFT(SecondaryTransport[[#This Row],[Bale_ID]],1)=5,SecondaryTransport[[#This Row],[Ton-Miles]]*SecondaryTransport[[#This Row],[Cost_Per_Ton-Mile]],""),"")</f>
        <v/>
      </c>
      <c r="AS203" s="224">
        <f>IFERROR(IF(SecondaryTransport[[#This Row],[Container_Transfer]]="",(SecondaryTransport[[#This Row],[Ton-Miles]]*SecondaryTransport[[#This Row],[Cost_Per_Ton-Mile]]),""),"")</f>
        <v>83589.086295460336</v>
      </c>
    </row>
    <row r="204" spans="3:45" ht="15" x14ac:dyDescent="0.25">
      <c r="C204"/>
      <c r="D204"/>
      <c r="L204" s="446" t="s">
        <v>873</v>
      </c>
      <c r="M204" s="446">
        <v>2</v>
      </c>
      <c r="N204" s="446">
        <v>1</v>
      </c>
      <c r="O204" s="446" t="s">
        <v>700</v>
      </c>
      <c r="P204" s="449" t="s">
        <v>700</v>
      </c>
      <c r="Q204" s="449"/>
      <c r="R204" s="449"/>
      <c r="S204" s="449" t="s">
        <v>872</v>
      </c>
      <c r="T204" s="449" t="s">
        <v>701</v>
      </c>
      <c r="U204" s="452">
        <v>61830.874144332425</v>
      </c>
      <c r="V2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4" s="272">
        <f>IFERROR(SUMIFS(TransUnitCost[Miles],TransUnitCost[Grouping_ID],TransTonsShort[[#This Row],[Grouping_ID]],TransUnitCost[Transp_ID],TransTonsShort[[#This Row],[Transp_ID]])*TransTonsShort[[#This Row],[Trans_Tons_All]]/TransTonsShort[[#This Row],[Trans_Tons_All]],"")</f>
        <v>0</v>
      </c>
      <c r="X204" s="386" t="str">
        <f>TransTonsShort[[#This Row],[Grouping_ID]]&amp;"-"&amp;TransTonsShort[[#This Row],[Sector_ID]]</f>
        <v>2-1</v>
      </c>
      <c r="Y2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4" s="421">
        <f>INDEX(LandfillFees[Disposal Tip Fee 2025],MATCH(TransTonsShort[[#This Row],[Grouping_ID]],LandfillFees[Grouping_ID],0))</f>
        <v>72.030938699729589</v>
      </c>
      <c r="AA204" s="102">
        <f>IF(OR(TransTonsShort[[#This Row],[CollectionStream_ID]]="03",TransTonsShort[[#This Row],[CollectionStream_ID]]="04",TransTonsShort[[#This Row],[CollectionStream_ID]]="13"),0,TransTonsShort[[#This Row],[Trans_Tons_All]]*TransTonsShort[[#This Row],[Disposal_Fee]])</f>
        <v>4453735.9052411038</v>
      </c>
      <c r="AF204" s="446" t="s">
        <v>1377</v>
      </c>
      <c r="AG204" s="442" t="str">
        <f>LEFT(SecondaryTransport[[#This Row],[Scenario_MRF_Bale_ID]],2)</f>
        <v>S1</v>
      </c>
      <c r="AH204" s="181" t="str">
        <f>LEFT(RIGHT(SecondaryTransport[[#This Row],[Scenario_MRF_Bale_ID]],10),2)</f>
        <v>03</v>
      </c>
      <c r="AI204" s="181" t="str">
        <f>INDEX(MRFs[MRF_Name],MATCH(SecondaryTransport[[#This Row],[MRF_ID]],MRFs[MRF_ID],0))</f>
        <v>5 MRFs for SS with fiber upgrades (Portland)</v>
      </c>
      <c r="AJ204" s="181" t="str">
        <f>RIGHT(SecondaryTransport[[#This Row],[Scenario_MRF_Bale_ID]],7)</f>
        <v>2000-18</v>
      </c>
      <c r="AK204" s="181" t="str">
        <f>INDEX(Bales[Bale_Name],MATCH(SecondaryTransport[[#This Row],[Bale_ID]],Bales[Bale_ID],0))</f>
        <v>#3-7 bottles and small rigid plastics </v>
      </c>
      <c r="AL204" s="443">
        <f>INDEX(BaleMover[Total_Baled_tons],MATCH(SecondaryTransport[[#This Row],[Scenario_MRF_Bale_ID]],BaleMover[Scenario_MRF_Bale_ID],0))</f>
        <v>1477.9436378875314</v>
      </c>
      <c r="AM204" s="443">
        <f>IF(INDEX(BaleMover[Miles],MATCH(SecondaryTransport[[#This Row],[Scenario_MRF_Bale_ID]],BaleMover[Scenario_MRF_Bale_ID],0))="",0,INDEX(BaleMover[Miles],MATCH(SecondaryTransport[[#This Row],[Scenario_MRF_Bale_ID]],BaleMover[Scenario_MRF_Bale_ID],0)))</f>
        <v>315</v>
      </c>
      <c r="AN204" s="251">
        <f>IF(SecondaryTransport[[#This Row],[Bale_ID]]="9000-01","costs elsewhere",SecondaryTransport[[#This Row],[Total_Baled_tons]]*SecondaryTransport[[#This Row],[Miles]])</f>
        <v>465552.24593457236</v>
      </c>
      <c r="AO204" s="352" t="str">
        <f>IF(LEFT(SecondaryTransport[[#This Row],[Bale_ID]],1)*1=5,IF(OR(SecondaryTransport[[#This Row],[MRF_ID]]="02",SecondaryTransport[[#This Row],[MRF_ID]]="08"),2,1),"")</f>
        <v/>
      </c>
      <c r="AP2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0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04" s="224" t="str">
        <f>IFERROR(IF(1*LEFT(SecondaryTransport[[#This Row],[Bale_ID]],1)=5,SecondaryTransport[[#This Row],[Ton-Miles]]*SecondaryTransport[[#This Row],[Cost_Per_Ton-Mile]],""),"")</f>
        <v/>
      </c>
      <c r="AS204" s="224">
        <f>IFERROR(IF(SecondaryTransport[[#This Row],[Container_Transfer]]="",(SecondaryTransport[[#This Row],[Ton-Miles]]*SecondaryTransport[[#This Row],[Cost_Per_Ton-Mile]]),""),"")</f>
        <v>65177.314430840139</v>
      </c>
    </row>
    <row r="205" spans="3:45" ht="15" x14ac:dyDescent="0.25">
      <c r="C205"/>
      <c r="D205"/>
      <c r="L205" s="446" t="s">
        <v>873</v>
      </c>
      <c r="M205" s="446">
        <v>3</v>
      </c>
      <c r="N205" s="446">
        <v>1</v>
      </c>
      <c r="O205" s="446" t="s">
        <v>700</v>
      </c>
      <c r="P205" s="449" t="s">
        <v>700</v>
      </c>
      <c r="Q205" s="449"/>
      <c r="R205" s="449"/>
      <c r="S205" s="449" t="s">
        <v>872</v>
      </c>
      <c r="T205" s="449" t="s">
        <v>701</v>
      </c>
      <c r="U205" s="452">
        <v>0</v>
      </c>
      <c r="V2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5" s="272" t="str">
        <f>IFERROR(SUMIFS(TransUnitCost[Miles],TransUnitCost[Grouping_ID],TransTonsShort[[#This Row],[Grouping_ID]],TransUnitCost[Transp_ID],TransTonsShort[[#This Row],[Transp_ID]])*TransTonsShort[[#This Row],[Trans_Tons_All]]/TransTonsShort[[#This Row],[Trans_Tons_All]],"")</f>
        <v/>
      </c>
      <c r="X205" s="386" t="str">
        <f>TransTonsShort[[#This Row],[Grouping_ID]]&amp;"-"&amp;TransTonsShort[[#This Row],[Sector_ID]]</f>
        <v>3-1</v>
      </c>
      <c r="Y2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5" s="421">
        <f>INDEX(LandfillFees[Disposal Tip Fee 2025],MATCH(TransTonsShort[[#This Row],[Grouping_ID]],LandfillFees[Grouping_ID],0))</f>
        <v>72.030938699729589</v>
      </c>
      <c r="AA205" s="102">
        <f>IF(OR(TransTonsShort[[#This Row],[CollectionStream_ID]]="03",TransTonsShort[[#This Row],[CollectionStream_ID]]="04",TransTonsShort[[#This Row],[CollectionStream_ID]]="13"),0,TransTonsShort[[#This Row],[Trans_Tons_All]]*TransTonsShort[[#This Row],[Disposal_Fee]])</f>
        <v>0</v>
      </c>
      <c r="AF205" s="446" t="s">
        <v>1378</v>
      </c>
      <c r="AG205" s="442" t="str">
        <f>LEFT(SecondaryTransport[[#This Row],[Scenario_MRF_Bale_ID]],2)</f>
        <v>S2</v>
      </c>
      <c r="AH205" s="181" t="str">
        <f>LEFT(RIGHT(SecondaryTransport[[#This Row],[Scenario_MRF_Bale_ID]],10),2)</f>
        <v>03</v>
      </c>
      <c r="AI205" s="181" t="str">
        <f>INDEX(MRFs[MRF_Name],MATCH(SecondaryTransport[[#This Row],[MRF_ID]],MRFs[MRF_ID],0))</f>
        <v>5 MRFs for SS with fiber upgrades (Portland)</v>
      </c>
      <c r="AJ205" s="181" t="str">
        <f>RIGHT(SecondaryTransport[[#This Row],[Scenario_MRF_Bale_ID]],7)</f>
        <v>2000-18</v>
      </c>
      <c r="AK205" s="181" t="str">
        <f>INDEX(Bales[Bale_Name],MATCH(SecondaryTransport[[#This Row],[Bale_ID]],Bales[Bale_ID],0))</f>
        <v>#3-7 bottles and small rigid plastics </v>
      </c>
      <c r="AL205" s="443">
        <f>INDEX(BaleMover[Total_Baled_tons],MATCH(SecondaryTransport[[#This Row],[Scenario_MRF_Bale_ID]],BaleMover[Scenario_MRF_Bale_ID],0))</f>
        <v>0</v>
      </c>
      <c r="AM205" s="443">
        <f>IF(INDEX(BaleMover[Miles],MATCH(SecondaryTransport[[#This Row],[Scenario_MRF_Bale_ID]],BaleMover[Scenario_MRF_Bale_ID],0))="",0,INDEX(BaleMover[Miles],MATCH(SecondaryTransport[[#This Row],[Scenario_MRF_Bale_ID]],BaleMover[Scenario_MRF_Bale_ID],0)))</f>
        <v>0</v>
      </c>
      <c r="AN205" s="251">
        <f>IF(SecondaryTransport[[#This Row],[Bale_ID]]="9000-01","costs elsewhere",SecondaryTransport[[#This Row],[Total_Baled_tons]]*SecondaryTransport[[#This Row],[Miles]])</f>
        <v>0</v>
      </c>
      <c r="AO205" s="352" t="str">
        <f>IF(LEFT(SecondaryTransport[[#This Row],[Bale_ID]],1)*1=5,IF(OR(SecondaryTransport[[#This Row],[MRF_ID]]="02",SecondaryTransport[[#This Row],[MRF_ID]]="08"),2,1),"")</f>
        <v/>
      </c>
      <c r="AP2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5" s="224" t="str">
        <f>IFERROR(IF(1*LEFT(SecondaryTransport[[#This Row],[Bale_ID]],1)=5,SecondaryTransport[[#This Row],[Ton-Miles]]*SecondaryTransport[[#This Row],[Cost_Per_Ton-Mile]],""),"")</f>
        <v/>
      </c>
      <c r="AS205" s="224" t="str">
        <f>IFERROR(IF(SecondaryTransport[[#This Row],[Container_Transfer]]="",(SecondaryTransport[[#This Row],[Ton-Miles]]*SecondaryTransport[[#This Row],[Cost_Per_Ton-Mile]]),""),"")</f>
        <v/>
      </c>
    </row>
    <row r="206" spans="3:45" ht="15" x14ac:dyDescent="0.25">
      <c r="C206"/>
      <c r="D206"/>
      <c r="L206" s="446" t="s">
        <v>873</v>
      </c>
      <c r="M206" s="446">
        <v>4</v>
      </c>
      <c r="N206" s="446">
        <v>1</v>
      </c>
      <c r="O206" s="446" t="s">
        <v>700</v>
      </c>
      <c r="P206" s="449" t="s">
        <v>700</v>
      </c>
      <c r="Q206" s="449"/>
      <c r="R206" s="449"/>
      <c r="S206" s="449" t="s">
        <v>872</v>
      </c>
      <c r="T206" s="449" t="s">
        <v>701</v>
      </c>
      <c r="U206" s="452">
        <v>0</v>
      </c>
      <c r="V2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06" s="272" t="str">
        <f>IFERROR(SUMIFS(TransUnitCost[Miles],TransUnitCost[Grouping_ID],TransTonsShort[[#This Row],[Grouping_ID]],TransUnitCost[Transp_ID],TransTonsShort[[#This Row],[Transp_ID]])*TransTonsShort[[#This Row],[Trans_Tons_All]]/TransTonsShort[[#This Row],[Trans_Tons_All]],"")</f>
        <v/>
      </c>
      <c r="X206" s="386" t="str">
        <f>TransTonsShort[[#This Row],[Grouping_ID]]&amp;"-"&amp;TransTonsShort[[#This Row],[Sector_ID]]</f>
        <v>4-1</v>
      </c>
      <c r="Y2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6" s="421">
        <f>INDEX(LandfillFees[Disposal Tip Fee 2025],MATCH(TransTonsShort[[#This Row],[Grouping_ID]],LandfillFees[Grouping_ID],0))</f>
        <v>72.030938699729589</v>
      </c>
      <c r="AA206" s="102">
        <f>IF(OR(TransTonsShort[[#This Row],[CollectionStream_ID]]="03",TransTonsShort[[#This Row],[CollectionStream_ID]]="04",TransTonsShort[[#This Row],[CollectionStream_ID]]="13"),0,TransTonsShort[[#This Row],[Trans_Tons_All]]*TransTonsShort[[#This Row],[Disposal_Fee]])</f>
        <v>0</v>
      </c>
      <c r="AF206" s="446" t="s">
        <v>1379</v>
      </c>
      <c r="AG206" s="442" t="str">
        <f>LEFT(SecondaryTransport[[#This Row],[Scenario_MRF_Bale_ID]],2)</f>
        <v>S3</v>
      </c>
      <c r="AH206" s="181" t="str">
        <f>LEFT(RIGHT(SecondaryTransport[[#This Row],[Scenario_MRF_Bale_ID]],10),2)</f>
        <v>03</v>
      </c>
      <c r="AI206" s="181" t="str">
        <f>INDEX(MRFs[MRF_Name],MATCH(SecondaryTransport[[#This Row],[MRF_ID]],MRFs[MRF_ID],0))</f>
        <v>5 MRFs for SS with fiber upgrades (Portland)</v>
      </c>
      <c r="AJ206" s="181" t="str">
        <f>RIGHT(SecondaryTransport[[#This Row],[Scenario_MRF_Bale_ID]],7)</f>
        <v>2000-18</v>
      </c>
      <c r="AK206" s="181" t="str">
        <f>INDEX(Bales[Bale_Name],MATCH(SecondaryTransport[[#This Row],[Bale_ID]],Bales[Bale_ID],0))</f>
        <v>#3-7 bottles and small rigid plastics </v>
      </c>
      <c r="AL206" s="443">
        <f>INDEX(BaleMover[Total_Baled_tons],MATCH(SecondaryTransport[[#This Row],[Scenario_MRF_Bale_ID]],BaleMover[Scenario_MRF_Bale_ID],0))</f>
        <v>0</v>
      </c>
      <c r="AM206" s="443">
        <f>IF(INDEX(BaleMover[Miles],MATCH(SecondaryTransport[[#This Row],[Scenario_MRF_Bale_ID]],BaleMover[Scenario_MRF_Bale_ID],0))="",0,INDEX(BaleMover[Miles],MATCH(SecondaryTransport[[#This Row],[Scenario_MRF_Bale_ID]],BaleMover[Scenario_MRF_Bale_ID],0)))</f>
        <v>0</v>
      </c>
      <c r="AN206" s="251">
        <f>IF(SecondaryTransport[[#This Row],[Bale_ID]]="9000-01","costs elsewhere",SecondaryTransport[[#This Row],[Total_Baled_tons]]*SecondaryTransport[[#This Row],[Miles]])</f>
        <v>0</v>
      </c>
      <c r="AO206" s="352" t="str">
        <f>IF(LEFT(SecondaryTransport[[#This Row],[Bale_ID]],1)*1=5,IF(OR(SecondaryTransport[[#This Row],[MRF_ID]]="02",SecondaryTransport[[#This Row],[MRF_ID]]="08"),2,1),"")</f>
        <v/>
      </c>
      <c r="AP2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6" s="224" t="str">
        <f>IFERROR(IF(1*LEFT(SecondaryTransport[[#This Row],[Bale_ID]],1)=5,SecondaryTransport[[#This Row],[Ton-Miles]]*SecondaryTransport[[#This Row],[Cost_Per_Ton-Mile]],""),"")</f>
        <v/>
      </c>
      <c r="AS206" s="224" t="str">
        <f>IFERROR(IF(SecondaryTransport[[#This Row],[Container_Transfer]]="",(SecondaryTransport[[#This Row],[Ton-Miles]]*SecondaryTransport[[#This Row],[Cost_Per_Ton-Mile]]),""),"")</f>
        <v/>
      </c>
    </row>
    <row r="207" spans="3:45" ht="15" x14ac:dyDescent="0.25">
      <c r="C207"/>
      <c r="D207"/>
      <c r="L207" s="446" t="s">
        <v>873</v>
      </c>
      <c r="M207" s="446">
        <v>1</v>
      </c>
      <c r="N207" s="446">
        <v>1</v>
      </c>
      <c r="O207" s="446" t="s">
        <v>700</v>
      </c>
      <c r="P207" s="449" t="s">
        <v>706</v>
      </c>
      <c r="Q207" s="449"/>
      <c r="R207" s="449"/>
      <c r="S207" s="449" t="s">
        <v>872</v>
      </c>
      <c r="T207" s="449" t="s">
        <v>1025</v>
      </c>
      <c r="U207" s="452">
        <v>13633.49508226139</v>
      </c>
      <c r="V2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272669.9016452278</v>
      </c>
      <c r="W207" s="272">
        <f>IFERROR(SUMIFS(TransUnitCost[Miles],TransUnitCost[Grouping_ID],TransTonsShort[[#This Row],[Grouping_ID]],TransUnitCost[Transp_ID],TransTonsShort[[#This Row],[Transp_ID]])*TransTonsShort[[#This Row],[Trans_Tons_All]]/TransTonsShort[[#This Row],[Trans_Tons_All]],"")</f>
        <v>20</v>
      </c>
      <c r="X207" s="386" t="str">
        <f>TransTonsShort[[#This Row],[Grouping_ID]]&amp;"-"&amp;TransTonsShort[[#This Row],[Sector_ID]]</f>
        <v>1-1</v>
      </c>
      <c r="Y2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7" s="421">
        <f>INDEX(LandfillFees[Disposal Tip Fee 2025],MATCH(TransTonsShort[[#This Row],[Grouping_ID]],LandfillFees[Grouping_ID],0))</f>
        <v>134.68</v>
      </c>
      <c r="AA207" s="102">
        <f>IF(OR(TransTonsShort[[#This Row],[CollectionStream_ID]]="03",TransTonsShort[[#This Row],[CollectionStream_ID]]="04",TransTonsShort[[#This Row],[CollectionStream_ID]]="13"),0,TransTonsShort[[#This Row],[Trans_Tons_All]]*TransTonsShort[[#This Row],[Disposal_Fee]])</f>
        <v>1836159.117678964</v>
      </c>
      <c r="AF207" s="446" t="s">
        <v>1380</v>
      </c>
      <c r="AG207" s="442" t="str">
        <f>LEFT(SecondaryTransport[[#This Row],[Scenario_MRF_Bale_ID]],2)</f>
        <v>S0</v>
      </c>
      <c r="AH207" s="181" t="str">
        <f>LEFT(RIGHT(SecondaryTransport[[#This Row],[Scenario_MRF_Bale_ID]],10),2)</f>
        <v>03</v>
      </c>
      <c r="AI207" s="181" t="str">
        <f>INDEX(MRFs[MRF_Name],MATCH(SecondaryTransport[[#This Row],[MRF_ID]],MRFs[MRF_ID],0))</f>
        <v>5 MRFs for SS with fiber upgrades (Portland)</v>
      </c>
      <c r="AJ207" s="181" t="str">
        <f>RIGHT(SecondaryTransport[[#This Row],[Scenario_MRF_Bale_ID]],7)</f>
        <v>3000-01</v>
      </c>
      <c r="AK207" s="181" t="str">
        <f>INDEX(Bales[Bale_Name],MATCH(SecondaryTransport[[#This Row],[Bale_ID]],Bales[Bale_ID],0))</f>
        <v>Container glass </v>
      </c>
      <c r="AL207" s="443">
        <f>INDEX(BaleMover[Total_Baled_tons],MATCH(SecondaryTransport[[#This Row],[Scenario_MRF_Bale_ID]],BaleMover[Scenario_MRF_Bale_ID],0))</f>
        <v>0</v>
      </c>
      <c r="AM207" s="443">
        <f>IF(INDEX(BaleMover[Miles],MATCH(SecondaryTransport[[#This Row],[Scenario_MRF_Bale_ID]],BaleMover[Scenario_MRF_Bale_ID],0))="",0,INDEX(BaleMover[Miles],MATCH(SecondaryTransport[[#This Row],[Scenario_MRF_Bale_ID]],BaleMover[Scenario_MRF_Bale_ID],0)))</f>
        <v>0</v>
      </c>
      <c r="AN207" s="251">
        <f>IF(SecondaryTransport[[#This Row],[Bale_ID]]="9000-01","costs elsewhere",SecondaryTransport[[#This Row],[Total_Baled_tons]]*SecondaryTransport[[#This Row],[Miles]])</f>
        <v>0</v>
      </c>
      <c r="AO207" s="352" t="str">
        <f>IF(LEFT(SecondaryTransport[[#This Row],[Bale_ID]],1)*1=5,IF(OR(SecondaryTransport[[#This Row],[MRF_ID]]="02",SecondaryTransport[[#This Row],[MRF_ID]]="08"),2,1),"")</f>
        <v/>
      </c>
      <c r="AP2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7" s="224" t="str">
        <f>IFERROR(IF(1*LEFT(SecondaryTransport[[#This Row],[Bale_ID]],1)=5,SecondaryTransport[[#This Row],[Ton-Miles]]*SecondaryTransport[[#This Row],[Cost_Per_Ton-Mile]],""),"")</f>
        <v/>
      </c>
      <c r="AS207" s="224" t="str">
        <f>IFERROR(IF(SecondaryTransport[[#This Row],[Container_Transfer]]="",(SecondaryTransport[[#This Row],[Ton-Miles]]*SecondaryTransport[[#This Row],[Cost_Per_Ton-Mile]]),""),"")</f>
        <v/>
      </c>
    </row>
    <row r="208" spans="3:45" ht="15" x14ac:dyDescent="0.25">
      <c r="C208"/>
      <c r="D208"/>
      <c r="L208" s="446" t="s">
        <v>873</v>
      </c>
      <c r="M208" s="446">
        <v>2</v>
      </c>
      <c r="N208" s="446">
        <v>1</v>
      </c>
      <c r="O208" s="446" t="s">
        <v>700</v>
      </c>
      <c r="P208" s="449" t="s">
        <v>706</v>
      </c>
      <c r="Q208" s="449"/>
      <c r="R208" s="449"/>
      <c r="S208" s="449" t="s">
        <v>872</v>
      </c>
      <c r="T208" s="449" t="s">
        <v>1025</v>
      </c>
      <c r="U208" s="452">
        <v>22868.953450643501</v>
      </c>
      <c r="V2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640330.69661801797</v>
      </c>
      <c r="W208" s="272">
        <f>IFERROR(SUMIFS(TransUnitCost[Miles],TransUnitCost[Grouping_ID],TransTonsShort[[#This Row],[Grouping_ID]],TransUnitCost[Transp_ID],TransTonsShort[[#This Row],[Transp_ID]])*TransTonsShort[[#This Row],[Trans_Tons_All]]/TransTonsShort[[#This Row],[Trans_Tons_All]],"")</f>
        <v>70</v>
      </c>
      <c r="X208" s="386" t="str">
        <f>TransTonsShort[[#This Row],[Grouping_ID]]&amp;"-"&amp;TransTonsShort[[#This Row],[Sector_ID]]</f>
        <v>2-1</v>
      </c>
      <c r="Y2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8" s="421">
        <f>INDEX(LandfillFees[Disposal Tip Fee 2025],MATCH(TransTonsShort[[#This Row],[Grouping_ID]],LandfillFees[Grouping_ID],0))</f>
        <v>72.030938699729589</v>
      </c>
      <c r="AA208" s="102">
        <f>IF(OR(TransTonsShort[[#This Row],[CollectionStream_ID]]="03",TransTonsShort[[#This Row],[CollectionStream_ID]]="04",TransTonsShort[[#This Row],[CollectionStream_ID]]="13"),0,TransTonsShort[[#This Row],[Trans_Tons_All]]*TransTonsShort[[#This Row],[Disposal_Fee]])</f>
        <v>1647272.1841302714</v>
      </c>
      <c r="AF208" s="446" t="s">
        <v>1381</v>
      </c>
      <c r="AG208" s="442" t="str">
        <f>LEFT(SecondaryTransport[[#This Row],[Scenario_MRF_Bale_ID]],2)</f>
        <v>S1</v>
      </c>
      <c r="AH208" s="181" t="str">
        <f>LEFT(RIGHT(SecondaryTransport[[#This Row],[Scenario_MRF_Bale_ID]],10),2)</f>
        <v>03</v>
      </c>
      <c r="AI208" s="181" t="str">
        <f>INDEX(MRFs[MRF_Name],MATCH(SecondaryTransport[[#This Row],[MRF_ID]],MRFs[MRF_ID],0))</f>
        <v>5 MRFs for SS with fiber upgrades (Portland)</v>
      </c>
      <c r="AJ208" s="181" t="str">
        <f>RIGHT(SecondaryTransport[[#This Row],[Scenario_MRF_Bale_ID]],7)</f>
        <v>3000-01</v>
      </c>
      <c r="AK208" s="181" t="str">
        <f>INDEX(Bales[Bale_Name],MATCH(SecondaryTransport[[#This Row],[Bale_ID]],Bales[Bale_ID],0))</f>
        <v>Container glass </v>
      </c>
      <c r="AL208" s="443">
        <f>INDEX(BaleMover[Total_Baled_tons],MATCH(SecondaryTransport[[#This Row],[Scenario_MRF_Bale_ID]],BaleMover[Scenario_MRF_Bale_ID],0))</f>
        <v>0</v>
      </c>
      <c r="AM208" s="443">
        <f>IF(INDEX(BaleMover[Miles],MATCH(SecondaryTransport[[#This Row],[Scenario_MRF_Bale_ID]],BaleMover[Scenario_MRF_Bale_ID],0))="",0,INDEX(BaleMover[Miles],MATCH(SecondaryTransport[[#This Row],[Scenario_MRF_Bale_ID]],BaleMover[Scenario_MRF_Bale_ID],0)))</f>
        <v>0</v>
      </c>
      <c r="AN208" s="251">
        <f>IF(SecondaryTransport[[#This Row],[Bale_ID]]="9000-01","costs elsewhere",SecondaryTransport[[#This Row],[Total_Baled_tons]]*SecondaryTransport[[#This Row],[Miles]])</f>
        <v>0</v>
      </c>
      <c r="AO208" s="352" t="str">
        <f>IF(LEFT(SecondaryTransport[[#This Row],[Bale_ID]],1)*1=5,IF(OR(SecondaryTransport[[#This Row],[MRF_ID]]="02",SecondaryTransport[[#This Row],[MRF_ID]]="08"),2,1),"")</f>
        <v/>
      </c>
      <c r="AP2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8" s="224" t="str">
        <f>IFERROR(IF(1*LEFT(SecondaryTransport[[#This Row],[Bale_ID]],1)=5,SecondaryTransport[[#This Row],[Ton-Miles]]*SecondaryTransport[[#This Row],[Cost_Per_Ton-Mile]],""),"")</f>
        <v/>
      </c>
      <c r="AS208" s="224" t="str">
        <f>IFERROR(IF(SecondaryTransport[[#This Row],[Container_Transfer]]="",(SecondaryTransport[[#This Row],[Ton-Miles]]*SecondaryTransport[[#This Row],[Cost_Per_Ton-Mile]]),""),"")</f>
        <v/>
      </c>
    </row>
    <row r="209" spans="3:45" ht="15" x14ac:dyDescent="0.25">
      <c r="C209"/>
      <c r="D209"/>
      <c r="L209" s="446" t="s">
        <v>873</v>
      </c>
      <c r="M209" s="446">
        <v>3</v>
      </c>
      <c r="N209" s="446">
        <v>1</v>
      </c>
      <c r="O209" s="446" t="s">
        <v>700</v>
      </c>
      <c r="P209" s="449" t="s">
        <v>706</v>
      </c>
      <c r="Q209" s="449"/>
      <c r="R209" s="449"/>
      <c r="S209" s="449" t="s">
        <v>872</v>
      </c>
      <c r="T209" s="449" t="s">
        <v>1025</v>
      </c>
      <c r="U209" s="452">
        <v>25770.482645212571</v>
      </c>
      <c r="V2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1352950.33887366</v>
      </c>
      <c r="W209" s="272">
        <f>IFERROR(SUMIFS(TransUnitCost[Miles],TransUnitCost[Grouping_ID],TransTonsShort[[#This Row],[Grouping_ID]],TransUnitCost[Transp_ID],TransTonsShort[[#This Row],[Transp_ID]])*TransTonsShort[[#This Row],[Trans_Tons_All]]/TransTonsShort[[#This Row],[Trans_Tons_All]],"")</f>
        <v>150</v>
      </c>
      <c r="X209" s="386" t="str">
        <f>TransTonsShort[[#This Row],[Grouping_ID]]&amp;"-"&amp;TransTonsShort[[#This Row],[Sector_ID]]</f>
        <v>3-1</v>
      </c>
      <c r="Y2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09" s="421">
        <f>INDEX(LandfillFees[Disposal Tip Fee 2025],MATCH(TransTonsShort[[#This Row],[Grouping_ID]],LandfillFees[Grouping_ID],0))</f>
        <v>72.030938699729589</v>
      </c>
      <c r="AA209" s="102">
        <f>IF(OR(TransTonsShort[[#This Row],[CollectionStream_ID]]="03",TransTonsShort[[#This Row],[CollectionStream_ID]]="04",TransTonsShort[[#This Row],[CollectionStream_ID]]="13"),0,TransTonsShort[[#This Row],[Trans_Tons_All]]*TransTonsShort[[#This Row],[Disposal_Fee]])</f>
        <v>1856272.0556797518</v>
      </c>
      <c r="AF209" s="446" t="s">
        <v>1382</v>
      </c>
      <c r="AG209" s="442" t="str">
        <f>LEFT(SecondaryTransport[[#This Row],[Scenario_MRF_Bale_ID]],2)</f>
        <v>S2</v>
      </c>
      <c r="AH209" s="181" t="str">
        <f>LEFT(RIGHT(SecondaryTransport[[#This Row],[Scenario_MRF_Bale_ID]],10),2)</f>
        <v>03</v>
      </c>
      <c r="AI209" s="181" t="str">
        <f>INDEX(MRFs[MRF_Name],MATCH(SecondaryTransport[[#This Row],[MRF_ID]],MRFs[MRF_ID],0))</f>
        <v>5 MRFs for SS with fiber upgrades (Portland)</v>
      </c>
      <c r="AJ209" s="181" t="str">
        <f>RIGHT(SecondaryTransport[[#This Row],[Scenario_MRF_Bale_ID]],7)</f>
        <v>3000-01</v>
      </c>
      <c r="AK209" s="181" t="str">
        <f>INDEX(Bales[Bale_Name],MATCH(SecondaryTransport[[#This Row],[Bale_ID]],Bales[Bale_ID],0))</f>
        <v>Container glass </v>
      </c>
      <c r="AL209" s="443">
        <f>INDEX(BaleMover[Total_Baled_tons],MATCH(SecondaryTransport[[#This Row],[Scenario_MRF_Bale_ID]],BaleMover[Scenario_MRF_Bale_ID],0))</f>
        <v>0</v>
      </c>
      <c r="AM209" s="443">
        <f>IF(INDEX(BaleMover[Miles],MATCH(SecondaryTransport[[#This Row],[Scenario_MRF_Bale_ID]],BaleMover[Scenario_MRF_Bale_ID],0))="",0,INDEX(BaleMover[Miles],MATCH(SecondaryTransport[[#This Row],[Scenario_MRF_Bale_ID]],BaleMover[Scenario_MRF_Bale_ID],0)))</f>
        <v>0</v>
      </c>
      <c r="AN209" s="251">
        <f>IF(SecondaryTransport[[#This Row],[Bale_ID]]="9000-01","costs elsewhere",SecondaryTransport[[#This Row],[Total_Baled_tons]]*SecondaryTransport[[#This Row],[Miles]])</f>
        <v>0</v>
      </c>
      <c r="AO209" s="352" t="str">
        <f>IF(LEFT(SecondaryTransport[[#This Row],[Bale_ID]],1)*1=5,IF(OR(SecondaryTransport[[#This Row],[MRF_ID]]="02",SecondaryTransport[[#This Row],[MRF_ID]]="08"),2,1),"")</f>
        <v/>
      </c>
      <c r="AP2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0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09" s="224" t="str">
        <f>IFERROR(IF(1*LEFT(SecondaryTransport[[#This Row],[Bale_ID]],1)=5,SecondaryTransport[[#This Row],[Ton-Miles]]*SecondaryTransport[[#This Row],[Cost_Per_Ton-Mile]],""),"")</f>
        <v/>
      </c>
      <c r="AS209" s="224" t="str">
        <f>IFERROR(IF(SecondaryTransport[[#This Row],[Container_Transfer]]="",(SecondaryTransport[[#This Row],[Ton-Miles]]*SecondaryTransport[[#This Row],[Cost_Per_Ton-Mile]]),""),"")</f>
        <v/>
      </c>
    </row>
    <row r="210" spans="3:45" ht="15" x14ac:dyDescent="0.25">
      <c r="C210"/>
      <c r="D210"/>
      <c r="L210" s="446" t="s">
        <v>873</v>
      </c>
      <c r="M210" s="446">
        <v>4</v>
      </c>
      <c r="N210" s="446">
        <v>1</v>
      </c>
      <c r="O210" s="446" t="s">
        <v>700</v>
      </c>
      <c r="P210" s="449" t="s">
        <v>706</v>
      </c>
      <c r="Q210" s="449"/>
      <c r="R210" s="449"/>
      <c r="S210" s="449" t="s">
        <v>872</v>
      </c>
      <c r="T210" s="449" t="s">
        <v>1025</v>
      </c>
      <c r="U210" s="452">
        <v>231.22375350180778</v>
      </c>
      <c r="V2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23122.375350180777</v>
      </c>
      <c r="W210" s="272">
        <f>IFERROR(SUMIFS(TransUnitCost[Miles],TransUnitCost[Grouping_ID],TransTonsShort[[#This Row],[Grouping_ID]],TransUnitCost[Transp_ID],TransTonsShort[[#This Row],[Transp_ID]])*TransTonsShort[[#This Row],[Trans_Tons_All]]/TransTonsShort[[#This Row],[Trans_Tons_All]],"")</f>
        <v>250</v>
      </c>
      <c r="X210" s="386" t="str">
        <f>TransTonsShort[[#This Row],[Grouping_ID]]&amp;"-"&amp;TransTonsShort[[#This Row],[Sector_ID]]</f>
        <v>4-1</v>
      </c>
      <c r="Y2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0" s="421">
        <f>INDEX(LandfillFees[Disposal Tip Fee 2025],MATCH(TransTonsShort[[#This Row],[Grouping_ID]],LandfillFees[Grouping_ID],0))</f>
        <v>72.030938699729589</v>
      </c>
      <c r="AA210" s="102">
        <f>IF(OR(TransTonsShort[[#This Row],[CollectionStream_ID]]="03",TransTonsShort[[#This Row],[CollectionStream_ID]]="04",TransTonsShort[[#This Row],[CollectionStream_ID]]="13"),0,TransTonsShort[[#This Row],[Trans_Tons_All]]*TransTonsShort[[#This Row],[Disposal_Fee]])</f>
        <v>16655.264014410102</v>
      </c>
      <c r="AF210" s="446" t="s">
        <v>1383</v>
      </c>
      <c r="AG210" s="442" t="str">
        <f>LEFT(SecondaryTransport[[#This Row],[Scenario_MRF_Bale_ID]],2)</f>
        <v>S3</v>
      </c>
      <c r="AH210" s="181" t="str">
        <f>LEFT(RIGHT(SecondaryTransport[[#This Row],[Scenario_MRF_Bale_ID]],10),2)</f>
        <v>03</v>
      </c>
      <c r="AI210" s="181" t="str">
        <f>INDEX(MRFs[MRF_Name],MATCH(SecondaryTransport[[#This Row],[MRF_ID]],MRFs[MRF_ID],0))</f>
        <v>5 MRFs for SS with fiber upgrades (Portland)</v>
      </c>
      <c r="AJ210" s="181" t="str">
        <f>RIGHT(SecondaryTransport[[#This Row],[Scenario_MRF_Bale_ID]],7)</f>
        <v>3000-01</v>
      </c>
      <c r="AK210" s="181" t="str">
        <f>INDEX(Bales[Bale_Name],MATCH(SecondaryTransport[[#This Row],[Bale_ID]],Bales[Bale_ID],0))</f>
        <v>Container glass </v>
      </c>
      <c r="AL210" s="443">
        <f>INDEX(BaleMover[Total_Baled_tons],MATCH(SecondaryTransport[[#This Row],[Scenario_MRF_Bale_ID]],BaleMover[Scenario_MRF_Bale_ID],0))</f>
        <v>0</v>
      </c>
      <c r="AM210" s="443">
        <f>IF(INDEX(BaleMover[Miles],MATCH(SecondaryTransport[[#This Row],[Scenario_MRF_Bale_ID]],BaleMover[Scenario_MRF_Bale_ID],0))="",0,INDEX(BaleMover[Miles],MATCH(SecondaryTransport[[#This Row],[Scenario_MRF_Bale_ID]],BaleMover[Scenario_MRF_Bale_ID],0)))</f>
        <v>0</v>
      </c>
      <c r="AN210" s="251">
        <f>IF(SecondaryTransport[[#This Row],[Bale_ID]]="9000-01","costs elsewhere",SecondaryTransport[[#This Row],[Total_Baled_tons]]*SecondaryTransport[[#This Row],[Miles]])</f>
        <v>0</v>
      </c>
      <c r="AO210" s="352" t="str">
        <f>IF(LEFT(SecondaryTransport[[#This Row],[Bale_ID]],1)*1=5,IF(OR(SecondaryTransport[[#This Row],[MRF_ID]]="02",SecondaryTransport[[#This Row],[MRF_ID]]="08"),2,1),"")</f>
        <v/>
      </c>
      <c r="AP2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1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10" s="224" t="str">
        <f>IFERROR(IF(1*LEFT(SecondaryTransport[[#This Row],[Bale_ID]],1)=5,SecondaryTransport[[#This Row],[Ton-Miles]]*SecondaryTransport[[#This Row],[Cost_Per_Ton-Mile]],""),"")</f>
        <v/>
      </c>
      <c r="AS210" s="224" t="str">
        <f>IFERROR(IF(SecondaryTransport[[#This Row],[Container_Transfer]]="",(SecondaryTransport[[#This Row],[Ton-Miles]]*SecondaryTransport[[#This Row],[Cost_Per_Ton-Mile]]),""),"")</f>
        <v/>
      </c>
    </row>
    <row r="211" spans="3:45" ht="15" x14ac:dyDescent="0.25">
      <c r="C211"/>
      <c r="D211"/>
      <c r="L211" s="446" t="s">
        <v>873</v>
      </c>
      <c r="M211" s="446">
        <v>1</v>
      </c>
      <c r="N211" s="446">
        <v>1</v>
      </c>
      <c r="O211" s="446" t="s">
        <v>748</v>
      </c>
      <c r="P211" s="450" t="s">
        <v>719</v>
      </c>
      <c r="Q211" s="450"/>
      <c r="R211" s="450"/>
      <c r="S211" s="449" t="s">
        <v>765</v>
      </c>
      <c r="T211" s="449" t="s">
        <v>1055</v>
      </c>
      <c r="U211" s="452">
        <v>0</v>
      </c>
      <c r="V2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1" s="272" t="str">
        <f>IFERROR(SUMIFS(TransUnitCost[Miles],TransUnitCost[Grouping_ID],TransTonsShort[[#This Row],[Grouping_ID]],TransUnitCost[Transp_ID],TransTonsShort[[#This Row],[Transp_ID]])*TransTonsShort[[#This Row],[Trans_Tons_All]]/TransTonsShort[[#This Row],[Trans_Tons_All]],"")</f>
        <v/>
      </c>
      <c r="X211" s="386" t="str">
        <f>TransTonsShort[[#This Row],[Grouping_ID]]&amp;"-"&amp;TransTonsShort[[#This Row],[Sector_ID]]</f>
        <v>1-1</v>
      </c>
      <c r="Y2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1" s="421">
        <f>INDEX(LandfillFees[Disposal Tip Fee 2025],MATCH(TransTonsShort[[#This Row],[Grouping_ID]],LandfillFees[Grouping_ID],0))</f>
        <v>134.68</v>
      </c>
      <c r="AA211" s="102">
        <f>IF(OR(TransTonsShort[[#This Row],[CollectionStream_ID]]="03",TransTonsShort[[#This Row],[CollectionStream_ID]]="04",TransTonsShort[[#This Row],[CollectionStream_ID]]="13"),0,TransTonsShort[[#This Row],[Trans_Tons_All]]*TransTonsShort[[#This Row],[Disposal_Fee]])</f>
        <v>0</v>
      </c>
      <c r="AF211" s="446" t="s">
        <v>1384</v>
      </c>
      <c r="AG211" s="442" t="str">
        <f>LEFT(SecondaryTransport[[#This Row],[Scenario_MRF_Bale_ID]],2)</f>
        <v>S0</v>
      </c>
      <c r="AH211" s="181" t="str">
        <f>LEFT(RIGHT(SecondaryTransport[[#This Row],[Scenario_MRF_Bale_ID]],10),2)</f>
        <v>03</v>
      </c>
      <c r="AI211" s="181" t="str">
        <f>INDEX(MRFs[MRF_Name],MATCH(SecondaryTransport[[#This Row],[MRF_ID]],MRFs[MRF_ID],0))</f>
        <v>5 MRFs for SS with fiber upgrades (Portland)</v>
      </c>
      <c r="AJ211" s="181" t="str">
        <f>RIGHT(SecondaryTransport[[#This Row],[Scenario_MRF_Bale_ID]],7)</f>
        <v>4000-01</v>
      </c>
      <c r="AK211" s="181" t="str">
        <f>INDEX(Bales[Bale_Name],MATCH(SecondaryTransport[[#This Row],[Bale_ID]],Bales[Bale_ID],0))</f>
        <v>Aluminum cans and foil</v>
      </c>
      <c r="AL211" s="443">
        <f>INDEX(BaleMover[Total_Baled_tons],MATCH(SecondaryTransport[[#This Row],[Scenario_MRF_Bale_ID]],BaleMover[Scenario_MRF_Bale_ID],0))</f>
        <v>660.22280383022792</v>
      </c>
      <c r="AM211" s="443">
        <f>IF(INDEX(BaleMover[Miles],MATCH(SecondaryTransport[[#This Row],[Scenario_MRF_Bale_ID]],BaleMover[Scenario_MRF_Bale_ID],0))="",0,INDEX(BaleMover[Miles],MATCH(SecondaryTransport[[#This Row],[Scenario_MRF_Bale_ID]],BaleMover[Scenario_MRF_Bale_ID],0)))</f>
        <v>960</v>
      </c>
      <c r="AN211" s="251">
        <f>IF(SecondaryTransport[[#This Row],[Bale_ID]]="9000-01","costs elsewhere",SecondaryTransport[[#This Row],[Total_Baled_tons]]*SecondaryTransport[[#This Row],[Miles]])</f>
        <v>633813.89167701884</v>
      </c>
      <c r="AO211" s="352" t="str">
        <f>IF(LEFT(SecondaryTransport[[#This Row],[Bale_ID]],1)*1=5,IF(OR(SecondaryTransport[[#This Row],[MRF_ID]]="02",SecondaryTransport[[#This Row],[MRF_ID]]="08"),2,1),"")</f>
        <v/>
      </c>
      <c r="AP2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1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11" s="224" t="str">
        <f>IFERROR(IF(1*LEFT(SecondaryTransport[[#This Row],[Bale_ID]],1)=5,SecondaryTransport[[#This Row],[Ton-Miles]]*SecondaryTransport[[#This Row],[Cost_Per_Ton-Mile]],""),"")</f>
        <v/>
      </c>
      <c r="AS211" s="224">
        <f>IFERROR(IF(SecondaryTransport[[#This Row],[Container_Transfer]]="",(SecondaryTransport[[#This Row],[Ton-Miles]]*SecondaryTransport[[#This Row],[Cost_Per_Ton-Mile]]),""),"")</f>
        <v>88733.94483478264</v>
      </c>
    </row>
    <row r="212" spans="3:45" ht="15" x14ac:dyDescent="0.25">
      <c r="C212"/>
      <c r="D212"/>
      <c r="L212" s="446" t="s">
        <v>873</v>
      </c>
      <c r="M212" s="446">
        <v>2</v>
      </c>
      <c r="N212" s="446">
        <v>1</v>
      </c>
      <c r="O212" s="446" t="s">
        <v>748</v>
      </c>
      <c r="P212" s="450" t="s">
        <v>719</v>
      </c>
      <c r="Q212" s="450"/>
      <c r="R212" s="450"/>
      <c r="S212" s="449" t="s">
        <v>765</v>
      </c>
      <c r="T212" s="449" t="s">
        <v>1055</v>
      </c>
      <c r="U212" s="452">
        <v>0</v>
      </c>
      <c r="V2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2" s="272" t="str">
        <f>IFERROR(SUMIFS(TransUnitCost[Miles],TransUnitCost[Grouping_ID],TransTonsShort[[#This Row],[Grouping_ID]],TransUnitCost[Transp_ID],TransTonsShort[[#This Row],[Transp_ID]])*TransTonsShort[[#This Row],[Trans_Tons_All]]/TransTonsShort[[#This Row],[Trans_Tons_All]],"")</f>
        <v/>
      </c>
      <c r="X212" s="386" t="str">
        <f>TransTonsShort[[#This Row],[Grouping_ID]]&amp;"-"&amp;TransTonsShort[[#This Row],[Sector_ID]]</f>
        <v>2-1</v>
      </c>
      <c r="Y2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2" s="421">
        <f>INDEX(LandfillFees[Disposal Tip Fee 2025],MATCH(TransTonsShort[[#This Row],[Grouping_ID]],LandfillFees[Grouping_ID],0))</f>
        <v>72.030938699729589</v>
      </c>
      <c r="AA212" s="102">
        <f>IF(OR(TransTonsShort[[#This Row],[CollectionStream_ID]]="03",TransTonsShort[[#This Row],[CollectionStream_ID]]="04",TransTonsShort[[#This Row],[CollectionStream_ID]]="13"),0,TransTonsShort[[#This Row],[Trans_Tons_All]]*TransTonsShort[[#This Row],[Disposal_Fee]])</f>
        <v>0</v>
      </c>
      <c r="AF212" s="446" t="s">
        <v>1385</v>
      </c>
      <c r="AG212" s="442" t="str">
        <f>LEFT(SecondaryTransport[[#This Row],[Scenario_MRF_Bale_ID]],2)</f>
        <v>S1</v>
      </c>
      <c r="AH212" s="181" t="str">
        <f>LEFT(RIGHT(SecondaryTransport[[#This Row],[Scenario_MRF_Bale_ID]],10),2)</f>
        <v>03</v>
      </c>
      <c r="AI212" s="181" t="str">
        <f>INDEX(MRFs[MRF_Name],MATCH(SecondaryTransport[[#This Row],[MRF_ID]],MRFs[MRF_ID],0))</f>
        <v>5 MRFs for SS with fiber upgrades (Portland)</v>
      </c>
      <c r="AJ212" s="181" t="str">
        <f>RIGHT(SecondaryTransport[[#This Row],[Scenario_MRF_Bale_ID]],7)</f>
        <v>4000-01</v>
      </c>
      <c r="AK212" s="181" t="str">
        <f>INDEX(Bales[Bale_Name],MATCH(SecondaryTransport[[#This Row],[Bale_ID]],Bales[Bale_ID],0))</f>
        <v>Aluminum cans and foil</v>
      </c>
      <c r="AL212" s="443">
        <f>INDEX(BaleMover[Total_Baled_tons],MATCH(SecondaryTransport[[#This Row],[Scenario_MRF_Bale_ID]],BaleMover[Scenario_MRF_Bale_ID],0))</f>
        <v>514.60819883873216</v>
      </c>
      <c r="AM212" s="443">
        <f>IF(INDEX(BaleMover[Miles],MATCH(SecondaryTransport[[#This Row],[Scenario_MRF_Bale_ID]],BaleMover[Scenario_MRF_Bale_ID],0))="",0,INDEX(BaleMover[Miles],MATCH(SecondaryTransport[[#This Row],[Scenario_MRF_Bale_ID]],BaleMover[Scenario_MRF_Bale_ID],0)))</f>
        <v>960</v>
      </c>
      <c r="AN212" s="251">
        <f>IF(SecondaryTransport[[#This Row],[Bale_ID]]="9000-01","costs elsewhere",SecondaryTransport[[#This Row],[Total_Baled_tons]]*SecondaryTransport[[#This Row],[Miles]])</f>
        <v>494023.87088518287</v>
      </c>
      <c r="AO212" s="352" t="str">
        <f>IF(LEFT(SecondaryTransport[[#This Row],[Bale_ID]],1)*1=5,IF(OR(SecondaryTransport[[#This Row],[MRF_ID]]="02",SecondaryTransport[[#This Row],[MRF_ID]]="08"),2,1),"")</f>
        <v/>
      </c>
      <c r="AP2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1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12" s="224" t="str">
        <f>IFERROR(IF(1*LEFT(SecondaryTransport[[#This Row],[Bale_ID]],1)=5,SecondaryTransport[[#This Row],[Ton-Miles]]*SecondaryTransport[[#This Row],[Cost_Per_Ton-Mile]],""),"")</f>
        <v/>
      </c>
      <c r="AS212" s="224">
        <f>IFERROR(IF(SecondaryTransport[[#This Row],[Container_Transfer]]="",(SecondaryTransport[[#This Row],[Ton-Miles]]*SecondaryTransport[[#This Row],[Cost_Per_Ton-Mile]]),""),"")</f>
        <v>69163.341923925604</v>
      </c>
    </row>
    <row r="213" spans="3:45" ht="15" x14ac:dyDescent="0.25">
      <c r="C213"/>
      <c r="D213"/>
      <c r="L213" s="446" t="s">
        <v>873</v>
      </c>
      <c r="M213" s="446">
        <v>3</v>
      </c>
      <c r="N213" s="446">
        <v>1</v>
      </c>
      <c r="O213" s="446" t="s">
        <v>748</v>
      </c>
      <c r="P213" s="450" t="s">
        <v>719</v>
      </c>
      <c r="Q213" s="450"/>
      <c r="R213" s="450"/>
      <c r="S213" s="449" t="s">
        <v>765</v>
      </c>
      <c r="T213" s="449" t="s">
        <v>1055</v>
      </c>
      <c r="U213" s="452">
        <v>0</v>
      </c>
      <c r="V2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3" s="272" t="str">
        <f>IFERROR(SUMIFS(TransUnitCost[Miles],TransUnitCost[Grouping_ID],TransTonsShort[[#This Row],[Grouping_ID]],TransUnitCost[Transp_ID],TransTonsShort[[#This Row],[Transp_ID]])*TransTonsShort[[#This Row],[Trans_Tons_All]]/TransTonsShort[[#This Row],[Trans_Tons_All]],"")</f>
        <v/>
      </c>
      <c r="X213" s="386" t="str">
        <f>TransTonsShort[[#This Row],[Grouping_ID]]&amp;"-"&amp;TransTonsShort[[#This Row],[Sector_ID]]</f>
        <v>3-1</v>
      </c>
      <c r="Y2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3" s="421">
        <f>INDEX(LandfillFees[Disposal Tip Fee 2025],MATCH(TransTonsShort[[#This Row],[Grouping_ID]],LandfillFees[Grouping_ID],0))</f>
        <v>72.030938699729589</v>
      </c>
      <c r="AA213" s="102">
        <f>IF(OR(TransTonsShort[[#This Row],[CollectionStream_ID]]="03",TransTonsShort[[#This Row],[CollectionStream_ID]]="04",TransTonsShort[[#This Row],[CollectionStream_ID]]="13"),0,TransTonsShort[[#This Row],[Trans_Tons_All]]*TransTonsShort[[#This Row],[Disposal_Fee]])</f>
        <v>0</v>
      </c>
      <c r="AF213" s="446" t="s">
        <v>1386</v>
      </c>
      <c r="AG213" s="442" t="str">
        <f>LEFT(SecondaryTransport[[#This Row],[Scenario_MRF_Bale_ID]],2)</f>
        <v>S2</v>
      </c>
      <c r="AH213" s="181" t="str">
        <f>LEFT(RIGHT(SecondaryTransport[[#This Row],[Scenario_MRF_Bale_ID]],10),2)</f>
        <v>03</v>
      </c>
      <c r="AI213" s="181" t="str">
        <f>INDEX(MRFs[MRF_Name],MATCH(SecondaryTransport[[#This Row],[MRF_ID]],MRFs[MRF_ID],0))</f>
        <v>5 MRFs for SS with fiber upgrades (Portland)</v>
      </c>
      <c r="AJ213" s="181" t="str">
        <f>RIGHT(SecondaryTransport[[#This Row],[Scenario_MRF_Bale_ID]],7)</f>
        <v>4000-01</v>
      </c>
      <c r="AK213" s="181" t="str">
        <f>INDEX(Bales[Bale_Name],MATCH(SecondaryTransport[[#This Row],[Bale_ID]],Bales[Bale_ID],0))</f>
        <v>Aluminum cans and foil</v>
      </c>
      <c r="AL213" s="443">
        <f>INDEX(BaleMover[Total_Baled_tons],MATCH(SecondaryTransport[[#This Row],[Scenario_MRF_Bale_ID]],BaleMover[Scenario_MRF_Bale_ID],0))</f>
        <v>681.4853315029726</v>
      </c>
      <c r="AM213" s="443">
        <f>IF(INDEX(BaleMover[Miles],MATCH(SecondaryTransport[[#This Row],[Scenario_MRF_Bale_ID]],BaleMover[Scenario_MRF_Bale_ID],0))="",0,INDEX(BaleMover[Miles],MATCH(SecondaryTransport[[#This Row],[Scenario_MRF_Bale_ID]],BaleMover[Scenario_MRF_Bale_ID],0)))</f>
        <v>960</v>
      </c>
      <c r="AN213" s="251">
        <f>IF(SecondaryTransport[[#This Row],[Bale_ID]]="9000-01","costs elsewhere",SecondaryTransport[[#This Row],[Total_Baled_tons]]*SecondaryTransport[[#This Row],[Miles]])</f>
        <v>654225.91824285372</v>
      </c>
      <c r="AO213" s="352" t="str">
        <f>IF(LEFT(SecondaryTransport[[#This Row],[Bale_ID]],1)*1=5,IF(OR(SecondaryTransport[[#This Row],[MRF_ID]]="02",SecondaryTransport[[#This Row],[MRF_ID]]="08"),2,1),"")</f>
        <v/>
      </c>
      <c r="AP2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1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13" s="224" t="str">
        <f>IFERROR(IF(1*LEFT(SecondaryTransport[[#This Row],[Bale_ID]],1)=5,SecondaryTransport[[#This Row],[Ton-Miles]]*SecondaryTransport[[#This Row],[Cost_Per_Ton-Mile]],""),"")</f>
        <v/>
      </c>
      <c r="AS213" s="224">
        <f>IFERROR(IF(SecondaryTransport[[#This Row],[Container_Transfer]]="",(SecondaryTransport[[#This Row],[Ton-Miles]]*SecondaryTransport[[#This Row],[Cost_Per_Ton-Mile]]),""),"")</f>
        <v>91591.62855399953</v>
      </c>
    </row>
    <row r="214" spans="3:45" ht="15" x14ac:dyDescent="0.25">
      <c r="C214"/>
      <c r="D214"/>
      <c r="L214" s="446" t="s">
        <v>873</v>
      </c>
      <c r="M214" s="446">
        <v>4</v>
      </c>
      <c r="N214" s="446">
        <v>1</v>
      </c>
      <c r="O214" s="446" t="s">
        <v>748</v>
      </c>
      <c r="P214" s="450" t="s">
        <v>719</v>
      </c>
      <c r="Q214" s="450"/>
      <c r="R214" s="450"/>
      <c r="S214" s="449" t="s">
        <v>765</v>
      </c>
      <c r="T214" s="449" t="s">
        <v>1055</v>
      </c>
      <c r="U214" s="452">
        <v>0</v>
      </c>
      <c r="V2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4" s="272" t="str">
        <f>IFERROR(SUMIFS(TransUnitCost[Miles],TransUnitCost[Grouping_ID],TransTonsShort[[#This Row],[Grouping_ID]],TransUnitCost[Transp_ID],TransTonsShort[[#This Row],[Transp_ID]])*TransTonsShort[[#This Row],[Trans_Tons_All]]/TransTonsShort[[#This Row],[Trans_Tons_All]],"")</f>
        <v/>
      </c>
      <c r="X214" s="386" t="str">
        <f>TransTonsShort[[#This Row],[Grouping_ID]]&amp;"-"&amp;TransTonsShort[[#This Row],[Sector_ID]]</f>
        <v>4-1</v>
      </c>
      <c r="Y2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4" s="421">
        <f>INDEX(LandfillFees[Disposal Tip Fee 2025],MATCH(TransTonsShort[[#This Row],[Grouping_ID]],LandfillFees[Grouping_ID],0))</f>
        <v>72.030938699729589</v>
      </c>
      <c r="AA214" s="102">
        <f>IF(OR(TransTonsShort[[#This Row],[CollectionStream_ID]]="03",TransTonsShort[[#This Row],[CollectionStream_ID]]="04",TransTonsShort[[#This Row],[CollectionStream_ID]]="13"),0,TransTonsShort[[#This Row],[Trans_Tons_All]]*TransTonsShort[[#This Row],[Disposal_Fee]])</f>
        <v>0</v>
      </c>
      <c r="AF214" s="446" t="s">
        <v>1387</v>
      </c>
      <c r="AG214" s="442" t="str">
        <f>LEFT(SecondaryTransport[[#This Row],[Scenario_MRF_Bale_ID]],2)</f>
        <v>S3</v>
      </c>
      <c r="AH214" s="181" t="str">
        <f>LEFT(RIGHT(SecondaryTransport[[#This Row],[Scenario_MRF_Bale_ID]],10),2)</f>
        <v>03</v>
      </c>
      <c r="AI214" s="181" t="str">
        <f>INDEX(MRFs[MRF_Name],MATCH(SecondaryTransport[[#This Row],[MRF_ID]],MRFs[MRF_ID],0))</f>
        <v>5 MRFs for SS with fiber upgrades (Portland)</v>
      </c>
      <c r="AJ214" s="181" t="str">
        <f>RIGHT(SecondaryTransport[[#This Row],[Scenario_MRF_Bale_ID]],7)</f>
        <v>4000-01</v>
      </c>
      <c r="AK214" s="181" t="str">
        <f>INDEX(Bales[Bale_Name],MATCH(SecondaryTransport[[#This Row],[Bale_ID]],Bales[Bale_ID],0))</f>
        <v>Aluminum cans and foil</v>
      </c>
      <c r="AL214" s="443">
        <f>INDEX(BaleMover[Total_Baled_tons],MATCH(SecondaryTransport[[#This Row],[Scenario_MRF_Bale_ID]],BaleMover[Scenario_MRF_Bale_ID],0))</f>
        <v>681.4853315029726</v>
      </c>
      <c r="AM214" s="443">
        <f>IF(INDEX(BaleMover[Miles],MATCH(SecondaryTransport[[#This Row],[Scenario_MRF_Bale_ID]],BaleMover[Scenario_MRF_Bale_ID],0))="",0,INDEX(BaleMover[Miles],MATCH(SecondaryTransport[[#This Row],[Scenario_MRF_Bale_ID]],BaleMover[Scenario_MRF_Bale_ID],0)))</f>
        <v>960</v>
      </c>
      <c r="AN214" s="251">
        <f>IF(SecondaryTransport[[#This Row],[Bale_ID]]="9000-01","costs elsewhere",SecondaryTransport[[#This Row],[Total_Baled_tons]]*SecondaryTransport[[#This Row],[Miles]])</f>
        <v>654225.91824285372</v>
      </c>
      <c r="AO214" s="352" t="str">
        <f>IF(LEFT(SecondaryTransport[[#This Row],[Bale_ID]],1)*1=5,IF(OR(SecondaryTransport[[#This Row],[MRF_ID]]="02",SecondaryTransport[[#This Row],[MRF_ID]]="08"),2,1),"")</f>
        <v/>
      </c>
      <c r="AP2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1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14" s="224" t="str">
        <f>IFERROR(IF(1*LEFT(SecondaryTransport[[#This Row],[Bale_ID]],1)=5,SecondaryTransport[[#This Row],[Ton-Miles]]*SecondaryTransport[[#This Row],[Cost_Per_Ton-Mile]],""),"")</f>
        <v/>
      </c>
      <c r="AS214" s="224">
        <f>IFERROR(IF(SecondaryTransport[[#This Row],[Container_Transfer]]="",(SecondaryTransport[[#This Row],[Ton-Miles]]*SecondaryTransport[[#This Row],[Cost_Per_Ton-Mile]]),""),"")</f>
        <v>91591.62855399953</v>
      </c>
    </row>
    <row r="215" spans="3:45" ht="15" x14ac:dyDescent="0.25">
      <c r="C215"/>
      <c r="D215"/>
      <c r="L215" s="446" t="s">
        <v>873</v>
      </c>
      <c r="M215" s="446">
        <v>1</v>
      </c>
      <c r="N215" s="446">
        <v>1</v>
      </c>
      <c r="O215" s="446" t="s">
        <v>748</v>
      </c>
      <c r="P215" s="449" t="s">
        <v>700</v>
      </c>
      <c r="Q215" s="449"/>
      <c r="R215" s="449"/>
      <c r="S215" s="449" t="s">
        <v>765</v>
      </c>
      <c r="T215" s="449" t="s">
        <v>701</v>
      </c>
      <c r="U215" s="452">
        <v>0</v>
      </c>
      <c r="V2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5" s="272" t="str">
        <f>IFERROR(SUMIFS(TransUnitCost[Miles],TransUnitCost[Grouping_ID],TransTonsShort[[#This Row],[Grouping_ID]],TransUnitCost[Transp_ID],TransTonsShort[[#This Row],[Transp_ID]])*TransTonsShort[[#This Row],[Trans_Tons_All]]/TransTonsShort[[#This Row],[Trans_Tons_All]],"")</f>
        <v/>
      </c>
      <c r="X215" s="386" t="str">
        <f>TransTonsShort[[#This Row],[Grouping_ID]]&amp;"-"&amp;TransTonsShort[[#This Row],[Sector_ID]]</f>
        <v>1-1</v>
      </c>
      <c r="Y2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5" s="421">
        <f>INDEX(LandfillFees[Disposal Tip Fee 2025],MATCH(TransTonsShort[[#This Row],[Grouping_ID]],LandfillFees[Grouping_ID],0))</f>
        <v>134.68</v>
      </c>
      <c r="AA215" s="102">
        <f>IF(OR(TransTonsShort[[#This Row],[CollectionStream_ID]]="03",TransTonsShort[[#This Row],[CollectionStream_ID]]="04",TransTonsShort[[#This Row],[CollectionStream_ID]]="13"),0,TransTonsShort[[#This Row],[Trans_Tons_All]]*TransTonsShort[[#This Row],[Disposal_Fee]])</f>
        <v>0</v>
      </c>
      <c r="AF215" s="446" t="s">
        <v>1388</v>
      </c>
      <c r="AG215" s="442" t="str">
        <f>LEFT(SecondaryTransport[[#This Row],[Scenario_MRF_Bale_ID]],2)</f>
        <v>S0</v>
      </c>
      <c r="AH215" s="181" t="str">
        <f>LEFT(RIGHT(SecondaryTransport[[#This Row],[Scenario_MRF_Bale_ID]],10),2)</f>
        <v>03</v>
      </c>
      <c r="AI215" s="181" t="str">
        <f>INDEX(MRFs[MRF_Name],MATCH(SecondaryTransport[[#This Row],[MRF_ID]],MRFs[MRF_ID],0))</f>
        <v>5 MRFs for SS with fiber upgrades (Portland)</v>
      </c>
      <c r="AJ215" s="181" t="str">
        <f>RIGHT(SecondaryTransport[[#This Row],[Scenario_MRF_Bale_ID]],7)</f>
        <v>4000-02</v>
      </c>
      <c r="AK215" s="181" t="str">
        <f>INDEX(Bales[Bale_Name],MATCH(SecondaryTransport[[#This Row],[Bale_ID]],Bales[Bale_ID],0))</f>
        <v>Steel cans </v>
      </c>
      <c r="AL215" s="443">
        <f>INDEX(BaleMover[Total_Baled_tons],MATCH(SecondaryTransport[[#This Row],[Scenario_MRF_Bale_ID]],BaleMover[Scenario_MRF_Bale_ID],0))</f>
        <v>3857.3375657687488</v>
      </c>
      <c r="AM215" s="443">
        <f>IF(INDEX(BaleMover[Miles],MATCH(SecondaryTransport[[#This Row],[Scenario_MRF_Bale_ID]],BaleMover[Scenario_MRF_Bale_ID],0))="",0,INDEX(BaleMover[Miles],MATCH(SecondaryTransport[[#This Row],[Scenario_MRF_Bale_ID]],BaleMover[Scenario_MRF_Bale_ID],0)))</f>
        <v>20</v>
      </c>
      <c r="AN215" s="251">
        <f>IF(SecondaryTransport[[#This Row],[Bale_ID]]="9000-01","costs elsewhere",SecondaryTransport[[#This Row],[Total_Baled_tons]]*SecondaryTransport[[#This Row],[Miles]])</f>
        <v>77146.751315374975</v>
      </c>
      <c r="AO215" s="352" t="str">
        <f>IF(LEFT(SecondaryTransport[[#This Row],[Bale_ID]],1)*1=5,IF(OR(SecondaryTransport[[#This Row],[MRF_ID]]="02",SecondaryTransport[[#This Row],[MRF_ID]]="08"),2,1),"")</f>
        <v/>
      </c>
      <c r="AP2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1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15" s="224" t="str">
        <f>IFERROR(IF(1*LEFT(SecondaryTransport[[#This Row],[Bale_ID]],1)=5,SecondaryTransport[[#This Row],[Ton-Miles]]*SecondaryTransport[[#This Row],[Cost_Per_Ton-Mile]],""),"")</f>
        <v/>
      </c>
      <c r="AS215" s="224">
        <f>IFERROR(IF(SecondaryTransport[[#This Row],[Container_Transfer]]="",(SecondaryTransport[[#This Row],[Ton-Miles]]*SecondaryTransport[[#This Row],[Cost_Per_Ton-Mile]]),""),"")</f>
        <v>23915.492907766242</v>
      </c>
    </row>
    <row r="216" spans="3:45" ht="15" x14ac:dyDescent="0.25">
      <c r="C216"/>
      <c r="D216"/>
      <c r="L216" s="446" t="s">
        <v>873</v>
      </c>
      <c r="M216" s="446">
        <v>2</v>
      </c>
      <c r="N216" s="446">
        <v>1</v>
      </c>
      <c r="O216" s="446" t="s">
        <v>748</v>
      </c>
      <c r="P216" s="449" t="s">
        <v>700</v>
      </c>
      <c r="Q216" s="449"/>
      <c r="R216" s="449"/>
      <c r="S216" s="449" t="s">
        <v>765</v>
      </c>
      <c r="T216" s="449" t="s">
        <v>701</v>
      </c>
      <c r="U216" s="452">
        <v>0</v>
      </c>
      <c r="V2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6" s="272" t="str">
        <f>IFERROR(SUMIFS(TransUnitCost[Miles],TransUnitCost[Grouping_ID],TransTonsShort[[#This Row],[Grouping_ID]],TransUnitCost[Transp_ID],TransTonsShort[[#This Row],[Transp_ID]])*TransTonsShort[[#This Row],[Trans_Tons_All]]/TransTonsShort[[#This Row],[Trans_Tons_All]],"")</f>
        <v/>
      </c>
      <c r="X216" s="386" t="str">
        <f>TransTonsShort[[#This Row],[Grouping_ID]]&amp;"-"&amp;TransTonsShort[[#This Row],[Sector_ID]]</f>
        <v>2-1</v>
      </c>
      <c r="Y2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6" s="421">
        <f>INDEX(LandfillFees[Disposal Tip Fee 2025],MATCH(TransTonsShort[[#This Row],[Grouping_ID]],LandfillFees[Grouping_ID],0))</f>
        <v>72.030938699729589</v>
      </c>
      <c r="AA216" s="102">
        <f>IF(OR(TransTonsShort[[#This Row],[CollectionStream_ID]]="03",TransTonsShort[[#This Row],[CollectionStream_ID]]="04",TransTonsShort[[#This Row],[CollectionStream_ID]]="13"),0,TransTonsShort[[#This Row],[Trans_Tons_All]]*TransTonsShort[[#This Row],[Disposal_Fee]])</f>
        <v>0</v>
      </c>
      <c r="AF216" s="446" t="s">
        <v>1389</v>
      </c>
      <c r="AG216" s="442" t="str">
        <f>LEFT(SecondaryTransport[[#This Row],[Scenario_MRF_Bale_ID]],2)</f>
        <v>S1</v>
      </c>
      <c r="AH216" s="181" t="str">
        <f>LEFT(RIGHT(SecondaryTransport[[#This Row],[Scenario_MRF_Bale_ID]],10),2)</f>
        <v>03</v>
      </c>
      <c r="AI216" s="181" t="str">
        <f>INDEX(MRFs[MRF_Name],MATCH(SecondaryTransport[[#This Row],[MRF_ID]],MRFs[MRF_ID],0))</f>
        <v>5 MRFs for SS with fiber upgrades (Portland)</v>
      </c>
      <c r="AJ216" s="181" t="str">
        <f>RIGHT(SecondaryTransport[[#This Row],[Scenario_MRF_Bale_ID]],7)</f>
        <v>4000-02</v>
      </c>
      <c r="AK216" s="181" t="str">
        <f>INDEX(Bales[Bale_Name],MATCH(SecondaryTransport[[#This Row],[Bale_ID]],Bales[Bale_ID],0))</f>
        <v>Steel cans </v>
      </c>
      <c r="AL216" s="443">
        <f>INDEX(BaleMover[Total_Baled_tons],MATCH(SecondaryTransport[[#This Row],[Scenario_MRF_Bale_ID]],BaleMover[Scenario_MRF_Bale_ID],0))</f>
        <v>3608.0666106817348</v>
      </c>
      <c r="AM216" s="443">
        <f>IF(INDEX(BaleMover[Miles],MATCH(SecondaryTransport[[#This Row],[Scenario_MRF_Bale_ID]],BaleMover[Scenario_MRF_Bale_ID],0))="",0,INDEX(BaleMover[Miles],MATCH(SecondaryTransport[[#This Row],[Scenario_MRF_Bale_ID]],BaleMover[Scenario_MRF_Bale_ID],0)))</f>
        <v>20</v>
      </c>
      <c r="AN216" s="251">
        <f>IF(SecondaryTransport[[#This Row],[Bale_ID]]="9000-01","costs elsewhere",SecondaryTransport[[#This Row],[Total_Baled_tons]]*SecondaryTransport[[#This Row],[Miles]])</f>
        <v>72161.332213634698</v>
      </c>
      <c r="AO216" s="352" t="str">
        <f>IF(LEFT(SecondaryTransport[[#This Row],[Bale_ID]],1)*1=5,IF(OR(SecondaryTransport[[#This Row],[MRF_ID]]="02",SecondaryTransport[[#This Row],[MRF_ID]]="08"),2,1),"")</f>
        <v/>
      </c>
      <c r="AP2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16" s="224" t="str">
        <f>IFERROR(IF(1*LEFT(SecondaryTransport[[#This Row],[Bale_ID]],1)=5,SecondaryTransport[[#This Row],[Ton-Miles]]*SecondaryTransport[[#This Row],[Cost_Per_Ton-Mile]],""),"")</f>
        <v/>
      </c>
      <c r="AS216" s="224">
        <f>IFERROR(IF(SecondaryTransport[[#This Row],[Container_Transfer]]="",(SecondaryTransport[[#This Row],[Ton-Miles]]*SecondaryTransport[[#This Row],[Cost_Per_Ton-Mile]]),""),"")</f>
        <v>22370.012986226757</v>
      </c>
    </row>
    <row r="217" spans="3:45" ht="15" x14ac:dyDescent="0.25">
      <c r="C217"/>
      <c r="D217"/>
      <c r="L217" s="446" t="s">
        <v>873</v>
      </c>
      <c r="M217" s="446">
        <v>3</v>
      </c>
      <c r="N217" s="446">
        <v>1</v>
      </c>
      <c r="O217" s="446" t="s">
        <v>748</v>
      </c>
      <c r="P217" s="449" t="s">
        <v>700</v>
      </c>
      <c r="Q217" s="449"/>
      <c r="R217" s="449"/>
      <c r="S217" s="449" t="s">
        <v>765</v>
      </c>
      <c r="T217" s="449" t="s">
        <v>701</v>
      </c>
      <c r="U217" s="452">
        <v>0</v>
      </c>
      <c r="V2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7" s="272" t="str">
        <f>IFERROR(SUMIFS(TransUnitCost[Miles],TransUnitCost[Grouping_ID],TransTonsShort[[#This Row],[Grouping_ID]],TransUnitCost[Transp_ID],TransTonsShort[[#This Row],[Transp_ID]])*TransTonsShort[[#This Row],[Trans_Tons_All]]/TransTonsShort[[#This Row],[Trans_Tons_All]],"")</f>
        <v/>
      </c>
      <c r="X217" s="386" t="str">
        <f>TransTonsShort[[#This Row],[Grouping_ID]]&amp;"-"&amp;TransTonsShort[[#This Row],[Sector_ID]]</f>
        <v>3-1</v>
      </c>
      <c r="Y2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7" s="421">
        <f>INDEX(LandfillFees[Disposal Tip Fee 2025],MATCH(TransTonsShort[[#This Row],[Grouping_ID]],LandfillFees[Grouping_ID],0))</f>
        <v>72.030938699729589</v>
      </c>
      <c r="AA217" s="102">
        <f>IF(OR(TransTonsShort[[#This Row],[CollectionStream_ID]]="03",TransTonsShort[[#This Row],[CollectionStream_ID]]="04",TransTonsShort[[#This Row],[CollectionStream_ID]]="13"),0,TransTonsShort[[#This Row],[Trans_Tons_All]]*TransTonsShort[[#This Row],[Disposal_Fee]])</f>
        <v>0</v>
      </c>
      <c r="AF217" s="446" t="s">
        <v>1390</v>
      </c>
      <c r="AG217" s="442" t="str">
        <f>LEFT(SecondaryTransport[[#This Row],[Scenario_MRF_Bale_ID]],2)</f>
        <v>S2</v>
      </c>
      <c r="AH217" s="181" t="str">
        <f>LEFT(RIGHT(SecondaryTransport[[#This Row],[Scenario_MRF_Bale_ID]],10),2)</f>
        <v>03</v>
      </c>
      <c r="AI217" s="181" t="str">
        <f>INDEX(MRFs[MRF_Name],MATCH(SecondaryTransport[[#This Row],[MRF_ID]],MRFs[MRF_ID],0))</f>
        <v>5 MRFs for SS with fiber upgrades (Portland)</v>
      </c>
      <c r="AJ217" s="181" t="str">
        <f>RIGHT(SecondaryTransport[[#This Row],[Scenario_MRF_Bale_ID]],7)</f>
        <v>4000-02</v>
      </c>
      <c r="AK217" s="181" t="str">
        <f>INDEX(Bales[Bale_Name],MATCH(SecondaryTransport[[#This Row],[Bale_ID]],Bales[Bale_ID],0))</f>
        <v>Steel cans </v>
      </c>
      <c r="AL217" s="443">
        <f>INDEX(BaleMover[Total_Baled_tons],MATCH(SecondaryTransport[[#This Row],[Scenario_MRF_Bale_ID]],BaleMover[Scenario_MRF_Bale_ID],0))</f>
        <v>3888.4105403037884</v>
      </c>
      <c r="AM217" s="443">
        <f>IF(INDEX(BaleMover[Miles],MATCH(SecondaryTransport[[#This Row],[Scenario_MRF_Bale_ID]],BaleMover[Scenario_MRF_Bale_ID],0))="",0,INDEX(BaleMover[Miles],MATCH(SecondaryTransport[[#This Row],[Scenario_MRF_Bale_ID]],BaleMover[Scenario_MRF_Bale_ID],0)))</f>
        <v>20</v>
      </c>
      <c r="AN217" s="251">
        <f>IF(SecondaryTransport[[#This Row],[Bale_ID]]="9000-01","costs elsewhere",SecondaryTransport[[#This Row],[Total_Baled_tons]]*SecondaryTransport[[#This Row],[Miles]])</f>
        <v>77768.210806075775</v>
      </c>
      <c r="AO217" s="352" t="str">
        <f>IF(LEFT(SecondaryTransport[[#This Row],[Bale_ID]],1)*1=5,IF(OR(SecondaryTransport[[#This Row],[MRF_ID]]="02",SecondaryTransport[[#This Row],[MRF_ID]]="08"),2,1),"")</f>
        <v/>
      </c>
      <c r="AP2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1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17" s="224" t="str">
        <f>IFERROR(IF(1*LEFT(SecondaryTransport[[#This Row],[Bale_ID]],1)=5,SecondaryTransport[[#This Row],[Ton-Miles]]*SecondaryTransport[[#This Row],[Cost_Per_Ton-Mile]],""),"")</f>
        <v/>
      </c>
      <c r="AS217" s="224">
        <f>IFERROR(IF(SecondaryTransport[[#This Row],[Container_Transfer]]="",(SecondaryTransport[[#This Row],[Ton-Miles]]*SecondaryTransport[[#This Row],[Cost_Per_Ton-Mile]]),""),"")</f>
        <v>24108.145349883489</v>
      </c>
    </row>
    <row r="218" spans="3:45" ht="15" x14ac:dyDescent="0.25">
      <c r="C218"/>
      <c r="D218"/>
      <c r="L218" s="446" t="s">
        <v>873</v>
      </c>
      <c r="M218" s="446">
        <v>4</v>
      </c>
      <c r="N218" s="446">
        <v>1</v>
      </c>
      <c r="O218" s="446" t="s">
        <v>748</v>
      </c>
      <c r="P218" s="449" t="s">
        <v>700</v>
      </c>
      <c r="Q218" s="449"/>
      <c r="R218" s="449"/>
      <c r="S218" s="449" t="s">
        <v>765</v>
      </c>
      <c r="T218" s="449" t="s">
        <v>701</v>
      </c>
      <c r="U218" s="452">
        <v>0</v>
      </c>
      <c r="V2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8" s="272" t="str">
        <f>IFERROR(SUMIFS(TransUnitCost[Miles],TransUnitCost[Grouping_ID],TransTonsShort[[#This Row],[Grouping_ID]],TransUnitCost[Transp_ID],TransTonsShort[[#This Row],[Transp_ID]])*TransTonsShort[[#This Row],[Trans_Tons_All]]/TransTonsShort[[#This Row],[Trans_Tons_All]],"")</f>
        <v/>
      </c>
      <c r="X218" s="386" t="str">
        <f>TransTonsShort[[#This Row],[Grouping_ID]]&amp;"-"&amp;TransTonsShort[[#This Row],[Sector_ID]]</f>
        <v>4-1</v>
      </c>
      <c r="Y2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8" s="421">
        <f>INDEX(LandfillFees[Disposal Tip Fee 2025],MATCH(TransTonsShort[[#This Row],[Grouping_ID]],LandfillFees[Grouping_ID],0))</f>
        <v>72.030938699729589</v>
      </c>
      <c r="AA218" s="102">
        <f>IF(OR(TransTonsShort[[#This Row],[CollectionStream_ID]]="03",TransTonsShort[[#This Row],[CollectionStream_ID]]="04",TransTonsShort[[#This Row],[CollectionStream_ID]]="13"),0,TransTonsShort[[#This Row],[Trans_Tons_All]]*TransTonsShort[[#This Row],[Disposal_Fee]])</f>
        <v>0</v>
      </c>
      <c r="AF218" s="446" t="s">
        <v>1391</v>
      </c>
      <c r="AG218" s="442" t="str">
        <f>LEFT(SecondaryTransport[[#This Row],[Scenario_MRF_Bale_ID]],2)</f>
        <v>S3</v>
      </c>
      <c r="AH218" s="181" t="str">
        <f>LEFT(RIGHT(SecondaryTransport[[#This Row],[Scenario_MRF_Bale_ID]],10),2)</f>
        <v>03</v>
      </c>
      <c r="AI218" s="181" t="str">
        <f>INDEX(MRFs[MRF_Name],MATCH(SecondaryTransport[[#This Row],[MRF_ID]],MRFs[MRF_ID],0))</f>
        <v>5 MRFs for SS with fiber upgrades (Portland)</v>
      </c>
      <c r="AJ218" s="181" t="str">
        <f>RIGHT(SecondaryTransport[[#This Row],[Scenario_MRF_Bale_ID]],7)</f>
        <v>4000-02</v>
      </c>
      <c r="AK218" s="181" t="str">
        <f>INDEX(Bales[Bale_Name],MATCH(SecondaryTransport[[#This Row],[Bale_ID]],Bales[Bale_ID],0))</f>
        <v>Steel cans </v>
      </c>
      <c r="AL218" s="443">
        <f>INDEX(BaleMover[Total_Baled_tons],MATCH(SecondaryTransport[[#This Row],[Scenario_MRF_Bale_ID]],BaleMover[Scenario_MRF_Bale_ID],0))</f>
        <v>3889.0161825945188</v>
      </c>
      <c r="AM218" s="443">
        <f>IF(INDEX(BaleMover[Miles],MATCH(SecondaryTransport[[#This Row],[Scenario_MRF_Bale_ID]],BaleMover[Scenario_MRF_Bale_ID],0))="",0,INDEX(BaleMover[Miles],MATCH(SecondaryTransport[[#This Row],[Scenario_MRF_Bale_ID]],BaleMover[Scenario_MRF_Bale_ID],0)))</f>
        <v>20</v>
      </c>
      <c r="AN218" s="251">
        <f>IF(SecondaryTransport[[#This Row],[Bale_ID]]="9000-01","costs elsewhere",SecondaryTransport[[#This Row],[Total_Baled_tons]]*SecondaryTransport[[#This Row],[Miles]])</f>
        <v>77780.323651890372</v>
      </c>
      <c r="AO218" s="352" t="str">
        <f>IF(LEFT(SecondaryTransport[[#This Row],[Bale_ID]],1)*1=5,IF(OR(SecondaryTransport[[#This Row],[MRF_ID]]="02",SecondaryTransport[[#This Row],[MRF_ID]]="08"),2,1),"")</f>
        <v/>
      </c>
      <c r="AP2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18" s="224" t="str">
        <f>IFERROR(IF(1*LEFT(SecondaryTransport[[#This Row],[Bale_ID]],1)=5,SecondaryTransport[[#This Row],[Ton-Miles]]*SecondaryTransport[[#This Row],[Cost_Per_Ton-Mile]],""),"")</f>
        <v/>
      </c>
      <c r="AS218" s="224">
        <f>IFERROR(IF(SecondaryTransport[[#This Row],[Container_Transfer]]="",(SecondaryTransport[[#This Row],[Ton-Miles]]*SecondaryTransport[[#This Row],[Cost_Per_Ton-Mile]]),""),"")</f>
        <v>24111.900332086014</v>
      </c>
    </row>
    <row r="219" spans="3:45" ht="15" x14ac:dyDescent="0.25">
      <c r="C219"/>
      <c r="D219"/>
      <c r="L219" s="446" t="s">
        <v>873</v>
      </c>
      <c r="M219" s="446">
        <v>1</v>
      </c>
      <c r="N219" s="446">
        <v>1</v>
      </c>
      <c r="O219" s="446" t="s">
        <v>748</v>
      </c>
      <c r="P219" s="449" t="s">
        <v>748</v>
      </c>
      <c r="Q219" s="449"/>
      <c r="R219" s="449"/>
      <c r="S219" s="449" t="s">
        <v>765</v>
      </c>
      <c r="T219" s="449" t="s">
        <v>849</v>
      </c>
      <c r="U219" s="452">
        <v>0</v>
      </c>
      <c r="V2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19" s="272" t="str">
        <f>IFERROR(SUMIFS(TransUnitCost[Miles],TransUnitCost[Grouping_ID],TransTonsShort[[#This Row],[Grouping_ID]],TransUnitCost[Transp_ID],TransTonsShort[[#This Row],[Transp_ID]])*TransTonsShort[[#This Row],[Trans_Tons_All]]/TransTonsShort[[#This Row],[Trans_Tons_All]],"")</f>
        <v/>
      </c>
      <c r="X219" s="386" t="str">
        <f>TransTonsShort[[#This Row],[Grouping_ID]]&amp;"-"&amp;TransTonsShort[[#This Row],[Sector_ID]]</f>
        <v>1-1</v>
      </c>
      <c r="Y2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19" s="421">
        <f>INDEX(LandfillFees[Disposal Tip Fee 2025],MATCH(TransTonsShort[[#This Row],[Grouping_ID]],LandfillFees[Grouping_ID],0))</f>
        <v>134.68</v>
      </c>
      <c r="AA219" s="102">
        <f>IF(OR(TransTonsShort[[#This Row],[CollectionStream_ID]]="03",TransTonsShort[[#This Row],[CollectionStream_ID]]="04",TransTonsShort[[#This Row],[CollectionStream_ID]]="13"),0,TransTonsShort[[#This Row],[Trans_Tons_All]]*TransTonsShort[[#This Row],[Disposal_Fee]])</f>
        <v>0</v>
      </c>
      <c r="AF219" s="446" t="s">
        <v>1392</v>
      </c>
      <c r="AG219" s="442" t="str">
        <f>LEFT(SecondaryTransport[[#This Row],[Scenario_MRF_Bale_ID]],2)</f>
        <v>S0</v>
      </c>
      <c r="AH219" s="181" t="str">
        <f>LEFT(RIGHT(SecondaryTransport[[#This Row],[Scenario_MRF_Bale_ID]],10),2)</f>
        <v>03</v>
      </c>
      <c r="AI219" s="181" t="str">
        <f>INDEX(MRFs[MRF_Name],MATCH(SecondaryTransport[[#This Row],[MRF_ID]],MRFs[MRF_ID],0))</f>
        <v>5 MRFs for SS with fiber upgrades (Portland)</v>
      </c>
      <c r="AJ219" s="181" t="str">
        <f>RIGHT(SecondaryTransport[[#This Row],[Scenario_MRF_Bale_ID]],7)</f>
        <v>4000-03</v>
      </c>
      <c r="AK219" s="181" t="str">
        <f>INDEX(Bales[Bale_Name],MATCH(SecondaryTransport[[#This Row],[Bale_ID]],Bales[Bale_ID],0))</f>
        <v>Scrap metal</v>
      </c>
      <c r="AL219" s="443">
        <f>INDEX(BaleMover[Total_Baled_tons],MATCH(SecondaryTransport[[#This Row],[Scenario_MRF_Bale_ID]],BaleMover[Scenario_MRF_Bale_ID],0))</f>
        <v>5986.9179865568267</v>
      </c>
      <c r="AM219" s="443">
        <f>IF(INDEX(BaleMover[Miles],MATCH(SecondaryTransport[[#This Row],[Scenario_MRF_Bale_ID]],BaleMover[Scenario_MRF_Bale_ID],0))="",0,INDEX(BaleMover[Miles],MATCH(SecondaryTransport[[#This Row],[Scenario_MRF_Bale_ID]],BaleMover[Scenario_MRF_Bale_ID],0)))</f>
        <v>45</v>
      </c>
      <c r="AN219" s="251">
        <f>IF(SecondaryTransport[[#This Row],[Bale_ID]]="9000-01","costs elsewhere",SecondaryTransport[[#This Row],[Total_Baled_tons]]*SecondaryTransport[[#This Row],[Miles]])</f>
        <v>269411.30939505721</v>
      </c>
      <c r="AO219" s="352" t="str">
        <f>IF(LEFT(SecondaryTransport[[#This Row],[Bale_ID]],1)*1=5,IF(OR(SecondaryTransport[[#This Row],[MRF_ID]]="02",SecondaryTransport[[#This Row],[MRF_ID]]="08"),2,1),"")</f>
        <v/>
      </c>
      <c r="AP2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1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19" s="224" t="str">
        <f>IFERROR(IF(1*LEFT(SecondaryTransport[[#This Row],[Bale_ID]],1)=5,SecondaryTransport[[#This Row],[Ton-Miles]]*SecondaryTransport[[#This Row],[Cost_Per_Ton-Mile]],""),"")</f>
        <v/>
      </c>
      <c r="AS219" s="224">
        <f>IFERROR(IF(SecondaryTransport[[#This Row],[Container_Transfer]]="",(SecondaryTransport[[#This Row],[Ton-Miles]]*SecondaryTransport[[#This Row],[Cost_Per_Ton-Mile]]),""),"")</f>
        <v>83517.505912467735</v>
      </c>
    </row>
    <row r="220" spans="3:45" ht="15" x14ac:dyDescent="0.25">
      <c r="C220"/>
      <c r="D220"/>
      <c r="L220" s="446" t="s">
        <v>873</v>
      </c>
      <c r="M220" s="446">
        <v>2</v>
      </c>
      <c r="N220" s="446">
        <v>1</v>
      </c>
      <c r="O220" s="446" t="s">
        <v>748</v>
      </c>
      <c r="P220" s="449" t="s">
        <v>748</v>
      </c>
      <c r="Q220" s="449"/>
      <c r="R220" s="449"/>
      <c r="S220" s="449" t="s">
        <v>765</v>
      </c>
      <c r="T220" s="449" t="s">
        <v>849</v>
      </c>
      <c r="U220" s="452">
        <v>0</v>
      </c>
      <c r="V2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0" s="272" t="str">
        <f>IFERROR(SUMIFS(TransUnitCost[Miles],TransUnitCost[Grouping_ID],TransTonsShort[[#This Row],[Grouping_ID]],TransUnitCost[Transp_ID],TransTonsShort[[#This Row],[Transp_ID]])*TransTonsShort[[#This Row],[Trans_Tons_All]]/TransTonsShort[[#This Row],[Trans_Tons_All]],"")</f>
        <v/>
      </c>
      <c r="X220" s="386" t="str">
        <f>TransTonsShort[[#This Row],[Grouping_ID]]&amp;"-"&amp;TransTonsShort[[#This Row],[Sector_ID]]</f>
        <v>2-1</v>
      </c>
      <c r="Y2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0" s="421">
        <f>INDEX(LandfillFees[Disposal Tip Fee 2025],MATCH(TransTonsShort[[#This Row],[Grouping_ID]],LandfillFees[Grouping_ID],0))</f>
        <v>72.030938699729589</v>
      </c>
      <c r="AA220" s="102">
        <f>IF(OR(TransTonsShort[[#This Row],[CollectionStream_ID]]="03",TransTonsShort[[#This Row],[CollectionStream_ID]]="04",TransTonsShort[[#This Row],[CollectionStream_ID]]="13"),0,TransTonsShort[[#This Row],[Trans_Tons_All]]*TransTonsShort[[#This Row],[Disposal_Fee]])</f>
        <v>0</v>
      </c>
      <c r="AF220" s="446" t="s">
        <v>1393</v>
      </c>
      <c r="AG220" s="442" t="str">
        <f>LEFT(SecondaryTransport[[#This Row],[Scenario_MRF_Bale_ID]],2)</f>
        <v>S1</v>
      </c>
      <c r="AH220" s="181" t="str">
        <f>LEFT(RIGHT(SecondaryTransport[[#This Row],[Scenario_MRF_Bale_ID]],10),2)</f>
        <v>03</v>
      </c>
      <c r="AI220" s="181" t="str">
        <f>INDEX(MRFs[MRF_Name],MATCH(SecondaryTransport[[#This Row],[MRF_ID]],MRFs[MRF_ID],0))</f>
        <v>5 MRFs for SS with fiber upgrades (Portland)</v>
      </c>
      <c r="AJ220" s="181" t="str">
        <f>RIGHT(SecondaryTransport[[#This Row],[Scenario_MRF_Bale_ID]],7)</f>
        <v>4000-03</v>
      </c>
      <c r="AK220" s="181" t="str">
        <f>INDEX(Bales[Bale_Name],MATCH(SecondaryTransport[[#This Row],[Bale_ID]],Bales[Bale_ID],0))</f>
        <v>Scrap metal</v>
      </c>
      <c r="AL220" s="443">
        <f>INDEX(BaleMover[Total_Baled_tons],MATCH(SecondaryTransport[[#This Row],[Scenario_MRF_Bale_ID]],BaleMover[Scenario_MRF_Bale_ID],0))</f>
        <v>5715.9786376530737</v>
      </c>
      <c r="AM220" s="443">
        <f>IF(INDEX(BaleMover[Miles],MATCH(SecondaryTransport[[#This Row],[Scenario_MRF_Bale_ID]],BaleMover[Scenario_MRF_Bale_ID],0))="",0,INDEX(BaleMover[Miles],MATCH(SecondaryTransport[[#This Row],[Scenario_MRF_Bale_ID]],BaleMover[Scenario_MRF_Bale_ID],0)))</f>
        <v>45</v>
      </c>
      <c r="AN220" s="251">
        <f>IF(SecondaryTransport[[#This Row],[Bale_ID]]="9000-01","costs elsewhere",SecondaryTransport[[#This Row],[Total_Baled_tons]]*SecondaryTransport[[#This Row],[Miles]])</f>
        <v>257219.03869438832</v>
      </c>
      <c r="AO220" s="352" t="str">
        <f>IF(LEFT(SecondaryTransport[[#This Row],[Bale_ID]],1)*1=5,IF(OR(SecondaryTransport[[#This Row],[MRF_ID]]="02",SecondaryTransport[[#This Row],[MRF_ID]]="08"),2,1),"")</f>
        <v/>
      </c>
      <c r="AP2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0" s="224" t="str">
        <f>IFERROR(IF(1*LEFT(SecondaryTransport[[#This Row],[Bale_ID]],1)=5,SecondaryTransport[[#This Row],[Ton-Miles]]*SecondaryTransport[[#This Row],[Cost_Per_Ton-Mile]],""),"")</f>
        <v/>
      </c>
      <c r="AS220" s="224">
        <f>IFERROR(IF(SecondaryTransport[[#This Row],[Container_Transfer]]="",(SecondaryTransport[[#This Row],[Ton-Miles]]*SecondaryTransport[[#This Row],[Cost_Per_Ton-Mile]]),""),"")</f>
        <v>79737.901995260385</v>
      </c>
    </row>
    <row r="221" spans="3:45" ht="15" x14ac:dyDescent="0.25">
      <c r="C221"/>
      <c r="D221"/>
      <c r="L221" s="446" t="s">
        <v>873</v>
      </c>
      <c r="M221" s="446">
        <v>3</v>
      </c>
      <c r="N221" s="446">
        <v>1</v>
      </c>
      <c r="O221" s="446" t="s">
        <v>748</v>
      </c>
      <c r="P221" s="449" t="s">
        <v>748</v>
      </c>
      <c r="Q221" s="449"/>
      <c r="R221" s="449"/>
      <c r="S221" s="449" t="s">
        <v>765</v>
      </c>
      <c r="T221" s="449" t="s">
        <v>849</v>
      </c>
      <c r="U221" s="452">
        <v>0</v>
      </c>
      <c r="V2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1" s="272" t="str">
        <f>IFERROR(SUMIFS(TransUnitCost[Miles],TransUnitCost[Grouping_ID],TransTonsShort[[#This Row],[Grouping_ID]],TransUnitCost[Transp_ID],TransTonsShort[[#This Row],[Transp_ID]])*TransTonsShort[[#This Row],[Trans_Tons_All]]/TransTonsShort[[#This Row],[Trans_Tons_All]],"")</f>
        <v/>
      </c>
      <c r="X221" s="386" t="str">
        <f>TransTonsShort[[#This Row],[Grouping_ID]]&amp;"-"&amp;TransTonsShort[[#This Row],[Sector_ID]]</f>
        <v>3-1</v>
      </c>
      <c r="Y2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1" s="421">
        <f>INDEX(LandfillFees[Disposal Tip Fee 2025],MATCH(TransTonsShort[[#This Row],[Grouping_ID]],LandfillFees[Grouping_ID],0))</f>
        <v>72.030938699729589</v>
      </c>
      <c r="AA221" s="102">
        <f>IF(OR(TransTonsShort[[#This Row],[CollectionStream_ID]]="03",TransTonsShort[[#This Row],[CollectionStream_ID]]="04",TransTonsShort[[#This Row],[CollectionStream_ID]]="13"),0,TransTonsShort[[#This Row],[Trans_Tons_All]]*TransTonsShort[[#This Row],[Disposal_Fee]])</f>
        <v>0</v>
      </c>
      <c r="AF221" s="446" t="s">
        <v>1394</v>
      </c>
      <c r="AG221" s="442" t="str">
        <f>LEFT(SecondaryTransport[[#This Row],[Scenario_MRF_Bale_ID]],2)</f>
        <v>S2</v>
      </c>
      <c r="AH221" s="181" t="str">
        <f>LEFT(RIGHT(SecondaryTransport[[#This Row],[Scenario_MRF_Bale_ID]],10),2)</f>
        <v>03</v>
      </c>
      <c r="AI221" s="181" t="str">
        <f>INDEX(MRFs[MRF_Name],MATCH(SecondaryTransport[[#This Row],[MRF_ID]],MRFs[MRF_ID],0))</f>
        <v>5 MRFs for SS with fiber upgrades (Portland)</v>
      </c>
      <c r="AJ221" s="181" t="str">
        <f>RIGHT(SecondaryTransport[[#This Row],[Scenario_MRF_Bale_ID]],7)</f>
        <v>4000-03</v>
      </c>
      <c r="AK221" s="181" t="str">
        <f>INDEX(Bales[Bale_Name],MATCH(SecondaryTransport[[#This Row],[Bale_ID]],Bales[Bale_ID],0))</f>
        <v>Scrap metal</v>
      </c>
      <c r="AL221" s="443">
        <f>INDEX(BaleMover[Total_Baled_tons],MATCH(SecondaryTransport[[#This Row],[Scenario_MRF_Bale_ID]],BaleMover[Scenario_MRF_Bale_ID],0))</f>
        <v>6402.6762429294304</v>
      </c>
      <c r="AM221" s="443">
        <f>IF(INDEX(BaleMover[Miles],MATCH(SecondaryTransport[[#This Row],[Scenario_MRF_Bale_ID]],BaleMover[Scenario_MRF_Bale_ID],0))="",0,INDEX(BaleMover[Miles],MATCH(SecondaryTransport[[#This Row],[Scenario_MRF_Bale_ID]],BaleMover[Scenario_MRF_Bale_ID],0)))</f>
        <v>45</v>
      </c>
      <c r="AN221" s="251">
        <f>IF(SecondaryTransport[[#This Row],[Bale_ID]]="9000-01","costs elsewhere",SecondaryTransport[[#This Row],[Total_Baled_tons]]*SecondaryTransport[[#This Row],[Miles]])</f>
        <v>288120.43093182438</v>
      </c>
      <c r="AO221" s="352" t="str">
        <f>IF(LEFT(SecondaryTransport[[#This Row],[Bale_ID]],1)*1=5,IF(OR(SecondaryTransport[[#This Row],[MRF_ID]]="02",SecondaryTransport[[#This Row],[MRF_ID]]="08"),2,1),"")</f>
        <v/>
      </c>
      <c r="AP2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1" s="224" t="str">
        <f>IFERROR(IF(1*LEFT(SecondaryTransport[[#This Row],[Bale_ID]],1)=5,SecondaryTransport[[#This Row],[Ton-Miles]]*SecondaryTransport[[#This Row],[Cost_Per_Ton-Mile]],""),"")</f>
        <v/>
      </c>
      <c r="AS221" s="224">
        <f>IFERROR(IF(SecondaryTransport[[#This Row],[Container_Transfer]]="",(SecondaryTransport[[#This Row],[Ton-Miles]]*SecondaryTransport[[#This Row],[Cost_Per_Ton-Mile]]),""),"")</f>
        <v>89317.333588865557</v>
      </c>
    </row>
    <row r="222" spans="3:45" ht="15" x14ac:dyDescent="0.25">
      <c r="C222"/>
      <c r="D222"/>
      <c r="L222" s="446" t="s">
        <v>873</v>
      </c>
      <c r="M222" s="446">
        <v>4</v>
      </c>
      <c r="N222" s="446">
        <v>1</v>
      </c>
      <c r="O222" s="446" t="s">
        <v>748</v>
      </c>
      <c r="P222" s="449" t="s">
        <v>748</v>
      </c>
      <c r="Q222" s="449"/>
      <c r="R222" s="449"/>
      <c r="S222" s="449" t="s">
        <v>765</v>
      </c>
      <c r="T222" s="449" t="s">
        <v>849</v>
      </c>
      <c r="U222" s="452">
        <v>0</v>
      </c>
      <c r="V2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2" s="272" t="str">
        <f>IFERROR(SUMIFS(TransUnitCost[Miles],TransUnitCost[Grouping_ID],TransTonsShort[[#This Row],[Grouping_ID]],TransUnitCost[Transp_ID],TransTonsShort[[#This Row],[Transp_ID]])*TransTonsShort[[#This Row],[Trans_Tons_All]]/TransTonsShort[[#This Row],[Trans_Tons_All]],"")</f>
        <v/>
      </c>
      <c r="X222" s="386" t="str">
        <f>TransTonsShort[[#This Row],[Grouping_ID]]&amp;"-"&amp;TransTonsShort[[#This Row],[Sector_ID]]</f>
        <v>4-1</v>
      </c>
      <c r="Y2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2" s="421">
        <f>INDEX(LandfillFees[Disposal Tip Fee 2025],MATCH(TransTonsShort[[#This Row],[Grouping_ID]],LandfillFees[Grouping_ID],0))</f>
        <v>72.030938699729589</v>
      </c>
      <c r="AA222" s="102">
        <f>IF(OR(TransTonsShort[[#This Row],[CollectionStream_ID]]="03",TransTonsShort[[#This Row],[CollectionStream_ID]]="04",TransTonsShort[[#This Row],[CollectionStream_ID]]="13"),0,TransTonsShort[[#This Row],[Trans_Tons_All]]*TransTonsShort[[#This Row],[Disposal_Fee]])</f>
        <v>0</v>
      </c>
      <c r="AF222" s="446" t="s">
        <v>1395</v>
      </c>
      <c r="AG222" s="442" t="str">
        <f>LEFT(SecondaryTransport[[#This Row],[Scenario_MRF_Bale_ID]],2)</f>
        <v>S3</v>
      </c>
      <c r="AH222" s="181" t="str">
        <f>LEFT(RIGHT(SecondaryTransport[[#This Row],[Scenario_MRF_Bale_ID]],10),2)</f>
        <v>03</v>
      </c>
      <c r="AI222" s="181" t="str">
        <f>INDEX(MRFs[MRF_Name],MATCH(SecondaryTransport[[#This Row],[MRF_ID]],MRFs[MRF_ID],0))</f>
        <v>5 MRFs for SS with fiber upgrades (Portland)</v>
      </c>
      <c r="AJ222" s="181" t="str">
        <f>RIGHT(SecondaryTransport[[#This Row],[Scenario_MRF_Bale_ID]],7)</f>
        <v>4000-03</v>
      </c>
      <c r="AK222" s="181" t="str">
        <f>INDEX(Bales[Bale_Name],MATCH(SecondaryTransport[[#This Row],[Bale_ID]],Bales[Bale_ID],0))</f>
        <v>Scrap metal</v>
      </c>
      <c r="AL222" s="443">
        <f>INDEX(BaleMover[Total_Baled_tons],MATCH(SecondaryTransport[[#This Row],[Scenario_MRF_Bale_ID]],BaleMover[Scenario_MRF_Bale_ID],0))</f>
        <v>6402.677066285928</v>
      </c>
      <c r="AM222" s="443">
        <f>IF(INDEX(BaleMover[Miles],MATCH(SecondaryTransport[[#This Row],[Scenario_MRF_Bale_ID]],BaleMover[Scenario_MRF_Bale_ID],0))="",0,INDEX(BaleMover[Miles],MATCH(SecondaryTransport[[#This Row],[Scenario_MRF_Bale_ID]],BaleMover[Scenario_MRF_Bale_ID],0)))</f>
        <v>45</v>
      </c>
      <c r="AN222" s="251">
        <f>IF(SecondaryTransport[[#This Row],[Bale_ID]]="9000-01","costs elsewhere",SecondaryTransport[[#This Row],[Total_Baled_tons]]*SecondaryTransport[[#This Row],[Miles]])</f>
        <v>288120.46798286674</v>
      </c>
      <c r="AO222" s="352" t="str">
        <f>IF(LEFT(SecondaryTransport[[#This Row],[Bale_ID]],1)*1=5,IF(OR(SecondaryTransport[[#This Row],[MRF_ID]]="02",SecondaryTransport[[#This Row],[MRF_ID]]="08"),2,1),"")</f>
        <v/>
      </c>
      <c r="AP2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2" s="224" t="str">
        <f>IFERROR(IF(1*LEFT(SecondaryTransport[[#This Row],[Bale_ID]],1)=5,SecondaryTransport[[#This Row],[Ton-Miles]]*SecondaryTransport[[#This Row],[Cost_Per_Ton-Mile]],""),"")</f>
        <v/>
      </c>
      <c r="AS222" s="224">
        <f>IFERROR(IF(SecondaryTransport[[#This Row],[Container_Transfer]]="",(SecondaryTransport[[#This Row],[Ton-Miles]]*SecondaryTransport[[#This Row],[Cost_Per_Ton-Mile]]),""),"")</f>
        <v>89317.345074688696</v>
      </c>
    </row>
    <row r="223" spans="3:45" ht="15" x14ac:dyDescent="0.25">
      <c r="C223"/>
      <c r="D223"/>
      <c r="L223" s="446" t="s">
        <v>873</v>
      </c>
      <c r="M223" s="446">
        <v>1</v>
      </c>
      <c r="N223" s="446">
        <v>1</v>
      </c>
      <c r="O223" s="448" t="s">
        <v>746</v>
      </c>
      <c r="P223" s="449" t="s">
        <v>719</v>
      </c>
      <c r="Q223" s="449"/>
      <c r="R223" s="449"/>
      <c r="S223" s="449" t="s">
        <v>762</v>
      </c>
      <c r="T223" s="449" t="s">
        <v>1055</v>
      </c>
      <c r="U223" s="452">
        <v>0</v>
      </c>
      <c r="V2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3" s="272" t="str">
        <f>IFERROR(SUMIFS(TransUnitCost[Miles],TransUnitCost[Grouping_ID],TransTonsShort[[#This Row],[Grouping_ID]],TransUnitCost[Transp_ID],TransTonsShort[[#This Row],[Transp_ID]])*TransTonsShort[[#This Row],[Trans_Tons_All]]/TransTonsShort[[#This Row],[Trans_Tons_All]],"")</f>
        <v/>
      </c>
      <c r="X223" s="386" t="str">
        <f>TransTonsShort[[#This Row],[Grouping_ID]]&amp;"-"&amp;TransTonsShort[[#This Row],[Sector_ID]]</f>
        <v>1-1</v>
      </c>
      <c r="Y2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3" s="421">
        <f>INDEX(LandfillFees[Disposal Tip Fee 2025],MATCH(TransTonsShort[[#This Row],[Grouping_ID]],LandfillFees[Grouping_ID],0))</f>
        <v>134.68</v>
      </c>
      <c r="AA223" s="102">
        <f>IF(OR(TransTonsShort[[#This Row],[CollectionStream_ID]]="03",TransTonsShort[[#This Row],[CollectionStream_ID]]="04",TransTonsShort[[#This Row],[CollectionStream_ID]]="13"),0,TransTonsShort[[#This Row],[Trans_Tons_All]]*TransTonsShort[[#This Row],[Disposal_Fee]])</f>
        <v>0</v>
      </c>
      <c r="AF223" s="446" t="s">
        <v>1396</v>
      </c>
      <c r="AG223" s="442" t="str">
        <f>LEFT(SecondaryTransport[[#This Row],[Scenario_MRF_Bale_ID]],2)</f>
        <v>S0</v>
      </c>
      <c r="AH223" s="181" t="str">
        <f>LEFT(RIGHT(SecondaryTransport[[#This Row],[Scenario_MRF_Bale_ID]],10),2)</f>
        <v>04</v>
      </c>
      <c r="AI223" s="181" t="str">
        <f>INDEX(MRFs[MRF_Name],MATCH(SecondaryTransport[[#This Row],[MRF_ID]],MRFs[MRF_ID],0))</f>
        <v>1 MRF for SS with fiber and container upgrades (Portland)</v>
      </c>
      <c r="AJ223" s="181" t="str">
        <f>RIGHT(SecondaryTransport[[#This Row],[Scenario_MRF_Bale_ID]],7)</f>
        <v>1000-01</v>
      </c>
      <c r="AK223" s="181" t="str">
        <f>INDEX(Bales[Bale_Name],MATCH(SecondaryTransport[[#This Row],[Bale_ID]],Bales[Bale_ID],0))</f>
        <v>OCC (corrugated cardboard) </v>
      </c>
      <c r="AL223" s="443">
        <f>INDEX(BaleMover[Total_Baled_tons],MATCH(SecondaryTransport[[#This Row],[Scenario_MRF_Bale_ID]],BaleMover[Scenario_MRF_Bale_ID],0))</f>
        <v>53712.004141814861</v>
      </c>
      <c r="AM223" s="443">
        <f>IF(INDEX(BaleMover[Miles],MATCH(SecondaryTransport[[#This Row],[Scenario_MRF_Bale_ID]],BaleMover[Scenario_MRF_Bale_ID],0))="",0,INDEX(BaleMover[Miles],MATCH(SecondaryTransport[[#This Row],[Scenario_MRF_Bale_ID]],BaleMover[Scenario_MRF_Bale_ID],0)))</f>
        <v>50</v>
      </c>
      <c r="AN223" s="251">
        <f>IF(SecondaryTransport[[#This Row],[Bale_ID]]="9000-01","costs elsewhere",SecondaryTransport[[#This Row],[Total_Baled_tons]]*SecondaryTransport[[#This Row],[Miles]])</f>
        <v>2685600.2070907429</v>
      </c>
      <c r="AO223" s="352" t="str">
        <f>IF(LEFT(SecondaryTransport[[#This Row],[Bale_ID]],1)*1=5,IF(OR(SecondaryTransport[[#This Row],[MRF_ID]]="02",SecondaryTransport[[#This Row],[MRF_ID]]="08"),2,1),"")</f>
        <v/>
      </c>
      <c r="AP2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3" s="224" t="str">
        <f>IFERROR(IF(1*LEFT(SecondaryTransport[[#This Row],[Bale_ID]],1)=5,SecondaryTransport[[#This Row],[Ton-Miles]]*SecondaryTransport[[#This Row],[Cost_Per_Ton-Mile]],""),"")</f>
        <v/>
      </c>
      <c r="AS223" s="224">
        <f>IFERROR(IF(SecondaryTransport[[#This Row],[Container_Transfer]]="",(SecondaryTransport[[#This Row],[Ton-Miles]]*SecondaryTransport[[#This Row],[Cost_Per_Ton-Mile]]),""),"")</f>
        <v>832536.06419813028</v>
      </c>
    </row>
    <row r="224" spans="3:45" ht="15" x14ac:dyDescent="0.25">
      <c r="C224"/>
      <c r="D224"/>
      <c r="L224" s="446" t="s">
        <v>873</v>
      </c>
      <c r="M224" s="446">
        <v>2</v>
      </c>
      <c r="N224" s="446">
        <v>1</v>
      </c>
      <c r="O224" s="448" t="s">
        <v>746</v>
      </c>
      <c r="P224" s="449" t="s">
        <v>719</v>
      </c>
      <c r="Q224" s="449"/>
      <c r="R224" s="449"/>
      <c r="S224" s="449" t="s">
        <v>762</v>
      </c>
      <c r="T224" s="449" t="s">
        <v>1055</v>
      </c>
      <c r="U224" s="452">
        <v>0</v>
      </c>
      <c r="V2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4" s="272" t="str">
        <f>IFERROR(SUMIFS(TransUnitCost[Miles],TransUnitCost[Grouping_ID],TransTonsShort[[#This Row],[Grouping_ID]],TransUnitCost[Transp_ID],TransTonsShort[[#This Row],[Transp_ID]])*TransTonsShort[[#This Row],[Trans_Tons_All]]/TransTonsShort[[#This Row],[Trans_Tons_All]],"")</f>
        <v/>
      </c>
      <c r="X224" s="386" t="str">
        <f>TransTonsShort[[#This Row],[Grouping_ID]]&amp;"-"&amp;TransTonsShort[[#This Row],[Sector_ID]]</f>
        <v>2-1</v>
      </c>
      <c r="Y2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4" s="421">
        <f>INDEX(LandfillFees[Disposal Tip Fee 2025],MATCH(TransTonsShort[[#This Row],[Grouping_ID]],LandfillFees[Grouping_ID],0))</f>
        <v>72.030938699729589</v>
      </c>
      <c r="AA224" s="102">
        <f>IF(OR(TransTonsShort[[#This Row],[CollectionStream_ID]]="03",TransTonsShort[[#This Row],[CollectionStream_ID]]="04",TransTonsShort[[#This Row],[CollectionStream_ID]]="13"),0,TransTonsShort[[#This Row],[Trans_Tons_All]]*TransTonsShort[[#This Row],[Disposal_Fee]])</f>
        <v>0</v>
      </c>
      <c r="AF224" s="446" t="s">
        <v>1397</v>
      </c>
      <c r="AG224" s="442" t="str">
        <f>LEFT(SecondaryTransport[[#This Row],[Scenario_MRF_Bale_ID]],2)</f>
        <v>S1</v>
      </c>
      <c r="AH224" s="181" t="str">
        <f>LEFT(RIGHT(SecondaryTransport[[#This Row],[Scenario_MRF_Bale_ID]],10),2)</f>
        <v>04</v>
      </c>
      <c r="AI224" s="181" t="str">
        <f>INDEX(MRFs[MRF_Name],MATCH(SecondaryTransport[[#This Row],[MRF_ID]],MRFs[MRF_ID],0))</f>
        <v>1 MRF for SS with fiber and container upgrades (Portland)</v>
      </c>
      <c r="AJ224" s="181" t="str">
        <f>RIGHT(SecondaryTransport[[#This Row],[Scenario_MRF_Bale_ID]],7)</f>
        <v>1000-01</v>
      </c>
      <c r="AK224" s="181" t="str">
        <f>INDEX(Bales[Bale_Name],MATCH(SecondaryTransport[[#This Row],[Bale_ID]],Bales[Bale_ID],0))</f>
        <v>OCC (corrugated cardboard) </v>
      </c>
      <c r="AL224" s="443">
        <f>INDEX(BaleMover[Total_Baled_tons],MATCH(SecondaryTransport[[#This Row],[Scenario_MRF_Bale_ID]],BaleMover[Scenario_MRF_Bale_ID],0))</f>
        <v>60906.769053312157</v>
      </c>
      <c r="AM224" s="443">
        <f>IF(INDEX(BaleMover[Miles],MATCH(SecondaryTransport[[#This Row],[Scenario_MRF_Bale_ID]],BaleMover[Scenario_MRF_Bale_ID],0))="",0,INDEX(BaleMover[Miles],MATCH(SecondaryTransport[[#This Row],[Scenario_MRF_Bale_ID]],BaleMover[Scenario_MRF_Bale_ID],0)))</f>
        <v>50</v>
      </c>
      <c r="AN224" s="251">
        <f>IF(SecondaryTransport[[#This Row],[Bale_ID]]="9000-01","costs elsewhere",SecondaryTransport[[#This Row],[Total_Baled_tons]]*SecondaryTransport[[#This Row],[Miles]])</f>
        <v>3045338.4526656079</v>
      </c>
      <c r="AO224" s="352" t="str">
        <f>IF(LEFT(SecondaryTransport[[#This Row],[Bale_ID]],1)*1=5,IF(OR(SecondaryTransport[[#This Row],[MRF_ID]]="02",SecondaryTransport[[#This Row],[MRF_ID]]="08"),2,1),"")</f>
        <v/>
      </c>
      <c r="AP2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4" s="224" t="str">
        <f>IFERROR(IF(1*LEFT(SecondaryTransport[[#This Row],[Bale_ID]],1)=5,SecondaryTransport[[#This Row],[Ton-Miles]]*SecondaryTransport[[#This Row],[Cost_Per_Ton-Mile]],""),"")</f>
        <v/>
      </c>
      <c r="AS224" s="224">
        <f>IFERROR(IF(SecondaryTransport[[#This Row],[Container_Transfer]]="",(SecondaryTransport[[#This Row],[Ton-Miles]]*SecondaryTransport[[#This Row],[Cost_Per_Ton-Mile]]),""),"")</f>
        <v>944054.9203263385</v>
      </c>
    </row>
    <row r="225" spans="3:45" ht="15" x14ac:dyDescent="0.25">
      <c r="C225"/>
      <c r="D225"/>
      <c r="L225" s="446" t="s">
        <v>873</v>
      </c>
      <c r="M225" s="446">
        <v>3</v>
      </c>
      <c r="N225" s="446">
        <v>1</v>
      </c>
      <c r="O225" s="448" t="s">
        <v>746</v>
      </c>
      <c r="P225" s="449" t="s">
        <v>719</v>
      </c>
      <c r="Q225" s="449"/>
      <c r="R225" s="449"/>
      <c r="S225" s="449" t="s">
        <v>762</v>
      </c>
      <c r="T225" s="449" t="s">
        <v>1055</v>
      </c>
      <c r="U225" s="452">
        <v>0</v>
      </c>
      <c r="V2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5" s="272" t="str">
        <f>IFERROR(SUMIFS(TransUnitCost[Miles],TransUnitCost[Grouping_ID],TransTonsShort[[#This Row],[Grouping_ID]],TransUnitCost[Transp_ID],TransTonsShort[[#This Row],[Transp_ID]])*TransTonsShort[[#This Row],[Trans_Tons_All]]/TransTonsShort[[#This Row],[Trans_Tons_All]],"")</f>
        <v/>
      </c>
      <c r="X225" s="386" t="str">
        <f>TransTonsShort[[#This Row],[Grouping_ID]]&amp;"-"&amp;TransTonsShort[[#This Row],[Sector_ID]]</f>
        <v>3-1</v>
      </c>
      <c r="Y2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5" s="421">
        <f>INDEX(LandfillFees[Disposal Tip Fee 2025],MATCH(TransTonsShort[[#This Row],[Grouping_ID]],LandfillFees[Grouping_ID],0))</f>
        <v>72.030938699729589</v>
      </c>
      <c r="AA225" s="102">
        <f>IF(OR(TransTonsShort[[#This Row],[CollectionStream_ID]]="03",TransTonsShort[[#This Row],[CollectionStream_ID]]="04",TransTonsShort[[#This Row],[CollectionStream_ID]]="13"),0,TransTonsShort[[#This Row],[Trans_Tons_All]]*TransTonsShort[[#This Row],[Disposal_Fee]])</f>
        <v>0</v>
      </c>
      <c r="AF225" s="446" t="s">
        <v>1398</v>
      </c>
      <c r="AG225" s="442" t="str">
        <f>LEFT(SecondaryTransport[[#This Row],[Scenario_MRF_Bale_ID]],2)</f>
        <v>S2</v>
      </c>
      <c r="AH225" s="181" t="str">
        <f>LEFT(RIGHT(SecondaryTransport[[#This Row],[Scenario_MRF_Bale_ID]],10),2)</f>
        <v>04</v>
      </c>
      <c r="AI225" s="181" t="str">
        <f>INDEX(MRFs[MRF_Name],MATCH(SecondaryTransport[[#This Row],[MRF_ID]],MRFs[MRF_ID],0))</f>
        <v>1 MRF for SS with fiber and container upgrades (Portland)</v>
      </c>
      <c r="AJ225" s="181" t="str">
        <f>RIGHT(SecondaryTransport[[#This Row],[Scenario_MRF_Bale_ID]],7)</f>
        <v>1000-01</v>
      </c>
      <c r="AK225" s="181" t="str">
        <f>INDEX(Bales[Bale_Name],MATCH(SecondaryTransport[[#This Row],[Bale_ID]],Bales[Bale_ID],0))</f>
        <v>OCC (corrugated cardboard) </v>
      </c>
      <c r="AL225" s="443">
        <f>INDEX(BaleMover[Total_Baled_tons],MATCH(SecondaryTransport[[#This Row],[Scenario_MRF_Bale_ID]],BaleMover[Scenario_MRF_Bale_ID],0))</f>
        <v>61652.351651813595</v>
      </c>
      <c r="AM225" s="443">
        <f>IF(INDEX(BaleMover[Miles],MATCH(SecondaryTransport[[#This Row],[Scenario_MRF_Bale_ID]],BaleMover[Scenario_MRF_Bale_ID],0))="",0,INDEX(BaleMover[Miles],MATCH(SecondaryTransport[[#This Row],[Scenario_MRF_Bale_ID]],BaleMover[Scenario_MRF_Bale_ID],0)))</f>
        <v>50</v>
      </c>
      <c r="AN225" s="251">
        <f>IF(SecondaryTransport[[#This Row],[Bale_ID]]="9000-01","costs elsewhere",SecondaryTransport[[#This Row],[Total_Baled_tons]]*SecondaryTransport[[#This Row],[Miles]])</f>
        <v>3082617.5825906796</v>
      </c>
      <c r="AO225" s="352" t="str">
        <f>IF(LEFT(SecondaryTransport[[#This Row],[Bale_ID]],1)*1=5,IF(OR(SecondaryTransport[[#This Row],[MRF_ID]]="02",SecondaryTransport[[#This Row],[MRF_ID]]="08"),2,1),"")</f>
        <v/>
      </c>
      <c r="AP2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5" s="224" t="str">
        <f>IFERROR(IF(1*LEFT(SecondaryTransport[[#This Row],[Bale_ID]],1)=5,SecondaryTransport[[#This Row],[Ton-Miles]]*SecondaryTransport[[#This Row],[Cost_Per_Ton-Mile]],""),"")</f>
        <v/>
      </c>
      <c r="AS225" s="224">
        <f>IFERROR(IF(SecondaryTransport[[#This Row],[Container_Transfer]]="",(SecondaryTransport[[#This Row],[Ton-Miles]]*SecondaryTransport[[#This Row],[Cost_Per_Ton-Mile]]),""),"")</f>
        <v>955611.45060311072</v>
      </c>
    </row>
    <row r="226" spans="3:45" ht="15" x14ac:dyDescent="0.25">
      <c r="C226"/>
      <c r="D226"/>
      <c r="L226" s="446" t="s">
        <v>873</v>
      </c>
      <c r="M226" s="446">
        <v>4</v>
      </c>
      <c r="N226" s="446">
        <v>1</v>
      </c>
      <c r="O226" s="448" t="s">
        <v>746</v>
      </c>
      <c r="P226" s="449" t="s">
        <v>719</v>
      </c>
      <c r="Q226" s="449"/>
      <c r="R226" s="449"/>
      <c r="S226" s="449" t="s">
        <v>762</v>
      </c>
      <c r="T226" s="449" t="s">
        <v>1055</v>
      </c>
      <c r="U226" s="452">
        <v>0</v>
      </c>
      <c r="V2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6" s="272" t="str">
        <f>IFERROR(SUMIFS(TransUnitCost[Miles],TransUnitCost[Grouping_ID],TransTonsShort[[#This Row],[Grouping_ID]],TransUnitCost[Transp_ID],TransTonsShort[[#This Row],[Transp_ID]])*TransTonsShort[[#This Row],[Trans_Tons_All]]/TransTonsShort[[#This Row],[Trans_Tons_All]],"")</f>
        <v/>
      </c>
      <c r="X226" s="386" t="str">
        <f>TransTonsShort[[#This Row],[Grouping_ID]]&amp;"-"&amp;TransTonsShort[[#This Row],[Sector_ID]]</f>
        <v>4-1</v>
      </c>
      <c r="Y2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6" s="421">
        <f>INDEX(LandfillFees[Disposal Tip Fee 2025],MATCH(TransTonsShort[[#This Row],[Grouping_ID]],LandfillFees[Grouping_ID],0))</f>
        <v>72.030938699729589</v>
      </c>
      <c r="AA226" s="102">
        <f>IF(OR(TransTonsShort[[#This Row],[CollectionStream_ID]]="03",TransTonsShort[[#This Row],[CollectionStream_ID]]="04",TransTonsShort[[#This Row],[CollectionStream_ID]]="13"),0,TransTonsShort[[#This Row],[Trans_Tons_All]]*TransTonsShort[[#This Row],[Disposal_Fee]])</f>
        <v>0</v>
      </c>
      <c r="AF226" s="446" t="s">
        <v>1399</v>
      </c>
      <c r="AG226" s="442" t="str">
        <f>LEFT(SecondaryTransport[[#This Row],[Scenario_MRF_Bale_ID]],2)</f>
        <v>S3</v>
      </c>
      <c r="AH226" s="181" t="str">
        <f>LEFT(RIGHT(SecondaryTransport[[#This Row],[Scenario_MRF_Bale_ID]],10),2)</f>
        <v>04</v>
      </c>
      <c r="AI226" s="181" t="str">
        <f>INDEX(MRFs[MRF_Name],MATCH(SecondaryTransport[[#This Row],[MRF_ID]],MRFs[MRF_ID],0))</f>
        <v>1 MRF for SS with fiber and container upgrades (Portland)</v>
      </c>
      <c r="AJ226" s="181" t="str">
        <f>RIGHT(SecondaryTransport[[#This Row],[Scenario_MRF_Bale_ID]],7)</f>
        <v>1000-01</v>
      </c>
      <c r="AK226" s="181" t="str">
        <f>INDEX(Bales[Bale_Name],MATCH(SecondaryTransport[[#This Row],[Bale_ID]],Bales[Bale_ID],0))</f>
        <v>OCC (corrugated cardboard) </v>
      </c>
      <c r="AL226" s="443">
        <f>INDEX(BaleMover[Total_Baled_tons],MATCH(SecondaryTransport[[#This Row],[Scenario_MRF_Bale_ID]],BaleMover[Scenario_MRF_Bale_ID],0))</f>
        <v>61636.709351471516</v>
      </c>
      <c r="AM226" s="443">
        <f>IF(INDEX(BaleMover[Miles],MATCH(SecondaryTransport[[#This Row],[Scenario_MRF_Bale_ID]],BaleMover[Scenario_MRF_Bale_ID],0))="",0,INDEX(BaleMover[Miles],MATCH(SecondaryTransport[[#This Row],[Scenario_MRF_Bale_ID]],BaleMover[Scenario_MRF_Bale_ID],0)))</f>
        <v>50</v>
      </c>
      <c r="AN226" s="251">
        <f>IF(SecondaryTransport[[#This Row],[Bale_ID]]="9000-01","costs elsewhere",SecondaryTransport[[#This Row],[Total_Baled_tons]]*SecondaryTransport[[#This Row],[Miles]])</f>
        <v>3081835.4675735757</v>
      </c>
      <c r="AO226" s="352" t="str">
        <f>IF(LEFT(SecondaryTransport[[#This Row],[Bale_ID]],1)*1=5,IF(OR(SecondaryTransport[[#This Row],[MRF_ID]]="02",SecondaryTransport[[#This Row],[MRF_ID]]="08"),2,1),"")</f>
        <v/>
      </c>
      <c r="AP2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26" s="224" t="str">
        <f>IFERROR(IF(1*LEFT(SecondaryTransport[[#This Row],[Bale_ID]],1)=5,SecondaryTransport[[#This Row],[Ton-Miles]]*SecondaryTransport[[#This Row],[Cost_Per_Ton-Mile]],""),"")</f>
        <v/>
      </c>
      <c r="AS226" s="224">
        <f>IFERROR(IF(SecondaryTransport[[#This Row],[Container_Transfer]]="",(SecondaryTransport[[#This Row],[Ton-Miles]]*SecondaryTransport[[#This Row],[Cost_Per_Ton-Mile]]),""),"")</f>
        <v>955368.99494780845</v>
      </c>
    </row>
    <row r="227" spans="3:45" ht="15" x14ac:dyDescent="0.25">
      <c r="C227"/>
      <c r="D227"/>
      <c r="L227" s="446" t="s">
        <v>873</v>
      </c>
      <c r="M227" s="446">
        <v>1</v>
      </c>
      <c r="N227" s="446">
        <v>1</v>
      </c>
      <c r="O227" s="448" t="s">
        <v>746</v>
      </c>
      <c r="P227" s="449" t="s">
        <v>700</v>
      </c>
      <c r="Q227" s="449"/>
      <c r="R227" s="449"/>
      <c r="S227" s="449" t="s">
        <v>762</v>
      </c>
      <c r="T227" s="449" t="s">
        <v>701</v>
      </c>
      <c r="U227" s="452">
        <v>0</v>
      </c>
      <c r="V2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7" s="272" t="str">
        <f>IFERROR(SUMIFS(TransUnitCost[Miles],TransUnitCost[Grouping_ID],TransTonsShort[[#This Row],[Grouping_ID]],TransUnitCost[Transp_ID],TransTonsShort[[#This Row],[Transp_ID]])*TransTonsShort[[#This Row],[Trans_Tons_All]]/TransTonsShort[[#This Row],[Trans_Tons_All]],"")</f>
        <v/>
      </c>
      <c r="X227" s="386" t="str">
        <f>TransTonsShort[[#This Row],[Grouping_ID]]&amp;"-"&amp;TransTonsShort[[#This Row],[Sector_ID]]</f>
        <v>1-1</v>
      </c>
      <c r="Y2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7" s="421">
        <f>INDEX(LandfillFees[Disposal Tip Fee 2025],MATCH(TransTonsShort[[#This Row],[Grouping_ID]],LandfillFees[Grouping_ID],0))</f>
        <v>134.68</v>
      </c>
      <c r="AA227" s="102">
        <f>IF(OR(TransTonsShort[[#This Row],[CollectionStream_ID]]="03",TransTonsShort[[#This Row],[CollectionStream_ID]]="04",TransTonsShort[[#This Row],[CollectionStream_ID]]="13"),0,TransTonsShort[[#This Row],[Trans_Tons_All]]*TransTonsShort[[#This Row],[Disposal_Fee]])</f>
        <v>0</v>
      </c>
      <c r="AF227" s="446" t="s">
        <v>1400</v>
      </c>
      <c r="AG227" s="442" t="str">
        <f>LEFT(SecondaryTransport[[#This Row],[Scenario_MRF_Bale_ID]],2)</f>
        <v>S0</v>
      </c>
      <c r="AH227" s="181" t="str">
        <f>LEFT(RIGHT(SecondaryTransport[[#This Row],[Scenario_MRF_Bale_ID]],10),2)</f>
        <v>04</v>
      </c>
      <c r="AI227" s="181" t="str">
        <f>INDEX(MRFs[MRF_Name],MATCH(SecondaryTransport[[#This Row],[MRF_ID]],MRFs[MRF_ID],0))</f>
        <v>1 MRF for SS with fiber and container upgrades (Portland)</v>
      </c>
      <c r="AJ227" s="181" t="str">
        <f>RIGHT(SecondaryTransport[[#This Row],[Scenario_MRF_Bale_ID]],7)</f>
        <v>1000-02</v>
      </c>
      <c r="AK227" s="181" t="str">
        <f>INDEX(Bales[Bale_Name],MATCH(SecondaryTransport[[#This Row],[Bale_ID]],Bales[Bale_ID],0))</f>
        <v>Sorted clean newsprint</v>
      </c>
      <c r="AL227" s="443">
        <f>INDEX(BaleMover[Total_Baled_tons],MATCH(SecondaryTransport[[#This Row],[Scenario_MRF_Bale_ID]],BaleMover[Scenario_MRF_Bale_ID],0))</f>
        <v>0</v>
      </c>
      <c r="AM227" s="443">
        <f>IF(INDEX(BaleMover[Miles],MATCH(SecondaryTransport[[#This Row],[Scenario_MRF_Bale_ID]],BaleMover[Scenario_MRF_Bale_ID],0))="",0,INDEX(BaleMover[Miles],MATCH(SecondaryTransport[[#This Row],[Scenario_MRF_Bale_ID]],BaleMover[Scenario_MRF_Bale_ID],0)))</f>
        <v>0</v>
      </c>
      <c r="AN227" s="251">
        <f>IF(SecondaryTransport[[#This Row],[Bale_ID]]="9000-01","costs elsewhere",SecondaryTransport[[#This Row],[Total_Baled_tons]]*SecondaryTransport[[#This Row],[Miles]])</f>
        <v>0</v>
      </c>
      <c r="AO227" s="352" t="str">
        <f>IF(LEFT(SecondaryTransport[[#This Row],[Bale_ID]],1)*1=5,IF(OR(SecondaryTransport[[#This Row],[MRF_ID]]="02",SecondaryTransport[[#This Row],[MRF_ID]]="08"),2,1),"")</f>
        <v/>
      </c>
      <c r="AP2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2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27" s="224" t="str">
        <f>IFERROR(IF(1*LEFT(SecondaryTransport[[#This Row],[Bale_ID]],1)=5,SecondaryTransport[[#This Row],[Ton-Miles]]*SecondaryTransport[[#This Row],[Cost_Per_Ton-Mile]],""),"")</f>
        <v/>
      </c>
      <c r="AS227" s="224" t="str">
        <f>IFERROR(IF(SecondaryTransport[[#This Row],[Container_Transfer]]="",(SecondaryTransport[[#This Row],[Ton-Miles]]*SecondaryTransport[[#This Row],[Cost_Per_Ton-Mile]]),""),"")</f>
        <v/>
      </c>
    </row>
    <row r="228" spans="3:45" ht="15" x14ac:dyDescent="0.25">
      <c r="C228"/>
      <c r="D228"/>
      <c r="L228" s="446" t="s">
        <v>873</v>
      </c>
      <c r="M228" s="446">
        <v>2</v>
      </c>
      <c r="N228" s="446">
        <v>1</v>
      </c>
      <c r="O228" s="448" t="s">
        <v>746</v>
      </c>
      <c r="P228" s="449" t="s">
        <v>700</v>
      </c>
      <c r="Q228" s="449"/>
      <c r="R228" s="449"/>
      <c r="S228" s="449" t="s">
        <v>762</v>
      </c>
      <c r="T228" s="449" t="s">
        <v>701</v>
      </c>
      <c r="U228" s="452">
        <v>0</v>
      </c>
      <c r="V2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8" s="272" t="str">
        <f>IFERROR(SUMIFS(TransUnitCost[Miles],TransUnitCost[Grouping_ID],TransTonsShort[[#This Row],[Grouping_ID]],TransUnitCost[Transp_ID],TransTonsShort[[#This Row],[Transp_ID]])*TransTonsShort[[#This Row],[Trans_Tons_All]]/TransTonsShort[[#This Row],[Trans_Tons_All]],"")</f>
        <v/>
      </c>
      <c r="X228" s="386" t="str">
        <f>TransTonsShort[[#This Row],[Grouping_ID]]&amp;"-"&amp;TransTonsShort[[#This Row],[Sector_ID]]</f>
        <v>2-1</v>
      </c>
      <c r="Y2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8" s="421">
        <f>INDEX(LandfillFees[Disposal Tip Fee 2025],MATCH(TransTonsShort[[#This Row],[Grouping_ID]],LandfillFees[Grouping_ID],0))</f>
        <v>72.030938699729589</v>
      </c>
      <c r="AA228" s="102">
        <f>IF(OR(TransTonsShort[[#This Row],[CollectionStream_ID]]="03",TransTonsShort[[#This Row],[CollectionStream_ID]]="04",TransTonsShort[[#This Row],[CollectionStream_ID]]="13"),0,TransTonsShort[[#This Row],[Trans_Tons_All]]*TransTonsShort[[#This Row],[Disposal_Fee]])</f>
        <v>0</v>
      </c>
      <c r="AF228" s="446" t="s">
        <v>1401</v>
      </c>
      <c r="AG228" s="442" t="str">
        <f>LEFT(SecondaryTransport[[#This Row],[Scenario_MRF_Bale_ID]],2)</f>
        <v>S1</v>
      </c>
      <c r="AH228" s="181" t="str">
        <f>LEFT(RIGHT(SecondaryTransport[[#This Row],[Scenario_MRF_Bale_ID]],10),2)</f>
        <v>04</v>
      </c>
      <c r="AI228" s="181" t="str">
        <f>INDEX(MRFs[MRF_Name],MATCH(SecondaryTransport[[#This Row],[MRF_ID]],MRFs[MRF_ID],0))</f>
        <v>1 MRF for SS with fiber and container upgrades (Portland)</v>
      </c>
      <c r="AJ228" s="181" t="str">
        <f>RIGHT(SecondaryTransport[[#This Row],[Scenario_MRF_Bale_ID]],7)</f>
        <v>1000-02</v>
      </c>
      <c r="AK228" s="181" t="str">
        <f>INDEX(Bales[Bale_Name],MATCH(SecondaryTransport[[#This Row],[Bale_ID]],Bales[Bale_ID],0))</f>
        <v>Sorted clean newsprint</v>
      </c>
      <c r="AL228" s="443">
        <f>INDEX(BaleMover[Total_Baled_tons],MATCH(SecondaryTransport[[#This Row],[Scenario_MRF_Bale_ID]],BaleMover[Scenario_MRF_Bale_ID],0))</f>
        <v>0</v>
      </c>
      <c r="AM228" s="443">
        <f>IF(INDEX(BaleMover[Miles],MATCH(SecondaryTransport[[#This Row],[Scenario_MRF_Bale_ID]],BaleMover[Scenario_MRF_Bale_ID],0))="",0,INDEX(BaleMover[Miles],MATCH(SecondaryTransport[[#This Row],[Scenario_MRF_Bale_ID]],BaleMover[Scenario_MRF_Bale_ID],0)))</f>
        <v>0</v>
      </c>
      <c r="AN228" s="251">
        <f>IF(SecondaryTransport[[#This Row],[Bale_ID]]="9000-01","costs elsewhere",SecondaryTransport[[#This Row],[Total_Baled_tons]]*SecondaryTransport[[#This Row],[Miles]])</f>
        <v>0</v>
      </c>
      <c r="AO228" s="352" t="str">
        <f>IF(LEFT(SecondaryTransport[[#This Row],[Bale_ID]],1)*1=5,IF(OR(SecondaryTransport[[#This Row],[MRF_ID]]="02",SecondaryTransport[[#This Row],[MRF_ID]]="08"),2,1),"")</f>
        <v/>
      </c>
      <c r="AP2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2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28" s="224" t="str">
        <f>IFERROR(IF(1*LEFT(SecondaryTransport[[#This Row],[Bale_ID]],1)=5,SecondaryTransport[[#This Row],[Ton-Miles]]*SecondaryTransport[[#This Row],[Cost_Per_Ton-Mile]],""),"")</f>
        <v/>
      </c>
      <c r="AS228" s="224" t="str">
        <f>IFERROR(IF(SecondaryTransport[[#This Row],[Container_Transfer]]="",(SecondaryTransport[[#This Row],[Ton-Miles]]*SecondaryTransport[[#This Row],[Cost_Per_Ton-Mile]]),""),"")</f>
        <v/>
      </c>
    </row>
    <row r="229" spans="3:45" ht="15" x14ac:dyDescent="0.25">
      <c r="C229"/>
      <c r="D229"/>
      <c r="L229" s="446" t="s">
        <v>873</v>
      </c>
      <c r="M229" s="446">
        <v>3</v>
      </c>
      <c r="N229" s="446">
        <v>1</v>
      </c>
      <c r="O229" s="448" t="s">
        <v>746</v>
      </c>
      <c r="P229" s="449" t="s">
        <v>700</v>
      </c>
      <c r="Q229" s="449"/>
      <c r="R229" s="449"/>
      <c r="S229" s="449" t="s">
        <v>762</v>
      </c>
      <c r="T229" s="449" t="s">
        <v>701</v>
      </c>
      <c r="U229" s="452">
        <v>0</v>
      </c>
      <c r="V2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29" s="272" t="str">
        <f>IFERROR(SUMIFS(TransUnitCost[Miles],TransUnitCost[Grouping_ID],TransTonsShort[[#This Row],[Grouping_ID]],TransUnitCost[Transp_ID],TransTonsShort[[#This Row],[Transp_ID]])*TransTonsShort[[#This Row],[Trans_Tons_All]]/TransTonsShort[[#This Row],[Trans_Tons_All]],"")</f>
        <v/>
      </c>
      <c r="X229" s="386" t="str">
        <f>TransTonsShort[[#This Row],[Grouping_ID]]&amp;"-"&amp;TransTonsShort[[#This Row],[Sector_ID]]</f>
        <v>3-1</v>
      </c>
      <c r="Y2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29" s="421">
        <f>INDEX(LandfillFees[Disposal Tip Fee 2025],MATCH(TransTonsShort[[#This Row],[Grouping_ID]],LandfillFees[Grouping_ID],0))</f>
        <v>72.030938699729589</v>
      </c>
      <c r="AA229" s="102">
        <f>IF(OR(TransTonsShort[[#This Row],[CollectionStream_ID]]="03",TransTonsShort[[#This Row],[CollectionStream_ID]]="04",TransTonsShort[[#This Row],[CollectionStream_ID]]="13"),0,TransTonsShort[[#This Row],[Trans_Tons_All]]*TransTonsShort[[#This Row],[Disposal_Fee]])</f>
        <v>0</v>
      </c>
      <c r="AF229" s="446" t="s">
        <v>1402</v>
      </c>
      <c r="AG229" s="442" t="str">
        <f>LEFT(SecondaryTransport[[#This Row],[Scenario_MRF_Bale_ID]],2)</f>
        <v>S2</v>
      </c>
      <c r="AH229" s="181" t="str">
        <f>LEFT(RIGHT(SecondaryTransport[[#This Row],[Scenario_MRF_Bale_ID]],10),2)</f>
        <v>04</v>
      </c>
      <c r="AI229" s="181" t="str">
        <f>INDEX(MRFs[MRF_Name],MATCH(SecondaryTransport[[#This Row],[MRF_ID]],MRFs[MRF_ID],0))</f>
        <v>1 MRF for SS with fiber and container upgrades (Portland)</v>
      </c>
      <c r="AJ229" s="181" t="str">
        <f>RIGHT(SecondaryTransport[[#This Row],[Scenario_MRF_Bale_ID]],7)</f>
        <v>1000-02</v>
      </c>
      <c r="AK229" s="181" t="str">
        <f>INDEX(Bales[Bale_Name],MATCH(SecondaryTransport[[#This Row],[Bale_ID]],Bales[Bale_ID],0))</f>
        <v>Sorted clean newsprint</v>
      </c>
      <c r="AL229" s="443">
        <f>INDEX(BaleMover[Total_Baled_tons],MATCH(SecondaryTransport[[#This Row],[Scenario_MRF_Bale_ID]],BaleMover[Scenario_MRF_Bale_ID],0))</f>
        <v>0</v>
      </c>
      <c r="AM229" s="443">
        <f>IF(INDEX(BaleMover[Miles],MATCH(SecondaryTransport[[#This Row],[Scenario_MRF_Bale_ID]],BaleMover[Scenario_MRF_Bale_ID],0))="",0,INDEX(BaleMover[Miles],MATCH(SecondaryTransport[[#This Row],[Scenario_MRF_Bale_ID]],BaleMover[Scenario_MRF_Bale_ID],0)))</f>
        <v>0</v>
      </c>
      <c r="AN229" s="251">
        <f>IF(SecondaryTransport[[#This Row],[Bale_ID]]="9000-01","costs elsewhere",SecondaryTransport[[#This Row],[Total_Baled_tons]]*SecondaryTransport[[#This Row],[Miles]])</f>
        <v>0</v>
      </c>
      <c r="AO229" s="352" t="str">
        <f>IF(LEFT(SecondaryTransport[[#This Row],[Bale_ID]],1)*1=5,IF(OR(SecondaryTransport[[#This Row],[MRF_ID]]="02",SecondaryTransport[[#This Row],[MRF_ID]]="08"),2,1),"")</f>
        <v/>
      </c>
      <c r="AP2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2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29" s="224" t="str">
        <f>IFERROR(IF(1*LEFT(SecondaryTransport[[#This Row],[Bale_ID]],1)=5,SecondaryTransport[[#This Row],[Ton-Miles]]*SecondaryTransport[[#This Row],[Cost_Per_Ton-Mile]],""),"")</f>
        <v/>
      </c>
      <c r="AS229" s="224" t="str">
        <f>IFERROR(IF(SecondaryTransport[[#This Row],[Container_Transfer]]="",(SecondaryTransport[[#This Row],[Ton-Miles]]*SecondaryTransport[[#This Row],[Cost_Per_Ton-Mile]]),""),"")</f>
        <v/>
      </c>
    </row>
    <row r="230" spans="3:45" ht="15" x14ac:dyDescent="0.25">
      <c r="C230"/>
      <c r="D230"/>
      <c r="L230" s="446" t="s">
        <v>873</v>
      </c>
      <c r="M230" s="446">
        <v>4</v>
      </c>
      <c r="N230" s="446">
        <v>1</v>
      </c>
      <c r="O230" s="448" t="s">
        <v>746</v>
      </c>
      <c r="P230" s="449" t="s">
        <v>700</v>
      </c>
      <c r="Q230" s="449"/>
      <c r="R230" s="449"/>
      <c r="S230" s="449" t="s">
        <v>762</v>
      </c>
      <c r="T230" s="449" t="s">
        <v>701</v>
      </c>
      <c r="U230" s="452">
        <v>0</v>
      </c>
      <c r="V2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0" s="272" t="str">
        <f>IFERROR(SUMIFS(TransUnitCost[Miles],TransUnitCost[Grouping_ID],TransTonsShort[[#This Row],[Grouping_ID]],TransUnitCost[Transp_ID],TransTonsShort[[#This Row],[Transp_ID]])*TransTonsShort[[#This Row],[Trans_Tons_All]]/TransTonsShort[[#This Row],[Trans_Tons_All]],"")</f>
        <v/>
      </c>
      <c r="X230" s="386" t="str">
        <f>TransTonsShort[[#This Row],[Grouping_ID]]&amp;"-"&amp;TransTonsShort[[#This Row],[Sector_ID]]</f>
        <v>4-1</v>
      </c>
      <c r="Y2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0" s="421">
        <f>INDEX(LandfillFees[Disposal Tip Fee 2025],MATCH(TransTonsShort[[#This Row],[Grouping_ID]],LandfillFees[Grouping_ID],0))</f>
        <v>72.030938699729589</v>
      </c>
      <c r="AA230" s="102">
        <f>IF(OR(TransTonsShort[[#This Row],[CollectionStream_ID]]="03",TransTonsShort[[#This Row],[CollectionStream_ID]]="04",TransTonsShort[[#This Row],[CollectionStream_ID]]="13"),0,TransTonsShort[[#This Row],[Trans_Tons_All]]*TransTonsShort[[#This Row],[Disposal_Fee]])</f>
        <v>0</v>
      </c>
      <c r="AF230" s="446" t="s">
        <v>1403</v>
      </c>
      <c r="AG230" s="442" t="str">
        <f>LEFT(SecondaryTransport[[#This Row],[Scenario_MRF_Bale_ID]],2)</f>
        <v>S3</v>
      </c>
      <c r="AH230" s="181" t="str">
        <f>LEFT(RIGHT(SecondaryTransport[[#This Row],[Scenario_MRF_Bale_ID]],10),2)</f>
        <v>04</v>
      </c>
      <c r="AI230" s="181" t="str">
        <f>INDEX(MRFs[MRF_Name],MATCH(SecondaryTransport[[#This Row],[MRF_ID]],MRFs[MRF_ID],0))</f>
        <v>1 MRF for SS with fiber and container upgrades (Portland)</v>
      </c>
      <c r="AJ230" s="181" t="str">
        <f>RIGHT(SecondaryTransport[[#This Row],[Scenario_MRF_Bale_ID]],7)</f>
        <v>1000-02</v>
      </c>
      <c r="AK230" s="181" t="str">
        <f>INDEX(Bales[Bale_Name],MATCH(SecondaryTransport[[#This Row],[Bale_ID]],Bales[Bale_ID],0))</f>
        <v>Sorted clean newsprint</v>
      </c>
      <c r="AL230" s="443">
        <f>INDEX(BaleMover[Total_Baled_tons],MATCH(SecondaryTransport[[#This Row],[Scenario_MRF_Bale_ID]],BaleMover[Scenario_MRF_Bale_ID],0))</f>
        <v>0</v>
      </c>
      <c r="AM230" s="443">
        <f>IF(INDEX(BaleMover[Miles],MATCH(SecondaryTransport[[#This Row],[Scenario_MRF_Bale_ID]],BaleMover[Scenario_MRF_Bale_ID],0))="",0,INDEX(BaleMover[Miles],MATCH(SecondaryTransport[[#This Row],[Scenario_MRF_Bale_ID]],BaleMover[Scenario_MRF_Bale_ID],0)))</f>
        <v>0</v>
      </c>
      <c r="AN230" s="251">
        <f>IF(SecondaryTransport[[#This Row],[Bale_ID]]="9000-01","costs elsewhere",SecondaryTransport[[#This Row],[Total_Baled_tons]]*SecondaryTransport[[#This Row],[Miles]])</f>
        <v>0</v>
      </c>
      <c r="AO230" s="352" t="str">
        <f>IF(LEFT(SecondaryTransport[[#This Row],[Bale_ID]],1)*1=5,IF(OR(SecondaryTransport[[#This Row],[MRF_ID]]="02",SecondaryTransport[[#This Row],[MRF_ID]]="08"),2,1),"")</f>
        <v/>
      </c>
      <c r="AP2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3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30" s="224" t="str">
        <f>IFERROR(IF(1*LEFT(SecondaryTransport[[#This Row],[Bale_ID]],1)=5,SecondaryTransport[[#This Row],[Ton-Miles]]*SecondaryTransport[[#This Row],[Cost_Per_Ton-Mile]],""),"")</f>
        <v/>
      </c>
      <c r="AS230" s="224" t="str">
        <f>IFERROR(IF(SecondaryTransport[[#This Row],[Container_Transfer]]="",(SecondaryTransport[[#This Row],[Ton-Miles]]*SecondaryTransport[[#This Row],[Cost_Per_Ton-Mile]]),""),"")</f>
        <v/>
      </c>
    </row>
    <row r="231" spans="3:45" ht="15" x14ac:dyDescent="0.25">
      <c r="C231"/>
      <c r="D231"/>
      <c r="L231" s="446" t="s">
        <v>873</v>
      </c>
      <c r="M231" s="446">
        <v>1</v>
      </c>
      <c r="N231" s="446">
        <v>1</v>
      </c>
      <c r="O231" s="448" t="s">
        <v>746</v>
      </c>
      <c r="P231" s="449" t="s">
        <v>746</v>
      </c>
      <c r="Q231" s="449"/>
      <c r="R231" s="449"/>
      <c r="S231" s="449" t="s">
        <v>762</v>
      </c>
      <c r="T231" s="449" t="s">
        <v>848</v>
      </c>
      <c r="U231" s="452">
        <v>0</v>
      </c>
      <c r="V2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1" s="272" t="str">
        <f>IFERROR(SUMIFS(TransUnitCost[Miles],TransUnitCost[Grouping_ID],TransTonsShort[[#This Row],[Grouping_ID]],TransUnitCost[Transp_ID],TransTonsShort[[#This Row],[Transp_ID]])*TransTonsShort[[#This Row],[Trans_Tons_All]]/TransTonsShort[[#This Row],[Trans_Tons_All]],"")</f>
        <v/>
      </c>
      <c r="X231" s="386" t="str">
        <f>TransTonsShort[[#This Row],[Grouping_ID]]&amp;"-"&amp;TransTonsShort[[#This Row],[Sector_ID]]</f>
        <v>1-1</v>
      </c>
      <c r="Y2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1" s="421">
        <f>INDEX(LandfillFees[Disposal Tip Fee 2025],MATCH(TransTonsShort[[#This Row],[Grouping_ID]],LandfillFees[Grouping_ID],0))</f>
        <v>134.68</v>
      </c>
      <c r="AA231" s="102">
        <f>IF(OR(TransTonsShort[[#This Row],[CollectionStream_ID]]="03",TransTonsShort[[#This Row],[CollectionStream_ID]]="04",TransTonsShort[[#This Row],[CollectionStream_ID]]="13"),0,TransTonsShort[[#This Row],[Trans_Tons_All]]*TransTonsShort[[#This Row],[Disposal_Fee]])</f>
        <v>0</v>
      </c>
      <c r="AF231" s="446" t="s">
        <v>1404</v>
      </c>
      <c r="AG231" s="442" t="str">
        <f>LEFT(SecondaryTransport[[#This Row],[Scenario_MRF_Bale_ID]],2)</f>
        <v>S0</v>
      </c>
      <c r="AH231" s="181" t="str">
        <f>LEFT(RIGHT(SecondaryTransport[[#This Row],[Scenario_MRF_Bale_ID]],10),2)</f>
        <v>04</v>
      </c>
      <c r="AI231" s="181" t="str">
        <f>INDEX(MRFs[MRF_Name],MATCH(SecondaryTransport[[#This Row],[MRF_ID]],MRFs[MRF_ID],0))</f>
        <v>1 MRF for SS with fiber and container upgrades (Portland)</v>
      </c>
      <c r="AJ231" s="181" t="str">
        <f>RIGHT(SecondaryTransport[[#This Row],[Scenario_MRF_Bale_ID]],7)</f>
        <v>1000-03</v>
      </c>
      <c r="AK231" s="181" t="str">
        <f>INDEX(Bales[Bale_Name],MATCH(SecondaryTransport[[#This Row],[Bale_ID]],Bales[Bale_ID],0))</f>
        <v>Sorted residential paper and news</v>
      </c>
      <c r="AL231" s="443">
        <f>INDEX(BaleMover[Total_Baled_tons],MATCH(SecondaryTransport[[#This Row],[Scenario_MRF_Bale_ID]],BaleMover[Scenario_MRF_Bale_ID],0))</f>
        <v>333.1830304065528</v>
      </c>
      <c r="AM231" s="443">
        <f>IF(INDEX(BaleMover[Miles],MATCH(SecondaryTransport[[#This Row],[Scenario_MRF_Bale_ID]],BaleMover[Scenario_MRF_Bale_ID],0))="",0,INDEX(BaleMover[Miles],MATCH(SecondaryTransport[[#This Row],[Scenario_MRF_Bale_ID]],BaleMover[Scenario_MRF_Bale_ID],0)))</f>
        <v>50</v>
      </c>
      <c r="AN231" s="251">
        <f>IF(SecondaryTransport[[#This Row],[Bale_ID]]="9000-01","costs elsewhere",SecondaryTransport[[#This Row],[Total_Baled_tons]]*SecondaryTransport[[#This Row],[Miles]])</f>
        <v>16659.151520327639</v>
      </c>
      <c r="AO231" s="352" t="str">
        <f>IF(LEFT(SecondaryTransport[[#This Row],[Bale_ID]],1)*1=5,IF(OR(SecondaryTransport[[#This Row],[MRF_ID]]="02",SecondaryTransport[[#This Row],[MRF_ID]]="08"),2,1),"")</f>
        <v/>
      </c>
      <c r="AP2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31" s="224" t="str">
        <f>IFERROR(IF(1*LEFT(SecondaryTransport[[#This Row],[Bale_ID]],1)=5,SecondaryTransport[[#This Row],[Ton-Miles]]*SecondaryTransport[[#This Row],[Cost_Per_Ton-Mile]],""),"")</f>
        <v/>
      </c>
      <c r="AS231" s="224">
        <f>IFERROR(IF(SecondaryTransport[[#This Row],[Container_Transfer]]="",(SecondaryTransport[[#This Row],[Ton-Miles]]*SecondaryTransport[[#This Row],[Cost_Per_Ton-Mile]]),""),"")</f>
        <v>5164.3369713015682</v>
      </c>
    </row>
    <row r="232" spans="3:45" ht="15" x14ac:dyDescent="0.25">
      <c r="C232"/>
      <c r="D232"/>
      <c r="L232" s="446" t="s">
        <v>873</v>
      </c>
      <c r="M232" s="446">
        <v>2</v>
      </c>
      <c r="N232" s="446">
        <v>1</v>
      </c>
      <c r="O232" s="448" t="s">
        <v>746</v>
      </c>
      <c r="P232" s="449" t="s">
        <v>746</v>
      </c>
      <c r="Q232" s="449"/>
      <c r="R232" s="449"/>
      <c r="S232" s="449" t="s">
        <v>762</v>
      </c>
      <c r="T232" s="449" t="s">
        <v>848</v>
      </c>
      <c r="U232" s="452">
        <v>0</v>
      </c>
      <c r="V2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2" s="272" t="str">
        <f>IFERROR(SUMIFS(TransUnitCost[Miles],TransUnitCost[Grouping_ID],TransTonsShort[[#This Row],[Grouping_ID]],TransUnitCost[Transp_ID],TransTonsShort[[#This Row],[Transp_ID]])*TransTonsShort[[#This Row],[Trans_Tons_All]]/TransTonsShort[[#This Row],[Trans_Tons_All]],"")</f>
        <v/>
      </c>
      <c r="X232" s="386" t="str">
        <f>TransTonsShort[[#This Row],[Grouping_ID]]&amp;"-"&amp;TransTonsShort[[#This Row],[Sector_ID]]</f>
        <v>2-1</v>
      </c>
      <c r="Y2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2" s="421">
        <f>INDEX(LandfillFees[Disposal Tip Fee 2025],MATCH(TransTonsShort[[#This Row],[Grouping_ID]],LandfillFees[Grouping_ID],0))</f>
        <v>72.030938699729589</v>
      </c>
      <c r="AA232" s="102">
        <f>IF(OR(TransTonsShort[[#This Row],[CollectionStream_ID]]="03",TransTonsShort[[#This Row],[CollectionStream_ID]]="04",TransTonsShort[[#This Row],[CollectionStream_ID]]="13"),0,TransTonsShort[[#This Row],[Trans_Tons_All]]*TransTonsShort[[#This Row],[Disposal_Fee]])</f>
        <v>0</v>
      </c>
      <c r="AF232" s="446" t="s">
        <v>1405</v>
      </c>
      <c r="AG232" s="442" t="str">
        <f>LEFT(SecondaryTransport[[#This Row],[Scenario_MRF_Bale_ID]],2)</f>
        <v>S1</v>
      </c>
      <c r="AH232" s="181" t="str">
        <f>LEFT(RIGHT(SecondaryTransport[[#This Row],[Scenario_MRF_Bale_ID]],10),2)</f>
        <v>04</v>
      </c>
      <c r="AI232" s="181" t="str">
        <f>INDEX(MRFs[MRF_Name],MATCH(SecondaryTransport[[#This Row],[MRF_ID]],MRFs[MRF_ID],0))</f>
        <v>1 MRF for SS with fiber and container upgrades (Portland)</v>
      </c>
      <c r="AJ232" s="181" t="str">
        <f>RIGHT(SecondaryTransport[[#This Row],[Scenario_MRF_Bale_ID]],7)</f>
        <v>1000-03</v>
      </c>
      <c r="AK232" s="181" t="str">
        <f>INDEX(Bales[Bale_Name],MATCH(SecondaryTransport[[#This Row],[Bale_ID]],Bales[Bale_ID],0))</f>
        <v>Sorted residential paper and news</v>
      </c>
      <c r="AL232" s="443">
        <f>INDEX(BaleMover[Total_Baled_tons],MATCH(SecondaryTransport[[#This Row],[Scenario_MRF_Bale_ID]],BaleMover[Scenario_MRF_Bale_ID],0))</f>
        <v>23597.126517648267</v>
      </c>
      <c r="AM232" s="443">
        <f>IF(INDEX(BaleMover[Miles],MATCH(SecondaryTransport[[#This Row],[Scenario_MRF_Bale_ID]],BaleMover[Scenario_MRF_Bale_ID],0))="",0,INDEX(BaleMover[Miles],MATCH(SecondaryTransport[[#This Row],[Scenario_MRF_Bale_ID]],BaleMover[Scenario_MRF_Bale_ID],0)))</f>
        <v>50</v>
      </c>
      <c r="AN232" s="251">
        <f>IF(SecondaryTransport[[#This Row],[Bale_ID]]="9000-01","costs elsewhere",SecondaryTransport[[#This Row],[Total_Baled_tons]]*SecondaryTransport[[#This Row],[Miles]])</f>
        <v>1179856.3258824134</v>
      </c>
      <c r="AO232" s="352" t="str">
        <f>IF(LEFT(SecondaryTransport[[#This Row],[Bale_ID]],1)*1=5,IF(OR(SecondaryTransport[[#This Row],[MRF_ID]]="02",SecondaryTransport[[#This Row],[MRF_ID]]="08"),2,1),"")</f>
        <v/>
      </c>
      <c r="AP2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3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32" s="224" t="str">
        <f>IFERROR(IF(1*LEFT(SecondaryTransport[[#This Row],[Bale_ID]],1)=5,SecondaryTransport[[#This Row],[Ton-Miles]]*SecondaryTransport[[#This Row],[Cost_Per_Ton-Mile]],""),"")</f>
        <v/>
      </c>
      <c r="AS232" s="224">
        <f>IFERROR(IF(SecondaryTransport[[#This Row],[Container_Transfer]]="",(SecondaryTransport[[#This Row],[Ton-Miles]]*SecondaryTransport[[#This Row],[Cost_Per_Ton-Mile]]),""),"")</f>
        <v>365755.46102354815</v>
      </c>
    </row>
    <row r="233" spans="3:45" ht="15" x14ac:dyDescent="0.25">
      <c r="C233"/>
      <c r="D233"/>
      <c r="L233" s="446" t="s">
        <v>873</v>
      </c>
      <c r="M233" s="446">
        <v>3</v>
      </c>
      <c r="N233" s="446">
        <v>1</v>
      </c>
      <c r="O233" s="448" t="s">
        <v>746</v>
      </c>
      <c r="P233" s="449" t="s">
        <v>746</v>
      </c>
      <c r="Q233" s="449"/>
      <c r="R233" s="449"/>
      <c r="S233" s="449" t="s">
        <v>762</v>
      </c>
      <c r="T233" s="449" t="s">
        <v>848</v>
      </c>
      <c r="U233" s="452">
        <v>0</v>
      </c>
      <c r="V2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3" s="272" t="str">
        <f>IFERROR(SUMIFS(TransUnitCost[Miles],TransUnitCost[Grouping_ID],TransTonsShort[[#This Row],[Grouping_ID]],TransUnitCost[Transp_ID],TransTonsShort[[#This Row],[Transp_ID]])*TransTonsShort[[#This Row],[Trans_Tons_All]]/TransTonsShort[[#This Row],[Trans_Tons_All]],"")</f>
        <v/>
      </c>
      <c r="X233" s="386" t="str">
        <f>TransTonsShort[[#This Row],[Grouping_ID]]&amp;"-"&amp;TransTonsShort[[#This Row],[Sector_ID]]</f>
        <v>3-1</v>
      </c>
      <c r="Y2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3" s="421">
        <f>INDEX(LandfillFees[Disposal Tip Fee 2025],MATCH(TransTonsShort[[#This Row],[Grouping_ID]],LandfillFees[Grouping_ID],0))</f>
        <v>72.030938699729589</v>
      </c>
      <c r="AA233" s="102">
        <f>IF(OR(TransTonsShort[[#This Row],[CollectionStream_ID]]="03",TransTonsShort[[#This Row],[CollectionStream_ID]]="04",TransTonsShort[[#This Row],[CollectionStream_ID]]="13"),0,TransTonsShort[[#This Row],[Trans_Tons_All]]*TransTonsShort[[#This Row],[Disposal_Fee]])</f>
        <v>0</v>
      </c>
      <c r="AF233" s="446" t="s">
        <v>1406</v>
      </c>
      <c r="AG233" s="442" t="str">
        <f>LEFT(SecondaryTransport[[#This Row],[Scenario_MRF_Bale_ID]],2)</f>
        <v>S2</v>
      </c>
      <c r="AH233" s="181" t="str">
        <f>LEFT(RIGHT(SecondaryTransport[[#This Row],[Scenario_MRF_Bale_ID]],10),2)</f>
        <v>04</v>
      </c>
      <c r="AI233" s="181" t="str">
        <f>INDEX(MRFs[MRF_Name],MATCH(SecondaryTransport[[#This Row],[MRF_ID]],MRFs[MRF_ID],0))</f>
        <v>1 MRF for SS with fiber and container upgrades (Portland)</v>
      </c>
      <c r="AJ233" s="181" t="str">
        <f>RIGHT(SecondaryTransport[[#This Row],[Scenario_MRF_Bale_ID]],7)</f>
        <v>1000-03</v>
      </c>
      <c r="AK233" s="181" t="str">
        <f>INDEX(Bales[Bale_Name],MATCH(SecondaryTransport[[#This Row],[Bale_ID]],Bales[Bale_ID],0))</f>
        <v>Sorted residential paper and news</v>
      </c>
      <c r="AL233" s="443">
        <f>INDEX(BaleMover[Total_Baled_tons],MATCH(SecondaryTransport[[#This Row],[Scenario_MRF_Bale_ID]],BaleMover[Scenario_MRF_Bale_ID],0))</f>
        <v>25653.009153488427</v>
      </c>
      <c r="AM233" s="443">
        <f>IF(INDEX(BaleMover[Miles],MATCH(SecondaryTransport[[#This Row],[Scenario_MRF_Bale_ID]],BaleMover[Scenario_MRF_Bale_ID],0))="",0,INDEX(BaleMover[Miles],MATCH(SecondaryTransport[[#This Row],[Scenario_MRF_Bale_ID]],BaleMover[Scenario_MRF_Bale_ID],0)))</f>
        <v>50</v>
      </c>
      <c r="AN233" s="251">
        <f>IF(SecondaryTransport[[#This Row],[Bale_ID]]="9000-01","costs elsewhere",SecondaryTransport[[#This Row],[Total_Baled_tons]]*SecondaryTransport[[#This Row],[Miles]])</f>
        <v>1282650.4576744214</v>
      </c>
      <c r="AO233" s="352" t="str">
        <f>IF(LEFT(SecondaryTransport[[#This Row],[Bale_ID]],1)*1=5,IF(OR(SecondaryTransport[[#This Row],[MRF_ID]]="02",SecondaryTransport[[#This Row],[MRF_ID]]="08"),2,1),"")</f>
        <v/>
      </c>
      <c r="AP2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3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33" s="224" t="str">
        <f>IFERROR(IF(1*LEFT(SecondaryTransport[[#This Row],[Bale_ID]],1)=5,SecondaryTransport[[#This Row],[Ton-Miles]]*SecondaryTransport[[#This Row],[Cost_Per_Ton-Mile]],""),"")</f>
        <v/>
      </c>
      <c r="AS233" s="224">
        <f>IFERROR(IF(SecondaryTransport[[#This Row],[Container_Transfer]]="",(SecondaryTransport[[#This Row],[Ton-Miles]]*SecondaryTransport[[#This Row],[Cost_Per_Ton-Mile]]),""),"")</f>
        <v>397621.64187907061</v>
      </c>
    </row>
    <row r="234" spans="3:45" ht="15" x14ac:dyDescent="0.25">
      <c r="C234"/>
      <c r="D234"/>
      <c r="L234" s="446" t="s">
        <v>873</v>
      </c>
      <c r="M234" s="446">
        <v>4</v>
      </c>
      <c r="N234" s="446">
        <v>1</v>
      </c>
      <c r="O234" s="448" t="s">
        <v>746</v>
      </c>
      <c r="P234" s="449" t="s">
        <v>746</v>
      </c>
      <c r="Q234" s="449"/>
      <c r="R234" s="449"/>
      <c r="S234" s="449" t="s">
        <v>762</v>
      </c>
      <c r="T234" s="449" t="s">
        <v>848</v>
      </c>
      <c r="U234" s="452">
        <v>0</v>
      </c>
      <c r="V2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4" s="272" t="str">
        <f>IFERROR(SUMIFS(TransUnitCost[Miles],TransUnitCost[Grouping_ID],TransTonsShort[[#This Row],[Grouping_ID]],TransUnitCost[Transp_ID],TransTonsShort[[#This Row],[Transp_ID]])*TransTonsShort[[#This Row],[Trans_Tons_All]]/TransTonsShort[[#This Row],[Trans_Tons_All]],"")</f>
        <v/>
      </c>
      <c r="X234" s="386" t="str">
        <f>TransTonsShort[[#This Row],[Grouping_ID]]&amp;"-"&amp;TransTonsShort[[#This Row],[Sector_ID]]</f>
        <v>4-1</v>
      </c>
      <c r="Y2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34" s="421">
        <f>INDEX(LandfillFees[Disposal Tip Fee 2025],MATCH(TransTonsShort[[#This Row],[Grouping_ID]],LandfillFees[Grouping_ID],0))</f>
        <v>72.030938699729589</v>
      </c>
      <c r="AA234" s="102">
        <f>IF(OR(TransTonsShort[[#This Row],[CollectionStream_ID]]="03",TransTonsShort[[#This Row],[CollectionStream_ID]]="04",TransTonsShort[[#This Row],[CollectionStream_ID]]="13"),0,TransTonsShort[[#This Row],[Trans_Tons_All]]*TransTonsShort[[#This Row],[Disposal_Fee]])</f>
        <v>0</v>
      </c>
      <c r="AF234" s="446" t="s">
        <v>1407</v>
      </c>
      <c r="AG234" s="442" t="str">
        <f>LEFT(SecondaryTransport[[#This Row],[Scenario_MRF_Bale_ID]],2)</f>
        <v>S3</v>
      </c>
      <c r="AH234" s="181" t="str">
        <f>LEFT(RIGHT(SecondaryTransport[[#This Row],[Scenario_MRF_Bale_ID]],10),2)</f>
        <v>04</v>
      </c>
      <c r="AI234" s="181" t="str">
        <f>INDEX(MRFs[MRF_Name],MATCH(SecondaryTransport[[#This Row],[MRF_ID]],MRFs[MRF_ID],0))</f>
        <v>1 MRF for SS with fiber and container upgrades (Portland)</v>
      </c>
      <c r="AJ234" s="181" t="str">
        <f>RIGHT(SecondaryTransport[[#This Row],[Scenario_MRF_Bale_ID]],7)</f>
        <v>1000-03</v>
      </c>
      <c r="AK234" s="181" t="str">
        <f>INDEX(Bales[Bale_Name],MATCH(SecondaryTransport[[#This Row],[Bale_ID]],Bales[Bale_ID],0))</f>
        <v>Sorted residential paper and news</v>
      </c>
      <c r="AL234" s="443">
        <f>INDEX(BaleMover[Total_Baled_tons],MATCH(SecondaryTransport[[#This Row],[Scenario_MRF_Bale_ID]],BaleMover[Scenario_MRF_Bale_ID],0))</f>
        <v>25647.662131041132</v>
      </c>
      <c r="AM234" s="443">
        <f>IF(INDEX(BaleMover[Miles],MATCH(SecondaryTransport[[#This Row],[Scenario_MRF_Bale_ID]],BaleMover[Scenario_MRF_Bale_ID],0))="",0,INDEX(BaleMover[Miles],MATCH(SecondaryTransport[[#This Row],[Scenario_MRF_Bale_ID]],BaleMover[Scenario_MRF_Bale_ID],0)))</f>
        <v>50</v>
      </c>
      <c r="AN234" s="251">
        <f>IF(SecondaryTransport[[#This Row],[Bale_ID]]="9000-01","costs elsewhere",SecondaryTransport[[#This Row],[Total_Baled_tons]]*SecondaryTransport[[#This Row],[Miles]])</f>
        <v>1282383.1065520565</v>
      </c>
      <c r="AO234" s="352" t="str">
        <f>IF(LEFT(SecondaryTransport[[#This Row],[Bale_ID]],1)*1=5,IF(OR(SecondaryTransport[[#This Row],[MRF_ID]]="02",SecondaryTransport[[#This Row],[MRF_ID]]="08"),2,1),"")</f>
        <v/>
      </c>
      <c r="AP2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3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34" s="224" t="str">
        <f>IFERROR(IF(1*LEFT(SecondaryTransport[[#This Row],[Bale_ID]],1)=5,SecondaryTransport[[#This Row],[Ton-Miles]]*SecondaryTransport[[#This Row],[Cost_Per_Ton-Mile]],""),"")</f>
        <v/>
      </c>
      <c r="AS234" s="224">
        <f>IFERROR(IF(SecondaryTransport[[#This Row],[Container_Transfer]]="",(SecondaryTransport[[#This Row],[Ton-Miles]]*SecondaryTransport[[#This Row],[Cost_Per_Ton-Mile]]),""),"")</f>
        <v>397538.76303113753</v>
      </c>
    </row>
    <row r="235" spans="3:45" ht="15" x14ac:dyDescent="0.25">
      <c r="C235"/>
      <c r="D235"/>
      <c r="L235" s="446" t="s">
        <v>873</v>
      </c>
      <c r="M235" s="446">
        <v>1</v>
      </c>
      <c r="N235" s="446">
        <v>1</v>
      </c>
      <c r="O235" s="446" t="s">
        <v>706</v>
      </c>
      <c r="P235" s="449" t="s">
        <v>739</v>
      </c>
      <c r="Q235" s="449"/>
      <c r="R235" s="449"/>
      <c r="S235" s="449" t="s">
        <v>707</v>
      </c>
      <c r="T235" s="449" t="s">
        <v>1121</v>
      </c>
      <c r="U235" s="452">
        <v>0</v>
      </c>
      <c r="V2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5" s="272" t="str">
        <f>IFERROR(SUMIFS(TransUnitCost[Miles],TransUnitCost[Grouping_ID],TransTonsShort[[#This Row],[Grouping_ID]],TransUnitCost[Transp_ID],TransTonsShort[[#This Row],[Transp_ID]])*TransTonsShort[[#This Row],[Trans_Tons_All]]/TransTonsShort[[#This Row],[Trans_Tons_All]],"")</f>
        <v/>
      </c>
      <c r="X235" s="386" t="str">
        <f>TransTonsShort[[#This Row],[Grouping_ID]]&amp;"-"&amp;TransTonsShort[[#This Row],[Sector_ID]]</f>
        <v>1-1</v>
      </c>
      <c r="Y2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35" s="421">
        <f>INDEX(LandfillFees[Disposal Tip Fee 2025],MATCH(TransTonsShort[[#This Row],[Grouping_ID]],LandfillFees[Grouping_ID],0))</f>
        <v>134.68</v>
      </c>
      <c r="AA235" s="102">
        <f>IF(OR(TransTonsShort[[#This Row],[CollectionStream_ID]]="03",TransTonsShort[[#This Row],[CollectionStream_ID]]="04",TransTonsShort[[#This Row],[CollectionStream_ID]]="13"),0,TransTonsShort[[#This Row],[Trans_Tons_All]]*TransTonsShort[[#This Row],[Disposal_Fee]])</f>
        <v>0</v>
      </c>
      <c r="AF235" s="446" t="s">
        <v>1408</v>
      </c>
      <c r="AG235" s="442" t="str">
        <f>LEFT(SecondaryTransport[[#This Row],[Scenario_MRF_Bale_ID]],2)</f>
        <v>S0</v>
      </c>
      <c r="AH235" s="181" t="str">
        <f>LEFT(RIGHT(SecondaryTransport[[#This Row],[Scenario_MRF_Bale_ID]],10),2)</f>
        <v>04</v>
      </c>
      <c r="AI235" s="181" t="str">
        <f>INDEX(MRFs[MRF_Name],MATCH(SecondaryTransport[[#This Row],[MRF_ID]],MRFs[MRF_ID],0))</f>
        <v>1 MRF for SS with fiber and container upgrades (Portland)</v>
      </c>
      <c r="AJ235" s="181" t="str">
        <f>RIGHT(SecondaryTransport[[#This Row],[Scenario_MRF_Bale_ID]],7)</f>
        <v>1000-04</v>
      </c>
      <c r="AK235" s="181" t="str">
        <f>INDEX(Bales[Bale_Name],MATCH(SecondaryTransport[[#This Row],[Bale_ID]],Bales[Bale_ID],0))</f>
        <v>Sorted office paper and sorted white ledger</v>
      </c>
      <c r="AL235" s="443">
        <f>INDEX(BaleMover[Total_Baled_tons],MATCH(SecondaryTransport[[#This Row],[Scenario_MRF_Bale_ID]],BaleMover[Scenario_MRF_Bale_ID],0))</f>
        <v>0</v>
      </c>
      <c r="AM235" s="443">
        <f>IF(INDEX(BaleMover[Miles],MATCH(SecondaryTransport[[#This Row],[Scenario_MRF_Bale_ID]],BaleMover[Scenario_MRF_Bale_ID],0))="",0,INDEX(BaleMover[Miles],MATCH(SecondaryTransport[[#This Row],[Scenario_MRF_Bale_ID]],BaleMover[Scenario_MRF_Bale_ID],0)))</f>
        <v>0</v>
      </c>
      <c r="AN235" s="251">
        <f>IF(SecondaryTransport[[#This Row],[Bale_ID]]="9000-01","costs elsewhere",SecondaryTransport[[#This Row],[Total_Baled_tons]]*SecondaryTransport[[#This Row],[Miles]])</f>
        <v>0</v>
      </c>
      <c r="AO235" s="352" t="str">
        <f>IF(LEFT(SecondaryTransport[[#This Row],[Bale_ID]],1)*1=5,IF(OR(SecondaryTransport[[#This Row],[MRF_ID]]="02",SecondaryTransport[[#This Row],[MRF_ID]]="08"),2,1),"")</f>
        <v/>
      </c>
      <c r="AP2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3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35" s="224" t="str">
        <f>IFERROR(IF(1*LEFT(SecondaryTransport[[#This Row],[Bale_ID]],1)=5,SecondaryTransport[[#This Row],[Ton-Miles]]*SecondaryTransport[[#This Row],[Cost_Per_Ton-Mile]],""),"")</f>
        <v/>
      </c>
      <c r="AS235" s="224" t="str">
        <f>IFERROR(IF(SecondaryTransport[[#This Row],[Container_Transfer]]="",(SecondaryTransport[[#This Row],[Ton-Miles]]*SecondaryTransport[[#This Row],[Cost_Per_Ton-Mile]]),""),"")</f>
        <v/>
      </c>
    </row>
    <row r="236" spans="3:45" ht="15" x14ac:dyDescent="0.25">
      <c r="C236"/>
      <c r="D236"/>
      <c r="L236" s="446" t="s">
        <v>873</v>
      </c>
      <c r="M236" s="446">
        <v>2</v>
      </c>
      <c r="N236" s="446">
        <v>1</v>
      </c>
      <c r="O236" s="446" t="s">
        <v>706</v>
      </c>
      <c r="P236" s="449" t="s">
        <v>739</v>
      </c>
      <c r="Q236" s="449"/>
      <c r="R236" s="449"/>
      <c r="S236" s="449" t="s">
        <v>707</v>
      </c>
      <c r="T236" s="449" t="s">
        <v>1121</v>
      </c>
      <c r="U236" s="452">
        <v>13461.428743893226</v>
      </c>
      <c r="V2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555957.00712279021</v>
      </c>
      <c r="W236" s="272">
        <f>IFERROR(SUMIFS(TransUnitCost[Miles],TransUnitCost[Grouping_ID],TransTonsShort[[#This Row],[Grouping_ID]],TransUnitCost[Transp_ID],TransTonsShort[[#This Row],[Transp_ID]])*TransTonsShort[[#This Row],[Trans_Tons_All]]/TransTonsShort[[#This Row],[Trans_Tons_All]],"")</f>
        <v>70</v>
      </c>
      <c r="X236" s="386" t="str">
        <f>TransTonsShort[[#This Row],[Grouping_ID]]&amp;"-"&amp;TransTonsShort[[#This Row],[Sector_ID]]</f>
        <v>2-1</v>
      </c>
      <c r="Y2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36" s="421">
        <f>INDEX(LandfillFees[Disposal Tip Fee 2025],MATCH(TransTonsShort[[#This Row],[Grouping_ID]],LandfillFees[Grouping_ID],0))</f>
        <v>72.030938699729589</v>
      </c>
      <c r="AA236" s="102">
        <f>IF(OR(TransTonsShort[[#This Row],[CollectionStream_ID]]="03",TransTonsShort[[#This Row],[CollectionStream_ID]]="04",TransTonsShort[[#This Row],[CollectionStream_ID]]="13"),0,TransTonsShort[[#This Row],[Trans_Tons_All]]*TransTonsShort[[#This Row],[Disposal_Fee]])</f>
        <v>969639.34866215079</v>
      </c>
      <c r="AF236" s="446" t="s">
        <v>1409</v>
      </c>
      <c r="AG236" s="442" t="str">
        <f>LEFT(SecondaryTransport[[#This Row],[Scenario_MRF_Bale_ID]],2)</f>
        <v>S1</v>
      </c>
      <c r="AH236" s="181" t="str">
        <f>LEFT(RIGHT(SecondaryTransport[[#This Row],[Scenario_MRF_Bale_ID]],10),2)</f>
        <v>04</v>
      </c>
      <c r="AI236" s="181" t="str">
        <f>INDEX(MRFs[MRF_Name],MATCH(SecondaryTransport[[#This Row],[MRF_ID]],MRFs[MRF_ID],0))</f>
        <v>1 MRF for SS with fiber and container upgrades (Portland)</v>
      </c>
      <c r="AJ236" s="181" t="str">
        <f>RIGHT(SecondaryTransport[[#This Row],[Scenario_MRF_Bale_ID]],7)</f>
        <v>1000-04</v>
      </c>
      <c r="AK236" s="181" t="str">
        <f>INDEX(Bales[Bale_Name],MATCH(SecondaryTransport[[#This Row],[Bale_ID]],Bales[Bale_ID],0))</f>
        <v>Sorted office paper and sorted white ledger</v>
      </c>
      <c r="AL236" s="443">
        <f>INDEX(BaleMover[Total_Baled_tons],MATCH(SecondaryTransport[[#This Row],[Scenario_MRF_Bale_ID]],BaleMover[Scenario_MRF_Bale_ID],0))</f>
        <v>0</v>
      </c>
      <c r="AM236" s="443">
        <f>IF(INDEX(BaleMover[Miles],MATCH(SecondaryTransport[[#This Row],[Scenario_MRF_Bale_ID]],BaleMover[Scenario_MRF_Bale_ID],0))="",0,INDEX(BaleMover[Miles],MATCH(SecondaryTransport[[#This Row],[Scenario_MRF_Bale_ID]],BaleMover[Scenario_MRF_Bale_ID],0)))</f>
        <v>0</v>
      </c>
      <c r="AN236" s="251">
        <f>IF(SecondaryTransport[[#This Row],[Bale_ID]]="9000-01","costs elsewhere",SecondaryTransport[[#This Row],[Total_Baled_tons]]*SecondaryTransport[[#This Row],[Miles]])</f>
        <v>0</v>
      </c>
      <c r="AO236" s="352" t="str">
        <f>IF(LEFT(SecondaryTransport[[#This Row],[Bale_ID]],1)*1=5,IF(OR(SecondaryTransport[[#This Row],[MRF_ID]]="02",SecondaryTransport[[#This Row],[MRF_ID]]="08"),2,1),"")</f>
        <v/>
      </c>
      <c r="AP2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3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36" s="224" t="str">
        <f>IFERROR(IF(1*LEFT(SecondaryTransport[[#This Row],[Bale_ID]],1)=5,SecondaryTransport[[#This Row],[Ton-Miles]]*SecondaryTransport[[#This Row],[Cost_Per_Ton-Mile]],""),"")</f>
        <v/>
      </c>
      <c r="AS236" s="224" t="str">
        <f>IFERROR(IF(SecondaryTransport[[#This Row],[Container_Transfer]]="",(SecondaryTransport[[#This Row],[Ton-Miles]]*SecondaryTransport[[#This Row],[Cost_Per_Ton-Mile]]),""),"")</f>
        <v/>
      </c>
    </row>
    <row r="237" spans="3:45" ht="15" x14ac:dyDescent="0.25">
      <c r="C237"/>
      <c r="D237"/>
      <c r="L237" s="446" t="s">
        <v>873</v>
      </c>
      <c r="M237" s="446">
        <v>3</v>
      </c>
      <c r="N237" s="446">
        <v>1</v>
      </c>
      <c r="O237" s="446" t="s">
        <v>706</v>
      </c>
      <c r="P237" s="449" t="s">
        <v>739</v>
      </c>
      <c r="Q237" s="449"/>
      <c r="R237" s="449"/>
      <c r="S237" s="449" t="s">
        <v>707</v>
      </c>
      <c r="T237" s="449" t="s">
        <v>1121</v>
      </c>
      <c r="U237" s="452">
        <v>4491.1055547882461</v>
      </c>
      <c r="V2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161679.79997237684</v>
      </c>
      <c r="W237" s="272">
        <f>IFERROR(SUMIFS(TransUnitCost[Miles],TransUnitCost[Grouping_ID],TransTonsShort[[#This Row],[Grouping_ID]],TransUnitCost[Transp_ID],TransTonsShort[[#This Row],[Transp_ID]])*TransTonsShort[[#This Row],[Trans_Tons_All]]/TransTonsShort[[#This Row],[Trans_Tons_All]],"")</f>
        <v>150</v>
      </c>
      <c r="X237" s="386" t="str">
        <f>TransTonsShort[[#This Row],[Grouping_ID]]&amp;"-"&amp;TransTonsShort[[#This Row],[Sector_ID]]</f>
        <v>3-1</v>
      </c>
      <c r="Y2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37" s="421">
        <f>INDEX(LandfillFees[Disposal Tip Fee 2025],MATCH(TransTonsShort[[#This Row],[Grouping_ID]],LandfillFees[Grouping_ID],0))</f>
        <v>72.030938699729589</v>
      </c>
      <c r="AA237" s="102">
        <f>IF(OR(TransTonsShort[[#This Row],[CollectionStream_ID]]="03",TransTonsShort[[#This Row],[CollectionStream_ID]]="04",TransTonsShort[[#This Row],[CollectionStream_ID]]="13"),0,TransTonsShort[[#This Row],[Trans_Tons_All]]*TransTonsShort[[#This Row],[Disposal_Fee]])</f>
        <v>323498.54891096719</v>
      </c>
      <c r="AF237" s="446" t="s">
        <v>1410</v>
      </c>
      <c r="AG237" s="442" t="str">
        <f>LEFT(SecondaryTransport[[#This Row],[Scenario_MRF_Bale_ID]],2)</f>
        <v>S2</v>
      </c>
      <c r="AH237" s="181" t="str">
        <f>LEFT(RIGHT(SecondaryTransport[[#This Row],[Scenario_MRF_Bale_ID]],10),2)</f>
        <v>04</v>
      </c>
      <c r="AI237" s="181" t="str">
        <f>INDEX(MRFs[MRF_Name],MATCH(SecondaryTransport[[#This Row],[MRF_ID]],MRFs[MRF_ID],0))</f>
        <v>1 MRF for SS with fiber and container upgrades (Portland)</v>
      </c>
      <c r="AJ237" s="181" t="str">
        <f>RIGHT(SecondaryTransport[[#This Row],[Scenario_MRF_Bale_ID]],7)</f>
        <v>1000-04</v>
      </c>
      <c r="AK237" s="181" t="str">
        <f>INDEX(Bales[Bale_Name],MATCH(SecondaryTransport[[#This Row],[Bale_ID]],Bales[Bale_ID],0))</f>
        <v>Sorted office paper and sorted white ledger</v>
      </c>
      <c r="AL237" s="443">
        <f>INDEX(BaleMover[Total_Baled_tons],MATCH(SecondaryTransport[[#This Row],[Scenario_MRF_Bale_ID]],BaleMover[Scenario_MRF_Bale_ID],0))</f>
        <v>0</v>
      </c>
      <c r="AM237" s="443">
        <f>IF(INDEX(BaleMover[Miles],MATCH(SecondaryTransport[[#This Row],[Scenario_MRF_Bale_ID]],BaleMover[Scenario_MRF_Bale_ID],0))="",0,INDEX(BaleMover[Miles],MATCH(SecondaryTransport[[#This Row],[Scenario_MRF_Bale_ID]],BaleMover[Scenario_MRF_Bale_ID],0)))</f>
        <v>0</v>
      </c>
      <c r="AN237" s="251">
        <f>IF(SecondaryTransport[[#This Row],[Bale_ID]]="9000-01","costs elsewhere",SecondaryTransport[[#This Row],[Total_Baled_tons]]*SecondaryTransport[[#This Row],[Miles]])</f>
        <v>0</v>
      </c>
      <c r="AO237" s="352" t="str">
        <f>IF(LEFT(SecondaryTransport[[#This Row],[Bale_ID]],1)*1=5,IF(OR(SecondaryTransport[[#This Row],[MRF_ID]]="02",SecondaryTransport[[#This Row],[MRF_ID]]="08"),2,1),"")</f>
        <v/>
      </c>
      <c r="AP2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3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37" s="224" t="str">
        <f>IFERROR(IF(1*LEFT(SecondaryTransport[[#This Row],[Bale_ID]],1)=5,SecondaryTransport[[#This Row],[Ton-Miles]]*SecondaryTransport[[#This Row],[Cost_Per_Ton-Mile]],""),"")</f>
        <v/>
      </c>
      <c r="AS237" s="224" t="str">
        <f>IFERROR(IF(SecondaryTransport[[#This Row],[Container_Transfer]]="",(SecondaryTransport[[#This Row],[Ton-Miles]]*SecondaryTransport[[#This Row],[Cost_Per_Ton-Mile]]),""),"")</f>
        <v/>
      </c>
    </row>
    <row r="238" spans="3:45" ht="15" x14ac:dyDescent="0.25">
      <c r="C238"/>
      <c r="D238"/>
      <c r="L238" s="446" t="s">
        <v>873</v>
      </c>
      <c r="M238" s="446">
        <v>4</v>
      </c>
      <c r="N238" s="446">
        <v>1</v>
      </c>
      <c r="O238" s="446" t="s">
        <v>706</v>
      </c>
      <c r="P238" s="449" t="s">
        <v>739</v>
      </c>
      <c r="Q238" s="449"/>
      <c r="R238" s="449"/>
      <c r="S238" s="449" t="s">
        <v>707</v>
      </c>
      <c r="T238" s="449" t="s">
        <v>1121</v>
      </c>
      <c r="U238" s="452">
        <v>2.8572275826359177</v>
      </c>
      <c r="V2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157.14751704497547</v>
      </c>
      <c r="W238" s="272">
        <f>IFERROR(SUMIFS(TransUnitCost[Miles],TransUnitCost[Grouping_ID],TransTonsShort[[#This Row],[Grouping_ID]],TransUnitCost[Transp_ID],TransTonsShort[[#This Row],[Transp_ID]])*TransTonsShort[[#This Row],[Trans_Tons_All]]/TransTonsShort[[#This Row],[Trans_Tons_All]],"")</f>
        <v>250</v>
      </c>
      <c r="X238" s="386" t="str">
        <f>TransTonsShort[[#This Row],[Grouping_ID]]&amp;"-"&amp;TransTonsShort[[#This Row],[Sector_ID]]</f>
        <v>4-1</v>
      </c>
      <c r="Y2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38" s="421">
        <f>INDEX(LandfillFees[Disposal Tip Fee 2025],MATCH(TransTonsShort[[#This Row],[Grouping_ID]],LandfillFees[Grouping_ID],0))</f>
        <v>72.030938699729589</v>
      </c>
      <c r="AA238" s="102">
        <f>IF(OR(TransTonsShort[[#This Row],[CollectionStream_ID]]="03",TransTonsShort[[#This Row],[CollectionStream_ID]]="04",TransTonsShort[[#This Row],[CollectionStream_ID]]="13"),0,TransTonsShort[[#This Row],[Trans_Tons_All]]*TransTonsShort[[#This Row],[Disposal_Fee]])</f>
        <v>205.80878485602435</v>
      </c>
      <c r="AF238" s="446" t="s">
        <v>1411</v>
      </c>
      <c r="AG238" s="442" t="str">
        <f>LEFT(SecondaryTransport[[#This Row],[Scenario_MRF_Bale_ID]],2)</f>
        <v>S3</v>
      </c>
      <c r="AH238" s="181" t="str">
        <f>LEFT(RIGHT(SecondaryTransport[[#This Row],[Scenario_MRF_Bale_ID]],10),2)</f>
        <v>04</v>
      </c>
      <c r="AI238" s="181" t="str">
        <f>INDEX(MRFs[MRF_Name],MATCH(SecondaryTransport[[#This Row],[MRF_ID]],MRFs[MRF_ID],0))</f>
        <v>1 MRF for SS with fiber and container upgrades (Portland)</v>
      </c>
      <c r="AJ238" s="181" t="str">
        <f>RIGHT(SecondaryTransport[[#This Row],[Scenario_MRF_Bale_ID]],7)</f>
        <v>1000-04</v>
      </c>
      <c r="AK238" s="181" t="str">
        <f>INDEX(Bales[Bale_Name],MATCH(SecondaryTransport[[#This Row],[Bale_ID]],Bales[Bale_ID],0))</f>
        <v>Sorted office paper and sorted white ledger</v>
      </c>
      <c r="AL238" s="443">
        <f>INDEX(BaleMover[Total_Baled_tons],MATCH(SecondaryTransport[[#This Row],[Scenario_MRF_Bale_ID]],BaleMover[Scenario_MRF_Bale_ID],0))</f>
        <v>0</v>
      </c>
      <c r="AM238" s="443">
        <f>IF(INDEX(BaleMover[Miles],MATCH(SecondaryTransport[[#This Row],[Scenario_MRF_Bale_ID]],BaleMover[Scenario_MRF_Bale_ID],0))="",0,INDEX(BaleMover[Miles],MATCH(SecondaryTransport[[#This Row],[Scenario_MRF_Bale_ID]],BaleMover[Scenario_MRF_Bale_ID],0)))</f>
        <v>0</v>
      </c>
      <c r="AN238" s="251">
        <f>IF(SecondaryTransport[[#This Row],[Bale_ID]]="9000-01","costs elsewhere",SecondaryTransport[[#This Row],[Total_Baled_tons]]*SecondaryTransport[[#This Row],[Miles]])</f>
        <v>0</v>
      </c>
      <c r="AO238" s="352" t="str">
        <f>IF(LEFT(SecondaryTransport[[#This Row],[Bale_ID]],1)*1=5,IF(OR(SecondaryTransport[[#This Row],[MRF_ID]]="02",SecondaryTransport[[#This Row],[MRF_ID]]="08"),2,1),"")</f>
        <v/>
      </c>
      <c r="AP2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3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38" s="224" t="str">
        <f>IFERROR(IF(1*LEFT(SecondaryTransport[[#This Row],[Bale_ID]],1)=5,SecondaryTransport[[#This Row],[Ton-Miles]]*SecondaryTransport[[#This Row],[Cost_Per_Ton-Mile]],""),"")</f>
        <v/>
      </c>
      <c r="AS238" s="224" t="str">
        <f>IFERROR(IF(SecondaryTransport[[#This Row],[Container_Transfer]]="",(SecondaryTransport[[#This Row],[Ton-Miles]]*SecondaryTransport[[#This Row],[Cost_Per_Ton-Mile]]),""),"")</f>
        <v/>
      </c>
    </row>
    <row r="239" spans="3:45" ht="15" x14ac:dyDescent="0.25">
      <c r="C239"/>
      <c r="D239"/>
      <c r="L239" s="446" t="s">
        <v>873</v>
      </c>
      <c r="M239" s="446">
        <v>1</v>
      </c>
      <c r="N239" s="446">
        <v>1</v>
      </c>
      <c r="O239" s="446" t="s">
        <v>706</v>
      </c>
      <c r="P239" s="449" t="s">
        <v>700</v>
      </c>
      <c r="Q239" s="449"/>
      <c r="R239" s="449"/>
      <c r="S239" s="449" t="s">
        <v>707</v>
      </c>
      <c r="T239" s="449" t="s">
        <v>701</v>
      </c>
      <c r="U239" s="452">
        <v>21172.973465126317</v>
      </c>
      <c r="V2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39" s="272">
        <f>IFERROR(SUMIFS(TransUnitCost[Miles],TransUnitCost[Grouping_ID],TransTonsShort[[#This Row],[Grouping_ID]],TransUnitCost[Transp_ID],TransTonsShort[[#This Row],[Transp_ID]])*TransTonsShort[[#This Row],[Trans_Tons_All]]/TransTonsShort[[#This Row],[Trans_Tons_All]],"")</f>
        <v>0</v>
      </c>
      <c r="X239" s="386" t="str">
        <f>TransTonsShort[[#This Row],[Grouping_ID]]&amp;"-"&amp;TransTonsShort[[#This Row],[Sector_ID]]</f>
        <v>1-1</v>
      </c>
      <c r="Y2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39" s="421">
        <f>INDEX(LandfillFees[Disposal Tip Fee 2025],MATCH(TransTonsShort[[#This Row],[Grouping_ID]],LandfillFees[Grouping_ID],0))</f>
        <v>134.68</v>
      </c>
      <c r="AA239" s="102">
        <f>IF(OR(TransTonsShort[[#This Row],[CollectionStream_ID]]="03",TransTonsShort[[#This Row],[CollectionStream_ID]]="04",TransTonsShort[[#This Row],[CollectionStream_ID]]="13"),0,TransTonsShort[[#This Row],[Trans_Tons_All]]*TransTonsShort[[#This Row],[Disposal_Fee]])</f>
        <v>2851576.0662832125</v>
      </c>
      <c r="AF239" s="446" t="s">
        <v>1412</v>
      </c>
      <c r="AG239" s="442" t="str">
        <f>LEFT(SecondaryTransport[[#This Row],[Scenario_MRF_Bale_ID]],2)</f>
        <v>S0</v>
      </c>
      <c r="AH239" s="181" t="str">
        <f>LEFT(RIGHT(SecondaryTransport[[#This Row],[Scenario_MRF_Bale_ID]],10),2)</f>
        <v>04</v>
      </c>
      <c r="AI239" s="181" t="str">
        <f>INDEX(MRFs[MRF_Name],MATCH(SecondaryTransport[[#This Row],[MRF_ID]],MRFs[MRF_ID],0))</f>
        <v>1 MRF for SS with fiber and container upgrades (Portland)</v>
      </c>
      <c r="AJ239" s="181" t="str">
        <f>RIGHT(SecondaryTransport[[#This Row],[Scenario_MRF_Bale_ID]],7)</f>
        <v>1000-05</v>
      </c>
      <c r="AK239" s="181" t="str">
        <f>INDEX(Bales[Bale_Name],MATCH(SecondaryTransport[[#This Row],[Bale_ID]],Bales[Bale_ID],0))</f>
        <v>Mixed paper</v>
      </c>
      <c r="AL239" s="443">
        <f>INDEX(BaleMover[Total_Baled_tons],MATCH(SecondaryTransport[[#This Row],[Scenario_MRF_Bale_ID]],BaleMover[Scenario_MRF_Bale_ID],0))</f>
        <v>47643.937824034962</v>
      </c>
      <c r="AM239" s="443">
        <f>IF(INDEX(BaleMover[Miles],MATCH(SecondaryTransport[[#This Row],[Scenario_MRF_Bale_ID]],BaleMover[Scenario_MRF_Bale_ID],0))="",0,INDEX(BaleMover[Miles],MATCH(SecondaryTransport[[#This Row],[Scenario_MRF_Bale_ID]],BaleMover[Scenario_MRF_Bale_ID],0)))</f>
        <v>50</v>
      </c>
      <c r="AN239" s="251">
        <f>IF(SecondaryTransport[[#This Row],[Bale_ID]]="9000-01","costs elsewhere",SecondaryTransport[[#This Row],[Total_Baled_tons]]*SecondaryTransport[[#This Row],[Miles]])</f>
        <v>2382196.891201748</v>
      </c>
      <c r="AO239" s="352" t="str">
        <f>IF(LEFT(SecondaryTransport[[#This Row],[Bale_ID]],1)*1=5,IF(OR(SecondaryTransport[[#This Row],[MRF_ID]]="02",SecondaryTransport[[#This Row],[MRF_ID]]="08"),2,1),"")</f>
        <v/>
      </c>
      <c r="AP2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3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39" s="224" t="str">
        <f>IFERROR(IF(1*LEFT(SecondaryTransport[[#This Row],[Bale_ID]],1)=5,SecondaryTransport[[#This Row],[Ton-Miles]]*SecondaryTransport[[#This Row],[Cost_Per_Ton-Mile]],""),"")</f>
        <v/>
      </c>
      <c r="AS239" s="224">
        <f>IFERROR(IF(SecondaryTransport[[#This Row],[Container_Transfer]]="",(SecondaryTransport[[#This Row],[Ton-Miles]]*SecondaryTransport[[#This Row],[Cost_Per_Ton-Mile]]),""),"")</f>
        <v>738481.03627254185</v>
      </c>
    </row>
    <row r="240" spans="3:45" ht="15" x14ac:dyDescent="0.25">
      <c r="C240"/>
      <c r="D240"/>
      <c r="L240" s="446" t="s">
        <v>873</v>
      </c>
      <c r="M240" s="446">
        <v>2</v>
      </c>
      <c r="N240" s="446">
        <v>1</v>
      </c>
      <c r="O240" s="446" t="s">
        <v>706</v>
      </c>
      <c r="P240" s="449" t="s">
        <v>700</v>
      </c>
      <c r="Q240" s="449"/>
      <c r="R240" s="449"/>
      <c r="S240" s="449" t="s">
        <v>707</v>
      </c>
      <c r="T240" s="449" t="s">
        <v>701</v>
      </c>
      <c r="U240" s="452">
        <v>0</v>
      </c>
      <c r="V2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0" s="272" t="str">
        <f>IFERROR(SUMIFS(TransUnitCost[Miles],TransUnitCost[Grouping_ID],TransTonsShort[[#This Row],[Grouping_ID]],TransUnitCost[Transp_ID],TransTonsShort[[#This Row],[Transp_ID]])*TransTonsShort[[#This Row],[Trans_Tons_All]]/TransTonsShort[[#This Row],[Trans_Tons_All]],"")</f>
        <v/>
      </c>
      <c r="X240" s="386" t="str">
        <f>TransTonsShort[[#This Row],[Grouping_ID]]&amp;"-"&amp;TransTonsShort[[#This Row],[Sector_ID]]</f>
        <v>2-1</v>
      </c>
      <c r="Y2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0" s="421">
        <f>INDEX(LandfillFees[Disposal Tip Fee 2025],MATCH(TransTonsShort[[#This Row],[Grouping_ID]],LandfillFees[Grouping_ID],0))</f>
        <v>72.030938699729589</v>
      </c>
      <c r="AA240" s="102">
        <f>IF(OR(TransTonsShort[[#This Row],[CollectionStream_ID]]="03",TransTonsShort[[#This Row],[CollectionStream_ID]]="04",TransTonsShort[[#This Row],[CollectionStream_ID]]="13"),0,TransTonsShort[[#This Row],[Trans_Tons_All]]*TransTonsShort[[#This Row],[Disposal_Fee]])</f>
        <v>0</v>
      </c>
      <c r="AF240" s="446" t="s">
        <v>1413</v>
      </c>
      <c r="AG240" s="442" t="str">
        <f>LEFT(SecondaryTransport[[#This Row],[Scenario_MRF_Bale_ID]],2)</f>
        <v>S1</v>
      </c>
      <c r="AH240" s="181" t="str">
        <f>LEFT(RIGHT(SecondaryTransport[[#This Row],[Scenario_MRF_Bale_ID]],10),2)</f>
        <v>04</v>
      </c>
      <c r="AI240" s="181" t="str">
        <f>INDEX(MRFs[MRF_Name],MATCH(SecondaryTransport[[#This Row],[MRF_ID]],MRFs[MRF_ID],0))</f>
        <v>1 MRF for SS with fiber and container upgrades (Portland)</v>
      </c>
      <c r="AJ240" s="181" t="str">
        <f>RIGHT(SecondaryTransport[[#This Row],[Scenario_MRF_Bale_ID]],7)</f>
        <v>1000-05</v>
      </c>
      <c r="AK240" s="181" t="str">
        <f>INDEX(Bales[Bale_Name],MATCH(SecondaryTransport[[#This Row],[Bale_ID]],Bales[Bale_ID],0))</f>
        <v>Mixed paper</v>
      </c>
      <c r="AL240" s="443">
        <f>INDEX(BaleMover[Total_Baled_tons],MATCH(SecondaryTransport[[#This Row],[Scenario_MRF_Bale_ID]],BaleMover[Scenario_MRF_Bale_ID],0))</f>
        <v>16300.899585066343</v>
      </c>
      <c r="AM240" s="443">
        <f>IF(INDEX(BaleMover[Miles],MATCH(SecondaryTransport[[#This Row],[Scenario_MRF_Bale_ID]],BaleMover[Scenario_MRF_Bale_ID],0))="",0,INDEX(BaleMover[Miles],MATCH(SecondaryTransport[[#This Row],[Scenario_MRF_Bale_ID]],BaleMover[Scenario_MRF_Bale_ID],0)))</f>
        <v>50</v>
      </c>
      <c r="AN240" s="251">
        <f>IF(SecondaryTransport[[#This Row],[Bale_ID]]="9000-01","costs elsewhere",SecondaryTransport[[#This Row],[Total_Baled_tons]]*SecondaryTransport[[#This Row],[Miles]])</f>
        <v>815044.97925331711</v>
      </c>
      <c r="AO240" s="352" t="str">
        <f>IF(LEFT(SecondaryTransport[[#This Row],[Bale_ID]],1)*1=5,IF(OR(SecondaryTransport[[#This Row],[MRF_ID]]="02",SecondaryTransport[[#This Row],[MRF_ID]]="08"),2,1),"")</f>
        <v/>
      </c>
      <c r="AP2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4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40" s="224" t="str">
        <f>IFERROR(IF(1*LEFT(SecondaryTransport[[#This Row],[Bale_ID]],1)=5,SecondaryTransport[[#This Row],[Ton-Miles]]*SecondaryTransport[[#This Row],[Cost_Per_Ton-Mile]],""),"")</f>
        <v/>
      </c>
      <c r="AS240" s="224">
        <f>IFERROR(IF(SecondaryTransport[[#This Row],[Container_Transfer]]="",(SecondaryTransport[[#This Row],[Ton-Miles]]*SecondaryTransport[[#This Row],[Cost_Per_Ton-Mile]]),""),"")</f>
        <v>252663.94356852831</v>
      </c>
    </row>
    <row r="241" spans="3:45" ht="15" x14ac:dyDescent="0.25">
      <c r="C241"/>
      <c r="D241"/>
      <c r="L241" s="446" t="s">
        <v>873</v>
      </c>
      <c r="M241" s="446">
        <v>3</v>
      </c>
      <c r="N241" s="446">
        <v>1</v>
      </c>
      <c r="O241" s="446" t="s">
        <v>706</v>
      </c>
      <c r="P241" s="449" t="s">
        <v>700</v>
      </c>
      <c r="Q241" s="449"/>
      <c r="R241" s="449"/>
      <c r="S241" s="449" t="s">
        <v>707</v>
      </c>
      <c r="T241" s="449" t="s">
        <v>701</v>
      </c>
      <c r="U241" s="452">
        <v>0</v>
      </c>
      <c r="V2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1" s="272" t="str">
        <f>IFERROR(SUMIFS(TransUnitCost[Miles],TransUnitCost[Grouping_ID],TransTonsShort[[#This Row],[Grouping_ID]],TransUnitCost[Transp_ID],TransTonsShort[[#This Row],[Transp_ID]])*TransTonsShort[[#This Row],[Trans_Tons_All]]/TransTonsShort[[#This Row],[Trans_Tons_All]],"")</f>
        <v/>
      </c>
      <c r="X241" s="386" t="str">
        <f>TransTonsShort[[#This Row],[Grouping_ID]]&amp;"-"&amp;TransTonsShort[[#This Row],[Sector_ID]]</f>
        <v>3-1</v>
      </c>
      <c r="Y2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1" s="421">
        <f>INDEX(LandfillFees[Disposal Tip Fee 2025],MATCH(TransTonsShort[[#This Row],[Grouping_ID]],LandfillFees[Grouping_ID],0))</f>
        <v>72.030938699729589</v>
      </c>
      <c r="AA241" s="102">
        <f>IF(OR(TransTonsShort[[#This Row],[CollectionStream_ID]]="03",TransTonsShort[[#This Row],[CollectionStream_ID]]="04",TransTonsShort[[#This Row],[CollectionStream_ID]]="13"),0,TransTonsShort[[#This Row],[Trans_Tons_All]]*TransTonsShort[[#This Row],[Disposal_Fee]])</f>
        <v>0</v>
      </c>
      <c r="AF241" s="446" t="s">
        <v>1414</v>
      </c>
      <c r="AG241" s="442" t="str">
        <f>LEFT(SecondaryTransport[[#This Row],[Scenario_MRF_Bale_ID]],2)</f>
        <v>S2</v>
      </c>
      <c r="AH241" s="181" t="str">
        <f>LEFT(RIGHT(SecondaryTransport[[#This Row],[Scenario_MRF_Bale_ID]],10),2)</f>
        <v>04</v>
      </c>
      <c r="AI241" s="181" t="str">
        <f>INDEX(MRFs[MRF_Name],MATCH(SecondaryTransport[[#This Row],[MRF_ID]],MRFs[MRF_ID],0))</f>
        <v>1 MRF for SS with fiber and container upgrades (Portland)</v>
      </c>
      <c r="AJ241" s="181" t="str">
        <f>RIGHT(SecondaryTransport[[#This Row],[Scenario_MRF_Bale_ID]],7)</f>
        <v>1000-05</v>
      </c>
      <c r="AK241" s="181" t="str">
        <f>INDEX(Bales[Bale_Name],MATCH(SecondaryTransport[[#This Row],[Bale_ID]],Bales[Bale_ID],0))</f>
        <v>Mixed paper</v>
      </c>
      <c r="AL241" s="443">
        <f>INDEX(BaleMover[Total_Baled_tons],MATCH(SecondaryTransport[[#This Row],[Scenario_MRF_Bale_ID]],BaleMover[Scenario_MRF_Bale_ID],0))</f>
        <v>19342.261293734187</v>
      </c>
      <c r="AM241" s="443">
        <f>IF(INDEX(BaleMover[Miles],MATCH(SecondaryTransport[[#This Row],[Scenario_MRF_Bale_ID]],BaleMover[Scenario_MRF_Bale_ID],0))="",0,INDEX(BaleMover[Miles],MATCH(SecondaryTransport[[#This Row],[Scenario_MRF_Bale_ID]],BaleMover[Scenario_MRF_Bale_ID],0)))</f>
        <v>50</v>
      </c>
      <c r="AN241" s="251">
        <f>IF(SecondaryTransport[[#This Row],[Bale_ID]]="9000-01","costs elsewhere",SecondaryTransport[[#This Row],[Total_Baled_tons]]*SecondaryTransport[[#This Row],[Miles]])</f>
        <v>967113.06468670932</v>
      </c>
      <c r="AO241" s="352" t="str">
        <f>IF(LEFT(SecondaryTransport[[#This Row],[Bale_ID]],1)*1=5,IF(OR(SecondaryTransport[[#This Row],[MRF_ID]]="02",SecondaryTransport[[#This Row],[MRF_ID]]="08"),2,1),"")</f>
        <v/>
      </c>
      <c r="AP2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4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41" s="224" t="str">
        <f>IFERROR(IF(1*LEFT(SecondaryTransport[[#This Row],[Bale_ID]],1)=5,SecondaryTransport[[#This Row],[Ton-Miles]]*SecondaryTransport[[#This Row],[Cost_Per_Ton-Mile]],""),"")</f>
        <v/>
      </c>
      <c r="AS241" s="224">
        <f>IFERROR(IF(SecondaryTransport[[#This Row],[Container_Transfer]]="",(SecondaryTransport[[#This Row],[Ton-Miles]]*SecondaryTransport[[#This Row],[Cost_Per_Ton-Mile]]),""),"")</f>
        <v>299805.0500528799</v>
      </c>
    </row>
    <row r="242" spans="3:45" ht="15" x14ac:dyDescent="0.25">
      <c r="C242"/>
      <c r="D242"/>
      <c r="L242" s="446" t="s">
        <v>873</v>
      </c>
      <c r="M242" s="446">
        <v>4</v>
      </c>
      <c r="N242" s="446">
        <v>1</v>
      </c>
      <c r="O242" s="446" t="s">
        <v>706</v>
      </c>
      <c r="P242" s="449" t="s">
        <v>700</v>
      </c>
      <c r="Q242" s="449"/>
      <c r="R242" s="449"/>
      <c r="S242" s="449" t="s">
        <v>707</v>
      </c>
      <c r="T242" s="449" t="s">
        <v>701</v>
      </c>
      <c r="U242" s="452">
        <v>0</v>
      </c>
      <c r="V2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2" s="272" t="str">
        <f>IFERROR(SUMIFS(TransUnitCost[Miles],TransUnitCost[Grouping_ID],TransTonsShort[[#This Row],[Grouping_ID]],TransUnitCost[Transp_ID],TransTonsShort[[#This Row],[Transp_ID]])*TransTonsShort[[#This Row],[Trans_Tons_All]]/TransTonsShort[[#This Row],[Trans_Tons_All]],"")</f>
        <v/>
      </c>
      <c r="X242" s="386" t="str">
        <f>TransTonsShort[[#This Row],[Grouping_ID]]&amp;"-"&amp;TransTonsShort[[#This Row],[Sector_ID]]</f>
        <v>4-1</v>
      </c>
      <c r="Y2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2" s="421">
        <f>INDEX(LandfillFees[Disposal Tip Fee 2025],MATCH(TransTonsShort[[#This Row],[Grouping_ID]],LandfillFees[Grouping_ID],0))</f>
        <v>72.030938699729589</v>
      </c>
      <c r="AA242" s="102">
        <f>IF(OR(TransTonsShort[[#This Row],[CollectionStream_ID]]="03",TransTonsShort[[#This Row],[CollectionStream_ID]]="04",TransTonsShort[[#This Row],[CollectionStream_ID]]="13"),0,TransTonsShort[[#This Row],[Trans_Tons_All]]*TransTonsShort[[#This Row],[Disposal_Fee]])</f>
        <v>0</v>
      </c>
      <c r="AF242" s="446" t="s">
        <v>1415</v>
      </c>
      <c r="AG242" s="442" t="str">
        <f>LEFT(SecondaryTransport[[#This Row],[Scenario_MRF_Bale_ID]],2)</f>
        <v>S3</v>
      </c>
      <c r="AH242" s="181" t="str">
        <f>LEFT(RIGHT(SecondaryTransport[[#This Row],[Scenario_MRF_Bale_ID]],10),2)</f>
        <v>04</v>
      </c>
      <c r="AI242" s="181" t="str">
        <f>INDEX(MRFs[MRF_Name],MATCH(SecondaryTransport[[#This Row],[MRF_ID]],MRFs[MRF_ID],0))</f>
        <v>1 MRF for SS with fiber and container upgrades (Portland)</v>
      </c>
      <c r="AJ242" s="181" t="str">
        <f>RIGHT(SecondaryTransport[[#This Row],[Scenario_MRF_Bale_ID]],7)</f>
        <v>1000-05</v>
      </c>
      <c r="AK242" s="181" t="str">
        <f>INDEX(Bales[Bale_Name],MATCH(SecondaryTransport[[#This Row],[Bale_ID]],Bales[Bale_ID],0))</f>
        <v>Mixed paper</v>
      </c>
      <c r="AL242" s="443">
        <f>INDEX(BaleMover[Total_Baled_tons],MATCH(SecondaryTransport[[#This Row],[Scenario_MRF_Bale_ID]],BaleMover[Scenario_MRF_Bale_ID],0))</f>
        <v>19338.051438545594</v>
      </c>
      <c r="AM242" s="443">
        <f>IF(INDEX(BaleMover[Miles],MATCH(SecondaryTransport[[#This Row],[Scenario_MRF_Bale_ID]],BaleMover[Scenario_MRF_Bale_ID],0))="",0,INDEX(BaleMover[Miles],MATCH(SecondaryTransport[[#This Row],[Scenario_MRF_Bale_ID]],BaleMover[Scenario_MRF_Bale_ID],0)))</f>
        <v>50</v>
      </c>
      <c r="AN242" s="251">
        <f>IF(SecondaryTransport[[#This Row],[Bale_ID]]="9000-01","costs elsewhere",SecondaryTransport[[#This Row],[Total_Baled_tons]]*SecondaryTransport[[#This Row],[Miles]])</f>
        <v>966902.5719272797</v>
      </c>
      <c r="AO242" s="352" t="str">
        <f>IF(LEFT(SecondaryTransport[[#This Row],[Bale_ID]],1)*1=5,IF(OR(SecondaryTransport[[#This Row],[MRF_ID]]="02",SecondaryTransport[[#This Row],[MRF_ID]]="08"),2,1),"")</f>
        <v/>
      </c>
      <c r="AP2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4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42" s="224" t="str">
        <f>IFERROR(IF(1*LEFT(SecondaryTransport[[#This Row],[Bale_ID]],1)=5,SecondaryTransport[[#This Row],[Ton-Miles]]*SecondaryTransport[[#This Row],[Cost_Per_Ton-Mile]],""),"")</f>
        <v/>
      </c>
      <c r="AS242" s="224">
        <f>IFERROR(IF(SecondaryTransport[[#This Row],[Container_Transfer]]="",(SecondaryTransport[[#This Row],[Ton-Miles]]*SecondaryTransport[[#This Row],[Cost_Per_Ton-Mile]]),""),"")</f>
        <v>299739.79729745671</v>
      </c>
    </row>
    <row r="243" spans="3:45" ht="15" x14ac:dyDescent="0.25">
      <c r="C243"/>
      <c r="D243"/>
      <c r="L243" s="446" t="s">
        <v>873</v>
      </c>
      <c r="M243" s="446">
        <v>1</v>
      </c>
      <c r="N243" s="446">
        <v>1</v>
      </c>
      <c r="O243" s="446" t="s">
        <v>752</v>
      </c>
      <c r="P243" s="449" t="s">
        <v>719</v>
      </c>
      <c r="Q243" s="449"/>
      <c r="R243" s="449"/>
      <c r="S243" s="449" t="s">
        <v>964</v>
      </c>
      <c r="T243" s="449" t="s">
        <v>1055</v>
      </c>
      <c r="U243" s="452">
        <v>0</v>
      </c>
      <c r="V2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3" s="272" t="str">
        <f>IFERROR(SUMIFS(TransUnitCost[Miles],TransUnitCost[Grouping_ID],TransTonsShort[[#This Row],[Grouping_ID]],TransUnitCost[Transp_ID],TransTonsShort[[#This Row],[Transp_ID]])*TransTonsShort[[#This Row],[Trans_Tons_All]]/TransTonsShort[[#This Row],[Trans_Tons_All]],"")</f>
        <v/>
      </c>
      <c r="X243" s="386" t="str">
        <f>TransTonsShort[[#This Row],[Grouping_ID]]&amp;"-"&amp;TransTonsShort[[#This Row],[Sector_ID]]</f>
        <v>1-1</v>
      </c>
      <c r="Y2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3" s="421">
        <f>INDEX(LandfillFees[Disposal Tip Fee 2025],MATCH(TransTonsShort[[#This Row],[Grouping_ID]],LandfillFees[Grouping_ID],0))</f>
        <v>134.68</v>
      </c>
      <c r="AA243" s="102">
        <f>IF(OR(TransTonsShort[[#This Row],[CollectionStream_ID]]="03",TransTonsShort[[#This Row],[CollectionStream_ID]]="04",TransTonsShort[[#This Row],[CollectionStream_ID]]="13"),0,TransTonsShort[[#This Row],[Trans_Tons_All]]*TransTonsShort[[#This Row],[Disposal_Fee]])</f>
        <v>0</v>
      </c>
      <c r="AF243" s="446" t="s">
        <v>1416</v>
      </c>
      <c r="AG243" s="442" t="str">
        <f>LEFT(SecondaryTransport[[#This Row],[Scenario_MRF_Bale_ID]],2)</f>
        <v>S0</v>
      </c>
      <c r="AH243" s="181" t="str">
        <f>LEFT(RIGHT(SecondaryTransport[[#This Row],[Scenario_MRF_Bale_ID]],10),2)</f>
        <v>04</v>
      </c>
      <c r="AI243" s="181" t="str">
        <f>INDEX(MRFs[MRF_Name],MATCH(SecondaryTransport[[#This Row],[MRF_ID]],MRFs[MRF_ID],0))</f>
        <v>1 MRF for SS with fiber and container upgrades (Portland)</v>
      </c>
      <c r="AJ243" s="181" t="str">
        <f>RIGHT(SecondaryTransport[[#This Row],[Scenario_MRF_Bale_ID]],7)</f>
        <v>1000-06</v>
      </c>
      <c r="AK243" s="181" t="str">
        <f>INDEX(Bales[Bale_Name],MATCH(SecondaryTransport[[#This Row],[Bale_ID]],Bales[Bale_ID],0))</f>
        <v>Paperboard/old boxboard</v>
      </c>
      <c r="AL243" s="443">
        <f>INDEX(BaleMover[Total_Baled_tons],MATCH(SecondaryTransport[[#This Row],[Scenario_MRF_Bale_ID]],BaleMover[Scenario_MRF_Bale_ID],0))</f>
        <v>0</v>
      </c>
      <c r="AM243" s="443">
        <f>IF(INDEX(BaleMover[Miles],MATCH(SecondaryTransport[[#This Row],[Scenario_MRF_Bale_ID]],BaleMover[Scenario_MRF_Bale_ID],0))="",0,INDEX(BaleMover[Miles],MATCH(SecondaryTransport[[#This Row],[Scenario_MRF_Bale_ID]],BaleMover[Scenario_MRF_Bale_ID],0)))</f>
        <v>0</v>
      </c>
      <c r="AN243" s="251">
        <f>IF(SecondaryTransport[[#This Row],[Bale_ID]]="9000-01","costs elsewhere",SecondaryTransport[[#This Row],[Total_Baled_tons]]*SecondaryTransport[[#This Row],[Miles]])</f>
        <v>0</v>
      </c>
      <c r="AO243" s="352" t="str">
        <f>IF(LEFT(SecondaryTransport[[#This Row],[Bale_ID]],1)*1=5,IF(OR(SecondaryTransport[[#This Row],[MRF_ID]]="02",SecondaryTransport[[#This Row],[MRF_ID]]="08"),2,1),"")</f>
        <v/>
      </c>
      <c r="AP2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4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43" s="224" t="str">
        <f>IFERROR(IF(1*LEFT(SecondaryTransport[[#This Row],[Bale_ID]],1)=5,SecondaryTransport[[#This Row],[Ton-Miles]]*SecondaryTransport[[#This Row],[Cost_Per_Ton-Mile]],""),"")</f>
        <v/>
      </c>
      <c r="AS243" s="224" t="str">
        <f>IFERROR(IF(SecondaryTransport[[#This Row],[Container_Transfer]]="",(SecondaryTransport[[#This Row],[Ton-Miles]]*SecondaryTransport[[#This Row],[Cost_Per_Ton-Mile]]),""),"")</f>
        <v/>
      </c>
    </row>
    <row r="244" spans="3:45" ht="15" x14ac:dyDescent="0.25">
      <c r="C244"/>
      <c r="D244"/>
      <c r="L244" s="446" t="s">
        <v>873</v>
      </c>
      <c r="M244" s="446">
        <v>2</v>
      </c>
      <c r="N244" s="446">
        <v>1</v>
      </c>
      <c r="O244" s="446" t="s">
        <v>752</v>
      </c>
      <c r="P244" s="449" t="s">
        <v>719</v>
      </c>
      <c r="Q244" s="449"/>
      <c r="R244" s="449"/>
      <c r="S244" s="449" t="s">
        <v>964</v>
      </c>
      <c r="T244" s="449" t="s">
        <v>1055</v>
      </c>
      <c r="U244" s="452">
        <v>0</v>
      </c>
      <c r="V2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4" s="272" t="str">
        <f>IFERROR(SUMIFS(TransUnitCost[Miles],TransUnitCost[Grouping_ID],TransTonsShort[[#This Row],[Grouping_ID]],TransUnitCost[Transp_ID],TransTonsShort[[#This Row],[Transp_ID]])*TransTonsShort[[#This Row],[Trans_Tons_All]]/TransTonsShort[[#This Row],[Trans_Tons_All]],"")</f>
        <v/>
      </c>
      <c r="X244" s="386" t="str">
        <f>TransTonsShort[[#This Row],[Grouping_ID]]&amp;"-"&amp;TransTonsShort[[#This Row],[Sector_ID]]</f>
        <v>2-1</v>
      </c>
      <c r="Y2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4" s="421">
        <f>INDEX(LandfillFees[Disposal Tip Fee 2025],MATCH(TransTonsShort[[#This Row],[Grouping_ID]],LandfillFees[Grouping_ID],0))</f>
        <v>72.030938699729589</v>
      </c>
      <c r="AA244" s="102">
        <f>IF(OR(TransTonsShort[[#This Row],[CollectionStream_ID]]="03",TransTonsShort[[#This Row],[CollectionStream_ID]]="04",TransTonsShort[[#This Row],[CollectionStream_ID]]="13"),0,TransTonsShort[[#This Row],[Trans_Tons_All]]*TransTonsShort[[#This Row],[Disposal_Fee]])</f>
        <v>0</v>
      </c>
      <c r="AF244" s="446" t="s">
        <v>1417</v>
      </c>
      <c r="AG244" s="442" t="str">
        <f>LEFT(SecondaryTransport[[#This Row],[Scenario_MRF_Bale_ID]],2)</f>
        <v>S1</v>
      </c>
      <c r="AH244" s="181" t="str">
        <f>LEFT(RIGHT(SecondaryTransport[[#This Row],[Scenario_MRF_Bale_ID]],10),2)</f>
        <v>04</v>
      </c>
      <c r="AI244" s="181" t="str">
        <f>INDEX(MRFs[MRF_Name],MATCH(SecondaryTransport[[#This Row],[MRF_ID]],MRFs[MRF_ID],0))</f>
        <v>1 MRF for SS with fiber and container upgrades (Portland)</v>
      </c>
      <c r="AJ244" s="181" t="str">
        <f>RIGHT(SecondaryTransport[[#This Row],[Scenario_MRF_Bale_ID]],7)</f>
        <v>1000-06</v>
      </c>
      <c r="AK244" s="181" t="str">
        <f>INDEX(Bales[Bale_Name],MATCH(SecondaryTransport[[#This Row],[Bale_ID]],Bales[Bale_ID],0))</f>
        <v>Paperboard/old boxboard</v>
      </c>
      <c r="AL244" s="443">
        <f>INDEX(BaleMover[Total_Baled_tons],MATCH(SecondaryTransport[[#This Row],[Scenario_MRF_Bale_ID]],BaleMover[Scenario_MRF_Bale_ID],0))</f>
        <v>0</v>
      </c>
      <c r="AM244" s="443">
        <f>IF(INDEX(BaleMover[Miles],MATCH(SecondaryTransport[[#This Row],[Scenario_MRF_Bale_ID]],BaleMover[Scenario_MRF_Bale_ID],0))="",0,INDEX(BaleMover[Miles],MATCH(SecondaryTransport[[#This Row],[Scenario_MRF_Bale_ID]],BaleMover[Scenario_MRF_Bale_ID],0)))</f>
        <v>0</v>
      </c>
      <c r="AN244" s="251">
        <f>IF(SecondaryTransport[[#This Row],[Bale_ID]]="9000-01","costs elsewhere",SecondaryTransport[[#This Row],[Total_Baled_tons]]*SecondaryTransport[[#This Row],[Miles]])</f>
        <v>0</v>
      </c>
      <c r="AO244" s="352" t="str">
        <f>IF(LEFT(SecondaryTransport[[#This Row],[Bale_ID]],1)*1=5,IF(OR(SecondaryTransport[[#This Row],[MRF_ID]]="02",SecondaryTransport[[#This Row],[MRF_ID]]="08"),2,1),"")</f>
        <v/>
      </c>
      <c r="AP2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4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44" s="224" t="str">
        <f>IFERROR(IF(1*LEFT(SecondaryTransport[[#This Row],[Bale_ID]],1)=5,SecondaryTransport[[#This Row],[Ton-Miles]]*SecondaryTransport[[#This Row],[Cost_Per_Ton-Mile]],""),"")</f>
        <v/>
      </c>
      <c r="AS244" s="224" t="str">
        <f>IFERROR(IF(SecondaryTransport[[#This Row],[Container_Transfer]]="",(SecondaryTransport[[#This Row],[Ton-Miles]]*SecondaryTransport[[#This Row],[Cost_Per_Ton-Mile]]),""),"")</f>
        <v/>
      </c>
    </row>
    <row r="245" spans="3:45" ht="15" x14ac:dyDescent="0.25">
      <c r="C245"/>
      <c r="D245"/>
      <c r="L245" s="446" t="s">
        <v>873</v>
      </c>
      <c r="M245" s="446">
        <v>3</v>
      </c>
      <c r="N245" s="446">
        <v>1</v>
      </c>
      <c r="O245" s="446" t="s">
        <v>752</v>
      </c>
      <c r="P245" s="449" t="s">
        <v>719</v>
      </c>
      <c r="Q245" s="449"/>
      <c r="R245" s="449"/>
      <c r="S245" s="449" t="s">
        <v>964</v>
      </c>
      <c r="T245" s="449" t="s">
        <v>1055</v>
      </c>
      <c r="U245" s="452">
        <v>0</v>
      </c>
      <c r="V2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5" s="272" t="str">
        <f>IFERROR(SUMIFS(TransUnitCost[Miles],TransUnitCost[Grouping_ID],TransTonsShort[[#This Row],[Grouping_ID]],TransUnitCost[Transp_ID],TransTonsShort[[#This Row],[Transp_ID]])*TransTonsShort[[#This Row],[Trans_Tons_All]]/TransTonsShort[[#This Row],[Trans_Tons_All]],"")</f>
        <v/>
      </c>
      <c r="X245" s="386" t="str">
        <f>TransTonsShort[[#This Row],[Grouping_ID]]&amp;"-"&amp;TransTonsShort[[#This Row],[Sector_ID]]</f>
        <v>3-1</v>
      </c>
      <c r="Y2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5" s="421">
        <f>INDEX(LandfillFees[Disposal Tip Fee 2025],MATCH(TransTonsShort[[#This Row],[Grouping_ID]],LandfillFees[Grouping_ID],0))</f>
        <v>72.030938699729589</v>
      </c>
      <c r="AA245" s="102">
        <f>IF(OR(TransTonsShort[[#This Row],[CollectionStream_ID]]="03",TransTonsShort[[#This Row],[CollectionStream_ID]]="04",TransTonsShort[[#This Row],[CollectionStream_ID]]="13"),0,TransTonsShort[[#This Row],[Trans_Tons_All]]*TransTonsShort[[#This Row],[Disposal_Fee]])</f>
        <v>0</v>
      </c>
      <c r="AF245" s="446" t="s">
        <v>1418</v>
      </c>
      <c r="AG245" s="442" t="str">
        <f>LEFT(SecondaryTransport[[#This Row],[Scenario_MRF_Bale_ID]],2)</f>
        <v>S2</v>
      </c>
      <c r="AH245" s="181" t="str">
        <f>LEFT(RIGHT(SecondaryTransport[[#This Row],[Scenario_MRF_Bale_ID]],10),2)</f>
        <v>04</v>
      </c>
      <c r="AI245" s="181" t="str">
        <f>INDEX(MRFs[MRF_Name],MATCH(SecondaryTransport[[#This Row],[MRF_ID]],MRFs[MRF_ID],0))</f>
        <v>1 MRF for SS with fiber and container upgrades (Portland)</v>
      </c>
      <c r="AJ245" s="181" t="str">
        <f>RIGHT(SecondaryTransport[[#This Row],[Scenario_MRF_Bale_ID]],7)</f>
        <v>1000-06</v>
      </c>
      <c r="AK245" s="181" t="str">
        <f>INDEX(Bales[Bale_Name],MATCH(SecondaryTransport[[#This Row],[Bale_ID]],Bales[Bale_ID],0))</f>
        <v>Paperboard/old boxboard</v>
      </c>
      <c r="AL245" s="443">
        <f>INDEX(BaleMover[Total_Baled_tons],MATCH(SecondaryTransport[[#This Row],[Scenario_MRF_Bale_ID]],BaleMover[Scenario_MRF_Bale_ID],0))</f>
        <v>0</v>
      </c>
      <c r="AM245" s="443">
        <f>IF(INDEX(BaleMover[Miles],MATCH(SecondaryTransport[[#This Row],[Scenario_MRF_Bale_ID]],BaleMover[Scenario_MRF_Bale_ID],0))="",0,INDEX(BaleMover[Miles],MATCH(SecondaryTransport[[#This Row],[Scenario_MRF_Bale_ID]],BaleMover[Scenario_MRF_Bale_ID],0)))</f>
        <v>0</v>
      </c>
      <c r="AN245" s="251">
        <f>IF(SecondaryTransport[[#This Row],[Bale_ID]]="9000-01","costs elsewhere",SecondaryTransport[[#This Row],[Total_Baled_tons]]*SecondaryTransport[[#This Row],[Miles]])</f>
        <v>0</v>
      </c>
      <c r="AO245" s="352" t="str">
        <f>IF(LEFT(SecondaryTransport[[#This Row],[Bale_ID]],1)*1=5,IF(OR(SecondaryTransport[[#This Row],[MRF_ID]]="02",SecondaryTransport[[#This Row],[MRF_ID]]="08"),2,1),"")</f>
        <v/>
      </c>
      <c r="AP2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45" s="224" t="str">
        <f>IFERROR(IF(1*LEFT(SecondaryTransport[[#This Row],[Bale_ID]],1)=5,SecondaryTransport[[#This Row],[Ton-Miles]]*SecondaryTransport[[#This Row],[Cost_Per_Ton-Mile]],""),"")</f>
        <v/>
      </c>
      <c r="AS245" s="224" t="str">
        <f>IFERROR(IF(SecondaryTransport[[#This Row],[Container_Transfer]]="",(SecondaryTransport[[#This Row],[Ton-Miles]]*SecondaryTransport[[#This Row],[Cost_Per_Ton-Mile]]),""),"")</f>
        <v/>
      </c>
    </row>
    <row r="246" spans="3:45" ht="15" x14ac:dyDescent="0.25">
      <c r="C246"/>
      <c r="D246"/>
      <c r="L246" s="446" t="s">
        <v>873</v>
      </c>
      <c r="M246" s="446">
        <v>4</v>
      </c>
      <c r="N246" s="446">
        <v>1</v>
      </c>
      <c r="O246" s="446" t="s">
        <v>752</v>
      </c>
      <c r="P246" s="449" t="s">
        <v>719</v>
      </c>
      <c r="Q246" s="449"/>
      <c r="R246" s="449"/>
      <c r="S246" s="449" t="s">
        <v>964</v>
      </c>
      <c r="T246" s="449" t="s">
        <v>1055</v>
      </c>
      <c r="U246" s="452">
        <v>0</v>
      </c>
      <c r="V2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6" s="272" t="str">
        <f>IFERROR(SUMIFS(TransUnitCost[Miles],TransUnitCost[Grouping_ID],TransTonsShort[[#This Row],[Grouping_ID]],TransUnitCost[Transp_ID],TransTonsShort[[#This Row],[Transp_ID]])*TransTonsShort[[#This Row],[Trans_Tons_All]]/TransTonsShort[[#This Row],[Trans_Tons_All]],"")</f>
        <v/>
      </c>
      <c r="X246" s="386" t="str">
        <f>TransTonsShort[[#This Row],[Grouping_ID]]&amp;"-"&amp;TransTonsShort[[#This Row],[Sector_ID]]</f>
        <v>4-1</v>
      </c>
      <c r="Y2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6" s="421">
        <f>INDEX(LandfillFees[Disposal Tip Fee 2025],MATCH(TransTonsShort[[#This Row],[Grouping_ID]],LandfillFees[Grouping_ID],0))</f>
        <v>72.030938699729589</v>
      </c>
      <c r="AA246" s="102">
        <f>IF(OR(TransTonsShort[[#This Row],[CollectionStream_ID]]="03",TransTonsShort[[#This Row],[CollectionStream_ID]]="04",TransTonsShort[[#This Row],[CollectionStream_ID]]="13"),0,TransTonsShort[[#This Row],[Trans_Tons_All]]*TransTonsShort[[#This Row],[Disposal_Fee]])</f>
        <v>0</v>
      </c>
      <c r="AF246" s="446" t="s">
        <v>1419</v>
      </c>
      <c r="AG246" s="442" t="str">
        <f>LEFT(SecondaryTransport[[#This Row],[Scenario_MRF_Bale_ID]],2)</f>
        <v>S3</v>
      </c>
      <c r="AH246" s="181" t="str">
        <f>LEFT(RIGHT(SecondaryTransport[[#This Row],[Scenario_MRF_Bale_ID]],10),2)</f>
        <v>04</v>
      </c>
      <c r="AI246" s="181" t="str">
        <f>INDEX(MRFs[MRF_Name],MATCH(SecondaryTransport[[#This Row],[MRF_ID]],MRFs[MRF_ID],0))</f>
        <v>1 MRF for SS with fiber and container upgrades (Portland)</v>
      </c>
      <c r="AJ246" s="181" t="str">
        <f>RIGHT(SecondaryTransport[[#This Row],[Scenario_MRF_Bale_ID]],7)</f>
        <v>1000-06</v>
      </c>
      <c r="AK246" s="181" t="str">
        <f>INDEX(Bales[Bale_Name],MATCH(SecondaryTransport[[#This Row],[Bale_ID]],Bales[Bale_ID],0))</f>
        <v>Paperboard/old boxboard</v>
      </c>
      <c r="AL246" s="443">
        <f>INDEX(BaleMover[Total_Baled_tons],MATCH(SecondaryTransport[[#This Row],[Scenario_MRF_Bale_ID]],BaleMover[Scenario_MRF_Bale_ID],0))</f>
        <v>0</v>
      </c>
      <c r="AM246" s="443">
        <f>IF(INDEX(BaleMover[Miles],MATCH(SecondaryTransport[[#This Row],[Scenario_MRF_Bale_ID]],BaleMover[Scenario_MRF_Bale_ID],0))="",0,INDEX(BaleMover[Miles],MATCH(SecondaryTransport[[#This Row],[Scenario_MRF_Bale_ID]],BaleMover[Scenario_MRF_Bale_ID],0)))</f>
        <v>0</v>
      </c>
      <c r="AN246" s="251">
        <f>IF(SecondaryTransport[[#This Row],[Bale_ID]]="9000-01","costs elsewhere",SecondaryTransport[[#This Row],[Total_Baled_tons]]*SecondaryTransport[[#This Row],[Miles]])</f>
        <v>0</v>
      </c>
      <c r="AO246" s="352" t="str">
        <f>IF(LEFT(SecondaryTransport[[#This Row],[Bale_ID]],1)*1=5,IF(OR(SecondaryTransport[[#This Row],[MRF_ID]]="02",SecondaryTransport[[#This Row],[MRF_ID]]="08"),2,1),"")</f>
        <v/>
      </c>
      <c r="AP2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4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46" s="224" t="str">
        <f>IFERROR(IF(1*LEFT(SecondaryTransport[[#This Row],[Bale_ID]],1)=5,SecondaryTransport[[#This Row],[Ton-Miles]]*SecondaryTransport[[#This Row],[Cost_Per_Ton-Mile]],""),"")</f>
        <v/>
      </c>
      <c r="AS246" s="224" t="str">
        <f>IFERROR(IF(SecondaryTransport[[#This Row],[Container_Transfer]]="",(SecondaryTransport[[#This Row],[Ton-Miles]]*SecondaryTransport[[#This Row],[Cost_Per_Ton-Mile]]),""),"")</f>
        <v/>
      </c>
    </row>
    <row r="247" spans="3:45" ht="15" x14ac:dyDescent="0.25">
      <c r="C247"/>
      <c r="D247"/>
      <c r="L247" s="446" t="s">
        <v>873</v>
      </c>
      <c r="M247" s="446">
        <v>1</v>
      </c>
      <c r="N247" s="446">
        <v>1</v>
      </c>
      <c r="O247" s="446" t="s">
        <v>752</v>
      </c>
      <c r="P247" s="449" t="s">
        <v>700</v>
      </c>
      <c r="Q247" s="449"/>
      <c r="R247" s="449"/>
      <c r="S247" s="449" t="s">
        <v>964</v>
      </c>
      <c r="T247" s="449" t="s">
        <v>701</v>
      </c>
      <c r="U247" s="452">
        <v>0</v>
      </c>
      <c r="V2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7" s="272" t="str">
        <f>IFERROR(SUMIFS(TransUnitCost[Miles],TransUnitCost[Grouping_ID],TransTonsShort[[#This Row],[Grouping_ID]],TransUnitCost[Transp_ID],TransTonsShort[[#This Row],[Transp_ID]])*TransTonsShort[[#This Row],[Trans_Tons_All]]/TransTonsShort[[#This Row],[Trans_Tons_All]],"")</f>
        <v/>
      </c>
      <c r="X247" s="386" t="str">
        <f>TransTonsShort[[#This Row],[Grouping_ID]]&amp;"-"&amp;TransTonsShort[[#This Row],[Sector_ID]]</f>
        <v>1-1</v>
      </c>
      <c r="Y2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7" s="421">
        <f>INDEX(LandfillFees[Disposal Tip Fee 2025],MATCH(TransTonsShort[[#This Row],[Grouping_ID]],LandfillFees[Grouping_ID],0))</f>
        <v>134.68</v>
      </c>
      <c r="AA247" s="102">
        <f>IF(OR(TransTonsShort[[#This Row],[CollectionStream_ID]]="03",TransTonsShort[[#This Row],[CollectionStream_ID]]="04",TransTonsShort[[#This Row],[CollectionStream_ID]]="13"),0,TransTonsShort[[#This Row],[Trans_Tons_All]]*TransTonsShort[[#This Row],[Disposal_Fee]])</f>
        <v>0</v>
      </c>
      <c r="AF247" s="446" t="s">
        <v>1420</v>
      </c>
      <c r="AG247" s="442" t="str">
        <f>LEFT(SecondaryTransport[[#This Row],[Scenario_MRF_Bale_ID]],2)</f>
        <v>S0</v>
      </c>
      <c r="AH247" s="181" t="str">
        <f>LEFT(RIGHT(SecondaryTransport[[#This Row],[Scenario_MRF_Bale_ID]],10),2)</f>
        <v>04</v>
      </c>
      <c r="AI247" s="181" t="str">
        <f>INDEX(MRFs[MRF_Name],MATCH(SecondaryTransport[[#This Row],[MRF_ID]],MRFs[MRF_ID],0))</f>
        <v>1 MRF for SS with fiber and container upgrades (Portland)</v>
      </c>
      <c r="AJ247" s="181" t="str">
        <f>RIGHT(SecondaryTransport[[#This Row],[Scenario_MRF_Bale_ID]],7)</f>
        <v>1000-07</v>
      </c>
      <c r="AK247" s="181" t="str">
        <f>INDEX(Bales[Bale_Name],MATCH(SecondaryTransport[[#This Row],[Bale_ID]],Bales[Bale_ID],0))</f>
        <v>Aseptic and gable-top cartons</v>
      </c>
      <c r="AL247" s="443">
        <f>INDEX(BaleMover[Total_Baled_tons],MATCH(SecondaryTransport[[#This Row],[Scenario_MRF_Bale_ID]],BaleMover[Scenario_MRF_Bale_ID],0))</f>
        <v>339.25389192649311</v>
      </c>
      <c r="AM247" s="443">
        <f>IF(INDEX(BaleMover[Miles],MATCH(SecondaryTransport[[#This Row],[Scenario_MRF_Bale_ID]],BaleMover[Scenario_MRF_Bale_ID],0))="",0,INDEX(BaleMover[Miles],MATCH(SecondaryTransport[[#This Row],[Scenario_MRF_Bale_ID]],BaleMover[Scenario_MRF_Bale_ID],0)))</f>
        <v>145</v>
      </c>
      <c r="AN247" s="251">
        <f>IF(SecondaryTransport[[#This Row],[Bale_ID]]="9000-01","costs elsewhere",SecondaryTransport[[#This Row],[Total_Baled_tons]]*SecondaryTransport[[#This Row],[Miles]])</f>
        <v>49191.814329341498</v>
      </c>
      <c r="AO247" s="352" t="str">
        <f>IF(LEFT(SecondaryTransport[[#This Row],[Bale_ID]],1)*1=5,IF(OR(SecondaryTransport[[#This Row],[MRF_ID]]="02",SecondaryTransport[[#This Row],[MRF_ID]]="08"),2,1),"")</f>
        <v/>
      </c>
      <c r="AP2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4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47" s="224" t="str">
        <f>IFERROR(IF(1*LEFT(SecondaryTransport[[#This Row],[Bale_ID]],1)=5,SecondaryTransport[[#This Row],[Ton-Miles]]*SecondaryTransport[[#This Row],[Cost_Per_Ton-Mile]],""),"")</f>
        <v/>
      </c>
      <c r="AS247" s="224">
        <f>IFERROR(IF(SecondaryTransport[[#This Row],[Container_Transfer]]="",(SecondaryTransport[[#This Row],[Ton-Miles]]*SecondaryTransport[[#This Row],[Cost_Per_Ton-Mile]]),""),"")</f>
        <v>9346.4447225748845</v>
      </c>
    </row>
    <row r="248" spans="3:45" ht="15" x14ac:dyDescent="0.25">
      <c r="C248"/>
      <c r="D248"/>
      <c r="L248" s="446" t="s">
        <v>873</v>
      </c>
      <c r="M248" s="446">
        <v>2</v>
      </c>
      <c r="N248" s="446">
        <v>1</v>
      </c>
      <c r="O248" s="446" t="s">
        <v>752</v>
      </c>
      <c r="P248" s="449" t="s">
        <v>700</v>
      </c>
      <c r="Q248" s="449"/>
      <c r="R248" s="449"/>
      <c r="S248" s="449" t="s">
        <v>964</v>
      </c>
      <c r="T248" s="449" t="s">
        <v>701</v>
      </c>
      <c r="U248" s="452">
        <v>0</v>
      </c>
      <c r="V2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8" s="272" t="str">
        <f>IFERROR(SUMIFS(TransUnitCost[Miles],TransUnitCost[Grouping_ID],TransTonsShort[[#This Row],[Grouping_ID]],TransUnitCost[Transp_ID],TransTonsShort[[#This Row],[Transp_ID]])*TransTonsShort[[#This Row],[Trans_Tons_All]]/TransTonsShort[[#This Row],[Trans_Tons_All]],"")</f>
        <v/>
      </c>
      <c r="X248" s="386" t="str">
        <f>TransTonsShort[[#This Row],[Grouping_ID]]&amp;"-"&amp;TransTonsShort[[#This Row],[Sector_ID]]</f>
        <v>2-1</v>
      </c>
      <c r="Y2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8" s="421">
        <f>INDEX(LandfillFees[Disposal Tip Fee 2025],MATCH(TransTonsShort[[#This Row],[Grouping_ID]],LandfillFees[Grouping_ID],0))</f>
        <v>72.030938699729589</v>
      </c>
      <c r="AA248" s="102">
        <f>IF(OR(TransTonsShort[[#This Row],[CollectionStream_ID]]="03",TransTonsShort[[#This Row],[CollectionStream_ID]]="04",TransTonsShort[[#This Row],[CollectionStream_ID]]="13"),0,TransTonsShort[[#This Row],[Trans_Tons_All]]*TransTonsShort[[#This Row],[Disposal_Fee]])</f>
        <v>0</v>
      </c>
      <c r="AF248" s="446" t="s">
        <v>1421</v>
      </c>
      <c r="AG248" s="442" t="str">
        <f>LEFT(SecondaryTransport[[#This Row],[Scenario_MRF_Bale_ID]],2)</f>
        <v>S1</v>
      </c>
      <c r="AH248" s="181" t="str">
        <f>LEFT(RIGHT(SecondaryTransport[[#This Row],[Scenario_MRF_Bale_ID]],10),2)</f>
        <v>04</v>
      </c>
      <c r="AI248" s="181" t="str">
        <f>INDEX(MRFs[MRF_Name],MATCH(SecondaryTransport[[#This Row],[MRF_ID]],MRFs[MRF_ID],0))</f>
        <v>1 MRF for SS with fiber and container upgrades (Portland)</v>
      </c>
      <c r="AJ248" s="181" t="str">
        <f>RIGHT(SecondaryTransport[[#This Row],[Scenario_MRF_Bale_ID]],7)</f>
        <v>1000-07</v>
      </c>
      <c r="AK248" s="181" t="str">
        <f>INDEX(Bales[Bale_Name],MATCH(SecondaryTransport[[#This Row],[Bale_ID]],Bales[Bale_ID],0))</f>
        <v>Aseptic and gable-top cartons</v>
      </c>
      <c r="AL248" s="443">
        <f>INDEX(BaleMover[Total_Baled_tons],MATCH(SecondaryTransport[[#This Row],[Scenario_MRF_Bale_ID]],BaleMover[Scenario_MRF_Bale_ID],0))</f>
        <v>367.06880676786102</v>
      </c>
      <c r="AM248" s="443">
        <f>IF(INDEX(BaleMover[Miles],MATCH(SecondaryTransport[[#This Row],[Scenario_MRF_Bale_ID]],BaleMover[Scenario_MRF_Bale_ID],0))="",0,INDEX(BaleMover[Miles],MATCH(SecondaryTransport[[#This Row],[Scenario_MRF_Bale_ID]],BaleMover[Scenario_MRF_Bale_ID],0)))</f>
        <v>145</v>
      </c>
      <c r="AN248" s="251">
        <f>IF(SecondaryTransport[[#This Row],[Bale_ID]]="9000-01","costs elsewhere",SecondaryTransport[[#This Row],[Total_Baled_tons]]*SecondaryTransport[[#This Row],[Miles]])</f>
        <v>53224.976981339845</v>
      </c>
      <c r="AO248" s="352" t="str">
        <f>IF(LEFT(SecondaryTransport[[#This Row],[Bale_ID]],1)*1=5,IF(OR(SecondaryTransport[[#This Row],[MRF_ID]]="02",SecondaryTransport[[#This Row],[MRF_ID]]="08"),2,1),"")</f>
        <v/>
      </c>
      <c r="AP2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48" s="224" t="str">
        <f>IFERROR(IF(1*LEFT(SecondaryTransport[[#This Row],[Bale_ID]],1)=5,SecondaryTransport[[#This Row],[Ton-Miles]]*SecondaryTransport[[#This Row],[Cost_Per_Ton-Mile]],""),"")</f>
        <v/>
      </c>
      <c r="AS248" s="224">
        <f>IFERROR(IF(SecondaryTransport[[#This Row],[Container_Transfer]]="",(SecondaryTransport[[#This Row],[Ton-Miles]]*SecondaryTransport[[#This Row],[Cost_Per_Ton-Mile]]),""),"")</f>
        <v>10112.745626454571</v>
      </c>
    </row>
    <row r="249" spans="3:45" ht="15" x14ac:dyDescent="0.25">
      <c r="C249"/>
      <c r="D249"/>
      <c r="L249" s="446" t="s">
        <v>873</v>
      </c>
      <c r="M249" s="446">
        <v>3</v>
      </c>
      <c r="N249" s="446">
        <v>1</v>
      </c>
      <c r="O249" s="446" t="s">
        <v>752</v>
      </c>
      <c r="P249" s="449" t="s">
        <v>700</v>
      </c>
      <c r="Q249" s="449"/>
      <c r="R249" s="449"/>
      <c r="S249" s="449" t="s">
        <v>964</v>
      </c>
      <c r="T249" s="449" t="s">
        <v>701</v>
      </c>
      <c r="U249" s="452">
        <v>0</v>
      </c>
      <c r="V2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49" s="272" t="str">
        <f>IFERROR(SUMIFS(TransUnitCost[Miles],TransUnitCost[Grouping_ID],TransTonsShort[[#This Row],[Grouping_ID]],TransUnitCost[Transp_ID],TransTonsShort[[#This Row],[Transp_ID]])*TransTonsShort[[#This Row],[Trans_Tons_All]]/TransTonsShort[[#This Row],[Trans_Tons_All]],"")</f>
        <v/>
      </c>
      <c r="X249" s="386" t="str">
        <f>TransTonsShort[[#This Row],[Grouping_ID]]&amp;"-"&amp;TransTonsShort[[#This Row],[Sector_ID]]</f>
        <v>3-1</v>
      </c>
      <c r="Y2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49" s="421">
        <f>INDEX(LandfillFees[Disposal Tip Fee 2025],MATCH(TransTonsShort[[#This Row],[Grouping_ID]],LandfillFees[Grouping_ID],0))</f>
        <v>72.030938699729589</v>
      </c>
      <c r="AA249" s="102">
        <f>IF(OR(TransTonsShort[[#This Row],[CollectionStream_ID]]="03",TransTonsShort[[#This Row],[CollectionStream_ID]]="04",TransTonsShort[[#This Row],[CollectionStream_ID]]="13"),0,TransTonsShort[[#This Row],[Trans_Tons_All]]*TransTonsShort[[#This Row],[Disposal_Fee]])</f>
        <v>0</v>
      </c>
      <c r="AF249" s="446" t="s">
        <v>1422</v>
      </c>
      <c r="AG249" s="442" t="str">
        <f>LEFT(SecondaryTransport[[#This Row],[Scenario_MRF_Bale_ID]],2)</f>
        <v>S2</v>
      </c>
      <c r="AH249" s="181" t="str">
        <f>LEFT(RIGHT(SecondaryTransport[[#This Row],[Scenario_MRF_Bale_ID]],10),2)</f>
        <v>04</v>
      </c>
      <c r="AI249" s="181" t="str">
        <f>INDEX(MRFs[MRF_Name],MATCH(SecondaryTransport[[#This Row],[MRF_ID]],MRFs[MRF_ID],0))</f>
        <v>1 MRF for SS with fiber and container upgrades (Portland)</v>
      </c>
      <c r="AJ249" s="181" t="str">
        <f>RIGHT(SecondaryTransport[[#This Row],[Scenario_MRF_Bale_ID]],7)</f>
        <v>1000-07</v>
      </c>
      <c r="AK249" s="181" t="str">
        <f>INDEX(Bales[Bale_Name],MATCH(SecondaryTransport[[#This Row],[Bale_ID]],Bales[Bale_ID],0))</f>
        <v>Aseptic and gable-top cartons</v>
      </c>
      <c r="AL249" s="443">
        <f>INDEX(BaleMover[Total_Baled_tons],MATCH(SecondaryTransport[[#This Row],[Scenario_MRF_Bale_ID]],BaleMover[Scenario_MRF_Bale_ID],0))</f>
        <v>465.02682876920665</v>
      </c>
      <c r="AM249" s="443">
        <f>IF(INDEX(BaleMover[Miles],MATCH(SecondaryTransport[[#This Row],[Scenario_MRF_Bale_ID]],BaleMover[Scenario_MRF_Bale_ID],0))="",0,INDEX(BaleMover[Miles],MATCH(SecondaryTransport[[#This Row],[Scenario_MRF_Bale_ID]],BaleMover[Scenario_MRF_Bale_ID],0)))</f>
        <v>145</v>
      </c>
      <c r="AN249" s="251">
        <f>IF(SecondaryTransport[[#This Row],[Bale_ID]]="9000-01","costs elsewhere",SecondaryTransport[[#This Row],[Total_Baled_tons]]*SecondaryTransport[[#This Row],[Miles]])</f>
        <v>67428.890171534964</v>
      </c>
      <c r="AO249" s="352" t="str">
        <f>IF(LEFT(SecondaryTransport[[#This Row],[Bale_ID]],1)*1=5,IF(OR(SecondaryTransport[[#This Row],[MRF_ID]]="02",SecondaryTransport[[#This Row],[MRF_ID]]="08"),2,1),"")</f>
        <v/>
      </c>
      <c r="AP2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4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49" s="224" t="str">
        <f>IFERROR(IF(1*LEFT(SecondaryTransport[[#This Row],[Bale_ID]],1)=5,SecondaryTransport[[#This Row],[Ton-Miles]]*SecondaryTransport[[#This Row],[Cost_Per_Ton-Mile]],""),"")</f>
        <v/>
      </c>
      <c r="AS249" s="224">
        <f>IFERROR(IF(SecondaryTransport[[#This Row],[Container_Transfer]]="",(SecondaryTransport[[#This Row],[Ton-Miles]]*SecondaryTransport[[#This Row],[Cost_Per_Ton-Mile]]),""),"")</f>
        <v>12811.489132591643</v>
      </c>
    </row>
    <row r="250" spans="3:45" ht="15" x14ac:dyDescent="0.25">
      <c r="C250"/>
      <c r="D250"/>
      <c r="L250" s="446" t="s">
        <v>873</v>
      </c>
      <c r="M250" s="446">
        <v>4</v>
      </c>
      <c r="N250" s="446">
        <v>1</v>
      </c>
      <c r="O250" s="446" t="s">
        <v>752</v>
      </c>
      <c r="P250" s="449" t="s">
        <v>700</v>
      </c>
      <c r="Q250" s="449"/>
      <c r="R250" s="449"/>
      <c r="S250" s="449" t="s">
        <v>964</v>
      </c>
      <c r="T250" s="449" t="s">
        <v>701</v>
      </c>
      <c r="U250" s="452">
        <v>0</v>
      </c>
      <c r="V2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0" s="272" t="str">
        <f>IFERROR(SUMIFS(TransUnitCost[Miles],TransUnitCost[Grouping_ID],TransTonsShort[[#This Row],[Grouping_ID]],TransUnitCost[Transp_ID],TransTonsShort[[#This Row],[Transp_ID]])*TransTonsShort[[#This Row],[Trans_Tons_All]]/TransTonsShort[[#This Row],[Trans_Tons_All]],"")</f>
        <v/>
      </c>
      <c r="X250" s="386" t="str">
        <f>TransTonsShort[[#This Row],[Grouping_ID]]&amp;"-"&amp;TransTonsShort[[#This Row],[Sector_ID]]</f>
        <v>4-1</v>
      </c>
      <c r="Y2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0" s="421">
        <f>INDEX(LandfillFees[Disposal Tip Fee 2025],MATCH(TransTonsShort[[#This Row],[Grouping_ID]],LandfillFees[Grouping_ID],0))</f>
        <v>72.030938699729589</v>
      </c>
      <c r="AA250" s="102">
        <f>IF(OR(TransTonsShort[[#This Row],[CollectionStream_ID]]="03",TransTonsShort[[#This Row],[CollectionStream_ID]]="04",TransTonsShort[[#This Row],[CollectionStream_ID]]="13"),0,TransTonsShort[[#This Row],[Trans_Tons_All]]*TransTonsShort[[#This Row],[Disposal_Fee]])</f>
        <v>0</v>
      </c>
      <c r="AF250" s="446" t="s">
        <v>1423</v>
      </c>
      <c r="AG250" s="442" t="str">
        <f>LEFT(SecondaryTransport[[#This Row],[Scenario_MRF_Bale_ID]],2)</f>
        <v>S3</v>
      </c>
      <c r="AH250" s="181" t="str">
        <f>LEFT(RIGHT(SecondaryTransport[[#This Row],[Scenario_MRF_Bale_ID]],10),2)</f>
        <v>04</v>
      </c>
      <c r="AI250" s="181" t="str">
        <f>INDEX(MRFs[MRF_Name],MATCH(SecondaryTransport[[#This Row],[MRF_ID]],MRFs[MRF_ID],0))</f>
        <v>1 MRF for SS with fiber and container upgrades (Portland)</v>
      </c>
      <c r="AJ250" s="181" t="str">
        <f>RIGHT(SecondaryTransport[[#This Row],[Scenario_MRF_Bale_ID]],7)</f>
        <v>1000-07</v>
      </c>
      <c r="AK250" s="181" t="str">
        <f>INDEX(Bales[Bale_Name],MATCH(SecondaryTransport[[#This Row],[Bale_ID]],Bales[Bale_ID],0))</f>
        <v>Aseptic and gable-top cartons</v>
      </c>
      <c r="AL250" s="443">
        <f>INDEX(BaleMover[Total_Baled_tons],MATCH(SecondaryTransport[[#This Row],[Scenario_MRF_Bale_ID]],BaleMover[Scenario_MRF_Bale_ID],0))</f>
        <v>464.90011793968762</v>
      </c>
      <c r="AM250" s="443">
        <f>IF(INDEX(BaleMover[Miles],MATCH(SecondaryTransport[[#This Row],[Scenario_MRF_Bale_ID]],BaleMover[Scenario_MRF_Bale_ID],0))="",0,INDEX(BaleMover[Miles],MATCH(SecondaryTransport[[#This Row],[Scenario_MRF_Bale_ID]],BaleMover[Scenario_MRF_Bale_ID],0)))</f>
        <v>145</v>
      </c>
      <c r="AN250" s="251">
        <f>IF(SecondaryTransport[[#This Row],[Bale_ID]]="9000-01","costs elsewhere",SecondaryTransport[[#This Row],[Total_Baled_tons]]*SecondaryTransport[[#This Row],[Miles]])</f>
        <v>67410.517101254707</v>
      </c>
      <c r="AO250" s="352" t="str">
        <f>IF(LEFT(SecondaryTransport[[#This Row],[Bale_ID]],1)*1=5,IF(OR(SecondaryTransport[[#This Row],[MRF_ID]]="02",SecondaryTransport[[#This Row],[MRF_ID]]="08"),2,1),"")</f>
        <v/>
      </c>
      <c r="AP2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25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250" s="224" t="str">
        <f>IFERROR(IF(1*LEFT(SecondaryTransport[[#This Row],[Bale_ID]],1)=5,SecondaryTransport[[#This Row],[Ton-Miles]]*SecondaryTransport[[#This Row],[Cost_Per_Ton-Mile]],""),"")</f>
        <v/>
      </c>
      <c r="AS250" s="224">
        <f>IFERROR(IF(SecondaryTransport[[#This Row],[Container_Transfer]]="",(SecondaryTransport[[#This Row],[Ton-Miles]]*SecondaryTransport[[#This Row],[Cost_Per_Ton-Mile]]),""),"")</f>
        <v>12807.998249238395</v>
      </c>
    </row>
    <row r="251" spans="3:45" ht="15" x14ac:dyDescent="0.25">
      <c r="C251"/>
      <c r="D251"/>
      <c r="L251" s="446" t="s">
        <v>873</v>
      </c>
      <c r="M251" s="446">
        <v>1</v>
      </c>
      <c r="N251" s="446">
        <v>1</v>
      </c>
      <c r="O251" s="446" t="s">
        <v>752</v>
      </c>
      <c r="P251" s="449" t="s">
        <v>706</v>
      </c>
      <c r="Q251" s="449"/>
      <c r="R251" s="449"/>
      <c r="S251" s="449" t="s">
        <v>964</v>
      </c>
      <c r="T251" s="449" t="s">
        <v>1025</v>
      </c>
      <c r="U251" s="452">
        <v>0</v>
      </c>
      <c r="V2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1" s="272" t="str">
        <f>IFERROR(SUMIFS(TransUnitCost[Miles],TransUnitCost[Grouping_ID],TransTonsShort[[#This Row],[Grouping_ID]],TransUnitCost[Transp_ID],TransTonsShort[[#This Row],[Transp_ID]])*TransTonsShort[[#This Row],[Trans_Tons_All]]/TransTonsShort[[#This Row],[Trans_Tons_All]],"")</f>
        <v/>
      </c>
      <c r="X251" s="386" t="str">
        <f>TransTonsShort[[#This Row],[Grouping_ID]]&amp;"-"&amp;TransTonsShort[[#This Row],[Sector_ID]]</f>
        <v>1-1</v>
      </c>
      <c r="Y2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1" s="421">
        <f>INDEX(LandfillFees[Disposal Tip Fee 2025],MATCH(TransTonsShort[[#This Row],[Grouping_ID]],LandfillFees[Grouping_ID],0))</f>
        <v>134.68</v>
      </c>
      <c r="AA251" s="102">
        <f>IF(OR(TransTonsShort[[#This Row],[CollectionStream_ID]]="03",TransTonsShort[[#This Row],[CollectionStream_ID]]="04",TransTonsShort[[#This Row],[CollectionStream_ID]]="13"),0,TransTonsShort[[#This Row],[Trans_Tons_All]]*TransTonsShort[[#This Row],[Disposal_Fee]])</f>
        <v>0</v>
      </c>
      <c r="AF251" s="446" t="s">
        <v>1424</v>
      </c>
      <c r="AG251" s="442" t="str">
        <f>LEFT(SecondaryTransport[[#This Row],[Scenario_MRF_Bale_ID]],2)</f>
        <v>S0</v>
      </c>
      <c r="AH251" s="181" t="str">
        <f>LEFT(RIGHT(SecondaryTransport[[#This Row],[Scenario_MRF_Bale_ID]],10),2)</f>
        <v>04</v>
      </c>
      <c r="AI251" s="181" t="str">
        <f>INDEX(MRFs[MRF_Name],MATCH(SecondaryTransport[[#This Row],[MRF_ID]],MRFs[MRF_ID],0))</f>
        <v>1 MRF for SS with fiber and container upgrades (Portland)</v>
      </c>
      <c r="AJ251" s="181" t="str">
        <f>RIGHT(SecondaryTransport[[#This Row],[Scenario_MRF_Bale_ID]],7)</f>
        <v>1000-08</v>
      </c>
      <c r="AK251" s="181" t="str">
        <f>INDEX(Bales[Bale_Name],MATCH(SecondaryTransport[[#This Row],[Bale_ID]],Bales[Bale_ID],0))</f>
        <v>Polycoated cups and containers</v>
      </c>
      <c r="AL251" s="443">
        <f>INDEX(BaleMover[Total_Baled_tons],MATCH(SecondaryTransport[[#This Row],[Scenario_MRF_Bale_ID]],BaleMover[Scenario_MRF_Bale_ID],0))</f>
        <v>0</v>
      </c>
      <c r="AM251" s="443">
        <f>IF(INDEX(BaleMover[Miles],MATCH(SecondaryTransport[[#This Row],[Scenario_MRF_Bale_ID]],BaleMover[Scenario_MRF_Bale_ID],0))="",0,INDEX(BaleMover[Miles],MATCH(SecondaryTransport[[#This Row],[Scenario_MRF_Bale_ID]],BaleMover[Scenario_MRF_Bale_ID],0)))</f>
        <v>0</v>
      </c>
      <c r="AN251" s="251">
        <f>IF(SecondaryTransport[[#This Row],[Bale_ID]]="9000-01","costs elsewhere",SecondaryTransport[[#This Row],[Total_Baled_tons]]*SecondaryTransport[[#This Row],[Miles]])</f>
        <v>0</v>
      </c>
      <c r="AO251" s="352" t="str">
        <f>IF(LEFT(SecondaryTransport[[#This Row],[Bale_ID]],1)*1=5,IF(OR(SecondaryTransport[[#This Row],[MRF_ID]]="02",SecondaryTransport[[#This Row],[MRF_ID]]="08"),2,1),"")</f>
        <v/>
      </c>
      <c r="AP2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5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51" s="224" t="str">
        <f>IFERROR(IF(1*LEFT(SecondaryTransport[[#This Row],[Bale_ID]],1)=5,SecondaryTransport[[#This Row],[Ton-Miles]]*SecondaryTransport[[#This Row],[Cost_Per_Ton-Mile]],""),"")</f>
        <v/>
      </c>
      <c r="AS251" s="224" t="str">
        <f>IFERROR(IF(SecondaryTransport[[#This Row],[Container_Transfer]]="",(SecondaryTransport[[#This Row],[Ton-Miles]]*SecondaryTransport[[#This Row],[Cost_Per_Ton-Mile]]),""),"")</f>
        <v/>
      </c>
    </row>
    <row r="252" spans="3:45" ht="15" x14ac:dyDescent="0.25">
      <c r="C252"/>
      <c r="D252"/>
      <c r="L252" s="446" t="s">
        <v>873</v>
      </c>
      <c r="M252" s="446">
        <v>2</v>
      </c>
      <c r="N252" s="446">
        <v>1</v>
      </c>
      <c r="O252" s="446" t="s">
        <v>752</v>
      </c>
      <c r="P252" s="449" t="s">
        <v>706</v>
      </c>
      <c r="Q252" s="449"/>
      <c r="R252" s="449"/>
      <c r="S252" s="449" t="s">
        <v>964</v>
      </c>
      <c r="T252" s="449" t="s">
        <v>1025</v>
      </c>
      <c r="U252" s="452">
        <v>0</v>
      </c>
      <c r="V2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2" s="272" t="str">
        <f>IFERROR(SUMIFS(TransUnitCost[Miles],TransUnitCost[Grouping_ID],TransTonsShort[[#This Row],[Grouping_ID]],TransUnitCost[Transp_ID],TransTonsShort[[#This Row],[Transp_ID]])*TransTonsShort[[#This Row],[Trans_Tons_All]]/TransTonsShort[[#This Row],[Trans_Tons_All]],"")</f>
        <v/>
      </c>
      <c r="X252" s="386" t="str">
        <f>TransTonsShort[[#This Row],[Grouping_ID]]&amp;"-"&amp;TransTonsShort[[#This Row],[Sector_ID]]</f>
        <v>2-1</v>
      </c>
      <c r="Y2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2" s="421">
        <f>INDEX(LandfillFees[Disposal Tip Fee 2025],MATCH(TransTonsShort[[#This Row],[Grouping_ID]],LandfillFees[Grouping_ID],0))</f>
        <v>72.030938699729589</v>
      </c>
      <c r="AA252" s="102">
        <f>IF(OR(TransTonsShort[[#This Row],[CollectionStream_ID]]="03",TransTonsShort[[#This Row],[CollectionStream_ID]]="04",TransTonsShort[[#This Row],[CollectionStream_ID]]="13"),0,TransTonsShort[[#This Row],[Trans_Tons_All]]*TransTonsShort[[#This Row],[Disposal_Fee]])</f>
        <v>0</v>
      </c>
      <c r="AF252" s="446" t="s">
        <v>1425</v>
      </c>
      <c r="AG252" s="442" t="str">
        <f>LEFT(SecondaryTransport[[#This Row],[Scenario_MRF_Bale_ID]],2)</f>
        <v>S1</v>
      </c>
      <c r="AH252" s="181" t="str">
        <f>LEFT(RIGHT(SecondaryTransport[[#This Row],[Scenario_MRF_Bale_ID]],10),2)</f>
        <v>04</v>
      </c>
      <c r="AI252" s="181" t="str">
        <f>INDEX(MRFs[MRF_Name],MATCH(SecondaryTransport[[#This Row],[MRF_ID]],MRFs[MRF_ID],0))</f>
        <v>1 MRF for SS with fiber and container upgrades (Portland)</v>
      </c>
      <c r="AJ252" s="181" t="str">
        <f>RIGHT(SecondaryTransport[[#This Row],[Scenario_MRF_Bale_ID]],7)</f>
        <v>1000-08</v>
      </c>
      <c r="AK252" s="181" t="str">
        <f>INDEX(Bales[Bale_Name],MATCH(SecondaryTransport[[#This Row],[Bale_ID]],Bales[Bale_ID],0))</f>
        <v>Polycoated cups and containers</v>
      </c>
      <c r="AL252" s="443">
        <f>INDEX(BaleMover[Total_Baled_tons],MATCH(SecondaryTransport[[#This Row],[Scenario_MRF_Bale_ID]],BaleMover[Scenario_MRF_Bale_ID],0))</f>
        <v>0</v>
      </c>
      <c r="AM252" s="443">
        <f>IF(INDEX(BaleMover[Miles],MATCH(SecondaryTransport[[#This Row],[Scenario_MRF_Bale_ID]],BaleMover[Scenario_MRF_Bale_ID],0))="",0,INDEX(BaleMover[Miles],MATCH(SecondaryTransport[[#This Row],[Scenario_MRF_Bale_ID]],BaleMover[Scenario_MRF_Bale_ID],0)))</f>
        <v>0</v>
      </c>
      <c r="AN252" s="251">
        <f>IF(SecondaryTransport[[#This Row],[Bale_ID]]="9000-01","costs elsewhere",SecondaryTransport[[#This Row],[Total_Baled_tons]]*SecondaryTransport[[#This Row],[Miles]])</f>
        <v>0</v>
      </c>
      <c r="AO252" s="352" t="str">
        <f>IF(LEFT(SecondaryTransport[[#This Row],[Bale_ID]],1)*1=5,IF(OR(SecondaryTransport[[#This Row],[MRF_ID]]="02",SecondaryTransport[[#This Row],[MRF_ID]]="08"),2,1),"")</f>
        <v/>
      </c>
      <c r="AP2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5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52" s="224" t="str">
        <f>IFERROR(IF(1*LEFT(SecondaryTransport[[#This Row],[Bale_ID]],1)=5,SecondaryTransport[[#This Row],[Ton-Miles]]*SecondaryTransport[[#This Row],[Cost_Per_Ton-Mile]],""),"")</f>
        <v/>
      </c>
      <c r="AS252" s="224" t="str">
        <f>IFERROR(IF(SecondaryTransport[[#This Row],[Container_Transfer]]="",(SecondaryTransport[[#This Row],[Ton-Miles]]*SecondaryTransport[[#This Row],[Cost_Per_Ton-Mile]]),""),"")</f>
        <v/>
      </c>
    </row>
    <row r="253" spans="3:45" ht="15" x14ac:dyDescent="0.25">
      <c r="C253"/>
      <c r="D253"/>
      <c r="L253" s="446" t="s">
        <v>873</v>
      </c>
      <c r="M253" s="446">
        <v>3</v>
      </c>
      <c r="N253" s="446">
        <v>1</v>
      </c>
      <c r="O253" s="446" t="s">
        <v>752</v>
      </c>
      <c r="P253" s="449" t="s">
        <v>706</v>
      </c>
      <c r="Q253" s="449"/>
      <c r="R253" s="449"/>
      <c r="S253" s="449" t="s">
        <v>964</v>
      </c>
      <c r="T253" s="449" t="s">
        <v>1025</v>
      </c>
      <c r="U253" s="452">
        <v>0</v>
      </c>
      <c r="V2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3" s="272" t="str">
        <f>IFERROR(SUMIFS(TransUnitCost[Miles],TransUnitCost[Grouping_ID],TransTonsShort[[#This Row],[Grouping_ID]],TransUnitCost[Transp_ID],TransTonsShort[[#This Row],[Transp_ID]])*TransTonsShort[[#This Row],[Trans_Tons_All]]/TransTonsShort[[#This Row],[Trans_Tons_All]],"")</f>
        <v/>
      </c>
      <c r="X253" s="386" t="str">
        <f>TransTonsShort[[#This Row],[Grouping_ID]]&amp;"-"&amp;TransTonsShort[[#This Row],[Sector_ID]]</f>
        <v>3-1</v>
      </c>
      <c r="Y2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3" s="421">
        <f>INDEX(LandfillFees[Disposal Tip Fee 2025],MATCH(TransTonsShort[[#This Row],[Grouping_ID]],LandfillFees[Grouping_ID],0))</f>
        <v>72.030938699729589</v>
      </c>
      <c r="AA253" s="102">
        <f>IF(OR(TransTonsShort[[#This Row],[CollectionStream_ID]]="03",TransTonsShort[[#This Row],[CollectionStream_ID]]="04",TransTonsShort[[#This Row],[CollectionStream_ID]]="13"),0,TransTonsShort[[#This Row],[Trans_Tons_All]]*TransTonsShort[[#This Row],[Disposal_Fee]])</f>
        <v>0</v>
      </c>
      <c r="AF253" s="446" t="s">
        <v>1426</v>
      </c>
      <c r="AG253" s="442" t="str">
        <f>LEFT(SecondaryTransport[[#This Row],[Scenario_MRF_Bale_ID]],2)</f>
        <v>S2</v>
      </c>
      <c r="AH253" s="181" t="str">
        <f>LEFT(RIGHT(SecondaryTransport[[#This Row],[Scenario_MRF_Bale_ID]],10),2)</f>
        <v>04</v>
      </c>
      <c r="AI253" s="181" t="str">
        <f>INDEX(MRFs[MRF_Name],MATCH(SecondaryTransport[[#This Row],[MRF_ID]],MRFs[MRF_ID],0))</f>
        <v>1 MRF for SS with fiber and container upgrades (Portland)</v>
      </c>
      <c r="AJ253" s="181" t="str">
        <f>RIGHT(SecondaryTransport[[#This Row],[Scenario_MRF_Bale_ID]],7)</f>
        <v>1000-08</v>
      </c>
      <c r="AK253" s="181" t="str">
        <f>INDEX(Bales[Bale_Name],MATCH(SecondaryTransport[[#This Row],[Bale_ID]],Bales[Bale_ID],0))</f>
        <v>Polycoated cups and containers</v>
      </c>
      <c r="AL253" s="443">
        <f>INDEX(BaleMover[Total_Baled_tons],MATCH(SecondaryTransport[[#This Row],[Scenario_MRF_Bale_ID]],BaleMover[Scenario_MRF_Bale_ID],0))</f>
        <v>0</v>
      </c>
      <c r="AM253" s="443">
        <f>IF(INDEX(BaleMover[Miles],MATCH(SecondaryTransport[[#This Row],[Scenario_MRF_Bale_ID]],BaleMover[Scenario_MRF_Bale_ID],0))="",0,INDEX(BaleMover[Miles],MATCH(SecondaryTransport[[#This Row],[Scenario_MRF_Bale_ID]],BaleMover[Scenario_MRF_Bale_ID],0)))</f>
        <v>0</v>
      </c>
      <c r="AN253" s="251">
        <f>IF(SecondaryTransport[[#This Row],[Bale_ID]]="9000-01","costs elsewhere",SecondaryTransport[[#This Row],[Total_Baled_tons]]*SecondaryTransport[[#This Row],[Miles]])</f>
        <v>0</v>
      </c>
      <c r="AO253" s="352" t="str">
        <f>IF(LEFT(SecondaryTransport[[#This Row],[Bale_ID]],1)*1=5,IF(OR(SecondaryTransport[[#This Row],[MRF_ID]]="02",SecondaryTransport[[#This Row],[MRF_ID]]="08"),2,1),"")</f>
        <v/>
      </c>
      <c r="AP2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5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53" s="224" t="str">
        <f>IFERROR(IF(1*LEFT(SecondaryTransport[[#This Row],[Bale_ID]],1)=5,SecondaryTransport[[#This Row],[Ton-Miles]]*SecondaryTransport[[#This Row],[Cost_Per_Ton-Mile]],""),"")</f>
        <v/>
      </c>
      <c r="AS253" s="224" t="str">
        <f>IFERROR(IF(SecondaryTransport[[#This Row],[Container_Transfer]]="",(SecondaryTransport[[#This Row],[Ton-Miles]]*SecondaryTransport[[#This Row],[Cost_Per_Ton-Mile]]),""),"")</f>
        <v/>
      </c>
    </row>
    <row r="254" spans="3:45" ht="15" x14ac:dyDescent="0.25">
      <c r="C254"/>
      <c r="D254"/>
      <c r="L254" s="446" t="s">
        <v>873</v>
      </c>
      <c r="M254" s="446">
        <v>4</v>
      </c>
      <c r="N254" s="446">
        <v>1</v>
      </c>
      <c r="O254" s="446" t="s">
        <v>752</v>
      </c>
      <c r="P254" s="449" t="s">
        <v>706</v>
      </c>
      <c r="Q254" s="449"/>
      <c r="R254" s="449"/>
      <c r="S254" s="449" t="s">
        <v>964</v>
      </c>
      <c r="T254" s="449" t="s">
        <v>1025</v>
      </c>
      <c r="U254" s="452">
        <v>0</v>
      </c>
      <c r="V2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4" s="272" t="str">
        <f>IFERROR(SUMIFS(TransUnitCost[Miles],TransUnitCost[Grouping_ID],TransTonsShort[[#This Row],[Grouping_ID]],TransUnitCost[Transp_ID],TransTonsShort[[#This Row],[Transp_ID]])*TransTonsShort[[#This Row],[Trans_Tons_All]]/TransTonsShort[[#This Row],[Trans_Tons_All]],"")</f>
        <v/>
      </c>
      <c r="X254" s="386" t="str">
        <f>TransTonsShort[[#This Row],[Grouping_ID]]&amp;"-"&amp;TransTonsShort[[#This Row],[Sector_ID]]</f>
        <v>4-1</v>
      </c>
      <c r="Y2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4" s="421">
        <f>INDEX(LandfillFees[Disposal Tip Fee 2025],MATCH(TransTonsShort[[#This Row],[Grouping_ID]],LandfillFees[Grouping_ID],0))</f>
        <v>72.030938699729589</v>
      </c>
      <c r="AA254" s="102">
        <f>IF(OR(TransTonsShort[[#This Row],[CollectionStream_ID]]="03",TransTonsShort[[#This Row],[CollectionStream_ID]]="04",TransTonsShort[[#This Row],[CollectionStream_ID]]="13"),0,TransTonsShort[[#This Row],[Trans_Tons_All]]*TransTonsShort[[#This Row],[Disposal_Fee]])</f>
        <v>0</v>
      </c>
      <c r="AF254" s="446" t="s">
        <v>1427</v>
      </c>
      <c r="AG254" s="442" t="str">
        <f>LEFT(SecondaryTransport[[#This Row],[Scenario_MRF_Bale_ID]],2)</f>
        <v>S3</v>
      </c>
      <c r="AH254" s="181" t="str">
        <f>LEFT(RIGHT(SecondaryTransport[[#This Row],[Scenario_MRF_Bale_ID]],10),2)</f>
        <v>04</v>
      </c>
      <c r="AI254" s="181" t="str">
        <f>INDEX(MRFs[MRF_Name],MATCH(SecondaryTransport[[#This Row],[MRF_ID]],MRFs[MRF_ID],0))</f>
        <v>1 MRF for SS with fiber and container upgrades (Portland)</v>
      </c>
      <c r="AJ254" s="181" t="str">
        <f>RIGHT(SecondaryTransport[[#This Row],[Scenario_MRF_Bale_ID]],7)</f>
        <v>1000-08</v>
      </c>
      <c r="AK254" s="181" t="str">
        <f>INDEX(Bales[Bale_Name],MATCH(SecondaryTransport[[#This Row],[Bale_ID]],Bales[Bale_ID],0))</f>
        <v>Polycoated cups and containers</v>
      </c>
      <c r="AL254" s="443">
        <f>INDEX(BaleMover[Total_Baled_tons],MATCH(SecondaryTransport[[#This Row],[Scenario_MRF_Bale_ID]],BaleMover[Scenario_MRF_Bale_ID],0))</f>
        <v>0</v>
      </c>
      <c r="AM254" s="443">
        <f>IF(INDEX(BaleMover[Miles],MATCH(SecondaryTransport[[#This Row],[Scenario_MRF_Bale_ID]],BaleMover[Scenario_MRF_Bale_ID],0))="",0,INDEX(BaleMover[Miles],MATCH(SecondaryTransport[[#This Row],[Scenario_MRF_Bale_ID]],BaleMover[Scenario_MRF_Bale_ID],0)))</f>
        <v>0</v>
      </c>
      <c r="AN254" s="251">
        <f>IF(SecondaryTransport[[#This Row],[Bale_ID]]="9000-01","costs elsewhere",SecondaryTransport[[#This Row],[Total_Baled_tons]]*SecondaryTransport[[#This Row],[Miles]])</f>
        <v>0</v>
      </c>
      <c r="AO254" s="352" t="str">
        <f>IF(LEFT(SecondaryTransport[[#This Row],[Bale_ID]],1)*1=5,IF(OR(SecondaryTransport[[#This Row],[MRF_ID]]="02",SecondaryTransport[[#This Row],[MRF_ID]]="08"),2,1),"")</f>
        <v/>
      </c>
      <c r="AP2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5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54" s="224" t="str">
        <f>IFERROR(IF(1*LEFT(SecondaryTransport[[#This Row],[Bale_ID]],1)=5,SecondaryTransport[[#This Row],[Ton-Miles]]*SecondaryTransport[[#This Row],[Cost_Per_Ton-Mile]],""),"")</f>
        <v/>
      </c>
      <c r="AS254" s="224" t="str">
        <f>IFERROR(IF(SecondaryTransport[[#This Row],[Container_Transfer]]="",(SecondaryTransport[[#This Row],[Ton-Miles]]*SecondaryTransport[[#This Row],[Cost_Per_Ton-Mile]]),""),"")</f>
        <v/>
      </c>
    </row>
    <row r="255" spans="3:45" ht="15" x14ac:dyDescent="0.25">
      <c r="C255"/>
      <c r="D255"/>
      <c r="L255" s="446" t="s">
        <v>873</v>
      </c>
      <c r="M255" s="446">
        <v>1</v>
      </c>
      <c r="N255" s="446">
        <v>1</v>
      </c>
      <c r="O255" s="446" t="s">
        <v>750</v>
      </c>
      <c r="P255" s="449" t="s">
        <v>739</v>
      </c>
      <c r="Q255" s="449"/>
      <c r="R255" s="449"/>
      <c r="S255" s="449" t="s">
        <v>963</v>
      </c>
      <c r="T255" s="449" t="s">
        <v>1121</v>
      </c>
      <c r="U255" s="452">
        <v>0</v>
      </c>
      <c r="V2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5" s="272" t="str">
        <f>IFERROR(SUMIFS(TransUnitCost[Miles],TransUnitCost[Grouping_ID],TransTonsShort[[#This Row],[Grouping_ID]],TransUnitCost[Transp_ID],TransTonsShort[[#This Row],[Transp_ID]])*TransTonsShort[[#This Row],[Trans_Tons_All]]/TransTonsShort[[#This Row],[Trans_Tons_All]],"")</f>
        <v/>
      </c>
      <c r="X255" s="386" t="str">
        <f>TransTonsShort[[#This Row],[Grouping_ID]]&amp;"-"&amp;TransTonsShort[[#This Row],[Sector_ID]]</f>
        <v>1-1</v>
      </c>
      <c r="Y2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5" s="421">
        <f>INDEX(LandfillFees[Disposal Tip Fee 2025],MATCH(TransTonsShort[[#This Row],[Grouping_ID]],LandfillFees[Grouping_ID],0))</f>
        <v>134.68</v>
      </c>
      <c r="AA255" s="102">
        <f>IF(OR(TransTonsShort[[#This Row],[CollectionStream_ID]]="03",TransTonsShort[[#This Row],[CollectionStream_ID]]="04",TransTonsShort[[#This Row],[CollectionStream_ID]]="13"),0,TransTonsShort[[#This Row],[Trans_Tons_All]]*TransTonsShort[[#This Row],[Disposal_Fee]])</f>
        <v>0</v>
      </c>
      <c r="AF255" s="446" t="s">
        <v>1428</v>
      </c>
      <c r="AG255" s="442" t="str">
        <f>LEFT(SecondaryTransport[[#This Row],[Scenario_MRF_Bale_ID]],2)</f>
        <v>S0</v>
      </c>
      <c r="AH255" s="181" t="str">
        <f>LEFT(RIGHT(SecondaryTransport[[#This Row],[Scenario_MRF_Bale_ID]],10),2)</f>
        <v>04</v>
      </c>
      <c r="AI255" s="181" t="str">
        <f>INDEX(MRFs[MRF_Name],MATCH(SecondaryTransport[[#This Row],[MRF_ID]],MRFs[MRF_ID],0))</f>
        <v>1 MRF for SS with fiber and container upgrades (Portland)</v>
      </c>
      <c r="AJ255" s="181" t="str">
        <f>RIGHT(SecondaryTransport[[#This Row],[Scenario_MRF_Bale_ID]],7)</f>
        <v>2000-01</v>
      </c>
      <c r="AK255" s="181" t="str">
        <f>INDEX(Bales[Bale_Name],MATCH(SecondaryTransport[[#This Row],[Bale_ID]],Bales[Bale_ID],0))</f>
        <v>PET #1 bottles and jars </v>
      </c>
      <c r="AL255" s="443">
        <f>INDEX(BaleMover[Total_Baled_tons],MATCH(SecondaryTransport[[#This Row],[Scenario_MRF_Bale_ID]],BaleMover[Scenario_MRF_Bale_ID],0))</f>
        <v>2365.5040239775299</v>
      </c>
      <c r="AM255" s="443">
        <f>IF(INDEX(BaleMover[Miles],MATCH(SecondaryTransport[[#This Row],[Scenario_MRF_Bale_ID]],BaleMover[Scenario_MRF_Bale_ID],0))="",0,INDEX(BaleMover[Miles],MATCH(SecondaryTransport[[#This Row],[Scenario_MRF_Bale_ID]],BaleMover[Scenario_MRF_Bale_ID],0)))</f>
        <v>670</v>
      </c>
      <c r="AN255" s="251">
        <f>IF(SecondaryTransport[[#This Row],[Bale_ID]]="9000-01","costs elsewhere",SecondaryTransport[[#This Row],[Total_Baled_tons]]*SecondaryTransport[[#This Row],[Miles]])</f>
        <v>1584887.6960649451</v>
      </c>
      <c r="AO255" s="352" t="str">
        <f>IF(LEFT(SecondaryTransport[[#This Row],[Bale_ID]],1)*1=5,IF(OR(SecondaryTransport[[#This Row],[MRF_ID]]="02",SecondaryTransport[[#This Row],[MRF_ID]]="08"),2,1),"")</f>
        <v/>
      </c>
      <c r="AP2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5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55" s="224" t="str">
        <f>IFERROR(IF(1*LEFT(SecondaryTransport[[#This Row],[Bale_ID]],1)=5,SecondaryTransport[[#This Row],[Ton-Miles]]*SecondaryTransport[[#This Row],[Cost_Per_Ton-Mile]],""),"")</f>
        <v/>
      </c>
      <c r="AS255" s="224">
        <f>IFERROR(IF(SecondaryTransport[[#This Row],[Container_Transfer]]="",(SecondaryTransport[[#This Row],[Ton-Miles]]*SecondaryTransport[[#This Row],[Cost_Per_Ton-Mile]]),""),"")</f>
        <v>221884.27744909233</v>
      </c>
    </row>
    <row r="256" spans="3:45" ht="15" x14ac:dyDescent="0.25">
      <c r="C256"/>
      <c r="D256"/>
      <c r="L256" s="446" t="s">
        <v>873</v>
      </c>
      <c r="M256" s="446">
        <v>2</v>
      </c>
      <c r="N256" s="446">
        <v>1</v>
      </c>
      <c r="O256" s="446" t="s">
        <v>750</v>
      </c>
      <c r="P256" s="449" t="s">
        <v>739</v>
      </c>
      <c r="Q256" s="449"/>
      <c r="R256" s="449"/>
      <c r="S256" s="449" t="s">
        <v>963</v>
      </c>
      <c r="T256" s="449" t="s">
        <v>1121</v>
      </c>
      <c r="U256" s="452">
        <v>0</v>
      </c>
      <c r="V2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6" s="272" t="str">
        <f>IFERROR(SUMIFS(TransUnitCost[Miles],TransUnitCost[Grouping_ID],TransTonsShort[[#This Row],[Grouping_ID]],TransUnitCost[Transp_ID],TransTonsShort[[#This Row],[Transp_ID]])*TransTonsShort[[#This Row],[Trans_Tons_All]]/TransTonsShort[[#This Row],[Trans_Tons_All]],"")</f>
        <v/>
      </c>
      <c r="X256" s="386" t="str">
        <f>TransTonsShort[[#This Row],[Grouping_ID]]&amp;"-"&amp;TransTonsShort[[#This Row],[Sector_ID]]</f>
        <v>2-1</v>
      </c>
      <c r="Y2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6" s="421">
        <f>INDEX(LandfillFees[Disposal Tip Fee 2025],MATCH(TransTonsShort[[#This Row],[Grouping_ID]],LandfillFees[Grouping_ID],0))</f>
        <v>72.030938699729589</v>
      </c>
      <c r="AA256" s="102">
        <f>IF(OR(TransTonsShort[[#This Row],[CollectionStream_ID]]="03",TransTonsShort[[#This Row],[CollectionStream_ID]]="04",TransTonsShort[[#This Row],[CollectionStream_ID]]="13"),0,TransTonsShort[[#This Row],[Trans_Tons_All]]*TransTonsShort[[#This Row],[Disposal_Fee]])</f>
        <v>0</v>
      </c>
      <c r="AF256" s="446" t="s">
        <v>1429</v>
      </c>
      <c r="AG256" s="442" t="str">
        <f>LEFT(SecondaryTransport[[#This Row],[Scenario_MRF_Bale_ID]],2)</f>
        <v>S1</v>
      </c>
      <c r="AH256" s="181" t="str">
        <f>LEFT(RIGHT(SecondaryTransport[[#This Row],[Scenario_MRF_Bale_ID]],10),2)</f>
        <v>04</v>
      </c>
      <c r="AI256" s="181" t="str">
        <f>INDEX(MRFs[MRF_Name],MATCH(SecondaryTransport[[#This Row],[MRF_ID]],MRFs[MRF_ID],0))</f>
        <v>1 MRF for SS with fiber and container upgrades (Portland)</v>
      </c>
      <c r="AJ256" s="181" t="str">
        <f>RIGHT(SecondaryTransport[[#This Row],[Scenario_MRF_Bale_ID]],7)</f>
        <v>2000-01</v>
      </c>
      <c r="AK256" s="181" t="str">
        <f>INDEX(Bales[Bale_Name],MATCH(SecondaryTransport[[#This Row],[Bale_ID]],Bales[Bale_ID],0))</f>
        <v>PET #1 bottles and jars </v>
      </c>
      <c r="AL256" s="443">
        <f>INDEX(BaleMover[Total_Baled_tons],MATCH(SecondaryTransport[[#This Row],[Scenario_MRF_Bale_ID]],BaleMover[Scenario_MRF_Bale_ID],0))</f>
        <v>2034.9764742782452</v>
      </c>
      <c r="AM256" s="443">
        <f>IF(INDEX(BaleMover[Miles],MATCH(SecondaryTransport[[#This Row],[Scenario_MRF_Bale_ID]],BaleMover[Scenario_MRF_Bale_ID],0))="",0,INDEX(BaleMover[Miles],MATCH(SecondaryTransport[[#This Row],[Scenario_MRF_Bale_ID]],BaleMover[Scenario_MRF_Bale_ID],0)))</f>
        <v>670</v>
      </c>
      <c r="AN256" s="251">
        <f>IF(SecondaryTransport[[#This Row],[Bale_ID]]="9000-01","costs elsewhere",SecondaryTransport[[#This Row],[Total_Baled_tons]]*SecondaryTransport[[#This Row],[Miles]])</f>
        <v>1363434.2377664242</v>
      </c>
      <c r="AO256" s="352" t="str">
        <f>IF(LEFT(SecondaryTransport[[#This Row],[Bale_ID]],1)*1=5,IF(OR(SecondaryTransport[[#This Row],[MRF_ID]]="02",SecondaryTransport[[#This Row],[MRF_ID]]="08"),2,1),"")</f>
        <v/>
      </c>
      <c r="AP2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5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56" s="224" t="str">
        <f>IFERROR(IF(1*LEFT(SecondaryTransport[[#This Row],[Bale_ID]],1)=5,SecondaryTransport[[#This Row],[Ton-Miles]]*SecondaryTransport[[#This Row],[Cost_Per_Ton-Mile]],""),"")</f>
        <v/>
      </c>
      <c r="AS256" s="224">
        <f>IFERROR(IF(SecondaryTransport[[#This Row],[Container_Transfer]]="",(SecondaryTransport[[#This Row],[Ton-Miles]]*SecondaryTransport[[#This Row],[Cost_Per_Ton-Mile]]),""),"")</f>
        <v>190880.7932872994</v>
      </c>
    </row>
    <row r="257" spans="3:45" ht="15" x14ac:dyDescent="0.25">
      <c r="C257"/>
      <c r="D257"/>
      <c r="L257" s="446" t="s">
        <v>873</v>
      </c>
      <c r="M257" s="446">
        <v>3</v>
      </c>
      <c r="N257" s="446">
        <v>1</v>
      </c>
      <c r="O257" s="446" t="s">
        <v>750</v>
      </c>
      <c r="P257" s="449" t="s">
        <v>739</v>
      </c>
      <c r="Q257" s="449"/>
      <c r="R257" s="449"/>
      <c r="S257" s="449" t="s">
        <v>963</v>
      </c>
      <c r="T257" s="449" t="s">
        <v>1121</v>
      </c>
      <c r="U257" s="452">
        <v>0</v>
      </c>
      <c r="V2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7" s="272" t="str">
        <f>IFERROR(SUMIFS(TransUnitCost[Miles],TransUnitCost[Grouping_ID],TransTonsShort[[#This Row],[Grouping_ID]],TransUnitCost[Transp_ID],TransTonsShort[[#This Row],[Transp_ID]])*TransTonsShort[[#This Row],[Trans_Tons_All]]/TransTonsShort[[#This Row],[Trans_Tons_All]],"")</f>
        <v/>
      </c>
      <c r="X257" s="386" t="str">
        <f>TransTonsShort[[#This Row],[Grouping_ID]]&amp;"-"&amp;TransTonsShort[[#This Row],[Sector_ID]]</f>
        <v>3-1</v>
      </c>
      <c r="Y2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7" s="421">
        <f>INDEX(LandfillFees[Disposal Tip Fee 2025],MATCH(TransTonsShort[[#This Row],[Grouping_ID]],LandfillFees[Grouping_ID],0))</f>
        <v>72.030938699729589</v>
      </c>
      <c r="AA257" s="102">
        <f>IF(OR(TransTonsShort[[#This Row],[CollectionStream_ID]]="03",TransTonsShort[[#This Row],[CollectionStream_ID]]="04",TransTonsShort[[#This Row],[CollectionStream_ID]]="13"),0,TransTonsShort[[#This Row],[Trans_Tons_All]]*TransTonsShort[[#This Row],[Disposal_Fee]])</f>
        <v>0</v>
      </c>
      <c r="AF257" s="446" t="s">
        <v>1430</v>
      </c>
      <c r="AG257" s="442" t="str">
        <f>LEFT(SecondaryTransport[[#This Row],[Scenario_MRF_Bale_ID]],2)</f>
        <v>S2</v>
      </c>
      <c r="AH257" s="181" t="str">
        <f>LEFT(RIGHT(SecondaryTransport[[#This Row],[Scenario_MRF_Bale_ID]],10),2)</f>
        <v>04</v>
      </c>
      <c r="AI257" s="181" t="str">
        <f>INDEX(MRFs[MRF_Name],MATCH(SecondaryTransport[[#This Row],[MRF_ID]],MRFs[MRF_ID],0))</f>
        <v>1 MRF for SS with fiber and container upgrades (Portland)</v>
      </c>
      <c r="AJ257" s="181" t="str">
        <f>RIGHT(SecondaryTransport[[#This Row],[Scenario_MRF_Bale_ID]],7)</f>
        <v>2000-01</v>
      </c>
      <c r="AK257" s="181" t="str">
        <f>INDEX(Bales[Bale_Name],MATCH(SecondaryTransport[[#This Row],[Bale_ID]],Bales[Bale_ID],0))</f>
        <v>PET #1 bottles and jars </v>
      </c>
      <c r="AL257" s="443">
        <f>INDEX(BaleMover[Total_Baled_tons],MATCH(SecondaryTransport[[#This Row],[Scenario_MRF_Bale_ID]],BaleMover[Scenario_MRF_Bale_ID],0))</f>
        <v>1966.572484547454</v>
      </c>
      <c r="AM257" s="443">
        <f>IF(INDEX(BaleMover[Miles],MATCH(SecondaryTransport[[#This Row],[Scenario_MRF_Bale_ID]],BaleMover[Scenario_MRF_Bale_ID],0))="",0,INDEX(BaleMover[Miles],MATCH(SecondaryTransport[[#This Row],[Scenario_MRF_Bale_ID]],BaleMover[Scenario_MRF_Bale_ID],0)))</f>
        <v>670</v>
      </c>
      <c r="AN257" s="251">
        <f>IF(SecondaryTransport[[#This Row],[Bale_ID]]="9000-01","costs elsewhere",SecondaryTransport[[#This Row],[Total_Baled_tons]]*SecondaryTransport[[#This Row],[Miles]])</f>
        <v>1317603.5646467942</v>
      </c>
      <c r="AO257" s="352" t="str">
        <f>IF(LEFT(SecondaryTransport[[#This Row],[Bale_ID]],1)*1=5,IF(OR(SecondaryTransport[[#This Row],[MRF_ID]]="02",SecondaryTransport[[#This Row],[MRF_ID]]="08"),2,1),"")</f>
        <v/>
      </c>
      <c r="AP2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5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57" s="224" t="str">
        <f>IFERROR(IF(1*LEFT(SecondaryTransport[[#This Row],[Bale_ID]],1)=5,SecondaryTransport[[#This Row],[Ton-Miles]]*SecondaryTransport[[#This Row],[Cost_Per_Ton-Mile]],""),"")</f>
        <v/>
      </c>
      <c r="AS257" s="224">
        <f>IFERROR(IF(SecondaryTransport[[#This Row],[Container_Transfer]]="",(SecondaryTransport[[#This Row],[Ton-Miles]]*SecondaryTransport[[#This Row],[Cost_Per_Ton-Mile]]),""),"")</f>
        <v>184464.49905055121</v>
      </c>
    </row>
    <row r="258" spans="3:45" ht="15" x14ac:dyDescent="0.25">
      <c r="C258"/>
      <c r="D258"/>
      <c r="L258" s="446" t="s">
        <v>873</v>
      </c>
      <c r="M258" s="446">
        <v>4</v>
      </c>
      <c r="N258" s="446">
        <v>1</v>
      </c>
      <c r="O258" s="446" t="s">
        <v>750</v>
      </c>
      <c r="P258" s="449" t="s">
        <v>739</v>
      </c>
      <c r="Q258" s="449"/>
      <c r="R258" s="449"/>
      <c r="S258" s="449" t="s">
        <v>963</v>
      </c>
      <c r="T258" s="449" t="s">
        <v>1121</v>
      </c>
      <c r="U258" s="452">
        <v>0</v>
      </c>
      <c r="V2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8" s="272" t="str">
        <f>IFERROR(SUMIFS(TransUnitCost[Miles],TransUnitCost[Grouping_ID],TransTonsShort[[#This Row],[Grouping_ID]],TransUnitCost[Transp_ID],TransTonsShort[[#This Row],[Transp_ID]])*TransTonsShort[[#This Row],[Trans_Tons_All]]/TransTonsShort[[#This Row],[Trans_Tons_All]],"")</f>
        <v/>
      </c>
      <c r="X258" s="386" t="str">
        <f>TransTonsShort[[#This Row],[Grouping_ID]]&amp;"-"&amp;TransTonsShort[[#This Row],[Sector_ID]]</f>
        <v>4-1</v>
      </c>
      <c r="Y2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8" s="421">
        <f>INDEX(LandfillFees[Disposal Tip Fee 2025],MATCH(TransTonsShort[[#This Row],[Grouping_ID]],LandfillFees[Grouping_ID],0))</f>
        <v>72.030938699729589</v>
      </c>
      <c r="AA258" s="102">
        <f>IF(OR(TransTonsShort[[#This Row],[CollectionStream_ID]]="03",TransTonsShort[[#This Row],[CollectionStream_ID]]="04",TransTonsShort[[#This Row],[CollectionStream_ID]]="13"),0,TransTonsShort[[#This Row],[Trans_Tons_All]]*TransTonsShort[[#This Row],[Disposal_Fee]])</f>
        <v>0</v>
      </c>
      <c r="AF258" s="446" t="s">
        <v>1431</v>
      </c>
      <c r="AG258" s="442" t="str">
        <f>LEFT(SecondaryTransport[[#This Row],[Scenario_MRF_Bale_ID]],2)</f>
        <v>S3</v>
      </c>
      <c r="AH258" s="181" t="str">
        <f>LEFT(RIGHT(SecondaryTransport[[#This Row],[Scenario_MRF_Bale_ID]],10),2)</f>
        <v>04</v>
      </c>
      <c r="AI258" s="181" t="str">
        <f>INDEX(MRFs[MRF_Name],MATCH(SecondaryTransport[[#This Row],[MRF_ID]],MRFs[MRF_ID],0))</f>
        <v>1 MRF for SS with fiber and container upgrades (Portland)</v>
      </c>
      <c r="AJ258" s="181" t="str">
        <f>RIGHT(SecondaryTransport[[#This Row],[Scenario_MRF_Bale_ID]],7)</f>
        <v>2000-01</v>
      </c>
      <c r="AK258" s="181" t="str">
        <f>INDEX(Bales[Bale_Name],MATCH(SecondaryTransport[[#This Row],[Bale_ID]],Bales[Bale_ID],0))</f>
        <v>PET #1 bottles and jars </v>
      </c>
      <c r="AL258" s="443">
        <f>INDEX(BaleMover[Total_Baled_tons],MATCH(SecondaryTransport[[#This Row],[Scenario_MRF_Bale_ID]],BaleMover[Scenario_MRF_Bale_ID],0))</f>
        <v>2726.1628031367763</v>
      </c>
      <c r="AM258" s="443">
        <f>IF(INDEX(BaleMover[Miles],MATCH(SecondaryTransport[[#This Row],[Scenario_MRF_Bale_ID]],BaleMover[Scenario_MRF_Bale_ID],0))="",0,INDEX(BaleMover[Miles],MATCH(SecondaryTransport[[#This Row],[Scenario_MRF_Bale_ID]],BaleMover[Scenario_MRF_Bale_ID],0)))</f>
        <v>670</v>
      </c>
      <c r="AN258" s="251">
        <f>IF(SecondaryTransport[[#This Row],[Bale_ID]]="9000-01","costs elsewhere",SecondaryTransport[[#This Row],[Total_Baled_tons]]*SecondaryTransport[[#This Row],[Miles]])</f>
        <v>1826529.0781016401</v>
      </c>
      <c r="AO258" s="352" t="str">
        <f>IF(LEFT(SecondaryTransport[[#This Row],[Bale_ID]],1)*1=5,IF(OR(SecondaryTransport[[#This Row],[MRF_ID]]="02",SecondaryTransport[[#This Row],[MRF_ID]]="08"),2,1),"")</f>
        <v/>
      </c>
      <c r="AP2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5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58" s="224" t="str">
        <f>IFERROR(IF(1*LEFT(SecondaryTransport[[#This Row],[Bale_ID]],1)=5,SecondaryTransport[[#This Row],[Ton-Miles]]*SecondaryTransport[[#This Row],[Cost_Per_Ton-Mile]],""),"")</f>
        <v/>
      </c>
      <c r="AS258" s="224">
        <f>IFERROR(IF(SecondaryTransport[[#This Row],[Container_Transfer]]="",(SecondaryTransport[[#This Row],[Ton-Miles]]*SecondaryTransport[[#This Row],[Cost_Per_Ton-Mile]]),""),"")</f>
        <v>255714.07093422965</v>
      </c>
    </row>
    <row r="259" spans="3:45" ht="15" x14ac:dyDescent="0.25">
      <c r="C259"/>
      <c r="D259"/>
      <c r="L259" s="446" t="s">
        <v>873</v>
      </c>
      <c r="M259" s="446">
        <v>1</v>
      </c>
      <c r="N259" s="446">
        <v>1</v>
      </c>
      <c r="O259" s="446" t="s">
        <v>750</v>
      </c>
      <c r="P259" s="450" t="s">
        <v>700</v>
      </c>
      <c r="Q259" s="450"/>
      <c r="R259" s="450"/>
      <c r="S259" s="449" t="s">
        <v>963</v>
      </c>
      <c r="T259" s="449" t="s">
        <v>701</v>
      </c>
      <c r="U259" s="452">
        <v>0</v>
      </c>
      <c r="V2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59" s="272" t="str">
        <f>IFERROR(SUMIFS(TransUnitCost[Miles],TransUnitCost[Grouping_ID],TransTonsShort[[#This Row],[Grouping_ID]],TransUnitCost[Transp_ID],TransTonsShort[[#This Row],[Transp_ID]])*TransTonsShort[[#This Row],[Trans_Tons_All]]/TransTonsShort[[#This Row],[Trans_Tons_All]],"")</f>
        <v/>
      </c>
      <c r="X259" s="386" t="str">
        <f>TransTonsShort[[#This Row],[Grouping_ID]]&amp;"-"&amp;TransTonsShort[[#This Row],[Sector_ID]]</f>
        <v>1-1</v>
      </c>
      <c r="Y2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59" s="421">
        <f>INDEX(LandfillFees[Disposal Tip Fee 2025],MATCH(TransTonsShort[[#This Row],[Grouping_ID]],LandfillFees[Grouping_ID],0))</f>
        <v>134.68</v>
      </c>
      <c r="AA259" s="102">
        <f>IF(OR(TransTonsShort[[#This Row],[CollectionStream_ID]]="03",TransTonsShort[[#This Row],[CollectionStream_ID]]="04",TransTonsShort[[#This Row],[CollectionStream_ID]]="13"),0,TransTonsShort[[#This Row],[Trans_Tons_All]]*TransTonsShort[[#This Row],[Disposal_Fee]])</f>
        <v>0</v>
      </c>
      <c r="AF259" s="446" t="s">
        <v>1432</v>
      </c>
      <c r="AG259" s="442" t="str">
        <f>LEFT(SecondaryTransport[[#This Row],[Scenario_MRF_Bale_ID]],2)</f>
        <v>S0</v>
      </c>
      <c r="AH259" s="181" t="str">
        <f>LEFT(RIGHT(SecondaryTransport[[#This Row],[Scenario_MRF_Bale_ID]],10),2)</f>
        <v>04</v>
      </c>
      <c r="AI259" s="181" t="str">
        <f>INDEX(MRFs[MRF_Name],MATCH(SecondaryTransport[[#This Row],[MRF_ID]],MRFs[MRF_ID],0))</f>
        <v>1 MRF for SS with fiber and container upgrades (Portland)</v>
      </c>
      <c r="AJ259" s="181" t="str">
        <f>RIGHT(SecondaryTransport[[#This Row],[Scenario_MRF_Bale_ID]],7)</f>
        <v>2000-02</v>
      </c>
      <c r="AK259" s="181" t="str">
        <f>INDEX(Bales[Bale_Name],MATCH(SecondaryTransport[[#This Row],[Bale_ID]],Bales[Bale_ID],0))</f>
        <v>PET #1 thermoforms and tubs</v>
      </c>
      <c r="AL259" s="443">
        <f>INDEX(BaleMover[Total_Baled_tons],MATCH(SecondaryTransport[[#This Row],[Scenario_MRF_Bale_ID]],BaleMover[Scenario_MRF_Bale_ID],0))</f>
        <v>0</v>
      </c>
      <c r="AM259" s="443">
        <f>IF(INDEX(BaleMover[Miles],MATCH(SecondaryTransport[[#This Row],[Scenario_MRF_Bale_ID]],BaleMover[Scenario_MRF_Bale_ID],0))="",0,INDEX(BaleMover[Miles],MATCH(SecondaryTransport[[#This Row],[Scenario_MRF_Bale_ID]],BaleMover[Scenario_MRF_Bale_ID],0)))</f>
        <v>0</v>
      </c>
      <c r="AN259" s="251">
        <f>IF(SecondaryTransport[[#This Row],[Bale_ID]]="9000-01","costs elsewhere",SecondaryTransport[[#This Row],[Total_Baled_tons]]*SecondaryTransport[[#This Row],[Miles]])</f>
        <v>0</v>
      </c>
      <c r="AO259" s="352" t="str">
        <f>IF(LEFT(SecondaryTransport[[#This Row],[Bale_ID]],1)*1=5,IF(OR(SecondaryTransport[[#This Row],[MRF_ID]]="02",SecondaryTransport[[#This Row],[MRF_ID]]="08"),2,1),"")</f>
        <v/>
      </c>
      <c r="AP2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5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59" s="224" t="str">
        <f>IFERROR(IF(1*LEFT(SecondaryTransport[[#This Row],[Bale_ID]],1)=5,SecondaryTransport[[#This Row],[Ton-Miles]]*SecondaryTransport[[#This Row],[Cost_Per_Ton-Mile]],""),"")</f>
        <v/>
      </c>
      <c r="AS259" s="224" t="str">
        <f>IFERROR(IF(SecondaryTransport[[#This Row],[Container_Transfer]]="",(SecondaryTransport[[#This Row],[Ton-Miles]]*SecondaryTransport[[#This Row],[Cost_Per_Ton-Mile]]),""),"")</f>
        <v/>
      </c>
    </row>
    <row r="260" spans="3:45" ht="15" x14ac:dyDescent="0.25">
      <c r="C260"/>
      <c r="D260"/>
      <c r="L260" s="446" t="s">
        <v>873</v>
      </c>
      <c r="M260" s="446">
        <v>2</v>
      </c>
      <c r="N260" s="446">
        <v>1</v>
      </c>
      <c r="O260" s="446" t="s">
        <v>750</v>
      </c>
      <c r="P260" s="450" t="s">
        <v>700</v>
      </c>
      <c r="Q260" s="450"/>
      <c r="R260" s="450"/>
      <c r="S260" s="449" t="s">
        <v>963</v>
      </c>
      <c r="T260" s="449" t="s">
        <v>701</v>
      </c>
      <c r="U260" s="452">
        <v>0</v>
      </c>
      <c r="V2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0" s="272" t="str">
        <f>IFERROR(SUMIFS(TransUnitCost[Miles],TransUnitCost[Grouping_ID],TransTonsShort[[#This Row],[Grouping_ID]],TransUnitCost[Transp_ID],TransTonsShort[[#This Row],[Transp_ID]])*TransTonsShort[[#This Row],[Trans_Tons_All]]/TransTonsShort[[#This Row],[Trans_Tons_All]],"")</f>
        <v/>
      </c>
      <c r="X260" s="386" t="str">
        <f>TransTonsShort[[#This Row],[Grouping_ID]]&amp;"-"&amp;TransTonsShort[[#This Row],[Sector_ID]]</f>
        <v>2-1</v>
      </c>
      <c r="Y2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60" s="421">
        <f>INDEX(LandfillFees[Disposal Tip Fee 2025],MATCH(TransTonsShort[[#This Row],[Grouping_ID]],LandfillFees[Grouping_ID],0))</f>
        <v>72.030938699729589</v>
      </c>
      <c r="AA260" s="102">
        <f>IF(OR(TransTonsShort[[#This Row],[CollectionStream_ID]]="03",TransTonsShort[[#This Row],[CollectionStream_ID]]="04",TransTonsShort[[#This Row],[CollectionStream_ID]]="13"),0,TransTonsShort[[#This Row],[Trans_Tons_All]]*TransTonsShort[[#This Row],[Disposal_Fee]])</f>
        <v>0</v>
      </c>
      <c r="AF260" s="446" t="s">
        <v>1433</v>
      </c>
      <c r="AG260" s="442" t="str">
        <f>LEFT(SecondaryTransport[[#This Row],[Scenario_MRF_Bale_ID]],2)</f>
        <v>S1</v>
      </c>
      <c r="AH260" s="181" t="str">
        <f>LEFT(RIGHT(SecondaryTransport[[#This Row],[Scenario_MRF_Bale_ID]],10),2)</f>
        <v>04</v>
      </c>
      <c r="AI260" s="181" t="str">
        <f>INDEX(MRFs[MRF_Name],MATCH(SecondaryTransport[[#This Row],[MRF_ID]],MRFs[MRF_ID],0))</f>
        <v>1 MRF for SS with fiber and container upgrades (Portland)</v>
      </c>
      <c r="AJ260" s="181" t="str">
        <f>RIGHT(SecondaryTransport[[#This Row],[Scenario_MRF_Bale_ID]],7)</f>
        <v>2000-02</v>
      </c>
      <c r="AK260" s="181" t="str">
        <f>INDEX(Bales[Bale_Name],MATCH(SecondaryTransport[[#This Row],[Bale_ID]],Bales[Bale_ID],0))</f>
        <v>PET #1 thermoforms and tubs</v>
      </c>
      <c r="AL260" s="443">
        <f>INDEX(BaleMover[Total_Baled_tons],MATCH(SecondaryTransport[[#This Row],[Scenario_MRF_Bale_ID]],BaleMover[Scenario_MRF_Bale_ID],0))</f>
        <v>0</v>
      </c>
      <c r="AM260" s="443">
        <f>IF(INDEX(BaleMover[Miles],MATCH(SecondaryTransport[[#This Row],[Scenario_MRF_Bale_ID]],BaleMover[Scenario_MRF_Bale_ID],0))="",0,INDEX(BaleMover[Miles],MATCH(SecondaryTransport[[#This Row],[Scenario_MRF_Bale_ID]],BaleMover[Scenario_MRF_Bale_ID],0)))</f>
        <v>0</v>
      </c>
      <c r="AN260" s="251">
        <f>IF(SecondaryTransport[[#This Row],[Bale_ID]]="9000-01","costs elsewhere",SecondaryTransport[[#This Row],[Total_Baled_tons]]*SecondaryTransport[[#This Row],[Miles]])</f>
        <v>0</v>
      </c>
      <c r="AO260" s="352" t="str">
        <f>IF(LEFT(SecondaryTransport[[#This Row],[Bale_ID]],1)*1=5,IF(OR(SecondaryTransport[[#This Row],[MRF_ID]]="02",SecondaryTransport[[#This Row],[MRF_ID]]="08"),2,1),"")</f>
        <v/>
      </c>
      <c r="AP2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6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60" s="224" t="str">
        <f>IFERROR(IF(1*LEFT(SecondaryTransport[[#This Row],[Bale_ID]],1)=5,SecondaryTransport[[#This Row],[Ton-Miles]]*SecondaryTransport[[#This Row],[Cost_Per_Ton-Mile]],""),"")</f>
        <v/>
      </c>
      <c r="AS260" s="224" t="str">
        <f>IFERROR(IF(SecondaryTransport[[#This Row],[Container_Transfer]]="",(SecondaryTransport[[#This Row],[Ton-Miles]]*SecondaryTransport[[#This Row],[Cost_Per_Ton-Mile]]),""),"")</f>
        <v/>
      </c>
    </row>
    <row r="261" spans="3:45" ht="15" x14ac:dyDescent="0.25">
      <c r="C261"/>
      <c r="D261"/>
      <c r="L261" s="446" t="s">
        <v>873</v>
      </c>
      <c r="M261" s="446">
        <v>3</v>
      </c>
      <c r="N261" s="446">
        <v>1</v>
      </c>
      <c r="O261" s="446" t="s">
        <v>750</v>
      </c>
      <c r="P261" s="450" t="s">
        <v>700</v>
      </c>
      <c r="Q261" s="450"/>
      <c r="R261" s="450"/>
      <c r="S261" s="449" t="s">
        <v>963</v>
      </c>
      <c r="T261" s="449" t="s">
        <v>701</v>
      </c>
      <c r="U261" s="452">
        <v>0</v>
      </c>
      <c r="V2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1" s="272" t="str">
        <f>IFERROR(SUMIFS(TransUnitCost[Miles],TransUnitCost[Grouping_ID],TransTonsShort[[#This Row],[Grouping_ID]],TransUnitCost[Transp_ID],TransTonsShort[[#This Row],[Transp_ID]])*TransTonsShort[[#This Row],[Trans_Tons_All]]/TransTonsShort[[#This Row],[Trans_Tons_All]],"")</f>
        <v/>
      </c>
      <c r="X261" s="386" t="str">
        <f>TransTonsShort[[#This Row],[Grouping_ID]]&amp;"-"&amp;TransTonsShort[[#This Row],[Sector_ID]]</f>
        <v>3-1</v>
      </c>
      <c r="Y2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61" s="421">
        <f>INDEX(LandfillFees[Disposal Tip Fee 2025],MATCH(TransTonsShort[[#This Row],[Grouping_ID]],LandfillFees[Grouping_ID],0))</f>
        <v>72.030938699729589</v>
      </c>
      <c r="AA261" s="102">
        <f>IF(OR(TransTonsShort[[#This Row],[CollectionStream_ID]]="03",TransTonsShort[[#This Row],[CollectionStream_ID]]="04",TransTonsShort[[#This Row],[CollectionStream_ID]]="13"),0,TransTonsShort[[#This Row],[Trans_Tons_All]]*TransTonsShort[[#This Row],[Disposal_Fee]])</f>
        <v>0</v>
      </c>
      <c r="AF261" s="446" t="s">
        <v>1434</v>
      </c>
      <c r="AG261" s="442" t="str">
        <f>LEFT(SecondaryTransport[[#This Row],[Scenario_MRF_Bale_ID]],2)</f>
        <v>S2</v>
      </c>
      <c r="AH261" s="181" t="str">
        <f>LEFT(RIGHT(SecondaryTransport[[#This Row],[Scenario_MRF_Bale_ID]],10),2)</f>
        <v>04</v>
      </c>
      <c r="AI261" s="181" t="str">
        <f>INDEX(MRFs[MRF_Name],MATCH(SecondaryTransport[[#This Row],[MRF_ID]],MRFs[MRF_ID],0))</f>
        <v>1 MRF for SS with fiber and container upgrades (Portland)</v>
      </c>
      <c r="AJ261" s="181" t="str">
        <f>RIGHT(SecondaryTransport[[#This Row],[Scenario_MRF_Bale_ID]],7)</f>
        <v>2000-02</v>
      </c>
      <c r="AK261" s="181" t="str">
        <f>INDEX(Bales[Bale_Name],MATCH(SecondaryTransport[[#This Row],[Bale_ID]],Bales[Bale_ID],0))</f>
        <v>PET #1 thermoforms and tubs</v>
      </c>
      <c r="AL261" s="443">
        <f>INDEX(BaleMover[Total_Baled_tons],MATCH(SecondaryTransport[[#This Row],[Scenario_MRF_Bale_ID]],BaleMover[Scenario_MRF_Bale_ID],0))</f>
        <v>760.49977337338817</v>
      </c>
      <c r="AM261" s="443">
        <f>IF(INDEX(BaleMover[Miles],MATCH(SecondaryTransport[[#This Row],[Scenario_MRF_Bale_ID]],BaleMover[Scenario_MRF_Bale_ID],0))="",0,INDEX(BaleMover[Miles],MATCH(SecondaryTransport[[#This Row],[Scenario_MRF_Bale_ID]],BaleMover[Scenario_MRF_Bale_ID],0)))</f>
        <v>960</v>
      </c>
      <c r="AN261" s="251">
        <f>IF(SecondaryTransport[[#This Row],[Bale_ID]]="9000-01","costs elsewhere",SecondaryTransport[[#This Row],[Total_Baled_tons]]*SecondaryTransport[[#This Row],[Miles]])</f>
        <v>730079.78243845259</v>
      </c>
      <c r="AO261" s="352" t="str">
        <f>IF(LEFT(SecondaryTransport[[#This Row],[Bale_ID]],1)*1=5,IF(OR(SecondaryTransport[[#This Row],[MRF_ID]]="02",SecondaryTransport[[#This Row],[MRF_ID]]="08"),2,1),"")</f>
        <v/>
      </c>
      <c r="AP2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1" s="224" t="str">
        <f>IFERROR(IF(1*LEFT(SecondaryTransport[[#This Row],[Bale_ID]],1)=5,SecondaryTransport[[#This Row],[Ton-Miles]]*SecondaryTransport[[#This Row],[Cost_Per_Ton-Mile]],""),"")</f>
        <v/>
      </c>
      <c r="AS261" s="224">
        <f>IFERROR(IF(SecondaryTransport[[#This Row],[Container_Transfer]]="",(SecondaryTransport[[#This Row],[Ton-Miles]]*SecondaryTransport[[#This Row],[Cost_Per_Ton-Mile]]),""),"")</f>
        <v>102211.16954138337</v>
      </c>
    </row>
    <row r="262" spans="3:45" ht="15" x14ac:dyDescent="0.25">
      <c r="C262"/>
      <c r="D262"/>
      <c r="L262" s="446" t="s">
        <v>873</v>
      </c>
      <c r="M262" s="446">
        <v>4</v>
      </c>
      <c r="N262" s="446">
        <v>1</v>
      </c>
      <c r="O262" s="446" t="s">
        <v>750</v>
      </c>
      <c r="P262" s="450" t="s">
        <v>700</v>
      </c>
      <c r="Q262" s="450"/>
      <c r="R262" s="450"/>
      <c r="S262" s="449" t="s">
        <v>963</v>
      </c>
      <c r="T262" s="449" t="s">
        <v>701</v>
      </c>
      <c r="U262" s="452">
        <v>0</v>
      </c>
      <c r="V2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2" s="272" t="str">
        <f>IFERROR(SUMIFS(TransUnitCost[Miles],TransUnitCost[Grouping_ID],TransTonsShort[[#This Row],[Grouping_ID]],TransUnitCost[Transp_ID],TransTonsShort[[#This Row],[Transp_ID]])*TransTonsShort[[#This Row],[Trans_Tons_All]]/TransTonsShort[[#This Row],[Trans_Tons_All]],"")</f>
        <v/>
      </c>
      <c r="X262" s="386" t="str">
        <f>TransTonsShort[[#This Row],[Grouping_ID]]&amp;"-"&amp;TransTonsShort[[#This Row],[Sector_ID]]</f>
        <v>4-1</v>
      </c>
      <c r="Y2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62" s="421">
        <f>INDEX(LandfillFees[Disposal Tip Fee 2025],MATCH(TransTonsShort[[#This Row],[Grouping_ID]],LandfillFees[Grouping_ID],0))</f>
        <v>72.030938699729589</v>
      </c>
      <c r="AA262" s="102">
        <f>IF(OR(TransTonsShort[[#This Row],[CollectionStream_ID]]="03",TransTonsShort[[#This Row],[CollectionStream_ID]]="04",TransTonsShort[[#This Row],[CollectionStream_ID]]="13"),0,TransTonsShort[[#This Row],[Trans_Tons_All]]*TransTonsShort[[#This Row],[Disposal_Fee]])</f>
        <v>0</v>
      </c>
      <c r="AF262" s="446" t="s">
        <v>1435</v>
      </c>
      <c r="AG262" s="442" t="str">
        <f>LEFT(SecondaryTransport[[#This Row],[Scenario_MRF_Bale_ID]],2)</f>
        <v>S3</v>
      </c>
      <c r="AH262" s="181" t="str">
        <f>LEFT(RIGHT(SecondaryTransport[[#This Row],[Scenario_MRF_Bale_ID]],10),2)</f>
        <v>04</v>
      </c>
      <c r="AI262" s="181" t="str">
        <f>INDEX(MRFs[MRF_Name],MATCH(SecondaryTransport[[#This Row],[MRF_ID]],MRFs[MRF_ID],0))</f>
        <v>1 MRF for SS with fiber and container upgrades (Portland)</v>
      </c>
      <c r="AJ262" s="181" t="str">
        <f>RIGHT(SecondaryTransport[[#This Row],[Scenario_MRF_Bale_ID]],7)</f>
        <v>2000-02</v>
      </c>
      <c r="AK262" s="181" t="str">
        <f>INDEX(Bales[Bale_Name],MATCH(SecondaryTransport[[#This Row],[Bale_ID]],Bales[Bale_ID],0))</f>
        <v>PET #1 thermoforms and tubs</v>
      </c>
      <c r="AL262" s="443">
        <f>INDEX(BaleMover[Total_Baled_tons],MATCH(SecondaryTransport[[#This Row],[Scenario_MRF_Bale_ID]],BaleMover[Scenario_MRF_Bale_ID],0))</f>
        <v>0</v>
      </c>
      <c r="AM262" s="443">
        <f>IF(INDEX(BaleMover[Miles],MATCH(SecondaryTransport[[#This Row],[Scenario_MRF_Bale_ID]],BaleMover[Scenario_MRF_Bale_ID],0))="",0,INDEX(BaleMover[Miles],MATCH(SecondaryTransport[[#This Row],[Scenario_MRF_Bale_ID]],BaleMover[Scenario_MRF_Bale_ID],0)))</f>
        <v>0</v>
      </c>
      <c r="AN262" s="251">
        <f>IF(SecondaryTransport[[#This Row],[Bale_ID]]="9000-01","costs elsewhere",SecondaryTransport[[#This Row],[Total_Baled_tons]]*SecondaryTransport[[#This Row],[Miles]])</f>
        <v>0</v>
      </c>
      <c r="AO262" s="352" t="str">
        <f>IF(LEFT(SecondaryTransport[[#This Row],[Bale_ID]],1)*1=5,IF(OR(SecondaryTransport[[#This Row],[MRF_ID]]="02",SecondaryTransport[[#This Row],[MRF_ID]]="08"),2,1),"")</f>
        <v/>
      </c>
      <c r="AP2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6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62" s="224" t="str">
        <f>IFERROR(IF(1*LEFT(SecondaryTransport[[#This Row],[Bale_ID]],1)=5,SecondaryTransport[[#This Row],[Ton-Miles]]*SecondaryTransport[[#This Row],[Cost_Per_Ton-Mile]],""),"")</f>
        <v/>
      </c>
      <c r="AS262" s="224" t="str">
        <f>IFERROR(IF(SecondaryTransport[[#This Row],[Container_Transfer]]="",(SecondaryTransport[[#This Row],[Ton-Miles]]*SecondaryTransport[[#This Row],[Cost_Per_Ton-Mile]]),""),"")</f>
        <v/>
      </c>
    </row>
    <row r="263" spans="3:45" ht="15" x14ac:dyDescent="0.25">
      <c r="C263"/>
      <c r="D263"/>
      <c r="L263" s="446" t="s">
        <v>870</v>
      </c>
      <c r="M263" s="446">
        <v>1</v>
      </c>
      <c r="N263" s="446">
        <v>1</v>
      </c>
      <c r="O263" s="446" t="s">
        <v>700</v>
      </c>
      <c r="P263" s="449" t="s">
        <v>719</v>
      </c>
      <c r="Q263" s="449"/>
      <c r="R263" s="449"/>
      <c r="S263" s="449" t="s">
        <v>872</v>
      </c>
      <c r="T263" s="449" t="s">
        <v>1055</v>
      </c>
      <c r="U263" s="452">
        <v>0</v>
      </c>
      <c r="V2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3" s="272" t="str">
        <f>IFERROR(SUMIFS(TransUnitCost[Miles],TransUnitCost[Grouping_ID],TransTonsShort[[#This Row],[Grouping_ID]],TransUnitCost[Transp_ID],TransTonsShort[[#This Row],[Transp_ID]])*TransTonsShort[[#This Row],[Trans_Tons_All]]/TransTonsShort[[#This Row],[Trans_Tons_All]],"")</f>
        <v/>
      </c>
      <c r="X263" s="386" t="str">
        <f>TransTonsShort[[#This Row],[Grouping_ID]]&amp;"-"&amp;TransTonsShort[[#This Row],[Sector_ID]]</f>
        <v>1-1</v>
      </c>
      <c r="Y2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3" s="421">
        <f>INDEX(LandfillFees[Disposal Tip Fee 2025],MATCH(TransTonsShort[[#This Row],[Grouping_ID]],LandfillFees[Grouping_ID],0))</f>
        <v>134.68</v>
      </c>
      <c r="AA263" s="102">
        <f>IF(OR(TransTonsShort[[#This Row],[CollectionStream_ID]]="03",TransTonsShort[[#This Row],[CollectionStream_ID]]="04",TransTonsShort[[#This Row],[CollectionStream_ID]]="13"),0,TransTonsShort[[#This Row],[Trans_Tons_All]]*TransTonsShort[[#This Row],[Disposal_Fee]])</f>
        <v>0</v>
      </c>
      <c r="AF263" s="446" t="s">
        <v>1436</v>
      </c>
      <c r="AG263" s="442" t="str">
        <f>LEFT(SecondaryTransport[[#This Row],[Scenario_MRF_Bale_ID]],2)</f>
        <v>S0</v>
      </c>
      <c r="AH263" s="181" t="str">
        <f>LEFT(RIGHT(SecondaryTransport[[#This Row],[Scenario_MRF_Bale_ID]],10),2)</f>
        <v>04</v>
      </c>
      <c r="AI263" s="181" t="str">
        <f>INDEX(MRFs[MRF_Name],MATCH(SecondaryTransport[[#This Row],[MRF_ID]],MRFs[MRF_ID],0))</f>
        <v>1 MRF for SS with fiber and container upgrades (Portland)</v>
      </c>
      <c r="AJ263" s="181" t="str">
        <f>RIGHT(SecondaryTransport[[#This Row],[Scenario_MRF_Bale_ID]],7)</f>
        <v>2000-03</v>
      </c>
      <c r="AK263" s="181" t="str">
        <f>INDEX(Bales[Bale_Name],MATCH(SecondaryTransport[[#This Row],[Bale_ID]],Bales[Bale_ID],0))</f>
        <v>HDPE #2 natural bottles </v>
      </c>
      <c r="AL263" s="443">
        <f>INDEX(BaleMover[Total_Baled_tons],MATCH(SecondaryTransport[[#This Row],[Scenario_MRF_Bale_ID]],BaleMover[Scenario_MRF_Bale_ID],0))</f>
        <v>588.53547712940565</v>
      </c>
      <c r="AM263" s="443">
        <f>IF(INDEX(BaleMover[Miles],MATCH(SecondaryTransport[[#This Row],[Scenario_MRF_Bale_ID]],BaleMover[Scenario_MRF_Bale_ID],0))="",0,INDEX(BaleMover[Miles],MATCH(SecondaryTransport[[#This Row],[Scenario_MRF_Bale_ID]],BaleMover[Scenario_MRF_Bale_ID],0)))</f>
        <v>315</v>
      </c>
      <c r="AN263" s="251">
        <f>IF(SecondaryTransport[[#This Row],[Bale_ID]]="9000-01","costs elsewhere",SecondaryTransport[[#This Row],[Total_Baled_tons]]*SecondaryTransport[[#This Row],[Miles]])</f>
        <v>185388.67529576278</v>
      </c>
      <c r="AO263" s="352" t="str">
        <f>IF(LEFT(SecondaryTransport[[#This Row],[Bale_ID]],1)*1=5,IF(OR(SecondaryTransport[[#This Row],[MRF_ID]]="02",SecondaryTransport[[#This Row],[MRF_ID]]="08"),2,1),"")</f>
        <v/>
      </c>
      <c r="AP2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3" s="224" t="str">
        <f>IFERROR(IF(1*LEFT(SecondaryTransport[[#This Row],[Bale_ID]],1)=5,SecondaryTransport[[#This Row],[Ton-Miles]]*SecondaryTransport[[#This Row],[Cost_Per_Ton-Mile]],""),"")</f>
        <v/>
      </c>
      <c r="AS263" s="224">
        <f>IFERROR(IF(SecondaryTransport[[#This Row],[Container_Transfer]]="",(SecondaryTransport[[#This Row],[Ton-Miles]]*SecondaryTransport[[#This Row],[Cost_Per_Ton-Mile]]),""),"")</f>
        <v>25954.41454140679</v>
      </c>
    </row>
    <row r="264" spans="3:45" ht="15" x14ac:dyDescent="0.25">
      <c r="C264"/>
      <c r="D264"/>
      <c r="L264" s="446" t="s">
        <v>870</v>
      </c>
      <c r="M264" s="446">
        <v>2</v>
      </c>
      <c r="N264" s="446">
        <v>1</v>
      </c>
      <c r="O264" s="446" t="s">
        <v>700</v>
      </c>
      <c r="P264" s="449" t="s">
        <v>719</v>
      </c>
      <c r="Q264" s="449"/>
      <c r="R264" s="449"/>
      <c r="S264" s="449" t="s">
        <v>872</v>
      </c>
      <c r="T264" s="449" t="s">
        <v>1055</v>
      </c>
      <c r="U264" s="452">
        <v>0</v>
      </c>
      <c r="V2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4" s="272" t="str">
        <f>IFERROR(SUMIFS(TransUnitCost[Miles],TransUnitCost[Grouping_ID],TransTonsShort[[#This Row],[Grouping_ID]],TransUnitCost[Transp_ID],TransTonsShort[[#This Row],[Transp_ID]])*TransTonsShort[[#This Row],[Trans_Tons_All]]/TransTonsShort[[#This Row],[Trans_Tons_All]],"")</f>
        <v/>
      </c>
      <c r="X264" s="386" t="str">
        <f>TransTonsShort[[#This Row],[Grouping_ID]]&amp;"-"&amp;TransTonsShort[[#This Row],[Sector_ID]]</f>
        <v>2-1</v>
      </c>
      <c r="Y2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4" s="421">
        <f>INDEX(LandfillFees[Disposal Tip Fee 2025],MATCH(TransTonsShort[[#This Row],[Grouping_ID]],LandfillFees[Grouping_ID],0))</f>
        <v>72.030938699729589</v>
      </c>
      <c r="AA264" s="102">
        <f>IF(OR(TransTonsShort[[#This Row],[CollectionStream_ID]]="03",TransTonsShort[[#This Row],[CollectionStream_ID]]="04",TransTonsShort[[#This Row],[CollectionStream_ID]]="13"),0,TransTonsShort[[#This Row],[Trans_Tons_All]]*TransTonsShort[[#This Row],[Disposal_Fee]])</f>
        <v>0</v>
      </c>
      <c r="AF264" s="446" t="s">
        <v>1437</v>
      </c>
      <c r="AG264" s="442" t="str">
        <f>LEFT(SecondaryTransport[[#This Row],[Scenario_MRF_Bale_ID]],2)</f>
        <v>S1</v>
      </c>
      <c r="AH264" s="181" t="str">
        <f>LEFT(RIGHT(SecondaryTransport[[#This Row],[Scenario_MRF_Bale_ID]],10),2)</f>
        <v>04</v>
      </c>
      <c r="AI264" s="181" t="str">
        <f>INDEX(MRFs[MRF_Name],MATCH(SecondaryTransport[[#This Row],[MRF_ID]],MRFs[MRF_ID],0))</f>
        <v>1 MRF for SS with fiber and container upgrades (Portland)</v>
      </c>
      <c r="AJ264" s="181" t="str">
        <f>RIGHT(SecondaryTransport[[#This Row],[Scenario_MRF_Bale_ID]],7)</f>
        <v>2000-03</v>
      </c>
      <c r="AK264" s="181" t="str">
        <f>INDEX(Bales[Bale_Name],MATCH(SecondaryTransport[[#This Row],[Bale_ID]],Bales[Bale_ID],0))</f>
        <v>HDPE #2 natural bottles </v>
      </c>
      <c r="AL264" s="443">
        <f>INDEX(BaleMover[Total_Baled_tons],MATCH(SecondaryTransport[[#This Row],[Scenario_MRF_Bale_ID]],BaleMover[Scenario_MRF_Bale_ID],0))</f>
        <v>554.29025509330188</v>
      </c>
      <c r="AM264" s="443">
        <f>IF(INDEX(BaleMover[Miles],MATCH(SecondaryTransport[[#This Row],[Scenario_MRF_Bale_ID]],BaleMover[Scenario_MRF_Bale_ID],0))="",0,INDEX(BaleMover[Miles],MATCH(SecondaryTransport[[#This Row],[Scenario_MRF_Bale_ID]],BaleMover[Scenario_MRF_Bale_ID],0)))</f>
        <v>315</v>
      </c>
      <c r="AN264" s="251">
        <f>IF(SecondaryTransport[[#This Row],[Bale_ID]]="9000-01","costs elsewhere",SecondaryTransport[[#This Row],[Total_Baled_tons]]*SecondaryTransport[[#This Row],[Miles]])</f>
        <v>174601.43035439009</v>
      </c>
      <c r="AO264" s="352" t="str">
        <f>IF(LEFT(SecondaryTransport[[#This Row],[Bale_ID]],1)*1=5,IF(OR(SecondaryTransport[[#This Row],[MRF_ID]]="02",SecondaryTransport[[#This Row],[MRF_ID]]="08"),2,1),"")</f>
        <v/>
      </c>
      <c r="AP2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4" s="224" t="str">
        <f>IFERROR(IF(1*LEFT(SecondaryTransport[[#This Row],[Bale_ID]],1)=5,SecondaryTransport[[#This Row],[Ton-Miles]]*SecondaryTransport[[#This Row],[Cost_Per_Ton-Mile]],""),"")</f>
        <v/>
      </c>
      <c r="AS264" s="224">
        <f>IFERROR(IF(SecondaryTransport[[#This Row],[Container_Transfer]]="",(SecondaryTransport[[#This Row],[Ton-Miles]]*SecondaryTransport[[#This Row],[Cost_Per_Ton-Mile]]),""),"")</f>
        <v>24444.200249614616</v>
      </c>
    </row>
    <row r="265" spans="3:45" ht="15" x14ac:dyDescent="0.25">
      <c r="C265"/>
      <c r="D265"/>
      <c r="L265" s="446" t="s">
        <v>870</v>
      </c>
      <c r="M265" s="446">
        <v>3</v>
      </c>
      <c r="N265" s="446">
        <v>1</v>
      </c>
      <c r="O265" s="446" t="s">
        <v>700</v>
      </c>
      <c r="P265" s="449" t="s">
        <v>719</v>
      </c>
      <c r="Q265" s="449"/>
      <c r="R265" s="449"/>
      <c r="S265" s="449" t="s">
        <v>872</v>
      </c>
      <c r="T265" s="449" t="s">
        <v>1055</v>
      </c>
      <c r="U265" s="452">
        <v>0</v>
      </c>
      <c r="V2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5" s="272" t="str">
        <f>IFERROR(SUMIFS(TransUnitCost[Miles],TransUnitCost[Grouping_ID],TransTonsShort[[#This Row],[Grouping_ID]],TransUnitCost[Transp_ID],TransTonsShort[[#This Row],[Transp_ID]])*TransTonsShort[[#This Row],[Trans_Tons_All]]/TransTonsShort[[#This Row],[Trans_Tons_All]],"")</f>
        <v/>
      </c>
      <c r="X265" s="386" t="str">
        <f>TransTonsShort[[#This Row],[Grouping_ID]]&amp;"-"&amp;TransTonsShort[[#This Row],[Sector_ID]]</f>
        <v>3-1</v>
      </c>
      <c r="Y2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5" s="421">
        <f>INDEX(LandfillFees[Disposal Tip Fee 2025],MATCH(TransTonsShort[[#This Row],[Grouping_ID]],LandfillFees[Grouping_ID],0))</f>
        <v>72.030938699729589</v>
      </c>
      <c r="AA265" s="102">
        <f>IF(OR(TransTonsShort[[#This Row],[CollectionStream_ID]]="03",TransTonsShort[[#This Row],[CollectionStream_ID]]="04",TransTonsShort[[#This Row],[CollectionStream_ID]]="13"),0,TransTonsShort[[#This Row],[Trans_Tons_All]]*TransTonsShort[[#This Row],[Disposal_Fee]])</f>
        <v>0</v>
      </c>
      <c r="AF265" s="446" t="s">
        <v>1438</v>
      </c>
      <c r="AG265" s="442" t="str">
        <f>LEFT(SecondaryTransport[[#This Row],[Scenario_MRF_Bale_ID]],2)</f>
        <v>S2</v>
      </c>
      <c r="AH265" s="181" t="str">
        <f>LEFT(RIGHT(SecondaryTransport[[#This Row],[Scenario_MRF_Bale_ID]],10),2)</f>
        <v>04</v>
      </c>
      <c r="AI265" s="181" t="str">
        <f>INDEX(MRFs[MRF_Name],MATCH(SecondaryTransport[[#This Row],[MRF_ID]],MRFs[MRF_ID],0))</f>
        <v>1 MRF for SS with fiber and container upgrades (Portland)</v>
      </c>
      <c r="AJ265" s="181" t="str">
        <f>RIGHT(SecondaryTransport[[#This Row],[Scenario_MRF_Bale_ID]],7)</f>
        <v>2000-03</v>
      </c>
      <c r="AK265" s="181" t="str">
        <f>INDEX(Bales[Bale_Name],MATCH(SecondaryTransport[[#This Row],[Bale_ID]],Bales[Bale_ID],0))</f>
        <v>HDPE #2 natural bottles </v>
      </c>
      <c r="AL265" s="443">
        <f>INDEX(BaleMover[Total_Baled_tons],MATCH(SecondaryTransport[[#This Row],[Scenario_MRF_Bale_ID]],BaleMover[Scenario_MRF_Bale_ID],0))</f>
        <v>591.85195084164275</v>
      </c>
      <c r="AM265" s="443">
        <f>IF(INDEX(BaleMover[Miles],MATCH(SecondaryTransport[[#This Row],[Scenario_MRF_Bale_ID]],BaleMover[Scenario_MRF_Bale_ID],0))="",0,INDEX(BaleMover[Miles],MATCH(SecondaryTransport[[#This Row],[Scenario_MRF_Bale_ID]],BaleMover[Scenario_MRF_Bale_ID],0)))</f>
        <v>315</v>
      </c>
      <c r="AN265" s="251">
        <f>IF(SecondaryTransport[[#This Row],[Bale_ID]]="9000-01","costs elsewhere",SecondaryTransport[[#This Row],[Total_Baled_tons]]*SecondaryTransport[[#This Row],[Miles]])</f>
        <v>186433.36451511746</v>
      </c>
      <c r="AO265" s="352" t="str">
        <f>IF(LEFT(SecondaryTransport[[#This Row],[Bale_ID]],1)*1=5,IF(OR(SecondaryTransport[[#This Row],[MRF_ID]]="02",SecondaryTransport[[#This Row],[MRF_ID]]="08"),2,1),"")</f>
        <v/>
      </c>
      <c r="AP2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5" s="224" t="str">
        <f>IFERROR(IF(1*LEFT(SecondaryTransport[[#This Row],[Bale_ID]],1)=5,SecondaryTransport[[#This Row],[Ton-Miles]]*SecondaryTransport[[#This Row],[Cost_Per_Ton-Mile]],""),"")</f>
        <v/>
      </c>
      <c r="AS265" s="224">
        <f>IFERROR(IF(SecondaryTransport[[#This Row],[Container_Transfer]]="",(SecondaryTransport[[#This Row],[Ton-Miles]]*SecondaryTransport[[#This Row],[Cost_Per_Ton-Mile]]),""),"")</f>
        <v>26100.671032116446</v>
      </c>
    </row>
    <row r="266" spans="3:45" ht="15" x14ac:dyDescent="0.25">
      <c r="C266"/>
      <c r="D266"/>
      <c r="L266" s="446" t="s">
        <v>870</v>
      </c>
      <c r="M266" s="446">
        <v>4</v>
      </c>
      <c r="N266" s="446">
        <v>1</v>
      </c>
      <c r="O266" s="446" t="s">
        <v>700</v>
      </c>
      <c r="P266" s="449" t="s">
        <v>719</v>
      </c>
      <c r="Q266" s="449"/>
      <c r="R266" s="449"/>
      <c r="S266" s="449" t="s">
        <v>872</v>
      </c>
      <c r="T266" s="449" t="s">
        <v>1055</v>
      </c>
      <c r="U266" s="452">
        <v>0</v>
      </c>
      <c r="V2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6" s="272" t="str">
        <f>IFERROR(SUMIFS(TransUnitCost[Miles],TransUnitCost[Grouping_ID],TransTonsShort[[#This Row],[Grouping_ID]],TransUnitCost[Transp_ID],TransTonsShort[[#This Row],[Transp_ID]])*TransTonsShort[[#This Row],[Trans_Tons_All]]/TransTonsShort[[#This Row],[Trans_Tons_All]],"")</f>
        <v/>
      </c>
      <c r="X266" s="386" t="str">
        <f>TransTonsShort[[#This Row],[Grouping_ID]]&amp;"-"&amp;TransTonsShort[[#This Row],[Sector_ID]]</f>
        <v>4-1</v>
      </c>
      <c r="Y2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6" s="421">
        <f>INDEX(LandfillFees[Disposal Tip Fee 2025],MATCH(TransTonsShort[[#This Row],[Grouping_ID]],LandfillFees[Grouping_ID],0))</f>
        <v>72.030938699729589</v>
      </c>
      <c r="AA266" s="102">
        <f>IF(OR(TransTonsShort[[#This Row],[CollectionStream_ID]]="03",TransTonsShort[[#This Row],[CollectionStream_ID]]="04",TransTonsShort[[#This Row],[CollectionStream_ID]]="13"),0,TransTonsShort[[#This Row],[Trans_Tons_All]]*TransTonsShort[[#This Row],[Disposal_Fee]])</f>
        <v>0</v>
      </c>
      <c r="AF266" s="446" t="s">
        <v>1439</v>
      </c>
      <c r="AG266" s="442" t="str">
        <f>LEFT(SecondaryTransport[[#This Row],[Scenario_MRF_Bale_ID]],2)</f>
        <v>S3</v>
      </c>
      <c r="AH266" s="181" t="str">
        <f>LEFT(RIGHT(SecondaryTransport[[#This Row],[Scenario_MRF_Bale_ID]],10),2)</f>
        <v>04</v>
      </c>
      <c r="AI266" s="181" t="str">
        <f>INDEX(MRFs[MRF_Name],MATCH(SecondaryTransport[[#This Row],[MRF_ID]],MRFs[MRF_ID],0))</f>
        <v>1 MRF for SS with fiber and container upgrades (Portland)</v>
      </c>
      <c r="AJ266" s="181" t="str">
        <f>RIGHT(SecondaryTransport[[#This Row],[Scenario_MRF_Bale_ID]],7)</f>
        <v>2000-03</v>
      </c>
      <c r="AK266" s="181" t="str">
        <f>INDEX(Bales[Bale_Name],MATCH(SecondaryTransport[[#This Row],[Bale_ID]],Bales[Bale_ID],0))</f>
        <v>HDPE #2 natural bottles </v>
      </c>
      <c r="AL266" s="443">
        <f>INDEX(BaleMover[Total_Baled_tons],MATCH(SecondaryTransport[[#This Row],[Scenario_MRF_Bale_ID]],BaleMover[Scenario_MRF_Bale_ID],0))</f>
        <v>589.63078376476335</v>
      </c>
      <c r="AM266" s="443">
        <f>IF(INDEX(BaleMover[Miles],MATCH(SecondaryTransport[[#This Row],[Scenario_MRF_Bale_ID]],BaleMover[Scenario_MRF_Bale_ID],0))="",0,INDEX(BaleMover[Miles],MATCH(SecondaryTransport[[#This Row],[Scenario_MRF_Bale_ID]],BaleMover[Scenario_MRF_Bale_ID],0)))</f>
        <v>315</v>
      </c>
      <c r="AN266" s="251">
        <f>IF(SecondaryTransport[[#This Row],[Bale_ID]]="9000-01","costs elsewhere",SecondaryTransport[[#This Row],[Total_Baled_tons]]*SecondaryTransport[[#This Row],[Miles]])</f>
        <v>185733.69688590046</v>
      </c>
      <c r="AO266" s="352" t="str">
        <f>IF(LEFT(SecondaryTransport[[#This Row],[Bale_ID]],1)*1=5,IF(OR(SecondaryTransport[[#This Row],[MRF_ID]]="02",SecondaryTransport[[#This Row],[MRF_ID]]="08"),2,1),"")</f>
        <v/>
      </c>
      <c r="AP2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6" s="224" t="str">
        <f>IFERROR(IF(1*LEFT(SecondaryTransport[[#This Row],[Bale_ID]],1)=5,SecondaryTransport[[#This Row],[Ton-Miles]]*SecondaryTransport[[#This Row],[Cost_Per_Ton-Mile]],""),"")</f>
        <v/>
      </c>
      <c r="AS266" s="224">
        <f>IFERROR(IF(SecondaryTransport[[#This Row],[Container_Transfer]]="",(SecondaryTransport[[#This Row],[Ton-Miles]]*SecondaryTransport[[#This Row],[Cost_Per_Ton-Mile]]),""),"")</f>
        <v>26002.717564026065</v>
      </c>
    </row>
    <row r="267" spans="3:45" ht="15" x14ac:dyDescent="0.25">
      <c r="C267"/>
      <c r="D267"/>
      <c r="L267" s="446" t="s">
        <v>870</v>
      </c>
      <c r="M267" s="446">
        <v>1</v>
      </c>
      <c r="N267" s="446">
        <v>1</v>
      </c>
      <c r="O267" s="446" t="s">
        <v>700</v>
      </c>
      <c r="P267" s="449" t="s">
        <v>700</v>
      </c>
      <c r="Q267" s="449"/>
      <c r="R267" s="449"/>
      <c r="S267" s="449" t="s">
        <v>872</v>
      </c>
      <c r="T267" s="449" t="s">
        <v>701</v>
      </c>
      <c r="U267" s="452">
        <v>0</v>
      </c>
      <c r="V2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7" s="272" t="str">
        <f>IFERROR(SUMIFS(TransUnitCost[Miles],TransUnitCost[Grouping_ID],TransTonsShort[[#This Row],[Grouping_ID]],TransUnitCost[Transp_ID],TransTonsShort[[#This Row],[Transp_ID]])*TransTonsShort[[#This Row],[Trans_Tons_All]]/TransTonsShort[[#This Row],[Trans_Tons_All]],"")</f>
        <v/>
      </c>
      <c r="X267" s="386" t="str">
        <f>TransTonsShort[[#This Row],[Grouping_ID]]&amp;"-"&amp;TransTonsShort[[#This Row],[Sector_ID]]</f>
        <v>1-1</v>
      </c>
      <c r="Y2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7" s="421">
        <f>INDEX(LandfillFees[Disposal Tip Fee 2025],MATCH(TransTonsShort[[#This Row],[Grouping_ID]],LandfillFees[Grouping_ID],0))</f>
        <v>134.68</v>
      </c>
      <c r="AA267" s="102">
        <f>IF(OR(TransTonsShort[[#This Row],[CollectionStream_ID]]="03",TransTonsShort[[#This Row],[CollectionStream_ID]]="04",TransTonsShort[[#This Row],[CollectionStream_ID]]="13"),0,TransTonsShort[[#This Row],[Trans_Tons_All]]*TransTonsShort[[#This Row],[Disposal_Fee]])</f>
        <v>0</v>
      </c>
      <c r="AF267" s="446" t="s">
        <v>1440</v>
      </c>
      <c r="AG267" s="442" t="str">
        <f>LEFT(SecondaryTransport[[#This Row],[Scenario_MRF_Bale_ID]],2)</f>
        <v>S0</v>
      </c>
      <c r="AH267" s="181" t="str">
        <f>LEFT(RIGHT(SecondaryTransport[[#This Row],[Scenario_MRF_Bale_ID]],10),2)</f>
        <v>04</v>
      </c>
      <c r="AI267" s="181" t="str">
        <f>INDEX(MRFs[MRF_Name],MATCH(SecondaryTransport[[#This Row],[MRF_ID]],MRFs[MRF_ID],0))</f>
        <v>1 MRF for SS with fiber and container upgrades (Portland)</v>
      </c>
      <c r="AJ267" s="181" t="str">
        <f>RIGHT(SecondaryTransport[[#This Row],[Scenario_MRF_Bale_ID]],7)</f>
        <v>2000-04</v>
      </c>
      <c r="AK267" s="181" t="str">
        <f>INDEX(Bales[Bale_Name],MATCH(SecondaryTransport[[#This Row],[Bale_ID]],Bales[Bale_ID],0))</f>
        <v>HDPE #2 colored bottles </v>
      </c>
      <c r="AL267" s="443">
        <f>INDEX(BaleMover[Total_Baled_tons],MATCH(SecondaryTransport[[#This Row],[Scenario_MRF_Bale_ID]],BaleMover[Scenario_MRF_Bale_ID],0))</f>
        <v>809.23628105293278</v>
      </c>
      <c r="AM267" s="443">
        <f>IF(INDEX(BaleMover[Miles],MATCH(SecondaryTransport[[#This Row],[Scenario_MRF_Bale_ID]],BaleMover[Scenario_MRF_Bale_ID],0))="",0,INDEX(BaleMover[Miles],MATCH(SecondaryTransport[[#This Row],[Scenario_MRF_Bale_ID]],BaleMover[Scenario_MRF_Bale_ID],0)))</f>
        <v>315</v>
      </c>
      <c r="AN267" s="251">
        <f>IF(SecondaryTransport[[#This Row],[Bale_ID]]="9000-01","costs elsewhere",SecondaryTransport[[#This Row],[Total_Baled_tons]]*SecondaryTransport[[#This Row],[Miles]])</f>
        <v>254909.42853167382</v>
      </c>
      <c r="AO267" s="352" t="str">
        <f>IF(LEFT(SecondaryTransport[[#This Row],[Bale_ID]],1)*1=5,IF(OR(SecondaryTransport[[#This Row],[MRF_ID]]="02",SecondaryTransport[[#This Row],[MRF_ID]]="08"),2,1),"")</f>
        <v/>
      </c>
      <c r="AP2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7" s="224" t="str">
        <f>IFERROR(IF(1*LEFT(SecondaryTransport[[#This Row],[Bale_ID]],1)=5,SecondaryTransport[[#This Row],[Ton-Miles]]*SecondaryTransport[[#This Row],[Cost_Per_Ton-Mile]],""),"")</f>
        <v/>
      </c>
      <c r="AS267" s="224">
        <f>IFERROR(IF(SecondaryTransport[[#This Row],[Container_Transfer]]="",(SecondaryTransport[[#This Row],[Ton-Miles]]*SecondaryTransport[[#This Row],[Cost_Per_Ton-Mile]]),""),"")</f>
        <v>35687.319994434336</v>
      </c>
    </row>
    <row r="268" spans="3:45" ht="15" x14ac:dyDescent="0.25">
      <c r="C268"/>
      <c r="D268"/>
      <c r="L268" s="446" t="s">
        <v>870</v>
      </c>
      <c r="M268" s="446">
        <v>2</v>
      </c>
      <c r="N268" s="446">
        <v>1</v>
      </c>
      <c r="O268" s="446" t="s">
        <v>700</v>
      </c>
      <c r="P268" s="449" t="s">
        <v>700</v>
      </c>
      <c r="Q268" s="449"/>
      <c r="R268" s="449"/>
      <c r="S268" s="449" t="s">
        <v>872</v>
      </c>
      <c r="T268" s="449" t="s">
        <v>701</v>
      </c>
      <c r="U268" s="452">
        <v>0</v>
      </c>
      <c r="V2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8" s="272" t="str">
        <f>IFERROR(SUMIFS(TransUnitCost[Miles],TransUnitCost[Grouping_ID],TransTonsShort[[#This Row],[Grouping_ID]],TransUnitCost[Transp_ID],TransTonsShort[[#This Row],[Transp_ID]])*TransTonsShort[[#This Row],[Trans_Tons_All]]/TransTonsShort[[#This Row],[Trans_Tons_All]],"")</f>
        <v/>
      </c>
      <c r="X268" s="386" t="str">
        <f>TransTonsShort[[#This Row],[Grouping_ID]]&amp;"-"&amp;TransTonsShort[[#This Row],[Sector_ID]]</f>
        <v>2-1</v>
      </c>
      <c r="Y2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8" s="421">
        <f>INDEX(LandfillFees[Disposal Tip Fee 2025],MATCH(TransTonsShort[[#This Row],[Grouping_ID]],LandfillFees[Grouping_ID],0))</f>
        <v>72.030938699729589</v>
      </c>
      <c r="AA268" s="102">
        <f>IF(OR(TransTonsShort[[#This Row],[CollectionStream_ID]]="03",TransTonsShort[[#This Row],[CollectionStream_ID]]="04",TransTonsShort[[#This Row],[CollectionStream_ID]]="13"),0,TransTonsShort[[#This Row],[Trans_Tons_All]]*TransTonsShort[[#This Row],[Disposal_Fee]])</f>
        <v>0</v>
      </c>
      <c r="AF268" s="446" t="s">
        <v>1441</v>
      </c>
      <c r="AG268" s="442" t="str">
        <f>LEFT(SecondaryTransport[[#This Row],[Scenario_MRF_Bale_ID]],2)</f>
        <v>S1</v>
      </c>
      <c r="AH268" s="181" t="str">
        <f>LEFT(RIGHT(SecondaryTransport[[#This Row],[Scenario_MRF_Bale_ID]],10),2)</f>
        <v>04</v>
      </c>
      <c r="AI268" s="181" t="str">
        <f>INDEX(MRFs[MRF_Name],MATCH(SecondaryTransport[[#This Row],[MRF_ID]],MRFs[MRF_ID],0))</f>
        <v>1 MRF for SS with fiber and container upgrades (Portland)</v>
      </c>
      <c r="AJ268" s="181" t="str">
        <f>RIGHT(SecondaryTransport[[#This Row],[Scenario_MRF_Bale_ID]],7)</f>
        <v>2000-04</v>
      </c>
      <c r="AK268" s="181" t="str">
        <f>INDEX(Bales[Bale_Name],MATCH(SecondaryTransport[[#This Row],[Bale_ID]],Bales[Bale_ID],0))</f>
        <v>HDPE #2 colored bottles </v>
      </c>
      <c r="AL268" s="443">
        <f>INDEX(BaleMover[Total_Baled_tons],MATCH(SecondaryTransport[[#This Row],[Scenario_MRF_Bale_ID]],BaleMover[Scenario_MRF_Bale_ID],0))</f>
        <v>762.14910075329078</v>
      </c>
      <c r="AM268" s="443">
        <f>IF(INDEX(BaleMover[Miles],MATCH(SecondaryTransport[[#This Row],[Scenario_MRF_Bale_ID]],BaleMover[Scenario_MRF_Bale_ID],0))="",0,INDEX(BaleMover[Miles],MATCH(SecondaryTransport[[#This Row],[Scenario_MRF_Bale_ID]],BaleMover[Scenario_MRF_Bale_ID],0)))</f>
        <v>315</v>
      </c>
      <c r="AN268" s="251">
        <f>IF(SecondaryTransport[[#This Row],[Bale_ID]]="9000-01","costs elsewhere",SecondaryTransport[[#This Row],[Total_Baled_tons]]*SecondaryTransport[[#This Row],[Miles]])</f>
        <v>240076.9667372866</v>
      </c>
      <c r="AO268" s="352" t="str">
        <f>IF(LEFT(SecondaryTransport[[#This Row],[Bale_ID]],1)*1=5,IF(OR(SecondaryTransport[[#This Row],[MRF_ID]]="02",SecondaryTransport[[#This Row],[MRF_ID]]="08"),2,1),"")</f>
        <v/>
      </c>
      <c r="AP2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8" s="224" t="str">
        <f>IFERROR(IF(1*LEFT(SecondaryTransport[[#This Row],[Bale_ID]],1)=5,SecondaryTransport[[#This Row],[Ton-Miles]]*SecondaryTransport[[#This Row],[Cost_Per_Ton-Mile]],""),"")</f>
        <v/>
      </c>
      <c r="AS268" s="224">
        <f>IFERROR(IF(SecondaryTransport[[#This Row],[Container_Transfer]]="",(SecondaryTransport[[#This Row],[Ton-Miles]]*SecondaryTransport[[#This Row],[Cost_Per_Ton-Mile]]),""),"")</f>
        <v>33610.775343220128</v>
      </c>
    </row>
    <row r="269" spans="3:45" ht="15" x14ac:dyDescent="0.25">
      <c r="C269"/>
      <c r="D269"/>
      <c r="L269" s="446" t="s">
        <v>870</v>
      </c>
      <c r="M269" s="446">
        <v>3</v>
      </c>
      <c r="N269" s="446">
        <v>1</v>
      </c>
      <c r="O269" s="446" t="s">
        <v>700</v>
      </c>
      <c r="P269" s="449" t="s">
        <v>700</v>
      </c>
      <c r="Q269" s="449"/>
      <c r="R269" s="449"/>
      <c r="S269" s="449" t="s">
        <v>872</v>
      </c>
      <c r="T269" s="449" t="s">
        <v>701</v>
      </c>
      <c r="U269" s="452">
        <v>0</v>
      </c>
      <c r="V2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69" s="272" t="str">
        <f>IFERROR(SUMIFS(TransUnitCost[Miles],TransUnitCost[Grouping_ID],TransTonsShort[[#This Row],[Grouping_ID]],TransUnitCost[Transp_ID],TransTonsShort[[#This Row],[Transp_ID]])*TransTonsShort[[#This Row],[Trans_Tons_All]]/TransTonsShort[[#This Row],[Trans_Tons_All]],"")</f>
        <v/>
      </c>
      <c r="X269" s="386" t="str">
        <f>TransTonsShort[[#This Row],[Grouping_ID]]&amp;"-"&amp;TransTonsShort[[#This Row],[Sector_ID]]</f>
        <v>3-1</v>
      </c>
      <c r="Y2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69" s="421">
        <f>INDEX(LandfillFees[Disposal Tip Fee 2025],MATCH(TransTonsShort[[#This Row],[Grouping_ID]],LandfillFees[Grouping_ID],0))</f>
        <v>72.030938699729589</v>
      </c>
      <c r="AA269" s="102">
        <f>IF(OR(TransTonsShort[[#This Row],[CollectionStream_ID]]="03",TransTonsShort[[#This Row],[CollectionStream_ID]]="04",TransTonsShort[[#This Row],[CollectionStream_ID]]="13"),0,TransTonsShort[[#This Row],[Trans_Tons_All]]*TransTonsShort[[#This Row],[Disposal_Fee]])</f>
        <v>0</v>
      </c>
      <c r="AF269" s="446" t="s">
        <v>1442</v>
      </c>
      <c r="AG269" s="442" t="str">
        <f>LEFT(SecondaryTransport[[#This Row],[Scenario_MRF_Bale_ID]],2)</f>
        <v>S2</v>
      </c>
      <c r="AH269" s="181" t="str">
        <f>LEFT(RIGHT(SecondaryTransport[[#This Row],[Scenario_MRF_Bale_ID]],10),2)</f>
        <v>04</v>
      </c>
      <c r="AI269" s="181" t="str">
        <f>INDEX(MRFs[MRF_Name],MATCH(SecondaryTransport[[#This Row],[MRF_ID]],MRFs[MRF_ID],0))</f>
        <v>1 MRF for SS with fiber and container upgrades (Portland)</v>
      </c>
      <c r="AJ269" s="181" t="str">
        <f>RIGHT(SecondaryTransport[[#This Row],[Scenario_MRF_Bale_ID]],7)</f>
        <v>2000-04</v>
      </c>
      <c r="AK269" s="181" t="str">
        <f>INDEX(Bales[Bale_Name],MATCH(SecondaryTransport[[#This Row],[Bale_ID]],Bales[Bale_ID],0))</f>
        <v>HDPE #2 colored bottles </v>
      </c>
      <c r="AL269" s="443">
        <f>INDEX(BaleMover[Total_Baled_tons],MATCH(SecondaryTransport[[#This Row],[Scenario_MRF_Bale_ID]],BaleMover[Scenario_MRF_Bale_ID],0))</f>
        <v>813.79643240725909</v>
      </c>
      <c r="AM269" s="443">
        <f>IF(INDEX(BaleMover[Miles],MATCH(SecondaryTransport[[#This Row],[Scenario_MRF_Bale_ID]],BaleMover[Scenario_MRF_Bale_ID],0))="",0,INDEX(BaleMover[Miles],MATCH(SecondaryTransport[[#This Row],[Scenario_MRF_Bale_ID]],BaleMover[Scenario_MRF_Bale_ID],0)))</f>
        <v>315</v>
      </c>
      <c r="AN269" s="251">
        <f>IF(SecondaryTransport[[#This Row],[Bale_ID]]="9000-01","costs elsewhere",SecondaryTransport[[#This Row],[Total_Baled_tons]]*SecondaryTransport[[#This Row],[Miles]])</f>
        <v>256345.87620828662</v>
      </c>
      <c r="AO269" s="352" t="str">
        <f>IF(LEFT(SecondaryTransport[[#This Row],[Bale_ID]],1)*1=5,IF(OR(SecondaryTransport[[#This Row],[MRF_ID]]="02",SecondaryTransport[[#This Row],[MRF_ID]]="08"),2,1),"")</f>
        <v/>
      </c>
      <c r="AP2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6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69" s="224" t="str">
        <f>IFERROR(IF(1*LEFT(SecondaryTransport[[#This Row],[Bale_ID]],1)=5,SecondaryTransport[[#This Row],[Ton-Miles]]*SecondaryTransport[[#This Row],[Cost_Per_Ton-Mile]],""),"")</f>
        <v/>
      </c>
      <c r="AS269" s="224">
        <f>IFERROR(IF(SecondaryTransport[[#This Row],[Container_Transfer]]="",(SecondaryTransport[[#This Row],[Ton-Miles]]*SecondaryTransport[[#This Row],[Cost_Per_Ton-Mile]]),""),"")</f>
        <v>35888.422669160129</v>
      </c>
    </row>
    <row r="270" spans="3:45" ht="15" x14ac:dyDescent="0.25">
      <c r="C270"/>
      <c r="D270"/>
      <c r="L270" s="446" t="s">
        <v>870</v>
      </c>
      <c r="M270" s="446">
        <v>4</v>
      </c>
      <c r="N270" s="446">
        <v>1</v>
      </c>
      <c r="O270" s="446" t="s">
        <v>700</v>
      </c>
      <c r="P270" s="449" t="s">
        <v>700</v>
      </c>
      <c r="Q270" s="449"/>
      <c r="R270" s="449"/>
      <c r="S270" s="449" t="s">
        <v>872</v>
      </c>
      <c r="T270" s="449" t="s">
        <v>701</v>
      </c>
      <c r="U270" s="452">
        <v>0</v>
      </c>
      <c r="V2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0" s="272" t="str">
        <f>IFERROR(SUMIFS(TransUnitCost[Miles],TransUnitCost[Grouping_ID],TransTonsShort[[#This Row],[Grouping_ID]],TransUnitCost[Transp_ID],TransTonsShort[[#This Row],[Transp_ID]])*TransTonsShort[[#This Row],[Trans_Tons_All]]/TransTonsShort[[#This Row],[Trans_Tons_All]],"")</f>
        <v/>
      </c>
      <c r="X270" s="386" t="str">
        <f>TransTonsShort[[#This Row],[Grouping_ID]]&amp;"-"&amp;TransTonsShort[[#This Row],[Sector_ID]]</f>
        <v>4-1</v>
      </c>
      <c r="Y2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0" s="421">
        <f>INDEX(LandfillFees[Disposal Tip Fee 2025],MATCH(TransTonsShort[[#This Row],[Grouping_ID]],LandfillFees[Grouping_ID],0))</f>
        <v>72.030938699729589</v>
      </c>
      <c r="AA270" s="102">
        <f>IF(OR(TransTonsShort[[#This Row],[CollectionStream_ID]]="03",TransTonsShort[[#This Row],[CollectionStream_ID]]="04",TransTonsShort[[#This Row],[CollectionStream_ID]]="13"),0,TransTonsShort[[#This Row],[Trans_Tons_All]]*TransTonsShort[[#This Row],[Disposal_Fee]])</f>
        <v>0</v>
      </c>
      <c r="AF270" s="446" t="s">
        <v>1443</v>
      </c>
      <c r="AG270" s="442" t="str">
        <f>LEFT(SecondaryTransport[[#This Row],[Scenario_MRF_Bale_ID]],2)</f>
        <v>S3</v>
      </c>
      <c r="AH270" s="181" t="str">
        <f>LEFT(RIGHT(SecondaryTransport[[#This Row],[Scenario_MRF_Bale_ID]],10),2)</f>
        <v>04</v>
      </c>
      <c r="AI270" s="181" t="str">
        <f>INDEX(MRFs[MRF_Name],MATCH(SecondaryTransport[[#This Row],[MRF_ID]],MRFs[MRF_ID],0))</f>
        <v>1 MRF for SS with fiber and container upgrades (Portland)</v>
      </c>
      <c r="AJ270" s="181" t="str">
        <f>RIGHT(SecondaryTransport[[#This Row],[Scenario_MRF_Bale_ID]],7)</f>
        <v>2000-04</v>
      </c>
      <c r="AK270" s="181" t="str">
        <f>INDEX(Bales[Bale_Name],MATCH(SecondaryTransport[[#This Row],[Bale_ID]],Bales[Bale_ID],0))</f>
        <v>HDPE #2 colored bottles </v>
      </c>
      <c r="AL270" s="443">
        <f>INDEX(BaleMover[Total_Baled_tons],MATCH(SecondaryTransport[[#This Row],[Scenario_MRF_Bale_ID]],BaleMover[Scenario_MRF_Bale_ID],0))</f>
        <v>810.74232767654951</v>
      </c>
      <c r="AM270" s="443">
        <f>IF(INDEX(BaleMover[Miles],MATCH(SecondaryTransport[[#This Row],[Scenario_MRF_Bale_ID]],BaleMover[Scenario_MRF_Bale_ID],0))="",0,INDEX(BaleMover[Miles],MATCH(SecondaryTransport[[#This Row],[Scenario_MRF_Bale_ID]],BaleMover[Scenario_MRF_Bale_ID],0)))</f>
        <v>315</v>
      </c>
      <c r="AN270" s="251">
        <f>IF(SecondaryTransport[[#This Row],[Bale_ID]]="9000-01","costs elsewhere",SecondaryTransport[[#This Row],[Total_Baled_tons]]*SecondaryTransport[[#This Row],[Miles]])</f>
        <v>255383.83321811308</v>
      </c>
      <c r="AO270" s="352" t="str">
        <f>IF(LEFT(SecondaryTransport[[#This Row],[Bale_ID]],1)*1=5,IF(OR(SecondaryTransport[[#This Row],[MRF_ID]]="02",SecondaryTransport[[#This Row],[MRF_ID]]="08"),2,1),"")</f>
        <v/>
      </c>
      <c r="AP2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7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70" s="224" t="str">
        <f>IFERROR(IF(1*LEFT(SecondaryTransport[[#This Row],[Bale_ID]],1)=5,SecondaryTransport[[#This Row],[Ton-Miles]]*SecondaryTransport[[#This Row],[Cost_Per_Ton-Mile]],""),"")</f>
        <v/>
      </c>
      <c r="AS270" s="224">
        <f>IFERROR(IF(SecondaryTransport[[#This Row],[Container_Transfer]]="",(SecondaryTransport[[#This Row],[Ton-Miles]]*SecondaryTransport[[#This Row],[Cost_Per_Ton-Mile]]),""),"")</f>
        <v>35753.736650535837</v>
      </c>
    </row>
    <row r="271" spans="3:45" ht="15" x14ac:dyDescent="0.25">
      <c r="C271"/>
      <c r="D271"/>
      <c r="L271" s="446" t="s">
        <v>870</v>
      </c>
      <c r="M271" s="446">
        <v>1</v>
      </c>
      <c r="N271" s="446">
        <v>1</v>
      </c>
      <c r="O271" s="446" t="s">
        <v>700</v>
      </c>
      <c r="P271" s="449" t="s">
        <v>706</v>
      </c>
      <c r="Q271" s="449"/>
      <c r="R271" s="449"/>
      <c r="S271" s="449" t="s">
        <v>872</v>
      </c>
      <c r="T271" s="449" t="s">
        <v>1025</v>
      </c>
      <c r="U271" s="452">
        <v>0</v>
      </c>
      <c r="V2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1" s="272" t="str">
        <f>IFERROR(SUMIFS(TransUnitCost[Miles],TransUnitCost[Grouping_ID],TransTonsShort[[#This Row],[Grouping_ID]],TransUnitCost[Transp_ID],TransTonsShort[[#This Row],[Transp_ID]])*TransTonsShort[[#This Row],[Trans_Tons_All]]/TransTonsShort[[#This Row],[Trans_Tons_All]],"")</f>
        <v/>
      </c>
      <c r="X271" s="386" t="str">
        <f>TransTonsShort[[#This Row],[Grouping_ID]]&amp;"-"&amp;TransTonsShort[[#This Row],[Sector_ID]]</f>
        <v>1-1</v>
      </c>
      <c r="Y2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1" s="421">
        <f>INDEX(LandfillFees[Disposal Tip Fee 2025],MATCH(TransTonsShort[[#This Row],[Grouping_ID]],LandfillFees[Grouping_ID],0))</f>
        <v>134.68</v>
      </c>
      <c r="AA271" s="102">
        <f>IF(OR(TransTonsShort[[#This Row],[CollectionStream_ID]]="03",TransTonsShort[[#This Row],[CollectionStream_ID]]="04",TransTonsShort[[#This Row],[CollectionStream_ID]]="13"),0,TransTonsShort[[#This Row],[Trans_Tons_All]]*TransTonsShort[[#This Row],[Disposal_Fee]])</f>
        <v>0</v>
      </c>
      <c r="AF271" s="446" t="s">
        <v>1444</v>
      </c>
      <c r="AG271" s="442" t="str">
        <f>LEFT(SecondaryTransport[[#This Row],[Scenario_MRF_Bale_ID]],2)</f>
        <v>S0</v>
      </c>
      <c r="AH271" s="181" t="str">
        <f>LEFT(RIGHT(SecondaryTransport[[#This Row],[Scenario_MRF_Bale_ID]],10),2)</f>
        <v>04</v>
      </c>
      <c r="AI271" s="181" t="str">
        <f>INDEX(MRFs[MRF_Name],MATCH(SecondaryTransport[[#This Row],[MRF_ID]],MRFs[MRF_ID],0))</f>
        <v>1 MRF for SS with fiber and container upgrades (Portland)</v>
      </c>
      <c r="AJ271" s="181" t="str">
        <f>RIGHT(SecondaryTransport[[#This Row],[Scenario_MRF_Bale_ID]],7)</f>
        <v>2000-05</v>
      </c>
      <c r="AK271" s="181" t="str">
        <f>INDEX(Bales[Bale_Name],MATCH(SecondaryTransport[[#This Row],[Bale_ID]],Bales[Bale_ID],0))</f>
        <v>HDPE #2 and PP #5 tubs </v>
      </c>
      <c r="AL271" s="443">
        <f>INDEX(BaleMover[Total_Baled_tons],MATCH(SecondaryTransport[[#This Row],[Scenario_MRF_Bale_ID]],BaleMover[Scenario_MRF_Bale_ID],0))</f>
        <v>336.04014274985116</v>
      </c>
      <c r="AM271" s="443">
        <f>IF(INDEX(BaleMover[Miles],MATCH(SecondaryTransport[[#This Row],[Scenario_MRF_Bale_ID]],BaleMover[Scenario_MRF_Bale_ID],0))="",0,INDEX(BaleMover[Miles],MATCH(SecondaryTransport[[#This Row],[Scenario_MRF_Bale_ID]],BaleMover[Scenario_MRF_Bale_ID],0)))</f>
        <v>20</v>
      </c>
      <c r="AN271" s="251">
        <f>IF(SecondaryTransport[[#This Row],[Bale_ID]]="9000-01","costs elsewhere",SecondaryTransport[[#This Row],[Total_Baled_tons]]*SecondaryTransport[[#This Row],[Miles]])</f>
        <v>6720.8028549970231</v>
      </c>
      <c r="AO271" s="352" t="str">
        <f>IF(LEFT(SecondaryTransport[[#This Row],[Bale_ID]],1)*1=5,IF(OR(SecondaryTransport[[#This Row],[MRF_ID]]="02",SecondaryTransport[[#This Row],[MRF_ID]]="08"),2,1),"")</f>
        <v/>
      </c>
      <c r="AP2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7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71" s="224" t="str">
        <f>IFERROR(IF(1*LEFT(SecondaryTransport[[#This Row],[Bale_ID]],1)=5,SecondaryTransport[[#This Row],[Ton-Miles]]*SecondaryTransport[[#This Row],[Cost_Per_Ton-Mile]],""),"")</f>
        <v/>
      </c>
      <c r="AS271" s="224">
        <f>IFERROR(IF(SecondaryTransport[[#This Row],[Container_Transfer]]="",(SecondaryTransport[[#This Row],[Ton-Miles]]*SecondaryTransport[[#This Row],[Cost_Per_Ton-Mile]]),""),"")</f>
        <v>2083.448885049077</v>
      </c>
    </row>
    <row r="272" spans="3:45" ht="15" x14ac:dyDescent="0.25">
      <c r="C272"/>
      <c r="D272"/>
      <c r="L272" s="446" t="s">
        <v>870</v>
      </c>
      <c r="M272" s="446">
        <v>2</v>
      </c>
      <c r="N272" s="446">
        <v>1</v>
      </c>
      <c r="O272" s="446" t="s">
        <v>700</v>
      </c>
      <c r="P272" s="449" t="s">
        <v>706</v>
      </c>
      <c r="Q272" s="449"/>
      <c r="R272" s="449"/>
      <c r="S272" s="449" t="s">
        <v>872</v>
      </c>
      <c r="T272" s="449" t="s">
        <v>1025</v>
      </c>
      <c r="U272" s="452">
        <v>0</v>
      </c>
      <c r="V2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2" s="272" t="str">
        <f>IFERROR(SUMIFS(TransUnitCost[Miles],TransUnitCost[Grouping_ID],TransTonsShort[[#This Row],[Grouping_ID]],TransUnitCost[Transp_ID],TransTonsShort[[#This Row],[Transp_ID]])*TransTonsShort[[#This Row],[Trans_Tons_All]]/TransTonsShort[[#This Row],[Trans_Tons_All]],"")</f>
        <v/>
      </c>
      <c r="X272" s="386" t="str">
        <f>TransTonsShort[[#This Row],[Grouping_ID]]&amp;"-"&amp;TransTonsShort[[#This Row],[Sector_ID]]</f>
        <v>2-1</v>
      </c>
      <c r="Y2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2" s="421">
        <f>INDEX(LandfillFees[Disposal Tip Fee 2025],MATCH(TransTonsShort[[#This Row],[Grouping_ID]],LandfillFees[Grouping_ID],0))</f>
        <v>72.030938699729589</v>
      </c>
      <c r="AA272" s="102">
        <f>IF(OR(TransTonsShort[[#This Row],[CollectionStream_ID]]="03",TransTonsShort[[#This Row],[CollectionStream_ID]]="04",TransTonsShort[[#This Row],[CollectionStream_ID]]="13"),0,TransTonsShort[[#This Row],[Trans_Tons_All]]*TransTonsShort[[#This Row],[Disposal_Fee]])</f>
        <v>0</v>
      </c>
      <c r="AF272" s="446" t="s">
        <v>1445</v>
      </c>
      <c r="AG272" s="442" t="str">
        <f>LEFT(SecondaryTransport[[#This Row],[Scenario_MRF_Bale_ID]],2)</f>
        <v>S1</v>
      </c>
      <c r="AH272" s="181" t="str">
        <f>LEFT(RIGHT(SecondaryTransport[[#This Row],[Scenario_MRF_Bale_ID]],10),2)</f>
        <v>04</v>
      </c>
      <c r="AI272" s="181" t="str">
        <f>INDEX(MRFs[MRF_Name],MATCH(SecondaryTransport[[#This Row],[MRF_ID]],MRFs[MRF_ID],0))</f>
        <v>1 MRF for SS with fiber and container upgrades (Portland)</v>
      </c>
      <c r="AJ272" s="181" t="str">
        <f>RIGHT(SecondaryTransport[[#This Row],[Scenario_MRF_Bale_ID]],7)</f>
        <v>2000-05</v>
      </c>
      <c r="AK272" s="181" t="str">
        <f>INDEX(Bales[Bale_Name],MATCH(SecondaryTransport[[#This Row],[Bale_ID]],Bales[Bale_ID],0))</f>
        <v>HDPE #2 and PP #5 tubs </v>
      </c>
      <c r="AL272" s="443">
        <f>INDEX(BaleMover[Total_Baled_tons],MATCH(SecondaryTransport[[#This Row],[Scenario_MRF_Bale_ID]],BaleMover[Scenario_MRF_Bale_ID],0))</f>
        <v>258.39467034726459</v>
      </c>
      <c r="AM272" s="443">
        <f>IF(INDEX(BaleMover[Miles],MATCH(SecondaryTransport[[#This Row],[Scenario_MRF_Bale_ID]],BaleMover[Scenario_MRF_Bale_ID],0))="",0,INDEX(BaleMover[Miles],MATCH(SecondaryTransport[[#This Row],[Scenario_MRF_Bale_ID]],BaleMover[Scenario_MRF_Bale_ID],0)))</f>
        <v>20</v>
      </c>
      <c r="AN272" s="251">
        <f>IF(SecondaryTransport[[#This Row],[Bale_ID]]="9000-01","costs elsewhere",SecondaryTransport[[#This Row],[Total_Baled_tons]]*SecondaryTransport[[#This Row],[Miles]])</f>
        <v>5167.8934069452916</v>
      </c>
      <c r="AO272" s="352" t="str">
        <f>IF(LEFT(SecondaryTransport[[#This Row],[Bale_ID]],1)*1=5,IF(OR(SecondaryTransport[[#This Row],[MRF_ID]]="02",SecondaryTransport[[#This Row],[MRF_ID]]="08"),2,1),"")</f>
        <v/>
      </c>
      <c r="AP2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7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72" s="224" t="str">
        <f>IFERROR(IF(1*LEFT(SecondaryTransport[[#This Row],[Bale_ID]],1)=5,SecondaryTransport[[#This Row],[Ton-Miles]]*SecondaryTransport[[#This Row],[Cost_Per_Ton-Mile]],""),"")</f>
        <v/>
      </c>
      <c r="AS272" s="224">
        <f>IFERROR(IF(SecondaryTransport[[#This Row],[Container_Transfer]]="",(SecondaryTransport[[#This Row],[Ton-Miles]]*SecondaryTransport[[#This Row],[Cost_Per_Ton-Mile]]),""),"")</f>
        <v>1602.0469561530404</v>
      </c>
    </row>
    <row r="273" spans="3:45" ht="15" x14ac:dyDescent="0.25">
      <c r="C273"/>
      <c r="D273"/>
      <c r="L273" s="446" t="s">
        <v>870</v>
      </c>
      <c r="M273" s="446">
        <v>3</v>
      </c>
      <c r="N273" s="446">
        <v>1</v>
      </c>
      <c r="O273" s="446" t="s">
        <v>700</v>
      </c>
      <c r="P273" s="449" t="s">
        <v>706</v>
      </c>
      <c r="Q273" s="449"/>
      <c r="R273" s="449"/>
      <c r="S273" s="449" t="s">
        <v>872</v>
      </c>
      <c r="T273" s="449" t="s">
        <v>1025</v>
      </c>
      <c r="U273" s="452">
        <v>0</v>
      </c>
      <c r="V2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3" s="272" t="str">
        <f>IFERROR(SUMIFS(TransUnitCost[Miles],TransUnitCost[Grouping_ID],TransTonsShort[[#This Row],[Grouping_ID]],TransUnitCost[Transp_ID],TransTonsShort[[#This Row],[Transp_ID]])*TransTonsShort[[#This Row],[Trans_Tons_All]]/TransTonsShort[[#This Row],[Trans_Tons_All]],"")</f>
        <v/>
      </c>
      <c r="X273" s="386" t="str">
        <f>TransTonsShort[[#This Row],[Grouping_ID]]&amp;"-"&amp;TransTonsShort[[#This Row],[Sector_ID]]</f>
        <v>3-1</v>
      </c>
      <c r="Y2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3" s="421">
        <f>INDEX(LandfillFees[Disposal Tip Fee 2025],MATCH(TransTonsShort[[#This Row],[Grouping_ID]],LandfillFees[Grouping_ID],0))</f>
        <v>72.030938699729589</v>
      </c>
      <c r="AA273" s="102">
        <f>IF(OR(TransTonsShort[[#This Row],[CollectionStream_ID]]="03",TransTonsShort[[#This Row],[CollectionStream_ID]]="04",TransTonsShort[[#This Row],[CollectionStream_ID]]="13"),0,TransTonsShort[[#This Row],[Trans_Tons_All]]*TransTonsShort[[#This Row],[Disposal_Fee]])</f>
        <v>0</v>
      </c>
      <c r="AF273" s="446" t="s">
        <v>1446</v>
      </c>
      <c r="AG273" s="442" t="str">
        <f>LEFT(SecondaryTransport[[#This Row],[Scenario_MRF_Bale_ID]],2)</f>
        <v>S2</v>
      </c>
      <c r="AH273" s="181" t="str">
        <f>LEFT(RIGHT(SecondaryTransport[[#This Row],[Scenario_MRF_Bale_ID]],10),2)</f>
        <v>04</v>
      </c>
      <c r="AI273" s="181" t="str">
        <f>INDEX(MRFs[MRF_Name],MATCH(SecondaryTransport[[#This Row],[MRF_ID]],MRFs[MRF_ID],0))</f>
        <v>1 MRF for SS with fiber and container upgrades (Portland)</v>
      </c>
      <c r="AJ273" s="181" t="str">
        <f>RIGHT(SecondaryTransport[[#This Row],[Scenario_MRF_Bale_ID]],7)</f>
        <v>2000-05</v>
      </c>
      <c r="AK273" s="181" t="str">
        <f>INDEX(Bales[Bale_Name],MATCH(SecondaryTransport[[#This Row],[Bale_ID]],Bales[Bale_ID],0))</f>
        <v>HDPE #2 and PP #5 tubs </v>
      </c>
      <c r="AL273" s="443">
        <f>INDEX(BaleMover[Total_Baled_tons],MATCH(SecondaryTransport[[#This Row],[Scenario_MRF_Bale_ID]],BaleMover[Scenario_MRF_Bale_ID],0))</f>
        <v>393.39769495551576</v>
      </c>
      <c r="AM273" s="443">
        <f>IF(INDEX(BaleMover[Miles],MATCH(SecondaryTransport[[#This Row],[Scenario_MRF_Bale_ID]],BaleMover[Scenario_MRF_Bale_ID],0))="",0,INDEX(BaleMover[Miles],MATCH(SecondaryTransport[[#This Row],[Scenario_MRF_Bale_ID]],BaleMover[Scenario_MRF_Bale_ID],0)))</f>
        <v>20</v>
      </c>
      <c r="AN273" s="251">
        <f>IF(SecondaryTransport[[#This Row],[Bale_ID]]="9000-01","costs elsewhere",SecondaryTransport[[#This Row],[Total_Baled_tons]]*SecondaryTransport[[#This Row],[Miles]])</f>
        <v>7867.9538991103154</v>
      </c>
      <c r="AO273" s="352" t="str">
        <f>IF(LEFT(SecondaryTransport[[#This Row],[Bale_ID]],1)*1=5,IF(OR(SecondaryTransport[[#This Row],[MRF_ID]]="02",SecondaryTransport[[#This Row],[MRF_ID]]="08"),2,1),"")</f>
        <v/>
      </c>
      <c r="AP2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7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73" s="224" t="str">
        <f>IFERROR(IF(1*LEFT(SecondaryTransport[[#This Row],[Bale_ID]],1)=5,SecondaryTransport[[#This Row],[Ton-Miles]]*SecondaryTransport[[#This Row],[Cost_Per_Ton-Mile]],""),"")</f>
        <v/>
      </c>
      <c r="AS273" s="224">
        <f>IFERROR(IF(SecondaryTransport[[#This Row],[Container_Transfer]]="",(SecondaryTransport[[#This Row],[Ton-Miles]]*SecondaryTransport[[#This Row],[Cost_Per_Ton-Mile]]),""),"")</f>
        <v>2439.065708724198</v>
      </c>
    </row>
    <row r="274" spans="3:45" ht="15" x14ac:dyDescent="0.25">
      <c r="C274"/>
      <c r="D274"/>
      <c r="L274" s="446" t="s">
        <v>870</v>
      </c>
      <c r="M274" s="446">
        <v>4</v>
      </c>
      <c r="N274" s="446">
        <v>1</v>
      </c>
      <c r="O274" s="446" t="s">
        <v>700</v>
      </c>
      <c r="P274" s="449" t="s">
        <v>706</v>
      </c>
      <c r="Q274" s="449"/>
      <c r="R274" s="449"/>
      <c r="S274" s="449" t="s">
        <v>872</v>
      </c>
      <c r="T274" s="449" t="s">
        <v>1025</v>
      </c>
      <c r="U274" s="452">
        <v>0</v>
      </c>
      <c r="V2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4" s="272" t="str">
        <f>IFERROR(SUMIFS(TransUnitCost[Miles],TransUnitCost[Grouping_ID],TransTonsShort[[#This Row],[Grouping_ID]],TransUnitCost[Transp_ID],TransTonsShort[[#This Row],[Transp_ID]])*TransTonsShort[[#This Row],[Trans_Tons_All]]/TransTonsShort[[#This Row],[Trans_Tons_All]],"")</f>
        <v/>
      </c>
      <c r="X274" s="386" t="str">
        <f>TransTonsShort[[#This Row],[Grouping_ID]]&amp;"-"&amp;TransTonsShort[[#This Row],[Sector_ID]]</f>
        <v>4-1</v>
      </c>
      <c r="Y2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4" s="421">
        <f>INDEX(LandfillFees[Disposal Tip Fee 2025],MATCH(TransTonsShort[[#This Row],[Grouping_ID]],LandfillFees[Grouping_ID],0))</f>
        <v>72.030938699729589</v>
      </c>
      <c r="AA274" s="102">
        <f>IF(OR(TransTonsShort[[#This Row],[CollectionStream_ID]]="03",TransTonsShort[[#This Row],[CollectionStream_ID]]="04",TransTonsShort[[#This Row],[CollectionStream_ID]]="13"),0,TransTonsShort[[#This Row],[Trans_Tons_All]]*TransTonsShort[[#This Row],[Disposal_Fee]])</f>
        <v>0</v>
      </c>
      <c r="AF274" s="446" t="s">
        <v>1447</v>
      </c>
      <c r="AG274" s="442" t="str">
        <f>LEFT(SecondaryTransport[[#This Row],[Scenario_MRF_Bale_ID]],2)</f>
        <v>S3</v>
      </c>
      <c r="AH274" s="181" t="str">
        <f>LEFT(RIGHT(SecondaryTransport[[#This Row],[Scenario_MRF_Bale_ID]],10),2)</f>
        <v>04</v>
      </c>
      <c r="AI274" s="181" t="str">
        <f>INDEX(MRFs[MRF_Name],MATCH(SecondaryTransport[[#This Row],[MRF_ID]],MRFs[MRF_ID],0))</f>
        <v>1 MRF for SS with fiber and container upgrades (Portland)</v>
      </c>
      <c r="AJ274" s="181" t="str">
        <f>RIGHT(SecondaryTransport[[#This Row],[Scenario_MRF_Bale_ID]],7)</f>
        <v>2000-05</v>
      </c>
      <c r="AK274" s="181" t="str">
        <f>INDEX(Bales[Bale_Name],MATCH(SecondaryTransport[[#This Row],[Bale_ID]],Bales[Bale_ID],0))</f>
        <v>HDPE #2 and PP #5 tubs </v>
      </c>
      <c r="AL274" s="443">
        <f>INDEX(BaleMover[Total_Baled_tons],MATCH(SecondaryTransport[[#This Row],[Scenario_MRF_Bale_ID]],BaleMover[Scenario_MRF_Bale_ID],0))</f>
        <v>0</v>
      </c>
      <c r="AM274" s="443">
        <f>IF(INDEX(BaleMover[Miles],MATCH(SecondaryTransport[[#This Row],[Scenario_MRF_Bale_ID]],BaleMover[Scenario_MRF_Bale_ID],0))="",0,INDEX(BaleMover[Miles],MATCH(SecondaryTransport[[#This Row],[Scenario_MRF_Bale_ID]],BaleMover[Scenario_MRF_Bale_ID],0)))</f>
        <v>0</v>
      </c>
      <c r="AN274" s="251">
        <f>IF(SecondaryTransport[[#This Row],[Bale_ID]]="9000-01","costs elsewhere",SecondaryTransport[[#This Row],[Total_Baled_tons]]*SecondaryTransport[[#This Row],[Miles]])</f>
        <v>0</v>
      </c>
      <c r="AO274" s="352" t="str">
        <f>IF(LEFT(SecondaryTransport[[#This Row],[Bale_ID]],1)*1=5,IF(OR(SecondaryTransport[[#This Row],[MRF_ID]]="02",SecondaryTransport[[#This Row],[MRF_ID]]="08"),2,1),"")</f>
        <v/>
      </c>
      <c r="AP2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4" s="224" t="str">
        <f>IFERROR(IF(1*LEFT(SecondaryTransport[[#This Row],[Bale_ID]],1)=5,SecondaryTransport[[#This Row],[Ton-Miles]]*SecondaryTransport[[#This Row],[Cost_Per_Ton-Mile]],""),"")</f>
        <v/>
      </c>
      <c r="AS274" s="224" t="str">
        <f>IFERROR(IF(SecondaryTransport[[#This Row],[Container_Transfer]]="",(SecondaryTransport[[#This Row],[Ton-Miles]]*SecondaryTransport[[#This Row],[Cost_Per_Ton-Mile]]),""),"")</f>
        <v/>
      </c>
    </row>
    <row r="275" spans="3:45" ht="15" x14ac:dyDescent="0.25">
      <c r="C275"/>
      <c r="D275"/>
      <c r="L275" s="446" t="s">
        <v>870</v>
      </c>
      <c r="M275" s="446">
        <v>1</v>
      </c>
      <c r="N275" s="446">
        <v>1</v>
      </c>
      <c r="O275" s="446" t="s">
        <v>748</v>
      </c>
      <c r="P275" s="449" t="s">
        <v>719</v>
      </c>
      <c r="Q275" s="449"/>
      <c r="R275" s="449"/>
      <c r="S275" s="449" t="s">
        <v>765</v>
      </c>
      <c r="T275" s="449" t="s">
        <v>1055</v>
      </c>
      <c r="U275" s="452">
        <v>0</v>
      </c>
      <c r="V2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5" s="272" t="str">
        <f>IFERROR(SUMIFS(TransUnitCost[Miles],TransUnitCost[Grouping_ID],TransTonsShort[[#This Row],[Grouping_ID]],TransUnitCost[Transp_ID],TransTonsShort[[#This Row],[Transp_ID]])*TransTonsShort[[#This Row],[Trans_Tons_All]]/TransTonsShort[[#This Row],[Trans_Tons_All]],"")</f>
        <v/>
      </c>
      <c r="X275" s="386" t="str">
        <f>TransTonsShort[[#This Row],[Grouping_ID]]&amp;"-"&amp;TransTonsShort[[#This Row],[Sector_ID]]</f>
        <v>1-1</v>
      </c>
      <c r="Y2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5" s="421">
        <f>INDEX(LandfillFees[Disposal Tip Fee 2025],MATCH(TransTonsShort[[#This Row],[Grouping_ID]],LandfillFees[Grouping_ID],0))</f>
        <v>134.68</v>
      </c>
      <c r="AA275" s="102">
        <f>IF(OR(TransTonsShort[[#This Row],[CollectionStream_ID]]="03",TransTonsShort[[#This Row],[CollectionStream_ID]]="04",TransTonsShort[[#This Row],[CollectionStream_ID]]="13"),0,TransTonsShort[[#This Row],[Trans_Tons_All]]*TransTonsShort[[#This Row],[Disposal_Fee]])</f>
        <v>0</v>
      </c>
      <c r="AF275" s="446" t="s">
        <v>1448</v>
      </c>
      <c r="AG275" s="442" t="str">
        <f>LEFT(SecondaryTransport[[#This Row],[Scenario_MRF_Bale_ID]],2)</f>
        <v>S0</v>
      </c>
      <c r="AH275" s="181" t="str">
        <f>LEFT(RIGHT(SecondaryTransport[[#This Row],[Scenario_MRF_Bale_ID]],10),2)</f>
        <v>04</v>
      </c>
      <c r="AI275" s="181" t="str">
        <f>INDEX(MRFs[MRF_Name],MATCH(SecondaryTransport[[#This Row],[MRF_ID]],MRFs[MRF_ID],0))</f>
        <v>1 MRF for SS with fiber and container upgrades (Portland)</v>
      </c>
      <c r="AJ275" s="181" t="str">
        <f>RIGHT(SecondaryTransport[[#This Row],[Scenario_MRF_Bale_ID]],7)</f>
        <v>2000-07</v>
      </c>
      <c r="AK275" s="181" t="str">
        <f>INDEX(Bales[Bale_Name],MATCH(SecondaryTransport[[#This Row],[Bale_ID]],Bales[Bale_ID],0))</f>
        <v>PE clear film</v>
      </c>
      <c r="AL275" s="443">
        <f>INDEX(BaleMover[Total_Baled_tons],MATCH(SecondaryTransport[[#This Row],[Scenario_MRF_Bale_ID]],BaleMover[Scenario_MRF_Bale_ID],0))</f>
        <v>0</v>
      </c>
      <c r="AM275" s="443">
        <f>IF(INDEX(BaleMover[Miles],MATCH(SecondaryTransport[[#This Row],[Scenario_MRF_Bale_ID]],BaleMover[Scenario_MRF_Bale_ID],0))="",0,INDEX(BaleMover[Miles],MATCH(SecondaryTransport[[#This Row],[Scenario_MRF_Bale_ID]],BaleMover[Scenario_MRF_Bale_ID],0)))</f>
        <v>0</v>
      </c>
      <c r="AN275" s="251">
        <f>IF(SecondaryTransport[[#This Row],[Bale_ID]]="9000-01","costs elsewhere",SecondaryTransport[[#This Row],[Total_Baled_tons]]*SecondaryTransport[[#This Row],[Miles]])</f>
        <v>0</v>
      </c>
      <c r="AO275" s="352" t="str">
        <f>IF(LEFT(SecondaryTransport[[#This Row],[Bale_ID]],1)*1=5,IF(OR(SecondaryTransport[[#This Row],[MRF_ID]]="02",SecondaryTransport[[#This Row],[MRF_ID]]="08"),2,1),"")</f>
        <v/>
      </c>
      <c r="AP2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5" s="224" t="str">
        <f>IFERROR(IF(1*LEFT(SecondaryTransport[[#This Row],[Bale_ID]],1)=5,SecondaryTransport[[#This Row],[Ton-Miles]]*SecondaryTransport[[#This Row],[Cost_Per_Ton-Mile]],""),"")</f>
        <v/>
      </c>
      <c r="AS275" s="224" t="str">
        <f>IFERROR(IF(SecondaryTransport[[#This Row],[Container_Transfer]]="",(SecondaryTransport[[#This Row],[Ton-Miles]]*SecondaryTransport[[#This Row],[Cost_Per_Ton-Mile]]),""),"")</f>
        <v/>
      </c>
    </row>
    <row r="276" spans="3:45" ht="15" x14ac:dyDescent="0.25">
      <c r="C276"/>
      <c r="D276"/>
      <c r="L276" s="446" t="s">
        <v>870</v>
      </c>
      <c r="M276" s="446">
        <v>2</v>
      </c>
      <c r="N276" s="446">
        <v>1</v>
      </c>
      <c r="O276" s="446" t="s">
        <v>748</v>
      </c>
      <c r="P276" s="449" t="s">
        <v>719</v>
      </c>
      <c r="Q276" s="449"/>
      <c r="R276" s="449"/>
      <c r="S276" s="449" t="s">
        <v>765</v>
      </c>
      <c r="T276" s="449" t="s">
        <v>1055</v>
      </c>
      <c r="U276" s="452">
        <v>0</v>
      </c>
      <c r="V2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6" s="272" t="str">
        <f>IFERROR(SUMIFS(TransUnitCost[Miles],TransUnitCost[Grouping_ID],TransTonsShort[[#This Row],[Grouping_ID]],TransUnitCost[Transp_ID],TransTonsShort[[#This Row],[Transp_ID]])*TransTonsShort[[#This Row],[Trans_Tons_All]]/TransTonsShort[[#This Row],[Trans_Tons_All]],"")</f>
        <v/>
      </c>
      <c r="X276" s="386" t="str">
        <f>TransTonsShort[[#This Row],[Grouping_ID]]&amp;"-"&amp;TransTonsShort[[#This Row],[Sector_ID]]</f>
        <v>2-1</v>
      </c>
      <c r="Y2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6" s="421">
        <f>INDEX(LandfillFees[Disposal Tip Fee 2025],MATCH(TransTonsShort[[#This Row],[Grouping_ID]],LandfillFees[Grouping_ID],0))</f>
        <v>72.030938699729589</v>
      </c>
      <c r="AA276" s="102">
        <f>IF(OR(TransTonsShort[[#This Row],[CollectionStream_ID]]="03",TransTonsShort[[#This Row],[CollectionStream_ID]]="04",TransTonsShort[[#This Row],[CollectionStream_ID]]="13"),0,TransTonsShort[[#This Row],[Trans_Tons_All]]*TransTonsShort[[#This Row],[Disposal_Fee]])</f>
        <v>0</v>
      </c>
      <c r="AF276" s="446" t="s">
        <v>1449</v>
      </c>
      <c r="AG276" s="442" t="str">
        <f>LEFT(SecondaryTransport[[#This Row],[Scenario_MRF_Bale_ID]],2)</f>
        <v>S1</v>
      </c>
      <c r="AH276" s="181" t="str">
        <f>LEFT(RIGHT(SecondaryTransport[[#This Row],[Scenario_MRF_Bale_ID]],10),2)</f>
        <v>04</v>
      </c>
      <c r="AI276" s="181" t="str">
        <f>INDEX(MRFs[MRF_Name],MATCH(SecondaryTransport[[#This Row],[MRF_ID]],MRFs[MRF_ID],0))</f>
        <v>1 MRF for SS with fiber and container upgrades (Portland)</v>
      </c>
      <c r="AJ276" s="181" t="str">
        <f>RIGHT(SecondaryTransport[[#This Row],[Scenario_MRF_Bale_ID]],7)</f>
        <v>2000-07</v>
      </c>
      <c r="AK276" s="181" t="str">
        <f>INDEX(Bales[Bale_Name],MATCH(SecondaryTransport[[#This Row],[Bale_ID]],Bales[Bale_ID],0))</f>
        <v>PE clear film</v>
      </c>
      <c r="AL276" s="443">
        <f>INDEX(BaleMover[Total_Baled_tons],MATCH(SecondaryTransport[[#This Row],[Scenario_MRF_Bale_ID]],BaleMover[Scenario_MRF_Bale_ID],0))</f>
        <v>0</v>
      </c>
      <c r="AM276" s="443">
        <f>IF(INDEX(BaleMover[Miles],MATCH(SecondaryTransport[[#This Row],[Scenario_MRF_Bale_ID]],BaleMover[Scenario_MRF_Bale_ID],0))="",0,INDEX(BaleMover[Miles],MATCH(SecondaryTransport[[#This Row],[Scenario_MRF_Bale_ID]],BaleMover[Scenario_MRF_Bale_ID],0)))</f>
        <v>0</v>
      </c>
      <c r="AN276" s="251">
        <f>IF(SecondaryTransport[[#This Row],[Bale_ID]]="9000-01","costs elsewhere",SecondaryTransport[[#This Row],[Total_Baled_tons]]*SecondaryTransport[[#This Row],[Miles]])</f>
        <v>0</v>
      </c>
      <c r="AO276" s="352" t="str">
        <f>IF(LEFT(SecondaryTransport[[#This Row],[Bale_ID]],1)*1=5,IF(OR(SecondaryTransport[[#This Row],[MRF_ID]]="02",SecondaryTransport[[#This Row],[MRF_ID]]="08"),2,1),"")</f>
        <v/>
      </c>
      <c r="AP2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6" s="224" t="str">
        <f>IFERROR(IF(1*LEFT(SecondaryTransport[[#This Row],[Bale_ID]],1)=5,SecondaryTransport[[#This Row],[Ton-Miles]]*SecondaryTransport[[#This Row],[Cost_Per_Ton-Mile]],""),"")</f>
        <v/>
      </c>
      <c r="AS276" s="224" t="str">
        <f>IFERROR(IF(SecondaryTransport[[#This Row],[Container_Transfer]]="",(SecondaryTransport[[#This Row],[Ton-Miles]]*SecondaryTransport[[#This Row],[Cost_Per_Ton-Mile]]),""),"")</f>
        <v/>
      </c>
    </row>
    <row r="277" spans="3:45" ht="15" x14ac:dyDescent="0.25">
      <c r="C277"/>
      <c r="D277"/>
      <c r="L277" s="446" t="s">
        <v>870</v>
      </c>
      <c r="M277" s="446">
        <v>3</v>
      </c>
      <c r="N277" s="446">
        <v>1</v>
      </c>
      <c r="O277" s="446" t="s">
        <v>748</v>
      </c>
      <c r="P277" s="449" t="s">
        <v>719</v>
      </c>
      <c r="Q277" s="449"/>
      <c r="R277" s="449"/>
      <c r="S277" s="449" t="s">
        <v>765</v>
      </c>
      <c r="T277" s="449" t="s">
        <v>1055</v>
      </c>
      <c r="U277" s="452">
        <v>0</v>
      </c>
      <c r="V2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7" s="272" t="str">
        <f>IFERROR(SUMIFS(TransUnitCost[Miles],TransUnitCost[Grouping_ID],TransTonsShort[[#This Row],[Grouping_ID]],TransUnitCost[Transp_ID],TransTonsShort[[#This Row],[Transp_ID]])*TransTonsShort[[#This Row],[Trans_Tons_All]]/TransTonsShort[[#This Row],[Trans_Tons_All]],"")</f>
        <v/>
      </c>
      <c r="X277" s="386" t="str">
        <f>TransTonsShort[[#This Row],[Grouping_ID]]&amp;"-"&amp;TransTonsShort[[#This Row],[Sector_ID]]</f>
        <v>3-1</v>
      </c>
      <c r="Y2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7" s="421">
        <f>INDEX(LandfillFees[Disposal Tip Fee 2025],MATCH(TransTonsShort[[#This Row],[Grouping_ID]],LandfillFees[Grouping_ID],0))</f>
        <v>72.030938699729589</v>
      </c>
      <c r="AA277" s="102">
        <f>IF(OR(TransTonsShort[[#This Row],[CollectionStream_ID]]="03",TransTonsShort[[#This Row],[CollectionStream_ID]]="04",TransTonsShort[[#This Row],[CollectionStream_ID]]="13"),0,TransTonsShort[[#This Row],[Trans_Tons_All]]*TransTonsShort[[#This Row],[Disposal_Fee]])</f>
        <v>0</v>
      </c>
      <c r="AF277" s="446" t="s">
        <v>1450</v>
      </c>
      <c r="AG277" s="442" t="str">
        <f>LEFT(SecondaryTransport[[#This Row],[Scenario_MRF_Bale_ID]],2)</f>
        <v>S2</v>
      </c>
      <c r="AH277" s="181" t="str">
        <f>LEFT(RIGHT(SecondaryTransport[[#This Row],[Scenario_MRF_Bale_ID]],10),2)</f>
        <v>04</v>
      </c>
      <c r="AI277" s="181" t="str">
        <f>INDEX(MRFs[MRF_Name],MATCH(SecondaryTransport[[#This Row],[MRF_ID]],MRFs[MRF_ID],0))</f>
        <v>1 MRF for SS with fiber and container upgrades (Portland)</v>
      </c>
      <c r="AJ277" s="181" t="str">
        <f>RIGHT(SecondaryTransport[[#This Row],[Scenario_MRF_Bale_ID]],7)</f>
        <v>2000-07</v>
      </c>
      <c r="AK277" s="181" t="str">
        <f>INDEX(Bales[Bale_Name],MATCH(SecondaryTransport[[#This Row],[Bale_ID]],Bales[Bale_ID],0))</f>
        <v>PE clear film</v>
      </c>
      <c r="AL277" s="443">
        <f>INDEX(BaleMover[Total_Baled_tons],MATCH(SecondaryTransport[[#This Row],[Scenario_MRF_Bale_ID]],BaleMover[Scenario_MRF_Bale_ID],0))</f>
        <v>0</v>
      </c>
      <c r="AM277" s="443">
        <f>IF(INDEX(BaleMover[Miles],MATCH(SecondaryTransport[[#This Row],[Scenario_MRF_Bale_ID]],BaleMover[Scenario_MRF_Bale_ID],0))="",0,INDEX(BaleMover[Miles],MATCH(SecondaryTransport[[#This Row],[Scenario_MRF_Bale_ID]],BaleMover[Scenario_MRF_Bale_ID],0)))</f>
        <v>0</v>
      </c>
      <c r="AN277" s="251">
        <f>IF(SecondaryTransport[[#This Row],[Bale_ID]]="9000-01","costs elsewhere",SecondaryTransport[[#This Row],[Total_Baled_tons]]*SecondaryTransport[[#This Row],[Miles]])</f>
        <v>0</v>
      </c>
      <c r="AO277" s="352" t="str">
        <f>IF(LEFT(SecondaryTransport[[#This Row],[Bale_ID]],1)*1=5,IF(OR(SecondaryTransport[[#This Row],[MRF_ID]]="02",SecondaryTransport[[#This Row],[MRF_ID]]="08"),2,1),"")</f>
        <v/>
      </c>
      <c r="AP2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7" s="224" t="str">
        <f>IFERROR(IF(1*LEFT(SecondaryTransport[[#This Row],[Bale_ID]],1)=5,SecondaryTransport[[#This Row],[Ton-Miles]]*SecondaryTransport[[#This Row],[Cost_Per_Ton-Mile]],""),"")</f>
        <v/>
      </c>
      <c r="AS277" s="224" t="str">
        <f>IFERROR(IF(SecondaryTransport[[#This Row],[Container_Transfer]]="",(SecondaryTransport[[#This Row],[Ton-Miles]]*SecondaryTransport[[#This Row],[Cost_Per_Ton-Mile]]),""),"")</f>
        <v/>
      </c>
    </row>
    <row r="278" spans="3:45" ht="15" x14ac:dyDescent="0.25">
      <c r="C278"/>
      <c r="D278"/>
      <c r="L278" s="446" t="s">
        <v>870</v>
      </c>
      <c r="M278" s="446">
        <v>4</v>
      </c>
      <c r="N278" s="446">
        <v>1</v>
      </c>
      <c r="O278" s="446" t="s">
        <v>748</v>
      </c>
      <c r="P278" s="449" t="s">
        <v>719</v>
      </c>
      <c r="Q278" s="449"/>
      <c r="R278" s="449"/>
      <c r="S278" s="449" t="s">
        <v>765</v>
      </c>
      <c r="T278" s="449" t="s">
        <v>1055</v>
      </c>
      <c r="U278" s="452">
        <v>0</v>
      </c>
      <c r="V2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8" s="272" t="str">
        <f>IFERROR(SUMIFS(TransUnitCost[Miles],TransUnitCost[Grouping_ID],TransTonsShort[[#This Row],[Grouping_ID]],TransUnitCost[Transp_ID],TransTonsShort[[#This Row],[Transp_ID]])*TransTonsShort[[#This Row],[Trans_Tons_All]]/TransTonsShort[[#This Row],[Trans_Tons_All]],"")</f>
        <v/>
      </c>
      <c r="X278" s="386" t="str">
        <f>TransTonsShort[[#This Row],[Grouping_ID]]&amp;"-"&amp;TransTonsShort[[#This Row],[Sector_ID]]</f>
        <v>4-1</v>
      </c>
      <c r="Y2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8" s="421">
        <f>INDEX(LandfillFees[Disposal Tip Fee 2025],MATCH(TransTonsShort[[#This Row],[Grouping_ID]],LandfillFees[Grouping_ID],0))</f>
        <v>72.030938699729589</v>
      </c>
      <c r="AA278" s="102">
        <f>IF(OR(TransTonsShort[[#This Row],[CollectionStream_ID]]="03",TransTonsShort[[#This Row],[CollectionStream_ID]]="04",TransTonsShort[[#This Row],[CollectionStream_ID]]="13"),0,TransTonsShort[[#This Row],[Trans_Tons_All]]*TransTonsShort[[#This Row],[Disposal_Fee]])</f>
        <v>0</v>
      </c>
      <c r="AF278" s="446" t="s">
        <v>1451</v>
      </c>
      <c r="AG278" s="442" t="str">
        <f>LEFT(SecondaryTransport[[#This Row],[Scenario_MRF_Bale_ID]],2)</f>
        <v>S3</v>
      </c>
      <c r="AH278" s="181" t="str">
        <f>LEFT(RIGHT(SecondaryTransport[[#This Row],[Scenario_MRF_Bale_ID]],10),2)</f>
        <v>04</v>
      </c>
      <c r="AI278" s="181" t="str">
        <f>INDEX(MRFs[MRF_Name],MATCH(SecondaryTransport[[#This Row],[MRF_ID]],MRFs[MRF_ID],0))</f>
        <v>1 MRF for SS with fiber and container upgrades (Portland)</v>
      </c>
      <c r="AJ278" s="181" t="str">
        <f>RIGHT(SecondaryTransport[[#This Row],[Scenario_MRF_Bale_ID]],7)</f>
        <v>2000-07</v>
      </c>
      <c r="AK278" s="181" t="str">
        <f>INDEX(Bales[Bale_Name],MATCH(SecondaryTransport[[#This Row],[Bale_ID]],Bales[Bale_ID],0))</f>
        <v>PE clear film</v>
      </c>
      <c r="AL278" s="443">
        <f>INDEX(BaleMover[Total_Baled_tons],MATCH(SecondaryTransport[[#This Row],[Scenario_MRF_Bale_ID]],BaleMover[Scenario_MRF_Bale_ID],0))</f>
        <v>0</v>
      </c>
      <c r="AM278" s="443">
        <f>IF(INDEX(BaleMover[Miles],MATCH(SecondaryTransport[[#This Row],[Scenario_MRF_Bale_ID]],BaleMover[Scenario_MRF_Bale_ID],0))="",0,INDEX(BaleMover[Miles],MATCH(SecondaryTransport[[#This Row],[Scenario_MRF_Bale_ID]],BaleMover[Scenario_MRF_Bale_ID],0)))</f>
        <v>0</v>
      </c>
      <c r="AN278" s="251">
        <f>IF(SecondaryTransport[[#This Row],[Bale_ID]]="9000-01","costs elsewhere",SecondaryTransport[[#This Row],[Total_Baled_tons]]*SecondaryTransport[[#This Row],[Miles]])</f>
        <v>0</v>
      </c>
      <c r="AO278" s="352" t="str">
        <f>IF(LEFT(SecondaryTransport[[#This Row],[Bale_ID]],1)*1=5,IF(OR(SecondaryTransport[[#This Row],[MRF_ID]]="02",SecondaryTransport[[#This Row],[MRF_ID]]="08"),2,1),"")</f>
        <v/>
      </c>
      <c r="AP2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8" s="224" t="str">
        <f>IFERROR(IF(1*LEFT(SecondaryTransport[[#This Row],[Bale_ID]],1)=5,SecondaryTransport[[#This Row],[Ton-Miles]]*SecondaryTransport[[#This Row],[Cost_Per_Ton-Mile]],""),"")</f>
        <v/>
      </c>
      <c r="AS278" s="224" t="str">
        <f>IFERROR(IF(SecondaryTransport[[#This Row],[Container_Transfer]]="",(SecondaryTransport[[#This Row],[Ton-Miles]]*SecondaryTransport[[#This Row],[Cost_Per_Ton-Mile]]),""),"")</f>
        <v/>
      </c>
    </row>
    <row r="279" spans="3:45" ht="15" x14ac:dyDescent="0.25">
      <c r="C279"/>
      <c r="D279"/>
      <c r="L279" s="446" t="s">
        <v>870</v>
      </c>
      <c r="M279" s="446">
        <v>1</v>
      </c>
      <c r="N279" s="446">
        <v>1</v>
      </c>
      <c r="O279" s="446" t="s">
        <v>748</v>
      </c>
      <c r="P279" s="449" t="s">
        <v>700</v>
      </c>
      <c r="Q279" s="449"/>
      <c r="R279" s="449"/>
      <c r="S279" s="449" t="s">
        <v>765</v>
      </c>
      <c r="T279" s="449" t="s">
        <v>701</v>
      </c>
      <c r="U279" s="452">
        <v>14009.523750224962</v>
      </c>
      <c r="V2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79" s="272">
        <f>IFERROR(SUMIFS(TransUnitCost[Miles],TransUnitCost[Grouping_ID],TransTonsShort[[#This Row],[Grouping_ID]],TransUnitCost[Transp_ID],TransTonsShort[[#This Row],[Transp_ID]])*TransTonsShort[[#This Row],[Trans_Tons_All]]/TransTonsShort[[#This Row],[Trans_Tons_All]],"")</f>
        <v>0</v>
      </c>
      <c r="X279" s="386" t="str">
        <f>TransTonsShort[[#This Row],[Grouping_ID]]&amp;"-"&amp;TransTonsShort[[#This Row],[Sector_ID]]</f>
        <v>1-1</v>
      </c>
      <c r="Y2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79" s="421">
        <f>INDEX(LandfillFees[Disposal Tip Fee 2025],MATCH(TransTonsShort[[#This Row],[Grouping_ID]],LandfillFees[Grouping_ID],0))</f>
        <v>134.68</v>
      </c>
      <c r="AA279" s="102">
        <f>IF(OR(TransTonsShort[[#This Row],[CollectionStream_ID]]="03",TransTonsShort[[#This Row],[CollectionStream_ID]]="04",TransTonsShort[[#This Row],[CollectionStream_ID]]="13"),0,TransTonsShort[[#This Row],[Trans_Tons_All]]*TransTonsShort[[#This Row],[Disposal_Fee]])</f>
        <v>1886802.6586802979</v>
      </c>
      <c r="AF279" s="446" t="s">
        <v>1452</v>
      </c>
      <c r="AG279" s="442" t="str">
        <f>LEFT(SecondaryTransport[[#This Row],[Scenario_MRF_Bale_ID]],2)</f>
        <v>S0</v>
      </c>
      <c r="AH279" s="181" t="str">
        <f>LEFT(RIGHT(SecondaryTransport[[#This Row],[Scenario_MRF_Bale_ID]],10),2)</f>
        <v>04</v>
      </c>
      <c r="AI279" s="181" t="str">
        <f>INDEX(MRFs[MRF_Name],MATCH(SecondaryTransport[[#This Row],[MRF_ID]],MRFs[MRF_ID],0))</f>
        <v>1 MRF for SS with fiber and container upgrades (Portland)</v>
      </c>
      <c r="AJ279" s="181" t="str">
        <f>RIGHT(SecondaryTransport[[#This Row],[Scenario_MRF_Bale_ID]],7)</f>
        <v>2000-08</v>
      </c>
      <c r="AK279" s="181" t="str">
        <f>INDEX(Bales[Bale_Name],MATCH(SecondaryTransport[[#This Row],[Bale_ID]],Bales[Bale_ID],0))</f>
        <v>PE colored film</v>
      </c>
      <c r="AL279" s="443">
        <f>INDEX(BaleMover[Total_Baled_tons],MATCH(SecondaryTransport[[#This Row],[Scenario_MRF_Bale_ID]],BaleMover[Scenario_MRF_Bale_ID],0))</f>
        <v>0</v>
      </c>
      <c r="AM279" s="443">
        <f>IF(INDEX(BaleMover[Miles],MATCH(SecondaryTransport[[#This Row],[Scenario_MRF_Bale_ID]],BaleMover[Scenario_MRF_Bale_ID],0))="",0,INDEX(BaleMover[Miles],MATCH(SecondaryTransport[[#This Row],[Scenario_MRF_Bale_ID]],BaleMover[Scenario_MRF_Bale_ID],0)))</f>
        <v>0</v>
      </c>
      <c r="AN279" s="251">
        <f>IF(SecondaryTransport[[#This Row],[Bale_ID]]="9000-01","costs elsewhere",SecondaryTransport[[#This Row],[Total_Baled_tons]]*SecondaryTransport[[#This Row],[Miles]])</f>
        <v>0</v>
      </c>
      <c r="AO279" s="352" t="str">
        <f>IF(LEFT(SecondaryTransport[[#This Row],[Bale_ID]],1)*1=5,IF(OR(SecondaryTransport[[#This Row],[MRF_ID]]="02",SecondaryTransport[[#This Row],[MRF_ID]]="08"),2,1),"")</f>
        <v/>
      </c>
      <c r="AP2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7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79" s="224" t="str">
        <f>IFERROR(IF(1*LEFT(SecondaryTransport[[#This Row],[Bale_ID]],1)=5,SecondaryTransport[[#This Row],[Ton-Miles]]*SecondaryTransport[[#This Row],[Cost_Per_Ton-Mile]],""),"")</f>
        <v/>
      </c>
      <c r="AS279" s="224" t="str">
        <f>IFERROR(IF(SecondaryTransport[[#This Row],[Container_Transfer]]="",(SecondaryTransport[[#This Row],[Ton-Miles]]*SecondaryTransport[[#This Row],[Cost_Per_Ton-Mile]]),""),"")</f>
        <v/>
      </c>
    </row>
    <row r="280" spans="3:45" ht="15" x14ac:dyDescent="0.25">
      <c r="C280"/>
      <c r="D280"/>
      <c r="L280" s="446" t="s">
        <v>870</v>
      </c>
      <c r="M280" s="446">
        <v>2</v>
      </c>
      <c r="N280" s="446">
        <v>1</v>
      </c>
      <c r="O280" s="446" t="s">
        <v>748</v>
      </c>
      <c r="P280" s="449" t="s">
        <v>700</v>
      </c>
      <c r="Q280" s="449"/>
      <c r="R280" s="449"/>
      <c r="S280" s="449" t="s">
        <v>765</v>
      </c>
      <c r="T280" s="449" t="s">
        <v>701</v>
      </c>
      <c r="U280" s="452">
        <v>0</v>
      </c>
      <c r="V2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0" s="272" t="str">
        <f>IFERROR(SUMIFS(TransUnitCost[Miles],TransUnitCost[Grouping_ID],TransTonsShort[[#This Row],[Grouping_ID]],TransUnitCost[Transp_ID],TransTonsShort[[#This Row],[Transp_ID]])*TransTonsShort[[#This Row],[Trans_Tons_All]]/TransTonsShort[[#This Row],[Trans_Tons_All]],"")</f>
        <v/>
      </c>
      <c r="X280" s="386" t="str">
        <f>TransTonsShort[[#This Row],[Grouping_ID]]&amp;"-"&amp;TransTonsShort[[#This Row],[Sector_ID]]</f>
        <v>2-1</v>
      </c>
      <c r="Y2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0" s="421">
        <f>INDEX(LandfillFees[Disposal Tip Fee 2025],MATCH(TransTonsShort[[#This Row],[Grouping_ID]],LandfillFees[Grouping_ID],0))</f>
        <v>72.030938699729589</v>
      </c>
      <c r="AA280" s="102">
        <f>IF(OR(TransTonsShort[[#This Row],[CollectionStream_ID]]="03",TransTonsShort[[#This Row],[CollectionStream_ID]]="04",TransTonsShort[[#This Row],[CollectionStream_ID]]="13"),0,TransTonsShort[[#This Row],[Trans_Tons_All]]*TransTonsShort[[#This Row],[Disposal_Fee]])</f>
        <v>0</v>
      </c>
      <c r="AF280" s="446" t="s">
        <v>1453</v>
      </c>
      <c r="AG280" s="442" t="str">
        <f>LEFT(SecondaryTransport[[#This Row],[Scenario_MRF_Bale_ID]],2)</f>
        <v>S1</v>
      </c>
      <c r="AH280" s="181" t="str">
        <f>LEFT(RIGHT(SecondaryTransport[[#This Row],[Scenario_MRF_Bale_ID]],10),2)</f>
        <v>04</v>
      </c>
      <c r="AI280" s="181" t="str">
        <f>INDEX(MRFs[MRF_Name],MATCH(SecondaryTransport[[#This Row],[MRF_ID]],MRFs[MRF_ID],0))</f>
        <v>1 MRF for SS with fiber and container upgrades (Portland)</v>
      </c>
      <c r="AJ280" s="181" t="str">
        <f>RIGHT(SecondaryTransport[[#This Row],[Scenario_MRF_Bale_ID]],7)</f>
        <v>2000-08</v>
      </c>
      <c r="AK280" s="181" t="str">
        <f>INDEX(Bales[Bale_Name],MATCH(SecondaryTransport[[#This Row],[Bale_ID]],Bales[Bale_ID],0))</f>
        <v>PE colored film</v>
      </c>
      <c r="AL280" s="443">
        <f>INDEX(BaleMover[Total_Baled_tons],MATCH(SecondaryTransport[[#This Row],[Scenario_MRF_Bale_ID]],BaleMover[Scenario_MRF_Bale_ID],0))</f>
        <v>0</v>
      </c>
      <c r="AM280" s="443">
        <f>IF(INDEX(BaleMover[Miles],MATCH(SecondaryTransport[[#This Row],[Scenario_MRF_Bale_ID]],BaleMover[Scenario_MRF_Bale_ID],0))="",0,INDEX(BaleMover[Miles],MATCH(SecondaryTransport[[#This Row],[Scenario_MRF_Bale_ID]],BaleMover[Scenario_MRF_Bale_ID],0)))</f>
        <v>0</v>
      </c>
      <c r="AN280" s="251">
        <f>IF(SecondaryTransport[[#This Row],[Bale_ID]]="9000-01","costs elsewhere",SecondaryTransport[[#This Row],[Total_Baled_tons]]*SecondaryTransport[[#This Row],[Miles]])</f>
        <v>0</v>
      </c>
      <c r="AO280" s="352" t="str">
        <f>IF(LEFT(SecondaryTransport[[#This Row],[Bale_ID]],1)*1=5,IF(OR(SecondaryTransport[[#This Row],[MRF_ID]]="02",SecondaryTransport[[#This Row],[MRF_ID]]="08"),2,1),"")</f>
        <v/>
      </c>
      <c r="AP2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0" s="224" t="str">
        <f>IFERROR(IF(1*LEFT(SecondaryTransport[[#This Row],[Bale_ID]],1)=5,SecondaryTransport[[#This Row],[Ton-Miles]]*SecondaryTransport[[#This Row],[Cost_Per_Ton-Mile]],""),"")</f>
        <v/>
      </c>
      <c r="AS280" s="224" t="str">
        <f>IFERROR(IF(SecondaryTransport[[#This Row],[Container_Transfer]]="",(SecondaryTransport[[#This Row],[Ton-Miles]]*SecondaryTransport[[#This Row],[Cost_Per_Ton-Mile]]),""),"")</f>
        <v/>
      </c>
    </row>
    <row r="281" spans="3:45" ht="15" x14ac:dyDescent="0.25">
      <c r="C281"/>
      <c r="D281"/>
      <c r="L281" s="446" t="s">
        <v>870</v>
      </c>
      <c r="M281" s="446">
        <v>3</v>
      </c>
      <c r="N281" s="446">
        <v>1</v>
      </c>
      <c r="O281" s="446" t="s">
        <v>748</v>
      </c>
      <c r="P281" s="449" t="s">
        <v>700</v>
      </c>
      <c r="Q281" s="449"/>
      <c r="R281" s="449"/>
      <c r="S281" s="449" t="s">
        <v>765</v>
      </c>
      <c r="T281" s="449" t="s">
        <v>701</v>
      </c>
      <c r="U281" s="452">
        <v>0</v>
      </c>
      <c r="V2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1" s="272" t="str">
        <f>IFERROR(SUMIFS(TransUnitCost[Miles],TransUnitCost[Grouping_ID],TransTonsShort[[#This Row],[Grouping_ID]],TransUnitCost[Transp_ID],TransTonsShort[[#This Row],[Transp_ID]])*TransTonsShort[[#This Row],[Trans_Tons_All]]/TransTonsShort[[#This Row],[Trans_Tons_All]],"")</f>
        <v/>
      </c>
      <c r="X281" s="386" t="str">
        <f>TransTonsShort[[#This Row],[Grouping_ID]]&amp;"-"&amp;TransTonsShort[[#This Row],[Sector_ID]]</f>
        <v>3-1</v>
      </c>
      <c r="Y2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1" s="421">
        <f>INDEX(LandfillFees[Disposal Tip Fee 2025],MATCH(TransTonsShort[[#This Row],[Grouping_ID]],LandfillFees[Grouping_ID],0))</f>
        <v>72.030938699729589</v>
      </c>
      <c r="AA281" s="102">
        <f>IF(OR(TransTonsShort[[#This Row],[CollectionStream_ID]]="03",TransTonsShort[[#This Row],[CollectionStream_ID]]="04",TransTonsShort[[#This Row],[CollectionStream_ID]]="13"),0,TransTonsShort[[#This Row],[Trans_Tons_All]]*TransTonsShort[[#This Row],[Disposal_Fee]])</f>
        <v>0</v>
      </c>
      <c r="AF281" s="446" t="s">
        <v>1454</v>
      </c>
      <c r="AG281" s="442" t="str">
        <f>LEFT(SecondaryTransport[[#This Row],[Scenario_MRF_Bale_ID]],2)</f>
        <v>S2</v>
      </c>
      <c r="AH281" s="181" t="str">
        <f>LEFT(RIGHT(SecondaryTransport[[#This Row],[Scenario_MRF_Bale_ID]],10),2)</f>
        <v>04</v>
      </c>
      <c r="AI281" s="181" t="str">
        <f>INDEX(MRFs[MRF_Name],MATCH(SecondaryTransport[[#This Row],[MRF_ID]],MRFs[MRF_ID],0))</f>
        <v>1 MRF for SS with fiber and container upgrades (Portland)</v>
      </c>
      <c r="AJ281" s="181" t="str">
        <f>RIGHT(SecondaryTransport[[#This Row],[Scenario_MRF_Bale_ID]],7)</f>
        <v>2000-08</v>
      </c>
      <c r="AK281" s="181" t="str">
        <f>INDEX(Bales[Bale_Name],MATCH(SecondaryTransport[[#This Row],[Bale_ID]],Bales[Bale_ID],0))</f>
        <v>PE colored film</v>
      </c>
      <c r="AL281" s="443">
        <f>INDEX(BaleMover[Total_Baled_tons],MATCH(SecondaryTransport[[#This Row],[Scenario_MRF_Bale_ID]],BaleMover[Scenario_MRF_Bale_ID],0))</f>
        <v>0</v>
      </c>
      <c r="AM281" s="443">
        <f>IF(INDEX(BaleMover[Miles],MATCH(SecondaryTransport[[#This Row],[Scenario_MRF_Bale_ID]],BaleMover[Scenario_MRF_Bale_ID],0))="",0,INDEX(BaleMover[Miles],MATCH(SecondaryTransport[[#This Row],[Scenario_MRF_Bale_ID]],BaleMover[Scenario_MRF_Bale_ID],0)))</f>
        <v>0</v>
      </c>
      <c r="AN281" s="251">
        <f>IF(SecondaryTransport[[#This Row],[Bale_ID]]="9000-01","costs elsewhere",SecondaryTransport[[#This Row],[Total_Baled_tons]]*SecondaryTransport[[#This Row],[Miles]])</f>
        <v>0</v>
      </c>
      <c r="AO281" s="352" t="str">
        <f>IF(LEFT(SecondaryTransport[[#This Row],[Bale_ID]],1)*1=5,IF(OR(SecondaryTransport[[#This Row],[MRF_ID]]="02",SecondaryTransport[[#This Row],[MRF_ID]]="08"),2,1),"")</f>
        <v/>
      </c>
      <c r="AP2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1" s="224" t="str">
        <f>IFERROR(IF(1*LEFT(SecondaryTransport[[#This Row],[Bale_ID]],1)=5,SecondaryTransport[[#This Row],[Ton-Miles]]*SecondaryTransport[[#This Row],[Cost_Per_Ton-Mile]],""),"")</f>
        <v/>
      </c>
      <c r="AS281" s="224" t="str">
        <f>IFERROR(IF(SecondaryTransport[[#This Row],[Container_Transfer]]="",(SecondaryTransport[[#This Row],[Ton-Miles]]*SecondaryTransport[[#This Row],[Cost_Per_Ton-Mile]]),""),"")</f>
        <v/>
      </c>
    </row>
    <row r="282" spans="3:45" ht="15" x14ac:dyDescent="0.25">
      <c r="C282"/>
      <c r="D282"/>
      <c r="L282" s="446" t="s">
        <v>870</v>
      </c>
      <c r="M282" s="446">
        <v>4</v>
      </c>
      <c r="N282" s="446">
        <v>1</v>
      </c>
      <c r="O282" s="446" t="s">
        <v>748</v>
      </c>
      <c r="P282" s="449" t="s">
        <v>700</v>
      </c>
      <c r="Q282" s="449"/>
      <c r="R282" s="449"/>
      <c r="S282" s="449" t="s">
        <v>765</v>
      </c>
      <c r="T282" s="449" t="s">
        <v>701</v>
      </c>
      <c r="U282" s="452">
        <v>0</v>
      </c>
      <c r="V2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2" s="272" t="str">
        <f>IFERROR(SUMIFS(TransUnitCost[Miles],TransUnitCost[Grouping_ID],TransTonsShort[[#This Row],[Grouping_ID]],TransUnitCost[Transp_ID],TransTonsShort[[#This Row],[Transp_ID]])*TransTonsShort[[#This Row],[Trans_Tons_All]]/TransTonsShort[[#This Row],[Trans_Tons_All]],"")</f>
        <v/>
      </c>
      <c r="X282" s="386" t="str">
        <f>TransTonsShort[[#This Row],[Grouping_ID]]&amp;"-"&amp;TransTonsShort[[#This Row],[Sector_ID]]</f>
        <v>4-1</v>
      </c>
      <c r="Y2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2" s="421">
        <f>INDEX(LandfillFees[Disposal Tip Fee 2025],MATCH(TransTonsShort[[#This Row],[Grouping_ID]],LandfillFees[Grouping_ID],0))</f>
        <v>72.030938699729589</v>
      </c>
      <c r="AA282" s="102">
        <f>IF(OR(TransTonsShort[[#This Row],[CollectionStream_ID]]="03",TransTonsShort[[#This Row],[CollectionStream_ID]]="04",TransTonsShort[[#This Row],[CollectionStream_ID]]="13"),0,TransTonsShort[[#This Row],[Trans_Tons_All]]*TransTonsShort[[#This Row],[Disposal_Fee]])</f>
        <v>0</v>
      </c>
      <c r="AF282" s="446" t="s">
        <v>1455</v>
      </c>
      <c r="AG282" s="442" t="str">
        <f>LEFT(SecondaryTransport[[#This Row],[Scenario_MRF_Bale_ID]],2)</f>
        <v>S3</v>
      </c>
      <c r="AH282" s="181" t="str">
        <f>LEFT(RIGHT(SecondaryTransport[[#This Row],[Scenario_MRF_Bale_ID]],10),2)</f>
        <v>04</v>
      </c>
      <c r="AI282" s="181" t="str">
        <f>INDEX(MRFs[MRF_Name],MATCH(SecondaryTransport[[#This Row],[MRF_ID]],MRFs[MRF_ID],0))</f>
        <v>1 MRF for SS with fiber and container upgrades (Portland)</v>
      </c>
      <c r="AJ282" s="181" t="str">
        <f>RIGHT(SecondaryTransport[[#This Row],[Scenario_MRF_Bale_ID]],7)</f>
        <v>2000-08</v>
      </c>
      <c r="AK282" s="181" t="str">
        <f>INDEX(Bales[Bale_Name],MATCH(SecondaryTransport[[#This Row],[Bale_ID]],Bales[Bale_ID],0))</f>
        <v>PE colored film</v>
      </c>
      <c r="AL282" s="443">
        <f>INDEX(BaleMover[Total_Baled_tons],MATCH(SecondaryTransport[[#This Row],[Scenario_MRF_Bale_ID]],BaleMover[Scenario_MRF_Bale_ID],0))</f>
        <v>0</v>
      </c>
      <c r="AM282" s="443">
        <f>IF(INDEX(BaleMover[Miles],MATCH(SecondaryTransport[[#This Row],[Scenario_MRF_Bale_ID]],BaleMover[Scenario_MRF_Bale_ID],0))="",0,INDEX(BaleMover[Miles],MATCH(SecondaryTransport[[#This Row],[Scenario_MRF_Bale_ID]],BaleMover[Scenario_MRF_Bale_ID],0)))</f>
        <v>0</v>
      </c>
      <c r="AN282" s="251">
        <f>IF(SecondaryTransport[[#This Row],[Bale_ID]]="9000-01","costs elsewhere",SecondaryTransport[[#This Row],[Total_Baled_tons]]*SecondaryTransport[[#This Row],[Miles]])</f>
        <v>0</v>
      </c>
      <c r="AO282" s="352" t="str">
        <f>IF(LEFT(SecondaryTransport[[#This Row],[Bale_ID]],1)*1=5,IF(OR(SecondaryTransport[[#This Row],[MRF_ID]]="02",SecondaryTransport[[#This Row],[MRF_ID]]="08"),2,1),"")</f>
        <v/>
      </c>
      <c r="AP2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2" s="224" t="str">
        <f>IFERROR(IF(1*LEFT(SecondaryTransport[[#This Row],[Bale_ID]],1)=5,SecondaryTransport[[#This Row],[Ton-Miles]]*SecondaryTransport[[#This Row],[Cost_Per_Ton-Mile]],""),"")</f>
        <v/>
      </c>
      <c r="AS282" s="224" t="str">
        <f>IFERROR(IF(SecondaryTransport[[#This Row],[Container_Transfer]]="",(SecondaryTransport[[#This Row],[Ton-Miles]]*SecondaryTransport[[#This Row],[Cost_Per_Ton-Mile]]),""),"")</f>
        <v/>
      </c>
    </row>
    <row r="283" spans="3:45" ht="15" x14ac:dyDescent="0.25">
      <c r="C283"/>
      <c r="D283"/>
      <c r="L283" s="446" t="s">
        <v>870</v>
      </c>
      <c r="M283" s="446">
        <v>1</v>
      </c>
      <c r="N283" s="446">
        <v>1</v>
      </c>
      <c r="O283" s="446" t="s">
        <v>748</v>
      </c>
      <c r="P283" s="450" t="s">
        <v>748</v>
      </c>
      <c r="Q283" s="450"/>
      <c r="R283" s="450"/>
      <c r="S283" s="449" t="s">
        <v>765</v>
      </c>
      <c r="T283" s="449" t="s">
        <v>849</v>
      </c>
      <c r="U283" s="452">
        <v>2093.3771121025807</v>
      </c>
      <c r="V2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54009.129492246582</v>
      </c>
      <c r="W283" s="272">
        <f>IFERROR(SUMIFS(TransUnitCost[Miles],TransUnitCost[Grouping_ID],TransTonsShort[[#This Row],[Grouping_ID]],TransUnitCost[Transp_ID],TransTonsShort[[#This Row],[Transp_ID]])*TransTonsShort[[#This Row],[Trans_Tons_All]]/TransTonsShort[[#This Row],[Trans_Tons_All]],"")</f>
        <v>20</v>
      </c>
      <c r="X283" s="386" t="str">
        <f>TransTonsShort[[#This Row],[Grouping_ID]]&amp;"-"&amp;TransTonsShort[[#This Row],[Sector_ID]]</f>
        <v>1-1</v>
      </c>
      <c r="Y2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3" s="421">
        <f>INDEX(LandfillFees[Disposal Tip Fee 2025],MATCH(TransTonsShort[[#This Row],[Grouping_ID]],LandfillFees[Grouping_ID],0))</f>
        <v>134.68</v>
      </c>
      <c r="AA283" s="102">
        <f>IF(OR(TransTonsShort[[#This Row],[CollectionStream_ID]]="03",TransTonsShort[[#This Row],[CollectionStream_ID]]="04",TransTonsShort[[#This Row],[CollectionStream_ID]]="13"),0,TransTonsShort[[#This Row],[Trans_Tons_All]]*TransTonsShort[[#This Row],[Disposal_Fee]])</f>
        <v>281936.02945797559</v>
      </c>
      <c r="AF283" s="446" t="s">
        <v>1456</v>
      </c>
      <c r="AG283" s="442" t="str">
        <f>LEFT(SecondaryTransport[[#This Row],[Scenario_MRF_Bale_ID]],2)</f>
        <v>S0</v>
      </c>
      <c r="AH283" s="181" t="str">
        <f>LEFT(RIGHT(SecondaryTransport[[#This Row],[Scenario_MRF_Bale_ID]],10),2)</f>
        <v>04</v>
      </c>
      <c r="AI283" s="181" t="str">
        <f>INDEX(MRFs[MRF_Name],MATCH(SecondaryTransport[[#This Row],[MRF_ID]],MRFs[MRF_ID],0))</f>
        <v>1 MRF for SS with fiber and container upgrades (Portland)</v>
      </c>
      <c r="AJ283" s="181" t="str">
        <f>RIGHT(SecondaryTransport[[#This Row],[Scenario_MRF_Bale_ID]],7)</f>
        <v>2000-09</v>
      </c>
      <c r="AK283" s="181" t="str">
        <f>INDEX(Bales[Bale_Name],MATCH(SecondaryTransport[[#This Row],[Bale_ID]],Bales[Bale_ID],0))</f>
        <v>PE retail mix film</v>
      </c>
      <c r="AL283" s="443">
        <f>INDEX(BaleMover[Total_Baled_tons],MATCH(SecondaryTransport[[#This Row],[Scenario_MRF_Bale_ID]],BaleMover[Scenario_MRF_Bale_ID],0))</f>
        <v>0</v>
      </c>
      <c r="AM283" s="443">
        <f>IF(INDEX(BaleMover[Miles],MATCH(SecondaryTransport[[#This Row],[Scenario_MRF_Bale_ID]],BaleMover[Scenario_MRF_Bale_ID],0))="",0,INDEX(BaleMover[Miles],MATCH(SecondaryTransport[[#This Row],[Scenario_MRF_Bale_ID]],BaleMover[Scenario_MRF_Bale_ID],0)))</f>
        <v>0</v>
      </c>
      <c r="AN283" s="251">
        <f>IF(SecondaryTransport[[#This Row],[Bale_ID]]="9000-01","costs elsewhere",SecondaryTransport[[#This Row],[Total_Baled_tons]]*SecondaryTransport[[#This Row],[Miles]])</f>
        <v>0</v>
      </c>
      <c r="AO283" s="352" t="str">
        <f>IF(LEFT(SecondaryTransport[[#This Row],[Bale_ID]],1)*1=5,IF(OR(SecondaryTransport[[#This Row],[MRF_ID]]="02",SecondaryTransport[[#This Row],[MRF_ID]]="08"),2,1),"")</f>
        <v/>
      </c>
      <c r="AP2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3" s="224" t="str">
        <f>IFERROR(IF(1*LEFT(SecondaryTransport[[#This Row],[Bale_ID]],1)=5,SecondaryTransport[[#This Row],[Ton-Miles]]*SecondaryTransport[[#This Row],[Cost_Per_Ton-Mile]],""),"")</f>
        <v/>
      </c>
      <c r="AS283" s="224" t="str">
        <f>IFERROR(IF(SecondaryTransport[[#This Row],[Container_Transfer]]="",(SecondaryTransport[[#This Row],[Ton-Miles]]*SecondaryTransport[[#This Row],[Cost_Per_Ton-Mile]]),""),"")</f>
        <v/>
      </c>
    </row>
    <row r="284" spans="3:45" ht="15" x14ac:dyDescent="0.25">
      <c r="C284"/>
      <c r="D284"/>
      <c r="L284" s="446" t="s">
        <v>870</v>
      </c>
      <c r="M284" s="446">
        <v>2</v>
      </c>
      <c r="N284" s="446">
        <v>1</v>
      </c>
      <c r="O284" s="446" t="s">
        <v>748</v>
      </c>
      <c r="P284" s="450" t="s">
        <v>748</v>
      </c>
      <c r="Q284" s="450"/>
      <c r="R284" s="450"/>
      <c r="S284" s="449" t="s">
        <v>765</v>
      </c>
      <c r="T284" s="449" t="s">
        <v>849</v>
      </c>
      <c r="U284" s="452">
        <v>15722.262502217762</v>
      </c>
      <c r="V2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561284.77132917417</v>
      </c>
      <c r="W284" s="272">
        <f>IFERROR(SUMIFS(TransUnitCost[Miles],TransUnitCost[Grouping_ID],TransTonsShort[[#This Row],[Grouping_ID]],TransUnitCost[Transp_ID],TransTonsShort[[#This Row],[Transp_ID]])*TransTonsShort[[#This Row],[Trans_Tons_All]]/TransTonsShort[[#This Row],[Trans_Tons_All]],"")</f>
        <v>70</v>
      </c>
      <c r="X284" s="386" t="str">
        <f>TransTonsShort[[#This Row],[Grouping_ID]]&amp;"-"&amp;TransTonsShort[[#This Row],[Sector_ID]]</f>
        <v>2-1</v>
      </c>
      <c r="Y2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4" s="421">
        <f>INDEX(LandfillFees[Disposal Tip Fee 2025],MATCH(TransTonsShort[[#This Row],[Grouping_ID]],LandfillFees[Grouping_ID],0))</f>
        <v>72.030938699729589</v>
      </c>
      <c r="AA284" s="102">
        <f>IF(OR(TransTonsShort[[#This Row],[CollectionStream_ID]]="03",TransTonsShort[[#This Row],[CollectionStream_ID]]="04",TransTonsShort[[#This Row],[CollectionStream_ID]]="13"),0,TransTonsShort[[#This Row],[Trans_Tons_All]]*TransTonsShort[[#This Row],[Disposal_Fee]])</f>
        <v>1132489.3265183046</v>
      </c>
      <c r="AF284" s="446" t="s">
        <v>1457</v>
      </c>
      <c r="AG284" s="442" t="str">
        <f>LEFT(SecondaryTransport[[#This Row],[Scenario_MRF_Bale_ID]],2)</f>
        <v>S1</v>
      </c>
      <c r="AH284" s="181" t="str">
        <f>LEFT(RIGHT(SecondaryTransport[[#This Row],[Scenario_MRF_Bale_ID]],10),2)</f>
        <v>04</v>
      </c>
      <c r="AI284" s="181" t="str">
        <f>INDEX(MRFs[MRF_Name],MATCH(SecondaryTransport[[#This Row],[MRF_ID]],MRFs[MRF_ID],0))</f>
        <v>1 MRF for SS with fiber and container upgrades (Portland)</v>
      </c>
      <c r="AJ284" s="181" t="str">
        <f>RIGHT(SecondaryTransport[[#This Row],[Scenario_MRF_Bale_ID]],7)</f>
        <v>2000-09</v>
      </c>
      <c r="AK284" s="181" t="str">
        <f>INDEX(Bales[Bale_Name],MATCH(SecondaryTransport[[#This Row],[Bale_ID]],Bales[Bale_ID],0))</f>
        <v>PE retail mix film</v>
      </c>
      <c r="AL284" s="443">
        <f>INDEX(BaleMover[Total_Baled_tons],MATCH(SecondaryTransport[[#This Row],[Scenario_MRF_Bale_ID]],BaleMover[Scenario_MRF_Bale_ID],0))</f>
        <v>0</v>
      </c>
      <c r="AM284" s="443">
        <f>IF(INDEX(BaleMover[Miles],MATCH(SecondaryTransport[[#This Row],[Scenario_MRF_Bale_ID]],BaleMover[Scenario_MRF_Bale_ID],0))="",0,INDEX(BaleMover[Miles],MATCH(SecondaryTransport[[#This Row],[Scenario_MRF_Bale_ID]],BaleMover[Scenario_MRF_Bale_ID],0)))</f>
        <v>0</v>
      </c>
      <c r="AN284" s="251">
        <f>IF(SecondaryTransport[[#This Row],[Bale_ID]]="9000-01","costs elsewhere",SecondaryTransport[[#This Row],[Total_Baled_tons]]*SecondaryTransport[[#This Row],[Miles]])</f>
        <v>0</v>
      </c>
      <c r="AO284" s="352" t="str">
        <f>IF(LEFT(SecondaryTransport[[#This Row],[Bale_ID]],1)*1=5,IF(OR(SecondaryTransport[[#This Row],[MRF_ID]]="02",SecondaryTransport[[#This Row],[MRF_ID]]="08"),2,1),"")</f>
        <v/>
      </c>
      <c r="AP2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4" s="224" t="str">
        <f>IFERROR(IF(1*LEFT(SecondaryTransport[[#This Row],[Bale_ID]],1)=5,SecondaryTransport[[#This Row],[Ton-Miles]]*SecondaryTransport[[#This Row],[Cost_Per_Ton-Mile]],""),"")</f>
        <v/>
      </c>
      <c r="AS284" s="224" t="str">
        <f>IFERROR(IF(SecondaryTransport[[#This Row],[Container_Transfer]]="",(SecondaryTransport[[#This Row],[Ton-Miles]]*SecondaryTransport[[#This Row],[Cost_Per_Ton-Mile]]),""),"")</f>
        <v/>
      </c>
    </row>
    <row r="285" spans="3:45" ht="15" x14ac:dyDescent="0.25">
      <c r="C285"/>
      <c r="D285"/>
      <c r="L285" s="446" t="s">
        <v>870</v>
      </c>
      <c r="M285" s="446">
        <v>3</v>
      </c>
      <c r="N285" s="446">
        <v>1</v>
      </c>
      <c r="O285" s="446" t="s">
        <v>748</v>
      </c>
      <c r="P285" s="450" t="s">
        <v>748</v>
      </c>
      <c r="Q285" s="450"/>
      <c r="R285" s="450"/>
      <c r="S285" s="449" t="s">
        <v>765</v>
      </c>
      <c r="T285" s="449" t="s">
        <v>849</v>
      </c>
      <c r="U285" s="452">
        <v>7102.4346803422759</v>
      </c>
      <c r="V2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479414.34092310362</v>
      </c>
      <c r="W285" s="272">
        <f>IFERROR(SUMIFS(TransUnitCost[Miles],TransUnitCost[Grouping_ID],TransTonsShort[[#This Row],[Grouping_ID]],TransUnitCost[Transp_ID],TransTonsShort[[#This Row],[Transp_ID]])*TransTonsShort[[#This Row],[Trans_Tons_All]]/TransTonsShort[[#This Row],[Trans_Tons_All]],"")</f>
        <v>150</v>
      </c>
      <c r="X285" s="386" t="str">
        <f>TransTonsShort[[#This Row],[Grouping_ID]]&amp;"-"&amp;TransTonsShort[[#This Row],[Sector_ID]]</f>
        <v>3-1</v>
      </c>
      <c r="Y2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5" s="421">
        <f>INDEX(LandfillFees[Disposal Tip Fee 2025],MATCH(TransTonsShort[[#This Row],[Grouping_ID]],LandfillFees[Grouping_ID],0))</f>
        <v>72.030938699729589</v>
      </c>
      <c r="AA285" s="102">
        <f>IF(OR(TransTonsShort[[#This Row],[CollectionStream_ID]]="03",TransTonsShort[[#This Row],[CollectionStream_ID]]="04",TransTonsShort[[#This Row],[CollectionStream_ID]]="13"),0,TransTonsShort[[#This Row],[Trans_Tons_All]]*TransTonsShort[[#This Row],[Disposal_Fee]])</f>
        <v>511595.03707856801</v>
      </c>
      <c r="AF285" s="446" t="s">
        <v>1458</v>
      </c>
      <c r="AG285" s="442" t="str">
        <f>LEFT(SecondaryTransport[[#This Row],[Scenario_MRF_Bale_ID]],2)</f>
        <v>S2</v>
      </c>
      <c r="AH285" s="181" t="str">
        <f>LEFT(RIGHT(SecondaryTransport[[#This Row],[Scenario_MRF_Bale_ID]],10),2)</f>
        <v>04</v>
      </c>
      <c r="AI285" s="181" t="str">
        <f>INDEX(MRFs[MRF_Name],MATCH(SecondaryTransport[[#This Row],[MRF_ID]],MRFs[MRF_ID],0))</f>
        <v>1 MRF for SS with fiber and container upgrades (Portland)</v>
      </c>
      <c r="AJ285" s="181" t="str">
        <f>RIGHT(SecondaryTransport[[#This Row],[Scenario_MRF_Bale_ID]],7)</f>
        <v>2000-09</v>
      </c>
      <c r="AK285" s="181" t="str">
        <f>INDEX(Bales[Bale_Name],MATCH(SecondaryTransport[[#This Row],[Bale_ID]],Bales[Bale_ID],0))</f>
        <v>PE retail mix film</v>
      </c>
      <c r="AL285" s="443">
        <f>INDEX(BaleMover[Total_Baled_tons],MATCH(SecondaryTransport[[#This Row],[Scenario_MRF_Bale_ID]],BaleMover[Scenario_MRF_Bale_ID],0))</f>
        <v>0</v>
      </c>
      <c r="AM285" s="443">
        <f>IF(INDEX(BaleMover[Miles],MATCH(SecondaryTransport[[#This Row],[Scenario_MRF_Bale_ID]],BaleMover[Scenario_MRF_Bale_ID],0))="",0,INDEX(BaleMover[Miles],MATCH(SecondaryTransport[[#This Row],[Scenario_MRF_Bale_ID]],BaleMover[Scenario_MRF_Bale_ID],0)))</f>
        <v>0</v>
      </c>
      <c r="AN285" s="251">
        <f>IF(SecondaryTransport[[#This Row],[Bale_ID]]="9000-01","costs elsewhere",SecondaryTransport[[#This Row],[Total_Baled_tons]]*SecondaryTransport[[#This Row],[Miles]])</f>
        <v>0</v>
      </c>
      <c r="AO285" s="352" t="str">
        <f>IF(LEFT(SecondaryTransport[[#This Row],[Bale_ID]],1)*1=5,IF(OR(SecondaryTransport[[#This Row],[MRF_ID]]="02",SecondaryTransport[[#This Row],[MRF_ID]]="08"),2,1),"")</f>
        <v/>
      </c>
      <c r="AP2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5" s="224" t="str">
        <f>IFERROR(IF(1*LEFT(SecondaryTransport[[#This Row],[Bale_ID]],1)=5,SecondaryTransport[[#This Row],[Ton-Miles]]*SecondaryTransport[[#This Row],[Cost_Per_Ton-Mile]],""),"")</f>
        <v/>
      </c>
      <c r="AS285" s="224" t="str">
        <f>IFERROR(IF(SecondaryTransport[[#This Row],[Container_Transfer]]="",(SecondaryTransport[[#This Row],[Ton-Miles]]*SecondaryTransport[[#This Row],[Cost_Per_Ton-Mile]]),""),"")</f>
        <v/>
      </c>
    </row>
    <row r="286" spans="3:45" ht="15" x14ac:dyDescent="0.25">
      <c r="C286"/>
      <c r="D286"/>
      <c r="L286" s="446" t="s">
        <v>870</v>
      </c>
      <c r="M286" s="446">
        <v>4</v>
      </c>
      <c r="N286" s="446">
        <v>1</v>
      </c>
      <c r="O286" s="446" t="s">
        <v>748</v>
      </c>
      <c r="P286" s="450" t="s">
        <v>748</v>
      </c>
      <c r="Q286" s="450"/>
      <c r="R286" s="450"/>
      <c r="S286" s="449" t="s">
        <v>765</v>
      </c>
      <c r="T286" s="449" t="s">
        <v>849</v>
      </c>
      <c r="U286" s="452">
        <v>41.414438366533197</v>
      </c>
      <c r="V2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5280.3408917329825</v>
      </c>
      <c r="W286" s="272">
        <f>IFERROR(SUMIFS(TransUnitCost[Miles],TransUnitCost[Grouping_ID],TransTonsShort[[#This Row],[Grouping_ID]],TransUnitCost[Transp_ID],TransTonsShort[[#This Row],[Transp_ID]])*TransTonsShort[[#This Row],[Trans_Tons_All]]/TransTonsShort[[#This Row],[Trans_Tons_All]],"")</f>
        <v>250</v>
      </c>
      <c r="X286" s="386" t="str">
        <f>TransTonsShort[[#This Row],[Grouping_ID]]&amp;"-"&amp;TransTonsShort[[#This Row],[Sector_ID]]</f>
        <v>4-1</v>
      </c>
      <c r="Y2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6" s="421">
        <f>INDEX(LandfillFees[Disposal Tip Fee 2025],MATCH(TransTonsShort[[#This Row],[Grouping_ID]],LandfillFees[Grouping_ID],0))</f>
        <v>72.030938699729589</v>
      </c>
      <c r="AA286" s="102">
        <f>IF(OR(TransTonsShort[[#This Row],[CollectionStream_ID]]="03",TransTonsShort[[#This Row],[CollectionStream_ID]]="04",TransTonsShort[[#This Row],[CollectionStream_ID]]="13"),0,TransTonsShort[[#This Row],[Trans_Tons_All]]*TransTonsShort[[#This Row],[Disposal_Fee]])</f>
        <v>2983.1208712634821</v>
      </c>
      <c r="AF286" s="446" t="s">
        <v>1459</v>
      </c>
      <c r="AG286" s="442" t="str">
        <f>LEFT(SecondaryTransport[[#This Row],[Scenario_MRF_Bale_ID]],2)</f>
        <v>S3</v>
      </c>
      <c r="AH286" s="181" t="str">
        <f>LEFT(RIGHT(SecondaryTransport[[#This Row],[Scenario_MRF_Bale_ID]],10),2)</f>
        <v>04</v>
      </c>
      <c r="AI286" s="181" t="str">
        <f>INDEX(MRFs[MRF_Name],MATCH(SecondaryTransport[[#This Row],[MRF_ID]],MRFs[MRF_ID],0))</f>
        <v>1 MRF for SS with fiber and container upgrades (Portland)</v>
      </c>
      <c r="AJ286" s="181" t="str">
        <f>RIGHT(SecondaryTransport[[#This Row],[Scenario_MRF_Bale_ID]],7)</f>
        <v>2000-09</v>
      </c>
      <c r="AK286" s="181" t="str">
        <f>INDEX(Bales[Bale_Name],MATCH(SecondaryTransport[[#This Row],[Bale_ID]],Bales[Bale_ID],0))</f>
        <v>PE retail mix film</v>
      </c>
      <c r="AL286" s="443">
        <f>INDEX(BaleMover[Total_Baled_tons],MATCH(SecondaryTransport[[#This Row],[Scenario_MRF_Bale_ID]],BaleMover[Scenario_MRF_Bale_ID],0))</f>
        <v>0</v>
      </c>
      <c r="AM286" s="443">
        <f>IF(INDEX(BaleMover[Miles],MATCH(SecondaryTransport[[#This Row],[Scenario_MRF_Bale_ID]],BaleMover[Scenario_MRF_Bale_ID],0))="",0,INDEX(BaleMover[Miles],MATCH(SecondaryTransport[[#This Row],[Scenario_MRF_Bale_ID]],BaleMover[Scenario_MRF_Bale_ID],0)))</f>
        <v>0</v>
      </c>
      <c r="AN286" s="251">
        <f>IF(SecondaryTransport[[#This Row],[Bale_ID]]="9000-01","costs elsewhere",SecondaryTransport[[#This Row],[Total_Baled_tons]]*SecondaryTransport[[#This Row],[Miles]])</f>
        <v>0</v>
      </c>
      <c r="AO286" s="352" t="str">
        <f>IF(LEFT(SecondaryTransport[[#This Row],[Bale_ID]],1)*1=5,IF(OR(SecondaryTransport[[#This Row],[MRF_ID]]="02",SecondaryTransport[[#This Row],[MRF_ID]]="08"),2,1),"")</f>
        <v/>
      </c>
      <c r="AP2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8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86" s="224" t="str">
        <f>IFERROR(IF(1*LEFT(SecondaryTransport[[#This Row],[Bale_ID]],1)=5,SecondaryTransport[[#This Row],[Ton-Miles]]*SecondaryTransport[[#This Row],[Cost_Per_Ton-Mile]],""),"")</f>
        <v/>
      </c>
      <c r="AS286" s="224" t="str">
        <f>IFERROR(IF(SecondaryTransport[[#This Row],[Container_Transfer]]="",(SecondaryTransport[[#This Row],[Ton-Miles]]*SecondaryTransport[[#This Row],[Cost_Per_Ton-Mile]]),""),"")</f>
        <v/>
      </c>
    </row>
    <row r="287" spans="3:45" ht="15" x14ac:dyDescent="0.25">
      <c r="C287"/>
      <c r="D287"/>
      <c r="L287" s="446" t="s">
        <v>870</v>
      </c>
      <c r="M287" s="446">
        <v>1</v>
      </c>
      <c r="N287" s="446">
        <v>1</v>
      </c>
      <c r="O287" s="446" t="s">
        <v>746</v>
      </c>
      <c r="P287" s="449" t="s">
        <v>719</v>
      </c>
      <c r="Q287" s="449"/>
      <c r="R287" s="449"/>
      <c r="S287" s="449" t="s">
        <v>762</v>
      </c>
      <c r="T287" s="449" t="s">
        <v>1055</v>
      </c>
      <c r="U287" s="452">
        <v>0</v>
      </c>
      <c r="V2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7" s="272" t="str">
        <f>IFERROR(SUMIFS(TransUnitCost[Miles],TransUnitCost[Grouping_ID],TransTonsShort[[#This Row],[Grouping_ID]],TransUnitCost[Transp_ID],TransTonsShort[[#This Row],[Transp_ID]])*TransTonsShort[[#This Row],[Trans_Tons_All]]/TransTonsShort[[#This Row],[Trans_Tons_All]],"")</f>
        <v/>
      </c>
      <c r="X287" s="386" t="str">
        <f>TransTonsShort[[#This Row],[Grouping_ID]]&amp;"-"&amp;TransTonsShort[[#This Row],[Sector_ID]]</f>
        <v>1-1</v>
      </c>
      <c r="Y2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7" s="421">
        <f>INDEX(LandfillFees[Disposal Tip Fee 2025],MATCH(TransTonsShort[[#This Row],[Grouping_ID]],LandfillFees[Grouping_ID],0))</f>
        <v>134.68</v>
      </c>
      <c r="AA287" s="102">
        <f>IF(OR(TransTonsShort[[#This Row],[CollectionStream_ID]]="03",TransTonsShort[[#This Row],[CollectionStream_ID]]="04",TransTonsShort[[#This Row],[CollectionStream_ID]]="13"),0,TransTonsShort[[#This Row],[Trans_Tons_All]]*TransTonsShort[[#This Row],[Disposal_Fee]])</f>
        <v>0</v>
      </c>
      <c r="AF287" s="446" t="s">
        <v>1460</v>
      </c>
      <c r="AG287" s="442" t="str">
        <f>LEFT(SecondaryTransport[[#This Row],[Scenario_MRF_Bale_ID]],2)</f>
        <v>S0</v>
      </c>
      <c r="AH287" s="181" t="str">
        <f>LEFT(RIGHT(SecondaryTransport[[#This Row],[Scenario_MRF_Bale_ID]],10),2)</f>
        <v>04</v>
      </c>
      <c r="AI287" s="181" t="str">
        <f>INDEX(MRFs[MRF_Name],MATCH(SecondaryTransport[[#This Row],[MRF_ID]],MRFs[MRF_ID],0))</f>
        <v>1 MRF for SS with fiber and container upgrades (Portland)</v>
      </c>
      <c r="AJ287" s="181" t="str">
        <f>RIGHT(SecondaryTransport[[#This Row],[Scenario_MRF_Bale_ID]],7)</f>
        <v>2000-10</v>
      </c>
      <c r="AK287" s="181" t="str">
        <f>INDEX(Bales[Bale_Name],MATCH(SecondaryTransport[[#This Row],[Bale_ID]],Bales[Bale_ID],0))</f>
        <v>Mixed bulky rigid plastics (mainly PE and PP) </v>
      </c>
      <c r="AL287" s="443">
        <f>INDEX(BaleMover[Total_Baled_tons],MATCH(SecondaryTransport[[#This Row],[Scenario_MRF_Bale_ID]],BaleMover[Scenario_MRF_Bale_ID],0))</f>
        <v>814.28136762946701</v>
      </c>
      <c r="AM287" s="443">
        <f>IF(INDEX(BaleMover[Miles],MATCH(SecondaryTransport[[#This Row],[Scenario_MRF_Bale_ID]],BaleMover[Scenario_MRF_Bale_ID],0))="",0,INDEX(BaleMover[Miles],MATCH(SecondaryTransport[[#This Row],[Scenario_MRF_Bale_ID]],BaleMover[Scenario_MRF_Bale_ID],0)))</f>
        <v>2630</v>
      </c>
      <c r="AN287" s="251">
        <f>IF(SecondaryTransport[[#This Row],[Bale_ID]]="9000-01","costs elsewhere",SecondaryTransport[[#This Row],[Total_Baled_tons]]*SecondaryTransport[[#This Row],[Miles]])</f>
        <v>2141559.9968654984</v>
      </c>
      <c r="AO287" s="352" t="str">
        <f>IF(LEFT(SecondaryTransport[[#This Row],[Bale_ID]],1)*1=5,IF(OR(SecondaryTransport[[#This Row],[MRF_ID]]="02",SecondaryTransport[[#This Row],[MRF_ID]]="08"),2,1),"")</f>
        <v/>
      </c>
      <c r="AP2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8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87" s="224" t="str">
        <f>IFERROR(IF(1*LEFT(SecondaryTransport[[#This Row],[Bale_ID]],1)=5,SecondaryTransport[[#This Row],[Ton-Miles]]*SecondaryTransport[[#This Row],[Cost_Per_Ton-Mile]],""),"")</f>
        <v/>
      </c>
      <c r="AS287" s="224">
        <f>IFERROR(IF(SecondaryTransport[[#This Row],[Container_Transfer]]="",(SecondaryTransport[[#This Row],[Ton-Miles]]*SecondaryTransport[[#This Row],[Cost_Per_Ton-Mile]]),""),"")</f>
        <v>299818.39956116979</v>
      </c>
    </row>
    <row r="288" spans="3:45" ht="15" x14ac:dyDescent="0.25">
      <c r="C288"/>
      <c r="D288"/>
      <c r="L288" s="446" t="s">
        <v>870</v>
      </c>
      <c r="M288" s="446">
        <v>2</v>
      </c>
      <c r="N288" s="446">
        <v>1</v>
      </c>
      <c r="O288" s="446" t="s">
        <v>746</v>
      </c>
      <c r="P288" s="449" t="s">
        <v>719</v>
      </c>
      <c r="Q288" s="449"/>
      <c r="R288" s="449"/>
      <c r="S288" s="449" t="s">
        <v>762</v>
      </c>
      <c r="T288" s="449" t="s">
        <v>1055</v>
      </c>
      <c r="U288" s="452">
        <v>0</v>
      </c>
      <c r="V2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8" s="272" t="str">
        <f>IFERROR(SUMIFS(TransUnitCost[Miles],TransUnitCost[Grouping_ID],TransTonsShort[[#This Row],[Grouping_ID]],TransUnitCost[Transp_ID],TransTonsShort[[#This Row],[Transp_ID]])*TransTonsShort[[#This Row],[Trans_Tons_All]]/TransTonsShort[[#This Row],[Trans_Tons_All]],"")</f>
        <v/>
      </c>
      <c r="X288" s="386" t="str">
        <f>TransTonsShort[[#This Row],[Grouping_ID]]&amp;"-"&amp;TransTonsShort[[#This Row],[Sector_ID]]</f>
        <v>2-1</v>
      </c>
      <c r="Y2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8" s="421">
        <f>INDEX(LandfillFees[Disposal Tip Fee 2025],MATCH(TransTonsShort[[#This Row],[Grouping_ID]],LandfillFees[Grouping_ID],0))</f>
        <v>72.030938699729589</v>
      </c>
      <c r="AA288" s="102">
        <f>IF(OR(TransTonsShort[[#This Row],[CollectionStream_ID]]="03",TransTonsShort[[#This Row],[CollectionStream_ID]]="04",TransTonsShort[[#This Row],[CollectionStream_ID]]="13"),0,TransTonsShort[[#This Row],[Trans_Tons_All]]*TransTonsShort[[#This Row],[Disposal_Fee]])</f>
        <v>0</v>
      </c>
      <c r="AF288" s="446" t="s">
        <v>1461</v>
      </c>
      <c r="AG288" s="442" t="str">
        <f>LEFT(SecondaryTransport[[#This Row],[Scenario_MRF_Bale_ID]],2)</f>
        <v>S1</v>
      </c>
      <c r="AH288" s="181" t="str">
        <f>LEFT(RIGHT(SecondaryTransport[[#This Row],[Scenario_MRF_Bale_ID]],10),2)</f>
        <v>04</v>
      </c>
      <c r="AI288" s="181" t="str">
        <f>INDEX(MRFs[MRF_Name],MATCH(SecondaryTransport[[#This Row],[MRF_ID]],MRFs[MRF_ID],0))</f>
        <v>1 MRF for SS with fiber and container upgrades (Portland)</v>
      </c>
      <c r="AJ288" s="181" t="str">
        <f>RIGHT(SecondaryTransport[[#This Row],[Scenario_MRF_Bale_ID]],7)</f>
        <v>2000-10</v>
      </c>
      <c r="AK288" s="181" t="str">
        <f>INDEX(Bales[Bale_Name],MATCH(SecondaryTransport[[#This Row],[Bale_ID]],Bales[Bale_ID],0))</f>
        <v>Mixed bulky rigid plastics (mainly PE and PP) </v>
      </c>
      <c r="AL288" s="443">
        <f>INDEX(BaleMover[Total_Baled_tons],MATCH(SecondaryTransport[[#This Row],[Scenario_MRF_Bale_ID]],BaleMover[Scenario_MRF_Bale_ID],0))</f>
        <v>512.83017606444923</v>
      </c>
      <c r="AM288" s="443">
        <f>IF(INDEX(BaleMover[Miles],MATCH(SecondaryTransport[[#This Row],[Scenario_MRF_Bale_ID]],BaleMover[Scenario_MRF_Bale_ID],0))="",0,INDEX(BaleMover[Miles],MATCH(SecondaryTransport[[#This Row],[Scenario_MRF_Bale_ID]],BaleMover[Scenario_MRF_Bale_ID],0)))</f>
        <v>2630</v>
      </c>
      <c r="AN288" s="251">
        <f>IF(SecondaryTransport[[#This Row],[Bale_ID]]="9000-01","costs elsewhere",SecondaryTransport[[#This Row],[Total_Baled_tons]]*SecondaryTransport[[#This Row],[Miles]])</f>
        <v>1348743.3630495016</v>
      </c>
      <c r="AO288" s="352" t="str">
        <f>IF(LEFT(SecondaryTransport[[#This Row],[Bale_ID]],1)*1=5,IF(OR(SecondaryTransport[[#This Row],[MRF_ID]]="02",SecondaryTransport[[#This Row],[MRF_ID]]="08"),2,1),"")</f>
        <v/>
      </c>
      <c r="AP2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8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88" s="224" t="str">
        <f>IFERROR(IF(1*LEFT(SecondaryTransport[[#This Row],[Bale_ID]],1)=5,SecondaryTransport[[#This Row],[Ton-Miles]]*SecondaryTransport[[#This Row],[Cost_Per_Ton-Mile]],""),"")</f>
        <v/>
      </c>
      <c r="AS288" s="224">
        <f>IFERROR(IF(SecondaryTransport[[#This Row],[Container_Transfer]]="",(SecondaryTransport[[#This Row],[Ton-Miles]]*SecondaryTransport[[#This Row],[Cost_Per_Ton-Mile]]),""),"")</f>
        <v>188824.07082693023</v>
      </c>
    </row>
    <row r="289" spans="3:45" ht="15" x14ac:dyDescent="0.25">
      <c r="C289"/>
      <c r="D289"/>
      <c r="L289" s="446" t="s">
        <v>870</v>
      </c>
      <c r="M289" s="446">
        <v>3</v>
      </c>
      <c r="N289" s="446">
        <v>1</v>
      </c>
      <c r="O289" s="446" t="s">
        <v>746</v>
      </c>
      <c r="P289" s="449" t="s">
        <v>719</v>
      </c>
      <c r="Q289" s="449"/>
      <c r="R289" s="449"/>
      <c r="S289" s="449" t="s">
        <v>762</v>
      </c>
      <c r="T289" s="449" t="s">
        <v>1055</v>
      </c>
      <c r="U289" s="452">
        <v>0</v>
      </c>
      <c r="V2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89" s="272" t="str">
        <f>IFERROR(SUMIFS(TransUnitCost[Miles],TransUnitCost[Grouping_ID],TransTonsShort[[#This Row],[Grouping_ID]],TransUnitCost[Transp_ID],TransTonsShort[[#This Row],[Transp_ID]])*TransTonsShort[[#This Row],[Trans_Tons_All]]/TransTonsShort[[#This Row],[Trans_Tons_All]],"")</f>
        <v/>
      </c>
      <c r="X289" s="386" t="str">
        <f>TransTonsShort[[#This Row],[Grouping_ID]]&amp;"-"&amp;TransTonsShort[[#This Row],[Sector_ID]]</f>
        <v>3-1</v>
      </c>
      <c r="Y2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89" s="421">
        <f>INDEX(LandfillFees[Disposal Tip Fee 2025],MATCH(TransTonsShort[[#This Row],[Grouping_ID]],LandfillFees[Grouping_ID],0))</f>
        <v>72.030938699729589</v>
      </c>
      <c r="AA289" s="102">
        <f>IF(OR(TransTonsShort[[#This Row],[CollectionStream_ID]]="03",TransTonsShort[[#This Row],[CollectionStream_ID]]="04",TransTonsShort[[#This Row],[CollectionStream_ID]]="13"),0,TransTonsShort[[#This Row],[Trans_Tons_All]]*TransTonsShort[[#This Row],[Disposal_Fee]])</f>
        <v>0</v>
      </c>
      <c r="AF289" s="446" t="s">
        <v>1462</v>
      </c>
      <c r="AG289" s="442" t="str">
        <f>LEFT(SecondaryTransport[[#This Row],[Scenario_MRF_Bale_ID]],2)</f>
        <v>S2</v>
      </c>
      <c r="AH289" s="181" t="str">
        <f>LEFT(RIGHT(SecondaryTransport[[#This Row],[Scenario_MRF_Bale_ID]],10),2)</f>
        <v>04</v>
      </c>
      <c r="AI289" s="181" t="str">
        <f>INDEX(MRFs[MRF_Name],MATCH(SecondaryTransport[[#This Row],[MRF_ID]],MRFs[MRF_ID],0))</f>
        <v>1 MRF for SS with fiber and container upgrades (Portland)</v>
      </c>
      <c r="AJ289" s="181" t="str">
        <f>RIGHT(SecondaryTransport[[#This Row],[Scenario_MRF_Bale_ID]],7)</f>
        <v>2000-10</v>
      </c>
      <c r="AK289" s="181" t="str">
        <f>INDEX(Bales[Bale_Name],MATCH(SecondaryTransport[[#This Row],[Bale_ID]],Bales[Bale_ID],0))</f>
        <v>Mixed bulky rigid plastics (mainly PE and PP) </v>
      </c>
      <c r="AL289" s="443">
        <f>INDEX(BaleMover[Total_Baled_tons],MATCH(SecondaryTransport[[#This Row],[Scenario_MRF_Bale_ID]],BaleMover[Scenario_MRF_Bale_ID],0))</f>
        <v>3381.4686248769544</v>
      </c>
      <c r="AM289" s="443">
        <f>IF(INDEX(BaleMover[Miles],MATCH(SecondaryTransport[[#This Row],[Scenario_MRF_Bale_ID]],BaleMover[Scenario_MRF_Bale_ID],0))="",0,INDEX(BaleMover[Miles],MATCH(SecondaryTransport[[#This Row],[Scenario_MRF_Bale_ID]],BaleMover[Scenario_MRF_Bale_ID],0)))</f>
        <v>2630</v>
      </c>
      <c r="AN289" s="251">
        <f>IF(SecondaryTransport[[#This Row],[Bale_ID]]="9000-01","costs elsewhere",SecondaryTransport[[#This Row],[Total_Baled_tons]]*SecondaryTransport[[#This Row],[Miles]])</f>
        <v>8893262.4834263902</v>
      </c>
      <c r="AO289" s="352" t="str">
        <f>IF(LEFT(SecondaryTransport[[#This Row],[Bale_ID]],1)*1=5,IF(OR(SecondaryTransport[[#This Row],[MRF_ID]]="02",SecondaryTransport[[#This Row],[MRF_ID]]="08"),2,1),"")</f>
        <v/>
      </c>
      <c r="AP2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8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89" s="224" t="str">
        <f>IFERROR(IF(1*LEFT(SecondaryTransport[[#This Row],[Bale_ID]],1)=5,SecondaryTransport[[#This Row],[Ton-Miles]]*SecondaryTransport[[#This Row],[Cost_Per_Ton-Mile]],""),"")</f>
        <v/>
      </c>
      <c r="AS289" s="224">
        <f>IFERROR(IF(SecondaryTransport[[#This Row],[Container_Transfer]]="",(SecondaryTransport[[#This Row],[Ton-Miles]]*SecondaryTransport[[#This Row],[Cost_Per_Ton-Mile]]),""),"")</f>
        <v>1245056.7476796948</v>
      </c>
    </row>
    <row r="290" spans="3:45" ht="15" x14ac:dyDescent="0.25">
      <c r="C290"/>
      <c r="D290"/>
      <c r="L290" s="446" t="s">
        <v>870</v>
      </c>
      <c r="M290" s="446">
        <v>4</v>
      </c>
      <c r="N290" s="446">
        <v>1</v>
      </c>
      <c r="O290" s="446" t="s">
        <v>746</v>
      </c>
      <c r="P290" s="449" t="s">
        <v>719</v>
      </c>
      <c r="Q290" s="449"/>
      <c r="R290" s="449"/>
      <c r="S290" s="449" t="s">
        <v>762</v>
      </c>
      <c r="T290" s="449" t="s">
        <v>1055</v>
      </c>
      <c r="U290" s="452">
        <v>0</v>
      </c>
      <c r="V2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0" s="272" t="str">
        <f>IFERROR(SUMIFS(TransUnitCost[Miles],TransUnitCost[Grouping_ID],TransTonsShort[[#This Row],[Grouping_ID]],TransUnitCost[Transp_ID],TransTonsShort[[#This Row],[Transp_ID]])*TransTonsShort[[#This Row],[Trans_Tons_All]]/TransTonsShort[[#This Row],[Trans_Tons_All]],"")</f>
        <v/>
      </c>
      <c r="X290" s="386" t="str">
        <f>TransTonsShort[[#This Row],[Grouping_ID]]&amp;"-"&amp;TransTonsShort[[#This Row],[Sector_ID]]</f>
        <v>4-1</v>
      </c>
      <c r="Y2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0" s="421">
        <f>INDEX(LandfillFees[Disposal Tip Fee 2025],MATCH(TransTonsShort[[#This Row],[Grouping_ID]],LandfillFees[Grouping_ID],0))</f>
        <v>72.030938699729589</v>
      </c>
      <c r="AA290" s="102">
        <f>IF(OR(TransTonsShort[[#This Row],[CollectionStream_ID]]="03",TransTonsShort[[#This Row],[CollectionStream_ID]]="04",TransTonsShort[[#This Row],[CollectionStream_ID]]="13"),0,TransTonsShort[[#This Row],[Trans_Tons_All]]*TransTonsShort[[#This Row],[Disposal_Fee]])</f>
        <v>0</v>
      </c>
      <c r="AF290" s="446" t="s">
        <v>1463</v>
      </c>
      <c r="AG290" s="442" t="str">
        <f>LEFT(SecondaryTransport[[#This Row],[Scenario_MRF_Bale_ID]],2)</f>
        <v>S3</v>
      </c>
      <c r="AH290" s="181" t="str">
        <f>LEFT(RIGHT(SecondaryTransport[[#This Row],[Scenario_MRF_Bale_ID]],10),2)</f>
        <v>04</v>
      </c>
      <c r="AI290" s="181" t="str">
        <f>INDEX(MRFs[MRF_Name],MATCH(SecondaryTransport[[#This Row],[MRF_ID]],MRFs[MRF_ID],0))</f>
        <v>1 MRF for SS with fiber and container upgrades (Portland)</v>
      </c>
      <c r="AJ290" s="181" t="str">
        <f>RIGHT(SecondaryTransport[[#This Row],[Scenario_MRF_Bale_ID]],7)</f>
        <v>2000-10</v>
      </c>
      <c r="AK290" s="181" t="str">
        <f>INDEX(Bales[Bale_Name],MATCH(SecondaryTransport[[#This Row],[Bale_ID]],Bales[Bale_ID],0))</f>
        <v>Mixed bulky rigid plastics (mainly PE and PP) </v>
      </c>
      <c r="AL290" s="443">
        <f>INDEX(BaleMover[Total_Baled_tons],MATCH(SecondaryTransport[[#This Row],[Scenario_MRF_Bale_ID]],BaleMover[Scenario_MRF_Bale_ID],0))</f>
        <v>3410.6899832815989</v>
      </c>
      <c r="AM290" s="443">
        <f>IF(INDEX(BaleMover[Miles],MATCH(SecondaryTransport[[#This Row],[Scenario_MRF_Bale_ID]],BaleMover[Scenario_MRF_Bale_ID],0))="",0,INDEX(BaleMover[Miles],MATCH(SecondaryTransport[[#This Row],[Scenario_MRF_Bale_ID]],BaleMover[Scenario_MRF_Bale_ID],0)))</f>
        <v>2630</v>
      </c>
      <c r="AN290" s="251">
        <f>IF(SecondaryTransport[[#This Row],[Bale_ID]]="9000-01","costs elsewhere",SecondaryTransport[[#This Row],[Total_Baled_tons]]*SecondaryTransport[[#This Row],[Miles]])</f>
        <v>8970114.6560306046</v>
      </c>
      <c r="AO290" s="352" t="str">
        <f>IF(LEFT(SecondaryTransport[[#This Row],[Bale_ID]],1)*1=5,IF(OR(SecondaryTransport[[#This Row],[MRF_ID]]="02",SecondaryTransport[[#This Row],[MRF_ID]]="08"),2,1),"")</f>
        <v/>
      </c>
      <c r="AP2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29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290" s="224" t="str">
        <f>IFERROR(IF(1*LEFT(SecondaryTransport[[#This Row],[Bale_ID]],1)=5,SecondaryTransport[[#This Row],[Ton-Miles]]*SecondaryTransport[[#This Row],[Cost_Per_Ton-Mile]],""),"")</f>
        <v/>
      </c>
      <c r="AS290" s="224">
        <f>IFERROR(IF(SecondaryTransport[[#This Row],[Container_Transfer]]="",(SecondaryTransport[[#This Row],[Ton-Miles]]*SecondaryTransport[[#This Row],[Cost_Per_Ton-Mile]]),""),"")</f>
        <v>1255816.0518442849</v>
      </c>
    </row>
    <row r="291" spans="3:45" ht="15" x14ac:dyDescent="0.25">
      <c r="C291"/>
      <c r="D291"/>
      <c r="L291" s="446" t="s">
        <v>870</v>
      </c>
      <c r="M291" s="446">
        <v>1</v>
      </c>
      <c r="N291" s="446">
        <v>1</v>
      </c>
      <c r="O291" s="446" t="s">
        <v>746</v>
      </c>
      <c r="P291" s="449" t="s">
        <v>700</v>
      </c>
      <c r="Q291" s="449"/>
      <c r="R291" s="449"/>
      <c r="S291" s="449" t="s">
        <v>762</v>
      </c>
      <c r="T291" s="449" t="s">
        <v>701</v>
      </c>
      <c r="U291" s="452">
        <v>77152.418034009286</v>
      </c>
      <c r="V2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1" s="272">
        <f>IFERROR(SUMIFS(TransUnitCost[Miles],TransUnitCost[Grouping_ID],TransTonsShort[[#This Row],[Grouping_ID]],TransUnitCost[Transp_ID],TransTonsShort[[#This Row],[Transp_ID]])*TransTonsShort[[#This Row],[Trans_Tons_All]]/TransTonsShort[[#This Row],[Trans_Tons_All]],"")</f>
        <v>0</v>
      </c>
      <c r="X291" s="386" t="str">
        <f>TransTonsShort[[#This Row],[Grouping_ID]]&amp;"-"&amp;TransTonsShort[[#This Row],[Sector_ID]]</f>
        <v>1-1</v>
      </c>
      <c r="Y2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1" s="421">
        <f>INDEX(LandfillFees[Disposal Tip Fee 2025],MATCH(TransTonsShort[[#This Row],[Grouping_ID]],LandfillFees[Grouping_ID],0))</f>
        <v>134.68</v>
      </c>
      <c r="AA291" s="102">
        <f>IF(OR(TransTonsShort[[#This Row],[CollectionStream_ID]]="03",TransTonsShort[[#This Row],[CollectionStream_ID]]="04",TransTonsShort[[#This Row],[CollectionStream_ID]]="13"),0,TransTonsShort[[#This Row],[Trans_Tons_All]]*TransTonsShort[[#This Row],[Disposal_Fee]])</f>
        <v>10390887.660820371</v>
      </c>
      <c r="AF291" s="446" t="s">
        <v>1464</v>
      </c>
      <c r="AG291" s="442" t="str">
        <f>LEFT(SecondaryTransport[[#This Row],[Scenario_MRF_Bale_ID]],2)</f>
        <v>S0</v>
      </c>
      <c r="AH291" s="181" t="str">
        <f>LEFT(RIGHT(SecondaryTransport[[#This Row],[Scenario_MRF_Bale_ID]],10),2)</f>
        <v>04</v>
      </c>
      <c r="AI291" s="181" t="str">
        <f>INDEX(MRFs[MRF_Name],MATCH(SecondaryTransport[[#This Row],[MRF_ID]],MRFs[MRF_ID],0))</f>
        <v>1 MRF for SS with fiber and container upgrades (Portland)</v>
      </c>
      <c r="AJ291" s="181" t="str">
        <f>RIGHT(SecondaryTransport[[#This Row],[Scenario_MRF_Bale_ID]],7)</f>
        <v>2000-11</v>
      </c>
      <c r="AK291" s="181" t="str">
        <f>INDEX(Bales[Bale_Name],MATCH(SecondaryTransport[[#This Row],[Bale_ID]],Bales[Bale_ID],0))</f>
        <v>PP #5 bottles and jars</v>
      </c>
      <c r="AL291" s="443">
        <f>INDEX(BaleMover[Total_Baled_tons],MATCH(SecondaryTransport[[#This Row],[Scenario_MRF_Bale_ID]],BaleMover[Scenario_MRF_Bale_ID],0))</f>
        <v>54.482900498905508</v>
      </c>
      <c r="AM291" s="443">
        <f>IF(INDEX(BaleMover[Miles],MATCH(SecondaryTransport[[#This Row],[Scenario_MRF_Bale_ID]],BaleMover[Scenario_MRF_Bale_ID],0))="",0,INDEX(BaleMover[Miles],MATCH(SecondaryTransport[[#This Row],[Scenario_MRF_Bale_ID]],BaleMover[Scenario_MRF_Bale_ID],0)))</f>
        <v>20</v>
      </c>
      <c r="AN291" s="251">
        <f>IF(SecondaryTransport[[#This Row],[Bale_ID]]="9000-01","costs elsewhere",SecondaryTransport[[#This Row],[Total_Baled_tons]]*SecondaryTransport[[#This Row],[Miles]])</f>
        <v>1089.6580099781102</v>
      </c>
      <c r="AO291" s="352" t="str">
        <f>IF(LEFT(SecondaryTransport[[#This Row],[Bale_ID]],1)*1=5,IF(OR(SecondaryTransport[[#This Row],[MRF_ID]]="02",SecondaryTransport[[#This Row],[MRF_ID]]="08"),2,1),"")</f>
        <v/>
      </c>
      <c r="AP2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1" s="224" t="str">
        <f>IFERROR(IF(1*LEFT(SecondaryTransport[[#This Row],[Bale_ID]],1)=5,SecondaryTransport[[#This Row],[Ton-Miles]]*SecondaryTransport[[#This Row],[Cost_Per_Ton-Mile]],""),"")</f>
        <v/>
      </c>
      <c r="AS291" s="224">
        <f>IFERROR(IF(SecondaryTransport[[#This Row],[Container_Transfer]]="",(SecondaryTransport[[#This Row],[Ton-Miles]]*SecondaryTransport[[#This Row],[Cost_Per_Ton-Mile]]),""),"")</f>
        <v>337.79398309321414</v>
      </c>
    </row>
    <row r="292" spans="3:45" ht="15" x14ac:dyDescent="0.25">
      <c r="C292"/>
      <c r="D292"/>
      <c r="L292" s="446" t="s">
        <v>870</v>
      </c>
      <c r="M292" s="446">
        <v>2</v>
      </c>
      <c r="N292" s="446">
        <v>1</v>
      </c>
      <c r="O292" s="446" t="s">
        <v>746</v>
      </c>
      <c r="P292" s="449" t="s">
        <v>700</v>
      </c>
      <c r="Q292" s="449"/>
      <c r="R292" s="449"/>
      <c r="S292" s="449" t="s">
        <v>762</v>
      </c>
      <c r="T292" s="449" t="s">
        <v>701</v>
      </c>
      <c r="U292" s="452">
        <v>34447.902163829698</v>
      </c>
      <c r="V2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2" s="272">
        <f>IFERROR(SUMIFS(TransUnitCost[Miles],TransUnitCost[Grouping_ID],TransTonsShort[[#This Row],[Grouping_ID]],TransUnitCost[Transp_ID],TransTonsShort[[#This Row],[Transp_ID]])*TransTonsShort[[#This Row],[Trans_Tons_All]]/TransTonsShort[[#This Row],[Trans_Tons_All]],"")</f>
        <v>0</v>
      </c>
      <c r="X292" s="386" t="str">
        <f>TransTonsShort[[#This Row],[Grouping_ID]]&amp;"-"&amp;TransTonsShort[[#This Row],[Sector_ID]]</f>
        <v>2-1</v>
      </c>
      <c r="Y2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2" s="421">
        <f>INDEX(LandfillFees[Disposal Tip Fee 2025],MATCH(TransTonsShort[[#This Row],[Grouping_ID]],LandfillFees[Grouping_ID],0))</f>
        <v>72.030938699729589</v>
      </c>
      <c r="AA292" s="102">
        <f>IF(OR(TransTonsShort[[#This Row],[CollectionStream_ID]]="03",TransTonsShort[[#This Row],[CollectionStream_ID]]="04",TransTonsShort[[#This Row],[CollectionStream_ID]]="13"),0,TransTonsShort[[#This Row],[Trans_Tons_All]]*TransTonsShort[[#This Row],[Disposal_Fee]])</f>
        <v>2481314.729097099</v>
      </c>
      <c r="AF292" s="446" t="s">
        <v>1465</v>
      </c>
      <c r="AG292" s="442" t="str">
        <f>LEFT(SecondaryTransport[[#This Row],[Scenario_MRF_Bale_ID]],2)</f>
        <v>S1</v>
      </c>
      <c r="AH292" s="181" t="str">
        <f>LEFT(RIGHT(SecondaryTransport[[#This Row],[Scenario_MRF_Bale_ID]],10),2)</f>
        <v>04</v>
      </c>
      <c r="AI292" s="181" t="str">
        <f>INDEX(MRFs[MRF_Name],MATCH(SecondaryTransport[[#This Row],[MRF_ID]],MRFs[MRF_ID],0))</f>
        <v>1 MRF for SS with fiber and container upgrades (Portland)</v>
      </c>
      <c r="AJ292" s="181" t="str">
        <f>RIGHT(SecondaryTransport[[#This Row],[Scenario_MRF_Bale_ID]],7)</f>
        <v>2000-11</v>
      </c>
      <c r="AK292" s="181" t="str">
        <f>INDEX(Bales[Bale_Name],MATCH(SecondaryTransport[[#This Row],[Bale_ID]],Bales[Bale_ID],0))</f>
        <v>PP #5 bottles and jars</v>
      </c>
      <c r="AL292" s="443">
        <f>INDEX(BaleMover[Total_Baled_tons],MATCH(SecondaryTransport[[#This Row],[Scenario_MRF_Bale_ID]],BaleMover[Scenario_MRF_Bale_ID],0))</f>
        <v>51.313421200872213</v>
      </c>
      <c r="AM292" s="443">
        <f>IF(INDEX(BaleMover[Miles],MATCH(SecondaryTransport[[#This Row],[Scenario_MRF_Bale_ID]],BaleMover[Scenario_MRF_Bale_ID],0))="",0,INDEX(BaleMover[Miles],MATCH(SecondaryTransport[[#This Row],[Scenario_MRF_Bale_ID]],BaleMover[Scenario_MRF_Bale_ID],0)))</f>
        <v>20</v>
      </c>
      <c r="AN292" s="251">
        <f>IF(SecondaryTransport[[#This Row],[Bale_ID]]="9000-01","costs elsewhere",SecondaryTransport[[#This Row],[Total_Baled_tons]]*SecondaryTransport[[#This Row],[Miles]])</f>
        <v>1026.2684240174442</v>
      </c>
      <c r="AO292" s="352" t="str">
        <f>IF(LEFT(SecondaryTransport[[#This Row],[Bale_ID]],1)*1=5,IF(OR(SecondaryTransport[[#This Row],[MRF_ID]]="02",SecondaryTransport[[#This Row],[MRF_ID]]="08"),2,1),"")</f>
        <v/>
      </c>
      <c r="AP2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2" s="224" t="str">
        <f>IFERROR(IF(1*LEFT(SecondaryTransport[[#This Row],[Bale_ID]],1)=5,SecondaryTransport[[#This Row],[Ton-Miles]]*SecondaryTransport[[#This Row],[Cost_Per_Ton-Mile]],""),"")</f>
        <v/>
      </c>
      <c r="AS292" s="224">
        <f>IFERROR(IF(SecondaryTransport[[#This Row],[Container_Transfer]]="",(SecondaryTransport[[#This Row],[Ton-Miles]]*SecondaryTransport[[#This Row],[Cost_Per_Ton-Mile]]),""),"")</f>
        <v>318.1432114454077</v>
      </c>
    </row>
    <row r="293" spans="3:45" ht="15" x14ac:dyDescent="0.25">
      <c r="C293"/>
      <c r="D293"/>
      <c r="L293" s="446" t="s">
        <v>870</v>
      </c>
      <c r="M293" s="446">
        <v>3</v>
      </c>
      <c r="N293" s="446">
        <v>1</v>
      </c>
      <c r="O293" s="446" t="s">
        <v>746</v>
      </c>
      <c r="P293" s="449" t="s">
        <v>700</v>
      </c>
      <c r="Q293" s="449"/>
      <c r="R293" s="449"/>
      <c r="S293" s="449" t="s">
        <v>762</v>
      </c>
      <c r="T293" s="449" t="s">
        <v>701</v>
      </c>
      <c r="U293" s="452">
        <v>0</v>
      </c>
      <c r="V2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3" s="272" t="str">
        <f>IFERROR(SUMIFS(TransUnitCost[Miles],TransUnitCost[Grouping_ID],TransTonsShort[[#This Row],[Grouping_ID]],TransUnitCost[Transp_ID],TransTonsShort[[#This Row],[Transp_ID]])*TransTonsShort[[#This Row],[Trans_Tons_All]]/TransTonsShort[[#This Row],[Trans_Tons_All]],"")</f>
        <v/>
      </c>
      <c r="X293" s="386" t="str">
        <f>TransTonsShort[[#This Row],[Grouping_ID]]&amp;"-"&amp;TransTonsShort[[#This Row],[Sector_ID]]</f>
        <v>3-1</v>
      </c>
      <c r="Y2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3" s="421">
        <f>INDEX(LandfillFees[Disposal Tip Fee 2025],MATCH(TransTonsShort[[#This Row],[Grouping_ID]],LandfillFees[Grouping_ID],0))</f>
        <v>72.030938699729589</v>
      </c>
      <c r="AA293" s="102">
        <f>IF(OR(TransTonsShort[[#This Row],[CollectionStream_ID]]="03",TransTonsShort[[#This Row],[CollectionStream_ID]]="04",TransTonsShort[[#This Row],[CollectionStream_ID]]="13"),0,TransTonsShort[[#This Row],[Trans_Tons_All]]*TransTonsShort[[#This Row],[Disposal_Fee]])</f>
        <v>0</v>
      </c>
      <c r="AF293" s="446" t="s">
        <v>1466</v>
      </c>
      <c r="AG293" s="442" t="str">
        <f>LEFT(SecondaryTransport[[#This Row],[Scenario_MRF_Bale_ID]],2)</f>
        <v>S2</v>
      </c>
      <c r="AH293" s="181" t="str">
        <f>LEFT(RIGHT(SecondaryTransport[[#This Row],[Scenario_MRF_Bale_ID]],10),2)</f>
        <v>04</v>
      </c>
      <c r="AI293" s="181" t="str">
        <f>INDEX(MRFs[MRF_Name],MATCH(SecondaryTransport[[#This Row],[MRF_ID]],MRFs[MRF_ID],0))</f>
        <v>1 MRF for SS with fiber and container upgrades (Portland)</v>
      </c>
      <c r="AJ293" s="181" t="str">
        <f>RIGHT(SecondaryTransport[[#This Row],[Scenario_MRF_Bale_ID]],7)</f>
        <v>2000-11</v>
      </c>
      <c r="AK293" s="181" t="str">
        <f>INDEX(Bales[Bale_Name],MATCH(SecondaryTransport[[#This Row],[Bale_ID]],Bales[Bale_ID],0))</f>
        <v>PP #5 bottles and jars</v>
      </c>
      <c r="AL293" s="443">
        <f>INDEX(BaleMover[Total_Baled_tons],MATCH(SecondaryTransport[[#This Row],[Scenario_MRF_Bale_ID]],BaleMover[Scenario_MRF_Bale_ID],0))</f>
        <v>55.325978148101825</v>
      </c>
      <c r="AM293" s="443">
        <f>IF(INDEX(BaleMover[Miles],MATCH(SecondaryTransport[[#This Row],[Scenario_MRF_Bale_ID]],BaleMover[Scenario_MRF_Bale_ID],0))="",0,INDEX(BaleMover[Miles],MATCH(SecondaryTransport[[#This Row],[Scenario_MRF_Bale_ID]],BaleMover[Scenario_MRF_Bale_ID],0)))</f>
        <v>20</v>
      </c>
      <c r="AN293" s="251">
        <f>IF(SecondaryTransport[[#This Row],[Bale_ID]]="9000-01","costs elsewhere",SecondaryTransport[[#This Row],[Total_Baled_tons]]*SecondaryTransport[[#This Row],[Miles]])</f>
        <v>1106.5195629620366</v>
      </c>
      <c r="AO293" s="352" t="str">
        <f>IF(LEFT(SecondaryTransport[[#This Row],[Bale_ID]],1)*1=5,IF(OR(SecondaryTransport[[#This Row],[MRF_ID]]="02",SecondaryTransport[[#This Row],[MRF_ID]]="08"),2,1),"")</f>
        <v/>
      </c>
      <c r="AP2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3" s="224" t="str">
        <f>IFERROR(IF(1*LEFT(SecondaryTransport[[#This Row],[Bale_ID]],1)=5,SecondaryTransport[[#This Row],[Ton-Miles]]*SecondaryTransport[[#This Row],[Cost_Per_Ton-Mile]],""),"")</f>
        <v/>
      </c>
      <c r="AS293" s="224">
        <f>IFERROR(IF(SecondaryTransport[[#This Row],[Container_Transfer]]="",(SecondaryTransport[[#This Row],[Ton-Miles]]*SecondaryTransport[[#This Row],[Cost_Per_Ton-Mile]]),""),"")</f>
        <v>343.02106451823136</v>
      </c>
    </row>
    <row r="294" spans="3:45" ht="15" x14ac:dyDescent="0.25">
      <c r="C294"/>
      <c r="D294"/>
      <c r="L294" s="446" t="s">
        <v>870</v>
      </c>
      <c r="M294" s="446">
        <v>4</v>
      </c>
      <c r="N294" s="446">
        <v>1</v>
      </c>
      <c r="O294" s="446" t="s">
        <v>746</v>
      </c>
      <c r="P294" s="449" t="s">
        <v>700</v>
      </c>
      <c r="Q294" s="449"/>
      <c r="R294" s="449"/>
      <c r="S294" s="449" t="s">
        <v>762</v>
      </c>
      <c r="T294" s="449" t="s">
        <v>701</v>
      </c>
      <c r="U294" s="452">
        <v>0</v>
      </c>
      <c r="V2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4" s="272" t="str">
        <f>IFERROR(SUMIFS(TransUnitCost[Miles],TransUnitCost[Grouping_ID],TransTonsShort[[#This Row],[Grouping_ID]],TransUnitCost[Transp_ID],TransTonsShort[[#This Row],[Transp_ID]])*TransTonsShort[[#This Row],[Trans_Tons_All]]/TransTonsShort[[#This Row],[Trans_Tons_All]],"")</f>
        <v/>
      </c>
      <c r="X294" s="386" t="str">
        <f>TransTonsShort[[#This Row],[Grouping_ID]]&amp;"-"&amp;TransTonsShort[[#This Row],[Sector_ID]]</f>
        <v>4-1</v>
      </c>
      <c r="Y2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4" s="421">
        <f>INDEX(LandfillFees[Disposal Tip Fee 2025],MATCH(TransTonsShort[[#This Row],[Grouping_ID]],LandfillFees[Grouping_ID],0))</f>
        <v>72.030938699729589</v>
      </c>
      <c r="AA294" s="102">
        <f>IF(OR(TransTonsShort[[#This Row],[CollectionStream_ID]]="03",TransTonsShort[[#This Row],[CollectionStream_ID]]="04",TransTonsShort[[#This Row],[CollectionStream_ID]]="13"),0,TransTonsShort[[#This Row],[Trans_Tons_All]]*TransTonsShort[[#This Row],[Disposal_Fee]])</f>
        <v>0</v>
      </c>
      <c r="AF294" s="446" t="s">
        <v>1467</v>
      </c>
      <c r="AG294" s="442" t="str">
        <f>LEFT(SecondaryTransport[[#This Row],[Scenario_MRF_Bale_ID]],2)</f>
        <v>S3</v>
      </c>
      <c r="AH294" s="181" t="str">
        <f>LEFT(RIGHT(SecondaryTransport[[#This Row],[Scenario_MRF_Bale_ID]],10),2)</f>
        <v>04</v>
      </c>
      <c r="AI294" s="181" t="str">
        <f>INDEX(MRFs[MRF_Name],MATCH(SecondaryTransport[[#This Row],[MRF_ID]],MRFs[MRF_ID],0))</f>
        <v>1 MRF for SS with fiber and container upgrades (Portland)</v>
      </c>
      <c r="AJ294" s="181" t="str">
        <f>RIGHT(SecondaryTransport[[#This Row],[Scenario_MRF_Bale_ID]],7)</f>
        <v>2000-11</v>
      </c>
      <c r="AK294" s="181" t="str">
        <f>INDEX(Bales[Bale_Name],MATCH(SecondaryTransport[[#This Row],[Bale_ID]],Bales[Bale_ID],0))</f>
        <v>PP #5 bottles and jars</v>
      </c>
      <c r="AL294" s="443">
        <f>INDEX(BaleMover[Total_Baled_tons],MATCH(SecondaryTransport[[#This Row],[Scenario_MRF_Bale_ID]],BaleMover[Scenario_MRF_Bale_ID],0))</f>
        <v>0</v>
      </c>
      <c r="AM294" s="443">
        <f>IF(INDEX(BaleMover[Miles],MATCH(SecondaryTransport[[#This Row],[Scenario_MRF_Bale_ID]],BaleMover[Scenario_MRF_Bale_ID],0))="",0,INDEX(BaleMover[Miles],MATCH(SecondaryTransport[[#This Row],[Scenario_MRF_Bale_ID]],BaleMover[Scenario_MRF_Bale_ID],0)))</f>
        <v>0</v>
      </c>
      <c r="AN294" s="251">
        <f>IF(SecondaryTransport[[#This Row],[Bale_ID]]="9000-01","costs elsewhere",SecondaryTransport[[#This Row],[Total_Baled_tons]]*SecondaryTransport[[#This Row],[Miles]])</f>
        <v>0</v>
      </c>
      <c r="AO294" s="352" t="str">
        <f>IF(LEFT(SecondaryTransport[[#This Row],[Bale_ID]],1)*1=5,IF(OR(SecondaryTransport[[#This Row],[MRF_ID]]="02",SecondaryTransport[[#This Row],[MRF_ID]]="08"),2,1),"")</f>
        <v/>
      </c>
      <c r="AP2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9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94" s="224" t="str">
        <f>IFERROR(IF(1*LEFT(SecondaryTransport[[#This Row],[Bale_ID]],1)=5,SecondaryTransport[[#This Row],[Ton-Miles]]*SecondaryTransport[[#This Row],[Cost_Per_Ton-Mile]],""),"")</f>
        <v/>
      </c>
      <c r="AS294" s="224" t="str">
        <f>IFERROR(IF(SecondaryTransport[[#This Row],[Container_Transfer]]="",(SecondaryTransport[[#This Row],[Ton-Miles]]*SecondaryTransport[[#This Row],[Cost_Per_Ton-Mile]]),""),"")</f>
        <v/>
      </c>
    </row>
    <row r="295" spans="3:45" ht="15" x14ac:dyDescent="0.25">
      <c r="C295"/>
      <c r="D295"/>
      <c r="L295" s="446" t="s">
        <v>870</v>
      </c>
      <c r="M295" s="446">
        <v>1</v>
      </c>
      <c r="N295" s="446">
        <v>1</v>
      </c>
      <c r="O295" s="448" t="s">
        <v>746</v>
      </c>
      <c r="P295" s="449" t="s">
        <v>746</v>
      </c>
      <c r="Q295" s="449"/>
      <c r="R295" s="449"/>
      <c r="S295" s="449" t="s">
        <v>762</v>
      </c>
      <c r="T295" s="449" t="s">
        <v>848</v>
      </c>
      <c r="U295" s="452">
        <v>11528.522234966906</v>
      </c>
      <c r="V2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189067.76465345724</v>
      </c>
      <c r="W295" s="272">
        <f>IFERROR(SUMIFS(TransUnitCost[Miles],TransUnitCost[Grouping_ID],TransTonsShort[[#This Row],[Grouping_ID]],TransUnitCost[Transp_ID],TransTonsShort[[#This Row],[Transp_ID]])*TransTonsShort[[#This Row],[Trans_Tons_All]]/TransTonsShort[[#This Row],[Trans_Tons_All]],"")</f>
        <v>20</v>
      </c>
      <c r="X295" s="386" t="str">
        <f>TransTonsShort[[#This Row],[Grouping_ID]]&amp;"-"&amp;TransTonsShort[[#This Row],[Sector_ID]]</f>
        <v>1-1</v>
      </c>
      <c r="Y2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5" s="421">
        <f>INDEX(LandfillFees[Disposal Tip Fee 2025],MATCH(TransTonsShort[[#This Row],[Grouping_ID]],LandfillFees[Grouping_ID],0))</f>
        <v>134.68</v>
      </c>
      <c r="AA295" s="102">
        <f>IF(OR(TransTonsShort[[#This Row],[CollectionStream_ID]]="03",TransTonsShort[[#This Row],[CollectionStream_ID]]="04",TransTonsShort[[#This Row],[CollectionStream_ID]]="13"),0,TransTonsShort[[#This Row],[Trans_Tons_All]]*TransTonsShort[[#This Row],[Disposal_Fee]])</f>
        <v>1552661.374605343</v>
      </c>
      <c r="AF295" s="446" t="s">
        <v>1468</v>
      </c>
      <c r="AG295" s="442" t="str">
        <f>LEFT(SecondaryTransport[[#This Row],[Scenario_MRF_Bale_ID]],2)</f>
        <v>S0</v>
      </c>
      <c r="AH295" s="181" t="str">
        <f>LEFT(RIGHT(SecondaryTransport[[#This Row],[Scenario_MRF_Bale_ID]],10),2)</f>
        <v>04</v>
      </c>
      <c r="AI295" s="181" t="str">
        <f>INDEX(MRFs[MRF_Name],MATCH(SecondaryTransport[[#This Row],[MRF_ID]],MRFs[MRF_ID],0))</f>
        <v>1 MRF for SS with fiber and container upgrades (Portland)</v>
      </c>
      <c r="AJ295" s="181" t="str">
        <f>RIGHT(SecondaryTransport[[#This Row],[Scenario_MRF_Bale_ID]],7)</f>
        <v>2000-13</v>
      </c>
      <c r="AK295" s="181" t="str">
        <f>INDEX(Bales[Bale_Name],MATCH(SecondaryTransport[[#This Row],[Bale_ID]],Bales[Bale_ID],0))</f>
        <v>PP #5 small rigid plastic</v>
      </c>
      <c r="AL295" s="443">
        <f>INDEX(BaleMover[Total_Baled_tons],MATCH(SecondaryTransport[[#This Row],[Scenario_MRF_Bale_ID]],BaleMover[Scenario_MRF_Bale_ID],0))</f>
        <v>894.24925521701266</v>
      </c>
      <c r="AM295" s="443">
        <f>IF(INDEX(BaleMover[Miles],MATCH(SecondaryTransport[[#This Row],[Scenario_MRF_Bale_ID]],BaleMover[Scenario_MRF_Bale_ID],0))="",0,INDEX(BaleMover[Miles],MATCH(SecondaryTransport[[#This Row],[Scenario_MRF_Bale_ID]],BaleMover[Scenario_MRF_Bale_ID],0)))</f>
        <v>20</v>
      </c>
      <c r="AN295" s="251">
        <f>IF(SecondaryTransport[[#This Row],[Bale_ID]]="9000-01","costs elsewhere",SecondaryTransport[[#This Row],[Total_Baled_tons]]*SecondaryTransport[[#This Row],[Miles]])</f>
        <v>17884.985104340252</v>
      </c>
      <c r="AO295" s="352" t="str">
        <f>IF(LEFT(SecondaryTransport[[#This Row],[Bale_ID]],1)*1=5,IF(OR(SecondaryTransport[[#This Row],[MRF_ID]]="02",SecondaryTransport[[#This Row],[MRF_ID]]="08"),2,1),"")</f>
        <v/>
      </c>
      <c r="AP2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5" s="224" t="str">
        <f>IFERROR(IF(1*LEFT(SecondaryTransport[[#This Row],[Bale_ID]],1)=5,SecondaryTransport[[#This Row],[Ton-Miles]]*SecondaryTransport[[#This Row],[Cost_Per_Ton-Mile]],""),"")</f>
        <v/>
      </c>
      <c r="AS295" s="224">
        <f>IFERROR(IF(SecondaryTransport[[#This Row],[Container_Transfer]]="",(SecondaryTransport[[#This Row],[Ton-Miles]]*SecondaryTransport[[#This Row],[Cost_Per_Ton-Mile]]),""),"")</f>
        <v>5544.3453823454784</v>
      </c>
    </row>
    <row r="296" spans="3:45" ht="15" x14ac:dyDescent="0.25">
      <c r="C296"/>
      <c r="D296"/>
      <c r="L296" s="446" t="s">
        <v>870</v>
      </c>
      <c r="M296" s="446">
        <v>2</v>
      </c>
      <c r="N296" s="446">
        <v>1</v>
      </c>
      <c r="O296" s="448" t="s">
        <v>746</v>
      </c>
      <c r="P296" s="449" t="s">
        <v>746</v>
      </c>
      <c r="Q296" s="449"/>
      <c r="R296" s="449"/>
      <c r="S296" s="449" t="s">
        <v>762</v>
      </c>
      <c r="T296" s="449" t="s">
        <v>848</v>
      </c>
      <c r="U296" s="452">
        <v>34447.902163829698</v>
      </c>
      <c r="V2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771633.00846978533</v>
      </c>
      <c r="W296" s="272">
        <f>IFERROR(SUMIFS(TransUnitCost[Miles],TransUnitCost[Grouping_ID],TransTonsShort[[#This Row],[Grouping_ID]],TransUnitCost[Transp_ID],TransTonsShort[[#This Row],[Transp_ID]])*TransTonsShort[[#This Row],[Trans_Tons_All]]/TransTonsShort[[#This Row],[Trans_Tons_All]],"")</f>
        <v>70</v>
      </c>
      <c r="X296" s="386" t="str">
        <f>TransTonsShort[[#This Row],[Grouping_ID]]&amp;"-"&amp;TransTonsShort[[#This Row],[Sector_ID]]</f>
        <v>2-1</v>
      </c>
      <c r="Y2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6" s="421">
        <f>INDEX(LandfillFees[Disposal Tip Fee 2025],MATCH(TransTonsShort[[#This Row],[Grouping_ID]],LandfillFees[Grouping_ID],0))</f>
        <v>72.030938699729589</v>
      </c>
      <c r="AA296" s="102">
        <f>IF(OR(TransTonsShort[[#This Row],[CollectionStream_ID]]="03",TransTonsShort[[#This Row],[CollectionStream_ID]]="04",TransTonsShort[[#This Row],[CollectionStream_ID]]="13"),0,TransTonsShort[[#This Row],[Trans_Tons_All]]*TransTonsShort[[#This Row],[Disposal_Fee]])</f>
        <v>2481314.729097099</v>
      </c>
      <c r="AF296" s="446" t="s">
        <v>1469</v>
      </c>
      <c r="AG296" s="442" t="str">
        <f>LEFT(SecondaryTransport[[#This Row],[Scenario_MRF_Bale_ID]],2)</f>
        <v>S1</v>
      </c>
      <c r="AH296" s="181" t="str">
        <f>LEFT(RIGHT(SecondaryTransport[[#This Row],[Scenario_MRF_Bale_ID]],10),2)</f>
        <v>04</v>
      </c>
      <c r="AI296" s="181" t="str">
        <f>INDEX(MRFs[MRF_Name],MATCH(SecondaryTransport[[#This Row],[MRF_ID]],MRFs[MRF_ID],0))</f>
        <v>1 MRF for SS with fiber and container upgrades (Portland)</v>
      </c>
      <c r="AJ296" s="181" t="str">
        <f>RIGHT(SecondaryTransport[[#This Row],[Scenario_MRF_Bale_ID]],7)</f>
        <v>2000-13</v>
      </c>
      <c r="AK296" s="181" t="str">
        <f>INDEX(Bales[Bale_Name],MATCH(SecondaryTransport[[#This Row],[Bale_ID]],Bales[Bale_ID],0))</f>
        <v>PP #5 small rigid plastic</v>
      </c>
      <c r="AL296" s="443">
        <f>INDEX(BaleMover[Total_Baled_tons],MATCH(SecondaryTransport[[#This Row],[Scenario_MRF_Bale_ID]],BaleMover[Scenario_MRF_Bale_ID],0))</f>
        <v>603.82614450013523</v>
      </c>
      <c r="AM296" s="443">
        <f>IF(INDEX(BaleMover[Miles],MATCH(SecondaryTransport[[#This Row],[Scenario_MRF_Bale_ID]],BaleMover[Scenario_MRF_Bale_ID],0))="",0,INDEX(BaleMover[Miles],MATCH(SecondaryTransport[[#This Row],[Scenario_MRF_Bale_ID]],BaleMover[Scenario_MRF_Bale_ID],0)))</f>
        <v>20</v>
      </c>
      <c r="AN296" s="251">
        <f>IF(SecondaryTransport[[#This Row],[Bale_ID]]="9000-01","costs elsewhere",SecondaryTransport[[#This Row],[Total_Baled_tons]]*SecondaryTransport[[#This Row],[Miles]])</f>
        <v>12076.522890002705</v>
      </c>
      <c r="AO296" s="352" t="str">
        <f>IF(LEFT(SecondaryTransport[[#This Row],[Bale_ID]],1)*1=5,IF(OR(SecondaryTransport[[#This Row],[MRF_ID]]="02",SecondaryTransport[[#This Row],[MRF_ID]]="08"),2,1),"")</f>
        <v/>
      </c>
      <c r="AP2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6" s="224" t="str">
        <f>IFERROR(IF(1*LEFT(SecondaryTransport[[#This Row],[Bale_ID]],1)=5,SecondaryTransport[[#This Row],[Ton-Miles]]*SecondaryTransport[[#This Row],[Cost_Per_Ton-Mile]],""),"")</f>
        <v/>
      </c>
      <c r="AS296" s="224">
        <f>IFERROR(IF(SecondaryTransport[[#This Row],[Container_Transfer]]="",(SecondaryTransport[[#This Row],[Ton-Miles]]*SecondaryTransport[[#This Row],[Cost_Per_Ton-Mile]]),""),"")</f>
        <v>3743.7220959008387</v>
      </c>
    </row>
    <row r="297" spans="3:45" ht="15" x14ac:dyDescent="0.25">
      <c r="C297"/>
      <c r="D297"/>
      <c r="L297" s="446" t="s">
        <v>870</v>
      </c>
      <c r="M297" s="446">
        <v>3</v>
      </c>
      <c r="N297" s="446">
        <v>1</v>
      </c>
      <c r="O297" s="448" t="s">
        <v>746</v>
      </c>
      <c r="P297" s="449" t="s">
        <v>746</v>
      </c>
      <c r="Q297" s="449"/>
      <c r="R297" s="449"/>
      <c r="S297" s="449" t="s">
        <v>762</v>
      </c>
      <c r="T297" s="449" t="s">
        <v>848</v>
      </c>
      <c r="U297" s="452">
        <v>19807.789096372202</v>
      </c>
      <c r="V2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861638.82569219079</v>
      </c>
      <c r="W297" s="272">
        <f>IFERROR(SUMIFS(TransUnitCost[Miles],TransUnitCost[Grouping_ID],TransTonsShort[[#This Row],[Grouping_ID]],TransUnitCost[Transp_ID],TransTonsShort[[#This Row],[Transp_ID]])*TransTonsShort[[#This Row],[Trans_Tons_All]]/TransTonsShort[[#This Row],[Trans_Tons_All]],"")</f>
        <v>150</v>
      </c>
      <c r="X297" s="386" t="str">
        <f>TransTonsShort[[#This Row],[Grouping_ID]]&amp;"-"&amp;TransTonsShort[[#This Row],[Sector_ID]]</f>
        <v>3-1</v>
      </c>
      <c r="Y2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7" s="421">
        <f>INDEX(LandfillFees[Disposal Tip Fee 2025],MATCH(TransTonsShort[[#This Row],[Grouping_ID]],LandfillFees[Grouping_ID],0))</f>
        <v>72.030938699729589</v>
      </c>
      <c r="AA297" s="102">
        <f>IF(OR(TransTonsShort[[#This Row],[CollectionStream_ID]]="03",TransTonsShort[[#This Row],[CollectionStream_ID]]="04",TransTonsShort[[#This Row],[CollectionStream_ID]]="13"),0,TransTonsShort[[#This Row],[Trans_Tons_All]]*TransTonsShort[[#This Row],[Disposal_Fee]])</f>
        <v>1426773.6421779583</v>
      </c>
      <c r="AF297" s="446" t="s">
        <v>1470</v>
      </c>
      <c r="AG297" s="442" t="str">
        <f>LEFT(SecondaryTransport[[#This Row],[Scenario_MRF_Bale_ID]],2)</f>
        <v>S2</v>
      </c>
      <c r="AH297" s="181" t="str">
        <f>LEFT(RIGHT(SecondaryTransport[[#This Row],[Scenario_MRF_Bale_ID]],10),2)</f>
        <v>04</v>
      </c>
      <c r="AI297" s="181" t="str">
        <f>INDEX(MRFs[MRF_Name],MATCH(SecondaryTransport[[#This Row],[MRF_ID]],MRFs[MRF_ID],0))</f>
        <v>1 MRF for SS with fiber and container upgrades (Portland)</v>
      </c>
      <c r="AJ297" s="181" t="str">
        <f>RIGHT(SecondaryTransport[[#This Row],[Scenario_MRF_Bale_ID]],7)</f>
        <v>2000-13</v>
      </c>
      <c r="AK297" s="181" t="str">
        <f>INDEX(Bales[Bale_Name],MATCH(SecondaryTransport[[#This Row],[Bale_ID]],Bales[Bale_ID],0))</f>
        <v>PP #5 small rigid plastic</v>
      </c>
      <c r="AL297" s="443">
        <f>INDEX(BaleMover[Total_Baled_tons],MATCH(SecondaryTransport[[#This Row],[Scenario_MRF_Bale_ID]],BaleMover[Scenario_MRF_Bale_ID],0))</f>
        <v>1684.0047074401964</v>
      </c>
      <c r="AM297" s="443">
        <f>IF(INDEX(BaleMover[Miles],MATCH(SecondaryTransport[[#This Row],[Scenario_MRF_Bale_ID]],BaleMover[Scenario_MRF_Bale_ID],0))="",0,INDEX(BaleMover[Miles],MATCH(SecondaryTransport[[#This Row],[Scenario_MRF_Bale_ID]],BaleMover[Scenario_MRF_Bale_ID],0)))</f>
        <v>20</v>
      </c>
      <c r="AN297" s="251">
        <f>IF(SecondaryTransport[[#This Row],[Bale_ID]]="9000-01","costs elsewhere",SecondaryTransport[[#This Row],[Total_Baled_tons]]*SecondaryTransport[[#This Row],[Miles]])</f>
        <v>33680.094148803924</v>
      </c>
      <c r="AO297" s="352" t="str">
        <f>IF(LEFT(SecondaryTransport[[#This Row],[Bale_ID]],1)*1=5,IF(OR(SecondaryTransport[[#This Row],[MRF_ID]]="02",SecondaryTransport[[#This Row],[MRF_ID]]="08"),2,1),"")</f>
        <v/>
      </c>
      <c r="AP2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29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297" s="224" t="str">
        <f>IFERROR(IF(1*LEFT(SecondaryTransport[[#This Row],[Bale_ID]],1)=5,SecondaryTransport[[#This Row],[Ton-Miles]]*SecondaryTransport[[#This Row],[Cost_Per_Ton-Mile]],""),"")</f>
        <v/>
      </c>
      <c r="AS297" s="224">
        <f>IFERROR(IF(SecondaryTransport[[#This Row],[Container_Transfer]]="",(SecondaryTransport[[#This Row],[Ton-Miles]]*SecondaryTransport[[#This Row],[Cost_Per_Ton-Mile]]),""),"")</f>
        <v>10440.829186129216</v>
      </c>
    </row>
    <row r="298" spans="3:45" ht="15" x14ac:dyDescent="0.25">
      <c r="C298"/>
      <c r="D298"/>
      <c r="L298" s="446" t="s">
        <v>870</v>
      </c>
      <c r="M298" s="446">
        <v>4</v>
      </c>
      <c r="N298" s="446">
        <v>1</v>
      </c>
      <c r="O298" s="448" t="s">
        <v>746</v>
      </c>
      <c r="P298" s="449" t="s">
        <v>746</v>
      </c>
      <c r="Q298" s="449"/>
      <c r="R298" s="449"/>
      <c r="S298" s="449" t="s">
        <v>762</v>
      </c>
      <c r="T298" s="449" t="s">
        <v>848</v>
      </c>
      <c r="U298" s="452">
        <v>190.76956033677186</v>
      </c>
      <c r="V2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15261.564826941749</v>
      </c>
      <c r="W298" s="272">
        <f>IFERROR(SUMIFS(TransUnitCost[Miles],TransUnitCost[Grouping_ID],TransTonsShort[[#This Row],[Grouping_ID]],TransUnitCost[Transp_ID],TransTonsShort[[#This Row],[Transp_ID]])*TransTonsShort[[#This Row],[Trans_Tons_All]]/TransTonsShort[[#This Row],[Trans_Tons_All]],"")</f>
        <v>250</v>
      </c>
      <c r="X298" s="386" t="str">
        <f>TransTonsShort[[#This Row],[Grouping_ID]]&amp;"-"&amp;TransTonsShort[[#This Row],[Sector_ID]]</f>
        <v>4-1</v>
      </c>
      <c r="Y2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298" s="421">
        <f>INDEX(LandfillFees[Disposal Tip Fee 2025],MATCH(TransTonsShort[[#This Row],[Grouping_ID]],LandfillFees[Grouping_ID],0))</f>
        <v>72.030938699729589</v>
      </c>
      <c r="AA298" s="102">
        <f>IF(OR(TransTonsShort[[#This Row],[CollectionStream_ID]]="03",TransTonsShort[[#This Row],[CollectionStream_ID]]="04",TransTonsShort[[#This Row],[CollectionStream_ID]]="13"),0,TransTonsShort[[#This Row],[Trans_Tons_All]]*TransTonsShort[[#This Row],[Disposal_Fee]])</f>
        <v>13741.310506392379</v>
      </c>
      <c r="AF298" s="446" t="s">
        <v>1471</v>
      </c>
      <c r="AG298" s="442" t="str">
        <f>LEFT(SecondaryTransport[[#This Row],[Scenario_MRF_Bale_ID]],2)</f>
        <v>S3</v>
      </c>
      <c r="AH298" s="181" t="str">
        <f>LEFT(RIGHT(SecondaryTransport[[#This Row],[Scenario_MRF_Bale_ID]],10),2)</f>
        <v>04</v>
      </c>
      <c r="AI298" s="181" t="str">
        <f>INDEX(MRFs[MRF_Name],MATCH(SecondaryTransport[[#This Row],[MRF_ID]],MRFs[MRF_ID],0))</f>
        <v>1 MRF for SS with fiber and container upgrades (Portland)</v>
      </c>
      <c r="AJ298" s="181" t="str">
        <f>RIGHT(SecondaryTransport[[#This Row],[Scenario_MRF_Bale_ID]],7)</f>
        <v>2000-13</v>
      </c>
      <c r="AK298" s="181" t="str">
        <f>INDEX(Bales[Bale_Name],MATCH(SecondaryTransport[[#This Row],[Bale_ID]],Bales[Bale_ID],0))</f>
        <v>PP #5 small rigid plastic</v>
      </c>
      <c r="AL298" s="443">
        <f>INDEX(BaleMover[Total_Baled_tons],MATCH(SecondaryTransport[[#This Row],[Scenario_MRF_Bale_ID]],BaleMover[Scenario_MRF_Bale_ID],0))</f>
        <v>0</v>
      </c>
      <c r="AM298" s="443">
        <f>IF(INDEX(BaleMover[Miles],MATCH(SecondaryTransport[[#This Row],[Scenario_MRF_Bale_ID]],BaleMover[Scenario_MRF_Bale_ID],0))="",0,INDEX(BaleMover[Miles],MATCH(SecondaryTransport[[#This Row],[Scenario_MRF_Bale_ID]],BaleMover[Scenario_MRF_Bale_ID],0)))</f>
        <v>0</v>
      </c>
      <c r="AN298" s="251">
        <f>IF(SecondaryTransport[[#This Row],[Bale_ID]]="9000-01","costs elsewhere",SecondaryTransport[[#This Row],[Total_Baled_tons]]*SecondaryTransport[[#This Row],[Miles]])</f>
        <v>0</v>
      </c>
      <c r="AO298" s="352" t="str">
        <f>IF(LEFT(SecondaryTransport[[#This Row],[Bale_ID]],1)*1=5,IF(OR(SecondaryTransport[[#This Row],[MRF_ID]]="02",SecondaryTransport[[#This Row],[MRF_ID]]="08"),2,1),"")</f>
        <v/>
      </c>
      <c r="AP2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9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98" s="224" t="str">
        <f>IFERROR(IF(1*LEFT(SecondaryTransport[[#This Row],[Bale_ID]],1)=5,SecondaryTransport[[#This Row],[Ton-Miles]]*SecondaryTransport[[#This Row],[Cost_Per_Ton-Mile]],""),"")</f>
        <v/>
      </c>
      <c r="AS298" s="224" t="str">
        <f>IFERROR(IF(SecondaryTransport[[#This Row],[Container_Transfer]]="",(SecondaryTransport[[#This Row],[Ton-Miles]]*SecondaryTransport[[#This Row],[Cost_Per_Ton-Mile]]),""),"")</f>
        <v/>
      </c>
    </row>
    <row r="299" spans="3:45" ht="15" x14ac:dyDescent="0.25">
      <c r="C299"/>
      <c r="D299"/>
      <c r="L299" s="446" t="s">
        <v>870</v>
      </c>
      <c r="M299" s="446">
        <v>1</v>
      </c>
      <c r="N299" s="446">
        <v>1</v>
      </c>
      <c r="O299" s="448" t="s">
        <v>706</v>
      </c>
      <c r="P299" s="449" t="s">
        <v>739</v>
      </c>
      <c r="Q299" s="449"/>
      <c r="R299" s="449"/>
      <c r="S299" s="449" t="s">
        <v>707</v>
      </c>
      <c r="T299" s="449" t="s">
        <v>1121</v>
      </c>
      <c r="U299" s="452">
        <v>0</v>
      </c>
      <c r="V2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299" s="272" t="str">
        <f>IFERROR(SUMIFS(TransUnitCost[Miles],TransUnitCost[Grouping_ID],TransTonsShort[[#This Row],[Grouping_ID]],TransUnitCost[Transp_ID],TransTonsShort[[#This Row],[Transp_ID]])*TransTonsShort[[#This Row],[Trans_Tons_All]]/TransTonsShort[[#This Row],[Trans_Tons_All]],"")</f>
        <v/>
      </c>
      <c r="X299" s="386" t="str">
        <f>TransTonsShort[[#This Row],[Grouping_ID]]&amp;"-"&amp;TransTonsShort[[#This Row],[Sector_ID]]</f>
        <v>1-1</v>
      </c>
      <c r="Y2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299" s="421">
        <f>INDEX(LandfillFees[Disposal Tip Fee 2025],MATCH(TransTonsShort[[#This Row],[Grouping_ID]],LandfillFees[Grouping_ID],0))</f>
        <v>134.68</v>
      </c>
      <c r="AA299" s="102">
        <f>IF(OR(TransTonsShort[[#This Row],[CollectionStream_ID]]="03",TransTonsShort[[#This Row],[CollectionStream_ID]]="04",TransTonsShort[[#This Row],[CollectionStream_ID]]="13"),0,TransTonsShort[[#This Row],[Trans_Tons_All]]*TransTonsShort[[#This Row],[Disposal_Fee]])</f>
        <v>0</v>
      </c>
      <c r="AF299" s="446" t="s">
        <v>1472</v>
      </c>
      <c r="AG299" s="442" t="str">
        <f>LEFT(SecondaryTransport[[#This Row],[Scenario_MRF_Bale_ID]],2)</f>
        <v>S0</v>
      </c>
      <c r="AH299" s="181" t="str">
        <f>LEFT(RIGHT(SecondaryTransport[[#This Row],[Scenario_MRF_Bale_ID]],10),2)</f>
        <v>04</v>
      </c>
      <c r="AI299" s="181" t="str">
        <f>INDEX(MRFs[MRF_Name],MATCH(SecondaryTransport[[#This Row],[MRF_ID]],MRFs[MRF_ID],0))</f>
        <v>1 MRF for SS with fiber and container upgrades (Portland)</v>
      </c>
      <c r="AJ299" s="181" t="str">
        <f>RIGHT(SecondaryTransport[[#This Row],[Scenario_MRF_Bale_ID]],7)</f>
        <v>2000-14</v>
      </c>
      <c r="AK299" s="181" t="str">
        <f>INDEX(Bales[Bale_Name],MATCH(SecondaryTransport[[#This Row],[Bale_ID]],Bales[Bale_ID],0))</f>
        <v>Solid PS #6 (rigid) </v>
      </c>
      <c r="AL299" s="443">
        <f>INDEX(BaleMover[Total_Baled_tons],MATCH(SecondaryTransport[[#This Row],[Scenario_MRF_Bale_ID]],BaleMover[Scenario_MRF_Bale_ID],0))</f>
        <v>0</v>
      </c>
      <c r="AM299" s="443">
        <f>IF(INDEX(BaleMover[Miles],MATCH(SecondaryTransport[[#This Row],[Scenario_MRF_Bale_ID]],BaleMover[Scenario_MRF_Bale_ID],0))="",0,INDEX(BaleMover[Miles],MATCH(SecondaryTransport[[#This Row],[Scenario_MRF_Bale_ID]],BaleMover[Scenario_MRF_Bale_ID],0)))</f>
        <v>0</v>
      </c>
      <c r="AN299" s="251">
        <f>IF(SecondaryTransport[[#This Row],[Bale_ID]]="9000-01","costs elsewhere",SecondaryTransport[[#This Row],[Total_Baled_tons]]*SecondaryTransport[[#This Row],[Miles]])</f>
        <v>0</v>
      </c>
      <c r="AO299" s="352" t="str">
        <f>IF(LEFT(SecondaryTransport[[#This Row],[Bale_ID]],1)*1=5,IF(OR(SecondaryTransport[[#This Row],[MRF_ID]]="02",SecondaryTransport[[#This Row],[MRF_ID]]="08"),2,1),"")</f>
        <v/>
      </c>
      <c r="AP2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29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299" s="224" t="str">
        <f>IFERROR(IF(1*LEFT(SecondaryTransport[[#This Row],[Bale_ID]],1)=5,SecondaryTransport[[#This Row],[Ton-Miles]]*SecondaryTransport[[#This Row],[Cost_Per_Ton-Mile]],""),"")</f>
        <v/>
      </c>
      <c r="AS299" s="224" t="str">
        <f>IFERROR(IF(SecondaryTransport[[#This Row],[Container_Transfer]]="",(SecondaryTransport[[#This Row],[Ton-Miles]]*SecondaryTransport[[#This Row],[Cost_Per_Ton-Mile]]),""),"")</f>
        <v/>
      </c>
    </row>
    <row r="300" spans="3:45" ht="15" x14ac:dyDescent="0.25">
      <c r="C300"/>
      <c r="D300"/>
      <c r="L300" s="446" t="s">
        <v>870</v>
      </c>
      <c r="M300" s="446">
        <v>2</v>
      </c>
      <c r="N300" s="446">
        <v>1</v>
      </c>
      <c r="O300" s="448" t="s">
        <v>706</v>
      </c>
      <c r="P300" s="449" t="s">
        <v>739</v>
      </c>
      <c r="Q300" s="449"/>
      <c r="R300" s="449"/>
      <c r="S300" s="449" t="s">
        <v>707</v>
      </c>
      <c r="T300" s="449" t="s">
        <v>1121</v>
      </c>
      <c r="U300" s="452">
        <v>13461.428743893226</v>
      </c>
      <c r="V3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555957.00712279021</v>
      </c>
      <c r="W300" s="272">
        <f>IFERROR(SUMIFS(TransUnitCost[Miles],TransUnitCost[Grouping_ID],TransTonsShort[[#This Row],[Grouping_ID]],TransUnitCost[Transp_ID],TransTonsShort[[#This Row],[Transp_ID]])*TransTonsShort[[#This Row],[Trans_Tons_All]]/TransTonsShort[[#This Row],[Trans_Tons_All]],"")</f>
        <v>70</v>
      </c>
      <c r="X300" s="386" t="str">
        <f>TransTonsShort[[#This Row],[Grouping_ID]]&amp;"-"&amp;TransTonsShort[[#This Row],[Sector_ID]]</f>
        <v>2-1</v>
      </c>
      <c r="Y3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0" s="421">
        <f>INDEX(LandfillFees[Disposal Tip Fee 2025],MATCH(TransTonsShort[[#This Row],[Grouping_ID]],LandfillFees[Grouping_ID],0))</f>
        <v>72.030938699729589</v>
      </c>
      <c r="AA300" s="102">
        <f>IF(OR(TransTonsShort[[#This Row],[CollectionStream_ID]]="03",TransTonsShort[[#This Row],[CollectionStream_ID]]="04",TransTonsShort[[#This Row],[CollectionStream_ID]]="13"),0,TransTonsShort[[#This Row],[Trans_Tons_All]]*TransTonsShort[[#This Row],[Disposal_Fee]])</f>
        <v>969639.34866215079</v>
      </c>
      <c r="AF300" s="446" t="s">
        <v>1473</v>
      </c>
      <c r="AG300" s="442" t="str">
        <f>LEFT(SecondaryTransport[[#This Row],[Scenario_MRF_Bale_ID]],2)</f>
        <v>S1</v>
      </c>
      <c r="AH300" s="181" t="str">
        <f>LEFT(RIGHT(SecondaryTransport[[#This Row],[Scenario_MRF_Bale_ID]],10),2)</f>
        <v>04</v>
      </c>
      <c r="AI300" s="181" t="str">
        <f>INDEX(MRFs[MRF_Name],MATCH(SecondaryTransport[[#This Row],[MRF_ID]],MRFs[MRF_ID],0))</f>
        <v>1 MRF for SS with fiber and container upgrades (Portland)</v>
      </c>
      <c r="AJ300" s="181" t="str">
        <f>RIGHT(SecondaryTransport[[#This Row],[Scenario_MRF_Bale_ID]],7)</f>
        <v>2000-14</v>
      </c>
      <c r="AK300" s="181" t="str">
        <f>INDEX(Bales[Bale_Name],MATCH(SecondaryTransport[[#This Row],[Bale_ID]],Bales[Bale_ID],0))</f>
        <v>Solid PS #6 (rigid) </v>
      </c>
      <c r="AL300" s="443">
        <f>INDEX(BaleMover[Total_Baled_tons],MATCH(SecondaryTransport[[#This Row],[Scenario_MRF_Bale_ID]],BaleMover[Scenario_MRF_Bale_ID],0))</f>
        <v>18.827524460448263</v>
      </c>
      <c r="AM300" s="443">
        <f>IF(INDEX(BaleMover[Miles],MATCH(SecondaryTransport[[#This Row],[Scenario_MRF_Bale_ID]],BaleMover[Scenario_MRF_Bale_ID],0))="",0,INDEX(BaleMover[Miles],MATCH(SecondaryTransport[[#This Row],[Scenario_MRF_Bale_ID]],BaleMover[Scenario_MRF_Bale_ID],0)))</f>
        <v>20</v>
      </c>
      <c r="AN300" s="251">
        <f>IF(SecondaryTransport[[#This Row],[Bale_ID]]="9000-01","costs elsewhere",SecondaryTransport[[#This Row],[Total_Baled_tons]]*SecondaryTransport[[#This Row],[Miles]])</f>
        <v>376.55048920896525</v>
      </c>
      <c r="AO300" s="352" t="str">
        <f>IF(LEFT(SecondaryTransport[[#This Row],[Bale_ID]],1)*1=5,IF(OR(SecondaryTransport[[#This Row],[MRF_ID]]="02",SecondaryTransport[[#This Row],[MRF_ID]]="08"),2,1),"")</f>
        <v/>
      </c>
      <c r="AP3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0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00" s="224" t="str">
        <f>IFERROR(IF(1*LEFT(SecondaryTransport[[#This Row],[Bale_ID]],1)=5,SecondaryTransport[[#This Row],[Ton-Miles]]*SecondaryTransport[[#This Row],[Cost_Per_Ton-Mile]],""),"")</f>
        <v/>
      </c>
      <c r="AS300" s="224">
        <f>IFERROR(IF(SecondaryTransport[[#This Row],[Container_Transfer]]="",(SecondaryTransport[[#This Row],[Ton-Miles]]*SecondaryTransport[[#This Row],[Cost_Per_Ton-Mile]]),""),"")</f>
        <v>116.73065165477922</v>
      </c>
    </row>
    <row r="301" spans="3:45" ht="15" x14ac:dyDescent="0.25">
      <c r="C301"/>
      <c r="D301"/>
      <c r="L301" s="446" t="s">
        <v>870</v>
      </c>
      <c r="M301" s="446">
        <v>3</v>
      </c>
      <c r="N301" s="446">
        <v>1</v>
      </c>
      <c r="O301" s="448" t="s">
        <v>706</v>
      </c>
      <c r="P301" s="449" t="s">
        <v>739</v>
      </c>
      <c r="Q301" s="449"/>
      <c r="R301" s="449"/>
      <c r="S301" s="449" t="s">
        <v>707</v>
      </c>
      <c r="T301" s="449" t="s">
        <v>1121</v>
      </c>
      <c r="U301" s="452">
        <v>4491.1055547882461</v>
      </c>
      <c r="V3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161679.79997237684</v>
      </c>
      <c r="W301" s="272">
        <f>IFERROR(SUMIFS(TransUnitCost[Miles],TransUnitCost[Grouping_ID],TransTonsShort[[#This Row],[Grouping_ID]],TransUnitCost[Transp_ID],TransTonsShort[[#This Row],[Transp_ID]])*TransTonsShort[[#This Row],[Trans_Tons_All]]/TransTonsShort[[#This Row],[Trans_Tons_All]],"")</f>
        <v>150</v>
      </c>
      <c r="X301" s="386" t="str">
        <f>TransTonsShort[[#This Row],[Grouping_ID]]&amp;"-"&amp;TransTonsShort[[#This Row],[Sector_ID]]</f>
        <v>3-1</v>
      </c>
      <c r="Y3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1" s="421">
        <f>INDEX(LandfillFees[Disposal Tip Fee 2025],MATCH(TransTonsShort[[#This Row],[Grouping_ID]],LandfillFees[Grouping_ID],0))</f>
        <v>72.030938699729589</v>
      </c>
      <c r="AA301" s="102">
        <f>IF(OR(TransTonsShort[[#This Row],[CollectionStream_ID]]="03",TransTonsShort[[#This Row],[CollectionStream_ID]]="04",TransTonsShort[[#This Row],[CollectionStream_ID]]="13"),0,TransTonsShort[[#This Row],[Trans_Tons_All]]*TransTonsShort[[#This Row],[Disposal_Fee]])</f>
        <v>323498.54891096719</v>
      </c>
      <c r="AF301" s="446" t="s">
        <v>1474</v>
      </c>
      <c r="AG301" s="442" t="str">
        <f>LEFT(SecondaryTransport[[#This Row],[Scenario_MRF_Bale_ID]],2)</f>
        <v>S2</v>
      </c>
      <c r="AH301" s="181" t="str">
        <f>LEFT(RIGHT(SecondaryTransport[[#This Row],[Scenario_MRF_Bale_ID]],10),2)</f>
        <v>04</v>
      </c>
      <c r="AI301" s="181" t="str">
        <f>INDEX(MRFs[MRF_Name],MATCH(SecondaryTransport[[#This Row],[MRF_ID]],MRFs[MRF_ID],0))</f>
        <v>1 MRF for SS with fiber and container upgrades (Portland)</v>
      </c>
      <c r="AJ301" s="181" t="str">
        <f>RIGHT(SecondaryTransport[[#This Row],[Scenario_MRF_Bale_ID]],7)</f>
        <v>2000-14</v>
      </c>
      <c r="AK301" s="181" t="str">
        <f>INDEX(Bales[Bale_Name],MATCH(SecondaryTransport[[#This Row],[Bale_ID]],Bales[Bale_ID],0))</f>
        <v>Solid PS #6 (rigid) </v>
      </c>
      <c r="AL301" s="443">
        <f>INDEX(BaleMover[Total_Baled_tons],MATCH(SecondaryTransport[[#This Row],[Scenario_MRF_Bale_ID]],BaleMover[Scenario_MRF_Bale_ID],0))</f>
        <v>172.66804471126727</v>
      </c>
      <c r="AM301" s="443">
        <f>IF(INDEX(BaleMover[Miles],MATCH(SecondaryTransport[[#This Row],[Scenario_MRF_Bale_ID]],BaleMover[Scenario_MRF_Bale_ID],0))="",0,INDEX(BaleMover[Miles],MATCH(SecondaryTransport[[#This Row],[Scenario_MRF_Bale_ID]],BaleMover[Scenario_MRF_Bale_ID],0)))</f>
        <v>20</v>
      </c>
      <c r="AN301" s="251">
        <f>IF(SecondaryTransport[[#This Row],[Bale_ID]]="9000-01","costs elsewhere",SecondaryTransport[[#This Row],[Total_Baled_tons]]*SecondaryTransport[[#This Row],[Miles]])</f>
        <v>3453.3608942253454</v>
      </c>
      <c r="AO301" s="352" t="str">
        <f>IF(LEFT(SecondaryTransport[[#This Row],[Bale_ID]],1)*1=5,IF(OR(SecondaryTransport[[#This Row],[MRF_ID]]="02",SecondaryTransport[[#This Row],[MRF_ID]]="08"),2,1),"")</f>
        <v/>
      </c>
      <c r="AP3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0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01" s="224" t="str">
        <f>IFERROR(IF(1*LEFT(SecondaryTransport[[#This Row],[Bale_ID]],1)=5,SecondaryTransport[[#This Row],[Ton-Miles]]*SecondaryTransport[[#This Row],[Cost_Per_Ton-Mile]],""),"")</f>
        <v/>
      </c>
      <c r="AS301" s="224">
        <f>IFERROR(IF(SecondaryTransport[[#This Row],[Container_Transfer]]="",(SecondaryTransport[[#This Row],[Ton-Miles]]*SecondaryTransport[[#This Row],[Cost_Per_Ton-Mile]]),""),"")</f>
        <v>1070.5418772098571</v>
      </c>
    </row>
    <row r="302" spans="3:45" ht="15" x14ac:dyDescent="0.25">
      <c r="C302"/>
      <c r="D302"/>
      <c r="L302" s="446" t="s">
        <v>870</v>
      </c>
      <c r="M302" s="446">
        <v>4</v>
      </c>
      <c r="N302" s="446">
        <v>1</v>
      </c>
      <c r="O302" s="448" t="s">
        <v>706</v>
      </c>
      <c r="P302" s="449" t="s">
        <v>739</v>
      </c>
      <c r="Q302" s="449"/>
      <c r="R302" s="449"/>
      <c r="S302" s="449" t="s">
        <v>707</v>
      </c>
      <c r="T302" s="449" t="s">
        <v>1121</v>
      </c>
      <c r="U302" s="452">
        <v>2.8572275826359177</v>
      </c>
      <c r="V3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157.14751704497547</v>
      </c>
      <c r="W302" s="272">
        <f>IFERROR(SUMIFS(TransUnitCost[Miles],TransUnitCost[Grouping_ID],TransTonsShort[[#This Row],[Grouping_ID]],TransUnitCost[Transp_ID],TransTonsShort[[#This Row],[Transp_ID]])*TransTonsShort[[#This Row],[Trans_Tons_All]]/TransTonsShort[[#This Row],[Trans_Tons_All]],"")</f>
        <v>250</v>
      </c>
      <c r="X302" s="386" t="str">
        <f>TransTonsShort[[#This Row],[Grouping_ID]]&amp;"-"&amp;TransTonsShort[[#This Row],[Sector_ID]]</f>
        <v>4-1</v>
      </c>
      <c r="Y3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2" s="421">
        <f>INDEX(LandfillFees[Disposal Tip Fee 2025],MATCH(TransTonsShort[[#This Row],[Grouping_ID]],LandfillFees[Grouping_ID],0))</f>
        <v>72.030938699729589</v>
      </c>
      <c r="AA302" s="102">
        <f>IF(OR(TransTonsShort[[#This Row],[CollectionStream_ID]]="03",TransTonsShort[[#This Row],[CollectionStream_ID]]="04",TransTonsShort[[#This Row],[CollectionStream_ID]]="13"),0,TransTonsShort[[#This Row],[Trans_Tons_All]]*TransTonsShort[[#This Row],[Disposal_Fee]])</f>
        <v>205.80878485602435</v>
      </c>
      <c r="AF302" s="446" t="s">
        <v>1475</v>
      </c>
      <c r="AG302" s="442" t="str">
        <f>LEFT(SecondaryTransport[[#This Row],[Scenario_MRF_Bale_ID]],2)</f>
        <v>S3</v>
      </c>
      <c r="AH302" s="181" t="str">
        <f>LEFT(RIGHT(SecondaryTransport[[#This Row],[Scenario_MRF_Bale_ID]],10),2)</f>
        <v>04</v>
      </c>
      <c r="AI302" s="181" t="str">
        <f>INDEX(MRFs[MRF_Name],MATCH(SecondaryTransport[[#This Row],[MRF_ID]],MRFs[MRF_ID],0))</f>
        <v>1 MRF for SS with fiber and container upgrades (Portland)</v>
      </c>
      <c r="AJ302" s="181" t="str">
        <f>RIGHT(SecondaryTransport[[#This Row],[Scenario_MRF_Bale_ID]],7)</f>
        <v>2000-14</v>
      </c>
      <c r="AK302" s="181" t="str">
        <f>INDEX(Bales[Bale_Name],MATCH(SecondaryTransport[[#This Row],[Bale_ID]],Bales[Bale_ID],0))</f>
        <v>Solid PS #6 (rigid) </v>
      </c>
      <c r="AL302" s="443">
        <f>INDEX(BaleMover[Total_Baled_tons],MATCH(SecondaryTransport[[#This Row],[Scenario_MRF_Bale_ID]],BaleMover[Scenario_MRF_Bale_ID],0))</f>
        <v>0</v>
      </c>
      <c r="AM302" s="443">
        <f>IF(INDEX(BaleMover[Miles],MATCH(SecondaryTransport[[#This Row],[Scenario_MRF_Bale_ID]],BaleMover[Scenario_MRF_Bale_ID],0))="",0,INDEX(BaleMover[Miles],MATCH(SecondaryTransport[[#This Row],[Scenario_MRF_Bale_ID]],BaleMover[Scenario_MRF_Bale_ID],0)))</f>
        <v>0</v>
      </c>
      <c r="AN302" s="251">
        <f>IF(SecondaryTransport[[#This Row],[Bale_ID]]="9000-01","costs elsewhere",SecondaryTransport[[#This Row],[Total_Baled_tons]]*SecondaryTransport[[#This Row],[Miles]])</f>
        <v>0</v>
      </c>
      <c r="AO302" s="352" t="str">
        <f>IF(LEFT(SecondaryTransport[[#This Row],[Bale_ID]],1)*1=5,IF(OR(SecondaryTransport[[#This Row],[MRF_ID]]="02",SecondaryTransport[[#This Row],[MRF_ID]]="08"),2,1),"")</f>
        <v/>
      </c>
      <c r="AP3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2" s="224" t="str">
        <f>IFERROR(IF(1*LEFT(SecondaryTransport[[#This Row],[Bale_ID]],1)=5,SecondaryTransport[[#This Row],[Ton-Miles]]*SecondaryTransport[[#This Row],[Cost_Per_Ton-Mile]],""),"")</f>
        <v/>
      </c>
      <c r="AS302" s="224" t="str">
        <f>IFERROR(IF(SecondaryTransport[[#This Row],[Container_Transfer]]="",(SecondaryTransport[[#This Row],[Ton-Miles]]*SecondaryTransport[[#This Row],[Cost_Per_Ton-Mile]]),""),"")</f>
        <v/>
      </c>
    </row>
    <row r="303" spans="3:45" ht="15" x14ac:dyDescent="0.25">
      <c r="C303"/>
      <c r="D303"/>
      <c r="L303" s="446" t="s">
        <v>870</v>
      </c>
      <c r="M303" s="446">
        <v>1</v>
      </c>
      <c r="N303" s="446">
        <v>1</v>
      </c>
      <c r="O303" s="448" t="s">
        <v>706</v>
      </c>
      <c r="P303" s="449" t="s">
        <v>700</v>
      </c>
      <c r="Q303" s="449"/>
      <c r="R303" s="449"/>
      <c r="S303" s="449" t="s">
        <v>707</v>
      </c>
      <c r="T303" s="449" t="s">
        <v>701</v>
      </c>
      <c r="U303" s="452">
        <v>21172.973465126317</v>
      </c>
      <c r="V3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3" s="272">
        <f>IFERROR(SUMIFS(TransUnitCost[Miles],TransUnitCost[Grouping_ID],TransTonsShort[[#This Row],[Grouping_ID]],TransUnitCost[Transp_ID],TransTonsShort[[#This Row],[Transp_ID]])*TransTonsShort[[#This Row],[Trans_Tons_All]]/TransTonsShort[[#This Row],[Trans_Tons_All]],"")</f>
        <v>0</v>
      </c>
      <c r="X303" s="386" t="str">
        <f>TransTonsShort[[#This Row],[Grouping_ID]]&amp;"-"&amp;TransTonsShort[[#This Row],[Sector_ID]]</f>
        <v>1-1</v>
      </c>
      <c r="Y3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3" s="421">
        <f>INDEX(LandfillFees[Disposal Tip Fee 2025],MATCH(TransTonsShort[[#This Row],[Grouping_ID]],LandfillFees[Grouping_ID],0))</f>
        <v>134.68</v>
      </c>
      <c r="AA303" s="102">
        <f>IF(OR(TransTonsShort[[#This Row],[CollectionStream_ID]]="03",TransTonsShort[[#This Row],[CollectionStream_ID]]="04",TransTonsShort[[#This Row],[CollectionStream_ID]]="13"),0,TransTonsShort[[#This Row],[Trans_Tons_All]]*TransTonsShort[[#This Row],[Disposal_Fee]])</f>
        <v>2851576.0662832125</v>
      </c>
      <c r="AF303" s="446" t="s">
        <v>1476</v>
      </c>
      <c r="AG303" s="442" t="str">
        <f>LEFT(SecondaryTransport[[#This Row],[Scenario_MRF_Bale_ID]],2)</f>
        <v>S0</v>
      </c>
      <c r="AH303" s="181" t="str">
        <f>LEFT(RIGHT(SecondaryTransport[[#This Row],[Scenario_MRF_Bale_ID]],10),2)</f>
        <v>04</v>
      </c>
      <c r="AI303" s="181" t="str">
        <f>INDEX(MRFs[MRF_Name],MATCH(SecondaryTransport[[#This Row],[MRF_ID]],MRFs[MRF_ID],0))</f>
        <v>1 MRF for SS with fiber and container upgrades (Portland)</v>
      </c>
      <c r="AJ303" s="181" t="str">
        <f>RIGHT(SecondaryTransport[[#This Row],[Scenario_MRF_Bale_ID]],7)</f>
        <v>2000-16</v>
      </c>
      <c r="AK303" s="181" t="str">
        <f>INDEX(Bales[Bale_Name],MATCH(SecondaryTransport[[#This Row],[Bale_ID]],Bales[Bale_ID],0))</f>
        <v>Foam PS #6 (transport block and shape, densified)</v>
      </c>
      <c r="AL303" s="443">
        <f>INDEX(BaleMover[Total_Baled_tons],MATCH(SecondaryTransport[[#This Row],[Scenario_MRF_Bale_ID]],BaleMover[Scenario_MRF_Bale_ID],0))</f>
        <v>0</v>
      </c>
      <c r="AM303" s="443">
        <f>IF(INDEX(BaleMover[Miles],MATCH(SecondaryTransport[[#This Row],[Scenario_MRF_Bale_ID]],BaleMover[Scenario_MRF_Bale_ID],0))="",0,INDEX(BaleMover[Miles],MATCH(SecondaryTransport[[#This Row],[Scenario_MRF_Bale_ID]],BaleMover[Scenario_MRF_Bale_ID],0)))</f>
        <v>0</v>
      </c>
      <c r="AN303" s="251">
        <f>IF(SecondaryTransport[[#This Row],[Bale_ID]]="9000-01","costs elsewhere",SecondaryTransport[[#This Row],[Total_Baled_tons]]*SecondaryTransport[[#This Row],[Miles]])</f>
        <v>0</v>
      </c>
      <c r="AO303" s="352" t="str">
        <f>IF(LEFT(SecondaryTransport[[#This Row],[Bale_ID]],1)*1=5,IF(OR(SecondaryTransport[[#This Row],[MRF_ID]]="02",SecondaryTransport[[#This Row],[MRF_ID]]="08"),2,1),"")</f>
        <v/>
      </c>
      <c r="AP3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3" s="224" t="str">
        <f>IFERROR(IF(1*LEFT(SecondaryTransport[[#This Row],[Bale_ID]],1)=5,SecondaryTransport[[#This Row],[Ton-Miles]]*SecondaryTransport[[#This Row],[Cost_Per_Ton-Mile]],""),"")</f>
        <v/>
      </c>
      <c r="AS303" s="224" t="str">
        <f>IFERROR(IF(SecondaryTransport[[#This Row],[Container_Transfer]]="",(SecondaryTransport[[#This Row],[Ton-Miles]]*SecondaryTransport[[#This Row],[Cost_Per_Ton-Mile]]),""),"")</f>
        <v/>
      </c>
    </row>
    <row r="304" spans="3:45" ht="15" x14ac:dyDescent="0.25">
      <c r="C304"/>
      <c r="D304"/>
      <c r="L304" s="446" t="s">
        <v>870</v>
      </c>
      <c r="M304" s="446">
        <v>2</v>
      </c>
      <c r="N304" s="446">
        <v>1</v>
      </c>
      <c r="O304" s="448" t="s">
        <v>706</v>
      </c>
      <c r="P304" s="449" t="s">
        <v>700</v>
      </c>
      <c r="Q304" s="449"/>
      <c r="R304" s="449"/>
      <c r="S304" s="449" t="s">
        <v>707</v>
      </c>
      <c r="T304" s="449" t="s">
        <v>701</v>
      </c>
      <c r="U304" s="452">
        <v>0</v>
      </c>
      <c r="V3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4" s="272" t="str">
        <f>IFERROR(SUMIFS(TransUnitCost[Miles],TransUnitCost[Grouping_ID],TransTonsShort[[#This Row],[Grouping_ID]],TransUnitCost[Transp_ID],TransTonsShort[[#This Row],[Transp_ID]])*TransTonsShort[[#This Row],[Trans_Tons_All]]/TransTonsShort[[#This Row],[Trans_Tons_All]],"")</f>
        <v/>
      </c>
      <c r="X304" s="386" t="str">
        <f>TransTonsShort[[#This Row],[Grouping_ID]]&amp;"-"&amp;TransTonsShort[[#This Row],[Sector_ID]]</f>
        <v>2-1</v>
      </c>
      <c r="Y3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4" s="421">
        <f>INDEX(LandfillFees[Disposal Tip Fee 2025],MATCH(TransTonsShort[[#This Row],[Grouping_ID]],LandfillFees[Grouping_ID],0))</f>
        <v>72.030938699729589</v>
      </c>
      <c r="AA304" s="102">
        <f>IF(OR(TransTonsShort[[#This Row],[CollectionStream_ID]]="03",TransTonsShort[[#This Row],[CollectionStream_ID]]="04",TransTonsShort[[#This Row],[CollectionStream_ID]]="13"),0,TransTonsShort[[#This Row],[Trans_Tons_All]]*TransTonsShort[[#This Row],[Disposal_Fee]])</f>
        <v>0</v>
      </c>
      <c r="AF304" s="446" t="s">
        <v>1477</v>
      </c>
      <c r="AG304" s="442" t="str">
        <f>LEFT(SecondaryTransport[[#This Row],[Scenario_MRF_Bale_ID]],2)</f>
        <v>S1</v>
      </c>
      <c r="AH304" s="181" t="str">
        <f>LEFT(RIGHT(SecondaryTransport[[#This Row],[Scenario_MRF_Bale_ID]],10),2)</f>
        <v>04</v>
      </c>
      <c r="AI304" s="181" t="str">
        <f>INDEX(MRFs[MRF_Name],MATCH(SecondaryTransport[[#This Row],[MRF_ID]],MRFs[MRF_ID],0))</f>
        <v>1 MRF for SS with fiber and container upgrades (Portland)</v>
      </c>
      <c r="AJ304" s="181" t="str">
        <f>RIGHT(SecondaryTransport[[#This Row],[Scenario_MRF_Bale_ID]],7)</f>
        <v>2000-16</v>
      </c>
      <c r="AK304" s="181" t="str">
        <f>INDEX(Bales[Bale_Name],MATCH(SecondaryTransport[[#This Row],[Bale_ID]],Bales[Bale_ID],0))</f>
        <v>Foam PS #6 (transport block and shape, densified)</v>
      </c>
      <c r="AL304" s="443">
        <f>INDEX(BaleMover[Total_Baled_tons],MATCH(SecondaryTransport[[#This Row],[Scenario_MRF_Bale_ID]],BaleMover[Scenario_MRF_Bale_ID],0))</f>
        <v>0</v>
      </c>
      <c r="AM304" s="443">
        <f>IF(INDEX(BaleMover[Miles],MATCH(SecondaryTransport[[#This Row],[Scenario_MRF_Bale_ID]],BaleMover[Scenario_MRF_Bale_ID],0))="",0,INDEX(BaleMover[Miles],MATCH(SecondaryTransport[[#This Row],[Scenario_MRF_Bale_ID]],BaleMover[Scenario_MRF_Bale_ID],0)))</f>
        <v>0</v>
      </c>
      <c r="AN304" s="251">
        <f>IF(SecondaryTransport[[#This Row],[Bale_ID]]="9000-01","costs elsewhere",SecondaryTransport[[#This Row],[Total_Baled_tons]]*SecondaryTransport[[#This Row],[Miles]])</f>
        <v>0</v>
      </c>
      <c r="AO304" s="352" t="str">
        <f>IF(LEFT(SecondaryTransport[[#This Row],[Bale_ID]],1)*1=5,IF(OR(SecondaryTransport[[#This Row],[MRF_ID]]="02",SecondaryTransport[[#This Row],[MRF_ID]]="08"),2,1),"")</f>
        <v/>
      </c>
      <c r="AP3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4" s="224" t="str">
        <f>IFERROR(IF(1*LEFT(SecondaryTransport[[#This Row],[Bale_ID]],1)=5,SecondaryTransport[[#This Row],[Ton-Miles]]*SecondaryTransport[[#This Row],[Cost_Per_Ton-Mile]],""),"")</f>
        <v/>
      </c>
      <c r="AS304" s="224" t="str">
        <f>IFERROR(IF(SecondaryTransport[[#This Row],[Container_Transfer]]="",(SecondaryTransport[[#This Row],[Ton-Miles]]*SecondaryTransport[[#This Row],[Cost_Per_Ton-Mile]]),""),"")</f>
        <v/>
      </c>
    </row>
    <row r="305" spans="3:45" ht="15" x14ac:dyDescent="0.25">
      <c r="C305"/>
      <c r="D305"/>
      <c r="L305" s="446" t="s">
        <v>870</v>
      </c>
      <c r="M305" s="446">
        <v>3</v>
      </c>
      <c r="N305" s="446">
        <v>1</v>
      </c>
      <c r="O305" s="448" t="s">
        <v>706</v>
      </c>
      <c r="P305" s="449" t="s">
        <v>700</v>
      </c>
      <c r="Q305" s="449"/>
      <c r="R305" s="449"/>
      <c r="S305" s="449" t="s">
        <v>707</v>
      </c>
      <c r="T305" s="449" t="s">
        <v>701</v>
      </c>
      <c r="U305" s="452">
        <v>0</v>
      </c>
      <c r="V3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5" s="272" t="str">
        <f>IFERROR(SUMIFS(TransUnitCost[Miles],TransUnitCost[Grouping_ID],TransTonsShort[[#This Row],[Grouping_ID]],TransUnitCost[Transp_ID],TransTonsShort[[#This Row],[Transp_ID]])*TransTonsShort[[#This Row],[Trans_Tons_All]]/TransTonsShort[[#This Row],[Trans_Tons_All]],"")</f>
        <v/>
      </c>
      <c r="X305" s="386" t="str">
        <f>TransTonsShort[[#This Row],[Grouping_ID]]&amp;"-"&amp;TransTonsShort[[#This Row],[Sector_ID]]</f>
        <v>3-1</v>
      </c>
      <c r="Y3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5" s="421">
        <f>INDEX(LandfillFees[Disposal Tip Fee 2025],MATCH(TransTonsShort[[#This Row],[Grouping_ID]],LandfillFees[Grouping_ID],0))</f>
        <v>72.030938699729589</v>
      </c>
      <c r="AA305" s="102">
        <f>IF(OR(TransTonsShort[[#This Row],[CollectionStream_ID]]="03",TransTonsShort[[#This Row],[CollectionStream_ID]]="04",TransTonsShort[[#This Row],[CollectionStream_ID]]="13"),0,TransTonsShort[[#This Row],[Trans_Tons_All]]*TransTonsShort[[#This Row],[Disposal_Fee]])</f>
        <v>0</v>
      </c>
      <c r="AF305" s="446" t="s">
        <v>1478</v>
      </c>
      <c r="AG305" s="442" t="str">
        <f>LEFT(SecondaryTransport[[#This Row],[Scenario_MRF_Bale_ID]],2)</f>
        <v>S2</v>
      </c>
      <c r="AH305" s="181" t="str">
        <f>LEFT(RIGHT(SecondaryTransport[[#This Row],[Scenario_MRF_Bale_ID]],10),2)</f>
        <v>04</v>
      </c>
      <c r="AI305" s="181" t="str">
        <f>INDEX(MRFs[MRF_Name],MATCH(SecondaryTransport[[#This Row],[MRF_ID]],MRFs[MRF_ID],0))</f>
        <v>1 MRF for SS with fiber and container upgrades (Portland)</v>
      </c>
      <c r="AJ305" s="181" t="str">
        <f>RIGHT(SecondaryTransport[[#This Row],[Scenario_MRF_Bale_ID]],7)</f>
        <v>2000-16</v>
      </c>
      <c r="AK305" s="181" t="str">
        <f>INDEX(Bales[Bale_Name],MATCH(SecondaryTransport[[#This Row],[Bale_ID]],Bales[Bale_ID],0))</f>
        <v>Foam PS #6 (transport block and shape, densified)</v>
      </c>
      <c r="AL305" s="443">
        <f>INDEX(BaleMover[Total_Baled_tons],MATCH(SecondaryTransport[[#This Row],[Scenario_MRF_Bale_ID]],BaleMover[Scenario_MRF_Bale_ID],0))</f>
        <v>0</v>
      </c>
      <c r="AM305" s="443">
        <f>IF(INDEX(BaleMover[Miles],MATCH(SecondaryTransport[[#This Row],[Scenario_MRF_Bale_ID]],BaleMover[Scenario_MRF_Bale_ID],0))="",0,INDEX(BaleMover[Miles],MATCH(SecondaryTransport[[#This Row],[Scenario_MRF_Bale_ID]],BaleMover[Scenario_MRF_Bale_ID],0)))</f>
        <v>0</v>
      </c>
      <c r="AN305" s="251">
        <f>IF(SecondaryTransport[[#This Row],[Bale_ID]]="9000-01","costs elsewhere",SecondaryTransport[[#This Row],[Total_Baled_tons]]*SecondaryTransport[[#This Row],[Miles]])</f>
        <v>0</v>
      </c>
      <c r="AO305" s="352" t="str">
        <f>IF(LEFT(SecondaryTransport[[#This Row],[Bale_ID]],1)*1=5,IF(OR(SecondaryTransport[[#This Row],[MRF_ID]]="02",SecondaryTransport[[#This Row],[MRF_ID]]="08"),2,1),"")</f>
        <v/>
      </c>
      <c r="AP3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5" s="224" t="str">
        <f>IFERROR(IF(1*LEFT(SecondaryTransport[[#This Row],[Bale_ID]],1)=5,SecondaryTransport[[#This Row],[Ton-Miles]]*SecondaryTransport[[#This Row],[Cost_Per_Ton-Mile]],""),"")</f>
        <v/>
      </c>
      <c r="AS305" s="224" t="str">
        <f>IFERROR(IF(SecondaryTransport[[#This Row],[Container_Transfer]]="",(SecondaryTransport[[#This Row],[Ton-Miles]]*SecondaryTransport[[#This Row],[Cost_Per_Ton-Mile]]),""),"")</f>
        <v/>
      </c>
    </row>
    <row r="306" spans="3:45" ht="15" x14ac:dyDescent="0.25">
      <c r="C306"/>
      <c r="D306"/>
      <c r="L306" s="446" t="s">
        <v>870</v>
      </c>
      <c r="M306" s="446">
        <v>4</v>
      </c>
      <c r="N306" s="446">
        <v>1</v>
      </c>
      <c r="O306" s="448" t="s">
        <v>706</v>
      </c>
      <c r="P306" s="449" t="s">
        <v>700</v>
      </c>
      <c r="Q306" s="449"/>
      <c r="R306" s="449"/>
      <c r="S306" s="449" t="s">
        <v>707</v>
      </c>
      <c r="T306" s="449" t="s">
        <v>701</v>
      </c>
      <c r="U306" s="452">
        <v>0</v>
      </c>
      <c r="V3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6" s="272" t="str">
        <f>IFERROR(SUMIFS(TransUnitCost[Miles],TransUnitCost[Grouping_ID],TransTonsShort[[#This Row],[Grouping_ID]],TransUnitCost[Transp_ID],TransTonsShort[[#This Row],[Transp_ID]])*TransTonsShort[[#This Row],[Trans_Tons_All]]/TransTonsShort[[#This Row],[Trans_Tons_All]],"")</f>
        <v/>
      </c>
      <c r="X306" s="386" t="str">
        <f>TransTonsShort[[#This Row],[Grouping_ID]]&amp;"-"&amp;TransTonsShort[[#This Row],[Sector_ID]]</f>
        <v>4-1</v>
      </c>
      <c r="Y3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6" s="421">
        <f>INDEX(LandfillFees[Disposal Tip Fee 2025],MATCH(TransTonsShort[[#This Row],[Grouping_ID]],LandfillFees[Grouping_ID],0))</f>
        <v>72.030938699729589</v>
      </c>
      <c r="AA306" s="102">
        <f>IF(OR(TransTonsShort[[#This Row],[CollectionStream_ID]]="03",TransTonsShort[[#This Row],[CollectionStream_ID]]="04",TransTonsShort[[#This Row],[CollectionStream_ID]]="13"),0,TransTonsShort[[#This Row],[Trans_Tons_All]]*TransTonsShort[[#This Row],[Disposal_Fee]])</f>
        <v>0</v>
      </c>
      <c r="AF306" s="446" t="s">
        <v>1479</v>
      </c>
      <c r="AG306" s="442" t="str">
        <f>LEFT(SecondaryTransport[[#This Row],[Scenario_MRF_Bale_ID]],2)</f>
        <v>S3</v>
      </c>
      <c r="AH306" s="181" t="str">
        <f>LEFT(RIGHT(SecondaryTransport[[#This Row],[Scenario_MRF_Bale_ID]],10),2)</f>
        <v>04</v>
      </c>
      <c r="AI306" s="181" t="str">
        <f>INDEX(MRFs[MRF_Name],MATCH(SecondaryTransport[[#This Row],[MRF_ID]],MRFs[MRF_ID],0))</f>
        <v>1 MRF for SS with fiber and container upgrades (Portland)</v>
      </c>
      <c r="AJ306" s="181" t="str">
        <f>RIGHT(SecondaryTransport[[#This Row],[Scenario_MRF_Bale_ID]],7)</f>
        <v>2000-16</v>
      </c>
      <c r="AK306" s="181" t="str">
        <f>INDEX(Bales[Bale_Name],MATCH(SecondaryTransport[[#This Row],[Bale_ID]],Bales[Bale_ID],0))</f>
        <v>Foam PS #6 (transport block and shape, densified)</v>
      </c>
      <c r="AL306" s="443">
        <f>INDEX(BaleMover[Total_Baled_tons],MATCH(SecondaryTransport[[#This Row],[Scenario_MRF_Bale_ID]],BaleMover[Scenario_MRF_Bale_ID],0))</f>
        <v>0</v>
      </c>
      <c r="AM306" s="443">
        <f>IF(INDEX(BaleMover[Miles],MATCH(SecondaryTransport[[#This Row],[Scenario_MRF_Bale_ID]],BaleMover[Scenario_MRF_Bale_ID],0))="",0,INDEX(BaleMover[Miles],MATCH(SecondaryTransport[[#This Row],[Scenario_MRF_Bale_ID]],BaleMover[Scenario_MRF_Bale_ID],0)))</f>
        <v>0</v>
      </c>
      <c r="AN306" s="251">
        <f>IF(SecondaryTransport[[#This Row],[Bale_ID]]="9000-01","costs elsewhere",SecondaryTransport[[#This Row],[Total_Baled_tons]]*SecondaryTransport[[#This Row],[Miles]])</f>
        <v>0</v>
      </c>
      <c r="AO306" s="352" t="str">
        <f>IF(LEFT(SecondaryTransport[[#This Row],[Bale_ID]],1)*1=5,IF(OR(SecondaryTransport[[#This Row],[MRF_ID]]="02",SecondaryTransport[[#This Row],[MRF_ID]]="08"),2,1),"")</f>
        <v/>
      </c>
      <c r="AP3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6" s="224" t="str">
        <f>IFERROR(IF(1*LEFT(SecondaryTransport[[#This Row],[Bale_ID]],1)=5,SecondaryTransport[[#This Row],[Ton-Miles]]*SecondaryTransport[[#This Row],[Cost_Per_Ton-Mile]],""),"")</f>
        <v/>
      </c>
      <c r="AS306" s="224" t="str">
        <f>IFERROR(IF(SecondaryTransport[[#This Row],[Container_Transfer]]="",(SecondaryTransport[[#This Row],[Ton-Miles]]*SecondaryTransport[[#This Row],[Cost_Per_Ton-Mile]]),""),"")</f>
        <v/>
      </c>
    </row>
    <row r="307" spans="3:45" ht="15" x14ac:dyDescent="0.25">
      <c r="C307"/>
      <c r="D307"/>
      <c r="L307" s="446" t="s">
        <v>870</v>
      </c>
      <c r="M307" s="446">
        <v>1</v>
      </c>
      <c r="N307" s="446">
        <v>1</v>
      </c>
      <c r="O307" s="446" t="s">
        <v>752</v>
      </c>
      <c r="P307" s="449" t="s">
        <v>719</v>
      </c>
      <c r="Q307" s="449"/>
      <c r="R307" s="449"/>
      <c r="S307" s="449" t="s">
        <v>964</v>
      </c>
      <c r="T307" s="449" t="s">
        <v>1055</v>
      </c>
      <c r="U307" s="452">
        <v>0</v>
      </c>
      <c r="V3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7" s="272" t="str">
        <f>IFERROR(SUMIFS(TransUnitCost[Miles],TransUnitCost[Grouping_ID],TransTonsShort[[#This Row],[Grouping_ID]],TransUnitCost[Transp_ID],TransTonsShort[[#This Row],[Transp_ID]])*TransTonsShort[[#This Row],[Trans_Tons_All]]/TransTonsShort[[#This Row],[Trans_Tons_All]],"")</f>
        <v/>
      </c>
      <c r="X307" s="386" t="str">
        <f>TransTonsShort[[#This Row],[Grouping_ID]]&amp;"-"&amp;TransTonsShort[[#This Row],[Sector_ID]]</f>
        <v>1-1</v>
      </c>
      <c r="Y3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7" s="421">
        <f>INDEX(LandfillFees[Disposal Tip Fee 2025],MATCH(TransTonsShort[[#This Row],[Grouping_ID]],LandfillFees[Grouping_ID],0))</f>
        <v>134.68</v>
      </c>
      <c r="AA307" s="102">
        <f>IF(OR(TransTonsShort[[#This Row],[CollectionStream_ID]]="03",TransTonsShort[[#This Row],[CollectionStream_ID]]="04",TransTonsShort[[#This Row],[CollectionStream_ID]]="13"),0,TransTonsShort[[#This Row],[Trans_Tons_All]]*TransTonsShort[[#This Row],[Disposal_Fee]])</f>
        <v>0</v>
      </c>
      <c r="AF307" s="446" t="s">
        <v>1480</v>
      </c>
      <c r="AG307" s="442" t="str">
        <f>LEFT(SecondaryTransport[[#This Row],[Scenario_MRF_Bale_ID]],2)</f>
        <v>S0</v>
      </c>
      <c r="AH307" s="181" t="str">
        <f>LEFT(RIGHT(SecondaryTransport[[#This Row],[Scenario_MRF_Bale_ID]],10),2)</f>
        <v>04</v>
      </c>
      <c r="AI307" s="181" t="str">
        <f>INDEX(MRFs[MRF_Name],MATCH(SecondaryTransport[[#This Row],[MRF_ID]],MRFs[MRF_ID],0))</f>
        <v>1 MRF for SS with fiber and container upgrades (Portland)</v>
      </c>
      <c r="AJ307" s="181" t="str">
        <f>RIGHT(SecondaryTransport[[#This Row],[Scenario_MRF_Bale_ID]],7)</f>
        <v>2000-17</v>
      </c>
      <c r="AK307" s="181" t="str">
        <f>INDEX(Bales[Bale_Name],MATCH(SecondaryTransport[[#This Row],[Bale_ID]],Bales[Bale_ID],0))</f>
        <v>Densified MRF Grade Foam PS #6 (food service and packaging) </v>
      </c>
      <c r="AL307" s="443">
        <f>INDEX(BaleMover[Total_Baled_tons],MATCH(SecondaryTransport[[#This Row],[Scenario_MRF_Bale_ID]],BaleMover[Scenario_MRF_Bale_ID],0))</f>
        <v>0</v>
      </c>
      <c r="AM307" s="443">
        <f>IF(INDEX(BaleMover[Miles],MATCH(SecondaryTransport[[#This Row],[Scenario_MRF_Bale_ID]],BaleMover[Scenario_MRF_Bale_ID],0))="",0,INDEX(BaleMover[Miles],MATCH(SecondaryTransport[[#This Row],[Scenario_MRF_Bale_ID]],BaleMover[Scenario_MRF_Bale_ID],0)))</f>
        <v>0</v>
      </c>
      <c r="AN307" s="251">
        <f>IF(SecondaryTransport[[#This Row],[Bale_ID]]="9000-01","costs elsewhere",SecondaryTransport[[#This Row],[Total_Baled_tons]]*SecondaryTransport[[#This Row],[Miles]])</f>
        <v>0</v>
      </c>
      <c r="AO307" s="352" t="str">
        <f>IF(LEFT(SecondaryTransport[[#This Row],[Bale_ID]],1)*1=5,IF(OR(SecondaryTransport[[#This Row],[MRF_ID]]="02",SecondaryTransport[[#This Row],[MRF_ID]]="08"),2,1),"")</f>
        <v/>
      </c>
      <c r="AP3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7" s="224" t="str">
        <f>IFERROR(IF(1*LEFT(SecondaryTransport[[#This Row],[Bale_ID]],1)=5,SecondaryTransport[[#This Row],[Ton-Miles]]*SecondaryTransport[[#This Row],[Cost_Per_Ton-Mile]],""),"")</f>
        <v/>
      </c>
      <c r="AS307" s="224" t="str">
        <f>IFERROR(IF(SecondaryTransport[[#This Row],[Container_Transfer]]="",(SecondaryTransport[[#This Row],[Ton-Miles]]*SecondaryTransport[[#This Row],[Cost_Per_Ton-Mile]]),""),"")</f>
        <v/>
      </c>
    </row>
    <row r="308" spans="3:45" ht="15" x14ac:dyDescent="0.25">
      <c r="C308"/>
      <c r="D308"/>
      <c r="L308" s="446" t="s">
        <v>870</v>
      </c>
      <c r="M308" s="446">
        <v>2</v>
      </c>
      <c r="N308" s="446">
        <v>1</v>
      </c>
      <c r="O308" s="446" t="s">
        <v>752</v>
      </c>
      <c r="P308" s="449" t="s">
        <v>719</v>
      </c>
      <c r="Q308" s="449"/>
      <c r="R308" s="449"/>
      <c r="S308" s="449" t="s">
        <v>964</v>
      </c>
      <c r="T308" s="449" t="s">
        <v>1055</v>
      </c>
      <c r="U308" s="452">
        <v>0</v>
      </c>
      <c r="V3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8" s="272" t="str">
        <f>IFERROR(SUMIFS(TransUnitCost[Miles],TransUnitCost[Grouping_ID],TransTonsShort[[#This Row],[Grouping_ID]],TransUnitCost[Transp_ID],TransTonsShort[[#This Row],[Transp_ID]])*TransTonsShort[[#This Row],[Trans_Tons_All]]/TransTonsShort[[#This Row],[Trans_Tons_All]],"")</f>
        <v/>
      </c>
      <c r="X308" s="386" t="str">
        <f>TransTonsShort[[#This Row],[Grouping_ID]]&amp;"-"&amp;TransTonsShort[[#This Row],[Sector_ID]]</f>
        <v>2-1</v>
      </c>
      <c r="Y3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8" s="421">
        <f>INDEX(LandfillFees[Disposal Tip Fee 2025],MATCH(TransTonsShort[[#This Row],[Grouping_ID]],LandfillFees[Grouping_ID],0))</f>
        <v>72.030938699729589</v>
      </c>
      <c r="AA308" s="102">
        <f>IF(OR(TransTonsShort[[#This Row],[CollectionStream_ID]]="03",TransTonsShort[[#This Row],[CollectionStream_ID]]="04",TransTonsShort[[#This Row],[CollectionStream_ID]]="13"),0,TransTonsShort[[#This Row],[Trans_Tons_All]]*TransTonsShort[[#This Row],[Disposal_Fee]])</f>
        <v>0</v>
      </c>
      <c r="AF308" s="446" t="s">
        <v>1481</v>
      </c>
      <c r="AG308" s="442" t="str">
        <f>LEFT(SecondaryTransport[[#This Row],[Scenario_MRF_Bale_ID]],2)</f>
        <v>S1</v>
      </c>
      <c r="AH308" s="181" t="str">
        <f>LEFT(RIGHT(SecondaryTransport[[#This Row],[Scenario_MRF_Bale_ID]],10),2)</f>
        <v>04</v>
      </c>
      <c r="AI308" s="181" t="str">
        <f>INDEX(MRFs[MRF_Name],MATCH(SecondaryTransport[[#This Row],[MRF_ID]],MRFs[MRF_ID],0))</f>
        <v>1 MRF for SS with fiber and container upgrades (Portland)</v>
      </c>
      <c r="AJ308" s="181" t="str">
        <f>RIGHT(SecondaryTransport[[#This Row],[Scenario_MRF_Bale_ID]],7)</f>
        <v>2000-17</v>
      </c>
      <c r="AK308" s="181" t="str">
        <f>INDEX(Bales[Bale_Name],MATCH(SecondaryTransport[[#This Row],[Bale_ID]],Bales[Bale_ID],0))</f>
        <v>Densified MRF Grade Foam PS #6 (food service and packaging) </v>
      </c>
      <c r="AL308" s="443">
        <f>INDEX(BaleMover[Total_Baled_tons],MATCH(SecondaryTransport[[#This Row],[Scenario_MRF_Bale_ID]],BaleMover[Scenario_MRF_Bale_ID],0))</f>
        <v>0</v>
      </c>
      <c r="AM308" s="443">
        <f>IF(INDEX(BaleMover[Miles],MATCH(SecondaryTransport[[#This Row],[Scenario_MRF_Bale_ID]],BaleMover[Scenario_MRF_Bale_ID],0))="",0,INDEX(BaleMover[Miles],MATCH(SecondaryTransport[[#This Row],[Scenario_MRF_Bale_ID]],BaleMover[Scenario_MRF_Bale_ID],0)))</f>
        <v>0</v>
      </c>
      <c r="AN308" s="251">
        <f>IF(SecondaryTransport[[#This Row],[Bale_ID]]="9000-01","costs elsewhere",SecondaryTransport[[#This Row],[Total_Baled_tons]]*SecondaryTransport[[#This Row],[Miles]])</f>
        <v>0</v>
      </c>
      <c r="AO308" s="352" t="str">
        <f>IF(LEFT(SecondaryTransport[[#This Row],[Bale_ID]],1)*1=5,IF(OR(SecondaryTransport[[#This Row],[MRF_ID]]="02",SecondaryTransport[[#This Row],[MRF_ID]]="08"),2,1),"")</f>
        <v/>
      </c>
      <c r="AP3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8" s="224" t="str">
        <f>IFERROR(IF(1*LEFT(SecondaryTransport[[#This Row],[Bale_ID]],1)=5,SecondaryTransport[[#This Row],[Ton-Miles]]*SecondaryTransport[[#This Row],[Cost_Per_Ton-Mile]],""),"")</f>
        <v/>
      </c>
      <c r="AS308" s="224" t="str">
        <f>IFERROR(IF(SecondaryTransport[[#This Row],[Container_Transfer]]="",(SecondaryTransport[[#This Row],[Ton-Miles]]*SecondaryTransport[[#This Row],[Cost_Per_Ton-Mile]]),""),"")</f>
        <v/>
      </c>
    </row>
    <row r="309" spans="3:45" ht="15" x14ac:dyDescent="0.25">
      <c r="C309"/>
      <c r="D309"/>
      <c r="L309" s="446" t="s">
        <v>870</v>
      </c>
      <c r="M309" s="446">
        <v>3</v>
      </c>
      <c r="N309" s="446">
        <v>1</v>
      </c>
      <c r="O309" s="446" t="s">
        <v>752</v>
      </c>
      <c r="P309" s="449" t="s">
        <v>719</v>
      </c>
      <c r="Q309" s="449"/>
      <c r="R309" s="449"/>
      <c r="S309" s="449" t="s">
        <v>964</v>
      </c>
      <c r="T309" s="449" t="s">
        <v>1055</v>
      </c>
      <c r="U309" s="452">
        <v>0</v>
      </c>
      <c r="V3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09" s="272" t="str">
        <f>IFERROR(SUMIFS(TransUnitCost[Miles],TransUnitCost[Grouping_ID],TransTonsShort[[#This Row],[Grouping_ID]],TransUnitCost[Transp_ID],TransTonsShort[[#This Row],[Transp_ID]])*TransTonsShort[[#This Row],[Trans_Tons_All]]/TransTonsShort[[#This Row],[Trans_Tons_All]],"")</f>
        <v/>
      </c>
      <c r="X309" s="386" t="str">
        <f>TransTonsShort[[#This Row],[Grouping_ID]]&amp;"-"&amp;TransTonsShort[[#This Row],[Sector_ID]]</f>
        <v>3-1</v>
      </c>
      <c r="Y3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09" s="421">
        <f>INDEX(LandfillFees[Disposal Tip Fee 2025],MATCH(TransTonsShort[[#This Row],[Grouping_ID]],LandfillFees[Grouping_ID],0))</f>
        <v>72.030938699729589</v>
      </c>
      <c r="AA309" s="102">
        <f>IF(OR(TransTonsShort[[#This Row],[CollectionStream_ID]]="03",TransTonsShort[[#This Row],[CollectionStream_ID]]="04",TransTonsShort[[#This Row],[CollectionStream_ID]]="13"),0,TransTonsShort[[#This Row],[Trans_Tons_All]]*TransTonsShort[[#This Row],[Disposal_Fee]])</f>
        <v>0</v>
      </c>
      <c r="AF309" s="446" t="s">
        <v>1482</v>
      </c>
      <c r="AG309" s="442" t="str">
        <f>LEFT(SecondaryTransport[[#This Row],[Scenario_MRF_Bale_ID]],2)</f>
        <v>S2</v>
      </c>
      <c r="AH309" s="181" t="str">
        <f>LEFT(RIGHT(SecondaryTransport[[#This Row],[Scenario_MRF_Bale_ID]],10),2)</f>
        <v>04</v>
      </c>
      <c r="AI309" s="181" t="str">
        <f>INDEX(MRFs[MRF_Name],MATCH(SecondaryTransport[[#This Row],[MRF_ID]],MRFs[MRF_ID],0))</f>
        <v>1 MRF for SS with fiber and container upgrades (Portland)</v>
      </c>
      <c r="AJ309" s="181" t="str">
        <f>RIGHT(SecondaryTransport[[#This Row],[Scenario_MRF_Bale_ID]],7)</f>
        <v>2000-17</v>
      </c>
      <c r="AK309" s="181" t="str">
        <f>INDEX(Bales[Bale_Name],MATCH(SecondaryTransport[[#This Row],[Bale_ID]],Bales[Bale_ID],0))</f>
        <v>Densified MRF Grade Foam PS #6 (food service and packaging) </v>
      </c>
      <c r="AL309" s="443">
        <f>INDEX(BaleMover[Total_Baled_tons],MATCH(SecondaryTransport[[#This Row],[Scenario_MRF_Bale_ID]],BaleMover[Scenario_MRF_Bale_ID],0))</f>
        <v>0</v>
      </c>
      <c r="AM309" s="443">
        <f>IF(INDEX(BaleMover[Miles],MATCH(SecondaryTransport[[#This Row],[Scenario_MRF_Bale_ID]],BaleMover[Scenario_MRF_Bale_ID],0))="",0,INDEX(BaleMover[Miles],MATCH(SecondaryTransport[[#This Row],[Scenario_MRF_Bale_ID]],BaleMover[Scenario_MRF_Bale_ID],0)))</f>
        <v>0</v>
      </c>
      <c r="AN309" s="251">
        <f>IF(SecondaryTransport[[#This Row],[Bale_ID]]="9000-01","costs elsewhere",SecondaryTransport[[#This Row],[Total_Baled_tons]]*SecondaryTransport[[#This Row],[Miles]])</f>
        <v>0</v>
      </c>
      <c r="AO309" s="352" t="str">
        <f>IF(LEFT(SecondaryTransport[[#This Row],[Bale_ID]],1)*1=5,IF(OR(SecondaryTransport[[#This Row],[MRF_ID]]="02",SecondaryTransport[[#This Row],[MRF_ID]]="08"),2,1),"")</f>
        <v/>
      </c>
      <c r="AP3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0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09" s="224" t="str">
        <f>IFERROR(IF(1*LEFT(SecondaryTransport[[#This Row],[Bale_ID]],1)=5,SecondaryTransport[[#This Row],[Ton-Miles]]*SecondaryTransport[[#This Row],[Cost_Per_Ton-Mile]],""),"")</f>
        <v/>
      </c>
      <c r="AS309" s="224" t="str">
        <f>IFERROR(IF(SecondaryTransport[[#This Row],[Container_Transfer]]="",(SecondaryTransport[[#This Row],[Ton-Miles]]*SecondaryTransport[[#This Row],[Cost_Per_Ton-Mile]]),""),"")</f>
        <v/>
      </c>
    </row>
    <row r="310" spans="3:45" ht="15" x14ac:dyDescent="0.25">
      <c r="C310"/>
      <c r="D310"/>
      <c r="L310" s="446" t="s">
        <v>870</v>
      </c>
      <c r="M310" s="446">
        <v>4</v>
      </c>
      <c r="N310" s="446">
        <v>1</v>
      </c>
      <c r="O310" s="446" t="s">
        <v>752</v>
      </c>
      <c r="P310" s="449" t="s">
        <v>719</v>
      </c>
      <c r="Q310" s="449"/>
      <c r="R310" s="449"/>
      <c r="S310" s="449" t="s">
        <v>964</v>
      </c>
      <c r="T310" s="449" t="s">
        <v>1055</v>
      </c>
      <c r="U310" s="452">
        <v>0</v>
      </c>
      <c r="V3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0" s="272" t="str">
        <f>IFERROR(SUMIFS(TransUnitCost[Miles],TransUnitCost[Grouping_ID],TransTonsShort[[#This Row],[Grouping_ID]],TransUnitCost[Transp_ID],TransTonsShort[[#This Row],[Transp_ID]])*TransTonsShort[[#This Row],[Trans_Tons_All]]/TransTonsShort[[#This Row],[Trans_Tons_All]],"")</f>
        <v/>
      </c>
      <c r="X310" s="386" t="str">
        <f>TransTonsShort[[#This Row],[Grouping_ID]]&amp;"-"&amp;TransTonsShort[[#This Row],[Sector_ID]]</f>
        <v>4-1</v>
      </c>
      <c r="Y3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0" s="421">
        <f>INDEX(LandfillFees[Disposal Tip Fee 2025],MATCH(TransTonsShort[[#This Row],[Grouping_ID]],LandfillFees[Grouping_ID],0))</f>
        <v>72.030938699729589</v>
      </c>
      <c r="AA310" s="102">
        <f>IF(OR(TransTonsShort[[#This Row],[CollectionStream_ID]]="03",TransTonsShort[[#This Row],[CollectionStream_ID]]="04",TransTonsShort[[#This Row],[CollectionStream_ID]]="13"),0,TransTonsShort[[#This Row],[Trans_Tons_All]]*TransTonsShort[[#This Row],[Disposal_Fee]])</f>
        <v>0</v>
      </c>
      <c r="AF310" s="446" t="s">
        <v>1483</v>
      </c>
      <c r="AG310" s="442" t="str">
        <f>LEFT(SecondaryTransport[[#This Row],[Scenario_MRF_Bale_ID]],2)</f>
        <v>S3</v>
      </c>
      <c r="AH310" s="181" t="str">
        <f>LEFT(RIGHT(SecondaryTransport[[#This Row],[Scenario_MRF_Bale_ID]],10),2)</f>
        <v>04</v>
      </c>
      <c r="AI310" s="181" t="str">
        <f>INDEX(MRFs[MRF_Name],MATCH(SecondaryTransport[[#This Row],[MRF_ID]],MRFs[MRF_ID],0))</f>
        <v>1 MRF for SS with fiber and container upgrades (Portland)</v>
      </c>
      <c r="AJ310" s="181" t="str">
        <f>RIGHT(SecondaryTransport[[#This Row],[Scenario_MRF_Bale_ID]],7)</f>
        <v>2000-17</v>
      </c>
      <c r="AK310" s="181" t="str">
        <f>INDEX(Bales[Bale_Name],MATCH(SecondaryTransport[[#This Row],[Bale_ID]],Bales[Bale_ID],0))</f>
        <v>Densified MRF Grade Foam PS #6 (food service and packaging) </v>
      </c>
      <c r="AL310" s="443">
        <f>INDEX(BaleMover[Total_Baled_tons],MATCH(SecondaryTransport[[#This Row],[Scenario_MRF_Bale_ID]],BaleMover[Scenario_MRF_Bale_ID],0))</f>
        <v>0</v>
      </c>
      <c r="AM310" s="443">
        <f>IF(INDEX(BaleMover[Miles],MATCH(SecondaryTransport[[#This Row],[Scenario_MRF_Bale_ID]],BaleMover[Scenario_MRF_Bale_ID],0))="",0,INDEX(BaleMover[Miles],MATCH(SecondaryTransport[[#This Row],[Scenario_MRF_Bale_ID]],BaleMover[Scenario_MRF_Bale_ID],0)))</f>
        <v>0</v>
      </c>
      <c r="AN310" s="251">
        <f>IF(SecondaryTransport[[#This Row],[Bale_ID]]="9000-01","costs elsewhere",SecondaryTransport[[#This Row],[Total_Baled_tons]]*SecondaryTransport[[#This Row],[Miles]])</f>
        <v>0</v>
      </c>
      <c r="AO310" s="352" t="str">
        <f>IF(LEFT(SecondaryTransport[[#This Row],[Bale_ID]],1)*1=5,IF(OR(SecondaryTransport[[#This Row],[MRF_ID]]="02",SecondaryTransport[[#This Row],[MRF_ID]]="08"),2,1),"")</f>
        <v/>
      </c>
      <c r="AP3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0" s="224" t="str">
        <f>IFERROR(IF(1*LEFT(SecondaryTransport[[#This Row],[Bale_ID]],1)=5,SecondaryTransport[[#This Row],[Ton-Miles]]*SecondaryTransport[[#This Row],[Cost_Per_Ton-Mile]],""),"")</f>
        <v/>
      </c>
      <c r="AS310" s="224" t="str">
        <f>IFERROR(IF(SecondaryTransport[[#This Row],[Container_Transfer]]="",(SecondaryTransport[[#This Row],[Ton-Miles]]*SecondaryTransport[[#This Row],[Cost_Per_Ton-Mile]]),""),"")</f>
        <v/>
      </c>
    </row>
    <row r="311" spans="3:45" ht="15" x14ac:dyDescent="0.25">
      <c r="C311"/>
      <c r="D311"/>
      <c r="L311" s="446" t="s">
        <v>870</v>
      </c>
      <c r="M311" s="446">
        <v>1</v>
      </c>
      <c r="N311" s="446">
        <v>1</v>
      </c>
      <c r="O311" s="446" t="s">
        <v>752</v>
      </c>
      <c r="P311" s="449" t="s">
        <v>700</v>
      </c>
      <c r="Q311" s="449"/>
      <c r="R311" s="449"/>
      <c r="S311" s="449" t="s">
        <v>964</v>
      </c>
      <c r="T311" s="449" t="s">
        <v>701</v>
      </c>
      <c r="U311" s="452">
        <v>0</v>
      </c>
      <c r="V3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1" s="272" t="str">
        <f>IFERROR(SUMIFS(TransUnitCost[Miles],TransUnitCost[Grouping_ID],TransTonsShort[[#This Row],[Grouping_ID]],TransUnitCost[Transp_ID],TransTonsShort[[#This Row],[Transp_ID]])*TransTonsShort[[#This Row],[Trans_Tons_All]]/TransTonsShort[[#This Row],[Trans_Tons_All]],"")</f>
        <v/>
      </c>
      <c r="X311" s="386" t="str">
        <f>TransTonsShort[[#This Row],[Grouping_ID]]&amp;"-"&amp;TransTonsShort[[#This Row],[Sector_ID]]</f>
        <v>1-1</v>
      </c>
      <c r="Y3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1" s="421">
        <f>INDEX(LandfillFees[Disposal Tip Fee 2025],MATCH(TransTonsShort[[#This Row],[Grouping_ID]],LandfillFees[Grouping_ID],0))</f>
        <v>134.68</v>
      </c>
      <c r="AA311" s="102">
        <f>IF(OR(TransTonsShort[[#This Row],[CollectionStream_ID]]="03",TransTonsShort[[#This Row],[CollectionStream_ID]]="04",TransTonsShort[[#This Row],[CollectionStream_ID]]="13"),0,TransTonsShort[[#This Row],[Trans_Tons_All]]*TransTonsShort[[#This Row],[Disposal_Fee]])</f>
        <v>0</v>
      </c>
      <c r="AF311" s="446" t="s">
        <v>1484</v>
      </c>
      <c r="AG311" s="442" t="str">
        <f>LEFT(SecondaryTransport[[#This Row],[Scenario_MRF_Bale_ID]],2)</f>
        <v>S0</v>
      </c>
      <c r="AH311" s="181" t="str">
        <f>LEFT(RIGHT(SecondaryTransport[[#This Row],[Scenario_MRF_Bale_ID]],10),2)</f>
        <v>04</v>
      </c>
      <c r="AI311" s="181" t="str">
        <f>INDEX(MRFs[MRF_Name],MATCH(SecondaryTransport[[#This Row],[MRF_ID]],MRFs[MRF_ID],0))</f>
        <v>1 MRF for SS with fiber and container upgrades (Portland)</v>
      </c>
      <c r="AJ311" s="181" t="str">
        <f>RIGHT(SecondaryTransport[[#This Row],[Scenario_MRF_Bale_ID]],7)</f>
        <v>2000-18</v>
      </c>
      <c r="AK311" s="181" t="str">
        <f>INDEX(Bales[Bale_Name],MATCH(SecondaryTransport[[#This Row],[Bale_ID]],Bales[Bale_ID],0))</f>
        <v>#3-7 bottles and small rigid plastics </v>
      </c>
      <c r="AL311" s="443">
        <f>INDEX(BaleMover[Total_Baled_tons],MATCH(SecondaryTransport[[#This Row],[Scenario_MRF_Bale_ID]],BaleMover[Scenario_MRF_Bale_ID],0))</f>
        <v>0</v>
      </c>
      <c r="AM311" s="443">
        <f>IF(INDEX(BaleMover[Miles],MATCH(SecondaryTransport[[#This Row],[Scenario_MRF_Bale_ID]],BaleMover[Scenario_MRF_Bale_ID],0))="",0,INDEX(BaleMover[Miles],MATCH(SecondaryTransport[[#This Row],[Scenario_MRF_Bale_ID]],BaleMover[Scenario_MRF_Bale_ID],0)))</f>
        <v>0</v>
      </c>
      <c r="AN311" s="251">
        <f>IF(SecondaryTransport[[#This Row],[Bale_ID]]="9000-01","costs elsewhere",SecondaryTransport[[#This Row],[Total_Baled_tons]]*SecondaryTransport[[#This Row],[Miles]])</f>
        <v>0</v>
      </c>
      <c r="AO311" s="352" t="str">
        <f>IF(LEFT(SecondaryTransport[[#This Row],[Bale_ID]],1)*1=5,IF(OR(SecondaryTransport[[#This Row],[MRF_ID]]="02",SecondaryTransport[[#This Row],[MRF_ID]]="08"),2,1),"")</f>
        <v/>
      </c>
      <c r="AP3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1" s="224" t="str">
        <f>IFERROR(IF(1*LEFT(SecondaryTransport[[#This Row],[Bale_ID]],1)=5,SecondaryTransport[[#This Row],[Ton-Miles]]*SecondaryTransport[[#This Row],[Cost_Per_Ton-Mile]],""),"")</f>
        <v/>
      </c>
      <c r="AS311" s="224" t="str">
        <f>IFERROR(IF(SecondaryTransport[[#This Row],[Container_Transfer]]="",(SecondaryTransport[[#This Row],[Ton-Miles]]*SecondaryTransport[[#This Row],[Cost_Per_Ton-Mile]]),""),"")</f>
        <v/>
      </c>
    </row>
    <row r="312" spans="3:45" ht="15" x14ac:dyDescent="0.25">
      <c r="C312"/>
      <c r="D312"/>
      <c r="L312" s="446" t="s">
        <v>870</v>
      </c>
      <c r="M312" s="446">
        <v>2</v>
      </c>
      <c r="N312" s="446">
        <v>1</v>
      </c>
      <c r="O312" s="446" t="s">
        <v>752</v>
      </c>
      <c r="P312" s="449" t="s">
        <v>700</v>
      </c>
      <c r="Q312" s="449"/>
      <c r="R312" s="449"/>
      <c r="S312" s="449" t="s">
        <v>964</v>
      </c>
      <c r="T312" s="449" t="s">
        <v>701</v>
      </c>
      <c r="U312" s="452">
        <v>0</v>
      </c>
      <c r="V3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2" s="272" t="str">
        <f>IFERROR(SUMIFS(TransUnitCost[Miles],TransUnitCost[Grouping_ID],TransTonsShort[[#This Row],[Grouping_ID]],TransUnitCost[Transp_ID],TransTonsShort[[#This Row],[Transp_ID]])*TransTonsShort[[#This Row],[Trans_Tons_All]]/TransTonsShort[[#This Row],[Trans_Tons_All]],"")</f>
        <v/>
      </c>
      <c r="X312" s="386" t="str">
        <f>TransTonsShort[[#This Row],[Grouping_ID]]&amp;"-"&amp;TransTonsShort[[#This Row],[Sector_ID]]</f>
        <v>2-1</v>
      </c>
      <c r="Y3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2" s="421">
        <f>INDEX(LandfillFees[Disposal Tip Fee 2025],MATCH(TransTonsShort[[#This Row],[Grouping_ID]],LandfillFees[Grouping_ID],0))</f>
        <v>72.030938699729589</v>
      </c>
      <c r="AA312" s="102">
        <f>IF(OR(TransTonsShort[[#This Row],[CollectionStream_ID]]="03",TransTonsShort[[#This Row],[CollectionStream_ID]]="04",TransTonsShort[[#This Row],[CollectionStream_ID]]="13"),0,TransTonsShort[[#This Row],[Trans_Tons_All]]*TransTonsShort[[#This Row],[Disposal_Fee]])</f>
        <v>0</v>
      </c>
      <c r="AF312" s="446" t="s">
        <v>1485</v>
      </c>
      <c r="AG312" s="442" t="str">
        <f>LEFT(SecondaryTransport[[#This Row],[Scenario_MRF_Bale_ID]],2)</f>
        <v>S1</v>
      </c>
      <c r="AH312" s="181" t="str">
        <f>LEFT(RIGHT(SecondaryTransport[[#This Row],[Scenario_MRF_Bale_ID]],10),2)</f>
        <v>04</v>
      </c>
      <c r="AI312" s="181" t="str">
        <f>INDEX(MRFs[MRF_Name],MATCH(SecondaryTransport[[#This Row],[MRF_ID]],MRFs[MRF_ID],0))</f>
        <v>1 MRF for SS with fiber and container upgrades (Portland)</v>
      </c>
      <c r="AJ312" s="181" t="str">
        <f>RIGHT(SecondaryTransport[[#This Row],[Scenario_MRF_Bale_ID]],7)</f>
        <v>2000-18</v>
      </c>
      <c r="AK312" s="181" t="str">
        <f>INDEX(Bales[Bale_Name],MATCH(SecondaryTransport[[#This Row],[Bale_ID]],Bales[Bale_ID],0))</f>
        <v>#3-7 bottles and small rigid plastics </v>
      </c>
      <c r="AL312" s="443">
        <f>INDEX(BaleMover[Total_Baled_tons],MATCH(SecondaryTransport[[#This Row],[Scenario_MRF_Bale_ID]],BaleMover[Scenario_MRF_Bale_ID],0))</f>
        <v>0</v>
      </c>
      <c r="AM312" s="443">
        <f>IF(INDEX(BaleMover[Miles],MATCH(SecondaryTransport[[#This Row],[Scenario_MRF_Bale_ID]],BaleMover[Scenario_MRF_Bale_ID],0))="",0,INDEX(BaleMover[Miles],MATCH(SecondaryTransport[[#This Row],[Scenario_MRF_Bale_ID]],BaleMover[Scenario_MRF_Bale_ID],0)))</f>
        <v>0</v>
      </c>
      <c r="AN312" s="251">
        <f>IF(SecondaryTransport[[#This Row],[Bale_ID]]="9000-01","costs elsewhere",SecondaryTransport[[#This Row],[Total_Baled_tons]]*SecondaryTransport[[#This Row],[Miles]])</f>
        <v>0</v>
      </c>
      <c r="AO312" s="352" t="str">
        <f>IF(LEFT(SecondaryTransport[[#This Row],[Bale_ID]],1)*1=5,IF(OR(SecondaryTransport[[#This Row],[MRF_ID]]="02",SecondaryTransport[[#This Row],[MRF_ID]]="08"),2,1),"")</f>
        <v/>
      </c>
      <c r="AP3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2" s="224" t="str">
        <f>IFERROR(IF(1*LEFT(SecondaryTransport[[#This Row],[Bale_ID]],1)=5,SecondaryTransport[[#This Row],[Ton-Miles]]*SecondaryTransport[[#This Row],[Cost_Per_Ton-Mile]],""),"")</f>
        <v/>
      </c>
      <c r="AS312" s="224" t="str">
        <f>IFERROR(IF(SecondaryTransport[[#This Row],[Container_Transfer]]="",(SecondaryTransport[[#This Row],[Ton-Miles]]*SecondaryTransport[[#This Row],[Cost_Per_Ton-Mile]]),""),"")</f>
        <v/>
      </c>
    </row>
    <row r="313" spans="3:45" ht="15" x14ac:dyDescent="0.25">
      <c r="C313"/>
      <c r="D313"/>
      <c r="L313" s="446" t="s">
        <v>870</v>
      </c>
      <c r="M313" s="446">
        <v>3</v>
      </c>
      <c r="N313" s="446">
        <v>1</v>
      </c>
      <c r="O313" s="446" t="s">
        <v>752</v>
      </c>
      <c r="P313" s="449" t="s">
        <v>700</v>
      </c>
      <c r="Q313" s="449"/>
      <c r="R313" s="449"/>
      <c r="S313" s="449" t="s">
        <v>964</v>
      </c>
      <c r="T313" s="449" t="s">
        <v>701</v>
      </c>
      <c r="U313" s="452">
        <v>0</v>
      </c>
      <c r="V3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3" s="272" t="str">
        <f>IFERROR(SUMIFS(TransUnitCost[Miles],TransUnitCost[Grouping_ID],TransTonsShort[[#This Row],[Grouping_ID]],TransUnitCost[Transp_ID],TransTonsShort[[#This Row],[Transp_ID]])*TransTonsShort[[#This Row],[Trans_Tons_All]]/TransTonsShort[[#This Row],[Trans_Tons_All]],"")</f>
        <v/>
      </c>
      <c r="X313" s="386" t="str">
        <f>TransTonsShort[[#This Row],[Grouping_ID]]&amp;"-"&amp;TransTonsShort[[#This Row],[Sector_ID]]</f>
        <v>3-1</v>
      </c>
      <c r="Y3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3" s="421">
        <f>INDEX(LandfillFees[Disposal Tip Fee 2025],MATCH(TransTonsShort[[#This Row],[Grouping_ID]],LandfillFees[Grouping_ID],0))</f>
        <v>72.030938699729589</v>
      </c>
      <c r="AA313" s="102">
        <f>IF(OR(TransTonsShort[[#This Row],[CollectionStream_ID]]="03",TransTonsShort[[#This Row],[CollectionStream_ID]]="04",TransTonsShort[[#This Row],[CollectionStream_ID]]="13"),0,TransTonsShort[[#This Row],[Trans_Tons_All]]*TransTonsShort[[#This Row],[Disposal_Fee]])</f>
        <v>0</v>
      </c>
      <c r="AF313" s="446" t="s">
        <v>1486</v>
      </c>
      <c r="AG313" s="442" t="str">
        <f>LEFT(SecondaryTransport[[#This Row],[Scenario_MRF_Bale_ID]],2)</f>
        <v>S2</v>
      </c>
      <c r="AH313" s="181" t="str">
        <f>LEFT(RIGHT(SecondaryTransport[[#This Row],[Scenario_MRF_Bale_ID]],10),2)</f>
        <v>04</v>
      </c>
      <c r="AI313" s="181" t="str">
        <f>INDEX(MRFs[MRF_Name],MATCH(SecondaryTransport[[#This Row],[MRF_ID]],MRFs[MRF_ID],0))</f>
        <v>1 MRF for SS with fiber and container upgrades (Portland)</v>
      </c>
      <c r="AJ313" s="181" t="str">
        <f>RIGHT(SecondaryTransport[[#This Row],[Scenario_MRF_Bale_ID]],7)</f>
        <v>2000-18</v>
      </c>
      <c r="AK313" s="181" t="str">
        <f>INDEX(Bales[Bale_Name],MATCH(SecondaryTransport[[#This Row],[Bale_ID]],Bales[Bale_ID],0))</f>
        <v>#3-7 bottles and small rigid plastics </v>
      </c>
      <c r="AL313" s="443">
        <f>INDEX(BaleMover[Total_Baled_tons],MATCH(SecondaryTransport[[#This Row],[Scenario_MRF_Bale_ID]],BaleMover[Scenario_MRF_Bale_ID],0))</f>
        <v>0</v>
      </c>
      <c r="AM313" s="443">
        <f>IF(INDEX(BaleMover[Miles],MATCH(SecondaryTransport[[#This Row],[Scenario_MRF_Bale_ID]],BaleMover[Scenario_MRF_Bale_ID],0))="",0,INDEX(BaleMover[Miles],MATCH(SecondaryTransport[[#This Row],[Scenario_MRF_Bale_ID]],BaleMover[Scenario_MRF_Bale_ID],0)))</f>
        <v>0</v>
      </c>
      <c r="AN313" s="251">
        <f>IF(SecondaryTransport[[#This Row],[Bale_ID]]="9000-01","costs elsewhere",SecondaryTransport[[#This Row],[Total_Baled_tons]]*SecondaryTransport[[#This Row],[Miles]])</f>
        <v>0</v>
      </c>
      <c r="AO313" s="352" t="str">
        <f>IF(LEFT(SecondaryTransport[[#This Row],[Bale_ID]],1)*1=5,IF(OR(SecondaryTransport[[#This Row],[MRF_ID]]="02",SecondaryTransport[[#This Row],[MRF_ID]]="08"),2,1),"")</f>
        <v/>
      </c>
      <c r="AP3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3" s="224" t="str">
        <f>IFERROR(IF(1*LEFT(SecondaryTransport[[#This Row],[Bale_ID]],1)=5,SecondaryTransport[[#This Row],[Ton-Miles]]*SecondaryTransport[[#This Row],[Cost_Per_Ton-Mile]],""),"")</f>
        <v/>
      </c>
      <c r="AS313" s="224" t="str">
        <f>IFERROR(IF(SecondaryTransport[[#This Row],[Container_Transfer]]="",(SecondaryTransport[[#This Row],[Ton-Miles]]*SecondaryTransport[[#This Row],[Cost_Per_Ton-Mile]]),""),"")</f>
        <v/>
      </c>
    </row>
    <row r="314" spans="3:45" ht="15" x14ac:dyDescent="0.25">
      <c r="C314"/>
      <c r="D314"/>
      <c r="L314" s="446" t="s">
        <v>870</v>
      </c>
      <c r="M314" s="446">
        <v>4</v>
      </c>
      <c r="N314" s="446">
        <v>1</v>
      </c>
      <c r="O314" s="446" t="s">
        <v>752</v>
      </c>
      <c r="P314" s="449" t="s">
        <v>700</v>
      </c>
      <c r="Q314" s="449"/>
      <c r="R314" s="449"/>
      <c r="S314" s="449" t="s">
        <v>964</v>
      </c>
      <c r="T314" s="449" t="s">
        <v>701</v>
      </c>
      <c r="U314" s="452">
        <v>0</v>
      </c>
      <c r="V3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4" s="272" t="str">
        <f>IFERROR(SUMIFS(TransUnitCost[Miles],TransUnitCost[Grouping_ID],TransTonsShort[[#This Row],[Grouping_ID]],TransUnitCost[Transp_ID],TransTonsShort[[#This Row],[Transp_ID]])*TransTonsShort[[#This Row],[Trans_Tons_All]]/TransTonsShort[[#This Row],[Trans_Tons_All]],"")</f>
        <v/>
      </c>
      <c r="X314" s="386" t="str">
        <f>TransTonsShort[[#This Row],[Grouping_ID]]&amp;"-"&amp;TransTonsShort[[#This Row],[Sector_ID]]</f>
        <v>4-1</v>
      </c>
      <c r="Y3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4" s="421">
        <f>INDEX(LandfillFees[Disposal Tip Fee 2025],MATCH(TransTonsShort[[#This Row],[Grouping_ID]],LandfillFees[Grouping_ID],0))</f>
        <v>72.030938699729589</v>
      </c>
      <c r="AA314" s="102">
        <f>IF(OR(TransTonsShort[[#This Row],[CollectionStream_ID]]="03",TransTonsShort[[#This Row],[CollectionStream_ID]]="04",TransTonsShort[[#This Row],[CollectionStream_ID]]="13"),0,TransTonsShort[[#This Row],[Trans_Tons_All]]*TransTonsShort[[#This Row],[Disposal_Fee]])</f>
        <v>0</v>
      </c>
      <c r="AF314" s="446" t="s">
        <v>1487</v>
      </c>
      <c r="AG314" s="442" t="str">
        <f>LEFT(SecondaryTransport[[#This Row],[Scenario_MRF_Bale_ID]],2)</f>
        <v>S3</v>
      </c>
      <c r="AH314" s="181" t="str">
        <f>LEFT(RIGHT(SecondaryTransport[[#This Row],[Scenario_MRF_Bale_ID]],10),2)</f>
        <v>04</v>
      </c>
      <c r="AI314" s="181" t="str">
        <f>INDEX(MRFs[MRF_Name],MATCH(SecondaryTransport[[#This Row],[MRF_ID]],MRFs[MRF_ID],0))</f>
        <v>1 MRF for SS with fiber and container upgrades (Portland)</v>
      </c>
      <c r="AJ314" s="181" t="str">
        <f>RIGHT(SecondaryTransport[[#This Row],[Scenario_MRF_Bale_ID]],7)</f>
        <v>2000-18</v>
      </c>
      <c r="AK314" s="181" t="str">
        <f>INDEX(Bales[Bale_Name],MATCH(SecondaryTransport[[#This Row],[Bale_ID]],Bales[Bale_ID],0))</f>
        <v>#3-7 bottles and small rigid plastics </v>
      </c>
      <c r="AL314" s="443">
        <f>INDEX(BaleMover[Total_Baled_tons],MATCH(SecondaryTransport[[#This Row],[Scenario_MRF_Bale_ID]],BaleMover[Scenario_MRF_Bale_ID],0))</f>
        <v>0</v>
      </c>
      <c r="AM314" s="443">
        <f>IF(INDEX(BaleMover[Miles],MATCH(SecondaryTransport[[#This Row],[Scenario_MRF_Bale_ID]],BaleMover[Scenario_MRF_Bale_ID],0))="",0,INDEX(BaleMover[Miles],MATCH(SecondaryTransport[[#This Row],[Scenario_MRF_Bale_ID]],BaleMover[Scenario_MRF_Bale_ID],0)))</f>
        <v>0</v>
      </c>
      <c r="AN314" s="251">
        <f>IF(SecondaryTransport[[#This Row],[Bale_ID]]="9000-01","costs elsewhere",SecondaryTransport[[#This Row],[Total_Baled_tons]]*SecondaryTransport[[#This Row],[Miles]])</f>
        <v>0</v>
      </c>
      <c r="AO314" s="352" t="str">
        <f>IF(LEFT(SecondaryTransport[[#This Row],[Bale_ID]],1)*1=5,IF(OR(SecondaryTransport[[#This Row],[MRF_ID]]="02",SecondaryTransport[[#This Row],[MRF_ID]]="08"),2,1),"")</f>
        <v/>
      </c>
      <c r="AP3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4" s="224" t="str">
        <f>IFERROR(IF(1*LEFT(SecondaryTransport[[#This Row],[Bale_ID]],1)=5,SecondaryTransport[[#This Row],[Ton-Miles]]*SecondaryTransport[[#This Row],[Cost_Per_Ton-Mile]],""),"")</f>
        <v/>
      </c>
      <c r="AS314" s="224" t="str">
        <f>IFERROR(IF(SecondaryTransport[[#This Row],[Container_Transfer]]="",(SecondaryTransport[[#This Row],[Ton-Miles]]*SecondaryTransport[[#This Row],[Cost_Per_Ton-Mile]]),""),"")</f>
        <v/>
      </c>
    </row>
    <row r="315" spans="3:45" ht="15" x14ac:dyDescent="0.25">
      <c r="C315"/>
      <c r="D315"/>
      <c r="L315" s="446" t="s">
        <v>870</v>
      </c>
      <c r="M315" s="446">
        <v>1</v>
      </c>
      <c r="N315" s="446">
        <v>1</v>
      </c>
      <c r="O315" s="446" t="s">
        <v>752</v>
      </c>
      <c r="P315" s="449" t="s">
        <v>706</v>
      </c>
      <c r="Q315" s="449"/>
      <c r="R315" s="449"/>
      <c r="S315" s="449" t="s">
        <v>964</v>
      </c>
      <c r="T315" s="449" t="s">
        <v>1025</v>
      </c>
      <c r="U315" s="452">
        <v>0</v>
      </c>
      <c r="V3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5" s="272" t="str">
        <f>IFERROR(SUMIFS(TransUnitCost[Miles],TransUnitCost[Grouping_ID],TransTonsShort[[#This Row],[Grouping_ID]],TransUnitCost[Transp_ID],TransTonsShort[[#This Row],[Transp_ID]])*TransTonsShort[[#This Row],[Trans_Tons_All]]/TransTonsShort[[#This Row],[Trans_Tons_All]],"")</f>
        <v/>
      </c>
      <c r="X315" s="386" t="str">
        <f>TransTonsShort[[#This Row],[Grouping_ID]]&amp;"-"&amp;TransTonsShort[[#This Row],[Sector_ID]]</f>
        <v>1-1</v>
      </c>
      <c r="Y3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5" s="421">
        <f>INDEX(LandfillFees[Disposal Tip Fee 2025],MATCH(TransTonsShort[[#This Row],[Grouping_ID]],LandfillFees[Grouping_ID],0))</f>
        <v>134.68</v>
      </c>
      <c r="AA315" s="102">
        <f>IF(OR(TransTonsShort[[#This Row],[CollectionStream_ID]]="03",TransTonsShort[[#This Row],[CollectionStream_ID]]="04",TransTonsShort[[#This Row],[CollectionStream_ID]]="13"),0,TransTonsShort[[#This Row],[Trans_Tons_All]]*TransTonsShort[[#This Row],[Disposal_Fee]])</f>
        <v>0</v>
      </c>
      <c r="AF315" s="446" t="s">
        <v>1488</v>
      </c>
      <c r="AG315" s="442" t="str">
        <f>LEFT(SecondaryTransport[[#This Row],[Scenario_MRF_Bale_ID]],2)</f>
        <v>S0</v>
      </c>
      <c r="AH315" s="181" t="str">
        <f>LEFT(RIGHT(SecondaryTransport[[#This Row],[Scenario_MRF_Bale_ID]],10),2)</f>
        <v>04</v>
      </c>
      <c r="AI315" s="181" t="str">
        <f>INDEX(MRFs[MRF_Name],MATCH(SecondaryTransport[[#This Row],[MRF_ID]],MRFs[MRF_ID],0))</f>
        <v>1 MRF for SS with fiber and container upgrades (Portland)</v>
      </c>
      <c r="AJ315" s="181" t="str">
        <f>RIGHT(SecondaryTransport[[#This Row],[Scenario_MRF_Bale_ID]],7)</f>
        <v>3000-01</v>
      </c>
      <c r="AK315" s="181" t="str">
        <f>INDEX(Bales[Bale_Name],MATCH(SecondaryTransport[[#This Row],[Bale_ID]],Bales[Bale_ID],0))</f>
        <v>Container glass </v>
      </c>
      <c r="AL315" s="443">
        <f>INDEX(BaleMover[Total_Baled_tons],MATCH(SecondaryTransport[[#This Row],[Scenario_MRF_Bale_ID]],BaleMover[Scenario_MRF_Bale_ID],0))</f>
        <v>0</v>
      </c>
      <c r="AM315" s="443">
        <f>IF(INDEX(BaleMover[Miles],MATCH(SecondaryTransport[[#This Row],[Scenario_MRF_Bale_ID]],BaleMover[Scenario_MRF_Bale_ID],0))="",0,INDEX(BaleMover[Miles],MATCH(SecondaryTransport[[#This Row],[Scenario_MRF_Bale_ID]],BaleMover[Scenario_MRF_Bale_ID],0)))</f>
        <v>0</v>
      </c>
      <c r="AN315" s="251">
        <f>IF(SecondaryTransport[[#This Row],[Bale_ID]]="9000-01","costs elsewhere",SecondaryTransport[[#This Row],[Total_Baled_tons]]*SecondaryTransport[[#This Row],[Miles]])</f>
        <v>0</v>
      </c>
      <c r="AO315" s="352" t="str">
        <f>IF(LEFT(SecondaryTransport[[#This Row],[Bale_ID]],1)*1=5,IF(OR(SecondaryTransport[[#This Row],[MRF_ID]]="02",SecondaryTransport[[#This Row],[MRF_ID]]="08"),2,1),"")</f>
        <v/>
      </c>
      <c r="AP3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5" s="224" t="str">
        <f>IFERROR(IF(1*LEFT(SecondaryTransport[[#This Row],[Bale_ID]],1)=5,SecondaryTransport[[#This Row],[Ton-Miles]]*SecondaryTransport[[#This Row],[Cost_Per_Ton-Mile]],""),"")</f>
        <v/>
      </c>
      <c r="AS315" s="224" t="str">
        <f>IFERROR(IF(SecondaryTransport[[#This Row],[Container_Transfer]]="",(SecondaryTransport[[#This Row],[Ton-Miles]]*SecondaryTransport[[#This Row],[Cost_Per_Ton-Mile]]),""),"")</f>
        <v/>
      </c>
    </row>
    <row r="316" spans="3:45" ht="15" x14ac:dyDescent="0.25">
      <c r="C316"/>
      <c r="D316"/>
      <c r="L316" s="446" t="s">
        <v>870</v>
      </c>
      <c r="M316" s="446">
        <v>2</v>
      </c>
      <c r="N316" s="446">
        <v>1</v>
      </c>
      <c r="O316" s="446" t="s">
        <v>752</v>
      </c>
      <c r="P316" s="449" t="s">
        <v>706</v>
      </c>
      <c r="Q316" s="449"/>
      <c r="R316" s="449"/>
      <c r="S316" s="449" t="s">
        <v>964</v>
      </c>
      <c r="T316" s="449" t="s">
        <v>1025</v>
      </c>
      <c r="U316" s="452">
        <v>0</v>
      </c>
      <c r="V3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6" s="272" t="str">
        <f>IFERROR(SUMIFS(TransUnitCost[Miles],TransUnitCost[Grouping_ID],TransTonsShort[[#This Row],[Grouping_ID]],TransUnitCost[Transp_ID],TransTonsShort[[#This Row],[Transp_ID]])*TransTonsShort[[#This Row],[Trans_Tons_All]]/TransTonsShort[[#This Row],[Trans_Tons_All]],"")</f>
        <v/>
      </c>
      <c r="X316" s="386" t="str">
        <f>TransTonsShort[[#This Row],[Grouping_ID]]&amp;"-"&amp;TransTonsShort[[#This Row],[Sector_ID]]</f>
        <v>2-1</v>
      </c>
      <c r="Y3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6" s="421">
        <f>INDEX(LandfillFees[Disposal Tip Fee 2025],MATCH(TransTonsShort[[#This Row],[Grouping_ID]],LandfillFees[Grouping_ID],0))</f>
        <v>72.030938699729589</v>
      </c>
      <c r="AA316" s="102">
        <f>IF(OR(TransTonsShort[[#This Row],[CollectionStream_ID]]="03",TransTonsShort[[#This Row],[CollectionStream_ID]]="04",TransTonsShort[[#This Row],[CollectionStream_ID]]="13"),0,TransTonsShort[[#This Row],[Trans_Tons_All]]*TransTonsShort[[#This Row],[Disposal_Fee]])</f>
        <v>0</v>
      </c>
      <c r="AF316" s="446" t="s">
        <v>1489</v>
      </c>
      <c r="AG316" s="442" t="str">
        <f>LEFT(SecondaryTransport[[#This Row],[Scenario_MRF_Bale_ID]],2)</f>
        <v>S1</v>
      </c>
      <c r="AH316" s="181" t="str">
        <f>LEFT(RIGHT(SecondaryTransport[[#This Row],[Scenario_MRF_Bale_ID]],10),2)</f>
        <v>04</v>
      </c>
      <c r="AI316" s="181" t="str">
        <f>INDEX(MRFs[MRF_Name],MATCH(SecondaryTransport[[#This Row],[MRF_ID]],MRFs[MRF_ID],0))</f>
        <v>1 MRF for SS with fiber and container upgrades (Portland)</v>
      </c>
      <c r="AJ316" s="181" t="str">
        <f>RIGHT(SecondaryTransport[[#This Row],[Scenario_MRF_Bale_ID]],7)</f>
        <v>3000-01</v>
      </c>
      <c r="AK316" s="181" t="str">
        <f>INDEX(Bales[Bale_Name],MATCH(SecondaryTransport[[#This Row],[Bale_ID]],Bales[Bale_ID],0))</f>
        <v>Container glass </v>
      </c>
      <c r="AL316" s="443">
        <f>INDEX(BaleMover[Total_Baled_tons],MATCH(SecondaryTransport[[#This Row],[Scenario_MRF_Bale_ID]],BaleMover[Scenario_MRF_Bale_ID],0))</f>
        <v>0</v>
      </c>
      <c r="AM316" s="443">
        <f>IF(INDEX(BaleMover[Miles],MATCH(SecondaryTransport[[#This Row],[Scenario_MRF_Bale_ID]],BaleMover[Scenario_MRF_Bale_ID],0))="",0,INDEX(BaleMover[Miles],MATCH(SecondaryTransport[[#This Row],[Scenario_MRF_Bale_ID]],BaleMover[Scenario_MRF_Bale_ID],0)))</f>
        <v>0</v>
      </c>
      <c r="AN316" s="251">
        <f>IF(SecondaryTransport[[#This Row],[Bale_ID]]="9000-01","costs elsewhere",SecondaryTransport[[#This Row],[Total_Baled_tons]]*SecondaryTransport[[#This Row],[Miles]])</f>
        <v>0</v>
      </c>
      <c r="AO316" s="352" t="str">
        <f>IF(LEFT(SecondaryTransport[[#This Row],[Bale_ID]],1)*1=5,IF(OR(SecondaryTransport[[#This Row],[MRF_ID]]="02",SecondaryTransport[[#This Row],[MRF_ID]]="08"),2,1),"")</f>
        <v/>
      </c>
      <c r="AP3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6" s="224" t="str">
        <f>IFERROR(IF(1*LEFT(SecondaryTransport[[#This Row],[Bale_ID]],1)=5,SecondaryTransport[[#This Row],[Ton-Miles]]*SecondaryTransport[[#This Row],[Cost_Per_Ton-Mile]],""),"")</f>
        <v/>
      </c>
      <c r="AS316" s="224" t="str">
        <f>IFERROR(IF(SecondaryTransport[[#This Row],[Container_Transfer]]="",(SecondaryTransport[[#This Row],[Ton-Miles]]*SecondaryTransport[[#This Row],[Cost_Per_Ton-Mile]]),""),"")</f>
        <v/>
      </c>
    </row>
    <row r="317" spans="3:45" ht="15" x14ac:dyDescent="0.25">
      <c r="C317"/>
      <c r="D317"/>
      <c r="L317" s="446" t="s">
        <v>870</v>
      </c>
      <c r="M317" s="446">
        <v>3</v>
      </c>
      <c r="N317" s="446">
        <v>1</v>
      </c>
      <c r="O317" s="446" t="s">
        <v>752</v>
      </c>
      <c r="P317" s="449" t="s">
        <v>706</v>
      </c>
      <c r="Q317" s="449"/>
      <c r="R317" s="449"/>
      <c r="S317" s="449" t="s">
        <v>964</v>
      </c>
      <c r="T317" s="449" t="s">
        <v>1025</v>
      </c>
      <c r="U317" s="452">
        <v>0</v>
      </c>
      <c r="V3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7" s="272" t="str">
        <f>IFERROR(SUMIFS(TransUnitCost[Miles],TransUnitCost[Grouping_ID],TransTonsShort[[#This Row],[Grouping_ID]],TransUnitCost[Transp_ID],TransTonsShort[[#This Row],[Transp_ID]])*TransTonsShort[[#This Row],[Trans_Tons_All]]/TransTonsShort[[#This Row],[Trans_Tons_All]],"")</f>
        <v/>
      </c>
      <c r="X317" s="386" t="str">
        <f>TransTonsShort[[#This Row],[Grouping_ID]]&amp;"-"&amp;TransTonsShort[[#This Row],[Sector_ID]]</f>
        <v>3-1</v>
      </c>
      <c r="Y3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7" s="421">
        <f>INDEX(LandfillFees[Disposal Tip Fee 2025],MATCH(TransTonsShort[[#This Row],[Grouping_ID]],LandfillFees[Grouping_ID],0))</f>
        <v>72.030938699729589</v>
      </c>
      <c r="AA317" s="102">
        <f>IF(OR(TransTonsShort[[#This Row],[CollectionStream_ID]]="03",TransTonsShort[[#This Row],[CollectionStream_ID]]="04",TransTonsShort[[#This Row],[CollectionStream_ID]]="13"),0,TransTonsShort[[#This Row],[Trans_Tons_All]]*TransTonsShort[[#This Row],[Disposal_Fee]])</f>
        <v>0</v>
      </c>
      <c r="AF317" s="446" t="s">
        <v>1490</v>
      </c>
      <c r="AG317" s="442" t="str">
        <f>LEFT(SecondaryTransport[[#This Row],[Scenario_MRF_Bale_ID]],2)</f>
        <v>S2</v>
      </c>
      <c r="AH317" s="181" t="str">
        <f>LEFT(RIGHT(SecondaryTransport[[#This Row],[Scenario_MRF_Bale_ID]],10),2)</f>
        <v>04</v>
      </c>
      <c r="AI317" s="181" t="str">
        <f>INDEX(MRFs[MRF_Name],MATCH(SecondaryTransport[[#This Row],[MRF_ID]],MRFs[MRF_ID],0))</f>
        <v>1 MRF for SS with fiber and container upgrades (Portland)</v>
      </c>
      <c r="AJ317" s="181" t="str">
        <f>RIGHT(SecondaryTransport[[#This Row],[Scenario_MRF_Bale_ID]],7)</f>
        <v>3000-01</v>
      </c>
      <c r="AK317" s="181" t="str">
        <f>INDEX(Bales[Bale_Name],MATCH(SecondaryTransport[[#This Row],[Bale_ID]],Bales[Bale_ID],0))</f>
        <v>Container glass </v>
      </c>
      <c r="AL317" s="443">
        <f>INDEX(BaleMover[Total_Baled_tons],MATCH(SecondaryTransport[[#This Row],[Scenario_MRF_Bale_ID]],BaleMover[Scenario_MRF_Bale_ID],0))</f>
        <v>0</v>
      </c>
      <c r="AM317" s="443">
        <f>IF(INDEX(BaleMover[Miles],MATCH(SecondaryTransport[[#This Row],[Scenario_MRF_Bale_ID]],BaleMover[Scenario_MRF_Bale_ID],0))="",0,INDEX(BaleMover[Miles],MATCH(SecondaryTransport[[#This Row],[Scenario_MRF_Bale_ID]],BaleMover[Scenario_MRF_Bale_ID],0)))</f>
        <v>0</v>
      </c>
      <c r="AN317" s="251">
        <f>IF(SecondaryTransport[[#This Row],[Bale_ID]]="9000-01","costs elsewhere",SecondaryTransport[[#This Row],[Total_Baled_tons]]*SecondaryTransport[[#This Row],[Miles]])</f>
        <v>0</v>
      </c>
      <c r="AO317" s="352" t="str">
        <f>IF(LEFT(SecondaryTransport[[#This Row],[Bale_ID]],1)*1=5,IF(OR(SecondaryTransport[[#This Row],[MRF_ID]]="02",SecondaryTransport[[#This Row],[MRF_ID]]="08"),2,1),"")</f>
        <v/>
      </c>
      <c r="AP3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7" s="224" t="str">
        <f>IFERROR(IF(1*LEFT(SecondaryTransport[[#This Row],[Bale_ID]],1)=5,SecondaryTransport[[#This Row],[Ton-Miles]]*SecondaryTransport[[#This Row],[Cost_Per_Ton-Mile]],""),"")</f>
        <v/>
      </c>
      <c r="AS317" s="224" t="str">
        <f>IFERROR(IF(SecondaryTransport[[#This Row],[Container_Transfer]]="",(SecondaryTransport[[#This Row],[Ton-Miles]]*SecondaryTransport[[#This Row],[Cost_Per_Ton-Mile]]),""),"")</f>
        <v/>
      </c>
    </row>
    <row r="318" spans="3:45" ht="15" x14ac:dyDescent="0.25">
      <c r="C318"/>
      <c r="D318"/>
      <c r="L318" s="446" t="s">
        <v>870</v>
      </c>
      <c r="M318" s="446">
        <v>4</v>
      </c>
      <c r="N318" s="446">
        <v>1</v>
      </c>
      <c r="O318" s="446" t="s">
        <v>752</v>
      </c>
      <c r="P318" s="449" t="s">
        <v>706</v>
      </c>
      <c r="Q318" s="449"/>
      <c r="R318" s="449"/>
      <c r="S318" s="449" t="s">
        <v>964</v>
      </c>
      <c r="T318" s="449" t="s">
        <v>1025</v>
      </c>
      <c r="U318" s="452">
        <v>0</v>
      </c>
      <c r="V3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8" s="272" t="str">
        <f>IFERROR(SUMIFS(TransUnitCost[Miles],TransUnitCost[Grouping_ID],TransTonsShort[[#This Row],[Grouping_ID]],TransUnitCost[Transp_ID],TransTonsShort[[#This Row],[Transp_ID]])*TransTonsShort[[#This Row],[Trans_Tons_All]]/TransTonsShort[[#This Row],[Trans_Tons_All]],"")</f>
        <v/>
      </c>
      <c r="X318" s="386" t="str">
        <f>TransTonsShort[[#This Row],[Grouping_ID]]&amp;"-"&amp;TransTonsShort[[#This Row],[Sector_ID]]</f>
        <v>4-1</v>
      </c>
      <c r="Y3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8" s="421">
        <f>INDEX(LandfillFees[Disposal Tip Fee 2025],MATCH(TransTonsShort[[#This Row],[Grouping_ID]],LandfillFees[Grouping_ID],0))</f>
        <v>72.030938699729589</v>
      </c>
      <c r="AA318" s="102">
        <f>IF(OR(TransTonsShort[[#This Row],[CollectionStream_ID]]="03",TransTonsShort[[#This Row],[CollectionStream_ID]]="04",TransTonsShort[[#This Row],[CollectionStream_ID]]="13"),0,TransTonsShort[[#This Row],[Trans_Tons_All]]*TransTonsShort[[#This Row],[Disposal_Fee]])</f>
        <v>0</v>
      </c>
      <c r="AF318" s="446" t="s">
        <v>1491</v>
      </c>
      <c r="AG318" s="442" t="str">
        <f>LEFT(SecondaryTransport[[#This Row],[Scenario_MRF_Bale_ID]],2)</f>
        <v>S3</v>
      </c>
      <c r="AH318" s="181" t="str">
        <f>LEFT(RIGHT(SecondaryTransport[[#This Row],[Scenario_MRF_Bale_ID]],10),2)</f>
        <v>04</v>
      </c>
      <c r="AI318" s="181" t="str">
        <f>INDEX(MRFs[MRF_Name],MATCH(SecondaryTransport[[#This Row],[MRF_ID]],MRFs[MRF_ID],0))</f>
        <v>1 MRF for SS with fiber and container upgrades (Portland)</v>
      </c>
      <c r="AJ318" s="181" t="str">
        <f>RIGHT(SecondaryTransport[[#This Row],[Scenario_MRF_Bale_ID]],7)</f>
        <v>3000-01</v>
      </c>
      <c r="AK318" s="181" t="str">
        <f>INDEX(Bales[Bale_Name],MATCH(SecondaryTransport[[#This Row],[Bale_ID]],Bales[Bale_ID],0))</f>
        <v>Container glass </v>
      </c>
      <c r="AL318" s="443">
        <f>INDEX(BaleMover[Total_Baled_tons],MATCH(SecondaryTransport[[#This Row],[Scenario_MRF_Bale_ID]],BaleMover[Scenario_MRF_Bale_ID],0))</f>
        <v>0</v>
      </c>
      <c r="AM318" s="443">
        <f>IF(INDEX(BaleMover[Miles],MATCH(SecondaryTransport[[#This Row],[Scenario_MRF_Bale_ID]],BaleMover[Scenario_MRF_Bale_ID],0))="",0,INDEX(BaleMover[Miles],MATCH(SecondaryTransport[[#This Row],[Scenario_MRF_Bale_ID]],BaleMover[Scenario_MRF_Bale_ID],0)))</f>
        <v>0</v>
      </c>
      <c r="AN318" s="251">
        <f>IF(SecondaryTransport[[#This Row],[Bale_ID]]="9000-01","costs elsewhere",SecondaryTransport[[#This Row],[Total_Baled_tons]]*SecondaryTransport[[#This Row],[Miles]])</f>
        <v>0</v>
      </c>
      <c r="AO318" s="352" t="str">
        <f>IF(LEFT(SecondaryTransport[[#This Row],[Bale_ID]],1)*1=5,IF(OR(SecondaryTransport[[#This Row],[MRF_ID]]="02",SecondaryTransport[[#This Row],[MRF_ID]]="08"),2,1),"")</f>
        <v/>
      </c>
      <c r="AP3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1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18" s="224" t="str">
        <f>IFERROR(IF(1*LEFT(SecondaryTransport[[#This Row],[Bale_ID]],1)=5,SecondaryTransport[[#This Row],[Ton-Miles]]*SecondaryTransport[[#This Row],[Cost_Per_Ton-Mile]],""),"")</f>
        <v/>
      </c>
      <c r="AS318" s="224" t="str">
        <f>IFERROR(IF(SecondaryTransport[[#This Row],[Container_Transfer]]="",(SecondaryTransport[[#This Row],[Ton-Miles]]*SecondaryTransport[[#This Row],[Cost_Per_Ton-Mile]]),""),"")</f>
        <v/>
      </c>
    </row>
    <row r="319" spans="3:45" ht="15" x14ac:dyDescent="0.25">
      <c r="C319"/>
      <c r="D319"/>
      <c r="L319" s="446" t="s">
        <v>870</v>
      </c>
      <c r="M319" s="446">
        <v>1</v>
      </c>
      <c r="N319" s="446">
        <v>1</v>
      </c>
      <c r="O319" s="446" t="s">
        <v>750</v>
      </c>
      <c r="P319" s="449" t="s">
        <v>739</v>
      </c>
      <c r="Q319" s="449"/>
      <c r="R319" s="449"/>
      <c r="S319" s="449" t="s">
        <v>963</v>
      </c>
      <c r="T319" s="449" t="s">
        <v>1121</v>
      </c>
      <c r="U319" s="452">
        <v>0</v>
      </c>
      <c r="V3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19" s="272" t="str">
        <f>IFERROR(SUMIFS(TransUnitCost[Miles],TransUnitCost[Grouping_ID],TransTonsShort[[#This Row],[Grouping_ID]],TransUnitCost[Transp_ID],TransTonsShort[[#This Row],[Transp_ID]])*TransTonsShort[[#This Row],[Trans_Tons_All]]/TransTonsShort[[#This Row],[Trans_Tons_All]],"")</f>
        <v/>
      </c>
      <c r="X319" s="386" t="str">
        <f>TransTonsShort[[#This Row],[Grouping_ID]]&amp;"-"&amp;TransTonsShort[[#This Row],[Sector_ID]]</f>
        <v>1-1</v>
      </c>
      <c r="Y3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19" s="421">
        <f>INDEX(LandfillFees[Disposal Tip Fee 2025],MATCH(TransTonsShort[[#This Row],[Grouping_ID]],LandfillFees[Grouping_ID],0))</f>
        <v>134.68</v>
      </c>
      <c r="AA319" s="102">
        <f>IF(OR(TransTonsShort[[#This Row],[CollectionStream_ID]]="03",TransTonsShort[[#This Row],[CollectionStream_ID]]="04",TransTonsShort[[#This Row],[CollectionStream_ID]]="13"),0,TransTonsShort[[#This Row],[Trans_Tons_All]]*TransTonsShort[[#This Row],[Disposal_Fee]])</f>
        <v>0</v>
      </c>
      <c r="AF319" s="446" t="s">
        <v>1492</v>
      </c>
      <c r="AG319" s="442" t="str">
        <f>LEFT(SecondaryTransport[[#This Row],[Scenario_MRF_Bale_ID]],2)</f>
        <v>S0</v>
      </c>
      <c r="AH319" s="181" t="str">
        <f>LEFT(RIGHT(SecondaryTransport[[#This Row],[Scenario_MRF_Bale_ID]],10),2)</f>
        <v>04</v>
      </c>
      <c r="AI319" s="181" t="str">
        <f>INDEX(MRFs[MRF_Name],MATCH(SecondaryTransport[[#This Row],[MRF_ID]],MRFs[MRF_ID],0))</f>
        <v>1 MRF for SS with fiber and container upgrades (Portland)</v>
      </c>
      <c r="AJ319" s="181" t="str">
        <f>RIGHT(SecondaryTransport[[#This Row],[Scenario_MRF_Bale_ID]],7)</f>
        <v>4000-01</v>
      </c>
      <c r="AK319" s="181" t="str">
        <f>INDEX(Bales[Bale_Name],MATCH(SecondaryTransport[[#This Row],[Bale_ID]],Bales[Bale_ID],0))</f>
        <v>Aluminum cans and foil</v>
      </c>
      <c r="AL319" s="443">
        <f>INDEX(BaleMover[Total_Baled_tons],MATCH(SecondaryTransport[[#This Row],[Scenario_MRF_Bale_ID]],BaleMover[Scenario_MRF_Bale_ID],0))</f>
        <v>370.75211142942561</v>
      </c>
      <c r="AM319" s="443">
        <f>IF(INDEX(BaleMover[Miles],MATCH(SecondaryTransport[[#This Row],[Scenario_MRF_Bale_ID]],BaleMover[Scenario_MRF_Bale_ID],0))="",0,INDEX(BaleMover[Miles],MATCH(SecondaryTransport[[#This Row],[Scenario_MRF_Bale_ID]],BaleMover[Scenario_MRF_Bale_ID],0)))</f>
        <v>960</v>
      </c>
      <c r="AN319" s="251">
        <f>IF(SecondaryTransport[[#This Row],[Bale_ID]]="9000-01","costs elsewhere",SecondaryTransport[[#This Row],[Total_Baled_tons]]*SecondaryTransport[[#This Row],[Miles]])</f>
        <v>355922.02697224857</v>
      </c>
      <c r="AO319" s="352" t="str">
        <f>IF(LEFT(SecondaryTransport[[#This Row],[Bale_ID]],1)*1=5,IF(OR(SecondaryTransport[[#This Row],[MRF_ID]]="02",SecondaryTransport[[#This Row],[MRF_ID]]="08"),2,1),"")</f>
        <v/>
      </c>
      <c r="AP3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1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19" s="224" t="str">
        <f>IFERROR(IF(1*LEFT(SecondaryTransport[[#This Row],[Bale_ID]],1)=5,SecondaryTransport[[#This Row],[Ton-Miles]]*SecondaryTransport[[#This Row],[Cost_Per_Ton-Mile]],""),"")</f>
        <v/>
      </c>
      <c r="AS319" s="224">
        <f>IFERROR(IF(SecondaryTransport[[#This Row],[Container_Transfer]]="",(SecondaryTransport[[#This Row],[Ton-Miles]]*SecondaryTransport[[#This Row],[Cost_Per_Ton-Mile]]),""),"")</f>
        <v>49829.083776114807</v>
      </c>
    </row>
    <row r="320" spans="3:45" ht="15" x14ac:dyDescent="0.25">
      <c r="C320"/>
      <c r="D320"/>
      <c r="L320" s="446" t="s">
        <v>870</v>
      </c>
      <c r="M320" s="446">
        <v>2</v>
      </c>
      <c r="N320" s="446">
        <v>1</v>
      </c>
      <c r="O320" s="446" t="s">
        <v>750</v>
      </c>
      <c r="P320" s="449" t="s">
        <v>739</v>
      </c>
      <c r="Q320" s="449"/>
      <c r="R320" s="449"/>
      <c r="S320" s="449" t="s">
        <v>963</v>
      </c>
      <c r="T320" s="449" t="s">
        <v>1121</v>
      </c>
      <c r="U320" s="452">
        <v>0</v>
      </c>
      <c r="V3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0" s="272" t="str">
        <f>IFERROR(SUMIFS(TransUnitCost[Miles],TransUnitCost[Grouping_ID],TransTonsShort[[#This Row],[Grouping_ID]],TransUnitCost[Transp_ID],TransTonsShort[[#This Row],[Transp_ID]])*TransTonsShort[[#This Row],[Trans_Tons_All]]/TransTonsShort[[#This Row],[Trans_Tons_All]],"")</f>
        <v/>
      </c>
      <c r="X320" s="386" t="str">
        <f>TransTonsShort[[#This Row],[Grouping_ID]]&amp;"-"&amp;TransTonsShort[[#This Row],[Sector_ID]]</f>
        <v>2-1</v>
      </c>
      <c r="Y3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0" s="421">
        <f>INDEX(LandfillFees[Disposal Tip Fee 2025],MATCH(TransTonsShort[[#This Row],[Grouping_ID]],LandfillFees[Grouping_ID],0))</f>
        <v>72.030938699729589</v>
      </c>
      <c r="AA320" s="102">
        <f>IF(OR(TransTonsShort[[#This Row],[CollectionStream_ID]]="03",TransTonsShort[[#This Row],[CollectionStream_ID]]="04",TransTonsShort[[#This Row],[CollectionStream_ID]]="13"),0,TransTonsShort[[#This Row],[Trans_Tons_All]]*TransTonsShort[[#This Row],[Disposal_Fee]])</f>
        <v>0</v>
      </c>
      <c r="AF320" s="446" t="s">
        <v>1493</v>
      </c>
      <c r="AG320" s="442" t="str">
        <f>LEFT(SecondaryTransport[[#This Row],[Scenario_MRF_Bale_ID]],2)</f>
        <v>S1</v>
      </c>
      <c r="AH320" s="181" t="str">
        <f>LEFT(RIGHT(SecondaryTransport[[#This Row],[Scenario_MRF_Bale_ID]],10),2)</f>
        <v>04</v>
      </c>
      <c r="AI320" s="181" t="str">
        <f>INDEX(MRFs[MRF_Name],MATCH(SecondaryTransport[[#This Row],[MRF_ID]],MRFs[MRF_ID],0))</f>
        <v>1 MRF for SS with fiber and container upgrades (Portland)</v>
      </c>
      <c r="AJ320" s="181" t="str">
        <f>RIGHT(SecondaryTransport[[#This Row],[Scenario_MRF_Bale_ID]],7)</f>
        <v>4000-01</v>
      </c>
      <c r="AK320" s="181" t="str">
        <f>INDEX(Bales[Bale_Name],MATCH(SecondaryTransport[[#This Row],[Bale_ID]],Bales[Bale_ID],0))</f>
        <v>Aluminum cans and foil</v>
      </c>
      <c r="AL320" s="443">
        <f>INDEX(BaleMover[Total_Baled_tons],MATCH(SecondaryTransport[[#This Row],[Scenario_MRF_Bale_ID]],BaleMover[Scenario_MRF_Bale_ID],0))</f>
        <v>294.49410674517907</v>
      </c>
      <c r="AM320" s="443">
        <f>IF(INDEX(BaleMover[Miles],MATCH(SecondaryTransport[[#This Row],[Scenario_MRF_Bale_ID]],BaleMover[Scenario_MRF_Bale_ID],0))="",0,INDEX(BaleMover[Miles],MATCH(SecondaryTransport[[#This Row],[Scenario_MRF_Bale_ID]],BaleMover[Scenario_MRF_Bale_ID],0)))</f>
        <v>960</v>
      </c>
      <c r="AN320" s="251">
        <f>IF(SecondaryTransport[[#This Row],[Bale_ID]]="9000-01","costs elsewhere",SecondaryTransport[[#This Row],[Total_Baled_tons]]*SecondaryTransport[[#This Row],[Miles]])</f>
        <v>282714.3424753719</v>
      </c>
      <c r="AO320" s="352" t="str">
        <f>IF(LEFT(SecondaryTransport[[#This Row],[Bale_ID]],1)*1=5,IF(OR(SecondaryTransport[[#This Row],[MRF_ID]]="02",SecondaryTransport[[#This Row],[MRF_ID]]="08"),2,1),"")</f>
        <v/>
      </c>
      <c r="AP3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2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20" s="224" t="str">
        <f>IFERROR(IF(1*LEFT(SecondaryTransport[[#This Row],[Bale_ID]],1)=5,SecondaryTransport[[#This Row],[Ton-Miles]]*SecondaryTransport[[#This Row],[Cost_Per_Ton-Mile]],""),"")</f>
        <v/>
      </c>
      <c r="AS320" s="224">
        <f>IFERROR(IF(SecondaryTransport[[#This Row],[Container_Transfer]]="",(SecondaryTransport[[#This Row],[Ton-Miles]]*SecondaryTransport[[#This Row],[Cost_Per_Ton-Mile]]),""),"")</f>
        <v>39580.007946552068</v>
      </c>
    </row>
    <row r="321" spans="3:45" ht="15" x14ac:dyDescent="0.25">
      <c r="C321"/>
      <c r="D321"/>
      <c r="L321" s="446" t="s">
        <v>870</v>
      </c>
      <c r="M321" s="446">
        <v>3</v>
      </c>
      <c r="N321" s="446">
        <v>1</v>
      </c>
      <c r="O321" s="446" t="s">
        <v>750</v>
      </c>
      <c r="P321" s="449" t="s">
        <v>739</v>
      </c>
      <c r="Q321" s="449"/>
      <c r="R321" s="449"/>
      <c r="S321" s="449" t="s">
        <v>963</v>
      </c>
      <c r="T321" s="449" t="s">
        <v>1121</v>
      </c>
      <c r="U321" s="452">
        <v>0</v>
      </c>
      <c r="V3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1" s="272" t="str">
        <f>IFERROR(SUMIFS(TransUnitCost[Miles],TransUnitCost[Grouping_ID],TransTonsShort[[#This Row],[Grouping_ID]],TransUnitCost[Transp_ID],TransTonsShort[[#This Row],[Transp_ID]])*TransTonsShort[[#This Row],[Trans_Tons_All]]/TransTonsShort[[#This Row],[Trans_Tons_All]],"")</f>
        <v/>
      </c>
      <c r="X321" s="386" t="str">
        <f>TransTonsShort[[#This Row],[Grouping_ID]]&amp;"-"&amp;TransTonsShort[[#This Row],[Sector_ID]]</f>
        <v>3-1</v>
      </c>
      <c r="Y3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1" s="421">
        <f>INDEX(LandfillFees[Disposal Tip Fee 2025],MATCH(TransTonsShort[[#This Row],[Grouping_ID]],LandfillFees[Grouping_ID],0))</f>
        <v>72.030938699729589</v>
      </c>
      <c r="AA321" s="102">
        <f>IF(OR(TransTonsShort[[#This Row],[CollectionStream_ID]]="03",TransTonsShort[[#This Row],[CollectionStream_ID]]="04",TransTonsShort[[#This Row],[CollectionStream_ID]]="13"),0,TransTonsShort[[#This Row],[Trans_Tons_All]]*TransTonsShort[[#This Row],[Disposal_Fee]])</f>
        <v>0</v>
      </c>
      <c r="AF321" s="446" t="s">
        <v>1494</v>
      </c>
      <c r="AG321" s="442" t="str">
        <f>LEFT(SecondaryTransport[[#This Row],[Scenario_MRF_Bale_ID]],2)</f>
        <v>S2</v>
      </c>
      <c r="AH321" s="181" t="str">
        <f>LEFT(RIGHT(SecondaryTransport[[#This Row],[Scenario_MRF_Bale_ID]],10),2)</f>
        <v>04</v>
      </c>
      <c r="AI321" s="181" t="str">
        <f>INDEX(MRFs[MRF_Name],MATCH(SecondaryTransport[[#This Row],[MRF_ID]],MRFs[MRF_ID],0))</f>
        <v>1 MRF for SS with fiber and container upgrades (Portland)</v>
      </c>
      <c r="AJ321" s="181" t="str">
        <f>RIGHT(SecondaryTransport[[#This Row],[Scenario_MRF_Bale_ID]],7)</f>
        <v>4000-01</v>
      </c>
      <c r="AK321" s="181" t="str">
        <f>INDEX(Bales[Bale_Name],MATCH(SecondaryTransport[[#This Row],[Bale_ID]],Bales[Bale_ID],0))</f>
        <v>Aluminum cans and foil</v>
      </c>
      <c r="AL321" s="443">
        <f>INDEX(BaleMover[Total_Baled_tons],MATCH(SecondaryTransport[[#This Row],[Scenario_MRF_Bale_ID]],BaleMover[Scenario_MRF_Bale_ID],0))</f>
        <v>385.61045884172415</v>
      </c>
      <c r="AM321" s="443">
        <f>IF(INDEX(BaleMover[Miles],MATCH(SecondaryTransport[[#This Row],[Scenario_MRF_Bale_ID]],BaleMover[Scenario_MRF_Bale_ID],0))="",0,INDEX(BaleMover[Miles],MATCH(SecondaryTransport[[#This Row],[Scenario_MRF_Bale_ID]],BaleMover[Scenario_MRF_Bale_ID],0)))</f>
        <v>960</v>
      </c>
      <c r="AN321" s="251">
        <f>IF(SecondaryTransport[[#This Row],[Bale_ID]]="9000-01","costs elsewhere",SecondaryTransport[[#This Row],[Total_Baled_tons]]*SecondaryTransport[[#This Row],[Miles]])</f>
        <v>370186.04048805521</v>
      </c>
      <c r="AO321" s="352" t="str">
        <f>IF(LEFT(SecondaryTransport[[#This Row],[Bale_ID]],1)*1=5,IF(OR(SecondaryTransport[[#This Row],[MRF_ID]]="02",SecondaryTransport[[#This Row],[MRF_ID]]="08"),2,1),"")</f>
        <v/>
      </c>
      <c r="AP3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2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21" s="224" t="str">
        <f>IFERROR(IF(1*LEFT(SecondaryTransport[[#This Row],[Bale_ID]],1)=5,SecondaryTransport[[#This Row],[Ton-Miles]]*SecondaryTransport[[#This Row],[Cost_Per_Ton-Mile]],""),"")</f>
        <v/>
      </c>
      <c r="AS321" s="224">
        <f>IFERROR(IF(SecondaryTransport[[#This Row],[Container_Transfer]]="",(SecondaryTransport[[#This Row],[Ton-Miles]]*SecondaryTransport[[#This Row],[Cost_Per_Ton-Mile]]),""),"")</f>
        <v>51826.045668327737</v>
      </c>
    </row>
    <row r="322" spans="3:45" ht="15" x14ac:dyDescent="0.25">
      <c r="C322"/>
      <c r="D322"/>
      <c r="L322" s="446" t="s">
        <v>870</v>
      </c>
      <c r="M322" s="446">
        <v>4</v>
      </c>
      <c r="N322" s="446">
        <v>1</v>
      </c>
      <c r="O322" s="446" t="s">
        <v>750</v>
      </c>
      <c r="P322" s="449" t="s">
        <v>739</v>
      </c>
      <c r="Q322" s="449"/>
      <c r="R322" s="449"/>
      <c r="S322" s="449" t="s">
        <v>963</v>
      </c>
      <c r="T322" s="449" t="s">
        <v>1121</v>
      </c>
      <c r="U322" s="452">
        <v>0</v>
      </c>
      <c r="V3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2" s="272" t="str">
        <f>IFERROR(SUMIFS(TransUnitCost[Miles],TransUnitCost[Grouping_ID],TransTonsShort[[#This Row],[Grouping_ID]],TransUnitCost[Transp_ID],TransTonsShort[[#This Row],[Transp_ID]])*TransTonsShort[[#This Row],[Trans_Tons_All]]/TransTonsShort[[#This Row],[Trans_Tons_All]],"")</f>
        <v/>
      </c>
      <c r="X322" s="386" t="str">
        <f>TransTonsShort[[#This Row],[Grouping_ID]]&amp;"-"&amp;TransTonsShort[[#This Row],[Sector_ID]]</f>
        <v>4-1</v>
      </c>
      <c r="Y3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2" s="421">
        <f>INDEX(LandfillFees[Disposal Tip Fee 2025],MATCH(TransTonsShort[[#This Row],[Grouping_ID]],LandfillFees[Grouping_ID],0))</f>
        <v>72.030938699729589</v>
      </c>
      <c r="AA322" s="102">
        <f>IF(OR(TransTonsShort[[#This Row],[CollectionStream_ID]]="03",TransTonsShort[[#This Row],[CollectionStream_ID]]="04",TransTonsShort[[#This Row],[CollectionStream_ID]]="13"),0,TransTonsShort[[#This Row],[Trans_Tons_All]]*TransTonsShort[[#This Row],[Disposal_Fee]])</f>
        <v>0</v>
      </c>
      <c r="AF322" s="446" t="s">
        <v>1495</v>
      </c>
      <c r="AG322" s="442" t="str">
        <f>LEFT(SecondaryTransport[[#This Row],[Scenario_MRF_Bale_ID]],2)</f>
        <v>S3</v>
      </c>
      <c r="AH322" s="181" t="str">
        <f>LEFT(RIGHT(SecondaryTransport[[#This Row],[Scenario_MRF_Bale_ID]],10),2)</f>
        <v>04</v>
      </c>
      <c r="AI322" s="181" t="str">
        <f>INDEX(MRFs[MRF_Name],MATCH(SecondaryTransport[[#This Row],[MRF_ID]],MRFs[MRF_ID],0))</f>
        <v>1 MRF for SS with fiber and container upgrades (Portland)</v>
      </c>
      <c r="AJ322" s="181" t="str">
        <f>RIGHT(SecondaryTransport[[#This Row],[Scenario_MRF_Bale_ID]],7)</f>
        <v>4000-01</v>
      </c>
      <c r="AK322" s="181" t="str">
        <f>INDEX(Bales[Bale_Name],MATCH(SecondaryTransport[[#This Row],[Bale_ID]],Bales[Bale_ID],0))</f>
        <v>Aluminum cans and foil</v>
      </c>
      <c r="AL322" s="443">
        <f>INDEX(BaleMover[Total_Baled_tons],MATCH(SecondaryTransport[[#This Row],[Scenario_MRF_Bale_ID]],BaleMover[Scenario_MRF_Bale_ID],0))</f>
        <v>385.73653583118278</v>
      </c>
      <c r="AM322" s="443">
        <f>IF(INDEX(BaleMover[Miles],MATCH(SecondaryTransport[[#This Row],[Scenario_MRF_Bale_ID]],BaleMover[Scenario_MRF_Bale_ID],0))="",0,INDEX(BaleMover[Miles],MATCH(SecondaryTransport[[#This Row],[Scenario_MRF_Bale_ID]],BaleMover[Scenario_MRF_Bale_ID],0)))</f>
        <v>960</v>
      </c>
      <c r="AN322" s="251">
        <f>IF(SecondaryTransport[[#This Row],[Bale_ID]]="9000-01","costs elsewhere",SecondaryTransport[[#This Row],[Total_Baled_tons]]*SecondaryTransport[[#This Row],[Miles]])</f>
        <v>370307.07439793547</v>
      </c>
      <c r="AO322" s="352" t="str">
        <f>IF(LEFT(SecondaryTransport[[#This Row],[Bale_ID]],1)*1=5,IF(OR(SecondaryTransport[[#This Row],[MRF_ID]]="02",SecondaryTransport[[#This Row],[MRF_ID]]="08"),2,1),"")</f>
        <v/>
      </c>
      <c r="AP3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2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22" s="224" t="str">
        <f>IFERROR(IF(1*LEFT(SecondaryTransport[[#This Row],[Bale_ID]],1)=5,SecondaryTransport[[#This Row],[Ton-Miles]]*SecondaryTransport[[#This Row],[Cost_Per_Ton-Mile]],""),"")</f>
        <v/>
      </c>
      <c r="AS322" s="224">
        <f>IFERROR(IF(SecondaryTransport[[#This Row],[Container_Transfer]]="",(SecondaryTransport[[#This Row],[Ton-Miles]]*SecondaryTransport[[#This Row],[Cost_Per_Ton-Mile]]),""),"")</f>
        <v>51842.99041571097</v>
      </c>
    </row>
    <row r="323" spans="3:45" ht="15" x14ac:dyDescent="0.25">
      <c r="C323"/>
      <c r="D323"/>
      <c r="L323" s="446" t="s">
        <v>870</v>
      </c>
      <c r="M323" s="446">
        <v>1</v>
      </c>
      <c r="N323" s="446">
        <v>1</v>
      </c>
      <c r="O323" s="446" t="s">
        <v>750</v>
      </c>
      <c r="P323" s="449" t="s">
        <v>700</v>
      </c>
      <c r="Q323" s="449"/>
      <c r="R323" s="449"/>
      <c r="S323" s="449" t="s">
        <v>963</v>
      </c>
      <c r="T323" s="449" t="s">
        <v>701</v>
      </c>
      <c r="U323" s="452">
        <v>0</v>
      </c>
      <c r="V3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3" s="272" t="str">
        <f>IFERROR(SUMIFS(TransUnitCost[Miles],TransUnitCost[Grouping_ID],TransTonsShort[[#This Row],[Grouping_ID]],TransUnitCost[Transp_ID],TransTonsShort[[#This Row],[Transp_ID]])*TransTonsShort[[#This Row],[Trans_Tons_All]]/TransTonsShort[[#This Row],[Trans_Tons_All]],"")</f>
        <v/>
      </c>
      <c r="X323" s="386" t="str">
        <f>TransTonsShort[[#This Row],[Grouping_ID]]&amp;"-"&amp;TransTonsShort[[#This Row],[Sector_ID]]</f>
        <v>1-1</v>
      </c>
      <c r="Y3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3" s="421">
        <f>INDEX(LandfillFees[Disposal Tip Fee 2025],MATCH(TransTonsShort[[#This Row],[Grouping_ID]],LandfillFees[Grouping_ID],0))</f>
        <v>134.68</v>
      </c>
      <c r="AA323" s="102">
        <f>IF(OR(TransTonsShort[[#This Row],[CollectionStream_ID]]="03",TransTonsShort[[#This Row],[CollectionStream_ID]]="04",TransTonsShort[[#This Row],[CollectionStream_ID]]="13"),0,TransTonsShort[[#This Row],[Trans_Tons_All]]*TransTonsShort[[#This Row],[Disposal_Fee]])</f>
        <v>0</v>
      </c>
      <c r="AF323" s="446" t="s">
        <v>1496</v>
      </c>
      <c r="AG323" s="442" t="str">
        <f>LEFT(SecondaryTransport[[#This Row],[Scenario_MRF_Bale_ID]],2)</f>
        <v>S0</v>
      </c>
      <c r="AH323" s="181" t="str">
        <f>LEFT(RIGHT(SecondaryTransport[[#This Row],[Scenario_MRF_Bale_ID]],10),2)</f>
        <v>04</v>
      </c>
      <c r="AI323" s="181" t="str">
        <f>INDEX(MRFs[MRF_Name],MATCH(SecondaryTransport[[#This Row],[MRF_ID]],MRFs[MRF_ID],0))</f>
        <v>1 MRF for SS with fiber and container upgrades (Portland)</v>
      </c>
      <c r="AJ323" s="181" t="str">
        <f>RIGHT(SecondaryTransport[[#This Row],[Scenario_MRF_Bale_ID]],7)</f>
        <v>4000-02</v>
      </c>
      <c r="AK323" s="181" t="str">
        <f>INDEX(Bales[Bale_Name],MATCH(SecondaryTransport[[#This Row],[Bale_ID]],Bales[Bale_ID],0))</f>
        <v>Steel cans </v>
      </c>
      <c r="AL323" s="443">
        <f>INDEX(BaleMover[Total_Baled_tons],MATCH(SecondaryTransport[[#This Row],[Scenario_MRF_Bale_ID]],BaleMover[Scenario_MRF_Bale_ID],0))</f>
        <v>2315.3227380338126</v>
      </c>
      <c r="AM323" s="443">
        <f>IF(INDEX(BaleMover[Miles],MATCH(SecondaryTransport[[#This Row],[Scenario_MRF_Bale_ID]],BaleMover[Scenario_MRF_Bale_ID],0))="",0,INDEX(BaleMover[Miles],MATCH(SecondaryTransport[[#This Row],[Scenario_MRF_Bale_ID]],BaleMover[Scenario_MRF_Bale_ID],0)))</f>
        <v>20</v>
      </c>
      <c r="AN323" s="251">
        <f>IF(SecondaryTransport[[#This Row],[Bale_ID]]="9000-01","costs elsewhere",SecondaryTransport[[#This Row],[Total_Baled_tons]]*SecondaryTransport[[#This Row],[Miles]])</f>
        <v>46306.45476067625</v>
      </c>
      <c r="AO323" s="352" t="str">
        <f>IF(LEFT(SecondaryTransport[[#This Row],[Bale_ID]],1)*1=5,IF(OR(SecondaryTransport[[#This Row],[MRF_ID]]="02",SecondaryTransport[[#This Row],[MRF_ID]]="08"),2,1),"")</f>
        <v/>
      </c>
      <c r="AP3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3" s="224" t="str">
        <f>IFERROR(IF(1*LEFT(SecondaryTransport[[#This Row],[Bale_ID]],1)=5,SecondaryTransport[[#This Row],[Ton-Miles]]*SecondaryTransport[[#This Row],[Cost_Per_Ton-Mile]],""),"")</f>
        <v/>
      </c>
      <c r="AS323" s="224">
        <f>IFERROR(IF(SecondaryTransport[[#This Row],[Container_Transfer]]="",(SecondaryTransport[[#This Row],[Ton-Miles]]*SecondaryTransport[[#This Row],[Cost_Per_Ton-Mile]]),""),"")</f>
        <v>14355.000975809637</v>
      </c>
    </row>
    <row r="324" spans="3:45" ht="15" x14ac:dyDescent="0.25">
      <c r="C324"/>
      <c r="D324"/>
      <c r="L324" s="446" t="s">
        <v>870</v>
      </c>
      <c r="M324" s="446">
        <v>2</v>
      </c>
      <c r="N324" s="446">
        <v>1</v>
      </c>
      <c r="O324" s="446" t="s">
        <v>750</v>
      </c>
      <c r="P324" s="449" t="s">
        <v>700</v>
      </c>
      <c r="Q324" s="449"/>
      <c r="R324" s="449"/>
      <c r="S324" s="449" t="s">
        <v>963</v>
      </c>
      <c r="T324" s="449" t="s">
        <v>701</v>
      </c>
      <c r="U324" s="452">
        <v>0</v>
      </c>
      <c r="V3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4" s="272" t="str">
        <f>IFERROR(SUMIFS(TransUnitCost[Miles],TransUnitCost[Grouping_ID],TransTonsShort[[#This Row],[Grouping_ID]],TransUnitCost[Transp_ID],TransTonsShort[[#This Row],[Transp_ID]])*TransTonsShort[[#This Row],[Trans_Tons_All]]/TransTonsShort[[#This Row],[Trans_Tons_All]],"")</f>
        <v/>
      </c>
      <c r="X324" s="386" t="str">
        <f>TransTonsShort[[#This Row],[Grouping_ID]]&amp;"-"&amp;TransTonsShort[[#This Row],[Sector_ID]]</f>
        <v>2-1</v>
      </c>
      <c r="Y3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4" s="421">
        <f>INDEX(LandfillFees[Disposal Tip Fee 2025],MATCH(TransTonsShort[[#This Row],[Grouping_ID]],LandfillFees[Grouping_ID],0))</f>
        <v>72.030938699729589</v>
      </c>
      <c r="AA324" s="102">
        <f>IF(OR(TransTonsShort[[#This Row],[CollectionStream_ID]]="03",TransTonsShort[[#This Row],[CollectionStream_ID]]="04",TransTonsShort[[#This Row],[CollectionStream_ID]]="13"),0,TransTonsShort[[#This Row],[Trans_Tons_All]]*TransTonsShort[[#This Row],[Disposal_Fee]])</f>
        <v>0</v>
      </c>
      <c r="AF324" s="446" t="s">
        <v>1497</v>
      </c>
      <c r="AG324" s="442" t="str">
        <f>LEFT(SecondaryTransport[[#This Row],[Scenario_MRF_Bale_ID]],2)</f>
        <v>S1</v>
      </c>
      <c r="AH324" s="181" t="str">
        <f>LEFT(RIGHT(SecondaryTransport[[#This Row],[Scenario_MRF_Bale_ID]],10),2)</f>
        <v>04</v>
      </c>
      <c r="AI324" s="181" t="str">
        <f>INDEX(MRFs[MRF_Name],MATCH(SecondaryTransport[[#This Row],[MRF_ID]],MRFs[MRF_ID],0))</f>
        <v>1 MRF for SS with fiber and container upgrades (Portland)</v>
      </c>
      <c r="AJ324" s="181" t="str">
        <f>RIGHT(SecondaryTransport[[#This Row],[Scenario_MRF_Bale_ID]],7)</f>
        <v>4000-02</v>
      </c>
      <c r="AK324" s="181" t="str">
        <f>INDEX(Bales[Bale_Name],MATCH(SecondaryTransport[[#This Row],[Bale_ID]],Bales[Bale_ID],0))</f>
        <v>Steel cans </v>
      </c>
      <c r="AL324" s="443">
        <f>INDEX(BaleMover[Total_Baled_tons],MATCH(SecondaryTransport[[#This Row],[Scenario_MRF_Bale_ID]],BaleMover[Scenario_MRF_Bale_ID],0))</f>
        <v>2171.2602985632202</v>
      </c>
      <c r="AM324" s="443">
        <f>IF(INDEX(BaleMover[Miles],MATCH(SecondaryTransport[[#This Row],[Scenario_MRF_Bale_ID]],BaleMover[Scenario_MRF_Bale_ID],0))="",0,INDEX(BaleMover[Miles],MATCH(SecondaryTransport[[#This Row],[Scenario_MRF_Bale_ID]],BaleMover[Scenario_MRF_Bale_ID],0)))</f>
        <v>20</v>
      </c>
      <c r="AN324" s="251">
        <f>IF(SecondaryTransport[[#This Row],[Bale_ID]]="9000-01","costs elsewhere",SecondaryTransport[[#This Row],[Total_Baled_tons]]*SecondaryTransport[[#This Row],[Miles]])</f>
        <v>43425.205971264404</v>
      </c>
      <c r="AO324" s="352" t="str">
        <f>IF(LEFT(SecondaryTransport[[#This Row],[Bale_ID]],1)*1=5,IF(OR(SecondaryTransport[[#This Row],[MRF_ID]]="02",SecondaryTransport[[#This Row],[MRF_ID]]="08"),2,1),"")</f>
        <v/>
      </c>
      <c r="AP3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4" s="224" t="str">
        <f>IFERROR(IF(1*LEFT(SecondaryTransport[[#This Row],[Bale_ID]],1)=5,SecondaryTransport[[#This Row],[Ton-Miles]]*SecondaryTransport[[#This Row],[Cost_Per_Ton-Mile]],""),"")</f>
        <v/>
      </c>
      <c r="AS324" s="224">
        <f>IFERROR(IF(SecondaryTransport[[#This Row],[Container_Transfer]]="",(SecondaryTransport[[#This Row],[Ton-Miles]]*SecondaryTransport[[#This Row],[Cost_Per_Ton-Mile]]),""),"")</f>
        <v>13461.813851091965</v>
      </c>
    </row>
    <row r="325" spans="3:45" ht="15" x14ac:dyDescent="0.25">
      <c r="C325"/>
      <c r="D325"/>
      <c r="L325" s="446" t="s">
        <v>870</v>
      </c>
      <c r="M325" s="446">
        <v>3</v>
      </c>
      <c r="N325" s="446">
        <v>1</v>
      </c>
      <c r="O325" s="446" t="s">
        <v>750</v>
      </c>
      <c r="P325" s="449" t="s">
        <v>700</v>
      </c>
      <c r="Q325" s="449"/>
      <c r="R325" s="449"/>
      <c r="S325" s="449" t="s">
        <v>963</v>
      </c>
      <c r="T325" s="449" t="s">
        <v>701</v>
      </c>
      <c r="U325" s="452">
        <v>0</v>
      </c>
      <c r="V3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5" s="272" t="str">
        <f>IFERROR(SUMIFS(TransUnitCost[Miles],TransUnitCost[Grouping_ID],TransTonsShort[[#This Row],[Grouping_ID]],TransUnitCost[Transp_ID],TransTonsShort[[#This Row],[Transp_ID]])*TransTonsShort[[#This Row],[Trans_Tons_All]]/TransTonsShort[[#This Row],[Trans_Tons_All]],"")</f>
        <v/>
      </c>
      <c r="X325" s="386" t="str">
        <f>TransTonsShort[[#This Row],[Grouping_ID]]&amp;"-"&amp;TransTonsShort[[#This Row],[Sector_ID]]</f>
        <v>3-1</v>
      </c>
      <c r="Y3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5" s="421">
        <f>INDEX(LandfillFees[Disposal Tip Fee 2025],MATCH(TransTonsShort[[#This Row],[Grouping_ID]],LandfillFees[Grouping_ID],0))</f>
        <v>72.030938699729589</v>
      </c>
      <c r="AA325" s="102">
        <f>IF(OR(TransTonsShort[[#This Row],[CollectionStream_ID]]="03",TransTonsShort[[#This Row],[CollectionStream_ID]]="04",TransTonsShort[[#This Row],[CollectionStream_ID]]="13"),0,TransTonsShort[[#This Row],[Trans_Tons_All]]*TransTonsShort[[#This Row],[Disposal_Fee]])</f>
        <v>0</v>
      </c>
      <c r="AF325" s="446" t="s">
        <v>1498</v>
      </c>
      <c r="AG325" s="442" t="str">
        <f>LEFT(SecondaryTransport[[#This Row],[Scenario_MRF_Bale_ID]],2)</f>
        <v>S2</v>
      </c>
      <c r="AH325" s="181" t="str">
        <f>LEFT(RIGHT(SecondaryTransport[[#This Row],[Scenario_MRF_Bale_ID]],10),2)</f>
        <v>04</v>
      </c>
      <c r="AI325" s="181" t="str">
        <f>INDEX(MRFs[MRF_Name],MATCH(SecondaryTransport[[#This Row],[MRF_ID]],MRFs[MRF_ID],0))</f>
        <v>1 MRF for SS with fiber and container upgrades (Portland)</v>
      </c>
      <c r="AJ325" s="181" t="str">
        <f>RIGHT(SecondaryTransport[[#This Row],[Scenario_MRF_Bale_ID]],7)</f>
        <v>4000-02</v>
      </c>
      <c r="AK325" s="181" t="str">
        <f>INDEX(Bales[Bale_Name],MATCH(SecondaryTransport[[#This Row],[Bale_ID]],Bales[Bale_ID],0))</f>
        <v>Steel cans </v>
      </c>
      <c r="AL325" s="443">
        <f>INDEX(BaleMover[Total_Baled_tons],MATCH(SecondaryTransport[[#This Row],[Scenario_MRF_Bale_ID]],BaleMover[Scenario_MRF_Bale_ID],0))</f>
        <v>2719.1065221813742</v>
      </c>
      <c r="AM325" s="443">
        <f>IF(INDEX(BaleMover[Miles],MATCH(SecondaryTransport[[#This Row],[Scenario_MRF_Bale_ID]],BaleMover[Scenario_MRF_Bale_ID],0))="",0,INDEX(BaleMover[Miles],MATCH(SecondaryTransport[[#This Row],[Scenario_MRF_Bale_ID]],BaleMover[Scenario_MRF_Bale_ID],0)))</f>
        <v>20</v>
      </c>
      <c r="AN325" s="251">
        <f>IF(SecondaryTransport[[#This Row],[Bale_ID]]="9000-01","costs elsewhere",SecondaryTransport[[#This Row],[Total_Baled_tons]]*SecondaryTransport[[#This Row],[Miles]])</f>
        <v>54382.13044362748</v>
      </c>
      <c r="AO325" s="352" t="str">
        <f>IF(LEFT(SecondaryTransport[[#This Row],[Bale_ID]],1)*1=5,IF(OR(SecondaryTransport[[#This Row],[MRF_ID]]="02",SecondaryTransport[[#This Row],[MRF_ID]]="08"),2,1),"")</f>
        <v/>
      </c>
      <c r="AP3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5" s="224" t="str">
        <f>IFERROR(IF(1*LEFT(SecondaryTransport[[#This Row],[Bale_ID]],1)=5,SecondaryTransport[[#This Row],[Ton-Miles]]*SecondaryTransport[[#This Row],[Cost_Per_Ton-Mile]],""),"")</f>
        <v/>
      </c>
      <c r="AS325" s="224">
        <f>IFERROR(IF(SecondaryTransport[[#This Row],[Container_Transfer]]="",(SecondaryTransport[[#This Row],[Ton-Miles]]*SecondaryTransport[[#This Row],[Cost_Per_Ton-Mile]]),""),"")</f>
        <v>16858.460437524518</v>
      </c>
    </row>
    <row r="326" spans="3:45" ht="15" x14ac:dyDescent="0.25">
      <c r="C326"/>
      <c r="D326"/>
      <c r="L326" s="446" t="s">
        <v>870</v>
      </c>
      <c r="M326" s="446">
        <v>4</v>
      </c>
      <c r="N326" s="446">
        <v>1</v>
      </c>
      <c r="O326" s="446" t="s">
        <v>750</v>
      </c>
      <c r="P326" s="449" t="s">
        <v>700</v>
      </c>
      <c r="Q326" s="449"/>
      <c r="R326" s="449"/>
      <c r="S326" s="449" t="s">
        <v>963</v>
      </c>
      <c r="T326" s="449" t="s">
        <v>701</v>
      </c>
      <c r="U326" s="452">
        <v>0</v>
      </c>
      <c r="V3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6" s="272" t="str">
        <f>IFERROR(SUMIFS(TransUnitCost[Miles],TransUnitCost[Grouping_ID],TransTonsShort[[#This Row],[Grouping_ID]],TransUnitCost[Transp_ID],TransTonsShort[[#This Row],[Transp_ID]])*TransTonsShort[[#This Row],[Trans_Tons_All]]/TransTonsShort[[#This Row],[Trans_Tons_All]],"")</f>
        <v/>
      </c>
      <c r="X326" s="386" t="str">
        <f>TransTonsShort[[#This Row],[Grouping_ID]]&amp;"-"&amp;TransTonsShort[[#This Row],[Sector_ID]]</f>
        <v>4-1</v>
      </c>
      <c r="Y3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26" s="421">
        <f>INDEX(LandfillFees[Disposal Tip Fee 2025],MATCH(TransTonsShort[[#This Row],[Grouping_ID]],LandfillFees[Grouping_ID],0))</f>
        <v>72.030938699729589</v>
      </c>
      <c r="AA326" s="102">
        <f>IF(OR(TransTonsShort[[#This Row],[CollectionStream_ID]]="03",TransTonsShort[[#This Row],[CollectionStream_ID]]="04",TransTonsShort[[#This Row],[CollectionStream_ID]]="13"),0,TransTonsShort[[#This Row],[Trans_Tons_All]]*TransTonsShort[[#This Row],[Disposal_Fee]])</f>
        <v>0</v>
      </c>
      <c r="AF326" s="446" t="s">
        <v>1499</v>
      </c>
      <c r="AG326" s="442" t="str">
        <f>LEFT(SecondaryTransport[[#This Row],[Scenario_MRF_Bale_ID]],2)</f>
        <v>S3</v>
      </c>
      <c r="AH326" s="181" t="str">
        <f>LEFT(RIGHT(SecondaryTransport[[#This Row],[Scenario_MRF_Bale_ID]],10),2)</f>
        <v>04</v>
      </c>
      <c r="AI326" s="181" t="str">
        <f>INDEX(MRFs[MRF_Name],MATCH(SecondaryTransport[[#This Row],[MRF_ID]],MRFs[MRF_ID],0))</f>
        <v>1 MRF for SS with fiber and container upgrades (Portland)</v>
      </c>
      <c r="AJ326" s="181" t="str">
        <f>RIGHT(SecondaryTransport[[#This Row],[Scenario_MRF_Bale_ID]],7)</f>
        <v>4000-02</v>
      </c>
      <c r="AK326" s="181" t="str">
        <f>INDEX(Bales[Bale_Name],MATCH(SecondaryTransport[[#This Row],[Bale_ID]],Bales[Bale_ID],0))</f>
        <v>Steel cans </v>
      </c>
      <c r="AL326" s="443">
        <f>INDEX(BaleMover[Total_Baled_tons],MATCH(SecondaryTransport[[#This Row],[Scenario_MRF_Bale_ID]],BaleMover[Scenario_MRF_Bale_ID],0))</f>
        <v>2718.024090526912</v>
      </c>
      <c r="AM326" s="443">
        <f>IF(INDEX(BaleMover[Miles],MATCH(SecondaryTransport[[#This Row],[Scenario_MRF_Bale_ID]],BaleMover[Scenario_MRF_Bale_ID],0))="",0,INDEX(BaleMover[Miles],MATCH(SecondaryTransport[[#This Row],[Scenario_MRF_Bale_ID]],BaleMover[Scenario_MRF_Bale_ID],0)))</f>
        <v>20</v>
      </c>
      <c r="AN326" s="251">
        <f>IF(SecondaryTransport[[#This Row],[Bale_ID]]="9000-01","costs elsewhere",SecondaryTransport[[#This Row],[Total_Baled_tons]]*SecondaryTransport[[#This Row],[Miles]])</f>
        <v>54360.481810538244</v>
      </c>
      <c r="AO326" s="352" t="str">
        <f>IF(LEFT(SecondaryTransport[[#This Row],[Bale_ID]],1)*1=5,IF(OR(SecondaryTransport[[#This Row],[MRF_ID]]="02",SecondaryTransport[[#This Row],[MRF_ID]]="08"),2,1),"")</f>
        <v/>
      </c>
      <c r="AP3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6" s="224" t="str">
        <f>IFERROR(IF(1*LEFT(SecondaryTransport[[#This Row],[Bale_ID]],1)=5,SecondaryTransport[[#This Row],[Ton-Miles]]*SecondaryTransport[[#This Row],[Cost_Per_Ton-Mile]],""),"")</f>
        <v/>
      </c>
      <c r="AS326" s="224">
        <f>IFERROR(IF(SecondaryTransport[[#This Row],[Container_Transfer]]="",(SecondaryTransport[[#This Row],[Ton-Miles]]*SecondaryTransport[[#This Row],[Cost_Per_Ton-Mile]]),""),"")</f>
        <v>16851.749361266855</v>
      </c>
    </row>
    <row r="327" spans="3:45" ht="15" x14ac:dyDescent="0.25">
      <c r="C327"/>
      <c r="D327"/>
      <c r="L327" s="446" t="s">
        <v>876</v>
      </c>
      <c r="M327" s="446">
        <v>1</v>
      </c>
      <c r="N327" s="446">
        <v>2</v>
      </c>
      <c r="O327" s="446" t="s">
        <v>700</v>
      </c>
      <c r="P327" s="449" t="s">
        <v>719</v>
      </c>
      <c r="Q327" s="449"/>
      <c r="R327" s="449"/>
      <c r="S327" s="449" t="s">
        <v>872</v>
      </c>
      <c r="T327" s="449" t="s">
        <v>1055</v>
      </c>
      <c r="U327" s="452">
        <v>0</v>
      </c>
      <c r="V3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7" s="272" t="str">
        <f>IFERROR(SUMIFS(TransUnitCost[Miles],TransUnitCost[Grouping_ID],TransTonsShort[[#This Row],[Grouping_ID]],TransUnitCost[Transp_ID],TransTonsShort[[#This Row],[Transp_ID]])*TransTonsShort[[#This Row],[Trans_Tons_All]]/TransTonsShort[[#This Row],[Trans_Tons_All]],"")</f>
        <v/>
      </c>
      <c r="X327" s="386" t="str">
        <f>TransTonsShort[[#This Row],[Grouping_ID]]&amp;"-"&amp;TransTonsShort[[#This Row],[Sector_ID]]</f>
        <v>1-2</v>
      </c>
      <c r="Y3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27" s="421">
        <f>INDEX(LandfillFees[Disposal Tip Fee 2025],MATCH(TransTonsShort[[#This Row],[Grouping_ID]],LandfillFees[Grouping_ID],0))</f>
        <v>134.68</v>
      </c>
      <c r="AA327" s="102">
        <f>IF(OR(TransTonsShort[[#This Row],[CollectionStream_ID]]="03",TransTonsShort[[#This Row],[CollectionStream_ID]]="04",TransTonsShort[[#This Row],[CollectionStream_ID]]="13"),0,TransTonsShort[[#This Row],[Trans_Tons_All]]*TransTonsShort[[#This Row],[Disposal_Fee]])</f>
        <v>0</v>
      </c>
      <c r="AF327" s="446" t="s">
        <v>1500</v>
      </c>
      <c r="AG327" s="442" t="str">
        <f>LEFT(SecondaryTransport[[#This Row],[Scenario_MRF_Bale_ID]],2)</f>
        <v>S0</v>
      </c>
      <c r="AH327" s="181" t="str">
        <f>LEFT(RIGHT(SecondaryTransport[[#This Row],[Scenario_MRF_Bale_ID]],10),2)</f>
        <v>04</v>
      </c>
      <c r="AI327" s="181" t="str">
        <f>INDEX(MRFs[MRF_Name],MATCH(SecondaryTransport[[#This Row],[MRF_ID]],MRFs[MRF_ID],0))</f>
        <v>1 MRF for SS with fiber and container upgrades (Portland)</v>
      </c>
      <c r="AJ327" s="181" t="str">
        <f>RIGHT(SecondaryTransport[[#This Row],[Scenario_MRF_Bale_ID]],7)</f>
        <v>4000-03</v>
      </c>
      <c r="AK327" s="181" t="str">
        <f>INDEX(Bales[Bale_Name],MATCH(SecondaryTransport[[#This Row],[Bale_ID]],Bales[Bale_ID],0))</f>
        <v>Scrap metal</v>
      </c>
      <c r="AL327" s="443">
        <f>INDEX(BaleMover[Total_Baled_tons],MATCH(SecondaryTransport[[#This Row],[Scenario_MRF_Bale_ID]],BaleMover[Scenario_MRF_Bale_ID],0))</f>
        <v>3354.224041114072</v>
      </c>
      <c r="AM327" s="443">
        <f>IF(INDEX(BaleMover[Miles],MATCH(SecondaryTransport[[#This Row],[Scenario_MRF_Bale_ID]],BaleMover[Scenario_MRF_Bale_ID],0))="",0,INDEX(BaleMover[Miles],MATCH(SecondaryTransport[[#This Row],[Scenario_MRF_Bale_ID]],BaleMover[Scenario_MRF_Bale_ID],0)))</f>
        <v>45</v>
      </c>
      <c r="AN327" s="251">
        <f>IF(SecondaryTransport[[#This Row],[Bale_ID]]="9000-01","costs elsewhere",SecondaryTransport[[#This Row],[Total_Baled_tons]]*SecondaryTransport[[#This Row],[Miles]])</f>
        <v>150940.08185013323</v>
      </c>
      <c r="AO327" s="352" t="str">
        <f>IF(LEFT(SecondaryTransport[[#This Row],[Bale_ID]],1)*1=5,IF(OR(SecondaryTransport[[#This Row],[MRF_ID]]="02",SecondaryTransport[[#This Row],[MRF_ID]]="08"),2,1),"")</f>
        <v/>
      </c>
      <c r="AP3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7" s="224" t="str">
        <f>IFERROR(IF(1*LEFT(SecondaryTransport[[#This Row],[Bale_ID]],1)=5,SecondaryTransport[[#This Row],[Ton-Miles]]*SecondaryTransport[[#This Row],[Cost_Per_Ton-Mile]],""),"")</f>
        <v/>
      </c>
      <c r="AS327" s="224">
        <f>IFERROR(IF(SecondaryTransport[[#This Row],[Container_Transfer]]="",(SecondaryTransport[[#This Row],[Ton-Miles]]*SecondaryTransport[[#This Row],[Cost_Per_Ton-Mile]]),""),"")</f>
        <v>46791.4253735413</v>
      </c>
    </row>
    <row r="328" spans="3:45" ht="15" x14ac:dyDescent="0.25">
      <c r="C328"/>
      <c r="D328"/>
      <c r="L328" s="446" t="s">
        <v>876</v>
      </c>
      <c r="M328" s="446">
        <v>2</v>
      </c>
      <c r="N328" s="446">
        <v>2</v>
      </c>
      <c r="O328" s="446" t="s">
        <v>700</v>
      </c>
      <c r="P328" s="449" t="s">
        <v>719</v>
      </c>
      <c r="Q328" s="449"/>
      <c r="R328" s="449"/>
      <c r="S328" s="449" t="s">
        <v>872</v>
      </c>
      <c r="T328" s="449" t="s">
        <v>1055</v>
      </c>
      <c r="U328" s="452">
        <v>0</v>
      </c>
      <c r="V3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8" s="272" t="str">
        <f>IFERROR(SUMIFS(TransUnitCost[Miles],TransUnitCost[Grouping_ID],TransTonsShort[[#This Row],[Grouping_ID]],TransUnitCost[Transp_ID],TransTonsShort[[#This Row],[Transp_ID]])*TransTonsShort[[#This Row],[Trans_Tons_All]]/TransTonsShort[[#This Row],[Trans_Tons_All]],"")</f>
        <v/>
      </c>
      <c r="X328" s="386" t="str">
        <f>TransTonsShort[[#This Row],[Grouping_ID]]&amp;"-"&amp;TransTonsShort[[#This Row],[Sector_ID]]</f>
        <v>2-2</v>
      </c>
      <c r="Y3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28" s="421">
        <f>INDEX(LandfillFees[Disposal Tip Fee 2025],MATCH(TransTonsShort[[#This Row],[Grouping_ID]],LandfillFees[Grouping_ID],0))</f>
        <v>72.030938699729589</v>
      </c>
      <c r="AA328" s="102">
        <f>IF(OR(TransTonsShort[[#This Row],[CollectionStream_ID]]="03",TransTonsShort[[#This Row],[CollectionStream_ID]]="04",TransTonsShort[[#This Row],[CollectionStream_ID]]="13"),0,TransTonsShort[[#This Row],[Trans_Tons_All]]*TransTonsShort[[#This Row],[Disposal_Fee]])</f>
        <v>0</v>
      </c>
      <c r="AF328" s="446" t="s">
        <v>1501</v>
      </c>
      <c r="AG328" s="442" t="str">
        <f>LEFT(SecondaryTransport[[#This Row],[Scenario_MRF_Bale_ID]],2)</f>
        <v>S1</v>
      </c>
      <c r="AH328" s="181" t="str">
        <f>LEFT(RIGHT(SecondaryTransport[[#This Row],[Scenario_MRF_Bale_ID]],10),2)</f>
        <v>04</v>
      </c>
      <c r="AI328" s="181" t="str">
        <f>INDEX(MRFs[MRF_Name],MATCH(SecondaryTransport[[#This Row],[MRF_ID]],MRFs[MRF_ID],0))</f>
        <v>1 MRF for SS with fiber and container upgrades (Portland)</v>
      </c>
      <c r="AJ328" s="181" t="str">
        <f>RIGHT(SecondaryTransport[[#This Row],[Scenario_MRF_Bale_ID]],7)</f>
        <v>4000-03</v>
      </c>
      <c r="AK328" s="181" t="str">
        <f>INDEX(Bales[Bale_Name],MATCH(SecondaryTransport[[#This Row],[Bale_ID]],Bales[Bale_ID],0))</f>
        <v>Scrap metal</v>
      </c>
      <c r="AL328" s="443">
        <f>INDEX(BaleMover[Total_Baled_tons],MATCH(SecondaryTransport[[#This Row],[Scenario_MRF_Bale_ID]],BaleMover[Scenario_MRF_Bale_ID],0))</f>
        <v>2930.1533522847963</v>
      </c>
      <c r="AM328" s="443">
        <f>IF(INDEX(BaleMover[Miles],MATCH(SecondaryTransport[[#This Row],[Scenario_MRF_Bale_ID]],BaleMover[Scenario_MRF_Bale_ID],0))="",0,INDEX(BaleMover[Miles],MATCH(SecondaryTransport[[#This Row],[Scenario_MRF_Bale_ID]],BaleMover[Scenario_MRF_Bale_ID],0)))</f>
        <v>45</v>
      </c>
      <c r="AN328" s="251">
        <f>IF(SecondaryTransport[[#This Row],[Bale_ID]]="9000-01","costs elsewhere",SecondaryTransport[[#This Row],[Total_Baled_tons]]*SecondaryTransport[[#This Row],[Miles]])</f>
        <v>131856.90085281583</v>
      </c>
      <c r="AO328" s="352" t="str">
        <f>IF(LEFT(SecondaryTransport[[#This Row],[Bale_ID]],1)*1=5,IF(OR(SecondaryTransport[[#This Row],[MRF_ID]]="02",SecondaryTransport[[#This Row],[MRF_ID]]="08"),2,1),"")</f>
        <v/>
      </c>
      <c r="AP3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8" s="224" t="str">
        <f>IFERROR(IF(1*LEFT(SecondaryTransport[[#This Row],[Bale_ID]],1)=5,SecondaryTransport[[#This Row],[Ton-Miles]]*SecondaryTransport[[#This Row],[Cost_Per_Ton-Mile]],""),"")</f>
        <v/>
      </c>
      <c r="AS328" s="224">
        <f>IFERROR(IF(SecondaryTransport[[#This Row],[Container_Transfer]]="",(SecondaryTransport[[#This Row],[Ton-Miles]]*SecondaryTransport[[#This Row],[Cost_Per_Ton-Mile]]),""),"")</f>
        <v>40875.639264372905</v>
      </c>
    </row>
    <row r="329" spans="3:45" ht="15" x14ac:dyDescent="0.25">
      <c r="C329"/>
      <c r="D329"/>
      <c r="L329" s="446" t="s">
        <v>876</v>
      </c>
      <c r="M329" s="446">
        <v>3</v>
      </c>
      <c r="N329" s="446">
        <v>2</v>
      </c>
      <c r="O329" s="446" t="s">
        <v>700</v>
      </c>
      <c r="P329" s="449" t="s">
        <v>719</v>
      </c>
      <c r="Q329" s="449"/>
      <c r="R329" s="449"/>
      <c r="S329" s="449" t="s">
        <v>872</v>
      </c>
      <c r="T329" s="449" t="s">
        <v>1055</v>
      </c>
      <c r="U329" s="452">
        <v>0</v>
      </c>
      <c r="V3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29" s="272" t="str">
        <f>IFERROR(SUMIFS(TransUnitCost[Miles],TransUnitCost[Grouping_ID],TransTonsShort[[#This Row],[Grouping_ID]],TransUnitCost[Transp_ID],TransTonsShort[[#This Row],[Transp_ID]])*TransTonsShort[[#This Row],[Trans_Tons_All]]/TransTonsShort[[#This Row],[Trans_Tons_All]],"")</f>
        <v/>
      </c>
      <c r="X329" s="386" t="str">
        <f>TransTonsShort[[#This Row],[Grouping_ID]]&amp;"-"&amp;TransTonsShort[[#This Row],[Sector_ID]]</f>
        <v>3-2</v>
      </c>
      <c r="Y3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29" s="421">
        <f>INDEX(LandfillFees[Disposal Tip Fee 2025],MATCH(TransTonsShort[[#This Row],[Grouping_ID]],LandfillFees[Grouping_ID],0))</f>
        <v>72.030938699729589</v>
      </c>
      <c r="AA329" s="102">
        <f>IF(OR(TransTonsShort[[#This Row],[CollectionStream_ID]]="03",TransTonsShort[[#This Row],[CollectionStream_ID]]="04",TransTonsShort[[#This Row],[CollectionStream_ID]]="13"),0,TransTonsShort[[#This Row],[Trans_Tons_All]]*TransTonsShort[[#This Row],[Disposal_Fee]])</f>
        <v>0</v>
      </c>
      <c r="AF329" s="446" t="s">
        <v>1502</v>
      </c>
      <c r="AG329" s="442" t="str">
        <f>LEFT(SecondaryTransport[[#This Row],[Scenario_MRF_Bale_ID]],2)</f>
        <v>S2</v>
      </c>
      <c r="AH329" s="181" t="str">
        <f>LEFT(RIGHT(SecondaryTransport[[#This Row],[Scenario_MRF_Bale_ID]],10),2)</f>
        <v>04</v>
      </c>
      <c r="AI329" s="181" t="str">
        <f>INDEX(MRFs[MRF_Name],MATCH(SecondaryTransport[[#This Row],[MRF_ID]],MRFs[MRF_ID],0))</f>
        <v>1 MRF for SS with fiber and container upgrades (Portland)</v>
      </c>
      <c r="AJ329" s="181" t="str">
        <f>RIGHT(SecondaryTransport[[#This Row],[Scenario_MRF_Bale_ID]],7)</f>
        <v>4000-03</v>
      </c>
      <c r="AK329" s="181" t="str">
        <f>INDEX(Bales[Bale_Name],MATCH(SecondaryTransport[[#This Row],[Bale_ID]],Bales[Bale_ID],0))</f>
        <v>Scrap metal</v>
      </c>
      <c r="AL329" s="443">
        <f>INDEX(BaleMover[Total_Baled_tons],MATCH(SecondaryTransport[[#This Row],[Scenario_MRF_Bale_ID]],BaleMover[Scenario_MRF_Bale_ID],0))</f>
        <v>3641.8021435683904</v>
      </c>
      <c r="AM329" s="443">
        <f>IF(INDEX(BaleMover[Miles],MATCH(SecondaryTransport[[#This Row],[Scenario_MRF_Bale_ID]],BaleMover[Scenario_MRF_Bale_ID],0))="",0,INDEX(BaleMover[Miles],MATCH(SecondaryTransport[[#This Row],[Scenario_MRF_Bale_ID]],BaleMover[Scenario_MRF_Bale_ID],0)))</f>
        <v>45</v>
      </c>
      <c r="AN329" s="251">
        <f>IF(SecondaryTransport[[#This Row],[Bale_ID]]="9000-01","costs elsewhere",SecondaryTransport[[#This Row],[Total_Baled_tons]]*SecondaryTransport[[#This Row],[Miles]])</f>
        <v>163881.09646057757</v>
      </c>
      <c r="AO329" s="352" t="str">
        <f>IF(LEFT(SecondaryTransport[[#This Row],[Bale_ID]],1)*1=5,IF(OR(SecondaryTransport[[#This Row],[MRF_ID]]="02",SecondaryTransport[[#This Row],[MRF_ID]]="08"),2,1),"")</f>
        <v/>
      </c>
      <c r="AP3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2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29" s="224" t="str">
        <f>IFERROR(IF(1*LEFT(SecondaryTransport[[#This Row],[Bale_ID]],1)=5,SecondaryTransport[[#This Row],[Ton-Miles]]*SecondaryTransport[[#This Row],[Cost_Per_Ton-Mile]],""),"")</f>
        <v/>
      </c>
      <c r="AS329" s="224">
        <f>IFERROR(IF(SecondaryTransport[[#This Row],[Container_Transfer]]="",(SecondaryTransport[[#This Row],[Ton-Miles]]*SecondaryTransport[[#This Row],[Cost_Per_Ton-Mile]]),""),"")</f>
        <v>50803.139902779047</v>
      </c>
    </row>
    <row r="330" spans="3:45" ht="15" x14ac:dyDescent="0.25">
      <c r="C330"/>
      <c r="D330"/>
      <c r="L330" s="446" t="s">
        <v>876</v>
      </c>
      <c r="M330" s="446">
        <v>4</v>
      </c>
      <c r="N330" s="446">
        <v>2</v>
      </c>
      <c r="O330" s="446" t="s">
        <v>700</v>
      </c>
      <c r="P330" s="449" t="s">
        <v>719</v>
      </c>
      <c r="Q330" s="449"/>
      <c r="R330" s="449"/>
      <c r="S330" s="449" t="s">
        <v>872</v>
      </c>
      <c r="T330" s="449" t="s">
        <v>1055</v>
      </c>
      <c r="U330" s="452">
        <v>0</v>
      </c>
      <c r="V3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0" s="272" t="str">
        <f>IFERROR(SUMIFS(TransUnitCost[Miles],TransUnitCost[Grouping_ID],TransTonsShort[[#This Row],[Grouping_ID]],TransUnitCost[Transp_ID],TransTonsShort[[#This Row],[Transp_ID]])*TransTonsShort[[#This Row],[Trans_Tons_All]]/TransTonsShort[[#This Row],[Trans_Tons_All]],"")</f>
        <v/>
      </c>
      <c r="X330" s="386" t="str">
        <f>TransTonsShort[[#This Row],[Grouping_ID]]&amp;"-"&amp;TransTonsShort[[#This Row],[Sector_ID]]</f>
        <v>4-2</v>
      </c>
      <c r="Y3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0" s="421">
        <f>INDEX(LandfillFees[Disposal Tip Fee 2025],MATCH(TransTonsShort[[#This Row],[Grouping_ID]],LandfillFees[Grouping_ID],0))</f>
        <v>72.030938699729589</v>
      </c>
      <c r="AA330" s="102">
        <f>IF(OR(TransTonsShort[[#This Row],[CollectionStream_ID]]="03",TransTonsShort[[#This Row],[CollectionStream_ID]]="04",TransTonsShort[[#This Row],[CollectionStream_ID]]="13"),0,TransTonsShort[[#This Row],[Trans_Tons_All]]*TransTonsShort[[#This Row],[Disposal_Fee]])</f>
        <v>0</v>
      </c>
      <c r="AF330" s="446" t="s">
        <v>1503</v>
      </c>
      <c r="AG330" s="442" t="str">
        <f>LEFT(SecondaryTransport[[#This Row],[Scenario_MRF_Bale_ID]],2)</f>
        <v>S3</v>
      </c>
      <c r="AH330" s="181" t="str">
        <f>LEFT(RIGHT(SecondaryTransport[[#This Row],[Scenario_MRF_Bale_ID]],10),2)</f>
        <v>04</v>
      </c>
      <c r="AI330" s="181" t="str">
        <f>INDEX(MRFs[MRF_Name],MATCH(SecondaryTransport[[#This Row],[MRF_ID]],MRFs[MRF_ID],0))</f>
        <v>1 MRF for SS with fiber and container upgrades (Portland)</v>
      </c>
      <c r="AJ330" s="181" t="str">
        <f>RIGHT(SecondaryTransport[[#This Row],[Scenario_MRF_Bale_ID]],7)</f>
        <v>4000-03</v>
      </c>
      <c r="AK330" s="181" t="str">
        <f>INDEX(Bales[Bale_Name],MATCH(SecondaryTransport[[#This Row],[Bale_ID]],Bales[Bale_ID],0))</f>
        <v>Scrap metal</v>
      </c>
      <c r="AL330" s="443">
        <f>INDEX(BaleMover[Total_Baled_tons],MATCH(SecondaryTransport[[#This Row],[Scenario_MRF_Bale_ID]],BaleMover[Scenario_MRF_Bale_ID],0))</f>
        <v>3641.7868468663523</v>
      </c>
      <c r="AM330" s="443">
        <f>IF(INDEX(BaleMover[Miles],MATCH(SecondaryTransport[[#This Row],[Scenario_MRF_Bale_ID]],BaleMover[Scenario_MRF_Bale_ID],0))="",0,INDEX(BaleMover[Miles],MATCH(SecondaryTransport[[#This Row],[Scenario_MRF_Bale_ID]],BaleMover[Scenario_MRF_Bale_ID],0)))</f>
        <v>45</v>
      </c>
      <c r="AN330" s="251">
        <f>IF(SecondaryTransport[[#This Row],[Bale_ID]]="9000-01","costs elsewhere",SecondaryTransport[[#This Row],[Total_Baled_tons]]*SecondaryTransport[[#This Row],[Miles]])</f>
        <v>163880.40810898587</v>
      </c>
      <c r="AO330" s="352" t="str">
        <f>IF(LEFT(SecondaryTransport[[#This Row],[Bale_ID]],1)*1=5,IF(OR(SecondaryTransport[[#This Row],[MRF_ID]]="02",SecondaryTransport[[#This Row],[MRF_ID]]="08"),2,1),"")</f>
        <v/>
      </c>
      <c r="AP3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3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30" s="224" t="str">
        <f>IFERROR(IF(1*LEFT(SecondaryTransport[[#This Row],[Bale_ID]],1)=5,SecondaryTransport[[#This Row],[Ton-Miles]]*SecondaryTransport[[#This Row],[Cost_Per_Ton-Mile]],""),"")</f>
        <v/>
      </c>
      <c r="AS330" s="224">
        <f>IFERROR(IF(SecondaryTransport[[#This Row],[Container_Transfer]]="",(SecondaryTransport[[#This Row],[Ton-Miles]]*SecondaryTransport[[#This Row],[Cost_Per_Ton-Mile]]),""),"")</f>
        <v>50802.92651378562</v>
      </c>
    </row>
    <row r="331" spans="3:45" ht="15" x14ac:dyDescent="0.25">
      <c r="C331"/>
      <c r="D331"/>
      <c r="L331" s="446" t="s">
        <v>876</v>
      </c>
      <c r="M331" s="446">
        <v>1</v>
      </c>
      <c r="N331" s="446">
        <v>2</v>
      </c>
      <c r="O331" s="446" t="s">
        <v>700</v>
      </c>
      <c r="P331" s="450" t="s">
        <v>700</v>
      </c>
      <c r="Q331" s="450"/>
      <c r="R331" s="450"/>
      <c r="S331" s="449" t="s">
        <v>872</v>
      </c>
      <c r="T331" s="449" t="s">
        <v>701</v>
      </c>
      <c r="U331" s="452">
        <v>15407.337595734936</v>
      </c>
      <c r="V3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1" s="272">
        <f>IFERROR(SUMIFS(TransUnitCost[Miles],TransUnitCost[Grouping_ID],TransTonsShort[[#This Row],[Grouping_ID]],TransUnitCost[Transp_ID],TransTonsShort[[#This Row],[Transp_ID]])*TransTonsShort[[#This Row],[Trans_Tons_All]]/TransTonsShort[[#This Row],[Trans_Tons_All]],"")</f>
        <v>0</v>
      </c>
      <c r="X331" s="386" t="str">
        <f>TransTonsShort[[#This Row],[Grouping_ID]]&amp;"-"&amp;TransTonsShort[[#This Row],[Sector_ID]]</f>
        <v>1-2</v>
      </c>
      <c r="Y3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1" s="421">
        <f>INDEX(LandfillFees[Disposal Tip Fee 2025],MATCH(TransTonsShort[[#This Row],[Grouping_ID]],LandfillFees[Grouping_ID],0))</f>
        <v>134.68</v>
      </c>
      <c r="AA331" s="102">
        <f>IF(OR(TransTonsShort[[#This Row],[CollectionStream_ID]]="03",TransTonsShort[[#This Row],[CollectionStream_ID]]="04",TransTonsShort[[#This Row],[CollectionStream_ID]]="13"),0,TransTonsShort[[#This Row],[Trans_Tons_All]]*TransTonsShort[[#This Row],[Disposal_Fee]])</f>
        <v>2075060.2273935813</v>
      </c>
      <c r="AF331" s="446" t="s">
        <v>1504</v>
      </c>
      <c r="AG331" s="442" t="str">
        <f>LEFT(SecondaryTransport[[#This Row],[Scenario_MRF_Bale_ID]],2)</f>
        <v>S2</v>
      </c>
      <c r="AH331" s="181" t="str">
        <f>LEFT(RIGHT(SecondaryTransport[[#This Row],[Scenario_MRF_Bale_ID]],10),2)</f>
        <v>05</v>
      </c>
      <c r="AI331" s="181" t="str">
        <f>INDEX(MRFs[MRF_Name],MATCH(SecondaryTransport[[#This Row],[MRF_ID]],MRFs[MRF_ID],0))</f>
        <v>1 CRF (BC) or 1 infeed for transferred containers (Portland)</v>
      </c>
      <c r="AJ331" s="181" t="str">
        <f>RIGHT(SecondaryTransport[[#This Row],[Scenario_MRF_Bale_ID]],7)</f>
        <v>1000-01</v>
      </c>
      <c r="AK331" s="181" t="str">
        <f>INDEX(Bales[Bale_Name],MATCH(SecondaryTransport[[#This Row],[Bale_ID]],Bales[Bale_ID],0))</f>
        <v>OCC (corrugated cardboard) </v>
      </c>
      <c r="AL331" s="443">
        <f>INDEX(BaleMover[Total_Baled_tons],MATCH(SecondaryTransport[[#This Row],[Scenario_MRF_Bale_ID]],BaleMover[Scenario_MRF_Bale_ID],0))</f>
        <v>0</v>
      </c>
      <c r="AM331" s="443">
        <f>IF(INDEX(BaleMover[Miles],MATCH(SecondaryTransport[[#This Row],[Scenario_MRF_Bale_ID]],BaleMover[Scenario_MRF_Bale_ID],0))="",0,INDEX(BaleMover[Miles],MATCH(SecondaryTransport[[#This Row],[Scenario_MRF_Bale_ID]],BaleMover[Scenario_MRF_Bale_ID],0)))</f>
        <v>0</v>
      </c>
      <c r="AN331" s="251">
        <f>IF(SecondaryTransport[[#This Row],[Bale_ID]]="9000-01","costs elsewhere",SecondaryTransport[[#This Row],[Total_Baled_tons]]*SecondaryTransport[[#This Row],[Miles]])</f>
        <v>0</v>
      </c>
      <c r="AO331" s="352" t="str">
        <f>IF(LEFT(SecondaryTransport[[#This Row],[Bale_ID]],1)*1=5,IF(OR(SecondaryTransport[[#This Row],[MRF_ID]]="02",SecondaryTransport[[#This Row],[MRF_ID]]="08"),2,1),"")</f>
        <v/>
      </c>
      <c r="AP3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1" s="224" t="str">
        <f>IFERROR(IF(1*LEFT(SecondaryTransport[[#This Row],[Bale_ID]],1)=5,SecondaryTransport[[#This Row],[Ton-Miles]]*SecondaryTransport[[#This Row],[Cost_Per_Ton-Mile]],""),"")</f>
        <v/>
      </c>
      <c r="AS331" s="224" t="str">
        <f>IFERROR(IF(SecondaryTransport[[#This Row],[Container_Transfer]]="",(SecondaryTransport[[#This Row],[Ton-Miles]]*SecondaryTransport[[#This Row],[Cost_Per_Ton-Mile]]),""),"")</f>
        <v/>
      </c>
    </row>
    <row r="332" spans="3:45" ht="15" x14ac:dyDescent="0.25">
      <c r="C332"/>
      <c r="D332"/>
      <c r="L332" s="446" t="s">
        <v>876</v>
      </c>
      <c r="M332" s="446">
        <v>2</v>
      </c>
      <c r="N332" s="446">
        <v>2</v>
      </c>
      <c r="O332" s="446" t="s">
        <v>700</v>
      </c>
      <c r="P332" s="450" t="s">
        <v>700</v>
      </c>
      <c r="Q332" s="450"/>
      <c r="R332" s="450"/>
      <c r="S332" s="449" t="s">
        <v>872</v>
      </c>
      <c r="T332" s="449" t="s">
        <v>701</v>
      </c>
      <c r="U332" s="452">
        <v>2412.5896162902609</v>
      </c>
      <c r="V3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2" s="272">
        <f>IFERROR(SUMIFS(TransUnitCost[Miles],TransUnitCost[Grouping_ID],TransTonsShort[[#This Row],[Grouping_ID]],TransUnitCost[Transp_ID],TransTonsShort[[#This Row],[Transp_ID]])*TransTonsShort[[#This Row],[Trans_Tons_All]]/TransTonsShort[[#This Row],[Trans_Tons_All]],"")</f>
        <v>0</v>
      </c>
      <c r="X332" s="386" t="str">
        <f>TransTonsShort[[#This Row],[Grouping_ID]]&amp;"-"&amp;TransTonsShort[[#This Row],[Sector_ID]]</f>
        <v>2-2</v>
      </c>
      <c r="Y3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2" s="421">
        <f>INDEX(LandfillFees[Disposal Tip Fee 2025],MATCH(TransTonsShort[[#This Row],[Grouping_ID]],LandfillFees[Grouping_ID],0))</f>
        <v>72.030938699729589</v>
      </c>
      <c r="AA332" s="102">
        <f>IF(OR(TransTonsShort[[#This Row],[CollectionStream_ID]]="03",TransTonsShort[[#This Row],[CollectionStream_ID]]="04",TransTonsShort[[#This Row],[CollectionStream_ID]]="13"),0,TransTonsShort[[#This Row],[Trans_Tons_All]]*TransTonsShort[[#This Row],[Disposal_Fee]])</f>
        <v>173781.09475860791</v>
      </c>
      <c r="AF332" s="446" t="s">
        <v>1505</v>
      </c>
      <c r="AG332" s="442" t="str">
        <f>LEFT(SecondaryTransport[[#This Row],[Scenario_MRF_Bale_ID]],2)</f>
        <v>S3</v>
      </c>
      <c r="AH332" s="181" t="str">
        <f>LEFT(RIGHT(SecondaryTransport[[#This Row],[Scenario_MRF_Bale_ID]],10),2)</f>
        <v>05</v>
      </c>
      <c r="AI332" s="181" t="str">
        <f>INDEX(MRFs[MRF_Name],MATCH(SecondaryTransport[[#This Row],[MRF_ID]],MRFs[MRF_ID],0))</f>
        <v>1 CRF (BC) or 1 infeed for transferred containers (Portland)</v>
      </c>
      <c r="AJ332" s="181" t="str">
        <f>RIGHT(SecondaryTransport[[#This Row],[Scenario_MRF_Bale_ID]],7)</f>
        <v>1000-01</v>
      </c>
      <c r="AK332" s="181" t="str">
        <f>INDEX(Bales[Bale_Name],MATCH(SecondaryTransport[[#This Row],[Bale_ID]],Bales[Bale_ID],0))</f>
        <v>OCC (corrugated cardboard) </v>
      </c>
      <c r="AL332" s="443">
        <f>INDEX(BaleMover[Total_Baled_tons],MATCH(SecondaryTransport[[#This Row],[Scenario_MRF_Bale_ID]],BaleMover[Scenario_MRF_Bale_ID],0))</f>
        <v>0</v>
      </c>
      <c r="AM332" s="443">
        <f>IF(INDEX(BaleMover[Miles],MATCH(SecondaryTransport[[#This Row],[Scenario_MRF_Bale_ID]],BaleMover[Scenario_MRF_Bale_ID],0))="",0,INDEX(BaleMover[Miles],MATCH(SecondaryTransport[[#This Row],[Scenario_MRF_Bale_ID]],BaleMover[Scenario_MRF_Bale_ID],0)))</f>
        <v>0</v>
      </c>
      <c r="AN332" s="251">
        <f>IF(SecondaryTransport[[#This Row],[Bale_ID]]="9000-01","costs elsewhere",SecondaryTransport[[#This Row],[Total_Baled_tons]]*SecondaryTransport[[#This Row],[Miles]])</f>
        <v>0</v>
      </c>
      <c r="AO332" s="352" t="str">
        <f>IF(LEFT(SecondaryTransport[[#This Row],[Bale_ID]],1)*1=5,IF(OR(SecondaryTransport[[#This Row],[MRF_ID]]="02",SecondaryTransport[[#This Row],[MRF_ID]]="08"),2,1),"")</f>
        <v/>
      </c>
      <c r="AP3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2" s="224" t="str">
        <f>IFERROR(IF(1*LEFT(SecondaryTransport[[#This Row],[Bale_ID]],1)=5,SecondaryTransport[[#This Row],[Ton-Miles]]*SecondaryTransport[[#This Row],[Cost_Per_Ton-Mile]],""),"")</f>
        <v/>
      </c>
      <c r="AS332" s="224" t="str">
        <f>IFERROR(IF(SecondaryTransport[[#This Row],[Container_Transfer]]="",(SecondaryTransport[[#This Row],[Ton-Miles]]*SecondaryTransport[[#This Row],[Cost_Per_Ton-Mile]]),""),"")</f>
        <v/>
      </c>
    </row>
    <row r="333" spans="3:45" ht="15" x14ac:dyDescent="0.25">
      <c r="C333"/>
      <c r="D333"/>
      <c r="L333" s="446" t="s">
        <v>876</v>
      </c>
      <c r="M333" s="446">
        <v>3</v>
      </c>
      <c r="N333" s="446">
        <v>2</v>
      </c>
      <c r="O333" s="446" t="s">
        <v>700</v>
      </c>
      <c r="P333" s="450" t="s">
        <v>700</v>
      </c>
      <c r="Q333" s="450"/>
      <c r="R333" s="450"/>
      <c r="S333" s="449" t="s">
        <v>872</v>
      </c>
      <c r="T333" s="449" t="s">
        <v>701</v>
      </c>
      <c r="U333" s="452">
        <v>0</v>
      </c>
      <c r="V3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3" s="272" t="str">
        <f>IFERROR(SUMIFS(TransUnitCost[Miles],TransUnitCost[Grouping_ID],TransTonsShort[[#This Row],[Grouping_ID]],TransUnitCost[Transp_ID],TransTonsShort[[#This Row],[Transp_ID]])*TransTonsShort[[#This Row],[Trans_Tons_All]]/TransTonsShort[[#This Row],[Trans_Tons_All]],"")</f>
        <v/>
      </c>
      <c r="X333" s="386" t="str">
        <f>TransTonsShort[[#This Row],[Grouping_ID]]&amp;"-"&amp;TransTonsShort[[#This Row],[Sector_ID]]</f>
        <v>3-2</v>
      </c>
      <c r="Y3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3" s="421">
        <f>INDEX(LandfillFees[Disposal Tip Fee 2025],MATCH(TransTonsShort[[#This Row],[Grouping_ID]],LandfillFees[Grouping_ID],0))</f>
        <v>72.030938699729589</v>
      </c>
      <c r="AA333" s="102">
        <f>IF(OR(TransTonsShort[[#This Row],[CollectionStream_ID]]="03",TransTonsShort[[#This Row],[CollectionStream_ID]]="04",TransTonsShort[[#This Row],[CollectionStream_ID]]="13"),0,TransTonsShort[[#This Row],[Trans_Tons_All]]*TransTonsShort[[#This Row],[Disposal_Fee]])</f>
        <v>0</v>
      </c>
      <c r="AF333" s="446" t="s">
        <v>1506</v>
      </c>
      <c r="AG333" s="442" t="str">
        <f>LEFT(SecondaryTransport[[#This Row],[Scenario_MRF_Bale_ID]],2)</f>
        <v>S2</v>
      </c>
      <c r="AH333" s="181" t="str">
        <f>LEFT(RIGHT(SecondaryTransport[[#This Row],[Scenario_MRF_Bale_ID]],10),2)</f>
        <v>05</v>
      </c>
      <c r="AI333" s="181" t="str">
        <f>INDEX(MRFs[MRF_Name],MATCH(SecondaryTransport[[#This Row],[MRF_ID]],MRFs[MRF_ID],0))</f>
        <v>1 CRF (BC) or 1 infeed for transferred containers (Portland)</v>
      </c>
      <c r="AJ333" s="181" t="str">
        <f>RIGHT(SecondaryTransport[[#This Row],[Scenario_MRF_Bale_ID]],7)</f>
        <v>1000-02</v>
      </c>
      <c r="AK333" s="181" t="str">
        <f>INDEX(Bales[Bale_Name],MATCH(SecondaryTransport[[#This Row],[Bale_ID]],Bales[Bale_ID],0))</f>
        <v>Sorted clean newsprint</v>
      </c>
      <c r="AL333" s="443">
        <f>INDEX(BaleMover[Total_Baled_tons],MATCH(SecondaryTransport[[#This Row],[Scenario_MRF_Bale_ID]],BaleMover[Scenario_MRF_Bale_ID],0))</f>
        <v>0</v>
      </c>
      <c r="AM333" s="443">
        <f>IF(INDEX(BaleMover[Miles],MATCH(SecondaryTransport[[#This Row],[Scenario_MRF_Bale_ID]],BaleMover[Scenario_MRF_Bale_ID],0))="",0,INDEX(BaleMover[Miles],MATCH(SecondaryTransport[[#This Row],[Scenario_MRF_Bale_ID]],BaleMover[Scenario_MRF_Bale_ID],0)))</f>
        <v>0</v>
      </c>
      <c r="AN333" s="251">
        <f>IF(SecondaryTransport[[#This Row],[Bale_ID]]="9000-01","costs elsewhere",SecondaryTransport[[#This Row],[Total_Baled_tons]]*SecondaryTransport[[#This Row],[Miles]])</f>
        <v>0</v>
      </c>
      <c r="AO333" s="352" t="str">
        <f>IF(LEFT(SecondaryTransport[[#This Row],[Bale_ID]],1)*1=5,IF(OR(SecondaryTransport[[#This Row],[MRF_ID]]="02",SecondaryTransport[[#This Row],[MRF_ID]]="08"),2,1),"")</f>
        <v/>
      </c>
      <c r="AP3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3" s="224" t="str">
        <f>IFERROR(IF(1*LEFT(SecondaryTransport[[#This Row],[Bale_ID]],1)=5,SecondaryTransport[[#This Row],[Ton-Miles]]*SecondaryTransport[[#This Row],[Cost_Per_Ton-Mile]],""),"")</f>
        <v/>
      </c>
      <c r="AS333" s="224" t="str">
        <f>IFERROR(IF(SecondaryTransport[[#This Row],[Container_Transfer]]="",(SecondaryTransport[[#This Row],[Ton-Miles]]*SecondaryTransport[[#This Row],[Cost_Per_Ton-Mile]]),""),"")</f>
        <v/>
      </c>
    </row>
    <row r="334" spans="3:45" ht="15" x14ac:dyDescent="0.25">
      <c r="C334"/>
      <c r="D334"/>
      <c r="L334" s="446" t="s">
        <v>876</v>
      </c>
      <c r="M334" s="446">
        <v>4</v>
      </c>
      <c r="N334" s="446">
        <v>2</v>
      </c>
      <c r="O334" s="446" t="s">
        <v>700</v>
      </c>
      <c r="P334" s="450" t="s">
        <v>700</v>
      </c>
      <c r="Q334" s="450"/>
      <c r="R334" s="450"/>
      <c r="S334" s="449" t="s">
        <v>872</v>
      </c>
      <c r="T334" s="449" t="s">
        <v>701</v>
      </c>
      <c r="U334" s="452">
        <v>0</v>
      </c>
      <c r="V3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4" s="272" t="str">
        <f>IFERROR(SUMIFS(TransUnitCost[Miles],TransUnitCost[Grouping_ID],TransTonsShort[[#This Row],[Grouping_ID]],TransUnitCost[Transp_ID],TransTonsShort[[#This Row],[Transp_ID]])*TransTonsShort[[#This Row],[Trans_Tons_All]]/TransTonsShort[[#This Row],[Trans_Tons_All]],"")</f>
        <v/>
      </c>
      <c r="X334" s="386" t="str">
        <f>TransTonsShort[[#This Row],[Grouping_ID]]&amp;"-"&amp;TransTonsShort[[#This Row],[Sector_ID]]</f>
        <v>4-2</v>
      </c>
      <c r="Y3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4" s="421">
        <f>INDEX(LandfillFees[Disposal Tip Fee 2025],MATCH(TransTonsShort[[#This Row],[Grouping_ID]],LandfillFees[Grouping_ID],0))</f>
        <v>72.030938699729589</v>
      </c>
      <c r="AA334" s="102">
        <f>IF(OR(TransTonsShort[[#This Row],[CollectionStream_ID]]="03",TransTonsShort[[#This Row],[CollectionStream_ID]]="04",TransTonsShort[[#This Row],[CollectionStream_ID]]="13"),0,TransTonsShort[[#This Row],[Trans_Tons_All]]*TransTonsShort[[#This Row],[Disposal_Fee]])</f>
        <v>0</v>
      </c>
      <c r="AF334" s="446" t="s">
        <v>1507</v>
      </c>
      <c r="AG334" s="442" t="str">
        <f>LEFT(SecondaryTransport[[#This Row],[Scenario_MRF_Bale_ID]],2)</f>
        <v>S3</v>
      </c>
      <c r="AH334" s="181" t="str">
        <f>LEFT(RIGHT(SecondaryTransport[[#This Row],[Scenario_MRF_Bale_ID]],10),2)</f>
        <v>05</v>
      </c>
      <c r="AI334" s="181" t="str">
        <f>INDEX(MRFs[MRF_Name],MATCH(SecondaryTransport[[#This Row],[MRF_ID]],MRFs[MRF_ID],0))</f>
        <v>1 CRF (BC) or 1 infeed for transferred containers (Portland)</v>
      </c>
      <c r="AJ334" s="181" t="str">
        <f>RIGHT(SecondaryTransport[[#This Row],[Scenario_MRF_Bale_ID]],7)</f>
        <v>1000-02</v>
      </c>
      <c r="AK334" s="181" t="str">
        <f>INDEX(Bales[Bale_Name],MATCH(SecondaryTransport[[#This Row],[Bale_ID]],Bales[Bale_ID],0))</f>
        <v>Sorted clean newsprint</v>
      </c>
      <c r="AL334" s="443">
        <f>INDEX(BaleMover[Total_Baled_tons],MATCH(SecondaryTransport[[#This Row],[Scenario_MRF_Bale_ID]],BaleMover[Scenario_MRF_Bale_ID],0))</f>
        <v>0</v>
      </c>
      <c r="AM334" s="443">
        <f>IF(INDEX(BaleMover[Miles],MATCH(SecondaryTransport[[#This Row],[Scenario_MRF_Bale_ID]],BaleMover[Scenario_MRF_Bale_ID],0))="",0,INDEX(BaleMover[Miles],MATCH(SecondaryTransport[[#This Row],[Scenario_MRF_Bale_ID]],BaleMover[Scenario_MRF_Bale_ID],0)))</f>
        <v>0</v>
      </c>
      <c r="AN334" s="251">
        <f>IF(SecondaryTransport[[#This Row],[Bale_ID]]="9000-01","costs elsewhere",SecondaryTransport[[#This Row],[Total_Baled_tons]]*SecondaryTransport[[#This Row],[Miles]])</f>
        <v>0</v>
      </c>
      <c r="AO334" s="352" t="str">
        <f>IF(LEFT(SecondaryTransport[[#This Row],[Bale_ID]],1)*1=5,IF(OR(SecondaryTransport[[#This Row],[MRF_ID]]="02",SecondaryTransport[[#This Row],[MRF_ID]]="08"),2,1),"")</f>
        <v/>
      </c>
      <c r="AP3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4" s="224" t="str">
        <f>IFERROR(IF(1*LEFT(SecondaryTransport[[#This Row],[Bale_ID]],1)=5,SecondaryTransport[[#This Row],[Ton-Miles]]*SecondaryTransport[[#This Row],[Cost_Per_Ton-Mile]],""),"")</f>
        <v/>
      </c>
      <c r="AS334" s="224" t="str">
        <f>IFERROR(IF(SecondaryTransport[[#This Row],[Container_Transfer]]="",(SecondaryTransport[[#This Row],[Ton-Miles]]*SecondaryTransport[[#This Row],[Cost_Per_Ton-Mile]]),""),"")</f>
        <v/>
      </c>
    </row>
    <row r="335" spans="3:45" ht="15" x14ac:dyDescent="0.25">
      <c r="C335"/>
      <c r="D335"/>
      <c r="L335" s="446" t="s">
        <v>876</v>
      </c>
      <c r="M335" s="446">
        <v>1</v>
      </c>
      <c r="N335" s="446">
        <v>2</v>
      </c>
      <c r="O335" s="446" t="s">
        <v>700</v>
      </c>
      <c r="P335" s="449" t="s">
        <v>706</v>
      </c>
      <c r="Q335" s="449"/>
      <c r="R335" s="449"/>
      <c r="S335" s="449" t="s">
        <v>872</v>
      </c>
      <c r="T335" s="449" t="s">
        <v>1025</v>
      </c>
      <c r="U335" s="452">
        <v>1711.9263995261042</v>
      </c>
      <c r="V3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34238.527990522081</v>
      </c>
      <c r="W335" s="272">
        <f>IFERROR(SUMIFS(TransUnitCost[Miles],TransUnitCost[Grouping_ID],TransTonsShort[[#This Row],[Grouping_ID]],TransUnitCost[Transp_ID],TransTonsShort[[#This Row],[Transp_ID]])*TransTonsShort[[#This Row],[Trans_Tons_All]]/TransTonsShort[[#This Row],[Trans_Tons_All]],"")</f>
        <v>20</v>
      </c>
      <c r="X335" s="386" t="str">
        <f>TransTonsShort[[#This Row],[Grouping_ID]]&amp;"-"&amp;TransTonsShort[[#This Row],[Sector_ID]]</f>
        <v>1-2</v>
      </c>
      <c r="Y3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5" s="421">
        <f>INDEX(LandfillFees[Disposal Tip Fee 2025],MATCH(TransTonsShort[[#This Row],[Grouping_ID]],LandfillFees[Grouping_ID],0))</f>
        <v>134.68</v>
      </c>
      <c r="AA335" s="102">
        <f>IF(OR(TransTonsShort[[#This Row],[CollectionStream_ID]]="03",TransTonsShort[[#This Row],[CollectionStream_ID]]="04",TransTonsShort[[#This Row],[CollectionStream_ID]]="13"),0,TransTonsShort[[#This Row],[Trans_Tons_All]]*TransTonsShort[[#This Row],[Disposal_Fee]])</f>
        <v>230562.24748817572</v>
      </c>
      <c r="AF335" s="446" t="s">
        <v>1508</v>
      </c>
      <c r="AG335" s="442" t="str">
        <f>LEFT(SecondaryTransport[[#This Row],[Scenario_MRF_Bale_ID]],2)</f>
        <v>S2</v>
      </c>
      <c r="AH335" s="181" t="str">
        <f>LEFT(RIGHT(SecondaryTransport[[#This Row],[Scenario_MRF_Bale_ID]],10),2)</f>
        <v>05</v>
      </c>
      <c r="AI335" s="181" t="str">
        <f>INDEX(MRFs[MRF_Name],MATCH(SecondaryTransport[[#This Row],[MRF_ID]],MRFs[MRF_ID],0))</f>
        <v>1 CRF (BC) or 1 infeed for transferred containers (Portland)</v>
      </c>
      <c r="AJ335" s="181" t="str">
        <f>RIGHT(SecondaryTransport[[#This Row],[Scenario_MRF_Bale_ID]],7)</f>
        <v>1000-03</v>
      </c>
      <c r="AK335" s="181" t="str">
        <f>INDEX(Bales[Bale_Name],MATCH(SecondaryTransport[[#This Row],[Bale_ID]],Bales[Bale_ID],0))</f>
        <v>Sorted residential paper and news</v>
      </c>
      <c r="AL335" s="443">
        <f>INDEX(BaleMover[Total_Baled_tons],MATCH(SecondaryTransport[[#This Row],[Scenario_MRF_Bale_ID]],BaleMover[Scenario_MRF_Bale_ID],0))</f>
        <v>0</v>
      </c>
      <c r="AM335" s="443">
        <f>IF(INDEX(BaleMover[Miles],MATCH(SecondaryTransport[[#This Row],[Scenario_MRF_Bale_ID]],BaleMover[Scenario_MRF_Bale_ID],0))="",0,INDEX(BaleMover[Miles],MATCH(SecondaryTransport[[#This Row],[Scenario_MRF_Bale_ID]],BaleMover[Scenario_MRF_Bale_ID],0)))</f>
        <v>0</v>
      </c>
      <c r="AN335" s="251">
        <f>IF(SecondaryTransport[[#This Row],[Bale_ID]]="9000-01","costs elsewhere",SecondaryTransport[[#This Row],[Total_Baled_tons]]*SecondaryTransport[[#This Row],[Miles]])</f>
        <v>0</v>
      </c>
      <c r="AO335" s="352" t="str">
        <f>IF(LEFT(SecondaryTransport[[#This Row],[Bale_ID]],1)*1=5,IF(OR(SecondaryTransport[[#This Row],[MRF_ID]]="02",SecondaryTransport[[#This Row],[MRF_ID]]="08"),2,1),"")</f>
        <v/>
      </c>
      <c r="AP3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5" s="224" t="str">
        <f>IFERROR(IF(1*LEFT(SecondaryTransport[[#This Row],[Bale_ID]],1)=5,SecondaryTransport[[#This Row],[Ton-Miles]]*SecondaryTransport[[#This Row],[Cost_Per_Ton-Mile]],""),"")</f>
        <v/>
      </c>
      <c r="AS335" s="224" t="str">
        <f>IFERROR(IF(SecondaryTransport[[#This Row],[Container_Transfer]]="",(SecondaryTransport[[#This Row],[Ton-Miles]]*SecondaryTransport[[#This Row],[Cost_Per_Ton-Mile]]),""),"")</f>
        <v/>
      </c>
    </row>
    <row r="336" spans="3:45" ht="15" x14ac:dyDescent="0.25">
      <c r="C336"/>
      <c r="D336"/>
      <c r="L336" s="446" t="s">
        <v>876</v>
      </c>
      <c r="M336" s="446">
        <v>2</v>
      </c>
      <c r="N336" s="446">
        <v>2</v>
      </c>
      <c r="O336" s="446" t="s">
        <v>700</v>
      </c>
      <c r="P336" s="449" t="s">
        <v>706</v>
      </c>
      <c r="Q336" s="449"/>
      <c r="R336" s="449"/>
      <c r="S336" s="449" t="s">
        <v>872</v>
      </c>
      <c r="T336" s="449" t="s">
        <v>1025</v>
      </c>
      <c r="U336" s="452">
        <v>892.3276662991376</v>
      </c>
      <c r="V3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24985.174656375853</v>
      </c>
      <c r="W336" s="272">
        <f>IFERROR(SUMIFS(TransUnitCost[Miles],TransUnitCost[Grouping_ID],TransTonsShort[[#This Row],[Grouping_ID]],TransUnitCost[Transp_ID],TransTonsShort[[#This Row],[Transp_ID]])*TransTonsShort[[#This Row],[Trans_Tons_All]]/TransTonsShort[[#This Row],[Trans_Tons_All]],"")</f>
        <v>70</v>
      </c>
      <c r="X336" s="386" t="str">
        <f>TransTonsShort[[#This Row],[Grouping_ID]]&amp;"-"&amp;TransTonsShort[[#This Row],[Sector_ID]]</f>
        <v>2-2</v>
      </c>
      <c r="Y3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6" s="421">
        <f>INDEX(LandfillFees[Disposal Tip Fee 2025],MATCH(TransTonsShort[[#This Row],[Grouping_ID]],LandfillFees[Grouping_ID],0))</f>
        <v>72.030938699729589</v>
      </c>
      <c r="AA336" s="102">
        <f>IF(OR(TransTonsShort[[#This Row],[CollectionStream_ID]]="03",TransTonsShort[[#This Row],[CollectionStream_ID]]="04",TransTonsShort[[#This Row],[CollectionStream_ID]]="13"),0,TransTonsShort[[#This Row],[Trans_Tons_All]]*TransTonsShort[[#This Row],[Disposal_Fee]])</f>
        <v>64275.199431265944</v>
      </c>
      <c r="AF336" s="446" t="s">
        <v>1509</v>
      </c>
      <c r="AG336" s="442" t="str">
        <f>LEFT(SecondaryTransport[[#This Row],[Scenario_MRF_Bale_ID]],2)</f>
        <v>S3</v>
      </c>
      <c r="AH336" s="181" t="str">
        <f>LEFT(RIGHT(SecondaryTransport[[#This Row],[Scenario_MRF_Bale_ID]],10),2)</f>
        <v>05</v>
      </c>
      <c r="AI336" s="181" t="str">
        <f>INDEX(MRFs[MRF_Name],MATCH(SecondaryTransport[[#This Row],[MRF_ID]],MRFs[MRF_ID],0))</f>
        <v>1 CRF (BC) or 1 infeed for transferred containers (Portland)</v>
      </c>
      <c r="AJ336" s="181" t="str">
        <f>RIGHT(SecondaryTransport[[#This Row],[Scenario_MRF_Bale_ID]],7)</f>
        <v>1000-03</v>
      </c>
      <c r="AK336" s="181" t="str">
        <f>INDEX(Bales[Bale_Name],MATCH(SecondaryTransport[[#This Row],[Bale_ID]],Bales[Bale_ID],0))</f>
        <v>Sorted residential paper and news</v>
      </c>
      <c r="AL336" s="443">
        <f>INDEX(BaleMover[Total_Baled_tons],MATCH(SecondaryTransport[[#This Row],[Scenario_MRF_Bale_ID]],BaleMover[Scenario_MRF_Bale_ID],0))</f>
        <v>0</v>
      </c>
      <c r="AM336" s="443">
        <f>IF(INDEX(BaleMover[Miles],MATCH(SecondaryTransport[[#This Row],[Scenario_MRF_Bale_ID]],BaleMover[Scenario_MRF_Bale_ID],0))="",0,INDEX(BaleMover[Miles],MATCH(SecondaryTransport[[#This Row],[Scenario_MRF_Bale_ID]],BaleMover[Scenario_MRF_Bale_ID],0)))</f>
        <v>0</v>
      </c>
      <c r="AN336" s="251">
        <f>IF(SecondaryTransport[[#This Row],[Bale_ID]]="9000-01","costs elsewhere",SecondaryTransport[[#This Row],[Total_Baled_tons]]*SecondaryTransport[[#This Row],[Miles]])</f>
        <v>0</v>
      </c>
      <c r="AO336" s="352" t="str">
        <f>IF(LEFT(SecondaryTransport[[#This Row],[Bale_ID]],1)*1=5,IF(OR(SecondaryTransport[[#This Row],[MRF_ID]]="02",SecondaryTransport[[#This Row],[MRF_ID]]="08"),2,1),"")</f>
        <v/>
      </c>
      <c r="AP3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6" s="224" t="str">
        <f>IFERROR(IF(1*LEFT(SecondaryTransport[[#This Row],[Bale_ID]],1)=5,SecondaryTransport[[#This Row],[Ton-Miles]]*SecondaryTransport[[#This Row],[Cost_Per_Ton-Mile]],""),"")</f>
        <v/>
      </c>
      <c r="AS336" s="224" t="str">
        <f>IFERROR(IF(SecondaryTransport[[#This Row],[Container_Transfer]]="",(SecondaryTransport[[#This Row],[Ton-Miles]]*SecondaryTransport[[#This Row],[Cost_Per_Ton-Mile]]),""),"")</f>
        <v/>
      </c>
    </row>
    <row r="337" spans="3:45" ht="15" x14ac:dyDescent="0.25">
      <c r="C337"/>
      <c r="D337"/>
      <c r="L337" s="446" t="s">
        <v>876</v>
      </c>
      <c r="M337" s="446">
        <v>3</v>
      </c>
      <c r="N337" s="446">
        <v>2</v>
      </c>
      <c r="O337" s="446" t="s">
        <v>700</v>
      </c>
      <c r="P337" s="449" t="s">
        <v>706</v>
      </c>
      <c r="Q337" s="449"/>
      <c r="R337" s="449"/>
      <c r="S337" s="449" t="s">
        <v>872</v>
      </c>
      <c r="T337" s="449" t="s">
        <v>1025</v>
      </c>
      <c r="U337" s="452">
        <v>514.10237898554954</v>
      </c>
      <c r="V3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26990.374896741352</v>
      </c>
      <c r="W337" s="272">
        <f>IFERROR(SUMIFS(TransUnitCost[Miles],TransUnitCost[Grouping_ID],TransTonsShort[[#This Row],[Grouping_ID]],TransUnitCost[Transp_ID],TransTonsShort[[#This Row],[Transp_ID]])*TransTonsShort[[#This Row],[Trans_Tons_All]]/TransTonsShort[[#This Row],[Trans_Tons_All]],"")</f>
        <v>150</v>
      </c>
      <c r="X337" s="386" t="str">
        <f>TransTonsShort[[#This Row],[Grouping_ID]]&amp;"-"&amp;TransTonsShort[[#This Row],[Sector_ID]]</f>
        <v>3-2</v>
      </c>
      <c r="Y3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7" s="421">
        <f>INDEX(LandfillFees[Disposal Tip Fee 2025],MATCH(TransTonsShort[[#This Row],[Grouping_ID]],LandfillFees[Grouping_ID],0))</f>
        <v>72.030938699729589</v>
      </c>
      <c r="AA337" s="102">
        <f>IF(OR(TransTonsShort[[#This Row],[CollectionStream_ID]]="03",TransTonsShort[[#This Row],[CollectionStream_ID]]="04",TransTonsShort[[#This Row],[CollectionStream_ID]]="13"),0,TransTonsShort[[#This Row],[Trans_Tons_All]]*TransTonsShort[[#This Row],[Disposal_Fee]])</f>
        <v>37031.276946093269</v>
      </c>
      <c r="AF337" s="446" t="s">
        <v>1510</v>
      </c>
      <c r="AG337" s="442" t="str">
        <f>LEFT(SecondaryTransport[[#This Row],[Scenario_MRF_Bale_ID]],2)</f>
        <v>S2</v>
      </c>
      <c r="AH337" s="181" t="str">
        <f>LEFT(RIGHT(SecondaryTransport[[#This Row],[Scenario_MRF_Bale_ID]],10),2)</f>
        <v>05</v>
      </c>
      <c r="AI337" s="181" t="str">
        <f>INDEX(MRFs[MRF_Name],MATCH(SecondaryTransport[[#This Row],[MRF_ID]],MRFs[MRF_ID],0))</f>
        <v>1 CRF (BC) or 1 infeed for transferred containers (Portland)</v>
      </c>
      <c r="AJ337" s="181" t="str">
        <f>RIGHT(SecondaryTransport[[#This Row],[Scenario_MRF_Bale_ID]],7)</f>
        <v>1000-04</v>
      </c>
      <c r="AK337" s="181" t="str">
        <f>INDEX(Bales[Bale_Name],MATCH(SecondaryTransport[[#This Row],[Bale_ID]],Bales[Bale_ID],0))</f>
        <v>Sorted office paper and sorted white ledger</v>
      </c>
      <c r="AL337" s="443">
        <f>INDEX(BaleMover[Total_Baled_tons],MATCH(SecondaryTransport[[#This Row],[Scenario_MRF_Bale_ID]],BaleMover[Scenario_MRF_Bale_ID],0))</f>
        <v>0</v>
      </c>
      <c r="AM337" s="443">
        <f>IF(INDEX(BaleMover[Miles],MATCH(SecondaryTransport[[#This Row],[Scenario_MRF_Bale_ID]],BaleMover[Scenario_MRF_Bale_ID],0))="",0,INDEX(BaleMover[Miles],MATCH(SecondaryTransport[[#This Row],[Scenario_MRF_Bale_ID]],BaleMover[Scenario_MRF_Bale_ID],0)))</f>
        <v>0</v>
      </c>
      <c r="AN337" s="251">
        <f>IF(SecondaryTransport[[#This Row],[Bale_ID]]="9000-01","costs elsewhere",SecondaryTransport[[#This Row],[Total_Baled_tons]]*SecondaryTransport[[#This Row],[Miles]])</f>
        <v>0</v>
      </c>
      <c r="AO337" s="352" t="str">
        <f>IF(LEFT(SecondaryTransport[[#This Row],[Bale_ID]],1)*1=5,IF(OR(SecondaryTransport[[#This Row],[MRF_ID]]="02",SecondaryTransport[[#This Row],[MRF_ID]]="08"),2,1),"")</f>
        <v/>
      </c>
      <c r="AP3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7" s="224" t="str">
        <f>IFERROR(IF(1*LEFT(SecondaryTransport[[#This Row],[Bale_ID]],1)=5,SecondaryTransport[[#This Row],[Ton-Miles]]*SecondaryTransport[[#This Row],[Cost_Per_Ton-Mile]],""),"")</f>
        <v/>
      </c>
      <c r="AS337" s="224" t="str">
        <f>IFERROR(IF(SecondaryTransport[[#This Row],[Container_Transfer]]="",(SecondaryTransport[[#This Row],[Ton-Miles]]*SecondaryTransport[[#This Row],[Cost_Per_Ton-Mile]]),""),"")</f>
        <v/>
      </c>
    </row>
    <row r="338" spans="3:45" ht="15" x14ac:dyDescent="0.25">
      <c r="C338"/>
      <c r="D338"/>
      <c r="L338" s="446" t="s">
        <v>876</v>
      </c>
      <c r="M338" s="446">
        <v>4</v>
      </c>
      <c r="N338" s="446">
        <v>2</v>
      </c>
      <c r="O338" s="446" t="s">
        <v>700</v>
      </c>
      <c r="P338" s="449" t="s">
        <v>706</v>
      </c>
      <c r="Q338" s="449"/>
      <c r="R338" s="449"/>
      <c r="S338" s="449" t="s">
        <v>872</v>
      </c>
      <c r="T338" s="449" t="s">
        <v>1025</v>
      </c>
      <c r="U338" s="452">
        <v>12.630553497236464</v>
      </c>
      <c r="V3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1263.0553497236465</v>
      </c>
      <c r="W338" s="272">
        <f>IFERROR(SUMIFS(TransUnitCost[Miles],TransUnitCost[Grouping_ID],TransTonsShort[[#This Row],[Grouping_ID]],TransUnitCost[Transp_ID],TransTonsShort[[#This Row],[Transp_ID]])*TransTonsShort[[#This Row],[Trans_Tons_All]]/TransTonsShort[[#This Row],[Trans_Tons_All]],"")</f>
        <v>250</v>
      </c>
      <c r="X338" s="386" t="str">
        <f>TransTonsShort[[#This Row],[Grouping_ID]]&amp;"-"&amp;TransTonsShort[[#This Row],[Sector_ID]]</f>
        <v>4-2</v>
      </c>
      <c r="Y3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8" s="421">
        <f>INDEX(LandfillFees[Disposal Tip Fee 2025],MATCH(TransTonsShort[[#This Row],[Grouping_ID]],LandfillFees[Grouping_ID],0))</f>
        <v>72.030938699729589</v>
      </c>
      <c r="AA338" s="102">
        <f>IF(OR(TransTonsShort[[#This Row],[CollectionStream_ID]]="03",TransTonsShort[[#This Row],[CollectionStream_ID]]="04",TransTonsShort[[#This Row],[CollectionStream_ID]]="13"),0,TransTonsShort[[#This Row],[Trans_Tons_All]]*TransTonsShort[[#This Row],[Disposal_Fee]])</f>
        <v>909.79062470309498</v>
      </c>
      <c r="AF338" s="446" t="s">
        <v>1511</v>
      </c>
      <c r="AG338" s="442" t="str">
        <f>LEFT(SecondaryTransport[[#This Row],[Scenario_MRF_Bale_ID]],2)</f>
        <v>S3</v>
      </c>
      <c r="AH338" s="181" t="str">
        <f>LEFT(RIGHT(SecondaryTransport[[#This Row],[Scenario_MRF_Bale_ID]],10),2)</f>
        <v>05</v>
      </c>
      <c r="AI338" s="181" t="str">
        <f>INDEX(MRFs[MRF_Name],MATCH(SecondaryTransport[[#This Row],[MRF_ID]],MRFs[MRF_ID],0))</f>
        <v>1 CRF (BC) or 1 infeed for transferred containers (Portland)</v>
      </c>
      <c r="AJ338" s="181" t="str">
        <f>RIGHT(SecondaryTransport[[#This Row],[Scenario_MRF_Bale_ID]],7)</f>
        <v>1000-04</v>
      </c>
      <c r="AK338" s="181" t="str">
        <f>INDEX(Bales[Bale_Name],MATCH(SecondaryTransport[[#This Row],[Bale_ID]],Bales[Bale_ID],0))</f>
        <v>Sorted office paper and sorted white ledger</v>
      </c>
      <c r="AL338" s="443">
        <f>INDEX(BaleMover[Total_Baled_tons],MATCH(SecondaryTransport[[#This Row],[Scenario_MRF_Bale_ID]],BaleMover[Scenario_MRF_Bale_ID],0))</f>
        <v>0</v>
      </c>
      <c r="AM338" s="443">
        <f>IF(INDEX(BaleMover[Miles],MATCH(SecondaryTransport[[#This Row],[Scenario_MRF_Bale_ID]],BaleMover[Scenario_MRF_Bale_ID],0))="",0,INDEX(BaleMover[Miles],MATCH(SecondaryTransport[[#This Row],[Scenario_MRF_Bale_ID]],BaleMover[Scenario_MRF_Bale_ID],0)))</f>
        <v>0</v>
      </c>
      <c r="AN338" s="251">
        <f>IF(SecondaryTransport[[#This Row],[Bale_ID]]="9000-01","costs elsewhere",SecondaryTransport[[#This Row],[Total_Baled_tons]]*SecondaryTransport[[#This Row],[Miles]])</f>
        <v>0</v>
      </c>
      <c r="AO338" s="352" t="str">
        <f>IF(LEFT(SecondaryTransport[[#This Row],[Bale_ID]],1)*1=5,IF(OR(SecondaryTransport[[#This Row],[MRF_ID]]="02",SecondaryTransport[[#This Row],[MRF_ID]]="08"),2,1),"")</f>
        <v/>
      </c>
      <c r="AP3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3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38" s="224" t="str">
        <f>IFERROR(IF(1*LEFT(SecondaryTransport[[#This Row],[Bale_ID]],1)=5,SecondaryTransport[[#This Row],[Ton-Miles]]*SecondaryTransport[[#This Row],[Cost_Per_Ton-Mile]],""),"")</f>
        <v/>
      </c>
      <c r="AS338" s="224" t="str">
        <f>IFERROR(IF(SecondaryTransport[[#This Row],[Container_Transfer]]="",(SecondaryTransport[[#This Row],[Ton-Miles]]*SecondaryTransport[[#This Row],[Cost_Per_Ton-Mile]]),""),"")</f>
        <v/>
      </c>
    </row>
    <row r="339" spans="3:45" ht="15" x14ac:dyDescent="0.25">
      <c r="C339"/>
      <c r="D339"/>
      <c r="L339" s="446" t="s">
        <v>876</v>
      </c>
      <c r="M339" s="446">
        <v>1</v>
      </c>
      <c r="N339" s="446">
        <v>2</v>
      </c>
      <c r="O339" s="446" t="s">
        <v>748</v>
      </c>
      <c r="P339" s="449" t="s">
        <v>719</v>
      </c>
      <c r="Q339" s="449"/>
      <c r="R339" s="449"/>
      <c r="S339" s="449" t="s">
        <v>765</v>
      </c>
      <c r="T339" s="449" t="s">
        <v>1055</v>
      </c>
      <c r="U339" s="452">
        <v>0</v>
      </c>
      <c r="V3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39" s="272" t="str">
        <f>IFERROR(SUMIFS(TransUnitCost[Miles],TransUnitCost[Grouping_ID],TransTonsShort[[#This Row],[Grouping_ID]],TransUnitCost[Transp_ID],TransTonsShort[[#This Row],[Transp_ID]])*TransTonsShort[[#This Row],[Trans_Tons_All]]/TransTonsShort[[#This Row],[Trans_Tons_All]],"")</f>
        <v/>
      </c>
      <c r="X339" s="386" t="str">
        <f>TransTonsShort[[#This Row],[Grouping_ID]]&amp;"-"&amp;TransTonsShort[[#This Row],[Sector_ID]]</f>
        <v>1-2</v>
      </c>
      <c r="Y3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39" s="421">
        <f>INDEX(LandfillFees[Disposal Tip Fee 2025],MATCH(TransTonsShort[[#This Row],[Grouping_ID]],LandfillFees[Grouping_ID],0))</f>
        <v>134.68</v>
      </c>
      <c r="AA339" s="102">
        <f>IF(OR(TransTonsShort[[#This Row],[CollectionStream_ID]]="03",TransTonsShort[[#This Row],[CollectionStream_ID]]="04",TransTonsShort[[#This Row],[CollectionStream_ID]]="13"),0,TransTonsShort[[#This Row],[Trans_Tons_All]]*TransTonsShort[[#This Row],[Disposal_Fee]])</f>
        <v>0</v>
      </c>
      <c r="AF339" s="446" t="s">
        <v>1512</v>
      </c>
      <c r="AG339" s="442" t="str">
        <f>LEFT(SecondaryTransport[[#This Row],[Scenario_MRF_Bale_ID]],2)</f>
        <v>S2</v>
      </c>
      <c r="AH339" s="181" t="str">
        <f>LEFT(RIGHT(SecondaryTransport[[#This Row],[Scenario_MRF_Bale_ID]],10),2)</f>
        <v>05</v>
      </c>
      <c r="AI339" s="181" t="str">
        <f>INDEX(MRFs[MRF_Name],MATCH(SecondaryTransport[[#This Row],[MRF_ID]],MRFs[MRF_ID],0))</f>
        <v>1 CRF (BC) or 1 infeed for transferred containers (Portland)</v>
      </c>
      <c r="AJ339" s="181" t="str">
        <f>RIGHT(SecondaryTransport[[#This Row],[Scenario_MRF_Bale_ID]],7)</f>
        <v>1000-05</v>
      </c>
      <c r="AK339" s="181" t="str">
        <f>INDEX(Bales[Bale_Name],MATCH(SecondaryTransport[[#This Row],[Bale_ID]],Bales[Bale_ID],0))</f>
        <v>Mixed paper</v>
      </c>
      <c r="AL339" s="443">
        <f>INDEX(BaleMover[Total_Baled_tons],MATCH(SecondaryTransport[[#This Row],[Scenario_MRF_Bale_ID]],BaleMover[Scenario_MRF_Bale_ID],0))</f>
        <v>363.60761738619794</v>
      </c>
      <c r="AM339" s="443">
        <f>IF(INDEX(BaleMover[Miles],MATCH(SecondaryTransport[[#This Row],[Scenario_MRF_Bale_ID]],BaleMover[Scenario_MRF_Bale_ID],0))="",0,INDEX(BaleMover[Miles],MATCH(SecondaryTransport[[#This Row],[Scenario_MRF_Bale_ID]],BaleMover[Scenario_MRF_Bale_ID],0)))</f>
        <v>50</v>
      </c>
      <c r="AN339" s="251">
        <f>IF(SecondaryTransport[[#This Row],[Bale_ID]]="9000-01","costs elsewhere",SecondaryTransport[[#This Row],[Total_Baled_tons]]*SecondaryTransport[[#This Row],[Miles]])</f>
        <v>18180.380869309898</v>
      </c>
      <c r="AO339" s="352" t="str">
        <f>IF(LEFT(SecondaryTransport[[#This Row],[Bale_ID]],1)*1=5,IF(OR(SecondaryTransport[[#This Row],[MRF_ID]]="02",SecondaryTransport[[#This Row],[MRF_ID]]="08"),2,1),"")</f>
        <v/>
      </c>
      <c r="AP3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3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39" s="224" t="str">
        <f>IFERROR(IF(1*LEFT(SecondaryTransport[[#This Row],[Bale_ID]],1)=5,SecondaryTransport[[#This Row],[Ton-Miles]]*SecondaryTransport[[#This Row],[Cost_Per_Ton-Mile]],""),"")</f>
        <v/>
      </c>
      <c r="AS339" s="224">
        <f>IFERROR(IF(SecondaryTransport[[#This Row],[Container_Transfer]]="",(SecondaryTransport[[#This Row],[Ton-Miles]]*SecondaryTransport[[#This Row],[Cost_Per_Ton-Mile]]),""),"")</f>
        <v>5635.9180694860688</v>
      </c>
    </row>
    <row r="340" spans="3:45" ht="15" x14ac:dyDescent="0.25">
      <c r="C340"/>
      <c r="D340"/>
      <c r="L340" s="446" t="s">
        <v>876</v>
      </c>
      <c r="M340" s="446">
        <v>2</v>
      </c>
      <c r="N340" s="446">
        <v>2</v>
      </c>
      <c r="O340" s="446" t="s">
        <v>748</v>
      </c>
      <c r="P340" s="449" t="s">
        <v>719</v>
      </c>
      <c r="Q340" s="449"/>
      <c r="R340" s="449"/>
      <c r="S340" s="449" t="s">
        <v>765</v>
      </c>
      <c r="T340" s="449" t="s">
        <v>1055</v>
      </c>
      <c r="U340" s="452">
        <v>0</v>
      </c>
      <c r="V3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0" s="272" t="str">
        <f>IFERROR(SUMIFS(TransUnitCost[Miles],TransUnitCost[Grouping_ID],TransTonsShort[[#This Row],[Grouping_ID]],TransUnitCost[Transp_ID],TransTonsShort[[#This Row],[Transp_ID]])*TransTonsShort[[#This Row],[Trans_Tons_All]]/TransTonsShort[[#This Row],[Trans_Tons_All]],"")</f>
        <v/>
      </c>
      <c r="X340" s="386" t="str">
        <f>TransTonsShort[[#This Row],[Grouping_ID]]&amp;"-"&amp;TransTonsShort[[#This Row],[Sector_ID]]</f>
        <v>2-2</v>
      </c>
      <c r="Y3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0" s="421">
        <f>INDEX(LandfillFees[Disposal Tip Fee 2025],MATCH(TransTonsShort[[#This Row],[Grouping_ID]],LandfillFees[Grouping_ID],0))</f>
        <v>72.030938699729589</v>
      </c>
      <c r="AA340" s="102">
        <f>IF(OR(TransTonsShort[[#This Row],[CollectionStream_ID]]="03",TransTonsShort[[#This Row],[CollectionStream_ID]]="04",TransTonsShort[[#This Row],[CollectionStream_ID]]="13"),0,TransTonsShort[[#This Row],[Trans_Tons_All]]*TransTonsShort[[#This Row],[Disposal_Fee]])</f>
        <v>0</v>
      </c>
      <c r="AF340" s="446" t="s">
        <v>1513</v>
      </c>
      <c r="AG340" s="442" t="str">
        <f>LEFT(SecondaryTransport[[#This Row],[Scenario_MRF_Bale_ID]],2)</f>
        <v>S3</v>
      </c>
      <c r="AH340" s="181" t="str">
        <f>LEFT(RIGHT(SecondaryTransport[[#This Row],[Scenario_MRF_Bale_ID]],10),2)</f>
        <v>05</v>
      </c>
      <c r="AI340" s="181" t="str">
        <f>INDEX(MRFs[MRF_Name],MATCH(SecondaryTransport[[#This Row],[MRF_ID]],MRFs[MRF_ID],0))</f>
        <v>1 CRF (BC) or 1 infeed for transferred containers (Portland)</v>
      </c>
      <c r="AJ340" s="181" t="str">
        <f>RIGHT(SecondaryTransport[[#This Row],[Scenario_MRF_Bale_ID]],7)</f>
        <v>1000-05</v>
      </c>
      <c r="AK340" s="181" t="str">
        <f>INDEX(Bales[Bale_Name],MATCH(SecondaryTransport[[#This Row],[Bale_ID]],Bales[Bale_ID],0))</f>
        <v>Mixed paper</v>
      </c>
      <c r="AL340" s="443">
        <f>INDEX(BaleMover[Total_Baled_tons],MATCH(SecondaryTransport[[#This Row],[Scenario_MRF_Bale_ID]],BaleMover[Scenario_MRF_Bale_ID],0))</f>
        <v>419.00213248687459</v>
      </c>
      <c r="AM340" s="443">
        <f>IF(INDEX(BaleMover[Miles],MATCH(SecondaryTransport[[#This Row],[Scenario_MRF_Bale_ID]],BaleMover[Scenario_MRF_Bale_ID],0))="",0,INDEX(BaleMover[Miles],MATCH(SecondaryTransport[[#This Row],[Scenario_MRF_Bale_ID]],BaleMover[Scenario_MRF_Bale_ID],0)))</f>
        <v>15</v>
      </c>
      <c r="AN340" s="251">
        <f>IF(SecondaryTransport[[#This Row],[Bale_ID]]="9000-01","costs elsewhere",SecondaryTransport[[#This Row],[Total_Baled_tons]]*SecondaryTransport[[#This Row],[Miles]])</f>
        <v>6285.0319873031185</v>
      </c>
      <c r="AO340" s="352" t="str">
        <f>IF(LEFT(SecondaryTransport[[#This Row],[Bale_ID]],1)*1=5,IF(OR(SecondaryTransport[[#This Row],[MRF_ID]]="02",SecondaryTransport[[#This Row],[MRF_ID]]="08"),2,1),"")</f>
        <v/>
      </c>
      <c r="AP3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4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40" s="224" t="str">
        <f>IFERROR(IF(1*LEFT(SecondaryTransport[[#This Row],[Bale_ID]],1)=5,SecondaryTransport[[#This Row],[Ton-Miles]]*SecondaryTransport[[#This Row],[Cost_Per_Ton-Mile]],""),"")</f>
        <v/>
      </c>
      <c r="AS340" s="224">
        <f>IFERROR(IF(SecondaryTransport[[#This Row],[Container_Transfer]]="",(SecondaryTransport[[#This Row],[Ton-Miles]]*SecondaryTransport[[#This Row],[Cost_Per_Ton-Mile]]),""),"")</f>
        <v>1948.3599160639667</v>
      </c>
    </row>
    <row r="341" spans="3:45" ht="15" x14ac:dyDescent="0.25">
      <c r="C341"/>
      <c r="D341"/>
      <c r="L341" s="446" t="s">
        <v>876</v>
      </c>
      <c r="M341" s="446">
        <v>3</v>
      </c>
      <c r="N341" s="446">
        <v>2</v>
      </c>
      <c r="O341" s="446" t="s">
        <v>748</v>
      </c>
      <c r="P341" s="449" t="s">
        <v>719</v>
      </c>
      <c r="Q341" s="449"/>
      <c r="R341" s="449"/>
      <c r="S341" s="449" t="s">
        <v>765</v>
      </c>
      <c r="T341" s="449" t="s">
        <v>1055</v>
      </c>
      <c r="U341" s="452">
        <v>0</v>
      </c>
      <c r="V3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1" s="272" t="str">
        <f>IFERROR(SUMIFS(TransUnitCost[Miles],TransUnitCost[Grouping_ID],TransTonsShort[[#This Row],[Grouping_ID]],TransUnitCost[Transp_ID],TransTonsShort[[#This Row],[Transp_ID]])*TransTonsShort[[#This Row],[Trans_Tons_All]]/TransTonsShort[[#This Row],[Trans_Tons_All]],"")</f>
        <v/>
      </c>
      <c r="X341" s="386" t="str">
        <f>TransTonsShort[[#This Row],[Grouping_ID]]&amp;"-"&amp;TransTonsShort[[#This Row],[Sector_ID]]</f>
        <v>3-2</v>
      </c>
      <c r="Y3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1" s="421">
        <f>INDEX(LandfillFees[Disposal Tip Fee 2025],MATCH(TransTonsShort[[#This Row],[Grouping_ID]],LandfillFees[Grouping_ID],0))</f>
        <v>72.030938699729589</v>
      </c>
      <c r="AA341" s="102">
        <f>IF(OR(TransTonsShort[[#This Row],[CollectionStream_ID]]="03",TransTonsShort[[#This Row],[CollectionStream_ID]]="04",TransTonsShort[[#This Row],[CollectionStream_ID]]="13"),0,TransTonsShort[[#This Row],[Trans_Tons_All]]*TransTonsShort[[#This Row],[Disposal_Fee]])</f>
        <v>0</v>
      </c>
      <c r="AF341" s="446" t="s">
        <v>1514</v>
      </c>
      <c r="AG341" s="442" t="str">
        <f>LEFT(SecondaryTransport[[#This Row],[Scenario_MRF_Bale_ID]],2)</f>
        <v>S2</v>
      </c>
      <c r="AH341" s="181" t="str">
        <f>LEFT(RIGHT(SecondaryTransport[[#This Row],[Scenario_MRF_Bale_ID]],10),2)</f>
        <v>05</v>
      </c>
      <c r="AI341" s="181" t="str">
        <f>INDEX(MRFs[MRF_Name],MATCH(SecondaryTransport[[#This Row],[MRF_ID]],MRFs[MRF_ID],0))</f>
        <v>1 CRF (BC) or 1 infeed for transferred containers (Portland)</v>
      </c>
      <c r="AJ341" s="181" t="str">
        <f>RIGHT(SecondaryTransport[[#This Row],[Scenario_MRF_Bale_ID]],7)</f>
        <v>1000-06</v>
      </c>
      <c r="AK341" s="181" t="str">
        <f>INDEX(Bales[Bale_Name],MATCH(SecondaryTransport[[#This Row],[Bale_ID]],Bales[Bale_ID],0))</f>
        <v>Paperboard/old boxboard</v>
      </c>
      <c r="AL341" s="443">
        <f>INDEX(BaleMover[Total_Baled_tons],MATCH(SecondaryTransport[[#This Row],[Scenario_MRF_Bale_ID]],BaleMover[Scenario_MRF_Bale_ID],0))</f>
        <v>0</v>
      </c>
      <c r="AM341" s="443">
        <f>IF(INDEX(BaleMover[Miles],MATCH(SecondaryTransport[[#This Row],[Scenario_MRF_Bale_ID]],BaleMover[Scenario_MRF_Bale_ID],0))="",0,INDEX(BaleMover[Miles],MATCH(SecondaryTransport[[#This Row],[Scenario_MRF_Bale_ID]],BaleMover[Scenario_MRF_Bale_ID],0)))</f>
        <v>0</v>
      </c>
      <c r="AN341" s="251">
        <f>IF(SecondaryTransport[[#This Row],[Bale_ID]]="9000-01","costs elsewhere",SecondaryTransport[[#This Row],[Total_Baled_tons]]*SecondaryTransport[[#This Row],[Miles]])</f>
        <v>0</v>
      </c>
      <c r="AO341" s="352" t="str">
        <f>IF(LEFT(SecondaryTransport[[#This Row],[Bale_ID]],1)*1=5,IF(OR(SecondaryTransport[[#This Row],[MRF_ID]]="02",SecondaryTransport[[#This Row],[MRF_ID]]="08"),2,1),"")</f>
        <v/>
      </c>
      <c r="AP3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4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41" s="224" t="str">
        <f>IFERROR(IF(1*LEFT(SecondaryTransport[[#This Row],[Bale_ID]],1)=5,SecondaryTransport[[#This Row],[Ton-Miles]]*SecondaryTransport[[#This Row],[Cost_Per_Ton-Mile]],""),"")</f>
        <v/>
      </c>
      <c r="AS341" s="224" t="str">
        <f>IFERROR(IF(SecondaryTransport[[#This Row],[Container_Transfer]]="",(SecondaryTransport[[#This Row],[Ton-Miles]]*SecondaryTransport[[#This Row],[Cost_Per_Ton-Mile]]),""),"")</f>
        <v/>
      </c>
    </row>
    <row r="342" spans="3:45" ht="15" x14ac:dyDescent="0.25">
      <c r="C342"/>
      <c r="D342"/>
      <c r="L342" s="446" t="s">
        <v>876</v>
      </c>
      <c r="M342" s="446">
        <v>4</v>
      </c>
      <c r="N342" s="446">
        <v>2</v>
      </c>
      <c r="O342" s="446" t="s">
        <v>748</v>
      </c>
      <c r="P342" s="449" t="s">
        <v>719</v>
      </c>
      <c r="Q342" s="449"/>
      <c r="R342" s="449"/>
      <c r="S342" s="449" t="s">
        <v>765</v>
      </c>
      <c r="T342" s="449" t="s">
        <v>1055</v>
      </c>
      <c r="U342" s="452">
        <v>0</v>
      </c>
      <c r="V3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2" s="272" t="str">
        <f>IFERROR(SUMIFS(TransUnitCost[Miles],TransUnitCost[Grouping_ID],TransTonsShort[[#This Row],[Grouping_ID]],TransUnitCost[Transp_ID],TransTonsShort[[#This Row],[Transp_ID]])*TransTonsShort[[#This Row],[Trans_Tons_All]]/TransTonsShort[[#This Row],[Trans_Tons_All]],"")</f>
        <v/>
      </c>
      <c r="X342" s="386" t="str">
        <f>TransTonsShort[[#This Row],[Grouping_ID]]&amp;"-"&amp;TransTonsShort[[#This Row],[Sector_ID]]</f>
        <v>4-2</v>
      </c>
      <c r="Y3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2" s="421">
        <f>INDEX(LandfillFees[Disposal Tip Fee 2025],MATCH(TransTonsShort[[#This Row],[Grouping_ID]],LandfillFees[Grouping_ID],0))</f>
        <v>72.030938699729589</v>
      </c>
      <c r="AA342" s="102">
        <f>IF(OR(TransTonsShort[[#This Row],[CollectionStream_ID]]="03",TransTonsShort[[#This Row],[CollectionStream_ID]]="04",TransTonsShort[[#This Row],[CollectionStream_ID]]="13"),0,TransTonsShort[[#This Row],[Trans_Tons_All]]*TransTonsShort[[#This Row],[Disposal_Fee]])</f>
        <v>0</v>
      </c>
      <c r="AF342" s="446" t="s">
        <v>1515</v>
      </c>
      <c r="AG342" s="442" t="str">
        <f>LEFT(SecondaryTransport[[#This Row],[Scenario_MRF_Bale_ID]],2)</f>
        <v>S3</v>
      </c>
      <c r="AH342" s="181" t="str">
        <f>LEFT(RIGHT(SecondaryTransport[[#This Row],[Scenario_MRF_Bale_ID]],10),2)</f>
        <v>05</v>
      </c>
      <c r="AI342" s="181" t="str">
        <f>INDEX(MRFs[MRF_Name],MATCH(SecondaryTransport[[#This Row],[MRF_ID]],MRFs[MRF_ID],0))</f>
        <v>1 CRF (BC) or 1 infeed for transferred containers (Portland)</v>
      </c>
      <c r="AJ342" s="181" t="str">
        <f>RIGHT(SecondaryTransport[[#This Row],[Scenario_MRF_Bale_ID]],7)</f>
        <v>1000-06</v>
      </c>
      <c r="AK342" s="181" t="str">
        <f>INDEX(Bales[Bale_Name],MATCH(SecondaryTransport[[#This Row],[Bale_ID]],Bales[Bale_ID],0))</f>
        <v>Paperboard/old boxboard</v>
      </c>
      <c r="AL342" s="443">
        <f>INDEX(BaleMover[Total_Baled_tons],MATCH(SecondaryTransport[[#This Row],[Scenario_MRF_Bale_ID]],BaleMover[Scenario_MRF_Bale_ID],0))</f>
        <v>0</v>
      </c>
      <c r="AM342" s="443">
        <f>IF(INDEX(BaleMover[Miles],MATCH(SecondaryTransport[[#This Row],[Scenario_MRF_Bale_ID]],BaleMover[Scenario_MRF_Bale_ID],0))="",0,INDEX(BaleMover[Miles],MATCH(SecondaryTransport[[#This Row],[Scenario_MRF_Bale_ID]],BaleMover[Scenario_MRF_Bale_ID],0)))</f>
        <v>0</v>
      </c>
      <c r="AN342" s="251">
        <f>IF(SecondaryTransport[[#This Row],[Bale_ID]]="9000-01","costs elsewhere",SecondaryTransport[[#This Row],[Total_Baled_tons]]*SecondaryTransport[[#This Row],[Miles]])</f>
        <v>0</v>
      </c>
      <c r="AO342" s="352" t="str">
        <f>IF(LEFT(SecondaryTransport[[#This Row],[Bale_ID]],1)*1=5,IF(OR(SecondaryTransport[[#This Row],[MRF_ID]]="02",SecondaryTransport[[#This Row],[MRF_ID]]="08"),2,1),"")</f>
        <v/>
      </c>
      <c r="AP3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4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42" s="224" t="str">
        <f>IFERROR(IF(1*LEFT(SecondaryTransport[[#This Row],[Bale_ID]],1)=5,SecondaryTransport[[#This Row],[Ton-Miles]]*SecondaryTransport[[#This Row],[Cost_Per_Ton-Mile]],""),"")</f>
        <v/>
      </c>
      <c r="AS342" s="224" t="str">
        <f>IFERROR(IF(SecondaryTransport[[#This Row],[Container_Transfer]]="",(SecondaryTransport[[#This Row],[Ton-Miles]]*SecondaryTransport[[#This Row],[Cost_Per_Ton-Mile]]),""),"")</f>
        <v/>
      </c>
    </row>
    <row r="343" spans="3:45" ht="15" x14ac:dyDescent="0.25">
      <c r="C343"/>
      <c r="D343"/>
      <c r="L343" s="446" t="s">
        <v>876</v>
      </c>
      <c r="M343" s="446">
        <v>1</v>
      </c>
      <c r="N343" s="446">
        <v>2</v>
      </c>
      <c r="O343" s="446" t="s">
        <v>748</v>
      </c>
      <c r="P343" s="449" t="s">
        <v>700</v>
      </c>
      <c r="Q343" s="449"/>
      <c r="R343" s="449"/>
      <c r="S343" s="449" t="s">
        <v>765</v>
      </c>
      <c r="T343" s="449" t="s">
        <v>701</v>
      </c>
      <c r="U343" s="452">
        <v>0</v>
      </c>
      <c r="V3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3" s="272" t="str">
        <f>IFERROR(SUMIFS(TransUnitCost[Miles],TransUnitCost[Grouping_ID],TransTonsShort[[#This Row],[Grouping_ID]],TransUnitCost[Transp_ID],TransTonsShort[[#This Row],[Transp_ID]])*TransTonsShort[[#This Row],[Trans_Tons_All]]/TransTonsShort[[#This Row],[Trans_Tons_All]],"")</f>
        <v/>
      </c>
      <c r="X343" s="386" t="str">
        <f>TransTonsShort[[#This Row],[Grouping_ID]]&amp;"-"&amp;TransTonsShort[[#This Row],[Sector_ID]]</f>
        <v>1-2</v>
      </c>
      <c r="Y3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3" s="421">
        <f>INDEX(LandfillFees[Disposal Tip Fee 2025],MATCH(TransTonsShort[[#This Row],[Grouping_ID]],LandfillFees[Grouping_ID],0))</f>
        <v>134.68</v>
      </c>
      <c r="AA343" s="102">
        <f>IF(OR(TransTonsShort[[#This Row],[CollectionStream_ID]]="03",TransTonsShort[[#This Row],[CollectionStream_ID]]="04",TransTonsShort[[#This Row],[CollectionStream_ID]]="13"),0,TransTonsShort[[#This Row],[Trans_Tons_All]]*TransTonsShort[[#This Row],[Disposal_Fee]])</f>
        <v>0</v>
      </c>
      <c r="AF343" s="446" t="s">
        <v>1516</v>
      </c>
      <c r="AG343" s="442" t="str">
        <f>LEFT(SecondaryTransport[[#This Row],[Scenario_MRF_Bale_ID]],2)</f>
        <v>S2</v>
      </c>
      <c r="AH343" s="181" t="str">
        <f>LEFT(RIGHT(SecondaryTransport[[#This Row],[Scenario_MRF_Bale_ID]],10),2)</f>
        <v>05</v>
      </c>
      <c r="AI343" s="181" t="str">
        <f>INDEX(MRFs[MRF_Name],MATCH(SecondaryTransport[[#This Row],[MRF_ID]],MRFs[MRF_ID],0))</f>
        <v>1 CRF (BC) or 1 infeed for transferred containers (Portland)</v>
      </c>
      <c r="AJ343" s="181" t="str">
        <f>RIGHT(SecondaryTransport[[#This Row],[Scenario_MRF_Bale_ID]],7)</f>
        <v>1000-07</v>
      </c>
      <c r="AK343" s="181" t="str">
        <f>INDEX(Bales[Bale_Name],MATCH(SecondaryTransport[[#This Row],[Bale_ID]],Bales[Bale_ID],0))</f>
        <v>Aseptic and gable-top cartons</v>
      </c>
      <c r="AL343" s="443">
        <f>INDEX(BaleMover[Total_Baled_tons],MATCH(SecondaryTransport[[#This Row],[Scenario_MRF_Bale_ID]],BaleMover[Scenario_MRF_Bale_ID],0))</f>
        <v>1117.2642140912565</v>
      </c>
      <c r="AM343" s="443">
        <f>IF(INDEX(BaleMover[Miles],MATCH(SecondaryTransport[[#This Row],[Scenario_MRF_Bale_ID]],BaleMover[Scenario_MRF_Bale_ID],0))="",0,INDEX(BaleMover[Miles],MATCH(SecondaryTransport[[#This Row],[Scenario_MRF_Bale_ID]],BaleMover[Scenario_MRF_Bale_ID],0)))</f>
        <v>145</v>
      </c>
      <c r="AN343" s="251">
        <f>IF(SecondaryTransport[[#This Row],[Bale_ID]]="9000-01","costs elsewhere",SecondaryTransport[[#This Row],[Total_Baled_tons]]*SecondaryTransport[[#This Row],[Miles]])</f>
        <v>162003.31104323218</v>
      </c>
      <c r="AO343" s="352" t="str">
        <f>IF(LEFT(SecondaryTransport[[#This Row],[Bale_ID]],1)*1=5,IF(OR(SecondaryTransport[[#This Row],[MRF_ID]]="02",SecondaryTransport[[#This Row],[MRF_ID]]="08"),2,1),"")</f>
        <v/>
      </c>
      <c r="AP3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34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343" s="224" t="str">
        <f>IFERROR(IF(1*LEFT(SecondaryTransport[[#This Row],[Bale_ID]],1)=5,SecondaryTransport[[#This Row],[Ton-Miles]]*SecondaryTransport[[#This Row],[Cost_Per_Ton-Mile]],""),"")</f>
        <v/>
      </c>
      <c r="AS343" s="224">
        <f>IFERROR(IF(SecondaryTransport[[#This Row],[Container_Transfer]]="",(SecondaryTransport[[#This Row],[Ton-Miles]]*SecondaryTransport[[#This Row],[Cost_Per_Ton-Mile]]),""),"")</f>
        <v>30780.629098214114</v>
      </c>
    </row>
    <row r="344" spans="3:45" ht="15" x14ac:dyDescent="0.25">
      <c r="C344"/>
      <c r="D344"/>
      <c r="L344" s="446" t="s">
        <v>876</v>
      </c>
      <c r="M344" s="446">
        <v>2</v>
      </c>
      <c r="N344" s="446">
        <v>2</v>
      </c>
      <c r="O344" s="446" t="s">
        <v>748</v>
      </c>
      <c r="P344" s="449" t="s">
        <v>700</v>
      </c>
      <c r="Q344" s="449"/>
      <c r="R344" s="449"/>
      <c r="S344" s="449" t="s">
        <v>765</v>
      </c>
      <c r="T344" s="449" t="s">
        <v>701</v>
      </c>
      <c r="U344" s="452">
        <v>0</v>
      </c>
      <c r="V3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4" s="272" t="str">
        <f>IFERROR(SUMIFS(TransUnitCost[Miles],TransUnitCost[Grouping_ID],TransTonsShort[[#This Row],[Grouping_ID]],TransUnitCost[Transp_ID],TransTonsShort[[#This Row],[Transp_ID]])*TransTonsShort[[#This Row],[Trans_Tons_All]]/TransTonsShort[[#This Row],[Trans_Tons_All]],"")</f>
        <v/>
      </c>
      <c r="X344" s="386" t="str">
        <f>TransTonsShort[[#This Row],[Grouping_ID]]&amp;"-"&amp;TransTonsShort[[#This Row],[Sector_ID]]</f>
        <v>2-2</v>
      </c>
      <c r="Y3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4" s="421">
        <f>INDEX(LandfillFees[Disposal Tip Fee 2025],MATCH(TransTonsShort[[#This Row],[Grouping_ID]],LandfillFees[Grouping_ID],0))</f>
        <v>72.030938699729589</v>
      </c>
      <c r="AA344" s="102">
        <f>IF(OR(TransTonsShort[[#This Row],[CollectionStream_ID]]="03",TransTonsShort[[#This Row],[CollectionStream_ID]]="04",TransTonsShort[[#This Row],[CollectionStream_ID]]="13"),0,TransTonsShort[[#This Row],[Trans_Tons_All]]*TransTonsShort[[#This Row],[Disposal_Fee]])</f>
        <v>0</v>
      </c>
      <c r="AF344" s="446" t="s">
        <v>1517</v>
      </c>
      <c r="AG344" s="442" t="str">
        <f>LEFT(SecondaryTransport[[#This Row],[Scenario_MRF_Bale_ID]],2)</f>
        <v>S3</v>
      </c>
      <c r="AH344" s="181" t="str">
        <f>LEFT(RIGHT(SecondaryTransport[[#This Row],[Scenario_MRF_Bale_ID]],10),2)</f>
        <v>05</v>
      </c>
      <c r="AI344" s="181" t="str">
        <f>INDEX(MRFs[MRF_Name],MATCH(SecondaryTransport[[#This Row],[MRF_ID]],MRFs[MRF_ID],0))</f>
        <v>1 CRF (BC) or 1 infeed for transferred containers (Portland)</v>
      </c>
      <c r="AJ344" s="181" t="str">
        <f>RIGHT(SecondaryTransport[[#This Row],[Scenario_MRF_Bale_ID]],7)</f>
        <v>1000-07</v>
      </c>
      <c r="AK344" s="181" t="str">
        <f>INDEX(Bales[Bale_Name],MATCH(SecondaryTransport[[#This Row],[Bale_ID]],Bales[Bale_ID],0))</f>
        <v>Aseptic and gable-top cartons</v>
      </c>
      <c r="AL344" s="443">
        <f>INDEX(BaleMover[Total_Baled_tons],MATCH(SecondaryTransport[[#This Row],[Scenario_MRF_Bale_ID]],BaleMover[Scenario_MRF_Bale_ID],0))</f>
        <v>1117.511505274789</v>
      </c>
      <c r="AM344" s="443">
        <f>IF(INDEX(BaleMover[Miles],MATCH(SecondaryTransport[[#This Row],[Scenario_MRF_Bale_ID]],BaleMover[Scenario_MRF_Bale_ID],0))="",0,INDEX(BaleMover[Miles],MATCH(SecondaryTransport[[#This Row],[Scenario_MRF_Bale_ID]],BaleMover[Scenario_MRF_Bale_ID],0)))</f>
        <v>15</v>
      </c>
      <c r="AN344" s="251">
        <f>IF(SecondaryTransport[[#This Row],[Bale_ID]]="9000-01","costs elsewhere",SecondaryTransport[[#This Row],[Total_Baled_tons]]*SecondaryTransport[[#This Row],[Miles]])</f>
        <v>16762.672579121834</v>
      </c>
      <c r="AO344" s="352" t="str">
        <f>IF(LEFT(SecondaryTransport[[#This Row],[Bale_ID]],1)*1=5,IF(OR(SecondaryTransport[[#This Row],[MRF_ID]]="02",SecondaryTransport[[#This Row],[MRF_ID]]="08"),2,1),"")</f>
        <v/>
      </c>
      <c r="AP3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4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44" s="224" t="str">
        <f>IFERROR(IF(1*LEFT(SecondaryTransport[[#This Row],[Bale_ID]],1)=5,SecondaryTransport[[#This Row],[Ton-Miles]]*SecondaryTransport[[#This Row],[Cost_Per_Ton-Mile]],""),"")</f>
        <v/>
      </c>
      <c r="AS344" s="224">
        <f>IFERROR(IF(SecondaryTransport[[#This Row],[Container_Transfer]]="",(SecondaryTransport[[#This Row],[Ton-Miles]]*SecondaryTransport[[#This Row],[Cost_Per_Ton-Mile]]),""),"")</f>
        <v>5196.4284995277685</v>
      </c>
    </row>
    <row r="345" spans="3:45" ht="15" x14ac:dyDescent="0.25">
      <c r="C345"/>
      <c r="D345"/>
      <c r="L345" s="446" t="s">
        <v>876</v>
      </c>
      <c r="M345" s="446">
        <v>3</v>
      </c>
      <c r="N345" s="446">
        <v>2</v>
      </c>
      <c r="O345" s="446" t="s">
        <v>748</v>
      </c>
      <c r="P345" s="449" t="s">
        <v>700</v>
      </c>
      <c r="Q345" s="449"/>
      <c r="R345" s="449"/>
      <c r="S345" s="449" t="s">
        <v>765</v>
      </c>
      <c r="T345" s="449" t="s">
        <v>701</v>
      </c>
      <c r="U345" s="452">
        <v>0</v>
      </c>
      <c r="V3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5" s="272" t="str">
        <f>IFERROR(SUMIFS(TransUnitCost[Miles],TransUnitCost[Grouping_ID],TransTonsShort[[#This Row],[Grouping_ID]],TransUnitCost[Transp_ID],TransTonsShort[[#This Row],[Transp_ID]])*TransTonsShort[[#This Row],[Trans_Tons_All]]/TransTonsShort[[#This Row],[Trans_Tons_All]],"")</f>
        <v/>
      </c>
      <c r="X345" s="386" t="str">
        <f>TransTonsShort[[#This Row],[Grouping_ID]]&amp;"-"&amp;TransTonsShort[[#This Row],[Sector_ID]]</f>
        <v>3-2</v>
      </c>
      <c r="Y3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5" s="421">
        <f>INDEX(LandfillFees[Disposal Tip Fee 2025],MATCH(TransTonsShort[[#This Row],[Grouping_ID]],LandfillFees[Grouping_ID],0))</f>
        <v>72.030938699729589</v>
      </c>
      <c r="AA345" s="102">
        <f>IF(OR(TransTonsShort[[#This Row],[CollectionStream_ID]]="03",TransTonsShort[[#This Row],[CollectionStream_ID]]="04",TransTonsShort[[#This Row],[CollectionStream_ID]]="13"),0,TransTonsShort[[#This Row],[Trans_Tons_All]]*TransTonsShort[[#This Row],[Disposal_Fee]])</f>
        <v>0</v>
      </c>
      <c r="AF345" s="446" t="s">
        <v>1518</v>
      </c>
      <c r="AG345" s="442" t="str">
        <f>LEFT(SecondaryTransport[[#This Row],[Scenario_MRF_Bale_ID]],2)</f>
        <v>S2</v>
      </c>
      <c r="AH345" s="181" t="str">
        <f>LEFT(RIGHT(SecondaryTransport[[#This Row],[Scenario_MRF_Bale_ID]],10),2)</f>
        <v>05</v>
      </c>
      <c r="AI345" s="181" t="str">
        <f>INDEX(MRFs[MRF_Name],MATCH(SecondaryTransport[[#This Row],[MRF_ID]],MRFs[MRF_ID],0))</f>
        <v>1 CRF (BC) or 1 infeed for transferred containers (Portland)</v>
      </c>
      <c r="AJ345" s="181" t="str">
        <f>RIGHT(SecondaryTransport[[#This Row],[Scenario_MRF_Bale_ID]],7)</f>
        <v>1000-08</v>
      </c>
      <c r="AK345" s="181" t="str">
        <f>INDEX(Bales[Bale_Name],MATCH(SecondaryTransport[[#This Row],[Bale_ID]],Bales[Bale_ID],0))</f>
        <v>Polycoated cups and containers</v>
      </c>
      <c r="AL345" s="443">
        <f>INDEX(BaleMover[Total_Baled_tons],MATCH(SecondaryTransport[[#This Row],[Scenario_MRF_Bale_ID]],BaleMover[Scenario_MRF_Bale_ID],0))</f>
        <v>0</v>
      </c>
      <c r="AM345" s="443">
        <f>IF(INDEX(BaleMover[Miles],MATCH(SecondaryTransport[[#This Row],[Scenario_MRF_Bale_ID]],BaleMover[Scenario_MRF_Bale_ID],0))="",0,INDEX(BaleMover[Miles],MATCH(SecondaryTransport[[#This Row],[Scenario_MRF_Bale_ID]],BaleMover[Scenario_MRF_Bale_ID],0)))</f>
        <v>0</v>
      </c>
      <c r="AN345" s="251">
        <f>IF(SecondaryTransport[[#This Row],[Bale_ID]]="9000-01","costs elsewhere",SecondaryTransport[[#This Row],[Total_Baled_tons]]*SecondaryTransport[[#This Row],[Miles]])</f>
        <v>0</v>
      </c>
      <c r="AO345" s="352" t="str">
        <f>IF(LEFT(SecondaryTransport[[#This Row],[Bale_ID]],1)*1=5,IF(OR(SecondaryTransport[[#This Row],[MRF_ID]]="02",SecondaryTransport[[#This Row],[MRF_ID]]="08"),2,1),"")</f>
        <v/>
      </c>
      <c r="AP3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45" s="224" t="str">
        <f>IFERROR(IF(1*LEFT(SecondaryTransport[[#This Row],[Bale_ID]],1)=5,SecondaryTransport[[#This Row],[Ton-Miles]]*SecondaryTransport[[#This Row],[Cost_Per_Ton-Mile]],""),"")</f>
        <v/>
      </c>
      <c r="AS345" s="224" t="str">
        <f>IFERROR(IF(SecondaryTransport[[#This Row],[Container_Transfer]]="",(SecondaryTransport[[#This Row],[Ton-Miles]]*SecondaryTransport[[#This Row],[Cost_Per_Ton-Mile]]),""),"")</f>
        <v/>
      </c>
    </row>
    <row r="346" spans="3:45" ht="15" x14ac:dyDescent="0.25">
      <c r="C346"/>
      <c r="D346"/>
      <c r="L346" s="446" t="s">
        <v>876</v>
      </c>
      <c r="M346" s="446">
        <v>4</v>
      </c>
      <c r="N346" s="446">
        <v>2</v>
      </c>
      <c r="O346" s="446" t="s">
        <v>748</v>
      </c>
      <c r="P346" s="449" t="s">
        <v>700</v>
      </c>
      <c r="Q346" s="449"/>
      <c r="R346" s="449"/>
      <c r="S346" s="449" t="s">
        <v>765</v>
      </c>
      <c r="T346" s="449" t="s">
        <v>701</v>
      </c>
      <c r="U346" s="452">
        <v>0</v>
      </c>
      <c r="V3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6" s="272" t="str">
        <f>IFERROR(SUMIFS(TransUnitCost[Miles],TransUnitCost[Grouping_ID],TransTonsShort[[#This Row],[Grouping_ID]],TransUnitCost[Transp_ID],TransTonsShort[[#This Row],[Transp_ID]])*TransTonsShort[[#This Row],[Trans_Tons_All]]/TransTonsShort[[#This Row],[Trans_Tons_All]],"")</f>
        <v/>
      </c>
      <c r="X346" s="386" t="str">
        <f>TransTonsShort[[#This Row],[Grouping_ID]]&amp;"-"&amp;TransTonsShort[[#This Row],[Sector_ID]]</f>
        <v>4-2</v>
      </c>
      <c r="Y3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6" s="421">
        <f>INDEX(LandfillFees[Disposal Tip Fee 2025],MATCH(TransTonsShort[[#This Row],[Grouping_ID]],LandfillFees[Grouping_ID],0))</f>
        <v>72.030938699729589</v>
      </c>
      <c r="AA346" s="102">
        <f>IF(OR(TransTonsShort[[#This Row],[CollectionStream_ID]]="03",TransTonsShort[[#This Row],[CollectionStream_ID]]="04",TransTonsShort[[#This Row],[CollectionStream_ID]]="13"),0,TransTonsShort[[#This Row],[Trans_Tons_All]]*TransTonsShort[[#This Row],[Disposal_Fee]])</f>
        <v>0</v>
      </c>
      <c r="AF346" s="446" t="s">
        <v>1519</v>
      </c>
      <c r="AG346" s="442" t="str">
        <f>LEFT(SecondaryTransport[[#This Row],[Scenario_MRF_Bale_ID]],2)</f>
        <v>S3</v>
      </c>
      <c r="AH346" s="181" t="str">
        <f>LEFT(RIGHT(SecondaryTransport[[#This Row],[Scenario_MRF_Bale_ID]],10),2)</f>
        <v>05</v>
      </c>
      <c r="AI346" s="181" t="str">
        <f>INDEX(MRFs[MRF_Name],MATCH(SecondaryTransport[[#This Row],[MRF_ID]],MRFs[MRF_ID],0))</f>
        <v>1 CRF (BC) or 1 infeed for transferred containers (Portland)</v>
      </c>
      <c r="AJ346" s="181" t="str">
        <f>RIGHT(SecondaryTransport[[#This Row],[Scenario_MRF_Bale_ID]],7)</f>
        <v>1000-08</v>
      </c>
      <c r="AK346" s="181" t="str">
        <f>INDEX(Bales[Bale_Name],MATCH(SecondaryTransport[[#This Row],[Bale_ID]],Bales[Bale_ID],0))</f>
        <v>Polycoated cups and containers</v>
      </c>
      <c r="AL346" s="443">
        <f>INDEX(BaleMover[Total_Baled_tons],MATCH(SecondaryTransport[[#This Row],[Scenario_MRF_Bale_ID]],BaleMover[Scenario_MRF_Bale_ID],0))</f>
        <v>0</v>
      </c>
      <c r="AM346" s="443">
        <f>IF(INDEX(BaleMover[Miles],MATCH(SecondaryTransport[[#This Row],[Scenario_MRF_Bale_ID]],BaleMover[Scenario_MRF_Bale_ID],0))="",0,INDEX(BaleMover[Miles],MATCH(SecondaryTransport[[#This Row],[Scenario_MRF_Bale_ID]],BaleMover[Scenario_MRF_Bale_ID],0)))</f>
        <v>0</v>
      </c>
      <c r="AN346" s="251">
        <f>IF(SecondaryTransport[[#This Row],[Bale_ID]]="9000-01","costs elsewhere",SecondaryTransport[[#This Row],[Total_Baled_tons]]*SecondaryTransport[[#This Row],[Miles]])</f>
        <v>0</v>
      </c>
      <c r="AO346" s="352" t="str">
        <f>IF(LEFT(SecondaryTransport[[#This Row],[Bale_ID]],1)*1=5,IF(OR(SecondaryTransport[[#This Row],[MRF_ID]]="02",SecondaryTransport[[#This Row],[MRF_ID]]="08"),2,1),"")</f>
        <v/>
      </c>
      <c r="AP3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4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46" s="224" t="str">
        <f>IFERROR(IF(1*LEFT(SecondaryTransport[[#This Row],[Bale_ID]],1)=5,SecondaryTransport[[#This Row],[Ton-Miles]]*SecondaryTransport[[#This Row],[Cost_Per_Ton-Mile]],""),"")</f>
        <v/>
      </c>
      <c r="AS346" s="224" t="str">
        <f>IFERROR(IF(SecondaryTransport[[#This Row],[Container_Transfer]]="",(SecondaryTransport[[#This Row],[Ton-Miles]]*SecondaryTransport[[#This Row],[Cost_Per_Ton-Mile]]),""),"")</f>
        <v/>
      </c>
    </row>
    <row r="347" spans="3:45" ht="15" x14ac:dyDescent="0.25">
      <c r="C347"/>
      <c r="D347"/>
      <c r="L347" s="446" t="s">
        <v>876</v>
      </c>
      <c r="M347" s="446">
        <v>1</v>
      </c>
      <c r="N347" s="446">
        <v>2</v>
      </c>
      <c r="O347" s="446" t="s">
        <v>748</v>
      </c>
      <c r="P347" s="449" t="s">
        <v>748</v>
      </c>
      <c r="Q347" s="449"/>
      <c r="R347" s="449"/>
      <c r="S347" s="449" t="s">
        <v>765</v>
      </c>
      <c r="T347" s="449" t="s">
        <v>849</v>
      </c>
      <c r="U347" s="452">
        <v>0</v>
      </c>
      <c r="V3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7" s="272" t="str">
        <f>IFERROR(SUMIFS(TransUnitCost[Miles],TransUnitCost[Grouping_ID],TransTonsShort[[#This Row],[Grouping_ID]],TransUnitCost[Transp_ID],TransTonsShort[[#This Row],[Transp_ID]])*TransTonsShort[[#This Row],[Trans_Tons_All]]/TransTonsShort[[#This Row],[Trans_Tons_All]],"")</f>
        <v/>
      </c>
      <c r="X347" s="386" t="str">
        <f>TransTonsShort[[#This Row],[Grouping_ID]]&amp;"-"&amp;TransTonsShort[[#This Row],[Sector_ID]]</f>
        <v>1-2</v>
      </c>
      <c r="Y3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7" s="421">
        <f>INDEX(LandfillFees[Disposal Tip Fee 2025],MATCH(TransTonsShort[[#This Row],[Grouping_ID]],LandfillFees[Grouping_ID],0))</f>
        <v>134.68</v>
      </c>
      <c r="AA347" s="102">
        <f>IF(OR(TransTonsShort[[#This Row],[CollectionStream_ID]]="03",TransTonsShort[[#This Row],[CollectionStream_ID]]="04",TransTonsShort[[#This Row],[CollectionStream_ID]]="13"),0,TransTonsShort[[#This Row],[Trans_Tons_All]]*TransTonsShort[[#This Row],[Disposal_Fee]])</f>
        <v>0</v>
      </c>
      <c r="AF347" s="446" t="s">
        <v>1520</v>
      </c>
      <c r="AG347" s="442" t="str">
        <f>LEFT(SecondaryTransport[[#This Row],[Scenario_MRF_Bale_ID]],2)</f>
        <v>S2</v>
      </c>
      <c r="AH347" s="181" t="str">
        <f>LEFT(RIGHT(SecondaryTransport[[#This Row],[Scenario_MRF_Bale_ID]],10),2)</f>
        <v>05</v>
      </c>
      <c r="AI347" s="181" t="str">
        <f>INDEX(MRFs[MRF_Name],MATCH(SecondaryTransport[[#This Row],[MRF_ID]],MRFs[MRF_ID],0))</f>
        <v>1 CRF (BC) or 1 infeed for transferred containers (Portland)</v>
      </c>
      <c r="AJ347" s="181" t="str">
        <f>RIGHT(SecondaryTransport[[#This Row],[Scenario_MRF_Bale_ID]],7)</f>
        <v>2000-01</v>
      </c>
      <c r="AK347" s="181" t="str">
        <f>INDEX(Bales[Bale_Name],MATCH(SecondaryTransport[[#This Row],[Bale_ID]],Bales[Bale_ID],0))</f>
        <v>PET #1 bottles and jars </v>
      </c>
      <c r="AL347" s="443">
        <f>INDEX(BaleMover[Total_Baled_tons],MATCH(SecondaryTransport[[#This Row],[Scenario_MRF_Bale_ID]],BaleMover[Scenario_MRF_Bale_ID],0))</f>
        <v>4474.2616910268334</v>
      </c>
      <c r="AM347" s="443">
        <f>IF(INDEX(BaleMover[Miles],MATCH(SecondaryTransport[[#This Row],[Scenario_MRF_Bale_ID]],BaleMover[Scenario_MRF_Bale_ID],0))="",0,INDEX(BaleMover[Miles],MATCH(SecondaryTransport[[#This Row],[Scenario_MRF_Bale_ID]],BaleMover[Scenario_MRF_Bale_ID],0)))</f>
        <v>670</v>
      </c>
      <c r="AN347" s="251">
        <f>IF(SecondaryTransport[[#This Row],[Bale_ID]]="9000-01","costs elsewhere",SecondaryTransport[[#This Row],[Total_Baled_tons]]*SecondaryTransport[[#This Row],[Miles]])</f>
        <v>2997755.3329879786</v>
      </c>
      <c r="AO347" s="352" t="str">
        <f>IF(LEFT(SecondaryTransport[[#This Row],[Bale_ID]],1)*1=5,IF(OR(SecondaryTransport[[#This Row],[MRF_ID]]="02",SecondaryTransport[[#This Row],[MRF_ID]]="08"),2,1),"")</f>
        <v/>
      </c>
      <c r="AP3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4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47" s="224" t="str">
        <f>IFERROR(IF(1*LEFT(SecondaryTransport[[#This Row],[Bale_ID]],1)=5,SecondaryTransport[[#This Row],[Ton-Miles]]*SecondaryTransport[[#This Row],[Cost_Per_Ton-Mile]],""),"")</f>
        <v/>
      </c>
      <c r="AS347" s="224">
        <f>IFERROR(IF(SecondaryTransport[[#This Row],[Container_Transfer]]="",(SecondaryTransport[[#This Row],[Ton-Miles]]*SecondaryTransport[[#This Row],[Cost_Per_Ton-Mile]]),""),"")</f>
        <v>419685.74661831703</v>
      </c>
    </row>
    <row r="348" spans="3:45" ht="15" x14ac:dyDescent="0.25">
      <c r="C348"/>
      <c r="D348"/>
      <c r="L348" s="446" t="s">
        <v>876</v>
      </c>
      <c r="M348" s="446">
        <v>2</v>
      </c>
      <c r="N348" s="446">
        <v>2</v>
      </c>
      <c r="O348" s="446" t="s">
        <v>748</v>
      </c>
      <c r="P348" s="449" t="s">
        <v>748</v>
      </c>
      <c r="Q348" s="449"/>
      <c r="R348" s="449"/>
      <c r="S348" s="449" t="s">
        <v>765</v>
      </c>
      <c r="T348" s="449" t="s">
        <v>849</v>
      </c>
      <c r="U348" s="452">
        <v>0</v>
      </c>
      <c r="V3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8" s="272" t="str">
        <f>IFERROR(SUMIFS(TransUnitCost[Miles],TransUnitCost[Grouping_ID],TransTonsShort[[#This Row],[Grouping_ID]],TransUnitCost[Transp_ID],TransTonsShort[[#This Row],[Transp_ID]])*TransTonsShort[[#This Row],[Trans_Tons_All]]/TransTonsShort[[#This Row],[Trans_Tons_All]],"")</f>
        <v/>
      </c>
      <c r="X348" s="386" t="str">
        <f>TransTonsShort[[#This Row],[Grouping_ID]]&amp;"-"&amp;TransTonsShort[[#This Row],[Sector_ID]]</f>
        <v>2-2</v>
      </c>
      <c r="Y3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8" s="421">
        <f>INDEX(LandfillFees[Disposal Tip Fee 2025],MATCH(TransTonsShort[[#This Row],[Grouping_ID]],LandfillFees[Grouping_ID],0))</f>
        <v>72.030938699729589</v>
      </c>
      <c r="AA348" s="102">
        <f>IF(OR(TransTonsShort[[#This Row],[CollectionStream_ID]]="03",TransTonsShort[[#This Row],[CollectionStream_ID]]="04",TransTonsShort[[#This Row],[CollectionStream_ID]]="13"),0,TransTonsShort[[#This Row],[Trans_Tons_All]]*TransTonsShort[[#This Row],[Disposal_Fee]])</f>
        <v>0</v>
      </c>
      <c r="AF348" s="446" t="s">
        <v>1521</v>
      </c>
      <c r="AG348" s="442" t="str">
        <f>LEFT(SecondaryTransport[[#This Row],[Scenario_MRF_Bale_ID]],2)</f>
        <v>S3</v>
      </c>
      <c r="AH348" s="181" t="str">
        <f>LEFT(RIGHT(SecondaryTransport[[#This Row],[Scenario_MRF_Bale_ID]],10),2)</f>
        <v>05</v>
      </c>
      <c r="AI348" s="181" t="str">
        <f>INDEX(MRFs[MRF_Name],MATCH(SecondaryTransport[[#This Row],[MRF_ID]],MRFs[MRF_ID],0))</f>
        <v>1 CRF (BC) or 1 infeed for transferred containers (Portland)</v>
      </c>
      <c r="AJ348" s="181" t="str">
        <f>RIGHT(SecondaryTransport[[#This Row],[Scenario_MRF_Bale_ID]],7)</f>
        <v>2000-01</v>
      </c>
      <c r="AK348" s="181" t="str">
        <f>INDEX(Bales[Bale_Name],MATCH(SecondaryTransport[[#This Row],[Bale_ID]],Bales[Bale_ID],0))</f>
        <v>PET #1 bottles and jars </v>
      </c>
      <c r="AL348" s="443">
        <f>INDEX(BaleMover[Total_Baled_tons],MATCH(SecondaryTransport[[#This Row],[Scenario_MRF_Bale_ID]],BaleMover[Scenario_MRF_Bale_ID],0))</f>
        <v>4520.4279762957931</v>
      </c>
      <c r="AM348" s="443">
        <f>IF(INDEX(BaleMover[Miles],MATCH(SecondaryTransport[[#This Row],[Scenario_MRF_Bale_ID]],BaleMover[Scenario_MRF_Bale_ID],0))="",0,INDEX(BaleMover[Miles],MATCH(SecondaryTransport[[#This Row],[Scenario_MRF_Bale_ID]],BaleMover[Scenario_MRF_Bale_ID],0)))</f>
        <v>595</v>
      </c>
      <c r="AN348" s="251">
        <f>IF(SecondaryTransport[[#This Row],[Bale_ID]]="9000-01","costs elsewhere",SecondaryTransport[[#This Row],[Total_Baled_tons]]*SecondaryTransport[[#This Row],[Miles]])</f>
        <v>2689654.6458959971</v>
      </c>
      <c r="AO348" s="352" t="str">
        <f>IF(LEFT(SecondaryTransport[[#This Row],[Bale_ID]],1)*1=5,IF(OR(SecondaryTransport[[#This Row],[MRF_ID]]="02",SecondaryTransport[[#This Row],[MRF_ID]]="08"),2,1),"")</f>
        <v/>
      </c>
      <c r="AP3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48" s="224" t="str">
        <f>IFERROR(IF(1*LEFT(SecondaryTransport[[#This Row],[Bale_ID]],1)=5,SecondaryTransport[[#This Row],[Ton-Miles]]*SecondaryTransport[[#This Row],[Cost_Per_Ton-Mile]],""),"")</f>
        <v/>
      </c>
      <c r="AS348" s="224">
        <f>IFERROR(IF(SecondaryTransport[[#This Row],[Container_Transfer]]="",(SecondaryTransport[[#This Row],[Ton-Miles]]*SecondaryTransport[[#This Row],[Cost_Per_Ton-Mile]]),""),"")</f>
        <v>376551.65042543964</v>
      </c>
    </row>
    <row r="349" spans="3:45" ht="15" x14ac:dyDescent="0.25">
      <c r="C349"/>
      <c r="D349"/>
      <c r="L349" s="446" t="s">
        <v>876</v>
      </c>
      <c r="M349" s="446">
        <v>3</v>
      </c>
      <c r="N349" s="446">
        <v>2</v>
      </c>
      <c r="O349" s="446" t="s">
        <v>748</v>
      </c>
      <c r="P349" s="449" t="s">
        <v>748</v>
      </c>
      <c r="Q349" s="449"/>
      <c r="R349" s="449"/>
      <c r="S349" s="449" t="s">
        <v>765</v>
      </c>
      <c r="T349" s="449" t="s">
        <v>849</v>
      </c>
      <c r="U349" s="452">
        <v>0</v>
      </c>
      <c r="V3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49" s="272" t="str">
        <f>IFERROR(SUMIFS(TransUnitCost[Miles],TransUnitCost[Grouping_ID],TransTonsShort[[#This Row],[Grouping_ID]],TransUnitCost[Transp_ID],TransTonsShort[[#This Row],[Transp_ID]])*TransTonsShort[[#This Row],[Trans_Tons_All]]/TransTonsShort[[#This Row],[Trans_Tons_All]],"")</f>
        <v/>
      </c>
      <c r="X349" s="386" t="str">
        <f>TransTonsShort[[#This Row],[Grouping_ID]]&amp;"-"&amp;TransTonsShort[[#This Row],[Sector_ID]]</f>
        <v>3-2</v>
      </c>
      <c r="Y3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49" s="421">
        <f>INDEX(LandfillFees[Disposal Tip Fee 2025],MATCH(TransTonsShort[[#This Row],[Grouping_ID]],LandfillFees[Grouping_ID],0))</f>
        <v>72.030938699729589</v>
      </c>
      <c r="AA349" s="102">
        <f>IF(OR(TransTonsShort[[#This Row],[CollectionStream_ID]]="03",TransTonsShort[[#This Row],[CollectionStream_ID]]="04",TransTonsShort[[#This Row],[CollectionStream_ID]]="13"),0,TransTonsShort[[#This Row],[Trans_Tons_All]]*TransTonsShort[[#This Row],[Disposal_Fee]])</f>
        <v>0</v>
      </c>
      <c r="AF349" s="446" t="s">
        <v>1522</v>
      </c>
      <c r="AG349" s="442" t="str">
        <f>LEFT(SecondaryTransport[[#This Row],[Scenario_MRF_Bale_ID]],2)</f>
        <v>S2</v>
      </c>
      <c r="AH349" s="181" t="str">
        <f>LEFT(RIGHT(SecondaryTransport[[#This Row],[Scenario_MRF_Bale_ID]],10),2)</f>
        <v>05</v>
      </c>
      <c r="AI349" s="181" t="str">
        <f>INDEX(MRFs[MRF_Name],MATCH(SecondaryTransport[[#This Row],[MRF_ID]],MRFs[MRF_ID],0))</f>
        <v>1 CRF (BC) or 1 infeed for transferred containers (Portland)</v>
      </c>
      <c r="AJ349" s="181" t="str">
        <f>RIGHT(SecondaryTransport[[#This Row],[Scenario_MRF_Bale_ID]],7)</f>
        <v>2000-02</v>
      </c>
      <c r="AK349" s="181" t="str">
        <f>INDEX(Bales[Bale_Name],MATCH(SecondaryTransport[[#This Row],[Bale_ID]],Bales[Bale_ID],0))</f>
        <v>PET #1 thermoforms and tubs</v>
      </c>
      <c r="AL349" s="443">
        <f>INDEX(BaleMover[Total_Baled_tons],MATCH(SecondaryTransport[[#This Row],[Scenario_MRF_Bale_ID]],BaleMover[Scenario_MRF_Bale_ID],0))</f>
        <v>1741.9832618694188</v>
      </c>
      <c r="AM349" s="443">
        <f>IF(INDEX(BaleMover[Miles],MATCH(SecondaryTransport[[#This Row],[Scenario_MRF_Bale_ID]],BaleMover[Scenario_MRF_Bale_ID],0))="",0,INDEX(BaleMover[Miles],MATCH(SecondaryTransport[[#This Row],[Scenario_MRF_Bale_ID]],BaleMover[Scenario_MRF_Bale_ID],0)))</f>
        <v>960</v>
      </c>
      <c r="AN349" s="251">
        <f>IF(SecondaryTransport[[#This Row],[Bale_ID]]="9000-01","costs elsewhere",SecondaryTransport[[#This Row],[Total_Baled_tons]]*SecondaryTransport[[#This Row],[Miles]])</f>
        <v>1672303.931394642</v>
      </c>
      <c r="AO349" s="352" t="str">
        <f>IF(LEFT(SecondaryTransport[[#This Row],[Bale_ID]],1)*1=5,IF(OR(SecondaryTransport[[#This Row],[MRF_ID]]="02",SecondaryTransport[[#This Row],[MRF_ID]]="08"),2,1),"")</f>
        <v/>
      </c>
      <c r="AP3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4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49" s="224" t="str">
        <f>IFERROR(IF(1*LEFT(SecondaryTransport[[#This Row],[Bale_ID]],1)=5,SecondaryTransport[[#This Row],[Ton-Miles]]*SecondaryTransport[[#This Row],[Cost_Per_Ton-Mile]],""),"")</f>
        <v/>
      </c>
      <c r="AS349" s="224">
        <f>IFERROR(IF(SecondaryTransport[[#This Row],[Container_Transfer]]="",(SecondaryTransport[[#This Row],[Ton-Miles]]*SecondaryTransport[[#This Row],[Cost_Per_Ton-Mile]]),""),"")</f>
        <v>234122.55039524991</v>
      </c>
    </row>
    <row r="350" spans="3:45" ht="15" x14ac:dyDescent="0.25">
      <c r="C350"/>
      <c r="D350"/>
      <c r="L350" s="446" t="s">
        <v>876</v>
      </c>
      <c r="M350" s="446">
        <v>4</v>
      </c>
      <c r="N350" s="446">
        <v>2</v>
      </c>
      <c r="O350" s="446" t="s">
        <v>748</v>
      </c>
      <c r="P350" s="449" t="s">
        <v>748</v>
      </c>
      <c r="Q350" s="449"/>
      <c r="R350" s="449"/>
      <c r="S350" s="449" t="s">
        <v>765</v>
      </c>
      <c r="T350" s="449" t="s">
        <v>849</v>
      </c>
      <c r="U350" s="452">
        <v>0</v>
      </c>
      <c r="V3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0" s="272" t="str">
        <f>IFERROR(SUMIFS(TransUnitCost[Miles],TransUnitCost[Grouping_ID],TransTonsShort[[#This Row],[Grouping_ID]],TransUnitCost[Transp_ID],TransTonsShort[[#This Row],[Transp_ID]])*TransTonsShort[[#This Row],[Trans_Tons_All]]/TransTonsShort[[#This Row],[Trans_Tons_All]],"")</f>
        <v/>
      </c>
      <c r="X350" s="386" t="str">
        <f>TransTonsShort[[#This Row],[Grouping_ID]]&amp;"-"&amp;TransTonsShort[[#This Row],[Sector_ID]]</f>
        <v>4-2</v>
      </c>
      <c r="Y3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0" s="421">
        <f>INDEX(LandfillFees[Disposal Tip Fee 2025],MATCH(TransTonsShort[[#This Row],[Grouping_ID]],LandfillFees[Grouping_ID],0))</f>
        <v>72.030938699729589</v>
      </c>
      <c r="AA350" s="102">
        <f>IF(OR(TransTonsShort[[#This Row],[CollectionStream_ID]]="03",TransTonsShort[[#This Row],[CollectionStream_ID]]="04",TransTonsShort[[#This Row],[CollectionStream_ID]]="13"),0,TransTonsShort[[#This Row],[Trans_Tons_All]]*TransTonsShort[[#This Row],[Disposal_Fee]])</f>
        <v>0</v>
      </c>
      <c r="AF350" s="446" t="s">
        <v>1523</v>
      </c>
      <c r="AG350" s="442" t="str">
        <f>LEFT(SecondaryTransport[[#This Row],[Scenario_MRF_Bale_ID]],2)</f>
        <v>S3</v>
      </c>
      <c r="AH350" s="181" t="str">
        <f>LEFT(RIGHT(SecondaryTransport[[#This Row],[Scenario_MRF_Bale_ID]],10),2)</f>
        <v>05</v>
      </c>
      <c r="AI350" s="181" t="str">
        <f>INDEX(MRFs[MRF_Name],MATCH(SecondaryTransport[[#This Row],[MRF_ID]],MRFs[MRF_ID],0))</f>
        <v>1 CRF (BC) or 1 infeed for transferred containers (Portland)</v>
      </c>
      <c r="AJ350" s="181" t="str">
        <f>RIGHT(SecondaryTransport[[#This Row],[Scenario_MRF_Bale_ID]],7)</f>
        <v>2000-02</v>
      </c>
      <c r="AK350" s="181" t="str">
        <f>INDEX(Bales[Bale_Name],MATCH(SecondaryTransport[[#This Row],[Bale_ID]],Bales[Bale_ID],0))</f>
        <v>PET #1 thermoforms and tubs</v>
      </c>
      <c r="AL350" s="443">
        <f>INDEX(BaleMover[Total_Baled_tons],MATCH(SecondaryTransport[[#This Row],[Scenario_MRF_Bale_ID]],BaleMover[Scenario_MRF_Bale_ID],0))</f>
        <v>1748.5167785183635</v>
      </c>
      <c r="AM350" s="443">
        <f>IF(INDEX(BaleMover[Miles],MATCH(SecondaryTransport[[#This Row],[Scenario_MRF_Bale_ID]],BaleMover[Scenario_MRF_Bale_ID],0))="",0,INDEX(BaleMover[Miles],MATCH(SecondaryTransport[[#This Row],[Scenario_MRF_Bale_ID]],BaleMover[Scenario_MRF_Bale_ID],0)))</f>
        <v>595</v>
      </c>
      <c r="AN350" s="251">
        <f>IF(SecondaryTransport[[#This Row],[Bale_ID]]="9000-01","costs elsewhere",SecondaryTransport[[#This Row],[Total_Baled_tons]]*SecondaryTransport[[#This Row],[Miles]])</f>
        <v>1040367.4832184262</v>
      </c>
      <c r="AO350" s="352" t="str">
        <f>IF(LEFT(SecondaryTransport[[#This Row],[Bale_ID]],1)*1=5,IF(OR(SecondaryTransport[[#This Row],[MRF_ID]]="02",SecondaryTransport[[#This Row],[MRF_ID]]="08"),2,1),"")</f>
        <v/>
      </c>
      <c r="AP3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5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50" s="224" t="str">
        <f>IFERROR(IF(1*LEFT(SecondaryTransport[[#This Row],[Bale_ID]],1)=5,SecondaryTransport[[#This Row],[Ton-Miles]]*SecondaryTransport[[#This Row],[Cost_Per_Ton-Mile]],""),"")</f>
        <v/>
      </c>
      <c r="AS350" s="224">
        <f>IFERROR(IF(SecondaryTransport[[#This Row],[Container_Transfer]]="",(SecondaryTransport[[#This Row],[Ton-Miles]]*SecondaryTransport[[#This Row],[Cost_Per_Ton-Mile]]),""),"")</f>
        <v>145651.44765057968</v>
      </c>
    </row>
    <row r="351" spans="3:45" ht="15" x14ac:dyDescent="0.25">
      <c r="C351"/>
      <c r="D351"/>
      <c r="L351" s="446" t="s">
        <v>876</v>
      </c>
      <c r="M351" s="446">
        <v>1</v>
      </c>
      <c r="N351" s="446">
        <v>2</v>
      </c>
      <c r="O351" s="446" t="s">
        <v>746</v>
      </c>
      <c r="P351" s="449" t="s">
        <v>719</v>
      </c>
      <c r="Q351" s="449"/>
      <c r="R351" s="449"/>
      <c r="S351" s="449" t="s">
        <v>762</v>
      </c>
      <c r="T351" s="449" t="s">
        <v>1055</v>
      </c>
      <c r="U351" s="452">
        <v>0</v>
      </c>
      <c r="V3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1" s="272" t="str">
        <f>IFERROR(SUMIFS(TransUnitCost[Miles],TransUnitCost[Grouping_ID],TransTonsShort[[#This Row],[Grouping_ID]],TransUnitCost[Transp_ID],TransTonsShort[[#This Row],[Transp_ID]])*TransTonsShort[[#This Row],[Trans_Tons_All]]/TransTonsShort[[#This Row],[Trans_Tons_All]],"")</f>
        <v/>
      </c>
      <c r="X351" s="386" t="str">
        <f>TransTonsShort[[#This Row],[Grouping_ID]]&amp;"-"&amp;TransTonsShort[[#This Row],[Sector_ID]]</f>
        <v>1-2</v>
      </c>
      <c r="Y3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1" s="421">
        <f>INDEX(LandfillFees[Disposal Tip Fee 2025],MATCH(TransTonsShort[[#This Row],[Grouping_ID]],LandfillFees[Grouping_ID],0))</f>
        <v>134.68</v>
      </c>
      <c r="AA351" s="102">
        <f>IF(OR(TransTonsShort[[#This Row],[CollectionStream_ID]]="03",TransTonsShort[[#This Row],[CollectionStream_ID]]="04",TransTonsShort[[#This Row],[CollectionStream_ID]]="13"),0,TransTonsShort[[#This Row],[Trans_Tons_All]]*TransTonsShort[[#This Row],[Disposal_Fee]])</f>
        <v>0</v>
      </c>
      <c r="AF351" s="446" t="s">
        <v>1524</v>
      </c>
      <c r="AG351" s="442" t="str">
        <f>LEFT(SecondaryTransport[[#This Row],[Scenario_MRF_Bale_ID]],2)</f>
        <v>S2</v>
      </c>
      <c r="AH351" s="181" t="str">
        <f>LEFT(RIGHT(SecondaryTransport[[#This Row],[Scenario_MRF_Bale_ID]],10),2)</f>
        <v>05</v>
      </c>
      <c r="AI351" s="181" t="str">
        <f>INDEX(MRFs[MRF_Name],MATCH(SecondaryTransport[[#This Row],[MRF_ID]],MRFs[MRF_ID],0))</f>
        <v>1 CRF (BC) or 1 infeed for transferred containers (Portland)</v>
      </c>
      <c r="AJ351" s="181" t="str">
        <f>RIGHT(SecondaryTransport[[#This Row],[Scenario_MRF_Bale_ID]],7)</f>
        <v>2000-03</v>
      </c>
      <c r="AK351" s="181" t="str">
        <f>INDEX(Bales[Bale_Name],MATCH(SecondaryTransport[[#This Row],[Bale_ID]],Bales[Bale_ID],0))</f>
        <v>HDPE #2 natural bottles </v>
      </c>
      <c r="AL351" s="443">
        <f>INDEX(BaleMover[Total_Baled_tons],MATCH(SecondaryTransport[[#This Row],[Scenario_MRF_Bale_ID]],BaleMover[Scenario_MRF_Bale_ID],0))</f>
        <v>1390.458770008687</v>
      </c>
      <c r="AM351" s="443">
        <f>IF(INDEX(BaleMover[Miles],MATCH(SecondaryTransport[[#This Row],[Scenario_MRF_Bale_ID]],BaleMover[Scenario_MRF_Bale_ID],0))="",0,INDEX(BaleMover[Miles],MATCH(SecondaryTransport[[#This Row],[Scenario_MRF_Bale_ID]],BaleMover[Scenario_MRF_Bale_ID],0)))</f>
        <v>315</v>
      </c>
      <c r="AN351" s="251">
        <f>IF(SecondaryTransport[[#This Row],[Bale_ID]]="9000-01","costs elsewhere",SecondaryTransport[[#This Row],[Total_Baled_tons]]*SecondaryTransport[[#This Row],[Miles]])</f>
        <v>437994.51255273639</v>
      </c>
      <c r="AO351" s="352" t="str">
        <f>IF(LEFT(SecondaryTransport[[#This Row],[Bale_ID]],1)*1=5,IF(OR(SecondaryTransport[[#This Row],[MRF_ID]]="02",SecondaryTransport[[#This Row],[MRF_ID]]="08"),2,1),"")</f>
        <v/>
      </c>
      <c r="AP3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5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51" s="224" t="str">
        <f>IFERROR(IF(1*LEFT(SecondaryTransport[[#This Row],[Bale_ID]],1)=5,SecondaryTransport[[#This Row],[Ton-Miles]]*SecondaryTransport[[#This Row],[Cost_Per_Ton-Mile]],""),"")</f>
        <v/>
      </c>
      <c r="AS351" s="224">
        <f>IFERROR(IF(SecondaryTransport[[#This Row],[Container_Transfer]]="",(SecondaryTransport[[#This Row],[Ton-Miles]]*SecondaryTransport[[#This Row],[Cost_Per_Ton-Mile]]),""),"")</f>
        <v>61319.231757383102</v>
      </c>
    </row>
    <row r="352" spans="3:45" ht="15" x14ac:dyDescent="0.25">
      <c r="C352"/>
      <c r="D352"/>
      <c r="L352" s="446" t="s">
        <v>876</v>
      </c>
      <c r="M352" s="446">
        <v>2</v>
      </c>
      <c r="N352" s="446">
        <v>2</v>
      </c>
      <c r="O352" s="446" t="s">
        <v>746</v>
      </c>
      <c r="P352" s="449" t="s">
        <v>719</v>
      </c>
      <c r="Q352" s="449"/>
      <c r="R352" s="449"/>
      <c r="S352" s="449" t="s">
        <v>762</v>
      </c>
      <c r="T352" s="449" t="s">
        <v>1055</v>
      </c>
      <c r="U352" s="452">
        <v>0</v>
      </c>
      <c r="V3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2" s="272" t="str">
        <f>IFERROR(SUMIFS(TransUnitCost[Miles],TransUnitCost[Grouping_ID],TransTonsShort[[#This Row],[Grouping_ID]],TransUnitCost[Transp_ID],TransTonsShort[[#This Row],[Transp_ID]])*TransTonsShort[[#This Row],[Trans_Tons_All]]/TransTonsShort[[#This Row],[Trans_Tons_All]],"")</f>
        <v/>
      </c>
      <c r="X352" s="386" t="str">
        <f>TransTonsShort[[#This Row],[Grouping_ID]]&amp;"-"&amp;TransTonsShort[[#This Row],[Sector_ID]]</f>
        <v>2-2</v>
      </c>
      <c r="Y3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2" s="421">
        <f>INDEX(LandfillFees[Disposal Tip Fee 2025],MATCH(TransTonsShort[[#This Row],[Grouping_ID]],LandfillFees[Grouping_ID],0))</f>
        <v>72.030938699729589</v>
      </c>
      <c r="AA352" s="102">
        <f>IF(OR(TransTonsShort[[#This Row],[CollectionStream_ID]]="03",TransTonsShort[[#This Row],[CollectionStream_ID]]="04",TransTonsShort[[#This Row],[CollectionStream_ID]]="13"),0,TransTonsShort[[#This Row],[Trans_Tons_All]]*TransTonsShort[[#This Row],[Disposal_Fee]])</f>
        <v>0</v>
      </c>
      <c r="AF352" s="446" t="s">
        <v>1525</v>
      </c>
      <c r="AG352" s="442" t="str">
        <f>LEFT(SecondaryTransport[[#This Row],[Scenario_MRF_Bale_ID]],2)</f>
        <v>S3</v>
      </c>
      <c r="AH352" s="181" t="str">
        <f>LEFT(RIGHT(SecondaryTransport[[#This Row],[Scenario_MRF_Bale_ID]],10),2)</f>
        <v>05</v>
      </c>
      <c r="AI352" s="181" t="str">
        <f>INDEX(MRFs[MRF_Name],MATCH(SecondaryTransport[[#This Row],[MRF_ID]],MRFs[MRF_ID],0))</f>
        <v>1 CRF (BC) or 1 infeed for transferred containers (Portland)</v>
      </c>
      <c r="AJ352" s="181" t="str">
        <f>RIGHT(SecondaryTransport[[#This Row],[Scenario_MRF_Bale_ID]],7)</f>
        <v>2000-03</v>
      </c>
      <c r="AK352" s="181" t="str">
        <f>INDEX(Bales[Bale_Name],MATCH(SecondaryTransport[[#This Row],[Bale_ID]],Bales[Bale_ID],0))</f>
        <v>HDPE #2 natural bottles </v>
      </c>
      <c r="AL352" s="443">
        <f>INDEX(BaleMover[Total_Baled_tons],MATCH(SecondaryTransport[[#This Row],[Scenario_MRF_Bale_ID]],BaleMover[Scenario_MRF_Bale_ID],0))</f>
        <v>1381.3527162667228</v>
      </c>
      <c r="AM352" s="443">
        <f>IF(INDEX(BaleMover[Miles],MATCH(SecondaryTransport[[#This Row],[Scenario_MRF_Bale_ID]],BaleMover[Scenario_MRF_Bale_ID],0))="",0,INDEX(BaleMover[Miles],MATCH(SecondaryTransport[[#This Row],[Scenario_MRF_Bale_ID]],BaleMover[Scenario_MRF_Bale_ID],0)))</f>
        <v>5</v>
      </c>
      <c r="AN352" s="251">
        <f>IF(SecondaryTransport[[#This Row],[Bale_ID]]="9000-01","costs elsewhere",SecondaryTransport[[#This Row],[Total_Baled_tons]]*SecondaryTransport[[#This Row],[Miles]])</f>
        <v>6906.7635813336146</v>
      </c>
      <c r="AO352" s="352" t="str">
        <f>IF(LEFT(SecondaryTransport[[#This Row],[Bale_ID]],1)*1=5,IF(OR(SecondaryTransport[[#This Row],[MRF_ID]]="02",SecondaryTransport[[#This Row],[MRF_ID]]="08"),2,1),"")</f>
        <v/>
      </c>
      <c r="AP3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5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52" s="224" t="str">
        <f>IFERROR(IF(1*LEFT(SecondaryTransport[[#This Row],[Bale_ID]],1)=5,SecondaryTransport[[#This Row],[Ton-Miles]]*SecondaryTransport[[#This Row],[Cost_Per_Ton-Mile]],""),"")</f>
        <v/>
      </c>
      <c r="AS352" s="224">
        <f>IFERROR(IF(SecondaryTransport[[#This Row],[Container_Transfer]]="",(SecondaryTransport[[#This Row],[Ton-Miles]]*SecondaryTransport[[#This Row],[Cost_Per_Ton-Mile]]),""),"")</f>
        <v>2141.0967102134205</v>
      </c>
    </row>
    <row r="353" spans="3:45" ht="15" x14ac:dyDescent="0.25">
      <c r="C353"/>
      <c r="D353"/>
      <c r="L353" s="446" t="s">
        <v>876</v>
      </c>
      <c r="M353" s="446">
        <v>3</v>
      </c>
      <c r="N353" s="446">
        <v>2</v>
      </c>
      <c r="O353" s="446" t="s">
        <v>746</v>
      </c>
      <c r="P353" s="449" t="s">
        <v>719</v>
      </c>
      <c r="Q353" s="449"/>
      <c r="R353" s="449"/>
      <c r="S353" s="449" t="s">
        <v>762</v>
      </c>
      <c r="T353" s="449" t="s">
        <v>1055</v>
      </c>
      <c r="U353" s="452">
        <v>0</v>
      </c>
      <c r="V3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3" s="272" t="str">
        <f>IFERROR(SUMIFS(TransUnitCost[Miles],TransUnitCost[Grouping_ID],TransTonsShort[[#This Row],[Grouping_ID]],TransUnitCost[Transp_ID],TransTonsShort[[#This Row],[Transp_ID]])*TransTonsShort[[#This Row],[Trans_Tons_All]]/TransTonsShort[[#This Row],[Trans_Tons_All]],"")</f>
        <v/>
      </c>
      <c r="X353" s="386" t="str">
        <f>TransTonsShort[[#This Row],[Grouping_ID]]&amp;"-"&amp;TransTonsShort[[#This Row],[Sector_ID]]</f>
        <v>3-2</v>
      </c>
      <c r="Y3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3" s="421">
        <f>INDEX(LandfillFees[Disposal Tip Fee 2025],MATCH(TransTonsShort[[#This Row],[Grouping_ID]],LandfillFees[Grouping_ID],0))</f>
        <v>72.030938699729589</v>
      </c>
      <c r="AA353" s="102">
        <f>IF(OR(TransTonsShort[[#This Row],[CollectionStream_ID]]="03",TransTonsShort[[#This Row],[CollectionStream_ID]]="04",TransTonsShort[[#This Row],[CollectionStream_ID]]="13"),0,TransTonsShort[[#This Row],[Trans_Tons_All]]*TransTonsShort[[#This Row],[Disposal_Fee]])</f>
        <v>0</v>
      </c>
      <c r="AF353" s="446" t="s">
        <v>1526</v>
      </c>
      <c r="AG353" s="442" t="str">
        <f>LEFT(SecondaryTransport[[#This Row],[Scenario_MRF_Bale_ID]],2)</f>
        <v>S2</v>
      </c>
      <c r="AH353" s="181" t="str">
        <f>LEFT(RIGHT(SecondaryTransport[[#This Row],[Scenario_MRF_Bale_ID]],10),2)</f>
        <v>05</v>
      </c>
      <c r="AI353" s="181" t="str">
        <f>INDEX(MRFs[MRF_Name],MATCH(SecondaryTransport[[#This Row],[MRF_ID]],MRFs[MRF_ID],0))</f>
        <v>1 CRF (BC) or 1 infeed for transferred containers (Portland)</v>
      </c>
      <c r="AJ353" s="181" t="str">
        <f>RIGHT(SecondaryTransport[[#This Row],[Scenario_MRF_Bale_ID]],7)</f>
        <v>2000-04</v>
      </c>
      <c r="AK353" s="181" t="str">
        <f>INDEX(Bales[Bale_Name],MATCH(SecondaryTransport[[#This Row],[Bale_ID]],Bales[Bale_ID],0))</f>
        <v>HDPE #2 colored bottles </v>
      </c>
      <c r="AL353" s="443">
        <f>INDEX(BaleMover[Total_Baled_tons],MATCH(SecondaryTransport[[#This Row],[Scenario_MRF_Bale_ID]],BaleMover[Scenario_MRF_Bale_ID],0))</f>
        <v>1911.8808087619443</v>
      </c>
      <c r="AM353" s="443">
        <f>IF(INDEX(BaleMover[Miles],MATCH(SecondaryTransport[[#This Row],[Scenario_MRF_Bale_ID]],BaleMover[Scenario_MRF_Bale_ID],0))="",0,INDEX(BaleMover[Miles],MATCH(SecondaryTransport[[#This Row],[Scenario_MRF_Bale_ID]],BaleMover[Scenario_MRF_Bale_ID],0)))</f>
        <v>315</v>
      </c>
      <c r="AN353" s="251">
        <f>IF(SecondaryTransport[[#This Row],[Bale_ID]]="9000-01","costs elsewhere",SecondaryTransport[[#This Row],[Total_Baled_tons]]*SecondaryTransport[[#This Row],[Miles]])</f>
        <v>602242.45476001245</v>
      </c>
      <c r="AO353" s="352" t="str">
        <f>IF(LEFT(SecondaryTransport[[#This Row],[Bale_ID]],1)*1=5,IF(OR(SecondaryTransport[[#This Row],[MRF_ID]]="02",SecondaryTransport[[#This Row],[MRF_ID]]="08"),2,1),"")</f>
        <v/>
      </c>
      <c r="AP3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5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53" s="224" t="str">
        <f>IFERROR(IF(1*LEFT(SecondaryTransport[[#This Row],[Bale_ID]],1)=5,SecondaryTransport[[#This Row],[Ton-Miles]]*SecondaryTransport[[#This Row],[Cost_Per_Ton-Mile]],""),"")</f>
        <v/>
      </c>
      <c r="AS353" s="224">
        <f>IFERROR(IF(SecondaryTransport[[#This Row],[Container_Transfer]]="",(SecondaryTransport[[#This Row],[Ton-Miles]]*SecondaryTransport[[#This Row],[Cost_Per_Ton-Mile]]),""),"")</f>
        <v>84313.943666401756</v>
      </c>
    </row>
    <row r="354" spans="3:45" ht="15" x14ac:dyDescent="0.25">
      <c r="C354"/>
      <c r="D354"/>
      <c r="L354" s="446" t="s">
        <v>876</v>
      </c>
      <c r="M354" s="446">
        <v>4</v>
      </c>
      <c r="N354" s="446">
        <v>2</v>
      </c>
      <c r="O354" s="446" t="s">
        <v>746</v>
      </c>
      <c r="P354" s="449" t="s">
        <v>719</v>
      </c>
      <c r="Q354" s="449"/>
      <c r="R354" s="449"/>
      <c r="S354" s="449" t="s">
        <v>762</v>
      </c>
      <c r="T354" s="449" t="s">
        <v>1055</v>
      </c>
      <c r="U354" s="452">
        <v>0</v>
      </c>
      <c r="V3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4" s="272" t="str">
        <f>IFERROR(SUMIFS(TransUnitCost[Miles],TransUnitCost[Grouping_ID],TransTonsShort[[#This Row],[Grouping_ID]],TransUnitCost[Transp_ID],TransTonsShort[[#This Row],[Transp_ID]])*TransTonsShort[[#This Row],[Trans_Tons_All]]/TransTonsShort[[#This Row],[Trans_Tons_All]],"")</f>
        <v/>
      </c>
      <c r="X354" s="386" t="str">
        <f>TransTonsShort[[#This Row],[Grouping_ID]]&amp;"-"&amp;TransTonsShort[[#This Row],[Sector_ID]]</f>
        <v>4-2</v>
      </c>
      <c r="Y3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4" s="421">
        <f>INDEX(LandfillFees[Disposal Tip Fee 2025],MATCH(TransTonsShort[[#This Row],[Grouping_ID]],LandfillFees[Grouping_ID],0))</f>
        <v>72.030938699729589</v>
      </c>
      <c r="AA354" s="102">
        <f>IF(OR(TransTonsShort[[#This Row],[CollectionStream_ID]]="03",TransTonsShort[[#This Row],[CollectionStream_ID]]="04",TransTonsShort[[#This Row],[CollectionStream_ID]]="13"),0,TransTonsShort[[#This Row],[Trans_Tons_All]]*TransTonsShort[[#This Row],[Disposal_Fee]])</f>
        <v>0</v>
      </c>
      <c r="AF354" s="446" t="s">
        <v>1527</v>
      </c>
      <c r="AG354" s="442" t="str">
        <f>LEFT(SecondaryTransport[[#This Row],[Scenario_MRF_Bale_ID]],2)</f>
        <v>S3</v>
      </c>
      <c r="AH354" s="181" t="str">
        <f>LEFT(RIGHT(SecondaryTransport[[#This Row],[Scenario_MRF_Bale_ID]],10),2)</f>
        <v>05</v>
      </c>
      <c r="AI354" s="181" t="str">
        <f>INDEX(MRFs[MRF_Name],MATCH(SecondaryTransport[[#This Row],[MRF_ID]],MRFs[MRF_ID],0))</f>
        <v>1 CRF (BC) or 1 infeed for transferred containers (Portland)</v>
      </c>
      <c r="AJ354" s="181" t="str">
        <f>RIGHT(SecondaryTransport[[#This Row],[Scenario_MRF_Bale_ID]],7)</f>
        <v>2000-04</v>
      </c>
      <c r="AK354" s="181" t="str">
        <f>INDEX(Bales[Bale_Name],MATCH(SecondaryTransport[[#This Row],[Bale_ID]],Bales[Bale_ID],0))</f>
        <v>HDPE #2 colored bottles </v>
      </c>
      <c r="AL354" s="443">
        <f>INDEX(BaleMover[Total_Baled_tons],MATCH(SecondaryTransport[[#This Row],[Scenario_MRF_Bale_ID]],BaleMover[Scenario_MRF_Bale_ID],0))</f>
        <v>1899.3599848667441</v>
      </c>
      <c r="AM354" s="443">
        <f>IF(INDEX(BaleMover[Miles],MATCH(SecondaryTransport[[#This Row],[Scenario_MRF_Bale_ID]],BaleMover[Scenario_MRF_Bale_ID],0))="",0,INDEX(BaleMover[Miles],MATCH(SecondaryTransport[[#This Row],[Scenario_MRF_Bale_ID]],BaleMover[Scenario_MRF_Bale_ID],0)))</f>
        <v>5</v>
      </c>
      <c r="AN354" s="251">
        <f>IF(SecondaryTransport[[#This Row],[Bale_ID]]="9000-01","costs elsewhere",SecondaryTransport[[#This Row],[Total_Baled_tons]]*SecondaryTransport[[#This Row],[Miles]])</f>
        <v>9496.7999243337199</v>
      </c>
      <c r="AO354" s="352" t="str">
        <f>IF(LEFT(SecondaryTransport[[#This Row],[Bale_ID]],1)*1=5,IF(OR(SecondaryTransport[[#This Row],[MRF_ID]]="02",SecondaryTransport[[#This Row],[MRF_ID]]="08"),2,1),"")</f>
        <v/>
      </c>
      <c r="AP3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5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54" s="224" t="str">
        <f>IFERROR(IF(1*LEFT(SecondaryTransport[[#This Row],[Bale_ID]],1)=5,SecondaryTransport[[#This Row],[Ton-Miles]]*SecondaryTransport[[#This Row],[Cost_Per_Ton-Mile]],""),"")</f>
        <v/>
      </c>
      <c r="AS354" s="224">
        <f>IFERROR(IF(SecondaryTransport[[#This Row],[Container_Transfer]]="",(SecondaryTransport[[#This Row],[Ton-Miles]]*SecondaryTransport[[#This Row],[Cost_Per_Ton-Mile]]),""),"")</f>
        <v>2944.007976543453</v>
      </c>
    </row>
    <row r="355" spans="3:45" ht="15" x14ac:dyDescent="0.25">
      <c r="C355"/>
      <c r="D355"/>
      <c r="L355" s="446" t="s">
        <v>876</v>
      </c>
      <c r="M355" s="446">
        <v>1</v>
      </c>
      <c r="N355" s="446">
        <v>2</v>
      </c>
      <c r="O355" s="446" t="s">
        <v>746</v>
      </c>
      <c r="P355" s="450" t="s">
        <v>700</v>
      </c>
      <c r="Q355" s="450"/>
      <c r="R355" s="450"/>
      <c r="S355" s="449" t="s">
        <v>762</v>
      </c>
      <c r="T355" s="449" t="s">
        <v>701</v>
      </c>
      <c r="U355" s="452">
        <v>0</v>
      </c>
      <c r="V3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5" s="272" t="str">
        <f>IFERROR(SUMIFS(TransUnitCost[Miles],TransUnitCost[Grouping_ID],TransTonsShort[[#This Row],[Grouping_ID]],TransUnitCost[Transp_ID],TransTonsShort[[#This Row],[Transp_ID]])*TransTonsShort[[#This Row],[Trans_Tons_All]]/TransTonsShort[[#This Row],[Trans_Tons_All]],"")</f>
        <v/>
      </c>
      <c r="X355" s="386" t="str">
        <f>TransTonsShort[[#This Row],[Grouping_ID]]&amp;"-"&amp;TransTonsShort[[#This Row],[Sector_ID]]</f>
        <v>1-2</v>
      </c>
      <c r="Y3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5" s="421">
        <f>INDEX(LandfillFees[Disposal Tip Fee 2025],MATCH(TransTonsShort[[#This Row],[Grouping_ID]],LandfillFees[Grouping_ID],0))</f>
        <v>134.68</v>
      </c>
      <c r="AA355" s="102">
        <f>IF(OR(TransTonsShort[[#This Row],[CollectionStream_ID]]="03",TransTonsShort[[#This Row],[CollectionStream_ID]]="04",TransTonsShort[[#This Row],[CollectionStream_ID]]="13"),0,TransTonsShort[[#This Row],[Trans_Tons_All]]*TransTonsShort[[#This Row],[Disposal_Fee]])</f>
        <v>0</v>
      </c>
      <c r="AF355" s="446" t="s">
        <v>1528</v>
      </c>
      <c r="AG355" s="442" t="str">
        <f>LEFT(SecondaryTransport[[#This Row],[Scenario_MRF_Bale_ID]],2)</f>
        <v>S2</v>
      </c>
      <c r="AH355" s="181" t="str">
        <f>LEFT(RIGHT(SecondaryTransport[[#This Row],[Scenario_MRF_Bale_ID]],10),2)</f>
        <v>05</v>
      </c>
      <c r="AI355" s="181" t="str">
        <f>INDEX(MRFs[MRF_Name],MATCH(SecondaryTransport[[#This Row],[MRF_ID]],MRFs[MRF_ID],0))</f>
        <v>1 CRF (BC) or 1 infeed for transferred containers (Portland)</v>
      </c>
      <c r="AJ355" s="181" t="str">
        <f>RIGHT(SecondaryTransport[[#This Row],[Scenario_MRF_Bale_ID]],7)</f>
        <v>2000-05</v>
      </c>
      <c r="AK355" s="181" t="str">
        <f>INDEX(Bales[Bale_Name],MATCH(SecondaryTransport[[#This Row],[Bale_ID]],Bales[Bale_ID],0))</f>
        <v>HDPE #2 and PP #5 tubs </v>
      </c>
      <c r="AL355" s="443">
        <f>INDEX(BaleMover[Total_Baled_tons],MATCH(SecondaryTransport[[#This Row],[Scenario_MRF_Bale_ID]],BaleMover[Scenario_MRF_Bale_ID],0))</f>
        <v>951.14774460892829</v>
      </c>
      <c r="AM355" s="443">
        <f>IF(INDEX(BaleMover[Miles],MATCH(SecondaryTransport[[#This Row],[Scenario_MRF_Bale_ID]],BaleMover[Scenario_MRF_Bale_ID],0))="",0,INDEX(BaleMover[Miles],MATCH(SecondaryTransport[[#This Row],[Scenario_MRF_Bale_ID]],BaleMover[Scenario_MRF_Bale_ID],0)))</f>
        <v>20</v>
      </c>
      <c r="AN355" s="251">
        <f>IF(SecondaryTransport[[#This Row],[Bale_ID]]="9000-01","costs elsewhere",SecondaryTransport[[#This Row],[Total_Baled_tons]]*SecondaryTransport[[#This Row],[Miles]])</f>
        <v>19022.954892178564</v>
      </c>
      <c r="AO355" s="352" t="str">
        <f>IF(LEFT(SecondaryTransport[[#This Row],[Bale_ID]],1)*1=5,IF(OR(SecondaryTransport[[#This Row],[MRF_ID]]="02",SecondaryTransport[[#This Row],[MRF_ID]]="08"),2,1),"")</f>
        <v/>
      </c>
      <c r="AP3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5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55" s="224" t="str">
        <f>IFERROR(IF(1*LEFT(SecondaryTransport[[#This Row],[Bale_ID]],1)=5,SecondaryTransport[[#This Row],[Ton-Miles]]*SecondaryTransport[[#This Row],[Cost_Per_Ton-Mile]],""),"")</f>
        <v/>
      </c>
      <c r="AS355" s="224">
        <f>IFERROR(IF(SecondaryTransport[[#This Row],[Container_Transfer]]="",(SecondaryTransport[[#This Row],[Ton-Miles]]*SecondaryTransport[[#This Row],[Cost_Per_Ton-Mile]]),""),"")</f>
        <v>5897.1160165753554</v>
      </c>
    </row>
    <row r="356" spans="3:45" ht="15" x14ac:dyDescent="0.25">
      <c r="C356"/>
      <c r="D356"/>
      <c r="L356" s="446" t="s">
        <v>876</v>
      </c>
      <c r="M356" s="446">
        <v>2</v>
      </c>
      <c r="N356" s="446">
        <v>2</v>
      </c>
      <c r="O356" s="446" t="s">
        <v>746</v>
      </c>
      <c r="P356" s="450" t="s">
        <v>700</v>
      </c>
      <c r="Q356" s="450"/>
      <c r="R356" s="450"/>
      <c r="S356" s="449" t="s">
        <v>762</v>
      </c>
      <c r="T356" s="449" t="s">
        <v>701</v>
      </c>
      <c r="U356" s="452">
        <v>0</v>
      </c>
      <c r="V3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6" s="272" t="str">
        <f>IFERROR(SUMIFS(TransUnitCost[Miles],TransUnitCost[Grouping_ID],TransTonsShort[[#This Row],[Grouping_ID]],TransUnitCost[Transp_ID],TransTonsShort[[#This Row],[Transp_ID]])*TransTonsShort[[#This Row],[Trans_Tons_All]]/TransTonsShort[[#This Row],[Trans_Tons_All]],"")</f>
        <v/>
      </c>
      <c r="X356" s="386" t="str">
        <f>TransTonsShort[[#This Row],[Grouping_ID]]&amp;"-"&amp;TransTonsShort[[#This Row],[Sector_ID]]</f>
        <v>2-2</v>
      </c>
      <c r="Y3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6" s="421">
        <f>INDEX(LandfillFees[Disposal Tip Fee 2025],MATCH(TransTonsShort[[#This Row],[Grouping_ID]],LandfillFees[Grouping_ID],0))</f>
        <v>72.030938699729589</v>
      </c>
      <c r="AA356" s="102">
        <f>IF(OR(TransTonsShort[[#This Row],[CollectionStream_ID]]="03",TransTonsShort[[#This Row],[CollectionStream_ID]]="04",TransTonsShort[[#This Row],[CollectionStream_ID]]="13"),0,TransTonsShort[[#This Row],[Trans_Tons_All]]*TransTonsShort[[#This Row],[Disposal_Fee]])</f>
        <v>0</v>
      </c>
      <c r="AF356" s="446" t="s">
        <v>1529</v>
      </c>
      <c r="AG356" s="442" t="str">
        <f>LEFT(SecondaryTransport[[#This Row],[Scenario_MRF_Bale_ID]],2)</f>
        <v>S3</v>
      </c>
      <c r="AH356" s="181" t="str">
        <f>LEFT(RIGHT(SecondaryTransport[[#This Row],[Scenario_MRF_Bale_ID]],10),2)</f>
        <v>05</v>
      </c>
      <c r="AI356" s="181" t="str">
        <f>INDEX(MRFs[MRF_Name],MATCH(SecondaryTransport[[#This Row],[MRF_ID]],MRFs[MRF_ID],0))</f>
        <v>1 CRF (BC) or 1 infeed for transferred containers (Portland)</v>
      </c>
      <c r="AJ356" s="181" t="str">
        <f>RIGHT(SecondaryTransport[[#This Row],[Scenario_MRF_Bale_ID]],7)</f>
        <v>2000-05</v>
      </c>
      <c r="AK356" s="181" t="str">
        <f>INDEX(Bales[Bale_Name],MATCH(SecondaryTransport[[#This Row],[Bale_ID]],Bales[Bale_ID],0))</f>
        <v>HDPE #2 and PP #5 tubs </v>
      </c>
      <c r="AL356" s="443">
        <f>INDEX(BaleMover[Total_Baled_tons],MATCH(SecondaryTransport[[#This Row],[Scenario_MRF_Bale_ID]],BaleMover[Scenario_MRF_Bale_ID],0))</f>
        <v>1329.7590264755124</v>
      </c>
      <c r="AM356" s="443">
        <f>IF(INDEX(BaleMover[Miles],MATCH(SecondaryTransport[[#This Row],[Scenario_MRF_Bale_ID]],BaleMover[Scenario_MRF_Bale_ID],0))="",0,INDEX(BaleMover[Miles],MATCH(SecondaryTransport[[#This Row],[Scenario_MRF_Bale_ID]],BaleMover[Scenario_MRF_Bale_ID],0)))</f>
        <v>5</v>
      </c>
      <c r="AN356" s="251">
        <f>IF(SecondaryTransport[[#This Row],[Bale_ID]]="9000-01","costs elsewhere",SecondaryTransport[[#This Row],[Total_Baled_tons]]*SecondaryTransport[[#This Row],[Miles]])</f>
        <v>6648.7951323775624</v>
      </c>
      <c r="AO356" s="352" t="str">
        <f>IF(LEFT(SecondaryTransport[[#This Row],[Bale_ID]],1)*1=5,IF(OR(SecondaryTransport[[#This Row],[MRF_ID]]="02",SecondaryTransport[[#This Row],[MRF_ID]]="08"),2,1),"")</f>
        <v/>
      </c>
      <c r="AP3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5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56" s="224" t="str">
        <f>IFERROR(IF(1*LEFT(SecondaryTransport[[#This Row],[Bale_ID]],1)=5,SecondaryTransport[[#This Row],[Ton-Miles]]*SecondaryTransport[[#This Row],[Cost_Per_Ton-Mile]],""),"")</f>
        <v/>
      </c>
      <c r="AS356" s="224">
        <f>IFERROR(IF(SecondaryTransport[[#This Row],[Container_Transfer]]="",(SecondaryTransport[[#This Row],[Ton-Miles]]*SecondaryTransport[[#This Row],[Cost_Per_Ton-Mile]]),""),"")</f>
        <v>2061.1264910370442</v>
      </c>
    </row>
    <row r="357" spans="3:45" ht="15" x14ac:dyDescent="0.25">
      <c r="C357"/>
      <c r="D357"/>
      <c r="L357" s="446" t="s">
        <v>876</v>
      </c>
      <c r="M357" s="446">
        <v>3</v>
      </c>
      <c r="N357" s="446">
        <v>2</v>
      </c>
      <c r="O357" s="446" t="s">
        <v>746</v>
      </c>
      <c r="P357" s="450" t="s">
        <v>700</v>
      </c>
      <c r="Q357" s="450"/>
      <c r="R357" s="450"/>
      <c r="S357" s="449" t="s">
        <v>762</v>
      </c>
      <c r="T357" s="449" t="s">
        <v>701</v>
      </c>
      <c r="U357" s="452">
        <v>0</v>
      </c>
      <c r="V3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7" s="272" t="str">
        <f>IFERROR(SUMIFS(TransUnitCost[Miles],TransUnitCost[Grouping_ID],TransTonsShort[[#This Row],[Grouping_ID]],TransUnitCost[Transp_ID],TransTonsShort[[#This Row],[Transp_ID]])*TransTonsShort[[#This Row],[Trans_Tons_All]]/TransTonsShort[[#This Row],[Trans_Tons_All]],"")</f>
        <v/>
      </c>
      <c r="X357" s="386" t="str">
        <f>TransTonsShort[[#This Row],[Grouping_ID]]&amp;"-"&amp;TransTonsShort[[#This Row],[Sector_ID]]</f>
        <v>3-2</v>
      </c>
      <c r="Y3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7" s="421">
        <f>INDEX(LandfillFees[Disposal Tip Fee 2025],MATCH(TransTonsShort[[#This Row],[Grouping_ID]],LandfillFees[Grouping_ID],0))</f>
        <v>72.030938699729589</v>
      </c>
      <c r="AA357" s="102">
        <f>IF(OR(TransTonsShort[[#This Row],[CollectionStream_ID]]="03",TransTonsShort[[#This Row],[CollectionStream_ID]]="04",TransTonsShort[[#This Row],[CollectionStream_ID]]="13"),0,TransTonsShort[[#This Row],[Trans_Tons_All]]*TransTonsShort[[#This Row],[Disposal_Fee]])</f>
        <v>0</v>
      </c>
      <c r="AF357" s="446" t="s">
        <v>1530</v>
      </c>
      <c r="AG357" s="442" t="str">
        <f>LEFT(SecondaryTransport[[#This Row],[Scenario_MRF_Bale_ID]],2)</f>
        <v>S2</v>
      </c>
      <c r="AH357" s="181" t="str">
        <f>LEFT(RIGHT(SecondaryTransport[[#This Row],[Scenario_MRF_Bale_ID]],10),2)</f>
        <v>05</v>
      </c>
      <c r="AI357" s="181" t="str">
        <f>INDEX(MRFs[MRF_Name],MATCH(SecondaryTransport[[#This Row],[MRF_ID]],MRFs[MRF_ID],0))</f>
        <v>1 CRF (BC) or 1 infeed for transferred containers (Portland)</v>
      </c>
      <c r="AJ357" s="181" t="str">
        <f>RIGHT(SecondaryTransport[[#This Row],[Scenario_MRF_Bale_ID]],7)</f>
        <v>2000-07</v>
      </c>
      <c r="AK357" s="181" t="str">
        <f>INDEX(Bales[Bale_Name],MATCH(SecondaryTransport[[#This Row],[Bale_ID]],Bales[Bale_ID],0))</f>
        <v>PE clear film</v>
      </c>
      <c r="AL357" s="443">
        <f>INDEX(BaleMover[Total_Baled_tons],MATCH(SecondaryTransport[[#This Row],[Scenario_MRF_Bale_ID]],BaleMover[Scenario_MRF_Bale_ID],0))</f>
        <v>0</v>
      </c>
      <c r="AM357" s="443">
        <f>IF(INDEX(BaleMover[Miles],MATCH(SecondaryTransport[[#This Row],[Scenario_MRF_Bale_ID]],BaleMover[Scenario_MRF_Bale_ID],0))="",0,INDEX(BaleMover[Miles],MATCH(SecondaryTransport[[#This Row],[Scenario_MRF_Bale_ID]],BaleMover[Scenario_MRF_Bale_ID],0)))</f>
        <v>0</v>
      </c>
      <c r="AN357" s="251">
        <f>IF(SecondaryTransport[[#This Row],[Bale_ID]]="9000-01","costs elsewhere",SecondaryTransport[[#This Row],[Total_Baled_tons]]*SecondaryTransport[[#This Row],[Miles]])</f>
        <v>0</v>
      </c>
      <c r="AO357" s="352" t="str">
        <f>IF(LEFT(SecondaryTransport[[#This Row],[Bale_ID]],1)*1=5,IF(OR(SecondaryTransport[[#This Row],[MRF_ID]]="02",SecondaryTransport[[#This Row],[MRF_ID]]="08"),2,1),"")</f>
        <v/>
      </c>
      <c r="AP3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5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57" s="224" t="str">
        <f>IFERROR(IF(1*LEFT(SecondaryTransport[[#This Row],[Bale_ID]],1)=5,SecondaryTransport[[#This Row],[Ton-Miles]]*SecondaryTransport[[#This Row],[Cost_Per_Ton-Mile]],""),"")</f>
        <v/>
      </c>
      <c r="AS357" s="224" t="str">
        <f>IFERROR(IF(SecondaryTransport[[#This Row],[Container_Transfer]]="",(SecondaryTransport[[#This Row],[Ton-Miles]]*SecondaryTransport[[#This Row],[Cost_Per_Ton-Mile]]),""),"")</f>
        <v/>
      </c>
    </row>
    <row r="358" spans="3:45" ht="15" x14ac:dyDescent="0.25">
      <c r="C358"/>
      <c r="D358"/>
      <c r="L358" s="446" t="s">
        <v>876</v>
      </c>
      <c r="M358" s="446">
        <v>4</v>
      </c>
      <c r="N358" s="446">
        <v>2</v>
      </c>
      <c r="O358" s="446" t="s">
        <v>746</v>
      </c>
      <c r="P358" s="450" t="s">
        <v>700</v>
      </c>
      <c r="Q358" s="450"/>
      <c r="R358" s="450"/>
      <c r="S358" s="449" t="s">
        <v>762</v>
      </c>
      <c r="T358" s="449" t="s">
        <v>701</v>
      </c>
      <c r="U358" s="452">
        <v>0</v>
      </c>
      <c r="V3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8" s="272" t="str">
        <f>IFERROR(SUMIFS(TransUnitCost[Miles],TransUnitCost[Grouping_ID],TransTonsShort[[#This Row],[Grouping_ID]],TransUnitCost[Transp_ID],TransTonsShort[[#This Row],[Transp_ID]])*TransTonsShort[[#This Row],[Trans_Tons_All]]/TransTonsShort[[#This Row],[Trans_Tons_All]],"")</f>
        <v/>
      </c>
      <c r="X358" s="386" t="str">
        <f>TransTonsShort[[#This Row],[Grouping_ID]]&amp;"-"&amp;TransTonsShort[[#This Row],[Sector_ID]]</f>
        <v>4-2</v>
      </c>
      <c r="Y3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8" s="421">
        <f>INDEX(LandfillFees[Disposal Tip Fee 2025],MATCH(TransTonsShort[[#This Row],[Grouping_ID]],LandfillFees[Grouping_ID],0))</f>
        <v>72.030938699729589</v>
      </c>
      <c r="AA358" s="102">
        <f>IF(OR(TransTonsShort[[#This Row],[CollectionStream_ID]]="03",TransTonsShort[[#This Row],[CollectionStream_ID]]="04",TransTonsShort[[#This Row],[CollectionStream_ID]]="13"),0,TransTonsShort[[#This Row],[Trans_Tons_All]]*TransTonsShort[[#This Row],[Disposal_Fee]])</f>
        <v>0</v>
      </c>
      <c r="AF358" s="446" t="s">
        <v>1531</v>
      </c>
      <c r="AG358" s="442" t="str">
        <f>LEFT(SecondaryTransport[[#This Row],[Scenario_MRF_Bale_ID]],2)</f>
        <v>S3</v>
      </c>
      <c r="AH358" s="181" t="str">
        <f>LEFT(RIGHT(SecondaryTransport[[#This Row],[Scenario_MRF_Bale_ID]],10),2)</f>
        <v>05</v>
      </c>
      <c r="AI358" s="181" t="str">
        <f>INDEX(MRFs[MRF_Name],MATCH(SecondaryTransport[[#This Row],[MRF_ID]],MRFs[MRF_ID],0))</f>
        <v>1 CRF (BC) or 1 infeed for transferred containers (Portland)</v>
      </c>
      <c r="AJ358" s="181" t="str">
        <f>RIGHT(SecondaryTransport[[#This Row],[Scenario_MRF_Bale_ID]],7)</f>
        <v>2000-07</v>
      </c>
      <c r="AK358" s="181" t="str">
        <f>INDEX(Bales[Bale_Name],MATCH(SecondaryTransport[[#This Row],[Bale_ID]],Bales[Bale_ID],0))</f>
        <v>PE clear film</v>
      </c>
      <c r="AL358" s="443">
        <f>INDEX(BaleMover[Total_Baled_tons],MATCH(SecondaryTransport[[#This Row],[Scenario_MRF_Bale_ID]],BaleMover[Scenario_MRF_Bale_ID],0))</f>
        <v>0</v>
      </c>
      <c r="AM358" s="443">
        <f>IF(INDEX(BaleMover[Miles],MATCH(SecondaryTransport[[#This Row],[Scenario_MRF_Bale_ID]],BaleMover[Scenario_MRF_Bale_ID],0))="",0,INDEX(BaleMover[Miles],MATCH(SecondaryTransport[[#This Row],[Scenario_MRF_Bale_ID]],BaleMover[Scenario_MRF_Bale_ID],0)))</f>
        <v>0</v>
      </c>
      <c r="AN358" s="251">
        <f>IF(SecondaryTransport[[#This Row],[Bale_ID]]="9000-01","costs elsewhere",SecondaryTransport[[#This Row],[Total_Baled_tons]]*SecondaryTransport[[#This Row],[Miles]])</f>
        <v>0</v>
      </c>
      <c r="AO358" s="352" t="str">
        <f>IF(LEFT(SecondaryTransport[[#This Row],[Bale_ID]],1)*1=5,IF(OR(SecondaryTransport[[#This Row],[MRF_ID]]="02",SecondaryTransport[[#This Row],[MRF_ID]]="08"),2,1),"")</f>
        <v/>
      </c>
      <c r="AP3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5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58" s="224" t="str">
        <f>IFERROR(IF(1*LEFT(SecondaryTransport[[#This Row],[Bale_ID]],1)=5,SecondaryTransport[[#This Row],[Ton-Miles]]*SecondaryTransport[[#This Row],[Cost_Per_Ton-Mile]],""),"")</f>
        <v/>
      </c>
      <c r="AS358" s="224" t="str">
        <f>IFERROR(IF(SecondaryTransport[[#This Row],[Container_Transfer]]="",(SecondaryTransport[[#This Row],[Ton-Miles]]*SecondaryTransport[[#This Row],[Cost_Per_Ton-Mile]]),""),"")</f>
        <v/>
      </c>
    </row>
    <row r="359" spans="3:45" ht="15" x14ac:dyDescent="0.25">
      <c r="C359"/>
      <c r="D359"/>
      <c r="L359" s="446" t="s">
        <v>876</v>
      </c>
      <c r="M359" s="446">
        <v>1</v>
      </c>
      <c r="N359" s="446">
        <v>2</v>
      </c>
      <c r="O359" s="446" t="s">
        <v>746</v>
      </c>
      <c r="P359" s="449" t="s">
        <v>746</v>
      </c>
      <c r="Q359" s="449"/>
      <c r="R359" s="449"/>
      <c r="S359" s="449" t="s">
        <v>762</v>
      </c>
      <c r="T359" s="449" t="s">
        <v>848</v>
      </c>
      <c r="U359" s="452">
        <v>0</v>
      </c>
      <c r="V3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59" s="272" t="str">
        <f>IFERROR(SUMIFS(TransUnitCost[Miles],TransUnitCost[Grouping_ID],TransTonsShort[[#This Row],[Grouping_ID]],TransUnitCost[Transp_ID],TransTonsShort[[#This Row],[Transp_ID]])*TransTonsShort[[#This Row],[Trans_Tons_All]]/TransTonsShort[[#This Row],[Trans_Tons_All]],"")</f>
        <v/>
      </c>
      <c r="X359" s="386" t="str">
        <f>TransTonsShort[[#This Row],[Grouping_ID]]&amp;"-"&amp;TransTonsShort[[#This Row],[Sector_ID]]</f>
        <v>1-2</v>
      </c>
      <c r="Y3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59" s="421">
        <f>INDEX(LandfillFees[Disposal Tip Fee 2025],MATCH(TransTonsShort[[#This Row],[Grouping_ID]],LandfillFees[Grouping_ID],0))</f>
        <v>134.68</v>
      </c>
      <c r="AA359" s="102">
        <f>IF(OR(TransTonsShort[[#This Row],[CollectionStream_ID]]="03",TransTonsShort[[#This Row],[CollectionStream_ID]]="04",TransTonsShort[[#This Row],[CollectionStream_ID]]="13"),0,TransTonsShort[[#This Row],[Trans_Tons_All]]*TransTonsShort[[#This Row],[Disposal_Fee]])</f>
        <v>0</v>
      </c>
      <c r="AF359" s="446" t="s">
        <v>1532</v>
      </c>
      <c r="AG359" s="442" t="str">
        <f>LEFT(SecondaryTransport[[#This Row],[Scenario_MRF_Bale_ID]],2)</f>
        <v>S2</v>
      </c>
      <c r="AH359" s="181" t="str">
        <f>LEFT(RIGHT(SecondaryTransport[[#This Row],[Scenario_MRF_Bale_ID]],10),2)</f>
        <v>05</v>
      </c>
      <c r="AI359" s="181" t="str">
        <f>INDEX(MRFs[MRF_Name],MATCH(SecondaryTransport[[#This Row],[MRF_ID]],MRFs[MRF_ID],0))</f>
        <v>1 CRF (BC) or 1 infeed for transferred containers (Portland)</v>
      </c>
      <c r="AJ359" s="181" t="str">
        <f>RIGHT(SecondaryTransport[[#This Row],[Scenario_MRF_Bale_ID]],7)</f>
        <v>2000-08</v>
      </c>
      <c r="AK359" s="181" t="str">
        <f>INDEX(Bales[Bale_Name],MATCH(SecondaryTransport[[#This Row],[Bale_ID]],Bales[Bale_ID],0))</f>
        <v>PE colored film</v>
      </c>
      <c r="AL359" s="443">
        <f>INDEX(BaleMover[Total_Baled_tons],MATCH(SecondaryTransport[[#This Row],[Scenario_MRF_Bale_ID]],BaleMover[Scenario_MRF_Bale_ID],0))</f>
        <v>0</v>
      </c>
      <c r="AM359" s="443">
        <f>IF(INDEX(BaleMover[Miles],MATCH(SecondaryTransport[[#This Row],[Scenario_MRF_Bale_ID]],BaleMover[Scenario_MRF_Bale_ID],0))="",0,INDEX(BaleMover[Miles],MATCH(SecondaryTransport[[#This Row],[Scenario_MRF_Bale_ID]],BaleMover[Scenario_MRF_Bale_ID],0)))</f>
        <v>0</v>
      </c>
      <c r="AN359" s="251">
        <f>IF(SecondaryTransport[[#This Row],[Bale_ID]]="9000-01","costs elsewhere",SecondaryTransport[[#This Row],[Total_Baled_tons]]*SecondaryTransport[[#This Row],[Miles]])</f>
        <v>0</v>
      </c>
      <c r="AO359" s="352" t="str">
        <f>IF(LEFT(SecondaryTransport[[#This Row],[Bale_ID]],1)*1=5,IF(OR(SecondaryTransport[[#This Row],[MRF_ID]]="02",SecondaryTransport[[#This Row],[MRF_ID]]="08"),2,1),"")</f>
        <v/>
      </c>
      <c r="AP3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5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59" s="224" t="str">
        <f>IFERROR(IF(1*LEFT(SecondaryTransport[[#This Row],[Bale_ID]],1)=5,SecondaryTransport[[#This Row],[Ton-Miles]]*SecondaryTransport[[#This Row],[Cost_Per_Ton-Mile]],""),"")</f>
        <v/>
      </c>
      <c r="AS359" s="224" t="str">
        <f>IFERROR(IF(SecondaryTransport[[#This Row],[Container_Transfer]]="",(SecondaryTransport[[#This Row],[Ton-Miles]]*SecondaryTransport[[#This Row],[Cost_Per_Ton-Mile]]),""),"")</f>
        <v/>
      </c>
    </row>
    <row r="360" spans="3:45" ht="15" x14ac:dyDescent="0.25">
      <c r="C360"/>
      <c r="D360"/>
      <c r="L360" s="446" t="s">
        <v>876</v>
      </c>
      <c r="M360" s="446">
        <v>2</v>
      </c>
      <c r="N360" s="446">
        <v>2</v>
      </c>
      <c r="O360" s="446" t="s">
        <v>746</v>
      </c>
      <c r="P360" s="449" t="s">
        <v>746</v>
      </c>
      <c r="Q360" s="449"/>
      <c r="R360" s="449"/>
      <c r="S360" s="449" t="s">
        <v>762</v>
      </c>
      <c r="T360" s="449" t="s">
        <v>848</v>
      </c>
      <c r="U360" s="452">
        <v>0</v>
      </c>
      <c r="V3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0" s="272" t="str">
        <f>IFERROR(SUMIFS(TransUnitCost[Miles],TransUnitCost[Grouping_ID],TransTonsShort[[#This Row],[Grouping_ID]],TransUnitCost[Transp_ID],TransTonsShort[[#This Row],[Transp_ID]])*TransTonsShort[[#This Row],[Trans_Tons_All]]/TransTonsShort[[#This Row],[Trans_Tons_All]],"")</f>
        <v/>
      </c>
      <c r="X360" s="386" t="str">
        <f>TransTonsShort[[#This Row],[Grouping_ID]]&amp;"-"&amp;TransTonsShort[[#This Row],[Sector_ID]]</f>
        <v>2-2</v>
      </c>
      <c r="Y3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60" s="421">
        <f>INDEX(LandfillFees[Disposal Tip Fee 2025],MATCH(TransTonsShort[[#This Row],[Grouping_ID]],LandfillFees[Grouping_ID],0))</f>
        <v>72.030938699729589</v>
      </c>
      <c r="AA360" s="102">
        <f>IF(OR(TransTonsShort[[#This Row],[CollectionStream_ID]]="03",TransTonsShort[[#This Row],[CollectionStream_ID]]="04",TransTonsShort[[#This Row],[CollectionStream_ID]]="13"),0,TransTonsShort[[#This Row],[Trans_Tons_All]]*TransTonsShort[[#This Row],[Disposal_Fee]])</f>
        <v>0</v>
      </c>
      <c r="AF360" s="446" t="s">
        <v>1533</v>
      </c>
      <c r="AG360" s="442" t="str">
        <f>LEFT(SecondaryTransport[[#This Row],[Scenario_MRF_Bale_ID]],2)</f>
        <v>S3</v>
      </c>
      <c r="AH360" s="181" t="str">
        <f>LEFT(RIGHT(SecondaryTransport[[#This Row],[Scenario_MRF_Bale_ID]],10),2)</f>
        <v>05</v>
      </c>
      <c r="AI360" s="181" t="str">
        <f>INDEX(MRFs[MRF_Name],MATCH(SecondaryTransport[[#This Row],[MRF_ID]],MRFs[MRF_ID],0))</f>
        <v>1 CRF (BC) or 1 infeed for transferred containers (Portland)</v>
      </c>
      <c r="AJ360" s="181" t="str">
        <f>RIGHT(SecondaryTransport[[#This Row],[Scenario_MRF_Bale_ID]],7)</f>
        <v>2000-08</v>
      </c>
      <c r="AK360" s="181" t="str">
        <f>INDEX(Bales[Bale_Name],MATCH(SecondaryTransport[[#This Row],[Bale_ID]],Bales[Bale_ID],0))</f>
        <v>PE colored film</v>
      </c>
      <c r="AL360" s="443">
        <f>INDEX(BaleMover[Total_Baled_tons],MATCH(SecondaryTransport[[#This Row],[Scenario_MRF_Bale_ID]],BaleMover[Scenario_MRF_Bale_ID],0))</f>
        <v>0</v>
      </c>
      <c r="AM360" s="443">
        <f>IF(INDEX(BaleMover[Miles],MATCH(SecondaryTransport[[#This Row],[Scenario_MRF_Bale_ID]],BaleMover[Scenario_MRF_Bale_ID],0))="",0,INDEX(BaleMover[Miles],MATCH(SecondaryTransport[[#This Row],[Scenario_MRF_Bale_ID]],BaleMover[Scenario_MRF_Bale_ID],0)))</f>
        <v>0</v>
      </c>
      <c r="AN360" s="251">
        <f>IF(SecondaryTransport[[#This Row],[Bale_ID]]="9000-01","costs elsewhere",SecondaryTransport[[#This Row],[Total_Baled_tons]]*SecondaryTransport[[#This Row],[Miles]])</f>
        <v>0</v>
      </c>
      <c r="AO360" s="352" t="str">
        <f>IF(LEFT(SecondaryTransport[[#This Row],[Bale_ID]],1)*1=5,IF(OR(SecondaryTransport[[#This Row],[MRF_ID]]="02",SecondaryTransport[[#This Row],[MRF_ID]]="08"),2,1),"")</f>
        <v/>
      </c>
      <c r="AP3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0" s="224" t="str">
        <f>IFERROR(IF(1*LEFT(SecondaryTransport[[#This Row],[Bale_ID]],1)=5,SecondaryTransport[[#This Row],[Ton-Miles]]*SecondaryTransport[[#This Row],[Cost_Per_Ton-Mile]],""),"")</f>
        <v/>
      </c>
      <c r="AS360" s="224" t="str">
        <f>IFERROR(IF(SecondaryTransport[[#This Row],[Container_Transfer]]="",(SecondaryTransport[[#This Row],[Ton-Miles]]*SecondaryTransport[[#This Row],[Cost_Per_Ton-Mile]]),""),"")</f>
        <v/>
      </c>
    </row>
    <row r="361" spans="3:45" ht="15" x14ac:dyDescent="0.25">
      <c r="C361"/>
      <c r="D361"/>
      <c r="L361" s="446" t="s">
        <v>876</v>
      </c>
      <c r="M361" s="446">
        <v>3</v>
      </c>
      <c r="N361" s="446">
        <v>2</v>
      </c>
      <c r="O361" s="446" t="s">
        <v>746</v>
      </c>
      <c r="P361" s="449" t="s">
        <v>746</v>
      </c>
      <c r="Q361" s="449"/>
      <c r="R361" s="449"/>
      <c r="S361" s="449" t="s">
        <v>762</v>
      </c>
      <c r="T361" s="449" t="s">
        <v>848</v>
      </c>
      <c r="U361" s="452">
        <v>0</v>
      </c>
      <c r="V3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1" s="272" t="str">
        <f>IFERROR(SUMIFS(TransUnitCost[Miles],TransUnitCost[Grouping_ID],TransTonsShort[[#This Row],[Grouping_ID]],TransUnitCost[Transp_ID],TransTonsShort[[#This Row],[Transp_ID]])*TransTonsShort[[#This Row],[Trans_Tons_All]]/TransTonsShort[[#This Row],[Trans_Tons_All]],"")</f>
        <v/>
      </c>
      <c r="X361" s="386" t="str">
        <f>TransTonsShort[[#This Row],[Grouping_ID]]&amp;"-"&amp;TransTonsShort[[#This Row],[Sector_ID]]</f>
        <v>3-2</v>
      </c>
      <c r="Y3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61" s="421">
        <f>INDEX(LandfillFees[Disposal Tip Fee 2025],MATCH(TransTonsShort[[#This Row],[Grouping_ID]],LandfillFees[Grouping_ID],0))</f>
        <v>72.030938699729589</v>
      </c>
      <c r="AA361" s="102">
        <f>IF(OR(TransTonsShort[[#This Row],[CollectionStream_ID]]="03",TransTonsShort[[#This Row],[CollectionStream_ID]]="04",TransTonsShort[[#This Row],[CollectionStream_ID]]="13"),0,TransTonsShort[[#This Row],[Trans_Tons_All]]*TransTonsShort[[#This Row],[Disposal_Fee]])</f>
        <v>0</v>
      </c>
      <c r="AF361" s="446" t="s">
        <v>1534</v>
      </c>
      <c r="AG361" s="442" t="str">
        <f>LEFT(SecondaryTransport[[#This Row],[Scenario_MRF_Bale_ID]],2)</f>
        <v>S2</v>
      </c>
      <c r="AH361" s="181" t="str">
        <f>LEFT(RIGHT(SecondaryTransport[[#This Row],[Scenario_MRF_Bale_ID]],10),2)</f>
        <v>05</v>
      </c>
      <c r="AI361" s="181" t="str">
        <f>INDEX(MRFs[MRF_Name],MATCH(SecondaryTransport[[#This Row],[MRF_ID]],MRFs[MRF_ID],0))</f>
        <v>1 CRF (BC) or 1 infeed for transferred containers (Portland)</v>
      </c>
      <c r="AJ361" s="181" t="str">
        <f>RIGHT(SecondaryTransport[[#This Row],[Scenario_MRF_Bale_ID]],7)</f>
        <v>2000-09</v>
      </c>
      <c r="AK361" s="181" t="str">
        <f>INDEX(Bales[Bale_Name],MATCH(SecondaryTransport[[#This Row],[Bale_ID]],Bales[Bale_ID],0))</f>
        <v>PE retail mix film</v>
      </c>
      <c r="AL361" s="443">
        <f>INDEX(BaleMover[Total_Baled_tons],MATCH(SecondaryTransport[[#This Row],[Scenario_MRF_Bale_ID]],BaleMover[Scenario_MRF_Bale_ID],0))</f>
        <v>0</v>
      </c>
      <c r="AM361" s="443">
        <f>IF(INDEX(BaleMover[Miles],MATCH(SecondaryTransport[[#This Row],[Scenario_MRF_Bale_ID]],BaleMover[Scenario_MRF_Bale_ID],0))="",0,INDEX(BaleMover[Miles],MATCH(SecondaryTransport[[#This Row],[Scenario_MRF_Bale_ID]],BaleMover[Scenario_MRF_Bale_ID],0)))</f>
        <v>0</v>
      </c>
      <c r="AN361" s="251">
        <f>IF(SecondaryTransport[[#This Row],[Bale_ID]]="9000-01","costs elsewhere",SecondaryTransport[[#This Row],[Total_Baled_tons]]*SecondaryTransport[[#This Row],[Miles]])</f>
        <v>0</v>
      </c>
      <c r="AO361" s="352" t="str">
        <f>IF(LEFT(SecondaryTransport[[#This Row],[Bale_ID]],1)*1=5,IF(OR(SecondaryTransport[[#This Row],[MRF_ID]]="02",SecondaryTransport[[#This Row],[MRF_ID]]="08"),2,1),"")</f>
        <v/>
      </c>
      <c r="AP3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1" s="224" t="str">
        <f>IFERROR(IF(1*LEFT(SecondaryTransport[[#This Row],[Bale_ID]],1)=5,SecondaryTransport[[#This Row],[Ton-Miles]]*SecondaryTransport[[#This Row],[Cost_Per_Ton-Mile]],""),"")</f>
        <v/>
      </c>
      <c r="AS361" s="224" t="str">
        <f>IFERROR(IF(SecondaryTransport[[#This Row],[Container_Transfer]]="",(SecondaryTransport[[#This Row],[Ton-Miles]]*SecondaryTransport[[#This Row],[Cost_Per_Ton-Mile]]),""),"")</f>
        <v/>
      </c>
    </row>
    <row r="362" spans="3:45" ht="15" x14ac:dyDescent="0.25">
      <c r="C362"/>
      <c r="D362"/>
      <c r="L362" s="446" t="s">
        <v>876</v>
      </c>
      <c r="M362" s="446">
        <v>4</v>
      </c>
      <c r="N362" s="446">
        <v>2</v>
      </c>
      <c r="O362" s="446" t="s">
        <v>746</v>
      </c>
      <c r="P362" s="449" t="s">
        <v>746</v>
      </c>
      <c r="Q362" s="449"/>
      <c r="R362" s="449"/>
      <c r="S362" s="449" t="s">
        <v>762</v>
      </c>
      <c r="T362" s="449" t="s">
        <v>848</v>
      </c>
      <c r="U362" s="452">
        <v>0</v>
      </c>
      <c r="V3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2" s="272" t="str">
        <f>IFERROR(SUMIFS(TransUnitCost[Miles],TransUnitCost[Grouping_ID],TransTonsShort[[#This Row],[Grouping_ID]],TransUnitCost[Transp_ID],TransTonsShort[[#This Row],[Transp_ID]])*TransTonsShort[[#This Row],[Trans_Tons_All]]/TransTonsShort[[#This Row],[Trans_Tons_All]],"")</f>
        <v/>
      </c>
      <c r="X362" s="386" t="str">
        <f>TransTonsShort[[#This Row],[Grouping_ID]]&amp;"-"&amp;TransTonsShort[[#This Row],[Sector_ID]]</f>
        <v>4-2</v>
      </c>
      <c r="Y3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62" s="421">
        <f>INDEX(LandfillFees[Disposal Tip Fee 2025],MATCH(TransTonsShort[[#This Row],[Grouping_ID]],LandfillFees[Grouping_ID],0))</f>
        <v>72.030938699729589</v>
      </c>
      <c r="AA362" s="102">
        <f>IF(OR(TransTonsShort[[#This Row],[CollectionStream_ID]]="03",TransTonsShort[[#This Row],[CollectionStream_ID]]="04",TransTonsShort[[#This Row],[CollectionStream_ID]]="13"),0,TransTonsShort[[#This Row],[Trans_Tons_All]]*TransTonsShort[[#This Row],[Disposal_Fee]])</f>
        <v>0</v>
      </c>
      <c r="AF362" s="446" t="s">
        <v>1535</v>
      </c>
      <c r="AG362" s="442" t="str">
        <f>LEFT(SecondaryTransport[[#This Row],[Scenario_MRF_Bale_ID]],2)</f>
        <v>S3</v>
      </c>
      <c r="AH362" s="181" t="str">
        <f>LEFT(RIGHT(SecondaryTransport[[#This Row],[Scenario_MRF_Bale_ID]],10),2)</f>
        <v>05</v>
      </c>
      <c r="AI362" s="181" t="str">
        <f>INDEX(MRFs[MRF_Name],MATCH(SecondaryTransport[[#This Row],[MRF_ID]],MRFs[MRF_ID],0))</f>
        <v>1 CRF (BC) or 1 infeed for transferred containers (Portland)</v>
      </c>
      <c r="AJ362" s="181" t="str">
        <f>RIGHT(SecondaryTransport[[#This Row],[Scenario_MRF_Bale_ID]],7)</f>
        <v>2000-09</v>
      </c>
      <c r="AK362" s="181" t="str">
        <f>INDEX(Bales[Bale_Name],MATCH(SecondaryTransport[[#This Row],[Bale_ID]],Bales[Bale_ID],0))</f>
        <v>PE retail mix film</v>
      </c>
      <c r="AL362" s="443">
        <f>INDEX(BaleMover[Total_Baled_tons],MATCH(SecondaryTransport[[#This Row],[Scenario_MRF_Bale_ID]],BaleMover[Scenario_MRF_Bale_ID],0))</f>
        <v>0</v>
      </c>
      <c r="AM362" s="443">
        <f>IF(INDEX(BaleMover[Miles],MATCH(SecondaryTransport[[#This Row],[Scenario_MRF_Bale_ID]],BaleMover[Scenario_MRF_Bale_ID],0))="",0,INDEX(BaleMover[Miles],MATCH(SecondaryTransport[[#This Row],[Scenario_MRF_Bale_ID]],BaleMover[Scenario_MRF_Bale_ID],0)))</f>
        <v>0</v>
      </c>
      <c r="AN362" s="251">
        <f>IF(SecondaryTransport[[#This Row],[Bale_ID]]="9000-01","costs elsewhere",SecondaryTransport[[#This Row],[Total_Baled_tons]]*SecondaryTransport[[#This Row],[Miles]])</f>
        <v>0</v>
      </c>
      <c r="AO362" s="352" t="str">
        <f>IF(LEFT(SecondaryTransport[[#This Row],[Bale_ID]],1)*1=5,IF(OR(SecondaryTransport[[#This Row],[MRF_ID]]="02",SecondaryTransport[[#This Row],[MRF_ID]]="08"),2,1),"")</f>
        <v/>
      </c>
      <c r="AP3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2" s="224" t="str">
        <f>IFERROR(IF(1*LEFT(SecondaryTransport[[#This Row],[Bale_ID]],1)=5,SecondaryTransport[[#This Row],[Ton-Miles]]*SecondaryTransport[[#This Row],[Cost_Per_Ton-Mile]],""),"")</f>
        <v/>
      </c>
      <c r="AS362" s="224" t="str">
        <f>IFERROR(IF(SecondaryTransport[[#This Row],[Container_Transfer]]="",(SecondaryTransport[[#This Row],[Ton-Miles]]*SecondaryTransport[[#This Row],[Cost_Per_Ton-Mile]]),""),"")</f>
        <v/>
      </c>
    </row>
    <row r="363" spans="3:45" ht="15" x14ac:dyDescent="0.25">
      <c r="C363"/>
      <c r="D363"/>
      <c r="L363" s="446" t="s">
        <v>876</v>
      </c>
      <c r="M363" s="446">
        <v>1</v>
      </c>
      <c r="N363" s="446">
        <v>2</v>
      </c>
      <c r="O363" s="446" t="s">
        <v>706</v>
      </c>
      <c r="P363" s="449" t="s">
        <v>739</v>
      </c>
      <c r="Q363" s="449"/>
      <c r="R363" s="449"/>
      <c r="S363" s="449" t="s">
        <v>707</v>
      </c>
      <c r="T363" s="449" t="s">
        <v>1121</v>
      </c>
      <c r="U363" s="452">
        <v>1828.0007943083401</v>
      </c>
      <c r="V3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35463.215409581797</v>
      </c>
      <c r="W363" s="272">
        <f>IFERROR(SUMIFS(TransUnitCost[Miles],TransUnitCost[Grouping_ID],TransTonsShort[[#This Row],[Grouping_ID]],TransUnitCost[Transp_ID],TransTonsShort[[#This Row],[Transp_ID]])*TransTonsShort[[#This Row],[Trans_Tons_All]]/TransTonsShort[[#This Row],[Trans_Tons_All]],"")</f>
        <v>20</v>
      </c>
      <c r="X363" s="386" t="str">
        <f>TransTonsShort[[#This Row],[Grouping_ID]]&amp;"-"&amp;TransTonsShort[[#This Row],[Sector_ID]]</f>
        <v>1-2</v>
      </c>
      <c r="Y3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3" s="421">
        <f>INDEX(LandfillFees[Disposal Tip Fee 2025],MATCH(TransTonsShort[[#This Row],[Grouping_ID]],LandfillFees[Grouping_ID],0))</f>
        <v>134.68</v>
      </c>
      <c r="AA363" s="102">
        <f>IF(OR(TransTonsShort[[#This Row],[CollectionStream_ID]]="03",TransTonsShort[[#This Row],[CollectionStream_ID]]="04",TransTonsShort[[#This Row],[CollectionStream_ID]]="13"),0,TransTonsShort[[#This Row],[Trans_Tons_All]]*TransTonsShort[[#This Row],[Disposal_Fee]])</f>
        <v>246195.14697744726</v>
      </c>
      <c r="AF363" s="446" t="s">
        <v>1536</v>
      </c>
      <c r="AG363" s="442" t="str">
        <f>LEFT(SecondaryTransport[[#This Row],[Scenario_MRF_Bale_ID]],2)</f>
        <v>S2</v>
      </c>
      <c r="AH363" s="181" t="str">
        <f>LEFT(RIGHT(SecondaryTransport[[#This Row],[Scenario_MRF_Bale_ID]],10),2)</f>
        <v>05</v>
      </c>
      <c r="AI363" s="181" t="str">
        <f>INDEX(MRFs[MRF_Name],MATCH(SecondaryTransport[[#This Row],[MRF_ID]],MRFs[MRF_ID],0))</f>
        <v>1 CRF (BC) or 1 infeed for transferred containers (Portland)</v>
      </c>
      <c r="AJ363" s="181" t="str">
        <f>RIGHT(SecondaryTransport[[#This Row],[Scenario_MRF_Bale_ID]],7)</f>
        <v>2000-10</v>
      </c>
      <c r="AK363" s="181" t="str">
        <f>INDEX(Bales[Bale_Name],MATCH(SecondaryTransport[[#This Row],[Bale_ID]],Bales[Bale_ID],0))</f>
        <v>Mixed bulky rigid plastics (mainly PE and PP) </v>
      </c>
      <c r="AL363" s="443">
        <f>INDEX(BaleMover[Total_Baled_tons],MATCH(SecondaryTransport[[#This Row],[Scenario_MRF_Bale_ID]],BaleMover[Scenario_MRF_Bale_ID],0))</f>
        <v>0</v>
      </c>
      <c r="AM363" s="443">
        <f>IF(INDEX(BaleMover[Miles],MATCH(SecondaryTransport[[#This Row],[Scenario_MRF_Bale_ID]],BaleMover[Scenario_MRF_Bale_ID],0))="",0,INDEX(BaleMover[Miles],MATCH(SecondaryTransport[[#This Row],[Scenario_MRF_Bale_ID]],BaleMover[Scenario_MRF_Bale_ID],0)))</f>
        <v>0</v>
      </c>
      <c r="AN363" s="251">
        <f>IF(SecondaryTransport[[#This Row],[Bale_ID]]="9000-01","costs elsewhere",SecondaryTransport[[#This Row],[Total_Baled_tons]]*SecondaryTransport[[#This Row],[Miles]])</f>
        <v>0</v>
      </c>
      <c r="AO363" s="352" t="str">
        <f>IF(LEFT(SecondaryTransport[[#This Row],[Bale_ID]],1)*1=5,IF(OR(SecondaryTransport[[#This Row],[MRF_ID]]="02",SecondaryTransport[[#This Row],[MRF_ID]]="08"),2,1),"")</f>
        <v/>
      </c>
      <c r="AP3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3" s="224" t="str">
        <f>IFERROR(IF(1*LEFT(SecondaryTransport[[#This Row],[Bale_ID]],1)=5,SecondaryTransport[[#This Row],[Ton-Miles]]*SecondaryTransport[[#This Row],[Cost_Per_Ton-Mile]],""),"")</f>
        <v/>
      </c>
      <c r="AS363" s="224" t="str">
        <f>IFERROR(IF(SecondaryTransport[[#This Row],[Container_Transfer]]="",(SecondaryTransport[[#This Row],[Ton-Miles]]*SecondaryTransport[[#This Row],[Cost_Per_Ton-Mile]]),""),"")</f>
        <v/>
      </c>
    </row>
    <row r="364" spans="3:45" ht="15" x14ac:dyDescent="0.25">
      <c r="C364"/>
      <c r="D364"/>
      <c r="L364" s="446" t="s">
        <v>876</v>
      </c>
      <c r="M364" s="446">
        <v>2</v>
      </c>
      <c r="N364" s="446">
        <v>2</v>
      </c>
      <c r="O364" s="446" t="s">
        <v>706</v>
      </c>
      <c r="P364" s="449" t="s">
        <v>739</v>
      </c>
      <c r="Q364" s="449"/>
      <c r="R364" s="449"/>
      <c r="S364" s="449" t="s">
        <v>707</v>
      </c>
      <c r="T364" s="449" t="s">
        <v>1121</v>
      </c>
      <c r="U364" s="452">
        <v>132.56617585229174</v>
      </c>
      <c r="V3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5474.9830626996481</v>
      </c>
      <c r="W364" s="272">
        <f>IFERROR(SUMIFS(TransUnitCost[Miles],TransUnitCost[Grouping_ID],TransTonsShort[[#This Row],[Grouping_ID]],TransUnitCost[Transp_ID],TransTonsShort[[#This Row],[Transp_ID]])*TransTonsShort[[#This Row],[Trans_Tons_All]]/TransTonsShort[[#This Row],[Trans_Tons_All]],"")</f>
        <v>70</v>
      </c>
      <c r="X364" s="386" t="str">
        <f>TransTonsShort[[#This Row],[Grouping_ID]]&amp;"-"&amp;TransTonsShort[[#This Row],[Sector_ID]]</f>
        <v>2-2</v>
      </c>
      <c r="Y3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4" s="421">
        <f>INDEX(LandfillFees[Disposal Tip Fee 2025],MATCH(TransTonsShort[[#This Row],[Grouping_ID]],LandfillFees[Grouping_ID],0))</f>
        <v>72.030938699729589</v>
      </c>
      <c r="AA364" s="102">
        <f>IF(OR(TransTonsShort[[#This Row],[CollectionStream_ID]]="03",TransTonsShort[[#This Row],[CollectionStream_ID]]="04",TransTonsShort[[#This Row],[CollectionStream_ID]]="13"),0,TransTonsShort[[#This Row],[Trans_Tons_All]]*TransTonsShort[[#This Row],[Disposal_Fee]])</f>
        <v>9548.8660864739995</v>
      </c>
      <c r="AF364" s="446" t="s">
        <v>1537</v>
      </c>
      <c r="AG364" s="442" t="str">
        <f>LEFT(SecondaryTransport[[#This Row],[Scenario_MRF_Bale_ID]],2)</f>
        <v>S3</v>
      </c>
      <c r="AH364" s="181" t="str">
        <f>LEFT(RIGHT(SecondaryTransport[[#This Row],[Scenario_MRF_Bale_ID]],10),2)</f>
        <v>05</v>
      </c>
      <c r="AI364" s="181" t="str">
        <f>INDEX(MRFs[MRF_Name],MATCH(SecondaryTransport[[#This Row],[MRF_ID]],MRFs[MRF_ID],0))</f>
        <v>1 CRF (BC) or 1 infeed for transferred containers (Portland)</v>
      </c>
      <c r="AJ364" s="181" t="str">
        <f>RIGHT(SecondaryTransport[[#This Row],[Scenario_MRF_Bale_ID]],7)</f>
        <v>2000-10</v>
      </c>
      <c r="AK364" s="181" t="str">
        <f>INDEX(Bales[Bale_Name],MATCH(SecondaryTransport[[#This Row],[Bale_ID]],Bales[Bale_ID],0))</f>
        <v>Mixed bulky rigid plastics (mainly PE and PP) </v>
      </c>
      <c r="AL364" s="443">
        <f>INDEX(BaleMover[Total_Baled_tons],MATCH(SecondaryTransport[[#This Row],[Scenario_MRF_Bale_ID]],BaleMover[Scenario_MRF_Bale_ID],0))</f>
        <v>0</v>
      </c>
      <c r="AM364" s="443">
        <f>IF(INDEX(BaleMover[Miles],MATCH(SecondaryTransport[[#This Row],[Scenario_MRF_Bale_ID]],BaleMover[Scenario_MRF_Bale_ID],0))="",0,INDEX(BaleMover[Miles],MATCH(SecondaryTransport[[#This Row],[Scenario_MRF_Bale_ID]],BaleMover[Scenario_MRF_Bale_ID],0)))</f>
        <v>0</v>
      </c>
      <c r="AN364" s="251">
        <f>IF(SecondaryTransport[[#This Row],[Bale_ID]]="9000-01","costs elsewhere",SecondaryTransport[[#This Row],[Total_Baled_tons]]*SecondaryTransport[[#This Row],[Miles]])</f>
        <v>0</v>
      </c>
      <c r="AO364" s="352" t="str">
        <f>IF(LEFT(SecondaryTransport[[#This Row],[Bale_ID]],1)*1=5,IF(OR(SecondaryTransport[[#This Row],[MRF_ID]]="02",SecondaryTransport[[#This Row],[MRF_ID]]="08"),2,1),"")</f>
        <v/>
      </c>
      <c r="AP3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6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64" s="224" t="str">
        <f>IFERROR(IF(1*LEFT(SecondaryTransport[[#This Row],[Bale_ID]],1)=5,SecondaryTransport[[#This Row],[Ton-Miles]]*SecondaryTransport[[#This Row],[Cost_Per_Ton-Mile]],""),"")</f>
        <v/>
      </c>
      <c r="AS364" s="224" t="str">
        <f>IFERROR(IF(SecondaryTransport[[#This Row],[Container_Transfer]]="",(SecondaryTransport[[#This Row],[Ton-Miles]]*SecondaryTransport[[#This Row],[Cost_Per_Ton-Mile]]),""),"")</f>
        <v/>
      </c>
    </row>
    <row r="365" spans="3:45" ht="15" x14ac:dyDescent="0.25">
      <c r="C365"/>
      <c r="D365"/>
      <c r="L365" s="446" t="s">
        <v>876</v>
      </c>
      <c r="M365" s="446">
        <v>3</v>
      </c>
      <c r="N365" s="446">
        <v>2</v>
      </c>
      <c r="O365" s="446" t="s">
        <v>706</v>
      </c>
      <c r="P365" s="449" t="s">
        <v>739</v>
      </c>
      <c r="Q365" s="449"/>
      <c r="R365" s="449"/>
      <c r="S365" s="449" t="s">
        <v>707</v>
      </c>
      <c r="T365" s="449" t="s">
        <v>1121</v>
      </c>
      <c r="U365" s="452">
        <v>110.17631167989367</v>
      </c>
      <c r="V3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3966.347220476172</v>
      </c>
      <c r="W365" s="272">
        <f>IFERROR(SUMIFS(TransUnitCost[Miles],TransUnitCost[Grouping_ID],TransTonsShort[[#This Row],[Grouping_ID]],TransUnitCost[Transp_ID],TransTonsShort[[#This Row],[Transp_ID]])*TransTonsShort[[#This Row],[Trans_Tons_All]]/TransTonsShort[[#This Row],[Trans_Tons_All]],"")</f>
        <v>150</v>
      </c>
      <c r="X365" s="386" t="str">
        <f>TransTonsShort[[#This Row],[Grouping_ID]]&amp;"-"&amp;TransTonsShort[[#This Row],[Sector_ID]]</f>
        <v>3-2</v>
      </c>
      <c r="Y3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5" s="421">
        <f>INDEX(LandfillFees[Disposal Tip Fee 2025],MATCH(TransTonsShort[[#This Row],[Grouping_ID]],LandfillFees[Grouping_ID],0))</f>
        <v>72.030938699729589</v>
      </c>
      <c r="AA365" s="102">
        <f>IF(OR(TransTonsShort[[#This Row],[CollectionStream_ID]]="03",TransTonsShort[[#This Row],[CollectionStream_ID]]="04",TransTonsShort[[#This Row],[CollectionStream_ID]]="13"),0,TransTonsShort[[#This Row],[Trans_Tons_All]]*TransTonsShort[[#This Row],[Disposal_Fee]])</f>
        <v>7936.1031527767218</v>
      </c>
      <c r="AF365" s="446" t="s">
        <v>1538</v>
      </c>
      <c r="AG365" s="442" t="str">
        <f>LEFT(SecondaryTransport[[#This Row],[Scenario_MRF_Bale_ID]],2)</f>
        <v>S2</v>
      </c>
      <c r="AH365" s="181" t="str">
        <f>LEFT(RIGHT(SecondaryTransport[[#This Row],[Scenario_MRF_Bale_ID]],10),2)</f>
        <v>05</v>
      </c>
      <c r="AI365" s="181" t="str">
        <f>INDEX(MRFs[MRF_Name],MATCH(SecondaryTransport[[#This Row],[MRF_ID]],MRFs[MRF_ID],0))</f>
        <v>1 CRF (BC) or 1 infeed for transferred containers (Portland)</v>
      </c>
      <c r="AJ365" s="181" t="str">
        <f>RIGHT(SecondaryTransport[[#This Row],[Scenario_MRF_Bale_ID]],7)</f>
        <v>2000-11</v>
      </c>
      <c r="AK365" s="181" t="str">
        <f>INDEX(Bales[Bale_Name],MATCH(SecondaryTransport[[#This Row],[Bale_ID]],Bales[Bale_ID],0))</f>
        <v>PP #5 bottles and jars</v>
      </c>
      <c r="AL365" s="443">
        <f>INDEX(BaleMover[Total_Baled_tons],MATCH(SecondaryTransport[[#This Row],[Scenario_MRF_Bale_ID]],BaleMover[Scenario_MRF_Bale_ID],0))</f>
        <v>129.70722303979406</v>
      </c>
      <c r="AM365" s="443">
        <f>IF(INDEX(BaleMover[Miles],MATCH(SecondaryTransport[[#This Row],[Scenario_MRF_Bale_ID]],BaleMover[Scenario_MRF_Bale_ID],0))="",0,INDEX(BaleMover[Miles],MATCH(SecondaryTransport[[#This Row],[Scenario_MRF_Bale_ID]],BaleMover[Scenario_MRF_Bale_ID],0)))</f>
        <v>20</v>
      </c>
      <c r="AN365" s="251">
        <f>IF(SecondaryTransport[[#This Row],[Bale_ID]]="9000-01","costs elsewhere",SecondaryTransport[[#This Row],[Total_Baled_tons]]*SecondaryTransport[[#This Row],[Miles]])</f>
        <v>2594.1444607958811</v>
      </c>
      <c r="AO365" s="352" t="str">
        <f>IF(LEFT(SecondaryTransport[[#This Row],[Bale_ID]],1)*1=5,IF(OR(SecondaryTransport[[#This Row],[MRF_ID]]="02",SecondaryTransport[[#This Row],[MRF_ID]]="08"),2,1),"")</f>
        <v/>
      </c>
      <c r="AP3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6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65" s="224" t="str">
        <f>IFERROR(IF(1*LEFT(SecondaryTransport[[#This Row],[Bale_ID]],1)=5,SecondaryTransport[[#This Row],[Ton-Miles]]*SecondaryTransport[[#This Row],[Cost_Per_Ton-Mile]],""),"")</f>
        <v/>
      </c>
      <c r="AS365" s="224">
        <f>IFERROR(IF(SecondaryTransport[[#This Row],[Container_Transfer]]="",(SecondaryTransport[[#This Row],[Ton-Miles]]*SecondaryTransport[[#This Row],[Cost_Per_Ton-Mile]]),""),"")</f>
        <v>804.18478284672312</v>
      </c>
    </row>
    <row r="366" spans="3:45" ht="15" x14ac:dyDescent="0.25">
      <c r="C366"/>
      <c r="D366"/>
      <c r="L366" s="446" t="s">
        <v>876</v>
      </c>
      <c r="M366" s="446">
        <v>4</v>
      </c>
      <c r="N366" s="446">
        <v>2</v>
      </c>
      <c r="O366" s="446" t="s">
        <v>706</v>
      </c>
      <c r="P366" s="449" t="s">
        <v>739</v>
      </c>
      <c r="Q366" s="449"/>
      <c r="R366" s="449"/>
      <c r="S366" s="449" t="s">
        <v>707</v>
      </c>
      <c r="T366" s="449" t="s">
        <v>1121</v>
      </c>
      <c r="U366" s="452">
        <v>1.7061039850646562</v>
      </c>
      <c r="V3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93.83571917855609</v>
      </c>
      <c r="W366" s="272">
        <f>IFERROR(SUMIFS(TransUnitCost[Miles],TransUnitCost[Grouping_ID],TransTonsShort[[#This Row],[Grouping_ID]],TransUnitCost[Transp_ID],TransTonsShort[[#This Row],[Transp_ID]])*TransTonsShort[[#This Row],[Trans_Tons_All]]/TransTonsShort[[#This Row],[Trans_Tons_All]],"")</f>
        <v>250</v>
      </c>
      <c r="X366" s="386" t="str">
        <f>TransTonsShort[[#This Row],[Grouping_ID]]&amp;"-"&amp;TransTonsShort[[#This Row],[Sector_ID]]</f>
        <v>4-2</v>
      </c>
      <c r="Y3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6" s="421">
        <f>INDEX(LandfillFees[Disposal Tip Fee 2025],MATCH(TransTonsShort[[#This Row],[Grouping_ID]],LandfillFees[Grouping_ID],0))</f>
        <v>72.030938699729589</v>
      </c>
      <c r="AA366" s="102">
        <f>IF(OR(TransTonsShort[[#This Row],[CollectionStream_ID]]="03",TransTonsShort[[#This Row],[CollectionStream_ID]]="04",TransTonsShort[[#This Row],[CollectionStream_ID]]="13"),0,TransTonsShort[[#This Row],[Trans_Tons_All]]*TransTonsShort[[#This Row],[Disposal_Fee]])</f>
        <v>122.89227156355662</v>
      </c>
      <c r="AF366" s="446" t="s">
        <v>1539</v>
      </c>
      <c r="AG366" s="442" t="str">
        <f>LEFT(SecondaryTransport[[#This Row],[Scenario_MRF_Bale_ID]],2)</f>
        <v>S3</v>
      </c>
      <c r="AH366" s="181" t="str">
        <f>LEFT(RIGHT(SecondaryTransport[[#This Row],[Scenario_MRF_Bale_ID]],10),2)</f>
        <v>05</v>
      </c>
      <c r="AI366" s="181" t="str">
        <f>INDEX(MRFs[MRF_Name],MATCH(SecondaryTransport[[#This Row],[MRF_ID]],MRFs[MRF_ID],0))</f>
        <v>1 CRF (BC) or 1 infeed for transferred containers (Portland)</v>
      </c>
      <c r="AJ366" s="181" t="str">
        <f>RIGHT(SecondaryTransport[[#This Row],[Scenario_MRF_Bale_ID]],7)</f>
        <v>2000-11</v>
      </c>
      <c r="AK366" s="181" t="str">
        <f>INDEX(Bales[Bale_Name],MATCH(SecondaryTransport[[#This Row],[Bale_ID]],Bales[Bale_ID],0))</f>
        <v>PP #5 bottles and jars</v>
      </c>
      <c r="AL366" s="443">
        <f>INDEX(BaleMover[Total_Baled_tons],MATCH(SecondaryTransport[[#This Row],[Scenario_MRF_Bale_ID]],BaleMover[Scenario_MRF_Bale_ID],0))</f>
        <v>180.22550999285727</v>
      </c>
      <c r="AM366" s="443">
        <f>IF(INDEX(BaleMover[Miles],MATCH(SecondaryTransport[[#This Row],[Scenario_MRF_Bale_ID]],BaleMover[Scenario_MRF_Bale_ID],0))="",0,INDEX(BaleMover[Miles],MATCH(SecondaryTransport[[#This Row],[Scenario_MRF_Bale_ID]],BaleMover[Scenario_MRF_Bale_ID],0)))</f>
        <v>5</v>
      </c>
      <c r="AN366" s="251">
        <f>IF(SecondaryTransport[[#This Row],[Bale_ID]]="9000-01","costs elsewhere",SecondaryTransport[[#This Row],[Total_Baled_tons]]*SecondaryTransport[[#This Row],[Miles]])</f>
        <v>901.12754996428635</v>
      </c>
      <c r="AO366" s="352" t="str">
        <f>IF(LEFT(SecondaryTransport[[#This Row],[Bale_ID]],1)*1=5,IF(OR(SecondaryTransport[[#This Row],[MRF_ID]]="02",SecondaryTransport[[#This Row],[MRF_ID]]="08"),2,1),"")</f>
        <v/>
      </c>
      <c r="AP3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6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66" s="224" t="str">
        <f>IFERROR(IF(1*LEFT(SecondaryTransport[[#This Row],[Bale_ID]],1)=5,SecondaryTransport[[#This Row],[Ton-Miles]]*SecondaryTransport[[#This Row],[Cost_Per_Ton-Mile]],""),"")</f>
        <v/>
      </c>
      <c r="AS366" s="224">
        <f>IFERROR(IF(SecondaryTransport[[#This Row],[Container_Transfer]]="",(SecondaryTransport[[#This Row],[Ton-Miles]]*SecondaryTransport[[#This Row],[Cost_Per_Ton-Mile]]),""),"")</f>
        <v>279.34954048892877</v>
      </c>
    </row>
    <row r="367" spans="3:45" ht="15" x14ac:dyDescent="0.25">
      <c r="C367"/>
      <c r="D367"/>
      <c r="L367" s="446" t="s">
        <v>876</v>
      </c>
      <c r="M367" s="446">
        <v>1</v>
      </c>
      <c r="N367" s="446">
        <v>2</v>
      </c>
      <c r="O367" s="448" t="s">
        <v>706</v>
      </c>
      <c r="P367" s="449" t="s">
        <v>700</v>
      </c>
      <c r="Q367" s="449"/>
      <c r="R367" s="449"/>
      <c r="S367" s="449" t="s">
        <v>707</v>
      </c>
      <c r="T367" s="449" t="s">
        <v>701</v>
      </c>
      <c r="U367" s="452">
        <v>960.33134660810276</v>
      </c>
      <c r="V3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7" s="272">
        <f>IFERROR(SUMIFS(TransUnitCost[Miles],TransUnitCost[Grouping_ID],TransTonsShort[[#This Row],[Grouping_ID]],TransUnitCost[Transp_ID],TransTonsShort[[#This Row],[Transp_ID]])*TransTonsShort[[#This Row],[Trans_Tons_All]]/TransTonsShort[[#This Row],[Trans_Tons_All]],"")</f>
        <v>0</v>
      </c>
      <c r="X367" s="386" t="str">
        <f>TransTonsShort[[#This Row],[Grouping_ID]]&amp;"-"&amp;TransTonsShort[[#This Row],[Sector_ID]]</f>
        <v>1-2</v>
      </c>
      <c r="Y3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7" s="421">
        <f>INDEX(LandfillFees[Disposal Tip Fee 2025],MATCH(TransTonsShort[[#This Row],[Grouping_ID]],LandfillFees[Grouping_ID],0))</f>
        <v>134.68</v>
      </c>
      <c r="AA367" s="102">
        <f>IF(OR(TransTonsShort[[#This Row],[CollectionStream_ID]]="03",TransTonsShort[[#This Row],[CollectionStream_ID]]="04",TransTonsShort[[#This Row],[CollectionStream_ID]]="13"),0,TransTonsShort[[#This Row],[Trans_Tons_All]]*TransTonsShort[[#This Row],[Disposal_Fee]])</f>
        <v>129337.42576117929</v>
      </c>
      <c r="AF367" s="446" t="s">
        <v>1540</v>
      </c>
      <c r="AG367" s="442" t="str">
        <f>LEFT(SecondaryTransport[[#This Row],[Scenario_MRF_Bale_ID]],2)</f>
        <v>S2</v>
      </c>
      <c r="AH367" s="181" t="str">
        <f>LEFT(RIGHT(SecondaryTransport[[#This Row],[Scenario_MRF_Bale_ID]],10),2)</f>
        <v>05</v>
      </c>
      <c r="AI367" s="181" t="str">
        <f>INDEX(MRFs[MRF_Name],MATCH(SecondaryTransport[[#This Row],[MRF_ID]],MRFs[MRF_ID],0))</f>
        <v>1 CRF (BC) or 1 infeed for transferred containers (Portland)</v>
      </c>
      <c r="AJ367" s="181" t="str">
        <f>RIGHT(SecondaryTransport[[#This Row],[Scenario_MRF_Bale_ID]],7)</f>
        <v>2000-13</v>
      </c>
      <c r="AK367" s="181" t="str">
        <f>INDEX(Bales[Bale_Name],MATCH(SecondaryTransport[[#This Row],[Bale_ID]],Bales[Bale_ID],0))</f>
        <v>PP #5 small rigid plastic</v>
      </c>
      <c r="AL367" s="443">
        <f>INDEX(BaleMover[Total_Baled_tons],MATCH(SecondaryTransport[[#This Row],[Scenario_MRF_Bale_ID]],BaleMover[Scenario_MRF_Bale_ID],0))</f>
        <v>4009.3502654095842</v>
      </c>
      <c r="AM367" s="443">
        <f>IF(INDEX(BaleMover[Miles],MATCH(SecondaryTransport[[#This Row],[Scenario_MRF_Bale_ID]],BaleMover[Scenario_MRF_Bale_ID],0))="",0,INDEX(BaleMover[Miles],MATCH(SecondaryTransport[[#This Row],[Scenario_MRF_Bale_ID]],BaleMover[Scenario_MRF_Bale_ID],0)))</f>
        <v>20</v>
      </c>
      <c r="AN367" s="251">
        <f>IF(SecondaryTransport[[#This Row],[Bale_ID]]="9000-01","costs elsewhere",SecondaryTransport[[#This Row],[Total_Baled_tons]]*SecondaryTransport[[#This Row],[Miles]])</f>
        <v>80187.005308191685</v>
      </c>
      <c r="AO367" s="352" t="str">
        <f>IF(LEFT(SecondaryTransport[[#This Row],[Bale_ID]],1)*1=5,IF(OR(SecondaryTransport[[#This Row],[MRF_ID]]="02",SecondaryTransport[[#This Row],[MRF_ID]]="08"),2,1),"")</f>
        <v/>
      </c>
      <c r="AP3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6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67" s="224" t="str">
        <f>IFERROR(IF(1*LEFT(SecondaryTransport[[#This Row],[Bale_ID]],1)=5,SecondaryTransport[[#This Row],[Ton-Miles]]*SecondaryTransport[[#This Row],[Cost_Per_Ton-Mile]],""),"")</f>
        <v/>
      </c>
      <c r="AS367" s="224">
        <f>IFERROR(IF(SecondaryTransport[[#This Row],[Container_Transfer]]="",(SecondaryTransport[[#This Row],[Ton-Miles]]*SecondaryTransport[[#This Row],[Cost_Per_Ton-Mile]]),""),"")</f>
        <v>24857.971645539423</v>
      </c>
    </row>
    <row r="368" spans="3:45" ht="15" x14ac:dyDescent="0.25">
      <c r="C368"/>
      <c r="D368"/>
      <c r="L368" s="446" t="s">
        <v>876</v>
      </c>
      <c r="M368" s="446">
        <v>2</v>
      </c>
      <c r="N368" s="446">
        <v>2</v>
      </c>
      <c r="O368" s="448" t="s">
        <v>706</v>
      </c>
      <c r="P368" s="449" t="s">
        <v>700</v>
      </c>
      <c r="Q368" s="449"/>
      <c r="R368" s="449"/>
      <c r="S368" s="449" t="s">
        <v>707</v>
      </c>
      <c r="T368" s="449" t="s">
        <v>701</v>
      </c>
      <c r="U368" s="452">
        <v>0</v>
      </c>
      <c r="V3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8" s="272" t="str">
        <f>IFERROR(SUMIFS(TransUnitCost[Miles],TransUnitCost[Grouping_ID],TransTonsShort[[#This Row],[Grouping_ID]],TransUnitCost[Transp_ID],TransTonsShort[[#This Row],[Transp_ID]])*TransTonsShort[[#This Row],[Trans_Tons_All]]/TransTonsShort[[#This Row],[Trans_Tons_All]],"")</f>
        <v/>
      </c>
      <c r="X368" s="386" t="str">
        <f>TransTonsShort[[#This Row],[Grouping_ID]]&amp;"-"&amp;TransTonsShort[[#This Row],[Sector_ID]]</f>
        <v>2-2</v>
      </c>
      <c r="Y3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8" s="421">
        <f>INDEX(LandfillFees[Disposal Tip Fee 2025],MATCH(TransTonsShort[[#This Row],[Grouping_ID]],LandfillFees[Grouping_ID],0))</f>
        <v>72.030938699729589</v>
      </c>
      <c r="AA368" s="102">
        <f>IF(OR(TransTonsShort[[#This Row],[CollectionStream_ID]]="03",TransTonsShort[[#This Row],[CollectionStream_ID]]="04",TransTonsShort[[#This Row],[CollectionStream_ID]]="13"),0,TransTonsShort[[#This Row],[Trans_Tons_All]]*TransTonsShort[[#This Row],[Disposal_Fee]])</f>
        <v>0</v>
      </c>
      <c r="AF368" s="446" t="s">
        <v>1541</v>
      </c>
      <c r="AG368" s="442" t="str">
        <f>LEFT(SecondaryTransport[[#This Row],[Scenario_MRF_Bale_ID]],2)</f>
        <v>S3</v>
      </c>
      <c r="AH368" s="181" t="str">
        <f>LEFT(RIGHT(SecondaryTransport[[#This Row],[Scenario_MRF_Bale_ID]],10),2)</f>
        <v>05</v>
      </c>
      <c r="AI368" s="181" t="str">
        <f>INDEX(MRFs[MRF_Name],MATCH(SecondaryTransport[[#This Row],[MRF_ID]],MRFs[MRF_ID],0))</f>
        <v>1 CRF (BC) or 1 infeed for transferred containers (Portland)</v>
      </c>
      <c r="AJ368" s="181" t="str">
        <f>RIGHT(SecondaryTransport[[#This Row],[Scenario_MRF_Bale_ID]],7)</f>
        <v>2000-13</v>
      </c>
      <c r="AK368" s="181" t="str">
        <f>INDEX(Bales[Bale_Name],MATCH(SecondaryTransport[[#This Row],[Bale_ID]],Bales[Bale_ID],0))</f>
        <v>PP #5 small rigid plastic</v>
      </c>
      <c r="AL368" s="443">
        <f>INDEX(BaleMover[Total_Baled_tons],MATCH(SecondaryTransport[[#This Row],[Scenario_MRF_Bale_ID]],BaleMover[Scenario_MRF_Bale_ID],0))</f>
        <v>5582.0053660862277</v>
      </c>
      <c r="AM368" s="443">
        <f>IF(INDEX(BaleMover[Miles],MATCH(SecondaryTransport[[#This Row],[Scenario_MRF_Bale_ID]],BaleMover[Scenario_MRF_Bale_ID],0))="",0,INDEX(BaleMover[Miles],MATCH(SecondaryTransport[[#This Row],[Scenario_MRF_Bale_ID]],BaleMover[Scenario_MRF_Bale_ID],0)))</f>
        <v>5</v>
      </c>
      <c r="AN368" s="251">
        <f>IF(SecondaryTransport[[#This Row],[Bale_ID]]="9000-01","costs elsewhere",SecondaryTransport[[#This Row],[Total_Baled_tons]]*SecondaryTransport[[#This Row],[Miles]])</f>
        <v>27910.026830431139</v>
      </c>
      <c r="AO368" s="352" t="str">
        <f>IF(LEFT(SecondaryTransport[[#This Row],[Bale_ID]],1)*1=5,IF(OR(SecondaryTransport[[#This Row],[MRF_ID]]="02",SecondaryTransport[[#This Row],[MRF_ID]]="08"),2,1),"")</f>
        <v/>
      </c>
      <c r="AP3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6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68" s="224" t="str">
        <f>IFERROR(IF(1*LEFT(SecondaryTransport[[#This Row],[Bale_ID]],1)=5,SecondaryTransport[[#This Row],[Ton-Miles]]*SecondaryTransport[[#This Row],[Cost_Per_Ton-Mile]],""),"")</f>
        <v/>
      </c>
      <c r="AS368" s="224">
        <f>IFERROR(IF(SecondaryTransport[[#This Row],[Container_Transfer]]="",(SecondaryTransport[[#This Row],[Ton-Miles]]*SecondaryTransport[[#This Row],[Cost_Per_Ton-Mile]]),""),"")</f>
        <v>8652.1083174336527</v>
      </c>
    </row>
    <row r="369" spans="3:45" ht="15" x14ac:dyDescent="0.25">
      <c r="C369"/>
      <c r="D369"/>
      <c r="L369" s="446" t="s">
        <v>876</v>
      </c>
      <c r="M369" s="446">
        <v>3</v>
      </c>
      <c r="N369" s="446">
        <v>2</v>
      </c>
      <c r="O369" s="448" t="s">
        <v>706</v>
      </c>
      <c r="P369" s="449" t="s">
        <v>700</v>
      </c>
      <c r="Q369" s="449"/>
      <c r="R369" s="449"/>
      <c r="S369" s="449" t="s">
        <v>707</v>
      </c>
      <c r="T369" s="449" t="s">
        <v>701</v>
      </c>
      <c r="U369" s="452">
        <v>0</v>
      </c>
      <c r="V3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69" s="272" t="str">
        <f>IFERROR(SUMIFS(TransUnitCost[Miles],TransUnitCost[Grouping_ID],TransTonsShort[[#This Row],[Grouping_ID]],TransUnitCost[Transp_ID],TransTonsShort[[#This Row],[Transp_ID]])*TransTonsShort[[#This Row],[Trans_Tons_All]]/TransTonsShort[[#This Row],[Trans_Tons_All]],"")</f>
        <v/>
      </c>
      <c r="X369" s="386" t="str">
        <f>TransTonsShort[[#This Row],[Grouping_ID]]&amp;"-"&amp;TransTonsShort[[#This Row],[Sector_ID]]</f>
        <v>3-2</v>
      </c>
      <c r="Y3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69" s="421">
        <f>INDEX(LandfillFees[Disposal Tip Fee 2025],MATCH(TransTonsShort[[#This Row],[Grouping_ID]],LandfillFees[Grouping_ID],0))</f>
        <v>72.030938699729589</v>
      </c>
      <c r="AA369" s="102">
        <f>IF(OR(TransTonsShort[[#This Row],[CollectionStream_ID]]="03",TransTonsShort[[#This Row],[CollectionStream_ID]]="04",TransTonsShort[[#This Row],[CollectionStream_ID]]="13"),0,TransTonsShort[[#This Row],[Trans_Tons_All]]*TransTonsShort[[#This Row],[Disposal_Fee]])</f>
        <v>0</v>
      </c>
      <c r="AF369" s="446" t="s">
        <v>1542</v>
      </c>
      <c r="AG369" s="442" t="str">
        <f>LEFT(SecondaryTransport[[#This Row],[Scenario_MRF_Bale_ID]],2)</f>
        <v>S2</v>
      </c>
      <c r="AH369" s="181" t="str">
        <f>LEFT(RIGHT(SecondaryTransport[[#This Row],[Scenario_MRF_Bale_ID]],10),2)</f>
        <v>05</v>
      </c>
      <c r="AI369" s="181" t="str">
        <f>INDEX(MRFs[MRF_Name],MATCH(SecondaryTransport[[#This Row],[MRF_ID]],MRFs[MRF_ID],0))</f>
        <v>1 CRF (BC) or 1 infeed for transferred containers (Portland)</v>
      </c>
      <c r="AJ369" s="181" t="str">
        <f>RIGHT(SecondaryTransport[[#This Row],[Scenario_MRF_Bale_ID]],7)</f>
        <v>2000-14</v>
      </c>
      <c r="AK369" s="181" t="str">
        <f>INDEX(Bales[Bale_Name],MATCH(SecondaryTransport[[#This Row],[Bale_ID]],Bales[Bale_ID],0))</f>
        <v>Solid PS #6 (rigid) </v>
      </c>
      <c r="AL369" s="443">
        <f>INDEX(BaleMover[Total_Baled_tons],MATCH(SecondaryTransport[[#This Row],[Scenario_MRF_Bale_ID]],BaleMover[Scenario_MRF_Bale_ID],0))</f>
        <v>382.32323392526212</v>
      </c>
      <c r="AM369" s="443">
        <f>IF(INDEX(BaleMover[Miles],MATCH(SecondaryTransport[[#This Row],[Scenario_MRF_Bale_ID]],BaleMover[Scenario_MRF_Bale_ID],0))="",0,INDEX(BaleMover[Miles],MATCH(SecondaryTransport[[#This Row],[Scenario_MRF_Bale_ID]],BaleMover[Scenario_MRF_Bale_ID],0)))</f>
        <v>20</v>
      </c>
      <c r="AN369" s="251">
        <f>IF(SecondaryTransport[[#This Row],[Bale_ID]]="9000-01","costs elsewhere",SecondaryTransport[[#This Row],[Total_Baled_tons]]*SecondaryTransport[[#This Row],[Miles]])</f>
        <v>7646.4646785052428</v>
      </c>
      <c r="AO369" s="352" t="str">
        <f>IF(LEFT(SecondaryTransport[[#This Row],[Bale_ID]],1)*1=5,IF(OR(SecondaryTransport[[#This Row],[MRF_ID]]="02",SecondaryTransport[[#This Row],[MRF_ID]]="08"),2,1),"")</f>
        <v/>
      </c>
      <c r="AP3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6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69" s="224" t="str">
        <f>IFERROR(IF(1*LEFT(SecondaryTransport[[#This Row],[Bale_ID]],1)=5,SecondaryTransport[[#This Row],[Ton-Miles]]*SecondaryTransport[[#This Row],[Cost_Per_Ton-Mile]],""),"")</f>
        <v/>
      </c>
      <c r="AS369" s="224">
        <f>IFERROR(IF(SecondaryTransport[[#This Row],[Container_Transfer]]="",(SecondaryTransport[[#This Row],[Ton-Miles]]*SecondaryTransport[[#This Row],[Cost_Per_Ton-Mile]]),""),"")</f>
        <v>2370.4040503366255</v>
      </c>
    </row>
    <row r="370" spans="3:45" ht="15" x14ac:dyDescent="0.25">
      <c r="C370"/>
      <c r="D370"/>
      <c r="L370" s="446" t="s">
        <v>876</v>
      </c>
      <c r="M370" s="446">
        <v>4</v>
      </c>
      <c r="N370" s="446">
        <v>2</v>
      </c>
      <c r="O370" s="448" t="s">
        <v>706</v>
      </c>
      <c r="P370" s="449" t="s">
        <v>700</v>
      </c>
      <c r="Q370" s="449"/>
      <c r="R370" s="449"/>
      <c r="S370" s="449" t="s">
        <v>707</v>
      </c>
      <c r="T370" s="449" t="s">
        <v>701</v>
      </c>
      <c r="U370" s="452">
        <v>0</v>
      </c>
      <c r="V3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0" s="272" t="str">
        <f>IFERROR(SUMIFS(TransUnitCost[Miles],TransUnitCost[Grouping_ID],TransTonsShort[[#This Row],[Grouping_ID]],TransUnitCost[Transp_ID],TransTonsShort[[#This Row],[Transp_ID]])*TransTonsShort[[#This Row],[Trans_Tons_All]]/TransTonsShort[[#This Row],[Trans_Tons_All]],"")</f>
        <v/>
      </c>
      <c r="X370" s="386" t="str">
        <f>TransTonsShort[[#This Row],[Grouping_ID]]&amp;"-"&amp;TransTonsShort[[#This Row],[Sector_ID]]</f>
        <v>4-2</v>
      </c>
      <c r="Y3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0" s="421">
        <f>INDEX(LandfillFees[Disposal Tip Fee 2025],MATCH(TransTonsShort[[#This Row],[Grouping_ID]],LandfillFees[Grouping_ID],0))</f>
        <v>72.030938699729589</v>
      </c>
      <c r="AA370" s="102">
        <f>IF(OR(TransTonsShort[[#This Row],[CollectionStream_ID]]="03",TransTonsShort[[#This Row],[CollectionStream_ID]]="04",TransTonsShort[[#This Row],[CollectionStream_ID]]="13"),0,TransTonsShort[[#This Row],[Trans_Tons_All]]*TransTonsShort[[#This Row],[Disposal_Fee]])</f>
        <v>0</v>
      </c>
      <c r="AF370" s="446" t="s">
        <v>1543</v>
      </c>
      <c r="AG370" s="442" t="str">
        <f>LEFT(SecondaryTransport[[#This Row],[Scenario_MRF_Bale_ID]],2)</f>
        <v>S3</v>
      </c>
      <c r="AH370" s="181" t="str">
        <f>LEFT(RIGHT(SecondaryTransport[[#This Row],[Scenario_MRF_Bale_ID]],10),2)</f>
        <v>05</v>
      </c>
      <c r="AI370" s="181" t="str">
        <f>INDEX(MRFs[MRF_Name],MATCH(SecondaryTransport[[#This Row],[MRF_ID]],MRFs[MRF_ID],0))</f>
        <v>1 CRF (BC) or 1 infeed for transferred containers (Portland)</v>
      </c>
      <c r="AJ370" s="181" t="str">
        <f>RIGHT(SecondaryTransport[[#This Row],[Scenario_MRF_Bale_ID]],7)</f>
        <v>2000-14</v>
      </c>
      <c r="AK370" s="181" t="str">
        <f>INDEX(Bales[Bale_Name],MATCH(SecondaryTransport[[#This Row],[Bale_ID]],Bales[Bale_ID],0))</f>
        <v>Solid PS #6 (rigid) </v>
      </c>
      <c r="AL370" s="443">
        <f>INDEX(BaleMover[Total_Baled_tons],MATCH(SecondaryTransport[[#This Row],[Scenario_MRF_Bale_ID]],BaleMover[Scenario_MRF_Bale_ID],0))</f>
        <v>530.64198037180893</v>
      </c>
      <c r="AM370" s="443">
        <f>IF(INDEX(BaleMover[Miles],MATCH(SecondaryTransport[[#This Row],[Scenario_MRF_Bale_ID]],BaleMover[Scenario_MRF_Bale_ID],0))="",0,INDEX(BaleMover[Miles],MATCH(SecondaryTransport[[#This Row],[Scenario_MRF_Bale_ID]],BaleMover[Scenario_MRF_Bale_ID],0)))</f>
        <v>315</v>
      </c>
      <c r="AN370" s="251">
        <f>IF(SecondaryTransport[[#This Row],[Bale_ID]]="9000-01","costs elsewhere",SecondaryTransport[[#This Row],[Total_Baled_tons]]*SecondaryTransport[[#This Row],[Miles]])</f>
        <v>167152.22381711981</v>
      </c>
      <c r="AO370" s="352" t="str">
        <f>IF(LEFT(SecondaryTransport[[#This Row],[Bale_ID]],1)*1=5,IF(OR(SecondaryTransport[[#This Row],[MRF_ID]]="02",SecondaryTransport[[#This Row],[MRF_ID]]="08"),2,1),"")</f>
        <v/>
      </c>
      <c r="AP3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7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70" s="224" t="str">
        <f>IFERROR(IF(1*LEFT(SecondaryTransport[[#This Row],[Bale_ID]],1)=5,SecondaryTransport[[#This Row],[Ton-Miles]]*SecondaryTransport[[#This Row],[Cost_Per_Ton-Mile]],""),"")</f>
        <v/>
      </c>
      <c r="AS370" s="224">
        <f>IFERROR(IF(SecondaryTransport[[#This Row],[Container_Transfer]]="",(SecondaryTransport[[#This Row],[Ton-Miles]]*SecondaryTransport[[#This Row],[Cost_Per_Ton-Mile]]),""),"")</f>
        <v>23401.311334396774</v>
      </c>
    </row>
    <row r="371" spans="3:45" ht="15" x14ac:dyDescent="0.25">
      <c r="C371"/>
      <c r="D371"/>
      <c r="L371" s="446" t="s">
        <v>876</v>
      </c>
      <c r="M371" s="446">
        <v>1</v>
      </c>
      <c r="N371" s="446">
        <v>2</v>
      </c>
      <c r="O371" s="448" t="s">
        <v>752</v>
      </c>
      <c r="P371" s="449" t="s">
        <v>719</v>
      </c>
      <c r="Q371" s="449"/>
      <c r="R371" s="449"/>
      <c r="S371" s="449" t="s">
        <v>964</v>
      </c>
      <c r="T371" s="449" t="s">
        <v>1055</v>
      </c>
      <c r="U371" s="452">
        <v>0</v>
      </c>
      <c r="V3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1" s="272" t="str">
        <f>IFERROR(SUMIFS(TransUnitCost[Miles],TransUnitCost[Grouping_ID],TransTonsShort[[#This Row],[Grouping_ID]],TransUnitCost[Transp_ID],TransTonsShort[[#This Row],[Transp_ID]])*TransTonsShort[[#This Row],[Trans_Tons_All]]/TransTonsShort[[#This Row],[Trans_Tons_All]],"")</f>
        <v/>
      </c>
      <c r="X371" s="386" t="str">
        <f>TransTonsShort[[#This Row],[Grouping_ID]]&amp;"-"&amp;TransTonsShort[[#This Row],[Sector_ID]]</f>
        <v>1-2</v>
      </c>
      <c r="Y3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1" s="421">
        <f>INDEX(LandfillFees[Disposal Tip Fee 2025],MATCH(TransTonsShort[[#This Row],[Grouping_ID]],LandfillFees[Grouping_ID],0))</f>
        <v>134.68</v>
      </c>
      <c r="AA371" s="102">
        <f>IF(OR(TransTonsShort[[#This Row],[CollectionStream_ID]]="03",TransTonsShort[[#This Row],[CollectionStream_ID]]="04",TransTonsShort[[#This Row],[CollectionStream_ID]]="13"),0,TransTonsShort[[#This Row],[Trans_Tons_All]]*TransTonsShort[[#This Row],[Disposal_Fee]])</f>
        <v>0</v>
      </c>
      <c r="AF371" s="446" t="s">
        <v>1544</v>
      </c>
      <c r="AG371" s="442" t="str">
        <f>LEFT(SecondaryTransport[[#This Row],[Scenario_MRF_Bale_ID]],2)</f>
        <v>S2</v>
      </c>
      <c r="AH371" s="181" t="str">
        <f>LEFT(RIGHT(SecondaryTransport[[#This Row],[Scenario_MRF_Bale_ID]],10),2)</f>
        <v>05</v>
      </c>
      <c r="AI371" s="181" t="str">
        <f>INDEX(MRFs[MRF_Name],MATCH(SecondaryTransport[[#This Row],[MRF_ID]],MRFs[MRF_ID],0))</f>
        <v>1 CRF (BC) or 1 infeed for transferred containers (Portland)</v>
      </c>
      <c r="AJ371" s="181" t="str">
        <f>RIGHT(SecondaryTransport[[#This Row],[Scenario_MRF_Bale_ID]],7)</f>
        <v>2000-16</v>
      </c>
      <c r="AK371" s="181" t="str">
        <f>INDEX(Bales[Bale_Name],MATCH(SecondaryTransport[[#This Row],[Bale_ID]],Bales[Bale_ID],0))</f>
        <v>Foam PS #6 (transport block and shape, densified)</v>
      </c>
      <c r="AL371" s="443">
        <f>INDEX(BaleMover[Total_Baled_tons],MATCH(SecondaryTransport[[#This Row],[Scenario_MRF_Bale_ID]],BaleMover[Scenario_MRF_Bale_ID],0))</f>
        <v>0</v>
      </c>
      <c r="AM371" s="443">
        <f>IF(INDEX(BaleMover[Miles],MATCH(SecondaryTransport[[#This Row],[Scenario_MRF_Bale_ID]],BaleMover[Scenario_MRF_Bale_ID],0))="",0,INDEX(BaleMover[Miles],MATCH(SecondaryTransport[[#This Row],[Scenario_MRF_Bale_ID]],BaleMover[Scenario_MRF_Bale_ID],0)))</f>
        <v>0</v>
      </c>
      <c r="AN371" s="251">
        <f>IF(SecondaryTransport[[#This Row],[Bale_ID]]="9000-01","costs elsewhere",SecondaryTransport[[#This Row],[Total_Baled_tons]]*SecondaryTransport[[#This Row],[Miles]])</f>
        <v>0</v>
      </c>
      <c r="AO371" s="352" t="str">
        <f>IF(LEFT(SecondaryTransport[[#This Row],[Bale_ID]],1)*1=5,IF(OR(SecondaryTransport[[#This Row],[MRF_ID]]="02",SecondaryTransport[[#This Row],[MRF_ID]]="08"),2,1),"")</f>
        <v/>
      </c>
      <c r="AP3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1" s="224" t="str">
        <f>IFERROR(IF(1*LEFT(SecondaryTransport[[#This Row],[Bale_ID]],1)=5,SecondaryTransport[[#This Row],[Ton-Miles]]*SecondaryTransport[[#This Row],[Cost_Per_Ton-Mile]],""),"")</f>
        <v/>
      </c>
      <c r="AS371" s="224" t="str">
        <f>IFERROR(IF(SecondaryTransport[[#This Row],[Container_Transfer]]="",(SecondaryTransport[[#This Row],[Ton-Miles]]*SecondaryTransport[[#This Row],[Cost_Per_Ton-Mile]]),""),"")</f>
        <v/>
      </c>
    </row>
    <row r="372" spans="3:45" ht="15" x14ac:dyDescent="0.25">
      <c r="C372"/>
      <c r="D372"/>
      <c r="L372" s="446" t="s">
        <v>876</v>
      </c>
      <c r="M372" s="446">
        <v>2</v>
      </c>
      <c r="N372" s="446">
        <v>2</v>
      </c>
      <c r="O372" s="448" t="s">
        <v>752</v>
      </c>
      <c r="P372" s="449" t="s">
        <v>719</v>
      </c>
      <c r="Q372" s="449"/>
      <c r="R372" s="449"/>
      <c r="S372" s="449" t="s">
        <v>964</v>
      </c>
      <c r="T372" s="449" t="s">
        <v>1055</v>
      </c>
      <c r="U372" s="452">
        <v>0</v>
      </c>
      <c r="V3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2" s="272" t="str">
        <f>IFERROR(SUMIFS(TransUnitCost[Miles],TransUnitCost[Grouping_ID],TransTonsShort[[#This Row],[Grouping_ID]],TransUnitCost[Transp_ID],TransTonsShort[[#This Row],[Transp_ID]])*TransTonsShort[[#This Row],[Trans_Tons_All]]/TransTonsShort[[#This Row],[Trans_Tons_All]],"")</f>
        <v/>
      </c>
      <c r="X372" s="386" t="str">
        <f>TransTonsShort[[#This Row],[Grouping_ID]]&amp;"-"&amp;TransTonsShort[[#This Row],[Sector_ID]]</f>
        <v>2-2</v>
      </c>
      <c r="Y3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2" s="421">
        <f>INDEX(LandfillFees[Disposal Tip Fee 2025],MATCH(TransTonsShort[[#This Row],[Grouping_ID]],LandfillFees[Grouping_ID],0))</f>
        <v>72.030938699729589</v>
      </c>
      <c r="AA372" s="102">
        <f>IF(OR(TransTonsShort[[#This Row],[CollectionStream_ID]]="03",TransTonsShort[[#This Row],[CollectionStream_ID]]="04",TransTonsShort[[#This Row],[CollectionStream_ID]]="13"),0,TransTonsShort[[#This Row],[Trans_Tons_All]]*TransTonsShort[[#This Row],[Disposal_Fee]])</f>
        <v>0</v>
      </c>
      <c r="AF372" s="446" t="s">
        <v>1545</v>
      </c>
      <c r="AG372" s="442" t="str">
        <f>LEFT(SecondaryTransport[[#This Row],[Scenario_MRF_Bale_ID]],2)</f>
        <v>S3</v>
      </c>
      <c r="AH372" s="181" t="str">
        <f>LEFT(RIGHT(SecondaryTransport[[#This Row],[Scenario_MRF_Bale_ID]],10),2)</f>
        <v>05</v>
      </c>
      <c r="AI372" s="181" t="str">
        <f>INDEX(MRFs[MRF_Name],MATCH(SecondaryTransport[[#This Row],[MRF_ID]],MRFs[MRF_ID],0))</f>
        <v>1 CRF (BC) or 1 infeed for transferred containers (Portland)</v>
      </c>
      <c r="AJ372" s="181" t="str">
        <f>RIGHT(SecondaryTransport[[#This Row],[Scenario_MRF_Bale_ID]],7)</f>
        <v>2000-16</v>
      </c>
      <c r="AK372" s="181" t="str">
        <f>INDEX(Bales[Bale_Name],MATCH(SecondaryTransport[[#This Row],[Bale_ID]],Bales[Bale_ID],0))</f>
        <v>Foam PS #6 (transport block and shape, densified)</v>
      </c>
      <c r="AL372" s="443">
        <f>INDEX(BaleMover[Total_Baled_tons],MATCH(SecondaryTransport[[#This Row],[Scenario_MRF_Bale_ID]],BaleMover[Scenario_MRF_Bale_ID],0))</f>
        <v>0</v>
      </c>
      <c r="AM372" s="443">
        <f>IF(INDEX(BaleMover[Miles],MATCH(SecondaryTransport[[#This Row],[Scenario_MRF_Bale_ID]],BaleMover[Scenario_MRF_Bale_ID],0))="",0,INDEX(BaleMover[Miles],MATCH(SecondaryTransport[[#This Row],[Scenario_MRF_Bale_ID]],BaleMover[Scenario_MRF_Bale_ID],0)))</f>
        <v>0</v>
      </c>
      <c r="AN372" s="251">
        <f>IF(SecondaryTransport[[#This Row],[Bale_ID]]="9000-01","costs elsewhere",SecondaryTransport[[#This Row],[Total_Baled_tons]]*SecondaryTransport[[#This Row],[Miles]])</f>
        <v>0</v>
      </c>
      <c r="AO372" s="352" t="str">
        <f>IF(LEFT(SecondaryTransport[[#This Row],[Bale_ID]],1)*1=5,IF(OR(SecondaryTransport[[#This Row],[MRF_ID]]="02",SecondaryTransport[[#This Row],[MRF_ID]]="08"),2,1),"")</f>
        <v/>
      </c>
      <c r="AP3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2" s="224" t="str">
        <f>IFERROR(IF(1*LEFT(SecondaryTransport[[#This Row],[Bale_ID]],1)=5,SecondaryTransport[[#This Row],[Ton-Miles]]*SecondaryTransport[[#This Row],[Cost_Per_Ton-Mile]],""),"")</f>
        <v/>
      </c>
      <c r="AS372" s="224" t="str">
        <f>IFERROR(IF(SecondaryTransport[[#This Row],[Container_Transfer]]="",(SecondaryTransport[[#This Row],[Ton-Miles]]*SecondaryTransport[[#This Row],[Cost_Per_Ton-Mile]]),""),"")</f>
        <v/>
      </c>
    </row>
    <row r="373" spans="3:45" ht="15" x14ac:dyDescent="0.25">
      <c r="C373"/>
      <c r="D373"/>
      <c r="L373" s="446" t="s">
        <v>876</v>
      </c>
      <c r="M373" s="446">
        <v>3</v>
      </c>
      <c r="N373" s="446">
        <v>2</v>
      </c>
      <c r="O373" s="448" t="s">
        <v>752</v>
      </c>
      <c r="P373" s="449" t="s">
        <v>719</v>
      </c>
      <c r="Q373" s="449"/>
      <c r="R373" s="449"/>
      <c r="S373" s="449" t="s">
        <v>964</v>
      </c>
      <c r="T373" s="449" t="s">
        <v>1055</v>
      </c>
      <c r="U373" s="452">
        <v>0</v>
      </c>
      <c r="V3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3" s="272" t="str">
        <f>IFERROR(SUMIFS(TransUnitCost[Miles],TransUnitCost[Grouping_ID],TransTonsShort[[#This Row],[Grouping_ID]],TransUnitCost[Transp_ID],TransTonsShort[[#This Row],[Transp_ID]])*TransTonsShort[[#This Row],[Trans_Tons_All]]/TransTonsShort[[#This Row],[Trans_Tons_All]],"")</f>
        <v/>
      </c>
      <c r="X373" s="386" t="str">
        <f>TransTonsShort[[#This Row],[Grouping_ID]]&amp;"-"&amp;TransTonsShort[[#This Row],[Sector_ID]]</f>
        <v>3-2</v>
      </c>
      <c r="Y3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3" s="421">
        <f>INDEX(LandfillFees[Disposal Tip Fee 2025],MATCH(TransTonsShort[[#This Row],[Grouping_ID]],LandfillFees[Grouping_ID],0))</f>
        <v>72.030938699729589</v>
      </c>
      <c r="AA373" s="102">
        <f>IF(OR(TransTonsShort[[#This Row],[CollectionStream_ID]]="03",TransTonsShort[[#This Row],[CollectionStream_ID]]="04",TransTonsShort[[#This Row],[CollectionStream_ID]]="13"),0,TransTonsShort[[#This Row],[Trans_Tons_All]]*TransTonsShort[[#This Row],[Disposal_Fee]])</f>
        <v>0</v>
      </c>
      <c r="AF373" s="446" t="s">
        <v>1546</v>
      </c>
      <c r="AG373" s="442" t="str">
        <f>LEFT(SecondaryTransport[[#This Row],[Scenario_MRF_Bale_ID]],2)</f>
        <v>S2</v>
      </c>
      <c r="AH373" s="181" t="str">
        <f>LEFT(RIGHT(SecondaryTransport[[#This Row],[Scenario_MRF_Bale_ID]],10),2)</f>
        <v>05</v>
      </c>
      <c r="AI373" s="181" t="str">
        <f>INDEX(MRFs[MRF_Name],MATCH(SecondaryTransport[[#This Row],[MRF_ID]],MRFs[MRF_ID],0))</f>
        <v>1 CRF (BC) or 1 infeed for transferred containers (Portland)</v>
      </c>
      <c r="AJ373" s="181" t="str">
        <f>RIGHT(SecondaryTransport[[#This Row],[Scenario_MRF_Bale_ID]],7)</f>
        <v>2000-17</v>
      </c>
      <c r="AK373" s="181" t="str">
        <f>INDEX(Bales[Bale_Name],MATCH(SecondaryTransport[[#This Row],[Bale_ID]],Bales[Bale_ID],0))</f>
        <v>Densified MRF Grade Foam PS #6 (food service and packaging) </v>
      </c>
      <c r="AL373" s="443">
        <f>INDEX(BaleMover[Total_Baled_tons],MATCH(SecondaryTransport[[#This Row],[Scenario_MRF_Bale_ID]],BaleMover[Scenario_MRF_Bale_ID],0))</f>
        <v>0</v>
      </c>
      <c r="AM373" s="443">
        <f>IF(INDEX(BaleMover[Miles],MATCH(SecondaryTransport[[#This Row],[Scenario_MRF_Bale_ID]],BaleMover[Scenario_MRF_Bale_ID],0))="",0,INDEX(BaleMover[Miles],MATCH(SecondaryTransport[[#This Row],[Scenario_MRF_Bale_ID]],BaleMover[Scenario_MRF_Bale_ID],0)))</f>
        <v>0</v>
      </c>
      <c r="AN373" s="251">
        <f>IF(SecondaryTransport[[#This Row],[Bale_ID]]="9000-01","costs elsewhere",SecondaryTransport[[#This Row],[Total_Baled_tons]]*SecondaryTransport[[#This Row],[Miles]])</f>
        <v>0</v>
      </c>
      <c r="AO373" s="352" t="str">
        <f>IF(LEFT(SecondaryTransport[[#This Row],[Bale_ID]],1)*1=5,IF(OR(SecondaryTransport[[#This Row],[MRF_ID]]="02",SecondaryTransport[[#This Row],[MRF_ID]]="08"),2,1),"")</f>
        <v/>
      </c>
      <c r="AP3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3" s="224" t="str">
        <f>IFERROR(IF(1*LEFT(SecondaryTransport[[#This Row],[Bale_ID]],1)=5,SecondaryTransport[[#This Row],[Ton-Miles]]*SecondaryTransport[[#This Row],[Cost_Per_Ton-Mile]],""),"")</f>
        <v/>
      </c>
      <c r="AS373" s="224" t="str">
        <f>IFERROR(IF(SecondaryTransport[[#This Row],[Container_Transfer]]="",(SecondaryTransport[[#This Row],[Ton-Miles]]*SecondaryTransport[[#This Row],[Cost_Per_Ton-Mile]]),""),"")</f>
        <v/>
      </c>
    </row>
    <row r="374" spans="3:45" ht="15" x14ac:dyDescent="0.25">
      <c r="C374"/>
      <c r="D374"/>
      <c r="L374" s="446" t="s">
        <v>876</v>
      </c>
      <c r="M374" s="446">
        <v>4</v>
      </c>
      <c r="N374" s="446">
        <v>2</v>
      </c>
      <c r="O374" s="448" t="s">
        <v>752</v>
      </c>
      <c r="P374" s="449" t="s">
        <v>719</v>
      </c>
      <c r="Q374" s="449"/>
      <c r="R374" s="449"/>
      <c r="S374" s="449" t="s">
        <v>964</v>
      </c>
      <c r="T374" s="449" t="s">
        <v>1055</v>
      </c>
      <c r="U374" s="452">
        <v>0</v>
      </c>
      <c r="V3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4" s="272" t="str">
        <f>IFERROR(SUMIFS(TransUnitCost[Miles],TransUnitCost[Grouping_ID],TransTonsShort[[#This Row],[Grouping_ID]],TransUnitCost[Transp_ID],TransTonsShort[[#This Row],[Transp_ID]])*TransTonsShort[[#This Row],[Trans_Tons_All]]/TransTonsShort[[#This Row],[Trans_Tons_All]],"")</f>
        <v/>
      </c>
      <c r="X374" s="386" t="str">
        <f>TransTonsShort[[#This Row],[Grouping_ID]]&amp;"-"&amp;TransTonsShort[[#This Row],[Sector_ID]]</f>
        <v>4-2</v>
      </c>
      <c r="Y3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4" s="421">
        <f>INDEX(LandfillFees[Disposal Tip Fee 2025],MATCH(TransTonsShort[[#This Row],[Grouping_ID]],LandfillFees[Grouping_ID],0))</f>
        <v>72.030938699729589</v>
      </c>
      <c r="AA374" s="102">
        <f>IF(OR(TransTonsShort[[#This Row],[CollectionStream_ID]]="03",TransTonsShort[[#This Row],[CollectionStream_ID]]="04",TransTonsShort[[#This Row],[CollectionStream_ID]]="13"),0,TransTonsShort[[#This Row],[Trans_Tons_All]]*TransTonsShort[[#This Row],[Disposal_Fee]])</f>
        <v>0</v>
      </c>
      <c r="AF374" s="446" t="s">
        <v>1547</v>
      </c>
      <c r="AG374" s="442" t="str">
        <f>LEFT(SecondaryTransport[[#This Row],[Scenario_MRF_Bale_ID]],2)</f>
        <v>S3</v>
      </c>
      <c r="AH374" s="181" t="str">
        <f>LEFT(RIGHT(SecondaryTransport[[#This Row],[Scenario_MRF_Bale_ID]],10),2)</f>
        <v>05</v>
      </c>
      <c r="AI374" s="181" t="str">
        <f>INDEX(MRFs[MRF_Name],MATCH(SecondaryTransport[[#This Row],[MRF_ID]],MRFs[MRF_ID],0))</f>
        <v>1 CRF (BC) or 1 infeed for transferred containers (Portland)</v>
      </c>
      <c r="AJ374" s="181" t="str">
        <f>RIGHT(SecondaryTransport[[#This Row],[Scenario_MRF_Bale_ID]],7)</f>
        <v>2000-17</v>
      </c>
      <c r="AK374" s="181" t="str">
        <f>INDEX(Bales[Bale_Name],MATCH(SecondaryTransport[[#This Row],[Bale_ID]],Bales[Bale_ID],0))</f>
        <v>Densified MRF Grade Foam PS #6 (food service and packaging) </v>
      </c>
      <c r="AL374" s="443">
        <f>INDEX(BaleMover[Total_Baled_tons],MATCH(SecondaryTransport[[#This Row],[Scenario_MRF_Bale_ID]],BaleMover[Scenario_MRF_Bale_ID],0))</f>
        <v>0</v>
      </c>
      <c r="AM374" s="443">
        <f>IF(INDEX(BaleMover[Miles],MATCH(SecondaryTransport[[#This Row],[Scenario_MRF_Bale_ID]],BaleMover[Scenario_MRF_Bale_ID],0))="",0,INDEX(BaleMover[Miles],MATCH(SecondaryTransport[[#This Row],[Scenario_MRF_Bale_ID]],BaleMover[Scenario_MRF_Bale_ID],0)))</f>
        <v>0</v>
      </c>
      <c r="AN374" s="251">
        <f>IF(SecondaryTransport[[#This Row],[Bale_ID]]="9000-01","costs elsewhere",SecondaryTransport[[#This Row],[Total_Baled_tons]]*SecondaryTransport[[#This Row],[Miles]])</f>
        <v>0</v>
      </c>
      <c r="AO374" s="352" t="str">
        <f>IF(LEFT(SecondaryTransport[[#This Row],[Bale_ID]],1)*1=5,IF(OR(SecondaryTransport[[#This Row],[MRF_ID]]="02",SecondaryTransport[[#This Row],[MRF_ID]]="08"),2,1),"")</f>
        <v/>
      </c>
      <c r="AP3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4" s="224" t="str">
        <f>IFERROR(IF(1*LEFT(SecondaryTransport[[#This Row],[Bale_ID]],1)=5,SecondaryTransport[[#This Row],[Ton-Miles]]*SecondaryTransport[[#This Row],[Cost_Per_Ton-Mile]],""),"")</f>
        <v/>
      </c>
      <c r="AS374" s="224" t="str">
        <f>IFERROR(IF(SecondaryTransport[[#This Row],[Container_Transfer]]="",(SecondaryTransport[[#This Row],[Ton-Miles]]*SecondaryTransport[[#This Row],[Cost_Per_Ton-Mile]]),""),"")</f>
        <v/>
      </c>
    </row>
    <row r="375" spans="3:45" ht="15" x14ac:dyDescent="0.25">
      <c r="C375"/>
      <c r="D375"/>
      <c r="L375" s="446" t="s">
        <v>876</v>
      </c>
      <c r="M375" s="446">
        <v>1</v>
      </c>
      <c r="N375" s="446">
        <v>2</v>
      </c>
      <c r="O375" s="448" t="s">
        <v>752</v>
      </c>
      <c r="P375" s="449" t="s">
        <v>700</v>
      </c>
      <c r="Q375" s="449"/>
      <c r="R375" s="449"/>
      <c r="S375" s="449" t="s">
        <v>964</v>
      </c>
      <c r="T375" s="449" t="s">
        <v>701</v>
      </c>
      <c r="U375" s="452">
        <v>0</v>
      </c>
      <c r="V3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5" s="272" t="str">
        <f>IFERROR(SUMIFS(TransUnitCost[Miles],TransUnitCost[Grouping_ID],TransTonsShort[[#This Row],[Grouping_ID]],TransUnitCost[Transp_ID],TransTonsShort[[#This Row],[Transp_ID]])*TransTonsShort[[#This Row],[Trans_Tons_All]]/TransTonsShort[[#This Row],[Trans_Tons_All]],"")</f>
        <v/>
      </c>
      <c r="X375" s="386" t="str">
        <f>TransTonsShort[[#This Row],[Grouping_ID]]&amp;"-"&amp;TransTonsShort[[#This Row],[Sector_ID]]</f>
        <v>1-2</v>
      </c>
      <c r="Y3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5" s="421">
        <f>INDEX(LandfillFees[Disposal Tip Fee 2025],MATCH(TransTonsShort[[#This Row],[Grouping_ID]],LandfillFees[Grouping_ID],0))</f>
        <v>134.68</v>
      </c>
      <c r="AA375" s="102">
        <f>IF(OR(TransTonsShort[[#This Row],[CollectionStream_ID]]="03",TransTonsShort[[#This Row],[CollectionStream_ID]]="04",TransTonsShort[[#This Row],[CollectionStream_ID]]="13"),0,TransTonsShort[[#This Row],[Trans_Tons_All]]*TransTonsShort[[#This Row],[Disposal_Fee]])</f>
        <v>0</v>
      </c>
      <c r="AF375" s="446" t="s">
        <v>1548</v>
      </c>
      <c r="AG375" s="442" t="str">
        <f>LEFT(SecondaryTransport[[#This Row],[Scenario_MRF_Bale_ID]],2)</f>
        <v>S2</v>
      </c>
      <c r="AH375" s="181" t="str">
        <f>LEFT(RIGHT(SecondaryTransport[[#This Row],[Scenario_MRF_Bale_ID]],10),2)</f>
        <v>05</v>
      </c>
      <c r="AI375" s="181" t="str">
        <f>INDEX(MRFs[MRF_Name],MATCH(SecondaryTransport[[#This Row],[MRF_ID]],MRFs[MRF_ID],0))</f>
        <v>1 CRF (BC) or 1 infeed for transferred containers (Portland)</v>
      </c>
      <c r="AJ375" s="181" t="str">
        <f>RIGHT(SecondaryTransport[[#This Row],[Scenario_MRF_Bale_ID]],7)</f>
        <v>2000-18</v>
      </c>
      <c r="AK375" s="181" t="str">
        <f>INDEX(Bales[Bale_Name],MATCH(SecondaryTransport[[#This Row],[Bale_ID]],Bales[Bale_ID],0))</f>
        <v>#3-7 bottles and small rigid plastics </v>
      </c>
      <c r="AL375" s="443">
        <f>INDEX(BaleMover[Total_Baled_tons],MATCH(SecondaryTransport[[#This Row],[Scenario_MRF_Bale_ID]],BaleMover[Scenario_MRF_Bale_ID],0))</f>
        <v>0</v>
      </c>
      <c r="AM375" s="443">
        <f>IF(INDEX(BaleMover[Miles],MATCH(SecondaryTransport[[#This Row],[Scenario_MRF_Bale_ID]],BaleMover[Scenario_MRF_Bale_ID],0))="",0,INDEX(BaleMover[Miles],MATCH(SecondaryTransport[[#This Row],[Scenario_MRF_Bale_ID]],BaleMover[Scenario_MRF_Bale_ID],0)))</f>
        <v>0</v>
      </c>
      <c r="AN375" s="251">
        <f>IF(SecondaryTransport[[#This Row],[Bale_ID]]="9000-01","costs elsewhere",SecondaryTransport[[#This Row],[Total_Baled_tons]]*SecondaryTransport[[#This Row],[Miles]])</f>
        <v>0</v>
      </c>
      <c r="AO375" s="352" t="str">
        <f>IF(LEFT(SecondaryTransport[[#This Row],[Bale_ID]],1)*1=5,IF(OR(SecondaryTransport[[#This Row],[MRF_ID]]="02",SecondaryTransport[[#This Row],[MRF_ID]]="08"),2,1),"")</f>
        <v/>
      </c>
      <c r="AP3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5" s="224" t="str">
        <f>IFERROR(IF(1*LEFT(SecondaryTransport[[#This Row],[Bale_ID]],1)=5,SecondaryTransport[[#This Row],[Ton-Miles]]*SecondaryTransport[[#This Row],[Cost_Per_Ton-Mile]],""),"")</f>
        <v/>
      </c>
      <c r="AS375" s="224" t="str">
        <f>IFERROR(IF(SecondaryTransport[[#This Row],[Container_Transfer]]="",(SecondaryTransport[[#This Row],[Ton-Miles]]*SecondaryTransport[[#This Row],[Cost_Per_Ton-Mile]]),""),"")</f>
        <v/>
      </c>
    </row>
    <row r="376" spans="3:45" ht="15" x14ac:dyDescent="0.25">
      <c r="C376"/>
      <c r="D376"/>
      <c r="L376" s="446" t="s">
        <v>876</v>
      </c>
      <c r="M376" s="446">
        <v>2</v>
      </c>
      <c r="N376" s="446">
        <v>2</v>
      </c>
      <c r="O376" s="448" t="s">
        <v>752</v>
      </c>
      <c r="P376" s="449" t="s">
        <v>700</v>
      </c>
      <c r="Q376" s="449"/>
      <c r="R376" s="449"/>
      <c r="S376" s="449" t="s">
        <v>964</v>
      </c>
      <c r="T376" s="449" t="s">
        <v>701</v>
      </c>
      <c r="U376" s="452">
        <v>0</v>
      </c>
      <c r="V3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6" s="272" t="str">
        <f>IFERROR(SUMIFS(TransUnitCost[Miles],TransUnitCost[Grouping_ID],TransTonsShort[[#This Row],[Grouping_ID]],TransUnitCost[Transp_ID],TransTonsShort[[#This Row],[Transp_ID]])*TransTonsShort[[#This Row],[Trans_Tons_All]]/TransTonsShort[[#This Row],[Trans_Tons_All]],"")</f>
        <v/>
      </c>
      <c r="X376" s="386" t="str">
        <f>TransTonsShort[[#This Row],[Grouping_ID]]&amp;"-"&amp;TransTonsShort[[#This Row],[Sector_ID]]</f>
        <v>2-2</v>
      </c>
      <c r="Y3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6" s="421">
        <f>INDEX(LandfillFees[Disposal Tip Fee 2025],MATCH(TransTonsShort[[#This Row],[Grouping_ID]],LandfillFees[Grouping_ID],0))</f>
        <v>72.030938699729589</v>
      </c>
      <c r="AA376" s="102">
        <f>IF(OR(TransTonsShort[[#This Row],[CollectionStream_ID]]="03",TransTonsShort[[#This Row],[CollectionStream_ID]]="04",TransTonsShort[[#This Row],[CollectionStream_ID]]="13"),0,TransTonsShort[[#This Row],[Trans_Tons_All]]*TransTonsShort[[#This Row],[Disposal_Fee]])</f>
        <v>0</v>
      </c>
      <c r="AF376" s="446" t="s">
        <v>1549</v>
      </c>
      <c r="AG376" s="442" t="str">
        <f>LEFT(SecondaryTransport[[#This Row],[Scenario_MRF_Bale_ID]],2)</f>
        <v>S3</v>
      </c>
      <c r="AH376" s="181" t="str">
        <f>LEFT(RIGHT(SecondaryTransport[[#This Row],[Scenario_MRF_Bale_ID]],10),2)</f>
        <v>05</v>
      </c>
      <c r="AI376" s="181" t="str">
        <f>INDEX(MRFs[MRF_Name],MATCH(SecondaryTransport[[#This Row],[MRF_ID]],MRFs[MRF_ID],0))</f>
        <v>1 CRF (BC) or 1 infeed for transferred containers (Portland)</v>
      </c>
      <c r="AJ376" s="181" t="str">
        <f>RIGHT(SecondaryTransport[[#This Row],[Scenario_MRF_Bale_ID]],7)</f>
        <v>2000-18</v>
      </c>
      <c r="AK376" s="181" t="str">
        <f>INDEX(Bales[Bale_Name],MATCH(SecondaryTransport[[#This Row],[Bale_ID]],Bales[Bale_ID],0))</f>
        <v>#3-7 bottles and small rigid plastics </v>
      </c>
      <c r="AL376" s="443">
        <f>INDEX(BaleMover[Total_Baled_tons],MATCH(SecondaryTransport[[#This Row],[Scenario_MRF_Bale_ID]],BaleMover[Scenario_MRF_Bale_ID],0))</f>
        <v>0</v>
      </c>
      <c r="AM376" s="443">
        <f>IF(INDEX(BaleMover[Miles],MATCH(SecondaryTransport[[#This Row],[Scenario_MRF_Bale_ID]],BaleMover[Scenario_MRF_Bale_ID],0))="",0,INDEX(BaleMover[Miles],MATCH(SecondaryTransport[[#This Row],[Scenario_MRF_Bale_ID]],BaleMover[Scenario_MRF_Bale_ID],0)))</f>
        <v>0</v>
      </c>
      <c r="AN376" s="251">
        <f>IF(SecondaryTransport[[#This Row],[Bale_ID]]="9000-01","costs elsewhere",SecondaryTransport[[#This Row],[Total_Baled_tons]]*SecondaryTransport[[#This Row],[Miles]])</f>
        <v>0</v>
      </c>
      <c r="AO376" s="352" t="str">
        <f>IF(LEFT(SecondaryTransport[[#This Row],[Bale_ID]],1)*1=5,IF(OR(SecondaryTransport[[#This Row],[MRF_ID]]="02",SecondaryTransport[[#This Row],[MRF_ID]]="08"),2,1),"")</f>
        <v/>
      </c>
      <c r="AP3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6" s="224" t="str">
        <f>IFERROR(IF(1*LEFT(SecondaryTransport[[#This Row],[Bale_ID]],1)=5,SecondaryTransport[[#This Row],[Ton-Miles]]*SecondaryTransport[[#This Row],[Cost_Per_Ton-Mile]],""),"")</f>
        <v/>
      </c>
      <c r="AS376" s="224" t="str">
        <f>IFERROR(IF(SecondaryTransport[[#This Row],[Container_Transfer]]="",(SecondaryTransport[[#This Row],[Ton-Miles]]*SecondaryTransport[[#This Row],[Cost_Per_Ton-Mile]]),""),"")</f>
        <v/>
      </c>
    </row>
    <row r="377" spans="3:45" ht="15" x14ac:dyDescent="0.25">
      <c r="C377"/>
      <c r="D377"/>
      <c r="L377" s="446" t="s">
        <v>876</v>
      </c>
      <c r="M377" s="446">
        <v>3</v>
      </c>
      <c r="N377" s="446">
        <v>2</v>
      </c>
      <c r="O377" s="448" t="s">
        <v>752</v>
      </c>
      <c r="P377" s="449" t="s">
        <v>700</v>
      </c>
      <c r="Q377" s="449"/>
      <c r="R377" s="449"/>
      <c r="S377" s="449" t="s">
        <v>964</v>
      </c>
      <c r="T377" s="449" t="s">
        <v>701</v>
      </c>
      <c r="U377" s="452">
        <v>0</v>
      </c>
      <c r="V3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7" s="272" t="str">
        <f>IFERROR(SUMIFS(TransUnitCost[Miles],TransUnitCost[Grouping_ID],TransTonsShort[[#This Row],[Grouping_ID]],TransUnitCost[Transp_ID],TransTonsShort[[#This Row],[Transp_ID]])*TransTonsShort[[#This Row],[Trans_Tons_All]]/TransTonsShort[[#This Row],[Trans_Tons_All]],"")</f>
        <v/>
      </c>
      <c r="X377" s="386" t="str">
        <f>TransTonsShort[[#This Row],[Grouping_ID]]&amp;"-"&amp;TransTonsShort[[#This Row],[Sector_ID]]</f>
        <v>3-2</v>
      </c>
      <c r="Y3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7" s="421">
        <f>INDEX(LandfillFees[Disposal Tip Fee 2025],MATCH(TransTonsShort[[#This Row],[Grouping_ID]],LandfillFees[Grouping_ID],0))</f>
        <v>72.030938699729589</v>
      </c>
      <c r="AA377" s="102">
        <f>IF(OR(TransTonsShort[[#This Row],[CollectionStream_ID]]="03",TransTonsShort[[#This Row],[CollectionStream_ID]]="04",TransTonsShort[[#This Row],[CollectionStream_ID]]="13"),0,TransTonsShort[[#This Row],[Trans_Tons_All]]*TransTonsShort[[#This Row],[Disposal_Fee]])</f>
        <v>0</v>
      </c>
      <c r="AF377" s="446" t="s">
        <v>1550</v>
      </c>
      <c r="AG377" s="442" t="str">
        <f>LEFT(SecondaryTransport[[#This Row],[Scenario_MRF_Bale_ID]],2)</f>
        <v>S2</v>
      </c>
      <c r="AH377" s="181" t="str">
        <f>LEFT(RIGHT(SecondaryTransport[[#This Row],[Scenario_MRF_Bale_ID]],10),2)</f>
        <v>05</v>
      </c>
      <c r="AI377" s="181" t="str">
        <f>INDEX(MRFs[MRF_Name],MATCH(SecondaryTransport[[#This Row],[MRF_ID]],MRFs[MRF_ID],0))</f>
        <v>1 CRF (BC) or 1 infeed for transferred containers (Portland)</v>
      </c>
      <c r="AJ377" s="181" t="str">
        <f>RIGHT(SecondaryTransport[[#This Row],[Scenario_MRF_Bale_ID]],7)</f>
        <v>3000-01</v>
      </c>
      <c r="AK377" s="181" t="str">
        <f>INDEX(Bales[Bale_Name],MATCH(SecondaryTransport[[#This Row],[Bale_ID]],Bales[Bale_ID],0))</f>
        <v>Container glass </v>
      </c>
      <c r="AL377" s="443">
        <f>INDEX(BaleMover[Total_Baled_tons],MATCH(SecondaryTransport[[#This Row],[Scenario_MRF_Bale_ID]],BaleMover[Scenario_MRF_Bale_ID],0))</f>
        <v>0</v>
      </c>
      <c r="AM377" s="443">
        <f>IF(INDEX(BaleMover[Miles],MATCH(SecondaryTransport[[#This Row],[Scenario_MRF_Bale_ID]],BaleMover[Scenario_MRF_Bale_ID],0))="",0,INDEX(BaleMover[Miles],MATCH(SecondaryTransport[[#This Row],[Scenario_MRF_Bale_ID]],BaleMover[Scenario_MRF_Bale_ID],0)))</f>
        <v>0</v>
      </c>
      <c r="AN377" s="251">
        <f>IF(SecondaryTransport[[#This Row],[Bale_ID]]="9000-01","costs elsewhere",SecondaryTransport[[#This Row],[Total_Baled_tons]]*SecondaryTransport[[#This Row],[Miles]])</f>
        <v>0</v>
      </c>
      <c r="AO377" s="352" t="str">
        <f>IF(LEFT(SecondaryTransport[[#This Row],[Bale_ID]],1)*1=5,IF(OR(SecondaryTransport[[#This Row],[MRF_ID]]="02",SecondaryTransport[[#This Row],[MRF_ID]]="08"),2,1),"")</f>
        <v/>
      </c>
      <c r="AP3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7" s="224" t="str">
        <f>IFERROR(IF(1*LEFT(SecondaryTransport[[#This Row],[Bale_ID]],1)=5,SecondaryTransport[[#This Row],[Ton-Miles]]*SecondaryTransport[[#This Row],[Cost_Per_Ton-Mile]],""),"")</f>
        <v/>
      </c>
      <c r="AS377" s="224" t="str">
        <f>IFERROR(IF(SecondaryTransport[[#This Row],[Container_Transfer]]="",(SecondaryTransport[[#This Row],[Ton-Miles]]*SecondaryTransport[[#This Row],[Cost_Per_Ton-Mile]]),""),"")</f>
        <v/>
      </c>
    </row>
    <row r="378" spans="3:45" ht="15" x14ac:dyDescent="0.25">
      <c r="C378"/>
      <c r="D378"/>
      <c r="L378" s="446" t="s">
        <v>876</v>
      </c>
      <c r="M378" s="446">
        <v>4</v>
      </c>
      <c r="N378" s="446">
        <v>2</v>
      </c>
      <c r="O378" s="448" t="s">
        <v>752</v>
      </c>
      <c r="P378" s="449" t="s">
        <v>700</v>
      </c>
      <c r="Q378" s="449"/>
      <c r="R378" s="449"/>
      <c r="S378" s="449" t="s">
        <v>964</v>
      </c>
      <c r="T378" s="449" t="s">
        <v>701</v>
      </c>
      <c r="U378" s="452">
        <v>0</v>
      </c>
      <c r="V3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8" s="272" t="str">
        <f>IFERROR(SUMIFS(TransUnitCost[Miles],TransUnitCost[Grouping_ID],TransTonsShort[[#This Row],[Grouping_ID]],TransUnitCost[Transp_ID],TransTonsShort[[#This Row],[Transp_ID]])*TransTonsShort[[#This Row],[Trans_Tons_All]]/TransTonsShort[[#This Row],[Trans_Tons_All]],"")</f>
        <v/>
      </c>
      <c r="X378" s="386" t="str">
        <f>TransTonsShort[[#This Row],[Grouping_ID]]&amp;"-"&amp;TransTonsShort[[#This Row],[Sector_ID]]</f>
        <v>4-2</v>
      </c>
      <c r="Y3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8" s="421">
        <f>INDEX(LandfillFees[Disposal Tip Fee 2025],MATCH(TransTonsShort[[#This Row],[Grouping_ID]],LandfillFees[Grouping_ID],0))</f>
        <v>72.030938699729589</v>
      </c>
      <c r="AA378" s="102">
        <f>IF(OR(TransTonsShort[[#This Row],[CollectionStream_ID]]="03",TransTonsShort[[#This Row],[CollectionStream_ID]]="04",TransTonsShort[[#This Row],[CollectionStream_ID]]="13"),0,TransTonsShort[[#This Row],[Trans_Tons_All]]*TransTonsShort[[#This Row],[Disposal_Fee]])</f>
        <v>0</v>
      </c>
      <c r="AF378" s="446" t="s">
        <v>1551</v>
      </c>
      <c r="AG378" s="442" t="str">
        <f>LEFT(SecondaryTransport[[#This Row],[Scenario_MRF_Bale_ID]],2)</f>
        <v>S3</v>
      </c>
      <c r="AH378" s="181" t="str">
        <f>LEFT(RIGHT(SecondaryTransport[[#This Row],[Scenario_MRF_Bale_ID]],10),2)</f>
        <v>05</v>
      </c>
      <c r="AI378" s="181" t="str">
        <f>INDEX(MRFs[MRF_Name],MATCH(SecondaryTransport[[#This Row],[MRF_ID]],MRFs[MRF_ID],0))</f>
        <v>1 CRF (BC) or 1 infeed for transferred containers (Portland)</v>
      </c>
      <c r="AJ378" s="181" t="str">
        <f>RIGHT(SecondaryTransport[[#This Row],[Scenario_MRF_Bale_ID]],7)</f>
        <v>3000-01</v>
      </c>
      <c r="AK378" s="181" t="str">
        <f>INDEX(Bales[Bale_Name],MATCH(SecondaryTransport[[#This Row],[Bale_ID]],Bales[Bale_ID],0))</f>
        <v>Container glass </v>
      </c>
      <c r="AL378" s="443">
        <f>INDEX(BaleMover[Total_Baled_tons],MATCH(SecondaryTransport[[#This Row],[Scenario_MRF_Bale_ID]],BaleMover[Scenario_MRF_Bale_ID],0))</f>
        <v>0</v>
      </c>
      <c r="AM378" s="443">
        <f>IF(INDEX(BaleMover[Miles],MATCH(SecondaryTransport[[#This Row],[Scenario_MRF_Bale_ID]],BaleMover[Scenario_MRF_Bale_ID],0))="",0,INDEX(BaleMover[Miles],MATCH(SecondaryTransport[[#This Row],[Scenario_MRF_Bale_ID]],BaleMover[Scenario_MRF_Bale_ID],0)))</f>
        <v>0</v>
      </c>
      <c r="AN378" s="251">
        <f>IF(SecondaryTransport[[#This Row],[Bale_ID]]="9000-01","costs elsewhere",SecondaryTransport[[#This Row],[Total_Baled_tons]]*SecondaryTransport[[#This Row],[Miles]])</f>
        <v>0</v>
      </c>
      <c r="AO378" s="352" t="str">
        <f>IF(LEFT(SecondaryTransport[[#This Row],[Bale_ID]],1)*1=5,IF(OR(SecondaryTransport[[#This Row],[MRF_ID]]="02",SecondaryTransport[[#This Row],[MRF_ID]]="08"),2,1),"")</f>
        <v/>
      </c>
      <c r="AP3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7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78" s="224" t="str">
        <f>IFERROR(IF(1*LEFT(SecondaryTransport[[#This Row],[Bale_ID]],1)=5,SecondaryTransport[[#This Row],[Ton-Miles]]*SecondaryTransport[[#This Row],[Cost_Per_Ton-Mile]],""),"")</f>
        <v/>
      </c>
      <c r="AS378" s="224" t="str">
        <f>IFERROR(IF(SecondaryTransport[[#This Row],[Container_Transfer]]="",(SecondaryTransport[[#This Row],[Ton-Miles]]*SecondaryTransport[[#This Row],[Cost_Per_Ton-Mile]]),""),"")</f>
        <v/>
      </c>
    </row>
    <row r="379" spans="3:45" ht="15" x14ac:dyDescent="0.25">
      <c r="C379"/>
      <c r="D379"/>
      <c r="L379" s="446" t="s">
        <v>876</v>
      </c>
      <c r="M379" s="446">
        <v>1</v>
      </c>
      <c r="N379" s="446">
        <v>2</v>
      </c>
      <c r="O379" s="446" t="s">
        <v>752</v>
      </c>
      <c r="P379" s="449" t="s">
        <v>706</v>
      </c>
      <c r="Q379" s="449"/>
      <c r="R379" s="449"/>
      <c r="S379" s="449" t="s">
        <v>964</v>
      </c>
      <c r="T379" s="449" t="s">
        <v>1025</v>
      </c>
      <c r="U379" s="452">
        <v>0</v>
      </c>
      <c r="V3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79" s="272" t="str">
        <f>IFERROR(SUMIFS(TransUnitCost[Miles],TransUnitCost[Grouping_ID],TransTonsShort[[#This Row],[Grouping_ID]],TransUnitCost[Transp_ID],TransTonsShort[[#This Row],[Transp_ID]])*TransTonsShort[[#This Row],[Trans_Tons_All]]/TransTonsShort[[#This Row],[Trans_Tons_All]],"")</f>
        <v/>
      </c>
      <c r="X379" s="386" t="str">
        <f>TransTonsShort[[#This Row],[Grouping_ID]]&amp;"-"&amp;TransTonsShort[[#This Row],[Sector_ID]]</f>
        <v>1-2</v>
      </c>
      <c r="Y3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79" s="421">
        <f>INDEX(LandfillFees[Disposal Tip Fee 2025],MATCH(TransTonsShort[[#This Row],[Grouping_ID]],LandfillFees[Grouping_ID],0))</f>
        <v>134.68</v>
      </c>
      <c r="AA379" s="102">
        <f>IF(OR(TransTonsShort[[#This Row],[CollectionStream_ID]]="03",TransTonsShort[[#This Row],[CollectionStream_ID]]="04",TransTonsShort[[#This Row],[CollectionStream_ID]]="13"),0,TransTonsShort[[#This Row],[Trans_Tons_All]]*TransTonsShort[[#This Row],[Disposal_Fee]])</f>
        <v>0</v>
      </c>
      <c r="AF379" s="446" t="s">
        <v>1552</v>
      </c>
      <c r="AG379" s="442" t="str">
        <f>LEFT(SecondaryTransport[[#This Row],[Scenario_MRF_Bale_ID]],2)</f>
        <v>S2</v>
      </c>
      <c r="AH379" s="181" t="str">
        <f>LEFT(RIGHT(SecondaryTransport[[#This Row],[Scenario_MRF_Bale_ID]],10),2)</f>
        <v>05</v>
      </c>
      <c r="AI379" s="181" t="str">
        <f>INDEX(MRFs[MRF_Name],MATCH(SecondaryTransport[[#This Row],[MRF_ID]],MRFs[MRF_ID],0))</f>
        <v>1 CRF (BC) or 1 infeed for transferred containers (Portland)</v>
      </c>
      <c r="AJ379" s="181" t="str">
        <f>RIGHT(SecondaryTransport[[#This Row],[Scenario_MRF_Bale_ID]],7)</f>
        <v>4000-01</v>
      </c>
      <c r="AK379" s="181" t="str">
        <f>INDEX(Bales[Bale_Name],MATCH(SecondaryTransport[[#This Row],[Bale_ID]],Bales[Bale_ID],0))</f>
        <v>Aluminum cans and foil</v>
      </c>
      <c r="AL379" s="443">
        <f>INDEX(BaleMover[Total_Baled_tons],MATCH(SecondaryTransport[[#This Row],[Scenario_MRF_Bale_ID]],BaleMover[Scenario_MRF_Bale_ID],0))</f>
        <v>3.4491239163346901</v>
      </c>
      <c r="AM379" s="443">
        <f>IF(INDEX(BaleMover[Miles],MATCH(SecondaryTransport[[#This Row],[Scenario_MRF_Bale_ID]],BaleMover[Scenario_MRF_Bale_ID],0))="",0,INDEX(BaleMover[Miles],MATCH(SecondaryTransport[[#This Row],[Scenario_MRF_Bale_ID]],BaleMover[Scenario_MRF_Bale_ID],0)))</f>
        <v>960</v>
      </c>
      <c r="AN379" s="251">
        <f>IF(SecondaryTransport[[#This Row],[Bale_ID]]="9000-01","costs elsewhere",SecondaryTransport[[#This Row],[Total_Baled_tons]]*SecondaryTransport[[#This Row],[Miles]])</f>
        <v>3311.1589596813023</v>
      </c>
      <c r="AO379" s="352" t="str">
        <f>IF(LEFT(SecondaryTransport[[#This Row],[Bale_ID]],1)*1=5,IF(OR(SecondaryTransport[[#This Row],[MRF_ID]]="02",SecondaryTransport[[#This Row],[MRF_ID]]="08"),2,1),"")</f>
        <v/>
      </c>
      <c r="AP3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7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79" s="224" t="str">
        <f>IFERROR(IF(1*LEFT(SecondaryTransport[[#This Row],[Bale_ID]],1)=5,SecondaryTransport[[#This Row],[Ton-Miles]]*SecondaryTransport[[#This Row],[Cost_Per_Ton-Mile]],""),"")</f>
        <v/>
      </c>
      <c r="AS379" s="224">
        <f>IFERROR(IF(SecondaryTransport[[#This Row],[Container_Transfer]]="",(SecondaryTransport[[#This Row],[Ton-Miles]]*SecondaryTransport[[#This Row],[Cost_Per_Ton-Mile]]),""),"")</f>
        <v>463.56225435538238</v>
      </c>
    </row>
    <row r="380" spans="3:45" ht="15" x14ac:dyDescent="0.25">
      <c r="C380"/>
      <c r="D380"/>
      <c r="L380" s="446" t="s">
        <v>876</v>
      </c>
      <c r="M380" s="446">
        <v>2</v>
      </c>
      <c r="N380" s="446">
        <v>2</v>
      </c>
      <c r="O380" s="446" t="s">
        <v>752</v>
      </c>
      <c r="P380" s="449" t="s">
        <v>706</v>
      </c>
      <c r="Q380" s="449"/>
      <c r="R380" s="449"/>
      <c r="S380" s="449" t="s">
        <v>964</v>
      </c>
      <c r="T380" s="449" t="s">
        <v>1025</v>
      </c>
      <c r="U380" s="452">
        <v>0</v>
      </c>
      <c r="V3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0" s="272" t="str">
        <f>IFERROR(SUMIFS(TransUnitCost[Miles],TransUnitCost[Grouping_ID],TransTonsShort[[#This Row],[Grouping_ID]],TransUnitCost[Transp_ID],TransTonsShort[[#This Row],[Transp_ID]])*TransTonsShort[[#This Row],[Trans_Tons_All]]/TransTonsShort[[#This Row],[Trans_Tons_All]],"")</f>
        <v/>
      </c>
      <c r="X380" s="386" t="str">
        <f>TransTonsShort[[#This Row],[Grouping_ID]]&amp;"-"&amp;TransTonsShort[[#This Row],[Sector_ID]]</f>
        <v>2-2</v>
      </c>
      <c r="Y3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0" s="421">
        <f>INDEX(LandfillFees[Disposal Tip Fee 2025],MATCH(TransTonsShort[[#This Row],[Grouping_ID]],LandfillFees[Grouping_ID],0))</f>
        <v>72.030938699729589</v>
      </c>
      <c r="AA380" s="102">
        <f>IF(OR(TransTonsShort[[#This Row],[CollectionStream_ID]]="03",TransTonsShort[[#This Row],[CollectionStream_ID]]="04",TransTonsShort[[#This Row],[CollectionStream_ID]]="13"),0,TransTonsShort[[#This Row],[Trans_Tons_All]]*TransTonsShort[[#This Row],[Disposal_Fee]])</f>
        <v>0</v>
      </c>
      <c r="AF380" s="446" t="s">
        <v>1553</v>
      </c>
      <c r="AG380" s="442" t="str">
        <f>LEFT(SecondaryTransport[[#This Row],[Scenario_MRF_Bale_ID]],2)</f>
        <v>S3</v>
      </c>
      <c r="AH380" s="181" t="str">
        <f>LEFT(RIGHT(SecondaryTransport[[#This Row],[Scenario_MRF_Bale_ID]],10),2)</f>
        <v>05</v>
      </c>
      <c r="AI380" s="181" t="str">
        <f>INDEX(MRFs[MRF_Name],MATCH(SecondaryTransport[[#This Row],[MRF_ID]],MRFs[MRF_ID],0))</f>
        <v>1 CRF (BC) or 1 infeed for transferred containers (Portland)</v>
      </c>
      <c r="AJ380" s="181" t="str">
        <f>RIGHT(SecondaryTransport[[#This Row],[Scenario_MRF_Bale_ID]],7)</f>
        <v>4000-01</v>
      </c>
      <c r="AK380" s="181" t="str">
        <f>INDEX(Bales[Bale_Name],MATCH(SecondaryTransport[[#This Row],[Bale_ID]],Bales[Bale_ID],0))</f>
        <v>Aluminum cans and foil</v>
      </c>
      <c r="AL380" s="443">
        <f>INDEX(BaleMover[Total_Baled_tons],MATCH(SecondaryTransport[[#This Row],[Scenario_MRF_Bale_ID]],BaleMover[Scenario_MRF_Bale_ID],0))</f>
        <v>3.9336219287667697</v>
      </c>
      <c r="AM380" s="443">
        <f>IF(INDEX(BaleMover[Miles],MATCH(SecondaryTransport[[#This Row],[Scenario_MRF_Bale_ID]],BaleMover[Scenario_MRF_Bale_ID],0))="",0,INDEX(BaleMover[Miles],MATCH(SecondaryTransport[[#This Row],[Scenario_MRF_Bale_ID]],BaleMover[Scenario_MRF_Bale_ID],0)))</f>
        <v>1270</v>
      </c>
      <c r="AN380" s="251">
        <f>IF(SecondaryTransport[[#This Row],[Bale_ID]]="9000-01","costs elsewhere",SecondaryTransport[[#This Row],[Total_Baled_tons]]*SecondaryTransport[[#This Row],[Miles]])</f>
        <v>4995.6998495337975</v>
      </c>
      <c r="AO380" s="352" t="str">
        <f>IF(LEFT(SecondaryTransport[[#This Row],[Bale_ID]],1)*1=5,IF(OR(SecondaryTransport[[#This Row],[MRF_ID]]="02",SecondaryTransport[[#This Row],[MRF_ID]]="08"),2,1),"")</f>
        <v/>
      </c>
      <c r="AP3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38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380" s="224" t="str">
        <f>IFERROR(IF(1*LEFT(SecondaryTransport[[#This Row],[Bale_ID]],1)=5,SecondaryTransport[[#This Row],[Ton-Miles]]*SecondaryTransport[[#This Row],[Cost_Per_Ton-Mile]],""),"")</f>
        <v/>
      </c>
      <c r="AS380" s="224">
        <f>IFERROR(IF(SecondaryTransport[[#This Row],[Container_Transfer]]="",(SecondaryTransport[[#This Row],[Ton-Miles]]*SecondaryTransport[[#This Row],[Cost_Per_Ton-Mile]]),""),"")</f>
        <v>699.39797893473167</v>
      </c>
    </row>
    <row r="381" spans="3:45" ht="15" x14ac:dyDescent="0.25">
      <c r="C381"/>
      <c r="D381"/>
      <c r="L381" s="446" t="s">
        <v>876</v>
      </c>
      <c r="M381" s="446">
        <v>3</v>
      </c>
      <c r="N381" s="446">
        <v>2</v>
      </c>
      <c r="O381" s="446" t="s">
        <v>752</v>
      </c>
      <c r="P381" s="449" t="s">
        <v>706</v>
      </c>
      <c r="Q381" s="449"/>
      <c r="R381" s="449"/>
      <c r="S381" s="449" t="s">
        <v>964</v>
      </c>
      <c r="T381" s="449" t="s">
        <v>1025</v>
      </c>
      <c r="U381" s="452">
        <v>0</v>
      </c>
      <c r="V3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1" s="272" t="str">
        <f>IFERROR(SUMIFS(TransUnitCost[Miles],TransUnitCost[Grouping_ID],TransTonsShort[[#This Row],[Grouping_ID]],TransUnitCost[Transp_ID],TransTonsShort[[#This Row],[Transp_ID]])*TransTonsShort[[#This Row],[Trans_Tons_All]]/TransTonsShort[[#This Row],[Trans_Tons_All]],"")</f>
        <v/>
      </c>
      <c r="X381" s="386" t="str">
        <f>TransTonsShort[[#This Row],[Grouping_ID]]&amp;"-"&amp;TransTonsShort[[#This Row],[Sector_ID]]</f>
        <v>3-2</v>
      </c>
      <c r="Y3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1" s="421">
        <f>INDEX(LandfillFees[Disposal Tip Fee 2025],MATCH(TransTonsShort[[#This Row],[Grouping_ID]],LandfillFees[Grouping_ID],0))</f>
        <v>72.030938699729589</v>
      </c>
      <c r="AA381" s="102">
        <f>IF(OR(TransTonsShort[[#This Row],[CollectionStream_ID]]="03",TransTonsShort[[#This Row],[CollectionStream_ID]]="04",TransTonsShort[[#This Row],[CollectionStream_ID]]="13"),0,TransTonsShort[[#This Row],[Trans_Tons_All]]*TransTonsShort[[#This Row],[Disposal_Fee]])</f>
        <v>0</v>
      </c>
      <c r="AF381" s="446" t="s">
        <v>1554</v>
      </c>
      <c r="AG381" s="442" t="str">
        <f>LEFT(SecondaryTransport[[#This Row],[Scenario_MRF_Bale_ID]],2)</f>
        <v>S2</v>
      </c>
      <c r="AH381" s="181" t="str">
        <f>LEFT(RIGHT(SecondaryTransport[[#This Row],[Scenario_MRF_Bale_ID]],10),2)</f>
        <v>05</v>
      </c>
      <c r="AI381" s="181" t="str">
        <f>INDEX(MRFs[MRF_Name],MATCH(SecondaryTransport[[#This Row],[MRF_ID]],MRFs[MRF_ID],0))</f>
        <v>1 CRF (BC) or 1 infeed for transferred containers (Portland)</v>
      </c>
      <c r="AJ381" s="181" t="str">
        <f>RIGHT(SecondaryTransport[[#This Row],[Scenario_MRF_Bale_ID]],7)</f>
        <v>4000-02</v>
      </c>
      <c r="AK381" s="181" t="str">
        <f>INDEX(Bales[Bale_Name],MATCH(SecondaryTransport[[#This Row],[Bale_ID]],Bales[Bale_ID],0))</f>
        <v>Steel cans </v>
      </c>
      <c r="AL381" s="443">
        <f>INDEX(BaleMover[Total_Baled_tons],MATCH(SecondaryTransport[[#This Row],[Scenario_MRF_Bale_ID]],BaleMover[Scenario_MRF_Bale_ID],0))</f>
        <v>0</v>
      </c>
      <c r="AM381" s="443">
        <f>IF(INDEX(BaleMover[Miles],MATCH(SecondaryTransport[[#This Row],[Scenario_MRF_Bale_ID]],BaleMover[Scenario_MRF_Bale_ID],0))="",0,INDEX(BaleMover[Miles],MATCH(SecondaryTransport[[#This Row],[Scenario_MRF_Bale_ID]],BaleMover[Scenario_MRF_Bale_ID],0)))</f>
        <v>0</v>
      </c>
      <c r="AN381" s="251">
        <f>IF(SecondaryTransport[[#This Row],[Bale_ID]]="9000-01","costs elsewhere",SecondaryTransport[[#This Row],[Total_Baled_tons]]*SecondaryTransport[[#This Row],[Miles]])</f>
        <v>0</v>
      </c>
      <c r="AO381" s="352" t="str">
        <f>IF(LEFT(SecondaryTransport[[#This Row],[Bale_ID]],1)*1=5,IF(OR(SecondaryTransport[[#This Row],[MRF_ID]]="02",SecondaryTransport[[#This Row],[MRF_ID]]="08"),2,1),"")</f>
        <v/>
      </c>
      <c r="AP3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8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81" s="224" t="str">
        <f>IFERROR(IF(1*LEFT(SecondaryTransport[[#This Row],[Bale_ID]],1)=5,SecondaryTransport[[#This Row],[Ton-Miles]]*SecondaryTransport[[#This Row],[Cost_Per_Ton-Mile]],""),"")</f>
        <v/>
      </c>
      <c r="AS381" s="224" t="str">
        <f>IFERROR(IF(SecondaryTransport[[#This Row],[Container_Transfer]]="",(SecondaryTransport[[#This Row],[Ton-Miles]]*SecondaryTransport[[#This Row],[Cost_Per_Ton-Mile]]),""),"")</f>
        <v/>
      </c>
    </row>
    <row r="382" spans="3:45" ht="15" x14ac:dyDescent="0.25">
      <c r="C382"/>
      <c r="D382"/>
      <c r="L382" s="446" t="s">
        <v>876</v>
      </c>
      <c r="M382" s="446">
        <v>4</v>
      </c>
      <c r="N382" s="446">
        <v>2</v>
      </c>
      <c r="O382" s="446" t="s">
        <v>752</v>
      </c>
      <c r="P382" s="449" t="s">
        <v>706</v>
      </c>
      <c r="Q382" s="449"/>
      <c r="R382" s="449"/>
      <c r="S382" s="449" t="s">
        <v>964</v>
      </c>
      <c r="T382" s="449" t="s">
        <v>1025</v>
      </c>
      <c r="U382" s="452">
        <v>0</v>
      </c>
      <c r="V3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2" s="272" t="str">
        <f>IFERROR(SUMIFS(TransUnitCost[Miles],TransUnitCost[Grouping_ID],TransTonsShort[[#This Row],[Grouping_ID]],TransUnitCost[Transp_ID],TransTonsShort[[#This Row],[Transp_ID]])*TransTonsShort[[#This Row],[Trans_Tons_All]]/TransTonsShort[[#This Row],[Trans_Tons_All]],"")</f>
        <v/>
      </c>
      <c r="X382" s="386" t="str">
        <f>TransTonsShort[[#This Row],[Grouping_ID]]&amp;"-"&amp;TransTonsShort[[#This Row],[Sector_ID]]</f>
        <v>4-2</v>
      </c>
      <c r="Y3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2" s="421">
        <f>INDEX(LandfillFees[Disposal Tip Fee 2025],MATCH(TransTonsShort[[#This Row],[Grouping_ID]],LandfillFees[Grouping_ID],0))</f>
        <v>72.030938699729589</v>
      </c>
      <c r="AA382" s="102">
        <f>IF(OR(TransTonsShort[[#This Row],[CollectionStream_ID]]="03",TransTonsShort[[#This Row],[CollectionStream_ID]]="04",TransTonsShort[[#This Row],[CollectionStream_ID]]="13"),0,TransTonsShort[[#This Row],[Trans_Tons_All]]*TransTonsShort[[#This Row],[Disposal_Fee]])</f>
        <v>0</v>
      </c>
      <c r="AF382" s="446" t="s">
        <v>1555</v>
      </c>
      <c r="AG382" s="442" t="str">
        <f>LEFT(SecondaryTransport[[#This Row],[Scenario_MRF_Bale_ID]],2)</f>
        <v>S3</v>
      </c>
      <c r="AH382" s="181" t="str">
        <f>LEFT(RIGHT(SecondaryTransport[[#This Row],[Scenario_MRF_Bale_ID]],10),2)</f>
        <v>05</v>
      </c>
      <c r="AI382" s="181" t="str">
        <f>INDEX(MRFs[MRF_Name],MATCH(SecondaryTransport[[#This Row],[MRF_ID]],MRFs[MRF_ID],0))</f>
        <v>1 CRF (BC) or 1 infeed for transferred containers (Portland)</v>
      </c>
      <c r="AJ382" s="181" t="str">
        <f>RIGHT(SecondaryTransport[[#This Row],[Scenario_MRF_Bale_ID]],7)</f>
        <v>4000-02</v>
      </c>
      <c r="AK382" s="181" t="str">
        <f>INDEX(Bales[Bale_Name],MATCH(SecondaryTransport[[#This Row],[Bale_ID]],Bales[Bale_ID],0))</f>
        <v>Steel cans </v>
      </c>
      <c r="AL382" s="443">
        <f>INDEX(BaleMover[Total_Baled_tons],MATCH(SecondaryTransport[[#This Row],[Scenario_MRF_Bale_ID]],BaleMover[Scenario_MRF_Bale_ID],0))</f>
        <v>0</v>
      </c>
      <c r="AM382" s="443">
        <f>IF(INDEX(BaleMover[Miles],MATCH(SecondaryTransport[[#This Row],[Scenario_MRF_Bale_ID]],BaleMover[Scenario_MRF_Bale_ID],0))="",0,INDEX(BaleMover[Miles],MATCH(SecondaryTransport[[#This Row],[Scenario_MRF_Bale_ID]],BaleMover[Scenario_MRF_Bale_ID],0)))</f>
        <v>0</v>
      </c>
      <c r="AN382" s="251">
        <f>IF(SecondaryTransport[[#This Row],[Bale_ID]]="9000-01","costs elsewhere",SecondaryTransport[[#This Row],[Total_Baled_tons]]*SecondaryTransport[[#This Row],[Miles]])</f>
        <v>0</v>
      </c>
      <c r="AO382" s="352" t="str">
        <f>IF(LEFT(SecondaryTransport[[#This Row],[Bale_ID]],1)*1=5,IF(OR(SecondaryTransport[[#This Row],[MRF_ID]]="02",SecondaryTransport[[#This Row],[MRF_ID]]="08"),2,1),"")</f>
        <v/>
      </c>
      <c r="AP3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8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82" s="224" t="str">
        <f>IFERROR(IF(1*LEFT(SecondaryTransport[[#This Row],[Bale_ID]],1)=5,SecondaryTransport[[#This Row],[Ton-Miles]]*SecondaryTransport[[#This Row],[Cost_Per_Ton-Mile]],""),"")</f>
        <v/>
      </c>
      <c r="AS382" s="224" t="str">
        <f>IFERROR(IF(SecondaryTransport[[#This Row],[Container_Transfer]]="",(SecondaryTransport[[#This Row],[Ton-Miles]]*SecondaryTransport[[#This Row],[Cost_Per_Ton-Mile]]),""),"")</f>
        <v/>
      </c>
    </row>
    <row r="383" spans="3:45" ht="15" x14ac:dyDescent="0.25">
      <c r="C383"/>
      <c r="D383"/>
      <c r="L383" s="446" t="s">
        <v>876</v>
      </c>
      <c r="M383" s="446">
        <v>1</v>
      </c>
      <c r="N383" s="446">
        <v>2</v>
      </c>
      <c r="O383" s="446" t="s">
        <v>750</v>
      </c>
      <c r="P383" s="449" t="s">
        <v>739</v>
      </c>
      <c r="Q383" s="449"/>
      <c r="R383" s="449"/>
      <c r="S383" s="449" t="s">
        <v>963</v>
      </c>
      <c r="T383" s="449" t="s">
        <v>1121</v>
      </c>
      <c r="U383" s="452">
        <v>0</v>
      </c>
      <c r="V3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3" s="272" t="str">
        <f>IFERROR(SUMIFS(TransUnitCost[Miles],TransUnitCost[Grouping_ID],TransTonsShort[[#This Row],[Grouping_ID]],TransUnitCost[Transp_ID],TransTonsShort[[#This Row],[Transp_ID]])*TransTonsShort[[#This Row],[Trans_Tons_All]]/TransTonsShort[[#This Row],[Trans_Tons_All]],"")</f>
        <v/>
      </c>
      <c r="X383" s="386" t="str">
        <f>TransTonsShort[[#This Row],[Grouping_ID]]&amp;"-"&amp;TransTonsShort[[#This Row],[Sector_ID]]</f>
        <v>1-2</v>
      </c>
      <c r="Y3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3" s="421">
        <f>INDEX(LandfillFees[Disposal Tip Fee 2025],MATCH(TransTonsShort[[#This Row],[Grouping_ID]],LandfillFees[Grouping_ID],0))</f>
        <v>134.68</v>
      </c>
      <c r="AA383" s="102">
        <f>IF(OR(TransTonsShort[[#This Row],[CollectionStream_ID]]="03",TransTonsShort[[#This Row],[CollectionStream_ID]]="04",TransTonsShort[[#This Row],[CollectionStream_ID]]="13"),0,TransTonsShort[[#This Row],[Trans_Tons_All]]*TransTonsShort[[#This Row],[Disposal_Fee]])</f>
        <v>0</v>
      </c>
      <c r="AF383" s="446" t="s">
        <v>1556</v>
      </c>
      <c r="AG383" s="442" t="str">
        <f>LEFT(SecondaryTransport[[#This Row],[Scenario_MRF_Bale_ID]],2)</f>
        <v>S2</v>
      </c>
      <c r="AH383" s="181" t="str">
        <f>LEFT(RIGHT(SecondaryTransport[[#This Row],[Scenario_MRF_Bale_ID]],10),2)</f>
        <v>05</v>
      </c>
      <c r="AI383" s="181" t="str">
        <f>INDEX(MRFs[MRF_Name],MATCH(SecondaryTransport[[#This Row],[MRF_ID]],MRFs[MRF_ID],0))</f>
        <v>1 CRF (BC) or 1 infeed for transferred containers (Portland)</v>
      </c>
      <c r="AJ383" s="181" t="str">
        <f>RIGHT(SecondaryTransport[[#This Row],[Scenario_MRF_Bale_ID]],7)</f>
        <v>4000-03</v>
      </c>
      <c r="AK383" s="181" t="str">
        <f>INDEX(Bales[Bale_Name],MATCH(SecondaryTransport[[#This Row],[Bale_ID]],Bales[Bale_ID],0))</f>
        <v>Scrap metal</v>
      </c>
      <c r="AL383" s="443">
        <f>INDEX(BaleMover[Total_Baled_tons],MATCH(SecondaryTransport[[#This Row],[Scenario_MRF_Bale_ID]],BaleMover[Scenario_MRF_Bale_ID],0))</f>
        <v>9.4613966647283156</v>
      </c>
      <c r="AM383" s="443">
        <f>IF(INDEX(BaleMover[Miles],MATCH(SecondaryTransport[[#This Row],[Scenario_MRF_Bale_ID]],BaleMover[Scenario_MRF_Bale_ID],0))="",0,INDEX(BaleMover[Miles],MATCH(SecondaryTransport[[#This Row],[Scenario_MRF_Bale_ID]],BaleMover[Scenario_MRF_Bale_ID],0)))</f>
        <v>45</v>
      </c>
      <c r="AN383" s="251">
        <f>IF(SecondaryTransport[[#This Row],[Bale_ID]]="9000-01","costs elsewhere",SecondaryTransport[[#This Row],[Total_Baled_tons]]*SecondaryTransport[[#This Row],[Miles]])</f>
        <v>425.76284991277419</v>
      </c>
      <c r="AO383" s="352" t="str">
        <f>IF(LEFT(SecondaryTransport[[#This Row],[Bale_ID]],1)*1=5,IF(OR(SecondaryTransport[[#This Row],[MRF_ID]]="02",SecondaryTransport[[#This Row],[MRF_ID]]="08"),2,1),"")</f>
        <v/>
      </c>
      <c r="AP3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8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83" s="224" t="str">
        <f>IFERROR(IF(1*LEFT(SecondaryTransport[[#This Row],[Bale_ID]],1)=5,SecondaryTransport[[#This Row],[Ton-Miles]]*SecondaryTransport[[#This Row],[Cost_Per_Ton-Mile]],""),"")</f>
        <v/>
      </c>
      <c r="AS383" s="224">
        <f>IFERROR(IF(SecondaryTransport[[#This Row],[Container_Transfer]]="",(SecondaryTransport[[#This Row],[Ton-Miles]]*SecondaryTransport[[#This Row],[Cost_Per_Ton-Mile]]),""),"")</f>
        <v>131.98648347296</v>
      </c>
    </row>
    <row r="384" spans="3:45" ht="15" x14ac:dyDescent="0.25">
      <c r="C384"/>
      <c r="D384"/>
      <c r="L384" s="446" t="s">
        <v>876</v>
      </c>
      <c r="M384" s="446">
        <v>2</v>
      </c>
      <c r="N384" s="446">
        <v>2</v>
      </c>
      <c r="O384" s="446" t="s">
        <v>750</v>
      </c>
      <c r="P384" s="449" t="s">
        <v>739</v>
      </c>
      <c r="Q384" s="449"/>
      <c r="R384" s="449"/>
      <c r="S384" s="449" t="s">
        <v>963</v>
      </c>
      <c r="T384" s="449" t="s">
        <v>1121</v>
      </c>
      <c r="U384" s="452">
        <v>0</v>
      </c>
      <c r="V3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4" s="272" t="str">
        <f>IFERROR(SUMIFS(TransUnitCost[Miles],TransUnitCost[Grouping_ID],TransTonsShort[[#This Row],[Grouping_ID]],TransUnitCost[Transp_ID],TransTonsShort[[#This Row],[Transp_ID]])*TransTonsShort[[#This Row],[Trans_Tons_All]]/TransTonsShort[[#This Row],[Trans_Tons_All]],"")</f>
        <v/>
      </c>
      <c r="X384" s="386" t="str">
        <f>TransTonsShort[[#This Row],[Grouping_ID]]&amp;"-"&amp;TransTonsShort[[#This Row],[Sector_ID]]</f>
        <v>2-2</v>
      </c>
      <c r="Y3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4" s="421">
        <f>INDEX(LandfillFees[Disposal Tip Fee 2025],MATCH(TransTonsShort[[#This Row],[Grouping_ID]],LandfillFees[Grouping_ID],0))</f>
        <v>72.030938699729589</v>
      </c>
      <c r="AA384" s="102">
        <f>IF(OR(TransTonsShort[[#This Row],[CollectionStream_ID]]="03",TransTonsShort[[#This Row],[CollectionStream_ID]]="04",TransTonsShort[[#This Row],[CollectionStream_ID]]="13"),0,TransTonsShort[[#This Row],[Trans_Tons_All]]*TransTonsShort[[#This Row],[Disposal_Fee]])</f>
        <v>0</v>
      </c>
      <c r="AF384" s="446" t="s">
        <v>1557</v>
      </c>
      <c r="AG384" s="442" t="str">
        <f>LEFT(SecondaryTransport[[#This Row],[Scenario_MRF_Bale_ID]],2)</f>
        <v>S3</v>
      </c>
      <c r="AH384" s="181" t="str">
        <f>LEFT(RIGHT(SecondaryTransport[[#This Row],[Scenario_MRF_Bale_ID]],10),2)</f>
        <v>05</v>
      </c>
      <c r="AI384" s="181" t="str">
        <f>INDEX(MRFs[MRF_Name],MATCH(SecondaryTransport[[#This Row],[MRF_ID]],MRFs[MRF_ID],0))</f>
        <v>1 CRF (BC) or 1 infeed for transferred containers (Portland)</v>
      </c>
      <c r="AJ384" s="181" t="str">
        <f>RIGHT(SecondaryTransport[[#This Row],[Scenario_MRF_Bale_ID]],7)</f>
        <v>4000-03</v>
      </c>
      <c r="AK384" s="181" t="str">
        <f>INDEX(Bales[Bale_Name],MATCH(SecondaryTransport[[#This Row],[Bale_ID]],Bales[Bale_ID],0))</f>
        <v>Scrap metal</v>
      </c>
      <c r="AL384" s="443">
        <f>INDEX(BaleMover[Total_Baled_tons],MATCH(SecondaryTransport[[#This Row],[Scenario_MRF_Bale_ID]],BaleMover[Scenario_MRF_Bale_ID],0))</f>
        <v>10.892189614625305</v>
      </c>
      <c r="AM384" s="443">
        <f>IF(INDEX(BaleMover[Miles],MATCH(SecondaryTransport[[#This Row],[Scenario_MRF_Bale_ID]],BaleMover[Scenario_MRF_Bale_ID],0))="",0,INDEX(BaleMover[Miles],MATCH(SecondaryTransport[[#This Row],[Scenario_MRF_Bale_ID]],BaleMover[Scenario_MRF_Bale_ID],0)))</f>
        <v>20</v>
      </c>
      <c r="AN384" s="251">
        <f>IF(SecondaryTransport[[#This Row],[Bale_ID]]="9000-01","costs elsewhere",SecondaryTransport[[#This Row],[Total_Baled_tons]]*SecondaryTransport[[#This Row],[Miles]])</f>
        <v>217.84379229250612</v>
      </c>
      <c r="AO384" s="352" t="str">
        <f>IF(LEFT(SecondaryTransport[[#This Row],[Bale_ID]],1)*1=5,IF(OR(SecondaryTransport[[#This Row],[MRF_ID]]="02",SecondaryTransport[[#This Row],[MRF_ID]]="08"),2,1),"")</f>
        <v/>
      </c>
      <c r="AP3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8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84" s="224" t="str">
        <f>IFERROR(IF(1*LEFT(SecondaryTransport[[#This Row],[Bale_ID]],1)=5,SecondaryTransport[[#This Row],[Ton-Miles]]*SecondaryTransport[[#This Row],[Cost_Per_Ton-Mile]],""),"")</f>
        <v/>
      </c>
      <c r="AS384" s="224">
        <f>IFERROR(IF(SecondaryTransport[[#This Row],[Container_Transfer]]="",(SecondaryTransport[[#This Row],[Ton-Miles]]*SecondaryTransport[[#This Row],[Cost_Per_Ton-Mile]]),""),"")</f>
        <v>67.531575610676896</v>
      </c>
    </row>
    <row r="385" spans="3:45" ht="15" x14ac:dyDescent="0.25">
      <c r="C385"/>
      <c r="D385"/>
      <c r="L385" s="446" t="s">
        <v>876</v>
      </c>
      <c r="M385" s="446">
        <v>3</v>
      </c>
      <c r="N385" s="446">
        <v>2</v>
      </c>
      <c r="O385" s="446" t="s">
        <v>750</v>
      </c>
      <c r="P385" s="449" t="s">
        <v>739</v>
      </c>
      <c r="Q385" s="449"/>
      <c r="R385" s="449"/>
      <c r="S385" s="449" t="s">
        <v>963</v>
      </c>
      <c r="T385" s="449" t="s">
        <v>1121</v>
      </c>
      <c r="U385" s="452">
        <v>0</v>
      </c>
      <c r="V3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5" s="272" t="str">
        <f>IFERROR(SUMIFS(TransUnitCost[Miles],TransUnitCost[Grouping_ID],TransTonsShort[[#This Row],[Grouping_ID]],TransUnitCost[Transp_ID],TransTonsShort[[#This Row],[Transp_ID]])*TransTonsShort[[#This Row],[Trans_Tons_All]]/TransTonsShort[[#This Row],[Trans_Tons_All]],"")</f>
        <v/>
      </c>
      <c r="X385" s="386" t="str">
        <f>TransTonsShort[[#This Row],[Grouping_ID]]&amp;"-"&amp;TransTonsShort[[#This Row],[Sector_ID]]</f>
        <v>3-2</v>
      </c>
      <c r="Y3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5" s="421">
        <f>INDEX(LandfillFees[Disposal Tip Fee 2025],MATCH(TransTonsShort[[#This Row],[Grouping_ID]],LandfillFees[Grouping_ID],0))</f>
        <v>72.030938699729589</v>
      </c>
      <c r="AA385" s="102">
        <f>IF(OR(TransTonsShort[[#This Row],[CollectionStream_ID]]="03",TransTonsShort[[#This Row],[CollectionStream_ID]]="04",TransTonsShort[[#This Row],[CollectionStream_ID]]="13"),0,TransTonsShort[[#This Row],[Trans_Tons_All]]*TransTonsShort[[#This Row],[Disposal_Fee]])</f>
        <v>0</v>
      </c>
      <c r="AF385" s="446" t="s">
        <v>1558</v>
      </c>
      <c r="AG385" s="442" t="str">
        <f>LEFT(SecondaryTransport[[#This Row],[Scenario_MRF_Bale_ID]],2)</f>
        <v>S4</v>
      </c>
      <c r="AH385" s="181" t="str">
        <f>LEFT(RIGHT(SecondaryTransport[[#This Row],[Scenario_MRF_Bale_ID]],10),2)</f>
        <v>06</v>
      </c>
      <c r="AI385" s="181" t="str">
        <f>INDEX(MRFs[MRF_Name],MATCH(SecondaryTransport[[#This Row],[MRF_ID]],MRFs[MRF_ID],0))</f>
        <v>5 MRFs for DS fiber (Portland)</v>
      </c>
      <c r="AJ385" s="181" t="str">
        <f>RIGHT(SecondaryTransport[[#This Row],[Scenario_MRF_Bale_ID]],7)</f>
        <v>1000-01</v>
      </c>
      <c r="AK385" s="181" t="str">
        <f>INDEX(Bales[Bale_Name],MATCH(SecondaryTransport[[#This Row],[Bale_ID]],Bales[Bale_ID],0))</f>
        <v>OCC (corrugated cardboard) </v>
      </c>
      <c r="AL385" s="443">
        <f>INDEX(BaleMover[Total_Baled_tons],MATCH(SecondaryTransport[[#This Row],[Scenario_MRF_Bale_ID]],BaleMover[Scenario_MRF_Bale_ID],0))</f>
        <v>132475.3476600821</v>
      </c>
      <c r="AM385" s="443">
        <f>IF(INDEX(BaleMover[Miles],MATCH(SecondaryTransport[[#This Row],[Scenario_MRF_Bale_ID]],BaleMover[Scenario_MRF_Bale_ID],0))="",0,INDEX(BaleMover[Miles],MATCH(SecondaryTransport[[#This Row],[Scenario_MRF_Bale_ID]],BaleMover[Scenario_MRF_Bale_ID],0)))</f>
        <v>50</v>
      </c>
      <c r="AN385" s="251">
        <f>IF(SecondaryTransport[[#This Row],[Bale_ID]]="9000-01","costs elsewhere",SecondaryTransport[[#This Row],[Total_Baled_tons]]*SecondaryTransport[[#This Row],[Miles]])</f>
        <v>6623767.3830041047</v>
      </c>
      <c r="AO385" s="352" t="str">
        <f>IF(LEFT(SecondaryTransport[[#This Row],[Bale_ID]],1)*1=5,IF(OR(SecondaryTransport[[#This Row],[MRF_ID]]="02",SecondaryTransport[[#This Row],[MRF_ID]]="08"),2,1),"")</f>
        <v/>
      </c>
      <c r="AP3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8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85" s="224" t="str">
        <f>IFERROR(IF(1*LEFT(SecondaryTransport[[#This Row],[Bale_ID]],1)=5,SecondaryTransport[[#This Row],[Ton-Miles]]*SecondaryTransport[[#This Row],[Cost_Per_Ton-Mile]],""),"")</f>
        <v/>
      </c>
      <c r="AS385" s="224">
        <f>IFERROR(IF(SecondaryTransport[[#This Row],[Container_Transfer]]="",(SecondaryTransport[[#This Row],[Ton-Miles]]*SecondaryTransport[[#This Row],[Cost_Per_Ton-Mile]]),""),"")</f>
        <v>2053367.8887312724</v>
      </c>
    </row>
    <row r="386" spans="3:45" ht="15" x14ac:dyDescent="0.25">
      <c r="C386"/>
      <c r="D386"/>
      <c r="L386" s="446" t="s">
        <v>876</v>
      </c>
      <c r="M386" s="446">
        <v>4</v>
      </c>
      <c r="N386" s="446">
        <v>2</v>
      </c>
      <c r="O386" s="446" t="s">
        <v>750</v>
      </c>
      <c r="P386" s="449" t="s">
        <v>739</v>
      </c>
      <c r="Q386" s="449"/>
      <c r="R386" s="449"/>
      <c r="S386" s="449" t="s">
        <v>963</v>
      </c>
      <c r="T386" s="449" t="s">
        <v>1121</v>
      </c>
      <c r="U386" s="452">
        <v>0</v>
      </c>
      <c r="V3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6" s="272" t="str">
        <f>IFERROR(SUMIFS(TransUnitCost[Miles],TransUnitCost[Grouping_ID],TransTonsShort[[#This Row],[Grouping_ID]],TransUnitCost[Transp_ID],TransTonsShort[[#This Row],[Transp_ID]])*TransTonsShort[[#This Row],[Trans_Tons_All]]/TransTonsShort[[#This Row],[Trans_Tons_All]],"")</f>
        <v/>
      </c>
      <c r="X386" s="386" t="str">
        <f>TransTonsShort[[#This Row],[Grouping_ID]]&amp;"-"&amp;TransTonsShort[[#This Row],[Sector_ID]]</f>
        <v>4-2</v>
      </c>
      <c r="Y3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6" s="421">
        <f>INDEX(LandfillFees[Disposal Tip Fee 2025],MATCH(TransTonsShort[[#This Row],[Grouping_ID]],LandfillFees[Grouping_ID],0))</f>
        <v>72.030938699729589</v>
      </c>
      <c r="AA386" s="102">
        <f>IF(OR(TransTonsShort[[#This Row],[CollectionStream_ID]]="03",TransTonsShort[[#This Row],[CollectionStream_ID]]="04",TransTonsShort[[#This Row],[CollectionStream_ID]]="13"),0,TransTonsShort[[#This Row],[Trans_Tons_All]]*TransTonsShort[[#This Row],[Disposal_Fee]])</f>
        <v>0</v>
      </c>
      <c r="AF386" s="446" t="s">
        <v>1559</v>
      </c>
      <c r="AG386" s="442" t="str">
        <f>LEFT(SecondaryTransport[[#This Row],[Scenario_MRF_Bale_ID]],2)</f>
        <v>S4</v>
      </c>
      <c r="AH386" s="181" t="str">
        <f>LEFT(RIGHT(SecondaryTransport[[#This Row],[Scenario_MRF_Bale_ID]],10),2)</f>
        <v>06</v>
      </c>
      <c r="AI386" s="181" t="str">
        <f>INDEX(MRFs[MRF_Name],MATCH(SecondaryTransport[[#This Row],[MRF_ID]],MRFs[MRF_ID],0))</f>
        <v>5 MRFs for DS fiber (Portland)</v>
      </c>
      <c r="AJ386" s="181" t="str">
        <f>RIGHT(SecondaryTransport[[#This Row],[Scenario_MRF_Bale_ID]],7)</f>
        <v>1000-02</v>
      </c>
      <c r="AK386" s="181" t="str">
        <f>INDEX(Bales[Bale_Name],MATCH(SecondaryTransport[[#This Row],[Bale_ID]],Bales[Bale_ID],0))</f>
        <v>Sorted clean newsprint</v>
      </c>
      <c r="AL386" s="443">
        <f>INDEX(BaleMover[Total_Baled_tons],MATCH(SecondaryTransport[[#This Row],[Scenario_MRF_Bale_ID]],BaleMover[Scenario_MRF_Bale_ID],0))</f>
        <v>0</v>
      </c>
      <c r="AM386" s="443">
        <f>IF(INDEX(BaleMover[Miles],MATCH(SecondaryTransport[[#This Row],[Scenario_MRF_Bale_ID]],BaleMover[Scenario_MRF_Bale_ID],0))="",0,INDEX(BaleMover[Miles],MATCH(SecondaryTransport[[#This Row],[Scenario_MRF_Bale_ID]],BaleMover[Scenario_MRF_Bale_ID],0)))</f>
        <v>0</v>
      </c>
      <c r="AN386" s="251">
        <f>IF(SecondaryTransport[[#This Row],[Bale_ID]]="9000-01","costs elsewhere",SecondaryTransport[[#This Row],[Total_Baled_tons]]*SecondaryTransport[[#This Row],[Miles]])</f>
        <v>0</v>
      </c>
      <c r="AO386" s="352" t="str">
        <f>IF(LEFT(SecondaryTransport[[#This Row],[Bale_ID]],1)*1=5,IF(OR(SecondaryTransport[[#This Row],[MRF_ID]]="02",SecondaryTransport[[#This Row],[MRF_ID]]="08"),2,1),"")</f>
        <v/>
      </c>
      <c r="AP3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8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86" s="224" t="str">
        <f>IFERROR(IF(1*LEFT(SecondaryTransport[[#This Row],[Bale_ID]],1)=5,SecondaryTransport[[#This Row],[Ton-Miles]]*SecondaryTransport[[#This Row],[Cost_Per_Ton-Mile]],""),"")</f>
        <v/>
      </c>
      <c r="AS386" s="224" t="str">
        <f>IFERROR(IF(SecondaryTransport[[#This Row],[Container_Transfer]]="",(SecondaryTransport[[#This Row],[Ton-Miles]]*SecondaryTransport[[#This Row],[Cost_Per_Ton-Mile]]),""),"")</f>
        <v/>
      </c>
    </row>
    <row r="387" spans="3:45" ht="15" x14ac:dyDescent="0.25">
      <c r="C387"/>
      <c r="D387"/>
      <c r="L387" s="446" t="s">
        <v>876</v>
      </c>
      <c r="M387" s="446">
        <v>1</v>
      </c>
      <c r="N387" s="446">
        <v>2</v>
      </c>
      <c r="O387" s="446" t="s">
        <v>750</v>
      </c>
      <c r="P387" s="449" t="s">
        <v>700</v>
      </c>
      <c r="Q387" s="449"/>
      <c r="R387" s="449"/>
      <c r="S387" s="449" t="s">
        <v>963</v>
      </c>
      <c r="T387" s="449" t="s">
        <v>701</v>
      </c>
      <c r="U387" s="452">
        <v>0</v>
      </c>
      <c r="V3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7" s="272" t="str">
        <f>IFERROR(SUMIFS(TransUnitCost[Miles],TransUnitCost[Grouping_ID],TransTonsShort[[#This Row],[Grouping_ID]],TransUnitCost[Transp_ID],TransTonsShort[[#This Row],[Transp_ID]])*TransTonsShort[[#This Row],[Trans_Tons_All]]/TransTonsShort[[#This Row],[Trans_Tons_All]],"")</f>
        <v/>
      </c>
      <c r="X387" s="386" t="str">
        <f>TransTonsShort[[#This Row],[Grouping_ID]]&amp;"-"&amp;TransTonsShort[[#This Row],[Sector_ID]]</f>
        <v>1-2</v>
      </c>
      <c r="Y3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7" s="421">
        <f>INDEX(LandfillFees[Disposal Tip Fee 2025],MATCH(TransTonsShort[[#This Row],[Grouping_ID]],LandfillFees[Grouping_ID],0))</f>
        <v>134.68</v>
      </c>
      <c r="AA387" s="102">
        <f>IF(OR(TransTonsShort[[#This Row],[CollectionStream_ID]]="03",TransTonsShort[[#This Row],[CollectionStream_ID]]="04",TransTonsShort[[#This Row],[CollectionStream_ID]]="13"),0,TransTonsShort[[#This Row],[Trans_Tons_All]]*TransTonsShort[[#This Row],[Disposal_Fee]])</f>
        <v>0</v>
      </c>
      <c r="AF387" s="446" t="s">
        <v>1560</v>
      </c>
      <c r="AG387" s="442" t="str">
        <f>LEFT(SecondaryTransport[[#This Row],[Scenario_MRF_Bale_ID]],2)</f>
        <v>S4</v>
      </c>
      <c r="AH387" s="181" t="str">
        <f>LEFT(RIGHT(SecondaryTransport[[#This Row],[Scenario_MRF_Bale_ID]],10),2)</f>
        <v>06</v>
      </c>
      <c r="AI387" s="181" t="str">
        <f>INDEX(MRFs[MRF_Name],MATCH(SecondaryTransport[[#This Row],[MRF_ID]],MRFs[MRF_ID],0))</f>
        <v>5 MRFs for DS fiber (Portland)</v>
      </c>
      <c r="AJ387" s="181" t="str">
        <f>RIGHT(SecondaryTransport[[#This Row],[Scenario_MRF_Bale_ID]],7)</f>
        <v>1000-03</v>
      </c>
      <c r="AK387" s="181" t="str">
        <f>INDEX(Bales[Bale_Name],MATCH(SecondaryTransport[[#This Row],[Bale_ID]],Bales[Bale_ID],0))</f>
        <v>Sorted residential paper and news</v>
      </c>
      <c r="AL387" s="443">
        <f>INDEX(BaleMover[Total_Baled_tons],MATCH(SecondaryTransport[[#This Row],[Scenario_MRF_Bale_ID]],BaleMover[Scenario_MRF_Bale_ID],0))</f>
        <v>55967.103243378508</v>
      </c>
      <c r="AM387" s="443">
        <f>IF(INDEX(BaleMover[Miles],MATCH(SecondaryTransport[[#This Row],[Scenario_MRF_Bale_ID]],BaleMover[Scenario_MRF_Bale_ID],0))="",0,INDEX(BaleMover[Miles],MATCH(SecondaryTransport[[#This Row],[Scenario_MRF_Bale_ID]],BaleMover[Scenario_MRF_Bale_ID],0)))</f>
        <v>50</v>
      </c>
      <c r="AN387" s="251">
        <f>IF(SecondaryTransport[[#This Row],[Bale_ID]]="9000-01","costs elsewhere",SecondaryTransport[[#This Row],[Total_Baled_tons]]*SecondaryTransport[[#This Row],[Miles]])</f>
        <v>2798355.1621689252</v>
      </c>
      <c r="AO387" s="352" t="str">
        <f>IF(LEFT(SecondaryTransport[[#This Row],[Bale_ID]],1)*1=5,IF(OR(SecondaryTransport[[#This Row],[MRF_ID]]="02",SecondaryTransport[[#This Row],[MRF_ID]]="08"),2,1),"")</f>
        <v/>
      </c>
      <c r="AP3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8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87" s="224" t="str">
        <f>IFERROR(IF(1*LEFT(SecondaryTransport[[#This Row],[Bale_ID]],1)=5,SecondaryTransport[[#This Row],[Ton-Miles]]*SecondaryTransport[[#This Row],[Cost_Per_Ton-Mile]],""),"")</f>
        <v/>
      </c>
      <c r="AS387" s="224">
        <f>IFERROR(IF(SecondaryTransport[[#This Row],[Container_Transfer]]="",(SecondaryTransport[[#This Row],[Ton-Miles]]*SecondaryTransport[[#This Row],[Cost_Per_Ton-Mile]]),""),"")</f>
        <v>867490.10027236678</v>
      </c>
    </row>
    <row r="388" spans="3:45" ht="15" x14ac:dyDescent="0.25">
      <c r="C388"/>
      <c r="D388"/>
      <c r="L388" s="446" t="s">
        <v>876</v>
      </c>
      <c r="M388" s="446">
        <v>2</v>
      </c>
      <c r="N388" s="446">
        <v>2</v>
      </c>
      <c r="O388" s="446" t="s">
        <v>750</v>
      </c>
      <c r="P388" s="449" t="s">
        <v>700</v>
      </c>
      <c r="Q388" s="449"/>
      <c r="R388" s="449"/>
      <c r="S388" s="449" t="s">
        <v>963</v>
      </c>
      <c r="T388" s="449" t="s">
        <v>701</v>
      </c>
      <c r="U388" s="452">
        <v>0</v>
      </c>
      <c r="V3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8" s="272" t="str">
        <f>IFERROR(SUMIFS(TransUnitCost[Miles],TransUnitCost[Grouping_ID],TransTonsShort[[#This Row],[Grouping_ID]],TransUnitCost[Transp_ID],TransTonsShort[[#This Row],[Transp_ID]])*TransTonsShort[[#This Row],[Trans_Tons_All]]/TransTonsShort[[#This Row],[Trans_Tons_All]],"")</f>
        <v/>
      </c>
      <c r="X388" s="386" t="str">
        <f>TransTonsShort[[#This Row],[Grouping_ID]]&amp;"-"&amp;TransTonsShort[[#This Row],[Sector_ID]]</f>
        <v>2-2</v>
      </c>
      <c r="Y3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8" s="421">
        <f>INDEX(LandfillFees[Disposal Tip Fee 2025],MATCH(TransTonsShort[[#This Row],[Grouping_ID]],LandfillFees[Grouping_ID],0))</f>
        <v>72.030938699729589</v>
      </c>
      <c r="AA388" s="102">
        <f>IF(OR(TransTonsShort[[#This Row],[CollectionStream_ID]]="03",TransTonsShort[[#This Row],[CollectionStream_ID]]="04",TransTonsShort[[#This Row],[CollectionStream_ID]]="13"),0,TransTonsShort[[#This Row],[Trans_Tons_All]]*TransTonsShort[[#This Row],[Disposal_Fee]])</f>
        <v>0</v>
      </c>
      <c r="AF388" s="446" t="s">
        <v>1561</v>
      </c>
      <c r="AG388" s="442" t="str">
        <f>LEFT(SecondaryTransport[[#This Row],[Scenario_MRF_Bale_ID]],2)</f>
        <v>S4</v>
      </c>
      <c r="AH388" s="181" t="str">
        <f>LEFT(RIGHT(SecondaryTransport[[#This Row],[Scenario_MRF_Bale_ID]],10),2)</f>
        <v>06</v>
      </c>
      <c r="AI388" s="181" t="str">
        <f>INDEX(MRFs[MRF_Name],MATCH(SecondaryTransport[[#This Row],[MRF_ID]],MRFs[MRF_ID],0))</f>
        <v>5 MRFs for DS fiber (Portland)</v>
      </c>
      <c r="AJ388" s="181" t="str">
        <f>RIGHT(SecondaryTransport[[#This Row],[Scenario_MRF_Bale_ID]],7)</f>
        <v>1000-04</v>
      </c>
      <c r="AK388" s="181" t="str">
        <f>INDEX(Bales[Bale_Name],MATCH(SecondaryTransport[[#This Row],[Bale_ID]],Bales[Bale_ID],0))</f>
        <v>Sorted office paper and sorted white ledger</v>
      </c>
      <c r="AL388" s="443">
        <f>INDEX(BaleMover[Total_Baled_tons],MATCH(SecondaryTransport[[#This Row],[Scenario_MRF_Bale_ID]],BaleMover[Scenario_MRF_Bale_ID],0))</f>
        <v>0</v>
      </c>
      <c r="AM388" s="443">
        <f>IF(INDEX(BaleMover[Miles],MATCH(SecondaryTransport[[#This Row],[Scenario_MRF_Bale_ID]],BaleMover[Scenario_MRF_Bale_ID],0))="",0,INDEX(BaleMover[Miles],MATCH(SecondaryTransport[[#This Row],[Scenario_MRF_Bale_ID]],BaleMover[Scenario_MRF_Bale_ID],0)))</f>
        <v>0</v>
      </c>
      <c r="AN388" s="251">
        <f>IF(SecondaryTransport[[#This Row],[Bale_ID]]="9000-01","costs elsewhere",SecondaryTransport[[#This Row],[Total_Baled_tons]]*SecondaryTransport[[#This Row],[Miles]])</f>
        <v>0</v>
      </c>
      <c r="AO388" s="352" t="str">
        <f>IF(LEFT(SecondaryTransport[[#This Row],[Bale_ID]],1)*1=5,IF(OR(SecondaryTransport[[#This Row],[MRF_ID]]="02",SecondaryTransport[[#This Row],[MRF_ID]]="08"),2,1),"")</f>
        <v/>
      </c>
      <c r="AP3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8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88" s="224" t="str">
        <f>IFERROR(IF(1*LEFT(SecondaryTransport[[#This Row],[Bale_ID]],1)=5,SecondaryTransport[[#This Row],[Ton-Miles]]*SecondaryTransport[[#This Row],[Cost_Per_Ton-Mile]],""),"")</f>
        <v/>
      </c>
      <c r="AS388" s="224" t="str">
        <f>IFERROR(IF(SecondaryTransport[[#This Row],[Container_Transfer]]="",(SecondaryTransport[[#This Row],[Ton-Miles]]*SecondaryTransport[[#This Row],[Cost_Per_Ton-Mile]]),""),"")</f>
        <v/>
      </c>
    </row>
    <row r="389" spans="3:45" ht="15" x14ac:dyDescent="0.25">
      <c r="C389"/>
      <c r="D389"/>
      <c r="L389" s="446" t="s">
        <v>876</v>
      </c>
      <c r="M389" s="446">
        <v>3</v>
      </c>
      <c r="N389" s="446">
        <v>2</v>
      </c>
      <c r="O389" s="446" t="s">
        <v>750</v>
      </c>
      <c r="P389" s="449" t="s">
        <v>700</v>
      </c>
      <c r="Q389" s="449"/>
      <c r="R389" s="449"/>
      <c r="S389" s="449" t="s">
        <v>963</v>
      </c>
      <c r="T389" s="449" t="s">
        <v>701</v>
      </c>
      <c r="U389" s="452">
        <v>0</v>
      </c>
      <c r="V3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89" s="272" t="str">
        <f>IFERROR(SUMIFS(TransUnitCost[Miles],TransUnitCost[Grouping_ID],TransTonsShort[[#This Row],[Grouping_ID]],TransUnitCost[Transp_ID],TransTonsShort[[#This Row],[Transp_ID]])*TransTonsShort[[#This Row],[Trans_Tons_All]]/TransTonsShort[[#This Row],[Trans_Tons_All]],"")</f>
        <v/>
      </c>
      <c r="X389" s="386" t="str">
        <f>TransTonsShort[[#This Row],[Grouping_ID]]&amp;"-"&amp;TransTonsShort[[#This Row],[Sector_ID]]</f>
        <v>3-2</v>
      </c>
      <c r="Y3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89" s="421">
        <f>INDEX(LandfillFees[Disposal Tip Fee 2025],MATCH(TransTonsShort[[#This Row],[Grouping_ID]],LandfillFees[Grouping_ID],0))</f>
        <v>72.030938699729589</v>
      </c>
      <c r="AA389" s="102">
        <f>IF(OR(TransTonsShort[[#This Row],[CollectionStream_ID]]="03",TransTonsShort[[#This Row],[CollectionStream_ID]]="04",TransTonsShort[[#This Row],[CollectionStream_ID]]="13"),0,TransTonsShort[[#This Row],[Trans_Tons_All]]*TransTonsShort[[#This Row],[Disposal_Fee]])</f>
        <v>0</v>
      </c>
      <c r="AF389" s="446" t="s">
        <v>1562</v>
      </c>
      <c r="AG389" s="442" t="str">
        <f>LEFT(SecondaryTransport[[#This Row],[Scenario_MRF_Bale_ID]],2)</f>
        <v>S4</v>
      </c>
      <c r="AH389" s="181" t="str">
        <f>LEFT(RIGHT(SecondaryTransport[[#This Row],[Scenario_MRF_Bale_ID]],10),2)</f>
        <v>06</v>
      </c>
      <c r="AI389" s="181" t="str">
        <f>INDEX(MRFs[MRF_Name],MATCH(SecondaryTransport[[#This Row],[MRF_ID]],MRFs[MRF_ID],0))</f>
        <v>5 MRFs for DS fiber (Portland)</v>
      </c>
      <c r="AJ389" s="181" t="str">
        <f>RIGHT(SecondaryTransport[[#This Row],[Scenario_MRF_Bale_ID]],7)</f>
        <v>1000-05</v>
      </c>
      <c r="AK389" s="181" t="str">
        <f>INDEX(Bales[Bale_Name],MATCH(SecondaryTransport[[#This Row],[Bale_ID]],Bales[Bale_ID],0))</f>
        <v>Mixed paper</v>
      </c>
      <c r="AL389" s="443">
        <f>INDEX(BaleMover[Total_Baled_tons],MATCH(SecondaryTransport[[#This Row],[Scenario_MRF_Bale_ID]],BaleMover[Scenario_MRF_Bale_ID],0))</f>
        <v>36277.41154736626</v>
      </c>
      <c r="AM389" s="443">
        <f>IF(INDEX(BaleMover[Miles],MATCH(SecondaryTransport[[#This Row],[Scenario_MRF_Bale_ID]],BaleMover[Scenario_MRF_Bale_ID],0))="",0,INDEX(BaleMover[Miles],MATCH(SecondaryTransport[[#This Row],[Scenario_MRF_Bale_ID]],BaleMover[Scenario_MRF_Bale_ID],0)))</f>
        <v>50</v>
      </c>
      <c r="AN389" s="251">
        <f>IF(SecondaryTransport[[#This Row],[Bale_ID]]="9000-01","costs elsewhere",SecondaryTransport[[#This Row],[Total_Baled_tons]]*SecondaryTransport[[#This Row],[Miles]])</f>
        <v>1813870.577368313</v>
      </c>
      <c r="AO389" s="352" t="str">
        <f>IF(LEFT(SecondaryTransport[[#This Row],[Bale_ID]],1)*1=5,IF(OR(SecondaryTransport[[#This Row],[MRF_ID]]="02",SecondaryTransport[[#This Row],[MRF_ID]]="08"),2,1),"")</f>
        <v/>
      </c>
      <c r="AP3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38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389" s="224" t="str">
        <f>IFERROR(IF(1*LEFT(SecondaryTransport[[#This Row],[Bale_ID]],1)=5,SecondaryTransport[[#This Row],[Ton-Miles]]*SecondaryTransport[[#This Row],[Cost_Per_Ton-Mile]],""),"")</f>
        <v/>
      </c>
      <c r="AS389" s="224">
        <f>IFERROR(IF(SecondaryTransport[[#This Row],[Container_Transfer]]="",(SecondaryTransport[[#This Row],[Ton-Miles]]*SecondaryTransport[[#This Row],[Cost_Per_Ton-Mile]]),""),"")</f>
        <v>562299.87898417702</v>
      </c>
    </row>
    <row r="390" spans="3:45" ht="15" x14ac:dyDescent="0.25">
      <c r="C390"/>
      <c r="D390"/>
      <c r="L390" s="446" t="s">
        <v>876</v>
      </c>
      <c r="M390" s="446">
        <v>4</v>
      </c>
      <c r="N390" s="446">
        <v>2</v>
      </c>
      <c r="O390" s="446" t="s">
        <v>750</v>
      </c>
      <c r="P390" s="449" t="s">
        <v>700</v>
      </c>
      <c r="Q390" s="449"/>
      <c r="R390" s="449"/>
      <c r="S390" s="449" t="s">
        <v>963</v>
      </c>
      <c r="T390" s="449" t="s">
        <v>701</v>
      </c>
      <c r="U390" s="452">
        <v>0</v>
      </c>
      <c r="V3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0" s="272" t="str">
        <f>IFERROR(SUMIFS(TransUnitCost[Miles],TransUnitCost[Grouping_ID],TransTonsShort[[#This Row],[Grouping_ID]],TransUnitCost[Transp_ID],TransTonsShort[[#This Row],[Transp_ID]])*TransTonsShort[[#This Row],[Trans_Tons_All]]/TransTonsShort[[#This Row],[Trans_Tons_All]],"")</f>
        <v/>
      </c>
      <c r="X390" s="386" t="str">
        <f>TransTonsShort[[#This Row],[Grouping_ID]]&amp;"-"&amp;TransTonsShort[[#This Row],[Sector_ID]]</f>
        <v>4-2</v>
      </c>
      <c r="Y3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390" s="421">
        <f>INDEX(LandfillFees[Disposal Tip Fee 2025],MATCH(TransTonsShort[[#This Row],[Grouping_ID]],LandfillFees[Grouping_ID],0))</f>
        <v>72.030938699729589</v>
      </c>
      <c r="AA390" s="102">
        <f>IF(OR(TransTonsShort[[#This Row],[CollectionStream_ID]]="03",TransTonsShort[[#This Row],[CollectionStream_ID]]="04",TransTonsShort[[#This Row],[CollectionStream_ID]]="13"),0,TransTonsShort[[#This Row],[Trans_Tons_All]]*TransTonsShort[[#This Row],[Disposal_Fee]])</f>
        <v>0</v>
      </c>
      <c r="AF390" s="446" t="s">
        <v>1563</v>
      </c>
      <c r="AG390" s="442" t="str">
        <f>LEFT(SecondaryTransport[[#This Row],[Scenario_MRF_Bale_ID]],2)</f>
        <v>S4</v>
      </c>
      <c r="AH390" s="181" t="str">
        <f>LEFT(RIGHT(SecondaryTransport[[#This Row],[Scenario_MRF_Bale_ID]],10),2)</f>
        <v>06</v>
      </c>
      <c r="AI390" s="181" t="str">
        <f>INDEX(MRFs[MRF_Name],MATCH(SecondaryTransport[[#This Row],[MRF_ID]],MRFs[MRF_ID],0))</f>
        <v>5 MRFs for DS fiber (Portland)</v>
      </c>
      <c r="AJ390" s="181" t="str">
        <f>RIGHT(SecondaryTransport[[#This Row],[Scenario_MRF_Bale_ID]],7)</f>
        <v>1000-06</v>
      </c>
      <c r="AK390" s="181" t="str">
        <f>INDEX(Bales[Bale_Name],MATCH(SecondaryTransport[[#This Row],[Bale_ID]],Bales[Bale_ID],0))</f>
        <v>Paperboard/old boxboard</v>
      </c>
      <c r="AL390" s="443">
        <f>INDEX(BaleMover[Total_Baled_tons],MATCH(SecondaryTransport[[#This Row],[Scenario_MRF_Bale_ID]],BaleMover[Scenario_MRF_Bale_ID],0))</f>
        <v>0</v>
      </c>
      <c r="AM390" s="443">
        <f>IF(INDEX(BaleMover[Miles],MATCH(SecondaryTransport[[#This Row],[Scenario_MRF_Bale_ID]],BaleMover[Scenario_MRF_Bale_ID],0))="",0,INDEX(BaleMover[Miles],MATCH(SecondaryTransport[[#This Row],[Scenario_MRF_Bale_ID]],BaleMover[Scenario_MRF_Bale_ID],0)))</f>
        <v>0</v>
      </c>
      <c r="AN390" s="251">
        <f>IF(SecondaryTransport[[#This Row],[Bale_ID]]="9000-01","costs elsewhere",SecondaryTransport[[#This Row],[Total_Baled_tons]]*SecondaryTransport[[#This Row],[Miles]])</f>
        <v>0</v>
      </c>
      <c r="AO390" s="352" t="str">
        <f>IF(LEFT(SecondaryTransport[[#This Row],[Bale_ID]],1)*1=5,IF(OR(SecondaryTransport[[#This Row],[MRF_ID]]="02",SecondaryTransport[[#This Row],[MRF_ID]]="08"),2,1),"")</f>
        <v/>
      </c>
      <c r="AP3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0" s="224" t="str">
        <f>IFERROR(IF(1*LEFT(SecondaryTransport[[#This Row],[Bale_ID]],1)=5,SecondaryTransport[[#This Row],[Ton-Miles]]*SecondaryTransport[[#This Row],[Cost_Per_Ton-Mile]],""),"")</f>
        <v/>
      </c>
      <c r="AS390" s="224" t="str">
        <f>IFERROR(IF(SecondaryTransport[[#This Row],[Container_Transfer]]="",(SecondaryTransport[[#This Row],[Ton-Miles]]*SecondaryTransport[[#This Row],[Cost_Per_Ton-Mile]]),""),"")</f>
        <v/>
      </c>
    </row>
    <row r="391" spans="3:45" ht="15" x14ac:dyDescent="0.25">
      <c r="C391"/>
      <c r="D391"/>
      <c r="L391" s="446" t="s">
        <v>875</v>
      </c>
      <c r="M391" s="446">
        <v>1</v>
      </c>
      <c r="N391" s="446">
        <v>2</v>
      </c>
      <c r="O391" s="446" t="s">
        <v>700</v>
      </c>
      <c r="P391" s="449" t="s">
        <v>719</v>
      </c>
      <c r="Q391" s="449"/>
      <c r="R391" s="449"/>
      <c r="S391" s="449" t="s">
        <v>872</v>
      </c>
      <c r="T391" s="449" t="s">
        <v>1055</v>
      </c>
      <c r="U391" s="452">
        <v>0</v>
      </c>
      <c r="V3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1" s="272" t="str">
        <f>IFERROR(SUMIFS(TransUnitCost[Miles],TransUnitCost[Grouping_ID],TransTonsShort[[#This Row],[Grouping_ID]],TransUnitCost[Transp_ID],TransTonsShort[[#This Row],[Transp_ID]])*TransTonsShort[[#This Row],[Trans_Tons_All]]/TransTonsShort[[#This Row],[Trans_Tons_All]],"")</f>
        <v/>
      </c>
      <c r="X391" s="386" t="str">
        <f>TransTonsShort[[#This Row],[Grouping_ID]]&amp;"-"&amp;TransTonsShort[[#This Row],[Sector_ID]]</f>
        <v>1-2</v>
      </c>
      <c r="Y3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1" s="421">
        <f>INDEX(LandfillFees[Disposal Tip Fee 2025],MATCH(TransTonsShort[[#This Row],[Grouping_ID]],LandfillFees[Grouping_ID],0))</f>
        <v>134.68</v>
      </c>
      <c r="AA391" s="102">
        <f>IF(OR(TransTonsShort[[#This Row],[CollectionStream_ID]]="03",TransTonsShort[[#This Row],[CollectionStream_ID]]="04",TransTonsShort[[#This Row],[CollectionStream_ID]]="13"),0,TransTonsShort[[#This Row],[Trans_Tons_All]]*TransTonsShort[[#This Row],[Disposal_Fee]])</f>
        <v>0</v>
      </c>
      <c r="AF391" s="446" t="s">
        <v>1564</v>
      </c>
      <c r="AG391" s="442" t="str">
        <f>LEFT(SecondaryTransport[[#This Row],[Scenario_MRF_Bale_ID]],2)</f>
        <v>S4</v>
      </c>
      <c r="AH391" s="181" t="str">
        <f>LEFT(RIGHT(SecondaryTransport[[#This Row],[Scenario_MRF_Bale_ID]],10),2)</f>
        <v>06</v>
      </c>
      <c r="AI391" s="181" t="str">
        <f>INDEX(MRFs[MRF_Name],MATCH(SecondaryTransport[[#This Row],[MRF_ID]],MRFs[MRF_ID],0))</f>
        <v>5 MRFs for DS fiber (Portland)</v>
      </c>
      <c r="AJ391" s="181" t="str">
        <f>RIGHT(SecondaryTransport[[#This Row],[Scenario_MRF_Bale_ID]],7)</f>
        <v>1000-07</v>
      </c>
      <c r="AK391" s="181" t="str">
        <f>INDEX(Bales[Bale_Name],MATCH(SecondaryTransport[[#This Row],[Bale_ID]],Bales[Bale_ID],0))</f>
        <v>Aseptic and gable-top cartons</v>
      </c>
      <c r="AL391" s="443">
        <f>INDEX(BaleMover[Total_Baled_tons],MATCH(SecondaryTransport[[#This Row],[Scenario_MRF_Bale_ID]],BaleMover[Scenario_MRF_Bale_ID],0))</f>
        <v>0</v>
      </c>
      <c r="AM391" s="443">
        <f>IF(INDEX(BaleMover[Miles],MATCH(SecondaryTransport[[#This Row],[Scenario_MRF_Bale_ID]],BaleMover[Scenario_MRF_Bale_ID],0))="",0,INDEX(BaleMover[Miles],MATCH(SecondaryTransport[[#This Row],[Scenario_MRF_Bale_ID]],BaleMover[Scenario_MRF_Bale_ID],0)))</f>
        <v>0</v>
      </c>
      <c r="AN391" s="251">
        <f>IF(SecondaryTransport[[#This Row],[Bale_ID]]="9000-01","costs elsewhere",SecondaryTransport[[#This Row],[Total_Baled_tons]]*SecondaryTransport[[#This Row],[Miles]])</f>
        <v>0</v>
      </c>
      <c r="AO391" s="352" t="str">
        <f>IF(LEFT(SecondaryTransport[[#This Row],[Bale_ID]],1)*1=5,IF(OR(SecondaryTransport[[#This Row],[MRF_ID]]="02",SecondaryTransport[[#This Row],[MRF_ID]]="08"),2,1),"")</f>
        <v/>
      </c>
      <c r="AP3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1" s="224" t="str">
        <f>IFERROR(IF(1*LEFT(SecondaryTransport[[#This Row],[Bale_ID]],1)=5,SecondaryTransport[[#This Row],[Ton-Miles]]*SecondaryTransport[[#This Row],[Cost_Per_Ton-Mile]],""),"")</f>
        <v/>
      </c>
      <c r="AS391" s="224" t="str">
        <f>IFERROR(IF(SecondaryTransport[[#This Row],[Container_Transfer]]="",(SecondaryTransport[[#This Row],[Ton-Miles]]*SecondaryTransport[[#This Row],[Cost_Per_Ton-Mile]]),""),"")</f>
        <v/>
      </c>
    </row>
    <row r="392" spans="3:45" ht="15" x14ac:dyDescent="0.25">
      <c r="C392"/>
      <c r="D392"/>
      <c r="L392" s="446" t="s">
        <v>875</v>
      </c>
      <c r="M392" s="446">
        <v>2</v>
      </c>
      <c r="N392" s="446">
        <v>2</v>
      </c>
      <c r="O392" s="446" t="s">
        <v>700</v>
      </c>
      <c r="P392" s="449" t="s">
        <v>719</v>
      </c>
      <c r="Q392" s="449"/>
      <c r="R392" s="449"/>
      <c r="S392" s="449" t="s">
        <v>872</v>
      </c>
      <c r="T392" s="449" t="s">
        <v>1055</v>
      </c>
      <c r="U392" s="452">
        <v>0</v>
      </c>
      <c r="V3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2" s="272" t="str">
        <f>IFERROR(SUMIFS(TransUnitCost[Miles],TransUnitCost[Grouping_ID],TransTonsShort[[#This Row],[Grouping_ID]],TransUnitCost[Transp_ID],TransTonsShort[[#This Row],[Transp_ID]])*TransTonsShort[[#This Row],[Trans_Tons_All]]/TransTonsShort[[#This Row],[Trans_Tons_All]],"")</f>
        <v/>
      </c>
      <c r="X392" s="386" t="str">
        <f>TransTonsShort[[#This Row],[Grouping_ID]]&amp;"-"&amp;TransTonsShort[[#This Row],[Sector_ID]]</f>
        <v>2-2</v>
      </c>
      <c r="Y3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2" s="421">
        <f>INDEX(LandfillFees[Disposal Tip Fee 2025],MATCH(TransTonsShort[[#This Row],[Grouping_ID]],LandfillFees[Grouping_ID],0))</f>
        <v>72.030938699729589</v>
      </c>
      <c r="AA392" s="102">
        <f>IF(OR(TransTonsShort[[#This Row],[CollectionStream_ID]]="03",TransTonsShort[[#This Row],[CollectionStream_ID]]="04",TransTonsShort[[#This Row],[CollectionStream_ID]]="13"),0,TransTonsShort[[#This Row],[Trans_Tons_All]]*TransTonsShort[[#This Row],[Disposal_Fee]])</f>
        <v>0</v>
      </c>
      <c r="AF392" s="446" t="s">
        <v>1565</v>
      </c>
      <c r="AG392" s="442" t="str">
        <f>LEFT(SecondaryTransport[[#This Row],[Scenario_MRF_Bale_ID]],2)</f>
        <v>S4</v>
      </c>
      <c r="AH392" s="181" t="str">
        <f>LEFT(RIGHT(SecondaryTransport[[#This Row],[Scenario_MRF_Bale_ID]],10),2)</f>
        <v>06</v>
      </c>
      <c r="AI392" s="181" t="str">
        <f>INDEX(MRFs[MRF_Name],MATCH(SecondaryTransport[[#This Row],[MRF_ID]],MRFs[MRF_ID],0))</f>
        <v>5 MRFs for DS fiber (Portland)</v>
      </c>
      <c r="AJ392" s="181" t="str">
        <f>RIGHT(SecondaryTransport[[#This Row],[Scenario_MRF_Bale_ID]],7)</f>
        <v>1000-08</v>
      </c>
      <c r="AK392" s="181" t="str">
        <f>INDEX(Bales[Bale_Name],MATCH(SecondaryTransport[[#This Row],[Bale_ID]],Bales[Bale_ID],0))</f>
        <v>Polycoated cups and containers</v>
      </c>
      <c r="AL392" s="443">
        <f>INDEX(BaleMover[Total_Baled_tons],MATCH(SecondaryTransport[[#This Row],[Scenario_MRF_Bale_ID]],BaleMover[Scenario_MRF_Bale_ID],0))</f>
        <v>0</v>
      </c>
      <c r="AM392" s="443">
        <f>IF(INDEX(BaleMover[Miles],MATCH(SecondaryTransport[[#This Row],[Scenario_MRF_Bale_ID]],BaleMover[Scenario_MRF_Bale_ID],0))="",0,INDEX(BaleMover[Miles],MATCH(SecondaryTransport[[#This Row],[Scenario_MRF_Bale_ID]],BaleMover[Scenario_MRF_Bale_ID],0)))</f>
        <v>0</v>
      </c>
      <c r="AN392" s="251">
        <f>IF(SecondaryTransport[[#This Row],[Bale_ID]]="9000-01","costs elsewhere",SecondaryTransport[[#This Row],[Total_Baled_tons]]*SecondaryTransport[[#This Row],[Miles]])</f>
        <v>0</v>
      </c>
      <c r="AO392" s="352" t="str">
        <f>IF(LEFT(SecondaryTransport[[#This Row],[Bale_ID]],1)*1=5,IF(OR(SecondaryTransport[[#This Row],[MRF_ID]]="02",SecondaryTransport[[#This Row],[MRF_ID]]="08"),2,1),"")</f>
        <v/>
      </c>
      <c r="AP3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2" s="224" t="str">
        <f>IFERROR(IF(1*LEFT(SecondaryTransport[[#This Row],[Bale_ID]],1)=5,SecondaryTransport[[#This Row],[Ton-Miles]]*SecondaryTransport[[#This Row],[Cost_Per_Ton-Mile]],""),"")</f>
        <v/>
      </c>
      <c r="AS392" s="224" t="str">
        <f>IFERROR(IF(SecondaryTransport[[#This Row],[Container_Transfer]]="",(SecondaryTransport[[#This Row],[Ton-Miles]]*SecondaryTransport[[#This Row],[Cost_Per_Ton-Mile]]),""),"")</f>
        <v/>
      </c>
    </row>
    <row r="393" spans="3:45" ht="15" x14ac:dyDescent="0.25">
      <c r="C393"/>
      <c r="D393"/>
      <c r="L393" s="446" t="s">
        <v>875</v>
      </c>
      <c r="M393" s="446">
        <v>3</v>
      </c>
      <c r="N393" s="446">
        <v>2</v>
      </c>
      <c r="O393" s="446" t="s">
        <v>700</v>
      </c>
      <c r="P393" s="449" t="s">
        <v>719</v>
      </c>
      <c r="Q393" s="449"/>
      <c r="R393" s="449"/>
      <c r="S393" s="449" t="s">
        <v>872</v>
      </c>
      <c r="T393" s="449" t="s">
        <v>1055</v>
      </c>
      <c r="U393" s="452">
        <v>0</v>
      </c>
      <c r="V3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3" s="272" t="str">
        <f>IFERROR(SUMIFS(TransUnitCost[Miles],TransUnitCost[Grouping_ID],TransTonsShort[[#This Row],[Grouping_ID]],TransUnitCost[Transp_ID],TransTonsShort[[#This Row],[Transp_ID]])*TransTonsShort[[#This Row],[Trans_Tons_All]]/TransTonsShort[[#This Row],[Trans_Tons_All]],"")</f>
        <v/>
      </c>
      <c r="X393" s="386" t="str">
        <f>TransTonsShort[[#This Row],[Grouping_ID]]&amp;"-"&amp;TransTonsShort[[#This Row],[Sector_ID]]</f>
        <v>3-2</v>
      </c>
      <c r="Y3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3" s="421">
        <f>INDEX(LandfillFees[Disposal Tip Fee 2025],MATCH(TransTonsShort[[#This Row],[Grouping_ID]],LandfillFees[Grouping_ID],0))</f>
        <v>72.030938699729589</v>
      </c>
      <c r="AA393" s="102">
        <f>IF(OR(TransTonsShort[[#This Row],[CollectionStream_ID]]="03",TransTonsShort[[#This Row],[CollectionStream_ID]]="04",TransTonsShort[[#This Row],[CollectionStream_ID]]="13"),0,TransTonsShort[[#This Row],[Trans_Tons_All]]*TransTonsShort[[#This Row],[Disposal_Fee]])</f>
        <v>0</v>
      </c>
      <c r="AF393" s="446" t="s">
        <v>1566</v>
      </c>
      <c r="AG393" s="442" t="str">
        <f>LEFT(SecondaryTransport[[#This Row],[Scenario_MRF_Bale_ID]],2)</f>
        <v>S4</v>
      </c>
      <c r="AH393" s="181" t="str">
        <f>LEFT(RIGHT(SecondaryTransport[[#This Row],[Scenario_MRF_Bale_ID]],10),2)</f>
        <v>06</v>
      </c>
      <c r="AI393" s="181" t="str">
        <f>INDEX(MRFs[MRF_Name],MATCH(SecondaryTransport[[#This Row],[MRF_ID]],MRFs[MRF_ID],0))</f>
        <v>5 MRFs for DS fiber (Portland)</v>
      </c>
      <c r="AJ393" s="181" t="str">
        <f>RIGHT(SecondaryTransport[[#This Row],[Scenario_MRF_Bale_ID]],7)</f>
        <v>2000-01</v>
      </c>
      <c r="AK393" s="181" t="str">
        <f>INDEX(Bales[Bale_Name],MATCH(SecondaryTransport[[#This Row],[Bale_ID]],Bales[Bale_ID],0))</f>
        <v>PET #1 bottles and jars </v>
      </c>
      <c r="AL393" s="443">
        <f>INDEX(BaleMover[Total_Baled_tons],MATCH(SecondaryTransport[[#This Row],[Scenario_MRF_Bale_ID]],BaleMover[Scenario_MRF_Bale_ID],0))</f>
        <v>0</v>
      </c>
      <c r="AM393" s="443">
        <f>IF(INDEX(BaleMover[Miles],MATCH(SecondaryTransport[[#This Row],[Scenario_MRF_Bale_ID]],BaleMover[Scenario_MRF_Bale_ID],0))="",0,INDEX(BaleMover[Miles],MATCH(SecondaryTransport[[#This Row],[Scenario_MRF_Bale_ID]],BaleMover[Scenario_MRF_Bale_ID],0)))</f>
        <v>0</v>
      </c>
      <c r="AN393" s="251">
        <f>IF(SecondaryTransport[[#This Row],[Bale_ID]]="9000-01","costs elsewhere",SecondaryTransport[[#This Row],[Total_Baled_tons]]*SecondaryTransport[[#This Row],[Miles]])</f>
        <v>0</v>
      </c>
      <c r="AO393" s="352" t="str">
        <f>IF(LEFT(SecondaryTransport[[#This Row],[Bale_ID]],1)*1=5,IF(OR(SecondaryTransport[[#This Row],[MRF_ID]]="02",SecondaryTransport[[#This Row],[MRF_ID]]="08"),2,1),"")</f>
        <v/>
      </c>
      <c r="AP3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3" s="224" t="str">
        <f>IFERROR(IF(1*LEFT(SecondaryTransport[[#This Row],[Bale_ID]],1)=5,SecondaryTransport[[#This Row],[Ton-Miles]]*SecondaryTransport[[#This Row],[Cost_Per_Ton-Mile]],""),"")</f>
        <v/>
      </c>
      <c r="AS393" s="224" t="str">
        <f>IFERROR(IF(SecondaryTransport[[#This Row],[Container_Transfer]]="",(SecondaryTransport[[#This Row],[Ton-Miles]]*SecondaryTransport[[#This Row],[Cost_Per_Ton-Mile]]),""),"")</f>
        <v/>
      </c>
    </row>
    <row r="394" spans="3:45" ht="15" x14ac:dyDescent="0.25">
      <c r="C394"/>
      <c r="D394"/>
      <c r="L394" s="446" t="s">
        <v>875</v>
      </c>
      <c r="M394" s="446">
        <v>4</v>
      </c>
      <c r="N394" s="446">
        <v>2</v>
      </c>
      <c r="O394" s="446" t="s">
        <v>700</v>
      </c>
      <c r="P394" s="449" t="s">
        <v>719</v>
      </c>
      <c r="Q394" s="449"/>
      <c r="R394" s="449"/>
      <c r="S394" s="449" t="s">
        <v>872</v>
      </c>
      <c r="T394" s="449" t="s">
        <v>1055</v>
      </c>
      <c r="U394" s="452">
        <v>0</v>
      </c>
      <c r="V3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4" s="272" t="str">
        <f>IFERROR(SUMIFS(TransUnitCost[Miles],TransUnitCost[Grouping_ID],TransTonsShort[[#This Row],[Grouping_ID]],TransUnitCost[Transp_ID],TransTonsShort[[#This Row],[Transp_ID]])*TransTonsShort[[#This Row],[Trans_Tons_All]]/TransTonsShort[[#This Row],[Trans_Tons_All]],"")</f>
        <v/>
      </c>
      <c r="X394" s="386" t="str">
        <f>TransTonsShort[[#This Row],[Grouping_ID]]&amp;"-"&amp;TransTonsShort[[#This Row],[Sector_ID]]</f>
        <v>4-2</v>
      </c>
      <c r="Y3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4" s="421">
        <f>INDEX(LandfillFees[Disposal Tip Fee 2025],MATCH(TransTonsShort[[#This Row],[Grouping_ID]],LandfillFees[Grouping_ID],0))</f>
        <v>72.030938699729589</v>
      </c>
      <c r="AA394" s="102">
        <f>IF(OR(TransTonsShort[[#This Row],[CollectionStream_ID]]="03",TransTonsShort[[#This Row],[CollectionStream_ID]]="04",TransTonsShort[[#This Row],[CollectionStream_ID]]="13"),0,TransTonsShort[[#This Row],[Trans_Tons_All]]*TransTonsShort[[#This Row],[Disposal_Fee]])</f>
        <v>0</v>
      </c>
      <c r="AF394" s="446" t="s">
        <v>1567</v>
      </c>
      <c r="AG394" s="442" t="str">
        <f>LEFT(SecondaryTransport[[#This Row],[Scenario_MRF_Bale_ID]],2)</f>
        <v>S4</v>
      </c>
      <c r="AH394" s="181" t="str">
        <f>LEFT(RIGHT(SecondaryTransport[[#This Row],[Scenario_MRF_Bale_ID]],10),2)</f>
        <v>06</v>
      </c>
      <c r="AI394" s="181" t="str">
        <f>INDEX(MRFs[MRF_Name],MATCH(SecondaryTransport[[#This Row],[MRF_ID]],MRFs[MRF_ID],0))</f>
        <v>5 MRFs for DS fiber (Portland)</v>
      </c>
      <c r="AJ394" s="181" t="str">
        <f>RIGHT(SecondaryTransport[[#This Row],[Scenario_MRF_Bale_ID]],7)</f>
        <v>2000-02</v>
      </c>
      <c r="AK394" s="181" t="str">
        <f>INDEX(Bales[Bale_Name],MATCH(SecondaryTransport[[#This Row],[Bale_ID]],Bales[Bale_ID],0))</f>
        <v>PET #1 thermoforms and tubs</v>
      </c>
      <c r="AL394" s="443">
        <f>INDEX(BaleMover[Total_Baled_tons],MATCH(SecondaryTransport[[#This Row],[Scenario_MRF_Bale_ID]],BaleMover[Scenario_MRF_Bale_ID],0))</f>
        <v>0</v>
      </c>
      <c r="AM394" s="443">
        <f>IF(INDEX(BaleMover[Miles],MATCH(SecondaryTransport[[#This Row],[Scenario_MRF_Bale_ID]],BaleMover[Scenario_MRF_Bale_ID],0))="",0,INDEX(BaleMover[Miles],MATCH(SecondaryTransport[[#This Row],[Scenario_MRF_Bale_ID]],BaleMover[Scenario_MRF_Bale_ID],0)))</f>
        <v>0</v>
      </c>
      <c r="AN394" s="251">
        <f>IF(SecondaryTransport[[#This Row],[Bale_ID]]="9000-01","costs elsewhere",SecondaryTransport[[#This Row],[Total_Baled_tons]]*SecondaryTransport[[#This Row],[Miles]])</f>
        <v>0</v>
      </c>
      <c r="AO394" s="352" t="str">
        <f>IF(LEFT(SecondaryTransport[[#This Row],[Bale_ID]],1)*1=5,IF(OR(SecondaryTransport[[#This Row],[MRF_ID]]="02",SecondaryTransport[[#This Row],[MRF_ID]]="08"),2,1),"")</f>
        <v/>
      </c>
      <c r="AP3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4" s="224" t="str">
        <f>IFERROR(IF(1*LEFT(SecondaryTransport[[#This Row],[Bale_ID]],1)=5,SecondaryTransport[[#This Row],[Ton-Miles]]*SecondaryTransport[[#This Row],[Cost_Per_Ton-Mile]],""),"")</f>
        <v/>
      </c>
      <c r="AS394" s="224" t="str">
        <f>IFERROR(IF(SecondaryTransport[[#This Row],[Container_Transfer]]="",(SecondaryTransport[[#This Row],[Ton-Miles]]*SecondaryTransport[[#This Row],[Cost_Per_Ton-Mile]]),""),"")</f>
        <v/>
      </c>
    </row>
    <row r="395" spans="3:45" ht="15" x14ac:dyDescent="0.25">
      <c r="C395"/>
      <c r="D395"/>
      <c r="L395" s="446" t="s">
        <v>875</v>
      </c>
      <c r="M395" s="446">
        <v>1</v>
      </c>
      <c r="N395" s="446">
        <v>2</v>
      </c>
      <c r="O395" s="446" t="s">
        <v>700</v>
      </c>
      <c r="P395" s="449" t="s">
        <v>700</v>
      </c>
      <c r="Q395" s="449"/>
      <c r="R395" s="449"/>
      <c r="S395" s="449" t="s">
        <v>872</v>
      </c>
      <c r="T395" s="449" t="s">
        <v>701</v>
      </c>
      <c r="U395" s="452">
        <v>13861.072896424699</v>
      </c>
      <c r="V3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5" s="272">
        <f>IFERROR(SUMIFS(TransUnitCost[Miles],TransUnitCost[Grouping_ID],TransTonsShort[[#This Row],[Grouping_ID]],TransUnitCost[Transp_ID],TransTonsShort[[#This Row],[Transp_ID]])*TransTonsShort[[#This Row],[Trans_Tons_All]]/TransTonsShort[[#This Row],[Trans_Tons_All]],"")</f>
        <v>0</v>
      </c>
      <c r="X395" s="386" t="str">
        <f>TransTonsShort[[#This Row],[Grouping_ID]]&amp;"-"&amp;TransTonsShort[[#This Row],[Sector_ID]]</f>
        <v>1-2</v>
      </c>
      <c r="Y3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5" s="421">
        <f>INDEX(LandfillFees[Disposal Tip Fee 2025],MATCH(TransTonsShort[[#This Row],[Grouping_ID]],LandfillFees[Grouping_ID],0))</f>
        <v>134.68</v>
      </c>
      <c r="AA395" s="102">
        <f>IF(OR(TransTonsShort[[#This Row],[CollectionStream_ID]]="03",TransTonsShort[[#This Row],[CollectionStream_ID]]="04",TransTonsShort[[#This Row],[CollectionStream_ID]]="13"),0,TransTonsShort[[#This Row],[Trans_Tons_All]]*TransTonsShort[[#This Row],[Disposal_Fee]])</f>
        <v>1866809.2976904786</v>
      </c>
      <c r="AF395" s="446" t="s">
        <v>1568</v>
      </c>
      <c r="AG395" s="442" t="str">
        <f>LEFT(SecondaryTransport[[#This Row],[Scenario_MRF_Bale_ID]],2)</f>
        <v>S4</v>
      </c>
      <c r="AH395" s="181" t="str">
        <f>LEFT(RIGHT(SecondaryTransport[[#This Row],[Scenario_MRF_Bale_ID]],10),2)</f>
        <v>06</v>
      </c>
      <c r="AI395" s="181" t="str">
        <f>INDEX(MRFs[MRF_Name],MATCH(SecondaryTransport[[#This Row],[MRF_ID]],MRFs[MRF_ID],0))</f>
        <v>5 MRFs for DS fiber (Portland)</v>
      </c>
      <c r="AJ395" s="181" t="str">
        <f>RIGHT(SecondaryTransport[[#This Row],[Scenario_MRF_Bale_ID]],7)</f>
        <v>2000-03</v>
      </c>
      <c r="AK395" s="181" t="str">
        <f>INDEX(Bales[Bale_Name],MATCH(SecondaryTransport[[#This Row],[Bale_ID]],Bales[Bale_ID],0))</f>
        <v>HDPE #2 natural bottles </v>
      </c>
      <c r="AL395" s="443">
        <f>INDEX(BaleMover[Total_Baled_tons],MATCH(SecondaryTransport[[#This Row],[Scenario_MRF_Bale_ID]],BaleMover[Scenario_MRF_Bale_ID],0))</f>
        <v>0</v>
      </c>
      <c r="AM395" s="443">
        <f>IF(INDEX(BaleMover[Miles],MATCH(SecondaryTransport[[#This Row],[Scenario_MRF_Bale_ID]],BaleMover[Scenario_MRF_Bale_ID],0))="",0,INDEX(BaleMover[Miles],MATCH(SecondaryTransport[[#This Row],[Scenario_MRF_Bale_ID]],BaleMover[Scenario_MRF_Bale_ID],0)))</f>
        <v>0</v>
      </c>
      <c r="AN395" s="251">
        <f>IF(SecondaryTransport[[#This Row],[Bale_ID]]="9000-01","costs elsewhere",SecondaryTransport[[#This Row],[Total_Baled_tons]]*SecondaryTransport[[#This Row],[Miles]])</f>
        <v>0</v>
      </c>
      <c r="AO395" s="352" t="str">
        <f>IF(LEFT(SecondaryTransport[[#This Row],[Bale_ID]],1)*1=5,IF(OR(SecondaryTransport[[#This Row],[MRF_ID]]="02",SecondaryTransport[[#This Row],[MRF_ID]]="08"),2,1),"")</f>
        <v/>
      </c>
      <c r="AP3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5" s="224" t="str">
        <f>IFERROR(IF(1*LEFT(SecondaryTransport[[#This Row],[Bale_ID]],1)=5,SecondaryTransport[[#This Row],[Ton-Miles]]*SecondaryTransport[[#This Row],[Cost_Per_Ton-Mile]],""),"")</f>
        <v/>
      </c>
      <c r="AS395" s="224" t="str">
        <f>IFERROR(IF(SecondaryTransport[[#This Row],[Container_Transfer]]="",(SecondaryTransport[[#This Row],[Ton-Miles]]*SecondaryTransport[[#This Row],[Cost_Per_Ton-Mile]]),""),"")</f>
        <v/>
      </c>
    </row>
    <row r="396" spans="3:45" ht="15" x14ac:dyDescent="0.25">
      <c r="C396"/>
      <c r="D396"/>
      <c r="L396" s="446" t="s">
        <v>875</v>
      </c>
      <c r="M396" s="446">
        <v>2</v>
      </c>
      <c r="N396" s="446">
        <v>2</v>
      </c>
      <c r="O396" s="446" t="s">
        <v>700</v>
      </c>
      <c r="P396" s="449" t="s">
        <v>700</v>
      </c>
      <c r="Q396" s="449"/>
      <c r="R396" s="449"/>
      <c r="S396" s="449" t="s">
        <v>872</v>
      </c>
      <c r="T396" s="449" t="s">
        <v>701</v>
      </c>
      <c r="U396" s="452">
        <v>2149.8882567620899</v>
      </c>
      <c r="V3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6" s="272">
        <f>IFERROR(SUMIFS(TransUnitCost[Miles],TransUnitCost[Grouping_ID],TransTonsShort[[#This Row],[Grouping_ID]],TransUnitCost[Transp_ID],TransTonsShort[[#This Row],[Transp_ID]])*TransTonsShort[[#This Row],[Trans_Tons_All]]/TransTonsShort[[#This Row],[Trans_Tons_All]],"")</f>
        <v>0</v>
      </c>
      <c r="X396" s="386" t="str">
        <f>TransTonsShort[[#This Row],[Grouping_ID]]&amp;"-"&amp;TransTonsShort[[#This Row],[Sector_ID]]</f>
        <v>2-2</v>
      </c>
      <c r="Y3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6" s="421">
        <f>INDEX(LandfillFees[Disposal Tip Fee 2025],MATCH(TransTonsShort[[#This Row],[Grouping_ID]],LandfillFees[Grouping_ID],0))</f>
        <v>72.030938699729589</v>
      </c>
      <c r="AA396" s="102">
        <f>IF(OR(TransTonsShort[[#This Row],[CollectionStream_ID]]="03",TransTonsShort[[#This Row],[CollectionStream_ID]]="04",TransTonsShort[[#This Row],[CollectionStream_ID]]="13"),0,TransTonsShort[[#This Row],[Trans_Tons_All]]*TransTonsShort[[#This Row],[Disposal_Fee]])</f>
        <v>154858.46923409859</v>
      </c>
      <c r="AF396" s="446" t="s">
        <v>1569</v>
      </c>
      <c r="AG396" s="442" t="str">
        <f>LEFT(SecondaryTransport[[#This Row],[Scenario_MRF_Bale_ID]],2)</f>
        <v>S4</v>
      </c>
      <c r="AH396" s="181" t="str">
        <f>LEFT(RIGHT(SecondaryTransport[[#This Row],[Scenario_MRF_Bale_ID]],10),2)</f>
        <v>06</v>
      </c>
      <c r="AI396" s="181" t="str">
        <f>INDEX(MRFs[MRF_Name],MATCH(SecondaryTransport[[#This Row],[MRF_ID]],MRFs[MRF_ID],0))</f>
        <v>5 MRFs for DS fiber (Portland)</v>
      </c>
      <c r="AJ396" s="181" t="str">
        <f>RIGHT(SecondaryTransport[[#This Row],[Scenario_MRF_Bale_ID]],7)</f>
        <v>2000-04</v>
      </c>
      <c r="AK396" s="181" t="str">
        <f>INDEX(Bales[Bale_Name],MATCH(SecondaryTransport[[#This Row],[Bale_ID]],Bales[Bale_ID],0))</f>
        <v>HDPE #2 colored bottles </v>
      </c>
      <c r="AL396" s="443">
        <f>INDEX(BaleMover[Total_Baled_tons],MATCH(SecondaryTransport[[#This Row],[Scenario_MRF_Bale_ID]],BaleMover[Scenario_MRF_Bale_ID],0))</f>
        <v>0</v>
      </c>
      <c r="AM396" s="443">
        <f>IF(INDEX(BaleMover[Miles],MATCH(SecondaryTransport[[#This Row],[Scenario_MRF_Bale_ID]],BaleMover[Scenario_MRF_Bale_ID],0))="",0,INDEX(BaleMover[Miles],MATCH(SecondaryTransport[[#This Row],[Scenario_MRF_Bale_ID]],BaleMover[Scenario_MRF_Bale_ID],0)))</f>
        <v>0</v>
      </c>
      <c r="AN396" s="251">
        <f>IF(SecondaryTransport[[#This Row],[Bale_ID]]="9000-01","costs elsewhere",SecondaryTransport[[#This Row],[Total_Baled_tons]]*SecondaryTransport[[#This Row],[Miles]])</f>
        <v>0</v>
      </c>
      <c r="AO396" s="352" t="str">
        <f>IF(LEFT(SecondaryTransport[[#This Row],[Bale_ID]],1)*1=5,IF(OR(SecondaryTransport[[#This Row],[MRF_ID]]="02",SecondaryTransport[[#This Row],[MRF_ID]]="08"),2,1),"")</f>
        <v/>
      </c>
      <c r="AP3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6" s="224" t="str">
        <f>IFERROR(IF(1*LEFT(SecondaryTransport[[#This Row],[Bale_ID]],1)=5,SecondaryTransport[[#This Row],[Ton-Miles]]*SecondaryTransport[[#This Row],[Cost_Per_Ton-Mile]],""),"")</f>
        <v/>
      </c>
      <c r="AS396" s="224" t="str">
        <f>IFERROR(IF(SecondaryTransport[[#This Row],[Container_Transfer]]="",(SecondaryTransport[[#This Row],[Ton-Miles]]*SecondaryTransport[[#This Row],[Cost_Per_Ton-Mile]]),""),"")</f>
        <v/>
      </c>
    </row>
    <row r="397" spans="3:45" ht="15" x14ac:dyDescent="0.25">
      <c r="C397"/>
      <c r="D397"/>
      <c r="L397" s="446" t="s">
        <v>875</v>
      </c>
      <c r="M397" s="446">
        <v>3</v>
      </c>
      <c r="N397" s="446">
        <v>2</v>
      </c>
      <c r="O397" s="446" t="s">
        <v>700</v>
      </c>
      <c r="P397" s="449" t="s">
        <v>700</v>
      </c>
      <c r="Q397" s="449"/>
      <c r="R397" s="449"/>
      <c r="S397" s="449" t="s">
        <v>872</v>
      </c>
      <c r="T397" s="449" t="s">
        <v>701</v>
      </c>
      <c r="U397" s="452">
        <v>0</v>
      </c>
      <c r="V3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7" s="272" t="str">
        <f>IFERROR(SUMIFS(TransUnitCost[Miles],TransUnitCost[Grouping_ID],TransTonsShort[[#This Row],[Grouping_ID]],TransUnitCost[Transp_ID],TransTonsShort[[#This Row],[Transp_ID]])*TransTonsShort[[#This Row],[Trans_Tons_All]]/TransTonsShort[[#This Row],[Trans_Tons_All]],"")</f>
        <v/>
      </c>
      <c r="X397" s="386" t="str">
        <f>TransTonsShort[[#This Row],[Grouping_ID]]&amp;"-"&amp;TransTonsShort[[#This Row],[Sector_ID]]</f>
        <v>3-2</v>
      </c>
      <c r="Y3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7" s="421">
        <f>INDEX(LandfillFees[Disposal Tip Fee 2025],MATCH(TransTonsShort[[#This Row],[Grouping_ID]],LandfillFees[Grouping_ID],0))</f>
        <v>72.030938699729589</v>
      </c>
      <c r="AA397" s="102">
        <f>IF(OR(TransTonsShort[[#This Row],[CollectionStream_ID]]="03",TransTonsShort[[#This Row],[CollectionStream_ID]]="04",TransTonsShort[[#This Row],[CollectionStream_ID]]="13"),0,TransTonsShort[[#This Row],[Trans_Tons_All]]*TransTonsShort[[#This Row],[Disposal_Fee]])</f>
        <v>0</v>
      </c>
      <c r="AF397" s="446" t="s">
        <v>1570</v>
      </c>
      <c r="AG397" s="442" t="str">
        <f>LEFT(SecondaryTransport[[#This Row],[Scenario_MRF_Bale_ID]],2)</f>
        <v>S4</v>
      </c>
      <c r="AH397" s="181" t="str">
        <f>LEFT(RIGHT(SecondaryTransport[[#This Row],[Scenario_MRF_Bale_ID]],10),2)</f>
        <v>06</v>
      </c>
      <c r="AI397" s="181" t="str">
        <f>INDEX(MRFs[MRF_Name],MATCH(SecondaryTransport[[#This Row],[MRF_ID]],MRFs[MRF_ID],0))</f>
        <v>5 MRFs for DS fiber (Portland)</v>
      </c>
      <c r="AJ397" s="181" t="str">
        <f>RIGHT(SecondaryTransport[[#This Row],[Scenario_MRF_Bale_ID]],7)</f>
        <v>2000-05</v>
      </c>
      <c r="AK397" s="181" t="str">
        <f>INDEX(Bales[Bale_Name],MATCH(SecondaryTransport[[#This Row],[Bale_ID]],Bales[Bale_ID],0))</f>
        <v>HDPE #2 and PP #5 tubs </v>
      </c>
      <c r="AL397" s="443">
        <f>INDEX(BaleMover[Total_Baled_tons],MATCH(SecondaryTransport[[#This Row],[Scenario_MRF_Bale_ID]],BaleMover[Scenario_MRF_Bale_ID],0))</f>
        <v>0</v>
      </c>
      <c r="AM397" s="443">
        <f>IF(INDEX(BaleMover[Miles],MATCH(SecondaryTransport[[#This Row],[Scenario_MRF_Bale_ID]],BaleMover[Scenario_MRF_Bale_ID],0))="",0,INDEX(BaleMover[Miles],MATCH(SecondaryTransport[[#This Row],[Scenario_MRF_Bale_ID]],BaleMover[Scenario_MRF_Bale_ID],0)))</f>
        <v>0</v>
      </c>
      <c r="AN397" s="251">
        <f>IF(SecondaryTransport[[#This Row],[Bale_ID]]="9000-01","costs elsewhere",SecondaryTransport[[#This Row],[Total_Baled_tons]]*SecondaryTransport[[#This Row],[Miles]])</f>
        <v>0</v>
      </c>
      <c r="AO397" s="352" t="str">
        <f>IF(LEFT(SecondaryTransport[[#This Row],[Bale_ID]],1)*1=5,IF(OR(SecondaryTransport[[#This Row],[MRF_ID]]="02",SecondaryTransport[[#This Row],[MRF_ID]]="08"),2,1),"")</f>
        <v/>
      </c>
      <c r="AP3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7" s="224" t="str">
        <f>IFERROR(IF(1*LEFT(SecondaryTransport[[#This Row],[Bale_ID]],1)=5,SecondaryTransport[[#This Row],[Ton-Miles]]*SecondaryTransport[[#This Row],[Cost_Per_Ton-Mile]],""),"")</f>
        <v/>
      </c>
      <c r="AS397" s="224" t="str">
        <f>IFERROR(IF(SecondaryTransport[[#This Row],[Container_Transfer]]="",(SecondaryTransport[[#This Row],[Ton-Miles]]*SecondaryTransport[[#This Row],[Cost_Per_Ton-Mile]]),""),"")</f>
        <v/>
      </c>
    </row>
    <row r="398" spans="3:45" ht="15" x14ac:dyDescent="0.25">
      <c r="C398"/>
      <c r="D398"/>
      <c r="L398" s="446" t="s">
        <v>875</v>
      </c>
      <c r="M398" s="446">
        <v>4</v>
      </c>
      <c r="N398" s="446">
        <v>2</v>
      </c>
      <c r="O398" s="446" t="s">
        <v>700</v>
      </c>
      <c r="P398" s="449" t="s">
        <v>700</v>
      </c>
      <c r="Q398" s="449"/>
      <c r="R398" s="449"/>
      <c r="S398" s="449" t="s">
        <v>872</v>
      </c>
      <c r="T398" s="449" t="s">
        <v>701</v>
      </c>
      <c r="U398" s="452">
        <v>0</v>
      </c>
      <c r="V3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398" s="272" t="str">
        <f>IFERROR(SUMIFS(TransUnitCost[Miles],TransUnitCost[Grouping_ID],TransTonsShort[[#This Row],[Grouping_ID]],TransUnitCost[Transp_ID],TransTonsShort[[#This Row],[Transp_ID]])*TransTonsShort[[#This Row],[Trans_Tons_All]]/TransTonsShort[[#This Row],[Trans_Tons_All]],"")</f>
        <v/>
      </c>
      <c r="X398" s="386" t="str">
        <f>TransTonsShort[[#This Row],[Grouping_ID]]&amp;"-"&amp;TransTonsShort[[#This Row],[Sector_ID]]</f>
        <v>4-2</v>
      </c>
      <c r="Y3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8" s="421">
        <f>INDEX(LandfillFees[Disposal Tip Fee 2025],MATCH(TransTonsShort[[#This Row],[Grouping_ID]],LandfillFees[Grouping_ID],0))</f>
        <v>72.030938699729589</v>
      </c>
      <c r="AA398" s="102">
        <f>IF(OR(TransTonsShort[[#This Row],[CollectionStream_ID]]="03",TransTonsShort[[#This Row],[CollectionStream_ID]]="04",TransTonsShort[[#This Row],[CollectionStream_ID]]="13"),0,TransTonsShort[[#This Row],[Trans_Tons_All]]*TransTonsShort[[#This Row],[Disposal_Fee]])</f>
        <v>0</v>
      </c>
      <c r="AF398" s="446" t="s">
        <v>1571</v>
      </c>
      <c r="AG398" s="442" t="str">
        <f>LEFT(SecondaryTransport[[#This Row],[Scenario_MRF_Bale_ID]],2)</f>
        <v>S4</v>
      </c>
      <c r="AH398" s="181" t="str">
        <f>LEFT(RIGHT(SecondaryTransport[[#This Row],[Scenario_MRF_Bale_ID]],10),2)</f>
        <v>06</v>
      </c>
      <c r="AI398" s="181" t="str">
        <f>INDEX(MRFs[MRF_Name],MATCH(SecondaryTransport[[#This Row],[MRF_ID]],MRFs[MRF_ID],0))</f>
        <v>5 MRFs for DS fiber (Portland)</v>
      </c>
      <c r="AJ398" s="181" t="str">
        <f>RIGHT(SecondaryTransport[[#This Row],[Scenario_MRF_Bale_ID]],7)</f>
        <v>2000-07</v>
      </c>
      <c r="AK398" s="181" t="str">
        <f>INDEX(Bales[Bale_Name],MATCH(SecondaryTransport[[#This Row],[Bale_ID]],Bales[Bale_ID],0))</f>
        <v>PE clear film</v>
      </c>
      <c r="AL398" s="443">
        <f>INDEX(BaleMover[Total_Baled_tons],MATCH(SecondaryTransport[[#This Row],[Scenario_MRF_Bale_ID]],BaleMover[Scenario_MRF_Bale_ID],0))</f>
        <v>0</v>
      </c>
      <c r="AM398" s="443">
        <f>IF(INDEX(BaleMover[Miles],MATCH(SecondaryTransport[[#This Row],[Scenario_MRF_Bale_ID]],BaleMover[Scenario_MRF_Bale_ID],0))="",0,INDEX(BaleMover[Miles],MATCH(SecondaryTransport[[#This Row],[Scenario_MRF_Bale_ID]],BaleMover[Scenario_MRF_Bale_ID],0)))</f>
        <v>0</v>
      </c>
      <c r="AN398" s="251">
        <f>IF(SecondaryTransport[[#This Row],[Bale_ID]]="9000-01","costs elsewhere",SecondaryTransport[[#This Row],[Total_Baled_tons]]*SecondaryTransport[[#This Row],[Miles]])</f>
        <v>0</v>
      </c>
      <c r="AO398" s="352" t="str">
        <f>IF(LEFT(SecondaryTransport[[#This Row],[Bale_ID]],1)*1=5,IF(OR(SecondaryTransport[[#This Row],[MRF_ID]]="02",SecondaryTransport[[#This Row],[MRF_ID]]="08"),2,1),"")</f>
        <v/>
      </c>
      <c r="AP3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8" s="224" t="str">
        <f>IFERROR(IF(1*LEFT(SecondaryTransport[[#This Row],[Bale_ID]],1)=5,SecondaryTransport[[#This Row],[Ton-Miles]]*SecondaryTransport[[#This Row],[Cost_Per_Ton-Mile]],""),"")</f>
        <v/>
      </c>
      <c r="AS398" s="224" t="str">
        <f>IFERROR(IF(SecondaryTransport[[#This Row],[Container_Transfer]]="",(SecondaryTransport[[#This Row],[Ton-Miles]]*SecondaryTransport[[#This Row],[Cost_Per_Ton-Mile]]),""),"")</f>
        <v/>
      </c>
    </row>
    <row r="399" spans="3:45" ht="15" x14ac:dyDescent="0.25">
      <c r="C399"/>
      <c r="D399"/>
      <c r="L399" s="446" t="s">
        <v>875</v>
      </c>
      <c r="M399" s="446">
        <v>1</v>
      </c>
      <c r="N399" s="446">
        <v>2</v>
      </c>
      <c r="O399" s="446" t="s">
        <v>700</v>
      </c>
      <c r="P399" s="449" t="s">
        <v>706</v>
      </c>
      <c r="Q399" s="449"/>
      <c r="R399" s="449"/>
      <c r="S399" s="449" t="s">
        <v>872</v>
      </c>
      <c r="T399" s="449" t="s">
        <v>1025</v>
      </c>
      <c r="U399" s="452">
        <v>1540.1192107138556</v>
      </c>
      <c r="V3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30802.384214277114</v>
      </c>
      <c r="W399" s="272">
        <f>IFERROR(SUMIFS(TransUnitCost[Miles],TransUnitCost[Grouping_ID],TransTonsShort[[#This Row],[Grouping_ID]],TransUnitCost[Transp_ID],TransTonsShort[[#This Row],[Transp_ID]])*TransTonsShort[[#This Row],[Trans_Tons_All]]/TransTonsShort[[#This Row],[Trans_Tons_All]],"")</f>
        <v>20</v>
      </c>
      <c r="X399" s="386" t="str">
        <f>TransTonsShort[[#This Row],[Grouping_ID]]&amp;"-"&amp;TransTonsShort[[#This Row],[Sector_ID]]</f>
        <v>1-2</v>
      </c>
      <c r="Y3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399" s="421">
        <f>INDEX(LandfillFees[Disposal Tip Fee 2025],MATCH(TransTonsShort[[#This Row],[Grouping_ID]],LandfillFees[Grouping_ID],0))</f>
        <v>134.68</v>
      </c>
      <c r="AA399" s="102">
        <f>IF(OR(TransTonsShort[[#This Row],[CollectionStream_ID]]="03",TransTonsShort[[#This Row],[CollectionStream_ID]]="04",TransTonsShort[[#This Row],[CollectionStream_ID]]="13"),0,TransTonsShort[[#This Row],[Trans_Tons_All]]*TransTonsShort[[#This Row],[Disposal_Fee]])</f>
        <v>207423.25529894209</v>
      </c>
      <c r="AF399" s="446" t="s">
        <v>1572</v>
      </c>
      <c r="AG399" s="442" t="str">
        <f>LEFT(SecondaryTransport[[#This Row],[Scenario_MRF_Bale_ID]],2)</f>
        <v>S4</v>
      </c>
      <c r="AH399" s="181" t="str">
        <f>LEFT(RIGHT(SecondaryTransport[[#This Row],[Scenario_MRF_Bale_ID]],10),2)</f>
        <v>06</v>
      </c>
      <c r="AI399" s="181" t="str">
        <f>INDEX(MRFs[MRF_Name],MATCH(SecondaryTransport[[#This Row],[MRF_ID]],MRFs[MRF_ID],0))</f>
        <v>5 MRFs for DS fiber (Portland)</v>
      </c>
      <c r="AJ399" s="181" t="str">
        <f>RIGHT(SecondaryTransport[[#This Row],[Scenario_MRF_Bale_ID]],7)</f>
        <v>2000-08</v>
      </c>
      <c r="AK399" s="181" t="str">
        <f>INDEX(Bales[Bale_Name],MATCH(SecondaryTransport[[#This Row],[Bale_ID]],Bales[Bale_ID],0))</f>
        <v>PE colored film</v>
      </c>
      <c r="AL399" s="443">
        <f>INDEX(BaleMover[Total_Baled_tons],MATCH(SecondaryTransport[[#This Row],[Scenario_MRF_Bale_ID]],BaleMover[Scenario_MRF_Bale_ID],0))</f>
        <v>0</v>
      </c>
      <c r="AM399" s="443">
        <f>IF(INDEX(BaleMover[Miles],MATCH(SecondaryTransport[[#This Row],[Scenario_MRF_Bale_ID]],BaleMover[Scenario_MRF_Bale_ID],0))="",0,INDEX(BaleMover[Miles],MATCH(SecondaryTransport[[#This Row],[Scenario_MRF_Bale_ID]],BaleMover[Scenario_MRF_Bale_ID],0)))</f>
        <v>0</v>
      </c>
      <c r="AN399" s="251">
        <f>IF(SecondaryTransport[[#This Row],[Bale_ID]]="9000-01","costs elsewhere",SecondaryTransport[[#This Row],[Total_Baled_tons]]*SecondaryTransport[[#This Row],[Miles]])</f>
        <v>0</v>
      </c>
      <c r="AO399" s="352" t="str">
        <f>IF(LEFT(SecondaryTransport[[#This Row],[Bale_ID]],1)*1=5,IF(OR(SecondaryTransport[[#This Row],[MRF_ID]]="02",SecondaryTransport[[#This Row],[MRF_ID]]="08"),2,1),"")</f>
        <v/>
      </c>
      <c r="AP3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39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399" s="224" t="str">
        <f>IFERROR(IF(1*LEFT(SecondaryTransport[[#This Row],[Bale_ID]],1)=5,SecondaryTransport[[#This Row],[Ton-Miles]]*SecondaryTransport[[#This Row],[Cost_Per_Ton-Mile]],""),"")</f>
        <v/>
      </c>
      <c r="AS399" s="224" t="str">
        <f>IFERROR(IF(SecondaryTransport[[#This Row],[Container_Transfer]]="",(SecondaryTransport[[#This Row],[Ton-Miles]]*SecondaryTransport[[#This Row],[Cost_Per_Ton-Mile]]),""),"")</f>
        <v/>
      </c>
    </row>
    <row r="400" spans="3:45" ht="15" x14ac:dyDescent="0.25">
      <c r="C400"/>
      <c r="D400"/>
      <c r="L400" s="446" t="s">
        <v>875</v>
      </c>
      <c r="M400" s="446">
        <v>2</v>
      </c>
      <c r="N400" s="446">
        <v>2</v>
      </c>
      <c r="O400" s="446" t="s">
        <v>700</v>
      </c>
      <c r="P400" s="449" t="s">
        <v>706</v>
      </c>
      <c r="Q400" s="449"/>
      <c r="R400" s="449"/>
      <c r="S400" s="449" t="s">
        <v>872</v>
      </c>
      <c r="T400" s="449" t="s">
        <v>1025</v>
      </c>
      <c r="U400" s="452">
        <v>795.16414976132091</v>
      </c>
      <c r="V4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22264.596193316986</v>
      </c>
      <c r="W400" s="272">
        <f>IFERROR(SUMIFS(TransUnitCost[Miles],TransUnitCost[Grouping_ID],TransTonsShort[[#This Row],[Grouping_ID]],TransUnitCost[Transp_ID],TransTonsShort[[#This Row],[Transp_ID]])*TransTonsShort[[#This Row],[Trans_Tons_All]]/TransTonsShort[[#This Row],[Trans_Tons_All]],"")</f>
        <v>70</v>
      </c>
      <c r="X400" s="386" t="str">
        <f>TransTonsShort[[#This Row],[Grouping_ID]]&amp;"-"&amp;TransTonsShort[[#This Row],[Sector_ID]]</f>
        <v>2-2</v>
      </c>
      <c r="Y4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0" s="421">
        <f>INDEX(LandfillFees[Disposal Tip Fee 2025],MATCH(TransTonsShort[[#This Row],[Grouping_ID]],LandfillFees[Grouping_ID],0))</f>
        <v>72.030938699729589</v>
      </c>
      <c r="AA400" s="102">
        <f>IF(OR(TransTonsShort[[#This Row],[CollectionStream_ID]]="03",TransTonsShort[[#This Row],[CollectionStream_ID]]="04",TransTonsShort[[#This Row],[CollectionStream_ID]]="13"),0,TransTonsShort[[#This Row],[Trans_Tons_All]]*TransTonsShort[[#This Row],[Disposal_Fee]])</f>
        <v>57276.420127680307</v>
      </c>
      <c r="AF400" s="446" t="s">
        <v>1573</v>
      </c>
      <c r="AG400" s="442" t="str">
        <f>LEFT(SecondaryTransport[[#This Row],[Scenario_MRF_Bale_ID]],2)</f>
        <v>S4</v>
      </c>
      <c r="AH400" s="181" t="str">
        <f>LEFT(RIGHT(SecondaryTransport[[#This Row],[Scenario_MRF_Bale_ID]],10),2)</f>
        <v>06</v>
      </c>
      <c r="AI400" s="181" t="str">
        <f>INDEX(MRFs[MRF_Name],MATCH(SecondaryTransport[[#This Row],[MRF_ID]],MRFs[MRF_ID],0))</f>
        <v>5 MRFs for DS fiber (Portland)</v>
      </c>
      <c r="AJ400" s="181" t="str">
        <f>RIGHT(SecondaryTransport[[#This Row],[Scenario_MRF_Bale_ID]],7)</f>
        <v>2000-09</v>
      </c>
      <c r="AK400" s="181" t="str">
        <f>INDEX(Bales[Bale_Name],MATCH(SecondaryTransport[[#This Row],[Bale_ID]],Bales[Bale_ID],0))</f>
        <v>PE retail mix film</v>
      </c>
      <c r="AL400" s="443">
        <f>INDEX(BaleMover[Total_Baled_tons],MATCH(SecondaryTransport[[#This Row],[Scenario_MRF_Bale_ID]],BaleMover[Scenario_MRF_Bale_ID],0))</f>
        <v>0</v>
      </c>
      <c r="AM400" s="443">
        <f>IF(INDEX(BaleMover[Miles],MATCH(SecondaryTransport[[#This Row],[Scenario_MRF_Bale_ID]],BaleMover[Scenario_MRF_Bale_ID],0))="",0,INDEX(BaleMover[Miles],MATCH(SecondaryTransport[[#This Row],[Scenario_MRF_Bale_ID]],BaleMover[Scenario_MRF_Bale_ID],0)))</f>
        <v>0</v>
      </c>
      <c r="AN400" s="251">
        <f>IF(SecondaryTransport[[#This Row],[Bale_ID]]="9000-01","costs elsewhere",SecondaryTransport[[#This Row],[Total_Baled_tons]]*SecondaryTransport[[#This Row],[Miles]])</f>
        <v>0</v>
      </c>
      <c r="AO400" s="352" t="str">
        <f>IF(LEFT(SecondaryTransport[[#This Row],[Bale_ID]],1)*1=5,IF(OR(SecondaryTransport[[#This Row],[MRF_ID]]="02",SecondaryTransport[[#This Row],[MRF_ID]]="08"),2,1),"")</f>
        <v/>
      </c>
      <c r="AP4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0" s="224" t="str">
        <f>IFERROR(IF(1*LEFT(SecondaryTransport[[#This Row],[Bale_ID]],1)=5,SecondaryTransport[[#This Row],[Ton-Miles]]*SecondaryTransport[[#This Row],[Cost_Per_Ton-Mile]],""),"")</f>
        <v/>
      </c>
      <c r="AS400" s="224" t="str">
        <f>IFERROR(IF(SecondaryTransport[[#This Row],[Container_Transfer]]="",(SecondaryTransport[[#This Row],[Ton-Miles]]*SecondaryTransport[[#This Row],[Cost_Per_Ton-Mile]]),""),"")</f>
        <v/>
      </c>
    </row>
    <row r="401" spans="12:45" ht="15" x14ac:dyDescent="0.25">
      <c r="L401" s="446" t="s">
        <v>875</v>
      </c>
      <c r="M401" s="446">
        <v>3</v>
      </c>
      <c r="N401" s="446">
        <v>2</v>
      </c>
      <c r="O401" s="446" t="s">
        <v>700</v>
      </c>
      <c r="P401" s="449" t="s">
        <v>706</v>
      </c>
      <c r="Q401" s="449"/>
      <c r="R401" s="449"/>
      <c r="S401" s="449" t="s">
        <v>872</v>
      </c>
      <c r="T401" s="449" t="s">
        <v>1025</v>
      </c>
      <c r="U401" s="452">
        <v>455.58742799024765</v>
      </c>
      <c r="V4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23918.339969488003</v>
      </c>
      <c r="W401" s="272">
        <f>IFERROR(SUMIFS(TransUnitCost[Miles],TransUnitCost[Grouping_ID],TransTonsShort[[#This Row],[Grouping_ID]],TransUnitCost[Transp_ID],TransTonsShort[[#This Row],[Transp_ID]])*TransTonsShort[[#This Row],[Trans_Tons_All]]/TransTonsShort[[#This Row],[Trans_Tons_All]],"")</f>
        <v>150</v>
      </c>
      <c r="X401" s="386" t="str">
        <f>TransTonsShort[[#This Row],[Grouping_ID]]&amp;"-"&amp;TransTonsShort[[#This Row],[Sector_ID]]</f>
        <v>3-2</v>
      </c>
      <c r="Y4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1" s="421">
        <f>INDEX(LandfillFees[Disposal Tip Fee 2025],MATCH(TransTonsShort[[#This Row],[Grouping_ID]],LandfillFees[Grouping_ID],0))</f>
        <v>72.030938699729589</v>
      </c>
      <c r="AA401" s="102">
        <f>IF(OR(TransTonsShort[[#This Row],[CollectionStream_ID]]="03",TransTonsShort[[#This Row],[CollectionStream_ID]]="04",TransTonsShort[[#This Row],[CollectionStream_ID]]="13"),0,TransTonsShort[[#This Row],[Trans_Tons_All]]*TransTonsShort[[#This Row],[Disposal_Fee]])</f>
        <v>32816.390097932999</v>
      </c>
      <c r="AF401" s="446" t="s">
        <v>1574</v>
      </c>
      <c r="AG401" s="442" t="str">
        <f>LEFT(SecondaryTransport[[#This Row],[Scenario_MRF_Bale_ID]],2)</f>
        <v>S4</v>
      </c>
      <c r="AH401" s="181" t="str">
        <f>LEFT(RIGHT(SecondaryTransport[[#This Row],[Scenario_MRF_Bale_ID]],10),2)</f>
        <v>06</v>
      </c>
      <c r="AI401" s="181" t="str">
        <f>INDEX(MRFs[MRF_Name],MATCH(SecondaryTransport[[#This Row],[MRF_ID]],MRFs[MRF_ID],0))</f>
        <v>5 MRFs for DS fiber (Portland)</v>
      </c>
      <c r="AJ401" s="181" t="str">
        <f>RIGHT(SecondaryTransport[[#This Row],[Scenario_MRF_Bale_ID]],7)</f>
        <v>2000-10</v>
      </c>
      <c r="AK401" s="181" t="str">
        <f>INDEX(Bales[Bale_Name],MATCH(SecondaryTransport[[#This Row],[Bale_ID]],Bales[Bale_ID],0))</f>
        <v>Mixed bulky rigid plastics (mainly PE and PP) </v>
      </c>
      <c r="AL401" s="443">
        <f>INDEX(BaleMover[Total_Baled_tons],MATCH(SecondaryTransport[[#This Row],[Scenario_MRF_Bale_ID]],BaleMover[Scenario_MRF_Bale_ID],0))</f>
        <v>0</v>
      </c>
      <c r="AM401" s="443">
        <f>IF(INDEX(BaleMover[Miles],MATCH(SecondaryTransport[[#This Row],[Scenario_MRF_Bale_ID]],BaleMover[Scenario_MRF_Bale_ID],0))="",0,INDEX(BaleMover[Miles],MATCH(SecondaryTransport[[#This Row],[Scenario_MRF_Bale_ID]],BaleMover[Scenario_MRF_Bale_ID],0)))</f>
        <v>0</v>
      </c>
      <c r="AN401" s="251">
        <f>IF(SecondaryTransport[[#This Row],[Bale_ID]]="9000-01","costs elsewhere",SecondaryTransport[[#This Row],[Total_Baled_tons]]*SecondaryTransport[[#This Row],[Miles]])</f>
        <v>0</v>
      </c>
      <c r="AO401" s="352" t="str">
        <f>IF(LEFT(SecondaryTransport[[#This Row],[Bale_ID]],1)*1=5,IF(OR(SecondaryTransport[[#This Row],[MRF_ID]]="02",SecondaryTransport[[#This Row],[MRF_ID]]="08"),2,1),"")</f>
        <v/>
      </c>
      <c r="AP4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1" s="224" t="str">
        <f>IFERROR(IF(1*LEFT(SecondaryTransport[[#This Row],[Bale_ID]],1)=5,SecondaryTransport[[#This Row],[Ton-Miles]]*SecondaryTransport[[#This Row],[Cost_Per_Ton-Mile]],""),"")</f>
        <v/>
      </c>
      <c r="AS401" s="224" t="str">
        <f>IFERROR(IF(SecondaryTransport[[#This Row],[Container_Transfer]]="",(SecondaryTransport[[#This Row],[Ton-Miles]]*SecondaryTransport[[#This Row],[Cost_Per_Ton-Mile]]),""),"")</f>
        <v/>
      </c>
    </row>
    <row r="402" spans="12:45" ht="15" x14ac:dyDescent="0.25">
      <c r="L402" s="446" t="s">
        <v>875</v>
      </c>
      <c r="M402" s="446">
        <v>4</v>
      </c>
      <c r="N402" s="446">
        <v>2</v>
      </c>
      <c r="O402" s="446" t="s">
        <v>700</v>
      </c>
      <c r="P402" s="449" t="s">
        <v>706</v>
      </c>
      <c r="Q402" s="449"/>
      <c r="R402" s="449"/>
      <c r="S402" s="449" t="s">
        <v>872</v>
      </c>
      <c r="T402" s="449" t="s">
        <v>1025</v>
      </c>
      <c r="U402" s="452">
        <v>11.374580981274349</v>
      </c>
      <c r="V4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1137.4580981274348</v>
      </c>
      <c r="W402" s="272">
        <f>IFERROR(SUMIFS(TransUnitCost[Miles],TransUnitCost[Grouping_ID],TransTonsShort[[#This Row],[Grouping_ID]],TransUnitCost[Transp_ID],TransTonsShort[[#This Row],[Transp_ID]])*TransTonsShort[[#This Row],[Trans_Tons_All]]/TransTonsShort[[#This Row],[Trans_Tons_All]],"")</f>
        <v>250</v>
      </c>
      <c r="X402" s="386" t="str">
        <f>TransTonsShort[[#This Row],[Grouping_ID]]&amp;"-"&amp;TransTonsShort[[#This Row],[Sector_ID]]</f>
        <v>4-2</v>
      </c>
      <c r="Y4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2" s="421">
        <f>INDEX(LandfillFees[Disposal Tip Fee 2025],MATCH(TransTonsShort[[#This Row],[Grouping_ID]],LandfillFees[Grouping_ID],0))</f>
        <v>72.030938699729589</v>
      </c>
      <c r="AA402" s="102">
        <f>IF(OR(TransTonsShort[[#This Row],[CollectionStream_ID]]="03",TransTonsShort[[#This Row],[CollectionStream_ID]]="04",TransTonsShort[[#This Row],[CollectionStream_ID]]="13"),0,TransTonsShort[[#This Row],[Trans_Tons_All]]*TransTonsShort[[#This Row],[Disposal_Fee]])</f>
        <v>819.3217453972826</v>
      </c>
      <c r="AF402" s="446" t="s">
        <v>1575</v>
      </c>
      <c r="AG402" s="442" t="str">
        <f>LEFT(SecondaryTransport[[#This Row],[Scenario_MRF_Bale_ID]],2)</f>
        <v>S4</v>
      </c>
      <c r="AH402" s="181" t="str">
        <f>LEFT(RIGHT(SecondaryTransport[[#This Row],[Scenario_MRF_Bale_ID]],10),2)</f>
        <v>06</v>
      </c>
      <c r="AI402" s="181" t="str">
        <f>INDEX(MRFs[MRF_Name],MATCH(SecondaryTransport[[#This Row],[MRF_ID]],MRFs[MRF_ID],0))</f>
        <v>5 MRFs for DS fiber (Portland)</v>
      </c>
      <c r="AJ402" s="181" t="str">
        <f>RIGHT(SecondaryTransport[[#This Row],[Scenario_MRF_Bale_ID]],7)</f>
        <v>2000-11</v>
      </c>
      <c r="AK402" s="181" t="str">
        <f>INDEX(Bales[Bale_Name],MATCH(SecondaryTransport[[#This Row],[Bale_ID]],Bales[Bale_ID],0))</f>
        <v>PP #5 bottles and jars</v>
      </c>
      <c r="AL402" s="443">
        <f>INDEX(BaleMover[Total_Baled_tons],MATCH(SecondaryTransport[[#This Row],[Scenario_MRF_Bale_ID]],BaleMover[Scenario_MRF_Bale_ID],0))</f>
        <v>0</v>
      </c>
      <c r="AM402" s="443">
        <f>IF(INDEX(BaleMover[Miles],MATCH(SecondaryTransport[[#This Row],[Scenario_MRF_Bale_ID]],BaleMover[Scenario_MRF_Bale_ID],0))="",0,INDEX(BaleMover[Miles],MATCH(SecondaryTransport[[#This Row],[Scenario_MRF_Bale_ID]],BaleMover[Scenario_MRF_Bale_ID],0)))</f>
        <v>0</v>
      </c>
      <c r="AN402" s="251">
        <f>IF(SecondaryTransport[[#This Row],[Bale_ID]]="9000-01","costs elsewhere",SecondaryTransport[[#This Row],[Total_Baled_tons]]*SecondaryTransport[[#This Row],[Miles]])</f>
        <v>0</v>
      </c>
      <c r="AO402" s="352" t="str">
        <f>IF(LEFT(SecondaryTransport[[#This Row],[Bale_ID]],1)*1=5,IF(OR(SecondaryTransport[[#This Row],[MRF_ID]]="02",SecondaryTransport[[#This Row],[MRF_ID]]="08"),2,1),"")</f>
        <v/>
      </c>
      <c r="AP4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2" s="224" t="str">
        <f>IFERROR(IF(1*LEFT(SecondaryTransport[[#This Row],[Bale_ID]],1)=5,SecondaryTransport[[#This Row],[Ton-Miles]]*SecondaryTransport[[#This Row],[Cost_Per_Ton-Mile]],""),"")</f>
        <v/>
      </c>
      <c r="AS402" s="224" t="str">
        <f>IFERROR(IF(SecondaryTransport[[#This Row],[Container_Transfer]]="",(SecondaryTransport[[#This Row],[Ton-Miles]]*SecondaryTransport[[#This Row],[Cost_Per_Ton-Mile]]),""),"")</f>
        <v/>
      </c>
    </row>
    <row r="403" spans="12:45" ht="15" x14ac:dyDescent="0.25">
      <c r="L403" s="446" t="s">
        <v>875</v>
      </c>
      <c r="M403" s="446">
        <v>1</v>
      </c>
      <c r="N403" s="446">
        <v>2</v>
      </c>
      <c r="O403" s="446" t="s">
        <v>748</v>
      </c>
      <c r="P403" s="450" t="s">
        <v>719</v>
      </c>
      <c r="Q403" s="450"/>
      <c r="R403" s="450"/>
      <c r="S403" s="449" t="s">
        <v>765</v>
      </c>
      <c r="T403" s="449" t="s">
        <v>1055</v>
      </c>
      <c r="U403" s="452">
        <v>0</v>
      </c>
      <c r="V4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3" s="272" t="str">
        <f>IFERROR(SUMIFS(TransUnitCost[Miles],TransUnitCost[Grouping_ID],TransTonsShort[[#This Row],[Grouping_ID]],TransUnitCost[Transp_ID],TransTonsShort[[#This Row],[Transp_ID]])*TransTonsShort[[#This Row],[Trans_Tons_All]]/TransTonsShort[[#This Row],[Trans_Tons_All]],"")</f>
        <v/>
      </c>
      <c r="X403" s="386" t="str">
        <f>TransTonsShort[[#This Row],[Grouping_ID]]&amp;"-"&amp;TransTonsShort[[#This Row],[Sector_ID]]</f>
        <v>1-2</v>
      </c>
      <c r="Y4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3" s="421">
        <f>INDEX(LandfillFees[Disposal Tip Fee 2025],MATCH(TransTonsShort[[#This Row],[Grouping_ID]],LandfillFees[Grouping_ID],0))</f>
        <v>134.68</v>
      </c>
      <c r="AA403" s="102">
        <f>IF(OR(TransTonsShort[[#This Row],[CollectionStream_ID]]="03",TransTonsShort[[#This Row],[CollectionStream_ID]]="04",TransTonsShort[[#This Row],[CollectionStream_ID]]="13"),0,TransTonsShort[[#This Row],[Trans_Tons_All]]*TransTonsShort[[#This Row],[Disposal_Fee]])</f>
        <v>0</v>
      </c>
      <c r="AF403" s="446" t="s">
        <v>1576</v>
      </c>
      <c r="AG403" s="442" t="str">
        <f>LEFT(SecondaryTransport[[#This Row],[Scenario_MRF_Bale_ID]],2)</f>
        <v>S4</v>
      </c>
      <c r="AH403" s="181" t="str">
        <f>LEFT(RIGHT(SecondaryTransport[[#This Row],[Scenario_MRF_Bale_ID]],10),2)</f>
        <v>06</v>
      </c>
      <c r="AI403" s="181" t="str">
        <f>INDEX(MRFs[MRF_Name],MATCH(SecondaryTransport[[#This Row],[MRF_ID]],MRFs[MRF_ID],0))</f>
        <v>5 MRFs for DS fiber (Portland)</v>
      </c>
      <c r="AJ403" s="181" t="str">
        <f>RIGHT(SecondaryTransport[[#This Row],[Scenario_MRF_Bale_ID]],7)</f>
        <v>2000-13</v>
      </c>
      <c r="AK403" s="181" t="str">
        <f>INDEX(Bales[Bale_Name],MATCH(SecondaryTransport[[#This Row],[Bale_ID]],Bales[Bale_ID],0))</f>
        <v>PP #5 small rigid plastic</v>
      </c>
      <c r="AL403" s="443">
        <f>INDEX(BaleMover[Total_Baled_tons],MATCH(SecondaryTransport[[#This Row],[Scenario_MRF_Bale_ID]],BaleMover[Scenario_MRF_Bale_ID],0))</f>
        <v>0</v>
      </c>
      <c r="AM403" s="443">
        <f>IF(INDEX(BaleMover[Miles],MATCH(SecondaryTransport[[#This Row],[Scenario_MRF_Bale_ID]],BaleMover[Scenario_MRF_Bale_ID],0))="",0,INDEX(BaleMover[Miles],MATCH(SecondaryTransport[[#This Row],[Scenario_MRF_Bale_ID]],BaleMover[Scenario_MRF_Bale_ID],0)))</f>
        <v>0</v>
      </c>
      <c r="AN403" s="251">
        <f>IF(SecondaryTransport[[#This Row],[Bale_ID]]="9000-01","costs elsewhere",SecondaryTransport[[#This Row],[Total_Baled_tons]]*SecondaryTransport[[#This Row],[Miles]])</f>
        <v>0</v>
      </c>
      <c r="AO403" s="352" t="str">
        <f>IF(LEFT(SecondaryTransport[[#This Row],[Bale_ID]],1)*1=5,IF(OR(SecondaryTransport[[#This Row],[MRF_ID]]="02",SecondaryTransport[[#This Row],[MRF_ID]]="08"),2,1),"")</f>
        <v/>
      </c>
      <c r="AP4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3" s="224" t="str">
        <f>IFERROR(IF(1*LEFT(SecondaryTransport[[#This Row],[Bale_ID]],1)=5,SecondaryTransport[[#This Row],[Ton-Miles]]*SecondaryTransport[[#This Row],[Cost_Per_Ton-Mile]],""),"")</f>
        <v/>
      </c>
      <c r="AS403" s="224" t="str">
        <f>IFERROR(IF(SecondaryTransport[[#This Row],[Container_Transfer]]="",(SecondaryTransport[[#This Row],[Ton-Miles]]*SecondaryTransport[[#This Row],[Cost_Per_Ton-Mile]]),""),"")</f>
        <v/>
      </c>
    </row>
    <row r="404" spans="12:45" ht="15" x14ac:dyDescent="0.25">
      <c r="L404" s="446" t="s">
        <v>875</v>
      </c>
      <c r="M404" s="446">
        <v>2</v>
      </c>
      <c r="N404" s="446">
        <v>2</v>
      </c>
      <c r="O404" s="446" t="s">
        <v>748</v>
      </c>
      <c r="P404" s="450" t="s">
        <v>719</v>
      </c>
      <c r="Q404" s="450"/>
      <c r="R404" s="450"/>
      <c r="S404" s="449" t="s">
        <v>765</v>
      </c>
      <c r="T404" s="449" t="s">
        <v>1055</v>
      </c>
      <c r="U404" s="452">
        <v>0</v>
      </c>
      <c r="V4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4" s="272" t="str">
        <f>IFERROR(SUMIFS(TransUnitCost[Miles],TransUnitCost[Grouping_ID],TransTonsShort[[#This Row],[Grouping_ID]],TransUnitCost[Transp_ID],TransTonsShort[[#This Row],[Transp_ID]])*TransTonsShort[[#This Row],[Trans_Tons_All]]/TransTonsShort[[#This Row],[Trans_Tons_All]],"")</f>
        <v/>
      </c>
      <c r="X404" s="386" t="str">
        <f>TransTonsShort[[#This Row],[Grouping_ID]]&amp;"-"&amp;TransTonsShort[[#This Row],[Sector_ID]]</f>
        <v>2-2</v>
      </c>
      <c r="Y4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4" s="421">
        <f>INDEX(LandfillFees[Disposal Tip Fee 2025],MATCH(TransTonsShort[[#This Row],[Grouping_ID]],LandfillFees[Grouping_ID],0))</f>
        <v>72.030938699729589</v>
      </c>
      <c r="AA404" s="102">
        <f>IF(OR(TransTonsShort[[#This Row],[CollectionStream_ID]]="03",TransTonsShort[[#This Row],[CollectionStream_ID]]="04",TransTonsShort[[#This Row],[CollectionStream_ID]]="13"),0,TransTonsShort[[#This Row],[Trans_Tons_All]]*TransTonsShort[[#This Row],[Disposal_Fee]])</f>
        <v>0</v>
      </c>
      <c r="AF404" s="446" t="s">
        <v>1577</v>
      </c>
      <c r="AG404" s="442" t="str">
        <f>LEFT(SecondaryTransport[[#This Row],[Scenario_MRF_Bale_ID]],2)</f>
        <v>S4</v>
      </c>
      <c r="AH404" s="181" t="str">
        <f>LEFT(RIGHT(SecondaryTransport[[#This Row],[Scenario_MRF_Bale_ID]],10),2)</f>
        <v>06</v>
      </c>
      <c r="AI404" s="181" t="str">
        <f>INDEX(MRFs[MRF_Name],MATCH(SecondaryTransport[[#This Row],[MRF_ID]],MRFs[MRF_ID],0))</f>
        <v>5 MRFs for DS fiber (Portland)</v>
      </c>
      <c r="AJ404" s="181" t="str">
        <f>RIGHT(SecondaryTransport[[#This Row],[Scenario_MRF_Bale_ID]],7)</f>
        <v>2000-14</v>
      </c>
      <c r="AK404" s="181" t="str">
        <f>INDEX(Bales[Bale_Name],MATCH(SecondaryTransport[[#This Row],[Bale_ID]],Bales[Bale_ID],0))</f>
        <v>Solid PS #6 (rigid) </v>
      </c>
      <c r="AL404" s="443">
        <f>INDEX(BaleMover[Total_Baled_tons],MATCH(SecondaryTransport[[#This Row],[Scenario_MRF_Bale_ID]],BaleMover[Scenario_MRF_Bale_ID],0))</f>
        <v>0</v>
      </c>
      <c r="AM404" s="443">
        <f>IF(INDEX(BaleMover[Miles],MATCH(SecondaryTransport[[#This Row],[Scenario_MRF_Bale_ID]],BaleMover[Scenario_MRF_Bale_ID],0))="",0,INDEX(BaleMover[Miles],MATCH(SecondaryTransport[[#This Row],[Scenario_MRF_Bale_ID]],BaleMover[Scenario_MRF_Bale_ID],0)))</f>
        <v>0</v>
      </c>
      <c r="AN404" s="251">
        <f>IF(SecondaryTransport[[#This Row],[Bale_ID]]="9000-01","costs elsewhere",SecondaryTransport[[#This Row],[Total_Baled_tons]]*SecondaryTransport[[#This Row],[Miles]])</f>
        <v>0</v>
      </c>
      <c r="AO404" s="352" t="str">
        <f>IF(LEFT(SecondaryTransport[[#This Row],[Bale_ID]],1)*1=5,IF(OR(SecondaryTransport[[#This Row],[MRF_ID]]="02",SecondaryTransport[[#This Row],[MRF_ID]]="08"),2,1),"")</f>
        <v/>
      </c>
      <c r="AP4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4" s="224" t="str">
        <f>IFERROR(IF(1*LEFT(SecondaryTransport[[#This Row],[Bale_ID]],1)=5,SecondaryTransport[[#This Row],[Ton-Miles]]*SecondaryTransport[[#This Row],[Cost_Per_Ton-Mile]],""),"")</f>
        <v/>
      </c>
      <c r="AS404" s="224" t="str">
        <f>IFERROR(IF(SecondaryTransport[[#This Row],[Container_Transfer]]="",(SecondaryTransport[[#This Row],[Ton-Miles]]*SecondaryTransport[[#This Row],[Cost_Per_Ton-Mile]]),""),"")</f>
        <v/>
      </c>
    </row>
    <row r="405" spans="12:45" ht="15" x14ac:dyDescent="0.25">
      <c r="L405" s="446" t="s">
        <v>875</v>
      </c>
      <c r="M405" s="446">
        <v>3</v>
      </c>
      <c r="N405" s="446">
        <v>2</v>
      </c>
      <c r="O405" s="446" t="s">
        <v>748</v>
      </c>
      <c r="P405" s="450" t="s">
        <v>719</v>
      </c>
      <c r="Q405" s="450"/>
      <c r="R405" s="450"/>
      <c r="S405" s="449" t="s">
        <v>765</v>
      </c>
      <c r="T405" s="449" t="s">
        <v>1055</v>
      </c>
      <c r="U405" s="452">
        <v>0</v>
      </c>
      <c r="V4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5" s="272" t="str">
        <f>IFERROR(SUMIFS(TransUnitCost[Miles],TransUnitCost[Grouping_ID],TransTonsShort[[#This Row],[Grouping_ID]],TransUnitCost[Transp_ID],TransTonsShort[[#This Row],[Transp_ID]])*TransTonsShort[[#This Row],[Trans_Tons_All]]/TransTonsShort[[#This Row],[Trans_Tons_All]],"")</f>
        <v/>
      </c>
      <c r="X405" s="386" t="str">
        <f>TransTonsShort[[#This Row],[Grouping_ID]]&amp;"-"&amp;TransTonsShort[[#This Row],[Sector_ID]]</f>
        <v>3-2</v>
      </c>
      <c r="Y4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5" s="421">
        <f>INDEX(LandfillFees[Disposal Tip Fee 2025],MATCH(TransTonsShort[[#This Row],[Grouping_ID]],LandfillFees[Grouping_ID],0))</f>
        <v>72.030938699729589</v>
      </c>
      <c r="AA405" s="102">
        <f>IF(OR(TransTonsShort[[#This Row],[CollectionStream_ID]]="03",TransTonsShort[[#This Row],[CollectionStream_ID]]="04",TransTonsShort[[#This Row],[CollectionStream_ID]]="13"),0,TransTonsShort[[#This Row],[Trans_Tons_All]]*TransTonsShort[[#This Row],[Disposal_Fee]])</f>
        <v>0</v>
      </c>
      <c r="AF405" s="446" t="s">
        <v>1578</v>
      </c>
      <c r="AG405" s="442" t="str">
        <f>LEFT(SecondaryTransport[[#This Row],[Scenario_MRF_Bale_ID]],2)</f>
        <v>S4</v>
      </c>
      <c r="AH405" s="181" t="str">
        <f>LEFT(RIGHT(SecondaryTransport[[#This Row],[Scenario_MRF_Bale_ID]],10),2)</f>
        <v>06</v>
      </c>
      <c r="AI405" s="181" t="str">
        <f>INDEX(MRFs[MRF_Name],MATCH(SecondaryTransport[[#This Row],[MRF_ID]],MRFs[MRF_ID],0))</f>
        <v>5 MRFs for DS fiber (Portland)</v>
      </c>
      <c r="AJ405" s="181" t="str">
        <f>RIGHT(SecondaryTransport[[#This Row],[Scenario_MRF_Bale_ID]],7)</f>
        <v>2000-16</v>
      </c>
      <c r="AK405" s="181" t="str">
        <f>INDEX(Bales[Bale_Name],MATCH(SecondaryTransport[[#This Row],[Bale_ID]],Bales[Bale_ID],0))</f>
        <v>Foam PS #6 (transport block and shape, densified)</v>
      </c>
      <c r="AL405" s="443">
        <f>INDEX(BaleMover[Total_Baled_tons],MATCH(SecondaryTransport[[#This Row],[Scenario_MRF_Bale_ID]],BaleMover[Scenario_MRF_Bale_ID],0))</f>
        <v>0</v>
      </c>
      <c r="AM405" s="443">
        <f>IF(INDEX(BaleMover[Miles],MATCH(SecondaryTransport[[#This Row],[Scenario_MRF_Bale_ID]],BaleMover[Scenario_MRF_Bale_ID],0))="",0,INDEX(BaleMover[Miles],MATCH(SecondaryTransport[[#This Row],[Scenario_MRF_Bale_ID]],BaleMover[Scenario_MRF_Bale_ID],0)))</f>
        <v>0</v>
      </c>
      <c r="AN405" s="251">
        <f>IF(SecondaryTransport[[#This Row],[Bale_ID]]="9000-01","costs elsewhere",SecondaryTransport[[#This Row],[Total_Baled_tons]]*SecondaryTransport[[#This Row],[Miles]])</f>
        <v>0</v>
      </c>
      <c r="AO405" s="352" t="str">
        <f>IF(LEFT(SecondaryTransport[[#This Row],[Bale_ID]],1)*1=5,IF(OR(SecondaryTransport[[#This Row],[MRF_ID]]="02",SecondaryTransport[[#This Row],[MRF_ID]]="08"),2,1),"")</f>
        <v/>
      </c>
      <c r="AP4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5" s="224" t="str">
        <f>IFERROR(IF(1*LEFT(SecondaryTransport[[#This Row],[Bale_ID]],1)=5,SecondaryTransport[[#This Row],[Ton-Miles]]*SecondaryTransport[[#This Row],[Cost_Per_Ton-Mile]],""),"")</f>
        <v/>
      </c>
      <c r="AS405" s="224" t="str">
        <f>IFERROR(IF(SecondaryTransport[[#This Row],[Container_Transfer]]="",(SecondaryTransport[[#This Row],[Ton-Miles]]*SecondaryTransport[[#This Row],[Cost_Per_Ton-Mile]]),""),"")</f>
        <v/>
      </c>
    </row>
    <row r="406" spans="12:45" ht="15" x14ac:dyDescent="0.25">
      <c r="L406" s="446" t="s">
        <v>875</v>
      </c>
      <c r="M406" s="446">
        <v>4</v>
      </c>
      <c r="N406" s="446">
        <v>2</v>
      </c>
      <c r="O406" s="446" t="s">
        <v>748</v>
      </c>
      <c r="P406" s="450" t="s">
        <v>719</v>
      </c>
      <c r="Q406" s="450"/>
      <c r="R406" s="450"/>
      <c r="S406" s="449" t="s">
        <v>765</v>
      </c>
      <c r="T406" s="449" t="s">
        <v>1055</v>
      </c>
      <c r="U406" s="452">
        <v>0</v>
      </c>
      <c r="V4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6" s="272" t="str">
        <f>IFERROR(SUMIFS(TransUnitCost[Miles],TransUnitCost[Grouping_ID],TransTonsShort[[#This Row],[Grouping_ID]],TransUnitCost[Transp_ID],TransTonsShort[[#This Row],[Transp_ID]])*TransTonsShort[[#This Row],[Trans_Tons_All]]/TransTonsShort[[#This Row],[Trans_Tons_All]],"")</f>
        <v/>
      </c>
      <c r="X406" s="386" t="str">
        <f>TransTonsShort[[#This Row],[Grouping_ID]]&amp;"-"&amp;TransTonsShort[[#This Row],[Sector_ID]]</f>
        <v>4-2</v>
      </c>
      <c r="Y4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6" s="421">
        <f>INDEX(LandfillFees[Disposal Tip Fee 2025],MATCH(TransTonsShort[[#This Row],[Grouping_ID]],LandfillFees[Grouping_ID],0))</f>
        <v>72.030938699729589</v>
      </c>
      <c r="AA406" s="102">
        <f>IF(OR(TransTonsShort[[#This Row],[CollectionStream_ID]]="03",TransTonsShort[[#This Row],[CollectionStream_ID]]="04",TransTonsShort[[#This Row],[CollectionStream_ID]]="13"),0,TransTonsShort[[#This Row],[Trans_Tons_All]]*TransTonsShort[[#This Row],[Disposal_Fee]])</f>
        <v>0</v>
      </c>
      <c r="AF406" s="446" t="s">
        <v>1579</v>
      </c>
      <c r="AG406" s="442" t="str">
        <f>LEFT(SecondaryTransport[[#This Row],[Scenario_MRF_Bale_ID]],2)</f>
        <v>S4</v>
      </c>
      <c r="AH406" s="181" t="str">
        <f>LEFT(RIGHT(SecondaryTransport[[#This Row],[Scenario_MRF_Bale_ID]],10),2)</f>
        <v>06</v>
      </c>
      <c r="AI406" s="181" t="str">
        <f>INDEX(MRFs[MRF_Name],MATCH(SecondaryTransport[[#This Row],[MRF_ID]],MRFs[MRF_ID],0))</f>
        <v>5 MRFs for DS fiber (Portland)</v>
      </c>
      <c r="AJ406" s="181" t="str">
        <f>RIGHT(SecondaryTransport[[#This Row],[Scenario_MRF_Bale_ID]],7)</f>
        <v>2000-17</v>
      </c>
      <c r="AK406" s="181" t="str">
        <f>INDEX(Bales[Bale_Name],MATCH(SecondaryTransport[[#This Row],[Bale_ID]],Bales[Bale_ID],0))</f>
        <v>Densified MRF Grade Foam PS #6 (food service and packaging) </v>
      </c>
      <c r="AL406" s="443">
        <f>INDEX(BaleMover[Total_Baled_tons],MATCH(SecondaryTransport[[#This Row],[Scenario_MRF_Bale_ID]],BaleMover[Scenario_MRF_Bale_ID],0))</f>
        <v>0</v>
      </c>
      <c r="AM406" s="443">
        <f>IF(INDEX(BaleMover[Miles],MATCH(SecondaryTransport[[#This Row],[Scenario_MRF_Bale_ID]],BaleMover[Scenario_MRF_Bale_ID],0))="",0,INDEX(BaleMover[Miles],MATCH(SecondaryTransport[[#This Row],[Scenario_MRF_Bale_ID]],BaleMover[Scenario_MRF_Bale_ID],0)))</f>
        <v>0</v>
      </c>
      <c r="AN406" s="251">
        <f>IF(SecondaryTransport[[#This Row],[Bale_ID]]="9000-01","costs elsewhere",SecondaryTransport[[#This Row],[Total_Baled_tons]]*SecondaryTransport[[#This Row],[Miles]])</f>
        <v>0</v>
      </c>
      <c r="AO406" s="352" t="str">
        <f>IF(LEFT(SecondaryTransport[[#This Row],[Bale_ID]],1)*1=5,IF(OR(SecondaryTransport[[#This Row],[MRF_ID]]="02",SecondaryTransport[[#This Row],[MRF_ID]]="08"),2,1),"")</f>
        <v/>
      </c>
      <c r="AP4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6" s="224" t="str">
        <f>IFERROR(IF(1*LEFT(SecondaryTransport[[#This Row],[Bale_ID]],1)=5,SecondaryTransport[[#This Row],[Ton-Miles]]*SecondaryTransport[[#This Row],[Cost_Per_Ton-Mile]],""),"")</f>
        <v/>
      </c>
      <c r="AS406" s="224" t="str">
        <f>IFERROR(IF(SecondaryTransport[[#This Row],[Container_Transfer]]="",(SecondaryTransport[[#This Row],[Ton-Miles]]*SecondaryTransport[[#This Row],[Cost_Per_Ton-Mile]]),""),"")</f>
        <v/>
      </c>
    </row>
    <row r="407" spans="12:45" ht="15" x14ac:dyDescent="0.25">
      <c r="L407" s="446" t="s">
        <v>875</v>
      </c>
      <c r="M407" s="446">
        <v>1</v>
      </c>
      <c r="N407" s="446">
        <v>2</v>
      </c>
      <c r="O407" s="446" t="s">
        <v>748</v>
      </c>
      <c r="P407" s="449" t="s">
        <v>700</v>
      </c>
      <c r="Q407" s="449"/>
      <c r="R407" s="449"/>
      <c r="S407" s="449" t="s">
        <v>765</v>
      </c>
      <c r="T407" s="449" t="s">
        <v>701</v>
      </c>
      <c r="U407" s="452">
        <v>0</v>
      </c>
      <c r="V4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7" s="272" t="str">
        <f>IFERROR(SUMIFS(TransUnitCost[Miles],TransUnitCost[Grouping_ID],TransTonsShort[[#This Row],[Grouping_ID]],TransUnitCost[Transp_ID],TransTonsShort[[#This Row],[Transp_ID]])*TransTonsShort[[#This Row],[Trans_Tons_All]]/TransTonsShort[[#This Row],[Trans_Tons_All]],"")</f>
        <v/>
      </c>
      <c r="X407" s="386" t="str">
        <f>TransTonsShort[[#This Row],[Grouping_ID]]&amp;"-"&amp;TransTonsShort[[#This Row],[Sector_ID]]</f>
        <v>1-2</v>
      </c>
      <c r="Y4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7" s="421">
        <f>INDEX(LandfillFees[Disposal Tip Fee 2025],MATCH(TransTonsShort[[#This Row],[Grouping_ID]],LandfillFees[Grouping_ID],0))</f>
        <v>134.68</v>
      </c>
      <c r="AA407" s="102">
        <f>IF(OR(TransTonsShort[[#This Row],[CollectionStream_ID]]="03",TransTonsShort[[#This Row],[CollectionStream_ID]]="04",TransTonsShort[[#This Row],[CollectionStream_ID]]="13"),0,TransTonsShort[[#This Row],[Trans_Tons_All]]*TransTonsShort[[#This Row],[Disposal_Fee]])</f>
        <v>0</v>
      </c>
      <c r="AF407" s="446" t="s">
        <v>1580</v>
      </c>
      <c r="AG407" s="442" t="str">
        <f>LEFT(SecondaryTransport[[#This Row],[Scenario_MRF_Bale_ID]],2)</f>
        <v>S4</v>
      </c>
      <c r="AH407" s="181" t="str">
        <f>LEFT(RIGHT(SecondaryTransport[[#This Row],[Scenario_MRF_Bale_ID]],10),2)</f>
        <v>06</v>
      </c>
      <c r="AI407" s="181" t="str">
        <f>INDEX(MRFs[MRF_Name],MATCH(SecondaryTransport[[#This Row],[MRF_ID]],MRFs[MRF_ID],0))</f>
        <v>5 MRFs for DS fiber (Portland)</v>
      </c>
      <c r="AJ407" s="181" t="str">
        <f>RIGHT(SecondaryTransport[[#This Row],[Scenario_MRF_Bale_ID]],7)</f>
        <v>2000-18</v>
      </c>
      <c r="AK407" s="181" t="str">
        <f>INDEX(Bales[Bale_Name],MATCH(SecondaryTransport[[#This Row],[Bale_ID]],Bales[Bale_ID],0))</f>
        <v>#3-7 bottles and small rigid plastics </v>
      </c>
      <c r="AL407" s="443">
        <f>INDEX(BaleMover[Total_Baled_tons],MATCH(SecondaryTransport[[#This Row],[Scenario_MRF_Bale_ID]],BaleMover[Scenario_MRF_Bale_ID],0))</f>
        <v>0</v>
      </c>
      <c r="AM407" s="443">
        <f>IF(INDEX(BaleMover[Miles],MATCH(SecondaryTransport[[#This Row],[Scenario_MRF_Bale_ID]],BaleMover[Scenario_MRF_Bale_ID],0))="",0,INDEX(BaleMover[Miles],MATCH(SecondaryTransport[[#This Row],[Scenario_MRF_Bale_ID]],BaleMover[Scenario_MRF_Bale_ID],0)))</f>
        <v>0</v>
      </c>
      <c r="AN407" s="251">
        <f>IF(SecondaryTransport[[#This Row],[Bale_ID]]="9000-01","costs elsewhere",SecondaryTransport[[#This Row],[Total_Baled_tons]]*SecondaryTransport[[#This Row],[Miles]])</f>
        <v>0</v>
      </c>
      <c r="AO407" s="352" t="str">
        <f>IF(LEFT(SecondaryTransport[[#This Row],[Bale_ID]],1)*1=5,IF(OR(SecondaryTransport[[#This Row],[MRF_ID]]="02",SecondaryTransport[[#This Row],[MRF_ID]]="08"),2,1),"")</f>
        <v/>
      </c>
      <c r="AP4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7" s="224" t="str">
        <f>IFERROR(IF(1*LEFT(SecondaryTransport[[#This Row],[Bale_ID]],1)=5,SecondaryTransport[[#This Row],[Ton-Miles]]*SecondaryTransport[[#This Row],[Cost_Per_Ton-Mile]],""),"")</f>
        <v/>
      </c>
      <c r="AS407" s="224" t="str">
        <f>IFERROR(IF(SecondaryTransport[[#This Row],[Container_Transfer]]="",(SecondaryTransport[[#This Row],[Ton-Miles]]*SecondaryTransport[[#This Row],[Cost_Per_Ton-Mile]]),""),"")</f>
        <v/>
      </c>
    </row>
    <row r="408" spans="12:45" ht="15" x14ac:dyDescent="0.25">
      <c r="L408" s="446" t="s">
        <v>875</v>
      </c>
      <c r="M408" s="446">
        <v>2</v>
      </c>
      <c r="N408" s="446">
        <v>2</v>
      </c>
      <c r="O408" s="446" t="s">
        <v>748</v>
      </c>
      <c r="P408" s="449" t="s">
        <v>700</v>
      </c>
      <c r="Q408" s="449"/>
      <c r="R408" s="449"/>
      <c r="S408" s="449" t="s">
        <v>765</v>
      </c>
      <c r="T408" s="449" t="s">
        <v>701</v>
      </c>
      <c r="U408" s="452">
        <v>0</v>
      </c>
      <c r="V4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8" s="272" t="str">
        <f>IFERROR(SUMIFS(TransUnitCost[Miles],TransUnitCost[Grouping_ID],TransTonsShort[[#This Row],[Grouping_ID]],TransUnitCost[Transp_ID],TransTonsShort[[#This Row],[Transp_ID]])*TransTonsShort[[#This Row],[Trans_Tons_All]]/TransTonsShort[[#This Row],[Trans_Tons_All]],"")</f>
        <v/>
      </c>
      <c r="X408" s="386" t="str">
        <f>TransTonsShort[[#This Row],[Grouping_ID]]&amp;"-"&amp;TransTonsShort[[#This Row],[Sector_ID]]</f>
        <v>2-2</v>
      </c>
      <c r="Y4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8" s="421">
        <f>INDEX(LandfillFees[Disposal Tip Fee 2025],MATCH(TransTonsShort[[#This Row],[Grouping_ID]],LandfillFees[Grouping_ID],0))</f>
        <v>72.030938699729589</v>
      </c>
      <c r="AA408" s="102">
        <f>IF(OR(TransTonsShort[[#This Row],[CollectionStream_ID]]="03",TransTonsShort[[#This Row],[CollectionStream_ID]]="04",TransTonsShort[[#This Row],[CollectionStream_ID]]="13"),0,TransTonsShort[[#This Row],[Trans_Tons_All]]*TransTonsShort[[#This Row],[Disposal_Fee]])</f>
        <v>0</v>
      </c>
      <c r="AF408" s="446" t="s">
        <v>1581</v>
      </c>
      <c r="AG408" s="442" t="str">
        <f>LEFT(SecondaryTransport[[#This Row],[Scenario_MRF_Bale_ID]],2)</f>
        <v>S4</v>
      </c>
      <c r="AH408" s="181" t="str">
        <f>LEFT(RIGHT(SecondaryTransport[[#This Row],[Scenario_MRF_Bale_ID]],10),2)</f>
        <v>06</v>
      </c>
      <c r="AI408" s="181" t="str">
        <f>INDEX(MRFs[MRF_Name],MATCH(SecondaryTransport[[#This Row],[MRF_ID]],MRFs[MRF_ID],0))</f>
        <v>5 MRFs for DS fiber (Portland)</v>
      </c>
      <c r="AJ408" s="181" t="str">
        <f>RIGHT(SecondaryTransport[[#This Row],[Scenario_MRF_Bale_ID]],7)</f>
        <v>3000-01</v>
      </c>
      <c r="AK408" s="181" t="str">
        <f>INDEX(Bales[Bale_Name],MATCH(SecondaryTransport[[#This Row],[Bale_ID]],Bales[Bale_ID],0))</f>
        <v>Container glass </v>
      </c>
      <c r="AL408" s="443">
        <f>INDEX(BaleMover[Total_Baled_tons],MATCH(SecondaryTransport[[#This Row],[Scenario_MRF_Bale_ID]],BaleMover[Scenario_MRF_Bale_ID],0))</f>
        <v>0</v>
      </c>
      <c r="AM408" s="443">
        <f>IF(INDEX(BaleMover[Miles],MATCH(SecondaryTransport[[#This Row],[Scenario_MRF_Bale_ID]],BaleMover[Scenario_MRF_Bale_ID],0))="",0,INDEX(BaleMover[Miles],MATCH(SecondaryTransport[[#This Row],[Scenario_MRF_Bale_ID]],BaleMover[Scenario_MRF_Bale_ID],0)))</f>
        <v>0</v>
      </c>
      <c r="AN408" s="251">
        <f>IF(SecondaryTransport[[#This Row],[Bale_ID]]="9000-01","costs elsewhere",SecondaryTransport[[#This Row],[Total_Baled_tons]]*SecondaryTransport[[#This Row],[Miles]])</f>
        <v>0</v>
      </c>
      <c r="AO408" s="352" t="str">
        <f>IF(LEFT(SecondaryTransport[[#This Row],[Bale_ID]],1)*1=5,IF(OR(SecondaryTransport[[#This Row],[MRF_ID]]="02",SecondaryTransport[[#This Row],[MRF_ID]]="08"),2,1),"")</f>
        <v/>
      </c>
      <c r="AP4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8" s="224" t="str">
        <f>IFERROR(IF(1*LEFT(SecondaryTransport[[#This Row],[Bale_ID]],1)=5,SecondaryTransport[[#This Row],[Ton-Miles]]*SecondaryTransport[[#This Row],[Cost_Per_Ton-Mile]],""),"")</f>
        <v/>
      </c>
      <c r="AS408" s="224" t="str">
        <f>IFERROR(IF(SecondaryTransport[[#This Row],[Container_Transfer]]="",(SecondaryTransport[[#This Row],[Ton-Miles]]*SecondaryTransport[[#This Row],[Cost_Per_Ton-Mile]]),""),"")</f>
        <v/>
      </c>
    </row>
    <row r="409" spans="12:45" ht="15" x14ac:dyDescent="0.25">
      <c r="L409" s="446" t="s">
        <v>875</v>
      </c>
      <c r="M409" s="446">
        <v>3</v>
      </c>
      <c r="N409" s="446">
        <v>2</v>
      </c>
      <c r="O409" s="446" t="s">
        <v>748</v>
      </c>
      <c r="P409" s="449" t="s">
        <v>700</v>
      </c>
      <c r="Q409" s="449"/>
      <c r="R409" s="449"/>
      <c r="S409" s="449" t="s">
        <v>765</v>
      </c>
      <c r="T409" s="449" t="s">
        <v>701</v>
      </c>
      <c r="U409" s="452">
        <v>0</v>
      </c>
      <c r="V4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09" s="272" t="str">
        <f>IFERROR(SUMIFS(TransUnitCost[Miles],TransUnitCost[Grouping_ID],TransTonsShort[[#This Row],[Grouping_ID]],TransUnitCost[Transp_ID],TransTonsShort[[#This Row],[Transp_ID]])*TransTonsShort[[#This Row],[Trans_Tons_All]]/TransTonsShort[[#This Row],[Trans_Tons_All]],"")</f>
        <v/>
      </c>
      <c r="X409" s="386" t="str">
        <f>TransTonsShort[[#This Row],[Grouping_ID]]&amp;"-"&amp;TransTonsShort[[#This Row],[Sector_ID]]</f>
        <v>3-2</v>
      </c>
      <c r="Y4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09" s="421">
        <f>INDEX(LandfillFees[Disposal Tip Fee 2025],MATCH(TransTonsShort[[#This Row],[Grouping_ID]],LandfillFees[Grouping_ID],0))</f>
        <v>72.030938699729589</v>
      </c>
      <c r="AA409" s="102">
        <f>IF(OR(TransTonsShort[[#This Row],[CollectionStream_ID]]="03",TransTonsShort[[#This Row],[CollectionStream_ID]]="04",TransTonsShort[[#This Row],[CollectionStream_ID]]="13"),0,TransTonsShort[[#This Row],[Trans_Tons_All]]*TransTonsShort[[#This Row],[Disposal_Fee]])</f>
        <v>0</v>
      </c>
      <c r="AF409" s="446" t="s">
        <v>1582</v>
      </c>
      <c r="AG409" s="442" t="str">
        <f>LEFT(SecondaryTransport[[#This Row],[Scenario_MRF_Bale_ID]],2)</f>
        <v>S4</v>
      </c>
      <c r="AH409" s="181" t="str">
        <f>LEFT(RIGHT(SecondaryTransport[[#This Row],[Scenario_MRF_Bale_ID]],10),2)</f>
        <v>06</v>
      </c>
      <c r="AI409" s="181" t="str">
        <f>INDEX(MRFs[MRF_Name],MATCH(SecondaryTransport[[#This Row],[MRF_ID]],MRFs[MRF_ID],0))</f>
        <v>5 MRFs for DS fiber (Portland)</v>
      </c>
      <c r="AJ409" s="181" t="str">
        <f>RIGHT(SecondaryTransport[[#This Row],[Scenario_MRF_Bale_ID]],7)</f>
        <v>4000-01</v>
      </c>
      <c r="AK409" s="181" t="str">
        <f>INDEX(Bales[Bale_Name],MATCH(SecondaryTransport[[#This Row],[Bale_ID]],Bales[Bale_ID],0))</f>
        <v>Aluminum cans and foil</v>
      </c>
      <c r="AL409" s="443">
        <f>INDEX(BaleMover[Total_Baled_tons],MATCH(SecondaryTransport[[#This Row],[Scenario_MRF_Bale_ID]],BaleMover[Scenario_MRF_Bale_ID],0))</f>
        <v>0</v>
      </c>
      <c r="AM409" s="443">
        <f>IF(INDEX(BaleMover[Miles],MATCH(SecondaryTransport[[#This Row],[Scenario_MRF_Bale_ID]],BaleMover[Scenario_MRF_Bale_ID],0))="",0,INDEX(BaleMover[Miles],MATCH(SecondaryTransport[[#This Row],[Scenario_MRF_Bale_ID]],BaleMover[Scenario_MRF_Bale_ID],0)))</f>
        <v>0</v>
      </c>
      <c r="AN409" s="251">
        <f>IF(SecondaryTransport[[#This Row],[Bale_ID]]="9000-01","costs elsewhere",SecondaryTransport[[#This Row],[Total_Baled_tons]]*SecondaryTransport[[#This Row],[Miles]])</f>
        <v>0</v>
      </c>
      <c r="AO409" s="352" t="str">
        <f>IF(LEFT(SecondaryTransport[[#This Row],[Bale_ID]],1)*1=5,IF(OR(SecondaryTransport[[#This Row],[MRF_ID]]="02",SecondaryTransport[[#This Row],[MRF_ID]]="08"),2,1),"")</f>
        <v/>
      </c>
      <c r="AP4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0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09" s="224" t="str">
        <f>IFERROR(IF(1*LEFT(SecondaryTransport[[#This Row],[Bale_ID]],1)=5,SecondaryTransport[[#This Row],[Ton-Miles]]*SecondaryTransport[[#This Row],[Cost_Per_Ton-Mile]],""),"")</f>
        <v/>
      </c>
      <c r="AS409" s="224" t="str">
        <f>IFERROR(IF(SecondaryTransport[[#This Row],[Container_Transfer]]="",(SecondaryTransport[[#This Row],[Ton-Miles]]*SecondaryTransport[[#This Row],[Cost_Per_Ton-Mile]]),""),"")</f>
        <v/>
      </c>
    </row>
    <row r="410" spans="12:45" ht="15" x14ac:dyDescent="0.25">
      <c r="L410" s="446" t="s">
        <v>875</v>
      </c>
      <c r="M410" s="446">
        <v>4</v>
      </c>
      <c r="N410" s="446">
        <v>2</v>
      </c>
      <c r="O410" s="446" t="s">
        <v>748</v>
      </c>
      <c r="P410" s="449" t="s">
        <v>700</v>
      </c>
      <c r="Q410" s="449"/>
      <c r="R410" s="449"/>
      <c r="S410" s="449" t="s">
        <v>765</v>
      </c>
      <c r="T410" s="449" t="s">
        <v>701</v>
      </c>
      <c r="U410" s="452">
        <v>0</v>
      </c>
      <c r="V4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0" s="272" t="str">
        <f>IFERROR(SUMIFS(TransUnitCost[Miles],TransUnitCost[Grouping_ID],TransTonsShort[[#This Row],[Grouping_ID]],TransUnitCost[Transp_ID],TransTonsShort[[#This Row],[Transp_ID]])*TransTonsShort[[#This Row],[Trans_Tons_All]]/TransTonsShort[[#This Row],[Trans_Tons_All]],"")</f>
        <v/>
      </c>
      <c r="X410" s="386" t="str">
        <f>TransTonsShort[[#This Row],[Grouping_ID]]&amp;"-"&amp;TransTonsShort[[#This Row],[Sector_ID]]</f>
        <v>4-2</v>
      </c>
      <c r="Y4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0" s="421">
        <f>INDEX(LandfillFees[Disposal Tip Fee 2025],MATCH(TransTonsShort[[#This Row],[Grouping_ID]],LandfillFees[Grouping_ID],0))</f>
        <v>72.030938699729589</v>
      </c>
      <c r="AA410" s="102">
        <f>IF(OR(TransTonsShort[[#This Row],[CollectionStream_ID]]="03",TransTonsShort[[#This Row],[CollectionStream_ID]]="04",TransTonsShort[[#This Row],[CollectionStream_ID]]="13"),0,TransTonsShort[[#This Row],[Trans_Tons_All]]*TransTonsShort[[#This Row],[Disposal_Fee]])</f>
        <v>0</v>
      </c>
      <c r="AF410" s="446" t="s">
        <v>1583</v>
      </c>
      <c r="AG410" s="442" t="str">
        <f>LEFT(SecondaryTransport[[#This Row],[Scenario_MRF_Bale_ID]],2)</f>
        <v>S4</v>
      </c>
      <c r="AH410" s="181" t="str">
        <f>LEFT(RIGHT(SecondaryTransport[[#This Row],[Scenario_MRF_Bale_ID]],10),2)</f>
        <v>06</v>
      </c>
      <c r="AI410" s="181" t="str">
        <f>INDEX(MRFs[MRF_Name],MATCH(SecondaryTransport[[#This Row],[MRF_ID]],MRFs[MRF_ID],0))</f>
        <v>5 MRFs for DS fiber (Portland)</v>
      </c>
      <c r="AJ410" s="181" t="str">
        <f>RIGHT(SecondaryTransport[[#This Row],[Scenario_MRF_Bale_ID]],7)</f>
        <v>4000-02</v>
      </c>
      <c r="AK410" s="181" t="str">
        <f>INDEX(Bales[Bale_Name],MATCH(SecondaryTransport[[#This Row],[Bale_ID]],Bales[Bale_ID],0))</f>
        <v>Steel cans </v>
      </c>
      <c r="AL410" s="443">
        <f>INDEX(BaleMover[Total_Baled_tons],MATCH(SecondaryTransport[[#This Row],[Scenario_MRF_Bale_ID]],BaleMover[Scenario_MRF_Bale_ID],0))</f>
        <v>0</v>
      </c>
      <c r="AM410" s="443">
        <f>IF(INDEX(BaleMover[Miles],MATCH(SecondaryTransport[[#This Row],[Scenario_MRF_Bale_ID]],BaleMover[Scenario_MRF_Bale_ID],0))="",0,INDEX(BaleMover[Miles],MATCH(SecondaryTransport[[#This Row],[Scenario_MRF_Bale_ID]],BaleMover[Scenario_MRF_Bale_ID],0)))</f>
        <v>0</v>
      </c>
      <c r="AN410" s="251">
        <f>IF(SecondaryTransport[[#This Row],[Bale_ID]]="9000-01","costs elsewhere",SecondaryTransport[[#This Row],[Total_Baled_tons]]*SecondaryTransport[[#This Row],[Miles]])</f>
        <v>0</v>
      </c>
      <c r="AO410" s="352" t="str">
        <f>IF(LEFT(SecondaryTransport[[#This Row],[Bale_ID]],1)*1=5,IF(OR(SecondaryTransport[[#This Row],[MRF_ID]]="02",SecondaryTransport[[#This Row],[MRF_ID]]="08"),2,1),"")</f>
        <v/>
      </c>
      <c r="AP4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0" s="224" t="str">
        <f>IFERROR(IF(1*LEFT(SecondaryTransport[[#This Row],[Bale_ID]],1)=5,SecondaryTransport[[#This Row],[Ton-Miles]]*SecondaryTransport[[#This Row],[Cost_Per_Ton-Mile]],""),"")</f>
        <v/>
      </c>
      <c r="AS410" s="224" t="str">
        <f>IFERROR(IF(SecondaryTransport[[#This Row],[Container_Transfer]]="",(SecondaryTransport[[#This Row],[Ton-Miles]]*SecondaryTransport[[#This Row],[Cost_Per_Ton-Mile]]),""),"")</f>
        <v/>
      </c>
    </row>
    <row r="411" spans="12:45" ht="15" x14ac:dyDescent="0.25">
      <c r="L411" s="446" t="s">
        <v>875</v>
      </c>
      <c r="M411" s="446">
        <v>1</v>
      </c>
      <c r="N411" s="446">
        <v>2</v>
      </c>
      <c r="O411" s="446" t="s">
        <v>748</v>
      </c>
      <c r="P411" s="449" t="s">
        <v>748</v>
      </c>
      <c r="Q411" s="449"/>
      <c r="R411" s="449"/>
      <c r="S411" s="449" t="s">
        <v>765</v>
      </c>
      <c r="T411" s="449" t="s">
        <v>849</v>
      </c>
      <c r="U411" s="452">
        <v>0</v>
      </c>
      <c r="V4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1" s="272" t="str">
        <f>IFERROR(SUMIFS(TransUnitCost[Miles],TransUnitCost[Grouping_ID],TransTonsShort[[#This Row],[Grouping_ID]],TransUnitCost[Transp_ID],TransTonsShort[[#This Row],[Transp_ID]])*TransTonsShort[[#This Row],[Trans_Tons_All]]/TransTonsShort[[#This Row],[Trans_Tons_All]],"")</f>
        <v/>
      </c>
      <c r="X411" s="386" t="str">
        <f>TransTonsShort[[#This Row],[Grouping_ID]]&amp;"-"&amp;TransTonsShort[[#This Row],[Sector_ID]]</f>
        <v>1-2</v>
      </c>
      <c r="Y4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1" s="421">
        <f>INDEX(LandfillFees[Disposal Tip Fee 2025],MATCH(TransTonsShort[[#This Row],[Grouping_ID]],LandfillFees[Grouping_ID],0))</f>
        <v>134.68</v>
      </c>
      <c r="AA411" s="102">
        <f>IF(OR(TransTonsShort[[#This Row],[CollectionStream_ID]]="03",TransTonsShort[[#This Row],[CollectionStream_ID]]="04",TransTonsShort[[#This Row],[CollectionStream_ID]]="13"),0,TransTonsShort[[#This Row],[Trans_Tons_All]]*TransTonsShort[[#This Row],[Disposal_Fee]])</f>
        <v>0</v>
      </c>
      <c r="AF411" s="446" t="s">
        <v>1584</v>
      </c>
      <c r="AG411" s="442" t="str">
        <f>LEFT(SecondaryTransport[[#This Row],[Scenario_MRF_Bale_ID]],2)</f>
        <v>S4</v>
      </c>
      <c r="AH411" s="181" t="str">
        <f>LEFT(RIGHT(SecondaryTransport[[#This Row],[Scenario_MRF_Bale_ID]],10),2)</f>
        <v>06</v>
      </c>
      <c r="AI411" s="181" t="str">
        <f>INDEX(MRFs[MRF_Name],MATCH(SecondaryTransport[[#This Row],[MRF_ID]],MRFs[MRF_ID],0))</f>
        <v>5 MRFs for DS fiber (Portland)</v>
      </c>
      <c r="AJ411" s="181" t="str">
        <f>RIGHT(SecondaryTransport[[#This Row],[Scenario_MRF_Bale_ID]],7)</f>
        <v>4000-03</v>
      </c>
      <c r="AK411" s="181" t="str">
        <f>INDEX(Bales[Bale_Name],MATCH(SecondaryTransport[[#This Row],[Bale_ID]],Bales[Bale_ID],0))</f>
        <v>Scrap metal</v>
      </c>
      <c r="AL411" s="443">
        <f>INDEX(BaleMover[Total_Baled_tons],MATCH(SecondaryTransport[[#This Row],[Scenario_MRF_Bale_ID]],BaleMover[Scenario_MRF_Bale_ID],0))</f>
        <v>0</v>
      </c>
      <c r="AM411" s="443">
        <f>IF(INDEX(BaleMover[Miles],MATCH(SecondaryTransport[[#This Row],[Scenario_MRF_Bale_ID]],BaleMover[Scenario_MRF_Bale_ID],0))="",0,INDEX(BaleMover[Miles],MATCH(SecondaryTransport[[#This Row],[Scenario_MRF_Bale_ID]],BaleMover[Scenario_MRF_Bale_ID],0)))</f>
        <v>0</v>
      </c>
      <c r="AN411" s="251">
        <f>IF(SecondaryTransport[[#This Row],[Bale_ID]]="9000-01","costs elsewhere",SecondaryTransport[[#This Row],[Total_Baled_tons]]*SecondaryTransport[[#This Row],[Miles]])</f>
        <v>0</v>
      </c>
      <c r="AO411" s="352" t="str">
        <f>IF(LEFT(SecondaryTransport[[#This Row],[Bale_ID]],1)*1=5,IF(OR(SecondaryTransport[[#This Row],[MRF_ID]]="02",SecondaryTransport[[#This Row],[MRF_ID]]="08"),2,1),"")</f>
        <v/>
      </c>
      <c r="AP4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1" s="224" t="str">
        <f>IFERROR(IF(1*LEFT(SecondaryTransport[[#This Row],[Bale_ID]],1)=5,SecondaryTransport[[#This Row],[Ton-Miles]]*SecondaryTransport[[#This Row],[Cost_Per_Ton-Mile]],""),"")</f>
        <v/>
      </c>
      <c r="AS411" s="224" t="str">
        <f>IFERROR(IF(SecondaryTransport[[#This Row],[Container_Transfer]]="",(SecondaryTransport[[#This Row],[Ton-Miles]]*SecondaryTransport[[#This Row],[Cost_Per_Ton-Mile]]),""),"")</f>
        <v/>
      </c>
    </row>
    <row r="412" spans="12:45" ht="15" x14ac:dyDescent="0.25">
      <c r="L412" s="446" t="s">
        <v>875</v>
      </c>
      <c r="M412" s="446">
        <v>2</v>
      </c>
      <c r="N412" s="446">
        <v>2</v>
      </c>
      <c r="O412" s="446" t="s">
        <v>748</v>
      </c>
      <c r="P412" s="449" t="s">
        <v>748</v>
      </c>
      <c r="Q412" s="449"/>
      <c r="R412" s="449"/>
      <c r="S412" s="449" t="s">
        <v>765</v>
      </c>
      <c r="T412" s="449" t="s">
        <v>849</v>
      </c>
      <c r="U412" s="452">
        <v>0</v>
      </c>
      <c r="V4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2" s="272" t="str">
        <f>IFERROR(SUMIFS(TransUnitCost[Miles],TransUnitCost[Grouping_ID],TransTonsShort[[#This Row],[Grouping_ID]],TransUnitCost[Transp_ID],TransTonsShort[[#This Row],[Transp_ID]])*TransTonsShort[[#This Row],[Trans_Tons_All]]/TransTonsShort[[#This Row],[Trans_Tons_All]],"")</f>
        <v/>
      </c>
      <c r="X412" s="386" t="str">
        <f>TransTonsShort[[#This Row],[Grouping_ID]]&amp;"-"&amp;TransTonsShort[[#This Row],[Sector_ID]]</f>
        <v>2-2</v>
      </c>
      <c r="Y4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2" s="421">
        <f>INDEX(LandfillFees[Disposal Tip Fee 2025],MATCH(TransTonsShort[[#This Row],[Grouping_ID]],LandfillFees[Grouping_ID],0))</f>
        <v>72.030938699729589</v>
      </c>
      <c r="AA412" s="102">
        <f>IF(OR(TransTonsShort[[#This Row],[CollectionStream_ID]]="03",TransTonsShort[[#This Row],[CollectionStream_ID]]="04",TransTonsShort[[#This Row],[CollectionStream_ID]]="13"),0,TransTonsShort[[#This Row],[Trans_Tons_All]]*TransTonsShort[[#This Row],[Disposal_Fee]])</f>
        <v>0</v>
      </c>
      <c r="AF412" s="446" t="s">
        <v>1585</v>
      </c>
      <c r="AG412" s="442" t="str">
        <f>LEFT(SecondaryTransport[[#This Row],[Scenario_MRF_Bale_ID]],2)</f>
        <v>S4</v>
      </c>
      <c r="AH412" s="181" t="str">
        <f>LEFT(RIGHT(SecondaryTransport[[#This Row],[Scenario_MRF_Bale_ID]],10),2)</f>
        <v>07</v>
      </c>
      <c r="AI412" s="181" t="str">
        <f>INDEX(MRFs[MRF_Name],MATCH(SecondaryTransport[[#This Row],[MRF_ID]],MRFs[MRF_ID],0))</f>
        <v>1 MRF for DS with fiber and container lines (Portland)</v>
      </c>
      <c r="AJ412" s="181" t="str">
        <f>RIGHT(SecondaryTransport[[#This Row],[Scenario_MRF_Bale_ID]],7)</f>
        <v>1000-01</v>
      </c>
      <c r="AK412" s="181" t="str">
        <f>INDEX(Bales[Bale_Name],MATCH(SecondaryTransport[[#This Row],[Bale_ID]],Bales[Bale_ID],0))</f>
        <v>OCC (corrugated cardboard) </v>
      </c>
      <c r="AL412" s="443">
        <f>INDEX(BaleMover[Total_Baled_tons],MATCH(SecondaryTransport[[#This Row],[Scenario_MRF_Bale_ID]],BaleMover[Scenario_MRF_Bale_ID],0))</f>
        <v>47278.990509762509</v>
      </c>
      <c r="AM412" s="443">
        <f>IF(INDEX(BaleMover[Miles],MATCH(SecondaryTransport[[#This Row],[Scenario_MRF_Bale_ID]],BaleMover[Scenario_MRF_Bale_ID],0))="",0,INDEX(BaleMover[Miles],MATCH(SecondaryTransport[[#This Row],[Scenario_MRF_Bale_ID]],BaleMover[Scenario_MRF_Bale_ID],0)))</f>
        <v>50</v>
      </c>
      <c r="AN412" s="251">
        <f>IF(SecondaryTransport[[#This Row],[Bale_ID]]="9000-01","costs elsewhere",SecondaryTransport[[#This Row],[Total_Baled_tons]]*SecondaryTransport[[#This Row],[Miles]])</f>
        <v>2363949.5254881256</v>
      </c>
      <c r="AO412" s="352" t="str">
        <f>IF(LEFT(SecondaryTransport[[#This Row],[Bale_ID]],1)*1=5,IF(OR(SecondaryTransport[[#This Row],[MRF_ID]]="02",SecondaryTransport[[#This Row],[MRF_ID]]="08"),2,1),"")</f>
        <v/>
      </c>
      <c r="AP4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1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12" s="224" t="str">
        <f>IFERROR(IF(1*LEFT(SecondaryTransport[[#This Row],[Bale_ID]],1)=5,SecondaryTransport[[#This Row],[Ton-Miles]]*SecondaryTransport[[#This Row],[Cost_Per_Ton-Mile]],""),"")</f>
        <v/>
      </c>
      <c r="AS412" s="224">
        <f>IFERROR(IF(SecondaryTransport[[#This Row],[Container_Transfer]]="",(SecondaryTransport[[#This Row],[Ton-Miles]]*SecondaryTransport[[#This Row],[Cost_Per_Ton-Mile]]),""),"")</f>
        <v>732824.35290131893</v>
      </c>
    </row>
    <row r="413" spans="12:45" ht="15" x14ac:dyDescent="0.25">
      <c r="L413" s="446" t="s">
        <v>875</v>
      </c>
      <c r="M413" s="446">
        <v>3</v>
      </c>
      <c r="N413" s="446">
        <v>2</v>
      </c>
      <c r="O413" s="446" t="s">
        <v>748</v>
      </c>
      <c r="P413" s="449" t="s">
        <v>748</v>
      </c>
      <c r="Q413" s="449"/>
      <c r="R413" s="449"/>
      <c r="S413" s="449" t="s">
        <v>765</v>
      </c>
      <c r="T413" s="449" t="s">
        <v>849</v>
      </c>
      <c r="U413" s="452">
        <v>0</v>
      </c>
      <c r="V4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3" s="272" t="str">
        <f>IFERROR(SUMIFS(TransUnitCost[Miles],TransUnitCost[Grouping_ID],TransTonsShort[[#This Row],[Grouping_ID]],TransUnitCost[Transp_ID],TransTonsShort[[#This Row],[Transp_ID]])*TransTonsShort[[#This Row],[Trans_Tons_All]]/TransTonsShort[[#This Row],[Trans_Tons_All]],"")</f>
        <v/>
      </c>
      <c r="X413" s="386" t="str">
        <f>TransTonsShort[[#This Row],[Grouping_ID]]&amp;"-"&amp;TransTonsShort[[#This Row],[Sector_ID]]</f>
        <v>3-2</v>
      </c>
      <c r="Y4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3" s="421">
        <f>INDEX(LandfillFees[Disposal Tip Fee 2025],MATCH(TransTonsShort[[#This Row],[Grouping_ID]],LandfillFees[Grouping_ID],0))</f>
        <v>72.030938699729589</v>
      </c>
      <c r="AA413" s="102">
        <f>IF(OR(TransTonsShort[[#This Row],[CollectionStream_ID]]="03",TransTonsShort[[#This Row],[CollectionStream_ID]]="04",TransTonsShort[[#This Row],[CollectionStream_ID]]="13"),0,TransTonsShort[[#This Row],[Trans_Tons_All]]*TransTonsShort[[#This Row],[Disposal_Fee]])</f>
        <v>0</v>
      </c>
      <c r="AF413" s="446" t="s">
        <v>1586</v>
      </c>
      <c r="AG413" s="442" t="str">
        <f>LEFT(SecondaryTransport[[#This Row],[Scenario_MRF_Bale_ID]],2)</f>
        <v>S4</v>
      </c>
      <c r="AH413" s="181" t="str">
        <f>LEFT(RIGHT(SecondaryTransport[[#This Row],[Scenario_MRF_Bale_ID]],10),2)</f>
        <v>07</v>
      </c>
      <c r="AI413" s="181" t="str">
        <f>INDEX(MRFs[MRF_Name],MATCH(SecondaryTransport[[#This Row],[MRF_ID]],MRFs[MRF_ID],0))</f>
        <v>1 MRF for DS with fiber and container lines (Portland)</v>
      </c>
      <c r="AJ413" s="181" t="str">
        <f>RIGHT(SecondaryTransport[[#This Row],[Scenario_MRF_Bale_ID]],7)</f>
        <v>1000-02</v>
      </c>
      <c r="AK413" s="181" t="str">
        <f>INDEX(Bales[Bale_Name],MATCH(SecondaryTransport[[#This Row],[Bale_ID]],Bales[Bale_ID],0))</f>
        <v>Sorted clean newsprint</v>
      </c>
      <c r="AL413" s="443">
        <f>INDEX(BaleMover[Total_Baled_tons],MATCH(SecondaryTransport[[#This Row],[Scenario_MRF_Bale_ID]],BaleMover[Scenario_MRF_Bale_ID],0))</f>
        <v>0</v>
      </c>
      <c r="AM413" s="443">
        <f>IF(INDEX(BaleMover[Miles],MATCH(SecondaryTransport[[#This Row],[Scenario_MRF_Bale_ID]],BaleMover[Scenario_MRF_Bale_ID],0))="",0,INDEX(BaleMover[Miles],MATCH(SecondaryTransport[[#This Row],[Scenario_MRF_Bale_ID]],BaleMover[Scenario_MRF_Bale_ID],0)))</f>
        <v>0</v>
      </c>
      <c r="AN413" s="251">
        <f>IF(SecondaryTransport[[#This Row],[Bale_ID]]="9000-01","costs elsewhere",SecondaryTransport[[#This Row],[Total_Baled_tons]]*SecondaryTransport[[#This Row],[Miles]])</f>
        <v>0</v>
      </c>
      <c r="AO413" s="352" t="str">
        <f>IF(LEFT(SecondaryTransport[[#This Row],[Bale_ID]],1)*1=5,IF(OR(SecondaryTransport[[#This Row],[MRF_ID]]="02",SecondaryTransport[[#This Row],[MRF_ID]]="08"),2,1),"")</f>
        <v/>
      </c>
      <c r="AP4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3" s="224" t="str">
        <f>IFERROR(IF(1*LEFT(SecondaryTransport[[#This Row],[Bale_ID]],1)=5,SecondaryTransport[[#This Row],[Ton-Miles]]*SecondaryTransport[[#This Row],[Cost_Per_Ton-Mile]],""),"")</f>
        <v/>
      </c>
      <c r="AS413" s="224" t="str">
        <f>IFERROR(IF(SecondaryTransport[[#This Row],[Container_Transfer]]="",(SecondaryTransport[[#This Row],[Ton-Miles]]*SecondaryTransport[[#This Row],[Cost_Per_Ton-Mile]]),""),"")</f>
        <v/>
      </c>
    </row>
    <row r="414" spans="12:45" ht="15" x14ac:dyDescent="0.25">
      <c r="L414" s="446" t="s">
        <v>875</v>
      </c>
      <c r="M414" s="446">
        <v>4</v>
      </c>
      <c r="N414" s="446">
        <v>2</v>
      </c>
      <c r="O414" s="446" t="s">
        <v>748</v>
      </c>
      <c r="P414" s="449" t="s">
        <v>748</v>
      </c>
      <c r="Q414" s="449"/>
      <c r="R414" s="449"/>
      <c r="S414" s="449" t="s">
        <v>765</v>
      </c>
      <c r="T414" s="449" t="s">
        <v>849</v>
      </c>
      <c r="U414" s="452">
        <v>0</v>
      </c>
      <c r="V4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4" s="272" t="str">
        <f>IFERROR(SUMIFS(TransUnitCost[Miles],TransUnitCost[Grouping_ID],TransTonsShort[[#This Row],[Grouping_ID]],TransUnitCost[Transp_ID],TransTonsShort[[#This Row],[Transp_ID]])*TransTonsShort[[#This Row],[Trans_Tons_All]]/TransTonsShort[[#This Row],[Trans_Tons_All]],"")</f>
        <v/>
      </c>
      <c r="X414" s="386" t="str">
        <f>TransTonsShort[[#This Row],[Grouping_ID]]&amp;"-"&amp;TransTonsShort[[#This Row],[Sector_ID]]</f>
        <v>4-2</v>
      </c>
      <c r="Y4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4" s="421">
        <f>INDEX(LandfillFees[Disposal Tip Fee 2025],MATCH(TransTonsShort[[#This Row],[Grouping_ID]],LandfillFees[Grouping_ID],0))</f>
        <v>72.030938699729589</v>
      </c>
      <c r="AA414" s="102">
        <f>IF(OR(TransTonsShort[[#This Row],[CollectionStream_ID]]="03",TransTonsShort[[#This Row],[CollectionStream_ID]]="04",TransTonsShort[[#This Row],[CollectionStream_ID]]="13"),0,TransTonsShort[[#This Row],[Trans_Tons_All]]*TransTonsShort[[#This Row],[Disposal_Fee]])</f>
        <v>0</v>
      </c>
      <c r="AF414" s="446" t="s">
        <v>1587</v>
      </c>
      <c r="AG414" s="442" t="str">
        <f>LEFT(SecondaryTransport[[#This Row],[Scenario_MRF_Bale_ID]],2)</f>
        <v>S4</v>
      </c>
      <c r="AH414" s="181" t="str">
        <f>LEFT(RIGHT(SecondaryTransport[[#This Row],[Scenario_MRF_Bale_ID]],10),2)</f>
        <v>07</v>
      </c>
      <c r="AI414" s="181" t="str">
        <f>INDEX(MRFs[MRF_Name],MATCH(SecondaryTransport[[#This Row],[MRF_ID]],MRFs[MRF_ID],0))</f>
        <v>1 MRF for DS with fiber and container lines (Portland)</v>
      </c>
      <c r="AJ414" s="181" t="str">
        <f>RIGHT(SecondaryTransport[[#This Row],[Scenario_MRF_Bale_ID]],7)</f>
        <v>1000-03</v>
      </c>
      <c r="AK414" s="181" t="str">
        <f>INDEX(Bales[Bale_Name],MATCH(SecondaryTransport[[#This Row],[Bale_ID]],Bales[Bale_ID],0))</f>
        <v>Sorted residential paper and news</v>
      </c>
      <c r="AL414" s="443">
        <f>INDEX(BaleMover[Total_Baled_tons],MATCH(SecondaryTransport[[#This Row],[Scenario_MRF_Bale_ID]],BaleMover[Scenario_MRF_Bale_ID],0))</f>
        <v>19774.80761314492</v>
      </c>
      <c r="AM414" s="443">
        <f>IF(INDEX(BaleMover[Miles],MATCH(SecondaryTransport[[#This Row],[Scenario_MRF_Bale_ID]],BaleMover[Scenario_MRF_Bale_ID],0))="",0,INDEX(BaleMover[Miles],MATCH(SecondaryTransport[[#This Row],[Scenario_MRF_Bale_ID]],BaleMover[Scenario_MRF_Bale_ID],0)))</f>
        <v>50</v>
      </c>
      <c r="AN414" s="251">
        <f>IF(SecondaryTransport[[#This Row],[Bale_ID]]="9000-01","costs elsewhere",SecondaryTransport[[#This Row],[Total_Baled_tons]]*SecondaryTransport[[#This Row],[Miles]])</f>
        <v>988740.38065724599</v>
      </c>
      <c r="AO414" s="352" t="str">
        <f>IF(LEFT(SecondaryTransport[[#This Row],[Bale_ID]],1)*1=5,IF(OR(SecondaryTransport[[#This Row],[MRF_ID]]="02",SecondaryTransport[[#This Row],[MRF_ID]]="08"),2,1),"")</f>
        <v/>
      </c>
      <c r="AP4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1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14" s="224" t="str">
        <f>IFERROR(IF(1*LEFT(SecondaryTransport[[#This Row],[Bale_ID]],1)=5,SecondaryTransport[[#This Row],[Ton-Miles]]*SecondaryTransport[[#This Row],[Cost_Per_Ton-Mile]],""),"")</f>
        <v/>
      </c>
      <c r="AS414" s="224">
        <f>IFERROR(IF(SecondaryTransport[[#This Row],[Container_Transfer]]="",(SecondaryTransport[[#This Row],[Ton-Miles]]*SecondaryTransport[[#This Row],[Cost_Per_Ton-Mile]]),""),"")</f>
        <v>306509.51800374623</v>
      </c>
    </row>
    <row r="415" spans="12:45" ht="15" x14ac:dyDescent="0.25">
      <c r="L415" s="446" t="s">
        <v>875</v>
      </c>
      <c r="M415" s="446">
        <v>1</v>
      </c>
      <c r="N415" s="446">
        <v>2</v>
      </c>
      <c r="O415" s="446" t="s">
        <v>746</v>
      </c>
      <c r="P415" s="449" t="s">
        <v>719</v>
      </c>
      <c r="Q415" s="449"/>
      <c r="R415" s="449"/>
      <c r="S415" s="449" t="s">
        <v>762</v>
      </c>
      <c r="T415" s="449" t="s">
        <v>1055</v>
      </c>
      <c r="U415" s="452">
        <v>0</v>
      </c>
      <c r="V4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5" s="272" t="str">
        <f>IFERROR(SUMIFS(TransUnitCost[Miles],TransUnitCost[Grouping_ID],TransTonsShort[[#This Row],[Grouping_ID]],TransUnitCost[Transp_ID],TransTonsShort[[#This Row],[Transp_ID]])*TransTonsShort[[#This Row],[Trans_Tons_All]]/TransTonsShort[[#This Row],[Trans_Tons_All]],"")</f>
        <v/>
      </c>
      <c r="X415" s="386" t="str">
        <f>TransTonsShort[[#This Row],[Grouping_ID]]&amp;"-"&amp;TransTonsShort[[#This Row],[Sector_ID]]</f>
        <v>1-2</v>
      </c>
      <c r="Y4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5" s="421">
        <f>INDEX(LandfillFees[Disposal Tip Fee 2025],MATCH(TransTonsShort[[#This Row],[Grouping_ID]],LandfillFees[Grouping_ID],0))</f>
        <v>134.68</v>
      </c>
      <c r="AA415" s="102">
        <f>IF(OR(TransTonsShort[[#This Row],[CollectionStream_ID]]="03",TransTonsShort[[#This Row],[CollectionStream_ID]]="04",TransTonsShort[[#This Row],[CollectionStream_ID]]="13"),0,TransTonsShort[[#This Row],[Trans_Tons_All]]*TransTonsShort[[#This Row],[Disposal_Fee]])</f>
        <v>0</v>
      </c>
      <c r="AF415" s="446" t="s">
        <v>1588</v>
      </c>
      <c r="AG415" s="442" t="str">
        <f>LEFT(SecondaryTransport[[#This Row],[Scenario_MRF_Bale_ID]],2)</f>
        <v>S4</v>
      </c>
      <c r="AH415" s="181" t="str">
        <f>LEFT(RIGHT(SecondaryTransport[[#This Row],[Scenario_MRF_Bale_ID]],10),2)</f>
        <v>07</v>
      </c>
      <c r="AI415" s="181" t="str">
        <f>INDEX(MRFs[MRF_Name],MATCH(SecondaryTransport[[#This Row],[MRF_ID]],MRFs[MRF_ID],0))</f>
        <v>1 MRF for DS with fiber and container lines (Portland)</v>
      </c>
      <c r="AJ415" s="181" t="str">
        <f>RIGHT(SecondaryTransport[[#This Row],[Scenario_MRF_Bale_ID]],7)</f>
        <v>1000-04</v>
      </c>
      <c r="AK415" s="181" t="str">
        <f>INDEX(Bales[Bale_Name],MATCH(SecondaryTransport[[#This Row],[Bale_ID]],Bales[Bale_ID],0))</f>
        <v>Sorted office paper and sorted white ledger</v>
      </c>
      <c r="AL415" s="443">
        <f>INDEX(BaleMover[Total_Baled_tons],MATCH(SecondaryTransport[[#This Row],[Scenario_MRF_Bale_ID]],BaleMover[Scenario_MRF_Bale_ID],0))</f>
        <v>0</v>
      </c>
      <c r="AM415" s="443">
        <f>IF(INDEX(BaleMover[Miles],MATCH(SecondaryTransport[[#This Row],[Scenario_MRF_Bale_ID]],BaleMover[Scenario_MRF_Bale_ID],0))="",0,INDEX(BaleMover[Miles],MATCH(SecondaryTransport[[#This Row],[Scenario_MRF_Bale_ID]],BaleMover[Scenario_MRF_Bale_ID],0)))</f>
        <v>0</v>
      </c>
      <c r="AN415" s="251">
        <f>IF(SecondaryTransport[[#This Row],[Bale_ID]]="9000-01","costs elsewhere",SecondaryTransport[[#This Row],[Total_Baled_tons]]*SecondaryTransport[[#This Row],[Miles]])</f>
        <v>0</v>
      </c>
      <c r="AO415" s="352" t="str">
        <f>IF(LEFT(SecondaryTransport[[#This Row],[Bale_ID]],1)*1=5,IF(OR(SecondaryTransport[[#This Row],[MRF_ID]]="02",SecondaryTransport[[#This Row],[MRF_ID]]="08"),2,1),"")</f>
        <v/>
      </c>
      <c r="AP4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5" s="224" t="str">
        <f>IFERROR(IF(1*LEFT(SecondaryTransport[[#This Row],[Bale_ID]],1)=5,SecondaryTransport[[#This Row],[Ton-Miles]]*SecondaryTransport[[#This Row],[Cost_Per_Ton-Mile]],""),"")</f>
        <v/>
      </c>
      <c r="AS415" s="224" t="str">
        <f>IFERROR(IF(SecondaryTransport[[#This Row],[Container_Transfer]]="",(SecondaryTransport[[#This Row],[Ton-Miles]]*SecondaryTransport[[#This Row],[Cost_Per_Ton-Mile]]),""),"")</f>
        <v/>
      </c>
    </row>
    <row r="416" spans="12:45" ht="15" x14ac:dyDescent="0.25">
      <c r="L416" s="446" t="s">
        <v>875</v>
      </c>
      <c r="M416" s="446">
        <v>2</v>
      </c>
      <c r="N416" s="446">
        <v>2</v>
      </c>
      <c r="O416" s="446" t="s">
        <v>746</v>
      </c>
      <c r="P416" s="449" t="s">
        <v>719</v>
      </c>
      <c r="Q416" s="449"/>
      <c r="R416" s="449"/>
      <c r="S416" s="449" t="s">
        <v>762</v>
      </c>
      <c r="T416" s="449" t="s">
        <v>1055</v>
      </c>
      <c r="U416" s="452">
        <v>0</v>
      </c>
      <c r="V4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6" s="272" t="str">
        <f>IFERROR(SUMIFS(TransUnitCost[Miles],TransUnitCost[Grouping_ID],TransTonsShort[[#This Row],[Grouping_ID]],TransUnitCost[Transp_ID],TransTonsShort[[#This Row],[Transp_ID]])*TransTonsShort[[#This Row],[Trans_Tons_All]]/TransTonsShort[[#This Row],[Trans_Tons_All]],"")</f>
        <v/>
      </c>
      <c r="X416" s="386" t="str">
        <f>TransTonsShort[[#This Row],[Grouping_ID]]&amp;"-"&amp;TransTonsShort[[#This Row],[Sector_ID]]</f>
        <v>2-2</v>
      </c>
      <c r="Y4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6" s="421">
        <f>INDEX(LandfillFees[Disposal Tip Fee 2025],MATCH(TransTonsShort[[#This Row],[Grouping_ID]],LandfillFees[Grouping_ID],0))</f>
        <v>72.030938699729589</v>
      </c>
      <c r="AA416" s="102">
        <f>IF(OR(TransTonsShort[[#This Row],[CollectionStream_ID]]="03",TransTonsShort[[#This Row],[CollectionStream_ID]]="04",TransTonsShort[[#This Row],[CollectionStream_ID]]="13"),0,TransTonsShort[[#This Row],[Trans_Tons_All]]*TransTonsShort[[#This Row],[Disposal_Fee]])</f>
        <v>0</v>
      </c>
      <c r="AF416" s="446" t="s">
        <v>1589</v>
      </c>
      <c r="AG416" s="442" t="str">
        <f>LEFT(SecondaryTransport[[#This Row],[Scenario_MRF_Bale_ID]],2)</f>
        <v>S4</v>
      </c>
      <c r="AH416" s="181" t="str">
        <f>LEFT(RIGHT(SecondaryTransport[[#This Row],[Scenario_MRF_Bale_ID]],10),2)</f>
        <v>07</v>
      </c>
      <c r="AI416" s="181" t="str">
        <f>INDEX(MRFs[MRF_Name],MATCH(SecondaryTransport[[#This Row],[MRF_ID]],MRFs[MRF_ID],0))</f>
        <v>1 MRF for DS with fiber and container lines (Portland)</v>
      </c>
      <c r="AJ416" s="181" t="str">
        <f>RIGHT(SecondaryTransport[[#This Row],[Scenario_MRF_Bale_ID]],7)</f>
        <v>1000-05</v>
      </c>
      <c r="AK416" s="181" t="str">
        <f>INDEX(Bales[Bale_Name],MATCH(SecondaryTransport[[#This Row],[Bale_ID]],Bales[Bale_ID],0))</f>
        <v>Mixed paper</v>
      </c>
      <c r="AL416" s="443">
        <f>INDEX(BaleMover[Total_Baled_tons],MATCH(SecondaryTransport[[#This Row],[Scenario_MRF_Bale_ID]],BaleMover[Scenario_MRF_Bale_ID],0))</f>
        <v>20724.187568733865</v>
      </c>
      <c r="AM416" s="443">
        <f>IF(INDEX(BaleMover[Miles],MATCH(SecondaryTransport[[#This Row],[Scenario_MRF_Bale_ID]],BaleMover[Scenario_MRF_Bale_ID],0))="",0,INDEX(BaleMover[Miles],MATCH(SecondaryTransport[[#This Row],[Scenario_MRF_Bale_ID]],BaleMover[Scenario_MRF_Bale_ID],0)))</f>
        <v>50</v>
      </c>
      <c r="AN416" s="251">
        <f>IF(SecondaryTransport[[#This Row],[Bale_ID]]="9000-01","costs elsewhere",SecondaryTransport[[#This Row],[Total_Baled_tons]]*SecondaryTransport[[#This Row],[Miles]])</f>
        <v>1036209.3784366932</v>
      </c>
      <c r="AO416" s="352" t="str">
        <f>IF(LEFT(SecondaryTransport[[#This Row],[Bale_ID]],1)*1=5,IF(OR(SecondaryTransport[[#This Row],[MRF_ID]]="02",SecondaryTransport[[#This Row],[MRF_ID]]="08"),2,1),"")</f>
        <v/>
      </c>
      <c r="AP4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16" s="224" t="str">
        <f>IFERROR(IF(1*LEFT(SecondaryTransport[[#This Row],[Bale_ID]],1)=5,SecondaryTransport[[#This Row],[Ton-Miles]]*SecondaryTransport[[#This Row],[Cost_Per_Ton-Mile]],""),"")</f>
        <v/>
      </c>
      <c r="AS416" s="224">
        <f>IFERROR(IF(SecondaryTransport[[#This Row],[Container_Transfer]]="",(SecondaryTransport[[#This Row],[Ton-Miles]]*SecondaryTransport[[#This Row],[Cost_Per_Ton-Mile]]),""),"")</f>
        <v>321224.90731537488</v>
      </c>
    </row>
    <row r="417" spans="12:45" ht="15" x14ac:dyDescent="0.25">
      <c r="L417" s="446" t="s">
        <v>875</v>
      </c>
      <c r="M417" s="446">
        <v>3</v>
      </c>
      <c r="N417" s="446">
        <v>2</v>
      </c>
      <c r="O417" s="446" t="s">
        <v>746</v>
      </c>
      <c r="P417" s="449" t="s">
        <v>719</v>
      </c>
      <c r="Q417" s="449"/>
      <c r="R417" s="449"/>
      <c r="S417" s="449" t="s">
        <v>762</v>
      </c>
      <c r="T417" s="449" t="s">
        <v>1055</v>
      </c>
      <c r="U417" s="452">
        <v>0</v>
      </c>
      <c r="V4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7" s="272" t="str">
        <f>IFERROR(SUMIFS(TransUnitCost[Miles],TransUnitCost[Grouping_ID],TransTonsShort[[#This Row],[Grouping_ID]],TransUnitCost[Transp_ID],TransTonsShort[[#This Row],[Transp_ID]])*TransTonsShort[[#This Row],[Trans_Tons_All]]/TransTonsShort[[#This Row],[Trans_Tons_All]],"")</f>
        <v/>
      </c>
      <c r="X417" s="386" t="str">
        <f>TransTonsShort[[#This Row],[Grouping_ID]]&amp;"-"&amp;TransTonsShort[[#This Row],[Sector_ID]]</f>
        <v>3-2</v>
      </c>
      <c r="Y4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7" s="421">
        <f>INDEX(LandfillFees[Disposal Tip Fee 2025],MATCH(TransTonsShort[[#This Row],[Grouping_ID]],LandfillFees[Grouping_ID],0))</f>
        <v>72.030938699729589</v>
      </c>
      <c r="AA417" s="102">
        <f>IF(OR(TransTonsShort[[#This Row],[CollectionStream_ID]]="03",TransTonsShort[[#This Row],[CollectionStream_ID]]="04",TransTonsShort[[#This Row],[CollectionStream_ID]]="13"),0,TransTonsShort[[#This Row],[Trans_Tons_All]]*TransTonsShort[[#This Row],[Disposal_Fee]])</f>
        <v>0</v>
      </c>
      <c r="AF417" s="446" t="s">
        <v>1590</v>
      </c>
      <c r="AG417" s="442" t="str">
        <f>LEFT(SecondaryTransport[[#This Row],[Scenario_MRF_Bale_ID]],2)</f>
        <v>S4</v>
      </c>
      <c r="AH417" s="181" t="str">
        <f>LEFT(RIGHT(SecondaryTransport[[#This Row],[Scenario_MRF_Bale_ID]],10),2)</f>
        <v>07</v>
      </c>
      <c r="AI417" s="181" t="str">
        <f>INDEX(MRFs[MRF_Name],MATCH(SecondaryTransport[[#This Row],[MRF_ID]],MRFs[MRF_ID],0))</f>
        <v>1 MRF for DS with fiber and container lines (Portland)</v>
      </c>
      <c r="AJ417" s="181" t="str">
        <f>RIGHT(SecondaryTransport[[#This Row],[Scenario_MRF_Bale_ID]],7)</f>
        <v>1000-06</v>
      </c>
      <c r="AK417" s="181" t="str">
        <f>INDEX(Bales[Bale_Name],MATCH(SecondaryTransport[[#This Row],[Bale_ID]],Bales[Bale_ID],0))</f>
        <v>Paperboard/old boxboard</v>
      </c>
      <c r="AL417" s="443">
        <f>INDEX(BaleMover[Total_Baled_tons],MATCH(SecondaryTransport[[#This Row],[Scenario_MRF_Bale_ID]],BaleMover[Scenario_MRF_Bale_ID],0))</f>
        <v>0</v>
      </c>
      <c r="AM417" s="443">
        <f>IF(INDEX(BaleMover[Miles],MATCH(SecondaryTransport[[#This Row],[Scenario_MRF_Bale_ID]],BaleMover[Scenario_MRF_Bale_ID],0))="",0,INDEX(BaleMover[Miles],MATCH(SecondaryTransport[[#This Row],[Scenario_MRF_Bale_ID]],BaleMover[Scenario_MRF_Bale_ID],0)))</f>
        <v>0</v>
      </c>
      <c r="AN417" s="251">
        <f>IF(SecondaryTransport[[#This Row],[Bale_ID]]="9000-01","costs elsewhere",SecondaryTransport[[#This Row],[Total_Baled_tons]]*SecondaryTransport[[#This Row],[Miles]])</f>
        <v>0</v>
      </c>
      <c r="AO417" s="352" t="str">
        <f>IF(LEFT(SecondaryTransport[[#This Row],[Bale_ID]],1)*1=5,IF(OR(SecondaryTransport[[#This Row],[MRF_ID]]="02",SecondaryTransport[[#This Row],[MRF_ID]]="08"),2,1),"")</f>
        <v/>
      </c>
      <c r="AP4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7" s="224" t="str">
        <f>IFERROR(IF(1*LEFT(SecondaryTransport[[#This Row],[Bale_ID]],1)=5,SecondaryTransport[[#This Row],[Ton-Miles]]*SecondaryTransport[[#This Row],[Cost_Per_Ton-Mile]],""),"")</f>
        <v/>
      </c>
      <c r="AS417" s="224" t="str">
        <f>IFERROR(IF(SecondaryTransport[[#This Row],[Container_Transfer]]="",(SecondaryTransport[[#This Row],[Ton-Miles]]*SecondaryTransport[[#This Row],[Cost_Per_Ton-Mile]]),""),"")</f>
        <v/>
      </c>
    </row>
    <row r="418" spans="12:45" ht="15" x14ac:dyDescent="0.25">
      <c r="L418" s="446" t="s">
        <v>875</v>
      </c>
      <c r="M418" s="446">
        <v>4</v>
      </c>
      <c r="N418" s="446">
        <v>2</v>
      </c>
      <c r="O418" s="446" t="s">
        <v>746</v>
      </c>
      <c r="P418" s="449" t="s">
        <v>719</v>
      </c>
      <c r="Q418" s="449"/>
      <c r="R418" s="449"/>
      <c r="S418" s="449" t="s">
        <v>762</v>
      </c>
      <c r="T418" s="449" t="s">
        <v>1055</v>
      </c>
      <c r="U418" s="452">
        <v>0</v>
      </c>
      <c r="V4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8" s="272" t="str">
        <f>IFERROR(SUMIFS(TransUnitCost[Miles],TransUnitCost[Grouping_ID],TransTonsShort[[#This Row],[Grouping_ID]],TransUnitCost[Transp_ID],TransTonsShort[[#This Row],[Transp_ID]])*TransTonsShort[[#This Row],[Trans_Tons_All]]/TransTonsShort[[#This Row],[Trans_Tons_All]],"")</f>
        <v/>
      </c>
      <c r="X418" s="386" t="str">
        <f>TransTonsShort[[#This Row],[Grouping_ID]]&amp;"-"&amp;TransTonsShort[[#This Row],[Sector_ID]]</f>
        <v>4-2</v>
      </c>
      <c r="Y4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8" s="421">
        <f>INDEX(LandfillFees[Disposal Tip Fee 2025],MATCH(TransTonsShort[[#This Row],[Grouping_ID]],LandfillFees[Grouping_ID],0))</f>
        <v>72.030938699729589</v>
      </c>
      <c r="AA418" s="102">
        <f>IF(OR(TransTonsShort[[#This Row],[CollectionStream_ID]]="03",TransTonsShort[[#This Row],[CollectionStream_ID]]="04",TransTonsShort[[#This Row],[CollectionStream_ID]]="13"),0,TransTonsShort[[#This Row],[Trans_Tons_All]]*TransTonsShort[[#This Row],[Disposal_Fee]])</f>
        <v>0</v>
      </c>
      <c r="AF418" s="446" t="s">
        <v>1591</v>
      </c>
      <c r="AG418" s="442" t="str">
        <f>LEFT(SecondaryTransport[[#This Row],[Scenario_MRF_Bale_ID]],2)</f>
        <v>S4</v>
      </c>
      <c r="AH418" s="181" t="str">
        <f>LEFT(RIGHT(SecondaryTransport[[#This Row],[Scenario_MRF_Bale_ID]],10),2)</f>
        <v>07</v>
      </c>
      <c r="AI418" s="181" t="str">
        <f>INDEX(MRFs[MRF_Name],MATCH(SecondaryTransport[[#This Row],[MRF_ID]],MRFs[MRF_ID],0))</f>
        <v>1 MRF for DS with fiber and container lines (Portland)</v>
      </c>
      <c r="AJ418" s="181" t="str">
        <f>RIGHT(SecondaryTransport[[#This Row],[Scenario_MRF_Bale_ID]],7)</f>
        <v>1000-07</v>
      </c>
      <c r="AK418" s="181" t="str">
        <f>INDEX(Bales[Bale_Name],MATCH(SecondaryTransport[[#This Row],[Bale_ID]],Bales[Bale_ID],0))</f>
        <v>Aseptic and gable-top cartons</v>
      </c>
      <c r="AL418" s="443">
        <f>INDEX(BaleMover[Total_Baled_tons],MATCH(SecondaryTransport[[#This Row],[Scenario_MRF_Bale_ID]],BaleMover[Scenario_MRF_Bale_ID],0))</f>
        <v>1793.3214892142551</v>
      </c>
      <c r="AM418" s="443">
        <f>IF(INDEX(BaleMover[Miles],MATCH(SecondaryTransport[[#This Row],[Scenario_MRF_Bale_ID]],BaleMover[Scenario_MRF_Bale_ID],0))="",0,INDEX(BaleMover[Miles],MATCH(SecondaryTransport[[#This Row],[Scenario_MRF_Bale_ID]],BaleMover[Scenario_MRF_Bale_ID],0)))</f>
        <v>145</v>
      </c>
      <c r="AN418" s="251">
        <f>IF(SecondaryTransport[[#This Row],[Bale_ID]]="9000-01","costs elsewhere",SecondaryTransport[[#This Row],[Total_Baled_tons]]*SecondaryTransport[[#This Row],[Miles]])</f>
        <v>260031.61593606698</v>
      </c>
      <c r="AO418" s="352" t="str">
        <f>IF(LEFT(SecondaryTransport[[#This Row],[Bale_ID]],1)*1=5,IF(OR(SecondaryTransport[[#This Row],[MRF_ID]]="02",SecondaryTransport[[#This Row],[MRF_ID]]="08"),2,1),"")</f>
        <v/>
      </c>
      <c r="AP4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18" s="224" t="str">
        <f>IFERROR(IF(1*LEFT(SecondaryTransport[[#This Row],[Bale_ID]],1)=5,SecondaryTransport[[#This Row],[Ton-Miles]]*SecondaryTransport[[#This Row],[Cost_Per_Ton-Mile]],""),"")</f>
        <v/>
      </c>
      <c r="AS418" s="224">
        <f>IFERROR(IF(SecondaryTransport[[#This Row],[Container_Transfer]]="",(SecondaryTransport[[#This Row],[Ton-Miles]]*SecondaryTransport[[#This Row],[Cost_Per_Ton-Mile]]),""),"")</f>
        <v>49406.007027852727</v>
      </c>
    </row>
    <row r="419" spans="12:45" ht="15" x14ac:dyDescent="0.25">
      <c r="L419" s="446" t="s">
        <v>875</v>
      </c>
      <c r="M419" s="446">
        <v>1</v>
      </c>
      <c r="N419" s="446">
        <v>2</v>
      </c>
      <c r="O419" s="446" t="s">
        <v>746</v>
      </c>
      <c r="P419" s="449" t="s">
        <v>700</v>
      </c>
      <c r="Q419" s="449"/>
      <c r="R419" s="449"/>
      <c r="S419" s="449" t="s">
        <v>762</v>
      </c>
      <c r="T419" s="449" t="s">
        <v>701</v>
      </c>
      <c r="U419" s="452">
        <v>0</v>
      </c>
      <c r="V4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19" s="272" t="str">
        <f>IFERROR(SUMIFS(TransUnitCost[Miles],TransUnitCost[Grouping_ID],TransTonsShort[[#This Row],[Grouping_ID]],TransUnitCost[Transp_ID],TransTonsShort[[#This Row],[Transp_ID]])*TransTonsShort[[#This Row],[Trans_Tons_All]]/TransTonsShort[[#This Row],[Trans_Tons_All]],"")</f>
        <v/>
      </c>
      <c r="X419" s="386" t="str">
        <f>TransTonsShort[[#This Row],[Grouping_ID]]&amp;"-"&amp;TransTonsShort[[#This Row],[Sector_ID]]</f>
        <v>1-2</v>
      </c>
      <c r="Y4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19" s="421">
        <f>INDEX(LandfillFees[Disposal Tip Fee 2025],MATCH(TransTonsShort[[#This Row],[Grouping_ID]],LandfillFees[Grouping_ID],0))</f>
        <v>134.68</v>
      </c>
      <c r="AA419" s="102">
        <f>IF(OR(TransTonsShort[[#This Row],[CollectionStream_ID]]="03",TransTonsShort[[#This Row],[CollectionStream_ID]]="04",TransTonsShort[[#This Row],[CollectionStream_ID]]="13"),0,TransTonsShort[[#This Row],[Trans_Tons_All]]*TransTonsShort[[#This Row],[Disposal_Fee]])</f>
        <v>0</v>
      </c>
      <c r="AF419" s="446" t="s">
        <v>1592</v>
      </c>
      <c r="AG419" s="442" t="str">
        <f>LEFT(SecondaryTransport[[#This Row],[Scenario_MRF_Bale_ID]],2)</f>
        <v>S4</v>
      </c>
      <c r="AH419" s="181" t="str">
        <f>LEFT(RIGHT(SecondaryTransport[[#This Row],[Scenario_MRF_Bale_ID]],10),2)</f>
        <v>07</v>
      </c>
      <c r="AI419" s="181" t="str">
        <f>INDEX(MRFs[MRF_Name],MATCH(SecondaryTransport[[#This Row],[MRF_ID]],MRFs[MRF_ID],0))</f>
        <v>1 MRF for DS with fiber and container lines (Portland)</v>
      </c>
      <c r="AJ419" s="181" t="str">
        <f>RIGHT(SecondaryTransport[[#This Row],[Scenario_MRF_Bale_ID]],7)</f>
        <v>1000-08</v>
      </c>
      <c r="AK419" s="181" t="str">
        <f>INDEX(Bales[Bale_Name],MATCH(SecondaryTransport[[#This Row],[Bale_ID]],Bales[Bale_ID],0))</f>
        <v>Polycoated cups and containers</v>
      </c>
      <c r="AL419" s="443">
        <f>INDEX(BaleMover[Total_Baled_tons],MATCH(SecondaryTransport[[#This Row],[Scenario_MRF_Bale_ID]],BaleMover[Scenario_MRF_Bale_ID],0))</f>
        <v>0</v>
      </c>
      <c r="AM419" s="443">
        <f>IF(INDEX(BaleMover[Miles],MATCH(SecondaryTransport[[#This Row],[Scenario_MRF_Bale_ID]],BaleMover[Scenario_MRF_Bale_ID],0))="",0,INDEX(BaleMover[Miles],MATCH(SecondaryTransport[[#This Row],[Scenario_MRF_Bale_ID]],BaleMover[Scenario_MRF_Bale_ID],0)))</f>
        <v>0</v>
      </c>
      <c r="AN419" s="251">
        <f>IF(SecondaryTransport[[#This Row],[Bale_ID]]="9000-01","costs elsewhere",SecondaryTransport[[#This Row],[Total_Baled_tons]]*SecondaryTransport[[#This Row],[Miles]])</f>
        <v>0</v>
      </c>
      <c r="AO419" s="352" t="str">
        <f>IF(LEFT(SecondaryTransport[[#This Row],[Bale_ID]],1)*1=5,IF(OR(SecondaryTransport[[#This Row],[MRF_ID]]="02",SecondaryTransport[[#This Row],[MRF_ID]]="08"),2,1),"")</f>
        <v/>
      </c>
      <c r="AP4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1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19" s="224" t="str">
        <f>IFERROR(IF(1*LEFT(SecondaryTransport[[#This Row],[Bale_ID]],1)=5,SecondaryTransport[[#This Row],[Ton-Miles]]*SecondaryTransport[[#This Row],[Cost_Per_Ton-Mile]],""),"")</f>
        <v/>
      </c>
      <c r="AS419" s="224" t="str">
        <f>IFERROR(IF(SecondaryTransport[[#This Row],[Container_Transfer]]="",(SecondaryTransport[[#This Row],[Ton-Miles]]*SecondaryTransport[[#This Row],[Cost_Per_Ton-Mile]]),""),"")</f>
        <v/>
      </c>
    </row>
    <row r="420" spans="12:45" ht="15" x14ac:dyDescent="0.25">
      <c r="L420" s="446" t="s">
        <v>875</v>
      </c>
      <c r="M420" s="446">
        <v>2</v>
      </c>
      <c r="N420" s="446">
        <v>2</v>
      </c>
      <c r="O420" s="446" t="s">
        <v>746</v>
      </c>
      <c r="P420" s="449" t="s">
        <v>700</v>
      </c>
      <c r="Q420" s="449"/>
      <c r="R420" s="449"/>
      <c r="S420" s="449" t="s">
        <v>762</v>
      </c>
      <c r="T420" s="449" t="s">
        <v>701</v>
      </c>
      <c r="U420" s="452">
        <v>0</v>
      </c>
      <c r="V4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0" s="272" t="str">
        <f>IFERROR(SUMIFS(TransUnitCost[Miles],TransUnitCost[Grouping_ID],TransTonsShort[[#This Row],[Grouping_ID]],TransUnitCost[Transp_ID],TransTonsShort[[#This Row],[Transp_ID]])*TransTonsShort[[#This Row],[Trans_Tons_All]]/TransTonsShort[[#This Row],[Trans_Tons_All]],"")</f>
        <v/>
      </c>
      <c r="X420" s="386" t="str">
        <f>TransTonsShort[[#This Row],[Grouping_ID]]&amp;"-"&amp;TransTonsShort[[#This Row],[Sector_ID]]</f>
        <v>2-2</v>
      </c>
      <c r="Y4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0" s="421">
        <f>INDEX(LandfillFees[Disposal Tip Fee 2025],MATCH(TransTonsShort[[#This Row],[Grouping_ID]],LandfillFees[Grouping_ID],0))</f>
        <v>72.030938699729589</v>
      </c>
      <c r="AA420" s="102">
        <f>IF(OR(TransTonsShort[[#This Row],[CollectionStream_ID]]="03",TransTonsShort[[#This Row],[CollectionStream_ID]]="04",TransTonsShort[[#This Row],[CollectionStream_ID]]="13"),0,TransTonsShort[[#This Row],[Trans_Tons_All]]*TransTonsShort[[#This Row],[Disposal_Fee]])</f>
        <v>0</v>
      </c>
      <c r="AF420" s="446" t="s">
        <v>1593</v>
      </c>
      <c r="AG420" s="442" t="str">
        <f>LEFT(SecondaryTransport[[#This Row],[Scenario_MRF_Bale_ID]],2)</f>
        <v>S4</v>
      </c>
      <c r="AH420" s="181" t="str">
        <f>LEFT(RIGHT(SecondaryTransport[[#This Row],[Scenario_MRF_Bale_ID]],10),2)</f>
        <v>07</v>
      </c>
      <c r="AI420" s="181" t="str">
        <f>INDEX(MRFs[MRF_Name],MATCH(SecondaryTransport[[#This Row],[MRF_ID]],MRFs[MRF_ID],0))</f>
        <v>1 MRF for DS with fiber and container lines (Portland)</v>
      </c>
      <c r="AJ420" s="181" t="str">
        <f>RIGHT(SecondaryTransport[[#This Row],[Scenario_MRF_Bale_ID]],7)</f>
        <v>2000-01</v>
      </c>
      <c r="AK420" s="181" t="str">
        <f>INDEX(Bales[Bale_Name],MATCH(SecondaryTransport[[#This Row],[Bale_ID]],Bales[Bale_ID],0))</f>
        <v>PET #1 bottles and jars </v>
      </c>
      <c r="AL420" s="443">
        <f>INDEX(BaleMover[Total_Baled_tons],MATCH(SecondaryTransport[[#This Row],[Scenario_MRF_Bale_ID]],BaleMover[Scenario_MRF_Bale_ID],0))</f>
        <v>7006.9514924857158</v>
      </c>
      <c r="AM420" s="443">
        <f>IF(INDEX(BaleMover[Miles],MATCH(SecondaryTransport[[#This Row],[Scenario_MRF_Bale_ID]],BaleMover[Scenario_MRF_Bale_ID],0))="",0,INDEX(BaleMover[Miles],MATCH(SecondaryTransport[[#This Row],[Scenario_MRF_Bale_ID]],BaleMover[Scenario_MRF_Bale_ID],0)))</f>
        <v>30</v>
      </c>
      <c r="AN420" s="251">
        <f>IF(SecondaryTransport[[#This Row],[Bale_ID]]="9000-01","costs elsewhere",SecondaryTransport[[#This Row],[Total_Baled_tons]]*SecondaryTransport[[#This Row],[Miles]])</f>
        <v>210208.54477457146</v>
      </c>
      <c r="AO420" s="352" t="str">
        <f>IF(LEFT(SecondaryTransport[[#This Row],[Bale_ID]],1)*1=5,IF(OR(SecondaryTransport[[#This Row],[MRF_ID]]="02",SecondaryTransport[[#This Row],[MRF_ID]]="08"),2,1),"")</f>
        <v/>
      </c>
      <c r="AP4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2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20" s="224" t="str">
        <f>IFERROR(IF(1*LEFT(SecondaryTransport[[#This Row],[Bale_ID]],1)=5,SecondaryTransport[[#This Row],[Ton-Miles]]*SecondaryTransport[[#This Row],[Cost_Per_Ton-Mile]],""),"")</f>
        <v/>
      </c>
      <c r="AS420" s="224">
        <f>IFERROR(IF(SecondaryTransport[[#This Row],[Container_Transfer]]="",(SecondaryTransport[[#This Row],[Ton-Miles]]*SecondaryTransport[[#This Row],[Cost_Per_Ton-Mile]]),""),"")</f>
        <v>65164.648880117151</v>
      </c>
    </row>
    <row r="421" spans="12:45" ht="15" x14ac:dyDescent="0.25">
      <c r="L421" s="446" t="s">
        <v>875</v>
      </c>
      <c r="M421" s="446">
        <v>3</v>
      </c>
      <c r="N421" s="446">
        <v>2</v>
      </c>
      <c r="O421" s="446" t="s">
        <v>746</v>
      </c>
      <c r="P421" s="449" t="s">
        <v>700</v>
      </c>
      <c r="Q421" s="449"/>
      <c r="R421" s="449"/>
      <c r="S421" s="449" t="s">
        <v>762</v>
      </c>
      <c r="T421" s="449" t="s">
        <v>701</v>
      </c>
      <c r="U421" s="452">
        <v>0</v>
      </c>
      <c r="V4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1" s="272" t="str">
        <f>IFERROR(SUMIFS(TransUnitCost[Miles],TransUnitCost[Grouping_ID],TransTonsShort[[#This Row],[Grouping_ID]],TransUnitCost[Transp_ID],TransTonsShort[[#This Row],[Transp_ID]])*TransTonsShort[[#This Row],[Trans_Tons_All]]/TransTonsShort[[#This Row],[Trans_Tons_All]],"")</f>
        <v/>
      </c>
      <c r="X421" s="386" t="str">
        <f>TransTonsShort[[#This Row],[Grouping_ID]]&amp;"-"&amp;TransTonsShort[[#This Row],[Sector_ID]]</f>
        <v>3-2</v>
      </c>
      <c r="Y4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1" s="421">
        <f>INDEX(LandfillFees[Disposal Tip Fee 2025],MATCH(TransTonsShort[[#This Row],[Grouping_ID]],LandfillFees[Grouping_ID],0))</f>
        <v>72.030938699729589</v>
      </c>
      <c r="AA421" s="102">
        <f>IF(OR(TransTonsShort[[#This Row],[CollectionStream_ID]]="03",TransTonsShort[[#This Row],[CollectionStream_ID]]="04",TransTonsShort[[#This Row],[CollectionStream_ID]]="13"),0,TransTonsShort[[#This Row],[Trans_Tons_All]]*TransTonsShort[[#This Row],[Disposal_Fee]])</f>
        <v>0</v>
      </c>
      <c r="AF421" s="446" t="s">
        <v>1594</v>
      </c>
      <c r="AG421" s="442" t="str">
        <f>LEFT(SecondaryTransport[[#This Row],[Scenario_MRF_Bale_ID]],2)</f>
        <v>S4</v>
      </c>
      <c r="AH421" s="181" t="str">
        <f>LEFT(RIGHT(SecondaryTransport[[#This Row],[Scenario_MRF_Bale_ID]],10),2)</f>
        <v>07</v>
      </c>
      <c r="AI421" s="181" t="str">
        <f>INDEX(MRFs[MRF_Name],MATCH(SecondaryTransport[[#This Row],[MRF_ID]],MRFs[MRF_ID],0))</f>
        <v>1 MRF for DS with fiber and container lines (Portland)</v>
      </c>
      <c r="AJ421" s="181" t="str">
        <f>RIGHT(SecondaryTransport[[#This Row],[Scenario_MRF_Bale_ID]],7)</f>
        <v>2000-02</v>
      </c>
      <c r="AK421" s="181" t="str">
        <f>INDEX(Bales[Bale_Name],MATCH(SecondaryTransport[[#This Row],[Bale_ID]],Bales[Bale_ID],0))</f>
        <v>PET #1 thermoforms and tubs</v>
      </c>
      <c r="AL421" s="443">
        <f>INDEX(BaleMover[Total_Baled_tons],MATCH(SecondaryTransport[[#This Row],[Scenario_MRF_Bale_ID]],BaleMover[Scenario_MRF_Bale_ID],0))</f>
        <v>2778.6647108559764</v>
      </c>
      <c r="AM421" s="443">
        <f>IF(INDEX(BaleMover[Miles],MATCH(SecondaryTransport[[#This Row],[Scenario_MRF_Bale_ID]],BaleMover[Scenario_MRF_Bale_ID],0))="",0,INDEX(BaleMover[Miles],MATCH(SecondaryTransport[[#This Row],[Scenario_MRF_Bale_ID]],BaleMover[Scenario_MRF_Bale_ID],0)))</f>
        <v>960</v>
      </c>
      <c r="AN421" s="251">
        <f>IF(SecondaryTransport[[#This Row],[Bale_ID]]="9000-01","costs elsewhere",SecondaryTransport[[#This Row],[Total_Baled_tons]]*SecondaryTransport[[#This Row],[Miles]])</f>
        <v>2667518.1224217373</v>
      </c>
      <c r="AO421" s="352" t="str">
        <f>IF(LEFT(SecondaryTransport[[#This Row],[Bale_ID]],1)*1=5,IF(OR(SecondaryTransport[[#This Row],[MRF_ID]]="02",SecondaryTransport[[#This Row],[MRF_ID]]="08"),2,1),"")</f>
        <v/>
      </c>
      <c r="AP4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2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21" s="224" t="str">
        <f>IFERROR(IF(1*LEFT(SecondaryTransport[[#This Row],[Bale_ID]],1)=5,SecondaryTransport[[#This Row],[Ton-Miles]]*SecondaryTransport[[#This Row],[Cost_Per_Ton-Mile]],""),"")</f>
        <v/>
      </c>
      <c r="AS421" s="224">
        <f>IFERROR(IF(SecondaryTransport[[#This Row],[Container_Transfer]]="",(SecondaryTransport[[#This Row],[Ton-Miles]]*SecondaryTransport[[#This Row],[Cost_Per_Ton-Mile]]),""),"")</f>
        <v>373452.53713904327</v>
      </c>
    </row>
    <row r="422" spans="12:45" ht="15" x14ac:dyDescent="0.25">
      <c r="L422" s="446" t="s">
        <v>875</v>
      </c>
      <c r="M422" s="446">
        <v>4</v>
      </c>
      <c r="N422" s="446">
        <v>2</v>
      </c>
      <c r="O422" s="446" t="s">
        <v>746</v>
      </c>
      <c r="P422" s="449" t="s">
        <v>700</v>
      </c>
      <c r="Q422" s="449"/>
      <c r="R422" s="449"/>
      <c r="S422" s="449" t="s">
        <v>762</v>
      </c>
      <c r="T422" s="449" t="s">
        <v>701</v>
      </c>
      <c r="U422" s="452">
        <v>0</v>
      </c>
      <c r="V4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2" s="272" t="str">
        <f>IFERROR(SUMIFS(TransUnitCost[Miles],TransUnitCost[Grouping_ID],TransTonsShort[[#This Row],[Grouping_ID]],TransUnitCost[Transp_ID],TransTonsShort[[#This Row],[Transp_ID]])*TransTonsShort[[#This Row],[Trans_Tons_All]]/TransTonsShort[[#This Row],[Trans_Tons_All]],"")</f>
        <v/>
      </c>
      <c r="X422" s="386" t="str">
        <f>TransTonsShort[[#This Row],[Grouping_ID]]&amp;"-"&amp;TransTonsShort[[#This Row],[Sector_ID]]</f>
        <v>4-2</v>
      </c>
      <c r="Y4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2" s="421">
        <f>INDEX(LandfillFees[Disposal Tip Fee 2025],MATCH(TransTonsShort[[#This Row],[Grouping_ID]],LandfillFees[Grouping_ID],0))</f>
        <v>72.030938699729589</v>
      </c>
      <c r="AA422" s="102">
        <f>IF(OR(TransTonsShort[[#This Row],[CollectionStream_ID]]="03",TransTonsShort[[#This Row],[CollectionStream_ID]]="04",TransTonsShort[[#This Row],[CollectionStream_ID]]="13"),0,TransTonsShort[[#This Row],[Trans_Tons_All]]*TransTonsShort[[#This Row],[Disposal_Fee]])</f>
        <v>0</v>
      </c>
      <c r="AF422" s="446" t="s">
        <v>1595</v>
      </c>
      <c r="AG422" s="442" t="str">
        <f>LEFT(SecondaryTransport[[#This Row],[Scenario_MRF_Bale_ID]],2)</f>
        <v>S4</v>
      </c>
      <c r="AH422" s="181" t="str">
        <f>LEFT(RIGHT(SecondaryTransport[[#This Row],[Scenario_MRF_Bale_ID]],10),2)</f>
        <v>07</v>
      </c>
      <c r="AI422" s="181" t="str">
        <f>INDEX(MRFs[MRF_Name],MATCH(SecondaryTransport[[#This Row],[MRF_ID]],MRFs[MRF_ID],0))</f>
        <v>1 MRF for DS with fiber and container lines (Portland)</v>
      </c>
      <c r="AJ422" s="181" t="str">
        <f>RIGHT(SecondaryTransport[[#This Row],[Scenario_MRF_Bale_ID]],7)</f>
        <v>2000-03</v>
      </c>
      <c r="AK422" s="181" t="str">
        <f>INDEX(Bales[Bale_Name],MATCH(SecondaryTransport[[#This Row],[Bale_ID]],Bales[Bale_ID],0))</f>
        <v>HDPE #2 natural bottles </v>
      </c>
      <c r="AL422" s="443">
        <f>INDEX(BaleMover[Total_Baled_tons],MATCH(SecondaryTransport[[#This Row],[Scenario_MRF_Bale_ID]],BaleMover[Scenario_MRF_Bale_ID],0))</f>
        <v>2080.5836831490396</v>
      </c>
      <c r="AM422" s="443">
        <f>IF(INDEX(BaleMover[Miles],MATCH(SecondaryTransport[[#This Row],[Scenario_MRF_Bale_ID]],BaleMover[Scenario_MRF_Bale_ID],0))="",0,INDEX(BaleMover[Miles],MATCH(SecondaryTransport[[#This Row],[Scenario_MRF_Bale_ID]],BaleMover[Scenario_MRF_Bale_ID],0)))</f>
        <v>315</v>
      </c>
      <c r="AN422" s="251">
        <f>IF(SecondaryTransport[[#This Row],[Bale_ID]]="9000-01","costs elsewhere",SecondaryTransport[[#This Row],[Total_Baled_tons]]*SecondaryTransport[[#This Row],[Miles]])</f>
        <v>655383.86019194743</v>
      </c>
      <c r="AO422" s="352" t="str">
        <f>IF(LEFT(SecondaryTransport[[#This Row],[Bale_ID]],1)*1=5,IF(OR(SecondaryTransport[[#This Row],[MRF_ID]]="02",SecondaryTransport[[#This Row],[MRF_ID]]="08"),2,1),"")</f>
        <v/>
      </c>
      <c r="AP4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2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22" s="224" t="str">
        <f>IFERROR(IF(1*LEFT(SecondaryTransport[[#This Row],[Bale_ID]],1)=5,SecondaryTransport[[#This Row],[Ton-Miles]]*SecondaryTransport[[#This Row],[Cost_Per_Ton-Mile]],""),"")</f>
        <v/>
      </c>
      <c r="AS422" s="224">
        <f>IFERROR(IF(SecondaryTransport[[#This Row],[Container_Transfer]]="",(SecondaryTransport[[#This Row],[Ton-Miles]]*SecondaryTransport[[#This Row],[Cost_Per_Ton-Mile]]),""),"")</f>
        <v>91753.740426872653</v>
      </c>
    </row>
    <row r="423" spans="12:45" ht="15" x14ac:dyDescent="0.25">
      <c r="L423" s="446" t="s">
        <v>875</v>
      </c>
      <c r="M423" s="446">
        <v>1</v>
      </c>
      <c r="N423" s="446">
        <v>2</v>
      </c>
      <c r="O423" s="446" t="s">
        <v>746</v>
      </c>
      <c r="P423" s="449" t="s">
        <v>746</v>
      </c>
      <c r="Q423" s="449"/>
      <c r="R423" s="449"/>
      <c r="S423" s="449" t="s">
        <v>762</v>
      </c>
      <c r="T423" s="449" t="s">
        <v>848</v>
      </c>
      <c r="U423" s="452">
        <v>0</v>
      </c>
      <c r="V4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3" s="272" t="str">
        <f>IFERROR(SUMIFS(TransUnitCost[Miles],TransUnitCost[Grouping_ID],TransTonsShort[[#This Row],[Grouping_ID]],TransUnitCost[Transp_ID],TransTonsShort[[#This Row],[Transp_ID]])*TransTonsShort[[#This Row],[Trans_Tons_All]]/TransTonsShort[[#This Row],[Trans_Tons_All]],"")</f>
        <v/>
      </c>
      <c r="X423" s="386" t="str">
        <f>TransTonsShort[[#This Row],[Grouping_ID]]&amp;"-"&amp;TransTonsShort[[#This Row],[Sector_ID]]</f>
        <v>1-2</v>
      </c>
      <c r="Y4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3" s="421">
        <f>INDEX(LandfillFees[Disposal Tip Fee 2025],MATCH(TransTonsShort[[#This Row],[Grouping_ID]],LandfillFees[Grouping_ID],0))</f>
        <v>134.68</v>
      </c>
      <c r="AA423" s="102">
        <f>IF(OR(TransTonsShort[[#This Row],[CollectionStream_ID]]="03",TransTonsShort[[#This Row],[CollectionStream_ID]]="04",TransTonsShort[[#This Row],[CollectionStream_ID]]="13"),0,TransTonsShort[[#This Row],[Trans_Tons_All]]*TransTonsShort[[#This Row],[Disposal_Fee]])</f>
        <v>0</v>
      </c>
      <c r="AF423" s="446" t="s">
        <v>1596</v>
      </c>
      <c r="AG423" s="442" t="str">
        <f>LEFT(SecondaryTransport[[#This Row],[Scenario_MRF_Bale_ID]],2)</f>
        <v>S4</v>
      </c>
      <c r="AH423" s="181" t="str">
        <f>LEFT(RIGHT(SecondaryTransport[[#This Row],[Scenario_MRF_Bale_ID]],10),2)</f>
        <v>07</v>
      </c>
      <c r="AI423" s="181" t="str">
        <f>INDEX(MRFs[MRF_Name],MATCH(SecondaryTransport[[#This Row],[MRF_ID]],MRFs[MRF_ID],0))</f>
        <v>1 MRF for DS with fiber and container lines (Portland)</v>
      </c>
      <c r="AJ423" s="181" t="str">
        <f>RIGHT(SecondaryTransport[[#This Row],[Scenario_MRF_Bale_ID]],7)</f>
        <v>2000-04</v>
      </c>
      <c r="AK423" s="181" t="str">
        <f>INDEX(Bales[Bale_Name],MATCH(SecondaryTransport[[#This Row],[Bale_ID]],Bales[Bale_ID],0))</f>
        <v>HDPE #2 colored bottles </v>
      </c>
      <c r="AL423" s="443">
        <f>INDEX(BaleMover[Total_Baled_tons],MATCH(SecondaryTransport[[#This Row],[Scenario_MRF_Bale_ID]],BaleMover[Scenario_MRF_Bale_ID],0))</f>
        <v>2860.8025643299288</v>
      </c>
      <c r="AM423" s="443">
        <f>IF(INDEX(BaleMover[Miles],MATCH(SecondaryTransport[[#This Row],[Scenario_MRF_Bale_ID]],BaleMover[Scenario_MRF_Bale_ID],0))="",0,INDEX(BaleMover[Miles],MATCH(SecondaryTransport[[#This Row],[Scenario_MRF_Bale_ID]],BaleMover[Scenario_MRF_Bale_ID],0)))</f>
        <v>315</v>
      </c>
      <c r="AN423" s="251">
        <f>IF(SecondaryTransport[[#This Row],[Bale_ID]]="9000-01","costs elsewhere",SecondaryTransport[[#This Row],[Total_Baled_tons]]*SecondaryTransport[[#This Row],[Miles]])</f>
        <v>901152.80776392762</v>
      </c>
      <c r="AO423" s="352" t="str">
        <f>IF(LEFT(SecondaryTransport[[#This Row],[Bale_ID]],1)*1=5,IF(OR(SecondaryTransport[[#This Row],[MRF_ID]]="02",SecondaryTransport[[#This Row],[MRF_ID]]="08"),2,1),"")</f>
        <v/>
      </c>
      <c r="AP4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23" s="224" t="str">
        <f>IFERROR(IF(1*LEFT(SecondaryTransport[[#This Row],[Bale_ID]],1)=5,SecondaryTransport[[#This Row],[Ton-Miles]]*SecondaryTransport[[#This Row],[Cost_Per_Ton-Mile]],""),"")</f>
        <v/>
      </c>
      <c r="AS423" s="224">
        <f>IFERROR(IF(SecondaryTransport[[#This Row],[Container_Transfer]]="",(SecondaryTransport[[#This Row],[Ton-Miles]]*SecondaryTransport[[#This Row],[Cost_Per_Ton-Mile]]),""),"")</f>
        <v>126161.39308694987</v>
      </c>
    </row>
    <row r="424" spans="12:45" ht="15" x14ac:dyDescent="0.25">
      <c r="L424" s="446" t="s">
        <v>875</v>
      </c>
      <c r="M424" s="446">
        <v>2</v>
      </c>
      <c r="N424" s="446">
        <v>2</v>
      </c>
      <c r="O424" s="446" t="s">
        <v>746</v>
      </c>
      <c r="P424" s="449" t="s">
        <v>746</v>
      </c>
      <c r="Q424" s="449"/>
      <c r="R424" s="449"/>
      <c r="S424" s="449" t="s">
        <v>762</v>
      </c>
      <c r="T424" s="449" t="s">
        <v>848</v>
      </c>
      <c r="U424" s="452">
        <v>0</v>
      </c>
      <c r="V4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4" s="272" t="str">
        <f>IFERROR(SUMIFS(TransUnitCost[Miles],TransUnitCost[Grouping_ID],TransTonsShort[[#This Row],[Grouping_ID]],TransUnitCost[Transp_ID],TransTonsShort[[#This Row],[Transp_ID]])*TransTonsShort[[#This Row],[Trans_Tons_All]]/TransTonsShort[[#This Row],[Trans_Tons_All]],"")</f>
        <v/>
      </c>
      <c r="X424" s="386" t="str">
        <f>TransTonsShort[[#This Row],[Grouping_ID]]&amp;"-"&amp;TransTonsShort[[#This Row],[Sector_ID]]</f>
        <v>2-2</v>
      </c>
      <c r="Y4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4" s="421">
        <f>INDEX(LandfillFees[Disposal Tip Fee 2025],MATCH(TransTonsShort[[#This Row],[Grouping_ID]],LandfillFees[Grouping_ID],0))</f>
        <v>72.030938699729589</v>
      </c>
      <c r="AA424" s="102">
        <f>IF(OR(TransTonsShort[[#This Row],[CollectionStream_ID]]="03",TransTonsShort[[#This Row],[CollectionStream_ID]]="04",TransTonsShort[[#This Row],[CollectionStream_ID]]="13"),0,TransTonsShort[[#This Row],[Trans_Tons_All]]*TransTonsShort[[#This Row],[Disposal_Fee]])</f>
        <v>0</v>
      </c>
      <c r="AF424" s="446" t="s">
        <v>1597</v>
      </c>
      <c r="AG424" s="442" t="str">
        <f>LEFT(SecondaryTransport[[#This Row],[Scenario_MRF_Bale_ID]],2)</f>
        <v>S4</v>
      </c>
      <c r="AH424" s="181" t="str">
        <f>LEFT(RIGHT(SecondaryTransport[[#This Row],[Scenario_MRF_Bale_ID]],10),2)</f>
        <v>07</v>
      </c>
      <c r="AI424" s="181" t="str">
        <f>INDEX(MRFs[MRF_Name],MATCH(SecondaryTransport[[#This Row],[MRF_ID]],MRFs[MRF_ID],0))</f>
        <v>1 MRF for DS with fiber and container lines (Portland)</v>
      </c>
      <c r="AJ424" s="181" t="str">
        <f>RIGHT(SecondaryTransport[[#This Row],[Scenario_MRF_Bale_ID]],7)</f>
        <v>2000-05</v>
      </c>
      <c r="AK424" s="181" t="str">
        <f>INDEX(Bales[Bale_Name],MATCH(SecondaryTransport[[#This Row],[Bale_ID]],Bales[Bale_ID],0))</f>
        <v>HDPE #2 and PP #5 tubs </v>
      </c>
      <c r="AL424" s="443">
        <f>INDEX(BaleMover[Total_Baled_tons],MATCH(SecondaryTransport[[#This Row],[Scenario_MRF_Bale_ID]],BaleMover[Scenario_MRF_Bale_ID],0))</f>
        <v>1386.2208327467258</v>
      </c>
      <c r="AM424" s="443">
        <f>IF(INDEX(BaleMover[Miles],MATCH(SecondaryTransport[[#This Row],[Scenario_MRF_Bale_ID]],BaleMover[Scenario_MRF_Bale_ID],0))="",0,INDEX(BaleMover[Miles],MATCH(SecondaryTransport[[#This Row],[Scenario_MRF_Bale_ID]],BaleMover[Scenario_MRF_Bale_ID],0)))</f>
        <v>20</v>
      </c>
      <c r="AN424" s="251">
        <f>IF(SecondaryTransport[[#This Row],[Bale_ID]]="9000-01","costs elsewhere",SecondaryTransport[[#This Row],[Total_Baled_tons]]*SecondaryTransport[[#This Row],[Miles]])</f>
        <v>27724.416654934517</v>
      </c>
      <c r="AO424" s="352" t="str">
        <f>IF(LEFT(SecondaryTransport[[#This Row],[Bale_ID]],1)*1=5,IF(OR(SecondaryTransport[[#This Row],[MRF_ID]]="02",SecondaryTransport[[#This Row],[MRF_ID]]="08"),2,1),"")</f>
        <v/>
      </c>
      <c r="AP4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24" s="224" t="str">
        <f>IFERROR(IF(1*LEFT(SecondaryTransport[[#This Row],[Bale_ID]],1)=5,SecondaryTransport[[#This Row],[Ton-Miles]]*SecondaryTransport[[#This Row],[Cost_Per_Ton-Mile]],""),"")</f>
        <v/>
      </c>
      <c r="AS424" s="224">
        <f>IFERROR(IF(SecondaryTransport[[#This Row],[Container_Transfer]]="",(SecondaryTransport[[#This Row],[Ton-Miles]]*SecondaryTransport[[#This Row],[Cost_Per_Ton-Mile]]),""),"")</f>
        <v>8594.5691630297006</v>
      </c>
    </row>
    <row r="425" spans="12:45" ht="15" x14ac:dyDescent="0.25">
      <c r="L425" s="446" t="s">
        <v>875</v>
      </c>
      <c r="M425" s="446">
        <v>3</v>
      </c>
      <c r="N425" s="446">
        <v>2</v>
      </c>
      <c r="O425" s="446" t="s">
        <v>746</v>
      </c>
      <c r="P425" s="449" t="s">
        <v>746</v>
      </c>
      <c r="Q425" s="449"/>
      <c r="R425" s="449"/>
      <c r="S425" s="449" t="s">
        <v>762</v>
      </c>
      <c r="T425" s="449" t="s">
        <v>848</v>
      </c>
      <c r="U425" s="452">
        <v>0</v>
      </c>
      <c r="V4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5" s="272" t="str">
        <f>IFERROR(SUMIFS(TransUnitCost[Miles],TransUnitCost[Grouping_ID],TransTonsShort[[#This Row],[Grouping_ID]],TransUnitCost[Transp_ID],TransTonsShort[[#This Row],[Transp_ID]])*TransTonsShort[[#This Row],[Trans_Tons_All]]/TransTonsShort[[#This Row],[Trans_Tons_All]],"")</f>
        <v/>
      </c>
      <c r="X425" s="386" t="str">
        <f>TransTonsShort[[#This Row],[Grouping_ID]]&amp;"-"&amp;TransTonsShort[[#This Row],[Sector_ID]]</f>
        <v>3-2</v>
      </c>
      <c r="Y4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5" s="421">
        <f>INDEX(LandfillFees[Disposal Tip Fee 2025],MATCH(TransTonsShort[[#This Row],[Grouping_ID]],LandfillFees[Grouping_ID],0))</f>
        <v>72.030938699729589</v>
      </c>
      <c r="AA425" s="102">
        <f>IF(OR(TransTonsShort[[#This Row],[CollectionStream_ID]]="03",TransTonsShort[[#This Row],[CollectionStream_ID]]="04",TransTonsShort[[#This Row],[CollectionStream_ID]]="13"),0,TransTonsShort[[#This Row],[Trans_Tons_All]]*TransTonsShort[[#This Row],[Disposal_Fee]])</f>
        <v>0</v>
      </c>
      <c r="AF425" s="446" t="s">
        <v>1598</v>
      </c>
      <c r="AG425" s="442" t="str">
        <f>LEFT(SecondaryTransport[[#This Row],[Scenario_MRF_Bale_ID]],2)</f>
        <v>S4</v>
      </c>
      <c r="AH425" s="181" t="str">
        <f>LEFT(RIGHT(SecondaryTransport[[#This Row],[Scenario_MRF_Bale_ID]],10),2)</f>
        <v>07</v>
      </c>
      <c r="AI425" s="181" t="str">
        <f>INDEX(MRFs[MRF_Name],MATCH(SecondaryTransport[[#This Row],[MRF_ID]],MRFs[MRF_ID],0))</f>
        <v>1 MRF for DS with fiber and container lines (Portland)</v>
      </c>
      <c r="AJ425" s="181" t="str">
        <f>RIGHT(SecondaryTransport[[#This Row],[Scenario_MRF_Bale_ID]],7)</f>
        <v>2000-07</v>
      </c>
      <c r="AK425" s="181" t="str">
        <f>INDEX(Bales[Bale_Name],MATCH(SecondaryTransport[[#This Row],[Bale_ID]],Bales[Bale_ID],0))</f>
        <v>PE clear film</v>
      </c>
      <c r="AL425" s="443">
        <f>INDEX(BaleMover[Total_Baled_tons],MATCH(SecondaryTransport[[#This Row],[Scenario_MRF_Bale_ID]],BaleMover[Scenario_MRF_Bale_ID],0))</f>
        <v>0</v>
      </c>
      <c r="AM425" s="443">
        <f>IF(INDEX(BaleMover[Miles],MATCH(SecondaryTransport[[#This Row],[Scenario_MRF_Bale_ID]],BaleMover[Scenario_MRF_Bale_ID],0))="",0,INDEX(BaleMover[Miles],MATCH(SecondaryTransport[[#This Row],[Scenario_MRF_Bale_ID]],BaleMover[Scenario_MRF_Bale_ID],0)))</f>
        <v>0</v>
      </c>
      <c r="AN425" s="251">
        <f>IF(SecondaryTransport[[#This Row],[Bale_ID]]="9000-01","costs elsewhere",SecondaryTransport[[#This Row],[Total_Baled_tons]]*SecondaryTransport[[#This Row],[Miles]])</f>
        <v>0</v>
      </c>
      <c r="AO425" s="352" t="str">
        <f>IF(LEFT(SecondaryTransport[[#This Row],[Bale_ID]],1)*1=5,IF(OR(SecondaryTransport[[#This Row],[MRF_ID]]="02",SecondaryTransport[[#This Row],[MRF_ID]]="08"),2,1),"")</f>
        <v/>
      </c>
      <c r="AP4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2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25" s="224" t="str">
        <f>IFERROR(IF(1*LEFT(SecondaryTransport[[#This Row],[Bale_ID]],1)=5,SecondaryTransport[[#This Row],[Ton-Miles]]*SecondaryTransport[[#This Row],[Cost_Per_Ton-Mile]],""),"")</f>
        <v/>
      </c>
      <c r="AS425" s="224" t="str">
        <f>IFERROR(IF(SecondaryTransport[[#This Row],[Container_Transfer]]="",(SecondaryTransport[[#This Row],[Ton-Miles]]*SecondaryTransport[[#This Row],[Cost_Per_Ton-Mile]]),""),"")</f>
        <v/>
      </c>
    </row>
    <row r="426" spans="12:45" ht="15" x14ac:dyDescent="0.25">
      <c r="L426" s="446" t="s">
        <v>875</v>
      </c>
      <c r="M426" s="446">
        <v>4</v>
      </c>
      <c r="N426" s="446">
        <v>2</v>
      </c>
      <c r="O426" s="446" t="s">
        <v>746</v>
      </c>
      <c r="P426" s="449" t="s">
        <v>746</v>
      </c>
      <c r="Q426" s="449"/>
      <c r="R426" s="449"/>
      <c r="S426" s="449" t="s">
        <v>762</v>
      </c>
      <c r="T426" s="449" t="s">
        <v>848</v>
      </c>
      <c r="U426" s="452">
        <v>0</v>
      </c>
      <c r="V4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26" s="272" t="str">
        <f>IFERROR(SUMIFS(TransUnitCost[Miles],TransUnitCost[Grouping_ID],TransTonsShort[[#This Row],[Grouping_ID]],TransUnitCost[Transp_ID],TransTonsShort[[#This Row],[Transp_ID]])*TransTonsShort[[#This Row],[Trans_Tons_All]]/TransTonsShort[[#This Row],[Trans_Tons_All]],"")</f>
        <v/>
      </c>
      <c r="X426" s="386" t="str">
        <f>TransTonsShort[[#This Row],[Grouping_ID]]&amp;"-"&amp;TransTonsShort[[#This Row],[Sector_ID]]</f>
        <v>4-2</v>
      </c>
      <c r="Y4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26" s="421">
        <f>INDEX(LandfillFees[Disposal Tip Fee 2025],MATCH(TransTonsShort[[#This Row],[Grouping_ID]],LandfillFees[Grouping_ID],0))</f>
        <v>72.030938699729589</v>
      </c>
      <c r="AA426" s="102">
        <f>IF(OR(TransTonsShort[[#This Row],[CollectionStream_ID]]="03",TransTonsShort[[#This Row],[CollectionStream_ID]]="04",TransTonsShort[[#This Row],[CollectionStream_ID]]="13"),0,TransTonsShort[[#This Row],[Trans_Tons_All]]*TransTonsShort[[#This Row],[Disposal_Fee]])</f>
        <v>0</v>
      </c>
      <c r="AF426" s="446" t="s">
        <v>1599</v>
      </c>
      <c r="AG426" s="442" t="str">
        <f>LEFT(SecondaryTransport[[#This Row],[Scenario_MRF_Bale_ID]],2)</f>
        <v>S4</v>
      </c>
      <c r="AH426" s="181" t="str">
        <f>LEFT(RIGHT(SecondaryTransport[[#This Row],[Scenario_MRF_Bale_ID]],10),2)</f>
        <v>07</v>
      </c>
      <c r="AI426" s="181" t="str">
        <f>INDEX(MRFs[MRF_Name],MATCH(SecondaryTransport[[#This Row],[MRF_ID]],MRFs[MRF_ID],0))</f>
        <v>1 MRF for DS with fiber and container lines (Portland)</v>
      </c>
      <c r="AJ426" s="181" t="str">
        <f>RIGHT(SecondaryTransport[[#This Row],[Scenario_MRF_Bale_ID]],7)</f>
        <v>2000-08</v>
      </c>
      <c r="AK426" s="181" t="str">
        <f>INDEX(Bales[Bale_Name],MATCH(SecondaryTransport[[#This Row],[Bale_ID]],Bales[Bale_ID],0))</f>
        <v>PE colored film</v>
      </c>
      <c r="AL426" s="443">
        <f>INDEX(BaleMover[Total_Baled_tons],MATCH(SecondaryTransport[[#This Row],[Scenario_MRF_Bale_ID]],BaleMover[Scenario_MRF_Bale_ID],0))</f>
        <v>0</v>
      </c>
      <c r="AM426" s="443">
        <f>IF(INDEX(BaleMover[Miles],MATCH(SecondaryTransport[[#This Row],[Scenario_MRF_Bale_ID]],BaleMover[Scenario_MRF_Bale_ID],0))="",0,INDEX(BaleMover[Miles],MATCH(SecondaryTransport[[#This Row],[Scenario_MRF_Bale_ID]],BaleMover[Scenario_MRF_Bale_ID],0)))</f>
        <v>0</v>
      </c>
      <c r="AN426" s="251">
        <f>IF(SecondaryTransport[[#This Row],[Bale_ID]]="9000-01","costs elsewhere",SecondaryTransport[[#This Row],[Total_Baled_tons]]*SecondaryTransport[[#This Row],[Miles]])</f>
        <v>0</v>
      </c>
      <c r="AO426" s="352" t="str">
        <f>IF(LEFT(SecondaryTransport[[#This Row],[Bale_ID]],1)*1=5,IF(OR(SecondaryTransport[[#This Row],[MRF_ID]]="02",SecondaryTransport[[#This Row],[MRF_ID]]="08"),2,1),"")</f>
        <v/>
      </c>
      <c r="AP4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2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26" s="224" t="str">
        <f>IFERROR(IF(1*LEFT(SecondaryTransport[[#This Row],[Bale_ID]],1)=5,SecondaryTransport[[#This Row],[Ton-Miles]]*SecondaryTransport[[#This Row],[Cost_Per_Ton-Mile]],""),"")</f>
        <v/>
      </c>
      <c r="AS426" s="224" t="str">
        <f>IFERROR(IF(SecondaryTransport[[#This Row],[Container_Transfer]]="",(SecondaryTransport[[#This Row],[Ton-Miles]]*SecondaryTransport[[#This Row],[Cost_Per_Ton-Mile]]),""),"")</f>
        <v/>
      </c>
    </row>
    <row r="427" spans="12:45" ht="15" x14ac:dyDescent="0.25">
      <c r="L427" s="446" t="s">
        <v>875</v>
      </c>
      <c r="M427" s="446">
        <v>1</v>
      </c>
      <c r="N427" s="446">
        <v>2</v>
      </c>
      <c r="O427" s="446" t="s">
        <v>706</v>
      </c>
      <c r="P427" s="450" t="s">
        <v>739</v>
      </c>
      <c r="Q427" s="450"/>
      <c r="R427" s="450"/>
      <c r="S427" s="449" t="s">
        <v>707</v>
      </c>
      <c r="T427" s="449" t="s">
        <v>1121</v>
      </c>
      <c r="U427" s="452">
        <v>1828.0007943083401</v>
      </c>
      <c r="V4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35463.215409581797</v>
      </c>
      <c r="W427" s="272">
        <f>IFERROR(SUMIFS(TransUnitCost[Miles],TransUnitCost[Grouping_ID],TransTonsShort[[#This Row],[Grouping_ID]],TransUnitCost[Transp_ID],TransTonsShort[[#This Row],[Transp_ID]])*TransTonsShort[[#This Row],[Trans_Tons_All]]/TransTonsShort[[#This Row],[Trans_Tons_All]],"")</f>
        <v>20</v>
      </c>
      <c r="X427" s="386" t="str">
        <f>TransTonsShort[[#This Row],[Grouping_ID]]&amp;"-"&amp;TransTonsShort[[#This Row],[Sector_ID]]</f>
        <v>1-2</v>
      </c>
      <c r="Y4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27" s="421">
        <f>INDEX(LandfillFees[Disposal Tip Fee 2025],MATCH(TransTonsShort[[#This Row],[Grouping_ID]],LandfillFees[Grouping_ID],0))</f>
        <v>134.68</v>
      </c>
      <c r="AA427" s="102">
        <f>IF(OR(TransTonsShort[[#This Row],[CollectionStream_ID]]="03",TransTonsShort[[#This Row],[CollectionStream_ID]]="04",TransTonsShort[[#This Row],[CollectionStream_ID]]="13"),0,TransTonsShort[[#This Row],[Trans_Tons_All]]*TransTonsShort[[#This Row],[Disposal_Fee]])</f>
        <v>246195.14697744726</v>
      </c>
      <c r="AF427" s="446" t="s">
        <v>1600</v>
      </c>
      <c r="AG427" s="442" t="str">
        <f>LEFT(SecondaryTransport[[#This Row],[Scenario_MRF_Bale_ID]],2)</f>
        <v>S4</v>
      </c>
      <c r="AH427" s="181" t="str">
        <f>LEFT(RIGHT(SecondaryTransport[[#This Row],[Scenario_MRF_Bale_ID]],10),2)</f>
        <v>07</v>
      </c>
      <c r="AI427" s="181" t="str">
        <f>INDEX(MRFs[MRF_Name],MATCH(SecondaryTransport[[#This Row],[MRF_ID]],MRFs[MRF_ID],0))</f>
        <v>1 MRF for DS with fiber and container lines (Portland)</v>
      </c>
      <c r="AJ427" s="181" t="str">
        <f>RIGHT(SecondaryTransport[[#This Row],[Scenario_MRF_Bale_ID]],7)</f>
        <v>2000-09</v>
      </c>
      <c r="AK427" s="181" t="str">
        <f>INDEX(Bales[Bale_Name],MATCH(SecondaryTransport[[#This Row],[Bale_ID]],Bales[Bale_ID],0))</f>
        <v>PE retail mix film</v>
      </c>
      <c r="AL427" s="443">
        <f>INDEX(BaleMover[Total_Baled_tons],MATCH(SecondaryTransport[[#This Row],[Scenario_MRF_Bale_ID]],BaleMover[Scenario_MRF_Bale_ID],0))</f>
        <v>0</v>
      </c>
      <c r="AM427" s="443">
        <f>IF(INDEX(BaleMover[Miles],MATCH(SecondaryTransport[[#This Row],[Scenario_MRF_Bale_ID]],BaleMover[Scenario_MRF_Bale_ID],0))="",0,INDEX(BaleMover[Miles],MATCH(SecondaryTransport[[#This Row],[Scenario_MRF_Bale_ID]],BaleMover[Scenario_MRF_Bale_ID],0)))</f>
        <v>0</v>
      </c>
      <c r="AN427" s="251">
        <f>IF(SecondaryTransport[[#This Row],[Bale_ID]]="9000-01","costs elsewhere",SecondaryTransport[[#This Row],[Total_Baled_tons]]*SecondaryTransport[[#This Row],[Miles]])</f>
        <v>0</v>
      </c>
      <c r="AO427" s="352" t="str">
        <f>IF(LEFT(SecondaryTransport[[#This Row],[Bale_ID]],1)*1=5,IF(OR(SecondaryTransport[[#This Row],[MRF_ID]]="02",SecondaryTransport[[#This Row],[MRF_ID]]="08"),2,1),"")</f>
        <v/>
      </c>
      <c r="AP4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2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27" s="224" t="str">
        <f>IFERROR(IF(1*LEFT(SecondaryTransport[[#This Row],[Bale_ID]],1)=5,SecondaryTransport[[#This Row],[Ton-Miles]]*SecondaryTransport[[#This Row],[Cost_Per_Ton-Mile]],""),"")</f>
        <v/>
      </c>
      <c r="AS427" s="224" t="str">
        <f>IFERROR(IF(SecondaryTransport[[#This Row],[Container_Transfer]]="",(SecondaryTransport[[#This Row],[Ton-Miles]]*SecondaryTransport[[#This Row],[Cost_Per_Ton-Mile]]),""),"")</f>
        <v/>
      </c>
    </row>
    <row r="428" spans="12:45" ht="15" x14ac:dyDescent="0.25">
      <c r="L428" s="446" t="s">
        <v>875</v>
      </c>
      <c r="M428" s="446">
        <v>2</v>
      </c>
      <c r="N428" s="446">
        <v>2</v>
      </c>
      <c r="O428" s="446" t="s">
        <v>706</v>
      </c>
      <c r="P428" s="450" t="s">
        <v>739</v>
      </c>
      <c r="Q428" s="450"/>
      <c r="R428" s="450"/>
      <c r="S428" s="449" t="s">
        <v>707</v>
      </c>
      <c r="T428" s="449" t="s">
        <v>1121</v>
      </c>
      <c r="U428" s="452">
        <v>132.56617585229174</v>
      </c>
      <c r="V4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5474.9830626996481</v>
      </c>
      <c r="W428" s="272">
        <f>IFERROR(SUMIFS(TransUnitCost[Miles],TransUnitCost[Grouping_ID],TransTonsShort[[#This Row],[Grouping_ID]],TransUnitCost[Transp_ID],TransTonsShort[[#This Row],[Transp_ID]])*TransTonsShort[[#This Row],[Trans_Tons_All]]/TransTonsShort[[#This Row],[Trans_Tons_All]],"")</f>
        <v>70</v>
      </c>
      <c r="X428" s="386" t="str">
        <f>TransTonsShort[[#This Row],[Grouping_ID]]&amp;"-"&amp;TransTonsShort[[#This Row],[Sector_ID]]</f>
        <v>2-2</v>
      </c>
      <c r="Y4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28" s="421">
        <f>INDEX(LandfillFees[Disposal Tip Fee 2025],MATCH(TransTonsShort[[#This Row],[Grouping_ID]],LandfillFees[Grouping_ID],0))</f>
        <v>72.030938699729589</v>
      </c>
      <c r="AA428" s="102">
        <f>IF(OR(TransTonsShort[[#This Row],[CollectionStream_ID]]="03",TransTonsShort[[#This Row],[CollectionStream_ID]]="04",TransTonsShort[[#This Row],[CollectionStream_ID]]="13"),0,TransTonsShort[[#This Row],[Trans_Tons_All]]*TransTonsShort[[#This Row],[Disposal_Fee]])</f>
        <v>9548.8660864739995</v>
      </c>
      <c r="AF428" s="446" t="s">
        <v>1601</v>
      </c>
      <c r="AG428" s="442" t="str">
        <f>LEFT(SecondaryTransport[[#This Row],[Scenario_MRF_Bale_ID]],2)</f>
        <v>S4</v>
      </c>
      <c r="AH428" s="181" t="str">
        <f>LEFT(RIGHT(SecondaryTransport[[#This Row],[Scenario_MRF_Bale_ID]],10),2)</f>
        <v>07</v>
      </c>
      <c r="AI428" s="181" t="str">
        <f>INDEX(MRFs[MRF_Name],MATCH(SecondaryTransport[[#This Row],[MRF_ID]],MRFs[MRF_ID],0))</f>
        <v>1 MRF for DS with fiber and container lines (Portland)</v>
      </c>
      <c r="AJ428" s="181" t="str">
        <f>RIGHT(SecondaryTransport[[#This Row],[Scenario_MRF_Bale_ID]],7)</f>
        <v>2000-10</v>
      </c>
      <c r="AK428" s="181" t="str">
        <f>INDEX(Bales[Bale_Name],MATCH(SecondaryTransport[[#This Row],[Bale_ID]],Bales[Bale_ID],0))</f>
        <v>Mixed bulky rigid plastics (mainly PE and PP) </v>
      </c>
      <c r="AL428" s="443">
        <f>INDEX(BaleMover[Total_Baled_tons],MATCH(SecondaryTransport[[#This Row],[Scenario_MRF_Bale_ID]],BaleMover[Scenario_MRF_Bale_ID],0))</f>
        <v>11600.523288498216</v>
      </c>
      <c r="AM428" s="443">
        <f>IF(INDEX(BaleMover[Miles],MATCH(SecondaryTransport[[#This Row],[Scenario_MRF_Bale_ID]],BaleMover[Scenario_MRF_Bale_ID],0))="",0,INDEX(BaleMover[Miles],MATCH(SecondaryTransport[[#This Row],[Scenario_MRF_Bale_ID]],BaleMover[Scenario_MRF_Bale_ID],0)))</f>
        <v>2630</v>
      </c>
      <c r="AN428" s="251">
        <f>IF(SecondaryTransport[[#This Row],[Bale_ID]]="9000-01","costs elsewhere",SecondaryTransport[[#This Row],[Total_Baled_tons]]*SecondaryTransport[[#This Row],[Miles]])</f>
        <v>30509376.248750307</v>
      </c>
      <c r="AO428" s="352" t="str">
        <f>IF(LEFT(SecondaryTransport[[#This Row],[Bale_ID]],1)*1=5,IF(OR(SecondaryTransport[[#This Row],[MRF_ID]]="02",SecondaryTransport[[#This Row],[MRF_ID]]="08"),2,1),"")</f>
        <v/>
      </c>
      <c r="AP4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2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28" s="224" t="str">
        <f>IFERROR(IF(1*LEFT(SecondaryTransport[[#This Row],[Bale_ID]],1)=5,SecondaryTransport[[#This Row],[Ton-Miles]]*SecondaryTransport[[#This Row],[Cost_Per_Ton-Mile]],""),"")</f>
        <v/>
      </c>
      <c r="AS428" s="224">
        <f>IFERROR(IF(SecondaryTransport[[#This Row],[Container_Transfer]]="",(SecondaryTransport[[#This Row],[Ton-Miles]]*SecondaryTransport[[#This Row],[Cost_Per_Ton-Mile]]),""),"")</f>
        <v>4271312.6748250434</v>
      </c>
    </row>
    <row r="429" spans="12:45" ht="15" x14ac:dyDescent="0.25">
      <c r="L429" s="446" t="s">
        <v>875</v>
      </c>
      <c r="M429" s="446">
        <v>3</v>
      </c>
      <c r="N429" s="446">
        <v>2</v>
      </c>
      <c r="O429" s="446" t="s">
        <v>706</v>
      </c>
      <c r="P429" s="450" t="s">
        <v>739</v>
      </c>
      <c r="Q429" s="450"/>
      <c r="R429" s="450"/>
      <c r="S429" s="449" t="s">
        <v>707</v>
      </c>
      <c r="T429" s="449" t="s">
        <v>1121</v>
      </c>
      <c r="U429" s="452">
        <v>110.17631167989367</v>
      </c>
      <c r="V4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3966.347220476172</v>
      </c>
      <c r="W429" s="272">
        <f>IFERROR(SUMIFS(TransUnitCost[Miles],TransUnitCost[Grouping_ID],TransTonsShort[[#This Row],[Grouping_ID]],TransUnitCost[Transp_ID],TransTonsShort[[#This Row],[Transp_ID]])*TransTonsShort[[#This Row],[Trans_Tons_All]]/TransTonsShort[[#This Row],[Trans_Tons_All]],"")</f>
        <v>150</v>
      </c>
      <c r="X429" s="386" t="str">
        <f>TransTonsShort[[#This Row],[Grouping_ID]]&amp;"-"&amp;TransTonsShort[[#This Row],[Sector_ID]]</f>
        <v>3-2</v>
      </c>
      <c r="Y4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29" s="421">
        <f>INDEX(LandfillFees[Disposal Tip Fee 2025],MATCH(TransTonsShort[[#This Row],[Grouping_ID]],LandfillFees[Grouping_ID],0))</f>
        <v>72.030938699729589</v>
      </c>
      <c r="AA429" s="102">
        <f>IF(OR(TransTonsShort[[#This Row],[CollectionStream_ID]]="03",TransTonsShort[[#This Row],[CollectionStream_ID]]="04",TransTonsShort[[#This Row],[CollectionStream_ID]]="13"),0,TransTonsShort[[#This Row],[Trans_Tons_All]]*TransTonsShort[[#This Row],[Disposal_Fee]])</f>
        <v>7936.1031527767218</v>
      </c>
      <c r="AF429" s="446" t="s">
        <v>1602</v>
      </c>
      <c r="AG429" s="442" t="str">
        <f>LEFT(SecondaryTransport[[#This Row],[Scenario_MRF_Bale_ID]],2)</f>
        <v>S4</v>
      </c>
      <c r="AH429" s="181" t="str">
        <f>LEFT(RIGHT(SecondaryTransport[[#This Row],[Scenario_MRF_Bale_ID]],10),2)</f>
        <v>07</v>
      </c>
      <c r="AI429" s="181" t="str">
        <f>INDEX(MRFs[MRF_Name],MATCH(SecondaryTransport[[#This Row],[MRF_ID]],MRFs[MRF_ID],0))</f>
        <v>1 MRF for DS with fiber and container lines (Portland)</v>
      </c>
      <c r="AJ429" s="181" t="str">
        <f>RIGHT(SecondaryTransport[[#This Row],[Scenario_MRF_Bale_ID]],7)</f>
        <v>2000-11</v>
      </c>
      <c r="AK429" s="181" t="str">
        <f>INDEX(Bales[Bale_Name],MATCH(SecondaryTransport[[#This Row],[Bale_ID]],Bales[Bale_ID],0))</f>
        <v>PP #5 bottles and jars</v>
      </c>
      <c r="AL429" s="443">
        <f>INDEX(BaleMover[Total_Baled_tons],MATCH(SecondaryTransport[[#This Row],[Scenario_MRF_Bale_ID]],BaleMover[Scenario_MRF_Bale_ID],0))</f>
        <v>205.59153827544975</v>
      </c>
      <c r="AM429" s="443">
        <f>IF(INDEX(BaleMover[Miles],MATCH(SecondaryTransport[[#This Row],[Scenario_MRF_Bale_ID]],BaleMover[Scenario_MRF_Bale_ID],0))="",0,INDEX(BaleMover[Miles],MATCH(SecondaryTransport[[#This Row],[Scenario_MRF_Bale_ID]],BaleMover[Scenario_MRF_Bale_ID],0)))</f>
        <v>20</v>
      </c>
      <c r="AN429" s="251">
        <f>IF(SecondaryTransport[[#This Row],[Bale_ID]]="9000-01","costs elsewhere",SecondaryTransport[[#This Row],[Total_Baled_tons]]*SecondaryTransport[[#This Row],[Miles]])</f>
        <v>4111.8307655089948</v>
      </c>
      <c r="AO429" s="352" t="str">
        <f>IF(LEFT(SecondaryTransport[[#This Row],[Bale_ID]],1)*1=5,IF(OR(SecondaryTransport[[#This Row],[MRF_ID]]="02",SecondaryTransport[[#This Row],[MRF_ID]]="08"),2,1),"")</f>
        <v/>
      </c>
      <c r="AP4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2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29" s="224" t="str">
        <f>IFERROR(IF(1*LEFT(SecondaryTransport[[#This Row],[Bale_ID]],1)=5,SecondaryTransport[[#This Row],[Ton-Miles]]*SecondaryTransport[[#This Row],[Cost_Per_Ton-Mile]],""),"")</f>
        <v/>
      </c>
      <c r="AS429" s="224">
        <f>IFERROR(IF(SecondaryTransport[[#This Row],[Container_Transfer]]="",(SecondaryTransport[[#This Row],[Ton-Miles]]*SecondaryTransport[[#This Row],[Cost_Per_Ton-Mile]]),""),"")</f>
        <v>1274.6675373077883</v>
      </c>
    </row>
    <row r="430" spans="12:45" ht="15" x14ac:dyDescent="0.25">
      <c r="L430" s="446" t="s">
        <v>875</v>
      </c>
      <c r="M430" s="446">
        <v>4</v>
      </c>
      <c r="N430" s="446">
        <v>2</v>
      </c>
      <c r="O430" s="446" t="s">
        <v>706</v>
      </c>
      <c r="P430" s="450" t="s">
        <v>739</v>
      </c>
      <c r="Q430" s="450"/>
      <c r="R430" s="450"/>
      <c r="S430" s="449" t="s">
        <v>707</v>
      </c>
      <c r="T430" s="449" t="s">
        <v>1121</v>
      </c>
      <c r="U430" s="452">
        <v>1.7061039850646562</v>
      </c>
      <c r="V4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93.83571917855609</v>
      </c>
      <c r="W430" s="272">
        <f>IFERROR(SUMIFS(TransUnitCost[Miles],TransUnitCost[Grouping_ID],TransTonsShort[[#This Row],[Grouping_ID]],TransUnitCost[Transp_ID],TransTonsShort[[#This Row],[Transp_ID]])*TransTonsShort[[#This Row],[Trans_Tons_All]]/TransTonsShort[[#This Row],[Trans_Tons_All]],"")</f>
        <v>250</v>
      </c>
      <c r="X430" s="386" t="str">
        <f>TransTonsShort[[#This Row],[Grouping_ID]]&amp;"-"&amp;TransTonsShort[[#This Row],[Sector_ID]]</f>
        <v>4-2</v>
      </c>
      <c r="Y4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0" s="421">
        <f>INDEX(LandfillFees[Disposal Tip Fee 2025],MATCH(TransTonsShort[[#This Row],[Grouping_ID]],LandfillFees[Grouping_ID],0))</f>
        <v>72.030938699729589</v>
      </c>
      <c r="AA430" s="102">
        <f>IF(OR(TransTonsShort[[#This Row],[CollectionStream_ID]]="03",TransTonsShort[[#This Row],[CollectionStream_ID]]="04",TransTonsShort[[#This Row],[CollectionStream_ID]]="13"),0,TransTonsShort[[#This Row],[Trans_Tons_All]]*TransTonsShort[[#This Row],[Disposal_Fee]])</f>
        <v>122.89227156355662</v>
      </c>
      <c r="AF430" s="446" t="s">
        <v>1603</v>
      </c>
      <c r="AG430" s="442" t="str">
        <f>LEFT(SecondaryTransport[[#This Row],[Scenario_MRF_Bale_ID]],2)</f>
        <v>S4</v>
      </c>
      <c r="AH430" s="181" t="str">
        <f>LEFT(RIGHT(SecondaryTransport[[#This Row],[Scenario_MRF_Bale_ID]],10),2)</f>
        <v>07</v>
      </c>
      <c r="AI430" s="181" t="str">
        <f>INDEX(MRFs[MRF_Name],MATCH(SecondaryTransport[[#This Row],[MRF_ID]],MRFs[MRF_ID],0))</f>
        <v>1 MRF for DS with fiber and container lines (Portland)</v>
      </c>
      <c r="AJ430" s="181" t="str">
        <f>RIGHT(SecondaryTransport[[#This Row],[Scenario_MRF_Bale_ID]],7)</f>
        <v>2000-13</v>
      </c>
      <c r="AK430" s="181" t="str">
        <f>INDEX(Bales[Bale_Name],MATCH(SecondaryTransport[[#This Row],[Bale_ID]],Bales[Bale_ID],0))</f>
        <v>PP #5 small rigid plastic</v>
      </c>
      <c r="AL430" s="443">
        <f>INDEX(BaleMover[Total_Baled_tons],MATCH(SecondaryTransport[[#This Row],[Scenario_MRF_Bale_ID]],BaleMover[Scenario_MRF_Bale_ID],0))</f>
        <v>5946.7164921813155</v>
      </c>
      <c r="AM430" s="443">
        <f>IF(INDEX(BaleMover[Miles],MATCH(SecondaryTransport[[#This Row],[Scenario_MRF_Bale_ID]],BaleMover[Scenario_MRF_Bale_ID],0))="",0,INDEX(BaleMover[Miles],MATCH(SecondaryTransport[[#This Row],[Scenario_MRF_Bale_ID]],BaleMover[Scenario_MRF_Bale_ID],0)))</f>
        <v>20</v>
      </c>
      <c r="AN430" s="251">
        <f>IF(SecondaryTransport[[#This Row],[Bale_ID]]="9000-01","costs elsewhere",SecondaryTransport[[#This Row],[Total_Baled_tons]]*SecondaryTransport[[#This Row],[Miles]])</f>
        <v>118934.32984362631</v>
      </c>
      <c r="AO430" s="352" t="str">
        <f>IF(LEFT(SecondaryTransport[[#This Row],[Bale_ID]],1)*1=5,IF(OR(SecondaryTransport[[#This Row],[MRF_ID]]="02",SecondaryTransport[[#This Row],[MRF_ID]]="08"),2,1),"")</f>
        <v/>
      </c>
      <c r="AP4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3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30" s="224" t="str">
        <f>IFERROR(IF(1*LEFT(SecondaryTransport[[#This Row],[Bale_ID]],1)=5,SecondaryTransport[[#This Row],[Ton-Miles]]*SecondaryTransport[[#This Row],[Cost_Per_Ton-Mile]],""),"")</f>
        <v/>
      </c>
      <c r="AS430" s="224">
        <f>IFERROR(IF(SecondaryTransport[[#This Row],[Container_Transfer]]="",(SecondaryTransport[[#This Row],[Ton-Miles]]*SecondaryTransport[[#This Row],[Cost_Per_Ton-Mile]]),""),"")</f>
        <v>36869.642251524157</v>
      </c>
    </row>
    <row r="431" spans="12:45" ht="15" x14ac:dyDescent="0.25">
      <c r="L431" s="446" t="s">
        <v>875</v>
      </c>
      <c r="M431" s="446">
        <v>1</v>
      </c>
      <c r="N431" s="446">
        <v>2</v>
      </c>
      <c r="O431" s="446" t="s">
        <v>706</v>
      </c>
      <c r="P431" s="449" t="s">
        <v>700</v>
      </c>
      <c r="Q431" s="449"/>
      <c r="R431" s="449"/>
      <c r="S431" s="449" t="s">
        <v>707</v>
      </c>
      <c r="T431" s="449" t="s">
        <v>701</v>
      </c>
      <c r="U431" s="452">
        <v>960.33134660810276</v>
      </c>
      <c r="V4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1" s="272">
        <f>IFERROR(SUMIFS(TransUnitCost[Miles],TransUnitCost[Grouping_ID],TransTonsShort[[#This Row],[Grouping_ID]],TransUnitCost[Transp_ID],TransTonsShort[[#This Row],[Transp_ID]])*TransTonsShort[[#This Row],[Trans_Tons_All]]/TransTonsShort[[#This Row],[Trans_Tons_All]],"")</f>
        <v>0</v>
      </c>
      <c r="X431" s="386" t="str">
        <f>TransTonsShort[[#This Row],[Grouping_ID]]&amp;"-"&amp;TransTonsShort[[#This Row],[Sector_ID]]</f>
        <v>1-2</v>
      </c>
      <c r="Y4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1" s="421">
        <f>INDEX(LandfillFees[Disposal Tip Fee 2025],MATCH(TransTonsShort[[#This Row],[Grouping_ID]],LandfillFees[Grouping_ID],0))</f>
        <v>134.68</v>
      </c>
      <c r="AA431" s="102">
        <f>IF(OR(TransTonsShort[[#This Row],[CollectionStream_ID]]="03",TransTonsShort[[#This Row],[CollectionStream_ID]]="04",TransTonsShort[[#This Row],[CollectionStream_ID]]="13"),0,TransTonsShort[[#This Row],[Trans_Tons_All]]*TransTonsShort[[#This Row],[Disposal_Fee]])</f>
        <v>129337.42576117929</v>
      </c>
      <c r="AF431" s="446" t="s">
        <v>1604</v>
      </c>
      <c r="AG431" s="442" t="str">
        <f>LEFT(SecondaryTransport[[#This Row],[Scenario_MRF_Bale_ID]],2)</f>
        <v>S4</v>
      </c>
      <c r="AH431" s="181" t="str">
        <f>LEFT(RIGHT(SecondaryTransport[[#This Row],[Scenario_MRF_Bale_ID]],10),2)</f>
        <v>07</v>
      </c>
      <c r="AI431" s="181" t="str">
        <f>INDEX(MRFs[MRF_Name],MATCH(SecondaryTransport[[#This Row],[MRF_ID]],MRFs[MRF_ID],0))</f>
        <v>1 MRF for DS with fiber and container lines (Portland)</v>
      </c>
      <c r="AJ431" s="181" t="str">
        <f>RIGHT(SecondaryTransport[[#This Row],[Scenario_MRF_Bale_ID]],7)</f>
        <v>2000-14</v>
      </c>
      <c r="AK431" s="181" t="str">
        <f>INDEX(Bales[Bale_Name],MATCH(SecondaryTransport[[#This Row],[Bale_ID]],Bales[Bale_ID],0))</f>
        <v>Solid PS #6 (rigid) </v>
      </c>
      <c r="AL431" s="443">
        <f>INDEX(BaleMover[Total_Baled_tons],MATCH(SecondaryTransport[[#This Row],[Scenario_MRF_Bale_ID]],BaleMover[Scenario_MRF_Bale_ID],0))</f>
        <v>701.05664920405093</v>
      </c>
      <c r="AM431" s="443">
        <f>IF(INDEX(BaleMover[Miles],MATCH(SecondaryTransport[[#This Row],[Scenario_MRF_Bale_ID]],BaleMover[Scenario_MRF_Bale_ID],0))="",0,INDEX(BaleMover[Miles],MATCH(SecondaryTransport[[#This Row],[Scenario_MRF_Bale_ID]],BaleMover[Scenario_MRF_Bale_ID],0)))</f>
        <v>20</v>
      </c>
      <c r="AN431" s="251">
        <f>IF(SecondaryTransport[[#This Row],[Bale_ID]]="9000-01","costs elsewhere",SecondaryTransport[[#This Row],[Total_Baled_tons]]*SecondaryTransport[[#This Row],[Miles]])</f>
        <v>14021.132984081018</v>
      </c>
      <c r="AO431" s="352" t="str">
        <f>IF(LEFT(SecondaryTransport[[#This Row],[Bale_ID]],1)*1=5,IF(OR(SecondaryTransport[[#This Row],[MRF_ID]]="02",SecondaryTransport[[#This Row],[MRF_ID]]="08"),2,1),"")</f>
        <v/>
      </c>
      <c r="AP4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31" s="224" t="str">
        <f>IFERROR(IF(1*LEFT(SecondaryTransport[[#This Row],[Bale_ID]],1)=5,SecondaryTransport[[#This Row],[Ton-Miles]]*SecondaryTransport[[#This Row],[Cost_Per_Ton-Mile]],""),"")</f>
        <v/>
      </c>
      <c r="AS431" s="224">
        <f>IFERROR(IF(SecondaryTransport[[#This Row],[Container_Transfer]]="",(SecondaryTransport[[#This Row],[Ton-Miles]]*SecondaryTransport[[#This Row],[Cost_Per_Ton-Mile]]),""),"")</f>
        <v>4346.5512250651154</v>
      </c>
    </row>
    <row r="432" spans="12:45" ht="15" x14ac:dyDescent="0.25">
      <c r="L432" s="446" t="s">
        <v>875</v>
      </c>
      <c r="M432" s="446">
        <v>2</v>
      </c>
      <c r="N432" s="446">
        <v>2</v>
      </c>
      <c r="O432" s="446" t="s">
        <v>706</v>
      </c>
      <c r="P432" s="449" t="s">
        <v>700</v>
      </c>
      <c r="Q432" s="449"/>
      <c r="R432" s="449"/>
      <c r="S432" s="449" t="s">
        <v>707</v>
      </c>
      <c r="T432" s="449" t="s">
        <v>701</v>
      </c>
      <c r="U432" s="452">
        <v>0</v>
      </c>
      <c r="V4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2" s="272" t="str">
        <f>IFERROR(SUMIFS(TransUnitCost[Miles],TransUnitCost[Grouping_ID],TransTonsShort[[#This Row],[Grouping_ID]],TransUnitCost[Transp_ID],TransTonsShort[[#This Row],[Transp_ID]])*TransTonsShort[[#This Row],[Trans_Tons_All]]/TransTonsShort[[#This Row],[Trans_Tons_All]],"")</f>
        <v/>
      </c>
      <c r="X432" s="386" t="str">
        <f>TransTonsShort[[#This Row],[Grouping_ID]]&amp;"-"&amp;TransTonsShort[[#This Row],[Sector_ID]]</f>
        <v>2-2</v>
      </c>
      <c r="Y4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2" s="421">
        <f>INDEX(LandfillFees[Disposal Tip Fee 2025],MATCH(TransTonsShort[[#This Row],[Grouping_ID]],LandfillFees[Grouping_ID],0))</f>
        <v>72.030938699729589</v>
      </c>
      <c r="AA432" s="102">
        <f>IF(OR(TransTonsShort[[#This Row],[CollectionStream_ID]]="03",TransTonsShort[[#This Row],[CollectionStream_ID]]="04",TransTonsShort[[#This Row],[CollectionStream_ID]]="13"),0,TransTonsShort[[#This Row],[Trans_Tons_All]]*TransTonsShort[[#This Row],[Disposal_Fee]])</f>
        <v>0</v>
      </c>
      <c r="AF432" s="446" t="s">
        <v>1605</v>
      </c>
      <c r="AG432" s="442" t="str">
        <f>LEFT(SecondaryTransport[[#This Row],[Scenario_MRF_Bale_ID]],2)</f>
        <v>S4</v>
      </c>
      <c r="AH432" s="181" t="str">
        <f>LEFT(RIGHT(SecondaryTransport[[#This Row],[Scenario_MRF_Bale_ID]],10),2)</f>
        <v>07</v>
      </c>
      <c r="AI432" s="181" t="str">
        <f>INDEX(MRFs[MRF_Name],MATCH(SecondaryTransport[[#This Row],[MRF_ID]],MRFs[MRF_ID],0))</f>
        <v>1 MRF for DS with fiber and container lines (Portland)</v>
      </c>
      <c r="AJ432" s="181" t="str">
        <f>RIGHT(SecondaryTransport[[#This Row],[Scenario_MRF_Bale_ID]],7)</f>
        <v>2000-16</v>
      </c>
      <c r="AK432" s="181" t="str">
        <f>INDEX(Bales[Bale_Name],MATCH(SecondaryTransport[[#This Row],[Bale_ID]],Bales[Bale_ID],0))</f>
        <v>Foam PS #6 (transport block and shape, densified)</v>
      </c>
      <c r="AL432" s="443">
        <f>INDEX(BaleMover[Total_Baled_tons],MATCH(SecondaryTransport[[#This Row],[Scenario_MRF_Bale_ID]],BaleMover[Scenario_MRF_Bale_ID],0))</f>
        <v>0</v>
      </c>
      <c r="AM432" s="443">
        <f>IF(INDEX(BaleMover[Miles],MATCH(SecondaryTransport[[#This Row],[Scenario_MRF_Bale_ID]],BaleMover[Scenario_MRF_Bale_ID],0))="",0,INDEX(BaleMover[Miles],MATCH(SecondaryTransport[[#This Row],[Scenario_MRF_Bale_ID]],BaleMover[Scenario_MRF_Bale_ID],0)))</f>
        <v>0</v>
      </c>
      <c r="AN432" s="251">
        <f>IF(SecondaryTransport[[#This Row],[Bale_ID]]="9000-01","costs elsewhere",SecondaryTransport[[#This Row],[Total_Baled_tons]]*SecondaryTransport[[#This Row],[Miles]])</f>
        <v>0</v>
      </c>
      <c r="AO432" s="352" t="str">
        <f>IF(LEFT(SecondaryTransport[[#This Row],[Bale_ID]],1)*1=5,IF(OR(SecondaryTransport[[#This Row],[MRF_ID]]="02",SecondaryTransport[[#This Row],[MRF_ID]]="08"),2,1),"")</f>
        <v/>
      </c>
      <c r="AP4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3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32" s="224" t="str">
        <f>IFERROR(IF(1*LEFT(SecondaryTransport[[#This Row],[Bale_ID]],1)=5,SecondaryTransport[[#This Row],[Ton-Miles]]*SecondaryTransport[[#This Row],[Cost_Per_Ton-Mile]],""),"")</f>
        <v/>
      </c>
      <c r="AS432" s="224" t="str">
        <f>IFERROR(IF(SecondaryTransport[[#This Row],[Container_Transfer]]="",(SecondaryTransport[[#This Row],[Ton-Miles]]*SecondaryTransport[[#This Row],[Cost_Per_Ton-Mile]]),""),"")</f>
        <v/>
      </c>
    </row>
    <row r="433" spans="12:45" ht="15" x14ac:dyDescent="0.25">
      <c r="L433" s="446" t="s">
        <v>875</v>
      </c>
      <c r="M433" s="446">
        <v>3</v>
      </c>
      <c r="N433" s="446">
        <v>2</v>
      </c>
      <c r="O433" s="446" t="s">
        <v>706</v>
      </c>
      <c r="P433" s="449" t="s">
        <v>700</v>
      </c>
      <c r="Q433" s="449"/>
      <c r="R433" s="449"/>
      <c r="S433" s="449" t="s">
        <v>707</v>
      </c>
      <c r="T433" s="449" t="s">
        <v>701</v>
      </c>
      <c r="U433" s="452">
        <v>0</v>
      </c>
      <c r="V4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3" s="272" t="str">
        <f>IFERROR(SUMIFS(TransUnitCost[Miles],TransUnitCost[Grouping_ID],TransTonsShort[[#This Row],[Grouping_ID]],TransUnitCost[Transp_ID],TransTonsShort[[#This Row],[Transp_ID]])*TransTonsShort[[#This Row],[Trans_Tons_All]]/TransTonsShort[[#This Row],[Trans_Tons_All]],"")</f>
        <v/>
      </c>
      <c r="X433" s="386" t="str">
        <f>TransTonsShort[[#This Row],[Grouping_ID]]&amp;"-"&amp;TransTonsShort[[#This Row],[Sector_ID]]</f>
        <v>3-2</v>
      </c>
      <c r="Y4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3" s="421">
        <f>INDEX(LandfillFees[Disposal Tip Fee 2025],MATCH(TransTonsShort[[#This Row],[Grouping_ID]],LandfillFees[Grouping_ID],0))</f>
        <v>72.030938699729589</v>
      </c>
      <c r="AA433" s="102">
        <f>IF(OR(TransTonsShort[[#This Row],[CollectionStream_ID]]="03",TransTonsShort[[#This Row],[CollectionStream_ID]]="04",TransTonsShort[[#This Row],[CollectionStream_ID]]="13"),0,TransTonsShort[[#This Row],[Trans_Tons_All]]*TransTonsShort[[#This Row],[Disposal_Fee]])</f>
        <v>0</v>
      </c>
      <c r="AF433" s="446" t="s">
        <v>1606</v>
      </c>
      <c r="AG433" s="442" t="str">
        <f>LEFT(SecondaryTransport[[#This Row],[Scenario_MRF_Bale_ID]],2)</f>
        <v>S4</v>
      </c>
      <c r="AH433" s="181" t="str">
        <f>LEFT(RIGHT(SecondaryTransport[[#This Row],[Scenario_MRF_Bale_ID]],10),2)</f>
        <v>07</v>
      </c>
      <c r="AI433" s="181" t="str">
        <f>INDEX(MRFs[MRF_Name],MATCH(SecondaryTransport[[#This Row],[MRF_ID]],MRFs[MRF_ID],0))</f>
        <v>1 MRF for DS with fiber and container lines (Portland)</v>
      </c>
      <c r="AJ433" s="181" t="str">
        <f>RIGHT(SecondaryTransport[[#This Row],[Scenario_MRF_Bale_ID]],7)</f>
        <v>2000-17</v>
      </c>
      <c r="AK433" s="181" t="str">
        <f>INDEX(Bales[Bale_Name],MATCH(SecondaryTransport[[#This Row],[Bale_ID]],Bales[Bale_ID],0))</f>
        <v>Densified MRF Grade Foam PS #6 (food service and packaging) </v>
      </c>
      <c r="AL433" s="443">
        <f>INDEX(BaleMover[Total_Baled_tons],MATCH(SecondaryTransport[[#This Row],[Scenario_MRF_Bale_ID]],BaleMover[Scenario_MRF_Bale_ID],0))</f>
        <v>0</v>
      </c>
      <c r="AM433" s="443">
        <f>IF(INDEX(BaleMover[Miles],MATCH(SecondaryTransport[[#This Row],[Scenario_MRF_Bale_ID]],BaleMover[Scenario_MRF_Bale_ID],0))="",0,INDEX(BaleMover[Miles],MATCH(SecondaryTransport[[#This Row],[Scenario_MRF_Bale_ID]],BaleMover[Scenario_MRF_Bale_ID],0)))</f>
        <v>0</v>
      </c>
      <c r="AN433" s="251">
        <f>IF(SecondaryTransport[[#This Row],[Bale_ID]]="9000-01","costs elsewhere",SecondaryTransport[[#This Row],[Total_Baled_tons]]*SecondaryTransport[[#This Row],[Miles]])</f>
        <v>0</v>
      </c>
      <c r="AO433" s="352" t="str">
        <f>IF(LEFT(SecondaryTransport[[#This Row],[Bale_ID]],1)*1=5,IF(OR(SecondaryTransport[[#This Row],[MRF_ID]]="02",SecondaryTransport[[#This Row],[MRF_ID]]="08"),2,1),"")</f>
        <v/>
      </c>
      <c r="AP4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3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33" s="224" t="str">
        <f>IFERROR(IF(1*LEFT(SecondaryTransport[[#This Row],[Bale_ID]],1)=5,SecondaryTransport[[#This Row],[Ton-Miles]]*SecondaryTransport[[#This Row],[Cost_Per_Ton-Mile]],""),"")</f>
        <v/>
      </c>
      <c r="AS433" s="224" t="str">
        <f>IFERROR(IF(SecondaryTransport[[#This Row],[Container_Transfer]]="",(SecondaryTransport[[#This Row],[Ton-Miles]]*SecondaryTransport[[#This Row],[Cost_Per_Ton-Mile]]),""),"")</f>
        <v/>
      </c>
    </row>
    <row r="434" spans="12:45" ht="15" x14ac:dyDescent="0.25">
      <c r="L434" s="446" t="s">
        <v>875</v>
      </c>
      <c r="M434" s="446">
        <v>4</v>
      </c>
      <c r="N434" s="446">
        <v>2</v>
      </c>
      <c r="O434" s="446" t="s">
        <v>706</v>
      </c>
      <c r="P434" s="449" t="s">
        <v>700</v>
      </c>
      <c r="Q434" s="449"/>
      <c r="R434" s="449"/>
      <c r="S434" s="449" t="s">
        <v>707</v>
      </c>
      <c r="T434" s="449" t="s">
        <v>701</v>
      </c>
      <c r="U434" s="452">
        <v>0</v>
      </c>
      <c r="V4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4" s="272" t="str">
        <f>IFERROR(SUMIFS(TransUnitCost[Miles],TransUnitCost[Grouping_ID],TransTonsShort[[#This Row],[Grouping_ID]],TransUnitCost[Transp_ID],TransTonsShort[[#This Row],[Transp_ID]])*TransTonsShort[[#This Row],[Trans_Tons_All]]/TransTonsShort[[#This Row],[Trans_Tons_All]],"")</f>
        <v/>
      </c>
      <c r="X434" s="386" t="str">
        <f>TransTonsShort[[#This Row],[Grouping_ID]]&amp;"-"&amp;TransTonsShort[[#This Row],[Sector_ID]]</f>
        <v>4-2</v>
      </c>
      <c r="Y4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4" s="421">
        <f>INDEX(LandfillFees[Disposal Tip Fee 2025],MATCH(TransTonsShort[[#This Row],[Grouping_ID]],LandfillFees[Grouping_ID],0))</f>
        <v>72.030938699729589</v>
      </c>
      <c r="AA434" s="102">
        <f>IF(OR(TransTonsShort[[#This Row],[CollectionStream_ID]]="03",TransTonsShort[[#This Row],[CollectionStream_ID]]="04",TransTonsShort[[#This Row],[CollectionStream_ID]]="13"),0,TransTonsShort[[#This Row],[Trans_Tons_All]]*TransTonsShort[[#This Row],[Disposal_Fee]])</f>
        <v>0</v>
      </c>
      <c r="AF434" s="446" t="s">
        <v>1607</v>
      </c>
      <c r="AG434" s="442" t="str">
        <f>LEFT(SecondaryTransport[[#This Row],[Scenario_MRF_Bale_ID]],2)</f>
        <v>S4</v>
      </c>
      <c r="AH434" s="181" t="str">
        <f>LEFT(RIGHT(SecondaryTransport[[#This Row],[Scenario_MRF_Bale_ID]],10),2)</f>
        <v>07</v>
      </c>
      <c r="AI434" s="181" t="str">
        <f>INDEX(MRFs[MRF_Name],MATCH(SecondaryTransport[[#This Row],[MRF_ID]],MRFs[MRF_ID],0))</f>
        <v>1 MRF for DS with fiber and container lines (Portland)</v>
      </c>
      <c r="AJ434" s="181" t="str">
        <f>RIGHT(SecondaryTransport[[#This Row],[Scenario_MRF_Bale_ID]],7)</f>
        <v>2000-18</v>
      </c>
      <c r="AK434" s="181" t="str">
        <f>INDEX(Bales[Bale_Name],MATCH(SecondaryTransport[[#This Row],[Bale_ID]],Bales[Bale_ID],0))</f>
        <v>#3-7 bottles and small rigid plastics </v>
      </c>
      <c r="AL434" s="443">
        <f>INDEX(BaleMover[Total_Baled_tons],MATCH(SecondaryTransport[[#This Row],[Scenario_MRF_Bale_ID]],BaleMover[Scenario_MRF_Bale_ID],0))</f>
        <v>0</v>
      </c>
      <c r="AM434" s="443">
        <f>IF(INDEX(BaleMover[Miles],MATCH(SecondaryTransport[[#This Row],[Scenario_MRF_Bale_ID]],BaleMover[Scenario_MRF_Bale_ID],0))="",0,INDEX(BaleMover[Miles],MATCH(SecondaryTransport[[#This Row],[Scenario_MRF_Bale_ID]],BaleMover[Scenario_MRF_Bale_ID],0)))</f>
        <v>0</v>
      </c>
      <c r="AN434" s="251">
        <f>IF(SecondaryTransport[[#This Row],[Bale_ID]]="9000-01","costs elsewhere",SecondaryTransport[[#This Row],[Total_Baled_tons]]*SecondaryTransport[[#This Row],[Miles]])</f>
        <v>0</v>
      </c>
      <c r="AO434" s="352" t="str">
        <f>IF(LEFT(SecondaryTransport[[#This Row],[Bale_ID]],1)*1=5,IF(OR(SecondaryTransport[[#This Row],[MRF_ID]]="02",SecondaryTransport[[#This Row],[MRF_ID]]="08"),2,1),"")</f>
        <v/>
      </c>
      <c r="AP4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3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34" s="224" t="str">
        <f>IFERROR(IF(1*LEFT(SecondaryTransport[[#This Row],[Bale_ID]],1)=5,SecondaryTransport[[#This Row],[Ton-Miles]]*SecondaryTransport[[#This Row],[Cost_Per_Ton-Mile]],""),"")</f>
        <v/>
      </c>
      <c r="AS434" s="224" t="str">
        <f>IFERROR(IF(SecondaryTransport[[#This Row],[Container_Transfer]]="",(SecondaryTransport[[#This Row],[Ton-Miles]]*SecondaryTransport[[#This Row],[Cost_Per_Ton-Mile]]),""),"")</f>
        <v/>
      </c>
    </row>
    <row r="435" spans="12:45" ht="15" x14ac:dyDescent="0.25">
      <c r="L435" s="446" t="s">
        <v>875</v>
      </c>
      <c r="M435" s="446">
        <v>1</v>
      </c>
      <c r="N435" s="446">
        <v>2</v>
      </c>
      <c r="O435" s="446" t="s">
        <v>752</v>
      </c>
      <c r="P435" s="449" t="s">
        <v>719</v>
      </c>
      <c r="Q435" s="449"/>
      <c r="R435" s="449"/>
      <c r="S435" s="449" t="s">
        <v>964</v>
      </c>
      <c r="T435" s="449" t="s">
        <v>1055</v>
      </c>
      <c r="U435" s="452">
        <v>0</v>
      </c>
      <c r="V4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5" s="272" t="str">
        <f>IFERROR(SUMIFS(TransUnitCost[Miles],TransUnitCost[Grouping_ID],TransTonsShort[[#This Row],[Grouping_ID]],TransUnitCost[Transp_ID],TransTonsShort[[#This Row],[Transp_ID]])*TransTonsShort[[#This Row],[Trans_Tons_All]]/TransTonsShort[[#This Row],[Trans_Tons_All]],"")</f>
        <v/>
      </c>
      <c r="X435" s="386" t="str">
        <f>TransTonsShort[[#This Row],[Grouping_ID]]&amp;"-"&amp;TransTonsShort[[#This Row],[Sector_ID]]</f>
        <v>1-2</v>
      </c>
      <c r="Y4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5" s="421">
        <f>INDEX(LandfillFees[Disposal Tip Fee 2025],MATCH(TransTonsShort[[#This Row],[Grouping_ID]],LandfillFees[Grouping_ID],0))</f>
        <v>134.68</v>
      </c>
      <c r="AA435" s="102">
        <f>IF(OR(TransTonsShort[[#This Row],[CollectionStream_ID]]="03",TransTonsShort[[#This Row],[CollectionStream_ID]]="04",TransTonsShort[[#This Row],[CollectionStream_ID]]="13"),0,TransTonsShort[[#This Row],[Trans_Tons_All]]*TransTonsShort[[#This Row],[Disposal_Fee]])</f>
        <v>0</v>
      </c>
      <c r="AF435" s="446" t="s">
        <v>1608</v>
      </c>
      <c r="AG435" s="442" t="str">
        <f>LEFT(SecondaryTransport[[#This Row],[Scenario_MRF_Bale_ID]],2)</f>
        <v>S4</v>
      </c>
      <c r="AH435" s="181" t="str">
        <f>LEFT(RIGHT(SecondaryTransport[[#This Row],[Scenario_MRF_Bale_ID]],10),2)</f>
        <v>07</v>
      </c>
      <c r="AI435" s="181" t="str">
        <f>INDEX(MRFs[MRF_Name],MATCH(SecondaryTransport[[#This Row],[MRF_ID]],MRFs[MRF_ID],0))</f>
        <v>1 MRF for DS with fiber and container lines (Portland)</v>
      </c>
      <c r="AJ435" s="181" t="str">
        <f>RIGHT(SecondaryTransport[[#This Row],[Scenario_MRF_Bale_ID]],7)</f>
        <v>3000-01</v>
      </c>
      <c r="AK435" s="181" t="str">
        <f>INDEX(Bales[Bale_Name],MATCH(SecondaryTransport[[#This Row],[Bale_ID]],Bales[Bale_ID],0))</f>
        <v>Container glass </v>
      </c>
      <c r="AL435" s="443">
        <f>INDEX(BaleMover[Total_Baled_tons],MATCH(SecondaryTransport[[#This Row],[Scenario_MRF_Bale_ID]],BaleMover[Scenario_MRF_Bale_ID],0))</f>
        <v>0</v>
      </c>
      <c r="AM435" s="443">
        <f>IF(INDEX(BaleMover[Miles],MATCH(SecondaryTransport[[#This Row],[Scenario_MRF_Bale_ID]],BaleMover[Scenario_MRF_Bale_ID],0))="",0,INDEX(BaleMover[Miles],MATCH(SecondaryTransport[[#This Row],[Scenario_MRF_Bale_ID]],BaleMover[Scenario_MRF_Bale_ID],0)))</f>
        <v>0</v>
      </c>
      <c r="AN435" s="251">
        <f>IF(SecondaryTransport[[#This Row],[Bale_ID]]="9000-01","costs elsewhere",SecondaryTransport[[#This Row],[Total_Baled_tons]]*SecondaryTransport[[#This Row],[Miles]])</f>
        <v>0</v>
      </c>
      <c r="AO435" s="352" t="str">
        <f>IF(LEFT(SecondaryTransport[[#This Row],[Bale_ID]],1)*1=5,IF(OR(SecondaryTransport[[#This Row],[MRF_ID]]="02",SecondaryTransport[[#This Row],[MRF_ID]]="08"),2,1),"")</f>
        <v/>
      </c>
      <c r="AP4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3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35" s="224" t="str">
        <f>IFERROR(IF(1*LEFT(SecondaryTransport[[#This Row],[Bale_ID]],1)=5,SecondaryTransport[[#This Row],[Ton-Miles]]*SecondaryTransport[[#This Row],[Cost_Per_Ton-Mile]],""),"")</f>
        <v/>
      </c>
      <c r="AS435" s="224" t="str">
        <f>IFERROR(IF(SecondaryTransport[[#This Row],[Container_Transfer]]="",(SecondaryTransport[[#This Row],[Ton-Miles]]*SecondaryTransport[[#This Row],[Cost_Per_Ton-Mile]]),""),"")</f>
        <v/>
      </c>
    </row>
    <row r="436" spans="12:45" ht="15" x14ac:dyDescent="0.25">
      <c r="L436" s="446" t="s">
        <v>875</v>
      </c>
      <c r="M436" s="446">
        <v>2</v>
      </c>
      <c r="N436" s="446">
        <v>2</v>
      </c>
      <c r="O436" s="446" t="s">
        <v>752</v>
      </c>
      <c r="P436" s="449" t="s">
        <v>719</v>
      </c>
      <c r="Q436" s="449"/>
      <c r="R436" s="449"/>
      <c r="S436" s="449" t="s">
        <v>964</v>
      </c>
      <c r="T436" s="449" t="s">
        <v>1055</v>
      </c>
      <c r="U436" s="452">
        <v>0</v>
      </c>
      <c r="V4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6" s="272" t="str">
        <f>IFERROR(SUMIFS(TransUnitCost[Miles],TransUnitCost[Grouping_ID],TransTonsShort[[#This Row],[Grouping_ID]],TransUnitCost[Transp_ID],TransTonsShort[[#This Row],[Transp_ID]])*TransTonsShort[[#This Row],[Trans_Tons_All]]/TransTonsShort[[#This Row],[Trans_Tons_All]],"")</f>
        <v/>
      </c>
      <c r="X436" s="386" t="str">
        <f>TransTonsShort[[#This Row],[Grouping_ID]]&amp;"-"&amp;TransTonsShort[[#This Row],[Sector_ID]]</f>
        <v>2-2</v>
      </c>
      <c r="Y4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6" s="421">
        <f>INDEX(LandfillFees[Disposal Tip Fee 2025],MATCH(TransTonsShort[[#This Row],[Grouping_ID]],LandfillFees[Grouping_ID],0))</f>
        <v>72.030938699729589</v>
      </c>
      <c r="AA436" s="102">
        <f>IF(OR(TransTonsShort[[#This Row],[CollectionStream_ID]]="03",TransTonsShort[[#This Row],[CollectionStream_ID]]="04",TransTonsShort[[#This Row],[CollectionStream_ID]]="13"),0,TransTonsShort[[#This Row],[Trans_Tons_All]]*TransTonsShort[[#This Row],[Disposal_Fee]])</f>
        <v>0</v>
      </c>
      <c r="AF436" s="446" t="s">
        <v>1609</v>
      </c>
      <c r="AG436" s="442" t="str">
        <f>LEFT(SecondaryTransport[[#This Row],[Scenario_MRF_Bale_ID]],2)</f>
        <v>S4</v>
      </c>
      <c r="AH436" s="181" t="str">
        <f>LEFT(RIGHT(SecondaryTransport[[#This Row],[Scenario_MRF_Bale_ID]],10),2)</f>
        <v>07</v>
      </c>
      <c r="AI436" s="181" t="str">
        <f>INDEX(MRFs[MRF_Name],MATCH(SecondaryTransport[[#This Row],[MRF_ID]],MRFs[MRF_ID],0))</f>
        <v>1 MRF for DS with fiber and container lines (Portland)</v>
      </c>
      <c r="AJ436" s="181" t="str">
        <f>RIGHT(SecondaryTransport[[#This Row],[Scenario_MRF_Bale_ID]],7)</f>
        <v>4000-01</v>
      </c>
      <c r="AK436" s="181" t="str">
        <f>INDEX(Bales[Bale_Name],MATCH(SecondaryTransport[[#This Row],[Bale_ID]],Bales[Bale_ID],0))</f>
        <v>Aluminum cans and foil</v>
      </c>
      <c r="AL436" s="443">
        <f>INDEX(BaleMover[Total_Baled_tons],MATCH(SecondaryTransport[[#This Row],[Scenario_MRF_Bale_ID]],BaleMover[Scenario_MRF_Bale_ID],0))</f>
        <v>1367.15908625833</v>
      </c>
      <c r="AM436" s="443">
        <f>IF(INDEX(BaleMover[Miles],MATCH(SecondaryTransport[[#This Row],[Scenario_MRF_Bale_ID]],BaleMover[Scenario_MRF_Bale_ID],0))="",0,INDEX(BaleMover[Miles],MATCH(SecondaryTransport[[#This Row],[Scenario_MRF_Bale_ID]],BaleMover[Scenario_MRF_Bale_ID],0)))</f>
        <v>960</v>
      </c>
      <c r="AN436" s="251">
        <f>IF(SecondaryTransport[[#This Row],[Bale_ID]]="9000-01","costs elsewhere",SecondaryTransport[[#This Row],[Total_Baled_tons]]*SecondaryTransport[[#This Row],[Miles]])</f>
        <v>1312472.7228079969</v>
      </c>
      <c r="AO436" s="352" t="str">
        <f>IF(LEFT(SecondaryTransport[[#This Row],[Bale_ID]],1)*1=5,IF(OR(SecondaryTransport[[#This Row],[MRF_ID]]="02",SecondaryTransport[[#This Row],[MRF_ID]]="08"),2,1),"")</f>
        <v/>
      </c>
      <c r="AP4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3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36" s="224" t="str">
        <f>IFERROR(IF(1*LEFT(SecondaryTransport[[#This Row],[Bale_ID]],1)=5,SecondaryTransport[[#This Row],[Ton-Miles]]*SecondaryTransport[[#This Row],[Cost_Per_Ton-Mile]],""),"")</f>
        <v/>
      </c>
      <c r="AS436" s="224">
        <f>IFERROR(IF(SecondaryTransport[[#This Row],[Container_Transfer]]="",(SecondaryTransport[[#This Row],[Ton-Miles]]*SecondaryTransport[[#This Row],[Cost_Per_Ton-Mile]]),""),"")</f>
        <v>183746.18119311958</v>
      </c>
    </row>
    <row r="437" spans="12:45" ht="15" x14ac:dyDescent="0.25">
      <c r="L437" s="446" t="s">
        <v>875</v>
      </c>
      <c r="M437" s="446">
        <v>3</v>
      </c>
      <c r="N437" s="446">
        <v>2</v>
      </c>
      <c r="O437" s="446" t="s">
        <v>752</v>
      </c>
      <c r="P437" s="449" t="s">
        <v>719</v>
      </c>
      <c r="Q437" s="449"/>
      <c r="R437" s="449"/>
      <c r="S437" s="449" t="s">
        <v>964</v>
      </c>
      <c r="T437" s="449" t="s">
        <v>1055</v>
      </c>
      <c r="U437" s="452">
        <v>0</v>
      </c>
      <c r="V4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7" s="272" t="str">
        <f>IFERROR(SUMIFS(TransUnitCost[Miles],TransUnitCost[Grouping_ID],TransTonsShort[[#This Row],[Grouping_ID]],TransUnitCost[Transp_ID],TransTonsShort[[#This Row],[Transp_ID]])*TransTonsShort[[#This Row],[Trans_Tons_All]]/TransTonsShort[[#This Row],[Trans_Tons_All]],"")</f>
        <v/>
      </c>
      <c r="X437" s="386" t="str">
        <f>TransTonsShort[[#This Row],[Grouping_ID]]&amp;"-"&amp;TransTonsShort[[#This Row],[Sector_ID]]</f>
        <v>3-2</v>
      </c>
      <c r="Y4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7" s="421">
        <f>INDEX(LandfillFees[Disposal Tip Fee 2025],MATCH(TransTonsShort[[#This Row],[Grouping_ID]],LandfillFees[Grouping_ID],0))</f>
        <v>72.030938699729589</v>
      </c>
      <c r="AA437" s="102">
        <f>IF(OR(TransTonsShort[[#This Row],[CollectionStream_ID]]="03",TransTonsShort[[#This Row],[CollectionStream_ID]]="04",TransTonsShort[[#This Row],[CollectionStream_ID]]="13"),0,TransTonsShort[[#This Row],[Trans_Tons_All]]*TransTonsShort[[#This Row],[Disposal_Fee]])</f>
        <v>0</v>
      </c>
      <c r="AF437" s="446" t="s">
        <v>1610</v>
      </c>
      <c r="AG437" s="442" t="str">
        <f>LEFT(SecondaryTransport[[#This Row],[Scenario_MRF_Bale_ID]],2)</f>
        <v>S4</v>
      </c>
      <c r="AH437" s="181" t="str">
        <f>LEFT(RIGHT(SecondaryTransport[[#This Row],[Scenario_MRF_Bale_ID]],10),2)</f>
        <v>07</v>
      </c>
      <c r="AI437" s="181" t="str">
        <f>INDEX(MRFs[MRF_Name],MATCH(SecondaryTransport[[#This Row],[MRF_ID]],MRFs[MRF_ID],0))</f>
        <v>1 MRF for DS with fiber and container lines (Portland)</v>
      </c>
      <c r="AJ437" s="181" t="str">
        <f>RIGHT(SecondaryTransport[[#This Row],[Scenario_MRF_Bale_ID]],7)</f>
        <v>4000-02</v>
      </c>
      <c r="AK437" s="181" t="str">
        <f>INDEX(Bales[Bale_Name],MATCH(SecondaryTransport[[#This Row],[Bale_ID]],Bales[Bale_ID],0))</f>
        <v>Steel cans </v>
      </c>
      <c r="AL437" s="443">
        <f>INDEX(BaleMover[Total_Baled_tons],MATCH(SecondaryTransport[[#This Row],[Scenario_MRF_Bale_ID]],BaleMover[Scenario_MRF_Bale_ID],0))</f>
        <v>9509.7137943520902</v>
      </c>
      <c r="AM437" s="443">
        <f>IF(INDEX(BaleMover[Miles],MATCH(SecondaryTransport[[#This Row],[Scenario_MRF_Bale_ID]],BaleMover[Scenario_MRF_Bale_ID],0))="",0,INDEX(BaleMover[Miles],MATCH(SecondaryTransport[[#This Row],[Scenario_MRF_Bale_ID]],BaleMover[Scenario_MRF_Bale_ID],0)))</f>
        <v>20</v>
      </c>
      <c r="AN437" s="251">
        <f>IF(SecondaryTransport[[#This Row],[Bale_ID]]="9000-01","costs elsewhere",SecondaryTransport[[#This Row],[Total_Baled_tons]]*SecondaryTransport[[#This Row],[Miles]])</f>
        <v>190194.27588704182</v>
      </c>
      <c r="AO437" s="352" t="str">
        <f>IF(LEFT(SecondaryTransport[[#This Row],[Bale_ID]],1)*1=5,IF(OR(SecondaryTransport[[#This Row],[MRF_ID]]="02",SecondaryTransport[[#This Row],[MRF_ID]]="08"),2,1),"")</f>
        <v/>
      </c>
      <c r="AP4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3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37" s="224" t="str">
        <f>IFERROR(IF(1*LEFT(SecondaryTransport[[#This Row],[Bale_ID]],1)=5,SecondaryTransport[[#This Row],[Ton-Miles]]*SecondaryTransport[[#This Row],[Cost_Per_Ton-Mile]],""),"")</f>
        <v/>
      </c>
      <c r="AS437" s="224">
        <f>IFERROR(IF(SecondaryTransport[[#This Row],[Container_Transfer]]="",(SecondaryTransport[[#This Row],[Ton-Miles]]*SecondaryTransport[[#This Row],[Cost_Per_Ton-Mile]]),""),"")</f>
        <v>58960.225524982961</v>
      </c>
    </row>
    <row r="438" spans="12:45" ht="15" x14ac:dyDescent="0.25">
      <c r="L438" s="446" t="s">
        <v>875</v>
      </c>
      <c r="M438" s="446">
        <v>4</v>
      </c>
      <c r="N438" s="446">
        <v>2</v>
      </c>
      <c r="O438" s="446" t="s">
        <v>752</v>
      </c>
      <c r="P438" s="449" t="s">
        <v>719</v>
      </c>
      <c r="Q438" s="449"/>
      <c r="R438" s="449"/>
      <c r="S438" s="449" t="s">
        <v>964</v>
      </c>
      <c r="T438" s="449" t="s">
        <v>1055</v>
      </c>
      <c r="U438" s="452">
        <v>0</v>
      </c>
      <c r="V4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8" s="272" t="str">
        <f>IFERROR(SUMIFS(TransUnitCost[Miles],TransUnitCost[Grouping_ID],TransTonsShort[[#This Row],[Grouping_ID]],TransUnitCost[Transp_ID],TransTonsShort[[#This Row],[Transp_ID]])*TransTonsShort[[#This Row],[Trans_Tons_All]]/TransTonsShort[[#This Row],[Trans_Tons_All]],"")</f>
        <v/>
      </c>
      <c r="X438" s="386" t="str">
        <f>TransTonsShort[[#This Row],[Grouping_ID]]&amp;"-"&amp;TransTonsShort[[#This Row],[Sector_ID]]</f>
        <v>4-2</v>
      </c>
      <c r="Y4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8" s="421">
        <f>INDEX(LandfillFees[Disposal Tip Fee 2025],MATCH(TransTonsShort[[#This Row],[Grouping_ID]],LandfillFees[Grouping_ID],0))</f>
        <v>72.030938699729589</v>
      </c>
      <c r="AA438" s="102">
        <f>IF(OR(TransTonsShort[[#This Row],[CollectionStream_ID]]="03",TransTonsShort[[#This Row],[CollectionStream_ID]]="04",TransTonsShort[[#This Row],[CollectionStream_ID]]="13"),0,TransTonsShort[[#This Row],[Trans_Tons_All]]*TransTonsShort[[#This Row],[Disposal_Fee]])</f>
        <v>0</v>
      </c>
      <c r="AF438" s="446" t="s">
        <v>1611</v>
      </c>
      <c r="AG438" s="442" t="str">
        <f>LEFT(SecondaryTransport[[#This Row],[Scenario_MRF_Bale_ID]],2)</f>
        <v>S4</v>
      </c>
      <c r="AH438" s="181" t="str">
        <f>LEFT(RIGHT(SecondaryTransport[[#This Row],[Scenario_MRF_Bale_ID]],10),2)</f>
        <v>07</v>
      </c>
      <c r="AI438" s="181" t="str">
        <f>INDEX(MRFs[MRF_Name],MATCH(SecondaryTransport[[#This Row],[MRF_ID]],MRFs[MRF_ID],0))</f>
        <v>1 MRF for DS with fiber and container lines (Portland)</v>
      </c>
      <c r="AJ438" s="181" t="str">
        <f>RIGHT(SecondaryTransport[[#This Row],[Scenario_MRF_Bale_ID]],7)</f>
        <v>4000-03</v>
      </c>
      <c r="AK438" s="181" t="str">
        <f>INDEX(Bales[Bale_Name],MATCH(SecondaryTransport[[#This Row],[Bale_ID]],Bales[Bale_ID],0))</f>
        <v>Scrap metal</v>
      </c>
      <c r="AL438" s="443">
        <f>INDEX(BaleMover[Total_Baled_tons],MATCH(SecondaryTransport[[#This Row],[Scenario_MRF_Bale_ID]],BaleMover[Scenario_MRF_Bale_ID],0))</f>
        <v>12276.647045001022</v>
      </c>
      <c r="AM438" s="443">
        <f>IF(INDEX(BaleMover[Miles],MATCH(SecondaryTransport[[#This Row],[Scenario_MRF_Bale_ID]],BaleMover[Scenario_MRF_Bale_ID],0))="",0,INDEX(BaleMover[Miles],MATCH(SecondaryTransport[[#This Row],[Scenario_MRF_Bale_ID]],BaleMover[Scenario_MRF_Bale_ID],0)))</f>
        <v>45</v>
      </c>
      <c r="AN438" s="251">
        <f>IF(SecondaryTransport[[#This Row],[Bale_ID]]="9000-01","costs elsewhere",SecondaryTransport[[#This Row],[Total_Baled_tons]]*SecondaryTransport[[#This Row],[Miles]])</f>
        <v>552449.11702504603</v>
      </c>
      <c r="AO438" s="352" t="str">
        <f>IF(LEFT(SecondaryTransport[[#This Row],[Bale_ID]],1)*1=5,IF(OR(SecondaryTransport[[#This Row],[MRF_ID]]="02",SecondaryTransport[[#This Row],[MRF_ID]]="08"),2,1),"")</f>
        <v/>
      </c>
      <c r="AP4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3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38" s="224" t="str">
        <f>IFERROR(IF(1*LEFT(SecondaryTransport[[#This Row],[Bale_ID]],1)=5,SecondaryTransport[[#This Row],[Ton-Miles]]*SecondaryTransport[[#This Row],[Cost_Per_Ton-Mile]],""),"")</f>
        <v/>
      </c>
      <c r="AS438" s="224">
        <f>IFERROR(IF(SecondaryTransport[[#This Row],[Container_Transfer]]="",(SecondaryTransport[[#This Row],[Ton-Miles]]*SecondaryTransport[[#This Row],[Cost_Per_Ton-Mile]]),""),"")</f>
        <v>171259.22627776428</v>
      </c>
    </row>
    <row r="439" spans="12:45" ht="15" x14ac:dyDescent="0.25">
      <c r="L439" s="446" t="s">
        <v>875</v>
      </c>
      <c r="M439" s="446">
        <v>1</v>
      </c>
      <c r="N439" s="446">
        <v>2</v>
      </c>
      <c r="O439" s="448" t="s">
        <v>752</v>
      </c>
      <c r="P439" s="449" t="s">
        <v>700</v>
      </c>
      <c r="Q439" s="449"/>
      <c r="R439" s="449"/>
      <c r="S439" s="449" t="s">
        <v>964</v>
      </c>
      <c r="T439" s="449" t="s">
        <v>701</v>
      </c>
      <c r="U439" s="452">
        <v>0</v>
      </c>
      <c r="V4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39" s="272" t="str">
        <f>IFERROR(SUMIFS(TransUnitCost[Miles],TransUnitCost[Grouping_ID],TransTonsShort[[#This Row],[Grouping_ID]],TransUnitCost[Transp_ID],TransTonsShort[[#This Row],[Transp_ID]])*TransTonsShort[[#This Row],[Trans_Tons_All]]/TransTonsShort[[#This Row],[Trans_Tons_All]],"")</f>
        <v/>
      </c>
      <c r="X439" s="386" t="str">
        <f>TransTonsShort[[#This Row],[Grouping_ID]]&amp;"-"&amp;TransTonsShort[[#This Row],[Sector_ID]]</f>
        <v>1-2</v>
      </c>
      <c r="Y4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39" s="421">
        <f>INDEX(LandfillFees[Disposal Tip Fee 2025],MATCH(TransTonsShort[[#This Row],[Grouping_ID]],LandfillFees[Grouping_ID],0))</f>
        <v>134.68</v>
      </c>
      <c r="AA439" s="102">
        <f>IF(OR(TransTonsShort[[#This Row],[CollectionStream_ID]]="03",TransTonsShort[[#This Row],[CollectionStream_ID]]="04",TransTonsShort[[#This Row],[CollectionStream_ID]]="13"),0,TransTonsShort[[#This Row],[Trans_Tons_All]]*TransTonsShort[[#This Row],[Disposal_Fee]])</f>
        <v>0</v>
      </c>
      <c r="AF439" s="446" t="s">
        <v>1612</v>
      </c>
      <c r="AG439" s="442" t="str">
        <f>LEFT(SecondaryTransport[[#This Row],[Scenario_MRF_Bale_ID]],2)</f>
        <v>S4</v>
      </c>
      <c r="AH439" s="181" t="str">
        <f>LEFT(RIGHT(SecondaryTransport[[#This Row],[Scenario_MRF_Bale_ID]],10),2)</f>
        <v>08</v>
      </c>
      <c r="AI439" s="181" t="str">
        <f>INDEX(MRFs[MRF_Name],MATCH(SecondaryTransport[[#This Row],[MRF_ID]],MRFs[MRF_ID],0))</f>
        <v>1 MRF for DS fiber (Salem)</v>
      </c>
      <c r="AJ439" s="181" t="str">
        <f>RIGHT(SecondaryTransport[[#This Row],[Scenario_MRF_Bale_ID]],7)</f>
        <v>1000-01</v>
      </c>
      <c r="AK439" s="181" t="str">
        <f>INDEX(Bales[Bale_Name],MATCH(SecondaryTransport[[#This Row],[Bale_ID]],Bales[Bale_ID],0))</f>
        <v>OCC (corrugated cardboard) </v>
      </c>
      <c r="AL439" s="443">
        <f>INDEX(BaleMover[Total_Baled_tons],MATCH(SecondaryTransport[[#This Row],[Scenario_MRF_Bale_ID]],BaleMover[Scenario_MRF_Bale_ID],0))</f>
        <v>36864.038443259618</v>
      </c>
      <c r="AM439" s="443">
        <f>IF(INDEX(BaleMover[Miles],MATCH(SecondaryTransport[[#This Row],[Scenario_MRF_Bale_ID]],BaleMover[Scenario_MRF_Bale_ID],0))="",0,INDEX(BaleMover[Miles],MATCH(SecondaryTransport[[#This Row],[Scenario_MRF_Bale_ID]],BaleMover[Scenario_MRF_Bale_ID],0)))</f>
        <v>65</v>
      </c>
      <c r="AN439" s="251">
        <f>IF(SecondaryTransport[[#This Row],[Bale_ID]]="9000-01","costs elsewhere",SecondaryTransport[[#This Row],[Total_Baled_tons]]*SecondaryTransport[[#This Row],[Miles]])</f>
        <v>2396162.498811875</v>
      </c>
      <c r="AO439" s="352" t="str">
        <f>IF(LEFT(SecondaryTransport[[#This Row],[Bale_ID]],1)*1=5,IF(OR(SecondaryTransport[[#This Row],[MRF_ID]]="02",SecondaryTransport[[#This Row],[MRF_ID]]="08"),2,1),"")</f>
        <v/>
      </c>
      <c r="AP4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3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39" s="224" t="str">
        <f>IFERROR(IF(1*LEFT(SecondaryTransport[[#This Row],[Bale_ID]],1)=5,SecondaryTransport[[#This Row],[Ton-Miles]]*SecondaryTransport[[#This Row],[Cost_Per_Ton-Mile]],""),"")</f>
        <v/>
      </c>
      <c r="AS439" s="224">
        <f>IFERROR(IF(SecondaryTransport[[#This Row],[Container_Transfer]]="",(SecondaryTransport[[#This Row],[Ton-Miles]]*SecondaryTransport[[#This Row],[Cost_Per_Ton-Mile]]),""),"")</f>
        <v>742810.37463168125</v>
      </c>
    </row>
    <row r="440" spans="12:45" ht="15" x14ac:dyDescent="0.25">
      <c r="L440" s="446" t="s">
        <v>875</v>
      </c>
      <c r="M440" s="446">
        <v>2</v>
      </c>
      <c r="N440" s="446">
        <v>2</v>
      </c>
      <c r="O440" s="448" t="s">
        <v>752</v>
      </c>
      <c r="P440" s="449" t="s">
        <v>700</v>
      </c>
      <c r="Q440" s="449"/>
      <c r="R440" s="449"/>
      <c r="S440" s="449" t="s">
        <v>964</v>
      </c>
      <c r="T440" s="449" t="s">
        <v>701</v>
      </c>
      <c r="U440" s="452">
        <v>0</v>
      </c>
      <c r="V4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0" s="272" t="str">
        <f>IFERROR(SUMIFS(TransUnitCost[Miles],TransUnitCost[Grouping_ID],TransTonsShort[[#This Row],[Grouping_ID]],TransUnitCost[Transp_ID],TransTonsShort[[#This Row],[Transp_ID]])*TransTonsShort[[#This Row],[Trans_Tons_All]]/TransTonsShort[[#This Row],[Trans_Tons_All]],"")</f>
        <v/>
      </c>
      <c r="X440" s="386" t="str">
        <f>TransTonsShort[[#This Row],[Grouping_ID]]&amp;"-"&amp;TransTonsShort[[#This Row],[Sector_ID]]</f>
        <v>2-2</v>
      </c>
      <c r="Y4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0" s="421">
        <f>INDEX(LandfillFees[Disposal Tip Fee 2025],MATCH(TransTonsShort[[#This Row],[Grouping_ID]],LandfillFees[Grouping_ID],0))</f>
        <v>72.030938699729589</v>
      </c>
      <c r="AA440" s="102">
        <f>IF(OR(TransTonsShort[[#This Row],[CollectionStream_ID]]="03",TransTonsShort[[#This Row],[CollectionStream_ID]]="04",TransTonsShort[[#This Row],[CollectionStream_ID]]="13"),0,TransTonsShort[[#This Row],[Trans_Tons_All]]*TransTonsShort[[#This Row],[Disposal_Fee]])</f>
        <v>0</v>
      </c>
      <c r="AF440" s="446" t="s">
        <v>1613</v>
      </c>
      <c r="AG440" s="442" t="str">
        <f>LEFT(SecondaryTransport[[#This Row],[Scenario_MRF_Bale_ID]],2)</f>
        <v>S4</v>
      </c>
      <c r="AH440" s="181" t="str">
        <f>LEFT(RIGHT(SecondaryTransport[[#This Row],[Scenario_MRF_Bale_ID]],10),2)</f>
        <v>08</v>
      </c>
      <c r="AI440" s="181" t="str">
        <f>INDEX(MRFs[MRF_Name],MATCH(SecondaryTransport[[#This Row],[MRF_ID]],MRFs[MRF_ID],0))</f>
        <v>1 MRF for DS fiber (Salem)</v>
      </c>
      <c r="AJ440" s="181" t="str">
        <f>RIGHT(SecondaryTransport[[#This Row],[Scenario_MRF_Bale_ID]],7)</f>
        <v>1000-02</v>
      </c>
      <c r="AK440" s="181" t="str">
        <f>INDEX(Bales[Bale_Name],MATCH(SecondaryTransport[[#This Row],[Bale_ID]],Bales[Bale_ID],0))</f>
        <v>Sorted clean newsprint</v>
      </c>
      <c r="AL440" s="443">
        <f>INDEX(BaleMover[Total_Baled_tons],MATCH(SecondaryTransport[[#This Row],[Scenario_MRF_Bale_ID]],BaleMover[Scenario_MRF_Bale_ID],0))</f>
        <v>0</v>
      </c>
      <c r="AM440" s="443">
        <f>IF(INDEX(BaleMover[Miles],MATCH(SecondaryTransport[[#This Row],[Scenario_MRF_Bale_ID]],BaleMover[Scenario_MRF_Bale_ID],0))="",0,INDEX(BaleMover[Miles],MATCH(SecondaryTransport[[#This Row],[Scenario_MRF_Bale_ID]],BaleMover[Scenario_MRF_Bale_ID],0)))</f>
        <v>0</v>
      </c>
      <c r="AN440" s="251">
        <f>IF(SecondaryTransport[[#This Row],[Bale_ID]]="9000-01","costs elsewhere",SecondaryTransport[[#This Row],[Total_Baled_tons]]*SecondaryTransport[[#This Row],[Miles]])</f>
        <v>0</v>
      </c>
      <c r="AO440" s="352" t="str">
        <f>IF(LEFT(SecondaryTransport[[#This Row],[Bale_ID]],1)*1=5,IF(OR(SecondaryTransport[[#This Row],[MRF_ID]]="02",SecondaryTransport[[#This Row],[MRF_ID]]="08"),2,1),"")</f>
        <v/>
      </c>
      <c r="AP4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0" s="224" t="str">
        <f>IFERROR(IF(1*LEFT(SecondaryTransport[[#This Row],[Bale_ID]],1)=5,SecondaryTransport[[#This Row],[Ton-Miles]]*SecondaryTransport[[#This Row],[Cost_Per_Ton-Mile]],""),"")</f>
        <v/>
      </c>
      <c r="AS440" s="224" t="str">
        <f>IFERROR(IF(SecondaryTransport[[#This Row],[Container_Transfer]]="",(SecondaryTransport[[#This Row],[Ton-Miles]]*SecondaryTransport[[#This Row],[Cost_Per_Ton-Mile]]),""),"")</f>
        <v/>
      </c>
    </row>
    <row r="441" spans="12:45" ht="15" x14ac:dyDescent="0.25">
      <c r="L441" s="446" t="s">
        <v>875</v>
      </c>
      <c r="M441" s="446">
        <v>3</v>
      </c>
      <c r="N441" s="446">
        <v>2</v>
      </c>
      <c r="O441" s="448" t="s">
        <v>752</v>
      </c>
      <c r="P441" s="449" t="s">
        <v>700</v>
      </c>
      <c r="Q441" s="449"/>
      <c r="R441" s="449"/>
      <c r="S441" s="449" t="s">
        <v>964</v>
      </c>
      <c r="T441" s="449" t="s">
        <v>701</v>
      </c>
      <c r="U441" s="452">
        <v>0</v>
      </c>
      <c r="V4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1" s="272" t="str">
        <f>IFERROR(SUMIFS(TransUnitCost[Miles],TransUnitCost[Grouping_ID],TransTonsShort[[#This Row],[Grouping_ID]],TransUnitCost[Transp_ID],TransTonsShort[[#This Row],[Transp_ID]])*TransTonsShort[[#This Row],[Trans_Tons_All]]/TransTonsShort[[#This Row],[Trans_Tons_All]],"")</f>
        <v/>
      </c>
      <c r="X441" s="386" t="str">
        <f>TransTonsShort[[#This Row],[Grouping_ID]]&amp;"-"&amp;TransTonsShort[[#This Row],[Sector_ID]]</f>
        <v>3-2</v>
      </c>
      <c r="Y4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1" s="421">
        <f>INDEX(LandfillFees[Disposal Tip Fee 2025],MATCH(TransTonsShort[[#This Row],[Grouping_ID]],LandfillFees[Grouping_ID],0))</f>
        <v>72.030938699729589</v>
      </c>
      <c r="AA441" s="102">
        <f>IF(OR(TransTonsShort[[#This Row],[CollectionStream_ID]]="03",TransTonsShort[[#This Row],[CollectionStream_ID]]="04",TransTonsShort[[#This Row],[CollectionStream_ID]]="13"),0,TransTonsShort[[#This Row],[Trans_Tons_All]]*TransTonsShort[[#This Row],[Disposal_Fee]])</f>
        <v>0</v>
      </c>
      <c r="AF441" s="446" t="s">
        <v>1614</v>
      </c>
      <c r="AG441" s="442" t="str">
        <f>LEFT(SecondaryTransport[[#This Row],[Scenario_MRF_Bale_ID]],2)</f>
        <v>S4</v>
      </c>
      <c r="AH441" s="181" t="str">
        <f>LEFT(RIGHT(SecondaryTransport[[#This Row],[Scenario_MRF_Bale_ID]],10),2)</f>
        <v>08</v>
      </c>
      <c r="AI441" s="181" t="str">
        <f>INDEX(MRFs[MRF_Name],MATCH(SecondaryTransport[[#This Row],[MRF_ID]],MRFs[MRF_ID],0))</f>
        <v>1 MRF for DS fiber (Salem)</v>
      </c>
      <c r="AJ441" s="181" t="str">
        <f>RIGHT(SecondaryTransport[[#This Row],[Scenario_MRF_Bale_ID]],7)</f>
        <v>1000-03</v>
      </c>
      <c r="AK441" s="181" t="str">
        <f>INDEX(Bales[Bale_Name],MATCH(SecondaryTransport[[#This Row],[Bale_ID]],Bales[Bale_ID],0))</f>
        <v>Sorted residential paper and news</v>
      </c>
      <c r="AL441" s="443">
        <f>INDEX(BaleMover[Total_Baled_tons],MATCH(SecondaryTransport[[#This Row],[Scenario_MRF_Bale_ID]],BaleMover[Scenario_MRF_Bale_ID],0))</f>
        <v>16230.349714906968</v>
      </c>
      <c r="AM441" s="443">
        <f>IF(INDEX(BaleMover[Miles],MATCH(SecondaryTransport[[#This Row],[Scenario_MRF_Bale_ID]],BaleMover[Scenario_MRF_Bale_ID],0))="",0,INDEX(BaleMover[Miles],MATCH(SecondaryTransport[[#This Row],[Scenario_MRF_Bale_ID]],BaleMover[Scenario_MRF_Bale_ID],0)))</f>
        <v>65</v>
      </c>
      <c r="AN441" s="251">
        <f>IF(SecondaryTransport[[#This Row],[Bale_ID]]="9000-01","costs elsewhere",SecondaryTransport[[#This Row],[Total_Baled_tons]]*SecondaryTransport[[#This Row],[Miles]])</f>
        <v>1054972.731468953</v>
      </c>
      <c r="AO441" s="352" t="str">
        <f>IF(LEFT(SecondaryTransport[[#This Row],[Bale_ID]],1)*1=5,IF(OR(SecondaryTransport[[#This Row],[MRF_ID]]="02",SecondaryTransport[[#This Row],[MRF_ID]]="08"),2,1),"")</f>
        <v/>
      </c>
      <c r="AP4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4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41" s="224" t="str">
        <f>IFERROR(IF(1*LEFT(SecondaryTransport[[#This Row],[Bale_ID]],1)=5,SecondaryTransport[[#This Row],[Ton-Miles]]*SecondaryTransport[[#This Row],[Cost_Per_Ton-Mile]],""),"")</f>
        <v/>
      </c>
      <c r="AS441" s="224">
        <f>IFERROR(IF(SecondaryTransport[[#This Row],[Container_Transfer]]="",(SecondaryTransport[[#This Row],[Ton-Miles]]*SecondaryTransport[[#This Row],[Cost_Per_Ton-Mile]]),""),"")</f>
        <v>327041.5467553754</v>
      </c>
    </row>
    <row r="442" spans="12:45" ht="15" x14ac:dyDescent="0.25">
      <c r="L442" s="446" t="s">
        <v>875</v>
      </c>
      <c r="M442" s="446">
        <v>4</v>
      </c>
      <c r="N442" s="446">
        <v>2</v>
      </c>
      <c r="O442" s="448" t="s">
        <v>752</v>
      </c>
      <c r="P442" s="449" t="s">
        <v>700</v>
      </c>
      <c r="Q442" s="449"/>
      <c r="R442" s="449"/>
      <c r="S442" s="449" t="s">
        <v>964</v>
      </c>
      <c r="T442" s="449" t="s">
        <v>701</v>
      </c>
      <c r="U442" s="452">
        <v>0</v>
      </c>
      <c r="V4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2" s="272" t="str">
        <f>IFERROR(SUMIFS(TransUnitCost[Miles],TransUnitCost[Grouping_ID],TransTonsShort[[#This Row],[Grouping_ID]],TransUnitCost[Transp_ID],TransTonsShort[[#This Row],[Transp_ID]])*TransTonsShort[[#This Row],[Trans_Tons_All]]/TransTonsShort[[#This Row],[Trans_Tons_All]],"")</f>
        <v/>
      </c>
      <c r="X442" s="386" t="str">
        <f>TransTonsShort[[#This Row],[Grouping_ID]]&amp;"-"&amp;TransTonsShort[[#This Row],[Sector_ID]]</f>
        <v>4-2</v>
      </c>
      <c r="Y4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2" s="421">
        <f>INDEX(LandfillFees[Disposal Tip Fee 2025],MATCH(TransTonsShort[[#This Row],[Grouping_ID]],LandfillFees[Grouping_ID],0))</f>
        <v>72.030938699729589</v>
      </c>
      <c r="AA442" s="102">
        <f>IF(OR(TransTonsShort[[#This Row],[CollectionStream_ID]]="03",TransTonsShort[[#This Row],[CollectionStream_ID]]="04",TransTonsShort[[#This Row],[CollectionStream_ID]]="13"),0,TransTonsShort[[#This Row],[Trans_Tons_All]]*TransTonsShort[[#This Row],[Disposal_Fee]])</f>
        <v>0</v>
      </c>
      <c r="AF442" s="446" t="s">
        <v>1615</v>
      </c>
      <c r="AG442" s="442" t="str">
        <f>LEFT(SecondaryTransport[[#This Row],[Scenario_MRF_Bale_ID]],2)</f>
        <v>S4</v>
      </c>
      <c r="AH442" s="181" t="str">
        <f>LEFT(RIGHT(SecondaryTransport[[#This Row],[Scenario_MRF_Bale_ID]],10),2)</f>
        <v>08</v>
      </c>
      <c r="AI442" s="181" t="str">
        <f>INDEX(MRFs[MRF_Name],MATCH(SecondaryTransport[[#This Row],[MRF_ID]],MRFs[MRF_ID],0))</f>
        <v>1 MRF for DS fiber (Salem)</v>
      </c>
      <c r="AJ442" s="181" t="str">
        <f>RIGHT(SecondaryTransport[[#This Row],[Scenario_MRF_Bale_ID]],7)</f>
        <v>1000-04</v>
      </c>
      <c r="AK442" s="181" t="str">
        <f>INDEX(Bales[Bale_Name],MATCH(SecondaryTransport[[#This Row],[Bale_ID]],Bales[Bale_ID],0))</f>
        <v>Sorted office paper and sorted white ledger</v>
      </c>
      <c r="AL442" s="443">
        <f>INDEX(BaleMover[Total_Baled_tons],MATCH(SecondaryTransport[[#This Row],[Scenario_MRF_Bale_ID]],BaleMover[Scenario_MRF_Bale_ID],0))</f>
        <v>0</v>
      </c>
      <c r="AM442" s="443">
        <f>IF(INDEX(BaleMover[Miles],MATCH(SecondaryTransport[[#This Row],[Scenario_MRF_Bale_ID]],BaleMover[Scenario_MRF_Bale_ID],0))="",0,INDEX(BaleMover[Miles],MATCH(SecondaryTransport[[#This Row],[Scenario_MRF_Bale_ID]],BaleMover[Scenario_MRF_Bale_ID],0)))</f>
        <v>0</v>
      </c>
      <c r="AN442" s="251">
        <f>IF(SecondaryTransport[[#This Row],[Bale_ID]]="9000-01","costs elsewhere",SecondaryTransport[[#This Row],[Total_Baled_tons]]*SecondaryTransport[[#This Row],[Miles]])</f>
        <v>0</v>
      </c>
      <c r="AO442" s="352" t="str">
        <f>IF(LEFT(SecondaryTransport[[#This Row],[Bale_ID]],1)*1=5,IF(OR(SecondaryTransport[[#This Row],[MRF_ID]]="02",SecondaryTransport[[#This Row],[MRF_ID]]="08"),2,1),"")</f>
        <v/>
      </c>
      <c r="AP4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2" s="224" t="str">
        <f>IFERROR(IF(1*LEFT(SecondaryTransport[[#This Row],[Bale_ID]],1)=5,SecondaryTransport[[#This Row],[Ton-Miles]]*SecondaryTransport[[#This Row],[Cost_Per_Ton-Mile]],""),"")</f>
        <v/>
      </c>
      <c r="AS442" s="224" t="str">
        <f>IFERROR(IF(SecondaryTransport[[#This Row],[Container_Transfer]]="",(SecondaryTransport[[#This Row],[Ton-Miles]]*SecondaryTransport[[#This Row],[Cost_Per_Ton-Mile]]),""),"")</f>
        <v/>
      </c>
    </row>
    <row r="443" spans="12:45" ht="15" x14ac:dyDescent="0.25">
      <c r="L443" s="446" t="s">
        <v>875</v>
      </c>
      <c r="M443" s="446">
        <v>1</v>
      </c>
      <c r="N443" s="446">
        <v>2</v>
      </c>
      <c r="O443" s="448" t="s">
        <v>752</v>
      </c>
      <c r="P443" s="449" t="s">
        <v>706</v>
      </c>
      <c r="Q443" s="449"/>
      <c r="R443" s="449"/>
      <c r="S443" s="449" t="s">
        <v>964</v>
      </c>
      <c r="T443" s="449" t="s">
        <v>1025</v>
      </c>
      <c r="U443" s="452">
        <v>0</v>
      </c>
      <c r="V4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3" s="272" t="str">
        <f>IFERROR(SUMIFS(TransUnitCost[Miles],TransUnitCost[Grouping_ID],TransTonsShort[[#This Row],[Grouping_ID]],TransUnitCost[Transp_ID],TransTonsShort[[#This Row],[Transp_ID]])*TransTonsShort[[#This Row],[Trans_Tons_All]]/TransTonsShort[[#This Row],[Trans_Tons_All]],"")</f>
        <v/>
      </c>
      <c r="X443" s="386" t="str">
        <f>TransTonsShort[[#This Row],[Grouping_ID]]&amp;"-"&amp;TransTonsShort[[#This Row],[Sector_ID]]</f>
        <v>1-2</v>
      </c>
      <c r="Y4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3" s="421">
        <f>INDEX(LandfillFees[Disposal Tip Fee 2025],MATCH(TransTonsShort[[#This Row],[Grouping_ID]],LandfillFees[Grouping_ID],0))</f>
        <v>134.68</v>
      </c>
      <c r="AA443" s="102">
        <f>IF(OR(TransTonsShort[[#This Row],[CollectionStream_ID]]="03",TransTonsShort[[#This Row],[CollectionStream_ID]]="04",TransTonsShort[[#This Row],[CollectionStream_ID]]="13"),0,TransTonsShort[[#This Row],[Trans_Tons_All]]*TransTonsShort[[#This Row],[Disposal_Fee]])</f>
        <v>0</v>
      </c>
      <c r="AF443" s="446" t="s">
        <v>1616</v>
      </c>
      <c r="AG443" s="442" t="str">
        <f>LEFT(SecondaryTransport[[#This Row],[Scenario_MRF_Bale_ID]],2)</f>
        <v>S4</v>
      </c>
      <c r="AH443" s="181" t="str">
        <f>LEFT(RIGHT(SecondaryTransport[[#This Row],[Scenario_MRF_Bale_ID]],10),2)</f>
        <v>08</v>
      </c>
      <c r="AI443" s="181" t="str">
        <f>INDEX(MRFs[MRF_Name],MATCH(SecondaryTransport[[#This Row],[MRF_ID]],MRFs[MRF_ID],0))</f>
        <v>1 MRF for DS fiber (Salem)</v>
      </c>
      <c r="AJ443" s="181" t="str">
        <f>RIGHT(SecondaryTransport[[#This Row],[Scenario_MRF_Bale_ID]],7)</f>
        <v>1000-05</v>
      </c>
      <c r="AK443" s="181" t="str">
        <f>INDEX(Bales[Bale_Name],MATCH(SecondaryTransport[[#This Row],[Bale_ID]],Bales[Bale_ID],0))</f>
        <v>Mixed paper</v>
      </c>
      <c r="AL443" s="443">
        <f>INDEX(BaleMover[Total_Baled_tons],MATCH(SecondaryTransport[[#This Row],[Scenario_MRF_Bale_ID]],BaleMover[Scenario_MRF_Bale_ID],0))</f>
        <v>10863.644780693921</v>
      </c>
      <c r="AM443" s="443">
        <f>IF(INDEX(BaleMover[Miles],MATCH(SecondaryTransport[[#This Row],[Scenario_MRF_Bale_ID]],BaleMover[Scenario_MRF_Bale_ID],0))="",0,INDEX(BaleMover[Miles],MATCH(SecondaryTransport[[#This Row],[Scenario_MRF_Bale_ID]],BaleMover[Scenario_MRF_Bale_ID],0)))</f>
        <v>100</v>
      </c>
      <c r="AN443" s="251">
        <f>IF(SecondaryTransport[[#This Row],[Bale_ID]]="9000-01","costs elsewhere",SecondaryTransport[[#This Row],[Total_Baled_tons]]*SecondaryTransport[[#This Row],[Miles]])</f>
        <v>1086364.478069392</v>
      </c>
      <c r="AO443" s="352" t="str">
        <f>IF(LEFT(SecondaryTransport[[#This Row],[Bale_ID]],1)*1=5,IF(OR(SecondaryTransport[[#This Row],[MRF_ID]]="02",SecondaryTransport[[#This Row],[MRF_ID]]="08"),2,1),"")</f>
        <v/>
      </c>
      <c r="AP4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4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43" s="224" t="str">
        <f>IFERROR(IF(1*LEFT(SecondaryTransport[[#This Row],[Bale_ID]],1)=5,SecondaryTransport[[#This Row],[Ton-Miles]]*SecondaryTransport[[#This Row],[Cost_Per_Ton-Mile]],""),"")</f>
        <v/>
      </c>
      <c r="AS443" s="224">
        <f>IFERROR(IF(SecondaryTransport[[#This Row],[Container_Transfer]]="",(SecondaryTransport[[#This Row],[Ton-Miles]]*SecondaryTransport[[#This Row],[Cost_Per_Ton-Mile]]),""),"")</f>
        <v>206409.25083318449</v>
      </c>
    </row>
    <row r="444" spans="12:45" ht="15" x14ac:dyDescent="0.25">
      <c r="L444" s="446" t="s">
        <v>875</v>
      </c>
      <c r="M444" s="446">
        <v>2</v>
      </c>
      <c r="N444" s="446">
        <v>2</v>
      </c>
      <c r="O444" s="448" t="s">
        <v>752</v>
      </c>
      <c r="P444" s="449" t="s">
        <v>706</v>
      </c>
      <c r="Q444" s="449"/>
      <c r="R444" s="449"/>
      <c r="S444" s="449" t="s">
        <v>964</v>
      </c>
      <c r="T444" s="449" t="s">
        <v>1025</v>
      </c>
      <c r="U444" s="452">
        <v>0</v>
      </c>
      <c r="V4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4" s="272" t="str">
        <f>IFERROR(SUMIFS(TransUnitCost[Miles],TransUnitCost[Grouping_ID],TransTonsShort[[#This Row],[Grouping_ID]],TransUnitCost[Transp_ID],TransTonsShort[[#This Row],[Transp_ID]])*TransTonsShort[[#This Row],[Trans_Tons_All]]/TransTonsShort[[#This Row],[Trans_Tons_All]],"")</f>
        <v/>
      </c>
      <c r="X444" s="386" t="str">
        <f>TransTonsShort[[#This Row],[Grouping_ID]]&amp;"-"&amp;TransTonsShort[[#This Row],[Sector_ID]]</f>
        <v>2-2</v>
      </c>
      <c r="Y4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4" s="421">
        <f>INDEX(LandfillFees[Disposal Tip Fee 2025],MATCH(TransTonsShort[[#This Row],[Grouping_ID]],LandfillFees[Grouping_ID],0))</f>
        <v>72.030938699729589</v>
      </c>
      <c r="AA444" s="102">
        <f>IF(OR(TransTonsShort[[#This Row],[CollectionStream_ID]]="03",TransTonsShort[[#This Row],[CollectionStream_ID]]="04",TransTonsShort[[#This Row],[CollectionStream_ID]]="13"),0,TransTonsShort[[#This Row],[Trans_Tons_All]]*TransTonsShort[[#This Row],[Disposal_Fee]])</f>
        <v>0</v>
      </c>
      <c r="AF444" s="446" t="s">
        <v>1617</v>
      </c>
      <c r="AG444" s="442" t="str">
        <f>LEFT(SecondaryTransport[[#This Row],[Scenario_MRF_Bale_ID]],2)</f>
        <v>S4</v>
      </c>
      <c r="AH444" s="181" t="str">
        <f>LEFT(RIGHT(SecondaryTransport[[#This Row],[Scenario_MRF_Bale_ID]],10),2)</f>
        <v>08</v>
      </c>
      <c r="AI444" s="181" t="str">
        <f>INDEX(MRFs[MRF_Name],MATCH(SecondaryTransport[[#This Row],[MRF_ID]],MRFs[MRF_ID],0))</f>
        <v>1 MRF for DS fiber (Salem)</v>
      </c>
      <c r="AJ444" s="181" t="str">
        <f>RIGHT(SecondaryTransport[[#This Row],[Scenario_MRF_Bale_ID]],7)</f>
        <v>1000-06</v>
      </c>
      <c r="AK444" s="181" t="str">
        <f>INDEX(Bales[Bale_Name],MATCH(SecondaryTransport[[#This Row],[Bale_ID]],Bales[Bale_ID],0))</f>
        <v>Paperboard/old boxboard</v>
      </c>
      <c r="AL444" s="443">
        <f>INDEX(BaleMover[Total_Baled_tons],MATCH(SecondaryTransport[[#This Row],[Scenario_MRF_Bale_ID]],BaleMover[Scenario_MRF_Bale_ID],0))</f>
        <v>0</v>
      </c>
      <c r="AM444" s="443">
        <f>IF(INDEX(BaleMover[Miles],MATCH(SecondaryTransport[[#This Row],[Scenario_MRF_Bale_ID]],BaleMover[Scenario_MRF_Bale_ID],0))="",0,INDEX(BaleMover[Miles],MATCH(SecondaryTransport[[#This Row],[Scenario_MRF_Bale_ID]],BaleMover[Scenario_MRF_Bale_ID],0)))</f>
        <v>0</v>
      </c>
      <c r="AN444" s="251">
        <f>IF(SecondaryTransport[[#This Row],[Bale_ID]]="9000-01","costs elsewhere",SecondaryTransport[[#This Row],[Total_Baled_tons]]*SecondaryTransport[[#This Row],[Miles]])</f>
        <v>0</v>
      </c>
      <c r="AO444" s="352" t="str">
        <f>IF(LEFT(SecondaryTransport[[#This Row],[Bale_ID]],1)*1=5,IF(OR(SecondaryTransport[[#This Row],[MRF_ID]]="02",SecondaryTransport[[#This Row],[MRF_ID]]="08"),2,1),"")</f>
        <v/>
      </c>
      <c r="AP4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4" s="224" t="str">
        <f>IFERROR(IF(1*LEFT(SecondaryTransport[[#This Row],[Bale_ID]],1)=5,SecondaryTransport[[#This Row],[Ton-Miles]]*SecondaryTransport[[#This Row],[Cost_Per_Ton-Mile]],""),"")</f>
        <v/>
      </c>
      <c r="AS444" s="224" t="str">
        <f>IFERROR(IF(SecondaryTransport[[#This Row],[Container_Transfer]]="",(SecondaryTransport[[#This Row],[Ton-Miles]]*SecondaryTransport[[#This Row],[Cost_Per_Ton-Mile]]),""),"")</f>
        <v/>
      </c>
    </row>
    <row r="445" spans="12:45" ht="15" x14ac:dyDescent="0.25">
      <c r="L445" s="446" t="s">
        <v>875</v>
      </c>
      <c r="M445" s="446">
        <v>3</v>
      </c>
      <c r="N445" s="446">
        <v>2</v>
      </c>
      <c r="O445" s="448" t="s">
        <v>752</v>
      </c>
      <c r="P445" s="449" t="s">
        <v>706</v>
      </c>
      <c r="Q445" s="449"/>
      <c r="R445" s="449"/>
      <c r="S445" s="449" t="s">
        <v>964</v>
      </c>
      <c r="T445" s="449" t="s">
        <v>1025</v>
      </c>
      <c r="U445" s="452">
        <v>0</v>
      </c>
      <c r="V4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5" s="272" t="str">
        <f>IFERROR(SUMIFS(TransUnitCost[Miles],TransUnitCost[Grouping_ID],TransTonsShort[[#This Row],[Grouping_ID]],TransUnitCost[Transp_ID],TransTonsShort[[#This Row],[Transp_ID]])*TransTonsShort[[#This Row],[Trans_Tons_All]]/TransTonsShort[[#This Row],[Trans_Tons_All]],"")</f>
        <v/>
      </c>
      <c r="X445" s="386" t="str">
        <f>TransTonsShort[[#This Row],[Grouping_ID]]&amp;"-"&amp;TransTonsShort[[#This Row],[Sector_ID]]</f>
        <v>3-2</v>
      </c>
      <c r="Y4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5" s="421">
        <f>INDEX(LandfillFees[Disposal Tip Fee 2025],MATCH(TransTonsShort[[#This Row],[Grouping_ID]],LandfillFees[Grouping_ID],0))</f>
        <v>72.030938699729589</v>
      </c>
      <c r="AA445" s="102">
        <f>IF(OR(TransTonsShort[[#This Row],[CollectionStream_ID]]="03",TransTonsShort[[#This Row],[CollectionStream_ID]]="04",TransTonsShort[[#This Row],[CollectionStream_ID]]="13"),0,TransTonsShort[[#This Row],[Trans_Tons_All]]*TransTonsShort[[#This Row],[Disposal_Fee]])</f>
        <v>0</v>
      </c>
      <c r="AF445" s="446" t="s">
        <v>1618</v>
      </c>
      <c r="AG445" s="442" t="str">
        <f>LEFT(SecondaryTransport[[#This Row],[Scenario_MRF_Bale_ID]],2)</f>
        <v>S4</v>
      </c>
      <c r="AH445" s="181" t="str">
        <f>LEFT(RIGHT(SecondaryTransport[[#This Row],[Scenario_MRF_Bale_ID]],10),2)</f>
        <v>08</v>
      </c>
      <c r="AI445" s="181" t="str">
        <f>INDEX(MRFs[MRF_Name],MATCH(SecondaryTransport[[#This Row],[MRF_ID]],MRFs[MRF_ID],0))</f>
        <v>1 MRF for DS fiber (Salem)</v>
      </c>
      <c r="AJ445" s="181" t="str">
        <f>RIGHT(SecondaryTransport[[#This Row],[Scenario_MRF_Bale_ID]],7)</f>
        <v>1000-07</v>
      </c>
      <c r="AK445" s="181" t="str">
        <f>INDEX(Bales[Bale_Name],MATCH(SecondaryTransport[[#This Row],[Bale_ID]],Bales[Bale_ID],0))</f>
        <v>Aseptic and gable-top cartons</v>
      </c>
      <c r="AL445" s="443">
        <f>INDEX(BaleMover[Total_Baled_tons],MATCH(SecondaryTransport[[#This Row],[Scenario_MRF_Bale_ID]],BaleMover[Scenario_MRF_Bale_ID],0))</f>
        <v>0</v>
      </c>
      <c r="AM445" s="443">
        <f>IF(INDEX(BaleMover[Miles],MATCH(SecondaryTransport[[#This Row],[Scenario_MRF_Bale_ID]],BaleMover[Scenario_MRF_Bale_ID],0))="",0,INDEX(BaleMover[Miles],MATCH(SecondaryTransport[[#This Row],[Scenario_MRF_Bale_ID]],BaleMover[Scenario_MRF_Bale_ID],0)))</f>
        <v>0</v>
      </c>
      <c r="AN445" s="251">
        <f>IF(SecondaryTransport[[#This Row],[Bale_ID]]="9000-01","costs elsewhere",SecondaryTransport[[#This Row],[Total_Baled_tons]]*SecondaryTransport[[#This Row],[Miles]])</f>
        <v>0</v>
      </c>
      <c r="AO445" s="352" t="str">
        <f>IF(LEFT(SecondaryTransport[[#This Row],[Bale_ID]],1)*1=5,IF(OR(SecondaryTransport[[#This Row],[MRF_ID]]="02",SecondaryTransport[[#This Row],[MRF_ID]]="08"),2,1),"")</f>
        <v/>
      </c>
      <c r="AP4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5" s="224" t="str">
        <f>IFERROR(IF(1*LEFT(SecondaryTransport[[#This Row],[Bale_ID]],1)=5,SecondaryTransport[[#This Row],[Ton-Miles]]*SecondaryTransport[[#This Row],[Cost_Per_Ton-Mile]],""),"")</f>
        <v/>
      </c>
      <c r="AS445" s="224" t="str">
        <f>IFERROR(IF(SecondaryTransport[[#This Row],[Container_Transfer]]="",(SecondaryTransport[[#This Row],[Ton-Miles]]*SecondaryTransport[[#This Row],[Cost_Per_Ton-Mile]]),""),"")</f>
        <v/>
      </c>
    </row>
    <row r="446" spans="12:45" ht="15" x14ac:dyDescent="0.25">
      <c r="L446" s="446" t="s">
        <v>875</v>
      </c>
      <c r="M446" s="446">
        <v>4</v>
      </c>
      <c r="N446" s="446">
        <v>2</v>
      </c>
      <c r="O446" s="448" t="s">
        <v>752</v>
      </c>
      <c r="P446" s="449" t="s">
        <v>706</v>
      </c>
      <c r="Q446" s="449"/>
      <c r="R446" s="449"/>
      <c r="S446" s="449" t="s">
        <v>964</v>
      </c>
      <c r="T446" s="449" t="s">
        <v>1025</v>
      </c>
      <c r="U446" s="452">
        <v>0</v>
      </c>
      <c r="V4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6" s="272" t="str">
        <f>IFERROR(SUMIFS(TransUnitCost[Miles],TransUnitCost[Grouping_ID],TransTonsShort[[#This Row],[Grouping_ID]],TransUnitCost[Transp_ID],TransTonsShort[[#This Row],[Transp_ID]])*TransTonsShort[[#This Row],[Trans_Tons_All]]/TransTonsShort[[#This Row],[Trans_Tons_All]],"")</f>
        <v/>
      </c>
      <c r="X446" s="386" t="str">
        <f>TransTonsShort[[#This Row],[Grouping_ID]]&amp;"-"&amp;TransTonsShort[[#This Row],[Sector_ID]]</f>
        <v>4-2</v>
      </c>
      <c r="Y4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6" s="421">
        <f>INDEX(LandfillFees[Disposal Tip Fee 2025],MATCH(TransTonsShort[[#This Row],[Grouping_ID]],LandfillFees[Grouping_ID],0))</f>
        <v>72.030938699729589</v>
      </c>
      <c r="AA446" s="102">
        <f>IF(OR(TransTonsShort[[#This Row],[CollectionStream_ID]]="03",TransTonsShort[[#This Row],[CollectionStream_ID]]="04",TransTonsShort[[#This Row],[CollectionStream_ID]]="13"),0,TransTonsShort[[#This Row],[Trans_Tons_All]]*TransTonsShort[[#This Row],[Disposal_Fee]])</f>
        <v>0</v>
      </c>
      <c r="AF446" s="446" t="s">
        <v>1619</v>
      </c>
      <c r="AG446" s="442" t="str">
        <f>LEFT(SecondaryTransport[[#This Row],[Scenario_MRF_Bale_ID]],2)</f>
        <v>S4</v>
      </c>
      <c r="AH446" s="181" t="str">
        <f>LEFT(RIGHT(SecondaryTransport[[#This Row],[Scenario_MRF_Bale_ID]],10),2)</f>
        <v>08</v>
      </c>
      <c r="AI446" s="181" t="str">
        <f>INDEX(MRFs[MRF_Name],MATCH(SecondaryTransport[[#This Row],[MRF_ID]],MRFs[MRF_ID],0))</f>
        <v>1 MRF for DS fiber (Salem)</v>
      </c>
      <c r="AJ446" s="181" t="str">
        <f>RIGHT(SecondaryTransport[[#This Row],[Scenario_MRF_Bale_ID]],7)</f>
        <v>1000-08</v>
      </c>
      <c r="AK446" s="181" t="str">
        <f>INDEX(Bales[Bale_Name],MATCH(SecondaryTransport[[#This Row],[Bale_ID]],Bales[Bale_ID],0))</f>
        <v>Polycoated cups and containers</v>
      </c>
      <c r="AL446" s="443">
        <f>INDEX(BaleMover[Total_Baled_tons],MATCH(SecondaryTransport[[#This Row],[Scenario_MRF_Bale_ID]],BaleMover[Scenario_MRF_Bale_ID],0))</f>
        <v>0</v>
      </c>
      <c r="AM446" s="443">
        <f>IF(INDEX(BaleMover[Miles],MATCH(SecondaryTransport[[#This Row],[Scenario_MRF_Bale_ID]],BaleMover[Scenario_MRF_Bale_ID],0))="",0,INDEX(BaleMover[Miles],MATCH(SecondaryTransport[[#This Row],[Scenario_MRF_Bale_ID]],BaleMover[Scenario_MRF_Bale_ID],0)))</f>
        <v>0</v>
      </c>
      <c r="AN446" s="251">
        <f>IF(SecondaryTransport[[#This Row],[Bale_ID]]="9000-01","costs elsewhere",SecondaryTransport[[#This Row],[Total_Baled_tons]]*SecondaryTransport[[#This Row],[Miles]])</f>
        <v>0</v>
      </c>
      <c r="AO446" s="352" t="str">
        <f>IF(LEFT(SecondaryTransport[[#This Row],[Bale_ID]],1)*1=5,IF(OR(SecondaryTransport[[#This Row],[MRF_ID]]="02",SecondaryTransport[[#This Row],[MRF_ID]]="08"),2,1),"")</f>
        <v/>
      </c>
      <c r="AP4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6" s="224" t="str">
        <f>IFERROR(IF(1*LEFT(SecondaryTransport[[#This Row],[Bale_ID]],1)=5,SecondaryTransport[[#This Row],[Ton-Miles]]*SecondaryTransport[[#This Row],[Cost_Per_Ton-Mile]],""),"")</f>
        <v/>
      </c>
      <c r="AS446" s="224" t="str">
        <f>IFERROR(IF(SecondaryTransport[[#This Row],[Container_Transfer]]="",(SecondaryTransport[[#This Row],[Ton-Miles]]*SecondaryTransport[[#This Row],[Cost_Per_Ton-Mile]]),""),"")</f>
        <v/>
      </c>
    </row>
    <row r="447" spans="12:45" ht="15" x14ac:dyDescent="0.25">
      <c r="L447" s="446" t="s">
        <v>875</v>
      </c>
      <c r="M447" s="446">
        <v>1</v>
      </c>
      <c r="N447" s="446">
        <v>2</v>
      </c>
      <c r="O447" s="448" t="s">
        <v>750</v>
      </c>
      <c r="P447" s="449" t="s">
        <v>739</v>
      </c>
      <c r="Q447" s="449"/>
      <c r="R447" s="449"/>
      <c r="S447" s="449" t="s">
        <v>963</v>
      </c>
      <c r="T447" s="449" t="s">
        <v>1121</v>
      </c>
      <c r="U447" s="452">
        <v>0</v>
      </c>
      <c r="V4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7" s="272" t="str">
        <f>IFERROR(SUMIFS(TransUnitCost[Miles],TransUnitCost[Grouping_ID],TransTonsShort[[#This Row],[Grouping_ID]],TransUnitCost[Transp_ID],TransTonsShort[[#This Row],[Transp_ID]])*TransTonsShort[[#This Row],[Trans_Tons_All]]/TransTonsShort[[#This Row],[Trans_Tons_All]],"")</f>
        <v/>
      </c>
      <c r="X447" s="386" t="str">
        <f>TransTonsShort[[#This Row],[Grouping_ID]]&amp;"-"&amp;TransTonsShort[[#This Row],[Sector_ID]]</f>
        <v>1-2</v>
      </c>
      <c r="Y4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7" s="421">
        <f>INDEX(LandfillFees[Disposal Tip Fee 2025],MATCH(TransTonsShort[[#This Row],[Grouping_ID]],LandfillFees[Grouping_ID],0))</f>
        <v>134.68</v>
      </c>
      <c r="AA447" s="102">
        <f>IF(OR(TransTonsShort[[#This Row],[CollectionStream_ID]]="03",TransTonsShort[[#This Row],[CollectionStream_ID]]="04",TransTonsShort[[#This Row],[CollectionStream_ID]]="13"),0,TransTonsShort[[#This Row],[Trans_Tons_All]]*TransTonsShort[[#This Row],[Disposal_Fee]])</f>
        <v>0</v>
      </c>
      <c r="AF447" s="446" t="s">
        <v>1620</v>
      </c>
      <c r="AG447" s="442" t="str">
        <f>LEFT(SecondaryTransport[[#This Row],[Scenario_MRF_Bale_ID]],2)</f>
        <v>S4</v>
      </c>
      <c r="AH447" s="181" t="str">
        <f>LEFT(RIGHT(SecondaryTransport[[#This Row],[Scenario_MRF_Bale_ID]],10),2)</f>
        <v>08</v>
      </c>
      <c r="AI447" s="181" t="str">
        <f>INDEX(MRFs[MRF_Name],MATCH(SecondaryTransport[[#This Row],[MRF_ID]],MRFs[MRF_ID],0))</f>
        <v>1 MRF for DS fiber (Salem)</v>
      </c>
      <c r="AJ447" s="181" t="str">
        <f>RIGHT(SecondaryTransport[[#This Row],[Scenario_MRF_Bale_ID]],7)</f>
        <v>2000-01</v>
      </c>
      <c r="AK447" s="181" t="str">
        <f>INDEX(Bales[Bale_Name],MATCH(SecondaryTransport[[#This Row],[Bale_ID]],Bales[Bale_ID],0))</f>
        <v>PET #1 bottles and jars </v>
      </c>
      <c r="AL447" s="443">
        <f>INDEX(BaleMover[Total_Baled_tons],MATCH(SecondaryTransport[[#This Row],[Scenario_MRF_Bale_ID]],BaleMover[Scenario_MRF_Bale_ID],0))</f>
        <v>0</v>
      </c>
      <c r="AM447" s="443">
        <f>IF(INDEX(BaleMover[Miles],MATCH(SecondaryTransport[[#This Row],[Scenario_MRF_Bale_ID]],BaleMover[Scenario_MRF_Bale_ID],0))="",0,INDEX(BaleMover[Miles],MATCH(SecondaryTransport[[#This Row],[Scenario_MRF_Bale_ID]],BaleMover[Scenario_MRF_Bale_ID],0)))</f>
        <v>0</v>
      </c>
      <c r="AN447" s="251">
        <f>IF(SecondaryTransport[[#This Row],[Bale_ID]]="9000-01","costs elsewhere",SecondaryTransport[[#This Row],[Total_Baled_tons]]*SecondaryTransport[[#This Row],[Miles]])</f>
        <v>0</v>
      </c>
      <c r="AO447" s="352" t="str">
        <f>IF(LEFT(SecondaryTransport[[#This Row],[Bale_ID]],1)*1=5,IF(OR(SecondaryTransport[[#This Row],[MRF_ID]]="02",SecondaryTransport[[#This Row],[MRF_ID]]="08"),2,1),"")</f>
        <v/>
      </c>
      <c r="AP4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7" s="224" t="str">
        <f>IFERROR(IF(1*LEFT(SecondaryTransport[[#This Row],[Bale_ID]],1)=5,SecondaryTransport[[#This Row],[Ton-Miles]]*SecondaryTransport[[#This Row],[Cost_Per_Ton-Mile]],""),"")</f>
        <v/>
      </c>
      <c r="AS447" s="224" t="str">
        <f>IFERROR(IF(SecondaryTransport[[#This Row],[Container_Transfer]]="",(SecondaryTransport[[#This Row],[Ton-Miles]]*SecondaryTransport[[#This Row],[Cost_Per_Ton-Mile]]),""),"")</f>
        <v/>
      </c>
    </row>
    <row r="448" spans="12:45" ht="15" x14ac:dyDescent="0.25">
      <c r="L448" s="446" t="s">
        <v>875</v>
      </c>
      <c r="M448" s="446">
        <v>2</v>
      </c>
      <c r="N448" s="446">
        <v>2</v>
      </c>
      <c r="O448" s="448" t="s">
        <v>750</v>
      </c>
      <c r="P448" s="449" t="s">
        <v>739</v>
      </c>
      <c r="Q448" s="449"/>
      <c r="R448" s="449"/>
      <c r="S448" s="449" t="s">
        <v>963</v>
      </c>
      <c r="T448" s="449" t="s">
        <v>1121</v>
      </c>
      <c r="U448" s="452">
        <v>0</v>
      </c>
      <c r="V4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8" s="272" t="str">
        <f>IFERROR(SUMIFS(TransUnitCost[Miles],TransUnitCost[Grouping_ID],TransTonsShort[[#This Row],[Grouping_ID]],TransUnitCost[Transp_ID],TransTonsShort[[#This Row],[Transp_ID]])*TransTonsShort[[#This Row],[Trans_Tons_All]]/TransTonsShort[[#This Row],[Trans_Tons_All]],"")</f>
        <v/>
      </c>
      <c r="X448" s="386" t="str">
        <f>TransTonsShort[[#This Row],[Grouping_ID]]&amp;"-"&amp;TransTonsShort[[#This Row],[Sector_ID]]</f>
        <v>2-2</v>
      </c>
      <c r="Y4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8" s="421">
        <f>INDEX(LandfillFees[Disposal Tip Fee 2025],MATCH(TransTonsShort[[#This Row],[Grouping_ID]],LandfillFees[Grouping_ID],0))</f>
        <v>72.030938699729589</v>
      </c>
      <c r="AA448" s="102">
        <f>IF(OR(TransTonsShort[[#This Row],[CollectionStream_ID]]="03",TransTonsShort[[#This Row],[CollectionStream_ID]]="04",TransTonsShort[[#This Row],[CollectionStream_ID]]="13"),0,TransTonsShort[[#This Row],[Trans_Tons_All]]*TransTonsShort[[#This Row],[Disposal_Fee]])</f>
        <v>0</v>
      </c>
      <c r="AF448" s="446" t="s">
        <v>1621</v>
      </c>
      <c r="AG448" s="442" t="str">
        <f>LEFT(SecondaryTransport[[#This Row],[Scenario_MRF_Bale_ID]],2)</f>
        <v>S4</v>
      </c>
      <c r="AH448" s="181" t="str">
        <f>LEFT(RIGHT(SecondaryTransport[[#This Row],[Scenario_MRF_Bale_ID]],10),2)</f>
        <v>08</v>
      </c>
      <c r="AI448" s="181" t="str">
        <f>INDEX(MRFs[MRF_Name],MATCH(SecondaryTransport[[#This Row],[MRF_ID]],MRFs[MRF_ID],0))</f>
        <v>1 MRF for DS fiber (Salem)</v>
      </c>
      <c r="AJ448" s="181" t="str">
        <f>RIGHT(SecondaryTransport[[#This Row],[Scenario_MRF_Bale_ID]],7)</f>
        <v>2000-02</v>
      </c>
      <c r="AK448" s="181" t="str">
        <f>INDEX(Bales[Bale_Name],MATCH(SecondaryTransport[[#This Row],[Bale_ID]],Bales[Bale_ID],0))</f>
        <v>PET #1 thermoforms and tubs</v>
      </c>
      <c r="AL448" s="443">
        <f>INDEX(BaleMover[Total_Baled_tons],MATCH(SecondaryTransport[[#This Row],[Scenario_MRF_Bale_ID]],BaleMover[Scenario_MRF_Bale_ID],0))</f>
        <v>0</v>
      </c>
      <c r="AM448" s="443">
        <f>IF(INDEX(BaleMover[Miles],MATCH(SecondaryTransport[[#This Row],[Scenario_MRF_Bale_ID]],BaleMover[Scenario_MRF_Bale_ID],0))="",0,INDEX(BaleMover[Miles],MATCH(SecondaryTransport[[#This Row],[Scenario_MRF_Bale_ID]],BaleMover[Scenario_MRF_Bale_ID],0)))</f>
        <v>0</v>
      </c>
      <c r="AN448" s="251">
        <f>IF(SecondaryTransport[[#This Row],[Bale_ID]]="9000-01","costs elsewhere",SecondaryTransport[[#This Row],[Total_Baled_tons]]*SecondaryTransport[[#This Row],[Miles]])</f>
        <v>0</v>
      </c>
      <c r="AO448" s="352" t="str">
        <f>IF(LEFT(SecondaryTransport[[#This Row],[Bale_ID]],1)*1=5,IF(OR(SecondaryTransport[[#This Row],[MRF_ID]]="02",SecondaryTransport[[#This Row],[MRF_ID]]="08"),2,1),"")</f>
        <v/>
      </c>
      <c r="AP4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8" s="224" t="str">
        <f>IFERROR(IF(1*LEFT(SecondaryTransport[[#This Row],[Bale_ID]],1)=5,SecondaryTransport[[#This Row],[Ton-Miles]]*SecondaryTransport[[#This Row],[Cost_Per_Ton-Mile]],""),"")</f>
        <v/>
      </c>
      <c r="AS448" s="224" t="str">
        <f>IFERROR(IF(SecondaryTransport[[#This Row],[Container_Transfer]]="",(SecondaryTransport[[#This Row],[Ton-Miles]]*SecondaryTransport[[#This Row],[Cost_Per_Ton-Mile]]),""),"")</f>
        <v/>
      </c>
    </row>
    <row r="449" spans="12:45" ht="15" x14ac:dyDescent="0.25">
      <c r="L449" s="446" t="s">
        <v>875</v>
      </c>
      <c r="M449" s="446">
        <v>3</v>
      </c>
      <c r="N449" s="446">
        <v>2</v>
      </c>
      <c r="O449" s="448" t="s">
        <v>750</v>
      </c>
      <c r="P449" s="449" t="s">
        <v>739</v>
      </c>
      <c r="Q449" s="449"/>
      <c r="R449" s="449"/>
      <c r="S449" s="449" t="s">
        <v>963</v>
      </c>
      <c r="T449" s="449" t="s">
        <v>1121</v>
      </c>
      <c r="U449" s="452">
        <v>0</v>
      </c>
      <c r="V4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49" s="272" t="str">
        <f>IFERROR(SUMIFS(TransUnitCost[Miles],TransUnitCost[Grouping_ID],TransTonsShort[[#This Row],[Grouping_ID]],TransUnitCost[Transp_ID],TransTonsShort[[#This Row],[Transp_ID]])*TransTonsShort[[#This Row],[Trans_Tons_All]]/TransTonsShort[[#This Row],[Trans_Tons_All]],"")</f>
        <v/>
      </c>
      <c r="X449" s="386" t="str">
        <f>TransTonsShort[[#This Row],[Grouping_ID]]&amp;"-"&amp;TransTonsShort[[#This Row],[Sector_ID]]</f>
        <v>3-2</v>
      </c>
      <c r="Y4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49" s="421">
        <f>INDEX(LandfillFees[Disposal Tip Fee 2025],MATCH(TransTonsShort[[#This Row],[Grouping_ID]],LandfillFees[Grouping_ID],0))</f>
        <v>72.030938699729589</v>
      </c>
      <c r="AA449" s="102">
        <f>IF(OR(TransTonsShort[[#This Row],[CollectionStream_ID]]="03",TransTonsShort[[#This Row],[CollectionStream_ID]]="04",TransTonsShort[[#This Row],[CollectionStream_ID]]="13"),0,TransTonsShort[[#This Row],[Trans_Tons_All]]*TransTonsShort[[#This Row],[Disposal_Fee]])</f>
        <v>0</v>
      </c>
      <c r="AF449" s="446" t="s">
        <v>1622</v>
      </c>
      <c r="AG449" s="442" t="str">
        <f>LEFT(SecondaryTransport[[#This Row],[Scenario_MRF_Bale_ID]],2)</f>
        <v>S4</v>
      </c>
      <c r="AH449" s="181" t="str">
        <f>LEFT(RIGHT(SecondaryTransport[[#This Row],[Scenario_MRF_Bale_ID]],10),2)</f>
        <v>08</v>
      </c>
      <c r="AI449" s="181" t="str">
        <f>INDEX(MRFs[MRF_Name],MATCH(SecondaryTransport[[#This Row],[MRF_ID]],MRFs[MRF_ID],0))</f>
        <v>1 MRF for DS fiber (Salem)</v>
      </c>
      <c r="AJ449" s="181" t="str">
        <f>RIGHT(SecondaryTransport[[#This Row],[Scenario_MRF_Bale_ID]],7)</f>
        <v>2000-03</v>
      </c>
      <c r="AK449" s="181" t="str">
        <f>INDEX(Bales[Bale_Name],MATCH(SecondaryTransport[[#This Row],[Bale_ID]],Bales[Bale_ID],0))</f>
        <v>HDPE #2 natural bottles </v>
      </c>
      <c r="AL449" s="443">
        <f>INDEX(BaleMover[Total_Baled_tons],MATCH(SecondaryTransport[[#This Row],[Scenario_MRF_Bale_ID]],BaleMover[Scenario_MRF_Bale_ID],0))</f>
        <v>0</v>
      </c>
      <c r="AM449" s="443">
        <f>IF(INDEX(BaleMover[Miles],MATCH(SecondaryTransport[[#This Row],[Scenario_MRF_Bale_ID]],BaleMover[Scenario_MRF_Bale_ID],0))="",0,INDEX(BaleMover[Miles],MATCH(SecondaryTransport[[#This Row],[Scenario_MRF_Bale_ID]],BaleMover[Scenario_MRF_Bale_ID],0)))</f>
        <v>0</v>
      </c>
      <c r="AN449" s="251">
        <f>IF(SecondaryTransport[[#This Row],[Bale_ID]]="9000-01","costs elsewhere",SecondaryTransport[[#This Row],[Total_Baled_tons]]*SecondaryTransport[[#This Row],[Miles]])</f>
        <v>0</v>
      </c>
      <c r="AO449" s="352" t="str">
        <f>IF(LEFT(SecondaryTransport[[#This Row],[Bale_ID]],1)*1=5,IF(OR(SecondaryTransport[[#This Row],[MRF_ID]]="02",SecondaryTransport[[#This Row],[MRF_ID]]="08"),2,1),"")</f>
        <v/>
      </c>
      <c r="AP4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4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49" s="224" t="str">
        <f>IFERROR(IF(1*LEFT(SecondaryTransport[[#This Row],[Bale_ID]],1)=5,SecondaryTransport[[#This Row],[Ton-Miles]]*SecondaryTransport[[#This Row],[Cost_Per_Ton-Mile]],""),"")</f>
        <v/>
      </c>
      <c r="AS449" s="224" t="str">
        <f>IFERROR(IF(SecondaryTransport[[#This Row],[Container_Transfer]]="",(SecondaryTransport[[#This Row],[Ton-Miles]]*SecondaryTransport[[#This Row],[Cost_Per_Ton-Mile]]),""),"")</f>
        <v/>
      </c>
    </row>
    <row r="450" spans="12:45" ht="15" x14ac:dyDescent="0.25">
      <c r="L450" s="446" t="s">
        <v>875</v>
      </c>
      <c r="M450" s="446">
        <v>4</v>
      </c>
      <c r="N450" s="446">
        <v>2</v>
      </c>
      <c r="O450" s="448" t="s">
        <v>750</v>
      </c>
      <c r="P450" s="449" t="s">
        <v>739</v>
      </c>
      <c r="Q450" s="449"/>
      <c r="R450" s="449"/>
      <c r="S450" s="449" t="s">
        <v>963</v>
      </c>
      <c r="T450" s="449" t="s">
        <v>1121</v>
      </c>
      <c r="U450" s="452">
        <v>0</v>
      </c>
      <c r="V4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0" s="272" t="str">
        <f>IFERROR(SUMIFS(TransUnitCost[Miles],TransUnitCost[Grouping_ID],TransTonsShort[[#This Row],[Grouping_ID]],TransUnitCost[Transp_ID],TransTonsShort[[#This Row],[Transp_ID]])*TransTonsShort[[#This Row],[Trans_Tons_All]]/TransTonsShort[[#This Row],[Trans_Tons_All]],"")</f>
        <v/>
      </c>
      <c r="X450" s="386" t="str">
        <f>TransTonsShort[[#This Row],[Grouping_ID]]&amp;"-"&amp;TransTonsShort[[#This Row],[Sector_ID]]</f>
        <v>4-2</v>
      </c>
      <c r="Y4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0" s="421">
        <f>INDEX(LandfillFees[Disposal Tip Fee 2025],MATCH(TransTonsShort[[#This Row],[Grouping_ID]],LandfillFees[Grouping_ID],0))</f>
        <v>72.030938699729589</v>
      </c>
      <c r="AA450" s="102">
        <f>IF(OR(TransTonsShort[[#This Row],[CollectionStream_ID]]="03",TransTonsShort[[#This Row],[CollectionStream_ID]]="04",TransTonsShort[[#This Row],[CollectionStream_ID]]="13"),0,TransTonsShort[[#This Row],[Trans_Tons_All]]*TransTonsShort[[#This Row],[Disposal_Fee]])</f>
        <v>0</v>
      </c>
      <c r="AF450" s="446" t="s">
        <v>1623</v>
      </c>
      <c r="AG450" s="442" t="str">
        <f>LEFT(SecondaryTransport[[#This Row],[Scenario_MRF_Bale_ID]],2)</f>
        <v>S4</v>
      </c>
      <c r="AH450" s="181" t="str">
        <f>LEFT(RIGHT(SecondaryTransport[[#This Row],[Scenario_MRF_Bale_ID]],10),2)</f>
        <v>08</v>
      </c>
      <c r="AI450" s="181" t="str">
        <f>INDEX(MRFs[MRF_Name],MATCH(SecondaryTransport[[#This Row],[MRF_ID]],MRFs[MRF_ID],0))</f>
        <v>1 MRF for DS fiber (Salem)</v>
      </c>
      <c r="AJ450" s="181" t="str">
        <f>RIGHT(SecondaryTransport[[#This Row],[Scenario_MRF_Bale_ID]],7)</f>
        <v>2000-04</v>
      </c>
      <c r="AK450" s="181" t="str">
        <f>INDEX(Bales[Bale_Name],MATCH(SecondaryTransport[[#This Row],[Bale_ID]],Bales[Bale_ID],0))</f>
        <v>HDPE #2 colored bottles </v>
      </c>
      <c r="AL450" s="443">
        <f>INDEX(BaleMover[Total_Baled_tons],MATCH(SecondaryTransport[[#This Row],[Scenario_MRF_Bale_ID]],BaleMover[Scenario_MRF_Bale_ID],0))</f>
        <v>0</v>
      </c>
      <c r="AM450" s="443">
        <f>IF(INDEX(BaleMover[Miles],MATCH(SecondaryTransport[[#This Row],[Scenario_MRF_Bale_ID]],BaleMover[Scenario_MRF_Bale_ID],0))="",0,INDEX(BaleMover[Miles],MATCH(SecondaryTransport[[#This Row],[Scenario_MRF_Bale_ID]],BaleMover[Scenario_MRF_Bale_ID],0)))</f>
        <v>0</v>
      </c>
      <c r="AN450" s="251">
        <f>IF(SecondaryTransport[[#This Row],[Bale_ID]]="9000-01","costs elsewhere",SecondaryTransport[[#This Row],[Total_Baled_tons]]*SecondaryTransport[[#This Row],[Miles]])</f>
        <v>0</v>
      </c>
      <c r="AO450" s="352" t="str">
        <f>IF(LEFT(SecondaryTransport[[#This Row],[Bale_ID]],1)*1=5,IF(OR(SecondaryTransport[[#This Row],[MRF_ID]]="02",SecondaryTransport[[#This Row],[MRF_ID]]="08"),2,1),"")</f>
        <v/>
      </c>
      <c r="AP4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0" s="224" t="str">
        <f>IFERROR(IF(1*LEFT(SecondaryTransport[[#This Row],[Bale_ID]],1)=5,SecondaryTransport[[#This Row],[Ton-Miles]]*SecondaryTransport[[#This Row],[Cost_Per_Ton-Mile]],""),"")</f>
        <v/>
      </c>
      <c r="AS450" s="224" t="str">
        <f>IFERROR(IF(SecondaryTransport[[#This Row],[Container_Transfer]]="",(SecondaryTransport[[#This Row],[Ton-Miles]]*SecondaryTransport[[#This Row],[Cost_Per_Ton-Mile]]),""),"")</f>
        <v/>
      </c>
    </row>
    <row r="451" spans="12:45" ht="15" x14ac:dyDescent="0.25">
      <c r="L451" s="446" t="s">
        <v>875</v>
      </c>
      <c r="M451" s="446">
        <v>1</v>
      </c>
      <c r="N451" s="446">
        <v>2</v>
      </c>
      <c r="O451" s="446" t="s">
        <v>750</v>
      </c>
      <c r="P451" s="449" t="s">
        <v>700</v>
      </c>
      <c r="Q451" s="449"/>
      <c r="R451" s="449"/>
      <c r="S451" s="449" t="s">
        <v>963</v>
      </c>
      <c r="T451" s="449" t="s">
        <v>701</v>
      </c>
      <c r="U451" s="452">
        <v>0</v>
      </c>
      <c r="V4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1" s="272" t="str">
        <f>IFERROR(SUMIFS(TransUnitCost[Miles],TransUnitCost[Grouping_ID],TransTonsShort[[#This Row],[Grouping_ID]],TransUnitCost[Transp_ID],TransTonsShort[[#This Row],[Transp_ID]])*TransTonsShort[[#This Row],[Trans_Tons_All]]/TransTonsShort[[#This Row],[Trans_Tons_All]],"")</f>
        <v/>
      </c>
      <c r="X451" s="386" t="str">
        <f>TransTonsShort[[#This Row],[Grouping_ID]]&amp;"-"&amp;TransTonsShort[[#This Row],[Sector_ID]]</f>
        <v>1-2</v>
      </c>
      <c r="Y4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1" s="421">
        <f>INDEX(LandfillFees[Disposal Tip Fee 2025],MATCH(TransTonsShort[[#This Row],[Grouping_ID]],LandfillFees[Grouping_ID],0))</f>
        <v>134.68</v>
      </c>
      <c r="AA451" s="102">
        <f>IF(OR(TransTonsShort[[#This Row],[CollectionStream_ID]]="03",TransTonsShort[[#This Row],[CollectionStream_ID]]="04",TransTonsShort[[#This Row],[CollectionStream_ID]]="13"),0,TransTonsShort[[#This Row],[Trans_Tons_All]]*TransTonsShort[[#This Row],[Disposal_Fee]])</f>
        <v>0</v>
      </c>
      <c r="AF451" s="446" t="s">
        <v>1624</v>
      </c>
      <c r="AG451" s="442" t="str">
        <f>LEFT(SecondaryTransport[[#This Row],[Scenario_MRF_Bale_ID]],2)</f>
        <v>S4</v>
      </c>
      <c r="AH451" s="181" t="str">
        <f>LEFT(RIGHT(SecondaryTransport[[#This Row],[Scenario_MRF_Bale_ID]],10),2)</f>
        <v>08</v>
      </c>
      <c r="AI451" s="181" t="str">
        <f>INDEX(MRFs[MRF_Name],MATCH(SecondaryTransport[[#This Row],[MRF_ID]],MRFs[MRF_ID],0))</f>
        <v>1 MRF for DS fiber (Salem)</v>
      </c>
      <c r="AJ451" s="181" t="str">
        <f>RIGHT(SecondaryTransport[[#This Row],[Scenario_MRF_Bale_ID]],7)</f>
        <v>2000-05</v>
      </c>
      <c r="AK451" s="181" t="str">
        <f>INDEX(Bales[Bale_Name],MATCH(SecondaryTransport[[#This Row],[Bale_ID]],Bales[Bale_ID],0))</f>
        <v>HDPE #2 and PP #5 tubs </v>
      </c>
      <c r="AL451" s="443">
        <f>INDEX(BaleMover[Total_Baled_tons],MATCH(SecondaryTransport[[#This Row],[Scenario_MRF_Bale_ID]],BaleMover[Scenario_MRF_Bale_ID],0))</f>
        <v>0</v>
      </c>
      <c r="AM451" s="443">
        <f>IF(INDEX(BaleMover[Miles],MATCH(SecondaryTransport[[#This Row],[Scenario_MRF_Bale_ID]],BaleMover[Scenario_MRF_Bale_ID],0))="",0,INDEX(BaleMover[Miles],MATCH(SecondaryTransport[[#This Row],[Scenario_MRF_Bale_ID]],BaleMover[Scenario_MRF_Bale_ID],0)))</f>
        <v>0</v>
      </c>
      <c r="AN451" s="251">
        <f>IF(SecondaryTransport[[#This Row],[Bale_ID]]="9000-01","costs elsewhere",SecondaryTransport[[#This Row],[Total_Baled_tons]]*SecondaryTransport[[#This Row],[Miles]])</f>
        <v>0</v>
      </c>
      <c r="AO451" s="352" t="str">
        <f>IF(LEFT(SecondaryTransport[[#This Row],[Bale_ID]],1)*1=5,IF(OR(SecondaryTransport[[#This Row],[MRF_ID]]="02",SecondaryTransport[[#This Row],[MRF_ID]]="08"),2,1),"")</f>
        <v/>
      </c>
      <c r="AP4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1" s="224" t="str">
        <f>IFERROR(IF(1*LEFT(SecondaryTransport[[#This Row],[Bale_ID]],1)=5,SecondaryTransport[[#This Row],[Ton-Miles]]*SecondaryTransport[[#This Row],[Cost_Per_Ton-Mile]],""),"")</f>
        <v/>
      </c>
      <c r="AS451" s="224" t="str">
        <f>IFERROR(IF(SecondaryTransport[[#This Row],[Container_Transfer]]="",(SecondaryTransport[[#This Row],[Ton-Miles]]*SecondaryTransport[[#This Row],[Cost_Per_Ton-Mile]]),""),"")</f>
        <v/>
      </c>
    </row>
    <row r="452" spans="12:45" ht="15" x14ac:dyDescent="0.25">
      <c r="L452" s="446" t="s">
        <v>875</v>
      </c>
      <c r="M452" s="446">
        <v>2</v>
      </c>
      <c r="N452" s="446">
        <v>2</v>
      </c>
      <c r="O452" s="446" t="s">
        <v>750</v>
      </c>
      <c r="P452" s="449" t="s">
        <v>700</v>
      </c>
      <c r="Q452" s="449"/>
      <c r="R452" s="449"/>
      <c r="S452" s="449" t="s">
        <v>963</v>
      </c>
      <c r="T452" s="449" t="s">
        <v>701</v>
      </c>
      <c r="U452" s="452">
        <v>0</v>
      </c>
      <c r="V4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2" s="272" t="str">
        <f>IFERROR(SUMIFS(TransUnitCost[Miles],TransUnitCost[Grouping_ID],TransTonsShort[[#This Row],[Grouping_ID]],TransUnitCost[Transp_ID],TransTonsShort[[#This Row],[Transp_ID]])*TransTonsShort[[#This Row],[Trans_Tons_All]]/TransTonsShort[[#This Row],[Trans_Tons_All]],"")</f>
        <v/>
      </c>
      <c r="X452" s="386" t="str">
        <f>TransTonsShort[[#This Row],[Grouping_ID]]&amp;"-"&amp;TransTonsShort[[#This Row],[Sector_ID]]</f>
        <v>2-2</v>
      </c>
      <c r="Y4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2" s="421">
        <f>INDEX(LandfillFees[Disposal Tip Fee 2025],MATCH(TransTonsShort[[#This Row],[Grouping_ID]],LandfillFees[Grouping_ID],0))</f>
        <v>72.030938699729589</v>
      </c>
      <c r="AA452" s="102">
        <f>IF(OR(TransTonsShort[[#This Row],[CollectionStream_ID]]="03",TransTonsShort[[#This Row],[CollectionStream_ID]]="04",TransTonsShort[[#This Row],[CollectionStream_ID]]="13"),0,TransTonsShort[[#This Row],[Trans_Tons_All]]*TransTonsShort[[#This Row],[Disposal_Fee]])</f>
        <v>0</v>
      </c>
      <c r="AF452" s="446" t="s">
        <v>1625</v>
      </c>
      <c r="AG452" s="442" t="str">
        <f>LEFT(SecondaryTransport[[#This Row],[Scenario_MRF_Bale_ID]],2)</f>
        <v>S4</v>
      </c>
      <c r="AH452" s="181" t="str">
        <f>LEFT(RIGHT(SecondaryTransport[[#This Row],[Scenario_MRF_Bale_ID]],10),2)</f>
        <v>08</v>
      </c>
      <c r="AI452" s="181" t="str">
        <f>INDEX(MRFs[MRF_Name],MATCH(SecondaryTransport[[#This Row],[MRF_ID]],MRFs[MRF_ID],0))</f>
        <v>1 MRF for DS fiber (Salem)</v>
      </c>
      <c r="AJ452" s="181" t="str">
        <f>RIGHT(SecondaryTransport[[#This Row],[Scenario_MRF_Bale_ID]],7)</f>
        <v>2000-07</v>
      </c>
      <c r="AK452" s="181" t="str">
        <f>INDEX(Bales[Bale_Name],MATCH(SecondaryTransport[[#This Row],[Bale_ID]],Bales[Bale_ID],0))</f>
        <v>PE clear film</v>
      </c>
      <c r="AL452" s="443">
        <f>INDEX(BaleMover[Total_Baled_tons],MATCH(SecondaryTransport[[#This Row],[Scenario_MRF_Bale_ID]],BaleMover[Scenario_MRF_Bale_ID],0))</f>
        <v>0</v>
      </c>
      <c r="AM452" s="443">
        <f>IF(INDEX(BaleMover[Miles],MATCH(SecondaryTransport[[#This Row],[Scenario_MRF_Bale_ID]],BaleMover[Scenario_MRF_Bale_ID],0))="",0,INDEX(BaleMover[Miles],MATCH(SecondaryTransport[[#This Row],[Scenario_MRF_Bale_ID]],BaleMover[Scenario_MRF_Bale_ID],0)))</f>
        <v>0</v>
      </c>
      <c r="AN452" s="251">
        <f>IF(SecondaryTransport[[#This Row],[Bale_ID]]="9000-01","costs elsewhere",SecondaryTransport[[#This Row],[Total_Baled_tons]]*SecondaryTransport[[#This Row],[Miles]])</f>
        <v>0</v>
      </c>
      <c r="AO452" s="352" t="str">
        <f>IF(LEFT(SecondaryTransport[[#This Row],[Bale_ID]],1)*1=5,IF(OR(SecondaryTransport[[#This Row],[MRF_ID]]="02",SecondaryTransport[[#This Row],[MRF_ID]]="08"),2,1),"")</f>
        <v/>
      </c>
      <c r="AP4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2" s="224" t="str">
        <f>IFERROR(IF(1*LEFT(SecondaryTransport[[#This Row],[Bale_ID]],1)=5,SecondaryTransport[[#This Row],[Ton-Miles]]*SecondaryTransport[[#This Row],[Cost_Per_Ton-Mile]],""),"")</f>
        <v/>
      </c>
      <c r="AS452" s="224" t="str">
        <f>IFERROR(IF(SecondaryTransport[[#This Row],[Container_Transfer]]="",(SecondaryTransport[[#This Row],[Ton-Miles]]*SecondaryTransport[[#This Row],[Cost_Per_Ton-Mile]]),""),"")</f>
        <v/>
      </c>
    </row>
    <row r="453" spans="12:45" ht="15" x14ac:dyDescent="0.25">
      <c r="L453" s="446" t="s">
        <v>875</v>
      </c>
      <c r="M453" s="446">
        <v>3</v>
      </c>
      <c r="N453" s="446">
        <v>2</v>
      </c>
      <c r="O453" s="446" t="s">
        <v>750</v>
      </c>
      <c r="P453" s="449" t="s">
        <v>700</v>
      </c>
      <c r="Q453" s="449"/>
      <c r="R453" s="449"/>
      <c r="S453" s="449" t="s">
        <v>963</v>
      </c>
      <c r="T453" s="449" t="s">
        <v>701</v>
      </c>
      <c r="U453" s="452">
        <v>0</v>
      </c>
      <c r="V4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3" s="272" t="str">
        <f>IFERROR(SUMIFS(TransUnitCost[Miles],TransUnitCost[Grouping_ID],TransTonsShort[[#This Row],[Grouping_ID]],TransUnitCost[Transp_ID],TransTonsShort[[#This Row],[Transp_ID]])*TransTonsShort[[#This Row],[Trans_Tons_All]]/TransTonsShort[[#This Row],[Trans_Tons_All]],"")</f>
        <v/>
      </c>
      <c r="X453" s="386" t="str">
        <f>TransTonsShort[[#This Row],[Grouping_ID]]&amp;"-"&amp;TransTonsShort[[#This Row],[Sector_ID]]</f>
        <v>3-2</v>
      </c>
      <c r="Y4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3" s="421">
        <f>INDEX(LandfillFees[Disposal Tip Fee 2025],MATCH(TransTonsShort[[#This Row],[Grouping_ID]],LandfillFees[Grouping_ID],0))</f>
        <v>72.030938699729589</v>
      </c>
      <c r="AA453" s="102">
        <f>IF(OR(TransTonsShort[[#This Row],[CollectionStream_ID]]="03",TransTonsShort[[#This Row],[CollectionStream_ID]]="04",TransTonsShort[[#This Row],[CollectionStream_ID]]="13"),0,TransTonsShort[[#This Row],[Trans_Tons_All]]*TransTonsShort[[#This Row],[Disposal_Fee]])</f>
        <v>0</v>
      </c>
      <c r="AF453" s="446" t="s">
        <v>1626</v>
      </c>
      <c r="AG453" s="442" t="str">
        <f>LEFT(SecondaryTransport[[#This Row],[Scenario_MRF_Bale_ID]],2)</f>
        <v>S4</v>
      </c>
      <c r="AH453" s="181" t="str">
        <f>LEFT(RIGHT(SecondaryTransport[[#This Row],[Scenario_MRF_Bale_ID]],10),2)</f>
        <v>08</v>
      </c>
      <c r="AI453" s="181" t="str">
        <f>INDEX(MRFs[MRF_Name],MATCH(SecondaryTransport[[#This Row],[MRF_ID]],MRFs[MRF_ID],0))</f>
        <v>1 MRF for DS fiber (Salem)</v>
      </c>
      <c r="AJ453" s="181" t="str">
        <f>RIGHT(SecondaryTransport[[#This Row],[Scenario_MRF_Bale_ID]],7)</f>
        <v>2000-08</v>
      </c>
      <c r="AK453" s="181" t="str">
        <f>INDEX(Bales[Bale_Name],MATCH(SecondaryTransport[[#This Row],[Bale_ID]],Bales[Bale_ID],0))</f>
        <v>PE colored film</v>
      </c>
      <c r="AL453" s="443">
        <f>INDEX(BaleMover[Total_Baled_tons],MATCH(SecondaryTransport[[#This Row],[Scenario_MRF_Bale_ID]],BaleMover[Scenario_MRF_Bale_ID],0))</f>
        <v>0</v>
      </c>
      <c r="AM453" s="443">
        <f>IF(INDEX(BaleMover[Miles],MATCH(SecondaryTransport[[#This Row],[Scenario_MRF_Bale_ID]],BaleMover[Scenario_MRF_Bale_ID],0))="",0,INDEX(BaleMover[Miles],MATCH(SecondaryTransport[[#This Row],[Scenario_MRF_Bale_ID]],BaleMover[Scenario_MRF_Bale_ID],0)))</f>
        <v>0</v>
      </c>
      <c r="AN453" s="251">
        <f>IF(SecondaryTransport[[#This Row],[Bale_ID]]="9000-01","costs elsewhere",SecondaryTransport[[#This Row],[Total_Baled_tons]]*SecondaryTransport[[#This Row],[Miles]])</f>
        <v>0</v>
      </c>
      <c r="AO453" s="352" t="str">
        <f>IF(LEFT(SecondaryTransport[[#This Row],[Bale_ID]],1)*1=5,IF(OR(SecondaryTransport[[#This Row],[MRF_ID]]="02",SecondaryTransport[[#This Row],[MRF_ID]]="08"),2,1),"")</f>
        <v/>
      </c>
      <c r="AP4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3" s="224" t="str">
        <f>IFERROR(IF(1*LEFT(SecondaryTransport[[#This Row],[Bale_ID]],1)=5,SecondaryTransport[[#This Row],[Ton-Miles]]*SecondaryTransport[[#This Row],[Cost_Per_Ton-Mile]],""),"")</f>
        <v/>
      </c>
      <c r="AS453" s="224" t="str">
        <f>IFERROR(IF(SecondaryTransport[[#This Row],[Container_Transfer]]="",(SecondaryTransport[[#This Row],[Ton-Miles]]*SecondaryTransport[[#This Row],[Cost_Per_Ton-Mile]]),""),"")</f>
        <v/>
      </c>
    </row>
    <row r="454" spans="12:45" ht="15" x14ac:dyDescent="0.25">
      <c r="L454" s="446" t="s">
        <v>875</v>
      </c>
      <c r="M454" s="446">
        <v>4</v>
      </c>
      <c r="N454" s="446">
        <v>2</v>
      </c>
      <c r="O454" s="446" t="s">
        <v>750</v>
      </c>
      <c r="P454" s="449" t="s">
        <v>700</v>
      </c>
      <c r="Q454" s="449"/>
      <c r="R454" s="449"/>
      <c r="S454" s="449" t="s">
        <v>963</v>
      </c>
      <c r="T454" s="449" t="s">
        <v>701</v>
      </c>
      <c r="U454" s="452">
        <v>0</v>
      </c>
      <c r="V4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4" s="272" t="str">
        <f>IFERROR(SUMIFS(TransUnitCost[Miles],TransUnitCost[Grouping_ID],TransTonsShort[[#This Row],[Grouping_ID]],TransUnitCost[Transp_ID],TransTonsShort[[#This Row],[Transp_ID]])*TransTonsShort[[#This Row],[Trans_Tons_All]]/TransTonsShort[[#This Row],[Trans_Tons_All]],"")</f>
        <v/>
      </c>
      <c r="X454" s="386" t="str">
        <f>TransTonsShort[[#This Row],[Grouping_ID]]&amp;"-"&amp;TransTonsShort[[#This Row],[Sector_ID]]</f>
        <v>4-2</v>
      </c>
      <c r="Y4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54" s="421">
        <f>INDEX(LandfillFees[Disposal Tip Fee 2025],MATCH(TransTonsShort[[#This Row],[Grouping_ID]],LandfillFees[Grouping_ID],0))</f>
        <v>72.030938699729589</v>
      </c>
      <c r="AA454" s="102">
        <f>IF(OR(TransTonsShort[[#This Row],[CollectionStream_ID]]="03",TransTonsShort[[#This Row],[CollectionStream_ID]]="04",TransTonsShort[[#This Row],[CollectionStream_ID]]="13"),0,TransTonsShort[[#This Row],[Trans_Tons_All]]*TransTonsShort[[#This Row],[Disposal_Fee]])</f>
        <v>0</v>
      </c>
      <c r="AF454" s="446" t="s">
        <v>1627</v>
      </c>
      <c r="AG454" s="442" t="str">
        <f>LEFT(SecondaryTransport[[#This Row],[Scenario_MRF_Bale_ID]],2)</f>
        <v>S4</v>
      </c>
      <c r="AH454" s="181" t="str">
        <f>LEFT(RIGHT(SecondaryTransport[[#This Row],[Scenario_MRF_Bale_ID]],10),2)</f>
        <v>08</v>
      </c>
      <c r="AI454" s="181" t="str">
        <f>INDEX(MRFs[MRF_Name],MATCH(SecondaryTransport[[#This Row],[MRF_ID]],MRFs[MRF_ID],0))</f>
        <v>1 MRF for DS fiber (Salem)</v>
      </c>
      <c r="AJ454" s="181" t="str">
        <f>RIGHT(SecondaryTransport[[#This Row],[Scenario_MRF_Bale_ID]],7)</f>
        <v>2000-09</v>
      </c>
      <c r="AK454" s="181" t="str">
        <f>INDEX(Bales[Bale_Name],MATCH(SecondaryTransport[[#This Row],[Bale_ID]],Bales[Bale_ID],0))</f>
        <v>PE retail mix film</v>
      </c>
      <c r="AL454" s="443">
        <f>INDEX(BaleMover[Total_Baled_tons],MATCH(SecondaryTransport[[#This Row],[Scenario_MRF_Bale_ID]],BaleMover[Scenario_MRF_Bale_ID],0))</f>
        <v>0</v>
      </c>
      <c r="AM454" s="443">
        <f>IF(INDEX(BaleMover[Miles],MATCH(SecondaryTransport[[#This Row],[Scenario_MRF_Bale_ID]],BaleMover[Scenario_MRF_Bale_ID],0))="",0,INDEX(BaleMover[Miles],MATCH(SecondaryTransport[[#This Row],[Scenario_MRF_Bale_ID]],BaleMover[Scenario_MRF_Bale_ID],0)))</f>
        <v>0</v>
      </c>
      <c r="AN454" s="251">
        <f>IF(SecondaryTransport[[#This Row],[Bale_ID]]="9000-01","costs elsewhere",SecondaryTransport[[#This Row],[Total_Baled_tons]]*SecondaryTransport[[#This Row],[Miles]])</f>
        <v>0</v>
      </c>
      <c r="AO454" s="352" t="str">
        <f>IF(LEFT(SecondaryTransport[[#This Row],[Bale_ID]],1)*1=5,IF(OR(SecondaryTransport[[#This Row],[MRF_ID]]="02",SecondaryTransport[[#This Row],[MRF_ID]]="08"),2,1),"")</f>
        <v/>
      </c>
      <c r="AP4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4" s="224" t="str">
        <f>IFERROR(IF(1*LEFT(SecondaryTransport[[#This Row],[Bale_ID]],1)=5,SecondaryTransport[[#This Row],[Ton-Miles]]*SecondaryTransport[[#This Row],[Cost_Per_Ton-Mile]],""),"")</f>
        <v/>
      </c>
      <c r="AS454" s="224" t="str">
        <f>IFERROR(IF(SecondaryTransport[[#This Row],[Container_Transfer]]="",(SecondaryTransport[[#This Row],[Ton-Miles]]*SecondaryTransport[[#This Row],[Cost_Per_Ton-Mile]]),""),"")</f>
        <v/>
      </c>
    </row>
    <row r="455" spans="12:45" ht="15" x14ac:dyDescent="0.25">
      <c r="L455" s="446" t="s">
        <v>874</v>
      </c>
      <c r="M455" s="446">
        <v>1</v>
      </c>
      <c r="N455" s="446">
        <v>2</v>
      </c>
      <c r="O455" s="446" t="s">
        <v>700</v>
      </c>
      <c r="P455" s="449" t="s">
        <v>719</v>
      </c>
      <c r="Q455" s="449"/>
      <c r="R455" s="449"/>
      <c r="S455" s="449" t="s">
        <v>872</v>
      </c>
      <c r="T455" s="449" t="s">
        <v>1055</v>
      </c>
      <c r="U455" s="452">
        <v>0</v>
      </c>
      <c r="V4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5" s="272" t="str">
        <f>IFERROR(SUMIFS(TransUnitCost[Miles],TransUnitCost[Grouping_ID],TransTonsShort[[#This Row],[Grouping_ID]],TransUnitCost[Transp_ID],TransTonsShort[[#This Row],[Transp_ID]])*TransTonsShort[[#This Row],[Trans_Tons_All]]/TransTonsShort[[#This Row],[Trans_Tons_All]],"")</f>
        <v/>
      </c>
      <c r="X455" s="386" t="str">
        <f>TransTonsShort[[#This Row],[Grouping_ID]]&amp;"-"&amp;TransTonsShort[[#This Row],[Sector_ID]]</f>
        <v>1-2</v>
      </c>
      <c r="Y4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55" s="421">
        <f>INDEX(LandfillFees[Disposal Tip Fee 2025],MATCH(TransTonsShort[[#This Row],[Grouping_ID]],LandfillFees[Grouping_ID],0))</f>
        <v>134.68</v>
      </c>
      <c r="AA455" s="102">
        <f>IF(OR(TransTonsShort[[#This Row],[CollectionStream_ID]]="03",TransTonsShort[[#This Row],[CollectionStream_ID]]="04",TransTonsShort[[#This Row],[CollectionStream_ID]]="13"),0,TransTonsShort[[#This Row],[Trans_Tons_All]]*TransTonsShort[[#This Row],[Disposal_Fee]])</f>
        <v>0</v>
      </c>
      <c r="AF455" s="446" t="s">
        <v>1628</v>
      </c>
      <c r="AG455" s="442" t="str">
        <f>LEFT(SecondaryTransport[[#This Row],[Scenario_MRF_Bale_ID]],2)</f>
        <v>S4</v>
      </c>
      <c r="AH455" s="181" t="str">
        <f>LEFT(RIGHT(SecondaryTransport[[#This Row],[Scenario_MRF_Bale_ID]],10),2)</f>
        <v>08</v>
      </c>
      <c r="AI455" s="181" t="str">
        <f>INDEX(MRFs[MRF_Name],MATCH(SecondaryTransport[[#This Row],[MRF_ID]],MRFs[MRF_ID],0))</f>
        <v>1 MRF for DS fiber (Salem)</v>
      </c>
      <c r="AJ455" s="181" t="str">
        <f>RIGHT(SecondaryTransport[[#This Row],[Scenario_MRF_Bale_ID]],7)</f>
        <v>2000-10</v>
      </c>
      <c r="AK455" s="181" t="str">
        <f>INDEX(Bales[Bale_Name],MATCH(SecondaryTransport[[#This Row],[Bale_ID]],Bales[Bale_ID],0))</f>
        <v>Mixed bulky rigid plastics (mainly PE and PP) </v>
      </c>
      <c r="AL455" s="443">
        <f>INDEX(BaleMover[Total_Baled_tons],MATCH(SecondaryTransport[[#This Row],[Scenario_MRF_Bale_ID]],BaleMover[Scenario_MRF_Bale_ID],0))</f>
        <v>0</v>
      </c>
      <c r="AM455" s="443">
        <f>IF(INDEX(BaleMover[Miles],MATCH(SecondaryTransport[[#This Row],[Scenario_MRF_Bale_ID]],BaleMover[Scenario_MRF_Bale_ID],0))="",0,INDEX(BaleMover[Miles],MATCH(SecondaryTransport[[#This Row],[Scenario_MRF_Bale_ID]],BaleMover[Scenario_MRF_Bale_ID],0)))</f>
        <v>0</v>
      </c>
      <c r="AN455" s="251">
        <f>IF(SecondaryTransport[[#This Row],[Bale_ID]]="9000-01","costs elsewhere",SecondaryTransport[[#This Row],[Total_Baled_tons]]*SecondaryTransport[[#This Row],[Miles]])</f>
        <v>0</v>
      </c>
      <c r="AO455" s="352" t="str">
        <f>IF(LEFT(SecondaryTransport[[#This Row],[Bale_ID]],1)*1=5,IF(OR(SecondaryTransport[[#This Row],[MRF_ID]]="02",SecondaryTransport[[#This Row],[MRF_ID]]="08"),2,1),"")</f>
        <v/>
      </c>
      <c r="AP4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5" s="224" t="str">
        <f>IFERROR(IF(1*LEFT(SecondaryTransport[[#This Row],[Bale_ID]],1)=5,SecondaryTransport[[#This Row],[Ton-Miles]]*SecondaryTransport[[#This Row],[Cost_Per_Ton-Mile]],""),"")</f>
        <v/>
      </c>
      <c r="AS455" s="224" t="str">
        <f>IFERROR(IF(SecondaryTransport[[#This Row],[Container_Transfer]]="",(SecondaryTransport[[#This Row],[Ton-Miles]]*SecondaryTransport[[#This Row],[Cost_Per_Ton-Mile]]),""),"")</f>
        <v/>
      </c>
    </row>
    <row r="456" spans="12:45" ht="15" x14ac:dyDescent="0.25">
      <c r="L456" s="446" t="s">
        <v>874</v>
      </c>
      <c r="M456" s="446">
        <v>2</v>
      </c>
      <c r="N456" s="446">
        <v>2</v>
      </c>
      <c r="O456" s="446" t="s">
        <v>700</v>
      </c>
      <c r="P456" s="449" t="s">
        <v>719</v>
      </c>
      <c r="Q456" s="449"/>
      <c r="R456" s="449"/>
      <c r="S456" s="449" t="s">
        <v>872</v>
      </c>
      <c r="T456" s="449" t="s">
        <v>1055</v>
      </c>
      <c r="U456" s="452">
        <v>0</v>
      </c>
      <c r="V4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6" s="272" t="str">
        <f>IFERROR(SUMIFS(TransUnitCost[Miles],TransUnitCost[Grouping_ID],TransTonsShort[[#This Row],[Grouping_ID]],TransUnitCost[Transp_ID],TransTonsShort[[#This Row],[Transp_ID]])*TransTonsShort[[#This Row],[Trans_Tons_All]]/TransTonsShort[[#This Row],[Trans_Tons_All]],"")</f>
        <v/>
      </c>
      <c r="X456" s="386" t="str">
        <f>TransTonsShort[[#This Row],[Grouping_ID]]&amp;"-"&amp;TransTonsShort[[#This Row],[Sector_ID]]</f>
        <v>2-2</v>
      </c>
      <c r="Y4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56" s="421">
        <f>INDEX(LandfillFees[Disposal Tip Fee 2025],MATCH(TransTonsShort[[#This Row],[Grouping_ID]],LandfillFees[Grouping_ID],0))</f>
        <v>72.030938699729589</v>
      </c>
      <c r="AA456" s="102">
        <f>IF(OR(TransTonsShort[[#This Row],[CollectionStream_ID]]="03",TransTonsShort[[#This Row],[CollectionStream_ID]]="04",TransTonsShort[[#This Row],[CollectionStream_ID]]="13"),0,TransTonsShort[[#This Row],[Trans_Tons_All]]*TransTonsShort[[#This Row],[Disposal_Fee]])</f>
        <v>0</v>
      </c>
      <c r="AF456" s="446" t="s">
        <v>1629</v>
      </c>
      <c r="AG456" s="442" t="str">
        <f>LEFT(SecondaryTransport[[#This Row],[Scenario_MRF_Bale_ID]],2)</f>
        <v>S4</v>
      </c>
      <c r="AH456" s="181" t="str">
        <f>LEFT(RIGHT(SecondaryTransport[[#This Row],[Scenario_MRF_Bale_ID]],10),2)</f>
        <v>08</v>
      </c>
      <c r="AI456" s="181" t="str">
        <f>INDEX(MRFs[MRF_Name],MATCH(SecondaryTransport[[#This Row],[MRF_ID]],MRFs[MRF_ID],0))</f>
        <v>1 MRF for DS fiber (Salem)</v>
      </c>
      <c r="AJ456" s="181" t="str">
        <f>RIGHT(SecondaryTransport[[#This Row],[Scenario_MRF_Bale_ID]],7)</f>
        <v>2000-11</v>
      </c>
      <c r="AK456" s="181" t="str">
        <f>INDEX(Bales[Bale_Name],MATCH(SecondaryTransport[[#This Row],[Bale_ID]],Bales[Bale_ID],0))</f>
        <v>PP #5 bottles and jars</v>
      </c>
      <c r="AL456" s="443">
        <f>INDEX(BaleMover[Total_Baled_tons],MATCH(SecondaryTransport[[#This Row],[Scenario_MRF_Bale_ID]],BaleMover[Scenario_MRF_Bale_ID],0))</f>
        <v>0</v>
      </c>
      <c r="AM456" s="443">
        <f>IF(INDEX(BaleMover[Miles],MATCH(SecondaryTransport[[#This Row],[Scenario_MRF_Bale_ID]],BaleMover[Scenario_MRF_Bale_ID],0))="",0,INDEX(BaleMover[Miles],MATCH(SecondaryTransport[[#This Row],[Scenario_MRF_Bale_ID]],BaleMover[Scenario_MRF_Bale_ID],0)))</f>
        <v>0</v>
      </c>
      <c r="AN456" s="251">
        <f>IF(SecondaryTransport[[#This Row],[Bale_ID]]="9000-01","costs elsewhere",SecondaryTransport[[#This Row],[Total_Baled_tons]]*SecondaryTransport[[#This Row],[Miles]])</f>
        <v>0</v>
      </c>
      <c r="AO456" s="352" t="str">
        <f>IF(LEFT(SecondaryTransport[[#This Row],[Bale_ID]],1)*1=5,IF(OR(SecondaryTransport[[#This Row],[MRF_ID]]="02",SecondaryTransport[[#This Row],[MRF_ID]]="08"),2,1),"")</f>
        <v/>
      </c>
      <c r="AP4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6" s="224" t="str">
        <f>IFERROR(IF(1*LEFT(SecondaryTransport[[#This Row],[Bale_ID]],1)=5,SecondaryTransport[[#This Row],[Ton-Miles]]*SecondaryTransport[[#This Row],[Cost_Per_Ton-Mile]],""),"")</f>
        <v/>
      </c>
      <c r="AS456" s="224" t="str">
        <f>IFERROR(IF(SecondaryTransport[[#This Row],[Container_Transfer]]="",(SecondaryTransport[[#This Row],[Ton-Miles]]*SecondaryTransport[[#This Row],[Cost_Per_Ton-Mile]]),""),"")</f>
        <v/>
      </c>
    </row>
    <row r="457" spans="12:45" ht="15" x14ac:dyDescent="0.25">
      <c r="L457" s="446" t="s">
        <v>874</v>
      </c>
      <c r="M457" s="446">
        <v>3</v>
      </c>
      <c r="N457" s="446">
        <v>2</v>
      </c>
      <c r="O457" s="446" t="s">
        <v>700</v>
      </c>
      <c r="P457" s="449" t="s">
        <v>719</v>
      </c>
      <c r="Q457" s="449"/>
      <c r="R457" s="449"/>
      <c r="S457" s="449" t="s">
        <v>872</v>
      </c>
      <c r="T457" s="449" t="s">
        <v>1055</v>
      </c>
      <c r="U457" s="452">
        <v>0</v>
      </c>
      <c r="V4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7" s="272" t="str">
        <f>IFERROR(SUMIFS(TransUnitCost[Miles],TransUnitCost[Grouping_ID],TransTonsShort[[#This Row],[Grouping_ID]],TransUnitCost[Transp_ID],TransTonsShort[[#This Row],[Transp_ID]])*TransTonsShort[[#This Row],[Trans_Tons_All]]/TransTonsShort[[#This Row],[Trans_Tons_All]],"")</f>
        <v/>
      </c>
      <c r="X457" s="386" t="str">
        <f>TransTonsShort[[#This Row],[Grouping_ID]]&amp;"-"&amp;TransTonsShort[[#This Row],[Sector_ID]]</f>
        <v>3-2</v>
      </c>
      <c r="Y4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57" s="421">
        <f>INDEX(LandfillFees[Disposal Tip Fee 2025],MATCH(TransTonsShort[[#This Row],[Grouping_ID]],LandfillFees[Grouping_ID],0))</f>
        <v>72.030938699729589</v>
      </c>
      <c r="AA457" s="102">
        <f>IF(OR(TransTonsShort[[#This Row],[CollectionStream_ID]]="03",TransTonsShort[[#This Row],[CollectionStream_ID]]="04",TransTonsShort[[#This Row],[CollectionStream_ID]]="13"),0,TransTonsShort[[#This Row],[Trans_Tons_All]]*TransTonsShort[[#This Row],[Disposal_Fee]])</f>
        <v>0</v>
      </c>
      <c r="AF457" s="446" t="s">
        <v>1630</v>
      </c>
      <c r="AG457" s="442" t="str">
        <f>LEFT(SecondaryTransport[[#This Row],[Scenario_MRF_Bale_ID]],2)</f>
        <v>S4</v>
      </c>
      <c r="AH457" s="181" t="str">
        <f>LEFT(RIGHT(SecondaryTransport[[#This Row],[Scenario_MRF_Bale_ID]],10),2)</f>
        <v>08</v>
      </c>
      <c r="AI457" s="181" t="str">
        <f>INDEX(MRFs[MRF_Name],MATCH(SecondaryTransport[[#This Row],[MRF_ID]],MRFs[MRF_ID],0))</f>
        <v>1 MRF for DS fiber (Salem)</v>
      </c>
      <c r="AJ457" s="181" t="str">
        <f>RIGHT(SecondaryTransport[[#This Row],[Scenario_MRF_Bale_ID]],7)</f>
        <v>2000-13</v>
      </c>
      <c r="AK457" s="181" t="str">
        <f>INDEX(Bales[Bale_Name],MATCH(SecondaryTransport[[#This Row],[Bale_ID]],Bales[Bale_ID],0))</f>
        <v>PP #5 small rigid plastic</v>
      </c>
      <c r="AL457" s="443">
        <f>INDEX(BaleMover[Total_Baled_tons],MATCH(SecondaryTransport[[#This Row],[Scenario_MRF_Bale_ID]],BaleMover[Scenario_MRF_Bale_ID],0))</f>
        <v>0</v>
      </c>
      <c r="AM457" s="443">
        <f>IF(INDEX(BaleMover[Miles],MATCH(SecondaryTransport[[#This Row],[Scenario_MRF_Bale_ID]],BaleMover[Scenario_MRF_Bale_ID],0))="",0,INDEX(BaleMover[Miles],MATCH(SecondaryTransport[[#This Row],[Scenario_MRF_Bale_ID]],BaleMover[Scenario_MRF_Bale_ID],0)))</f>
        <v>0</v>
      </c>
      <c r="AN457" s="251">
        <f>IF(SecondaryTransport[[#This Row],[Bale_ID]]="9000-01","costs elsewhere",SecondaryTransport[[#This Row],[Total_Baled_tons]]*SecondaryTransport[[#This Row],[Miles]])</f>
        <v>0</v>
      </c>
      <c r="AO457" s="352" t="str">
        <f>IF(LEFT(SecondaryTransport[[#This Row],[Bale_ID]],1)*1=5,IF(OR(SecondaryTransport[[#This Row],[MRF_ID]]="02",SecondaryTransport[[#This Row],[MRF_ID]]="08"),2,1),"")</f>
        <v/>
      </c>
      <c r="AP4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7" s="224" t="str">
        <f>IFERROR(IF(1*LEFT(SecondaryTransport[[#This Row],[Bale_ID]],1)=5,SecondaryTransport[[#This Row],[Ton-Miles]]*SecondaryTransport[[#This Row],[Cost_Per_Ton-Mile]],""),"")</f>
        <v/>
      </c>
      <c r="AS457" s="224" t="str">
        <f>IFERROR(IF(SecondaryTransport[[#This Row],[Container_Transfer]]="",(SecondaryTransport[[#This Row],[Ton-Miles]]*SecondaryTransport[[#This Row],[Cost_Per_Ton-Mile]]),""),"")</f>
        <v/>
      </c>
    </row>
    <row r="458" spans="12:45" ht="15" x14ac:dyDescent="0.25">
      <c r="L458" s="446" t="s">
        <v>874</v>
      </c>
      <c r="M458" s="446">
        <v>4</v>
      </c>
      <c r="N458" s="446">
        <v>2</v>
      </c>
      <c r="O458" s="446" t="s">
        <v>700</v>
      </c>
      <c r="P458" s="449" t="s">
        <v>719</v>
      </c>
      <c r="Q458" s="449"/>
      <c r="R458" s="449"/>
      <c r="S458" s="449" t="s">
        <v>872</v>
      </c>
      <c r="T458" s="449" t="s">
        <v>1055</v>
      </c>
      <c r="U458" s="452">
        <v>0</v>
      </c>
      <c r="V4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8" s="272" t="str">
        <f>IFERROR(SUMIFS(TransUnitCost[Miles],TransUnitCost[Grouping_ID],TransTonsShort[[#This Row],[Grouping_ID]],TransUnitCost[Transp_ID],TransTonsShort[[#This Row],[Transp_ID]])*TransTonsShort[[#This Row],[Trans_Tons_All]]/TransTonsShort[[#This Row],[Trans_Tons_All]],"")</f>
        <v/>
      </c>
      <c r="X458" s="386" t="str">
        <f>TransTonsShort[[#This Row],[Grouping_ID]]&amp;"-"&amp;TransTonsShort[[#This Row],[Sector_ID]]</f>
        <v>4-2</v>
      </c>
      <c r="Y4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58" s="421">
        <f>INDEX(LandfillFees[Disposal Tip Fee 2025],MATCH(TransTonsShort[[#This Row],[Grouping_ID]],LandfillFees[Grouping_ID],0))</f>
        <v>72.030938699729589</v>
      </c>
      <c r="AA458" s="102">
        <f>IF(OR(TransTonsShort[[#This Row],[CollectionStream_ID]]="03",TransTonsShort[[#This Row],[CollectionStream_ID]]="04",TransTonsShort[[#This Row],[CollectionStream_ID]]="13"),0,TransTonsShort[[#This Row],[Trans_Tons_All]]*TransTonsShort[[#This Row],[Disposal_Fee]])</f>
        <v>0</v>
      </c>
      <c r="AF458" s="446" t="s">
        <v>1631</v>
      </c>
      <c r="AG458" s="442" t="str">
        <f>LEFT(SecondaryTransport[[#This Row],[Scenario_MRF_Bale_ID]],2)</f>
        <v>S4</v>
      </c>
      <c r="AH458" s="181" t="str">
        <f>LEFT(RIGHT(SecondaryTransport[[#This Row],[Scenario_MRF_Bale_ID]],10),2)</f>
        <v>08</v>
      </c>
      <c r="AI458" s="181" t="str">
        <f>INDEX(MRFs[MRF_Name],MATCH(SecondaryTransport[[#This Row],[MRF_ID]],MRFs[MRF_ID],0))</f>
        <v>1 MRF for DS fiber (Salem)</v>
      </c>
      <c r="AJ458" s="181" t="str">
        <f>RIGHT(SecondaryTransport[[#This Row],[Scenario_MRF_Bale_ID]],7)</f>
        <v>2000-14</v>
      </c>
      <c r="AK458" s="181" t="str">
        <f>INDEX(Bales[Bale_Name],MATCH(SecondaryTransport[[#This Row],[Bale_ID]],Bales[Bale_ID],0))</f>
        <v>Solid PS #6 (rigid) </v>
      </c>
      <c r="AL458" s="443">
        <f>INDEX(BaleMover[Total_Baled_tons],MATCH(SecondaryTransport[[#This Row],[Scenario_MRF_Bale_ID]],BaleMover[Scenario_MRF_Bale_ID],0))</f>
        <v>0</v>
      </c>
      <c r="AM458" s="443">
        <f>IF(INDEX(BaleMover[Miles],MATCH(SecondaryTransport[[#This Row],[Scenario_MRF_Bale_ID]],BaleMover[Scenario_MRF_Bale_ID],0))="",0,INDEX(BaleMover[Miles],MATCH(SecondaryTransport[[#This Row],[Scenario_MRF_Bale_ID]],BaleMover[Scenario_MRF_Bale_ID],0)))</f>
        <v>0</v>
      </c>
      <c r="AN458" s="251">
        <f>IF(SecondaryTransport[[#This Row],[Bale_ID]]="9000-01","costs elsewhere",SecondaryTransport[[#This Row],[Total_Baled_tons]]*SecondaryTransport[[#This Row],[Miles]])</f>
        <v>0</v>
      </c>
      <c r="AO458" s="352" t="str">
        <f>IF(LEFT(SecondaryTransport[[#This Row],[Bale_ID]],1)*1=5,IF(OR(SecondaryTransport[[#This Row],[MRF_ID]]="02",SecondaryTransport[[#This Row],[MRF_ID]]="08"),2,1),"")</f>
        <v/>
      </c>
      <c r="AP4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8" s="224" t="str">
        <f>IFERROR(IF(1*LEFT(SecondaryTransport[[#This Row],[Bale_ID]],1)=5,SecondaryTransport[[#This Row],[Ton-Miles]]*SecondaryTransport[[#This Row],[Cost_Per_Ton-Mile]],""),"")</f>
        <v/>
      </c>
      <c r="AS458" s="224" t="str">
        <f>IFERROR(IF(SecondaryTransport[[#This Row],[Container_Transfer]]="",(SecondaryTransport[[#This Row],[Ton-Miles]]*SecondaryTransport[[#This Row],[Cost_Per_Ton-Mile]]),""),"")</f>
        <v/>
      </c>
    </row>
    <row r="459" spans="12:45" ht="15" x14ac:dyDescent="0.25">
      <c r="L459" s="446" t="s">
        <v>874</v>
      </c>
      <c r="M459" s="446">
        <v>1</v>
      </c>
      <c r="N459" s="446">
        <v>2</v>
      </c>
      <c r="O459" s="446" t="s">
        <v>700</v>
      </c>
      <c r="P459" s="449" t="s">
        <v>700</v>
      </c>
      <c r="Q459" s="449"/>
      <c r="R459" s="449"/>
      <c r="S459" s="449" t="s">
        <v>872</v>
      </c>
      <c r="T459" s="449" t="s">
        <v>701</v>
      </c>
      <c r="U459" s="452">
        <v>15087.167779040687</v>
      </c>
      <c r="V4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59" s="272">
        <f>IFERROR(SUMIFS(TransUnitCost[Miles],TransUnitCost[Grouping_ID],TransTonsShort[[#This Row],[Grouping_ID]],TransUnitCost[Transp_ID],TransTonsShort[[#This Row],[Transp_ID]])*TransTonsShort[[#This Row],[Trans_Tons_All]]/TransTonsShort[[#This Row],[Trans_Tons_All]],"")</f>
        <v>0</v>
      </c>
      <c r="X459" s="386" t="str">
        <f>TransTonsShort[[#This Row],[Grouping_ID]]&amp;"-"&amp;TransTonsShort[[#This Row],[Sector_ID]]</f>
        <v>1-2</v>
      </c>
      <c r="Y4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59" s="421">
        <f>INDEX(LandfillFees[Disposal Tip Fee 2025],MATCH(TransTonsShort[[#This Row],[Grouping_ID]],LandfillFees[Grouping_ID],0))</f>
        <v>134.68</v>
      </c>
      <c r="AA459" s="102">
        <f>IF(OR(TransTonsShort[[#This Row],[CollectionStream_ID]]="03",TransTonsShort[[#This Row],[CollectionStream_ID]]="04",TransTonsShort[[#This Row],[CollectionStream_ID]]="13"),0,TransTonsShort[[#This Row],[Trans_Tons_All]]*TransTonsShort[[#This Row],[Disposal_Fee]])</f>
        <v>2031939.7564811998</v>
      </c>
      <c r="AF459" s="446" t="s">
        <v>1632</v>
      </c>
      <c r="AG459" s="442" t="str">
        <f>LEFT(SecondaryTransport[[#This Row],[Scenario_MRF_Bale_ID]],2)</f>
        <v>S4</v>
      </c>
      <c r="AH459" s="181" t="str">
        <f>LEFT(RIGHT(SecondaryTransport[[#This Row],[Scenario_MRF_Bale_ID]],10),2)</f>
        <v>08</v>
      </c>
      <c r="AI459" s="181" t="str">
        <f>INDEX(MRFs[MRF_Name],MATCH(SecondaryTransport[[#This Row],[MRF_ID]],MRFs[MRF_ID],0))</f>
        <v>1 MRF for DS fiber (Salem)</v>
      </c>
      <c r="AJ459" s="181" t="str">
        <f>RIGHT(SecondaryTransport[[#This Row],[Scenario_MRF_Bale_ID]],7)</f>
        <v>2000-16</v>
      </c>
      <c r="AK459" s="181" t="str">
        <f>INDEX(Bales[Bale_Name],MATCH(SecondaryTransport[[#This Row],[Bale_ID]],Bales[Bale_ID],0))</f>
        <v>Foam PS #6 (transport block and shape, densified)</v>
      </c>
      <c r="AL459" s="443">
        <f>INDEX(BaleMover[Total_Baled_tons],MATCH(SecondaryTransport[[#This Row],[Scenario_MRF_Bale_ID]],BaleMover[Scenario_MRF_Bale_ID],0))</f>
        <v>0</v>
      </c>
      <c r="AM459" s="443">
        <f>IF(INDEX(BaleMover[Miles],MATCH(SecondaryTransport[[#This Row],[Scenario_MRF_Bale_ID]],BaleMover[Scenario_MRF_Bale_ID],0))="",0,INDEX(BaleMover[Miles],MATCH(SecondaryTransport[[#This Row],[Scenario_MRF_Bale_ID]],BaleMover[Scenario_MRF_Bale_ID],0)))</f>
        <v>0</v>
      </c>
      <c r="AN459" s="251">
        <f>IF(SecondaryTransport[[#This Row],[Bale_ID]]="9000-01","costs elsewhere",SecondaryTransport[[#This Row],[Total_Baled_tons]]*SecondaryTransport[[#This Row],[Miles]])</f>
        <v>0</v>
      </c>
      <c r="AO459" s="352" t="str">
        <f>IF(LEFT(SecondaryTransport[[#This Row],[Bale_ID]],1)*1=5,IF(OR(SecondaryTransport[[#This Row],[MRF_ID]]="02",SecondaryTransport[[#This Row],[MRF_ID]]="08"),2,1),"")</f>
        <v/>
      </c>
      <c r="AP4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5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59" s="224" t="str">
        <f>IFERROR(IF(1*LEFT(SecondaryTransport[[#This Row],[Bale_ID]],1)=5,SecondaryTransport[[#This Row],[Ton-Miles]]*SecondaryTransport[[#This Row],[Cost_Per_Ton-Mile]],""),"")</f>
        <v/>
      </c>
      <c r="AS459" s="224" t="str">
        <f>IFERROR(IF(SecondaryTransport[[#This Row],[Container_Transfer]]="",(SecondaryTransport[[#This Row],[Ton-Miles]]*SecondaryTransport[[#This Row],[Cost_Per_Ton-Mile]]),""),"")</f>
        <v/>
      </c>
    </row>
    <row r="460" spans="12:45" ht="15" x14ac:dyDescent="0.25">
      <c r="L460" s="446" t="s">
        <v>874</v>
      </c>
      <c r="M460" s="446">
        <v>2</v>
      </c>
      <c r="N460" s="446">
        <v>2</v>
      </c>
      <c r="O460" s="446" t="s">
        <v>700</v>
      </c>
      <c r="P460" s="449" t="s">
        <v>700</v>
      </c>
      <c r="Q460" s="449"/>
      <c r="R460" s="449"/>
      <c r="S460" s="449" t="s">
        <v>872</v>
      </c>
      <c r="T460" s="449" t="s">
        <v>701</v>
      </c>
      <c r="U460" s="452">
        <v>3099.9511911286327</v>
      </c>
      <c r="V4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0" s="272">
        <f>IFERROR(SUMIFS(TransUnitCost[Miles],TransUnitCost[Grouping_ID],TransTonsShort[[#This Row],[Grouping_ID]],TransUnitCost[Transp_ID],TransTonsShort[[#This Row],[Transp_ID]])*TransTonsShort[[#This Row],[Trans_Tons_All]]/TransTonsShort[[#This Row],[Trans_Tons_All]],"")</f>
        <v>0</v>
      </c>
      <c r="X460" s="386" t="str">
        <f>TransTonsShort[[#This Row],[Grouping_ID]]&amp;"-"&amp;TransTonsShort[[#This Row],[Sector_ID]]</f>
        <v>2-2</v>
      </c>
      <c r="Y4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0" s="421">
        <f>INDEX(LandfillFees[Disposal Tip Fee 2025],MATCH(TransTonsShort[[#This Row],[Grouping_ID]],LandfillFees[Grouping_ID],0))</f>
        <v>72.030938699729589</v>
      </c>
      <c r="AA460" s="102">
        <f>IF(OR(TransTonsShort[[#This Row],[CollectionStream_ID]]="03",TransTonsShort[[#This Row],[CollectionStream_ID]]="04",TransTonsShort[[#This Row],[CollectionStream_ID]]="13"),0,TransTonsShort[[#This Row],[Trans_Tons_All]]*TransTonsShort[[#This Row],[Disposal_Fee]])</f>
        <v>223292.39422034027</v>
      </c>
      <c r="AF460" s="446" t="s">
        <v>1633</v>
      </c>
      <c r="AG460" s="442" t="str">
        <f>LEFT(SecondaryTransport[[#This Row],[Scenario_MRF_Bale_ID]],2)</f>
        <v>S4</v>
      </c>
      <c r="AH460" s="181" t="str">
        <f>LEFT(RIGHT(SecondaryTransport[[#This Row],[Scenario_MRF_Bale_ID]],10),2)</f>
        <v>08</v>
      </c>
      <c r="AI460" s="181" t="str">
        <f>INDEX(MRFs[MRF_Name],MATCH(SecondaryTransport[[#This Row],[MRF_ID]],MRFs[MRF_ID],0))</f>
        <v>1 MRF for DS fiber (Salem)</v>
      </c>
      <c r="AJ460" s="181" t="str">
        <f>RIGHT(SecondaryTransport[[#This Row],[Scenario_MRF_Bale_ID]],7)</f>
        <v>2000-17</v>
      </c>
      <c r="AK460" s="181" t="str">
        <f>INDEX(Bales[Bale_Name],MATCH(SecondaryTransport[[#This Row],[Bale_ID]],Bales[Bale_ID],0))</f>
        <v>Densified MRF Grade Foam PS #6 (food service and packaging) </v>
      </c>
      <c r="AL460" s="443">
        <f>INDEX(BaleMover[Total_Baled_tons],MATCH(SecondaryTransport[[#This Row],[Scenario_MRF_Bale_ID]],BaleMover[Scenario_MRF_Bale_ID],0))</f>
        <v>0</v>
      </c>
      <c r="AM460" s="443">
        <f>IF(INDEX(BaleMover[Miles],MATCH(SecondaryTransport[[#This Row],[Scenario_MRF_Bale_ID]],BaleMover[Scenario_MRF_Bale_ID],0))="",0,INDEX(BaleMover[Miles],MATCH(SecondaryTransport[[#This Row],[Scenario_MRF_Bale_ID]],BaleMover[Scenario_MRF_Bale_ID],0)))</f>
        <v>0</v>
      </c>
      <c r="AN460" s="251">
        <f>IF(SecondaryTransport[[#This Row],[Bale_ID]]="9000-01","costs elsewhere",SecondaryTransport[[#This Row],[Total_Baled_tons]]*SecondaryTransport[[#This Row],[Miles]])</f>
        <v>0</v>
      </c>
      <c r="AO460" s="352" t="str">
        <f>IF(LEFT(SecondaryTransport[[#This Row],[Bale_ID]],1)*1=5,IF(OR(SecondaryTransport[[#This Row],[MRF_ID]]="02",SecondaryTransport[[#This Row],[MRF_ID]]="08"),2,1),"")</f>
        <v/>
      </c>
      <c r="AP4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0" s="224" t="str">
        <f>IFERROR(IF(1*LEFT(SecondaryTransport[[#This Row],[Bale_ID]],1)=5,SecondaryTransport[[#This Row],[Ton-Miles]]*SecondaryTransport[[#This Row],[Cost_Per_Ton-Mile]],""),"")</f>
        <v/>
      </c>
      <c r="AS460" s="224" t="str">
        <f>IFERROR(IF(SecondaryTransport[[#This Row],[Container_Transfer]]="",(SecondaryTransport[[#This Row],[Ton-Miles]]*SecondaryTransport[[#This Row],[Cost_Per_Ton-Mile]]),""),"")</f>
        <v/>
      </c>
    </row>
    <row r="461" spans="12:45" ht="15" x14ac:dyDescent="0.25">
      <c r="L461" s="446" t="s">
        <v>874</v>
      </c>
      <c r="M461" s="446">
        <v>3</v>
      </c>
      <c r="N461" s="446">
        <v>2</v>
      </c>
      <c r="O461" s="446" t="s">
        <v>700</v>
      </c>
      <c r="P461" s="449" t="s">
        <v>700</v>
      </c>
      <c r="Q461" s="449"/>
      <c r="R461" s="449"/>
      <c r="S461" s="449" t="s">
        <v>872</v>
      </c>
      <c r="T461" s="449" t="s">
        <v>701</v>
      </c>
      <c r="U461" s="452">
        <v>0</v>
      </c>
      <c r="V4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1" s="272" t="str">
        <f>IFERROR(SUMIFS(TransUnitCost[Miles],TransUnitCost[Grouping_ID],TransTonsShort[[#This Row],[Grouping_ID]],TransUnitCost[Transp_ID],TransTonsShort[[#This Row],[Transp_ID]])*TransTonsShort[[#This Row],[Trans_Tons_All]]/TransTonsShort[[#This Row],[Trans_Tons_All]],"")</f>
        <v/>
      </c>
      <c r="X461" s="386" t="str">
        <f>TransTonsShort[[#This Row],[Grouping_ID]]&amp;"-"&amp;TransTonsShort[[#This Row],[Sector_ID]]</f>
        <v>3-2</v>
      </c>
      <c r="Y4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1" s="421">
        <f>INDEX(LandfillFees[Disposal Tip Fee 2025],MATCH(TransTonsShort[[#This Row],[Grouping_ID]],LandfillFees[Grouping_ID],0))</f>
        <v>72.030938699729589</v>
      </c>
      <c r="AA461" s="102">
        <f>IF(OR(TransTonsShort[[#This Row],[CollectionStream_ID]]="03",TransTonsShort[[#This Row],[CollectionStream_ID]]="04",TransTonsShort[[#This Row],[CollectionStream_ID]]="13"),0,TransTonsShort[[#This Row],[Trans_Tons_All]]*TransTonsShort[[#This Row],[Disposal_Fee]])</f>
        <v>0</v>
      </c>
      <c r="AF461" s="446" t="s">
        <v>1634</v>
      </c>
      <c r="AG461" s="442" t="str">
        <f>LEFT(SecondaryTransport[[#This Row],[Scenario_MRF_Bale_ID]],2)</f>
        <v>S4</v>
      </c>
      <c r="AH461" s="181" t="str">
        <f>LEFT(RIGHT(SecondaryTransport[[#This Row],[Scenario_MRF_Bale_ID]],10),2)</f>
        <v>08</v>
      </c>
      <c r="AI461" s="181" t="str">
        <f>INDEX(MRFs[MRF_Name],MATCH(SecondaryTransport[[#This Row],[MRF_ID]],MRFs[MRF_ID],0))</f>
        <v>1 MRF for DS fiber (Salem)</v>
      </c>
      <c r="AJ461" s="181" t="str">
        <f>RIGHT(SecondaryTransport[[#This Row],[Scenario_MRF_Bale_ID]],7)</f>
        <v>2000-18</v>
      </c>
      <c r="AK461" s="181" t="str">
        <f>INDEX(Bales[Bale_Name],MATCH(SecondaryTransport[[#This Row],[Bale_ID]],Bales[Bale_ID],0))</f>
        <v>#3-7 bottles and small rigid plastics </v>
      </c>
      <c r="AL461" s="443">
        <f>INDEX(BaleMover[Total_Baled_tons],MATCH(SecondaryTransport[[#This Row],[Scenario_MRF_Bale_ID]],BaleMover[Scenario_MRF_Bale_ID],0))</f>
        <v>0</v>
      </c>
      <c r="AM461" s="443">
        <f>IF(INDEX(BaleMover[Miles],MATCH(SecondaryTransport[[#This Row],[Scenario_MRF_Bale_ID]],BaleMover[Scenario_MRF_Bale_ID],0))="",0,INDEX(BaleMover[Miles],MATCH(SecondaryTransport[[#This Row],[Scenario_MRF_Bale_ID]],BaleMover[Scenario_MRF_Bale_ID],0)))</f>
        <v>0</v>
      </c>
      <c r="AN461" s="251">
        <f>IF(SecondaryTransport[[#This Row],[Bale_ID]]="9000-01","costs elsewhere",SecondaryTransport[[#This Row],[Total_Baled_tons]]*SecondaryTransport[[#This Row],[Miles]])</f>
        <v>0</v>
      </c>
      <c r="AO461" s="352" t="str">
        <f>IF(LEFT(SecondaryTransport[[#This Row],[Bale_ID]],1)*1=5,IF(OR(SecondaryTransport[[#This Row],[MRF_ID]]="02",SecondaryTransport[[#This Row],[MRF_ID]]="08"),2,1),"")</f>
        <v/>
      </c>
      <c r="AP4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1" s="224" t="str">
        <f>IFERROR(IF(1*LEFT(SecondaryTransport[[#This Row],[Bale_ID]],1)=5,SecondaryTransport[[#This Row],[Ton-Miles]]*SecondaryTransport[[#This Row],[Cost_Per_Ton-Mile]],""),"")</f>
        <v/>
      </c>
      <c r="AS461" s="224" t="str">
        <f>IFERROR(IF(SecondaryTransport[[#This Row],[Container_Transfer]]="",(SecondaryTransport[[#This Row],[Ton-Miles]]*SecondaryTransport[[#This Row],[Cost_Per_Ton-Mile]]),""),"")</f>
        <v/>
      </c>
    </row>
    <row r="462" spans="12:45" ht="15" x14ac:dyDescent="0.25">
      <c r="L462" s="446" t="s">
        <v>874</v>
      </c>
      <c r="M462" s="446">
        <v>4</v>
      </c>
      <c r="N462" s="446">
        <v>2</v>
      </c>
      <c r="O462" s="446" t="s">
        <v>700</v>
      </c>
      <c r="P462" s="449" t="s">
        <v>700</v>
      </c>
      <c r="Q462" s="449"/>
      <c r="R462" s="449"/>
      <c r="S462" s="449" t="s">
        <v>872</v>
      </c>
      <c r="T462" s="449" t="s">
        <v>701</v>
      </c>
      <c r="U462" s="452">
        <v>0</v>
      </c>
      <c r="V4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2" s="272" t="str">
        <f>IFERROR(SUMIFS(TransUnitCost[Miles],TransUnitCost[Grouping_ID],TransTonsShort[[#This Row],[Grouping_ID]],TransUnitCost[Transp_ID],TransTonsShort[[#This Row],[Transp_ID]])*TransTonsShort[[#This Row],[Trans_Tons_All]]/TransTonsShort[[#This Row],[Trans_Tons_All]],"")</f>
        <v/>
      </c>
      <c r="X462" s="386" t="str">
        <f>TransTonsShort[[#This Row],[Grouping_ID]]&amp;"-"&amp;TransTonsShort[[#This Row],[Sector_ID]]</f>
        <v>4-2</v>
      </c>
      <c r="Y4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2" s="421">
        <f>INDEX(LandfillFees[Disposal Tip Fee 2025],MATCH(TransTonsShort[[#This Row],[Grouping_ID]],LandfillFees[Grouping_ID],0))</f>
        <v>72.030938699729589</v>
      </c>
      <c r="AA462" s="102">
        <f>IF(OR(TransTonsShort[[#This Row],[CollectionStream_ID]]="03",TransTonsShort[[#This Row],[CollectionStream_ID]]="04",TransTonsShort[[#This Row],[CollectionStream_ID]]="13"),0,TransTonsShort[[#This Row],[Trans_Tons_All]]*TransTonsShort[[#This Row],[Disposal_Fee]])</f>
        <v>0</v>
      </c>
      <c r="AF462" s="446" t="s">
        <v>1635</v>
      </c>
      <c r="AG462" s="442" t="str">
        <f>LEFT(SecondaryTransport[[#This Row],[Scenario_MRF_Bale_ID]],2)</f>
        <v>S4</v>
      </c>
      <c r="AH462" s="181" t="str">
        <f>LEFT(RIGHT(SecondaryTransport[[#This Row],[Scenario_MRF_Bale_ID]],10),2)</f>
        <v>08</v>
      </c>
      <c r="AI462" s="181" t="str">
        <f>INDEX(MRFs[MRF_Name],MATCH(SecondaryTransport[[#This Row],[MRF_ID]],MRFs[MRF_ID],0))</f>
        <v>1 MRF for DS fiber (Salem)</v>
      </c>
      <c r="AJ462" s="181" t="str">
        <f>RIGHT(SecondaryTransport[[#This Row],[Scenario_MRF_Bale_ID]],7)</f>
        <v>3000-01</v>
      </c>
      <c r="AK462" s="181" t="str">
        <f>INDEX(Bales[Bale_Name],MATCH(SecondaryTransport[[#This Row],[Bale_ID]],Bales[Bale_ID],0))</f>
        <v>Container glass </v>
      </c>
      <c r="AL462" s="443">
        <f>INDEX(BaleMover[Total_Baled_tons],MATCH(SecondaryTransport[[#This Row],[Scenario_MRF_Bale_ID]],BaleMover[Scenario_MRF_Bale_ID],0))</f>
        <v>0</v>
      </c>
      <c r="AM462" s="443">
        <f>IF(INDEX(BaleMover[Miles],MATCH(SecondaryTransport[[#This Row],[Scenario_MRF_Bale_ID]],BaleMover[Scenario_MRF_Bale_ID],0))="",0,INDEX(BaleMover[Miles],MATCH(SecondaryTransport[[#This Row],[Scenario_MRF_Bale_ID]],BaleMover[Scenario_MRF_Bale_ID],0)))</f>
        <v>0</v>
      </c>
      <c r="AN462" s="251">
        <f>IF(SecondaryTransport[[#This Row],[Bale_ID]]="9000-01","costs elsewhere",SecondaryTransport[[#This Row],[Total_Baled_tons]]*SecondaryTransport[[#This Row],[Miles]])</f>
        <v>0</v>
      </c>
      <c r="AO462" s="352" t="str">
        <f>IF(LEFT(SecondaryTransport[[#This Row],[Bale_ID]],1)*1=5,IF(OR(SecondaryTransport[[#This Row],[MRF_ID]]="02",SecondaryTransport[[#This Row],[MRF_ID]]="08"),2,1),"")</f>
        <v/>
      </c>
      <c r="AP4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2" s="224" t="str">
        <f>IFERROR(IF(1*LEFT(SecondaryTransport[[#This Row],[Bale_ID]],1)=5,SecondaryTransport[[#This Row],[Ton-Miles]]*SecondaryTransport[[#This Row],[Cost_Per_Ton-Mile]],""),"")</f>
        <v/>
      </c>
      <c r="AS462" s="224" t="str">
        <f>IFERROR(IF(SecondaryTransport[[#This Row],[Container_Transfer]]="",(SecondaryTransport[[#This Row],[Ton-Miles]]*SecondaryTransport[[#This Row],[Cost_Per_Ton-Mile]]),""),"")</f>
        <v/>
      </c>
    </row>
    <row r="463" spans="12:45" ht="15" x14ac:dyDescent="0.25">
      <c r="L463" s="446" t="s">
        <v>874</v>
      </c>
      <c r="M463" s="446">
        <v>1</v>
      </c>
      <c r="N463" s="446">
        <v>2</v>
      </c>
      <c r="O463" s="446" t="s">
        <v>700</v>
      </c>
      <c r="P463" s="449" t="s">
        <v>706</v>
      </c>
      <c r="Q463" s="449"/>
      <c r="R463" s="449"/>
      <c r="S463" s="449" t="s">
        <v>872</v>
      </c>
      <c r="T463" s="449" t="s">
        <v>1025</v>
      </c>
      <c r="U463" s="452">
        <v>1676.3519754489653</v>
      </c>
      <c r="V4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33527.039508979302</v>
      </c>
      <c r="W463" s="272">
        <f>IFERROR(SUMIFS(TransUnitCost[Miles],TransUnitCost[Grouping_ID],TransTonsShort[[#This Row],[Grouping_ID]],TransUnitCost[Transp_ID],TransTonsShort[[#This Row],[Transp_ID]])*TransTonsShort[[#This Row],[Trans_Tons_All]]/TransTonsShort[[#This Row],[Trans_Tons_All]],"")</f>
        <v>19.999999999999996</v>
      </c>
      <c r="X463" s="386" t="str">
        <f>TransTonsShort[[#This Row],[Grouping_ID]]&amp;"-"&amp;TransTonsShort[[#This Row],[Sector_ID]]</f>
        <v>1-2</v>
      </c>
      <c r="Y4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3" s="421">
        <f>INDEX(LandfillFees[Disposal Tip Fee 2025],MATCH(TransTonsShort[[#This Row],[Grouping_ID]],LandfillFees[Grouping_ID],0))</f>
        <v>134.68</v>
      </c>
      <c r="AA463" s="102">
        <f>IF(OR(TransTonsShort[[#This Row],[CollectionStream_ID]]="03",TransTonsShort[[#This Row],[CollectionStream_ID]]="04",TransTonsShort[[#This Row],[CollectionStream_ID]]="13"),0,TransTonsShort[[#This Row],[Trans_Tons_All]]*TransTonsShort[[#This Row],[Disposal_Fee]])</f>
        <v>225771.08405346665</v>
      </c>
      <c r="AF463" s="446" t="s">
        <v>1636</v>
      </c>
      <c r="AG463" s="442" t="str">
        <f>LEFT(SecondaryTransport[[#This Row],[Scenario_MRF_Bale_ID]],2)</f>
        <v>S4</v>
      </c>
      <c r="AH463" s="181" t="str">
        <f>LEFT(RIGHT(SecondaryTransport[[#This Row],[Scenario_MRF_Bale_ID]],10),2)</f>
        <v>08</v>
      </c>
      <c r="AI463" s="181" t="str">
        <f>INDEX(MRFs[MRF_Name],MATCH(SecondaryTransport[[#This Row],[MRF_ID]],MRFs[MRF_ID],0))</f>
        <v>1 MRF for DS fiber (Salem)</v>
      </c>
      <c r="AJ463" s="181" t="str">
        <f>RIGHT(SecondaryTransport[[#This Row],[Scenario_MRF_Bale_ID]],7)</f>
        <v>4000-01</v>
      </c>
      <c r="AK463" s="181" t="str">
        <f>INDEX(Bales[Bale_Name],MATCH(SecondaryTransport[[#This Row],[Bale_ID]],Bales[Bale_ID],0))</f>
        <v>Aluminum cans and foil</v>
      </c>
      <c r="AL463" s="443">
        <f>INDEX(BaleMover[Total_Baled_tons],MATCH(SecondaryTransport[[#This Row],[Scenario_MRF_Bale_ID]],BaleMover[Scenario_MRF_Bale_ID],0))</f>
        <v>0</v>
      </c>
      <c r="AM463" s="443">
        <f>IF(INDEX(BaleMover[Miles],MATCH(SecondaryTransport[[#This Row],[Scenario_MRF_Bale_ID]],BaleMover[Scenario_MRF_Bale_ID],0))="",0,INDEX(BaleMover[Miles],MATCH(SecondaryTransport[[#This Row],[Scenario_MRF_Bale_ID]],BaleMover[Scenario_MRF_Bale_ID],0)))</f>
        <v>0</v>
      </c>
      <c r="AN463" s="251">
        <f>IF(SecondaryTransport[[#This Row],[Bale_ID]]="9000-01","costs elsewhere",SecondaryTransport[[#This Row],[Total_Baled_tons]]*SecondaryTransport[[#This Row],[Miles]])</f>
        <v>0</v>
      </c>
      <c r="AO463" s="352" t="str">
        <f>IF(LEFT(SecondaryTransport[[#This Row],[Bale_ID]],1)*1=5,IF(OR(SecondaryTransport[[#This Row],[MRF_ID]]="02",SecondaryTransport[[#This Row],[MRF_ID]]="08"),2,1),"")</f>
        <v/>
      </c>
      <c r="AP4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3" s="224" t="str">
        <f>IFERROR(IF(1*LEFT(SecondaryTransport[[#This Row],[Bale_ID]],1)=5,SecondaryTransport[[#This Row],[Ton-Miles]]*SecondaryTransport[[#This Row],[Cost_Per_Ton-Mile]],""),"")</f>
        <v/>
      </c>
      <c r="AS463" s="224" t="str">
        <f>IFERROR(IF(SecondaryTransport[[#This Row],[Container_Transfer]]="",(SecondaryTransport[[#This Row],[Ton-Miles]]*SecondaryTransport[[#This Row],[Cost_Per_Ton-Mile]]),""),"")</f>
        <v/>
      </c>
    </row>
    <row r="464" spans="12:45" ht="15" x14ac:dyDescent="0.25">
      <c r="L464" s="446" t="s">
        <v>874</v>
      </c>
      <c r="M464" s="446">
        <v>2</v>
      </c>
      <c r="N464" s="446">
        <v>2</v>
      </c>
      <c r="O464" s="446" t="s">
        <v>700</v>
      </c>
      <c r="P464" s="449" t="s">
        <v>706</v>
      </c>
      <c r="Q464" s="449"/>
      <c r="R464" s="449"/>
      <c r="S464" s="449" t="s">
        <v>872</v>
      </c>
      <c r="T464" s="449" t="s">
        <v>1025</v>
      </c>
      <c r="U464" s="452">
        <v>1146.5572898694945</v>
      </c>
      <c r="V4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32103.604116345847</v>
      </c>
      <c r="W464" s="272">
        <f>IFERROR(SUMIFS(TransUnitCost[Miles],TransUnitCost[Grouping_ID],TransTonsShort[[#This Row],[Grouping_ID]],TransUnitCost[Transp_ID],TransTonsShort[[#This Row],[Transp_ID]])*TransTonsShort[[#This Row],[Trans_Tons_All]]/TransTonsShort[[#This Row],[Trans_Tons_All]],"")</f>
        <v>70</v>
      </c>
      <c r="X464" s="386" t="str">
        <f>TransTonsShort[[#This Row],[Grouping_ID]]&amp;"-"&amp;TransTonsShort[[#This Row],[Sector_ID]]</f>
        <v>2-2</v>
      </c>
      <c r="Y4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4" s="421">
        <f>INDEX(LandfillFees[Disposal Tip Fee 2025],MATCH(TransTonsShort[[#This Row],[Grouping_ID]],LandfillFees[Grouping_ID],0))</f>
        <v>72.030938699729589</v>
      </c>
      <c r="AA464" s="102">
        <f>IF(OR(TransTonsShort[[#This Row],[CollectionStream_ID]]="03",TransTonsShort[[#This Row],[CollectionStream_ID]]="04",TransTonsShort[[#This Row],[CollectionStream_ID]]="13"),0,TransTonsShort[[#This Row],[Trans_Tons_All]]*TransTonsShort[[#This Row],[Disposal_Fee]])</f>
        <v>82587.597862317649</v>
      </c>
      <c r="AF464" s="446" t="s">
        <v>1637</v>
      </c>
      <c r="AG464" s="442" t="str">
        <f>LEFT(SecondaryTransport[[#This Row],[Scenario_MRF_Bale_ID]],2)</f>
        <v>S4</v>
      </c>
      <c r="AH464" s="181" t="str">
        <f>LEFT(RIGHT(SecondaryTransport[[#This Row],[Scenario_MRF_Bale_ID]],10),2)</f>
        <v>08</v>
      </c>
      <c r="AI464" s="181" t="str">
        <f>INDEX(MRFs[MRF_Name],MATCH(SecondaryTransport[[#This Row],[MRF_ID]],MRFs[MRF_ID],0))</f>
        <v>1 MRF for DS fiber (Salem)</v>
      </c>
      <c r="AJ464" s="181" t="str">
        <f>RIGHT(SecondaryTransport[[#This Row],[Scenario_MRF_Bale_ID]],7)</f>
        <v>4000-02</v>
      </c>
      <c r="AK464" s="181" t="str">
        <f>INDEX(Bales[Bale_Name],MATCH(SecondaryTransport[[#This Row],[Bale_ID]],Bales[Bale_ID],0))</f>
        <v>Steel cans </v>
      </c>
      <c r="AL464" s="443">
        <f>INDEX(BaleMover[Total_Baled_tons],MATCH(SecondaryTransport[[#This Row],[Scenario_MRF_Bale_ID]],BaleMover[Scenario_MRF_Bale_ID],0))</f>
        <v>0</v>
      </c>
      <c r="AM464" s="443">
        <f>IF(INDEX(BaleMover[Miles],MATCH(SecondaryTransport[[#This Row],[Scenario_MRF_Bale_ID]],BaleMover[Scenario_MRF_Bale_ID],0))="",0,INDEX(BaleMover[Miles],MATCH(SecondaryTransport[[#This Row],[Scenario_MRF_Bale_ID]],BaleMover[Scenario_MRF_Bale_ID],0)))</f>
        <v>0</v>
      </c>
      <c r="AN464" s="251">
        <f>IF(SecondaryTransport[[#This Row],[Bale_ID]]="9000-01","costs elsewhere",SecondaryTransport[[#This Row],[Total_Baled_tons]]*SecondaryTransport[[#This Row],[Miles]])</f>
        <v>0</v>
      </c>
      <c r="AO464" s="352" t="str">
        <f>IF(LEFT(SecondaryTransport[[#This Row],[Bale_ID]],1)*1=5,IF(OR(SecondaryTransport[[#This Row],[MRF_ID]]="02",SecondaryTransport[[#This Row],[MRF_ID]]="08"),2,1),"")</f>
        <v/>
      </c>
      <c r="AP4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4" s="224" t="str">
        <f>IFERROR(IF(1*LEFT(SecondaryTransport[[#This Row],[Bale_ID]],1)=5,SecondaryTransport[[#This Row],[Ton-Miles]]*SecondaryTransport[[#This Row],[Cost_Per_Ton-Mile]],""),"")</f>
        <v/>
      </c>
      <c r="AS464" s="224" t="str">
        <f>IFERROR(IF(SecondaryTransport[[#This Row],[Container_Transfer]]="",(SecondaryTransport[[#This Row],[Ton-Miles]]*SecondaryTransport[[#This Row],[Cost_Per_Ton-Mile]]),""),"")</f>
        <v/>
      </c>
    </row>
    <row r="465" spans="12:45" ht="15" x14ac:dyDescent="0.25">
      <c r="L465" s="446" t="s">
        <v>874</v>
      </c>
      <c r="M465" s="446">
        <v>3</v>
      </c>
      <c r="N465" s="446">
        <v>2</v>
      </c>
      <c r="O465" s="446" t="s">
        <v>700</v>
      </c>
      <c r="P465" s="449" t="s">
        <v>706</v>
      </c>
      <c r="Q465" s="449"/>
      <c r="R465" s="449"/>
      <c r="S465" s="449" t="s">
        <v>872</v>
      </c>
      <c r="T465" s="449" t="s">
        <v>1025</v>
      </c>
      <c r="U465" s="452">
        <v>963.28077491456088</v>
      </c>
      <c r="V4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50572.240683014446</v>
      </c>
      <c r="W465" s="272">
        <f>IFERROR(SUMIFS(TransUnitCost[Miles],TransUnitCost[Grouping_ID],TransTonsShort[[#This Row],[Grouping_ID]],TransUnitCost[Transp_ID],TransTonsShort[[#This Row],[Transp_ID]])*TransTonsShort[[#This Row],[Trans_Tons_All]]/TransTonsShort[[#This Row],[Trans_Tons_All]],"")</f>
        <v>150</v>
      </c>
      <c r="X465" s="386" t="str">
        <f>TransTonsShort[[#This Row],[Grouping_ID]]&amp;"-"&amp;TransTonsShort[[#This Row],[Sector_ID]]</f>
        <v>3-2</v>
      </c>
      <c r="Y4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5" s="421">
        <f>INDEX(LandfillFees[Disposal Tip Fee 2025],MATCH(TransTonsShort[[#This Row],[Grouping_ID]],LandfillFees[Grouping_ID],0))</f>
        <v>72.030938699729589</v>
      </c>
      <c r="AA465" s="102">
        <f>IF(OR(TransTonsShort[[#This Row],[CollectionStream_ID]]="03",TransTonsShort[[#This Row],[CollectionStream_ID]]="04",TransTonsShort[[#This Row],[CollectionStream_ID]]="13"),0,TransTonsShort[[#This Row],[Trans_Tons_All]]*TransTonsShort[[#This Row],[Disposal_Fee]])</f>
        <v>69386.018448498755</v>
      </c>
      <c r="AF465" s="446" t="s">
        <v>1638</v>
      </c>
      <c r="AG465" s="442" t="str">
        <f>LEFT(SecondaryTransport[[#This Row],[Scenario_MRF_Bale_ID]],2)</f>
        <v>S4</v>
      </c>
      <c r="AH465" s="181" t="str">
        <f>LEFT(RIGHT(SecondaryTransport[[#This Row],[Scenario_MRF_Bale_ID]],10),2)</f>
        <v>08</v>
      </c>
      <c r="AI465" s="181" t="str">
        <f>INDEX(MRFs[MRF_Name],MATCH(SecondaryTransport[[#This Row],[MRF_ID]],MRFs[MRF_ID],0))</f>
        <v>1 MRF for DS fiber (Salem)</v>
      </c>
      <c r="AJ465" s="181" t="str">
        <f>RIGHT(SecondaryTransport[[#This Row],[Scenario_MRF_Bale_ID]],7)</f>
        <v>4000-03</v>
      </c>
      <c r="AK465" s="181" t="str">
        <f>INDEX(Bales[Bale_Name],MATCH(SecondaryTransport[[#This Row],[Bale_ID]],Bales[Bale_ID],0))</f>
        <v>Scrap metal</v>
      </c>
      <c r="AL465" s="443">
        <f>INDEX(BaleMover[Total_Baled_tons],MATCH(SecondaryTransport[[#This Row],[Scenario_MRF_Bale_ID]],BaleMover[Scenario_MRF_Bale_ID],0))</f>
        <v>0</v>
      </c>
      <c r="AM465" s="443">
        <f>IF(INDEX(BaleMover[Miles],MATCH(SecondaryTransport[[#This Row],[Scenario_MRF_Bale_ID]],BaleMover[Scenario_MRF_Bale_ID],0))="",0,INDEX(BaleMover[Miles],MATCH(SecondaryTransport[[#This Row],[Scenario_MRF_Bale_ID]],BaleMover[Scenario_MRF_Bale_ID],0)))</f>
        <v>0</v>
      </c>
      <c r="AN465" s="251">
        <f>IF(SecondaryTransport[[#This Row],[Bale_ID]]="9000-01","costs elsewhere",SecondaryTransport[[#This Row],[Total_Baled_tons]]*SecondaryTransport[[#This Row],[Miles]])</f>
        <v>0</v>
      </c>
      <c r="AO465" s="352" t="str">
        <f>IF(LEFT(SecondaryTransport[[#This Row],[Bale_ID]],1)*1=5,IF(OR(SecondaryTransport[[#This Row],[MRF_ID]]="02",SecondaryTransport[[#This Row],[MRF_ID]]="08"),2,1),"")</f>
        <v/>
      </c>
      <c r="AP4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6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65" s="224" t="str">
        <f>IFERROR(IF(1*LEFT(SecondaryTransport[[#This Row],[Bale_ID]],1)=5,SecondaryTransport[[#This Row],[Ton-Miles]]*SecondaryTransport[[#This Row],[Cost_Per_Ton-Mile]],""),"")</f>
        <v/>
      </c>
      <c r="AS465" s="224" t="str">
        <f>IFERROR(IF(SecondaryTransport[[#This Row],[Container_Transfer]]="",(SecondaryTransport[[#This Row],[Ton-Miles]]*SecondaryTransport[[#This Row],[Cost_Per_Ton-Mile]]),""),"")</f>
        <v/>
      </c>
    </row>
    <row r="466" spans="12:45" ht="15" x14ac:dyDescent="0.25">
      <c r="L466" s="446" t="s">
        <v>874</v>
      </c>
      <c r="M466" s="446">
        <v>4</v>
      </c>
      <c r="N466" s="446">
        <v>2</v>
      </c>
      <c r="O466" s="446" t="s">
        <v>700</v>
      </c>
      <c r="P466" s="449" t="s">
        <v>706</v>
      </c>
      <c r="Q466" s="449"/>
      <c r="R466" s="449"/>
      <c r="S466" s="449" t="s">
        <v>872</v>
      </c>
      <c r="T466" s="449" t="s">
        <v>1025</v>
      </c>
      <c r="U466" s="452">
        <v>11.421980040023151</v>
      </c>
      <c r="V4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1142.198004002315</v>
      </c>
      <c r="W466" s="272">
        <f>IFERROR(SUMIFS(TransUnitCost[Miles],TransUnitCost[Grouping_ID],TransTonsShort[[#This Row],[Grouping_ID]],TransUnitCost[Transp_ID],TransTonsShort[[#This Row],[Transp_ID]])*TransTonsShort[[#This Row],[Trans_Tons_All]]/TransTonsShort[[#This Row],[Trans_Tons_All]],"")</f>
        <v>250</v>
      </c>
      <c r="X466" s="386" t="str">
        <f>TransTonsShort[[#This Row],[Grouping_ID]]&amp;"-"&amp;TransTonsShort[[#This Row],[Sector_ID]]</f>
        <v>4-2</v>
      </c>
      <c r="Y4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6" s="421">
        <f>INDEX(LandfillFees[Disposal Tip Fee 2025],MATCH(TransTonsShort[[#This Row],[Grouping_ID]],LandfillFees[Grouping_ID],0))</f>
        <v>72.030938699729589</v>
      </c>
      <c r="AA466" s="102">
        <f>IF(OR(TransTonsShort[[#This Row],[CollectionStream_ID]]="03",TransTonsShort[[#This Row],[CollectionStream_ID]]="04",TransTonsShort[[#This Row],[CollectionStream_ID]]="13"),0,TransTonsShort[[#This Row],[Trans_Tons_All]]*TransTonsShort[[#This Row],[Disposal_Fee]])</f>
        <v>822.73594409244242</v>
      </c>
      <c r="AF466" s="446" t="s">
        <v>1639</v>
      </c>
      <c r="AG466" s="442" t="str">
        <f>LEFT(SecondaryTransport[[#This Row],[Scenario_MRF_Bale_ID]],2)</f>
        <v>S0</v>
      </c>
      <c r="AH466" s="181" t="str">
        <f>LEFT(RIGHT(SecondaryTransport[[#This Row],[Scenario_MRF_Bale_ID]],10),2)</f>
        <v>13</v>
      </c>
      <c r="AI466" s="181" t="str">
        <f>INDEX(MRFs[MRF_Name],MATCH(SecondaryTransport[[#This Row],[MRF_ID]],MRFs[MRF_ID],0))</f>
        <v>Directly marketed (no sorting)</v>
      </c>
      <c r="AJ466" s="181" t="str">
        <f>RIGHT(SecondaryTransport[[#This Row],[Scenario_MRF_Bale_ID]],7)</f>
        <v>1000-01</v>
      </c>
      <c r="AK466" s="181" t="str">
        <f>INDEX(Bales[Bale_Name],MATCH(SecondaryTransport[[#This Row],[Bale_ID]],Bales[Bale_ID],0))</f>
        <v>OCC (corrugated cardboard) </v>
      </c>
      <c r="AL466" s="443">
        <f>INDEX(BaleMover[Total_Baled_tons],MATCH(SecondaryTransport[[#This Row],[Scenario_MRF_Bale_ID]],BaleMover[Scenario_MRF_Bale_ID],0))</f>
        <v>18809.189368531246</v>
      </c>
      <c r="AM466" s="443">
        <f>IF(INDEX(BaleMover[Miles],MATCH(SecondaryTransport[[#This Row],[Scenario_MRF_Bale_ID]],BaleMover[Scenario_MRF_Bale_ID],0))="",0,INDEX(BaleMover[Miles],MATCH(SecondaryTransport[[#This Row],[Scenario_MRF_Bale_ID]],BaleMover[Scenario_MRF_Bale_ID],0)))</f>
        <v>65</v>
      </c>
      <c r="AN466" s="251">
        <f>IF(SecondaryTransport[[#This Row],[Bale_ID]]="9000-01","costs elsewhere",SecondaryTransport[[#This Row],[Total_Baled_tons]]*SecondaryTransport[[#This Row],[Miles]])</f>
        <v>1222597.3089545311</v>
      </c>
      <c r="AO466" s="352" t="str">
        <f>IF(LEFT(SecondaryTransport[[#This Row],[Bale_ID]],1)*1=5,IF(OR(SecondaryTransport[[#This Row],[MRF_ID]]="02",SecondaryTransport[[#This Row],[MRF_ID]]="08"),2,1),"")</f>
        <v/>
      </c>
      <c r="AP4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6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66" s="224" t="str">
        <f>IFERROR(IF(1*LEFT(SecondaryTransport[[#This Row],[Bale_ID]],1)=5,SecondaryTransport[[#This Row],[Ton-Miles]]*SecondaryTransport[[#This Row],[Cost_Per_Ton-Mile]],""),"")</f>
        <v/>
      </c>
      <c r="AS466" s="224">
        <f>IFERROR(IF(SecondaryTransport[[#This Row],[Container_Transfer]]="",(SecondaryTransport[[#This Row],[Ton-Miles]]*SecondaryTransport[[#This Row],[Cost_Per_Ton-Mile]]),""),"")</f>
        <v>379005.16577590466</v>
      </c>
    </row>
    <row r="467" spans="12:45" ht="15" x14ac:dyDescent="0.25">
      <c r="L467" s="446" t="s">
        <v>874</v>
      </c>
      <c r="M467" s="446">
        <v>1</v>
      </c>
      <c r="N467" s="446">
        <v>2</v>
      </c>
      <c r="O467" s="446" t="s">
        <v>748</v>
      </c>
      <c r="P467" s="449" t="s">
        <v>719</v>
      </c>
      <c r="Q467" s="449"/>
      <c r="R467" s="449"/>
      <c r="S467" s="449" t="s">
        <v>765</v>
      </c>
      <c r="T467" s="449" t="s">
        <v>1055</v>
      </c>
      <c r="U467" s="452">
        <v>0</v>
      </c>
      <c r="V4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7" s="272" t="str">
        <f>IFERROR(SUMIFS(TransUnitCost[Miles],TransUnitCost[Grouping_ID],TransTonsShort[[#This Row],[Grouping_ID]],TransUnitCost[Transp_ID],TransTonsShort[[#This Row],[Transp_ID]])*TransTonsShort[[#This Row],[Trans_Tons_All]]/TransTonsShort[[#This Row],[Trans_Tons_All]],"")</f>
        <v/>
      </c>
      <c r="X467" s="386" t="str">
        <f>TransTonsShort[[#This Row],[Grouping_ID]]&amp;"-"&amp;TransTonsShort[[#This Row],[Sector_ID]]</f>
        <v>1-2</v>
      </c>
      <c r="Y4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7" s="421">
        <f>INDEX(LandfillFees[Disposal Tip Fee 2025],MATCH(TransTonsShort[[#This Row],[Grouping_ID]],LandfillFees[Grouping_ID],0))</f>
        <v>134.68</v>
      </c>
      <c r="AA467" s="102">
        <f>IF(OR(TransTonsShort[[#This Row],[CollectionStream_ID]]="03",TransTonsShort[[#This Row],[CollectionStream_ID]]="04",TransTonsShort[[#This Row],[CollectionStream_ID]]="13"),0,TransTonsShort[[#This Row],[Trans_Tons_All]]*TransTonsShort[[#This Row],[Disposal_Fee]])</f>
        <v>0</v>
      </c>
      <c r="AF467" s="446" t="s">
        <v>1640</v>
      </c>
      <c r="AG467" s="442" t="str">
        <f>LEFT(SecondaryTransport[[#This Row],[Scenario_MRF_Bale_ID]],2)</f>
        <v>S1</v>
      </c>
      <c r="AH467" s="181" t="str">
        <f>LEFT(RIGHT(SecondaryTransport[[#This Row],[Scenario_MRF_Bale_ID]],10),2)</f>
        <v>13</v>
      </c>
      <c r="AI467" s="181" t="str">
        <f>INDEX(MRFs[MRF_Name],MATCH(SecondaryTransport[[#This Row],[MRF_ID]],MRFs[MRF_ID],0))</f>
        <v>Directly marketed (no sorting)</v>
      </c>
      <c r="AJ467" s="181" t="str">
        <f>RIGHT(SecondaryTransport[[#This Row],[Scenario_MRF_Bale_ID]],7)</f>
        <v>1000-01</v>
      </c>
      <c r="AK467" s="181" t="str">
        <f>INDEX(Bales[Bale_Name],MATCH(SecondaryTransport[[#This Row],[Bale_ID]],Bales[Bale_ID],0))</f>
        <v>OCC (corrugated cardboard) </v>
      </c>
      <c r="AL467" s="443">
        <f>INDEX(BaleMover[Total_Baled_tons],MATCH(SecondaryTransport[[#This Row],[Scenario_MRF_Bale_ID]],BaleMover[Scenario_MRF_Bale_ID],0))</f>
        <v>18809.189368531246</v>
      </c>
      <c r="AM467" s="443">
        <f>IF(INDEX(BaleMover[Miles],MATCH(SecondaryTransport[[#This Row],[Scenario_MRF_Bale_ID]],BaleMover[Scenario_MRF_Bale_ID],0))="",0,INDEX(BaleMover[Miles],MATCH(SecondaryTransport[[#This Row],[Scenario_MRF_Bale_ID]],BaleMover[Scenario_MRF_Bale_ID],0)))</f>
        <v>65</v>
      </c>
      <c r="AN467" s="251">
        <f>IF(SecondaryTransport[[#This Row],[Bale_ID]]="9000-01","costs elsewhere",SecondaryTransport[[#This Row],[Total_Baled_tons]]*SecondaryTransport[[#This Row],[Miles]])</f>
        <v>1222597.3089545311</v>
      </c>
      <c r="AO467" s="352" t="str">
        <f>IF(LEFT(SecondaryTransport[[#This Row],[Bale_ID]],1)*1=5,IF(OR(SecondaryTransport[[#This Row],[MRF_ID]]="02",SecondaryTransport[[#This Row],[MRF_ID]]="08"),2,1),"")</f>
        <v/>
      </c>
      <c r="AP4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6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67" s="224" t="str">
        <f>IFERROR(IF(1*LEFT(SecondaryTransport[[#This Row],[Bale_ID]],1)=5,SecondaryTransport[[#This Row],[Ton-Miles]]*SecondaryTransport[[#This Row],[Cost_Per_Ton-Mile]],""),"")</f>
        <v/>
      </c>
      <c r="AS467" s="224">
        <f>IFERROR(IF(SecondaryTransport[[#This Row],[Container_Transfer]]="",(SecondaryTransport[[#This Row],[Ton-Miles]]*SecondaryTransport[[#This Row],[Cost_Per_Ton-Mile]]),""),"")</f>
        <v>379005.16577590466</v>
      </c>
    </row>
    <row r="468" spans="12:45" ht="15" x14ac:dyDescent="0.25">
      <c r="L468" s="446" t="s">
        <v>874</v>
      </c>
      <c r="M468" s="446">
        <v>2</v>
      </c>
      <c r="N468" s="446">
        <v>2</v>
      </c>
      <c r="O468" s="446" t="s">
        <v>748</v>
      </c>
      <c r="P468" s="449" t="s">
        <v>719</v>
      </c>
      <c r="Q468" s="449"/>
      <c r="R468" s="449"/>
      <c r="S468" s="449" t="s">
        <v>765</v>
      </c>
      <c r="T468" s="449" t="s">
        <v>1055</v>
      </c>
      <c r="U468" s="452">
        <v>0</v>
      </c>
      <c r="V4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8" s="272" t="str">
        <f>IFERROR(SUMIFS(TransUnitCost[Miles],TransUnitCost[Grouping_ID],TransTonsShort[[#This Row],[Grouping_ID]],TransUnitCost[Transp_ID],TransTonsShort[[#This Row],[Transp_ID]])*TransTonsShort[[#This Row],[Trans_Tons_All]]/TransTonsShort[[#This Row],[Trans_Tons_All]],"")</f>
        <v/>
      </c>
      <c r="X468" s="386" t="str">
        <f>TransTonsShort[[#This Row],[Grouping_ID]]&amp;"-"&amp;TransTonsShort[[#This Row],[Sector_ID]]</f>
        <v>2-2</v>
      </c>
      <c r="Y4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8" s="421">
        <f>INDEX(LandfillFees[Disposal Tip Fee 2025],MATCH(TransTonsShort[[#This Row],[Grouping_ID]],LandfillFees[Grouping_ID],0))</f>
        <v>72.030938699729589</v>
      </c>
      <c r="AA468" s="102">
        <f>IF(OR(TransTonsShort[[#This Row],[CollectionStream_ID]]="03",TransTonsShort[[#This Row],[CollectionStream_ID]]="04",TransTonsShort[[#This Row],[CollectionStream_ID]]="13"),0,TransTonsShort[[#This Row],[Trans_Tons_All]]*TransTonsShort[[#This Row],[Disposal_Fee]])</f>
        <v>0</v>
      </c>
      <c r="AF468" s="446" t="s">
        <v>1641</v>
      </c>
      <c r="AG468" s="442" t="str">
        <f>LEFT(SecondaryTransport[[#This Row],[Scenario_MRF_Bale_ID]],2)</f>
        <v>S2</v>
      </c>
      <c r="AH468" s="181" t="str">
        <f>LEFT(RIGHT(SecondaryTransport[[#This Row],[Scenario_MRF_Bale_ID]],10),2)</f>
        <v>13</v>
      </c>
      <c r="AI468" s="181" t="str">
        <f>INDEX(MRFs[MRF_Name],MATCH(SecondaryTransport[[#This Row],[MRF_ID]],MRFs[MRF_ID],0))</f>
        <v>Directly marketed (no sorting)</v>
      </c>
      <c r="AJ468" s="181" t="str">
        <f>RIGHT(SecondaryTransport[[#This Row],[Scenario_MRF_Bale_ID]],7)</f>
        <v>1000-01</v>
      </c>
      <c r="AK468" s="181" t="str">
        <f>INDEX(Bales[Bale_Name],MATCH(SecondaryTransport[[#This Row],[Bale_ID]],Bales[Bale_ID],0))</f>
        <v>OCC (corrugated cardboard) </v>
      </c>
      <c r="AL468" s="443">
        <f>INDEX(BaleMover[Total_Baled_tons],MATCH(SecondaryTransport[[#This Row],[Scenario_MRF_Bale_ID]],BaleMover[Scenario_MRF_Bale_ID],0))</f>
        <v>18809.189368531246</v>
      </c>
      <c r="AM468" s="443">
        <f>IF(INDEX(BaleMover[Miles],MATCH(SecondaryTransport[[#This Row],[Scenario_MRF_Bale_ID]],BaleMover[Scenario_MRF_Bale_ID],0))="",0,INDEX(BaleMover[Miles],MATCH(SecondaryTransport[[#This Row],[Scenario_MRF_Bale_ID]],BaleMover[Scenario_MRF_Bale_ID],0)))</f>
        <v>65</v>
      </c>
      <c r="AN468" s="251">
        <f>IF(SecondaryTransport[[#This Row],[Bale_ID]]="9000-01","costs elsewhere",SecondaryTransport[[#This Row],[Total_Baled_tons]]*SecondaryTransport[[#This Row],[Miles]])</f>
        <v>1222597.3089545311</v>
      </c>
      <c r="AO468" s="352" t="str">
        <f>IF(LEFT(SecondaryTransport[[#This Row],[Bale_ID]],1)*1=5,IF(OR(SecondaryTransport[[#This Row],[MRF_ID]]="02",SecondaryTransport[[#This Row],[MRF_ID]]="08"),2,1),"")</f>
        <v/>
      </c>
      <c r="AP4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6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68" s="224" t="str">
        <f>IFERROR(IF(1*LEFT(SecondaryTransport[[#This Row],[Bale_ID]],1)=5,SecondaryTransport[[#This Row],[Ton-Miles]]*SecondaryTransport[[#This Row],[Cost_Per_Ton-Mile]],""),"")</f>
        <v/>
      </c>
      <c r="AS468" s="224">
        <f>IFERROR(IF(SecondaryTransport[[#This Row],[Container_Transfer]]="",(SecondaryTransport[[#This Row],[Ton-Miles]]*SecondaryTransport[[#This Row],[Cost_Per_Ton-Mile]]),""),"")</f>
        <v>379005.16577590466</v>
      </c>
    </row>
    <row r="469" spans="12:45" ht="15" x14ac:dyDescent="0.25">
      <c r="L469" s="446" t="s">
        <v>874</v>
      </c>
      <c r="M469" s="446">
        <v>3</v>
      </c>
      <c r="N469" s="446">
        <v>2</v>
      </c>
      <c r="O469" s="446" t="s">
        <v>748</v>
      </c>
      <c r="P469" s="449" t="s">
        <v>719</v>
      </c>
      <c r="Q469" s="449"/>
      <c r="R469" s="449"/>
      <c r="S469" s="449" t="s">
        <v>765</v>
      </c>
      <c r="T469" s="449" t="s">
        <v>1055</v>
      </c>
      <c r="U469" s="452">
        <v>0</v>
      </c>
      <c r="V4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69" s="272" t="str">
        <f>IFERROR(SUMIFS(TransUnitCost[Miles],TransUnitCost[Grouping_ID],TransTonsShort[[#This Row],[Grouping_ID]],TransUnitCost[Transp_ID],TransTonsShort[[#This Row],[Transp_ID]])*TransTonsShort[[#This Row],[Trans_Tons_All]]/TransTonsShort[[#This Row],[Trans_Tons_All]],"")</f>
        <v/>
      </c>
      <c r="X469" s="386" t="str">
        <f>TransTonsShort[[#This Row],[Grouping_ID]]&amp;"-"&amp;TransTonsShort[[#This Row],[Sector_ID]]</f>
        <v>3-2</v>
      </c>
      <c r="Y4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69" s="421">
        <f>INDEX(LandfillFees[Disposal Tip Fee 2025],MATCH(TransTonsShort[[#This Row],[Grouping_ID]],LandfillFees[Grouping_ID],0))</f>
        <v>72.030938699729589</v>
      </c>
      <c r="AA469" s="102">
        <f>IF(OR(TransTonsShort[[#This Row],[CollectionStream_ID]]="03",TransTonsShort[[#This Row],[CollectionStream_ID]]="04",TransTonsShort[[#This Row],[CollectionStream_ID]]="13"),0,TransTonsShort[[#This Row],[Trans_Tons_All]]*TransTonsShort[[#This Row],[Disposal_Fee]])</f>
        <v>0</v>
      </c>
      <c r="AF469" s="446" t="s">
        <v>1642</v>
      </c>
      <c r="AG469" s="442" t="str">
        <f>LEFT(SecondaryTransport[[#This Row],[Scenario_MRF_Bale_ID]],2)</f>
        <v>S3</v>
      </c>
      <c r="AH469" s="181" t="str">
        <f>LEFT(RIGHT(SecondaryTransport[[#This Row],[Scenario_MRF_Bale_ID]],10),2)</f>
        <v>13</v>
      </c>
      <c r="AI469" s="181" t="str">
        <f>INDEX(MRFs[MRF_Name],MATCH(SecondaryTransport[[#This Row],[MRF_ID]],MRFs[MRF_ID],0))</f>
        <v>Directly marketed (no sorting)</v>
      </c>
      <c r="AJ469" s="181" t="str">
        <f>RIGHT(SecondaryTransport[[#This Row],[Scenario_MRF_Bale_ID]],7)</f>
        <v>1000-01</v>
      </c>
      <c r="AK469" s="181" t="str">
        <f>INDEX(Bales[Bale_Name],MATCH(SecondaryTransport[[#This Row],[Bale_ID]],Bales[Bale_ID],0))</f>
        <v>OCC (corrugated cardboard) </v>
      </c>
      <c r="AL469" s="443">
        <f>INDEX(BaleMover[Total_Baled_tons],MATCH(SecondaryTransport[[#This Row],[Scenario_MRF_Bale_ID]],BaleMover[Scenario_MRF_Bale_ID],0))</f>
        <v>18809.189368531246</v>
      </c>
      <c r="AM469" s="443">
        <f>IF(INDEX(BaleMover[Miles],MATCH(SecondaryTransport[[#This Row],[Scenario_MRF_Bale_ID]],BaleMover[Scenario_MRF_Bale_ID],0))="",0,INDEX(BaleMover[Miles],MATCH(SecondaryTransport[[#This Row],[Scenario_MRF_Bale_ID]],BaleMover[Scenario_MRF_Bale_ID],0)))</f>
        <v>65</v>
      </c>
      <c r="AN469" s="251">
        <f>IF(SecondaryTransport[[#This Row],[Bale_ID]]="9000-01","costs elsewhere",SecondaryTransport[[#This Row],[Total_Baled_tons]]*SecondaryTransport[[#This Row],[Miles]])</f>
        <v>1222597.3089545311</v>
      </c>
      <c r="AO469" s="352" t="str">
        <f>IF(LEFT(SecondaryTransport[[#This Row],[Bale_ID]],1)*1=5,IF(OR(SecondaryTransport[[#This Row],[MRF_ID]]="02",SecondaryTransport[[#This Row],[MRF_ID]]="08"),2,1),"")</f>
        <v/>
      </c>
      <c r="AP4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6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69" s="224" t="str">
        <f>IFERROR(IF(1*LEFT(SecondaryTransport[[#This Row],[Bale_ID]],1)=5,SecondaryTransport[[#This Row],[Ton-Miles]]*SecondaryTransport[[#This Row],[Cost_Per_Ton-Mile]],""),"")</f>
        <v/>
      </c>
      <c r="AS469" s="224">
        <f>IFERROR(IF(SecondaryTransport[[#This Row],[Container_Transfer]]="",(SecondaryTransport[[#This Row],[Ton-Miles]]*SecondaryTransport[[#This Row],[Cost_Per_Ton-Mile]]),""),"")</f>
        <v>379005.16577590466</v>
      </c>
    </row>
    <row r="470" spans="12:45" ht="15" x14ac:dyDescent="0.25">
      <c r="L470" s="446" t="s">
        <v>874</v>
      </c>
      <c r="M470" s="446">
        <v>4</v>
      </c>
      <c r="N470" s="446">
        <v>2</v>
      </c>
      <c r="O470" s="446" t="s">
        <v>748</v>
      </c>
      <c r="P470" s="449" t="s">
        <v>719</v>
      </c>
      <c r="Q470" s="449"/>
      <c r="R470" s="449"/>
      <c r="S470" s="449" t="s">
        <v>765</v>
      </c>
      <c r="T470" s="449" t="s">
        <v>1055</v>
      </c>
      <c r="U470" s="452">
        <v>0</v>
      </c>
      <c r="V4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0" s="272" t="str">
        <f>IFERROR(SUMIFS(TransUnitCost[Miles],TransUnitCost[Grouping_ID],TransTonsShort[[#This Row],[Grouping_ID]],TransUnitCost[Transp_ID],TransTonsShort[[#This Row],[Transp_ID]])*TransTonsShort[[#This Row],[Trans_Tons_All]]/TransTonsShort[[#This Row],[Trans_Tons_All]],"")</f>
        <v/>
      </c>
      <c r="X470" s="386" t="str">
        <f>TransTonsShort[[#This Row],[Grouping_ID]]&amp;"-"&amp;TransTonsShort[[#This Row],[Sector_ID]]</f>
        <v>4-2</v>
      </c>
      <c r="Y4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0" s="421">
        <f>INDEX(LandfillFees[Disposal Tip Fee 2025],MATCH(TransTonsShort[[#This Row],[Grouping_ID]],LandfillFees[Grouping_ID],0))</f>
        <v>72.030938699729589</v>
      </c>
      <c r="AA470" s="102">
        <f>IF(OR(TransTonsShort[[#This Row],[CollectionStream_ID]]="03",TransTonsShort[[#This Row],[CollectionStream_ID]]="04",TransTonsShort[[#This Row],[CollectionStream_ID]]="13"),0,TransTonsShort[[#This Row],[Trans_Tons_All]]*TransTonsShort[[#This Row],[Disposal_Fee]])</f>
        <v>0</v>
      </c>
      <c r="AF470" s="446" t="s">
        <v>1643</v>
      </c>
      <c r="AG470" s="442" t="str">
        <f>LEFT(SecondaryTransport[[#This Row],[Scenario_MRF_Bale_ID]],2)</f>
        <v>S4</v>
      </c>
      <c r="AH470" s="181" t="str">
        <f>LEFT(RIGHT(SecondaryTransport[[#This Row],[Scenario_MRF_Bale_ID]],10),2)</f>
        <v>13</v>
      </c>
      <c r="AI470" s="181" t="str">
        <f>INDEX(MRFs[MRF_Name],MATCH(SecondaryTransport[[#This Row],[MRF_ID]],MRFs[MRF_ID],0))</f>
        <v>Directly marketed (no sorting)</v>
      </c>
      <c r="AJ470" s="181" t="str">
        <f>RIGHT(SecondaryTransport[[#This Row],[Scenario_MRF_Bale_ID]],7)</f>
        <v>1000-01</v>
      </c>
      <c r="AK470" s="181" t="str">
        <f>INDEX(Bales[Bale_Name],MATCH(SecondaryTransport[[#This Row],[Bale_ID]],Bales[Bale_ID],0))</f>
        <v>OCC (corrugated cardboard) </v>
      </c>
      <c r="AL470" s="443">
        <f>INDEX(BaleMover[Total_Baled_tons],MATCH(SecondaryTransport[[#This Row],[Scenario_MRF_Bale_ID]],BaleMover[Scenario_MRF_Bale_ID],0))</f>
        <v>18809.189368531246</v>
      </c>
      <c r="AM470" s="443">
        <f>IF(INDEX(BaleMover[Miles],MATCH(SecondaryTransport[[#This Row],[Scenario_MRF_Bale_ID]],BaleMover[Scenario_MRF_Bale_ID],0))="",0,INDEX(BaleMover[Miles],MATCH(SecondaryTransport[[#This Row],[Scenario_MRF_Bale_ID]],BaleMover[Scenario_MRF_Bale_ID],0)))</f>
        <v>65</v>
      </c>
      <c r="AN470" s="251">
        <f>IF(SecondaryTransport[[#This Row],[Bale_ID]]="9000-01","costs elsewhere",SecondaryTransport[[#This Row],[Total_Baled_tons]]*SecondaryTransport[[#This Row],[Miles]])</f>
        <v>1222597.3089545311</v>
      </c>
      <c r="AO470" s="352" t="str">
        <f>IF(LEFT(SecondaryTransport[[#This Row],[Bale_ID]],1)*1=5,IF(OR(SecondaryTransport[[#This Row],[MRF_ID]]="02",SecondaryTransport[[#This Row],[MRF_ID]]="08"),2,1),"")</f>
        <v/>
      </c>
      <c r="AP4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0" s="224" t="str">
        <f>IFERROR(IF(1*LEFT(SecondaryTransport[[#This Row],[Bale_ID]],1)=5,SecondaryTransport[[#This Row],[Ton-Miles]]*SecondaryTransport[[#This Row],[Cost_Per_Ton-Mile]],""),"")</f>
        <v/>
      </c>
      <c r="AS470" s="224">
        <f>IFERROR(IF(SecondaryTransport[[#This Row],[Container_Transfer]]="",(SecondaryTransport[[#This Row],[Ton-Miles]]*SecondaryTransport[[#This Row],[Cost_Per_Ton-Mile]]),""),"")</f>
        <v>379005.16577590466</v>
      </c>
    </row>
    <row r="471" spans="12:45" ht="15" x14ac:dyDescent="0.25">
      <c r="L471" s="446" t="s">
        <v>874</v>
      </c>
      <c r="M471" s="446">
        <v>1</v>
      </c>
      <c r="N471" s="446">
        <v>2</v>
      </c>
      <c r="O471" s="446" t="s">
        <v>748</v>
      </c>
      <c r="P471" s="449" t="s">
        <v>700</v>
      </c>
      <c r="Q471" s="449"/>
      <c r="R471" s="449"/>
      <c r="S471" s="449" t="s">
        <v>765</v>
      </c>
      <c r="T471" s="449" t="s">
        <v>701</v>
      </c>
      <c r="U471" s="452">
        <v>0</v>
      </c>
      <c r="V4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1" s="272" t="str">
        <f>IFERROR(SUMIFS(TransUnitCost[Miles],TransUnitCost[Grouping_ID],TransTonsShort[[#This Row],[Grouping_ID]],TransUnitCost[Transp_ID],TransTonsShort[[#This Row],[Transp_ID]])*TransTonsShort[[#This Row],[Trans_Tons_All]]/TransTonsShort[[#This Row],[Trans_Tons_All]],"")</f>
        <v/>
      </c>
      <c r="X471" s="386" t="str">
        <f>TransTonsShort[[#This Row],[Grouping_ID]]&amp;"-"&amp;TransTonsShort[[#This Row],[Sector_ID]]</f>
        <v>1-2</v>
      </c>
      <c r="Y4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1" s="421">
        <f>INDEX(LandfillFees[Disposal Tip Fee 2025],MATCH(TransTonsShort[[#This Row],[Grouping_ID]],LandfillFees[Grouping_ID],0))</f>
        <v>134.68</v>
      </c>
      <c r="AA471" s="102">
        <f>IF(OR(TransTonsShort[[#This Row],[CollectionStream_ID]]="03",TransTonsShort[[#This Row],[CollectionStream_ID]]="04",TransTonsShort[[#This Row],[CollectionStream_ID]]="13"),0,TransTonsShort[[#This Row],[Trans_Tons_All]]*TransTonsShort[[#This Row],[Disposal_Fee]])</f>
        <v>0</v>
      </c>
      <c r="AF471" s="446" t="s">
        <v>1644</v>
      </c>
      <c r="AG471" s="442" t="str">
        <f>LEFT(SecondaryTransport[[#This Row],[Scenario_MRF_Bale_ID]],2)</f>
        <v>S0</v>
      </c>
      <c r="AH471" s="181" t="str">
        <f>LEFT(RIGHT(SecondaryTransport[[#This Row],[Scenario_MRF_Bale_ID]],10),2)</f>
        <v>13</v>
      </c>
      <c r="AI471" s="181" t="str">
        <f>INDEX(MRFs[MRF_Name],MATCH(SecondaryTransport[[#This Row],[MRF_ID]],MRFs[MRF_ID],0))</f>
        <v>Directly marketed (no sorting)</v>
      </c>
      <c r="AJ471" s="181" t="str">
        <f>RIGHT(SecondaryTransport[[#This Row],[Scenario_MRF_Bale_ID]],7)</f>
        <v>1000-02</v>
      </c>
      <c r="AK471" s="181" t="str">
        <f>INDEX(Bales[Bale_Name],MATCH(SecondaryTransport[[#This Row],[Bale_ID]],Bales[Bale_ID],0))</f>
        <v>Sorted clean newsprint</v>
      </c>
      <c r="AL471" s="443">
        <f>INDEX(BaleMover[Total_Baled_tons],MATCH(SecondaryTransport[[#This Row],[Scenario_MRF_Bale_ID]],BaleMover[Scenario_MRF_Bale_ID],0))</f>
        <v>1121.1440925045511</v>
      </c>
      <c r="AM471" s="443">
        <f>IF(INDEX(BaleMover[Miles],MATCH(SecondaryTransport[[#This Row],[Scenario_MRF_Bale_ID]],BaleMover[Scenario_MRF_Bale_ID],0))="",0,INDEX(BaleMover[Miles],MATCH(SecondaryTransport[[#This Row],[Scenario_MRF_Bale_ID]],BaleMover[Scenario_MRF_Bale_ID],0)))</f>
        <v>65</v>
      </c>
      <c r="AN471" s="251">
        <f>IF(SecondaryTransport[[#This Row],[Bale_ID]]="9000-01","costs elsewhere",SecondaryTransport[[#This Row],[Total_Baled_tons]]*SecondaryTransport[[#This Row],[Miles]])</f>
        <v>72874.366012795814</v>
      </c>
      <c r="AO471" s="352" t="str">
        <f>IF(LEFT(SecondaryTransport[[#This Row],[Bale_ID]],1)*1=5,IF(OR(SecondaryTransport[[#This Row],[MRF_ID]]="02",SecondaryTransport[[#This Row],[MRF_ID]]="08"),2,1),"")</f>
        <v/>
      </c>
      <c r="AP4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1" s="224" t="str">
        <f>IFERROR(IF(1*LEFT(SecondaryTransport[[#This Row],[Bale_ID]],1)=5,SecondaryTransport[[#This Row],[Ton-Miles]]*SecondaryTransport[[#This Row],[Cost_Per_Ton-Mile]],""),"")</f>
        <v/>
      </c>
      <c r="AS471" s="224">
        <f>IFERROR(IF(SecondaryTransport[[#This Row],[Container_Transfer]]="",(SecondaryTransport[[#This Row],[Ton-Miles]]*SecondaryTransport[[#This Row],[Cost_Per_Ton-Mile]]),""),"")</f>
        <v>22591.053463966702</v>
      </c>
    </row>
    <row r="472" spans="12:45" ht="15" x14ac:dyDescent="0.25">
      <c r="L472" s="446" t="s">
        <v>874</v>
      </c>
      <c r="M472" s="446">
        <v>2</v>
      </c>
      <c r="N472" s="446">
        <v>2</v>
      </c>
      <c r="O472" s="446" t="s">
        <v>748</v>
      </c>
      <c r="P472" s="449" t="s">
        <v>700</v>
      </c>
      <c r="Q472" s="449"/>
      <c r="R472" s="449"/>
      <c r="S472" s="449" t="s">
        <v>765</v>
      </c>
      <c r="T472" s="449" t="s">
        <v>701</v>
      </c>
      <c r="U472" s="452">
        <v>0</v>
      </c>
      <c r="V4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2" s="272" t="str">
        <f>IFERROR(SUMIFS(TransUnitCost[Miles],TransUnitCost[Grouping_ID],TransTonsShort[[#This Row],[Grouping_ID]],TransUnitCost[Transp_ID],TransTonsShort[[#This Row],[Transp_ID]])*TransTonsShort[[#This Row],[Trans_Tons_All]]/TransTonsShort[[#This Row],[Trans_Tons_All]],"")</f>
        <v/>
      </c>
      <c r="X472" s="386" t="str">
        <f>TransTonsShort[[#This Row],[Grouping_ID]]&amp;"-"&amp;TransTonsShort[[#This Row],[Sector_ID]]</f>
        <v>2-2</v>
      </c>
      <c r="Y4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2" s="421">
        <f>INDEX(LandfillFees[Disposal Tip Fee 2025],MATCH(TransTonsShort[[#This Row],[Grouping_ID]],LandfillFees[Grouping_ID],0))</f>
        <v>72.030938699729589</v>
      </c>
      <c r="AA472" s="102">
        <f>IF(OR(TransTonsShort[[#This Row],[CollectionStream_ID]]="03",TransTonsShort[[#This Row],[CollectionStream_ID]]="04",TransTonsShort[[#This Row],[CollectionStream_ID]]="13"),0,TransTonsShort[[#This Row],[Trans_Tons_All]]*TransTonsShort[[#This Row],[Disposal_Fee]])</f>
        <v>0</v>
      </c>
      <c r="AF472" s="446" t="s">
        <v>1645</v>
      </c>
      <c r="AG472" s="442" t="str">
        <f>LEFT(SecondaryTransport[[#This Row],[Scenario_MRF_Bale_ID]],2)</f>
        <v>S1</v>
      </c>
      <c r="AH472" s="181" t="str">
        <f>LEFT(RIGHT(SecondaryTransport[[#This Row],[Scenario_MRF_Bale_ID]],10),2)</f>
        <v>13</v>
      </c>
      <c r="AI472" s="181" t="str">
        <f>INDEX(MRFs[MRF_Name],MATCH(SecondaryTransport[[#This Row],[MRF_ID]],MRFs[MRF_ID],0))</f>
        <v>Directly marketed (no sorting)</v>
      </c>
      <c r="AJ472" s="181" t="str">
        <f>RIGHT(SecondaryTransport[[#This Row],[Scenario_MRF_Bale_ID]],7)</f>
        <v>1000-02</v>
      </c>
      <c r="AK472" s="181" t="str">
        <f>INDEX(Bales[Bale_Name],MATCH(SecondaryTransport[[#This Row],[Bale_ID]],Bales[Bale_ID],0))</f>
        <v>Sorted clean newsprint</v>
      </c>
      <c r="AL472" s="443">
        <f>INDEX(BaleMover[Total_Baled_tons],MATCH(SecondaryTransport[[#This Row],[Scenario_MRF_Bale_ID]],BaleMover[Scenario_MRF_Bale_ID],0))</f>
        <v>1121.1440925045511</v>
      </c>
      <c r="AM472" s="443">
        <f>IF(INDEX(BaleMover[Miles],MATCH(SecondaryTransport[[#This Row],[Scenario_MRF_Bale_ID]],BaleMover[Scenario_MRF_Bale_ID],0))="",0,INDEX(BaleMover[Miles],MATCH(SecondaryTransport[[#This Row],[Scenario_MRF_Bale_ID]],BaleMover[Scenario_MRF_Bale_ID],0)))</f>
        <v>65</v>
      </c>
      <c r="AN472" s="251">
        <f>IF(SecondaryTransport[[#This Row],[Bale_ID]]="9000-01","costs elsewhere",SecondaryTransport[[#This Row],[Total_Baled_tons]]*SecondaryTransport[[#This Row],[Miles]])</f>
        <v>72874.366012795814</v>
      </c>
      <c r="AO472" s="352" t="str">
        <f>IF(LEFT(SecondaryTransport[[#This Row],[Bale_ID]],1)*1=5,IF(OR(SecondaryTransport[[#This Row],[MRF_ID]]="02",SecondaryTransport[[#This Row],[MRF_ID]]="08"),2,1),"")</f>
        <v/>
      </c>
      <c r="AP4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2" s="224" t="str">
        <f>IFERROR(IF(1*LEFT(SecondaryTransport[[#This Row],[Bale_ID]],1)=5,SecondaryTransport[[#This Row],[Ton-Miles]]*SecondaryTransport[[#This Row],[Cost_Per_Ton-Mile]],""),"")</f>
        <v/>
      </c>
      <c r="AS472" s="224">
        <f>IFERROR(IF(SecondaryTransport[[#This Row],[Container_Transfer]]="",(SecondaryTransport[[#This Row],[Ton-Miles]]*SecondaryTransport[[#This Row],[Cost_Per_Ton-Mile]]),""),"")</f>
        <v>22591.053463966702</v>
      </c>
    </row>
    <row r="473" spans="12:45" ht="15" x14ac:dyDescent="0.25">
      <c r="L473" s="446" t="s">
        <v>874</v>
      </c>
      <c r="M473" s="446">
        <v>3</v>
      </c>
      <c r="N473" s="446">
        <v>2</v>
      </c>
      <c r="O473" s="446" t="s">
        <v>748</v>
      </c>
      <c r="P473" s="449" t="s">
        <v>700</v>
      </c>
      <c r="Q473" s="449"/>
      <c r="R473" s="449"/>
      <c r="S473" s="449" t="s">
        <v>765</v>
      </c>
      <c r="T473" s="449" t="s">
        <v>701</v>
      </c>
      <c r="U473" s="452">
        <v>0</v>
      </c>
      <c r="V4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3" s="272" t="str">
        <f>IFERROR(SUMIFS(TransUnitCost[Miles],TransUnitCost[Grouping_ID],TransTonsShort[[#This Row],[Grouping_ID]],TransUnitCost[Transp_ID],TransTonsShort[[#This Row],[Transp_ID]])*TransTonsShort[[#This Row],[Trans_Tons_All]]/TransTonsShort[[#This Row],[Trans_Tons_All]],"")</f>
        <v/>
      </c>
      <c r="X473" s="386" t="str">
        <f>TransTonsShort[[#This Row],[Grouping_ID]]&amp;"-"&amp;TransTonsShort[[#This Row],[Sector_ID]]</f>
        <v>3-2</v>
      </c>
      <c r="Y4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3" s="421">
        <f>INDEX(LandfillFees[Disposal Tip Fee 2025],MATCH(TransTonsShort[[#This Row],[Grouping_ID]],LandfillFees[Grouping_ID],0))</f>
        <v>72.030938699729589</v>
      </c>
      <c r="AA473" s="102">
        <f>IF(OR(TransTonsShort[[#This Row],[CollectionStream_ID]]="03",TransTonsShort[[#This Row],[CollectionStream_ID]]="04",TransTonsShort[[#This Row],[CollectionStream_ID]]="13"),0,TransTonsShort[[#This Row],[Trans_Tons_All]]*TransTonsShort[[#This Row],[Disposal_Fee]])</f>
        <v>0</v>
      </c>
      <c r="AF473" s="446" t="s">
        <v>1646</v>
      </c>
      <c r="AG473" s="442" t="str">
        <f>LEFT(SecondaryTransport[[#This Row],[Scenario_MRF_Bale_ID]],2)</f>
        <v>S2</v>
      </c>
      <c r="AH473" s="181" t="str">
        <f>LEFT(RIGHT(SecondaryTransport[[#This Row],[Scenario_MRF_Bale_ID]],10),2)</f>
        <v>13</v>
      </c>
      <c r="AI473" s="181" t="str">
        <f>INDEX(MRFs[MRF_Name],MATCH(SecondaryTransport[[#This Row],[MRF_ID]],MRFs[MRF_ID],0))</f>
        <v>Directly marketed (no sorting)</v>
      </c>
      <c r="AJ473" s="181" t="str">
        <f>RIGHT(SecondaryTransport[[#This Row],[Scenario_MRF_Bale_ID]],7)</f>
        <v>1000-02</v>
      </c>
      <c r="AK473" s="181" t="str">
        <f>INDEX(Bales[Bale_Name],MATCH(SecondaryTransport[[#This Row],[Bale_ID]],Bales[Bale_ID],0))</f>
        <v>Sorted clean newsprint</v>
      </c>
      <c r="AL473" s="443">
        <f>INDEX(BaleMover[Total_Baled_tons],MATCH(SecondaryTransport[[#This Row],[Scenario_MRF_Bale_ID]],BaleMover[Scenario_MRF_Bale_ID],0))</f>
        <v>1121.1440925045508</v>
      </c>
      <c r="AM473" s="443">
        <f>IF(INDEX(BaleMover[Miles],MATCH(SecondaryTransport[[#This Row],[Scenario_MRF_Bale_ID]],BaleMover[Scenario_MRF_Bale_ID],0))="",0,INDEX(BaleMover[Miles],MATCH(SecondaryTransport[[#This Row],[Scenario_MRF_Bale_ID]],BaleMover[Scenario_MRF_Bale_ID],0)))</f>
        <v>65</v>
      </c>
      <c r="AN473" s="251">
        <f>IF(SecondaryTransport[[#This Row],[Bale_ID]]="9000-01","costs elsewhere",SecondaryTransport[[#This Row],[Total_Baled_tons]]*SecondaryTransport[[#This Row],[Miles]])</f>
        <v>72874.366012795799</v>
      </c>
      <c r="AO473" s="352" t="str">
        <f>IF(LEFT(SecondaryTransport[[#This Row],[Bale_ID]],1)*1=5,IF(OR(SecondaryTransport[[#This Row],[MRF_ID]]="02",SecondaryTransport[[#This Row],[MRF_ID]]="08"),2,1),"")</f>
        <v/>
      </c>
      <c r="AP4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3" s="224" t="str">
        <f>IFERROR(IF(1*LEFT(SecondaryTransport[[#This Row],[Bale_ID]],1)=5,SecondaryTransport[[#This Row],[Ton-Miles]]*SecondaryTransport[[#This Row],[Cost_Per_Ton-Mile]],""),"")</f>
        <v/>
      </c>
      <c r="AS473" s="224">
        <f>IFERROR(IF(SecondaryTransport[[#This Row],[Container_Transfer]]="",(SecondaryTransport[[#This Row],[Ton-Miles]]*SecondaryTransport[[#This Row],[Cost_Per_Ton-Mile]]),""),"")</f>
        <v>22591.053463966698</v>
      </c>
    </row>
    <row r="474" spans="12:45" ht="15" x14ac:dyDescent="0.25">
      <c r="L474" s="446" t="s">
        <v>874</v>
      </c>
      <c r="M474" s="446">
        <v>4</v>
      </c>
      <c r="N474" s="446">
        <v>2</v>
      </c>
      <c r="O474" s="446" t="s">
        <v>748</v>
      </c>
      <c r="P474" s="449" t="s">
        <v>700</v>
      </c>
      <c r="Q474" s="449"/>
      <c r="R474" s="449"/>
      <c r="S474" s="449" t="s">
        <v>765</v>
      </c>
      <c r="T474" s="449" t="s">
        <v>701</v>
      </c>
      <c r="U474" s="452">
        <v>0</v>
      </c>
      <c r="V4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4" s="272" t="str">
        <f>IFERROR(SUMIFS(TransUnitCost[Miles],TransUnitCost[Grouping_ID],TransTonsShort[[#This Row],[Grouping_ID]],TransUnitCost[Transp_ID],TransTonsShort[[#This Row],[Transp_ID]])*TransTonsShort[[#This Row],[Trans_Tons_All]]/TransTonsShort[[#This Row],[Trans_Tons_All]],"")</f>
        <v/>
      </c>
      <c r="X474" s="386" t="str">
        <f>TransTonsShort[[#This Row],[Grouping_ID]]&amp;"-"&amp;TransTonsShort[[#This Row],[Sector_ID]]</f>
        <v>4-2</v>
      </c>
      <c r="Y4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4" s="421">
        <f>INDEX(LandfillFees[Disposal Tip Fee 2025],MATCH(TransTonsShort[[#This Row],[Grouping_ID]],LandfillFees[Grouping_ID],0))</f>
        <v>72.030938699729589</v>
      </c>
      <c r="AA474" s="102">
        <f>IF(OR(TransTonsShort[[#This Row],[CollectionStream_ID]]="03",TransTonsShort[[#This Row],[CollectionStream_ID]]="04",TransTonsShort[[#This Row],[CollectionStream_ID]]="13"),0,TransTonsShort[[#This Row],[Trans_Tons_All]]*TransTonsShort[[#This Row],[Disposal_Fee]])</f>
        <v>0</v>
      </c>
      <c r="AF474" s="446" t="s">
        <v>1647</v>
      </c>
      <c r="AG474" s="442" t="str">
        <f>LEFT(SecondaryTransport[[#This Row],[Scenario_MRF_Bale_ID]],2)</f>
        <v>S3</v>
      </c>
      <c r="AH474" s="181" t="str">
        <f>LEFT(RIGHT(SecondaryTransport[[#This Row],[Scenario_MRF_Bale_ID]],10),2)</f>
        <v>13</v>
      </c>
      <c r="AI474" s="181" t="str">
        <f>INDEX(MRFs[MRF_Name],MATCH(SecondaryTransport[[#This Row],[MRF_ID]],MRFs[MRF_ID],0))</f>
        <v>Directly marketed (no sorting)</v>
      </c>
      <c r="AJ474" s="181" t="str">
        <f>RIGHT(SecondaryTransport[[#This Row],[Scenario_MRF_Bale_ID]],7)</f>
        <v>1000-02</v>
      </c>
      <c r="AK474" s="181" t="str">
        <f>INDEX(Bales[Bale_Name],MATCH(SecondaryTransport[[#This Row],[Bale_ID]],Bales[Bale_ID],0))</f>
        <v>Sorted clean newsprint</v>
      </c>
      <c r="AL474" s="443">
        <f>INDEX(BaleMover[Total_Baled_tons],MATCH(SecondaryTransport[[#This Row],[Scenario_MRF_Bale_ID]],BaleMover[Scenario_MRF_Bale_ID],0))</f>
        <v>1121.1440925045508</v>
      </c>
      <c r="AM474" s="443">
        <f>IF(INDEX(BaleMover[Miles],MATCH(SecondaryTransport[[#This Row],[Scenario_MRF_Bale_ID]],BaleMover[Scenario_MRF_Bale_ID],0))="",0,INDEX(BaleMover[Miles],MATCH(SecondaryTransport[[#This Row],[Scenario_MRF_Bale_ID]],BaleMover[Scenario_MRF_Bale_ID],0)))</f>
        <v>65</v>
      </c>
      <c r="AN474" s="251">
        <f>IF(SecondaryTransport[[#This Row],[Bale_ID]]="9000-01","costs elsewhere",SecondaryTransport[[#This Row],[Total_Baled_tons]]*SecondaryTransport[[#This Row],[Miles]])</f>
        <v>72874.366012795799</v>
      </c>
      <c r="AO474" s="352" t="str">
        <f>IF(LEFT(SecondaryTransport[[#This Row],[Bale_ID]],1)*1=5,IF(OR(SecondaryTransport[[#This Row],[MRF_ID]]="02",SecondaryTransport[[#This Row],[MRF_ID]]="08"),2,1),"")</f>
        <v/>
      </c>
      <c r="AP4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4" s="224" t="str">
        <f>IFERROR(IF(1*LEFT(SecondaryTransport[[#This Row],[Bale_ID]],1)=5,SecondaryTransport[[#This Row],[Ton-Miles]]*SecondaryTransport[[#This Row],[Cost_Per_Ton-Mile]],""),"")</f>
        <v/>
      </c>
      <c r="AS474" s="224">
        <f>IFERROR(IF(SecondaryTransport[[#This Row],[Container_Transfer]]="",(SecondaryTransport[[#This Row],[Ton-Miles]]*SecondaryTransport[[#This Row],[Cost_Per_Ton-Mile]]),""),"")</f>
        <v>22591.053463966698</v>
      </c>
    </row>
    <row r="475" spans="12:45" ht="15" x14ac:dyDescent="0.25">
      <c r="L475" s="446" t="s">
        <v>874</v>
      </c>
      <c r="M475" s="446">
        <v>1</v>
      </c>
      <c r="N475" s="446">
        <v>2</v>
      </c>
      <c r="O475" s="446" t="s">
        <v>748</v>
      </c>
      <c r="P475" s="450" t="s">
        <v>748</v>
      </c>
      <c r="Q475" s="450"/>
      <c r="R475" s="450"/>
      <c r="S475" s="449" t="s">
        <v>765</v>
      </c>
      <c r="T475" s="449" t="s">
        <v>849</v>
      </c>
      <c r="U475" s="452">
        <v>0</v>
      </c>
      <c r="V4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5" s="272" t="str">
        <f>IFERROR(SUMIFS(TransUnitCost[Miles],TransUnitCost[Grouping_ID],TransTonsShort[[#This Row],[Grouping_ID]],TransUnitCost[Transp_ID],TransTonsShort[[#This Row],[Transp_ID]])*TransTonsShort[[#This Row],[Trans_Tons_All]]/TransTonsShort[[#This Row],[Trans_Tons_All]],"")</f>
        <v/>
      </c>
      <c r="X475" s="386" t="str">
        <f>TransTonsShort[[#This Row],[Grouping_ID]]&amp;"-"&amp;TransTonsShort[[#This Row],[Sector_ID]]</f>
        <v>1-2</v>
      </c>
      <c r="Y4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5" s="421">
        <f>INDEX(LandfillFees[Disposal Tip Fee 2025],MATCH(TransTonsShort[[#This Row],[Grouping_ID]],LandfillFees[Grouping_ID],0))</f>
        <v>134.68</v>
      </c>
      <c r="AA475" s="102">
        <f>IF(OR(TransTonsShort[[#This Row],[CollectionStream_ID]]="03",TransTonsShort[[#This Row],[CollectionStream_ID]]="04",TransTonsShort[[#This Row],[CollectionStream_ID]]="13"),0,TransTonsShort[[#This Row],[Trans_Tons_All]]*TransTonsShort[[#This Row],[Disposal_Fee]])</f>
        <v>0</v>
      </c>
      <c r="AF475" s="446" t="s">
        <v>1648</v>
      </c>
      <c r="AG475" s="442" t="str">
        <f>LEFT(SecondaryTransport[[#This Row],[Scenario_MRF_Bale_ID]],2)</f>
        <v>S4</v>
      </c>
      <c r="AH475" s="181" t="str">
        <f>LEFT(RIGHT(SecondaryTransport[[#This Row],[Scenario_MRF_Bale_ID]],10),2)</f>
        <v>13</v>
      </c>
      <c r="AI475" s="181" t="str">
        <f>INDEX(MRFs[MRF_Name],MATCH(SecondaryTransport[[#This Row],[MRF_ID]],MRFs[MRF_ID],0))</f>
        <v>Directly marketed (no sorting)</v>
      </c>
      <c r="AJ475" s="181" t="str">
        <f>RIGHT(SecondaryTransport[[#This Row],[Scenario_MRF_Bale_ID]],7)</f>
        <v>1000-02</v>
      </c>
      <c r="AK475" s="181" t="str">
        <f>INDEX(Bales[Bale_Name],MATCH(SecondaryTransport[[#This Row],[Bale_ID]],Bales[Bale_ID],0))</f>
        <v>Sorted clean newsprint</v>
      </c>
      <c r="AL475" s="443">
        <f>INDEX(BaleMover[Total_Baled_tons],MATCH(SecondaryTransport[[#This Row],[Scenario_MRF_Bale_ID]],BaleMover[Scenario_MRF_Bale_ID],0))</f>
        <v>1121.1440925045508</v>
      </c>
      <c r="AM475" s="443">
        <f>IF(INDEX(BaleMover[Miles],MATCH(SecondaryTransport[[#This Row],[Scenario_MRF_Bale_ID]],BaleMover[Scenario_MRF_Bale_ID],0))="",0,INDEX(BaleMover[Miles],MATCH(SecondaryTransport[[#This Row],[Scenario_MRF_Bale_ID]],BaleMover[Scenario_MRF_Bale_ID],0)))</f>
        <v>65</v>
      </c>
      <c r="AN475" s="251">
        <f>IF(SecondaryTransport[[#This Row],[Bale_ID]]="9000-01","costs elsewhere",SecondaryTransport[[#This Row],[Total_Baled_tons]]*SecondaryTransport[[#This Row],[Miles]])</f>
        <v>72874.366012795799</v>
      </c>
      <c r="AO475" s="352" t="str">
        <f>IF(LEFT(SecondaryTransport[[#This Row],[Bale_ID]],1)*1=5,IF(OR(SecondaryTransport[[#This Row],[MRF_ID]]="02",SecondaryTransport[[#This Row],[MRF_ID]]="08"),2,1),"")</f>
        <v/>
      </c>
      <c r="AP4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5" s="224" t="str">
        <f>IFERROR(IF(1*LEFT(SecondaryTransport[[#This Row],[Bale_ID]],1)=5,SecondaryTransport[[#This Row],[Ton-Miles]]*SecondaryTransport[[#This Row],[Cost_Per_Ton-Mile]],""),"")</f>
        <v/>
      </c>
      <c r="AS475" s="224">
        <f>IFERROR(IF(SecondaryTransport[[#This Row],[Container_Transfer]]="",(SecondaryTransport[[#This Row],[Ton-Miles]]*SecondaryTransport[[#This Row],[Cost_Per_Ton-Mile]]),""),"")</f>
        <v>22591.053463966698</v>
      </c>
    </row>
    <row r="476" spans="12:45" ht="15" x14ac:dyDescent="0.25">
      <c r="L476" s="446" t="s">
        <v>874</v>
      </c>
      <c r="M476" s="446">
        <v>2</v>
      </c>
      <c r="N476" s="446">
        <v>2</v>
      </c>
      <c r="O476" s="446" t="s">
        <v>748</v>
      </c>
      <c r="P476" s="450" t="s">
        <v>748</v>
      </c>
      <c r="Q476" s="450"/>
      <c r="R476" s="450"/>
      <c r="S476" s="449" t="s">
        <v>765</v>
      </c>
      <c r="T476" s="449" t="s">
        <v>849</v>
      </c>
      <c r="U476" s="452">
        <v>0</v>
      </c>
      <c r="V4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6" s="272" t="str">
        <f>IFERROR(SUMIFS(TransUnitCost[Miles],TransUnitCost[Grouping_ID],TransTonsShort[[#This Row],[Grouping_ID]],TransUnitCost[Transp_ID],TransTonsShort[[#This Row],[Transp_ID]])*TransTonsShort[[#This Row],[Trans_Tons_All]]/TransTonsShort[[#This Row],[Trans_Tons_All]],"")</f>
        <v/>
      </c>
      <c r="X476" s="386" t="str">
        <f>TransTonsShort[[#This Row],[Grouping_ID]]&amp;"-"&amp;TransTonsShort[[#This Row],[Sector_ID]]</f>
        <v>2-2</v>
      </c>
      <c r="Y4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6" s="421">
        <f>INDEX(LandfillFees[Disposal Tip Fee 2025],MATCH(TransTonsShort[[#This Row],[Grouping_ID]],LandfillFees[Grouping_ID],0))</f>
        <v>72.030938699729589</v>
      </c>
      <c r="AA476" s="102">
        <f>IF(OR(TransTonsShort[[#This Row],[CollectionStream_ID]]="03",TransTonsShort[[#This Row],[CollectionStream_ID]]="04",TransTonsShort[[#This Row],[CollectionStream_ID]]="13"),0,TransTonsShort[[#This Row],[Trans_Tons_All]]*TransTonsShort[[#This Row],[Disposal_Fee]])</f>
        <v>0</v>
      </c>
      <c r="AF476" s="446" t="s">
        <v>1649</v>
      </c>
      <c r="AG476" s="442" t="str">
        <f>LEFT(SecondaryTransport[[#This Row],[Scenario_MRF_Bale_ID]],2)</f>
        <v>S0</v>
      </c>
      <c r="AH476" s="181" t="str">
        <f>LEFT(RIGHT(SecondaryTransport[[#This Row],[Scenario_MRF_Bale_ID]],10),2)</f>
        <v>13</v>
      </c>
      <c r="AI476" s="181" t="str">
        <f>INDEX(MRFs[MRF_Name],MATCH(SecondaryTransport[[#This Row],[MRF_ID]],MRFs[MRF_ID],0))</f>
        <v>Directly marketed (no sorting)</v>
      </c>
      <c r="AJ476" s="181" t="str">
        <f>RIGHT(SecondaryTransport[[#This Row],[Scenario_MRF_Bale_ID]],7)</f>
        <v>1000-03</v>
      </c>
      <c r="AK476" s="181" t="str">
        <f>INDEX(Bales[Bale_Name],MATCH(SecondaryTransport[[#This Row],[Bale_ID]],Bales[Bale_ID],0))</f>
        <v>Sorted residential paper and news</v>
      </c>
      <c r="AL476" s="443">
        <f>INDEX(BaleMover[Total_Baled_tons],MATCH(SecondaryTransport[[#This Row],[Scenario_MRF_Bale_ID]],BaleMover[Scenario_MRF_Bale_ID],0))</f>
        <v>1486.4617114438606</v>
      </c>
      <c r="AM476" s="443">
        <f>IF(INDEX(BaleMover[Miles],MATCH(SecondaryTransport[[#This Row],[Scenario_MRF_Bale_ID]],BaleMover[Scenario_MRF_Bale_ID],0))="",0,INDEX(BaleMover[Miles],MATCH(SecondaryTransport[[#This Row],[Scenario_MRF_Bale_ID]],BaleMover[Scenario_MRF_Bale_ID],0)))</f>
        <v>65</v>
      </c>
      <c r="AN476" s="251">
        <f>IF(SecondaryTransport[[#This Row],[Bale_ID]]="9000-01","costs elsewhere",SecondaryTransport[[#This Row],[Total_Baled_tons]]*SecondaryTransport[[#This Row],[Miles]])</f>
        <v>96620.011243850939</v>
      </c>
      <c r="AO476" s="352" t="str">
        <f>IF(LEFT(SecondaryTransport[[#This Row],[Bale_ID]],1)*1=5,IF(OR(SecondaryTransport[[#This Row],[MRF_ID]]="02",SecondaryTransport[[#This Row],[MRF_ID]]="08"),2,1),"")</f>
        <v/>
      </c>
      <c r="AP4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6" s="224" t="str">
        <f>IFERROR(IF(1*LEFT(SecondaryTransport[[#This Row],[Bale_ID]],1)=5,SecondaryTransport[[#This Row],[Ton-Miles]]*SecondaryTransport[[#This Row],[Cost_Per_Ton-Mile]],""),"")</f>
        <v/>
      </c>
      <c r="AS476" s="224">
        <f>IFERROR(IF(SecondaryTransport[[#This Row],[Container_Transfer]]="",(SecondaryTransport[[#This Row],[Ton-Miles]]*SecondaryTransport[[#This Row],[Cost_Per_Ton-Mile]]),""),"")</f>
        <v>29952.203485593789</v>
      </c>
    </row>
    <row r="477" spans="12:45" ht="15" x14ac:dyDescent="0.25">
      <c r="L477" s="446" t="s">
        <v>874</v>
      </c>
      <c r="M477" s="446">
        <v>3</v>
      </c>
      <c r="N477" s="446">
        <v>2</v>
      </c>
      <c r="O477" s="446" t="s">
        <v>748</v>
      </c>
      <c r="P477" s="450" t="s">
        <v>748</v>
      </c>
      <c r="Q477" s="450"/>
      <c r="R477" s="450"/>
      <c r="S477" s="449" t="s">
        <v>765</v>
      </c>
      <c r="T477" s="449" t="s">
        <v>849</v>
      </c>
      <c r="U477" s="452">
        <v>0</v>
      </c>
      <c r="V4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7" s="272" t="str">
        <f>IFERROR(SUMIFS(TransUnitCost[Miles],TransUnitCost[Grouping_ID],TransTonsShort[[#This Row],[Grouping_ID]],TransUnitCost[Transp_ID],TransTonsShort[[#This Row],[Transp_ID]])*TransTonsShort[[#This Row],[Trans_Tons_All]]/TransTonsShort[[#This Row],[Trans_Tons_All]],"")</f>
        <v/>
      </c>
      <c r="X477" s="386" t="str">
        <f>TransTonsShort[[#This Row],[Grouping_ID]]&amp;"-"&amp;TransTonsShort[[#This Row],[Sector_ID]]</f>
        <v>3-2</v>
      </c>
      <c r="Y4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7" s="421">
        <f>INDEX(LandfillFees[Disposal Tip Fee 2025],MATCH(TransTonsShort[[#This Row],[Grouping_ID]],LandfillFees[Grouping_ID],0))</f>
        <v>72.030938699729589</v>
      </c>
      <c r="AA477" s="102">
        <f>IF(OR(TransTonsShort[[#This Row],[CollectionStream_ID]]="03",TransTonsShort[[#This Row],[CollectionStream_ID]]="04",TransTonsShort[[#This Row],[CollectionStream_ID]]="13"),0,TransTonsShort[[#This Row],[Trans_Tons_All]]*TransTonsShort[[#This Row],[Disposal_Fee]])</f>
        <v>0</v>
      </c>
      <c r="AF477" s="446" t="s">
        <v>1650</v>
      </c>
      <c r="AG477" s="442" t="str">
        <f>LEFT(SecondaryTransport[[#This Row],[Scenario_MRF_Bale_ID]],2)</f>
        <v>S1</v>
      </c>
      <c r="AH477" s="181" t="str">
        <f>LEFT(RIGHT(SecondaryTransport[[#This Row],[Scenario_MRF_Bale_ID]],10),2)</f>
        <v>13</v>
      </c>
      <c r="AI477" s="181" t="str">
        <f>INDEX(MRFs[MRF_Name],MATCH(SecondaryTransport[[#This Row],[MRF_ID]],MRFs[MRF_ID],0))</f>
        <v>Directly marketed (no sorting)</v>
      </c>
      <c r="AJ477" s="181" t="str">
        <f>RIGHT(SecondaryTransport[[#This Row],[Scenario_MRF_Bale_ID]],7)</f>
        <v>1000-03</v>
      </c>
      <c r="AK477" s="181" t="str">
        <f>INDEX(Bales[Bale_Name],MATCH(SecondaryTransport[[#This Row],[Bale_ID]],Bales[Bale_ID],0))</f>
        <v>Sorted residential paper and news</v>
      </c>
      <c r="AL477" s="443">
        <f>INDEX(BaleMover[Total_Baled_tons],MATCH(SecondaryTransport[[#This Row],[Scenario_MRF_Bale_ID]],BaleMover[Scenario_MRF_Bale_ID],0))</f>
        <v>1486.4617114438606</v>
      </c>
      <c r="AM477" s="443">
        <f>IF(INDEX(BaleMover[Miles],MATCH(SecondaryTransport[[#This Row],[Scenario_MRF_Bale_ID]],BaleMover[Scenario_MRF_Bale_ID],0))="",0,INDEX(BaleMover[Miles],MATCH(SecondaryTransport[[#This Row],[Scenario_MRF_Bale_ID]],BaleMover[Scenario_MRF_Bale_ID],0)))</f>
        <v>65</v>
      </c>
      <c r="AN477" s="251">
        <f>IF(SecondaryTransport[[#This Row],[Bale_ID]]="9000-01","costs elsewhere",SecondaryTransport[[#This Row],[Total_Baled_tons]]*SecondaryTransport[[#This Row],[Miles]])</f>
        <v>96620.011243850939</v>
      </c>
      <c r="AO477" s="352" t="str">
        <f>IF(LEFT(SecondaryTransport[[#This Row],[Bale_ID]],1)*1=5,IF(OR(SecondaryTransport[[#This Row],[MRF_ID]]="02",SecondaryTransport[[#This Row],[MRF_ID]]="08"),2,1),"")</f>
        <v/>
      </c>
      <c r="AP4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7" s="224" t="str">
        <f>IFERROR(IF(1*LEFT(SecondaryTransport[[#This Row],[Bale_ID]],1)=5,SecondaryTransport[[#This Row],[Ton-Miles]]*SecondaryTransport[[#This Row],[Cost_Per_Ton-Mile]],""),"")</f>
        <v/>
      </c>
      <c r="AS477" s="224">
        <f>IFERROR(IF(SecondaryTransport[[#This Row],[Container_Transfer]]="",(SecondaryTransport[[#This Row],[Ton-Miles]]*SecondaryTransport[[#This Row],[Cost_Per_Ton-Mile]]),""),"")</f>
        <v>29952.203485593789</v>
      </c>
    </row>
    <row r="478" spans="12:45" ht="15" x14ac:dyDescent="0.25">
      <c r="L478" s="446" t="s">
        <v>874</v>
      </c>
      <c r="M478" s="446">
        <v>4</v>
      </c>
      <c r="N478" s="446">
        <v>2</v>
      </c>
      <c r="O478" s="446" t="s">
        <v>748</v>
      </c>
      <c r="P478" s="450" t="s">
        <v>748</v>
      </c>
      <c r="Q478" s="450"/>
      <c r="R478" s="450"/>
      <c r="S478" s="449" t="s">
        <v>765</v>
      </c>
      <c r="T478" s="449" t="s">
        <v>849</v>
      </c>
      <c r="U478" s="452">
        <v>0</v>
      </c>
      <c r="V4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8" s="272" t="str">
        <f>IFERROR(SUMIFS(TransUnitCost[Miles],TransUnitCost[Grouping_ID],TransTonsShort[[#This Row],[Grouping_ID]],TransUnitCost[Transp_ID],TransTonsShort[[#This Row],[Transp_ID]])*TransTonsShort[[#This Row],[Trans_Tons_All]]/TransTonsShort[[#This Row],[Trans_Tons_All]],"")</f>
        <v/>
      </c>
      <c r="X478" s="386" t="str">
        <f>TransTonsShort[[#This Row],[Grouping_ID]]&amp;"-"&amp;TransTonsShort[[#This Row],[Sector_ID]]</f>
        <v>4-2</v>
      </c>
      <c r="Y4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8" s="421">
        <f>INDEX(LandfillFees[Disposal Tip Fee 2025],MATCH(TransTonsShort[[#This Row],[Grouping_ID]],LandfillFees[Grouping_ID],0))</f>
        <v>72.030938699729589</v>
      </c>
      <c r="AA478" s="102">
        <f>IF(OR(TransTonsShort[[#This Row],[CollectionStream_ID]]="03",TransTonsShort[[#This Row],[CollectionStream_ID]]="04",TransTonsShort[[#This Row],[CollectionStream_ID]]="13"),0,TransTonsShort[[#This Row],[Trans_Tons_All]]*TransTonsShort[[#This Row],[Disposal_Fee]])</f>
        <v>0</v>
      </c>
      <c r="AF478" s="446" t="s">
        <v>1651</v>
      </c>
      <c r="AG478" s="442" t="str">
        <f>LEFT(SecondaryTransport[[#This Row],[Scenario_MRF_Bale_ID]],2)</f>
        <v>S2</v>
      </c>
      <c r="AH478" s="181" t="str">
        <f>LEFT(RIGHT(SecondaryTransport[[#This Row],[Scenario_MRF_Bale_ID]],10),2)</f>
        <v>13</v>
      </c>
      <c r="AI478" s="181" t="str">
        <f>INDEX(MRFs[MRF_Name],MATCH(SecondaryTransport[[#This Row],[MRF_ID]],MRFs[MRF_ID],0))</f>
        <v>Directly marketed (no sorting)</v>
      </c>
      <c r="AJ478" s="181" t="str">
        <f>RIGHT(SecondaryTransport[[#This Row],[Scenario_MRF_Bale_ID]],7)</f>
        <v>1000-03</v>
      </c>
      <c r="AK478" s="181" t="str">
        <f>INDEX(Bales[Bale_Name],MATCH(SecondaryTransport[[#This Row],[Bale_ID]],Bales[Bale_ID],0))</f>
        <v>Sorted residential paper and news</v>
      </c>
      <c r="AL478" s="443">
        <f>INDEX(BaleMover[Total_Baled_tons],MATCH(SecondaryTransport[[#This Row],[Scenario_MRF_Bale_ID]],BaleMover[Scenario_MRF_Bale_ID],0))</f>
        <v>1536.3827546255011</v>
      </c>
      <c r="AM478" s="443">
        <f>IF(INDEX(BaleMover[Miles],MATCH(SecondaryTransport[[#This Row],[Scenario_MRF_Bale_ID]],BaleMover[Scenario_MRF_Bale_ID],0))="",0,INDEX(BaleMover[Miles],MATCH(SecondaryTransport[[#This Row],[Scenario_MRF_Bale_ID]],BaleMover[Scenario_MRF_Bale_ID],0)))</f>
        <v>65</v>
      </c>
      <c r="AN478" s="251">
        <f>IF(SecondaryTransport[[#This Row],[Bale_ID]]="9000-01","costs elsewhere",SecondaryTransport[[#This Row],[Total_Baled_tons]]*SecondaryTransport[[#This Row],[Miles]])</f>
        <v>99864.879050657575</v>
      </c>
      <c r="AO478" s="352" t="str">
        <f>IF(LEFT(SecondaryTransport[[#This Row],[Bale_ID]],1)*1=5,IF(OR(SecondaryTransport[[#This Row],[MRF_ID]]="02",SecondaryTransport[[#This Row],[MRF_ID]]="08"),2,1),"")</f>
        <v/>
      </c>
      <c r="AP4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8" s="224" t="str">
        <f>IFERROR(IF(1*LEFT(SecondaryTransport[[#This Row],[Bale_ID]],1)=5,SecondaryTransport[[#This Row],[Ton-Miles]]*SecondaryTransport[[#This Row],[Cost_Per_Ton-Mile]],""),"")</f>
        <v/>
      </c>
      <c r="AS478" s="224">
        <f>IFERROR(IF(SecondaryTransport[[#This Row],[Container_Transfer]]="",(SecondaryTransport[[#This Row],[Ton-Miles]]*SecondaryTransport[[#This Row],[Cost_Per_Ton-Mile]]),""),"")</f>
        <v>30958.112505703848</v>
      </c>
    </row>
    <row r="479" spans="12:45" ht="15" x14ac:dyDescent="0.25">
      <c r="L479" s="446" t="s">
        <v>874</v>
      </c>
      <c r="M479" s="446">
        <v>1</v>
      </c>
      <c r="N479" s="446">
        <v>2</v>
      </c>
      <c r="O479" s="446" t="s">
        <v>746</v>
      </c>
      <c r="P479" s="449" t="s">
        <v>719</v>
      </c>
      <c r="Q479" s="449"/>
      <c r="R479" s="449"/>
      <c r="S479" s="449" t="s">
        <v>762</v>
      </c>
      <c r="T479" s="449" t="s">
        <v>1055</v>
      </c>
      <c r="U479" s="452">
        <v>0</v>
      </c>
      <c r="V4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79" s="272" t="str">
        <f>IFERROR(SUMIFS(TransUnitCost[Miles],TransUnitCost[Grouping_ID],TransTonsShort[[#This Row],[Grouping_ID]],TransUnitCost[Transp_ID],TransTonsShort[[#This Row],[Transp_ID]])*TransTonsShort[[#This Row],[Trans_Tons_All]]/TransTonsShort[[#This Row],[Trans_Tons_All]],"")</f>
        <v/>
      </c>
      <c r="X479" s="386" t="str">
        <f>TransTonsShort[[#This Row],[Grouping_ID]]&amp;"-"&amp;TransTonsShort[[#This Row],[Sector_ID]]</f>
        <v>1-2</v>
      </c>
      <c r="Y4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79" s="421">
        <f>INDEX(LandfillFees[Disposal Tip Fee 2025],MATCH(TransTonsShort[[#This Row],[Grouping_ID]],LandfillFees[Grouping_ID],0))</f>
        <v>134.68</v>
      </c>
      <c r="AA479" s="102">
        <f>IF(OR(TransTonsShort[[#This Row],[CollectionStream_ID]]="03",TransTonsShort[[#This Row],[CollectionStream_ID]]="04",TransTonsShort[[#This Row],[CollectionStream_ID]]="13"),0,TransTonsShort[[#This Row],[Trans_Tons_All]]*TransTonsShort[[#This Row],[Disposal_Fee]])</f>
        <v>0</v>
      </c>
      <c r="AF479" s="446" t="s">
        <v>1652</v>
      </c>
      <c r="AG479" s="442" t="str">
        <f>LEFT(SecondaryTransport[[#This Row],[Scenario_MRF_Bale_ID]],2)</f>
        <v>S3</v>
      </c>
      <c r="AH479" s="181" t="str">
        <f>LEFT(RIGHT(SecondaryTransport[[#This Row],[Scenario_MRF_Bale_ID]],10),2)</f>
        <v>13</v>
      </c>
      <c r="AI479" s="181" t="str">
        <f>INDEX(MRFs[MRF_Name],MATCH(SecondaryTransport[[#This Row],[MRF_ID]],MRFs[MRF_ID],0))</f>
        <v>Directly marketed (no sorting)</v>
      </c>
      <c r="AJ479" s="181" t="str">
        <f>RIGHT(SecondaryTransport[[#This Row],[Scenario_MRF_Bale_ID]],7)</f>
        <v>1000-03</v>
      </c>
      <c r="AK479" s="181" t="str">
        <f>INDEX(Bales[Bale_Name],MATCH(SecondaryTransport[[#This Row],[Bale_ID]],Bales[Bale_ID],0))</f>
        <v>Sorted residential paper and news</v>
      </c>
      <c r="AL479" s="443">
        <f>INDEX(BaleMover[Total_Baled_tons],MATCH(SecondaryTransport[[#This Row],[Scenario_MRF_Bale_ID]],BaleMover[Scenario_MRF_Bale_ID],0))</f>
        <v>1536.3827546255011</v>
      </c>
      <c r="AM479" s="443">
        <f>IF(INDEX(BaleMover[Miles],MATCH(SecondaryTransport[[#This Row],[Scenario_MRF_Bale_ID]],BaleMover[Scenario_MRF_Bale_ID],0))="",0,INDEX(BaleMover[Miles],MATCH(SecondaryTransport[[#This Row],[Scenario_MRF_Bale_ID]],BaleMover[Scenario_MRF_Bale_ID],0)))</f>
        <v>65</v>
      </c>
      <c r="AN479" s="251">
        <f>IF(SecondaryTransport[[#This Row],[Bale_ID]]="9000-01","costs elsewhere",SecondaryTransport[[#This Row],[Total_Baled_tons]]*SecondaryTransport[[#This Row],[Miles]])</f>
        <v>99864.879050657575</v>
      </c>
      <c r="AO479" s="352" t="str">
        <f>IF(LEFT(SecondaryTransport[[#This Row],[Bale_ID]],1)*1=5,IF(OR(SecondaryTransport[[#This Row],[MRF_ID]]="02",SecondaryTransport[[#This Row],[MRF_ID]]="08"),2,1),"")</f>
        <v/>
      </c>
      <c r="AP4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7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79" s="224" t="str">
        <f>IFERROR(IF(1*LEFT(SecondaryTransport[[#This Row],[Bale_ID]],1)=5,SecondaryTransport[[#This Row],[Ton-Miles]]*SecondaryTransport[[#This Row],[Cost_Per_Ton-Mile]],""),"")</f>
        <v/>
      </c>
      <c r="AS479" s="224">
        <f>IFERROR(IF(SecondaryTransport[[#This Row],[Container_Transfer]]="",(SecondaryTransport[[#This Row],[Ton-Miles]]*SecondaryTransport[[#This Row],[Cost_Per_Ton-Mile]]),""),"")</f>
        <v>30958.112505703848</v>
      </c>
    </row>
    <row r="480" spans="12:45" ht="15" x14ac:dyDescent="0.25">
      <c r="L480" s="446" t="s">
        <v>874</v>
      </c>
      <c r="M480" s="446">
        <v>2</v>
      </c>
      <c r="N480" s="446">
        <v>2</v>
      </c>
      <c r="O480" s="446" t="s">
        <v>746</v>
      </c>
      <c r="P480" s="449" t="s">
        <v>719</v>
      </c>
      <c r="Q480" s="449"/>
      <c r="R480" s="449"/>
      <c r="S480" s="449" t="s">
        <v>762</v>
      </c>
      <c r="T480" s="449" t="s">
        <v>1055</v>
      </c>
      <c r="U480" s="452">
        <v>0</v>
      </c>
      <c r="V4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0" s="272" t="str">
        <f>IFERROR(SUMIFS(TransUnitCost[Miles],TransUnitCost[Grouping_ID],TransTonsShort[[#This Row],[Grouping_ID]],TransUnitCost[Transp_ID],TransTonsShort[[#This Row],[Transp_ID]])*TransTonsShort[[#This Row],[Trans_Tons_All]]/TransTonsShort[[#This Row],[Trans_Tons_All]],"")</f>
        <v/>
      </c>
      <c r="X480" s="386" t="str">
        <f>TransTonsShort[[#This Row],[Grouping_ID]]&amp;"-"&amp;TransTonsShort[[#This Row],[Sector_ID]]</f>
        <v>2-2</v>
      </c>
      <c r="Y4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0" s="421">
        <f>INDEX(LandfillFees[Disposal Tip Fee 2025],MATCH(TransTonsShort[[#This Row],[Grouping_ID]],LandfillFees[Grouping_ID],0))</f>
        <v>72.030938699729589</v>
      </c>
      <c r="AA480" s="102">
        <f>IF(OR(TransTonsShort[[#This Row],[CollectionStream_ID]]="03",TransTonsShort[[#This Row],[CollectionStream_ID]]="04",TransTonsShort[[#This Row],[CollectionStream_ID]]="13"),0,TransTonsShort[[#This Row],[Trans_Tons_All]]*TransTonsShort[[#This Row],[Disposal_Fee]])</f>
        <v>0</v>
      </c>
      <c r="AF480" s="446" t="s">
        <v>1653</v>
      </c>
      <c r="AG480" s="442" t="str">
        <f>LEFT(SecondaryTransport[[#This Row],[Scenario_MRF_Bale_ID]],2)</f>
        <v>S4</v>
      </c>
      <c r="AH480" s="181" t="str">
        <f>LEFT(RIGHT(SecondaryTransport[[#This Row],[Scenario_MRF_Bale_ID]],10),2)</f>
        <v>13</v>
      </c>
      <c r="AI480" s="181" t="str">
        <f>INDEX(MRFs[MRF_Name],MATCH(SecondaryTransport[[#This Row],[MRF_ID]],MRFs[MRF_ID],0))</f>
        <v>Directly marketed (no sorting)</v>
      </c>
      <c r="AJ480" s="181" t="str">
        <f>RIGHT(SecondaryTransport[[#This Row],[Scenario_MRF_Bale_ID]],7)</f>
        <v>1000-03</v>
      </c>
      <c r="AK480" s="181" t="str">
        <f>INDEX(Bales[Bale_Name],MATCH(SecondaryTransport[[#This Row],[Bale_ID]],Bales[Bale_ID],0))</f>
        <v>Sorted residential paper and news</v>
      </c>
      <c r="AL480" s="443">
        <f>INDEX(BaleMover[Total_Baled_tons],MATCH(SecondaryTransport[[#This Row],[Scenario_MRF_Bale_ID]],BaleMover[Scenario_MRF_Bale_ID],0))</f>
        <v>1536.3827546255011</v>
      </c>
      <c r="AM480" s="443">
        <f>IF(INDEX(BaleMover[Miles],MATCH(SecondaryTransport[[#This Row],[Scenario_MRF_Bale_ID]],BaleMover[Scenario_MRF_Bale_ID],0))="",0,INDEX(BaleMover[Miles],MATCH(SecondaryTransport[[#This Row],[Scenario_MRF_Bale_ID]],BaleMover[Scenario_MRF_Bale_ID],0)))</f>
        <v>65</v>
      </c>
      <c r="AN480" s="251">
        <f>IF(SecondaryTransport[[#This Row],[Bale_ID]]="9000-01","costs elsewhere",SecondaryTransport[[#This Row],[Total_Baled_tons]]*SecondaryTransport[[#This Row],[Miles]])</f>
        <v>99864.879050657575</v>
      </c>
      <c r="AO480" s="352" t="str">
        <f>IF(LEFT(SecondaryTransport[[#This Row],[Bale_ID]],1)*1=5,IF(OR(SecondaryTransport[[#This Row],[MRF_ID]]="02",SecondaryTransport[[#This Row],[MRF_ID]]="08"),2,1),"")</f>
        <v/>
      </c>
      <c r="AP4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48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480" s="224" t="str">
        <f>IFERROR(IF(1*LEFT(SecondaryTransport[[#This Row],[Bale_ID]],1)=5,SecondaryTransport[[#This Row],[Ton-Miles]]*SecondaryTransport[[#This Row],[Cost_Per_Ton-Mile]],""),"")</f>
        <v/>
      </c>
      <c r="AS480" s="224">
        <f>IFERROR(IF(SecondaryTransport[[#This Row],[Container_Transfer]]="",(SecondaryTransport[[#This Row],[Ton-Miles]]*SecondaryTransport[[#This Row],[Cost_Per_Ton-Mile]]),""),"")</f>
        <v>30958.112505703848</v>
      </c>
    </row>
    <row r="481" spans="12:45" ht="15" x14ac:dyDescent="0.25">
      <c r="L481" s="446" t="s">
        <v>874</v>
      </c>
      <c r="M481" s="446">
        <v>3</v>
      </c>
      <c r="N481" s="446">
        <v>2</v>
      </c>
      <c r="O481" s="446" t="s">
        <v>746</v>
      </c>
      <c r="P481" s="449" t="s">
        <v>719</v>
      </c>
      <c r="Q481" s="449"/>
      <c r="R481" s="449"/>
      <c r="S481" s="449" t="s">
        <v>762</v>
      </c>
      <c r="T481" s="449" t="s">
        <v>1055</v>
      </c>
      <c r="U481" s="452">
        <v>0</v>
      </c>
      <c r="V4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1" s="272" t="str">
        <f>IFERROR(SUMIFS(TransUnitCost[Miles],TransUnitCost[Grouping_ID],TransTonsShort[[#This Row],[Grouping_ID]],TransUnitCost[Transp_ID],TransTonsShort[[#This Row],[Transp_ID]])*TransTonsShort[[#This Row],[Trans_Tons_All]]/TransTonsShort[[#This Row],[Trans_Tons_All]],"")</f>
        <v/>
      </c>
      <c r="X481" s="386" t="str">
        <f>TransTonsShort[[#This Row],[Grouping_ID]]&amp;"-"&amp;TransTonsShort[[#This Row],[Sector_ID]]</f>
        <v>3-2</v>
      </c>
      <c r="Y4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1" s="421">
        <f>INDEX(LandfillFees[Disposal Tip Fee 2025],MATCH(TransTonsShort[[#This Row],[Grouping_ID]],LandfillFees[Grouping_ID],0))</f>
        <v>72.030938699729589</v>
      </c>
      <c r="AA481" s="102">
        <f>IF(OR(TransTonsShort[[#This Row],[CollectionStream_ID]]="03",TransTonsShort[[#This Row],[CollectionStream_ID]]="04",TransTonsShort[[#This Row],[CollectionStream_ID]]="13"),0,TransTonsShort[[#This Row],[Trans_Tons_All]]*TransTonsShort[[#This Row],[Disposal_Fee]])</f>
        <v>0</v>
      </c>
      <c r="AF481" s="446" t="s">
        <v>1654</v>
      </c>
      <c r="AG481" s="442" t="str">
        <f>LEFT(SecondaryTransport[[#This Row],[Scenario_MRF_Bale_ID]],2)</f>
        <v>S0</v>
      </c>
      <c r="AH481" s="181" t="str">
        <f>LEFT(RIGHT(SecondaryTransport[[#This Row],[Scenario_MRF_Bale_ID]],10),2)</f>
        <v>13</v>
      </c>
      <c r="AI481" s="181" t="str">
        <f>INDEX(MRFs[MRF_Name],MATCH(SecondaryTransport[[#This Row],[MRF_ID]],MRFs[MRF_ID],0))</f>
        <v>Directly marketed (no sorting)</v>
      </c>
      <c r="AJ481" s="181" t="str">
        <f>RIGHT(SecondaryTransport[[#This Row],[Scenario_MRF_Bale_ID]],7)</f>
        <v>1000-04</v>
      </c>
      <c r="AK481" s="181" t="str">
        <f>INDEX(Bales[Bale_Name],MATCH(SecondaryTransport[[#This Row],[Bale_ID]],Bales[Bale_ID],0))</f>
        <v>Sorted office paper and sorted white ledger</v>
      </c>
      <c r="AL481" s="443">
        <f>INDEX(BaleMover[Total_Baled_tons],MATCH(SecondaryTransport[[#This Row],[Scenario_MRF_Bale_ID]],BaleMover[Scenario_MRF_Bale_ID],0))</f>
        <v>0</v>
      </c>
      <c r="AM481" s="443">
        <f>IF(INDEX(BaleMover[Miles],MATCH(SecondaryTransport[[#This Row],[Scenario_MRF_Bale_ID]],BaleMover[Scenario_MRF_Bale_ID],0))="",0,INDEX(BaleMover[Miles],MATCH(SecondaryTransport[[#This Row],[Scenario_MRF_Bale_ID]],BaleMover[Scenario_MRF_Bale_ID],0)))</f>
        <v>0</v>
      </c>
      <c r="AN481" s="251">
        <f>IF(SecondaryTransport[[#This Row],[Bale_ID]]="9000-01","costs elsewhere",SecondaryTransport[[#This Row],[Total_Baled_tons]]*SecondaryTransport[[#This Row],[Miles]])</f>
        <v>0</v>
      </c>
      <c r="AO481" s="352" t="str">
        <f>IF(LEFT(SecondaryTransport[[#This Row],[Bale_ID]],1)*1=5,IF(OR(SecondaryTransport[[#This Row],[MRF_ID]]="02",SecondaryTransport[[#This Row],[MRF_ID]]="08"),2,1),"")</f>
        <v/>
      </c>
      <c r="AP4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8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81" s="224" t="str">
        <f>IFERROR(IF(1*LEFT(SecondaryTransport[[#This Row],[Bale_ID]],1)=5,SecondaryTransport[[#This Row],[Ton-Miles]]*SecondaryTransport[[#This Row],[Cost_Per_Ton-Mile]],""),"")</f>
        <v/>
      </c>
      <c r="AS481" s="224" t="str">
        <f>IFERROR(IF(SecondaryTransport[[#This Row],[Container_Transfer]]="",(SecondaryTransport[[#This Row],[Ton-Miles]]*SecondaryTransport[[#This Row],[Cost_Per_Ton-Mile]]),""),"")</f>
        <v/>
      </c>
    </row>
    <row r="482" spans="12:45" ht="15" x14ac:dyDescent="0.25">
      <c r="L482" s="446" t="s">
        <v>874</v>
      </c>
      <c r="M482" s="446">
        <v>4</v>
      </c>
      <c r="N482" s="446">
        <v>2</v>
      </c>
      <c r="O482" s="446" t="s">
        <v>746</v>
      </c>
      <c r="P482" s="449" t="s">
        <v>719</v>
      </c>
      <c r="Q482" s="449"/>
      <c r="R482" s="449"/>
      <c r="S482" s="449" t="s">
        <v>762</v>
      </c>
      <c r="T482" s="449" t="s">
        <v>1055</v>
      </c>
      <c r="U482" s="452">
        <v>0</v>
      </c>
      <c r="V4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2" s="272" t="str">
        <f>IFERROR(SUMIFS(TransUnitCost[Miles],TransUnitCost[Grouping_ID],TransTonsShort[[#This Row],[Grouping_ID]],TransUnitCost[Transp_ID],TransTonsShort[[#This Row],[Transp_ID]])*TransTonsShort[[#This Row],[Trans_Tons_All]]/TransTonsShort[[#This Row],[Trans_Tons_All]],"")</f>
        <v/>
      </c>
      <c r="X482" s="386" t="str">
        <f>TransTonsShort[[#This Row],[Grouping_ID]]&amp;"-"&amp;TransTonsShort[[#This Row],[Sector_ID]]</f>
        <v>4-2</v>
      </c>
      <c r="Y4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2" s="421">
        <f>INDEX(LandfillFees[Disposal Tip Fee 2025],MATCH(TransTonsShort[[#This Row],[Grouping_ID]],LandfillFees[Grouping_ID],0))</f>
        <v>72.030938699729589</v>
      </c>
      <c r="AA482" s="102">
        <f>IF(OR(TransTonsShort[[#This Row],[CollectionStream_ID]]="03",TransTonsShort[[#This Row],[CollectionStream_ID]]="04",TransTonsShort[[#This Row],[CollectionStream_ID]]="13"),0,TransTonsShort[[#This Row],[Trans_Tons_All]]*TransTonsShort[[#This Row],[Disposal_Fee]])</f>
        <v>0</v>
      </c>
      <c r="AF482" s="446" t="s">
        <v>1655</v>
      </c>
      <c r="AG482" s="442" t="str">
        <f>LEFT(SecondaryTransport[[#This Row],[Scenario_MRF_Bale_ID]],2)</f>
        <v>S1</v>
      </c>
      <c r="AH482" s="181" t="str">
        <f>LEFT(RIGHT(SecondaryTransport[[#This Row],[Scenario_MRF_Bale_ID]],10),2)</f>
        <v>13</v>
      </c>
      <c r="AI482" s="181" t="str">
        <f>INDEX(MRFs[MRF_Name],MATCH(SecondaryTransport[[#This Row],[MRF_ID]],MRFs[MRF_ID],0))</f>
        <v>Directly marketed (no sorting)</v>
      </c>
      <c r="AJ482" s="181" t="str">
        <f>RIGHT(SecondaryTransport[[#This Row],[Scenario_MRF_Bale_ID]],7)</f>
        <v>1000-04</v>
      </c>
      <c r="AK482" s="181" t="str">
        <f>INDEX(Bales[Bale_Name],MATCH(SecondaryTransport[[#This Row],[Bale_ID]],Bales[Bale_ID],0))</f>
        <v>Sorted office paper and sorted white ledger</v>
      </c>
      <c r="AL482" s="443">
        <f>INDEX(BaleMover[Total_Baled_tons],MATCH(SecondaryTransport[[#This Row],[Scenario_MRF_Bale_ID]],BaleMover[Scenario_MRF_Bale_ID],0))</f>
        <v>0</v>
      </c>
      <c r="AM482" s="443">
        <f>IF(INDEX(BaleMover[Miles],MATCH(SecondaryTransport[[#This Row],[Scenario_MRF_Bale_ID]],BaleMover[Scenario_MRF_Bale_ID],0))="",0,INDEX(BaleMover[Miles],MATCH(SecondaryTransport[[#This Row],[Scenario_MRF_Bale_ID]],BaleMover[Scenario_MRF_Bale_ID],0)))</f>
        <v>0</v>
      </c>
      <c r="AN482" s="251">
        <f>IF(SecondaryTransport[[#This Row],[Bale_ID]]="9000-01","costs elsewhere",SecondaryTransport[[#This Row],[Total_Baled_tons]]*SecondaryTransport[[#This Row],[Miles]])</f>
        <v>0</v>
      </c>
      <c r="AO482" s="352" t="str">
        <f>IF(LEFT(SecondaryTransport[[#This Row],[Bale_ID]],1)*1=5,IF(OR(SecondaryTransport[[#This Row],[MRF_ID]]="02",SecondaryTransport[[#This Row],[MRF_ID]]="08"),2,1),"")</f>
        <v/>
      </c>
      <c r="AP4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8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82" s="224" t="str">
        <f>IFERROR(IF(1*LEFT(SecondaryTransport[[#This Row],[Bale_ID]],1)=5,SecondaryTransport[[#This Row],[Ton-Miles]]*SecondaryTransport[[#This Row],[Cost_Per_Ton-Mile]],""),"")</f>
        <v/>
      </c>
      <c r="AS482" s="224" t="str">
        <f>IFERROR(IF(SecondaryTransport[[#This Row],[Container_Transfer]]="",(SecondaryTransport[[#This Row],[Ton-Miles]]*SecondaryTransport[[#This Row],[Cost_Per_Ton-Mile]]),""),"")</f>
        <v/>
      </c>
    </row>
    <row r="483" spans="12:45" ht="15" x14ac:dyDescent="0.25">
      <c r="L483" s="446" t="s">
        <v>874</v>
      </c>
      <c r="M483" s="446">
        <v>1</v>
      </c>
      <c r="N483" s="446">
        <v>2</v>
      </c>
      <c r="O483" s="446" t="s">
        <v>746</v>
      </c>
      <c r="P483" s="449" t="s">
        <v>700</v>
      </c>
      <c r="Q483" s="449"/>
      <c r="R483" s="449"/>
      <c r="S483" s="449" t="s">
        <v>762</v>
      </c>
      <c r="T483" s="449" t="s">
        <v>701</v>
      </c>
      <c r="U483" s="452">
        <v>0</v>
      </c>
      <c r="V4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3" s="272" t="str">
        <f>IFERROR(SUMIFS(TransUnitCost[Miles],TransUnitCost[Grouping_ID],TransTonsShort[[#This Row],[Grouping_ID]],TransUnitCost[Transp_ID],TransTonsShort[[#This Row],[Transp_ID]])*TransTonsShort[[#This Row],[Trans_Tons_All]]/TransTonsShort[[#This Row],[Trans_Tons_All]],"")</f>
        <v/>
      </c>
      <c r="X483" s="386" t="str">
        <f>TransTonsShort[[#This Row],[Grouping_ID]]&amp;"-"&amp;TransTonsShort[[#This Row],[Sector_ID]]</f>
        <v>1-2</v>
      </c>
      <c r="Y4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3" s="421">
        <f>INDEX(LandfillFees[Disposal Tip Fee 2025],MATCH(TransTonsShort[[#This Row],[Grouping_ID]],LandfillFees[Grouping_ID],0))</f>
        <v>134.68</v>
      </c>
      <c r="AA483" s="102">
        <f>IF(OR(TransTonsShort[[#This Row],[CollectionStream_ID]]="03",TransTonsShort[[#This Row],[CollectionStream_ID]]="04",TransTonsShort[[#This Row],[CollectionStream_ID]]="13"),0,TransTonsShort[[#This Row],[Trans_Tons_All]]*TransTonsShort[[#This Row],[Disposal_Fee]])</f>
        <v>0</v>
      </c>
      <c r="AF483" s="446" t="s">
        <v>1656</v>
      </c>
      <c r="AG483" s="442" t="str">
        <f>LEFT(SecondaryTransport[[#This Row],[Scenario_MRF_Bale_ID]],2)</f>
        <v>S2</v>
      </c>
      <c r="AH483" s="181" t="str">
        <f>LEFT(RIGHT(SecondaryTransport[[#This Row],[Scenario_MRF_Bale_ID]],10),2)</f>
        <v>13</v>
      </c>
      <c r="AI483" s="181" t="str">
        <f>INDEX(MRFs[MRF_Name],MATCH(SecondaryTransport[[#This Row],[MRF_ID]],MRFs[MRF_ID],0))</f>
        <v>Directly marketed (no sorting)</v>
      </c>
      <c r="AJ483" s="181" t="str">
        <f>RIGHT(SecondaryTransport[[#This Row],[Scenario_MRF_Bale_ID]],7)</f>
        <v>1000-04</v>
      </c>
      <c r="AK483" s="181" t="str">
        <f>INDEX(Bales[Bale_Name],MATCH(SecondaryTransport[[#This Row],[Bale_ID]],Bales[Bale_ID],0))</f>
        <v>Sorted office paper and sorted white ledger</v>
      </c>
      <c r="AL483" s="443">
        <f>INDEX(BaleMover[Total_Baled_tons],MATCH(SecondaryTransport[[#This Row],[Scenario_MRF_Bale_ID]],BaleMover[Scenario_MRF_Bale_ID],0))</f>
        <v>0</v>
      </c>
      <c r="AM483" s="443">
        <f>IF(INDEX(BaleMover[Miles],MATCH(SecondaryTransport[[#This Row],[Scenario_MRF_Bale_ID]],BaleMover[Scenario_MRF_Bale_ID],0))="",0,INDEX(BaleMover[Miles],MATCH(SecondaryTransport[[#This Row],[Scenario_MRF_Bale_ID]],BaleMover[Scenario_MRF_Bale_ID],0)))</f>
        <v>0</v>
      </c>
      <c r="AN483" s="251">
        <f>IF(SecondaryTransport[[#This Row],[Bale_ID]]="9000-01","costs elsewhere",SecondaryTransport[[#This Row],[Total_Baled_tons]]*SecondaryTransport[[#This Row],[Miles]])</f>
        <v>0</v>
      </c>
      <c r="AO483" s="352" t="str">
        <f>IF(LEFT(SecondaryTransport[[#This Row],[Bale_ID]],1)*1=5,IF(OR(SecondaryTransport[[#This Row],[MRF_ID]]="02",SecondaryTransport[[#This Row],[MRF_ID]]="08"),2,1),"")</f>
        <v/>
      </c>
      <c r="AP4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8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83" s="224" t="str">
        <f>IFERROR(IF(1*LEFT(SecondaryTransport[[#This Row],[Bale_ID]],1)=5,SecondaryTransport[[#This Row],[Ton-Miles]]*SecondaryTransport[[#This Row],[Cost_Per_Ton-Mile]],""),"")</f>
        <v/>
      </c>
      <c r="AS483" s="224" t="str">
        <f>IFERROR(IF(SecondaryTransport[[#This Row],[Container_Transfer]]="",(SecondaryTransport[[#This Row],[Ton-Miles]]*SecondaryTransport[[#This Row],[Cost_Per_Ton-Mile]]),""),"")</f>
        <v/>
      </c>
    </row>
    <row r="484" spans="12:45" ht="15" x14ac:dyDescent="0.25">
      <c r="L484" s="446" t="s">
        <v>874</v>
      </c>
      <c r="M484" s="446">
        <v>2</v>
      </c>
      <c r="N484" s="446">
        <v>2</v>
      </c>
      <c r="O484" s="446" t="s">
        <v>746</v>
      </c>
      <c r="P484" s="449" t="s">
        <v>700</v>
      </c>
      <c r="Q484" s="449"/>
      <c r="R484" s="449"/>
      <c r="S484" s="449" t="s">
        <v>762</v>
      </c>
      <c r="T484" s="449" t="s">
        <v>701</v>
      </c>
      <c r="U484" s="452">
        <v>0</v>
      </c>
      <c r="V4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4" s="272" t="str">
        <f>IFERROR(SUMIFS(TransUnitCost[Miles],TransUnitCost[Grouping_ID],TransTonsShort[[#This Row],[Grouping_ID]],TransUnitCost[Transp_ID],TransTonsShort[[#This Row],[Transp_ID]])*TransTonsShort[[#This Row],[Trans_Tons_All]]/TransTonsShort[[#This Row],[Trans_Tons_All]],"")</f>
        <v/>
      </c>
      <c r="X484" s="386" t="str">
        <f>TransTonsShort[[#This Row],[Grouping_ID]]&amp;"-"&amp;TransTonsShort[[#This Row],[Sector_ID]]</f>
        <v>2-2</v>
      </c>
      <c r="Y4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4" s="421">
        <f>INDEX(LandfillFees[Disposal Tip Fee 2025],MATCH(TransTonsShort[[#This Row],[Grouping_ID]],LandfillFees[Grouping_ID],0))</f>
        <v>72.030938699729589</v>
      </c>
      <c r="AA484" s="102">
        <f>IF(OR(TransTonsShort[[#This Row],[CollectionStream_ID]]="03",TransTonsShort[[#This Row],[CollectionStream_ID]]="04",TransTonsShort[[#This Row],[CollectionStream_ID]]="13"),0,TransTonsShort[[#This Row],[Trans_Tons_All]]*TransTonsShort[[#This Row],[Disposal_Fee]])</f>
        <v>0</v>
      </c>
      <c r="AF484" s="446" t="s">
        <v>1657</v>
      </c>
      <c r="AG484" s="442" t="str">
        <f>LEFT(SecondaryTransport[[#This Row],[Scenario_MRF_Bale_ID]],2)</f>
        <v>S3</v>
      </c>
      <c r="AH484" s="181" t="str">
        <f>LEFT(RIGHT(SecondaryTransport[[#This Row],[Scenario_MRF_Bale_ID]],10),2)</f>
        <v>13</v>
      </c>
      <c r="AI484" s="181" t="str">
        <f>INDEX(MRFs[MRF_Name],MATCH(SecondaryTransport[[#This Row],[MRF_ID]],MRFs[MRF_ID],0))</f>
        <v>Directly marketed (no sorting)</v>
      </c>
      <c r="AJ484" s="181" t="str">
        <f>RIGHT(SecondaryTransport[[#This Row],[Scenario_MRF_Bale_ID]],7)</f>
        <v>1000-04</v>
      </c>
      <c r="AK484" s="181" t="str">
        <f>INDEX(Bales[Bale_Name],MATCH(SecondaryTransport[[#This Row],[Bale_ID]],Bales[Bale_ID],0))</f>
        <v>Sorted office paper and sorted white ledger</v>
      </c>
      <c r="AL484" s="443">
        <f>INDEX(BaleMover[Total_Baled_tons],MATCH(SecondaryTransport[[#This Row],[Scenario_MRF_Bale_ID]],BaleMover[Scenario_MRF_Bale_ID],0))</f>
        <v>0</v>
      </c>
      <c r="AM484" s="443">
        <f>IF(INDEX(BaleMover[Miles],MATCH(SecondaryTransport[[#This Row],[Scenario_MRF_Bale_ID]],BaleMover[Scenario_MRF_Bale_ID],0))="",0,INDEX(BaleMover[Miles],MATCH(SecondaryTransport[[#This Row],[Scenario_MRF_Bale_ID]],BaleMover[Scenario_MRF_Bale_ID],0)))</f>
        <v>0</v>
      </c>
      <c r="AN484" s="251">
        <f>IF(SecondaryTransport[[#This Row],[Bale_ID]]="9000-01","costs elsewhere",SecondaryTransport[[#This Row],[Total_Baled_tons]]*SecondaryTransport[[#This Row],[Miles]])</f>
        <v>0</v>
      </c>
      <c r="AO484" s="352" t="str">
        <f>IF(LEFT(SecondaryTransport[[#This Row],[Bale_ID]],1)*1=5,IF(OR(SecondaryTransport[[#This Row],[MRF_ID]]="02",SecondaryTransport[[#This Row],[MRF_ID]]="08"),2,1),"")</f>
        <v/>
      </c>
      <c r="AP4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8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84" s="224" t="str">
        <f>IFERROR(IF(1*LEFT(SecondaryTransport[[#This Row],[Bale_ID]],1)=5,SecondaryTransport[[#This Row],[Ton-Miles]]*SecondaryTransport[[#This Row],[Cost_Per_Ton-Mile]],""),"")</f>
        <v/>
      </c>
      <c r="AS484" s="224" t="str">
        <f>IFERROR(IF(SecondaryTransport[[#This Row],[Container_Transfer]]="",(SecondaryTransport[[#This Row],[Ton-Miles]]*SecondaryTransport[[#This Row],[Cost_Per_Ton-Mile]]),""),"")</f>
        <v/>
      </c>
    </row>
    <row r="485" spans="12:45" ht="15" x14ac:dyDescent="0.25">
      <c r="L485" s="446" t="s">
        <v>874</v>
      </c>
      <c r="M485" s="446">
        <v>3</v>
      </c>
      <c r="N485" s="446">
        <v>2</v>
      </c>
      <c r="O485" s="446" t="s">
        <v>746</v>
      </c>
      <c r="P485" s="449" t="s">
        <v>700</v>
      </c>
      <c r="Q485" s="449"/>
      <c r="R485" s="449"/>
      <c r="S485" s="449" t="s">
        <v>762</v>
      </c>
      <c r="T485" s="449" t="s">
        <v>701</v>
      </c>
      <c r="U485" s="452">
        <v>0</v>
      </c>
      <c r="V4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5" s="272" t="str">
        <f>IFERROR(SUMIFS(TransUnitCost[Miles],TransUnitCost[Grouping_ID],TransTonsShort[[#This Row],[Grouping_ID]],TransUnitCost[Transp_ID],TransTonsShort[[#This Row],[Transp_ID]])*TransTonsShort[[#This Row],[Trans_Tons_All]]/TransTonsShort[[#This Row],[Trans_Tons_All]],"")</f>
        <v/>
      </c>
      <c r="X485" s="386" t="str">
        <f>TransTonsShort[[#This Row],[Grouping_ID]]&amp;"-"&amp;TransTonsShort[[#This Row],[Sector_ID]]</f>
        <v>3-2</v>
      </c>
      <c r="Y4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5" s="421">
        <f>INDEX(LandfillFees[Disposal Tip Fee 2025],MATCH(TransTonsShort[[#This Row],[Grouping_ID]],LandfillFees[Grouping_ID],0))</f>
        <v>72.030938699729589</v>
      </c>
      <c r="AA485" s="102">
        <f>IF(OR(TransTonsShort[[#This Row],[CollectionStream_ID]]="03",TransTonsShort[[#This Row],[CollectionStream_ID]]="04",TransTonsShort[[#This Row],[CollectionStream_ID]]="13"),0,TransTonsShort[[#This Row],[Trans_Tons_All]]*TransTonsShort[[#This Row],[Disposal_Fee]])</f>
        <v>0</v>
      </c>
      <c r="AF485" s="446" t="s">
        <v>1658</v>
      </c>
      <c r="AG485" s="442" t="str">
        <f>LEFT(SecondaryTransport[[#This Row],[Scenario_MRF_Bale_ID]],2)</f>
        <v>S4</v>
      </c>
      <c r="AH485" s="181" t="str">
        <f>LEFT(RIGHT(SecondaryTransport[[#This Row],[Scenario_MRF_Bale_ID]],10),2)</f>
        <v>13</v>
      </c>
      <c r="AI485" s="181" t="str">
        <f>INDEX(MRFs[MRF_Name],MATCH(SecondaryTransport[[#This Row],[MRF_ID]],MRFs[MRF_ID],0))</f>
        <v>Directly marketed (no sorting)</v>
      </c>
      <c r="AJ485" s="181" t="str">
        <f>RIGHT(SecondaryTransport[[#This Row],[Scenario_MRF_Bale_ID]],7)</f>
        <v>1000-04</v>
      </c>
      <c r="AK485" s="181" t="str">
        <f>INDEX(Bales[Bale_Name],MATCH(SecondaryTransport[[#This Row],[Bale_ID]],Bales[Bale_ID],0))</f>
        <v>Sorted office paper and sorted white ledger</v>
      </c>
      <c r="AL485" s="443">
        <f>INDEX(BaleMover[Total_Baled_tons],MATCH(SecondaryTransport[[#This Row],[Scenario_MRF_Bale_ID]],BaleMover[Scenario_MRF_Bale_ID],0))</f>
        <v>0</v>
      </c>
      <c r="AM485" s="443">
        <f>IF(INDEX(BaleMover[Miles],MATCH(SecondaryTransport[[#This Row],[Scenario_MRF_Bale_ID]],BaleMover[Scenario_MRF_Bale_ID],0))="",0,INDEX(BaleMover[Miles],MATCH(SecondaryTransport[[#This Row],[Scenario_MRF_Bale_ID]],BaleMover[Scenario_MRF_Bale_ID],0)))</f>
        <v>0</v>
      </c>
      <c r="AN485" s="251">
        <f>IF(SecondaryTransport[[#This Row],[Bale_ID]]="9000-01","costs elsewhere",SecondaryTransport[[#This Row],[Total_Baled_tons]]*SecondaryTransport[[#This Row],[Miles]])</f>
        <v>0</v>
      </c>
      <c r="AO485" s="352" t="str">
        <f>IF(LEFT(SecondaryTransport[[#This Row],[Bale_ID]],1)*1=5,IF(OR(SecondaryTransport[[#This Row],[MRF_ID]]="02",SecondaryTransport[[#This Row],[MRF_ID]]="08"),2,1),"")</f>
        <v/>
      </c>
      <c r="AP4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48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485" s="224" t="str">
        <f>IFERROR(IF(1*LEFT(SecondaryTransport[[#This Row],[Bale_ID]],1)=5,SecondaryTransport[[#This Row],[Ton-Miles]]*SecondaryTransport[[#This Row],[Cost_Per_Ton-Mile]],""),"")</f>
        <v/>
      </c>
      <c r="AS485" s="224" t="str">
        <f>IFERROR(IF(SecondaryTransport[[#This Row],[Container_Transfer]]="",(SecondaryTransport[[#This Row],[Ton-Miles]]*SecondaryTransport[[#This Row],[Cost_Per_Ton-Mile]]),""),"")</f>
        <v/>
      </c>
    </row>
    <row r="486" spans="12:45" ht="15" x14ac:dyDescent="0.25">
      <c r="L486" s="446" t="s">
        <v>874</v>
      </c>
      <c r="M486" s="446">
        <v>4</v>
      </c>
      <c r="N486" s="446">
        <v>2</v>
      </c>
      <c r="O486" s="446" t="s">
        <v>746</v>
      </c>
      <c r="P486" s="449" t="s">
        <v>700</v>
      </c>
      <c r="Q486" s="449"/>
      <c r="R486" s="449"/>
      <c r="S486" s="449" t="s">
        <v>762</v>
      </c>
      <c r="T486" s="449" t="s">
        <v>701</v>
      </c>
      <c r="U486" s="452">
        <v>0</v>
      </c>
      <c r="V4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6" s="272" t="str">
        <f>IFERROR(SUMIFS(TransUnitCost[Miles],TransUnitCost[Grouping_ID],TransTonsShort[[#This Row],[Grouping_ID]],TransUnitCost[Transp_ID],TransTonsShort[[#This Row],[Transp_ID]])*TransTonsShort[[#This Row],[Trans_Tons_All]]/TransTonsShort[[#This Row],[Trans_Tons_All]],"")</f>
        <v/>
      </c>
      <c r="X486" s="386" t="str">
        <f>TransTonsShort[[#This Row],[Grouping_ID]]&amp;"-"&amp;TransTonsShort[[#This Row],[Sector_ID]]</f>
        <v>4-2</v>
      </c>
      <c r="Y4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6" s="421">
        <f>INDEX(LandfillFees[Disposal Tip Fee 2025],MATCH(TransTonsShort[[#This Row],[Grouping_ID]],LandfillFees[Grouping_ID],0))</f>
        <v>72.030938699729589</v>
      </c>
      <c r="AA486" s="102">
        <f>IF(OR(TransTonsShort[[#This Row],[CollectionStream_ID]]="03",TransTonsShort[[#This Row],[CollectionStream_ID]]="04",TransTonsShort[[#This Row],[CollectionStream_ID]]="13"),0,TransTonsShort[[#This Row],[Trans_Tons_All]]*TransTonsShort[[#This Row],[Disposal_Fee]])</f>
        <v>0</v>
      </c>
      <c r="AF486" s="446" t="s">
        <v>1659</v>
      </c>
      <c r="AG486" s="442" t="str">
        <f>LEFT(SecondaryTransport[[#This Row],[Scenario_MRF_Bale_ID]],2)</f>
        <v>S0</v>
      </c>
      <c r="AH486" s="181" t="str">
        <f>LEFT(RIGHT(SecondaryTransport[[#This Row],[Scenario_MRF_Bale_ID]],10),2)</f>
        <v>13</v>
      </c>
      <c r="AI486" s="181" t="str">
        <f>INDEX(MRFs[MRF_Name],MATCH(SecondaryTransport[[#This Row],[MRF_ID]],MRFs[MRF_ID],0))</f>
        <v>Directly marketed (no sorting)</v>
      </c>
      <c r="AJ486" s="181" t="str">
        <f>RIGHT(SecondaryTransport[[#This Row],[Scenario_MRF_Bale_ID]],7)</f>
        <v>1000-05</v>
      </c>
      <c r="AK486" s="181" t="str">
        <f>INDEX(Bales[Bale_Name],MATCH(SecondaryTransport[[#This Row],[Bale_ID]],Bales[Bale_ID],0))</f>
        <v>Mixed paper</v>
      </c>
      <c r="AL486" s="443">
        <f>INDEX(BaleMover[Total_Baled_tons],MATCH(SecondaryTransport[[#This Row],[Scenario_MRF_Bale_ID]],BaleMover[Scenario_MRF_Bale_ID],0))</f>
        <v>148.82901907019368</v>
      </c>
      <c r="AM486" s="443">
        <f>IF(INDEX(BaleMover[Miles],MATCH(SecondaryTransport[[#This Row],[Scenario_MRF_Bale_ID]],BaleMover[Scenario_MRF_Bale_ID],0))="",0,INDEX(BaleMover[Miles],MATCH(SecondaryTransport[[#This Row],[Scenario_MRF_Bale_ID]],BaleMover[Scenario_MRF_Bale_ID],0)))</f>
        <v>100</v>
      </c>
      <c r="AN486" s="251">
        <f>IF(SecondaryTransport[[#This Row],[Bale_ID]]="9000-01","costs elsewhere",SecondaryTransport[[#This Row],[Total_Baled_tons]]*SecondaryTransport[[#This Row],[Miles]])</f>
        <v>14882.901907019368</v>
      </c>
      <c r="AO486" s="352" t="str">
        <f>IF(LEFT(SecondaryTransport[[#This Row],[Bale_ID]],1)*1=5,IF(OR(SecondaryTransport[[#This Row],[MRF_ID]]="02",SecondaryTransport[[#This Row],[MRF_ID]]="08"),2,1),"")</f>
        <v/>
      </c>
      <c r="AP4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8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86" s="224" t="str">
        <f>IFERROR(IF(1*LEFT(SecondaryTransport[[#This Row],[Bale_ID]],1)=5,SecondaryTransport[[#This Row],[Ton-Miles]]*SecondaryTransport[[#This Row],[Cost_Per_Ton-Mile]],""),"")</f>
        <v/>
      </c>
      <c r="AS486" s="224">
        <f>IFERROR(IF(SecondaryTransport[[#This Row],[Container_Transfer]]="",(SecondaryTransport[[#This Row],[Ton-Miles]]*SecondaryTransport[[#This Row],[Cost_Per_Ton-Mile]]),""),"")</f>
        <v>2827.7513623336799</v>
      </c>
    </row>
    <row r="487" spans="12:45" ht="15" x14ac:dyDescent="0.25">
      <c r="L487" s="446" t="s">
        <v>874</v>
      </c>
      <c r="M487" s="446">
        <v>1</v>
      </c>
      <c r="N487" s="446">
        <v>2</v>
      </c>
      <c r="O487" s="446" t="s">
        <v>746</v>
      </c>
      <c r="P487" s="449" t="s">
        <v>746</v>
      </c>
      <c r="Q487" s="449"/>
      <c r="R487" s="449"/>
      <c r="S487" s="449" t="s">
        <v>762</v>
      </c>
      <c r="T487" s="449" t="s">
        <v>848</v>
      </c>
      <c r="U487" s="452">
        <v>0</v>
      </c>
      <c r="V4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7" s="272" t="str">
        <f>IFERROR(SUMIFS(TransUnitCost[Miles],TransUnitCost[Grouping_ID],TransTonsShort[[#This Row],[Grouping_ID]],TransUnitCost[Transp_ID],TransTonsShort[[#This Row],[Transp_ID]])*TransTonsShort[[#This Row],[Trans_Tons_All]]/TransTonsShort[[#This Row],[Trans_Tons_All]],"")</f>
        <v/>
      </c>
      <c r="X487" s="386" t="str">
        <f>TransTonsShort[[#This Row],[Grouping_ID]]&amp;"-"&amp;TransTonsShort[[#This Row],[Sector_ID]]</f>
        <v>1-2</v>
      </c>
      <c r="Y4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7" s="421">
        <f>INDEX(LandfillFees[Disposal Tip Fee 2025],MATCH(TransTonsShort[[#This Row],[Grouping_ID]],LandfillFees[Grouping_ID],0))</f>
        <v>134.68</v>
      </c>
      <c r="AA487" s="102">
        <f>IF(OR(TransTonsShort[[#This Row],[CollectionStream_ID]]="03",TransTonsShort[[#This Row],[CollectionStream_ID]]="04",TransTonsShort[[#This Row],[CollectionStream_ID]]="13"),0,TransTonsShort[[#This Row],[Trans_Tons_All]]*TransTonsShort[[#This Row],[Disposal_Fee]])</f>
        <v>0</v>
      </c>
      <c r="AF487" s="446" t="s">
        <v>1660</v>
      </c>
      <c r="AG487" s="442" t="str">
        <f>LEFT(SecondaryTransport[[#This Row],[Scenario_MRF_Bale_ID]],2)</f>
        <v>S1</v>
      </c>
      <c r="AH487" s="181" t="str">
        <f>LEFT(RIGHT(SecondaryTransport[[#This Row],[Scenario_MRF_Bale_ID]],10),2)</f>
        <v>13</v>
      </c>
      <c r="AI487" s="181" t="str">
        <f>INDEX(MRFs[MRF_Name],MATCH(SecondaryTransport[[#This Row],[MRF_ID]],MRFs[MRF_ID],0))</f>
        <v>Directly marketed (no sorting)</v>
      </c>
      <c r="AJ487" s="181" t="str">
        <f>RIGHT(SecondaryTransport[[#This Row],[Scenario_MRF_Bale_ID]],7)</f>
        <v>1000-05</v>
      </c>
      <c r="AK487" s="181" t="str">
        <f>INDEX(Bales[Bale_Name],MATCH(SecondaryTransport[[#This Row],[Bale_ID]],Bales[Bale_ID],0))</f>
        <v>Mixed paper</v>
      </c>
      <c r="AL487" s="443">
        <f>INDEX(BaleMover[Total_Baled_tons],MATCH(SecondaryTransport[[#This Row],[Scenario_MRF_Bale_ID]],BaleMover[Scenario_MRF_Bale_ID],0))</f>
        <v>148.82901907019368</v>
      </c>
      <c r="AM487" s="443">
        <f>IF(INDEX(BaleMover[Miles],MATCH(SecondaryTransport[[#This Row],[Scenario_MRF_Bale_ID]],BaleMover[Scenario_MRF_Bale_ID],0))="",0,INDEX(BaleMover[Miles],MATCH(SecondaryTransport[[#This Row],[Scenario_MRF_Bale_ID]],BaleMover[Scenario_MRF_Bale_ID],0)))</f>
        <v>100</v>
      </c>
      <c r="AN487" s="251">
        <f>IF(SecondaryTransport[[#This Row],[Bale_ID]]="9000-01","costs elsewhere",SecondaryTransport[[#This Row],[Total_Baled_tons]]*SecondaryTransport[[#This Row],[Miles]])</f>
        <v>14882.901907019368</v>
      </c>
      <c r="AO487" s="352" t="str">
        <f>IF(LEFT(SecondaryTransport[[#This Row],[Bale_ID]],1)*1=5,IF(OR(SecondaryTransport[[#This Row],[MRF_ID]]="02",SecondaryTransport[[#This Row],[MRF_ID]]="08"),2,1),"")</f>
        <v/>
      </c>
      <c r="AP4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8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87" s="224" t="str">
        <f>IFERROR(IF(1*LEFT(SecondaryTransport[[#This Row],[Bale_ID]],1)=5,SecondaryTransport[[#This Row],[Ton-Miles]]*SecondaryTransport[[#This Row],[Cost_Per_Ton-Mile]],""),"")</f>
        <v/>
      </c>
      <c r="AS487" s="224">
        <f>IFERROR(IF(SecondaryTransport[[#This Row],[Container_Transfer]]="",(SecondaryTransport[[#This Row],[Ton-Miles]]*SecondaryTransport[[#This Row],[Cost_Per_Ton-Mile]]),""),"")</f>
        <v>2827.7513623336799</v>
      </c>
    </row>
    <row r="488" spans="12:45" ht="15" x14ac:dyDescent="0.25">
      <c r="L488" s="446" t="s">
        <v>874</v>
      </c>
      <c r="M488" s="446">
        <v>2</v>
      </c>
      <c r="N488" s="446">
        <v>2</v>
      </c>
      <c r="O488" s="446" t="s">
        <v>746</v>
      </c>
      <c r="P488" s="449" t="s">
        <v>746</v>
      </c>
      <c r="Q488" s="449"/>
      <c r="R488" s="449"/>
      <c r="S488" s="449" t="s">
        <v>762</v>
      </c>
      <c r="T488" s="449" t="s">
        <v>848</v>
      </c>
      <c r="U488" s="452">
        <v>0</v>
      </c>
      <c r="V4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8" s="272" t="str">
        <f>IFERROR(SUMIFS(TransUnitCost[Miles],TransUnitCost[Grouping_ID],TransTonsShort[[#This Row],[Grouping_ID]],TransUnitCost[Transp_ID],TransTonsShort[[#This Row],[Transp_ID]])*TransTonsShort[[#This Row],[Trans_Tons_All]]/TransTonsShort[[#This Row],[Trans_Tons_All]],"")</f>
        <v/>
      </c>
      <c r="X488" s="386" t="str">
        <f>TransTonsShort[[#This Row],[Grouping_ID]]&amp;"-"&amp;TransTonsShort[[#This Row],[Sector_ID]]</f>
        <v>2-2</v>
      </c>
      <c r="Y4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8" s="421">
        <f>INDEX(LandfillFees[Disposal Tip Fee 2025],MATCH(TransTonsShort[[#This Row],[Grouping_ID]],LandfillFees[Grouping_ID],0))</f>
        <v>72.030938699729589</v>
      </c>
      <c r="AA488" s="102">
        <f>IF(OR(TransTonsShort[[#This Row],[CollectionStream_ID]]="03",TransTonsShort[[#This Row],[CollectionStream_ID]]="04",TransTonsShort[[#This Row],[CollectionStream_ID]]="13"),0,TransTonsShort[[#This Row],[Trans_Tons_All]]*TransTonsShort[[#This Row],[Disposal_Fee]])</f>
        <v>0</v>
      </c>
      <c r="AF488" s="446" t="s">
        <v>1661</v>
      </c>
      <c r="AG488" s="442" t="str">
        <f>LEFT(SecondaryTransport[[#This Row],[Scenario_MRF_Bale_ID]],2)</f>
        <v>S2</v>
      </c>
      <c r="AH488" s="181" t="str">
        <f>LEFT(RIGHT(SecondaryTransport[[#This Row],[Scenario_MRF_Bale_ID]],10),2)</f>
        <v>13</v>
      </c>
      <c r="AI488" s="181" t="str">
        <f>INDEX(MRFs[MRF_Name],MATCH(SecondaryTransport[[#This Row],[MRF_ID]],MRFs[MRF_ID],0))</f>
        <v>Directly marketed (no sorting)</v>
      </c>
      <c r="AJ488" s="181" t="str">
        <f>RIGHT(SecondaryTransport[[#This Row],[Scenario_MRF_Bale_ID]],7)</f>
        <v>1000-05</v>
      </c>
      <c r="AK488" s="181" t="str">
        <f>INDEX(Bales[Bale_Name],MATCH(SecondaryTransport[[#This Row],[Bale_ID]],Bales[Bale_ID],0))</f>
        <v>Mixed paper</v>
      </c>
      <c r="AL488" s="443">
        <f>INDEX(BaleMover[Total_Baled_tons],MATCH(SecondaryTransport[[#This Row],[Scenario_MRF_Bale_ID]],BaleMover[Scenario_MRF_Bale_ID],0))</f>
        <v>219.41310090799618</v>
      </c>
      <c r="AM488" s="443">
        <f>IF(INDEX(BaleMover[Miles],MATCH(SecondaryTransport[[#This Row],[Scenario_MRF_Bale_ID]],BaleMover[Scenario_MRF_Bale_ID],0))="",0,INDEX(BaleMover[Miles],MATCH(SecondaryTransport[[#This Row],[Scenario_MRF_Bale_ID]],BaleMover[Scenario_MRF_Bale_ID],0)))</f>
        <v>100</v>
      </c>
      <c r="AN488" s="251">
        <f>IF(SecondaryTransport[[#This Row],[Bale_ID]]="9000-01","costs elsewhere",SecondaryTransport[[#This Row],[Total_Baled_tons]]*SecondaryTransport[[#This Row],[Miles]])</f>
        <v>21941.31009079962</v>
      </c>
      <c r="AO488" s="352" t="str">
        <f>IF(LEFT(SecondaryTransport[[#This Row],[Bale_ID]],1)*1=5,IF(OR(SecondaryTransport[[#This Row],[MRF_ID]]="02",SecondaryTransport[[#This Row],[MRF_ID]]="08"),2,1),"")</f>
        <v/>
      </c>
      <c r="AP4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8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88" s="224" t="str">
        <f>IFERROR(IF(1*LEFT(SecondaryTransport[[#This Row],[Bale_ID]],1)=5,SecondaryTransport[[#This Row],[Ton-Miles]]*SecondaryTransport[[#This Row],[Cost_Per_Ton-Mile]],""),"")</f>
        <v/>
      </c>
      <c r="AS488" s="224">
        <f>IFERROR(IF(SecondaryTransport[[#This Row],[Container_Transfer]]="",(SecondaryTransport[[#This Row],[Ton-Miles]]*SecondaryTransport[[#This Row],[Cost_Per_Ton-Mile]]),""),"")</f>
        <v>4168.8489172519276</v>
      </c>
    </row>
    <row r="489" spans="12:45" ht="15" x14ac:dyDescent="0.25">
      <c r="L489" s="446" t="s">
        <v>874</v>
      </c>
      <c r="M489" s="446">
        <v>3</v>
      </c>
      <c r="N489" s="446">
        <v>2</v>
      </c>
      <c r="O489" s="446" t="s">
        <v>746</v>
      </c>
      <c r="P489" s="449" t="s">
        <v>746</v>
      </c>
      <c r="Q489" s="449"/>
      <c r="R489" s="449"/>
      <c r="S489" s="449" t="s">
        <v>762</v>
      </c>
      <c r="T489" s="449" t="s">
        <v>848</v>
      </c>
      <c r="U489" s="452">
        <v>0</v>
      </c>
      <c r="V4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89" s="272" t="str">
        <f>IFERROR(SUMIFS(TransUnitCost[Miles],TransUnitCost[Grouping_ID],TransTonsShort[[#This Row],[Grouping_ID]],TransUnitCost[Transp_ID],TransTonsShort[[#This Row],[Transp_ID]])*TransTonsShort[[#This Row],[Trans_Tons_All]]/TransTonsShort[[#This Row],[Trans_Tons_All]],"")</f>
        <v/>
      </c>
      <c r="X489" s="386" t="str">
        <f>TransTonsShort[[#This Row],[Grouping_ID]]&amp;"-"&amp;TransTonsShort[[#This Row],[Sector_ID]]</f>
        <v>3-2</v>
      </c>
      <c r="Y4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89" s="421">
        <f>INDEX(LandfillFees[Disposal Tip Fee 2025],MATCH(TransTonsShort[[#This Row],[Grouping_ID]],LandfillFees[Grouping_ID],0))</f>
        <v>72.030938699729589</v>
      </c>
      <c r="AA489" s="102">
        <f>IF(OR(TransTonsShort[[#This Row],[CollectionStream_ID]]="03",TransTonsShort[[#This Row],[CollectionStream_ID]]="04",TransTonsShort[[#This Row],[CollectionStream_ID]]="13"),0,TransTonsShort[[#This Row],[Trans_Tons_All]]*TransTonsShort[[#This Row],[Disposal_Fee]])</f>
        <v>0</v>
      </c>
      <c r="AF489" s="446" t="s">
        <v>1662</v>
      </c>
      <c r="AG489" s="442" t="str">
        <f>LEFT(SecondaryTransport[[#This Row],[Scenario_MRF_Bale_ID]],2)</f>
        <v>S3</v>
      </c>
      <c r="AH489" s="181" t="str">
        <f>LEFT(RIGHT(SecondaryTransport[[#This Row],[Scenario_MRF_Bale_ID]],10),2)</f>
        <v>13</v>
      </c>
      <c r="AI489" s="181" t="str">
        <f>INDEX(MRFs[MRF_Name],MATCH(SecondaryTransport[[#This Row],[MRF_ID]],MRFs[MRF_ID],0))</f>
        <v>Directly marketed (no sorting)</v>
      </c>
      <c r="AJ489" s="181" t="str">
        <f>RIGHT(SecondaryTransport[[#This Row],[Scenario_MRF_Bale_ID]],7)</f>
        <v>1000-05</v>
      </c>
      <c r="AK489" s="181" t="str">
        <f>INDEX(Bales[Bale_Name],MATCH(SecondaryTransport[[#This Row],[Bale_ID]],Bales[Bale_ID],0))</f>
        <v>Mixed paper</v>
      </c>
      <c r="AL489" s="443">
        <f>INDEX(BaleMover[Total_Baled_tons],MATCH(SecondaryTransport[[#This Row],[Scenario_MRF_Bale_ID]],BaleMover[Scenario_MRF_Bale_ID],0))</f>
        <v>219.41310090799618</v>
      </c>
      <c r="AM489" s="443">
        <f>IF(INDEX(BaleMover[Miles],MATCH(SecondaryTransport[[#This Row],[Scenario_MRF_Bale_ID]],BaleMover[Scenario_MRF_Bale_ID],0))="",0,INDEX(BaleMover[Miles],MATCH(SecondaryTransport[[#This Row],[Scenario_MRF_Bale_ID]],BaleMover[Scenario_MRF_Bale_ID],0)))</f>
        <v>100</v>
      </c>
      <c r="AN489" s="251">
        <f>IF(SecondaryTransport[[#This Row],[Bale_ID]]="9000-01","costs elsewhere",SecondaryTransport[[#This Row],[Total_Baled_tons]]*SecondaryTransport[[#This Row],[Miles]])</f>
        <v>21941.31009079962</v>
      </c>
      <c r="AO489" s="352" t="str">
        <f>IF(LEFT(SecondaryTransport[[#This Row],[Bale_ID]],1)*1=5,IF(OR(SecondaryTransport[[#This Row],[MRF_ID]]="02",SecondaryTransport[[#This Row],[MRF_ID]]="08"),2,1),"")</f>
        <v/>
      </c>
      <c r="AP4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8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89" s="224" t="str">
        <f>IFERROR(IF(1*LEFT(SecondaryTransport[[#This Row],[Bale_ID]],1)=5,SecondaryTransport[[#This Row],[Ton-Miles]]*SecondaryTransport[[#This Row],[Cost_Per_Ton-Mile]],""),"")</f>
        <v/>
      </c>
      <c r="AS489" s="224">
        <f>IFERROR(IF(SecondaryTransport[[#This Row],[Container_Transfer]]="",(SecondaryTransport[[#This Row],[Ton-Miles]]*SecondaryTransport[[#This Row],[Cost_Per_Ton-Mile]]),""),"")</f>
        <v>4168.8489172519276</v>
      </c>
    </row>
    <row r="490" spans="12:45" ht="15" x14ac:dyDescent="0.25">
      <c r="L490" s="446" t="s">
        <v>874</v>
      </c>
      <c r="M490" s="446">
        <v>4</v>
      </c>
      <c r="N490" s="446">
        <v>2</v>
      </c>
      <c r="O490" s="446" t="s">
        <v>746</v>
      </c>
      <c r="P490" s="449" t="s">
        <v>746</v>
      </c>
      <c r="Q490" s="449"/>
      <c r="R490" s="449"/>
      <c r="S490" s="449" t="s">
        <v>762</v>
      </c>
      <c r="T490" s="449" t="s">
        <v>848</v>
      </c>
      <c r="U490" s="452">
        <v>0</v>
      </c>
      <c r="V4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0" s="272" t="str">
        <f>IFERROR(SUMIFS(TransUnitCost[Miles],TransUnitCost[Grouping_ID],TransTonsShort[[#This Row],[Grouping_ID]],TransUnitCost[Transp_ID],TransTonsShort[[#This Row],[Transp_ID]])*TransTonsShort[[#This Row],[Trans_Tons_All]]/TransTonsShort[[#This Row],[Trans_Tons_All]],"")</f>
        <v/>
      </c>
      <c r="X490" s="386" t="str">
        <f>TransTonsShort[[#This Row],[Grouping_ID]]&amp;"-"&amp;TransTonsShort[[#This Row],[Sector_ID]]</f>
        <v>4-2</v>
      </c>
      <c r="Y4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490" s="421">
        <f>INDEX(LandfillFees[Disposal Tip Fee 2025],MATCH(TransTonsShort[[#This Row],[Grouping_ID]],LandfillFees[Grouping_ID],0))</f>
        <v>72.030938699729589</v>
      </c>
      <c r="AA490" s="102">
        <f>IF(OR(TransTonsShort[[#This Row],[CollectionStream_ID]]="03",TransTonsShort[[#This Row],[CollectionStream_ID]]="04",TransTonsShort[[#This Row],[CollectionStream_ID]]="13"),0,TransTonsShort[[#This Row],[Trans_Tons_All]]*TransTonsShort[[#This Row],[Disposal_Fee]])</f>
        <v>0</v>
      </c>
      <c r="AF490" s="446" t="s">
        <v>1663</v>
      </c>
      <c r="AG490" s="442" t="str">
        <f>LEFT(SecondaryTransport[[#This Row],[Scenario_MRF_Bale_ID]],2)</f>
        <v>S4</v>
      </c>
      <c r="AH490" s="181" t="str">
        <f>LEFT(RIGHT(SecondaryTransport[[#This Row],[Scenario_MRF_Bale_ID]],10),2)</f>
        <v>13</v>
      </c>
      <c r="AI490" s="181" t="str">
        <f>INDEX(MRFs[MRF_Name],MATCH(SecondaryTransport[[#This Row],[MRF_ID]],MRFs[MRF_ID],0))</f>
        <v>Directly marketed (no sorting)</v>
      </c>
      <c r="AJ490" s="181" t="str">
        <f>RIGHT(SecondaryTransport[[#This Row],[Scenario_MRF_Bale_ID]],7)</f>
        <v>1000-05</v>
      </c>
      <c r="AK490" s="181" t="str">
        <f>INDEX(Bales[Bale_Name],MATCH(SecondaryTransport[[#This Row],[Bale_ID]],Bales[Bale_ID],0))</f>
        <v>Mixed paper</v>
      </c>
      <c r="AL490" s="443">
        <f>INDEX(BaleMover[Total_Baled_tons],MATCH(SecondaryTransport[[#This Row],[Scenario_MRF_Bale_ID]],BaleMover[Scenario_MRF_Bale_ID],0))</f>
        <v>219.41310090799618</v>
      </c>
      <c r="AM490" s="443">
        <f>IF(INDEX(BaleMover[Miles],MATCH(SecondaryTransport[[#This Row],[Scenario_MRF_Bale_ID]],BaleMover[Scenario_MRF_Bale_ID],0))="",0,INDEX(BaleMover[Miles],MATCH(SecondaryTransport[[#This Row],[Scenario_MRF_Bale_ID]],BaleMover[Scenario_MRF_Bale_ID],0)))</f>
        <v>100</v>
      </c>
      <c r="AN490" s="251">
        <f>IF(SecondaryTransport[[#This Row],[Bale_ID]]="9000-01","costs elsewhere",SecondaryTransport[[#This Row],[Total_Baled_tons]]*SecondaryTransport[[#This Row],[Miles]])</f>
        <v>21941.31009079962</v>
      </c>
      <c r="AO490" s="352" t="str">
        <f>IF(LEFT(SecondaryTransport[[#This Row],[Bale_ID]],1)*1=5,IF(OR(SecondaryTransport[[#This Row],[MRF_ID]]="02",SecondaryTransport[[#This Row],[MRF_ID]]="08"),2,1),"")</f>
        <v/>
      </c>
      <c r="AP4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0" s="224" t="str">
        <f>IFERROR(IF(1*LEFT(SecondaryTransport[[#This Row],[Bale_ID]],1)=5,SecondaryTransport[[#This Row],[Ton-Miles]]*SecondaryTransport[[#This Row],[Cost_Per_Ton-Mile]],""),"")</f>
        <v/>
      </c>
      <c r="AS490" s="224">
        <f>IFERROR(IF(SecondaryTransport[[#This Row],[Container_Transfer]]="",(SecondaryTransport[[#This Row],[Ton-Miles]]*SecondaryTransport[[#This Row],[Cost_Per_Ton-Mile]]),""),"")</f>
        <v>4168.8489172519276</v>
      </c>
    </row>
    <row r="491" spans="12:45" ht="15" x14ac:dyDescent="0.25">
      <c r="L491" s="446" t="s">
        <v>874</v>
      </c>
      <c r="M491" s="446">
        <v>1</v>
      </c>
      <c r="N491" s="446">
        <v>2</v>
      </c>
      <c r="O491" s="446" t="s">
        <v>706</v>
      </c>
      <c r="P491" s="449" t="s">
        <v>739</v>
      </c>
      <c r="Q491" s="449"/>
      <c r="R491" s="449"/>
      <c r="S491" s="449" t="s">
        <v>707</v>
      </c>
      <c r="T491" s="449" t="s">
        <v>1121</v>
      </c>
      <c r="U491" s="452">
        <v>1828.0007943083401</v>
      </c>
      <c r="V4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35463.215409581797</v>
      </c>
      <c r="W491" s="272">
        <f>IFERROR(SUMIFS(TransUnitCost[Miles],TransUnitCost[Grouping_ID],TransTonsShort[[#This Row],[Grouping_ID]],TransUnitCost[Transp_ID],TransTonsShort[[#This Row],[Transp_ID]])*TransTonsShort[[#This Row],[Trans_Tons_All]]/TransTonsShort[[#This Row],[Trans_Tons_All]],"")</f>
        <v>20</v>
      </c>
      <c r="X491" s="386" t="str">
        <f>TransTonsShort[[#This Row],[Grouping_ID]]&amp;"-"&amp;TransTonsShort[[#This Row],[Sector_ID]]</f>
        <v>1-2</v>
      </c>
      <c r="Y4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1" s="421">
        <f>INDEX(LandfillFees[Disposal Tip Fee 2025],MATCH(TransTonsShort[[#This Row],[Grouping_ID]],LandfillFees[Grouping_ID],0))</f>
        <v>134.68</v>
      </c>
      <c r="AA491" s="102">
        <f>IF(OR(TransTonsShort[[#This Row],[CollectionStream_ID]]="03",TransTonsShort[[#This Row],[CollectionStream_ID]]="04",TransTonsShort[[#This Row],[CollectionStream_ID]]="13"),0,TransTonsShort[[#This Row],[Trans_Tons_All]]*TransTonsShort[[#This Row],[Disposal_Fee]])</f>
        <v>246195.14697744726</v>
      </c>
      <c r="AF491" s="446" t="s">
        <v>1664</v>
      </c>
      <c r="AG491" s="442" t="str">
        <f>LEFT(SecondaryTransport[[#This Row],[Scenario_MRF_Bale_ID]],2)</f>
        <v>S0</v>
      </c>
      <c r="AH491" s="181" t="str">
        <f>LEFT(RIGHT(SecondaryTransport[[#This Row],[Scenario_MRF_Bale_ID]],10),2)</f>
        <v>13</v>
      </c>
      <c r="AI491" s="181" t="str">
        <f>INDEX(MRFs[MRF_Name],MATCH(SecondaryTransport[[#This Row],[MRF_ID]],MRFs[MRF_ID],0))</f>
        <v>Directly marketed (no sorting)</v>
      </c>
      <c r="AJ491" s="181" t="str">
        <f>RIGHT(SecondaryTransport[[#This Row],[Scenario_MRF_Bale_ID]],7)</f>
        <v>1000-06</v>
      </c>
      <c r="AK491" s="181" t="str">
        <f>INDEX(Bales[Bale_Name],MATCH(SecondaryTransport[[#This Row],[Bale_ID]],Bales[Bale_ID],0))</f>
        <v>Paperboard/old boxboard</v>
      </c>
      <c r="AL491" s="443">
        <f>INDEX(BaleMover[Total_Baled_tons],MATCH(SecondaryTransport[[#This Row],[Scenario_MRF_Bale_ID]],BaleMover[Scenario_MRF_Bale_ID],0))</f>
        <v>940.10711159800303</v>
      </c>
      <c r="AM491" s="443">
        <f>IF(INDEX(BaleMover[Miles],MATCH(SecondaryTransport[[#This Row],[Scenario_MRF_Bale_ID]],BaleMover[Scenario_MRF_Bale_ID],0))="",0,INDEX(BaleMover[Miles],MATCH(SecondaryTransport[[#This Row],[Scenario_MRF_Bale_ID]],BaleMover[Scenario_MRF_Bale_ID],0)))</f>
        <v>100</v>
      </c>
      <c r="AN491" s="251">
        <f>IF(SecondaryTransport[[#This Row],[Bale_ID]]="9000-01","costs elsewhere",SecondaryTransport[[#This Row],[Total_Baled_tons]]*SecondaryTransport[[#This Row],[Miles]])</f>
        <v>94010.711159800296</v>
      </c>
      <c r="AO491" s="352" t="str">
        <f>IF(LEFT(SecondaryTransport[[#This Row],[Bale_ID]],1)*1=5,IF(OR(SecondaryTransport[[#This Row],[MRF_ID]]="02",SecondaryTransport[[#This Row],[MRF_ID]]="08"),2,1),"")</f>
        <v/>
      </c>
      <c r="AP4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1" s="224" t="str">
        <f>IFERROR(IF(1*LEFT(SecondaryTransport[[#This Row],[Bale_ID]],1)=5,SecondaryTransport[[#This Row],[Ton-Miles]]*SecondaryTransport[[#This Row],[Cost_Per_Ton-Mile]],""),"")</f>
        <v/>
      </c>
      <c r="AS491" s="224">
        <f>IFERROR(IF(SecondaryTransport[[#This Row],[Container_Transfer]]="",(SecondaryTransport[[#This Row],[Ton-Miles]]*SecondaryTransport[[#This Row],[Cost_Per_Ton-Mile]]),""),"")</f>
        <v>17862.035120362056</v>
      </c>
    </row>
    <row r="492" spans="12:45" ht="15" x14ac:dyDescent="0.25">
      <c r="L492" s="446" t="s">
        <v>874</v>
      </c>
      <c r="M492" s="446">
        <v>2</v>
      </c>
      <c r="N492" s="446">
        <v>2</v>
      </c>
      <c r="O492" s="446" t="s">
        <v>706</v>
      </c>
      <c r="P492" s="449" t="s">
        <v>739</v>
      </c>
      <c r="Q492" s="449"/>
      <c r="R492" s="449"/>
      <c r="S492" s="449" t="s">
        <v>707</v>
      </c>
      <c r="T492" s="449" t="s">
        <v>1121</v>
      </c>
      <c r="U492" s="452">
        <v>291.5823406050647</v>
      </c>
      <c r="V4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12042.350666989172</v>
      </c>
      <c r="W492" s="272">
        <f>IFERROR(SUMIFS(TransUnitCost[Miles],TransUnitCost[Grouping_ID],TransTonsShort[[#This Row],[Grouping_ID]],TransUnitCost[Transp_ID],TransTonsShort[[#This Row],[Transp_ID]])*TransTonsShort[[#This Row],[Trans_Tons_All]]/TransTonsShort[[#This Row],[Trans_Tons_All]],"")</f>
        <v>70</v>
      </c>
      <c r="X492" s="386" t="str">
        <f>TransTonsShort[[#This Row],[Grouping_ID]]&amp;"-"&amp;TransTonsShort[[#This Row],[Sector_ID]]</f>
        <v>2-2</v>
      </c>
      <c r="Y4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2" s="421">
        <f>INDEX(LandfillFees[Disposal Tip Fee 2025],MATCH(TransTonsShort[[#This Row],[Grouping_ID]],LandfillFees[Grouping_ID],0))</f>
        <v>72.030938699729589</v>
      </c>
      <c r="AA492" s="102">
        <f>IF(OR(TransTonsShort[[#This Row],[CollectionStream_ID]]="03",TransTonsShort[[#This Row],[CollectionStream_ID]]="04",TransTonsShort[[#This Row],[CollectionStream_ID]]="13"),0,TransTonsShort[[#This Row],[Trans_Tons_All]]*TransTonsShort[[#This Row],[Disposal_Fee]])</f>
        <v>21002.949702047088</v>
      </c>
      <c r="AF492" s="446" t="s">
        <v>1665</v>
      </c>
      <c r="AG492" s="442" t="str">
        <f>LEFT(SecondaryTransport[[#This Row],[Scenario_MRF_Bale_ID]],2)</f>
        <v>S1</v>
      </c>
      <c r="AH492" s="181" t="str">
        <f>LEFT(RIGHT(SecondaryTransport[[#This Row],[Scenario_MRF_Bale_ID]],10),2)</f>
        <v>13</v>
      </c>
      <c r="AI492" s="181" t="str">
        <f>INDEX(MRFs[MRF_Name],MATCH(SecondaryTransport[[#This Row],[MRF_ID]],MRFs[MRF_ID],0))</f>
        <v>Directly marketed (no sorting)</v>
      </c>
      <c r="AJ492" s="181" t="str">
        <f>RIGHT(SecondaryTransport[[#This Row],[Scenario_MRF_Bale_ID]],7)</f>
        <v>1000-06</v>
      </c>
      <c r="AK492" s="181" t="str">
        <f>INDEX(Bales[Bale_Name],MATCH(SecondaryTransport[[#This Row],[Bale_ID]],Bales[Bale_ID],0))</f>
        <v>Paperboard/old boxboard</v>
      </c>
      <c r="AL492" s="443">
        <f>INDEX(BaleMover[Total_Baled_tons],MATCH(SecondaryTransport[[#This Row],[Scenario_MRF_Bale_ID]],BaleMover[Scenario_MRF_Bale_ID],0))</f>
        <v>940.10711159800303</v>
      </c>
      <c r="AM492" s="443">
        <f>IF(INDEX(BaleMover[Miles],MATCH(SecondaryTransport[[#This Row],[Scenario_MRF_Bale_ID]],BaleMover[Scenario_MRF_Bale_ID],0))="",0,INDEX(BaleMover[Miles],MATCH(SecondaryTransport[[#This Row],[Scenario_MRF_Bale_ID]],BaleMover[Scenario_MRF_Bale_ID],0)))</f>
        <v>100</v>
      </c>
      <c r="AN492" s="251">
        <f>IF(SecondaryTransport[[#This Row],[Bale_ID]]="9000-01","costs elsewhere",SecondaryTransport[[#This Row],[Total_Baled_tons]]*SecondaryTransport[[#This Row],[Miles]])</f>
        <v>94010.711159800296</v>
      </c>
      <c r="AO492" s="352" t="str">
        <f>IF(LEFT(SecondaryTransport[[#This Row],[Bale_ID]],1)*1=5,IF(OR(SecondaryTransport[[#This Row],[MRF_ID]]="02",SecondaryTransport[[#This Row],[MRF_ID]]="08"),2,1),"")</f>
        <v/>
      </c>
      <c r="AP4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2" s="224" t="str">
        <f>IFERROR(IF(1*LEFT(SecondaryTransport[[#This Row],[Bale_ID]],1)=5,SecondaryTransport[[#This Row],[Ton-Miles]]*SecondaryTransport[[#This Row],[Cost_Per_Ton-Mile]],""),"")</f>
        <v/>
      </c>
      <c r="AS492" s="224">
        <f>IFERROR(IF(SecondaryTransport[[#This Row],[Container_Transfer]]="",(SecondaryTransport[[#This Row],[Ton-Miles]]*SecondaryTransport[[#This Row],[Cost_Per_Ton-Mile]]),""),"")</f>
        <v>17862.035120362056</v>
      </c>
    </row>
    <row r="493" spans="12:45" ht="15" x14ac:dyDescent="0.25">
      <c r="L493" s="446" t="s">
        <v>874</v>
      </c>
      <c r="M493" s="446">
        <v>3</v>
      </c>
      <c r="N493" s="446">
        <v>2</v>
      </c>
      <c r="O493" s="446" t="s">
        <v>706</v>
      </c>
      <c r="P493" s="449" t="s">
        <v>739</v>
      </c>
      <c r="Q493" s="449"/>
      <c r="R493" s="449"/>
      <c r="S493" s="449" t="s">
        <v>707</v>
      </c>
      <c r="T493" s="449" t="s">
        <v>1121</v>
      </c>
      <c r="U493" s="452">
        <v>110.17631167989367</v>
      </c>
      <c r="V4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3966.347220476172</v>
      </c>
      <c r="W493" s="272">
        <f>IFERROR(SUMIFS(TransUnitCost[Miles],TransUnitCost[Grouping_ID],TransTonsShort[[#This Row],[Grouping_ID]],TransUnitCost[Transp_ID],TransTonsShort[[#This Row],[Transp_ID]])*TransTonsShort[[#This Row],[Trans_Tons_All]]/TransTonsShort[[#This Row],[Trans_Tons_All]],"")</f>
        <v>150</v>
      </c>
      <c r="X493" s="386" t="str">
        <f>TransTonsShort[[#This Row],[Grouping_ID]]&amp;"-"&amp;TransTonsShort[[#This Row],[Sector_ID]]</f>
        <v>3-2</v>
      </c>
      <c r="Y4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3" s="421">
        <f>INDEX(LandfillFees[Disposal Tip Fee 2025],MATCH(TransTonsShort[[#This Row],[Grouping_ID]],LandfillFees[Grouping_ID],0))</f>
        <v>72.030938699729589</v>
      </c>
      <c r="AA493" s="102">
        <f>IF(OR(TransTonsShort[[#This Row],[CollectionStream_ID]]="03",TransTonsShort[[#This Row],[CollectionStream_ID]]="04",TransTonsShort[[#This Row],[CollectionStream_ID]]="13"),0,TransTonsShort[[#This Row],[Trans_Tons_All]]*TransTonsShort[[#This Row],[Disposal_Fee]])</f>
        <v>7936.1031527767218</v>
      </c>
      <c r="AF493" s="446" t="s">
        <v>1666</v>
      </c>
      <c r="AG493" s="442" t="str">
        <f>LEFT(SecondaryTransport[[#This Row],[Scenario_MRF_Bale_ID]],2)</f>
        <v>S2</v>
      </c>
      <c r="AH493" s="181" t="str">
        <f>LEFT(RIGHT(SecondaryTransport[[#This Row],[Scenario_MRF_Bale_ID]],10),2)</f>
        <v>13</v>
      </c>
      <c r="AI493" s="181" t="str">
        <f>INDEX(MRFs[MRF_Name],MATCH(SecondaryTransport[[#This Row],[MRF_ID]],MRFs[MRF_ID],0))</f>
        <v>Directly marketed (no sorting)</v>
      </c>
      <c r="AJ493" s="181" t="str">
        <f>RIGHT(SecondaryTransport[[#This Row],[Scenario_MRF_Bale_ID]],7)</f>
        <v>1000-06</v>
      </c>
      <c r="AK493" s="181" t="str">
        <f>INDEX(Bales[Bale_Name],MATCH(SecondaryTransport[[#This Row],[Bale_ID]],Bales[Bale_ID],0))</f>
        <v>Paperboard/old boxboard</v>
      </c>
      <c r="AL493" s="443">
        <f>INDEX(BaleMover[Total_Baled_tons],MATCH(SecondaryTransport[[#This Row],[Scenario_MRF_Bale_ID]],BaleMover[Scenario_MRF_Bale_ID],0))</f>
        <v>940.10711159800303</v>
      </c>
      <c r="AM493" s="443">
        <f>IF(INDEX(BaleMover[Miles],MATCH(SecondaryTransport[[#This Row],[Scenario_MRF_Bale_ID]],BaleMover[Scenario_MRF_Bale_ID],0))="",0,INDEX(BaleMover[Miles],MATCH(SecondaryTransport[[#This Row],[Scenario_MRF_Bale_ID]],BaleMover[Scenario_MRF_Bale_ID],0)))</f>
        <v>100</v>
      </c>
      <c r="AN493" s="251">
        <f>IF(SecondaryTransport[[#This Row],[Bale_ID]]="9000-01","costs elsewhere",SecondaryTransport[[#This Row],[Total_Baled_tons]]*SecondaryTransport[[#This Row],[Miles]])</f>
        <v>94010.711159800296</v>
      </c>
      <c r="AO493" s="352" t="str">
        <f>IF(LEFT(SecondaryTransport[[#This Row],[Bale_ID]],1)*1=5,IF(OR(SecondaryTransport[[#This Row],[MRF_ID]]="02",SecondaryTransport[[#This Row],[MRF_ID]]="08"),2,1),"")</f>
        <v/>
      </c>
      <c r="AP4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3" s="224" t="str">
        <f>IFERROR(IF(1*LEFT(SecondaryTransport[[#This Row],[Bale_ID]],1)=5,SecondaryTransport[[#This Row],[Ton-Miles]]*SecondaryTransport[[#This Row],[Cost_Per_Ton-Mile]],""),"")</f>
        <v/>
      </c>
      <c r="AS493" s="224">
        <f>IFERROR(IF(SecondaryTransport[[#This Row],[Container_Transfer]]="",(SecondaryTransport[[#This Row],[Ton-Miles]]*SecondaryTransport[[#This Row],[Cost_Per_Ton-Mile]]),""),"")</f>
        <v>17862.035120362056</v>
      </c>
    </row>
    <row r="494" spans="12:45" ht="15" x14ac:dyDescent="0.25">
      <c r="L494" s="446" t="s">
        <v>874</v>
      </c>
      <c r="M494" s="446">
        <v>4</v>
      </c>
      <c r="N494" s="446">
        <v>2</v>
      </c>
      <c r="O494" s="446" t="s">
        <v>706</v>
      </c>
      <c r="P494" s="449" t="s">
        <v>739</v>
      </c>
      <c r="Q494" s="449"/>
      <c r="R494" s="449"/>
      <c r="S494" s="449" t="s">
        <v>707</v>
      </c>
      <c r="T494" s="449" t="s">
        <v>1121</v>
      </c>
      <c r="U494" s="452">
        <v>1.7061039850646562</v>
      </c>
      <c r="V4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93.83571917855609</v>
      </c>
      <c r="W494" s="272">
        <f>IFERROR(SUMIFS(TransUnitCost[Miles],TransUnitCost[Grouping_ID],TransTonsShort[[#This Row],[Grouping_ID]],TransUnitCost[Transp_ID],TransTonsShort[[#This Row],[Transp_ID]])*TransTonsShort[[#This Row],[Trans_Tons_All]]/TransTonsShort[[#This Row],[Trans_Tons_All]],"")</f>
        <v>250</v>
      </c>
      <c r="X494" s="386" t="str">
        <f>TransTonsShort[[#This Row],[Grouping_ID]]&amp;"-"&amp;TransTonsShort[[#This Row],[Sector_ID]]</f>
        <v>4-2</v>
      </c>
      <c r="Y4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4" s="421">
        <f>INDEX(LandfillFees[Disposal Tip Fee 2025],MATCH(TransTonsShort[[#This Row],[Grouping_ID]],LandfillFees[Grouping_ID],0))</f>
        <v>72.030938699729589</v>
      </c>
      <c r="AA494" s="102">
        <f>IF(OR(TransTonsShort[[#This Row],[CollectionStream_ID]]="03",TransTonsShort[[#This Row],[CollectionStream_ID]]="04",TransTonsShort[[#This Row],[CollectionStream_ID]]="13"),0,TransTonsShort[[#This Row],[Trans_Tons_All]]*TransTonsShort[[#This Row],[Disposal_Fee]])</f>
        <v>122.89227156355662</v>
      </c>
      <c r="AF494" s="446" t="s">
        <v>1667</v>
      </c>
      <c r="AG494" s="442" t="str">
        <f>LEFT(SecondaryTransport[[#This Row],[Scenario_MRF_Bale_ID]],2)</f>
        <v>S3</v>
      </c>
      <c r="AH494" s="181" t="str">
        <f>LEFT(RIGHT(SecondaryTransport[[#This Row],[Scenario_MRF_Bale_ID]],10),2)</f>
        <v>13</v>
      </c>
      <c r="AI494" s="181" t="str">
        <f>INDEX(MRFs[MRF_Name],MATCH(SecondaryTransport[[#This Row],[MRF_ID]],MRFs[MRF_ID],0))</f>
        <v>Directly marketed (no sorting)</v>
      </c>
      <c r="AJ494" s="181" t="str">
        <f>RIGHT(SecondaryTransport[[#This Row],[Scenario_MRF_Bale_ID]],7)</f>
        <v>1000-06</v>
      </c>
      <c r="AK494" s="181" t="str">
        <f>INDEX(Bales[Bale_Name],MATCH(SecondaryTransport[[#This Row],[Bale_ID]],Bales[Bale_ID],0))</f>
        <v>Paperboard/old boxboard</v>
      </c>
      <c r="AL494" s="443">
        <f>INDEX(BaleMover[Total_Baled_tons],MATCH(SecondaryTransport[[#This Row],[Scenario_MRF_Bale_ID]],BaleMover[Scenario_MRF_Bale_ID],0))</f>
        <v>940.10711159800303</v>
      </c>
      <c r="AM494" s="443">
        <f>IF(INDEX(BaleMover[Miles],MATCH(SecondaryTransport[[#This Row],[Scenario_MRF_Bale_ID]],BaleMover[Scenario_MRF_Bale_ID],0))="",0,INDEX(BaleMover[Miles],MATCH(SecondaryTransport[[#This Row],[Scenario_MRF_Bale_ID]],BaleMover[Scenario_MRF_Bale_ID],0)))</f>
        <v>100</v>
      </c>
      <c r="AN494" s="251">
        <f>IF(SecondaryTransport[[#This Row],[Bale_ID]]="9000-01","costs elsewhere",SecondaryTransport[[#This Row],[Total_Baled_tons]]*SecondaryTransport[[#This Row],[Miles]])</f>
        <v>94010.711159800296</v>
      </c>
      <c r="AO494" s="352" t="str">
        <f>IF(LEFT(SecondaryTransport[[#This Row],[Bale_ID]],1)*1=5,IF(OR(SecondaryTransport[[#This Row],[MRF_ID]]="02",SecondaryTransport[[#This Row],[MRF_ID]]="08"),2,1),"")</f>
        <v/>
      </c>
      <c r="AP4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4" s="224" t="str">
        <f>IFERROR(IF(1*LEFT(SecondaryTransport[[#This Row],[Bale_ID]],1)=5,SecondaryTransport[[#This Row],[Ton-Miles]]*SecondaryTransport[[#This Row],[Cost_Per_Ton-Mile]],""),"")</f>
        <v/>
      </c>
      <c r="AS494" s="224">
        <f>IFERROR(IF(SecondaryTransport[[#This Row],[Container_Transfer]]="",(SecondaryTransport[[#This Row],[Ton-Miles]]*SecondaryTransport[[#This Row],[Cost_Per_Ton-Mile]]),""),"")</f>
        <v>17862.035120362056</v>
      </c>
    </row>
    <row r="495" spans="12:45" ht="15" x14ac:dyDescent="0.25">
      <c r="L495" s="446" t="s">
        <v>874</v>
      </c>
      <c r="M495" s="446">
        <v>1</v>
      </c>
      <c r="N495" s="446">
        <v>2</v>
      </c>
      <c r="O495" s="446" t="s">
        <v>706</v>
      </c>
      <c r="P495" s="449" t="s">
        <v>700</v>
      </c>
      <c r="Q495" s="449"/>
      <c r="R495" s="449"/>
      <c r="S495" s="449" t="s">
        <v>707</v>
      </c>
      <c r="T495" s="449" t="s">
        <v>701</v>
      </c>
      <c r="U495" s="452">
        <v>960.33134660810276</v>
      </c>
      <c r="V4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5" s="272">
        <f>IFERROR(SUMIFS(TransUnitCost[Miles],TransUnitCost[Grouping_ID],TransTonsShort[[#This Row],[Grouping_ID]],TransUnitCost[Transp_ID],TransTonsShort[[#This Row],[Transp_ID]])*TransTonsShort[[#This Row],[Trans_Tons_All]]/TransTonsShort[[#This Row],[Trans_Tons_All]],"")</f>
        <v>0</v>
      </c>
      <c r="X495" s="386" t="str">
        <f>TransTonsShort[[#This Row],[Grouping_ID]]&amp;"-"&amp;TransTonsShort[[#This Row],[Sector_ID]]</f>
        <v>1-2</v>
      </c>
      <c r="Y4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5" s="421">
        <f>INDEX(LandfillFees[Disposal Tip Fee 2025],MATCH(TransTonsShort[[#This Row],[Grouping_ID]],LandfillFees[Grouping_ID],0))</f>
        <v>134.68</v>
      </c>
      <c r="AA495" s="102">
        <f>IF(OR(TransTonsShort[[#This Row],[CollectionStream_ID]]="03",TransTonsShort[[#This Row],[CollectionStream_ID]]="04",TransTonsShort[[#This Row],[CollectionStream_ID]]="13"),0,TransTonsShort[[#This Row],[Trans_Tons_All]]*TransTonsShort[[#This Row],[Disposal_Fee]])</f>
        <v>129337.42576117929</v>
      </c>
      <c r="AF495" s="446" t="s">
        <v>1668</v>
      </c>
      <c r="AG495" s="442" t="str">
        <f>LEFT(SecondaryTransport[[#This Row],[Scenario_MRF_Bale_ID]],2)</f>
        <v>S4</v>
      </c>
      <c r="AH495" s="181" t="str">
        <f>LEFT(RIGHT(SecondaryTransport[[#This Row],[Scenario_MRF_Bale_ID]],10),2)</f>
        <v>13</v>
      </c>
      <c r="AI495" s="181" t="str">
        <f>INDEX(MRFs[MRF_Name],MATCH(SecondaryTransport[[#This Row],[MRF_ID]],MRFs[MRF_ID],0))</f>
        <v>Directly marketed (no sorting)</v>
      </c>
      <c r="AJ495" s="181" t="str">
        <f>RIGHT(SecondaryTransport[[#This Row],[Scenario_MRF_Bale_ID]],7)</f>
        <v>1000-06</v>
      </c>
      <c r="AK495" s="181" t="str">
        <f>INDEX(Bales[Bale_Name],MATCH(SecondaryTransport[[#This Row],[Bale_ID]],Bales[Bale_ID],0))</f>
        <v>Paperboard/old boxboard</v>
      </c>
      <c r="AL495" s="443">
        <f>INDEX(BaleMover[Total_Baled_tons],MATCH(SecondaryTransport[[#This Row],[Scenario_MRF_Bale_ID]],BaleMover[Scenario_MRF_Bale_ID],0))</f>
        <v>940.10711159800303</v>
      </c>
      <c r="AM495" s="443">
        <f>IF(INDEX(BaleMover[Miles],MATCH(SecondaryTransport[[#This Row],[Scenario_MRF_Bale_ID]],BaleMover[Scenario_MRF_Bale_ID],0))="",0,INDEX(BaleMover[Miles],MATCH(SecondaryTransport[[#This Row],[Scenario_MRF_Bale_ID]],BaleMover[Scenario_MRF_Bale_ID],0)))</f>
        <v>100</v>
      </c>
      <c r="AN495" s="251">
        <f>IF(SecondaryTransport[[#This Row],[Bale_ID]]="9000-01","costs elsewhere",SecondaryTransport[[#This Row],[Total_Baled_tons]]*SecondaryTransport[[#This Row],[Miles]])</f>
        <v>94010.711159800296</v>
      </c>
      <c r="AO495" s="352" t="str">
        <f>IF(LEFT(SecondaryTransport[[#This Row],[Bale_ID]],1)*1=5,IF(OR(SecondaryTransport[[#This Row],[MRF_ID]]="02",SecondaryTransport[[#This Row],[MRF_ID]]="08"),2,1),"")</f>
        <v/>
      </c>
      <c r="AP4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49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495" s="224" t="str">
        <f>IFERROR(IF(1*LEFT(SecondaryTransport[[#This Row],[Bale_ID]],1)=5,SecondaryTransport[[#This Row],[Ton-Miles]]*SecondaryTransport[[#This Row],[Cost_Per_Ton-Mile]],""),"")</f>
        <v/>
      </c>
      <c r="AS495" s="224">
        <f>IFERROR(IF(SecondaryTransport[[#This Row],[Container_Transfer]]="",(SecondaryTransport[[#This Row],[Ton-Miles]]*SecondaryTransport[[#This Row],[Cost_Per_Ton-Mile]]),""),"")</f>
        <v>17862.035120362056</v>
      </c>
    </row>
    <row r="496" spans="12:45" ht="15" x14ac:dyDescent="0.25">
      <c r="L496" s="446" t="s">
        <v>874</v>
      </c>
      <c r="M496" s="446">
        <v>2</v>
      </c>
      <c r="N496" s="446">
        <v>2</v>
      </c>
      <c r="O496" s="446" t="s">
        <v>706</v>
      </c>
      <c r="P496" s="449" t="s">
        <v>700</v>
      </c>
      <c r="Q496" s="449"/>
      <c r="R496" s="449"/>
      <c r="S496" s="449" t="s">
        <v>707</v>
      </c>
      <c r="T496" s="449" t="s">
        <v>701</v>
      </c>
      <c r="U496" s="452">
        <v>0</v>
      </c>
      <c r="V4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6" s="272" t="str">
        <f>IFERROR(SUMIFS(TransUnitCost[Miles],TransUnitCost[Grouping_ID],TransTonsShort[[#This Row],[Grouping_ID]],TransUnitCost[Transp_ID],TransTonsShort[[#This Row],[Transp_ID]])*TransTonsShort[[#This Row],[Trans_Tons_All]]/TransTonsShort[[#This Row],[Trans_Tons_All]],"")</f>
        <v/>
      </c>
      <c r="X496" s="386" t="str">
        <f>TransTonsShort[[#This Row],[Grouping_ID]]&amp;"-"&amp;TransTonsShort[[#This Row],[Sector_ID]]</f>
        <v>2-2</v>
      </c>
      <c r="Y4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6" s="421">
        <f>INDEX(LandfillFees[Disposal Tip Fee 2025],MATCH(TransTonsShort[[#This Row],[Grouping_ID]],LandfillFees[Grouping_ID],0))</f>
        <v>72.030938699729589</v>
      </c>
      <c r="AA496" s="102">
        <f>IF(OR(TransTonsShort[[#This Row],[CollectionStream_ID]]="03",TransTonsShort[[#This Row],[CollectionStream_ID]]="04",TransTonsShort[[#This Row],[CollectionStream_ID]]="13"),0,TransTonsShort[[#This Row],[Trans_Tons_All]]*TransTonsShort[[#This Row],[Disposal_Fee]])</f>
        <v>0</v>
      </c>
      <c r="AF496" s="446" t="s">
        <v>1669</v>
      </c>
      <c r="AG496" s="442" t="str">
        <f>LEFT(SecondaryTransport[[#This Row],[Scenario_MRF_Bale_ID]],2)</f>
        <v>S0</v>
      </c>
      <c r="AH496" s="181" t="str">
        <f>LEFT(RIGHT(SecondaryTransport[[#This Row],[Scenario_MRF_Bale_ID]],10),2)</f>
        <v>13</v>
      </c>
      <c r="AI496" s="181" t="str">
        <f>INDEX(MRFs[MRF_Name],MATCH(SecondaryTransport[[#This Row],[MRF_ID]],MRFs[MRF_ID],0))</f>
        <v>Directly marketed (no sorting)</v>
      </c>
      <c r="AJ496" s="181" t="str">
        <f>RIGHT(SecondaryTransport[[#This Row],[Scenario_MRF_Bale_ID]],7)</f>
        <v>1000-07</v>
      </c>
      <c r="AK496" s="181" t="str">
        <f>INDEX(Bales[Bale_Name],MATCH(SecondaryTransport[[#This Row],[Bale_ID]],Bales[Bale_ID],0))</f>
        <v>Aseptic and gable-top cartons</v>
      </c>
      <c r="AL496" s="443">
        <f>INDEX(BaleMover[Total_Baled_tons],MATCH(SecondaryTransport[[#This Row],[Scenario_MRF_Bale_ID]],BaleMover[Scenario_MRF_Bale_ID],0))</f>
        <v>45.767290188694304</v>
      </c>
      <c r="AM496" s="443">
        <f>IF(INDEX(BaleMover[Miles],MATCH(SecondaryTransport[[#This Row],[Scenario_MRF_Bale_ID]],BaleMover[Scenario_MRF_Bale_ID],0))="",0,INDEX(BaleMover[Miles],MATCH(SecondaryTransport[[#This Row],[Scenario_MRF_Bale_ID]],BaleMover[Scenario_MRF_Bale_ID],0)))</f>
        <v>195</v>
      </c>
      <c r="AN496" s="251">
        <f>IF(SecondaryTransport[[#This Row],[Bale_ID]]="9000-01","costs elsewhere",SecondaryTransport[[#This Row],[Total_Baled_tons]]*SecondaryTransport[[#This Row],[Miles]])</f>
        <v>8924.6215867953888</v>
      </c>
      <c r="AO496" s="352" t="str">
        <f>IF(LEFT(SecondaryTransport[[#This Row],[Bale_ID]],1)*1=5,IF(OR(SecondaryTransport[[#This Row],[MRF_ID]]="02",SecondaryTransport[[#This Row],[MRF_ID]]="08"),2,1),"")</f>
        <v/>
      </c>
      <c r="AP4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9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96" s="224" t="str">
        <f>IFERROR(IF(1*LEFT(SecondaryTransport[[#This Row],[Bale_ID]],1)=5,SecondaryTransport[[#This Row],[Ton-Miles]]*SecondaryTransport[[#This Row],[Cost_Per_Ton-Mile]],""),"")</f>
        <v/>
      </c>
      <c r="AS496" s="224">
        <f>IFERROR(IF(SecondaryTransport[[#This Row],[Container_Transfer]]="",(SecondaryTransport[[#This Row],[Ton-Miles]]*SecondaryTransport[[#This Row],[Cost_Per_Ton-Mile]]),""),"")</f>
        <v>1249.4470221513545</v>
      </c>
    </row>
    <row r="497" spans="12:45" ht="15" x14ac:dyDescent="0.25">
      <c r="L497" s="446" t="s">
        <v>874</v>
      </c>
      <c r="M497" s="446">
        <v>3</v>
      </c>
      <c r="N497" s="446">
        <v>2</v>
      </c>
      <c r="O497" s="446" t="s">
        <v>706</v>
      </c>
      <c r="P497" s="449" t="s">
        <v>700</v>
      </c>
      <c r="Q497" s="449"/>
      <c r="R497" s="449"/>
      <c r="S497" s="449" t="s">
        <v>707</v>
      </c>
      <c r="T497" s="449" t="s">
        <v>701</v>
      </c>
      <c r="U497" s="452">
        <v>0</v>
      </c>
      <c r="V4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7" s="272" t="str">
        <f>IFERROR(SUMIFS(TransUnitCost[Miles],TransUnitCost[Grouping_ID],TransTonsShort[[#This Row],[Grouping_ID]],TransUnitCost[Transp_ID],TransTonsShort[[#This Row],[Transp_ID]])*TransTonsShort[[#This Row],[Trans_Tons_All]]/TransTonsShort[[#This Row],[Trans_Tons_All]],"")</f>
        <v/>
      </c>
      <c r="X497" s="386" t="str">
        <f>TransTonsShort[[#This Row],[Grouping_ID]]&amp;"-"&amp;TransTonsShort[[#This Row],[Sector_ID]]</f>
        <v>3-2</v>
      </c>
      <c r="Y4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7" s="421">
        <f>INDEX(LandfillFees[Disposal Tip Fee 2025],MATCH(TransTonsShort[[#This Row],[Grouping_ID]],LandfillFees[Grouping_ID],0))</f>
        <v>72.030938699729589</v>
      </c>
      <c r="AA497" s="102">
        <f>IF(OR(TransTonsShort[[#This Row],[CollectionStream_ID]]="03",TransTonsShort[[#This Row],[CollectionStream_ID]]="04",TransTonsShort[[#This Row],[CollectionStream_ID]]="13"),0,TransTonsShort[[#This Row],[Trans_Tons_All]]*TransTonsShort[[#This Row],[Disposal_Fee]])</f>
        <v>0</v>
      </c>
      <c r="AF497" s="446" t="s">
        <v>1670</v>
      </c>
      <c r="AG497" s="442" t="str">
        <f>LEFT(SecondaryTransport[[#This Row],[Scenario_MRF_Bale_ID]],2)</f>
        <v>S1</v>
      </c>
      <c r="AH497" s="181" t="str">
        <f>LEFT(RIGHT(SecondaryTransport[[#This Row],[Scenario_MRF_Bale_ID]],10),2)</f>
        <v>13</v>
      </c>
      <c r="AI497" s="181" t="str">
        <f>INDEX(MRFs[MRF_Name],MATCH(SecondaryTransport[[#This Row],[MRF_ID]],MRFs[MRF_ID],0))</f>
        <v>Directly marketed (no sorting)</v>
      </c>
      <c r="AJ497" s="181" t="str">
        <f>RIGHT(SecondaryTransport[[#This Row],[Scenario_MRF_Bale_ID]],7)</f>
        <v>1000-07</v>
      </c>
      <c r="AK497" s="181" t="str">
        <f>INDEX(Bales[Bale_Name],MATCH(SecondaryTransport[[#This Row],[Bale_ID]],Bales[Bale_ID],0))</f>
        <v>Aseptic and gable-top cartons</v>
      </c>
      <c r="AL497" s="443">
        <f>INDEX(BaleMover[Total_Baled_tons],MATCH(SecondaryTransport[[#This Row],[Scenario_MRF_Bale_ID]],BaleMover[Scenario_MRF_Bale_ID],0))</f>
        <v>45.767290188694304</v>
      </c>
      <c r="AM497" s="443">
        <f>IF(INDEX(BaleMover[Miles],MATCH(SecondaryTransport[[#This Row],[Scenario_MRF_Bale_ID]],BaleMover[Scenario_MRF_Bale_ID],0))="",0,INDEX(BaleMover[Miles],MATCH(SecondaryTransport[[#This Row],[Scenario_MRF_Bale_ID]],BaleMover[Scenario_MRF_Bale_ID],0)))</f>
        <v>195</v>
      </c>
      <c r="AN497" s="251">
        <f>IF(SecondaryTransport[[#This Row],[Bale_ID]]="9000-01","costs elsewhere",SecondaryTransport[[#This Row],[Total_Baled_tons]]*SecondaryTransport[[#This Row],[Miles]])</f>
        <v>8924.6215867953888</v>
      </c>
      <c r="AO497" s="352" t="str">
        <f>IF(LEFT(SecondaryTransport[[#This Row],[Bale_ID]],1)*1=5,IF(OR(SecondaryTransport[[#This Row],[MRF_ID]]="02",SecondaryTransport[[#This Row],[MRF_ID]]="08"),2,1),"")</f>
        <v/>
      </c>
      <c r="AP4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9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97" s="224" t="str">
        <f>IFERROR(IF(1*LEFT(SecondaryTransport[[#This Row],[Bale_ID]],1)=5,SecondaryTransport[[#This Row],[Ton-Miles]]*SecondaryTransport[[#This Row],[Cost_Per_Ton-Mile]],""),"")</f>
        <v/>
      </c>
      <c r="AS497" s="224">
        <f>IFERROR(IF(SecondaryTransport[[#This Row],[Container_Transfer]]="",(SecondaryTransport[[#This Row],[Ton-Miles]]*SecondaryTransport[[#This Row],[Cost_Per_Ton-Mile]]),""),"")</f>
        <v>1249.4470221513545</v>
      </c>
    </row>
    <row r="498" spans="12:45" ht="15" x14ac:dyDescent="0.25">
      <c r="L498" s="446" t="s">
        <v>874</v>
      </c>
      <c r="M498" s="446">
        <v>4</v>
      </c>
      <c r="N498" s="446">
        <v>2</v>
      </c>
      <c r="O498" s="446" t="s">
        <v>706</v>
      </c>
      <c r="P498" s="449" t="s">
        <v>700</v>
      </c>
      <c r="Q498" s="449"/>
      <c r="R498" s="449"/>
      <c r="S498" s="449" t="s">
        <v>707</v>
      </c>
      <c r="T498" s="449" t="s">
        <v>701</v>
      </c>
      <c r="U498" s="452">
        <v>0</v>
      </c>
      <c r="V4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8" s="272" t="str">
        <f>IFERROR(SUMIFS(TransUnitCost[Miles],TransUnitCost[Grouping_ID],TransTonsShort[[#This Row],[Grouping_ID]],TransUnitCost[Transp_ID],TransTonsShort[[#This Row],[Transp_ID]])*TransTonsShort[[#This Row],[Trans_Tons_All]]/TransTonsShort[[#This Row],[Trans_Tons_All]],"")</f>
        <v/>
      </c>
      <c r="X498" s="386" t="str">
        <f>TransTonsShort[[#This Row],[Grouping_ID]]&amp;"-"&amp;TransTonsShort[[#This Row],[Sector_ID]]</f>
        <v>4-2</v>
      </c>
      <c r="Y4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8" s="421">
        <f>INDEX(LandfillFees[Disposal Tip Fee 2025],MATCH(TransTonsShort[[#This Row],[Grouping_ID]],LandfillFees[Grouping_ID],0))</f>
        <v>72.030938699729589</v>
      </c>
      <c r="AA498" s="102">
        <f>IF(OR(TransTonsShort[[#This Row],[CollectionStream_ID]]="03",TransTonsShort[[#This Row],[CollectionStream_ID]]="04",TransTonsShort[[#This Row],[CollectionStream_ID]]="13"),0,TransTonsShort[[#This Row],[Trans_Tons_All]]*TransTonsShort[[#This Row],[Disposal_Fee]])</f>
        <v>0</v>
      </c>
      <c r="AF498" s="446" t="s">
        <v>1671</v>
      </c>
      <c r="AG498" s="442" t="str">
        <f>LEFT(SecondaryTransport[[#This Row],[Scenario_MRF_Bale_ID]],2)</f>
        <v>S2</v>
      </c>
      <c r="AH498" s="181" t="str">
        <f>LEFT(RIGHT(SecondaryTransport[[#This Row],[Scenario_MRF_Bale_ID]],10),2)</f>
        <v>13</v>
      </c>
      <c r="AI498" s="181" t="str">
        <f>INDEX(MRFs[MRF_Name],MATCH(SecondaryTransport[[#This Row],[MRF_ID]],MRFs[MRF_ID],0))</f>
        <v>Directly marketed (no sorting)</v>
      </c>
      <c r="AJ498" s="181" t="str">
        <f>RIGHT(SecondaryTransport[[#This Row],[Scenario_MRF_Bale_ID]],7)</f>
        <v>1000-07</v>
      </c>
      <c r="AK498" s="181" t="str">
        <f>INDEX(Bales[Bale_Name],MATCH(SecondaryTransport[[#This Row],[Bale_ID]],Bales[Bale_ID],0))</f>
        <v>Aseptic and gable-top cartons</v>
      </c>
      <c r="AL498" s="443">
        <f>INDEX(BaleMover[Total_Baled_tons],MATCH(SecondaryTransport[[#This Row],[Scenario_MRF_Bale_ID]],BaleMover[Scenario_MRF_Bale_ID],0))</f>
        <v>45.767290188694297</v>
      </c>
      <c r="AM498" s="443">
        <f>IF(INDEX(BaleMover[Miles],MATCH(SecondaryTransport[[#This Row],[Scenario_MRF_Bale_ID]],BaleMover[Scenario_MRF_Bale_ID],0))="",0,INDEX(BaleMover[Miles],MATCH(SecondaryTransport[[#This Row],[Scenario_MRF_Bale_ID]],BaleMover[Scenario_MRF_Bale_ID],0)))</f>
        <v>195</v>
      </c>
      <c r="AN498" s="251">
        <f>IF(SecondaryTransport[[#This Row],[Bale_ID]]="9000-01","costs elsewhere",SecondaryTransport[[#This Row],[Total_Baled_tons]]*SecondaryTransport[[#This Row],[Miles]])</f>
        <v>8924.621586795387</v>
      </c>
      <c r="AO498" s="352" t="str">
        <f>IF(LEFT(SecondaryTransport[[#This Row],[Bale_ID]],1)*1=5,IF(OR(SecondaryTransport[[#This Row],[MRF_ID]]="02",SecondaryTransport[[#This Row],[MRF_ID]]="08"),2,1),"")</f>
        <v/>
      </c>
      <c r="AP4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9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98" s="224" t="str">
        <f>IFERROR(IF(1*LEFT(SecondaryTransport[[#This Row],[Bale_ID]],1)=5,SecondaryTransport[[#This Row],[Ton-Miles]]*SecondaryTransport[[#This Row],[Cost_Per_Ton-Mile]],""),"")</f>
        <v/>
      </c>
      <c r="AS498" s="224">
        <f>IFERROR(IF(SecondaryTransport[[#This Row],[Container_Transfer]]="",(SecondaryTransport[[#This Row],[Ton-Miles]]*SecondaryTransport[[#This Row],[Cost_Per_Ton-Mile]]),""),"")</f>
        <v>1249.4470221513543</v>
      </c>
    </row>
    <row r="499" spans="12:45" ht="15" x14ac:dyDescent="0.25">
      <c r="L499" s="446" t="s">
        <v>874</v>
      </c>
      <c r="M499" s="446">
        <v>1</v>
      </c>
      <c r="N499" s="446">
        <v>2</v>
      </c>
      <c r="O499" s="446" t="s">
        <v>752</v>
      </c>
      <c r="P499" s="450" t="s">
        <v>719</v>
      </c>
      <c r="Q499" s="450"/>
      <c r="R499" s="450"/>
      <c r="S499" s="449" t="s">
        <v>964</v>
      </c>
      <c r="T499" s="449" t="s">
        <v>1055</v>
      </c>
      <c r="U499" s="452">
        <v>0</v>
      </c>
      <c r="V4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499" s="272" t="str">
        <f>IFERROR(SUMIFS(TransUnitCost[Miles],TransUnitCost[Grouping_ID],TransTonsShort[[#This Row],[Grouping_ID]],TransUnitCost[Transp_ID],TransTonsShort[[#This Row],[Transp_ID]])*TransTonsShort[[#This Row],[Trans_Tons_All]]/TransTonsShort[[#This Row],[Trans_Tons_All]],"")</f>
        <v/>
      </c>
      <c r="X499" s="386" t="str">
        <f>TransTonsShort[[#This Row],[Grouping_ID]]&amp;"-"&amp;TransTonsShort[[#This Row],[Sector_ID]]</f>
        <v>1-2</v>
      </c>
      <c r="Y4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499" s="421">
        <f>INDEX(LandfillFees[Disposal Tip Fee 2025],MATCH(TransTonsShort[[#This Row],[Grouping_ID]],LandfillFees[Grouping_ID],0))</f>
        <v>134.68</v>
      </c>
      <c r="AA499" s="102">
        <f>IF(OR(TransTonsShort[[#This Row],[CollectionStream_ID]]="03",TransTonsShort[[#This Row],[CollectionStream_ID]]="04",TransTonsShort[[#This Row],[CollectionStream_ID]]="13"),0,TransTonsShort[[#This Row],[Trans_Tons_All]]*TransTonsShort[[#This Row],[Disposal_Fee]])</f>
        <v>0</v>
      </c>
      <c r="AF499" s="446" t="s">
        <v>1672</v>
      </c>
      <c r="AG499" s="442" t="str">
        <f>LEFT(SecondaryTransport[[#This Row],[Scenario_MRF_Bale_ID]],2)</f>
        <v>S3</v>
      </c>
      <c r="AH499" s="181" t="str">
        <f>LEFT(RIGHT(SecondaryTransport[[#This Row],[Scenario_MRF_Bale_ID]],10),2)</f>
        <v>13</v>
      </c>
      <c r="AI499" s="181" t="str">
        <f>INDEX(MRFs[MRF_Name],MATCH(SecondaryTransport[[#This Row],[MRF_ID]],MRFs[MRF_ID],0))</f>
        <v>Directly marketed (no sorting)</v>
      </c>
      <c r="AJ499" s="181" t="str">
        <f>RIGHT(SecondaryTransport[[#This Row],[Scenario_MRF_Bale_ID]],7)</f>
        <v>1000-07</v>
      </c>
      <c r="AK499" s="181" t="str">
        <f>INDEX(Bales[Bale_Name],MATCH(SecondaryTransport[[#This Row],[Bale_ID]],Bales[Bale_ID],0))</f>
        <v>Aseptic and gable-top cartons</v>
      </c>
      <c r="AL499" s="443">
        <f>INDEX(BaleMover[Total_Baled_tons],MATCH(SecondaryTransport[[#This Row],[Scenario_MRF_Bale_ID]],BaleMover[Scenario_MRF_Bale_ID],0))</f>
        <v>45.767290188694297</v>
      </c>
      <c r="AM499" s="443">
        <f>IF(INDEX(BaleMover[Miles],MATCH(SecondaryTransport[[#This Row],[Scenario_MRF_Bale_ID]],BaleMover[Scenario_MRF_Bale_ID],0))="",0,INDEX(BaleMover[Miles],MATCH(SecondaryTransport[[#This Row],[Scenario_MRF_Bale_ID]],BaleMover[Scenario_MRF_Bale_ID],0)))</f>
        <v>195</v>
      </c>
      <c r="AN499" s="251">
        <f>IF(SecondaryTransport[[#This Row],[Bale_ID]]="9000-01","costs elsewhere",SecondaryTransport[[#This Row],[Total_Baled_tons]]*SecondaryTransport[[#This Row],[Miles]])</f>
        <v>8924.621586795387</v>
      </c>
      <c r="AO499" s="352" t="str">
        <f>IF(LEFT(SecondaryTransport[[#This Row],[Bale_ID]],1)*1=5,IF(OR(SecondaryTransport[[#This Row],[MRF_ID]]="02",SecondaryTransport[[#This Row],[MRF_ID]]="08"),2,1),"")</f>
        <v/>
      </c>
      <c r="AP4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49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499" s="224" t="str">
        <f>IFERROR(IF(1*LEFT(SecondaryTransport[[#This Row],[Bale_ID]],1)=5,SecondaryTransport[[#This Row],[Ton-Miles]]*SecondaryTransport[[#This Row],[Cost_Per_Ton-Mile]],""),"")</f>
        <v/>
      </c>
      <c r="AS499" s="224">
        <f>IFERROR(IF(SecondaryTransport[[#This Row],[Container_Transfer]]="",(SecondaryTransport[[#This Row],[Ton-Miles]]*SecondaryTransport[[#This Row],[Cost_Per_Ton-Mile]]),""),"")</f>
        <v>1249.4470221513543</v>
      </c>
    </row>
    <row r="500" spans="12:45" ht="15" x14ac:dyDescent="0.25">
      <c r="L500" s="446" t="s">
        <v>874</v>
      </c>
      <c r="M500" s="446">
        <v>2</v>
      </c>
      <c r="N500" s="446">
        <v>2</v>
      </c>
      <c r="O500" s="446" t="s">
        <v>752</v>
      </c>
      <c r="P500" s="450" t="s">
        <v>719</v>
      </c>
      <c r="Q500" s="450"/>
      <c r="R500" s="450"/>
      <c r="S500" s="449" t="s">
        <v>964</v>
      </c>
      <c r="T500" s="449" t="s">
        <v>1055</v>
      </c>
      <c r="U500" s="452">
        <v>0</v>
      </c>
      <c r="V5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0" s="272" t="str">
        <f>IFERROR(SUMIFS(TransUnitCost[Miles],TransUnitCost[Grouping_ID],TransTonsShort[[#This Row],[Grouping_ID]],TransUnitCost[Transp_ID],TransTonsShort[[#This Row],[Transp_ID]])*TransTonsShort[[#This Row],[Trans_Tons_All]]/TransTonsShort[[#This Row],[Trans_Tons_All]],"")</f>
        <v/>
      </c>
      <c r="X500" s="386" t="str">
        <f>TransTonsShort[[#This Row],[Grouping_ID]]&amp;"-"&amp;TransTonsShort[[#This Row],[Sector_ID]]</f>
        <v>2-2</v>
      </c>
      <c r="Y5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0" s="421">
        <f>INDEX(LandfillFees[Disposal Tip Fee 2025],MATCH(TransTonsShort[[#This Row],[Grouping_ID]],LandfillFees[Grouping_ID],0))</f>
        <v>72.030938699729589</v>
      </c>
      <c r="AA500" s="102">
        <f>IF(OR(TransTonsShort[[#This Row],[CollectionStream_ID]]="03",TransTonsShort[[#This Row],[CollectionStream_ID]]="04",TransTonsShort[[#This Row],[CollectionStream_ID]]="13"),0,TransTonsShort[[#This Row],[Trans_Tons_All]]*TransTonsShort[[#This Row],[Disposal_Fee]])</f>
        <v>0</v>
      </c>
      <c r="AF500" s="446" t="s">
        <v>1673</v>
      </c>
      <c r="AG500" s="442" t="str">
        <f>LEFT(SecondaryTransport[[#This Row],[Scenario_MRF_Bale_ID]],2)</f>
        <v>S4</v>
      </c>
      <c r="AH500" s="181" t="str">
        <f>LEFT(RIGHT(SecondaryTransport[[#This Row],[Scenario_MRF_Bale_ID]],10),2)</f>
        <v>13</v>
      </c>
      <c r="AI500" s="181" t="str">
        <f>INDEX(MRFs[MRF_Name],MATCH(SecondaryTransport[[#This Row],[MRF_ID]],MRFs[MRF_ID],0))</f>
        <v>Directly marketed (no sorting)</v>
      </c>
      <c r="AJ500" s="181" t="str">
        <f>RIGHT(SecondaryTransport[[#This Row],[Scenario_MRF_Bale_ID]],7)</f>
        <v>1000-07</v>
      </c>
      <c r="AK500" s="181" t="str">
        <f>INDEX(Bales[Bale_Name],MATCH(SecondaryTransport[[#This Row],[Bale_ID]],Bales[Bale_ID],0))</f>
        <v>Aseptic and gable-top cartons</v>
      </c>
      <c r="AL500" s="443">
        <f>INDEX(BaleMover[Total_Baled_tons],MATCH(SecondaryTransport[[#This Row],[Scenario_MRF_Bale_ID]],BaleMover[Scenario_MRF_Bale_ID],0))</f>
        <v>45.767290188694297</v>
      </c>
      <c r="AM500" s="443">
        <f>IF(INDEX(BaleMover[Miles],MATCH(SecondaryTransport[[#This Row],[Scenario_MRF_Bale_ID]],BaleMover[Scenario_MRF_Bale_ID],0))="",0,INDEX(BaleMover[Miles],MATCH(SecondaryTransport[[#This Row],[Scenario_MRF_Bale_ID]],BaleMover[Scenario_MRF_Bale_ID],0)))</f>
        <v>195</v>
      </c>
      <c r="AN500" s="251">
        <f>IF(SecondaryTransport[[#This Row],[Bale_ID]]="9000-01","costs elsewhere",SecondaryTransport[[#This Row],[Total_Baled_tons]]*SecondaryTransport[[#This Row],[Miles]])</f>
        <v>8924.621586795387</v>
      </c>
      <c r="AO500" s="352" t="str">
        <f>IF(LEFT(SecondaryTransport[[#This Row],[Bale_ID]],1)*1=5,IF(OR(SecondaryTransport[[#This Row],[MRF_ID]]="02",SecondaryTransport[[#This Row],[MRF_ID]]="08"),2,1),"")</f>
        <v/>
      </c>
      <c r="AP5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0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00" s="224" t="str">
        <f>IFERROR(IF(1*LEFT(SecondaryTransport[[#This Row],[Bale_ID]],1)=5,SecondaryTransport[[#This Row],[Ton-Miles]]*SecondaryTransport[[#This Row],[Cost_Per_Ton-Mile]],""),"")</f>
        <v/>
      </c>
      <c r="AS500" s="224">
        <f>IFERROR(IF(SecondaryTransport[[#This Row],[Container_Transfer]]="",(SecondaryTransport[[#This Row],[Ton-Miles]]*SecondaryTransport[[#This Row],[Cost_Per_Ton-Mile]]),""),"")</f>
        <v>1249.4470221513543</v>
      </c>
    </row>
    <row r="501" spans="12:45" ht="15" x14ac:dyDescent="0.25">
      <c r="L501" s="446" t="s">
        <v>874</v>
      </c>
      <c r="M501" s="446">
        <v>3</v>
      </c>
      <c r="N501" s="446">
        <v>2</v>
      </c>
      <c r="O501" s="446" t="s">
        <v>752</v>
      </c>
      <c r="P501" s="450" t="s">
        <v>719</v>
      </c>
      <c r="Q501" s="450"/>
      <c r="R501" s="450"/>
      <c r="S501" s="449" t="s">
        <v>964</v>
      </c>
      <c r="T501" s="449" t="s">
        <v>1055</v>
      </c>
      <c r="U501" s="452">
        <v>0</v>
      </c>
      <c r="V5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1" s="272" t="str">
        <f>IFERROR(SUMIFS(TransUnitCost[Miles],TransUnitCost[Grouping_ID],TransTonsShort[[#This Row],[Grouping_ID]],TransUnitCost[Transp_ID],TransTonsShort[[#This Row],[Transp_ID]])*TransTonsShort[[#This Row],[Trans_Tons_All]]/TransTonsShort[[#This Row],[Trans_Tons_All]],"")</f>
        <v/>
      </c>
      <c r="X501" s="386" t="str">
        <f>TransTonsShort[[#This Row],[Grouping_ID]]&amp;"-"&amp;TransTonsShort[[#This Row],[Sector_ID]]</f>
        <v>3-2</v>
      </c>
      <c r="Y5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1" s="421">
        <f>INDEX(LandfillFees[Disposal Tip Fee 2025],MATCH(TransTonsShort[[#This Row],[Grouping_ID]],LandfillFees[Grouping_ID],0))</f>
        <v>72.030938699729589</v>
      </c>
      <c r="AA501" s="102">
        <f>IF(OR(TransTonsShort[[#This Row],[CollectionStream_ID]]="03",TransTonsShort[[#This Row],[CollectionStream_ID]]="04",TransTonsShort[[#This Row],[CollectionStream_ID]]="13"),0,TransTonsShort[[#This Row],[Trans_Tons_All]]*TransTonsShort[[#This Row],[Disposal_Fee]])</f>
        <v>0</v>
      </c>
      <c r="AF501" s="446" t="s">
        <v>1674</v>
      </c>
      <c r="AG501" s="442" t="str">
        <f>LEFT(SecondaryTransport[[#This Row],[Scenario_MRF_Bale_ID]],2)</f>
        <v>S0</v>
      </c>
      <c r="AH501" s="181" t="str">
        <f>LEFT(RIGHT(SecondaryTransport[[#This Row],[Scenario_MRF_Bale_ID]],10),2)</f>
        <v>13</v>
      </c>
      <c r="AI501" s="181" t="str">
        <f>INDEX(MRFs[MRF_Name],MATCH(SecondaryTransport[[#This Row],[MRF_ID]],MRFs[MRF_ID],0))</f>
        <v>Directly marketed (no sorting)</v>
      </c>
      <c r="AJ501" s="181" t="str">
        <f>RIGHT(SecondaryTransport[[#This Row],[Scenario_MRF_Bale_ID]],7)</f>
        <v>1000-08</v>
      </c>
      <c r="AK501" s="181" t="str">
        <f>INDEX(Bales[Bale_Name],MATCH(SecondaryTransport[[#This Row],[Bale_ID]],Bales[Bale_ID],0))</f>
        <v>Polycoated cups and containers</v>
      </c>
      <c r="AL501" s="443">
        <f>INDEX(BaleMover[Total_Baled_tons],MATCH(SecondaryTransport[[#This Row],[Scenario_MRF_Bale_ID]],BaleMover[Scenario_MRF_Bale_ID],0))</f>
        <v>0</v>
      </c>
      <c r="AM501" s="443">
        <f>IF(INDEX(BaleMover[Miles],MATCH(SecondaryTransport[[#This Row],[Scenario_MRF_Bale_ID]],BaleMover[Scenario_MRF_Bale_ID],0))="",0,INDEX(BaleMover[Miles],MATCH(SecondaryTransport[[#This Row],[Scenario_MRF_Bale_ID]],BaleMover[Scenario_MRF_Bale_ID],0)))</f>
        <v>0</v>
      </c>
      <c r="AN501" s="251">
        <f>IF(SecondaryTransport[[#This Row],[Bale_ID]]="9000-01","costs elsewhere",SecondaryTransport[[#This Row],[Total_Baled_tons]]*SecondaryTransport[[#This Row],[Miles]])</f>
        <v>0</v>
      </c>
      <c r="AO501" s="352" t="str">
        <f>IF(LEFT(SecondaryTransport[[#This Row],[Bale_ID]],1)*1=5,IF(OR(SecondaryTransport[[#This Row],[MRF_ID]]="02",SecondaryTransport[[#This Row],[MRF_ID]]="08"),2,1),"")</f>
        <v/>
      </c>
      <c r="AP5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1" s="224" t="str">
        <f>IFERROR(IF(1*LEFT(SecondaryTransport[[#This Row],[Bale_ID]],1)=5,SecondaryTransport[[#This Row],[Ton-Miles]]*SecondaryTransport[[#This Row],[Cost_Per_Ton-Mile]],""),"")</f>
        <v/>
      </c>
      <c r="AS501" s="224" t="str">
        <f>IFERROR(IF(SecondaryTransport[[#This Row],[Container_Transfer]]="",(SecondaryTransport[[#This Row],[Ton-Miles]]*SecondaryTransport[[#This Row],[Cost_Per_Ton-Mile]]),""),"")</f>
        <v/>
      </c>
    </row>
    <row r="502" spans="12:45" ht="15" x14ac:dyDescent="0.25">
      <c r="L502" s="446" t="s">
        <v>874</v>
      </c>
      <c r="M502" s="446">
        <v>4</v>
      </c>
      <c r="N502" s="446">
        <v>2</v>
      </c>
      <c r="O502" s="446" t="s">
        <v>752</v>
      </c>
      <c r="P502" s="450" t="s">
        <v>719</v>
      </c>
      <c r="Q502" s="450"/>
      <c r="R502" s="450"/>
      <c r="S502" s="449" t="s">
        <v>964</v>
      </c>
      <c r="T502" s="449" t="s">
        <v>1055</v>
      </c>
      <c r="U502" s="452">
        <v>0</v>
      </c>
      <c r="V5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2" s="272" t="str">
        <f>IFERROR(SUMIFS(TransUnitCost[Miles],TransUnitCost[Grouping_ID],TransTonsShort[[#This Row],[Grouping_ID]],TransUnitCost[Transp_ID],TransTonsShort[[#This Row],[Transp_ID]])*TransTonsShort[[#This Row],[Trans_Tons_All]]/TransTonsShort[[#This Row],[Trans_Tons_All]],"")</f>
        <v/>
      </c>
      <c r="X502" s="386" t="str">
        <f>TransTonsShort[[#This Row],[Grouping_ID]]&amp;"-"&amp;TransTonsShort[[#This Row],[Sector_ID]]</f>
        <v>4-2</v>
      </c>
      <c r="Y5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2" s="421">
        <f>INDEX(LandfillFees[Disposal Tip Fee 2025],MATCH(TransTonsShort[[#This Row],[Grouping_ID]],LandfillFees[Grouping_ID],0))</f>
        <v>72.030938699729589</v>
      </c>
      <c r="AA502" s="102">
        <f>IF(OR(TransTonsShort[[#This Row],[CollectionStream_ID]]="03",TransTonsShort[[#This Row],[CollectionStream_ID]]="04",TransTonsShort[[#This Row],[CollectionStream_ID]]="13"),0,TransTonsShort[[#This Row],[Trans_Tons_All]]*TransTonsShort[[#This Row],[Disposal_Fee]])</f>
        <v>0</v>
      </c>
      <c r="AF502" s="446" t="s">
        <v>1675</v>
      </c>
      <c r="AG502" s="442" t="str">
        <f>LEFT(SecondaryTransport[[#This Row],[Scenario_MRF_Bale_ID]],2)</f>
        <v>S1</v>
      </c>
      <c r="AH502" s="181" t="str">
        <f>LEFT(RIGHT(SecondaryTransport[[#This Row],[Scenario_MRF_Bale_ID]],10),2)</f>
        <v>13</v>
      </c>
      <c r="AI502" s="181" t="str">
        <f>INDEX(MRFs[MRF_Name],MATCH(SecondaryTransport[[#This Row],[MRF_ID]],MRFs[MRF_ID],0))</f>
        <v>Directly marketed (no sorting)</v>
      </c>
      <c r="AJ502" s="181" t="str">
        <f>RIGHT(SecondaryTransport[[#This Row],[Scenario_MRF_Bale_ID]],7)</f>
        <v>1000-08</v>
      </c>
      <c r="AK502" s="181" t="str">
        <f>INDEX(Bales[Bale_Name],MATCH(SecondaryTransport[[#This Row],[Bale_ID]],Bales[Bale_ID],0))</f>
        <v>Polycoated cups and containers</v>
      </c>
      <c r="AL502" s="443">
        <f>INDEX(BaleMover[Total_Baled_tons],MATCH(SecondaryTransport[[#This Row],[Scenario_MRF_Bale_ID]],BaleMover[Scenario_MRF_Bale_ID],0))</f>
        <v>0</v>
      </c>
      <c r="AM502" s="443">
        <f>IF(INDEX(BaleMover[Miles],MATCH(SecondaryTransport[[#This Row],[Scenario_MRF_Bale_ID]],BaleMover[Scenario_MRF_Bale_ID],0))="",0,INDEX(BaleMover[Miles],MATCH(SecondaryTransport[[#This Row],[Scenario_MRF_Bale_ID]],BaleMover[Scenario_MRF_Bale_ID],0)))</f>
        <v>0</v>
      </c>
      <c r="AN502" s="251">
        <f>IF(SecondaryTransport[[#This Row],[Bale_ID]]="9000-01","costs elsewhere",SecondaryTransport[[#This Row],[Total_Baled_tons]]*SecondaryTransport[[#This Row],[Miles]])</f>
        <v>0</v>
      </c>
      <c r="AO502" s="352" t="str">
        <f>IF(LEFT(SecondaryTransport[[#This Row],[Bale_ID]],1)*1=5,IF(OR(SecondaryTransport[[#This Row],[MRF_ID]]="02",SecondaryTransport[[#This Row],[MRF_ID]]="08"),2,1),"")</f>
        <v/>
      </c>
      <c r="AP5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2" s="224" t="str">
        <f>IFERROR(IF(1*LEFT(SecondaryTransport[[#This Row],[Bale_ID]],1)=5,SecondaryTransport[[#This Row],[Ton-Miles]]*SecondaryTransport[[#This Row],[Cost_Per_Ton-Mile]],""),"")</f>
        <v/>
      </c>
      <c r="AS502" s="224" t="str">
        <f>IFERROR(IF(SecondaryTransport[[#This Row],[Container_Transfer]]="",(SecondaryTransport[[#This Row],[Ton-Miles]]*SecondaryTransport[[#This Row],[Cost_Per_Ton-Mile]]),""),"")</f>
        <v/>
      </c>
    </row>
    <row r="503" spans="12:45" ht="15" x14ac:dyDescent="0.25">
      <c r="L503" s="446" t="s">
        <v>874</v>
      </c>
      <c r="M503" s="446">
        <v>1</v>
      </c>
      <c r="N503" s="446">
        <v>2</v>
      </c>
      <c r="O503" s="446" t="s">
        <v>752</v>
      </c>
      <c r="P503" s="449" t="s">
        <v>700</v>
      </c>
      <c r="Q503" s="449"/>
      <c r="R503" s="449"/>
      <c r="S503" s="449" t="s">
        <v>964</v>
      </c>
      <c r="T503" s="449" t="s">
        <v>701</v>
      </c>
      <c r="U503" s="452">
        <v>0</v>
      </c>
      <c r="V5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3" s="272" t="str">
        <f>IFERROR(SUMIFS(TransUnitCost[Miles],TransUnitCost[Grouping_ID],TransTonsShort[[#This Row],[Grouping_ID]],TransUnitCost[Transp_ID],TransTonsShort[[#This Row],[Transp_ID]])*TransTonsShort[[#This Row],[Trans_Tons_All]]/TransTonsShort[[#This Row],[Trans_Tons_All]],"")</f>
        <v/>
      </c>
      <c r="X503" s="386" t="str">
        <f>TransTonsShort[[#This Row],[Grouping_ID]]&amp;"-"&amp;TransTonsShort[[#This Row],[Sector_ID]]</f>
        <v>1-2</v>
      </c>
      <c r="Y5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3" s="421">
        <f>INDEX(LandfillFees[Disposal Tip Fee 2025],MATCH(TransTonsShort[[#This Row],[Grouping_ID]],LandfillFees[Grouping_ID],0))</f>
        <v>134.68</v>
      </c>
      <c r="AA503" s="102">
        <f>IF(OR(TransTonsShort[[#This Row],[CollectionStream_ID]]="03",TransTonsShort[[#This Row],[CollectionStream_ID]]="04",TransTonsShort[[#This Row],[CollectionStream_ID]]="13"),0,TransTonsShort[[#This Row],[Trans_Tons_All]]*TransTonsShort[[#This Row],[Disposal_Fee]])</f>
        <v>0</v>
      </c>
      <c r="AF503" s="446" t="s">
        <v>1676</v>
      </c>
      <c r="AG503" s="442" t="str">
        <f>LEFT(SecondaryTransport[[#This Row],[Scenario_MRF_Bale_ID]],2)</f>
        <v>S2</v>
      </c>
      <c r="AH503" s="181" t="str">
        <f>LEFT(RIGHT(SecondaryTransport[[#This Row],[Scenario_MRF_Bale_ID]],10),2)</f>
        <v>13</v>
      </c>
      <c r="AI503" s="181" t="str">
        <f>INDEX(MRFs[MRF_Name],MATCH(SecondaryTransport[[#This Row],[MRF_ID]],MRFs[MRF_ID],0))</f>
        <v>Directly marketed (no sorting)</v>
      </c>
      <c r="AJ503" s="181" t="str">
        <f>RIGHT(SecondaryTransport[[#This Row],[Scenario_MRF_Bale_ID]],7)</f>
        <v>1000-08</v>
      </c>
      <c r="AK503" s="181" t="str">
        <f>INDEX(Bales[Bale_Name],MATCH(SecondaryTransport[[#This Row],[Bale_ID]],Bales[Bale_ID],0))</f>
        <v>Polycoated cups and containers</v>
      </c>
      <c r="AL503" s="443">
        <f>INDEX(BaleMover[Total_Baled_tons],MATCH(SecondaryTransport[[#This Row],[Scenario_MRF_Bale_ID]],BaleMover[Scenario_MRF_Bale_ID],0))</f>
        <v>0</v>
      </c>
      <c r="AM503" s="443">
        <f>IF(INDEX(BaleMover[Miles],MATCH(SecondaryTransport[[#This Row],[Scenario_MRF_Bale_ID]],BaleMover[Scenario_MRF_Bale_ID],0))="",0,INDEX(BaleMover[Miles],MATCH(SecondaryTransport[[#This Row],[Scenario_MRF_Bale_ID]],BaleMover[Scenario_MRF_Bale_ID],0)))</f>
        <v>0</v>
      </c>
      <c r="AN503" s="251">
        <f>IF(SecondaryTransport[[#This Row],[Bale_ID]]="9000-01","costs elsewhere",SecondaryTransport[[#This Row],[Total_Baled_tons]]*SecondaryTransport[[#This Row],[Miles]])</f>
        <v>0</v>
      </c>
      <c r="AO503" s="352" t="str">
        <f>IF(LEFT(SecondaryTransport[[#This Row],[Bale_ID]],1)*1=5,IF(OR(SecondaryTransport[[#This Row],[MRF_ID]]="02",SecondaryTransport[[#This Row],[MRF_ID]]="08"),2,1),"")</f>
        <v/>
      </c>
      <c r="AP5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3" s="224" t="str">
        <f>IFERROR(IF(1*LEFT(SecondaryTransport[[#This Row],[Bale_ID]],1)=5,SecondaryTransport[[#This Row],[Ton-Miles]]*SecondaryTransport[[#This Row],[Cost_Per_Ton-Mile]],""),"")</f>
        <v/>
      </c>
      <c r="AS503" s="224" t="str">
        <f>IFERROR(IF(SecondaryTransport[[#This Row],[Container_Transfer]]="",(SecondaryTransport[[#This Row],[Ton-Miles]]*SecondaryTransport[[#This Row],[Cost_Per_Ton-Mile]]),""),"")</f>
        <v/>
      </c>
    </row>
    <row r="504" spans="12:45" ht="15" x14ac:dyDescent="0.25">
      <c r="L504" s="446" t="s">
        <v>874</v>
      </c>
      <c r="M504" s="446">
        <v>2</v>
      </c>
      <c r="N504" s="446">
        <v>2</v>
      </c>
      <c r="O504" s="446" t="s">
        <v>752</v>
      </c>
      <c r="P504" s="449" t="s">
        <v>700</v>
      </c>
      <c r="Q504" s="449"/>
      <c r="R504" s="449"/>
      <c r="S504" s="449" t="s">
        <v>964</v>
      </c>
      <c r="T504" s="449" t="s">
        <v>701</v>
      </c>
      <c r="U504" s="452">
        <v>0</v>
      </c>
      <c r="V5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4" s="272" t="str">
        <f>IFERROR(SUMIFS(TransUnitCost[Miles],TransUnitCost[Grouping_ID],TransTonsShort[[#This Row],[Grouping_ID]],TransUnitCost[Transp_ID],TransTonsShort[[#This Row],[Transp_ID]])*TransTonsShort[[#This Row],[Trans_Tons_All]]/TransTonsShort[[#This Row],[Trans_Tons_All]],"")</f>
        <v/>
      </c>
      <c r="X504" s="386" t="str">
        <f>TransTonsShort[[#This Row],[Grouping_ID]]&amp;"-"&amp;TransTonsShort[[#This Row],[Sector_ID]]</f>
        <v>2-2</v>
      </c>
      <c r="Y5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4" s="421">
        <f>INDEX(LandfillFees[Disposal Tip Fee 2025],MATCH(TransTonsShort[[#This Row],[Grouping_ID]],LandfillFees[Grouping_ID],0))</f>
        <v>72.030938699729589</v>
      </c>
      <c r="AA504" s="102">
        <f>IF(OR(TransTonsShort[[#This Row],[CollectionStream_ID]]="03",TransTonsShort[[#This Row],[CollectionStream_ID]]="04",TransTonsShort[[#This Row],[CollectionStream_ID]]="13"),0,TransTonsShort[[#This Row],[Trans_Tons_All]]*TransTonsShort[[#This Row],[Disposal_Fee]])</f>
        <v>0</v>
      </c>
      <c r="AF504" s="446" t="s">
        <v>1677</v>
      </c>
      <c r="AG504" s="442" t="str">
        <f>LEFT(SecondaryTransport[[#This Row],[Scenario_MRF_Bale_ID]],2)</f>
        <v>S3</v>
      </c>
      <c r="AH504" s="181" t="str">
        <f>LEFT(RIGHT(SecondaryTransport[[#This Row],[Scenario_MRF_Bale_ID]],10),2)</f>
        <v>13</v>
      </c>
      <c r="AI504" s="181" t="str">
        <f>INDEX(MRFs[MRF_Name],MATCH(SecondaryTransport[[#This Row],[MRF_ID]],MRFs[MRF_ID],0))</f>
        <v>Directly marketed (no sorting)</v>
      </c>
      <c r="AJ504" s="181" t="str">
        <f>RIGHT(SecondaryTransport[[#This Row],[Scenario_MRF_Bale_ID]],7)</f>
        <v>1000-08</v>
      </c>
      <c r="AK504" s="181" t="str">
        <f>INDEX(Bales[Bale_Name],MATCH(SecondaryTransport[[#This Row],[Bale_ID]],Bales[Bale_ID],0))</f>
        <v>Polycoated cups and containers</v>
      </c>
      <c r="AL504" s="443">
        <f>INDEX(BaleMover[Total_Baled_tons],MATCH(SecondaryTransport[[#This Row],[Scenario_MRF_Bale_ID]],BaleMover[Scenario_MRF_Bale_ID],0))</f>
        <v>0</v>
      </c>
      <c r="AM504" s="443">
        <f>IF(INDEX(BaleMover[Miles],MATCH(SecondaryTransport[[#This Row],[Scenario_MRF_Bale_ID]],BaleMover[Scenario_MRF_Bale_ID],0))="",0,INDEX(BaleMover[Miles],MATCH(SecondaryTransport[[#This Row],[Scenario_MRF_Bale_ID]],BaleMover[Scenario_MRF_Bale_ID],0)))</f>
        <v>0</v>
      </c>
      <c r="AN504" s="251">
        <f>IF(SecondaryTransport[[#This Row],[Bale_ID]]="9000-01","costs elsewhere",SecondaryTransport[[#This Row],[Total_Baled_tons]]*SecondaryTransport[[#This Row],[Miles]])</f>
        <v>0</v>
      </c>
      <c r="AO504" s="352" t="str">
        <f>IF(LEFT(SecondaryTransport[[#This Row],[Bale_ID]],1)*1=5,IF(OR(SecondaryTransport[[#This Row],[MRF_ID]]="02",SecondaryTransport[[#This Row],[MRF_ID]]="08"),2,1),"")</f>
        <v/>
      </c>
      <c r="AP5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4" s="224" t="str">
        <f>IFERROR(IF(1*LEFT(SecondaryTransport[[#This Row],[Bale_ID]],1)=5,SecondaryTransport[[#This Row],[Ton-Miles]]*SecondaryTransport[[#This Row],[Cost_Per_Ton-Mile]],""),"")</f>
        <v/>
      </c>
      <c r="AS504" s="224" t="str">
        <f>IFERROR(IF(SecondaryTransport[[#This Row],[Container_Transfer]]="",(SecondaryTransport[[#This Row],[Ton-Miles]]*SecondaryTransport[[#This Row],[Cost_Per_Ton-Mile]]),""),"")</f>
        <v/>
      </c>
    </row>
    <row r="505" spans="12:45" ht="15" x14ac:dyDescent="0.25">
      <c r="L505" s="446" t="s">
        <v>874</v>
      </c>
      <c r="M505" s="446">
        <v>3</v>
      </c>
      <c r="N505" s="446">
        <v>2</v>
      </c>
      <c r="O505" s="446" t="s">
        <v>752</v>
      </c>
      <c r="P505" s="449" t="s">
        <v>700</v>
      </c>
      <c r="Q505" s="449"/>
      <c r="R505" s="449"/>
      <c r="S505" s="449" t="s">
        <v>964</v>
      </c>
      <c r="T505" s="449" t="s">
        <v>701</v>
      </c>
      <c r="U505" s="452">
        <v>0</v>
      </c>
      <c r="V5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5" s="272" t="str">
        <f>IFERROR(SUMIFS(TransUnitCost[Miles],TransUnitCost[Grouping_ID],TransTonsShort[[#This Row],[Grouping_ID]],TransUnitCost[Transp_ID],TransTonsShort[[#This Row],[Transp_ID]])*TransTonsShort[[#This Row],[Trans_Tons_All]]/TransTonsShort[[#This Row],[Trans_Tons_All]],"")</f>
        <v/>
      </c>
      <c r="X505" s="386" t="str">
        <f>TransTonsShort[[#This Row],[Grouping_ID]]&amp;"-"&amp;TransTonsShort[[#This Row],[Sector_ID]]</f>
        <v>3-2</v>
      </c>
      <c r="Y5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5" s="421">
        <f>INDEX(LandfillFees[Disposal Tip Fee 2025],MATCH(TransTonsShort[[#This Row],[Grouping_ID]],LandfillFees[Grouping_ID],0))</f>
        <v>72.030938699729589</v>
      </c>
      <c r="AA505" s="102">
        <f>IF(OR(TransTonsShort[[#This Row],[CollectionStream_ID]]="03",TransTonsShort[[#This Row],[CollectionStream_ID]]="04",TransTonsShort[[#This Row],[CollectionStream_ID]]="13"),0,TransTonsShort[[#This Row],[Trans_Tons_All]]*TransTonsShort[[#This Row],[Disposal_Fee]])</f>
        <v>0</v>
      </c>
      <c r="AF505" s="446" t="s">
        <v>1678</v>
      </c>
      <c r="AG505" s="442" t="str">
        <f>LEFT(SecondaryTransport[[#This Row],[Scenario_MRF_Bale_ID]],2)</f>
        <v>S4</v>
      </c>
      <c r="AH505" s="181" t="str">
        <f>LEFT(RIGHT(SecondaryTransport[[#This Row],[Scenario_MRF_Bale_ID]],10),2)</f>
        <v>13</v>
      </c>
      <c r="AI505" s="181" t="str">
        <f>INDEX(MRFs[MRF_Name],MATCH(SecondaryTransport[[#This Row],[MRF_ID]],MRFs[MRF_ID],0))</f>
        <v>Directly marketed (no sorting)</v>
      </c>
      <c r="AJ505" s="181" t="str">
        <f>RIGHT(SecondaryTransport[[#This Row],[Scenario_MRF_Bale_ID]],7)</f>
        <v>1000-08</v>
      </c>
      <c r="AK505" s="181" t="str">
        <f>INDEX(Bales[Bale_Name],MATCH(SecondaryTransport[[#This Row],[Bale_ID]],Bales[Bale_ID],0))</f>
        <v>Polycoated cups and containers</v>
      </c>
      <c r="AL505" s="443">
        <f>INDEX(BaleMover[Total_Baled_tons],MATCH(SecondaryTransport[[#This Row],[Scenario_MRF_Bale_ID]],BaleMover[Scenario_MRF_Bale_ID],0))</f>
        <v>0</v>
      </c>
      <c r="AM505" s="443">
        <f>IF(INDEX(BaleMover[Miles],MATCH(SecondaryTransport[[#This Row],[Scenario_MRF_Bale_ID]],BaleMover[Scenario_MRF_Bale_ID],0))="",0,INDEX(BaleMover[Miles],MATCH(SecondaryTransport[[#This Row],[Scenario_MRF_Bale_ID]],BaleMover[Scenario_MRF_Bale_ID],0)))</f>
        <v>0</v>
      </c>
      <c r="AN505" s="251">
        <f>IF(SecondaryTransport[[#This Row],[Bale_ID]]="9000-01","costs elsewhere",SecondaryTransport[[#This Row],[Total_Baled_tons]]*SecondaryTransport[[#This Row],[Miles]])</f>
        <v>0</v>
      </c>
      <c r="AO505" s="352" t="str">
        <f>IF(LEFT(SecondaryTransport[[#This Row],[Bale_ID]],1)*1=5,IF(OR(SecondaryTransport[[#This Row],[MRF_ID]]="02",SecondaryTransport[[#This Row],[MRF_ID]]="08"),2,1),"")</f>
        <v/>
      </c>
      <c r="AP5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0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05" s="224" t="str">
        <f>IFERROR(IF(1*LEFT(SecondaryTransport[[#This Row],[Bale_ID]],1)=5,SecondaryTransport[[#This Row],[Ton-Miles]]*SecondaryTransport[[#This Row],[Cost_Per_Ton-Mile]],""),"")</f>
        <v/>
      </c>
      <c r="AS505" s="224" t="str">
        <f>IFERROR(IF(SecondaryTransport[[#This Row],[Container_Transfer]]="",(SecondaryTransport[[#This Row],[Ton-Miles]]*SecondaryTransport[[#This Row],[Cost_Per_Ton-Mile]]),""),"")</f>
        <v/>
      </c>
    </row>
    <row r="506" spans="12:45" ht="15" x14ac:dyDescent="0.25">
      <c r="L506" s="446" t="s">
        <v>874</v>
      </c>
      <c r="M506" s="446">
        <v>4</v>
      </c>
      <c r="N506" s="446">
        <v>2</v>
      </c>
      <c r="O506" s="446" t="s">
        <v>752</v>
      </c>
      <c r="P506" s="449" t="s">
        <v>700</v>
      </c>
      <c r="Q506" s="449"/>
      <c r="R506" s="449"/>
      <c r="S506" s="449" t="s">
        <v>964</v>
      </c>
      <c r="T506" s="449" t="s">
        <v>701</v>
      </c>
      <c r="U506" s="452">
        <v>0</v>
      </c>
      <c r="V5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6" s="272" t="str">
        <f>IFERROR(SUMIFS(TransUnitCost[Miles],TransUnitCost[Grouping_ID],TransTonsShort[[#This Row],[Grouping_ID]],TransUnitCost[Transp_ID],TransTonsShort[[#This Row],[Transp_ID]])*TransTonsShort[[#This Row],[Trans_Tons_All]]/TransTonsShort[[#This Row],[Trans_Tons_All]],"")</f>
        <v/>
      </c>
      <c r="X506" s="386" t="str">
        <f>TransTonsShort[[#This Row],[Grouping_ID]]&amp;"-"&amp;TransTonsShort[[#This Row],[Sector_ID]]</f>
        <v>4-2</v>
      </c>
      <c r="Y5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6" s="421">
        <f>INDEX(LandfillFees[Disposal Tip Fee 2025],MATCH(TransTonsShort[[#This Row],[Grouping_ID]],LandfillFees[Grouping_ID],0))</f>
        <v>72.030938699729589</v>
      </c>
      <c r="AA506" s="102">
        <f>IF(OR(TransTonsShort[[#This Row],[CollectionStream_ID]]="03",TransTonsShort[[#This Row],[CollectionStream_ID]]="04",TransTonsShort[[#This Row],[CollectionStream_ID]]="13"),0,TransTonsShort[[#This Row],[Trans_Tons_All]]*TransTonsShort[[#This Row],[Disposal_Fee]])</f>
        <v>0</v>
      </c>
      <c r="AF506" s="446" t="s">
        <v>1679</v>
      </c>
      <c r="AG506" s="442" t="str">
        <f>LEFT(SecondaryTransport[[#This Row],[Scenario_MRF_Bale_ID]],2)</f>
        <v>S0</v>
      </c>
      <c r="AH506" s="181" t="str">
        <f>LEFT(RIGHT(SecondaryTransport[[#This Row],[Scenario_MRF_Bale_ID]],10),2)</f>
        <v>13</v>
      </c>
      <c r="AI506" s="181" t="str">
        <f>INDEX(MRFs[MRF_Name],MATCH(SecondaryTransport[[#This Row],[MRF_ID]],MRFs[MRF_ID],0))</f>
        <v>Directly marketed (no sorting)</v>
      </c>
      <c r="AJ506" s="181" t="str">
        <f>RIGHT(SecondaryTransport[[#This Row],[Scenario_MRF_Bale_ID]],7)</f>
        <v>2000-01</v>
      </c>
      <c r="AK506" s="181" t="str">
        <f>INDEX(Bales[Bale_Name],MATCH(SecondaryTransport[[#This Row],[Bale_ID]],Bales[Bale_ID],0))</f>
        <v>PET #1 bottles and jars </v>
      </c>
      <c r="AL506" s="443">
        <f>INDEX(BaleMover[Total_Baled_tons],MATCH(SecondaryTransport[[#This Row],[Scenario_MRF_Bale_ID]],BaleMover[Scenario_MRF_Bale_ID],0))</f>
        <v>344.71253017972879</v>
      </c>
      <c r="AM506" s="443">
        <f>IF(INDEX(BaleMover[Miles],MATCH(SecondaryTransport[[#This Row],[Scenario_MRF_Bale_ID]],BaleMover[Scenario_MRF_Bale_ID],0))="",0,INDEX(BaleMover[Miles],MATCH(SecondaryTransport[[#This Row],[Scenario_MRF_Bale_ID]],BaleMover[Scenario_MRF_Bale_ID],0)))</f>
        <v>80</v>
      </c>
      <c r="AN506" s="251">
        <f>IF(SecondaryTransport[[#This Row],[Bale_ID]]="9000-01","costs elsewhere",SecondaryTransport[[#This Row],[Total_Baled_tons]]*SecondaryTransport[[#This Row],[Miles]])</f>
        <v>27577.002414378301</v>
      </c>
      <c r="AO506" s="352" t="str">
        <f>IF(LEFT(SecondaryTransport[[#This Row],[Bale_ID]],1)*1=5,IF(OR(SecondaryTransport[[#This Row],[MRF_ID]]="02",SecondaryTransport[[#This Row],[MRF_ID]]="08"),2,1),"")</f>
        <v/>
      </c>
      <c r="AP5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50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506" s="224" t="str">
        <f>IFERROR(IF(1*LEFT(SecondaryTransport[[#This Row],[Bale_ID]],1)=5,SecondaryTransport[[#This Row],[Ton-Miles]]*SecondaryTransport[[#This Row],[Cost_Per_Ton-Mile]],""),"")</f>
        <v/>
      </c>
      <c r="AS506" s="224">
        <f>IFERROR(IF(SecondaryTransport[[#This Row],[Container_Transfer]]="",(SecondaryTransport[[#This Row],[Ton-Miles]]*SecondaryTransport[[#This Row],[Cost_Per_Ton-Mile]]),""),"")</f>
        <v>5239.6304587318773</v>
      </c>
    </row>
    <row r="507" spans="12:45" ht="15" x14ac:dyDescent="0.25">
      <c r="L507" s="446" t="s">
        <v>874</v>
      </c>
      <c r="M507" s="446">
        <v>1</v>
      </c>
      <c r="N507" s="446">
        <v>2</v>
      </c>
      <c r="O507" s="446" t="s">
        <v>752</v>
      </c>
      <c r="P507" s="449" t="s">
        <v>706</v>
      </c>
      <c r="Q507" s="449"/>
      <c r="R507" s="449"/>
      <c r="S507" s="449" t="s">
        <v>964</v>
      </c>
      <c r="T507" s="449" t="s">
        <v>1025</v>
      </c>
      <c r="U507" s="452">
        <v>0</v>
      </c>
      <c r="V5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7" s="272" t="str">
        <f>IFERROR(SUMIFS(TransUnitCost[Miles],TransUnitCost[Grouping_ID],TransTonsShort[[#This Row],[Grouping_ID]],TransUnitCost[Transp_ID],TransTonsShort[[#This Row],[Transp_ID]])*TransTonsShort[[#This Row],[Trans_Tons_All]]/TransTonsShort[[#This Row],[Trans_Tons_All]],"")</f>
        <v/>
      </c>
      <c r="X507" s="386" t="str">
        <f>TransTonsShort[[#This Row],[Grouping_ID]]&amp;"-"&amp;TransTonsShort[[#This Row],[Sector_ID]]</f>
        <v>1-2</v>
      </c>
      <c r="Y5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7" s="421">
        <f>INDEX(LandfillFees[Disposal Tip Fee 2025],MATCH(TransTonsShort[[#This Row],[Grouping_ID]],LandfillFees[Grouping_ID],0))</f>
        <v>134.68</v>
      </c>
      <c r="AA507" s="102">
        <f>IF(OR(TransTonsShort[[#This Row],[CollectionStream_ID]]="03",TransTonsShort[[#This Row],[CollectionStream_ID]]="04",TransTonsShort[[#This Row],[CollectionStream_ID]]="13"),0,TransTonsShort[[#This Row],[Trans_Tons_All]]*TransTonsShort[[#This Row],[Disposal_Fee]])</f>
        <v>0</v>
      </c>
      <c r="AF507" s="446" t="s">
        <v>1680</v>
      </c>
      <c r="AG507" s="442" t="str">
        <f>LEFT(SecondaryTransport[[#This Row],[Scenario_MRF_Bale_ID]],2)</f>
        <v>S1</v>
      </c>
      <c r="AH507" s="181" t="str">
        <f>LEFT(RIGHT(SecondaryTransport[[#This Row],[Scenario_MRF_Bale_ID]],10),2)</f>
        <v>13</v>
      </c>
      <c r="AI507" s="181" t="str">
        <f>INDEX(MRFs[MRF_Name],MATCH(SecondaryTransport[[#This Row],[MRF_ID]],MRFs[MRF_ID],0))</f>
        <v>Directly marketed (no sorting)</v>
      </c>
      <c r="AJ507" s="181" t="str">
        <f>RIGHT(SecondaryTransport[[#This Row],[Scenario_MRF_Bale_ID]],7)</f>
        <v>2000-01</v>
      </c>
      <c r="AK507" s="181" t="str">
        <f>INDEX(Bales[Bale_Name],MATCH(SecondaryTransport[[#This Row],[Bale_ID]],Bales[Bale_ID],0))</f>
        <v>PET #1 bottles and jars </v>
      </c>
      <c r="AL507" s="443">
        <f>INDEX(BaleMover[Total_Baled_tons],MATCH(SecondaryTransport[[#This Row],[Scenario_MRF_Bale_ID]],BaleMover[Scenario_MRF_Bale_ID],0))</f>
        <v>344.71253017972879</v>
      </c>
      <c r="AM507" s="443">
        <f>IF(INDEX(BaleMover[Miles],MATCH(SecondaryTransport[[#This Row],[Scenario_MRF_Bale_ID]],BaleMover[Scenario_MRF_Bale_ID],0))="",0,INDEX(BaleMover[Miles],MATCH(SecondaryTransport[[#This Row],[Scenario_MRF_Bale_ID]],BaleMover[Scenario_MRF_Bale_ID],0)))</f>
        <v>80</v>
      </c>
      <c r="AN507" s="251">
        <f>IF(SecondaryTransport[[#This Row],[Bale_ID]]="9000-01","costs elsewhere",SecondaryTransport[[#This Row],[Total_Baled_tons]]*SecondaryTransport[[#This Row],[Miles]])</f>
        <v>27577.002414378301</v>
      </c>
      <c r="AO507" s="352" t="str">
        <f>IF(LEFT(SecondaryTransport[[#This Row],[Bale_ID]],1)*1=5,IF(OR(SecondaryTransport[[#This Row],[MRF_ID]]="02",SecondaryTransport[[#This Row],[MRF_ID]]="08"),2,1),"")</f>
        <v/>
      </c>
      <c r="AP5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50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507" s="224" t="str">
        <f>IFERROR(IF(1*LEFT(SecondaryTransport[[#This Row],[Bale_ID]],1)=5,SecondaryTransport[[#This Row],[Ton-Miles]]*SecondaryTransport[[#This Row],[Cost_Per_Ton-Mile]],""),"")</f>
        <v/>
      </c>
      <c r="AS507" s="224">
        <f>IFERROR(IF(SecondaryTransport[[#This Row],[Container_Transfer]]="",(SecondaryTransport[[#This Row],[Ton-Miles]]*SecondaryTransport[[#This Row],[Cost_Per_Ton-Mile]]),""),"")</f>
        <v>5239.6304587318773</v>
      </c>
    </row>
    <row r="508" spans="12:45" ht="15" x14ac:dyDescent="0.25">
      <c r="L508" s="446" t="s">
        <v>874</v>
      </c>
      <c r="M508" s="446">
        <v>2</v>
      </c>
      <c r="N508" s="446">
        <v>2</v>
      </c>
      <c r="O508" s="446" t="s">
        <v>752</v>
      </c>
      <c r="P508" s="449" t="s">
        <v>706</v>
      </c>
      <c r="Q508" s="449"/>
      <c r="R508" s="449"/>
      <c r="S508" s="449" t="s">
        <v>964</v>
      </c>
      <c r="T508" s="449" t="s">
        <v>1025</v>
      </c>
      <c r="U508" s="452">
        <v>0</v>
      </c>
      <c r="V5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8" s="272" t="str">
        <f>IFERROR(SUMIFS(TransUnitCost[Miles],TransUnitCost[Grouping_ID],TransTonsShort[[#This Row],[Grouping_ID]],TransUnitCost[Transp_ID],TransTonsShort[[#This Row],[Transp_ID]])*TransTonsShort[[#This Row],[Trans_Tons_All]]/TransTonsShort[[#This Row],[Trans_Tons_All]],"")</f>
        <v/>
      </c>
      <c r="X508" s="386" t="str">
        <f>TransTonsShort[[#This Row],[Grouping_ID]]&amp;"-"&amp;TransTonsShort[[#This Row],[Sector_ID]]</f>
        <v>2-2</v>
      </c>
      <c r="Y5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8" s="421">
        <f>INDEX(LandfillFees[Disposal Tip Fee 2025],MATCH(TransTonsShort[[#This Row],[Grouping_ID]],LandfillFees[Grouping_ID],0))</f>
        <v>72.030938699729589</v>
      </c>
      <c r="AA508" s="102">
        <f>IF(OR(TransTonsShort[[#This Row],[CollectionStream_ID]]="03",TransTonsShort[[#This Row],[CollectionStream_ID]]="04",TransTonsShort[[#This Row],[CollectionStream_ID]]="13"),0,TransTonsShort[[#This Row],[Trans_Tons_All]]*TransTonsShort[[#This Row],[Disposal_Fee]])</f>
        <v>0</v>
      </c>
      <c r="AF508" s="446" t="s">
        <v>1681</v>
      </c>
      <c r="AG508" s="442" t="str">
        <f>LEFT(SecondaryTransport[[#This Row],[Scenario_MRF_Bale_ID]],2)</f>
        <v>S2</v>
      </c>
      <c r="AH508" s="181" t="str">
        <f>LEFT(RIGHT(SecondaryTransport[[#This Row],[Scenario_MRF_Bale_ID]],10),2)</f>
        <v>13</v>
      </c>
      <c r="AI508" s="181" t="str">
        <f>INDEX(MRFs[MRF_Name],MATCH(SecondaryTransport[[#This Row],[MRF_ID]],MRFs[MRF_ID],0))</f>
        <v>Directly marketed (no sorting)</v>
      </c>
      <c r="AJ508" s="181" t="str">
        <f>RIGHT(SecondaryTransport[[#This Row],[Scenario_MRF_Bale_ID]],7)</f>
        <v>2000-01</v>
      </c>
      <c r="AK508" s="181" t="str">
        <f>INDEX(Bales[Bale_Name],MATCH(SecondaryTransport[[#This Row],[Bale_ID]],Bales[Bale_ID],0))</f>
        <v>PET #1 bottles and jars </v>
      </c>
      <c r="AL508" s="443">
        <f>INDEX(BaleMover[Total_Baled_tons],MATCH(SecondaryTransport[[#This Row],[Scenario_MRF_Bale_ID]],BaleMover[Scenario_MRF_Bale_ID],0))</f>
        <v>344.71253017972879</v>
      </c>
      <c r="AM508" s="443">
        <f>IF(INDEX(BaleMover[Miles],MATCH(SecondaryTransport[[#This Row],[Scenario_MRF_Bale_ID]],BaleMover[Scenario_MRF_Bale_ID],0))="",0,INDEX(BaleMover[Miles],MATCH(SecondaryTransport[[#This Row],[Scenario_MRF_Bale_ID]],BaleMover[Scenario_MRF_Bale_ID],0)))</f>
        <v>80</v>
      </c>
      <c r="AN508" s="251">
        <f>IF(SecondaryTransport[[#This Row],[Bale_ID]]="9000-01","costs elsewhere",SecondaryTransport[[#This Row],[Total_Baled_tons]]*SecondaryTransport[[#This Row],[Miles]])</f>
        <v>27577.002414378301</v>
      </c>
      <c r="AO508" s="352" t="str">
        <f>IF(LEFT(SecondaryTransport[[#This Row],[Bale_ID]],1)*1=5,IF(OR(SecondaryTransport[[#This Row],[MRF_ID]]="02",SecondaryTransport[[#This Row],[MRF_ID]]="08"),2,1),"")</f>
        <v/>
      </c>
      <c r="AP5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50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508" s="224" t="str">
        <f>IFERROR(IF(1*LEFT(SecondaryTransport[[#This Row],[Bale_ID]],1)=5,SecondaryTransport[[#This Row],[Ton-Miles]]*SecondaryTransport[[#This Row],[Cost_Per_Ton-Mile]],""),"")</f>
        <v/>
      </c>
      <c r="AS508" s="224">
        <f>IFERROR(IF(SecondaryTransport[[#This Row],[Container_Transfer]]="",(SecondaryTransport[[#This Row],[Ton-Miles]]*SecondaryTransport[[#This Row],[Cost_Per_Ton-Mile]]),""),"")</f>
        <v>5239.6304587318773</v>
      </c>
    </row>
    <row r="509" spans="12:45" ht="15" x14ac:dyDescent="0.25">
      <c r="L509" s="446" t="s">
        <v>874</v>
      </c>
      <c r="M509" s="446">
        <v>3</v>
      </c>
      <c r="N509" s="446">
        <v>2</v>
      </c>
      <c r="O509" s="446" t="s">
        <v>752</v>
      </c>
      <c r="P509" s="449" t="s">
        <v>706</v>
      </c>
      <c r="Q509" s="449"/>
      <c r="R509" s="449"/>
      <c r="S509" s="449" t="s">
        <v>964</v>
      </c>
      <c r="T509" s="449" t="s">
        <v>1025</v>
      </c>
      <c r="U509" s="452">
        <v>0</v>
      </c>
      <c r="V5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09" s="272" t="str">
        <f>IFERROR(SUMIFS(TransUnitCost[Miles],TransUnitCost[Grouping_ID],TransTonsShort[[#This Row],[Grouping_ID]],TransUnitCost[Transp_ID],TransTonsShort[[#This Row],[Transp_ID]])*TransTonsShort[[#This Row],[Trans_Tons_All]]/TransTonsShort[[#This Row],[Trans_Tons_All]],"")</f>
        <v/>
      </c>
      <c r="X509" s="386" t="str">
        <f>TransTonsShort[[#This Row],[Grouping_ID]]&amp;"-"&amp;TransTonsShort[[#This Row],[Sector_ID]]</f>
        <v>3-2</v>
      </c>
      <c r="Y5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09" s="421">
        <f>INDEX(LandfillFees[Disposal Tip Fee 2025],MATCH(TransTonsShort[[#This Row],[Grouping_ID]],LandfillFees[Grouping_ID],0))</f>
        <v>72.030938699729589</v>
      </c>
      <c r="AA509" s="102">
        <f>IF(OR(TransTonsShort[[#This Row],[CollectionStream_ID]]="03",TransTonsShort[[#This Row],[CollectionStream_ID]]="04",TransTonsShort[[#This Row],[CollectionStream_ID]]="13"),0,TransTonsShort[[#This Row],[Trans_Tons_All]]*TransTonsShort[[#This Row],[Disposal_Fee]])</f>
        <v>0</v>
      </c>
      <c r="AF509" s="446" t="s">
        <v>1682</v>
      </c>
      <c r="AG509" s="442" t="str">
        <f>LEFT(SecondaryTransport[[#This Row],[Scenario_MRF_Bale_ID]],2)</f>
        <v>S3</v>
      </c>
      <c r="AH509" s="181" t="str">
        <f>LEFT(RIGHT(SecondaryTransport[[#This Row],[Scenario_MRF_Bale_ID]],10),2)</f>
        <v>13</v>
      </c>
      <c r="AI509" s="181" t="str">
        <f>INDEX(MRFs[MRF_Name],MATCH(SecondaryTransport[[#This Row],[MRF_ID]],MRFs[MRF_ID],0))</f>
        <v>Directly marketed (no sorting)</v>
      </c>
      <c r="AJ509" s="181" t="str">
        <f>RIGHT(SecondaryTransport[[#This Row],[Scenario_MRF_Bale_ID]],7)</f>
        <v>2000-01</v>
      </c>
      <c r="AK509" s="181" t="str">
        <f>INDEX(Bales[Bale_Name],MATCH(SecondaryTransport[[#This Row],[Bale_ID]],Bales[Bale_ID],0))</f>
        <v>PET #1 bottles and jars </v>
      </c>
      <c r="AL509" s="443">
        <f>INDEX(BaleMover[Total_Baled_tons],MATCH(SecondaryTransport[[#This Row],[Scenario_MRF_Bale_ID]],BaleMover[Scenario_MRF_Bale_ID],0))</f>
        <v>344.71253017972879</v>
      </c>
      <c r="AM509" s="443">
        <f>IF(INDEX(BaleMover[Miles],MATCH(SecondaryTransport[[#This Row],[Scenario_MRF_Bale_ID]],BaleMover[Scenario_MRF_Bale_ID],0))="",0,INDEX(BaleMover[Miles],MATCH(SecondaryTransport[[#This Row],[Scenario_MRF_Bale_ID]],BaleMover[Scenario_MRF_Bale_ID],0)))</f>
        <v>80</v>
      </c>
      <c r="AN509" s="251">
        <f>IF(SecondaryTransport[[#This Row],[Bale_ID]]="9000-01","costs elsewhere",SecondaryTransport[[#This Row],[Total_Baled_tons]]*SecondaryTransport[[#This Row],[Miles]])</f>
        <v>27577.002414378301</v>
      </c>
      <c r="AO509" s="352" t="str">
        <f>IF(LEFT(SecondaryTransport[[#This Row],[Bale_ID]],1)*1=5,IF(OR(SecondaryTransport[[#This Row],[MRF_ID]]="02",SecondaryTransport[[#This Row],[MRF_ID]]="08"),2,1),"")</f>
        <v/>
      </c>
      <c r="AP5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50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509" s="224" t="str">
        <f>IFERROR(IF(1*LEFT(SecondaryTransport[[#This Row],[Bale_ID]],1)=5,SecondaryTransport[[#This Row],[Ton-Miles]]*SecondaryTransport[[#This Row],[Cost_Per_Ton-Mile]],""),"")</f>
        <v/>
      </c>
      <c r="AS509" s="224">
        <f>IFERROR(IF(SecondaryTransport[[#This Row],[Container_Transfer]]="",(SecondaryTransport[[#This Row],[Ton-Miles]]*SecondaryTransport[[#This Row],[Cost_Per_Ton-Mile]]),""),"")</f>
        <v>5239.6304587318773</v>
      </c>
    </row>
    <row r="510" spans="12:45" ht="15" x14ac:dyDescent="0.25">
      <c r="L510" s="446" t="s">
        <v>874</v>
      </c>
      <c r="M510" s="446">
        <v>4</v>
      </c>
      <c r="N510" s="446">
        <v>2</v>
      </c>
      <c r="O510" s="446" t="s">
        <v>752</v>
      </c>
      <c r="P510" s="449" t="s">
        <v>706</v>
      </c>
      <c r="Q510" s="449"/>
      <c r="R510" s="449"/>
      <c r="S510" s="449" t="s">
        <v>964</v>
      </c>
      <c r="T510" s="449" t="s">
        <v>1025</v>
      </c>
      <c r="U510" s="452">
        <v>0</v>
      </c>
      <c r="V5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0" s="272" t="str">
        <f>IFERROR(SUMIFS(TransUnitCost[Miles],TransUnitCost[Grouping_ID],TransTonsShort[[#This Row],[Grouping_ID]],TransUnitCost[Transp_ID],TransTonsShort[[#This Row],[Transp_ID]])*TransTonsShort[[#This Row],[Trans_Tons_All]]/TransTonsShort[[#This Row],[Trans_Tons_All]],"")</f>
        <v/>
      </c>
      <c r="X510" s="386" t="str">
        <f>TransTonsShort[[#This Row],[Grouping_ID]]&amp;"-"&amp;TransTonsShort[[#This Row],[Sector_ID]]</f>
        <v>4-2</v>
      </c>
      <c r="Y5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0" s="421">
        <f>INDEX(LandfillFees[Disposal Tip Fee 2025],MATCH(TransTonsShort[[#This Row],[Grouping_ID]],LandfillFees[Grouping_ID],0))</f>
        <v>72.030938699729589</v>
      </c>
      <c r="AA510" s="102">
        <f>IF(OR(TransTonsShort[[#This Row],[CollectionStream_ID]]="03",TransTonsShort[[#This Row],[CollectionStream_ID]]="04",TransTonsShort[[#This Row],[CollectionStream_ID]]="13"),0,TransTonsShort[[#This Row],[Trans_Tons_All]]*TransTonsShort[[#This Row],[Disposal_Fee]])</f>
        <v>0</v>
      </c>
      <c r="AF510" s="446" t="s">
        <v>1683</v>
      </c>
      <c r="AG510" s="442" t="str">
        <f>LEFT(SecondaryTransport[[#This Row],[Scenario_MRF_Bale_ID]],2)</f>
        <v>S4</v>
      </c>
      <c r="AH510" s="181" t="str">
        <f>LEFT(RIGHT(SecondaryTransport[[#This Row],[Scenario_MRF_Bale_ID]],10),2)</f>
        <v>13</v>
      </c>
      <c r="AI510" s="181" t="str">
        <f>INDEX(MRFs[MRF_Name],MATCH(SecondaryTransport[[#This Row],[MRF_ID]],MRFs[MRF_ID],0))</f>
        <v>Directly marketed (no sorting)</v>
      </c>
      <c r="AJ510" s="181" t="str">
        <f>RIGHT(SecondaryTransport[[#This Row],[Scenario_MRF_Bale_ID]],7)</f>
        <v>2000-01</v>
      </c>
      <c r="AK510" s="181" t="str">
        <f>INDEX(Bales[Bale_Name],MATCH(SecondaryTransport[[#This Row],[Bale_ID]],Bales[Bale_ID],0))</f>
        <v>PET #1 bottles and jars </v>
      </c>
      <c r="AL510" s="443">
        <f>INDEX(BaleMover[Total_Baled_tons],MATCH(SecondaryTransport[[#This Row],[Scenario_MRF_Bale_ID]],BaleMover[Scenario_MRF_Bale_ID],0))</f>
        <v>344.71253017972879</v>
      </c>
      <c r="AM510" s="443">
        <f>IF(INDEX(BaleMover[Miles],MATCH(SecondaryTransport[[#This Row],[Scenario_MRF_Bale_ID]],BaleMover[Scenario_MRF_Bale_ID],0))="",0,INDEX(BaleMover[Miles],MATCH(SecondaryTransport[[#This Row],[Scenario_MRF_Bale_ID]],BaleMover[Scenario_MRF_Bale_ID],0)))</f>
        <v>80</v>
      </c>
      <c r="AN510" s="251">
        <f>IF(SecondaryTransport[[#This Row],[Bale_ID]]="9000-01","costs elsewhere",SecondaryTransport[[#This Row],[Total_Baled_tons]]*SecondaryTransport[[#This Row],[Miles]])</f>
        <v>27577.002414378301</v>
      </c>
      <c r="AO510" s="352" t="str">
        <f>IF(LEFT(SecondaryTransport[[#This Row],[Bale_ID]],1)*1=5,IF(OR(SecondaryTransport[[#This Row],[MRF_ID]]="02",SecondaryTransport[[#This Row],[MRF_ID]]="08"),2,1),"")</f>
        <v/>
      </c>
      <c r="AP5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medium</v>
      </c>
      <c r="AQ51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0.19</v>
      </c>
      <c r="AR510" s="224" t="str">
        <f>IFERROR(IF(1*LEFT(SecondaryTransport[[#This Row],[Bale_ID]],1)=5,SecondaryTransport[[#This Row],[Ton-Miles]]*SecondaryTransport[[#This Row],[Cost_Per_Ton-Mile]],""),"")</f>
        <v/>
      </c>
      <c r="AS510" s="224">
        <f>IFERROR(IF(SecondaryTransport[[#This Row],[Container_Transfer]]="",(SecondaryTransport[[#This Row],[Ton-Miles]]*SecondaryTransport[[#This Row],[Cost_Per_Ton-Mile]]),""),"")</f>
        <v>5239.6304587318773</v>
      </c>
    </row>
    <row r="511" spans="12:45" ht="15" x14ac:dyDescent="0.25">
      <c r="L511" s="446" t="s">
        <v>874</v>
      </c>
      <c r="M511" s="446">
        <v>1</v>
      </c>
      <c r="N511" s="446">
        <v>2</v>
      </c>
      <c r="O511" s="448" t="s">
        <v>750</v>
      </c>
      <c r="P511" s="449" t="s">
        <v>739</v>
      </c>
      <c r="Q511" s="449"/>
      <c r="R511" s="449"/>
      <c r="S511" s="449" t="s">
        <v>963</v>
      </c>
      <c r="T511" s="449" t="s">
        <v>1121</v>
      </c>
      <c r="U511" s="452">
        <v>0</v>
      </c>
      <c r="V5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1" s="272" t="str">
        <f>IFERROR(SUMIFS(TransUnitCost[Miles],TransUnitCost[Grouping_ID],TransTonsShort[[#This Row],[Grouping_ID]],TransUnitCost[Transp_ID],TransTonsShort[[#This Row],[Transp_ID]])*TransTonsShort[[#This Row],[Trans_Tons_All]]/TransTonsShort[[#This Row],[Trans_Tons_All]],"")</f>
        <v/>
      </c>
      <c r="X511" s="386" t="str">
        <f>TransTonsShort[[#This Row],[Grouping_ID]]&amp;"-"&amp;TransTonsShort[[#This Row],[Sector_ID]]</f>
        <v>1-2</v>
      </c>
      <c r="Y5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1" s="421">
        <f>INDEX(LandfillFees[Disposal Tip Fee 2025],MATCH(TransTonsShort[[#This Row],[Grouping_ID]],LandfillFees[Grouping_ID],0))</f>
        <v>134.68</v>
      </c>
      <c r="AA511" s="102">
        <f>IF(OR(TransTonsShort[[#This Row],[CollectionStream_ID]]="03",TransTonsShort[[#This Row],[CollectionStream_ID]]="04",TransTonsShort[[#This Row],[CollectionStream_ID]]="13"),0,TransTonsShort[[#This Row],[Trans_Tons_All]]*TransTonsShort[[#This Row],[Disposal_Fee]])</f>
        <v>0</v>
      </c>
      <c r="AF511" s="446" t="s">
        <v>1684</v>
      </c>
      <c r="AG511" s="442" t="str">
        <f>LEFT(SecondaryTransport[[#This Row],[Scenario_MRF_Bale_ID]],2)</f>
        <v>S0</v>
      </c>
      <c r="AH511" s="181" t="str">
        <f>LEFT(RIGHT(SecondaryTransport[[#This Row],[Scenario_MRF_Bale_ID]],10),2)</f>
        <v>13</v>
      </c>
      <c r="AI511" s="181" t="str">
        <f>INDEX(MRFs[MRF_Name],MATCH(SecondaryTransport[[#This Row],[MRF_ID]],MRFs[MRF_ID],0))</f>
        <v>Directly marketed (no sorting)</v>
      </c>
      <c r="AJ511" s="181" t="str">
        <f>RIGHT(SecondaryTransport[[#This Row],[Scenario_MRF_Bale_ID]],7)</f>
        <v>2000-02</v>
      </c>
      <c r="AK511" s="181" t="str">
        <f>INDEX(Bales[Bale_Name],MATCH(SecondaryTransport[[#This Row],[Bale_ID]],Bales[Bale_ID],0))</f>
        <v>PET #1 thermoforms and tubs</v>
      </c>
      <c r="AL511" s="443">
        <f>INDEX(BaleMover[Total_Baled_tons],MATCH(SecondaryTransport[[#This Row],[Scenario_MRF_Bale_ID]],BaleMover[Scenario_MRF_Bale_ID],0))</f>
        <v>24.295138204122495</v>
      </c>
      <c r="AM511" s="443">
        <f>IF(INDEX(BaleMover[Miles],MATCH(SecondaryTransport[[#This Row],[Scenario_MRF_Bale_ID]],BaleMover[Scenario_MRF_Bale_ID],0))="",0,INDEX(BaleMover[Miles],MATCH(SecondaryTransport[[#This Row],[Scenario_MRF_Bale_ID]],BaleMover[Scenario_MRF_Bale_ID],0)))</f>
        <v>915</v>
      </c>
      <c r="AN511" s="251">
        <f>IF(SecondaryTransport[[#This Row],[Bale_ID]]="9000-01","costs elsewhere",SecondaryTransport[[#This Row],[Total_Baled_tons]]*SecondaryTransport[[#This Row],[Miles]])</f>
        <v>22230.051456772082</v>
      </c>
      <c r="AO511" s="352" t="str">
        <f>IF(LEFT(SecondaryTransport[[#This Row],[Bale_ID]],1)*1=5,IF(OR(SecondaryTransport[[#This Row],[MRF_ID]]="02",SecondaryTransport[[#This Row],[MRF_ID]]="08"),2,1),"")</f>
        <v/>
      </c>
      <c r="AP5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1" s="224" t="str">
        <f>IFERROR(IF(1*LEFT(SecondaryTransport[[#This Row],[Bale_ID]],1)=5,SecondaryTransport[[#This Row],[Ton-Miles]]*SecondaryTransport[[#This Row],[Cost_Per_Ton-Mile]],""),"")</f>
        <v/>
      </c>
      <c r="AS511" s="224">
        <f>IFERROR(IF(SecondaryTransport[[#This Row],[Container_Transfer]]="",(SecondaryTransport[[#This Row],[Ton-Miles]]*SecondaryTransport[[#This Row],[Cost_Per_Ton-Mile]]),""),"")</f>
        <v>3112.2072039480918</v>
      </c>
    </row>
    <row r="512" spans="12:45" ht="15" x14ac:dyDescent="0.25">
      <c r="L512" s="446" t="s">
        <v>874</v>
      </c>
      <c r="M512" s="446">
        <v>2</v>
      </c>
      <c r="N512" s="446">
        <v>2</v>
      </c>
      <c r="O512" s="448" t="s">
        <v>750</v>
      </c>
      <c r="P512" s="449" t="s">
        <v>739</v>
      </c>
      <c r="Q512" s="449"/>
      <c r="R512" s="449"/>
      <c r="S512" s="449" t="s">
        <v>963</v>
      </c>
      <c r="T512" s="449" t="s">
        <v>1121</v>
      </c>
      <c r="U512" s="452">
        <v>0</v>
      </c>
      <c r="V5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2" s="272" t="str">
        <f>IFERROR(SUMIFS(TransUnitCost[Miles],TransUnitCost[Grouping_ID],TransTonsShort[[#This Row],[Grouping_ID]],TransUnitCost[Transp_ID],TransTonsShort[[#This Row],[Transp_ID]])*TransTonsShort[[#This Row],[Trans_Tons_All]]/TransTonsShort[[#This Row],[Trans_Tons_All]],"")</f>
        <v/>
      </c>
      <c r="X512" s="386" t="str">
        <f>TransTonsShort[[#This Row],[Grouping_ID]]&amp;"-"&amp;TransTonsShort[[#This Row],[Sector_ID]]</f>
        <v>2-2</v>
      </c>
      <c r="Y5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2" s="421">
        <f>INDEX(LandfillFees[Disposal Tip Fee 2025],MATCH(TransTonsShort[[#This Row],[Grouping_ID]],LandfillFees[Grouping_ID],0))</f>
        <v>72.030938699729589</v>
      </c>
      <c r="AA512" s="102">
        <f>IF(OR(TransTonsShort[[#This Row],[CollectionStream_ID]]="03",TransTonsShort[[#This Row],[CollectionStream_ID]]="04",TransTonsShort[[#This Row],[CollectionStream_ID]]="13"),0,TransTonsShort[[#This Row],[Trans_Tons_All]]*TransTonsShort[[#This Row],[Disposal_Fee]])</f>
        <v>0</v>
      </c>
      <c r="AF512" s="446" t="s">
        <v>1685</v>
      </c>
      <c r="AG512" s="442" t="str">
        <f>LEFT(SecondaryTransport[[#This Row],[Scenario_MRF_Bale_ID]],2)</f>
        <v>S1</v>
      </c>
      <c r="AH512" s="181" t="str">
        <f>LEFT(RIGHT(SecondaryTransport[[#This Row],[Scenario_MRF_Bale_ID]],10),2)</f>
        <v>13</v>
      </c>
      <c r="AI512" s="181" t="str">
        <f>INDEX(MRFs[MRF_Name],MATCH(SecondaryTransport[[#This Row],[MRF_ID]],MRFs[MRF_ID],0))</f>
        <v>Directly marketed (no sorting)</v>
      </c>
      <c r="AJ512" s="181" t="str">
        <f>RIGHT(SecondaryTransport[[#This Row],[Scenario_MRF_Bale_ID]],7)</f>
        <v>2000-02</v>
      </c>
      <c r="AK512" s="181" t="str">
        <f>INDEX(Bales[Bale_Name],MATCH(SecondaryTransport[[#This Row],[Bale_ID]],Bales[Bale_ID],0))</f>
        <v>PET #1 thermoforms and tubs</v>
      </c>
      <c r="AL512" s="443">
        <f>INDEX(BaleMover[Total_Baled_tons],MATCH(SecondaryTransport[[#This Row],[Scenario_MRF_Bale_ID]],BaleMover[Scenario_MRF_Bale_ID],0))</f>
        <v>24.295138204122495</v>
      </c>
      <c r="AM512" s="443">
        <f>IF(INDEX(BaleMover[Miles],MATCH(SecondaryTransport[[#This Row],[Scenario_MRF_Bale_ID]],BaleMover[Scenario_MRF_Bale_ID],0))="",0,INDEX(BaleMover[Miles],MATCH(SecondaryTransport[[#This Row],[Scenario_MRF_Bale_ID]],BaleMover[Scenario_MRF_Bale_ID],0)))</f>
        <v>915</v>
      </c>
      <c r="AN512" s="251">
        <f>IF(SecondaryTransport[[#This Row],[Bale_ID]]="9000-01","costs elsewhere",SecondaryTransport[[#This Row],[Total_Baled_tons]]*SecondaryTransport[[#This Row],[Miles]])</f>
        <v>22230.051456772082</v>
      </c>
      <c r="AO512" s="352" t="str">
        <f>IF(LEFT(SecondaryTransport[[#This Row],[Bale_ID]],1)*1=5,IF(OR(SecondaryTransport[[#This Row],[MRF_ID]]="02",SecondaryTransport[[#This Row],[MRF_ID]]="08"),2,1),"")</f>
        <v/>
      </c>
      <c r="AP5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2" s="224" t="str">
        <f>IFERROR(IF(1*LEFT(SecondaryTransport[[#This Row],[Bale_ID]],1)=5,SecondaryTransport[[#This Row],[Ton-Miles]]*SecondaryTransport[[#This Row],[Cost_Per_Ton-Mile]],""),"")</f>
        <v/>
      </c>
      <c r="AS512" s="224">
        <f>IFERROR(IF(SecondaryTransport[[#This Row],[Container_Transfer]]="",(SecondaryTransport[[#This Row],[Ton-Miles]]*SecondaryTransport[[#This Row],[Cost_Per_Ton-Mile]]),""),"")</f>
        <v>3112.2072039480918</v>
      </c>
    </row>
    <row r="513" spans="12:45" ht="15" x14ac:dyDescent="0.25">
      <c r="L513" s="446" t="s">
        <v>874</v>
      </c>
      <c r="M513" s="446">
        <v>3</v>
      </c>
      <c r="N513" s="446">
        <v>2</v>
      </c>
      <c r="O513" s="448" t="s">
        <v>750</v>
      </c>
      <c r="P513" s="449" t="s">
        <v>739</v>
      </c>
      <c r="Q513" s="449"/>
      <c r="R513" s="449"/>
      <c r="S513" s="449" t="s">
        <v>963</v>
      </c>
      <c r="T513" s="449" t="s">
        <v>1121</v>
      </c>
      <c r="U513" s="452">
        <v>0</v>
      </c>
      <c r="V5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3" s="272" t="str">
        <f>IFERROR(SUMIFS(TransUnitCost[Miles],TransUnitCost[Grouping_ID],TransTonsShort[[#This Row],[Grouping_ID]],TransUnitCost[Transp_ID],TransTonsShort[[#This Row],[Transp_ID]])*TransTonsShort[[#This Row],[Trans_Tons_All]]/TransTonsShort[[#This Row],[Trans_Tons_All]],"")</f>
        <v/>
      </c>
      <c r="X513" s="386" t="str">
        <f>TransTonsShort[[#This Row],[Grouping_ID]]&amp;"-"&amp;TransTonsShort[[#This Row],[Sector_ID]]</f>
        <v>3-2</v>
      </c>
      <c r="Y5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3" s="421">
        <f>INDEX(LandfillFees[Disposal Tip Fee 2025],MATCH(TransTonsShort[[#This Row],[Grouping_ID]],LandfillFees[Grouping_ID],0))</f>
        <v>72.030938699729589</v>
      </c>
      <c r="AA513" s="102">
        <f>IF(OR(TransTonsShort[[#This Row],[CollectionStream_ID]]="03",TransTonsShort[[#This Row],[CollectionStream_ID]]="04",TransTonsShort[[#This Row],[CollectionStream_ID]]="13"),0,TransTonsShort[[#This Row],[Trans_Tons_All]]*TransTonsShort[[#This Row],[Disposal_Fee]])</f>
        <v>0</v>
      </c>
      <c r="AF513" s="446" t="s">
        <v>1686</v>
      </c>
      <c r="AG513" s="442" t="str">
        <f>LEFT(SecondaryTransport[[#This Row],[Scenario_MRF_Bale_ID]],2)</f>
        <v>S2</v>
      </c>
      <c r="AH513" s="181" t="str">
        <f>LEFT(RIGHT(SecondaryTransport[[#This Row],[Scenario_MRF_Bale_ID]],10),2)</f>
        <v>13</v>
      </c>
      <c r="AI513" s="181" t="str">
        <f>INDEX(MRFs[MRF_Name],MATCH(SecondaryTransport[[#This Row],[MRF_ID]],MRFs[MRF_ID],0))</f>
        <v>Directly marketed (no sorting)</v>
      </c>
      <c r="AJ513" s="181" t="str">
        <f>RIGHT(SecondaryTransport[[#This Row],[Scenario_MRF_Bale_ID]],7)</f>
        <v>2000-02</v>
      </c>
      <c r="AK513" s="181" t="str">
        <f>INDEX(Bales[Bale_Name],MATCH(SecondaryTransport[[#This Row],[Bale_ID]],Bales[Bale_ID],0))</f>
        <v>PET #1 thermoforms and tubs</v>
      </c>
      <c r="AL513" s="443">
        <f>INDEX(BaleMover[Total_Baled_tons],MATCH(SecondaryTransport[[#This Row],[Scenario_MRF_Bale_ID]],BaleMover[Scenario_MRF_Bale_ID],0))</f>
        <v>27.252940384489456</v>
      </c>
      <c r="AM513" s="443">
        <f>IF(INDEX(BaleMover[Miles],MATCH(SecondaryTransport[[#This Row],[Scenario_MRF_Bale_ID]],BaleMover[Scenario_MRF_Bale_ID],0))="",0,INDEX(BaleMover[Miles],MATCH(SecondaryTransport[[#This Row],[Scenario_MRF_Bale_ID]],BaleMover[Scenario_MRF_Bale_ID],0)))</f>
        <v>915</v>
      </c>
      <c r="AN513" s="251">
        <f>IF(SecondaryTransport[[#This Row],[Bale_ID]]="9000-01","costs elsewhere",SecondaryTransport[[#This Row],[Total_Baled_tons]]*SecondaryTransport[[#This Row],[Miles]])</f>
        <v>24936.440451807852</v>
      </c>
      <c r="AO513" s="352" t="str">
        <f>IF(LEFT(SecondaryTransport[[#This Row],[Bale_ID]],1)*1=5,IF(OR(SecondaryTransport[[#This Row],[MRF_ID]]="02",SecondaryTransport[[#This Row],[MRF_ID]]="08"),2,1),"")</f>
        <v/>
      </c>
      <c r="AP5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3" s="224" t="str">
        <f>IFERROR(IF(1*LEFT(SecondaryTransport[[#This Row],[Bale_ID]],1)=5,SecondaryTransport[[#This Row],[Ton-Miles]]*SecondaryTransport[[#This Row],[Cost_Per_Ton-Mile]],""),"")</f>
        <v/>
      </c>
      <c r="AS513" s="224">
        <f>IFERROR(IF(SecondaryTransport[[#This Row],[Container_Transfer]]="",(SecondaryTransport[[#This Row],[Ton-Miles]]*SecondaryTransport[[#This Row],[Cost_Per_Ton-Mile]]),""),"")</f>
        <v>3491.1016632530996</v>
      </c>
    </row>
    <row r="514" spans="12:45" ht="15" x14ac:dyDescent="0.25">
      <c r="L514" s="446" t="s">
        <v>874</v>
      </c>
      <c r="M514" s="446">
        <v>4</v>
      </c>
      <c r="N514" s="446">
        <v>2</v>
      </c>
      <c r="O514" s="448" t="s">
        <v>750</v>
      </c>
      <c r="P514" s="449" t="s">
        <v>739</v>
      </c>
      <c r="Q514" s="449"/>
      <c r="R514" s="449"/>
      <c r="S514" s="449" t="s">
        <v>963</v>
      </c>
      <c r="T514" s="449" t="s">
        <v>1121</v>
      </c>
      <c r="U514" s="452">
        <v>0</v>
      </c>
      <c r="V5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4" s="272" t="str">
        <f>IFERROR(SUMIFS(TransUnitCost[Miles],TransUnitCost[Grouping_ID],TransTonsShort[[#This Row],[Grouping_ID]],TransUnitCost[Transp_ID],TransTonsShort[[#This Row],[Transp_ID]])*TransTonsShort[[#This Row],[Trans_Tons_All]]/TransTonsShort[[#This Row],[Trans_Tons_All]],"")</f>
        <v/>
      </c>
      <c r="X514" s="386" t="str">
        <f>TransTonsShort[[#This Row],[Grouping_ID]]&amp;"-"&amp;TransTonsShort[[#This Row],[Sector_ID]]</f>
        <v>4-2</v>
      </c>
      <c r="Y5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4" s="421">
        <f>INDEX(LandfillFees[Disposal Tip Fee 2025],MATCH(TransTonsShort[[#This Row],[Grouping_ID]],LandfillFees[Grouping_ID],0))</f>
        <v>72.030938699729589</v>
      </c>
      <c r="AA514" s="102">
        <f>IF(OR(TransTonsShort[[#This Row],[CollectionStream_ID]]="03",TransTonsShort[[#This Row],[CollectionStream_ID]]="04",TransTonsShort[[#This Row],[CollectionStream_ID]]="13"),0,TransTonsShort[[#This Row],[Trans_Tons_All]]*TransTonsShort[[#This Row],[Disposal_Fee]])</f>
        <v>0</v>
      </c>
      <c r="AF514" s="446" t="s">
        <v>1687</v>
      </c>
      <c r="AG514" s="442" t="str">
        <f>LEFT(SecondaryTransport[[#This Row],[Scenario_MRF_Bale_ID]],2)</f>
        <v>S3</v>
      </c>
      <c r="AH514" s="181" t="str">
        <f>LEFT(RIGHT(SecondaryTransport[[#This Row],[Scenario_MRF_Bale_ID]],10),2)</f>
        <v>13</v>
      </c>
      <c r="AI514" s="181" t="str">
        <f>INDEX(MRFs[MRF_Name],MATCH(SecondaryTransport[[#This Row],[MRF_ID]],MRFs[MRF_ID],0))</f>
        <v>Directly marketed (no sorting)</v>
      </c>
      <c r="AJ514" s="181" t="str">
        <f>RIGHT(SecondaryTransport[[#This Row],[Scenario_MRF_Bale_ID]],7)</f>
        <v>2000-02</v>
      </c>
      <c r="AK514" s="181" t="str">
        <f>INDEX(Bales[Bale_Name],MATCH(SecondaryTransport[[#This Row],[Bale_ID]],Bales[Bale_ID],0))</f>
        <v>PET #1 thermoforms and tubs</v>
      </c>
      <c r="AL514" s="443">
        <f>INDEX(BaleMover[Total_Baled_tons],MATCH(SecondaryTransport[[#This Row],[Scenario_MRF_Bale_ID]],BaleMover[Scenario_MRF_Bale_ID],0))</f>
        <v>27.252940384489456</v>
      </c>
      <c r="AM514" s="443">
        <f>IF(INDEX(BaleMover[Miles],MATCH(SecondaryTransport[[#This Row],[Scenario_MRF_Bale_ID]],BaleMover[Scenario_MRF_Bale_ID],0))="",0,INDEX(BaleMover[Miles],MATCH(SecondaryTransport[[#This Row],[Scenario_MRF_Bale_ID]],BaleMover[Scenario_MRF_Bale_ID],0)))</f>
        <v>915</v>
      </c>
      <c r="AN514" s="251">
        <f>IF(SecondaryTransport[[#This Row],[Bale_ID]]="9000-01","costs elsewhere",SecondaryTransport[[#This Row],[Total_Baled_tons]]*SecondaryTransport[[#This Row],[Miles]])</f>
        <v>24936.440451807852</v>
      </c>
      <c r="AO514" s="352" t="str">
        <f>IF(LEFT(SecondaryTransport[[#This Row],[Bale_ID]],1)*1=5,IF(OR(SecondaryTransport[[#This Row],[MRF_ID]]="02",SecondaryTransport[[#This Row],[MRF_ID]]="08"),2,1),"")</f>
        <v/>
      </c>
      <c r="AP5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4" s="224" t="str">
        <f>IFERROR(IF(1*LEFT(SecondaryTransport[[#This Row],[Bale_ID]],1)=5,SecondaryTransport[[#This Row],[Ton-Miles]]*SecondaryTransport[[#This Row],[Cost_Per_Ton-Mile]],""),"")</f>
        <v/>
      </c>
      <c r="AS514" s="224">
        <f>IFERROR(IF(SecondaryTransport[[#This Row],[Container_Transfer]]="",(SecondaryTransport[[#This Row],[Ton-Miles]]*SecondaryTransport[[#This Row],[Cost_Per_Ton-Mile]]),""),"")</f>
        <v>3491.1016632530996</v>
      </c>
    </row>
    <row r="515" spans="12:45" ht="15" x14ac:dyDescent="0.25">
      <c r="L515" s="446" t="s">
        <v>874</v>
      </c>
      <c r="M515" s="446">
        <v>1</v>
      </c>
      <c r="N515" s="446">
        <v>2</v>
      </c>
      <c r="O515" s="448" t="s">
        <v>750</v>
      </c>
      <c r="P515" s="449" t="s">
        <v>700</v>
      </c>
      <c r="Q515" s="449"/>
      <c r="R515" s="449"/>
      <c r="S515" s="449" t="s">
        <v>963</v>
      </c>
      <c r="T515" s="449" t="s">
        <v>701</v>
      </c>
      <c r="U515" s="452">
        <v>0</v>
      </c>
      <c r="V5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5" s="272" t="str">
        <f>IFERROR(SUMIFS(TransUnitCost[Miles],TransUnitCost[Grouping_ID],TransTonsShort[[#This Row],[Grouping_ID]],TransUnitCost[Transp_ID],TransTonsShort[[#This Row],[Transp_ID]])*TransTonsShort[[#This Row],[Trans_Tons_All]]/TransTonsShort[[#This Row],[Trans_Tons_All]],"")</f>
        <v/>
      </c>
      <c r="X515" s="386" t="str">
        <f>TransTonsShort[[#This Row],[Grouping_ID]]&amp;"-"&amp;TransTonsShort[[#This Row],[Sector_ID]]</f>
        <v>1-2</v>
      </c>
      <c r="Y5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5" s="421">
        <f>INDEX(LandfillFees[Disposal Tip Fee 2025],MATCH(TransTonsShort[[#This Row],[Grouping_ID]],LandfillFees[Grouping_ID],0))</f>
        <v>134.68</v>
      </c>
      <c r="AA515" s="102">
        <f>IF(OR(TransTonsShort[[#This Row],[CollectionStream_ID]]="03",TransTonsShort[[#This Row],[CollectionStream_ID]]="04",TransTonsShort[[#This Row],[CollectionStream_ID]]="13"),0,TransTonsShort[[#This Row],[Trans_Tons_All]]*TransTonsShort[[#This Row],[Disposal_Fee]])</f>
        <v>0</v>
      </c>
      <c r="AF515" s="446" t="s">
        <v>1688</v>
      </c>
      <c r="AG515" s="442" t="str">
        <f>LEFT(SecondaryTransport[[#This Row],[Scenario_MRF_Bale_ID]],2)</f>
        <v>S4</v>
      </c>
      <c r="AH515" s="181" t="str">
        <f>LEFT(RIGHT(SecondaryTransport[[#This Row],[Scenario_MRF_Bale_ID]],10),2)</f>
        <v>13</v>
      </c>
      <c r="AI515" s="181" t="str">
        <f>INDEX(MRFs[MRF_Name],MATCH(SecondaryTransport[[#This Row],[MRF_ID]],MRFs[MRF_ID],0))</f>
        <v>Directly marketed (no sorting)</v>
      </c>
      <c r="AJ515" s="181" t="str">
        <f>RIGHT(SecondaryTransport[[#This Row],[Scenario_MRF_Bale_ID]],7)</f>
        <v>2000-02</v>
      </c>
      <c r="AK515" s="181" t="str">
        <f>INDEX(Bales[Bale_Name],MATCH(SecondaryTransport[[#This Row],[Bale_ID]],Bales[Bale_ID],0))</f>
        <v>PET #1 thermoforms and tubs</v>
      </c>
      <c r="AL515" s="443">
        <f>INDEX(BaleMover[Total_Baled_tons],MATCH(SecondaryTransport[[#This Row],[Scenario_MRF_Bale_ID]],BaleMover[Scenario_MRF_Bale_ID],0))</f>
        <v>27.252940384489456</v>
      </c>
      <c r="AM515" s="443">
        <f>IF(INDEX(BaleMover[Miles],MATCH(SecondaryTransport[[#This Row],[Scenario_MRF_Bale_ID]],BaleMover[Scenario_MRF_Bale_ID],0))="",0,INDEX(BaleMover[Miles],MATCH(SecondaryTransport[[#This Row],[Scenario_MRF_Bale_ID]],BaleMover[Scenario_MRF_Bale_ID],0)))</f>
        <v>915</v>
      </c>
      <c r="AN515" s="251">
        <f>IF(SecondaryTransport[[#This Row],[Bale_ID]]="9000-01","costs elsewhere",SecondaryTransport[[#This Row],[Total_Baled_tons]]*SecondaryTransport[[#This Row],[Miles]])</f>
        <v>24936.440451807852</v>
      </c>
      <c r="AO515" s="352" t="str">
        <f>IF(LEFT(SecondaryTransport[[#This Row],[Bale_ID]],1)*1=5,IF(OR(SecondaryTransport[[#This Row],[MRF_ID]]="02",SecondaryTransport[[#This Row],[MRF_ID]]="08"),2,1),"")</f>
        <v/>
      </c>
      <c r="AP5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5" s="224" t="str">
        <f>IFERROR(IF(1*LEFT(SecondaryTransport[[#This Row],[Bale_ID]],1)=5,SecondaryTransport[[#This Row],[Ton-Miles]]*SecondaryTransport[[#This Row],[Cost_Per_Ton-Mile]],""),"")</f>
        <v/>
      </c>
      <c r="AS515" s="224">
        <f>IFERROR(IF(SecondaryTransport[[#This Row],[Container_Transfer]]="",(SecondaryTransport[[#This Row],[Ton-Miles]]*SecondaryTransport[[#This Row],[Cost_Per_Ton-Mile]]),""),"")</f>
        <v>3491.1016632530996</v>
      </c>
    </row>
    <row r="516" spans="12:45" ht="15" x14ac:dyDescent="0.25">
      <c r="L516" s="446" t="s">
        <v>874</v>
      </c>
      <c r="M516" s="446">
        <v>2</v>
      </c>
      <c r="N516" s="446">
        <v>2</v>
      </c>
      <c r="O516" s="448" t="s">
        <v>750</v>
      </c>
      <c r="P516" s="449" t="s">
        <v>700</v>
      </c>
      <c r="Q516" s="449"/>
      <c r="R516" s="449"/>
      <c r="S516" s="449" t="s">
        <v>963</v>
      </c>
      <c r="T516" s="449" t="s">
        <v>701</v>
      </c>
      <c r="U516" s="452">
        <v>0</v>
      </c>
      <c r="V5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6" s="272" t="str">
        <f>IFERROR(SUMIFS(TransUnitCost[Miles],TransUnitCost[Grouping_ID],TransTonsShort[[#This Row],[Grouping_ID]],TransUnitCost[Transp_ID],TransTonsShort[[#This Row],[Transp_ID]])*TransTonsShort[[#This Row],[Trans_Tons_All]]/TransTonsShort[[#This Row],[Trans_Tons_All]],"")</f>
        <v/>
      </c>
      <c r="X516" s="386" t="str">
        <f>TransTonsShort[[#This Row],[Grouping_ID]]&amp;"-"&amp;TransTonsShort[[#This Row],[Sector_ID]]</f>
        <v>2-2</v>
      </c>
      <c r="Y5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6" s="421">
        <f>INDEX(LandfillFees[Disposal Tip Fee 2025],MATCH(TransTonsShort[[#This Row],[Grouping_ID]],LandfillFees[Grouping_ID],0))</f>
        <v>72.030938699729589</v>
      </c>
      <c r="AA516" s="102">
        <f>IF(OR(TransTonsShort[[#This Row],[CollectionStream_ID]]="03",TransTonsShort[[#This Row],[CollectionStream_ID]]="04",TransTonsShort[[#This Row],[CollectionStream_ID]]="13"),0,TransTonsShort[[#This Row],[Trans_Tons_All]]*TransTonsShort[[#This Row],[Disposal_Fee]])</f>
        <v>0</v>
      </c>
      <c r="AF516" s="446" t="s">
        <v>1689</v>
      </c>
      <c r="AG516" s="442" t="str">
        <f>LEFT(SecondaryTransport[[#This Row],[Scenario_MRF_Bale_ID]],2)</f>
        <v>S0</v>
      </c>
      <c r="AH516" s="181" t="str">
        <f>LEFT(RIGHT(SecondaryTransport[[#This Row],[Scenario_MRF_Bale_ID]],10),2)</f>
        <v>13</v>
      </c>
      <c r="AI516" s="181" t="str">
        <f>INDEX(MRFs[MRF_Name],MATCH(SecondaryTransport[[#This Row],[MRF_ID]],MRFs[MRF_ID],0))</f>
        <v>Directly marketed (no sorting)</v>
      </c>
      <c r="AJ516" s="181" t="str">
        <f>RIGHT(SecondaryTransport[[#This Row],[Scenario_MRF_Bale_ID]],7)</f>
        <v>2000-03</v>
      </c>
      <c r="AK516" s="181" t="str">
        <f>INDEX(Bales[Bale_Name],MATCH(SecondaryTransport[[#This Row],[Bale_ID]],Bales[Bale_ID],0))</f>
        <v>HDPE #2 natural bottles </v>
      </c>
      <c r="AL516" s="443">
        <f>INDEX(BaleMover[Total_Baled_tons],MATCH(SecondaryTransport[[#This Row],[Scenario_MRF_Bale_ID]],BaleMover[Scenario_MRF_Bale_ID],0))</f>
        <v>100.78724107062199</v>
      </c>
      <c r="AM516" s="443">
        <f>IF(INDEX(BaleMover[Miles],MATCH(SecondaryTransport[[#This Row],[Scenario_MRF_Bale_ID]],BaleMover[Scenario_MRF_Bale_ID],0))="",0,INDEX(BaleMover[Miles],MATCH(SecondaryTransport[[#This Row],[Scenario_MRF_Bale_ID]],BaleMover[Scenario_MRF_Bale_ID],0)))</f>
        <v>915</v>
      </c>
      <c r="AN516" s="251">
        <f>IF(SecondaryTransport[[#This Row],[Bale_ID]]="9000-01","costs elsewhere",SecondaryTransport[[#This Row],[Total_Baled_tons]]*SecondaryTransport[[#This Row],[Miles]])</f>
        <v>92220.325579619122</v>
      </c>
      <c r="AO516" s="352" t="str">
        <f>IF(LEFT(SecondaryTransport[[#This Row],[Bale_ID]],1)*1=5,IF(OR(SecondaryTransport[[#This Row],[MRF_ID]]="02",SecondaryTransport[[#This Row],[MRF_ID]]="08"),2,1),"")</f>
        <v/>
      </c>
      <c r="AP5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6" s="224" t="str">
        <f>IFERROR(IF(1*LEFT(SecondaryTransport[[#This Row],[Bale_ID]],1)=5,SecondaryTransport[[#This Row],[Ton-Miles]]*SecondaryTransport[[#This Row],[Cost_Per_Ton-Mile]],""),"")</f>
        <v/>
      </c>
      <c r="AS516" s="224">
        <f>IFERROR(IF(SecondaryTransport[[#This Row],[Container_Transfer]]="",(SecondaryTransport[[#This Row],[Ton-Miles]]*SecondaryTransport[[#This Row],[Cost_Per_Ton-Mile]]),""),"")</f>
        <v>12910.845581146679</v>
      </c>
    </row>
    <row r="517" spans="12:45" ht="15" x14ac:dyDescent="0.25">
      <c r="L517" s="446" t="s">
        <v>874</v>
      </c>
      <c r="M517" s="446">
        <v>3</v>
      </c>
      <c r="N517" s="446">
        <v>2</v>
      </c>
      <c r="O517" s="448" t="s">
        <v>750</v>
      </c>
      <c r="P517" s="449" t="s">
        <v>700</v>
      </c>
      <c r="Q517" s="449"/>
      <c r="R517" s="449"/>
      <c r="S517" s="449" t="s">
        <v>963</v>
      </c>
      <c r="T517" s="449" t="s">
        <v>701</v>
      </c>
      <c r="U517" s="452">
        <v>0</v>
      </c>
      <c r="V5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7" s="272" t="str">
        <f>IFERROR(SUMIFS(TransUnitCost[Miles],TransUnitCost[Grouping_ID],TransTonsShort[[#This Row],[Grouping_ID]],TransUnitCost[Transp_ID],TransTonsShort[[#This Row],[Transp_ID]])*TransTonsShort[[#This Row],[Trans_Tons_All]]/TransTonsShort[[#This Row],[Trans_Tons_All]],"")</f>
        <v/>
      </c>
      <c r="X517" s="386" t="str">
        <f>TransTonsShort[[#This Row],[Grouping_ID]]&amp;"-"&amp;TransTonsShort[[#This Row],[Sector_ID]]</f>
        <v>3-2</v>
      </c>
      <c r="Y5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7" s="421">
        <f>INDEX(LandfillFees[Disposal Tip Fee 2025],MATCH(TransTonsShort[[#This Row],[Grouping_ID]],LandfillFees[Grouping_ID],0))</f>
        <v>72.030938699729589</v>
      </c>
      <c r="AA517" s="102">
        <f>IF(OR(TransTonsShort[[#This Row],[CollectionStream_ID]]="03",TransTonsShort[[#This Row],[CollectionStream_ID]]="04",TransTonsShort[[#This Row],[CollectionStream_ID]]="13"),0,TransTonsShort[[#This Row],[Trans_Tons_All]]*TransTonsShort[[#This Row],[Disposal_Fee]])</f>
        <v>0</v>
      </c>
      <c r="AF517" s="446" t="s">
        <v>1690</v>
      </c>
      <c r="AG517" s="442" t="str">
        <f>LEFT(SecondaryTransport[[#This Row],[Scenario_MRF_Bale_ID]],2)</f>
        <v>S1</v>
      </c>
      <c r="AH517" s="181" t="str">
        <f>LEFT(RIGHT(SecondaryTransport[[#This Row],[Scenario_MRF_Bale_ID]],10),2)</f>
        <v>13</v>
      </c>
      <c r="AI517" s="181" t="str">
        <f>INDEX(MRFs[MRF_Name],MATCH(SecondaryTransport[[#This Row],[MRF_ID]],MRFs[MRF_ID],0))</f>
        <v>Directly marketed (no sorting)</v>
      </c>
      <c r="AJ517" s="181" t="str">
        <f>RIGHT(SecondaryTransport[[#This Row],[Scenario_MRF_Bale_ID]],7)</f>
        <v>2000-03</v>
      </c>
      <c r="AK517" s="181" t="str">
        <f>INDEX(Bales[Bale_Name],MATCH(SecondaryTransport[[#This Row],[Bale_ID]],Bales[Bale_ID],0))</f>
        <v>HDPE #2 natural bottles </v>
      </c>
      <c r="AL517" s="443">
        <f>INDEX(BaleMover[Total_Baled_tons],MATCH(SecondaryTransport[[#This Row],[Scenario_MRF_Bale_ID]],BaleMover[Scenario_MRF_Bale_ID],0))</f>
        <v>100.78724107062199</v>
      </c>
      <c r="AM517" s="443">
        <f>IF(INDEX(BaleMover[Miles],MATCH(SecondaryTransport[[#This Row],[Scenario_MRF_Bale_ID]],BaleMover[Scenario_MRF_Bale_ID],0))="",0,INDEX(BaleMover[Miles],MATCH(SecondaryTransport[[#This Row],[Scenario_MRF_Bale_ID]],BaleMover[Scenario_MRF_Bale_ID],0)))</f>
        <v>915</v>
      </c>
      <c r="AN517" s="251">
        <f>IF(SecondaryTransport[[#This Row],[Bale_ID]]="9000-01","costs elsewhere",SecondaryTransport[[#This Row],[Total_Baled_tons]]*SecondaryTransport[[#This Row],[Miles]])</f>
        <v>92220.325579619122</v>
      </c>
      <c r="AO517" s="352" t="str">
        <f>IF(LEFT(SecondaryTransport[[#This Row],[Bale_ID]],1)*1=5,IF(OR(SecondaryTransport[[#This Row],[MRF_ID]]="02",SecondaryTransport[[#This Row],[MRF_ID]]="08"),2,1),"")</f>
        <v/>
      </c>
      <c r="AP5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7" s="224" t="str">
        <f>IFERROR(IF(1*LEFT(SecondaryTransport[[#This Row],[Bale_ID]],1)=5,SecondaryTransport[[#This Row],[Ton-Miles]]*SecondaryTransport[[#This Row],[Cost_Per_Ton-Mile]],""),"")</f>
        <v/>
      </c>
      <c r="AS517" s="224">
        <f>IFERROR(IF(SecondaryTransport[[#This Row],[Container_Transfer]]="",(SecondaryTransport[[#This Row],[Ton-Miles]]*SecondaryTransport[[#This Row],[Cost_Per_Ton-Mile]]),""),"")</f>
        <v>12910.845581146679</v>
      </c>
    </row>
    <row r="518" spans="12:45" ht="15" x14ac:dyDescent="0.25">
      <c r="L518" s="446" t="s">
        <v>874</v>
      </c>
      <c r="M518" s="446">
        <v>4</v>
      </c>
      <c r="N518" s="446">
        <v>2</v>
      </c>
      <c r="O518" s="448" t="s">
        <v>750</v>
      </c>
      <c r="P518" s="449" t="s">
        <v>700</v>
      </c>
      <c r="Q518" s="449"/>
      <c r="R518" s="449"/>
      <c r="S518" s="449" t="s">
        <v>963</v>
      </c>
      <c r="T518" s="449" t="s">
        <v>701</v>
      </c>
      <c r="U518" s="452">
        <v>0</v>
      </c>
      <c r="V5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8" s="272" t="str">
        <f>IFERROR(SUMIFS(TransUnitCost[Miles],TransUnitCost[Grouping_ID],TransTonsShort[[#This Row],[Grouping_ID]],TransUnitCost[Transp_ID],TransTonsShort[[#This Row],[Transp_ID]])*TransTonsShort[[#This Row],[Trans_Tons_All]]/TransTonsShort[[#This Row],[Trans_Tons_All]],"")</f>
        <v/>
      </c>
      <c r="X518" s="386" t="str">
        <f>TransTonsShort[[#This Row],[Grouping_ID]]&amp;"-"&amp;TransTonsShort[[#This Row],[Sector_ID]]</f>
        <v>4-2</v>
      </c>
      <c r="Y5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18" s="421">
        <f>INDEX(LandfillFees[Disposal Tip Fee 2025],MATCH(TransTonsShort[[#This Row],[Grouping_ID]],LandfillFees[Grouping_ID],0))</f>
        <v>72.030938699729589</v>
      </c>
      <c r="AA518" s="102">
        <f>IF(OR(TransTonsShort[[#This Row],[CollectionStream_ID]]="03",TransTonsShort[[#This Row],[CollectionStream_ID]]="04",TransTonsShort[[#This Row],[CollectionStream_ID]]="13"),0,TransTonsShort[[#This Row],[Trans_Tons_All]]*TransTonsShort[[#This Row],[Disposal_Fee]])</f>
        <v>0</v>
      </c>
      <c r="AF518" s="446" t="s">
        <v>1691</v>
      </c>
      <c r="AG518" s="442" t="str">
        <f>LEFT(SecondaryTransport[[#This Row],[Scenario_MRF_Bale_ID]],2)</f>
        <v>S2</v>
      </c>
      <c r="AH518" s="181" t="str">
        <f>LEFT(RIGHT(SecondaryTransport[[#This Row],[Scenario_MRF_Bale_ID]],10),2)</f>
        <v>13</v>
      </c>
      <c r="AI518" s="181" t="str">
        <f>INDEX(MRFs[MRF_Name],MATCH(SecondaryTransport[[#This Row],[MRF_ID]],MRFs[MRF_ID],0))</f>
        <v>Directly marketed (no sorting)</v>
      </c>
      <c r="AJ518" s="181" t="str">
        <f>RIGHT(SecondaryTransport[[#This Row],[Scenario_MRF_Bale_ID]],7)</f>
        <v>2000-03</v>
      </c>
      <c r="AK518" s="181" t="str">
        <f>INDEX(Bales[Bale_Name],MATCH(SecondaryTransport[[#This Row],[Bale_ID]],Bales[Bale_ID],0))</f>
        <v>HDPE #2 natural bottles </v>
      </c>
      <c r="AL518" s="443">
        <f>INDEX(BaleMover[Total_Baled_tons],MATCH(SecondaryTransport[[#This Row],[Scenario_MRF_Bale_ID]],BaleMover[Scenario_MRF_Bale_ID],0))</f>
        <v>100.78724107062199</v>
      </c>
      <c r="AM518" s="443">
        <f>IF(INDEX(BaleMover[Miles],MATCH(SecondaryTransport[[#This Row],[Scenario_MRF_Bale_ID]],BaleMover[Scenario_MRF_Bale_ID],0))="",0,INDEX(BaleMover[Miles],MATCH(SecondaryTransport[[#This Row],[Scenario_MRF_Bale_ID]],BaleMover[Scenario_MRF_Bale_ID],0)))</f>
        <v>915</v>
      </c>
      <c r="AN518" s="251">
        <f>IF(SecondaryTransport[[#This Row],[Bale_ID]]="9000-01","costs elsewhere",SecondaryTransport[[#This Row],[Total_Baled_tons]]*SecondaryTransport[[#This Row],[Miles]])</f>
        <v>92220.325579619122</v>
      </c>
      <c r="AO518" s="352" t="str">
        <f>IF(LEFT(SecondaryTransport[[#This Row],[Bale_ID]],1)*1=5,IF(OR(SecondaryTransport[[#This Row],[MRF_ID]]="02",SecondaryTransport[[#This Row],[MRF_ID]]="08"),2,1),"")</f>
        <v/>
      </c>
      <c r="AP5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8" s="224" t="str">
        <f>IFERROR(IF(1*LEFT(SecondaryTransport[[#This Row],[Bale_ID]],1)=5,SecondaryTransport[[#This Row],[Ton-Miles]]*SecondaryTransport[[#This Row],[Cost_Per_Ton-Mile]],""),"")</f>
        <v/>
      </c>
      <c r="AS518" s="224">
        <f>IFERROR(IF(SecondaryTransport[[#This Row],[Container_Transfer]]="",(SecondaryTransport[[#This Row],[Ton-Miles]]*SecondaryTransport[[#This Row],[Cost_Per_Ton-Mile]]),""),"")</f>
        <v>12910.845581146679</v>
      </c>
    </row>
    <row r="519" spans="12:45" ht="15" x14ac:dyDescent="0.25">
      <c r="L519" s="446" t="s">
        <v>873</v>
      </c>
      <c r="M519" s="446">
        <v>1</v>
      </c>
      <c r="N519" s="446">
        <v>2</v>
      </c>
      <c r="O519" s="448" t="s">
        <v>700</v>
      </c>
      <c r="P519" s="449" t="s">
        <v>719</v>
      </c>
      <c r="Q519" s="449"/>
      <c r="R519" s="449"/>
      <c r="S519" s="449" t="s">
        <v>872</v>
      </c>
      <c r="T519" s="449" t="s">
        <v>1055</v>
      </c>
      <c r="U519" s="452">
        <v>0</v>
      </c>
      <c r="V5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19" s="272" t="str">
        <f>IFERROR(SUMIFS(TransUnitCost[Miles],TransUnitCost[Grouping_ID],TransTonsShort[[#This Row],[Grouping_ID]],TransUnitCost[Transp_ID],TransTonsShort[[#This Row],[Transp_ID]])*TransTonsShort[[#This Row],[Trans_Tons_All]]/TransTonsShort[[#This Row],[Trans_Tons_All]],"")</f>
        <v/>
      </c>
      <c r="X519" s="386" t="str">
        <f>TransTonsShort[[#This Row],[Grouping_ID]]&amp;"-"&amp;TransTonsShort[[#This Row],[Sector_ID]]</f>
        <v>1-2</v>
      </c>
      <c r="Y5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19" s="421">
        <f>INDEX(LandfillFees[Disposal Tip Fee 2025],MATCH(TransTonsShort[[#This Row],[Grouping_ID]],LandfillFees[Grouping_ID],0))</f>
        <v>134.68</v>
      </c>
      <c r="AA519" s="102">
        <f>IF(OR(TransTonsShort[[#This Row],[CollectionStream_ID]]="03",TransTonsShort[[#This Row],[CollectionStream_ID]]="04",TransTonsShort[[#This Row],[CollectionStream_ID]]="13"),0,TransTonsShort[[#This Row],[Trans_Tons_All]]*TransTonsShort[[#This Row],[Disposal_Fee]])</f>
        <v>0</v>
      </c>
      <c r="AF519" s="446" t="s">
        <v>1692</v>
      </c>
      <c r="AG519" s="442" t="str">
        <f>LEFT(SecondaryTransport[[#This Row],[Scenario_MRF_Bale_ID]],2)</f>
        <v>S3</v>
      </c>
      <c r="AH519" s="181" t="str">
        <f>LEFT(RIGHT(SecondaryTransport[[#This Row],[Scenario_MRF_Bale_ID]],10),2)</f>
        <v>13</v>
      </c>
      <c r="AI519" s="181" t="str">
        <f>INDEX(MRFs[MRF_Name],MATCH(SecondaryTransport[[#This Row],[MRF_ID]],MRFs[MRF_ID],0))</f>
        <v>Directly marketed (no sorting)</v>
      </c>
      <c r="AJ519" s="181" t="str">
        <f>RIGHT(SecondaryTransport[[#This Row],[Scenario_MRF_Bale_ID]],7)</f>
        <v>2000-03</v>
      </c>
      <c r="AK519" s="181" t="str">
        <f>INDEX(Bales[Bale_Name],MATCH(SecondaryTransport[[#This Row],[Bale_ID]],Bales[Bale_ID],0))</f>
        <v>HDPE #2 natural bottles </v>
      </c>
      <c r="AL519" s="443">
        <f>INDEX(BaleMover[Total_Baled_tons],MATCH(SecondaryTransport[[#This Row],[Scenario_MRF_Bale_ID]],BaleMover[Scenario_MRF_Bale_ID],0))</f>
        <v>100.78724107062199</v>
      </c>
      <c r="AM519" s="443">
        <f>IF(INDEX(BaleMover[Miles],MATCH(SecondaryTransport[[#This Row],[Scenario_MRF_Bale_ID]],BaleMover[Scenario_MRF_Bale_ID],0))="",0,INDEX(BaleMover[Miles],MATCH(SecondaryTransport[[#This Row],[Scenario_MRF_Bale_ID]],BaleMover[Scenario_MRF_Bale_ID],0)))</f>
        <v>915</v>
      </c>
      <c r="AN519" s="251">
        <f>IF(SecondaryTransport[[#This Row],[Bale_ID]]="9000-01","costs elsewhere",SecondaryTransport[[#This Row],[Total_Baled_tons]]*SecondaryTransport[[#This Row],[Miles]])</f>
        <v>92220.325579619122</v>
      </c>
      <c r="AO519" s="352" t="str">
        <f>IF(LEFT(SecondaryTransport[[#This Row],[Bale_ID]],1)*1=5,IF(OR(SecondaryTransport[[#This Row],[MRF_ID]]="02",SecondaryTransport[[#This Row],[MRF_ID]]="08"),2,1),"")</f>
        <v/>
      </c>
      <c r="AP5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1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19" s="224" t="str">
        <f>IFERROR(IF(1*LEFT(SecondaryTransport[[#This Row],[Bale_ID]],1)=5,SecondaryTransport[[#This Row],[Ton-Miles]]*SecondaryTransport[[#This Row],[Cost_Per_Ton-Mile]],""),"")</f>
        <v/>
      </c>
      <c r="AS519" s="224">
        <f>IFERROR(IF(SecondaryTransport[[#This Row],[Container_Transfer]]="",(SecondaryTransport[[#This Row],[Ton-Miles]]*SecondaryTransport[[#This Row],[Cost_Per_Ton-Mile]]),""),"")</f>
        <v>12910.845581146679</v>
      </c>
    </row>
    <row r="520" spans="12:45" ht="15" x14ac:dyDescent="0.25">
      <c r="L520" s="446" t="s">
        <v>873</v>
      </c>
      <c r="M520" s="446">
        <v>2</v>
      </c>
      <c r="N520" s="446">
        <v>2</v>
      </c>
      <c r="O520" s="448" t="s">
        <v>700</v>
      </c>
      <c r="P520" s="449" t="s">
        <v>719</v>
      </c>
      <c r="Q520" s="449"/>
      <c r="R520" s="449"/>
      <c r="S520" s="449" t="s">
        <v>872</v>
      </c>
      <c r="T520" s="449" t="s">
        <v>1055</v>
      </c>
      <c r="U520" s="452">
        <v>0</v>
      </c>
      <c r="V5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0" s="272" t="str">
        <f>IFERROR(SUMIFS(TransUnitCost[Miles],TransUnitCost[Grouping_ID],TransTonsShort[[#This Row],[Grouping_ID]],TransUnitCost[Transp_ID],TransTonsShort[[#This Row],[Transp_ID]])*TransTonsShort[[#This Row],[Trans_Tons_All]]/TransTonsShort[[#This Row],[Trans_Tons_All]],"")</f>
        <v/>
      </c>
      <c r="X520" s="386" t="str">
        <f>TransTonsShort[[#This Row],[Grouping_ID]]&amp;"-"&amp;TransTonsShort[[#This Row],[Sector_ID]]</f>
        <v>2-2</v>
      </c>
      <c r="Y5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0" s="421">
        <f>INDEX(LandfillFees[Disposal Tip Fee 2025],MATCH(TransTonsShort[[#This Row],[Grouping_ID]],LandfillFees[Grouping_ID],0))</f>
        <v>72.030938699729589</v>
      </c>
      <c r="AA520" s="102">
        <f>IF(OR(TransTonsShort[[#This Row],[CollectionStream_ID]]="03",TransTonsShort[[#This Row],[CollectionStream_ID]]="04",TransTonsShort[[#This Row],[CollectionStream_ID]]="13"),0,TransTonsShort[[#This Row],[Trans_Tons_All]]*TransTonsShort[[#This Row],[Disposal_Fee]])</f>
        <v>0</v>
      </c>
      <c r="AF520" s="446" t="s">
        <v>1693</v>
      </c>
      <c r="AG520" s="442" t="str">
        <f>LEFT(SecondaryTransport[[#This Row],[Scenario_MRF_Bale_ID]],2)</f>
        <v>S4</v>
      </c>
      <c r="AH520" s="181" t="str">
        <f>LEFT(RIGHT(SecondaryTransport[[#This Row],[Scenario_MRF_Bale_ID]],10),2)</f>
        <v>13</v>
      </c>
      <c r="AI520" s="181" t="str">
        <f>INDEX(MRFs[MRF_Name],MATCH(SecondaryTransport[[#This Row],[MRF_ID]],MRFs[MRF_ID],0))</f>
        <v>Directly marketed (no sorting)</v>
      </c>
      <c r="AJ520" s="181" t="str">
        <f>RIGHT(SecondaryTransport[[#This Row],[Scenario_MRF_Bale_ID]],7)</f>
        <v>2000-03</v>
      </c>
      <c r="AK520" s="181" t="str">
        <f>INDEX(Bales[Bale_Name],MATCH(SecondaryTransport[[#This Row],[Bale_ID]],Bales[Bale_ID],0))</f>
        <v>HDPE #2 natural bottles </v>
      </c>
      <c r="AL520" s="443">
        <f>INDEX(BaleMover[Total_Baled_tons],MATCH(SecondaryTransport[[#This Row],[Scenario_MRF_Bale_ID]],BaleMover[Scenario_MRF_Bale_ID],0))</f>
        <v>100.78724107062199</v>
      </c>
      <c r="AM520" s="443">
        <f>IF(INDEX(BaleMover[Miles],MATCH(SecondaryTransport[[#This Row],[Scenario_MRF_Bale_ID]],BaleMover[Scenario_MRF_Bale_ID],0))="",0,INDEX(BaleMover[Miles],MATCH(SecondaryTransport[[#This Row],[Scenario_MRF_Bale_ID]],BaleMover[Scenario_MRF_Bale_ID],0)))</f>
        <v>915</v>
      </c>
      <c r="AN520" s="251">
        <f>IF(SecondaryTransport[[#This Row],[Bale_ID]]="9000-01","costs elsewhere",SecondaryTransport[[#This Row],[Total_Baled_tons]]*SecondaryTransport[[#This Row],[Miles]])</f>
        <v>92220.325579619122</v>
      </c>
      <c r="AO520" s="352" t="str">
        <f>IF(LEFT(SecondaryTransport[[#This Row],[Bale_ID]],1)*1=5,IF(OR(SecondaryTransport[[#This Row],[MRF_ID]]="02",SecondaryTransport[[#This Row],[MRF_ID]]="08"),2,1),"")</f>
        <v/>
      </c>
      <c r="AP5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0" s="224" t="str">
        <f>IFERROR(IF(1*LEFT(SecondaryTransport[[#This Row],[Bale_ID]],1)=5,SecondaryTransport[[#This Row],[Ton-Miles]]*SecondaryTransport[[#This Row],[Cost_Per_Ton-Mile]],""),"")</f>
        <v/>
      </c>
      <c r="AS520" s="224">
        <f>IFERROR(IF(SecondaryTransport[[#This Row],[Container_Transfer]]="",(SecondaryTransport[[#This Row],[Ton-Miles]]*SecondaryTransport[[#This Row],[Cost_Per_Ton-Mile]]),""),"")</f>
        <v>12910.845581146679</v>
      </c>
    </row>
    <row r="521" spans="12:45" ht="15" x14ac:dyDescent="0.25">
      <c r="L521" s="446" t="s">
        <v>873</v>
      </c>
      <c r="M521" s="446">
        <v>3</v>
      </c>
      <c r="N521" s="446">
        <v>2</v>
      </c>
      <c r="O521" s="448" t="s">
        <v>700</v>
      </c>
      <c r="P521" s="449" t="s">
        <v>719</v>
      </c>
      <c r="Q521" s="449"/>
      <c r="R521" s="449"/>
      <c r="S521" s="449" t="s">
        <v>872</v>
      </c>
      <c r="T521" s="449" t="s">
        <v>1055</v>
      </c>
      <c r="U521" s="452">
        <v>0</v>
      </c>
      <c r="V5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1" s="272" t="str">
        <f>IFERROR(SUMIFS(TransUnitCost[Miles],TransUnitCost[Grouping_ID],TransTonsShort[[#This Row],[Grouping_ID]],TransUnitCost[Transp_ID],TransTonsShort[[#This Row],[Transp_ID]])*TransTonsShort[[#This Row],[Trans_Tons_All]]/TransTonsShort[[#This Row],[Trans_Tons_All]],"")</f>
        <v/>
      </c>
      <c r="X521" s="386" t="str">
        <f>TransTonsShort[[#This Row],[Grouping_ID]]&amp;"-"&amp;TransTonsShort[[#This Row],[Sector_ID]]</f>
        <v>3-2</v>
      </c>
      <c r="Y5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1" s="421">
        <f>INDEX(LandfillFees[Disposal Tip Fee 2025],MATCH(TransTonsShort[[#This Row],[Grouping_ID]],LandfillFees[Grouping_ID],0))</f>
        <v>72.030938699729589</v>
      </c>
      <c r="AA521" s="102">
        <f>IF(OR(TransTonsShort[[#This Row],[CollectionStream_ID]]="03",TransTonsShort[[#This Row],[CollectionStream_ID]]="04",TransTonsShort[[#This Row],[CollectionStream_ID]]="13"),0,TransTonsShort[[#This Row],[Trans_Tons_All]]*TransTonsShort[[#This Row],[Disposal_Fee]])</f>
        <v>0</v>
      </c>
      <c r="AF521" s="446" t="s">
        <v>1694</v>
      </c>
      <c r="AG521" s="442" t="str">
        <f>LEFT(SecondaryTransport[[#This Row],[Scenario_MRF_Bale_ID]],2)</f>
        <v>S0</v>
      </c>
      <c r="AH521" s="181" t="str">
        <f>LEFT(RIGHT(SecondaryTransport[[#This Row],[Scenario_MRF_Bale_ID]],10),2)</f>
        <v>13</v>
      </c>
      <c r="AI521" s="181" t="str">
        <f>INDEX(MRFs[MRF_Name],MATCH(SecondaryTransport[[#This Row],[MRF_ID]],MRFs[MRF_ID],0))</f>
        <v>Directly marketed (no sorting)</v>
      </c>
      <c r="AJ521" s="181" t="str">
        <f>RIGHT(SecondaryTransport[[#This Row],[Scenario_MRF_Bale_ID]],7)</f>
        <v>2000-04</v>
      </c>
      <c r="AK521" s="181" t="str">
        <f>INDEX(Bales[Bale_Name],MATCH(SecondaryTransport[[#This Row],[Bale_ID]],Bales[Bale_ID],0))</f>
        <v>HDPE #2 colored bottles </v>
      </c>
      <c r="AL521" s="443">
        <f>INDEX(BaleMover[Total_Baled_tons],MATCH(SecondaryTransport[[#This Row],[Scenario_MRF_Bale_ID]],BaleMover[Scenario_MRF_Bale_ID],0))</f>
        <v>151.18086160593299</v>
      </c>
      <c r="AM521" s="443">
        <f>IF(INDEX(BaleMover[Miles],MATCH(SecondaryTransport[[#This Row],[Scenario_MRF_Bale_ID]],BaleMover[Scenario_MRF_Bale_ID],0))="",0,INDEX(BaleMover[Miles],MATCH(SecondaryTransport[[#This Row],[Scenario_MRF_Bale_ID]],BaleMover[Scenario_MRF_Bale_ID],0)))</f>
        <v>915</v>
      </c>
      <c r="AN521" s="251">
        <f>IF(SecondaryTransport[[#This Row],[Bale_ID]]="9000-01","costs elsewhere",SecondaryTransport[[#This Row],[Total_Baled_tons]]*SecondaryTransport[[#This Row],[Miles]])</f>
        <v>138330.4883694287</v>
      </c>
      <c r="AO521" s="352" t="str">
        <f>IF(LEFT(SecondaryTransport[[#This Row],[Bale_ID]],1)*1=5,IF(OR(SecondaryTransport[[#This Row],[MRF_ID]]="02",SecondaryTransport[[#This Row],[MRF_ID]]="08"),2,1),"")</f>
        <v/>
      </c>
      <c r="AP5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1" s="224" t="str">
        <f>IFERROR(IF(1*LEFT(SecondaryTransport[[#This Row],[Bale_ID]],1)=5,SecondaryTransport[[#This Row],[Ton-Miles]]*SecondaryTransport[[#This Row],[Cost_Per_Ton-Mile]],""),"")</f>
        <v/>
      </c>
      <c r="AS521" s="224">
        <f>IFERROR(IF(SecondaryTransport[[#This Row],[Container_Transfer]]="",(SecondaryTransport[[#This Row],[Ton-Miles]]*SecondaryTransport[[#This Row],[Cost_Per_Ton-Mile]]),""),"")</f>
        <v>19366.26837172002</v>
      </c>
    </row>
    <row r="522" spans="12:45" ht="15" x14ac:dyDescent="0.25">
      <c r="L522" s="446" t="s">
        <v>873</v>
      </c>
      <c r="M522" s="446">
        <v>4</v>
      </c>
      <c r="N522" s="446">
        <v>2</v>
      </c>
      <c r="O522" s="448" t="s">
        <v>700</v>
      </c>
      <c r="P522" s="449" t="s">
        <v>719</v>
      </c>
      <c r="Q522" s="449"/>
      <c r="R522" s="449"/>
      <c r="S522" s="449" t="s">
        <v>872</v>
      </c>
      <c r="T522" s="449" t="s">
        <v>1055</v>
      </c>
      <c r="U522" s="452">
        <v>0</v>
      </c>
      <c r="V5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2" s="272" t="str">
        <f>IFERROR(SUMIFS(TransUnitCost[Miles],TransUnitCost[Grouping_ID],TransTonsShort[[#This Row],[Grouping_ID]],TransUnitCost[Transp_ID],TransTonsShort[[#This Row],[Transp_ID]])*TransTonsShort[[#This Row],[Trans_Tons_All]]/TransTonsShort[[#This Row],[Trans_Tons_All]],"")</f>
        <v/>
      </c>
      <c r="X522" s="386" t="str">
        <f>TransTonsShort[[#This Row],[Grouping_ID]]&amp;"-"&amp;TransTonsShort[[#This Row],[Sector_ID]]</f>
        <v>4-2</v>
      </c>
      <c r="Y5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2" s="421">
        <f>INDEX(LandfillFees[Disposal Tip Fee 2025],MATCH(TransTonsShort[[#This Row],[Grouping_ID]],LandfillFees[Grouping_ID],0))</f>
        <v>72.030938699729589</v>
      </c>
      <c r="AA522" s="102">
        <f>IF(OR(TransTonsShort[[#This Row],[CollectionStream_ID]]="03",TransTonsShort[[#This Row],[CollectionStream_ID]]="04",TransTonsShort[[#This Row],[CollectionStream_ID]]="13"),0,TransTonsShort[[#This Row],[Trans_Tons_All]]*TransTonsShort[[#This Row],[Disposal_Fee]])</f>
        <v>0</v>
      </c>
      <c r="AF522" s="446" t="s">
        <v>1695</v>
      </c>
      <c r="AG522" s="442" t="str">
        <f>LEFT(SecondaryTransport[[#This Row],[Scenario_MRF_Bale_ID]],2)</f>
        <v>S1</v>
      </c>
      <c r="AH522" s="181" t="str">
        <f>LEFT(RIGHT(SecondaryTransport[[#This Row],[Scenario_MRF_Bale_ID]],10),2)</f>
        <v>13</v>
      </c>
      <c r="AI522" s="181" t="str">
        <f>INDEX(MRFs[MRF_Name],MATCH(SecondaryTransport[[#This Row],[MRF_ID]],MRFs[MRF_ID],0))</f>
        <v>Directly marketed (no sorting)</v>
      </c>
      <c r="AJ522" s="181" t="str">
        <f>RIGHT(SecondaryTransport[[#This Row],[Scenario_MRF_Bale_ID]],7)</f>
        <v>2000-04</v>
      </c>
      <c r="AK522" s="181" t="str">
        <f>INDEX(Bales[Bale_Name],MATCH(SecondaryTransport[[#This Row],[Bale_ID]],Bales[Bale_ID],0))</f>
        <v>HDPE #2 colored bottles </v>
      </c>
      <c r="AL522" s="443">
        <f>INDEX(BaleMover[Total_Baled_tons],MATCH(SecondaryTransport[[#This Row],[Scenario_MRF_Bale_ID]],BaleMover[Scenario_MRF_Bale_ID],0))</f>
        <v>151.18086160593299</v>
      </c>
      <c r="AM522" s="443">
        <f>IF(INDEX(BaleMover[Miles],MATCH(SecondaryTransport[[#This Row],[Scenario_MRF_Bale_ID]],BaleMover[Scenario_MRF_Bale_ID],0))="",0,INDEX(BaleMover[Miles],MATCH(SecondaryTransport[[#This Row],[Scenario_MRF_Bale_ID]],BaleMover[Scenario_MRF_Bale_ID],0)))</f>
        <v>915</v>
      </c>
      <c r="AN522" s="251">
        <f>IF(SecondaryTransport[[#This Row],[Bale_ID]]="9000-01","costs elsewhere",SecondaryTransport[[#This Row],[Total_Baled_tons]]*SecondaryTransport[[#This Row],[Miles]])</f>
        <v>138330.4883694287</v>
      </c>
      <c r="AO522" s="352" t="str">
        <f>IF(LEFT(SecondaryTransport[[#This Row],[Bale_ID]],1)*1=5,IF(OR(SecondaryTransport[[#This Row],[MRF_ID]]="02",SecondaryTransport[[#This Row],[MRF_ID]]="08"),2,1),"")</f>
        <v/>
      </c>
      <c r="AP5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2" s="224" t="str">
        <f>IFERROR(IF(1*LEFT(SecondaryTransport[[#This Row],[Bale_ID]],1)=5,SecondaryTransport[[#This Row],[Ton-Miles]]*SecondaryTransport[[#This Row],[Cost_Per_Ton-Mile]],""),"")</f>
        <v/>
      </c>
      <c r="AS522" s="224">
        <f>IFERROR(IF(SecondaryTransport[[#This Row],[Container_Transfer]]="",(SecondaryTransport[[#This Row],[Ton-Miles]]*SecondaryTransport[[#This Row],[Cost_Per_Ton-Mile]]),""),"")</f>
        <v>19366.26837172002</v>
      </c>
    </row>
    <row r="523" spans="12:45" ht="15" x14ac:dyDescent="0.25">
      <c r="L523" s="446" t="s">
        <v>873</v>
      </c>
      <c r="M523" s="446">
        <v>1</v>
      </c>
      <c r="N523" s="446">
        <v>2</v>
      </c>
      <c r="O523" s="446" t="s">
        <v>700</v>
      </c>
      <c r="P523" s="449" t="s">
        <v>700</v>
      </c>
      <c r="Q523" s="449"/>
      <c r="R523" s="449"/>
      <c r="S523" s="449" t="s">
        <v>872</v>
      </c>
      <c r="T523" s="449" t="s">
        <v>701</v>
      </c>
      <c r="U523" s="452">
        <v>15087.167779040687</v>
      </c>
      <c r="V5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3" s="272">
        <f>IFERROR(SUMIFS(TransUnitCost[Miles],TransUnitCost[Grouping_ID],TransTonsShort[[#This Row],[Grouping_ID]],TransUnitCost[Transp_ID],TransTonsShort[[#This Row],[Transp_ID]])*TransTonsShort[[#This Row],[Trans_Tons_All]]/TransTonsShort[[#This Row],[Trans_Tons_All]],"")</f>
        <v>0</v>
      </c>
      <c r="X523" s="386" t="str">
        <f>TransTonsShort[[#This Row],[Grouping_ID]]&amp;"-"&amp;TransTonsShort[[#This Row],[Sector_ID]]</f>
        <v>1-2</v>
      </c>
      <c r="Y5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3" s="421">
        <f>INDEX(LandfillFees[Disposal Tip Fee 2025],MATCH(TransTonsShort[[#This Row],[Grouping_ID]],LandfillFees[Grouping_ID],0))</f>
        <v>134.68</v>
      </c>
      <c r="AA523" s="102">
        <f>IF(OR(TransTonsShort[[#This Row],[CollectionStream_ID]]="03",TransTonsShort[[#This Row],[CollectionStream_ID]]="04",TransTonsShort[[#This Row],[CollectionStream_ID]]="13"),0,TransTonsShort[[#This Row],[Trans_Tons_All]]*TransTonsShort[[#This Row],[Disposal_Fee]])</f>
        <v>2031939.7564811998</v>
      </c>
      <c r="AF523" s="446" t="s">
        <v>1696</v>
      </c>
      <c r="AG523" s="442" t="str">
        <f>LEFT(SecondaryTransport[[#This Row],[Scenario_MRF_Bale_ID]],2)</f>
        <v>S2</v>
      </c>
      <c r="AH523" s="181" t="str">
        <f>LEFT(RIGHT(SecondaryTransport[[#This Row],[Scenario_MRF_Bale_ID]],10),2)</f>
        <v>13</v>
      </c>
      <c r="AI523" s="181" t="str">
        <f>INDEX(MRFs[MRF_Name],MATCH(SecondaryTransport[[#This Row],[MRF_ID]],MRFs[MRF_ID],0))</f>
        <v>Directly marketed (no sorting)</v>
      </c>
      <c r="AJ523" s="181" t="str">
        <f>RIGHT(SecondaryTransport[[#This Row],[Scenario_MRF_Bale_ID]],7)</f>
        <v>2000-04</v>
      </c>
      <c r="AK523" s="181" t="str">
        <f>INDEX(Bales[Bale_Name],MATCH(SecondaryTransport[[#This Row],[Bale_ID]],Bales[Bale_ID],0))</f>
        <v>HDPE #2 colored bottles </v>
      </c>
      <c r="AL523" s="443">
        <f>INDEX(BaleMover[Total_Baled_tons],MATCH(SecondaryTransport[[#This Row],[Scenario_MRF_Bale_ID]],BaleMover[Scenario_MRF_Bale_ID],0))</f>
        <v>151.18086160593296</v>
      </c>
      <c r="AM523" s="443">
        <f>IF(INDEX(BaleMover[Miles],MATCH(SecondaryTransport[[#This Row],[Scenario_MRF_Bale_ID]],BaleMover[Scenario_MRF_Bale_ID],0))="",0,INDEX(BaleMover[Miles],MATCH(SecondaryTransport[[#This Row],[Scenario_MRF_Bale_ID]],BaleMover[Scenario_MRF_Bale_ID],0)))</f>
        <v>915</v>
      </c>
      <c r="AN523" s="251">
        <f>IF(SecondaryTransport[[#This Row],[Bale_ID]]="9000-01","costs elsewhere",SecondaryTransport[[#This Row],[Total_Baled_tons]]*SecondaryTransport[[#This Row],[Miles]])</f>
        <v>138330.48836942867</v>
      </c>
      <c r="AO523" s="352" t="str">
        <f>IF(LEFT(SecondaryTransport[[#This Row],[Bale_ID]],1)*1=5,IF(OR(SecondaryTransport[[#This Row],[MRF_ID]]="02",SecondaryTransport[[#This Row],[MRF_ID]]="08"),2,1),"")</f>
        <v/>
      </c>
      <c r="AP5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3" s="224" t="str">
        <f>IFERROR(IF(1*LEFT(SecondaryTransport[[#This Row],[Bale_ID]],1)=5,SecondaryTransport[[#This Row],[Ton-Miles]]*SecondaryTransport[[#This Row],[Cost_Per_Ton-Mile]],""),"")</f>
        <v/>
      </c>
      <c r="AS523" s="224">
        <f>IFERROR(IF(SecondaryTransport[[#This Row],[Container_Transfer]]="",(SecondaryTransport[[#This Row],[Ton-Miles]]*SecondaryTransport[[#This Row],[Cost_Per_Ton-Mile]]),""),"")</f>
        <v>19366.268371720016</v>
      </c>
    </row>
    <row r="524" spans="12:45" ht="15" x14ac:dyDescent="0.25">
      <c r="L524" s="446" t="s">
        <v>873</v>
      </c>
      <c r="M524" s="446">
        <v>2</v>
      </c>
      <c r="N524" s="446">
        <v>2</v>
      </c>
      <c r="O524" s="446" t="s">
        <v>700</v>
      </c>
      <c r="P524" s="449" t="s">
        <v>700</v>
      </c>
      <c r="Q524" s="449"/>
      <c r="R524" s="449"/>
      <c r="S524" s="449" t="s">
        <v>872</v>
      </c>
      <c r="T524" s="449" t="s">
        <v>701</v>
      </c>
      <c r="U524" s="452">
        <v>3099.9511911286327</v>
      </c>
      <c r="V5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4" s="272">
        <f>IFERROR(SUMIFS(TransUnitCost[Miles],TransUnitCost[Grouping_ID],TransTonsShort[[#This Row],[Grouping_ID]],TransUnitCost[Transp_ID],TransTonsShort[[#This Row],[Transp_ID]])*TransTonsShort[[#This Row],[Trans_Tons_All]]/TransTonsShort[[#This Row],[Trans_Tons_All]],"")</f>
        <v>0</v>
      </c>
      <c r="X524" s="386" t="str">
        <f>TransTonsShort[[#This Row],[Grouping_ID]]&amp;"-"&amp;TransTonsShort[[#This Row],[Sector_ID]]</f>
        <v>2-2</v>
      </c>
      <c r="Y5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4" s="421">
        <f>INDEX(LandfillFees[Disposal Tip Fee 2025],MATCH(TransTonsShort[[#This Row],[Grouping_ID]],LandfillFees[Grouping_ID],0))</f>
        <v>72.030938699729589</v>
      </c>
      <c r="AA524" s="102">
        <f>IF(OR(TransTonsShort[[#This Row],[CollectionStream_ID]]="03",TransTonsShort[[#This Row],[CollectionStream_ID]]="04",TransTonsShort[[#This Row],[CollectionStream_ID]]="13"),0,TransTonsShort[[#This Row],[Trans_Tons_All]]*TransTonsShort[[#This Row],[Disposal_Fee]])</f>
        <v>223292.39422034027</v>
      </c>
      <c r="AF524" s="446" t="s">
        <v>1697</v>
      </c>
      <c r="AG524" s="442" t="str">
        <f>LEFT(SecondaryTransport[[#This Row],[Scenario_MRF_Bale_ID]],2)</f>
        <v>S3</v>
      </c>
      <c r="AH524" s="181" t="str">
        <f>LEFT(RIGHT(SecondaryTransport[[#This Row],[Scenario_MRF_Bale_ID]],10),2)</f>
        <v>13</v>
      </c>
      <c r="AI524" s="181" t="str">
        <f>INDEX(MRFs[MRF_Name],MATCH(SecondaryTransport[[#This Row],[MRF_ID]],MRFs[MRF_ID],0))</f>
        <v>Directly marketed (no sorting)</v>
      </c>
      <c r="AJ524" s="181" t="str">
        <f>RIGHT(SecondaryTransport[[#This Row],[Scenario_MRF_Bale_ID]],7)</f>
        <v>2000-04</v>
      </c>
      <c r="AK524" s="181" t="str">
        <f>INDEX(Bales[Bale_Name],MATCH(SecondaryTransport[[#This Row],[Bale_ID]],Bales[Bale_ID],0))</f>
        <v>HDPE #2 colored bottles </v>
      </c>
      <c r="AL524" s="443">
        <f>INDEX(BaleMover[Total_Baled_tons],MATCH(SecondaryTransport[[#This Row],[Scenario_MRF_Bale_ID]],BaleMover[Scenario_MRF_Bale_ID],0))</f>
        <v>151.18086160593296</v>
      </c>
      <c r="AM524" s="443">
        <f>IF(INDEX(BaleMover[Miles],MATCH(SecondaryTransport[[#This Row],[Scenario_MRF_Bale_ID]],BaleMover[Scenario_MRF_Bale_ID],0))="",0,INDEX(BaleMover[Miles],MATCH(SecondaryTransport[[#This Row],[Scenario_MRF_Bale_ID]],BaleMover[Scenario_MRF_Bale_ID],0)))</f>
        <v>915</v>
      </c>
      <c r="AN524" s="251">
        <f>IF(SecondaryTransport[[#This Row],[Bale_ID]]="9000-01","costs elsewhere",SecondaryTransport[[#This Row],[Total_Baled_tons]]*SecondaryTransport[[#This Row],[Miles]])</f>
        <v>138330.48836942867</v>
      </c>
      <c r="AO524" s="352" t="str">
        <f>IF(LEFT(SecondaryTransport[[#This Row],[Bale_ID]],1)*1=5,IF(OR(SecondaryTransport[[#This Row],[MRF_ID]]="02",SecondaryTransport[[#This Row],[MRF_ID]]="08"),2,1),"")</f>
        <v/>
      </c>
      <c r="AP5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4" s="224" t="str">
        <f>IFERROR(IF(1*LEFT(SecondaryTransport[[#This Row],[Bale_ID]],1)=5,SecondaryTransport[[#This Row],[Ton-Miles]]*SecondaryTransport[[#This Row],[Cost_Per_Ton-Mile]],""),"")</f>
        <v/>
      </c>
      <c r="AS524" s="224">
        <f>IFERROR(IF(SecondaryTransport[[#This Row],[Container_Transfer]]="",(SecondaryTransport[[#This Row],[Ton-Miles]]*SecondaryTransport[[#This Row],[Cost_Per_Ton-Mile]]),""),"")</f>
        <v>19366.268371720016</v>
      </c>
    </row>
    <row r="525" spans="12:45" ht="15" x14ac:dyDescent="0.25">
      <c r="L525" s="446" t="s">
        <v>873</v>
      </c>
      <c r="M525" s="446">
        <v>3</v>
      </c>
      <c r="N525" s="446">
        <v>2</v>
      </c>
      <c r="O525" s="446" t="s">
        <v>700</v>
      </c>
      <c r="P525" s="449" t="s">
        <v>700</v>
      </c>
      <c r="Q525" s="449"/>
      <c r="R525" s="449"/>
      <c r="S525" s="449" t="s">
        <v>872</v>
      </c>
      <c r="T525" s="449" t="s">
        <v>701</v>
      </c>
      <c r="U525" s="452">
        <v>0</v>
      </c>
      <c r="V5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5" s="272" t="str">
        <f>IFERROR(SUMIFS(TransUnitCost[Miles],TransUnitCost[Grouping_ID],TransTonsShort[[#This Row],[Grouping_ID]],TransUnitCost[Transp_ID],TransTonsShort[[#This Row],[Transp_ID]])*TransTonsShort[[#This Row],[Trans_Tons_All]]/TransTonsShort[[#This Row],[Trans_Tons_All]],"")</f>
        <v/>
      </c>
      <c r="X525" s="386" t="str">
        <f>TransTonsShort[[#This Row],[Grouping_ID]]&amp;"-"&amp;TransTonsShort[[#This Row],[Sector_ID]]</f>
        <v>3-2</v>
      </c>
      <c r="Y5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5" s="421">
        <f>INDEX(LandfillFees[Disposal Tip Fee 2025],MATCH(TransTonsShort[[#This Row],[Grouping_ID]],LandfillFees[Grouping_ID],0))</f>
        <v>72.030938699729589</v>
      </c>
      <c r="AA525" s="102">
        <f>IF(OR(TransTonsShort[[#This Row],[CollectionStream_ID]]="03",TransTonsShort[[#This Row],[CollectionStream_ID]]="04",TransTonsShort[[#This Row],[CollectionStream_ID]]="13"),0,TransTonsShort[[#This Row],[Trans_Tons_All]]*TransTonsShort[[#This Row],[Disposal_Fee]])</f>
        <v>0</v>
      </c>
      <c r="AF525" s="446" t="s">
        <v>1698</v>
      </c>
      <c r="AG525" s="442" t="str">
        <f>LEFT(SecondaryTransport[[#This Row],[Scenario_MRF_Bale_ID]],2)</f>
        <v>S4</v>
      </c>
      <c r="AH525" s="181" t="str">
        <f>LEFT(RIGHT(SecondaryTransport[[#This Row],[Scenario_MRF_Bale_ID]],10),2)</f>
        <v>13</v>
      </c>
      <c r="AI525" s="181" t="str">
        <f>INDEX(MRFs[MRF_Name],MATCH(SecondaryTransport[[#This Row],[MRF_ID]],MRFs[MRF_ID],0))</f>
        <v>Directly marketed (no sorting)</v>
      </c>
      <c r="AJ525" s="181" t="str">
        <f>RIGHT(SecondaryTransport[[#This Row],[Scenario_MRF_Bale_ID]],7)</f>
        <v>2000-04</v>
      </c>
      <c r="AK525" s="181" t="str">
        <f>INDEX(Bales[Bale_Name],MATCH(SecondaryTransport[[#This Row],[Bale_ID]],Bales[Bale_ID],0))</f>
        <v>HDPE #2 colored bottles </v>
      </c>
      <c r="AL525" s="443">
        <f>INDEX(BaleMover[Total_Baled_tons],MATCH(SecondaryTransport[[#This Row],[Scenario_MRF_Bale_ID]],BaleMover[Scenario_MRF_Bale_ID],0))</f>
        <v>151.18086160593296</v>
      </c>
      <c r="AM525" s="443">
        <f>IF(INDEX(BaleMover[Miles],MATCH(SecondaryTransport[[#This Row],[Scenario_MRF_Bale_ID]],BaleMover[Scenario_MRF_Bale_ID],0))="",0,INDEX(BaleMover[Miles],MATCH(SecondaryTransport[[#This Row],[Scenario_MRF_Bale_ID]],BaleMover[Scenario_MRF_Bale_ID],0)))</f>
        <v>915</v>
      </c>
      <c r="AN525" s="251">
        <f>IF(SecondaryTransport[[#This Row],[Bale_ID]]="9000-01","costs elsewhere",SecondaryTransport[[#This Row],[Total_Baled_tons]]*SecondaryTransport[[#This Row],[Miles]])</f>
        <v>138330.48836942867</v>
      </c>
      <c r="AO525" s="352" t="str">
        <f>IF(LEFT(SecondaryTransport[[#This Row],[Bale_ID]],1)*1=5,IF(OR(SecondaryTransport[[#This Row],[MRF_ID]]="02",SecondaryTransport[[#This Row],[MRF_ID]]="08"),2,1),"")</f>
        <v/>
      </c>
      <c r="AP5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25" s="224" t="str">
        <f>IFERROR(IF(1*LEFT(SecondaryTransport[[#This Row],[Bale_ID]],1)=5,SecondaryTransport[[#This Row],[Ton-Miles]]*SecondaryTransport[[#This Row],[Cost_Per_Ton-Mile]],""),"")</f>
        <v/>
      </c>
      <c r="AS525" s="224">
        <f>IFERROR(IF(SecondaryTransport[[#This Row],[Container_Transfer]]="",(SecondaryTransport[[#This Row],[Ton-Miles]]*SecondaryTransport[[#This Row],[Cost_Per_Ton-Mile]]),""),"")</f>
        <v>19366.268371720016</v>
      </c>
    </row>
    <row r="526" spans="12:45" ht="15" x14ac:dyDescent="0.25">
      <c r="L526" s="446" t="s">
        <v>873</v>
      </c>
      <c r="M526" s="446">
        <v>4</v>
      </c>
      <c r="N526" s="446">
        <v>2</v>
      </c>
      <c r="O526" s="446" t="s">
        <v>700</v>
      </c>
      <c r="P526" s="449" t="s">
        <v>700</v>
      </c>
      <c r="Q526" s="449"/>
      <c r="R526" s="449"/>
      <c r="S526" s="449" t="s">
        <v>872</v>
      </c>
      <c r="T526" s="449" t="s">
        <v>701</v>
      </c>
      <c r="U526" s="452">
        <v>0</v>
      </c>
      <c r="V5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26" s="272" t="str">
        <f>IFERROR(SUMIFS(TransUnitCost[Miles],TransUnitCost[Grouping_ID],TransTonsShort[[#This Row],[Grouping_ID]],TransUnitCost[Transp_ID],TransTonsShort[[#This Row],[Transp_ID]])*TransTonsShort[[#This Row],[Trans_Tons_All]]/TransTonsShort[[#This Row],[Trans_Tons_All]],"")</f>
        <v/>
      </c>
      <c r="X526" s="386" t="str">
        <f>TransTonsShort[[#This Row],[Grouping_ID]]&amp;"-"&amp;TransTonsShort[[#This Row],[Sector_ID]]</f>
        <v>4-2</v>
      </c>
      <c r="Y5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6" s="421">
        <f>INDEX(LandfillFees[Disposal Tip Fee 2025],MATCH(TransTonsShort[[#This Row],[Grouping_ID]],LandfillFees[Grouping_ID],0))</f>
        <v>72.030938699729589</v>
      </c>
      <c r="AA526" s="102">
        <f>IF(OR(TransTonsShort[[#This Row],[CollectionStream_ID]]="03",TransTonsShort[[#This Row],[CollectionStream_ID]]="04",TransTonsShort[[#This Row],[CollectionStream_ID]]="13"),0,TransTonsShort[[#This Row],[Trans_Tons_All]]*TransTonsShort[[#This Row],[Disposal_Fee]])</f>
        <v>0</v>
      </c>
      <c r="AF526" s="446" t="s">
        <v>1699</v>
      </c>
      <c r="AG526" s="442" t="str">
        <f>LEFT(SecondaryTransport[[#This Row],[Scenario_MRF_Bale_ID]],2)</f>
        <v>S0</v>
      </c>
      <c r="AH526" s="181" t="str">
        <f>LEFT(RIGHT(SecondaryTransport[[#This Row],[Scenario_MRF_Bale_ID]],10),2)</f>
        <v>13</v>
      </c>
      <c r="AI526" s="181" t="str">
        <f>INDEX(MRFs[MRF_Name],MATCH(SecondaryTransport[[#This Row],[MRF_ID]],MRFs[MRF_ID],0))</f>
        <v>Directly marketed (no sorting)</v>
      </c>
      <c r="AJ526" s="181" t="str">
        <f>RIGHT(SecondaryTransport[[#This Row],[Scenario_MRF_Bale_ID]],7)</f>
        <v>2000-05</v>
      </c>
      <c r="AK526" s="181" t="str">
        <f>INDEX(Bales[Bale_Name],MATCH(SecondaryTransport[[#This Row],[Bale_ID]],Bales[Bale_ID],0))</f>
        <v>HDPE #2 and PP #5 tubs </v>
      </c>
      <c r="AL526" s="443">
        <f>INDEX(BaleMover[Total_Baled_tons],MATCH(SecondaryTransport[[#This Row],[Scenario_MRF_Bale_ID]],BaleMover[Scenario_MRF_Bale_ID],0))</f>
        <v>61.120595602605142</v>
      </c>
      <c r="AM526" s="443">
        <f>IF(INDEX(BaleMover[Miles],MATCH(SecondaryTransport[[#This Row],[Scenario_MRF_Bale_ID]],BaleMover[Scenario_MRF_Bale_ID],0))="",0,INDEX(BaleMover[Miles],MATCH(SecondaryTransport[[#This Row],[Scenario_MRF_Bale_ID]],BaleMover[Scenario_MRF_Bale_ID],0)))</f>
        <v>50</v>
      </c>
      <c r="AN526" s="251">
        <f>IF(SecondaryTransport[[#This Row],[Bale_ID]]="9000-01","costs elsewhere",SecondaryTransport[[#This Row],[Total_Baled_tons]]*SecondaryTransport[[#This Row],[Miles]])</f>
        <v>3056.0297801302572</v>
      </c>
      <c r="AO526" s="352" t="str">
        <f>IF(LEFT(SecondaryTransport[[#This Row],[Bale_ID]],1)*1=5,IF(OR(SecondaryTransport[[#This Row],[MRF_ID]]="02",SecondaryTransport[[#This Row],[MRF_ID]]="08"),2,1),"")</f>
        <v/>
      </c>
      <c r="AP5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26" s="224" t="str">
        <f>IFERROR(IF(1*LEFT(SecondaryTransport[[#This Row],[Bale_ID]],1)=5,SecondaryTransport[[#This Row],[Ton-Miles]]*SecondaryTransport[[#This Row],[Cost_Per_Ton-Mile]],""),"")</f>
        <v/>
      </c>
      <c r="AS526" s="224">
        <f>IFERROR(IF(SecondaryTransport[[#This Row],[Container_Transfer]]="",(SecondaryTransport[[#This Row],[Ton-Miles]]*SecondaryTransport[[#This Row],[Cost_Per_Ton-Mile]]),""),"")</f>
        <v>947.36923184037971</v>
      </c>
    </row>
    <row r="527" spans="12:45" ht="15" x14ac:dyDescent="0.25">
      <c r="L527" s="446" t="s">
        <v>873</v>
      </c>
      <c r="M527" s="446">
        <v>1</v>
      </c>
      <c r="N527" s="446">
        <v>2</v>
      </c>
      <c r="O527" s="446" t="s">
        <v>700</v>
      </c>
      <c r="P527" s="449" t="s">
        <v>706</v>
      </c>
      <c r="Q527" s="449"/>
      <c r="R527" s="449"/>
      <c r="S527" s="449" t="s">
        <v>872</v>
      </c>
      <c r="T527" s="449" t="s">
        <v>1025</v>
      </c>
      <c r="U527" s="452">
        <v>1676.3519754489653</v>
      </c>
      <c r="V5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33527.039508979302</v>
      </c>
      <c r="W527" s="272">
        <f>IFERROR(SUMIFS(TransUnitCost[Miles],TransUnitCost[Grouping_ID],TransTonsShort[[#This Row],[Grouping_ID]],TransUnitCost[Transp_ID],TransTonsShort[[#This Row],[Transp_ID]])*TransTonsShort[[#This Row],[Trans_Tons_All]]/TransTonsShort[[#This Row],[Trans_Tons_All]],"")</f>
        <v>19.999999999999996</v>
      </c>
      <c r="X527" s="386" t="str">
        <f>TransTonsShort[[#This Row],[Grouping_ID]]&amp;"-"&amp;TransTonsShort[[#This Row],[Sector_ID]]</f>
        <v>1-2</v>
      </c>
      <c r="Y5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7" s="421">
        <f>INDEX(LandfillFees[Disposal Tip Fee 2025],MATCH(TransTonsShort[[#This Row],[Grouping_ID]],LandfillFees[Grouping_ID],0))</f>
        <v>134.68</v>
      </c>
      <c r="AA527" s="102">
        <f>IF(OR(TransTonsShort[[#This Row],[CollectionStream_ID]]="03",TransTonsShort[[#This Row],[CollectionStream_ID]]="04",TransTonsShort[[#This Row],[CollectionStream_ID]]="13"),0,TransTonsShort[[#This Row],[Trans_Tons_All]]*TransTonsShort[[#This Row],[Disposal_Fee]])</f>
        <v>225771.08405346665</v>
      </c>
      <c r="AF527" s="446" t="s">
        <v>1700</v>
      </c>
      <c r="AG527" s="442" t="str">
        <f>LEFT(SecondaryTransport[[#This Row],[Scenario_MRF_Bale_ID]],2)</f>
        <v>S1</v>
      </c>
      <c r="AH527" s="181" t="str">
        <f>LEFT(RIGHT(SecondaryTransport[[#This Row],[Scenario_MRF_Bale_ID]],10),2)</f>
        <v>13</v>
      </c>
      <c r="AI527" s="181" t="str">
        <f>INDEX(MRFs[MRF_Name],MATCH(SecondaryTransport[[#This Row],[MRF_ID]],MRFs[MRF_ID],0))</f>
        <v>Directly marketed (no sorting)</v>
      </c>
      <c r="AJ527" s="181" t="str">
        <f>RIGHT(SecondaryTransport[[#This Row],[Scenario_MRF_Bale_ID]],7)</f>
        <v>2000-05</v>
      </c>
      <c r="AK527" s="181" t="str">
        <f>INDEX(Bales[Bale_Name],MATCH(SecondaryTransport[[#This Row],[Bale_ID]],Bales[Bale_ID],0))</f>
        <v>HDPE #2 and PP #5 tubs </v>
      </c>
      <c r="AL527" s="443">
        <f>INDEX(BaleMover[Total_Baled_tons],MATCH(SecondaryTransport[[#This Row],[Scenario_MRF_Bale_ID]],BaleMover[Scenario_MRF_Bale_ID],0))</f>
        <v>61.120595602605142</v>
      </c>
      <c r="AM527" s="443">
        <f>IF(INDEX(BaleMover[Miles],MATCH(SecondaryTransport[[#This Row],[Scenario_MRF_Bale_ID]],BaleMover[Scenario_MRF_Bale_ID],0))="",0,INDEX(BaleMover[Miles],MATCH(SecondaryTransport[[#This Row],[Scenario_MRF_Bale_ID]],BaleMover[Scenario_MRF_Bale_ID],0)))</f>
        <v>50</v>
      </c>
      <c r="AN527" s="251">
        <f>IF(SecondaryTransport[[#This Row],[Bale_ID]]="9000-01","costs elsewhere",SecondaryTransport[[#This Row],[Total_Baled_tons]]*SecondaryTransport[[#This Row],[Miles]])</f>
        <v>3056.0297801302572</v>
      </c>
      <c r="AO527" s="352" t="str">
        <f>IF(LEFT(SecondaryTransport[[#This Row],[Bale_ID]],1)*1=5,IF(OR(SecondaryTransport[[#This Row],[MRF_ID]]="02",SecondaryTransport[[#This Row],[MRF_ID]]="08"),2,1),"")</f>
        <v/>
      </c>
      <c r="AP5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2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27" s="224" t="str">
        <f>IFERROR(IF(1*LEFT(SecondaryTransport[[#This Row],[Bale_ID]],1)=5,SecondaryTransport[[#This Row],[Ton-Miles]]*SecondaryTransport[[#This Row],[Cost_Per_Ton-Mile]],""),"")</f>
        <v/>
      </c>
      <c r="AS527" s="224">
        <f>IFERROR(IF(SecondaryTransport[[#This Row],[Container_Transfer]]="",(SecondaryTransport[[#This Row],[Ton-Miles]]*SecondaryTransport[[#This Row],[Cost_Per_Ton-Mile]]),""),"")</f>
        <v>947.36923184037971</v>
      </c>
    </row>
    <row r="528" spans="12:45" ht="15" x14ac:dyDescent="0.25">
      <c r="L528" s="446" t="s">
        <v>873</v>
      </c>
      <c r="M528" s="446">
        <v>2</v>
      </c>
      <c r="N528" s="446">
        <v>2</v>
      </c>
      <c r="O528" s="446" t="s">
        <v>700</v>
      </c>
      <c r="P528" s="449" t="s">
        <v>706</v>
      </c>
      <c r="Q528" s="449"/>
      <c r="R528" s="449"/>
      <c r="S528" s="449" t="s">
        <v>872</v>
      </c>
      <c r="T528" s="449" t="s">
        <v>1025</v>
      </c>
      <c r="U528" s="452">
        <v>1146.5572898694945</v>
      </c>
      <c r="V5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32103.604116345847</v>
      </c>
      <c r="W528" s="272">
        <f>IFERROR(SUMIFS(TransUnitCost[Miles],TransUnitCost[Grouping_ID],TransTonsShort[[#This Row],[Grouping_ID]],TransUnitCost[Transp_ID],TransTonsShort[[#This Row],[Transp_ID]])*TransTonsShort[[#This Row],[Trans_Tons_All]]/TransTonsShort[[#This Row],[Trans_Tons_All]],"")</f>
        <v>70</v>
      </c>
      <c r="X528" s="386" t="str">
        <f>TransTonsShort[[#This Row],[Grouping_ID]]&amp;"-"&amp;TransTonsShort[[#This Row],[Sector_ID]]</f>
        <v>2-2</v>
      </c>
      <c r="Y5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8" s="421">
        <f>INDEX(LandfillFees[Disposal Tip Fee 2025],MATCH(TransTonsShort[[#This Row],[Grouping_ID]],LandfillFees[Grouping_ID],0))</f>
        <v>72.030938699729589</v>
      </c>
      <c r="AA528" s="102">
        <f>IF(OR(TransTonsShort[[#This Row],[CollectionStream_ID]]="03",TransTonsShort[[#This Row],[CollectionStream_ID]]="04",TransTonsShort[[#This Row],[CollectionStream_ID]]="13"),0,TransTonsShort[[#This Row],[Trans_Tons_All]]*TransTonsShort[[#This Row],[Disposal_Fee]])</f>
        <v>82587.597862317649</v>
      </c>
      <c r="AF528" s="446" t="s">
        <v>1701</v>
      </c>
      <c r="AG528" s="442" t="str">
        <f>LEFT(SecondaryTransport[[#This Row],[Scenario_MRF_Bale_ID]],2)</f>
        <v>S2</v>
      </c>
      <c r="AH528" s="181" t="str">
        <f>LEFT(RIGHT(SecondaryTransport[[#This Row],[Scenario_MRF_Bale_ID]],10),2)</f>
        <v>13</v>
      </c>
      <c r="AI528" s="181" t="str">
        <f>INDEX(MRFs[MRF_Name],MATCH(SecondaryTransport[[#This Row],[MRF_ID]],MRFs[MRF_ID],0))</f>
        <v>Directly marketed (no sorting)</v>
      </c>
      <c r="AJ528" s="181" t="str">
        <f>RIGHT(SecondaryTransport[[#This Row],[Scenario_MRF_Bale_ID]],7)</f>
        <v>2000-05</v>
      </c>
      <c r="AK528" s="181" t="str">
        <f>INDEX(Bales[Bale_Name],MATCH(SecondaryTransport[[#This Row],[Bale_ID]],Bales[Bale_ID],0))</f>
        <v>HDPE #2 and PP #5 tubs </v>
      </c>
      <c r="AL528" s="443">
        <f>INDEX(BaleMover[Total_Baled_tons],MATCH(SecondaryTransport[[#This Row],[Scenario_MRF_Bale_ID]],BaleMover[Scenario_MRF_Bale_ID],0))</f>
        <v>61.120595602605142</v>
      </c>
      <c r="AM528" s="443">
        <f>IF(INDEX(BaleMover[Miles],MATCH(SecondaryTransport[[#This Row],[Scenario_MRF_Bale_ID]],BaleMover[Scenario_MRF_Bale_ID],0))="",0,INDEX(BaleMover[Miles],MATCH(SecondaryTransport[[#This Row],[Scenario_MRF_Bale_ID]],BaleMover[Scenario_MRF_Bale_ID],0)))</f>
        <v>50</v>
      </c>
      <c r="AN528" s="251">
        <f>IF(SecondaryTransport[[#This Row],[Bale_ID]]="9000-01","costs elsewhere",SecondaryTransport[[#This Row],[Total_Baled_tons]]*SecondaryTransport[[#This Row],[Miles]])</f>
        <v>3056.0297801302572</v>
      </c>
      <c r="AO528" s="352" t="str">
        <f>IF(LEFT(SecondaryTransport[[#This Row],[Bale_ID]],1)*1=5,IF(OR(SecondaryTransport[[#This Row],[MRF_ID]]="02",SecondaryTransport[[#This Row],[MRF_ID]]="08"),2,1),"")</f>
        <v/>
      </c>
      <c r="AP5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2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28" s="224" t="str">
        <f>IFERROR(IF(1*LEFT(SecondaryTransport[[#This Row],[Bale_ID]],1)=5,SecondaryTransport[[#This Row],[Ton-Miles]]*SecondaryTransport[[#This Row],[Cost_Per_Ton-Mile]],""),"")</f>
        <v/>
      </c>
      <c r="AS528" s="224">
        <f>IFERROR(IF(SecondaryTransport[[#This Row],[Container_Transfer]]="",(SecondaryTransport[[#This Row],[Ton-Miles]]*SecondaryTransport[[#This Row],[Cost_Per_Ton-Mile]]),""),"")</f>
        <v>947.36923184037971</v>
      </c>
    </row>
    <row r="529" spans="12:45" ht="15" x14ac:dyDescent="0.25">
      <c r="L529" s="446" t="s">
        <v>873</v>
      </c>
      <c r="M529" s="446">
        <v>3</v>
      </c>
      <c r="N529" s="446">
        <v>2</v>
      </c>
      <c r="O529" s="446" t="s">
        <v>700</v>
      </c>
      <c r="P529" s="449" t="s">
        <v>706</v>
      </c>
      <c r="Q529" s="449"/>
      <c r="R529" s="449"/>
      <c r="S529" s="449" t="s">
        <v>872</v>
      </c>
      <c r="T529" s="449" t="s">
        <v>1025</v>
      </c>
      <c r="U529" s="452">
        <v>963.28077491456088</v>
      </c>
      <c r="V5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50572.240683014446</v>
      </c>
      <c r="W529" s="272">
        <f>IFERROR(SUMIFS(TransUnitCost[Miles],TransUnitCost[Grouping_ID],TransTonsShort[[#This Row],[Grouping_ID]],TransUnitCost[Transp_ID],TransTonsShort[[#This Row],[Transp_ID]])*TransTonsShort[[#This Row],[Trans_Tons_All]]/TransTonsShort[[#This Row],[Trans_Tons_All]],"")</f>
        <v>150</v>
      </c>
      <c r="X529" s="386" t="str">
        <f>TransTonsShort[[#This Row],[Grouping_ID]]&amp;"-"&amp;TransTonsShort[[#This Row],[Sector_ID]]</f>
        <v>3-2</v>
      </c>
      <c r="Y5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29" s="421">
        <f>INDEX(LandfillFees[Disposal Tip Fee 2025],MATCH(TransTonsShort[[#This Row],[Grouping_ID]],LandfillFees[Grouping_ID],0))</f>
        <v>72.030938699729589</v>
      </c>
      <c r="AA529" s="102">
        <f>IF(OR(TransTonsShort[[#This Row],[CollectionStream_ID]]="03",TransTonsShort[[#This Row],[CollectionStream_ID]]="04",TransTonsShort[[#This Row],[CollectionStream_ID]]="13"),0,TransTonsShort[[#This Row],[Trans_Tons_All]]*TransTonsShort[[#This Row],[Disposal_Fee]])</f>
        <v>69386.018448498755</v>
      </c>
      <c r="AF529" s="446" t="s">
        <v>1702</v>
      </c>
      <c r="AG529" s="442" t="str">
        <f>LEFT(SecondaryTransport[[#This Row],[Scenario_MRF_Bale_ID]],2)</f>
        <v>S3</v>
      </c>
      <c r="AH529" s="181" t="str">
        <f>LEFT(RIGHT(SecondaryTransport[[#This Row],[Scenario_MRF_Bale_ID]],10),2)</f>
        <v>13</v>
      </c>
      <c r="AI529" s="181" t="str">
        <f>INDEX(MRFs[MRF_Name],MATCH(SecondaryTransport[[#This Row],[MRF_ID]],MRFs[MRF_ID],0))</f>
        <v>Directly marketed (no sorting)</v>
      </c>
      <c r="AJ529" s="181" t="str">
        <f>RIGHT(SecondaryTransport[[#This Row],[Scenario_MRF_Bale_ID]],7)</f>
        <v>2000-05</v>
      </c>
      <c r="AK529" s="181" t="str">
        <f>INDEX(Bales[Bale_Name],MATCH(SecondaryTransport[[#This Row],[Bale_ID]],Bales[Bale_ID],0))</f>
        <v>HDPE #2 and PP #5 tubs </v>
      </c>
      <c r="AL529" s="443">
        <f>INDEX(BaleMover[Total_Baled_tons],MATCH(SecondaryTransport[[#This Row],[Scenario_MRF_Bale_ID]],BaleMover[Scenario_MRF_Bale_ID],0))</f>
        <v>61.120595602605142</v>
      </c>
      <c r="AM529" s="443">
        <f>IF(INDEX(BaleMover[Miles],MATCH(SecondaryTransport[[#This Row],[Scenario_MRF_Bale_ID]],BaleMover[Scenario_MRF_Bale_ID],0))="",0,INDEX(BaleMover[Miles],MATCH(SecondaryTransport[[#This Row],[Scenario_MRF_Bale_ID]],BaleMover[Scenario_MRF_Bale_ID],0)))</f>
        <v>50</v>
      </c>
      <c r="AN529" s="251">
        <f>IF(SecondaryTransport[[#This Row],[Bale_ID]]="9000-01","costs elsewhere",SecondaryTransport[[#This Row],[Total_Baled_tons]]*SecondaryTransport[[#This Row],[Miles]])</f>
        <v>3056.0297801302572</v>
      </c>
      <c r="AO529" s="352" t="str">
        <f>IF(LEFT(SecondaryTransport[[#This Row],[Bale_ID]],1)*1=5,IF(OR(SecondaryTransport[[#This Row],[MRF_ID]]="02",SecondaryTransport[[#This Row],[MRF_ID]]="08"),2,1),"")</f>
        <v/>
      </c>
      <c r="AP5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2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29" s="224" t="str">
        <f>IFERROR(IF(1*LEFT(SecondaryTransport[[#This Row],[Bale_ID]],1)=5,SecondaryTransport[[#This Row],[Ton-Miles]]*SecondaryTransport[[#This Row],[Cost_Per_Ton-Mile]],""),"")</f>
        <v/>
      </c>
      <c r="AS529" s="224">
        <f>IFERROR(IF(SecondaryTransport[[#This Row],[Container_Transfer]]="",(SecondaryTransport[[#This Row],[Ton-Miles]]*SecondaryTransport[[#This Row],[Cost_Per_Ton-Mile]]),""),"")</f>
        <v>947.36923184037971</v>
      </c>
    </row>
    <row r="530" spans="12:45" ht="15" x14ac:dyDescent="0.25">
      <c r="L530" s="446" t="s">
        <v>873</v>
      </c>
      <c r="M530" s="446">
        <v>4</v>
      </c>
      <c r="N530" s="446">
        <v>2</v>
      </c>
      <c r="O530" s="446" t="s">
        <v>700</v>
      </c>
      <c r="P530" s="449" t="s">
        <v>706</v>
      </c>
      <c r="Q530" s="449"/>
      <c r="R530" s="449"/>
      <c r="S530" s="449" t="s">
        <v>872</v>
      </c>
      <c r="T530" s="449" t="s">
        <v>1025</v>
      </c>
      <c r="U530" s="452">
        <v>11.421980040023151</v>
      </c>
      <c r="V5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1142.198004002315</v>
      </c>
      <c r="W530" s="272">
        <f>IFERROR(SUMIFS(TransUnitCost[Miles],TransUnitCost[Grouping_ID],TransTonsShort[[#This Row],[Grouping_ID]],TransUnitCost[Transp_ID],TransTonsShort[[#This Row],[Transp_ID]])*TransTonsShort[[#This Row],[Trans_Tons_All]]/TransTonsShort[[#This Row],[Trans_Tons_All]],"")</f>
        <v>250</v>
      </c>
      <c r="X530" s="386" t="str">
        <f>TransTonsShort[[#This Row],[Grouping_ID]]&amp;"-"&amp;TransTonsShort[[#This Row],[Sector_ID]]</f>
        <v>4-2</v>
      </c>
      <c r="Y5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0" s="421">
        <f>INDEX(LandfillFees[Disposal Tip Fee 2025],MATCH(TransTonsShort[[#This Row],[Grouping_ID]],LandfillFees[Grouping_ID],0))</f>
        <v>72.030938699729589</v>
      </c>
      <c r="AA530" s="102">
        <f>IF(OR(TransTonsShort[[#This Row],[CollectionStream_ID]]="03",TransTonsShort[[#This Row],[CollectionStream_ID]]="04",TransTonsShort[[#This Row],[CollectionStream_ID]]="13"),0,TransTonsShort[[#This Row],[Trans_Tons_All]]*TransTonsShort[[#This Row],[Disposal_Fee]])</f>
        <v>822.73594409244242</v>
      </c>
      <c r="AF530" s="446" t="s">
        <v>1703</v>
      </c>
      <c r="AG530" s="442" t="str">
        <f>LEFT(SecondaryTransport[[#This Row],[Scenario_MRF_Bale_ID]],2)</f>
        <v>S4</v>
      </c>
      <c r="AH530" s="181" t="str">
        <f>LEFT(RIGHT(SecondaryTransport[[#This Row],[Scenario_MRF_Bale_ID]],10),2)</f>
        <v>13</v>
      </c>
      <c r="AI530" s="181" t="str">
        <f>INDEX(MRFs[MRF_Name],MATCH(SecondaryTransport[[#This Row],[MRF_ID]],MRFs[MRF_ID],0))</f>
        <v>Directly marketed (no sorting)</v>
      </c>
      <c r="AJ530" s="181" t="str">
        <f>RIGHT(SecondaryTransport[[#This Row],[Scenario_MRF_Bale_ID]],7)</f>
        <v>2000-05</v>
      </c>
      <c r="AK530" s="181" t="str">
        <f>INDEX(Bales[Bale_Name],MATCH(SecondaryTransport[[#This Row],[Bale_ID]],Bales[Bale_ID],0))</f>
        <v>HDPE #2 and PP #5 tubs </v>
      </c>
      <c r="AL530" s="443">
        <f>INDEX(BaleMover[Total_Baled_tons],MATCH(SecondaryTransport[[#This Row],[Scenario_MRF_Bale_ID]],BaleMover[Scenario_MRF_Bale_ID],0))</f>
        <v>61.120595602605142</v>
      </c>
      <c r="AM530" s="443">
        <f>IF(INDEX(BaleMover[Miles],MATCH(SecondaryTransport[[#This Row],[Scenario_MRF_Bale_ID]],BaleMover[Scenario_MRF_Bale_ID],0))="",0,INDEX(BaleMover[Miles],MATCH(SecondaryTransport[[#This Row],[Scenario_MRF_Bale_ID]],BaleMover[Scenario_MRF_Bale_ID],0)))</f>
        <v>50</v>
      </c>
      <c r="AN530" s="251">
        <f>IF(SecondaryTransport[[#This Row],[Bale_ID]]="9000-01","costs elsewhere",SecondaryTransport[[#This Row],[Total_Baled_tons]]*SecondaryTransport[[#This Row],[Miles]])</f>
        <v>3056.0297801302572</v>
      </c>
      <c r="AO530" s="352" t="str">
        <f>IF(LEFT(SecondaryTransport[[#This Row],[Bale_ID]],1)*1=5,IF(OR(SecondaryTransport[[#This Row],[MRF_ID]]="02",SecondaryTransport[[#This Row],[MRF_ID]]="08"),2,1),"")</f>
        <v/>
      </c>
      <c r="AP5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3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30" s="224" t="str">
        <f>IFERROR(IF(1*LEFT(SecondaryTransport[[#This Row],[Bale_ID]],1)=5,SecondaryTransport[[#This Row],[Ton-Miles]]*SecondaryTransport[[#This Row],[Cost_Per_Ton-Mile]],""),"")</f>
        <v/>
      </c>
      <c r="AS530" s="224">
        <f>IFERROR(IF(SecondaryTransport[[#This Row],[Container_Transfer]]="",(SecondaryTransport[[#This Row],[Ton-Miles]]*SecondaryTransport[[#This Row],[Cost_Per_Ton-Mile]]),""),"")</f>
        <v>947.36923184037971</v>
      </c>
    </row>
    <row r="531" spans="12:45" ht="15" x14ac:dyDescent="0.25">
      <c r="L531" s="446" t="s">
        <v>873</v>
      </c>
      <c r="M531" s="446">
        <v>1</v>
      </c>
      <c r="N531" s="446">
        <v>2</v>
      </c>
      <c r="O531" s="446" t="s">
        <v>748</v>
      </c>
      <c r="P531" s="449" t="s">
        <v>719</v>
      </c>
      <c r="Q531" s="449"/>
      <c r="R531" s="449"/>
      <c r="S531" s="449" t="s">
        <v>765</v>
      </c>
      <c r="T531" s="449" t="s">
        <v>1055</v>
      </c>
      <c r="U531" s="452">
        <v>0</v>
      </c>
      <c r="V5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1" s="272" t="str">
        <f>IFERROR(SUMIFS(TransUnitCost[Miles],TransUnitCost[Grouping_ID],TransTonsShort[[#This Row],[Grouping_ID]],TransUnitCost[Transp_ID],TransTonsShort[[#This Row],[Transp_ID]])*TransTonsShort[[#This Row],[Trans_Tons_All]]/TransTonsShort[[#This Row],[Trans_Tons_All]],"")</f>
        <v/>
      </c>
      <c r="X531" s="386" t="str">
        <f>TransTonsShort[[#This Row],[Grouping_ID]]&amp;"-"&amp;TransTonsShort[[#This Row],[Sector_ID]]</f>
        <v>1-2</v>
      </c>
      <c r="Y5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1" s="421">
        <f>INDEX(LandfillFees[Disposal Tip Fee 2025],MATCH(TransTonsShort[[#This Row],[Grouping_ID]],LandfillFees[Grouping_ID],0))</f>
        <v>134.68</v>
      </c>
      <c r="AA531" s="102">
        <f>IF(OR(TransTonsShort[[#This Row],[CollectionStream_ID]]="03",TransTonsShort[[#This Row],[CollectionStream_ID]]="04",TransTonsShort[[#This Row],[CollectionStream_ID]]="13"),0,TransTonsShort[[#This Row],[Trans_Tons_All]]*TransTonsShort[[#This Row],[Disposal_Fee]])</f>
        <v>0</v>
      </c>
      <c r="AF531" s="446" t="s">
        <v>1704</v>
      </c>
      <c r="AG531" s="442" t="str">
        <f>LEFT(SecondaryTransport[[#This Row],[Scenario_MRF_Bale_ID]],2)</f>
        <v>S0</v>
      </c>
      <c r="AH531" s="181" t="str">
        <f>LEFT(RIGHT(SecondaryTransport[[#This Row],[Scenario_MRF_Bale_ID]],10),2)</f>
        <v>13</v>
      </c>
      <c r="AI531" s="181" t="str">
        <f>INDEX(MRFs[MRF_Name],MATCH(SecondaryTransport[[#This Row],[MRF_ID]],MRFs[MRF_ID],0))</f>
        <v>Directly marketed (no sorting)</v>
      </c>
      <c r="AJ531" s="181" t="str">
        <f>RIGHT(SecondaryTransport[[#This Row],[Scenario_MRF_Bale_ID]],7)</f>
        <v>2000-07</v>
      </c>
      <c r="AK531" s="181" t="str">
        <f>INDEX(Bales[Bale_Name],MATCH(SecondaryTransport[[#This Row],[Bale_ID]],Bales[Bale_ID],0))</f>
        <v>PE clear film</v>
      </c>
      <c r="AL531" s="443">
        <f>INDEX(BaleMover[Total_Baled_tons],MATCH(SecondaryTransport[[#This Row],[Scenario_MRF_Bale_ID]],BaleMover[Scenario_MRF_Bale_ID],0))</f>
        <v>3684.2974687214764</v>
      </c>
      <c r="AM531" s="443">
        <f>IF(INDEX(BaleMover[Miles],MATCH(SecondaryTransport[[#This Row],[Scenario_MRF_Bale_ID]],BaleMover[Scenario_MRF_Bale_ID],0))="",0,INDEX(BaleMover[Miles],MATCH(SecondaryTransport[[#This Row],[Scenario_MRF_Bale_ID]],BaleMover[Scenario_MRF_Bale_ID],0)))</f>
        <v>355</v>
      </c>
      <c r="AN531" s="251">
        <f>IF(SecondaryTransport[[#This Row],[Bale_ID]]="9000-01","costs elsewhere",SecondaryTransport[[#This Row],[Total_Baled_tons]]*SecondaryTransport[[#This Row],[Miles]])</f>
        <v>1307925.6013961241</v>
      </c>
      <c r="AO531" s="352" t="str">
        <f>IF(LEFT(SecondaryTransport[[#This Row],[Bale_ID]],1)*1=5,IF(OR(SecondaryTransport[[#This Row],[MRF_ID]]="02",SecondaryTransport[[#This Row],[MRF_ID]]="08"),2,1),"")</f>
        <v/>
      </c>
      <c r="AP5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31" s="224" t="str">
        <f>IFERROR(IF(1*LEFT(SecondaryTransport[[#This Row],[Bale_ID]],1)=5,SecondaryTransport[[#This Row],[Ton-Miles]]*SecondaryTransport[[#This Row],[Cost_Per_Ton-Mile]],""),"")</f>
        <v/>
      </c>
      <c r="AS531" s="224">
        <f>IFERROR(IF(SecondaryTransport[[#This Row],[Container_Transfer]]="",(SecondaryTransport[[#This Row],[Ton-Miles]]*SecondaryTransport[[#This Row],[Cost_Per_Ton-Mile]]),""),"")</f>
        <v>183109.5841954574</v>
      </c>
    </row>
    <row r="532" spans="12:45" ht="15" x14ac:dyDescent="0.25">
      <c r="L532" s="446" t="s">
        <v>873</v>
      </c>
      <c r="M532" s="446">
        <v>2</v>
      </c>
      <c r="N532" s="446">
        <v>2</v>
      </c>
      <c r="O532" s="446" t="s">
        <v>748</v>
      </c>
      <c r="P532" s="449" t="s">
        <v>719</v>
      </c>
      <c r="Q532" s="449"/>
      <c r="R532" s="449"/>
      <c r="S532" s="449" t="s">
        <v>765</v>
      </c>
      <c r="T532" s="449" t="s">
        <v>1055</v>
      </c>
      <c r="U532" s="452">
        <v>0</v>
      </c>
      <c r="V5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2" s="272" t="str">
        <f>IFERROR(SUMIFS(TransUnitCost[Miles],TransUnitCost[Grouping_ID],TransTonsShort[[#This Row],[Grouping_ID]],TransUnitCost[Transp_ID],TransTonsShort[[#This Row],[Transp_ID]])*TransTonsShort[[#This Row],[Trans_Tons_All]]/TransTonsShort[[#This Row],[Trans_Tons_All]],"")</f>
        <v/>
      </c>
      <c r="X532" s="386" t="str">
        <f>TransTonsShort[[#This Row],[Grouping_ID]]&amp;"-"&amp;TransTonsShort[[#This Row],[Sector_ID]]</f>
        <v>2-2</v>
      </c>
      <c r="Y5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2" s="421">
        <f>INDEX(LandfillFees[Disposal Tip Fee 2025],MATCH(TransTonsShort[[#This Row],[Grouping_ID]],LandfillFees[Grouping_ID],0))</f>
        <v>72.030938699729589</v>
      </c>
      <c r="AA532" s="102">
        <f>IF(OR(TransTonsShort[[#This Row],[CollectionStream_ID]]="03",TransTonsShort[[#This Row],[CollectionStream_ID]]="04",TransTonsShort[[#This Row],[CollectionStream_ID]]="13"),0,TransTonsShort[[#This Row],[Trans_Tons_All]]*TransTonsShort[[#This Row],[Disposal_Fee]])</f>
        <v>0</v>
      </c>
      <c r="AF532" s="446" t="s">
        <v>1705</v>
      </c>
      <c r="AG532" s="442" t="str">
        <f>LEFT(SecondaryTransport[[#This Row],[Scenario_MRF_Bale_ID]],2)</f>
        <v>S1</v>
      </c>
      <c r="AH532" s="181" t="str">
        <f>LEFT(RIGHT(SecondaryTransport[[#This Row],[Scenario_MRF_Bale_ID]],10),2)</f>
        <v>13</v>
      </c>
      <c r="AI532" s="181" t="str">
        <f>INDEX(MRFs[MRF_Name],MATCH(SecondaryTransport[[#This Row],[MRF_ID]],MRFs[MRF_ID],0))</f>
        <v>Directly marketed (no sorting)</v>
      </c>
      <c r="AJ532" s="181" t="str">
        <f>RIGHT(SecondaryTransport[[#This Row],[Scenario_MRF_Bale_ID]],7)</f>
        <v>2000-07</v>
      </c>
      <c r="AK532" s="181" t="str">
        <f>INDEX(Bales[Bale_Name],MATCH(SecondaryTransport[[#This Row],[Bale_ID]],Bales[Bale_ID],0))</f>
        <v>PE clear film</v>
      </c>
      <c r="AL532" s="443">
        <f>INDEX(BaleMover[Total_Baled_tons],MATCH(SecondaryTransport[[#This Row],[Scenario_MRF_Bale_ID]],BaleMover[Scenario_MRF_Bale_ID],0))</f>
        <v>3684.2974687214764</v>
      </c>
      <c r="AM532" s="443">
        <f>IF(INDEX(BaleMover[Miles],MATCH(SecondaryTransport[[#This Row],[Scenario_MRF_Bale_ID]],BaleMover[Scenario_MRF_Bale_ID],0))="",0,INDEX(BaleMover[Miles],MATCH(SecondaryTransport[[#This Row],[Scenario_MRF_Bale_ID]],BaleMover[Scenario_MRF_Bale_ID],0)))</f>
        <v>355</v>
      </c>
      <c r="AN532" s="251">
        <f>IF(SecondaryTransport[[#This Row],[Bale_ID]]="9000-01","costs elsewhere",SecondaryTransport[[#This Row],[Total_Baled_tons]]*SecondaryTransport[[#This Row],[Miles]])</f>
        <v>1307925.6013961241</v>
      </c>
      <c r="AO532" s="352" t="str">
        <f>IF(LEFT(SecondaryTransport[[#This Row],[Bale_ID]],1)*1=5,IF(OR(SecondaryTransport[[#This Row],[MRF_ID]]="02",SecondaryTransport[[#This Row],[MRF_ID]]="08"),2,1),"")</f>
        <v/>
      </c>
      <c r="AP5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3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32" s="224" t="str">
        <f>IFERROR(IF(1*LEFT(SecondaryTransport[[#This Row],[Bale_ID]],1)=5,SecondaryTransport[[#This Row],[Ton-Miles]]*SecondaryTransport[[#This Row],[Cost_Per_Ton-Mile]],""),"")</f>
        <v/>
      </c>
      <c r="AS532" s="224">
        <f>IFERROR(IF(SecondaryTransport[[#This Row],[Container_Transfer]]="",(SecondaryTransport[[#This Row],[Ton-Miles]]*SecondaryTransport[[#This Row],[Cost_Per_Ton-Mile]]),""),"")</f>
        <v>183109.5841954574</v>
      </c>
    </row>
    <row r="533" spans="12:45" ht="15" x14ac:dyDescent="0.25">
      <c r="L533" s="446" t="s">
        <v>873</v>
      </c>
      <c r="M533" s="446">
        <v>3</v>
      </c>
      <c r="N533" s="446">
        <v>2</v>
      </c>
      <c r="O533" s="446" t="s">
        <v>748</v>
      </c>
      <c r="P533" s="449" t="s">
        <v>719</v>
      </c>
      <c r="Q533" s="449"/>
      <c r="R533" s="449"/>
      <c r="S533" s="449" t="s">
        <v>765</v>
      </c>
      <c r="T533" s="449" t="s">
        <v>1055</v>
      </c>
      <c r="U533" s="452">
        <v>0</v>
      </c>
      <c r="V5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3" s="272" t="str">
        <f>IFERROR(SUMIFS(TransUnitCost[Miles],TransUnitCost[Grouping_ID],TransTonsShort[[#This Row],[Grouping_ID]],TransUnitCost[Transp_ID],TransTonsShort[[#This Row],[Transp_ID]])*TransTonsShort[[#This Row],[Trans_Tons_All]]/TransTonsShort[[#This Row],[Trans_Tons_All]],"")</f>
        <v/>
      </c>
      <c r="X533" s="386" t="str">
        <f>TransTonsShort[[#This Row],[Grouping_ID]]&amp;"-"&amp;TransTonsShort[[#This Row],[Sector_ID]]</f>
        <v>3-2</v>
      </c>
      <c r="Y5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3" s="421">
        <f>INDEX(LandfillFees[Disposal Tip Fee 2025],MATCH(TransTonsShort[[#This Row],[Grouping_ID]],LandfillFees[Grouping_ID],0))</f>
        <v>72.030938699729589</v>
      </c>
      <c r="AA533" s="102">
        <f>IF(OR(TransTonsShort[[#This Row],[CollectionStream_ID]]="03",TransTonsShort[[#This Row],[CollectionStream_ID]]="04",TransTonsShort[[#This Row],[CollectionStream_ID]]="13"),0,TransTonsShort[[#This Row],[Trans_Tons_All]]*TransTonsShort[[#This Row],[Disposal_Fee]])</f>
        <v>0</v>
      </c>
      <c r="AF533" s="446" t="s">
        <v>1706</v>
      </c>
      <c r="AG533" s="442" t="str">
        <f>LEFT(SecondaryTransport[[#This Row],[Scenario_MRF_Bale_ID]],2)</f>
        <v>S2</v>
      </c>
      <c r="AH533" s="181" t="str">
        <f>LEFT(RIGHT(SecondaryTransport[[#This Row],[Scenario_MRF_Bale_ID]],10),2)</f>
        <v>13</v>
      </c>
      <c r="AI533" s="181" t="str">
        <f>INDEX(MRFs[MRF_Name],MATCH(SecondaryTransport[[#This Row],[MRF_ID]],MRFs[MRF_ID],0))</f>
        <v>Directly marketed (no sorting)</v>
      </c>
      <c r="AJ533" s="181" t="str">
        <f>RIGHT(SecondaryTransport[[#This Row],[Scenario_MRF_Bale_ID]],7)</f>
        <v>2000-07</v>
      </c>
      <c r="AK533" s="181" t="str">
        <f>INDEX(Bales[Bale_Name],MATCH(SecondaryTransport[[#This Row],[Bale_ID]],Bales[Bale_ID],0))</f>
        <v>PE clear film</v>
      </c>
      <c r="AL533" s="443">
        <f>INDEX(BaleMover[Total_Baled_tons],MATCH(SecondaryTransport[[#This Row],[Scenario_MRF_Bale_ID]],BaleMover[Scenario_MRF_Bale_ID],0))</f>
        <v>3817.2040075646578</v>
      </c>
      <c r="AM533" s="443">
        <f>IF(INDEX(BaleMover[Miles],MATCH(SecondaryTransport[[#This Row],[Scenario_MRF_Bale_ID]],BaleMover[Scenario_MRF_Bale_ID],0))="",0,INDEX(BaleMover[Miles],MATCH(SecondaryTransport[[#This Row],[Scenario_MRF_Bale_ID]],BaleMover[Scenario_MRF_Bale_ID],0)))</f>
        <v>355</v>
      </c>
      <c r="AN533" s="251">
        <f>IF(SecondaryTransport[[#This Row],[Bale_ID]]="9000-01","costs elsewhere",SecondaryTransport[[#This Row],[Total_Baled_tons]]*SecondaryTransport[[#This Row],[Miles]])</f>
        <v>1355107.4226854534</v>
      </c>
      <c r="AO533" s="352" t="str">
        <f>IF(LEFT(SecondaryTransport[[#This Row],[Bale_ID]],1)*1=5,IF(OR(SecondaryTransport[[#This Row],[MRF_ID]]="02",SecondaryTransport[[#This Row],[MRF_ID]]="08"),2,1),"")</f>
        <v/>
      </c>
      <c r="AP5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3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33" s="224" t="str">
        <f>IFERROR(IF(1*LEFT(SecondaryTransport[[#This Row],[Bale_ID]],1)=5,SecondaryTransport[[#This Row],[Ton-Miles]]*SecondaryTransport[[#This Row],[Cost_Per_Ton-Mile]],""),"")</f>
        <v/>
      </c>
      <c r="AS533" s="224">
        <f>IFERROR(IF(SecondaryTransport[[#This Row],[Container_Transfer]]="",(SecondaryTransport[[#This Row],[Ton-Miles]]*SecondaryTransport[[#This Row],[Cost_Per_Ton-Mile]]),""),"")</f>
        <v>189715.03917596349</v>
      </c>
    </row>
    <row r="534" spans="12:45" ht="15" x14ac:dyDescent="0.25">
      <c r="L534" s="446" t="s">
        <v>873</v>
      </c>
      <c r="M534" s="446">
        <v>4</v>
      </c>
      <c r="N534" s="446">
        <v>2</v>
      </c>
      <c r="O534" s="446" t="s">
        <v>748</v>
      </c>
      <c r="P534" s="449" t="s">
        <v>719</v>
      </c>
      <c r="Q534" s="449"/>
      <c r="R534" s="449"/>
      <c r="S534" s="449" t="s">
        <v>765</v>
      </c>
      <c r="T534" s="449" t="s">
        <v>1055</v>
      </c>
      <c r="U534" s="452">
        <v>0</v>
      </c>
      <c r="V5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4" s="272" t="str">
        <f>IFERROR(SUMIFS(TransUnitCost[Miles],TransUnitCost[Grouping_ID],TransTonsShort[[#This Row],[Grouping_ID]],TransUnitCost[Transp_ID],TransTonsShort[[#This Row],[Transp_ID]])*TransTonsShort[[#This Row],[Trans_Tons_All]]/TransTonsShort[[#This Row],[Trans_Tons_All]],"")</f>
        <v/>
      </c>
      <c r="X534" s="386" t="str">
        <f>TransTonsShort[[#This Row],[Grouping_ID]]&amp;"-"&amp;TransTonsShort[[#This Row],[Sector_ID]]</f>
        <v>4-2</v>
      </c>
      <c r="Y5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4" s="421">
        <f>INDEX(LandfillFees[Disposal Tip Fee 2025],MATCH(TransTonsShort[[#This Row],[Grouping_ID]],LandfillFees[Grouping_ID],0))</f>
        <v>72.030938699729589</v>
      </c>
      <c r="AA534" s="102">
        <f>IF(OR(TransTonsShort[[#This Row],[CollectionStream_ID]]="03",TransTonsShort[[#This Row],[CollectionStream_ID]]="04",TransTonsShort[[#This Row],[CollectionStream_ID]]="13"),0,TransTonsShort[[#This Row],[Trans_Tons_All]]*TransTonsShort[[#This Row],[Disposal_Fee]])</f>
        <v>0</v>
      </c>
      <c r="AF534" s="446" t="s">
        <v>1707</v>
      </c>
      <c r="AG534" s="442" t="str">
        <f>LEFT(SecondaryTransport[[#This Row],[Scenario_MRF_Bale_ID]],2)</f>
        <v>S3</v>
      </c>
      <c r="AH534" s="181" t="str">
        <f>LEFT(RIGHT(SecondaryTransport[[#This Row],[Scenario_MRF_Bale_ID]],10),2)</f>
        <v>13</v>
      </c>
      <c r="AI534" s="181" t="str">
        <f>INDEX(MRFs[MRF_Name],MATCH(SecondaryTransport[[#This Row],[MRF_ID]],MRFs[MRF_ID],0))</f>
        <v>Directly marketed (no sorting)</v>
      </c>
      <c r="AJ534" s="181" t="str">
        <f>RIGHT(SecondaryTransport[[#This Row],[Scenario_MRF_Bale_ID]],7)</f>
        <v>2000-07</v>
      </c>
      <c r="AK534" s="181" t="str">
        <f>INDEX(Bales[Bale_Name],MATCH(SecondaryTransport[[#This Row],[Bale_ID]],Bales[Bale_ID],0))</f>
        <v>PE clear film</v>
      </c>
      <c r="AL534" s="443">
        <f>INDEX(BaleMover[Total_Baled_tons],MATCH(SecondaryTransport[[#This Row],[Scenario_MRF_Bale_ID]],BaleMover[Scenario_MRF_Bale_ID],0))</f>
        <v>3817.2040075646578</v>
      </c>
      <c r="AM534" s="443">
        <f>IF(INDEX(BaleMover[Miles],MATCH(SecondaryTransport[[#This Row],[Scenario_MRF_Bale_ID]],BaleMover[Scenario_MRF_Bale_ID],0))="",0,INDEX(BaleMover[Miles],MATCH(SecondaryTransport[[#This Row],[Scenario_MRF_Bale_ID]],BaleMover[Scenario_MRF_Bale_ID],0)))</f>
        <v>355</v>
      </c>
      <c r="AN534" s="251">
        <f>IF(SecondaryTransport[[#This Row],[Bale_ID]]="9000-01","costs elsewhere",SecondaryTransport[[#This Row],[Total_Baled_tons]]*SecondaryTransport[[#This Row],[Miles]])</f>
        <v>1355107.4226854534</v>
      </c>
      <c r="AO534" s="352" t="str">
        <f>IF(LEFT(SecondaryTransport[[#This Row],[Bale_ID]],1)*1=5,IF(OR(SecondaryTransport[[#This Row],[MRF_ID]]="02",SecondaryTransport[[#This Row],[MRF_ID]]="08"),2,1),"")</f>
        <v/>
      </c>
      <c r="AP5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3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34" s="224" t="str">
        <f>IFERROR(IF(1*LEFT(SecondaryTransport[[#This Row],[Bale_ID]],1)=5,SecondaryTransport[[#This Row],[Ton-Miles]]*SecondaryTransport[[#This Row],[Cost_Per_Ton-Mile]],""),"")</f>
        <v/>
      </c>
      <c r="AS534" s="224">
        <f>IFERROR(IF(SecondaryTransport[[#This Row],[Container_Transfer]]="",(SecondaryTransport[[#This Row],[Ton-Miles]]*SecondaryTransport[[#This Row],[Cost_Per_Ton-Mile]]),""),"")</f>
        <v>189715.03917596349</v>
      </c>
    </row>
    <row r="535" spans="12:45" ht="15" x14ac:dyDescent="0.25">
      <c r="L535" s="446" t="s">
        <v>873</v>
      </c>
      <c r="M535" s="446">
        <v>1</v>
      </c>
      <c r="N535" s="446">
        <v>2</v>
      </c>
      <c r="O535" s="446" t="s">
        <v>748</v>
      </c>
      <c r="P535" s="449" t="s">
        <v>700</v>
      </c>
      <c r="Q535" s="449"/>
      <c r="R535" s="449"/>
      <c r="S535" s="449" t="s">
        <v>765</v>
      </c>
      <c r="T535" s="449" t="s">
        <v>701</v>
      </c>
      <c r="U535" s="452">
        <v>0</v>
      </c>
      <c r="V5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5" s="272" t="str">
        <f>IFERROR(SUMIFS(TransUnitCost[Miles],TransUnitCost[Grouping_ID],TransTonsShort[[#This Row],[Grouping_ID]],TransUnitCost[Transp_ID],TransTonsShort[[#This Row],[Transp_ID]])*TransTonsShort[[#This Row],[Trans_Tons_All]]/TransTonsShort[[#This Row],[Trans_Tons_All]],"")</f>
        <v/>
      </c>
      <c r="X535" s="386" t="str">
        <f>TransTonsShort[[#This Row],[Grouping_ID]]&amp;"-"&amp;TransTonsShort[[#This Row],[Sector_ID]]</f>
        <v>1-2</v>
      </c>
      <c r="Y5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5" s="421">
        <f>INDEX(LandfillFees[Disposal Tip Fee 2025],MATCH(TransTonsShort[[#This Row],[Grouping_ID]],LandfillFees[Grouping_ID],0))</f>
        <v>134.68</v>
      </c>
      <c r="AA535" s="102">
        <f>IF(OR(TransTonsShort[[#This Row],[CollectionStream_ID]]="03",TransTonsShort[[#This Row],[CollectionStream_ID]]="04",TransTonsShort[[#This Row],[CollectionStream_ID]]="13"),0,TransTonsShort[[#This Row],[Trans_Tons_All]]*TransTonsShort[[#This Row],[Disposal_Fee]])</f>
        <v>0</v>
      </c>
      <c r="AF535" s="446" t="s">
        <v>1708</v>
      </c>
      <c r="AG535" s="442" t="str">
        <f>LEFT(SecondaryTransport[[#This Row],[Scenario_MRF_Bale_ID]],2)</f>
        <v>S4</v>
      </c>
      <c r="AH535" s="181" t="str">
        <f>LEFT(RIGHT(SecondaryTransport[[#This Row],[Scenario_MRF_Bale_ID]],10),2)</f>
        <v>13</v>
      </c>
      <c r="AI535" s="181" t="str">
        <f>INDEX(MRFs[MRF_Name],MATCH(SecondaryTransport[[#This Row],[MRF_ID]],MRFs[MRF_ID],0))</f>
        <v>Directly marketed (no sorting)</v>
      </c>
      <c r="AJ535" s="181" t="str">
        <f>RIGHT(SecondaryTransport[[#This Row],[Scenario_MRF_Bale_ID]],7)</f>
        <v>2000-07</v>
      </c>
      <c r="AK535" s="181" t="str">
        <f>INDEX(Bales[Bale_Name],MATCH(SecondaryTransport[[#This Row],[Bale_ID]],Bales[Bale_ID],0))</f>
        <v>PE clear film</v>
      </c>
      <c r="AL535" s="443">
        <f>INDEX(BaleMover[Total_Baled_tons],MATCH(SecondaryTransport[[#This Row],[Scenario_MRF_Bale_ID]],BaleMover[Scenario_MRF_Bale_ID],0))</f>
        <v>3817.2040075646578</v>
      </c>
      <c r="AM535" s="443">
        <f>IF(INDEX(BaleMover[Miles],MATCH(SecondaryTransport[[#This Row],[Scenario_MRF_Bale_ID]],BaleMover[Scenario_MRF_Bale_ID],0))="",0,INDEX(BaleMover[Miles],MATCH(SecondaryTransport[[#This Row],[Scenario_MRF_Bale_ID]],BaleMover[Scenario_MRF_Bale_ID],0)))</f>
        <v>355</v>
      </c>
      <c r="AN535" s="251">
        <f>IF(SecondaryTransport[[#This Row],[Bale_ID]]="9000-01","costs elsewhere",SecondaryTransport[[#This Row],[Total_Baled_tons]]*SecondaryTransport[[#This Row],[Miles]])</f>
        <v>1355107.4226854534</v>
      </c>
      <c r="AO535" s="352" t="str">
        <f>IF(LEFT(SecondaryTransport[[#This Row],[Bale_ID]],1)*1=5,IF(OR(SecondaryTransport[[#This Row],[MRF_ID]]="02",SecondaryTransport[[#This Row],[MRF_ID]]="08"),2,1),"")</f>
        <v/>
      </c>
      <c r="AP5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3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35" s="224" t="str">
        <f>IFERROR(IF(1*LEFT(SecondaryTransport[[#This Row],[Bale_ID]],1)=5,SecondaryTransport[[#This Row],[Ton-Miles]]*SecondaryTransport[[#This Row],[Cost_Per_Ton-Mile]],""),"")</f>
        <v/>
      </c>
      <c r="AS535" s="224">
        <f>IFERROR(IF(SecondaryTransport[[#This Row],[Container_Transfer]]="",(SecondaryTransport[[#This Row],[Ton-Miles]]*SecondaryTransport[[#This Row],[Cost_Per_Ton-Mile]]),""),"")</f>
        <v>189715.03917596349</v>
      </c>
    </row>
    <row r="536" spans="12:45" ht="15" x14ac:dyDescent="0.25">
      <c r="L536" s="446" t="s">
        <v>873</v>
      </c>
      <c r="M536" s="446">
        <v>2</v>
      </c>
      <c r="N536" s="446">
        <v>2</v>
      </c>
      <c r="O536" s="446" t="s">
        <v>748</v>
      </c>
      <c r="P536" s="449" t="s">
        <v>700</v>
      </c>
      <c r="Q536" s="449"/>
      <c r="R536" s="449"/>
      <c r="S536" s="449" t="s">
        <v>765</v>
      </c>
      <c r="T536" s="449" t="s">
        <v>701</v>
      </c>
      <c r="U536" s="452">
        <v>0</v>
      </c>
      <c r="V5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6" s="272" t="str">
        <f>IFERROR(SUMIFS(TransUnitCost[Miles],TransUnitCost[Grouping_ID],TransTonsShort[[#This Row],[Grouping_ID]],TransUnitCost[Transp_ID],TransTonsShort[[#This Row],[Transp_ID]])*TransTonsShort[[#This Row],[Trans_Tons_All]]/TransTonsShort[[#This Row],[Trans_Tons_All]],"")</f>
        <v/>
      </c>
      <c r="X536" s="386" t="str">
        <f>TransTonsShort[[#This Row],[Grouping_ID]]&amp;"-"&amp;TransTonsShort[[#This Row],[Sector_ID]]</f>
        <v>2-2</v>
      </c>
      <c r="Y5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6" s="421">
        <f>INDEX(LandfillFees[Disposal Tip Fee 2025],MATCH(TransTonsShort[[#This Row],[Grouping_ID]],LandfillFees[Grouping_ID],0))</f>
        <v>72.030938699729589</v>
      </c>
      <c r="AA536" s="102">
        <f>IF(OR(TransTonsShort[[#This Row],[CollectionStream_ID]]="03",TransTonsShort[[#This Row],[CollectionStream_ID]]="04",TransTonsShort[[#This Row],[CollectionStream_ID]]="13"),0,TransTonsShort[[#This Row],[Trans_Tons_All]]*TransTonsShort[[#This Row],[Disposal_Fee]])</f>
        <v>0</v>
      </c>
      <c r="AF536" s="446" t="s">
        <v>1709</v>
      </c>
      <c r="AG536" s="442" t="str">
        <f>LEFT(SecondaryTransport[[#This Row],[Scenario_MRF_Bale_ID]],2)</f>
        <v>S0</v>
      </c>
      <c r="AH536" s="181" t="str">
        <f>LEFT(RIGHT(SecondaryTransport[[#This Row],[Scenario_MRF_Bale_ID]],10),2)</f>
        <v>13</v>
      </c>
      <c r="AI536" s="181" t="str">
        <f>INDEX(MRFs[MRF_Name],MATCH(SecondaryTransport[[#This Row],[MRF_ID]],MRFs[MRF_ID],0))</f>
        <v>Directly marketed (no sorting)</v>
      </c>
      <c r="AJ536" s="181" t="str">
        <f>RIGHT(SecondaryTransport[[#This Row],[Scenario_MRF_Bale_ID]],7)</f>
        <v>2000-08</v>
      </c>
      <c r="AK536" s="181" t="str">
        <f>INDEX(Bales[Bale_Name],MATCH(SecondaryTransport[[#This Row],[Bale_ID]],Bales[Bale_ID],0))</f>
        <v>PE colored film</v>
      </c>
      <c r="AL536" s="443">
        <f>INDEX(BaleMover[Total_Baled_tons],MATCH(SecondaryTransport[[#This Row],[Scenario_MRF_Bale_ID]],BaleMover[Scenario_MRF_Bale_ID],0))</f>
        <v>0</v>
      </c>
      <c r="AM536" s="443">
        <f>IF(INDEX(BaleMover[Miles],MATCH(SecondaryTransport[[#This Row],[Scenario_MRF_Bale_ID]],BaleMover[Scenario_MRF_Bale_ID],0))="",0,INDEX(BaleMover[Miles],MATCH(SecondaryTransport[[#This Row],[Scenario_MRF_Bale_ID]],BaleMover[Scenario_MRF_Bale_ID],0)))</f>
        <v>0</v>
      </c>
      <c r="AN536" s="251">
        <f>IF(SecondaryTransport[[#This Row],[Bale_ID]]="9000-01","costs elsewhere",SecondaryTransport[[#This Row],[Total_Baled_tons]]*SecondaryTransport[[#This Row],[Miles]])</f>
        <v>0</v>
      </c>
      <c r="AO536" s="352" t="str">
        <f>IF(LEFT(SecondaryTransport[[#This Row],[Bale_ID]],1)*1=5,IF(OR(SecondaryTransport[[#This Row],[MRF_ID]]="02",SecondaryTransport[[#This Row],[MRF_ID]]="08"),2,1),"")</f>
        <v/>
      </c>
      <c r="AP5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3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36" s="224" t="str">
        <f>IFERROR(IF(1*LEFT(SecondaryTransport[[#This Row],[Bale_ID]],1)=5,SecondaryTransport[[#This Row],[Ton-Miles]]*SecondaryTransport[[#This Row],[Cost_Per_Ton-Mile]],""),"")</f>
        <v/>
      </c>
      <c r="AS536" s="224" t="str">
        <f>IFERROR(IF(SecondaryTransport[[#This Row],[Container_Transfer]]="",(SecondaryTransport[[#This Row],[Ton-Miles]]*SecondaryTransport[[#This Row],[Cost_Per_Ton-Mile]]),""),"")</f>
        <v/>
      </c>
    </row>
    <row r="537" spans="12:45" ht="15" x14ac:dyDescent="0.25">
      <c r="L537" s="446" t="s">
        <v>873</v>
      </c>
      <c r="M537" s="446">
        <v>3</v>
      </c>
      <c r="N537" s="446">
        <v>2</v>
      </c>
      <c r="O537" s="446" t="s">
        <v>748</v>
      </c>
      <c r="P537" s="449" t="s">
        <v>700</v>
      </c>
      <c r="Q537" s="449"/>
      <c r="R537" s="449"/>
      <c r="S537" s="449" t="s">
        <v>765</v>
      </c>
      <c r="T537" s="449" t="s">
        <v>701</v>
      </c>
      <c r="U537" s="452">
        <v>0</v>
      </c>
      <c r="V5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7" s="272" t="str">
        <f>IFERROR(SUMIFS(TransUnitCost[Miles],TransUnitCost[Grouping_ID],TransTonsShort[[#This Row],[Grouping_ID]],TransUnitCost[Transp_ID],TransTonsShort[[#This Row],[Transp_ID]])*TransTonsShort[[#This Row],[Trans_Tons_All]]/TransTonsShort[[#This Row],[Trans_Tons_All]],"")</f>
        <v/>
      </c>
      <c r="X537" s="386" t="str">
        <f>TransTonsShort[[#This Row],[Grouping_ID]]&amp;"-"&amp;TransTonsShort[[#This Row],[Sector_ID]]</f>
        <v>3-2</v>
      </c>
      <c r="Y5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7" s="421">
        <f>INDEX(LandfillFees[Disposal Tip Fee 2025],MATCH(TransTonsShort[[#This Row],[Grouping_ID]],LandfillFees[Grouping_ID],0))</f>
        <v>72.030938699729589</v>
      </c>
      <c r="AA537" s="102">
        <f>IF(OR(TransTonsShort[[#This Row],[CollectionStream_ID]]="03",TransTonsShort[[#This Row],[CollectionStream_ID]]="04",TransTonsShort[[#This Row],[CollectionStream_ID]]="13"),0,TransTonsShort[[#This Row],[Trans_Tons_All]]*TransTonsShort[[#This Row],[Disposal_Fee]])</f>
        <v>0</v>
      </c>
      <c r="AF537" s="446" t="s">
        <v>1710</v>
      </c>
      <c r="AG537" s="442" t="str">
        <f>LEFT(SecondaryTransport[[#This Row],[Scenario_MRF_Bale_ID]],2)</f>
        <v>S1</v>
      </c>
      <c r="AH537" s="181" t="str">
        <f>LEFT(RIGHT(SecondaryTransport[[#This Row],[Scenario_MRF_Bale_ID]],10),2)</f>
        <v>13</v>
      </c>
      <c r="AI537" s="181" t="str">
        <f>INDEX(MRFs[MRF_Name],MATCH(SecondaryTransport[[#This Row],[MRF_ID]],MRFs[MRF_ID],0))</f>
        <v>Directly marketed (no sorting)</v>
      </c>
      <c r="AJ537" s="181" t="str">
        <f>RIGHT(SecondaryTransport[[#This Row],[Scenario_MRF_Bale_ID]],7)</f>
        <v>2000-08</v>
      </c>
      <c r="AK537" s="181" t="str">
        <f>INDEX(Bales[Bale_Name],MATCH(SecondaryTransport[[#This Row],[Bale_ID]],Bales[Bale_ID],0))</f>
        <v>PE colored film</v>
      </c>
      <c r="AL537" s="443">
        <f>INDEX(BaleMover[Total_Baled_tons],MATCH(SecondaryTransport[[#This Row],[Scenario_MRF_Bale_ID]],BaleMover[Scenario_MRF_Bale_ID],0))</f>
        <v>0</v>
      </c>
      <c r="AM537" s="443">
        <f>IF(INDEX(BaleMover[Miles],MATCH(SecondaryTransport[[#This Row],[Scenario_MRF_Bale_ID]],BaleMover[Scenario_MRF_Bale_ID],0))="",0,INDEX(BaleMover[Miles],MATCH(SecondaryTransport[[#This Row],[Scenario_MRF_Bale_ID]],BaleMover[Scenario_MRF_Bale_ID],0)))</f>
        <v>0</v>
      </c>
      <c r="AN537" s="251">
        <f>IF(SecondaryTransport[[#This Row],[Bale_ID]]="9000-01","costs elsewhere",SecondaryTransport[[#This Row],[Total_Baled_tons]]*SecondaryTransport[[#This Row],[Miles]])</f>
        <v>0</v>
      </c>
      <c r="AO537" s="352" t="str">
        <f>IF(LEFT(SecondaryTransport[[#This Row],[Bale_ID]],1)*1=5,IF(OR(SecondaryTransport[[#This Row],[MRF_ID]]="02",SecondaryTransport[[#This Row],[MRF_ID]]="08"),2,1),"")</f>
        <v/>
      </c>
      <c r="AP5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3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37" s="224" t="str">
        <f>IFERROR(IF(1*LEFT(SecondaryTransport[[#This Row],[Bale_ID]],1)=5,SecondaryTransport[[#This Row],[Ton-Miles]]*SecondaryTransport[[#This Row],[Cost_Per_Ton-Mile]],""),"")</f>
        <v/>
      </c>
      <c r="AS537" s="224" t="str">
        <f>IFERROR(IF(SecondaryTransport[[#This Row],[Container_Transfer]]="",(SecondaryTransport[[#This Row],[Ton-Miles]]*SecondaryTransport[[#This Row],[Cost_Per_Ton-Mile]]),""),"")</f>
        <v/>
      </c>
    </row>
    <row r="538" spans="12:45" ht="15" x14ac:dyDescent="0.25">
      <c r="L538" s="446" t="s">
        <v>873</v>
      </c>
      <c r="M538" s="446">
        <v>4</v>
      </c>
      <c r="N538" s="446">
        <v>2</v>
      </c>
      <c r="O538" s="446" t="s">
        <v>748</v>
      </c>
      <c r="P538" s="449" t="s">
        <v>700</v>
      </c>
      <c r="Q538" s="449"/>
      <c r="R538" s="449"/>
      <c r="S538" s="449" t="s">
        <v>765</v>
      </c>
      <c r="T538" s="449" t="s">
        <v>701</v>
      </c>
      <c r="U538" s="452">
        <v>0</v>
      </c>
      <c r="V5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8" s="272" t="str">
        <f>IFERROR(SUMIFS(TransUnitCost[Miles],TransUnitCost[Grouping_ID],TransTonsShort[[#This Row],[Grouping_ID]],TransUnitCost[Transp_ID],TransTonsShort[[#This Row],[Transp_ID]])*TransTonsShort[[#This Row],[Trans_Tons_All]]/TransTonsShort[[#This Row],[Trans_Tons_All]],"")</f>
        <v/>
      </c>
      <c r="X538" s="386" t="str">
        <f>TransTonsShort[[#This Row],[Grouping_ID]]&amp;"-"&amp;TransTonsShort[[#This Row],[Sector_ID]]</f>
        <v>4-2</v>
      </c>
      <c r="Y5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8" s="421">
        <f>INDEX(LandfillFees[Disposal Tip Fee 2025],MATCH(TransTonsShort[[#This Row],[Grouping_ID]],LandfillFees[Grouping_ID],0))</f>
        <v>72.030938699729589</v>
      </c>
      <c r="AA538" s="102">
        <f>IF(OR(TransTonsShort[[#This Row],[CollectionStream_ID]]="03",TransTonsShort[[#This Row],[CollectionStream_ID]]="04",TransTonsShort[[#This Row],[CollectionStream_ID]]="13"),0,TransTonsShort[[#This Row],[Trans_Tons_All]]*TransTonsShort[[#This Row],[Disposal_Fee]])</f>
        <v>0</v>
      </c>
      <c r="AF538" s="446" t="s">
        <v>1711</v>
      </c>
      <c r="AG538" s="442" t="str">
        <f>LEFT(SecondaryTransport[[#This Row],[Scenario_MRF_Bale_ID]],2)</f>
        <v>S2</v>
      </c>
      <c r="AH538" s="181" t="str">
        <f>LEFT(RIGHT(SecondaryTransport[[#This Row],[Scenario_MRF_Bale_ID]],10),2)</f>
        <v>13</v>
      </c>
      <c r="AI538" s="181" t="str">
        <f>INDEX(MRFs[MRF_Name],MATCH(SecondaryTransport[[#This Row],[MRF_ID]],MRFs[MRF_ID],0))</f>
        <v>Directly marketed (no sorting)</v>
      </c>
      <c r="AJ538" s="181" t="str">
        <f>RIGHT(SecondaryTransport[[#This Row],[Scenario_MRF_Bale_ID]],7)</f>
        <v>2000-08</v>
      </c>
      <c r="AK538" s="181" t="str">
        <f>INDEX(Bales[Bale_Name],MATCH(SecondaryTransport[[#This Row],[Bale_ID]],Bales[Bale_ID],0))</f>
        <v>PE colored film</v>
      </c>
      <c r="AL538" s="443">
        <f>INDEX(BaleMover[Total_Baled_tons],MATCH(SecondaryTransport[[#This Row],[Scenario_MRF_Bale_ID]],BaleMover[Scenario_MRF_Bale_ID],0))</f>
        <v>0</v>
      </c>
      <c r="AM538" s="443">
        <f>IF(INDEX(BaleMover[Miles],MATCH(SecondaryTransport[[#This Row],[Scenario_MRF_Bale_ID]],BaleMover[Scenario_MRF_Bale_ID],0))="",0,INDEX(BaleMover[Miles],MATCH(SecondaryTransport[[#This Row],[Scenario_MRF_Bale_ID]],BaleMover[Scenario_MRF_Bale_ID],0)))</f>
        <v>0</v>
      </c>
      <c r="AN538" s="251">
        <f>IF(SecondaryTransport[[#This Row],[Bale_ID]]="9000-01","costs elsewhere",SecondaryTransport[[#This Row],[Total_Baled_tons]]*SecondaryTransport[[#This Row],[Miles]])</f>
        <v>0</v>
      </c>
      <c r="AO538" s="352" t="str">
        <f>IF(LEFT(SecondaryTransport[[#This Row],[Bale_ID]],1)*1=5,IF(OR(SecondaryTransport[[#This Row],[MRF_ID]]="02",SecondaryTransport[[#This Row],[MRF_ID]]="08"),2,1),"")</f>
        <v/>
      </c>
      <c r="AP5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3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38" s="224" t="str">
        <f>IFERROR(IF(1*LEFT(SecondaryTransport[[#This Row],[Bale_ID]],1)=5,SecondaryTransport[[#This Row],[Ton-Miles]]*SecondaryTransport[[#This Row],[Cost_Per_Ton-Mile]],""),"")</f>
        <v/>
      </c>
      <c r="AS538" s="224" t="str">
        <f>IFERROR(IF(SecondaryTransport[[#This Row],[Container_Transfer]]="",(SecondaryTransport[[#This Row],[Ton-Miles]]*SecondaryTransport[[#This Row],[Cost_Per_Ton-Mile]]),""),"")</f>
        <v/>
      </c>
    </row>
    <row r="539" spans="12:45" ht="15" x14ac:dyDescent="0.25">
      <c r="L539" s="446" t="s">
        <v>873</v>
      </c>
      <c r="M539" s="446">
        <v>1</v>
      </c>
      <c r="N539" s="446">
        <v>2</v>
      </c>
      <c r="O539" s="446" t="s">
        <v>748</v>
      </c>
      <c r="P539" s="449" t="s">
        <v>748</v>
      </c>
      <c r="Q539" s="449"/>
      <c r="R539" s="449"/>
      <c r="S539" s="449" t="s">
        <v>765</v>
      </c>
      <c r="T539" s="449" t="s">
        <v>849</v>
      </c>
      <c r="U539" s="452">
        <v>0</v>
      </c>
      <c r="V5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39" s="272" t="str">
        <f>IFERROR(SUMIFS(TransUnitCost[Miles],TransUnitCost[Grouping_ID],TransTonsShort[[#This Row],[Grouping_ID]],TransUnitCost[Transp_ID],TransTonsShort[[#This Row],[Transp_ID]])*TransTonsShort[[#This Row],[Trans_Tons_All]]/TransTonsShort[[#This Row],[Trans_Tons_All]],"")</f>
        <v/>
      </c>
      <c r="X539" s="386" t="str">
        <f>TransTonsShort[[#This Row],[Grouping_ID]]&amp;"-"&amp;TransTonsShort[[#This Row],[Sector_ID]]</f>
        <v>1-2</v>
      </c>
      <c r="Y5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39" s="421">
        <f>INDEX(LandfillFees[Disposal Tip Fee 2025],MATCH(TransTonsShort[[#This Row],[Grouping_ID]],LandfillFees[Grouping_ID],0))</f>
        <v>134.68</v>
      </c>
      <c r="AA539" s="102">
        <f>IF(OR(TransTonsShort[[#This Row],[CollectionStream_ID]]="03",TransTonsShort[[#This Row],[CollectionStream_ID]]="04",TransTonsShort[[#This Row],[CollectionStream_ID]]="13"),0,TransTonsShort[[#This Row],[Trans_Tons_All]]*TransTonsShort[[#This Row],[Disposal_Fee]])</f>
        <v>0</v>
      </c>
      <c r="AF539" s="446" t="s">
        <v>1712</v>
      </c>
      <c r="AG539" s="442" t="str">
        <f>LEFT(SecondaryTransport[[#This Row],[Scenario_MRF_Bale_ID]],2)</f>
        <v>S3</v>
      </c>
      <c r="AH539" s="181" t="str">
        <f>LEFT(RIGHT(SecondaryTransport[[#This Row],[Scenario_MRF_Bale_ID]],10),2)</f>
        <v>13</v>
      </c>
      <c r="AI539" s="181" t="str">
        <f>INDEX(MRFs[MRF_Name],MATCH(SecondaryTransport[[#This Row],[MRF_ID]],MRFs[MRF_ID],0))</f>
        <v>Directly marketed (no sorting)</v>
      </c>
      <c r="AJ539" s="181" t="str">
        <f>RIGHT(SecondaryTransport[[#This Row],[Scenario_MRF_Bale_ID]],7)</f>
        <v>2000-08</v>
      </c>
      <c r="AK539" s="181" t="str">
        <f>INDEX(Bales[Bale_Name],MATCH(SecondaryTransport[[#This Row],[Bale_ID]],Bales[Bale_ID],0))</f>
        <v>PE colored film</v>
      </c>
      <c r="AL539" s="443">
        <f>INDEX(BaleMover[Total_Baled_tons],MATCH(SecondaryTransport[[#This Row],[Scenario_MRF_Bale_ID]],BaleMover[Scenario_MRF_Bale_ID],0))</f>
        <v>0</v>
      </c>
      <c r="AM539" s="443">
        <f>IF(INDEX(BaleMover[Miles],MATCH(SecondaryTransport[[#This Row],[Scenario_MRF_Bale_ID]],BaleMover[Scenario_MRF_Bale_ID],0))="",0,INDEX(BaleMover[Miles],MATCH(SecondaryTransport[[#This Row],[Scenario_MRF_Bale_ID]],BaleMover[Scenario_MRF_Bale_ID],0)))</f>
        <v>0</v>
      </c>
      <c r="AN539" s="251">
        <f>IF(SecondaryTransport[[#This Row],[Bale_ID]]="9000-01","costs elsewhere",SecondaryTransport[[#This Row],[Total_Baled_tons]]*SecondaryTransport[[#This Row],[Miles]])</f>
        <v>0</v>
      </c>
      <c r="AO539" s="352" t="str">
        <f>IF(LEFT(SecondaryTransport[[#This Row],[Bale_ID]],1)*1=5,IF(OR(SecondaryTransport[[#This Row],[MRF_ID]]="02",SecondaryTransport[[#This Row],[MRF_ID]]="08"),2,1),"")</f>
        <v/>
      </c>
      <c r="AP5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3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39" s="224" t="str">
        <f>IFERROR(IF(1*LEFT(SecondaryTransport[[#This Row],[Bale_ID]],1)=5,SecondaryTransport[[#This Row],[Ton-Miles]]*SecondaryTransport[[#This Row],[Cost_Per_Ton-Mile]],""),"")</f>
        <v/>
      </c>
      <c r="AS539" s="224" t="str">
        <f>IFERROR(IF(SecondaryTransport[[#This Row],[Container_Transfer]]="",(SecondaryTransport[[#This Row],[Ton-Miles]]*SecondaryTransport[[#This Row],[Cost_Per_Ton-Mile]]),""),"")</f>
        <v/>
      </c>
    </row>
    <row r="540" spans="12:45" ht="15" x14ac:dyDescent="0.25">
      <c r="L540" s="446" t="s">
        <v>873</v>
      </c>
      <c r="M540" s="446">
        <v>2</v>
      </c>
      <c r="N540" s="446">
        <v>2</v>
      </c>
      <c r="O540" s="446" t="s">
        <v>748</v>
      </c>
      <c r="P540" s="449" t="s">
        <v>748</v>
      </c>
      <c r="Q540" s="449"/>
      <c r="R540" s="449"/>
      <c r="S540" s="449" t="s">
        <v>765</v>
      </c>
      <c r="T540" s="449" t="s">
        <v>849</v>
      </c>
      <c r="U540" s="452">
        <v>0</v>
      </c>
      <c r="V5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0" s="272" t="str">
        <f>IFERROR(SUMIFS(TransUnitCost[Miles],TransUnitCost[Grouping_ID],TransTonsShort[[#This Row],[Grouping_ID]],TransUnitCost[Transp_ID],TransTonsShort[[#This Row],[Transp_ID]])*TransTonsShort[[#This Row],[Trans_Tons_All]]/TransTonsShort[[#This Row],[Trans_Tons_All]],"")</f>
        <v/>
      </c>
      <c r="X540" s="386" t="str">
        <f>TransTonsShort[[#This Row],[Grouping_ID]]&amp;"-"&amp;TransTonsShort[[#This Row],[Sector_ID]]</f>
        <v>2-2</v>
      </c>
      <c r="Y5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0" s="421">
        <f>INDEX(LandfillFees[Disposal Tip Fee 2025],MATCH(TransTonsShort[[#This Row],[Grouping_ID]],LandfillFees[Grouping_ID],0))</f>
        <v>72.030938699729589</v>
      </c>
      <c r="AA540" s="102">
        <f>IF(OR(TransTonsShort[[#This Row],[CollectionStream_ID]]="03",TransTonsShort[[#This Row],[CollectionStream_ID]]="04",TransTonsShort[[#This Row],[CollectionStream_ID]]="13"),0,TransTonsShort[[#This Row],[Trans_Tons_All]]*TransTonsShort[[#This Row],[Disposal_Fee]])</f>
        <v>0</v>
      </c>
      <c r="AF540" s="446" t="s">
        <v>1713</v>
      </c>
      <c r="AG540" s="442" t="str">
        <f>LEFT(SecondaryTransport[[#This Row],[Scenario_MRF_Bale_ID]],2)</f>
        <v>S4</v>
      </c>
      <c r="AH540" s="181" t="str">
        <f>LEFT(RIGHT(SecondaryTransport[[#This Row],[Scenario_MRF_Bale_ID]],10),2)</f>
        <v>13</v>
      </c>
      <c r="AI540" s="181" t="str">
        <f>INDEX(MRFs[MRF_Name],MATCH(SecondaryTransport[[#This Row],[MRF_ID]],MRFs[MRF_ID],0))</f>
        <v>Directly marketed (no sorting)</v>
      </c>
      <c r="AJ540" s="181" t="str">
        <f>RIGHT(SecondaryTransport[[#This Row],[Scenario_MRF_Bale_ID]],7)</f>
        <v>2000-08</v>
      </c>
      <c r="AK540" s="181" t="str">
        <f>INDEX(Bales[Bale_Name],MATCH(SecondaryTransport[[#This Row],[Bale_ID]],Bales[Bale_ID],0))</f>
        <v>PE colored film</v>
      </c>
      <c r="AL540" s="443">
        <f>INDEX(BaleMover[Total_Baled_tons],MATCH(SecondaryTransport[[#This Row],[Scenario_MRF_Bale_ID]],BaleMover[Scenario_MRF_Bale_ID],0))</f>
        <v>0</v>
      </c>
      <c r="AM540" s="443">
        <f>IF(INDEX(BaleMover[Miles],MATCH(SecondaryTransport[[#This Row],[Scenario_MRF_Bale_ID]],BaleMover[Scenario_MRF_Bale_ID],0))="",0,INDEX(BaleMover[Miles],MATCH(SecondaryTransport[[#This Row],[Scenario_MRF_Bale_ID]],BaleMover[Scenario_MRF_Bale_ID],0)))</f>
        <v>0</v>
      </c>
      <c r="AN540" s="251">
        <f>IF(SecondaryTransport[[#This Row],[Bale_ID]]="9000-01","costs elsewhere",SecondaryTransport[[#This Row],[Total_Baled_tons]]*SecondaryTransport[[#This Row],[Miles]])</f>
        <v>0</v>
      </c>
      <c r="AO540" s="352" t="str">
        <f>IF(LEFT(SecondaryTransport[[#This Row],[Bale_ID]],1)*1=5,IF(OR(SecondaryTransport[[#This Row],[MRF_ID]]="02",SecondaryTransport[[#This Row],[MRF_ID]]="08"),2,1),"")</f>
        <v/>
      </c>
      <c r="AP5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0" s="224" t="str">
        <f>IFERROR(IF(1*LEFT(SecondaryTransport[[#This Row],[Bale_ID]],1)=5,SecondaryTransport[[#This Row],[Ton-Miles]]*SecondaryTransport[[#This Row],[Cost_Per_Ton-Mile]],""),"")</f>
        <v/>
      </c>
      <c r="AS540" s="224" t="str">
        <f>IFERROR(IF(SecondaryTransport[[#This Row],[Container_Transfer]]="",(SecondaryTransport[[#This Row],[Ton-Miles]]*SecondaryTransport[[#This Row],[Cost_Per_Ton-Mile]]),""),"")</f>
        <v/>
      </c>
    </row>
    <row r="541" spans="12:45" ht="15" x14ac:dyDescent="0.25">
      <c r="L541" s="446" t="s">
        <v>873</v>
      </c>
      <c r="M541" s="446">
        <v>3</v>
      </c>
      <c r="N541" s="446">
        <v>2</v>
      </c>
      <c r="O541" s="446" t="s">
        <v>748</v>
      </c>
      <c r="P541" s="449" t="s">
        <v>748</v>
      </c>
      <c r="Q541" s="449"/>
      <c r="R541" s="449"/>
      <c r="S541" s="449" t="s">
        <v>765</v>
      </c>
      <c r="T541" s="449" t="s">
        <v>849</v>
      </c>
      <c r="U541" s="452">
        <v>0</v>
      </c>
      <c r="V5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1" s="272" t="str">
        <f>IFERROR(SUMIFS(TransUnitCost[Miles],TransUnitCost[Grouping_ID],TransTonsShort[[#This Row],[Grouping_ID]],TransUnitCost[Transp_ID],TransTonsShort[[#This Row],[Transp_ID]])*TransTonsShort[[#This Row],[Trans_Tons_All]]/TransTonsShort[[#This Row],[Trans_Tons_All]],"")</f>
        <v/>
      </c>
      <c r="X541" s="386" t="str">
        <f>TransTonsShort[[#This Row],[Grouping_ID]]&amp;"-"&amp;TransTonsShort[[#This Row],[Sector_ID]]</f>
        <v>3-2</v>
      </c>
      <c r="Y5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1" s="421">
        <f>INDEX(LandfillFees[Disposal Tip Fee 2025],MATCH(TransTonsShort[[#This Row],[Grouping_ID]],LandfillFees[Grouping_ID],0))</f>
        <v>72.030938699729589</v>
      </c>
      <c r="AA541" s="102">
        <f>IF(OR(TransTonsShort[[#This Row],[CollectionStream_ID]]="03",TransTonsShort[[#This Row],[CollectionStream_ID]]="04",TransTonsShort[[#This Row],[CollectionStream_ID]]="13"),0,TransTonsShort[[#This Row],[Trans_Tons_All]]*TransTonsShort[[#This Row],[Disposal_Fee]])</f>
        <v>0</v>
      </c>
      <c r="AF541" s="446" t="s">
        <v>1714</v>
      </c>
      <c r="AG541" s="442" t="str">
        <f>LEFT(SecondaryTransport[[#This Row],[Scenario_MRF_Bale_ID]],2)</f>
        <v>S0</v>
      </c>
      <c r="AH541" s="181" t="str">
        <f>LEFT(RIGHT(SecondaryTransport[[#This Row],[Scenario_MRF_Bale_ID]],10),2)</f>
        <v>13</v>
      </c>
      <c r="AI541" s="181" t="str">
        <f>INDEX(MRFs[MRF_Name],MATCH(SecondaryTransport[[#This Row],[MRF_ID]],MRFs[MRF_ID],0))</f>
        <v>Directly marketed (no sorting)</v>
      </c>
      <c r="AJ541" s="181" t="str">
        <f>RIGHT(SecondaryTransport[[#This Row],[Scenario_MRF_Bale_ID]],7)</f>
        <v>2000-09</v>
      </c>
      <c r="AK541" s="181" t="str">
        <f>INDEX(Bales[Bale_Name],MATCH(SecondaryTransport[[#This Row],[Bale_ID]],Bales[Bale_ID],0))</f>
        <v>PE retail mix film</v>
      </c>
      <c r="AL541" s="443">
        <f>INDEX(BaleMover[Total_Baled_tons],MATCH(SecondaryTransport[[#This Row],[Scenario_MRF_Bale_ID]],BaleMover[Scenario_MRF_Bale_ID],0))</f>
        <v>0</v>
      </c>
      <c r="AM541" s="443">
        <f>IF(INDEX(BaleMover[Miles],MATCH(SecondaryTransport[[#This Row],[Scenario_MRF_Bale_ID]],BaleMover[Scenario_MRF_Bale_ID],0))="",0,INDEX(BaleMover[Miles],MATCH(SecondaryTransport[[#This Row],[Scenario_MRF_Bale_ID]],BaleMover[Scenario_MRF_Bale_ID],0)))</f>
        <v>0</v>
      </c>
      <c r="AN541" s="251">
        <f>IF(SecondaryTransport[[#This Row],[Bale_ID]]="9000-01","costs elsewhere",SecondaryTransport[[#This Row],[Total_Baled_tons]]*SecondaryTransport[[#This Row],[Miles]])</f>
        <v>0</v>
      </c>
      <c r="AO541" s="352" t="str">
        <f>IF(LEFT(SecondaryTransport[[#This Row],[Bale_ID]],1)*1=5,IF(OR(SecondaryTransport[[#This Row],[MRF_ID]]="02",SecondaryTransport[[#This Row],[MRF_ID]]="08"),2,1),"")</f>
        <v/>
      </c>
      <c r="AP5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1" s="224" t="str">
        <f>IFERROR(IF(1*LEFT(SecondaryTransport[[#This Row],[Bale_ID]],1)=5,SecondaryTransport[[#This Row],[Ton-Miles]]*SecondaryTransport[[#This Row],[Cost_Per_Ton-Mile]],""),"")</f>
        <v/>
      </c>
      <c r="AS541" s="224" t="str">
        <f>IFERROR(IF(SecondaryTransport[[#This Row],[Container_Transfer]]="",(SecondaryTransport[[#This Row],[Ton-Miles]]*SecondaryTransport[[#This Row],[Cost_Per_Ton-Mile]]),""),"")</f>
        <v/>
      </c>
    </row>
    <row r="542" spans="12:45" ht="15" x14ac:dyDescent="0.25">
      <c r="L542" s="446" t="s">
        <v>873</v>
      </c>
      <c r="M542" s="446">
        <v>4</v>
      </c>
      <c r="N542" s="446">
        <v>2</v>
      </c>
      <c r="O542" s="446" t="s">
        <v>748</v>
      </c>
      <c r="P542" s="449" t="s">
        <v>748</v>
      </c>
      <c r="Q542" s="449"/>
      <c r="R542" s="449"/>
      <c r="S542" s="449" t="s">
        <v>765</v>
      </c>
      <c r="T542" s="449" t="s">
        <v>849</v>
      </c>
      <c r="U542" s="452">
        <v>0</v>
      </c>
      <c r="V5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2" s="272" t="str">
        <f>IFERROR(SUMIFS(TransUnitCost[Miles],TransUnitCost[Grouping_ID],TransTonsShort[[#This Row],[Grouping_ID]],TransUnitCost[Transp_ID],TransTonsShort[[#This Row],[Transp_ID]])*TransTonsShort[[#This Row],[Trans_Tons_All]]/TransTonsShort[[#This Row],[Trans_Tons_All]],"")</f>
        <v/>
      </c>
      <c r="X542" s="386" t="str">
        <f>TransTonsShort[[#This Row],[Grouping_ID]]&amp;"-"&amp;TransTonsShort[[#This Row],[Sector_ID]]</f>
        <v>4-2</v>
      </c>
      <c r="Y5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2" s="421">
        <f>INDEX(LandfillFees[Disposal Tip Fee 2025],MATCH(TransTonsShort[[#This Row],[Grouping_ID]],LandfillFees[Grouping_ID],0))</f>
        <v>72.030938699729589</v>
      </c>
      <c r="AA542" s="102">
        <f>IF(OR(TransTonsShort[[#This Row],[CollectionStream_ID]]="03",TransTonsShort[[#This Row],[CollectionStream_ID]]="04",TransTonsShort[[#This Row],[CollectionStream_ID]]="13"),0,TransTonsShort[[#This Row],[Trans_Tons_All]]*TransTonsShort[[#This Row],[Disposal_Fee]])</f>
        <v>0</v>
      </c>
      <c r="AF542" s="446" t="s">
        <v>1715</v>
      </c>
      <c r="AG542" s="442" t="str">
        <f>LEFT(SecondaryTransport[[#This Row],[Scenario_MRF_Bale_ID]],2)</f>
        <v>S1</v>
      </c>
      <c r="AH542" s="181" t="str">
        <f>LEFT(RIGHT(SecondaryTransport[[#This Row],[Scenario_MRF_Bale_ID]],10),2)</f>
        <v>13</v>
      </c>
      <c r="AI542" s="181" t="str">
        <f>INDEX(MRFs[MRF_Name],MATCH(SecondaryTransport[[#This Row],[MRF_ID]],MRFs[MRF_ID],0))</f>
        <v>Directly marketed (no sorting)</v>
      </c>
      <c r="AJ542" s="181" t="str">
        <f>RIGHT(SecondaryTransport[[#This Row],[Scenario_MRF_Bale_ID]],7)</f>
        <v>2000-09</v>
      </c>
      <c r="AK542" s="181" t="str">
        <f>INDEX(Bales[Bale_Name],MATCH(SecondaryTransport[[#This Row],[Bale_ID]],Bales[Bale_ID],0))</f>
        <v>PE retail mix film</v>
      </c>
      <c r="AL542" s="443">
        <f>INDEX(BaleMover[Total_Baled_tons],MATCH(SecondaryTransport[[#This Row],[Scenario_MRF_Bale_ID]],BaleMover[Scenario_MRF_Bale_ID],0))</f>
        <v>0</v>
      </c>
      <c r="AM542" s="443">
        <f>IF(INDEX(BaleMover[Miles],MATCH(SecondaryTransport[[#This Row],[Scenario_MRF_Bale_ID]],BaleMover[Scenario_MRF_Bale_ID],0))="",0,INDEX(BaleMover[Miles],MATCH(SecondaryTransport[[#This Row],[Scenario_MRF_Bale_ID]],BaleMover[Scenario_MRF_Bale_ID],0)))</f>
        <v>0</v>
      </c>
      <c r="AN542" s="251">
        <f>IF(SecondaryTransport[[#This Row],[Bale_ID]]="9000-01","costs elsewhere",SecondaryTransport[[#This Row],[Total_Baled_tons]]*SecondaryTransport[[#This Row],[Miles]])</f>
        <v>0</v>
      </c>
      <c r="AO542" s="352" t="str">
        <f>IF(LEFT(SecondaryTransport[[#This Row],[Bale_ID]],1)*1=5,IF(OR(SecondaryTransport[[#This Row],[MRF_ID]]="02",SecondaryTransport[[#This Row],[MRF_ID]]="08"),2,1),"")</f>
        <v/>
      </c>
      <c r="AP5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2" s="224" t="str">
        <f>IFERROR(IF(1*LEFT(SecondaryTransport[[#This Row],[Bale_ID]],1)=5,SecondaryTransport[[#This Row],[Ton-Miles]]*SecondaryTransport[[#This Row],[Cost_Per_Ton-Mile]],""),"")</f>
        <v/>
      </c>
      <c r="AS542" s="224" t="str">
        <f>IFERROR(IF(SecondaryTransport[[#This Row],[Container_Transfer]]="",(SecondaryTransport[[#This Row],[Ton-Miles]]*SecondaryTransport[[#This Row],[Cost_Per_Ton-Mile]]),""),"")</f>
        <v/>
      </c>
    </row>
    <row r="543" spans="12:45" ht="15" x14ac:dyDescent="0.25">
      <c r="L543" s="446" t="s">
        <v>873</v>
      </c>
      <c r="M543" s="446">
        <v>1</v>
      </c>
      <c r="N543" s="446">
        <v>2</v>
      </c>
      <c r="O543" s="446" t="s">
        <v>746</v>
      </c>
      <c r="P543" s="449" t="s">
        <v>719</v>
      </c>
      <c r="Q543" s="449"/>
      <c r="R543" s="449"/>
      <c r="S543" s="449" t="s">
        <v>762</v>
      </c>
      <c r="T543" s="449" t="s">
        <v>1055</v>
      </c>
      <c r="U543" s="452">
        <v>0</v>
      </c>
      <c r="V5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3" s="272" t="str">
        <f>IFERROR(SUMIFS(TransUnitCost[Miles],TransUnitCost[Grouping_ID],TransTonsShort[[#This Row],[Grouping_ID]],TransUnitCost[Transp_ID],TransTonsShort[[#This Row],[Transp_ID]])*TransTonsShort[[#This Row],[Trans_Tons_All]]/TransTonsShort[[#This Row],[Trans_Tons_All]],"")</f>
        <v/>
      </c>
      <c r="X543" s="386" t="str">
        <f>TransTonsShort[[#This Row],[Grouping_ID]]&amp;"-"&amp;TransTonsShort[[#This Row],[Sector_ID]]</f>
        <v>1-2</v>
      </c>
      <c r="Y5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3" s="421">
        <f>INDEX(LandfillFees[Disposal Tip Fee 2025],MATCH(TransTonsShort[[#This Row],[Grouping_ID]],LandfillFees[Grouping_ID],0))</f>
        <v>134.68</v>
      </c>
      <c r="AA543" s="102">
        <f>IF(OR(TransTonsShort[[#This Row],[CollectionStream_ID]]="03",TransTonsShort[[#This Row],[CollectionStream_ID]]="04",TransTonsShort[[#This Row],[CollectionStream_ID]]="13"),0,TransTonsShort[[#This Row],[Trans_Tons_All]]*TransTonsShort[[#This Row],[Disposal_Fee]])</f>
        <v>0</v>
      </c>
      <c r="AF543" s="446" t="s">
        <v>1716</v>
      </c>
      <c r="AG543" s="442" t="str">
        <f>LEFT(SecondaryTransport[[#This Row],[Scenario_MRF_Bale_ID]],2)</f>
        <v>S2</v>
      </c>
      <c r="AH543" s="181" t="str">
        <f>LEFT(RIGHT(SecondaryTransport[[#This Row],[Scenario_MRF_Bale_ID]],10),2)</f>
        <v>13</v>
      </c>
      <c r="AI543" s="181" t="str">
        <f>INDEX(MRFs[MRF_Name],MATCH(SecondaryTransport[[#This Row],[MRF_ID]],MRFs[MRF_ID],0))</f>
        <v>Directly marketed (no sorting)</v>
      </c>
      <c r="AJ543" s="181" t="str">
        <f>RIGHT(SecondaryTransport[[#This Row],[Scenario_MRF_Bale_ID]],7)</f>
        <v>2000-09</v>
      </c>
      <c r="AK543" s="181" t="str">
        <f>INDEX(Bales[Bale_Name],MATCH(SecondaryTransport[[#This Row],[Bale_ID]],Bales[Bale_ID],0))</f>
        <v>PE retail mix film</v>
      </c>
      <c r="AL543" s="443">
        <f>INDEX(BaleMover[Total_Baled_tons],MATCH(SecondaryTransport[[#This Row],[Scenario_MRF_Bale_ID]],BaleMover[Scenario_MRF_Bale_ID],0))</f>
        <v>0</v>
      </c>
      <c r="AM543" s="443">
        <f>IF(INDEX(BaleMover[Miles],MATCH(SecondaryTransport[[#This Row],[Scenario_MRF_Bale_ID]],BaleMover[Scenario_MRF_Bale_ID],0))="",0,INDEX(BaleMover[Miles],MATCH(SecondaryTransport[[#This Row],[Scenario_MRF_Bale_ID]],BaleMover[Scenario_MRF_Bale_ID],0)))</f>
        <v>0</v>
      </c>
      <c r="AN543" s="251">
        <f>IF(SecondaryTransport[[#This Row],[Bale_ID]]="9000-01","costs elsewhere",SecondaryTransport[[#This Row],[Total_Baled_tons]]*SecondaryTransport[[#This Row],[Miles]])</f>
        <v>0</v>
      </c>
      <c r="AO543" s="352" t="str">
        <f>IF(LEFT(SecondaryTransport[[#This Row],[Bale_ID]],1)*1=5,IF(OR(SecondaryTransport[[#This Row],[MRF_ID]]="02",SecondaryTransport[[#This Row],[MRF_ID]]="08"),2,1),"")</f>
        <v/>
      </c>
      <c r="AP5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3" s="224" t="str">
        <f>IFERROR(IF(1*LEFT(SecondaryTransport[[#This Row],[Bale_ID]],1)=5,SecondaryTransport[[#This Row],[Ton-Miles]]*SecondaryTransport[[#This Row],[Cost_Per_Ton-Mile]],""),"")</f>
        <v/>
      </c>
      <c r="AS543" s="224" t="str">
        <f>IFERROR(IF(SecondaryTransport[[#This Row],[Container_Transfer]]="",(SecondaryTransport[[#This Row],[Ton-Miles]]*SecondaryTransport[[#This Row],[Cost_Per_Ton-Mile]]),""),"")</f>
        <v/>
      </c>
    </row>
    <row r="544" spans="12:45" ht="15" x14ac:dyDescent="0.25">
      <c r="L544" s="446" t="s">
        <v>873</v>
      </c>
      <c r="M544" s="446">
        <v>2</v>
      </c>
      <c r="N544" s="446">
        <v>2</v>
      </c>
      <c r="O544" s="446" t="s">
        <v>746</v>
      </c>
      <c r="P544" s="449" t="s">
        <v>719</v>
      </c>
      <c r="Q544" s="449"/>
      <c r="R544" s="449"/>
      <c r="S544" s="449" t="s">
        <v>762</v>
      </c>
      <c r="T544" s="449" t="s">
        <v>1055</v>
      </c>
      <c r="U544" s="452">
        <v>0</v>
      </c>
      <c r="V5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4" s="272" t="str">
        <f>IFERROR(SUMIFS(TransUnitCost[Miles],TransUnitCost[Grouping_ID],TransTonsShort[[#This Row],[Grouping_ID]],TransUnitCost[Transp_ID],TransTonsShort[[#This Row],[Transp_ID]])*TransTonsShort[[#This Row],[Trans_Tons_All]]/TransTonsShort[[#This Row],[Trans_Tons_All]],"")</f>
        <v/>
      </c>
      <c r="X544" s="386" t="str">
        <f>TransTonsShort[[#This Row],[Grouping_ID]]&amp;"-"&amp;TransTonsShort[[#This Row],[Sector_ID]]</f>
        <v>2-2</v>
      </c>
      <c r="Y5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4" s="421">
        <f>INDEX(LandfillFees[Disposal Tip Fee 2025],MATCH(TransTonsShort[[#This Row],[Grouping_ID]],LandfillFees[Grouping_ID],0))</f>
        <v>72.030938699729589</v>
      </c>
      <c r="AA544" s="102">
        <f>IF(OR(TransTonsShort[[#This Row],[CollectionStream_ID]]="03",TransTonsShort[[#This Row],[CollectionStream_ID]]="04",TransTonsShort[[#This Row],[CollectionStream_ID]]="13"),0,TransTonsShort[[#This Row],[Trans_Tons_All]]*TransTonsShort[[#This Row],[Disposal_Fee]])</f>
        <v>0</v>
      </c>
      <c r="AF544" s="446" t="s">
        <v>1717</v>
      </c>
      <c r="AG544" s="442" t="str">
        <f>LEFT(SecondaryTransport[[#This Row],[Scenario_MRF_Bale_ID]],2)</f>
        <v>S3</v>
      </c>
      <c r="AH544" s="181" t="str">
        <f>LEFT(RIGHT(SecondaryTransport[[#This Row],[Scenario_MRF_Bale_ID]],10),2)</f>
        <v>13</v>
      </c>
      <c r="AI544" s="181" t="str">
        <f>INDEX(MRFs[MRF_Name],MATCH(SecondaryTransport[[#This Row],[MRF_ID]],MRFs[MRF_ID],0))</f>
        <v>Directly marketed (no sorting)</v>
      </c>
      <c r="AJ544" s="181" t="str">
        <f>RIGHT(SecondaryTransport[[#This Row],[Scenario_MRF_Bale_ID]],7)</f>
        <v>2000-09</v>
      </c>
      <c r="AK544" s="181" t="str">
        <f>INDEX(Bales[Bale_Name],MATCH(SecondaryTransport[[#This Row],[Bale_ID]],Bales[Bale_ID],0))</f>
        <v>PE retail mix film</v>
      </c>
      <c r="AL544" s="443">
        <f>INDEX(BaleMover[Total_Baled_tons],MATCH(SecondaryTransport[[#This Row],[Scenario_MRF_Bale_ID]],BaleMover[Scenario_MRF_Bale_ID],0))</f>
        <v>0</v>
      </c>
      <c r="AM544" s="443">
        <f>IF(INDEX(BaleMover[Miles],MATCH(SecondaryTransport[[#This Row],[Scenario_MRF_Bale_ID]],BaleMover[Scenario_MRF_Bale_ID],0))="",0,INDEX(BaleMover[Miles],MATCH(SecondaryTransport[[#This Row],[Scenario_MRF_Bale_ID]],BaleMover[Scenario_MRF_Bale_ID],0)))</f>
        <v>0</v>
      </c>
      <c r="AN544" s="251">
        <f>IF(SecondaryTransport[[#This Row],[Bale_ID]]="9000-01","costs elsewhere",SecondaryTransport[[#This Row],[Total_Baled_tons]]*SecondaryTransport[[#This Row],[Miles]])</f>
        <v>0</v>
      </c>
      <c r="AO544" s="352" t="str">
        <f>IF(LEFT(SecondaryTransport[[#This Row],[Bale_ID]],1)*1=5,IF(OR(SecondaryTransport[[#This Row],[MRF_ID]]="02",SecondaryTransport[[#This Row],[MRF_ID]]="08"),2,1),"")</f>
        <v/>
      </c>
      <c r="AP5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4" s="224" t="str">
        <f>IFERROR(IF(1*LEFT(SecondaryTransport[[#This Row],[Bale_ID]],1)=5,SecondaryTransport[[#This Row],[Ton-Miles]]*SecondaryTransport[[#This Row],[Cost_Per_Ton-Mile]],""),"")</f>
        <v/>
      </c>
      <c r="AS544" s="224" t="str">
        <f>IFERROR(IF(SecondaryTransport[[#This Row],[Container_Transfer]]="",(SecondaryTransport[[#This Row],[Ton-Miles]]*SecondaryTransport[[#This Row],[Cost_Per_Ton-Mile]]),""),"")</f>
        <v/>
      </c>
    </row>
    <row r="545" spans="12:45" ht="15" x14ac:dyDescent="0.25">
      <c r="L545" s="446" t="s">
        <v>873</v>
      </c>
      <c r="M545" s="446">
        <v>3</v>
      </c>
      <c r="N545" s="446">
        <v>2</v>
      </c>
      <c r="O545" s="446" t="s">
        <v>746</v>
      </c>
      <c r="P545" s="449" t="s">
        <v>719</v>
      </c>
      <c r="Q545" s="449"/>
      <c r="R545" s="449"/>
      <c r="S545" s="449" t="s">
        <v>762</v>
      </c>
      <c r="T545" s="449" t="s">
        <v>1055</v>
      </c>
      <c r="U545" s="452">
        <v>0</v>
      </c>
      <c r="V5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5" s="272" t="str">
        <f>IFERROR(SUMIFS(TransUnitCost[Miles],TransUnitCost[Grouping_ID],TransTonsShort[[#This Row],[Grouping_ID]],TransUnitCost[Transp_ID],TransTonsShort[[#This Row],[Transp_ID]])*TransTonsShort[[#This Row],[Trans_Tons_All]]/TransTonsShort[[#This Row],[Trans_Tons_All]],"")</f>
        <v/>
      </c>
      <c r="X545" s="386" t="str">
        <f>TransTonsShort[[#This Row],[Grouping_ID]]&amp;"-"&amp;TransTonsShort[[#This Row],[Sector_ID]]</f>
        <v>3-2</v>
      </c>
      <c r="Y5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5" s="421">
        <f>INDEX(LandfillFees[Disposal Tip Fee 2025],MATCH(TransTonsShort[[#This Row],[Grouping_ID]],LandfillFees[Grouping_ID],0))</f>
        <v>72.030938699729589</v>
      </c>
      <c r="AA545" s="102">
        <f>IF(OR(TransTonsShort[[#This Row],[CollectionStream_ID]]="03",TransTonsShort[[#This Row],[CollectionStream_ID]]="04",TransTonsShort[[#This Row],[CollectionStream_ID]]="13"),0,TransTonsShort[[#This Row],[Trans_Tons_All]]*TransTonsShort[[#This Row],[Disposal_Fee]])</f>
        <v>0</v>
      </c>
      <c r="AF545" s="446" t="s">
        <v>1718</v>
      </c>
      <c r="AG545" s="442" t="str">
        <f>LEFT(SecondaryTransport[[#This Row],[Scenario_MRF_Bale_ID]],2)</f>
        <v>S4</v>
      </c>
      <c r="AH545" s="181" t="str">
        <f>LEFT(RIGHT(SecondaryTransport[[#This Row],[Scenario_MRF_Bale_ID]],10),2)</f>
        <v>13</v>
      </c>
      <c r="AI545" s="181" t="str">
        <f>INDEX(MRFs[MRF_Name],MATCH(SecondaryTransport[[#This Row],[MRF_ID]],MRFs[MRF_ID],0))</f>
        <v>Directly marketed (no sorting)</v>
      </c>
      <c r="AJ545" s="181" t="str">
        <f>RIGHT(SecondaryTransport[[#This Row],[Scenario_MRF_Bale_ID]],7)</f>
        <v>2000-09</v>
      </c>
      <c r="AK545" s="181" t="str">
        <f>INDEX(Bales[Bale_Name],MATCH(SecondaryTransport[[#This Row],[Bale_ID]],Bales[Bale_ID],0))</f>
        <v>PE retail mix film</v>
      </c>
      <c r="AL545" s="443">
        <f>INDEX(BaleMover[Total_Baled_tons],MATCH(SecondaryTransport[[#This Row],[Scenario_MRF_Bale_ID]],BaleMover[Scenario_MRF_Bale_ID],0))</f>
        <v>0</v>
      </c>
      <c r="AM545" s="443">
        <f>IF(INDEX(BaleMover[Miles],MATCH(SecondaryTransport[[#This Row],[Scenario_MRF_Bale_ID]],BaleMover[Scenario_MRF_Bale_ID],0))="",0,INDEX(BaleMover[Miles],MATCH(SecondaryTransport[[#This Row],[Scenario_MRF_Bale_ID]],BaleMover[Scenario_MRF_Bale_ID],0)))</f>
        <v>0</v>
      </c>
      <c r="AN545" s="251">
        <f>IF(SecondaryTransport[[#This Row],[Bale_ID]]="9000-01","costs elsewhere",SecondaryTransport[[#This Row],[Total_Baled_tons]]*SecondaryTransport[[#This Row],[Miles]])</f>
        <v>0</v>
      </c>
      <c r="AO545" s="352" t="str">
        <f>IF(LEFT(SecondaryTransport[[#This Row],[Bale_ID]],1)*1=5,IF(OR(SecondaryTransport[[#This Row],[MRF_ID]]="02",SecondaryTransport[[#This Row],[MRF_ID]]="08"),2,1),"")</f>
        <v/>
      </c>
      <c r="AP5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4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45" s="224" t="str">
        <f>IFERROR(IF(1*LEFT(SecondaryTransport[[#This Row],[Bale_ID]],1)=5,SecondaryTransport[[#This Row],[Ton-Miles]]*SecondaryTransport[[#This Row],[Cost_Per_Ton-Mile]],""),"")</f>
        <v/>
      </c>
      <c r="AS545" s="224" t="str">
        <f>IFERROR(IF(SecondaryTransport[[#This Row],[Container_Transfer]]="",(SecondaryTransport[[#This Row],[Ton-Miles]]*SecondaryTransport[[#This Row],[Cost_Per_Ton-Mile]]),""),"")</f>
        <v/>
      </c>
    </row>
    <row r="546" spans="12:45" ht="15" x14ac:dyDescent="0.25">
      <c r="L546" s="446" t="s">
        <v>873</v>
      </c>
      <c r="M546" s="446">
        <v>4</v>
      </c>
      <c r="N546" s="446">
        <v>2</v>
      </c>
      <c r="O546" s="446" t="s">
        <v>746</v>
      </c>
      <c r="P546" s="449" t="s">
        <v>719</v>
      </c>
      <c r="Q546" s="449"/>
      <c r="R546" s="449"/>
      <c r="S546" s="449" t="s">
        <v>762</v>
      </c>
      <c r="T546" s="449" t="s">
        <v>1055</v>
      </c>
      <c r="U546" s="452">
        <v>0</v>
      </c>
      <c r="V5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6" s="272" t="str">
        <f>IFERROR(SUMIFS(TransUnitCost[Miles],TransUnitCost[Grouping_ID],TransTonsShort[[#This Row],[Grouping_ID]],TransUnitCost[Transp_ID],TransTonsShort[[#This Row],[Transp_ID]])*TransTonsShort[[#This Row],[Trans_Tons_All]]/TransTonsShort[[#This Row],[Trans_Tons_All]],"")</f>
        <v/>
      </c>
      <c r="X546" s="386" t="str">
        <f>TransTonsShort[[#This Row],[Grouping_ID]]&amp;"-"&amp;TransTonsShort[[#This Row],[Sector_ID]]</f>
        <v>4-2</v>
      </c>
      <c r="Y5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6" s="421">
        <f>INDEX(LandfillFees[Disposal Tip Fee 2025],MATCH(TransTonsShort[[#This Row],[Grouping_ID]],LandfillFees[Grouping_ID],0))</f>
        <v>72.030938699729589</v>
      </c>
      <c r="AA546" s="102">
        <f>IF(OR(TransTonsShort[[#This Row],[CollectionStream_ID]]="03",TransTonsShort[[#This Row],[CollectionStream_ID]]="04",TransTonsShort[[#This Row],[CollectionStream_ID]]="13"),0,TransTonsShort[[#This Row],[Trans_Tons_All]]*TransTonsShort[[#This Row],[Disposal_Fee]])</f>
        <v>0</v>
      </c>
      <c r="AF546" s="446" t="s">
        <v>1719</v>
      </c>
      <c r="AG546" s="442" t="str">
        <f>LEFT(SecondaryTransport[[#This Row],[Scenario_MRF_Bale_ID]],2)</f>
        <v>S0</v>
      </c>
      <c r="AH546" s="181" t="str">
        <f>LEFT(RIGHT(SecondaryTransport[[#This Row],[Scenario_MRF_Bale_ID]],10),2)</f>
        <v>13</v>
      </c>
      <c r="AI546" s="181" t="str">
        <f>INDEX(MRFs[MRF_Name],MATCH(SecondaryTransport[[#This Row],[MRF_ID]],MRFs[MRF_ID],0))</f>
        <v>Directly marketed (no sorting)</v>
      </c>
      <c r="AJ546" s="181" t="str">
        <f>RIGHT(SecondaryTransport[[#This Row],[Scenario_MRF_Bale_ID]],7)</f>
        <v>2000-10</v>
      </c>
      <c r="AK546" s="181" t="str">
        <f>INDEX(Bales[Bale_Name],MATCH(SecondaryTransport[[#This Row],[Bale_ID]],Bales[Bale_ID],0))</f>
        <v>Mixed bulky rigid plastics (mainly PE and PP) </v>
      </c>
      <c r="AL546" s="443">
        <f>INDEX(BaleMover[Total_Baled_tons],MATCH(SecondaryTransport[[#This Row],[Scenario_MRF_Bale_ID]],BaleMover[Scenario_MRF_Bale_ID],0))</f>
        <v>40.228254440081649</v>
      </c>
      <c r="AM546" s="443">
        <f>IF(INDEX(BaleMover[Miles],MATCH(SecondaryTransport[[#This Row],[Scenario_MRF_Bale_ID]],BaleMover[Scenario_MRF_Bale_ID],0))="",0,INDEX(BaleMover[Miles],MATCH(SecondaryTransport[[#This Row],[Scenario_MRF_Bale_ID]],BaleMover[Scenario_MRF_Bale_ID],0)))</f>
        <v>2680</v>
      </c>
      <c r="AN546" s="251">
        <f>IF(SecondaryTransport[[#This Row],[Bale_ID]]="9000-01","costs elsewhere",SecondaryTransport[[#This Row],[Total_Baled_tons]]*SecondaryTransport[[#This Row],[Miles]])</f>
        <v>107811.72189941882</v>
      </c>
      <c r="AO546" s="352" t="str">
        <f>IF(LEFT(SecondaryTransport[[#This Row],[Bale_ID]],1)*1=5,IF(OR(SecondaryTransport[[#This Row],[MRF_ID]]="02",SecondaryTransport[[#This Row],[MRF_ID]]="08"),2,1),"")</f>
        <v/>
      </c>
      <c r="AP5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4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46" s="224" t="str">
        <f>IFERROR(IF(1*LEFT(SecondaryTransport[[#This Row],[Bale_ID]],1)=5,SecondaryTransport[[#This Row],[Ton-Miles]]*SecondaryTransport[[#This Row],[Cost_Per_Ton-Mile]],""),"")</f>
        <v/>
      </c>
      <c r="AS546" s="224">
        <f>IFERROR(IF(SecondaryTransport[[#This Row],[Container_Transfer]]="",(SecondaryTransport[[#This Row],[Ton-Miles]]*SecondaryTransport[[#This Row],[Cost_Per_Ton-Mile]]),""),"")</f>
        <v>15093.641065918635</v>
      </c>
    </row>
    <row r="547" spans="12:45" ht="15" x14ac:dyDescent="0.25">
      <c r="L547" s="446" t="s">
        <v>873</v>
      </c>
      <c r="M547" s="446">
        <v>1</v>
      </c>
      <c r="N547" s="446">
        <v>2</v>
      </c>
      <c r="O547" s="446" t="s">
        <v>746</v>
      </c>
      <c r="P547" s="450" t="s">
        <v>700</v>
      </c>
      <c r="Q547" s="450"/>
      <c r="R547" s="450"/>
      <c r="S547" s="449" t="s">
        <v>762</v>
      </c>
      <c r="T547" s="449" t="s">
        <v>701</v>
      </c>
      <c r="U547" s="452">
        <v>0</v>
      </c>
      <c r="V5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7" s="272" t="str">
        <f>IFERROR(SUMIFS(TransUnitCost[Miles],TransUnitCost[Grouping_ID],TransTonsShort[[#This Row],[Grouping_ID]],TransUnitCost[Transp_ID],TransTonsShort[[#This Row],[Transp_ID]])*TransTonsShort[[#This Row],[Trans_Tons_All]]/TransTonsShort[[#This Row],[Trans_Tons_All]],"")</f>
        <v/>
      </c>
      <c r="X547" s="386" t="str">
        <f>TransTonsShort[[#This Row],[Grouping_ID]]&amp;"-"&amp;TransTonsShort[[#This Row],[Sector_ID]]</f>
        <v>1-2</v>
      </c>
      <c r="Y5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7" s="421">
        <f>INDEX(LandfillFees[Disposal Tip Fee 2025],MATCH(TransTonsShort[[#This Row],[Grouping_ID]],LandfillFees[Grouping_ID],0))</f>
        <v>134.68</v>
      </c>
      <c r="AA547" s="102">
        <f>IF(OR(TransTonsShort[[#This Row],[CollectionStream_ID]]="03",TransTonsShort[[#This Row],[CollectionStream_ID]]="04",TransTonsShort[[#This Row],[CollectionStream_ID]]="13"),0,TransTonsShort[[#This Row],[Trans_Tons_All]]*TransTonsShort[[#This Row],[Disposal_Fee]])</f>
        <v>0</v>
      </c>
      <c r="AF547" s="446" t="s">
        <v>1720</v>
      </c>
      <c r="AG547" s="442" t="str">
        <f>LEFT(SecondaryTransport[[#This Row],[Scenario_MRF_Bale_ID]],2)</f>
        <v>S1</v>
      </c>
      <c r="AH547" s="181" t="str">
        <f>LEFT(RIGHT(SecondaryTransport[[#This Row],[Scenario_MRF_Bale_ID]],10),2)</f>
        <v>13</v>
      </c>
      <c r="AI547" s="181" t="str">
        <f>INDEX(MRFs[MRF_Name],MATCH(SecondaryTransport[[#This Row],[MRF_ID]],MRFs[MRF_ID],0))</f>
        <v>Directly marketed (no sorting)</v>
      </c>
      <c r="AJ547" s="181" t="str">
        <f>RIGHT(SecondaryTransport[[#This Row],[Scenario_MRF_Bale_ID]],7)</f>
        <v>2000-10</v>
      </c>
      <c r="AK547" s="181" t="str">
        <f>INDEX(Bales[Bale_Name],MATCH(SecondaryTransport[[#This Row],[Bale_ID]],Bales[Bale_ID],0))</f>
        <v>Mixed bulky rigid plastics (mainly PE and PP) </v>
      </c>
      <c r="AL547" s="443">
        <f>INDEX(BaleMover[Total_Baled_tons],MATCH(SecondaryTransport[[#This Row],[Scenario_MRF_Bale_ID]],BaleMover[Scenario_MRF_Bale_ID],0))</f>
        <v>40.228254440081649</v>
      </c>
      <c r="AM547" s="443">
        <f>IF(INDEX(BaleMover[Miles],MATCH(SecondaryTransport[[#This Row],[Scenario_MRF_Bale_ID]],BaleMover[Scenario_MRF_Bale_ID],0))="",0,INDEX(BaleMover[Miles],MATCH(SecondaryTransport[[#This Row],[Scenario_MRF_Bale_ID]],BaleMover[Scenario_MRF_Bale_ID],0)))</f>
        <v>2680</v>
      </c>
      <c r="AN547" s="251">
        <f>IF(SecondaryTransport[[#This Row],[Bale_ID]]="9000-01","costs elsewhere",SecondaryTransport[[#This Row],[Total_Baled_tons]]*SecondaryTransport[[#This Row],[Miles]])</f>
        <v>107811.72189941882</v>
      </c>
      <c r="AO547" s="352" t="str">
        <f>IF(LEFT(SecondaryTransport[[#This Row],[Bale_ID]],1)*1=5,IF(OR(SecondaryTransport[[#This Row],[MRF_ID]]="02",SecondaryTransport[[#This Row],[MRF_ID]]="08"),2,1),"")</f>
        <v/>
      </c>
      <c r="AP5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4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47" s="224" t="str">
        <f>IFERROR(IF(1*LEFT(SecondaryTransport[[#This Row],[Bale_ID]],1)=5,SecondaryTransport[[#This Row],[Ton-Miles]]*SecondaryTransport[[#This Row],[Cost_Per_Ton-Mile]],""),"")</f>
        <v/>
      </c>
      <c r="AS547" s="224">
        <f>IFERROR(IF(SecondaryTransport[[#This Row],[Container_Transfer]]="",(SecondaryTransport[[#This Row],[Ton-Miles]]*SecondaryTransport[[#This Row],[Cost_Per_Ton-Mile]]),""),"")</f>
        <v>15093.641065918635</v>
      </c>
    </row>
    <row r="548" spans="12:45" ht="15" x14ac:dyDescent="0.25">
      <c r="L548" s="446" t="s">
        <v>873</v>
      </c>
      <c r="M548" s="446">
        <v>2</v>
      </c>
      <c r="N548" s="446">
        <v>2</v>
      </c>
      <c r="O548" s="446" t="s">
        <v>746</v>
      </c>
      <c r="P548" s="450" t="s">
        <v>700</v>
      </c>
      <c r="Q548" s="450"/>
      <c r="R548" s="450"/>
      <c r="S548" s="449" t="s">
        <v>762</v>
      </c>
      <c r="T548" s="449" t="s">
        <v>701</v>
      </c>
      <c r="U548" s="452">
        <v>0</v>
      </c>
      <c r="V5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8" s="272" t="str">
        <f>IFERROR(SUMIFS(TransUnitCost[Miles],TransUnitCost[Grouping_ID],TransTonsShort[[#This Row],[Grouping_ID]],TransUnitCost[Transp_ID],TransTonsShort[[#This Row],[Transp_ID]])*TransTonsShort[[#This Row],[Trans_Tons_All]]/TransTonsShort[[#This Row],[Trans_Tons_All]],"")</f>
        <v/>
      </c>
      <c r="X548" s="386" t="str">
        <f>TransTonsShort[[#This Row],[Grouping_ID]]&amp;"-"&amp;TransTonsShort[[#This Row],[Sector_ID]]</f>
        <v>2-2</v>
      </c>
      <c r="Y5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8" s="421">
        <f>INDEX(LandfillFees[Disposal Tip Fee 2025],MATCH(TransTonsShort[[#This Row],[Grouping_ID]],LandfillFees[Grouping_ID],0))</f>
        <v>72.030938699729589</v>
      </c>
      <c r="AA548" s="102">
        <f>IF(OR(TransTonsShort[[#This Row],[CollectionStream_ID]]="03",TransTonsShort[[#This Row],[CollectionStream_ID]]="04",TransTonsShort[[#This Row],[CollectionStream_ID]]="13"),0,TransTonsShort[[#This Row],[Trans_Tons_All]]*TransTonsShort[[#This Row],[Disposal_Fee]])</f>
        <v>0</v>
      </c>
      <c r="AF548" s="446" t="s">
        <v>1721</v>
      </c>
      <c r="AG548" s="442" t="str">
        <f>LEFT(SecondaryTransport[[#This Row],[Scenario_MRF_Bale_ID]],2)</f>
        <v>S2</v>
      </c>
      <c r="AH548" s="181" t="str">
        <f>LEFT(RIGHT(SecondaryTransport[[#This Row],[Scenario_MRF_Bale_ID]],10),2)</f>
        <v>13</v>
      </c>
      <c r="AI548" s="181" t="str">
        <f>INDEX(MRFs[MRF_Name],MATCH(SecondaryTransport[[#This Row],[MRF_ID]],MRFs[MRF_ID],0))</f>
        <v>Directly marketed (no sorting)</v>
      </c>
      <c r="AJ548" s="181" t="str">
        <f>RIGHT(SecondaryTransport[[#This Row],[Scenario_MRF_Bale_ID]],7)</f>
        <v>2000-10</v>
      </c>
      <c r="AK548" s="181" t="str">
        <f>INDEX(Bales[Bale_Name],MATCH(SecondaryTransport[[#This Row],[Bale_ID]],Bales[Bale_ID],0))</f>
        <v>Mixed bulky rigid plastics (mainly PE and PP) </v>
      </c>
      <c r="AL548" s="443">
        <f>INDEX(BaleMover[Total_Baled_tons],MATCH(SecondaryTransport[[#This Row],[Scenario_MRF_Bale_ID]],BaleMover[Scenario_MRF_Bale_ID],0))</f>
        <v>2129.0751915226092</v>
      </c>
      <c r="AM548" s="443">
        <f>IF(INDEX(BaleMover[Miles],MATCH(SecondaryTransport[[#This Row],[Scenario_MRF_Bale_ID]],BaleMover[Scenario_MRF_Bale_ID],0))="",0,INDEX(BaleMover[Miles],MATCH(SecondaryTransport[[#This Row],[Scenario_MRF_Bale_ID]],BaleMover[Scenario_MRF_Bale_ID],0)))</f>
        <v>2680</v>
      </c>
      <c r="AN548" s="251">
        <f>IF(SecondaryTransport[[#This Row],[Bale_ID]]="9000-01","costs elsewhere",SecondaryTransport[[#This Row],[Total_Baled_tons]]*SecondaryTransport[[#This Row],[Miles]])</f>
        <v>5705921.5132805929</v>
      </c>
      <c r="AO548" s="352" t="str">
        <f>IF(LEFT(SecondaryTransport[[#This Row],[Bale_ID]],1)*1=5,IF(OR(SecondaryTransport[[#This Row],[MRF_ID]]="02",SecondaryTransport[[#This Row],[MRF_ID]]="08"),2,1),"")</f>
        <v/>
      </c>
      <c r="AP5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48" s="224" t="str">
        <f>IFERROR(IF(1*LEFT(SecondaryTransport[[#This Row],[Bale_ID]],1)=5,SecondaryTransport[[#This Row],[Ton-Miles]]*SecondaryTransport[[#This Row],[Cost_Per_Ton-Mile]],""),"")</f>
        <v/>
      </c>
      <c r="AS548" s="224">
        <f>IFERROR(IF(SecondaryTransport[[#This Row],[Container_Transfer]]="",(SecondaryTransport[[#This Row],[Ton-Miles]]*SecondaryTransport[[#This Row],[Cost_Per_Ton-Mile]]),""),"")</f>
        <v>798829.01185928308</v>
      </c>
    </row>
    <row r="549" spans="12:45" ht="15" x14ac:dyDescent="0.25">
      <c r="L549" s="446" t="s">
        <v>873</v>
      </c>
      <c r="M549" s="446">
        <v>3</v>
      </c>
      <c r="N549" s="446">
        <v>2</v>
      </c>
      <c r="O549" s="446" t="s">
        <v>746</v>
      </c>
      <c r="P549" s="450" t="s">
        <v>700</v>
      </c>
      <c r="Q549" s="450"/>
      <c r="R549" s="450"/>
      <c r="S549" s="449" t="s">
        <v>762</v>
      </c>
      <c r="T549" s="449" t="s">
        <v>701</v>
      </c>
      <c r="U549" s="452">
        <v>0</v>
      </c>
      <c r="V5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49" s="272" t="str">
        <f>IFERROR(SUMIFS(TransUnitCost[Miles],TransUnitCost[Grouping_ID],TransTonsShort[[#This Row],[Grouping_ID]],TransUnitCost[Transp_ID],TransTonsShort[[#This Row],[Transp_ID]])*TransTonsShort[[#This Row],[Trans_Tons_All]]/TransTonsShort[[#This Row],[Trans_Tons_All]],"")</f>
        <v/>
      </c>
      <c r="X549" s="386" t="str">
        <f>TransTonsShort[[#This Row],[Grouping_ID]]&amp;"-"&amp;TransTonsShort[[#This Row],[Sector_ID]]</f>
        <v>3-2</v>
      </c>
      <c r="Y5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49" s="421">
        <f>INDEX(LandfillFees[Disposal Tip Fee 2025],MATCH(TransTonsShort[[#This Row],[Grouping_ID]],LandfillFees[Grouping_ID],0))</f>
        <v>72.030938699729589</v>
      </c>
      <c r="AA549" s="102">
        <f>IF(OR(TransTonsShort[[#This Row],[CollectionStream_ID]]="03",TransTonsShort[[#This Row],[CollectionStream_ID]]="04",TransTonsShort[[#This Row],[CollectionStream_ID]]="13"),0,TransTonsShort[[#This Row],[Trans_Tons_All]]*TransTonsShort[[#This Row],[Disposal_Fee]])</f>
        <v>0</v>
      </c>
      <c r="AF549" s="446" t="s">
        <v>1722</v>
      </c>
      <c r="AG549" s="442" t="str">
        <f>LEFT(SecondaryTransport[[#This Row],[Scenario_MRF_Bale_ID]],2)</f>
        <v>S3</v>
      </c>
      <c r="AH549" s="181" t="str">
        <f>LEFT(RIGHT(SecondaryTransport[[#This Row],[Scenario_MRF_Bale_ID]],10),2)</f>
        <v>13</v>
      </c>
      <c r="AI549" s="181" t="str">
        <f>INDEX(MRFs[MRF_Name],MATCH(SecondaryTransport[[#This Row],[MRF_ID]],MRFs[MRF_ID],0))</f>
        <v>Directly marketed (no sorting)</v>
      </c>
      <c r="AJ549" s="181" t="str">
        <f>RIGHT(SecondaryTransport[[#This Row],[Scenario_MRF_Bale_ID]],7)</f>
        <v>2000-10</v>
      </c>
      <c r="AK549" s="181" t="str">
        <f>INDEX(Bales[Bale_Name],MATCH(SecondaryTransport[[#This Row],[Bale_ID]],Bales[Bale_ID],0))</f>
        <v>Mixed bulky rigid plastics (mainly PE and PP) </v>
      </c>
      <c r="AL549" s="443">
        <f>INDEX(BaleMover[Total_Baled_tons],MATCH(SecondaryTransport[[#This Row],[Scenario_MRF_Bale_ID]],BaleMover[Scenario_MRF_Bale_ID],0))</f>
        <v>2129.0751915226092</v>
      </c>
      <c r="AM549" s="443">
        <f>IF(INDEX(BaleMover[Miles],MATCH(SecondaryTransport[[#This Row],[Scenario_MRF_Bale_ID]],BaleMover[Scenario_MRF_Bale_ID],0))="",0,INDEX(BaleMover[Miles],MATCH(SecondaryTransport[[#This Row],[Scenario_MRF_Bale_ID]],BaleMover[Scenario_MRF_Bale_ID],0)))</f>
        <v>2680</v>
      </c>
      <c r="AN549" s="251">
        <f>IF(SecondaryTransport[[#This Row],[Bale_ID]]="9000-01","costs elsewhere",SecondaryTransport[[#This Row],[Total_Baled_tons]]*SecondaryTransport[[#This Row],[Miles]])</f>
        <v>5705921.5132805929</v>
      </c>
      <c r="AO549" s="352" t="str">
        <f>IF(LEFT(SecondaryTransport[[#This Row],[Bale_ID]],1)*1=5,IF(OR(SecondaryTransport[[#This Row],[MRF_ID]]="02",SecondaryTransport[[#This Row],[MRF_ID]]="08"),2,1),"")</f>
        <v/>
      </c>
      <c r="AP5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4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49" s="224" t="str">
        <f>IFERROR(IF(1*LEFT(SecondaryTransport[[#This Row],[Bale_ID]],1)=5,SecondaryTransport[[#This Row],[Ton-Miles]]*SecondaryTransport[[#This Row],[Cost_Per_Ton-Mile]],""),"")</f>
        <v/>
      </c>
      <c r="AS549" s="224">
        <f>IFERROR(IF(SecondaryTransport[[#This Row],[Container_Transfer]]="",(SecondaryTransport[[#This Row],[Ton-Miles]]*SecondaryTransport[[#This Row],[Cost_Per_Ton-Mile]]),""),"")</f>
        <v>798829.01185928308</v>
      </c>
    </row>
    <row r="550" spans="12:45" ht="15" x14ac:dyDescent="0.25">
      <c r="L550" s="446" t="s">
        <v>873</v>
      </c>
      <c r="M550" s="446">
        <v>4</v>
      </c>
      <c r="N550" s="446">
        <v>2</v>
      </c>
      <c r="O550" s="446" t="s">
        <v>746</v>
      </c>
      <c r="P550" s="450" t="s">
        <v>700</v>
      </c>
      <c r="Q550" s="450"/>
      <c r="R550" s="450"/>
      <c r="S550" s="449" t="s">
        <v>762</v>
      </c>
      <c r="T550" s="449" t="s">
        <v>701</v>
      </c>
      <c r="U550" s="452">
        <v>0</v>
      </c>
      <c r="V5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0" s="272" t="str">
        <f>IFERROR(SUMIFS(TransUnitCost[Miles],TransUnitCost[Grouping_ID],TransTonsShort[[#This Row],[Grouping_ID]],TransUnitCost[Transp_ID],TransTonsShort[[#This Row],[Transp_ID]])*TransTonsShort[[#This Row],[Trans_Tons_All]]/TransTonsShort[[#This Row],[Trans_Tons_All]],"")</f>
        <v/>
      </c>
      <c r="X550" s="386" t="str">
        <f>TransTonsShort[[#This Row],[Grouping_ID]]&amp;"-"&amp;TransTonsShort[[#This Row],[Sector_ID]]</f>
        <v>4-2</v>
      </c>
      <c r="Y5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50" s="421">
        <f>INDEX(LandfillFees[Disposal Tip Fee 2025],MATCH(TransTonsShort[[#This Row],[Grouping_ID]],LandfillFees[Grouping_ID],0))</f>
        <v>72.030938699729589</v>
      </c>
      <c r="AA550" s="102">
        <f>IF(OR(TransTonsShort[[#This Row],[CollectionStream_ID]]="03",TransTonsShort[[#This Row],[CollectionStream_ID]]="04",TransTonsShort[[#This Row],[CollectionStream_ID]]="13"),0,TransTonsShort[[#This Row],[Trans_Tons_All]]*TransTonsShort[[#This Row],[Disposal_Fee]])</f>
        <v>0</v>
      </c>
      <c r="AF550" s="446" t="s">
        <v>1723</v>
      </c>
      <c r="AG550" s="442" t="str">
        <f>LEFT(SecondaryTransport[[#This Row],[Scenario_MRF_Bale_ID]],2)</f>
        <v>S4</v>
      </c>
      <c r="AH550" s="181" t="str">
        <f>LEFT(RIGHT(SecondaryTransport[[#This Row],[Scenario_MRF_Bale_ID]],10),2)</f>
        <v>13</v>
      </c>
      <c r="AI550" s="181" t="str">
        <f>INDEX(MRFs[MRF_Name],MATCH(SecondaryTransport[[#This Row],[MRF_ID]],MRFs[MRF_ID],0))</f>
        <v>Directly marketed (no sorting)</v>
      </c>
      <c r="AJ550" s="181" t="str">
        <f>RIGHT(SecondaryTransport[[#This Row],[Scenario_MRF_Bale_ID]],7)</f>
        <v>2000-10</v>
      </c>
      <c r="AK550" s="181" t="str">
        <f>INDEX(Bales[Bale_Name],MATCH(SecondaryTransport[[#This Row],[Bale_ID]],Bales[Bale_ID],0))</f>
        <v>Mixed bulky rigid plastics (mainly PE and PP) </v>
      </c>
      <c r="AL550" s="443">
        <f>INDEX(BaleMover[Total_Baled_tons],MATCH(SecondaryTransport[[#This Row],[Scenario_MRF_Bale_ID]],BaleMover[Scenario_MRF_Bale_ID],0))</f>
        <v>2129.0751915226092</v>
      </c>
      <c r="AM550" s="443">
        <f>IF(INDEX(BaleMover[Miles],MATCH(SecondaryTransport[[#This Row],[Scenario_MRF_Bale_ID]],BaleMover[Scenario_MRF_Bale_ID],0))="",0,INDEX(BaleMover[Miles],MATCH(SecondaryTransport[[#This Row],[Scenario_MRF_Bale_ID]],BaleMover[Scenario_MRF_Bale_ID],0)))</f>
        <v>2680</v>
      </c>
      <c r="AN550" s="251">
        <f>IF(SecondaryTransport[[#This Row],[Bale_ID]]="9000-01","costs elsewhere",SecondaryTransport[[#This Row],[Total_Baled_tons]]*SecondaryTransport[[#This Row],[Miles]])</f>
        <v>5705921.5132805929</v>
      </c>
      <c r="AO550" s="352" t="str">
        <f>IF(LEFT(SecondaryTransport[[#This Row],[Bale_ID]],1)*1=5,IF(OR(SecondaryTransport[[#This Row],[MRF_ID]]="02",SecondaryTransport[[#This Row],[MRF_ID]]="08"),2,1),"")</f>
        <v/>
      </c>
      <c r="AP5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5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50" s="224" t="str">
        <f>IFERROR(IF(1*LEFT(SecondaryTransport[[#This Row],[Bale_ID]],1)=5,SecondaryTransport[[#This Row],[Ton-Miles]]*SecondaryTransport[[#This Row],[Cost_Per_Ton-Mile]],""),"")</f>
        <v/>
      </c>
      <c r="AS550" s="224">
        <f>IFERROR(IF(SecondaryTransport[[#This Row],[Container_Transfer]]="",(SecondaryTransport[[#This Row],[Ton-Miles]]*SecondaryTransport[[#This Row],[Cost_Per_Ton-Mile]]),""),"")</f>
        <v>798829.01185928308</v>
      </c>
    </row>
    <row r="551" spans="12:45" ht="15" x14ac:dyDescent="0.25">
      <c r="L551" s="446" t="s">
        <v>873</v>
      </c>
      <c r="M551" s="446">
        <v>1</v>
      </c>
      <c r="N551" s="446">
        <v>2</v>
      </c>
      <c r="O551" s="446" t="s">
        <v>746</v>
      </c>
      <c r="P551" s="449" t="s">
        <v>746</v>
      </c>
      <c r="Q551" s="449"/>
      <c r="R551" s="449"/>
      <c r="S551" s="449" t="s">
        <v>762</v>
      </c>
      <c r="T551" s="449" t="s">
        <v>848</v>
      </c>
      <c r="U551" s="452">
        <v>0</v>
      </c>
      <c r="V5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1" s="272" t="str">
        <f>IFERROR(SUMIFS(TransUnitCost[Miles],TransUnitCost[Grouping_ID],TransTonsShort[[#This Row],[Grouping_ID]],TransUnitCost[Transp_ID],TransTonsShort[[#This Row],[Transp_ID]])*TransTonsShort[[#This Row],[Trans_Tons_All]]/TransTonsShort[[#This Row],[Trans_Tons_All]],"")</f>
        <v/>
      </c>
      <c r="X551" s="386" t="str">
        <f>TransTonsShort[[#This Row],[Grouping_ID]]&amp;"-"&amp;TransTonsShort[[#This Row],[Sector_ID]]</f>
        <v>1-2</v>
      </c>
      <c r="Y5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51" s="421">
        <f>INDEX(LandfillFees[Disposal Tip Fee 2025],MATCH(TransTonsShort[[#This Row],[Grouping_ID]],LandfillFees[Grouping_ID],0))</f>
        <v>134.68</v>
      </c>
      <c r="AA551" s="102">
        <f>IF(OR(TransTonsShort[[#This Row],[CollectionStream_ID]]="03",TransTonsShort[[#This Row],[CollectionStream_ID]]="04",TransTonsShort[[#This Row],[CollectionStream_ID]]="13"),0,TransTonsShort[[#This Row],[Trans_Tons_All]]*TransTonsShort[[#This Row],[Disposal_Fee]])</f>
        <v>0</v>
      </c>
      <c r="AF551" s="446" t="s">
        <v>1724</v>
      </c>
      <c r="AG551" s="442" t="str">
        <f>LEFT(SecondaryTransport[[#This Row],[Scenario_MRF_Bale_ID]],2)</f>
        <v>S0</v>
      </c>
      <c r="AH551" s="181" t="str">
        <f>LEFT(RIGHT(SecondaryTransport[[#This Row],[Scenario_MRF_Bale_ID]],10),2)</f>
        <v>13</v>
      </c>
      <c r="AI551" s="181" t="str">
        <f>INDEX(MRFs[MRF_Name],MATCH(SecondaryTransport[[#This Row],[MRF_ID]],MRFs[MRF_ID],0))</f>
        <v>Directly marketed (no sorting)</v>
      </c>
      <c r="AJ551" s="181" t="str">
        <f>RIGHT(SecondaryTransport[[#This Row],[Scenario_MRF_Bale_ID]],7)</f>
        <v>2000-11</v>
      </c>
      <c r="AK551" s="181" t="str">
        <f>INDEX(Bales[Bale_Name],MATCH(SecondaryTransport[[#This Row],[Bale_ID]],Bales[Bale_ID],0))</f>
        <v>PP #5 bottles and jars</v>
      </c>
      <c r="AL551" s="443">
        <f>INDEX(BaleMover[Total_Baled_tons],MATCH(SecondaryTransport[[#This Row],[Scenario_MRF_Bale_ID]],BaleMover[Scenario_MRF_Bale_ID],0))</f>
        <v>10.373004533108652</v>
      </c>
      <c r="AM551" s="443">
        <f>IF(INDEX(BaleMover[Miles],MATCH(SecondaryTransport[[#This Row],[Scenario_MRF_Bale_ID]],BaleMover[Scenario_MRF_Bale_ID],0))="",0,INDEX(BaleMover[Miles],MATCH(SecondaryTransport[[#This Row],[Scenario_MRF_Bale_ID]],BaleMover[Scenario_MRF_Bale_ID],0)))</f>
        <v>50</v>
      </c>
      <c r="AN551" s="251">
        <f>IF(SecondaryTransport[[#This Row],[Bale_ID]]="9000-01","costs elsewhere",SecondaryTransport[[#This Row],[Total_Baled_tons]]*SecondaryTransport[[#This Row],[Miles]])</f>
        <v>518.65022665543256</v>
      </c>
      <c r="AO551" s="352" t="str">
        <f>IF(LEFT(SecondaryTransport[[#This Row],[Bale_ID]],1)*1=5,IF(OR(SecondaryTransport[[#This Row],[MRF_ID]]="02",SecondaryTransport[[#This Row],[MRF_ID]]="08"),2,1),"")</f>
        <v/>
      </c>
      <c r="AP5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1" s="224" t="str">
        <f>IFERROR(IF(1*LEFT(SecondaryTransport[[#This Row],[Bale_ID]],1)=5,SecondaryTransport[[#This Row],[Ton-Miles]]*SecondaryTransport[[#This Row],[Cost_Per_Ton-Mile]],""),"")</f>
        <v/>
      </c>
      <c r="AS551" s="224">
        <f>IFERROR(IF(SecondaryTransport[[#This Row],[Container_Transfer]]="",(SecondaryTransport[[#This Row],[Ton-Miles]]*SecondaryTransport[[#This Row],[Cost_Per_Ton-Mile]]),""),"")</f>
        <v>160.78157026318408</v>
      </c>
    </row>
    <row r="552" spans="12:45" ht="15" x14ac:dyDescent="0.25">
      <c r="L552" s="446" t="s">
        <v>873</v>
      </c>
      <c r="M552" s="446">
        <v>2</v>
      </c>
      <c r="N552" s="446">
        <v>2</v>
      </c>
      <c r="O552" s="446" t="s">
        <v>746</v>
      </c>
      <c r="P552" s="449" t="s">
        <v>746</v>
      </c>
      <c r="Q552" s="449"/>
      <c r="R552" s="449"/>
      <c r="S552" s="449" t="s">
        <v>762</v>
      </c>
      <c r="T552" s="449" t="s">
        <v>848</v>
      </c>
      <c r="U552" s="452">
        <v>0</v>
      </c>
      <c r="V5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2" s="272" t="str">
        <f>IFERROR(SUMIFS(TransUnitCost[Miles],TransUnitCost[Grouping_ID],TransTonsShort[[#This Row],[Grouping_ID]],TransUnitCost[Transp_ID],TransTonsShort[[#This Row],[Transp_ID]])*TransTonsShort[[#This Row],[Trans_Tons_All]]/TransTonsShort[[#This Row],[Trans_Tons_All]],"")</f>
        <v/>
      </c>
      <c r="X552" s="386" t="str">
        <f>TransTonsShort[[#This Row],[Grouping_ID]]&amp;"-"&amp;TransTonsShort[[#This Row],[Sector_ID]]</f>
        <v>2-2</v>
      </c>
      <c r="Y5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52" s="421">
        <f>INDEX(LandfillFees[Disposal Tip Fee 2025],MATCH(TransTonsShort[[#This Row],[Grouping_ID]],LandfillFees[Grouping_ID],0))</f>
        <v>72.030938699729589</v>
      </c>
      <c r="AA552" s="102">
        <f>IF(OR(TransTonsShort[[#This Row],[CollectionStream_ID]]="03",TransTonsShort[[#This Row],[CollectionStream_ID]]="04",TransTonsShort[[#This Row],[CollectionStream_ID]]="13"),0,TransTonsShort[[#This Row],[Trans_Tons_All]]*TransTonsShort[[#This Row],[Disposal_Fee]])</f>
        <v>0</v>
      </c>
      <c r="AF552" s="446" t="s">
        <v>1725</v>
      </c>
      <c r="AG552" s="442" t="str">
        <f>LEFT(SecondaryTransport[[#This Row],[Scenario_MRF_Bale_ID]],2)</f>
        <v>S1</v>
      </c>
      <c r="AH552" s="181" t="str">
        <f>LEFT(RIGHT(SecondaryTransport[[#This Row],[Scenario_MRF_Bale_ID]],10),2)</f>
        <v>13</v>
      </c>
      <c r="AI552" s="181" t="str">
        <f>INDEX(MRFs[MRF_Name],MATCH(SecondaryTransport[[#This Row],[MRF_ID]],MRFs[MRF_ID],0))</f>
        <v>Directly marketed (no sorting)</v>
      </c>
      <c r="AJ552" s="181" t="str">
        <f>RIGHT(SecondaryTransport[[#This Row],[Scenario_MRF_Bale_ID]],7)</f>
        <v>2000-11</v>
      </c>
      <c r="AK552" s="181" t="str">
        <f>INDEX(Bales[Bale_Name],MATCH(SecondaryTransport[[#This Row],[Bale_ID]],Bales[Bale_ID],0))</f>
        <v>PP #5 bottles and jars</v>
      </c>
      <c r="AL552" s="443">
        <f>INDEX(BaleMover[Total_Baled_tons],MATCH(SecondaryTransport[[#This Row],[Scenario_MRF_Bale_ID]],BaleMover[Scenario_MRF_Bale_ID],0))</f>
        <v>10.373004533108652</v>
      </c>
      <c r="AM552" s="443">
        <f>IF(INDEX(BaleMover[Miles],MATCH(SecondaryTransport[[#This Row],[Scenario_MRF_Bale_ID]],BaleMover[Scenario_MRF_Bale_ID],0))="",0,INDEX(BaleMover[Miles],MATCH(SecondaryTransport[[#This Row],[Scenario_MRF_Bale_ID]],BaleMover[Scenario_MRF_Bale_ID],0)))</f>
        <v>50</v>
      </c>
      <c r="AN552" s="251">
        <f>IF(SecondaryTransport[[#This Row],[Bale_ID]]="9000-01","costs elsewhere",SecondaryTransport[[#This Row],[Total_Baled_tons]]*SecondaryTransport[[#This Row],[Miles]])</f>
        <v>518.65022665543256</v>
      </c>
      <c r="AO552" s="352" t="str">
        <f>IF(LEFT(SecondaryTransport[[#This Row],[Bale_ID]],1)*1=5,IF(OR(SecondaryTransport[[#This Row],[MRF_ID]]="02",SecondaryTransport[[#This Row],[MRF_ID]]="08"),2,1),"")</f>
        <v/>
      </c>
      <c r="AP5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2" s="224" t="str">
        <f>IFERROR(IF(1*LEFT(SecondaryTransport[[#This Row],[Bale_ID]],1)=5,SecondaryTransport[[#This Row],[Ton-Miles]]*SecondaryTransport[[#This Row],[Cost_Per_Ton-Mile]],""),"")</f>
        <v/>
      </c>
      <c r="AS552" s="224">
        <f>IFERROR(IF(SecondaryTransport[[#This Row],[Container_Transfer]]="",(SecondaryTransport[[#This Row],[Ton-Miles]]*SecondaryTransport[[#This Row],[Cost_Per_Ton-Mile]]),""),"")</f>
        <v>160.78157026318408</v>
      </c>
    </row>
    <row r="553" spans="12:45" ht="15" x14ac:dyDescent="0.25">
      <c r="L553" s="446" t="s">
        <v>873</v>
      </c>
      <c r="M553" s="446">
        <v>3</v>
      </c>
      <c r="N553" s="446">
        <v>2</v>
      </c>
      <c r="O553" s="446" t="s">
        <v>746</v>
      </c>
      <c r="P553" s="449" t="s">
        <v>746</v>
      </c>
      <c r="Q553" s="449"/>
      <c r="R553" s="449"/>
      <c r="S553" s="449" t="s">
        <v>762</v>
      </c>
      <c r="T553" s="449" t="s">
        <v>848</v>
      </c>
      <c r="U553" s="452">
        <v>0</v>
      </c>
      <c r="V5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3" s="272" t="str">
        <f>IFERROR(SUMIFS(TransUnitCost[Miles],TransUnitCost[Grouping_ID],TransTonsShort[[#This Row],[Grouping_ID]],TransUnitCost[Transp_ID],TransTonsShort[[#This Row],[Transp_ID]])*TransTonsShort[[#This Row],[Trans_Tons_All]]/TransTonsShort[[#This Row],[Trans_Tons_All]],"")</f>
        <v/>
      </c>
      <c r="X553" s="386" t="str">
        <f>TransTonsShort[[#This Row],[Grouping_ID]]&amp;"-"&amp;TransTonsShort[[#This Row],[Sector_ID]]</f>
        <v>3-2</v>
      </c>
      <c r="Y5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53" s="421">
        <f>INDEX(LandfillFees[Disposal Tip Fee 2025],MATCH(TransTonsShort[[#This Row],[Grouping_ID]],LandfillFees[Grouping_ID],0))</f>
        <v>72.030938699729589</v>
      </c>
      <c r="AA553" s="102">
        <f>IF(OR(TransTonsShort[[#This Row],[CollectionStream_ID]]="03",TransTonsShort[[#This Row],[CollectionStream_ID]]="04",TransTonsShort[[#This Row],[CollectionStream_ID]]="13"),0,TransTonsShort[[#This Row],[Trans_Tons_All]]*TransTonsShort[[#This Row],[Disposal_Fee]])</f>
        <v>0</v>
      </c>
      <c r="AF553" s="446" t="s">
        <v>1726</v>
      </c>
      <c r="AG553" s="442" t="str">
        <f>LEFT(SecondaryTransport[[#This Row],[Scenario_MRF_Bale_ID]],2)</f>
        <v>S2</v>
      </c>
      <c r="AH553" s="181" t="str">
        <f>LEFT(RIGHT(SecondaryTransport[[#This Row],[Scenario_MRF_Bale_ID]],10),2)</f>
        <v>13</v>
      </c>
      <c r="AI553" s="181" t="str">
        <f>INDEX(MRFs[MRF_Name],MATCH(SecondaryTransport[[#This Row],[MRF_ID]],MRFs[MRF_ID],0))</f>
        <v>Directly marketed (no sorting)</v>
      </c>
      <c r="AJ553" s="181" t="str">
        <f>RIGHT(SecondaryTransport[[#This Row],[Scenario_MRF_Bale_ID]],7)</f>
        <v>2000-11</v>
      </c>
      <c r="AK553" s="181" t="str">
        <f>INDEX(Bales[Bale_Name],MATCH(SecondaryTransport[[#This Row],[Bale_ID]],Bales[Bale_ID],0))</f>
        <v>PP #5 bottles and jars</v>
      </c>
      <c r="AL553" s="443">
        <f>INDEX(BaleMover[Total_Baled_tons],MATCH(SecondaryTransport[[#This Row],[Scenario_MRF_Bale_ID]],BaleMover[Scenario_MRF_Bale_ID],0))</f>
        <v>10.373004533108652</v>
      </c>
      <c r="AM553" s="443">
        <f>IF(INDEX(BaleMover[Miles],MATCH(SecondaryTransport[[#This Row],[Scenario_MRF_Bale_ID]],BaleMover[Scenario_MRF_Bale_ID],0))="",0,INDEX(BaleMover[Miles],MATCH(SecondaryTransport[[#This Row],[Scenario_MRF_Bale_ID]],BaleMover[Scenario_MRF_Bale_ID],0)))</f>
        <v>50</v>
      </c>
      <c r="AN553" s="251">
        <f>IF(SecondaryTransport[[#This Row],[Bale_ID]]="9000-01","costs elsewhere",SecondaryTransport[[#This Row],[Total_Baled_tons]]*SecondaryTransport[[#This Row],[Miles]])</f>
        <v>518.65022665543256</v>
      </c>
      <c r="AO553" s="352" t="str">
        <f>IF(LEFT(SecondaryTransport[[#This Row],[Bale_ID]],1)*1=5,IF(OR(SecondaryTransport[[#This Row],[MRF_ID]]="02",SecondaryTransport[[#This Row],[MRF_ID]]="08"),2,1),"")</f>
        <v/>
      </c>
      <c r="AP5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3" s="224" t="str">
        <f>IFERROR(IF(1*LEFT(SecondaryTransport[[#This Row],[Bale_ID]],1)=5,SecondaryTransport[[#This Row],[Ton-Miles]]*SecondaryTransport[[#This Row],[Cost_Per_Ton-Mile]],""),"")</f>
        <v/>
      </c>
      <c r="AS553" s="224">
        <f>IFERROR(IF(SecondaryTransport[[#This Row],[Container_Transfer]]="",(SecondaryTransport[[#This Row],[Ton-Miles]]*SecondaryTransport[[#This Row],[Cost_Per_Ton-Mile]]),""),"")</f>
        <v>160.78157026318408</v>
      </c>
    </row>
    <row r="554" spans="12:45" ht="15" x14ac:dyDescent="0.25">
      <c r="L554" s="446" t="s">
        <v>873</v>
      </c>
      <c r="M554" s="446">
        <v>4</v>
      </c>
      <c r="N554" s="446">
        <v>2</v>
      </c>
      <c r="O554" s="446" t="s">
        <v>746</v>
      </c>
      <c r="P554" s="449" t="s">
        <v>746</v>
      </c>
      <c r="Q554" s="449"/>
      <c r="R554" s="449"/>
      <c r="S554" s="449" t="s">
        <v>762</v>
      </c>
      <c r="T554" s="449" t="s">
        <v>848</v>
      </c>
      <c r="U554" s="452">
        <v>0</v>
      </c>
      <c r="V5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4" s="272" t="str">
        <f>IFERROR(SUMIFS(TransUnitCost[Miles],TransUnitCost[Grouping_ID],TransTonsShort[[#This Row],[Grouping_ID]],TransUnitCost[Transp_ID],TransTonsShort[[#This Row],[Transp_ID]])*TransTonsShort[[#This Row],[Trans_Tons_All]]/TransTonsShort[[#This Row],[Trans_Tons_All]],"")</f>
        <v/>
      </c>
      <c r="X554" s="386" t="str">
        <f>TransTonsShort[[#This Row],[Grouping_ID]]&amp;"-"&amp;TransTonsShort[[#This Row],[Sector_ID]]</f>
        <v>4-2</v>
      </c>
      <c r="Y5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54" s="421">
        <f>INDEX(LandfillFees[Disposal Tip Fee 2025],MATCH(TransTonsShort[[#This Row],[Grouping_ID]],LandfillFees[Grouping_ID],0))</f>
        <v>72.030938699729589</v>
      </c>
      <c r="AA554" s="102">
        <f>IF(OR(TransTonsShort[[#This Row],[CollectionStream_ID]]="03",TransTonsShort[[#This Row],[CollectionStream_ID]]="04",TransTonsShort[[#This Row],[CollectionStream_ID]]="13"),0,TransTonsShort[[#This Row],[Trans_Tons_All]]*TransTonsShort[[#This Row],[Disposal_Fee]])</f>
        <v>0</v>
      </c>
      <c r="AF554" s="446" t="s">
        <v>1727</v>
      </c>
      <c r="AG554" s="442" t="str">
        <f>LEFT(SecondaryTransport[[#This Row],[Scenario_MRF_Bale_ID]],2)</f>
        <v>S3</v>
      </c>
      <c r="AH554" s="181" t="str">
        <f>LEFT(RIGHT(SecondaryTransport[[#This Row],[Scenario_MRF_Bale_ID]],10),2)</f>
        <v>13</v>
      </c>
      <c r="AI554" s="181" t="str">
        <f>INDEX(MRFs[MRF_Name],MATCH(SecondaryTransport[[#This Row],[MRF_ID]],MRFs[MRF_ID],0))</f>
        <v>Directly marketed (no sorting)</v>
      </c>
      <c r="AJ554" s="181" t="str">
        <f>RIGHT(SecondaryTransport[[#This Row],[Scenario_MRF_Bale_ID]],7)</f>
        <v>2000-11</v>
      </c>
      <c r="AK554" s="181" t="str">
        <f>INDEX(Bales[Bale_Name],MATCH(SecondaryTransport[[#This Row],[Bale_ID]],Bales[Bale_ID],0))</f>
        <v>PP #5 bottles and jars</v>
      </c>
      <c r="AL554" s="443">
        <f>INDEX(BaleMover[Total_Baled_tons],MATCH(SecondaryTransport[[#This Row],[Scenario_MRF_Bale_ID]],BaleMover[Scenario_MRF_Bale_ID],0))</f>
        <v>10.373004533108652</v>
      </c>
      <c r="AM554" s="443">
        <f>IF(INDEX(BaleMover[Miles],MATCH(SecondaryTransport[[#This Row],[Scenario_MRF_Bale_ID]],BaleMover[Scenario_MRF_Bale_ID],0))="",0,INDEX(BaleMover[Miles],MATCH(SecondaryTransport[[#This Row],[Scenario_MRF_Bale_ID]],BaleMover[Scenario_MRF_Bale_ID],0)))</f>
        <v>50</v>
      </c>
      <c r="AN554" s="251">
        <f>IF(SecondaryTransport[[#This Row],[Bale_ID]]="9000-01","costs elsewhere",SecondaryTransport[[#This Row],[Total_Baled_tons]]*SecondaryTransport[[#This Row],[Miles]])</f>
        <v>518.65022665543256</v>
      </c>
      <c r="AO554" s="352" t="str">
        <f>IF(LEFT(SecondaryTransport[[#This Row],[Bale_ID]],1)*1=5,IF(OR(SecondaryTransport[[#This Row],[MRF_ID]]="02",SecondaryTransport[[#This Row],[MRF_ID]]="08"),2,1),"")</f>
        <v/>
      </c>
      <c r="AP5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4" s="224" t="str">
        <f>IFERROR(IF(1*LEFT(SecondaryTransport[[#This Row],[Bale_ID]],1)=5,SecondaryTransport[[#This Row],[Ton-Miles]]*SecondaryTransport[[#This Row],[Cost_Per_Ton-Mile]],""),"")</f>
        <v/>
      </c>
      <c r="AS554" s="224">
        <f>IFERROR(IF(SecondaryTransport[[#This Row],[Container_Transfer]]="",(SecondaryTransport[[#This Row],[Ton-Miles]]*SecondaryTransport[[#This Row],[Cost_Per_Ton-Mile]]),""),"")</f>
        <v>160.78157026318408</v>
      </c>
    </row>
    <row r="555" spans="12:45" ht="15" x14ac:dyDescent="0.25">
      <c r="L555" s="446" t="s">
        <v>873</v>
      </c>
      <c r="M555" s="446">
        <v>1</v>
      </c>
      <c r="N555" s="446">
        <v>2</v>
      </c>
      <c r="O555" s="446" t="s">
        <v>706</v>
      </c>
      <c r="P555" s="449" t="s">
        <v>739</v>
      </c>
      <c r="Q555" s="449"/>
      <c r="R555" s="449"/>
      <c r="S555" s="449" t="s">
        <v>707</v>
      </c>
      <c r="T555" s="449" t="s">
        <v>1121</v>
      </c>
      <c r="U555" s="452">
        <v>1828.0007943083401</v>
      </c>
      <c r="V5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35463.215409581797</v>
      </c>
      <c r="W555" s="272">
        <f>IFERROR(SUMIFS(TransUnitCost[Miles],TransUnitCost[Grouping_ID],TransTonsShort[[#This Row],[Grouping_ID]],TransUnitCost[Transp_ID],TransTonsShort[[#This Row],[Transp_ID]])*TransTonsShort[[#This Row],[Trans_Tons_All]]/TransTonsShort[[#This Row],[Trans_Tons_All]],"")</f>
        <v>20</v>
      </c>
      <c r="X555" s="386" t="str">
        <f>TransTonsShort[[#This Row],[Grouping_ID]]&amp;"-"&amp;TransTonsShort[[#This Row],[Sector_ID]]</f>
        <v>1-2</v>
      </c>
      <c r="Y5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5" s="421">
        <f>INDEX(LandfillFees[Disposal Tip Fee 2025],MATCH(TransTonsShort[[#This Row],[Grouping_ID]],LandfillFees[Grouping_ID],0))</f>
        <v>134.68</v>
      </c>
      <c r="AA555" s="102">
        <f>IF(OR(TransTonsShort[[#This Row],[CollectionStream_ID]]="03",TransTonsShort[[#This Row],[CollectionStream_ID]]="04",TransTonsShort[[#This Row],[CollectionStream_ID]]="13"),0,TransTonsShort[[#This Row],[Trans_Tons_All]]*TransTonsShort[[#This Row],[Disposal_Fee]])</f>
        <v>246195.14697744726</v>
      </c>
      <c r="AF555" s="446" t="s">
        <v>1728</v>
      </c>
      <c r="AG555" s="442" t="str">
        <f>LEFT(SecondaryTransport[[#This Row],[Scenario_MRF_Bale_ID]],2)</f>
        <v>S4</v>
      </c>
      <c r="AH555" s="181" t="str">
        <f>LEFT(RIGHT(SecondaryTransport[[#This Row],[Scenario_MRF_Bale_ID]],10),2)</f>
        <v>13</v>
      </c>
      <c r="AI555" s="181" t="str">
        <f>INDEX(MRFs[MRF_Name],MATCH(SecondaryTransport[[#This Row],[MRF_ID]],MRFs[MRF_ID],0))</f>
        <v>Directly marketed (no sorting)</v>
      </c>
      <c r="AJ555" s="181" t="str">
        <f>RIGHT(SecondaryTransport[[#This Row],[Scenario_MRF_Bale_ID]],7)</f>
        <v>2000-11</v>
      </c>
      <c r="AK555" s="181" t="str">
        <f>INDEX(Bales[Bale_Name],MATCH(SecondaryTransport[[#This Row],[Bale_ID]],Bales[Bale_ID],0))</f>
        <v>PP #5 bottles and jars</v>
      </c>
      <c r="AL555" s="443">
        <f>INDEX(BaleMover[Total_Baled_tons],MATCH(SecondaryTransport[[#This Row],[Scenario_MRF_Bale_ID]],BaleMover[Scenario_MRF_Bale_ID],0))</f>
        <v>10.373004533108652</v>
      </c>
      <c r="AM555" s="443">
        <f>IF(INDEX(BaleMover[Miles],MATCH(SecondaryTransport[[#This Row],[Scenario_MRF_Bale_ID]],BaleMover[Scenario_MRF_Bale_ID],0))="",0,INDEX(BaleMover[Miles],MATCH(SecondaryTransport[[#This Row],[Scenario_MRF_Bale_ID]],BaleMover[Scenario_MRF_Bale_ID],0)))</f>
        <v>50</v>
      </c>
      <c r="AN555" s="251">
        <f>IF(SecondaryTransport[[#This Row],[Bale_ID]]="9000-01","costs elsewhere",SecondaryTransport[[#This Row],[Total_Baled_tons]]*SecondaryTransport[[#This Row],[Miles]])</f>
        <v>518.65022665543256</v>
      </c>
      <c r="AO555" s="352" t="str">
        <f>IF(LEFT(SecondaryTransport[[#This Row],[Bale_ID]],1)*1=5,IF(OR(SecondaryTransport[[#This Row],[MRF_ID]]="02",SecondaryTransport[[#This Row],[MRF_ID]]="08"),2,1),"")</f>
        <v/>
      </c>
      <c r="AP5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5" s="224" t="str">
        <f>IFERROR(IF(1*LEFT(SecondaryTransport[[#This Row],[Bale_ID]],1)=5,SecondaryTransport[[#This Row],[Ton-Miles]]*SecondaryTransport[[#This Row],[Cost_Per_Ton-Mile]],""),"")</f>
        <v/>
      </c>
      <c r="AS555" s="224">
        <f>IFERROR(IF(SecondaryTransport[[#This Row],[Container_Transfer]]="",(SecondaryTransport[[#This Row],[Ton-Miles]]*SecondaryTransport[[#This Row],[Cost_Per_Ton-Mile]]),""),"")</f>
        <v>160.78157026318408</v>
      </c>
    </row>
    <row r="556" spans="12:45" ht="15" x14ac:dyDescent="0.25">
      <c r="L556" s="446" t="s">
        <v>873</v>
      </c>
      <c r="M556" s="446">
        <v>2</v>
      </c>
      <c r="N556" s="446">
        <v>2</v>
      </c>
      <c r="O556" s="446" t="s">
        <v>706</v>
      </c>
      <c r="P556" s="449" t="s">
        <v>739</v>
      </c>
      <c r="Q556" s="449"/>
      <c r="R556" s="449"/>
      <c r="S556" s="449" t="s">
        <v>707</v>
      </c>
      <c r="T556" s="449" t="s">
        <v>1121</v>
      </c>
      <c r="U556" s="452">
        <v>291.5823406050647</v>
      </c>
      <c r="V5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12042.350666989172</v>
      </c>
      <c r="W556" s="272">
        <f>IFERROR(SUMIFS(TransUnitCost[Miles],TransUnitCost[Grouping_ID],TransTonsShort[[#This Row],[Grouping_ID]],TransUnitCost[Transp_ID],TransTonsShort[[#This Row],[Transp_ID]])*TransTonsShort[[#This Row],[Trans_Tons_All]]/TransTonsShort[[#This Row],[Trans_Tons_All]],"")</f>
        <v>70</v>
      </c>
      <c r="X556" s="386" t="str">
        <f>TransTonsShort[[#This Row],[Grouping_ID]]&amp;"-"&amp;TransTonsShort[[#This Row],[Sector_ID]]</f>
        <v>2-2</v>
      </c>
      <c r="Y5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6" s="421">
        <f>INDEX(LandfillFees[Disposal Tip Fee 2025],MATCH(TransTonsShort[[#This Row],[Grouping_ID]],LandfillFees[Grouping_ID],0))</f>
        <v>72.030938699729589</v>
      </c>
      <c r="AA556" s="102">
        <f>IF(OR(TransTonsShort[[#This Row],[CollectionStream_ID]]="03",TransTonsShort[[#This Row],[CollectionStream_ID]]="04",TransTonsShort[[#This Row],[CollectionStream_ID]]="13"),0,TransTonsShort[[#This Row],[Trans_Tons_All]]*TransTonsShort[[#This Row],[Disposal_Fee]])</f>
        <v>21002.949702047088</v>
      </c>
      <c r="AF556" s="446" t="s">
        <v>1729</v>
      </c>
      <c r="AG556" s="442" t="str">
        <f>LEFT(SecondaryTransport[[#This Row],[Scenario_MRF_Bale_ID]],2)</f>
        <v>S0</v>
      </c>
      <c r="AH556" s="181" t="str">
        <f>LEFT(RIGHT(SecondaryTransport[[#This Row],[Scenario_MRF_Bale_ID]],10),2)</f>
        <v>13</v>
      </c>
      <c r="AI556" s="181" t="str">
        <f>INDEX(MRFs[MRF_Name],MATCH(SecondaryTransport[[#This Row],[MRF_ID]],MRFs[MRF_ID],0))</f>
        <v>Directly marketed (no sorting)</v>
      </c>
      <c r="AJ556" s="181" t="str">
        <f>RIGHT(SecondaryTransport[[#This Row],[Scenario_MRF_Bale_ID]],7)</f>
        <v>2000-13</v>
      </c>
      <c r="AK556" s="181" t="str">
        <f>INDEX(Bales[Bale_Name],MATCH(SecondaryTransport[[#This Row],[Bale_ID]],Bales[Bale_ID],0))</f>
        <v>PP #5 small rigid plastic</v>
      </c>
      <c r="AL556" s="443">
        <f>INDEX(BaleMover[Total_Baled_tons],MATCH(SecondaryTransport[[#This Row],[Scenario_MRF_Bale_ID]],BaleMover[Scenario_MRF_Bale_ID],0))</f>
        <v>79.374709770251187</v>
      </c>
      <c r="AM556" s="443">
        <f>IF(INDEX(BaleMover[Miles],MATCH(SecondaryTransport[[#This Row],[Scenario_MRF_Bale_ID]],BaleMover[Scenario_MRF_Bale_ID],0))="",0,INDEX(BaleMover[Miles],MATCH(SecondaryTransport[[#This Row],[Scenario_MRF_Bale_ID]],BaleMover[Scenario_MRF_Bale_ID],0)))</f>
        <v>50</v>
      </c>
      <c r="AN556" s="251">
        <f>IF(SecondaryTransport[[#This Row],[Bale_ID]]="9000-01","costs elsewhere",SecondaryTransport[[#This Row],[Total_Baled_tons]]*SecondaryTransport[[#This Row],[Miles]])</f>
        <v>3968.7354885125592</v>
      </c>
      <c r="AO556" s="352" t="str">
        <f>IF(LEFT(SecondaryTransport[[#This Row],[Bale_ID]],1)*1=5,IF(OR(SecondaryTransport[[#This Row],[MRF_ID]]="02",SecondaryTransport[[#This Row],[MRF_ID]]="08"),2,1),"")</f>
        <v/>
      </c>
      <c r="AP5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6" s="224" t="str">
        <f>IFERROR(IF(1*LEFT(SecondaryTransport[[#This Row],[Bale_ID]],1)=5,SecondaryTransport[[#This Row],[Ton-Miles]]*SecondaryTransport[[#This Row],[Cost_Per_Ton-Mile]],""),"")</f>
        <v/>
      </c>
      <c r="AS556" s="224">
        <f>IFERROR(IF(SecondaryTransport[[#This Row],[Container_Transfer]]="",(SecondaryTransport[[#This Row],[Ton-Miles]]*SecondaryTransport[[#This Row],[Cost_Per_Ton-Mile]]),""),"")</f>
        <v>1230.3080014388934</v>
      </c>
    </row>
    <row r="557" spans="12:45" ht="15" x14ac:dyDescent="0.25">
      <c r="L557" s="446" t="s">
        <v>873</v>
      </c>
      <c r="M557" s="446">
        <v>3</v>
      </c>
      <c r="N557" s="446">
        <v>2</v>
      </c>
      <c r="O557" s="446" t="s">
        <v>706</v>
      </c>
      <c r="P557" s="449" t="s">
        <v>739</v>
      </c>
      <c r="Q557" s="449"/>
      <c r="R557" s="449"/>
      <c r="S557" s="449" t="s">
        <v>707</v>
      </c>
      <c r="T557" s="449" t="s">
        <v>1121</v>
      </c>
      <c r="U557" s="452">
        <v>110.17631167989367</v>
      </c>
      <c r="V5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3966.347220476172</v>
      </c>
      <c r="W557" s="272">
        <f>IFERROR(SUMIFS(TransUnitCost[Miles],TransUnitCost[Grouping_ID],TransTonsShort[[#This Row],[Grouping_ID]],TransUnitCost[Transp_ID],TransTonsShort[[#This Row],[Transp_ID]])*TransTonsShort[[#This Row],[Trans_Tons_All]]/TransTonsShort[[#This Row],[Trans_Tons_All]],"")</f>
        <v>150</v>
      </c>
      <c r="X557" s="386" t="str">
        <f>TransTonsShort[[#This Row],[Grouping_ID]]&amp;"-"&amp;TransTonsShort[[#This Row],[Sector_ID]]</f>
        <v>3-2</v>
      </c>
      <c r="Y5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7" s="421">
        <f>INDEX(LandfillFees[Disposal Tip Fee 2025],MATCH(TransTonsShort[[#This Row],[Grouping_ID]],LandfillFees[Grouping_ID],0))</f>
        <v>72.030938699729589</v>
      </c>
      <c r="AA557" s="102">
        <f>IF(OR(TransTonsShort[[#This Row],[CollectionStream_ID]]="03",TransTonsShort[[#This Row],[CollectionStream_ID]]="04",TransTonsShort[[#This Row],[CollectionStream_ID]]="13"),0,TransTonsShort[[#This Row],[Trans_Tons_All]]*TransTonsShort[[#This Row],[Disposal_Fee]])</f>
        <v>7936.1031527767218</v>
      </c>
      <c r="AF557" s="446" t="s">
        <v>1730</v>
      </c>
      <c r="AG557" s="442" t="str">
        <f>LEFT(SecondaryTransport[[#This Row],[Scenario_MRF_Bale_ID]],2)</f>
        <v>S1</v>
      </c>
      <c r="AH557" s="181" t="str">
        <f>LEFT(RIGHT(SecondaryTransport[[#This Row],[Scenario_MRF_Bale_ID]],10),2)</f>
        <v>13</v>
      </c>
      <c r="AI557" s="181" t="str">
        <f>INDEX(MRFs[MRF_Name],MATCH(SecondaryTransport[[#This Row],[MRF_ID]],MRFs[MRF_ID],0))</f>
        <v>Directly marketed (no sorting)</v>
      </c>
      <c r="AJ557" s="181" t="str">
        <f>RIGHT(SecondaryTransport[[#This Row],[Scenario_MRF_Bale_ID]],7)</f>
        <v>2000-13</v>
      </c>
      <c r="AK557" s="181" t="str">
        <f>INDEX(Bales[Bale_Name],MATCH(SecondaryTransport[[#This Row],[Bale_ID]],Bales[Bale_ID],0))</f>
        <v>PP #5 small rigid plastic</v>
      </c>
      <c r="AL557" s="443">
        <f>INDEX(BaleMover[Total_Baled_tons],MATCH(SecondaryTransport[[#This Row],[Scenario_MRF_Bale_ID]],BaleMover[Scenario_MRF_Bale_ID],0))</f>
        <v>79.374709770251187</v>
      </c>
      <c r="AM557" s="443">
        <f>IF(INDEX(BaleMover[Miles],MATCH(SecondaryTransport[[#This Row],[Scenario_MRF_Bale_ID]],BaleMover[Scenario_MRF_Bale_ID],0))="",0,INDEX(BaleMover[Miles],MATCH(SecondaryTransport[[#This Row],[Scenario_MRF_Bale_ID]],BaleMover[Scenario_MRF_Bale_ID],0)))</f>
        <v>50</v>
      </c>
      <c r="AN557" s="251">
        <f>IF(SecondaryTransport[[#This Row],[Bale_ID]]="9000-01","costs elsewhere",SecondaryTransport[[#This Row],[Total_Baled_tons]]*SecondaryTransport[[#This Row],[Miles]])</f>
        <v>3968.7354885125592</v>
      </c>
      <c r="AO557" s="352" t="str">
        <f>IF(LEFT(SecondaryTransport[[#This Row],[Bale_ID]],1)*1=5,IF(OR(SecondaryTransport[[#This Row],[MRF_ID]]="02",SecondaryTransport[[#This Row],[MRF_ID]]="08"),2,1),"")</f>
        <v/>
      </c>
      <c r="AP5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7" s="224" t="str">
        <f>IFERROR(IF(1*LEFT(SecondaryTransport[[#This Row],[Bale_ID]],1)=5,SecondaryTransport[[#This Row],[Ton-Miles]]*SecondaryTransport[[#This Row],[Cost_Per_Ton-Mile]],""),"")</f>
        <v/>
      </c>
      <c r="AS557" s="224">
        <f>IFERROR(IF(SecondaryTransport[[#This Row],[Container_Transfer]]="",(SecondaryTransport[[#This Row],[Ton-Miles]]*SecondaryTransport[[#This Row],[Cost_Per_Ton-Mile]]),""),"")</f>
        <v>1230.3080014388934</v>
      </c>
    </row>
    <row r="558" spans="12:45" ht="15" x14ac:dyDescent="0.25">
      <c r="L558" s="446" t="s">
        <v>873</v>
      </c>
      <c r="M558" s="446">
        <v>4</v>
      </c>
      <c r="N558" s="446">
        <v>2</v>
      </c>
      <c r="O558" s="446" t="s">
        <v>706</v>
      </c>
      <c r="P558" s="449" t="s">
        <v>739</v>
      </c>
      <c r="Q558" s="449"/>
      <c r="R558" s="449"/>
      <c r="S558" s="449" t="s">
        <v>707</v>
      </c>
      <c r="T558" s="449" t="s">
        <v>1121</v>
      </c>
      <c r="U558" s="452">
        <v>1.7061039850646562</v>
      </c>
      <c r="V5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93.83571917855609</v>
      </c>
      <c r="W558" s="272">
        <f>IFERROR(SUMIFS(TransUnitCost[Miles],TransUnitCost[Grouping_ID],TransTonsShort[[#This Row],[Grouping_ID]],TransUnitCost[Transp_ID],TransTonsShort[[#This Row],[Transp_ID]])*TransTonsShort[[#This Row],[Trans_Tons_All]]/TransTonsShort[[#This Row],[Trans_Tons_All]],"")</f>
        <v>250</v>
      </c>
      <c r="X558" s="386" t="str">
        <f>TransTonsShort[[#This Row],[Grouping_ID]]&amp;"-"&amp;TransTonsShort[[#This Row],[Sector_ID]]</f>
        <v>4-2</v>
      </c>
      <c r="Y5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8" s="421">
        <f>INDEX(LandfillFees[Disposal Tip Fee 2025],MATCH(TransTonsShort[[#This Row],[Grouping_ID]],LandfillFees[Grouping_ID],0))</f>
        <v>72.030938699729589</v>
      </c>
      <c r="AA558" s="102">
        <f>IF(OR(TransTonsShort[[#This Row],[CollectionStream_ID]]="03",TransTonsShort[[#This Row],[CollectionStream_ID]]="04",TransTonsShort[[#This Row],[CollectionStream_ID]]="13"),0,TransTonsShort[[#This Row],[Trans_Tons_All]]*TransTonsShort[[#This Row],[Disposal_Fee]])</f>
        <v>122.89227156355662</v>
      </c>
      <c r="AF558" s="446" t="s">
        <v>1731</v>
      </c>
      <c r="AG558" s="442" t="str">
        <f>LEFT(SecondaryTransport[[#This Row],[Scenario_MRF_Bale_ID]],2)</f>
        <v>S2</v>
      </c>
      <c r="AH558" s="181" t="str">
        <f>LEFT(RIGHT(SecondaryTransport[[#This Row],[Scenario_MRF_Bale_ID]],10),2)</f>
        <v>13</v>
      </c>
      <c r="AI558" s="181" t="str">
        <f>INDEX(MRFs[MRF_Name],MATCH(SecondaryTransport[[#This Row],[MRF_ID]],MRFs[MRF_ID],0))</f>
        <v>Directly marketed (no sorting)</v>
      </c>
      <c r="AJ558" s="181" t="str">
        <f>RIGHT(SecondaryTransport[[#This Row],[Scenario_MRF_Bale_ID]],7)</f>
        <v>2000-13</v>
      </c>
      <c r="AK558" s="181" t="str">
        <f>INDEX(Bales[Bale_Name],MATCH(SecondaryTransport[[#This Row],[Bale_ID]],Bales[Bale_ID],0))</f>
        <v>PP #5 small rigid plastic</v>
      </c>
      <c r="AL558" s="443">
        <f>INDEX(BaleMover[Total_Baled_tons],MATCH(SecondaryTransport[[#This Row],[Scenario_MRF_Bale_ID]],BaleMover[Scenario_MRF_Bale_ID],0))</f>
        <v>367.00036827220504</v>
      </c>
      <c r="AM558" s="443">
        <f>IF(INDEX(BaleMover[Miles],MATCH(SecondaryTransport[[#This Row],[Scenario_MRF_Bale_ID]],BaleMover[Scenario_MRF_Bale_ID],0))="",0,INDEX(BaleMover[Miles],MATCH(SecondaryTransport[[#This Row],[Scenario_MRF_Bale_ID]],BaleMover[Scenario_MRF_Bale_ID],0)))</f>
        <v>50</v>
      </c>
      <c r="AN558" s="251">
        <f>IF(SecondaryTransport[[#This Row],[Bale_ID]]="9000-01","costs elsewhere",SecondaryTransport[[#This Row],[Total_Baled_tons]]*SecondaryTransport[[#This Row],[Miles]])</f>
        <v>18350.018413610251</v>
      </c>
      <c r="AO558" s="352" t="str">
        <f>IF(LEFT(SecondaryTransport[[#This Row],[Bale_ID]],1)*1=5,IF(OR(SecondaryTransport[[#This Row],[MRF_ID]]="02",SecondaryTransport[[#This Row],[MRF_ID]]="08"),2,1),"")</f>
        <v/>
      </c>
      <c r="AP5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8" s="224" t="str">
        <f>IFERROR(IF(1*LEFT(SecondaryTransport[[#This Row],[Bale_ID]],1)=5,SecondaryTransport[[#This Row],[Ton-Miles]]*SecondaryTransport[[#This Row],[Cost_Per_Ton-Mile]],""),"")</f>
        <v/>
      </c>
      <c r="AS558" s="224">
        <f>IFERROR(IF(SecondaryTransport[[#This Row],[Container_Transfer]]="",(SecondaryTransport[[#This Row],[Ton-Miles]]*SecondaryTransport[[#This Row],[Cost_Per_Ton-Mile]]),""),"")</f>
        <v>5688.5057082191779</v>
      </c>
    </row>
    <row r="559" spans="12:45" ht="15" x14ac:dyDescent="0.25">
      <c r="L559" s="446" t="s">
        <v>873</v>
      </c>
      <c r="M559" s="446">
        <v>1</v>
      </c>
      <c r="N559" s="446">
        <v>2</v>
      </c>
      <c r="O559" s="446" t="s">
        <v>706</v>
      </c>
      <c r="P559" s="449" t="s">
        <v>700</v>
      </c>
      <c r="Q559" s="449"/>
      <c r="R559" s="449"/>
      <c r="S559" s="449" t="s">
        <v>707</v>
      </c>
      <c r="T559" s="449" t="s">
        <v>701</v>
      </c>
      <c r="U559" s="452">
        <v>960.33134660810276</v>
      </c>
      <c r="V5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59" s="272">
        <f>IFERROR(SUMIFS(TransUnitCost[Miles],TransUnitCost[Grouping_ID],TransTonsShort[[#This Row],[Grouping_ID]],TransUnitCost[Transp_ID],TransTonsShort[[#This Row],[Transp_ID]])*TransTonsShort[[#This Row],[Trans_Tons_All]]/TransTonsShort[[#This Row],[Trans_Tons_All]],"")</f>
        <v>0</v>
      </c>
      <c r="X559" s="386" t="str">
        <f>TransTonsShort[[#This Row],[Grouping_ID]]&amp;"-"&amp;TransTonsShort[[#This Row],[Sector_ID]]</f>
        <v>1-2</v>
      </c>
      <c r="Y5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59" s="421">
        <f>INDEX(LandfillFees[Disposal Tip Fee 2025],MATCH(TransTonsShort[[#This Row],[Grouping_ID]],LandfillFees[Grouping_ID],0))</f>
        <v>134.68</v>
      </c>
      <c r="AA559" s="102">
        <f>IF(OR(TransTonsShort[[#This Row],[CollectionStream_ID]]="03",TransTonsShort[[#This Row],[CollectionStream_ID]]="04",TransTonsShort[[#This Row],[CollectionStream_ID]]="13"),0,TransTonsShort[[#This Row],[Trans_Tons_All]]*TransTonsShort[[#This Row],[Disposal_Fee]])</f>
        <v>129337.42576117929</v>
      </c>
      <c r="AF559" s="446" t="s">
        <v>1732</v>
      </c>
      <c r="AG559" s="442" t="str">
        <f>LEFT(SecondaryTransport[[#This Row],[Scenario_MRF_Bale_ID]],2)</f>
        <v>S3</v>
      </c>
      <c r="AH559" s="181" t="str">
        <f>LEFT(RIGHT(SecondaryTransport[[#This Row],[Scenario_MRF_Bale_ID]],10),2)</f>
        <v>13</v>
      </c>
      <c r="AI559" s="181" t="str">
        <f>INDEX(MRFs[MRF_Name],MATCH(SecondaryTransport[[#This Row],[MRF_ID]],MRFs[MRF_ID],0))</f>
        <v>Directly marketed (no sorting)</v>
      </c>
      <c r="AJ559" s="181" t="str">
        <f>RIGHT(SecondaryTransport[[#This Row],[Scenario_MRF_Bale_ID]],7)</f>
        <v>2000-13</v>
      </c>
      <c r="AK559" s="181" t="str">
        <f>INDEX(Bales[Bale_Name],MATCH(SecondaryTransport[[#This Row],[Bale_ID]],Bales[Bale_ID],0))</f>
        <v>PP #5 small rigid plastic</v>
      </c>
      <c r="AL559" s="443">
        <f>INDEX(BaleMover[Total_Baled_tons],MATCH(SecondaryTransport[[#This Row],[Scenario_MRF_Bale_ID]],BaleMover[Scenario_MRF_Bale_ID],0))</f>
        <v>367.00036827220504</v>
      </c>
      <c r="AM559" s="443">
        <f>IF(INDEX(BaleMover[Miles],MATCH(SecondaryTransport[[#This Row],[Scenario_MRF_Bale_ID]],BaleMover[Scenario_MRF_Bale_ID],0))="",0,INDEX(BaleMover[Miles],MATCH(SecondaryTransport[[#This Row],[Scenario_MRF_Bale_ID]],BaleMover[Scenario_MRF_Bale_ID],0)))</f>
        <v>50</v>
      </c>
      <c r="AN559" s="251">
        <f>IF(SecondaryTransport[[#This Row],[Bale_ID]]="9000-01","costs elsewhere",SecondaryTransport[[#This Row],[Total_Baled_tons]]*SecondaryTransport[[#This Row],[Miles]])</f>
        <v>18350.018413610251</v>
      </c>
      <c r="AO559" s="352" t="str">
        <f>IF(LEFT(SecondaryTransport[[#This Row],[Bale_ID]],1)*1=5,IF(OR(SecondaryTransport[[#This Row],[MRF_ID]]="02",SecondaryTransport[[#This Row],[MRF_ID]]="08"),2,1),"")</f>
        <v/>
      </c>
      <c r="AP5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5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59" s="224" t="str">
        <f>IFERROR(IF(1*LEFT(SecondaryTransport[[#This Row],[Bale_ID]],1)=5,SecondaryTransport[[#This Row],[Ton-Miles]]*SecondaryTransport[[#This Row],[Cost_Per_Ton-Mile]],""),"")</f>
        <v/>
      </c>
      <c r="AS559" s="224">
        <f>IFERROR(IF(SecondaryTransport[[#This Row],[Container_Transfer]]="",(SecondaryTransport[[#This Row],[Ton-Miles]]*SecondaryTransport[[#This Row],[Cost_Per_Ton-Mile]]),""),"")</f>
        <v>5688.5057082191779</v>
      </c>
    </row>
    <row r="560" spans="12:45" ht="15" x14ac:dyDescent="0.25">
      <c r="L560" s="446" t="s">
        <v>873</v>
      </c>
      <c r="M560" s="446">
        <v>2</v>
      </c>
      <c r="N560" s="446">
        <v>2</v>
      </c>
      <c r="O560" s="446" t="s">
        <v>706</v>
      </c>
      <c r="P560" s="449" t="s">
        <v>700</v>
      </c>
      <c r="Q560" s="449"/>
      <c r="R560" s="449"/>
      <c r="S560" s="449" t="s">
        <v>707</v>
      </c>
      <c r="T560" s="449" t="s">
        <v>701</v>
      </c>
      <c r="U560" s="452">
        <v>0</v>
      </c>
      <c r="V5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0" s="272" t="str">
        <f>IFERROR(SUMIFS(TransUnitCost[Miles],TransUnitCost[Grouping_ID],TransTonsShort[[#This Row],[Grouping_ID]],TransUnitCost[Transp_ID],TransTonsShort[[#This Row],[Transp_ID]])*TransTonsShort[[#This Row],[Trans_Tons_All]]/TransTonsShort[[#This Row],[Trans_Tons_All]],"")</f>
        <v/>
      </c>
      <c r="X560" s="386" t="str">
        <f>TransTonsShort[[#This Row],[Grouping_ID]]&amp;"-"&amp;TransTonsShort[[#This Row],[Sector_ID]]</f>
        <v>2-2</v>
      </c>
      <c r="Y5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0" s="421">
        <f>INDEX(LandfillFees[Disposal Tip Fee 2025],MATCH(TransTonsShort[[#This Row],[Grouping_ID]],LandfillFees[Grouping_ID],0))</f>
        <v>72.030938699729589</v>
      </c>
      <c r="AA560" s="102">
        <f>IF(OR(TransTonsShort[[#This Row],[CollectionStream_ID]]="03",TransTonsShort[[#This Row],[CollectionStream_ID]]="04",TransTonsShort[[#This Row],[CollectionStream_ID]]="13"),0,TransTonsShort[[#This Row],[Trans_Tons_All]]*TransTonsShort[[#This Row],[Disposal_Fee]])</f>
        <v>0</v>
      </c>
      <c r="AF560" s="446" t="s">
        <v>1733</v>
      </c>
      <c r="AG560" s="442" t="str">
        <f>LEFT(SecondaryTransport[[#This Row],[Scenario_MRF_Bale_ID]],2)</f>
        <v>S4</v>
      </c>
      <c r="AH560" s="181" t="str">
        <f>LEFT(RIGHT(SecondaryTransport[[#This Row],[Scenario_MRF_Bale_ID]],10),2)</f>
        <v>13</v>
      </c>
      <c r="AI560" s="181" t="str">
        <f>INDEX(MRFs[MRF_Name],MATCH(SecondaryTransport[[#This Row],[MRF_ID]],MRFs[MRF_ID],0))</f>
        <v>Directly marketed (no sorting)</v>
      </c>
      <c r="AJ560" s="181" t="str">
        <f>RIGHT(SecondaryTransport[[#This Row],[Scenario_MRF_Bale_ID]],7)</f>
        <v>2000-13</v>
      </c>
      <c r="AK560" s="181" t="str">
        <f>INDEX(Bales[Bale_Name],MATCH(SecondaryTransport[[#This Row],[Bale_ID]],Bales[Bale_ID],0))</f>
        <v>PP #5 small rigid plastic</v>
      </c>
      <c r="AL560" s="443">
        <f>INDEX(BaleMover[Total_Baled_tons],MATCH(SecondaryTransport[[#This Row],[Scenario_MRF_Bale_ID]],BaleMover[Scenario_MRF_Bale_ID],0))</f>
        <v>367.00036827220504</v>
      </c>
      <c r="AM560" s="443">
        <f>IF(INDEX(BaleMover[Miles],MATCH(SecondaryTransport[[#This Row],[Scenario_MRF_Bale_ID]],BaleMover[Scenario_MRF_Bale_ID],0))="",0,INDEX(BaleMover[Miles],MATCH(SecondaryTransport[[#This Row],[Scenario_MRF_Bale_ID]],BaleMover[Scenario_MRF_Bale_ID],0)))</f>
        <v>50</v>
      </c>
      <c r="AN560" s="251">
        <f>IF(SecondaryTransport[[#This Row],[Bale_ID]]="9000-01","costs elsewhere",SecondaryTransport[[#This Row],[Total_Baled_tons]]*SecondaryTransport[[#This Row],[Miles]])</f>
        <v>18350.018413610251</v>
      </c>
      <c r="AO560" s="352" t="str">
        <f>IF(LEFT(SecondaryTransport[[#This Row],[Bale_ID]],1)*1=5,IF(OR(SecondaryTransport[[#This Row],[MRF_ID]]="02",SecondaryTransport[[#This Row],[MRF_ID]]="08"),2,1),"")</f>
        <v/>
      </c>
      <c r="AP5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0" s="224" t="str">
        <f>IFERROR(IF(1*LEFT(SecondaryTransport[[#This Row],[Bale_ID]],1)=5,SecondaryTransport[[#This Row],[Ton-Miles]]*SecondaryTransport[[#This Row],[Cost_Per_Ton-Mile]],""),"")</f>
        <v/>
      </c>
      <c r="AS560" s="224">
        <f>IFERROR(IF(SecondaryTransport[[#This Row],[Container_Transfer]]="",(SecondaryTransport[[#This Row],[Ton-Miles]]*SecondaryTransport[[#This Row],[Cost_Per_Ton-Mile]]),""),"")</f>
        <v>5688.5057082191779</v>
      </c>
    </row>
    <row r="561" spans="12:45" ht="15" x14ac:dyDescent="0.25">
      <c r="L561" s="446" t="s">
        <v>873</v>
      </c>
      <c r="M561" s="446">
        <v>3</v>
      </c>
      <c r="N561" s="446">
        <v>2</v>
      </c>
      <c r="O561" s="446" t="s">
        <v>706</v>
      </c>
      <c r="P561" s="449" t="s">
        <v>700</v>
      </c>
      <c r="Q561" s="449"/>
      <c r="R561" s="449"/>
      <c r="S561" s="449" t="s">
        <v>707</v>
      </c>
      <c r="T561" s="449" t="s">
        <v>701</v>
      </c>
      <c r="U561" s="452">
        <v>0</v>
      </c>
      <c r="V5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1" s="272" t="str">
        <f>IFERROR(SUMIFS(TransUnitCost[Miles],TransUnitCost[Grouping_ID],TransTonsShort[[#This Row],[Grouping_ID]],TransUnitCost[Transp_ID],TransTonsShort[[#This Row],[Transp_ID]])*TransTonsShort[[#This Row],[Trans_Tons_All]]/TransTonsShort[[#This Row],[Trans_Tons_All]],"")</f>
        <v/>
      </c>
      <c r="X561" s="386" t="str">
        <f>TransTonsShort[[#This Row],[Grouping_ID]]&amp;"-"&amp;TransTonsShort[[#This Row],[Sector_ID]]</f>
        <v>3-2</v>
      </c>
      <c r="Y5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1" s="421">
        <f>INDEX(LandfillFees[Disposal Tip Fee 2025],MATCH(TransTonsShort[[#This Row],[Grouping_ID]],LandfillFees[Grouping_ID],0))</f>
        <v>72.030938699729589</v>
      </c>
      <c r="AA561" s="102">
        <f>IF(OR(TransTonsShort[[#This Row],[CollectionStream_ID]]="03",TransTonsShort[[#This Row],[CollectionStream_ID]]="04",TransTonsShort[[#This Row],[CollectionStream_ID]]="13"),0,TransTonsShort[[#This Row],[Trans_Tons_All]]*TransTonsShort[[#This Row],[Disposal_Fee]])</f>
        <v>0</v>
      </c>
      <c r="AF561" s="446" t="s">
        <v>1734</v>
      </c>
      <c r="AG561" s="442" t="str">
        <f>LEFT(SecondaryTransport[[#This Row],[Scenario_MRF_Bale_ID]],2)</f>
        <v>S0</v>
      </c>
      <c r="AH561" s="181" t="str">
        <f>LEFT(RIGHT(SecondaryTransport[[#This Row],[Scenario_MRF_Bale_ID]],10),2)</f>
        <v>13</v>
      </c>
      <c r="AI561" s="181" t="str">
        <f>INDEX(MRFs[MRF_Name],MATCH(SecondaryTransport[[#This Row],[MRF_ID]],MRFs[MRF_ID],0))</f>
        <v>Directly marketed (no sorting)</v>
      </c>
      <c r="AJ561" s="181" t="str">
        <f>RIGHT(SecondaryTransport[[#This Row],[Scenario_MRF_Bale_ID]],7)</f>
        <v>2000-14</v>
      </c>
      <c r="AK561" s="181" t="str">
        <f>INDEX(Bales[Bale_Name],MATCH(SecondaryTransport[[#This Row],[Bale_ID]],Bales[Bale_ID],0))</f>
        <v>Solid PS #6 (rigid) </v>
      </c>
      <c r="AL561" s="443">
        <f>INDEX(BaleMover[Total_Baled_tons],MATCH(SecondaryTransport[[#This Row],[Scenario_MRF_Bale_ID]],BaleMover[Scenario_MRF_Bale_ID],0))</f>
        <v>0.27666363481483458</v>
      </c>
      <c r="AM561" s="443">
        <f>IF(INDEX(BaleMover[Miles],MATCH(SecondaryTransport[[#This Row],[Scenario_MRF_Bale_ID]],BaleMover[Scenario_MRF_Bale_ID],0))="",0,INDEX(BaleMover[Miles],MATCH(SecondaryTransport[[#This Row],[Scenario_MRF_Bale_ID]],BaleMover[Scenario_MRF_Bale_ID],0)))</f>
        <v>45</v>
      </c>
      <c r="AN561" s="251">
        <f>IF(SecondaryTransport[[#This Row],[Bale_ID]]="9000-01","costs elsewhere",SecondaryTransport[[#This Row],[Total_Baled_tons]]*SecondaryTransport[[#This Row],[Miles]])</f>
        <v>12.449863566667556</v>
      </c>
      <c r="AO561" s="352" t="str">
        <f>IF(LEFT(SecondaryTransport[[#This Row],[Bale_ID]],1)*1=5,IF(OR(SecondaryTransport[[#This Row],[MRF_ID]]="02",SecondaryTransport[[#This Row],[MRF_ID]]="08"),2,1),"")</f>
        <v/>
      </c>
      <c r="AP5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1" s="224" t="str">
        <f>IFERROR(IF(1*LEFT(SecondaryTransport[[#This Row],[Bale_ID]],1)=5,SecondaryTransport[[#This Row],[Ton-Miles]]*SecondaryTransport[[#This Row],[Cost_Per_Ton-Mile]],""),"")</f>
        <v/>
      </c>
      <c r="AS561" s="224">
        <f>IFERROR(IF(SecondaryTransport[[#This Row],[Container_Transfer]]="",(SecondaryTransport[[#This Row],[Ton-Miles]]*SecondaryTransport[[#This Row],[Cost_Per_Ton-Mile]]),""),"")</f>
        <v>3.8594577056669426</v>
      </c>
    </row>
    <row r="562" spans="12:45" ht="15" x14ac:dyDescent="0.25">
      <c r="L562" s="446" t="s">
        <v>873</v>
      </c>
      <c r="M562" s="446">
        <v>4</v>
      </c>
      <c r="N562" s="446">
        <v>2</v>
      </c>
      <c r="O562" s="446" t="s">
        <v>706</v>
      </c>
      <c r="P562" s="449" t="s">
        <v>700</v>
      </c>
      <c r="Q562" s="449"/>
      <c r="R562" s="449"/>
      <c r="S562" s="449" t="s">
        <v>707</v>
      </c>
      <c r="T562" s="449" t="s">
        <v>701</v>
      </c>
      <c r="U562" s="452">
        <v>0</v>
      </c>
      <c r="V5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2" s="272" t="str">
        <f>IFERROR(SUMIFS(TransUnitCost[Miles],TransUnitCost[Grouping_ID],TransTonsShort[[#This Row],[Grouping_ID]],TransUnitCost[Transp_ID],TransTonsShort[[#This Row],[Transp_ID]])*TransTonsShort[[#This Row],[Trans_Tons_All]]/TransTonsShort[[#This Row],[Trans_Tons_All]],"")</f>
        <v/>
      </c>
      <c r="X562" s="386" t="str">
        <f>TransTonsShort[[#This Row],[Grouping_ID]]&amp;"-"&amp;TransTonsShort[[#This Row],[Sector_ID]]</f>
        <v>4-2</v>
      </c>
      <c r="Y5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2" s="421">
        <f>INDEX(LandfillFees[Disposal Tip Fee 2025],MATCH(TransTonsShort[[#This Row],[Grouping_ID]],LandfillFees[Grouping_ID],0))</f>
        <v>72.030938699729589</v>
      </c>
      <c r="AA562" s="102">
        <f>IF(OR(TransTonsShort[[#This Row],[CollectionStream_ID]]="03",TransTonsShort[[#This Row],[CollectionStream_ID]]="04",TransTonsShort[[#This Row],[CollectionStream_ID]]="13"),0,TransTonsShort[[#This Row],[Trans_Tons_All]]*TransTonsShort[[#This Row],[Disposal_Fee]])</f>
        <v>0</v>
      </c>
      <c r="AF562" s="446" t="s">
        <v>1735</v>
      </c>
      <c r="AG562" s="442" t="str">
        <f>LEFT(SecondaryTransport[[#This Row],[Scenario_MRF_Bale_ID]],2)</f>
        <v>S1</v>
      </c>
      <c r="AH562" s="181" t="str">
        <f>LEFT(RIGHT(SecondaryTransport[[#This Row],[Scenario_MRF_Bale_ID]],10),2)</f>
        <v>13</v>
      </c>
      <c r="AI562" s="181" t="str">
        <f>INDEX(MRFs[MRF_Name],MATCH(SecondaryTransport[[#This Row],[MRF_ID]],MRFs[MRF_ID],0))</f>
        <v>Directly marketed (no sorting)</v>
      </c>
      <c r="AJ562" s="181" t="str">
        <f>RIGHT(SecondaryTransport[[#This Row],[Scenario_MRF_Bale_ID]],7)</f>
        <v>2000-14</v>
      </c>
      <c r="AK562" s="181" t="str">
        <f>INDEX(Bales[Bale_Name],MATCH(SecondaryTransport[[#This Row],[Bale_ID]],Bales[Bale_ID],0))</f>
        <v>Solid PS #6 (rigid) </v>
      </c>
      <c r="AL562" s="443">
        <f>INDEX(BaleMover[Total_Baled_tons],MATCH(SecondaryTransport[[#This Row],[Scenario_MRF_Bale_ID]],BaleMover[Scenario_MRF_Bale_ID],0))</f>
        <v>0.27666363481483458</v>
      </c>
      <c r="AM562" s="443">
        <f>IF(INDEX(BaleMover[Miles],MATCH(SecondaryTransport[[#This Row],[Scenario_MRF_Bale_ID]],BaleMover[Scenario_MRF_Bale_ID],0))="",0,INDEX(BaleMover[Miles],MATCH(SecondaryTransport[[#This Row],[Scenario_MRF_Bale_ID]],BaleMover[Scenario_MRF_Bale_ID],0)))</f>
        <v>45</v>
      </c>
      <c r="AN562" s="251">
        <f>IF(SecondaryTransport[[#This Row],[Bale_ID]]="9000-01","costs elsewhere",SecondaryTransport[[#This Row],[Total_Baled_tons]]*SecondaryTransport[[#This Row],[Miles]])</f>
        <v>12.449863566667556</v>
      </c>
      <c r="AO562" s="352" t="str">
        <f>IF(LEFT(SecondaryTransport[[#This Row],[Bale_ID]],1)*1=5,IF(OR(SecondaryTransport[[#This Row],[MRF_ID]]="02",SecondaryTransport[[#This Row],[MRF_ID]]="08"),2,1),"")</f>
        <v/>
      </c>
      <c r="AP5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2" s="224" t="str">
        <f>IFERROR(IF(1*LEFT(SecondaryTransport[[#This Row],[Bale_ID]],1)=5,SecondaryTransport[[#This Row],[Ton-Miles]]*SecondaryTransport[[#This Row],[Cost_Per_Ton-Mile]],""),"")</f>
        <v/>
      </c>
      <c r="AS562" s="224">
        <f>IFERROR(IF(SecondaryTransport[[#This Row],[Container_Transfer]]="",(SecondaryTransport[[#This Row],[Ton-Miles]]*SecondaryTransport[[#This Row],[Cost_Per_Ton-Mile]]),""),"")</f>
        <v>3.8594577056669426</v>
      </c>
    </row>
    <row r="563" spans="12:45" ht="15" x14ac:dyDescent="0.25">
      <c r="L563" s="446" t="s">
        <v>873</v>
      </c>
      <c r="M563" s="446">
        <v>1</v>
      </c>
      <c r="N563" s="446">
        <v>2</v>
      </c>
      <c r="O563" s="446" t="s">
        <v>752</v>
      </c>
      <c r="P563" s="449" t="s">
        <v>719</v>
      </c>
      <c r="Q563" s="449"/>
      <c r="R563" s="449"/>
      <c r="S563" s="449" t="s">
        <v>964</v>
      </c>
      <c r="T563" s="449" t="s">
        <v>1055</v>
      </c>
      <c r="U563" s="452">
        <v>0</v>
      </c>
      <c r="V5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3" s="272" t="str">
        <f>IFERROR(SUMIFS(TransUnitCost[Miles],TransUnitCost[Grouping_ID],TransTonsShort[[#This Row],[Grouping_ID]],TransUnitCost[Transp_ID],TransTonsShort[[#This Row],[Transp_ID]])*TransTonsShort[[#This Row],[Trans_Tons_All]]/TransTonsShort[[#This Row],[Trans_Tons_All]],"")</f>
        <v/>
      </c>
      <c r="X563" s="386" t="str">
        <f>TransTonsShort[[#This Row],[Grouping_ID]]&amp;"-"&amp;TransTonsShort[[#This Row],[Sector_ID]]</f>
        <v>1-2</v>
      </c>
      <c r="Y5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3" s="421">
        <f>INDEX(LandfillFees[Disposal Tip Fee 2025],MATCH(TransTonsShort[[#This Row],[Grouping_ID]],LandfillFees[Grouping_ID],0))</f>
        <v>134.68</v>
      </c>
      <c r="AA563" s="102">
        <f>IF(OR(TransTonsShort[[#This Row],[CollectionStream_ID]]="03",TransTonsShort[[#This Row],[CollectionStream_ID]]="04",TransTonsShort[[#This Row],[CollectionStream_ID]]="13"),0,TransTonsShort[[#This Row],[Trans_Tons_All]]*TransTonsShort[[#This Row],[Disposal_Fee]])</f>
        <v>0</v>
      </c>
      <c r="AF563" s="446" t="s">
        <v>1736</v>
      </c>
      <c r="AG563" s="442" t="str">
        <f>LEFT(SecondaryTransport[[#This Row],[Scenario_MRF_Bale_ID]],2)</f>
        <v>S2</v>
      </c>
      <c r="AH563" s="181" t="str">
        <f>LEFT(RIGHT(SecondaryTransport[[#This Row],[Scenario_MRF_Bale_ID]],10),2)</f>
        <v>13</v>
      </c>
      <c r="AI563" s="181" t="str">
        <f>INDEX(MRFs[MRF_Name],MATCH(SecondaryTransport[[#This Row],[MRF_ID]],MRFs[MRF_ID],0))</f>
        <v>Directly marketed (no sorting)</v>
      </c>
      <c r="AJ563" s="181" t="str">
        <f>RIGHT(SecondaryTransport[[#This Row],[Scenario_MRF_Bale_ID]],7)</f>
        <v>2000-14</v>
      </c>
      <c r="AK563" s="181" t="str">
        <f>INDEX(Bales[Bale_Name],MATCH(SecondaryTransport[[#This Row],[Bale_ID]],Bales[Bale_ID],0))</f>
        <v>Solid PS #6 (rigid) </v>
      </c>
      <c r="AL563" s="443">
        <f>INDEX(BaleMover[Total_Baled_tons],MATCH(SecondaryTransport[[#This Row],[Scenario_MRF_Bale_ID]],BaleMover[Scenario_MRF_Bale_ID],0))</f>
        <v>10.380408510097872</v>
      </c>
      <c r="AM563" s="443">
        <f>IF(INDEX(BaleMover[Miles],MATCH(SecondaryTransport[[#This Row],[Scenario_MRF_Bale_ID]],BaleMover[Scenario_MRF_Bale_ID],0))="",0,INDEX(BaleMover[Miles],MATCH(SecondaryTransport[[#This Row],[Scenario_MRF_Bale_ID]],BaleMover[Scenario_MRF_Bale_ID],0)))</f>
        <v>45</v>
      </c>
      <c r="AN563" s="251">
        <f>IF(SecondaryTransport[[#This Row],[Bale_ID]]="9000-01","costs elsewhere",SecondaryTransport[[#This Row],[Total_Baled_tons]]*SecondaryTransport[[#This Row],[Miles]])</f>
        <v>467.11838295440424</v>
      </c>
      <c r="AO563" s="352" t="str">
        <f>IF(LEFT(SecondaryTransport[[#This Row],[Bale_ID]],1)*1=5,IF(OR(SecondaryTransport[[#This Row],[MRF_ID]]="02",SecondaryTransport[[#This Row],[MRF_ID]]="08"),2,1),"")</f>
        <v/>
      </c>
      <c r="AP5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3" s="224" t="str">
        <f>IFERROR(IF(1*LEFT(SecondaryTransport[[#This Row],[Bale_ID]],1)=5,SecondaryTransport[[#This Row],[Ton-Miles]]*SecondaryTransport[[#This Row],[Cost_Per_Ton-Mile]],""),"")</f>
        <v/>
      </c>
      <c r="AS563" s="224">
        <f>IFERROR(IF(SecondaryTransport[[#This Row],[Container_Transfer]]="",(SecondaryTransport[[#This Row],[Ton-Miles]]*SecondaryTransport[[#This Row],[Cost_Per_Ton-Mile]]),""),"")</f>
        <v>144.80669871586531</v>
      </c>
    </row>
    <row r="564" spans="12:45" ht="15" x14ac:dyDescent="0.25">
      <c r="L564" s="446" t="s">
        <v>873</v>
      </c>
      <c r="M564" s="446">
        <v>2</v>
      </c>
      <c r="N564" s="446">
        <v>2</v>
      </c>
      <c r="O564" s="446" t="s">
        <v>752</v>
      </c>
      <c r="P564" s="449" t="s">
        <v>719</v>
      </c>
      <c r="Q564" s="449"/>
      <c r="R564" s="449"/>
      <c r="S564" s="449" t="s">
        <v>964</v>
      </c>
      <c r="T564" s="449" t="s">
        <v>1055</v>
      </c>
      <c r="U564" s="452">
        <v>0</v>
      </c>
      <c r="V5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4" s="272" t="str">
        <f>IFERROR(SUMIFS(TransUnitCost[Miles],TransUnitCost[Grouping_ID],TransTonsShort[[#This Row],[Grouping_ID]],TransUnitCost[Transp_ID],TransTonsShort[[#This Row],[Transp_ID]])*TransTonsShort[[#This Row],[Trans_Tons_All]]/TransTonsShort[[#This Row],[Trans_Tons_All]],"")</f>
        <v/>
      </c>
      <c r="X564" s="386" t="str">
        <f>TransTonsShort[[#This Row],[Grouping_ID]]&amp;"-"&amp;TransTonsShort[[#This Row],[Sector_ID]]</f>
        <v>2-2</v>
      </c>
      <c r="Y5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4" s="421">
        <f>INDEX(LandfillFees[Disposal Tip Fee 2025],MATCH(TransTonsShort[[#This Row],[Grouping_ID]],LandfillFees[Grouping_ID],0))</f>
        <v>72.030938699729589</v>
      </c>
      <c r="AA564" s="102">
        <f>IF(OR(TransTonsShort[[#This Row],[CollectionStream_ID]]="03",TransTonsShort[[#This Row],[CollectionStream_ID]]="04",TransTonsShort[[#This Row],[CollectionStream_ID]]="13"),0,TransTonsShort[[#This Row],[Trans_Tons_All]]*TransTonsShort[[#This Row],[Disposal_Fee]])</f>
        <v>0</v>
      </c>
      <c r="AF564" s="446" t="s">
        <v>1737</v>
      </c>
      <c r="AG564" s="442" t="str">
        <f>LEFT(SecondaryTransport[[#This Row],[Scenario_MRF_Bale_ID]],2)</f>
        <v>S3</v>
      </c>
      <c r="AH564" s="181" t="str">
        <f>LEFT(RIGHT(SecondaryTransport[[#This Row],[Scenario_MRF_Bale_ID]],10),2)</f>
        <v>13</v>
      </c>
      <c r="AI564" s="181" t="str">
        <f>INDEX(MRFs[MRF_Name],MATCH(SecondaryTransport[[#This Row],[MRF_ID]],MRFs[MRF_ID],0))</f>
        <v>Directly marketed (no sorting)</v>
      </c>
      <c r="AJ564" s="181" t="str">
        <f>RIGHT(SecondaryTransport[[#This Row],[Scenario_MRF_Bale_ID]],7)</f>
        <v>2000-14</v>
      </c>
      <c r="AK564" s="181" t="str">
        <f>INDEX(Bales[Bale_Name],MATCH(SecondaryTransport[[#This Row],[Bale_ID]],Bales[Bale_ID],0))</f>
        <v>Solid PS #6 (rigid) </v>
      </c>
      <c r="AL564" s="443">
        <f>INDEX(BaleMover[Total_Baled_tons],MATCH(SecondaryTransport[[#This Row],[Scenario_MRF_Bale_ID]],BaleMover[Scenario_MRF_Bale_ID],0))</f>
        <v>10.380408510097872</v>
      </c>
      <c r="AM564" s="443">
        <f>IF(INDEX(BaleMover[Miles],MATCH(SecondaryTransport[[#This Row],[Scenario_MRF_Bale_ID]],BaleMover[Scenario_MRF_Bale_ID],0))="",0,INDEX(BaleMover[Miles],MATCH(SecondaryTransport[[#This Row],[Scenario_MRF_Bale_ID]],BaleMover[Scenario_MRF_Bale_ID],0)))</f>
        <v>45</v>
      </c>
      <c r="AN564" s="251">
        <f>IF(SecondaryTransport[[#This Row],[Bale_ID]]="9000-01","costs elsewhere",SecondaryTransport[[#This Row],[Total_Baled_tons]]*SecondaryTransport[[#This Row],[Miles]])</f>
        <v>467.11838295440424</v>
      </c>
      <c r="AO564" s="352" t="str">
        <f>IF(LEFT(SecondaryTransport[[#This Row],[Bale_ID]],1)*1=5,IF(OR(SecondaryTransport[[#This Row],[MRF_ID]]="02",SecondaryTransport[[#This Row],[MRF_ID]]="08"),2,1),"")</f>
        <v/>
      </c>
      <c r="AP5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4" s="224" t="str">
        <f>IFERROR(IF(1*LEFT(SecondaryTransport[[#This Row],[Bale_ID]],1)=5,SecondaryTransport[[#This Row],[Ton-Miles]]*SecondaryTransport[[#This Row],[Cost_Per_Ton-Mile]],""),"")</f>
        <v/>
      </c>
      <c r="AS564" s="224">
        <f>IFERROR(IF(SecondaryTransport[[#This Row],[Container_Transfer]]="",(SecondaryTransport[[#This Row],[Ton-Miles]]*SecondaryTransport[[#This Row],[Cost_Per_Ton-Mile]]),""),"")</f>
        <v>144.80669871586531</v>
      </c>
    </row>
    <row r="565" spans="12:45" ht="15" x14ac:dyDescent="0.25">
      <c r="L565" s="446" t="s">
        <v>873</v>
      </c>
      <c r="M565" s="446">
        <v>3</v>
      </c>
      <c r="N565" s="446">
        <v>2</v>
      </c>
      <c r="O565" s="446" t="s">
        <v>752</v>
      </c>
      <c r="P565" s="449" t="s">
        <v>719</v>
      </c>
      <c r="Q565" s="449"/>
      <c r="R565" s="449"/>
      <c r="S565" s="449" t="s">
        <v>964</v>
      </c>
      <c r="T565" s="449" t="s">
        <v>1055</v>
      </c>
      <c r="U565" s="452">
        <v>0</v>
      </c>
      <c r="V5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5" s="272" t="str">
        <f>IFERROR(SUMIFS(TransUnitCost[Miles],TransUnitCost[Grouping_ID],TransTonsShort[[#This Row],[Grouping_ID]],TransUnitCost[Transp_ID],TransTonsShort[[#This Row],[Transp_ID]])*TransTonsShort[[#This Row],[Trans_Tons_All]]/TransTonsShort[[#This Row],[Trans_Tons_All]],"")</f>
        <v/>
      </c>
      <c r="X565" s="386" t="str">
        <f>TransTonsShort[[#This Row],[Grouping_ID]]&amp;"-"&amp;TransTonsShort[[#This Row],[Sector_ID]]</f>
        <v>3-2</v>
      </c>
      <c r="Y5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5" s="421">
        <f>INDEX(LandfillFees[Disposal Tip Fee 2025],MATCH(TransTonsShort[[#This Row],[Grouping_ID]],LandfillFees[Grouping_ID],0))</f>
        <v>72.030938699729589</v>
      </c>
      <c r="AA565" s="102">
        <f>IF(OR(TransTonsShort[[#This Row],[CollectionStream_ID]]="03",TransTonsShort[[#This Row],[CollectionStream_ID]]="04",TransTonsShort[[#This Row],[CollectionStream_ID]]="13"),0,TransTonsShort[[#This Row],[Trans_Tons_All]]*TransTonsShort[[#This Row],[Disposal_Fee]])</f>
        <v>0</v>
      </c>
      <c r="AF565" s="446" t="s">
        <v>1738</v>
      </c>
      <c r="AG565" s="442" t="str">
        <f>LEFT(SecondaryTransport[[#This Row],[Scenario_MRF_Bale_ID]],2)</f>
        <v>S4</v>
      </c>
      <c r="AH565" s="181" t="str">
        <f>LEFT(RIGHT(SecondaryTransport[[#This Row],[Scenario_MRF_Bale_ID]],10),2)</f>
        <v>13</v>
      </c>
      <c r="AI565" s="181" t="str">
        <f>INDEX(MRFs[MRF_Name],MATCH(SecondaryTransport[[#This Row],[MRF_ID]],MRFs[MRF_ID],0))</f>
        <v>Directly marketed (no sorting)</v>
      </c>
      <c r="AJ565" s="181" t="str">
        <f>RIGHT(SecondaryTransport[[#This Row],[Scenario_MRF_Bale_ID]],7)</f>
        <v>2000-14</v>
      </c>
      <c r="AK565" s="181" t="str">
        <f>INDEX(Bales[Bale_Name],MATCH(SecondaryTransport[[#This Row],[Bale_ID]],Bales[Bale_ID],0))</f>
        <v>Solid PS #6 (rigid) </v>
      </c>
      <c r="AL565" s="443">
        <f>INDEX(BaleMover[Total_Baled_tons],MATCH(SecondaryTransport[[#This Row],[Scenario_MRF_Bale_ID]],BaleMover[Scenario_MRF_Bale_ID],0))</f>
        <v>10.380408510097872</v>
      </c>
      <c r="AM565" s="443">
        <f>IF(INDEX(BaleMover[Miles],MATCH(SecondaryTransport[[#This Row],[Scenario_MRF_Bale_ID]],BaleMover[Scenario_MRF_Bale_ID],0))="",0,INDEX(BaleMover[Miles],MATCH(SecondaryTransport[[#This Row],[Scenario_MRF_Bale_ID]],BaleMover[Scenario_MRF_Bale_ID],0)))</f>
        <v>45</v>
      </c>
      <c r="AN565" s="251">
        <f>IF(SecondaryTransport[[#This Row],[Bale_ID]]="9000-01","costs elsewhere",SecondaryTransport[[#This Row],[Total_Baled_tons]]*SecondaryTransport[[#This Row],[Miles]])</f>
        <v>467.11838295440424</v>
      </c>
      <c r="AO565" s="352" t="str">
        <f>IF(LEFT(SecondaryTransport[[#This Row],[Bale_ID]],1)*1=5,IF(OR(SecondaryTransport[[#This Row],[MRF_ID]]="02",SecondaryTransport[[#This Row],[MRF_ID]]="08"),2,1),"")</f>
        <v/>
      </c>
      <c r="AP5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5" s="224" t="str">
        <f>IFERROR(IF(1*LEFT(SecondaryTransport[[#This Row],[Bale_ID]],1)=5,SecondaryTransport[[#This Row],[Ton-Miles]]*SecondaryTransport[[#This Row],[Cost_Per_Ton-Mile]],""),"")</f>
        <v/>
      </c>
      <c r="AS565" s="224">
        <f>IFERROR(IF(SecondaryTransport[[#This Row],[Container_Transfer]]="",(SecondaryTransport[[#This Row],[Ton-Miles]]*SecondaryTransport[[#This Row],[Cost_Per_Ton-Mile]]),""),"")</f>
        <v>144.80669871586531</v>
      </c>
    </row>
    <row r="566" spans="12:45" ht="15" x14ac:dyDescent="0.25">
      <c r="L566" s="446" t="s">
        <v>873</v>
      </c>
      <c r="M566" s="446">
        <v>4</v>
      </c>
      <c r="N566" s="446">
        <v>2</v>
      </c>
      <c r="O566" s="446" t="s">
        <v>752</v>
      </c>
      <c r="P566" s="449" t="s">
        <v>719</v>
      </c>
      <c r="Q566" s="449"/>
      <c r="R566" s="449"/>
      <c r="S566" s="449" t="s">
        <v>964</v>
      </c>
      <c r="T566" s="449" t="s">
        <v>1055</v>
      </c>
      <c r="U566" s="452">
        <v>0</v>
      </c>
      <c r="V5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6" s="272" t="str">
        <f>IFERROR(SUMIFS(TransUnitCost[Miles],TransUnitCost[Grouping_ID],TransTonsShort[[#This Row],[Grouping_ID]],TransUnitCost[Transp_ID],TransTonsShort[[#This Row],[Transp_ID]])*TransTonsShort[[#This Row],[Trans_Tons_All]]/TransTonsShort[[#This Row],[Trans_Tons_All]],"")</f>
        <v/>
      </c>
      <c r="X566" s="386" t="str">
        <f>TransTonsShort[[#This Row],[Grouping_ID]]&amp;"-"&amp;TransTonsShort[[#This Row],[Sector_ID]]</f>
        <v>4-2</v>
      </c>
      <c r="Y5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6" s="421">
        <f>INDEX(LandfillFees[Disposal Tip Fee 2025],MATCH(TransTonsShort[[#This Row],[Grouping_ID]],LandfillFees[Grouping_ID],0))</f>
        <v>72.030938699729589</v>
      </c>
      <c r="AA566" s="102">
        <f>IF(OR(TransTonsShort[[#This Row],[CollectionStream_ID]]="03",TransTonsShort[[#This Row],[CollectionStream_ID]]="04",TransTonsShort[[#This Row],[CollectionStream_ID]]="13"),0,TransTonsShort[[#This Row],[Trans_Tons_All]]*TransTonsShort[[#This Row],[Disposal_Fee]])</f>
        <v>0</v>
      </c>
      <c r="AF566" s="446" t="s">
        <v>1739</v>
      </c>
      <c r="AG566" s="442" t="str">
        <f>LEFT(SecondaryTransport[[#This Row],[Scenario_MRF_Bale_ID]],2)</f>
        <v>S0</v>
      </c>
      <c r="AH566" s="181" t="str">
        <f>LEFT(RIGHT(SecondaryTransport[[#This Row],[Scenario_MRF_Bale_ID]],10),2)</f>
        <v>13</v>
      </c>
      <c r="AI566" s="181" t="str">
        <f>INDEX(MRFs[MRF_Name],MATCH(SecondaryTransport[[#This Row],[MRF_ID]],MRFs[MRF_ID],0))</f>
        <v>Directly marketed (no sorting)</v>
      </c>
      <c r="AJ566" s="181" t="str">
        <f>RIGHT(SecondaryTransport[[#This Row],[Scenario_MRF_Bale_ID]],7)</f>
        <v>2000-16</v>
      </c>
      <c r="AK566" s="181" t="str">
        <f>INDEX(Bales[Bale_Name],MATCH(SecondaryTransport[[#This Row],[Bale_ID]],Bales[Bale_ID],0))</f>
        <v>Foam PS #6 (transport block and shape, densified)</v>
      </c>
      <c r="AL566" s="443">
        <f>INDEX(BaleMover[Total_Baled_tons],MATCH(SecondaryTransport[[#This Row],[Scenario_MRF_Bale_ID]],BaleMover[Scenario_MRF_Bale_ID],0))</f>
        <v>1.3862672329687287</v>
      </c>
      <c r="AM566" s="443">
        <f>IF(INDEX(BaleMover[Miles],MATCH(SecondaryTransport[[#This Row],[Scenario_MRF_Bale_ID]],BaleMover[Scenario_MRF_Bale_ID],0))="",0,INDEX(BaleMover[Miles],MATCH(SecondaryTransport[[#This Row],[Scenario_MRF_Bale_ID]],BaleMover[Scenario_MRF_Bale_ID],0)))</f>
        <v>45</v>
      </c>
      <c r="AN566" s="251">
        <f>IF(SecondaryTransport[[#This Row],[Bale_ID]]="9000-01","costs elsewhere",SecondaryTransport[[#This Row],[Total_Baled_tons]]*SecondaryTransport[[#This Row],[Miles]])</f>
        <v>62.382025483592791</v>
      </c>
      <c r="AO566" s="352" t="str">
        <f>IF(LEFT(SecondaryTransport[[#This Row],[Bale_ID]],1)*1=5,IF(OR(SecondaryTransport[[#This Row],[MRF_ID]]="02",SecondaryTransport[[#This Row],[MRF_ID]]="08"),2,1),"")</f>
        <v/>
      </c>
      <c r="AP5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6" s="224" t="str">
        <f>IFERROR(IF(1*LEFT(SecondaryTransport[[#This Row],[Bale_ID]],1)=5,SecondaryTransport[[#This Row],[Ton-Miles]]*SecondaryTransport[[#This Row],[Cost_Per_Ton-Mile]],""),"")</f>
        <v/>
      </c>
      <c r="AS566" s="224">
        <f>IFERROR(IF(SecondaryTransport[[#This Row],[Container_Transfer]]="",(SecondaryTransport[[#This Row],[Ton-Miles]]*SecondaryTransport[[#This Row],[Cost_Per_Ton-Mile]]),""),"")</f>
        <v>19.338427899913764</v>
      </c>
    </row>
    <row r="567" spans="12:45" ht="15" x14ac:dyDescent="0.25">
      <c r="L567" s="446" t="s">
        <v>873</v>
      </c>
      <c r="M567" s="446">
        <v>1</v>
      </c>
      <c r="N567" s="446">
        <v>2</v>
      </c>
      <c r="O567" s="446" t="s">
        <v>752</v>
      </c>
      <c r="P567" s="449" t="s">
        <v>700</v>
      </c>
      <c r="Q567" s="449"/>
      <c r="R567" s="449"/>
      <c r="S567" s="449" t="s">
        <v>964</v>
      </c>
      <c r="T567" s="449" t="s">
        <v>701</v>
      </c>
      <c r="U567" s="452">
        <v>0</v>
      </c>
      <c r="V5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7" s="272" t="str">
        <f>IFERROR(SUMIFS(TransUnitCost[Miles],TransUnitCost[Grouping_ID],TransTonsShort[[#This Row],[Grouping_ID]],TransUnitCost[Transp_ID],TransTonsShort[[#This Row],[Transp_ID]])*TransTonsShort[[#This Row],[Trans_Tons_All]]/TransTonsShort[[#This Row],[Trans_Tons_All]],"")</f>
        <v/>
      </c>
      <c r="X567" s="386" t="str">
        <f>TransTonsShort[[#This Row],[Grouping_ID]]&amp;"-"&amp;TransTonsShort[[#This Row],[Sector_ID]]</f>
        <v>1-2</v>
      </c>
      <c r="Y5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7" s="421">
        <f>INDEX(LandfillFees[Disposal Tip Fee 2025],MATCH(TransTonsShort[[#This Row],[Grouping_ID]],LandfillFees[Grouping_ID],0))</f>
        <v>134.68</v>
      </c>
      <c r="AA567" s="102">
        <f>IF(OR(TransTonsShort[[#This Row],[CollectionStream_ID]]="03",TransTonsShort[[#This Row],[CollectionStream_ID]]="04",TransTonsShort[[#This Row],[CollectionStream_ID]]="13"),0,TransTonsShort[[#This Row],[Trans_Tons_All]]*TransTonsShort[[#This Row],[Disposal_Fee]])</f>
        <v>0</v>
      </c>
      <c r="AF567" s="446" t="s">
        <v>1740</v>
      </c>
      <c r="AG567" s="442" t="str">
        <f>LEFT(SecondaryTransport[[#This Row],[Scenario_MRF_Bale_ID]],2)</f>
        <v>S1</v>
      </c>
      <c r="AH567" s="181" t="str">
        <f>LEFT(RIGHT(SecondaryTransport[[#This Row],[Scenario_MRF_Bale_ID]],10),2)</f>
        <v>13</v>
      </c>
      <c r="AI567" s="181" t="str">
        <f>INDEX(MRFs[MRF_Name],MATCH(SecondaryTransport[[#This Row],[MRF_ID]],MRFs[MRF_ID],0))</f>
        <v>Directly marketed (no sorting)</v>
      </c>
      <c r="AJ567" s="181" t="str">
        <f>RIGHT(SecondaryTransport[[#This Row],[Scenario_MRF_Bale_ID]],7)</f>
        <v>2000-16</v>
      </c>
      <c r="AK567" s="181" t="str">
        <f>INDEX(Bales[Bale_Name],MATCH(SecondaryTransport[[#This Row],[Bale_ID]],Bales[Bale_ID],0))</f>
        <v>Foam PS #6 (transport block and shape, densified)</v>
      </c>
      <c r="AL567" s="443">
        <f>INDEX(BaleMover[Total_Baled_tons],MATCH(SecondaryTransport[[#This Row],[Scenario_MRF_Bale_ID]],BaleMover[Scenario_MRF_Bale_ID],0))</f>
        <v>1.3862672329687287</v>
      </c>
      <c r="AM567" s="443">
        <f>IF(INDEX(BaleMover[Miles],MATCH(SecondaryTransport[[#This Row],[Scenario_MRF_Bale_ID]],BaleMover[Scenario_MRF_Bale_ID],0))="",0,INDEX(BaleMover[Miles],MATCH(SecondaryTransport[[#This Row],[Scenario_MRF_Bale_ID]],BaleMover[Scenario_MRF_Bale_ID],0)))</f>
        <v>45</v>
      </c>
      <c r="AN567" s="251">
        <f>IF(SecondaryTransport[[#This Row],[Bale_ID]]="9000-01","costs elsewhere",SecondaryTransport[[#This Row],[Total_Baled_tons]]*SecondaryTransport[[#This Row],[Miles]])</f>
        <v>62.382025483592791</v>
      </c>
      <c r="AO567" s="352" t="str">
        <f>IF(LEFT(SecondaryTransport[[#This Row],[Bale_ID]],1)*1=5,IF(OR(SecondaryTransport[[#This Row],[MRF_ID]]="02",SecondaryTransport[[#This Row],[MRF_ID]]="08"),2,1),"")</f>
        <v/>
      </c>
      <c r="AP5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7" s="224" t="str">
        <f>IFERROR(IF(1*LEFT(SecondaryTransport[[#This Row],[Bale_ID]],1)=5,SecondaryTransport[[#This Row],[Ton-Miles]]*SecondaryTransport[[#This Row],[Cost_Per_Ton-Mile]],""),"")</f>
        <v/>
      </c>
      <c r="AS567" s="224">
        <f>IFERROR(IF(SecondaryTransport[[#This Row],[Container_Transfer]]="",(SecondaryTransport[[#This Row],[Ton-Miles]]*SecondaryTransport[[#This Row],[Cost_Per_Ton-Mile]]),""),"")</f>
        <v>19.338427899913764</v>
      </c>
    </row>
    <row r="568" spans="12:45" ht="15" x14ac:dyDescent="0.25">
      <c r="L568" s="446" t="s">
        <v>873</v>
      </c>
      <c r="M568" s="446">
        <v>2</v>
      </c>
      <c r="N568" s="446">
        <v>2</v>
      </c>
      <c r="O568" s="446" t="s">
        <v>752</v>
      </c>
      <c r="P568" s="449" t="s">
        <v>700</v>
      </c>
      <c r="Q568" s="449"/>
      <c r="R568" s="449"/>
      <c r="S568" s="449" t="s">
        <v>964</v>
      </c>
      <c r="T568" s="449" t="s">
        <v>701</v>
      </c>
      <c r="U568" s="452">
        <v>0</v>
      </c>
      <c r="V5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8" s="272" t="str">
        <f>IFERROR(SUMIFS(TransUnitCost[Miles],TransUnitCost[Grouping_ID],TransTonsShort[[#This Row],[Grouping_ID]],TransUnitCost[Transp_ID],TransTonsShort[[#This Row],[Transp_ID]])*TransTonsShort[[#This Row],[Trans_Tons_All]]/TransTonsShort[[#This Row],[Trans_Tons_All]],"")</f>
        <v/>
      </c>
      <c r="X568" s="386" t="str">
        <f>TransTonsShort[[#This Row],[Grouping_ID]]&amp;"-"&amp;TransTonsShort[[#This Row],[Sector_ID]]</f>
        <v>2-2</v>
      </c>
      <c r="Y5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8" s="421">
        <f>INDEX(LandfillFees[Disposal Tip Fee 2025],MATCH(TransTonsShort[[#This Row],[Grouping_ID]],LandfillFees[Grouping_ID],0))</f>
        <v>72.030938699729589</v>
      </c>
      <c r="AA568" s="102">
        <f>IF(OR(TransTonsShort[[#This Row],[CollectionStream_ID]]="03",TransTonsShort[[#This Row],[CollectionStream_ID]]="04",TransTonsShort[[#This Row],[CollectionStream_ID]]="13"),0,TransTonsShort[[#This Row],[Trans_Tons_All]]*TransTonsShort[[#This Row],[Disposal_Fee]])</f>
        <v>0</v>
      </c>
      <c r="AF568" s="446" t="s">
        <v>1741</v>
      </c>
      <c r="AG568" s="442" t="str">
        <f>LEFT(SecondaryTransport[[#This Row],[Scenario_MRF_Bale_ID]],2)</f>
        <v>S2</v>
      </c>
      <c r="AH568" s="181" t="str">
        <f>LEFT(RIGHT(SecondaryTransport[[#This Row],[Scenario_MRF_Bale_ID]],10),2)</f>
        <v>13</v>
      </c>
      <c r="AI568" s="181" t="str">
        <f>INDEX(MRFs[MRF_Name],MATCH(SecondaryTransport[[#This Row],[MRF_ID]],MRFs[MRF_ID],0))</f>
        <v>Directly marketed (no sorting)</v>
      </c>
      <c r="AJ568" s="181" t="str">
        <f>RIGHT(SecondaryTransport[[#This Row],[Scenario_MRF_Bale_ID]],7)</f>
        <v>2000-16</v>
      </c>
      <c r="AK568" s="181" t="str">
        <f>INDEX(Bales[Bale_Name],MATCH(SecondaryTransport[[#This Row],[Bale_ID]],Bales[Bale_ID],0))</f>
        <v>Foam PS #6 (transport block and shape, densified)</v>
      </c>
      <c r="AL568" s="443">
        <f>INDEX(BaleMover[Total_Baled_tons],MATCH(SecondaryTransport[[#This Row],[Scenario_MRF_Bale_ID]],BaleMover[Scenario_MRF_Bale_ID],0))</f>
        <v>134.07979500328059</v>
      </c>
      <c r="AM568" s="443">
        <f>IF(INDEX(BaleMover[Miles],MATCH(SecondaryTransport[[#This Row],[Scenario_MRF_Bale_ID]],BaleMover[Scenario_MRF_Bale_ID],0))="",0,INDEX(BaleMover[Miles],MATCH(SecondaryTransport[[#This Row],[Scenario_MRF_Bale_ID]],BaleMover[Scenario_MRF_Bale_ID],0)))</f>
        <v>45</v>
      </c>
      <c r="AN568" s="251">
        <f>IF(SecondaryTransport[[#This Row],[Bale_ID]]="9000-01","costs elsewhere",SecondaryTransport[[#This Row],[Total_Baled_tons]]*SecondaryTransport[[#This Row],[Miles]])</f>
        <v>6033.590775147627</v>
      </c>
      <c r="AO568" s="352" t="str">
        <f>IF(LEFT(SecondaryTransport[[#This Row],[Bale_ID]],1)*1=5,IF(OR(SecondaryTransport[[#This Row],[MRF_ID]]="02",SecondaryTransport[[#This Row],[MRF_ID]]="08"),2,1),"")</f>
        <v/>
      </c>
      <c r="AP5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8" s="224" t="str">
        <f>IFERROR(IF(1*LEFT(SecondaryTransport[[#This Row],[Bale_ID]],1)=5,SecondaryTransport[[#This Row],[Ton-Miles]]*SecondaryTransport[[#This Row],[Cost_Per_Ton-Mile]],""),"")</f>
        <v/>
      </c>
      <c r="AS568" s="224">
        <f>IFERROR(IF(SecondaryTransport[[#This Row],[Container_Transfer]]="",(SecondaryTransport[[#This Row],[Ton-Miles]]*SecondaryTransport[[#This Row],[Cost_Per_Ton-Mile]]),""),"")</f>
        <v>1870.4131402957644</v>
      </c>
    </row>
    <row r="569" spans="12:45" ht="15" x14ac:dyDescent="0.25">
      <c r="L569" s="446" t="s">
        <v>873</v>
      </c>
      <c r="M569" s="446">
        <v>3</v>
      </c>
      <c r="N569" s="446">
        <v>2</v>
      </c>
      <c r="O569" s="446" t="s">
        <v>752</v>
      </c>
      <c r="P569" s="449" t="s">
        <v>700</v>
      </c>
      <c r="Q569" s="449"/>
      <c r="R569" s="449"/>
      <c r="S569" s="449" t="s">
        <v>964</v>
      </c>
      <c r="T569" s="449" t="s">
        <v>701</v>
      </c>
      <c r="U569" s="452">
        <v>0</v>
      </c>
      <c r="V5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69" s="272" t="str">
        <f>IFERROR(SUMIFS(TransUnitCost[Miles],TransUnitCost[Grouping_ID],TransTonsShort[[#This Row],[Grouping_ID]],TransUnitCost[Transp_ID],TransTonsShort[[#This Row],[Transp_ID]])*TransTonsShort[[#This Row],[Trans_Tons_All]]/TransTonsShort[[#This Row],[Trans_Tons_All]],"")</f>
        <v/>
      </c>
      <c r="X569" s="386" t="str">
        <f>TransTonsShort[[#This Row],[Grouping_ID]]&amp;"-"&amp;TransTonsShort[[#This Row],[Sector_ID]]</f>
        <v>3-2</v>
      </c>
      <c r="Y5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69" s="421">
        <f>INDEX(LandfillFees[Disposal Tip Fee 2025],MATCH(TransTonsShort[[#This Row],[Grouping_ID]],LandfillFees[Grouping_ID],0))</f>
        <v>72.030938699729589</v>
      </c>
      <c r="AA569" s="102">
        <f>IF(OR(TransTonsShort[[#This Row],[CollectionStream_ID]]="03",TransTonsShort[[#This Row],[CollectionStream_ID]]="04",TransTonsShort[[#This Row],[CollectionStream_ID]]="13"),0,TransTonsShort[[#This Row],[Trans_Tons_All]]*TransTonsShort[[#This Row],[Disposal_Fee]])</f>
        <v>0</v>
      </c>
      <c r="AF569" s="446" t="s">
        <v>1742</v>
      </c>
      <c r="AG569" s="442" t="str">
        <f>LEFT(SecondaryTransport[[#This Row],[Scenario_MRF_Bale_ID]],2)</f>
        <v>S3</v>
      </c>
      <c r="AH569" s="181" t="str">
        <f>LEFT(RIGHT(SecondaryTransport[[#This Row],[Scenario_MRF_Bale_ID]],10),2)</f>
        <v>13</v>
      </c>
      <c r="AI569" s="181" t="str">
        <f>INDEX(MRFs[MRF_Name],MATCH(SecondaryTransport[[#This Row],[MRF_ID]],MRFs[MRF_ID],0))</f>
        <v>Directly marketed (no sorting)</v>
      </c>
      <c r="AJ569" s="181" t="str">
        <f>RIGHT(SecondaryTransport[[#This Row],[Scenario_MRF_Bale_ID]],7)</f>
        <v>2000-16</v>
      </c>
      <c r="AK569" s="181" t="str">
        <f>INDEX(Bales[Bale_Name],MATCH(SecondaryTransport[[#This Row],[Bale_ID]],Bales[Bale_ID],0))</f>
        <v>Foam PS #6 (transport block and shape, densified)</v>
      </c>
      <c r="AL569" s="443">
        <f>INDEX(BaleMover[Total_Baled_tons],MATCH(SecondaryTransport[[#This Row],[Scenario_MRF_Bale_ID]],BaleMover[Scenario_MRF_Bale_ID],0))</f>
        <v>134.07979500328059</v>
      </c>
      <c r="AM569" s="443">
        <f>IF(INDEX(BaleMover[Miles],MATCH(SecondaryTransport[[#This Row],[Scenario_MRF_Bale_ID]],BaleMover[Scenario_MRF_Bale_ID],0))="",0,INDEX(BaleMover[Miles],MATCH(SecondaryTransport[[#This Row],[Scenario_MRF_Bale_ID]],BaleMover[Scenario_MRF_Bale_ID],0)))</f>
        <v>45</v>
      </c>
      <c r="AN569" s="251">
        <f>IF(SecondaryTransport[[#This Row],[Bale_ID]]="9000-01","costs elsewhere",SecondaryTransport[[#This Row],[Total_Baled_tons]]*SecondaryTransport[[#This Row],[Miles]])</f>
        <v>6033.590775147627</v>
      </c>
      <c r="AO569" s="352" t="str">
        <f>IF(LEFT(SecondaryTransport[[#This Row],[Bale_ID]],1)*1=5,IF(OR(SecondaryTransport[[#This Row],[MRF_ID]]="02",SecondaryTransport[[#This Row],[MRF_ID]]="08"),2,1),"")</f>
        <v/>
      </c>
      <c r="AP5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6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69" s="224" t="str">
        <f>IFERROR(IF(1*LEFT(SecondaryTransport[[#This Row],[Bale_ID]],1)=5,SecondaryTransport[[#This Row],[Ton-Miles]]*SecondaryTransport[[#This Row],[Cost_Per_Ton-Mile]],""),"")</f>
        <v/>
      </c>
      <c r="AS569" s="224">
        <f>IFERROR(IF(SecondaryTransport[[#This Row],[Container_Transfer]]="",(SecondaryTransport[[#This Row],[Ton-Miles]]*SecondaryTransport[[#This Row],[Cost_Per_Ton-Mile]]),""),"")</f>
        <v>1870.4131402957644</v>
      </c>
    </row>
    <row r="570" spans="12:45" ht="15" x14ac:dyDescent="0.25">
      <c r="L570" s="446" t="s">
        <v>873</v>
      </c>
      <c r="M570" s="446">
        <v>4</v>
      </c>
      <c r="N570" s="446">
        <v>2</v>
      </c>
      <c r="O570" s="446" t="s">
        <v>752</v>
      </c>
      <c r="P570" s="449" t="s">
        <v>700</v>
      </c>
      <c r="Q570" s="449"/>
      <c r="R570" s="449"/>
      <c r="S570" s="449" t="s">
        <v>964</v>
      </c>
      <c r="T570" s="449" t="s">
        <v>701</v>
      </c>
      <c r="U570" s="452">
        <v>0</v>
      </c>
      <c r="V5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0" s="272" t="str">
        <f>IFERROR(SUMIFS(TransUnitCost[Miles],TransUnitCost[Grouping_ID],TransTonsShort[[#This Row],[Grouping_ID]],TransUnitCost[Transp_ID],TransTonsShort[[#This Row],[Transp_ID]])*TransTonsShort[[#This Row],[Trans_Tons_All]]/TransTonsShort[[#This Row],[Trans_Tons_All]],"")</f>
        <v/>
      </c>
      <c r="X570" s="386" t="str">
        <f>TransTonsShort[[#This Row],[Grouping_ID]]&amp;"-"&amp;TransTonsShort[[#This Row],[Sector_ID]]</f>
        <v>4-2</v>
      </c>
      <c r="Y5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0" s="421">
        <f>INDEX(LandfillFees[Disposal Tip Fee 2025],MATCH(TransTonsShort[[#This Row],[Grouping_ID]],LandfillFees[Grouping_ID],0))</f>
        <v>72.030938699729589</v>
      </c>
      <c r="AA570" s="102">
        <f>IF(OR(TransTonsShort[[#This Row],[CollectionStream_ID]]="03",TransTonsShort[[#This Row],[CollectionStream_ID]]="04",TransTonsShort[[#This Row],[CollectionStream_ID]]="13"),0,TransTonsShort[[#This Row],[Trans_Tons_All]]*TransTonsShort[[#This Row],[Disposal_Fee]])</f>
        <v>0</v>
      </c>
      <c r="AF570" s="446" t="s">
        <v>1743</v>
      </c>
      <c r="AG570" s="442" t="str">
        <f>LEFT(SecondaryTransport[[#This Row],[Scenario_MRF_Bale_ID]],2)</f>
        <v>S4</v>
      </c>
      <c r="AH570" s="181" t="str">
        <f>LEFT(RIGHT(SecondaryTransport[[#This Row],[Scenario_MRF_Bale_ID]],10),2)</f>
        <v>13</v>
      </c>
      <c r="AI570" s="181" t="str">
        <f>INDEX(MRFs[MRF_Name],MATCH(SecondaryTransport[[#This Row],[MRF_ID]],MRFs[MRF_ID],0))</f>
        <v>Directly marketed (no sorting)</v>
      </c>
      <c r="AJ570" s="181" t="str">
        <f>RIGHT(SecondaryTransport[[#This Row],[Scenario_MRF_Bale_ID]],7)</f>
        <v>2000-16</v>
      </c>
      <c r="AK570" s="181" t="str">
        <f>INDEX(Bales[Bale_Name],MATCH(SecondaryTransport[[#This Row],[Bale_ID]],Bales[Bale_ID],0))</f>
        <v>Foam PS #6 (transport block and shape, densified)</v>
      </c>
      <c r="AL570" s="443">
        <f>INDEX(BaleMover[Total_Baled_tons],MATCH(SecondaryTransport[[#This Row],[Scenario_MRF_Bale_ID]],BaleMover[Scenario_MRF_Bale_ID],0))</f>
        <v>134.07979500328059</v>
      </c>
      <c r="AM570" s="443">
        <f>IF(INDEX(BaleMover[Miles],MATCH(SecondaryTransport[[#This Row],[Scenario_MRF_Bale_ID]],BaleMover[Scenario_MRF_Bale_ID],0))="",0,INDEX(BaleMover[Miles],MATCH(SecondaryTransport[[#This Row],[Scenario_MRF_Bale_ID]],BaleMover[Scenario_MRF_Bale_ID],0)))</f>
        <v>45</v>
      </c>
      <c r="AN570" s="251">
        <f>IF(SecondaryTransport[[#This Row],[Bale_ID]]="9000-01","costs elsewhere",SecondaryTransport[[#This Row],[Total_Baled_tons]]*SecondaryTransport[[#This Row],[Miles]])</f>
        <v>6033.590775147627</v>
      </c>
      <c r="AO570" s="352" t="str">
        <f>IF(LEFT(SecondaryTransport[[#This Row],[Bale_ID]],1)*1=5,IF(OR(SecondaryTransport[[#This Row],[MRF_ID]]="02",SecondaryTransport[[#This Row],[MRF_ID]]="08"),2,1),"")</f>
        <v/>
      </c>
      <c r="AP5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7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70" s="224" t="str">
        <f>IFERROR(IF(1*LEFT(SecondaryTransport[[#This Row],[Bale_ID]],1)=5,SecondaryTransport[[#This Row],[Ton-Miles]]*SecondaryTransport[[#This Row],[Cost_Per_Ton-Mile]],""),"")</f>
        <v/>
      </c>
      <c r="AS570" s="224">
        <f>IFERROR(IF(SecondaryTransport[[#This Row],[Container_Transfer]]="",(SecondaryTransport[[#This Row],[Ton-Miles]]*SecondaryTransport[[#This Row],[Cost_Per_Ton-Mile]]),""),"")</f>
        <v>1870.4131402957644</v>
      </c>
    </row>
    <row r="571" spans="12:45" ht="15" x14ac:dyDescent="0.25">
      <c r="L571" s="446" t="s">
        <v>873</v>
      </c>
      <c r="M571" s="446">
        <v>1</v>
      </c>
      <c r="N571" s="446">
        <v>2</v>
      </c>
      <c r="O571" s="446" t="s">
        <v>752</v>
      </c>
      <c r="P571" s="450" t="s">
        <v>706</v>
      </c>
      <c r="Q571" s="450"/>
      <c r="R571" s="450"/>
      <c r="S571" s="449" t="s">
        <v>964</v>
      </c>
      <c r="T571" s="449" t="s">
        <v>1025</v>
      </c>
      <c r="U571" s="452">
        <v>0</v>
      </c>
      <c r="V5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1" s="272" t="str">
        <f>IFERROR(SUMIFS(TransUnitCost[Miles],TransUnitCost[Grouping_ID],TransTonsShort[[#This Row],[Grouping_ID]],TransUnitCost[Transp_ID],TransTonsShort[[#This Row],[Transp_ID]])*TransTonsShort[[#This Row],[Trans_Tons_All]]/TransTonsShort[[#This Row],[Trans_Tons_All]],"")</f>
        <v/>
      </c>
      <c r="X571" s="386" t="str">
        <f>TransTonsShort[[#This Row],[Grouping_ID]]&amp;"-"&amp;TransTonsShort[[#This Row],[Sector_ID]]</f>
        <v>1-2</v>
      </c>
      <c r="Y5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1" s="421">
        <f>INDEX(LandfillFees[Disposal Tip Fee 2025],MATCH(TransTonsShort[[#This Row],[Grouping_ID]],LandfillFees[Grouping_ID],0))</f>
        <v>134.68</v>
      </c>
      <c r="AA571" s="102">
        <f>IF(OR(TransTonsShort[[#This Row],[CollectionStream_ID]]="03",TransTonsShort[[#This Row],[CollectionStream_ID]]="04",TransTonsShort[[#This Row],[CollectionStream_ID]]="13"),0,TransTonsShort[[#This Row],[Trans_Tons_All]]*TransTonsShort[[#This Row],[Disposal_Fee]])</f>
        <v>0</v>
      </c>
      <c r="AF571" s="446" t="s">
        <v>1744</v>
      </c>
      <c r="AG571" s="442" t="str">
        <f>LEFT(SecondaryTransport[[#This Row],[Scenario_MRF_Bale_ID]],2)</f>
        <v>S0</v>
      </c>
      <c r="AH571" s="181" t="str">
        <f>LEFT(RIGHT(SecondaryTransport[[#This Row],[Scenario_MRF_Bale_ID]],10),2)</f>
        <v>13</v>
      </c>
      <c r="AI571" s="181" t="str">
        <f>INDEX(MRFs[MRF_Name],MATCH(SecondaryTransport[[#This Row],[MRF_ID]],MRFs[MRF_ID],0))</f>
        <v>Directly marketed (no sorting)</v>
      </c>
      <c r="AJ571" s="181" t="str">
        <f>RIGHT(SecondaryTransport[[#This Row],[Scenario_MRF_Bale_ID]],7)</f>
        <v>2000-17</v>
      </c>
      <c r="AK571" s="181" t="str">
        <f>INDEX(Bales[Bale_Name],MATCH(SecondaryTransport[[#This Row],[Bale_ID]],Bales[Bale_ID],0))</f>
        <v>Densified MRF Grade Foam PS #6 (food service and packaging) </v>
      </c>
      <c r="AL571" s="443">
        <f>INDEX(BaleMover[Total_Baled_tons],MATCH(SecondaryTransport[[#This Row],[Scenario_MRF_Bale_ID]],BaleMover[Scenario_MRF_Bale_ID],0))</f>
        <v>0</v>
      </c>
      <c r="AM571" s="443">
        <f>IF(INDEX(BaleMover[Miles],MATCH(SecondaryTransport[[#This Row],[Scenario_MRF_Bale_ID]],BaleMover[Scenario_MRF_Bale_ID],0))="",0,INDEX(BaleMover[Miles],MATCH(SecondaryTransport[[#This Row],[Scenario_MRF_Bale_ID]],BaleMover[Scenario_MRF_Bale_ID],0)))</f>
        <v>0</v>
      </c>
      <c r="AN571" s="251">
        <f>IF(SecondaryTransport[[#This Row],[Bale_ID]]="9000-01","costs elsewhere",SecondaryTransport[[#This Row],[Total_Baled_tons]]*SecondaryTransport[[#This Row],[Miles]])</f>
        <v>0</v>
      </c>
      <c r="AO571" s="352" t="str">
        <f>IF(LEFT(SecondaryTransport[[#This Row],[Bale_ID]],1)*1=5,IF(OR(SecondaryTransport[[#This Row],[MRF_ID]]="02",SecondaryTransport[[#This Row],[MRF_ID]]="08"),2,1),"")</f>
        <v/>
      </c>
      <c r="AP5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1" s="224" t="str">
        <f>IFERROR(IF(1*LEFT(SecondaryTransport[[#This Row],[Bale_ID]],1)=5,SecondaryTransport[[#This Row],[Ton-Miles]]*SecondaryTransport[[#This Row],[Cost_Per_Ton-Mile]],""),"")</f>
        <v/>
      </c>
      <c r="AS571" s="224" t="str">
        <f>IFERROR(IF(SecondaryTransport[[#This Row],[Container_Transfer]]="",(SecondaryTransport[[#This Row],[Ton-Miles]]*SecondaryTransport[[#This Row],[Cost_Per_Ton-Mile]]),""),"")</f>
        <v/>
      </c>
    </row>
    <row r="572" spans="12:45" ht="15" x14ac:dyDescent="0.25">
      <c r="L572" s="446" t="s">
        <v>873</v>
      </c>
      <c r="M572" s="446">
        <v>2</v>
      </c>
      <c r="N572" s="446">
        <v>2</v>
      </c>
      <c r="O572" s="446" t="s">
        <v>752</v>
      </c>
      <c r="P572" s="450" t="s">
        <v>706</v>
      </c>
      <c r="Q572" s="450"/>
      <c r="R572" s="450"/>
      <c r="S572" s="449" t="s">
        <v>964</v>
      </c>
      <c r="T572" s="449" t="s">
        <v>1025</v>
      </c>
      <c r="U572" s="452">
        <v>0</v>
      </c>
      <c r="V5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2" s="272" t="str">
        <f>IFERROR(SUMIFS(TransUnitCost[Miles],TransUnitCost[Grouping_ID],TransTonsShort[[#This Row],[Grouping_ID]],TransUnitCost[Transp_ID],TransTonsShort[[#This Row],[Transp_ID]])*TransTonsShort[[#This Row],[Trans_Tons_All]]/TransTonsShort[[#This Row],[Trans_Tons_All]],"")</f>
        <v/>
      </c>
      <c r="X572" s="386" t="str">
        <f>TransTonsShort[[#This Row],[Grouping_ID]]&amp;"-"&amp;TransTonsShort[[#This Row],[Sector_ID]]</f>
        <v>2-2</v>
      </c>
      <c r="Y5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2" s="421">
        <f>INDEX(LandfillFees[Disposal Tip Fee 2025],MATCH(TransTonsShort[[#This Row],[Grouping_ID]],LandfillFees[Grouping_ID],0))</f>
        <v>72.030938699729589</v>
      </c>
      <c r="AA572" s="102">
        <f>IF(OR(TransTonsShort[[#This Row],[CollectionStream_ID]]="03",TransTonsShort[[#This Row],[CollectionStream_ID]]="04",TransTonsShort[[#This Row],[CollectionStream_ID]]="13"),0,TransTonsShort[[#This Row],[Trans_Tons_All]]*TransTonsShort[[#This Row],[Disposal_Fee]])</f>
        <v>0</v>
      </c>
      <c r="AF572" s="446" t="s">
        <v>1745</v>
      </c>
      <c r="AG572" s="442" t="str">
        <f>LEFT(SecondaryTransport[[#This Row],[Scenario_MRF_Bale_ID]],2)</f>
        <v>S1</v>
      </c>
      <c r="AH572" s="181" t="str">
        <f>LEFT(RIGHT(SecondaryTransport[[#This Row],[Scenario_MRF_Bale_ID]],10),2)</f>
        <v>13</v>
      </c>
      <c r="AI572" s="181" t="str">
        <f>INDEX(MRFs[MRF_Name],MATCH(SecondaryTransport[[#This Row],[MRF_ID]],MRFs[MRF_ID],0))</f>
        <v>Directly marketed (no sorting)</v>
      </c>
      <c r="AJ572" s="181" t="str">
        <f>RIGHT(SecondaryTransport[[#This Row],[Scenario_MRF_Bale_ID]],7)</f>
        <v>2000-17</v>
      </c>
      <c r="AK572" s="181" t="str">
        <f>INDEX(Bales[Bale_Name],MATCH(SecondaryTransport[[#This Row],[Bale_ID]],Bales[Bale_ID],0))</f>
        <v>Densified MRF Grade Foam PS #6 (food service and packaging) </v>
      </c>
      <c r="AL572" s="443">
        <f>INDEX(BaleMover[Total_Baled_tons],MATCH(SecondaryTransport[[#This Row],[Scenario_MRF_Bale_ID]],BaleMover[Scenario_MRF_Bale_ID],0))</f>
        <v>0</v>
      </c>
      <c r="AM572" s="443">
        <f>IF(INDEX(BaleMover[Miles],MATCH(SecondaryTransport[[#This Row],[Scenario_MRF_Bale_ID]],BaleMover[Scenario_MRF_Bale_ID],0))="",0,INDEX(BaleMover[Miles],MATCH(SecondaryTransport[[#This Row],[Scenario_MRF_Bale_ID]],BaleMover[Scenario_MRF_Bale_ID],0)))</f>
        <v>0</v>
      </c>
      <c r="AN572" s="251">
        <f>IF(SecondaryTransport[[#This Row],[Bale_ID]]="9000-01","costs elsewhere",SecondaryTransport[[#This Row],[Total_Baled_tons]]*SecondaryTransport[[#This Row],[Miles]])</f>
        <v>0</v>
      </c>
      <c r="AO572" s="352" t="str">
        <f>IF(LEFT(SecondaryTransport[[#This Row],[Bale_ID]],1)*1=5,IF(OR(SecondaryTransport[[#This Row],[MRF_ID]]="02",SecondaryTransport[[#This Row],[MRF_ID]]="08"),2,1),"")</f>
        <v/>
      </c>
      <c r="AP5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2" s="224" t="str">
        <f>IFERROR(IF(1*LEFT(SecondaryTransport[[#This Row],[Bale_ID]],1)=5,SecondaryTransport[[#This Row],[Ton-Miles]]*SecondaryTransport[[#This Row],[Cost_Per_Ton-Mile]],""),"")</f>
        <v/>
      </c>
      <c r="AS572" s="224" t="str">
        <f>IFERROR(IF(SecondaryTransport[[#This Row],[Container_Transfer]]="",(SecondaryTransport[[#This Row],[Ton-Miles]]*SecondaryTransport[[#This Row],[Cost_Per_Ton-Mile]]),""),"")</f>
        <v/>
      </c>
    </row>
    <row r="573" spans="12:45" ht="15" x14ac:dyDescent="0.25">
      <c r="L573" s="446" t="s">
        <v>873</v>
      </c>
      <c r="M573" s="446">
        <v>3</v>
      </c>
      <c r="N573" s="446">
        <v>2</v>
      </c>
      <c r="O573" s="446" t="s">
        <v>752</v>
      </c>
      <c r="P573" s="450" t="s">
        <v>706</v>
      </c>
      <c r="Q573" s="450"/>
      <c r="R573" s="450"/>
      <c r="S573" s="449" t="s">
        <v>964</v>
      </c>
      <c r="T573" s="449" t="s">
        <v>1025</v>
      </c>
      <c r="U573" s="452">
        <v>0</v>
      </c>
      <c r="V5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3" s="272" t="str">
        <f>IFERROR(SUMIFS(TransUnitCost[Miles],TransUnitCost[Grouping_ID],TransTonsShort[[#This Row],[Grouping_ID]],TransUnitCost[Transp_ID],TransTonsShort[[#This Row],[Transp_ID]])*TransTonsShort[[#This Row],[Trans_Tons_All]]/TransTonsShort[[#This Row],[Trans_Tons_All]],"")</f>
        <v/>
      </c>
      <c r="X573" s="386" t="str">
        <f>TransTonsShort[[#This Row],[Grouping_ID]]&amp;"-"&amp;TransTonsShort[[#This Row],[Sector_ID]]</f>
        <v>3-2</v>
      </c>
      <c r="Y5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3" s="421">
        <f>INDEX(LandfillFees[Disposal Tip Fee 2025],MATCH(TransTonsShort[[#This Row],[Grouping_ID]],LandfillFees[Grouping_ID],0))</f>
        <v>72.030938699729589</v>
      </c>
      <c r="AA573" s="102">
        <f>IF(OR(TransTonsShort[[#This Row],[CollectionStream_ID]]="03",TransTonsShort[[#This Row],[CollectionStream_ID]]="04",TransTonsShort[[#This Row],[CollectionStream_ID]]="13"),0,TransTonsShort[[#This Row],[Trans_Tons_All]]*TransTonsShort[[#This Row],[Disposal_Fee]])</f>
        <v>0</v>
      </c>
      <c r="AF573" s="446" t="s">
        <v>1746</v>
      </c>
      <c r="AG573" s="442" t="str">
        <f>LEFT(SecondaryTransport[[#This Row],[Scenario_MRF_Bale_ID]],2)</f>
        <v>S2</v>
      </c>
      <c r="AH573" s="181" t="str">
        <f>LEFT(RIGHT(SecondaryTransport[[#This Row],[Scenario_MRF_Bale_ID]],10),2)</f>
        <v>13</v>
      </c>
      <c r="AI573" s="181" t="str">
        <f>INDEX(MRFs[MRF_Name],MATCH(SecondaryTransport[[#This Row],[MRF_ID]],MRFs[MRF_ID],0))</f>
        <v>Directly marketed (no sorting)</v>
      </c>
      <c r="AJ573" s="181" t="str">
        <f>RIGHT(SecondaryTransport[[#This Row],[Scenario_MRF_Bale_ID]],7)</f>
        <v>2000-17</v>
      </c>
      <c r="AK573" s="181" t="str">
        <f>INDEX(Bales[Bale_Name],MATCH(SecondaryTransport[[#This Row],[Bale_ID]],Bales[Bale_ID],0))</f>
        <v>Densified MRF Grade Foam PS #6 (food service and packaging) </v>
      </c>
      <c r="AL573" s="443">
        <f>INDEX(BaleMover[Total_Baled_tons],MATCH(SecondaryTransport[[#This Row],[Scenario_MRF_Bale_ID]],BaleMover[Scenario_MRF_Bale_ID],0))</f>
        <v>0</v>
      </c>
      <c r="AM573" s="443">
        <f>IF(INDEX(BaleMover[Miles],MATCH(SecondaryTransport[[#This Row],[Scenario_MRF_Bale_ID]],BaleMover[Scenario_MRF_Bale_ID],0))="",0,INDEX(BaleMover[Miles],MATCH(SecondaryTransport[[#This Row],[Scenario_MRF_Bale_ID]],BaleMover[Scenario_MRF_Bale_ID],0)))</f>
        <v>0</v>
      </c>
      <c r="AN573" s="251">
        <f>IF(SecondaryTransport[[#This Row],[Bale_ID]]="9000-01","costs elsewhere",SecondaryTransport[[#This Row],[Total_Baled_tons]]*SecondaryTransport[[#This Row],[Miles]])</f>
        <v>0</v>
      </c>
      <c r="AO573" s="352" t="str">
        <f>IF(LEFT(SecondaryTransport[[#This Row],[Bale_ID]],1)*1=5,IF(OR(SecondaryTransport[[#This Row],[MRF_ID]]="02",SecondaryTransport[[#This Row],[MRF_ID]]="08"),2,1),"")</f>
        <v/>
      </c>
      <c r="AP57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3" s="224" t="str">
        <f>IFERROR(IF(1*LEFT(SecondaryTransport[[#This Row],[Bale_ID]],1)=5,SecondaryTransport[[#This Row],[Ton-Miles]]*SecondaryTransport[[#This Row],[Cost_Per_Ton-Mile]],""),"")</f>
        <v/>
      </c>
      <c r="AS573" s="224" t="str">
        <f>IFERROR(IF(SecondaryTransport[[#This Row],[Container_Transfer]]="",(SecondaryTransport[[#This Row],[Ton-Miles]]*SecondaryTransport[[#This Row],[Cost_Per_Ton-Mile]]),""),"")</f>
        <v/>
      </c>
    </row>
    <row r="574" spans="12:45" ht="15" x14ac:dyDescent="0.25">
      <c r="L574" s="446" t="s">
        <v>873</v>
      </c>
      <c r="M574" s="446">
        <v>4</v>
      </c>
      <c r="N574" s="446">
        <v>2</v>
      </c>
      <c r="O574" s="446" t="s">
        <v>752</v>
      </c>
      <c r="P574" s="450" t="s">
        <v>706</v>
      </c>
      <c r="Q574" s="450"/>
      <c r="R574" s="450"/>
      <c r="S574" s="449" t="s">
        <v>964</v>
      </c>
      <c r="T574" s="449" t="s">
        <v>1025</v>
      </c>
      <c r="U574" s="452">
        <v>0</v>
      </c>
      <c r="V5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4" s="272" t="str">
        <f>IFERROR(SUMIFS(TransUnitCost[Miles],TransUnitCost[Grouping_ID],TransTonsShort[[#This Row],[Grouping_ID]],TransUnitCost[Transp_ID],TransTonsShort[[#This Row],[Transp_ID]])*TransTonsShort[[#This Row],[Trans_Tons_All]]/TransTonsShort[[#This Row],[Trans_Tons_All]],"")</f>
        <v/>
      </c>
      <c r="X574" s="386" t="str">
        <f>TransTonsShort[[#This Row],[Grouping_ID]]&amp;"-"&amp;TransTonsShort[[#This Row],[Sector_ID]]</f>
        <v>4-2</v>
      </c>
      <c r="Y5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4" s="421">
        <f>INDEX(LandfillFees[Disposal Tip Fee 2025],MATCH(TransTonsShort[[#This Row],[Grouping_ID]],LandfillFees[Grouping_ID],0))</f>
        <v>72.030938699729589</v>
      </c>
      <c r="AA574" s="102">
        <f>IF(OR(TransTonsShort[[#This Row],[CollectionStream_ID]]="03",TransTonsShort[[#This Row],[CollectionStream_ID]]="04",TransTonsShort[[#This Row],[CollectionStream_ID]]="13"),0,TransTonsShort[[#This Row],[Trans_Tons_All]]*TransTonsShort[[#This Row],[Disposal_Fee]])</f>
        <v>0</v>
      </c>
      <c r="AF574" s="446" t="s">
        <v>1747</v>
      </c>
      <c r="AG574" s="442" t="str">
        <f>LEFT(SecondaryTransport[[#This Row],[Scenario_MRF_Bale_ID]],2)</f>
        <v>S3</v>
      </c>
      <c r="AH574" s="181" t="str">
        <f>LEFT(RIGHT(SecondaryTransport[[#This Row],[Scenario_MRF_Bale_ID]],10),2)</f>
        <v>13</v>
      </c>
      <c r="AI574" s="181" t="str">
        <f>INDEX(MRFs[MRF_Name],MATCH(SecondaryTransport[[#This Row],[MRF_ID]],MRFs[MRF_ID],0))</f>
        <v>Directly marketed (no sorting)</v>
      </c>
      <c r="AJ574" s="181" t="str">
        <f>RIGHT(SecondaryTransport[[#This Row],[Scenario_MRF_Bale_ID]],7)</f>
        <v>2000-17</v>
      </c>
      <c r="AK574" s="181" t="str">
        <f>INDEX(Bales[Bale_Name],MATCH(SecondaryTransport[[#This Row],[Bale_ID]],Bales[Bale_ID],0))</f>
        <v>Densified MRF Grade Foam PS #6 (food service and packaging) </v>
      </c>
      <c r="AL574" s="443">
        <f>INDEX(BaleMover[Total_Baled_tons],MATCH(SecondaryTransport[[#This Row],[Scenario_MRF_Bale_ID]],BaleMover[Scenario_MRF_Bale_ID],0))</f>
        <v>0</v>
      </c>
      <c r="AM574" s="443">
        <f>IF(INDEX(BaleMover[Miles],MATCH(SecondaryTransport[[#This Row],[Scenario_MRF_Bale_ID]],BaleMover[Scenario_MRF_Bale_ID],0))="",0,INDEX(BaleMover[Miles],MATCH(SecondaryTransport[[#This Row],[Scenario_MRF_Bale_ID]],BaleMover[Scenario_MRF_Bale_ID],0)))</f>
        <v>0</v>
      </c>
      <c r="AN574" s="251">
        <f>IF(SecondaryTransport[[#This Row],[Bale_ID]]="9000-01","costs elsewhere",SecondaryTransport[[#This Row],[Total_Baled_tons]]*SecondaryTransport[[#This Row],[Miles]])</f>
        <v>0</v>
      </c>
      <c r="AO574" s="352" t="str">
        <f>IF(LEFT(SecondaryTransport[[#This Row],[Bale_ID]],1)*1=5,IF(OR(SecondaryTransport[[#This Row],[MRF_ID]]="02",SecondaryTransport[[#This Row],[MRF_ID]]="08"),2,1),"")</f>
        <v/>
      </c>
      <c r="AP57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4" s="224" t="str">
        <f>IFERROR(IF(1*LEFT(SecondaryTransport[[#This Row],[Bale_ID]],1)=5,SecondaryTransport[[#This Row],[Ton-Miles]]*SecondaryTransport[[#This Row],[Cost_Per_Ton-Mile]],""),"")</f>
        <v/>
      </c>
      <c r="AS574" s="224" t="str">
        <f>IFERROR(IF(SecondaryTransport[[#This Row],[Container_Transfer]]="",(SecondaryTransport[[#This Row],[Ton-Miles]]*SecondaryTransport[[#This Row],[Cost_Per_Ton-Mile]]),""),"")</f>
        <v/>
      </c>
    </row>
    <row r="575" spans="12:45" ht="15" x14ac:dyDescent="0.25">
      <c r="L575" s="446" t="s">
        <v>873</v>
      </c>
      <c r="M575" s="446">
        <v>1</v>
      </c>
      <c r="N575" s="446">
        <v>2</v>
      </c>
      <c r="O575" s="446" t="s">
        <v>750</v>
      </c>
      <c r="P575" s="449" t="s">
        <v>739</v>
      </c>
      <c r="Q575" s="449"/>
      <c r="R575" s="449"/>
      <c r="S575" s="449" t="s">
        <v>963</v>
      </c>
      <c r="T575" s="449" t="s">
        <v>1121</v>
      </c>
      <c r="U575" s="452">
        <v>0</v>
      </c>
      <c r="V5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5" s="272" t="str">
        <f>IFERROR(SUMIFS(TransUnitCost[Miles],TransUnitCost[Grouping_ID],TransTonsShort[[#This Row],[Grouping_ID]],TransUnitCost[Transp_ID],TransTonsShort[[#This Row],[Transp_ID]])*TransTonsShort[[#This Row],[Trans_Tons_All]]/TransTonsShort[[#This Row],[Trans_Tons_All]],"")</f>
        <v/>
      </c>
      <c r="X575" s="386" t="str">
        <f>TransTonsShort[[#This Row],[Grouping_ID]]&amp;"-"&amp;TransTonsShort[[#This Row],[Sector_ID]]</f>
        <v>1-2</v>
      </c>
      <c r="Y5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5" s="421">
        <f>INDEX(LandfillFees[Disposal Tip Fee 2025],MATCH(TransTonsShort[[#This Row],[Grouping_ID]],LandfillFees[Grouping_ID],0))</f>
        <v>134.68</v>
      </c>
      <c r="AA575" s="102">
        <f>IF(OR(TransTonsShort[[#This Row],[CollectionStream_ID]]="03",TransTonsShort[[#This Row],[CollectionStream_ID]]="04",TransTonsShort[[#This Row],[CollectionStream_ID]]="13"),0,TransTonsShort[[#This Row],[Trans_Tons_All]]*TransTonsShort[[#This Row],[Disposal_Fee]])</f>
        <v>0</v>
      </c>
      <c r="AF575" s="446" t="s">
        <v>1748</v>
      </c>
      <c r="AG575" s="442" t="str">
        <f>LEFT(SecondaryTransport[[#This Row],[Scenario_MRF_Bale_ID]],2)</f>
        <v>S4</v>
      </c>
      <c r="AH575" s="181" t="str">
        <f>LEFT(RIGHT(SecondaryTransport[[#This Row],[Scenario_MRF_Bale_ID]],10),2)</f>
        <v>13</v>
      </c>
      <c r="AI575" s="181" t="str">
        <f>INDEX(MRFs[MRF_Name],MATCH(SecondaryTransport[[#This Row],[MRF_ID]],MRFs[MRF_ID],0))</f>
        <v>Directly marketed (no sorting)</v>
      </c>
      <c r="AJ575" s="181" t="str">
        <f>RIGHT(SecondaryTransport[[#This Row],[Scenario_MRF_Bale_ID]],7)</f>
        <v>2000-17</v>
      </c>
      <c r="AK575" s="181" t="str">
        <f>INDEX(Bales[Bale_Name],MATCH(SecondaryTransport[[#This Row],[Bale_ID]],Bales[Bale_ID],0))</f>
        <v>Densified MRF Grade Foam PS #6 (food service and packaging) </v>
      </c>
      <c r="AL575" s="443">
        <f>INDEX(BaleMover[Total_Baled_tons],MATCH(SecondaryTransport[[#This Row],[Scenario_MRF_Bale_ID]],BaleMover[Scenario_MRF_Bale_ID],0))</f>
        <v>0</v>
      </c>
      <c r="AM575" s="443">
        <f>IF(INDEX(BaleMover[Miles],MATCH(SecondaryTransport[[#This Row],[Scenario_MRF_Bale_ID]],BaleMover[Scenario_MRF_Bale_ID],0))="",0,INDEX(BaleMover[Miles],MATCH(SecondaryTransport[[#This Row],[Scenario_MRF_Bale_ID]],BaleMover[Scenario_MRF_Bale_ID],0)))</f>
        <v>0</v>
      </c>
      <c r="AN575" s="251">
        <f>IF(SecondaryTransport[[#This Row],[Bale_ID]]="9000-01","costs elsewhere",SecondaryTransport[[#This Row],[Total_Baled_tons]]*SecondaryTransport[[#This Row],[Miles]])</f>
        <v>0</v>
      </c>
      <c r="AO575" s="352" t="str">
        <f>IF(LEFT(SecondaryTransport[[#This Row],[Bale_ID]],1)*1=5,IF(OR(SecondaryTransport[[#This Row],[MRF_ID]]="02",SecondaryTransport[[#This Row],[MRF_ID]]="08"),2,1),"")</f>
        <v/>
      </c>
      <c r="AP57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7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75" s="224" t="str">
        <f>IFERROR(IF(1*LEFT(SecondaryTransport[[#This Row],[Bale_ID]],1)=5,SecondaryTransport[[#This Row],[Ton-Miles]]*SecondaryTransport[[#This Row],[Cost_Per_Ton-Mile]],""),"")</f>
        <v/>
      </c>
      <c r="AS575" s="224" t="str">
        <f>IFERROR(IF(SecondaryTransport[[#This Row],[Container_Transfer]]="",(SecondaryTransport[[#This Row],[Ton-Miles]]*SecondaryTransport[[#This Row],[Cost_Per_Ton-Mile]]),""),"")</f>
        <v/>
      </c>
    </row>
    <row r="576" spans="12:45" ht="15" x14ac:dyDescent="0.25">
      <c r="L576" s="446" t="s">
        <v>873</v>
      </c>
      <c r="M576" s="446">
        <v>2</v>
      </c>
      <c r="N576" s="446">
        <v>2</v>
      </c>
      <c r="O576" s="446" t="s">
        <v>750</v>
      </c>
      <c r="P576" s="449" t="s">
        <v>739</v>
      </c>
      <c r="Q576" s="449"/>
      <c r="R576" s="449"/>
      <c r="S576" s="449" t="s">
        <v>963</v>
      </c>
      <c r="T576" s="449" t="s">
        <v>1121</v>
      </c>
      <c r="U576" s="452">
        <v>0</v>
      </c>
      <c r="V5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6" s="272" t="str">
        <f>IFERROR(SUMIFS(TransUnitCost[Miles],TransUnitCost[Grouping_ID],TransTonsShort[[#This Row],[Grouping_ID]],TransUnitCost[Transp_ID],TransTonsShort[[#This Row],[Transp_ID]])*TransTonsShort[[#This Row],[Trans_Tons_All]]/TransTonsShort[[#This Row],[Trans_Tons_All]],"")</f>
        <v/>
      </c>
      <c r="X576" s="386" t="str">
        <f>TransTonsShort[[#This Row],[Grouping_ID]]&amp;"-"&amp;TransTonsShort[[#This Row],[Sector_ID]]</f>
        <v>2-2</v>
      </c>
      <c r="Y5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6" s="421">
        <f>INDEX(LandfillFees[Disposal Tip Fee 2025],MATCH(TransTonsShort[[#This Row],[Grouping_ID]],LandfillFees[Grouping_ID],0))</f>
        <v>72.030938699729589</v>
      </c>
      <c r="AA576" s="102">
        <f>IF(OR(TransTonsShort[[#This Row],[CollectionStream_ID]]="03",TransTonsShort[[#This Row],[CollectionStream_ID]]="04",TransTonsShort[[#This Row],[CollectionStream_ID]]="13"),0,TransTonsShort[[#This Row],[Trans_Tons_All]]*TransTonsShort[[#This Row],[Disposal_Fee]])</f>
        <v>0</v>
      </c>
      <c r="AF576" s="446" t="s">
        <v>1749</v>
      </c>
      <c r="AG576" s="442" t="str">
        <f>LEFT(SecondaryTransport[[#This Row],[Scenario_MRF_Bale_ID]],2)</f>
        <v>S0</v>
      </c>
      <c r="AH576" s="181" t="str">
        <f>LEFT(RIGHT(SecondaryTransport[[#This Row],[Scenario_MRF_Bale_ID]],10),2)</f>
        <v>13</v>
      </c>
      <c r="AI576" s="181" t="str">
        <f>INDEX(MRFs[MRF_Name],MATCH(SecondaryTransport[[#This Row],[MRF_ID]],MRFs[MRF_ID],0))</f>
        <v>Directly marketed (no sorting)</v>
      </c>
      <c r="AJ576" s="181" t="str">
        <f>RIGHT(SecondaryTransport[[#This Row],[Scenario_MRF_Bale_ID]],7)</f>
        <v>2000-18</v>
      </c>
      <c r="AK576" s="181" t="str">
        <f>INDEX(Bales[Bale_Name],MATCH(SecondaryTransport[[#This Row],[Bale_ID]],Bales[Bale_ID],0))</f>
        <v>#3-7 bottles and small rigid plastics </v>
      </c>
      <c r="AL576" s="443">
        <f>INDEX(BaleMover[Total_Baled_tons],MATCH(SecondaryTransport[[#This Row],[Scenario_MRF_Bale_ID]],BaleMover[Scenario_MRF_Bale_ID],0))</f>
        <v>6.1332606170817305</v>
      </c>
      <c r="AM576" s="443">
        <f>IF(INDEX(BaleMover[Miles],MATCH(SecondaryTransport[[#This Row],[Scenario_MRF_Bale_ID]],BaleMover[Scenario_MRF_Bale_ID],0))="",0,INDEX(BaleMover[Miles],MATCH(SecondaryTransport[[#This Row],[Scenario_MRF_Bale_ID]],BaleMover[Scenario_MRF_Bale_ID],0)))</f>
        <v>355</v>
      </c>
      <c r="AN576" s="251">
        <f>IF(SecondaryTransport[[#This Row],[Bale_ID]]="9000-01","costs elsewhere",SecondaryTransport[[#This Row],[Total_Baled_tons]]*SecondaryTransport[[#This Row],[Miles]])</f>
        <v>2177.3075190640143</v>
      </c>
      <c r="AO576" s="352" t="str">
        <f>IF(LEFT(SecondaryTransport[[#This Row],[Bale_ID]],1)*1=5,IF(OR(SecondaryTransport[[#This Row],[MRF_ID]]="02",SecondaryTransport[[#This Row],[MRF_ID]]="08"),2,1),"")</f>
        <v/>
      </c>
      <c r="AP57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7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76" s="224" t="str">
        <f>IFERROR(IF(1*LEFT(SecondaryTransport[[#This Row],[Bale_ID]],1)=5,SecondaryTransport[[#This Row],[Ton-Miles]]*SecondaryTransport[[#This Row],[Cost_Per_Ton-Mile]],""),"")</f>
        <v/>
      </c>
      <c r="AS576" s="224">
        <f>IFERROR(IF(SecondaryTransport[[#This Row],[Container_Transfer]]="",(SecondaryTransport[[#This Row],[Ton-Miles]]*SecondaryTransport[[#This Row],[Cost_Per_Ton-Mile]]),""),"")</f>
        <v>304.82305266896202</v>
      </c>
    </row>
    <row r="577" spans="12:45" ht="15" x14ac:dyDescent="0.25">
      <c r="L577" s="446" t="s">
        <v>873</v>
      </c>
      <c r="M577" s="446">
        <v>3</v>
      </c>
      <c r="N577" s="446">
        <v>2</v>
      </c>
      <c r="O577" s="446" t="s">
        <v>750</v>
      </c>
      <c r="P577" s="449" t="s">
        <v>739</v>
      </c>
      <c r="Q577" s="449"/>
      <c r="R577" s="449"/>
      <c r="S577" s="449" t="s">
        <v>963</v>
      </c>
      <c r="T577" s="449" t="s">
        <v>1121</v>
      </c>
      <c r="U577" s="452">
        <v>0</v>
      </c>
      <c r="V5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7" s="272" t="str">
        <f>IFERROR(SUMIFS(TransUnitCost[Miles],TransUnitCost[Grouping_ID],TransTonsShort[[#This Row],[Grouping_ID]],TransUnitCost[Transp_ID],TransTonsShort[[#This Row],[Transp_ID]])*TransTonsShort[[#This Row],[Trans_Tons_All]]/TransTonsShort[[#This Row],[Trans_Tons_All]],"")</f>
        <v/>
      </c>
      <c r="X577" s="386" t="str">
        <f>TransTonsShort[[#This Row],[Grouping_ID]]&amp;"-"&amp;TransTonsShort[[#This Row],[Sector_ID]]</f>
        <v>3-2</v>
      </c>
      <c r="Y5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7" s="421">
        <f>INDEX(LandfillFees[Disposal Tip Fee 2025],MATCH(TransTonsShort[[#This Row],[Grouping_ID]],LandfillFees[Grouping_ID],0))</f>
        <v>72.030938699729589</v>
      </c>
      <c r="AA577" s="102">
        <f>IF(OR(TransTonsShort[[#This Row],[CollectionStream_ID]]="03",TransTonsShort[[#This Row],[CollectionStream_ID]]="04",TransTonsShort[[#This Row],[CollectionStream_ID]]="13"),0,TransTonsShort[[#This Row],[Trans_Tons_All]]*TransTonsShort[[#This Row],[Disposal_Fee]])</f>
        <v>0</v>
      </c>
      <c r="AF577" s="446" t="s">
        <v>1750</v>
      </c>
      <c r="AG577" s="442" t="str">
        <f>LEFT(SecondaryTransport[[#This Row],[Scenario_MRF_Bale_ID]],2)</f>
        <v>S1</v>
      </c>
      <c r="AH577" s="181" t="str">
        <f>LEFT(RIGHT(SecondaryTransport[[#This Row],[Scenario_MRF_Bale_ID]],10),2)</f>
        <v>13</v>
      </c>
      <c r="AI577" s="181" t="str">
        <f>INDEX(MRFs[MRF_Name],MATCH(SecondaryTransport[[#This Row],[MRF_ID]],MRFs[MRF_ID],0))</f>
        <v>Directly marketed (no sorting)</v>
      </c>
      <c r="AJ577" s="181" t="str">
        <f>RIGHT(SecondaryTransport[[#This Row],[Scenario_MRF_Bale_ID]],7)</f>
        <v>2000-18</v>
      </c>
      <c r="AK577" s="181" t="str">
        <f>INDEX(Bales[Bale_Name],MATCH(SecondaryTransport[[#This Row],[Bale_ID]],Bales[Bale_ID],0))</f>
        <v>#3-7 bottles and small rigid plastics </v>
      </c>
      <c r="AL577" s="443">
        <f>INDEX(BaleMover[Total_Baled_tons],MATCH(SecondaryTransport[[#This Row],[Scenario_MRF_Bale_ID]],BaleMover[Scenario_MRF_Bale_ID],0))</f>
        <v>6.1332606170817305</v>
      </c>
      <c r="AM577" s="443">
        <f>IF(INDEX(BaleMover[Miles],MATCH(SecondaryTransport[[#This Row],[Scenario_MRF_Bale_ID]],BaleMover[Scenario_MRF_Bale_ID],0))="",0,INDEX(BaleMover[Miles],MATCH(SecondaryTransport[[#This Row],[Scenario_MRF_Bale_ID]],BaleMover[Scenario_MRF_Bale_ID],0)))</f>
        <v>355</v>
      </c>
      <c r="AN577" s="251">
        <f>IF(SecondaryTransport[[#This Row],[Bale_ID]]="9000-01","costs elsewhere",SecondaryTransport[[#This Row],[Total_Baled_tons]]*SecondaryTransport[[#This Row],[Miles]])</f>
        <v>2177.3075190640143</v>
      </c>
      <c r="AO577" s="352" t="str">
        <f>IF(LEFT(SecondaryTransport[[#This Row],[Bale_ID]],1)*1=5,IF(OR(SecondaryTransport[[#This Row],[MRF_ID]]="02",SecondaryTransport[[#This Row],[MRF_ID]]="08"),2,1),"")</f>
        <v/>
      </c>
      <c r="AP57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7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77" s="224" t="str">
        <f>IFERROR(IF(1*LEFT(SecondaryTransport[[#This Row],[Bale_ID]],1)=5,SecondaryTransport[[#This Row],[Ton-Miles]]*SecondaryTransport[[#This Row],[Cost_Per_Ton-Mile]],""),"")</f>
        <v/>
      </c>
      <c r="AS577" s="224">
        <f>IFERROR(IF(SecondaryTransport[[#This Row],[Container_Transfer]]="",(SecondaryTransport[[#This Row],[Ton-Miles]]*SecondaryTransport[[#This Row],[Cost_Per_Ton-Mile]]),""),"")</f>
        <v>304.82305266896202</v>
      </c>
    </row>
    <row r="578" spans="12:45" ht="15" x14ac:dyDescent="0.25">
      <c r="L578" s="446" t="s">
        <v>873</v>
      </c>
      <c r="M578" s="446">
        <v>4</v>
      </c>
      <c r="N578" s="446">
        <v>2</v>
      </c>
      <c r="O578" s="446" t="s">
        <v>750</v>
      </c>
      <c r="P578" s="449" t="s">
        <v>739</v>
      </c>
      <c r="Q578" s="449"/>
      <c r="R578" s="449"/>
      <c r="S578" s="449" t="s">
        <v>963</v>
      </c>
      <c r="T578" s="449" t="s">
        <v>1121</v>
      </c>
      <c r="U578" s="452">
        <v>0</v>
      </c>
      <c r="V5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8" s="272" t="str">
        <f>IFERROR(SUMIFS(TransUnitCost[Miles],TransUnitCost[Grouping_ID],TransTonsShort[[#This Row],[Grouping_ID]],TransUnitCost[Transp_ID],TransTonsShort[[#This Row],[Transp_ID]])*TransTonsShort[[#This Row],[Trans_Tons_All]]/TransTonsShort[[#This Row],[Trans_Tons_All]],"")</f>
        <v/>
      </c>
      <c r="X578" s="386" t="str">
        <f>TransTonsShort[[#This Row],[Grouping_ID]]&amp;"-"&amp;TransTonsShort[[#This Row],[Sector_ID]]</f>
        <v>4-2</v>
      </c>
      <c r="Y5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8" s="421">
        <f>INDEX(LandfillFees[Disposal Tip Fee 2025],MATCH(TransTonsShort[[#This Row],[Grouping_ID]],LandfillFees[Grouping_ID],0))</f>
        <v>72.030938699729589</v>
      </c>
      <c r="AA578" s="102">
        <f>IF(OR(TransTonsShort[[#This Row],[CollectionStream_ID]]="03",TransTonsShort[[#This Row],[CollectionStream_ID]]="04",TransTonsShort[[#This Row],[CollectionStream_ID]]="13"),0,TransTonsShort[[#This Row],[Trans_Tons_All]]*TransTonsShort[[#This Row],[Disposal_Fee]])</f>
        <v>0</v>
      </c>
      <c r="AF578" s="446" t="s">
        <v>1751</v>
      </c>
      <c r="AG578" s="442" t="str">
        <f>LEFT(SecondaryTransport[[#This Row],[Scenario_MRF_Bale_ID]],2)</f>
        <v>S2</v>
      </c>
      <c r="AH578" s="181" t="str">
        <f>LEFT(RIGHT(SecondaryTransport[[#This Row],[Scenario_MRF_Bale_ID]],10),2)</f>
        <v>13</v>
      </c>
      <c r="AI578" s="181" t="str">
        <f>INDEX(MRFs[MRF_Name],MATCH(SecondaryTransport[[#This Row],[MRF_ID]],MRFs[MRF_ID],0))</f>
        <v>Directly marketed (no sorting)</v>
      </c>
      <c r="AJ578" s="181" t="str">
        <f>RIGHT(SecondaryTransport[[#This Row],[Scenario_MRF_Bale_ID]],7)</f>
        <v>2000-18</v>
      </c>
      <c r="AK578" s="181" t="str">
        <f>INDEX(Bales[Bale_Name],MATCH(SecondaryTransport[[#This Row],[Bale_ID]],Bales[Bale_ID],0))</f>
        <v>#3-7 bottles and small rigid plastics </v>
      </c>
      <c r="AL578" s="443">
        <f>INDEX(BaleMover[Total_Baled_tons],MATCH(SecondaryTransport[[#This Row],[Scenario_MRF_Bale_ID]],BaleMover[Scenario_MRF_Bale_ID],0))</f>
        <v>24.657049296529493</v>
      </c>
      <c r="AM578" s="443">
        <f>IF(INDEX(BaleMover[Miles],MATCH(SecondaryTransport[[#This Row],[Scenario_MRF_Bale_ID]],BaleMover[Scenario_MRF_Bale_ID],0))="",0,INDEX(BaleMover[Miles],MATCH(SecondaryTransport[[#This Row],[Scenario_MRF_Bale_ID]],BaleMover[Scenario_MRF_Bale_ID],0)))</f>
        <v>355</v>
      </c>
      <c r="AN578" s="251">
        <f>IF(SecondaryTransport[[#This Row],[Bale_ID]]="9000-01","costs elsewhere",SecondaryTransport[[#This Row],[Total_Baled_tons]]*SecondaryTransport[[#This Row],[Miles]])</f>
        <v>8753.2525002679704</v>
      </c>
      <c r="AO578" s="352" t="str">
        <f>IF(LEFT(SecondaryTransport[[#This Row],[Bale_ID]],1)*1=5,IF(OR(SecondaryTransport[[#This Row],[MRF_ID]]="02",SecondaryTransport[[#This Row],[MRF_ID]]="08"),2,1),"")</f>
        <v/>
      </c>
      <c r="AP57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7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78" s="224" t="str">
        <f>IFERROR(IF(1*LEFT(SecondaryTransport[[#This Row],[Bale_ID]],1)=5,SecondaryTransport[[#This Row],[Ton-Miles]]*SecondaryTransport[[#This Row],[Cost_Per_Ton-Mile]],""),"")</f>
        <v/>
      </c>
      <c r="AS578" s="224">
        <f>IFERROR(IF(SecondaryTransport[[#This Row],[Container_Transfer]]="",(SecondaryTransport[[#This Row],[Ton-Miles]]*SecondaryTransport[[#This Row],[Cost_Per_Ton-Mile]]),""),"")</f>
        <v>1225.4553500375159</v>
      </c>
    </row>
    <row r="579" spans="12:45" ht="15" x14ac:dyDescent="0.25">
      <c r="L579" s="446" t="s">
        <v>873</v>
      </c>
      <c r="M579" s="446">
        <v>1</v>
      </c>
      <c r="N579" s="446">
        <v>2</v>
      </c>
      <c r="O579" s="446" t="s">
        <v>750</v>
      </c>
      <c r="P579" s="449" t="s">
        <v>700</v>
      </c>
      <c r="Q579" s="449"/>
      <c r="R579" s="449"/>
      <c r="S579" s="449" t="s">
        <v>963</v>
      </c>
      <c r="T579" s="449" t="s">
        <v>701</v>
      </c>
      <c r="U579" s="452">
        <v>0</v>
      </c>
      <c r="V5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79" s="272" t="str">
        <f>IFERROR(SUMIFS(TransUnitCost[Miles],TransUnitCost[Grouping_ID],TransTonsShort[[#This Row],[Grouping_ID]],TransUnitCost[Transp_ID],TransTonsShort[[#This Row],[Transp_ID]])*TransTonsShort[[#This Row],[Trans_Tons_All]]/TransTonsShort[[#This Row],[Trans_Tons_All]],"")</f>
        <v/>
      </c>
      <c r="X579" s="386" t="str">
        <f>TransTonsShort[[#This Row],[Grouping_ID]]&amp;"-"&amp;TransTonsShort[[#This Row],[Sector_ID]]</f>
        <v>1-2</v>
      </c>
      <c r="Y5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79" s="421">
        <f>INDEX(LandfillFees[Disposal Tip Fee 2025],MATCH(TransTonsShort[[#This Row],[Grouping_ID]],LandfillFees[Grouping_ID],0))</f>
        <v>134.68</v>
      </c>
      <c r="AA579" s="102">
        <f>IF(OR(TransTonsShort[[#This Row],[CollectionStream_ID]]="03",TransTonsShort[[#This Row],[CollectionStream_ID]]="04",TransTonsShort[[#This Row],[CollectionStream_ID]]="13"),0,TransTonsShort[[#This Row],[Trans_Tons_All]]*TransTonsShort[[#This Row],[Disposal_Fee]])</f>
        <v>0</v>
      </c>
      <c r="AF579" s="446" t="s">
        <v>1752</v>
      </c>
      <c r="AG579" s="442" t="str">
        <f>LEFT(SecondaryTransport[[#This Row],[Scenario_MRF_Bale_ID]],2)</f>
        <v>S3</v>
      </c>
      <c r="AH579" s="181" t="str">
        <f>LEFT(RIGHT(SecondaryTransport[[#This Row],[Scenario_MRF_Bale_ID]],10),2)</f>
        <v>13</v>
      </c>
      <c r="AI579" s="181" t="str">
        <f>INDEX(MRFs[MRF_Name],MATCH(SecondaryTransport[[#This Row],[MRF_ID]],MRFs[MRF_ID],0))</f>
        <v>Directly marketed (no sorting)</v>
      </c>
      <c r="AJ579" s="181" t="str">
        <f>RIGHT(SecondaryTransport[[#This Row],[Scenario_MRF_Bale_ID]],7)</f>
        <v>2000-18</v>
      </c>
      <c r="AK579" s="181" t="str">
        <f>INDEX(Bales[Bale_Name],MATCH(SecondaryTransport[[#This Row],[Bale_ID]],Bales[Bale_ID],0))</f>
        <v>#3-7 bottles and small rigid plastics </v>
      </c>
      <c r="AL579" s="443">
        <f>INDEX(BaleMover[Total_Baled_tons],MATCH(SecondaryTransport[[#This Row],[Scenario_MRF_Bale_ID]],BaleMover[Scenario_MRF_Bale_ID],0))</f>
        <v>24.657049296529493</v>
      </c>
      <c r="AM579" s="443">
        <f>IF(INDEX(BaleMover[Miles],MATCH(SecondaryTransport[[#This Row],[Scenario_MRF_Bale_ID]],BaleMover[Scenario_MRF_Bale_ID],0))="",0,INDEX(BaleMover[Miles],MATCH(SecondaryTransport[[#This Row],[Scenario_MRF_Bale_ID]],BaleMover[Scenario_MRF_Bale_ID],0)))</f>
        <v>355</v>
      </c>
      <c r="AN579" s="251">
        <f>IF(SecondaryTransport[[#This Row],[Bale_ID]]="9000-01","costs elsewhere",SecondaryTransport[[#This Row],[Total_Baled_tons]]*SecondaryTransport[[#This Row],[Miles]])</f>
        <v>8753.2525002679704</v>
      </c>
      <c r="AO579" s="352" t="str">
        <f>IF(LEFT(SecondaryTransport[[#This Row],[Bale_ID]],1)*1=5,IF(OR(SecondaryTransport[[#This Row],[MRF_ID]]="02",SecondaryTransport[[#This Row],[MRF_ID]]="08"),2,1),"")</f>
        <v/>
      </c>
      <c r="AP57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7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79" s="224" t="str">
        <f>IFERROR(IF(1*LEFT(SecondaryTransport[[#This Row],[Bale_ID]],1)=5,SecondaryTransport[[#This Row],[Ton-Miles]]*SecondaryTransport[[#This Row],[Cost_Per_Ton-Mile]],""),"")</f>
        <v/>
      </c>
      <c r="AS579" s="224">
        <f>IFERROR(IF(SecondaryTransport[[#This Row],[Container_Transfer]]="",(SecondaryTransport[[#This Row],[Ton-Miles]]*SecondaryTransport[[#This Row],[Cost_Per_Ton-Mile]]),""),"")</f>
        <v>1225.4553500375159</v>
      </c>
    </row>
    <row r="580" spans="12:45" ht="15" x14ac:dyDescent="0.25">
      <c r="L580" s="446" t="s">
        <v>873</v>
      </c>
      <c r="M580" s="446">
        <v>2</v>
      </c>
      <c r="N580" s="446">
        <v>2</v>
      </c>
      <c r="O580" s="446" t="s">
        <v>750</v>
      </c>
      <c r="P580" s="449" t="s">
        <v>700</v>
      </c>
      <c r="Q580" s="449"/>
      <c r="R580" s="449"/>
      <c r="S580" s="449" t="s">
        <v>963</v>
      </c>
      <c r="T580" s="449" t="s">
        <v>701</v>
      </c>
      <c r="U580" s="452">
        <v>0</v>
      </c>
      <c r="V5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0" s="272" t="str">
        <f>IFERROR(SUMIFS(TransUnitCost[Miles],TransUnitCost[Grouping_ID],TransTonsShort[[#This Row],[Grouping_ID]],TransUnitCost[Transp_ID],TransTonsShort[[#This Row],[Transp_ID]])*TransTonsShort[[#This Row],[Trans_Tons_All]]/TransTonsShort[[#This Row],[Trans_Tons_All]],"")</f>
        <v/>
      </c>
      <c r="X580" s="386" t="str">
        <f>TransTonsShort[[#This Row],[Grouping_ID]]&amp;"-"&amp;TransTonsShort[[#This Row],[Sector_ID]]</f>
        <v>2-2</v>
      </c>
      <c r="Y5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80" s="421">
        <f>INDEX(LandfillFees[Disposal Tip Fee 2025],MATCH(TransTonsShort[[#This Row],[Grouping_ID]],LandfillFees[Grouping_ID],0))</f>
        <v>72.030938699729589</v>
      </c>
      <c r="AA580" s="102">
        <f>IF(OR(TransTonsShort[[#This Row],[CollectionStream_ID]]="03",TransTonsShort[[#This Row],[CollectionStream_ID]]="04",TransTonsShort[[#This Row],[CollectionStream_ID]]="13"),0,TransTonsShort[[#This Row],[Trans_Tons_All]]*TransTonsShort[[#This Row],[Disposal_Fee]])</f>
        <v>0</v>
      </c>
      <c r="AF580" s="446" t="s">
        <v>1753</v>
      </c>
      <c r="AG580" s="442" t="str">
        <f>LEFT(SecondaryTransport[[#This Row],[Scenario_MRF_Bale_ID]],2)</f>
        <v>S4</v>
      </c>
      <c r="AH580" s="181" t="str">
        <f>LEFT(RIGHT(SecondaryTransport[[#This Row],[Scenario_MRF_Bale_ID]],10),2)</f>
        <v>13</v>
      </c>
      <c r="AI580" s="181" t="str">
        <f>INDEX(MRFs[MRF_Name],MATCH(SecondaryTransport[[#This Row],[MRF_ID]],MRFs[MRF_ID],0))</f>
        <v>Directly marketed (no sorting)</v>
      </c>
      <c r="AJ580" s="181" t="str">
        <f>RIGHT(SecondaryTransport[[#This Row],[Scenario_MRF_Bale_ID]],7)</f>
        <v>2000-18</v>
      </c>
      <c r="AK580" s="181" t="str">
        <f>INDEX(Bales[Bale_Name],MATCH(SecondaryTransport[[#This Row],[Bale_ID]],Bales[Bale_ID],0))</f>
        <v>#3-7 bottles and small rigid plastics </v>
      </c>
      <c r="AL580" s="443">
        <f>INDEX(BaleMover[Total_Baled_tons],MATCH(SecondaryTransport[[#This Row],[Scenario_MRF_Bale_ID]],BaleMover[Scenario_MRF_Bale_ID],0))</f>
        <v>24.657049296529493</v>
      </c>
      <c r="AM580" s="443">
        <f>IF(INDEX(BaleMover[Miles],MATCH(SecondaryTransport[[#This Row],[Scenario_MRF_Bale_ID]],BaleMover[Scenario_MRF_Bale_ID],0))="",0,INDEX(BaleMover[Miles],MATCH(SecondaryTransport[[#This Row],[Scenario_MRF_Bale_ID]],BaleMover[Scenario_MRF_Bale_ID],0)))</f>
        <v>355</v>
      </c>
      <c r="AN580" s="251">
        <f>IF(SecondaryTransport[[#This Row],[Bale_ID]]="9000-01","costs elsewhere",SecondaryTransport[[#This Row],[Total_Baled_tons]]*SecondaryTransport[[#This Row],[Miles]])</f>
        <v>8753.2525002679704</v>
      </c>
      <c r="AO580" s="352" t="str">
        <f>IF(LEFT(SecondaryTransport[[#This Row],[Bale_ID]],1)*1=5,IF(OR(SecondaryTransport[[#This Row],[MRF_ID]]="02",SecondaryTransport[[#This Row],[MRF_ID]]="08"),2,1),"")</f>
        <v/>
      </c>
      <c r="AP58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8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80" s="224" t="str">
        <f>IFERROR(IF(1*LEFT(SecondaryTransport[[#This Row],[Bale_ID]],1)=5,SecondaryTransport[[#This Row],[Ton-Miles]]*SecondaryTransport[[#This Row],[Cost_Per_Ton-Mile]],""),"")</f>
        <v/>
      </c>
      <c r="AS580" s="224">
        <f>IFERROR(IF(SecondaryTransport[[#This Row],[Container_Transfer]]="",(SecondaryTransport[[#This Row],[Ton-Miles]]*SecondaryTransport[[#This Row],[Cost_Per_Ton-Mile]]),""),"")</f>
        <v>1225.4553500375159</v>
      </c>
    </row>
    <row r="581" spans="12:45" ht="15" x14ac:dyDescent="0.25">
      <c r="L581" s="446" t="s">
        <v>873</v>
      </c>
      <c r="M581" s="446">
        <v>3</v>
      </c>
      <c r="N581" s="446">
        <v>2</v>
      </c>
      <c r="O581" s="446" t="s">
        <v>750</v>
      </c>
      <c r="P581" s="449" t="s">
        <v>700</v>
      </c>
      <c r="Q581" s="449"/>
      <c r="R581" s="449"/>
      <c r="S581" s="449" t="s">
        <v>963</v>
      </c>
      <c r="T581" s="449" t="s">
        <v>701</v>
      </c>
      <c r="U581" s="452">
        <v>0</v>
      </c>
      <c r="V5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1" s="272" t="str">
        <f>IFERROR(SUMIFS(TransUnitCost[Miles],TransUnitCost[Grouping_ID],TransTonsShort[[#This Row],[Grouping_ID]],TransUnitCost[Transp_ID],TransTonsShort[[#This Row],[Transp_ID]])*TransTonsShort[[#This Row],[Trans_Tons_All]]/TransTonsShort[[#This Row],[Trans_Tons_All]],"")</f>
        <v/>
      </c>
      <c r="X581" s="386" t="str">
        <f>TransTonsShort[[#This Row],[Grouping_ID]]&amp;"-"&amp;TransTonsShort[[#This Row],[Sector_ID]]</f>
        <v>3-2</v>
      </c>
      <c r="Y5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81" s="421">
        <f>INDEX(LandfillFees[Disposal Tip Fee 2025],MATCH(TransTonsShort[[#This Row],[Grouping_ID]],LandfillFees[Grouping_ID],0))</f>
        <v>72.030938699729589</v>
      </c>
      <c r="AA581" s="102">
        <f>IF(OR(TransTonsShort[[#This Row],[CollectionStream_ID]]="03",TransTonsShort[[#This Row],[CollectionStream_ID]]="04",TransTonsShort[[#This Row],[CollectionStream_ID]]="13"),0,TransTonsShort[[#This Row],[Trans_Tons_All]]*TransTonsShort[[#This Row],[Disposal_Fee]])</f>
        <v>0</v>
      </c>
      <c r="AF581" s="446" t="s">
        <v>1754</v>
      </c>
      <c r="AG581" s="442" t="str">
        <f>LEFT(SecondaryTransport[[#This Row],[Scenario_MRF_Bale_ID]],2)</f>
        <v>S0</v>
      </c>
      <c r="AH581" s="181" t="str">
        <f>LEFT(RIGHT(SecondaryTransport[[#This Row],[Scenario_MRF_Bale_ID]],10),2)</f>
        <v>13</v>
      </c>
      <c r="AI581" s="181" t="str">
        <f>INDEX(MRFs[MRF_Name],MATCH(SecondaryTransport[[#This Row],[MRF_ID]],MRFs[MRF_ID],0))</f>
        <v>Directly marketed (no sorting)</v>
      </c>
      <c r="AJ581" s="181" t="str">
        <f>RIGHT(SecondaryTransport[[#This Row],[Scenario_MRF_Bale_ID]],7)</f>
        <v>3000-01</v>
      </c>
      <c r="AK581" s="181" t="str">
        <f>INDEX(Bales[Bale_Name],MATCH(SecondaryTransport[[#This Row],[Bale_ID]],Bales[Bale_ID],0))</f>
        <v>Container glass </v>
      </c>
      <c r="AL581" s="443">
        <f>INDEX(BaleMover[Total_Baled_tons],MATCH(SecondaryTransport[[#This Row],[Scenario_MRF_Bale_ID]],BaleMover[Scenario_MRF_Bale_ID],0))</f>
        <v>0</v>
      </c>
      <c r="AM581" s="443">
        <f>IF(INDEX(BaleMover[Miles],MATCH(SecondaryTransport[[#This Row],[Scenario_MRF_Bale_ID]],BaleMover[Scenario_MRF_Bale_ID],0))="",0,INDEX(BaleMover[Miles],MATCH(SecondaryTransport[[#This Row],[Scenario_MRF_Bale_ID]],BaleMover[Scenario_MRF_Bale_ID],0)))</f>
        <v>0</v>
      </c>
      <c r="AN581" s="251">
        <f>IF(SecondaryTransport[[#This Row],[Bale_ID]]="9000-01","costs elsewhere",SecondaryTransport[[#This Row],[Total_Baled_tons]]*SecondaryTransport[[#This Row],[Miles]])</f>
        <v>0</v>
      </c>
      <c r="AO581" s="352" t="str">
        <f>IF(LEFT(SecondaryTransport[[#This Row],[Bale_ID]],1)*1=5,IF(OR(SecondaryTransport[[#This Row],[MRF_ID]]="02",SecondaryTransport[[#This Row],[MRF_ID]]="08"),2,1),"")</f>
        <v/>
      </c>
      <c r="AP58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1" s="224" t="str">
        <f>IFERROR(IF(1*LEFT(SecondaryTransport[[#This Row],[Bale_ID]],1)=5,SecondaryTransport[[#This Row],[Ton-Miles]]*SecondaryTransport[[#This Row],[Cost_Per_Ton-Mile]],""),"")</f>
        <v/>
      </c>
      <c r="AS581" s="224" t="str">
        <f>IFERROR(IF(SecondaryTransport[[#This Row],[Container_Transfer]]="",(SecondaryTransport[[#This Row],[Ton-Miles]]*SecondaryTransport[[#This Row],[Cost_Per_Ton-Mile]]),""),"")</f>
        <v/>
      </c>
    </row>
    <row r="582" spans="12:45" ht="15" x14ac:dyDescent="0.25">
      <c r="L582" s="446" t="s">
        <v>873</v>
      </c>
      <c r="M582" s="446">
        <v>4</v>
      </c>
      <c r="N582" s="446">
        <v>2</v>
      </c>
      <c r="O582" s="446" t="s">
        <v>750</v>
      </c>
      <c r="P582" s="449" t="s">
        <v>700</v>
      </c>
      <c r="Q582" s="449"/>
      <c r="R582" s="449"/>
      <c r="S582" s="449" t="s">
        <v>963</v>
      </c>
      <c r="T582" s="449" t="s">
        <v>701</v>
      </c>
      <c r="U582" s="452">
        <v>0</v>
      </c>
      <c r="V5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2" s="272" t="str">
        <f>IFERROR(SUMIFS(TransUnitCost[Miles],TransUnitCost[Grouping_ID],TransTonsShort[[#This Row],[Grouping_ID]],TransUnitCost[Transp_ID],TransTonsShort[[#This Row],[Transp_ID]])*TransTonsShort[[#This Row],[Trans_Tons_All]]/TransTonsShort[[#This Row],[Trans_Tons_All]],"")</f>
        <v/>
      </c>
      <c r="X582" s="386" t="str">
        <f>TransTonsShort[[#This Row],[Grouping_ID]]&amp;"-"&amp;TransTonsShort[[#This Row],[Sector_ID]]</f>
        <v>4-2</v>
      </c>
      <c r="Y5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582" s="421">
        <f>INDEX(LandfillFees[Disposal Tip Fee 2025],MATCH(TransTonsShort[[#This Row],[Grouping_ID]],LandfillFees[Grouping_ID],0))</f>
        <v>72.030938699729589</v>
      </c>
      <c r="AA582" s="102">
        <f>IF(OR(TransTonsShort[[#This Row],[CollectionStream_ID]]="03",TransTonsShort[[#This Row],[CollectionStream_ID]]="04",TransTonsShort[[#This Row],[CollectionStream_ID]]="13"),0,TransTonsShort[[#This Row],[Trans_Tons_All]]*TransTonsShort[[#This Row],[Disposal_Fee]])</f>
        <v>0</v>
      </c>
      <c r="AF582" s="446" t="s">
        <v>1755</v>
      </c>
      <c r="AG582" s="442" t="str">
        <f>LEFT(SecondaryTransport[[#This Row],[Scenario_MRF_Bale_ID]],2)</f>
        <v>S1</v>
      </c>
      <c r="AH582" s="181" t="str">
        <f>LEFT(RIGHT(SecondaryTransport[[#This Row],[Scenario_MRF_Bale_ID]],10),2)</f>
        <v>13</v>
      </c>
      <c r="AI582" s="181" t="str">
        <f>INDEX(MRFs[MRF_Name],MATCH(SecondaryTransport[[#This Row],[MRF_ID]],MRFs[MRF_ID],0))</f>
        <v>Directly marketed (no sorting)</v>
      </c>
      <c r="AJ582" s="181" t="str">
        <f>RIGHT(SecondaryTransport[[#This Row],[Scenario_MRF_Bale_ID]],7)</f>
        <v>3000-01</v>
      </c>
      <c r="AK582" s="181" t="str">
        <f>INDEX(Bales[Bale_Name],MATCH(SecondaryTransport[[#This Row],[Bale_ID]],Bales[Bale_ID],0))</f>
        <v>Container glass </v>
      </c>
      <c r="AL582" s="443">
        <f>INDEX(BaleMover[Total_Baled_tons],MATCH(SecondaryTransport[[#This Row],[Scenario_MRF_Bale_ID]],BaleMover[Scenario_MRF_Bale_ID],0))</f>
        <v>0</v>
      </c>
      <c r="AM582" s="443">
        <f>IF(INDEX(BaleMover[Miles],MATCH(SecondaryTransport[[#This Row],[Scenario_MRF_Bale_ID]],BaleMover[Scenario_MRF_Bale_ID],0))="",0,INDEX(BaleMover[Miles],MATCH(SecondaryTransport[[#This Row],[Scenario_MRF_Bale_ID]],BaleMover[Scenario_MRF_Bale_ID],0)))</f>
        <v>0</v>
      </c>
      <c r="AN582" s="251">
        <f>IF(SecondaryTransport[[#This Row],[Bale_ID]]="9000-01","costs elsewhere",SecondaryTransport[[#This Row],[Total_Baled_tons]]*SecondaryTransport[[#This Row],[Miles]])</f>
        <v>0</v>
      </c>
      <c r="AO582" s="352" t="str">
        <f>IF(LEFT(SecondaryTransport[[#This Row],[Bale_ID]],1)*1=5,IF(OR(SecondaryTransport[[#This Row],[MRF_ID]]="02",SecondaryTransport[[#This Row],[MRF_ID]]="08"),2,1),"")</f>
        <v/>
      </c>
      <c r="AP58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2" s="224" t="str">
        <f>IFERROR(IF(1*LEFT(SecondaryTransport[[#This Row],[Bale_ID]],1)=5,SecondaryTransport[[#This Row],[Ton-Miles]]*SecondaryTransport[[#This Row],[Cost_Per_Ton-Mile]],""),"")</f>
        <v/>
      </c>
      <c r="AS582" s="224" t="str">
        <f>IFERROR(IF(SecondaryTransport[[#This Row],[Container_Transfer]]="",(SecondaryTransport[[#This Row],[Ton-Miles]]*SecondaryTransport[[#This Row],[Cost_Per_Ton-Mile]]),""),"")</f>
        <v/>
      </c>
    </row>
    <row r="583" spans="12:45" ht="15" x14ac:dyDescent="0.25">
      <c r="L583" s="446" t="s">
        <v>870</v>
      </c>
      <c r="M583" s="446">
        <v>1</v>
      </c>
      <c r="N583" s="446">
        <v>2</v>
      </c>
      <c r="O583" s="448" t="s">
        <v>700</v>
      </c>
      <c r="P583" s="449" t="s">
        <v>719</v>
      </c>
      <c r="Q583" s="449"/>
      <c r="R583" s="449"/>
      <c r="S583" s="449" t="s">
        <v>872</v>
      </c>
      <c r="T583" s="449" t="s">
        <v>1055</v>
      </c>
      <c r="U583" s="452">
        <v>0</v>
      </c>
      <c r="V5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3" s="272" t="str">
        <f>IFERROR(SUMIFS(TransUnitCost[Miles],TransUnitCost[Grouping_ID],TransTonsShort[[#This Row],[Grouping_ID]],TransUnitCost[Transp_ID],TransTonsShort[[#This Row],[Transp_ID]])*TransTonsShort[[#This Row],[Trans_Tons_All]]/TransTonsShort[[#This Row],[Trans_Tons_All]],"")</f>
        <v/>
      </c>
      <c r="X583" s="386" t="str">
        <f>TransTonsShort[[#This Row],[Grouping_ID]]&amp;"-"&amp;TransTonsShort[[#This Row],[Sector_ID]]</f>
        <v>1-2</v>
      </c>
      <c r="Y5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3" s="421">
        <f>INDEX(LandfillFees[Disposal Tip Fee 2025],MATCH(TransTonsShort[[#This Row],[Grouping_ID]],LandfillFees[Grouping_ID],0))</f>
        <v>134.68</v>
      </c>
      <c r="AA583" s="102">
        <f>IF(OR(TransTonsShort[[#This Row],[CollectionStream_ID]]="03",TransTonsShort[[#This Row],[CollectionStream_ID]]="04",TransTonsShort[[#This Row],[CollectionStream_ID]]="13"),0,TransTonsShort[[#This Row],[Trans_Tons_All]]*TransTonsShort[[#This Row],[Disposal_Fee]])</f>
        <v>0</v>
      </c>
      <c r="AF583" s="446" t="s">
        <v>1756</v>
      </c>
      <c r="AG583" s="442" t="str">
        <f>LEFT(SecondaryTransport[[#This Row],[Scenario_MRF_Bale_ID]],2)</f>
        <v>S2</v>
      </c>
      <c r="AH583" s="181" t="str">
        <f>LEFT(RIGHT(SecondaryTransport[[#This Row],[Scenario_MRF_Bale_ID]],10),2)</f>
        <v>13</v>
      </c>
      <c r="AI583" s="181" t="str">
        <f>INDEX(MRFs[MRF_Name],MATCH(SecondaryTransport[[#This Row],[MRF_ID]],MRFs[MRF_ID],0))</f>
        <v>Directly marketed (no sorting)</v>
      </c>
      <c r="AJ583" s="181" t="str">
        <f>RIGHT(SecondaryTransport[[#This Row],[Scenario_MRF_Bale_ID]],7)</f>
        <v>3000-01</v>
      </c>
      <c r="AK583" s="181" t="str">
        <f>INDEX(Bales[Bale_Name],MATCH(SecondaryTransport[[#This Row],[Bale_ID]],Bales[Bale_ID],0))</f>
        <v>Container glass </v>
      </c>
      <c r="AL583" s="443">
        <f>INDEX(BaleMover[Total_Baled_tons],MATCH(SecondaryTransport[[#This Row],[Scenario_MRF_Bale_ID]],BaleMover[Scenario_MRF_Bale_ID],0))</f>
        <v>0</v>
      </c>
      <c r="AM583" s="443">
        <f>IF(INDEX(BaleMover[Miles],MATCH(SecondaryTransport[[#This Row],[Scenario_MRF_Bale_ID]],BaleMover[Scenario_MRF_Bale_ID],0))="",0,INDEX(BaleMover[Miles],MATCH(SecondaryTransport[[#This Row],[Scenario_MRF_Bale_ID]],BaleMover[Scenario_MRF_Bale_ID],0)))</f>
        <v>0</v>
      </c>
      <c r="AN583" s="251">
        <f>IF(SecondaryTransport[[#This Row],[Bale_ID]]="9000-01","costs elsewhere",SecondaryTransport[[#This Row],[Total_Baled_tons]]*SecondaryTransport[[#This Row],[Miles]])</f>
        <v>0</v>
      </c>
      <c r="AO583" s="352" t="str">
        <f>IF(LEFT(SecondaryTransport[[#This Row],[Bale_ID]],1)*1=5,IF(OR(SecondaryTransport[[#This Row],[MRF_ID]]="02",SecondaryTransport[[#This Row],[MRF_ID]]="08"),2,1),"")</f>
        <v/>
      </c>
      <c r="AP58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3" s="224" t="str">
        <f>IFERROR(IF(1*LEFT(SecondaryTransport[[#This Row],[Bale_ID]],1)=5,SecondaryTransport[[#This Row],[Ton-Miles]]*SecondaryTransport[[#This Row],[Cost_Per_Ton-Mile]],""),"")</f>
        <v/>
      </c>
      <c r="AS583" s="224" t="str">
        <f>IFERROR(IF(SecondaryTransport[[#This Row],[Container_Transfer]]="",(SecondaryTransport[[#This Row],[Ton-Miles]]*SecondaryTransport[[#This Row],[Cost_Per_Ton-Mile]]),""),"")</f>
        <v/>
      </c>
    </row>
    <row r="584" spans="12:45" ht="15" x14ac:dyDescent="0.25">
      <c r="L584" s="446" t="s">
        <v>870</v>
      </c>
      <c r="M584" s="446">
        <v>2</v>
      </c>
      <c r="N584" s="446">
        <v>2</v>
      </c>
      <c r="O584" s="448" t="s">
        <v>700</v>
      </c>
      <c r="P584" s="449" t="s">
        <v>719</v>
      </c>
      <c r="Q584" s="449"/>
      <c r="R584" s="449"/>
      <c r="S584" s="449" t="s">
        <v>872</v>
      </c>
      <c r="T584" s="449" t="s">
        <v>1055</v>
      </c>
      <c r="U584" s="452">
        <v>0</v>
      </c>
      <c r="V5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4" s="272" t="str">
        <f>IFERROR(SUMIFS(TransUnitCost[Miles],TransUnitCost[Grouping_ID],TransTonsShort[[#This Row],[Grouping_ID]],TransUnitCost[Transp_ID],TransTonsShort[[#This Row],[Transp_ID]])*TransTonsShort[[#This Row],[Trans_Tons_All]]/TransTonsShort[[#This Row],[Trans_Tons_All]],"")</f>
        <v/>
      </c>
      <c r="X584" s="386" t="str">
        <f>TransTonsShort[[#This Row],[Grouping_ID]]&amp;"-"&amp;TransTonsShort[[#This Row],[Sector_ID]]</f>
        <v>2-2</v>
      </c>
      <c r="Y5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4" s="421">
        <f>INDEX(LandfillFees[Disposal Tip Fee 2025],MATCH(TransTonsShort[[#This Row],[Grouping_ID]],LandfillFees[Grouping_ID],0))</f>
        <v>72.030938699729589</v>
      </c>
      <c r="AA584" s="102">
        <f>IF(OR(TransTonsShort[[#This Row],[CollectionStream_ID]]="03",TransTonsShort[[#This Row],[CollectionStream_ID]]="04",TransTonsShort[[#This Row],[CollectionStream_ID]]="13"),0,TransTonsShort[[#This Row],[Trans_Tons_All]]*TransTonsShort[[#This Row],[Disposal_Fee]])</f>
        <v>0</v>
      </c>
      <c r="AF584" s="446" t="s">
        <v>1757</v>
      </c>
      <c r="AG584" s="442" t="str">
        <f>LEFT(SecondaryTransport[[#This Row],[Scenario_MRF_Bale_ID]],2)</f>
        <v>S3</v>
      </c>
      <c r="AH584" s="181" t="str">
        <f>LEFT(RIGHT(SecondaryTransport[[#This Row],[Scenario_MRF_Bale_ID]],10),2)</f>
        <v>13</v>
      </c>
      <c r="AI584" s="181" t="str">
        <f>INDEX(MRFs[MRF_Name],MATCH(SecondaryTransport[[#This Row],[MRF_ID]],MRFs[MRF_ID],0))</f>
        <v>Directly marketed (no sorting)</v>
      </c>
      <c r="AJ584" s="181" t="str">
        <f>RIGHT(SecondaryTransport[[#This Row],[Scenario_MRF_Bale_ID]],7)</f>
        <v>3000-01</v>
      </c>
      <c r="AK584" s="181" t="str">
        <f>INDEX(Bales[Bale_Name],MATCH(SecondaryTransport[[#This Row],[Bale_ID]],Bales[Bale_ID],0))</f>
        <v>Container glass </v>
      </c>
      <c r="AL584" s="443">
        <f>INDEX(BaleMover[Total_Baled_tons],MATCH(SecondaryTransport[[#This Row],[Scenario_MRF_Bale_ID]],BaleMover[Scenario_MRF_Bale_ID],0))</f>
        <v>0</v>
      </c>
      <c r="AM584" s="443">
        <f>IF(INDEX(BaleMover[Miles],MATCH(SecondaryTransport[[#This Row],[Scenario_MRF_Bale_ID]],BaleMover[Scenario_MRF_Bale_ID],0))="",0,INDEX(BaleMover[Miles],MATCH(SecondaryTransport[[#This Row],[Scenario_MRF_Bale_ID]],BaleMover[Scenario_MRF_Bale_ID],0)))</f>
        <v>0</v>
      </c>
      <c r="AN584" s="251">
        <f>IF(SecondaryTransport[[#This Row],[Bale_ID]]="9000-01","costs elsewhere",SecondaryTransport[[#This Row],[Total_Baled_tons]]*SecondaryTransport[[#This Row],[Miles]])</f>
        <v>0</v>
      </c>
      <c r="AO584" s="352" t="str">
        <f>IF(LEFT(SecondaryTransport[[#This Row],[Bale_ID]],1)*1=5,IF(OR(SecondaryTransport[[#This Row],[MRF_ID]]="02",SecondaryTransport[[#This Row],[MRF_ID]]="08"),2,1),"")</f>
        <v/>
      </c>
      <c r="AP58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4" s="224" t="str">
        <f>IFERROR(IF(1*LEFT(SecondaryTransport[[#This Row],[Bale_ID]],1)=5,SecondaryTransport[[#This Row],[Ton-Miles]]*SecondaryTransport[[#This Row],[Cost_Per_Ton-Mile]],""),"")</f>
        <v/>
      </c>
      <c r="AS584" s="224" t="str">
        <f>IFERROR(IF(SecondaryTransport[[#This Row],[Container_Transfer]]="",(SecondaryTransport[[#This Row],[Ton-Miles]]*SecondaryTransport[[#This Row],[Cost_Per_Ton-Mile]]),""),"")</f>
        <v/>
      </c>
    </row>
    <row r="585" spans="12:45" ht="15" x14ac:dyDescent="0.25">
      <c r="L585" s="446" t="s">
        <v>870</v>
      </c>
      <c r="M585" s="446">
        <v>3</v>
      </c>
      <c r="N585" s="446">
        <v>2</v>
      </c>
      <c r="O585" s="448" t="s">
        <v>700</v>
      </c>
      <c r="P585" s="449" t="s">
        <v>719</v>
      </c>
      <c r="Q585" s="449"/>
      <c r="R585" s="449"/>
      <c r="S585" s="449" t="s">
        <v>872</v>
      </c>
      <c r="T585" s="449" t="s">
        <v>1055</v>
      </c>
      <c r="U585" s="452">
        <v>0</v>
      </c>
      <c r="V5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5" s="272" t="str">
        <f>IFERROR(SUMIFS(TransUnitCost[Miles],TransUnitCost[Grouping_ID],TransTonsShort[[#This Row],[Grouping_ID]],TransUnitCost[Transp_ID],TransTonsShort[[#This Row],[Transp_ID]])*TransTonsShort[[#This Row],[Trans_Tons_All]]/TransTonsShort[[#This Row],[Trans_Tons_All]],"")</f>
        <v/>
      </c>
      <c r="X585" s="386" t="str">
        <f>TransTonsShort[[#This Row],[Grouping_ID]]&amp;"-"&amp;TransTonsShort[[#This Row],[Sector_ID]]</f>
        <v>3-2</v>
      </c>
      <c r="Y5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5" s="421">
        <f>INDEX(LandfillFees[Disposal Tip Fee 2025],MATCH(TransTonsShort[[#This Row],[Grouping_ID]],LandfillFees[Grouping_ID],0))</f>
        <v>72.030938699729589</v>
      </c>
      <c r="AA585" s="102">
        <f>IF(OR(TransTonsShort[[#This Row],[CollectionStream_ID]]="03",TransTonsShort[[#This Row],[CollectionStream_ID]]="04",TransTonsShort[[#This Row],[CollectionStream_ID]]="13"),0,TransTonsShort[[#This Row],[Trans_Tons_All]]*TransTonsShort[[#This Row],[Disposal_Fee]])</f>
        <v>0</v>
      </c>
      <c r="AF585" s="446" t="s">
        <v>1758</v>
      </c>
      <c r="AG585" s="442" t="str">
        <f>LEFT(SecondaryTransport[[#This Row],[Scenario_MRF_Bale_ID]],2)</f>
        <v>S4</v>
      </c>
      <c r="AH585" s="181" t="str">
        <f>LEFT(RIGHT(SecondaryTransport[[#This Row],[Scenario_MRF_Bale_ID]],10),2)</f>
        <v>13</v>
      </c>
      <c r="AI585" s="181" t="str">
        <f>INDEX(MRFs[MRF_Name],MATCH(SecondaryTransport[[#This Row],[MRF_ID]],MRFs[MRF_ID],0))</f>
        <v>Directly marketed (no sorting)</v>
      </c>
      <c r="AJ585" s="181" t="str">
        <f>RIGHT(SecondaryTransport[[#This Row],[Scenario_MRF_Bale_ID]],7)</f>
        <v>3000-01</v>
      </c>
      <c r="AK585" s="181" t="str">
        <f>INDEX(Bales[Bale_Name],MATCH(SecondaryTransport[[#This Row],[Bale_ID]],Bales[Bale_ID],0))</f>
        <v>Container glass </v>
      </c>
      <c r="AL585" s="443">
        <f>INDEX(BaleMover[Total_Baled_tons],MATCH(SecondaryTransport[[#This Row],[Scenario_MRF_Bale_ID]],BaleMover[Scenario_MRF_Bale_ID],0))</f>
        <v>0</v>
      </c>
      <c r="AM585" s="443">
        <f>IF(INDEX(BaleMover[Miles],MATCH(SecondaryTransport[[#This Row],[Scenario_MRF_Bale_ID]],BaleMover[Scenario_MRF_Bale_ID],0))="",0,INDEX(BaleMover[Miles],MATCH(SecondaryTransport[[#This Row],[Scenario_MRF_Bale_ID]],BaleMover[Scenario_MRF_Bale_ID],0)))</f>
        <v>0</v>
      </c>
      <c r="AN585" s="251">
        <f>IF(SecondaryTransport[[#This Row],[Bale_ID]]="9000-01","costs elsewhere",SecondaryTransport[[#This Row],[Total_Baled_tons]]*SecondaryTransport[[#This Row],[Miles]])</f>
        <v>0</v>
      </c>
      <c r="AO585" s="352" t="str">
        <f>IF(LEFT(SecondaryTransport[[#This Row],[Bale_ID]],1)*1=5,IF(OR(SecondaryTransport[[#This Row],[MRF_ID]]="02",SecondaryTransport[[#This Row],[MRF_ID]]="08"),2,1),"")</f>
        <v/>
      </c>
      <c r="AP58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58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585" s="224" t="str">
        <f>IFERROR(IF(1*LEFT(SecondaryTransport[[#This Row],[Bale_ID]],1)=5,SecondaryTransport[[#This Row],[Ton-Miles]]*SecondaryTransport[[#This Row],[Cost_Per_Ton-Mile]],""),"")</f>
        <v/>
      </c>
      <c r="AS585" s="224" t="str">
        <f>IFERROR(IF(SecondaryTransport[[#This Row],[Container_Transfer]]="",(SecondaryTransport[[#This Row],[Ton-Miles]]*SecondaryTransport[[#This Row],[Cost_Per_Ton-Mile]]),""),"")</f>
        <v/>
      </c>
    </row>
    <row r="586" spans="12:45" ht="15" x14ac:dyDescent="0.25">
      <c r="L586" s="446" t="s">
        <v>870</v>
      </c>
      <c r="M586" s="446">
        <v>4</v>
      </c>
      <c r="N586" s="446">
        <v>2</v>
      </c>
      <c r="O586" s="448" t="s">
        <v>700</v>
      </c>
      <c r="P586" s="449" t="s">
        <v>719</v>
      </c>
      <c r="Q586" s="449"/>
      <c r="R586" s="449"/>
      <c r="S586" s="449" t="s">
        <v>872</v>
      </c>
      <c r="T586" s="449" t="s">
        <v>1055</v>
      </c>
      <c r="U586" s="452">
        <v>0</v>
      </c>
      <c r="V5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6" s="272" t="str">
        <f>IFERROR(SUMIFS(TransUnitCost[Miles],TransUnitCost[Grouping_ID],TransTonsShort[[#This Row],[Grouping_ID]],TransUnitCost[Transp_ID],TransTonsShort[[#This Row],[Transp_ID]])*TransTonsShort[[#This Row],[Trans_Tons_All]]/TransTonsShort[[#This Row],[Trans_Tons_All]],"")</f>
        <v/>
      </c>
      <c r="X586" s="386" t="str">
        <f>TransTonsShort[[#This Row],[Grouping_ID]]&amp;"-"&amp;TransTonsShort[[#This Row],[Sector_ID]]</f>
        <v>4-2</v>
      </c>
      <c r="Y5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6" s="421">
        <f>INDEX(LandfillFees[Disposal Tip Fee 2025],MATCH(TransTonsShort[[#This Row],[Grouping_ID]],LandfillFees[Grouping_ID],0))</f>
        <v>72.030938699729589</v>
      </c>
      <c r="AA586" s="102">
        <f>IF(OR(TransTonsShort[[#This Row],[CollectionStream_ID]]="03",TransTonsShort[[#This Row],[CollectionStream_ID]]="04",TransTonsShort[[#This Row],[CollectionStream_ID]]="13"),0,TransTonsShort[[#This Row],[Trans_Tons_All]]*TransTonsShort[[#This Row],[Disposal_Fee]])</f>
        <v>0</v>
      </c>
      <c r="AF586" s="446" t="s">
        <v>1759</v>
      </c>
      <c r="AG586" s="442" t="str">
        <f>LEFT(SecondaryTransport[[#This Row],[Scenario_MRF_Bale_ID]],2)</f>
        <v>S0</v>
      </c>
      <c r="AH586" s="181" t="str">
        <f>LEFT(RIGHT(SecondaryTransport[[#This Row],[Scenario_MRF_Bale_ID]],10),2)</f>
        <v>13</v>
      </c>
      <c r="AI586" s="181" t="str">
        <f>INDEX(MRFs[MRF_Name],MATCH(SecondaryTransport[[#This Row],[MRF_ID]],MRFs[MRF_ID],0))</f>
        <v>Directly marketed (no sorting)</v>
      </c>
      <c r="AJ586" s="181" t="str">
        <f>RIGHT(SecondaryTransport[[#This Row],[Scenario_MRF_Bale_ID]],7)</f>
        <v>4000-01</v>
      </c>
      <c r="AK586" s="181" t="str">
        <f>INDEX(Bales[Bale_Name],MATCH(SecondaryTransport[[#This Row],[Bale_ID]],Bales[Bale_ID],0))</f>
        <v>Aluminum cans and foil</v>
      </c>
      <c r="AL586" s="443">
        <f>INDEX(BaleMover[Total_Baled_tons],MATCH(SecondaryTransport[[#This Row],[Scenario_MRF_Bale_ID]],BaleMover[Scenario_MRF_Bale_ID],0))</f>
        <v>141.44241879542824</v>
      </c>
      <c r="AM586" s="443">
        <f>IF(INDEX(BaleMover[Miles],MATCH(SecondaryTransport[[#This Row],[Scenario_MRF_Bale_ID]],BaleMover[Scenario_MRF_Bale_ID],0))="",0,INDEX(BaleMover[Miles],MATCH(SecondaryTransport[[#This Row],[Scenario_MRF_Bale_ID]],BaleMover[Scenario_MRF_Bale_ID],0)))</f>
        <v>915</v>
      </c>
      <c r="AN586" s="251">
        <f>IF(SecondaryTransport[[#This Row],[Bale_ID]]="9000-01","costs elsewhere",SecondaryTransport[[#This Row],[Total_Baled_tons]]*SecondaryTransport[[#This Row],[Miles]])</f>
        <v>129419.81319781684</v>
      </c>
      <c r="AO586" s="352" t="str">
        <f>IF(LEFT(SecondaryTransport[[#This Row],[Bale_ID]],1)*1=5,IF(OR(SecondaryTransport[[#This Row],[MRF_ID]]="02",SecondaryTransport[[#This Row],[MRF_ID]]="08"),2,1),"")</f>
        <v/>
      </c>
      <c r="AP58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8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86" s="224" t="str">
        <f>IFERROR(IF(1*LEFT(SecondaryTransport[[#This Row],[Bale_ID]],1)=5,SecondaryTransport[[#This Row],[Ton-Miles]]*SecondaryTransport[[#This Row],[Cost_Per_Ton-Mile]],""),"")</f>
        <v/>
      </c>
      <c r="AS586" s="224">
        <f>IFERROR(IF(SecondaryTransport[[#This Row],[Container_Transfer]]="",(SecondaryTransport[[#This Row],[Ton-Miles]]*SecondaryTransport[[#This Row],[Cost_Per_Ton-Mile]]),""),"")</f>
        <v>18118.77384769436</v>
      </c>
    </row>
    <row r="587" spans="12:45" ht="15" x14ac:dyDescent="0.25">
      <c r="L587" s="446" t="s">
        <v>870</v>
      </c>
      <c r="M587" s="446">
        <v>1</v>
      </c>
      <c r="N587" s="446">
        <v>2</v>
      </c>
      <c r="O587" s="448" t="s">
        <v>700</v>
      </c>
      <c r="P587" s="449" t="s">
        <v>700</v>
      </c>
      <c r="Q587" s="449"/>
      <c r="R587" s="449"/>
      <c r="S587" s="449" t="s">
        <v>872</v>
      </c>
      <c r="T587" s="449" t="s">
        <v>701</v>
      </c>
      <c r="U587" s="452">
        <v>0</v>
      </c>
      <c r="V5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7" s="272" t="str">
        <f>IFERROR(SUMIFS(TransUnitCost[Miles],TransUnitCost[Grouping_ID],TransTonsShort[[#This Row],[Grouping_ID]],TransUnitCost[Transp_ID],TransTonsShort[[#This Row],[Transp_ID]])*TransTonsShort[[#This Row],[Trans_Tons_All]]/TransTonsShort[[#This Row],[Trans_Tons_All]],"")</f>
        <v/>
      </c>
      <c r="X587" s="386" t="str">
        <f>TransTonsShort[[#This Row],[Grouping_ID]]&amp;"-"&amp;TransTonsShort[[#This Row],[Sector_ID]]</f>
        <v>1-2</v>
      </c>
      <c r="Y5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7" s="421">
        <f>INDEX(LandfillFees[Disposal Tip Fee 2025],MATCH(TransTonsShort[[#This Row],[Grouping_ID]],LandfillFees[Grouping_ID],0))</f>
        <v>134.68</v>
      </c>
      <c r="AA587" s="102">
        <f>IF(OR(TransTonsShort[[#This Row],[CollectionStream_ID]]="03",TransTonsShort[[#This Row],[CollectionStream_ID]]="04",TransTonsShort[[#This Row],[CollectionStream_ID]]="13"),0,TransTonsShort[[#This Row],[Trans_Tons_All]]*TransTonsShort[[#This Row],[Disposal_Fee]])</f>
        <v>0</v>
      </c>
      <c r="AF587" s="446" t="s">
        <v>1760</v>
      </c>
      <c r="AG587" s="442" t="str">
        <f>LEFT(SecondaryTransport[[#This Row],[Scenario_MRF_Bale_ID]],2)</f>
        <v>S1</v>
      </c>
      <c r="AH587" s="181" t="str">
        <f>LEFT(RIGHT(SecondaryTransport[[#This Row],[Scenario_MRF_Bale_ID]],10),2)</f>
        <v>13</v>
      </c>
      <c r="AI587" s="181" t="str">
        <f>INDEX(MRFs[MRF_Name],MATCH(SecondaryTransport[[#This Row],[MRF_ID]],MRFs[MRF_ID],0))</f>
        <v>Directly marketed (no sorting)</v>
      </c>
      <c r="AJ587" s="181" t="str">
        <f>RIGHT(SecondaryTransport[[#This Row],[Scenario_MRF_Bale_ID]],7)</f>
        <v>4000-01</v>
      </c>
      <c r="AK587" s="181" t="str">
        <f>INDEX(Bales[Bale_Name],MATCH(SecondaryTransport[[#This Row],[Bale_ID]],Bales[Bale_ID],0))</f>
        <v>Aluminum cans and foil</v>
      </c>
      <c r="AL587" s="443">
        <f>INDEX(BaleMover[Total_Baled_tons],MATCH(SecondaryTransport[[#This Row],[Scenario_MRF_Bale_ID]],BaleMover[Scenario_MRF_Bale_ID],0))</f>
        <v>141.44241879542824</v>
      </c>
      <c r="AM587" s="443">
        <f>IF(INDEX(BaleMover[Miles],MATCH(SecondaryTransport[[#This Row],[Scenario_MRF_Bale_ID]],BaleMover[Scenario_MRF_Bale_ID],0))="",0,INDEX(BaleMover[Miles],MATCH(SecondaryTransport[[#This Row],[Scenario_MRF_Bale_ID]],BaleMover[Scenario_MRF_Bale_ID],0)))</f>
        <v>915</v>
      </c>
      <c r="AN587" s="251">
        <f>IF(SecondaryTransport[[#This Row],[Bale_ID]]="9000-01","costs elsewhere",SecondaryTransport[[#This Row],[Total_Baled_tons]]*SecondaryTransport[[#This Row],[Miles]])</f>
        <v>129419.81319781684</v>
      </c>
      <c r="AO587" s="352" t="str">
        <f>IF(LEFT(SecondaryTransport[[#This Row],[Bale_ID]],1)*1=5,IF(OR(SecondaryTransport[[#This Row],[MRF_ID]]="02",SecondaryTransport[[#This Row],[MRF_ID]]="08"),2,1),"")</f>
        <v/>
      </c>
      <c r="AP58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8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87" s="224" t="str">
        <f>IFERROR(IF(1*LEFT(SecondaryTransport[[#This Row],[Bale_ID]],1)=5,SecondaryTransport[[#This Row],[Ton-Miles]]*SecondaryTransport[[#This Row],[Cost_Per_Ton-Mile]],""),"")</f>
        <v/>
      </c>
      <c r="AS587" s="224">
        <f>IFERROR(IF(SecondaryTransport[[#This Row],[Container_Transfer]]="",(SecondaryTransport[[#This Row],[Ton-Miles]]*SecondaryTransport[[#This Row],[Cost_Per_Ton-Mile]]),""),"")</f>
        <v>18118.77384769436</v>
      </c>
    </row>
    <row r="588" spans="12:45" ht="15" x14ac:dyDescent="0.25">
      <c r="L588" s="446" t="s">
        <v>870</v>
      </c>
      <c r="M588" s="446">
        <v>2</v>
      </c>
      <c r="N588" s="446">
        <v>2</v>
      </c>
      <c r="O588" s="448" t="s">
        <v>700</v>
      </c>
      <c r="P588" s="449" t="s">
        <v>700</v>
      </c>
      <c r="Q588" s="449"/>
      <c r="R588" s="449"/>
      <c r="S588" s="449" t="s">
        <v>872</v>
      </c>
      <c r="T588" s="449" t="s">
        <v>701</v>
      </c>
      <c r="U588" s="452">
        <v>0</v>
      </c>
      <c r="V5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8" s="272" t="str">
        <f>IFERROR(SUMIFS(TransUnitCost[Miles],TransUnitCost[Grouping_ID],TransTonsShort[[#This Row],[Grouping_ID]],TransUnitCost[Transp_ID],TransTonsShort[[#This Row],[Transp_ID]])*TransTonsShort[[#This Row],[Trans_Tons_All]]/TransTonsShort[[#This Row],[Trans_Tons_All]],"")</f>
        <v/>
      </c>
      <c r="X588" s="386" t="str">
        <f>TransTonsShort[[#This Row],[Grouping_ID]]&amp;"-"&amp;TransTonsShort[[#This Row],[Sector_ID]]</f>
        <v>2-2</v>
      </c>
      <c r="Y5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8" s="421">
        <f>INDEX(LandfillFees[Disposal Tip Fee 2025],MATCH(TransTonsShort[[#This Row],[Grouping_ID]],LandfillFees[Grouping_ID],0))</f>
        <v>72.030938699729589</v>
      </c>
      <c r="AA588" s="102">
        <f>IF(OR(TransTonsShort[[#This Row],[CollectionStream_ID]]="03",TransTonsShort[[#This Row],[CollectionStream_ID]]="04",TransTonsShort[[#This Row],[CollectionStream_ID]]="13"),0,TransTonsShort[[#This Row],[Trans_Tons_All]]*TransTonsShort[[#This Row],[Disposal_Fee]])</f>
        <v>0</v>
      </c>
      <c r="AF588" s="446" t="s">
        <v>1761</v>
      </c>
      <c r="AG588" s="442" t="str">
        <f>LEFT(SecondaryTransport[[#This Row],[Scenario_MRF_Bale_ID]],2)</f>
        <v>S2</v>
      </c>
      <c r="AH588" s="181" t="str">
        <f>LEFT(RIGHT(SecondaryTransport[[#This Row],[Scenario_MRF_Bale_ID]],10),2)</f>
        <v>13</v>
      </c>
      <c r="AI588" s="181" t="str">
        <f>INDEX(MRFs[MRF_Name],MATCH(SecondaryTransport[[#This Row],[MRF_ID]],MRFs[MRF_ID],0))</f>
        <v>Directly marketed (no sorting)</v>
      </c>
      <c r="AJ588" s="181" t="str">
        <f>RIGHT(SecondaryTransport[[#This Row],[Scenario_MRF_Bale_ID]],7)</f>
        <v>4000-01</v>
      </c>
      <c r="AK588" s="181" t="str">
        <f>INDEX(Bales[Bale_Name],MATCH(SecondaryTransport[[#This Row],[Bale_ID]],Bales[Bale_ID],0))</f>
        <v>Aluminum cans and foil</v>
      </c>
      <c r="AL588" s="443">
        <f>INDEX(BaleMover[Total_Baled_tons],MATCH(SecondaryTransport[[#This Row],[Scenario_MRF_Bale_ID]],BaleMover[Scenario_MRF_Bale_ID],0))</f>
        <v>141.44241879542824</v>
      </c>
      <c r="AM588" s="443">
        <f>IF(INDEX(BaleMover[Miles],MATCH(SecondaryTransport[[#This Row],[Scenario_MRF_Bale_ID]],BaleMover[Scenario_MRF_Bale_ID],0))="",0,INDEX(BaleMover[Miles],MATCH(SecondaryTransport[[#This Row],[Scenario_MRF_Bale_ID]],BaleMover[Scenario_MRF_Bale_ID],0)))</f>
        <v>915</v>
      </c>
      <c r="AN588" s="251">
        <f>IF(SecondaryTransport[[#This Row],[Bale_ID]]="9000-01","costs elsewhere",SecondaryTransport[[#This Row],[Total_Baled_tons]]*SecondaryTransport[[#This Row],[Miles]])</f>
        <v>129419.81319781684</v>
      </c>
      <c r="AO588" s="352" t="str">
        <f>IF(LEFT(SecondaryTransport[[#This Row],[Bale_ID]],1)*1=5,IF(OR(SecondaryTransport[[#This Row],[MRF_ID]]="02",SecondaryTransport[[#This Row],[MRF_ID]]="08"),2,1),"")</f>
        <v/>
      </c>
      <c r="AP58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8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88" s="224" t="str">
        <f>IFERROR(IF(1*LEFT(SecondaryTransport[[#This Row],[Bale_ID]],1)=5,SecondaryTransport[[#This Row],[Ton-Miles]]*SecondaryTransport[[#This Row],[Cost_Per_Ton-Mile]],""),"")</f>
        <v/>
      </c>
      <c r="AS588" s="224">
        <f>IFERROR(IF(SecondaryTransport[[#This Row],[Container_Transfer]]="",(SecondaryTransport[[#This Row],[Ton-Miles]]*SecondaryTransport[[#This Row],[Cost_Per_Ton-Mile]]),""),"")</f>
        <v>18118.77384769436</v>
      </c>
    </row>
    <row r="589" spans="12:45" ht="15" x14ac:dyDescent="0.25">
      <c r="L589" s="446" t="s">
        <v>870</v>
      </c>
      <c r="M589" s="446">
        <v>3</v>
      </c>
      <c r="N589" s="446">
        <v>2</v>
      </c>
      <c r="O589" s="448" t="s">
        <v>700</v>
      </c>
      <c r="P589" s="449" t="s">
        <v>700</v>
      </c>
      <c r="Q589" s="449"/>
      <c r="R589" s="449"/>
      <c r="S589" s="449" t="s">
        <v>872</v>
      </c>
      <c r="T589" s="449" t="s">
        <v>701</v>
      </c>
      <c r="U589" s="452">
        <v>0</v>
      </c>
      <c r="V5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89" s="272" t="str">
        <f>IFERROR(SUMIFS(TransUnitCost[Miles],TransUnitCost[Grouping_ID],TransTonsShort[[#This Row],[Grouping_ID]],TransUnitCost[Transp_ID],TransTonsShort[[#This Row],[Transp_ID]])*TransTonsShort[[#This Row],[Trans_Tons_All]]/TransTonsShort[[#This Row],[Trans_Tons_All]],"")</f>
        <v/>
      </c>
      <c r="X589" s="386" t="str">
        <f>TransTonsShort[[#This Row],[Grouping_ID]]&amp;"-"&amp;TransTonsShort[[#This Row],[Sector_ID]]</f>
        <v>3-2</v>
      </c>
      <c r="Y5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89" s="421">
        <f>INDEX(LandfillFees[Disposal Tip Fee 2025],MATCH(TransTonsShort[[#This Row],[Grouping_ID]],LandfillFees[Grouping_ID],0))</f>
        <v>72.030938699729589</v>
      </c>
      <c r="AA589" s="102">
        <f>IF(OR(TransTonsShort[[#This Row],[CollectionStream_ID]]="03",TransTonsShort[[#This Row],[CollectionStream_ID]]="04",TransTonsShort[[#This Row],[CollectionStream_ID]]="13"),0,TransTonsShort[[#This Row],[Trans_Tons_All]]*TransTonsShort[[#This Row],[Disposal_Fee]])</f>
        <v>0</v>
      </c>
      <c r="AF589" s="446" t="s">
        <v>1762</v>
      </c>
      <c r="AG589" s="442" t="str">
        <f>LEFT(SecondaryTransport[[#This Row],[Scenario_MRF_Bale_ID]],2)</f>
        <v>S3</v>
      </c>
      <c r="AH589" s="181" t="str">
        <f>LEFT(RIGHT(SecondaryTransport[[#This Row],[Scenario_MRF_Bale_ID]],10),2)</f>
        <v>13</v>
      </c>
      <c r="AI589" s="181" t="str">
        <f>INDEX(MRFs[MRF_Name],MATCH(SecondaryTransport[[#This Row],[MRF_ID]],MRFs[MRF_ID],0))</f>
        <v>Directly marketed (no sorting)</v>
      </c>
      <c r="AJ589" s="181" t="str">
        <f>RIGHT(SecondaryTransport[[#This Row],[Scenario_MRF_Bale_ID]],7)</f>
        <v>4000-01</v>
      </c>
      <c r="AK589" s="181" t="str">
        <f>INDEX(Bales[Bale_Name],MATCH(SecondaryTransport[[#This Row],[Bale_ID]],Bales[Bale_ID],0))</f>
        <v>Aluminum cans and foil</v>
      </c>
      <c r="AL589" s="443">
        <f>INDEX(BaleMover[Total_Baled_tons],MATCH(SecondaryTransport[[#This Row],[Scenario_MRF_Bale_ID]],BaleMover[Scenario_MRF_Bale_ID],0))</f>
        <v>141.44241879542824</v>
      </c>
      <c r="AM589" s="443">
        <f>IF(INDEX(BaleMover[Miles],MATCH(SecondaryTransport[[#This Row],[Scenario_MRF_Bale_ID]],BaleMover[Scenario_MRF_Bale_ID],0))="",0,INDEX(BaleMover[Miles],MATCH(SecondaryTransport[[#This Row],[Scenario_MRF_Bale_ID]],BaleMover[Scenario_MRF_Bale_ID],0)))</f>
        <v>915</v>
      </c>
      <c r="AN589" s="251">
        <f>IF(SecondaryTransport[[#This Row],[Bale_ID]]="9000-01","costs elsewhere",SecondaryTransport[[#This Row],[Total_Baled_tons]]*SecondaryTransport[[#This Row],[Miles]])</f>
        <v>129419.81319781684</v>
      </c>
      <c r="AO589" s="352" t="str">
        <f>IF(LEFT(SecondaryTransport[[#This Row],[Bale_ID]],1)*1=5,IF(OR(SecondaryTransport[[#This Row],[MRF_ID]]="02",SecondaryTransport[[#This Row],[MRF_ID]]="08"),2,1),"")</f>
        <v/>
      </c>
      <c r="AP58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8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89" s="224" t="str">
        <f>IFERROR(IF(1*LEFT(SecondaryTransport[[#This Row],[Bale_ID]],1)=5,SecondaryTransport[[#This Row],[Ton-Miles]]*SecondaryTransport[[#This Row],[Cost_Per_Ton-Mile]],""),"")</f>
        <v/>
      </c>
      <c r="AS589" s="224">
        <f>IFERROR(IF(SecondaryTransport[[#This Row],[Container_Transfer]]="",(SecondaryTransport[[#This Row],[Ton-Miles]]*SecondaryTransport[[#This Row],[Cost_Per_Ton-Mile]]),""),"")</f>
        <v>18118.77384769436</v>
      </c>
    </row>
    <row r="590" spans="12:45" ht="15" x14ac:dyDescent="0.25">
      <c r="L590" s="446" t="s">
        <v>870</v>
      </c>
      <c r="M590" s="446">
        <v>4</v>
      </c>
      <c r="N590" s="446">
        <v>2</v>
      </c>
      <c r="O590" s="448" t="s">
        <v>700</v>
      </c>
      <c r="P590" s="449" t="s">
        <v>700</v>
      </c>
      <c r="Q590" s="449"/>
      <c r="R590" s="449"/>
      <c r="S590" s="449" t="s">
        <v>872</v>
      </c>
      <c r="T590" s="449" t="s">
        <v>701</v>
      </c>
      <c r="U590" s="452">
        <v>0</v>
      </c>
      <c r="V5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0" s="272" t="str">
        <f>IFERROR(SUMIFS(TransUnitCost[Miles],TransUnitCost[Grouping_ID],TransTonsShort[[#This Row],[Grouping_ID]],TransUnitCost[Transp_ID],TransTonsShort[[#This Row],[Transp_ID]])*TransTonsShort[[#This Row],[Trans_Tons_All]]/TransTonsShort[[#This Row],[Trans_Tons_All]],"")</f>
        <v/>
      </c>
      <c r="X590" s="386" t="str">
        <f>TransTonsShort[[#This Row],[Grouping_ID]]&amp;"-"&amp;TransTonsShort[[#This Row],[Sector_ID]]</f>
        <v>4-2</v>
      </c>
      <c r="Y5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0" s="421">
        <f>INDEX(LandfillFees[Disposal Tip Fee 2025],MATCH(TransTonsShort[[#This Row],[Grouping_ID]],LandfillFees[Grouping_ID],0))</f>
        <v>72.030938699729589</v>
      </c>
      <c r="AA590" s="102">
        <f>IF(OR(TransTonsShort[[#This Row],[CollectionStream_ID]]="03",TransTonsShort[[#This Row],[CollectionStream_ID]]="04",TransTonsShort[[#This Row],[CollectionStream_ID]]="13"),0,TransTonsShort[[#This Row],[Trans_Tons_All]]*TransTonsShort[[#This Row],[Disposal_Fee]])</f>
        <v>0</v>
      </c>
      <c r="AF590" s="446" t="s">
        <v>1763</v>
      </c>
      <c r="AG590" s="442" t="str">
        <f>LEFT(SecondaryTransport[[#This Row],[Scenario_MRF_Bale_ID]],2)</f>
        <v>S4</v>
      </c>
      <c r="AH590" s="181" t="str">
        <f>LEFT(RIGHT(SecondaryTransport[[#This Row],[Scenario_MRF_Bale_ID]],10),2)</f>
        <v>13</v>
      </c>
      <c r="AI590" s="181" t="str">
        <f>INDEX(MRFs[MRF_Name],MATCH(SecondaryTransport[[#This Row],[MRF_ID]],MRFs[MRF_ID],0))</f>
        <v>Directly marketed (no sorting)</v>
      </c>
      <c r="AJ590" s="181" t="str">
        <f>RIGHT(SecondaryTransport[[#This Row],[Scenario_MRF_Bale_ID]],7)</f>
        <v>4000-01</v>
      </c>
      <c r="AK590" s="181" t="str">
        <f>INDEX(Bales[Bale_Name],MATCH(SecondaryTransport[[#This Row],[Bale_ID]],Bales[Bale_ID],0))</f>
        <v>Aluminum cans and foil</v>
      </c>
      <c r="AL590" s="443">
        <f>INDEX(BaleMover[Total_Baled_tons],MATCH(SecondaryTransport[[#This Row],[Scenario_MRF_Bale_ID]],BaleMover[Scenario_MRF_Bale_ID],0))</f>
        <v>141.44241879542824</v>
      </c>
      <c r="AM590" s="443">
        <f>IF(INDEX(BaleMover[Miles],MATCH(SecondaryTransport[[#This Row],[Scenario_MRF_Bale_ID]],BaleMover[Scenario_MRF_Bale_ID],0))="",0,INDEX(BaleMover[Miles],MATCH(SecondaryTransport[[#This Row],[Scenario_MRF_Bale_ID]],BaleMover[Scenario_MRF_Bale_ID],0)))</f>
        <v>915</v>
      </c>
      <c r="AN590" s="251">
        <f>IF(SecondaryTransport[[#This Row],[Bale_ID]]="9000-01","costs elsewhere",SecondaryTransport[[#This Row],[Total_Baled_tons]]*SecondaryTransport[[#This Row],[Miles]])</f>
        <v>129419.81319781684</v>
      </c>
      <c r="AO590" s="352" t="str">
        <f>IF(LEFT(SecondaryTransport[[#This Row],[Bale_ID]],1)*1=5,IF(OR(SecondaryTransport[[#This Row],[MRF_ID]]="02",SecondaryTransport[[#This Row],[MRF_ID]]="08"),2,1),"")</f>
        <v/>
      </c>
      <c r="AP59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far</v>
      </c>
      <c r="AQ59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0.14000000000000001</v>
      </c>
      <c r="AR590" s="224" t="str">
        <f>IFERROR(IF(1*LEFT(SecondaryTransport[[#This Row],[Bale_ID]],1)=5,SecondaryTransport[[#This Row],[Ton-Miles]]*SecondaryTransport[[#This Row],[Cost_Per_Ton-Mile]],""),"")</f>
        <v/>
      </c>
      <c r="AS590" s="224">
        <f>IFERROR(IF(SecondaryTransport[[#This Row],[Container_Transfer]]="",(SecondaryTransport[[#This Row],[Ton-Miles]]*SecondaryTransport[[#This Row],[Cost_Per_Ton-Mile]]),""),"")</f>
        <v>18118.77384769436</v>
      </c>
    </row>
    <row r="591" spans="12:45" ht="15" x14ac:dyDescent="0.25">
      <c r="L591" s="446" t="s">
        <v>870</v>
      </c>
      <c r="M591" s="446">
        <v>1</v>
      </c>
      <c r="N591" s="446">
        <v>2</v>
      </c>
      <c r="O591" s="448" t="s">
        <v>700</v>
      </c>
      <c r="P591" s="449" t="s">
        <v>706</v>
      </c>
      <c r="Q591" s="449"/>
      <c r="R591" s="449"/>
      <c r="S591" s="449" t="s">
        <v>872</v>
      </c>
      <c r="T591" s="449" t="s">
        <v>1025</v>
      </c>
      <c r="U591" s="452">
        <v>0</v>
      </c>
      <c r="V5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1" s="272" t="str">
        <f>IFERROR(SUMIFS(TransUnitCost[Miles],TransUnitCost[Grouping_ID],TransTonsShort[[#This Row],[Grouping_ID]],TransUnitCost[Transp_ID],TransTonsShort[[#This Row],[Transp_ID]])*TransTonsShort[[#This Row],[Trans_Tons_All]]/TransTonsShort[[#This Row],[Trans_Tons_All]],"")</f>
        <v/>
      </c>
      <c r="X591" s="386" t="str">
        <f>TransTonsShort[[#This Row],[Grouping_ID]]&amp;"-"&amp;TransTonsShort[[#This Row],[Sector_ID]]</f>
        <v>1-2</v>
      </c>
      <c r="Y5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1" s="421">
        <f>INDEX(LandfillFees[Disposal Tip Fee 2025],MATCH(TransTonsShort[[#This Row],[Grouping_ID]],LandfillFees[Grouping_ID],0))</f>
        <v>134.68</v>
      </c>
      <c r="AA591" s="102">
        <f>IF(OR(TransTonsShort[[#This Row],[CollectionStream_ID]]="03",TransTonsShort[[#This Row],[CollectionStream_ID]]="04",TransTonsShort[[#This Row],[CollectionStream_ID]]="13"),0,TransTonsShort[[#This Row],[Trans_Tons_All]]*TransTonsShort[[#This Row],[Disposal_Fee]])</f>
        <v>0</v>
      </c>
      <c r="AF591" s="446" t="s">
        <v>1764</v>
      </c>
      <c r="AG591" s="442" t="str">
        <f>LEFT(SecondaryTransport[[#This Row],[Scenario_MRF_Bale_ID]],2)</f>
        <v>S0</v>
      </c>
      <c r="AH591" s="181" t="str">
        <f>LEFT(RIGHT(SecondaryTransport[[#This Row],[Scenario_MRF_Bale_ID]],10),2)</f>
        <v>13</v>
      </c>
      <c r="AI591" s="181" t="str">
        <f>INDEX(MRFs[MRF_Name],MATCH(SecondaryTransport[[#This Row],[MRF_ID]],MRFs[MRF_ID],0))</f>
        <v>Directly marketed (no sorting)</v>
      </c>
      <c r="AJ591" s="181" t="str">
        <f>RIGHT(SecondaryTransport[[#This Row],[Scenario_MRF_Bale_ID]],7)</f>
        <v>4000-02</v>
      </c>
      <c r="AK591" s="181" t="str">
        <f>INDEX(Bales[Bale_Name],MATCH(SecondaryTransport[[#This Row],[Bale_ID]],Bales[Bale_ID],0))</f>
        <v>Steel cans </v>
      </c>
      <c r="AL591" s="443">
        <f>INDEX(BaleMover[Total_Baled_tons],MATCH(SecondaryTransport[[#This Row],[Scenario_MRF_Bale_ID]],BaleMover[Scenario_MRF_Bale_ID],0))</f>
        <v>20435.677002269349</v>
      </c>
      <c r="AM591" s="443">
        <f>IF(INDEX(BaleMover[Miles],MATCH(SecondaryTransport[[#This Row],[Scenario_MRF_Bale_ID]],BaleMover[Scenario_MRF_Bale_ID],0))="",0,INDEX(BaleMover[Miles],MATCH(SecondaryTransport[[#This Row],[Scenario_MRF_Bale_ID]],BaleMover[Scenario_MRF_Bale_ID],0)))</f>
        <v>50</v>
      </c>
      <c r="AN591" s="251">
        <f>IF(SecondaryTransport[[#This Row],[Bale_ID]]="9000-01","costs elsewhere",SecondaryTransport[[#This Row],[Total_Baled_tons]]*SecondaryTransport[[#This Row],[Miles]])</f>
        <v>1021783.8501134674</v>
      </c>
      <c r="AO591" s="352" t="str">
        <f>IF(LEFT(SecondaryTransport[[#This Row],[Bale_ID]],1)*1=5,IF(OR(SecondaryTransport[[#This Row],[MRF_ID]]="02",SecondaryTransport[[#This Row],[MRF_ID]]="08"),2,1),"")</f>
        <v/>
      </c>
      <c r="AP59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1" s="224" t="str">
        <f>IFERROR(IF(1*LEFT(SecondaryTransport[[#This Row],[Bale_ID]],1)=5,SecondaryTransport[[#This Row],[Ton-Miles]]*SecondaryTransport[[#This Row],[Cost_Per_Ton-Mile]],""),"")</f>
        <v/>
      </c>
      <c r="AS591" s="224">
        <f>IFERROR(IF(SecondaryTransport[[#This Row],[Container_Transfer]]="",(SecondaryTransport[[#This Row],[Ton-Miles]]*SecondaryTransport[[#This Row],[Cost_Per_Ton-Mile]]),""),"")</f>
        <v>316752.99353517493</v>
      </c>
    </row>
    <row r="592" spans="12:45" ht="15" x14ac:dyDescent="0.25">
      <c r="L592" s="446" t="s">
        <v>870</v>
      </c>
      <c r="M592" s="446">
        <v>2</v>
      </c>
      <c r="N592" s="446">
        <v>2</v>
      </c>
      <c r="O592" s="448" t="s">
        <v>700</v>
      </c>
      <c r="P592" s="449" t="s">
        <v>706</v>
      </c>
      <c r="Q592" s="449"/>
      <c r="R592" s="449"/>
      <c r="S592" s="449" t="s">
        <v>872</v>
      </c>
      <c r="T592" s="449" t="s">
        <v>1025</v>
      </c>
      <c r="U592" s="452">
        <v>0</v>
      </c>
      <c r="V5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2" s="272" t="str">
        <f>IFERROR(SUMIFS(TransUnitCost[Miles],TransUnitCost[Grouping_ID],TransTonsShort[[#This Row],[Grouping_ID]],TransUnitCost[Transp_ID],TransTonsShort[[#This Row],[Transp_ID]])*TransTonsShort[[#This Row],[Trans_Tons_All]]/TransTonsShort[[#This Row],[Trans_Tons_All]],"")</f>
        <v/>
      </c>
      <c r="X592" s="386" t="str">
        <f>TransTonsShort[[#This Row],[Grouping_ID]]&amp;"-"&amp;TransTonsShort[[#This Row],[Sector_ID]]</f>
        <v>2-2</v>
      </c>
      <c r="Y5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2" s="421">
        <f>INDEX(LandfillFees[Disposal Tip Fee 2025],MATCH(TransTonsShort[[#This Row],[Grouping_ID]],LandfillFees[Grouping_ID],0))</f>
        <v>72.030938699729589</v>
      </c>
      <c r="AA592" s="102">
        <f>IF(OR(TransTonsShort[[#This Row],[CollectionStream_ID]]="03",TransTonsShort[[#This Row],[CollectionStream_ID]]="04",TransTonsShort[[#This Row],[CollectionStream_ID]]="13"),0,TransTonsShort[[#This Row],[Trans_Tons_All]]*TransTonsShort[[#This Row],[Disposal_Fee]])</f>
        <v>0</v>
      </c>
      <c r="AF592" s="446" t="s">
        <v>1765</v>
      </c>
      <c r="AG592" s="442" t="str">
        <f>LEFT(SecondaryTransport[[#This Row],[Scenario_MRF_Bale_ID]],2)</f>
        <v>S1</v>
      </c>
      <c r="AH592" s="181" t="str">
        <f>LEFT(RIGHT(SecondaryTransport[[#This Row],[Scenario_MRF_Bale_ID]],10),2)</f>
        <v>13</v>
      </c>
      <c r="AI592" s="181" t="str">
        <f>INDEX(MRFs[MRF_Name],MATCH(SecondaryTransport[[#This Row],[MRF_ID]],MRFs[MRF_ID],0))</f>
        <v>Directly marketed (no sorting)</v>
      </c>
      <c r="AJ592" s="181" t="str">
        <f>RIGHT(SecondaryTransport[[#This Row],[Scenario_MRF_Bale_ID]],7)</f>
        <v>4000-02</v>
      </c>
      <c r="AK592" s="181" t="str">
        <f>INDEX(Bales[Bale_Name],MATCH(SecondaryTransport[[#This Row],[Bale_ID]],Bales[Bale_ID],0))</f>
        <v>Steel cans </v>
      </c>
      <c r="AL592" s="443">
        <f>INDEX(BaleMover[Total_Baled_tons],MATCH(SecondaryTransport[[#This Row],[Scenario_MRF_Bale_ID]],BaleMover[Scenario_MRF_Bale_ID],0))</f>
        <v>20435.677002269349</v>
      </c>
      <c r="AM592" s="443">
        <f>IF(INDEX(BaleMover[Miles],MATCH(SecondaryTransport[[#This Row],[Scenario_MRF_Bale_ID]],BaleMover[Scenario_MRF_Bale_ID],0))="",0,INDEX(BaleMover[Miles],MATCH(SecondaryTransport[[#This Row],[Scenario_MRF_Bale_ID]],BaleMover[Scenario_MRF_Bale_ID],0)))</f>
        <v>50</v>
      </c>
      <c r="AN592" s="251">
        <f>IF(SecondaryTransport[[#This Row],[Bale_ID]]="9000-01","costs elsewhere",SecondaryTransport[[#This Row],[Total_Baled_tons]]*SecondaryTransport[[#This Row],[Miles]])</f>
        <v>1021783.8501134674</v>
      </c>
      <c r="AO592" s="352" t="str">
        <f>IF(LEFT(SecondaryTransport[[#This Row],[Bale_ID]],1)*1=5,IF(OR(SecondaryTransport[[#This Row],[MRF_ID]]="02",SecondaryTransport[[#This Row],[MRF_ID]]="08"),2,1),"")</f>
        <v/>
      </c>
      <c r="AP59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2" s="224" t="str">
        <f>IFERROR(IF(1*LEFT(SecondaryTransport[[#This Row],[Bale_ID]],1)=5,SecondaryTransport[[#This Row],[Ton-Miles]]*SecondaryTransport[[#This Row],[Cost_Per_Ton-Mile]],""),"")</f>
        <v/>
      </c>
      <c r="AS592" s="224">
        <f>IFERROR(IF(SecondaryTransport[[#This Row],[Container_Transfer]]="",(SecondaryTransport[[#This Row],[Ton-Miles]]*SecondaryTransport[[#This Row],[Cost_Per_Ton-Mile]]),""),"")</f>
        <v>316752.99353517493</v>
      </c>
    </row>
    <row r="593" spans="12:45" ht="15" x14ac:dyDescent="0.25">
      <c r="L593" s="446" t="s">
        <v>870</v>
      </c>
      <c r="M593" s="446">
        <v>3</v>
      </c>
      <c r="N593" s="446">
        <v>2</v>
      </c>
      <c r="O593" s="448" t="s">
        <v>700</v>
      </c>
      <c r="P593" s="449" t="s">
        <v>706</v>
      </c>
      <c r="Q593" s="449"/>
      <c r="R593" s="449"/>
      <c r="S593" s="449" t="s">
        <v>872</v>
      </c>
      <c r="T593" s="449" t="s">
        <v>1025</v>
      </c>
      <c r="U593" s="452">
        <v>0</v>
      </c>
      <c r="V5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3" s="272" t="str">
        <f>IFERROR(SUMIFS(TransUnitCost[Miles],TransUnitCost[Grouping_ID],TransTonsShort[[#This Row],[Grouping_ID]],TransUnitCost[Transp_ID],TransTonsShort[[#This Row],[Transp_ID]])*TransTonsShort[[#This Row],[Trans_Tons_All]]/TransTonsShort[[#This Row],[Trans_Tons_All]],"")</f>
        <v/>
      </c>
      <c r="X593" s="386" t="str">
        <f>TransTonsShort[[#This Row],[Grouping_ID]]&amp;"-"&amp;TransTonsShort[[#This Row],[Sector_ID]]</f>
        <v>3-2</v>
      </c>
      <c r="Y5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3" s="421">
        <f>INDEX(LandfillFees[Disposal Tip Fee 2025],MATCH(TransTonsShort[[#This Row],[Grouping_ID]],LandfillFees[Grouping_ID],0))</f>
        <v>72.030938699729589</v>
      </c>
      <c r="AA593" s="102">
        <f>IF(OR(TransTonsShort[[#This Row],[CollectionStream_ID]]="03",TransTonsShort[[#This Row],[CollectionStream_ID]]="04",TransTonsShort[[#This Row],[CollectionStream_ID]]="13"),0,TransTonsShort[[#This Row],[Trans_Tons_All]]*TransTonsShort[[#This Row],[Disposal_Fee]])</f>
        <v>0</v>
      </c>
      <c r="AF593" s="446" t="s">
        <v>1766</v>
      </c>
      <c r="AG593" s="442" t="str">
        <f>LEFT(SecondaryTransport[[#This Row],[Scenario_MRF_Bale_ID]],2)</f>
        <v>S2</v>
      </c>
      <c r="AH593" s="181" t="str">
        <f>LEFT(RIGHT(SecondaryTransport[[#This Row],[Scenario_MRF_Bale_ID]],10),2)</f>
        <v>13</v>
      </c>
      <c r="AI593" s="181" t="str">
        <f>INDEX(MRFs[MRF_Name],MATCH(SecondaryTransport[[#This Row],[MRF_ID]],MRFs[MRF_ID],0))</f>
        <v>Directly marketed (no sorting)</v>
      </c>
      <c r="AJ593" s="181" t="str">
        <f>RIGHT(SecondaryTransport[[#This Row],[Scenario_MRF_Bale_ID]],7)</f>
        <v>4000-02</v>
      </c>
      <c r="AK593" s="181" t="str">
        <f>INDEX(Bales[Bale_Name],MATCH(SecondaryTransport[[#This Row],[Bale_ID]],Bales[Bale_ID],0))</f>
        <v>Steel cans </v>
      </c>
      <c r="AL593" s="443">
        <f>INDEX(BaleMover[Total_Baled_tons],MATCH(SecondaryTransport[[#This Row],[Scenario_MRF_Bale_ID]],BaleMover[Scenario_MRF_Bale_ID],0))</f>
        <v>20435.677002269349</v>
      </c>
      <c r="AM593" s="443">
        <f>IF(INDEX(BaleMover[Miles],MATCH(SecondaryTransport[[#This Row],[Scenario_MRF_Bale_ID]],BaleMover[Scenario_MRF_Bale_ID],0))="",0,INDEX(BaleMover[Miles],MATCH(SecondaryTransport[[#This Row],[Scenario_MRF_Bale_ID]],BaleMover[Scenario_MRF_Bale_ID],0)))</f>
        <v>50</v>
      </c>
      <c r="AN593" s="251">
        <f>IF(SecondaryTransport[[#This Row],[Bale_ID]]="9000-01","costs elsewhere",SecondaryTransport[[#This Row],[Total_Baled_tons]]*SecondaryTransport[[#This Row],[Miles]])</f>
        <v>1021783.8501134674</v>
      </c>
      <c r="AO593" s="352" t="str">
        <f>IF(LEFT(SecondaryTransport[[#This Row],[Bale_ID]],1)*1=5,IF(OR(SecondaryTransport[[#This Row],[MRF_ID]]="02",SecondaryTransport[[#This Row],[MRF_ID]]="08"),2,1),"")</f>
        <v/>
      </c>
      <c r="AP59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3" s="224" t="str">
        <f>IFERROR(IF(1*LEFT(SecondaryTransport[[#This Row],[Bale_ID]],1)=5,SecondaryTransport[[#This Row],[Ton-Miles]]*SecondaryTransport[[#This Row],[Cost_Per_Ton-Mile]],""),"")</f>
        <v/>
      </c>
      <c r="AS593" s="224">
        <f>IFERROR(IF(SecondaryTransport[[#This Row],[Container_Transfer]]="",(SecondaryTransport[[#This Row],[Ton-Miles]]*SecondaryTransport[[#This Row],[Cost_Per_Ton-Mile]]),""),"")</f>
        <v>316752.99353517493</v>
      </c>
    </row>
    <row r="594" spans="12:45" ht="15" x14ac:dyDescent="0.25">
      <c r="L594" s="446" t="s">
        <v>870</v>
      </c>
      <c r="M594" s="446">
        <v>4</v>
      </c>
      <c r="N594" s="446">
        <v>2</v>
      </c>
      <c r="O594" s="448" t="s">
        <v>700</v>
      </c>
      <c r="P594" s="449" t="s">
        <v>706</v>
      </c>
      <c r="Q594" s="449"/>
      <c r="R594" s="449"/>
      <c r="S594" s="449" t="s">
        <v>872</v>
      </c>
      <c r="T594" s="449" t="s">
        <v>1025</v>
      </c>
      <c r="U594" s="452">
        <v>0</v>
      </c>
      <c r="V5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4" s="272" t="str">
        <f>IFERROR(SUMIFS(TransUnitCost[Miles],TransUnitCost[Grouping_ID],TransTonsShort[[#This Row],[Grouping_ID]],TransUnitCost[Transp_ID],TransTonsShort[[#This Row],[Transp_ID]])*TransTonsShort[[#This Row],[Trans_Tons_All]]/TransTonsShort[[#This Row],[Trans_Tons_All]],"")</f>
        <v/>
      </c>
      <c r="X594" s="386" t="str">
        <f>TransTonsShort[[#This Row],[Grouping_ID]]&amp;"-"&amp;TransTonsShort[[#This Row],[Sector_ID]]</f>
        <v>4-2</v>
      </c>
      <c r="Y5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4" s="421">
        <f>INDEX(LandfillFees[Disposal Tip Fee 2025],MATCH(TransTonsShort[[#This Row],[Grouping_ID]],LandfillFees[Grouping_ID],0))</f>
        <v>72.030938699729589</v>
      </c>
      <c r="AA594" s="102">
        <f>IF(OR(TransTonsShort[[#This Row],[CollectionStream_ID]]="03",TransTonsShort[[#This Row],[CollectionStream_ID]]="04",TransTonsShort[[#This Row],[CollectionStream_ID]]="13"),0,TransTonsShort[[#This Row],[Trans_Tons_All]]*TransTonsShort[[#This Row],[Disposal_Fee]])</f>
        <v>0</v>
      </c>
      <c r="AF594" s="446" t="s">
        <v>1767</v>
      </c>
      <c r="AG594" s="442" t="str">
        <f>LEFT(SecondaryTransport[[#This Row],[Scenario_MRF_Bale_ID]],2)</f>
        <v>S3</v>
      </c>
      <c r="AH594" s="181" t="str">
        <f>LEFT(RIGHT(SecondaryTransport[[#This Row],[Scenario_MRF_Bale_ID]],10),2)</f>
        <v>13</v>
      </c>
      <c r="AI594" s="181" t="str">
        <f>INDEX(MRFs[MRF_Name],MATCH(SecondaryTransport[[#This Row],[MRF_ID]],MRFs[MRF_ID],0))</f>
        <v>Directly marketed (no sorting)</v>
      </c>
      <c r="AJ594" s="181" t="str">
        <f>RIGHT(SecondaryTransport[[#This Row],[Scenario_MRF_Bale_ID]],7)</f>
        <v>4000-02</v>
      </c>
      <c r="AK594" s="181" t="str">
        <f>INDEX(Bales[Bale_Name],MATCH(SecondaryTransport[[#This Row],[Bale_ID]],Bales[Bale_ID],0))</f>
        <v>Steel cans </v>
      </c>
      <c r="AL594" s="443">
        <f>INDEX(BaleMover[Total_Baled_tons],MATCH(SecondaryTransport[[#This Row],[Scenario_MRF_Bale_ID]],BaleMover[Scenario_MRF_Bale_ID],0))</f>
        <v>20435.677002269349</v>
      </c>
      <c r="AM594" s="443">
        <f>IF(INDEX(BaleMover[Miles],MATCH(SecondaryTransport[[#This Row],[Scenario_MRF_Bale_ID]],BaleMover[Scenario_MRF_Bale_ID],0))="",0,INDEX(BaleMover[Miles],MATCH(SecondaryTransport[[#This Row],[Scenario_MRF_Bale_ID]],BaleMover[Scenario_MRF_Bale_ID],0)))</f>
        <v>50</v>
      </c>
      <c r="AN594" s="251">
        <f>IF(SecondaryTransport[[#This Row],[Bale_ID]]="9000-01","costs elsewhere",SecondaryTransport[[#This Row],[Total_Baled_tons]]*SecondaryTransport[[#This Row],[Miles]])</f>
        <v>1021783.8501134674</v>
      </c>
      <c r="AO594" s="352" t="str">
        <f>IF(LEFT(SecondaryTransport[[#This Row],[Bale_ID]],1)*1=5,IF(OR(SecondaryTransport[[#This Row],[MRF_ID]]="02",SecondaryTransport[[#This Row],[MRF_ID]]="08"),2,1),"")</f>
        <v/>
      </c>
      <c r="AP59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4" s="224" t="str">
        <f>IFERROR(IF(1*LEFT(SecondaryTransport[[#This Row],[Bale_ID]],1)=5,SecondaryTransport[[#This Row],[Ton-Miles]]*SecondaryTransport[[#This Row],[Cost_Per_Ton-Mile]],""),"")</f>
        <v/>
      </c>
      <c r="AS594" s="224">
        <f>IFERROR(IF(SecondaryTransport[[#This Row],[Container_Transfer]]="",(SecondaryTransport[[#This Row],[Ton-Miles]]*SecondaryTransport[[#This Row],[Cost_Per_Ton-Mile]]),""),"")</f>
        <v>316752.99353517493</v>
      </c>
    </row>
    <row r="595" spans="12:45" ht="15" x14ac:dyDescent="0.25">
      <c r="L595" s="446" t="s">
        <v>870</v>
      </c>
      <c r="M595" s="446">
        <v>1</v>
      </c>
      <c r="N595" s="446">
        <v>2</v>
      </c>
      <c r="O595" s="446" t="s">
        <v>748</v>
      </c>
      <c r="P595" s="449" t="s">
        <v>719</v>
      </c>
      <c r="Q595" s="449"/>
      <c r="R595" s="449"/>
      <c r="S595" s="449" t="s">
        <v>765</v>
      </c>
      <c r="T595" s="449" t="s">
        <v>1055</v>
      </c>
      <c r="U595" s="452">
        <v>0</v>
      </c>
      <c r="V5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5" s="272" t="str">
        <f>IFERROR(SUMIFS(TransUnitCost[Miles],TransUnitCost[Grouping_ID],TransTonsShort[[#This Row],[Grouping_ID]],TransUnitCost[Transp_ID],TransTonsShort[[#This Row],[Transp_ID]])*TransTonsShort[[#This Row],[Trans_Tons_All]]/TransTonsShort[[#This Row],[Trans_Tons_All]],"")</f>
        <v/>
      </c>
      <c r="X595" s="386" t="str">
        <f>TransTonsShort[[#This Row],[Grouping_ID]]&amp;"-"&amp;TransTonsShort[[#This Row],[Sector_ID]]</f>
        <v>1-2</v>
      </c>
      <c r="Y5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5" s="421">
        <f>INDEX(LandfillFees[Disposal Tip Fee 2025],MATCH(TransTonsShort[[#This Row],[Grouping_ID]],LandfillFees[Grouping_ID],0))</f>
        <v>134.68</v>
      </c>
      <c r="AA595" s="102">
        <f>IF(OR(TransTonsShort[[#This Row],[CollectionStream_ID]]="03",TransTonsShort[[#This Row],[CollectionStream_ID]]="04",TransTonsShort[[#This Row],[CollectionStream_ID]]="13"),0,TransTonsShort[[#This Row],[Trans_Tons_All]]*TransTonsShort[[#This Row],[Disposal_Fee]])</f>
        <v>0</v>
      </c>
      <c r="AF595" s="446" t="s">
        <v>1768</v>
      </c>
      <c r="AG595" s="442" t="str">
        <f>LEFT(SecondaryTransport[[#This Row],[Scenario_MRF_Bale_ID]],2)</f>
        <v>S4</v>
      </c>
      <c r="AH595" s="181" t="str">
        <f>LEFT(RIGHT(SecondaryTransport[[#This Row],[Scenario_MRF_Bale_ID]],10),2)</f>
        <v>13</v>
      </c>
      <c r="AI595" s="181" t="str">
        <f>INDEX(MRFs[MRF_Name],MATCH(SecondaryTransport[[#This Row],[MRF_ID]],MRFs[MRF_ID],0))</f>
        <v>Directly marketed (no sorting)</v>
      </c>
      <c r="AJ595" s="181" t="str">
        <f>RIGHT(SecondaryTransport[[#This Row],[Scenario_MRF_Bale_ID]],7)</f>
        <v>4000-02</v>
      </c>
      <c r="AK595" s="181" t="str">
        <f>INDEX(Bales[Bale_Name],MATCH(SecondaryTransport[[#This Row],[Bale_ID]],Bales[Bale_ID],0))</f>
        <v>Steel cans </v>
      </c>
      <c r="AL595" s="443">
        <f>INDEX(BaleMover[Total_Baled_tons],MATCH(SecondaryTransport[[#This Row],[Scenario_MRF_Bale_ID]],BaleMover[Scenario_MRF_Bale_ID],0))</f>
        <v>20435.677002269349</v>
      </c>
      <c r="AM595" s="443">
        <f>IF(INDEX(BaleMover[Miles],MATCH(SecondaryTransport[[#This Row],[Scenario_MRF_Bale_ID]],BaleMover[Scenario_MRF_Bale_ID],0))="",0,INDEX(BaleMover[Miles],MATCH(SecondaryTransport[[#This Row],[Scenario_MRF_Bale_ID]],BaleMover[Scenario_MRF_Bale_ID],0)))</f>
        <v>50</v>
      </c>
      <c r="AN595" s="251">
        <f>IF(SecondaryTransport[[#This Row],[Bale_ID]]="9000-01","costs elsewhere",SecondaryTransport[[#This Row],[Total_Baled_tons]]*SecondaryTransport[[#This Row],[Miles]])</f>
        <v>1021783.8501134674</v>
      </c>
      <c r="AO595" s="352" t="str">
        <f>IF(LEFT(SecondaryTransport[[#This Row],[Bale_ID]],1)*1=5,IF(OR(SecondaryTransport[[#This Row],[MRF_ID]]="02",SecondaryTransport[[#This Row],[MRF_ID]]="08"),2,1),"")</f>
        <v/>
      </c>
      <c r="AP59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5" s="224" t="str">
        <f>IFERROR(IF(1*LEFT(SecondaryTransport[[#This Row],[Bale_ID]],1)=5,SecondaryTransport[[#This Row],[Ton-Miles]]*SecondaryTransport[[#This Row],[Cost_Per_Ton-Mile]],""),"")</f>
        <v/>
      </c>
      <c r="AS595" s="224">
        <f>IFERROR(IF(SecondaryTransport[[#This Row],[Container_Transfer]]="",(SecondaryTransport[[#This Row],[Ton-Miles]]*SecondaryTransport[[#This Row],[Cost_Per_Ton-Mile]]),""),"")</f>
        <v>316752.99353517493</v>
      </c>
    </row>
    <row r="596" spans="12:45" ht="15" x14ac:dyDescent="0.25">
      <c r="L596" s="446" t="s">
        <v>870</v>
      </c>
      <c r="M596" s="446">
        <v>2</v>
      </c>
      <c r="N596" s="446">
        <v>2</v>
      </c>
      <c r="O596" s="446" t="s">
        <v>748</v>
      </c>
      <c r="P596" s="449" t="s">
        <v>719</v>
      </c>
      <c r="Q596" s="449"/>
      <c r="R596" s="449"/>
      <c r="S596" s="449" t="s">
        <v>765</v>
      </c>
      <c r="T596" s="449" t="s">
        <v>1055</v>
      </c>
      <c r="U596" s="452">
        <v>0</v>
      </c>
      <c r="V5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6" s="272" t="str">
        <f>IFERROR(SUMIFS(TransUnitCost[Miles],TransUnitCost[Grouping_ID],TransTonsShort[[#This Row],[Grouping_ID]],TransUnitCost[Transp_ID],TransTonsShort[[#This Row],[Transp_ID]])*TransTonsShort[[#This Row],[Trans_Tons_All]]/TransTonsShort[[#This Row],[Trans_Tons_All]],"")</f>
        <v/>
      </c>
      <c r="X596" s="386" t="str">
        <f>TransTonsShort[[#This Row],[Grouping_ID]]&amp;"-"&amp;TransTonsShort[[#This Row],[Sector_ID]]</f>
        <v>2-2</v>
      </c>
      <c r="Y5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6" s="421">
        <f>INDEX(LandfillFees[Disposal Tip Fee 2025],MATCH(TransTonsShort[[#This Row],[Grouping_ID]],LandfillFees[Grouping_ID],0))</f>
        <v>72.030938699729589</v>
      </c>
      <c r="AA596" s="102">
        <f>IF(OR(TransTonsShort[[#This Row],[CollectionStream_ID]]="03",TransTonsShort[[#This Row],[CollectionStream_ID]]="04",TransTonsShort[[#This Row],[CollectionStream_ID]]="13"),0,TransTonsShort[[#This Row],[Trans_Tons_All]]*TransTonsShort[[#This Row],[Disposal_Fee]])</f>
        <v>0</v>
      </c>
      <c r="AF596" s="446" t="s">
        <v>1769</v>
      </c>
      <c r="AG596" s="442" t="str">
        <f>LEFT(SecondaryTransport[[#This Row],[Scenario_MRF_Bale_ID]],2)</f>
        <v>S0</v>
      </c>
      <c r="AH596" s="181" t="str">
        <f>LEFT(RIGHT(SecondaryTransport[[#This Row],[Scenario_MRF_Bale_ID]],10),2)</f>
        <v>13</v>
      </c>
      <c r="AI596" s="181" t="str">
        <f>INDEX(MRFs[MRF_Name],MATCH(SecondaryTransport[[#This Row],[MRF_ID]],MRFs[MRF_ID],0))</f>
        <v>Directly marketed (no sorting)</v>
      </c>
      <c r="AJ596" s="181" t="str">
        <f>RIGHT(SecondaryTransport[[#This Row],[Scenario_MRF_Bale_ID]],7)</f>
        <v>4000-03</v>
      </c>
      <c r="AK596" s="181" t="str">
        <f>INDEX(Bales[Bale_Name],MATCH(SecondaryTransport[[#This Row],[Bale_ID]],Bales[Bale_ID],0))</f>
        <v>Scrap metal</v>
      </c>
      <c r="AL596" s="443">
        <f>INDEX(BaleMover[Total_Baled_tons],MATCH(SecondaryTransport[[#This Row],[Scenario_MRF_Bale_ID]],BaleMover[Scenario_MRF_Bale_ID],0))</f>
        <v>24050.323138516822</v>
      </c>
      <c r="AM596" s="443">
        <f>IF(INDEX(BaleMover[Miles],MATCH(SecondaryTransport[[#This Row],[Scenario_MRF_Bale_ID]],BaleMover[Scenario_MRF_Bale_ID],0))="",0,INDEX(BaleMover[Miles],MATCH(SecondaryTransport[[#This Row],[Scenario_MRF_Bale_ID]],BaleMover[Scenario_MRF_Bale_ID],0)))</f>
        <v>25</v>
      </c>
      <c r="AN596" s="251">
        <f>IF(SecondaryTransport[[#This Row],[Bale_ID]]="9000-01","costs elsewhere",SecondaryTransport[[#This Row],[Total_Baled_tons]]*SecondaryTransport[[#This Row],[Miles]])</f>
        <v>601258.0784629205</v>
      </c>
      <c r="AO596" s="352" t="str">
        <f>IF(LEFT(SecondaryTransport[[#This Row],[Bale_ID]],1)*1=5,IF(OR(SecondaryTransport[[#This Row],[MRF_ID]]="02",SecondaryTransport[[#This Row],[MRF_ID]]="08"),2,1),"")</f>
        <v/>
      </c>
      <c r="AP59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6" s="224" t="str">
        <f>IFERROR(IF(1*LEFT(SecondaryTransport[[#This Row],[Bale_ID]],1)=5,SecondaryTransport[[#This Row],[Ton-Miles]]*SecondaryTransport[[#This Row],[Cost_Per_Ton-Mile]],""),"")</f>
        <v/>
      </c>
      <c r="AS596" s="224">
        <f>IFERROR(IF(SecondaryTransport[[#This Row],[Container_Transfer]]="",(SecondaryTransport[[#This Row],[Ton-Miles]]*SecondaryTransport[[#This Row],[Cost_Per_Ton-Mile]]),""),"")</f>
        <v>186390.00432350536</v>
      </c>
    </row>
    <row r="597" spans="12:45" ht="15" x14ac:dyDescent="0.25">
      <c r="L597" s="446" t="s">
        <v>870</v>
      </c>
      <c r="M597" s="446">
        <v>3</v>
      </c>
      <c r="N597" s="446">
        <v>2</v>
      </c>
      <c r="O597" s="446" t="s">
        <v>748</v>
      </c>
      <c r="P597" s="449" t="s">
        <v>719</v>
      </c>
      <c r="Q597" s="449"/>
      <c r="R597" s="449"/>
      <c r="S597" s="449" t="s">
        <v>765</v>
      </c>
      <c r="T597" s="449" t="s">
        <v>1055</v>
      </c>
      <c r="U597" s="452">
        <v>0</v>
      </c>
      <c r="V5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7" s="272" t="str">
        <f>IFERROR(SUMIFS(TransUnitCost[Miles],TransUnitCost[Grouping_ID],TransTonsShort[[#This Row],[Grouping_ID]],TransUnitCost[Transp_ID],TransTonsShort[[#This Row],[Transp_ID]])*TransTonsShort[[#This Row],[Trans_Tons_All]]/TransTonsShort[[#This Row],[Trans_Tons_All]],"")</f>
        <v/>
      </c>
      <c r="X597" s="386" t="str">
        <f>TransTonsShort[[#This Row],[Grouping_ID]]&amp;"-"&amp;TransTonsShort[[#This Row],[Sector_ID]]</f>
        <v>3-2</v>
      </c>
      <c r="Y5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7" s="421">
        <f>INDEX(LandfillFees[Disposal Tip Fee 2025],MATCH(TransTonsShort[[#This Row],[Grouping_ID]],LandfillFees[Grouping_ID],0))</f>
        <v>72.030938699729589</v>
      </c>
      <c r="AA597" s="102">
        <f>IF(OR(TransTonsShort[[#This Row],[CollectionStream_ID]]="03",TransTonsShort[[#This Row],[CollectionStream_ID]]="04",TransTonsShort[[#This Row],[CollectionStream_ID]]="13"),0,TransTonsShort[[#This Row],[Trans_Tons_All]]*TransTonsShort[[#This Row],[Disposal_Fee]])</f>
        <v>0</v>
      </c>
      <c r="AF597" s="446" t="s">
        <v>1770</v>
      </c>
      <c r="AG597" s="442" t="str">
        <f>LEFT(SecondaryTransport[[#This Row],[Scenario_MRF_Bale_ID]],2)</f>
        <v>S1</v>
      </c>
      <c r="AH597" s="181" t="str">
        <f>LEFT(RIGHT(SecondaryTransport[[#This Row],[Scenario_MRF_Bale_ID]],10),2)</f>
        <v>13</v>
      </c>
      <c r="AI597" s="181" t="str">
        <f>INDEX(MRFs[MRF_Name],MATCH(SecondaryTransport[[#This Row],[MRF_ID]],MRFs[MRF_ID],0))</f>
        <v>Directly marketed (no sorting)</v>
      </c>
      <c r="AJ597" s="181" t="str">
        <f>RIGHT(SecondaryTransport[[#This Row],[Scenario_MRF_Bale_ID]],7)</f>
        <v>4000-03</v>
      </c>
      <c r="AK597" s="181" t="str">
        <f>INDEX(Bales[Bale_Name],MATCH(SecondaryTransport[[#This Row],[Bale_ID]],Bales[Bale_ID],0))</f>
        <v>Scrap metal</v>
      </c>
      <c r="AL597" s="443">
        <f>INDEX(BaleMover[Total_Baled_tons],MATCH(SecondaryTransport[[#This Row],[Scenario_MRF_Bale_ID]],BaleMover[Scenario_MRF_Bale_ID],0))</f>
        <v>24050.323138516822</v>
      </c>
      <c r="AM597" s="443">
        <f>IF(INDEX(BaleMover[Miles],MATCH(SecondaryTransport[[#This Row],[Scenario_MRF_Bale_ID]],BaleMover[Scenario_MRF_Bale_ID],0))="",0,INDEX(BaleMover[Miles],MATCH(SecondaryTransport[[#This Row],[Scenario_MRF_Bale_ID]],BaleMover[Scenario_MRF_Bale_ID],0)))</f>
        <v>25</v>
      </c>
      <c r="AN597" s="251">
        <f>IF(SecondaryTransport[[#This Row],[Bale_ID]]="9000-01","costs elsewhere",SecondaryTransport[[#This Row],[Total_Baled_tons]]*SecondaryTransport[[#This Row],[Miles]])</f>
        <v>601258.0784629205</v>
      </c>
      <c r="AO597" s="352" t="str">
        <f>IF(LEFT(SecondaryTransport[[#This Row],[Bale_ID]],1)*1=5,IF(OR(SecondaryTransport[[#This Row],[MRF_ID]]="02",SecondaryTransport[[#This Row],[MRF_ID]]="08"),2,1),"")</f>
        <v/>
      </c>
      <c r="AP59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7" s="224" t="str">
        <f>IFERROR(IF(1*LEFT(SecondaryTransport[[#This Row],[Bale_ID]],1)=5,SecondaryTransport[[#This Row],[Ton-Miles]]*SecondaryTransport[[#This Row],[Cost_Per_Ton-Mile]],""),"")</f>
        <v/>
      </c>
      <c r="AS597" s="224">
        <f>IFERROR(IF(SecondaryTransport[[#This Row],[Container_Transfer]]="",(SecondaryTransport[[#This Row],[Ton-Miles]]*SecondaryTransport[[#This Row],[Cost_Per_Ton-Mile]]),""),"")</f>
        <v>186390.00432350536</v>
      </c>
    </row>
    <row r="598" spans="12:45" ht="15" x14ac:dyDescent="0.25">
      <c r="L598" s="446" t="s">
        <v>870</v>
      </c>
      <c r="M598" s="446">
        <v>4</v>
      </c>
      <c r="N598" s="446">
        <v>2</v>
      </c>
      <c r="O598" s="446" t="s">
        <v>748</v>
      </c>
      <c r="P598" s="449" t="s">
        <v>719</v>
      </c>
      <c r="Q598" s="449"/>
      <c r="R598" s="449"/>
      <c r="S598" s="449" t="s">
        <v>765</v>
      </c>
      <c r="T598" s="449" t="s">
        <v>1055</v>
      </c>
      <c r="U598" s="452">
        <v>0</v>
      </c>
      <c r="V5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8" s="272" t="str">
        <f>IFERROR(SUMIFS(TransUnitCost[Miles],TransUnitCost[Grouping_ID],TransTonsShort[[#This Row],[Grouping_ID]],TransUnitCost[Transp_ID],TransTonsShort[[#This Row],[Transp_ID]])*TransTonsShort[[#This Row],[Trans_Tons_All]]/TransTonsShort[[#This Row],[Trans_Tons_All]],"")</f>
        <v/>
      </c>
      <c r="X598" s="386" t="str">
        <f>TransTonsShort[[#This Row],[Grouping_ID]]&amp;"-"&amp;TransTonsShort[[#This Row],[Sector_ID]]</f>
        <v>4-2</v>
      </c>
      <c r="Y5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8" s="421">
        <f>INDEX(LandfillFees[Disposal Tip Fee 2025],MATCH(TransTonsShort[[#This Row],[Grouping_ID]],LandfillFees[Grouping_ID],0))</f>
        <v>72.030938699729589</v>
      </c>
      <c r="AA598" s="102">
        <f>IF(OR(TransTonsShort[[#This Row],[CollectionStream_ID]]="03",TransTonsShort[[#This Row],[CollectionStream_ID]]="04",TransTonsShort[[#This Row],[CollectionStream_ID]]="13"),0,TransTonsShort[[#This Row],[Trans_Tons_All]]*TransTonsShort[[#This Row],[Disposal_Fee]])</f>
        <v>0</v>
      </c>
      <c r="AF598" s="446" t="s">
        <v>1771</v>
      </c>
      <c r="AG598" s="442" t="str">
        <f>LEFT(SecondaryTransport[[#This Row],[Scenario_MRF_Bale_ID]],2)</f>
        <v>S2</v>
      </c>
      <c r="AH598" s="181" t="str">
        <f>LEFT(RIGHT(SecondaryTransport[[#This Row],[Scenario_MRF_Bale_ID]],10),2)</f>
        <v>13</v>
      </c>
      <c r="AI598" s="181" t="str">
        <f>INDEX(MRFs[MRF_Name],MATCH(SecondaryTransport[[#This Row],[MRF_ID]],MRFs[MRF_ID],0))</f>
        <v>Directly marketed (no sorting)</v>
      </c>
      <c r="AJ598" s="181" t="str">
        <f>RIGHT(SecondaryTransport[[#This Row],[Scenario_MRF_Bale_ID]],7)</f>
        <v>4000-03</v>
      </c>
      <c r="AK598" s="181" t="str">
        <f>INDEX(Bales[Bale_Name],MATCH(SecondaryTransport[[#This Row],[Bale_ID]],Bales[Bale_ID],0))</f>
        <v>Scrap metal</v>
      </c>
      <c r="AL598" s="443">
        <f>INDEX(BaleMover[Total_Baled_tons],MATCH(SecondaryTransport[[#This Row],[Scenario_MRF_Bale_ID]],BaleMover[Scenario_MRF_Bale_ID],0))</f>
        <v>24050.323138516822</v>
      </c>
      <c r="AM598" s="443">
        <f>IF(INDEX(BaleMover[Miles],MATCH(SecondaryTransport[[#This Row],[Scenario_MRF_Bale_ID]],BaleMover[Scenario_MRF_Bale_ID],0))="",0,INDEX(BaleMover[Miles],MATCH(SecondaryTransport[[#This Row],[Scenario_MRF_Bale_ID]],BaleMover[Scenario_MRF_Bale_ID],0)))</f>
        <v>25</v>
      </c>
      <c r="AN598" s="251">
        <f>IF(SecondaryTransport[[#This Row],[Bale_ID]]="9000-01","costs elsewhere",SecondaryTransport[[#This Row],[Total_Baled_tons]]*SecondaryTransport[[#This Row],[Miles]])</f>
        <v>601258.0784629205</v>
      </c>
      <c r="AO598" s="352" t="str">
        <f>IF(LEFT(SecondaryTransport[[#This Row],[Bale_ID]],1)*1=5,IF(OR(SecondaryTransport[[#This Row],[MRF_ID]]="02",SecondaryTransport[[#This Row],[MRF_ID]]="08"),2,1),"")</f>
        <v/>
      </c>
      <c r="AP59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8" s="224" t="str">
        <f>IFERROR(IF(1*LEFT(SecondaryTransport[[#This Row],[Bale_ID]],1)=5,SecondaryTransport[[#This Row],[Ton-Miles]]*SecondaryTransport[[#This Row],[Cost_Per_Ton-Mile]],""),"")</f>
        <v/>
      </c>
      <c r="AS598" s="224">
        <f>IFERROR(IF(SecondaryTransport[[#This Row],[Container_Transfer]]="",(SecondaryTransport[[#This Row],[Ton-Miles]]*SecondaryTransport[[#This Row],[Cost_Per_Ton-Mile]]),""),"")</f>
        <v>186390.00432350536</v>
      </c>
    </row>
    <row r="599" spans="12:45" ht="15" x14ac:dyDescent="0.25">
      <c r="L599" s="446" t="s">
        <v>870</v>
      </c>
      <c r="M599" s="446">
        <v>1</v>
      </c>
      <c r="N599" s="446">
        <v>2</v>
      </c>
      <c r="O599" s="446" t="s">
        <v>748</v>
      </c>
      <c r="P599" s="449" t="s">
        <v>700</v>
      </c>
      <c r="Q599" s="449"/>
      <c r="R599" s="449"/>
      <c r="S599" s="449" t="s">
        <v>765</v>
      </c>
      <c r="T599" s="449" t="s">
        <v>701</v>
      </c>
      <c r="U599" s="452">
        <v>2946.122273964028</v>
      </c>
      <c r="V5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599" s="272">
        <f>IFERROR(SUMIFS(TransUnitCost[Miles],TransUnitCost[Grouping_ID],TransTonsShort[[#This Row],[Grouping_ID]],TransUnitCost[Transp_ID],TransTonsShort[[#This Row],[Transp_ID]])*TransTonsShort[[#This Row],[Trans_Tons_All]]/TransTonsShort[[#This Row],[Trans_Tons_All]],"")</f>
        <v>0</v>
      </c>
      <c r="X599" s="386" t="str">
        <f>TransTonsShort[[#This Row],[Grouping_ID]]&amp;"-"&amp;TransTonsShort[[#This Row],[Sector_ID]]</f>
        <v>1-2</v>
      </c>
      <c r="Y5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599" s="421">
        <f>INDEX(LandfillFees[Disposal Tip Fee 2025],MATCH(TransTonsShort[[#This Row],[Grouping_ID]],LandfillFees[Grouping_ID],0))</f>
        <v>134.68</v>
      </c>
      <c r="AA599" s="102">
        <f>IF(OR(TransTonsShort[[#This Row],[CollectionStream_ID]]="03",TransTonsShort[[#This Row],[CollectionStream_ID]]="04",TransTonsShort[[#This Row],[CollectionStream_ID]]="13"),0,TransTonsShort[[#This Row],[Trans_Tons_All]]*TransTonsShort[[#This Row],[Disposal_Fee]])</f>
        <v>396783.7478574753</v>
      </c>
      <c r="AF599" s="446" t="s">
        <v>1772</v>
      </c>
      <c r="AG599" s="442" t="str">
        <f>LEFT(SecondaryTransport[[#This Row],[Scenario_MRF_Bale_ID]],2)</f>
        <v>S3</v>
      </c>
      <c r="AH599" s="181" t="str">
        <f>LEFT(RIGHT(SecondaryTransport[[#This Row],[Scenario_MRF_Bale_ID]],10),2)</f>
        <v>13</v>
      </c>
      <c r="AI599" s="181" t="str">
        <f>INDEX(MRFs[MRF_Name],MATCH(SecondaryTransport[[#This Row],[MRF_ID]],MRFs[MRF_ID],0))</f>
        <v>Directly marketed (no sorting)</v>
      </c>
      <c r="AJ599" s="181" t="str">
        <f>RIGHT(SecondaryTransport[[#This Row],[Scenario_MRF_Bale_ID]],7)</f>
        <v>4000-03</v>
      </c>
      <c r="AK599" s="181" t="str">
        <f>INDEX(Bales[Bale_Name],MATCH(SecondaryTransport[[#This Row],[Bale_ID]],Bales[Bale_ID],0))</f>
        <v>Scrap metal</v>
      </c>
      <c r="AL599" s="443">
        <f>INDEX(BaleMover[Total_Baled_tons],MATCH(SecondaryTransport[[#This Row],[Scenario_MRF_Bale_ID]],BaleMover[Scenario_MRF_Bale_ID],0))</f>
        <v>24050.323138516822</v>
      </c>
      <c r="AM599" s="443">
        <f>IF(INDEX(BaleMover[Miles],MATCH(SecondaryTransport[[#This Row],[Scenario_MRF_Bale_ID]],BaleMover[Scenario_MRF_Bale_ID],0))="",0,INDEX(BaleMover[Miles],MATCH(SecondaryTransport[[#This Row],[Scenario_MRF_Bale_ID]],BaleMover[Scenario_MRF_Bale_ID],0)))</f>
        <v>25</v>
      </c>
      <c r="AN599" s="251">
        <f>IF(SecondaryTransport[[#This Row],[Bale_ID]]="9000-01","costs elsewhere",SecondaryTransport[[#This Row],[Total_Baled_tons]]*SecondaryTransport[[#This Row],[Miles]])</f>
        <v>601258.0784629205</v>
      </c>
      <c r="AO599" s="352" t="str">
        <f>IF(LEFT(SecondaryTransport[[#This Row],[Bale_ID]],1)*1=5,IF(OR(SecondaryTransport[[#This Row],[MRF_ID]]="02",SecondaryTransport[[#This Row],[MRF_ID]]="08"),2,1),"")</f>
        <v/>
      </c>
      <c r="AP59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59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599" s="224" t="str">
        <f>IFERROR(IF(1*LEFT(SecondaryTransport[[#This Row],[Bale_ID]],1)=5,SecondaryTransport[[#This Row],[Ton-Miles]]*SecondaryTransport[[#This Row],[Cost_Per_Ton-Mile]],""),"")</f>
        <v/>
      </c>
      <c r="AS599" s="224">
        <f>IFERROR(IF(SecondaryTransport[[#This Row],[Container_Transfer]]="",(SecondaryTransport[[#This Row],[Ton-Miles]]*SecondaryTransport[[#This Row],[Cost_Per_Ton-Mile]]),""),"")</f>
        <v>186390.00432350536</v>
      </c>
    </row>
    <row r="600" spans="12:45" ht="15" x14ac:dyDescent="0.25">
      <c r="L600" s="446" t="s">
        <v>870</v>
      </c>
      <c r="M600" s="446">
        <v>2</v>
      </c>
      <c r="N600" s="446">
        <v>2</v>
      </c>
      <c r="O600" s="446" t="s">
        <v>748</v>
      </c>
      <c r="P600" s="449" t="s">
        <v>700</v>
      </c>
      <c r="Q600" s="449"/>
      <c r="R600" s="449"/>
      <c r="S600" s="449" t="s">
        <v>765</v>
      </c>
      <c r="T600" s="449" t="s">
        <v>701</v>
      </c>
      <c r="U600" s="452">
        <v>0</v>
      </c>
      <c r="V6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0" s="272" t="str">
        <f>IFERROR(SUMIFS(TransUnitCost[Miles],TransUnitCost[Grouping_ID],TransTonsShort[[#This Row],[Grouping_ID]],TransUnitCost[Transp_ID],TransTonsShort[[#This Row],[Transp_ID]])*TransTonsShort[[#This Row],[Trans_Tons_All]]/TransTonsShort[[#This Row],[Trans_Tons_All]],"")</f>
        <v/>
      </c>
      <c r="X600" s="386" t="str">
        <f>TransTonsShort[[#This Row],[Grouping_ID]]&amp;"-"&amp;TransTonsShort[[#This Row],[Sector_ID]]</f>
        <v>2-2</v>
      </c>
      <c r="Y6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0" s="421">
        <f>INDEX(LandfillFees[Disposal Tip Fee 2025],MATCH(TransTonsShort[[#This Row],[Grouping_ID]],LandfillFees[Grouping_ID],0))</f>
        <v>72.030938699729589</v>
      </c>
      <c r="AA600" s="102">
        <f>IF(OR(TransTonsShort[[#This Row],[CollectionStream_ID]]="03",TransTonsShort[[#This Row],[CollectionStream_ID]]="04",TransTonsShort[[#This Row],[CollectionStream_ID]]="13"),0,TransTonsShort[[#This Row],[Trans_Tons_All]]*TransTonsShort[[#This Row],[Disposal_Fee]])</f>
        <v>0</v>
      </c>
      <c r="AF600" s="446" t="s">
        <v>1773</v>
      </c>
      <c r="AG600" s="442" t="str">
        <f>LEFT(SecondaryTransport[[#This Row],[Scenario_MRF_Bale_ID]],2)</f>
        <v>S4</v>
      </c>
      <c r="AH600" s="181" t="str">
        <f>LEFT(RIGHT(SecondaryTransport[[#This Row],[Scenario_MRF_Bale_ID]],10),2)</f>
        <v>13</v>
      </c>
      <c r="AI600" s="181" t="str">
        <f>INDEX(MRFs[MRF_Name],MATCH(SecondaryTransport[[#This Row],[MRF_ID]],MRFs[MRF_ID],0))</f>
        <v>Directly marketed (no sorting)</v>
      </c>
      <c r="AJ600" s="181" t="str">
        <f>RIGHT(SecondaryTransport[[#This Row],[Scenario_MRF_Bale_ID]],7)</f>
        <v>4000-03</v>
      </c>
      <c r="AK600" s="181" t="str">
        <f>INDEX(Bales[Bale_Name],MATCH(SecondaryTransport[[#This Row],[Bale_ID]],Bales[Bale_ID],0))</f>
        <v>Scrap metal</v>
      </c>
      <c r="AL600" s="443">
        <f>INDEX(BaleMover[Total_Baled_tons],MATCH(SecondaryTransport[[#This Row],[Scenario_MRF_Bale_ID]],BaleMover[Scenario_MRF_Bale_ID],0))</f>
        <v>24050.323138516822</v>
      </c>
      <c r="AM600" s="443">
        <f>IF(INDEX(BaleMover[Miles],MATCH(SecondaryTransport[[#This Row],[Scenario_MRF_Bale_ID]],BaleMover[Scenario_MRF_Bale_ID],0))="",0,INDEX(BaleMover[Miles],MATCH(SecondaryTransport[[#This Row],[Scenario_MRF_Bale_ID]],BaleMover[Scenario_MRF_Bale_ID],0)))</f>
        <v>25</v>
      </c>
      <c r="AN600" s="251">
        <f>IF(SecondaryTransport[[#This Row],[Bale_ID]]="9000-01","costs elsewhere",SecondaryTransport[[#This Row],[Total_Baled_tons]]*SecondaryTransport[[#This Row],[Miles]])</f>
        <v>601258.0784629205</v>
      </c>
      <c r="AO600" s="352" t="str">
        <f>IF(LEFT(SecondaryTransport[[#This Row],[Bale_ID]],1)*1=5,IF(OR(SecondaryTransport[[#This Row],[MRF_ID]]="02",SecondaryTransport[[#This Row],[MRF_ID]]="08"),2,1),"")</f>
        <v/>
      </c>
      <c r="AP60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Bales - near</v>
      </c>
      <c r="AQ60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0.31</v>
      </c>
      <c r="AR600" s="224" t="str">
        <f>IFERROR(IF(1*LEFT(SecondaryTransport[[#This Row],[Bale_ID]],1)=5,SecondaryTransport[[#This Row],[Ton-Miles]]*SecondaryTransport[[#This Row],[Cost_Per_Ton-Mile]],""),"")</f>
        <v/>
      </c>
      <c r="AS600" s="224">
        <f>IFERROR(IF(SecondaryTransport[[#This Row],[Container_Transfer]]="",(SecondaryTransport[[#This Row],[Ton-Miles]]*SecondaryTransport[[#This Row],[Cost_Per_Ton-Mile]]),""),"")</f>
        <v>186390.00432350536</v>
      </c>
    </row>
    <row r="601" spans="12:45" ht="15" x14ac:dyDescent="0.25">
      <c r="L601" s="446" t="s">
        <v>870</v>
      </c>
      <c r="M601" s="446">
        <v>3</v>
      </c>
      <c r="N601" s="446">
        <v>2</v>
      </c>
      <c r="O601" s="446" t="s">
        <v>748</v>
      </c>
      <c r="P601" s="449" t="s">
        <v>700</v>
      </c>
      <c r="Q601" s="449"/>
      <c r="R601" s="449"/>
      <c r="S601" s="449" t="s">
        <v>765</v>
      </c>
      <c r="T601" s="449" t="s">
        <v>701</v>
      </c>
      <c r="U601" s="452">
        <v>0</v>
      </c>
      <c r="V6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1" s="272" t="str">
        <f>IFERROR(SUMIFS(TransUnitCost[Miles],TransUnitCost[Grouping_ID],TransTonsShort[[#This Row],[Grouping_ID]],TransUnitCost[Transp_ID],TransTonsShort[[#This Row],[Transp_ID]])*TransTonsShort[[#This Row],[Trans_Tons_All]]/TransTonsShort[[#This Row],[Trans_Tons_All]],"")</f>
        <v/>
      </c>
      <c r="X601" s="386" t="str">
        <f>TransTonsShort[[#This Row],[Grouping_ID]]&amp;"-"&amp;TransTonsShort[[#This Row],[Sector_ID]]</f>
        <v>3-2</v>
      </c>
      <c r="Y6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1" s="421">
        <f>INDEX(LandfillFees[Disposal Tip Fee 2025],MATCH(TransTonsShort[[#This Row],[Grouping_ID]],LandfillFees[Grouping_ID],0))</f>
        <v>72.030938699729589</v>
      </c>
      <c r="AA601" s="102">
        <f>IF(OR(TransTonsShort[[#This Row],[CollectionStream_ID]]="03",TransTonsShort[[#This Row],[CollectionStream_ID]]="04",TransTonsShort[[#This Row],[CollectionStream_ID]]="13"),0,TransTonsShort[[#This Row],[Trans_Tons_All]]*TransTonsShort[[#This Row],[Disposal_Fee]])</f>
        <v>0</v>
      </c>
      <c r="AF601" s="446" t="s">
        <v>1774</v>
      </c>
      <c r="AG601" s="442" t="str">
        <f>LEFT(SecondaryTransport[[#This Row],[Scenario_MRF_Bale_ID]],2)</f>
        <v>S0</v>
      </c>
      <c r="AH601" s="181" t="str">
        <f>LEFT(RIGHT(SecondaryTransport[[#This Row],[Scenario_MRF_Bale_ID]],10),2)</f>
        <v>14</v>
      </c>
      <c r="AI601" s="181" t="str">
        <f>INDEX(MRFs[MRF_Name],MATCH(SecondaryTransport[[#This Row],[MRF_ID]],MRFs[MRF_ID],0))</f>
        <v>Glass 2 Glass (Portland)</v>
      </c>
      <c r="AJ601" s="181" t="str">
        <f>RIGHT(SecondaryTransport[[#This Row],[Scenario_MRF_Bale_ID]],7)</f>
        <v>3000-01</v>
      </c>
      <c r="AK601" s="181" t="str">
        <f>INDEX(Bales[Bale_Name],MATCH(SecondaryTransport[[#This Row],[Bale_ID]],Bales[Bale_ID],0))</f>
        <v>Container glass </v>
      </c>
      <c r="AL601" s="443">
        <f>INDEX(BaleMover[Total_Baled_tons],MATCH(SecondaryTransport[[#This Row],[Scenario_MRF_Bale_ID]],BaleMover[Scenario_MRF_Bale_ID],0))</f>
        <v>58420.519861067107</v>
      </c>
      <c r="AM601" s="443">
        <f>IF(INDEX(BaleMover[Miles],MATCH(SecondaryTransport[[#This Row],[Scenario_MRF_Bale_ID]],BaleMover[Scenario_MRF_Bale_ID],0))="",0,INDEX(BaleMover[Miles],MATCH(SecondaryTransport[[#This Row],[Scenario_MRF_Bale_ID]],BaleMover[Scenario_MRF_Bale_ID],0)))</f>
        <v>0</v>
      </c>
      <c r="AN601" s="251">
        <f>IF(SecondaryTransport[[#This Row],[Bale_ID]]="9000-01","costs elsewhere",SecondaryTransport[[#This Row],[Total_Baled_tons]]*SecondaryTransport[[#This Row],[Miles]])</f>
        <v>0</v>
      </c>
      <c r="AO601" s="352" t="str">
        <f>IF(LEFT(SecondaryTransport[[#This Row],[Bale_ID]],1)*1=5,IF(OR(SecondaryTransport[[#This Row],[MRF_ID]]="02",SecondaryTransport[[#This Row],[MRF_ID]]="08"),2,1),"")</f>
        <v/>
      </c>
      <c r="AP60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1" s="224" t="str">
        <f>IFERROR(IF(1*LEFT(SecondaryTransport[[#This Row],[Bale_ID]],1)=5,SecondaryTransport[[#This Row],[Ton-Miles]]*SecondaryTransport[[#This Row],[Cost_Per_Ton-Mile]],""),"")</f>
        <v/>
      </c>
      <c r="AS601" s="224" t="str">
        <f>IFERROR(IF(SecondaryTransport[[#This Row],[Container_Transfer]]="",(SecondaryTransport[[#This Row],[Ton-Miles]]*SecondaryTransport[[#This Row],[Cost_Per_Ton-Mile]]),""),"")</f>
        <v/>
      </c>
    </row>
    <row r="602" spans="12:45" ht="15" x14ac:dyDescent="0.25">
      <c r="L602" s="446" t="s">
        <v>870</v>
      </c>
      <c r="M602" s="446">
        <v>4</v>
      </c>
      <c r="N602" s="446">
        <v>2</v>
      </c>
      <c r="O602" s="446" t="s">
        <v>748</v>
      </c>
      <c r="P602" s="449" t="s">
        <v>700</v>
      </c>
      <c r="Q602" s="449"/>
      <c r="R602" s="449"/>
      <c r="S602" s="449" t="s">
        <v>765</v>
      </c>
      <c r="T602" s="449" t="s">
        <v>701</v>
      </c>
      <c r="U602" s="452">
        <v>0</v>
      </c>
      <c r="V6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2" s="272" t="str">
        <f>IFERROR(SUMIFS(TransUnitCost[Miles],TransUnitCost[Grouping_ID],TransTonsShort[[#This Row],[Grouping_ID]],TransUnitCost[Transp_ID],TransTonsShort[[#This Row],[Transp_ID]])*TransTonsShort[[#This Row],[Trans_Tons_All]]/TransTonsShort[[#This Row],[Trans_Tons_All]],"")</f>
        <v/>
      </c>
      <c r="X602" s="386" t="str">
        <f>TransTonsShort[[#This Row],[Grouping_ID]]&amp;"-"&amp;TransTonsShort[[#This Row],[Sector_ID]]</f>
        <v>4-2</v>
      </c>
      <c r="Y6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2" s="421">
        <f>INDEX(LandfillFees[Disposal Tip Fee 2025],MATCH(TransTonsShort[[#This Row],[Grouping_ID]],LandfillFees[Grouping_ID],0))</f>
        <v>72.030938699729589</v>
      </c>
      <c r="AA602" s="102">
        <f>IF(OR(TransTonsShort[[#This Row],[CollectionStream_ID]]="03",TransTonsShort[[#This Row],[CollectionStream_ID]]="04",TransTonsShort[[#This Row],[CollectionStream_ID]]="13"),0,TransTonsShort[[#This Row],[Trans_Tons_All]]*TransTonsShort[[#This Row],[Disposal_Fee]])</f>
        <v>0</v>
      </c>
      <c r="AF602" s="446" t="s">
        <v>1775</v>
      </c>
      <c r="AG602" s="442" t="str">
        <f>LEFT(SecondaryTransport[[#This Row],[Scenario_MRF_Bale_ID]],2)</f>
        <v>S1</v>
      </c>
      <c r="AH602" s="181" t="str">
        <f>LEFT(RIGHT(SecondaryTransport[[#This Row],[Scenario_MRF_Bale_ID]],10),2)</f>
        <v>14</v>
      </c>
      <c r="AI602" s="181" t="str">
        <f>INDEX(MRFs[MRF_Name],MATCH(SecondaryTransport[[#This Row],[MRF_ID]],MRFs[MRF_ID],0))</f>
        <v>Glass 2 Glass (Portland)</v>
      </c>
      <c r="AJ602" s="181" t="str">
        <f>RIGHT(SecondaryTransport[[#This Row],[Scenario_MRF_Bale_ID]],7)</f>
        <v>3000-01</v>
      </c>
      <c r="AK602" s="181" t="str">
        <f>INDEX(Bales[Bale_Name],MATCH(SecondaryTransport[[#This Row],[Bale_ID]],Bales[Bale_ID],0))</f>
        <v>Container glass </v>
      </c>
      <c r="AL602" s="443">
        <f>INDEX(BaleMover[Total_Baled_tons],MATCH(SecondaryTransport[[#This Row],[Scenario_MRF_Bale_ID]],BaleMover[Scenario_MRF_Bale_ID],0))</f>
        <v>58420.519861067107</v>
      </c>
      <c r="AM602" s="443">
        <f>IF(INDEX(BaleMover[Miles],MATCH(SecondaryTransport[[#This Row],[Scenario_MRF_Bale_ID]],BaleMover[Scenario_MRF_Bale_ID],0))="",0,INDEX(BaleMover[Miles],MATCH(SecondaryTransport[[#This Row],[Scenario_MRF_Bale_ID]],BaleMover[Scenario_MRF_Bale_ID],0)))</f>
        <v>0</v>
      </c>
      <c r="AN602" s="251">
        <f>IF(SecondaryTransport[[#This Row],[Bale_ID]]="9000-01","costs elsewhere",SecondaryTransport[[#This Row],[Total_Baled_tons]]*SecondaryTransport[[#This Row],[Miles]])</f>
        <v>0</v>
      </c>
      <c r="AO602" s="352" t="str">
        <f>IF(LEFT(SecondaryTransport[[#This Row],[Bale_ID]],1)*1=5,IF(OR(SecondaryTransport[[#This Row],[MRF_ID]]="02",SecondaryTransport[[#This Row],[MRF_ID]]="08"),2,1),"")</f>
        <v/>
      </c>
      <c r="AP60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2" s="224" t="str">
        <f>IFERROR(IF(1*LEFT(SecondaryTransport[[#This Row],[Bale_ID]],1)=5,SecondaryTransport[[#This Row],[Ton-Miles]]*SecondaryTransport[[#This Row],[Cost_Per_Ton-Mile]],""),"")</f>
        <v/>
      </c>
      <c r="AS602" s="224" t="str">
        <f>IFERROR(IF(SecondaryTransport[[#This Row],[Container_Transfer]]="",(SecondaryTransport[[#This Row],[Ton-Miles]]*SecondaryTransport[[#This Row],[Cost_Per_Ton-Mile]]),""),"")</f>
        <v/>
      </c>
    </row>
    <row r="603" spans="12:45" ht="15" x14ac:dyDescent="0.25">
      <c r="L603" s="446" t="s">
        <v>870</v>
      </c>
      <c r="M603" s="446">
        <v>1</v>
      </c>
      <c r="N603" s="446">
        <v>2</v>
      </c>
      <c r="O603" s="446" t="s">
        <v>748</v>
      </c>
      <c r="P603" s="449" t="s">
        <v>748</v>
      </c>
      <c r="Q603" s="449"/>
      <c r="R603" s="449"/>
      <c r="S603" s="449" t="s">
        <v>765</v>
      </c>
      <c r="T603" s="449" t="s">
        <v>849</v>
      </c>
      <c r="U603" s="452">
        <v>327.34691932933646</v>
      </c>
      <c r="V6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8445.5505186968803</v>
      </c>
      <c r="W603" s="272">
        <f>IFERROR(SUMIFS(TransUnitCost[Miles],TransUnitCost[Grouping_ID],TransTonsShort[[#This Row],[Grouping_ID]],TransUnitCost[Transp_ID],TransTonsShort[[#This Row],[Transp_ID]])*TransTonsShort[[#This Row],[Trans_Tons_All]]/TransTonsShort[[#This Row],[Trans_Tons_All]],"")</f>
        <v>20</v>
      </c>
      <c r="X603" s="386" t="str">
        <f>TransTonsShort[[#This Row],[Grouping_ID]]&amp;"-"&amp;TransTonsShort[[#This Row],[Sector_ID]]</f>
        <v>1-2</v>
      </c>
      <c r="Y6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3" s="421">
        <f>INDEX(LandfillFees[Disposal Tip Fee 2025],MATCH(TransTonsShort[[#This Row],[Grouping_ID]],LandfillFees[Grouping_ID],0))</f>
        <v>134.68</v>
      </c>
      <c r="AA603" s="102">
        <f>IF(OR(TransTonsShort[[#This Row],[CollectionStream_ID]]="03",TransTonsShort[[#This Row],[CollectionStream_ID]]="04",TransTonsShort[[#This Row],[CollectionStream_ID]]="13"),0,TransTonsShort[[#This Row],[Trans_Tons_All]]*TransTonsShort[[#This Row],[Disposal_Fee]])</f>
        <v>44087.083095275033</v>
      </c>
      <c r="AF603" s="446" t="s">
        <v>1776</v>
      </c>
      <c r="AG603" s="442" t="str">
        <f>LEFT(SecondaryTransport[[#This Row],[Scenario_MRF_Bale_ID]],2)</f>
        <v>S2</v>
      </c>
      <c r="AH603" s="181" t="str">
        <f>LEFT(RIGHT(SecondaryTransport[[#This Row],[Scenario_MRF_Bale_ID]],10),2)</f>
        <v>14</v>
      </c>
      <c r="AI603" s="181" t="str">
        <f>INDEX(MRFs[MRF_Name],MATCH(SecondaryTransport[[#This Row],[MRF_ID]],MRFs[MRF_ID],0))</f>
        <v>Glass 2 Glass (Portland)</v>
      </c>
      <c r="AJ603" s="181" t="str">
        <f>RIGHT(SecondaryTransport[[#This Row],[Scenario_MRF_Bale_ID]],7)</f>
        <v>3000-01</v>
      </c>
      <c r="AK603" s="181" t="str">
        <f>INDEX(Bales[Bale_Name],MATCH(SecondaryTransport[[#This Row],[Bale_ID]],Bales[Bale_ID],0))</f>
        <v>Container glass </v>
      </c>
      <c r="AL603" s="443">
        <f>INDEX(BaleMover[Total_Baled_tons],MATCH(SecondaryTransport[[#This Row],[Scenario_MRF_Bale_ID]],BaleMover[Scenario_MRF_Bale_ID],0))</f>
        <v>64551.841763634853</v>
      </c>
      <c r="AM603" s="443">
        <f>IF(INDEX(BaleMover[Miles],MATCH(SecondaryTransport[[#This Row],[Scenario_MRF_Bale_ID]],BaleMover[Scenario_MRF_Bale_ID],0))="",0,INDEX(BaleMover[Miles],MATCH(SecondaryTransport[[#This Row],[Scenario_MRF_Bale_ID]],BaleMover[Scenario_MRF_Bale_ID],0)))</f>
        <v>0</v>
      </c>
      <c r="AN603" s="251">
        <f>IF(SecondaryTransport[[#This Row],[Bale_ID]]="9000-01","costs elsewhere",SecondaryTransport[[#This Row],[Total_Baled_tons]]*SecondaryTransport[[#This Row],[Miles]])</f>
        <v>0</v>
      </c>
      <c r="AO603" s="352" t="str">
        <f>IF(LEFT(SecondaryTransport[[#This Row],[Bale_ID]],1)*1=5,IF(OR(SecondaryTransport[[#This Row],[MRF_ID]]="02",SecondaryTransport[[#This Row],[MRF_ID]]="08"),2,1),"")</f>
        <v/>
      </c>
      <c r="AP60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3" s="224" t="str">
        <f>IFERROR(IF(1*LEFT(SecondaryTransport[[#This Row],[Bale_ID]],1)=5,SecondaryTransport[[#This Row],[Ton-Miles]]*SecondaryTransport[[#This Row],[Cost_Per_Ton-Mile]],""),"")</f>
        <v/>
      </c>
      <c r="AS603" s="224" t="str">
        <f>IFERROR(IF(SecondaryTransport[[#This Row],[Container_Transfer]]="",(SecondaryTransport[[#This Row],[Ton-Miles]]*SecondaryTransport[[#This Row],[Cost_Per_Ton-Mile]]),""),"")</f>
        <v/>
      </c>
    </row>
    <row r="604" spans="12:45" ht="15" x14ac:dyDescent="0.25">
      <c r="L604" s="446" t="s">
        <v>870</v>
      </c>
      <c r="M604" s="446">
        <v>2</v>
      </c>
      <c r="N604" s="446">
        <v>2</v>
      </c>
      <c r="O604" s="446" t="s">
        <v>748</v>
      </c>
      <c r="P604" s="449" t="s">
        <v>748</v>
      </c>
      <c r="Q604" s="449"/>
      <c r="R604" s="449"/>
      <c r="S604" s="449" t="s">
        <v>765</v>
      </c>
      <c r="T604" s="449" t="s">
        <v>849</v>
      </c>
      <c r="U604" s="452">
        <v>1079.3516607877193</v>
      </c>
      <c r="V6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38532.854290121584</v>
      </c>
      <c r="W604" s="272">
        <f>IFERROR(SUMIFS(TransUnitCost[Miles],TransUnitCost[Grouping_ID],TransTonsShort[[#This Row],[Grouping_ID]],TransUnitCost[Transp_ID],TransTonsShort[[#This Row],[Transp_ID]])*TransTonsShort[[#This Row],[Trans_Tons_All]]/TransTonsShort[[#This Row],[Trans_Tons_All]],"")</f>
        <v>70</v>
      </c>
      <c r="X604" s="386" t="str">
        <f>TransTonsShort[[#This Row],[Grouping_ID]]&amp;"-"&amp;TransTonsShort[[#This Row],[Sector_ID]]</f>
        <v>2-2</v>
      </c>
      <c r="Y6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4" s="421">
        <f>INDEX(LandfillFees[Disposal Tip Fee 2025],MATCH(TransTonsShort[[#This Row],[Grouping_ID]],LandfillFees[Grouping_ID],0))</f>
        <v>72.030938699729589</v>
      </c>
      <c r="AA604" s="102">
        <f>IF(OR(TransTonsShort[[#This Row],[CollectionStream_ID]]="03",TransTonsShort[[#This Row],[CollectionStream_ID]]="04",TransTonsShort[[#This Row],[CollectionStream_ID]]="13"),0,TransTonsShort[[#This Row],[Trans_Tons_All]]*TransTonsShort[[#This Row],[Disposal_Fee]])</f>
        <v>77746.713313651533</v>
      </c>
      <c r="AF604" s="446" t="s">
        <v>1777</v>
      </c>
      <c r="AG604" s="442" t="str">
        <f>LEFT(SecondaryTransport[[#This Row],[Scenario_MRF_Bale_ID]],2)</f>
        <v>S3</v>
      </c>
      <c r="AH604" s="181" t="str">
        <f>LEFT(RIGHT(SecondaryTransport[[#This Row],[Scenario_MRF_Bale_ID]],10),2)</f>
        <v>14</v>
      </c>
      <c r="AI604" s="181" t="str">
        <f>INDEX(MRFs[MRF_Name],MATCH(SecondaryTransport[[#This Row],[MRF_ID]],MRFs[MRF_ID],0))</f>
        <v>Glass 2 Glass (Portland)</v>
      </c>
      <c r="AJ604" s="181" t="str">
        <f>RIGHT(SecondaryTransport[[#This Row],[Scenario_MRF_Bale_ID]],7)</f>
        <v>3000-01</v>
      </c>
      <c r="AK604" s="181" t="str">
        <f>INDEX(Bales[Bale_Name],MATCH(SecondaryTransport[[#This Row],[Bale_ID]],Bales[Bale_ID],0))</f>
        <v>Container glass </v>
      </c>
      <c r="AL604" s="443">
        <f>INDEX(BaleMover[Total_Baled_tons],MATCH(SecondaryTransport[[#This Row],[Scenario_MRF_Bale_ID]],BaleMover[Scenario_MRF_Bale_ID],0))</f>
        <v>64551.841763634853</v>
      </c>
      <c r="AM604" s="443">
        <f>IF(INDEX(BaleMover[Miles],MATCH(SecondaryTransport[[#This Row],[Scenario_MRF_Bale_ID]],BaleMover[Scenario_MRF_Bale_ID],0))="",0,INDEX(BaleMover[Miles],MATCH(SecondaryTransport[[#This Row],[Scenario_MRF_Bale_ID]],BaleMover[Scenario_MRF_Bale_ID],0)))</f>
        <v>0</v>
      </c>
      <c r="AN604" s="251">
        <f>IF(SecondaryTransport[[#This Row],[Bale_ID]]="9000-01","costs elsewhere",SecondaryTransport[[#This Row],[Total_Baled_tons]]*SecondaryTransport[[#This Row],[Miles]])</f>
        <v>0</v>
      </c>
      <c r="AO604" s="352" t="str">
        <f>IF(LEFT(SecondaryTransport[[#This Row],[Bale_ID]],1)*1=5,IF(OR(SecondaryTransport[[#This Row],[MRF_ID]]="02",SecondaryTransport[[#This Row],[MRF_ID]]="08"),2,1),"")</f>
        <v/>
      </c>
      <c r="AP60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4" s="224" t="str">
        <f>IFERROR(IF(1*LEFT(SecondaryTransport[[#This Row],[Bale_ID]],1)=5,SecondaryTransport[[#This Row],[Ton-Miles]]*SecondaryTransport[[#This Row],[Cost_Per_Ton-Mile]],""),"")</f>
        <v/>
      </c>
      <c r="AS604" s="224" t="str">
        <f>IFERROR(IF(SecondaryTransport[[#This Row],[Container_Transfer]]="",(SecondaryTransport[[#This Row],[Ton-Miles]]*SecondaryTransport[[#This Row],[Cost_Per_Ton-Mile]]),""),"")</f>
        <v/>
      </c>
    </row>
    <row r="605" spans="12:45" ht="15" x14ac:dyDescent="0.25">
      <c r="L605" s="446" t="s">
        <v>870</v>
      </c>
      <c r="M605" s="446">
        <v>3</v>
      </c>
      <c r="N605" s="446">
        <v>2</v>
      </c>
      <c r="O605" s="446" t="s">
        <v>748</v>
      </c>
      <c r="P605" s="449" t="s">
        <v>748</v>
      </c>
      <c r="Q605" s="449"/>
      <c r="R605" s="449"/>
      <c r="S605" s="449" t="s">
        <v>765</v>
      </c>
      <c r="T605" s="449" t="s">
        <v>849</v>
      </c>
      <c r="U605" s="452">
        <v>233.70308920655074</v>
      </c>
      <c r="V6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15774.958521442175</v>
      </c>
      <c r="W605" s="272">
        <f>IFERROR(SUMIFS(TransUnitCost[Miles],TransUnitCost[Grouping_ID],TransTonsShort[[#This Row],[Grouping_ID]],TransUnitCost[Transp_ID],TransTonsShort[[#This Row],[Transp_ID]])*TransTonsShort[[#This Row],[Trans_Tons_All]]/TransTonsShort[[#This Row],[Trans_Tons_All]],"")</f>
        <v>150</v>
      </c>
      <c r="X605" s="386" t="str">
        <f>TransTonsShort[[#This Row],[Grouping_ID]]&amp;"-"&amp;TransTonsShort[[#This Row],[Sector_ID]]</f>
        <v>3-2</v>
      </c>
      <c r="Y6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5" s="421">
        <f>INDEX(LandfillFees[Disposal Tip Fee 2025],MATCH(TransTonsShort[[#This Row],[Grouping_ID]],LandfillFees[Grouping_ID],0))</f>
        <v>72.030938699729589</v>
      </c>
      <c r="AA605" s="102">
        <f>IF(OR(TransTonsShort[[#This Row],[CollectionStream_ID]]="03",TransTonsShort[[#This Row],[CollectionStream_ID]]="04",TransTonsShort[[#This Row],[CollectionStream_ID]]="13"),0,TransTonsShort[[#This Row],[Trans_Tons_All]]*TransTonsShort[[#This Row],[Disposal_Fee]])</f>
        <v>16833.852892574494</v>
      </c>
      <c r="AF605" s="446" t="s">
        <v>1778</v>
      </c>
      <c r="AG605" s="442" t="str">
        <f>LEFT(SecondaryTransport[[#This Row],[Scenario_MRF_Bale_ID]],2)</f>
        <v>S4</v>
      </c>
      <c r="AH605" s="181" t="str">
        <f>LEFT(RIGHT(SecondaryTransport[[#This Row],[Scenario_MRF_Bale_ID]],10),2)</f>
        <v>14</v>
      </c>
      <c r="AI605" s="181" t="str">
        <f>INDEX(MRFs[MRF_Name],MATCH(SecondaryTransport[[#This Row],[MRF_ID]],MRFs[MRF_ID],0))</f>
        <v>Glass 2 Glass (Portland)</v>
      </c>
      <c r="AJ605" s="181" t="str">
        <f>RIGHT(SecondaryTransport[[#This Row],[Scenario_MRF_Bale_ID]],7)</f>
        <v>3000-01</v>
      </c>
      <c r="AK605" s="181" t="str">
        <f>INDEX(Bales[Bale_Name],MATCH(SecondaryTransport[[#This Row],[Bale_ID]],Bales[Bale_ID],0))</f>
        <v>Container glass </v>
      </c>
      <c r="AL605" s="443">
        <f>INDEX(BaleMover[Total_Baled_tons],MATCH(SecondaryTransport[[#This Row],[Scenario_MRF_Bale_ID]],BaleMover[Scenario_MRF_Bale_ID],0))</f>
        <v>64551.841763634853</v>
      </c>
      <c r="AM605" s="443">
        <f>IF(INDEX(BaleMover[Miles],MATCH(SecondaryTransport[[#This Row],[Scenario_MRF_Bale_ID]],BaleMover[Scenario_MRF_Bale_ID],0))="",0,INDEX(BaleMover[Miles],MATCH(SecondaryTransport[[#This Row],[Scenario_MRF_Bale_ID]],BaleMover[Scenario_MRF_Bale_ID],0)))</f>
        <v>0</v>
      </c>
      <c r="AN605" s="251">
        <f>IF(SecondaryTransport[[#This Row],[Bale_ID]]="9000-01","costs elsewhere",SecondaryTransport[[#This Row],[Total_Baled_tons]]*SecondaryTransport[[#This Row],[Miles]])</f>
        <v>0</v>
      </c>
      <c r="AO605" s="352" t="str">
        <f>IF(LEFT(SecondaryTransport[[#This Row],[Bale_ID]],1)*1=5,IF(OR(SecondaryTransport[[#This Row],[MRF_ID]]="02",SecondaryTransport[[#This Row],[MRF_ID]]="08"),2,1),"")</f>
        <v/>
      </c>
      <c r="AP60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5" s="224" t="str">
        <f>IFERROR(IF(1*LEFT(SecondaryTransport[[#This Row],[Bale_ID]],1)=5,SecondaryTransport[[#This Row],[Ton-Miles]]*SecondaryTransport[[#This Row],[Cost_Per_Ton-Mile]],""),"")</f>
        <v/>
      </c>
      <c r="AS605" s="224" t="str">
        <f>IFERROR(IF(SecondaryTransport[[#This Row],[Container_Transfer]]="",(SecondaryTransport[[#This Row],[Ton-Miles]]*SecondaryTransport[[#This Row],[Cost_Per_Ton-Mile]]),""),"")</f>
        <v/>
      </c>
    </row>
    <row r="606" spans="12:45" ht="15" x14ac:dyDescent="0.25">
      <c r="L606" s="446" t="s">
        <v>870</v>
      </c>
      <c r="M606" s="446">
        <v>4</v>
      </c>
      <c r="N606" s="446">
        <v>2</v>
      </c>
      <c r="O606" s="446" t="s">
        <v>748</v>
      </c>
      <c r="P606" s="449" t="s">
        <v>748</v>
      </c>
      <c r="Q606" s="449"/>
      <c r="R606" s="449"/>
      <c r="S606" s="449" t="s">
        <v>765</v>
      </c>
      <c r="T606" s="449" t="s">
        <v>849</v>
      </c>
      <c r="U606" s="452">
        <v>1.2244473805559835</v>
      </c>
      <c r="V6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156.11704102088788</v>
      </c>
      <c r="W606" s="272">
        <f>IFERROR(SUMIFS(TransUnitCost[Miles],TransUnitCost[Grouping_ID],TransTonsShort[[#This Row],[Grouping_ID]],TransUnitCost[Transp_ID],TransTonsShort[[#This Row],[Transp_ID]])*TransTonsShort[[#This Row],[Trans_Tons_All]]/TransTonsShort[[#This Row],[Trans_Tons_All]],"")</f>
        <v>250</v>
      </c>
      <c r="X606" s="386" t="str">
        <f>TransTonsShort[[#This Row],[Grouping_ID]]&amp;"-"&amp;TransTonsShort[[#This Row],[Sector_ID]]</f>
        <v>4-2</v>
      </c>
      <c r="Y6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6" s="421">
        <f>INDEX(LandfillFees[Disposal Tip Fee 2025],MATCH(TransTonsShort[[#This Row],[Grouping_ID]],LandfillFees[Grouping_ID],0))</f>
        <v>72.030938699729589</v>
      </c>
      <c r="AA606" s="102">
        <f>IF(OR(TransTonsShort[[#This Row],[CollectionStream_ID]]="03",TransTonsShort[[#This Row],[CollectionStream_ID]]="04",TransTonsShort[[#This Row],[CollectionStream_ID]]="13"),0,TransTonsShort[[#This Row],[Trans_Tons_All]]*TransTonsShort[[#This Row],[Disposal_Fee]])</f>
        <v>88.198094209872508</v>
      </c>
      <c r="AF606" s="446" t="s">
        <v>1779</v>
      </c>
      <c r="AG606" s="442" t="str">
        <f>LEFT(SecondaryTransport[[#This Row],[Scenario_MRF_Bale_ID]],2)</f>
        <v>S0</v>
      </c>
      <c r="AH606" s="181" t="str">
        <f>LEFT(RIGHT(SecondaryTransport[[#This Row],[Scenario_MRF_Bale_ID]],10),2)</f>
        <v>13</v>
      </c>
      <c r="AI606" s="181" t="str">
        <f>INDEX(MRFs[MRF_Name],MATCH(SecondaryTransport[[#This Row],[MRF_ID]],MRFs[MRF_ID],0))</f>
        <v>Directly marketed (no sorting)</v>
      </c>
      <c r="AJ606" s="181" t="str">
        <f>RIGHT(SecondaryTransport[[#This Row],[Scenario_MRF_Bale_ID]],7)</f>
        <v>2000-06</v>
      </c>
      <c r="AK606" s="181" t="str">
        <f>INDEX(Bales[Bale_Name],MATCH(SecondaryTransport[[#This Row],[Bale_ID]],Bales[Bale_ID],0))</f>
        <v>HDPE #2 injection bulky rigid plastic</v>
      </c>
      <c r="AL606" s="443">
        <f>INDEX(BaleMover[Total_Baled_tons],MATCH(SecondaryTransport[[#This Row],[Scenario_MRF_Bale_ID]],BaleMover[Scenario_MRF_Bale_ID],0))</f>
        <v>0</v>
      </c>
      <c r="AM606" s="443">
        <f>IF(INDEX(BaleMover[Miles],MATCH(SecondaryTransport[[#This Row],[Scenario_MRF_Bale_ID]],BaleMover[Scenario_MRF_Bale_ID],0))="",0,INDEX(BaleMover[Miles],MATCH(SecondaryTransport[[#This Row],[Scenario_MRF_Bale_ID]],BaleMover[Scenario_MRF_Bale_ID],0)))</f>
        <v>0</v>
      </c>
      <c r="AN606" s="251">
        <f>IF(SecondaryTransport[[#This Row],[Bale_ID]]="9000-01","costs elsewhere",SecondaryTransport[[#This Row],[Total_Baled_tons]]*SecondaryTransport[[#This Row],[Miles]])</f>
        <v>0</v>
      </c>
      <c r="AO606" s="352" t="str">
        <f>IF(LEFT(SecondaryTransport[[#This Row],[Bale_ID]],1)*1=5,IF(OR(SecondaryTransport[[#This Row],[MRF_ID]]="02",SecondaryTransport[[#This Row],[MRF_ID]]="08"),2,1),"")</f>
        <v/>
      </c>
      <c r="AP60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6" s="224" t="str">
        <f>IFERROR(IF(1*LEFT(SecondaryTransport[[#This Row],[Bale_ID]],1)=5,SecondaryTransport[[#This Row],[Ton-Miles]]*SecondaryTransport[[#This Row],[Cost_Per_Ton-Mile]],""),"")</f>
        <v/>
      </c>
      <c r="AS606" s="224" t="str">
        <f>IFERROR(IF(SecondaryTransport[[#This Row],[Container_Transfer]]="",(SecondaryTransport[[#This Row],[Ton-Miles]]*SecondaryTransport[[#This Row],[Cost_Per_Ton-Mile]]),""),"")</f>
        <v/>
      </c>
    </row>
    <row r="607" spans="12:45" ht="15" x14ac:dyDescent="0.25">
      <c r="L607" s="446" t="s">
        <v>870</v>
      </c>
      <c r="M607" s="446">
        <v>1</v>
      </c>
      <c r="N607" s="446">
        <v>2</v>
      </c>
      <c r="O607" s="446" t="s">
        <v>746</v>
      </c>
      <c r="P607" s="449" t="s">
        <v>719</v>
      </c>
      <c r="Q607" s="449"/>
      <c r="R607" s="449"/>
      <c r="S607" s="449" t="s">
        <v>762</v>
      </c>
      <c r="T607" s="449" t="s">
        <v>1055</v>
      </c>
      <c r="U607" s="452">
        <v>0</v>
      </c>
      <c r="V6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7" s="272" t="str">
        <f>IFERROR(SUMIFS(TransUnitCost[Miles],TransUnitCost[Grouping_ID],TransTonsShort[[#This Row],[Grouping_ID]],TransUnitCost[Transp_ID],TransTonsShort[[#This Row],[Transp_ID]])*TransTonsShort[[#This Row],[Trans_Tons_All]]/TransTonsShort[[#This Row],[Trans_Tons_All]],"")</f>
        <v/>
      </c>
      <c r="X607" s="386" t="str">
        <f>TransTonsShort[[#This Row],[Grouping_ID]]&amp;"-"&amp;TransTonsShort[[#This Row],[Sector_ID]]</f>
        <v>1-2</v>
      </c>
      <c r="Y6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7" s="421">
        <f>INDEX(LandfillFees[Disposal Tip Fee 2025],MATCH(TransTonsShort[[#This Row],[Grouping_ID]],LandfillFees[Grouping_ID],0))</f>
        <v>134.68</v>
      </c>
      <c r="AA607" s="102">
        <f>IF(OR(TransTonsShort[[#This Row],[CollectionStream_ID]]="03",TransTonsShort[[#This Row],[CollectionStream_ID]]="04",TransTonsShort[[#This Row],[CollectionStream_ID]]="13"),0,TransTonsShort[[#This Row],[Trans_Tons_All]]*TransTonsShort[[#This Row],[Disposal_Fee]])</f>
        <v>0</v>
      </c>
      <c r="AF607" s="446" t="s">
        <v>1780</v>
      </c>
      <c r="AG607" s="442" t="str">
        <f>LEFT(SecondaryTransport[[#This Row],[Scenario_MRF_Bale_ID]],2)</f>
        <v>S1</v>
      </c>
      <c r="AH607" s="181" t="str">
        <f>LEFT(RIGHT(SecondaryTransport[[#This Row],[Scenario_MRF_Bale_ID]],10),2)</f>
        <v>13</v>
      </c>
      <c r="AI607" s="181" t="str">
        <f>INDEX(MRFs[MRF_Name],MATCH(SecondaryTransport[[#This Row],[MRF_ID]],MRFs[MRF_ID],0))</f>
        <v>Directly marketed (no sorting)</v>
      </c>
      <c r="AJ607" s="181" t="str">
        <f>RIGHT(SecondaryTransport[[#This Row],[Scenario_MRF_Bale_ID]],7)</f>
        <v>2000-06</v>
      </c>
      <c r="AK607" s="181" t="str">
        <f>INDEX(Bales[Bale_Name],MATCH(SecondaryTransport[[#This Row],[Bale_ID]],Bales[Bale_ID],0))</f>
        <v>HDPE #2 injection bulky rigid plastic</v>
      </c>
      <c r="AL607" s="443">
        <f>INDEX(BaleMover[Total_Baled_tons],MATCH(SecondaryTransport[[#This Row],[Scenario_MRF_Bale_ID]],BaleMover[Scenario_MRF_Bale_ID],0))</f>
        <v>0</v>
      </c>
      <c r="AM607" s="443">
        <f>IF(INDEX(BaleMover[Miles],MATCH(SecondaryTransport[[#This Row],[Scenario_MRF_Bale_ID]],BaleMover[Scenario_MRF_Bale_ID],0))="",0,INDEX(BaleMover[Miles],MATCH(SecondaryTransport[[#This Row],[Scenario_MRF_Bale_ID]],BaleMover[Scenario_MRF_Bale_ID],0)))</f>
        <v>0</v>
      </c>
      <c r="AN607" s="251">
        <f>IF(SecondaryTransport[[#This Row],[Bale_ID]]="9000-01","costs elsewhere",SecondaryTransport[[#This Row],[Total_Baled_tons]]*SecondaryTransport[[#This Row],[Miles]])</f>
        <v>0</v>
      </c>
      <c r="AO607" s="352" t="str">
        <f>IF(LEFT(SecondaryTransport[[#This Row],[Bale_ID]],1)*1=5,IF(OR(SecondaryTransport[[#This Row],[MRF_ID]]="02",SecondaryTransport[[#This Row],[MRF_ID]]="08"),2,1),"")</f>
        <v/>
      </c>
      <c r="AP60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7" s="224" t="str">
        <f>IFERROR(IF(1*LEFT(SecondaryTransport[[#This Row],[Bale_ID]],1)=5,SecondaryTransport[[#This Row],[Ton-Miles]]*SecondaryTransport[[#This Row],[Cost_Per_Ton-Mile]],""),"")</f>
        <v/>
      </c>
      <c r="AS607" s="224" t="str">
        <f>IFERROR(IF(SecondaryTransport[[#This Row],[Container_Transfer]]="",(SecondaryTransport[[#This Row],[Ton-Miles]]*SecondaryTransport[[#This Row],[Cost_Per_Ton-Mile]]),""),"")</f>
        <v/>
      </c>
    </row>
    <row r="608" spans="12:45" ht="15" x14ac:dyDescent="0.25">
      <c r="L608" s="446" t="s">
        <v>870</v>
      </c>
      <c r="M608" s="446">
        <v>2</v>
      </c>
      <c r="N608" s="446">
        <v>2</v>
      </c>
      <c r="O608" s="446" t="s">
        <v>746</v>
      </c>
      <c r="P608" s="449" t="s">
        <v>719</v>
      </c>
      <c r="Q608" s="449"/>
      <c r="R608" s="449"/>
      <c r="S608" s="449" t="s">
        <v>762</v>
      </c>
      <c r="T608" s="449" t="s">
        <v>1055</v>
      </c>
      <c r="U608" s="452">
        <v>0</v>
      </c>
      <c r="V6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8" s="272" t="str">
        <f>IFERROR(SUMIFS(TransUnitCost[Miles],TransUnitCost[Grouping_ID],TransTonsShort[[#This Row],[Grouping_ID]],TransUnitCost[Transp_ID],TransTonsShort[[#This Row],[Transp_ID]])*TransTonsShort[[#This Row],[Trans_Tons_All]]/TransTonsShort[[#This Row],[Trans_Tons_All]],"")</f>
        <v/>
      </c>
      <c r="X608" s="386" t="str">
        <f>TransTonsShort[[#This Row],[Grouping_ID]]&amp;"-"&amp;TransTonsShort[[#This Row],[Sector_ID]]</f>
        <v>2-2</v>
      </c>
      <c r="Y6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8" s="421">
        <f>INDEX(LandfillFees[Disposal Tip Fee 2025],MATCH(TransTonsShort[[#This Row],[Grouping_ID]],LandfillFees[Grouping_ID],0))</f>
        <v>72.030938699729589</v>
      </c>
      <c r="AA608" s="102">
        <f>IF(OR(TransTonsShort[[#This Row],[CollectionStream_ID]]="03",TransTonsShort[[#This Row],[CollectionStream_ID]]="04",TransTonsShort[[#This Row],[CollectionStream_ID]]="13"),0,TransTonsShort[[#This Row],[Trans_Tons_All]]*TransTonsShort[[#This Row],[Disposal_Fee]])</f>
        <v>0</v>
      </c>
      <c r="AF608" s="446" t="s">
        <v>1781</v>
      </c>
      <c r="AG608" s="442" t="str">
        <f>LEFT(SecondaryTransport[[#This Row],[Scenario_MRF_Bale_ID]],2)</f>
        <v>S2</v>
      </c>
      <c r="AH608" s="181" t="str">
        <f>LEFT(RIGHT(SecondaryTransport[[#This Row],[Scenario_MRF_Bale_ID]],10),2)</f>
        <v>13</v>
      </c>
      <c r="AI608" s="181" t="str">
        <f>INDEX(MRFs[MRF_Name],MATCH(SecondaryTransport[[#This Row],[MRF_ID]],MRFs[MRF_ID],0))</f>
        <v>Directly marketed (no sorting)</v>
      </c>
      <c r="AJ608" s="181" t="str">
        <f>RIGHT(SecondaryTransport[[#This Row],[Scenario_MRF_Bale_ID]],7)</f>
        <v>2000-06</v>
      </c>
      <c r="AK608" s="181" t="str">
        <f>INDEX(Bales[Bale_Name],MATCH(SecondaryTransport[[#This Row],[Bale_ID]],Bales[Bale_ID],0))</f>
        <v>HDPE #2 injection bulky rigid plastic</v>
      </c>
      <c r="AL608" s="443">
        <f>INDEX(BaleMover[Total_Baled_tons],MATCH(SecondaryTransport[[#This Row],[Scenario_MRF_Bale_ID]],BaleMover[Scenario_MRF_Bale_ID],0))</f>
        <v>0</v>
      </c>
      <c r="AM608" s="443">
        <f>IF(INDEX(BaleMover[Miles],MATCH(SecondaryTransport[[#This Row],[Scenario_MRF_Bale_ID]],BaleMover[Scenario_MRF_Bale_ID],0))="",0,INDEX(BaleMover[Miles],MATCH(SecondaryTransport[[#This Row],[Scenario_MRF_Bale_ID]],BaleMover[Scenario_MRF_Bale_ID],0)))</f>
        <v>0</v>
      </c>
      <c r="AN608" s="251">
        <f>IF(SecondaryTransport[[#This Row],[Bale_ID]]="9000-01","costs elsewhere",SecondaryTransport[[#This Row],[Total_Baled_tons]]*SecondaryTransport[[#This Row],[Miles]])</f>
        <v>0</v>
      </c>
      <c r="AO608" s="352" t="str">
        <f>IF(LEFT(SecondaryTransport[[#This Row],[Bale_ID]],1)*1=5,IF(OR(SecondaryTransport[[#This Row],[MRF_ID]]="02",SecondaryTransport[[#This Row],[MRF_ID]]="08"),2,1),"")</f>
        <v/>
      </c>
      <c r="AP60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8" s="224" t="str">
        <f>IFERROR(IF(1*LEFT(SecondaryTransport[[#This Row],[Bale_ID]],1)=5,SecondaryTransport[[#This Row],[Ton-Miles]]*SecondaryTransport[[#This Row],[Cost_Per_Ton-Mile]],""),"")</f>
        <v/>
      </c>
      <c r="AS608" s="224" t="str">
        <f>IFERROR(IF(SecondaryTransport[[#This Row],[Container_Transfer]]="",(SecondaryTransport[[#This Row],[Ton-Miles]]*SecondaryTransport[[#This Row],[Cost_Per_Ton-Mile]]),""),"")</f>
        <v/>
      </c>
    </row>
    <row r="609" spans="12:45" ht="15" x14ac:dyDescent="0.25">
      <c r="L609" s="446" t="s">
        <v>870</v>
      </c>
      <c r="M609" s="446">
        <v>3</v>
      </c>
      <c r="N609" s="446">
        <v>2</v>
      </c>
      <c r="O609" s="446" t="s">
        <v>746</v>
      </c>
      <c r="P609" s="449" t="s">
        <v>719</v>
      </c>
      <c r="Q609" s="449"/>
      <c r="R609" s="449"/>
      <c r="S609" s="449" t="s">
        <v>762</v>
      </c>
      <c r="T609" s="449" t="s">
        <v>1055</v>
      </c>
      <c r="U609" s="452">
        <v>0</v>
      </c>
      <c r="V6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09" s="272" t="str">
        <f>IFERROR(SUMIFS(TransUnitCost[Miles],TransUnitCost[Grouping_ID],TransTonsShort[[#This Row],[Grouping_ID]],TransUnitCost[Transp_ID],TransTonsShort[[#This Row],[Transp_ID]])*TransTonsShort[[#This Row],[Trans_Tons_All]]/TransTonsShort[[#This Row],[Trans_Tons_All]],"")</f>
        <v/>
      </c>
      <c r="X609" s="386" t="str">
        <f>TransTonsShort[[#This Row],[Grouping_ID]]&amp;"-"&amp;TransTonsShort[[#This Row],[Sector_ID]]</f>
        <v>3-2</v>
      </c>
      <c r="Y6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09" s="421">
        <f>INDEX(LandfillFees[Disposal Tip Fee 2025],MATCH(TransTonsShort[[#This Row],[Grouping_ID]],LandfillFees[Grouping_ID],0))</f>
        <v>72.030938699729589</v>
      </c>
      <c r="AA609" s="102">
        <f>IF(OR(TransTonsShort[[#This Row],[CollectionStream_ID]]="03",TransTonsShort[[#This Row],[CollectionStream_ID]]="04",TransTonsShort[[#This Row],[CollectionStream_ID]]="13"),0,TransTonsShort[[#This Row],[Trans_Tons_All]]*TransTonsShort[[#This Row],[Disposal_Fee]])</f>
        <v>0</v>
      </c>
      <c r="AF609" s="446" t="s">
        <v>1782</v>
      </c>
      <c r="AG609" s="442" t="str">
        <f>LEFT(SecondaryTransport[[#This Row],[Scenario_MRF_Bale_ID]],2)</f>
        <v>S3</v>
      </c>
      <c r="AH609" s="181" t="str">
        <f>LEFT(RIGHT(SecondaryTransport[[#This Row],[Scenario_MRF_Bale_ID]],10),2)</f>
        <v>13</v>
      </c>
      <c r="AI609" s="181" t="str">
        <f>INDEX(MRFs[MRF_Name],MATCH(SecondaryTransport[[#This Row],[MRF_ID]],MRFs[MRF_ID],0))</f>
        <v>Directly marketed (no sorting)</v>
      </c>
      <c r="AJ609" s="181" t="str">
        <f>RIGHT(SecondaryTransport[[#This Row],[Scenario_MRF_Bale_ID]],7)</f>
        <v>2000-06</v>
      </c>
      <c r="AK609" s="181" t="str">
        <f>INDEX(Bales[Bale_Name],MATCH(SecondaryTransport[[#This Row],[Bale_ID]],Bales[Bale_ID],0))</f>
        <v>HDPE #2 injection bulky rigid plastic</v>
      </c>
      <c r="AL609" s="443">
        <f>INDEX(BaleMover[Total_Baled_tons],MATCH(SecondaryTransport[[#This Row],[Scenario_MRF_Bale_ID]],BaleMover[Scenario_MRF_Bale_ID],0))</f>
        <v>0</v>
      </c>
      <c r="AM609" s="443">
        <f>IF(INDEX(BaleMover[Miles],MATCH(SecondaryTransport[[#This Row],[Scenario_MRF_Bale_ID]],BaleMover[Scenario_MRF_Bale_ID],0))="",0,INDEX(BaleMover[Miles],MATCH(SecondaryTransport[[#This Row],[Scenario_MRF_Bale_ID]],BaleMover[Scenario_MRF_Bale_ID],0)))</f>
        <v>0</v>
      </c>
      <c r="AN609" s="251">
        <f>IF(SecondaryTransport[[#This Row],[Bale_ID]]="9000-01","costs elsewhere",SecondaryTransport[[#This Row],[Total_Baled_tons]]*SecondaryTransport[[#This Row],[Miles]])</f>
        <v>0</v>
      </c>
      <c r="AO609" s="352" t="str">
        <f>IF(LEFT(SecondaryTransport[[#This Row],[Bale_ID]],1)*1=5,IF(OR(SecondaryTransport[[#This Row],[MRF_ID]]="02",SecondaryTransport[[#This Row],[MRF_ID]]="08"),2,1),"")</f>
        <v/>
      </c>
      <c r="AP60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0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09" s="224" t="str">
        <f>IFERROR(IF(1*LEFT(SecondaryTransport[[#This Row],[Bale_ID]],1)=5,SecondaryTransport[[#This Row],[Ton-Miles]]*SecondaryTransport[[#This Row],[Cost_Per_Ton-Mile]],""),"")</f>
        <v/>
      </c>
      <c r="AS609" s="224" t="str">
        <f>IFERROR(IF(SecondaryTransport[[#This Row],[Container_Transfer]]="",(SecondaryTransport[[#This Row],[Ton-Miles]]*SecondaryTransport[[#This Row],[Cost_Per_Ton-Mile]]),""),"")</f>
        <v/>
      </c>
    </row>
    <row r="610" spans="12:45" ht="15" x14ac:dyDescent="0.25">
      <c r="L610" s="446" t="s">
        <v>870</v>
      </c>
      <c r="M610" s="446">
        <v>4</v>
      </c>
      <c r="N610" s="446">
        <v>2</v>
      </c>
      <c r="O610" s="446" t="s">
        <v>746</v>
      </c>
      <c r="P610" s="449" t="s">
        <v>719</v>
      </c>
      <c r="Q610" s="449"/>
      <c r="R610" s="449"/>
      <c r="S610" s="449" t="s">
        <v>762</v>
      </c>
      <c r="T610" s="449" t="s">
        <v>1055</v>
      </c>
      <c r="U610" s="452">
        <v>0</v>
      </c>
      <c r="V6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0" s="272" t="str">
        <f>IFERROR(SUMIFS(TransUnitCost[Miles],TransUnitCost[Grouping_ID],TransTonsShort[[#This Row],[Grouping_ID]],TransUnitCost[Transp_ID],TransTonsShort[[#This Row],[Transp_ID]])*TransTonsShort[[#This Row],[Trans_Tons_All]]/TransTonsShort[[#This Row],[Trans_Tons_All]],"")</f>
        <v/>
      </c>
      <c r="X610" s="386" t="str">
        <f>TransTonsShort[[#This Row],[Grouping_ID]]&amp;"-"&amp;TransTonsShort[[#This Row],[Sector_ID]]</f>
        <v>4-2</v>
      </c>
      <c r="Y6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0" s="421">
        <f>INDEX(LandfillFees[Disposal Tip Fee 2025],MATCH(TransTonsShort[[#This Row],[Grouping_ID]],LandfillFees[Grouping_ID],0))</f>
        <v>72.030938699729589</v>
      </c>
      <c r="AA610" s="102">
        <f>IF(OR(TransTonsShort[[#This Row],[CollectionStream_ID]]="03",TransTonsShort[[#This Row],[CollectionStream_ID]]="04",TransTonsShort[[#This Row],[CollectionStream_ID]]="13"),0,TransTonsShort[[#This Row],[Trans_Tons_All]]*TransTonsShort[[#This Row],[Disposal_Fee]])</f>
        <v>0</v>
      </c>
      <c r="AF610" s="446" t="s">
        <v>1783</v>
      </c>
      <c r="AG610" s="442" t="str">
        <f>LEFT(SecondaryTransport[[#This Row],[Scenario_MRF_Bale_ID]],2)</f>
        <v>S4</v>
      </c>
      <c r="AH610" s="181" t="str">
        <f>LEFT(RIGHT(SecondaryTransport[[#This Row],[Scenario_MRF_Bale_ID]],10),2)</f>
        <v>13</v>
      </c>
      <c r="AI610" s="181" t="str">
        <f>INDEX(MRFs[MRF_Name],MATCH(SecondaryTransport[[#This Row],[MRF_ID]],MRFs[MRF_ID],0))</f>
        <v>Directly marketed (no sorting)</v>
      </c>
      <c r="AJ610" s="181" t="str">
        <f>RIGHT(SecondaryTransport[[#This Row],[Scenario_MRF_Bale_ID]],7)</f>
        <v>2000-06</v>
      </c>
      <c r="AK610" s="181" t="str">
        <f>INDEX(Bales[Bale_Name],MATCH(SecondaryTransport[[#This Row],[Bale_ID]],Bales[Bale_ID],0))</f>
        <v>HDPE #2 injection bulky rigid plastic</v>
      </c>
      <c r="AL610" s="443">
        <f>INDEX(BaleMover[Total_Baled_tons],MATCH(SecondaryTransport[[#This Row],[Scenario_MRF_Bale_ID]],BaleMover[Scenario_MRF_Bale_ID],0))</f>
        <v>0</v>
      </c>
      <c r="AM610" s="443">
        <f>IF(INDEX(BaleMover[Miles],MATCH(SecondaryTransport[[#This Row],[Scenario_MRF_Bale_ID]],BaleMover[Scenario_MRF_Bale_ID],0))="",0,INDEX(BaleMover[Miles],MATCH(SecondaryTransport[[#This Row],[Scenario_MRF_Bale_ID]],BaleMover[Scenario_MRF_Bale_ID],0)))</f>
        <v>0</v>
      </c>
      <c r="AN610" s="251">
        <f>IF(SecondaryTransport[[#This Row],[Bale_ID]]="9000-01","costs elsewhere",SecondaryTransport[[#This Row],[Total_Baled_tons]]*SecondaryTransport[[#This Row],[Miles]])</f>
        <v>0</v>
      </c>
      <c r="AO610" s="352" t="str">
        <f>IF(LEFT(SecondaryTransport[[#This Row],[Bale_ID]],1)*1=5,IF(OR(SecondaryTransport[[#This Row],[MRF_ID]]="02",SecondaryTransport[[#This Row],[MRF_ID]]="08"),2,1),"")</f>
        <v/>
      </c>
      <c r="AP61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0" s="224" t="str">
        <f>IFERROR(IF(1*LEFT(SecondaryTransport[[#This Row],[Bale_ID]],1)=5,SecondaryTransport[[#This Row],[Ton-Miles]]*SecondaryTransport[[#This Row],[Cost_Per_Ton-Mile]],""),"")</f>
        <v/>
      </c>
      <c r="AS610" s="224" t="str">
        <f>IFERROR(IF(SecondaryTransport[[#This Row],[Container_Transfer]]="",(SecondaryTransport[[#This Row],[Ton-Miles]]*SecondaryTransport[[#This Row],[Cost_Per_Ton-Mile]]),""),"")</f>
        <v/>
      </c>
    </row>
    <row r="611" spans="12:45" ht="15" x14ac:dyDescent="0.25">
      <c r="L611" s="446" t="s">
        <v>870</v>
      </c>
      <c r="M611" s="446">
        <v>1</v>
      </c>
      <c r="N611" s="446">
        <v>2</v>
      </c>
      <c r="O611" s="446" t="s">
        <v>746</v>
      </c>
      <c r="P611" s="449" t="s">
        <v>700</v>
      </c>
      <c r="Q611" s="449"/>
      <c r="R611" s="449"/>
      <c r="S611" s="449" t="s">
        <v>762</v>
      </c>
      <c r="T611" s="449" t="s">
        <v>701</v>
      </c>
      <c r="U611" s="452">
        <v>12115.423242079298</v>
      </c>
      <c r="V6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1" s="272">
        <f>IFERROR(SUMIFS(TransUnitCost[Miles],TransUnitCost[Grouping_ID],TransTonsShort[[#This Row],[Grouping_ID]],TransUnitCost[Transp_ID],TransTonsShort[[#This Row],[Transp_ID]])*TransTonsShort[[#This Row],[Trans_Tons_All]]/TransTonsShort[[#This Row],[Trans_Tons_All]],"")</f>
        <v>0</v>
      </c>
      <c r="X611" s="386" t="str">
        <f>TransTonsShort[[#This Row],[Grouping_ID]]&amp;"-"&amp;TransTonsShort[[#This Row],[Sector_ID]]</f>
        <v>1-2</v>
      </c>
      <c r="Y6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1" s="421">
        <f>INDEX(LandfillFees[Disposal Tip Fee 2025],MATCH(TransTonsShort[[#This Row],[Grouping_ID]],LandfillFees[Grouping_ID],0))</f>
        <v>134.68</v>
      </c>
      <c r="AA611" s="102">
        <f>IF(OR(TransTonsShort[[#This Row],[CollectionStream_ID]]="03",TransTonsShort[[#This Row],[CollectionStream_ID]]="04",TransTonsShort[[#This Row],[CollectionStream_ID]]="13"),0,TransTonsShort[[#This Row],[Trans_Tons_All]]*TransTonsShort[[#This Row],[Disposal_Fee]])</f>
        <v>1631705.2022432399</v>
      </c>
      <c r="AF611" s="446" t="s">
        <v>1784</v>
      </c>
      <c r="AG611" s="442" t="str">
        <f>LEFT(SecondaryTransport[[#This Row],[Scenario_MRF_Bale_ID]],2)</f>
        <v>S0</v>
      </c>
      <c r="AH611" s="181" t="str">
        <f>LEFT(RIGHT(SecondaryTransport[[#This Row],[Scenario_MRF_Bale_ID]],10),2)</f>
        <v>13</v>
      </c>
      <c r="AI611" s="181" t="str">
        <f>INDEX(MRFs[MRF_Name],MATCH(SecondaryTransport[[#This Row],[MRF_ID]],MRFs[MRF_ID],0))</f>
        <v>Directly marketed (no sorting)</v>
      </c>
      <c r="AJ611" s="181" t="str">
        <f>RIGHT(SecondaryTransport[[#This Row],[Scenario_MRF_Bale_ID]],7)</f>
        <v>2000-12</v>
      </c>
      <c r="AK611" s="181" t="str">
        <f>INDEX(Bales[Bale_Name],MATCH(SecondaryTransport[[#This Row],[Bale_ID]],Bales[Bale_ID],0))</f>
        <v>PP #5 injection bulky rigid plastic</v>
      </c>
      <c r="AL611" s="443">
        <f>INDEX(BaleMover[Total_Baled_tons],MATCH(SecondaryTransport[[#This Row],[Scenario_MRF_Bale_ID]],BaleMover[Scenario_MRF_Bale_ID],0))</f>
        <v>0</v>
      </c>
      <c r="AM611" s="443">
        <f>IF(INDEX(BaleMover[Miles],MATCH(SecondaryTransport[[#This Row],[Scenario_MRF_Bale_ID]],BaleMover[Scenario_MRF_Bale_ID],0))="",0,INDEX(BaleMover[Miles],MATCH(SecondaryTransport[[#This Row],[Scenario_MRF_Bale_ID]],BaleMover[Scenario_MRF_Bale_ID],0)))</f>
        <v>0</v>
      </c>
      <c r="AN611" s="251">
        <f>IF(SecondaryTransport[[#This Row],[Bale_ID]]="9000-01","costs elsewhere",SecondaryTransport[[#This Row],[Total_Baled_tons]]*SecondaryTransport[[#This Row],[Miles]])</f>
        <v>0</v>
      </c>
      <c r="AO611" s="352" t="str">
        <f>IF(LEFT(SecondaryTransport[[#This Row],[Bale_ID]],1)*1=5,IF(OR(SecondaryTransport[[#This Row],[MRF_ID]]="02",SecondaryTransport[[#This Row],[MRF_ID]]="08"),2,1),"")</f>
        <v/>
      </c>
      <c r="AP61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1" s="224" t="str">
        <f>IFERROR(IF(1*LEFT(SecondaryTransport[[#This Row],[Bale_ID]],1)=5,SecondaryTransport[[#This Row],[Ton-Miles]]*SecondaryTransport[[#This Row],[Cost_Per_Ton-Mile]],""),"")</f>
        <v/>
      </c>
      <c r="AS611" s="224" t="str">
        <f>IFERROR(IF(SecondaryTransport[[#This Row],[Container_Transfer]]="",(SecondaryTransport[[#This Row],[Ton-Miles]]*SecondaryTransport[[#This Row],[Cost_Per_Ton-Mile]]),""),"")</f>
        <v/>
      </c>
    </row>
    <row r="612" spans="12:45" ht="15" x14ac:dyDescent="0.25">
      <c r="L612" s="446" t="s">
        <v>870</v>
      </c>
      <c r="M612" s="446">
        <v>2</v>
      </c>
      <c r="N612" s="446">
        <v>2</v>
      </c>
      <c r="O612" s="446" t="s">
        <v>746</v>
      </c>
      <c r="P612" s="449" t="s">
        <v>700</v>
      </c>
      <c r="Q612" s="449"/>
      <c r="R612" s="449"/>
      <c r="S612" s="449" t="s">
        <v>762</v>
      </c>
      <c r="T612" s="449" t="s">
        <v>701</v>
      </c>
      <c r="U612" s="452">
        <v>1578.1904064388523</v>
      </c>
      <c r="V6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2" s="272">
        <f>IFERROR(SUMIFS(TransUnitCost[Miles],TransUnitCost[Grouping_ID],TransTonsShort[[#This Row],[Grouping_ID]],TransUnitCost[Transp_ID],TransTonsShort[[#This Row],[Transp_ID]])*TransTonsShort[[#This Row],[Trans_Tons_All]]/TransTonsShort[[#This Row],[Trans_Tons_All]],"")</f>
        <v>0</v>
      </c>
      <c r="X612" s="386" t="str">
        <f>TransTonsShort[[#This Row],[Grouping_ID]]&amp;"-"&amp;TransTonsShort[[#This Row],[Sector_ID]]</f>
        <v>2-2</v>
      </c>
      <c r="Y6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2" s="421">
        <f>INDEX(LandfillFees[Disposal Tip Fee 2025],MATCH(TransTonsShort[[#This Row],[Grouping_ID]],LandfillFees[Grouping_ID],0))</f>
        <v>72.030938699729589</v>
      </c>
      <c r="AA612" s="102">
        <f>IF(OR(TransTonsShort[[#This Row],[CollectionStream_ID]]="03",TransTonsShort[[#This Row],[CollectionStream_ID]]="04",TransTonsShort[[#This Row],[CollectionStream_ID]]="13"),0,TransTonsShort[[#This Row],[Trans_Tons_All]]*TransTonsShort[[#This Row],[Disposal_Fee]])</f>
        <v>113678.53642269829</v>
      </c>
      <c r="AF612" s="446" t="s">
        <v>1785</v>
      </c>
      <c r="AG612" s="442" t="str">
        <f>LEFT(SecondaryTransport[[#This Row],[Scenario_MRF_Bale_ID]],2)</f>
        <v>S1</v>
      </c>
      <c r="AH612" s="181" t="str">
        <f>LEFT(RIGHT(SecondaryTransport[[#This Row],[Scenario_MRF_Bale_ID]],10),2)</f>
        <v>13</v>
      </c>
      <c r="AI612" s="181" t="str">
        <f>INDEX(MRFs[MRF_Name],MATCH(SecondaryTransport[[#This Row],[MRF_ID]],MRFs[MRF_ID],0))</f>
        <v>Directly marketed (no sorting)</v>
      </c>
      <c r="AJ612" s="181" t="str">
        <f>RIGHT(SecondaryTransport[[#This Row],[Scenario_MRF_Bale_ID]],7)</f>
        <v>2000-12</v>
      </c>
      <c r="AK612" s="181" t="str">
        <f>INDEX(Bales[Bale_Name],MATCH(SecondaryTransport[[#This Row],[Bale_ID]],Bales[Bale_ID],0))</f>
        <v>PP #5 injection bulky rigid plastic</v>
      </c>
      <c r="AL612" s="443">
        <f>INDEX(BaleMover[Total_Baled_tons],MATCH(SecondaryTransport[[#This Row],[Scenario_MRF_Bale_ID]],BaleMover[Scenario_MRF_Bale_ID],0))</f>
        <v>0</v>
      </c>
      <c r="AM612" s="443">
        <f>IF(INDEX(BaleMover[Miles],MATCH(SecondaryTransport[[#This Row],[Scenario_MRF_Bale_ID]],BaleMover[Scenario_MRF_Bale_ID],0))="",0,INDEX(BaleMover[Miles],MATCH(SecondaryTransport[[#This Row],[Scenario_MRF_Bale_ID]],BaleMover[Scenario_MRF_Bale_ID],0)))</f>
        <v>0</v>
      </c>
      <c r="AN612" s="251">
        <f>IF(SecondaryTransport[[#This Row],[Bale_ID]]="9000-01","costs elsewhere",SecondaryTransport[[#This Row],[Total_Baled_tons]]*SecondaryTransport[[#This Row],[Miles]])</f>
        <v>0</v>
      </c>
      <c r="AO612" s="352" t="str">
        <f>IF(LEFT(SecondaryTransport[[#This Row],[Bale_ID]],1)*1=5,IF(OR(SecondaryTransport[[#This Row],[MRF_ID]]="02",SecondaryTransport[[#This Row],[MRF_ID]]="08"),2,1),"")</f>
        <v/>
      </c>
      <c r="AP61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2" s="224" t="str">
        <f>IFERROR(IF(1*LEFT(SecondaryTransport[[#This Row],[Bale_ID]],1)=5,SecondaryTransport[[#This Row],[Ton-Miles]]*SecondaryTransport[[#This Row],[Cost_Per_Ton-Mile]],""),"")</f>
        <v/>
      </c>
      <c r="AS612" s="224" t="str">
        <f>IFERROR(IF(SecondaryTransport[[#This Row],[Container_Transfer]]="",(SecondaryTransport[[#This Row],[Ton-Miles]]*SecondaryTransport[[#This Row],[Cost_Per_Ton-Mile]]),""),"")</f>
        <v/>
      </c>
    </row>
    <row r="613" spans="12:45" ht="15" x14ac:dyDescent="0.25">
      <c r="L613" s="446" t="s">
        <v>870</v>
      </c>
      <c r="M613" s="446">
        <v>3</v>
      </c>
      <c r="N613" s="446">
        <v>2</v>
      </c>
      <c r="O613" s="446" t="s">
        <v>746</v>
      </c>
      <c r="P613" s="449" t="s">
        <v>700</v>
      </c>
      <c r="Q613" s="449"/>
      <c r="R613" s="449"/>
      <c r="S613" s="449" t="s">
        <v>762</v>
      </c>
      <c r="T613" s="449" t="s">
        <v>701</v>
      </c>
      <c r="U613" s="452">
        <v>0</v>
      </c>
      <c r="V6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3" s="272" t="str">
        <f>IFERROR(SUMIFS(TransUnitCost[Miles],TransUnitCost[Grouping_ID],TransTonsShort[[#This Row],[Grouping_ID]],TransUnitCost[Transp_ID],TransTonsShort[[#This Row],[Transp_ID]])*TransTonsShort[[#This Row],[Trans_Tons_All]]/TransTonsShort[[#This Row],[Trans_Tons_All]],"")</f>
        <v/>
      </c>
      <c r="X613" s="386" t="str">
        <f>TransTonsShort[[#This Row],[Grouping_ID]]&amp;"-"&amp;TransTonsShort[[#This Row],[Sector_ID]]</f>
        <v>3-2</v>
      </c>
      <c r="Y6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3" s="421">
        <f>INDEX(LandfillFees[Disposal Tip Fee 2025],MATCH(TransTonsShort[[#This Row],[Grouping_ID]],LandfillFees[Grouping_ID],0))</f>
        <v>72.030938699729589</v>
      </c>
      <c r="AA613" s="102">
        <f>IF(OR(TransTonsShort[[#This Row],[CollectionStream_ID]]="03",TransTonsShort[[#This Row],[CollectionStream_ID]]="04",TransTonsShort[[#This Row],[CollectionStream_ID]]="13"),0,TransTonsShort[[#This Row],[Trans_Tons_All]]*TransTonsShort[[#This Row],[Disposal_Fee]])</f>
        <v>0</v>
      </c>
      <c r="AF613" s="446" t="s">
        <v>1786</v>
      </c>
      <c r="AG613" s="442" t="str">
        <f>LEFT(SecondaryTransport[[#This Row],[Scenario_MRF_Bale_ID]],2)</f>
        <v>S2</v>
      </c>
      <c r="AH613" s="181" t="str">
        <f>LEFT(RIGHT(SecondaryTransport[[#This Row],[Scenario_MRF_Bale_ID]],10),2)</f>
        <v>13</v>
      </c>
      <c r="AI613" s="181" t="str">
        <f>INDEX(MRFs[MRF_Name],MATCH(SecondaryTransport[[#This Row],[MRF_ID]],MRFs[MRF_ID],0))</f>
        <v>Directly marketed (no sorting)</v>
      </c>
      <c r="AJ613" s="181" t="str">
        <f>RIGHT(SecondaryTransport[[#This Row],[Scenario_MRF_Bale_ID]],7)</f>
        <v>2000-12</v>
      </c>
      <c r="AK613" s="181" t="str">
        <f>INDEX(Bales[Bale_Name],MATCH(SecondaryTransport[[#This Row],[Bale_ID]],Bales[Bale_ID],0))</f>
        <v>PP #5 injection bulky rigid plastic</v>
      </c>
      <c r="AL613" s="443">
        <f>INDEX(BaleMover[Total_Baled_tons],MATCH(SecondaryTransport[[#This Row],[Scenario_MRF_Bale_ID]],BaleMover[Scenario_MRF_Bale_ID],0))</f>
        <v>0</v>
      </c>
      <c r="AM613" s="443">
        <f>IF(INDEX(BaleMover[Miles],MATCH(SecondaryTransport[[#This Row],[Scenario_MRF_Bale_ID]],BaleMover[Scenario_MRF_Bale_ID],0))="",0,INDEX(BaleMover[Miles],MATCH(SecondaryTransport[[#This Row],[Scenario_MRF_Bale_ID]],BaleMover[Scenario_MRF_Bale_ID],0)))</f>
        <v>0</v>
      </c>
      <c r="AN613" s="251">
        <f>IF(SecondaryTransport[[#This Row],[Bale_ID]]="9000-01","costs elsewhere",SecondaryTransport[[#This Row],[Total_Baled_tons]]*SecondaryTransport[[#This Row],[Miles]])</f>
        <v>0</v>
      </c>
      <c r="AO613" s="352" t="str">
        <f>IF(LEFT(SecondaryTransport[[#This Row],[Bale_ID]],1)*1=5,IF(OR(SecondaryTransport[[#This Row],[MRF_ID]]="02",SecondaryTransport[[#This Row],[MRF_ID]]="08"),2,1),"")</f>
        <v/>
      </c>
      <c r="AP61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3" s="224" t="str">
        <f>IFERROR(IF(1*LEFT(SecondaryTransport[[#This Row],[Bale_ID]],1)=5,SecondaryTransport[[#This Row],[Ton-Miles]]*SecondaryTransport[[#This Row],[Cost_Per_Ton-Mile]],""),"")</f>
        <v/>
      </c>
      <c r="AS613" s="224" t="str">
        <f>IFERROR(IF(SecondaryTransport[[#This Row],[Container_Transfer]]="",(SecondaryTransport[[#This Row],[Ton-Miles]]*SecondaryTransport[[#This Row],[Cost_Per_Ton-Mile]]),""),"")</f>
        <v/>
      </c>
    </row>
    <row r="614" spans="12:45" ht="15" x14ac:dyDescent="0.25">
      <c r="L614" s="446" t="s">
        <v>870</v>
      </c>
      <c r="M614" s="446">
        <v>4</v>
      </c>
      <c r="N614" s="446">
        <v>2</v>
      </c>
      <c r="O614" s="446" t="s">
        <v>746</v>
      </c>
      <c r="P614" s="449" t="s">
        <v>700</v>
      </c>
      <c r="Q614" s="449"/>
      <c r="R614" s="449"/>
      <c r="S614" s="449" t="s">
        <v>762</v>
      </c>
      <c r="T614" s="449" t="s">
        <v>701</v>
      </c>
      <c r="U614" s="452">
        <v>0</v>
      </c>
      <c r="V6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14" s="272" t="str">
        <f>IFERROR(SUMIFS(TransUnitCost[Miles],TransUnitCost[Grouping_ID],TransTonsShort[[#This Row],[Grouping_ID]],TransUnitCost[Transp_ID],TransTonsShort[[#This Row],[Transp_ID]])*TransTonsShort[[#This Row],[Trans_Tons_All]]/TransTonsShort[[#This Row],[Trans_Tons_All]],"")</f>
        <v/>
      </c>
      <c r="X614" s="386" t="str">
        <f>TransTonsShort[[#This Row],[Grouping_ID]]&amp;"-"&amp;TransTonsShort[[#This Row],[Sector_ID]]</f>
        <v>4-2</v>
      </c>
      <c r="Y6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4" s="421">
        <f>INDEX(LandfillFees[Disposal Tip Fee 2025],MATCH(TransTonsShort[[#This Row],[Grouping_ID]],LandfillFees[Grouping_ID],0))</f>
        <v>72.030938699729589</v>
      </c>
      <c r="AA614" s="102">
        <f>IF(OR(TransTonsShort[[#This Row],[CollectionStream_ID]]="03",TransTonsShort[[#This Row],[CollectionStream_ID]]="04",TransTonsShort[[#This Row],[CollectionStream_ID]]="13"),0,TransTonsShort[[#This Row],[Trans_Tons_All]]*TransTonsShort[[#This Row],[Disposal_Fee]])</f>
        <v>0</v>
      </c>
      <c r="AF614" s="446" t="s">
        <v>1787</v>
      </c>
      <c r="AG614" s="442" t="str">
        <f>LEFT(SecondaryTransport[[#This Row],[Scenario_MRF_Bale_ID]],2)</f>
        <v>S3</v>
      </c>
      <c r="AH614" s="181" t="str">
        <f>LEFT(RIGHT(SecondaryTransport[[#This Row],[Scenario_MRF_Bale_ID]],10),2)</f>
        <v>13</v>
      </c>
      <c r="AI614" s="181" t="str">
        <f>INDEX(MRFs[MRF_Name],MATCH(SecondaryTransport[[#This Row],[MRF_ID]],MRFs[MRF_ID],0))</f>
        <v>Directly marketed (no sorting)</v>
      </c>
      <c r="AJ614" s="181" t="str">
        <f>RIGHT(SecondaryTransport[[#This Row],[Scenario_MRF_Bale_ID]],7)</f>
        <v>2000-12</v>
      </c>
      <c r="AK614" s="181" t="str">
        <f>INDEX(Bales[Bale_Name],MATCH(SecondaryTransport[[#This Row],[Bale_ID]],Bales[Bale_ID],0))</f>
        <v>PP #5 injection bulky rigid plastic</v>
      </c>
      <c r="AL614" s="443">
        <f>INDEX(BaleMover[Total_Baled_tons],MATCH(SecondaryTransport[[#This Row],[Scenario_MRF_Bale_ID]],BaleMover[Scenario_MRF_Bale_ID],0))</f>
        <v>0</v>
      </c>
      <c r="AM614" s="443">
        <f>IF(INDEX(BaleMover[Miles],MATCH(SecondaryTransport[[#This Row],[Scenario_MRF_Bale_ID]],BaleMover[Scenario_MRF_Bale_ID],0))="",0,INDEX(BaleMover[Miles],MATCH(SecondaryTransport[[#This Row],[Scenario_MRF_Bale_ID]],BaleMover[Scenario_MRF_Bale_ID],0)))</f>
        <v>0</v>
      </c>
      <c r="AN614" s="251">
        <f>IF(SecondaryTransport[[#This Row],[Bale_ID]]="9000-01","costs elsewhere",SecondaryTransport[[#This Row],[Total_Baled_tons]]*SecondaryTransport[[#This Row],[Miles]])</f>
        <v>0</v>
      </c>
      <c r="AO614" s="352" t="str">
        <f>IF(LEFT(SecondaryTransport[[#This Row],[Bale_ID]],1)*1=5,IF(OR(SecondaryTransport[[#This Row],[MRF_ID]]="02",SecondaryTransport[[#This Row],[MRF_ID]]="08"),2,1),"")</f>
        <v/>
      </c>
      <c r="AP61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4" s="224" t="str">
        <f>IFERROR(IF(1*LEFT(SecondaryTransport[[#This Row],[Bale_ID]],1)=5,SecondaryTransport[[#This Row],[Ton-Miles]]*SecondaryTransport[[#This Row],[Cost_Per_Ton-Mile]],""),"")</f>
        <v/>
      </c>
      <c r="AS614" s="224" t="str">
        <f>IFERROR(IF(SecondaryTransport[[#This Row],[Container_Transfer]]="",(SecondaryTransport[[#This Row],[Ton-Miles]]*SecondaryTransport[[#This Row],[Cost_Per_Ton-Mile]]),""),"")</f>
        <v/>
      </c>
    </row>
    <row r="615" spans="12:45" ht="15" x14ac:dyDescent="0.25">
      <c r="L615" s="446" t="s">
        <v>870</v>
      </c>
      <c r="M615" s="446">
        <v>1</v>
      </c>
      <c r="N615" s="446">
        <v>2</v>
      </c>
      <c r="O615" s="446" t="s">
        <v>746</v>
      </c>
      <c r="P615" s="449" t="s">
        <v>746</v>
      </c>
      <c r="Q615" s="449"/>
      <c r="R615" s="449"/>
      <c r="S615" s="449" t="s">
        <v>762</v>
      </c>
      <c r="T615" s="449" t="s">
        <v>848</v>
      </c>
      <c r="U615" s="452">
        <v>1346.158138008811</v>
      </c>
      <c r="V6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22076.993463344497</v>
      </c>
      <c r="W615" s="272">
        <f>IFERROR(SUMIFS(TransUnitCost[Miles],TransUnitCost[Grouping_ID],TransTonsShort[[#This Row],[Grouping_ID]],TransUnitCost[Transp_ID],TransTonsShort[[#This Row],[Transp_ID]])*TransTonsShort[[#This Row],[Trans_Tons_All]]/TransTonsShort[[#This Row],[Trans_Tons_All]],"")</f>
        <v>20</v>
      </c>
      <c r="X615" s="386" t="str">
        <f>TransTonsShort[[#This Row],[Grouping_ID]]&amp;"-"&amp;TransTonsShort[[#This Row],[Sector_ID]]</f>
        <v>1-2</v>
      </c>
      <c r="Y6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5" s="421">
        <f>INDEX(LandfillFees[Disposal Tip Fee 2025],MATCH(TransTonsShort[[#This Row],[Grouping_ID]],LandfillFees[Grouping_ID],0))</f>
        <v>134.68</v>
      </c>
      <c r="AA615" s="102">
        <f>IF(OR(TransTonsShort[[#This Row],[CollectionStream_ID]]="03",TransTonsShort[[#This Row],[CollectionStream_ID]]="04",TransTonsShort[[#This Row],[CollectionStream_ID]]="13"),0,TransTonsShort[[#This Row],[Trans_Tons_All]]*TransTonsShort[[#This Row],[Disposal_Fee]])</f>
        <v>181300.57802702667</v>
      </c>
      <c r="AF615" s="446" t="s">
        <v>1788</v>
      </c>
      <c r="AG615" s="442" t="str">
        <f>LEFT(SecondaryTransport[[#This Row],[Scenario_MRF_Bale_ID]],2)</f>
        <v>S4</v>
      </c>
      <c r="AH615" s="181" t="str">
        <f>LEFT(RIGHT(SecondaryTransport[[#This Row],[Scenario_MRF_Bale_ID]],10),2)</f>
        <v>13</v>
      </c>
      <c r="AI615" s="181" t="str">
        <f>INDEX(MRFs[MRF_Name],MATCH(SecondaryTransport[[#This Row],[MRF_ID]],MRFs[MRF_ID],0))</f>
        <v>Directly marketed (no sorting)</v>
      </c>
      <c r="AJ615" s="181" t="str">
        <f>RIGHT(SecondaryTransport[[#This Row],[Scenario_MRF_Bale_ID]],7)</f>
        <v>2000-12</v>
      </c>
      <c r="AK615" s="181" t="str">
        <f>INDEX(Bales[Bale_Name],MATCH(SecondaryTransport[[#This Row],[Bale_ID]],Bales[Bale_ID],0))</f>
        <v>PP #5 injection bulky rigid plastic</v>
      </c>
      <c r="AL615" s="443">
        <f>INDEX(BaleMover[Total_Baled_tons],MATCH(SecondaryTransport[[#This Row],[Scenario_MRF_Bale_ID]],BaleMover[Scenario_MRF_Bale_ID],0))</f>
        <v>0</v>
      </c>
      <c r="AM615" s="443">
        <f>IF(INDEX(BaleMover[Miles],MATCH(SecondaryTransport[[#This Row],[Scenario_MRF_Bale_ID]],BaleMover[Scenario_MRF_Bale_ID],0))="",0,INDEX(BaleMover[Miles],MATCH(SecondaryTransport[[#This Row],[Scenario_MRF_Bale_ID]],BaleMover[Scenario_MRF_Bale_ID],0)))</f>
        <v>0</v>
      </c>
      <c r="AN615" s="251">
        <f>IF(SecondaryTransport[[#This Row],[Bale_ID]]="9000-01","costs elsewhere",SecondaryTransport[[#This Row],[Total_Baled_tons]]*SecondaryTransport[[#This Row],[Miles]])</f>
        <v>0</v>
      </c>
      <c r="AO615" s="352" t="str">
        <f>IF(LEFT(SecondaryTransport[[#This Row],[Bale_ID]],1)*1=5,IF(OR(SecondaryTransport[[#This Row],[MRF_ID]]="02",SecondaryTransport[[#This Row],[MRF_ID]]="08"),2,1),"")</f>
        <v/>
      </c>
      <c r="AP61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15" s="224" t="str">
        <f>IFERROR(IF(1*LEFT(SecondaryTransport[[#This Row],[Bale_ID]],1)=5,SecondaryTransport[[#This Row],[Ton-Miles]]*SecondaryTransport[[#This Row],[Cost_Per_Ton-Mile]],""),"")</f>
        <v/>
      </c>
      <c r="AS615" s="224" t="str">
        <f>IFERROR(IF(SecondaryTransport[[#This Row],[Container_Transfer]]="",(SecondaryTransport[[#This Row],[Ton-Miles]]*SecondaryTransport[[#This Row],[Cost_Per_Ton-Mile]]),""),"")</f>
        <v/>
      </c>
    </row>
    <row r="616" spans="12:45" ht="15" x14ac:dyDescent="0.25">
      <c r="L616" s="446" t="s">
        <v>870</v>
      </c>
      <c r="M616" s="446">
        <v>2</v>
      </c>
      <c r="N616" s="446">
        <v>2</v>
      </c>
      <c r="O616" s="446" t="s">
        <v>746</v>
      </c>
      <c r="P616" s="449" t="s">
        <v>746</v>
      </c>
      <c r="Q616" s="449"/>
      <c r="R616" s="449"/>
      <c r="S616" s="449" t="s">
        <v>762</v>
      </c>
      <c r="T616" s="449" t="s">
        <v>848</v>
      </c>
      <c r="U616" s="452">
        <v>1578.1904064388523</v>
      </c>
      <c r="V6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35351.465104230294</v>
      </c>
      <c r="W616" s="272">
        <f>IFERROR(SUMIFS(TransUnitCost[Miles],TransUnitCost[Grouping_ID],TransTonsShort[[#This Row],[Grouping_ID]],TransUnitCost[Transp_ID],TransTonsShort[[#This Row],[Transp_ID]])*TransTonsShort[[#This Row],[Trans_Tons_All]]/TransTonsShort[[#This Row],[Trans_Tons_All]],"")</f>
        <v>70</v>
      </c>
      <c r="X616" s="386" t="str">
        <f>TransTonsShort[[#This Row],[Grouping_ID]]&amp;"-"&amp;TransTonsShort[[#This Row],[Sector_ID]]</f>
        <v>2-2</v>
      </c>
      <c r="Y6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6" s="421">
        <f>INDEX(LandfillFees[Disposal Tip Fee 2025],MATCH(TransTonsShort[[#This Row],[Grouping_ID]],LandfillFees[Grouping_ID],0))</f>
        <v>72.030938699729589</v>
      </c>
      <c r="AA616" s="102">
        <f>IF(OR(TransTonsShort[[#This Row],[CollectionStream_ID]]="03",TransTonsShort[[#This Row],[CollectionStream_ID]]="04",TransTonsShort[[#This Row],[CollectionStream_ID]]="13"),0,TransTonsShort[[#This Row],[Trans_Tons_All]]*TransTonsShort[[#This Row],[Disposal_Fee]])</f>
        <v>113678.53642269829</v>
      </c>
      <c r="AF616" s="446" t="s">
        <v>1789</v>
      </c>
      <c r="AG616" s="181" t="str">
        <f>LEFT(SecondaryTransport[[#This Row],[Scenario_MRF_Bale_ID]],2)</f>
        <v>S0</v>
      </c>
      <c r="AH616" s="181" t="str">
        <f>LEFT(RIGHT(SecondaryTransport[[#This Row],[Scenario_MRF_Bale_ID]],10),2)</f>
        <v>02</v>
      </c>
      <c r="AI616" s="181" t="str">
        <f>INDEX(MRFs[MRF_Name],MATCH(SecondaryTransport[[#This Row],[MRF_ID]],MRFs[MRF_ID],0))</f>
        <v>1 MRF for SS (Salem)</v>
      </c>
      <c r="AJ616" s="181" t="str">
        <f>RIGHT(SecondaryTransport[[#This Row],[Scenario_MRF_Bale_ID]],7)</f>
        <v>9000-01</v>
      </c>
      <c r="AK616" s="181" t="str">
        <f>INDEX(Bales[Bale_Name],MATCH(SecondaryTransport[[#This Row],[Bale_ID]],Bales[Bale_ID],0))</f>
        <v>Landfilled residue</v>
      </c>
      <c r="AL616" s="443">
        <f>INDEX(BaleMover[Total_Baled_tons],MATCH(SecondaryTransport[[#This Row],[Scenario_MRF_Bale_ID]],BaleMover[Scenario_MRF_Bale_ID],0))</f>
        <v>17562.63610627623</v>
      </c>
      <c r="AM616" s="443">
        <f>IF(INDEX(BaleMover[Miles],MATCH(SecondaryTransport[[#This Row],[Scenario_MRF_Bale_ID]],BaleMover[Scenario_MRF_Bale_ID],0))="",0,INDEX(BaleMover[Miles],MATCH(SecondaryTransport[[#This Row],[Scenario_MRF_Bale_ID]],BaleMover[Scenario_MRF_Bale_ID],0)))</f>
        <v>20</v>
      </c>
      <c r="AN616" s="251" t="str">
        <f>IF(SecondaryTransport[[#This Row],[Bale_ID]]="9000-01","costs elsewhere",SecondaryTransport[[#This Row],[Total_Baled_tons]]*SecondaryTransport[[#This Row],[Miles]])</f>
        <v>costs elsewhere</v>
      </c>
      <c r="AO616" s="352" t="str">
        <f>IF(LEFT(SecondaryTransport[[#This Row],[Bale_ID]],1)*1=5,IF(OR(SecondaryTransport[[#This Row],[MRF_ID]]="02",SecondaryTransport[[#This Row],[MRF_ID]]="08"),2,1),"")</f>
        <v/>
      </c>
      <c r="AP61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16" s="224" t="str">
        <f>IFERROR(IF(1*LEFT(SecondaryTransport[[#This Row],[Bale_ID]],1)=5,SecondaryTransport[[#This Row],[Ton-Miles]]*SecondaryTransport[[#This Row],[Cost_Per_Ton-Mile]],""),"")</f>
        <v/>
      </c>
      <c r="AS616" s="224" t="str">
        <f>IFERROR(IF(SecondaryTransport[[#This Row],[Container_Transfer]]="",(SecondaryTransport[[#This Row],[Ton-Miles]]*SecondaryTransport[[#This Row],[Cost_Per_Ton-Mile]]),""),"")</f>
        <v/>
      </c>
    </row>
    <row r="617" spans="12:45" ht="15" x14ac:dyDescent="0.25">
      <c r="L617" s="446" t="s">
        <v>870</v>
      </c>
      <c r="M617" s="446">
        <v>3</v>
      </c>
      <c r="N617" s="446">
        <v>2</v>
      </c>
      <c r="O617" s="446" t="s">
        <v>746</v>
      </c>
      <c r="P617" s="449" t="s">
        <v>746</v>
      </c>
      <c r="Q617" s="449"/>
      <c r="R617" s="449"/>
      <c r="S617" s="449" t="s">
        <v>762</v>
      </c>
      <c r="T617" s="449" t="s">
        <v>848</v>
      </c>
      <c r="U617" s="452">
        <v>759.05594064061097</v>
      </c>
      <c r="V6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33018.933417866574</v>
      </c>
      <c r="W617" s="272">
        <f>IFERROR(SUMIFS(TransUnitCost[Miles],TransUnitCost[Grouping_ID],TransTonsShort[[#This Row],[Grouping_ID]],TransUnitCost[Transp_ID],TransTonsShort[[#This Row],[Transp_ID]])*TransTonsShort[[#This Row],[Trans_Tons_All]]/TransTonsShort[[#This Row],[Trans_Tons_All]],"")</f>
        <v>150</v>
      </c>
      <c r="X617" s="386" t="str">
        <f>TransTonsShort[[#This Row],[Grouping_ID]]&amp;"-"&amp;TransTonsShort[[#This Row],[Sector_ID]]</f>
        <v>3-2</v>
      </c>
      <c r="Y6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7" s="421">
        <f>INDEX(LandfillFees[Disposal Tip Fee 2025],MATCH(TransTonsShort[[#This Row],[Grouping_ID]],LandfillFees[Grouping_ID],0))</f>
        <v>72.030938699729589</v>
      </c>
      <c r="AA617" s="102">
        <f>IF(OR(TransTonsShort[[#This Row],[CollectionStream_ID]]="03",TransTonsShort[[#This Row],[CollectionStream_ID]]="04",TransTonsShort[[#This Row],[CollectionStream_ID]]="13"),0,TransTonsShort[[#This Row],[Trans_Tons_All]]*TransTonsShort[[#This Row],[Disposal_Fee]])</f>
        <v>54675.511929949433</v>
      </c>
      <c r="AF617" s="446" t="s">
        <v>1790</v>
      </c>
      <c r="AG617" s="181" t="str">
        <f>LEFT(SecondaryTransport[[#This Row],[Scenario_MRF_Bale_ID]],2)</f>
        <v>S1</v>
      </c>
      <c r="AH617" s="181" t="str">
        <f>LEFT(RIGHT(SecondaryTransport[[#This Row],[Scenario_MRF_Bale_ID]],10),2)</f>
        <v>02</v>
      </c>
      <c r="AI617" s="181" t="str">
        <f>INDEX(MRFs[MRF_Name],MATCH(SecondaryTransport[[#This Row],[MRF_ID]],MRFs[MRF_ID],0))</f>
        <v>1 MRF for SS (Salem)</v>
      </c>
      <c r="AJ617" s="181" t="str">
        <f>RIGHT(SecondaryTransport[[#This Row],[Scenario_MRF_Bale_ID]],7)</f>
        <v>9000-01</v>
      </c>
      <c r="AK617" s="181" t="str">
        <f>INDEX(Bales[Bale_Name],MATCH(SecondaryTransport[[#This Row],[Bale_ID]],Bales[Bale_ID],0))</f>
        <v>Landfilled residue</v>
      </c>
      <c r="AL617" s="443">
        <f>INDEX(BaleMover[Total_Baled_tons],MATCH(SecondaryTransport[[#This Row],[Scenario_MRF_Bale_ID]],BaleMover[Scenario_MRF_Bale_ID],0))</f>
        <v>11265.55337481023</v>
      </c>
      <c r="AM617" s="443">
        <f>IF(INDEX(BaleMover[Miles],MATCH(SecondaryTransport[[#This Row],[Scenario_MRF_Bale_ID]],BaleMover[Scenario_MRF_Bale_ID],0))="",0,INDEX(BaleMover[Miles],MATCH(SecondaryTransport[[#This Row],[Scenario_MRF_Bale_ID]],BaleMover[Scenario_MRF_Bale_ID],0)))</f>
        <v>20</v>
      </c>
      <c r="AN617" s="251" t="str">
        <f>IF(SecondaryTransport[[#This Row],[Bale_ID]]="9000-01","costs elsewhere",SecondaryTransport[[#This Row],[Total_Baled_tons]]*SecondaryTransport[[#This Row],[Miles]])</f>
        <v>costs elsewhere</v>
      </c>
      <c r="AO617" s="352" t="str">
        <f>IF(LEFT(SecondaryTransport[[#This Row],[Bale_ID]],1)*1=5,IF(OR(SecondaryTransport[[#This Row],[MRF_ID]]="02",SecondaryTransport[[#This Row],[MRF_ID]]="08"),2,1),"")</f>
        <v/>
      </c>
      <c r="AP61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17" s="224" t="str">
        <f>IFERROR(IF(1*LEFT(SecondaryTransport[[#This Row],[Bale_ID]],1)=5,SecondaryTransport[[#This Row],[Ton-Miles]]*SecondaryTransport[[#This Row],[Cost_Per_Ton-Mile]],""),"")</f>
        <v/>
      </c>
      <c r="AS617" s="224" t="str">
        <f>IFERROR(IF(SecondaryTransport[[#This Row],[Container_Transfer]]="",(SecondaryTransport[[#This Row],[Ton-Miles]]*SecondaryTransport[[#This Row],[Cost_Per_Ton-Mile]]),""),"")</f>
        <v/>
      </c>
    </row>
    <row r="618" spans="12:45" ht="15" x14ac:dyDescent="0.25">
      <c r="L618" s="446" t="s">
        <v>870</v>
      </c>
      <c r="M618" s="446">
        <v>4</v>
      </c>
      <c r="N618" s="446">
        <v>2</v>
      </c>
      <c r="O618" s="446" t="s">
        <v>746</v>
      </c>
      <c r="P618" s="449" t="s">
        <v>746</v>
      </c>
      <c r="Q618" s="449"/>
      <c r="R618" s="449"/>
      <c r="S618" s="449" t="s">
        <v>762</v>
      </c>
      <c r="T618" s="449" t="s">
        <v>848</v>
      </c>
      <c r="U618" s="452">
        <v>10.24542771832869</v>
      </c>
      <c r="V6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819.63421746629524</v>
      </c>
      <c r="W618" s="272">
        <f>IFERROR(SUMIFS(TransUnitCost[Miles],TransUnitCost[Grouping_ID],TransTonsShort[[#This Row],[Grouping_ID]],TransUnitCost[Transp_ID],TransTonsShort[[#This Row],[Transp_ID]])*TransTonsShort[[#This Row],[Trans_Tons_All]]/TransTonsShort[[#This Row],[Trans_Tons_All]],"")</f>
        <v>250</v>
      </c>
      <c r="X618" s="386" t="str">
        <f>TransTonsShort[[#This Row],[Grouping_ID]]&amp;"-"&amp;TransTonsShort[[#This Row],[Sector_ID]]</f>
        <v>4-2</v>
      </c>
      <c r="Y6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18" s="421">
        <f>INDEX(LandfillFees[Disposal Tip Fee 2025],MATCH(TransTonsShort[[#This Row],[Grouping_ID]],LandfillFees[Grouping_ID],0))</f>
        <v>72.030938699729589</v>
      </c>
      <c r="AA618" s="102">
        <f>IF(OR(TransTonsShort[[#This Row],[CollectionStream_ID]]="03",TransTonsShort[[#This Row],[CollectionStream_ID]]="04",TransTonsShort[[#This Row],[CollectionStream_ID]]="13"),0,TransTonsShort[[#This Row],[Trans_Tons_All]]*TransTonsShort[[#This Row],[Disposal_Fee]])</f>
        <v>737.98777593144428</v>
      </c>
      <c r="AF618" s="446" t="s">
        <v>1791</v>
      </c>
      <c r="AG618" s="181" t="str">
        <f>LEFT(SecondaryTransport[[#This Row],[Scenario_MRF_Bale_ID]],2)</f>
        <v>S2</v>
      </c>
      <c r="AH618" s="181" t="str">
        <f>LEFT(RIGHT(SecondaryTransport[[#This Row],[Scenario_MRF_Bale_ID]],10),2)</f>
        <v>02</v>
      </c>
      <c r="AI618" s="181" t="str">
        <f>INDEX(MRFs[MRF_Name],MATCH(SecondaryTransport[[#This Row],[MRF_ID]],MRFs[MRF_ID],0))</f>
        <v>1 MRF for SS (Salem)</v>
      </c>
      <c r="AJ618" s="181" t="str">
        <f>RIGHT(SecondaryTransport[[#This Row],[Scenario_MRF_Bale_ID]],7)</f>
        <v>9000-01</v>
      </c>
      <c r="AK618" s="181" t="str">
        <f>INDEX(Bales[Bale_Name],MATCH(SecondaryTransport[[#This Row],[Bale_ID]],Bales[Bale_ID],0))</f>
        <v>Landfilled residue</v>
      </c>
      <c r="AL618" s="443">
        <f>INDEX(BaleMover[Total_Baled_tons],MATCH(SecondaryTransport[[#This Row],[Scenario_MRF_Bale_ID]],BaleMover[Scenario_MRF_Bale_ID],0))</f>
        <v>12644.889101581899</v>
      </c>
      <c r="AM618" s="443">
        <f>IF(INDEX(BaleMover[Miles],MATCH(SecondaryTransport[[#This Row],[Scenario_MRF_Bale_ID]],BaleMover[Scenario_MRF_Bale_ID],0))="",0,INDEX(BaleMover[Miles],MATCH(SecondaryTransport[[#This Row],[Scenario_MRF_Bale_ID]],BaleMover[Scenario_MRF_Bale_ID],0)))</f>
        <v>20</v>
      </c>
      <c r="AN618" s="251" t="str">
        <f>IF(SecondaryTransport[[#This Row],[Bale_ID]]="9000-01","costs elsewhere",SecondaryTransport[[#This Row],[Total_Baled_tons]]*SecondaryTransport[[#This Row],[Miles]])</f>
        <v>costs elsewhere</v>
      </c>
      <c r="AO618" s="352" t="str">
        <f>IF(LEFT(SecondaryTransport[[#This Row],[Bale_ID]],1)*1=5,IF(OR(SecondaryTransport[[#This Row],[MRF_ID]]="02",SecondaryTransport[[#This Row],[MRF_ID]]="08"),2,1),"")</f>
        <v/>
      </c>
      <c r="AP61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18" s="224" t="str">
        <f>IFERROR(IF(1*LEFT(SecondaryTransport[[#This Row],[Bale_ID]],1)=5,SecondaryTransport[[#This Row],[Ton-Miles]]*SecondaryTransport[[#This Row],[Cost_Per_Ton-Mile]],""),"")</f>
        <v/>
      </c>
      <c r="AS618" s="224" t="str">
        <f>IFERROR(IF(SecondaryTransport[[#This Row],[Container_Transfer]]="",(SecondaryTransport[[#This Row],[Ton-Miles]]*SecondaryTransport[[#This Row],[Cost_Per_Ton-Mile]]),""),"")</f>
        <v/>
      </c>
    </row>
    <row r="619" spans="12:45" ht="15" x14ac:dyDescent="0.25">
      <c r="L619" s="446" t="s">
        <v>870</v>
      </c>
      <c r="M619" s="446">
        <v>1</v>
      </c>
      <c r="N619" s="446">
        <v>2</v>
      </c>
      <c r="O619" s="446" t="s">
        <v>706</v>
      </c>
      <c r="P619" s="450" t="s">
        <v>739</v>
      </c>
      <c r="Q619" s="450"/>
      <c r="R619" s="450"/>
      <c r="S619" s="449" t="s">
        <v>707</v>
      </c>
      <c r="T619" s="449" t="s">
        <v>1121</v>
      </c>
      <c r="U619" s="452">
        <v>1828.0007943083401</v>
      </c>
      <c r="V6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35463.215409581797</v>
      </c>
      <c r="W619" s="272">
        <f>IFERROR(SUMIFS(TransUnitCost[Miles],TransUnitCost[Grouping_ID],TransTonsShort[[#This Row],[Grouping_ID]],TransUnitCost[Transp_ID],TransTonsShort[[#This Row],[Transp_ID]])*TransTonsShort[[#This Row],[Trans_Tons_All]]/TransTonsShort[[#This Row],[Trans_Tons_All]],"")</f>
        <v>20</v>
      </c>
      <c r="X619" s="386" t="str">
        <f>TransTonsShort[[#This Row],[Grouping_ID]]&amp;"-"&amp;TransTonsShort[[#This Row],[Sector_ID]]</f>
        <v>1-2</v>
      </c>
      <c r="Y6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19" s="421">
        <f>INDEX(LandfillFees[Disposal Tip Fee 2025],MATCH(TransTonsShort[[#This Row],[Grouping_ID]],LandfillFees[Grouping_ID],0))</f>
        <v>134.68</v>
      </c>
      <c r="AA619" s="102">
        <f>IF(OR(TransTonsShort[[#This Row],[CollectionStream_ID]]="03",TransTonsShort[[#This Row],[CollectionStream_ID]]="04",TransTonsShort[[#This Row],[CollectionStream_ID]]="13"),0,TransTonsShort[[#This Row],[Trans_Tons_All]]*TransTonsShort[[#This Row],[Disposal_Fee]])</f>
        <v>246195.14697744726</v>
      </c>
      <c r="AF619" s="446" t="s">
        <v>1792</v>
      </c>
      <c r="AG619" s="181" t="str">
        <f>LEFT(SecondaryTransport[[#This Row],[Scenario_MRF_Bale_ID]],2)</f>
        <v>S3</v>
      </c>
      <c r="AH619" s="181" t="str">
        <f>LEFT(RIGHT(SecondaryTransport[[#This Row],[Scenario_MRF_Bale_ID]],10),2)</f>
        <v>02</v>
      </c>
      <c r="AI619" s="181" t="str">
        <f>INDEX(MRFs[MRF_Name],MATCH(SecondaryTransport[[#This Row],[MRF_ID]],MRFs[MRF_ID],0))</f>
        <v>1 MRF for SS (Salem)</v>
      </c>
      <c r="AJ619" s="181" t="str">
        <f>RIGHT(SecondaryTransport[[#This Row],[Scenario_MRF_Bale_ID]],7)</f>
        <v>9000-01</v>
      </c>
      <c r="AK619" s="181" t="str">
        <f>INDEX(Bales[Bale_Name],MATCH(SecondaryTransport[[#This Row],[Bale_ID]],Bales[Bale_ID],0))</f>
        <v>Landfilled residue</v>
      </c>
      <c r="AL619" s="443">
        <f>INDEX(BaleMover[Total_Baled_tons],MATCH(SecondaryTransport[[#This Row],[Scenario_MRF_Bale_ID]],BaleMover[Scenario_MRF_Bale_ID],0))</f>
        <v>12644.889101581899</v>
      </c>
      <c r="AM619" s="443">
        <f>IF(INDEX(BaleMover[Miles],MATCH(SecondaryTransport[[#This Row],[Scenario_MRF_Bale_ID]],BaleMover[Scenario_MRF_Bale_ID],0))="",0,INDEX(BaleMover[Miles],MATCH(SecondaryTransport[[#This Row],[Scenario_MRF_Bale_ID]],BaleMover[Scenario_MRF_Bale_ID],0)))</f>
        <v>20</v>
      </c>
      <c r="AN619" s="251" t="str">
        <f>IF(SecondaryTransport[[#This Row],[Bale_ID]]="9000-01","costs elsewhere",SecondaryTransport[[#This Row],[Total_Baled_tons]]*SecondaryTransport[[#This Row],[Miles]])</f>
        <v>costs elsewhere</v>
      </c>
      <c r="AO619" s="352" t="str">
        <f>IF(LEFT(SecondaryTransport[[#This Row],[Bale_ID]],1)*1=5,IF(OR(SecondaryTransport[[#This Row],[MRF_ID]]="02",SecondaryTransport[[#This Row],[MRF_ID]]="08"),2,1),"")</f>
        <v/>
      </c>
      <c r="AP61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1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19" s="224" t="str">
        <f>IFERROR(IF(1*LEFT(SecondaryTransport[[#This Row],[Bale_ID]],1)=5,SecondaryTransport[[#This Row],[Ton-Miles]]*SecondaryTransport[[#This Row],[Cost_Per_Ton-Mile]],""),"")</f>
        <v/>
      </c>
      <c r="AS619" s="224" t="str">
        <f>IFERROR(IF(SecondaryTransport[[#This Row],[Container_Transfer]]="",(SecondaryTransport[[#This Row],[Ton-Miles]]*SecondaryTransport[[#This Row],[Cost_Per_Ton-Mile]]),""),"")</f>
        <v/>
      </c>
    </row>
    <row r="620" spans="12:45" ht="15" x14ac:dyDescent="0.25">
      <c r="L620" s="446" t="s">
        <v>870</v>
      </c>
      <c r="M620" s="446">
        <v>2</v>
      </c>
      <c r="N620" s="446">
        <v>2</v>
      </c>
      <c r="O620" s="446" t="s">
        <v>706</v>
      </c>
      <c r="P620" s="450" t="s">
        <v>739</v>
      </c>
      <c r="Q620" s="450"/>
      <c r="R620" s="450"/>
      <c r="S620" s="449" t="s">
        <v>707</v>
      </c>
      <c r="T620" s="449" t="s">
        <v>1121</v>
      </c>
      <c r="U620" s="452">
        <v>291.5823406050647</v>
      </c>
      <c r="V6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12042.350666989172</v>
      </c>
      <c r="W620" s="272">
        <f>IFERROR(SUMIFS(TransUnitCost[Miles],TransUnitCost[Grouping_ID],TransTonsShort[[#This Row],[Grouping_ID]],TransUnitCost[Transp_ID],TransTonsShort[[#This Row],[Transp_ID]])*TransTonsShort[[#This Row],[Trans_Tons_All]]/TransTonsShort[[#This Row],[Trans_Tons_All]],"")</f>
        <v>70</v>
      </c>
      <c r="X620" s="386" t="str">
        <f>TransTonsShort[[#This Row],[Grouping_ID]]&amp;"-"&amp;TransTonsShort[[#This Row],[Sector_ID]]</f>
        <v>2-2</v>
      </c>
      <c r="Y6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0" s="421">
        <f>INDEX(LandfillFees[Disposal Tip Fee 2025],MATCH(TransTonsShort[[#This Row],[Grouping_ID]],LandfillFees[Grouping_ID],0))</f>
        <v>72.030938699729589</v>
      </c>
      <c r="AA620" s="102">
        <f>IF(OR(TransTonsShort[[#This Row],[CollectionStream_ID]]="03",TransTonsShort[[#This Row],[CollectionStream_ID]]="04",TransTonsShort[[#This Row],[CollectionStream_ID]]="13"),0,TransTonsShort[[#This Row],[Trans_Tons_All]]*TransTonsShort[[#This Row],[Disposal_Fee]])</f>
        <v>21002.949702047088</v>
      </c>
      <c r="AF620" s="446" t="s">
        <v>1793</v>
      </c>
      <c r="AG620" s="181" t="str">
        <f>LEFT(SecondaryTransport[[#This Row],[Scenario_MRF_Bale_ID]],2)</f>
        <v>S0</v>
      </c>
      <c r="AH620" s="181" t="str">
        <f>LEFT(RIGHT(SecondaryTransport[[#This Row],[Scenario_MRF_Bale_ID]],10),2)</f>
        <v>03</v>
      </c>
      <c r="AI620" s="181" t="str">
        <f>INDEX(MRFs[MRF_Name],MATCH(SecondaryTransport[[#This Row],[MRF_ID]],MRFs[MRF_ID],0))</f>
        <v>5 MRFs for SS with fiber upgrades (Portland)</v>
      </c>
      <c r="AJ620" s="181" t="str">
        <f>RIGHT(SecondaryTransport[[#This Row],[Scenario_MRF_Bale_ID]],7)</f>
        <v>9000-01</v>
      </c>
      <c r="AK620" s="181" t="str">
        <f>INDEX(Bales[Bale_Name],MATCH(SecondaryTransport[[#This Row],[Bale_ID]],Bales[Bale_ID],0))</f>
        <v>Landfilled residue</v>
      </c>
      <c r="AL620" s="443">
        <f>INDEX(BaleMover[Total_Baled_tons],MATCH(SecondaryTransport[[#This Row],[Scenario_MRF_Bale_ID]],BaleMover[Scenario_MRF_Bale_ID],0))</f>
        <v>31793.351304448734</v>
      </c>
      <c r="AM620" s="443">
        <f>IF(INDEX(BaleMover[Miles],MATCH(SecondaryTransport[[#This Row],[Scenario_MRF_Bale_ID]],BaleMover[Scenario_MRF_Bale_ID],0))="",0,INDEX(BaleMover[Miles],MATCH(SecondaryTransport[[#This Row],[Scenario_MRF_Bale_ID]],BaleMover[Scenario_MRF_Bale_ID],0)))</f>
        <v>20</v>
      </c>
      <c r="AN620" s="251" t="str">
        <f>IF(SecondaryTransport[[#This Row],[Bale_ID]]="9000-01","costs elsewhere",SecondaryTransport[[#This Row],[Total_Baled_tons]]*SecondaryTransport[[#This Row],[Miles]])</f>
        <v>costs elsewhere</v>
      </c>
      <c r="AO620" s="352" t="str">
        <f>IF(LEFT(SecondaryTransport[[#This Row],[Bale_ID]],1)*1=5,IF(OR(SecondaryTransport[[#This Row],[MRF_ID]]="02",SecondaryTransport[[#This Row],[MRF_ID]]="08"),2,1),"")</f>
        <v/>
      </c>
      <c r="AP62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0" s="224" t="str">
        <f>IFERROR(IF(1*LEFT(SecondaryTransport[[#This Row],[Bale_ID]],1)=5,SecondaryTransport[[#This Row],[Ton-Miles]]*SecondaryTransport[[#This Row],[Cost_Per_Ton-Mile]],""),"")</f>
        <v/>
      </c>
      <c r="AS620" s="224" t="str">
        <f>IFERROR(IF(SecondaryTransport[[#This Row],[Container_Transfer]]="",(SecondaryTransport[[#This Row],[Ton-Miles]]*SecondaryTransport[[#This Row],[Cost_Per_Ton-Mile]]),""),"")</f>
        <v/>
      </c>
    </row>
    <row r="621" spans="12:45" ht="15" x14ac:dyDescent="0.25">
      <c r="L621" s="446" t="s">
        <v>870</v>
      </c>
      <c r="M621" s="446">
        <v>3</v>
      </c>
      <c r="N621" s="446">
        <v>2</v>
      </c>
      <c r="O621" s="446" t="s">
        <v>706</v>
      </c>
      <c r="P621" s="450" t="s">
        <v>739</v>
      </c>
      <c r="Q621" s="450"/>
      <c r="R621" s="450"/>
      <c r="S621" s="449" t="s">
        <v>707</v>
      </c>
      <c r="T621" s="449" t="s">
        <v>1121</v>
      </c>
      <c r="U621" s="452">
        <v>110.17631167989367</v>
      </c>
      <c r="V6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3966.347220476172</v>
      </c>
      <c r="W621" s="272">
        <f>IFERROR(SUMIFS(TransUnitCost[Miles],TransUnitCost[Grouping_ID],TransTonsShort[[#This Row],[Grouping_ID]],TransUnitCost[Transp_ID],TransTonsShort[[#This Row],[Transp_ID]])*TransTonsShort[[#This Row],[Trans_Tons_All]]/TransTonsShort[[#This Row],[Trans_Tons_All]],"")</f>
        <v>150</v>
      </c>
      <c r="X621" s="386" t="str">
        <f>TransTonsShort[[#This Row],[Grouping_ID]]&amp;"-"&amp;TransTonsShort[[#This Row],[Sector_ID]]</f>
        <v>3-2</v>
      </c>
      <c r="Y6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1" s="421">
        <f>INDEX(LandfillFees[Disposal Tip Fee 2025],MATCH(TransTonsShort[[#This Row],[Grouping_ID]],LandfillFees[Grouping_ID],0))</f>
        <v>72.030938699729589</v>
      </c>
      <c r="AA621" s="102">
        <f>IF(OR(TransTonsShort[[#This Row],[CollectionStream_ID]]="03",TransTonsShort[[#This Row],[CollectionStream_ID]]="04",TransTonsShort[[#This Row],[CollectionStream_ID]]="13"),0,TransTonsShort[[#This Row],[Trans_Tons_All]]*TransTonsShort[[#This Row],[Disposal_Fee]])</f>
        <v>7936.1031527767218</v>
      </c>
      <c r="AF621" s="446" t="s">
        <v>1794</v>
      </c>
      <c r="AG621" s="181" t="str">
        <f>LEFT(SecondaryTransport[[#This Row],[Scenario_MRF_Bale_ID]],2)</f>
        <v>S1</v>
      </c>
      <c r="AH621" s="181" t="str">
        <f>LEFT(RIGHT(SecondaryTransport[[#This Row],[Scenario_MRF_Bale_ID]],10),2)</f>
        <v>03</v>
      </c>
      <c r="AI621" s="181" t="str">
        <f>INDEX(MRFs[MRF_Name],MATCH(SecondaryTransport[[#This Row],[MRF_ID]],MRFs[MRF_ID],0))</f>
        <v>5 MRFs for SS with fiber upgrades (Portland)</v>
      </c>
      <c r="AJ621" s="181" t="str">
        <f>RIGHT(SecondaryTransport[[#This Row],[Scenario_MRF_Bale_ID]],7)</f>
        <v>9000-01</v>
      </c>
      <c r="AK621" s="181" t="str">
        <f>INDEX(Bales[Bale_Name],MATCH(SecondaryTransport[[#This Row],[Bale_ID]],Bales[Bale_ID],0))</f>
        <v>Landfilled residue</v>
      </c>
      <c r="AL621" s="443">
        <f>INDEX(BaleMover[Total_Baled_tons],MATCH(SecondaryTransport[[#This Row],[Scenario_MRF_Bale_ID]],BaleMover[Scenario_MRF_Bale_ID],0))</f>
        <v>20381.273906298826</v>
      </c>
      <c r="AM621" s="443">
        <f>IF(INDEX(BaleMover[Miles],MATCH(SecondaryTransport[[#This Row],[Scenario_MRF_Bale_ID]],BaleMover[Scenario_MRF_Bale_ID],0))="",0,INDEX(BaleMover[Miles],MATCH(SecondaryTransport[[#This Row],[Scenario_MRF_Bale_ID]],BaleMover[Scenario_MRF_Bale_ID],0)))</f>
        <v>20</v>
      </c>
      <c r="AN621" s="251" t="str">
        <f>IF(SecondaryTransport[[#This Row],[Bale_ID]]="9000-01","costs elsewhere",SecondaryTransport[[#This Row],[Total_Baled_tons]]*SecondaryTransport[[#This Row],[Miles]])</f>
        <v>costs elsewhere</v>
      </c>
      <c r="AO621" s="352" t="str">
        <f>IF(LEFT(SecondaryTransport[[#This Row],[Bale_ID]],1)*1=5,IF(OR(SecondaryTransport[[#This Row],[MRF_ID]]="02",SecondaryTransport[[#This Row],[MRF_ID]]="08"),2,1),"")</f>
        <v/>
      </c>
      <c r="AP62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1" s="224" t="str">
        <f>IFERROR(IF(1*LEFT(SecondaryTransport[[#This Row],[Bale_ID]],1)=5,SecondaryTransport[[#This Row],[Ton-Miles]]*SecondaryTransport[[#This Row],[Cost_Per_Ton-Mile]],""),"")</f>
        <v/>
      </c>
      <c r="AS621" s="224" t="str">
        <f>IFERROR(IF(SecondaryTransport[[#This Row],[Container_Transfer]]="",(SecondaryTransport[[#This Row],[Ton-Miles]]*SecondaryTransport[[#This Row],[Cost_Per_Ton-Mile]]),""),"")</f>
        <v/>
      </c>
    </row>
    <row r="622" spans="12:45" ht="15" x14ac:dyDescent="0.25">
      <c r="L622" s="446" t="s">
        <v>870</v>
      </c>
      <c r="M622" s="446">
        <v>4</v>
      </c>
      <c r="N622" s="446">
        <v>2</v>
      </c>
      <c r="O622" s="446" t="s">
        <v>706</v>
      </c>
      <c r="P622" s="450" t="s">
        <v>739</v>
      </c>
      <c r="Q622" s="450"/>
      <c r="R622" s="450"/>
      <c r="S622" s="449" t="s">
        <v>707</v>
      </c>
      <c r="T622" s="449" t="s">
        <v>1121</v>
      </c>
      <c r="U622" s="452">
        <v>1.7061039850646562</v>
      </c>
      <c r="V6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93.83571917855609</v>
      </c>
      <c r="W622" s="272">
        <f>IFERROR(SUMIFS(TransUnitCost[Miles],TransUnitCost[Grouping_ID],TransTonsShort[[#This Row],[Grouping_ID]],TransUnitCost[Transp_ID],TransTonsShort[[#This Row],[Transp_ID]])*TransTonsShort[[#This Row],[Trans_Tons_All]]/TransTonsShort[[#This Row],[Trans_Tons_All]],"")</f>
        <v>250</v>
      </c>
      <c r="X622" s="386" t="str">
        <f>TransTonsShort[[#This Row],[Grouping_ID]]&amp;"-"&amp;TransTonsShort[[#This Row],[Sector_ID]]</f>
        <v>4-2</v>
      </c>
      <c r="Y6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2" s="421">
        <f>INDEX(LandfillFees[Disposal Tip Fee 2025],MATCH(TransTonsShort[[#This Row],[Grouping_ID]],LandfillFees[Grouping_ID],0))</f>
        <v>72.030938699729589</v>
      </c>
      <c r="AA622" s="102">
        <f>IF(OR(TransTonsShort[[#This Row],[CollectionStream_ID]]="03",TransTonsShort[[#This Row],[CollectionStream_ID]]="04",TransTonsShort[[#This Row],[CollectionStream_ID]]="13"),0,TransTonsShort[[#This Row],[Trans_Tons_All]]*TransTonsShort[[#This Row],[Disposal_Fee]])</f>
        <v>122.89227156355662</v>
      </c>
      <c r="AF622" s="446" t="s">
        <v>1795</v>
      </c>
      <c r="AG622" s="181" t="str">
        <f>LEFT(SecondaryTransport[[#This Row],[Scenario_MRF_Bale_ID]],2)</f>
        <v>S2</v>
      </c>
      <c r="AH622" s="181" t="str">
        <f>LEFT(RIGHT(SecondaryTransport[[#This Row],[Scenario_MRF_Bale_ID]],10),2)</f>
        <v>03</v>
      </c>
      <c r="AI622" s="181" t="str">
        <f>INDEX(MRFs[MRF_Name],MATCH(SecondaryTransport[[#This Row],[MRF_ID]],MRFs[MRF_ID],0))</f>
        <v>5 MRFs for SS with fiber upgrades (Portland)</v>
      </c>
      <c r="AJ622" s="181" t="str">
        <f>RIGHT(SecondaryTransport[[#This Row],[Scenario_MRF_Bale_ID]],7)</f>
        <v>9000-01</v>
      </c>
      <c r="AK622" s="181" t="str">
        <f>INDEX(Bales[Bale_Name],MATCH(SecondaryTransport[[#This Row],[Bale_ID]],Bales[Bale_ID],0))</f>
        <v>Landfilled residue</v>
      </c>
      <c r="AL622" s="443">
        <f>INDEX(BaleMover[Total_Baled_tons],MATCH(SecondaryTransport[[#This Row],[Scenario_MRF_Bale_ID]],BaleMover[Scenario_MRF_Bale_ID],0))</f>
        <v>19984.657850404994</v>
      </c>
      <c r="AM622" s="443">
        <f>IF(INDEX(BaleMover[Miles],MATCH(SecondaryTransport[[#This Row],[Scenario_MRF_Bale_ID]],BaleMover[Scenario_MRF_Bale_ID],0))="",0,INDEX(BaleMover[Miles],MATCH(SecondaryTransport[[#This Row],[Scenario_MRF_Bale_ID]],BaleMover[Scenario_MRF_Bale_ID],0)))</f>
        <v>20</v>
      </c>
      <c r="AN622" s="251" t="str">
        <f>IF(SecondaryTransport[[#This Row],[Bale_ID]]="9000-01","costs elsewhere",SecondaryTransport[[#This Row],[Total_Baled_tons]]*SecondaryTransport[[#This Row],[Miles]])</f>
        <v>costs elsewhere</v>
      </c>
      <c r="AO622" s="352" t="str">
        <f>IF(LEFT(SecondaryTransport[[#This Row],[Bale_ID]],1)*1=5,IF(OR(SecondaryTransport[[#This Row],[MRF_ID]]="02",SecondaryTransport[[#This Row],[MRF_ID]]="08"),2,1),"")</f>
        <v/>
      </c>
      <c r="AP62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2" s="224" t="str">
        <f>IFERROR(IF(1*LEFT(SecondaryTransport[[#This Row],[Bale_ID]],1)=5,SecondaryTransport[[#This Row],[Ton-Miles]]*SecondaryTransport[[#This Row],[Cost_Per_Ton-Mile]],""),"")</f>
        <v/>
      </c>
      <c r="AS622" s="224" t="str">
        <f>IFERROR(IF(SecondaryTransport[[#This Row],[Container_Transfer]]="",(SecondaryTransport[[#This Row],[Ton-Miles]]*SecondaryTransport[[#This Row],[Cost_Per_Ton-Mile]]),""),"")</f>
        <v/>
      </c>
    </row>
    <row r="623" spans="12:45" ht="15" x14ac:dyDescent="0.25">
      <c r="L623" s="446" t="s">
        <v>870</v>
      </c>
      <c r="M623" s="446">
        <v>1</v>
      </c>
      <c r="N623" s="446">
        <v>2</v>
      </c>
      <c r="O623" s="446" t="s">
        <v>706</v>
      </c>
      <c r="P623" s="449" t="s">
        <v>700</v>
      </c>
      <c r="Q623" s="449"/>
      <c r="R623" s="449"/>
      <c r="S623" s="449" t="s">
        <v>707</v>
      </c>
      <c r="T623" s="449" t="s">
        <v>701</v>
      </c>
      <c r="U623" s="452">
        <v>960.33134660810276</v>
      </c>
      <c r="V6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3" s="272">
        <f>IFERROR(SUMIFS(TransUnitCost[Miles],TransUnitCost[Grouping_ID],TransTonsShort[[#This Row],[Grouping_ID]],TransUnitCost[Transp_ID],TransTonsShort[[#This Row],[Transp_ID]])*TransTonsShort[[#This Row],[Trans_Tons_All]]/TransTonsShort[[#This Row],[Trans_Tons_All]],"")</f>
        <v>0</v>
      </c>
      <c r="X623" s="386" t="str">
        <f>TransTonsShort[[#This Row],[Grouping_ID]]&amp;"-"&amp;TransTonsShort[[#This Row],[Sector_ID]]</f>
        <v>1-2</v>
      </c>
      <c r="Y6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3" s="421">
        <f>INDEX(LandfillFees[Disposal Tip Fee 2025],MATCH(TransTonsShort[[#This Row],[Grouping_ID]],LandfillFees[Grouping_ID],0))</f>
        <v>134.68</v>
      </c>
      <c r="AA623" s="102">
        <f>IF(OR(TransTonsShort[[#This Row],[CollectionStream_ID]]="03",TransTonsShort[[#This Row],[CollectionStream_ID]]="04",TransTonsShort[[#This Row],[CollectionStream_ID]]="13"),0,TransTonsShort[[#This Row],[Trans_Tons_All]]*TransTonsShort[[#This Row],[Disposal_Fee]])</f>
        <v>129337.42576117929</v>
      </c>
      <c r="AF623" s="446" t="s">
        <v>1796</v>
      </c>
      <c r="AG623" s="181" t="str">
        <f>LEFT(SecondaryTransport[[#This Row],[Scenario_MRF_Bale_ID]],2)</f>
        <v>S3</v>
      </c>
      <c r="AH623" s="181" t="str">
        <f>LEFT(RIGHT(SecondaryTransport[[#This Row],[Scenario_MRF_Bale_ID]],10),2)</f>
        <v>03</v>
      </c>
      <c r="AI623" s="181" t="str">
        <f>INDEX(MRFs[MRF_Name],MATCH(SecondaryTransport[[#This Row],[MRF_ID]],MRFs[MRF_ID],0))</f>
        <v>5 MRFs for SS with fiber upgrades (Portland)</v>
      </c>
      <c r="AJ623" s="181" t="str">
        <f>RIGHT(SecondaryTransport[[#This Row],[Scenario_MRF_Bale_ID]],7)</f>
        <v>9000-01</v>
      </c>
      <c r="AK623" s="181" t="str">
        <f>INDEX(Bales[Bale_Name],MATCH(SecondaryTransport[[#This Row],[Bale_ID]],Bales[Bale_ID],0))</f>
        <v>Landfilled residue</v>
      </c>
      <c r="AL623" s="443">
        <f>INDEX(BaleMover[Total_Baled_tons],MATCH(SecondaryTransport[[#This Row],[Scenario_MRF_Bale_ID]],BaleMover[Scenario_MRF_Bale_ID],0))</f>
        <v>20024.26228458924</v>
      </c>
      <c r="AM623" s="443">
        <f>IF(INDEX(BaleMover[Miles],MATCH(SecondaryTransport[[#This Row],[Scenario_MRF_Bale_ID]],BaleMover[Scenario_MRF_Bale_ID],0))="",0,INDEX(BaleMover[Miles],MATCH(SecondaryTransport[[#This Row],[Scenario_MRF_Bale_ID]],BaleMover[Scenario_MRF_Bale_ID],0)))</f>
        <v>20</v>
      </c>
      <c r="AN623" s="251" t="str">
        <f>IF(SecondaryTransport[[#This Row],[Bale_ID]]="9000-01","costs elsewhere",SecondaryTransport[[#This Row],[Total_Baled_tons]]*SecondaryTransport[[#This Row],[Miles]])</f>
        <v>costs elsewhere</v>
      </c>
      <c r="AO623" s="352" t="str">
        <f>IF(LEFT(SecondaryTransport[[#This Row],[Bale_ID]],1)*1=5,IF(OR(SecondaryTransport[[#This Row],[MRF_ID]]="02",SecondaryTransport[[#This Row],[MRF_ID]]="08"),2,1),"")</f>
        <v/>
      </c>
      <c r="AP62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3" s="224" t="str">
        <f>IFERROR(IF(1*LEFT(SecondaryTransport[[#This Row],[Bale_ID]],1)=5,SecondaryTransport[[#This Row],[Ton-Miles]]*SecondaryTransport[[#This Row],[Cost_Per_Ton-Mile]],""),"")</f>
        <v/>
      </c>
      <c r="AS623" s="224" t="str">
        <f>IFERROR(IF(SecondaryTransport[[#This Row],[Container_Transfer]]="",(SecondaryTransport[[#This Row],[Ton-Miles]]*SecondaryTransport[[#This Row],[Cost_Per_Ton-Mile]]),""),"")</f>
        <v/>
      </c>
    </row>
    <row r="624" spans="12:45" ht="15" x14ac:dyDescent="0.25">
      <c r="L624" s="446" t="s">
        <v>870</v>
      </c>
      <c r="M624" s="446">
        <v>2</v>
      </c>
      <c r="N624" s="446">
        <v>2</v>
      </c>
      <c r="O624" s="446" t="s">
        <v>706</v>
      </c>
      <c r="P624" s="449" t="s">
        <v>700</v>
      </c>
      <c r="Q624" s="449"/>
      <c r="R624" s="449"/>
      <c r="S624" s="449" t="s">
        <v>707</v>
      </c>
      <c r="T624" s="449" t="s">
        <v>701</v>
      </c>
      <c r="U624" s="452">
        <v>0</v>
      </c>
      <c r="V6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4" s="272" t="str">
        <f>IFERROR(SUMIFS(TransUnitCost[Miles],TransUnitCost[Grouping_ID],TransTonsShort[[#This Row],[Grouping_ID]],TransUnitCost[Transp_ID],TransTonsShort[[#This Row],[Transp_ID]])*TransTonsShort[[#This Row],[Trans_Tons_All]]/TransTonsShort[[#This Row],[Trans_Tons_All]],"")</f>
        <v/>
      </c>
      <c r="X624" s="386" t="str">
        <f>TransTonsShort[[#This Row],[Grouping_ID]]&amp;"-"&amp;TransTonsShort[[#This Row],[Sector_ID]]</f>
        <v>2-2</v>
      </c>
      <c r="Y6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4" s="421">
        <f>INDEX(LandfillFees[Disposal Tip Fee 2025],MATCH(TransTonsShort[[#This Row],[Grouping_ID]],LandfillFees[Grouping_ID],0))</f>
        <v>72.030938699729589</v>
      </c>
      <c r="AA624" s="102">
        <f>IF(OR(TransTonsShort[[#This Row],[CollectionStream_ID]]="03",TransTonsShort[[#This Row],[CollectionStream_ID]]="04",TransTonsShort[[#This Row],[CollectionStream_ID]]="13"),0,TransTonsShort[[#This Row],[Trans_Tons_All]]*TransTonsShort[[#This Row],[Disposal_Fee]])</f>
        <v>0</v>
      </c>
      <c r="AF624" s="446" t="s">
        <v>1797</v>
      </c>
      <c r="AG624" s="181" t="str">
        <f>LEFT(SecondaryTransport[[#This Row],[Scenario_MRF_Bale_ID]],2)</f>
        <v>S0</v>
      </c>
      <c r="AH624" s="181" t="str">
        <f>LEFT(RIGHT(SecondaryTransport[[#This Row],[Scenario_MRF_Bale_ID]],10),2)</f>
        <v>04</v>
      </c>
      <c r="AI624" s="181" t="str">
        <f>INDEX(MRFs[MRF_Name],MATCH(SecondaryTransport[[#This Row],[MRF_ID]],MRFs[MRF_ID],0))</f>
        <v>1 MRF for SS with fiber and container upgrades (Portland)</v>
      </c>
      <c r="AJ624" s="181" t="str">
        <f>RIGHT(SecondaryTransport[[#This Row],[Scenario_MRF_Bale_ID]],7)</f>
        <v>9000-01</v>
      </c>
      <c r="AK624" s="181" t="str">
        <f>INDEX(Bales[Bale_Name],MATCH(SecondaryTransport[[#This Row],[Bale_ID]],Bales[Bale_ID],0))</f>
        <v>Landfilled residue</v>
      </c>
      <c r="AL624" s="443">
        <f>INDEX(BaleMover[Total_Baled_tons],MATCH(SecondaryTransport[[#This Row],[Scenario_MRF_Bale_ID]],BaleMover[Scenario_MRF_Bale_ID],0))</f>
        <v>19383.982995911792</v>
      </c>
      <c r="AM624" s="443">
        <f>IF(INDEX(BaleMover[Miles],MATCH(SecondaryTransport[[#This Row],[Scenario_MRF_Bale_ID]],BaleMover[Scenario_MRF_Bale_ID],0))="",0,INDEX(BaleMover[Miles],MATCH(SecondaryTransport[[#This Row],[Scenario_MRF_Bale_ID]],BaleMover[Scenario_MRF_Bale_ID],0)))</f>
        <v>20</v>
      </c>
      <c r="AN624" s="251" t="str">
        <f>IF(SecondaryTransport[[#This Row],[Bale_ID]]="9000-01","costs elsewhere",SecondaryTransport[[#This Row],[Total_Baled_tons]]*SecondaryTransport[[#This Row],[Miles]])</f>
        <v>costs elsewhere</v>
      </c>
      <c r="AO624" s="352" t="str">
        <f>IF(LEFT(SecondaryTransport[[#This Row],[Bale_ID]],1)*1=5,IF(OR(SecondaryTransport[[#This Row],[MRF_ID]]="02",SecondaryTransport[[#This Row],[MRF_ID]]="08"),2,1),"")</f>
        <v/>
      </c>
      <c r="AP62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4" s="224" t="str">
        <f>IFERROR(IF(1*LEFT(SecondaryTransport[[#This Row],[Bale_ID]],1)=5,SecondaryTransport[[#This Row],[Ton-Miles]]*SecondaryTransport[[#This Row],[Cost_Per_Ton-Mile]],""),"")</f>
        <v/>
      </c>
      <c r="AS624" s="224" t="str">
        <f>IFERROR(IF(SecondaryTransport[[#This Row],[Container_Transfer]]="",(SecondaryTransport[[#This Row],[Ton-Miles]]*SecondaryTransport[[#This Row],[Cost_Per_Ton-Mile]]),""),"")</f>
        <v/>
      </c>
    </row>
    <row r="625" spans="12:45" ht="15" x14ac:dyDescent="0.25">
      <c r="L625" s="446" t="s">
        <v>870</v>
      </c>
      <c r="M625" s="446">
        <v>3</v>
      </c>
      <c r="N625" s="446">
        <v>2</v>
      </c>
      <c r="O625" s="446" t="s">
        <v>706</v>
      </c>
      <c r="P625" s="449" t="s">
        <v>700</v>
      </c>
      <c r="Q625" s="449"/>
      <c r="R625" s="449"/>
      <c r="S625" s="449" t="s">
        <v>707</v>
      </c>
      <c r="T625" s="449" t="s">
        <v>701</v>
      </c>
      <c r="U625" s="452">
        <v>0</v>
      </c>
      <c r="V6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5" s="272" t="str">
        <f>IFERROR(SUMIFS(TransUnitCost[Miles],TransUnitCost[Grouping_ID],TransTonsShort[[#This Row],[Grouping_ID]],TransUnitCost[Transp_ID],TransTonsShort[[#This Row],[Transp_ID]])*TransTonsShort[[#This Row],[Trans_Tons_All]]/TransTonsShort[[#This Row],[Trans_Tons_All]],"")</f>
        <v/>
      </c>
      <c r="X625" s="386" t="str">
        <f>TransTonsShort[[#This Row],[Grouping_ID]]&amp;"-"&amp;TransTonsShort[[#This Row],[Sector_ID]]</f>
        <v>3-2</v>
      </c>
      <c r="Y6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5" s="421">
        <f>INDEX(LandfillFees[Disposal Tip Fee 2025],MATCH(TransTonsShort[[#This Row],[Grouping_ID]],LandfillFees[Grouping_ID],0))</f>
        <v>72.030938699729589</v>
      </c>
      <c r="AA625" s="102">
        <f>IF(OR(TransTonsShort[[#This Row],[CollectionStream_ID]]="03",TransTonsShort[[#This Row],[CollectionStream_ID]]="04",TransTonsShort[[#This Row],[CollectionStream_ID]]="13"),0,TransTonsShort[[#This Row],[Trans_Tons_All]]*TransTonsShort[[#This Row],[Disposal_Fee]])</f>
        <v>0</v>
      </c>
      <c r="AF625" s="446" t="s">
        <v>1798</v>
      </c>
      <c r="AG625" s="181" t="str">
        <f>LEFT(SecondaryTransport[[#This Row],[Scenario_MRF_Bale_ID]],2)</f>
        <v>S1</v>
      </c>
      <c r="AH625" s="181" t="str">
        <f>LEFT(RIGHT(SecondaryTransport[[#This Row],[Scenario_MRF_Bale_ID]],10),2)</f>
        <v>04</v>
      </c>
      <c r="AI625" s="181" t="str">
        <f>INDEX(MRFs[MRF_Name],MATCH(SecondaryTransport[[#This Row],[MRF_ID]],MRFs[MRF_ID],0))</f>
        <v>1 MRF for SS with fiber and container upgrades (Portland)</v>
      </c>
      <c r="AJ625" s="181" t="str">
        <f>RIGHT(SecondaryTransport[[#This Row],[Scenario_MRF_Bale_ID]],7)</f>
        <v>9000-01</v>
      </c>
      <c r="AK625" s="181" t="str">
        <f>INDEX(Bales[Bale_Name],MATCH(SecondaryTransport[[#This Row],[Bale_ID]],Bales[Bale_ID],0))</f>
        <v>Landfilled residue</v>
      </c>
      <c r="AL625" s="443">
        <f>INDEX(BaleMover[Total_Baled_tons],MATCH(SecondaryTransport[[#This Row],[Scenario_MRF_Bale_ID]],BaleMover[Scenario_MRF_Bale_ID],0))</f>
        <v>12336.027075095051</v>
      </c>
      <c r="AM625" s="443">
        <f>IF(INDEX(BaleMover[Miles],MATCH(SecondaryTransport[[#This Row],[Scenario_MRF_Bale_ID]],BaleMover[Scenario_MRF_Bale_ID],0))="",0,INDEX(BaleMover[Miles],MATCH(SecondaryTransport[[#This Row],[Scenario_MRF_Bale_ID]],BaleMover[Scenario_MRF_Bale_ID],0)))</f>
        <v>20</v>
      </c>
      <c r="AN625" s="251" t="str">
        <f>IF(SecondaryTransport[[#This Row],[Bale_ID]]="9000-01","costs elsewhere",SecondaryTransport[[#This Row],[Total_Baled_tons]]*SecondaryTransport[[#This Row],[Miles]])</f>
        <v>costs elsewhere</v>
      </c>
      <c r="AO625" s="352" t="str">
        <f>IF(LEFT(SecondaryTransport[[#This Row],[Bale_ID]],1)*1=5,IF(OR(SecondaryTransport[[#This Row],[MRF_ID]]="02",SecondaryTransport[[#This Row],[MRF_ID]]="08"),2,1),"")</f>
        <v/>
      </c>
      <c r="AP62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5" s="224" t="str">
        <f>IFERROR(IF(1*LEFT(SecondaryTransport[[#This Row],[Bale_ID]],1)=5,SecondaryTransport[[#This Row],[Ton-Miles]]*SecondaryTransport[[#This Row],[Cost_Per_Ton-Mile]],""),"")</f>
        <v/>
      </c>
      <c r="AS625" s="224" t="str">
        <f>IFERROR(IF(SecondaryTransport[[#This Row],[Container_Transfer]]="",(SecondaryTransport[[#This Row],[Ton-Miles]]*SecondaryTransport[[#This Row],[Cost_Per_Ton-Mile]]),""),"")</f>
        <v/>
      </c>
    </row>
    <row r="626" spans="12:45" ht="15" x14ac:dyDescent="0.25">
      <c r="L626" s="446" t="s">
        <v>870</v>
      </c>
      <c r="M626" s="446">
        <v>4</v>
      </c>
      <c r="N626" s="446">
        <v>2</v>
      </c>
      <c r="O626" s="446" t="s">
        <v>706</v>
      </c>
      <c r="P626" s="449" t="s">
        <v>700</v>
      </c>
      <c r="Q626" s="449"/>
      <c r="R626" s="449"/>
      <c r="S626" s="449" t="s">
        <v>707</v>
      </c>
      <c r="T626" s="449" t="s">
        <v>701</v>
      </c>
      <c r="U626" s="452">
        <v>0</v>
      </c>
      <c r="V6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6" s="272" t="str">
        <f>IFERROR(SUMIFS(TransUnitCost[Miles],TransUnitCost[Grouping_ID],TransTonsShort[[#This Row],[Grouping_ID]],TransUnitCost[Transp_ID],TransTonsShort[[#This Row],[Transp_ID]])*TransTonsShort[[#This Row],[Trans_Tons_All]]/TransTonsShort[[#This Row],[Trans_Tons_All]],"")</f>
        <v/>
      </c>
      <c r="X626" s="386" t="str">
        <f>TransTonsShort[[#This Row],[Grouping_ID]]&amp;"-"&amp;TransTonsShort[[#This Row],[Sector_ID]]</f>
        <v>4-2</v>
      </c>
      <c r="Y6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6" s="421">
        <f>INDEX(LandfillFees[Disposal Tip Fee 2025],MATCH(TransTonsShort[[#This Row],[Grouping_ID]],LandfillFees[Grouping_ID],0))</f>
        <v>72.030938699729589</v>
      </c>
      <c r="AA626" s="102">
        <f>IF(OR(TransTonsShort[[#This Row],[CollectionStream_ID]]="03",TransTonsShort[[#This Row],[CollectionStream_ID]]="04",TransTonsShort[[#This Row],[CollectionStream_ID]]="13"),0,TransTonsShort[[#This Row],[Trans_Tons_All]]*TransTonsShort[[#This Row],[Disposal_Fee]])</f>
        <v>0</v>
      </c>
      <c r="AF626" s="446" t="s">
        <v>1799</v>
      </c>
      <c r="AG626" s="181" t="str">
        <f>LEFT(SecondaryTransport[[#This Row],[Scenario_MRF_Bale_ID]],2)</f>
        <v>S2</v>
      </c>
      <c r="AH626" s="181" t="str">
        <f>LEFT(RIGHT(SecondaryTransport[[#This Row],[Scenario_MRF_Bale_ID]],10),2)</f>
        <v>04</v>
      </c>
      <c r="AI626" s="181" t="str">
        <f>INDEX(MRFs[MRF_Name],MATCH(SecondaryTransport[[#This Row],[MRF_ID]],MRFs[MRF_ID],0))</f>
        <v>1 MRF for SS with fiber and container upgrades (Portland)</v>
      </c>
      <c r="AJ626" s="181" t="str">
        <f>RIGHT(SecondaryTransport[[#This Row],[Scenario_MRF_Bale_ID]],7)</f>
        <v>9000-01</v>
      </c>
      <c r="AK626" s="181" t="str">
        <f>INDEX(Bales[Bale_Name],MATCH(SecondaryTransport[[#This Row],[Bale_ID]],Bales[Bale_ID],0))</f>
        <v>Landfilled residue</v>
      </c>
      <c r="AL626" s="443">
        <f>INDEX(BaleMover[Total_Baled_tons],MATCH(SecondaryTransport[[#This Row],[Scenario_MRF_Bale_ID]],BaleMover[Scenario_MRF_Bale_ID],0))</f>
        <v>13555.944744117973</v>
      </c>
      <c r="AM626" s="443">
        <f>IF(INDEX(BaleMover[Miles],MATCH(SecondaryTransport[[#This Row],[Scenario_MRF_Bale_ID]],BaleMover[Scenario_MRF_Bale_ID],0))="",0,INDEX(BaleMover[Miles],MATCH(SecondaryTransport[[#This Row],[Scenario_MRF_Bale_ID]],BaleMover[Scenario_MRF_Bale_ID],0)))</f>
        <v>20</v>
      </c>
      <c r="AN626" s="251" t="str">
        <f>IF(SecondaryTransport[[#This Row],[Bale_ID]]="9000-01","costs elsewhere",SecondaryTransport[[#This Row],[Total_Baled_tons]]*SecondaryTransport[[#This Row],[Miles]])</f>
        <v>costs elsewhere</v>
      </c>
      <c r="AO626" s="352" t="str">
        <f>IF(LEFT(SecondaryTransport[[#This Row],[Bale_ID]],1)*1=5,IF(OR(SecondaryTransport[[#This Row],[MRF_ID]]="02",SecondaryTransport[[#This Row],[MRF_ID]]="08"),2,1),"")</f>
        <v/>
      </c>
      <c r="AP62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6" s="224" t="str">
        <f>IFERROR(IF(1*LEFT(SecondaryTransport[[#This Row],[Bale_ID]],1)=5,SecondaryTransport[[#This Row],[Ton-Miles]]*SecondaryTransport[[#This Row],[Cost_Per_Ton-Mile]],""),"")</f>
        <v/>
      </c>
      <c r="AS626" s="224" t="str">
        <f>IFERROR(IF(SecondaryTransport[[#This Row],[Container_Transfer]]="",(SecondaryTransport[[#This Row],[Ton-Miles]]*SecondaryTransport[[#This Row],[Cost_Per_Ton-Mile]]),""),"")</f>
        <v/>
      </c>
    </row>
    <row r="627" spans="12:45" ht="15" x14ac:dyDescent="0.25">
      <c r="L627" s="446" t="s">
        <v>870</v>
      </c>
      <c r="M627" s="446">
        <v>1</v>
      </c>
      <c r="N627" s="446">
        <v>2</v>
      </c>
      <c r="O627" s="446" t="s">
        <v>752</v>
      </c>
      <c r="P627" s="449" t="s">
        <v>719</v>
      </c>
      <c r="Q627" s="449"/>
      <c r="R627" s="449"/>
      <c r="S627" s="449" t="s">
        <v>964</v>
      </c>
      <c r="T627" s="449" t="s">
        <v>1055</v>
      </c>
      <c r="U627" s="452">
        <v>0</v>
      </c>
      <c r="V6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7" s="272" t="str">
        <f>IFERROR(SUMIFS(TransUnitCost[Miles],TransUnitCost[Grouping_ID],TransTonsShort[[#This Row],[Grouping_ID]],TransUnitCost[Transp_ID],TransTonsShort[[#This Row],[Transp_ID]])*TransTonsShort[[#This Row],[Trans_Tons_All]]/TransTonsShort[[#This Row],[Trans_Tons_All]],"")</f>
        <v/>
      </c>
      <c r="X627" s="386" t="str">
        <f>TransTonsShort[[#This Row],[Grouping_ID]]&amp;"-"&amp;TransTonsShort[[#This Row],[Sector_ID]]</f>
        <v>1-2</v>
      </c>
      <c r="Y6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7" s="421">
        <f>INDEX(LandfillFees[Disposal Tip Fee 2025],MATCH(TransTonsShort[[#This Row],[Grouping_ID]],LandfillFees[Grouping_ID],0))</f>
        <v>134.68</v>
      </c>
      <c r="AA627" s="102">
        <f>IF(OR(TransTonsShort[[#This Row],[CollectionStream_ID]]="03",TransTonsShort[[#This Row],[CollectionStream_ID]]="04",TransTonsShort[[#This Row],[CollectionStream_ID]]="13"),0,TransTonsShort[[#This Row],[Trans_Tons_All]]*TransTonsShort[[#This Row],[Disposal_Fee]])</f>
        <v>0</v>
      </c>
      <c r="AF627" s="446" t="s">
        <v>1800</v>
      </c>
      <c r="AG627" s="181" t="str">
        <f>LEFT(SecondaryTransport[[#This Row],[Scenario_MRF_Bale_ID]],2)</f>
        <v>S3</v>
      </c>
      <c r="AH627" s="181" t="str">
        <f>LEFT(RIGHT(SecondaryTransport[[#This Row],[Scenario_MRF_Bale_ID]],10),2)</f>
        <v>04</v>
      </c>
      <c r="AI627" s="181" t="str">
        <f>INDEX(MRFs[MRF_Name],MATCH(SecondaryTransport[[#This Row],[MRF_ID]],MRFs[MRF_ID],0))</f>
        <v>1 MRF for SS with fiber and container upgrades (Portland)</v>
      </c>
      <c r="AJ627" s="181" t="str">
        <f>RIGHT(SecondaryTransport[[#This Row],[Scenario_MRF_Bale_ID]],7)</f>
        <v>9000-01</v>
      </c>
      <c r="AK627" s="181" t="str">
        <f>INDEX(Bales[Bale_Name],MATCH(SecondaryTransport[[#This Row],[Bale_ID]],Bales[Bale_ID],0))</f>
        <v>Landfilled residue</v>
      </c>
      <c r="AL627" s="443">
        <f>INDEX(BaleMover[Total_Baled_tons],MATCH(SecondaryTransport[[#This Row],[Scenario_MRF_Bale_ID]],BaleMover[Scenario_MRF_Bale_ID],0))</f>
        <v>13163.547705477245</v>
      </c>
      <c r="AM627" s="443">
        <f>IF(INDEX(BaleMover[Miles],MATCH(SecondaryTransport[[#This Row],[Scenario_MRF_Bale_ID]],BaleMover[Scenario_MRF_Bale_ID],0))="",0,INDEX(BaleMover[Miles],MATCH(SecondaryTransport[[#This Row],[Scenario_MRF_Bale_ID]],BaleMover[Scenario_MRF_Bale_ID],0)))</f>
        <v>20</v>
      </c>
      <c r="AN627" s="251" t="str">
        <f>IF(SecondaryTransport[[#This Row],[Bale_ID]]="9000-01","costs elsewhere",SecondaryTransport[[#This Row],[Total_Baled_tons]]*SecondaryTransport[[#This Row],[Miles]])</f>
        <v>costs elsewhere</v>
      </c>
      <c r="AO627" s="352" t="str">
        <f>IF(LEFT(SecondaryTransport[[#This Row],[Bale_ID]],1)*1=5,IF(OR(SecondaryTransport[[#This Row],[MRF_ID]]="02",SecondaryTransport[[#This Row],[MRF_ID]]="08"),2,1),"")</f>
        <v/>
      </c>
      <c r="AP62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7" s="224" t="str">
        <f>IFERROR(IF(1*LEFT(SecondaryTransport[[#This Row],[Bale_ID]],1)=5,SecondaryTransport[[#This Row],[Ton-Miles]]*SecondaryTransport[[#This Row],[Cost_Per_Ton-Mile]],""),"")</f>
        <v/>
      </c>
      <c r="AS627" s="224" t="str">
        <f>IFERROR(IF(SecondaryTransport[[#This Row],[Container_Transfer]]="",(SecondaryTransport[[#This Row],[Ton-Miles]]*SecondaryTransport[[#This Row],[Cost_Per_Ton-Mile]]),""),"")</f>
        <v/>
      </c>
    </row>
    <row r="628" spans="12:45" ht="15" x14ac:dyDescent="0.25">
      <c r="L628" s="446" t="s">
        <v>870</v>
      </c>
      <c r="M628" s="446">
        <v>2</v>
      </c>
      <c r="N628" s="446">
        <v>2</v>
      </c>
      <c r="O628" s="446" t="s">
        <v>752</v>
      </c>
      <c r="P628" s="449" t="s">
        <v>719</v>
      </c>
      <c r="Q628" s="449"/>
      <c r="R628" s="449"/>
      <c r="S628" s="449" t="s">
        <v>964</v>
      </c>
      <c r="T628" s="449" t="s">
        <v>1055</v>
      </c>
      <c r="U628" s="452">
        <v>0</v>
      </c>
      <c r="V6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8" s="272" t="str">
        <f>IFERROR(SUMIFS(TransUnitCost[Miles],TransUnitCost[Grouping_ID],TransTonsShort[[#This Row],[Grouping_ID]],TransUnitCost[Transp_ID],TransTonsShort[[#This Row],[Transp_ID]])*TransTonsShort[[#This Row],[Trans_Tons_All]]/TransTonsShort[[#This Row],[Trans_Tons_All]],"")</f>
        <v/>
      </c>
      <c r="X628" s="386" t="str">
        <f>TransTonsShort[[#This Row],[Grouping_ID]]&amp;"-"&amp;TransTonsShort[[#This Row],[Sector_ID]]</f>
        <v>2-2</v>
      </c>
      <c r="Y6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8" s="421">
        <f>INDEX(LandfillFees[Disposal Tip Fee 2025],MATCH(TransTonsShort[[#This Row],[Grouping_ID]],LandfillFees[Grouping_ID],0))</f>
        <v>72.030938699729589</v>
      </c>
      <c r="AA628" s="102">
        <f>IF(OR(TransTonsShort[[#This Row],[CollectionStream_ID]]="03",TransTonsShort[[#This Row],[CollectionStream_ID]]="04",TransTonsShort[[#This Row],[CollectionStream_ID]]="13"),0,TransTonsShort[[#This Row],[Trans_Tons_All]]*TransTonsShort[[#This Row],[Disposal_Fee]])</f>
        <v>0</v>
      </c>
      <c r="AF628" s="446" t="s">
        <v>1801</v>
      </c>
      <c r="AG628" s="181" t="str">
        <f>LEFT(SecondaryTransport[[#This Row],[Scenario_MRF_Bale_ID]],2)</f>
        <v>S2</v>
      </c>
      <c r="AH628" s="181" t="str">
        <f>LEFT(RIGHT(SecondaryTransport[[#This Row],[Scenario_MRF_Bale_ID]],10),2)</f>
        <v>05</v>
      </c>
      <c r="AI628" s="181" t="str">
        <f>INDEX(MRFs[MRF_Name],MATCH(SecondaryTransport[[#This Row],[MRF_ID]],MRFs[MRF_ID],0))</f>
        <v>1 CRF (BC) or 1 infeed for transferred containers (Portland)</v>
      </c>
      <c r="AJ628" s="181" t="str">
        <f>RIGHT(SecondaryTransport[[#This Row],[Scenario_MRF_Bale_ID]],7)</f>
        <v>9000-01</v>
      </c>
      <c r="AK628" s="181" t="str">
        <f>INDEX(Bales[Bale_Name],MATCH(SecondaryTransport[[#This Row],[Bale_ID]],Bales[Bale_ID],0))</f>
        <v>Landfilled residue</v>
      </c>
      <c r="AL628" s="443">
        <f>INDEX(BaleMover[Total_Baled_tons],MATCH(SecondaryTransport[[#This Row],[Scenario_MRF_Bale_ID]],BaleMover[Scenario_MRF_Bale_ID],0))</f>
        <v>1697.3811453657199</v>
      </c>
      <c r="AM628" s="443">
        <f>IF(INDEX(BaleMover[Miles],MATCH(SecondaryTransport[[#This Row],[Scenario_MRF_Bale_ID]],BaleMover[Scenario_MRF_Bale_ID],0))="",0,INDEX(BaleMover[Miles],MATCH(SecondaryTransport[[#This Row],[Scenario_MRF_Bale_ID]],BaleMover[Scenario_MRF_Bale_ID],0)))</f>
        <v>20</v>
      </c>
      <c r="AN628" s="251" t="str">
        <f>IF(SecondaryTransport[[#This Row],[Bale_ID]]="9000-01","costs elsewhere",SecondaryTransport[[#This Row],[Total_Baled_tons]]*SecondaryTransport[[#This Row],[Miles]])</f>
        <v>costs elsewhere</v>
      </c>
      <c r="AO628" s="352" t="str">
        <f>IF(LEFT(SecondaryTransport[[#This Row],[Bale_ID]],1)*1=5,IF(OR(SecondaryTransport[[#This Row],[MRF_ID]]="02",SecondaryTransport[[#This Row],[MRF_ID]]="08"),2,1),"")</f>
        <v/>
      </c>
      <c r="AP62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8" s="224" t="str">
        <f>IFERROR(IF(1*LEFT(SecondaryTransport[[#This Row],[Bale_ID]],1)=5,SecondaryTransport[[#This Row],[Ton-Miles]]*SecondaryTransport[[#This Row],[Cost_Per_Ton-Mile]],""),"")</f>
        <v/>
      </c>
      <c r="AS628" s="224" t="str">
        <f>IFERROR(IF(SecondaryTransport[[#This Row],[Container_Transfer]]="",(SecondaryTransport[[#This Row],[Ton-Miles]]*SecondaryTransport[[#This Row],[Cost_Per_Ton-Mile]]),""),"")</f>
        <v/>
      </c>
    </row>
    <row r="629" spans="12:45" ht="15" x14ac:dyDescent="0.25">
      <c r="L629" s="446" t="s">
        <v>870</v>
      </c>
      <c r="M629" s="446">
        <v>3</v>
      </c>
      <c r="N629" s="446">
        <v>2</v>
      </c>
      <c r="O629" s="446" t="s">
        <v>752</v>
      </c>
      <c r="P629" s="449" t="s">
        <v>719</v>
      </c>
      <c r="Q629" s="449"/>
      <c r="R629" s="449"/>
      <c r="S629" s="449" t="s">
        <v>964</v>
      </c>
      <c r="T629" s="449" t="s">
        <v>1055</v>
      </c>
      <c r="U629" s="452">
        <v>0</v>
      </c>
      <c r="V6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29" s="272" t="str">
        <f>IFERROR(SUMIFS(TransUnitCost[Miles],TransUnitCost[Grouping_ID],TransTonsShort[[#This Row],[Grouping_ID]],TransUnitCost[Transp_ID],TransTonsShort[[#This Row],[Transp_ID]])*TransTonsShort[[#This Row],[Trans_Tons_All]]/TransTonsShort[[#This Row],[Trans_Tons_All]],"")</f>
        <v/>
      </c>
      <c r="X629" s="386" t="str">
        <f>TransTonsShort[[#This Row],[Grouping_ID]]&amp;"-"&amp;TransTonsShort[[#This Row],[Sector_ID]]</f>
        <v>3-2</v>
      </c>
      <c r="Y6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29" s="421">
        <f>INDEX(LandfillFees[Disposal Tip Fee 2025],MATCH(TransTonsShort[[#This Row],[Grouping_ID]],LandfillFees[Grouping_ID],0))</f>
        <v>72.030938699729589</v>
      </c>
      <c r="AA629" s="102">
        <f>IF(OR(TransTonsShort[[#This Row],[CollectionStream_ID]]="03",TransTonsShort[[#This Row],[CollectionStream_ID]]="04",TransTonsShort[[#This Row],[CollectionStream_ID]]="13"),0,TransTonsShort[[#This Row],[Trans_Tons_All]]*TransTonsShort[[#This Row],[Disposal_Fee]])</f>
        <v>0</v>
      </c>
      <c r="AF629" s="446" t="s">
        <v>1802</v>
      </c>
      <c r="AG629" s="181" t="str">
        <f>LEFT(SecondaryTransport[[#This Row],[Scenario_MRF_Bale_ID]],2)</f>
        <v>S3</v>
      </c>
      <c r="AH629" s="181" t="str">
        <f>LEFT(RIGHT(SecondaryTransport[[#This Row],[Scenario_MRF_Bale_ID]],10),2)</f>
        <v>05</v>
      </c>
      <c r="AI629" s="181" t="str">
        <f>INDEX(MRFs[MRF_Name],MATCH(SecondaryTransport[[#This Row],[MRF_ID]],MRFs[MRF_ID],0))</f>
        <v>1 CRF (BC) or 1 infeed for transferred containers (Portland)</v>
      </c>
      <c r="AJ629" s="181" t="str">
        <f>RIGHT(SecondaryTransport[[#This Row],[Scenario_MRF_Bale_ID]],7)</f>
        <v>9000-01</v>
      </c>
      <c r="AK629" s="181" t="str">
        <f>INDEX(Bales[Bale_Name],MATCH(SecondaryTransport[[#This Row],[Bale_ID]],Bales[Bale_ID],0))</f>
        <v>Landfilled residue</v>
      </c>
      <c r="AL629" s="443">
        <f>INDEX(BaleMover[Total_Baled_tons],MATCH(SecondaryTransport[[#This Row],[Scenario_MRF_Bale_ID]],BaleMover[Scenario_MRF_Bale_ID],0))</f>
        <v>2165.7216282010659</v>
      </c>
      <c r="AM629" s="443">
        <f>IF(INDEX(BaleMover[Miles],MATCH(SecondaryTransport[[#This Row],[Scenario_MRF_Bale_ID]],BaleMover[Scenario_MRF_Bale_ID],0))="",0,INDEX(BaleMover[Miles],MATCH(SecondaryTransport[[#This Row],[Scenario_MRF_Bale_ID]],BaleMover[Scenario_MRF_Bale_ID],0)))</f>
        <v>15</v>
      </c>
      <c r="AN629" s="251" t="str">
        <f>IF(SecondaryTransport[[#This Row],[Bale_ID]]="9000-01","costs elsewhere",SecondaryTransport[[#This Row],[Total_Baled_tons]]*SecondaryTransport[[#This Row],[Miles]])</f>
        <v>costs elsewhere</v>
      </c>
      <c r="AO629" s="352" t="str">
        <f>IF(LEFT(SecondaryTransport[[#This Row],[Bale_ID]],1)*1=5,IF(OR(SecondaryTransport[[#This Row],[MRF_ID]]="02",SecondaryTransport[[#This Row],[MRF_ID]]="08"),2,1),"")</f>
        <v/>
      </c>
      <c r="AP62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2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29" s="224" t="str">
        <f>IFERROR(IF(1*LEFT(SecondaryTransport[[#This Row],[Bale_ID]],1)=5,SecondaryTransport[[#This Row],[Ton-Miles]]*SecondaryTransport[[#This Row],[Cost_Per_Ton-Mile]],""),"")</f>
        <v/>
      </c>
      <c r="AS629" s="224" t="str">
        <f>IFERROR(IF(SecondaryTransport[[#This Row],[Container_Transfer]]="",(SecondaryTransport[[#This Row],[Ton-Miles]]*SecondaryTransport[[#This Row],[Cost_Per_Ton-Mile]]),""),"")</f>
        <v/>
      </c>
    </row>
    <row r="630" spans="12:45" ht="15" x14ac:dyDescent="0.25">
      <c r="L630" s="446" t="s">
        <v>870</v>
      </c>
      <c r="M630" s="446">
        <v>4</v>
      </c>
      <c r="N630" s="446">
        <v>2</v>
      </c>
      <c r="O630" s="446" t="s">
        <v>752</v>
      </c>
      <c r="P630" s="449" t="s">
        <v>719</v>
      </c>
      <c r="Q630" s="449"/>
      <c r="R630" s="449"/>
      <c r="S630" s="449" t="s">
        <v>964</v>
      </c>
      <c r="T630" s="449" t="s">
        <v>1055</v>
      </c>
      <c r="U630" s="452">
        <v>0</v>
      </c>
      <c r="V6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0" s="272" t="str">
        <f>IFERROR(SUMIFS(TransUnitCost[Miles],TransUnitCost[Grouping_ID],TransTonsShort[[#This Row],[Grouping_ID]],TransUnitCost[Transp_ID],TransTonsShort[[#This Row],[Transp_ID]])*TransTonsShort[[#This Row],[Trans_Tons_All]]/TransTonsShort[[#This Row],[Trans_Tons_All]],"")</f>
        <v/>
      </c>
      <c r="X630" s="386" t="str">
        <f>TransTonsShort[[#This Row],[Grouping_ID]]&amp;"-"&amp;TransTonsShort[[#This Row],[Sector_ID]]</f>
        <v>4-2</v>
      </c>
      <c r="Y6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0" s="421">
        <f>INDEX(LandfillFees[Disposal Tip Fee 2025],MATCH(TransTonsShort[[#This Row],[Grouping_ID]],LandfillFees[Grouping_ID],0))</f>
        <v>72.030938699729589</v>
      </c>
      <c r="AA630" s="102">
        <f>IF(OR(TransTonsShort[[#This Row],[CollectionStream_ID]]="03",TransTonsShort[[#This Row],[CollectionStream_ID]]="04",TransTonsShort[[#This Row],[CollectionStream_ID]]="13"),0,TransTonsShort[[#This Row],[Trans_Tons_All]]*TransTonsShort[[#This Row],[Disposal_Fee]])</f>
        <v>0</v>
      </c>
      <c r="AF630" s="446" t="s">
        <v>1803</v>
      </c>
      <c r="AG630" s="181" t="str">
        <f>LEFT(SecondaryTransport[[#This Row],[Scenario_MRF_Bale_ID]],2)</f>
        <v>S4</v>
      </c>
      <c r="AH630" s="181" t="str">
        <f>LEFT(RIGHT(SecondaryTransport[[#This Row],[Scenario_MRF_Bale_ID]],10),2)</f>
        <v>06</v>
      </c>
      <c r="AI630" s="181" t="str">
        <f>INDEX(MRFs[MRF_Name],MATCH(SecondaryTransport[[#This Row],[MRF_ID]],MRFs[MRF_ID],0))</f>
        <v>5 MRFs for DS fiber (Portland)</v>
      </c>
      <c r="AJ630" s="181" t="str">
        <f>RIGHT(SecondaryTransport[[#This Row],[Scenario_MRF_Bale_ID]],7)</f>
        <v>9000-01</v>
      </c>
      <c r="AK630" s="181" t="str">
        <f>INDEX(Bales[Bale_Name],MATCH(SecondaryTransport[[#This Row],[Bale_ID]],Bales[Bale_ID],0))</f>
        <v>Landfilled residue</v>
      </c>
      <c r="AL630" s="443">
        <f>INDEX(BaleMover[Total_Baled_tons],MATCH(SecondaryTransport[[#This Row],[Scenario_MRF_Bale_ID]],BaleMover[Scenario_MRF_Bale_ID],0))</f>
        <v>16370.820213260104</v>
      </c>
      <c r="AM630" s="443">
        <f>IF(INDEX(BaleMover[Miles],MATCH(SecondaryTransport[[#This Row],[Scenario_MRF_Bale_ID]],BaleMover[Scenario_MRF_Bale_ID],0))="",0,INDEX(BaleMover[Miles],MATCH(SecondaryTransport[[#This Row],[Scenario_MRF_Bale_ID]],BaleMover[Scenario_MRF_Bale_ID],0)))</f>
        <v>20</v>
      </c>
      <c r="AN630" s="251" t="str">
        <f>IF(SecondaryTransport[[#This Row],[Bale_ID]]="9000-01","costs elsewhere",SecondaryTransport[[#This Row],[Total_Baled_tons]]*SecondaryTransport[[#This Row],[Miles]])</f>
        <v>costs elsewhere</v>
      </c>
      <c r="AO630" s="352" t="str">
        <f>IF(LEFT(SecondaryTransport[[#This Row],[Bale_ID]],1)*1=5,IF(OR(SecondaryTransport[[#This Row],[MRF_ID]]="02",SecondaryTransport[[#This Row],[MRF_ID]]="08"),2,1),"")</f>
        <v/>
      </c>
      <c r="AP63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0" s="224" t="str">
        <f>IFERROR(IF(1*LEFT(SecondaryTransport[[#This Row],[Bale_ID]],1)=5,SecondaryTransport[[#This Row],[Ton-Miles]]*SecondaryTransport[[#This Row],[Cost_Per_Ton-Mile]],""),"")</f>
        <v/>
      </c>
      <c r="AS630" s="224" t="str">
        <f>IFERROR(IF(SecondaryTransport[[#This Row],[Container_Transfer]]="",(SecondaryTransport[[#This Row],[Ton-Miles]]*SecondaryTransport[[#This Row],[Cost_Per_Ton-Mile]]),""),"")</f>
        <v/>
      </c>
    </row>
    <row r="631" spans="12:45" ht="15" x14ac:dyDescent="0.25">
      <c r="L631" s="446" t="s">
        <v>870</v>
      </c>
      <c r="M631" s="446">
        <v>1</v>
      </c>
      <c r="N631" s="446">
        <v>2</v>
      </c>
      <c r="O631" s="446" t="s">
        <v>752</v>
      </c>
      <c r="P631" s="449" t="s">
        <v>700</v>
      </c>
      <c r="Q631" s="449"/>
      <c r="R631" s="449"/>
      <c r="S631" s="449" t="s">
        <v>964</v>
      </c>
      <c r="T631" s="449" t="s">
        <v>701</v>
      </c>
      <c r="U631" s="452">
        <v>0</v>
      </c>
      <c r="V6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1" s="272" t="str">
        <f>IFERROR(SUMIFS(TransUnitCost[Miles],TransUnitCost[Grouping_ID],TransTonsShort[[#This Row],[Grouping_ID]],TransUnitCost[Transp_ID],TransTonsShort[[#This Row],[Transp_ID]])*TransTonsShort[[#This Row],[Trans_Tons_All]]/TransTonsShort[[#This Row],[Trans_Tons_All]],"")</f>
        <v/>
      </c>
      <c r="X631" s="386" t="str">
        <f>TransTonsShort[[#This Row],[Grouping_ID]]&amp;"-"&amp;TransTonsShort[[#This Row],[Sector_ID]]</f>
        <v>1-2</v>
      </c>
      <c r="Y6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1" s="421">
        <f>INDEX(LandfillFees[Disposal Tip Fee 2025],MATCH(TransTonsShort[[#This Row],[Grouping_ID]],LandfillFees[Grouping_ID],0))</f>
        <v>134.68</v>
      </c>
      <c r="AA631" s="102">
        <f>IF(OR(TransTonsShort[[#This Row],[CollectionStream_ID]]="03",TransTonsShort[[#This Row],[CollectionStream_ID]]="04",TransTonsShort[[#This Row],[CollectionStream_ID]]="13"),0,TransTonsShort[[#This Row],[Trans_Tons_All]]*TransTonsShort[[#This Row],[Disposal_Fee]])</f>
        <v>0</v>
      </c>
      <c r="AF631" s="446" t="s">
        <v>1804</v>
      </c>
      <c r="AG631" s="181" t="str">
        <f>LEFT(SecondaryTransport[[#This Row],[Scenario_MRF_Bale_ID]],2)</f>
        <v>S4</v>
      </c>
      <c r="AH631" s="181" t="str">
        <f>LEFT(RIGHT(SecondaryTransport[[#This Row],[Scenario_MRF_Bale_ID]],10),2)</f>
        <v>07</v>
      </c>
      <c r="AI631" s="181" t="str">
        <f>INDEX(MRFs[MRF_Name],MATCH(SecondaryTransport[[#This Row],[MRF_ID]],MRFs[MRF_ID],0))</f>
        <v>1 MRF for DS with fiber and container lines (Portland)</v>
      </c>
      <c r="AJ631" s="181" t="str">
        <f>RIGHT(SecondaryTransport[[#This Row],[Scenario_MRF_Bale_ID]],7)</f>
        <v>9000-01</v>
      </c>
      <c r="AK631" s="181" t="str">
        <f>INDEX(Bales[Bale_Name],MATCH(SecondaryTransport[[#This Row],[Bale_ID]],Bales[Bale_ID],0))</f>
        <v>Landfilled residue</v>
      </c>
      <c r="AL631" s="443">
        <f>INDEX(BaleMover[Total_Baled_tons],MATCH(SecondaryTransport[[#This Row],[Scenario_MRF_Bale_ID]],BaleMover[Scenario_MRF_Bale_ID],0))</f>
        <v>19721.830183845057</v>
      </c>
      <c r="AM631" s="443">
        <f>IF(INDEX(BaleMover[Miles],MATCH(SecondaryTransport[[#This Row],[Scenario_MRF_Bale_ID]],BaleMover[Scenario_MRF_Bale_ID],0))="",0,INDEX(BaleMover[Miles],MATCH(SecondaryTransport[[#This Row],[Scenario_MRF_Bale_ID]],BaleMover[Scenario_MRF_Bale_ID],0)))</f>
        <v>20</v>
      </c>
      <c r="AN631" s="251" t="str">
        <f>IF(SecondaryTransport[[#This Row],[Bale_ID]]="9000-01","costs elsewhere",SecondaryTransport[[#This Row],[Total_Baled_tons]]*SecondaryTransport[[#This Row],[Miles]])</f>
        <v>costs elsewhere</v>
      </c>
      <c r="AO631" s="352" t="str">
        <f>IF(LEFT(SecondaryTransport[[#This Row],[Bale_ID]],1)*1=5,IF(OR(SecondaryTransport[[#This Row],[MRF_ID]]="02",SecondaryTransport[[#This Row],[MRF_ID]]="08"),2,1),"")</f>
        <v/>
      </c>
      <c r="AP63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1" s="224" t="str">
        <f>IFERROR(IF(1*LEFT(SecondaryTransport[[#This Row],[Bale_ID]],1)=5,SecondaryTransport[[#This Row],[Ton-Miles]]*SecondaryTransport[[#This Row],[Cost_Per_Ton-Mile]],""),"")</f>
        <v/>
      </c>
      <c r="AS631" s="224" t="str">
        <f>IFERROR(IF(SecondaryTransport[[#This Row],[Container_Transfer]]="",(SecondaryTransport[[#This Row],[Ton-Miles]]*SecondaryTransport[[#This Row],[Cost_Per_Ton-Mile]]),""),"")</f>
        <v/>
      </c>
    </row>
    <row r="632" spans="12:45" ht="15" x14ac:dyDescent="0.25">
      <c r="L632" s="446" t="s">
        <v>870</v>
      </c>
      <c r="M632" s="446">
        <v>2</v>
      </c>
      <c r="N632" s="446">
        <v>2</v>
      </c>
      <c r="O632" s="446" t="s">
        <v>752</v>
      </c>
      <c r="P632" s="449" t="s">
        <v>700</v>
      </c>
      <c r="Q632" s="449"/>
      <c r="R632" s="449"/>
      <c r="S632" s="449" t="s">
        <v>964</v>
      </c>
      <c r="T632" s="449" t="s">
        <v>701</v>
      </c>
      <c r="U632" s="452">
        <v>0</v>
      </c>
      <c r="V6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2" s="272" t="str">
        <f>IFERROR(SUMIFS(TransUnitCost[Miles],TransUnitCost[Grouping_ID],TransTonsShort[[#This Row],[Grouping_ID]],TransUnitCost[Transp_ID],TransTonsShort[[#This Row],[Transp_ID]])*TransTonsShort[[#This Row],[Trans_Tons_All]]/TransTonsShort[[#This Row],[Trans_Tons_All]],"")</f>
        <v/>
      </c>
      <c r="X632" s="386" t="str">
        <f>TransTonsShort[[#This Row],[Grouping_ID]]&amp;"-"&amp;TransTonsShort[[#This Row],[Sector_ID]]</f>
        <v>2-2</v>
      </c>
      <c r="Y6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2" s="421">
        <f>INDEX(LandfillFees[Disposal Tip Fee 2025],MATCH(TransTonsShort[[#This Row],[Grouping_ID]],LandfillFees[Grouping_ID],0))</f>
        <v>72.030938699729589</v>
      </c>
      <c r="AA632" s="102">
        <f>IF(OR(TransTonsShort[[#This Row],[CollectionStream_ID]]="03",TransTonsShort[[#This Row],[CollectionStream_ID]]="04",TransTonsShort[[#This Row],[CollectionStream_ID]]="13"),0,TransTonsShort[[#This Row],[Trans_Tons_All]]*TransTonsShort[[#This Row],[Disposal_Fee]])</f>
        <v>0</v>
      </c>
      <c r="AF632" s="446" t="s">
        <v>1805</v>
      </c>
      <c r="AG632" s="181" t="str">
        <f>LEFT(SecondaryTransport[[#This Row],[Scenario_MRF_Bale_ID]],2)</f>
        <v>S4</v>
      </c>
      <c r="AH632" s="181" t="str">
        <f>LEFT(RIGHT(SecondaryTransport[[#This Row],[Scenario_MRF_Bale_ID]],10),2)</f>
        <v>08</v>
      </c>
      <c r="AI632" s="181" t="str">
        <f>INDEX(MRFs[MRF_Name],MATCH(SecondaryTransport[[#This Row],[MRF_ID]],MRFs[MRF_ID],0))</f>
        <v>1 MRF for DS fiber (Salem)</v>
      </c>
      <c r="AJ632" s="181" t="str">
        <f>RIGHT(SecondaryTransport[[#This Row],[Scenario_MRF_Bale_ID]],7)</f>
        <v>9000-01</v>
      </c>
      <c r="AK632" s="181" t="str">
        <f>INDEX(Bales[Bale_Name],MATCH(SecondaryTransport[[#This Row],[Bale_ID]],Bales[Bale_ID],0))</f>
        <v>Landfilled residue</v>
      </c>
      <c r="AL632" s="443">
        <f>INDEX(BaleMover[Total_Baled_tons],MATCH(SecondaryTransport[[#This Row],[Scenario_MRF_Bale_ID]],BaleMover[Scenario_MRF_Bale_ID],0))</f>
        <v>5351.524991607841</v>
      </c>
      <c r="AM632" s="443">
        <f>IF(INDEX(BaleMover[Miles],MATCH(SecondaryTransport[[#This Row],[Scenario_MRF_Bale_ID]],BaleMover[Scenario_MRF_Bale_ID],0))="",0,INDEX(BaleMover[Miles],MATCH(SecondaryTransport[[#This Row],[Scenario_MRF_Bale_ID]],BaleMover[Scenario_MRF_Bale_ID],0)))</f>
        <v>20</v>
      </c>
      <c r="AN632" s="251" t="str">
        <f>IF(SecondaryTransport[[#This Row],[Bale_ID]]="9000-01","costs elsewhere",SecondaryTransport[[#This Row],[Total_Baled_tons]]*SecondaryTransport[[#This Row],[Miles]])</f>
        <v>costs elsewhere</v>
      </c>
      <c r="AO632" s="352" t="str">
        <f>IF(LEFT(SecondaryTransport[[#This Row],[Bale_ID]],1)*1=5,IF(OR(SecondaryTransport[[#This Row],[MRF_ID]]="02",SecondaryTransport[[#This Row],[MRF_ID]]="08"),2,1),"")</f>
        <v/>
      </c>
      <c r="AP63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2" s="224" t="str">
        <f>IFERROR(IF(1*LEFT(SecondaryTransport[[#This Row],[Bale_ID]],1)=5,SecondaryTransport[[#This Row],[Ton-Miles]]*SecondaryTransport[[#This Row],[Cost_Per_Ton-Mile]],""),"")</f>
        <v/>
      </c>
      <c r="AS632" s="224" t="str">
        <f>IFERROR(IF(SecondaryTransport[[#This Row],[Container_Transfer]]="",(SecondaryTransport[[#This Row],[Ton-Miles]]*SecondaryTransport[[#This Row],[Cost_Per_Ton-Mile]]),""),"")</f>
        <v/>
      </c>
    </row>
    <row r="633" spans="12:45" ht="15" x14ac:dyDescent="0.25">
      <c r="L633" s="446" t="s">
        <v>870</v>
      </c>
      <c r="M633" s="446">
        <v>3</v>
      </c>
      <c r="N633" s="446">
        <v>2</v>
      </c>
      <c r="O633" s="446" t="s">
        <v>752</v>
      </c>
      <c r="P633" s="449" t="s">
        <v>700</v>
      </c>
      <c r="Q633" s="449"/>
      <c r="R633" s="449"/>
      <c r="S633" s="449" t="s">
        <v>964</v>
      </c>
      <c r="T633" s="449" t="s">
        <v>701</v>
      </c>
      <c r="U633" s="452">
        <v>0</v>
      </c>
      <c r="V6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3" s="272" t="str">
        <f>IFERROR(SUMIFS(TransUnitCost[Miles],TransUnitCost[Grouping_ID],TransTonsShort[[#This Row],[Grouping_ID]],TransUnitCost[Transp_ID],TransTonsShort[[#This Row],[Transp_ID]])*TransTonsShort[[#This Row],[Trans_Tons_All]]/TransTonsShort[[#This Row],[Trans_Tons_All]],"")</f>
        <v/>
      </c>
      <c r="X633" s="386" t="str">
        <f>TransTonsShort[[#This Row],[Grouping_ID]]&amp;"-"&amp;TransTonsShort[[#This Row],[Sector_ID]]</f>
        <v>3-2</v>
      </c>
      <c r="Y6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3" s="421">
        <f>INDEX(LandfillFees[Disposal Tip Fee 2025],MATCH(TransTonsShort[[#This Row],[Grouping_ID]],LandfillFees[Grouping_ID],0))</f>
        <v>72.030938699729589</v>
      </c>
      <c r="AA633" s="102">
        <f>IF(OR(TransTonsShort[[#This Row],[CollectionStream_ID]]="03",TransTonsShort[[#This Row],[CollectionStream_ID]]="04",TransTonsShort[[#This Row],[CollectionStream_ID]]="13"),0,TransTonsShort[[#This Row],[Trans_Tons_All]]*TransTonsShort[[#This Row],[Disposal_Fee]])</f>
        <v>0</v>
      </c>
      <c r="AF633" s="446" t="s">
        <v>1806</v>
      </c>
      <c r="AG633" s="181" t="str">
        <f>LEFT(SecondaryTransport[[#This Row],[Scenario_MRF_Bale_ID]],2)</f>
        <v>S0</v>
      </c>
      <c r="AH633" s="181" t="str">
        <f>LEFT(RIGHT(SecondaryTransport[[#This Row],[Scenario_MRF_Bale_ID]],10),2)</f>
        <v>13</v>
      </c>
      <c r="AI633" s="181" t="str">
        <f>INDEX(MRFs[MRF_Name],MATCH(SecondaryTransport[[#This Row],[MRF_ID]],MRFs[MRF_ID],0))</f>
        <v>Directly marketed (no sorting)</v>
      </c>
      <c r="AJ633" s="181" t="str">
        <f>RIGHT(SecondaryTransport[[#This Row],[Scenario_MRF_Bale_ID]],7)</f>
        <v>9000-01</v>
      </c>
      <c r="AK633" s="181" t="str">
        <f>INDEX(Bales[Bale_Name],MATCH(SecondaryTransport[[#This Row],[Bale_ID]],Bales[Bale_ID],0))</f>
        <v>Landfilled residue</v>
      </c>
      <c r="AL633" s="443">
        <f>INDEX(BaleMover[Total_Baled_tons],MATCH(SecondaryTransport[[#This Row],[Scenario_MRF_Bale_ID]],BaleMover[Scenario_MRF_Bale_ID],0))</f>
        <v>41.226744182189847</v>
      </c>
      <c r="AM633" s="443">
        <f>IF(INDEX(BaleMover[Miles],MATCH(SecondaryTransport[[#This Row],[Scenario_MRF_Bale_ID]],BaleMover[Scenario_MRF_Bale_ID],0))="",0,INDEX(BaleMover[Miles],MATCH(SecondaryTransport[[#This Row],[Scenario_MRF_Bale_ID]],BaleMover[Scenario_MRF_Bale_ID],0)))</f>
        <v>20</v>
      </c>
      <c r="AN633" s="251" t="str">
        <f>IF(SecondaryTransport[[#This Row],[Bale_ID]]="9000-01","costs elsewhere",SecondaryTransport[[#This Row],[Total_Baled_tons]]*SecondaryTransport[[#This Row],[Miles]])</f>
        <v>costs elsewhere</v>
      </c>
      <c r="AO633" s="352" t="str">
        <f>IF(LEFT(SecondaryTransport[[#This Row],[Bale_ID]],1)*1=5,IF(OR(SecondaryTransport[[#This Row],[MRF_ID]]="02",SecondaryTransport[[#This Row],[MRF_ID]]="08"),2,1),"")</f>
        <v/>
      </c>
      <c r="AP63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3" s="224" t="str">
        <f>IFERROR(IF(1*LEFT(SecondaryTransport[[#This Row],[Bale_ID]],1)=5,SecondaryTransport[[#This Row],[Ton-Miles]]*SecondaryTransport[[#This Row],[Cost_Per_Ton-Mile]],""),"")</f>
        <v/>
      </c>
      <c r="AS633" s="224" t="str">
        <f>IFERROR(IF(SecondaryTransport[[#This Row],[Container_Transfer]]="",(SecondaryTransport[[#This Row],[Ton-Miles]]*SecondaryTransport[[#This Row],[Cost_Per_Ton-Mile]]),""),"")</f>
        <v/>
      </c>
    </row>
    <row r="634" spans="12:45" ht="15" x14ac:dyDescent="0.25">
      <c r="L634" s="446" t="s">
        <v>870</v>
      </c>
      <c r="M634" s="446">
        <v>4</v>
      </c>
      <c r="N634" s="446">
        <v>2</v>
      </c>
      <c r="O634" s="446" t="s">
        <v>752</v>
      </c>
      <c r="P634" s="449" t="s">
        <v>700</v>
      </c>
      <c r="Q634" s="449"/>
      <c r="R634" s="449"/>
      <c r="S634" s="449" t="s">
        <v>964</v>
      </c>
      <c r="T634" s="449" t="s">
        <v>701</v>
      </c>
      <c r="U634" s="452">
        <v>0</v>
      </c>
      <c r="V6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4" s="272" t="str">
        <f>IFERROR(SUMIFS(TransUnitCost[Miles],TransUnitCost[Grouping_ID],TransTonsShort[[#This Row],[Grouping_ID]],TransUnitCost[Transp_ID],TransTonsShort[[#This Row],[Transp_ID]])*TransTonsShort[[#This Row],[Trans_Tons_All]]/TransTonsShort[[#This Row],[Trans_Tons_All]],"")</f>
        <v/>
      </c>
      <c r="X634" s="386" t="str">
        <f>TransTonsShort[[#This Row],[Grouping_ID]]&amp;"-"&amp;TransTonsShort[[#This Row],[Sector_ID]]</f>
        <v>4-2</v>
      </c>
      <c r="Y6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4" s="421">
        <f>INDEX(LandfillFees[Disposal Tip Fee 2025],MATCH(TransTonsShort[[#This Row],[Grouping_ID]],LandfillFees[Grouping_ID],0))</f>
        <v>72.030938699729589</v>
      </c>
      <c r="AA634" s="102">
        <f>IF(OR(TransTonsShort[[#This Row],[CollectionStream_ID]]="03",TransTonsShort[[#This Row],[CollectionStream_ID]]="04",TransTonsShort[[#This Row],[CollectionStream_ID]]="13"),0,TransTonsShort[[#This Row],[Trans_Tons_All]]*TransTonsShort[[#This Row],[Disposal_Fee]])</f>
        <v>0</v>
      </c>
      <c r="AF634" s="446" t="s">
        <v>1807</v>
      </c>
      <c r="AG634" s="181" t="str">
        <f>LEFT(SecondaryTransport[[#This Row],[Scenario_MRF_Bale_ID]],2)</f>
        <v>S1</v>
      </c>
      <c r="AH634" s="181" t="str">
        <f>LEFT(RIGHT(SecondaryTransport[[#This Row],[Scenario_MRF_Bale_ID]],10),2)</f>
        <v>13</v>
      </c>
      <c r="AI634" s="181" t="str">
        <f>INDEX(MRFs[MRF_Name],MATCH(SecondaryTransport[[#This Row],[MRF_ID]],MRFs[MRF_ID],0))</f>
        <v>Directly marketed (no sorting)</v>
      </c>
      <c r="AJ634" s="181" t="str">
        <f>RIGHT(SecondaryTransport[[#This Row],[Scenario_MRF_Bale_ID]],7)</f>
        <v>9000-01</v>
      </c>
      <c r="AK634" s="181" t="str">
        <f>INDEX(Bales[Bale_Name],MATCH(SecondaryTransport[[#This Row],[Bale_ID]],Bales[Bale_ID],0))</f>
        <v>Landfilled residue</v>
      </c>
      <c r="AL634" s="443">
        <f>INDEX(BaleMover[Total_Baled_tons],MATCH(SecondaryTransport[[#This Row],[Scenario_MRF_Bale_ID]],BaleMover[Scenario_MRF_Bale_ID],0))</f>
        <v>41.226744182189847</v>
      </c>
      <c r="AM634" s="443">
        <f>IF(INDEX(BaleMover[Miles],MATCH(SecondaryTransport[[#This Row],[Scenario_MRF_Bale_ID]],BaleMover[Scenario_MRF_Bale_ID],0))="",0,INDEX(BaleMover[Miles],MATCH(SecondaryTransport[[#This Row],[Scenario_MRF_Bale_ID]],BaleMover[Scenario_MRF_Bale_ID],0)))</f>
        <v>20</v>
      </c>
      <c r="AN634" s="251" t="str">
        <f>IF(SecondaryTransport[[#This Row],[Bale_ID]]="9000-01","costs elsewhere",SecondaryTransport[[#This Row],[Total_Baled_tons]]*SecondaryTransport[[#This Row],[Miles]])</f>
        <v>costs elsewhere</v>
      </c>
      <c r="AO634" s="352" t="str">
        <f>IF(LEFT(SecondaryTransport[[#This Row],[Bale_ID]],1)*1=5,IF(OR(SecondaryTransport[[#This Row],[MRF_ID]]="02",SecondaryTransport[[#This Row],[MRF_ID]]="08"),2,1),"")</f>
        <v/>
      </c>
      <c r="AP63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4" s="224" t="str">
        <f>IFERROR(IF(1*LEFT(SecondaryTransport[[#This Row],[Bale_ID]],1)=5,SecondaryTransport[[#This Row],[Ton-Miles]]*SecondaryTransport[[#This Row],[Cost_Per_Ton-Mile]],""),"")</f>
        <v/>
      </c>
      <c r="AS634" s="224" t="str">
        <f>IFERROR(IF(SecondaryTransport[[#This Row],[Container_Transfer]]="",(SecondaryTransport[[#This Row],[Ton-Miles]]*SecondaryTransport[[#This Row],[Cost_Per_Ton-Mile]]),""),"")</f>
        <v/>
      </c>
    </row>
    <row r="635" spans="12:45" ht="15" x14ac:dyDescent="0.25">
      <c r="L635" s="446" t="s">
        <v>870</v>
      </c>
      <c r="M635" s="446">
        <v>1</v>
      </c>
      <c r="N635" s="446">
        <v>2</v>
      </c>
      <c r="O635" s="446" t="s">
        <v>752</v>
      </c>
      <c r="P635" s="449" t="s">
        <v>706</v>
      </c>
      <c r="Q635" s="449"/>
      <c r="R635" s="449"/>
      <c r="S635" s="449" t="s">
        <v>964</v>
      </c>
      <c r="T635" s="449" t="s">
        <v>1025</v>
      </c>
      <c r="U635" s="452">
        <v>0</v>
      </c>
      <c r="V6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5" s="272" t="str">
        <f>IFERROR(SUMIFS(TransUnitCost[Miles],TransUnitCost[Grouping_ID],TransTonsShort[[#This Row],[Grouping_ID]],TransUnitCost[Transp_ID],TransTonsShort[[#This Row],[Transp_ID]])*TransTonsShort[[#This Row],[Trans_Tons_All]]/TransTonsShort[[#This Row],[Trans_Tons_All]],"")</f>
        <v/>
      </c>
      <c r="X635" s="386" t="str">
        <f>TransTonsShort[[#This Row],[Grouping_ID]]&amp;"-"&amp;TransTonsShort[[#This Row],[Sector_ID]]</f>
        <v>1-2</v>
      </c>
      <c r="Y6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5" s="421">
        <f>INDEX(LandfillFees[Disposal Tip Fee 2025],MATCH(TransTonsShort[[#This Row],[Grouping_ID]],LandfillFees[Grouping_ID],0))</f>
        <v>134.68</v>
      </c>
      <c r="AA635" s="102">
        <f>IF(OR(TransTonsShort[[#This Row],[CollectionStream_ID]]="03",TransTonsShort[[#This Row],[CollectionStream_ID]]="04",TransTonsShort[[#This Row],[CollectionStream_ID]]="13"),0,TransTonsShort[[#This Row],[Trans_Tons_All]]*TransTonsShort[[#This Row],[Disposal_Fee]])</f>
        <v>0</v>
      </c>
      <c r="AF635" s="446" t="s">
        <v>1808</v>
      </c>
      <c r="AG635" s="181" t="str">
        <f>LEFT(SecondaryTransport[[#This Row],[Scenario_MRF_Bale_ID]],2)</f>
        <v>S2</v>
      </c>
      <c r="AH635" s="181" t="str">
        <f>LEFT(RIGHT(SecondaryTransport[[#This Row],[Scenario_MRF_Bale_ID]],10),2)</f>
        <v>13</v>
      </c>
      <c r="AI635" s="181" t="str">
        <f>INDEX(MRFs[MRF_Name],MATCH(SecondaryTransport[[#This Row],[MRF_ID]],MRFs[MRF_ID],0))</f>
        <v>Directly marketed (no sorting)</v>
      </c>
      <c r="AJ635" s="181" t="str">
        <f>RIGHT(SecondaryTransport[[#This Row],[Scenario_MRF_Bale_ID]],7)</f>
        <v>9000-01</v>
      </c>
      <c r="AK635" s="181" t="str">
        <f>INDEX(Bales[Bale_Name],MATCH(SecondaryTransport[[#This Row],[Bale_ID]],Bales[Bale_ID],0))</f>
        <v>Landfilled residue</v>
      </c>
      <c r="AL635" s="443">
        <f>INDEX(BaleMover[Total_Baled_tons],MATCH(SecondaryTransport[[#This Row],[Scenario_MRF_Bale_ID]],BaleMover[Scenario_MRF_Bale_ID],0))</f>
        <v>45.067144792918867</v>
      </c>
      <c r="AM635" s="443">
        <f>IF(INDEX(BaleMover[Miles],MATCH(SecondaryTransport[[#This Row],[Scenario_MRF_Bale_ID]],BaleMover[Scenario_MRF_Bale_ID],0))="",0,INDEX(BaleMover[Miles],MATCH(SecondaryTransport[[#This Row],[Scenario_MRF_Bale_ID]],BaleMover[Scenario_MRF_Bale_ID],0)))</f>
        <v>20</v>
      </c>
      <c r="AN635" s="251" t="str">
        <f>IF(SecondaryTransport[[#This Row],[Bale_ID]]="9000-01","costs elsewhere",SecondaryTransport[[#This Row],[Total_Baled_tons]]*SecondaryTransport[[#This Row],[Miles]])</f>
        <v>costs elsewhere</v>
      </c>
      <c r="AO635" s="352" t="str">
        <f>IF(LEFT(SecondaryTransport[[#This Row],[Bale_ID]],1)*1=5,IF(OR(SecondaryTransport[[#This Row],[MRF_ID]]="02",SecondaryTransport[[#This Row],[MRF_ID]]="08"),2,1),"")</f>
        <v/>
      </c>
      <c r="AP63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5" s="224" t="str">
        <f>IFERROR(IF(1*LEFT(SecondaryTransport[[#This Row],[Bale_ID]],1)=5,SecondaryTransport[[#This Row],[Ton-Miles]]*SecondaryTransport[[#This Row],[Cost_Per_Ton-Mile]],""),"")</f>
        <v/>
      </c>
      <c r="AS635" s="224" t="str">
        <f>IFERROR(IF(SecondaryTransport[[#This Row],[Container_Transfer]]="",(SecondaryTransport[[#This Row],[Ton-Miles]]*SecondaryTransport[[#This Row],[Cost_Per_Ton-Mile]]),""),"")</f>
        <v/>
      </c>
    </row>
    <row r="636" spans="12:45" ht="15" x14ac:dyDescent="0.25">
      <c r="L636" s="446" t="s">
        <v>870</v>
      </c>
      <c r="M636" s="446">
        <v>2</v>
      </c>
      <c r="N636" s="446">
        <v>2</v>
      </c>
      <c r="O636" s="446" t="s">
        <v>752</v>
      </c>
      <c r="P636" s="449" t="s">
        <v>706</v>
      </c>
      <c r="Q636" s="449"/>
      <c r="R636" s="449"/>
      <c r="S636" s="449" t="s">
        <v>964</v>
      </c>
      <c r="T636" s="449" t="s">
        <v>1025</v>
      </c>
      <c r="U636" s="452">
        <v>0</v>
      </c>
      <c r="V6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6" s="272" t="str">
        <f>IFERROR(SUMIFS(TransUnitCost[Miles],TransUnitCost[Grouping_ID],TransTonsShort[[#This Row],[Grouping_ID]],TransUnitCost[Transp_ID],TransTonsShort[[#This Row],[Transp_ID]])*TransTonsShort[[#This Row],[Trans_Tons_All]]/TransTonsShort[[#This Row],[Trans_Tons_All]],"")</f>
        <v/>
      </c>
      <c r="X636" s="386" t="str">
        <f>TransTonsShort[[#This Row],[Grouping_ID]]&amp;"-"&amp;TransTonsShort[[#This Row],[Sector_ID]]</f>
        <v>2-2</v>
      </c>
      <c r="Y6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6" s="421">
        <f>INDEX(LandfillFees[Disposal Tip Fee 2025],MATCH(TransTonsShort[[#This Row],[Grouping_ID]],LandfillFees[Grouping_ID],0))</f>
        <v>72.030938699729589</v>
      </c>
      <c r="AA636" s="102">
        <f>IF(OR(TransTonsShort[[#This Row],[CollectionStream_ID]]="03",TransTonsShort[[#This Row],[CollectionStream_ID]]="04",TransTonsShort[[#This Row],[CollectionStream_ID]]="13"),0,TransTonsShort[[#This Row],[Trans_Tons_All]]*TransTonsShort[[#This Row],[Disposal_Fee]])</f>
        <v>0</v>
      </c>
      <c r="AF636" s="446" t="s">
        <v>1809</v>
      </c>
      <c r="AG636" s="181" t="str">
        <f>LEFT(SecondaryTransport[[#This Row],[Scenario_MRF_Bale_ID]],2)</f>
        <v>S3</v>
      </c>
      <c r="AH636" s="181" t="str">
        <f>LEFT(RIGHT(SecondaryTransport[[#This Row],[Scenario_MRF_Bale_ID]],10),2)</f>
        <v>13</v>
      </c>
      <c r="AI636" s="181" t="str">
        <f>INDEX(MRFs[MRF_Name],MATCH(SecondaryTransport[[#This Row],[MRF_ID]],MRFs[MRF_ID],0))</f>
        <v>Directly marketed (no sorting)</v>
      </c>
      <c r="AJ636" s="181" t="str">
        <f>RIGHT(SecondaryTransport[[#This Row],[Scenario_MRF_Bale_ID]],7)</f>
        <v>9000-01</v>
      </c>
      <c r="AK636" s="181" t="str">
        <f>INDEX(Bales[Bale_Name],MATCH(SecondaryTransport[[#This Row],[Bale_ID]],Bales[Bale_ID],0))</f>
        <v>Landfilled residue</v>
      </c>
      <c r="AL636" s="443">
        <f>INDEX(BaleMover[Total_Baled_tons],MATCH(SecondaryTransport[[#This Row],[Scenario_MRF_Bale_ID]],BaleMover[Scenario_MRF_Bale_ID],0))</f>
        <v>45.067144792918867</v>
      </c>
      <c r="AM636" s="443">
        <f>IF(INDEX(BaleMover[Miles],MATCH(SecondaryTransport[[#This Row],[Scenario_MRF_Bale_ID]],BaleMover[Scenario_MRF_Bale_ID],0))="",0,INDEX(BaleMover[Miles],MATCH(SecondaryTransport[[#This Row],[Scenario_MRF_Bale_ID]],BaleMover[Scenario_MRF_Bale_ID],0)))</f>
        <v>20</v>
      </c>
      <c r="AN636" s="251" t="str">
        <f>IF(SecondaryTransport[[#This Row],[Bale_ID]]="9000-01","costs elsewhere",SecondaryTransport[[#This Row],[Total_Baled_tons]]*SecondaryTransport[[#This Row],[Miles]])</f>
        <v>costs elsewhere</v>
      </c>
      <c r="AO636" s="352" t="str">
        <f>IF(LEFT(SecondaryTransport[[#This Row],[Bale_ID]],1)*1=5,IF(OR(SecondaryTransport[[#This Row],[MRF_ID]]="02",SecondaryTransport[[#This Row],[MRF_ID]]="08"),2,1),"")</f>
        <v/>
      </c>
      <c r="AP63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6" s="224" t="str">
        <f>IFERROR(IF(1*LEFT(SecondaryTransport[[#This Row],[Bale_ID]],1)=5,SecondaryTransport[[#This Row],[Ton-Miles]]*SecondaryTransport[[#This Row],[Cost_Per_Ton-Mile]],""),"")</f>
        <v/>
      </c>
      <c r="AS636" s="224" t="str">
        <f>IFERROR(IF(SecondaryTransport[[#This Row],[Container_Transfer]]="",(SecondaryTransport[[#This Row],[Ton-Miles]]*SecondaryTransport[[#This Row],[Cost_Per_Ton-Mile]]),""),"")</f>
        <v/>
      </c>
    </row>
    <row r="637" spans="12:45" ht="15" x14ac:dyDescent="0.25">
      <c r="L637" s="446" t="s">
        <v>870</v>
      </c>
      <c r="M637" s="446">
        <v>3</v>
      </c>
      <c r="N637" s="446">
        <v>2</v>
      </c>
      <c r="O637" s="446" t="s">
        <v>752</v>
      </c>
      <c r="P637" s="449" t="s">
        <v>706</v>
      </c>
      <c r="Q637" s="449"/>
      <c r="R637" s="449"/>
      <c r="S637" s="449" t="s">
        <v>964</v>
      </c>
      <c r="T637" s="449" t="s">
        <v>1025</v>
      </c>
      <c r="U637" s="452">
        <v>0</v>
      </c>
      <c r="V6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7" s="272" t="str">
        <f>IFERROR(SUMIFS(TransUnitCost[Miles],TransUnitCost[Grouping_ID],TransTonsShort[[#This Row],[Grouping_ID]],TransUnitCost[Transp_ID],TransTonsShort[[#This Row],[Transp_ID]])*TransTonsShort[[#This Row],[Trans_Tons_All]]/TransTonsShort[[#This Row],[Trans_Tons_All]],"")</f>
        <v/>
      </c>
      <c r="X637" s="386" t="str">
        <f>TransTonsShort[[#This Row],[Grouping_ID]]&amp;"-"&amp;TransTonsShort[[#This Row],[Sector_ID]]</f>
        <v>3-2</v>
      </c>
      <c r="Y6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7" s="421">
        <f>INDEX(LandfillFees[Disposal Tip Fee 2025],MATCH(TransTonsShort[[#This Row],[Grouping_ID]],LandfillFees[Grouping_ID],0))</f>
        <v>72.030938699729589</v>
      </c>
      <c r="AA637" s="102">
        <f>IF(OR(TransTonsShort[[#This Row],[CollectionStream_ID]]="03",TransTonsShort[[#This Row],[CollectionStream_ID]]="04",TransTonsShort[[#This Row],[CollectionStream_ID]]="13"),0,TransTonsShort[[#This Row],[Trans_Tons_All]]*TransTonsShort[[#This Row],[Disposal_Fee]])</f>
        <v>0</v>
      </c>
      <c r="AF637" s="446" t="s">
        <v>1810</v>
      </c>
      <c r="AG637" s="181" t="str">
        <f>LEFT(SecondaryTransport[[#This Row],[Scenario_MRF_Bale_ID]],2)</f>
        <v>S4</v>
      </c>
      <c r="AH637" s="181" t="str">
        <f>LEFT(RIGHT(SecondaryTransport[[#This Row],[Scenario_MRF_Bale_ID]],10),2)</f>
        <v>13</v>
      </c>
      <c r="AI637" s="181" t="str">
        <f>INDEX(MRFs[MRF_Name],MATCH(SecondaryTransport[[#This Row],[MRF_ID]],MRFs[MRF_ID],0))</f>
        <v>Directly marketed (no sorting)</v>
      </c>
      <c r="AJ637" s="181" t="str">
        <f>RIGHT(SecondaryTransport[[#This Row],[Scenario_MRF_Bale_ID]],7)</f>
        <v>9000-01</v>
      </c>
      <c r="AK637" s="181" t="str">
        <f>INDEX(Bales[Bale_Name],MATCH(SecondaryTransport[[#This Row],[Bale_ID]],Bales[Bale_ID],0))</f>
        <v>Landfilled residue</v>
      </c>
      <c r="AL637" s="443">
        <f>INDEX(BaleMover[Total_Baled_tons],MATCH(SecondaryTransport[[#This Row],[Scenario_MRF_Bale_ID]],BaleMover[Scenario_MRF_Bale_ID],0))</f>
        <v>45.067144792918867</v>
      </c>
      <c r="AM637" s="443">
        <f>IF(INDEX(BaleMover[Miles],MATCH(SecondaryTransport[[#This Row],[Scenario_MRF_Bale_ID]],BaleMover[Scenario_MRF_Bale_ID],0))="",0,INDEX(BaleMover[Miles],MATCH(SecondaryTransport[[#This Row],[Scenario_MRF_Bale_ID]],BaleMover[Scenario_MRF_Bale_ID],0)))</f>
        <v>20</v>
      </c>
      <c r="AN637" s="251" t="str">
        <f>IF(SecondaryTransport[[#This Row],[Bale_ID]]="9000-01","costs elsewhere",SecondaryTransport[[#This Row],[Total_Baled_tons]]*SecondaryTransport[[#This Row],[Miles]])</f>
        <v>costs elsewhere</v>
      </c>
      <c r="AO637" s="352" t="str">
        <f>IF(LEFT(SecondaryTransport[[#This Row],[Bale_ID]],1)*1=5,IF(OR(SecondaryTransport[[#This Row],[MRF_ID]]="02",SecondaryTransport[[#This Row],[MRF_ID]]="08"),2,1),"")</f>
        <v/>
      </c>
      <c r="AP63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7"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7" s="224" t="str">
        <f>IFERROR(IF(1*LEFT(SecondaryTransport[[#This Row],[Bale_ID]],1)=5,SecondaryTransport[[#This Row],[Ton-Miles]]*SecondaryTransport[[#This Row],[Cost_Per_Ton-Mile]],""),"")</f>
        <v/>
      </c>
      <c r="AS637" s="224" t="str">
        <f>IFERROR(IF(SecondaryTransport[[#This Row],[Container_Transfer]]="",(SecondaryTransport[[#This Row],[Ton-Miles]]*SecondaryTransport[[#This Row],[Cost_Per_Ton-Mile]]),""),"")</f>
        <v/>
      </c>
    </row>
    <row r="638" spans="12:45" ht="15" x14ac:dyDescent="0.25">
      <c r="L638" s="446" t="s">
        <v>870</v>
      </c>
      <c r="M638" s="446">
        <v>4</v>
      </c>
      <c r="N638" s="446">
        <v>2</v>
      </c>
      <c r="O638" s="446" t="s">
        <v>752</v>
      </c>
      <c r="P638" s="449" t="s">
        <v>706</v>
      </c>
      <c r="Q638" s="449"/>
      <c r="R638" s="449"/>
      <c r="S638" s="449" t="s">
        <v>964</v>
      </c>
      <c r="T638" s="449" t="s">
        <v>1025</v>
      </c>
      <c r="U638" s="452">
        <v>0</v>
      </c>
      <c r="V6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8" s="272" t="str">
        <f>IFERROR(SUMIFS(TransUnitCost[Miles],TransUnitCost[Grouping_ID],TransTonsShort[[#This Row],[Grouping_ID]],TransUnitCost[Transp_ID],TransTonsShort[[#This Row],[Transp_ID]])*TransTonsShort[[#This Row],[Trans_Tons_All]]/TransTonsShort[[#This Row],[Trans_Tons_All]],"")</f>
        <v/>
      </c>
      <c r="X638" s="386" t="str">
        <f>TransTonsShort[[#This Row],[Grouping_ID]]&amp;"-"&amp;TransTonsShort[[#This Row],[Sector_ID]]</f>
        <v>4-2</v>
      </c>
      <c r="Y6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8" s="421">
        <f>INDEX(LandfillFees[Disposal Tip Fee 2025],MATCH(TransTonsShort[[#This Row],[Grouping_ID]],LandfillFees[Grouping_ID],0))</f>
        <v>72.030938699729589</v>
      </c>
      <c r="AA638" s="102">
        <f>IF(OR(TransTonsShort[[#This Row],[CollectionStream_ID]]="03",TransTonsShort[[#This Row],[CollectionStream_ID]]="04",TransTonsShort[[#This Row],[CollectionStream_ID]]="13"),0,TransTonsShort[[#This Row],[Trans_Tons_All]]*TransTonsShort[[#This Row],[Disposal_Fee]])</f>
        <v>0</v>
      </c>
      <c r="AF638" s="446" t="s">
        <v>1811</v>
      </c>
      <c r="AG638" s="181" t="str">
        <f>LEFT(SecondaryTransport[[#This Row],[Scenario_MRF_Bale_ID]],2)</f>
        <v>S0</v>
      </c>
      <c r="AH638" s="181" t="str">
        <f>LEFT(RIGHT(SecondaryTransport[[#This Row],[Scenario_MRF_Bale_ID]],10),2)</f>
        <v>14</v>
      </c>
      <c r="AI638" s="181" t="str">
        <f>INDEX(MRFs[MRF_Name],MATCH(SecondaryTransport[[#This Row],[MRF_ID]],MRFs[MRF_ID],0))</f>
        <v>Glass 2 Glass (Portland)</v>
      </c>
      <c r="AJ638" s="181" t="str">
        <f>RIGHT(SecondaryTransport[[#This Row],[Scenario_MRF_Bale_ID]],7)</f>
        <v>9000-01</v>
      </c>
      <c r="AK638" s="181" t="str">
        <f>INDEX(Bales[Bale_Name],MATCH(SecondaryTransport[[#This Row],[Bale_ID]],Bales[Bale_ID],0))</f>
        <v>Landfilled residue</v>
      </c>
      <c r="AL638" s="443">
        <f>INDEX(BaleMover[Total_Baled_tons],MATCH(SecondaryTransport[[#This Row],[Scenario_MRF_Bale_ID]],BaleMover[Scenario_MRF_Bale_ID],0))</f>
        <v>127.29495858283477</v>
      </c>
      <c r="AM638" s="443">
        <f>IF(INDEX(BaleMover[Miles],MATCH(SecondaryTransport[[#This Row],[Scenario_MRF_Bale_ID]],BaleMover[Scenario_MRF_Bale_ID],0))="",0,INDEX(BaleMover[Miles],MATCH(SecondaryTransport[[#This Row],[Scenario_MRF_Bale_ID]],BaleMover[Scenario_MRF_Bale_ID],0)))</f>
        <v>20</v>
      </c>
      <c r="AN638" s="251" t="str">
        <f>IF(SecondaryTransport[[#This Row],[Bale_ID]]="9000-01","costs elsewhere",SecondaryTransport[[#This Row],[Total_Baled_tons]]*SecondaryTransport[[#This Row],[Miles]])</f>
        <v>costs elsewhere</v>
      </c>
      <c r="AO638" s="352" t="str">
        <f>IF(LEFT(SecondaryTransport[[#This Row],[Bale_ID]],1)*1=5,IF(OR(SecondaryTransport[[#This Row],[MRF_ID]]="02",SecondaryTransport[[#This Row],[MRF_ID]]="08"),2,1),"")</f>
        <v/>
      </c>
      <c r="AP63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8" s="224" t="str">
        <f>IFERROR(IF(1*LEFT(SecondaryTransport[[#This Row],[Bale_ID]],1)=5,SecondaryTransport[[#This Row],[Ton-Miles]]*SecondaryTransport[[#This Row],[Cost_Per_Ton-Mile]],""),"")</f>
        <v/>
      </c>
      <c r="AS638" s="224" t="str">
        <f>IFERROR(IF(SecondaryTransport[[#This Row],[Container_Transfer]]="",(SecondaryTransport[[#This Row],[Ton-Miles]]*SecondaryTransport[[#This Row],[Cost_Per_Ton-Mile]]),""),"")</f>
        <v/>
      </c>
    </row>
    <row r="639" spans="12:45" ht="15" x14ac:dyDescent="0.25">
      <c r="L639" s="446" t="s">
        <v>870</v>
      </c>
      <c r="M639" s="446">
        <v>1</v>
      </c>
      <c r="N639" s="446">
        <v>2</v>
      </c>
      <c r="O639" s="446" t="s">
        <v>750</v>
      </c>
      <c r="P639" s="449" t="s">
        <v>739</v>
      </c>
      <c r="Q639" s="449"/>
      <c r="R639" s="449"/>
      <c r="S639" s="449" t="s">
        <v>963</v>
      </c>
      <c r="T639" s="449" t="s">
        <v>1121</v>
      </c>
      <c r="U639" s="452">
        <v>0</v>
      </c>
      <c r="V6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39" s="272" t="str">
        <f>IFERROR(SUMIFS(TransUnitCost[Miles],TransUnitCost[Grouping_ID],TransTonsShort[[#This Row],[Grouping_ID]],TransUnitCost[Transp_ID],TransTonsShort[[#This Row],[Transp_ID]])*TransTonsShort[[#This Row],[Trans_Tons_All]]/TransTonsShort[[#This Row],[Trans_Tons_All]],"")</f>
        <v/>
      </c>
      <c r="X639" s="386" t="str">
        <f>TransTonsShort[[#This Row],[Grouping_ID]]&amp;"-"&amp;TransTonsShort[[#This Row],[Sector_ID]]</f>
        <v>1-2</v>
      </c>
      <c r="Y6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39" s="421">
        <f>INDEX(LandfillFees[Disposal Tip Fee 2025],MATCH(TransTonsShort[[#This Row],[Grouping_ID]],LandfillFees[Grouping_ID],0))</f>
        <v>134.68</v>
      </c>
      <c r="AA639" s="102">
        <f>IF(OR(TransTonsShort[[#This Row],[CollectionStream_ID]]="03",TransTonsShort[[#This Row],[CollectionStream_ID]]="04",TransTonsShort[[#This Row],[CollectionStream_ID]]="13"),0,TransTonsShort[[#This Row],[Trans_Tons_All]]*TransTonsShort[[#This Row],[Disposal_Fee]])</f>
        <v>0</v>
      </c>
      <c r="AF639" s="446" t="s">
        <v>1812</v>
      </c>
      <c r="AG639" s="181" t="str">
        <f>LEFT(SecondaryTransport[[#This Row],[Scenario_MRF_Bale_ID]],2)</f>
        <v>S1</v>
      </c>
      <c r="AH639" s="181" t="str">
        <f>LEFT(RIGHT(SecondaryTransport[[#This Row],[Scenario_MRF_Bale_ID]],10),2)</f>
        <v>14</v>
      </c>
      <c r="AI639" s="181" t="str">
        <f>INDEX(MRFs[MRF_Name],MATCH(SecondaryTransport[[#This Row],[MRF_ID]],MRFs[MRF_ID],0))</f>
        <v>Glass 2 Glass (Portland)</v>
      </c>
      <c r="AJ639" s="181" t="str">
        <f>RIGHT(SecondaryTransport[[#This Row],[Scenario_MRF_Bale_ID]],7)</f>
        <v>9000-01</v>
      </c>
      <c r="AK639" s="181" t="str">
        <f>INDEX(Bales[Bale_Name],MATCH(SecondaryTransport[[#This Row],[Bale_ID]],Bales[Bale_ID],0))</f>
        <v>Landfilled residue</v>
      </c>
      <c r="AL639" s="443">
        <f>INDEX(BaleMover[Total_Baled_tons],MATCH(SecondaryTransport[[#This Row],[Scenario_MRF_Bale_ID]],BaleMover[Scenario_MRF_Bale_ID],0))</f>
        <v>127.29495858283477</v>
      </c>
      <c r="AM639" s="443">
        <f>IF(INDEX(BaleMover[Miles],MATCH(SecondaryTransport[[#This Row],[Scenario_MRF_Bale_ID]],BaleMover[Scenario_MRF_Bale_ID],0))="",0,INDEX(BaleMover[Miles],MATCH(SecondaryTransport[[#This Row],[Scenario_MRF_Bale_ID]],BaleMover[Scenario_MRF_Bale_ID],0)))</f>
        <v>20</v>
      </c>
      <c r="AN639" s="251" t="str">
        <f>IF(SecondaryTransport[[#This Row],[Bale_ID]]="9000-01","costs elsewhere",SecondaryTransport[[#This Row],[Total_Baled_tons]]*SecondaryTransport[[#This Row],[Miles]])</f>
        <v>costs elsewhere</v>
      </c>
      <c r="AO639" s="352" t="str">
        <f>IF(LEFT(SecondaryTransport[[#This Row],[Bale_ID]],1)*1=5,IF(OR(SecondaryTransport[[#This Row],[MRF_ID]]="02",SecondaryTransport[[#This Row],[MRF_ID]]="08"),2,1),"")</f>
        <v/>
      </c>
      <c r="AP63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3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39" s="224" t="str">
        <f>IFERROR(IF(1*LEFT(SecondaryTransport[[#This Row],[Bale_ID]],1)=5,SecondaryTransport[[#This Row],[Ton-Miles]]*SecondaryTransport[[#This Row],[Cost_Per_Ton-Mile]],""),"")</f>
        <v/>
      </c>
      <c r="AS639" s="224" t="str">
        <f>IFERROR(IF(SecondaryTransport[[#This Row],[Container_Transfer]]="",(SecondaryTransport[[#This Row],[Ton-Miles]]*SecondaryTransport[[#This Row],[Cost_Per_Ton-Mile]]),""),"")</f>
        <v/>
      </c>
    </row>
    <row r="640" spans="12:45" ht="15" x14ac:dyDescent="0.25">
      <c r="L640" s="446" t="s">
        <v>870</v>
      </c>
      <c r="M640" s="446">
        <v>2</v>
      </c>
      <c r="N640" s="446">
        <v>2</v>
      </c>
      <c r="O640" s="446" t="s">
        <v>750</v>
      </c>
      <c r="P640" s="449" t="s">
        <v>739</v>
      </c>
      <c r="Q640" s="449"/>
      <c r="R640" s="449"/>
      <c r="S640" s="449" t="s">
        <v>963</v>
      </c>
      <c r="T640" s="449" t="s">
        <v>1121</v>
      </c>
      <c r="U640" s="452">
        <v>0</v>
      </c>
      <c r="V6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0" s="272" t="str">
        <f>IFERROR(SUMIFS(TransUnitCost[Miles],TransUnitCost[Grouping_ID],TransTonsShort[[#This Row],[Grouping_ID]],TransUnitCost[Transp_ID],TransTonsShort[[#This Row],[Transp_ID]])*TransTonsShort[[#This Row],[Trans_Tons_All]]/TransTonsShort[[#This Row],[Trans_Tons_All]],"")</f>
        <v/>
      </c>
      <c r="X640" s="386" t="str">
        <f>TransTonsShort[[#This Row],[Grouping_ID]]&amp;"-"&amp;TransTonsShort[[#This Row],[Sector_ID]]</f>
        <v>2-2</v>
      </c>
      <c r="Y6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0" s="421">
        <f>INDEX(LandfillFees[Disposal Tip Fee 2025],MATCH(TransTonsShort[[#This Row],[Grouping_ID]],LandfillFees[Grouping_ID],0))</f>
        <v>72.030938699729589</v>
      </c>
      <c r="AA640" s="102">
        <f>IF(OR(TransTonsShort[[#This Row],[CollectionStream_ID]]="03",TransTonsShort[[#This Row],[CollectionStream_ID]]="04",TransTonsShort[[#This Row],[CollectionStream_ID]]="13"),0,TransTonsShort[[#This Row],[Trans_Tons_All]]*TransTonsShort[[#This Row],[Disposal_Fee]])</f>
        <v>0</v>
      </c>
      <c r="AF640" s="446" t="s">
        <v>1813</v>
      </c>
      <c r="AG640" s="181" t="str">
        <f>LEFT(SecondaryTransport[[#This Row],[Scenario_MRF_Bale_ID]],2)</f>
        <v>S2</v>
      </c>
      <c r="AH640" s="181" t="str">
        <f>LEFT(RIGHT(SecondaryTransport[[#This Row],[Scenario_MRF_Bale_ID]],10),2)</f>
        <v>14</v>
      </c>
      <c r="AI640" s="181" t="str">
        <f>INDEX(MRFs[MRF_Name],MATCH(SecondaryTransport[[#This Row],[MRF_ID]],MRFs[MRF_ID],0))</f>
        <v>Glass 2 Glass (Portland)</v>
      </c>
      <c r="AJ640" s="181" t="str">
        <f>RIGHT(SecondaryTransport[[#This Row],[Scenario_MRF_Bale_ID]],7)</f>
        <v>9000-01</v>
      </c>
      <c r="AK640" s="181" t="str">
        <f>INDEX(Bales[Bale_Name],MATCH(SecondaryTransport[[#This Row],[Bale_ID]],Bales[Bale_ID],0))</f>
        <v>Landfilled residue</v>
      </c>
      <c r="AL640" s="443">
        <f>INDEX(BaleMover[Total_Baled_tons],MATCH(SecondaryTransport[[#This Row],[Scenario_MRF_Bale_ID]],BaleMover[Scenario_MRF_Bale_ID],0))</f>
        <v>127.29495858283477</v>
      </c>
      <c r="AM640" s="443">
        <f>IF(INDEX(BaleMover[Miles],MATCH(SecondaryTransport[[#This Row],[Scenario_MRF_Bale_ID]],BaleMover[Scenario_MRF_Bale_ID],0))="",0,INDEX(BaleMover[Miles],MATCH(SecondaryTransport[[#This Row],[Scenario_MRF_Bale_ID]],BaleMover[Scenario_MRF_Bale_ID],0)))</f>
        <v>20</v>
      </c>
      <c r="AN640" s="251" t="str">
        <f>IF(SecondaryTransport[[#This Row],[Bale_ID]]="9000-01","costs elsewhere",SecondaryTransport[[#This Row],[Total_Baled_tons]]*SecondaryTransport[[#This Row],[Miles]])</f>
        <v>costs elsewhere</v>
      </c>
      <c r="AO640" s="352" t="str">
        <f>IF(LEFT(SecondaryTransport[[#This Row],[Bale_ID]],1)*1=5,IF(OR(SecondaryTransport[[#This Row],[MRF_ID]]="02",SecondaryTransport[[#This Row],[MRF_ID]]="08"),2,1),"")</f>
        <v/>
      </c>
      <c r="AP64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40" s="224" t="str">
        <f>IFERROR(IF(1*LEFT(SecondaryTransport[[#This Row],[Bale_ID]],1)=5,SecondaryTransport[[#This Row],[Ton-Miles]]*SecondaryTransport[[#This Row],[Cost_Per_Ton-Mile]],""),"")</f>
        <v/>
      </c>
      <c r="AS640" s="224" t="str">
        <f>IFERROR(IF(SecondaryTransport[[#This Row],[Container_Transfer]]="",(SecondaryTransport[[#This Row],[Ton-Miles]]*SecondaryTransport[[#This Row],[Cost_Per_Ton-Mile]]),""),"")</f>
        <v/>
      </c>
    </row>
    <row r="641" spans="12:45" ht="15" x14ac:dyDescent="0.25">
      <c r="L641" s="446" t="s">
        <v>870</v>
      </c>
      <c r="M641" s="446">
        <v>3</v>
      </c>
      <c r="N641" s="446">
        <v>2</v>
      </c>
      <c r="O641" s="446" t="s">
        <v>750</v>
      </c>
      <c r="P641" s="449" t="s">
        <v>739</v>
      </c>
      <c r="Q641" s="449"/>
      <c r="R641" s="449"/>
      <c r="S641" s="449" t="s">
        <v>963</v>
      </c>
      <c r="T641" s="449" t="s">
        <v>1121</v>
      </c>
      <c r="U641" s="452">
        <v>0</v>
      </c>
      <c r="V6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1" s="272" t="str">
        <f>IFERROR(SUMIFS(TransUnitCost[Miles],TransUnitCost[Grouping_ID],TransTonsShort[[#This Row],[Grouping_ID]],TransUnitCost[Transp_ID],TransTonsShort[[#This Row],[Transp_ID]])*TransTonsShort[[#This Row],[Trans_Tons_All]]/TransTonsShort[[#This Row],[Trans_Tons_All]],"")</f>
        <v/>
      </c>
      <c r="X641" s="386" t="str">
        <f>TransTonsShort[[#This Row],[Grouping_ID]]&amp;"-"&amp;TransTonsShort[[#This Row],[Sector_ID]]</f>
        <v>3-2</v>
      </c>
      <c r="Y6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1" s="421">
        <f>INDEX(LandfillFees[Disposal Tip Fee 2025],MATCH(TransTonsShort[[#This Row],[Grouping_ID]],LandfillFees[Grouping_ID],0))</f>
        <v>72.030938699729589</v>
      </c>
      <c r="AA641" s="102">
        <f>IF(OR(TransTonsShort[[#This Row],[CollectionStream_ID]]="03",TransTonsShort[[#This Row],[CollectionStream_ID]]="04",TransTonsShort[[#This Row],[CollectionStream_ID]]="13"),0,TransTonsShort[[#This Row],[Trans_Tons_All]]*TransTonsShort[[#This Row],[Disposal_Fee]])</f>
        <v>0</v>
      </c>
      <c r="AF641" s="446" t="s">
        <v>1814</v>
      </c>
      <c r="AG641" s="181" t="str">
        <f>LEFT(SecondaryTransport[[#This Row],[Scenario_MRF_Bale_ID]],2)</f>
        <v>S3</v>
      </c>
      <c r="AH641" s="181" t="str">
        <f>LEFT(RIGHT(SecondaryTransport[[#This Row],[Scenario_MRF_Bale_ID]],10),2)</f>
        <v>14</v>
      </c>
      <c r="AI641" s="181" t="str">
        <f>INDEX(MRFs[MRF_Name],MATCH(SecondaryTransport[[#This Row],[MRF_ID]],MRFs[MRF_ID],0))</f>
        <v>Glass 2 Glass (Portland)</v>
      </c>
      <c r="AJ641" s="181" t="str">
        <f>RIGHT(SecondaryTransport[[#This Row],[Scenario_MRF_Bale_ID]],7)</f>
        <v>9000-01</v>
      </c>
      <c r="AK641" s="181" t="str">
        <f>INDEX(Bales[Bale_Name],MATCH(SecondaryTransport[[#This Row],[Bale_ID]],Bales[Bale_ID],0))</f>
        <v>Landfilled residue</v>
      </c>
      <c r="AL641" s="443">
        <f>INDEX(BaleMover[Total_Baled_tons],MATCH(SecondaryTransport[[#This Row],[Scenario_MRF_Bale_ID]],BaleMover[Scenario_MRF_Bale_ID],0))</f>
        <v>127.29495858283477</v>
      </c>
      <c r="AM641" s="443">
        <f>IF(INDEX(BaleMover[Miles],MATCH(SecondaryTransport[[#This Row],[Scenario_MRF_Bale_ID]],BaleMover[Scenario_MRF_Bale_ID],0))="",0,INDEX(BaleMover[Miles],MATCH(SecondaryTransport[[#This Row],[Scenario_MRF_Bale_ID]],BaleMover[Scenario_MRF_Bale_ID],0)))</f>
        <v>20</v>
      </c>
      <c r="AN641" s="251" t="str">
        <f>IF(SecondaryTransport[[#This Row],[Bale_ID]]="9000-01","costs elsewhere",SecondaryTransport[[#This Row],[Total_Baled_tons]]*SecondaryTransport[[#This Row],[Miles]])</f>
        <v>costs elsewhere</v>
      </c>
      <c r="AO641" s="352" t="str">
        <f>IF(LEFT(SecondaryTransport[[#This Row],[Bale_ID]],1)*1=5,IF(OR(SecondaryTransport[[#This Row],[MRF_ID]]="02",SecondaryTransport[[#This Row],[MRF_ID]]="08"),2,1),"")</f>
        <v/>
      </c>
      <c r="AP64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41" s="224" t="str">
        <f>IFERROR(IF(1*LEFT(SecondaryTransport[[#This Row],[Bale_ID]],1)=5,SecondaryTransport[[#This Row],[Ton-Miles]]*SecondaryTransport[[#This Row],[Cost_Per_Ton-Mile]],""),"")</f>
        <v/>
      </c>
      <c r="AS641" s="224" t="str">
        <f>IFERROR(IF(SecondaryTransport[[#This Row],[Container_Transfer]]="",(SecondaryTransport[[#This Row],[Ton-Miles]]*SecondaryTransport[[#This Row],[Cost_Per_Ton-Mile]]),""),"")</f>
        <v/>
      </c>
    </row>
    <row r="642" spans="12:45" ht="15" x14ac:dyDescent="0.25">
      <c r="L642" s="446" t="s">
        <v>870</v>
      </c>
      <c r="M642" s="446">
        <v>4</v>
      </c>
      <c r="N642" s="446">
        <v>2</v>
      </c>
      <c r="O642" s="446" t="s">
        <v>750</v>
      </c>
      <c r="P642" s="449" t="s">
        <v>739</v>
      </c>
      <c r="Q642" s="449"/>
      <c r="R642" s="449"/>
      <c r="S642" s="449" t="s">
        <v>963</v>
      </c>
      <c r="T642" s="449" t="s">
        <v>1121</v>
      </c>
      <c r="U642" s="452">
        <v>0</v>
      </c>
      <c r="V6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2" s="272" t="str">
        <f>IFERROR(SUMIFS(TransUnitCost[Miles],TransUnitCost[Grouping_ID],TransTonsShort[[#This Row],[Grouping_ID]],TransUnitCost[Transp_ID],TransTonsShort[[#This Row],[Transp_ID]])*TransTonsShort[[#This Row],[Trans_Tons_All]]/TransTonsShort[[#This Row],[Trans_Tons_All]],"")</f>
        <v/>
      </c>
      <c r="X642" s="386" t="str">
        <f>TransTonsShort[[#This Row],[Grouping_ID]]&amp;"-"&amp;TransTonsShort[[#This Row],[Sector_ID]]</f>
        <v>4-2</v>
      </c>
      <c r="Y6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2" s="421">
        <f>INDEX(LandfillFees[Disposal Tip Fee 2025],MATCH(TransTonsShort[[#This Row],[Grouping_ID]],LandfillFees[Grouping_ID],0))</f>
        <v>72.030938699729589</v>
      </c>
      <c r="AA642" s="102">
        <f>IF(OR(TransTonsShort[[#This Row],[CollectionStream_ID]]="03",TransTonsShort[[#This Row],[CollectionStream_ID]]="04",TransTonsShort[[#This Row],[CollectionStream_ID]]="13"),0,TransTonsShort[[#This Row],[Trans_Tons_All]]*TransTonsShort[[#This Row],[Disposal_Fee]])</f>
        <v>0</v>
      </c>
      <c r="AF642" s="446" t="s">
        <v>1815</v>
      </c>
      <c r="AG642" s="181" t="str">
        <f>LEFT(SecondaryTransport[[#This Row],[Scenario_MRF_Bale_ID]],2)</f>
        <v>S4</v>
      </c>
      <c r="AH642" s="181" t="str">
        <f>LEFT(RIGHT(SecondaryTransport[[#This Row],[Scenario_MRF_Bale_ID]],10),2)</f>
        <v>14</v>
      </c>
      <c r="AI642" s="181" t="str">
        <f>INDEX(MRFs[MRF_Name],MATCH(SecondaryTransport[[#This Row],[MRF_ID]],MRFs[MRF_ID],0))</f>
        <v>Glass 2 Glass (Portland)</v>
      </c>
      <c r="AJ642" s="181" t="str">
        <f>RIGHT(SecondaryTransport[[#This Row],[Scenario_MRF_Bale_ID]],7)</f>
        <v>9000-01</v>
      </c>
      <c r="AK642" s="181" t="str">
        <f>INDEX(Bales[Bale_Name],MATCH(SecondaryTransport[[#This Row],[Bale_ID]],Bales[Bale_ID],0))</f>
        <v>Landfilled residue</v>
      </c>
      <c r="AL642" s="443">
        <f>INDEX(BaleMover[Total_Baled_tons],MATCH(SecondaryTransport[[#This Row],[Scenario_MRF_Bale_ID]],BaleMover[Scenario_MRF_Bale_ID],0))</f>
        <v>127.29495858283477</v>
      </c>
      <c r="AM642" s="443">
        <f>IF(INDEX(BaleMover[Miles],MATCH(SecondaryTransport[[#This Row],[Scenario_MRF_Bale_ID]],BaleMover[Scenario_MRF_Bale_ID],0))="",0,INDEX(BaleMover[Miles],MATCH(SecondaryTransport[[#This Row],[Scenario_MRF_Bale_ID]],BaleMover[Scenario_MRF_Bale_ID],0)))</f>
        <v>20</v>
      </c>
      <c r="AN642" s="251" t="str">
        <f>IF(SecondaryTransport[[#This Row],[Bale_ID]]="9000-01","costs elsewhere",SecondaryTransport[[#This Row],[Total_Baled_tons]]*SecondaryTransport[[#This Row],[Miles]])</f>
        <v>costs elsewhere</v>
      </c>
      <c r="AO642" s="352" t="str">
        <f>IF(LEFT(SecondaryTransport[[#This Row],[Bale_ID]],1)*1=5,IF(OR(SecondaryTransport[[#This Row],[MRF_ID]]="02",SecondaryTransport[[#This Row],[MRF_ID]]="08"),2,1),"")</f>
        <v/>
      </c>
      <c r="AP64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1.18</v>
      </c>
      <c r="AR642" s="224" t="str">
        <f>IFERROR(IF(1*LEFT(SecondaryTransport[[#This Row],[Bale_ID]],1)=5,SecondaryTransport[[#This Row],[Ton-Miles]]*SecondaryTransport[[#This Row],[Cost_Per_Ton-Mile]],""),"")</f>
        <v/>
      </c>
      <c r="AS642" s="224" t="str">
        <f>IFERROR(IF(SecondaryTransport[[#This Row],[Container_Transfer]]="",(SecondaryTransport[[#This Row],[Ton-Miles]]*SecondaryTransport[[#This Row],[Cost_Per_Ton-Mile]]),""),"")</f>
        <v/>
      </c>
    </row>
    <row r="643" spans="12:45" ht="15" x14ac:dyDescent="0.25">
      <c r="L643" s="446" t="s">
        <v>870</v>
      </c>
      <c r="M643" s="446">
        <v>1</v>
      </c>
      <c r="N643" s="446">
        <v>2</v>
      </c>
      <c r="O643" s="446" t="s">
        <v>750</v>
      </c>
      <c r="P643" s="450" t="s">
        <v>700</v>
      </c>
      <c r="Q643" s="450"/>
      <c r="R643" s="450"/>
      <c r="S643" s="449" t="s">
        <v>963</v>
      </c>
      <c r="T643" s="449" t="s">
        <v>701</v>
      </c>
      <c r="U643" s="452">
        <v>0</v>
      </c>
      <c r="V6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3" s="272" t="str">
        <f>IFERROR(SUMIFS(TransUnitCost[Miles],TransUnitCost[Grouping_ID],TransTonsShort[[#This Row],[Grouping_ID]],TransUnitCost[Transp_ID],TransTonsShort[[#This Row],[Transp_ID]])*TransTonsShort[[#This Row],[Trans_Tons_All]]/TransTonsShort[[#This Row],[Trans_Tons_All]],"")</f>
        <v/>
      </c>
      <c r="X643" s="386" t="str">
        <f>TransTonsShort[[#This Row],[Grouping_ID]]&amp;"-"&amp;TransTonsShort[[#This Row],[Sector_ID]]</f>
        <v>1-2</v>
      </c>
      <c r="Y6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3" s="421">
        <f>INDEX(LandfillFees[Disposal Tip Fee 2025],MATCH(TransTonsShort[[#This Row],[Grouping_ID]],LandfillFees[Grouping_ID],0))</f>
        <v>134.68</v>
      </c>
      <c r="AA643" s="102">
        <f>IF(OR(TransTonsShort[[#This Row],[CollectionStream_ID]]="03",TransTonsShort[[#This Row],[CollectionStream_ID]]="04",TransTonsShort[[#This Row],[CollectionStream_ID]]="13"),0,TransTonsShort[[#This Row],[Trans_Tons_All]]*TransTonsShort[[#This Row],[Disposal_Fee]])</f>
        <v>0</v>
      </c>
      <c r="AF643" s="446" t="s">
        <v>1816</v>
      </c>
      <c r="AG643" s="181" t="str">
        <f>LEFT(SecondaryTransport[[#This Row],[Scenario_MRF_Bale_ID]],2)</f>
        <v>S2</v>
      </c>
      <c r="AH643" s="181" t="str">
        <f>LEFT(RIGHT(SecondaryTransport[[#This Row],[Scenario_MRF_Bale_ID]],10),2)</f>
        <v>02</v>
      </c>
      <c r="AI643" s="181" t="str">
        <f>INDEX(MRFs[MRF_Name],MATCH(SecondaryTransport[[#This Row],[MRF_ID]],MRFs[MRF_ID],0))</f>
        <v>1 MRF for SS (Salem)</v>
      </c>
      <c r="AJ643" s="181" t="str">
        <f>RIGHT(SecondaryTransport[[#This Row],[Scenario_MRF_Bale_ID]],7)</f>
        <v>5000-01</v>
      </c>
      <c r="AK643" s="181" t="str">
        <f>INDEX(Bales[Bale_Name],MATCH(SecondaryTransport[[#This Row],[Bale_ID]],Bales[Bale_ID],0))</f>
        <v>Containers transferred for further sorting</v>
      </c>
      <c r="AL643" s="443">
        <f>INDEX(BaleMover[Total_Baled_tons],MATCH(SecondaryTransport[[#This Row],[Scenario_MRF_Bale_ID]],BaleMover[Scenario_MRF_Bale_ID],0))</f>
        <v>7910.7730012386173</v>
      </c>
      <c r="AM643" s="443">
        <f>IF(INDEX(BaleMover[Miles],MATCH(SecondaryTransport[[#This Row],[Scenario_MRF_Bale_ID]],BaleMover[Scenario_MRF_Bale_ID],0))="",0,INDEX(BaleMover[Miles],MATCH(SecondaryTransport[[#This Row],[Scenario_MRF_Bale_ID]],BaleMover[Scenario_MRF_Bale_ID],0)))</f>
        <v>50</v>
      </c>
      <c r="AN643" s="251">
        <f>IF(SecondaryTransport[[#This Row],[Bale_ID]]="9000-01","costs elsewhere",SecondaryTransport[[#This Row],[Total_Baled_tons]]*SecondaryTransport[[#This Row],[Miles]])</f>
        <v>395538.65006193088</v>
      </c>
      <c r="AO643" s="352">
        <f>IF(LEFT(SecondaryTransport[[#This Row],[Bale_ID]],1)*1=5,IF(OR(SecondaryTransport[[#This Row],[MRF_ID]]="02",SecondaryTransport[[#This Row],[MRF_ID]]="08"),2,1),"")</f>
        <v>2</v>
      </c>
      <c r="AP64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5000-01-S2</v>
      </c>
      <c r="AQ64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0.51</v>
      </c>
      <c r="AR643" s="224">
        <f>IFERROR(IF(1*LEFT(SecondaryTransport[[#This Row],[Bale_ID]],1)=5,SecondaryTransport[[#This Row],[Ton-Miles]]*SecondaryTransport[[#This Row],[Cost_Per_Ton-Mile]],""),"")</f>
        <v>201724.71153158476</v>
      </c>
      <c r="AS643" s="224" t="str">
        <f>IFERROR(IF(SecondaryTransport[[#This Row],[Container_Transfer]]="",(SecondaryTransport[[#This Row],[Ton-Miles]]*SecondaryTransport[[#This Row],[Cost_Per_Ton-Mile]]),""),"")</f>
        <v/>
      </c>
    </row>
    <row r="644" spans="12:45" ht="15" x14ac:dyDescent="0.25">
      <c r="L644" s="446" t="s">
        <v>870</v>
      </c>
      <c r="M644" s="446">
        <v>2</v>
      </c>
      <c r="N644" s="446">
        <v>2</v>
      </c>
      <c r="O644" s="446" t="s">
        <v>750</v>
      </c>
      <c r="P644" s="450" t="s">
        <v>700</v>
      </c>
      <c r="Q644" s="450"/>
      <c r="R644" s="450"/>
      <c r="S644" s="449" t="s">
        <v>963</v>
      </c>
      <c r="T644" s="449" t="s">
        <v>701</v>
      </c>
      <c r="U644" s="452">
        <v>0</v>
      </c>
      <c r="V6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4" s="272" t="str">
        <f>IFERROR(SUMIFS(TransUnitCost[Miles],TransUnitCost[Grouping_ID],TransTonsShort[[#This Row],[Grouping_ID]],TransUnitCost[Transp_ID],TransTonsShort[[#This Row],[Transp_ID]])*TransTonsShort[[#This Row],[Trans_Tons_All]]/TransTonsShort[[#This Row],[Trans_Tons_All]],"")</f>
        <v/>
      </c>
      <c r="X644" s="386" t="str">
        <f>TransTonsShort[[#This Row],[Grouping_ID]]&amp;"-"&amp;TransTonsShort[[#This Row],[Sector_ID]]</f>
        <v>2-2</v>
      </c>
      <c r="Y6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4" s="421">
        <f>INDEX(LandfillFees[Disposal Tip Fee 2025],MATCH(TransTonsShort[[#This Row],[Grouping_ID]],LandfillFees[Grouping_ID],0))</f>
        <v>72.030938699729589</v>
      </c>
      <c r="AA644" s="102">
        <f>IF(OR(TransTonsShort[[#This Row],[CollectionStream_ID]]="03",TransTonsShort[[#This Row],[CollectionStream_ID]]="04",TransTonsShort[[#This Row],[CollectionStream_ID]]="13"),0,TransTonsShort[[#This Row],[Trans_Tons_All]]*TransTonsShort[[#This Row],[Disposal_Fee]])</f>
        <v>0</v>
      </c>
      <c r="AF644" s="446" t="s">
        <v>1817</v>
      </c>
      <c r="AG644" s="181" t="str">
        <f>LEFT(SecondaryTransport[[#This Row],[Scenario_MRF_Bale_ID]],2)</f>
        <v>S3</v>
      </c>
      <c r="AH644" s="181" t="str">
        <f>LEFT(RIGHT(SecondaryTransport[[#This Row],[Scenario_MRF_Bale_ID]],10),2)</f>
        <v>02</v>
      </c>
      <c r="AI644" s="181" t="str">
        <f>INDEX(MRFs[MRF_Name],MATCH(SecondaryTransport[[#This Row],[MRF_ID]],MRFs[MRF_ID],0))</f>
        <v>1 MRF for SS (Salem)</v>
      </c>
      <c r="AJ644" s="181" t="str">
        <f>RIGHT(SecondaryTransport[[#This Row],[Scenario_MRF_Bale_ID]],7)</f>
        <v>5000-01</v>
      </c>
      <c r="AK644" s="181" t="str">
        <f>INDEX(Bales[Bale_Name],MATCH(SecondaryTransport[[#This Row],[Bale_ID]],Bales[Bale_ID],0))</f>
        <v>Containers transferred for further sorting</v>
      </c>
      <c r="AL644" s="443">
        <f>INDEX(BaleMover[Total_Baled_tons],MATCH(SecondaryTransport[[#This Row],[Scenario_MRF_Bale_ID]],BaleMover[Scenario_MRF_Bale_ID],0))</f>
        <v>7977.2906691134467</v>
      </c>
      <c r="AM644" s="443">
        <f>IF(INDEX(BaleMover[Miles],MATCH(SecondaryTransport[[#This Row],[Scenario_MRF_Bale_ID]],BaleMover[Scenario_MRF_Bale_ID],0))="",0,INDEX(BaleMover[Miles],MATCH(SecondaryTransport[[#This Row],[Scenario_MRF_Bale_ID]],BaleMover[Scenario_MRF_Bale_ID],0)))</f>
        <v>360</v>
      </c>
      <c r="AN644" s="251">
        <f>IF(SecondaryTransport[[#This Row],[Bale_ID]]="9000-01","costs elsewhere",SecondaryTransport[[#This Row],[Total_Baled_tons]]*SecondaryTransport[[#This Row],[Miles]])</f>
        <v>2871824.6408808408</v>
      </c>
      <c r="AO644" s="352">
        <f>IF(LEFT(SecondaryTransport[[#This Row],[Bale_ID]],1)*1=5,IF(OR(SecondaryTransport[[#This Row],[MRF_ID]]="02",SecondaryTransport[[#This Row],[MRF_ID]]="08"),2,1),"")</f>
        <v>2</v>
      </c>
      <c r="AP64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5000-01-S3</v>
      </c>
      <c r="AQ644"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0.17</v>
      </c>
      <c r="AR644" s="224">
        <f>IFERROR(IF(1*LEFT(SecondaryTransport[[#This Row],[Bale_ID]],1)=5,SecondaryTransport[[#This Row],[Ton-Miles]]*SecondaryTransport[[#This Row],[Cost_Per_Ton-Mile]],""),"")</f>
        <v>488210.18894974299</v>
      </c>
      <c r="AS644" s="224" t="str">
        <f>IFERROR(IF(SecondaryTransport[[#This Row],[Container_Transfer]]="",(SecondaryTransport[[#This Row],[Ton-Miles]]*SecondaryTransport[[#This Row],[Cost_Per_Ton-Mile]]),""),"")</f>
        <v/>
      </c>
    </row>
    <row r="645" spans="12:45" ht="15" x14ac:dyDescent="0.25">
      <c r="L645" s="446" t="s">
        <v>870</v>
      </c>
      <c r="M645" s="446">
        <v>3</v>
      </c>
      <c r="N645" s="446">
        <v>2</v>
      </c>
      <c r="O645" s="446" t="s">
        <v>750</v>
      </c>
      <c r="P645" s="450" t="s">
        <v>700</v>
      </c>
      <c r="Q645" s="450"/>
      <c r="R645" s="450"/>
      <c r="S645" s="449" t="s">
        <v>963</v>
      </c>
      <c r="T645" s="449" t="s">
        <v>701</v>
      </c>
      <c r="U645" s="452">
        <v>0</v>
      </c>
      <c r="V6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5" s="272" t="str">
        <f>IFERROR(SUMIFS(TransUnitCost[Miles],TransUnitCost[Grouping_ID],TransTonsShort[[#This Row],[Grouping_ID]],TransUnitCost[Transp_ID],TransTonsShort[[#This Row],[Transp_ID]])*TransTonsShort[[#This Row],[Trans_Tons_All]]/TransTonsShort[[#This Row],[Trans_Tons_All]],"")</f>
        <v/>
      </c>
      <c r="X645" s="386" t="str">
        <f>TransTonsShort[[#This Row],[Grouping_ID]]&amp;"-"&amp;TransTonsShort[[#This Row],[Sector_ID]]</f>
        <v>3-2</v>
      </c>
      <c r="Y6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5" s="421">
        <f>INDEX(LandfillFees[Disposal Tip Fee 2025],MATCH(TransTonsShort[[#This Row],[Grouping_ID]],LandfillFees[Grouping_ID],0))</f>
        <v>72.030938699729589</v>
      </c>
      <c r="AA645" s="102">
        <f>IF(OR(TransTonsShort[[#This Row],[CollectionStream_ID]]="03",TransTonsShort[[#This Row],[CollectionStream_ID]]="04",TransTonsShort[[#This Row],[CollectionStream_ID]]="13"),0,TransTonsShort[[#This Row],[Trans_Tons_All]]*TransTonsShort[[#This Row],[Disposal_Fee]])</f>
        <v>0</v>
      </c>
      <c r="AF645" s="446" t="s">
        <v>1818</v>
      </c>
      <c r="AG645" s="181" t="str">
        <f>LEFT(SecondaryTransport[[#This Row],[Scenario_MRF_Bale_ID]],2)</f>
        <v>S2</v>
      </c>
      <c r="AH645" s="181" t="str">
        <f>LEFT(RIGHT(SecondaryTransport[[#This Row],[Scenario_MRF_Bale_ID]],10),2)</f>
        <v>03</v>
      </c>
      <c r="AI645" s="181" t="str">
        <f>INDEX(MRFs[MRF_Name],MATCH(SecondaryTransport[[#This Row],[MRF_ID]],MRFs[MRF_ID],0))</f>
        <v>5 MRFs for SS with fiber upgrades (Portland)</v>
      </c>
      <c r="AJ645" s="181" t="str">
        <f>RIGHT(SecondaryTransport[[#This Row],[Scenario_MRF_Bale_ID]],7)</f>
        <v>5000-01</v>
      </c>
      <c r="AK645" s="181" t="str">
        <f>INDEX(Bales[Bale_Name],MATCH(SecondaryTransport[[#This Row],[Bale_ID]],Bales[Bale_ID],0))</f>
        <v>Containers transferred for further sorting</v>
      </c>
      <c r="AL645" s="443">
        <f>INDEX(BaleMover[Total_Baled_tons],MATCH(SecondaryTransport[[#This Row],[Scenario_MRF_Bale_ID]],BaleMover[Scenario_MRF_Bale_ID],0))</f>
        <v>10271.503494836072</v>
      </c>
      <c r="AM645" s="443">
        <f>IF(INDEX(BaleMover[Miles],MATCH(SecondaryTransport[[#This Row],[Scenario_MRF_Bale_ID]],BaleMover[Scenario_MRF_Bale_ID],0))="",0,INDEX(BaleMover[Miles],MATCH(SecondaryTransport[[#This Row],[Scenario_MRF_Bale_ID]],BaleMover[Scenario_MRF_Bale_ID],0)))</f>
        <v>20</v>
      </c>
      <c r="AN645" s="251">
        <f>IF(SecondaryTransport[[#This Row],[Bale_ID]]="9000-01","costs elsewhere",SecondaryTransport[[#This Row],[Total_Baled_tons]]*SecondaryTransport[[#This Row],[Miles]])</f>
        <v>205430.06989672143</v>
      </c>
      <c r="AO645" s="352">
        <f>IF(LEFT(SecondaryTransport[[#This Row],[Bale_ID]],1)*1=5,IF(OR(SecondaryTransport[[#This Row],[MRF_ID]]="02",SecondaryTransport[[#This Row],[MRF_ID]]="08"),2,1),"")</f>
        <v>1</v>
      </c>
      <c r="AP64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5000-01-S2</v>
      </c>
      <c r="AQ645"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1.29</v>
      </c>
      <c r="AR645" s="224">
        <f>IFERROR(IF(1*LEFT(SecondaryTransport[[#This Row],[Bale_ID]],1)=5,SecondaryTransport[[#This Row],[Ton-Miles]]*SecondaryTransport[[#This Row],[Cost_Per_Ton-Mile]],""),"")</f>
        <v>265004.79016677063</v>
      </c>
      <c r="AS645" s="224" t="str">
        <f>IFERROR(IF(SecondaryTransport[[#This Row],[Container_Transfer]]="",(SecondaryTransport[[#This Row],[Ton-Miles]]*SecondaryTransport[[#This Row],[Cost_Per_Ton-Mile]]),""),"")</f>
        <v/>
      </c>
    </row>
    <row r="646" spans="12:45" ht="15" x14ac:dyDescent="0.25">
      <c r="L646" s="446" t="s">
        <v>870</v>
      </c>
      <c r="M646" s="446">
        <v>4</v>
      </c>
      <c r="N646" s="446">
        <v>2</v>
      </c>
      <c r="O646" s="446" t="s">
        <v>750</v>
      </c>
      <c r="P646" s="450" t="s">
        <v>700</v>
      </c>
      <c r="Q646" s="450"/>
      <c r="R646" s="450"/>
      <c r="S646" s="449" t="s">
        <v>963</v>
      </c>
      <c r="T646" s="449" t="s">
        <v>701</v>
      </c>
      <c r="U646" s="452">
        <v>0</v>
      </c>
      <c r="V6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6" s="272" t="str">
        <f>IFERROR(SUMIFS(TransUnitCost[Miles],TransUnitCost[Grouping_ID],TransTonsShort[[#This Row],[Grouping_ID]],TransUnitCost[Transp_ID],TransTonsShort[[#This Row],[Transp_ID]])*TransTonsShort[[#This Row],[Trans_Tons_All]]/TransTonsShort[[#This Row],[Trans_Tons_All]],"")</f>
        <v/>
      </c>
      <c r="X646" s="386" t="str">
        <f>TransTonsShort[[#This Row],[Grouping_ID]]&amp;"-"&amp;TransTonsShort[[#This Row],[Sector_ID]]</f>
        <v>4-2</v>
      </c>
      <c r="Y6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46" s="421">
        <f>INDEX(LandfillFees[Disposal Tip Fee 2025],MATCH(TransTonsShort[[#This Row],[Grouping_ID]],LandfillFees[Grouping_ID],0))</f>
        <v>72.030938699729589</v>
      </c>
      <c r="AA646" s="102">
        <f>IF(OR(TransTonsShort[[#This Row],[CollectionStream_ID]]="03",TransTonsShort[[#This Row],[CollectionStream_ID]]="04",TransTonsShort[[#This Row],[CollectionStream_ID]]="13"),0,TransTonsShort[[#This Row],[Trans_Tons_All]]*TransTonsShort[[#This Row],[Disposal_Fee]])</f>
        <v>0</v>
      </c>
      <c r="AF646" s="446" t="s">
        <v>1819</v>
      </c>
      <c r="AG646" s="181" t="str">
        <f>LEFT(SecondaryTransport[[#This Row],[Scenario_MRF_Bale_ID]],2)</f>
        <v>S3</v>
      </c>
      <c r="AH646" s="181" t="str">
        <f>LEFT(RIGHT(SecondaryTransport[[#This Row],[Scenario_MRF_Bale_ID]],10),2)</f>
        <v>03</v>
      </c>
      <c r="AI646" s="181" t="str">
        <f>INDEX(MRFs[MRF_Name],MATCH(SecondaryTransport[[#This Row],[MRF_ID]],MRFs[MRF_ID],0))</f>
        <v>5 MRFs for SS with fiber upgrades (Portland)</v>
      </c>
      <c r="AJ646" s="181" t="str">
        <f>RIGHT(SecondaryTransport[[#This Row],[Scenario_MRF_Bale_ID]],7)</f>
        <v>5000-01</v>
      </c>
      <c r="AK646" s="181" t="str">
        <f>INDEX(Bales[Bale_Name],MATCH(SecondaryTransport[[#This Row],[Bale_ID]],Bales[Bale_ID],0))</f>
        <v>Containers transferred for further sorting</v>
      </c>
      <c r="AL646" s="443">
        <f>INDEX(BaleMover[Total_Baled_tons],MATCH(SecondaryTransport[[#This Row],[Scenario_MRF_Bale_ID]],BaleMover[Scenario_MRF_Bale_ID],0))</f>
        <v>10211.005375009363</v>
      </c>
      <c r="AM646" s="443">
        <f>IF(INDEX(BaleMover[Miles],MATCH(SecondaryTransport[[#This Row],[Scenario_MRF_Bale_ID]],BaleMover[Scenario_MRF_Bale_ID],0))="",0,INDEX(BaleMover[Miles],MATCH(SecondaryTransport[[#This Row],[Scenario_MRF_Bale_ID]],BaleMover[Scenario_MRF_Bale_ID],0)))</f>
        <v>305</v>
      </c>
      <c r="AN646" s="251">
        <f>IF(SecondaryTransport[[#This Row],[Bale_ID]]="9000-01","costs elsewhere",SecondaryTransport[[#This Row],[Total_Baled_tons]]*SecondaryTransport[[#This Row],[Miles]])</f>
        <v>3114356.6393778557</v>
      </c>
      <c r="AO646" s="352">
        <f>IF(LEFT(SecondaryTransport[[#This Row],[Bale_ID]],1)*1=5,IF(OR(SecondaryTransport[[#This Row],[MRF_ID]]="02",SecondaryTransport[[#This Row],[MRF_ID]]="08"),2,1),"")</f>
        <v>1</v>
      </c>
      <c r="AP64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5000-01-S3</v>
      </c>
      <c r="AQ646"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0.18</v>
      </c>
      <c r="AR646" s="224">
        <f>IFERROR(IF(1*LEFT(SecondaryTransport[[#This Row],[Bale_ID]],1)=5,SecondaryTransport[[#This Row],[Ton-Miles]]*SecondaryTransport[[#This Row],[Cost_Per_Ton-Mile]],""),"")</f>
        <v>560584.19508801401</v>
      </c>
      <c r="AS646" s="224" t="str">
        <f>IFERROR(IF(SecondaryTransport[[#This Row],[Container_Transfer]]="",(SecondaryTransport[[#This Row],[Ton-Miles]]*SecondaryTransport[[#This Row],[Cost_Per_Ton-Mile]]),""),"")</f>
        <v/>
      </c>
    </row>
    <row r="647" spans="12:45" ht="15" x14ac:dyDescent="0.25">
      <c r="L647" s="446" t="s">
        <v>876</v>
      </c>
      <c r="M647" s="446">
        <v>1</v>
      </c>
      <c r="N647" s="446">
        <v>3</v>
      </c>
      <c r="O647" s="446" t="s">
        <v>700</v>
      </c>
      <c r="P647" s="449" t="s">
        <v>719</v>
      </c>
      <c r="Q647" s="449"/>
      <c r="R647" s="449"/>
      <c r="S647" s="449" t="s">
        <v>872</v>
      </c>
      <c r="T647" s="449" t="s">
        <v>1055</v>
      </c>
      <c r="U647" s="452">
        <v>0</v>
      </c>
      <c r="V6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7" s="272" t="str">
        <f>IFERROR(SUMIFS(TransUnitCost[Miles],TransUnitCost[Grouping_ID],TransTonsShort[[#This Row],[Grouping_ID]],TransUnitCost[Transp_ID],TransTonsShort[[#This Row],[Transp_ID]])*TransTonsShort[[#This Row],[Trans_Tons_All]]/TransTonsShort[[#This Row],[Trans_Tons_All]],"")</f>
        <v/>
      </c>
      <c r="X647" s="386" t="str">
        <f>TransTonsShort[[#This Row],[Grouping_ID]]&amp;"-"&amp;TransTonsShort[[#This Row],[Sector_ID]]</f>
        <v>1-3</v>
      </c>
      <c r="Y6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47" s="421">
        <f>INDEX(LandfillFees[Disposal Tip Fee 2025],MATCH(TransTonsShort[[#This Row],[Grouping_ID]],LandfillFees[Grouping_ID],0))</f>
        <v>134.68</v>
      </c>
      <c r="AA647" s="102">
        <f>IF(OR(TransTonsShort[[#This Row],[CollectionStream_ID]]="03",TransTonsShort[[#This Row],[CollectionStream_ID]]="04",TransTonsShort[[#This Row],[CollectionStream_ID]]="13"),0,TransTonsShort[[#This Row],[Trans_Tons_All]]*TransTonsShort[[#This Row],[Disposal_Fee]])</f>
        <v>0</v>
      </c>
      <c r="AF647" s="446" t="s">
        <v>1820</v>
      </c>
      <c r="AG647" s="181" t="str">
        <f>LEFT(SecondaryTransport[[#This Row],[Scenario_MRF_Bale_ID]],2)</f>
        <v>S2</v>
      </c>
      <c r="AH647" s="181" t="str">
        <f>LEFT(RIGHT(SecondaryTransport[[#This Row],[Scenario_MRF_Bale_ID]],10),2)</f>
        <v>04</v>
      </c>
      <c r="AI647" s="181" t="str">
        <f>INDEX(MRFs[MRF_Name],MATCH(SecondaryTransport[[#This Row],[MRF_ID]],MRFs[MRF_ID],0))</f>
        <v>1 MRF for SS with fiber and container upgrades (Portland)</v>
      </c>
      <c r="AJ647" s="181" t="str">
        <f>RIGHT(SecondaryTransport[[#This Row],[Scenario_MRF_Bale_ID]],7)</f>
        <v>5000-01</v>
      </c>
      <c r="AK647" s="181" t="str">
        <f>INDEX(Bales[Bale_Name],MATCH(SecondaryTransport[[#This Row],[Bale_ID]],Bales[Bale_ID],0))</f>
        <v>Containers transferred for further sorting</v>
      </c>
      <c r="AL647" s="443">
        <f>INDEX(BaleMover[Total_Baled_tons],MATCH(SecondaryTransport[[#This Row],[Scenario_MRF_Bale_ID]],BaleMover[Scenario_MRF_Bale_ID],0))</f>
        <v>0</v>
      </c>
      <c r="AM647" s="443">
        <f>IF(INDEX(BaleMover[Miles],MATCH(SecondaryTransport[[#This Row],[Scenario_MRF_Bale_ID]],BaleMover[Scenario_MRF_Bale_ID],0))="",0,INDEX(BaleMover[Miles],MATCH(SecondaryTransport[[#This Row],[Scenario_MRF_Bale_ID]],BaleMover[Scenario_MRF_Bale_ID],0)))</f>
        <v>0</v>
      </c>
      <c r="AN647" s="251">
        <f>IF(SecondaryTransport[[#This Row],[Bale_ID]]="9000-01","costs elsewhere",SecondaryTransport[[#This Row],[Total_Baled_tons]]*SecondaryTransport[[#This Row],[Miles]])</f>
        <v>0</v>
      </c>
      <c r="AO647" s="352">
        <f>IF(LEFT(SecondaryTransport[[#This Row],[Bale_ID]],1)*1=5,IF(OR(SecondaryTransport[[#This Row],[MRF_ID]]="02",SecondaryTransport[[#This Row],[MRF_ID]]="08"),2,1),"")</f>
        <v>1</v>
      </c>
      <c r="AP64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47" s="224" t="str">
        <f>IFERROR(IF(1*LEFT(SecondaryTransport[[#This Row],[Bale_ID]],1)=5,SecondaryTransport[[#This Row],[Ton-Miles]]*SecondaryTransport[[#This Row],[Cost_Per_Ton-Mile]],""),"")</f>
        <v/>
      </c>
      <c r="AS647" s="224" t="str">
        <f>IFERROR(IF(SecondaryTransport[[#This Row],[Container_Transfer]]="",(SecondaryTransport[[#This Row],[Ton-Miles]]*SecondaryTransport[[#This Row],[Cost_Per_Ton-Mile]]),""),"")</f>
        <v/>
      </c>
    </row>
    <row r="648" spans="12:45" ht="15" x14ac:dyDescent="0.25">
      <c r="L648" s="446" t="s">
        <v>876</v>
      </c>
      <c r="M648" s="446">
        <v>2</v>
      </c>
      <c r="N648" s="446">
        <v>3</v>
      </c>
      <c r="O648" s="446" t="s">
        <v>700</v>
      </c>
      <c r="P648" s="449" t="s">
        <v>719</v>
      </c>
      <c r="Q648" s="449"/>
      <c r="R648" s="449"/>
      <c r="S648" s="449" t="s">
        <v>872</v>
      </c>
      <c r="T648" s="449" t="s">
        <v>1055</v>
      </c>
      <c r="U648" s="452">
        <v>0</v>
      </c>
      <c r="V6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8" s="272" t="str">
        <f>IFERROR(SUMIFS(TransUnitCost[Miles],TransUnitCost[Grouping_ID],TransTonsShort[[#This Row],[Grouping_ID]],TransUnitCost[Transp_ID],TransTonsShort[[#This Row],[Transp_ID]])*TransTonsShort[[#This Row],[Trans_Tons_All]]/TransTonsShort[[#This Row],[Trans_Tons_All]],"")</f>
        <v/>
      </c>
      <c r="X648" s="386" t="str">
        <f>TransTonsShort[[#This Row],[Grouping_ID]]&amp;"-"&amp;TransTonsShort[[#This Row],[Sector_ID]]</f>
        <v>2-3</v>
      </c>
      <c r="Y6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48" s="421">
        <f>INDEX(LandfillFees[Disposal Tip Fee 2025],MATCH(TransTonsShort[[#This Row],[Grouping_ID]],LandfillFees[Grouping_ID],0))</f>
        <v>72.030938699729589</v>
      </c>
      <c r="AA648" s="102">
        <f>IF(OR(TransTonsShort[[#This Row],[CollectionStream_ID]]="03",TransTonsShort[[#This Row],[CollectionStream_ID]]="04",TransTonsShort[[#This Row],[CollectionStream_ID]]="13"),0,TransTonsShort[[#This Row],[Trans_Tons_All]]*TransTonsShort[[#This Row],[Disposal_Fee]])</f>
        <v>0</v>
      </c>
      <c r="AF648" s="446" t="s">
        <v>1821</v>
      </c>
      <c r="AG648" s="181" t="str">
        <f>LEFT(SecondaryTransport[[#This Row],[Scenario_MRF_Bale_ID]],2)</f>
        <v>S3</v>
      </c>
      <c r="AH648" s="181" t="str">
        <f>LEFT(RIGHT(SecondaryTransport[[#This Row],[Scenario_MRF_Bale_ID]],10),2)</f>
        <v>04</v>
      </c>
      <c r="AI648" s="181" t="str">
        <f>INDEX(MRFs[MRF_Name],MATCH(SecondaryTransport[[#This Row],[MRF_ID]],MRFs[MRF_ID],0))</f>
        <v>1 MRF for SS with fiber and container upgrades (Portland)</v>
      </c>
      <c r="AJ648" s="181" t="str">
        <f>RIGHT(SecondaryTransport[[#This Row],[Scenario_MRF_Bale_ID]],7)</f>
        <v>5000-01</v>
      </c>
      <c r="AK648" s="181" t="str">
        <f>INDEX(Bales[Bale_Name],MATCH(SecondaryTransport[[#This Row],[Bale_ID]],Bales[Bale_ID],0))</f>
        <v>Containers transferred for further sorting</v>
      </c>
      <c r="AL648" s="443">
        <f>INDEX(BaleMover[Total_Baled_tons],MATCH(SecondaryTransport[[#This Row],[Scenario_MRF_Bale_ID]],BaleMover[Scenario_MRF_Bale_ID],0))</f>
        <v>2701.0543722573448</v>
      </c>
      <c r="AM648" s="443">
        <f>IF(INDEX(BaleMover[Miles],MATCH(SecondaryTransport[[#This Row],[Scenario_MRF_Bale_ID]],BaleMover[Scenario_MRF_Bale_ID],0))="",0,INDEX(BaleMover[Miles],MATCH(SecondaryTransport[[#This Row],[Scenario_MRF_Bale_ID]],BaleMover[Scenario_MRF_Bale_ID],0)))</f>
        <v>305</v>
      </c>
      <c r="AN648" s="251">
        <f>IF(SecondaryTransport[[#This Row],[Bale_ID]]="9000-01","costs elsewhere",SecondaryTransport[[#This Row],[Total_Baled_tons]]*SecondaryTransport[[#This Row],[Miles]])</f>
        <v>823821.58353849011</v>
      </c>
      <c r="AO648" s="352">
        <f>IF(LEFT(SecondaryTransport[[#This Row],[Bale_ID]],1)*1=5,IF(OR(SecondaryTransport[[#This Row],[MRF_ID]]="02",SecondaryTransport[[#This Row],[MRF_ID]]="08"),2,1),"")</f>
        <v>1</v>
      </c>
      <c r="AP64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5000-01-S3</v>
      </c>
      <c r="AQ648"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0.18</v>
      </c>
      <c r="AR648" s="224">
        <f>IFERROR(IF(1*LEFT(SecondaryTransport[[#This Row],[Bale_ID]],1)=5,SecondaryTransport[[#This Row],[Ton-Miles]]*SecondaryTransport[[#This Row],[Cost_Per_Ton-Mile]],""),"")</f>
        <v>148287.8850369282</v>
      </c>
      <c r="AS648" s="224" t="str">
        <f>IFERROR(IF(SecondaryTransport[[#This Row],[Container_Transfer]]="",(SecondaryTransport[[#This Row],[Ton-Miles]]*SecondaryTransport[[#This Row],[Cost_Per_Ton-Mile]]),""),"")</f>
        <v/>
      </c>
    </row>
    <row r="649" spans="12:45" ht="15" x14ac:dyDescent="0.25">
      <c r="L649" s="446" t="s">
        <v>876</v>
      </c>
      <c r="M649" s="446">
        <v>3</v>
      </c>
      <c r="N649" s="446">
        <v>3</v>
      </c>
      <c r="O649" s="446" t="s">
        <v>700</v>
      </c>
      <c r="P649" s="449" t="s">
        <v>719</v>
      </c>
      <c r="Q649" s="449"/>
      <c r="R649" s="449"/>
      <c r="S649" s="449" t="s">
        <v>872</v>
      </c>
      <c r="T649" s="449" t="s">
        <v>1055</v>
      </c>
      <c r="U649" s="452">
        <v>0</v>
      </c>
      <c r="V6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49" s="272" t="str">
        <f>IFERROR(SUMIFS(TransUnitCost[Miles],TransUnitCost[Grouping_ID],TransTonsShort[[#This Row],[Grouping_ID]],TransUnitCost[Transp_ID],TransTonsShort[[#This Row],[Transp_ID]])*TransTonsShort[[#This Row],[Trans_Tons_All]]/TransTonsShort[[#This Row],[Trans_Tons_All]],"")</f>
        <v/>
      </c>
      <c r="X649" s="386" t="str">
        <f>TransTonsShort[[#This Row],[Grouping_ID]]&amp;"-"&amp;TransTonsShort[[#This Row],[Sector_ID]]</f>
        <v>3-3</v>
      </c>
      <c r="Y6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49" s="421">
        <f>INDEX(LandfillFees[Disposal Tip Fee 2025],MATCH(TransTonsShort[[#This Row],[Grouping_ID]],LandfillFees[Grouping_ID],0))</f>
        <v>72.030938699729589</v>
      </c>
      <c r="AA649" s="102">
        <f>IF(OR(TransTonsShort[[#This Row],[CollectionStream_ID]]="03",TransTonsShort[[#This Row],[CollectionStream_ID]]="04",TransTonsShort[[#This Row],[CollectionStream_ID]]="13"),0,TransTonsShort[[#This Row],[Trans_Tons_All]]*TransTonsShort[[#This Row],[Disposal_Fee]])</f>
        <v>0</v>
      </c>
      <c r="AF649" s="446" t="s">
        <v>1822</v>
      </c>
      <c r="AG649" s="181" t="str">
        <f>LEFT(SecondaryTransport[[#This Row],[Scenario_MRF_Bale_ID]],2)</f>
        <v>S2</v>
      </c>
      <c r="AH649" s="181" t="str">
        <f>LEFT(RIGHT(SecondaryTransport[[#This Row],[Scenario_MRF_Bale_ID]],10),2)</f>
        <v>13</v>
      </c>
      <c r="AI649" s="181" t="str">
        <f>INDEX(MRFs[MRF_Name],MATCH(SecondaryTransport[[#This Row],[MRF_ID]],MRFs[MRF_ID],0))</f>
        <v>Directly marketed (no sorting)</v>
      </c>
      <c r="AJ649" s="181" t="str">
        <f>RIGHT(SecondaryTransport[[#This Row],[Scenario_MRF_Bale_ID]],7)</f>
        <v>5000-01</v>
      </c>
      <c r="AK649" s="181" t="str">
        <f>INDEX(Bales[Bale_Name],MATCH(SecondaryTransport[[#This Row],[Bale_ID]],Bales[Bale_ID],0))</f>
        <v>Containers transferred for further sorting</v>
      </c>
      <c r="AL649" s="443">
        <f>INDEX(BaleMover[Total_Baled_tons],MATCH(SecondaryTransport[[#This Row],[Scenario_MRF_Bale_ID]],BaleMover[Scenario_MRF_Bale_ID],0))</f>
        <v>0</v>
      </c>
      <c r="AM649" s="443">
        <f>IF(INDEX(BaleMover[Miles],MATCH(SecondaryTransport[[#This Row],[Scenario_MRF_Bale_ID]],BaleMover[Scenario_MRF_Bale_ID],0))="",0,INDEX(BaleMover[Miles],MATCH(SecondaryTransport[[#This Row],[Scenario_MRF_Bale_ID]],BaleMover[Scenario_MRF_Bale_ID],0)))</f>
        <v>0</v>
      </c>
      <c r="AN649" s="251">
        <f>IF(SecondaryTransport[[#This Row],[Bale_ID]]="9000-01","costs elsewhere",SecondaryTransport[[#This Row],[Total_Baled_tons]]*SecondaryTransport[[#This Row],[Miles]])</f>
        <v>0</v>
      </c>
      <c r="AO649" s="352">
        <f>IF(LEFT(SecondaryTransport[[#This Row],[Bale_ID]],1)*1=5,IF(OR(SecondaryTransport[[#This Row],[MRF_ID]]="02",SecondaryTransport[[#This Row],[MRF_ID]]="08"),2,1),"")</f>
        <v>1</v>
      </c>
      <c r="AP64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4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49" s="224" t="str">
        <f>IFERROR(IF(1*LEFT(SecondaryTransport[[#This Row],[Bale_ID]],1)=5,SecondaryTransport[[#This Row],[Ton-Miles]]*SecondaryTransport[[#This Row],[Cost_Per_Ton-Mile]],""),"")</f>
        <v/>
      </c>
      <c r="AS649" s="224" t="str">
        <f>IFERROR(IF(SecondaryTransport[[#This Row],[Container_Transfer]]="",(SecondaryTransport[[#This Row],[Ton-Miles]]*SecondaryTransport[[#This Row],[Cost_Per_Ton-Mile]]),""),"")</f>
        <v/>
      </c>
    </row>
    <row r="650" spans="12:45" ht="15" x14ac:dyDescent="0.25">
      <c r="L650" s="446" t="s">
        <v>876</v>
      </c>
      <c r="M650" s="446">
        <v>4</v>
      </c>
      <c r="N650" s="446">
        <v>3</v>
      </c>
      <c r="O650" s="446" t="s">
        <v>700</v>
      </c>
      <c r="P650" s="449" t="s">
        <v>719</v>
      </c>
      <c r="Q650" s="449"/>
      <c r="R650" s="449"/>
      <c r="S650" s="449" t="s">
        <v>872</v>
      </c>
      <c r="T650" s="449" t="s">
        <v>1055</v>
      </c>
      <c r="U650" s="452">
        <v>0</v>
      </c>
      <c r="V6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0" s="272" t="str">
        <f>IFERROR(SUMIFS(TransUnitCost[Miles],TransUnitCost[Grouping_ID],TransTonsShort[[#This Row],[Grouping_ID]],TransUnitCost[Transp_ID],TransTonsShort[[#This Row],[Transp_ID]])*TransTonsShort[[#This Row],[Trans_Tons_All]]/TransTonsShort[[#This Row],[Trans_Tons_All]],"")</f>
        <v/>
      </c>
      <c r="X650" s="386" t="str">
        <f>TransTonsShort[[#This Row],[Grouping_ID]]&amp;"-"&amp;TransTonsShort[[#This Row],[Sector_ID]]</f>
        <v>4-3</v>
      </c>
      <c r="Y6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0" s="421">
        <f>INDEX(LandfillFees[Disposal Tip Fee 2025],MATCH(TransTonsShort[[#This Row],[Grouping_ID]],LandfillFees[Grouping_ID],0))</f>
        <v>72.030938699729589</v>
      </c>
      <c r="AA650" s="102">
        <f>IF(OR(TransTonsShort[[#This Row],[CollectionStream_ID]]="03",TransTonsShort[[#This Row],[CollectionStream_ID]]="04",TransTonsShort[[#This Row],[CollectionStream_ID]]="13"),0,TransTonsShort[[#This Row],[Trans_Tons_All]]*TransTonsShort[[#This Row],[Disposal_Fee]])</f>
        <v>0</v>
      </c>
      <c r="AF650" s="446" t="s">
        <v>1823</v>
      </c>
      <c r="AG650" s="181" t="str">
        <f>LEFT(SecondaryTransport[[#This Row],[Scenario_MRF_Bale_ID]],2)</f>
        <v>S3</v>
      </c>
      <c r="AH650" s="181" t="str">
        <f>LEFT(RIGHT(SecondaryTransport[[#This Row],[Scenario_MRF_Bale_ID]],10),2)</f>
        <v>13</v>
      </c>
      <c r="AI650" s="181" t="str">
        <f>INDEX(MRFs[MRF_Name],MATCH(SecondaryTransport[[#This Row],[MRF_ID]],MRFs[MRF_ID],0))</f>
        <v>Directly marketed (no sorting)</v>
      </c>
      <c r="AJ650" s="181" t="str">
        <f>RIGHT(SecondaryTransport[[#This Row],[Scenario_MRF_Bale_ID]],7)</f>
        <v>5000-01</v>
      </c>
      <c r="AK650" s="181" t="str">
        <f>INDEX(Bales[Bale_Name],MATCH(SecondaryTransport[[#This Row],[Bale_ID]],Bales[Bale_ID],0))</f>
        <v>Containers transferred for further sorting</v>
      </c>
      <c r="AL650" s="443">
        <f>INDEX(BaleMover[Total_Baled_tons],MATCH(SecondaryTransport[[#This Row],[Scenario_MRF_Bale_ID]],BaleMover[Scenario_MRF_Bale_ID],0))</f>
        <v>0</v>
      </c>
      <c r="AM650" s="443">
        <f>IF(INDEX(BaleMover[Miles],MATCH(SecondaryTransport[[#This Row],[Scenario_MRF_Bale_ID]],BaleMover[Scenario_MRF_Bale_ID],0))="",0,INDEX(BaleMover[Miles],MATCH(SecondaryTransport[[#This Row],[Scenario_MRF_Bale_ID]],BaleMover[Scenario_MRF_Bale_ID],0)))</f>
        <v>0</v>
      </c>
      <c r="AN650" s="251">
        <f>IF(SecondaryTransport[[#This Row],[Bale_ID]]="9000-01","costs elsewhere",SecondaryTransport[[#This Row],[Total_Baled_tons]]*SecondaryTransport[[#This Row],[Miles]])</f>
        <v>0</v>
      </c>
      <c r="AO650" s="352">
        <f>IF(LEFT(SecondaryTransport[[#This Row],[Bale_ID]],1)*1=5,IF(OR(SecondaryTransport[[#This Row],[MRF_ID]]="02",SecondaryTransport[[#This Row],[MRF_ID]]="08"),2,1),"")</f>
        <v>1</v>
      </c>
      <c r="AP65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0" s="224" t="str">
        <f>IFERROR(IF(1*LEFT(SecondaryTransport[[#This Row],[Bale_ID]],1)=5,SecondaryTransport[[#This Row],[Ton-Miles]]*SecondaryTransport[[#This Row],[Cost_Per_Ton-Mile]],""),"")</f>
        <v/>
      </c>
      <c r="AS650" s="224" t="str">
        <f>IFERROR(IF(SecondaryTransport[[#This Row],[Container_Transfer]]="",(SecondaryTransport[[#This Row],[Ton-Miles]]*SecondaryTransport[[#This Row],[Cost_Per_Ton-Mile]]),""),"")</f>
        <v/>
      </c>
    </row>
    <row r="651" spans="12:45" ht="15" x14ac:dyDescent="0.25">
      <c r="L651" s="446" t="s">
        <v>876</v>
      </c>
      <c r="M651" s="446">
        <v>1</v>
      </c>
      <c r="N651" s="446">
        <v>3</v>
      </c>
      <c r="O651" s="446" t="s">
        <v>700</v>
      </c>
      <c r="P651" s="449" t="s">
        <v>700</v>
      </c>
      <c r="Q651" s="449"/>
      <c r="R651" s="449"/>
      <c r="S651" s="449" t="s">
        <v>872</v>
      </c>
      <c r="T651" s="449" t="s">
        <v>701</v>
      </c>
      <c r="U651" s="452">
        <v>109650.66103576083</v>
      </c>
      <c r="V6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1" s="272">
        <f>IFERROR(SUMIFS(TransUnitCost[Miles],TransUnitCost[Grouping_ID],TransTonsShort[[#This Row],[Grouping_ID]],TransUnitCost[Transp_ID],TransTonsShort[[#This Row],[Transp_ID]])*TransTonsShort[[#This Row],[Trans_Tons_All]]/TransTonsShort[[#This Row],[Trans_Tons_All]],"")</f>
        <v>0</v>
      </c>
      <c r="X651" s="386" t="str">
        <f>TransTonsShort[[#This Row],[Grouping_ID]]&amp;"-"&amp;TransTonsShort[[#This Row],[Sector_ID]]</f>
        <v>1-3</v>
      </c>
      <c r="Y6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1" s="421">
        <f>INDEX(LandfillFees[Disposal Tip Fee 2025],MATCH(TransTonsShort[[#This Row],[Grouping_ID]],LandfillFees[Grouping_ID],0))</f>
        <v>134.68</v>
      </c>
      <c r="AA651" s="102">
        <f>IF(OR(TransTonsShort[[#This Row],[CollectionStream_ID]]="03",TransTonsShort[[#This Row],[CollectionStream_ID]]="04",TransTonsShort[[#This Row],[CollectionStream_ID]]="13"),0,TransTonsShort[[#This Row],[Trans_Tons_All]]*TransTonsShort[[#This Row],[Disposal_Fee]])</f>
        <v>14767751.028296269</v>
      </c>
      <c r="AF651" s="446" t="s">
        <v>1824</v>
      </c>
      <c r="AG651" s="181" t="str">
        <f>LEFT(SecondaryTransport[[#This Row],[Scenario_MRF_Bale_ID]],2)</f>
        <v>S0</v>
      </c>
      <c r="AH651" s="181" t="str">
        <f>LEFT(RIGHT(SecondaryTransport[[#This Row],[Scenario_MRF_Bale_ID]],10),2)</f>
        <v>02</v>
      </c>
      <c r="AI651" s="181" t="str">
        <f>INDEX(MRFs[MRF_Name],MATCH(SecondaryTransport[[#This Row],[MRF_ID]],MRFs[MRF_ID],0))</f>
        <v>1 MRF for SS (Salem)</v>
      </c>
      <c r="AJ651" s="181" t="str">
        <f>RIGHT(SecondaryTransport[[#This Row],[Scenario_MRF_Bale_ID]],7)</f>
        <v>5000-02</v>
      </c>
      <c r="AK651" s="181" t="str">
        <f>INDEX(Bales[Bale_Name],MATCH(SecondaryTransport[[#This Row],[Bale_ID]],Bales[Bale_ID],0))</f>
        <v>Glass transferred from MRFs</v>
      </c>
      <c r="AL651" s="443">
        <f>INDEX(BaleMover[Total_Baled_tons],MATCH(SecondaryTransport[[#This Row],[Scenario_MRF_Bale_ID]],BaleMover[Scenario_MRF_Bale_ID],0))</f>
        <v>0</v>
      </c>
      <c r="AM651" s="443">
        <f>IF(INDEX(BaleMover[Miles],MATCH(SecondaryTransport[[#This Row],[Scenario_MRF_Bale_ID]],BaleMover[Scenario_MRF_Bale_ID],0))="",0,INDEX(BaleMover[Miles],MATCH(SecondaryTransport[[#This Row],[Scenario_MRF_Bale_ID]],BaleMover[Scenario_MRF_Bale_ID],0)))</f>
        <v>0</v>
      </c>
      <c r="AN651" s="251">
        <f>IF(SecondaryTransport[[#This Row],[Bale_ID]]="9000-01","costs elsewhere",SecondaryTransport[[#This Row],[Total_Baled_tons]]*SecondaryTransport[[#This Row],[Miles]])</f>
        <v>0</v>
      </c>
      <c r="AO651" s="352">
        <f>IF(LEFT(SecondaryTransport[[#This Row],[Bale_ID]],1)*1=5,IF(OR(SecondaryTransport[[#This Row],[MRF_ID]]="02",SecondaryTransport[[#This Row],[MRF_ID]]="08"),2,1),"")</f>
        <v>2</v>
      </c>
      <c r="AP65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1" s="224" t="str">
        <f>IFERROR(IF(1*LEFT(SecondaryTransport[[#This Row],[Bale_ID]],1)=5,SecondaryTransport[[#This Row],[Ton-Miles]]*SecondaryTransport[[#This Row],[Cost_Per_Ton-Mile]],""),"")</f>
        <v/>
      </c>
      <c r="AS651" s="224" t="str">
        <f>IFERROR(IF(SecondaryTransport[[#This Row],[Container_Transfer]]="",(SecondaryTransport[[#This Row],[Ton-Miles]]*SecondaryTransport[[#This Row],[Cost_Per_Ton-Mile]]),""),"")</f>
        <v/>
      </c>
    </row>
    <row r="652" spans="12:45" ht="15" x14ac:dyDescent="0.25">
      <c r="L652" s="446" t="s">
        <v>876</v>
      </c>
      <c r="M652" s="446">
        <v>2</v>
      </c>
      <c r="N652" s="446">
        <v>3</v>
      </c>
      <c r="O652" s="446" t="s">
        <v>700</v>
      </c>
      <c r="P652" s="449" t="s">
        <v>700</v>
      </c>
      <c r="Q652" s="449"/>
      <c r="R652" s="449"/>
      <c r="S652" s="449" t="s">
        <v>872</v>
      </c>
      <c r="T652" s="449" t="s">
        <v>701</v>
      </c>
      <c r="U652" s="452">
        <v>49425.117872313822</v>
      </c>
      <c r="V6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2" s="272">
        <f>IFERROR(SUMIFS(TransUnitCost[Miles],TransUnitCost[Grouping_ID],TransTonsShort[[#This Row],[Grouping_ID]],TransUnitCost[Transp_ID],TransTonsShort[[#This Row],[Transp_ID]])*TransTonsShort[[#This Row],[Trans_Tons_All]]/TransTonsShort[[#This Row],[Trans_Tons_All]],"")</f>
        <v>0</v>
      </c>
      <c r="X652" s="386" t="str">
        <f>TransTonsShort[[#This Row],[Grouping_ID]]&amp;"-"&amp;TransTonsShort[[#This Row],[Sector_ID]]</f>
        <v>2-3</v>
      </c>
      <c r="Y6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2" s="421">
        <f>INDEX(LandfillFees[Disposal Tip Fee 2025],MATCH(TransTonsShort[[#This Row],[Grouping_ID]],LandfillFees[Grouping_ID],0))</f>
        <v>72.030938699729589</v>
      </c>
      <c r="AA652" s="102">
        <f>IF(OR(TransTonsShort[[#This Row],[CollectionStream_ID]]="03",TransTonsShort[[#This Row],[CollectionStream_ID]]="04",TransTonsShort[[#This Row],[CollectionStream_ID]]="13"),0,TransTonsShort[[#This Row],[Trans_Tons_All]]*TransTonsShort[[#This Row],[Disposal_Fee]])</f>
        <v>3560137.6356875463</v>
      </c>
      <c r="AF652" s="446" t="s">
        <v>1825</v>
      </c>
      <c r="AG652" s="181" t="str">
        <f>LEFT(SecondaryTransport[[#This Row],[Scenario_MRF_Bale_ID]],2)</f>
        <v>S1</v>
      </c>
      <c r="AH652" s="181" t="str">
        <f>LEFT(RIGHT(SecondaryTransport[[#This Row],[Scenario_MRF_Bale_ID]],10),2)</f>
        <v>02</v>
      </c>
      <c r="AI652" s="181" t="str">
        <f>INDEX(MRFs[MRF_Name],MATCH(SecondaryTransport[[#This Row],[MRF_ID]],MRFs[MRF_ID],0))</f>
        <v>1 MRF for SS (Salem)</v>
      </c>
      <c r="AJ652" s="181" t="str">
        <f>RIGHT(SecondaryTransport[[#This Row],[Scenario_MRF_Bale_ID]],7)</f>
        <v>5000-02</v>
      </c>
      <c r="AK652" s="181" t="str">
        <f>INDEX(Bales[Bale_Name],MATCH(SecondaryTransport[[#This Row],[Bale_ID]],Bales[Bale_ID],0))</f>
        <v>Glass transferred from MRFs</v>
      </c>
      <c r="AL652" s="443">
        <f>INDEX(BaleMover[Total_Baled_tons],MATCH(SecondaryTransport[[#This Row],[Scenario_MRF_Bale_ID]],BaleMover[Scenario_MRF_Bale_ID],0))</f>
        <v>0</v>
      </c>
      <c r="AM652" s="443">
        <f>IF(INDEX(BaleMover[Miles],MATCH(SecondaryTransport[[#This Row],[Scenario_MRF_Bale_ID]],BaleMover[Scenario_MRF_Bale_ID],0))="",0,INDEX(BaleMover[Miles],MATCH(SecondaryTransport[[#This Row],[Scenario_MRF_Bale_ID]],BaleMover[Scenario_MRF_Bale_ID],0)))</f>
        <v>0</v>
      </c>
      <c r="AN652" s="251">
        <f>IF(SecondaryTransport[[#This Row],[Bale_ID]]="9000-01","costs elsewhere",SecondaryTransport[[#This Row],[Total_Baled_tons]]*SecondaryTransport[[#This Row],[Miles]])</f>
        <v>0</v>
      </c>
      <c r="AO652" s="352">
        <f>IF(LEFT(SecondaryTransport[[#This Row],[Bale_ID]],1)*1=5,IF(OR(SecondaryTransport[[#This Row],[MRF_ID]]="02",SecondaryTransport[[#This Row],[MRF_ID]]="08"),2,1),"")</f>
        <v>2</v>
      </c>
      <c r="AP65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2" s="224" t="str">
        <f>IFERROR(IF(1*LEFT(SecondaryTransport[[#This Row],[Bale_ID]],1)=5,SecondaryTransport[[#This Row],[Ton-Miles]]*SecondaryTransport[[#This Row],[Cost_Per_Ton-Mile]],""),"")</f>
        <v/>
      </c>
      <c r="AS652" s="224" t="str">
        <f>IFERROR(IF(SecondaryTransport[[#This Row],[Container_Transfer]]="",(SecondaryTransport[[#This Row],[Ton-Miles]]*SecondaryTransport[[#This Row],[Cost_Per_Ton-Mile]]),""),"")</f>
        <v/>
      </c>
    </row>
    <row r="653" spans="12:45" ht="15" x14ac:dyDescent="0.25">
      <c r="L653" s="446" t="s">
        <v>876</v>
      </c>
      <c r="M653" s="446">
        <v>3</v>
      </c>
      <c r="N653" s="446">
        <v>3</v>
      </c>
      <c r="O653" s="446" t="s">
        <v>700</v>
      </c>
      <c r="P653" s="449" t="s">
        <v>700</v>
      </c>
      <c r="Q653" s="449"/>
      <c r="R653" s="449"/>
      <c r="S653" s="449" t="s">
        <v>872</v>
      </c>
      <c r="T653" s="449" t="s">
        <v>701</v>
      </c>
      <c r="U653" s="452">
        <v>0</v>
      </c>
      <c r="V6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3" s="272" t="str">
        <f>IFERROR(SUMIFS(TransUnitCost[Miles],TransUnitCost[Grouping_ID],TransTonsShort[[#This Row],[Grouping_ID]],TransUnitCost[Transp_ID],TransTonsShort[[#This Row],[Transp_ID]])*TransTonsShort[[#This Row],[Trans_Tons_All]]/TransTonsShort[[#This Row],[Trans_Tons_All]],"")</f>
        <v/>
      </c>
      <c r="X653" s="386" t="str">
        <f>TransTonsShort[[#This Row],[Grouping_ID]]&amp;"-"&amp;TransTonsShort[[#This Row],[Sector_ID]]</f>
        <v>3-3</v>
      </c>
      <c r="Y6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3" s="421">
        <f>INDEX(LandfillFees[Disposal Tip Fee 2025],MATCH(TransTonsShort[[#This Row],[Grouping_ID]],LandfillFees[Grouping_ID],0))</f>
        <v>72.030938699729589</v>
      </c>
      <c r="AA653" s="102">
        <f>IF(OR(TransTonsShort[[#This Row],[CollectionStream_ID]]="03",TransTonsShort[[#This Row],[CollectionStream_ID]]="04",TransTonsShort[[#This Row],[CollectionStream_ID]]="13"),0,TransTonsShort[[#This Row],[Trans_Tons_All]]*TransTonsShort[[#This Row],[Disposal_Fee]])</f>
        <v>0</v>
      </c>
      <c r="AF653" s="446" t="s">
        <v>1826</v>
      </c>
      <c r="AG653" s="181" t="str">
        <f>LEFT(SecondaryTransport[[#This Row],[Scenario_MRF_Bale_ID]],2)</f>
        <v>S2</v>
      </c>
      <c r="AH653" s="181" t="str">
        <f>LEFT(RIGHT(SecondaryTransport[[#This Row],[Scenario_MRF_Bale_ID]],10),2)</f>
        <v>02</v>
      </c>
      <c r="AI653" s="181" t="str">
        <f>INDEX(MRFs[MRF_Name],MATCH(SecondaryTransport[[#This Row],[MRF_ID]],MRFs[MRF_ID],0))</f>
        <v>1 MRF for SS (Salem)</v>
      </c>
      <c r="AJ653" s="181" t="str">
        <f>RIGHT(SecondaryTransport[[#This Row],[Scenario_MRF_Bale_ID]],7)</f>
        <v>5000-02</v>
      </c>
      <c r="AK653" s="181" t="str">
        <f>INDEX(Bales[Bale_Name],MATCH(SecondaryTransport[[#This Row],[Bale_ID]],Bales[Bale_ID],0))</f>
        <v>Glass transferred from MRFs</v>
      </c>
      <c r="AL653" s="443">
        <f>INDEX(BaleMover[Total_Baled_tons],MATCH(SecondaryTransport[[#This Row],[Scenario_MRF_Bale_ID]],BaleMover[Scenario_MRF_Bale_ID],0))</f>
        <v>0</v>
      </c>
      <c r="AM653" s="443">
        <f>IF(INDEX(BaleMover[Miles],MATCH(SecondaryTransport[[#This Row],[Scenario_MRF_Bale_ID]],BaleMover[Scenario_MRF_Bale_ID],0))="",0,INDEX(BaleMover[Miles],MATCH(SecondaryTransport[[#This Row],[Scenario_MRF_Bale_ID]],BaleMover[Scenario_MRF_Bale_ID],0)))</f>
        <v>0</v>
      </c>
      <c r="AN653" s="251">
        <f>IF(SecondaryTransport[[#This Row],[Bale_ID]]="9000-01","costs elsewhere",SecondaryTransport[[#This Row],[Total_Baled_tons]]*SecondaryTransport[[#This Row],[Miles]])</f>
        <v>0</v>
      </c>
      <c r="AO653" s="352">
        <f>IF(LEFT(SecondaryTransport[[#This Row],[Bale_ID]],1)*1=5,IF(OR(SecondaryTransport[[#This Row],[MRF_ID]]="02",SecondaryTransport[[#This Row],[MRF_ID]]="08"),2,1),"")</f>
        <v>2</v>
      </c>
      <c r="AP65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3" s="224" t="str">
        <f>IFERROR(IF(1*LEFT(SecondaryTransport[[#This Row],[Bale_ID]],1)=5,SecondaryTransport[[#This Row],[Ton-Miles]]*SecondaryTransport[[#This Row],[Cost_Per_Ton-Mile]],""),"")</f>
        <v/>
      </c>
      <c r="AS653" s="224" t="str">
        <f>IFERROR(IF(SecondaryTransport[[#This Row],[Container_Transfer]]="",(SecondaryTransport[[#This Row],[Ton-Miles]]*SecondaryTransport[[#This Row],[Cost_Per_Ton-Mile]]),""),"")</f>
        <v/>
      </c>
    </row>
    <row r="654" spans="12:45" ht="15" x14ac:dyDescent="0.25">
      <c r="L654" s="446" t="s">
        <v>876</v>
      </c>
      <c r="M654" s="446">
        <v>4</v>
      </c>
      <c r="N654" s="446">
        <v>3</v>
      </c>
      <c r="O654" s="446" t="s">
        <v>700</v>
      </c>
      <c r="P654" s="449" t="s">
        <v>700</v>
      </c>
      <c r="Q654" s="449"/>
      <c r="R654" s="449"/>
      <c r="S654" s="449" t="s">
        <v>872</v>
      </c>
      <c r="T654" s="449" t="s">
        <v>701</v>
      </c>
      <c r="U654" s="452">
        <v>0</v>
      </c>
      <c r="V6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4" s="272" t="str">
        <f>IFERROR(SUMIFS(TransUnitCost[Miles],TransUnitCost[Grouping_ID],TransTonsShort[[#This Row],[Grouping_ID]],TransUnitCost[Transp_ID],TransTonsShort[[#This Row],[Transp_ID]])*TransTonsShort[[#This Row],[Trans_Tons_All]]/TransTonsShort[[#This Row],[Trans_Tons_All]],"")</f>
        <v/>
      </c>
      <c r="X654" s="386" t="str">
        <f>TransTonsShort[[#This Row],[Grouping_ID]]&amp;"-"&amp;TransTonsShort[[#This Row],[Sector_ID]]</f>
        <v>4-3</v>
      </c>
      <c r="Y6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4" s="421">
        <f>INDEX(LandfillFees[Disposal Tip Fee 2025],MATCH(TransTonsShort[[#This Row],[Grouping_ID]],LandfillFees[Grouping_ID],0))</f>
        <v>72.030938699729589</v>
      </c>
      <c r="AA654" s="102">
        <f>IF(OR(TransTonsShort[[#This Row],[CollectionStream_ID]]="03",TransTonsShort[[#This Row],[CollectionStream_ID]]="04",TransTonsShort[[#This Row],[CollectionStream_ID]]="13"),0,TransTonsShort[[#This Row],[Trans_Tons_All]]*TransTonsShort[[#This Row],[Disposal_Fee]])</f>
        <v>0</v>
      </c>
      <c r="AF654" s="446" t="s">
        <v>1827</v>
      </c>
      <c r="AG654" s="181" t="str">
        <f>LEFT(SecondaryTransport[[#This Row],[Scenario_MRF_Bale_ID]],2)</f>
        <v>S3</v>
      </c>
      <c r="AH654" s="181" t="str">
        <f>LEFT(RIGHT(SecondaryTransport[[#This Row],[Scenario_MRF_Bale_ID]],10),2)</f>
        <v>02</v>
      </c>
      <c r="AI654" s="181" t="str">
        <f>INDEX(MRFs[MRF_Name],MATCH(SecondaryTransport[[#This Row],[MRF_ID]],MRFs[MRF_ID],0))</f>
        <v>1 MRF for SS (Salem)</v>
      </c>
      <c r="AJ654" s="181" t="str">
        <f>RIGHT(SecondaryTransport[[#This Row],[Scenario_MRF_Bale_ID]],7)</f>
        <v>5000-02</v>
      </c>
      <c r="AK654" s="181" t="str">
        <f>INDEX(Bales[Bale_Name],MATCH(SecondaryTransport[[#This Row],[Bale_ID]],Bales[Bale_ID],0))</f>
        <v>Glass transferred from MRFs</v>
      </c>
      <c r="AL654" s="443">
        <f>INDEX(BaleMover[Total_Baled_tons],MATCH(SecondaryTransport[[#This Row],[Scenario_MRF_Bale_ID]],BaleMover[Scenario_MRF_Bale_ID],0))</f>
        <v>0</v>
      </c>
      <c r="AM654" s="443">
        <f>IF(INDEX(BaleMover[Miles],MATCH(SecondaryTransport[[#This Row],[Scenario_MRF_Bale_ID]],BaleMover[Scenario_MRF_Bale_ID],0))="",0,INDEX(BaleMover[Miles],MATCH(SecondaryTransport[[#This Row],[Scenario_MRF_Bale_ID]],BaleMover[Scenario_MRF_Bale_ID],0)))</f>
        <v>0</v>
      </c>
      <c r="AN654" s="251">
        <f>IF(SecondaryTransport[[#This Row],[Bale_ID]]="9000-01","costs elsewhere",SecondaryTransport[[#This Row],[Total_Baled_tons]]*SecondaryTransport[[#This Row],[Miles]])</f>
        <v>0</v>
      </c>
      <c r="AO654" s="352">
        <f>IF(LEFT(SecondaryTransport[[#This Row],[Bale_ID]],1)*1=5,IF(OR(SecondaryTransport[[#This Row],[MRF_ID]]="02",SecondaryTransport[[#This Row],[MRF_ID]]="08"),2,1),"")</f>
        <v>2</v>
      </c>
      <c r="AP65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4" s="224" t="str">
        <f>IFERROR(IF(1*LEFT(SecondaryTransport[[#This Row],[Bale_ID]],1)=5,SecondaryTransport[[#This Row],[Ton-Miles]]*SecondaryTransport[[#This Row],[Cost_Per_Ton-Mile]],""),"")</f>
        <v/>
      </c>
      <c r="AS654" s="224" t="str">
        <f>IFERROR(IF(SecondaryTransport[[#This Row],[Container_Transfer]]="",(SecondaryTransport[[#This Row],[Ton-Miles]]*SecondaryTransport[[#This Row],[Cost_Per_Ton-Mile]]),""),"")</f>
        <v/>
      </c>
    </row>
    <row r="655" spans="12:45" ht="15" x14ac:dyDescent="0.25">
      <c r="L655" s="446" t="s">
        <v>876</v>
      </c>
      <c r="M655" s="446">
        <v>1</v>
      </c>
      <c r="N655" s="446">
        <v>3</v>
      </c>
      <c r="O655" s="448" t="s">
        <v>700</v>
      </c>
      <c r="P655" s="449" t="s">
        <v>706</v>
      </c>
      <c r="Q655" s="449"/>
      <c r="R655" s="449"/>
      <c r="S655" s="449" t="s">
        <v>872</v>
      </c>
      <c r="T655" s="449" t="s">
        <v>1025</v>
      </c>
      <c r="U655" s="452">
        <v>6998.9783639847346</v>
      </c>
      <c r="V6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139979.56727969469</v>
      </c>
      <c r="W655" s="272">
        <f>IFERROR(SUMIFS(TransUnitCost[Miles],TransUnitCost[Grouping_ID],TransTonsShort[[#This Row],[Grouping_ID]],TransUnitCost[Transp_ID],TransTonsShort[[#This Row],[Transp_ID]])*TransTonsShort[[#This Row],[Trans_Tons_All]]/TransTonsShort[[#This Row],[Trans_Tons_All]],"")</f>
        <v>20</v>
      </c>
      <c r="X655" s="386" t="str">
        <f>TransTonsShort[[#This Row],[Grouping_ID]]&amp;"-"&amp;TransTonsShort[[#This Row],[Sector_ID]]</f>
        <v>1-3</v>
      </c>
      <c r="Y6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5" s="421">
        <f>INDEX(LandfillFees[Disposal Tip Fee 2025],MATCH(TransTonsShort[[#This Row],[Grouping_ID]],LandfillFees[Grouping_ID],0))</f>
        <v>134.68</v>
      </c>
      <c r="AA655" s="102">
        <f>IF(OR(TransTonsShort[[#This Row],[CollectionStream_ID]]="03",TransTonsShort[[#This Row],[CollectionStream_ID]]="04",TransTonsShort[[#This Row],[CollectionStream_ID]]="13"),0,TransTonsShort[[#This Row],[Trans_Tons_All]]*TransTonsShort[[#This Row],[Disposal_Fee]])</f>
        <v>942622.40606146411</v>
      </c>
      <c r="AF655" s="446" t="s">
        <v>1828</v>
      </c>
      <c r="AG655" s="181" t="str">
        <f>LEFT(SecondaryTransport[[#This Row],[Scenario_MRF_Bale_ID]],2)</f>
        <v>S0</v>
      </c>
      <c r="AH655" s="181" t="str">
        <f>LEFT(RIGHT(SecondaryTransport[[#This Row],[Scenario_MRF_Bale_ID]],10),2)</f>
        <v>03</v>
      </c>
      <c r="AI655" s="181" t="str">
        <f>INDEX(MRFs[MRF_Name],MATCH(SecondaryTransport[[#This Row],[MRF_ID]],MRFs[MRF_ID],0))</f>
        <v>5 MRFs for SS with fiber upgrades (Portland)</v>
      </c>
      <c r="AJ655" s="181" t="str">
        <f>RIGHT(SecondaryTransport[[#This Row],[Scenario_MRF_Bale_ID]],7)</f>
        <v>5000-02</v>
      </c>
      <c r="AK655" s="181" t="str">
        <f>INDEX(Bales[Bale_Name],MATCH(SecondaryTransport[[#This Row],[Bale_ID]],Bales[Bale_ID],0))</f>
        <v>Glass transferred from MRFs</v>
      </c>
      <c r="AL655" s="443">
        <f>INDEX(BaleMover[Total_Baled_tons],MATCH(SecondaryTransport[[#This Row],[Scenario_MRF_Bale_ID]],BaleMover[Scenario_MRF_Bale_ID],0))</f>
        <v>0</v>
      </c>
      <c r="AM655" s="443">
        <f>IF(INDEX(BaleMover[Miles],MATCH(SecondaryTransport[[#This Row],[Scenario_MRF_Bale_ID]],BaleMover[Scenario_MRF_Bale_ID],0))="",0,INDEX(BaleMover[Miles],MATCH(SecondaryTransport[[#This Row],[Scenario_MRF_Bale_ID]],BaleMover[Scenario_MRF_Bale_ID],0)))</f>
        <v>0</v>
      </c>
      <c r="AN655" s="251">
        <f>IF(SecondaryTransport[[#This Row],[Bale_ID]]="9000-01","costs elsewhere",SecondaryTransport[[#This Row],[Total_Baled_tons]]*SecondaryTransport[[#This Row],[Miles]])</f>
        <v>0</v>
      </c>
      <c r="AO655" s="352">
        <f>IF(LEFT(SecondaryTransport[[#This Row],[Bale_ID]],1)*1=5,IF(OR(SecondaryTransport[[#This Row],[MRF_ID]]="02",SecondaryTransport[[#This Row],[MRF_ID]]="08"),2,1),"")</f>
        <v>1</v>
      </c>
      <c r="AP65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5" s="224" t="str">
        <f>IFERROR(IF(1*LEFT(SecondaryTransport[[#This Row],[Bale_ID]],1)=5,SecondaryTransport[[#This Row],[Ton-Miles]]*SecondaryTransport[[#This Row],[Cost_Per_Ton-Mile]],""),"")</f>
        <v/>
      </c>
      <c r="AS655" s="224" t="str">
        <f>IFERROR(IF(SecondaryTransport[[#This Row],[Container_Transfer]]="",(SecondaryTransport[[#This Row],[Ton-Miles]]*SecondaryTransport[[#This Row],[Cost_Per_Ton-Mile]]),""),"")</f>
        <v/>
      </c>
    </row>
    <row r="656" spans="12:45" ht="15" x14ac:dyDescent="0.25">
      <c r="L656" s="446" t="s">
        <v>876</v>
      </c>
      <c r="M656" s="446">
        <v>2</v>
      </c>
      <c r="N656" s="446">
        <v>3</v>
      </c>
      <c r="O656" s="448" t="s">
        <v>700</v>
      </c>
      <c r="P656" s="449" t="s">
        <v>706</v>
      </c>
      <c r="Q656" s="449"/>
      <c r="R656" s="449"/>
      <c r="S656" s="449" t="s">
        <v>872</v>
      </c>
      <c r="T656" s="449" t="s">
        <v>1025</v>
      </c>
      <c r="U656" s="452">
        <v>18280.523048664018</v>
      </c>
      <c r="V6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511854.64536259248</v>
      </c>
      <c r="W656" s="272">
        <f>IFERROR(SUMIFS(TransUnitCost[Miles],TransUnitCost[Grouping_ID],TransTonsShort[[#This Row],[Grouping_ID]],TransUnitCost[Transp_ID],TransTonsShort[[#This Row],[Transp_ID]])*TransTonsShort[[#This Row],[Trans_Tons_All]]/TransTonsShort[[#This Row],[Trans_Tons_All]],"")</f>
        <v>70</v>
      </c>
      <c r="X656" s="386" t="str">
        <f>TransTonsShort[[#This Row],[Grouping_ID]]&amp;"-"&amp;TransTonsShort[[#This Row],[Sector_ID]]</f>
        <v>2-3</v>
      </c>
      <c r="Y6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6" s="421">
        <f>INDEX(LandfillFees[Disposal Tip Fee 2025],MATCH(TransTonsShort[[#This Row],[Grouping_ID]],LandfillFees[Grouping_ID],0))</f>
        <v>72.030938699729589</v>
      </c>
      <c r="AA656" s="102">
        <f>IF(OR(TransTonsShort[[#This Row],[CollectionStream_ID]]="03",TransTonsShort[[#This Row],[CollectionStream_ID]]="04",TransTonsShort[[#This Row],[CollectionStream_ID]]="13"),0,TransTonsShort[[#This Row],[Trans_Tons_All]]*TransTonsShort[[#This Row],[Disposal_Fee]])</f>
        <v>1316763.2351173118</v>
      </c>
      <c r="AF656" s="446" t="s">
        <v>1829</v>
      </c>
      <c r="AG656" s="181" t="str">
        <f>LEFT(SecondaryTransport[[#This Row],[Scenario_MRF_Bale_ID]],2)</f>
        <v>S1</v>
      </c>
      <c r="AH656" s="181" t="str">
        <f>LEFT(RIGHT(SecondaryTransport[[#This Row],[Scenario_MRF_Bale_ID]],10),2)</f>
        <v>03</v>
      </c>
      <c r="AI656" s="181" t="str">
        <f>INDEX(MRFs[MRF_Name],MATCH(SecondaryTransport[[#This Row],[MRF_ID]],MRFs[MRF_ID],0))</f>
        <v>5 MRFs for SS with fiber upgrades (Portland)</v>
      </c>
      <c r="AJ656" s="181" t="str">
        <f>RIGHT(SecondaryTransport[[#This Row],[Scenario_MRF_Bale_ID]],7)</f>
        <v>5000-02</v>
      </c>
      <c r="AK656" s="181" t="str">
        <f>INDEX(Bales[Bale_Name],MATCH(SecondaryTransport[[#This Row],[Bale_ID]],Bales[Bale_ID],0))</f>
        <v>Glass transferred from MRFs</v>
      </c>
      <c r="AL656" s="443">
        <f>INDEX(BaleMover[Total_Baled_tons],MATCH(SecondaryTransport[[#This Row],[Scenario_MRF_Bale_ID]],BaleMover[Scenario_MRF_Bale_ID],0))</f>
        <v>0</v>
      </c>
      <c r="AM656" s="443">
        <f>IF(INDEX(BaleMover[Miles],MATCH(SecondaryTransport[[#This Row],[Scenario_MRF_Bale_ID]],BaleMover[Scenario_MRF_Bale_ID],0))="",0,INDEX(BaleMover[Miles],MATCH(SecondaryTransport[[#This Row],[Scenario_MRF_Bale_ID]],BaleMover[Scenario_MRF_Bale_ID],0)))</f>
        <v>0</v>
      </c>
      <c r="AN656" s="251">
        <f>IF(SecondaryTransport[[#This Row],[Bale_ID]]="9000-01","costs elsewhere",SecondaryTransport[[#This Row],[Total_Baled_tons]]*SecondaryTransport[[#This Row],[Miles]])</f>
        <v>0</v>
      </c>
      <c r="AO656" s="352">
        <f>IF(LEFT(SecondaryTransport[[#This Row],[Bale_ID]],1)*1=5,IF(OR(SecondaryTransport[[#This Row],[MRF_ID]]="02",SecondaryTransport[[#This Row],[MRF_ID]]="08"),2,1),"")</f>
        <v>1</v>
      </c>
      <c r="AP65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6" s="224" t="str">
        <f>IFERROR(IF(1*LEFT(SecondaryTransport[[#This Row],[Bale_ID]],1)=5,SecondaryTransport[[#This Row],[Ton-Miles]]*SecondaryTransport[[#This Row],[Cost_Per_Ton-Mile]],""),"")</f>
        <v/>
      </c>
      <c r="AS656" s="224" t="str">
        <f>IFERROR(IF(SecondaryTransport[[#This Row],[Container_Transfer]]="",(SecondaryTransport[[#This Row],[Ton-Miles]]*SecondaryTransport[[#This Row],[Cost_Per_Ton-Mile]]),""),"")</f>
        <v/>
      </c>
    </row>
    <row r="657" spans="12:45" ht="15" x14ac:dyDescent="0.25">
      <c r="L657" s="446" t="s">
        <v>876</v>
      </c>
      <c r="M657" s="446">
        <v>3</v>
      </c>
      <c r="N657" s="446">
        <v>3</v>
      </c>
      <c r="O657" s="448" t="s">
        <v>700</v>
      </c>
      <c r="P657" s="449" t="s">
        <v>706</v>
      </c>
      <c r="Q657" s="449"/>
      <c r="R657" s="449"/>
      <c r="S657" s="449" t="s">
        <v>872</v>
      </c>
      <c r="T657" s="449" t="s">
        <v>1025</v>
      </c>
      <c r="U657" s="452">
        <v>26482.201674617158</v>
      </c>
      <c r="V6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1390315.5879174008</v>
      </c>
      <c r="W657" s="272">
        <f>IFERROR(SUMIFS(TransUnitCost[Miles],TransUnitCost[Grouping_ID],TransTonsShort[[#This Row],[Grouping_ID]],TransUnitCost[Transp_ID],TransTonsShort[[#This Row],[Transp_ID]])*TransTonsShort[[#This Row],[Trans_Tons_All]]/TransTonsShort[[#This Row],[Trans_Tons_All]],"")</f>
        <v>150</v>
      </c>
      <c r="X657" s="386" t="str">
        <f>TransTonsShort[[#This Row],[Grouping_ID]]&amp;"-"&amp;TransTonsShort[[#This Row],[Sector_ID]]</f>
        <v>3-3</v>
      </c>
      <c r="Y6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7" s="421">
        <f>INDEX(LandfillFees[Disposal Tip Fee 2025],MATCH(TransTonsShort[[#This Row],[Grouping_ID]],LandfillFees[Grouping_ID],0))</f>
        <v>72.030938699729589</v>
      </c>
      <c r="AA657" s="102">
        <f>IF(OR(TransTonsShort[[#This Row],[CollectionStream_ID]]="03",TransTonsShort[[#This Row],[CollectionStream_ID]]="04",TransTonsShort[[#This Row],[CollectionStream_ID]]="13"),0,TransTonsShort[[#This Row],[Trans_Tons_All]]*TransTonsShort[[#This Row],[Disposal_Fee]])</f>
        <v>1907537.8454582246</v>
      </c>
      <c r="AF657" s="446" t="s">
        <v>1830</v>
      </c>
      <c r="AG657" s="181" t="str">
        <f>LEFT(SecondaryTransport[[#This Row],[Scenario_MRF_Bale_ID]],2)</f>
        <v>S2</v>
      </c>
      <c r="AH657" s="181" t="str">
        <f>LEFT(RIGHT(SecondaryTransport[[#This Row],[Scenario_MRF_Bale_ID]],10),2)</f>
        <v>03</v>
      </c>
      <c r="AI657" s="181" t="str">
        <f>INDEX(MRFs[MRF_Name],MATCH(SecondaryTransport[[#This Row],[MRF_ID]],MRFs[MRF_ID],0))</f>
        <v>5 MRFs for SS with fiber upgrades (Portland)</v>
      </c>
      <c r="AJ657" s="181" t="str">
        <f>RIGHT(SecondaryTransport[[#This Row],[Scenario_MRF_Bale_ID]],7)</f>
        <v>5000-02</v>
      </c>
      <c r="AK657" s="181" t="str">
        <f>INDEX(Bales[Bale_Name],MATCH(SecondaryTransport[[#This Row],[Bale_ID]],Bales[Bale_ID],0))</f>
        <v>Glass transferred from MRFs</v>
      </c>
      <c r="AL657" s="443">
        <f>INDEX(BaleMover[Total_Baled_tons],MATCH(SecondaryTransport[[#This Row],[Scenario_MRF_Bale_ID]],BaleMover[Scenario_MRF_Bale_ID],0))</f>
        <v>0</v>
      </c>
      <c r="AM657" s="443">
        <f>IF(INDEX(BaleMover[Miles],MATCH(SecondaryTransport[[#This Row],[Scenario_MRF_Bale_ID]],BaleMover[Scenario_MRF_Bale_ID],0))="",0,INDEX(BaleMover[Miles],MATCH(SecondaryTransport[[#This Row],[Scenario_MRF_Bale_ID]],BaleMover[Scenario_MRF_Bale_ID],0)))</f>
        <v>0</v>
      </c>
      <c r="AN657" s="251">
        <f>IF(SecondaryTransport[[#This Row],[Bale_ID]]="9000-01","costs elsewhere",SecondaryTransport[[#This Row],[Total_Baled_tons]]*SecondaryTransport[[#This Row],[Miles]])</f>
        <v>0</v>
      </c>
      <c r="AO657" s="352">
        <f>IF(LEFT(SecondaryTransport[[#This Row],[Bale_ID]],1)*1=5,IF(OR(SecondaryTransport[[#This Row],[MRF_ID]]="02",SecondaryTransport[[#This Row],[MRF_ID]]="08"),2,1),"")</f>
        <v>1</v>
      </c>
      <c r="AP65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7" s="224" t="str">
        <f>IFERROR(IF(1*LEFT(SecondaryTransport[[#This Row],[Bale_ID]],1)=5,SecondaryTransport[[#This Row],[Ton-Miles]]*SecondaryTransport[[#This Row],[Cost_Per_Ton-Mile]],""),"")</f>
        <v/>
      </c>
      <c r="AS657" s="224" t="str">
        <f>IFERROR(IF(SecondaryTransport[[#This Row],[Container_Transfer]]="",(SecondaryTransport[[#This Row],[Ton-Miles]]*SecondaryTransport[[#This Row],[Cost_Per_Ton-Mile]]),""),"")</f>
        <v/>
      </c>
    </row>
    <row r="658" spans="12:45" ht="15" x14ac:dyDescent="0.25">
      <c r="L658" s="446" t="s">
        <v>876</v>
      </c>
      <c r="M658" s="446">
        <v>4</v>
      </c>
      <c r="N658" s="446">
        <v>3</v>
      </c>
      <c r="O658" s="448" t="s">
        <v>700</v>
      </c>
      <c r="P658" s="449" t="s">
        <v>706</v>
      </c>
      <c r="Q658" s="449"/>
      <c r="R658" s="449"/>
      <c r="S658" s="449" t="s">
        <v>872</v>
      </c>
      <c r="T658" s="449" t="s">
        <v>1025</v>
      </c>
      <c r="U658" s="452">
        <v>14499.363218347644</v>
      </c>
      <c r="V6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1449936.3218347644</v>
      </c>
      <c r="W658" s="272">
        <f>IFERROR(SUMIFS(TransUnitCost[Miles],TransUnitCost[Grouping_ID],TransTonsShort[[#This Row],[Grouping_ID]],TransUnitCost[Transp_ID],TransTonsShort[[#This Row],[Transp_ID]])*TransTonsShort[[#This Row],[Trans_Tons_All]]/TransTonsShort[[#This Row],[Trans_Tons_All]],"")</f>
        <v>250</v>
      </c>
      <c r="X658" s="386" t="str">
        <f>TransTonsShort[[#This Row],[Grouping_ID]]&amp;"-"&amp;TransTonsShort[[#This Row],[Sector_ID]]</f>
        <v>4-3</v>
      </c>
      <c r="Y6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8" s="421">
        <f>INDEX(LandfillFees[Disposal Tip Fee 2025],MATCH(TransTonsShort[[#This Row],[Grouping_ID]],LandfillFees[Grouping_ID],0))</f>
        <v>72.030938699729589</v>
      </c>
      <c r="AA658" s="102">
        <f>IF(OR(TransTonsShort[[#This Row],[CollectionStream_ID]]="03",TransTonsShort[[#This Row],[CollectionStream_ID]]="04",TransTonsShort[[#This Row],[CollectionStream_ID]]="13"),0,TransTonsShort[[#This Row],[Trans_Tons_All]]*TransTonsShort[[#This Row],[Disposal_Fee]])</f>
        <v>1044402.743165913</v>
      </c>
      <c r="AF658" s="446" t="s">
        <v>1831</v>
      </c>
      <c r="AG658" s="181" t="str">
        <f>LEFT(SecondaryTransport[[#This Row],[Scenario_MRF_Bale_ID]],2)</f>
        <v>S3</v>
      </c>
      <c r="AH658" s="181" t="str">
        <f>LEFT(RIGHT(SecondaryTransport[[#This Row],[Scenario_MRF_Bale_ID]],10),2)</f>
        <v>03</v>
      </c>
      <c r="AI658" s="181" t="str">
        <f>INDEX(MRFs[MRF_Name],MATCH(SecondaryTransport[[#This Row],[MRF_ID]],MRFs[MRF_ID],0))</f>
        <v>5 MRFs for SS with fiber upgrades (Portland)</v>
      </c>
      <c r="AJ658" s="181" t="str">
        <f>RIGHT(SecondaryTransport[[#This Row],[Scenario_MRF_Bale_ID]],7)</f>
        <v>5000-02</v>
      </c>
      <c r="AK658" s="181" t="str">
        <f>INDEX(Bales[Bale_Name],MATCH(SecondaryTransport[[#This Row],[Bale_ID]],Bales[Bale_ID],0))</f>
        <v>Glass transferred from MRFs</v>
      </c>
      <c r="AL658" s="443">
        <f>INDEX(BaleMover[Total_Baled_tons],MATCH(SecondaryTransport[[#This Row],[Scenario_MRF_Bale_ID]],BaleMover[Scenario_MRF_Bale_ID],0))</f>
        <v>0</v>
      </c>
      <c r="AM658" s="443">
        <f>IF(INDEX(BaleMover[Miles],MATCH(SecondaryTransport[[#This Row],[Scenario_MRF_Bale_ID]],BaleMover[Scenario_MRF_Bale_ID],0))="",0,INDEX(BaleMover[Miles],MATCH(SecondaryTransport[[#This Row],[Scenario_MRF_Bale_ID]],BaleMover[Scenario_MRF_Bale_ID],0)))</f>
        <v>0</v>
      </c>
      <c r="AN658" s="251">
        <f>IF(SecondaryTransport[[#This Row],[Bale_ID]]="9000-01","costs elsewhere",SecondaryTransport[[#This Row],[Total_Baled_tons]]*SecondaryTransport[[#This Row],[Miles]])</f>
        <v>0</v>
      </c>
      <c r="AO658" s="352">
        <f>IF(LEFT(SecondaryTransport[[#This Row],[Bale_ID]],1)*1=5,IF(OR(SecondaryTransport[[#This Row],[MRF_ID]]="02",SecondaryTransport[[#This Row],[MRF_ID]]="08"),2,1),"")</f>
        <v>1</v>
      </c>
      <c r="AP65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5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58" s="224" t="str">
        <f>IFERROR(IF(1*LEFT(SecondaryTransport[[#This Row],[Bale_ID]],1)=5,SecondaryTransport[[#This Row],[Ton-Miles]]*SecondaryTransport[[#This Row],[Cost_Per_Ton-Mile]],""),"")</f>
        <v/>
      </c>
      <c r="AS658" s="224" t="str">
        <f>IFERROR(IF(SecondaryTransport[[#This Row],[Container_Transfer]]="",(SecondaryTransport[[#This Row],[Ton-Miles]]*SecondaryTransport[[#This Row],[Cost_Per_Ton-Mile]]),""),"")</f>
        <v/>
      </c>
    </row>
    <row r="659" spans="12:45" ht="15" x14ac:dyDescent="0.25">
      <c r="L659" s="446" t="s">
        <v>876</v>
      </c>
      <c r="M659" s="446">
        <v>1</v>
      </c>
      <c r="N659" s="446">
        <v>3</v>
      </c>
      <c r="O659" s="448" t="s">
        <v>748</v>
      </c>
      <c r="P659" s="449" t="s">
        <v>719</v>
      </c>
      <c r="Q659" s="449"/>
      <c r="R659" s="449"/>
      <c r="S659" s="449" t="s">
        <v>765</v>
      </c>
      <c r="T659" s="449" t="s">
        <v>1055</v>
      </c>
      <c r="U659" s="452">
        <v>0</v>
      </c>
      <c r="V6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59" s="272" t="str">
        <f>IFERROR(SUMIFS(TransUnitCost[Miles],TransUnitCost[Grouping_ID],TransTonsShort[[#This Row],[Grouping_ID]],TransUnitCost[Transp_ID],TransTonsShort[[#This Row],[Transp_ID]])*TransTonsShort[[#This Row],[Trans_Tons_All]]/TransTonsShort[[#This Row],[Trans_Tons_All]],"")</f>
        <v/>
      </c>
      <c r="X659" s="386" t="str">
        <f>TransTonsShort[[#This Row],[Grouping_ID]]&amp;"-"&amp;TransTonsShort[[#This Row],[Sector_ID]]</f>
        <v>1-3</v>
      </c>
      <c r="Y6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59" s="421">
        <f>INDEX(LandfillFees[Disposal Tip Fee 2025],MATCH(TransTonsShort[[#This Row],[Grouping_ID]],LandfillFees[Grouping_ID],0))</f>
        <v>134.68</v>
      </c>
      <c r="AA659" s="102">
        <f>IF(OR(TransTonsShort[[#This Row],[CollectionStream_ID]]="03",TransTonsShort[[#This Row],[CollectionStream_ID]]="04",TransTonsShort[[#This Row],[CollectionStream_ID]]="13"),0,TransTonsShort[[#This Row],[Trans_Tons_All]]*TransTonsShort[[#This Row],[Disposal_Fee]])</f>
        <v>0</v>
      </c>
      <c r="AF659" s="446" t="s">
        <v>1832</v>
      </c>
      <c r="AG659" s="181" t="str">
        <f>LEFT(SecondaryTransport[[#This Row],[Scenario_MRF_Bale_ID]],2)</f>
        <v>S0</v>
      </c>
      <c r="AH659" s="181" t="str">
        <f>LEFT(RIGHT(SecondaryTransport[[#This Row],[Scenario_MRF_Bale_ID]],10),2)</f>
        <v>04</v>
      </c>
      <c r="AI659" s="181" t="str">
        <f>INDEX(MRFs[MRF_Name],MATCH(SecondaryTransport[[#This Row],[MRF_ID]],MRFs[MRF_ID],0))</f>
        <v>1 MRF for SS with fiber and container upgrades (Portland)</v>
      </c>
      <c r="AJ659" s="181" t="str">
        <f>RIGHT(SecondaryTransport[[#This Row],[Scenario_MRF_Bale_ID]],7)</f>
        <v>5000-02</v>
      </c>
      <c r="AK659" s="181" t="str">
        <f>INDEX(Bales[Bale_Name],MATCH(SecondaryTransport[[#This Row],[Bale_ID]],Bales[Bale_ID],0))</f>
        <v>Glass transferred from MRFs</v>
      </c>
      <c r="AL659" s="443">
        <f>INDEX(BaleMover[Total_Baled_tons],MATCH(SecondaryTransport[[#This Row],[Scenario_MRF_Bale_ID]],BaleMover[Scenario_MRF_Bale_ID],0))</f>
        <v>22823.288497576581</v>
      </c>
      <c r="AM659" s="443">
        <f>IF(INDEX(BaleMover[Miles],MATCH(SecondaryTransport[[#This Row],[Scenario_MRF_Bale_ID]],BaleMover[Scenario_MRF_Bale_ID],0))="",0,INDEX(BaleMover[Miles],MATCH(SecondaryTransport[[#This Row],[Scenario_MRF_Bale_ID]],BaleMover[Scenario_MRF_Bale_ID],0)))</f>
        <v>20</v>
      </c>
      <c r="AN659" s="251">
        <f>IF(SecondaryTransport[[#This Row],[Bale_ID]]="9000-01","costs elsewhere",SecondaryTransport[[#This Row],[Total_Baled_tons]]*SecondaryTransport[[#This Row],[Miles]])</f>
        <v>456465.76995153161</v>
      </c>
      <c r="AO659" s="352">
        <f>IF(LEFT(SecondaryTransport[[#This Row],[Bale_ID]],1)*1=5,IF(OR(SecondaryTransport[[#This Row],[MRF_ID]]="02",SecondaryTransport[[#This Row],[MRF_ID]]="08"),2,1),"")</f>
        <v>1</v>
      </c>
      <c r="AP65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5000-02</v>
      </c>
      <c r="AQ659"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0.97</v>
      </c>
      <c r="AR659" s="224">
        <f>IFERROR(IF(1*LEFT(SecondaryTransport[[#This Row],[Bale_ID]],1)=5,SecondaryTransport[[#This Row],[Ton-Miles]]*SecondaryTransport[[#This Row],[Cost_Per_Ton-Mile]],""),"")</f>
        <v>442771.79685298563</v>
      </c>
      <c r="AS659" s="224" t="str">
        <f>IFERROR(IF(SecondaryTransport[[#This Row],[Container_Transfer]]="",(SecondaryTransport[[#This Row],[Ton-Miles]]*SecondaryTransport[[#This Row],[Cost_Per_Ton-Mile]]),""),"")</f>
        <v/>
      </c>
    </row>
    <row r="660" spans="12:45" ht="15" x14ac:dyDescent="0.25">
      <c r="L660" s="446" t="s">
        <v>876</v>
      </c>
      <c r="M660" s="446">
        <v>2</v>
      </c>
      <c r="N660" s="446">
        <v>3</v>
      </c>
      <c r="O660" s="448" t="s">
        <v>748</v>
      </c>
      <c r="P660" s="449" t="s">
        <v>719</v>
      </c>
      <c r="Q660" s="449"/>
      <c r="R660" s="449"/>
      <c r="S660" s="449" t="s">
        <v>765</v>
      </c>
      <c r="T660" s="449" t="s">
        <v>1055</v>
      </c>
      <c r="U660" s="452">
        <v>0</v>
      </c>
      <c r="V6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0" s="272" t="str">
        <f>IFERROR(SUMIFS(TransUnitCost[Miles],TransUnitCost[Grouping_ID],TransTonsShort[[#This Row],[Grouping_ID]],TransUnitCost[Transp_ID],TransTonsShort[[#This Row],[Transp_ID]])*TransTonsShort[[#This Row],[Trans_Tons_All]]/TransTonsShort[[#This Row],[Trans_Tons_All]],"")</f>
        <v/>
      </c>
      <c r="X660" s="386" t="str">
        <f>TransTonsShort[[#This Row],[Grouping_ID]]&amp;"-"&amp;TransTonsShort[[#This Row],[Sector_ID]]</f>
        <v>2-3</v>
      </c>
      <c r="Y6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0" s="421">
        <f>INDEX(LandfillFees[Disposal Tip Fee 2025],MATCH(TransTonsShort[[#This Row],[Grouping_ID]],LandfillFees[Grouping_ID],0))</f>
        <v>72.030938699729589</v>
      </c>
      <c r="AA660" s="102">
        <f>IF(OR(TransTonsShort[[#This Row],[CollectionStream_ID]]="03",TransTonsShort[[#This Row],[CollectionStream_ID]]="04",TransTonsShort[[#This Row],[CollectionStream_ID]]="13"),0,TransTonsShort[[#This Row],[Trans_Tons_All]]*TransTonsShort[[#This Row],[Disposal_Fee]])</f>
        <v>0</v>
      </c>
      <c r="AF660" s="446" t="s">
        <v>1833</v>
      </c>
      <c r="AG660" s="181" t="str">
        <f>LEFT(SecondaryTransport[[#This Row],[Scenario_MRF_Bale_ID]],2)</f>
        <v>S1</v>
      </c>
      <c r="AH660" s="181" t="str">
        <f>LEFT(RIGHT(SecondaryTransport[[#This Row],[Scenario_MRF_Bale_ID]],10),2)</f>
        <v>04</v>
      </c>
      <c r="AI660" s="181" t="str">
        <f>INDEX(MRFs[MRF_Name],MATCH(SecondaryTransport[[#This Row],[MRF_ID]],MRFs[MRF_ID],0))</f>
        <v>1 MRF for SS with fiber and container upgrades (Portland)</v>
      </c>
      <c r="AJ660" s="181" t="str">
        <f>RIGHT(SecondaryTransport[[#This Row],[Scenario_MRF_Bale_ID]],7)</f>
        <v>5000-02</v>
      </c>
      <c r="AK660" s="181" t="str">
        <f>INDEX(Bales[Bale_Name],MATCH(SecondaryTransport[[#This Row],[Bale_ID]],Bales[Bale_ID],0))</f>
        <v>Glass transferred from MRFs</v>
      </c>
      <c r="AL660" s="443">
        <f>INDEX(BaleMover[Total_Baled_tons],MATCH(SecondaryTransport[[#This Row],[Scenario_MRF_Bale_ID]],BaleMover[Scenario_MRF_Bale_ID],0))</f>
        <v>22823.288497576581</v>
      </c>
      <c r="AM660" s="443">
        <f>IF(INDEX(BaleMover[Miles],MATCH(SecondaryTransport[[#This Row],[Scenario_MRF_Bale_ID]],BaleMover[Scenario_MRF_Bale_ID],0))="",0,INDEX(BaleMover[Miles],MATCH(SecondaryTransport[[#This Row],[Scenario_MRF_Bale_ID]],BaleMover[Scenario_MRF_Bale_ID],0)))</f>
        <v>20</v>
      </c>
      <c r="AN660" s="251">
        <f>IF(SecondaryTransport[[#This Row],[Bale_ID]]="9000-01","costs elsewhere",SecondaryTransport[[#This Row],[Total_Baled_tons]]*SecondaryTransport[[#This Row],[Miles]])</f>
        <v>456465.76995153161</v>
      </c>
      <c r="AO660" s="352">
        <f>IF(LEFT(SecondaryTransport[[#This Row],[Bale_ID]],1)*1=5,IF(OR(SecondaryTransport[[#This Row],[MRF_ID]]="02",SecondaryTransport[[#This Row],[MRF_ID]]="08"),2,1),"")</f>
        <v>1</v>
      </c>
      <c r="AP66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5000-02</v>
      </c>
      <c r="AQ660"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0.97</v>
      </c>
      <c r="AR660" s="224">
        <f>IFERROR(IF(1*LEFT(SecondaryTransport[[#This Row],[Bale_ID]],1)=5,SecondaryTransport[[#This Row],[Ton-Miles]]*SecondaryTransport[[#This Row],[Cost_Per_Ton-Mile]],""),"")</f>
        <v>442771.79685298563</v>
      </c>
      <c r="AS660" s="224" t="str">
        <f>IFERROR(IF(SecondaryTransport[[#This Row],[Container_Transfer]]="",(SecondaryTransport[[#This Row],[Ton-Miles]]*SecondaryTransport[[#This Row],[Cost_Per_Ton-Mile]]),""),"")</f>
        <v/>
      </c>
    </row>
    <row r="661" spans="12:45" ht="15" x14ac:dyDescent="0.25">
      <c r="L661" s="446" t="s">
        <v>876</v>
      </c>
      <c r="M661" s="446">
        <v>3</v>
      </c>
      <c r="N661" s="446">
        <v>3</v>
      </c>
      <c r="O661" s="448" t="s">
        <v>748</v>
      </c>
      <c r="P661" s="449" t="s">
        <v>719</v>
      </c>
      <c r="Q661" s="449"/>
      <c r="R661" s="449"/>
      <c r="S661" s="449" t="s">
        <v>765</v>
      </c>
      <c r="T661" s="449" t="s">
        <v>1055</v>
      </c>
      <c r="U661" s="452">
        <v>0</v>
      </c>
      <c r="V6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1" s="272" t="str">
        <f>IFERROR(SUMIFS(TransUnitCost[Miles],TransUnitCost[Grouping_ID],TransTonsShort[[#This Row],[Grouping_ID]],TransUnitCost[Transp_ID],TransTonsShort[[#This Row],[Transp_ID]])*TransTonsShort[[#This Row],[Trans_Tons_All]]/TransTonsShort[[#This Row],[Trans_Tons_All]],"")</f>
        <v/>
      </c>
      <c r="X661" s="386" t="str">
        <f>TransTonsShort[[#This Row],[Grouping_ID]]&amp;"-"&amp;TransTonsShort[[#This Row],[Sector_ID]]</f>
        <v>3-3</v>
      </c>
      <c r="Y6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1" s="421">
        <f>INDEX(LandfillFees[Disposal Tip Fee 2025],MATCH(TransTonsShort[[#This Row],[Grouping_ID]],LandfillFees[Grouping_ID],0))</f>
        <v>72.030938699729589</v>
      </c>
      <c r="AA661" s="102">
        <f>IF(OR(TransTonsShort[[#This Row],[CollectionStream_ID]]="03",TransTonsShort[[#This Row],[CollectionStream_ID]]="04",TransTonsShort[[#This Row],[CollectionStream_ID]]="13"),0,TransTonsShort[[#This Row],[Trans_Tons_All]]*TransTonsShort[[#This Row],[Disposal_Fee]])</f>
        <v>0</v>
      </c>
      <c r="AF661" s="446" t="s">
        <v>1834</v>
      </c>
      <c r="AG661" s="181" t="str">
        <f>LEFT(SecondaryTransport[[#This Row],[Scenario_MRF_Bale_ID]],2)</f>
        <v>S2</v>
      </c>
      <c r="AH661" s="181" t="str">
        <f>LEFT(RIGHT(SecondaryTransport[[#This Row],[Scenario_MRF_Bale_ID]],10),2)</f>
        <v>04</v>
      </c>
      <c r="AI661" s="181" t="str">
        <f>INDEX(MRFs[MRF_Name],MATCH(SecondaryTransport[[#This Row],[MRF_ID]],MRFs[MRF_ID],0))</f>
        <v>1 MRF for SS with fiber and container upgrades (Portland)</v>
      </c>
      <c r="AJ661" s="181" t="str">
        <f>RIGHT(SecondaryTransport[[#This Row],[Scenario_MRF_Bale_ID]],7)</f>
        <v>5000-02</v>
      </c>
      <c r="AK661" s="181" t="str">
        <f>INDEX(Bales[Bale_Name],MATCH(SecondaryTransport[[#This Row],[Bale_ID]],Bales[Bale_ID],0))</f>
        <v>Glass transferred from MRFs</v>
      </c>
      <c r="AL661" s="443">
        <f>INDEX(BaleMover[Total_Baled_tons],MATCH(SecondaryTransport[[#This Row],[Scenario_MRF_Bale_ID]],BaleMover[Scenario_MRF_Bale_ID],0))</f>
        <v>24767.180771452891</v>
      </c>
      <c r="AM661" s="443">
        <f>IF(INDEX(BaleMover[Miles],MATCH(SecondaryTransport[[#This Row],[Scenario_MRF_Bale_ID]],BaleMover[Scenario_MRF_Bale_ID],0))="",0,INDEX(BaleMover[Miles],MATCH(SecondaryTransport[[#This Row],[Scenario_MRF_Bale_ID]],BaleMover[Scenario_MRF_Bale_ID],0)))</f>
        <v>20</v>
      </c>
      <c r="AN661" s="251">
        <f>IF(SecondaryTransport[[#This Row],[Bale_ID]]="9000-01","costs elsewhere",SecondaryTransport[[#This Row],[Total_Baled_tons]]*SecondaryTransport[[#This Row],[Miles]])</f>
        <v>495343.61542905786</v>
      </c>
      <c r="AO661" s="352">
        <f>IF(LEFT(SecondaryTransport[[#This Row],[Bale_ID]],1)*1=5,IF(OR(SecondaryTransport[[#This Row],[MRF_ID]]="02",SecondaryTransport[[#This Row],[MRF_ID]]="08"),2,1),"")</f>
        <v>1</v>
      </c>
      <c r="AP66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5000-02</v>
      </c>
      <c r="AQ661"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0.97</v>
      </c>
      <c r="AR661" s="224">
        <f>IFERROR(IF(1*LEFT(SecondaryTransport[[#This Row],[Bale_ID]],1)=5,SecondaryTransport[[#This Row],[Ton-Miles]]*SecondaryTransport[[#This Row],[Cost_Per_Ton-Mile]],""),"")</f>
        <v>480483.30696618609</v>
      </c>
      <c r="AS661" s="224" t="str">
        <f>IFERROR(IF(SecondaryTransport[[#This Row],[Container_Transfer]]="",(SecondaryTransport[[#This Row],[Ton-Miles]]*SecondaryTransport[[#This Row],[Cost_Per_Ton-Mile]]),""),"")</f>
        <v/>
      </c>
    </row>
    <row r="662" spans="12:45" ht="15" x14ac:dyDescent="0.25">
      <c r="L662" s="446" t="s">
        <v>876</v>
      </c>
      <c r="M662" s="446">
        <v>4</v>
      </c>
      <c r="N662" s="446">
        <v>3</v>
      </c>
      <c r="O662" s="448" t="s">
        <v>748</v>
      </c>
      <c r="P662" s="449" t="s">
        <v>719</v>
      </c>
      <c r="Q662" s="449"/>
      <c r="R662" s="449"/>
      <c r="S662" s="449" t="s">
        <v>765</v>
      </c>
      <c r="T662" s="449" t="s">
        <v>1055</v>
      </c>
      <c r="U662" s="452">
        <v>0</v>
      </c>
      <c r="V6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2" s="272" t="str">
        <f>IFERROR(SUMIFS(TransUnitCost[Miles],TransUnitCost[Grouping_ID],TransTonsShort[[#This Row],[Grouping_ID]],TransUnitCost[Transp_ID],TransTonsShort[[#This Row],[Transp_ID]])*TransTonsShort[[#This Row],[Trans_Tons_All]]/TransTonsShort[[#This Row],[Trans_Tons_All]],"")</f>
        <v/>
      </c>
      <c r="X662" s="386" t="str">
        <f>TransTonsShort[[#This Row],[Grouping_ID]]&amp;"-"&amp;TransTonsShort[[#This Row],[Sector_ID]]</f>
        <v>4-3</v>
      </c>
      <c r="Y6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2" s="421">
        <f>INDEX(LandfillFees[Disposal Tip Fee 2025],MATCH(TransTonsShort[[#This Row],[Grouping_ID]],LandfillFees[Grouping_ID],0))</f>
        <v>72.030938699729589</v>
      </c>
      <c r="AA662" s="102">
        <f>IF(OR(TransTonsShort[[#This Row],[CollectionStream_ID]]="03",TransTonsShort[[#This Row],[CollectionStream_ID]]="04",TransTonsShort[[#This Row],[CollectionStream_ID]]="13"),0,TransTonsShort[[#This Row],[Trans_Tons_All]]*TransTonsShort[[#This Row],[Disposal_Fee]])</f>
        <v>0</v>
      </c>
      <c r="AF662" s="446" t="s">
        <v>1835</v>
      </c>
      <c r="AG662" s="181" t="str">
        <f>LEFT(SecondaryTransport[[#This Row],[Scenario_MRF_Bale_ID]],2)</f>
        <v>S3</v>
      </c>
      <c r="AH662" s="181" t="str">
        <f>LEFT(RIGHT(SecondaryTransport[[#This Row],[Scenario_MRF_Bale_ID]],10),2)</f>
        <v>04</v>
      </c>
      <c r="AI662" s="181" t="str">
        <f>INDEX(MRFs[MRF_Name],MATCH(SecondaryTransport[[#This Row],[MRF_ID]],MRFs[MRF_ID],0))</f>
        <v>1 MRF for SS with fiber and container upgrades (Portland)</v>
      </c>
      <c r="AJ662" s="181" t="str">
        <f>RIGHT(SecondaryTransport[[#This Row],[Scenario_MRF_Bale_ID]],7)</f>
        <v>5000-02</v>
      </c>
      <c r="AK662" s="181" t="str">
        <f>INDEX(Bales[Bale_Name],MATCH(SecondaryTransport[[#This Row],[Bale_ID]],Bales[Bale_ID],0))</f>
        <v>Glass transferred from MRFs</v>
      </c>
      <c r="AL662" s="443">
        <f>INDEX(BaleMover[Total_Baled_tons],MATCH(SecondaryTransport[[#This Row],[Scenario_MRF_Bale_ID]],BaleMover[Scenario_MRF_Bale_ID],0))</f>
        <v>24767.180771452891</v>
      </c>
      <c r="AM662" s="443">
        <f>IF(INDEX(BaleMover[Miles],MATCH(SecondaryTransport[[#This Row],[Scenario_MRF_Bale_ID]],BaleMover[Scenario_MRF_Bale_ID],0))="",0,INDEX(BaleMover[Miles],MATCH(SecondaryTransport[[#This Row],[Scenario_MRF_Bale_ID]],BaleMover[Scenario_MRF_Bale_ID],0)))</f>
        <v>20</v>
      </c>
      <c r="AN662" s="251">
        <f>IF(SecondaryTransport[[#This Row],[Bale_ID]]="9000-01","costs elsewhere",SecondaryTransport[[#This Row],[Total_Baled_tons]]*SecondaryTransport[[#This Row],[Miles]])</f>
        <v>495343.61542905786</v>
      </c>
      <c r="AO662" s="352">
        <f>IF(LEFT(SecondaryTransport[[#This Row],[Bale_ID]],1)*1=5,IF(OR(SecondaryTransport[[#This Row],[MRF_ID]]="02",SecondaryTransport[[#This Row],[MRF_ID]]="08"),2,1),"")</f>
        <v>1</v>
      </c>
      <c r="AP66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5000-02</v>
      </c>
      <c r="AQ662"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0.97</v>
      </c>
      <c r="AR662" s="224">
        <f>IFERROR(IF(1*LEFT(SecondaryTransport[[#This Row],[Bale_ID]],1)=5,SecondaryTransport[[#This Row],[Ton-Miles]]*SecondaryTransport[[#This Row],[Cost_Per_Ton-Mile]],""),"")</f>
        <v>480483.30696618609</v>
      </c>
      <c r="AS662" s="224" t="str">
        <f>IFERROR(IF(SecondaryTransport[[#This Row],[Container_Transfer]]="",(SecondaryTransport[[#This Row],[Ton-Miles]]*SecondaryTransport[[#This Row],[Cost_Per_Ton-Mile]]),""),"")</f>
        <v/>
      </c>
    </row>
    <row r="663" spans="12:45" ht="15" x14ac:dyDescent="0.25">
      <c r="L663" s="446" t="s">
        <v>876</v>
      </c>
      <c r="M663" s="446">
        <v>1</v>
      </c>
      <c r="N663" s="446">
        <v>3</v>
      </c>
      <c r="O663" s="448" t="s">
        <v>748</v>
      </c>
      <c r="P663" s="449" t="s">
        <v>700</v>
      </c>
      <c r="Q663" s="449"/>
      <c r="R663" s="449"/>
      <c r="S663" s="449" t="s">
        <v>765</v>
      </c>
      <c r="T663" s="449" t="s">
        <v>701</v>
      </c>
      <c r="U663" s="452">
        <v>0</v>
      </c>
      <c r="V6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3" s="272" t="str">
        <f>IFERROR(SUMIFS(TransUnitCost[Miles],TransUnitCost[Grouping_ID],TransTonsShort[[#This Row],[Grouping_ID]],TransUnitCost[Transp_ID],TransTonsShort[[#This Row],[Transp_ID]])*TransTonsShort[[#This Row],[Trans_Tons_All]]/TransTonsShort[[#This Row],[Trans_Tons_All]],"")</f>
        <v/>
      </c>
      <c r="X663" s="386" t="str">
        <f>TransTonsShort[[#This Row],[Grouping_ID]]&amp;"-"&amp;TransTonsShort[[#This Row],[Sector_ID]]</f>
        <v>1-3</v>
      </c>
      <c r="Y6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3" s="421">
        <f>INDEX(LandfillFees[Disposal Tip Fee 2025],MATCH(TransTonsShort[[#This Row],[Grouping_ID]],LandfillFees[Grouping_ID],0))</f>
        <v>134.68</v>
      </c>
      <c r="AA663" s="102">
        <f>IF(OR(TransTonsShort[[#This Row],[CollectionStream_ID]]="03",TransTonsShort[[#This Row],[CollectionStream_ID]]="04",TransTonsShort[[#This Row],[CollectionStream_ID]]="13"),0,TransTonsShort[[#This Row],[Trans_Tons_All]]*TransTonsShort[[#This Row],[Disposal_Fee]])</f>
        <v>0</v>
      </c>
      <c r="AF663" s="446" t="s">
        <v>1860</v>
      </c>
      <c r="AG663" s="181" t="str">
        <f>LEFT(SecondaryTransport[[#This Row],[Scenario_MRF_Bale_ID]],2)</f>
        <v>S4</v>
      </c>
      <c r="AH663" s="181" t="str">
        <f>LEFT(RIGHT(SecondaryTransport[[#This Row],[Scenario_MRF_Bale_ID]],10),2)</f>
        <v>04</v>
      </c>
      <c r="AI663" s="181" t="str">
        <f>INDEX(MRFs[MRF_Name],MATCH(SecondaryTransport[[#This Row],[MRF_ID]],MRFs[MRF_ID],0))</f>
        <v>1 MRF for SS with fiber and container upgrades (Portland)</v>
      </c>
      <c r="AJ663" s="181" t="str">
        <f>RIGHT(SecondaryTransport[[#This Row],[Scenario_MRF_Bale_ID]],7)</f>
        <v>5000-02</v>
      </c>
      <c r="AK663" s="181" t="str">
        <f>INDEX(Bales[Bale_Name],MATCH(SecondaryTransport[[#This Row],[Bale_ID]],Bales[Bale_ID],0))</f>
        <v>Glass transferred from MRFs</v>
      </c>
      <c r="AL663" s="443">
        <f>INDEX(BaleMover[Total_Baled_tons],MATCH(SecondaryTransport[[#This Row],[Scenario_MRF_Bale_ID]],BaleMover[Scenario_MRF_Bale_ID],0))</f>
        <v>24767.180771452891</v>
      </c>
      <c r="AM663" s="443">
        <f>IF(INDEX(BaleMover[Miles],MATCH(SecondaryTransport[[#This Row],[Scenario_MRF_Bale_ID]],BaleMover[Scenario_MRF_Bale_ID],0))="",0,INDEX(BaleMover[Miles],MATCH(SecondaryTransport[[#This Row],[Scenario_MRF_Bale_ID]],BaleMover[Scenario_MRF_Bale_ID],0)))</f>
        <v>20</v>
      </c>
      <c r="AN663" s="251">
        <f>IF(SecondaryTransport[[#This Row],[Bale_ID]]="9000-01","costs elsewhere",SecondaryTransport[[#This Row],[Total_Baled_tons]]*SecondaryTransport[[#This Row],[Miles]])</f>
        <v>495343.61542905786</v>
      </c>
      <c r="AO663" s="352">
        <f>IF(LEFT(SecondaryTransport[[#This Row],[Bale_ID]],1)*1=5,IF(OR(SecondaryTransport[[#This Row],[MRF_ID]]="02",SecondaryTransport[[#This Row],[MRF_ID]]="08"),2,1),"")</f>
        <v>1</v>
      </c>
      <c r="AP663"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5000-02</v>
      </c>
      <c r="AQ663" s="191">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0.97</v>
      </c>
      <c r="AR663" s="224">
        <f>IFERROR(IF(1*LEFT(SecondaryTransport[[#This Row],[Bale_ID]],1)=5,SecondaryTransport[[#This Row],[Ton-Miles]]*SecondaryTransport[[#This Row],[Cost_Per_Ton-Mile]],""),"")</f>
        <v>480483.30696618609</v>
      </c>
      <c r="AS663" s="224" t="str">
        <f>IFERROR(IF(SecondaryTransport[[#This Row],[Container_Transfer]]="",(SecondaryTransport[[#This Row],[Ton-Miles]]*SecondaryTransport[[#This Row],[Cost_Per_Ton-Mile]]),""),"")</f>
        <v/>
      </c>
    </row>
    <row r="664" spans="12:45" ht="15" x14ac:dyDescent="0.25">
      <c r="L664" s="446" t="s">
        <v>876</v>
      </c>
      <c r="M664" s="446">
        <v>2</v>
      </c>
      <c r="N664" s="446">
        <v>3</v>
      </c>
      <c r="O664" s="448" t="s">
        <v>748</v>
      </c>
      <c r="P664" s="449" t="s">
        <v>700</v>
      </c>
      <c r="Q664" s="449"/>
      <c r="R664" s="449"/>
      <c r="S664" s="449" t="s">
        <v>765</v>
      </c>
      <c r="T664" s="449" t="s">
        <v>701</v>
      </c>
      <c r="U664" s="452">
        <v>0</v>
      </c>
      <c r="V6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4" s="272" t="str">
        <f>IFERROR(SUMIFS(TransUnitCost[Miles],TransUnitCost[Grouping_ID],TransTonsShort[[#This Row],[Grouping_ID]],TransUnitCost[Transp_ID],TransTonsShort[[#This Row],[Transp_ID]])*TransTonsShort[[#This Row],[Trans_Tons_All]]/TransTonsShort[[#This Row],[Trans_Tons_All]],"")</f>
        <v/>
      </c>
      <c r="X664" s="386" t="str">
        <f>TransTonsShort[[#This Row],[Grouping_ID]]&amp;"-"&amp;TransTonsShort[[#This Row],[Sector_ID]]</f>
        <v>2-3</v>
      </c>
      <c r="Y6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4" s="421">
        <f>INDEX(LandfillFees[Disposal Tip Fee 2025],MATCH(TransTonsShort[[#This Row],[Grouping_ID]],LandfillFees[Grouping_ID],0))</f>
        <v>72.030938699729589</v>
      </c>
      <c r="AA664" s="102">
        <f>IF(OR(TransTonsShort[[#This Row],[CollectionStream_ID]]="03",TransTonsShort[[#This Row],[CollectionStream_ID]]="04",TransTonsShort[[#This Row],[CollectionStream_ID]]="13"),0,TransTonsShort[[#This Row],[Trans_Tons_All]]*TransTonsShort[[#This Row],[Disposal_Fee]])</f>
        <v>0</v>
      </c>
      <c r="AF664" s="446" t="s">
        <v>1836</v>
      </c>
      <c r="AG664" s="181" t="str">
        <f>LEFT(SecondaryTransport[[#This Row],[Scenario_MRF_Bale_ID]],2)</f>
        <v>S2</v>
      </c>
      <c r="AH664" s="181" t="str">
        <f>LEFT(RIGHT(SecondaryTransport[[#This Row],[Scenario_MRF_Bale_ID]],10),2)</f>
        <v>05</v>
      </c>
      <c r="AI664" s="181" t="str">
        <f>INDEX(MRFs[MRF_Name],MATCH(SecondaryTransport[[#This Row],[MRF_ID]],MRFs[MRF_ID],0))</f>
        <v>1 CRF (BC) or 1 infeed for transferred containers (Portland)</v>
      </c>
      <c r="AJ664" s="181" t="str">
        <f>RIGHT(SecondaryTransport[[#This Row],[Scenario_MRF_Bale_ID]],7)</f>
        <v>5000-02</v>
      </c>
      <c r="AK664" s="181" t="str">
        <f>INDEX(Bales[Bale_Name],MATCH(SecondaryTransport[[#This Row],[Bale_ID]],Bales[Bale_ID],0))</f>
        <v>Glass transferred from MRFs</v>
      </c>
      <c r="AL664" s="443">
        <f>INDEX(BaleMover[Total_Baled_tons],MATCH(SecondaryTransport[[#This Row],[Scenario_MRF_Bale_ID]],BaleMover[Scenario_MRF_Bale_ID],0))</f>
        <v>0</v>
      </c>
      <c r="AM664" s="443">
        <f>IF(INDEX(BaleMover[Miles],MATCH(SecondaryTransport[[#This Row],[Scenario_MRF_Bale_ID]],BaleMover[Scenario_MRF_Bale_ID],0))="",0,INDEX(BaleMover[Miles],MATCH(SecondaryTransport[[#This Row],[Scenario_MRF_Bale_ID]],BaleMover[Scenario_MRF_Bale_ID],0)))</f>
        <v>0</v>
      </c>
      <c r="AN664" s="251">
        <f>IF(SecondaryTransport[[#This Row],[Bale_ID]]="9000-01","costs elsewhere",SecondaryTransport[[#This Row],[Total_Baled_tons]]*SecondaryTransport[[#This Row],[Miles]])</f>
        <v>0</v>
      </c>
      <c r="AO664" s="352">
        <f>IF(LEFT(SecondaryTransport[[#This Row],[Bale_ID]],1)*1=5,IF(OR(SecondaryTransport[[#This Row],[MRF_ID]]="02",SecondaryTransport[[#This Row],[MRF_ID]]="08"),2,1),"")</f>
        <v>1</v>
      </c>
      <c r="AP664"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4"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4" s="224" t="str">
        <f>IFERROR(IF(1*LEFT(SecondaryTransport[[#This Row],[Bale_ID]],1)=5,SecondaryTransport[[#This Row],[Ton-Miles]]*SecondaryTransport[[#This Row],[Cost_Per_Ton-Mile]],""),"")</f>
        <v/>
      </c>
      <c r="AS664" s="224" t="str">
        <f>IFERROR(IF(SecondaryTransport[[#This Row],[Container_Transfer]]="",(SecondaryTransport[[#This Row],[Ton-Miles]]*SecondaryTransport[[#This Row],[Cost_Per_Ton-Mile]]),""),"")</f>
        <v/>
      </c>
    </row>
    <row r="665" spans="12:45" ht="15" x14ac:dyDescent="0.25">
      <c r="L665" s="446" t="s">
        <v>876</v>
      </c>
      <c r="M665" s="446">
        <v>3</v>
      </c>
      <c r="N665" s="446">
        <v>3</v>
      </c>
      <c r="O665" s="448" t="s">
        <v>748</v>
      </c>
      <c r="P665" s="449" t="s">
        <v>700</v>
      </c>
      <c r="Q665" s="449"/>
      <c r="R665" s="449"/>
      <c r="S665" s="449" t="s">
        <v>765</v>
      </c>
      <c r="T665" s="449" t="s">
        <v>701</v>
      </c>
      <c r="U665" s="452">
        <v>0</v>
      </c>
      <c r="V6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5" s="272" t="str">
        <f>IFERROR(SUMIFS(TransUnitCost[Miles],TransUnitCost[Grouping_ID],TransTonsShort[[#This Row],[Grouping_ID]],TransUnitCost[Transp_ID],TransTonsShort[[#This Row],[Transp_ID]])*TransTonsShort[[#This Row],[Trans_Tons_All]]/TransTonsShort[[#This Row],[Trans_Tons_All]],"")</f>
        <v/>
      </c>
      <c r="X665" s="386" t="str">
        <f>TransTonsShort[[#This Row],[Grouping_ID]]&amp;"-"&amp;TransTonsShort[[#This Row],[Sector_ID]]</f>
        <v>3-3</v>
      </c>
      <c r="Y6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5" s="421">
        <f>INDEX(LandfillFees[Disposal Tip Fee 2025],MATCH(TransTonsShort[[#This Row],[Grouping_ID]],LandfillFees[Grouping_ID],0))</f>
        <v>72.030938699729589</v>
      </c>
      <c r="AA665" s="102">
        <f>IF(OR(TransTonsShort[[#This Row],[CollectionStream_ID]]="03",TransTonsShort[[#This Row],[CollectionStream_ID]]="04",TransTonsShort[[#This Row],[CollectionStream_ID]]="13"),0,TransTonsShort[[#This Row],[Trans_Tons_All]]*TransTonsShort[[#This Row],[Disposal_Fee]])</f>
        <v>0</v>
      </c>
      <c r="AF665" s="446" t="s">
        <v>1837</v>
      </c>
      <c r="AG665" s="181" t="str">
        <f>LEFT(SecondaryTransport[[#This Row],[Scenario_MRF_Bale_ID]],2)</f>
        <v>S3</v>
      </c>
      <c r="AH665" s="181" t="str">
        <f>LEFT(RIGHT(SecondaryTransport[[#This Row],[Scenario_MRF_Bale_ID]],10),2)</f>
        <v>05</v>
      </c>
      <c r="AI665" s="181" t="str">
        <f>INDEX(MRFs[MRF_Name],MATCH(SecondaryTransport[[#This Row],[MRF_ID]],MRFs[MRF_ID],0))</f>
        <v>1 CRF (BC) or 1 infeed for transferred containers (Portland)</v>
      </c>
      <c r="AJ665" s="181" t="str">
        <f>RIGHT(SecondaryTransport[[#This Row],[Scenario_MRF_Bale_ID]],7)</f>
        <v>5000-02</v>
      </c>
      <c r="AK665" s="181" t="str">
        <f>INDEX(Bales[Bale_Name],MATCH(SecondaryTransport[[#This Row],[Bale_ID]],Bales[Bale_ID],0))</f>
        <v>Glass transferred from MRFs</v>
      </c>
      <c r="AL665" s="443">
        <f>INDEX(BaleMover[Total_Baled_tons],MATCH(SecondaryTransport[[#This Row],[Scenario_MRF_Bale_ID]],BaleMover[Scenario_MRF_Bale_ID],0))</f>
        <v>0</v>
      </c>
      <c r="AM665" s="443">
        <f>IF(INDEX(BaleMover[Miles],MATCH(SecondaryTransport[[#This Row],[Scenario_MRF_Bale_ID]],BaleMover[Scenario_MRF_Bale_ID],0))="",0,INDEX(BaleMover[Miles],MATCH(SecondaryTransport[[#This Row],[Scenario_MRF_Bale_ID]],BaleMover[Scenario_MRF_Bale_ID],0)))</f>
        <v>0</v>
      </c>
      <c r="AN665" s="251">
        <f>IF(SecondaryTransport[[#This Row],[Bale_ID]]="9000-01","costs elsewhere",SecondaryTransport[[#This Row],[Total_Baled_tons]]*SecondaryTransport[[#This Row],[Miles]])</f>
        <v>0</v>
      </c>
      <c r="AO665" s="352">
        <f>IF(LEFT(SecondaryTransport[[#This Row],[Bale_ID]],1)*1=5,IF(OR(SecondaryTransport[[#This Row],[MRF_ID]]="02",SecondaryTransport[[#This Row],[MRF_ID]]="08"),2,1),"")</f>
        <v>1</v>
      </c>
      <c r="AP665"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5"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5" s="224" t="str">
        <f>IFERROR(IF(1*LEFT(SecondaryTransport[[#This Row],[Bale_ID]],1)=5,SecondaryTransport[[#This Row],[Ton-Miles]]*SecondaryTransport[[#This Row],[Cost_Per_Ton-Mile]],""),"")</f>
        <v/>
      </c>
      <c r="AS665" s="224" t="str">
        <f>IFERROR(IF(SecondaryTransport[[#This Row],[Container_Transfer]]="",(SecondaryTransport[[#This Row],[Ton-Miles]]*SecondaryTransport[[#This Row],[Cost_Per_Ton-Mile]]),""),"")</f>
        <v/>
      </c>
    </row>
    <row r="666" spans="12:45" ht="15" x14ac:dyDescent="0.25">
      <c r="L666" s="446" t="s">
        <v>876</v>
      </c>
      <c r="M666" s="446">
        <v>4</v>
      </c>
      <c r="N666" s="446">
        <v>3</v>
      </c>
      <c r="O666" s="448" t="s">
        <v>748</v>
      </c>
      <c r="P666" s="449" t="s">
        <v>700</v>
      </c>
      <c r="Q666" s="449"/>
      <c r="R666" s="449"/>
      <c r="S666" s="449" t="s">
        <v>765</v>
      </c>
      <c r="T666" s="449" t="s">
        <v>701</v>
      </c>
      <c r="U666" s="452">
        <v>0</v>
      </c>
      <c r="V6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6" s="272" t="str">
        <f>IFERROR(SUMIFS(TransUnitCost[Miles],TransUnitCost[Grouping_ID],TransTonsShort[[#This Row],[Grouping_ID]],TransUnitCost[Transp_ID],TransTonsShort[[#This Row],[Transp_ID]])*TransTonsShort[[#This Row],[Trans_Tons_All]]/TransTonsShort[[#This Row],[Trans_Tons_All]],"")</f>
        <v/>
      </c>
      <c r="X666" s="386" t="str">
        <f>TransTonsShort[[#This Row],[Grouping_ID]]&amp;"-"&amp;TransTonsShort[[#This Row],[Sector_ID]]</f>
        <v>4-3</v>
      </c>
      <c r="Y6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6" s="421">
        <f>INDEX(LandfillFees[Disposal Tip Fee 2025],MATCH(TransTonsShort[[#This Row],[Grouping_ID]],LandfillFees[Grouping_ID],0))</f>
        <v>72.030938699729589</v>
      </c>
      <c r="AA666" s="102">
        <f>IF(OR(TransTonsShort[[#This Row],[CollectionStream_ID]]="03",TransTonsShort[[#This Row],[CollectionStream_ID]]="04",TransTonsShort[[#This Row],[CollectionStream_ID]]="13"),0,TransTonsShort[[#This Row],[Trans_Tons_All]]*TransTonsShort[[#This Row],[Disposal_Fee]])</f>
        <v>0</v>
      </c>
      <c r="AF666" s="446" t="s">
        <v>1838</v>
      </c>
      <c r="AG666" s="181" t="str">
        <f>LEFT(SecondaryTransport[[#This Row],[Scenario_MRF_Bale_ID]],2)</f>
        <v>S4</v>
      </c>
      <c r="AH666" s="181" t="str">
        <f>LEFT(RIGHT(SecondaryTransport[[#This Row],[Scenario_MRF_Bale_ID]],10),2)</f>
        <v>06</v>
      </c>
      <c r="AI666" s="181" t="str">
        <f>INDEX(MRFs[MRF_Name],MATCH(SecondaryTransport[[#This Row],[MRF_ID]],MRFs[MRF_ID],0))</f>
        <v>5 MRFs for DS fiber (Portland)</v>
      </c>
      <c r="AJ666" s="181" t="str">
        <f>RIGHT(SecondaryTransport[[#This Row],[Scenario_MRF_Bale_ID]],7)</f>
        <v>5000-02</v>
      </c>
      <c r="AK666" s="181" t="str">
        <f>INDEX(Bales[Bale_Name],MATCH(SecondaryTransport[[#This Row],[Bale_ID]],Bales[Bale_ID],0))</f>
        <v>Glass transferred from MRFs</v>
      </c>
      <c r="AL666" s="443">
        <f>INDEX(BaleMover[Total_Baled_tons],MATCH(SecondaryTransport[[#This Row],[Scenario_MRF_Bale_ID]],BaleMover[Scenario_MRF_Bale_ID],0))</f>
        <v>0</v>
      </c>
      <c r="AM666" s="443">
        <f>IF(INDEX(BaleMover[Miles],MATCH(SecondaryTransport[[#This Row],[Scenario_MRF_Bale_ID]],BaleMover[Scenario_MRF_Bale_ID],0))="",0,INDEX(BaleMover[Miles],MATCH(SecondaryTransport[[#This Row],[Scenario_MRF_Bale_ID]],BaleMover[Scenario_MRF_Bale_ID],0)))</f>
        <v>0</v>
      </c>
      <c r="AN666" s="251">
        <f>IF(SecondaryTransport[[#This Row],[Bale_ID]]="9000-01","costs elsewhere",SecondaryTransport[[#This Row],[Total_Baled_tons]]*SecondaryTransport[[#This Row],[Miles]])</f>
        <v>0</v>
      </c>
      <c r="AO666" s="352">
        <f>IF(LEFT(SecondaryTransport[[#This Row],[Bale_ID]],1)*1=5,IF(OR(SecondaryTransport[[#This Row],[MRF_ID]]="02",SecondaryTransport[[#This Row],[MRF_ID]]="08"),2,1),"")</f>
        <v>1</v>
      </c>
      <c r="AP666"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6"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6" s="224" t="str">
        <f>IFERROR(IF(1*LEFT(SecondaryTransport[[#This Row],[Bale_ID]],1)=5,SecondaryTransport[[#This Row],[Ton-Miles]]*SecondaryTransport[[#This Row],[Cost_Per_Ton-Mile]],""),"")</f>
        <v/>
      </c>
      <c r="AS666" s="224" t="str">
        <f>IFERROR(IF(SecondaryTransport[[#This Row],[Container_Transfer]]="",(SecondaryTransport[[#This Row],[Ton-Miles]]*SecondaryTransport[[#This Row],[Cost_Per_Ton-Mile]]),""),"")</f>
        <v/>
      </c>
    </row>
    <row r="667" spans="12:45" ht="15" x14ac:dyDescent="0.25">
      <c r="L667" s="446" t="s">
        <v>876</v>
      </c>
      <c r="M667" s="446">
        <v>1</v>
      </c>
      <c r="N667" s="446">
        <v>3</v>
      </c>
      <c r="O667" s="446" t="s">
        <v>748</v>
      </c>
      <c r="P667" s="449" t="s">
        <v>748</v>
      </c>
      <c r="Q667" s="449"/>
      <c r="R667" s="449"/>
      <c r="S667" s="449" t="s">
        <v>765</v>
      </c>
      <c r="T667" s="449" t="s">
        <v>849</v>
      </c>
      <c r="U667" s="452">
        <v>0</v>
      </c>
      <c r="V6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7" s="272" t="str">
        <f>IFERROR(SUMIFS(TransUnitCost[Miles],TransUnitCost[Grouping_ID],TransTonsShort[[#This Row],[Grouping_ID]],TransUnitCost[Transp_ID],TransTonsShort[[#This Row],[Transp_ID]])*TransTonsShort[[#This Row],[Trans_Tons_All]]/TransTonsShort[[#This Row],[Trans_Tons_All]],"")</f>
        <v/>
      </c>
      <c r="X667" s="386" t="str">
        <f>TransTonsShort[[#This Row],[Grouping_ID]]&amp;"-"&amp;TransTonsShort[[#This Row],[Sector_ID]]</f>
        <v>1-3</v>
      </c>
      <c r="Y6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7" s="421">
        <f>INDEX(LandfillFees[Disposal Tip Fee 2025],MATCH(TransTonsShort[[#This Row],[Grouping_ID]],LandfillFees[Grouping_ID],0))</f>
        <v>134.68</v>
      </c>
      <c r="AA667" s="102">
        <f>IF(OR(TransTonsShort[[#This Row],[CollectionStream_ID]]="03",TransTonsShort[[#This Row],[CollectionStream_ID]]="04",TransTonsShort[[#This Row],[CollectionStream_ID]]="13"),0,TransTonsShort[[#This Row],[Trans_Tons_All]]*TransTonsShort[[#This Row],[Disposal_Fee]])</f>
        <v>0</v>
      </c>
      <c r="AF667" s="446" t="s">
        <v>1839</v>
      </c>
      <c r="AG667" s="181" t="str">
        <f>LEFT(SecondaryTransport[[#This Row],[Scenario_MRF_Bale_ID]],2)</f>
        <v>S4</v>
      </c>
      <c r="AH667" s="181" t="str">
        <f>LEFT(RIGHT(SecondaryTransport[[#This Row],[Scenario_MRF_Bale_ID]],10),2)</f>
        <v>07</v>
      </c>
      <c r="AI667" s="181" t="str">
        <f>INDEX(MRFs[MRF_Name],MATCH(SecondaryTransport[[#This Row],[MRF_ID]],MRFs[MRF_ID],0))</f>
        <v>1 MRF for DS with fiber and container lines (Portland)</v>
      </c>
      <c r="AJ667" s="181" t="str">
        <f>RIGHT(SecondaryTransport[[#This Row],[Scenario_MRF_Bale_ID]],7)</f>
        <v>5000-02</v>
      </c>
      <c r="AK667" s="181" t="str">
        <f>INDEX(Bales[Bale_Name],MATCH(SecondaryTransport[[#This Row],[Bale_ID]],Bales[Bale_ID],0))</f>
        <v>Glass transferred from MRFs</v>
      </c>
      <c r="AL667" s="443">
        <f>INDEX(BaleMover[Total_Baled_tons],MATCH(SecondaryTransport[[#This Row],[Scenario_MRF_Bale_ID]],BaleMover[Scenario_MRF_Bale_ID],0))</f>
        <v>0</v>
      </c>
      <c r="AM667" s="443">
        <f>IF(INDEX(BaleMover[Miles],MATCH(SecondaryTransport[[#This Row],[Scenario_MRF_Bale_ID]],BaleMover[Scenario_MRF_Bale_ID],0))="",0,INDEX(BaleMover[Miles],MATCH(SecondaryTransport[[#This Row],[Scenario_MRF_Bale_ID]],BaleMover[Scenario_MRF_Bale_ID],0)))</f>
        <v>0</v>
      </c>
      <c r="AN667" s="251">
        <f>IF(SecondaryTransport[[#This Row],[Bale_ID]]="9000-01","costs elsewhere",SecondaryTransport[[#This Row],[Total_Baled_tons]]*SecondaryTransport[[#This Row],[Miles]])</f>
        <v>0</v>
      </c>
      <c r="AO667" s="352">
        <f>IF(LEFT(SecondaryTransport[[#This Row],[Bale_ID]],1)*1=5,IF(OR(SecondaryTransport[[#This Row],[MRF_ID]]="02",SecondaryTransport[[#This Row],[MRF_ID]]="08"),2,1),"")</f>
        <v>1</v>
      </c>
      <c r="AP667"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7"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7" s="224" t="str">
        <f>IFERROR(IF(1*LEFT(SecondaryTransport[[#This Row],[Bale_ID]],1)=5,SecondaryTransport[[#This Row],[Ton-Miles]]*SecondaryTransport[[#This Row],[Cost_Per_Ton-Mile]],""),"")</f>
        <v/>
      </c>
      <c r="AS667" s="224" t="str">
        <f>IFERROR(IF(SecondaryTransport[[#This Row],[Container_Transfer]]="",(SecondaryTransport[[#This Row],[Ton-Miles]]*SecondaryTransport[[#This Row],[Cost_Per_Ton-Mile]]),""),"")</f>
        <v/>
      </c>
    </row>
    <row r="668" spans="12:45" ht="15" x14ac:dyDescent="0.25">
      <c r="L668" s="446" t="s">
        <v>876</v>
      </c>
      <c r="M668" s="446">
        <v>2</v>
      </c>
      <c r="N668" s="446">
        <v>3</v>
      </c>
      <c r="O668" s="446" t="s">
        <v>748</v>
      </c>
      <c r="P668" s="449" t="s">
        <v>748</v>
      </c>
      <c r="Q668" s="449"/>
      <c r="R668" s="449"/>
      <c r="S668" s="449" t="s">
        <v>765</v>
      </c>
      <c r="T668" s="449" t="s">
        <v>849</v>
      </c>
      <c r="U668" s="452">
        <v>0</v>
      </c>
      <c r="V6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8" s="272" t="str">
        <f>IFERROR(SUMIFS(TransUnitCost[Miles],TransUnitCost[Grouping_ID],TransTonsShort[[#This Row],[Grouping_ID]],TransUnitCost[Transp_ID],TransTonsShort[[#This Row],[Transp_ID]])*TransTonsShort[[#This Row],[Trans_Tons_All]]/TransTonsShort[[#This Row],[Trans_Tons_All]],"")</f>
        <v/>
      </c>
      <c r="X668" s="386" t="str">
        <f>TransTonsShort[[#This Row],[Grouping_ID]]&amp;"-"&amp;TransTonsShort[[#This Row],[Sector_ID]]</f>
        <v>2-3</v>
      </c>
      <c r="Y6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8" s="421">
        <f>INDEX(LandfillFees[Disposal Tip Fee 2025],MATCH(TransTonsShort[[#This Row],[Grouping_ID]],LandfillFees[Grouping_ID],0))</f>
        <v>72.030938699729589</v>
      </c>
      <c r="AA668" s="102">
        <f>IF(OR(TransTonsShort[[#This Row],[CollectionStream_ID]]="03",TransTonsShort[[#This Row],[CollectionStream_ID]]="04",TransTonsShort[[#This Row],[CollectionStream_ID]]="13"),0,TransTonsShort[[#This Row],[Trans_Tons_All]]*TransTonsShort[[#This Row],[Disposal_Fee]])</f>
        <v>0</v>
      </c>
      <c r="AF668" s="446" t="s">
        <v>1840</v>
      </c>
      <c r="AG668" s="181" t="str">
        <f>LEFT(SecondaryTransport[[#This Row],[Scenario_MRF_Bale_ID]],2)</f>
        <v>S4</v>
      </c>
      <c r="AH668" s="181" t="str">
        <f>LEFT(RIGHT(SecondaryTransport[[#This Row],[Scenario_MRF_Bale_ID]],10),2)</f>
        <v>08</v>
      </c>
      <c r="AI668" s="181" t="str">
        <f>INDEX(MRFs[MRF_Name],MATCH(SecondaryTransport[[#This Row],[MRF_ID]],MRFs[MRF_ID],0))</f>
        <v>1 MRF for DS fiber (Salem)</v>
      </c>
      <c r="AJ668" s="181" t="str">
        <f>RIGHT(SecondaryTransport[[#This Row],[Scenario_MRF_Bale_ID]],7)</f>
        <v>5000-02</v>
      </c>
      <c r="AK668" s="181" t="str">
        <f>INDEX(Bales[Bale_Name],MATCH(SecondaryTransport[[#This Row],[Bale_ID]],Bales[Bale_ID],0))</f>
        <v>Glass transferred from MRFs</v>
      </c>
      <c r="AL668" s="443">
        <f>INDEX(BaleMover[Total_Baled_tons],MATCH(SecondaryTransport[[#This Row],[Scenario_MRF_Bale_ID]],BaleMover[Scenario_MRF_Bale_ID],0))</f>
        <v>0</v>
      </c>
      <c r="AM668" s="443">
        <f>IF(INDEX(BaleMover[Miles],MATCH(SecondaryTransport[[#This Row],[Scenario_MRF_Bale_ID]],BaleMover[Scenario_MRF_Bale_ID],0))="",0,INDEX(BaleMover[Miles],MATCH(SecondaryTransport[[#This Row],[Scenario_MRF_Bale_ID]],BaleMover[Scenario_MRF_Bale_ID],0)))</f>
        <v>0</v>
      </c>
      <c r="AN668" s="251">
        <f>IF(SecondaryTransport[[#This Row],[Bale_ID]]="9000-01","costs elsewhere",SecondaryTransport[[#This Row],[Total_Baled_tons]]*SecondaryTransport[[#This Row],[Miles]])</f>
        <v>0</v>
      </c>
      <c r="AO668" s="352">
        <f>IF(LEFT(SecondaryTransport[[#This Row],[Bale_ID]],1)*1=5,IF(OR(SecondaryTransport[[#This Row],[MRF_ID]]="02",SecondaryTransport[[#This Row],[MRF_ID]]="08"),2,1),"")</f>
        <v>2</v>
      </c>
      <c r="AP668"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8"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8" s="224" t="str">
        <f>IFERROR(IF(1*LEFT(SecondaryTransport[[#This Row],[Bale_ID]],1)=5,SecondaryTransport[[#This Row],[Ton-Miles]]*SecondaryTransport[[#This Row],[Cost_Per_Ton-Mile]],""),"")</f>
        <v/>
      </c>
      <c r="AS668" s="224" t="str">
        <f>IFERROR(IF(SecondaryTransport[[#This Row],[Container_Transfer]]="",(SecondaryTransport[[#This Row],[Ton-Miles]]*SecondaryTransport[[#This Row],[Cost_Per_Ton-Mile]]),""),"")</f>
        <v/>
      </c>
    </row>
    <row r="669" spans="12:45" ht="15" x14ac:dyDescent="0.25">
      <c r="L669" s="446" t="s">
        <v>876</v>
      </c>
      <c r="M669" s="446">
        <v>3</v>
      </c>
      <c r="N669" s="446">
        <v>3</v>
      </c>
      <c r="O669" s="446" t="s">
        <v>748</v>
      </c>
      <c r="P669" s="449" t="s">
        <v>748</v>
      </c>
      <c r="Q669" s="449"/>
      <c r="R669" s="449"/>
      <c r="S669" s="449" t="s">
        <v>765</v>
      </c>
      <c r="T669" s="449" t="s">
        <v>849</v>
      </c>
      <c r="U669" s="452">
        <v>0</v>
      </c>
      <c r="V6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69" s="272" t="str">
        <f>IFERROR(SUMIFS(TransUnitCost[Miles],TransUnitCost[Grouping_ID],TransTonsShort[[#This Row],[Grouping_ID]],TransUnitCost[Transp_ID],TransTonsShort[[#This Row],[Transp_ID]])*TransTonsShort[[#This Row],[Trans_Tons_All]]/TransTonsShort[[#This Row],[Trans_Tons_All]],"")</f>
        <v/>
      </c>
      <c r="X669" s="386" t="str">
        <f>TransTonsShort[[#This Row],[Grouping_ID]]&amp;"-"&amp;TransTonsShort[[#This Row],[Sector_ID]]</f>
        <v>3-3</v>
      </c>
      <c r="Y6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69" s="421">
        <f>INDEX(LandfillFees[Disposal Tip Fee 2025],MATCH(TransTonsShort[[#This Row],[Grouping_ID]],LandfillFees[Grouping_ID],0))</f>
        <v>72.030938699729589</v>
      </c>
      <c r="AA669" s="102">
        <f>IF(OR(TransTonsShort[[#This Row],[CollectionStream_ID]]="03",TransTonsShort[[#This Row],[CollectionStream_ID]]="04",TransTonsShort[[#This Row],[CollectionStream_ID]]="13"),0,TransTonsShort[[#This Row],[Trans_Tons_All]]*TransTonsShort[[#This Row],[Disposal_Fee]])</f>
        <v>0</v>
      </c>
      <c r="AF669" s="446" t="s">
        <v>1841</v>
      </c>
      <c r="AG669" s="181" t="str">
        <f>LEFT(SecondaryTransport[[#This Row],[Scenario_MRF_Bale_ID]],2)</f>
        <v>S0</v>
      </c>
      <c r="AH669" s="181" t="str">
        <f>LEFT(RIGHT(SecondaryTransport[[#This Row],[Scenario_MRF_Bale_ID]],10),2)</f>
        <v>13</v>
      </c>
      <c r="AI669" s="181" t="str">
        <f>INDEX(MRFs[MRF_Name],MATCH(SecondaryTransport[[#This Row],[MRF_ID]],MRFs[MRF_ID],0))</f>
        <v>Directly marketed (no sorting)</v>
      </c>
      <c r="AJ669" s="181" t="str">
        <f>RIGHT(SecondaryTransport[[#This Row],[Scenario_MRF_Bale_ID]],7)</f>
        <v>5000-02</v>
      </c>
      <c r="AK669" s="181" t="str">
        <f>INDEX(Bales[Bale_Name],MATCH(SecondaryTransport[[#This Row],[Bale_ID]],Bales[Bale_ID],0))</f>
        <v>Glass transferred from MRFs</v>
      </c>
      <c r="AL669" s="443">
        <f>INDEX(BaleMover[Total_Baled_tons],MATCH(SecondaryTransport[[#This Row],[Scenario_MRF_Bale_ID]],BaleMover[Scenario_MRF_Bale_ID],0))</f>
        <v>0</v>
      </c>
      <c r="AM669" s="443">
        <f>IF(INDEX(BaleMover[Miles],MATCH(SecondaryTransport[[#This Row],[Scenario_MRF_Bale_ID]],BaleMover[Scenario_MRF_Bale_ID],0))="",0,INDEX(BaleMover[Miles],MATCH(SecondaryTransport[[#This Row],[Scenario_MRF_Bale_ID]],BaleMover[Scenario_MRF_Bale_ID],0)))</f>
        <v>0</v>
      </c>
      <c r="AN669" s="251">
        <f>IF(SecondaryTransport[[#This Row],[Bale_ID]]="9000-01","costs elsewhere",SecondaryTransport[[#This Row],[Total_Baled_tons]]*SecondaryTransport[[#This Row],[Miles]])</f>
        <v>0</v>
      </c>
      <c r="AO669" s="352">
        <f>IF(LEFT(SecondaryTransport[[#This Row],[Bale_ID]],1)*1=5,IF(OR(SecondaryTransport[[#This Row],[MRF_ID]]="02",SecondaryTransport[[#This Row],[MRF_ID]]="08"),2,1),"")</f>
        <v>1</v>
      </c>
      <c r="AP669"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69"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69" s="224" t="str">
        <f>IFERROR(IF(1*LEFT(SecondaryTransport[[#This Row],[Bale_ID]],1)=5,SecondaryTransport[[#This Row],[Ton-Miles]]*SecondaryTransport[[#This Row],[Cost_Per_Ton-Mile]],""),"")</f>
        <v/>
      </c>
      <c r="AS669" s="224" t="str">
        <f>IFERROR(IF(SecondaryTransport[[#This Row],[Container_Transfer]]="",(SecondaryTransport[[#This Row],[Ton-Miles]]*SecondaryTransport[[#This Row],[Cost_Per_Ton-Mile]]),""),"")</f>
        <v/>
      </c>
    </row>
    <row r="670" spans="12:45" ht="15" x14ac:dyDescent="0.25">
      <c r="L670" s="446" t="s">
        <v>876</v>
      </c>
      <c r="M670" s="446">
        <v>4</v>
      </c>
      <c r="N670" s="446">
        <v>3</v>
      </c>
      <c r="O670" s="446" t="s">
        <v>748</v>
      </c>
      <c r="P670" s="449" t="s">
        <v>748</v>
      </c>
      <c r="Q670" s="449"/>
      <c r="R670" s="449"/>
      <c r="S670" s="449" t="s">
        <v>765</v>
      </c>
      <c r="T670" s="449" t="s">
        <v>849</v>
      </c>
      <c r="U670" s="452">
        <v>0</v>
      </c>
      <c r="V6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0" s="272" t="str">
        <f>IFERROR(SUMIFS(TransUnitCost[Miles],TransUnitCost[Grouping_ID],TransTonsShort[[#This Row],[Grouping_ID]],TransUnitCost[Transp_ID],TransTonsShort[[#This Row],[Transp_ID]])*TransTonsShort[[#This Row],[Trans_Tons_All]]/TransTonsShort[[#This Row],[Trans_Tons_All]],"")</f>
        <v/>
      </c>
      <c r="X670" s="386" t="str">
        <f>TransTonsShort[[#This Row],[Grouping_ID]]&amp;"-"&amp;TransTonsShort[[#This Row],[Sector_ID]]</f>
        <v>4-3</v>
      </c>
      <c r="Y6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0" s="421">
        <f>INDEX(LandfillFees[Disposal Tip Fee 2025],MATCH(TransTonsShort[[#This Row],[Grouping_ID]],LandfillFees[Grouping_ID],0))</f>
        <v>72.030938699729589</v>
      </c>
      <c r="AA670" s="102">
        <f>IF(OR(TransTonsShort[[#This Row],[CollectionStream_ID]]="03",TransTonsShort[[#This Row],[CollectionStream_ID]]="04",TransTonsShort[[#This Row],[CollectionStream_ID]]="13"),0,TransTonsShort[[#This Row],[Trans_Tons_All]]*TransTonsShort[[#This Row],[Disposal_Fee]])</f>
        <v>0</v>
      </c>
      <c r="AF670" s="446" t="s">
        <v>1842</v>
      </c>
      <c r="AG670" s="181" t="str">
        <f>LEFT(SecondaryTransport[[#This Row],[Scenario_MRF_Bale_ID]],2)</f>
        <v>S1</v>
      </c>
      <c r="AH670" s="181" t="str">
        <f>LEFT(RIGHT(SecondaryTransport[[#This Row],[Scenario_MRF_Bale_ID]],10),2)</f>
        <v>13</v>
      </c>
      <c r="AI670" s="181" t="str">
        <f>INDEX(MRFs[MRF_Name],MATCH(SecondaryTransport[[#This Row],[MRF_ID]],MRFs[MRF_ID],0))</f>
        <v>Directly marketed (no sorting)</v>
      </c>
      <c r="AJ670" s="181" t="str">
        <f>RIGHT(SecondaryTransport[[#This Row],[Scenario_MRF_Bale_ID]],7)</f>
        <v>5000-02</v>
      </c>
      <c r="AK670" s="181" t="str">
        <f>INDEX(Bales[Bale_Name],MATCH(SecondaryTransport[[#This Row],[Bale_ID]],Bales[Bale_ID],0))</f>
        <v>Glass transferred from MRFs</v>
      </c>
      <c r="AL670" s="443">
        <f>INDEX(BaleMover[Total_Baled_tons],MATCH(SecondaryTransport[[#This Row],[Scenario_MRF_Bale_ID]],BaleMover[Scenario_MRF_Bale_ID],0))</f>
        <v>0</v>
      </c>
      <c r="AM670" s="443">
        <f>IF(INDEX(BaleMover[Miles],MATCH(SecondaryTransport[[#This Row],[Scenario_MRF_Bale_ID]],BaleMover[Scenario_MRF_Bale_ID],0))="",0,INDEX(BaleMover[Miles],MATCH(SecondaryTransport[[#This Row],[Scenario_MRF_Bale_ID]],BaleMover[Scenario_MRF_Bale_ID],0)))</f>
        <v>0</v>
      </c>
      <c r="AN670" s="251">
        <f>IF(SecondaryTransport[[#This Row],[Bale_ID]]="9000-01","costs elsewhere",SecondaryTransport[[#This Row],[Total_Baled_tons]]*SecondaryTransport[[#This Row],[Miles]])</f>
        <v>0</v>
      </c>
      <c r="AO670" s="352">
        <f>IF(LEFT(SecondaryTransport[[#This Row],[Bale_ID]],1)*1=5,IF(OR(SecondaryTransport[[#This Row],[MRF_ID]]="02",SecondaryTransport[[#This Row],[MRF_ID]]="08"),2,1),"")</f>
        <v>1</v>
      </c>
      <c r="AP670"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70"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70" s="224" t="str">
        <f>IFERROR(IF(1*LEFT(SecondaryTransport[[#This Row],[Bale_ID]],1)=5,SecondaryTransport[[#This Row],[Ton-Miles]]*SecondaryTransport[[#This Row],[Cost_Per_Ton-Mile]],""),"")</f>
        <v/>
      </c>
      <c r="AS670" s="224" t="str">
        <f>IFERROR(IF(SecondaryTransport[[#This Row],[Container_Transfer]]="",(SecondaryTransport[[#This Row],[Ton-Miles]]*SecondaryTransport[[#This Row],[Cost_Per_Ton-Mile]]),""),"")</f>
        <v/>
      </c>
    </row>
    <row r="671" spans="12:45" ht="15" x14ac:dyDescent="0.25">
      <c r="L671" s="446" t="s">
        <v>876</v>
      </c>
      <c r="M671" s="446">
        <v>1</v>
      </c>
      <c r="N671" s="446">
        <v>3</v>
      </c>
      <c r="O671" s="446" t="s">
        <v>746</v>
      </c>
      <c r="P671" s="449" t="s">
        <v>719</v>
      </c>
      <c r="Q671" s="449"/>
      <c r="R671" s="449"/>
      <c r="S671" s="449" t="s">
        <v>762</v>
      </c>
      <c r="T671" s="449" t="s">
        <v>1055</v>
      </c>
      <c r="U671" s="452">
        <v>0</v>
      </c>
      <c r="V6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1" s="272" t="str">
        <f>IFERROR(SUMIFS(TransUnitCost[Miles],TransUnitCost[Grouping_ID],TransTonsShort[[#This Row],[Grouping_ID]],TransUnitCost[Transp_ID],TransTonsShort[[#This Row],[Transp_ID]])*TransTonsShort[[#This Row],[Trans_Tons_All]]/TransTonsShort[[#This Row],[Trans_Tons_All]],"")</f>
        <v/>
      </c>
      <c r="X671" s="386" t="str">
        <f>TransTonsShort[[#This Row],[Grouping_ID]]&amp;"-"&amp;TransTonsShort[[#This Row],[Sector_ID]]</f>
        <v>1-3</v>
      </c>
      <c r="Y6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1" s="421">
        <f>INDEX(LandfillFees[Disposal Tip Fee 2025],MATCH(TransTonsShort[[#This Row],[Grouping_ID]],LandfillFees[Grouping_ID],0))</f>
        <v>134.68</v>
      </c>
      <c r="AA671" s="102">
        <f>IF(OR(TransTonsShort[[#This Row],[CollectionStream_ID]]="03",TransTonsShort[[#This Row],[CollectionStream_ID]]="04",TransTonsShort[[#This Row],[CollectionStream_ID]]="13"),0,TransTonsShort[[#This Row],[Trans_Tons_All]]*TransTonsShort[[#This Row],[Disposal_Fee]])</f>
        <v>0</v>
      </c>
      <c r="AF671" s="446" t="s">
        <v>1843</v>
      </c>
      <c r="AG671" s="181" t="str">
        <f>LEFT(SecondaryTransport[[#This Row],[Scenario_MRF_Bale_ID]],2)</f>
        <v>S2</v>
      </c>
      <c r="AH671" s="181" t="str">
        <f>LEFT(RIGHT(SecondaryTransport[[#This Row],[Scenario_MRF_Bale_ID]],10),2)</f>
        <v>13</v>
      </c>
      <c r="AI671" s="181" t="str">
        <f>INDEX(MRFs[MRF_Name],MATCH(SecondaryTransport[[#This Row],[MRF_ID]],MRFs[MRF_ID],0))</f>
        <v>Directly marketed (no sorting)</v>
      </c>
      <c r="AJ671" s="181" t="str">
        <f>RIGHT(SecondaryTransport[[#This Row],[Scenario_MRF_Bale_ID]],7)</f>
        <v>5000-02</v>
      </c>
      <c r="AK671" s="181" t="str">
        <f>INDEX(Bales[Bale_Name],MATCH(SecondaryTransport[[#This Row],[Bale_ID]],Bales[Bale_ID],0))</f>
        <v>Glass transferred from MRFs</v>
      </c>
      <c r="AL671" s="443">
        <f>INDEX(BaleMover[Total_Baled_tons],MATCH(SecondaryTransport[[#This Row],[Scenario_MRF_Bale_ID]],BaleMover[Scenario_MRF_Bale_ID],0))</f>
        <v>0</v>
      </c>
      <c r="AM671" s="443">
        <f>IF(INDEX(BaleMover[Miles],MATCH(SecondaryTransport[[#This Row],[Scenario_MRF_Bale_ID]],BaleMover[Scenario_MRF_Bale_ID],0))="",0,INDEX(BaleMover[Miles],MATCH(SecondaryTransport[[#This Row],[Scenario_MRF_Bale_ID]],BaleMover[Scenario_MRF_Bale_ID],0)))</f>
        <v>0</v>
      </c>
      <c r="AN671" s="251">
        <f>IF(SecondaryTransport[[#This Row],[Bale_ID]]="9000-01","costs elsewhere",SecondaryTransport[[#This Row],[Total_Baled_tons]]*SecondaryTransport[[#This Row],[Miles]])</f>
        <v>0</v>
      </c>
      <c r="AO671" s="352">
        <f>IF(LEFT(SecondaryTransport[[#This Row],[Bale_ID]],1)*1=5,IF(OR(SecondaryTransport[[#This Row],[MRF_ID]]="02",SecondaryTransport[[#This Row],[MRF_ID]]="08"),2,1),"")</f>
        <v>1</v>
      </c>
      <c r="AP671"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71"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71" s="224" t="str">
        <f>IFERROR(IF(1*LEFT(SecondaryTransport[[#This Row],[Bale_ID]],1)=5,SecondaryTransport[[#This Row],[Ton-Miles]]*SecondaryTransport[[#This Row],[Cost_Per_Ton-Mile]],""),"")</f>
        <v/>
      </c>
      <c r="AS671" s="224" t="str">
        <f>IFERROR(IF(SecondaryTransport[[#This Row],[Container_Transfer]]="",(SecondaryTransport[[#This Row],[Ton-Miles]]*SecondaryTransport[[#This Row],[Cost_Per_Ton-Mile]]),""),"")</f>
        <v/>
      </c>
    </row>
    <row r="672" spans="12:45" ht="15" x14ac:dyDescent="0.25">
      <c r="L672" s="446" t="s">
        <v>876</v>
      </c>
      <c r="M672" s="446">
        <v>2</v>
      </c>
      <c r="N672" s="446">
        <v>3</v>
      </c>
      <c r="O672" s="446" t="s">
        <v>746</v>
      </c>
      <c r="P672" s="449" t="s">
        <v>719</v>
      </c>
      <c r="Q672" s="449"/>
      <c r="R672" s="449"/>
      <c r="S672" s="449" t="s">
        <v>762</v>
      </c>
      <c r="T672" s="449" t="s">
        <v>1055</v>
      </c>
      <c r="U672" s="452">
        <v>0</v>
      </c>
      <c r="V6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2" s="272" t="str">
        <f>IFERROR(SUMIFS(TransUnitCost[Miles],TransUnitCost[Grouping_ID],TransTonsShort[[#This Row],[Grouping_ID]],TransUnitCost[Transp_ID],TransTonsShort[[#This Row],[Transp_ID]])*TransTonsShort[[#This Row],[Trans_Tons_All]]/TransTonsShort[[#This Row],[Trans_Tons_All]],"")</f>
        <v/>
      </c>
      <c r="X672" s="386" t="str">
        <f>TransTonsShort[[#This Row],[Grouping_ID]]&amp;"-"&amp;TransTonsShort[[#This Row],[Sector_ID]]</f>
        <v>2-3</v>
      </c>
      <c r="Y6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2" s="421">
        <f>INDEX(LandfillFees[Disposal Tip Fee 2025],MATCH(TransTonsShort[[#This Row],[Grouping_ID]],LandfillFees[Grouping_ID],0))</f>
        <v>72.030938699729589</v>
      </c>
      <c r="AA672" s="102">
        <f>IF(OR(TransTonsShort[[#This Row],[CollectionStream_ID]]="03",TransTonsShort[[#This Row],[CollectionStream_ID]]="04",TransTonsShort[[#This Row],[CollectionStream_ID]]="13"),0,TransTonsShort[[#This Row],[Trans_Tons_All]]*TransTonsShort[[#This Row],[Disposal_Fee]])</f>
        <v>0</v>
      </c>
      <c r="AF672" s="446" t="s">
        <v>1844</v>
      </c>
      <c r="AG672" s="181" t="str">
        <f>LEFT(SecondaryTransport[[#This Row],[Scenario_MRF_Bale_ID]],2)</f>
        <v>S3</v>
      </c>
      <c r="AH672" s="181" t="str">
        <f>LEFT(RIGHT(SecondaryTransport[[#This Row],[Scenario_MRF_Bale_ID]],10),2)</f>
        <v>13</v>
      </c>
      <c r="AI672" s="181" t="str">
        <f>INDEX(MRFs[MRF_Name],MATCH(SecondaryTransport[[#This Row],[MRF_ID]],MRFs[MRF_ID],0))</f>
        <v>Directly marketed (no sorting)</v>
      </c>
      <c r="AJ672" s="181" t="str">
        <f>RIGHT(SecondaryTransport[[#This Row],[Scenario_MRF_Bale_ID]],7)</f>
        <v>5000-02</v>
      </c>
      <c r="AK672" s="181" t="str">
        <f>INDEX(Bales[Bale_Name],MATCH(SecondaryTransport[[#This Row],[Bale_ID]],Bales[Bale_ID],0))</f>
        <v>Glass transferred from MRFs</v>
      </c>
      <c r="AL672" s="443">
        <f>INDEX(BaleMover[Total_Baled_tons],MATCH(SecondaryTransport[[#This Row],[Scenario_MRF_Bale_ID]],BaleMover[Scenario_MRF_Bale_ID],0))</f>
        <v>0</v>
      </c>
      <c r="AM672" s="443">
        <f>IF(INDEX(BaleMover[Miles],MATCH(SecondaryTransport[[#This Row],[Scenario_MRF_Bale_ID]],BaleMover[Scenario_MRF_Bale_ID],0))="",0,INDEX(BaleMover[Miles],MATCH(SecondaryTransport[[#This Row],[Scenario_MRF_Bale_ID]],BaleMover[Scenario_MRF_Bale_ID],0)))</f>
        <v>0</v>
      </c>
      <c r="AN672" s="251">
        <f>IF(SecondaryTransport[[#This Row],[Bale_ID]]="9000-01","costs elsewhere",SecondaryTransport[[#This Row],[Total_Baled_tons]]*SecondaryTransport[[#This Row],[Miles]])</f>
        <v>0</v>
      </c>
      <c r="AO672" s="352">
        <f>IF(LEFT(SecondaryTransport[[#This Row],[Bale_ID]],1)*1=5,IF(OR(SecondaryTransport[[#This Row],[MRF_ID]]="02",SecondaryTransport[[#This Row],[MRF_ID]]="08"),2,1),"")</f>
        <v>1</v>
      </c>
      <c r="AP672" s="212"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72"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72" s="224" t="str">
        <f>IFERROR(IF(1*LEFT(SecondaryTransport[[#This Row],[Bale_ID]],1)=5,SecondaryTransport[[#This Row],[Ton-Miles]]*SecondaryTransport[[#This Row],[Cost_Per_Ton-Mile]],""),"")</f>
        <v/>
      </c>
      <c r="AS672" s="224" t="str">
        <f>IFERROR(IF(SecondaryTransport[[#This Row],[Container_Transfer]]="",(SecondaryTransport[[#This Row],[Ton-Miles]]*SecondaryTransport[[#This Row],[Cost_Per_Ton-Mile]]),""),"")</f>
        <v/>
      </c>
    </row>
    <row r="673" spans="12:45" ht="15" x14ac:dyDescent="0.25">
      <c r="L673" s="446" t="s">
        <v>876</v>
      </c>
      <c r="M673" s="446">
        <v>3</v>
      </c>
      <c r="N673" s="446">
        <v>3</v>
      </c>
      <c r="O673" s="446" t="s">
        <v>746</v>
      </c>
      <c r="P673" s="449" t="s">
        <v>719</v>
      </c>
      <c r="Q673" s="449"/>
      <c r="R673" s="449"/>
      <c r="S673" s="449" t="s">
        <v>762</v>
      </c>
      <c r="T673" s="449" t="s">
        <v>1055</v>
      </c>
      <c r="U673" s="452">
        <v>0</v>
      </c>
      <c r="V6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3" s="272" t="str">
        <f>IFERROR(SUMIFS(TransUnitCost[Miles],TransUnitCost[Grouping_ID],TransTonsShort[[#This Row],[Grouping_ID]],TransUnitCost[Transp_ID],TransTonsShort[[#This Row],[Transp_ID]])*TransTonsShort[[#This Row],[Trans_Tons_All]]/TransTonsShort[[#This Row],[Trans_Tons_All]],"")</f>
        <v/>
      </c>
      <c r="X673" s="386" t="str">
        <f>TransTonsShort[[#This Row],[Grouping_ID]]&amp;"-"&amp;TransTonsShort[[#This Row],[Sector_ID]]</f>
        <v>3-3</v>
      </c>
      <c r="Y6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3" s="421">
        <f>INDEX(LandfillFees[Disposal Tip Fee 2025],MATCH(TransTonsShort[[#This Row],[Grouping_ID]],LandfillFees[Grouping_ID],0))</f>
        <v>72.030938699729589</v>
      </c>
      <c r="AA673" s="102">
        <f>IF(OR(TransTonsShort[[#This Row],[CollectionStream_ID]]="03",TransTonsShort[[#This Row],[CollectionStream_ID]]="04",TransTonsShort[[#This Row],[CollectionStream_ID]]="13"),0,TransTonsShort[[#This Row],[Trans_Tons_All]]*TransTonsShort[[#This Row],[Disposal_Fee]])</f>
        <v>0</v>
      </c>
      <c r="AF673" s="446" t="s">
        <v>1845</v>
      </c>
      <c r="AG673" s="444" t="str">
        <f>LEFT(SecondaryTransport[[#This Row],[Scenario_MRF_Bale_ID]],2)</f>
        <v>S4</v>
      </c>
      <c r="AH673" s="445" t="str">
        <f>LEFT(RIGHT(SecondaryTransport[[#This Row],[Scenario_MRF_Bale_ID]],10),2)</f>
        <v>13</v>
      </c>
      <c r="AI673" s="445" t="str">
        <f>INDEX(MRFs[MRF_Name],MATCH(SecondaryTransport[[#This Row],[MRF_ID]],MRFs[MRF_ID],0))</f>
        <v>Directly marketed (no sorting)</v>
      </c>
      <c r="AJ673" s="445" t="str">
        <f>RIGHT(SecondaryTransport[[#This Row],[Scenario_MRF_Bale_ID]],7)</f>
        <v>5000-02</v>
      </c>
      <c r="AK673" s="445" t="str">
        <f>INDEX(Bales[Bale_Name],MATCH(SecondaryTransport[[#This Row],[Bale_ID]],Bales[Bale_ID],0))</f>
        <v>Glass transferred from MRFs</v>
      </c>
      <c r="AL673" s="443">
        <f>INDEX(BaleMover[Total_Baled_tons],MATCH(SecondaryTransport[[#This Row],[Scenario_MRF_Bale_ID]],BaleMover[Scenario_MRF_Bale_ID],0))</f>
        <v>0</v>
      </c>
      <c r="AM673" s="443">
        <f>IF(INDEX(BaleMover[Miles],MATCH(SecondaryTransport[[#This Row],[Scenario_MRF_Bale_ID]],BaleMover[Scenario_MRF_Bale_ID],0))="",0,INDEX(BaleMover[Miles],MATCH(SecondaryTransport[[#This Row],[Scenario_MRF_Bale_ID]],BaleMover[Scenario_MRF_Bale_ID],0)))</f>
        <v>0</v>
      </c>
      <c r="AN673" s="251">
        <f>IF(SecondaryTransport[[#This Row],[Bale_ID]]="9000-01","costs elsewhere",SecondaryTransport[[#This Row],[Total_Baled_tons]]*SecondaryTransport[[#This Row],[Miles]])</f>
        <v>0</v>
      </c>
      <c r="AO673" s="194">
        <f>IF(LEFT(SecondaryTransport[[#This Row],[Bale_ID]],1)*1=5,IF(OR(SecondaryTransport[[#This Row],[MRF_ID]]="02",SecondaryTransport[[#This Row],[MRF_ID]]="08"),2,1),"")</f>
        <v>1</v>
      </c>
      <c r="AP673" s="194" t="str">
        <f>IF(SecondaryTransport[[#This Row],[Ton-Miles]]=0,"",IF(SecondaryTransport[[#This Row],[Bale_ID]]="9000-01","",IF(SecondaryTransport[[#This Row],[Bale_ID]]="5000-02",SecondaryTransport[[#This Row],[Bale_ID]],IF(SecondaryTransport[[#This Row],[Bale_ID]]="5000-01",SecondaryTransport[[#This Row],[Bale_ID]]&amp;"-"&amp;SecondaryTransport[[#This Row],[Scenario_ID]],
IF(SecondaryTransport[[#This Row],[Miles]]&lt;=INDEX(TransUnitCost[Miles],MATCH("Bales - near",TransUnitCost[Bale_ID],0)),"Bales - near",IF(SecondaryTransport[[#This Row],[Miles]]&lt;INDEX(TransUnitCost[Miles],MATCH("Bales - medium",TransUnitCost[Bale_ID],0)),"Bales - medium",IF(SecondaryTransport[[#This Row],[Miles]]&gt;INDEX(TransUnitCost[Miles],MATCH("Bales - medium",TransUnitCost[Bale_ID],0)),"Bales - far","")))))))</f>
        <v/>
      </c>
      <c r="AQ673" s="191" t="str">
        <f>IF(SecondaryTransport[[#This Row],[Ton-Miles]]=0,"",IF(SUMIFS(TransUnitCost[Cost per Ton Mile],TransUnitCost[Bale_ID],SecondaryTransport[[#This Row],[Bale_ID2]],TransUnitCost[Grouping_ID],SecondaryTransport[[#This Row],[Proxy_GroupingI_ID]])=0,SUMIFS(TransUnitCost[Cost per Ton Mile],TransUnitCost[Bale_ID],SecondaryTransport[[#This Row],[Bale_ID2]]),SUMIFS(TransUnitCost[Cost per Ton Mile],TransUnitCost[Bale_ID],SecondaryTransport[[#This Row],[Bale_ID2]],TransUnitCost[Grouping_ID],SecondaryTransport[[#This Row],[Proxy_GroupingI_ID]])))</f>
        <v/>
      </c>
      <c r="AR673" s="224" t="str">
        <f>IFERROR(IF(1*LEFT(SecondaryTransport[[#This Row],[Bale_ID]],1)=5,SecondaryTransport[[#This Row],[Ton-Miles]]*SecondaryTransport[[#This Row],[Cost_Per_Ton-Mile]],""),"")</f>
        <v/>
      </c>
      <c r="AS673" s="224" t="str">
        <f>IFERROR(IF(SecondaryTransport[[#This Row],[Container_Transfer]]="",(SecondaryTransport[[#This Row],[Ton-Miles]]*SecondaryTransport[[#This Row],[Cost_Per_Ton-Mile]]),""),"")</f>
        <v/>
      </c>
    </row>
    <row r="674" spans="12:45" ht="15" x14ac:dyDescent="0.25">
      <c r="L674" s="446" t="s">
        <v>876</v>
      </c>
      <c r="M674" s="446">
        <v>4</v>
      </c>
      <c r="N674" s="446">
        <v>3</v>
      </c>
      <c r="O674" s="446" t="s">
        <v>746</v>
      </c>
      <c r="P674" s="449" t="s">
        <v>719</v>
      </c>
      <c r="Q674" s="449"/>
      <c r="R674" s="449"/>
      <c r="S674" s="449" t="s">
        <v>762</v>
      </c>
      <c r="T674" s="449" t="s">
        <v>1055</v>
      </c>
      <c r="U674" s="452">
        <v>0</v>
      </c>
      <c r="V6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4" s="272" t="str">
        <f>IFERROR(SUMIFS(TransUnitCost[Miles],TransUnitCost[Grouping_ID],TransTonsShort[[#This Row],[Grouping_ID]],TransUnitCost[Transp_ID],TransTonsShort[[#This Row],[Transp_ID]])*TransTonsShort[[#This Row],[Trans_Tons_All]]/TransTonsShort[[#This Row],[Trans_Tons_All]],"")</f>
        <v/>
      </c>
      <c r="X674" s="386" t="str">
        <f>TransTonsShort[[#This Row],[Grouping_ID]]&amp;"-"&amp;TransTonsShort[[#This Row],[Sector_ID]]</f>
        <v>4-3</v>
      </c>
      <c r="Y6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4" s="421">
        <f>INDEX(LandfillFees[Disposal Tip Fee 2025],MATCH(TransTonsShort[[#This Row],[Grouping_ID]],LandfillFees[Grouping_ID],0))</f>
        <v>72.030938699729589</v>
      </c>
      <c r="AA674" s="102">
        <f>IF(OR(TransTonsShort[[#This Row],[CollectionStream_ID]]="03",TransTonsShort[[#This Row],[CollectionStream_ID]]="04",TransTonsShort[[#This Row],[CollectionStream_ID]]="13"),0,TransTonsShort[[#This Row],[Trans_Tons_All]]*TransTonsShort[[#This Row],[Disposal_Fee]])</f>
        <v>0</v>
      </c>
    </row>
    <row r="675" spans="12:45" ht="15" x14ac:dyDescent="0.25">
      <c r="L675" s="446" t="s">
        <v>876</v>
      </c>
      <c r="M675" s="446">
        <v>1</v>
      </c>
      <c r="N675" s="446">
        <v>3</v>
      </c>
      <c r="O675" s="446" t="s">
        <v>746</v>
      </c>
      <c r="P675" s="449" t="s">
        <v>700</v>
      </c>
      <c r="Q675" s="449"/>
      <c r="R675" s="449"/>
      <c r="S675" s="449" t="s">
        <v>762</v>
      </c>
      <c r="T675" s="449" t="s">
        <v>701</v>
      </c>
      <c r="U675" s="452">
        <v>0</v>
      </c>
      <c r="V6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5" s="272" t="str">
        <f>IFERROR(SUMIFS(TransUnitCost[Miles],TransUnitCost[Grouping_ID],TransTonsShort[[#This Row],[Grouping_ID]],TransUnitCost[Transp_ID],TransTonsShort[[#This Row],[Transp_ID]])*TransTonsShort[[#This Row],[Trans_Tons_All]]/TransTonsShort[[#This Row],[Trans_Tons_All]],"")</f>
        <v/>
      </c>
      <c r="X675" s="386" t="str">
        <f>TransTonsShort[[#This Row],[Grouping_ID]]&amp;"-"&amp;TransTonsShort[[#This Row],[Sector_ID]]</f>
        <v>1-3</v>
      </c>
      <c r="Y6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5" s="421">
        <f>INDEX(LandfillFees[Disposal Tip Fee 2025],MATCH(TransTonsShort[[#This Row],[Grouping_ID]],LandfillFees[Grouping_ID],0))</f>
        <v>134.68</v>
      </c>
      <c r="AA675" s="102">
        <f>IF(OR(TransTonsShort[[#This Row],[CollectionStream_ID]]="03",TransTonsShort[[#This Row],[CollectionStream_ID]]="04",TransTonsShort[[#This Row],[CollectionStream_ID]]="13"),0,TransTonsShort[[#This Row],[Trans_Tons_All]]*TransTonsShort[[#This Row],[Disposal_Fee]])</f>
        <v>0</v>
      </c>
    </row>
    <row r="676" spans="12:45" ht="15" x14ac:dyDescent="0.25">
      <c r="L676" s="446" t="s">
        <v>876</v>
      </c>
      <c r="M676" s="446">
        <v>2</v>
      </c>
      <c r="N676" s="446">
        <v>3</v>
      </c>
      <c r="O676" s="446" t="s">
        <v>746</v>
      </c>
      <c r="P676" s="449" t="s">
        <v>700</v>
      </c>
      <c r="Q676" s="449"/>
      <c r="R676" s="449"/>
      <c r="S676" s="449" t="s">
        <v>762</v>
      </c>
      <c r="T676" s="449" t="s">
        <v>701</v>
      </c>
      <c r="U676" s="452">
        <v>0</v>
      </c>
      <c r="V6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6" s="272" t="str">
        <f>IFERROR(SUMIFS(TransUnitCost[Miles],TransUnitCost[Grouping_ID],TransTonsShort[[#This Row],[Grouping_ID]],TransUnitCost[Transp_ID],TransTonsShort[[#This Row],[Transp_ID]])*TransTonsShort[[#This Row],[Trans_Tons_All]]/TransTonsShort[[#This Row],[Trans_Tons_All]],"")</f>
        <v/>
      </c>
      <c r="X676" s="386" t="str">
        <f>TransTonsShort[[#This Row],[Grouping_ID]]&amp;"-"&amp;TransTonsShort[[#This Row],[Sector_ID]]</f>
        <v>2-3</v>
      </c>
      <c r="Y6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6" s="421">
        <f>INDEX(LandfillFees[Disposal Tip Fee 2025],MATCH(TransTonsShort[[#This Row],[Grouping_ID]],LandfillFees[Grouping_ID],0))</f>
        <v>72.030938699729589</v>
      </c>
      <c r="AA676" s="102">
        <f>IF(OR(TransTonsShort[[#This Row],[CollectionStream_ID]]="03",TransTonsShort[[#This Row],[CollectionStream_ID]]="04",TransTonsShort[[#This Row],[CollectionStream_ID]]="13"),0,TransTonsShort[[#This Row],[Trans_Tons_All]]*TransTonsShort[[#This Row],[Disposal_Fee]])</f>
        <v>0</v>
      </c>
    </row>
    <row r="677" spans="12:45" ht="15" x14ac:dyDescent="0.25">
      <c r="L677" s="446" t="s">
        <v>876</v>
      </c>
      <c r="M677" s="446">
        <v>3</v>
      </c>
      <c r="N677" s="446">
        <v>3</v>
      </c>
      <c r="O677" s="446" t="s">
        <v>746</v>
      </c>
      <c r="P677" s="449" t="s">
        <v>700</v>
      </c>
      <c r="Q677" s="449"/>
      <c r="R677" s="449"/>
      <c r="S677" s="449" t="s">
        <v>762</v>
      </c>
      <c r="T677" s="449" t="s">
        <v>701</v>
      </c>
      <c r="U677" s="452">
        <v>0</v>
      </c>
      <c r="V6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7" s="272" t="str">
        <f>IFERROR(SUMIFS(TransUnitCost[Miles],TransUnitCost[Grouping_ID],TransTonsShort[[#This Row],[Grouping_ID]],TransUnitCost[Transp_ID],TransTonsShort[[#This Row],[Transp_ID]])*TransTonsShort[[#This Row],[Trans_Tons_All]]/TransTonsShort[[#This Row],[Trans_Tons_All]],"")</f>
        <v/>
      </c>
      <c r="X677" s="386" t="str">
        <f>TransTonsShort[[#This Row],[Grouping_ID]]&amp;"-"&amp;TransTonsShort[[#This Row],[Sector_ID]]</f>
        <v>3-3</v>
      </c>
      <c r="Y6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7" s="421">
        <f>INDEX(LandfillFees[Disposal Tip Fee 2025],MATCH(TransTonsShort[[#This Row],[Grouping_ID]],LandfillFees[Grouping_ID],0))</f>
        <v>72.030938699729589</v>
      </c>
      <c r="AA677" s="102">
        <f>IF(OR(TransTonsShort[[#This Row],[CollectionStream_ID]]="03",TransTonsShort[[#This Row],[CollectionStream_ID]]="04",TransTonsShort[[#This Row],[CollectionStream_ID]]="13"),0,TransTonsShort[[#This Row],[Trans_Tons_All]]*TransTonsShort[[#This Row],[Disposal_Fee]])</f>
        <v>0</v>
      </c>
    </row>
    <row r="678" spans="12:45" ht="15" x14ac:dyDescent="0.25">
      <c r="L678" s="446" t="s">
        <v>876</v>
      </c>
      <c r="M678" s="446">
        <v>4</v>
      </c>
      <c r="N678" s="446">
        <v>3</v>
      </c>
      <c r="O678" s="446" t="s">
        <v>746</v>
      </c>
      <c r="P678" s="449" t="s">
        <v>700</v>
      </c>
      <c r="Q678" s="449"/>
      <c r="R678" s="449"/>
      <c r="S678" s="449" t="s">
        <v>762</v>
      </c>
      <c r="T678" s="449" t="s">
        <v>701</v>
      </c>
      <c r="U678" s="452">
        <v>0</v>
      </c>
      <c r="V6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8" s="272" t="str">
        <f>IFERROR(SUMIFS(TransUnitCost[Miles],TransUnitCost[Grouping_ID],TransTonsShort[[#This Row],[Grouping_ID]],TransUnitCost[Transp_ID],TransTonsShort[[#This Row],[Transp_ID]])*TransTonsShort[[#This Row],[Trans_Tons_All]]/TransTonsShort[[#This Row],[Trans_Tons_All]],"")</f>
        <v/>
      </c>
      <c r="X678" s="386" t="str">
        <f>TransTonsShort[[#This Row],[Grouping_ID]]&amp;"-"&amp;TransTonsShort[[#This Row],[Sector_ID]]</f>
        <v>4-3</v>
      </c>
      <c r="Y6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8" s="421">
        <f>INDEX(LandfillFees[Disposal Tip Fee 2025],MATCH(TransTonsShort[[#This Row],[Grouping_ID]],LandfillFees[Grouping_ID],0))</f>
        <v>72.030938699729589</v>
      </c>
      <c r="AA678" s="102">
        <f>IF(OR(TransTonsShort[[#This Row],[CollectionStream_ID]]="03",TransTonsShort[[#This Row],[CollectionStream_ID]]="04",TransTonsShort[[#This Row],[CollectionStream_ID]]="13"),0,TransTonsShort[[#This Row],[Trans_Tons_All]]*TransTonsShort[[#This Row],[Disposal_Fee]])</f>
        <v>0</v>
      </c>
    </row>
    <row r="679" spans="12:45" ht="15" x14ac:dyDescent="0.25">
      <c r="L679" s="446" t="s">
        <v>876</v>
      </c>
      <c r="M679" s="446">
        <v>1</v>
      </c>
      <c r="N679" s="446">
        <v>3</v>
      </c>
      <c r="O679" s="446" t="s">
        <v>746</v>
      </c>
      <c r="P679" s="449" t="s">
        <v>746</v>
      </c>
      <c r="Q679" s="449"/>
      <c r="R679" s="449"/>
      <c r="S679" s="449" t="s">
        <v>762</v>
      </c>
      <c r="T679" s="449" t="s">
        <v>848</v>
      </c>
      <c r="U679" s="452">
        <v>0</v>
      </c>
      <c r="V6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79" s="272" t="str">
        <f>IFERROR(SUMIFS(TransUnitCost[Miles],TransUnitCost[Grouping_ID],TransTonsShort[[#This Row],[Grouping_ID]],TransUnitCost[Transp_ID],TransTonsShort[[#This Row],[Transp_ID]])*TransTonsShort[[#This Row],[Trans_Tons_All]]/TransTonsShort[[#This Row],[Trans_Tons_All]],"")</f>
        <v/>
      </c>
      <c r="X679" s="386" t="str">
        <f>TransTonsShort[[#This Row],[Grouping_ID]]&amp;"-"&amp;TransTonsShort[[#This Row],[Sector_ID]]</f>
        <v>1-3</v>
      </c>
      <c r="Y6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79" s="421">
        <f>INDEX(LandfillFees[Disposal Tip Fee 2025],MATCH(TransTonsShort[[#This Row],[Grouping_ID]],LandfillFees[Grouping_ID],0))</f>
        <v>134.68</v>
      </c>
      <c r="AA679" s="102">
        <f>IF(OR(TransTonsShort[[#This Row],[CollectionStream_ID]]="03",TransTonsShort[[#This Row],[CollectionStream_ID]]="04",TransTonsShort[[#This Row],[CollectionStream_ID]]="13"),0,TransTonsShort[[#This Row],[Trans_Tons_All]]*TransTonsShort[[#This Row],[Disposal_Fee]])</f>
        <v>0</v>
      </c>
    </row>
    <row r="680" spans="12:45" ht="15" x14ac:dyDescent="0.25">
      <c r="L680" s="446" t="s">
        <v>876</v>
      </c>
      <c r="M680" s="446">
        <v>2</v>
      </c>
      <c r="N680" s="446">
        <v>3</v>
      </c>
      <c r="O680" s="446" t="s">
        <v>746</v>
      </c>
      <c r="P680" s="449" t="s">
        <v>746</v>
      </c>
      <c r="Q680" s="449"/>
      <c r="R680" s="449"/>
      <c r="S680" s="449" t="s">
        <v>762</v>
      </c>
      <c r="T680" s="449" t="s">
        <v>848</v>
      </c>
      <c r="U680" s="452">
        <v>0</v>
      </c>
      <c r="V6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0" s="272" t="str">
        <f>IFERROR(SUMIFS(TransUnitCost[Miles],TransUnitCost[Grouping_ID],TransTonsShort[[#This Row],[Grouping_ID]],TransUnitCost[Transp_ID],TransTonsShort[[#This Row],[Transp_ID]])*TransTonsShort[[#This Row],[Trans_Tons_All]]/TransTonsShort[[#This Row],[Trans_Tons_All]],"")</f>
        <v/>
      </c>
      <c r="X680" s="386" t="str">
        <f>TransTonsShort[[#This Row],[Grouping_ID]]&amp;"-"&amp;TransTonsShort[[#This Row],[Sector_ID]]</f>
        <v>2-3</v>
      </c>
      <c r="Y6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80" s="421">
        <f>INDEX(LandfillFees[Disposal Tip Fee 2025],MATCH(TransTonsShort[[#This Row],[Grouping_ID]],LandfillFees[Grouping_ID],0))</f>
        <v>72.030938699729589</v>
      </c>
      <c r="AA680" s="102">
        <f>IF(OR(TransTonsShort[[#This Row],[CollectionStream_ID]]="03",TransTonsShort[[#This Row],[CollectionStream_ID]]="04",TransTonsShort[[#This Row],[CollectionStream_ID]]="13"),0,TransTonsShort[[#This Row],[Trans_Tons_All]]*TransTonsShort[[#This Row],[Disposal_Fee]])</f>
        <v>0</v>
      </c>
    </row>
    <row r="681" spans="12:45" ht="15" x14ac:dyDescent="0.25">
      <c r="L681" s="446" t="s">
        <v>876</v>
      </c>
      <c r="M681" s="446">
        <v>3</v>
      </c>
      <c r="N681" s="446">
        <v>3</v>
      </c>
      <c r="O681" s="446" t="s">
        <v>746</v>
      </c>
      <c r="P681" s="449" t="s">
        <v>746</v>
      </c>
      <c r="Q681" s="449"/>
      <c r="R681" s="449"/>
      <c r="S681" s="449" t="s">
        <v>762</v>
      </c>
      <c r="T681" s="449" t="s">
        <v>848</v>
      </c>
      <c r="U681" s="452">
        <v>0</v>
      </c>
      <c r="V6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1" s="272" t="str">
        <f>IFERROR(SUMIFS(TransUnitCost[Miles],TransUnitCost[Grouping_ID],TransTonsShort[[#This Row],[Grouping_ID]],TransUnitCost[Transp_ID],TransTonsShort[[#This Row],[Transp_ID]])*TransTonsShort[[#This Row],[Trans_Tons_All]]/TransTonsShort[[#This Row],[Trans_Tons_All]],"")</f>
        <v/>
      </c>
      <c r="X681" s="386" t="str">
        <f>TransTonsShort[[#This Row],[Grouping_ID]]&amp;"-"&amp;TransTonsShort[[#This Row],[Sector_ID]]</f>
        <v>3-3</v>
      </c>
      <c r="Y6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81" s="421">
        <f>INDEX(LandfillFees[Disposal Tip Fee 2025],MATCH(TransTonsShort[[#This Row],[Grouping_ID]],LandfillFees[Grouping_ID],0))</f>
        <v>72.030938699729589</v>
      </c>
      <c r="AA681" s="102">
        <f>IF(OR(TransTonsShort[[#This Row],[CollectionStream_ID]]="03",TransTonsShort[[#This Row],[CollectionStream_ID]]="04",TransTonsShort[[#This Row],[CollectionStream_ID]]="13"),0,TransTonsShort[[#This Row],[Trans_Tons_All]]*TransTonsShort[[#This Row],[Disposal_Fee]])</f>
        <v>0</v>
      </c>
    </row>
    <row r="682" spans="12:45" ht="15" x14ac:dyDescent="0.25">
      <c r="L682" s="446" t="s">
        <v>876</v>
      </c>
      <c r="M682" s="446">
        <v>4</v>
      </c>
      <c r="N682" s="446">
        <v>3</v>
      </c>
      <c r="O682" s="446" t="s">
        <v>746</v>
      </c>
      <c r="P682" s="449" t="s">
        <v>746</v>
      </c>
      <c r="Q682" s="449"/>
      <c r="R682" s="449"/>
      <c r="S682" s="449" t="s">
        <v>762</v>
      </c>
      <c r="T682" s="449" t="s">
        <v>848</v>
      </c>
      <c r="U682" s="452">
        <v>0</v>
      </c>
      <c r="V6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2" s="272" t="str">
        <f>IFERROR(SUMIFS(TransUnitCost[Miles],TransUnitCost[Grouping_ID],TransTonsShort[[#This Row],[Grouping_ID]],TransUnitCost[Transp_ID],TransTonsShort[[#This Row],[Transp_ID]])*TransTonsShort[[#This Row],[Trans_Tons_All]]/TransTonsShort[[#This Row],[Trans_Tons_All]],"")</f>
        <v/>
      </c>
      <c r="X682" s="386" t="str">
        <f>TransTonsShort[[#This Row],[Grouping_ID]]&amp;"-"&amp;TransTonsShort[[#This Row],[Sector_ID]]</f>
        <v>4-3</v>
      </c>
      <c r="Y6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682" s="421">
        <f>INDEX(LandfillFees[Disposal Tip Fee 2025],MATCH(TransTonsShort[[#This Row],[Grouping_ID]],LandfillFees[Grouping_ID],0))</f>
        <v>72.030938699729589</v>
      </c>
      <c r="AA682" s="102">
        <f>IF(OR(TransTonsShort[[#This Row],[CollectionStream_ID]]="03",TransTonsShort[[#This Row],[CollectionStream_ID]]="04",TransTonsShort[[#This Row],[CollectionStream_ID]]="13"),0,TransTonsShort[[#This Row],[Trans_Tons_All]]*TransTonsShort[[#This Row],[Disposal_Fee]])</f>
        <v>0</v>
      </c>
    </row>
    <row r="683" spans="12:45" ht="15" x14ac:dyDescent="0.25">
      <c r="L683" s="446" t="s">
        <v>876</v>
      </c>
      <c r="M683" s="446">
        <v>1</v>
      </c>
      <c r="N683" s="446">
        <v>3</v>
      </c>
      <c r="O683" s="446" t="s">
        <v>706</v>
      </c>
      <c r="P683" s="449" t="s">
        <v>739</v>
      </c>
      <c r="Q683" s="449"/>
      <c r="R683" s="449"/>
      <c r="S683" s="449" t="s">
        <v>707</v>
      </c>
      <c r="T683" s="449" t="s">
        <v>1121</v>
      </c>
      <c r="U683" s="452">
        <v>5798.0165372371075</v>
      </c>
      <c r="V6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112481.52082239988</v>
      </c>
      <c r="W683" s="272">
        <f>IFERROR(SUMIFS(TransUnitCost[Miles],TransUnitCost[Grouping_ID],TransTonsShort[[#This Row],[Grouping_ID]],TransUnitCost[Transp_ID],TransTonsShort[[#This Row],[Transp_ID]])*TransTonsShort[[#This Row],[Trans_Tons_All]]/TransTonsShort[[#This Row],[Trans_Tons_All]],"")</f>
        <v>20</v>
      </c>
      <c r="X683" s="386" t="str">
        <f>TransTonsShort[[#This Row],[Grouping_ID]]&amp;"-"&amp;TransTonsShort[[#This Row],[Sector_ID]]</f>
        <v>1-3</v>
      </c>
      <c r="Y6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3" s="421">
        <f>INDEX(LandfillFees[Disposal Tip Fee 2025],MATCH(TransTonsShort[[#This Row],[Grouping_ID]],LandfillFees[Grouping_ID],0))</f>
        <v>134.68</v>
      </c>
      <c r="AA683" s="102">
        <f>IF(OR(TransTonsShort[[#This Row],[CollectionStream_ID]]="03",TransTonsShort[[#This Row],[CollectionStream_ID]]="04",TransTonsShort[[#This Row],[CollectionStream_ID]]="13"),0,TransTonsShort[[#This Row],[Trans_Tons_All]]*TransTonsShort[[#This Row],[Disposal_Fee]])</f>
        <v>780876.86723509373</v>
      </c>
    </row>
    <row r="684" spans="12:45" ht="15" x14ac:dyDescent="0.25">
      <c r="L684" s="446" t="s">
        <v>876</v>
      </c>
      <c r="M684" s="446">
        <v>2</v>
      </c>
      <c r="N684" s="446">
        <v>3</v>
      </c>
      <c r="O684" s="446" t="s">
        <v>706</v>
      </c>
      <c r="P684" s="449" t="s">
        <v>739</v>
      </c>
      <c r="Q684" s="449"/>
      <c r="R684" s="449"/>
      <c r="S684" s="449" t="s">
        <v>707</v>
      </c>
      <c r="T684" s="449" t="s">
        <v>1121</v>
      </c>
      <c r="U684" s="452">
        <v>4131.6328940446638</v>
      </c>
      <c r="V6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170636.43852404461</v>
      </c>
      <c r="W684" s="272">
        <f>IFERROR(SUMIFS(TransUnitCost[Miles],TransUnitCost[Grouping_ID],TransTonsShort[[#This Row],[Grouping_ID]],TransUnitCost[Transp_ID],TransTonsShort[[#This Row],[Transp_ID]])*TransTonsShort[[#This Row],[Trans_Tons_All]]/TransTonsShort[[#This Row],[Trans_Tons_All]],"")</f>
        <v>70</v>
      </c>
      <c r="X684" s="386" t="str">
        <f>TransTonsShort[[#This Row],[Grouping_ID]]&amp;"-"&amp;TransTonsShort[[#This Row],[Sector_ID]]</f>
        <v>2-3</v>
      </c>
      <c r="Y6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4" s="421">
        <f>INDEX(LandfillFees[Disposal Tip Fee 2025],MATCH(TransTonsShort[[#This Row],[Grouping_ID]],LandfillFees[Grouping_ID],0))</f>
        <v>72.030938699729589</v>
      </c>
      <c r="AA684" s="102">
        <f>IF(OR(TransTonsShort[[#This Row],[CollectionStream_ID]]="03",TransTonsShort[[#This Row],[CollectionStream_ID]]="04",TransTonsShort[[#This Row],[CollectionStream_ID]]="13"),0,TransTonsShort[[#This Row],[Trans_Tons_All]]*TransTonsShort[[#This Row],[Disposal_Fee]])</f>
        <v>297605.39572071756</v>
      </c>
    </row>
    <row r="685" spans="12:45" ht="15" x14ac:dyDescent="0.25">
      <c r="L685" s="446" t="s">
        <v>876</v>
      </c>
      <c r="M685" s="446">
        <v>3</v>
      </c>
      <c r="N685" s="446">
        <v>3</v>
      </c>
      <c r="O685" s="446" t="s">
        <v>706</v>
      </c>
      <c r="P685" s="449" t="s">
        <v>739</v>
      </c>
      <c r="Q685" s="449"/>
      <c r="R685" s="449"/>
      <c r="S685" s="449" t="s">
        <v>707</v>
      </c>
      <c r="T685" s="449" t="s">
        <v>1121</v>
      </c>
      <c r="U685" s="452">
        <v>253.93377399238111</v>
      </c>
      <c r="V6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9141.6158637257195</v>
      </c>
      <c r="W685" s="272">
        <f>IFERROR(SUMIFS(TransUnitCost[Miles],TransUnitCost[Grouping_ID],TransTonsShort[[#This Row],[Grouping_ID]],TransUnitCost[Transp_ID],TransTonsShort[[#This Row],[Transp_ID]])*TransTonsShort[[#This Row],[Trans_Tons_All]]/TransTonsShort[[#This Row],[Trans_Tons_All]],"")</f>
        <v>150</v>
      </c>
      <c r="X685" s="386" t="str">
        <f>TransTonsShort[[#This Row],[Grouping_ID]]&amp;"-"&amp;TransTonsShort[[#This Row],[Sector_ID]]</f>
        <v>3-3</v>
      </c>
      <c r="Y6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5" s="421">
        <f>INDEX(LandfillFees[Disposal Tip Fee 2025],MATCH(TransTonsShort[[#This Row],[Grouping_ID]],LandfillFees[Grouping_ID],0))</f>
        <v>72.030938699729589</v>
      </c>
      <c r="AA685" s="102">
        <f>IF(OR(TransTonsShort[[#This Row],[CollectionStream_ID]]="03",TransTonsShort[[#This Row],[CollectionStream_ID]]="04",TransTonsShort[[#This Row],[CollectionStream_ID]]="13"),0,TransTonsShort[[#This Row],[Trans_Tons_All]]*TransTonsShort[[#This Row],[Disposal_Fee]])</f>
        <v>18291.088108236192</v>
      </c>
    </row>
    <row r="686" spans="12:45" ht="15" x14ac:dyDescent="0.25">
      <c r="L686" s="446" t="s">
        <v>876</v>
      </c>
      <c r="M686" s="446">
        <v>4</v>
      </c>
      <c r="N686" s="446">
        <v>3</v>
      </c>
      <c r="O686" s="446" t="s">
        <v>706</v>
      </c>
      <c r="P686" s="449" t="s">
        <v>739</v>
      </c>
      <c r="Q686" s="449"/>
      <c r="R686" s="449"/>
      <c r="S686" s="449" t="s">
        <v>707</v>
      </c>
      <c r="T686" s="449" t="s">
        <v>1121</v>
      </c>
      <c r="U686" s="452">
        <v>264.93557181993026</v>
      </c>
      <c r="V6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14571.456450096164</v>
      </c>
      <c r="W686" s="272">
        <f>IFERROR(SUMIFS(TransUnitCost[Miles],TransUnitCost[Grouping_ID],TransTonsShort[[#This Row],[Grouping_ID]],TransUnitCost[Transp_ID],TransTonsShort[[#This Row],[Transp_ID]])*TransTonsShort[[#This Row],[Trans_Tons_All]]/TransTonsShort[[#This Row],[Trans_Tons_All]],"")</f>
        <v>250.00000000000003</v>
      </c>
      <c r="X686" s="386" t="str">
        <f>TransTonsShort[[#This Row],[Grouping_ID]]&amp;"-"&amp;TransTonsShort[[#This Row],[Sector_ID]]</f>
        <v>4-3</v>
      </c>
      <c r="Y6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6" s="421">
        <f>INDEX(LandfillFees[Disposal Tip Fee 2025],MATCH(TransTonsShort[[#This Row],[Grouping_ID]],LandfillFees[Grouping_ID],0))</f>
        <v>72.030938699729589</v>
      </c>
      <c r="AA686" s="102">
        <f>IF(OR(TransTonsShort[[#This Row],[CollectionStream_ID]]="03",TransTonsShort[[#This Row],[CollectionStream_ID]]="04",TransTonsShort[[#This Row],[CollectionStream_ID]]="13"),0,TransTonsShort[[#This Row],[Trans_Tons_All]]*TransTonsShort[[#This Row],[Disposal_Fee]])</f>
        <v>19083.557933139204</v>
      </c>
    </row>
    <row r="687" spans="12:45" ht="15" x14ac:dyDescent="0.25">
      <c r="L687" s="446" t="s">
        <v>876</v>
      </c>
      <c r="M687" s="446">
        <v>1</v>
      </c>
      <c r="N687" s="446">
        <v>3</v>
      </c>
      <c r="O687" s="446" t="s">
        <v>706</v>
      </c>
      <c r="P687" s="449" t="s">
        <v>700</v>
      </c>
      <c r="Q687" s="449"/>
      <c r="R687" s="449"/>
      <c r="S687" s="449" t="s">
        <v>707</v>
      </c>
      <c r="T687" s="449" t="s">
        <v>701</v>
      </c>
      <c r="U687" s="452">
        <v>3045.9598519855836</v>
      </c>
      <c r="V6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7" s="272">
        <f>IFERROR(SUMIFS(TransUnitCost[Miles],TransUnitCost[Grouping_ID],TransTonsShort[[#This Row],[Grouping_ID]],TransUnitCost[Transp_ID],TransTonsShort[[#This Row],[Transp_ID]])*TransTonsShort[[#This Row],[Trans_Tons_All]]/TransTonsShort[[#This Row],[Trans_Tons_All]],"")</f>
        <v>0</v>
      </c>
      <c r="X687" s="386" t="str">
        <f>TransTonsShort[[#This Row],[Grouping_ID]]&amp;"-"&amp;TransTonsShort[[#This Row],[Sector_ID]]</f>
        <v>1-3</v>
      </c>
      <c r="Y6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7" s="421">
        <f>INDEX(LandfillFees[Disposal Tip Fee 2025],MATCH(TransTonsShort[[#This Row],[Grouping_ID]],LandfillFees[Grouping_ID],0))</f>
        <v>134.68</v>
      </c>
      <c r="AA687" s="102">
        <f>IF(OR(TransTonsShort[[#This Row],[CollectionStream_ID]]="03",TransTonsShort[[#This Row],[CollectionStream_ID]]="04",TransTonsShort[[#This Row],[CollectionStream_ID]]="13"),0,TransTonsShort[[#This Row],[Trans_Tons_All]]*TransTonsShort[[#This Row],[Disposal_Fee]])</f>
        <v>410229.87286541844</v>
      </c>
    </row>
    <row r="688" spans="12:45" ht="15" x14ac:dyDescent="0.25">
      <c r="L688" s="446" t="s">
        <v>876</v>
      </c>
      <c r="M688" s="446">
        <v>2</v>
      </c>
      <c r="N688" s="446">
        <v>3</v>
      </c>
      <c r="O688" s="446" t="s">
        <v>706</v>
      </c>
      <c r="P688" s="449" t="s">
        <v>700</v>
      </c>
      <c r="Q688" s="449"/>
      <c r="R688" s="449"/>
      <c r="S688" s="449" t="s">
        <v>707</v>
      </c>
      <c r="T688" s="449" t="s">
        <v>701</v>
      </c>
      <c r="U688" s="452">
        <v>0</v>
      </c>
      <c r="V6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8" s="272" t="str">
        <f>IFERROR(SUMIFS(TransUnitCost[Miles],TransUnitCost[Grouping_ID],TransTonsShort[[#This Row],[Grouping_ID]],TransUnitCost[Transp_ID],TransTonsShort[[#This Row],[Transp_ID]])*TransTonsShort[[#This Row],[Trans_Tons_All]]/TransTonsShort[[#This Row],[Trans_Tons_All]],"")</f>
        <v/>
      </c>
      <c r="X688" s="386" t="str">
        <f>TransTonsShort[[#This Row],[Grouping_ID]]&amp;"-"&amp;TransTonsShort[[#This Row],[Sector_ID]]</f>
        <v>2-3</v>
      </c>
      <c r="Y6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8" s="421">
        <f>INDEX(LandfillFees[Disposal Tip Fee 2025],MATCH(TransTonsShort[[#This Row],[Grouping_ID]],LandfillFees[Grouping_ID],0))</f>
        <v>72.030938699729589</v>
      </c>
      <c r="AA688" s="102">
        <f>IF(OR(TransTonsShort[[#This Row],[CollectionStream_ID]]="03",TransTonsShort[[#This Row],[CollectionStream_ID]]="04",TransTonsShort[[#This Row],[CollectionStream_ID]]="13"),0,TransTonsShort[[#This Row],[Trans_Tons_All]]*TransTonsShort[[#This Row],[Disposal_Fee]])</f>
        <v>0</v>
      </c>
    </row>
    <row r="689" spans="12:27" ht="15" x14ac:dyDescent="0.25">
      <c r="L689" s="446" t="s">
        <v>876</v>
      </c>
      <c r="M689" s="446">
        <v>3</v>
      </c>
      <c r="N689" s="446">
        <v>3</v>
      </c>
      <c r="O689" s="446" t="s">
        <v>706</v>
      </c>
      <c r="P689" s="449" t="s">
        <v>700</v>
      </c>
      <c r="Q689" s="449"/>
      <c r="R689" s="449"/>
      <c r="S689" s="449" t="s">
        <v>707</v>
      </c>
      <c r="T689" s="449" t="s">
        <v>701</v>
      </c>
      <c r="U689" s="452">
        <v>0</v>
      </c>
      <c r="V6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89" s="272" t="str">
        <f>IFERROR(SUMIFS(TransUnitCost[Miles],TransUnitCost[Grouping_ID],TransTonsShort[[#This Row],[Grouping_ID]],TransUnitCost[Transp_ID],TransTonsShort[[#This Row],[Transp_ID]])*TransTonsShort[[#This Row],[Trans_Tons_All]]/TransTonsShort[[#This Row],[Trans_Tons_All]],"")</f>
        <v/>
      </c>
      <c r="X689" s="386" t="str">
        <f>TransTonsShort[[#This Row],[Grouping_ID]]&amp;"-"&amp;TransTonsShort[[#This Row],[Sector_ID]]</f>
        <v>3-3</v>
      </c>
      <c r="Y6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89" s="421">
        <f>INDEX(LandfillFees[Disposal Tip Fee 2025],MATCH(TransTonsShort[[#This Row],[Grouping_ID]],LandfillFees[Grouping_ID],0))</f>
        <v>72.030938699729589</v>
      </c>
      <c r="AA689" s="102">
        <f>IF(OR(TransTonsShort[[#This Row],[CollectionStream_ID]]="03",TransTonsShort[[#This Row],[CollectionStream_ID]]="04",TransTonsShort[[#This Row],[CollectionStream_ID]]="13"),0,TransTonsShort[[#This Row],[Trans_Tons_All]]*TransTonsShort[[#This Row],[Disposal_Fee]])</f>
        <v>0</v>
      </c>
    </row>
    <row r="690" spans="12:27" ht="15" x14ac:dyDescent="0.25">
      <c r="L690" s="446" t="s">
        <v>876</v>
      </c>
      <c r="M690" s="446">
        <v>4</v>
      </c>
      <c r="N690" s="446">
        <v>3</v>
      </c>
      <c r="O690" s="446" t="s">
        <v>706</v>
      </c>
      <c r="P690" s="449" t="s">
        <v>700</v>
      </c>
      <c r="Q690" s="449"/>
      <c r="R690" s="449"/>
      <c r="S690" s="449" t="s">
        <v>707</v>
      </c>
      <c r="T690" s="449" t="s">
        <v>701</v>
      </c>
      <c r="U690" s="452">
        <v>0</v>
      </c>
      <c r="V6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0" s="272" t="str">
        <f>IFERROR(SUMIFS(TransUnitCost[Miles],TransUnitCost[Grouping_ID],TransTonsShort[[#This Row],[Grouping_ID]],TransUnitCost[Transp_ID],TransTonsShort[[#This Row],[Transp_ID]])*TransTonsShort[[#This Row],[Trans_Tons_All]]/TransTonsShort[[#This Row],[Trans_Tons_All]],"")</f>
        <v/>
      </c>
      <c r="X690" s="386" t="str">
        <f>TransTonsShort[[#This Row],[Grouping_ID]]&amp;"-"&amp;TransTonsShort[[#This Row],[Sector_ID]]</f>
        <v>4-3</v>
      </c>
      <c r="Y6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0" s="421">
        <f>INDEX(LandfillFees[Disposal Tip Fee 2025],MATCH(TransTonsShort[[#This Row],[Grouping_ID]],LandfillFees[Grouping_ID],0))</f>
        <v>72.030938699729589</v>
      </c>
      <c r="AA690" s="102">
        <f>IF(OR(TransTonsShort[[#This Row],[CollectionStream_ID]]="03",TransTonsShort[[#This Row],[CollectionStream_ID]]="04",TransTonsShort[[#This Row],[CollectionStream_ID]]="13"),0,TransTonsShort[[#This Row],[Trans_Tons_All]]*TransTonsShort[[#This Row],[Disposal_Fee]])</f>
        <v>0</v>
      </c>
    </row>
    <row r="691" spans="12:27" ht="15" x14ac:dyDescent="0.25">
      <c r="L691" s="446" t="s">
        <v>876</v>
      </c>
      <c r="M691" s="446">
        <v>1</v>
      </c>
      <c r="N691" s="446">
        <v>3</v>
      </c>
      <c r="O691" s="446" t="s">
        <v>752</v>
      </c>
      <c r="P691" s="450" t="s">
        <v>719</v>
      </c>
      <c r="Q691" s="450"/>
      <c r="R691" s="450"/>
      <c r="S691" s="449" t="s">
        <v>964</v>
      </c>
      <c r="T691" s="449" t="s">
        <v>1055</v>
      </c>
      <c r="U691" s="452">
        <v>0</v>
      </c>
      <c r="V6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1" s="272" t="str">
        <f>IFERROR(SUMIFS(TransUnitCost[Miles],TransUnitCost[Grouping_ID],TransTonsShort[[#This Row],[Grouping_ID]],TransUnitCost[Transp_ID],TransTonsShort[[#This Row],[Transp_ID]])*TransTonsShort[[#This Row],[Trans_Tons_All]]/TransTonsShort[[#This Row],[Trans_Tons_All]],"")</f>
        <v/>
      </c>
      <c r="X691" s="386" t="str">
        <f>TransTonsShort[[#This Row],[Grouping_ID]]&amp;"-"&amp;TransTonsShort[[#This Row],[Sector_ID]]</f>
        <v>1-3</v>
      </c>
      <c r="Y6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1" s="421">
        <f>INDEX(LandfillFees[Disposal Tip Fee 2025],MATCH(TransTonsShort[[#This Row],[Grouping_ID]],LandfillFees[Grouping_ID],0))</f>
        <v>134.68</v>
      </c>
      <c r="AA691" s="102">
        <f>IF(OR(TransTonsShort[[#This Row],[CollectionStream_ID]]="03",TransTonsShort[[#This Row],[CollectionStream_ID]]="04",TransTonsShort[[#This Row],[CollectionStream_ID]]="13"),0,TransTonsShort[[#This Row],[Trans_Tons_All]]*TransTonsShort[[#This Row],[Disposal_Fee]])</f>
        <v>0</v>
      </c>
    </row>
    <row r="692" spans="12:27" ht="15" x14ac:dyDescent="0.25">
      <c r="L692" s="446" t="s">
        <v>876</v>
      </c>
      <c r="M692" s="446">
        <v>2</v>
      </c>
      <c r="N692" s="446">
        <v>3</v>
      </c>
      <c r="O692" s="446" t="s">
        <v>752</v>
      </c>
      <c r="P692" s="450" t="s">
        <v>719</v>
      </c>
      <c r="Q692" s="450"/>
      <c r="R692" s="450"/>
      <c r="S692" s="449" t="s">
        <v>964</v>
      </c>
      <c r="T692" s="449" t="s">
        <v>1055</v>
      </c>
      <c r="U692" s="452">
        <v>0</v>
      </c>
      <c r="V6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2" s="272" t="str">
        <f>IFERROR(SUMIFS(TransUnitCost[Miles],TransUnitCost[Grouping_ID],TransTonsShort[[#This Row],[Grouping_ID]],TransUnitCost[Transp_ID],TransTonsShort[[#This Row],[Transp_ID]])*TransTonsShort[[#This Row],[Trans_Tons_All]]/TransTonsShort[[#This Row],[Trans_Tons_All]],"")</f>
        <v/>
      </c>
      <c r="X692" s="386" t="str">
        <f>TransTonsShort[[#This Row],[Grouping_ID]]&amp;"-"&amp;TransTonsShort[[#This Row],[Sector_ID]]</f>
        <v>2-3</v>
      </c>
      <c r="Y6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2" s="421">
        <f>INDEX(LandfillFees[Disposal Tip Fee 2025],MATCH(TransTonsShort[[#This Row],[Grouping_ID]],LandfillFees[Grouping_ID],0))</f>
        <v>72.030938699729589</v>
      </c>
      <c r="AA692" s="102">
        <f>IF(OR(TransTonsShort[[#This Row],[CollectionStream_ID]]="03",TransTonsShort[[#This Row],[CollectionStream_ID]]="04",TransTonsShort[[#This Row],[CollectionStream_ID]]="13"),0,TransTonsShort[[#This Row],[Trans_Tons_All]]*TransTonsShort[[#This Row],[Disposal_Fee]])</f>
        <v>0</v>
      </c>
    </row>
    <row r="693" spans="12:27" ht="15" x14ac:dyDescent="0.25">
      <c r="L693" s="446" t="s">
        <v>876</v>
      </c>
      <c r="M693" s="446">
        <v>3</v>
      </c>
      <c r="N693" s="446">
        <v>3</v>
      </c>
      <c r="O693" s="446" t="s">
        <v>752</v>
      </c>
      <c r="P693" s="450" t="s">
        <v>719</v>
      </c>
      <c r="Q693" s="450"/>
      <c r="R693" s="450"/>
      <c r="S693" s="449" t="s">
        <v>964</v>
      </c>
      <c r="T693" s="449" t="s">
        <v>1055</v>
      </c>
      <c r="U693" s="452">
        <v>0</v>
      </c>
      <c r="V6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3" s="272" t="str">
        <f>IFERROR(SUMIFS(TransUnitCost[Miles],TransUnitCost[Grouping_ID],TransTonsShort[[#This Row],[Grouping_ID]],TransUnitCost[Transp_ID],TransTonsShort[[#This Row],[Transp_ID]])*TransTonsShort[[#This Row],[Trans_Tons_All]]/TransTonsShort[[#This Row],[Trans_Tons_All]],"")</f>
        <v/>
      </c>
      <c r="X693" s="386" t="str">
        <f>TransTonsShort[[#This Row],[Grouping_ID]]&amp;"-"&amp;TransTonsShort[[#This Row],[Sector_ID]]</f>
        <v>3-3</v>
      </c>
      <c r="Y6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3" s="421">
        <f>INDEX(LandfillFees[Disposal Tip Fee 2025],MATCH(TransTonsShort[[#This Row],[Grouping_ID]],LandfillFees[Grouping_ID],0))</f>
        <v>72.030938699729589</v>
      </c>
      <c r="AA693" s="102">
        <f>IF(OR(TransTonsShort[[#This Row],[CollectionStream_ID]]="03",TransTonsShort[[#This Row],[CollectionStream_ID]]="04",TransTonsShort[[#This Row],[CollectionStream_ID]]="13"),0,TransTonsShort[[#This Row],[Trans_Tons_All]]*TransTonsShort[[#This Row],[Disposal_Fee]])</f>
        <v>0</v>
      </c>
    </row>
    <row r="694" spans="12:27" ht="15" x14ac:dyDescent="0.25">
      <c r="L694" s="446" t="s">
        <v>876</v>
      </c>
      <c r="M694" s="446">
        <v>4</v>
      </c>
      <c r="N694" s="446">
        <v>3</v>
      </c>
      <c r="O694" s="446" t="s">
        <v>752</v>
      </c>
      <c r="P694" s="450" t="s">
        <v>719</v>
      </c>
      <c r="Q694" s="450"/>
      <c r="R694" s="450"/>
      <c r="S694" s="449" t="s">
        <v>964</v>
      </c>
      <c r="T694" s="449" t="s">
        <v>1055</v>
      </c>
      <c r="U694" s="452">
        <v>0</v>
      </c>
      <c r="V6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4" s="272" t="str">
        <f>IFERROR(SUMIFS(TransUnitCost[Miles],TransUnitCost[Grouping_ID],TransTonsShort[[#This Row],[Grouping_ID]],TransUnitCost[Transp_ID],TransTonsShort[[#This Row],[Transp_ID]])*TransTonsShort[[#This Row],[Trans_Tons_All]]/TransTonsShort[[#This Row],[Trans_Tons_All]],"")</f>
        <v/>
      </c>
      <c r="X694" s="386" t="str">
        <f>TransTonsShort[[#This Row],[Grouping_ID]]&amp;"-"&amp;TransTonsShort[[#This Row],[Sector_ID]]</f>
        <v>4-3</v>
      </c>
      <c r="Y6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4" s="421">
        <f>INDEX(LandfillFees[Disposal Tip Fee 2025],MATCH(TransTonsShort[[#This Row],[Grouping_ID]],LandfillFees[Grouping_ID],0))</f>
        <v>72.030938699729589</v>
      </c>
      <c r="AA694" s="102">
        <f>IF(OR(TransTonsShort[[#This Row],[CollectionStream_ID]]="03",TransTonsShort[[#This Row],[CollectionStream_ID]]="04",TransTonsShort[[#This Row],[CollectionStream_ID]]="13"),0,TransTonsShort[[#This Row],[Trans_Tons_All]]*TransTonsShort[[#This Row],[Disposal_Fee]])</f>
        <v>0</v>
      </c>
    </row>
    <row r="695" spans="12:27" ht="15" x14ac:dyDescent="0.25">
      <c r="L695" s="446" t="s">
        <v>876</v>
      </c>
      <c r="M695" s="446">
        <v>1</v>
      </c>
      <c r="N695" s="446">
        <v>3</v>
      </c>
      <c r="O695" s="446" t="s">
        <v>752</v>
      </c>
      <c r="P695" s="449" t="s">
        <v>700</v>
      </c>
      <c r="Q695" s="449"/>
      <c r="R695" s="449"/>
      <c r="S695" s="449" t="s">
        <v>964</v>
      </c>
      <c r="T695" s="449" t="s">
        <v>701</v>
      </c>
      <c r="U695" s="452">
        <v>2837.9119120943196</v>
      </c>
      <c r="V6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5" s="272">
        <f>IFERROR(SUMIFS(TransUnitCost[Miles],TransUnitCost[Grouping_ID],TransTonsShort[[#This Row],[Grouping_ID]],TransUnitCost[Transp_ID],TransTonsShort[[#This Row],[Transp_ID]])*TransTonsShort[[#This Row],[Trans_Tons_All]]/TransTonsShort[[#This Row],[Trans_Tons_All]],"")</f>
        <v>0</v>
      </c>
      <c r="X695" s="386" t="str">
        <f>TransTonsShort[[#This Row],[Grouping_ID]]&amp;"-"&amp;TransTonsShort[[#This Row],[Sector_ID]]</f>
        <v>1-3</v>
      </c>
      <c r="Y6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5" s="421">
        <f>INDEX(LandfillFees[Disposal Tip Fee 2025],MATCH(TransTonsShort[[#This Row],[Grouping_ID]],LandfillFees[Grouping_ID],0))</f>
        <v>134.68</v>
      </c>
      <c r="AA695" s="102">
        <f>IF(OR(TransTonsShort[[#This Row],[CollectionStream_ID]]="03",TransTonsShort[[#This Row],[CollectionStream_ID]]="04",TransTonsShort[[#This Row],[CollectionStream_ID]]="13"),0,TransTonsShort[[#This Row],[Trans_Tons_All]]*TransTonsShort[[#This Row],[Disposal_Fee]])</f>
        <v>382209.976320863</v>
      </c>
    </row>
    <row r="696" spans="12:27" ht="15" x14ac:dyDescent="0.25">
      <c r="L696" s="446" t="s">
        <v>876</v>
      </c>
      <c r="M696" s="446">
        <v>2</v>
      </c>
      <c r="N696" s="446">
        <v>3</v>
      </c>
      <c r="O696" s="446" t="s">
        <v>752</v>
      </c>
      <c r="P696" s="449" t="s">
        <v>700</v>
      </c>
      <c r="Q696" s="449"/>
      <c r="R696" s="449"/>
      <c r="S696" s="449" t="s">
        <v>964</v>
      </c>
      <c r="T696" s="449" t="s">
        <v>701</v>
      </c>
      <c r="U696" s="452">
        <v>0</v>
      </c>
      <c r="V6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6" s="272" t="str">
        <f>IFERROR(SUMIFS(TransUnitCost[Miles],TransUnitCost[Grouping_ID],TransTonsShort[[#This Row],[Grouping_ID]],TransUnitCost[Transp_ID],TransTonsShort[[#This Row],[Transp_ID]])*TransTonsShort[[#This Row],[Trans_Tons_All]]/TransTonsShort[[#This Row],[Trans_Tons_All]],"")</f>
        <v/>
      </c>
      <c r="X696" s="386" t="str">
        <f>TransTonsShort[[#This Row],[Grouping_ID]]&amp;"-"&amp;TransTonsShort[[#This Row],[Sector_ID]]</f>
        <v>2-3</v>
      </c>
      <c r="Y6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6" s="421">
        <f>INDEX(LandfillFees[Disposal Tip Fee 2025],MATCH(TransTonsShort[[#This Row],[Grouping_ID]],LandfillFees[Grouping_ID],0))</f>
        <v>72.030938699729589</v>
      </c>
      <c r="AA696" s="102">
        <f>IF(OR(TransTonsShort[[#This Row],[CollectionStream_ID]]="03",TransTonsShort[[#This Row],[CollectionStream_ID]]="04",TransTonsShort[[#This Row],[CollectionStream_ID]]="13"),0,TransTonsShort[[#This Row],[Trans_Tons_All]]*TransTonsShort[[#This Row],[Disposal_Fee]])</f>
        <v>0</v>
      </c>
    </row>
    <row r="697" spans="12:27" ht="15" x14ac:dyDescent="0.25">
      <c r="L697" s="446" t="s">
        <v>876</v>
      </c>
      <c r="M697" s="446">
        <v>3</v>
      </c>
      <c r="N697" s="446">
        <v>3</v>
      </c>
      <c r="O697" s="446" t="s">
        <v>752</v>
      </c>
      <c r="P697" s="449" t="s">
        <v>700</v>
      </c>
      <c r="Q697" s="449"/>
      <c r="R697" s="449"/>
      <c r="S697" s="449" t="s">
        <v>964</v>
      </c>
      <c r="T697" s="449" t="s">
        <v>701</v>
      </c>
      <c r="U697" s="452">
        <v>0</v>
      </c>
      <c r="V6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7" s="272" t="str">
        <f>IFERROR(SUMIFS(TransUnitCost[Miles],TransUnitCost[Grouping_ID],TransTonsShort[[#This Row],[Grouping_ID]],TransUnitCost[Transp_ID],TransTonsShort[[#This Row],[Transp_ID]])*TransTonsShort[[#This Row],[Trans_Tons_All]]/TransTonsShort[[#This Row],[Trans_Tons_All]],"")</f>
        <v/>
      </c>
      <c r="X697" s="386" t="str">
        <f>TransTonsShort[[#This Row],[Grouping_ID]]&amp;"-"&amp;TransTonsShort[[#This Row],[Sector_ID]]</f>
        <v>3-3</v>
      </c>
      <c r="Y6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7" s="421">
        <f>INDEX(LandfillFees[Disposal Tip Fee 2025],MATCH(TransTonsShort[[#This Row],[Grouping_ID]],LandfillFees[Grouping_ID],0))</f>
        <v>72.030938699729589</v>
      </c>
      <c r="AA697" s="102">
        <f>IF(OR(TransTonsShort[[#This Row],[CollectionStream_ID]]="03",TransTonsShort[[#This Row],[CollectionStream_ID]]="04",TransTonsShort[[#This Row],[CollectionStream_ID]]="13"),0,TransTonsShort[[#This Row],[Trans_Tons_All]]*TransTonsShort[[#This Row],[Disposal_Fee]])</f>
        <v>0</v>
      </c>
    </row>
    <row r="698" spans="12:27" ht="15" x14ac:dyDescent="0.25">
      <c r="L698" s="446" t="s">
        <v>876</v>
      </c>
      <c r="M698" s="446">
        <v>4</v>
      </c>
      <c r="N698" s="446">
        <v>3</v>
      </c>
      <c r="O698" s="446" t="s">
        <v>752</v>
      </c>
      <c r="P698" s="449" t="s">
        <v>700</v>
      </c>
      <c r="Q698" s="449"/>
      <c r="R698" s="449"/>
      <c r="S698" s="449" t="s">
        <v>964</v>
      </c>
      <c r="T698" s="449" t="s">
        <v>701</v>
      </c>
      <c r="U698" s="452">
        <v>0</v>
      </c>
      <c r="V6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8" s="272" t="str">
        <f>IFERROR(SUMIFS(TransUnitCost[Miles],TransUnitCost[Grouping_ID],TransTonsShort[[#This Row],[Grouping_ID]],TransUnitCost[Transp_ID],TransTonsShort[[#This Row],[Transp_ID]])*TransTonsShort[[#This Row],[Trans_Tons_All]]/TransTonsShort[[#This Row],[Trans_Tons_All]],"")</f>
        <v/>
      </c>
      <c r="X698" s="386" t="str">
        <f>TransTonsShort[[#This Row],[Grouping_ID]]&amp;"-"&amp;TransTonsShort[[#This Row],[Sector_ID]]</f>
        <v>4-3</v>
      </c>
      <c r="Y6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8" s="421">
        <f>INDEX(LandfillFees[Disposal Tip Fee 2025],MATCH(TransTonsShort[[#This Row],[Grouping_ID]],LandfillFees[Grouping_ID],0))</f>
        <v>72.030938699729589</v>
      </c>
      <c r="AA698" s="102">
        <f>IF(OR(TransTonsShort[[#This Row],[CollectionStream_ID]]="03",TransTonsShort[[#This Row],[CollectionStream_ID]]="04",TransTonsShort[[#This Row],[CollectionStream_ID]]="13"),0,TransTonsShort[[#This Row],[Trans_Tons_All]]*TransTonsShort[[#This Row],[Disposal_Fee]])</f>
        <v>0</v>
      </c>
    </row>
    <row r="699" spans="12:27" ht="15" x14ac:dyDescent="0.25">
      <c r="L699" s="446" t="s">
        <v>876</v>
      </c>
      <c r="M699" s="446">
        <v>1</v>
      </c>
      <c r="N699" s="446">
        <v>3</v>
      </c>
      <c r="O699" s="446" t="s">
        <v>752</v>
      </c>
      <c r="P699" s="449" t="s">
        <v>706</v>
      </c>
      <c r="Q699" s="449"/>
      <c r="R699" s="449"/>
      <c r="S699" s="449" t="s">
        <v>964</v>
      </c>
      <c r="T699" s="449" t="s">
        <v>1025</v>
      </c>
      <c r="U699" s="452">
        <v>0</v>
      </c>
      <c r="V6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699" s="272" t="str">
        <f>IFERROR(SUMIFS(TransUnitCost[Miles],TransUnitCost[Grouping_ID],TransTonsShort[[#This Row],[Grouping_ID]],TransUnitCost[Transp_ID],TransTonsShort[[#This Row],[Transp_ID]])*TransTonsShort[[#This Row],[Trans_Tons_All]]/TransTonsShort[[#This Row],[Trans_Tons_All]],"")</f>
        <v/>
      </c>
      <c r="X699" s="386" t="str">
        <f>TransTonsShort[[#This Row],[Grouping_ID]]&amp;"-"&amp;TransTonsShort[[#This Row],[Sector_ID]]</f>
        <v>1-3</v>
      </c>
      <c r="Y6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699" s="421">
        <f>INDEX(LandfillFees[Disposal Tip Fee 2025],MATCH(TransTonsShort[[#This Row],[Grouping_ID]],LandfillFees[Grouping_ID],0))</f>
        <v>134.68</v>
      </c>
      <c r="AA699" s="102">
        <f>IF(OR(TransTonsShort[[#This Row],[CollectionStream_ID]]="03",TransTonsShort[[#This Row],[CollectionStream_ID]]="04",TransTonsShort[[#This Row],[CollectionStream_ID]]="13"),0,TransTonsShort[[#This Row],[Trans_Tons_All]]*TransTonsShort[[#This Row],[Disposal_Fee]])</f>
        <v>0</v>
      </c>
    </row>
    <row r="700" spans="12:27" ht="15" x14ac:dyDescent="0.25">
      <c r="L700" s="446" t="s">
        <v>876</v>
      </c>
      <c r="M700" s="446">
        <v>2</v>
      </c>
      <c r="N700" s="446">
        <v>3</v>
      </c>
      <c r="O700" s="446" t="s">
        <v>752</v>
      </c>
      <c r="P700" s="449" t="s">
        <v>706</v>
      </c>
      <c r="Q700" s="449"/>
      <c r="R700" s="449"/>
      <c r="S700" s="449" t="s">
        <v>964</v>
      </c>
      <c r="T700" s="449" t="s">
        <v>1025</v>
      </c>
      <c r="U700" s="452">
        <v>367.78266139647616</v>
      </c>
      <c r="V7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10297.914519101332</v>
      </c>
      <c r="W700" s="272">
        <f>IFERROR(SUMIFS(TransUnitCost[Miles],TransUnitCost[Grouping_ID],TransTonsShort[[#This Row],[Grouping_ID]],TransUnitCost[Transp_ID],TransTonsShort[[#This Row],[Transp_ID]])*TransTonsShort[[#This Row],[Trans_Tons_All]]/TransTonsShort[[#This Row],[Trans_Tons_All]],"")</f>
        <v>70</v>
      </c>
      <c r="X700" s="386" t="str">
        <f>TransTonsShort[[#This Row],[Grouping_ID]]&amp;"-"&amp;TransTonsShort[[#This Row],[Sector_ID]]</f>
        <v>2-3</v>
      </c>
      <c r="Y7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0" s="421">
        <f>INDEX(LandfillFees[Disposal Tip Fee 2025],MATCH(TransTonsShort[[#This Row],[Grouping_ID]],LandfillFees[Grouping_ID],0))</f>
        <v>72.030938699729589</v>
      </c>
      <c r="AA700" s="102">
        <f>IF(OR(TransTonsShort[[#This Row],[CollectionStream_ID]]="03",TransTonsShort[[#This Row],[CollectionStream_ID]]="04",TransTonsShort[[#This Row],[CollectionStream_ID]]="13"),0,TransTonsShort[[#This Row],[Trans_Tons_All]]*TransTonsShort[[#This Row],[Disposal_Fee]])</f>
        <v>26491.730337872978</v>
      </c>
    </row>
    <row r="701" spans="12:27" ht="15" x14ac:dyDescent="0.25">
      <c r="L701" s="446" t="s">
        <v>876</v>
      </c>
      <c r="M701" s="446">
        <v>3</v>
      </c>
      <c r="N701" s="446">
        <v>3</v>
      </c>
      <c r="O701" s="446" t="s">
        <v>752</v>
      </c>
      <c r="P701" s="449" t="s">
        <v>706</v>
      </c>
      <c r="Q701" s="449"/>
      <c r="R701" s="449"/>
      <c r="S701" s="449" t="s">
        <v>964</v>
      </c>
      <c r="T701" s="449" t="s">
        <v>1025</v>
      </c>
      <c r="U701" s="452">
        <v>147.89399146491724</v>
      </c>
      <c r="V7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7764.4345519081544</v>
      </c>
      <c r="W701" s="272">
        <f>IFERROR(SUMIFS(TransUnitCost[Miles],TransUnitCost[Grouping_ID],TransTonsShort[[#This Row],[Grouping_ID]],TransUnitCost[Transp_ID],TransTonsShort[[#This Row],[Transp_ID]])*TransTonsShort[[#This Row],[Trans_Tons_All]]/TransTonsShort[[#This Row],[Trans_Tons_All]],"")</f>
        <v>150</v>
      </c>
      <c r="X701" s="386" t="str">
        <f>TransTonsShort[[#This Row],[Grouping_ID]]&amp;"-"&amp;TransTonsShort[[#This Row],[Sector_ID]]</f>
        <v>3-3</v>
      </c>
      <c r="Y7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1" s="421">
        <f>INDEX(LandfillFees[Disposal Tip Fee 2025],MATCH(TransTonsShort[[#This Row],[Grouping_ID]],LandfillFees[Grouping_ID],0))</f>
        <v>72.030938699729589</v>
      </c>
      <c r="AA701" s="102">
        <f>IF(OR(TransTonsShort[[#This Row],[CollectionStream_ID]]="03",TransTonsShort[[#This Row],[CollectionStream_ID]]="04",TransTonsShort[[#This Row],[CollectionStream_ID]]="13"),0,TransTonsShort[[#This Row],[Trans_Tons_All]]*TransTonsShort[[#This Row],[Disposal_Fee]])</f>
        <v>10652.943033267784</v>
      </c>
    </row>
    <row r="702" spans="12:27" ht="15" x14ac:dyDescent="0.25">
      <c r="L702" s="446" t="s">
        <v>876</v>
      </c>
      <c r="M702" s="446">
        <v>4</v>
      </c>
      <c r="N702" s="446">
        <v>3</v>
      </c>
      <c r="O702" s="446" t="s">
        <v>752</v>
      </c>
      <c r="P702" s="449" t="s">
        <v>706</v>
      </c>
      <c r="Q702" s="449"/>
      <c r="R702" s="449"/>
      <c r="S702" s="449" t="s">
        <v>964</v>
      </c>
      <c r="T702" s="449" t="s">
        <v>1025</v>
      </c>
      <c r="U702" s="452">
        <v>139.79439929823366</v>
      </c>
      <c r="V7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13979.439929823366</v>
      </c>
      <c r="W702" s="272">
        <f>IFERROR(SUMIFS(TransUnitCost[Miles],TransUnitCost[Grouping_ID],TransTonsShort[[#This Row],[Grouping_ID]],TransUnitCost[Transp_ID],TransTonsShort[[#This Row],[Transp_ID]])*TransTonsShort[[#This Row],[Trans_Tons_All]]/TransTonsShort[[#This Row],[Trans_Tons_All]],"")</f>
        <v>250</v>
      </c>
      <c r="X702" s="386" t="str">
        <f>TransTonsShort[[#This Row],[Grouping_ID]]&amp;"-"&amp;TransTonsShort[[#This Row],[Sector_ID]]</f>
        <v>4-3</v>
      </c>
      <c r="Y7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2" s="421">
        <f>INDEX(LandfillFees[Disposal Tip Fee 2025],MATCH(TransTonsShort[[#This Row],[Grouping_ID]],LandfillFees[Grouping_ID],0))</f>
        <v>72.030938699729589</v>
      </c>
      <c r="AA702" s="102">
        <f>IF(OR(TransTonsShort[[#This Row],[CollectionStream_ID]]="03",TransTonsShort[[#This Row],[CollectionStream_ID]]="04",TransTonsShort[[#This Row],[CollectionStream_ID]]="13"),0,TransTonsShort[[#This Row],[Trans_Tons_All]]*TransTonsShort[[#This Row],[Disposal_Fee]])</f>
        <v>10069.521806416589</v>
      </c>
    </row>
    <row r="703" spans="12:27" ht="15" x14ac:dyDescent="0.25">
      <c r="L703" s="446" t="s">
        <v>876</v>
      </c>
      <c r="M703" s="446">
        <v>1</v>
      </c>
      <c r="N703" s="446">
        <v>3</v>
      </c>
      <c r="O703" s="446" t="s">
        <v>750</v>
      </c>
      <c r="P703" s="449" t="s">
        <v>739</v>
      </c>
      <c r="Q703" s="449"/>
      <c r="R703" s="449"/>
      <c r="S703" s="449" t="s">
        <v>963</v>
      </c>
      <c r="T703" s="449" t="s">
        <v>1121</v>
      </c>
      <c r="U703" s="452">
        <v>3476.0354868932004</v>
      </c>
      <c r="V7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67435.088445728077</v>
      </c>
      <c r="W703" s="272">
        <f>IFERROR(SUMIFS(TransUnitCost[Miles],TransUnitCost[Grouping_ID],TransTonsShort[[#This Row],[Grouping_ID]],TransUnitCost[Transp_ID],TransTonsShort[[#This Row],[Transp_ID]])*TransTonsShort[[#This Row],[Trans_Tons_All]]/TransTonsShort[[#This Row],[Trans_Tons_All]],"")</f>
        <v>20</v>
      </c>
      <c r="X703" s="386" t="str">
        <f>TransTonsShort[[#This Row],[Grouping_ID]]&amp;"-"&amp;TransTonsShort[[#This Row],[Sector_ID]]</f>
        <v>1-3</v>
      </c>
      <c r="Y7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3" s="421">
        <f>INDEX(LandfillFees[Disposal Tip Fee 2025],MATCH(TransTonsShort[[#This Row],[Grouping_ID]],LandfillFees[Grouping_ID],0))</f>
        <v>134.68</v>
      </c>
      <c r="AA703" s="102">
        <f>IF(OR(TransTonsShort[[#This Row],[CollectionStream_ID]]="03",TransTonsShort[[#This Row],[CollectionStream_ID]]="04",TransTonsShort[[#This Row],[CollectionStream_ID]]="13"),0,TransTonsShort[[#This Row],[Trans_Tons_All]]*TransTonsShort[[#This Row],[Disposal_Fee]])</f>
        <v>468152.45937477623</v>
      </c>
    </row>
    <row r="704" spans="12:27" ht="15" x14ac:dyDescent="0.25">
      <c r="L704" s="446" t="s">
        <v>876</v>
      </c>
      <c r="M704" s="446">
        <v>2</v>
      </c>
      <c r="N704" s="446">
        <v>3</v>
      </c>
      <c r="O704" s="446" t="s">
        <v>750</v>
      </c>
      <c r="P704" s="449" t="s">
        <v>739</v>
      </c>
      <c r="Q704" s="449"/>
      <c r="R704" s="449"/>
      <c r="S704" s="449" t="s">
        <v>963</v>
      </c>
      <c r="T704" s="449" t="s">
        <v>1121</v>
      </c>
      <c r="U704" s="452">
        <v>868.74014737430389</v>
      </c>
      <c r="V7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35878.968086558751</v>
      </c>
      <c r="W704" s="272">
        <f>IFERROR(SUMIFS(TransUnitCost[Miles],TransUnitCost[Grouping_ID],TransTonsShort[[#This Row],[Grouping_ID]],TransUnitCost[Transp_ID],TransTonsShort[[#This Row],[Transp_ID]])*TransTonsShort[[#This Row],[Trans_Tons_All]]/TransTonsShort[[#This Row],[Trans_Tons_All]],"")</f>
        <v>70</v>
      </c>
      <c r="X704" s="386" t="str">
        <f>TransTonsShort[[#This Row],[Grouping_ID]]&amp;"-"&amp;TransTonsShort[[#This Row],[Sector_ID]]</f>
        <v>2-3</v>
      </c>
      <c r="Y7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4" s="421">
        <f>INDEX(LandfillFees[Disposal Tip Fee 2025],MATCH(TransTonsShort[[#This Row],[Grouping_ID]],LandfillFees[Grouping_ID],0))</f>
        <v>72.030938699729589</v>
      </c>
      <c r="AA704" s="102">
        <f>IF(OR(TransTonsShort[[#This Row],[CollectionStream_ID]]="03",TransTonsShort[[#This Row],[CollectionStream_ID]]="04",TransTonsShort[[#This Row],[CollectionStream_ID]]="13"),0,TransTonsShort[[#This Row],[Trans_Tons_All]]*TransTonsShort[[#This Row],[Disposal_Fee]])</f>
        <v>62576.168301512531</v>
      </c>
    </row>
    <row r="705" spans="12:27" ht="15" x14ac:dyDescent="0.25">
      <c r="L705" s="446" t="s">
        <v>876</v>
      </c>
      <c r="M705" s="446">
        <v>3</v>
      </c>
      <c r="N705" s="446">
        <v>3</v>
      </c>
      <c r="O705" s="446" t="s">
        <v>750</v>
      </c>
      <c r="P705" s="449" t="s">
        <v>739</v>
      </c>
      <c r="Q705" s="449"/>
      <c r="R705" s="449"/>
      <c r="S705" s="449" t="s">
        <v>963</v>
      </c>
      <c r="T705" s="449" t="s">
        <v>1121</v>
      </c>
      <c r="U705" s="452">
        <v>15.583113133856919</v>
      </c>
      <c r="V7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560.99207281884912</v>
      </c>
      <c r="W705" s="272">
        <f>IFERROR(SUMIFS(TransUnitCost[Miles],TransUnitCost[Grouping_ID],TransTonsShort[[#This Row],[Grouping_ID]],TransUnitCost[Transp_ID],TransTonsShort[[#This Row],[Transp_ID]])*TransTonsShort[[#This Row],[Trans_Tons_All]]/TransTonsShort[[#This Row],[Trans_Tons_All]],"")</f>
        <v>150</v>
      </c>
      <c r="X705" s="386" t="str">
        <f>TransTonsShort[[#This Row],[Grouping_ID]]&amp;"-"&amp;TransTonsShort[[#This Row],[Sector_ID]]</f>
        <v>3-3</v>
      </c>
      <c r="Y7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5" s="421">
        <f>INDEX(LandfillFees[Disposal Tip Fee 2025],MATCH(TransTonsShort[[#This Row],[Grouping_ID]],LandfillFees[Grouping_ID],0))</f>
        <v>72.030938699729589</v>
      </c>
      <c r="AA705" s="102">
        <f>IF(OR(TransTonsShort[[#This Row],[CollectionStream_ID]]="03",TransTonsShort[[#This Row],[CollectionStream_ID]]="04",TransTonsShort[[#This Row],[CollectionStream_ID]]="13"),0,TransTonsShort[[#This Row],[Trans_Tons_All]]*TransTonsShort[[#This Row],[Disposal_Fee]])</f>
        <v>1122.4662668957988</v>
      </c>
    </row>
    <row r="706" spans="12:27" ht="15" x14ac:dyDescent="0.25">
      <c r="L706" s="446" t="s">
        <v>876</v>
      </c>
      <c r="M706" s="446">
        <v>4</v>
      </c>
      <c r="N706" s="446">
        <v>3</v>
      </c>
      <c r="O706" s="446" t="s">
        <v>750</v>
      </c>
      <c r="P706" s="449" t="s">
        <v>739</v>
      </c>
      <c r="Q706" s="449"/>
      <c r="R706" s="449"/>
      <c r="S706" s="449" t="s">
        <v>963</v>
      </c>
      <c r="T706" s="449" t="s">
        <v>1121</v>
      </c>
      <c r="U706" s="452">
        <v>300.20272569462372</v>
      </c>
      <c r="V7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16511.149913204306</v>
      </c>
      <c r="W706" s="272">
        <f>IFERROR(SUMIFS(TransUnitCost[Miles],TransUnitCost[Grouping_ID],TransTonsShort[[#This Row],[Grouping_ID]],TransUnitCost[Transp_ID],TransTonsShort[[#This Row],[Transp_ID]])*TransTonsShort[[#This Row],[Trans_Tons_All]]/TransTonsShort[[#This Row],[Trans_Tons_All]],"")</f>
        <v>250</v>
      </c>
      <c r="X706" s="386" t="str">
        <f>TransTonsShort[[#This Row],[Grouping_ID]]&amp;"-"&amp;TransTonsShort[[#This Row],[Sector_ID]]</f>
        <v>4-3</v>
      </c>
      <c r="Y7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6" s="421">
        <f>INDEX(LandfillFees[Disposal Tip Fee 2025],MATCH(TransTonsShort[[#This Row],[Grouping_ID]],LandfillFees[Grouping_ID],0))</f>
        <v>72.030938699729589</v>
      </c>
      <c r="AA706" s="102">
        <f>IF(OR(TransTonsShort[[#This Row],[CollectionStream_ID]]="03",TransTonsShort[[#This Row],[CollectionStream_ID]]="04",TransTonsShort[[#This Row],[CollectionStream_ID]]="13"),0,TransTonsShort[[#This Row],[Trans_Tons_All]]*TransTonsShort[[#This Row],[Disposal_Fee]])</f>
        <v>21623.884132001178</v>
      </c>
    </row>
    <row r="707" spans="12:27" ht="15" x14ac:dyDescent="0.25">
      <c r="L707" s="446" t="s">
        <v>876</v>
      </c>
      <c r="M707" s="446">
        <v>1</v>
      </c>
      <c r="N707" s="446">
        <v>3</v>
      </c>
      <c r="O707" s="446" t="s">
        <v>750</v>
      </c>
      <c r="P707" s="449" t="s">
        <v>700</v>
      </c>
      <c r="Q707" s="449"/>
      <c r="R707" s="449"/>
      <c r="S707" s="449" t="s">
        <v>963</v>
      </c>
      <c r="T707" s="449" t="s">
        <v>701</v>
      </c>
      <c r="U707" s="452">
        <v>0</v>
      </c>
      <c r="V7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07" s="272" t="str">
        <f>IFERROR(SUMIFS(TransUnitCost[Miles],TransUnitCost[Grouping_ID],TransTonsShort[[#This Row],[Grouping_ID]],TransUnitCost[Transp_ID],TransTonsShort[[#This Row],[Transp_ID]])*TransTonsShort[[#This Row],[Trans_Tons_All]]/TransTonsShort[[#This Row],[Trans_Tons_All]],"")</f>
        <v/>
      </c>
      <c r="X707" s="386" t="str">
        <f>TransTonsShort[[#This Row],[Grouping_ID]]&amp;"-"&amp;TransTonsShort[[#This Row],[Sector_ID]]</f>
        <v>1-3</v>
      </c>
      <c r="Y7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7" s="421">
        <f>INDEX(LandfillFees[Disposal Tip Fee 2025],MATCH(TransTonsShort[[#This Row],[Grouping_ID]],LandfillFees[Grouping_ID],0))</f>
        <v>134.68</v>
      </c>
      <c r="AA707" s="102">
        <f>IF(OR(TransTonsShort[[#This Row],[CollectionStream_ID]]="03",TransTonsShort[[#This Row],[CollectionStream_ID]]="04",TransTonsShort[[#This Row],[CollectionStream_ID]]="13"),0,TransTonsShort[[#This Row],[Trans_Tons_All]]*TransTonsShort[[#This Row],[Disposal_Fee]])</f>
        <v>0</v>
      </c>
    </row>
    <row r="708" spans="12:27" ht="15" x14ac:dyDescent="0.25">
      <c r="L708" s="446" t="s">
        <v>876</v>
      </c>
      <c r="M708" s="446">
        <v>2</v>
      </c>
      <c r="N708" s="446">
        <v>3</v>
      </c>
      <c r="O708" s="446" t="s">
        <v>750</v>
      </c>
      <c r="P708" s="449" t="s">
        <v>700</v>
      </c>
      <c r="Q708" s="449"/>
      <c r="R708" s="449"/>
      <c r="S708" s="449" t="s">
        <v>963</v>
      </c>
      <c r="T708" s="449" t="s">
        <v>701</v>
      </c>
      <c r="U708" s="452">
        <v>0</v>
      </c>
      <c r="V7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08" s="272" t="str">
        <f>IFERROR(SUMIFS(TransUnitCost[Miles],TransUnitCost[Grouping_ID],TransTonsShort[[#This Row],[Grouping_ID]],TransUnitCost[Transp_ID],TransTonsShort[[#This Row],[Transp_ID]])*TransTonsShort[[#This Row],[Trans_Tons_All]]/TransTonsShort[[#This Row],[Trans_Tons_All]],"")</f>
        <v/>
      </c>
      <c r="X708" s="386" t="str">
        <f>TransTonsShort[[#This Row],[Grouping_ID]]&amp;"-"&amp;TransTonsShort[[#This Row],[Sector_ID]]</f>
        <v>2-3</v>
      </c>
      <c r="Y7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8" s="421">
        <f>INDEX(LandfillFees[Disposal Tip Fee 2025],MATCH(TransTonsShort[[#This Row],[Grouping_ID]],LandfillFees[Grouping_ID],0))</f>
        <v>72.030938699729589</v>
      </c>
      <c r="AA708" s="102">
        <f>IF(OR(TransTonsShort[[#This Row],[CollectionStream_ID]]="03",TransTonsShort[[#This Row],[CollectionStream_ID]]="04",TransTonsShort[[#This Row],[CollectionStream_ID]]="13"),0,TransTonsShort[[#This Row],[Trans_Tons_All]]*TransTonsShort[[#This Row],[Disposal_Fee]])</f>
        <v>0</v>
      </c>
    </row>
    <row r="709" spans="12:27" ht="15" x14ac:dyDescent="0.25">
      <c r="L709" s="446" t="s">
        <v>876</v>
      </c>
      <c r="M709" s="446">
        <v>3</v>
      </c>
      <c r="N709" s="446">
        <v>3</v>
      </c>
      <c r="O709" s="446" t="s">
        <v>750</v>
      </c>
      <c r="P709" s="449" t="s">
        <v>700</v>
      </c>
      <c r="Q709" s="449"/>
      <c r="R709" s="449"/>
      <c r="S709" s="449" t="s">
        <v>963</v>
      </c>
      <c r="T709" s="449" t="s">
        <v>701</v>
      </c>
      <c r="U709" s="452">
        <v>0</v>
      </c>
      <c r="V7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09" s="272" t="str">
        <f>IFERROR(SUMIFS(TransUnitCost[Miles],TransUnitCost[Grouping_ID],TransTonsShort[[#This Row],[Grouping_ID]],TransUnitCost[Transp_ID],TransTonsShort[[#This Row],[Transp_ID]])*TransTonsShort[[#This Row],[Trans_Tons_All]]/TransTonsShort[[#This Row],[Trans_Tons_All]],"")</f>
        <v/>
      </c>
      <c r="X709" s="386" t="str">
        <f>TransTonsShort[[#This Row],[Grouping_ID]]&amp;"-"&amp;TransTonsShort[[#This Row],[Sector_ID]]</f>
        <v>3-3</v>
      </c>
      <c r="Y7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09" s="421">
        <f>INDEX(LandfillFees[Disposal Tip Fee 2025],MATCH(TransTonsShort[[#This Row],[Grouping_ID]],LandfillFees[Grouping_ID],0))</f>
        <v>72.030938699729589</v>
      </c>
      <c r="AA709" s="102">
        <f>IF(OR(TransTonsShort[[#This Row],[CollectionStream_ID]]="03",TransTonsShort[[#This Row],[CollectionStream_ID]]="04",TransTonsShort[[#This Row],[CollectionStream_ID]]="13"),0,TransTonsShort[[#This Row],[Trans_Tons_All]]*TransTonsShort[[#This Row],[Disposal_Fee]])</f>
        <v>0</v>
      </c>
    </row>
    <row r="710" spans="12:27" ht="15" x14ac:dyDescent="0.25">
      <c r="L710" s="446" t="s">
        <v>876</v>
      </c>
      <c r="M710" s="446">
        <v>4</v>
      </c>
      <c r="N710" s="446">
        <v>3</v>
      </c>
      <c r="O710" s="446" t="s">
        <v>750</v>
      </c>
      <c r="P710" s="449" t="s">
        <v>700</v>
      </c>
      <c r="Q710" s="449"/>
      <c r="R710" s="449"/>
      <c r="S710" s="449" t="s">
        <v>963</v>
      </c>
      <c r="T710" s="449" t="s">
        <v>701</v>
      </c>
      <c r="U710" s="452">
        <v>0</v>
      </c>
      <c r="V7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0" s="272" t="str">
        <f>IFERROR(SUMIFS(TransUnitCost[Miles],TransUnitCost[Grouping_ID],TransTonsShort[[#This Row],[Grouping_ID]],TransUnitCost[Transp_ID],TransTonsShort[[#This Row],[Transp_ID]])*TransTonsShort[[#This Row],[Trans_Tons_All]]/TransTonsShort[[#This Row],[Trans_Tons_All]],"")</f>
        <v/>
      </c>
      <c r="X710" s="386" t="str">
        <f>TransTonsShort[[#This Row],[Grouping_ID]]&amp;"-"&amp;TransTonsShort[[#This Row],[Sector_ID]]</f>
        <v>4-3</v>
      </c>
      <c r="Y7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10" s="421">
        <f>INDEX(LandfillFees[Disposal Tip Fee 2025],MATCH(TransTonsShort[[#This Row],[Grouping_ID]],LandfillFees[Grouping_ID],0))</f>
        <v>72.030938699729589</v>
      </c>
      <c r="AA710" s="102">
        <f>IF(OR(TransTonsShort[[#This Row],[CollectionStream_ID]]="03",TransTonsShort[[#This Row],[CollectionStream_ID]]="04",TransTonsShort[[#This Row],[CollectionStream_ID]]="13"),0,TransTonsShort[[#This Row],[Trans_Tons_All]]*TransTonsShort[[#This Row],[Disposal_Fee]])</f>
        <v>0</v>
      </c>
    </row>
    <row r="711" spans="12:27" ht="15" x14ac:dyDescent="0.25">
      <c r="L711" s="446" t="s">
        <v>875</v>
      </c>
      <c r="M711" s="446">
        <v>1</v>
      </c>
      <c r="N711" s="446">
        <v>3</v>
      </c>
      <c r="O711" s="446" t="s">
        <v>700</v>
      </c>
      <c r="P711" s="449" t="s">
        <v>719</v>
      </c>
      <c r="Q711" s="449"/>
      <c r="R711" s="449"/>
      <c r="S711" s="449" t="s">
        <v>872</v>
      </c>
      <c r="T711" s="449" t="s">
        <v>1055</v>
      </c>
      <c r="U711" s="452">
        <v>0</v>
      </c>
      <c r="V7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1" s="272" t="str">
        <f>IFERROR(SUMIFS(TransUnitCost[Miles],TransUnitCost[Grouping_ID],TransTonsShort[[#This Row],[Grouping_ID]],TransUnitCost[Transp_ID],TransTonsShort[[#This Row],[Transp_ID]])*TransTonsShort[[#This Row],[Trans_Tons_All]]/TransTonsShort[[#This Row],[Trans_Tons_All]],"")</f>
        <v/>
      </c>
      <c r="X711" s="386" t="str">
        <f>TransTonsShort[[#This Row],[Grouping_ID]]&amp;"-"&amp;TransTonsShort[[#This Row],[Sector_ID]]</f>
        <v>1-3</v>
      </c>
      <c r="Y7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1" s="421">
        <f>INDEX(LandfillFees[Disposal Tip Fee 2025],MATCH(TransTonsShort[[#This Row],[Grouping_ID]],LandfillFees[Grouping_ID],0))</f>
        <v>134.68</v>
      </c>
      <c r="AA711" s="102">
        <f>IF(OR(TransTonsShort[[#This Row],[CollectionStream_ID]]="03",TransTonsShort[[#This Row],[CollectionStream_ID]]="04",TransTonsShort[[#This Row],[CollectionStream_ID]]="13"),0,TransTonsShort[[#This Row],[Trans_Tons_All]]*TransTonsShort[[#This Row],[Disposal_Fee]])</f>
        <v>0</v>
      </c>
    </row>
    <row r="712" spans="12:27" ht="15" x14ac:dyDescent="0.25">
      <c r="L712" s="446" t="s">
        <v>875</v>
      </c>
      <c r="M712" s="446">
        <v>2</v>
      </c>
      <c r="N712" s="446">
        <v>3</v>
      </c>
      <c r="O712" s="446" t="s">
        <v>700</v>
      </c>
      <c r="P712" s="449" t="s">
        <v>719</v>
      </c>
      <c r="Q712" s="449"/>
      <c r="R712" s="449"/>
      <c r="S712" s="449" t="s">
        <v>872</v>
      </c>
      <c r="T712" s="449" t="s">
        <v>1055</v>
      </c>
      <c r="U712" s="452">
        <v>0</v>
      </c>
      <c r="V7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2" s="272" t="str">
        <f>IFERROR(SUMIFS(TransUnitCost[Miles],TransUnitCost[Grouping_ID],TransTonsShort[[#This Row],[Grouping_ID]],TransUnitCost[Transp_ID],TransTonsShort[[#This Row],[Transp_ID]])*TransTonsShort[[#This Row],[Trans_Tons_All]]/TransTonsShort[[#This Row],[Trans_Tons_All]],"")</f>
        <v/>
      </c>
      <c r="X712" s="386" t="str">
        <f>TransTonsShort[[#This Row],[Grouping_ID]]&amp;"-"&amp;TransTonsShort[[#This Row],[Sector_ID]]</f>
        <v>2-3</v>
      </c>
      <c r="Y7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2" s="421">
        <f>INDEX(LandfillFees[Disposal Tip Fee 2025],MATCH(TransTonsShort[[#This Row],[Grouping_ID]],LandfillFees[Grouping_ID],0))</f>
        <v>72.030938699729589</v>
      </c>
      <c r="AA712" s="102">
        <f>IF(OR(TransTonsShort[[#This Row],[CollectionStream_ID]]="03",TransTonsShort[[#This Row],[CollectionStream_ID]]="04",TransTonsShort[[#This Row],[CollectionStream_ID]]="13"),0,TransTonsShort[[#This Row],[Trans_Tons_All]]*TransTonsShort[[#This Row],[Disposal_Fee]])</f>
        <v>0</v>
      </c>
    </row>
    <row r="713" spans="12:27" ht="15" x14ac:dyDescent="0.25">
      <c r="L713" s="446" t="s">
        <v>875</v>
      </c>
      <c r="M713" s="446">
        <v>3</v>
      </c>
      <c r="N713" s="446">
        <v>3</v>
      </c>
      <c r="O713" s="446" t="s">
        <v>700</v>
      </c>
      <c r="P713" s="449" t="s">
        <v>719</v>
      </c>
      <c r="Q713" s="449"/>
      <c r="R713" s="449"/>
      <c r="S713" s="449" t="s">
        <v>872</v>
      </c>
      <c r="T713" s="449" t="s">
        <v>1055</v>
      </c>
      <c r="U713" s="452">
        <v>0</v>
      </c>
      <c r="V7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3" s="272" t="str">
        <f>IFERROR(SUMIFS(TransUnitCost[Miles],TransUnitCost[Grouping_ID],TransTonsShort[[#This Row],[Grouping_ID]],TransUnitCost[Transp_ID],TransTonsShort[[#This Row],[Transp_ID]])*TransTonsShort[[#This Row],[Trans_Tons_All]]/TransTonsShort[[#This Row],[Trans_Tons_All]],"")</f>
        <v/>
      </c>
      <c r="X713" s="386" t="str">
        <f>TransTonsShort[[#This Row],[Grouping_ID]]&amp;"-"&amp;TransTonsShort[[#This Row],[Sector_ID]]</f>
        <v>3-3</v>
      </c>
      <c r="Y7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3" s="421">
        <f>INDEX(LandfillFees[Disposal Tip Fee 2025],MATCH(TransTonsShort[[#This Row],[Grouping_ID]],LandfillFees[Grouping_ID],0))</f>
        <v>72.030938699729589</v>
      </c>
      <c r="AA713" s="102">
        <f>IF(OR(TransTonsShort[[#This Row],[CollectionStream_ID]]="03",TransTonsShort[[#This Row],[CollectionStream_ID]]="04",TransTonsShort[[#This Row],[CollectionStream_ID]]="13"),0,TransTonsShort[[#This Row],[Trans_Tons_All]]*TransTonsShort[[#This Row],[Disposal_Fee]])</f>
        <v>0</v>
      </c>
    </row>
    <row r="714" spans="12:27" ht="15" x14ac:dyDescent="0.25">
      <c r="L714" s="446" t="s">
        <v>875</v>
      </c>
      <c r="M714" s="446">
        <v>4</v>
      </c>
      <c r="N714" s="446">
        <v>3</v>
      </c>
      <c r="O714" s="446" t="s">
        <v>700</v>
      </c>
      <c r="P714" s="449" t="s">
        <v>719</v>
      </c>
      <c r="Q714" s="449"/>
      <c r="R714" s="449"/>
      <c r="S714" s="449" t="s">
        <v>872</v>
      </c>
      <c r="T714" s="449" t="s">
        <v>1055</v>
      </c>
      <c r="U714" s="452">
        <v>0</v>
      </c>
      <c r="V7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4" s="272" t="str">
        <f>IFERROR(SUMIFS(TransUnitCost[Miles],TransUnitCost[Grouping_ID],TransTonsShort[[#This Row],[Grouping_ID]],TransUnitCost[Transp_ID],TransTonsShort[[#This Row],[Transp_ID]])*TransTonsShort[[#This Row],[Trans_Tons_All]]/TransTonsShort[[#This Row],[Trans_Tons_All]],"")</f>
        <v/>
      </c>
      <c r="X714" s="386" t="str">
        <f>TransTonsShort[[#This Row],[Grouping_ID]]&amp;"-"&amp;TransTonsShort[[#This Row],[Sector_ID]]</f>
        <v>4-3</v>
      </c>
      <c r="Y7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4" s="421">
        <f>INDEX(LandfillFees[Disposal Tip Fee 2025],MATCH(TransTonsShort[[#This Row],[Grouping_ID]],LandfillFees[Grouping_ID],0))</f>
        <v>72.030938699729589</v>
      </c>
      <c r="AA714" s="102">
        <f>IF(OR(TransTonsShort[[#This Row],[CollectionStream_ID]]="03",TransTonsShort[[#This Row],[CollectionStream_ID]]="04",TransTonsShort[[#This Row],[CollectionStream_ID]]="13"),0,TransTonsShort[[#This Row],[Trans_Tons_All]]*TransTonsShort[[#This Row],[Disposal_Fee]])</f>
        <v>0</v>
      </c>
    </row>
    <row r="715" spans="12:27" ht="15" x14ac:dyDescent="0.25">
      <c r="L715" s="446" t="s">
        <v>875</v>
      </c>
      <c r="M715" s="446">
        <v>1</v>
      </c>
      <c r="N715" s="446">
        <v>3</v>
      </c>
      <c r="O715" s="446" t="s">
        <v>700</v>
      </c>
      <c r="P715" s="450" t="s">
        <v>700</v>
      </c>
      <c r="Q715" s="450"/>
      <c r="R715" s="450"/>
      <c r="S715" s="449" t="s">
        <v>872</v>
      </c>
      <c r="T715" s="449" t="s">
        <v>701</v>
      </c>
      <c r="U715" s="452">
        <v>102362.63530255467</v>
      </c>
      <c r="V7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5" s="272">
        <f>IFERROR(SUMIFS(TransUnitCost[Miles],TransUnitCost[Grouping_ID],TransTonsShort[[#This Row],[Grouping_ID]],TransUnitCost[Transp_ID],TransTonsShort[[#This Row],[Transp_ID]])*TransTonsShort[[#This Row],[Trans_Tons_All]]/TransTonsShort[[#This Row],[Trans_Tons_All]],"")</f>
        <v>0</v>
      </c>
      <c r="X715" s="386" t="str">
        <f>TransTonsShort[[#This Row],[Grouping_ID]]&amp;"-"&amp;TransTonsShort[[#This Row],[Sector_ID]]</f>
        <v>1-3</v>
      </c>
      <c r="Y7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5" s="421">
        <f>INDEX(LandfillFees[Disposal Tip Fee 2025],MATCH(TransTonsShort[[#This Row],[Grouping_ID]],LandfillFees[Grouping_ID],0))</f>
        <v>134.68</v>
      </c>
      <c r="AA715" s="102">
        <f>IF(OR(TransTonsShort[[#This Row],[CollectionStream_ID]]="03",TransTonsShort[[#This Row],[CollectionStream_ID]]="04",TransTonsShort[[#This Row],[CollectionStream_ID]]="13"),0,TransTonsShort[[#This Row],[Trans_Tons_All]]*TransTonsShort[[#This Row],[Disposal_Fee]])</f>
        <v>13786199.722548064</v>
      </c>
    </row>
    <row r="716" spans="12:27" ht="15" x14ac:dyDescent="0.25">
      <c r="L716" s="446" t="s">
        <v>875</v>
      </c>
      <c r="M716" s="446">
        <v>2</v>
      </c>
      <c r="N716" s="446">
        <v>3</v>
      </c>
      <c r="O716" s="446" t="s">
        <v>700</v>
      </c>
      <c r="P716" s="450" t="s">
        <v>700</v>
      </c>
      <c r="Q716" s="450"/>
      <c r="R716" s="450"/>
      <c r="S716" s="449" t="s">
        <v>872</v>
      </c>
      <c r="T716" s="449" t="s">
        <v>701</v>
      </c>
      <c r="U716" s="452">
        <v>45632.558990041231</v>
      </c>
      <c r="V7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6" s="272">
        <f>IFERROR(SUMIFS(TransUnitCost[Miles],TransUnitCost[Grouping_ID],TransTonsShort[[#This Row],[Grouping_ID]],TransUnitCost[Transp_ID],TransTonsShort[[#This Row],[Transp_ID]])*TransTonsShort[[#This Row],[Trans_Tons_All]]/TransTonsShort[[#This Row],[Trans_Tons_All]],"")</f>
        <v>0</v>
      </c>
      <c r="X716" s="386" t="str">
        <f>TransTonsShort[[#This Row],[Grouping_ID]]&amp;"-"&amp;TransTonsShort[[#This Row],[Sector_ID]]</f>
        <v>2-3</v>
      </c>
      <c r="Y7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6" s="421">
        <f>INDEX(LandfillFees[Disposal Tip Fee 2025],MATCH(TransTonsShort[[#This Row],[Grouping_ID]],LandfillFees[Grouping_ID],0))</f>
        <v>72.030938699729589</v>
      </c>
      <c r="AA716" s="102">
        <f>IF(OR(TransTonsShort[[#This Row],[CollectionStream_ID]]="03",TransTonsShort[[#This Row],[CollectionStream_ID]]="04",TransTonsShort[[#This Row],[CollectionStream_ID]]="13"),0,TransTonsShort[[#This Row],[Trans_Tons_All]]*TransTonsShort[[#This Row],[Disposal_Fee]])</f>
        <v>3286956.0593234543</v>
      </c>
    </row>
    <row r="717" spans="12:27" ht="15" x14ac:dyDescent="0.25">
      <c r="L717" s="446" t="s">
        <v>875</v>
      </c>
      <c r="M717" s="446">
        <v>3</v>
      </c>
      <c r="N717" s="446">
        <v>3</v>
      </c>
      <c r="O717" s="446" t="s">
        <v>700</v>
      </c>
      <c r="P717" s="450" t="s">
        <v>700</v>
      </c>
      <c r="Q717" s="450"/>
      <c r="R717" s="450"/>
      <c r="S717" s="449" t="s">
        <v>872</v>
      </c>
      <c r="T717" s="449" t="s">
        <v>701</v>
      </c>
      <c r="U717" s="452">
        <v>0</v>
      </c>
      <c r="V7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7" s="272" t="str">
        <f>IFERROR(SUMIFS(TransUnitCost[Miles],TransUnitCost[Grouping_ID],TransTonsShort[[#This Row],[Grouping_ID]],TransUnitCost[Transp_ID],TransTonsShort[[#This Row],[Transp_ID]])*TransTonsShort[[#This Row],[Trans_Tons_All]]/TransTonsShort[[#This Row],[Trans_Tons_All]],"")</f>
        <v/>
      </c>
      <c r="X717" s="386" t="str">
        <f>TransTonsShort[[#This Row],[Grouping_ID]]&amp;"-"&amp;TransTonsShort[[#This Row],[Sector_ID]]</f>
        <v>3-3</v>
      </c>
      <c r="Y7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7" s="421">
        <f>INDEX(LandfillFees[Disposal Tip Fee 2025],MATCH(TransTonsShort[[#This Row],[Grouping_ID]],LandfillFees[Grouping_ID],0))</f>
        <v>72.030938699729589</v>
      </c>
      <c r="AA717" s="102">
        <f>IF(OR(TransTonsShort[[#This Row],[CollectionStream_ID]]="03",TransTonsShort[[#This Row],[CollectionStream_ID]]="04",TransTonsShort[[#This Row],[CollectionStream_ID]]="13"),0,TransTonsShort[[#This Row],[Trans_Tons_All]]*TransTonsShort[[#This Row],[Disposal_Fee]])</f>
        <v>0</v>
      </c>
    </row>
    <row r="718" spans="12:27" ht="15" x14ac:dyDescent="0.25">
      <c r="L718" s="446" t="s">
        <v>875</v>
      </c>
      <c r="M718" s="446">
        <v>4</v>
      </c>
      <c r="N718" s="446">
        <v>3</v>
      </c>
      <c r="O718" s="446" t="s">
        <v>700</v>
      </c>
      <c r="P718" s="450" t="s">
        <v>700</v>
      </c>
      <c r="Q718" s="450"/>
      <c r="R718" s="450"/>
      <c r="S718" s="449" t="s">
        <v>872</v>
      </c>
      <c r="T718" s="449" t="s">
        <v>701</v>
      </c>
      <c r="U718" s="452">
        <v>0</v>
      </c>
      <c r="V7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18" s="272" t="str">
        <f>IFERROR(SUMIFS(TransUnitCost[Miles],TransUnitCost[Grouping_ID],TransTonsShort[[#This Row],[Grouping_ID]],TransUnitCost[Transp_ID],TransTonsShort[[#This Row],[Transp_ID]])*TransTonsShort[[#This Row],[Trans_Tons_All]]/TransTonsShort[[#This Row],[Trans_Tons_All]],"")</f>
        <v/>
      </c>
      <c r="X718" s="386" t="str">
        <f>TransTonsShort[[#This Row],[Grouping_ID]]&amp;"-"&amp;TransTonsShort[[#This Row],[Sector_ID]]</f>
        <v>4-3</v>
      </c>
      <c r="Y7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8" s="421">
        <f>INDEX(LandfillFees[Disposal Tip Fee 2025],MATCH(TransTonsShort[[#This Row],[Grouping_ID]],LandfillFees[Grouping_ID],0))</f>
        <v>72.030938699729589</v>
      </c>
      <c r="AA718" s="102">
        <f>IF(OR(TransTonsShort[[#This Row],[CollectionStream_ID]]="03",TransTonsShort[[#This Row],[CollectionStream_ID]]="04",TransTonsShort[[#This Row],[CollectionStream_ID]]="13"),0,TransTonsShort[[#This Row],[Trans_Tons_All]]*TransTonsShort[[#This Row],[Disposal_Fee]])</f>
        <v>0</v>
      </c>
    </row>
    <row r="719" spans="12:27" ht="15" x14ac:dyDescent="0.25">
      <c r="L719" s="446" t="s">
        <v>875</v>
      </c>
      <c r="M719" s="446">
        <v>1</v>
      </c>
      <c r="N719" s="446">
        <v>3</v>
      </c>
      <c r="O719" s="446" t="s">
        <v>700</v>
      </c>
      <c r="P719" s="449" t="s">
        <v>706</v>
      </c>
      <c r="Q719" s="449"/>
      <c r="R719" s="449"/>
      <c r="S719" s="449" t="s">
        <v>872</v>
      </c>
      <c r="T719" s="449" t="s">
        <v>1025</v>
      </c>
      <c r="U719" s="452">
        <v>6533.7852320779575</v>
      </c>
      <c r="V7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130675.70464155915</v>
      </c>
      <c r="W719" s="272">
        <f>IFERROR(SUMIFS(TransUnitCost[Miles],TransUnitCost[Grouping_ID],TransTonsShort[[#This Row],[Grouping_ID]],TransUnitCost[Transp_ID],TransTonsShort[[#This Row],[Transp_ID]])*TransTonsShort[[#This Row],[Trans_Tons_All]]/TransTonsShort[[#This Row],[Trans_Tons_All]],"")</f>
        <v>20</v>
      </c>
      <c r="X719" s="386" t="str">
        <f>TransTonsShort[[#This Row],[Grouping_ID]]&amp;"-"&amp;TransTonsShort[[#This Row],[Sector_ID]]</f>
        <v>1-3</v>
      </c>
      <c r="Y7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19" s="421">
        <f>INDEX(LandfillFees[Disposal Tip Fee 2025],MATCH(TransTonsShort[[#This Row],[Grouping_ID]],LandfillFees[Grouping_ID],0))</f>
        <v>134.68</v>
      </c>
      <c r="AA719" s="102">
        <f>IF(OR(TransTonsShort[[#This Row],[CollectionStream_ID]]="03",TransTonsShort[[#This Row],[CollectionStream_ID]]="04",TransTonsShort[[#This Row],[CollectionStream_ID]]="13"),0,TransTonsShort[[#This Row],[Trans_Tons_All]]*TransTonsShort[[#This Row],[Disposal_Fee]])</f>
        <v>879970.1950562594</v>
      </c>
    </row>
    <row r="720" spans="12:27" ht="15" x14ac:dyDescent="0.25">
      <c r="L720" s="446" t="s">
        <v>875</v>
      </c>
      <c r="M720" s="446">
        <v>2</v>
      </c>
      <c r="N720" s="446">
        <v>3</v>
      </c>
      <c r="O720" s="446" t="s">
        <v>700</v>
      </c>
      <c r="P720" s="449" t="s">
        <v>706</v>
      </c>
      <c r="Q720" s="449"/>
      <c r="R720" s="449"/>
      <c r="S720" s="449" t="s">
        <v>872</v>
      </c>
      <c r="T720" s="449" t="s">
        <v>1025</v>
      </c>
      <c r="U720" s="452">
        <v>16877.795790837168</v>
      </c>
      <c r="V7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472578.28214344068</v>
      </c>
      <c r="W720" s="272">
        <f>IFERROR(SUMIFS(TransUnitCost[Miles],TransUnitCost[Grouping_ID],TransTonsShort[[#This Row],[Grouping_ID]],TransUnitCost[Transp_ID],TransTonsShort[[#This Row],[Transp_ID]])*TransTonsShort[[#This Row],[Trans_Tons_All]]/TransTonsShort[[#This Row],[Trans_Tons_All]],"")</f>
        <v>70</v>
      </c>
      <c r="X720" s="386" t="str">
        <f>TransTonsShort[[#This Row],[Grouping_ID]]&amp;"-"&amp;TransTonsShort[[#This Row],[Sector_ID]]</f>
        <v>2-3</v>
      </c>
      <c r="Y7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0" s="421">
        <f>INDEX(LandfillFees[Disposal Tip Fee 2025],MATCH(TransTonsShort[[#This Row],[Grouping_ID]],LandfillFees[Grouping_ID],0))</f>
        <v>72.030938699729589</v>
      </c>
      <c r="AA720" s="102">
        <f>IF(OR(TransTonsShort[[#This Row],[CollectionStream_ID]]="03",TransTonsShort[[#This Row],[CollectionStream_ID]]="04",TransTonsShort[[#This Row],[CollectionStream_ID]]="13"),0,TransTonsShort[[#This Row],[Trans_Tons_All]]*TransTonsShort[[#This Row],[Disposal_Fee]])</f>
        <v>1215723.4739963461</v>
      </c>
    </row>
    <row r="721" spans="12:27" ht="15" x14ac:dyDescent="0.25">
      <c r="L721" s="446" t="s">
        <v>875</v>
      </c>
      <c r="M721" s="446">
        <v>3</v>
      </c>
      <c r="N721" s="446">
        <v>3</v>
      </c>
      <c r="O721" s="446" t="s">
        <v>700</v>
      </c>
      <c r="P721" s="449" t="s">
        <v>706</v>
      </c>
      <c r="Q721" s="449"/>
      <c r="R721" s="449"/>
      <c r="S721" s="449" t="s">
        <v>872</v>
      </c>
      <c r="T721" s="449" t="s">
        <v>1025</v>
      </c>
      <c r="U721" s="452">
        <v>24709.013111251254</v>
      </c>
      <c r="V7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1297223.1883406909</v>
      </c>
      <c r="W721" s="272">
        <f>IFERROR(SUMIFS(TransUnitCost[Miles],TransUnitCost[Grouping_ID],TransTonsShort[[#This Row],[Grouping_ID]],TransUnitCost[Transp_ID],TransTonsShort[[#This Row],[Transp_ID]])*TransTonsShort[[#This Row],[Trans_Tons_All]]/TransTonsShort[[#This Row],[Trans_Tons_All]],"")</f>
        <v>150</v>
      </c>
      <c r="X721" s="386" t="str">
        <f>TransTonsShort[[#This Row],[Grouping_ID]]&amp;"-"&amp;TransTonsShort[[#This Row],[Sector_ID]]</f>
        <v>3-3</v>
      </c>
      <c r="Y7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1" s="421">
        <f>INDEX(LandfillFees[Disposal Tip Fee 2025],MATCH(TransTonsShort[[#This Row],[Grouping_ID]],LandfillFees[Grouping_ID],0))</f>
        <v>72.030938699729589</v>
      </c>
      <c r="AA721" s="102">
        <f>IF(OR(TransTonsShort[[#This Row],[CollectionStream_ID]]="03",TransTonsShort[[#This Row],[CollectionStream_ID]]="04",TransTonsShort[[#This Row],[CollectionStream_ID]]="13"),0,TransTonsShort[[#This Row],[Trans_Tons_All]]*TransTonsShort[[#This Row],[Disposal_Fee]])</f>
        <v>1779813.4087473538</v>
      </c>
    </row>
    <row r="722" spans="12:27" ht="15" x14ac:dyDescent="0.25">
      <c r="L722" s="446" t="s">
        <v>875</v>
      </c>
      <c r="M722" s="446">
        <v>4</v>
      </c>
      <c r="N722" s="446">
        <v>3</v>
      </c>
      <c r="O722" s="446" t="s">
        <v>700</v>
      </c>
      <c r="P722" s="449" t="s">
        <v>706</v>
      </c>
      <c r="Q722" s="449"/>
      <c r="R722" s="449"/>
      <c r="S722" s="449" t="s">
        <v>872</v>
      </c>
      <c r="T722" s="449" t="s">
        <v>1025</v>
      </c>
      <c r="U722" s="452">
        <v>13137.921879604261</v>
      </c>
      <c r="V7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1313792.1879604261</v>
      </c>
      <c r="W722" s="272">
        <f>IFERROR(SUMIFS(TransUnitCost[Miles],TransUnitCost[Grouping_ID],TransTonsShort[[#This Row],[Grouping_ID]],TransUnitCost[Transp_ID],TransTonsShort[[#This Row],[Transp_ID]])*TransTonsShort[[#This Row],[Trans_Tons_All]]/TransTonsShort[[#This Row],[Trans_Tons_All]],"")</f>
        <v>250.00000000000003</v>
      </c>
      <c r="X722" s="386" t="str">
        <f>TransTonsShort[[#This Row],[Grouping_ID]]&amp;"-"&amp;TransTonsShort[[#This Row],[Sector_ID]]</f>
        <v>4-3</v>
      </c>
      <c r="Y7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2" s="421">
        <f>INDEX(LandfillFees[Disposal Tip Fee 2025],MATCH(TransTonsShort[[#This Row],[Grouping_ID]],LandfillFees[Grouping_ID],0))</f>
        <v>72.030938699729589</v>
      </c>
      <c r="AA722" s="102">
        <f>IF(OR(TransTonsShort[[#This Row],[CollectionStream_ID]]="03",TransTonsShort[[#This Row],[CollectionStream_ID]]="04",TransTonsShort[[#This Row],[CollectionStream_ID]]="13"),0,TransTonsShort[[#This Row],[Trans_Tons_All]]*TransTonsShort[[#This Row],[Disposal_Fee]])</f>
        <v>946336.84555161058</v>
      </c>
    </row>
    <row r="723" spans="12:27" ht="15" x14ac:dyDescent="0.25">
      <c r="L723" s="446" t="s">
        <v>875</v>
      </c>
      <c r="M723" s="446">
        <v>1</v>
      </c>
      <c r="N723" s="446">
        <v>3</v>
      </c>
      <c r="O723" s="446" t="s">
        <v>748</v>
      </c>
      <c r="P723" s="449" t="s">
        <v>719</v>
      </c>
      <c r="Q723" s="449"/>
      <c r="R723" s="449"/>
      <c r="S723" s="449" t="s">
        <v>765</v>
      </c>
      <c r="T723" s="449" t="s">
        <v>1055</v>
      </c>
      <c r="U723" s="452">
        <v>0</v>
      </c>
      <c r="V7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3" s="272" t="str">
        <f>IFERROR(SUMIFS(TransUnitCost[Miles],TransUnitCost[Grouping_ID],TransTonsShort[[#This Row],[Grouping_ID]],TransUnitCost[Transp_ID],TransTonsShort[[#This Row],[Transp_ID]])*TransTonsShort[[#This Row],[Trans_Tons_All]]/TransTonsShort[[#This Row],[Trans_Tons_All]],"")</f>
        <v/>
      </c>
      <c r="X723" s="386" t="str">
        <f>TransTonsShort[[#This Row],[Grouping_ID]]&amp;"-"&amp;TransTonsShort[[#This Row],[Sector_ID]]</f>
        <v>1-3</v>
      </c>
      <c r="Y7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3" s="421">
        <f>INDEX(LandfillFees[Disposal Tip Fee 2025],MATCH(TransTonsShort[[#This Row],[Grouping_ID]],LandfillFees[Grouping_ID],0))</f>
        <v>134.68</v>
      </c>
      <c r="AA723" s="102">
        <f>IF(OR(TransTonsShort[[#This Row],[CollectionStream_ID]]="03",TransTonsShort[[#This Row],[CollectionStream_ID]]="04",TransTonsShort[[#This Row],[CollectionStream_ID]]="13"),0,TransTonsShort[[#This Row],[Trans_Tons_All]]*TransTonsShort[[#This Row],[Disposal_Fee]])</f>
        <v>0</v>
      </c>
    </row>
    <row r="724" spans="12:27" ht="15" x14ac:dyDescent="0.25">
      <c r="L724" s="446" t="s">
        <v>875</v>
      </c>
      <c r="M724" s="446">
        <v>2</v>
      </c>
      <c r="N724" s="446">
        <v>3</v>
      </c>
      <c r="O724" s="446" t="s">
        <v>748</v>
      </c>
      <c r="P724" s="449" t="s">
        <v>719</v>
      </c>
      <c r="Q724" s="449"/>
      <c r="R724" s="449"/>
      <c r="S724" s="449" t="s">
        <v>765</v>
      </c>
      <c r="T724" s="449" t="s">
        <v>1055</v>
      </c>
      <c r="U724" s="452">
        <v>0</v>
      </c>
      <c r="V7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4" s="272" t="str">
        <f>IFERROR(SUMIFS(TransUnitCost[Miles],TransUnitCost[Grouping_ID],TransTonsShort[[#This Row],[Grouping_ID]],TransUnitCost[Transp_ID],TransTonsShort[[#This Row],[Transp_ID]])*TransTonsShort[[#This Row],[Trans_Tons_All]]/TransTonsShort[[#This Row],[Trans_Tons_All]],"")</f>
        <v/>
      </c>
      <c r="X724" s="386" t="str">
        <f>TransTonsShort[[#This Row],[Grouping_ID]]&amp;"-"&amp;TransTonsShort[[#This Row],[Sector_ID]]</f>
        <v>2-3</v>
      </c>
      <c r="Y7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4" s="421">
        <f>INDEX(LandfillFees[Disposal Tip Fee 2025],MATCH(TransTonsShort[[#This Row],[Grouping_ID]],LandfillFees[Grouping_ID],0))</f>
        <v>72.030938699729589</v>
      </c>
      <c r="AA724" s="102">
        <f>IF(OR(TransTonsShort[[#This Row],[CollectionStream_ID]]="03",TransTonsShort[[#This Row],[CollectionStream_ID]]="04",TransTonsShort[[#This Row],[CollectionStream_ID]]="13"),0,TransTonsShort[[#This Row],[Trans_Tons_All]]*TransTonsShort[[#This Row],[Disposal_Fee]])</f>
        <v>0</v>
      </c>
    </row>
    <row r="725" spans="12:27" ht="15" x14ac:dyDescent="0.25">
      <c r="L725" s="446" t="s">
        <v>875</v>
      </c>
      <c r="M725" s="446">
        <v>3</v>
      </c>
      <c r="N725" s="446">
        <v>3</v>
      </c>
      <c r="O725" s="446" t="s">
        <v>748</v>
      </c>
      <c r="P725" s="449" t="s">
        <v>719</v>
      </c>
      <c r="Q725" s="449"/>
      <c r="R725" s="449"/>
      <c r="S725" s="449" t="s">
        <v>765</v>
      </c>
      <c r="T725" s="449" t="s">
        <v>1055</v>
      </c>
      <c r="U725" s="452">
        <v>0</v>
      </c>
      <c r="V7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5" s="272" t="str">
        <f>IFERROR(SUMIFS(TransUnitCost[Miles],TransUnitCost[Grouping_ID],TransTonsShort[[#This Row],[Grouping_ID]],TransUnitCost[Transp_ID],TransTonsShort[[#This Row],[Transp_ID]])*TransTonsShort[[#This Row],[Trans_Tons_All]]/TransTonsShort[[#This Row],[Trans_Tons_All]],"")</f>
        <v/>
      </c>
      <c r="X725" s="386" t="str">
        <f>TransTonsShort[[#This Row],[Grouping_ID]]&amp;"-"&amp;TransTonsShort[[#This Row],[Sector_ID]]</f>
        <v>3-3</v>
      </c>
      <c r="Y7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5" s="421">
        <f>INDEX(LandfillFees[Disposal Tip Fee 2025],MATCH(TransTonsShort[[#This Row],[Grouping_ID]],LandfillFees[Grouping_ID],0))</f>
        <v>72.030938699729589</v>
      </c>
      <c r="AA725" s="102">
        <f>IF(OR(TransTonsShort[[#This Row],[CollectionStream_ID]]="03",TransTonsShort[[#This Row],[CollectionStream_ID]]="04",TransTonsShort[[#This Row],[CollectionStream_ID]]="13"),0,TransTonsShort[[#This Row],[Trans_Tons_All]]*TransTonsShort[[#This Row],[Disposal_Fee]])</f>
        <v>0</v>
      </c>
    </row>
    <row r="726" spans="12:27" ht="15" x14ac:dyDescent="0.25">
      <c r="L726" s="446" t="s">
        <v>875</v>
      </c>
      <c r="M726" s="446">
        <v>4</v>
      </c>
      <c r="N726" s="446">
        <v>3</v>
      </c>
      <c r="O726" s="446" t="s">
        <v>748</v>
      </c>
      <c r="P726" s="449" t="s">
        <v>719</v>
      </c>
      <c r="Q726" s="449"/>
      <c r="R726" s="449"/>
      <c r="S726" s="449" t="s">
        <v>765</v>
      </c>
      <c r="T726" s="449" t="s">
        <v>1055</v>
      </c>
      <c r="U726" s="452">
        <v>0</v>
      </c>
      <c r="V7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6" s="272" t="str">
        <f>IFERROR(SUMIFS(TransUnitCost[Miles],TransUnitCost[Grouping_ID],TransTonsShort[[#This Row],[Grouping_ID]],TransUnitCost[Transp_ID],TransTonsShort[[#This Row],[Transp_ID]])*TransTonsShort[[#This Row],[Trans_Tons_All]]/TransTonsShort[[#This Row],[Trans_Tons_All]],"")</f>
        <v/>
      </c>
      <c r="X726" s="386" t="str">
        <f>TransTonsShort[[#This Row],[Grouping_ID]]&amp;"-"&amp;TransTonsShort[[#This Row],[Sector_ID]]</f>
        <v>4-3</v>
      </c>
      <c r="Y7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6" s="421">
        <f>INDEX(LandfillFees[Disposal Tip Fee 2025],MATCH(TransTonsShort[[#This Row],[Grouping_ID]],LandfillFees[Grouping_ID],0))</f>
        <v>72.030938699729589</v>
      </c>
      <c r="AA726" s="102">
        <f>IF(OR(TransTonsShort[[#This Row],[CollectionStream_ID]]="03",TransTonsShort[[#This Row],[CollectionStream_ID]]="04",TransTonsShort[[#This Row],[CollectionStream_ID]]="13"),0,TransTonsShort[[#This Row],[Trans_Tons_All]]*TransTonsShort[[#This Row],[Disposal_Fee]])</f>
        <v>0</v>
      </c>
    </row>
    <row r="727" spans="12:27" ht="15" x14ac:dyDescent="0.25">
      <c r="L727" s="446" t="s">
        <v>875</v>
      </c>
      <c r="M727" s="446">
        <v>1</v>
      </c>
      <c r="N727" s="446">
        <v>3</v>
      </c>
      <c r="O727" s="448" t="s">
        <v>748</v>
      </c>
      <c r="P727" s="449" t="s">
        <v>700</v>
      </c>
      <c r="Q727" s="449"/>
      <c r="R727" s="449"/>
      <c r="S727" s="449" t="s">
        <v>765</v>
      </c>
      <c r="T727" s="449" t="s">
        <v>701</v>
      </c>
      <c r="U727" s="452">
        <v>0</v>
      </c>
      <c r="V7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7" s="272" t="str">
        <f>IFERROR(SUMIFS(TransUnitCost[Miles],TransUnitCost[Grouping_ID],TransTonsShort[[#This Row],[Grouping_ID]],TransUnitCost[Transp_ID],TransTonsShort[[#This Row],[Transp_ID]])*TransTonsShort[[#This Row],[Trans_Tons_All]]/TransTonsShort[[#This Row],[Trans_Tons_All]],"")</f>
        <v/>
      </c>
      <c r="X727" s="386" t="str">
        <f>TransTonsShort[[#This Row],[Grouping_ID]]&amp;"-"&amp;TransTonsShort[[#This Row],[Sector_ID]]</f>
        <v>1-3</v>
      </c>
      <c r="Y7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7" s="421">
        <f>INDEX(LandfillFees[Disposal Tip Fee 2025],MATCH(TransTonsShort[[#This Row],[Grouping_ID]],LandfillFees[Grouping_ID],0))</f>
        <v>134.68</v>
      </c>
      <c r="AA727" s="102">
        <f>IF(OR(TransTonsShort[[#This Row],[CollectionStream_ID]]="03",TransTonsShort[[#This Row],[CollectionStream_ID]]="04",TransTonsShort[[#This Row],[CollectionStream_ID]]="13"),0,TransTonsShort[[#This Row],[Trans_Tons_All]]*TransTonsShort[[#This Row],[Disposal_Fee]])</f>
        <v>0</v>
      </c>
    </row>
    <row r="728" spans="12:27" ht="15" x14ac:dyDescent="0.25">
      <c r="L728" s="446" t="s">
        <v>875</v>
      </c>
      <c r="M728" s="446">
        <v>2</v>
      </c>
      <c r="N728" s="446">
        <v>3</v>
      </c>
      <c r="O728" s="448" t="s">
        <v>748</v>
      </c>
      <c r="P728" s="449" t="s">
        <v>700</v>
      </c>
      <c r="Q728" s="449"/>
      <c r="R728" s="449"/>
      <c r="S728" s="449" t="s">
        <v>765</v>
      </c>
      <c r="T728" s="449" t="s">
        <v>701</v>
      </c>
      <c r="U728" s="452">
        <v>0</v>
      </c>
      <c r="V7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8" s="272" t="str">
        <f>IFERROR(SUMIFS(TransUnitCost[Miles],TransUnitCost[Grouping_ID],TransTonsShort[[#This Row],[Grouping_ID]],TransUnitCost[Transp_ID],TransTonsShort[[#This Row],[Transp_ID]])*TransTonsShort[[#This Row],[Trans_Tons_All]]/TransTonsShort[[#This Row],[Trans_Tons_All]],"")</f>
        <v/>
      </c>
      <c r="X728" s="386" t="str">
        <f>TransTonsShort[[#This Row],[Grouping_ID]]&amp;"-"&amp;TransTonsShort[[#This Row],[Sector_ID]]</f>
        <v>2-3</v>
      </c>
      <c r="Y7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8" s="421">
        <f>INDEX(LandfillFees[Disposal Tip Fee 2025],MATCH(TransTonsShort[[#This Row],[Grouping_ID]],LandfillFees[Grouping_ID],0))</f>
        <v>72.030938699729589</v>
      </c>
      <c r="AA728" s="102">
        <f>IF(OR(TransTonsShort[[#This Row],[CollectionStream_ID]]="03",TransTonsShort[[#This Row],[CollectionStream_ID]]="04",TransTonsShort[[#This Row],[CollectionStream_ID]]="13"),0,TransTonsShort[[#This Row],[Trans_Tons_All]]*TransTonsShort[[#This Row],[Disposal_Fee]])</f>
        <v>0</v>
      </c>
    </row>
    <row r="729" spans="12:27" ht="15" x14ac:dyDescent="0.25">
      <c r="L729" s="446" t="s">
        <v>875</v>
      </c>
      <c r="M729" s="446">
        <v>3</v>
      </c>
      <c r="N729" s="446">
        <v>3</v>
      </c>
      <c r="O729" s="448" t="s">
        <v>748</v>
      </c>
      <c r="P729" s="449" t="s">
        <v>700</v>
      </c>
      <c r="Q729" s="449"/>
      <c r="R729" s="449"/>
      <c r="S729" s="449" t="s">
        <v>765</v>
      </c>
      <c r="T729" s="449" t="s">
        <v>701</v>
      </c>
      <c r="U729" s="452">
        <v>0</v>
      </c>
      <c r="V7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29" s="272" t="str">
        <f>IFERROR(SUMIFS(TransUnitCost[Miles],TransUnitCost[Grouping_ID],TransTonsShort[[#This Row],[Grouping_ID]],TransUnitCost[Transp_ID],TransTonsShort[[#This Row],[Transp_ID]])*TransTonsShort[[#This Row],[Trans_Tons_All]]/TransTonsShort[[#This Row],[Trans_Tons_All]],"")</f>
        <v/>
      </c>
      <c r="X729" s="386" t="str">
        <f>TransTonsShort[[#This Row],[Grouping_ID]]&amp;"-"&amp;TransTonsShort[[#This Row],[Sector_ID]]</f>
        <v>3-3</v>
      </c>
      <c r="Y7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29" s="421">
        <f>INDEX(LandfillFees[Disposal Tip Fee 2025],MATCH(TransTonsShort[[#This Row],[Grouping_ID]],LandfillFees[Grouping_ID],0))</f>
        <v>72.030938699729589</v>
      </c>
      <c r="AA729" s="102">
        <f>IF(OR(TransTonsShort[[#This Row],[CollectionStream_ID]]="03",TransTonsShort[[#This Row],[CollectionStream_ID]]="04",TransTonsShort[[#This Row],[CollectionStream_ID]]="13"),0,TransTonsShort[[#This Row],[Trans_Tons_All]]*TransTonsShort[[#This Row],[Disposal_Fee]])</f>
        <v>0</v>
      </c>
    </row>
    <row r="730" spans="12:27" ht="15" x14ac:dyDescent="0.25">
      <c r="L730" s="446" t="s">
        <v>875</v>
      </c>
      <c r="M730" s="446">
        <v>4</v>
      </c>
      <c r="N730" s="446">
        <v>3</v>
      </c>
      <c r="O730" s="448" t="s">
        <v>748</v>
      </c>
      <c r="P730" s="449" t="s">
        <v>700</v>
      </c>
      <c r="Q730" s="449"/>
      <c r="R730" s="449"/>
      <c r="S730" s="449" t="s">
        <v>765</v>
      </c>
      <c r="T730" s="449" t="s">
        <v>701</v>
      </c>
      <c r="U730" s="452">
        <v>0</v>
      </c>
      <c r="V7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0" s="272" t="str">
        <f>IFERROR(SUMIFS(TransUnitCost[Miles],TransUnitCost[Grouping_ID],TransTonsShort[[#This Row],[Grouping_ID]],TransUnitCost[Transp_ID],TransTonsShort[[#This Row],[Transp_ID]])*TransTonsShort[[#This Row],[Trans_Tons_All]]/TransTonsShort[[#This Row],[Trans_Tons_All]],"")</f>
        <v/>
      </c>
      <c r="X730" s="386" t="str">
        <f>TransTonsShort[[#This Row],[Grouping_ID]]&amp;"-"&amp;TransTonsShort[[#This Row],[Sector_ID]]</f>
        <v>4-3</v>
      </c>
      <c r="Y7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0" s="421">
        <f>INDEX(LandfillFees[Disposal Tip Fee 2025],MATCH(TransTonsShort[[#This Row],[Grouping_ID]],LandfillFees[Grouping_ID],0))</f>
        <v>72.030938699729589</v>
      </c>
      <c r="AA730" s="102">
        <f>IF(OR(TransTonsShort[[#This Row],[CollectionStream_ID]]="03",TransTonsShort[[#This Row],[CollectionStream_ID]]="04",TransTonsShort[[#This Row],[CollectionStream_ID]]="13"),0,TransTonsShort[[#This Row],[Trans_Tons_All]]*TransTonsShort[[#This Row],[Disposal_Fee]])</f>
        <v>0</v>
      </c>
    </row>
    <row r="731" spans="12:27" ht="15" x14ac:dyDescent="0.25">
      <c r="L731" s="446" t="s">
        <v>875</v>
      </c>
      <c r="M731" s="446">
        <v>1</v>
      </c>
      <c r="N731" s="446">
        <v>3</v>
      </c>
      <c r="O731" s="448" t="s">
        <v>748</v>
      </c>
      <c r="P731" s="449" t="s">
        <v>748</v>
      </c>
      <c r="Q731" s="449"/>
      <c r="R731" s="449"/>
      <c r="S731" s="449" t="s">
        <v>765</v>
      </c>
      <c r="T731" s="449" t="s">
        <v>849</v>
      </c>
      <c r="U731" s="452">
        <v>0</v>
      </c>
      <c r="V7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1" s="272" t="str">
        <f>IFERROR(SUMIFS(TransUnitCost[Miles],TransUnitCost[Grouping_ID],TransTonsShort[[#This Row],[Grouping_ID]],TransUnitCost[Transp_ID],TransTonsShort[[#This Row],[Transp_ID]])*TransTonsShort[[#This Row],[Trans_Tons_All]]/TransTonsShort[[#This Row],[Trans_Tons_All]],"")</f>
        <v/>
      </c>
      <c r="X731" s="386" t="str">
        <f>TransTonsShort[[#This Row],[Grouping_ID]]&amp;"-"&amp;TransTonsShort[[#This Row],[Sector_ID]]</f>
        <v>1-3</v>
      </c>
      <c r="Y7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1" s="421">
        <f>INDEX(LandfillFees[Disposal Tip Fee 2025],MATCH(TransTonsShort[[#This Row],[Grouping_ID]],LandfillFees[Grouping_ID],0))</f>
        <v>134.68</v>
      </c>
      <c r="AA731" s="102">
        <f>IF(OR(TransTonsShort[[#This Row],[CollectionStream_ID]]="03",TransTonsShort[[#This Row],[CollectionStream_ID]]="04",TransTonsShort[[#This Row],[CollectionStream_ID]]="13"),0,TransTonsShort[[#This Row],[Trans_Tons_All]]*TransTonsShort[[#This Row],[Disposal_Fee]])</f>
        <v>0</v>
      </c>
    </row>
    <row r="732" spans="12:27" ht="15" x14ac:dyDescent="0.25">
      <c r="L732" s="446" t="s">
        <v>875</v>
      </c>
      <c r="M732" s="446">
        <v>2</v>
      </c>
      <c r="N732" s="446">
        <v>3</v>
      </c>
      <c r="O732" s="448" t="s">
        <v>748</v>
      </c>
      <c r="P732" s="449" t="s">
        <v>748</v>
      </c>
      <c r="Q732" s="449"/>
      <c r="R732" s="449"/>
      <c r="S732" s="449" t="s">
        <v>765</v>
      </c>
      <c r="T732" s="449" t="s">
        <v>849</v>
      </c>
      <c r="U732" s="452">
        <v>0</v>
      </c>
      <c r="V7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2" s="272" t="str">
        <f>IFERROR(SUMIFS(TransUnitCost[Miles],TransUnitCost[Grouping_ID],TransTonsShort[[#This Row],[Grouping_ID]],TransUnitCost[Transp_ID],TransTonsShort[[#This Row],[Transp_ID]])*TransTonsShort[[#This Row],[Trans_Tons_All]]/TransTonsShort[[#This Row],[Trans_Tons_All]],"")</f>
        <v/>
      </c>
      <c r="X732" s="386" t="str">
        <f>TransTonsShort[[#This Row],[Grouping_ID]]&amp;"-"&amp;TransTonsShort[[#This Row],[Sector_ID]]</f>
        <v>2-3</v>
      </c>
      <c r="Y7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2" s="421">
        <f>INDEX(LandfillFees[Disposal Tip Fee 2025],MATCH(TransTonsShort[[#This Row],[Grouping_ID]],LandfillFees[Grouping_ID],0))</f>
        <v>72.030938699729589</v>
      </c>
      <c r="AA732" s="102">
        <f>IF(OR(TransTonsShort[[#This Row],[CollectionStream_ID]]="03",TransTonsShort[[#This Row],[CollectionStream_ID]]="04",TransTonsShort[[#This Row],[CollectionStream_ID]]="13"),0,TransTonsShort[[#This Row],[Trans_Tons_All]]*TransTonsShort[[#This Row],[Disposal_Fee]])</f>
        <v>0</v>
      </c>
    </row>
    <row r="733" spans="12:27" ht="15" x14ac:dyDescent="0.25">
      <c r="L733" s="446" t="s">
        <v>875</v>
      </c>
      <c r="M733" s="446">
        <v>3</v>
      </c>
      <c r="N733" s="446">
        <v>3</v>
      </c>
      <c r="O733" s="448" t="s">
        <v>748</v>
      </c>
      <c r="P733" s="449" t="s">
        <v>748</v>
      </c>
      <c r="Q733" s="449"/>
      <c r="R733" s="449"/>
      <c r="S733" s="449" t="s">
        <v>765</v>
      </c>
      <c r="T733" s="449" t="s">
        <v>849</v>
      </c>
      <c r="U733" s="452">
        <v>0</v>
      </c>
      <c r="V7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3" s="272" t="str">
        <f>IFERROR(SUMIFS(TransUnitCost[Miles],TransUnitCost[Grouping_ID],TransTonsShort[[#This Row],[Grouping_ID]],TransUnitCost[Transp_ID],TransTonsShort[[#This Row],[Transp_ID]])*TransTonsShort[[#This Row],[Trans_Tons_All]]/TransTonsShort[[#This Row],[Trans_Tons_All]],"")</f>
        <v/>
      </c>
      <c r="X733" s="386" t="str">
        <f>TransTonsShort[[#This Row],[Grouping_ID]]&amp;"-"&amp;TransTonsShort[[#This Row],[Sector_ID]]</f>
        <v>3-3</v>
      </c>
      <c r="Y7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3" s="421">
        <f>INDEX(LandfillFees[Disposal Tip Fee 2025],MATCH(TransTonsShort[[#This Row],[Grouping_ID]],LandfillFees[Grouping_ID],0))</f>
        <v>72.030938699729589</v>
      </c>
      <c r="AA733" s="102">
        <f>IF(OR(TransTonsShort[[#This Row],[CollectionStream_ID]]="03",TransTonsShort[[#This Row],[CollectionStream_ID]]="04",TransTonsShort[[#This Row],[CollectionStream_ID]]="13"),0,TransTonsShort[[#This Row],[Trans_Tons_All]]*TransTonsShort[[#This Row],[Disposal_Fee]])</f>
        <v>0</v>
      </c>
    </row>
    <row r="734" spans="12:27" ht="15" x14ac:dyDescent="0.25">
      <c r="L734" s="446" t="s">
        <v>875</v>
      </c>
      <c r="M734" s="446">
        <v>4</v>
      </c>
      <c r="N734" s="446">
        <v>3</v>
      </c>
      <c r="O734" s="448" t="s">
        <v>748</v>
      </c>
      <c r="P734" s="449" t="s">
        <v>748</v>
      </c>
      <c r="Q734" s="449"/>
      <c r="R734" s="449"/>
      <c r="S734" s="449" t="s">
        <v>765</v>
      </c>
      <c r="T734" s="449" t="s">
        <v>849</v>
      </c>
      <c r="U734" s="452">
        <v>0</v>
      </c>
      <c r="V7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4" s="272" t="str">
        <f>IFERROR(SUMIFS(TransUnitCost[Miles],TransUnitCost[Grouping_ID],TransTonsShort[[#This Row],[Grouping_ID]],TransUnitCost[Transp_ID],TransTonsShort[[#This Row],[Transp_ID]])*TransTonsShort[[#This Row],[Trans_Tons_All]]/TransTonsShort[[#This Row],[Trans_Tons_All]],"")</f>
        <v/>
      </c>
      <c r="X734" s="386" t="str">
        <f>TransTonsShort[[#This Row],[Grouping_ID]]&amp;"-"&amp;TransTonsShort[[#This Row],[Sector_ID]]</f>
        <v>4-3</v>
      </c>
      <c r="Y7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4" s="421">
        <f>INDEX(LandfillFees[Disposal Tip Fee 2025],MATCH(TransTonsShort[[#This Row],[Grouping_ID]],LandfillFees[Grouping_ID],0))</f>
        <v>72.030938699729589</v>
      </c>
      <c r="AA734" s="102">
        <f>IF(OR(TransTonsShort[[#This Row],[CollectionStream_ID]]="03",TransTonsShort[[#This Row],[CollectionStream_ID]]="04",TransTonsShort[[#This Row],[CollectionStream_ID]]="13"),0,TransTonsShort[[#This Row],[Trans_Tons_All]]*TransTonsShort[[#This Row],[Disposal_Fee]])</f>
        <v>0</v>
      </c>
    </row>
    <row r="735" spans="12:27" ht="15" x14ac:dyDescent="0.25">
      <c r="L735" s="446" t="s">
        <v>875</v>
      </c>
      <c r="M735" s="446">
        <v>1</v>
      </c>
      <c r="N735" s="446">
        <v>3</v>
      </c>
      <c r="O735" s="448" t="s">
        <v>746</v>
      </c>
      <c r="P735" s="449" t="s">
        <v>719</v>
      </c>
      <c r="Q735" s="449"/>
      <c r="R735" s="449"/>
      <c r="S735" s="449" t="s">
        <v>762</v>
      </c>
      <c r="T735" s="449" t="s">
        <v>1055</v>
      </c>
      <c r="U735" s="452">
        <v>0</v>
      </c>
      <c r="V7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5" s="272" t="str">
        <f>IFERROR(SUMIFS(TransUnitCost[Miles],TransUnitCost[Grouping_ID],TransTonsShort[[#This Row],[Grouping_ID]],TransUnitCost[Transp_ID],TransTonsShort[[#This Row],[Transp_ID]])*TransTonsShort[[#This Row],[Trans_Tons_All]]/TransTonsShort[[#This Row],[Trans_Tons_All]],"")</f>
        <v/>
      </c>
      <c r="X735" s="386" t="str">
        <f>TransTonsShort[[#This Row],[Grouping_ID]]&amp;"-"&amp;TransTonsShort[[#This Row],[Sector_ID]]</f>
        <v>1-3</v>
      </c>
      <c r="Y7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5" s="421">
        <f>INDEX(LandfillFees[Disposal Tip Fee 2025],MATCH(TransTonsShort[[#This Row],[Grouping_ID]],LandfillFees[Grouping_ID],0))</f>
        <v>134.68</v>
      </c>
      <c r="AA735" s="102">
        <f>IF(OR(TransTonsShort[[#This Row],[CollectionStream_ID]]="03",TransTonsShort[[#This Row],[CollectionStream_ID]]="04",TransTonsShort[[#This Row],[CollectionStream_ID]]="13"),0,TransTonsShort[[#This Row],[Trans_Tons_All]]*TransTonsShort[[#This Row],[Disposal_Fee]])</f>
        <v>0</v>
      </c>
    </row>
    <row r="736" spans="12:27" ht="15" x14ac:dyDescent="0.25">
      <c r="L736" s="446" t="s">
        <v>875</v>
      </c>
      <c r="M736" s="446">
        <v>2</v>
      </c>
      <c r="N736" s="446">
        <v>3</v>
      </c>
      <c r="O736" s="448" t="s">
        <v>746</v>
      </c>
      <c r="P736" s="449" t="s">
        <v>719</v>
      </c>
      <c r="Q736" s="449"/>
      <c r="R736" s="449"/>
      <c r="S736" s="449" t="s">
        <v>762</v>
      </c>
      <c r="T736" s="449" t="s">
        <v>1055</v>
      </c>
      <c r="U736" s="452">
        <v>0</v>
      </c>
      <c r="V7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6" s="272" t="str">
        <f>IFERROR(SUMIFS(TransUnitCost[Miles],TransUnitCost[Grouping_ID],TransTonsShort[[#This Row],[Grouping_ID]],TransUnitCost[Transp_ID],TransTonsShort[[#This Row],[Transp_ID]])*TransTonsShort[[#This Row],[Trans_Tons_All]]/TransTonsShort[[#This Row],[Trans_Tons_All]],"")</f>
        <v/>
      </c>
      <c r="X736" s="386" t="str">
        <f>TransTonsShort[[#This Row],[Grouping_ID]]&amp;"-"&amp;TransTonsShort[[#This Row],[Sector_ID]]</f>
        <v>2-3</v>
      </c>
      <c r="Y7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6" s="421">
        <f>INDEX(LandfillFees[Disposal Tip Fee 2025],MATCH(TransTonsShort[[#This Row],[Grouping_ID]],LandfillFees[Grouping_ID],0))</f>
        <v>72.030938699729589</v>
      </c>
      <c r="AA736" s="102">
        <f>IF(OR(TransTonsShort[[#This Row],[CollectionStream_ID]]="03",TransTonsShort[[#This Row],[CollectionStream_ID]]="04",TransTonsShort[[#This Row],[CollectionStream_ID]]="13"),0,TransTonsShort[[#This Row],[Trans_Tons_All]]*TransTonsShort[[#This Row],[Disposal_Fee]])</f>
        <v>0</v>
      </c>
    </row>
    <row r="737" spans="12:27" ht="15" x14ac:dyDescent="0.25">
      <c r="L737" s="446" t="s">
        <v>875</v>
      </c>
      <c r="M737" s="446">
        <v>3</v>
      </c>
      <c r="N737" s="446">
        <v>3</v>
      </c>
      <c r="O737" s="448" t="s">
        <v>746</v>
      </c>
      <c r="P737" s="449" t="s">
        <v>719</v>
      </c>
      <c r="Q737" s="449"/>
      <c r="R737" s="449"/>
      <c r="S737" s="449" t="s">
        <v>762</v>
      </c>
      <c r="T737" s="449" t="s">
        <v>1055</v>
      </c>
      <c r="U737" s="452">
        <v>0</v>
      </c>
      <c r="V7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7" s="272" t="str">
        <f>IFERROR(SUMIFS(TransUnitCost[Miles],TransUnitCost[Grouping_ID],TransTonsShort[[#This Row],[Grouping_ID]],TransUnitCost[Transp_ID],TransTonsShort[[#This Row],[Transp_ID]])*TransTonsShort[[#This Row],[Trans_Tons_All]]/TransTonsShort[[#This Row],[Trans_Tons_All]],"")</f>
        <v/>
      </c>
      <c r="X737" s="386" t="str">
        <f>TransTonsShort[[#This Row],[Grouping_ID]]&amp;"-"&amp;TransTonsShort[[#This Row],[Sector_ID]]</f>
        <v>3-3</v>
      </c>
      <c r="Y7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7" s="421">
        <f>INDEX(LandfillFees[Disposal Tip Fee 2025],MATCH(TransTonsShort[[#This Row],[Grouping_ID]],LandfillFees[Grouping_ID],0))</f>
        <v>72.030938699729589</v>
      </c>
      <c r="AA737" s="102">
        <f>IF(OR(TransTonsShort[[#This Row],[CollectionStream_ID]]="03",TransTonsShort[[#This Row],[CollectionStream_ID]]="04",TransTonsShort[[#This Row],[CollectionStream_ID]]="13"),0,TransTonsShort[[#This Row],[Trans_Tons_All]]*TransTonsShort[[#This Row],[Disposal_Fee]])</f>
        <v>0</v>
      </c>
    </row>
    <row r="738" spans="12:27" ht="15" x14ac:dyDescent="0.25">
      <c r="L738" s="446" t="s">
        <v>875</v>
      </c>
      <c r="M738" s="446">
        <v>4</v>
      </c>
      <c r="N738" s="446">
        <v>3</v>
      </c>
      <c r="O738" s="448" t="s">
        <v>746</v>
      </c>
      <c r="P738" s="449" t="s">
        <v>719</v>
      </c>
      <c r="Q738" s="449"/>
      <c r="R738" s="449"/>
      <c r="S738" s="449" t="s">
        <v>762</v>
      </c>
      <c r="T738" s="449" t="s">
        <v>1055</v>
      </c>
      <c r="U738" s="452">
        <v>0</v>
      </c>
      <c r="V7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8" s="272" t="str">
        <f>IFERROR(SUMIFS(TransUnitCost[Miles],TransUnitCost[Grouping_ID],TransTonsShort[[#This Row],[Grouping_ID]],TransUnitCost[Transp_ID],TransTonsShort[[#This Row],[Transp_ID]])*TransTonsShort[[#This Row],[Trans_Tons_All]]/TransTonsShort[[#This Row],[Trans_Tons_All]],"")</f>
        <v/>
      </c>
      <c r="X738" s="386" t="str">
        <f>TransTonsShort[[#This Row],[Grouping_ID]]&amp;"-"&amp;TransTonsShort[[#This Row],[Sector_ID]]</f>
        <v>4-3</v>
      </c>
      <c r="Y7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8" s="421">
        <f>INDEX(LandfillFees[Disposal Tip Fee 2025],MATCH(TransTonsShort[[#This Row],[Grouping_ID]],LandfillFees[Grouping_ID],0))</f>
        <v>72.030938699729589</v>
      </c>
      <c r="AA738" s="102">
        <f>IF(OR(TransTonsShort[[#This Row],[CollectionStream_ID]]="03",TransTonsShort[[#This Row],[CollectionStream_ID]]="04",TransTonsShort[[#This Row],[CollectionStream_ID]]="13"),0,TransTonsShort[[#This Row],[Trans_Tons_All]]*TransTonsShort[[#This Row],[Disposal_Fee]])</f>
        <v>0</v>
      </c>
    </row>
    <row r="739" spans="12:27" ht="15" x14ac:dyDescent="0.25">
      <c r="L739" s="446" t="s">
        <v>875</v>
      </c>
      <c r="M739" s="446">
        <v>1</v>
      </c>
      <c r="N739" s="446">
        <v>3</v>
      </c>
      <c r="O739" s="446" t="s">
        <v>746</v>
      </c>
      <c r="P739" s="449" t="s">
        <v>700</v>
      </c>
      <c r="Q739" s="449"/>
      <c r="R739" s="449"/>
      <c r="S739" s="449" t="s">
        <v>762</v>
      </c>
      <c r="T739" s="449" t="s">
        <v>701</v>
      </c>
      <c r="U739" s="452">
        <v>0</v>
      </c>
      <c r="V7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39" s="272" t="str">
        <f>IFERROR(SUMIFS(TransUnitCost[Miles],TransUnitCost[Grouping_ID],TransTonsShort[[#This Row],[Grouping_ID]],TransUnitCost[Transp_ID],TransTonsShort[[#This Row],[Transp_ID]])*TransTonsShort[[#This Row],[Trans_Tons_All]]/TransTonsShort[[#This Row],[Trans_Tons_All]],"")</f>
        <v/>
      </c>
      <c r="X739" s="386" t="str">
        <f>TransTonsShort[[#This Row],[Grouping_ID]]&amp;"-"&amp;TransTonsShort[[#This Row],[Sector_ID]]</f>
        <v>1-3</v>
      </c>
      <c r="Y7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39" s="421">
        <f>INDEX(LandfillFees[Disposal Tip Fee 2025],MATCH(TransTonsShort[[#This Row],[Grouping_ID]],LandfillFees[Grouping_ID],0))</f>
        <v>134.68</v>
      </c>
      <c r="AA739" s="102">
        <f>IF(OR(TransTonsShort[[#This Row],[CollectionStream_ID]]="03",TransTonsShort[[#This Row],[CollectionStream_ID]]="04",TransTonsShort[[#This Row],[CollectionStream_ID]]="13"),0,TransTonsShort[[#This Row],[Trans_Tons_All]]*TransTonsShort[[#This Row],[Disposal_Fee]])</f>
        <v>0</v>
      </c>
    </row>
    <row r="740" spans="12:27" ht="15" x14ac:dyDescent="0.25">
      <c r="L740" s="446" t="s">
        <v>875</v>
      </c>
      <c r="M740" s="446">
        <v>2</v>
      </c>
      <c r="N740" s="446">
        <v>3</v>
      </c>
      <c r="O740" s="446" t="s">
        <v>746</v>
      </c>
      <c r="P740" s="449" t="s">
        <v>700</v>
      </c>
      <c r="Q740" s="449"/>
      <c r="R740" s="449"/>
      <c r="S740" s="449" t="s">
        <v>762</v>
      </c>
      <c r="T740" s="449" t="s">
        <v>701</v>
      </c>
      <c r="U740" s="452">
        <v>0</v>
      </c>
      <c r="V7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0" s="272" t="str">
        <f>IFERROR(SUMIFS(TransUnitCost[Miles],TransUnitCost[Grouping_ID],TransTonsShort[[#This Row],[Grouping_ID]],TransUnitCost[Transp_ID],TransTonsShort[[#This Row],[Transp_ID]])*TransTonsShort[[#This Row],[Trans_Tons_All]]/TransTonsShort[[#This Row],[Trans_Tons_All]],"")</f>
        <v/>
      </c>
      <c r="X740" s="386" t="str">
        <f>TransTonsShort[[#This Row],[Grouping_ID]]&amp;"-"&amp;TransTonsShort[[#This Row],[Sector_ID]]</f>
        <v>2-3</v>
      </c>
      <c r="Y7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0" s="421">
        <f>INDEX(LandfillFees[Disposal Tip Fee 2025],MATCH(TransTonsShort[[#This Row],[Grouping_ID]],LandfillFees[Grouping_ID],0))</f>
        <v>72.030938699729589</v>
      </c>
      <c r="AA740" s="102">
        <f>IF(OR(TransTonsShort[[#This Row],[CollectionStream_ID]]="03",TransTonsShort[[#This Row],[CollectionStream_ID]]="04",TransTonsShort[[#This Row],[CollectionStream_ID]]="13"),0,TransTonsShort[[#This Row],[Trans_Tons_All]]*TransTonsShort[[#This Row],[Disposal_Fee]])</f>
        <v>0</v>
      </c>
    </row>
    <row r="741" spans="12:27" ht="15" x14ac:dyDescent="0.25">
      <c r="L741" s="446" t="s">
        <v>875</v>
      </c>
      <c r="M741" s="446">
        <v>3</v>
      </c>
      <c r="N741" s="446">
        <v>3</v>
      </c>
      <c r="O741" s="446" t="s">
        <v>746</v>
      </c>
      <c r="P741" s="449" t="s">
        <v>700</v>
      </c>
      <c r="Q741" s="449"/>
      <c r="R741" s="449"/>
      <c r="S741" s="449" t="s">
        <v>762</v>
      </c>
      <c r="T741" s="449" t="s">
        <v>701</v>
      </c>
      <c r="U741" s="452">
        <v>0</v>
      </c>
      <c r="V7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1" s="272" t="str">
        <f>IFERROR(SUMIFS(TransUnitCost[Miles],TransUnitCost[Grouping_ID],TransTonsShort[[#This Row],[Grouping_ID]],TransUnitCost[Transp_ID],TransTonsShort[[#This Row],[Transp_ID]])*TransTonsShort[[#This Row],[Trans_Tons_All]]/TransTonsShort[[#This Row],[Trans_Tons_All]],"")</f>
        <v/>
      </c>
      <c r="X741" s="386" t="str">
        <f>TransTonsShort[[#This Row],[Grouping_ID]]&amp;"-"&amp;TransTonsShort[[#This Row],[Sector_ID]]</f>
        <v>3-3</v>
      </c>
      <c r="Y7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1" s="421">
        <f>INDEX(LandfillFees[Disposal Tip Fee 2025],MATCH(TransTonsShort[[#This Row],[Grouping_ID]],LandfillFees[Grouping_ID],0))</f>
        <v>72.030938699729589</v>
      </c>
      <c r="AA741" s="102">
        <f>IF(OR(TransTonsShort[[#This Row],[CollectionStream_ID]]="03",TransTonsShort[[#This Row],[CollectionStream_ID]]="04",TransTonsShort[[#This Row],[CollectionStream_ID]]="13"),0,TransTonsShort[[#This Row],[Trans_Tons_All]]*TransTonsShort[[#This Row],[Disposal_Fee]])</f>
        <v>0</v>
      </c>
    </row>
    <row r="742" spans="12:27" ht="15" x14ac:dyDescent="0.25">
      <c r="L742" s="446" t="s">
        <v>875</v>
      </c>
      <c r="M742" s="446">
        <v>4</v>
      </c>
      <c r="N742" s="446">
        <v>3</v>
      </c>
      <c r="O742" s="446" t="s">
        <v>746</v>
      </c>
      <c r="P742" s="449" t="s">
        <v>700</v>
      </c>
      <c r="Q742" s="449"/>
      <c r="R742" s="449"/>
      <c r="S742" s="449" t="s">
        <v>762</v>
      </c>
      <c r="T742" s="449" t="s">
        <v>701</v>
      </c>
      <c r="U742" s="452">
        <v>0</v>
      </c>
      <c r="V7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2" s="272" t="str">
        <f>IFERROR(SUMIFS(TransUnitCost[Miles],TransUnitCost[Grouping_ID],TransTonsShort[[#This Row],[Grouping_ID]],TransUnitCost[Transp_ID],TransTonsShort[[#This Row],[Transp_ID]])*TransTonsShort[[#This Row],[Trans_Tons_All]]/TransTonsShort[[#This Row],[Trans_Tons_All]],"")</f>
        <v/>
      </c>
      <c r="X742" s="386" t="str">
        <f>TransTonsShort[[#This Row],[Grouping_ID]]&amp;"-"&amp;TransTonsShort[[#This Row],[Sector_ID]]</f>
        <v>4-3</v>
      </c>
      <c r="Y7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2" s="421">
        <f>INDEX(LandfillFees[Disposal Tip Fee 2025],MATCH(TransTonsShort[[#This Row],[Grouping_ID]],LandfillFees[Grouping_ID],0))</f>
        <v>72.030938699729589</v>
      </c>
      <c r="AA742" s="102">
        <f>IF(OR(TransTonsShort[[#This Row],[CollectionStream_ID]]="03",TransTonsShort[[#This Row],[CollectionStream_ID]]="04",TransTonsShort[[#This Row],[CollectionStream_ID]]="13"),0,TransTonsShort[[#This Row],[Trans_Tons_All]]*TransTonsShort[[#This Row],[Disposal_Fee]])</f>
        <v>0</v>
      </c>
    </row>
    <row r="743" spans="12:27" ht="15" x14ac:dyDescent="0.25">
      <c r="L743" s="446" t="s">
        <v>875</v>
      </c>
      <c r="M743" s="446">
        <v>1</v>
      </c>
      <c r="N743" s="446">
        <v>3</v>
      </c>
      <c r="O743" s="446" t="s">
        <v>746</v>
      </c>
      <c r="P743" s="449" t="s">
        <v>746</v>
      </c>
      <c r="Q743" s="449"/>
      <c r="R743" s="449"/>
      <c r="S743" s="449" t="s">
        <v>762</v>
      </c>
      <c r="T743" s="449" t="s">
        <v>848</v>
      </c>
      <c r="U743" s="452">
        <v>0</v>
      </c>
      <c r="V7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3" s="272" t="str">
        <f>IFERROR(SUMIFS(TransUnitCost[Miles],TransUnitCost[Grouping_ID],TransTonsShort[[#This Row],[Grouping_ID]],TransUnitCost[Transp_ID],TransTonsShort[[#This Row],[Transp_ID]])*TransTonsShort[[#This Row],[Trans_Tons_All]]/TransTonsShort[[#This Row],[Trans_Tons_All]],"")</f>
        <v/>
      </c>
      <c r="X743" s="386" t="str">
        <f>TransTonsShort[[#This Row],[Grouping_ID]]&amp;"-"&amp;TransTonsShort[[#This Row],[Sector_ID]]</f>
        <v>1-3</v>
      </c>
      <c r="Y7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3" s="421">
        <f>INDEX(LandfillFees[Disposal Tip Fee 2025],MATCH(TransTonsShort[[#This Row],[Grouping_ID]],LandfillFees[Grouping_ID],0))</f>
        <v>134.68</v>
      </c>
      <c r="AA743" s="102">
        <f>IF(OR(TransTonsShort[[#This Row],[CollectionStream_ID]]="03",TransTonsShort[[#This Row],[CollectionStream_ID]]="04",TransTonsShort[[#This Row],[CollectionStream_ID]]="13"),0,TransTonsShort[[#This Row],[Trans_Tons_All]]*TransTonsShort[[#This Row],[Disposal_Fee]])</f>
        <v>0</v>
      </c>
    </row>
    <row r="744" spans="12:27" ht="15" x14ac:dyDescent="0.25">
      <c r="L744" s="446" t="s">
        <v>875</v>
      </c>
      <c r="M744" s="446">
        <v>2</v>
      </c>
      <c r="N744" s="446">
        <v>3</v>
      </c>
      <c r="O744" s="446" t="s">
        <v>746</v>
      </c>
      <c r="P744" s="449" t="s">
        <v>746</v>
      </c>
      <c r="Q744" s="449"/>
      <c r="R744" s="449"/>
      <c r="S744" s="449" t="s">
        <v>762</v>
      </c>
      <c r="T744" s="449" t="s">
        <v>848</v>
      </c>
      <c r="U744" s="452">
        <v>0</v>
      </c>
      <c r="V7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4" s="272" t="str">
        <f>IFERROR(SUMIFS(TransUnitCost[Miles],TransUnitCost[Grouping_ID],TransTonsShort[[#This Row],[Grouping_ID]],TransUnitCost[Transp_ID],TransTonsShort[[#This Row],[Transp_ID]])*TransTonsShort[[#This Row],[Trans_Tons_All]]/TransTonsShort[[#This Row],[Trans_Tons_All]],"")</f>
        <v/>
      </c>
      <c r="X744" s="386" t="str">
        <f>TransTonsShort[[#This Row],[Grouping_ID]]&amp;"-"&amp;TransTonsShort[[#This Row],[Sector_ID]]</f>
        <v>2-3</v>
      </c>
      <c r="Y7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4" s="421">
        <f>INDEX(LandfillFees[Disposal Tip Fee 2025],MATCH(TransTonsShort[[#This Row],[Grouping_ID]],LandfillFees[Grouping_ID],0))</f>
        <v>72.030938699729589</v>
      </c>
      <c r="AA744" s="102">
        <f>IF(OR(TransTonsShort[[#This Row],[CollectionStream_ID]]="03",TransTonsShort[[#This Row],[CollectionStream_ID]]="04",TransTonsShort[[#This Row],[CollectionStream_ID]]="13"),0,TransTonsShort[[#This Row],[Trans_Tons_All]]*TransTonsShort[[#This Row],[Disposal_Fee]])</f>
        <v>0</v>
      </c>
    </row>
    <row r="745" spans="12:27" ht="15" x14ac:dyDescent="0.25">
      <c r="L745" s="446" t="s">
        <v>875</v>
      </c>
      <c r="M745" s="446">
        <v>3</v>
      </c>
      <c r="N745" s="446">
        <v>3</v>
      </c>
      <c r="O745" s="446" t="s">
        <v>746</v>
      </c>
      <c r="P745" s="449" t="s">
        <v>746</v>
      </c>
      <c r="Q745" s="449"/>
      <c r="R745" s="449"/>
      <c r="S745" s="449" t="s">
        <v>762</v>
      </c>
      <c r="T745" s="449" t="s">
        <v>848</v>
      </c>
      <c r="U745" s="452">
        <v>0</v>
      </c>
      <c r="V7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5" s="272" t="str">
        <f>IFERROR(SUMIFS(TransUnitCost[Miles],TransUnitCost[Grouping_ID],TransTonsShort[[#This Row],[Grouping_ID]],TransUnitCost[Transp_ID],TransTonsShort[[#This Row],[Transp_ID]])*TransTonsShort[[#This Row],[Trans_Tons_All]]/TransTonsShort[[#This Row],[Trans_Tons_All]],"")</f>
        <v/>
      </c>
      <c r="X745" s="386" t="str">
        <f>TransTonsShort[[#This Row],[Grouping_ID]]&amp;"-"&amp;TransTonsShort[[#This Row],[Sector_ID]]</f>
        <v>3-3</v>
      </c>
      <c r="Y7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5" s="421">
        <f>INDEX(LandfillFees[Disposal Tip Fee 2025],MATCH(TransTonsShort[[#This Row],[Grouping_ID]],LandfillFees[Grouping_ID],0))</f>
        <v>72.030938699729589</v>
      </c>
      <c r="AA745" s="102">
        <f>IF(OR(TransTonsShort[[#This Row],[CollectionStream_ID]]="03",TransTonsShort[[#This Row],[CollectionStream_ID]]="04",TransTonsShort[[#This Row],[CollectionStream_ID]]="13"),0,TransTonsShort[[#This Row],[Trans_Tons_All]]*TransTonsShort[[#This Row],[Disposal_Fee]])</f>
        <v>0</v>
      </c>
    </row>
    <row r="746" spans="12:27" ht="15" x14ac:dyDescent="0.25">
      <c r="L746" s="446" t="s">
        <v>875</v>
      </c>
      <c r="M746" s="446">
        <v>4</v>
      </c>
      <c r="N746" s="446">
        <v>3</v>
      </c>
      <c r="O746" s="446" t="s">
        <v>746</v>
      </c>
      <c r="P746" s="449" t="s">
        <v>746</v>
      </c>
      <c r="Q746" s="449"/>
      <c r="R746" s="449"/>
      <c r="S746" s="449" t="s">
        <v>762</v>
      </c>
      <c r="T746" s="449" t="s">
        <v>848</v>
      </c>
      <c r="U746" s="452">
        <v>0</v>
      </c>
      <c r="V7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46" s="272" t="str">
        <f>IFERROR(SUMIFS(TransUnitCost[Miles],TransUnitCost[Grouping_ID],TransTonsShort[[#This Row],[Grouping_ID]],TransUnitCost[Transp_ID],TransTonsShort[[#This Row],[Transp_ID]])*TransTonsShort[[#This Row],[Trans_Tons_All]]/TransTonsShort[[#This Row],[Trans_Tons_All]],"")</f>
        <v/>
      </c>
      <c r="X746" s="386" t="str">
        <f>TransTonsShort[[#This Row],[Grouping_ID]]&amp;"-"&amp;TransTonsShort[[#This Row],[Sector_ID]]</f>
        <v>4-3</v>
      </c>
      <c r="Y7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46" s="421">
        <f>INDEX(LandfillFees[Disposal Tip Fee 2025],MATCH(TransTonsShort[[#This Row],[Grouping_ID]],LandfillFees[Grouping_ID],0))</f>
        <v>72.030938699729589</v>
      </c>
      <c r="AA746" s="102">
        <f>IF(OR(TransTonsShort[[#This Row],[CollectionStream_ID]]="03",TransTonsShort[[#This Row],[CollectionStream_ID]]="04",TransTonsShort[[#This Row],[CollectionStream_ID]]="13"),0,TransTonsShort[[#This Row],[Trans_Tons_All]]*TransTonsShort[[#This Row],[Disposal_Fee]])</f>
        <v>0</v>
      </c>
    </row>
    <row r="747" spans="12:27" ht="15" x14ac:dyDescent="0.25">
      <c r="L747" s="446" t="s">
        <v>875</v>
      </c>
      <c r="M747" s="446">
        <v>1</v>
      </c>
      <c r="N747" s="446">
        <v>3</v>
      </c>
      <c r="O747" s="446" t="s">
        <v>706</v>
      </c>
      <c r="P747" s="449" t="s">
        <v>739</v>
      </c>
      <c r="Q747" s="449"/>
      <c r="R747" s="449"/>
      <c r="S747" s="449" t="s">
        <v>707</v>
      </c>
      <c r="T747" s="449" t="s">
        <v>1121</v>
      </c>
      <c r="U747" s="452">
        <v>5798.0165372371075</v>
      </c>
      <c r="V7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112481.52082239988</v>
      </c>
      <c r="W747" s="272">
        <f>IFERROR(SUMIFS(TransUnitCost[Miles],TransUnitCost[Grouping_ID],TransTonsShort[[#This Row],[Grouping_ID]],TransUnitCost[Transp_ID],TransTonsShort[[#This Row],[Transp_ID]])*TransTonsShort[[#This Row],[Trans_Tons_All]]/TransTonsShort[[#This Row],[Trans_Tons_All]],"")</f>
        <v>20</v>
      </c>
      <c r="X747" s="386" t="str">
        <f>TransTonsShort[[#This Row],[Grouping_ID]]&amp;"-"&amp;TransTonsShort[[#This Row],[Sector_ID]]</f>
        <v>1-3</v>
      </c>
      <c r="Y7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47" s="421">
        <f>INDEX(LandfillFees[Disposal Tip Fee 2025],MATCH(TransTonsShort[[#This Row],[Grouping_ID]],LandfillFees[Grouping_ID],0))</f>
        <v>134.68</v>
      </c>
      <c r="AA747" s="102">
        <f>IF(OR(TransTonsShort[[#This Row],[CollectionStream_ID]]="03",TransTonsShort[[#This Row],[CollectionStream_ID]]="04",TransTonsShort[[#This Row],[CollectionStream_ID]]="13"),0,TransTonsShort[[#This Row],[Trans_Tons_All]]*TransTonsShort[[#This Row],[Disposal_Fee]])</f>
        <v>780876.86723509373</v>
      </c>
    </row>
    <row r="748" spans="12:27" ht="15" x14ac:dyDescent="0.25">
      <c r="L748" s="446" t="s">
        <v>875</v>
      </c>
      <c r="M748" s="446">
        <v>2</v>
      </c>
      <c r="N748" s="446">
        <v>3</v>
      </c>
      <c r="O748" s="446" t="s">
        <v>706</v>
      </c>
      <c r="P748" s="449" t="s">
        <v>739</v>
      </c>
      <c r="Q748" s="449"/>
      <c r="R748" s="449"/>
      <c r="S748" s="449" t="s">
        <v>707</v>
      </c>
      <c r="T748" s="449" t="s">
        <v>1121</v>
      </c>
      <c r="U748" s="452">
        <v>4131.6328940446638</v>
      </c>
      <c r="V7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170636.43852404461</v>
      </c>
      <c r="W748" s="272">
        <f>IFERROR(SUMIFS(TransUnitCost[Miles],TransUnitCost[Grouping_ID],TransTonsShort[[#This Row],[Grouping_ID]],TransUnitCost[Transp_ID],TransTonsShort[[#This Row],[Transp_ID]])*TransTonsShort[[#This Row],[Trans_Tons_All]]/TransTonsShort[[#This Row],[Trans_Tons_All]],"")</f>
        <v>70</v>
      </c>
      <c r="X748" s="386" t="str">
        <f>TransTonsShort[[#This Row],[Grouping_ID]]&amp;"-"&amp;TransTonsShort[[#This Row],[Sector_ID]]</f>
        <v>2-3</v>
      </c>
      <c r="Y7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48" s="421">
        <f>INDEX(LandfillFees[Disposal Tip Fee 2025],MATCH(TransTonsShort[[#This Row],[Grouping_ID]],LandfillFees[Grouping_ID],0))</f>
        <v>72.030938699729589</v>
      </c>
      <c r="AA748" s="102">
        <f>IF(OR(TransTonsShort[[#This Row],[CollectionStream_ID]]="03",TransTonsShort[[#This Row],[CollectionStream_ID]]="04",TransTonsShort[[#This Row],[CollectionStream_ID]]="13"),0,TransTonsShort[[#This Row],[Trans_Tons_All]]*TransTonsShort[[#This Row],[Disposal_Fee]])</f>
        <v>297605.39572071756</v>
      </c>
    </row>
    <row r="749" spans="12:27" ht="15" x14ac:dyDescent="0.25">
      <c r="L749" s="446" t="s">
        <v>875</v>
      </c>
      <c r="M749" s="446">
        <v>3</v>
      </c>
      <c r="N749" s="446">
        <v>3</v>
      </c>
      <c r="O749" s="446" t="s">
        <v>706</v>
      </c>
      <c r="P749" s="449" t="s">
        <v>739</v>
      </c>
      <c r="Q749" s="449"/>
      <c r="R749" s="449"/>
      <c r="S749" s="449" t="s">
        <v>707</v>
      </c>
      <c r="T749" s="449" t="s">
        <v>1121</v>
      </c>
      <c r="U749" s="452">
        <v>253.93377399238111</v>
      </c>
      <c r="V7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9141.6158637257195</v>
      </c>
      <c r="W749" s="272">
        <f>IFERROR(SUMIFS(TransUnitCost[Miles],TransUnitCost[Grouping_ID],TransTonsShort[[#This Row],[Grouping_ID]],TransUnitCost[Transp_ID],TransTonsShort[[#This Row],[Transp_ID]])*TransTonsShort[[#This Row],[Trans_Tons_All]]/TransTonsShort[[#This Row],[Trans_Tons_All]],"")</f>
        <v>150</v>
      </c>
      <c r="X749" s="386" t="str">
        <f>TransTonsShort[[#This Row],[Grouping_ID]]&amp;"-"&amp;TransTonsShort[[#This Row],[Sector_ID]]</f>
        <v>3-3</v>
      </c>
      <c r="Y7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49" s="421">
        <f>INDEX(LandfillFees[Disposal Tip Fee 2025],MATCH(TransTonsShort[[#This Row],[Grouping_ID]],LandfillFees[Grouping_ID],0))</f>
        <v>72.030938699729589</v>
      </c>
      <c r="AA749" s="102">
        <f>IF(OR(TransTonsShort[[#This Row],[CollectionStream_ID]]="03",TransTonsShort[[#This Row],[CollectionStream_ID]]="04",TransTonsShort[[#This Row],[CollectionStream_ID]]="13"),0,TransTonsShort[[#This Row],[Trans_Tons_All]]*TransTonsShort[[#This Row],[Disposal_Fee]])</f>
        <v>18291.088108236192</v>
      </c>
    </row>
    <row r="750" spans="12:27" ht="15" x14ac:dyDescent="0.25">
      <c r="L750" s="446" t="s">
        <v>875</v>
      </c>
      <c r="M750" s="446">
        <v>4</v>
      </c>
      <c r="N750" s="446">
        <v>3</v>
      </c>
      <c r="O750" s="446" t="s">
        <v>706</v>
      </c>
      <c r="P750" s="449" t="s">
        <v>739</v>
      </c>
      <c r="Q750" s="449"/>
      <c r="R750" s="449"/>
      <c r="S750" s="449" t="s">
        <v>707</v>
      </c>
      <c r="T750" s="449" t="s">
        <v>1121</v>
      </c>
      <c r="U750" s="452">
        <v>264.93557181993026</v>
      </c>
      <c r="V7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14571.456450096164</v>
      </c>
      <c r="W750" s="272">
        <f>IFERROR(SUMIFS(TransUnitCost[Miles],TransUnitCost[Grouping_ID],TransTonsShort[[#This Row],[Grouping_ID]],TransUnitCost[Transp_ID],TransTonsShort[[#This Row],[Transp_ID]])*TransTonsShort[[#This Row],[Trans_Tons_All]]/TransTonsShort[[#This Row],[Trans_Tons_All]],"")</f>
        <v>250.00000000000003</v>
      </c>
      <c r="X750" s="386" t="str">
        <f>TransTonsShort[[#This Row],[Grouping_ID]]&amp;"-"&amp;TransTonsShort[[#This Row],[Sector_ID]]</f>
        <v>4-3</v>
      </c>
      <c r="Y7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0" s="421">
        <f>INDEX(LandfillFees[Disposal Tip Fee 2025],MATCH(TransTonsShort[[#This Row],[Grouping_ID]],LandfillFees[Grouping_ID],0))</f>
        <v>72.030938699729589</v>
      </c>
      <c r="AA750" s="102">
        <f>IF(OR(TransTonsShort[[#This Row],[CollectionStream_ID]]="03",TransTonsShort[[#This Row],[CollectionStream_ID]]="04",TransTonsShort[[#This Row],[CollectionStream_ID]]="13"),0,TransTonsShort[[#This Row],[Trans_Tons_All]]*TransTonsShort[[#This Row],[Disposal_Fee]])</f>
        <v>19083.557933139204</v>
      </c>
    </row>
    <row r="751" spans="12:27" ht="15" x14ac:dyDescent="0.25">
      <c r="L751" s="446" t="s">
        <v>875</v>
      </c>
      <c r="M751" s="446">
        <v>1</v>
      </c>
      <c r="N751" s="446">
        <v>3</v>
      </c>
      <c r="O751" s="446" t="s">
        <v>706</v>
      </c>
      <c r="P751" s="449" t="s">
        <v>700</v>
      </c>
      <c r="Q751" s="449"/>
      <c r="R751" s="449"/>
      <c r="S751" s="449" t="s">
        <v>707</v>
      </c>
      <c r="T751" s="449" t="s">
        <v>701</v>
      </c>
      <c r="U751" s="452">
        <v>3045.9598519855836</v>
      </c>
      <c r="V7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1" s="272">
        <f>IFERROR(SUMIFS(TransUnitCost[Miles],TransUnitCost[Grouping_ID],TransTonsShort[[#This Row],[Grouping_ID]],TransUnitCost[Transp_ID],TransTonsShort[[#This Row],[Transp_ID]])*TransTonsShort[[#This Row],[Trans_Tons_All]]/TransTonsShort[[#This Row],[Trans_Tons_All]],"")</f>
        <v>0</v>
      </c>
      <c r="X751" s="386" t="str">
        <f>TransTonsShort[[#This Row],[Grouping_ID]]&amp;"-"&amp;TransTonsShort[[#This Row],[Sector_ID]]</f>
        <v>1-3</v>
      </c>
      <c r="Y7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1" s="421">
        <f>INDEX(LandfillFees[Disposal Tip Fee 2025],MATCH(TransTonsShort[[#This Row],[Grouping_ID]],LandfillFees[Grouping_ID],0))</f>
        <v>134.68</v>
      </c>
      <c r="AA751" s="102">
        <f>IF(OR(TransTonsShort[[#This Row],[CollectionStream_ID]]="03",TransTonsShort[[#This Row],[CollectionStream_ID]]="04",TransTonsShort[[#This Row],[CollectionStream_ID]]="13"),0,TransTonsShort[[#This Row],[Trans_Tons_All]]*TransTonsShort[[#This Row],[Disposal_Fee]])</f>
        <v>410229.87286541844</v>
      </c>
    </row>
    <row r="752" spans="12:27" ht="15" x14ac:dyDescent="0.25">
      <c r="L752" s="446" t="s">
        <v>875</v>
      </c>
      <c r="M752" s="446">
        <v>2</v>
      </c>
      <c r="N752" s="446">
        <v>3</v>
      </c>
      <c r="O752" s="446" t="s">
        <v>706</v>
      </c>
      <c r="P752" s="449" t="s">
        <v>700</v>
      </c>
      <c r="Q752" s="449"/>
      <c r="R752" s="449"/>
      <c r="S752" s="449" t="s">
        <v>707</v>
      </c>
      <c r="T752" s="449" t="s">
        <v>701</v>
      </c>
      <c r="U752" s="452">
        <v>0</v>
      </c>
      <c r="V7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2" s="272" t="str">
        <f>IFERROR(SUMIFS(TransUnitCost[Miles],TransUnitCost[Grouping_ID],TransTonsShort[[#This Row],[Grouping_ID]],TransUnitCost[Transp_ID],TransTonsShort[[#This Row],[Transp_ID]])*TransTonsShort[[#This Row],[Trans_Tons_All]]/TransTonsShort[[#This Row],[Trans_Tons_All]],"")</f>
        <v/>
      </c>
      <c r="X752" s="386" t="str">
        <f>TransTonsShort[[#This Row],[Grouping_ID]]&amp;"-"&amp;TransTonsShort[[#This Row],[Sector_ID]]</f>
        <v>2-3</v>
      </c>
      <c r="Y7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2" s="421">
        <f>INDEX(LandfillFees[Disposal Tip Fee 2025],MATCH(TransTonsShort[[#This Row],[Grouping_ID]],LandfillFees[Grouping_ID],0))</f>
        <v>72.030938699729589</v>
      </c>
      <c r="AA752" s="102">
        <f>IF(OR(TransTonsShort[[#This Row],[CollectionStream_ID]]="03",TransTonsShort[[#This Row],[CollectionStream_ID]]="04",TransTonsShort[[#This Row],[CollectionStream_ID]]="13"),0,TransTonsShort[[#This Row],[Trans_Tons_All]]*TransTonsShort[[#This Row],[Disposal_Fee]])</f>
        <v>0</v>
      </c>
    </row>
    <row r="753" spans="12:27" ht="15" x14ac:dyDescent="0.25">
      <c r="L753" s="446" t="s">
        <v>875</v>
      </c>
      <c r="M753" s="446">
        <v>3</v>
      </c>
      <c r="N753" s="446">
        <v>3</v>
      </c>
      <c r="O753" s="446" t="s">
        <v>706</v>
      </c>
      <c r="P753" s="449" t="s">
        <v>700</v>
      </c>
      <c r="Q753" s="449"/>
      <c r="R753" s="449"/>
      <c r="S753" s="449" t="s">
        <v>707</v>
      </c>
      <c r="T753" s="449" t="s">
        <v>701</v>
      </c>
      <c r="U753" s="452">
        <v>0</v>
      </c>
      <c r="V7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3" s="272" t="str">
        <f>IFERROR(SUMIFS(TransUnitCost[Miles],TransUnitCost[Grouping_ID],TransTonsShort[[#This Row],[Grouping_ID]],TransUnitCost[Transp_ID],TransTonsShort[[#This Row],[Transp_ID]])*TransTonsShort[[#This Row],[Trans_Tons_All]]/TransTonsShort[[#This Row],[Trans_Tons_All]],"")</f>
        <v/>
      </c>
      <c r="X753" s="386" t="str">
        <f>TransTonsShort[[#This Row],[Grouping_ID]]&amp;"-"&amp;TransTonsShort[[#This Row],[Sector_ID]]</f>
        <v>3-3</v>
      </c>
      <c r="Y7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3" s="421">
        <f>INDEX(LandfillFees[Disposal Tip Fee 2025],MATCH(TransTonsShort[[#This Row],[Grouping_ID]],LandfillFees[Grouping_ID],0))</f>
        <v>72.030938699729589</v>
      </c>
      <c r="AA753" s="102">
        <f>IF(OR(TransTonsShort[[#This Row],[CollectionStream_ID]]="03",TransTonsShort[[#This Row],[CollectionStream_ID]]="04",TransTonsShort[[#This Row],[CollectionStream_ID]]="13"),0,TransTonsShort[[#This Row],[Trans_Tons_All]]*TransTonsShort[[#This Row],[Disposal_Fee]])</f>
        <v>0</v>
      </c>
    </row>
    <row r="754" spans="12:27" ht="15" x14ac:dyDescent="0.25">
      <c r="L754" s="446" t="s">
        <v>875</v>
      </c>
      <c r="M754" s="446">
        <v>4</v>
      </c>
      <c r="N754" s="446">
        <v>3</v>
      </c>
      <c r="O754" s="446" t="s">
        <v>706</v>
      </c>
      <c r="P754" s="449" t="s">
        <v>700</v>
      </c>
      <c r="Q754" s="449"/>
      <c r="R754" s="449"/>
      <c r="S754" s="449" t="s">
        <v>707</v>
      </c>
      <c r="T754" s="449" t="s">
        <v>701</v>
      </c>
      <c r="U754" s="452">
        <v>0</v>
      </c>
      <c r="V7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4" s="272" t="str">
        <f>IFERROR(SUMIFS(TransUnitCost[Miles],TransUnitCost[Grouping_ID],TransTonsShort[[#This Row],[Grouping_ID]],TransUnitCost[Transp_ID],TransTonsShort[[#This Row],[Transp_ID]])*TransTonsShort[[#This Row],[Trans_Tons_All]]/TransTonsShort[[#This Row],[Trans_Tons_All]],"")</f>
        <v/>
      </c>
      <c r="X754" s="386" t="str">
        <f>TransTonsShort[[#This Row],[Grouping_ID]]&amp;"-"&amp;TransTonsShort[[#This Row],[Sector_ID]]</f>
        <v>4-3</v>
      </c>
      <c r="Y7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4" s="421">
        <f>INDEX(LandfillFees[Disposal Tip Fee 2025],MATCH(TransTonsShort[[#This Row],[Grouping_ID]],LandfillFees[Grouping_ID],0))</f>
        <v>72.030938699729589</v>
      </c>
      <c r="AA754" s="102">
        <f>IF(OR(TransTonsShort[[#This Row],[CollectionStream_ID]]="03",TransTonsShort[[#This Row],[CollectionStream_ID]]="04",TransTonsShort[[#This Row],[CollectionStream_ID]]="13"),0,TransTonsShort[[#This Row],[Trans_Tons_All]]*TransTonsShort[[#This Row],[Disposal_Fee]])</f>
        <v>0</v>
      </c>
    </row>
    <row r="755" spans="12:27" ht="15" x14ac:dyDescent="0.25">
      <c r="L755" s="446" t="s">
        <v>875</v>
      </c>
      <c r="M755" s="446">
        <v>1</v>
      </c>
      <c r="N755" s="446">
        <v>3</v>
      </c>
      <c r="O755" s="446" t="s">
        <v>752</v>
      </c>
      <c r="P755" s="449" t="s">
        <v>719</v>
      </c>
      <c r="Q755" s="449"/>
      <c r="R755" s="449"/>
      <c r="S755" s="449" t="s">
        <v>964</v>
      </c>
      <c r="T755" s="449" t="s">
        <v>1055</v>
      </c>
      <c r="U755" s="452">
        <v>0</v>
      </c>
      <c r="V7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5" s="272" t="str">
        <f>IFERROR(SUMIFS(TransUnitCost[Miles],TransUnitCost[Grouping_ID],TransTonsShort[[#This Row],[Grouping_ID]],TransUnitCost[Transp_ID],TransTonsShort[[#This Row],[Transp_ID]])*TransTonsShort[[#This Row],[Trans_Tons_All]]/TransTonsShort[[#This Row],[Trans_Tons_All]],"")</f>
        <v/>
      </c>
      <c r="X755" s="386" t="str">
        <f>TransTonsShort[[#This Row],[Grouping_ID]]&amp;"-"&amp;TransTonsShort[[#This Row],[Sector_ID]]</f>
        <v>1-3</v>
      </c>
      <c r="Y7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5" s="421">
        <f>INDEX(LandfillFees[Disposal Tip Fee 2025],MATCH(TransTonsShort[[#This Row],[Grouping_ID]],LandfillFees[Grouping_ID],0))</f>
        <v>134.68</v>
      </c>
      <c r="AA755" s="102">
        <f>IF(OR(TransTonsShort[[#This Row],[CollectionStream_ID]]="03",TransTonsShort[[#This Row],[CollectionStream_ID]]="04",TransTonsShort[[#This Row],[CollectionStream_ID]]="13"),0,TransTonsShort[[#This Row],[Trans_Tons_All]]*TransTonsShort[[#This Row],[Disposal_Fee]])</f>
        <v>0</v>
      </c>
    </row>
    <row r="756" spans="12:27" ht="15" x14ac:dyDescent="0.25">
      <c r="L756" s="446" t="s">
        <v>875</v>
      </c>
      <c r="M756" s="446">
        <v>2</v>
      </c>
      <c r="N756" s="446">
        <v>3</v>
      </c>
      <c r="O756" s="446" t="s">
        <v>752</v>
      </c>
      <c r="P756" s="449" t="s">
        <v>719</v>
      </c>
      <c r="Q756" s="449"/>
      <c r="R756" s="449"/>
      <c r="S756" s="449" t="s">
        <v>964</v>
      </c>
      <c r="T756" s="449" t="s">
        <v>1055</v>
      </c>
      <c r="U756" s="452">
        <v>0</v>
      </c>
      <c r="V7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6" s="272" t="str">
        <f>IFERROR(SUMIFS(TransUnitCost[Miles],TransUnitCost[Grouping_ID],TransTonsShort[[#This Row],[Grouping_ID]],TransUnitCost[Transp_ID],TransTonsShort[[#This Row],[Transp_ID]])*TransTonsShort[[#This Row],[Trans_Tons_All]]/TransTonsShort[[#This Row],[Trans_Tons_All]],"")</f>
        <v/>
      </c>
      <c r="X756" s="386" t="str">
        <f>TransTonsShort[[#This Row],[Grouping_ID]]&amp;"-"&amp;TransTonsShort[[#This Row],[Sector_ID]]</f>
        <v>2-3</v>
      </c>
      <c r="Y7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6" s="421">
        <f>INDEX(LandfillFees[Disposal Tip Fee 2025],MATCH(TransTonsShort[[#This Row],[Grouping_ID]],LandfillFees[Grouping_ID],0))</f>
        <v>72.030938699729589</v>
      </c>
      <c r="AA756" s="102">
        <f>IF(OR(TransTonsShort[[#This Row],[CollectionStream_ID]]="03",TransTonsShort[[#This Row],[CollectionStream_ID]]="04",TransTonsShort[[#This Row],[CollectionStream_ID]]="13"),0,TransTonsShort[[#This Row],[Trans_Tons_All]]*TransTonsShort[[#This Row],[Disposal_Fee]])</f>
        <v>0</v>
      </c>
    </row>
    <row r="757" spans="12:27" ht="15" x14ac:dyDescent="0.25">
      <c r="L757" s="446" t="s">
        <v>875</v>
      </c>
      <c r="M757" s="446">
        <v>3</v>
      </c>
      <c r="N757" s="446">
        <v>3</v>
      </c>
      <c r="O757" s="446" t="s">
        <v>752</v>
      </c>
      <c r="P757" s="449" t="s">
        <v>719</v>
      </c>
      <c r="Q757" s="449"/>
      <c r="R757" s="449"/>
      <c r="S757" s="449" t="s">
        <v>964</v>
      </c>
      <c r="T757" s="449" t="s">
        <v>1055</v>
      </c>
      <c r="U757" s="452">
        <v>0</v>
      </c>
      <c r="V7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7" s="272" t="str">
        <f>IFERROR(SUMIFS(TransUnitCost[Miles],TransUnitCost[Grouping_ID],TransTonsShort[[#This Row],[Grouping_ID]],TransUnitCost[Transp_ID],TransTonsShort[[#This Row],[Transp_ID]])*TransTonsShort[[#This Row],[Trans_Tons_All]]/TransTonsShort[[#This Row],[Trans_Tons_All]],"")</f>
        <v/>
      </c>
      <c r="X757" s="386" t="str">
        <f>TransTonsShort[[#This Row],[Grouping_ID]]&amp;"-"&amp;TransTonsShort[[#This Row],[Sector_ID]]</f>
        <v>3-3</v>
      </c>
      <c r="Y7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7" s="421">
        <f>INDEX(LandfillFees[Disposal Tip Fee 2025],MATCH(TransTonsShort[[#This Row],[Grouping_ID]],LandfillFees[Grouping_ID],0))</f>
        <v>72.030938699729589</v>
      </c>
      <c r="AA757" s="102">
        <f>IF(OR(TransTonsShort[[#This Row],[CollectionStream_ID]]="03",TransTonsShort[[#This Row],[CollectionStream_ID]]="04",TransTonsShort[[#This Row],[CollectionStream_ID]]="13"),0,TransTonsShort[[#This Row],[Trans_Tons_All]]*TransTonsShort[[#This Row],[Disposal_Fee]])</f>
        <v>0</v>
      </c>
    </row>
    <row r="758" spans="12:27" ht="15" x14ac:dyDescent="0.25">
      <c r="L758" s="446" t="s">
        <v>875</v>
      </c>
      <c r="M758" s="446">
        <v>4</v>
      </c>
      <c r="N758" s="446">
        <v>3</v>
      </c>
      <c r="O758" s="446" t="s">
        <v>752</v>
      </c>
      <c r="P758" s="449" t="s">
        <v>719</v>
      </c>
      <c r="Q758" s="449"/>
      <c r="R758" s="449"/>
      <c r="S758" s="449" t="s">
        <v>964</v>
      </c>
      <c r="T758" s="449" t="s">
        <v>1055</v>
      </c>
      <c r="U758" s="452">
        <v>0</v>
      </c>
      <c r="V7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8" s="272" t="str">
        <f>IFERROR(SUMIFS(TransUnitCost[Miles],TransUnitCost[Grouping_ID],TransTonsShort[[#This Row],[Grouping_ID]],TransUnitCost[Transp_ID],TransTonsShort[[#This Row],[Transp_ID]])*TransTonsShort[[#This Row],[Trans_Tons_All]]/TransTonsShort[[#This Row],[Trans_Tons_All]],"")</f>
        <v/>
      </c>
      <c r="X758" s="386" t="str">
        <f>TransTonsShort[[#This Row],[Grouping_ID]]&amp;"-"&amp;TransTonsShort[[#This Row],[Sector_ID]]</f>
        <v>4-3</v>
      </c>
      <c r="Y7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8" s="421">
        <f>INDEX(LandfillFees[Disposal Tip Fee 2025],MATCH(TransTonsShort[[#This Row],[Grouping_ID]],LandfillFees[Grouping_ID],0))</f>
        <v>72.030938699729589</v>
      </c>
      <c r="AA758" s="102">
        <f>IF(OR(TransTonsShort[[#This Row],[CollectionStream_ID]]="03",TransTonsShort[[#This Row],[CollectionStream_ID]]="04",TransTonsShort[[#This Row],[CollectionStream_ID]]="13"),0,TransTonsShort[[#This Row],[Trans_Tons_All]]*TransTonsShort[[#This Row],[Disposal_Fee]])</f>
        <v>0</v>
      </c>
    </row>
    <row r="759" spans="12:27" ht="15" x14ac:dyDescent="0.25">
      <c r="L759" s="446" t="s">
        <v>875</v>
      </c>
      <c r="M759" s="446">
        <v>1</v>
      </c>
      <c r="N759" s="446">
        <v>3</v>
      </c>
      <c r="O759" s="446" t="s">
        <v>752</v>
      </c>
      <c r="P759" s="449" t="s">
        <v>700</v>
      </c>
      <c r="Q759" s="449"/>
      <c r="R759" s="449"/>
      <c r="S759" s="449" t="s">
        <v>964</v>
      </c>
      <c r="T759" s="449" t="s">
        <v>701</v>
      </c>
      <c r="U759" s="452">
        <v>2837.9119120943196</v>
      </c>
      <c r="V7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59" s="272">
        <f>IFERROR(SUMIFS(TransUnitCost[Miles],TransUnitCost[Grouping_ID],TransTonsShort[[#This Row],[Grouping_ID]],TransUnitCost[Transp_ID],TransTonsShort[[#This Row],[Transp_ID]])*TransTonsShort[[#This Row],[Trans_Tons_All]]/TransTonsShort[[#This Row],[Trans_Tons_All]],"")</f>
        <v>0</v>
      </c>
      <c r="X759" s="386" t="str">
        <f>TransTonsShort[[#This Row],[Grouping_ID]]&amp;"-"&amp;TransTonsShort[[#This Row],[Sector_ID]]</f>
        <v>1-3</v>
      </c>
      <c r="Y7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59" s="421">
        <f>INDEX(LandfillFees[Disposal Tip Fee 2025],MATCH(TransTonsShort[[#This Row],[Grouping_ID]],LandfillFees[Grouping_ID],0))</f>
        <v>134.68</v>
      </c>
      <c r="AA759" s="102">
        <f>IF(OR(TransTonsShort[[#This Row],[CollectionStream_ID]]="03",TransTonsShort[[#This Row],[CollectionStream_ID]]="04",TransTonsShort[[#This Row],[CollectionStream_ID]]="13"),0,TransTonsShort[[#This Row],[Trans_Tons_All]]*TransTonsShort[[#This Row],[Disposal_Fee]])</f>
        <v>382209.976320863</v>
      </c>
    </row>
    <row r="760" spans="12:27" ht="15" x14ac:dyDescent="0.25">
      <c r="L760" s="446" t="s">
        <v>875</v>
      </c>
      <c r="M760" s="446">
        <v>2</v>
      </c>
      <c r="N760" s="446">
        <v>3</v>
      </c>
      <c r="O760" s="446" t="s">
        <v>752</v>
      </c>
      <c r="P760" s="449" t="s">
        <v>700</v>
      </c>
      <c r="Q760" s="449"/>
      <c r="R760" s="449"/>
      <c r="S760" s="449" t="s">
        <v>964</v>
      </c>
      <c r="T760" s="449" t="s">
        <v>701</v>
      </c>
      <c r="U760" s="452">
        <v>0</v>
      </c>
      <c r="V7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60" s="272" t="str">
        <f>IFERROR(SUMIFS(TransUnitCost[Miles],TransUnitCost[Grouping_ID],TransTonsShort[[#This Row],[Grouping_ID]],TransUnitCost[Transp_ID],TransTonsShort[[#This Row],[Transp_ID]])*TransTonsShort[[#This Row],[Trans_Tons_All]]/TransTonsShort[[#This Row],[Trans_Tons_All]],"")</f>
        <v/>
      </c>
      <c r="X760" s="386" t="str">
        <f>TransTonsShort[[#This Row],[Grouping_ID]]&amp;"-"&amp;TransTonsShort[[#This Row],[Sector_ID]]</f>
        <v>2-3</v>
      </c>
      <c r="Y7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0" s="421">
        <f>INDEX(LandfillFees[Disposal Tip Fee 2025],MATCH(TransTonsShort[[#This Row],[Grouping_ID]],LandfillFees[Grouping_ID],0))</f>
        <v>72.030938699729589</v>
      </c>
      <c r="AA760" s="102">
        <f>IF(OR(TransTonsShort[[#This Row],[CollectionStream_ID]]="03",TransTonsShort[[#This Row],[CollectionStream_ID]]="04",TransTonsShort[[#This Row],[CollectionStream_ID]]="13"),0,TransTonsShort[[#This Row],[Trans_Tons_All]]*TransTonsShort[[#This Row],[Disposal_Fee]])</f>
        <v>0</v>
      </c>
    </row>
    <row r="761" spans="12:27" ht="15" x14ac:dyDescent="0.25">
      <c r="L761" s="446" t="s">
        <v>875</v>
      </c>
      <c r="M761" s="446">
        <v>3</v>
      </c>
      <c r="N761" s="446">
        <v>3</v>
      </c>
      <c r="O761" s="446" t="s">
        <v>752</v>
      </c>
      <c r="P761" s="449" t="s">
        <v>700</v>
      </c>
      <c r="Q761" s="449"/>
      <c r="R761" s="449"/>
      <c r="S761" s="449" t="s">
        <v>964</v>
      </c>
      <c r="T761" s="449" t="s">
        <v>701</v>
      </c>
      <c r="U761" s="452">
        <v>0</v>
      </c>
      <c r="V7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61" s="272" t="str">
        <f>IFERROR(SUMIFS(TransUnitCost[Miles],TransUnitCost[Grouping_ID],TransTonsShort[[#This Row],[Grouping_ID]],TransUnitCost[Transp_ID],TransTonsShort[[#This Row],[Transp_ID]])*TransTonsShort[[#This Row],[Trans_Tons_All]]/TransTonsShort[[#This Row],[Trans_Tons_All]],"")</f>
        <v/>
      </c>
      <c r="X761" s="386" t="str">
        <f>TransTonsShort[[#This Row],[Grouping_ID]]&amp;"-"&amp;TransTonsShort[[#This Row],[Sector_ID]]</f>
        <v>3-3</v>
      </c>
      <c r="Y7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1" s="421">
        <f>INDEX(LandfillFees[Disposal Tip Fee 2025],MATCH(TransTonsShort[[#This Row],[Grouping_ID]],LandfillFees[Grouping_ID],0))</f>
        <v>72.030938699729589</v>
      </c>
      <c r="AA761" s="102">
        <f>IF(OR(TransTonsShort[[#This Row],[CollectionStream_ID]]="03",TransTonsShort[[#This Row],[CollectionStream_ID]]="04",TransTonsShort[[#This Row],[CollectionStream_ID]]="13"),0,TransTonsShort[[#This Row],[Trans_Tons_All]]*TransTonsShort[[#This Row],[Disposal_Fee]])</f>
        <v>0</v>
      </c>
    </row>
    <row r="762" spans="12:27" ht="15" x14ac:dyDescent="0.25">
      <c r="L762" s="446" t="s">
        <v>875</v>
      </c>
      <c r="M762" s="446">
        <v>4</v>
      </c>
      <c r="N762" s="446">
        <v>3</v>
      </c>
      <c r="O762" s="446" t="s">
        <v>752</v>
      </c>
      <c r="P762" s="449" t="s">
        <v>700</v>
      </c>
      <c r="Q762" s="449"/>
      <c r="R762" s="449"/>
      <c r="S762" s="449" t="s">
        <v>964</v>
      </c>
      <c r="T762" s="449" t="s">
        <v>701</v>
      </c>
      <c r="U762" s="452">
        <v>0</v>
      </c>
      <c r="V7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62" s="272" t="str">
        <f>IFERROR(SUMIFS(TransUnitCost[Miles],TransUnitCost[Grouping_ID],TransTonsShort[[#This Row],[Grouping_ID]],TransUnitCost[Transp_ID],TransTonsShort[[#This Row],[Transp_ID]])*TransTonsShort[[#This Row],[Trans_Tons_All]]/TransTonsShort[[#This Row],[Trans_Tons_All]],"")</f>
        <v/>
      </c>
      <c r="X762" s="386" t="str">
        <f>TransTonsShort[[#This Row],[Grouping_ID]]&amp;"-"&amp;TransTonsShort[[#This Row],[Sector_ID]]</f>
        <v>4-3</v>
      </c>
      <c r="Y7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2" s="421">
        <f>INDEX(LandfillFees[Disposal Tip Fee 2025],MATCH(TransTonsShort[[#This Row],[Grouping_ID]],LandfillFees[Grouping_ID],0))</f>
        <v>72.030938699729589</v>
      </c>
      <c r="AA762" s="102">
        <f>IF(OR(TransTonsShort[[#This Row],[CollectionStream_ID]]="03",TransTonsShort[[#This Row],[CollectionStream_ID]]="04",TransTonsShort[[#This Row],[CollectionStream_ID]]="13"),0,TransTonsShort[[#This Row],[Trans_Tons_All]]*TransTonsShort[[#This Row],[Disposal_Fee]])</f>
        <v>0</v>
      </c>
    </row>
    <row r="763" spans="12:27" ht="15" x14ac:dyDescent="0.25">
      <c r="L763" s="446" t="s">
        <v>875</v>
      </c>
      <c r="M763" s="446">
        <v>1</v>
      </c>
      <c r="N763" s="446">
        <v>3</v>
      </c>
      <c r="O763" s="446" t="s">
        <v>752</v>
      </c>
      <c r="P763" s="450" t="s">
        <v>706</v>
      </c>
      <c r="Q763" s="450"/>
      <c r="R763" s="450"/>
      <c r="S763" s="449" t="s">
        <v>964</v>
      </c>
      <c r="T763" s="449" t="s">
        <v>1025</v>
      </c>
      <c r="U763" s="452">
        <v>0</v>
      </c>
      <c r="V7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63" s="272" t="str">
        <f>IFERROR(SUMIFS(TransUnitCost[Miles],TransUnitCost[Grouping_ID],TransTonsShort[[#This Row],[Grouping_ID]],TransUnitCost[Transp_ID],TransTonsShort[[#This Row],[Transp_ID]])*TransTonsShort[[#This Row],[Trans_Tons_All]]/TransTonsShort[[#This Row],[Trans_Tons_All]],"")</f>
        <v/>
      </c>
      <c r="X763" s="386" t="str">
        <f>TransTonsShort[[#This Row],[Grouping_ID]]&amp;"-"&amp;TransTonsShort[[#This Row],[Sector_ID]]</f>
        <v>1-3</v>
      </c>
      <c r="Y7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3" s="421">
        <f>INDEX(LandfillFees[Disposal Tip Fee 2025],MATCH(TransTonsShort[[#This Row],[Grouping_ID]],LandfillFees[Grouping_ID],0))</f>
        <v>134.68</v>
      </c>
      <c r="AA763" s="102">
        <f>IF(OR(TransTonsShort[[#This Row],[CollectionStream_ID]]="03",TransTonsShort[[#This Row],[CollectionStream_ID]]="04",TransTonsShort[[#This Row],[CollectionStream_ID]]="13"),0,TransTonsShort[[#This Row],[Trans_Tons_All]]*TransTonsShort[[#This Row],[Disposal_Fee]])</f>
        <v>0</v>
      </c>
    </row>
    <row r="764" spans="12:27" ht="15" x14ac:dyDescent="0.25">
      <c r="L764" s="446" t="s">
        <v>875</v>
      </c>
      <c r="M764" s="446">
        <v>2</v>
      </c>
      <c r="N764" s="446">
        <v>3</v>
      </c>
      <c r="O764" s="446" t="s">
        <v>752</v>
      </c>
      <c r="P764" s="450" t="s">
        <v>706</v>
      </c>
      <c r="Q764" s="450"/>
      <c r="R764" s="450"/>
      <c r="S764" s="449" t="s">
        <v>964</v>
      </c>
      <c r="T764" s="449" t="s">
        <v>1025</v>
      </c>
      <c r="U764" s="452">
        <v>367.78266139647616</v>
      </c>
      <c r="V7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10297.914519101332</v>
      </c>
      <c r="W764" s="272">
        <f>IFERROR(SUMIFS(TransUnitCost[Miles],TransUnitCost[Grouping_ID],TransTonsShort[[#This Row],[Grouping_ID]],TransUnitCost[Transp_ID],TransTonsShort[[#This Row],[Transp_ID]])*TransTonsShort[[#This Row],[Trans_Tons_All]]/TransTonsShort[[#This Row],[Trans_Tons_All]],"")</f>
        <v>70</v>
      </c>
      <c r="X764" s="386" t="str">
        <f>TransTonsShort[[#This Row],[Grouping_ID]]&amp;"-"&amp;TransTonsShort[[#This Row],[Sector_ID]]</f>
        <v>2-3</v>
      </c>
      <c r="Y7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4" s="421">
        <f>INDEX(LandfillFees[Disposal Tip Fee 2025],MATCH(TransTonsShort[[#This Row],[Grouping_ID]],LandfillFees[Grouping_ID],0))</f>
        <v>72.030938699729589</v>
      </c>
      <c r="AA764" s="102">
        <f>IF(OR(TransTonsShort[[#This Row],[CollectionStream_ID]]="03",TransTonsShort[[#This Row],[CollectionStream_ID]]="04",TransTonsShort[[#This Row],[CollectionStream_ID]]="13"),0,TransTonsShort[[#This Row],[Trans_Tons_All]]*TransTonsShort[[#This Row],[Disposal_Fee]])</f>
        <v>26491.730337872978</v>
      </c>
    </row>
    <row r="765" spans="12:27" ht="15" x14ac:dyDescent="0.25">
      <c r="L765" s="446" t="s">
        <v>875</v>
      </c>
      <c r="M765" s="446">
        <v>3</v>
      </c>
      <c r="N765" s="446">
        <v>3</v>
      </c>
      <c r="O765" s="446" t="s">
        <v>752</v>
      </c>
      <c r="P765" s="450" t="s">
        <v>706</v>
      </c>
      <c r="Q765" s="450"/>
      <c r="R765" s="450"/>
      <c r="S765" s="449" t="s">
        <v>964</v>
      </c>
      <c r="T765" s="449" t="s">
        <v>1025</v>
      </c>
      <c r="U765" s="452">
        <v>147.89399146491724</v>
      </c>
      <c r="V7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7764.4345519081544</v>
      </c>
      <c r="W765" s="272">
        <f>IFERROR(SUMIFS(TransUnitCost[Miles],TransUnitCost[Grouping_ID],TransTonsShort[[#This Row],[Grouping_ID]],TransUnitCost[Transp_ID],TransTonsShort[[#This Row],[Transp_ID]])*TransTonsShort[[#This Row],[Trans_Tons_All]]/TransTonsShort[[#This Row],[Trans_Tons_All]],"")</f>
        <v>150</v>
      </c>
      <c r="X765" s="386" t="str">
        <f>TransTonsShort[[#This Row],[Grouping_ID]]&amp;"-"&amp;TransTonsShort[[#This Row],[Sector_ID]]</f>
        <v>3-3</v>
      </c>
      <c r="Y7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5" s="421">
        <f>INDEX(LandfillFees[Disposal Tip Fee 2025],MATCH(TransTonsShort[[#This Row],[Grouping_ID]],LandfillFees[Grouping_ID],0))</f>
        <v>72.030938699729589</v>
      </c>
      <c r="AA765" s="102">
        <f>IF(OR(TransTonsShort[[#This Row],[CollectionStream_ID]]="03",TransTonsShort[[#This Row],[CollectionStream_ID]]="04",TransTonsShort[[#This Row],[CollectionStream_ID]]="13"),0,TransTonsShort[[#This Row],[Trans_Tons_All]]*TransTonsShort[[#This Row],[Disposal_Fee]])</f>
        <v>10652.943033267784</v>
      </c>
    </row>
    <row r="766" spans="12:27" ht="15" x14ac:dyDescent="0.25">
      <c r="L766" s="446" t="s">
        <v>875</v>
      </c>
      <c r="M766" s="446">
        <v>4</v>
      </c>
      <c r="N766" s="446">
        <v>3</v>
      </c>
      <c r="O766" s="446" t="s">
        <v>752</v>
      </c>
      <c r="P766" s="450" t="s">
        <v>706</v>
      </c>
      <c r="Q766" s="450"/>
      <c r="R766" s="450"/>
      <c r="S766" s="449" t="s">
        <v>964</v>
      </c>
      <c r="T766" s="449" t="s">
        <v>1025</v>
      </c>
      <c r="U766" s="452">
        <v>139.79439929823366</v>
      </c>
      <c r="V7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13979.439929823366</v>
      </c>
      <c r="W766" s="272">
        <f>IFERROR(SUMIFS(TransUnitCost[Miles],TransUnitCost[Grouping_ID],TransTonsShort[[#This Row],[Grouping_ID]],TransUnitCost[Transp_ID],TransTonsShort[[#This Row],[Transp_ID]])*TransTonsShort[[#This Row],[Trans_Tons_All]]/TransTonsShort[[#This Row],[Trans_Tons_All]],"")</f>
        <v>250</v>
      </c>
      <c r="X766" s="386" t="str">
        <f>TransTonsShort[[#This Row],[Grouping_ID]]&amp;"-"&amp;TransTonsShort[[#This Row],[Sector_ID]]</f>
        <v>4-3</v>
      </c>
      <c r="Y7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6" s="421">
        <f>INDEX(LandfillFees[Disposal Tip Fee 2025],MATCH(TransTonsShort[[#This Row],[Grouping_ID]],LandfillFees[Grouping_ID],0))</f>
        <v>72.030938699729589</v>
      </c>
      <c r="AA766" s="102">
        <f>IF(OR(TransTonsShort[[#This Row],[CollectionStream_ID]]="03",TransTonsShort[[#This Row],[CollectionStream_ID]]="04",TransTonsShort[[#This Row],[CollectionStream_ID]]="13"),0,TransTonsShort[[#This Row],[Trans_Tons_All]]*TransTonsShort[[#This Row],[Disposal_Fee]])</f>
        <v>10069.521806416589</v>
      </c>
    </row>
    <row r="767" spans="12:27" ht="15" x14ac:dyDescent="0.25">
      <c r="L767" s="446" t="s">
        <v>875</v>
      </c>
      <c r="M767" s="446">
        <v>1</v>
      </c>
      <c r="N767" s="446">
        <v>3</v>
      </c>
      <c r="O767" s="446" t="s">
        <v>750</v>
      </c>
      <c r="P767" s="449" t="s">
        <v>739</v>
      </c>
      <c r="Q767" s="449"/>
      <c r="R767" s="449"/>
      <c r="S767" s="449" t="s">
        <v>963</v>
      </c>
      <c r="T767" s="449" t="s">
        <v>1121</v>
      </c>
      <c r="U767" s="452">
        <v>3476.0354868932004</v>
      </c>
      <c r="V7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67435.088445728077</v>
      </c>
      <c r="W767" s="272">
        <f>IFERROR(SUMIFS(TransUnitCost[Miles],TransUnitCost[Grouping_ID],TransTonsShort[[#This Row],[Grouping_ID]],TransUnitCost[Transp_ID],TransTonsShort[[#This Row],[Transp_ID]])*TransTonsShort[[#This Row],[Trans_Tons_All]]/TransTonsShort[[#This Row],[Trans_Tons_All]],"")</f>
        <v>20</v>
      </c>
      <c r="X767" s="386" t="str">
        <f>TransTonsShort[[#This Row],[Grouping_ID]]&amp;"-"&amp;TransTonsShort[[#This Row],[Sector_ID]]</f>
        <v>1-3</v>
      </c>
      <c r="Y7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7" s="421">
        <f>INDEX(LandfillFees[Disposal Tip Fee 2025],MATCH(TransTonsShort[[#This Row],[Grouping_ID]],LandfillFees[Grouping_ID],0))</f>
        <v>134.68</v>
      </c>
      <c r="AA767" s="102">
        <f>IF(OR(TransTonsShort[[#This Row],[CollectionStream_ID]]="03",TransTonsShort[[#This Row],[CollectionStream_ID]]="04",TransTonsShort[[#This Row],[CollectionStream_ID]]="13"),0,TransTonsShort[[#This Row],[Trans_Tons_All]]*TransTonsShort[[#This Row],[Disposal_Fee]])</f>
        <v>468152.45937477623</v>
      </c>
    </row>
    <row r="768" spans="12:27" ht="15" x14ac:dyDescent="0.25">
      <c r="L768" s="446" t="s">
        <v>875</v>
      </c>
      <c r="M768" s="446">
        <v>2</v>
      </c>
      <c r="N768" s="446">
        <v>3</v>
      </c>
      <c r="O768" s="446" t="s">
        <v>750</v>
      </c>
      <c r="P768" s="449" t="s">
        <v>739</v>
      </c>
      <c r="Q768" s="449"/>
      <c r="R768" s="449"/>
      <c r="S768" s="449" t="s">
        <v>963</v>
      </c>
      <c r="T768" s="449" t="s">
        <v>1121</v>
      </c>
      <c r="U768" s="452">
        <v>868.74014737430389</v>
      </c>
      <c r="V7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35878.968086558751</v>
      </c>
      <c r="W768" s="272">
        <f>IFERROR(SUMIFS(TransUnitCost[Miles],TransUnitCost[Grouping_ID],TransTonsShort[[#This Row],[Grouping_ID]],TransUnitCost[Transp_ID],TransTonsShort[[#This Row],[Transp_ID]])*TransTonsShort[[#This Row],[Trans_Tons_All]]/TransTonsShort[[#This Row],[Trans_Tons_All]],"")</f>
        <v>70</v>
      </c>
      <c r="X768" s="386" t="str">
        <f>TransTonsShort[[#This Row],[Grouping_ID]]&amp;"-"&amp;TransTonsShort[[#This Row],[Sector_ID]]</f>
        <v>2-3</v>
      </c>
      <c r="Y7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8" s="421">
        <f>INDEX(LandfillFees[Disposal Tip Fee 2025],MATCH(TransTonsShort[[#This Row],[Grouping_ID]],LandfillFees[Grouping_ID],0))</f>
        <v>72.030938699729589</v>
      </c>
      <c r="AA768" s="102">
        <f>IF(OR(TransTonsShort[[#This Row],[CollectionStream_ID]]="03",TransTonsShort[[#This Row],[CollectionStream_ID]]="04",TransTonsShort[[#This Row],[CollectionStream_ID]]="13"),0,TransTonsShort[[#This Row],[Trans_Tons_All]]*TransTonsShort[[#This Row],[Disposal_Fee]])</f>
        <v>62576.168301512531</v>
      </c>
    </row>
    <row r="769" spans="12:27" ht="15" x14ac:dyDescent="0.25">
      <c r="L769" s="446" t="s">
        <v>875</v>
      </c>
      <c r="M769" s="446">
        <v>3</v>
      </c>
      <c r="N769" s="446">
        <v>3</v>
      </c>
      <c r="O769" s="446" t="s">
        <v>750</v>
      </c>
      <c r="P769" s="449" t="s">
        <v>739</v>
      </c>
      <c r="Q769" s="449"/>
      <c r="R769" s="449"/>
      <c r="S769" s="449" t="s">
        <v>963</v>
      </c>
      <c r="T769" s="449" t="s">
        <v>1121</v>
      </c>
      <c r="U769" s="452">
        <v>15.583113133856919</v>
      </c>
      <c r="V7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560.99207281884912</v>
      </c>
      <c r="W769" s="272">
        <f>IFERROR(SUMIFS(TransUnitCost[Miles],TransUnitCost[Grouping_ID],TransTonsShort[[#This Row],[Grouping_ID]],TransUnitCost[Transp_ID],TransTonsShort[[#This Row],[Transp_ID]])*TransTonsShort[[#This Row],[Trans_Tons_All]]/TransTonsShort[[#This Row],[Trans_Tons_All]],"")</f>
        <v>150</v>
      </c>
      <c r="X769" s="386" t="str">
        <f>TransTonsShort[[#This Row],[Grouping_ID]]&amp;"-"&amp;TransTonsShort[[#This Row],[Sector_ID]]</f>
        <v>3-3</v>
      </c>
      <c r="Y7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69" s="421">
        <f>INDEX(LandfillFees[Disposal Tip Fee 2025],MATCH(TransTonsShort[[#This Row],[Grouping_ID]],LandfillFees[Grouping_ID],0))</f>
        <v>72.030938699729589</v>
      </c>
      <c r="AA769" s="102">
        <f>IF(OR(TransTonsShort[[#This Row],[CollectionStream_ID]]="03",TransTonsShort[[#This Row],[CollectionStream_ID]]="04",TransTonsShort[[#This Row],[CollectionStream_ID]]="13"),0,TransTonsShort[[#This Row],[Trans_Tons_All]]*TransTonsShort[[#This Row],[Disposal_Fee]])</f>
        <v>1122.4662668957988</v>
      </c>
    </row>
    <row r="770" spans="12:27" ht="15" x14ac:dyDescent="0.25">
      <c r="L770" s="446" t="s">
        <v>875</v>
      </c>
      <c r="M770" s="446">
        <v>4</v>
      </c>
      <c r="N770" s="446">
        <v>3</v>
      </c>
      <c r="O770" s="446" t="s">
        <v>750</v>
      </c>
      <c r="P770" s="449" t="s">
        <v>739</v>
      </c>
      <c r="Q770" s="449"/>
      <c r="R770" s="449"/>
      <c r="S770" s="449" t="s">
        <v>963</v>
      </c>
      <c r="T770" s="449" t="s">
        <v>1121</v>
      </c>
      <c r="U770" s="452">
        <v>300.20272569462372</v>
      </c>
      <c r="V7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16511.149913204306</v>
      </c>
      <c r="W770" s="272">
        <f>IFERROR(SUMIFS(TransUnitCost[Miles],TransUnitCost[Grouping_ID],TransTonsShort[[#This Row],[Grouping_ID]],TransUnitCost[Transp_ID],TransTonsShort[[#This Row],[Transp_ID]])*TransTonsShort[[#This Row],[Trans_Tons_All]]/TransTonsShort[[#This Row],[Trans_Tons_All]],"")</f>
        <v>250</v>
      </c>
      <c r="X770" s="386" t="str">
        <f>TransTonsShort[[#This Row],[Grouping_ID]]&amp;"-"&amp;TransTonsShort[[#This Row],[Sector_ID]]</f>
        <v>4-3</v>
      </c>
      <c r="Y7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70" s="421">
        <f>INDEX(LandfillFees[Disposal Tip Fee 2025],MATCH(TransTonsShort[[#This Row],[Grouping_ID]],LandfillFees[Grouping_ID],0))</f>
        <v>72.030938699729589</v>
      </c>
      <c r="AA770" s="102">
        <f>IF(OR(TransTonsShort[[#This Row],[CollectionStream_ID]]="03",TransTonsShort[[#This Row],[CollectionStream_ID]]="04",TransTonsShort[[#This Row],[CollectionStream_ID]]="13"),0,TransTonsShort[[#This Row],[Trans_Tons_All]]*TransTonsShort[[#This Row],[Disposal_Fee]])</f>
        <v>21623.884132001178</v>
      </c>
    </row>
    <row r="771" spans="12:27" ht="15" x14ac:dyDescent="0.25">
      <c r="L771" s="446" t="s">
        <v>875</v>
      </c>
      <c r="M771" s="446">
        <v>1</v>
      </c>
      <c r="N771" s="446">
        <v>3</v>
      </c>
      <c r="O771" s="446" t="s">
        <v>750</v>
      </c>
      <c r="P771" s="449" t="s">
        <v>700</v>
      </c>
      <c r="Q771" s="449"/>
      <c r="R771" s="449"/>
      <c r="S771" s="449" t="s">
        <v>963</v>
      </c>
      <c r="T771" s="449" t="s">
        <v>701</v>
      </c>
      <c r="U771" s="452">
        <v>0</v>
      </c>
      <c r="V7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1" s="272" t="str">
        <f>IFERROR(SUMIFS(TransUnitCost[Miles],TransUnitCost[Grouping_ID],TransTonsShort[[#This Row],[Grouping_ID]],TransUnitCost[Transp_ID],TransTonsShort[[#This Row],[Transp_ID]])*TransTonsShort[[#This Row],[Trans_Tons_All]]/TransTonsShort[[#This Row],[Trans_Tons_All]],"")</f>
        <v/>
      </c>
      <c r="X771" s="386" t="str">
        <f>TransTonsShort[[#This Row],[Grouping_ID]]&amp;"-"&amp;TransTonsShort[[#This Row],[Sector_ID]]</f>
        <v>1-3</v>
      </c>
      <c r="Y7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71" s="421">
        <f>INDEX(LandfillFees[Disposal Tip Fee 2025],MATCH(TransTonsShort[[#This Row],[Grouping_ID]],LandfillFees[Grouping_ID],0))</f>
        <v>134.68</v>
      </c>
      <c r="AA771" s="102">
        <f>IF(OR(TransTonsShort[[#This Row],[CollectionStream_ID]]="03",TransTonsShort[[#This Row],[CollectionStream_ID]]="04",TransTonsShort[[#This Row],[CollectionStream_ID]]="13"),0,TransTonsShort[[#This Row],[Trans_Tons_All]]*TransTonsShort[[#This Row],[Disposal_Fee]])</f>
        <v>0</v>
      </c>
    </row>
    <row r="772" spans="12:27" ht="15" x14ac:dyDescent="0.25">
      <c r="L772" s="446" t="s">
        <v>875</v>
      </c>
      <c r="M772" s="446">
        <v>2</v>
      </c>
      <c r="N772" s="446">
        <v>3</v>
      </c>
      <c r="O772" s="446" t="s">
        <v>750</v>
      </c>
      <c r="P772" s="449" t="s">
        <v>700</v>
      </c>
      <c r="Q772" s="449"/>
      <c r="R772" s="449"/>
      <c r="S772" s="449" t="s">
        <v>963</v>
      </c>
      <c r="T772" s="449" t="s">
        <v>701</v>
      </c>
      <c r="U772" s="452">
        <v>0</v>
      </c>
      <c r="V7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2" s="272" t="str">
        <f>IFERROR(SUMIFS(TransUnitCost[Miles],TransUnitCost[Grouping_ID],TransTonsShort[[#This Row],[Grouping_ID]],TransUnitCost[Transp_ID],TransTonsShort[[#This Row],[Transp_ID]])*TransTonsShort[[#This Row],[Trans_Tons_All]]/TransTonsShort[[#This Row],[Trans_Tons_All]],"")</f>
        <v/>
      </c>
      <c r="X772" s="386" t="str">
        <f>TransTonsShort[[#This Row],[Grouping_ID]]&amp;"-"&amp;TransTonsShort[[#This Row],[Sector_ID]]</f>
        <v>2-3</v>
      </c>
      <c r="Y7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72" s="421">
        <f>INDEX(LandfillFees[Disposal Tip Fee 2025],MATCH(TransTonsShort[[#This Row],[Grouping_ID]],LandfillFees[Grouping_ID],0))</f>
        <v>72.030938699729589</v>
      </c>
      <c r="AA772" s="102">
        <f>IF(OR(TransTonsShort[[#This Row],[CollectionStream_ID]]="03",TransTonsShort[[#This Row],[CollectionStream_ID]]="04",TransTonsShort[[#This Row],[CollectionStream_ID]]="13"),0,TransTonsShort[[#This Row],[Trans_Tons_All]]*TransTonsShort[[#This Row],[Disposal_Fee]])</f>
        <v>0</v>
      </c>
    </row>
    <row r="773" spans="12:27" ht="15" x14ac:dyDescent="0.25">
      <c r="L773" s="446" t="s">
        <v>875</v>
      </c>
      <c r="M773" s="446">
        <v>3</v>
      </c>
      <c r="N773" s="446">
        <v>3</v>
      </c>
      <c r="O773" s="446" t="s">
        <v>750</v>
      </c>
      <c r="P773" s="449" t="s">
        <v>700</v>
      </c>
      <c r="Q773" s="449"/>
      <c r="R773" s="449"/>
      <c r="S773" s="449" t="s">
        <v>963</v>
      </c>
      <c r="T773" s="449" t="s">
        <v>701</v>
      </c>
      <c r="U773" s="452">
        <v>0</v>
      </c>
      <c r="V7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3" s="272" t="str">
        <f>IFERROR(SUMIFS(TransUnitCost[Miles],TransUnitCost[Grouping_ID],TransTonsShort[[#This Row],[Grouping_ID]],TransUnitCost[Transp_ID],TransTonsShort[[#This Row],[Transp_ID]])*TransTonsShort[[#This Row],[Trans_Tons_All]]/TransTonsShort[[#This Row],[Trans_Tons_All]],"")</f>
        <v/>
      </c>
      <c r="X773" s="386" t="str">
        <f>TransTonsShort[[#This Row],[Grouping_ID]]&amp;"-"&amp;TransTonsShort[[#This Row],[Sector_ID]]</f>
        <v>3-3</v>
      </c>
      <c r="Y7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73" s="421">
        <f>INDEX(LandfillFees[Disposal Tip Fee 2025],MATCH(TransTonsShort[[#This Row],[Grouping_ID]],LandfillFees[Grouping_ID],0))</f>
        <v>72.030938699729589</v>
      </c>
      <c r="AA773" s="102">
        <f>IF(OR(TransTonsShort[[#This Row],[CollectionStream_ID]]="03",TransTonsShort[[#This Row],[CollectionStream_ID]]="04",TransTonsShort[[#This Row],[CollectionStream_ID]]="13"),0,TransTonsShort[[#This Row],[Trans_Tons_All]]*TransTonsShort[[#This Row],[Disposal_Fee]])</f>
        <v>0</v>
      </c>
    </row>
    <row r="774" spans="12:27" ht="15" x14ac:dyDescent="0.25">
      <c r="L774" s="446" t="s">
        <v>875</v>
      </c>
      <c r="M774" s="446">
        <v>4</v>
      </c>
      <c r="N774" s="446">
        <v>3</v>
      </c>
      <c r="O774" s="446" t="s">
        <v>750</v>
      </c>
      <c r="P774" s="449" t="s">
        <v>700</v>
      </c>
      <c r="Q774" s="449"/>
      <c r="R774" s="449"/>
      <c r="S774" s="449" t="s">
        <v>963</v>
      </c>
      <c r="T774" s="449" t="s">
        <v>701</v>
      </c>
      <c r="U774" s="452">
        <v>0</v>
      </c>
      <c r="V7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4" s="272" t="str">
        <f>IFERROR(SUMIFS(TransUnitCost[Miles],TransUnitCost[Grouping_ID],TransTonsShort[[#This Row],[Grouping_ID]],TransUnitCost[Transp_ID],TransTonsShort[[#This Row],[Transp_ID]])*TransTonsShort[[#This Row],[Trans_Tons_All]]/TransTonsShort[[#This Row],[Trans_Tons_All]],"")</f>
        <v/>
      </c>
      <c r="X774" s="386" t="str">
        <f>TransTonsShort[[#This Row],[Grouping_ID]]&amp;"-"&amp;TransTonsShort[[#This Row],[Sector_ID]]</f>
        <v>4-3</v>
      </c>
      <c r="Y7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774" s="421">
        <f>INDEX(LandfillFees[Disposal Tip Fee 2025],MATCH(TransTonsShort[[#This Row],[Grouping_ID]],LandfillFees[Grouping_ID],0))</f>
        <v>72.030938699729589</v>
      </c>
      <c r="AA774" s="102">
        <f>IF(OR(TransTonsShort[[#This Row],[CollectionStream_ID]]="03",TransTonsShort[[#This Row],[CollectionStream_ID]]="04",TransTonsShort[[#This Row],[CollectionStream_ID]]="13"),0,TransTonsShort[[#This Row],[Trans_Tons_All]]*TransTonsShort[[#This Row],[Disposal_Fee]])</f>
        <v>0</v>
      </c>
    </row>
    <row r="775" spans="12:27" ht="15" x14ac:dyDescent="0.25">
      <c r="L775" s="446" t="s">
        <v>874</v>
      </c>
      <c r="M775" s="446">
        <v>1</v>
      </c>
      <c r="N775" s="446">
        <v>3</v>
      </c>
      <c r="O775" s="446" t="s">
        <v>700</v>
      </c>
      <c r="P775" s="449" t="s">
        <v>719</v>
      </c>
      <c r="Q775" s="449"/>
      <c r="R775" s="449"/>
      <c r="S775" s="449" t="s">
        <v>872</v>
      </c>
      <c r="T775" s="449" t="s">
        <v>1055</v>
      </c>
      <c r="U775" s="452">
        <v>0</v>
      </c>
      <c r="V7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5" s="272" t="str">
        <f>IFERROR(SUMIFS(TransUnitCost[Miles],TransUnitCost[Grouping_ID],TransTonsShort[[#This Row],[Grouping_ID]],TransUnitCost[Transp_ID],TransTonsShort[[#This Row],[Transp_ID]])*TransTonsShort[[#This Row],[Trans_Tons_All]]/TransTonsShort[[#This Row],[Trans_Tons_All]],"")</f>
        <v/>
      </c>
      <c r="X775" s="386" t="str">
        <f>TransTonsShort[[#This Row],[Grouping_ID]]&amp;"-"&amp;TransTonsShort[[#This Row],[Sector_ID]]</f>
        <v>1-3</v>
      </c>
      <c r="Y7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5" s="421">
        <f>INDEX(LandfillFees[Disposal Tip Fee 2025],MATCH(TransTonsShort[[#This Row],[Grouping_ID]],LandfillFees[Grouping_ID],0))</f>
        <v>134.68</v>
      </c>
      <c r="AA775" s="102">
        <f>IF(OR(TransTonsShort[[#This Row],[CollectionStream_ID]]="03",TransTonsShort[[#This Row],[CollectionStream_ID]]="04",TransTonsShort[[#This Row],[CollectionStream_ID]]="13"),0,TransTonsShort[[#This Row],[Trans_Tons_All]]*TransTonsShort[[#This Row],[Disposal_Fee]])</f>
        <v>0</v>
      </c>
    </row>
    <row r="776" spans="12:27" ht="15" x14ac:dyDescent="0.25">
      <c r="L776" s="446" t="s">
        <v>874</v>
      </c>
      <c r="M776" s="446">
        <v>2</v>
      </c>
      <c r="N776" s="446">
        <v>3</v>
      </c>
      <c r="O776" s="446" t="s">
        <v>700</v>
      </c>
      <c r="P776" s="449" t="s">
        <v>719</v>
      </c>
      <c r="Q776" s="449"/>
      <c r="R776" s="449"/>
      <c r="S776" s="449" t="s">
        <v>872</v>
      </c>
      <c r="T776" s="449" t="s">
        <v>1055</v>
      </c>
      <c r="U776" s="452">
        <v>0</v>
      </c>
      <c r="V7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6" s="272" t="str">
        <f>IFERROR(SUMIFS(TransUnitCost[Miles],TransUnitCost[Grouping_ID],TransTonsShort[[#This Row],[Grouping_ID]],TransUnitCost[Transp_ID],TransTonsShort[[#This Row],[Transp_ID]])*TransTonsShort[[#This Row],[Trans_Tons_All]]/TransTonsShort[[#This Row],[Trans_Tons_All]],"")</f>
        <v/>
      </c>
      <c r="X776" s="386" t="str">
        <f>TransTonsShort[[#This Row],[Grouping_ID]]&amp;"-"&amp;TransTonsShort[[#This Row],[Sector_ID]]</f>
        <v>2-3</v>
      </c>
      <c r="Y7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6" s="421">
        <f>INDEX(LandfillFees[Disposal Tip Fee 2025],MATCH(TransTonsShort[[#This Row],[Grouping_ID]],LandfillFees[Grouping_ID],0))</f>
        <v>72.030938699729589</v>
      </c>
      <c r="AA776" s="102">
        <f>IF(OR(TransTonsShort[[#This Row],[CollectionStream_ID]]="03",TransTonsShort[[#This Row],[CollectionStream_ID]]="04",TransTonsShort[[#This Row],[CollectionStream_ID]]="13"),0,TransTonsShort[[#This Row],[Trans_Tons_All]]*TransTonsShort[[#This Row],[Disposal_Fee]])</f>
        <v>0</v>
      </c>
    </row>
    <row r="777" spans="12:27" ht="15" x14ac:dyDescent="0.25">
      <c r="L777" s="446" t="s">
        <v>874</v>
      </c>
      <c r="M777" s="446">
        <v>3</v>
      </c>
      <c r="N777" s="446">
        <v>3</v>
      </c>
      <c r="O777" s="446" t="s">
        <v>700</v>
      </c>
      <c r="P777" s="449" t="s">
        <v>719</v>
      </c>
      <c r="Q777" s="449"/>
      <c r="R777" s="449"/>
      <c r="S777" s="449" t="s">
        <v>872</v>
      </c>
      <c r="T777" s="449" t="s">
        <v>1055</v>
      </c>
      <c r="U777" s="452">
        <v>0</v>
      </c>
      <c r="V7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7" s="272" t="str">
        <f>IFERROR(SUMIFS(TransUnitCost[Miles],TransUnitCost[Grouping_ID],TransTonsShort[[#This Row],[Grouping_ID]],TransUnitCost[Transp_ID],TransTonsShort[[#This Row],[Transp_ID]])*TransTonsShort[[#This Row],[Trans_Tons_All]]/TransTonsShort[[#This Row],[Trans_Tons_All]],"")</f>
        <v/>
      </c>
      <c r="X777" s="386" t="str">
        <f>TransTonsShort[[#This Row],[Grouping_ID]]&amp;"-"&amp;TransTonsShort[[#This Row],[Sector_ID]]</f>
        <v>3-3</v>
      </c>
      <c r="Y7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7" s="421">
        <f>INDEX(LandfillFees[Disposal Tip Fee 2025],MATCH(TransTonsShort[[#This Row],[Grouping_ID]],LandfillFees[Grouping_ID],0))</f>
        <v>72.030938699729589</v>
      </c>
      <c r="AA777" s="102">
        <f>IF(OR(TransTonsShort[[#This Row],[CollectionStream_ID]]="03",TransTonsShort[[#This Row],[CollectionStream_ID]]="04",TransTonsShort[[#This Row],[CollectionStream_ID]]="13"),0,TransTonsShort[[#This Row],[Trans_Tons_All]]*TransTonsShort[[#This Row],[Disposal_Fee]])</f>
        <v>0</v>
      </c>
    </row>
    <row r="778" spans="12:27" ht="15" x14ac:dyDescent="0.25">
      <c r="L778" s="446" t="s">
        <v>874</v>
      </c>
      <c r="M778" s="446">
        <v>4</v>
      </c>
      <c r="N778" s="446">
        <v>3</v>
      </c>
      <c r="O778" s="446" t="s">
        <v>700</v>
      </c>
      <c r="P778" s="449" t="s">
        <v>719</v>
      </c>
      <c r="Q778" s="449"/>
      <c r="R778" s="449"/>
      <c r="S778" s="449" t="s">
        <v>872</v>
      </c>
      <c r="T778" s="449" t="s">
        <v>1055</v>
      </c>
      <c r="U778" s="452">
        <v>0</v>
      </c>
      <c r="V7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8" s="272" t="str">
        <f>IFERROR(SUMIFS(TransUnitCost[Miles],TransUnitCost[Grouping_ID],TransTonsShort[[#This Row],[Grouping_ID]],TransUnitCost[Transp_ID],TransTonsShort[[#This Row],[Transp_ID]])*TransTonsShort[[#This Row],[Trans_Tons_All]]/TransTonsShort[[#This Row],[Trans_Tons_All]],"")</f>
        <v/>
      </c>
      <c r="X778" s="386" t="str">
        <f>TransTonsShort[[#This Row],[Grouping_ID]]&amp;"-"&amp;TransTonsShort[[#This Row],[Sector_ID]]</f>
        <v>4-3</v>
      </c>
      <c r="Y7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8" s="421">
        <f>INDEX(LandfillFees[Disposal Tip Fee 2025],MATCH(TransTonsShort[[#This Row],[Grouping_ID]],LandfillFees[Grouping_ID],0))</f>
        <v>72.030938699729589</v>
      </c>
      <c r="AA778" s="102">
        <f>IF(OR(TransTonsShort[[#This Row],[CollectionStream_ID]]="03",TransTonsShort[[#This Row],[CollectionStream_ID]]="04",TransTonsShort[[#This Row],[CollectionStream_ID]]="13"),0,TransTonsShort[[#This Row],[Trans_Tons_All]]*TransTonsShort[[#This Row],[Disposal_Fee]])</f>
        <v>0</v>
      </c>
    </row>
    <row r="779" spans="12:27" ht="15" x14ac:dyDescent="0.25">
      <c r="L779" s="446" t="s">
        <v>874</v>
      </c>
      <c r="M779" s="446">
        <v>1</v>
      </c>
      <c r="N779" s="446">
        <v>3</v>
      </c>
      <c r="O779" s="446" t="s">
        <v>700</v>
      </c>
      <c r="P779" s="449" t="s">
        <v>700</v>
      </c>
      <c r="Q779" s="449"/>
      <c r="R779" s="449"/>
      <c r="S779" s="449" t="s">
        <v>872</v>
      </c>
      <c r="T779" s="449" t="s">
        <v>701</v>
      </c>
      <c r="U779" s="452">
        <v>107193.26298952078</v>
      </c>
      <c r="V7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79" s="272">
        <f>IFERROR(SUMIFS(TransUnitCost[Miles],TransUnitCost[Grouping_ID],TransTonsShort[[#This Row],[Grouping_ID]],TransUnitCost[Transp_ID],TransTonsShort[[#This Row],[Transp_ID]])*TransTonsShort[[#This Row],[Trans_Tons_All]]/TransTonsShort[[#This Row],[Trans_Tons_All]],"")</f>
        <v>0</v>
      </c>
      <c r="X779" s="386" t="str">
        <f>TransTonsShort[[#This Row],[Grouping_ID]]&amp;"-"&amp;TransTonsShort[[#This Row],[Sector_ID]]</f>
        <v>1-3</v>
      </c>
      <c r="Y7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79" s="421">
        <f>INDEX(LandfillFees[Disposal Tip Fee 2025],MATCH(TransTonsShort[[#This Row],[Grouping_ID]],LandfillFees[Grouping_ID],0))</f>
        <v>134.68</v>
      </c>
      <c r="AA779" s="102">
        <f>IF(OR(TransTonsShort[[#This Row],[CollectionStream_ID]]="03",TransTonsShort[[#This Row],[CollectionStream_ID]]="04",TransTonsShort[[#This Row],[CollectionStream_ID]]="13"),0,TransTonsShort[[#This Row],[Trans_Tons_All]]*TransTonsShort[[#This Row],[Disposal_Fee]])</f>
        <v>14436788.65942866</v>
      </c>
    </row>
    <row r="780" spans="12:27" ht="15" x14ac:dyDescent="0.25">
      <c r="L780" s="446" t="s">
        <v>874</v>
      </c>
      <c r="M780" s="446">
        <v>2</v>
      </c>
      <c r="N780" s="446">
        <v>3</v>
      </c>
      <c r="O780" s="446" t="s">
        <v>700</v>
      </c>
      <c r="P780" s="449" t="s">
        <v>700</v>
      </c>
      <c r="Q780" s="449"/>
      <c r="R780" s="449"/>
      <c r="S780" s="449" t="s">
        <v>872</v>
      </c>
      <c r="T780" s="449" t="s">
        <v>701</v>
      </c>
      <c r="U780" s="452">
        <v>54221.915581745896</v>
      </c>
      <c r="V7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0" s="272">
        <f>IFERROR(SUMIFS(TransUnitCost[Miles],TransUnitCost[Grouping_ID],TransTonsShort[[#This Row],[Grouping_ID]],TransUnitCost[Transp_ID],TransTonsShort[[#This Row],[Transp_ID]])*TransTonsShort[[#This Row],[Trans_Tons_All]]/TransTonsShort[[#This Row],[Trans_Tons_All]],"")</f>
        <v>0</v>
      </c>
      <c r="X780" s="386" t="str">
        <f>TransTonsShort[[#This Row],[Grouping_ID]]&amp;"-"&amp;TransTonsShort[[#This Row],[Sector_ID]]</f>
        <v>2-3</v>
      </c>
      <c r="Y7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0" s="421">
        <f>INDEX(LandfillFees[Disposal Tip Fee 2025],MATCH(TransTonsShort[[#This Row],[Grouping_ID]],LandfillFees[Grouping_ID],0))</f>
        <v>72.030938699729589</v>
      </c>
      <c r="AA780" s="102">
        <f>IF(OR(TransTonsShort[[#This Row],[CollectionStream_ID]]="03",TransTonsShort[[#This Row],[CollectionStream_ID]]="04",TransTonsShort[[#This Row],[CollectionStream_ID]]="13"),0,TransTonsShort[[#This Row],[Trans_Tons_All]]*TransTonsShort[[#This Row],[Disposal_Fee]])</f>
        <v>3905655.4774506511</v>
      </c>
    </row>
    <row r="781" spans="12:27" ht="15" x14ac:dyDescent="0.25">
      <c r="L781" s="446" t="s">
        <v>874</v>
      </c>
      <c r="M781" s="446">
        <v>3</v>
      </c>
      <c r="N781" s="446">
        <v>3</v>
      </c>
      <c r="O781" s="446" t="s">
        <v>700</v>
      </c>
      <c r="P781" s="449" t="s">
        <v>700</v>
      </c>
      <c r="Q781" s="449"/>
      <c r="R781" s="449"/>
      <c r="S781" s="449" t="s">
        <v>872</v>
      </c>
      <c r="T781" s="449" t="s">
        <v>701</v>
      </c>
      <c r="U781" s="452">
        <v>0</v>
      </c>
      <c r="V7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1" s="272" t="str">
        <f>IFERROR(SUMIFS(TransUnitCost[Miles],TransUnitCost[Grouping_ID],TransTonsShort[[#This Row],[Grouping_ID]],TransUnitCost[Transp_ID],TransTonsShort[[#This Row],[Transp_ID]])*TransTonsShort[[#This Row],[Trans_Tons_All]]/TransTonsShort[[#This Row],[Trans_Tons_All]],"")</f>
        <v/>
      </c>
      <c r="X781" s="386" t="str">
        <f>TransTonsShort[[#This Row],[Grouping_ID]]&amp;"-"&amp;TransTonsShort[[#This Row],[Sector_ID]]</f>
        <v>3-3</v>
      </c>
      <c r="Y7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1" s="421">
        <f>INDEX(LandfillFees[Disposal Tip Fee 2025],MATCH(TransTonsShort[[#This Row],[Grouping_ID]],LandfillFees[Grouping_ID],0))</f>
        <v>72.030938699729589</v>
      </c>
      <c r="AA781" s="102">
        <f>IF(OR(TransTonsShort[[#This Row],[CollectionStream_ID]]="03",TransTonsShort[[#This Row],[CollectionStream_ID]]="04",TransTonsShort[[#This Row],[CollectionStream_ID]]="13"),0,TransTonsShort[[#This Row],[Trans_Tons_All]]*TransTonsShort[[#This Row],[Disposal_Fee]])</f>
        <v>0</v>
      </c>
    </row>
    <row r="782" spans="12:27" ht="15" x14ac:dyDescent="0.25">
      <c r="L782" s="446" t="s">
        <v>874</v>
      </c>
      <c r="M782" s="446">
        <v>4</v>
      </c>
      <c r="N782" s="446">
        <v>3</v>
      </c>
      <c r="O782" s="446" t="s">
        <v>700</v>
      </c>
      <c r="P782" s="449" t="s">
        <v>700</v>
      </c>
      <c r="Q782" s="449"/>
      <c r="R782" s="449"/>
      <c r="S782" s="449" t="s">
        <v>872</v>
      </c>
      <c r="T782" s="449" t="s">
        <v>701</v>
      </c>
      <c r="U782" s="452">
        <v>0</v>
      </c>
      <c r="V7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2" s="272" t="str">
        <f>IFERROR(SUMIFS(TransUnitCost[Miles],TransUnitCost[Grouping_ID],TransTonsShort[[#This Row],[Grouping_ID]],TransUnitCost[Transp_ID],TransTonsShort[[#This Row],[Transp_ID]])*TransTonsShort[[#This Row],[Trans_Tons_All]]/TransTonsShort[[#This Row],[Trans_Tons_All]],"")</f>
        <v/>
      </c>
      <c r="X782" s="386" t="str">
        <f>TransTonsShort[[#This Row],[Grouping_ID]]&amp;"-"&amp;TransTonsShort[[#This Row],[Sector_ID]]</f>
        <v>4-3</v>
      </c>
      <c r="Y7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2" s="421">
        <f>INDEX(LandfillFees[Disposal Tip Fee 2025],MATCH(TransTonsShort[[#This Row],[Grouping_ID]],LandfillFees[Grouping_ID],0))</f>
        <v>72.030938699729589</v>
      </c>
      <c r="AA782" s="102">
        <f>IF(OR(TransTonsShort[[#This Row],[CollectionStream_ID]]="03",TransTonsShort[[#This Row],[CollectionStream_ID]]="04",TransTonsShort[[#This Row],[CollectionStream_ID]]="13"),0,TransTonsShort[[#This Row],[Trans_Tons_All]]*TransTonsShort[[#This Row],[Disposal_Fee]])</f>
        <v>0</v>
      </c>
    </row>
    <row r="783" spans="12:27" ht="15" x14ac:dyDescent="0.25">
      <c r="L783" s="446" t="s">
        <v>874</v>
      </c>
      <c r="M783" s="446">
        <v>1</v>
      </c>
      <c r="N783" s="446">
        <v>3</v>
      </c>
      <c r="O783" s="446" t="s">
        <v>700</v>
      </c>
      <c r="P783" s="449" t="s">
        <v>706</v>
      </c>
      <c r="Q783" s="449"/>
      <c r="R783" s="449"/>
      <c r="S783" s="449" t="s">
        <v>872</v>
      </c>
      <c r="T783" s="449" t="s">
        <v>1025</v>
      </c>
      <c r="U783" s="452">
        <v>6842.1231695438792</v>
      </c>
      <c r="V7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136842.46339087759</v>
      </c>
      <c r="W783" s="272">
        <f>IFERROR(SUMIFS(TransUnitCost[Miles],TransUnitCost[Grouping_ID],TransTonsShort[[#This Row],[Grouping_ID]],TransUnitCost[Transp_ID],TransTonsShort[[#This Row],[Transp_ID]])*TransTonsShort[[#This Row],[Trans_Tons_All]]/TransTonsShort[[#This Row],[Trans_Tons_All]],"")</f>
        <v>20</v>
      </c>
      <c r="X783" s="386" t="str">
        <f>TransTonsShort[[#This Row],[Grouping_ID]]&amp;"-"&amp;TransTonsShort[[#This Row],[Sector_ID]]</f>
        <v>1-3</v>
      </c>
      <c r="Y7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3" s="421">
        <f>INDEX(LandfillFees[Disposal Tip Fee 2025],MATCH(TransTonsShort[[#This Row],[Grouping_ID]],LandfillFees[Grouping_ID],0))</f>
        <v>134.68</v>
      </c>
      <c r="AA783" s="102">
        <f>IF(OR(TransTonsShort[[#This Row],[CollectionStream_ID]]="03",TransTonsShort[[#This Row],[CollectionStream_ID]]="04",TransTonsShort[[#This Row],[CollectionStream_ID]]="13"),0,TransTonsShort[[#This Row],[Trans_Tons_All]]*TransTonsShort[[#This Row],[Disposal_Fee]])</f>
        <v>921497.14847416966</v>
      </c>
    </row>
    <row r="784" spans="12:27" ht="15" x14ac:dyDescent="0.25">
      <c r="L784" s="446" t="s">
        <v>874</v>
      </c>
      <c r="M784" s="446">
        <v>2</v>
      </c>
      <c r="N784" s="446">
        <v>3</v>
      </c>
      <c r="O784" s="446" t="s">
        <v>700</v>
      </c>
      <c r="P784" s="449" t="s">
        <v>706</v>
      </c>
      <c r="Q784" s="449"/>
      <c r="R784" s="449"/>
      <c r="S784" s="449" t="s">
        <v>872</v>
      </c>
      <c r="T784" s="449" t="s">
        <v>1025</v>
      </c>
      <c r="U784" s="452">
        <v>20054.681105577252</v>
      </c>
      <c r="V7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561531.07095616311</v>
      </c>
      <c r="W784" s="272">
        <f>IFERROR(SUMIFS(TransUnitCost[Miles],TransUnitCost[Grouping_ID],TransTonsShort[[#This Row],[Grouping_ID]],TransUnitCost[Transp_ID],TransTonsShort[[#This Row],[Transp_ID]])*TransTonsShort[[#This Row],[Trans_Tons_All]]/TransTonsShort[[#This Row],[Trans_Tons_All]],"")</f>
        <v>70</v>
      </c>
      <c r="X784" s="386" t="str">
        <f>TransTonsShort[[#This Row],[Grouping_ID]]&amp;"-"&amp;TransTonsShort[[#This Row],[Sector_ID]]</f>
        <v>2-3</v>
      </c>
      <c r="Y7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4" s="421">
        <f>INDEX(LandfillFees[Disposal Tip Fee 2025],MATCH(TransTonsShort[[#This Row],[Grouping_ID]],LandfillFees[Grouping_ID],0))</f>
        <v>72.030938699729589</v>
      </c>
      <c r="AA784" s="102">
        <f>IF(OR(TransTonsShort[[#This Row],[CollectionStream_ID]]="03",TransTonsShort[[#This Row],[CollectionStream_ID]]="04",TransTonsShort[[#This Row],[CollectionStream_ID]]="13"),0,TransTonsShort[[#This Row],[Trans_Tons_All]]*TransTonsShort[[#This Row],[Disposal_Fee]])</f>
        <v>1444557.5053584604</v>
      </c>
    </row>
    <row r="785" spans="12:27" ht="15" x14ac:dyDescent="0.25">
      <c r="L785" s="446" t="s">
        <v>874</v>
      </c>
      <c r="M785" s="446">
        <v>3</v>
      </c>
      <c r="N785" s="446">
        <v>3</v>
      </c>
      <c r="O785" s="446" t="s">
        <v>700</v>
      </c>
      <c r="P785" s="449" t="s">
        <v>706</v>
      </c>
      <c r="Q785" s="449"/>
      <c r="R785" s="449"/>
      <c r="S785" s="449" t="s">
        <v>872</v>
      </c>
      <c r="T785" s="449" t="s">
        <v>1025</v>
      </c>
      <c r="U785" s="452">
        <v>28383.008323313865</v>
      </c>
      <c r="V7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1490107.9369739778</v>
      </c>
      <c r="W785" s="272">
        <f>IFERROR(SUMIFS(TransUnitCost[Miles],TransUnitCost[Grouping_ID],TransTonsShort[[#This Row],[Grouping_ID]],TransUnitCost[Transp_ID],TransTonsShort[[#This Row],[Transp_ID]])*TransTonsShort[[#This Row],[Trans_Tons_All]]/TransTonsShort[[#This Row],[Trans_Tons_All]],"")</f>
        <v>150</v>
      </c>
      <c r="X785" s="386" t="str">
        <f>TransTonsShort[[#This Row],[Grouping_ID]]&amp;"-"&amp;TransTonsShort[[#This Row],[Sector_ID]]</f>
        <v>3-3</v>
      </c>
      <c r="Y7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5" s="421">
        <f>INDEX(LandfillFees[Disposal Tip Fee 2025],MATCH(TransTonsShort[[#This Row],[Grouping_ID]],LandfillFees[Grouping_ID],0))</f>
        <v>72.030938699729589</v>
      </c>
      <c r="AA785" s="102">
        <f>IF(OR(TransTonsShort[[#This Row],[CollectionStream_ID]]="03",TransTonsShort[[#This Row],[CollectionStream_ID]]="04",TransTonsShort[[#This Row],[CollectionStream_ID]]="13"),0,TransTonsShort[[#This Row],[Trans_Tons_All]]*TransTonsShort[[#This Row],[Disposal_Fee]])</f>
        <v>2044454.7326505356</v>
      </c>
    </row>
    <row r="786" spans="12:27" ht="15" x14ac:dyDescent="0.25">
      <c r="L786" s="446" t="s">
        <v>874</v>
      </c>
      <c r="M786" s="446">
        <v>4</v>
      </c>
      <c r="N786" s="446">
        <v>3</v>
      </c>
      <c r="O786" s="446" t="s">
        <v>700</v>
      </c>
      <c r="P786" s="449" t="s">
        <v>706</v>
      </c>
      <c r="Q786" s="449"/>
      <c r="R786" s="449"/>
      <c r="S786" s="449" t="s">
        <v>872</v>
      </c>
      <c r="T786" s="449" t="s">
        <v>1025</v>
      </c>
      <c r="U786" s="452">
        <v>13559.980129247597</v>
      </c>
      <c r="V7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1355998.0129247596</v>
      </c>
      <c r="W786" s="272">
        <f>IFERROR(SUMIFS(TransUnitCost[Miles],TransUnitCost[Grouping_ID],TransTonsShort[[#This Row],[Grouping_ID]],TransUnitCost[Transp_ID],TransTonsShort[[#This Row],[Transp_ID]])*TransTonsShort[[#This Row],[Trans_Tons_All]]/TransTonsShort[[#This Row],[Trans_Tons_All]],"")</f>
        <v>250</v>
      </c>
      <c r="X786" s="386" t="str">
        <f>TransTonsShort[[#This Row],[Grouping_ID]]&amp;"-"&amp;TransTonsShort[[#This Row],[Sector_ID]]</f>
        <v>4-3</v>
      </c>
      <c r="Y7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6" s="421">
        <f>INDEX(LandfillFees[Disposal Tip Fee 2025],MATCH(TransTonsShort[[#This Row],[Grouping_ID]],LandfillFees[Grouping_ID],0))</f>
        <v>72.030938699729589</v>
      </c>
      <c r="AA786" s="102">
        <f>IF(OR(TransTonsShort[[#This Row],[CollectionStream_ID]]="03",TransTonsShort[[#This Row],[CollectionStream_ID]]="04",TransTonsShort[[#This Row],[CollectionStream_ID]]="13"),0,TransTonsShort[[#This Row],[Trans_Tons_All]]*TransTonsShort[[#This Row],[Disposal_Fee]])</f>
        <v>976738.09745938494</v>
      </c>
    </row>
    <row r="787" spans="12:27" ht="15" x14ac:dyDescent="0.25">
      <c r="L787" s="446" t="s">
        <v>874</v>
      </c>
      <c r="M787" s="446">
        <v>1</v>
      </c>
      <c r="N787" s="446">
        <v>3</v>
      </c>
      <c r="O787" s="446" t="s">
        <v>748</v>
      </c>
      <c r="P787" s="450" t="s">
        <v>719</v>
      </c>
      <c r="Q787" s="450"/>
      <c r="R787" s="450"/>
      <c r="S787" s="449" t="s">
        <v>765</v>
      </c>
      <c r="T787" s="449" t="s">
        <v>1055</v>
      </c>
      <c r="U787" s="452">
        <v>0</v>
      </c>
      <c r="V7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7" s="272" t="str">
        <f>IFERROR(SUMIFS(TransUnitCost[Miles],TransUnitCost[Grouping_ID],TransTonsShort[[#This Row],[Grouping_ID]],TransUnitCost[Transp_ID],TransTonsShort[[#This Row],[Transp_ID]])*TransTonsShort[[#This Row],[Trans_Tons_All]]/TransTonsShort[[#This Row],[Trans_Tons_All]],"")</f>
        <v/>
      </c>
      <c r="X787" s="386" t="str">
        <f>TransTonsShort[[#This Row],[Grouping_ID]]&amp;"-"&amp;TransTonsShort[[#This Row],[Sector_ID]]</f>
        <v>1-3</v>
      </c>
      <c r="Y7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7" s="421">
        <f>INDEX(LandfillFees[Disposal Tip Fee 2025],MATCH(TransTonsShort[[#This Row],[Grouping_ID]],LandfillFees[Grouping_ID],0))</f>
        <v>134.68</v>
      </c>
      <c r="AA787" s="102">
        <f>IF(OR(TransTonsShort[[#This Row],[CollectionStream_ID]]="03",TransTonsShort[[#This Row],[CollectionStream_ID]]="04",TransTonsShort[[#This Row],[CollectionStream_ID]]="13"),0,TransTonsShort[[#This Row],[Trans_Tons_All]]*TransTonsShort[[#This Row],[Disposal_Fee]])</f>
        <v>0</v>
      </c>
    </row>
    <row r="788" spans="12:27" ht="15" x14ac:dyDescent="0.25">
      <c r="L788" s="446" t="s">
        <v>874</v>
      </c>
      <c r="M788" s="446">
        <v>2</v>
      </c>
      <c r="N788" s="446">
        <v>3</v>
      </c>
      <c r="O788" s="446" t="s">
        <v>748</v>
      </c>
      <c r="P788" s="450" t="s">
        <v>719</v>
      </c>
      <c r="Q788" s="450"/>
      <c r="R788" s="450"/>
      <c r="S788" s="449" t="s">
        <v>765</v>
      </c>
      <c r="T788" s="449" t="s">
        <v>1055</v>
      </c>
      <c r="U788" s="452">
        <v>0</v>
      </c>
      <c r="V7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8" s="272" t="str">
        <f>IFERROR(SUMIFS(TransUnitCost[Miles],TransUnitCost[Grouping_ID],TransTonsShort[[#This Row],[Grouping_ID]],TransUnitCost[Transp_ID],TransTonsShort[[#This Row],[Transp_ID]])*TransTonsShort[[#This Row],[Trans_Tons_All]]/TransTonsShort[[#This Row],[Trans_Tons_All]],"")</f>
        <v/>
      </c>
      <c r="X788" s="386" t="str">
        <f>TransTonsShort[[#This Row],[Grouping_ID]]&amp;"-"&amp;TransTonsShort[[#This Row],[Sector_ID]]</f>
        <v>2-3</v>
      </c>
      <c r="Y7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8" s="421">
        <f>INDEX(LandfillFees[Disposal Tip Fee 2025],MATCH(TransTonsShort[[#This Row],[Grouping_ID]],LandfillFees[Grouping_ID],0))</f>
        <v>72.030938699729589</v>
      </c>
      <c r="AA788" s="102">
        <f>IF(OR(TransTonsShort[[#This Row],[CollectionStream_ID]]="03",TransTonsShort[[#This Row],[CollectionStream_ID]]="04",TransTonsShort[[#This Row],[CollectionStream_ID]]="13"),0,TransTonsShort[[#This Row],[Trans_Tons_All]]*TransTonsShort[[#This Row],[Disposal_Fee]])</f>
        <v>0</v>
      </c>
    </row>
    <row r="789" spans="12:27" ht="15" x14ac:dyDescent="0.25">
      <c r="L789" s="446" t="s">
        <v>874</v>
      </c>
      <c r="M789" s="446">
        <v>3</v>
      </c>
      <c r="N789" s="446">
        <v>3</v>
      </c>
      <c r="O789" s="446" t="s">
        <v>748</v>
      </c>
      <c r="P789" s="450" t="s">
        <v>719</v>
      </c>
      <c r="Q789" s="450"/>
      <c r="R789" s="450"/>
      <c r="S789" s="449" t="s">
        <v>765</v>
      </c>
      <c r="T789" s="449" t="s">
        <v>1055</v>
      </c>
      <c r="U789" s="452">
        <v>0</v>
      </c>
      <c r="V7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89" s="272" t="str">
        <f>IFERROR(SUMIFS(TransUnitCost[Miles],TransUnitCost[Grouping_ID],TransTonsShort[[#This Row],[Grouping_ID]],TransUnitCost[Transp_ID],TransTonsShort[[#This Row],[Transp_ID]])*TransTonsShort[[#This Row],[Trans_Tons_All]]/TransTonsShort[[#This Row],[Trans_Tons_All]],"")</f>
        <v/>
      </c>
      <c r="X789" s="386" t="str">
        <f>TransTonsShort[[#This Row],[Grouping_ID]]&amp;"-"&amp;TransTonsShort[[#This Row],[Sector_ID]]</f>
        <v>3-3</v>
      </c>
      <c r="Y7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89" s="421">
        <f>INDEX(LandfillFees[Disposal Tip Fee 2025],MATCH(TransTonsShort[[#This Row],[Grouping_ID]],LandfillFees[Grouping_ID],0))</f>
        <v>72.030938699729589</v>
      </c>
      <c r="AA789" s="102">
        <f>IF(OR(TransTonsShort[[#This Row],[CollectionStream_ID]]="03",TransTonsShort[[#This Row],[CollectionStream_ID]]="04",TransTonsShort[[#This Row],[CollectionStream_ID]]="13"),0,TransTonsShort[[#This Row],[Trans_Tons_All]]*TransTonsShort[[#This Row],[Disposal_Fee]])</f>
        <v>0</v>
      </c>
    </row>
    <row r="790" spans="12:27" ht="15" x14ac:dyDescent="0.25">
      <c r="L790" s="446" t="s">
        <v>874</v>
      </c>
      <c r="M790" s="446">
        <v>4</v>
      </c>
      <c r="N790" s="446">
        <v>3</v>
      </c>
      <c r="O790" s="446" t="s">
        <v>748</v>
      </c>
      <c r="P790" s="450" t="s">
        <v>719</v>
      </c>
      <c r="Q790" s="450"/>
      <c r="R790" s="450"/>
      <c r="S790" s="449" t="s">
        <v>765</v>
      </c>
      <c r="T790" s="449" t="s">
        <v>1055</v>
      </c>
      <c r="U790" s="452">
        <v>0</v>
      </c>
      <c r="V7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0" s="272" t="str">
        <f>IFERROR(SUMIFS(TransUnitCost[Miles],TransUnitCost[Grouping_ID],TransTonsShort[[#This Row],[Grouping_ID]],TransUnitCost[Transp_ID],TransTonsShort[[#This Row],[Transp_ID]])*TransTonsShort[[#This Row],[Trans_Tons_All]]/TransTonsShort[[#This Row],[Trans_Tons_All]],"")</f>
        <v/>
      </c>
      <c r="X790" s="386" t="str">
        <f>TransTonsShort[[#This Row],[Grouping_ID]]&amp;"-"&amp;TransTonsShort[[#This Row],[Sector_ID]]</f>
        <v>4-3</v>
      </c>
      <c r="Y7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0" s="421">
        <f>INDEX(LandfillFees[Disposal Tip Fee 2025],MATCH(TransTonsShort[[#This Row],[Grouping_ID]],LandfillFees[Grouping_ID],0))</f>
        <v>72.030938699729589</v>
      </c>
      <c r="AA790" s="102">
        <f>IF(OR(TransTonsShort[[#This Row],[CollectionStream_ID]]="03",TransTonsShort[[#This Row],[CollectionStream_ID]]="04",TransTonsShort[[#This Row],[CollectionStream_ID]]="13"),0,TransTonsShort[[#This Row],[Trans_Tons_All]]*TransTonsShort[[#This Row],[Disposal_Fee]])</f>
        <v>0</v>
      </c>
    </row>
    <row r="791" spans="12:27" ht="15" x14ac:dyDescent="0.25">
      <c r="L791" s="446" t="s">
        <v>874</v>
      </c>
      <c r="M791" s="446">
        <v>1</v>
      </c>
      <c r="N791" s="446">
        <v>3</v>
      </c>
      <c r="O791" s="446" t="s">
        <v>748</v>
      </c>
      <c r="P791" s="449" t="s">
        <v>700</v>
      </c>
      <c r="Q791" s="449"/>
      <c r="R791" s="449"/>
      <c r="S791" s="449" t="s">
        <v>765</v>
      </c>
      <c r="T791" s="449" t="s">
        <v>701</v>
      </c>
      <c r="U791" s="452">
        <v>0</v>
      </c>
      <c r="V7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1" s="272" t="str">
        <f>IFERROR(SUMIFS(TransUnitCost[Miles],TransUnitCost[Grouping_ID],TransTonsShort[[#This Row],[Grouping_ID]],TransUnitCost[Transp_ID],TransTonsShort[[#This Row],[Transp_ID]])*TransTonsShort[[#This Row],[Trans_Tons_All]]/TransTonsShort[[#This Row],[Trans_Tons_All]],"")</f>
        <v/>
      </c>
      <c r="X791" s="386" t="str">
        <f>TransTonsShort[[#This Row],[Grouping_ID]]&amp;"-"&amp;TransTonsShort[[#This Row],[Sector_ID]]</f>
        <v>1-3</v>
      </c>
      <c r="Y7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1" s="421">
        <f>INDEX(LandfillFees[Disposal Tip Fee 2025],MATCH(TransTonsShort[[#This Row],[Grouping_ID]],LandfillFees[Grouping_ID],0))</f>
        <v>134.68</v>
      </c>
      <c r="AA791" s="102">
        <f>IF(OR(TransTonsShort[[#This Row],[CollectionStream_ID]]="03",TransTonsShort[[#This Row],[CollectionStream_ID]]="04",TransTonsShort[[#This Row],[CollectionStream_ID]]="13"),0,TransTonsShort[[#This Row],[Trans_Tons_All]]*TransTonsShort[[#This Row],[Disposal_Fee]])</f>
        <v>0</v>
      </c>
    </row>
    <row r="792" spans="12:27" ht="15" x14ac:dyDescent="0.25">
      <c r="L792" s="446" t="s">
        <v>874</v>
      </c>
      <c r="M792" s="446">
        <v>2</v>
      </c>
      <c r="N792" s="446">
        <v>3</v>
      </c>
      <c r="O792" s="446" t="s">
        <v>748</v>
      </c>
      <c r="P792" s="449" t="s">
        <v>700</v>
      </c>
      <c r="Q792" s="449"/>
      <c r="R792" s="449"/>
      <c r="S792" s="449" t="s">
        <v>765</v>
      </c>
      <c r="T792" s="449" t="s">
        <v>701</v>
      </c>
      <c r="U792" s="452">
        <v>0</v>
      </c>
      <c r="V7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2" s="272" t="str">
        <f>IFERROR(SUMIFS(TransUnitCost[Miles],TransUnitCost[Grouping_ID],TransTonsShort[[#This Row],[Grouping_ID]],TransUnitCost[Transp_ID],TransTonsShort[[#This Row],[Transp_ID]])*TransTonsShort[[#This Row],[Trans_Tons_All]]/TransTonsShort[[#This Row],[Trans_Tons_All]],"")</f>
        <v/>
      </c>
      <c r="X792" s="386" t="str">
        <f>TransTonsShort[[#This Row],[Grouping_ID]]&amp;"-"&amp;TransTonsShort[[#This Row],[Sector_ID]]</f>
        <v>2-3</v>
      </c>
      <c r="Y7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2" s="421">
        <f>INDEX(LandfillFees[Disposal Tip Fee 2025],MATCH(TransTonsShort[[#This Row],[Grouping_ID]],LandfillFees[Grouping_ID],0))</f>
        <v>72.030938699729589</v>
      </c>
      <c r="AA792" s="102">
        <f>IF(OR(TransTonsShort[[#This Row],[CollectionStream_ID]]="03",TransTonsShort[[#This Row],[CollectionStream_ID]]="04",TransTonsShort[[#This Row],[CollectionStream_ID]]="13"),0,TransTonsShort[[#This Row],[Trans_Tons_All]]*TransTonsShort[[#This Row],[Disposal_Fee]])</f>
        <v>0</v>
      </c>
    </row>
    <row r="793" spans="12:27" ht="15" x14ac:dyDescent="0.25">
      <c r="L793" s="446" t="s">
        <v>874</v>
      </c>
      <c r="M793" s="446">
        <v>3</v>
      </c>
      <c r="N793" s="446">
        <v>3</v>
      </c>
      <c r="O793" s="446" t="s">
        <v>748</v>
      </c>
      <c r="P793" s="449" t="s">
        <v>700</v>
      </c>
      <c r="Q793" s="449"/>
      <c r="R793" s="449"/>
      <c r="S793" s="449" t="s">
        <v>765</v>
      </c>
      <c r="T793" s="449" t="s">
        <v>701</v>
      </c>
      <c r="U793" s="452">
        <v>0</v>
      </c>
      <c r="V7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3" s="272" t="str">
        <f>IFERROR(SUMIFS(TransUnitCost[Miles],TransUnitCost[Grouping_ID],TransTonsShort[[#This Row],[Grouping_ID]],TransUnitCost[Transp_ID],TransTonsShort[[#This Row],[Transp_ID]])*TransTonsShort[[#This Row],[Trans_Tons_All]]/TransTonsShort[[#This Row],[Trans_Tons_All]],"")</f>
        <v/>
      </c>
      <c r="X793" s="386" t="str">
        <f>TransTonsShort[[#This Row],[Grouping_ID]]&amp;"-"&amp;TransTonsShort[[#This Row],[Sector_ID]]</f>
        <v>3-3</v>
      </c>
      <c r="Y7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3" s="421">
        <f>INDEX(LandfillFees[Disposal Tip Fee 2025],MATCH(TransTonsShort[[#This Row],[Grouping_ID]],LandfillFees[Grouping_ID],0))</f>
        <v>72.030938699729589</v>
      </c>
      <c r="AA793" s="102">
        <f>IF(OR(TransTonsShort[[#This Row],[CollectionStream_ID]]="03",TransTonsShort[[#This Row],[CollectionStream_ID]]="04",TransTonsShort[[#This Row],[CollectionStream_ID]]="13"),0,TransTonsShort[[#This Row],[Trans_Tons_All]]*TransTonsShort[[#This Row],[Disposal_Fee]])</f>
        <v>0</v>
      </c>
    </row>
    <row r="794" spans="12:27" ht="15" x14ac:dyDescent="0.25">
      <c r="L794" s="446" t="s">
        <v>874</v>
      </c>
      <c r="M794" s="446">
        <v>4</v>
      </c>
      <c r="N794" s="446">
        <v>3</v>
      </c>
      <c r="O794" s="446" t="s">
        <v>748</v>
      </c>
      <c r="P794" s="449" t="s">
        <v>700</v>
      </c>
      <c r="Q794" s="449"/>
      <c r="R794" s="449"/>
      <c r="S794" s="449" t="s">
        <v>765</v>
      </c>
      <c r="T794" s="449" t="s">
        <v>701</v>
      </c>
      <c r="U794" s="452">
        <v>0</v>
      </c>
      <c r="V7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4" s="272" t="str">
        <f>IFERROR(SUMIFS(TransUnitCost[Miles],TransUnitCost[Grouping_ID],TransTonsShort[[#This Row],[Grouping_ID]],TransUnitCost[Transp_ID],TransTonsShort[[#This Row],[Transp_ID]])*TransTonsShort[[#This Row],[Trans_Tons_All]]/TransTonsShort[[#This Row],[Trans_Tons_All]],"")</f>
        <v/>
      </c>
      <c r="X794" s="386" t="str">
        <f>TransTonsShort[[#This Row],[Grouping_ID]]&amp;"-"&amp;TransTonsShort[[#This Row],[Sector_ID]]</f>
        <v>4-3</v>
      </c>
      <c r="Y7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4" s="421">
        <f>INDEX(LandfillFees[Disposal Tip Fee 2025],MATCH(TransTonsShort[[#This Row],[Grouping_ID]],LandfillFees[Grouping_ID],0))</f>
        <v>72.030938699729589</v>
      </c>
      <c r="AA794" s="102">
        <f>IF(OR(TransTonsShort[[#This Row],[CollectionStream_ID]]="03",TransTonsShort[[#This Row],[CollectionStream_ID]]="04",TransTonsShort[[#This Row],[CollectionStream_ID]]="13"),0,TransTonsShort[[#This Row],[Trans_Tons_All]]*TransTonsShort[[#This Row],[Disposal_Fee]])</f>
        <v>0</v>
      </c>
    </row>
    <row r="795" spans="12:27" ht="15" x14ac:dyDescent="0.25">
      <c r="L795" s="446" t="s">
        <v>874</v>
      </c>
      <c r="M795" s="446">
        <v>1</v>
      </c>
      <c r="N795" s="446">
        <v>3</v>
      </c>
      <c r="O795" s="446" t="s">
        <v>748</v>
      </c>
      <c r="P795" s="449" t="s">
        <v>748</v>
      </c>
      <c r="Q795" s="449"/>
      <c r="R795" s="449"/>
      <c r="S795" s="449" t="s">
        <v>765</v>
      </c>
      <c r="T795" s="449" t="s">
        <v>849</v>
      </c>
      <c r="U795" s="452">
        <v>0</v>
      </c>
      <c r="V7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5" s="272" t="str">
        <f>IFERROR(SUMIFS(TransUnitCost[Miles],TransUnitCost[Grouping_ID],TransTonsShort[[#This Row],[Grouping_ID]],TransUnitCost[Transp_ID],TransTonsShort[[#This Row],[Transp_ID]])*TransTonsShort[[#This Row],[Trans_Tons_All]]/TransTonsShort[[#This Row],[Trans_Tons_All]],"")</f>
        <v/>
      </c>
      <c r="X795" s="386" t="str">
        <f>TransTonsShort[[#This Row],[Grouping_ID]]&amp;"-"&amp;TransTonsShort[[#This Row],[Sector_ID]]</f>
        <v>1-3</v>
      </c>
      <c r="Y7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5" s="421">
        <f>INDEX(LandfillFees[Disposal Tip Fee 2025],MATCH(TransTonsShort[[#This Row],[Grouping_ID]],LandfillFees[Grouping_ID],0))</f>
        <v>134.68</v>
      </c>
      <c r="AA795" s="102">
        <f>IF(OR(TransTonsShort[[#This Row],[CollectionStream_ID]]="03",TransTonsShort[[#This Row],[CollectionStream_ID]]="04",TransTonsShort[[#This Row],[CollectionStream_ID]]="13"),0,TransTonsShort[[#This Row],[Trans_Tons_All]]*TransTonsShort[[#This Row],[Disposal_Fee]])</f>
        <v>0</v>
      </c>
    </row>
    <row r="796" spans="12:27" ht="15" x14ac:dyDescent="0.25">
      <c r="L796" s="446" t="s">
        <v>874</v>
      </c>
      <c r="M796" s="446">
        <v>2</v>
      </c>
      <c r="N796" s="446">
        <v>3</v>
      </c>
      <c r="O796" s="446" t="s">
        <v>748</v>
      </c>
      <c r="P796" s="449" t="s">
        <v>748</v>
      </c>
      <c r="Q796" s="449"/>
      <c r="R796" s="449"/>
      <c r="S796" s="449" t="s">
        <v>765</v>
      </c>
      <c r="T796" s="449" t="s">
        <v>849</v>
      </c>
      <c r="U796" s="452">
        <v>0</v>
      </c>
      <c r="V7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6" s="272" t="str">
        <f>IFERROR(SUMIFS(TransUnitCost[Miles],TransUnitCost[Grouping_ID],TransTonsShort[[#This Row],[Grouping_ID]],TransUnitCost[Transp_ID],TransTonsShort[[#This Row],[Transp_ID]])*TransTonsShort[[#This Row],[Trans_Tons_All]]/TransTonsShort[[#This Row],[Trans_Tons_All]],"")</f>
        <v/>
      </c>
      <c r="X796" s="386" t="str">
        <f>TransTonsShort[[#This Row],[Grouping_ID]]&amp;"-"&amp;TransTonsShort[[#This Row],[Sector_ID]]</f>
        <v>2-3</v>
      </c>
      <c r="Y7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6" s="421">
        <f>INDEX(LandfillFees[Disposal Tip Fee 2025],MATCH(TransTonsShort[[#This Row],[Grouping_ID]],LandfillFees[Grouping_ID],0))</f>
        <v>72.030938699729589</v>
      </c>
      <c r="AA796" s="102">
        <f>IF(OR(TransTonsShort[[#This Row],[CollectionStream_ID]]="03",TransTonsShort[[#This Row],[CollectionStream_ID]]="04",TransTonsShort[[#This Row],[CollectionStream_ID]]="13"),0,TransTonsShort[[#This Row],[Trans_Tons_All]]*TransTonsShort[[#This Row],[Disposal_Fee]])</f>
        <v>0</v>
      </c>
    </row>
    <row r="797" spans="12:27" ht="15" x14ac:dyDescent="0.25">
      <c r="L797" s="446" t="s">
        <v>874</v>
      </c>
      <c r="M797" s="446">
        <v>3</v>
      </c>
      <c r="N797" s="446">
        <v>3</v>
      </c>
      <c r="O797" s="446" t="s">
        <v>748</v>
      </c>
      <c r="P797" s="449" t="s">
        <v>748</v>
      </c>
      <c r="Q797" s="449"/>
      <c r="R797" s="449"/>
      <c r="S797" s="449" t="s">
        <v>765</v>
      </c>
      <c r="T797" s="449" t="s">
        <v>849</v>
      </c>
      <c r="U797" s="452">
        <v>0</v>
      </c>
      <c r="V7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7" s="272" t="str">
        <f>IFERROR(SUMIFS(TransUnitCost[Miles],TransUnitCost[Grouping_ID],TransTonsShort[[#This Row],[Grouping_ID]],TransUnitCost[Transp_ID],TransTonsShort[[#This Row],[Transp_ID]])*TransTonsShort[[#This Row],[Trans_Tons_All]]/TransTonsShort[[#This Row],[Trans_Tons_All]],"")</f>
        <v/>
      </c>
      <c r="X797" s="386" t="str">
        <f>TransTonsShort[[#This Row],[Grouping_ID]]&amp;"-"&amp;TransTonsShort[[#This Row],[Sector_ID]]</f>
        <v>3-3</v>
      </c>
      <c r="Y7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7" s="421">
        <f>INDEX(LandfillFees[Disposal Tip Fee 2025],MATCH(TransTonsShort[[#This Row],[Grouping_ID]],LandfillFees[Grouping_ID],0))</f>
        <v>72.030938699729589</v>
      </c>
      <c r="AA797" s="102">
        <f>IF(OR(TransTonsShort[[#This Row],[CollectionStream_ID]]="03",TransTonsShort[[#This Row],[CollectionStream_ID]]="04",TransTonsShort[[#This Row],[CollectionStream_ID]]="13"),0,TransTonsShort[[#This Row],[Trans_Tons_All]]*TransTonsShort[[#This Row],[Disposal_Fee]])</f>
        <v>0</v>
      </c>
    </row>
    <row r="798" spans="12:27" ht="15" x14ac:dyDescent="0.25">
      <c r="L798" s="446" t="s">
        <v>874</v>
      </c>
      <c r="M798" s="446">
        <v>4</v>
      </c>
      <c r="N798" s="446">
        <v>3</v>
      </c>
      <c r="O798" s="446" t="s">
        <v>748</v>
      </c>
      <c r="P798" s="449" t="s">
        <v>748</v>
      </c>
      <c r="Q798" s="449"/>
      <c r="R798" s="449"/>
      <c r="S798" s="449" t="s">
        <v>765</v>
      </c>
      <c r="T798" s="449" t="s">
        <v>849</v>
      </c>
      <c r="U798" s="452">
        <v>0</v>
      </c>
      <c r="V7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8" s="272" t="str">
        <f>IFERROR(SUMIFS(TransUnitCost[Miles],TransUnitCost[Grouping_ID],TransTonsShort[[#This Row],[Grouping_ID]],TransUnitCost[Transp_ID],TransTonsShort[[#This Row],[Transp_ID]])*TransTonsShort[[#This Row],[Trans_Tons_All]]/TransTonsShort[[#This Row],[Trans_Tons_All]],"")</f>
        <v/>
      </c>
      <c r="X798" s="386" t="str">
        <f>TransTonsShort[[#This Row],[Grouping_ID]]&amp;"-"&amp;TransTonsShort[[#This Row],[Sector_ID]]</f>
        <v>4-3</v>
      </c>
      <c r="Y7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8" s="421">
        <f>INDEX(LandfillFees[Disposal Tip Fee 2025],MATCH(TransTonsShort[[#This Row],[Grouping_ID]],LandfillFees[Grouping_ID],0))</f>
        <v>72.030938699729589</v>
      </c>
      <c r="AA798" s="102">
        <f>IF(OR(TransTonsShort[[#This Row],[CollectionStream_ID]]="03",TransTonsShort[[#This Row],[CollectionStream_ID]]="04",TransTonsShort[[#This Row],[CollectionStream_ID]]="13"),0,TransTonsShort[[#This Row],[Trans_Tons_All]]*TransTonsShort[[#This Row],[Disposal_Fee]])</f>
        <v>0</v>
      </c>
    </row>
    <row r="799" spans="12:27" ht="15" x14ac:dyDescent="0.25">
      <c r="L799" s="446" t="s">
        <v>874</v>
      </c>
      <c r="M799" s="446">
        <v>1</v>
      </c>
      <c r="N799" s="446">
        <v>3</v>
      </c>
      <c r="O799" s="448" t="s">
        <v>746</v>
      </c>
      <c r="P799" s="449" t="s">
        <v>719</v>
      </c>
      <c r="Q799" s="449"/>
      <c r="R799" s="449"/>
      <c r="S799" s="449" t="s">
        <v>762</v>
      </c>
      <c r="T799" s="449" t="s">
        <v>1055</v>
      </c>
      <c r="U799" s="452">
        <v>0</v>
      </c>
      <c r="V7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799" s="272" t="str">
        <f>IFERROR(SUMIFS(TransUnitCost[Miles],TransUnitCost[Grouping_ID],TransTonsShort[[#This Row],[Grouping_ID]],TransUnitCost[Transp_ID],TransTonsShort[[#This Row],[Transp_ID]])*TransTonsShort[[#This Row],[Trans_Tons_All]]/TransTonsShort[[#This Row],[Trans_Tons_All]],"")</f>
        <v/>
      </c>
      <c r="X799" s="386" t="str">
        <f>TransTonsShort[[#This Row],[Grouping_ID]]&amp;"-"&amp;TransTonsShort[[#This Row],[Sector_ID]]</f>
        <v>1-3</v>
      </c>
      <c r="Y7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799" s="421">
        <f>INDEX(LandfillFees[Disposal Tip Fee 2025],MATCH(TransTonsShort[[#This Row],[Grouping_ID]],LandfillFees[Grouping_ID],0))</f>
        <v>134.68</v>
      </c>
      <c r="AA799" s="102">
        <f>IF(OR(TransTonsShort[[#This Row],[CollectionStream_ID]]="03",TransTonsShort[[#This Row],[CollectionStream_ID]]="04",TransTonsShort[[#This Row],[CollectionStream_ID]]="13"),0,TransTonsShort[[#This Row],[Trans_Tons_All]]*TransTonsShort[[#This Row],[Disposal_Fee]])</f>
        <v>0</v>
      </c>
    </row>
    <row r="800" spans="12:27" ht="15" x14ac:dyDescent="0.25">
      <c r="L800" s="446" t="s">
        <v>874</v>
      </c>
      <c r="M800" s="446">
        <v>2</v>
      </c>
      <c r="N800" s="446">
        <v>3</v>
      </c>
      <c r="O800" s="448" t="s">
        <v>746</v>
      </c>
      <c r="P800" s="449" t="s">
        <v>719</v>
      </c>
      <c r="Q800" s="449"/>
      <c r="R800" s="449"/>
      <c r="S800" s="449" t="s">
        <v>762</v>
      </c>
      <c r="T800" s="449" t="s">
        <v>1055</v>
      </c>
      <c r="U800" s="452">
        <v>0</v>
      </c>
      <c r="V8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0" s="272" t="str">
        <f>IFERROR(SUMIFS(TransUnitCost[Miles],TransUnitCost[Grouping_ID],TransTonsShort[[#This Row],[Grouping_ID]],TransUnitCost[Transp_ID],TransTonsShort[[#This Row],[Transp_ID]])*TransTonsShort[[#This Row],[Trans_Tons_All]]/TransTonsShort[[#This Row],[Trans_Tons_All]],"")</f>
        <v/>
      </c>
      <c r="X800" s="386" t="str">
        <f>TransTonsShort[[#This Row],[Grouping_ID]]&amp;"-"&amp;TransTonsShort[[#This Row],[Sector_ID]]</f>
        <v>2-3</v>
      </c>
      <c r="Y8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0" s="421">
        <f>INDEX(LandfillFees[Disposal Tip Fee 2025],MATCH(TransTonsShort[[#This Row],[Grouping_ID]],LandfillFees[Grouping_ID],0))</f>
        <v>72.030938699729589</v>
      </c>
      <c r="AA800" s="102">
        <f>IF(OR(TransTonsShort[[#This Row],[CollectionStream_ID]]="03",TransTonsShort[[#This Row],[CollectionStream_ID]]="04",TransTonsShort[[#This Row],[CollectionStream_ID]]="13"),0,TransTonsShort[[#This Row],[Trans_Tons_All]]*TransTonsShort[[#This Row],[Disposal_Fee]])</f>
        <v>0</v>
      </c>
    </row>
    <row r="801" spans="12:27" ht="15" x14ac:dyDescent="0.25">
      <c r="L801" s="446" t="s">
        <v>874</v>
      </c>
      <c r="M801" s="446">
        <v>3</v>
      </c>
      <c r="N801" s="446">
        <v>3</v>
      </c>
      <c r="O801" s="448" t="s">
        <v>746</v>
      </c>
      <c r="P801" s="449" t="s">
        <v>719</v>
      </c>
      <c r="Q801" s="449"/>
      <c r="R801" s="449"/>
      <c r="S801" s="449" t="s">
        <v>762</v>
      </c>
      <c r="T801" s="449" t="s">
        <v>1055</v>
      </c>
      <c r="U801" s="452">
        <v>0</v>
      </c>
      <c r="V8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1" s="272" t="str">
        <f>IFERROR(SUMIFS(TransUnitCost[Miles],TransUnitCost[Grouping_ID],TransTonsShort[[#This Row],[Grouping_ID]],TransUnitCost[Transp_ID],TransTonsShort[[#This Row],[Transp_ID]])*TransTonsShort[[#This Row],[Trans_Tons_All]]/TransTonsShort[[#This Row],[Trans_Tons_All]],"")</f>
        <v/>
      </c>
      <c r="X801" s="386" t="str">
        <f>TransTonsShort[[#This Row],[Grouping_ID]]&amp;"-"&amp;TransTonsShort[[#This Row],[Sector_ID]]</f>
        <v>3-3</v>
      </c>
      <c r="Y8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1" s="421">
        <f>INDEX(LandfillFees[Disposal Tip Fee 2025],MATCH(TransTonsShort[[#This Row],[Grouping_ID]],LandfillFees[Grouping_ID],0))</f>
        <v>72.030938699729589</v>
      </c>
      <c r="AA801" s="102">
        <f>IF(OR(TransTonsShort[[#This Row],[CollectionStream_ID]]="03",TransTonsShort[[#This Row],[CollectionStream_ID]]="04",TransTonsShort[[#This Row],[CollectionStream_ID]]="13"),0,TransTonsShort[[#This Row],[Trans_Tons_All]]*TransTonsShort[[#This Row],[Disposal_Fee]])</f>
        <v>0</v>
      </c>
    </row>
    <row r="802" spans="12:27" ht="15" x14ac:dyDescent="0.25">
      <c r="L802" s="446" t="s">
        <v>874</v>
      </c>
      <c r="M802" s="446">
        <v>4</v>
      </c>
      <c r="N802" s="446">
        <v>3</v>
      </c>
      <c r="O802" s="448" t="s">
        <v>746</v>
      </c>
      <c r="P802" s="449" t="s">
        <v>719</v>
      </c>
      <c r="Q802" s="449"/>
      <c r="R802" s="449"/>
      <c r="S802" s="449" t="s">
        <v>762</v>
      </c>
      <c r="T802" s="449" t="s">
        <v>1055</v>
      </c>
      <c r="U802" s="452">
        <v>0</v>
      </c>
      <c r="V8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2" s="272" t="str">
        <f>IFERROR(SUMIFS(TransUnitCost[Miles],TransUnitCost[Grouping_ID],TransTonsShort[[#This Row],[Grouping_ID]],TransUnitCost[Transp_ID],TransTonsShort[[#This Row],[Transp_ID]])*TransTonsShort[[#This Row],[Trans_Tons_All]]/TransTonsShort[[#This Row],[Trans_Tons_All]],"")</f>
        <v/>
      </c>
      <c r="X802" s="386" t="str">
        <f>TransTonsShort[[#This Row],[Grouping_ID]]&amp;"-"&amp;TransTonsShort[[#This Row],[Sector_ID]]</f>
        <v>4-3</v>
      </c>
      <c r="Y8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2" s="421">
        <f>INDEX(LandfillFees[Disposal Tip Fee 2025],MATCH(TransTonsShort[[#This Row],[Grouping_ID]],LandfillFees[Grouping_ID],0))</f>
        <v>72.030938699729589</v>
      </c>
      <c r="AA802" s="102">
        <f>IF(OR(TransTonsShort[[#This Row],[CollectionStream_ID]]="03",TransTonsShort[[#This Row],[CollectionStream_ID]]="04",TransTonsShort[[#This Row],[CollectionStream_ID]]="13"),0,TransTonsShort[[#This Row],[Trans_Tons_All]]*TransTonsShort[[#This Row],[Disposal_Fee]])</f>
        <v>0</v>
      </c>
    </row>
    <row r="803" spans="12:27" ht="15" x14ac:dyDescent="0.25">
      <c r="L803" s="446" t="s">
        <v>874</v>
      </c>
      <c r="M803" s="446">
        <v>1</v>
      </c>
      <c r="N803" s="446">
        <v>3</v>
      </c>
      <c r="O803" s="448" t="s">
        <v>746</v>
      </c>
      <c r="P803" s="449" t="s">
        <v>700</v>
      </c>
      <c r="Q803" s="449"/>
      <c r="R803" s="449"/>
      <c r="S803" s="449" t="s">
        <v>762</v>
      </c>
      <c r="T803" s="449" t="s">
        <v>701</v>
      </c>
      <c r="U803" s="452">
        <v>0</v>
      </c>
      <c r="V8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3" s="272" t="str">
        <f>IFERROR(SUMIFS(TransUnitCost[Miles],TransUnitCost[Grouping_ID],TransTonsShort[[#This Row],[Grouping_ID]],TransUnitCost[Transp_ID],TransTonsShort[[#This Row],[Transp_ID]])*TransTonsShort[[#This Row],[Trans_Tons_All]]/TransTonsShort[[#This Row],[Trans_Tons_All]],"")</f>
        <v/>
      </c>
      <c r="X803" s="386" t="str">
        <f>TransTonsShort[[#This Row],[Grouping_ID]]&amp;"-"&amp;TransTonsShort[[#This Row],[Sector_ID]]</f>
        <v>1-3</v>
      </c>
      <c r="Y8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3" s="421">
        <f>INDEX(LandfillFees[Disposal Tip Fee 2025],MATCH(TransTonsShort[[#This Row],[Grouping_ID]],LandfillFees[Grouping_ID],0))</f>
        <v>134.68</v>
      </c>
      <c r="AA803" s="102">
        <f>IF(OR(TransTonsShort[[#This Row],[CollectionStream_ID]]="03",TransTonsShort[[#This Row],[CollectionStream_ID]]="04",TransTonsShort[[#This Row],[CollectionStream_ID]]="13"),0,TransTonsShort[[#This Row],[Trans_Tons_All]]*TransTonsShort[[#This Row],[Disposal_Fee]])</f>
        <v>0</v>
      </c>
    </row>
    <row r="804" spans="12:27" ht="15" x14ac:dyDescent="0.25">
      <c r="L804" s="446" t="s">
        <v>874</v>
      </c>
      <c r="M804" s="446">
        <v>2</v>
      </c>
      <c r="N804" s="446">
        <v>3</v>
      </c>
      <c r="O804" s="448" t="s">
        <v>746</v>
      </c>
      <c r="P804" s="449" t="s">
        <v>700</v>
      </c>
      <c r="Q804" s="449"/>
      <c r="R804" s="449"/>
      <c r="S804" s="449" t="s">
        <v>762</v>
      </c>
      <c r="T804" s="449" t="s">
        <v>701</v>
      </c>
      <c r="U804" s="452">
        <v>0</v>
      </c>
      <c r="V8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4" s="272" t="str">
        <f>IFERROR(SUMIFS(TransUnitCost[Miles],TransUnitCost[Grouping_ID],TransTonsShort[[#This Row],[Grouping_ID]],TransUnitCost[Transp_ID],TransTonsShort[[#This Row],[Transp_ID]])*TransTonsShort[[#This Row],[Trans_Tons_All]]/TransTonsShort[[#This Row],[Trans_Tons_All]],"")</f>
        <v/>
      </c>
      <c r="X804" s="386" t="str">
        <f>TransTonsShort[[#This Row],[Grouping_ID]]&amp;"-"&amp;TransTonsShort[[#This Row],[Sector_ID]]</f>
        <v>2-3</v>
      </c>
      <c r="Y8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4" s="421">
        <f>INDEX(LandfillFees[Disposal Tip Fee 2025],MATCH(TransTonsShort[[#This Row],[Grouping_ID]],LandfillFees[Grouping_ID],0))</f>
        <v>72.030938699729589</v>
      </c>
      <c r="AA804" s="102">
        <f>IF(OR(TransTonsShort[[#This Row],[CollectionStream_ID]]="03",TransTonsShort[[#This Row],[CollectionStream_ID]]="04",TransTonsShort[[#This Row],[CollectionStream_ID]]="13"),0,TransTonsShort[[#This Row],[Trans_Tons_All]]*TransTonsShort[[#This Row],[Disposal_Fee]])</f>
        <v>0</v>
      </c>
    </row>
    <row r="805" spans="12:27" ht="15" x14ac:dyDescent="0.25">
      <c r="L805" s="446" t="s">
        <v>874</v>
      </c>
      <c r="M805" s="446">
        <v>3</v>
      </c>
      <c r="N805" s="446">
        <v>3</v>
      </c>
      <c r="O805" s="448" t="s">
        <v>746</v>
      </c>
      <c r="P805" s="449" t="s">
        <v>700</v>
      </c>
      <c r="Q805" s="449"/>
      <c r="R805" s="449"/>
      <c r="S805" s="449" t="s">
        <v>762</v>
      </c>
      <c r="T805" s="449" t="s">
        <v>701</v>
      </c>
      <c r="U805" s="452">
        <v>0</v>
      </c>
      <c r="V8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5" s="272" t="str">
        <f>IFERROR(SUMIFS(TransUnitCost[Miles],TransUnitCost[Grouping_ID],TransTonsShort[[#This Row],[Grouping_ID]],TransUnitCost[Transp_ID],TransTonsShort[[#This Row],[Transp_ID]])*TransTonsShort[[#This Row],[Trans_Tons_All]]/TransTonsShort[[#This Row],[Trans_Tons_All]],"")</f>
        <v/>
      </c>
      <c r="X805" s="386" t="str">
        <f>TransTonsShort[[#This Row],[Grouping_ID]]&amp;"-"&amp;TransTonsShort[[#This Row],[Sector_ID]]</f>
        <v>3-3</v>
      </c>
      <c r="Y8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5" s="421">
        <f>INDEX(LandfillFees[Disposal Tip Fee 2025],MATCH(TransTonsShort[[#This Row],[Grouping_ID]],LandfillFees[Grouping_ID],0))</f>
        <v>72.030938699729589</v>
      </c>
      <c r="AA805" s="102">
        <f>IF(OR(TransTonsShort[[#This Row],[CollectionStream_ID]]="03",TransTonsShort[[#This Row],[CollectionStream_ID]]="04",TransTonsShort[[#This Row],[CollectionStream_ID]]="13"),0,TransTonsShort[[#This Row],[Trans_Tons_All]]*TransTonsShort[[#This Row],[Disposal_Fee]])</f>
        <v>0</v>
      </c>
    </row>
    <row r="806" spans="12:27" ht="15" x14ac:dyDescent="0.25">
      <c r="L806" s="446" t="s">
        <v>874</v>
      </c>
      <c r="M806" s="446">
        <v>4</v>
      </c>
      <c r="N806" s="446">
        <v>3</v>
      </c>
      <c r="O806" s="448" t="s">
        <v>746</v>
      </c>
      <c r="P806" s="449" t="s">
        <v>700</v>
      </c>
      <c r="Q806" s="449"/>
      <c r="R806" s="449"/>
      <c r="S806" s="449" t="s">
        <v>762</v>
      </c>
      <c r="T806" s="449" t="s">
        <v>701</v>
      </c>
      <c r="U806" s="452">
        <v>0</v>
      </c>
      <c r="V8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6" s="272" t="str">
        <f>IFERROR(SUMIFS(TransUnitCost[Miles],TransUnitCost[Grouping_ID],TransTonsShort[[#This Row],[Grouping_ID]],TransUnitCost[Transp_ID],TransTonsShort[[#This Row],[Transp_ID]])*TransTonsShort[[#This Row],[Trans_Tons_All]]/TransTonsShort[[#This Row],[Trans_Tons_All]],"")</f>
        <v/>
      </c>
      <c r="X806" s="386" t="str">
        <f>TransTonsShort[[#This Row],[Grouping_ID]]&amp;"-"&amp;TransTonsShort[[#This Row],[Sector_ID]]</f>
        <v>4-3</v>
      </c>
      <c r="Y8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6" s="421">
        <f>INDEX(LandfillFees[Disposal Tip Fee 2025],MATCH(TransTonsShort[[#This Row],[Grouping_ID]],LandfillFees[Grouping_ID],0))</f>
        <v>72.030938699729589</v>
      </c>
      <c r="AA806" s="102">
        <f>IF(OR(TransTonsShort[[#This Row],[CollectionStream_ID]]="03",TransTonsShort[[#This Row],[CollectionStream_ID]]="04",TransTonsShort[[#This Row],[CollectionStream_ID]]="13"),0,TransTonsShort[[#This Row],[Trans_Tons_All]]*TransTonsShort[[#This Row],[Disposal_Fee]])</f>
        <v>0</v>
      </c>
    </row>
    <row r="807" spans="12:27" ht="15" x14ac:dyDescent="0.25">
      <c r="L807" s="446" t="s">
        <v>874</v>
      </c>
      <c r="M807" s="446">
        <v>1</v>
      </c>
      <c r="N807" s="446">
        <v>3</v>
      </c>
      <c r="O807" s="448" t="s">
        <v>746</v>
      </c>
      <c r="P807" s="449" t="s">
        <v>746</v>
      </c>
      <c r="Q807" s="449"/>
      <c r="R807" s="449"/>
      <c r="S807" s="449" t="s">
        <v>762</v>
      </c>
      <c r="T807" s="449" t="s">
        <v>848</v>
      </c>
      <c r="U807" s="452">
        <v>0</v>
      </c>
      <c r="V8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7" s="272" t="str">
        <f>IFERROR(SUMIFS(TransUnitCost[Miles],TransUnitCost[Grouping_ID],TransTonsShort[[#This Row],[Grouping_ID]],TransUnitCost[Transp_ID],TransTonsShort[[#This Row],[Transp_ID]])*TransTonsShort[[#This Row],[Trans_Tons_All]]/TransTonsShort[[#This Row],[Trans_Tons_All]],"")</f>
        <v/>
      </c>
      <c r="X807" s="386" t="str">
        <f>TransTonsShort[[#This Row],[Grouping_ID]]&amp;"-"&amp;TransTonsShort[[#This Row],[Sector_ID]]</f>
        <v>1-3</v>
      </c>
      <c r="Y8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7" s="421">
        <f>INDEX(LandfillFees[Disposal Tip Fee 2025],MATCH(TransTonsShort[[#This Row],[Grouping_ID]],LandfillFees[Grouping_ID],0))</f>
        <v>134.68</v>
      </c>
      <c r="AA807" s="102">
        <f>IF(OR(TransTonsShort[[#This Row],[CollectionStream_ID]]="03",TransTonsShort[[#This Row],[CollectionStream_ID]]="04",TransTonsShort[[#This Row],[CollectionStream_ID]]="13"),0,TransTonsShort[[#This Row],[Trans_Tons_All]]*TransTonsShort[[#This Row],[Disposal_Fee]])</f>
        <v>0</v>
      </c>
    </row>
    <row r="808" spans="12:27" ht="15" x14ac:dyDescent="0.25">
      <c r="L808" s="446" t="s">
        <v>874</v>
      </c>
      <c r="M808" s="446">
        <v>2</v>
      </c>
      <c r="N808" s="446">
        <v>3</v>
      </c>
      <c r="O808" s="448" t="s">
        <v>746</v>
      </c>
      <c r="P808" s="449" t="s">
        <v>746</v>
      </c>
      <c r="Q808" s="449"/>
      <c r="R808" s="449"/>
      <c r="S808" s="449" t="s">
        <v>762</v>
      </c>
      <c r="T808" s="449" t="s">
        <v>848</v>
      </c>
      <c r="U808" s="452">
        <v>0</v>
      </c>
      <c r="V8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8" s="272" t="str">
        <f>IFERROR(SUMIFS(TransUnitCost[Miles],TransUnitCost[Grouping_ID],TransTonsShort[[#This Row],[Grouping_ID]],TransUnitCost[Transp_ID],TransTonsShort[[#This Row],[Transp_ID]])*TransTonsShort[[#This Row],[Trans_Tons_All]]/TransTonsShort[[#This Row],[Trans_Tons_All]],"")</f>
        <v/>
      </c>
      <c r="X808" s="386" t="str">
        <f>TransTonsShort[[#This Row],[Grouping_ID]]&amp;"-"&amp;TransTonsShort[[#This Row],[Sector_ID]]</f>
        <v>2-3</v>
      </c>
      <c r="Y8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8" s="421">
        <f>INDEX(LandfillFees[Disposal Tip Fee 2025],MATCH(TransTonsShort[[#This Row],[Grouping_ID]],LandfillFees[Grouping_ID],0))</f>
        <v>72.030938699729589</v>
      </c>
      <c r="AA808" s="102">
        <f>IF(OR(TransTonsShort[[#This Row],[CollectionStream_ID]]="03",TransTonsShort[[#This Row],[CollectionStream_ID]]="04",TransTonsShort[[#This Row],[CollectionStream_ID]]="13"),0,TransTonsShort[[#This Row],[Trans_Tons_All]]*TransTonsShort[[#This Row],[Disposal_Fee]])</f>
        <v>0</v>
      </c>
    </row>
    <row r="809" spans="12:27" ht="15" x14ac:dyDescent="0.25">
      <c r="L809" s="446" t="s">
        <v>874</v>
      </c>
      <c r="M809" s="446">
        <v>3</v>
      </c>
      <c r="N809" s="446">
        <v>3</v>
      </c>
      <c r="O809" s="448" t="s">
        <v>746</v>
      </c>
      <c r="P809" s="449" t="s">
        <v>746</v>
      </c>
      <c r="Q809" s="449"/>
      <c r="R809" s="449"/>
      <c r="S809" s="449" t="s">
        <v>762</v>
      </c>
      <c r="T809" s="449" t="s">
        <v>848</v>
      </c>
      <c r="U809" s="452">
        <v>0</v>
      </c>
      <c r="V8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09" s="272" t="str">
        <f>IFERROR(SUMIFS(TransUnitCost[Miles],TransUnitCost[Grouping_ID],TransTonsShort[[#This Row],[Grouping_ID]],TransUnitCost[Transp_ID],TransTonsShort[[#This Row],[Transp_ID]])*TransTonsShort[[#This Row],[Trans_Tons_All]]/TransTonsShort[[#This Row],[Trans_Tons_All]],"")</f>
        <v/>
      </c>
      <c r="X809" s="386" t="str">
        <f>TransTonsShort[[#This Row],[Grouping_ID]]&amp;"-"&amp;TransTonsShort[[#This Row],[Sector_ID]]</f>
        <v>3-3</v>
      </c>
      <c r="Y8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09" s="421">
        <f>INDEX(LandfillFees[Disposal Tip Fee 2025],MATCH(TransTonsShort[[#This Row],[Grouping_ID]],LandfillFees[Grouping_ID],0))</f>
        <v>72.030938699729589</v>
      </c>
      <c r="AA809" s="102">
        <f>IF(OR(TransTonsShort[[#This Row],[CollectionStream_ID]]="03",TransTonsShort[[#This Row],[CollectionStream_ID]]="04",TransTonsShort[[#This Row],[CollectionStream_ID]]="13"),0,TransTonsShort[[#This Row],[Trans_Tons_All]]*TransTonsShort[[#This Row],[Disposal_Fee]])</f>
        <v>0</v>
      </c>
    </row>
    <row r="810" spans="12:27" ht="15" x14ac:dyDescent="0.25">
      <c r="L810" s="446" t="s">
        <v>874</v>
      </c>
      <c r="M810" s="446">
        <v>4</v>
      </c>
      <c r="N810" s="446">
        <v>3</v>
      </c>
      <c r="O810" s="448" t="s">
        <v>746</v>
      </c>
      <c r="P810" s="449" t="s">
        <v>746</v>
      </c>
      <c r="Q810" s="449"/>
      <c r="R810" s="449"/>
      <c r="S810" s="449" t="s">
        <v>762</v>
      </c>
      <c r="T810" s="449" t="s">
        <v>848</v>
      </c>
      <c r="U810" s="452">
        <v>0</v>
      </c>
      <c r="V8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0" s="272" t="str">
        <f>IFERROR(SUMIFS(TransUnitCost[Miles],TransUnitCost[Grouping_ID],TransTonsShort[[#This Row],[Grouping_ID]],TransUnitCost[Transp_ID],TransTonsShort[[#This Row],[Transp_ID]])*TransTonsShort[[#This Row],[Trans_Tons_All]]/TransTonsShort[[#This Row],[Trans_Tons_All]],"")</f>
        <v/>
      </c>
      <c r="X810" s="386" t="str">
        <f>TransTonsShort[[#This Row],[Grouping_ID]]&amp;"-"&amp;TransTonsShort[[#This Row],[Sector_ID]]</f>
        <v>4-3</v>
      </c>
      <c r="Y8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10" s="421">
        <f>INDEX(LandfillFees[Disposal Tip Fee 2025],MATCH(TransTonsShort[[#This Row],[Grouping_ID]],LandfillFees[Grouping_ID],0))</f>
        <v>72.030938699729589</v>
      </c>
      <c r="AA810" s="102">
        <f>IF(OR(TransTonsShort[[#This Row],[CollectionStream_ID]]="03",TransTonsShort[[#This Row],[CollectionStream_ID]]="04",TransTonsShort[[#This Row],[CollectionStream_ID]]="13"),0,TransTonsShort[[#This Row],[Trans_Tons_All]]*TransTonsShort[[#This Row],[Disposal_Fee]])</f>
        <v>0</v>
      </c>
    </row>
    <row r="811" spans="12:27" ht="15" x14ac:dyDescent="0.25">
      <c r="L811" s="446" t="s">
        <v>874</v>
      </c>
      <c r="M811" s="446">
        <v>1</v>
      </c>
      <c r="N811" s="446">
        <v>3</v>
      </c>
      <c r="O811" s="446" t="s">
        <v>706</v>
      </c>
      <c r="P811" s="449" t="s">
        <v>739</v>
      </c>
      <c r="Q811" s="449"/>
      <c r="R811" s="449"/>
      <c r="S811" s="449" t="s">
        <v>707</v>
      </c>
      <c r="T811" s="449" t="s">
        <v>1121</v>
      </c>
      <c r="U811" s="452">
        <v>5798.0165372371075</v>
      </c>
      <c r="V8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112481.52082239988</v>
      </c>
      <c r="W811" s="272">
        <f>IFERROR(SUMIFS(TransUnitCost[Miles],TransUnitCost[Grouping_ID],TransTonsShort[[#This Row],[Grouping_ID]],TransUnitCost[Transp_ID],TransTonsShort[[#This Row],[Transp_ID]])*TransTonsShort[[#This Row],[Trans_Tons_All]]/TransTonsShort[[#This Row],[Trans_Tons_All]],"")</f>
        <v>20</v>
      </c>
      <c r="X811" s="386" t="str">
        <f>TransTonsShort[[#This Row],[Grouping_ID]]&amp;"-"&amp;TransTonsShort[[#This Row],[Sector_ID]]</f>
        <v>1-3</v>
      </c>
      <c r="Y8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1" s="421">
        <f>INDEX(LandfillFees[Disposal Tip Fee 2025],MATCH(TransTonsShort[[#This Row],[Grouping_ID]],LandfillFees[Grouping_ID],0))</f>
        <v>134.68</v>
      </c>
      <c r="AA811" s="102">
        <f>IF(OR(TransTonsShort[[#This Row],[CollectionStream_ID]]="03",TransTonsShort[[#This Row],[CollectionStream_ID]]="04",TransTonsShort[[#This Row],[CollectionStream_ID]]="13"),0,TransTonsShort[[#This Row],[Trans_Tons_All]]*TransTonsShort[[#This Row],[Disposal_Fee]])</f>
        <v>780876.86723509373</v>
      </c>
    </row>
    <row r="812" spans="12:27" ht="15" x14ac:dyDescent="0.25">
      <c r="L812" s="446" t="s">
        <v>874</v>
      </c>
      <c r="M812" s="446">
        <v>2</v>
      </c>
      <c r="N812" s="446">
        <v>3</v>
      </c>
      <c r="O812" s="446" t="s">
        <v>706</v>
      </c>
      <c r="P812" s="449" t="s">
        <v>739</v>
      </c>
      <c r="Q812" s="449"/>
      <c r="R812" s="449"/>
      <c r="S812" s="449" t="s">
        <v>707</v>
      </c>
      <c r="T812" s="449" t="s">
        <v>1121</v>
      </c>
      <c r="U812" s="452">
        <v>4564.1866984109183</v>
      </c>
      <c r="V8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188500.91064437092</v>
      </c>
      <c r="W812" s="272">
        <f>IFERROR(SUMIFS(TransUnitCost[Miles],TransUnitCost[Grouping_ID],TransTonsShort[[#This Row],[Grouping_ID]],TransUnitCost[Transp_ID],TransTonsShort[[#This Row],[Transp_ID]])*TransTonsShort[[#This Row],[Trans_Tons_All]]/TransTonsShort[[#This Row],[Trans_Tons_All]],"")</f>
        <v>70</v>
      </c>
      <c r="X812" s="386" t="str">
        <f>TransTonsShort[[#This Row],[Grouping_ID]]&amp;"-"&amp;TransTonsShort[[#This Row],[Sector_ID]]</f>
        <v>2-3</v>
      </c>
      <c r="Y8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2" s="421">
        <f>INDEX(LandfillFees[Disposal Tip Fee 2025],MATCH(TransTonsShort[[#This Row],[Grouping_ID]],LandfillFees[Grouping_ID],0))</f>
        <v>72.030938699729589</v>
      </c>
      <c r="AA812" s="102">
        <f>IF(OR(TransTonsShort[[#This Row],[CollectionStream_ID]]="03",TransTonsShort[[#This Row],[CollectionStream_ID]]="04",TransTonsShort[[#This Row],[CollectionStream_ID]]="13"),0,TransTonsShort[[#This Row],[Trans_Tons_All]]*TransTonsShort[[#This Row],[Disposal_Fee]])</f>
        <v>328762.65228735801</v>
      </c>
    </row>
    <row r="813" spans="12:27" ht="15" x14ac:dyDescent="0.25">
      <c r="L813" s="446" t="s">
        <v>874</v>
      </c>
      <c r="M813" s="446">
        <v>3</v>
      </c>
      <c r="N813" s="446">
        <v>3</v>
      </c>
      <c r="O813" s="446" t="s">
        <v>706</v>
      </c>
      <c r="P813" s="449" t="s">
        <v>739</v>
      </c>
      <c r="Q813" s="449"/>
      <c r="R813" s="449"/>
      <c r="S813" s="449" t="s">
        <v>707</v>
      </c>
      <c r="T813" s="449" t="s">
        <v>1121</v>
      </c>
      <c r="U813" s="452">
        <v>798.75441320832908</v>
      </c>
      <c r="V8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28755.158875499848</v>
      </c>
      <c r="W813" s="272">
        <f>IFERROR(SUMIFS(TransUnitCost[Miles],TransUnitCost[Grouping_ID],TransTonsShort[[#This Row],[Grouping_ID]],TransUnitCost[Transp_ID],TransTonsShort[[#This Row],[Transp_ID]])*TransTonsShort[[#This Row],[Trans_Tons_All]]/TransTonsShort[[#This Row],[Trans_Tons_All]],"")</f>
        <v>150</v>
      </c>
      <c r="X813" s="386" t="str">
        <f>TransTonsShort[[#This Row],[Grouping_ID]]&amp;"-"&amp;TransTonsShort[[#This Row],[Sector_ID]]</f>
        <v>3-3</v>
      </c>
      <c r="Y8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3" s="421">
        <f>INDEX(LandfillFees[Disposal Tip Fee 2025],MATCH(TransTonsShort[[#This Row],[Grouping_ID]],LandfillFees[Grouping_ID],0))</f>
        <v>72.030938699729589</v>
      </c>
      <c r="AA813" s="102">
        <f>IF(OR(TransTonsShort[[#This Row],[CollectionStream_ID]]="03",TransTonsShort[[#This Row],[CollectionStream_ID]]="04",TransTonsShort[[#This Row],[CollectionStream_ID]]="13"),0,TransTonsShort[[#This Row],[Trans_Tons_All]]*TransTonsShort[[#This Row],[Disposal_Fee]])</f>
        <v>57535.030173947627</v>
      </c>
    </row>
    <row r="814" spans="12:27" ht="15" x14ac:dyDescent="0.25">
      <c r="L814" s="446" t="s">
        <v>874</v>
      </c>
      <c r="M814" s="446">
        <v>4</v>
      </c>
      <c r="N814" s="446">
        <v>3</v>
      </c>
      <c r="O814" s="446" t="s">
        <v>706</v>
      </c>
      <c r="P814" s="449" t="s">
        <v>739</v>
      </c>
      <c r="Q814" s="449"/>
      <c r="R814" s="449"/>
      <c r="S814" s="449" t="s">
        <v>707</v>
      </c>
      <c r="T814" s="449" t="s">
        <v>1121</v>
      </c>
      <c r="U814" s="452">
        <v>264.93557181993026</v>
      </c>
      <c r="V8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14571.456450096164</v>
      </c>
      <c r="W814" s="272">
        <f>IFERROR(SUMIFS(TransUnitCost[Miles],TransUnitCost[Grouping_ID],TransTonsShort[[#This Row],[Grouping_ID]],TransUnitCost[Transp_ID],TransTonsShort[[#This Row],[Transp_ID]])*TransTonsShort[[#This Row],[Trans_Tons_All]]/TransTonsShort[[#This Row],[Trans_Tons_All]],"")</f>
        <v>250.00000000000003</v>
      </c>
      <c r="X814" s="386" t="str">
        <f>TransTonsShort[[#This Row],[Grouping_ID]]&amp;"-"&amp;TransTonsShort[[#This Row],[Sector_ID]]</f>
        <v>4-3</v>
      </c>
      <c r="Y8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4" s="421">
        <f>INDEX(LandfillFees[Disposal Tip Fee 2025],MATCH(TransTonsShort[[#This Row],[Grouping_ID]],LandfillFees[Grouping_ID],0))</f>
        <v>72.030938699729589</v>
      </c>
      <c r="AA814" s="102">
        <f>IF(OR(TransTonsShort[[#This Row],[CollectionStream_ID]]="03",TransTonsShort[[#This Row],[CollectionStream_ID]]="04",TransTonsShort[[#This Row],[CollectionStream_ID]]="13"),0,TransTonsShort[[#This Row],[Trans_Tons_All]]*TransTonsShort[[#This Row],[Disposal_Fee]])</f>
        <v>19083.557933139204</v>
      </c>
    </row>
    <row r="815" spans="12:27" ht="15" x14ac:dyDescent="0.25">
      <c r="L815" s="446" t="s">
        <v>874</v>
      </c>
      <c r="M815" s="446">
        <v>1</v>
      </c>
      <c r="N815" s="446">
        <v>3</v>
      </c>
      <c r="O815" s="446" t="s">
        <v>706</v>
      </c>
      <c r="P815" s="449" t="s">
        <v>700</v>
      </c>
      <c r="Q815" s="449"/>
      <c r="R815" s="449"/>
      <c r="S815" s="449" t="s">
        <v>707</v>
      </c>
      <c r="T815" s="449" t="s">
        <v>701</v>
      </c>
      <c r="U815" s="452">
        <v>3045.9598519855836</v>
      </c>
      <c r="V8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5" s="272">
        <f>IFERROR(SUMIFS(TransUnitCost[Miles],TransUnitCost[Grouping_ID],TransTonsShort[[#This Row],[Grouping_ID]],TransUnitCost[Transp_ID],TransTonsShort[[#This Row],[Transp_ID]])*TransTonsShort[[#This Row],[Trans_Tons_All]]/TransTonsShort[[#This Row],[Trans_Tons_All]],"")</f>
        <v>0</v>
      </c>
      <c r="X815" s="386" t="str">
        <f>TransTonsShort[[#This Row],[Grouping_ID]]&amp;"-"&amp;TransTonsShort[[#This Row],[Sector_ID]]</f>
        <v>1-3</v>
      </c>
      <c r="Y8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5" s="421">
        <f>INDEX(LandfillFees[Disposal Tip Fee 2025],MATCH(TransTonsShort[[#This Row],[Grouping_ID]],LandfillFees[Grouping_ID],0))</f>
        <v>134.68</v>
      </c>
      <c r="AA815" s="102">
        <f>IF(OR(TransTonsShort[[#This Row],[CollectionStream_ID]]="03",TransTonsShort[[#This Row],[CollectionStream_ID]]="04",TransTonsShort[[#This Row],[CollectionStream_ID]]="13"),0,TransTonsShort[[#This Row],[Trans_Tons_All]]*TransTonsShort[[#This Row],[Disposal_Fee]])</f>
        <v>410229.87286541844</v>
      </c>
    </row>
    <row r="816" spans="12:27" ht="15" x14ac:dyDescent="0.25">
      <c r="L816" s="446" t="s">
        <v>874</v>
      </c>
      <c r="M816" s="446">
        <v>2</v>
      </c>
      <c r="N816" s="446">
        <v>3</v>
      </c>
      <c r="O816" s="446" t="s">
        <v>706</v>
      </c>
      <c r="P816" s="449" t="s">
        <v>700</v>
      </c>
      <c r="Q816" s="449"/>
      <c r="R816" s="449"/>
      <c r="S816" s="449" t="s">
        <v>707</v>
      </c>
      <c r="T816" s="449" t="s">
        <v>701</v>
      </c>
      <c r="U816" s="452">
        <v>0</v>
      </c>
      <c r="V8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6" s="272" t="str">
        <f>IFERROR(SUMIFS(TransUnitCost[Miles],TransUnitCost[Grouping_ID],TransTonsShort[[#This Row],[Grouping_ID]],TransUnitCost[Transp_ID],TransTonsShort[[#This Row],[Transp_ID]])*TransTonsShort[[#This Row],[Trans_Tons_All]]/TransTonsShort[[#This Row],[Trans_Tons_All]],"")</f>
        <v/>
      </c>
      <c r="X816" s="386" t="str">
        <f>TransTonsShort[[#This Row],[Grouping_ID]]&amp;"-"&amp;TransTonsShort[[#This Row],[Sector_ID]]</f>
        <v>2-3</v>
      </c>
      <c r="Y8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6" s="421">
        <f>INDEX(LandfillFees[Disposal Tip Fee 2025],MATCH(TransTonsShort[[#This Row],[Grouping_ID]],LandfillFees[Grouping_ID],0))</f>
        <v>72.030938699729589</v>
      </c>
      <c r="AA816" s="102">
        <f>IF(OR(TransTonsShort[[#This Row],[CollectionStream_ID]]="03",TransTonsShort[[#This Row],[CollectionStream_ID]]="04",TransTonsShort[[#This Row],[CollectionStream_ID]]="13"),0,TransTonsShort[[#This Row],[Trans_Tons_All]]*TransTonsShort[[#This Row],[Disposal_Fee]])</f>
        <v>0</v>
      </c>
    </row>
    <row r="817" spans="12:27" ht="15" x14ac:dyDescent="0.25">
      <c r="L817" s="446" t="s">
        <v>874</v>
      </c>
      <c r="M817" s="446">
        <v>3</v>
      </c>
      <c r="N817" s="446">
        <v>3</v>
      </c>
      <c r="O817" s="446" t="s">
        <v>706</v>
      </c>
      <c r="P817" s="449" t="s">
        <v>700</v>
      </c>
      <c r="Q817" s="449"/>
      <c r="R817" s="449"/>
      <c r="S817" s="449" t="s">
        <v>707</v>
      </c>
      <c r="T817" s="449" t="s">
        <v>701</v>
      </c>
      <c r="U817" s="452">
        <v>0</v>
      </c>
      <c r="V8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7" s="272" t="str">
        <f>IFERROR(SUMIFS(TransUnitCost[Miles],TransUnitCost[Grouping_ID],TransTonsShort[[#This Row],[Grouping_ID]],TransUnitCost[Transp_ID],TransTonsShort[[#This Row],[Transp_ID]])*TransTonsShort[[#This Row],[Trans_Tons_All]]/TransTonsShort[[#This Row],[Trans_Tons_All]],"")</f>
        <v/>
      </c>
      <c r="X817" s="386" t="str">
        <f>TransTonsShort[[#This Row],[Grouping_ID]]&amp;"-"&amp;TransTonsShort[[#This Row],[Sector_ID]]</f>
        <v>3-3</v>
      </c>
      <c r="Y8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7" s="421">
        <f>INDEX(LandfillFees[Disposal Tip Fee 2025],MATCH(TransTonsShort[[#This Row],[Grouping_ID]],LandfillFees[Grouping_ID],0))</f>
        <v>72.030938699729589</v>
      </c>
      <c r="AA817" s="102">
        <f>IF(OR(TransTonsShort[[#This Row],[CollectionStream_ID]]="03",TransTonsShort[[#This Row],[CollectionStream_ID]]="04",TransTonsShort[[#This Row],[CollectionStream_ID]]="13"),0,TransTonsShort[[#This Row],[Trans_Tons_All]]*TransTonsShort[[#This Row],[Disposal_Fee]])</f>
        <v>0</v>
      </c>
    </row>
    <row r="818" spans="12:27" ht="15" x14ac:dyDescent="0.25">
      <c r="L818" s="446" t="s">
        <v>874</v>
      </c>
      <c r="M818" s="446">
        <v>4</v>
      </c>
      <c r="N818" s="446">
        <v>3</v>
      </c>
      <c r="O818" s="446" t="s">
        <v>706</v>
      </c>
      <c r="P818" s="449" t="s">
        <v>700</v>
      </c>
      <c r="Q818" s="449"/>
      <c r="R818" s="449"/>
      <c r="S818" s="449" t="s">
        <v>707</v>
      </c>
      <c r="T818" s="449" t="s">
        <v>701</v>
      </c>
      <c r="U818" s="452">
        <v>0</v>
      </c>
      <c r="V8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8" s="272" t="str">
        <f>IFERROR(SUMIFS(TransUnitCost[Miles],TransUnitCost[Grouping_ID],TransTonsShort[[#This Row],[Grouping_ID]],TransUnitCost[Transp_ID],TransTonsShort[[#This Row],[Transp_ID]])*TransTonsShort[[#This Row],[Trans_Tons_All]]/TransTonsShort[[#This Row],[Trans_Tons_All]],"")</f>
        <v/>
      </c>
      <c r="X818" s="386" t="str">
        <f>TransTonsShort[[#This Row],[Grouping_ID]]&amp;"-"&amp;TransTonsShort[[#This Row],[Sector_ID]]</f>
        <v>4-3</v>
      </c>
      <c r="Y8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8" s="421">
        <f>INDEX(LandfillFees[Disposal Tip Fee 2025],MATCH(TransTonsShort[[#This Row],[Grouping_ID]],LandfillFees[Grouping_ID],0))</f>
        <v>72.030938699729589</v>
      </c>
      <c r="AA818" s="102">
        <f>IF(OR(TransTonsShort[[#This Row],[CollectionStream_ID]]="03",TransTonsShort[[#This Row],[CollectionStream_ID]]="04",TransTonsShort[[#This Row],[CollectionStream_ID]]="13"),0,TransTonsShort[[#This Row],[Trans_Tons_All]]*TransTonsShort[[#This Row],[Disposal_Fee]])</f>
        <v>0</v>
      </c>
    </row>
    <row r="819" spans="12:27" ht="15" x14ac:dyDescent="0.25">
      <c r="L819" s="446" t="s">
        <v>874</v>
      </c>
      <c r="M819" s="446">
        <v>1</v>
      </c>
      <c r="N819" s="446">
        <v>3</v>
      </c>
      <c r="O819" s="446" t="s">
        <v>752</v>
      </c>
      <c r="P819" s="449" t="s">
        <v>719</v>
      </c>
      <c r="Q819" s="449"/>
      <c r="R819" s="449"/>
      <c r="S819" s="449" t="s">
        <v>964</v>
      </c>
      <c r="T819" s="449" t="s">
        <v>1055</v>
      </c>
      <c r="U819" s="452">
        <v>0</v>
      </c>
      <c r="V8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19" s="272" t="str">
        <f>IFERROR(SUMIFS(TransUnitCost[Miles],TransUnitCost[Grouping_ID],TransTonsShort[[#This Row],[Grouping_ID]],TransUnitCost[Transp_ID],TransTonsShort[[#This Row],[Transp_ID]])*TransTonsShort[[#This Row],[Trans_Tons_All]]/TransTonsShort[[#This Row],[Trans_Tons_All]],"")</f>
        <v/>
      </c>
      <c r="X819" s="386" t="str">
        <f>TransTonsShort[[#This Row],[Grouping_ID]]&amp;"-"&amp;TransTonsShort[[#This Row],[Sector_ID]]</f>
        <v>1-3</v>
      </c>
      <c r="Y8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19" s="421">
        <f>INDEX(LandfillFees[Disposal Tip Fee 2025],MATCH(TransTonsShort[[#This Row],[Grouping_ID]],LandfillFees[Grouping_ID],0))</f>
        <v>134.68</v>
      </c>
      <c r="AA819" s="102">
        <f>IF(OR(TransTonsShort[[#This Row],[CollectionStream_ID]]="03",TransTonsShort[[#This Row],[CollectionStream_ID]]="04",TransTonsShort[[#This Row],[CollectionStream_ID]]="13"),0,TransTonsShort[[#This Row],[Trans_Tons_All]]*TransTonsShort[[#This Row],[Disposal_Fee]])</f>
        <v>0</v>
      </c>
    </row>
    <row r="820" spans="12:27" ht="15" x14ac:dyDescent="0.25">
      <c r="L820" s="446" t="s">
        <v>874</v>
      </c>
      <c r="M820" s="446">
        <v>2</v>
      </c>
      <c r="N820" s="446">
        <v>3</v>
      </c>
      <c r="O820" s="446" t="s">
        <v>752</v>
      </c>
      <c r="P820" s="449" t="s">
        <v>719</v>
      </c>
      <c r="Q820" s="449"/>
      <c r="R820" s="449"/>
      <c r="S820" s="449" t="s">
        <v>964</v>
      </c>
      <c r="T820" s="449" t="s">
        <v>1055</v>
      </c>
      <c r="U820" s="452">
        <v>0</v>
      </c>
      <c r="V8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0" s="272" t="str">
        <f>IFERROR(SUMIFS(TransUnitCost[Miles],TransUnitCost[Grouping_ID],TransTonsShort[[#This Row],[Grouping_ID]],TransUnitCost[Transp_ID],TransTonsShort[[#This Row],[Transp_ID]])*TransTonsShort[[#This Row],[Trans_Tons_All]]/TransTonsShort[[#This Row],[Trans_Tons_All]],"")</f>
        <v/>
      </c>
      <c r="X820" s="386" t="str">
        <f>TransTonsShort[[#This Row],[Grouping_ID]]&amp;"-"&amp;TransTonsShort[[#This Row],[Sector_ID]]</f>
        <v>2-3</v>
      </c>
      <c r="Y8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0" s="421">
        <f>INDEX(LandfillFees[Disposal Tip Fee 2025],MATCH(TransTonsShort[[#This Row],[Grouping_ID]],LandfillFees[Grouping_ID],0))</f>
        <v>72.030938699729589</v>
      </c>
      <c r="AA820" s="102">
        <f>IF(OR(TransTonsShort[[#This Row],[CollectionStream_ID]]="03",TransTonsShort[[#This Row],[CollectionStream_ID]]="04",TransTonsShort[[#This Row],[CollectionStream_ID]]="13"),0,TransTonsShort[[#This Row],[Trans_Tons_All]]*TransTonsShort[[#This Row],[Disposal_Fee]])</f>
        <v>0</v>
      </c>
    </row>
    <row r="821" spans="12:27" ht="15" x14ac:dyDescent="0.25">
      <c r="L821" s="446" t="s">
        <v>874</v>
      </c>
      <c r="M821" s="446">
        <v>3</v>
      </c>
      <c r="N821" s="446">
        <v>3</v>
      </c>
      <c r="O821" s="446" t="s">
        <v>752</v>
      </c>
      <c r="P821" s="449" t="s">
        <v>719</v>
      </c>
      <c r="Q821" s="449"/>
      <c r="R821" s="449"/>
      <c r="S821" s="449" t="s">
        <v>964</v>
      </c>
      <c r="T821" s="449" t="s">
        <v>1055</v>
      </c>
      <c r="U821" s="452">
        <v>0</v>
      </c>
      <c r="V8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1" s="272" t="str">
        <f>IFERROR(SUMIFS(TransUnitCost[Miles],TransUnitCost[Grouping_ID],TransTonsShort[[#This Row],[Grouping_ID]],TransUnitCost[Transp_ID],TransTonsShort[[#This Row],[Transp_ID]])*TransTonsShort[[#This Row],[Trans_Tons_All]]/TransTonsShort[[#This Row],[Trans_Tons_All]],"")</f>
        <v/>
      </c>
      <c r="X821" s="386" t="str">
        <f>TransTonsShort[[#This Row],[Grouping_ID]]&amp;"-"&amp;TransTonsShort[[#This Row],[Sector_ID]]</f>
        <v>3-3</v>
      </c>
      <c r="Y8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1" s="421">
        <f>INDEX(LandfillFees[Disposal Tip Fee 2025],MATCH(TransTonsShort[[#This Row],[Grouping_ID]],LandfillFees[Grouping_ID],0))</f>
        <v>72.030938699729589</v>
      </c>
      <c r="AA821" s="102">
        <f>IF(OR(TransTonsShort[[#This Row],[CollectionStream_ID]]="03",TransTonsShort[[#This Row],[CollectionStream_ID]]="04",TransTonsShort[[#This Row],[CollectionStream_ID]]="13"),0,TransTonsShort[[#This Row],[Trans_Tons_All]]*TransTonsShort[[#This Row],[Disposal_Fee]])</f>
        <v>0</v>
      </c>
    </row>
    <row r="822" spans="12:27" ht="15" x14ac:dyDescent="0.25">
      <c r="L822" s="446" t="s">
        <v>874</v>
      </c>
      <c r="M822" s="446">
        <v>4</v>
      </c>
      <c r="N822" s="446">
        <v>3</v>
      </c>
      <c r="O822" s="446" t="s">
        <v>752</v>
      </c>
      <c r="P822" s="449" t="s">
        <v>719</v>
      </c>
      <c r="Q822" s="449"/>
      <c r="R822" s="449"/>
      <c r="S822" s="449" t="s">
        <v>964</v>
      </c>
      <c r="T822" s="449" t="s">
        <v>1055</v>
      </c>
      <c r="U822" s="452">
        <v>0</v>
      </c>
      <c r="V8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2" s="272" t="str">
        <f>IFERROR(SUMIFS(TransUnitCost[Miles],TransUnitCost[Grouping_ID],TransTonsShort[[#This Row],[Grouping_ID]],TransUnitCost[Transp_ID],TransTonsShort[[#This Row],[Transp_ID]])*TransTonsShort[[#This Row],[Trans_Tons_All]]/TransTonsShort[[#This Row],[Trans_Tons_All]],"")</f>
        <v/>
      </c>
      <c r="X822" s="386" t="str">
        <f>TransTonsShort[[#This Row],[Grouping_ID]]&amp;"-"&amp;TransTonsShort[[#This Row],[Sector_ID]]</f>
        <v>4-3</v>
      </c>
      <c r="Y8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2" s="421">
        <f>INDEX(LandfillFees[Disposal Tip Fee 2025],MATCH(TransTonsShort[[#This Row],[Grouping_ID]],LandfillFees[Grouping_ID],0))</f>
        <v>72.030938699729589</v>
      </c>
      <c r="AA822" s="102">
        <f>IF(OR(TransTonsShort[[#This Row],[CollectionStream_ID]]="03",TransTonsShort[[#This Row],[CollectionStream_ID]]="04",TransTonsShort[[#This Row],[CollectionStream_ID]]="13"),0,TransTonsShort[[#This Row],[Trans_Tons_All]]*TransTonsShort[[#This Row],[Disposal_Fee]])</f>
        <v>0</v>
      </c>
    </row>
    <row r="823" spans="12:27" ht="15" x14ac:dyDescent="0.25">
      <c r="L823" s="446" t="s">
        <v>874</v>
      </c>
      <c r="M823" s="446">
        <v>1</v>
      </c>
      <c r="N823" s="446">
        <v>3</v>
      </c>
      <c r="O823" s="446" t="s">
        <v>752</v>
      </c>
      <c r="P823" s="449" t="s">
        <v>700</v>
      </c>
      <c r="Q823" s="449"/>
      <c r="R823" s="449"/>
      <c r="S823" s="449" t="s">
        <v>964</v>
      </c>
      <c r="T823" s="449" t="s">
        <v>701</v>
      </c>
      <c r="U823" s="452">
        <v>2837.9119120943196</v>
      </c>
      <c r="V8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3" s="272">
        <f>IFERROR(SUMIFS(TransUnitCost[Miles],TransUnitCost[Grouping_ID],TransTonsShort[[#This Row],[Grouping_ID]],TransUnitCost[Transp_ID],TransTonsShort[[#This Row],[Transp_ID]])*TransTonsShort[[#This Row],[Trans_Tons_All]]/TransTonsShort[[#This Row],[Trans_Tons_All]],"")</f>
        <v>0</v>
      </c>
      <c r="X823" s="386" t="str">
        <f>TransTonsShort[[#This Row],[Grouping_ID]]&amp;"-"&amp;TransTonsShort[[#This Row],[Sector_ID]]</f>
        <v>1-3</v>
      </c>
      <c r="Y8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3" s="421">
        <f>INDEX(LandfillFees[Disposal Tip Fee 2025],MATCH(TransTonsShort[[#This Row],[Grouping_ID]],LandfillFees[Grouping_ID],0))</f>
        <v>134.68</v>
      </c>
      <c r="AA823" s="102">
        <f>IF(OR(TransTonsShort[[#This Row],[CollectionStream_ID]]="03",TransTonsShort[[#This Row],[CollectionStream_ID]]="04",TransTonsShort[[#This Row],[CollectionStream_ID]]="13"),0,TransTonsShort[[#This Row],[Trans_Tons_All]]*TransTonsShort[[#This Row],[Disposal_Fee]])</f>
        <v>382209.976320863</v>
      </c>
    </row>
    <row r="824" spans="12:27" ht="15" x14ac:dyDescent="0.25">
      <c r="L824" s="446" t="s">
        <v>874</v>
      </c>
      <c r="M824" s="446">
        <v>2</v>
      </c>
      <c r="N824" s="446">
        <v>3</v>
      </c>
      <c r="O824" s="446" t="s">
        <v>752</v>
      </c>
      <c r="P824" s="449" t="s">
        <v>700</v>
      </c>
      <c r="Q824" s="449"/>
      <c r="R824" s="449"/>
      <c r="S824" s="449" t="s">
        <v>964</v>
      </c>
      <c r="T824" s="449" t="s">
        <v>701</v>
      </c>
      <c r="U824" s="452">
        <v>0</v>
      </c>
      <c r="V8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4" s="272" t="str">
        <f>IFERROR(SUMIFS(TransUnitCost[Miles],TransUnitCost[Grouping_ID],TransTonsShort[[#This Row],[Grouping_ID]],TransUnitCost[Transp_ID],TransTonsShort[[#This Row],[Transp_ID]])*TransTonsShort[[#This Row],[Trans_Tons_All]]/TransTonsShort[[#This Row],[Trans_Tons_All]],"")</f>
        <v/>
      </c>
      <c r="X824" s="386" t="str">
        <f>TransTonsShort[[#This Row],[Grouping_ID]]&amp;"-"&amp;TransTonsShort[[#This Row],[Sector_ID]]</f>
        <v>2-3</v>
      </c>
      <c r="Y8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4" s="421">
        <f>INDEX(LandfillFees[Disposal Tip Fee 2025],MATCH(TransTonsShort[[#This Row],[Grouping_ID]],LandfillFees[Grouping_ID],0))</f>
        <v>72.030938699729589</v>
      </c>
      <c r="AA824" s="102">
        <f>IF(OR(TransTonsShort[[#This Row],[CollectionStream_ID]]="03",TransTonsShort[[#This Row],[CollectionStream_ID]]="04",TransTonsShort[[#This Row],[CollectionStream_ID]]="13"),0,TransTonsShort[[#This Row],[Trans_Tons_All]]*TransTonsShort[[#This Row],[Disposal_Fee]])</f>
        <v>0</v>
      </c>
    </row>
    <row r="825" spans="12:27" ht="15" x14ac:dyDescent="0.25">
      <c r="L825" s="446" t="s">
        <v>874</v>
      </c>
      <c r="M825" s="446">
        <v>3</v>
      </c>
      <c r="N825" s="446">
        <v>3</v>
      </c>
      <c r="O825" s="446" t="s">
        <v>752</v>
      </c>
      <c r="P825" s="449" t="s">
        <v>700</v>
      </c>
      <c r="Q825" s="449"/>
      <c r="R825" s="449"/>
      <c r="S825" s="449" t="s">
        <v>964</v>
      </c>
      <c r="T825" s="449" t="s">
        <v>701</v>
      </c>
      <c r="U825" s="452">
        <v>0</v>
      </c>
      <c r="V8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5" s="272" t="str">
        <f>IFERROR(SUMIFS(TransUnitCost[Miles],TransUnitCost[Grouping_ID],TransTonsShort[[#This Row],[Grouping_ID]],TransUnitCost[Transp_ID],TransTonsShort[[#This Row],[Transp_ID]])*TransTonsShort[[#This Row],[Trans_Tons_All]]/TransTonsShort[[#This Row],[Trans_Tons_All]],"")</f>
        <v/>
      </c>
      <c r="X825" s="386" t="str">
        <f>TransTonsShort[[#This Row],[Grouping_ID]]&amp;"-"&amp;TransTonsShort[[#This Row],[Sector_ID]]</f>
        <v>3-3</v>
      </c>
      <c r="Y8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5" s="421">
        <f>INDEX(LandfillFees[Disposal Tip Fee 2025],MATCH(TransTonsShort[[#This Row],[Grouping_ID]],LandfillFees[Grouping_ID],0))</f>
        <v>72.030938699729589</v>
      </c>
      <c r="AA825" s="102">
        <f>IF(OR(TransTonsShort[[#This Row],[CollectionStream_ID]]="03",TransTonsShort[[#This Row],[CollectionStream_ID]]="04",TransTonsShort[[#This Row],[CollectionStream_ID]]="13"),0,TransTonsShort[[#This Row],[Trans_Tons_All]]*TransTonsShort[[#This Row],[Disposal_Fee]])</f>
        <v>0</v>
      </c>
    </row>
    <row r="826" spans="12:27" ht="15" x14ac:dyDescent="0.25">
      <c r="L826" s="446" t="s">
        <v>874</v>
      </c>
      <c r="M826" s="446">
        <v>4</v>
      </c>
      <c r="N826" s="446">
        <v>3</v>
      </c>
      <c r="O826" s="446" t="s">
        <v>752</v>
      </c>
      <c r="P826" s="449" t="s">
        <v>700</v>
      </c>
      <c r="Q826" s="449"/>
      <c r="R826" s="449"/>
      <c r="S826" s="449" t="s">
        <v>964</v>
      </c>
      <c r="T826" s="449" t="s">
        <v>701</v>
      </c>
      <c r="U826" s="452">
        <v>0</v>
      </c>
      <c r="V8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6" s="272" t="str">
        <f>IFERROR(SUMIFS(TransUnitCost[Miles],TransUnitCost[Grouping_ID],TransTonsShort[[#This Row],[Grouping_ID]],TransUnitCost[Transp_ID],TransTonsShort[[#This Row],[Transp_ID]])*TransTonsShort[[#This Row],[Trans_Tons_All]]/TransTonsShort[[#This Row],[Trans_Tons_All]],"")</f>
        <v/>
      </c>
      <c r="X826" s="386" t="str">
        <f>TransTonsShort[[#This Row],[Grouping_ID]]&amp;"-"&amp;TransTonsShort[[#This Row],[Sector_ID]]</f>
        <v>4-3</v>
      </c>
      <c r="Y8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6" s="421">
        <f>INDEX(LandfillFees[Disposal Tip Fee 2025],MATCH(TransTonsShort[[#This Row],[Grouping_ID]],LandfillFees[Grouping_ID],0))</f>
        <v>72.030938699729589</v>
      </c>
      <c r="AA826" s="102">
        <f>IF(OR(TransTonsShort[[#This Row],[CollectionStream_ID]]="03",TransTonsShort[[#This Row],[CollectionStream_ID]]="04",TransTonsShort[[#This Row],[CollectionStream_ID]]="13"),0,TransTonsShort[[#This Row],[Trans_Tons_All]]*TransTonsShort[[#This Row],[Disposal_Fee]])</f>
        <v>0</v>
      </c>
    </row>
    <row r="827" spans="12:27" ht="15" x14ac:dyDescent="0.25">
      <c r="L827" s="446" t="s">
        <v>874</v>
      </c>
      <c r="M827" s="446">
        <v>1</v>
      </c>
      <c r="N827" s="446">
        <v>3</v>
      </c>
      <c r="O827" s="446" t="s">
        <v>752</v>
      </c>
      <c r="P827" s="449" t="s">
        <v>706</v>
      </c>
      <c r="Q827" s="449"/>
      <c r="R827" s="449"/>
      <c r="S827" s="449" t="s">
        <v>964</v>
      </c>
      <c r="T827" s="449" t="s">
        <v>1025</v>
      </c>
      <c r="U827" s="452">
        <v>0</v>
      </c>
      <c r="V8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27" s="272" t="str">
        <f>IFERROR(SUMIFS(TransUnitCost[Miles],TransUnitCost[Grouping_ID],TransTonsShort[[#This Row],[Grouping_ID]],TransUnitCost[Transp_ID],TransTonsShort[[#This Row],[Transp_ID]])*TransTonsShort[[#This Row],[Trans_Tons_All]]/TransTonsShort[[#This Row],[Trans_Tons_All]],"")</f>
        <v/>
      </c>
      <c r="X827" s="386" t="str">
        <f>TransTonsShort[[#This Row],[Grouping_ID]]&amp;"-"&amp;TransTonsShort[[#This Row],[Sector_ID]]</f>
        <v>1-3</v>
      </c>
      <c r="Y8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7" s="421">
        <f>INDEX(LandfillFees[Disposal Tip Fee 2025],MATCH(TransTonsShort[[#This Row],[Grouping_ID]],LandfillFees[Grouping_ID],0))</f>
        <v>134.68</v>
      </c>
      <c r="AA827" s="102">
        <f>IF(OR(TransTonsShort[[#This Row],[CollectionStream_ID]]="03",TransTonsShort[[#This Row],[CollectionStream_ID]]="04",TransTonsShort[[#This Row],[CollectionStream_ID]]="13"),0,TransTonsShort[[#This Row],[Trans_Tons_All]]*TransTonsShort[[#This Row],[Disposal_Fee]])</f>
        <v>0</v>
      </c>
    </row>
    <row r="828" spans="12:27" ht="15" x14ac:dyDescent="0.25">
      <c r="L828" s="446" t="s">
        <v>874</v>
      </c>
      <c r="M828" s="446">
        <v>2</v>
      </c>
      <c r="N828" s="446">
        <v>3</v>
      </c>
      <c r="O828" s="446" t="s">
        <v>752</v>
      </c>
      <c r="P828" s="449" t="s">
        <v>706</v>
      </c>
      <c r="Q828" s="449"/>
      <c r="R828" s="449"/>
      <c r="S828" s="449" t="s">
        <v>964</v>
      </c>
      <c r="T828" s="449" t="s">
        <v>1025</v>
      </c>
      <c r="U828" s="452">
        <v>367.78266139647616</v>
      </c>
      <c r="V8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10297.914519101332</v>
      </c>
      <c r="W828" s="272">
        <f>IFERROR(SUMIFS(TransUnitCost[Miles],TransUnitCost[Grouping_ID],TransTonsShort[[#This Row],[Grouping_ID]],TransUnitCost[Transp_ID],TransTonsShort[[#This Row],[Transp_ID]])*TransTonsShort[[#This Row],[Trans_Tons_All]]/TransTonsShort[[#This Row],[Trans_Tons_All]],"")</f>
        <v>70</v>
      </c>
      <c r="X828" s="386" t="str">
        <f>TransTonsShort[[#This Row],[Grouping_ID]]&amp;"-"&amp;TransTonsShort[[#This Row],[Sector_ID]]</f>
        <v>2-3</v>
      </c>
      <c r="Y8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8" s="421">
        <f>INDEX(LandfillFees[Disposal Tip Fee 2025],MATCH(TransTonsShort[[#This Row],[Grouping_ID]],LandfillFees[Grouping_ID],0))</f>
        <v>72.030938699729589</v>
      </c>
      <c r="AA828" s="102">
        <f>IF(OR(TransTonsShort[[#This Row],[CollectionStream_ID]]="03",TransTonsShort[[#This Row],[CollectionStream_ID]]="04",TransTonsShort[[#This Row],[CollectionStream_ID]]="13"),0,TransTonsShort[[#This Row],[Trans_Tons_All]]*TransTonsShort[[#This Row],[Disposal_Fee]])</f>
        <v>26491.730337872978</v>
      </c>
    </row>
    <row r="829" spans="12:27" ht="15" x14ac:dyDescent="0.25">
      <c r="L829" s="446" t="s">
        <v>874</v>
      </c>
      <c r="M829" s="446">
        <v>3</v>
      </c>
      <c r="N829" s="446">
        <v>3</v>
      </c>
      <c r="O829" s="446" t="s">
        <v>752</v>
      </c>
      <c r="P829" s="449" t="s">
        <v>706</v>
      </c>
      <c r="Q829" s="449"/>
      <c r="R829" s="449"/>
      <c r="S829" s="449" t="s">
        <v>964</v>
      </c>
      <c r="T829" s="449" t="s">
        <v>1025</v>
      </c>
      <c r="U829" s="452">
        <v>147.89399146491724</v>
      </c>
      <c r="V8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7764.4345519081544</v>
      </c>
      <c r="W829" s="272">
        <f>IFERROR(SUMIFS(TransUnitCost[Miles],TransUnitCost[Grouping_ID],TransTonsShort[[#This Row],[Grouping_ID]],TransUnitCost[Transp_ID],TransTonsShort[[#This Row],[Transp_ID]])*TransTonsShort[[#This Row],[Trans_Tons_All]]/TransTonsShort[[#This Row],[Trans_Tons_All]],"")</f>
        <v>150</v>
      </c>
      <c r="X829" s="386" t="str">
        <f>TransTonsShort[[#This Row],[Grouping_ID]]&amp;"-"&amp;TransTonsShort[[#This Row],[Sector_ID]]</f>
        <v>3-3</v>
      </c>
      <c r="Y8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29" s="421">
        <f>INDEX(LandfillFees[Disposal Tip Fee 2025],MATCH(TransTonsShort[[#This Row],[Grouping_ID]],LandfillFees[Grouping_ID],0))</f>
        <v>72.030938699729589</v>
      </c>
      <c r="AA829" s="102">
        <f>IF(OR(TransTonsShort[[#This Row],[CollectionStream_ID]]="03",TransTonsShort[[#This Row],[CollectionStream_ID]]="04",TransTonsShort[[#This Row],[CollectionStream_ID]]="13"),0,TransTonsShort[[#This Row],[Trans_Tons_All]]*TransTonsShort[[#This Row],[Disposal_Fee]])</f>
        <v>10652.943033267784</v>
      </c>
    </row>
    <row r="830" spans="12:27" ht="15" x14ac:dyDescent="0.25">
      <c r="L830" s="446" t="s">
        <v>874</v>
      </c>
      <c r="M830" s="446">
        <v>4</v>
      </c>
      <c r="N830" s="446">
        <v>3</v>
      </c>
      <c r="O830" s="446" t="s">
        <v>752</v>
      </c>
      <c r="P830" s="449" t="s">
        <v>706</v>
      </c>
      <c r="Q830" s="449"/>
      <c r="R830" s="449"/>
      <c r="S830" s="449" t="s">
        <v>964</v>
      </c>
      <c r="T830" s="449" t="s">
        <v>1025</v>
      </c>
      <c r="U830" s="452">
        <v>139.79439929823366</v>
      </c>
      <c r="V8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13979.439929823366</v>
      </c>
      <c r="W830" s="272">
        <f>IFERROR(SUMIFS(TransUnitCost[Miles],TransUnitCost[Grouping_ID],TransTonsShort[[#This Row],[Grouping_ID]],TransUnitCost[Transp_ID],TransTonsShort[[#This Row],[Transp_ID]])*TransTonsShort[[#This Row],[Trans_Tons_All]]/TransTonsShort[[#This Row],[Trans_Tons_All]],"")</f>
        <v>250</v>
      </c>
      <c r="X830" s="386" t="str">
        <f>TransTonsShort[[#This Row],[Grouping_ID]]&amp;"-"&amp;TransTonsShort[[#This Row],[Sector_ID]]</f>
        <v>4-3</v>
      </c>
      <c r="Y8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0" s="421">
        <f>INDEX(LandfillFees[Disposal Tip Fee 2025],MATCH(TransTonsShort[[#This Row],[Grouping_ID]],LandfillFees[Grouping_ID],0))</f>
        <v>72.030938699729589</v>
      </c>
      <c r="AA830" s="102">
        <f>IF(OR(TransTonsShort[[#This Row],[CollectionStream_ID]]="03",TransTonsShort[[#This Row],[CollectionStream_ID]]="04",TransTonsShort[[#This Row],[CollectionStream_ID]]="13"),0,TransTonsShort[[#This Row],[Trans_Tons_All]]*TransTonsShort[[#This Row],[Disposal_Fee]])</f>
        <v>10069.521806416589</v>
      </c>
    </row>
    <row r="831" spans="12:27" ht="15" x14ac:dyDescent="0.25">
      <c r="L831" s="446" t="s">
        <v>874</v>
      </c>
      <c r="M831" s="446">
        <v>1</v>
      </c>
      <c r="N831" s="446">
        <v>3</v>
      </c>
      <c r="O831" s="446" t="s">
        <v>750</v>
      </c>
      <c r="P831" s="449" t="s">
        <v>739</v>
      </c>
      <c r="Q831" s="449"/>
      <c r="R831" s="449"/>
      <c r="S831" s="449" t="s">
        <v>963</v>
      </c>
      <c r="T831" s="449" t="s">
        <v>1121</v>
      </c>
      <c r="U831" s="452">
        <v>3476.0354868932004</v>
      </c>
      <c r="V8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67435.088445728077</v>
      </c>
      <c r="W831" s="272">
        <f>IFERROR(SUMIFS(TransUnitCost[Miles],TransUnitCost[Grouping_ID],TransTonsShort[[#This Row],[Grouping_ID]],TransUnitCost[Transp_ID],TransTonsShort[[#This Row],[Transp_ID]])*TransTonsShort[[#This Row],[Trans_Tons_All]]/TransTonsShort[[#This Row],[Trans_Tons_All]],"")</f>
        <v>20</v>
      </c>
      <c r="X831" s="386" t="str">
        <f>TransTonsShort[[#This Row],[Grouping_ID]]&amp;"-"&amp;TransTonsShort[[#This Row],[Sector_ID]]</f>
        <v>1-3</v>
      </c>
      <c r="Y8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1" s="421">
        <f>INDEX(LandfillFees[Disposal Tip Fee 2025],MATCH(TransTonsShort[[#This Row],[Grouping_ID]],LandfillFees[Grouping_ID],0))</f>
        <v>134.68</v>
      </c>
      <c r="AA831" s="102">
        <f>IF(OR(TransTonsShort[[#This Row],[CollectionStream_ID]]="03",TransTonsShort[[#This Row],[CollectionStream_ID]]="04",TransTonsShort[[#This Row],[CollectionStream_ID]]="13"),0,TransTonsShort[[#This Row],[Trans_Tons_All]]*TransTonsShort[[#This Row],[Disposal_Fee]])</f>
        <v>468152.45937477623</v>
      </c>
    </row>
    <row r="832" spans="12:27" ht="15" x14ac:dyDescent="0.25">
      <c r="L832" s="446" t="s">
        <v>874</v>
      </c>
      <c r="M832" s="446">
        <v>2</v>
      </c>
      <c r="N832" s="446">
        <v>3</v>
      </c>
      <c r="O832" s="446" t="s">
        <v>750</v>
      </c>
      <c r="P832" s="449" t="s">
        <v>739</v>
      </c>
      <c r="Q832" s="449"/>
      <c r="R832" s="449"/>
      <c r="S832" s="449" t="s">
        <v>963</v>
      </c>
      <c r="T832" s="449" t="s">
        <v>1121</v>
      </c>
      <c r="U832" s="452">
        <v>868.74014737430389</v>
      </c>
      <c r="V8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35878.968086558751</v>
      </c>
      <c r="W832" s="272">
        <f>IFERROR(SUMIFS(TransUnitCost[Miles],TransUnitCost[Grouping_ID],TransTonsShort[[#This Row],[Grouping_ID]],TransUnitCost[Transp_ID],TransTonsShort[[#This Row],[Transp_ID]])*TransTonsShort[[#This Row],[Trans_Tons_All]]/TransTonsShort[[#This Row],[Trans_Tons_All]],"")</f>
        <v>70</v>
      </c>
      <c r="X832" s="386" t="str">
        <f>TransTonsShort[[#This Row],[Grouping_ID]]&amp;"-"&amp;TransTonsShort[[#This Row],[Sector_ID]]</f>
        <v>2-3</v>
      </c>
      <c r="Y8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2" s="421">
        <f>INDEX(LandfillFees[Disposal Tip Fee 2025],MATCH(TransTonsShort[[#This Row],[Grouping_ID]],LandfillFees[Grouping_ID],0))</f>
        <v>72.030938699729589</v>
      </c>
      <c r="AA832" s="102">
        <f>IF(OR(TransTonsShort[[#This Row],[CollectionStream_ID]]="03",TransTonsShort[[#This Row],[CollectionStream_ID]]="04",TransTonsShort[[#This Row],[CollectionStream_ID]]="13"),0,TransTonsShort[[#This Row],[Trans_Tons_All]]*TransTonsShort[[#This Row],[Disposal_Fee]])</f>
        <v>62576.168301512531</v>
      </c>
    </row>
    <row r="833" spans="12:27" ht="15" x14ac:dyDescent="0.25">
      <c r="L833" s="446" t="s">
        <v>874</v>
      </c>
      <c r="M833" s="446">
        <v>3</v>
      </c>
      <c r="N833" s="446">
        <v>3</v>
      </c>
      <c r="O833" s="446" t="s">
        <v>750</v>
      </c>
      <c r="P833" s="449" t="s">
        <v>739</v>
      </c>
      <c r="Q833" s="449"/>
      <c r="R833" s="449"/>
      <c r="S833" s="449" t="s">
        <v>963</v>
      </c>
      <c r="T833" s="449" t="s">
        <v>1121</v>
      </c>
      <c r="U833" s="452">
        <v>15.583113133856919</v>
      </c>
      <c r="V8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560.99207281884912</v>
      </c>
      <c r="W833" s="272">
        <f>IFERROR(SUMIFS(TransUnitCost[Miles],TransUnitCost[Grouping_ID],TransTonsShort[[#This Row],[Grouping_ID]],TransUnitCost[Transp_ID],TransTonsShort[[#This Row],[Transp_ID]])*TransTonsShort[[#This Row],[Trans_Tons_All]]/TransTonsShort[[#This Row],[Trans_Tons_All]],"")</f>
        <v>150</v>
      </c>
      <c r="X833" s="386" t="str">
        <f>TransTonsShort[[#This Row],[Grouping_ID]]&amp;"-"&amp;TransTonsShort[[#This Row],[Sector_ID]]</f>
        <v>3-3</v>
      </c>
      <c r="Y8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3" s="421">
        <f>INDEX(LandfillFees[Disposal Tip Fee 2025],MATCH(TransTonsShort[[#This Row],[Grouping_ID]],LandfillFees[Grouping_ID],0))</f>
        <v>72.030938699729589</v>
      </c>
      <c r="AA833" s="102">
        <f>IF(OR(TransTonsShort[[#This Row],[CollectionStream_ID]]="03",TransTonsShort[[#This Row],[CollectionStream_ID]]="04",TransTonsShort[[#This Row],[CollectionStream_ID]]="13"),0,TransTonsShort[[#This Row],[Trans_Tons_All]]*TransTonsShort[[#This Row],[Disposal_Fee]])</f>
        <v>1122.4662668957988</v>
      </c>
    </row>
    <row r="834" spans="12:27" ht="15" x14ac:dyDescent="0.25">
      <c r="L834" s="446" t="s">
        <v>874</v>
      </c>
      <c r="M834" s="446">
        <v>4</v>
      </c>
      <c r="N834" s="446">
        <v>3</v>
      </c>
      <c r="O834" s="446" t="s">
        <v>750</v>
      </c>
      <c r="P834" s="449" t="s">
        <v>739</v>
      </c>
      <c r="Q834" s="449"/>
      <c r="R834" s="449"/>
      <c r="S834" s="449" t="s">
        <v>963</v>
      </c>
      <c r="T834" s="449" t="s">
        <v>1121</v>
      </c>
      <c r="U834" s="452">
        <v>300.20272569462372</v>
      </c>
      <c r="V8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16511.149913204306</v>
      </c>
      <c r="W834" s="272">
        <f>IFERROR(SUMIFS(TransUnitCost[Miles],TransUnitCost[Grouping_ID],TransTonsShort[[#This Row],[Grouping_ID]],TransUnitCost[Transp_ID],TransTonsShort[[#This Row],[Transp_ID]])*TransTonsShort[[#This Row],[Trans_Tons_All]]/TransTonsShort[[#This Row],[Trans_Tons_All]],"")</f>
        <v>250</v>
      </c>
      <c r="X834" s="386" t="str">
        <f>TransTonsShort[[#This Row],[Grouping_ID]]&amp;"-"&amp;TransTonsShort[[#This Row],[Sector_ID]]</f>
        <v>4-3</v>
      </c>
      <c r="Y8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4" s="421">
        <f>INDEX(LandfillFees[Disposal Tip Fee 2025],MATCH(TransTonsShort[[#This Row],[Grouping_ID]],LandfillFees[Grouping_ID],0))</f>
        <v>72.030938699729589</v>
      </c>
      <c r="AA834" s="102">
        <f>IF(OR(TransTonsShort[[#This Row],[CollectionStream_ID]]="03",TransTonsShort[[#This Row],[CollectionStream_ID]]="04",TransTonsShort[[#This Row],[CollectionStream_ID]]="13"),0,TransTonsShort[[#This Row],[Trans_Tons_All]]*TransTonsShort[[#This Row],[Disposal_Fee]])</f>
        <v>21623.884132001178</v>
      </c>
    </row>
    <row r="835" spans="12:27" ht="15" x14ac:dyDescent="0.25">
      <c r="L835" s="446" t="s">
        <v>874</v>
      </c>
      <c r="M835" s="446">
        <v>1</v>
      </c>
      <c r="N835" s="446">
        <v>3</v>
      </c>
      <c r="O835" s="446" t="s">
        <v>750</v>
      </c>
      <c r="P835" s="450" t="s">
        <v>700</v>
      </c>
      <c r="Q835" s="450"/>
      <c r="R835" s="450"/>
      <c r="S835" s="449" t="s">
        <v>963</v>
      </c>
      <c r="T835" s="449" t="s">
        <v>701</v>
      </c>
      <c r="U835" s="452">
        <v>0</v>
      </c>
      <c r="V8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5" s="272" t="str">
        <f>IFERROR(SUMIFS(TransUnitCost[Miles],TransUnitCost[Grouping_ID],TransTonsShort[[#This Row],[Grouping_ID]],TransUnitCost[Transp_ID],TransTonsShort[[#This Row],[Transp_ID]])*TransTonsShort[[#This Row],[Trans_Tons_All]]/TransTonsShort[[#This Row],[Trans_Tons_All]],"")</f>
        <v/>
      </c>
      <c r="X835" s="386" t="str">
        <f>TransTonsShort[[#This Row],[Grouping_ID]]&amp;"-"&amp;TransTonsShort[[#This Row],[Sector_ID]]</f>
        <v>1-3</v>
      </c>
      <c r="Y8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5" s="421">
        <f>INDEX(LandfillFees[Disposal Tip Fee 2025],MATCH(TransTonsShort[[#This Row],[Grouping_ID]],LandfillFees[Grouping_ID],0))</f>
        <v>134.68</v>
      </c>
      <c r="AA835" s="102">
        <f>IF(OR(TransTonsShort[[#This Row],[CollectionStream_ID]]="03",TransTonsShort[[#This Row],[CollectionStream_ID]]="04",TransTonsShort[[#This Row],[CollectionStream_ID]]="13"),0,TransTonsShort[[#This Row],[Trans_Tons_All]]*TransTonsShort[[#This Row],[Disposal_Fee]])</f>
        <v>0</v>
      </c>
    </row>
    <row r="836" spans="12:27" ht="15" x14ac:dyDescent="0.25">
      <c r="L836" s="446" t="s">
        <v>874</v>
      </c>
      <c r="M836" s="446">
        <v>2</v>
      </c>
      <c r="N836" s="446">
        <v>3</v>
      </c>
      <c r="O836" s="446" t="s">
        <v>750</v>
      </c>
      <c r="P836" s="450" t="s">
        <v>700</v>
      </c>
      <c r="Q836" s="450"/>
      <c r="R836" s="450"/>
      <c r="S836" s="449" t="s">
        <v>963</v>
      </c>
      <c r="T836" s="449" t="s">
        <v>701</v>
      </c>
      <c r="U836" s="452">
        <v>0</v>
      </c>
      <c r="V8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6" s="272" t="str">
        <f>IFERROR(SUMIFS(TransUnitCost[Miles],TransUnitCost[Grouping_ID],TransTonsShort[[#This Row],[Grouping_ID]],TransUnitCost[Transp_ID],TransTonsShort[[#This Row],[Transp_ID]])*TransTonsShort[[#This Row],[Trans_Tons_All]]/TransTonsShort[[#This Row],[Trans_Tons_All]],"")</f>
        <v/>
      </c>
      <c r="X836" s="386" t="str">
        <f>TransTonsShort[[#This Row],[Grouping_ID]]&amp;"-"&amp;TransTonsShort[[#This Row],[Sector_ID]]</f>
        <v>2-3</v>
      </c>
      <c r="Y8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6" s="421">
        <f>INDEX(LandfillFees[Disposal Tip Fee 2025],MATCH(TransTonsShort[[#This Row],[Grouping_ID]],LandfillFees[Grouping_ID],0))</f>
        <v>72.030938699729589</v>
      </c>
      <c r="AA836" s="102">
        <f>IF(OR(TransTonsShort[[#This Row],[CollectionStream_ID]]="03",TransTonsShort[[#This Row],[CollectionStream_ID]]="04",TransTonsShort[[#This Row],[CollectionStream_ID]]="13"),0,TransTonsShort[[#This Row],[Trans_Tons_All]]*TransTonsShort[[#This Row],[Disposal_Fee]])</f>
        <v>0</v>
      </c>
    </row>
    <row r="837" spans="12:27" ht="15" x14ac:dyDescent="0.25">
      <c r="L837" s="446" t="s">
        <v>874</v>
      </c>
      <c r="M837" s="446">
        <v>3</v>
      </c>
      <c r="N837" s="446">
        <v>3</v>
      </c>
      <c r="O837" s="446" t="s">
        <v>750</v>
      </c>
      <c r="P837" s="450" t="s">
        <v>700</v>
      </c>
      <c r="Q837" s="450"/>
      <c r="R837" s="450"/>
      <c r="S837" s="449" t="s">
        <v>963</v>
      </c>
      <c r="T837" s="449" t="s">
        <v>701</v>
      </c>
      <c r="U837" s="452">
        <v>0</v>
      </c>
      <c r="V8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7" s="272" t="str">
        <f>IFERROR(SUMIFS(TransUnitCost[Miles],TransUnitCost[Grouping_ID],TransTonsShort[[#This Row],[Grouping_ID]],TransUnitCost[Transp_ID],TransTonsShort[[#This Row],[Transp_ID]])*TransTonsShort[[#This Row],[Trans_Tons_All]]/TransTonsShort[[#This Row],[Trans_Tons_All]],"")</f>
        <v/>
      </c>
      <c r="X837" s="386" t="str">
        <f>TransTonsShort[[#This Row],[Grouping_ID]]&amp;"-"&amp;TransTonsShort[[#This Row],[Sector_ID]]</f>
        <v>3-3</v>
      </c>
      <c r="Y8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7" s="421">
        <f>INDEX(LandfillFees[Disposal Tip Fee 2025],MATCH(TransTonsShort[[#This Row],[Grouping_ID]],LandfillFees[Grouping_ID],0))</f>
        <v>72.030938699729589</v>
      </c>
      <c r="AA837" s="102">
        <f>IF(OR(TransTonsShort[[#This Row],[CollectionStream_ID]]="03",TransTonsShort[[#This Row],[CollectionStream_ID]]="04",TransTonsShort[[#This Row],[CollectionStream_ID]]="13"),0,TransTonsShort[[#This Row],[Trans_Tons_All]]*TransTonsShort[[#This Row],[Disposal_Fee]])</f>
        <v>0</v>
      </c>
    </row>
    <row r="838" spans="12:27" ht="15" x14ac:dyDescent="0.25">
      <c r="L838" s="446" t="s">
        <v>874</v>
      </c>
      <c r="M838" s="446">
        <v>4</v>
      </c>
      <c r="N838" s="446">
        <v>3</v>
      </c>
      <c r="O838" s="446" t="s">
        <v>750</v>
      </c>
      <c r="P838" s="450" t="s">
        <v>700</v>
      </c>
      <c r="Q838" s="450"/>
      <c r="R838" s="450"/>
      <c r="S838" s="449" t="s">
        <v>963</v>
      </c>
      <c r="T838" s="449" t="s">
        <v>701</v>
      </c>
      <c r="U838" s="452">
        <v>0</v>
      </c>
      <c r="V8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8" s="272" t="str">
        <f>IFERROR(SUMIFS(TransUnitCost[Miles],TransUnitCost[Grouping_ID],TransTonsShort[[#This Row],[Grouping_ID]],TransUnitCost[Transp_ID],TransTonsShort[[#This Row],[Transp_ID]])*TransTonsShort[[#This Row],[Trans_Tons_All]]/TransTonsShort[[#This Row],[Trans_Tons_All]],"")</f>
        <v/>
      </c>
      <c r="X838" s="386" t="str">
        <f>TransTonsShort[[#This Row],[Grouping_ID]]&amp;"-"&amp;TransTonsShort[[#This Row],[Sector_ID]]</f>
        <v>4-3</v>
      </c>
      <c r="Y8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38" s="421">
        <f>INDEX(LandfillFees[Disposal Tip Fee 2025],MATCH(TransTonsShort[[#This Row],[Grouping_ID]],LandfillFees[Grouping_ID],0))</f>
        <v>72.030938699729589</v>
      </c>
      <c r="AA838" s="102">
        <f>IF(OR(TransTonsShort[[#This Row],[CollectionStream_ID]]="03",TransTonsShort[[#This Row],[CollectionStream_ID]]="04",TransTonsShort[[#This Row],[CollectionStream_ID]]="13"),0,TransTonsShort[[#This Row],[Trans_Tons_All]]*TransTonsShort[[#This Row],[Disposal_Fee]])</f>
        <v>0</v>
      </c>
    </row>
    <row r="839" spans="12:27" ht="15" x14ac:dyDescent="0.25">
      <c r="L839" s="446" t="s">
        <v>873</v>
      </c>
      <c r="M839" s="446">
        <v>1</v>
      </c>
      <c r="N839" s="446">
        <v>3</v>
      </c>
      <c r="O839" s="446" t="s">
        <v>700</v>
      </c>
      <c r="P839" s="449" t="s">
        <v>719</v>
      </c>
      <c r="Q839" s="449"/>
      <c r="R839" s="449"/>
      <c r="S839" s="449" t="s">
        <v>872</v>
      </c>
      <c r="T839" s="449" t="s">
        <v>1055</v>
      </c>
      <c r="U839" s="452">
        <v>0</v>
      </c>
      <c r="V8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39" s="272" t="str">
        <f>IFERROR(SUMIFS(TransUnitCost[Miles],TransUnitCost[Grouping_ID],TransTonsShort[[#This Row],[Grouping_ID]],TransUnitCost[Transp_ID],TransTonsShort[[#This Row],[Transp_ID]])*TransTonsShort[[#This Row],[Trans_Tons_All]]/TransTonsShort[[#This Row],[Trans_Tons_All]],"")</f>
        <v/>
      </c>
      <c r="X839" s="386" t="str">
        <f>TransTonsShort[[#This Row],[Grouping_ID]]&amp;"-"&amp;TransTonsShort[[#This Row],[Sector_ID]]</f>
        <v>1-3</v>
      </c>
      <c r="Y8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39" s="421">
        <f>INDEX(LandfillFees[Disposal Tip Fee 2025],MATCH(TransTonsShort[[#This Row],[Grouping_ID]],LandfillFees[Grouping_ID],0))</f>
        <v>134.68</v>
      </c>
      <c r="AA839" s="102">
        <f>IF(OR(TransTonsShort[[#This Row],[CollectionStream_ID]]="03",TransTonsShort[[#This Row],[CollectionStream_ID]]="04",TransTonsShort[[#This Row],[CollectionStream_ID]]="13"),0,TransTonsShort[[#This Row],[Trans_Tons_All]]*TransTonsShort[[#This Row],[Disposal_Fee]])</f>
        <v>0</v>
      </c>
    </row>
    <row r="840" spans="12:27" ht="15" x14ac:dyDescent="0.25">
      <c r="L840" s="446" t="s">
        <v>873</v>
      </c>
      <c r="M840" s="446">
        <v>2</v>
      </c>
      <c r="N840" s="446">
        <v>3</v>
      </c>
      <c r="O840" s="446" t="s">
        <v>700</v>
      </c>
      <c r="P840" s="449" t="s">
        <v>719</v>
      </c>
      <c r="Q840" s="449"/>
      <c r="R840" s="449"/>
      <c r="S840" s="449" t="s">
        <v>872</v>
      </c>
      <c r="T840" s="449" t="s">
        <v>1055</v>
      </c>
      <c r="U840" s="452">
        <v>0</v>
      </c>
      <c r="V8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0" s="272" t="str">
        <f>IFERROR(SUMIFS(TransUnitCost[Miles],TransUnitCost[Grouping_ID],TransTonsShort[[#This Row],[Grouping_ID]],TransUnitCost[Transp_ID],TransTonsShort[[#This Row],[Transp_ID]])*TransTonsShort[[#This Row],[Trans_Tons_All]]/TransTonsShort[[#This Row],[Trans_Tons_All]],"")</f>
        <v/>
      </c>
      <c r="X840" s="386" t="str">
        <f>TransTonsShort[[#This Row],[Grouping_ID]]&amp;"-"&amp;TransTonsShort[[#This Row],[Sector_ID]]</f>
        <v>2-3</v>
      </c>
      <c r="Y8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0" s="421">
        <f>INDEX(LandfillFees[Disposal Tip Fee 2025],MATCH(TransTonsShort[[#This Row],[Grouping_ID]],LandfillFees[Grouping_ID],0))</f>
        <v>72.030938699729589</v>
      </c>
      <c r="AA840" s="102">
        <f>IF(OR(TransTonsShort[[#This Row],[CollectionStream_ID]]="03",TransTonsShort[[#This Row],[CollectionStream_ID]]="04",TransTonsShort[[#This Row],[CollectionStream_ID]]="13"),0,TransTonsShort[[#This Row],[Trans_Tons_All]]*TransTonsShort[[#This Row],[Disposal_Fee]])</f>
        <v>0</v>
      </c>
    </row>
    <row r="841" spans="12:27" ht="15" x14ac:dyDescent="0.25">
      <c r="L841" s="446" t="s">
        <v>873</v>
      </c>
      <c r="M841" s="446">
        <v>3</v>
      </c>
      <c r="N841" s="446">
        <v>3</v>
      </c>
      <c r="O841" s="446" t="s">
        <v>700</v>
      </c>
      <c r="P841" s="449" t="s">
        <v>719</v>
      </c>
      <c r="Q841" s="449"/>
      <c r="R841" s="449"/>
      <c r="S841" s="449" t="s">
        <v>872</v>
      </c>
      <c r="T841" s="449" t="s">
        <v>1055</v>
      </c>
      <c r="U841" s="452">
        <v>0</v>
      </c>
      <c r="V8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1" s="272" t="str">
        <f>IFERROR(SUMIFS(TransUnitCost[Miles],TransUnitCost[Grouping_ID],TransTonsShort[[#This Row],[Grouping_ID]],TransUnitCost[Transp_ID],TransTonsShort[[#This Row],[Transp_ID]])*TransTonsShort[[#This Row],[Trans_Tons_All]]/TransTonsShort[[#This Row],[Trans_Tons_All]],"")</f>
        <v/>
      </c>
      <c r="X841" s="386" t="str">
        <f>TransTonsShort[[#This Row],[Grouping_ID]]&amp;"-"&amp;TransTonsShort[[#This Row],[Sector_ID]]</f>
        <v>3-3</v>
      </c>
      <c r="Y8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1" s="421">
        <f>INDEX(LandfillFees[Disposal Tip Fee 2025],MATCH(TransTonsShort[[#This Row],[Grouping_ID]],LandfillFees[Grouping_ID],0))</f>
        <v>72.030938699729589</v>
      </c>
      <c r="AA841" s="102">
        <f>IF(OR(TransTonsShort[[#This Row],[CollectionStream_ID]]="03",TransTonsShort[[#This Row],[CollectionStream_ID]]="04",TransTonsShort[[#This Row],[CollectionStream_ID]]="13"),0,TransTonsShort[[#This Row],[Trans_Tons_All]]*TransTonsShort[[#This Row],[Disposal_Fee]])</f>
        <v>0</v>
      </c>
    </row>
    <row r="842" spans="12:27" ht="15" x14ac:dyDescent="0.25">
      <c r="L842" s="446" t="s">
        <v>873</v>
      </c>
      <c r="M842" s="446">
        <v>4</v>
      </c>
      <c r="N842" s="446">
        <v>3</v>
      </c>
      <c r="O842" s="446" t="s">
        <v>700</v>
      </c>
      <c r="P842" s="449" t="s">
        <v>719</v>
      </c>
      <c r="Q842" s="449"/>
      <c r="R842" s="449"/>
      <c r="S842" s="449" t="s">
        <v>872</v>
      </c>
      <c r="T842" s="449" t="s">
        <v>1055</v>
      </c>
      <c r="U842" s="452">
        <v>0</v>
      </c>
      <c r="V8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2" s="272" t="str">
        <f>IFERROR(SUMIFS(TransUnitCost[Miles],TransUnitCost[Grouping_ID],TransTonsShort[[#This Row],[Grouping_ID]],TransUnitCost[Transp_ID],TransTonsShort[[#This Row],[Transp_ID]])*TransTonsShort[[#This Row],[Trans_Tons_All]]/TransTonsShort[[#This Row],[Trans_Tons_All]],"")</f>
        <v/>
      </c>
      <c r="X842" s="386" t="str">
        <f>TransTonsShort[[#This Row],[Grouping_ID]]&amp;"-"&amp;TransTonsShort[[#This Row],[Sector_ID]]</f>
        <v>4-3</v>
      </c>
      <c r="Y8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2" s="421">
        <f>INDEX(LandfillFees[Disposal Tip Fee 2025],MATCH(TransTonsShort[[#This Row],[Grouping_ID]],LandfillFees[Grouping_ID],0))</f>
        <v>72.030938699729589</v>
      </c>
      <c r="AA842" s="102">
        <f>IF(OR(TransTonsShort[[#This Row],[CollectionStream_ID]]="03",TransTonsShort[[#This Row],[CollectionStream_ID]]="04",TransTonsShort[[#This Row],[CollectionStream_ID]]="13"),0,TransTonsShort[[#This Row],[Trans_Tons_All]]*TransTonsShort[[#This Row],[Disposal_Fee]])</f>
        <v>0</v>
      </c>
    </row>
    <row r="843" spans="12:27" ht="15" x14ac:dyDescent="0.25">
      <c r="L843" s="446" t="s">
        <v>873</v>
      </c>
      <c r="M843" s="446">
        <v>1</v>
      </c>
      <c r="N843" s="446">
        <v>3</v>
      </c>
      <c r="O843" s="446" t="s">
        <v>700</v>
      </c>
      <c r="P843" s="449" t="s">
        <v>700</v>
      </c>
      <c r="Q843" s="449"/>
      <c r="R843" s="449"/>
      <c r="S843" s="449" t="s">
        <v>872</v>
      </c>
      <c r="T843" s="449" t="s">
        <v>701</v>
      </c>
      <c r="U843" s="452">
        <v>107193.26298952078</v>
      </c>
      <c r="V8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3" s="272">
        <f>IFERROR(SUMIFS(TransUnitCost[Miles],TransUnitCost[Grouping_ID],TransTonsShort[[#This Row],[Grouping_ID]],TransUnitCost[Transp_ID],TransTonsShort[[#This Row],[Transp_ID]])*TransTonsShort[[#This Row],[Trans_Tons_All]]/TransTonsShort[[#This Row],[Trans_Tons_All]],"")</f>
        <v>0</v>
      </c>
      <c r="X843" s="386" t="str">
        <f>TransTonsShort[[#This Row],[Grouping_ID]]&amp;"-"&amp;TransTonsShort[[#This Row],[Sector_ID]]</f>
        <v>1-3</v>
      </c>
      <c r="Y8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3" s="421">
        <f>INDEX(LandfillFees[Disposal Tip Fee 2025],MATCH(TransTonsShort[[#This Row],[Grouping_ID]],LandfillFees[Grouping_ID],0))</f>
        <v>134.68</v>
      </c>
      <c r="AA843" s="102">
        <f>IF(OR(TransTonsShort[[#This Row],[CollectionStream_ID]]="03",TransTonsShort[[#This Row],[CollectionStream_ID]]="04",TransTonsShort[[#This Row],[CollectionStream_ID]]="13"),0,TransTonsShort[[#This Row],[Trans_Tons_All]]*TransTonsShort[[#This Row],[Disposal_Fee]])</f>
        <v>14436788.65942866</v>
      </c>
    </row>
    <row r="844" spans="12:27" ht="15" x14ac:dyDescent="0.25">
      <c r="L844" s="446" t="s">
        <v>873</v>
      </c>
      <c r="M844" s="446">
        <v>2</v>
      </c>
      <c r="N844" s="446">
        <v>3</v>
      </c>
      <c r="O844" s="446" t="s">
        <v>700</v>
      </c>
      <c r="P844" s="449" t="s">
        <v>700</v>
      </c>
      <c r="Q844" s="449"/>
      <c r="R844" s="449"/>
      <c r="S844" s="449" t="s">
        <v>872</v>
      </c>
      <c r="T844" s="449" t="s">
        <v>701</v>
      </c>
      <c r="U844" s="452">
        <v>54221.915581745896</v>
      </c>
      <c r="V8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4" s="272">
        <f>IFERROR(SUMIFS(TransUnitCost[Miles],TransUnitCost[Grouping_ID],TransTonsShort[[#This Row],[Grouping_ID]],TransUnitCost[Transp_ID],TransTonsShort[[#This Row],[Transp_ID]])*TransTonsShort[[#This Row],[Trans_Tons_All]]/TransTonsShort[[#This Row],[Trans_Tons_All]],"")</f>
        <v>0</v>
      </c>
      <c r="X844" s="386" t="str">
        <f>TransTonsShort[[#This Row],[Grouping_ID]]&amp;"-"&amp;TransTonsShort[[#This Row],[Sector_ID]]</f>
        <v>2-3</v>
      </c>
      <c r="Y8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4" s="421">
        <f>INDEX(LandfillFees[Disposal Tip Fee 2025],MATCH(TransTonsShort[[#This Row],[Grouping_ID]],LandfillFees[Grouping_ID],0))</f>
        <v>72.030938699729589</v>
      </c>
      <c r="AA844" s="102">
        <f>IF(OR(TransTonsShort[[#This Row],[CollectionStream_ID]]="03",TransTonsShort[[#This Row],[CollectionStream_ID]]="04",TransTonsShort[[#This Row],[CollectionStream_ID]]="13"),0,TransTonsShort[[#This Row],[Trans_Tons_All]]*TransTonsShort[[#This Row],[Disposal_Fee]])</f>
        <v>3905655.4774506511</v>
      </c>
    </row>
    <row r="845" spans="12:27" ht="15" x14ac:dyDescent="0.25">
      <c r="L845" s="446" t="s">
        <v>873</v>
      </c>
      <c r="M845" s="446">
        <v>3</v>
      </c>
      <c r="N845" s="446">
        <v>3</v>
      </c>
      <c r="O845" s="446" t="s">
        <v>700</v>
      </c>
      <c r="P845" s="449" t="s">
        <v>700</v>
      </c>
      <c r="Q845" s="449"/>
      <c r="R845" s="449"/>
      <c r="S845" s="449" t="s">
        <v>872</v>
      </c>
      <c r="T845" s="449" t="s">
        <v>701</v>
      </c>
      <c r="U845" s="452">
        <v>0</v>
      </c>
      <c r="V8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5" s="272" t="str">
        <f>IFERROR(SUMIFS(TransUnitCost[Miles],TransUnitCost[Grouping_ID],TransTonsShort[[#This Row],[Grouping_ID]],TransUnitCost[Transp_ID],TransTonsShort[[#This Row],[Transp_ID]])*TransTonsShort[[#This Row],[Trans_Tons_All]]/TransTonsShort[[#This Row],[Trans_Tons_All]],"")</f>
        <v/>
      </c>
      <c r="X845" s="386" t="str">
        <f>TransTonsShort[[#This Row],[Grouping_ID]]&amp;"-"&amp;TransTonsShort[[#This Row],[Sector_ID]]</f>
        <v>3-3</v>
      </c>
      <c r="Y8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5" s="421">
        <f>INDEX(LandfillFees[Disposal Tip Fee 2025],MATCH(TransTonsShort[[#This Row],[Grouping_ID]],LandfillFees[Grouping_ID],0))</f>
        <v>72.030938699729589</v>
      </c>
      <c r="AA845" s="102">
        <f>IF(OR(TransTonsShort[[#This Row],[CollectionStream_ID]]="03",TransTonsShort[[#This Row],[CollectionStream_ID]]="04",TransTonsShort[[#This Row],[CollectionStream_ID]]="13"),0,TransTonsShort[[#This Row],[Trans_Tons_All]]*TransTonsShort[[#This Row],[Disposal_Fee]])</f>
        <v>0</v>
      </c>
    </row>
    <row r="846" spans="12:27" ht="15" x14ac:dyDescent="0.25">
      <c r="L846" s="446" t="s">
        <v>873</v>
      </c>
      <c r="M846" s="446">
        <v>4</v>
      </c>
      <c r="N846" s="446">
        <v>3</v>
      </c>
      <c r="O846" s="446" t="s">
        <v>700</v>
      </c>
      <c r="P846" s="449" t="s">
        <v>700</v>
      </c>
      <c r="Q846" s="449"/>
      <c r="R846" s="449"/>
      <c r="S846" s="449" t="s">
        <v>872</v>
      </c>
      <c r="T846" s="449" t="s">
        <v>701</v>
      </c>
      <c r="U846" s="452">
        <v>0</v>
      </c>
      <c r="V8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46" s="272" t="str">
        <f>IFERROR(SUMIFS(TransUnitCost[Miles],TransUnitCost[Grouping_ID],TransTonsShort[[#This Row],[Grouping_ID]],TransUnitCost[Transp_ID],TransTonsShort[[#This Row],[Transp_ID]])*TransTonsShort[[#This Row],[Trans_Tons_All]]/TransTonsShort[[#This Row],[Trans_Tons_All]],"")</f>
        <v/>
      </c>
      <c r="X846" s="386" t="str">
        <f>TransTonsShort[[#This Row],[Grouping_ID]]&amp;"-"&amp;TransTonsShort[[#This Row],[Sector_ID]]</f>
        <v>4-3</v>
      </c>
      <c r="Y8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6" s="421">
        <f>INDEX(LandfillFees[Disposal Tip Fee 2025],MATCH(TransTonsShort[[#This Row],[Grouping_ID]],LandfillFees[Grouping_ID],0))</f>
        <v>72.030938699729589</v>
      </c>
      <c r="AA846" s="102">
        <f>IF(OR(TransTonsShort[[#This Row],[CollectionStream_ID]]="03",TransTonsShort[[#This Row],[CollectionStream_ID]]="04",TransTonsShort[[#This Row],[CollectionStream_ID]]="13"),0,TransTonsShort[[#This Row],[Trans_Tons_All]]*TransTonsShort[[#This Row],[Disposal_Fee]])</f>
        <v>0</v>
      </c>
    </row>
    <row r="847" spans="12:27" ht="15" x14ac:dyDescent="0.25">
      <c r="L847" s="446" t="s">
        <v>873</v>
      </c>
      <c r="M847" s="446">
        <v>1</v>
      </c>
      <c r="N847" s="446">
        <v>3</v>
      </c>
      <c r="O847" s="446" t="s">
        <v>700</v>
      </c>
      <c r="P847" s="449" t="s">
        <v>706</v>
      </c>
      <c r="Q847" s="449"/>
      <c r="R847" s="449"/>
      <c r="S847" s="449" t="s">
        <v>872</v>
      </c>
      <c r="T847" s="449" t="s">
        <v>1025</v>
      </c>
      <c r="U847" s="452">
        <v>6842.1231695438792</v>
      </c>
      <c r="V8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136842.46339087759</v>
      </c>
      <c r="W847" s="272">
        <f>IFERROR(SUMIFS(TransUnitCost[Miles],TransUnitCost[Grouping_ID],TransTonsShort[[#This Row],[Grouping_ID]],TransUnitCost[Transp_ID],TransTonsShort[[#This Row],[Transp_ID]])*TransTonsShort[[#This Row],[Trans_Tons_All]]/TransTonsShort[[#This Row],[Trans_Tons_All]],"")</f>
        <v>20</v>
      </c>
      <c r="X847" s="386" t="str">
        <f>TransTonsShort[[#This Row],[Grouping_ID]]&amp;"-"&amp;TransTonsShort[[#This Row],[Sector_ID]]</f>
        <v>1-3</v>
      </c>
      <c r="Y8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7" s="421">
        <f>INDEX(LandfillFees[Disposal Tip Fee 2025],MATCH(TransTonsShort[[#This Row],[Grouping_ID]],LandfillFees[Grouping_ID],0))</f>
        <v>134.68</v>
      </c>
      <c r="AA847" s="102">
        <f>IF(OR(TransTonsShort[[#This Row],[CollectionStream_ID]]="03",TransTonsShort[[#This Row],[CollectionStream_ID]]="04",TransTonsShort[[#This Row],[CollectionStream_ID]]="13"),0,TransTonsShort[[#This Row],[Trans_Tons_All]]*TransTonsShort[[#This Row],[Disposal_Fee]])</f>
        <v>921497.14847416966</v>
      </c>
    </row>
    <row r="848" spans="12:27" ht="15" x14ac:dyDescent="0.25">
      <c r="L848" s="446" t="s">
        <v>873</v>
      </c>
      <c r="M848" s="446">
        <v>2</v>
      </c>
      <c r="N848" s="446">
        <v>3</v>
      </c>
      <c r="O848" s="446" t="s">
        <v>700</v>
      </c>
      <c r="P848" s="449" t="s">
        <v>706</v>
      </c>
      <c r="Q848" s="449"/>
      <c r="R848" s="449"/>
      <c r="S848" s="449" t="s">
        <v>872</v>
      </c>
      <c r="T848" s="449" t="s">
        <v>1025</v>
      </c>
      <c r="U848" s="452">
        <v>20054.681105577252</v>
      </c>
      <c r="V8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561531.07095616311</v>
      </c>
      <c r="W848" s="272">
        <f>IFERROR(SUMIFS(TransUnitCost[Miles],TransUnitCost[Grouping_ID],TransTonsShort[[#This Row],[Grouping_ID]],TransUnitCost[Transp_ID],TransTonsShort[[#This Row],[Transp_ID]])*TransTonsShort[[#This Row],[Trans_Tons_All]]/TransTonsShort[[#This Row],[Trans_Tons_All]],"")</f>
        <v>70</v>
      </c>
      <c r="X848" s="386" t="str">
        <f>TransTonsShort[[#This Row],[Grouping_ID]]&amp;"-"&amp;TransTonsShort[[#This Row],[Sector_ID]]</f>
        <v>2-3</v>
      </c>
      <c r="Y8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8" s="421">
        <f>INDEX(LandfillFees[Disposal Tip Fee 2025],MATCH(TransTonsShort[[#This Row],[Grouping_ID]],LandfillFees[Grouping_ID],0))</f>
        <v>72.030938699729589</v>
      </c>
      <c r="AA848" s="102">
        <f>IF(OR(TransTonsShort[[#This Row],[CollectionStream_ID]]="03",TransTonsShort[[#This Row],[CollectionStream_ID]]="04",TransTonsShort[[#This Row],[CollectionStream_ID]]="13"),0,TransTonsShort[[#This Row],[Trans_Tons_All]]*TransTonsShort[[#This Row],[Disposal_Fee]])</f>
        <v>1444557.5053584604</v>
      </c>
    </row>
    <row r="849" spans="12:27" ht="15" x14ac:dyDescent="0.25">
      <c r="L849" s="446" t="s">
        <v>873</v>
      </c>
      <c r="M849" s="446">
        <v>3</v>
      </c>
      <c r="N849" s="446">
        <v>3</v>
      </c>
      <c r="O849" s="446" t="s">
        <v>700</v>
      </c>
      <c r="P849" s="449" t="s">
        <v>706</v>
      </c>
      <c r="Q849" s="449"/>
      <c r="R849" s="449"/>
      <c r="S849" s="449" t="s">
        <v>872</v>
      </c>
      <c r="T849" s="449" t="s">
        <v>1025</v>
      </c>
      <c r="U849" s="452">
        <v>28383.008323313865</v>
      </c>
      <c r="V8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1490107.9369739778</v>
      </c>
      <c r="W849" s="272">
        <f>IFERROR(SUMIFS(TransUnitCost[Miles],TransUnitCost[Grouping_ID],TransTonsShort[[#This Row],[Grouping_ID]],TransUnitCost[Transp_ID],TransTonsShort[[#This Row],[Transp_ID]])*TransTonsShort[[#This Row],[Trans_Tons_All]]/TransTonsShort[[#This Row],[Trans_Tons_All]],"")</f>
        <v>150</v>
      </c>
      <c r="X849" s="386" t="str">
        <f>TransTonsShort[[#This Row],[Grouping_ID]]&amp;"-"&amp;TransTonsShort[[#This Row],[Sector_ID]]</f>
        <v>3-3</v>
      </c>
      <c r="Y8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49" s="421">
        <f>INDEX(LandfillFees[Disposal Tip Fee 2025],MATCH(TransTonsShort[[#This Row],[Grouping_ID]],LandfillFees[Grouping_ID],0))</f>
        <v>72.030938699729589</v>
      </c>
      <c r="AA849" s="102">
        <f>IF(OR(TransTonsShort[[#This Row],[CollectionStream_ID]]="03",TransTonsShort[[#This Row],[CollectionStream_ID]]="04",TransTonsShort[[#This Row],[CollectionStream_ID]]="13"),0,TransTonsShort[[#This Row],[Trans_Tons_All]]*TransTonsShort[[#This Row],[Disposal_Fee]])</f>
        <v>2044454.7326505356</v>
      </c>
    </row>
    <row r="850" spans="12:27" ht="15" x14ac:dyDescent="0.25">
      <c r="L850" s="446" t="s">
        <v>873</v>
      </c>
      <c r="M850" s="446">
        <v>4</v>
      </c>
      <c r="N850" s="446">
        <v>3</v>
      </c>
      <c r="O850" s="446" t="s">
        <v>700</v>
      </c>
      <c r="P850" s="449" t="s">
        <v>706</v>
      </c>
      <c r="Q850" s="449"/>
      <c r="R850" s="449"/>
      <c r="S850" s="449" t="s">
        <v>872</v>
      </c>
      <c r="T850" s="449" t="s">
        <v>1025</v>
      </c>
      <c r="U850" s="452">
        <v>13559.980129247597</v>
      </c>
      <c r="V8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1355998.0129247596</v>
      </c>
      <c r="W850" s="272">
        <f>IFERROR(SUMIFS(TransUnitCost[Miles],TransUnitCost[Grouping_ID],TransTonsShort[[#This Row],[Grouping_ID]],TransUnitCost[Transp_ID],TransTonsShort[[#This Row],[Transp_ID]])*TransTonsShort[[#This Row],[Trans_Tons_All]]/TransTonsShort[[#This Row],[Trans_Tons_All]],"")</f>
        <v>250</v>
      </c>
      <c r="X850" s="386" t="str">
        <f>TransTonsShort[[#This Row],[Grouping_ID]]&amp;"-"&amp;TransTonsShort[[#This Row],[Sector_ID]]</f>
        <v>4-3</v>
      </c>
      <c r="Y8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0" s="421">
        <f>INDEX(LandfillFees[Disposal Tip Fee 2025],MATCH(TransTonsShort[[#This Row],[Grouping_ID]],LandfillFees[Grouping_ID],0))</f>
        <v>72.030938699729589</v>
      </c>
      <c r="AA850" s="102">
        <f>IF(OR(TransTonsShort[[#This Row],[CollectionStream_ID]]="03",TransTonsShort[[#This Row],[CollectionStream_ID]]="04",TransTonsShort[[#This Row],[CollectionStream_ID]]="13"),0,TransTonsShort[[#This Row],[Trans_Tons_All]]*TransTonsShort[[#This Row],[Disposal_Fee]])</f>
        <v>976738.09745938494</v>
      </c>
    </row>
    <row r="851" spans="12:27" ht="15" x14ac:dyDescent="0.25">
      <c r="L851" s="446" t="s">
        <v>873</v>
      </c>
      <c r="M851" s="446">
        <v>1</v>
      </c>
      <c r="N851" s="446">
        <v>3</v>
      </c>
      <c r="O851" s="446" t="s">
        <v>748</v>
      </c>
      <c r="P851" s="449" t="s">
        <v>719</v>
      </c>
      <c r="Q851" s="449"/>
      <c r="R851" s="449"/>
      <c r="S851" s="449" t="s">
        <v>765</v>
      </c>
      <c r="T851" s="449" t="s">
        <v>1055</v>
      </c>
      <c r="U851" s="452">
        <v>0</v>
      </c>
      <c r="V8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1" s="272" t="str">
        <f>IFERROR(SUMIFS(TransUnitCost[Miles],TransUnitCost[Grouping_ID],TransTonsShort[[#This Row],[Grouping_ID]],TransUnitCost[Transp_ID],TransTonsShort[[#This Row],[Transp_ID]])*TransTonsShort[[#This Row],[Trans_Tons_All]]/TransTonsShort[[#This Row],[Trans_Tons_All]],"")</f>
        <v/>
      </c>
      <c r="X851" s="386" t="str">
        <f>TransTonsShort[[#This Row],[Grouping_ID]]&amp;"-"&amp;TransTonsShort[[#This Row],[Sector_ID]]</f>
        <v>1-3</v>
      </c>
      <c r="Y8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1" s="421">
        <f>INDEX(LandfillFees[Disposal Tip Fee 2025],MATCH(TransTonsShort[[#This Row],[Grouping_ID]],LandfillFees[Grouping_ID],0))</f>
        <v>134.68</v>
      </c>
      <c r="AA851" s="102">
        <f>IF(OR(TransTonsShort[[#This Row],[CollectionStream_ID]]="03",TransTonsShort[[#This Row],[CollectionStream_ID]]="04",TransTonsShort[[#This Row],[CollectionStream_ID]]="13"),0,TransTonsShort[[#This Row],[Trans_Tons_All]]*TransTonsShort[[#This Row],[Disposal_Fee]])</f>
        <v>0</v>
      </c>
    </row>
    <row r="852" spans="12:27" ht="15" x14ac:dyDescent="0.25">
      <c r="L852" s="446" t="s">
        <v>873</v>
      </c>
      <c r="M852" s="446">
        <v>2</v>
      </c>
      <c r="N852" s="446">
        <v>3</v>
      </c>
      <c r="O852" s="446" t="s">
        <v>748</v>
      </c>
      <c r="P852" s="449" t="s">
        <v>719</v>
      </c>
      <c r="Q852" s="449"/>
      <c r="R852" s="449"/>
      <c r="S852" s="449" t="s">
        <v>765</v>
      </c>
      <c r="T852" s="449" t="s">
        <v>1055</v>
      </c>
      <c r="U852" s="452">
        <v>0</v>
      </c>
      <c r="V8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2" s="272" t="str">
        <f>IFERROR(SUMIFS(TransUnitCost[Miles],TransUnitCost[Grouping_ID],TransTonsShort[[#This Row],[Grouping_ID]],TransUnitCost[Transp_ID],TransTonsShort[[#This Row],[Transp_ID]])*TransTonsShort[[#This Row],[Trans_Tons_All]]/TransTonsShort[[#This Row],[Trans_Tons_All]],"")</f>
        <v/>
      </c>
      <c r="X852" s="386" t="str">
        <f>TransTonsShort[[#This Row],[Grouping_ID]]&amp;"-"&amp;TransTonsShort[[#This Row],[Sector_ID]]</f>
        <v>2-3</v>
      </c>
      <c r="Y8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2" s="421">
        <f>INDEX(LandfillFees[Disposal Tip Fee 2025],MATCH(TransTonsShort[[#This Row],[Grouping_ID]],LandfillFees[Grouping_ID],0))</f>
        <v>72.030938699729589</v>
      </c>
      <c r="AA852" s="102">
        <f>IF(OR(TransTonsShort[[#This Row],[CollectionStream_ID]]="03",TransTonsShort[[#This Row],[CollectionStream_ID]]="04",TransTonsShort[[#This Row],[CollectionStream_ID]]="13"),0,TransTonsShort[[#This Row],[Trans_Tons_All]]*TransTonsShort[[#This Row],[Disposal_Fee]])</f>
        <v>0</v>
      </c>
    </row>
    <row r="853" spans="12:27" ht="15" x14ac:dyDescent="0.25">
      <c r="L853" s="446" t="s">
        <v>873</v>
      </c>
      <c r="M853" s="446">
        <v>3</v>
      </c>
      <c r="N853" s="446">
        <v>3</v>
      </c>
      <c r="O853" s="446" t="s">
        <v>748</v>
      </c>
      <c r="P853" s="449" t="s">
        <v>719</v>
      </c>
      <c r="Q853" s="449"/>
      <c r="R853" s="449"/>
      <c r="S853" s="449" t="s">
        <v>765</v>
      </c>
      <c r="T853" s="449" t="s">
        <v>1055</v>
      </c>
      <c r="U853" s="452">
        <v>0</v>
      </c>
      <c r="V8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3" s="272" t="str">
        <f>IFERROR(SUMIFS(TransUnitCost[Miles],TransUnitCost[Grouping_ID],TransTonsShort[[#This Row],[Grouping_ID]],TransUnitCost[Transp_ID],TransTonsShort[[#This Row],[Transp_ID]])*TransTonsShort[[#This Row],[Trans_Tons_All]]/TransTonsShort[[#This Row],[Trans_Tons_All]],"")</f>
        <v/>
      </c>
      <c r="X853" s="386" t="str">
        <f>TransTonsShort[[#This Row],[Grouping_ID]]&amp;"-"&amp;TransTonsShort[[#This Row],[Sector_ID]]</f>
        <v>3-3</v>
      </c>
      <c r="Y8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3" s="421">
        <f>INDEX(LandfillFees[Disposal Tip Fee 2025],MATCH(TransTonsShort[[#This Row],[Grouping_ID]],LandfillFees[Grouping_ID],0))</f>
        <v>72.030938699729589</v>
      </c>
      <c r="AA853" s="102">
        <f>IF(OR(TransTonsShort[[#This Row],[CollectionStream_ID]]="03",TransTonsShort[[#This Row],[CollectionStream_ID]]="04",TransTonsShort[[#This Row],[CollectionStream_ID]]="13"),0,TransTonsShort[[#This Row],[Trans_Tons_All]]*TransTonsShort[[#This Row],[Disposal_Fee]])</f>
        <v>0</v>
      </c>
    </row>
    <row r="854" spans="12:27" ht="15" x14ac:dyDescent="0.25">
      <c r="L854" s="446" t="s">
        <v>873</v>
      </c>
      <c r="M854" s="446">
        <v>4</v>
      </c>
      <c r="N854" s="446">
        <v>3</v>
      </c>
      <c r="O854" s="446" t="s">
        <v>748</v>
      </c>
      <c r="P854" s="449" t="s">
        <v>719</v>
      </c>
      <c r="Q854" s="449"/>
      <c r="R854" s="449"/>
      <c r="S854" s="449" t="s">
        <v>765</v>
      </c>
      <c r="T854" s="449" t="s">
        <v>1055</v>
      </c>
      <c r="U854" s="452">
        <v>0</v>
      </c>
      <c r="V8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4" s="272" t="str">
        <f>IFERROR(SUMIFS(TransUnitCost[Miles],TransUnitCost[Grouping_ID],TransTonsShort[[#This Row],[Grouping_ID]],TransUnitCost[Transp_ID],TransTonsShort[[#This Row],[Transp_ID]])*TransTonsShort[[#This Row],[Trans_Tons_All]]/TransTonsShort[[#This Row],[Trans_Tons_All]],"")</f>
        <v/>
      </c>
      <c r="X854" s="386" t="str">
        <f>TransTonsShort[[#This Row],[Grouping_ID]]&amp;"-"&amp;TransTonsShort[[#This Row],[Sector_ID]]</f>
        <v>4-3</v>
      </c>
      <c r="Y8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4" s="421">
        <f>INDEX(LandfillFees[Disposal Tip Fee 2025],MATCH(TransTonsShort[[#This Row],[Grouping_ID]],LandfillFees[Grouping_ID],0))</f>
        <v>72.030938699729589</v>
      </c>
      <c r="AA854" s="102">
        <f>IF(OR(TransTonsShort[[#This Row],[CollectionStream_ID]]="03",TransTonsShort[[#This Row],[CollectionStream_ID]]="04",TransTonsShort[[#This Row],[CollectionStream_ID]]="13"),0,TransTonsShort[[#This Row],[Trans_Tons_All]]*TransTonsShort[[#This Row],[Disposal_Fee]])</f>
        <v>0</v>
      </c>
    </row>
    <row r="855" spans="12:27" ht="15" x14ac:dyDescent="0.25">
      <c r="L855" s="446" t="s">
        <v>873</v>
      </c>
      <c r="M855" s="446">
        <v>1</v>
      </c>
      <c r="N855" s="446">
        <v>3</v>
      </c>
      <c r="O855" s="446" t="s">
        <v>748</v>
      </c>
      <c r="P855" s="449" t="s">
        <v>700</v>
      </c>
      <c r="Q855" s="449"/>
      <c r="R855" s="449"/>
      <c r="S855" s="449" t="s">
        <v>765</v>
      </c>
      <c r="T855" s="449" t="s">
        <v>701</v>
      </c>
      <c r="U855" s="452">
        <v>0</v>
      </c>
      <c r="V8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5" s="272" t="str">
        <f>IFERROR(SUMIFS(TransUnitCost[Miles],TransUnitCost[Grouping_ID],TransTonsShort[[#This Row],[Grouping_ID]],TransUnitCost[Transp_ID],TransTonsShort[[#This Row],[Transp_ID]])*TransTonsShort[[#This Row],[Trans_Tons_All]]/TransTonsShort[[#This Row],[Trans_Tons_All]],"")</f>
        <v/>
      </c>
      <c r="X855" s="386" t="str">
        <f>TransTonsShort[[#This Row],[Grouping_ID]]&amp;"-"&amp;TransTonsShort[[#This Row],[Sector_ID]]</f>
        <v>1-3</v>
      </c>
      <c r="Y8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5" s="421">
        <f>INDEX(LandfillFees[Disposal Tip Fee 2025],MATCH(TransTonsShort[[#This Row],[Grouping_ID]],LandfillFees[Grouping_ID],0))</f>
        <v>134.68</v>
      </c>
      <c r="AA855" s="102">
        <f>IF(OR(TransTonsShort[[#This Row],[CollectionStream_ID]]="03",TransTonsShort[[#This Row],[CollectionStream_ID]]="04",TransTonsShort[[#This Row],[CollectionStream_ID]]="13"),0,TransTonsShort[[#This Row],[Trans_Tons_All]]*TransTonsShort[[#This Row],[Disposal_Fee]])</f>
        <v>0</v>
      </c>
    </row>
    <row r="856" spans="12:27" ht="15" x14ac:dyDescent="0.25">
      <c r="L856" s="446" t="s">
        <v>873</v>
      </c>
      <c r="M856" s="446">
        <v>2</v>
      </c>
      <c r="N856" s="446">
        <v>3</v>
      </c>
      <c r="O856" s="446" t="s">
        <v>748</v>
      </c>
      <c r="P856" s="449" t="s">
        <v>700</v>
      </c>
      <c r="Q856" s="449"/>
      <c r="R856" s="449"/>
      <c r="S856" s="449" t="s">
        <v>765</v>
      </c>
      <c r="T856" s="449" t="s">
        <v>701</v>
      </c>
      <c r="U856" s="452">
        <v>0</v>
      </c>
      <c r="V8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6" s="272" t="str">
        <f>IFERROR(SUMIFS(TransUnitCost[Miles],TransUnitCost[Grouping_ID],TransTonsShort[[#This Row],[Grouping_ID]],TransUnitCost[Transp_ID],TransTonsShort[[#This Row],[Transp_ID]])*TransTonsShort[[#This Row],[Trans_Tons_All]]/TransTonsShort[[#This Row],[Trans_Tons_All]],"")</f>
        <v/>
      </c>
      <c r="X856" s="386" t="str">
        <f>TransTonsShort[[#This Row],[Grouping_ID]]&amp;"-"&amp;TransTonsShort[[#This Row],[Sector_ID]]</f>
        <v>2-3</v>
      </c>
      <c r="Y8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6" s="421">
        <f>INDEX(LandfillFees[Disposal Tip Fee 2025],MATCH(TransTonsShort[[#This Row],[Grouping_ID]],LandfillFees[Grouping_ID],0))</f>
        <v>72.030938699729589</v>
      </c>
      <c r="AA856" s="102">
        <f>IF(OR(TransTonsShort[[#This Row],[CollectionStream_ID]]="03",TransTonsShort[[#This Row],[CollectionStream_ID]]="04",TransTonsShort[[#This Row],[CollectionStream_ID]]="13"),0,TransTonsShort[[#This Row],[Trans_Tons_All]]*TransTonsShort[[#This Row],[Disposal_Fee]])</f>
        <v>0</v>
      </c>
    </row>
    <row r="857" spans="12:27" ht="15" x14ac:dyDescent="0.25">
      <c r="L857" s="446" t="s">
        <v>873</v>
      </c>
      <c r="M857" s="446">
        <v>3</v>
      </c>
      <c r="N857" s="446">
        <v>3</v>
      </c>
      <c r="O857" s="446" t="s">
        <v>748</v>
      </c>
      <c r="P857" s="449" t="s">
        <v>700</v>
      </c>
      <c r="Q857" s="449"/>
      <c r="R857" s="449"/>
      <c r="S857" s="449" t="s">
        <v>765</v>
      </c>
      <c r="T857" s="449" t="s">
        <v>701</v>
      </c>
      <c r="U857" s="452">
        <v>0</v>
      </c>
      <c r="V8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7" s="272" t="str">
        <f>IFERROR(SUMIFS(TransUnitCost[Miles],TransUnitCost[Grouping_ID],TransTonsShort[[#This Row],[Grouping_ID]],TransUnitCost[Transp_ID],TransTonsShort[[#This Row],[Transp_ID]])*TransTonsShort[[#This Row],[Trans_Tons_All]]/TransTonsShort[[#This Row],[Trans_Tons_All]],"")</f>
        <v/>
      </c>
      <c r="X857" s="386" t="str">
        <f>TransTonsShort[[#This Row],[Grouping_ID]]&amp;"-"&amp;TransTonsShort[[#This Row],[Sector_ID]]</f>
        <v>3-3</v>
      </c>
      <c r="Y8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7" s="421">
        <f>INDEX(LandfillFees[Disposal Tip Fee 2025],MATCH(TransTonsShort[[#This Row],[Grouping_ID]],LandfillFees[Grouping_ID],0))</f>
        <v>72.030938699729589</v>
      </c>
      <c r="AA857" s="102">
        <f>IF(OR(TransTonsShort[[#This Row],[CollectionStream_ID]]="03",TransTonsShort[[#This Row],[CollectionStream_ID]]="04",TransTonsShort[[#This Row],[CollectionStream_ID]]="13"),0,TransTonsShort[[#This Row],[Trans_Tons_All]]*TransTonsShort[[#This Row],[Disposal_Fee]])</f>
        <v>0</v>
      </c>
    </row>
    <row r="858" spans="12:27" ht="15" x14ac:dyDescent="0.25">
      <c r="L858" s="446" t="s">
        <v>873</v>
      </c>
      <c r="M858" s="446">
        <v>4</v>
      </c>
      <c r="N858" s="446">
        <v>3</v>
      </c>
      <c r="O858" s="446" t="s">
        <v>748</v>
      </c>
      <c r="P858" s="449" t="s">
        <v>700</v>
      </c>
      <c r="Q858" s="449"/>
      <c r="R858" s="449"/>
      <c r="S858" s="449" t="s">
        <v>765</v>
      </c>
      <c r="T858" s="449" t="s">
        <v>701</v>
      </c>
      <c r="U858" s="452">
        <v>0</v>
      </c>
      <c r="V8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8" s="272" t="str">
        <f>IFERROR(SUMIFS(TransUnitCost[Miles],TransUnitCost[Grouping_ID],TransTonsShort[[#This Row],[Grouping_ID]],TransUnitCost[Transp_ID],TransTonsShort[[#This Row],[Transp_ID]])*TransTonsShort[[#This Row],[Trans_Tons_All]]/TransTonsShort[[#This Row],[Trans_Tons_All]],"")</f>
        <v/>
      </c>
      <c r="X858" s="386" t="str">
        <f>TransTonsShort[[#This Row],[Grouping_ID]]&amp;"-"&amp;TransTonsShort[[#This Row],[Sector_ID]]</f>
        <v>4-3</v>
      </c>
      <c r="Y8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8" s="421">
        <f>INDEX(LandfillFees[Disposal Tip Fee 2025],MATCH(TransTonsShort[[#This Row],[Grouping_ID]],LandfillFees[Grouping_ID],0))</f>
        <v>72.030938699729589</v>
      </c>
      <c r="AA858" s="102">
        <f>IF(OR(TransTonsShort[[#This Row],[CollectionStream_ID]]="03",TransTonsShort[[#This Row],[CollectionStream_ID]]="04",TransTonsShort[[#This Row],[CollectionStream_ID]]="13"),0,TransTonsShort[[#This Row],[Trans_Tons_All]]*TransTonsShort[[#This Row],[Disposal_Fee]])</f>
        <v>0</v>
      </c>
    </row>
    <row r="859" spans="12:27" ht="15" x14ac:dyDescent="0.25">
      <c r="L859" s="446" t="s">
        <v>873</v>
      </c>
      <c r="M859" s="446">
        <v>1</v>
      </c>
      <c r="N859" s="446">
        <v>3</v>
      </c>
      <c r="O859" s="446" t="s">
        <v>748</v>
      </c>
      <c r="P859" s="450" t="s">
        <v>748</v>
      </c>
      <c r="Q859" s="450"/>
      <c r="R859" s="450"/>
      <c r="S859" s="449" t="s">
        <v>765</v>
      </c>
      <c r="T859" s="449" t="s">
        <v>849</v>
      </c>
      <c r="U859" s="452">
        <v>0</v>
      </c>
      <c r="V8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59" s="272" t="str">
        <f>IFERROR(SUMIFS(TransUnitCost[Miles],TransUnitCost[Grouping_ID],TransTonsShort[[#This Row],[Grouping_ID]],TransUnitCost[Transp_ID],TransTonsShort[[#This Row],[Transp_ID]])*TransTonsShort[[#This Row],[Trans_Tons_All]]/TransTonsShort[[#This Row],[Trans_Tons_All]],"")</f>
        <v/>
      </c>
      <c r="X859" s="386" t="str">
        <f>TransTonsShort[[#This Row],[Grouping_ID]]&amp;"-"&amp;TransTonsShort[[#This Row],[Sector_ID]]</f>
        <v>1-3</v>
      </c>
      <c r="Y8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59" s="421">
        <f>INDEX(LandfillFees[Disposal Tip Fee 2025],MATCH(TransTonsShort[[#This Row],[Grouping_ID]],LandfillFees[Grouping_ID],0))</f>
        <v>134.68</v>
      </c>
      <c r="AA859" s="102">
        <f>IF(OR(TransTonsShort[[#This Row],[CollectionStream_ID]]="03",TransTonsShort[[#This Row],[CollectionStream_ID]]="04",TransTonsShort[[#This Row],[CollectionStream_ID]]="13"),0,TransTonsShort[[#This Row],[Trans_Tons_All]]*TransTonsShort[[#This Row],[Disposal_Fee]])</f>
        <v>0</v>
      </c>
    </row>
    <row r="860" spans="12:27" ht="15" x14ac:dyDescent="0.25">
      <c r="L860" s="446" t="s">
        <v>873</v>
      </c>
      <c r="M860" s="446">
        <v>2</v>
      </c>
      <c r="N860" s="446">
        <v>3</v>
      </c>
      <c r="O860" s="446" t="s">
        <v>748</v>
      </c>
      <c r="P860" s="450" t="s">
        <v>748</v>
      </c>
      <c r="Q860" s="450"/>
      <c r="R860" s="450"/>
      <c r="S860" s="449" t="s">
        <v>765</v>
      </c>
      <c r="T860" s="449" t="s">
        <v>849</v>
      </c>
      <c r="U860" s="452">
        <v>0</v>
      </c>
      <c r="V8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0" s="272" t="str">
        <f>IFERROR(SUMIFS(TransUnitCost[Miles],TransUnitCost[Grouping_ID],TransTonsShort[[#This Row],[Grouping_ID]],TransUnitCost[Transp_ID],TransTonsShort[[#This Row],[Transp_ID]])*TransTonsShort[[#This Row],[Trans_Tons_All]]/TransTonsShort[[#This Row],[Trans_Tons_All]],"")</f>
        <v/>
      </c>
      <c r="X860" s="386" t="str">
        <f>TransTonsShort[[#This Row],[Grouping_ID]]&amp;"-"&amp;TransTonsShort[[#This Row],[Sector_ID]]</f>
        <v>2-3</v>
      </c>
      <c r="Y8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0" s="421">
        <f>INDEX(LandfillFees[Disposal Tip Fee 2025],MATCH(TransTonsShort[[#This Row],[Grouping_ID]],LandfillFees[Grouping_ID],0))</f>
        <v>72.030938699729589</v>
      </c>
      <c r="AA860" s="102">
        <f>IF(OR(TransTonsShort[[#This Row],[CollectionStream_ID]]="03",TransTonsShort[[#This Row],[CollectionStream_ID]]="04",TransTonsShort[[#This Row],[CollectionStream_ID]]="13"),0,TransTonsShort[[#This Row],[Trans_Tons_All]]*TransTonsShort[[#This Row],[Disposal_Fee]])</f>
        <v>0</v>
      </c>
    </row>
    <row r="861" spans="12:27" ht="15" x14ac:dyDescent="0.25">
      <c r="L861" s="446" t="s">
        <v>873</v>
      </c>
      <c r="M861" s="446">
        <v>3</v>
      </c>
      <c r="N861" s="446">
        <v>3</v>
      </c>
      <c r="O861" s="446" t="s">
        <v>748</v>
      </c>
      <c r="P861" s="450" t="s">
        <v>748</v>
      </c>
      <c r="Q861" s="450"/>
      <c r="R861" s="450"/>
      <c r="S861" s="449" t="s">
        <v>765</v>
      </c>
      <c r="T861" s="449" t="s">
        <v>849</v>
      </c>
      <c r="U861" s="452">
        <v>0</v>
      </c>
      <c r="V8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1" s="272" t="str">
        <f>IFERROR(SUMIFS(TransUnitCost[Miles],TransUnitCost[Grouping_ID],TransTonsShort[[#This Row],[Grouping_ID]],TransUnitCost[Transp_ID],TransTonsShort[[#This Row],[Transp_ID]])*TransTonsShort[[#This Row],[Trans_Tons_All]]/TransTonsShort[[#This Row],[Trans_Tons_All]],"")</f>
        <v/>
      </c>
      <c r="X861" s="386" t="str">
        <f>TransTonsShort[[#This Row],[Grouping_ID]]&amp;"-"&amp;TransTonsShort[[#This Row],[Sector_ID]]</f>
        <v>3-3</v>
      </c>
      <c r="Y8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1" s="421">
        <f>INDEX(LandfillFees[Disposal Tip Fee 2025],MATCH(TransTonsShort[[#This Row],[Grouping_ID]],LandfillFees[Grouping_ID],0))</f>
        <v>72.030938699729589</v>
      </c>
      <c r="AA861" s="102">
        <f>IF(OR(TransTonsShort[[#This Row],[CollectionStream_ID]]="03",TransTonsShort[[#This Row],[CollectionStream_ID]]="04",TransTonsShort[[#This Row],[CollectionStream_ID]]="13"),0,TransTonsShort[[#This Row],[Trans_Tons_All]]*TransTonsShort[[#This Row],[Disposal_Fee]])</f>
        <v>0</v>
      </c>
    </row>
    <row r="862" spans="12:27" ht="15" x14ac:dyDescent="0.25">
      <c r="L862" s="446" t="s">
        <v>873</v>
      </c>
      <c r="M862" s="446">
        <v>4</v>
      </c>
      <c r="N862" s="446">
        <v>3</v>
      </c>
      <c r="O862" s="446" t="s">
        <v>748</v>
      </c>
      <c r="P862" s="450" t="s">
        <v>748</v>
      </c>
      <c r="Q862" s="450"/>
      <c r="R862" s="450"/>
      <c r="S862" s="449" t="s">
        <v>765</v>
      </c>
      <c r="T862" s="449" t="s">
        <v>849</v>
      </c>
      <c r="U862" s="452">
        <v>0</v>
      </c>
      <c r="V8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2" s="272" t="str">
        <f>IFERROR(SUMIFS(TransUnitCost[Miles],TransUnitCost[Grouping_ID],TransTonsShort[[#This Row],[Grouping_ID]],TransUnitCost[Transp_ID],TransTonsShort[[#This Row],[Transp_ID]])*TransTonsShort[[#This Row],[Trans_Tons_All]]/TransTonsShort[[#This Row],[Trans_Tons_All]],"")</f>
        <v/>
      </c>
      <c r="X862" s="386" t="str">
        <f>TransTonsShort[[#This Row],[Grouping_ID]]&amp;"-"&amp;TransTonsShort[[#This Row],[Sector_ID]]</f>
        <v>4-3</v>
      </c>
      <c r="Y8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2" s="421">
        <f>INDEX(LandfillFees[Disposal Tip Fee 2025],MATCH(TransTonsShort[[#This Row],[Grouping_ID]],LandfillFees[Grouping_ID],0))</f>
        <v>72.030938699729589</v>
      </c>
      <c r="AA862" s="102">
        <f>IF(OR(TransTonsShort[[#This Row],[CollectionStream_ID]]="03",TransTonsShort[[#This Row],[CollectionStream_ID]]="04",TransTonsShort[[#This Row],[CollectionStream_ID]]="13"),0,TransTonsShort[[#This Row],[Trans_Tons_All]]*TransTonsShort[[#This Row],[Disposal_Fee]])</f>
        <v>0</v>
      </c>
    </row>
    <row r="863" spans="12:27" ht="15" x14ac:dyDescent="0.25">
      <c r="L863" s="446" t="s">
        <v>873</v>
      </c>
      <c r="M863" s="446">
        <v>1</v>
      </c>
      <c r="N863" s="446">
        <v>3</v>
      </c>
      <c r="O863" s="446" t="s">
        <v>746</v>
      </c>
      <c r="P863" s="449" t="s">
        <v>719</v>
      </c>
      <c r="Q863" s="449"/>
      <c r="R863" s="449"/>
      <c r="S863" s="449" t="s">
        <v>762</v>
      </c>
      <c r="T863" s="449" t="s">
        <v>1055</v>
      </c>
      <c r="U863" s="452">
        <v>0</v>
      </c>
      <c r="V8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3" s="272" t="str">
        <f>IFERROR(SUMIFS(TransUnitCost[Miles],TransUnitCost[Grouping_ID],TransTonsShort[[#This Row],[Grouping_ID]],TransUnitCost[Transp_ID],TransTonsShort[[#This Row],[Transp_ID]])*TransTonsShort[[#This Row],[Trans_Tons_All]]/TransTonsShort[[#This Row],[Trans_Tons_All]],"")</f>
        <v/>
      </c>
      <c r="X863" s="386" t="str">
        <f>TransTonsShort[[#This Row],[Grouping_ID]]&amp;"-"&amp;TransTonsShort[[#This Row],[Sector_ID]]</f>
        <v>1-3</v>
      </c>
      <c r="Y8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3" s="421">
        <f>INDEX(LandfillFees[Disposal Tip Fee 2025],MATCH(TransTonsShort[[#This Row],[Grouping_ID]],LandfillFees[Grouping_ID],0))</f>
        <v>134.68</v>
      </c>
      <c r="AA863" s="102">
        <f>IF(OR(TransTonsShort[[#This Row],[CollectionStream_ID]]="03",TransTonsShort[[#This Row],[CollectionStream_ID]]="04",TransTonsShort[[#This Row],[CollectionStream_ID]]="13"),0,TransTonsShort[[#This Row],[Trans_Tons_All]]*TransTonsShort[[#This Row],[Disposal_Fee]])</f>
        <v>0</v>
      </c>
    </row>
    <row r="864" spans="12:27" ht="15" x14ac:dyDescent="0.25">
      <c r="L864" s="446" t="s">
        <v>873</v>
      </c>
      <c r="M864" s="446">
        <v>2</v>
      </c>
      <c r="N864" s="446">
        <v>3</v>
      </c>
      <c r="O864" s="446" t="s">
        <v>746</v>
      </c>
      <c r="P864" s="449" t="s">
        <v>719</v>
      </c>
      <c r="Q864" s="449"/>
      <c r="R864" s="449"/>
      <c r="S864" s="449" t="s">
        <v>762</v>
      </c>
      <c r="T864" s="449" t="s">
        <v>1055</v>
      </c>
      <c r="U864" s="452">
        <v>0</v>
      </c>
      <c r="V8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4" s="272" t="str">
        <f>IFERROR(SUMIFS(TransUnitCost[Miles],TransUnitCost[Grouping_ID],TransTonsShort[[#This Row],[Grouping_ID]],TransUnitCost[Transp_ID],TransTonsShort[[#This Row],[Transp_ID]])*TransTonsShort[[#This Row],[Trans_Tons_All]]/TransTonsShort[[#This Row],[Trans_Tons_All]],"")</f>
        <v/>
      </c>
      <c r="X864" s="386" t="str">
        <f>TransTonsShort[[#This Row],[Grouping_ID]]&amp;"-"&amp;TransTonsShort[[#This Row],[Sector_ID]]</f>
        <v>2-3</v>
      </c>
      <c r="Y8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4" s="421">
        <f>INDEX(LandfillFees[Disposal Tip Fee 2025],MATCH(TransTonsShort[[#This Row],[Grouping_ID]],LandfillFees[Grouping_ID],0))</f>
        <v>72.030938699729589</v>
      </c>
      <c r="AA864" s="102">
        <f>IF(OR(TransTonsShort[[#This Row],[CollectionStream_ID]]="03",TransTonsShort[[#This Row],[CollectionStream_ID]]="04",TransTonsShort[[#This Row],[CollectionStream_ID]]="13"),0,TransTonsShort[[#This Row],[Trans_Tons_All]]*TransTonsShort[[#This Row],[Disposal_Fee]])</f>
        <v>0</v>
      </c>
    </row>
    <row r="865" spans="12:27" ht="15" x14ac:dyDescent="0.25">
      <c r="L865" s="446" t="s">
        <v>873</v>
      </c>
      <c r="M865" s="446">
        <v>3</v>
      </c>
      <c r="N865" s="446">
        <v>3</v>
      </c>
      <c r="O865" s="446" t="s">
        <v>746</v>
      </c>
      <c r="P865" s="449" t="s">
        <v>719</v>
      </c>
      <c r="Q865" s="449"/>
      <c r="R865" s="449"/>
      <c r="S865" s="449" t="s">
        <v>762</v>
      </c>
      <c r="T865" s="449" t="s">
        <v>1055</v>
      </c>
      <c r="U865" s="452">
        <v>0</v>
      </c>
      <c r="V8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5" s="272" t="str">
        <f>IFERROR(SUMIFS(TransUnitCost[Miles],TransUnitCost[Grouping_ID],TransTonsShort[[#This Row],[Grouping_ID]],TransUnitCost[Transp_ID],TransTonsShort[[#This Row],[Transp_ID]])*TransTonsShort[[#This Row],[Trans_Tons_All]]/TransTonsShort[[#This Row],[Trans_Tons_All]],"")</f>
        <v/>
      </c>
      <c r="X865" s="386" t="str">
        <f>TransTonsShort[[#This Row],[Grouping_ID]]&amp;"-"&amp;TransTonsShort[[#This Row],[Sector_ID]]</f>
        <v>3-3</v>
      </c>
      <c r="Y8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5" s="421">
        <f>INDEX(LandfillFees[Disposal Tip Fee 2025],MATCH(TransTonsShort[[#This Row],[Grouping_ID]],LandfillFees[Grouping_ID],0))</f>
        <v>72.030938699729589</v>
      </c>
      <c r="AA865" s="102">
        <f>IF(OR(TransTonsShort[[#This Row],[CollectionStream_ID]]="03",TransTonsShort[[#This Row],[CollectionStream_ID]]="04",TransTonsShort[[#This Row],[CollectionStream_ID]]="13"),0,TransTonsShort[[#This Row],[Trans_Tons_All]]*TransTonsShort[[#This Row],[Disposal_Fee]])</f>
        <v>0</v>
      </c>
    </row>
    <row r="866" spans="12:27" ht="15" x14ac:dyDescent="0.25">
      <c r="L866" s="446" t="s">
        <v>873</v>
      </c>
      <c r="M866" s="446">
        <v>4</v>
      </c>
      <c r="N866" s="446">
        <v>3</v>
      </c>
      <c r="O866" s="446" t="s">
        <v>746</v>
      </c>
      <c r="P866" s="449" t="s">
        <v>719</v>
      </c>
      <c r="Q866" s="449"/>
      <c r="R866" s="449"/>
      <c r="S866" s="449" t="s">
        <v>762</v>
      </c>
      <c r="T866" s="449" t="s">
        <v>1055</v>
      </c>
      <c r="U866" s="452">
        <v>0</v>
      </c>
      <c r="V8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6" s="272" t="str">
        <f>IFERROR(SUMIFS(TransUnitCost[Miles],TransUnitCost[Grouping_ID],TransTonsShort[[#This Row],[Grouping_ID]],TransUnitCost[Transp_ID],TransTonsShort[[#This Row],[Transp_ID]])*TransTonsShort[[#This Row],[Trans_Tons_All]]/TransTonsShort[[#This Row],[Trans_Tons_All]],"")</f>
        <v/>
      </c>
      <c r="X866" s="386" t="str">
        <f>TransTonsShort[[#This Row],[Grouping_ID]]&amp;"-"&amp;TransTonsShort[[#This Row],[Sector_ID]]</f>
        <v>4-3</v>
      </c>
      <c r="Y8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6" s="421">
        <f>INDEX(LandfillFees[Disposal Tip Fee 2025],MATCH(TransTonsShort[[#This Row],[Grouping_ID]],LandfillFees[Grouping_ID],0))</f>
        <v>72.030938699729589</v>
      </c>
      <c r="AA866" s="102">
        <f>IF(OR(TransTonsShort[[#This Row],[CollectionStream_ID]]="03",TransTonsShort[[#This Row],[CollectionStream_ID]]="04",TransTonsShort[[#This Row],[CollectionStream_ID]]="13"),0,TransTonsShort[[#This Row],[Trans_Tons_All]]*TransTonsShort[[#This Row],[Disposal_Fee]])</f>
        <v>0</v>
      </c>
    </row>
    <row r="867" spans="12:27" ht="15" x14ac:dyDescent="0.25">
      <c r="L867" s="446" t="s">
        <v>873</v>
      </c>
      <c r="M867" s="446">
        <v>1</v>
      </c>
      <c r="N867" s="446">
        <v>3</v>
      </c>
      <c r="O867" s="446" t="s">
        <v>746</v>
      </c>
      <c r="P867" s="449" t="s">
        <v>700</v>
      </c>
      <c r="Q867" s="449"/>
      <c r="R867" s="449"/>
      <c r="S867" s="449" t="s">
        <v>762</v>
      </c>
      <c r="T867" s="449" t="s">
        <v>701</v>
      </c>
      <c r="U867" s="452">
        <v>0</v>
      </c>
      <c r="V8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7" s="272" t="str">
        <f>IFERROR(SUMIFS(TransUnitCost[Miles],TransUnitCost[Grouping_ID],TransTonsShort[[#This Row],[Grouping_ID]],TransUnitCost[Transp_ID],TransTonsShort[[#This Row],[Transp_ID]])*TransTonsShort[[#This Row],[Trans_Tons_All]]/TransTonsShort[[#This Row],[Trans_Tons_All]],"")</f>
        <v/>
      </c>
      <c r="X867" s="386" t="str">
        <f>TransTonsShort[[#This Row],[Grouping_ID]]&amp;"-"&amp;TransTonsShort[[#This Row],[Sector_ID]]</f>
        <v>1-3</v>
      </c>
      <c r="Y8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7" s="421">
        <f>INDEX(LandfillFees[Disposal Tip Fee 2025],MATCH(TransTonsShort[[#This Row],[Grouping_ID]],LandfillFees[Grouping_ID],0))</f>
        <v>134.68</v>
      </c>
      <c r="AA867" s="102">
        <f>IF(OR(TransTonsShort[[#This Row],[CollectionStream_ID]]="03",TransTonsShort[[#This Row],[CollectionStream_ID]]="04",TransTonsShort[[#This Row],[CollectionStream_ID]]="13"),0,TransTonsShort[[#This Row],[Trans_Tons_All]]*TransTonsShort[[#This Row],[Disposal_Fee]])</f>
        <v>0</v>
      </c>
    </row>
    <row r="868" spans="12:27" ht="15" x14ac:dyDescent="0.25">
      <c r="L868" s="446" t="s">
        <v>873</v>
      </c>
      <c r="M868" s="446">
        <v>2</v>
      </c>
      <c r="N868" s="446">
        <v>3</v>
      </c>
      <c r="O868" s="446" t="s">
        <v>746</v>
      </c>
      <c r="P868" s="449" t="s">
        <v>700</v>
      </c>
      <c r="Q868" s="449"/>
      <c r="R868" s="449"/>
      <c r="S868" s="449" t="s">
        <v>762</v>
      </c>
      <c r="T868" s="449" t="s">
        <v>701</v>
      </c>
      <c r="U868" s="452">
        <v>0</v>
      </c>
      <c r="V8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8" s="272" t="str">
        <f>IFERROR(SUMIFS(TransUnitCost[Miles],TransUnitCost[Grouping_ID],TransTonsShort[[#This Row],[Grouping_ID]],TransUnitCost[Transp_ID],TransTonsShort[[#This Row],[Transp_ID]])*TransTonsShort[[#This Row],[Trans_Tons_All]]/TransTonsShort[[#This Row],[Trans_Tons_All]],"")</f>
        <v/>
      </c>
      <c r="X868" s="386" t="str">
        <f>TransTonsShort[[#This Row],[Grouping_ID]]&amp;"-"&amp;TransTonsShort[[#This Row],[Sector_ID]]</f>
        <v>2-3</v>
      </c>
      <c r="Y8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8" s="421">
        <f>INDEX(LandfillFees[Disposal Tip Fee 2025],MATCH(TransTonsShort[[#This Row],[Grouping_ID]],LandfillFees[Grouping_ID],0))</f>
        <v>72.030938699729589</v>
      </c>
      <c r="AA868" s="102">
        <f>IF(OR(TransTonsShort[[#This Row],[CollectionStream_ID]]="03",TransTonsShort[[#This Row],[CollectionStream_ID]]="04",TransTonsShort[[#This Row],[CollectionStream_ID]]="13"),0,TransTonsShort[[#This Row],[Trans_Tons_All]]*TransTonsShort[[#This Row],[Disposal_Fee]])</f>
        <v>0</v>
      </c>
    </row>
    <row r="869" spans="12:27" ht="15" x14ac:dyDescent="0.25">
      <c r="L869" s="446" t="s">
        <v>873</v>
      </c>
      <c r="M869" s="446">
        <v>3</v>
      </c>
      <c r="N869" s="446">
        <v>3</v>
      </c>
      <c r="O869" s="446" t="s">
        <v>746</v>
      </c>
      <c r="P869" s="449" t="s">
        <v>700</v>
      </c>
      <c r="Q869" s="449"/>
      <c r="R869" s="449"/>
      <c r="S869" s="449" t="s">
        <v>762</v>
      </c>
      <c r="T869" s="449" t="s">
        <v>701</v>
      </c>
      <c r="U869" s="452">
        <v>0</v>
      </c>
      <c r="V8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69" s="272" t="str">
        <f>IFERROR(SUMIFS(TransUnitCost[Miles],TransUnitCost[Grouping_ID],TransTonsShort[[#This Row],[Grouping_ID]],TransUnitCost[Transp_ID],TransTonsShort[[#This Row],[Transp_ID]])*TransTonsShort[[#This Row],[Trans_Tons_All]]/TransTonsShort[[#This Row],[Trans_Tons_All]],"")</f>
        <v/>
      </c>
      <c r="X869" s="386" t="str">
        <f>TransTonsShort[[#This Row],[Grouping_ID]]&amp;"-"&amp;TransTonsShort[[#This Row],[Sector_ID]]</f>
        <v>3-3</v>
      </c>
      <c r="Y8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69" s="421">
        <f>INDEX(LandfillFees[Disposal Tip Fee 2025],MATCH(TransTonsShort[[#This Row],[Grouping_ID]],LandfillFees[Grouping_ID],0))</f>
        <v>72.030938699729589</v>
      </c>
      <c r="AA869" s="102">
        <f>IF(OR(TransTonsShort[[#This Row],[CollectionStream_ID]]="03",TransTonsShort[[#This Row],[CollectionStream_ID]]="04",TransTonsShort[[#This Row],[CollectionStream_ID]]="13"),0,TransTonsShort[[#This Row],[Trans_Tons_All]]*TransTonsShort[[#This Row],[Disposal_Fee]])</f>
        <v>0</v>
      </c>
    </row>
    <row r="870" spans="12:27" ht="15" x14ac:dyDescent="0.25">
      <c r="L870" s="446" t="s">
        <v>873</v>
      </c>
      <c r="M870" s="446">
        <v>4</v>
      </c>
      <c r="N870" s="446">
        <v>3</v>
      </c>
      <c r="O870" s="446" t="s">
        <v>746</v>
      </c>
      <c r="P870" s="449" t="s">
        <v>700</v>
      </c>
      <c r="Q870" s="449"/>
      <c r="R870" s="449"/>
      <c r="S870" s="449" t="s">
        <v>762</v>
      </c>
      <c r="T870" s="449" t="s">
        <v>701</v>
      </c>
      <c r="U870" s="452">
        <v>0</v>
      </c>
      <c r="V8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0" s="272" t="str">
        <f>IFERROR(SUMIFS(TransUnitCost[Miles],TransUnitCost[Grouping_ID],TransTonsShort[[#This Row],[Grouping_ID]],TransUnitCost[Transp_ID],TransTonsShort[[#This Row],[Transp_ID]])*TransTonsShort[[#This Row],[Trans_Tons_All]]/TransTonsShort[[#This Row],[Trans_Tons_All]],"")</f>
        <v/>
      </c>
      <c r="X870" s="386" t="str">
        <f>TransTonsShort[[#This Row],[Grouping_ID]]&amp;"-"&amp;TransTonsShort[[#This Row],[Sector_ID]]</f>
        <v>4-3</v>
      </c>
      <c r="Y8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0" s="421">
        <f>INDEX(LandfillFees[Disposal Tip Fee 2025],MATCH(TransTonsShort[[#This Row],[Grouping_ID]],LandfillFees[Grouping_ID],0))</f>
        <v>72.030938699729589</v>
      </c>
      <c r="AA870" s="102">
        <f>IF(OR(TransTonsShort[[#This Row],[CollectionStream_ID]]="03",TransTonsShort[[#This Row],[CollectionStream_ID]]="04",TransTonsShort[[#This Row],[CollectionStream_ID]]="13"),0,TransTonsShort[[#This Row],[Trans_Tons_All]]*TransTonsShort[[#This Row],[Disposal_Fee]])</f>
        <v>0</v>
      </c>
    </row>
    <row r="871" spans="12:27" ht="15" x14ac:dyDescent="0.25">
      <c r="L871" s="446" t="s">
        <v>873</v>
      </c>
      <c r="M871" s="446">
        <v>1</v>
      </c>
      <c r="N871" s="446">
        <v>3</v>
      </c>
      <c r="O871" s="448" t="s">
        <v>746</v>
      </c>
      <c r="P871" s="449" t="s">
        <v>746</v>
      </c>
      <c r="Q871" s="449"/>
      <c r="R871" s="449"/>
      <c r="S871" s="449" t="s">
        <v>762</v>
      </c>
      <c r="T871" s="449" t="s">
        <v>848</v>
      </c>
      <c r="U871" s="452">
        <v>0</v>
      </c>
      <c r="V8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1" s="272" t="str">
        <f>IFERROR(SUMIFS(TransUnitCost[Miles],TransUnitCost[Grouping_ID],TransTonsShort[[#This Row],[Grouping_ID]],TransUnitCost[Transp_ID],TransTonsShort[[#This Row],[Transp_ID]])*TransTonsShort[[#This Row],[Trans_Tons_All]]/TransTonsShort[[#This Row],[Trans_Tons_All]],"")</f>
        <v/>
      </c>
      <c r="X871" s="386" t="str">
        <f>TransTonsShort[[#This Row],[Grouping_ID]]&amp;"-"&amp;TransTonsShort[[#This Row],[Sector_ID]]</f>
        <v>1-3</v>
      </c>
      <c r="Y8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1" s="421">
        <f>INDEX(LandfillFees[Disposal Tip Fee 2025],MATCH(TransTonsShort[[#This Row],[Grouping_ID]],LandfillFees[Grouping_ID],0))</f>
        <v>134.68</v>
      </c>
      <c r="AA871" s="102">
        <f>IF(OR(TransTonsShort[[#This Row],[CollectionStream_ID]]="03",TransTonsShort[[#This Row],[CollectionStream_ID]]="04",TransTonsShort[[#This Row],[CollectionStream_ID]]="13"),0,TransTonsShort[[#This Row],[Trans_Tons_All]]*TransTonsShort[[#This Row],[Disposal_Fee]])</f>
        <v>0</v>
      </c>
    </row>
    <row r="872" spans="12:27" ht="15" x14ac:dyDescent="0.25">
      <c r="L872" s="446" t="s">
        <v>873</v>
      </c>
      <c r="M872" s="446">
        <v>2</v>
      </c>
      <c r="N872" s="446">
        <v>3</v>
      </c>
      <c r="O872" s="448" t="s">
        <v>746</v>
      </c>
      <c r="P872" s="449" t="s">
        <v>746</v>
      </c>
      <c r="Q872" s="449"/>
      <c r="R872" s="449"/>
      <c r="S872" s="449" t="s">
        <v>762</v>
      </c>
      <c r="T872" s="449" t="s">
        <v>848</v>
      </c>
      <c r="U872" s="452">
        <v>0</v>
      </c>
      <c r="V8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2" s="272" t="str">
        <f>IFERROR(SUMIFS(TransUnitCost[Miles],TransUnitCost[Grouping_ID],TransTonsShort[[#This Row],[Grouping_ID]],TransUnitCost[Transp_ID],TransTonsShort[[#This Row],[Transp_ID]])*TransTonsShort[[#This Row],[Trans_Tons_All]]/TransTonsShort[[#This Row],[Trans_Tons_All]],"")</f>
        <v/>
      </c>
      <c r="X872" s="386" t="str">
        <f>TransTonsShort[[#This Row],[Grouping_ID]]&amp;"-"&amp;TransTonsShort[[#This Row],[Sector_ID]]</f>
        <v>2-3</v>
      </c>
      <c r="Y8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2" s="421">
        <f>INDEX(LandfillFees[Disposal Tip Fee 2025],MATCH(TransTonsShort[[#This Row],[Grouping_ID]],LandfillFees[Grouping_ID],0))</f>
        <v>72.030938699729589</v>
      </c>
      <c r="AA872" s="102">
        <f>IF(OR(TransTonsShort[[#This Row],[CollectionStream_ID]]="03",TransTonsShort[[#This Row],[CollectionStream_ID]]="04",TransTonsShort[[#This Row],[CollectionStream_ID]]="13"),0,TransTonsShort[[#This Row],[Trans_Tons_All]]*TransTonsShort[[#This Row],[Disposal_Fee]])</f>
        <v>0</v>
      </c>
    </row>
    <row r="873" spans="12:27" ht="15" x14ac:dyDescent="0.25">
      <c r="L873" s="446" t="s">
        <v>873</v>
      </c>
      <c r="M873" s="446">
        <v>3</v>
      </c>
      <c r="N873" s="446">
        <v>3</v>
      </c>
      <c r="O873" s="448" t="s">
        <v>746</v>
      </c>
      <c r="P873" s="449" t="s">
        <v>746</v>
      </c>
      <c r="Q873" s="449"/>
      <c r="R873" s="449"/>
      <c r="S873" s="449" t="s">
        <v>762</v>
      </c>
      <c r="T873" s="449" t="s">
        <v>848</v>
      </c>
      <c r="U873" s="452">
        <v>0</v>
      </c>
      <c r="V8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3" s="272" t="str">
        <f>IFERROR(SUMIFS(TransUnitCost[Miles],TransUnitCost[Grouping_ID],TransTonsShort[[#This Row],[Grouping_ID]],TransUnitCost[Transp_ID],TransTonsShort[[#This Row],[Transp_ID]])*TransTonsShort[[#This Row],[Trans_Tons_All]]/TransTonsShort[[#This Row],[Trans_Tons_All]],"")</f>
        <v/>
      </c>
      <c r="X873" s="386" t="str">
        <f>TransTonsShort[[#This Row],[Grouping_ID]]&amp;"-"&amp;TransTonsShort[[#This Row],[Sector_ID]]</f>
        <v>3-3</v>
      </c>
      <c r="Y8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3" s="421">
        <f>INDEX(LandfillFees[Disposal Tip Fee 2025],MATCH(TransTonsShort[[#This Row],[Grouping_ID]],LandfillFees[Grouping_ID],0))</f>
        <v>72.030938699729589</v>
      </c>
      <c r="AA873" s="102">
        <f>IF(OR(TransTonsShort[[#This Row],[CollectionStream_ID]]="03",TransTonsShort[[#This Row],[CollectionStream_ID]]="04",TransTonsShort[[#This Row],[CollectionStream_ID]]="13"),0,TransTonsShort[[#This Row],[Trans_Tons_All]]*TransTonsShort[[#This Row],[Disposal_Fee]])</f>
        <v>0</v>
      </c>
    </row>
    <row r="874" spans="12:27" ht="15" x14ac:dyDescent="0.25">
      <c r="L874" s="446" t="s">
        <v>873</v>
      </c>
      <c r="M874" s="446">
        <v>4</v>
      </c>
      <c r="N874" s="446">
        <v>3</v>
      </c>
      <c r="O874" s="448" t="s">
        <v>746</v>
      </c>
      <c r="P874" s="449" t="s">
        <v>746</v>
      </c>
      <c r="Q874" s="449"/>
      <c r="R874" s="449"/>
      <c r="S874" s="449" t="s">
        <v>762</v>
      </c>
      <c r="T874" s="449" t="s">
        <v>848</v>
      </c>
      <c r="U874" s="452">
        <v>0</v>
      </c>
      <c r="V8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4" s="272" t="str">
        <f>IFERROR(SUMIFS(TransUnitCost[Miles],TransUnitCost[Grouping_ID],TransTonsShort[[#This Row],[Grouping_ID]],TransUnitCost[Transp_ID],TransTonsShort[[#This Row],[Transp_ID]])*TransTonsShort[[#This Row],[Trans_Tons_All]]/TransTonsShort[[#This Row],[Trans_Tons_All]],"")</f>
        <v/>
      </c>
      <c r="X874" s="386" t="str">
        <f>TransTonsShort[[#This Row],[Grouping_ID]]&amp;"-"&amp;TransTonsShort[[#This Row],[Sector_ID]]</f>
        <v>4-3</v>
      </c>
      <c r="Y8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874" s="421">
        <f>INDEX(LandfillFees[Disposal Tip Fee 2025],MATCH(TransTonsShort[[#This Row],[Grouping_ID]],LandfillFees[Grouping_ID],0))</f>
        <v>72.030938699729589</v>
      </c>
      <c r="AA874" s="102">
        <f>IF(OR(TransTonsShort[[#This Row],[CollectionStream_ID]]="03",TransTonsShort[[#This Row],[CollectionStream_ID]]="04",TransTonsShort[[#This Row],[CollectionStream_ID]]="13"),0,TransTonsShort[[#This Row],[Trans_Tons_All]]*TransTonsShort[[#This Row],[Disposal_Fee]])</f>
        <v>0</v>
      </c>
    </row>
    <row r="875" spans="12:27" ht="15" x14ac:dyDescent="0.25">
      <c r="L875" s="446" t="s">
        <v>873</v>
      </c>
      <c r="M875" s="446">
        <v>1</v>
      </c>
      <c r="N875" s="446">
        <v>3</v>
      </c>
      <c r="O875" s="448" t="s">
        <v>706</v>
      </c>
      <c r="P875" s="449" t="s">
        <v>739</v>
      </c>
      <c r="Q875" s="449"/>
      <c r="R875" s="449"/>
      <c r="S875" s="449" t="s">
        <v>707</v>
      </c>
      <c r="T875" s="449" t="s">
        <v>1121</v>
      </c>
      <c r="U875" s="452">
        <v>5798.0165372371075</v>
      </c>
      <c r="V8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112481.52082239988</v>
      </c>
      <c r="W875" s="272">
        <f>IFERROR(SUMIFS(TransUnitCost[Miles],TransUnitCost[Grouping_ID],TransTonsShort[[#This Row],[Grouping_ID]],TransUnitCost[Transp_ID],TransTonsShort[[#This Row],[Transp_ID]])*TransTonsShort[[#This Row],[Trans_Tons_All]]/TransTonsShort[[#This Row],[Trans_Tons_All]],"")</f>
        <v>20</v>
      </c>
      <c r="X875" s="386" t="str">
        <f>TransTonsShort[[#This Row],[Grouping_ID]]&amp;"-"&amp;TransTonsShort[[#This Row],[Sector_ID]]</f>
        <v>1-3</v>
      </c>
      <c r="Y8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75" s="421">
        <f>INDEX(LandfillFees[Disposal Tip Fee 2025],MATCH(TransTonsShort[[#This Row],[Grouping_ID]],LandfillFees[Grouping_ID],0))</f>
        <v>134.68</v>
      </c>
      <c r="AA875" s="102">
        <f>IF(OR(TransTonsShort[[#This Row],[CollectionStream_ID]]="03",TransTonsShort[[#This Row],[CollectionStream_ID]]="04",TransTonsShort[[#This Row],[CollectionStream_ID]]="13"),0,TransTonsShort[[#This Row],[Trans_Tons_All]]*TransTonsShort[[#This Row],[Disposal_Fee]])</f>
        <v>780876.86723509373</v>
      </c>
    </row>
    <row r="876" spans="12:27" ht="15" x14ac:dyDescent="0.25">
      <c r="L876" s="446" t="s">
        <v>873</v>
      </c>
      <c r="M876" s="446">
        <v>2</v>
      </c>
      <c r="N876" s="446">
        <v>3</v>
      </c>
      <c r="O876" s="448" t="s">
        <v>706</v>
      </c>
      <c r="P876" s="449" t="s">
        <v>739</v>
      </c>
      <c r="Q876" s="449"/>
      <c r="R876" s="449"/>
      <c r="S876" s="449" t="s">
        <v>707</v>
      </c>
      <c r="T876" s="449" t="s">
        <v>1121</v>
      </c>
      <c r="U876" s="452">
        <v>4564.1866984109183</v>
      </c>
      <c r="V8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188500.91064437092</v>
      </c>
      <c r="W876" s="272">
        <f>IFERROR(SUMIFS(TransUnitCost[Miles],TransUnitCost[Grouping_ID],TransTonsShort[[#This Row],[Grouping_ID]],TransUnitCost[Transp_ID],TransTonsShort[[#This Row],[Transp_ID]])*TransTonsShort[[#This Row],[Trans_Tons_All]]/TransTonsShort[[#This Row],[Trans_Tons_All]],"")</f>
        <v>70</v>
      </c>
      <c r="X876" s="386" t="str">
        <f>TransTonsShort[[#This Row],[Grouping_ID]]&amp;"-"&amp;TransTonsShort[[#This Row],[Sector_ID]]</f>
        <v>2-3</v>
      </c>
      <c r="Y8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76" s="421">
        <f>INDEX(LandfillFees[Disposal Tip Fee 2025],MATCH(TransTonsShort[[#This Row],[Grouping_ID]],LandfillFees[Grouping_ID],0))</f>
        <v>72.030938699729589</v>
      </c>
      <c r="AA876" s="102">
        <f>IF(OR(TransTonsShort[[#This Row],[CollectionStream_ID]]="03",TransTonsShort[[#This Row],[CollectionStream_ID]]="04",TransTonsShort[[#This Row],[CollectionStream_ID]]="13"),0,TransTonsShort[[#This Row],[Trans_Tons_All]]*TransTonsShort[[#This Row],[Disposal_Fee]])</f>
        <v>328762.65228735801</v>
      </c>
    </row>
    <row r="877" spans="12:27" ht="15" x14ac:dyDescent="0.25">
      <c r="L877" s="446" t="s">
        <v>873</v>
      </c>
      <c r="M877" s="446">
        <v>3</v>
      </c>
      <c r="N877" s="446">
        <v>3</v>
      </c>
      <c r="O877" s="448" t="s">
        <v>706</v>
      </c>
      <c r="P877" s="449" t="s">
        <v>739</v>
      </c>
      <c r="Q877" s="449"/>
      <c r="R877" s="449"/>
      <c r="S877" s="449" t="s">
        <v>707</v>
      </c>
      <c r="T877" s="449" t="s">
        <v>1121</v>
      </c>
      <c r="U877" s="452">
        <v>798.75441320832908</v>
      </c>
      <c r="V8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28755.158875499848</v>
      </c>
      <c r="W877" s="272">
        <f>IFERROR(SUMIFS(TransUnitCost[Miles],TransUnitCost[Grouping_ID],TransTonsShort[[#This Row],[Grouping_ID]],TransUnitCost[Transp_ID],TransTonsShort[[#This Row],[Transp_ID]])*TransTonsShort[[#This Row],[Trans_Tons_All]]/TransTonsShort[[#This Row],[Trans_Tons_All]],"")</f>
        <v>150</v>
      </c>
      <c r="X877" s="386" t="str">
        <f>TransTonsShort[[#This Row],[Grouping_ID]]&amp;"-"&amp;TransTonsShort[[#This Row],[Sector_ID]]</f>
        <v>3-3</v>
      </c>
      <c r="Y8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77" s="421">
        <f>INDEX(LandfillFees[Disposal Tip Fee 2025],MATCH(TransTonsShort[[#This Row],[Grouping_ID]],LandfillFees[Grouping_ID],0))</f>
        <v>72.030938699729589</v>
      </c>
      <c r="AA877" s="102">
        <f>IF(OR(TransTonsShort[[#This Row],[CollectionStream_ID]]="03",TransTonsShort[[#This Row],[CollectionStream_ID]]="04",TransTonsShort[[#This Row],[CollectionStream_ID]]="13"),0,TransTonsShort[[#This Row],[Trans_Tons_All]]*TransTonsShort[[#This Row],[Disposal_Fee]])</f>
        <v>57535.030173947627</v>
      </c>
    </row>
    <row r="878" spans="12:27" ht="15" x14ac:dyDescent="0.25">
      <c r="L878" s="446" t="s">
        <v>873</v>
      </c>
      <c r="M878" s="446">
        <v>4</v>
      </c>
      <c r="N878" s="446">
        <v>3</v>
      </c>
      <c r="O878" s="448" t="s">
        <v>706</v>
      </c>
      <c r="P878" s="449" t="s">
        <v>739</v>
      </c>
      <c r="Q878" s="449"/>
      <c r="R878" s="449"/>
      <c r="S878" s="449" t="s">
        <v>707</v>
      </c>
      <c r="T878" s="449" t="s">
        <v>1121</v>
      </c>
      <c r="U878" s="452">
        <v>264.93557181993026</v>
      </c>
      <c r="V8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14571.456450096164</v>
      </c>
      <c r="W878" s="272">
        <f>IFERROR(SUMIFS(TransUnitCost[Miles],TransUnitCost[Grouping_ID],TransTonsShort[[#This Row],[Grouping_ID]],TransUnitCost[Transp_ID],TransTonsShort[[#This Row],[Transp_ID]])*TransTonsShort[[#This Row],[Trans_Tons_All]]/TransTonsShort[[#This Row],[Trans_Tons_All]],"")</f>
        <v>250.00000000000003</v>
      </c>
      <c r="X878" s="386" t="str">
        <f>TransTonsShort[[#This Row],[Grouping_ID]]&amp;"-"&amp;TransTonsShort[[#This Row],[Sector_ID]]</f>
        <v>4-3</v>
      </c>
      <c r="Y8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78" s="421">
        <f>INDEX(LandfillFees[Disposal Tip Fee 2025],MATCH(TransTonsShort[[#This Row],[Grouping_ID]],LandfillFees[Grouping_ID],0))</f>
        <v>72.030938699729589</v>
      </c>
      <c r="AA878" s="102">
        <f>IF(OR(TransTonsShort[[#This Row],[CollectionStream_ID]]="03",TransTonsShort[[#This Row],[CollectionStream_ID]]="04",TransTonsShort[[#This Row],[CollectionStream_ID]]="13"),0,TransTonsShort[[#This Row],[Trans_Tons_All]]*TransTonsShort[[#This Row],[Disposal_Fee]])</f>
        <v>19083.557933139204</v>
      </c>
    </row>
    <row r="879" spans="12:27" ht="15" x14ac:dyDescent="0.25">
      <c r="L879" s="446" t="s">
        <v>873</v>
      </c>
      <c r="M879" s="446">
        <v>1</v>
      </c>
      <c r="N879" s="446">
        <v>3</v>
      </c>
      <c r="O879" s="448" t="s">
        <v>706</v>
      </c>
      <c r="P879" s="449" t="s">
        <v>700</v>
      </c>
      <c r="Q879" s="449"/>
      <c r="R879" s="449"/>
      <c r="S879" s="449" t="s">
        <v>707</v>
      </c>
      <c r="T879" s="449" t="s">
        <v>701</v>
      </c>
      <c r="U879" s="452">
        <v>3045.9598519855836</v>
      </c>
      <c r="V8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79" s="272">
        <f>IFERROR(SUMIFS(TransUnitCost[Miles],TransUnitCost[Grouping_ID],TransTonsShort[[#This Row],[Grouping_ID]],TransUnitCost[Transp_ID],TransTonsShort[[#This Row],[Transp_ID]])*TransTonsShort[[#This Row],[Trans_Tons_All]]/TransTonsShort[[#This Row],[Trans_Tons_All]],"")</f>
        <v>0</v>
      </c>
      <c r="X879" s="386" t="str">
        <f>TransTonsShort[[#This Row],[Grouping_ID]]&amp;"-"&amp;TransTonsShort[[#This Row],[Sector_ID]]</f>
        <v>1-3</v>
      </c>
      <c r="Y8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79" s="421">
        <f>INDEX(LandfillFees[Disposal Tip Fee 2025],MATCH(TransTonsShort[[#This Row],[Grouping_ID]],LandfillFees[Grouping_ID],0))</f>
        <v>134.68</v>
      </c>
      <c r="AA879" s="102">
        <f>IF(OR(TransTonsShort[[#This Row],[CollectionStream_ID]]="03",TransTonsShort[[#This Row],[CollectionStream_ID]]="04",TransTonsShort[[#This Row],[CollectionStream_ID]]="13"),0,TransTonsShort[[#This Row],[Trans_Tons_All]]*TransTonsShort[[#This Row],[Disposal_Fee]])</f>
        <v>410229.87286541844</v>
      </c>
    </row>
    <row r="880" spans="12:27" ht="15" x14ac:dyDescent="0.25">
      <c r="L880" s="446" t="s">
        <v>873</v>
      </c>
      <c r="M880" s="446">
        <v>2</v>
      </c>
      <c r="N880" s="446">
        <v>3</v>
      </c>
      <c r="O880" s="448" t="s">
        <v>706</v>
      </c>
      <c r="P880" s="449" t="s">
        <v>700</v>
      </c>
      <c r="Q880" s="449"/>
      <c r="R880" s="449"/>
      <c r="S880" s="449" t="s">
        <v>707</v>
      </c>
      <c r="T880" s="449" t="s">
        <v>701</v>
      </c>
      <c r="U880" s="452">
        <v>0</v>
      </c>
      <c r="V8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0" s="272" t="str">
        <f>IFERROR(SUMIFS(TransUnitCost[Miles],TransUnitCost[Grouping_ID],TransTonsShort[[#This Row],[Grouping_ID]],TransUnitCost[Transp_ID],TransTonsShort[[#This Row],[Transp_ID]])*TransTonsShort[[#This Row],[Trans_Tons_All]]/TransTonsShort[[#This Row],[Trans_Tons_All]],"")</f>
        <v/>
      </c>
      <c r="X880" s="386" t="str">
        <f>TransTonsShort[[#This Row],[Grouping_ID]]&amp;"-"&amp;TransTonsShort[[#This Row],[Sector_ID]]</f>
        <v>2-3</v>
      </c>
      <c r="Y8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0" s="421">
        <f>INDEX(LandfillFees[Disposal Tip Fee 2025],MATCH(TransTonsShort[[#This Row],[Grouping_ID]],LandfillFees[Grouping_ID],0))</f>
        <v>72.030938699729589</v>
      </c>
      <c r="AA880" s="102">
        <f>IF(OR(TransTonsShort[[#This Row],[CollectionStream_ID]]="03",TransTonsShort[[#This Row],[CollectionStream_ID]]="04",TransTonsShort[[#This Row],[CollectionStream_ID]]="13"),0,TransTonsShort[[#This Row],[Trans_Tons_All]]*TransTonsShort[[#This Row],[Disposal_Fee]])</f>
        <v>0</v>
      </c>
    </row>
    <row r="881" spans="12:27" ht="15" x14ac:dyDescent="0.25">
      <c r="L881" s="446" t="s">
        <v>873</v>
      </c>
      <c r="M881" s="446">
        <v>3</v>
      </c>
      <c r="N881" s="446">
        <v>3</v>
      </c>
      <c r="O881" s="448" t="s">
        <v>706</v>
      </c>
      <c r="P881" s="449" t="s">
        <v>700</v>
      </c>
      <c r="Q881" s="449"/>
      <c r="R881" s="449"/>
      <c r="S881" s="449" t="s">
        <v>707</v>
      </c>
      <c r="T881" s="449" t="s">
        <v>701</v>
      </c>
      <c r="U881" s="452">
        <v>0</v>
      </c>
      <c r="V8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1" s="272" t="str">
        <f>IFERROR(SUMIFS(TransUnitCost[Miles],TransUnitCost[Grouping_ID],TransTonsShort[[#This Row],[Grouping_ID]],TransUnitCost[Transp_ID],TransTonsShort[[#This Row],[Transp_ID]])*TransTonsShort[[#This Row],[Trans_Tons_All]]/TransTonsShort[[#This Row],[Trans_Tons_All]],"")</f>
        <v/>
      </c>
      <c r="X881" s="386" t="str">
        <f>TransTonsShort[[#This Row],[Grouping_ID]]&amp;"-"&amp;TransTonsShort[[#This Row],[Sector_ID]]</f>
        <v>3-3</v>
      </c>
      <c r="Y8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1" s="421">
        <f>INDEX(LandfillFees[Disposal Tip Fee 2025],MATCH(TransTonsShort[[#This Row],[Grouping_ID]],LandfillFees[Grouping_ID],0))</f>
        <v>72.030938699729589</v>
      </c>
      <c r="AA881" s="102">
        <f>IF(OR(TransTonsShort[[#This Row],[CollectionStream_ID]]="03",TransTonsShort[[#This Row],[CollectionStream_ID]]="04",TransTonsShort[[#This Row],[CollectionStream_ID]]="13"),0,TransTonsShort[[#This Row],[Trans_Tons_All]]*TransTonsShort[[#This Row],[Disposal_Fee]])</f>
        <v>0</v>
      </c>
    </row>
    <row r="882" spans="12:27" ht="15" x14ac:dyDescent="0.25">
      <c r="L882" s="446" t="s">
        <v>873</v>
      </c>
      <c r="M882" s="446">
        <v>4</v>
      </c>
      <c r="N882" s="446">
        <v>3</v>
      </c>
      <c r="O882" s="448" t="s">
        <v>706</v>
      </c>
      <c r="P882" s="449" t="s">
        <v>700</v>
      </c>
      <c r="Q882" s="449"/>
      <c r="R882" s="449"/>
      <c r="S882" s="449" t="s">
        <v>707</v>
      </c>
      <c r="T882" s="449" t="s">
        <v>701</v>
      </c>
      <c r="U882" s="452">
        <v>0</v>
      </c>
      <c r="V8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2" s="272" t="str">
        <f>IFERROR(SUMIFS(TransUnitCost[Miles],TransUnitCost[Grouping_ID],TransTonsShort[[#This Row],[Grouping_ID]],TransUnitCost[Transp_ID],TransTonsShort[[#This Row],[Transp_ID]])*TransTonsShort[[#This Row],[Trans_Tons_All]]/TransTonsShort[[#This Row],[Trans_Tons_All]],"")</f>
        <v/>
      </c>
      <c r="X882" s="386" t="str">
        <f>TransTonsShort[[#This Row],[Grouping_ID]]&amp;"-"&amp;TransTonsShort[[#This Row],[Sector_ID]]</f>
        <v>4-3</v>
      </c>
      <c r="Y8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2" s="421">
        <f>INDEX(LandfillFees[Disposal Tip Fee 2025],MATCH(TransTonsShort[[#This Row],[Grouping_ID]],LandfillFees[Grouping_ID],0))</f>
        <v>72.030938699729589</v>
      </c>
      <c r="AA882" s="102">
        <f>IF(OR(TransTonsShort[[#This Row],[CollectionStream_ID]]="03",TransTonsShort[[#This Row],[CollectionStream_ID]]="04",TransTonsShort[[#This Row],[CollectionStream_ID]]="13"),0,TransTonsShort[[#This Row],[Trans_Tons_All]]*TransTonsShort[[#This Row],[Disposal_Fee]])</f>
        <v>0</v>
      </c>
    </row>
    <row r="883" spans="12:27" ht="15" x14ac:dyDescent="0.25">
      <c r="L883" s="446" t="s">
        <v>873</v>
      </c>
      <c r="M883" s="446">
        <v>1</v>
      </c>
      <c r="N883" s="446">
        <v>3</v>
      </c>
      <c r="O883" s="446" t="s">
        <v>752</v>
      </c>
      <c r="P883" s="449" t="s">
        <v>719</v>
      </c>
      <c r="Q883" s="449"/>
      <c r="R883" s="449"/>
      <c r="S883" s="449" t="s">
        <v>964</v>
      </c>
      <c r="T883" s="449" t="s">
        <v>1055</v>
      </c>
      <c r="U883" s="452">
        <v>0</v>
      </c>
      <c r="V8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3" s="272" t="str">
        <f>IFERROR(SUMIFS(TransUnitCost[Miles],TransUnitCost[Grouping_ID],TransTonsShort[[#This Row],[Grouping_ID]],TransUnitCost[Transp_ID],TransTonsShort[[#This Row],[Transp_ID]])*TransTonsShort[[#This Row],[Trans_Tons_All]]/TransTonsShort[[#This Row],[Trans_Tons_All]],"")</f>
        <v/>
      </c>
      <c r="X883" s="386" t="str">
        <f>TransTonsShort[[#This Row],[Grouping_ID]]&amp;"-"&amp;TransTonsShort[[#This Row],[Sector_ID]]</f>
        <v>1-3</v>
      </c>
      <c r="Y8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3" s="421">
        <f>INDEX(LandfillFees[Disposal Tip Fee 2025],MATCH(TransTonsShort[[#This Row],[Grouping_ID]],LandfillFees[Grouping_ID],0))</f>
        <v>134.68</v>
      </c>
      <c r="AA883" s="102">
        <f>IF(OR(TransTonsShort[[#This Row],[CollectionStream_ID]]="03",TransTonsShort[[#This Row],[CollectionStream_ID]]="04",TransTonsShort[[#This Row],[CollectionStream_ID]]="13"),0,TransTonsShort[[#This Row],[Trans_Tons_All]]*TransTonsShort[[#This Row],[Disposal_Fee]])</f>
        <v>0</v>
      </c>
    </row>
    <row r="884" spans="12:27" ht="15" x14ac:dyDescent="0.25">
      <c r="L884" s="446" t="s">
        <v>873</v>
      </c>
      <c r="M884" s="446">
        <v>2</v>
      </c>
      <c r="N884" s="446">
        <v>3</v>
      </c>
      <c r="O884" s="446" t="s">
        <v>752</v>
      </c>
      <c r="P884" s="449" t="s">
        <v>719</v>
      </c>
      <c r="Q884" s="449"/>
      <c r="R884" s="449"/>
      <c r="S884" s="449" t="s">
        <v>964</v>
      </c>
      <c r="T884" s="449" t="s">
        <v>1055</v>
      </c>
      <c r="U884" s="452">
        <v>0</v>
      </c>
      <c r="V8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4" s="272" t="str">
        <f>IFERROR(SUMIFS(TransUnitCost[Miles],TransUnitCost[Grouping_ID],TransTonsShort[[#This Row],[Grouping_ID]],TransUnitCost[Transp_ID],TransTonsShort[[#This Row],[Transp_ID]])*TransTonsShort[[#This Row],[Trans_Tons_All]]/TransTonsShort[[#This Row],[Trans_Tons_All]],"")</f>
        <v/>
      </c>
      <c r="X884" s="386" t="str">
        <f>TransTonsShort[[#This Row],[Grouping_ID]]&amp;"-"&amp;TransTonsShort[[#This Row],[Sector_ID]]</f>
        <v>2-3</v>
      </c>
      <c r="Y8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4" s="421">
        <f>INDEX(LandfillFees[Disposal Tip Fee 2025],MATCH(TransTonsShort[[#This Row],[Grouping_ID]],LandfillFees[Grouping_ID],0))</f>
        <v>72.030938699729589</v>
      </c>
      <c r="AA884" s="102">
        <f>IF(OR(TransTonsShort[[#This Row],[CollectionStream_ID]]="03",TransTonsShort[[#This Row],[CollectionStream_ID]]="04",TransTonsShort[[#This Row],[CollectionStream_ID]]="13"),0,TransTonsShort[[#This Row],[Trans_Tons_All]]*TransTonsShort[[#This Row],[Disposal_Fee]])</f>
        <v>0</v>
      </c>
    </row>
    <row r="885" spans="12:27" ht="15" x14ac:dyDescent="0.25">
      <c r="L885" s="446" t="s">
        <v>873</v>
      </c>
      <c r="M885" s="446">
        <v>3</v>
      </c>
      <c r="N885" s="446">
        <v>3</v>
      </c>
      <c r="O885" s="446" t="s">
        <v>752</v>
      </c>
      <c r="P885" s="449" t="s">
        <v>719</v>
      </c>
      <c r="Q885" s="449"/>
      <c r="R885" s="449"/>
      <c r="S885" s="449" t="s">
        <v>964</v>
      </c>
      <c r="T885" s="449" t="s">
        <v>1055</v>
      </c>
      <c r="U885" s="452">
        <v>0</v>
      </c>
      <c r="V8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5" s="272" t="str">
        <f>IFERROR(SUMIFS(TransUnitCost[Miles],TransUnitCost[Grouping_ID],TransTonsShort[[#This Row],[Grouping_ID]],TransUnitCost[Transp_ID],TransTonsShort[[#This Row],[Transp_ID]])*TransTonsShort[[#This Row],[Trans_Tons_All]]/TransTonsShort[[#This Row],[Trans_Tons_All]],"")</f>
        <v/>
      </c>
      <c r="X885" s="386" t="str">
        <f>TransTonsShort[[#This Row],[Grouping_ID]]&amp;"-"&amp;TransTonsShort[[#This Row],[Sector_ID]]</f>
        <v>3-3</v>
      </c>
      <c r="Y8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5" s="421">
        <f>INDEX(LandfillFees[Disposal Tip Fee 2025],MATCH(TransTonsShort[[#This Row],[Grouping_ID]],LandfillFees[Grouping_ID],0))</f>
        <v>72.030938699729589</v>
      </c>
      <c r="AA885" s="102">
        <f>IF(OR(TransTonsShort[[#This Row],[CollectionStream_ID]]="03",TransTonsShort[[#This Row],[CollectionStream_ID]]="04",TransTonsShort[[#This Row],[CollectionStream_ID]]="13"),0,TransTonsShort[[#This Row],[Trans_Tons_All]]*TransTonsShort[[#This Row],[Disposal_Fee]])</f>
        <v>0</v>
      </c>
    </row>
    <row r="886" spans="12:27" ht="15" x14ac:dyDescent="0.25">
      <c r="L886" s="446" t="s">
        <v>873</v>
      </c>
      <c r="M886" s="446">
        <v>4</v>
      </c>
      <c r="N886" s="446">
        <v>3</v>
      </c>
      <c r="O886" s="446" t="s">
        <v>752</v>
      </c>
      <c r="P886" s="449" t="s">
        <v>719</v>
      </c>
      <c r="Q886" s="449"/>
      <c r="R886" s="449"/>
      <c r="S886" s="449" t="s">
        <v>964</v>
      </c>
      <c r="T886" s="449" t="s">
        <v>1055</v>
      </c>
      <c r="U886" s="452">
        <v>0</v>
      </c>
      <c r="V8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6" s="272" t="str">
        <f>IFERROR(SUMIFS(TransUnitCost[Miles],TransUnitCost[Grouping_ID],TransTonsShort[[#This Row],[Grouping_ID]],TransUnitCost[Transp_ID],TransTonsShort[[#This Row],[Transp_ID]])*TransTonsShort[[#This Row],[Trans_Tons_All]]/TransTonsShort[[#This Row],[Trans_Tons_All]],"")</f>
        <v/>
      </c>
      <c r="X886" s="386" t="str">
        <f>TransTonsShort[[#This Row],[Grouping_ID]]&amp;"-"&amp;TransTonsShort[[#This Row],[Sector_ID]]</f>
        <v>4-3</v>
      </c>
      <c r="Y8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6" s="421">
        <f>INDEX(LandfillFees[Disposal Tip Fee 2025],MATCH(TransTonsShort[[#This Row],[Grouping_ID]],LandfillFees[Grouping_ID],0))</f>
        <v>72.030938699729589</v>
      </c>
      <c r="AA886" s="102">
        <f>IF(OR(TransTonsShort[[#This Row],[CollectionStream_ID]]="03",TransTonsShort[[#This Row],[CollectionStream_ID]]="04",TransTonsShort[[#This Row],[CollectionStream_ID]]="13"),0,TransTonsShort[[#This Row],[Trans_Tons_All]]*TransTonsShort[[#This Row],[Disposal_Fee]])</f>
        <v>0</v>
      </c>
    </row>
    <row r="887" spans="12:27" ht="15" x14ac:dyDescent="0.25">
      <c r="L887" s="446" t="s">
        <v>873</v>
      </c>
      <c r="M887" s="446">
        <v>1</v>
      </c>
      <c r="N887" s="446">
        <v>3</v>
      </c>
      <c r="O887" s="446" t="s">
        <v>752</v>
      </c>
      <c r="P887" s="449" t="s">
        <v>700</v>
      </c>
      <c r="Q887" s="449"/>
      <c r="R887" s="449"/>
      <c r="S887" s="449" t="s">
        <v>964</v>
      </c>
      <c r="T887" s="449" t="s">
        <v>701</v>
      </c>
      <c r="U887" s="452">
        <v>2837.9119120943196</v>
      </c>
      <c r="V8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7" s="272">
        <f>IFERROR(SUMIFS(TransUnitCost[Miles],TransUnitCost[Grouping_ID],TransTonsShort[[#This Row],[Grouping_ID]],TransUnitCost[Transp_ID],TransTonsShort[[#This Row],[Transp_ID]])*TransTonsShort[[#This Row],[Trans_Tons_All]]/TransTonsShort[[#This Row],[Trans_Tons_All]],"")</f>
        <v>0</v>
      </c>
      <c r="X887" s="386" t="str">
        <f>TransTonsShort[[#This Row],[Grouping_ID]]&amp;"-"&amp;TransTonsShort[[#This Row],[Sector_ID]]</f>
        <v>1-3</v>
      </c>
      <c r="Y8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7" s="421">
        <f>INDEX(LandfillFees[Disposal Tip Fee 2025],MATCH(TransTonsShort[[#This Row],[Grouping_ID]],LandfillFees[Grouping_ID],0))</f>
        <v>134.68</v>
      </c>
      <c r="AA887" s="102">
        <f>IF(OR(TransTonsShort[[#This Row],[CollectionStream_ID]]="03",TransTonsShort[[#This Row],[CollectionStream_ID]]="04",TransTonsShort[[#This Row],[CollectionStream_ID]]="13"),0,TransTonsShort[[#This Row],[Trans_Tons_All]]*TransTonsShort[[#This Row],[Disposal_Fee]])</f>
        <v>382209.976320863</v>
      </c>
    </row>
    <row r="888" spans="12:27" ht="15" x14ac:dyDescent="0.25">
      <c r="L888" s="446" t="s">
        <v>873</v>
      </c>
      <c r="M888" s="446">
        <v>2</v>
      </c>
      <c r="N888" s="446">
        <v>3</v>
      </c>
      <c r="O888" s="446" t="s">
        <v>752</v>
      </c>
      <c r="P888" s="449" t="s">
        <v>700</v>
      </c>
      <c r="Q888" s="449"/>
      <c r="R888" s="449"/>
      <c r="S888" s="449" t="s">
        <v>964</v>
      </c>
      <c r="T888" s="449" t="s">
        <v>701</v>
      </c>
      <c r="U888" s="452">
        <v>0</v>
      </c>
      <c r="V8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8" s="272" t="str">
        <f>IFERROR(SUMIFS(TransUnitCost[Miles],TransUnitCost[Grouping_ID],TransTonsShort[[#This Row],[Grouping_ID]],TransUnitCost[Transp_ID],TransTonsShort[[#This Row],[Transp_ID]])*TransTonsShort[[#This Row],[Trans_Tons_All]]/TransTonsShort[[#This Row],[Trans_Tons_All]],"")</f>
        <v/>
      </c>
      <c r="X888" s="386" t="str">
        <f>TransTonsShort[[#This Row],[Grouping_ID]]&amp;"-"&amp;TransTonsShort[[#This Row],[Sector_ID]]</f>
        <v>2-3</v>
      </c>
      <c r="Y8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8" s="421">
        <f>INDEX(LandfillFees[Disposal Tip Fee 2025],MATCH(TransTonsShort[[#This Row],[Grouping_ID]],LandfillFees[Grouping_ID],0))</f>
        <v>72.030938699729589</v>
      </c>
      <c r="AA888" s="102">
        <f>IF(OR(TransTonsShort[[#This Row],[CollectionStream_ID]]="03",TransTonsShort[[#This Row],[CollectionStream_ID]]="04",TransTonsShort[[#This Row],[CollectionStream_ID]]="13"),0,TransTonsShort[[#This Row],[Trans_Tons_All]]*TransTonsShort[[#This Row],[Disposal_Fee]])</f>
        <v>0</v>
      </c>
    </row>
    <row r="889" spans="12:27" ht="15" x14ac:dyDescent="0.25">
      <c r="L889" s="446" t="s">
        <v>873</v>
      </c>
      <c r="M889" s="446">
        <v>3</v>
      </c>
      <c r="N889" s="446">
        <v>3</v>
      </c>
      <c r="O889" s="446" t="s">
        <v>752</v>
      </c>
      <c r="P889" s="449" t="s">
        <v>700</v>
      </c>
      <c r="Q889" s="449"/>
      <c r="R889" s="449"/>
      <c r="S889" s="449" t="s">
        <v>964</v>
      </c>
      <c r="T889" s="449" t="s">
        <v>701</v>
      </c>
      <c r="U889" s="452">
        <v>0</v>
      </c>
      <c r="V8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89" s="272" t="str">
        <f>IFERROR(SUMIFS(TransUnitCost[Miles],TransUnitCost[Grouping_ID],TransTonsShort[[#This Row],[Grouping_ID]],TransUnitCost[Transp_ID],TransTonsShort[[#This Row],[Transp_ID]])*TransTonsShort[[#This Row],[Trans_Tons_All]]/TransTonsShort[[#This Row],[Trans_Tons_All]],"")</f>
        <v/>
      </c>
      <c r="X889" s="386" t="str">
        <f>TransTonsShort[[#This Row],[Grouping_ID]]&amp;"-"&amp;TransTonsShort[[#This Row],[Sector_ID]]</f>
        <v>3-3</v>
      </c>
      <c r="Y8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89" s="421">
        <f>INDEX(LandfillFees[Disposal Tip Fee 2025],MATCH(TransTonsShort[[#This Row],[Grouping_ID]],LandfillFees[Grouping_ID],0))</f>
        <v>72.030938699729589</v>
      </c>
      <c r="AA889" s="102">
        <f>IF(OR(TransTonsShort[[#This Row],[CollectionStream_ID]]="03",TransTonsShort[[#This Row],[CollectionStream_ID]]="04",TransTonsShort[[#This Row],[CollectionStream_ID]]="13"),0,TransTonsShort[[#This Row],[Trans_Tons_All]]*TransTonsShort[[#This Row],[Disposal_Fee]])</f>
        <v>0</v>
      </c>
    </row>
    <row r="890" spans="12:27" ht="15" x14ac:dyDescent="0.25">
      <c r="L890" s="446" t="s">
        <v>873</v>
      </c>
      <c r="M890" s="446">
        <v>4</v>
      </c>
      <c r="N890" s="446">
        <v>3</v>
      </c>
      <c r="O890" s="446" t="s">
        <v>752</v>
      </c>
      <c r="P890" s="449" t="s">
        <v>700</v>
      </c>
      <c r="Q890" s="449"/>
      <c r="R890" s="449"/>
      <c r="S890" s="449" t="s">
        <v>964</v>
      </c>
      <c r="T890" s="449" t="s">
        <v>701</v>
      </c>
      <c r="U890" s="452">
        <v>0</v>
      </c>
      <c r="V8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90" s="272" t="str">
        <f>IFERROR(SUMIFS(TransUnitCost[Miles],TransUnitCost[Grouping_ID],TransTonsShort[[#This Row],[Grouping_ID]],TransUnitCost[Transp_ID],TransTonsShort[[#This Row],[Transp_ID]])*TransTonsShort[[#This Row],[Trans_Tons_All]]/TransTonsShort[[#This Row],[Trans_Tons_All]],"")</f>
        <v/>
      </c>
      <c r="X890" s="386" t="str">
        <f>TransTonsShort[[#This Row],[Grouping_ID]]&amp;"-"&amp;TransTonsShort[[#This Row],[Sector_ID]]</f>
        <v>4-3</v>
      </c>
      <c r="Y8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0" s="421">
        <f>INDEX(LandfillFees[Disposal Tip Fee 2025],MATCH(TransTonsShort[[#This Row],[Grouping_ID]],LandfillFees[Grouping_ID],0))</f>
        <v>72.030938699729589</v>
      </c>
      <c r="AA890" s="102">
        <f>IF(OR(TransTonsShort[[#This Row],[CollectionStream_ID]]="03",TransTonsShort[[#This Row],[CollectionStream_ID]]="04",TransTonsShort[[#This Row],[CollectionStream_ID]]="13"),0,TransTonsShort[[#This Row],[Trans_Tons_All]]*TransTonsShort[[#This Row],[Disposal_Fee]])</f>
        <v>0</v>
      </c>
    </row>
    <row r="891" spans="12:27" ht="15" x14ac:dyDescent="0.25">
      <c r="L891" s="446" t="s">
        <v>873</v>
      </c>
      <c r="M891" s="446">
        <v>1</v>
      </c>
      <c r="N891" s="446">
        <v>3</v>
      </c>
      <c r="O891" s="446" t="s">
        <v>752</v>
      </c>
      <c r="P891" s="449" t="s">
        <v>706</v>
      </c>
      <c r="Q891" s="449"/>
      <c r="R891" s="449"/>
      <c r="S891" s="449" t="s">
        <v>964</v>
      </c>
      <c r="T891" s="449" t="s">
        <v>1025</v>
      </c>
      <c r="U891" s="452">
        <v>0</v>
      </c>
      <c r="V8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91" s="272" t="str">
        <f>IFERROR(SUMIFS(TransUnitCost[Miles],TransUnitCost[Grouping_ID],TransTonsShort[[#This Row],[Grouping_ID]],TransUnitCost[Transp_ID],TransTonsShort[[#This Row],[Transp_ID]])*TransTonsShort[[#This Row],[Trans_Tons_All]]/TransTonsShort[[#This Row],[Trans_Tons_All]],"")</f>
        <v/>
      </c>
      <c r="X891" s="386" t="str">
        <f>TransTonsShort[[#This Row],[Grouping_ID]]&amp;"-"&amp;TransTonsShort[[#This Row],[Sector_ID]]</f>
        <v>1-3</v>
      </c>
      <c r="Y8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1" s="421">
        <f>INDEX(LandfillFees[Disposal Tip Fee 2025],MATCH(TransTonsShort[[#This Row],[Grouping_ID]],LandfillFees[Grouping_ID],0))</f>
        <v>134.68</v>
      </c>
      <c r="AA891" s="102">
        <f>IF(OR(TransTonsShort[[#This Row],[CollectionStream_ID]]="03",TransTonsShort[[#This Row],[CollectionStream_ID]]="04",TransTonsShort[[#This Row],[CollectionStream_ID]]="13"),0,TransTonsShort[[#This Row],[Trans_Tons_All]]*TransTonsShort[[#This Row],[Disposal_Fee]])</f>
        <v>0</v>
      </c>
    </row>
    <row r="892" spans="12:27" ht="15" x14ac:dyDescent="0.25">
      <c r="L892" s="446" t="s">
        <v>873</v>
      </c>
      <c r="M892" s="446">
        <v>2</v>
      </c>
      <c r="N892" s="446">
        <v>3</v>
      </c>
      <c r="O892" s="446" t="s">
        <v>752</v>
      </c>
      <c r="P892" s="449" t="s">
        <v>706</v>
      </c>
      <c r="Q892" s="449"/>
      <c r="R892" s="449"/>
      <c r="S892" s="449" t="s">
        <v>964</v>
      </c>
      <c r="T892" s="449" t="s">
        <v>1025</v>
      </c>
      <c r="U892" s="452">
        <v>367.78266139647616</v>
      </c>
      <c r="V8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10297.914519101332</v>
      </c>
      <c r="W892" s="272">
        <f>IFERROR(SUMIFS(TransUnitCost[Miles],TransUnitCost[Grouping_ID],TransTonsShort[[#This Row],[Grouping_ID]],TransUnitCost[Transp_ID],TransTonsShort[[#This Row],[Transp_ID]])*TransTonsShort[[#This Row],[Trans_Tons_All]]/TransTonsShort[[#This Row],[Trans_Tons_All]],"")</f>
        <v>70</v>
      </c>
      <c r="X892" s="386" t="str">
        <f>TransTonsShort[[#This Row],[Grouping_ID]]&amp;"-"&amp;TransTonsShort[[#This Row],[Sector_ID]]</f>
        <v>2-3</v>
      </c>
      <c r="Y8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2" s="421">
        <f>INDEX(LandfillFees[Disposal Tip Fee 2025],MATCH(TransTonsShort[[#This Row],[Grouping_ID]],LandfillFees[Grouping_ID],0))</f>
        <v>72.030938699729589</v>
      </c>
      <c r="AA892" s="102">
        <f>IF(OR(TransTonsShort[[#This Row],[CollectionStream_ID]]="03",TransTonsShort[[#This Row],[CollectionStream_ID]]="04",TransTonsShort[[#This Row],[CollectionStream_ID]]="13"),0,TransTonsShort[[#This Row],[Trans_Tons_All]]*TransTonsShort[[#This Row],[Disposal_Fee]])</f>
        <v>26491.730337872978</v>
      </c>
    </row>
    <row r="893" spans="12:27" ht="15" x14ac:dyDescent="0.25">
      <c r="L893" s="446" t="s">
        <v>873</v>
      </c>
      <c r="M893" s="446">
        <v>3</v>
      </c>
      <c r="N893" s="446">
        <v>3</v>
      </c>
      <c r="O893" s="446" t="s">
        <v>752</v>
      </c>
      <c r="P893" s="449" t="s">
        <v>706</v>
      </c>
      <c r="Q893" s="449"/>
      <c r="R893" s="449"/>
      <c r="S893" s="449" t="s">
        <v>964</v>
      </c>
      <c r="T893" s="449" t="s">
        <v>1025</v>
      </c>
      <c r="U893" s="452">
        <v>147.89399146491724</v>
      </c>
      <c r="V8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7764.4345519081544</v>
      </c>
      <c r="W893" s="272">
        <f>IFERROR(SUMIFS(TransUnitCost[Miles],TransUnitCost[Grouping_ID],TransTonsShort[[#This Row],[Grouping_ID]],TransUnitCost[Transp_ID],TransTonsShort[[#This Row],[Transp_ID]])*TransTonsShort[[#This Row],[Trans_Tons_All]]/TransTonsShort[[#This Row],[Trans_Tons_All]],"")</f>
        <v>150</v>
      </c>
      <c r="X893" s="386" t="str">
        <f>TransTonsShort[[#This Row],[Grouping_ID]]&amp;"-"&amp;TransTonsShort[[#This Row],[Sector_ID]]</f>
        <v>3-3</v>
      </c>
      <c r="Y8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3" s="421">
        <f>INDEX(LandfillFees[Disposal Tip Fee 2025],MATCH(TransTonsShort[[#This Row],[Grouping_ID]],LandfillFees[Grouping_ID],0))</f>
        <v>72.030938699729589</v>
      </c>
      <c r="AA893" s="102">
        <f>IF(OR(TransTonsShort[[#This Row],[CollectionStream_ID]]="03",TransTonsShort[[#This Row],[CollectionStream_ID]]="04",TransTonsShort[[#This Row],[CollectionStream_ID]]="13"),0,TransTonsShort[[#This Row],[Trans_Tons_All]]*TransTonsShort[[#This Row],[Disposal_Fee]])</f>
        <v>10652.943033267784</v>
      </c>
    </row>
    <row r="894" spans="12:27" ht="15" x14ac:dyDescent="0.25">
      <c r="L894" s="446" t="s">
        <v>873</v>
      </c>
      <c r="M894" s="446">
        <v>4</v>
      </c>
      <c r="N894" s="446">
        <v>3</v>
      </c>
      <c r="O894" s="446" t="s">
        <v>752</v>
      </c>
      <c r="P894" s="449" t="s">
        <v>706</v>
      </c>
      <c r="Q894" s="449"/>
      <c r="R894" s="449"/>
      <c r="S894" s="449" t="s">
        <v>964</v>
      </c>
      <c r="T894" s="449" t="s">
        <v>1025</v>
      </c>
      <c r="U894" s="452">
        <v>139.79439929823366</v>
      </c>
      <c r="V8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13979.439929823366</v>
      </c>
      <c r="W894" s="272">
        <f>IFERROR(SUMIFS(TransUnitCost[Miles],TransUnitCost[Grouping_ID],TransTonsShort[[#This Row],[Grouping_ID]],TransUnitCost[Transp_ID],TransTonsShort[[#This Row],[Transp_ID]])*TransTonsShort[[#This Row],[Trans_Tons_All]]/TransTonsShort[[#This Row],[Trans_Tons_All]],"")</f>
        <v>250</v>
      </c>
      <c r="X894" s="386" t="str">
        <f>TransTonsShort[[#This Row],[Grouping_ID]]&amp;"-"&amp;TransTonsShort[[#This Row],[Sector_ID]]</f>
        <v>4-3</v>
      </c>
      <c r="Y8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4" s="421">
        <f>INDEX(LandfillFees[Disposal Tip Fee 2025],MATCH(TransTonsShort[[#This Row],[Grouping_ID]],LandfillFees[Grouping_ID],0))</f>
        <v>72.030938699729589</v>
      </c>
      <c r="AA894" s="102">
        <f>IF(OR(TransTonsShort[[#This Row],[CollectionStream_ID]]="03",TransTonsShort[[#This Row],[CollectionStream_ID]]="04",TransTonsShort[[#This Row],[CollectionStream_ID]]="13"),0,TransTonsShort[[#This Row],[Trans_Tons_All]]*TransTonsShort[[#This Row],[Disposal_Fee]])</f>
        <v>10069.521806416589</v>
      </c>
    </row>
    <row r="895" spans="12:27" ht="15" x14ac:dyDescent="0.25">
      <c r="L895" s="446" t="s">
        <v>873</v>
      </c>
      <c r="M895" s="446">
        <v>1</v>
      </c>
      <c r="N895" s="446">
        <v>3</v>
      </c>
      <c r="O895" s="446" t="s">
        <v>750</v>
      </c>
      <c r="P895" s="449" t="s">
        <v>739</v>
      </c>
      <c r="Q895" s="449"/>
      <c r="R895" s="449"/>
      <c r="S895" s="449" t="s">
        <v>963</v>
      </c>
      <c r="T895" s="449" t="s">
        <v>1121</v>
      </c>
      <c r="U895" s="452">
        <v>3476.0354868932004</v>
      </c>
      <c r="V8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67435.088445728077</v>
      </c>
      <c r="W895" s="272">
        <f>IFERROR(SUMIFS(TransUnitCost[Miles],TransUnitCost[Grouping_ID],TransTonsShort[[#This Row],[Grouping_ID]],TransUnitCost[Transp_ID],TransTonsShort[[#This Row],[Transp_ID]])*TransTonsShort[[#This Row],[Trans_Tons_All]]/TransTonsShort[[#This Row],[Trans_Tons_All]],"")</f>
        <v>20</v>
      </c>
      <c r="X895" s="386" t="str">
        <f>TransTonsShort[[#This Row],[Grouping_ID]]&amp;"-"&amp;TransTonsShort[[#This Row],[Sector_ID]]</f>
        <v>1-3</v>
      </c>
      <c r="Y8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5" s="421">
        <f>INDEX(LandfillFees[Disposal Tip Fee 2025],MATCH(TransTonsShort[[#This Row],[Grouping_ID]],LandfillFees[Grouping_ID],0))</f>
        <v>134.68</v>
      </c>
      <c r="AA895" s="102">
        <f>IF(OR(TransTonsShort[[#This Row],[CollectionStream_ID]]="03",TransTonsShort[[#This Row],[CollectionStream_ID]]="04",TransTonsShort[[#This Row],[CollectionStream_ID]]="13"),0,TransTonsShort[[#This Row],[Trans_Tons_All]]*TransTonsShort[[#This Row],[Disposal_Fee]])</f>
        <v>468152.45937477623</v>
      </c>
    </row>
    <row r="896" spans="12:27" ht="15" x14ac:dyDescent="0.25">
      <c r="L896" s="446" t="s">
        <v>873</v>
      </c>
      <c r="M896" s="446">
        <v>2</v>
      </c>
      <c r="N896" s="446">
        <v>3</v>
      </c>
      <c r="O896" s="446" t="s">
        <v>750</v>
      </c>
      <c r="P896" s="449" t="s">
        <v>739</v>
      </c>
      <c r="Q896" s="449"/>
      <c r="R896" s="449"/>
      <c r="S896" s="449" t="s">
        <v>963</v>
      </c>
      <c r="T896" s="449" t="s">
        <v>1121</v>
      </c>
      <c r="U896" s="452">
        <v>868.74014737430389</v>
      </c>
      <c r="V8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35878.968086558751</v>
      </c>
      <c r="W896" s="272">
        <f>IFERROR(SUMIFS(TransUnitCost[Miles],TransUnitCost[Grouping_ID],TransTonsShort[[#This Row],[Grouping_ID]],TransUnitCost[Transp_ID],TransTonsShort[[#This Row],[Transp_ID]])*TransTonsShort[[#This Row],[Trans_Tons_All]]/TransTonsShort[[#This Row],[Trans_Tons_All]],"")</f>
        <v>70</v>
      </c>
      <c r="X896" s="386" t="str">
        <f>TransTonsShort[[#This Row],[Grouping_ID]]&amp;"-"&amp;TransTonsShort[[#This Row],[Sector_ID]]</f>
        <v>2-3</v>
      </c>
      <c r="Y8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6" s="421">
        <f>INDEX(LandfillFees[Disposal Tip Fee 2025],MATCH(TransTonsShort[[#This Row],[Grouping_ID]],LandfillFees[Grouping_ID],0))</f>
        <v>72.030938699729589</v>
      </c>
      <c r="AA896" s="102">
        <f>IF(OR(TransTonsShort[[#This Row],[CollectionStream_ID]]="03",TransTonsShort[[#This Row],[CollectionStream_ID]]="04",TransTonsShort[[#This Row],[CollectionStream_ID]]="13"),0,TransTonsShort[[#This Row],[Trans_Tons_All]]*TransTonsShort[[#This Row],[Disposal_Fee]])</f>
        <v>62576.168301512531</v>
      </c>
    </row>
    <row r="897" spans="12:27" ht="15" x14ac:dyDescent="0.25">
      <c r="L897" s="446" t="s">
        <v>873</v>
      </c>
      <c r="M897" s="446">
        <v>3</v>
      </c>
      <c r="N897" s="446">
        <v>3</v>
      </c>
      <c r="O897" s="446" t="s">
        <v>750</v>
      </c>
      <c r="P897" s="449" t="s">
        <v>739</v>
      </c>
      <c r="Q897" s="449"/>
      <c r="R897" s="449"/>
      <c r="S897" s="449" t="s">
        <v>963</v>
      </c>
      <c r="T897" s="449" t="s">
        <v>1121</v>
      </c>
      <c r="U897" s="452">
        <v>15.583113133856919</v>
      </c>
      <c r="V8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560.99207281884912</v>
      </c>
      <c r="W897" s="272">
        <f>IFERROR(SUMIFS(TransUnitCost[Miles],TransUnitCost[Grouping_ID],TransTonsShort[[#This Row],[Grouping_ID]],TransUnitCost[Transp_ID],TransTonsShort[[#This Row],[Transp_ID]])*TransTonsShort[[#This Row],[Trans_Tons_All]]/TransTonsShort[[#This Row],[Trans_Tons_All]],"")</f>
        <v>150</v>
      </c>
      <c r="X897" s="386" t="str">
        <f>TransTonsShort[[#This Row],[Grouping_ID]]&amp;"-"&amp;TransTonsShort[[#This Row],[Sector_ID]]</f>
        <v>3-3</v>
      </c>
      <c r="Y8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7" s="421">
        <f>INDEX(LandfillFees[Disposal Tip Fee 2025],MATCH(TransTonsShort[[#This Row],[Grouping_ID]],LandfillFees[Grouping_ID],0))</f>
        <v>72.030938699729589</v>
      </c>
      <c r="AA897" s="102">
        <f>IF(OR(TransTonsShort[[#This Row],[CollectionStream_ID]]="03",TransTonsShort[[#This Row],[CollectionStream_ID]]="04",TransTonsShort[[#This Row],[CollectionStream_ID]]="13"),0,TransTonsShort[[#This Row],[Trans_Tons_All]]*TransTonsShort[[#This Row],[Disposal_Fee]])</f>
        <v>1122.4662668957988</v>
      </c>
    </row>
    <row r="898" spans="12:27" ht="15" x14ac:dyDescent="0.25">
      <c r="L898" s="446" t="s">
        <v>873</v>
      </c>
      <c r="M898" s="446">
        <v>4</v>
      </c>
      <c r="N898" s="446">
        <v>3</v>
      </c>
      <c r="O898" s="446" t="s">
        <v>750</v>
      </c>
      <c r="P898" s="449" t="s">
        <v>739</v>
      </c>
      <c r="Q898" s="449"/>
      <c r="R898" s="449"/>
      <c r="S898" s="449" t="s">
        <v>963</v>
      </c>
      <c r="T898" s="449" t="s">
        <v>1121</v>
      </c>
      <c r="U898" s="452">
        <v>300.20272569462372</v>
      </c>
      <c r="V8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16511.149913204306</v>
      </c>
      <c r="W898" s="272">
        <f>IFERROR(SUMIFS(TransUnitCost[Miles],TransUnitCost[Grouping_ID],TransTonsShort[[#This Row],[Grouping_ID]],TransUnitCost[Transp_ID],TransTonsShort[[#This Row],[Transp_ID]])*TransTonsShort[[#This Row],[Trans_Tons_All]]/TransTonsShort[[#This Row],[Trans_Tons_All]],"")</f>
        <v>250</v>
      </c>
      <c r="X898" s="386" t="str">
        <f>TransTonsShort[[#This Row],[Grouping_ID]]&amp;"-"&amp;TransTonsShort[[#This Row],[Sector_ID]]</f>
        <v>4-3</v>
      </c>
      <c r="Y8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8" s="421">
        <f>INDEX(LandfillFees[Disposal Tip Fee 2025],MATCH(TransTonsShort[[#This Row],[Grouping_ID]],LandfillFees[Grouping_ID],0))</f>
        <v>72.030938699729589</v>
      </c>
      <c r="AA898" s="102">
        <f>IF(OR(TransTonsShort[[#This Row],[CollectionStream_ID]]="03",TransTonsShort[[#This Row],[CollectionStream_ID]]="04",TransTonsShort[[#This Row],[CollectionStream_ID]]="13"),0,TransTonsShort[[#This Row],[Trans_Tons_All]]*TransTonsShort[[#This Row],[Disposal_Fee]])</f>
        <v>21623.884132001178</v>
      </c>
    </row>
    <row r="899" spans="12:27" ht="15" x14ac:dyDescent="0.25">
      <c r="L899" s="446" t="s">
        <v>873</v>
      </c>
      <c r="M899" s="446">
        <v>1</v>
      </c>
      <c r="N899" s="446">
        <v>3</v>
      </c>
      <c r="O899" s="446" t="s">
        <v>750</v>
      </c>
      <c r="P899" s="449" t="s">
        <v>700</v>
      </c>
      <c r="Q899" s="449"/>
      <c r="R899" s="449"/>
      <c r="S899" s="449" t="s">
        <v>963</v>
      </c>
      <c r="T899" s="449" t="s">
        <v>701</v>
      </c>
      <c r="U899" s="452">
        <v>0</v>
      </c>
      <c r="V8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899" s="272" t="str">
        <f>IFERROR(SUMIFS(TransUnitCost[Miles],TransUnitCost[Grouping_ID],TransTonsShort[[#This Row],[Grouping_ID]],TransUnitCost[Transp_ID],TransTonsShort[[#This Row],[Transp_ID]])*TransTonsShort[[#This Row],[Trans_Tons_All]]/TransTonsShort[[#This Row],[Trans_Tons_All]],"")</f>
        <v/>
      </c>
      <c r="X899" s="386" t="str">
        <f>TransTonsShort[[#This Row],[Grouping_ID]]&amp;"-"&amp;TransTonsShort[[#This Row],[Sector_ID]]</f>
        <v>1-3</v>
      </c>
      <c r="Y8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899" s="421">
        <f>INDEX(LandfillFees[Disposal Tip Fee 2025],MATCH(TransTonsShort[[#This Row],[Grouping_ID]],LandfillFees[Grouping_ID],0))</f>
        <v>134.68</v>
      </c>
      <c r="AA899" s="102">
        <f>IF(OR(TransTonsShort[[#This Row],[CollectionStream_ID]]="03",TransTonsShort[[#This Row],[CollectionStream_ID]]="04",TransTonsShort[[#This Row],[CollectionStream_ID]]="13"),0,TransTonsShort[[#This Row],[Trans_Tons_All]]*TransTonsShort[[#This Row],[Disposal_Fee]])</f>
        <v>0</v>
      </c>
    </row>
    <row r="900" spans="12:27" ht="15" x14ac:dyDescent="0.25">
      <c r="L900" s="446" t="s">
        <v>873</v>
      </c>
      <c r="M900" s="446">
        <v>2</v>
      </c>
      <c r="N900" s="446">
        <v>3</v>
      </c>
      <c r="O900" s="446" t="s">
        <v>750</v>
      </c>
      <c r="P900" s="449" t="s">
        <v>700</v>
      </c>
      <c r="Q900" s="449"/>
      <c r="R900" s="449"/>
      <c r="S900" s="449" t="s">
        <v>963</v>
      </c>
      <c r="T900" s="449" t="s">
        <v>701</v>
      </c>
      <c r="U900" s="452">
        <v>0</v>
      </c>
      <c r="V9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0" s="272" t="str">
        <f>IFERROR(SUMIFS(TransUnitCost[Miles],TransUnitCost[Grouping_ID],TransTonsShort[[#This Row],[Grouping_ID]],TransUnitCost[Transp_ID],TransTonsShort[[#This Row],[Transp_ID]])*TransTonsShort[[#This Row],[Trans_Tons_All]]/TransTonsShort[[#This Row],[Trans_Tons_All]],"")</f>
        <v/>
      </c>
      <c r="X900" s="386" t="str">
        <f>TransTonsShort[[#This Row],[Grouping_ID]]&amp;"-"&amp;TransTonsShort[[#This Row],[Sector_ID]]</f>
        <v>2-3</v>
      </c>
      <c r="Y9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00" s="421">
        <f>INDEX(LandfillFees[Disposal Tip Fee 2025],MATCH(TransTonsShort[[#This Row],[Grouping_ID]],LandfillFees[Grouping_ID],0))</f>
        <v>72.030938699729589</v>
      </c>
      <c r="AA900" s="102">
        <f>IF(OR(TransTonsShort[[#This Row],[CollectionStream_ID]]="03",TransTonsShort[[#This Row],[CollectionStream_ID]]="04",TransTonsShort[[#This Row],[CollectionStream_ID]]="13"),0,TransTonsShort[[#This Row],[Trans_Tons_All]]*TransTonsShort[[#This Row],[Disposal_Fee]])</f>
        <v>0</v>
      </c>
    </row>
    <row r="901" spans="12:27" ht="15" x14ac:dyDescent="0.25">
      <c r="L901" s="446" t="s">
        <v>873</v>
      </c>
      <c r="M901" s="446">
        <v>3</v>
      </c>
      <c r="N901" s="446">
        <v>3</v>
      </c>
      <c r="O901" s="446" t="s">
        <v>750</v>
      </c>
      <c r="P901" s="449" t="s">
        <v>700</v>
      </c>
      <c r="Q901" s="449"/>
      <c r="R901" s="449"/>
      <c r="S901" s="449" t="s">
        <v>963</v>
      </c>
      <c r="T901" s="449" t="s">
        <v>701</v>
      </c>
      <c r="U901" s="452">
        <v>0</v>
      </c>
      <c r="V9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1" s="272" t="str">
        <f>IFERROR(SUMIFS(TransUnitCost[Miles],TransUnitCost[Grouping_ID],TransTonsShort[[#This Row],[Grouping_ID]],TransUnitCost[Transp_ID],TransTonsShort[[#This Row],[Transp_ID]])*TransTonsShort[[#This Row],[Trans_Tons_All]]/TransTonsShort[[#This Row],[Trans_Tons_All]],"")</f>
        <v/>
      </c>
      <c r="X901" s="386" t="str">
        <f>TransTonsShort[[#This Row],[Grouping_ID]]&amp;"-"&amp;TransTonsShort[[#This Row],[Sector_ID]]</f>
        <v>3-3</v>
      </c>
      <c r="Y9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01" s="421">
        <f>INDEX(LandfillFees[Disposal Tip Fee 2025],MATCH(TransTonsShort[[#This Row],[Grouping_ID]],LandfillFees[Grouping_ID],0))</f>
        <v>72.030938699729589</v>
      </c>
      <c r="AA901" s="102">
        <f>IF(OR(TransTonsShort[[#This Row],[CollectionStream_ID]]="03",TransTonsShort[[#This Row],[CollectionStream_ID]]="04",TransTonsShort[[#This Row],[CollectionStream_ID]]="13"),0,TransTonsShort[[#This Row],[Trans_Tons_All]]*TransTonsShort[[#This Row],[Disposal_Fee]])</f>
        <v>0</v>
      </c>
    </row>
    <row r="902" spans="12:27" ht="15" x14ac:dyDescent="0.25">
      <c r="L902" s="446" t="s">
        <v>873</v>
      </c>
      <c r="M902" s="446">
        <v>4</v>
      </c>
      <c r="N902" s="446">
        <v>3</v>
      </c>
      <c r="O902" s="446" t="s">
        <v>750</v>
      </c>
      <c r="P902" s="449" t="s">
        <v>700</v>
      </c>
      <c r="Q902" s="449"/>
      <c r="R902" s="449"/>
      <c r="S902" s="449" t="s">
        <v>963</v>
      </c>
      <c r="T902" s="449" t="s">
        <v>701</v>
      </c>
      <c r="U902" s="452">
        <v>0</v>
      </c>
      <c r="V9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2" s="272" t="str">
        <f>IFERROR(SUMIFS(TransUnitCost[Miles],TransUnitCost[Grouping_ID],TransTonsShort[[#This Row],[Grouping_ID]],TransUnitCost[Transp_ID],TransTonsShort[[#This Row],[Transp_ID]])*TransTonsShort[[#This Row],[Trans_Tons_All]]/TransTonsShort[[#This Row],[Trans_Tons_All]],"")</f>
        <v/>
      </c>
      <c r="X902" s="386" t="str">
        <f>TransTonsShort[[#This Row],[Grouping_ID]]&amp;"-"&amp;TransTonsShort[[#This Row],[Sector_ID]]</f>
        <v>4-3</v>
      </c>
      <c r="Y9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02" s="421">
        <f>INDEX(LandfillFees[Disposal Tip Fee 2025],MATCH(TransTonsShort[[#This Row],[Grouping_ID]],LandfillFees[Grouping_ID],0))</f>
        <v>72.030938699729589</v>
      </c>
      <c r="AA902" s="102">
        <f>IF(OR(TransTonsShort[[#This Row],[CollectionStream_ID]]="03",TransTonsShort[[#This Row],[CollectionStream_ID]]="04",TransTonsShort[[#This Row],[CollectionStream_ID]]="13"),0,TransTonsShort[[#This Row],[Trans_Tons_All]]*TransTonsShort[[#This Row],[Disposal_Fee]])</f>
        <v>0</v>
      </c>
    </row>
    <row r="903" spans="12:27" ht="15" x14ac:dyDescent="0.25">
      <c r="L903" s="446" t="s">
        <v>870</v>
      </c>
      <c r="M903" s="446">
        <v>1</v>
      </c>
      <c r="N903" s="446">
        <v>3</v>
      </c>
      <c r="O903" s="446" t="s">
        <v>700</v>
      </c>
      <c r="P903" s="449" t="s">
        <v>719</v>
      </c>
      <c r="Q903" s="449"/>
      <c r="R903" s="449"/>
      <c r="S903" s="449" t="s">
        <v>872</v>
      </c>
      <c r="T903" s="449" t="s">
        <v>1055</v>
      </c>
      <c r="U903" s="452">
        <v>0</v>
      </c>
      <c r="V9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3" s="272" t="str">
        <f>IFERROR(SUMIFS(TransUnitCost[Miles],TransUnitCost[Grouping_ID],TransTonsShort[[#This Row],[Grouping_ID]],TransUnitCost[Transp_ID],TransTonsShort[[#This Row],[Transp_ID]])*TransTonsShort[[#This Row],[Trans_Tons_All]]/TransTonsShort[[#This Row],[Trans_Tons_All]],"")</f>
        <v/>
      </c>
      <c r="X903" s="386" t="str">
        <f>TransTonsShort[[#This Row],[Grouping_ID]]&amp;"-"&amp;TransTonsShort[[#This Row],[Sector_ID]]</f>
        <v>1-3</v>
      </c>
      <c r="Y9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3" s="421">
        <f>INDEX(LandfillFees[Disposal Tip Fee 2025],MATCH(TransTonsShort[[#This Row],[Grouping_ID]],LandfillFees[Grouping_ID],0))</f>
        <v>134.68</v>
      </c>
      <c r="AA903" s="102">
        <f>IF(OR(TransTonsShort[[#This Row],[CollectionStream_ID]]="03",TransTonsShort[[#This Row],[CollectionStream_ID]]="04",TransTonsShort[[#This Row],[CollectionStream_ID]]="13"),0,TransTonsShort[[#This Row],[Trans_Tons_All]]*TransTonsShort[[#This Row],[Disposal_Fee]])</f>
        <v>0</v>
      </c>
    </row>
    <row r="904" spans="12:27" ht="15" x14ac:dyDescent="0.25">
      <c r="L904" s="446" t="s">
        <v>870</v>
      </c>
      <c r="M904" s="446">
        <v>2</v>
      </c>
      <c r="N904" s="446">
        <v>3</v>
      </c>
      <c r="O904" s="446" t="s">
        <v>700</v>
      </c>
      <c r="P904" s="449" t="s">
        <v>719</v>
      </c>
      <c r="Q904" s="449"/>
      <c r="R904" s="449"/>
      <c r="S904" s="449" t="s">
        <v>872</v>
      </c>
      <c r="T904" s="449" t="s">
        <v>1055</v>
      </c>
      <c r="U904" s="452">
        <v>0</v>
      </c>
      <c r="V9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4" s="272" t="str">
        <f>IFERROR(SUMIFS(TransUnitCost[Miles],TransUnitCost[Grouping_ID],TransTonsShort[[#This Row],[Grouping_ID]],TransUnitCost[Transp_ID],TransTonsShort[[#This Row],[Transp_ID]])*TransTonsShort[[#This Row],[Trans_Tons_All]]/TransTonsShort[[#This Row],[Trans_Tons_All]],"")</f>
        <v/>
      </c>
      <c r="X904" s="386" t="str">
        <f>TransTonsShort[[#This Row],[Grouping_ID]]&amp;"-"&amp;TransTonsShort[[#This Row],[Sector_ID]]</f>
        <v>2-3</v>
      </c>
      <c r="Y9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4" s="421">
        <f>INDEX(LandfillFees[Disposal Tip Fee 2025],MATCH(TransTonsShort[[#This Row],[Grouping_ID]],LandfillFees[Grouping_ID],0))</f>
        <v>72.030938699729589</v>
      </c>
      <c r="AA904" s="102">
        <f>IF(OR(TransTonsShort[[#This Row],[CollectionStream_ID]]="03",TransTonsShort[[#This Row],[CollectionStream_ID]]="04",TransTonsShort[[#This Row],[CollectionStream_ID]]="13"),0,TransTonsShort[[#This Row],[Trans_Tons_All]]*TransTonsShort[[#This Row],[Disposal_Fee]])</f>
        <v>0</v>
      </c>
    </row>
    <row r="905" spans="12:27" ht="15" x14ac:dyDescent="0.25">
      <c r="L905" s="446" t="s">
        <v>870</v>
      </c>
      <c r="M905" s="446">
        <v>3</v>
      </c>
      <c r="N905" s="446">
        <v>3</v>
      </c>
      <c r="O905" s="446" t="s">
        <v>700</v>
      </c>
      <c r="P905" s="449" t="s">
        <v>719</v>
      </c>
      <c r="Q905" s="449"/>
      <c r="R905" s="449"/>
      <c r="S905" s="449" t="s">
        <v>872</v>
      </c>
      <c r="T905" s="449" t="s">
        <v>1055</v>
      </c>
      <c r="U905" s="452">
        <v>0</v>
      </c>
      <c r="V9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5" s="272" t="str">
        <f>IFERROR(SUMIFS(TransUnitCost[Miles],TransUnitCost[Grouping_ID],TransTonsShort[[#This Row],[Grouping_ID]],TransUnitCost[Transp_ID],TransTonsShort[[#This Row],[Transp_ID]])*TransTonsShort[[#This Row],[Trans_Tons_All]]/TransTonsShort[[#This Row],[Trans_Tons_All]],"")</f>
        <v/>
      </c>
      <c r="X905" s="386" t="str">
        <f>TransTonsShort[[#This Row],[Grouping_ID]]&amp;"-"&amp;TransTonsShort[[#This Row],[Sector_ID]]</f>
        <v>3-3</v>
      </c>
      <c r="Y9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5" s="421">
        <f>INDEX(LandfillFees[Disposal Tip Fee 2025],MATCH(TransTonsShort[[#This Row],[Grouping_ID]],LandfillFees[Grouping_ID],0))</f>
        <v>72.030938699729589</v>
      </c>
      <c r="AA905" s="102">
        <f>IF(OR(TransTonsShort[[#This Row],[CollectionStream_ID]]="03",TransTonsShort[[#This Row],[CollectionStream_ID]]="04",TransTonsShort[[#This Row],[CollectionStream_ID]]="13"),0,TransTonsShort[[#This Row],[Trans_Tons_All]]*TransTonsShort[[#This Row],[Disposal_Fee]])</f>
        <v>0</v>
      </c>
    </row>
    <row r="906" spans="12:27" ht="15" x14ac:dyDescent="0.25">
      <c r="L906" s="446" t="s">
        <v>870</v>
      </c>
      <c r="M906" s="446">
        <v>4</v>
      </c>
      <c r="N906" s="446">
        <v>3</v>
      </c>
      <c r="O906" s="446" t="s">
        <v>700</v>
      </c>
      <c r="P906" s="449" t="s">
        <v>719</v>
      </c>
      <c r="Q906" s="449"/>
      <c r="R906" s="449"/>
      <c r="S906" s="449" t="s">
        <v>872</v>
      </c>
      <c r="T906" s="449" t="s">
        <v>1055</v>
      </c>
      <c r="U906" s="452">
        <v>0</v>
      </c>
      <c r="V9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6" s="272" t="str">
        <f>IFERROR(SUMIFS(TransUnitCost[Miles],TransUnitCost[Grouping_ID],TransTonsShort[[#This Row],[Grouping_ID]],TransUnitCost[Transp_ID],TransTonsShort[[#This Row],[Transp_ID]])*TransTonsShort[[#This Row],[Trans_Tons_All]]/TransTonsShort[[#This Row],[Trans_Tons_All]],"")</f>
        <v/>
      </c>
      <c r="X906" s="386" t="str">
        <f>TransTonsShort[[#This Row],[Grouping_ID]]&amp;"-"&amp;TransTonsShort[[#This Row],[Sector_ID]]</f>
        <v>4-3</v>
      </c>
      <c r="Y9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6" s="421">
        <f>INDEX(LandfillFees[Disposal Tip Fee 2025],MATCH(TransTonsShort[[#This Row],[Grouping_ID]],LandfillFees[Grouping_ID],0))</f>
        <v>72.030938699729589</v>
      </c>
      <c r="AA906" s="102">
        <f>IF(OR(TransTonsShort[[#This Row],[CollectionStream_ID]]="03",TransTonsShort[[#This Row],[CollectionStream_ID]]="04",TransTonsShort[[#This Row],[CollectionStream_ID]]="13"),0,TransTonsShort[[#This Row],[Trans_Tons_All]]*TransTonsShort[[#This Row],[Disposal_Fee]])</f>
        <v>0</v>
      </c>
    </row>
    <row r="907" spans="12:27" ht="15" x14ac:dyDescent="0.25">
      <c r="L907" s="446" t="s">
        <v>870</v>
      </c>
      <c r="M907" s="446">
        <v>1</v>
      </c>
      <c r="N907" s="446">
        <v>3</v>
      </c>
      <c r="O907" s="446" t="s">
        <v>700</v>
      </c>
      <c r="P907" s="450" t="s">
        <v>700</v>
      </c>
      <c r="Q907" s="450"/>
      <c r="R907" s="450"/>
      <c r="S907" s="449" t="s">
        <v>872</v>
      </c>
      <c r="T907" s="449" t="s">
        <v>701</v>
      </c>
      <c r="U907" s="452">
        <v>0</v>
      </c>
      <c r="V9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7" s="272" t="str">
        <f>IFERROR(SUMIFS(TransUnitCost[Miles],TransUnitCost[Grouping_ID],TransTonsShort[[#This Row],[Grouping_ID]],TransUnitCost[Transp_ID],TransTonsShort[[#This Row],[Transp_ID]])*TransTonsShort[[#This Row],[Trans_Tons_All]]/TransTonsShort[[#This Row],[Trans_Tons_All]],"")</f>
        <v/>
      </c>
      <c r="X907" s="386" t="str">
        <f>TransTonsShort[[#This Row],[Grouping_ID]]&amp;"-"&amp;TransTonsShort[[#This Row],[Sector_ID]]</f>
        <v>1-3</v>
      </c>
      <c r="Y9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7" s="421">
        <f>INDEX(LandfillFees[Disposal Tip Fee 2025],MATCH(TransTonsShort[[#This Row],[Grouping_ID]],LandfillFees[Grouping_ID],0))</f>
        <v>134.68</v>
      </c>
      <c r="AA907" s="102">
        <f>IF(OR(TransTonsShort[[#This Row],[CollectionStream_ID]]="03",TransTonsShort[[#This Row],[CollectionStream_ID]]="04",TransTonsShort[[#This Row],[CollectionStream_ID]]="13"),0,TransTonsShort[[#This Row],[Trans_Tons_All]]*TransTonsShort[[#This Row],[Disposal_Fee]])</f>
        <v>0</v>
      </c>
    </row>
    <row r="908" spans="12:27" ht="15" x14ac:dyDescent="0.25">
      <c r="L908" s="446" t="s">
        <v>870</v>
      </c>
      <c r="M908" s="446">
        <v>2</v>
      </c>
      <c r="N908" s="446">
        <v>3</v>
      </c>
      <c r="O908" s="446" t="s">
        <v>700</v>
      </c>
      <c r="P908" s="450" t="s">
        <v>700</v>
      </c>
      <c r="Q908" s="450"/>
      <c r="R908" s="450"/>
      <c r="S908" s="449" t="s">
        <v>872</v>
      </c>
      <c r="T908" s="449" t="s">
        <v>701</v>
      </c>
      <c r="U908" s="452">
        <v>0</v>
      </c>
      <c r="V9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8" s="272" t="str">
        <f>IFERROR(SUMIFS(TransUnitCost[Miles],TransUnitCost[Grouping_ID],TransTonsShort[[#This Row],[Grouping_ID]],TransUnitCost[Transp_ID],TransTonsShort[[#This Row],[Transp_ID]])*TransTonsShort[[#This Row],[Trans_Tons_All]]/TransTonsShort[[#This Row],[Trans_Tons_All]],"")</f>
        <v/>
      </c>
      <c r="X908" s="386" t="str">
        <f>TransTonsShort[[#This Row],[Grouping_ID]]&amp;"-"&amp;TransTonsShort[[#This Row],[Sector_ID]]</f>
        <v>2-3</v>
      </c>
      <c r="Y9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8" s="421">
        <f>INDEX(LandfillFees[Disposal Tip Fee 2025],MATCH(TransTonsShort[[#This Row],[Grouping_ID]],LandfillFees[Grouping_ID],0))</f>
        <v>72.030938699729589</v>
      </c>
      <c r="AA908" s="102">
        <f>IF(OR(TransTonsShort[[#This Row],[CollectionStream_ID]]="03",TransTonsShort[[#This Row],[CollectionStream_ID]]="04",TransTonsShort[[#This Row],[CollectionStream_ID]]="13"),0,TransTonsShort[[#This Row],[Trans_Tons_All]]*TransTonsShort[[#This Row],[Disposal_Fee]])</f>
        <v>0</v>
      </c>
    </row>
    <row r="909" spans="12:27" ht="15" x14ac:dyDescent="0.25">
      <c r="L909" s="446" t="s">
        <v>870</v>
      </c>
      <c r="M909" s="446">
        <v>3</v>
      </c>
      <c r="N909" s="446">
        <v>3</v>
      </c>
      <c r="O909" s="446" t="s">
        <v>700</v>
      </c>
      <c r="P909" s="450" t="s">
        <v>700</v>
      </c>
      <c r="Q909" s="450"/>
      <c r="R909" s="450"/>
      <c r="S909" s="449" t="s">
        <v>872</v>
      </c>
      <c r="T909" s="449" t="s">
        <v>701</v>
      </c>
      <c r="U909" s="452">
        <v>0</v>
      </c>
      <c r="V9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09" s="272" t="str">
        <f>IFERROR(SUMIFS(TransUnitCost[Miles],TransUnitCost[Grouping_ID],TransTonsShort[[#This Row],[Grouping_ID]],TransUnitCost[Transp_ID],TransTonsShort[[#This Row],[Transp_ID]])*TransTonsShort[[#This Row],[Trans_Tons_All]]/TransTonsShort[[#This Row],[Trans_Tons_All]],"")</f>
        <v/>
      </c>
      <c r="X909" s="386" t="str">
        <f>TransTonsShort[[#This Row],[Grouping_ID]]&amp;"-"&amp;TransTonsShort[[#This Row],[Sector_ID]]</f>
        <v>3-3</v>
      </c>
      <c r="Y9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09" s="421">
        <f>INDEX(LandfillFees[Disposal Tip Fee 2025],MATCH(TransTonsShort[[#This Row],[Grouping_ID]],LandfillFees[Grouping_ID],0))</f>
        <v>72.030938699729589</v>
      </c>
      <c r="AA909" s="102">
        <f>IF(OR(TransTonsShort[[#This Row],[CollectionStream_ID]]="03",TransTonsShort[[#This Row],[CollectionStream_ID]]="04",TransTonsShort[[#This Row],[CollectionStream_ID]]="13"),0,TransTonsShort[[#This Row],[Trans_Tons_All]]*TransTonsShort[[#This Row],[Disposal_Fee]])</f>
        <v>0</v>
      </c>
    </row>
    <row r="910" spans="12:27" ht="15" x14ac:dyDescent="0.25">
      <c r="L910" s="446" t="s">
        <v>870</v>
      </c>
      <c r="M910" s="446">
        <v>4</v>
      </c>
      <c r="N910" s="446">
        <v>3</v>
      </c>
      <c r="O910" s="446" t="s">
        <v>700</v>
      </c>
      <c r="P910" s="450" t="s">
        <v>700</v>
      </c>
      <c r="Q910" s="450"/>
      <c r="R910" s="450"/>
      <c r="S910" s="449" t="s">
        <v>872</v>
      </c>
      <c r="T910" s="449" t="s">
        <v>701</v>
      </c>
      <c r="U910" s="452">
        <v>0</v>
      </c>
      <c r="V9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0" s="272" t="str">
        <f>IFERROR(SUMIFS(TransUnitCost[Miles],TransUnitCost[Grouping_ID],TransTonsShort[[#This Row],[Grouping_ID]],TransUnitCost[Transp_ID],TransTonsShort[[#This Row],[Transp_ID]])*TransTonsShort[[#This Row],[Trans_Tons_All]]/TransTonsShort[[#This Row],[Trans_Tons_All]],"")</f>
        <v/>
      </c>
      <c r="X910" s="386" t="str">
        <f>TransTonsShort[[#This Row],[Grouping_ID]]&amp;"-"&amp;TransTonsShort[[#This Row],[Sector_ID]]</f>
        <v>4-3</v>
      </c>
      <c r="Y9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0" s="421">
        <f>INDEX(LandfillFees[Disposal Tip Fee 2025],MATCH(TransTonsShort[[#This Row],[Grouping_ID]],LandfillFees[Grouping_ID],0))</f>
        <v>72.030938699729589</v>
      </c>
      <c r="AA910" s="102">
        <f>IF(OR(TransTonsShort[[#This Row],[CollectionStream_ID]]="03",TransTonsShort[[#This Row],[CollectionStream_ID]]="04",TransTonsShort[[#This Row],[CollectionStream_ID]]="13"),0,TransTonsShort[[#This Row],[Trans_Tons_All]]*TransTonsShort[[#This Row],[Disposal_Fee]])</f>
        <v>0</v>
      </c>
    </row>
    <row r="911" spans="12:27" ht="15" x14ac:dyDescent="0.25">
      <c r="L911" s="446" t="s">
        <v>870</v>
      </c>
      <c r="M911" s="446">
        <v>1</v>
      </c>
      <c r="N911" s="446">
        <v>3</v>
      </c>
      <c r="O911" s="446" t="s">
        <v>700</v>
      </c>
      <c r="P911" s="449" t="s">
        <v>706</v>
      </c>
      <c r="Q911" s="449"/>
      <c r="R911" s="449"/>
      <c r="S911" s="449" t="s">
        <v>872</v>
      </c>
      <c r="T911" s="449" t="s">
        <v>1025</v>
      </c>
      <c r="U911" s="452">
        <v>0</v>
      </c>
      <c r="V9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1" s="272" t="str">
        <f>IFERROR(SUMIFS(TransUnitCost[Miles],TransUnitCost[Grouping_ID],TransTonsShort[[#This Row],[Grouping_ID]],TransUnitCost[Transp_ID],TransTonsShort[[#This Row],[Transp_ID]])*TransTonsShort[[#This Row],[Trans_Tons_All]]/TransTonsShort[[#This Row],[Trans_Tons_All]],"")</f>
        <v/>
      </c>
      <c r="X911" s="386" t="str">
        <f>TransTonsShort[[#This Row],[Grouping_ID]]&amp;"-"&amp;TransTonsShort[[#This Row],[Sector_ID]]</f>
        <v>1-3</v>
      </c>
      <c r="Y9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1" s="421">
        <f>INDEX(LandfillFees[Disposal Tip Fee 2025],MATCH(TransTonsShort[[#This Row],[Grouping_ID]],LandfillFees[Grouping_ID],0))</f>
        <v>134.68</v>
      </c>
      <c r="AA911" s="102">
        <f>IF(OR(TransTonsShort[[#This Row],[CollectionStream_ID]]="03",TransTonsShort[[#This Row],[CollectionStream_ID]]="04",TransTonsShort[[#This Row],[CollectionStream_ID]]="13"),0,TransTonsShort[[#This Row],[Trans_Tons_All]]*TransTonsShort[[#This Row],[Disposal_Fee]])</f>
        <v>0</v>
      </c>
    </row>
    <row r="912" spans="12:27" ht="15" x14ac:dyDescent="0.25">
      <c r="L912" s="446" t="s">
        <v>870</v>
      </c>
      <c r="M912" s="446">
        <v>2</v>
      </c>
      <c r="N912" s="446">
        <v>3</v>
      </c>
      <c r="O912" s="446" t="s">
        <v>700</v>
      </c>
      <c r="P912" s="449" t="s">
        <v>706</v>
      </c>
      <c r="Q912" s="449"/>
      <c r="R912" s="449"/>
      <c r="S912" s="449" t="s">
        <v>872</v>
      </c>
      <c r="T912" s="449" t="s">
        <v>1025</v>
      </c>
      <c r="U912" s="452">
        <v>0</v>
      </c>
      <c r="V9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2" s="272" t="str">
        <f>IFERROR(SUMIFS(TransUnitCost[Miles],TransUnitCost[Grouping_ID],TransTonsShort[[#This Row],[Grouping_ID]],TransUnitCost[Transp_ID],TransTonsShort[[#This Row],[Transp_ID]])*TransTonsShort[[#This Row],[Trans_Tons_All]]/TransTonsShort[[#This Row],[Trans_Tons_All]],"")</f>
        <v/>
      </c>
      <c r="X912" s="386" t="str">
        <f>TransTonsShort[[#This Row],[Grouping_ID]]&amp;"-"&amp;TransTonsShort[[#This Row],[Sector_ID]]</f>
        <v>2-3</v>
      </c>
      <c r="Y9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2" s="421">
        <f>INDEX(LandfillFees[Disposal Tip Fee 2025],MATCH(TransTonsShort[[#This Row],[Grouping_ID]],LandfillFees[Grouping_ID],0))</f>
        <v>72.030938699729589</v>
      </c>
      <c r="AA912" s="102">
        <f>IF(OR(TransTonsShort[[#This Row],[CollectionStream_ID]]="03",TransTonsShort[[#This Row],[CollectionStream_ID]]="04",TransTonsShort[[#This Row],[CollectionStream_ID]]="13"),0,TransTonsShort[[#This Row],[Trans_Tons_All]]*TransTonsShort[[#This Row],[Disposal_Fee]])</f>
        <v>0</v>
      </c>
    </row>
    <row r="913" spans="12:27" ht="15" x14ac:dyDescent="0.25">
      <c r="L913" s="446" t="s">
        <v>870</v>
      </c>
      <c r="M913" s="446">
        <v>3</v>
      </c>
      <c r="N913" s="446">
        <v>3</v>
      </c>
      <c r="O913" s="446" t="s">
        <v>700</v>
      </c>
      <c r="P913" s="449" t="s">
        <v>706</v>
      </c>
      <c r="Q913" s="449"/>
      <c r="R913" s="449"/>
      <c r="S913" s="449" t="s">
        <v>872</v>
      </c>
      <c r="T913" s="449" t="s">
        <v>1025</v>
      </c>
      <c r="U913" s="452">
        <v>0</v>
      </c>
      <c r="V9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3" s="272" t="str">
        <f>IFERROR(SUMIFS(TransUnitCost[Miles],TransUnitCost[Grouping_ID],TransTonsShort[[#This Row],[Grouping_ID]],TransUnitCost[Transp_ID],TransTonsShort[[#This Row],[Transp_ID]])*TransTonsShort[[#This Row],[Trans_Tons_All]]/TransTonsShort[[#This Row],[Trans_Tons_All]],"")</f>
        <v/>
      </c>
      <c r="X913" s="386" t="str">
        <f>TransTonsShort[[#This Row],[Grouping_ID]]&amp;"-"&amp;TransTonsShort[[#This Row],[Sector_ID]]</f>
        <v>3-3</v>
      </c>
      <c r="Y9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3" s="421">
        <f>INDEX(LandfillFees[Disposal Tip Fee 2025],MATCH(TransTonsShort[[#This Row],[Grouping_ID]],LandfillFees[Grouping_ID],0))</f>
        <v>72.030938699729589</v>
      </c>
      <c r="AA913" s="102">
        <f>IF(OR(TransTonsShort[[#This Row],[CollectionStream_ID]]="03",TransTonsShort[[#This Row],[CollectionStream_ID]]="04",TransTonsShort[[#This Row],[CollectionStream_ID]]="13"),0,TransTonsShort[[#This Row],[Trans_Tons_All]]*TransTonsShort[[#This Row],[Disposal_Fee]])</f>
        <v>0</v>
      </c>
    </row>
    <row r="914" spans="12:27" ht="15" x14ac:dyDescent="0.25">
      <c r="L914" s="446" t="s">
        <v>870</v>
      </c>
      <c r="M914" s="446">
        <v>4</v>
      </c>
      <c r="N914" s="446">
        <v>3</v>
      </c>
      <c r="O914" s="446" t="s">
        <v>700</v>
      </c>
      <c r="P914" s="449" t="s">
        <v>706</v>
      </c>
      <c r="Q914" s="449"/>
      <c r="R914" s="449"/>
      <c r="S914" s="449" t="s">
        <v>872</v>
      </c>
      <c r="T914" s="449" t="s">
        <v>1025</v>
      </c>
      <c r="U914" s="452">
        <v>0</v>
      </c>
      <c r="V9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4" s="272" t="str">
        <f>IFERROR(SUMIFS(TransUnitCost[Miles],TransUnitCost[Grouping_ID],TransTonsShort[[#This Row],[Grouping_ID]],TransUnitCost[Transp_ID],TransTonsShort[[#This Row],[Transp_ID]])*TransTonsShort[[#This Row],[Trans_Tons_All]]/TransTonsShort[[#This Row],[Trans_Tons_All]],"")</f>
        <v/>
      </c>
      <c r="X914" s="386" t="str">
        <f>TransTonsShort[[#This Row],[Grouping_ID]]&amp;"-"&amp;TransTonsShort[[#This Row],[Sector_ID]]</f>
        <v>4-3</v>
      </c>
      <c r="Y9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4" s="421">
        <f>INDEX(LandfillFees[Disposal Tip Fee 2025],MATCH(TransTonsShort[[#This Row],[Grouping_ID]],LandfillFees[Grouping_ID],0))</f>
        <v>72.030938699729589</v>
      </c>
      <c r="AA914" s="102">
        <f>IF(OR(TransTonsShort[[#This Row],[CollectionStream_ID]]="03",TransTonsShort[[#This Row],[CollectionStream_ID]]="04",TransTonsShort[[#This Row],[CollectionStream_ID]]="13"),0,TransTonsShort[[#This Row],[Trans_Tons_All]]*TransTonsShort[[#This Row],[Disposal_Fee]])</f>
        <v>0</v>
      </c>
    </row>
    <row r="915" spans="12:27" ht="15" x14ac:dyDescent="0.25">
      <c r="L915" s="446" t="s">
        <v>870</v>
      </c>
      <c r="M915" s="446">
        <v>1</v>
      </c>
      <c r="N915" s="446">
        <v>3</v>
      </c>
      <c r="O915" s="446" t="s">
        <v>748</v>
      </c>
      <c r="P915" s="449" t="s">
        <v>719</v>
      </c>
      <c r="Q915" s="449"/>
      <c r="R915" s="449"/>
      <c r="S915" s="449" t="s">
        <v>765</v>
      </c>
      <c r="T915" s="449" t="s">
        <v>1055</v>
      </c>
      <c r="U915" s="452">
        <v>0</v>
      </c>
      <c r="V9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5" s="272" t="str">
        <f>IFERROR(SUMIFS(TransUnitCost[Miles],TransUnitCost[Grouping_ID],TransTonsShort[[#This Row],[Grouping_ID]],TransUnitCost[Transp_ID],TransTonsShort[[#This Row],[Transp_ID]])*TransTonsShort[[#This Row],[Trans_Tons_All]]/TransTonsShort[[#This Row],[Trans_Tons_All]],"")</f>
        <v/>
      </c>
      <c r="X915" s="386" t="str">
        <f>TransTonsShort[[#This Row],[Grouping_ID]]&amp;"-"&amp;TransTonsShort[[#This Row],[Sector_ID]]</f>
        <v>1-3</v>
      </c>
      <c r="Y9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5" s="421">
        <f>INDEX(LandfillFees[Disposal Tip Fee 2025],MATCH(TransTonsShort[[#This Row],[Grouping_ID]],LandfillFees[Grouping_ID],0))</f>
        <v>134.68</v>
      </c>
      <c r="AA915" s="102">
        <f>IF(OR(TransTonsShort[[#This Row],[CollectionStream_ID]]="03",TransTonsShort[[#This Row],[CollectionStream_ID]]="04",TransTonsShort[[#This Row],[CollectionStream_ID]]="13"),0,TransTonsShort[[#This Row],[Trans_Tons_All]]*TransTonsShort[[#This Row],[Disposal_Fee]])</f>
        <v>0</v>
      </c>
    </row>
    <row r="916" spans="12:27" ht="15" x14ac:dyDescent="0.25">
      <c r="L916" s="446" t="s">
        <v>870</v>
      </c>
      <c r="M916" s="446">
        <v>2</v>
      </c>
      <c r="N916" s="446">
        <v>3</v>
      </c>
      <c r="O916" s="446" t="s">
        <v>748</v>
      </c>
      <c r="P916" s="449" t="s">
        <v>719</v>
      </c>
      <c r="Q916" s="449"/>
      <c r="R916" s="449"/>
      <c r="S916" s="449" t="s">
        <v>765</v>
      </c>
      <c r="T916" s="449" t="s">
        <v>1055</v>
      </c>
      <c r="U916" s="452">
        <v>0</v>
      </c>
      <c r="V9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6" s="272" t="str">
        <f>IFERROR(SUMIFS(TransUnitCost[Miles],TransUnitCost[Grouping_ID],TransTonsShort[[#This Row],[Grouping_ID]],TransUnitCost[Transp_ID],TransTonsShort[[#This Row],[Transp_ID]])*TransTonsShort[[#This Row],[Trans_Tons_All]]/TransTonsShort[[#This Row],[Trans_Tons_All]],"")</f>
        <v/>
      </c>
      <c r="X916" s="386" t="str">
        <f>TransTonsShort[[#This Row],[Grouping_ID]]&amp;"-"&amp;TransTonsShort[[#This Row],[Sector_ID]]</f>
        <v>2-3</v>
      </c>
      <c r="Y9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6" s="421">
        <f>INDEX(LandfillFees[Disposal Tip Fee 2025],MATCH(TransTonsShort[[#This Row],[Grouping_ID]],LandfillFees[Grouping_ID],0))</f>
        <v>72.030938699729589</v>
      </c>
      <c r="AA916" s="102">
        <f>IF(OR(TransTonsShort[[#This Row],[CollectionStream_ID]]="03",TransTonsShort[[#This Row],[CollectionStream_ID]]="04",TransTonsShort[[#This Row],[CollectionStream_ID]]="13"),0,TransTonsShort[[#This Row],[Trans_Tons_All]]*TransTonsShort[[#This Row],[Disposal_Fee]])</f>
        <v>0</v>
      </c>
    </row>
    <row r="917" spans="12:27" ht="15" x14ac:dyDescent="0.25">
      <c r="L917" s="446" t="s">
        <v>870</v>
      </c>
      <c r="M917" s="446">
        <v>3</v>
      </c>
      <c r="N917" s="446">
        <v>3</v>
      </c>
      <c r="O917" s="446" t="s">
        <v>748</v>
      </c>
      <c r="P917" s="449" t="s">
        <v>719</v>
      </c>
      <c r="Q917" s="449"/>
      <c r="R917" s="449"/>
      <c r="S917" s="449" t="s">
        <v>765</v>
      </c>
      <c r="T917" s="449" t="s">
        <v>1055</v>
      </c>
      <c r="U917" s="452">
        <v>0</v>
      </c>
      <c r="V9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7" s="272" t="str">
        <f>IFERROR(SUMIFS(TransUnitCost[Miles],TransUnitCost[Grouping_ID],TransTonsShort[[#This Row],[Grouping_ID]],TransUnitCost[Transp_ID],TransTonsShort[[#This Row],[Transp_ID]])*TransTonsShort[[#This Row],[Trans_Tons_All]]/TransTonsShort[[#This Row],[Trans_Tons_All]],"")</f>
        <v/>
      </c>
      <c r="X917" s="386" t="str">
        <f>TransTonsShort[[#This Row],[Grouping_ID]]&amp;"-"&amp;TransTonsShort[[#This Row],[Sector_ID]]</f>
        <v>3-3</v>
      </c>
      <c r="Y9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7" s="421">
        <f>INDEX(LandfillFees[Disposal Tip Fee 2025],MATCH(TransTonsShort[[#This Row],[Grouping_ID]],LandfillFees[Grouping_ID],0))</f>
        <v>72.030938699729589</v>
      </c>
      <c r="AA917" s="102">
        <f>IF(OR(TransTonsShort[[#This Row],[CollectionStream_ID]]="03",TransTonsShort[[#This Row],[CollectionStream_ID]]="04",TransTonsShort[[#This Row],[CollectionStream_ID]]="13"),0,TransTonsShort[[#This Row],[Trans_Tons_All]]*TransTonsShort[[#This Row],[Disposal_Fee]])</f>
        <v>0</v>
      </c>
    </row>
    <row r="918" spans="12:27" ht="15" x14ac:dyDescent="0.25">
      <c r="L918" s="446" t="s">
        <v>870</v>
      </c>
      <c r="M918" s="446">
        <v>4</v>
      </c>
      <c r="N918" s="446">
        <v>3</v>
      </c>
      <c r="O918" s="446" t="s">
        <v>748</v>
      </c>
      <c r="P918" s="449" t="s">
        <v>719</v>
      </c>
      <c r="Q918" s="449"/>
      <c r="R918" s="449"/>
      <c r="S918" s="449" t="s">
        <v>765</v>
      </c>
      <c r="T918" s="449" t="s">
        <v>1055</v>
      </c>
      <c r="U918" s="452">
        <v>0</v>
      </c>
      <c r="V9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8" s="272" t="str">
        <f>IFERROR(SUMIFS(TransUnitCost[Miles],TransUnitCost[Grouping_ID],TransTonsShort[[#This Row],[Grouping_ID]],TransUnitCost[Transp_ID],TransTonsShort[[#This Row],[Transp_ID]])*TransTonsShort[[#This Row],[Trans_Tons_All]]/TransTonsShort[[#This Row],[Trans_Tons_All]],"")</f>
        <v/>
      </c>
      <c r="X918" s="386" t="str">
        <f>TransTonsShort[[#This Row],[Grouping_ID]]&amp;"-"&amp;TransTonsShort[[#This Row],[Sector_ID]]</f>
        <v>4-3</v>
      </c>
      <c r="Y9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8" s="421">
        <f>INDEX(LandfillFees[Disposal Tip Fee 2025],MATCH(TransTonsShort[[#This Row],[Grouping_ID]],LandfillFees[Grouping_ID],0))</f>
        <v>72.030938699729589</v>
      </c>
      <c r="AA918" s="102">
        <f>IF(OR(TransTonsShort[[#This Row],[CollectionStream_ID]]="03",TransTonsShort[[#This Row],[CollectionStream_ID]]="04",TransTonsShort[[#This Row],[CollectionStream_ID]]="13"),0,TransTonsShort[[#This Row],[Trans_Tons_All]]*TransTonsShort[[#This Row],[Disposal_Fee]])</f>
        <v>0</v>
      </c>
    </row>
    <row r="919" spans="12:27" ht="15" x14ac:dyDescent="0.25">
      <c r="L919" s="446" t="s">
        <v>870</v>
      </c>
      <c r="M919" s="446">
        <v>1</v>
      </c>
      <c r="N919" s="446">
        <v>3</v>
      </c>
      <c r="O919" s="446" t="s">
        <v>748</v>
      </c>
      <c r="P919" s="449" t="s">
        <v>700</v>
      </c>
      <c r="Q919" s="449"/>
      <c r="R919" s="449"/>
      <c r="S919" s="449" t="s">
        <v>765</v>
      </c>
      <c r="T919" s="449" t="s">
        <v>701</v>
      </c>
      <c r="U919" s="452">
        <v>18058.928312991495</v>
      </c>
      <c r="V9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19" s="272">
        <f>IFERROR(SUMIFS(TransUnitCost[Miles],TransUnitCost[Grouping_ID],TransTonsShort[[#This Row],[Grouping_ID]],TransUnitCost[Transp_ID],TransTonsShort[[#This Row],[Transp_ID]])*TransTonsShort[[#This Row],[Trans_Tons_All]]/TransTonsShort[[#This Row],[Trans_Tons_All]],"")</f>
        <v>0</v>
      </c>
      <c r="X919" s="386" t="str">
        <f>TransTonsShort[[#This Row],[Grouping_ID]]&amp;"-"&amp;TransTonsShort[[#This Row],[Sector_ID]]</f>
        <v>1-3</v>
      </c>
      <c r="Y9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19" s="421">
        <f>INDEX(LandfillFees[Disposal Tip Fee 2025],MATCH(TransTonsShort[[#This Row],[Grouping_ID]],LandfillFees[Grouping_ID],0))</f>
        <v>134.68</v>
      </c>
      <c r="AA919" s="102">
        <f>IF(OR(TransTonsShort[[#This Row],[CollectionStream_ID]]="03",TransTonsShort[[#This Row],[CollectionStream_ID]]="04",TransTonsShort[[#This Row],[CollectionStream_ID]]="13"),0,TransTonsShort[[#This Row],[Trans_Tons_All]]*TransTonsShort[[#This Row],[Disposal_Fee]])</f>
        <v>2432176.4651936945</v>
      </c>
    </row>
    <row r="920" spans="12:27" ht="15" x14ac:dyDescent="0.25">
      <c r="L920" s="446" t="s">
        <v>870</v>
      </c>
      <c r="M920" s="446">
        <v>2</v>
      </c>
      <c r="N920" s="446">
        <v>3</v>
      </c>
      <c r="O920" s="446" t="s">
        <v>748</v>
      </c>
      <c r="P920" s="449" t="s">
        <v>700</v>
      </c>
      <c r="Q920" s="449"/>
      <c r="R920" s="449"/>
      <c r="S920" s="449" t="s">
        <v>765</v>
      </c>
      <c r="T920" s="449" t="s">
        <v>701</v>
      </c>
      <c r="U920" s="452">
        <v>0</v>
      </c>
      <c r="V9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0" s="272" t="str">
        <f>IFERROR(SUMIFS(TransUnitCost[Miles],TransUnitCost[Grouping_ID],TransTonsShort[[#This Row],[Grouping_ID]],TransUnitCost[Transp_ID],TransTonsShort[[#This Row],[Transp_ID]])*TransTonsShort[[#This Row],[Trans_Tons_All]]/TransTonsShort[[#This Row],[Trans_Tons_All]],"")</f>
        <v/>
      </c>
      <c r="X920" s="386" t="str">
        <f>TransTonsShort[[#This Row],[Grouping_ID]]&amp;"-"&amp;TransTonsShort[[#This Row],[Sector_ID]]</f>
        <v>2-3</v>
      </c>
      <c r="Y9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0" s="421">
        <f>INDEX(LandfillFees[Disposal Tip Fee 2025],MATCH(TransTonsShort[[#This Row],[Grouping_ID]],LandfillFees[Grouping_ID],0))</f>
        <v>72.030938699729589</v>
      </c>
      <c r="AA920" s="102">
        <f>IF(OR(TransTonsShort[[#This Row],[CollectionStream_ID]]="03",TransTonsShort[[#This Row],[CollectionStream_ID]]="04",TransTonsShort[[#This Row],[CollectionStream_ID]]="13"),0,TransTonsShort[[#This Row],[Trans_Tons_All]]*TransTonsShort[[#This Row],[Disposal_Fee]])</f>
        <v>0</v>
      </c>
    </row>
    <row r="921" spans="12:27" ht="15" x14ac:dyDescent="0.25">
      <c r="L921" s="446" t="s">
        <v>870</v>
      </c>
      <c r="M921" s="446">
        <v>3</v>
      </c>
      <c r="N921" s="446">
        <v>3</v>
      </c>
      <c r="O921" s="446" t="s">
        <v>748</v>
      </c>
      <c r="P921" s="449" t="s">
        <v>700</v>
      </c>
      <c r="Q921" s="449"/>
      <c r="R921" s="449"/>
      <c r="S921" s="449" t="s">
        <v>765</v>
      </c>
      <c r="T921" s="449" t="s">
        <v>701</v>
      </c>
      <c r="U921" s="452">
        <v>0</v>
      </c>
      <c r="V9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1" s="272" t="str">
        <f>IFERROR(SUMIFS(TransUnitCost[Miles],TransUnitCost[Grouping_ID],TransTonsShort[[#This Row],[Grouping_ID]],TransUnitCost[Transp_ID],TransTonsShort[[#This Row],[Transp_ID]])*TransTonsShort[[#This Row],[Trans_Tons_All]]/TransTonsShort[[#This Row],[Trans_Tons_All]],"")</f>
        <v/>
      </c>
      <c r="X921" s="386" t="str">
        <f>TransTonsShort[[#This Row],[Grouping_ID]]&amp;"-"&amp;TransTonsShort[[#This Row],[Sector_ID]]</f>
        <v>3-3</v>
      </c>
      <c r="Y9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1" s="421">
        <f>INDEX(LandfillFees[Disposal Tip Fee 2025],MATCH(TransTonsShort[[#This Row],[Grouping_ID]],LandfillFees[Grouping_ID],0))</f>
        <v>72.030938699729589</v>
      </c>
      <c r="AA921" s="102">
        <f>IF(OR(TransTonsShort[[#This Row],[CollectionStream_ID]]="03",TransTonsShort[[#This Row],[CollectionStream_ID]]="04",TransTonsShort[[#This Row],[CollectionStream_ID]]="13"),0,TransTonsShort[[#This Row],[Trans_Tons_All]]*TransTonsShort[[#This Row],[Disposal_Fee]])</f>
        <v>0</v>
      </c>
    </row>
    <row r="922" spans="12:27" ht="15" x14ac:dyDescent="0.25">
      <c r="L922" s="446" t="s">
        <v>870</v>
      </c>
      <c r="M922" s="446">
        <v>4</v>
      </c>
      <c r="N922" s="446">
        <v>3</v>
      </c>
      <c r="O922" s="446" t="s">
        <v>748</v>
      </c>
      <c r="P922" s="449" t="s">
        <v>700</v>
      </c>
      <c r="Q922" s="449"/>
      <c r="R922" s="449"/>
      <c r="S922" s="449" t="s">
        <v>765</v>
      </c>
      <c r="T922" s="449" t="s">
        <v>701</v>
      </c>
      <c r="U922" s="452">
        <v>0</v>
      </c>
      <c r="V9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2" s="272" t="str">
        <f>IFERROR(SUMIFS(TransUnitCost[Miles],TransUnitCost[Grouping_ID],TransTonsShort[[#This Row],[Grouping_ID]],TransUnitCost[Transp_ID],TransTonsShort[[#This Row],[Transp_ID]])*TransTonsShort[[#This Row],[Trans_Tons_All]]/TransTonsShort[[#This Row],[Trans_Tons_All]],"")</f>
        <v/>
      </c>
      <c r="X922" s="386" t="str">
        <f>TransTonsShort[[#This Row],[Grouping_ID]]&amp;"-"&amp;TransTonsShort[[#This Row],[Sector_ID]]</f>
        <v>4-3</v>
      </c>
      <c r="Y9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2" s="421">
        <f>INDEX(LandfillFees[Disposal Tip Fee 2025],MATCH(TransTonsShort[[#This Row],[Grouping_ID]],LandfillFees[Grouping_ID],0))</f>
        <v>72.030938699729589</v>
      </c>
      <c r="AA922" s="102">
        <f>IF(OR(TransTonsShort[[#This Row],[CollectionStream_ID]]="03",TransTonsShort[[#This Row],[CollectionStream_ID]]="04",TransTonsShort[[#This Row],[CollectionStream_ID]]="13"),0,TransTonsShort[[#This Row],[Trans_Tons_All]]*TransTonsShort[[#This Row],[Disposal_Fee]])</f>
        <v>0</v>
      </c>
    </row>
    <row r="923" spans="12:27" ht="15" x14ac:dyDescent="0.25">
      <c r="L923" s="446" t="s">
        <v>870</v>
      </c>
      <c r="M923" s="446">
        <v>1</v>
      </c>
      <c r="N923" s="446">
        <v>3</v>
      </c>
      <c r="O923" s="446" t="s">
        <v>748</v>
      </c>
      <c r="P923" s="449" t="s">
        <v>748</v>
      </c>
      <c r="Q923" s="449"/>
      <c r="R923" s="449"/>
      <c r="S923" s="449" t="s">
        <v>765</v>
      </c>
      <c r="T923" s="449" t="s">
        <v>849</v>
      </c>
      <c r="U923" s="452">
        <v>1152.697551893074</v>
      </c>
      <c r="V9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29739.596838841309</v>
      </c>
      <c r="W923" s="272">
        <f>IFERROR(SUMIFS(TransUnitCost[Miles],TransUnitCost[Grouping_ID],TransTonsShort[[#This Row],[Grouping_ID]],TransUnitCost[Transp_ID],TransTonsShort[[#This Row],[Transp_ID]])*TransTonsShort[[#This Row],[Trans_Tons_All]]/TransTonsShort[[#This Row],[Trans_Tons_All]],"")</f>
        <v>20</v>
      </c>
      <c r="X923" s="386" t="str">
        <f>TransTonsShort[[#This Row],[Grouping_ID]]&amp;"-"&amp;TransTonsShort[[#This Row],[Sector_ID]]</f>
        <v>1-3</v>
      </c>
      <c r="Y9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3" s="421">
        <f>INDEX(LandfillFees[Disposal Tip Fee 2025],MATCH(TransTonsShort[[#This Row],[Grouping_ID]],LandfillFees[Grouping_ID],0))</f>
        <v>134.68</v>
      </c>
      <c r="AA923" s="102">
        <f>IF(OR(TransTonsShort[[#This Row],[CollectionStream_ID]]="03",TransTonsShort[[#This Row],[CollectionStream_ID]]="04",TransTonsShort[[#This Row],[CollectionStream_ID]]="13"),0,TransTonsShort[[#This Row],[Trans_Tons_All]]*TransTonsShort[[#This Row],[Disposal_Fee]])</f>
        <v>155245.30628895923</v>
      </c>
    </row>
    <row r="924" spans="12:27" ht="15" x14ac:dyDescent="0.25">
      <c r="L924" s="446" t="s">
        <v>870</v>
      </c>
      <c r="M924" s="446">
        <v>2</v>
      </c>
      <c r="N924" s="446">
        <v>3</v>
      </c>
      <c r="O924" s="446" t="s">
        <v>748</v>
      </c>
      <c r="P924" s="449" t="s">
        <v>748</v>
      </c>
      <c r="Q924" s="449"/>
      <c r="R924" s="449"/>
      <c r="S924" s="449" t="s">
        <v>765</v>
      </c>
      <c r="T924" s="449" t="s">
        <v>849</v>
      </c>
      <c r="U924" s="452">
        <v>11249.414855491919</v>
      </c>
      <c r="V9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401604.11034106155</v>
      </c>
      <c r="W924" s="272">
        <f>IFERROR(SUMIFS(TransUnitCost[Miles],TransUnitCost[Grouping_ID],TransTonsShort[[#This Row],[Grouping_ID]],TransUnitCost[Transp_ID],TransTonsShort[[#This Row],[Transp_ID]])*TransTonsShort[[#This Row],[Trans_Tons_All]]/TransTonsShort[[#This Row],[Trans_Tons_All]],"")</f>
        <v>70</v>
      </c>
      <c r="X924" s="386" t="str">
        <f>TransTonsShort[[#This Row],[Grouping_ID]]&amp;"-"&amp;TransTonsShort[[#This Row],[Sector_ID]]</f>
        <v>2-3</v>
      </c>
      <c r="Y9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4" s="421">
        <f>INDEX(LandfillFees[Disposal Tip Fee 2025],MATCH(TransTonsShort[[#This Row],[Grouping_ID]],LandfillFees[Grouping_ID],0))</f>
        <v>72.030938699729589</v>
      </c>
      <c r="AA924" s="102">
        <f>IF(OR(TransTonsShort[[#This Row],[CollectionStream_ID]]="03",TransTonsShort[[#This Row],[CollectionStream_ID]]="04",TransTonsShort[[#This Row],[CollectionStream_ID]]="13"),0,TransTonsShort[[#This Row],[Trans_Tons_All]]*TransTonsShort[[#This Row],[Disposal_Fee]])</f>
        <v>810305.9118637658</v>
      </c>
    </row>
    <row r="925" spans="12:27" ht="15" x14ac:dyDescent="0.25">
      <c r="L925" s="446" t="s">
        <v>870</v>
      </c>
      <c r="M925" s="446">
        <v>3</v>
      </c>
      <c r="N925" s="446">
        <v>3</v>
      </c>
      <c r="O925" s="446" t="s">
        <v>748</v>
      </c>
      <c r="P925" s="449" t="s">
        <v>748</v>
      </c>
      <c r="Q925" s="449"/>
      <c r="R925" s="449"/>
      <c r="S925" s="449" t="s">
        <v>765</v>
      </c>
      <c r="T925" s="449" t="s">
        <v>849</v>
      </c>
      <c r="U925" s="452">
        <v>3668.6111518600169</v>
      </c>
      <c r="V9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247631.25275055115</v>
      </c>
      <c r="W925" s="272">
        <f>IFERROR(SUMIFS(TransUnitCost[Miles],TransUnitCost[Grouping_ID],TransTonsShort[[#This Row],[Grouping_ID]],TransUnitCost[Transp_ID],TransTonsShort[[#This Row],[Transp_ID]])*TransTonsShort[[#This Row],[Trans_Tons_All]]/TransTonsShort[[#This Row],[Trans_Tons_All]],"")</f>
        <v>150</v>
      </c>
      <c r="X925" s="386" t="str">
        <f>TransTonsShort[[#This Row],[Grouping_ID]]&amp;"-"&amp;TransTonsShort[[#This Row],[Sector_ID]]</f>
        <v>3-3</v>
      </c>
      <c r="Y9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5" s="421">
        <f>INDEX(LandfillFees[Disposal Tip Fee 2025],MATCH(TransTonsShort[[#This Row],[Grouping_ID]],LandfillFees[Grouping_ID],0))</f>
        <v>72.030938699729589</v>
      </c>
      <c r="AA925" s="102">
        <f>IF(OR(TransTonsShort[[#This Row],[CollectionStream_ID]]="03",TransTonsShort[[#This Row],[CollectionStream_ID]]="04",TransTonsShort[[#This Row],[CollectionStream_ID]]="13"),0,TransTonsShort[[#This Row],[Trans_Tons_All]]*TransTonsShort[[#This Row],[Disposal_Fee]])</f>
        <v>264253.50499277323</v>
      </c>
    </row>
    <row r="926" spans="12:27" ht="15" x14ac:dyDescent="0.25">
      <c r="L926" s="446" t="s">
        <v>870</v>
      </c>
      <c r="M926" s="446">
        <v>4</v>
      </c>
      <c r="N926" s="446">
        <v>3</v>
      </c>
      <c r="O926" s="446" t="s">
        <v>748</v>
      </c>
      <c r="P926" s="449" t="s">
        <v>748</v>
      </c>
      <c r="Q926" s="449"/>
      <c r="R926" s="449"/>
      <c r="S926" s="449" t="s">
        <v>765</v>
      </c>
      <c r="T926" s="449" t="s">
        <v>849</v>
      </c>
      <c r="U926" s="452">
        <v>1605.846476131318</v>
      </c>
      <c r="V9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204745.42570674306</v>
      </c>
      <c r="W926" s="272">
        <f>IFERROR(SUMIFS(TransUnitCost[Miles],TransUnitCost[Grouping_ID],TransTonsShort[[#This Row],[Grouping_ID]],TransUnitCost[Transp_ID],TransTonsShort[[#This Row],[Transp_ID]])*TransTonsShort[[#This Row],[Trans_Tons_All]]/TransTonsShort[[#This Row],[Trans_Tons_All]],"")</f>
        <v>249.99999999999997</v>
      </c>
      <c r="X926" s="386" t="str">
        <f>TransTonsShort[[#This Row],[Grouping_ID]]&amp;"-"&amp;TransTonsShort[[#This Row],[Sector_ID]]</f>
        <v>4-3</v>
      </c>
      <c r="Y9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6" s="421">
        <f>INDEX(LandfillFees[Disposal Tip Fee 2025],MATCH(TransTonsShort[[#This Row],[Grouping_ID]],LandfillFees[Grouping_ID],0))</f>
        <v>72.030938699729589</v>
      </c>
      <c r="AA926" s="102">
        <f>IF(OR(TransTonsShort[[#This Row],[CollectionStream_ID]]="03",TransTonsShort[[#This Row],[CollectionStream_ID]]="04",TransTonsShort[[#This Row],[CollectionStream_ID]]="13"),0,TransTonsShort[[#This Row],[Trans_Tons_All]]*TransTonsShort[[#This Row],[Disposal_Fee]])</f>
        <v>115670.62908339174</v>
      </c>
    </row>
    <row r="927" spans="12:27" ht="15" x14ac:dyDescent="0.25">
      <c r="L927" s="446" t="s">
        <v>870</v>
      </c>
      <c r="M927" s="446">
        <v>1</v>
      </c>
      <c r="N927" s="446">
        <v>3</v>
      </c>
      <c r="O927" s="446" t="s">
        <v>746</v>
      </c>
      <c r="P927" s="449" t="s">
        <v>719</v>
      </c>
      <c r="Q927" s="449"/>
      <c r="R927" s="449"/>
      <c r="S927" s="449" t="s">
        <v>762</v>
      </c>
      <c r="T927" s="449" t="s">
        <v>1055</v>
      </c>
      <c r="U927" s="452">
        <v>0</v>
      </c>
      <c r="V9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7" s="272" t="str">
        <f>IFERROR(SUMIFS(TransUnitCost[Miles],TransUnitCost[Grouping_ID],TransTonsShort[[#This Row],[Grouping_ID]],TransUnitCost[Transp_ID],TransTonsShort[[#This Row],[Transp_ID]])*TransTonsShort[[#This Row],[Trans_Tons_All]]/TransTonsShort[[#This Row],[Trans_Tons_All]],"")</f>
        <v/>
      </c>
      <c r="X927" s="386" t="str">
        <f>TransTonsShort[[#This Row],[Grouping_ID]]&amp;"-"&amp;TransTonsShort[[#This Row],[Sector_ID]]</f>
        <v>1-3</v>
      </c>
      <c r="Y9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7" s="421">
        <f>INDEX(LandfillFees[Disposal Tip Fee 2025],MATCH(TransTonsShort[[#This Row],[Grouping_ID]],LandfillFees[Grouping_ID],0))</f>
        <v>134.68</v>
      </c>
      <c r="AA927" s="102">
        <f>IF(OR(TransTonsShort[[#This Row],[CollectionStream_ID]]="03",TransTonsShort[[#This Row],[CollectionStream_ID]]="04",TransTonsShort[[#This Row],[CollectionStream_ID]]="13"),0,TransTonsShort[[#This Row],[Trans_Tons_All]]*TransTonsShort[[#This Row],[Disposal_Fee]])</f>
        <v>0</v>
      </c>
    </row>
    <row r="928" spans="12:27" ht="15" x14ac:dyDescent="0.25">
      <c r="L928" s="446" t="s">
        <v>870</v>
      </c>
      <c r="M928" s="446">
        <v>2</v>
      </c>
      <c r="N928" s="446">
        <v>3</v>
      </c>
      <c r="O928" s="446" t="s">
        <v>746</v>
      </c>
      <c r="P928" s="449" t="s">
        <v>719</v>
      </c>
      <c r="Q928" s="449"/>
      <c r="R928" s="449"/>
      <c r="S928" s="449" t="s">
        <v>762</v>
      </c>
      <c r="T928" s="449" t="s">
        <v>1055</v>
      </c>
      <c r="U928" s="452">
        <v>0</v>
      </c>
      <c r="V9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8" s="272" t="str">
        <f>IFERROR(SUMIFS(TransUnitCost[Miles],TransUnitCost[Grouping_ID],TransTonsShort[[#This Row],[Grouping_ID]],TransUnitCost[Transp_ID],TransTonsShort[[#This Row],[Transp_ID]])*TransTonsShort[[#This Row],[Trans_Tons_All]]/TransTonsShort[[#This Row],[Trans_Tons_All]],"")</f>
        <v/>
      </c>
      <c r="X928" s="386" t="str">
        <f>TransTonsShort[[#This Row],[Grouping_ID]]&amp;"-"&amp;TransTonsShort[[#This Row],[Sector_ID]]</f>
        <v>2-3</v>
      </c>
      <c r="Y9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8" s="421">
        <f>INDEX(LandfillFees[Disposal Tip Fee 2025],MATCH(TransTonsShort[[#This Row],[Grouping_ID]],LandfillFees[Grouping_ID],0))</f>
        <v>72.030938699729589</v>
      </c>
      <c r="AA928" s="102">
        <f>IF(OR(TransTonsShort[[#This Row],[CollectionStream_ID]]="03",TransTonsShort[[#This Row],[CollectionStream_ID]]="04",TransTonsShort[[#This Row],[CollectionStream_ID]]="13"),0,TransTonsShort[[#This Row],[Trans_Tons_All]]*TransTonsShort[[#This Row],[Disposal_Fee]])</f>
        <v>0</v>
      </c>
    </row>
    <row r="929" spans="12:27" ht="15" x14ac:dyDescent="0.25">
      <c r="L929" s="446" t="s">
        <v>870</v>
      </c>
      <c r="M929" s="446">
        <v>3</v>
      </c>
      <c r="N929" s="446">
        <v>3</v>
      </c>
      <c r="O929" s="446" t="s">
        <v>746</v>
      </c>
      <c r="P929" s="449" t="s">
        <v>719</v>
      </c>
      <c r="Q929" s="449"/>
      <c r="R929" s="449"/>
      <c r="S929" s="449" t="s">
        <v>762</v>
      </c>
      <c r="T929" s="449" t="s">
        <v>1055</v>
      </c>
      <c r="U929" s="452">
        <v>0</v>
      </c>
      <c r="V9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29" s="272" t="str">
        <f>IFERROR(SUMIFS(TransUnitCost[Miles],TransUnitCost[Grouping_ID],TransTonsShort[[#This Row],[Grouping_ID]],TransUnitCost[Transp_ID],TransTonsShort[[#This Row],[Transp_ID]])*TransTonsShort[[#This Row],[Trans_Tons_All]]/TransTonsShort[[#This Row],[Trans_Tons_All]],"")</f>
        <v/>
      </c>
      <c r="X929" s="386" t="str">
        <f>TransTonsShort[[#This Row],[Grouping_ID]]&amp;"-"&amp;TransTonsShort[[#This Row],[Sector_ID]]</f>
        <v>3-3</v>
      </c>
      <c r="Y9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29" s="421">
        <f>INDEX(LandfillFees[Disposal Tip Fee 2025],MATCH(TransTonsShort[[#This Row],[Grouping_ID]],LandfillFees[Grouping_ID],0))</f>
        <v>72.030938699729589</v>
      </c>
      <c r="AA929" s="102">
        <f>IF(OR(TransTonsShort[[#This Row],[CollectionStream_ID]]="03",TransTonsShort[[#This Row],[CollectionStream_ID]]="04",TransTonsShort[[#This Row],[CollectionStream_ID]]="13"),0,TransTonsShort[[#This Row],[Trans_Tons_All]]*TransTonsShort[[#This Row],[Disposal_Fee]])</f>
        <v>0</v>
      </c>
    </row>
    <row r="930" spans="12:27" ht="15" x14ac:dyDescent="0.25">
      <c r="L930" s="446" t="s">
        <v>870</v>
      </c>
      <c r="M930" s="446">
        <v>4</v>
      </c>
      <c r="N930" s="446">
        <v>3</v>
      </c>
      <c r="O930" s="446" t="s">
        <v>746</v>
      </c>
      <c r="P930" s="449" t="s">
        <v>719</v>
      </c>
      <c r="Q930" s="449"/>
      <c r="R930" s="449"/>
      <c r="S930" s="449" t="s">
        <v>762</v>
      </c>
      <c r="T930" s="449" t="s">
        <v>1055</v>
      </c>
      <c r="U930" s="452">
        <v>0</v>
      </c>
      <c r="V9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0" s="272" t="str">
        <f>IFERROR(SUMIFS(TransUnitCost[Miles],TransUnitCost[Grouping_ID],TransTonsShort[[#This Row],[Grouping_ID]],TransUnitCost[Transp_ID],TransTonsShort[[#This Row],[Transp_ID]])*TransTonsShort[[#This Row],[Trans_Tons_All]]/TransTonsShort[[#This Row],[Trans_Tons_All]],"")</f>
        <v/>
      </c>
      <c r="X930" s="386" t="str">
        <f>TransTonsShort[[#This Row],[Grouping_ID]]&amp;"-"&amp;TransTonsShort[[#This Row],[Sector_ID]]</f>
        <v>4-3</v>
      </c>
      <c r="Y9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0" s="421">
        <f>INDEX(LandfillFees[Disposal Tip Fee 2025],MATCH(TransTonsShort[[#This Row],[Grouping_ID]],LandfillFees[Grouping_ID],0))</f>
        <v>72.030938699729589</v>
      </c>
      <c r="AA930" s="102">
        <f>IF(OR(TransTonsShort[[#This Row],[CollectionStream_ID]]="03",TransTonsShort[[#This Row],[CollectionStream_ID]]="04",TransTonsShort[[#This Row],[CollectionStream_ID]]="13"),0,TransTonsShort[[#This Row],[Trans_Tons_All]]*TransTonsShort[[#This Row],[Disposal_Fee]])</f>
        <v>0</v>
      </c>
    </row>
    <row r="931" spans="12:27" ht="15" x14ac:dyDescent="0.25">
      <c r="L931" s="446" t="s">
        <v>870</v>
      </c>
      <c r="M931" s="446">
        <v>1</v>
      </c>
      <c r="N931" s="446">
        <v>3</v>
      </c>
      <c r="O931" s="446" t="s">
        <v>746</v>
      </c>
      <c r="P931" s="450" t="s">
        <v>700</v>
      </c>
      <c r="Q931" s="450"/>
      <c r="R931" s="450"/>
      <c r="S931" s="449" t="s">
        <v>762</v>
      </c>
      <c r="T931" s="449" t="s">
        <v>701</v>
      </c>
      <c r="U931" s="452">
        <v>88949.840073233863</v>
      </c>
      <c r="V9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1" s="272">
        <f>IFERROR(SUMIFS(TransUnitCost[Miles],TransUnitCost[Grouping_ID],TransTonsShort[[#This Row],[Grouping_ID]],TransUnitCost[Transp_ID],TransTonsShort[[#This Row],[Transp_ID]])*TransTonsShort[[#This Row],[Trans_Tons_All]]/TransTonsShort[[#This Row],[Trans_Tons_All]],"")</f>
        <v>0</v>
      </c>
      <c r="X931" s="386" t="str">
        <f>TransTonsShort[[#This Row],[Grouping_ID]]&amp;"-"&amp;TransTonsShort[[#This Row],[Sector_ID]]</f>
        <v>1-3</v>
      </c>
      <c r="Y9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1" s="421">
        <f>INDEX(LandfillFees[Disposal Tip Fee 2025],MATCH(TransTonsShort[[#This Row],[Grouping_ID]],LandfillFees[Grouping_ID],0))</f>
        <v>134.68</v>
      </c>
      <c r="AA931" s="102">
        <f>IF(OR(TransTonsShort[[#This Row],[CollectionStream_ID]]="03",TransTonsShort[[#This Row],[CollectionStream_ID]]="04",TransTonsShort[[#This Row],[CollectionStream_ID]]="13"),0,TransTonsShort[[#This Row],[Trans_Tons_All]]*TransTonsShort[[#This Row],[Disposal_Fee]])</f>
        <v>11979764.461063137</v>
      </c>
    </row>
    <row r="932" spans="12:27" ht="15" x14ac:dyDescent="0.25">
      <c r="L932" s="446" t="s">
        <v>870</v>
      </c>
      <c r="M932" s="446">
        <v>2</v>
      </c>
      <c r="N932" s="446">
        <v>3</v>
      </c>
      <c r="O932" s="446" t="s">
        <v>746</v>
      </c>
      <c r="P932" s="450" t="s">
        <v>700</v>
      </c>
      <c r="Q932" s="450"/>
      <c r="R932" s="450"/>
      <c r="S932" s="449" t="s">
        <v>762</v>
      </c>
      <c r="T932" s="449" t="s">
        <v>701</v>
      </c>
      <c r="U932" s="452">
        <v>31453.730089131073</v>
      </c>
      <c r="V9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2" s="272">
        <f>IFERROR(SUMIFS(TransUnitCost[Miles],TransUnitCost[Grouping_ID],TransTonsShort[[#This Row],[Grouping_ID]],TransUnitCost[Transp_ID],TransTonsShort[[#This Row],[Transp_ID]])*TransTonsShort[[#This Row],[Trans_Tons_All]]/TransTonsShort[[#This Row],[Trans_Tons_All]],"")</f>
        <v>0</v>
      </c>
      <c r="X932" s="386" t="str">
        <f>TransTonsShort[[#This Row],[Grouping_ID]]&amp;"-"&amp;TransTonsShort[[#This Row],[Sector_ID]]</f>
        <v>2-3</v>
      </c>
      <c r="Y9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2" s="421">
        <f>INDEX(LandfillFees[Disposal Tip Fee 2025],MATCH(TransTonsShort[[#This Row],[Grouping_ID]],LandfillFees[Grouping_ID],0))</f>
        <v>72.030938699729589</v>
      </c>
      <c r="AA932" s="102">
        <f>IF(OR(TransTonsShort[[#This Row],[CollectionStream_ID]]="03",TransTonsShort[[#This Row],[CollectionStream_ID]]="04",TransTonsShort[[#This Row],[CollectionStream_ID]]="13"),0,TransTonsShort[[#This Row],[Trans_Tons_All]]*TransTonsShort[[#This Row],[Disposal_Fee]])</f>
        <v>2265641.7039280403</v>
      </c>
    </row>
    <row r="933" spans="12:27" ht="15" x14ac:dyDescent="0.25">
      <c r="L933" s="446" t="s">
        <v>870</v>
      </c>
      <c r="M933" s="446">
        <v>3</v>
      </c>
      <c r="N933" s="446">
        <v>3</v>
      </c>
      <c r="O933" s="446" t="s">
        <v>746</v>
      </c>
      <c r="P933" s="450" t="s">
        <v>700</v>
      </c>
      <c r="Q933" s="450"/>
      <c r="R933" s="450"/>
      <c r="S933" s="449" t="s">
        <v>762</v>
      </c>
      <c r="T933" s="449" t="s">
        <v>701</v>
      </c>
      <c r="U933" s="452">
        <v>0</v>
      </c>
      <c r="V9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3" s="272" t="str">
        <f>IFERROR(SUMIFS(TransUnitCost[Miles],TransUnitCost[Grouping_ID],TransTonsShort[[#This Row],[Grouping_ID]],TransUnitCost[Transp_ID],TransTonsShort[[#This Row],[Transp_ID]])*TransTonsShort[[#This Row],[Trans_Tons_All]]/TransTonsShort[[#This Row],[Trans_Tons_All]],"")</f>
        <v/>
      </c>
      <c r="X933" s="386" t="str">
        <f>TransTonsShort[[#This Row],[Grouping_ID]]&amp;"-"&amp;TransTonsShort[[#This Row],[Sector_ID]]</f>
        <v>3-3</v>
      </c>
      <c r="Y9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3" s="421">
        <f>INDEX(LandfillFees[Disposal Tip Fee 2025],MATCH(TransTonsShort[[#This Row],[Grouping_ID]],LandfillFees[Grouping_ID],0))</f>
        <v>72.030938699729589</v>
      </c>
      <c r="AA933" s="102">
        <f>IF(OR(TransTonsShort[[#This Row],[CollectionStream_ID]]="03",TransTonsShort[[#This Row],[CollectionStream_ID]]="04",TransTonsShort[[#This Row],[CollectionStream_ID]]="13"),0,TransTonsShort[[#This Row],[Trans_Tons_All]]*TransTonsShort[[#This Row],[Disposal_Fee]])</f>
        <v>0</v>
      </c>
    </row>
    <row r="934" spans="12:27" ht="15" x14ac:dyDescent="0.25">
      <c r="L934" s="446" t="s">
        <v>870</v>
      </c>
      <c r="M934" s="446">
        <v>4</v>
      </c>
      <c r="N934" s="446">
        <v>3</v>
      </c>
      <c r="O934" s="446" t="s">
        <v>746</v>
      </c>
      <c r="P934" s="450" t="s">
        <v>700</v>
      </c>
      <c r="Q934" s="450"/>
      <c r="R934" s="450"/>
      <c r="S934" s="449" t="s">
        <v>762</v>
      </c>
      <c r="T934" s="449" t="s">
        <v>701</v>
      </c>
      <c r="U934" s="452">
        <v>0</v>
      </c>
      <c r="V9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34" s="272" t="str">
        <f>IFERROR(SUMIFS(TransUnitCost[Miles],TransUnitCost[Grouping_ID],TransTonsShort[[#This Row],[Grouping_ID]],TransUnitCost[Transp_ID],TransTonsShort[[#This Row],[Transp_ID]])*TransTonsShort[[#This Row],[Trans_Tons_All]]/TransTonsShort[[#This Row],[Trans_Tons_All]],"")</f>
        <v/>
      </c>
      <c r="X934" s="386" t="str">
        <f>TransTonsShort[[#This Row],[Grouping_ID]]&amp;"-"&amp;TransTonsShort[[#This Row],[Sector_ID]]</f>
        <v>4-3</v>
      </c>
      <c r="Y9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4" s="421">
        <f>INDEX(LandfillFees[Disposal Tip Fee 2025],MATCH(TransTonsShort[[#This Row],[Grouping_ID]],LandfillFees[Grouping_ID],0))</f>
        <v>72.030938699729589</v>
      </c>
      <c r="AA934" s="102">
        <f>IF(OR(TransTonsShort[[#This Row],[CollectionStream_ID]]="03",TransTonsShort[[#This Row],[CollectionStream_ID]]="04",TransTonsShort[[#This Row],[CollectionStream_ID]]="13"),0,TransTonsShort[[#This Row],[Trans_Tons_All]]*TransTonsShort[[#This Row],[Disposal_Fee]])</f>
        <v>0</v>
      </c>
    </row>
    <row r="935" spans="12:27" ht="15" x14ac:dyDescent="0.25">
      <c r="L935" s="446" t="s">
        <v>870</v>
      </c>
      <c r="M935" s="446">
        <v>1</v>
      </c>
      <c r="N935" s="446">
        <v>3</v>
      </c>
      <c r="O935" s="446" t="s">
        <v>746</v>
      </c>
      <c r="P935" s="449" t="s">
        <v>746</v>
      </c>
      <c r="Q935" s="449"/>
      <c r="R935" s="449"/>
      <c r="S935" s="449" t="s">
        <v>762</v>
      </c>
      <c r="T935" s="449" t="s">
        <v>848</v>
      </c>
      <c r="U935" s="452">
        <v>5677.6493663766296</v>
      </c>
      <c r="V9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93113.449608576717</v>
      </c>
      <c r="W935" s="272">
        <f>IFERROR(SUMIFS(TransUnitCost[Miles],TransUnitCost[Grouping_ID],TransTonsShort[[#This Row],[Grouping_ID]],TransUnitCost[Transp_ID],TransTonsShort[[#This Row],[Transp_ID]])*TransTonsShort[[#This Row],[Trans_Tons_All]]/TransTonsShort[[#This Row],[Trans_Tons_All]],"")</f>
        <v>20</v>
      </c>
      <c r="X935" s="386" t="str">
        <f>TransTonsShort[[#This Row],[Grouping_ID]]&amp;"-"&amp;TransTonsShort[[#This Row],[Sector_ID]]</f>
        <v>1-3</v>
      </c>
      <c r="Y9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5" s="421">
        <f>INDEX(LandfillFees[Disposal Tip Fee 2025],MATCH(TransTonsShort[[#This Row],[Grouping_ID]],LandfillFees[Grouping_ID],0))</f>
        <v>134.68</v>
      </c>
      <c r="AA935" s="102">
        <f>IF(OR(TransTonsShort[[#This Row],[CollectionStream_ID]]="03",TransTonsShort[[#This Row],[CollectionStream_ID]]="04",TransTonsShort[[#This Row],[CollectionStream_ID]]="13"),0,TransTonsShort[[#This Row],[Trans_Tons_All]]*TransTonsShort[[#This Row],[Disposal_Fee]])</f>
        <v>764665.81666360446</v>
      </c>
    </row>
    <row r="936" spans="12:27" ht="15" x14ac:dyDescent="0.25">
      <c r="L936" s="446" t="s">
        <v>870</v>
      </c>
      <c r="M936" s="446">
        <v>2</v>
      </c>
      <c r="N936" s="446">
        <v>3</v>
      </c>
      <c r="O936" s="446" t="s">
        <v>746</v>
      </c>
      <c r="P936" s="449" t="s">
        <v>746</v>
      </c>
      <c r="Q936" s="449"/>
      <c r="R936" s="449"/>
      <c r="S936" s="449" t="s">
        <v>762</v>
      </c>
      <c r="T936" s="449" t="s">
        <v>848</v>
      </c>
      <c r="U936" s="452">
        <v>31453.730089131073</v>
      </c>
      <c r="V9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704563.55399653607</v>
      </c>
      <c r="W936" s="272">
        <f>IFERROR(SUMIFS(TransUnitCost[Miles],TransUnitCost[Grouping_ID],TransTonsShort[[#This Row],[Grouping_ID]],TransUnitCost[Transp_ID],TransTonsShort[[#This Row],[Transp_ID]])*TransTonsShort[[#This Row],[Trans_Tons_All]]/TransTonsShort[[#This Row],[Trans_Tons_All]],"")</f>
        <v>70</v>
      </c>
      <c r="X936" s="386" t="str">
        <f>TransTonsShort[[#This Row],[Grouping_ID]]&amp;"-"&amp;TransTonsShort[[#This Row],[Sector_ID]]</f>
        <v>2-3</v>
      </c>
      <c r="Y9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6" s="421">
        <f>INDEX(LandfillFees[Disposal Tip Fee 2025],MATCH(TransTonsShort[[#This Row],[Grouping_ID]],LandfillFees[Grouping_ID],0))</f>
        <v>72.030938699729589</v>
      </c>
      <c r="AA936" s="102">
        <f>IF(OR(TransTonsShort[[#This Row],[CollectionStream_ID]]="03",TransTonsShort[[#This Row],[CollectionStream_ID]]="04",TransTonsShort[[#This Row],[CollectionStream_ID]]="13"),0,TransTonsShort[[#This Row],[Trans_Tons_All]]*TransTonsShort[[#This Row],[Disposal_Fee]])</f>
        <v>2265641.7039280403</v>
      </c>
    </row>
    <row r="937" spans="12:27" ht="15" x14ac:dyDescent="0.25">
      <c r="L937" s="446" t="s">
        <v>870</v>
      </c>
      <c r="M937" s="446">
        <v>3</v>
      </c>
      <c r="N937" s="446">
        <v>3</v>
      </c>
      <c r="O937" s="446" t="s">
        <v>746</v>
      </c>
      <c r="P937" s="449" t="s">
        <v>746</v>
      </c>
      <c r="Q937" s="449"/>
      <c r="R937" s="449"/>
      <c r="S937" s="449" t="s">
        <v>762</v>
      </c>
      <c r="T937" s="449" t="s">
        <v>848</v>
      </c>
      <c r="U937" s="452">
        <v>24998.860981101774</v>
      </c>
      <c r="V9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1087450.4526779272</v>
      </c>
      <c r="W937" s="272">
        <f>IFERROR(SUMIFS(TransUnitCost[Miles],TransUnitCost[Grouping_ID],TransTonsShort[[#This Row],[Grouping_ID]],TransUnitCost[Transp_ID],TransTonsShort[[#This Row],[Transp_ID]])*TransTonsShort[[#This Row],[Trans_Tons_All]]/TransTonsShort[[#This Row],[Trans_Tons_All]],"")</f>
        <v>150</v>
      </c>
      <c r="X937" s="386" t="str">
        <f>TransTonsShort[[#This Row],[Grouping_ID]]&amp;"-"&amp;TransTonsShort[[#This Row],[Sector_ID]]</f>
        <v>3-3</v>
      </c>
      <c r="Y9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7" s="421">
        <f>INDEX(LandfillFees[Disposal Tip Fee 2025],MATCH(TransTonsShort[[#This Row],[Grouping_ID]],LandfillFees[Grouping_ID],0))</f>
        <v>72.030938699729589</v>
      </c>
      <c r="AA937" s="102">
        <f>IF(OR(TransTonsShort[[#This Row],[CollectionStream_ID]]="03",TransTonsShort[[#This Row],[CollectionStream_ID]]="04",TransTonsShort[[#This Row],[CollectionStream_ID]]="13"),0,TransTonsShort[[#This Row],[Trans_Tons_All]]*TransTonsShort[[#This Row],[Disposal_Fee]])</f>
        <v>1800691.4228928038</v>
      </c>
    </row>
    <row r="938" spans="12:27" ht="15" x14ac:dyDescent="0.25">
      <c r="L938" s="446" t="s">
        <v>870</v>
      </c>
      <c r="M938" s="446">
        <v>4</v>
      </c>
      <c r="N938" s="446">
        <v>3</v>
      </c>
      <c r="O938" s="446" t="s">
        <v>746</v>
      </c>
      <c r="P938" s="449" t="s">
        <v>746</v>
      </c>
      <c r="Q938" s="449"/>
      <c r="R938" s="449"/>
      <c r="S938" s="449" t="s">
        <v>762</v>
      </c>
      <c r="T938" s="449" t="s">
        <v>848</v>
      </c>
      <c r="U938" s="452">
        <v>11996.21885974191</v>
      </c>
      <c r="V9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959697.50877935276</v>
      </c>
      <c r="W938" s="272">
        <f>IFERROR(SUMIFS(TransUnitCost[Miles],TransUnitCost[Grouping_ID],TransTonsShort[[#This Row],[Grouping_ID]],TransUnitCost[Transp_ID],TransTonsShort[[#This Row],[Transp_ID]])*TransTonsShort[[#This Row],[Trans_Tons_All]]/TransTonsShort[[#This Row],[Trans_Tons_All]],"")</f>
        <v>250</v>
      </c>
      <c r="X938" s="386" t="str">
        <f>TransTonsShort[[#This Row],[Grouping_ID]]&amp;"-"&amp;TransTonsShort[[#This Row],[Sector_ID]]</f>
        <v>4-3</v>
      </c>
      <c r="Y9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38" s="421">
        <f>INDEX(LandfillFees[Disposal Tip Fee 2025],MATCH(TransTonsShort[[#This Row],[Grouping_ID]],LandfillFees[Grouping_ID],0))</f>
        <v>72.030938699729589</v>
      </c>
      <c r="AA938" s="102">
        <f>IF(OR(TransTonsShort[[#This Row],[CollectionStream_ID]]="03",TransTonsShort[[#This Row],[CollectionStream_ID]]="04",TransTonsShort[[#This Row],[CollectionStream_ID]]="13"),0,TransTonsShort[[#This Row],[Trans_Tons_All]]*TransTonsShort[[#This Row],[Disposal_Fee]])</f>
        <v>864098.90531460952</v>
      </c>
    </row>
    <row r="939" spans="12:27" ht="15" x14ac:dyDescent="0.25">
      <c r="L939" s="446" t="s">
        <v>870</v>
      </c>
      <c r="M939" s="446">
        <v>1</v>
      </c>
      <c r="N939" s="446">
        <v>3</v>
      </c>
      <c r="O939" s="446" t="s">
        <v>706</v>
      </c>
      <c r="P939" s="449" t="s">
        <v>739</v>
      </c>
      <c r="Q939" s="449"/>
      <c r="R939" s="449"/>
      <c r="S939" s="449" t="s">
        <v>707</v>
      </c>
      <c r="T939" s="449" t="s">
        <v>1121</v>
      </c>
      <c r="U939" s="452">
        <v>5798.0165372371075</v>
      </c>
      <c r="V9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112481.52082239988</v>
      </c>
      <c r="W939" s="272">
        <f>IFERROR(SUMIFS(TransUnitCost[Miles],TransUnitCost[Grouping_ID],TransTonsShort[[#This Row],[Grouping_ID]],TransUnitCost[Transp_ID],TransTonsShort[[#This Row],[Transp_ID]])*TransTonsShort[[#This Row],[Trans_Tons_All]]/TransTonsShort[[#This Row],[Trans_Tons_All]],"")</f>
        <v>20</v>
      </c>
      <c r="X939" s="386" t="str">
        <f>TransTonsShort[[#This Row],[Grouping_ID]]&amp;"-"&amp;TransTonsShort[[#This Row],[Sector_ID]]</f>
        <v>1-3</v>
      </c>
      <c r="Y9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39" s="421">
        <f>INDEX(LandfillFees[Disposal Tip Fee 2025],MATCH(TransTonsShort[[#This Row],[Grouping_ID]],LandfillFees[Grouping_ID],0))</f>
        <v>134.68</v>
      </c>
      <c r="AA939" s="102">
        <f>IF(OR(TransTonsShort[[#This Row],[CollectionStream_ID]]="03",TransTonsShort[[#This Row],[CollectionStream_ID]]="04",TransTonsShort[[#This Row],[CollectionStream_ID]]="13"),0,TransTonsShort[[#This Row],[Trans_Tons_All]]*TransTonsShort[[#This Row],[Disposal_Fee]])</f>
        <v>780876.86723509373</v>
      </c>
    </row>
    <row r="940" spans="12:27" ht="15" x14ac:dyDescent="0.25">
      <c r="L940" s="446" t="s">
        <v>870</v>
      </c>
      <c r="M940" s="446">
        <v>2</v>
      </c>
      <c r="N940" s="446">
        <v>3</v>
      </c>
      <c r="O940" s="446" t="s">
        <v>706</v>
      </c>
      <c r="P940" s="449" t="s">
        <v>739</v>
      </c>
      <c r="Q940" s="449"/>
      <c r="R940" s="449"/>
      <c r="S940" s="449" t="s">
        <v>707</v>
      </c>
      <c r="T940" s="449" t="s">
        <v>1121</v>
      </c>
      <c r="U940" s="452">
        <v>4564.1866984109183</v>
      </c>
      <c r="V9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188500.91064437092</v>
      </c>
      <c r="W940" s="272">
        <f>IFERROR(SUMIFS(TransUnitCost[Miles],TransUnitCost[Grouping_ID],TransTonsShort[[#This Row],[Grouping_ID]],TransUnitCost[Transp_ID],TransTonsShort[[#This Row],[Transp_ID]])*TransTonsShort[[#This Row],[Trans_Tons_All]]/TransTonsShort[[#This Row],[Trans_Tons_All]],"")</f>
        <v>70</v>
      </c>
      <c r="X940" s="386" t="str">
        <f>TransTonsShort[[#This Row],[Grouping_ID]]&amp;"-"&amp;TransTonsShort[[#This Row],[Sector_ID]]</f>
        <v>2-3</v>
      </c>
      <c r="Y9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0" s="421">
        <f>INDEX(LandfillFees[Disposal Tip Fee 2025],MATCH(TransTonsShort[[#This Row],[Grouping_ID]],LandfillFees[Grouping_ID],0))</f>
        <v>72.030938699729589</v>
      </c>
      <c r="AA940" s="102">
        <f>IF(OR(TransTonsShort[[#This Row],[CollectionStream_ID]]="03",TransTonsShort[[#This Row],[CollectionStream_ID]]="04",TransTonsShort[[#This Row],[CollectionStream_ID]]="13"),0,TransTonsShort[[#This Row],[Trans_Tons_All]]*TransTonsShort[[#This Row],[Disposal_Fee]])</f>
        <v>328762.65228735801</v>
      </c>
    </row>
    <row r="941" spans="12:27" ht="15" x14ac:dyDescent="0.25">
      <c r="L941" s="446" t="s">
        <v>870</v>
      </c>
      <c r="M941" s="446">
        <v>3</v>
      </c>
      <c r="N941" s="446">
        <v>3</v>
      </c>
      <c r="O941" s="446" t="s">
        <v>706</v>
      </c>
      <c r="P941" s="449" t="s">
        <v>739</v>
      </c>
      <c r="Q941" s="449"/>
      <c r="R941" s="449"/>
      <c r="S941" s="449" t="s">
        <v>707</v>
      </c>
      <c r="T941" s="449" t="s">
        <v>1121</v>
      </c>
      <c r="U941" s="452">
        <v>798.75441320832908</v>
      </c>
      <c r="V9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28755.158875499848</v>
      </c>
      <c r="W941" s="272">
        <f>IFERROR(SUMIFS(TransUnitCost[Miles],TransUnitCost[Grouping_ID],TransTonsShort[[#This Row],[Grouping_ID]],TransUnitCost[Transp_ID],TransTonsShort[[#This Row],[Transp_ID]])*TransTonsShort[[#This Row],[Trans_Tons_All]]/TransTonsShort[[#This Row],[Trans_Tons_All]],"")</f>
        <v>150</v>
      </c>
      <c r="X941" s="386" t="str">
        <f>TransTonsShort[[#This Row],[Grouping_ID]]&amp;"-"&amp;TransTonsShort[[#This Row],[Sector_ID]]</f>
        <v>3-3</v>
      </c>
      <c r="Y9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1" s="421">
        <f>INDEX(LandfillFees[Disposal Tip Fee 2025],MATCH(TransTonsShort[[#This Row],[Grouping_ID]],LandfillFees[Grouping_ID],0))</f>
        <v>72.030938699729589</v>
      </c>
      <c r="AA941" s="102">
        <f>IF(OR(TransTonsShort[[#This Row],[CollectionStream_ID]]="03",TransTonsShort[[#This Row],[CollectionStream_ID]]="04",TransTonsShort[[#This Row],[CollectionStream_ID]]="13"),0,TransTonsShort[[#This Row],[Trans_Tons_All]]*TransTonsShort[[#This Row],[Disposal_Fee]])</f>
        <v>57535.030173947627</v>
      </c>
    </row>
    <row r="942" spans="12:27" ht="15" x14ac:dyDescent="0.25">
      <c r="L942" s="446" t="s">
        <v>870</v>
      </c>
      <c r="M942" s="446">
        <v>4</v>
      </c>
      <c r="N942" s="446">
        <v>3</v>
      </c>
      <c r="O942" s="446" t="s">
        <v>706</v>
      </c>
      <c r="P942" s="449" t="s">
        <v>739</v>
      </c>
      <c r="Q942" s="449"/>
      <c r="R942" s="449"/>
      <c r="S942" s="449" t="s">
        <v>707</v>
      </c>
      <c r="T942" s="449" t="s">
        <v>1121</v>
      </c>
      <c r="U942" s="452">
        <v>264.93557181993026</v>
      </c>
      <c r="V9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14571.456450096164</v>
      </c>
      <c r="W942" s="272">
        <f>IFERROR(SUMIFS(TransUnitCost[Miles],TransUnitCost[Grouping_ID],TransTonsShort[[#This Row],[Grouping_ID]],TransUnitCost[Transp_ID],TransTonsShort[[#This Row],[Transp_ID]])*TransTonsShort[[#This Row],[Trans_Tons_All]]/TransTonsShort[[#This Row],[Trans_Tons_All]],"")</f>
        <v>250.00000000000003</v>
      </c>
      <c r="X942" s="386" t="str">
        <f>TransTonsShort[[#This Row],[Grouping_ID]]&amp;"-"&amp;TransTonsShort[[#This Row],[Sector_ID]]</f>
        <v>4-3</v>
      </c>
      <c r="Y9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2" s="421">
        <f>INDEX(LandfillFees[Disposal Tip Fee 2025],MATCH(TransTonsShort[[#This Row],[Grouping_ID]],LandfillFees[Grouping_ID],0))</f>
        <v>72.030938699729589</v>
      </c>
      <c r="AA942" s="102">
        <f>IF(OR(TransTonsShort[[#This Row],[CollectionStream_ID]]="03",TransTonsShort[[#This Row],[CollectionStream_ID]]="04",TransTonsShort[[#This Row],[CollectionStream_ID]]="13"),0,TransTonsShort[[#This Row],[Trans_Tons_All]]*TransTonsShort[[#This Row],[Disposal_Fee]])</f>
        <v>19083.557933139204</v>
      </c>
    </row>
    <row r="943" spans="12:27" ht="15" x14ac:dyDescent="0.25">
      <c r="L943" s="446" t="s">
        <v>870</v>
      </c>
      <c r="M943" s="446">
        <v>1</v>
      </c>
      <c r="N943" s="446">
        <v>3</v>
      </c>
      <c r="O943" s="448" t="s">
        <v>706</v>
      </c>
      <c r="P943" s="449" t="s">
        <v>700</v>
      </c>
      <c r="Q943" s="449"/>
      <c r="R943" s="449"/>
      <c r="S943" s="449" t="s">
        <v>707</v>
      </c>
      <c r="T943" s="449" t="s">
        <v>701</v>
      </c>
      <c r="U943" s="452">
        <v>3045.9598519855836</v>
      </c>
      <c r="V9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3" s="272">
        <f>IFERROR(SUMIFS(TransUnitCost[Miles],TransUnitCost[Grouping_ID],TransTonsShort[[#This Row],[Grouping_ID]],TransUnitCost[Transp_ID],TransTonsShort[[#This Row],[Transp_ID]])*TransTonsShort[[#This Row],[Trans_Tons_All]]/TransTonsShort[[#This Row],[Trans_Tons_All]],"")</f>
        <v>0</v>
      </c>
      <c r="X943" s="386" t="str">
        <f>TransTonsShort[[#This Row],[Grouping_ID]]&amp;"-"&amp;TransTonsShort[[#This Row],[Sector_ID]]</f>
        <v>1-3</v>
      </c>
      <c r="Y9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3" s="421">
        <f>INDEX(LandfillFees[Disposal Tip Fee 2025],MATCH(TransTonsShort[[#This Row],[Grouping_ID]],LandfillFees[Grouping_ID],0))</f>
        <v>134.68</v>
      </c>
      <c r="AA943" s="102">
        <f>IF(OR(TransTonsShort[[#This Row],[CollectionStream_ID]]="03",TransTonsShort[[#This Row],[CollectionStream_ID]]="04",TransTonsShort[[#This Row],[CollectionStream_ID]]="13"),0,TransTonsShort[[#This Row],[Trans_Tons_All]]*TransTonsShort[[#This Row],[Disposal_Fee]])</f>
        <v>410229.87286541844</v>
      </c>
    </row>
    <row r="944" spans="12:27" ht="15" x14ac:dyDescent="0.25">
      <c r="L944" s="446" t="s">
        <v>870</v>
      </c>
      <c r="M944" s="446">
        <v>2</v>
      </c>
      <c r="N944" s="446">
        <v>3</v>
      </c>
      <c r="O944" s="448" t="s">
        <v>706</v>
      </c>
      <c r="P944" s="449" t="s">
        <v>700</v>
      </c>
      <c r="Q944" s="449"/>
      <c r="R944" s="449"/>
      <c r="S944" s="449" t="s">
        <v>707</v>
      </c>
      <c r="T944" s="449" t="s">
        <v>701</v>
      </c>
      <c r="U944" s="452">
        <v>0</v>
      </c>
      <c r="V9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4" s="272" t="str">
        <f>IFERROR(SUMIFS(TransUnitCost[Miles],TransUnitCost[Grouping_ID],TransTonsShort[[#This Row],[Grouping_ID]],TransUnitCost[Transp_ID],TransTonsShort[[#This Row],[Transp_ID]])*TransTonsShort[[#This Row],[Trans_Tons_All]]/TransTonsShort[[#This Row],[Trans_Tons_All]],"")</f>
        <v/>
      </c>
      <c r="X944" s="386" t="str">
        <f>TransTonsShort[[#This Row],[Grouping_ID]]&amp;"-"&amp;TransTonsShort[[#This Row],[Sector_ID]]</f>
        <v>2-3</v>
      </c>
      <c r="Y9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4" s="421">
        <f>INDEX(LandfillFees[Disposal Tip Fee 2025],MATCH(TransTonsShort[[#This Row],[Grouping_ID]],LandfillFees[Grouping_ID],0))</f>
        <v>72.030938699729589</v>
      </c>
      <c r="AA944" s="102">
        <f>IF(OR(TransTonsShort[[#This Row],[CollectionStream_ID]]="03",TransTonsShort[[#This Row],[CollectionStream_ID]]="04",TransTonsShort[[#This Row],[CollectionStream_ID]]="13"),0,TransTonsShort[[#This Row],[Trans_Tons_All]]*TransTonsShort[[#This Row],[Disposal_Fee]])</f>
        <v>0</v>
      </c>
    </row>
    <row r="945" spans="12:27" ht="15" x14ac:dyDescent="0.25">
      <c r="L945" s="446" t="s">
        <v>870</v>
      </c>
      <c r="M945" s="446">
        <v>3</v>
      </c>
      <c r="N945" s="446">
        <v>3</v>
      </c>
      <c r="O945" s="448" t="s">
        <v>706</v>
      </c>
      <c r="P945" s="449" t="s">
        <v>700</v>
      </c>
      <c r="Q945" s="449"/>
      <c r="R945" s="449"/>
      <c r="S945" s="449" t="s">
        <v>707</v>
      </c>
      <c r="T945" s="449" t="s">
        <v>701</v>
      </c>
      <c r="U945" s="452">
        <v>0</v>
      </c>
      <c r="V9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5" s="272" t="str">
        <f>IFERROR(SUMIFS(TransUnitCost[Miles],TransUnitCost[Grouping_ID],TransTonsShort[[#This Row],[Grouping_ID]],TransUnitCost[Transp_ID],TransTonsShort[[#This Row],[Transp_ID]])*TransTonsShort[[#This Row],[Trans_Tons_All]]/TransTonsShort[[#This Row],[Trans_Tons_All]],"")</f>
        <v/>
      </c>
      <c r="X945" s="386" t="str">
        <f>TransTonsShort[[#This Row],[Grouping_ID]]&amp;"-"&amp;TransTonsShort[[#This Row],[Sector_ID]]</f>
        <v>3-3</v>
      </c>
      <c r="Y9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5" s="421">
        <f>INDEX(LandfillFees[Disposal Tip Fee 2025],MATCH(TransTonsShort[[#This Row],[Grouping_ID]],LandfillFees[Grouping_ID],0))</f>
        <v>72.030938699729589</v>
      </c>
      <c r="AA945" s="102">
        <f>IF(OR(TransTonsShort[[#This Row],[CollectionStream_ID]]="03",TransTonsShort[[#This Row],[CollectionStream_ID]]="04",TransTonsShort[[#This Row],[CollectionStream_ID]]="13"),0,TransTonsShort[[#This Row],[Trans_Tons_All]]*TransTonsShort[[#This Row],[Disposal_Fee]])</f>
        <v>0</v>
      </c>
    </row>
    <row r="946" spans="12:27" ht="15" x14ac:dyDescent="0.25">
      <c r="L946" s="446" t="s">
        <v>870</v>
      </c>
      <c r="M946" s="446">
        <v>4</v>
      </c>
      <c r="N946" s="446">
        <v>3</v>
      </c>
      <c r="O946" s="448" t="s">
        <v>706</v>
      </c>
      <c r="P946" s="449" t="s">
        <v>700</v>
      </c>
      <c r="Q946" s="449"/>
      <c r="R946" s="449"/>
      <c r="S946" s="449" t="s">
        <v>707</v>
      </c>
      <c r="T946" s="449" t="s">
        <v>701</v>
      </c>
      <c r="U946" s="452">
        <v>0</v>
      </c>
      <c r="V9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6" s="272" t="str">
        <f>IFERROR(SUMIFS(TransUnitCost[Miles],TransUnitCost[Grouping_ID],TransTonsShort[[#This Row],[Grouping_ID]],TransUnitCost[Transp_ID],TransTonsShort[[#This Row],[Transp_ID]])*TransTonsShort[[#This Row],[Trans_Tons_All]]/TransTonsShort[[#This Row],[Trans_Tons_All]],"")</f>
        <v/>
      </c>
      <c r="X946" s="386" t="str">
        <f>TransTonsShort[[#This Row],[Grouping_ID]]&amp;"-"&amp;TransTonsShort[[#This Row],[Sector_ID]]</f>
        <v>4-3</v>
      </c>
      <c r="Y9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6" s="421">
        <f>INDEX(LandfillFees[Disposal Tip Fee 2025],MATCH(TransTonsShort[[#This Row],[Grouping_ID]],LandfillFees[Grouping_ID],0))</f>
        <v>72.030938699729589</v>
      </c>
      <c r="AA946" s="102">
        <f>IF(OR(TransTonsShort[[#This Row],[CollectionStream_ID]]="03",TransTonsShort[[#This Row],[CollectionStream_ID]]="04",TransTonsShort[[#This Row],[CollectionStream_ID]]="13"),0,TransTonsShort[[#This Row],[Trans_Tons_All]]*TransTonsShort[[#This Row],[Disposal_Fee]])</f>
        <v>0</v>
      </c>
    </row>
    <row r="947" spans="12:27" ht="15" x14ac:dyDescent="0.25">
      <c r="L947" s="446" t="s">
        <v>870</v>
      </c>
      <c r="M947" s="446">
        <v>1</v>
      </c>
      <c r="N947" s="446">
        <v>3</v>
      </c>
      <c r="O947" s="448" t="s">
        <v>752</v>
      </c>
      <c r="P947" s="449" t="s">
        <v>719</v>
      </c>
      <c r="Q947" s="449"/>
      <c r="R947" s="449"/>
      <c r="S947" s="449" t="s">
        <v>964</v>
      </c>
      <c r="T947" s="449" t="s">
        <v>1055</v>
      </c>
      <c r="U947" s="452">
        <v>0</v>
      </c>
      <c r="V9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7" s="272" t="str">
        <f>IFERROR(SUMIFS(TransUnitCost[Miles],TransUnitCost[Grouping_ID],TransTonsShort[[#This Row],[Grouping_ID]],TransUnitCost[Transp_ID],TransTonsShort[[#This Row],[Transp_ID]])*TransTonsShort[[#This Row],[Trans_Tons_All]]/TransTonsShort[[#This Row],[Trans_Tons_All]],"")</f>
        <v/>
      </c>
      <c r="X947" s="386" t="str">
        <f>TransTonsShort[[#This Row],[Grouping_ID]]&amp;"-"&amp;TransTonsShort[[#This Row],[Sector_ID]]</f>
        <v>1-3</v>
      </c>
      <c r="Y9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7" s="421">
        <f>INDEX(LandfillFees[Disposal Tip Fee 2025],MATCH(TransTonsShort[[#This Row],[Grouping_ID]],LandfillFees[Grouping_ID],0))</f>
        <v>134.68</v>
      </c>
      <c r="AA947" s="102">
        <f>IF(OR(TransTonsShort[[#This Row],[CollectionStream_ID]]="03",TransTonsShort[[#This Row],[CollectionStream_ID]]="04",TransTonsShort[[#This Row],[CollectionStream_ID]]="13"),0,TransTonsShort[[#This Row],[Trans_Tons_All]]*TransTonsShort[[#This Row],[Disposal_Fee]])</f>
        <v>0</v>
      </c>
    </row>
    <row r="948" spans="12:27" ht="15" x14ac:dyDescent="0.25">
      <c r="L948" s="446" t="s">
        <v>870</v>
      </c>
      <c r="M948" s="446">
        <v>2</v>
      </c>
      <c r="N948" s="446">
        <v>3</v>
      </c>
      <c r="O948" s="448" t="s">
        <v>752</v>
      </c>
      <c r="P948" s="449" t="s">
        <v>719</v>
      </c>
      <c r="Q948" s="449"/>
      <c r="R948" s="449"/>
      <c r="S948" s="449" t="s">
        <v>964</v>
      </c>
      <c r="T948" s="449" t="s">
        <v>1055</v>
      </c>
      <c r="U948" s="452">
        <v>0</v>
      </c>
      <c r="V9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8" s="272" t="str">
        <f>IFERROR(SUMIFS(TransUnitCost[Miles],TransUnitCost[Grouping_ID],TransTonsShort[[#This Row],[Grouping_ID]],TransUnitCost[Transp_ID],TransTonsShort[[#This Row],[Transp_ID]])*TransTonsShort[[#This Row],[Trans_Tons_All]]/TransTonsShort[[#This Row],[Trans_Tons_All]],"")</f>
        <v/>
      </c>
      <c r="X948" s="386" t="str">
        <f>TransTonsShort[[#This Row],[Grouping_ID]]&amp;"-"&amp;TransTonsShort[[#This Row],[Sector_ID]]</f>
        <v>2-3</v>
      </c>
      <c r="Y9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8" s="421">
        <f>INDEX(LandfillFees[Disposal Tip Fee 2025],MATCH(TransTonsShort[[#This Row],[Grouping_ID]],LandfillFees[Grouping_ID],0))</f>
        <v>72.030938699729589</v>
      </c>
      <c r="AA948" s="102">
        <f>IF(OR(TransTonsShort[[#This Row],[CollectionStream_ID]]="03",TransTonsShort[[#This Row],[CollectionStream_ID]]="04",TransTonsShort[[#This Row],[CollectionStream_ID]]="13"),0,TransTonsShort[[#This Row],[Trans_Tons_All]]*TransTonsShort[[#This Row],[Disposal_Fee]])</f>
        <v>0</v>
      </c>
    </row>
    <row r="949" spans="12:27" ht="15" x14ac:dyDescent="0.25">
      <c r="L949" s="446" t="s">
        <v>870</v>
      </c>
      <c r="M949" s="446">
        <v>3</v>
      </c>
      <c r="N949" s="446">
        <v>3</v>
      </c>
      <c r="O949" s="448" t="s">
        <v>752</v>
      </c>
      <c r="P949" s="449" t="s">
        <v>719</v>
      </c>
      <c r="Q949" s="449"/>
      <c r="R949" s="449"/>
      <c r="S949" s="449" t="s">
        <v>964</v>
      </c>
      <c r="T949" s="449" t="s">
        <v>1055</v>
      </c>
      <c r="U949" s="452">
        <v>0</v>
      </c>
      <c r="V9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49" s="272" t="str">
        <f>IFERROR(SUMIFS(TransUnitCost[Miles],TransUnitCost[Grouping_ID],TransTonsShort[[#This Row],[Grouping_ID]],TransUnitCost[Transp_ID],TransTonsShort[[#This Row],[Transp_ID]])*TransTonsShort[[#This Row],[Trans_Tons_All]]/TransTonsShort[[#This Row],[Trans_Tons_All]],"")</f>
        <v/>
      </c>
      <c r="X949" s="386" t="str">
        <f>TransTonsShort[[#This Row],[Grouping_ID]]&amp;"-"&amp;TransTonsShort[[#This Row],[Sector_ID]]</f>
        <v>3-3</v>
      </c>
      <c r="Y9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49" s="421">
        <f>INDEX(LandfillFees[Disposal Tip Fee 2025],MATCH(TransTonsShort[[#This Row],[Grouping_ID]],LandfillFees[Grouping_ID],0))</f>
        <v>72.030938699729589</v>
      </c>
      <c r="AA949" s="102">
        <f>IF(OR(TransTonsShort[[#This Row],[CollectionStream_ID]]="03",TransTonsShort[[#This Row],[CollectionStream_ID]]="04",TransTonsShort[[#This Row],[CollectionStream_ID]]="13"),0,TransTonsShort[[#This Row],[Trans_Tons_All]]*TransTonsShort[[#This Row],[Disposal_Fee]])</f>
        <v>0</v>
      </c>
    </row>
    <row r="950" spans="12:27" ht="15" x14ac:dyDescent="0.25">
      <c r="L950" s="446" t="s">
        <v>870</v>
      </c>
      <c r="M950" s="446">
        <v>4</v>
      </c>
      <c r="N950" s="446">
        <v>3</v>
      </c>
      <c r="O950" s="448" t="s">
        <v>752</v>
      </c>
      <c r="P950" s="449" t="s">
        <v>719</v>
      </c>
      <c r="Q950" s="449"/>
      <c r="R950" s="449"/>
      <c r="S950" s="449" t="s">
        <v>964</v>
      </c>
      <c r="T950" s="449" t="s">
        <v>1055</v>
      </c>
      <c r="U950" s="452">
        <v>0</v>
      </c>
      <c r="V9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0" s="272" t="str">
        <f>IFERROR(SUMIFS(TransUnitCost[Miles],TransUnitCost[Grouping_ID],TransTonsShort[[#This Row],[Grouping_ID]],TransUnitCost[Transp_ID],TransTonsShort[[#This Row],[Transp_ID]])*TransTonsShort[[#This Row],[Trans_Tons_All]]/TransTonsShort[[#This Row],[Trans_Tons_All]],"")</f>
        <v/>
      </c>
      <c r="X950" s="386" t="str">
        <f>TransTonsShort[[#This Row],[Grouping_ID]]&amp;"-"&amp;TransTonsShort[[#This Row],[Sector_ID]]</f>
        <v>4-3</v>
      </c>
      <c r="Y9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0" s="421">
        <f>INDEX(LandfillFees[Disposal Tip Fee 2025],MATCH(TransTonsShort[[#This Row],[Grouping_ID]],LandfillFees[Grouping_ID],0))</f>
        <v>72.030938699729589</v>
      </c>
      <c r="AA950" s="102">
        <f>IF(OR(TransTonsShort[[#This Row],[CollectionStream_ID]]="03",TransTonsShort[[#This Row],[CollectionStream_ID]]="04",TransTonsShort[[#This Row],[CollectionStream_ID]]="13"),0,TransTonsShort[[#This Row],[Trans_Tons_All]]*TransTonsShort[[#This Row],[Disposal_Fee]])</f>
        <v>0</v>
      </c>
    </row>
    <row r="951" spans="12:27" ht="15" x14ac:dyDescent="0.25">
      <c r="L951" s="446" t="s">
        <v>870</v>
      </c>
      <c r="M951" s="446">
        <v>1</v>
      </c>
      <c r="N951" s="446">
        <v>3</v>
      </c>
      <c r="O951" s="448" t="s">
        <v>752</v>
      </c>
      <c r="P951" s="449" t="s">
        <v>700</v>
      </c>
      <c r="Q951" s="449"/>
      <c r="R951" s="449"/>
      <c r="S951" s="449" t="s">
        <v>964</v>
      </c>
      <c r="T951" s="449" t="s">
        <v>701</v>
      </c>
      <c r="U951" s="452">
        <v>2837.9119120943196</v>
      </c>
      <c r="V9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1" s="272">
        <f>IFERROR(SUMIFS(TransUnitCost[Miles],TransUnitCost[Grouping_ID],TransTonsShort[[#This Row],[Grouping_ID]],TransUnitCost[Transp_ID],TransTonsShort[[#This Row],[Transp_ID]])*TransTonsShort[[#This Row],[Trans_Tons_All]]/TransTonsShort[[#This Row],[Trans_Tons_All]],"")</f>
        <v>0</v>
      </c>
      <c r="X951" s="386" t="str">
        <f>TransTonsShort[[#This Row],[Grouping_ID]]&amp;"-"&amp;TransTonsShort[[#This Row],[Sector_ID]]</f>
        <v>1-3</v>
      </c>
      <c r="Y9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1" s="421">
        <f>INDEX(LandfillFees[Disposal Tip Fee 2025],MATCH(TransTonsShort[[#This Row],[Grouping_ID]],LandfillFees[Grouping_ID],0))</f>
        <v>134.68</v>
      </c>
      <c r="AA951" s="102">
        <f>IF(OR(TransTonsShort[[#This Row],[CollectionStream_ID]]="03",TransTonsShort[[#This Row],[CollectionStream_ID]]="04",TransTonsShort[[#This Row],[CollectionStream_ID]]="13"),0,TransTonsShort[[#This Row],[Trans_Tons_All]]*TransTonsShort[[#This Row],[Disposal_Fee]])</f>
        <v>382209.976320863</v>
      </c>
    </row>
    <row r="952" spans="12:27" ht="15" x14ac:dyDescent="0.25">
      <c r="L952" s="446" t="s">
        <v>870</v>
      </c>
      <c r="M952" s="446">
        <v>2</v>
      </c>
      <c r="N952" s="446">
        <v>3</v>
      </c>
      <c r="O952" s="448" t="s">
        <v>752</v>
      </c>
      <c r="P952" s="449" t="s">
        <v>700</v>
      </c>
      <c r="Q952" s="449"/>
      <c r="R952" s="449"/>
      <c r="S952" s="449" t="s">
        <v>964</v>
      </c>
      <c r="T952" s="449" t="s">
        <v>701</v>
      </c>
      <c r="U952" s="452">
        <v>0</v>
      </c>
      <c r="V9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2" s="272" t="str">
        <f>IFERROR(SUMIFS(TransUnitCost[Miles],TransUnitCost[Grouping_ID],TransTonsShort[[#This Row],[Grouping_ID]],TransUnitCost[Transp_ID],TransTonsShort[[#This Row],[Transp_ID]])*TransTonsShort[[#This Row],[Trans_Tons_All]]/TransTonsShort[[#This Row],[Trans_Tons_All]],"")</f>
        <v/>
      </c>
      <c r="X952" s="386" t="str">
        <f>TransTonsShort[[#This Row],[Grouping_ID]]&amp;"-"&amp;TransTonsShort[[#This Row],[Sector_ID]]</f>
        <v>2-3</v>
      </c>
      <c r="Y9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2" s="421">
        <f>INDEX(LandfillFees[Disposal Tip Fee 2025],MATCH(TransTonsShort[[#This Row],[Grouping_ID]],LandfillFees[Grouping_ID],0))</f>
        <v>72.030938699729589</v>
      </c>
      <c r="AA952" s="102">
        <f>IF(OR(TransTonsShort[[#This Row],[CollectionStream_ID]]="03",TransTonsShort[[#This Row],[CollectionStream_ID]]="04",TransTonsShort[[#This Row],[CollectionStream_ID]]="13"),0,TransTonsShort[[#This Row],[Trans_Tons_All]]*TransTonsShort[[#This Row],[Disposal_Fee]])</f>
        <v>0</v>
      </c>
    </row>
    <row r="953" spans="12:27" ht="15" x14ac:dyDescent="0.25">
      <c r="L953" s="446" t="s">
        <v>870</v>
      </c>
      <c r="M953" s="446">
        <v>3</v>
      </c>
      <c r="N953" s="446">
        <v>3</v>
      </c>
      <c r="O953" s="448" t="s">
        <v>752</v>
      </c>
      <c r="P953" s="449" t="s">
        <v>700</v>
      </c>
      <c r="Q953" s="449"/>
      <c r="R953" s="449"/>
      <c r="S953" s="449" t="s">
        <v>964</v>
      </c>
      <c r="T953" s="449" t="s">
        <v>701</v>
      </c>
      <c r="U953" s="452">
        <v>0</v>
      </c>
      <c r="V9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3" s="272" t="str">
        <f>IFERROR(SUMIFS(TransUnitCost[Miles],TransUnitCost[Grouping_ID],TransTonsShort[[#This Row],[Grouping_ID]],TransUnitCost[Transp_ID],TransTonsShort[[#This Row],[Transp_ID]])*TransTonsShort[[#This Row],[Trans_Tons_All]]/TransTonsShort[[#This Row],[Trans_Tons_All]],"")</f>
        <v/>
      </c>
      <c r="X953" s="386" t="str">
        <f>TransTonsShort[[#This Row],[Grouping_ID]]&amp;"-"&amp;TransTonsShort[[#This Row],[Sector_ID]]</f>
        <v>3-3</v>
      </c>
      <c r="Y9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3" s="421">
        <f>INDEX(LandfillFees[Disposal Tip Fee 2025],MATCH(TransTonsShort[[#This Row],[Grouping_ID]],LandfillFees[Grouping_ID],0))</f>
        <v>72.030938699729589</v>
      </c>
      <c r="AA953" s="102">
        <f>IF(OR(TransTonsShort[[#This Row],[CollectionStream_ID]]="03",TransTonsShort[[#This Row],[CollectionStream_ID]]="04",TransTonsShort[[#This Row],[CollectionStream_ID]]="13"),0,TransTonsShort[[#This Row],[Trans_Tons_All]]*TransTonsShort[[#This Row],[Disposal_Fee]])</f>
        <v>0</v>
      </c>
    </row>
    <row r="954" spans="12:27" ht="15" x14ac:dyDescent="0.25">
      <c r="L954" s="446" t="s">
        <v>870</v>
      </c>
      <c r="M954" s="446">
        <v>4</v>
      </c>
      <c r="N954" s="446">
        <v>3</v>
      </c>
      <c r="O954" s="448" t="s">
        <v>752</v>
      </c>
      <c r="P954" s="449" t="s">
        <v>700</v>
      </c>
      <c r="Q954" s="449"/>
      <c r="R954" s="449"/>
      <c r="S954" s="449" t="s">
        <v>964</v>
      </c>
      <c r="T954" s="449" t="s">
        <v>701</v>
      </c>
      <c r="U954" s="452">
        <v>0</v>
      </c>
      <c r="V9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4" s="272" t="str">
        <f>IFERROR(SUMIFS(TransUnitCost[Miles],TransUnitCost[Grouping_ID],TransTonsShort[[#This Row],[Grouping_ID]],TransUnitCost[Transp_ID],TransTonsShort[[#This Row],[Transp_ID]])*TransTonsShort[[#This Row],[Trans_Tons_All]]/TransTonsShort[[#This Row],[Trans_Tons_All]],"")</f>
        <v/>
      </c>
      <c r="X954" s="386" t="str">
        <f>TransTonsShort[[#This Row],[Grouping_ID]]&amp;"-"&amp;TransTonsShort[[#This Row],[Sector_ID]]</f>
        <v>4-3</v>
      </c>
      <c r="Y9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4" s="421">
        <f>INDEX(LandfillFees[Disposal Tip Fee 2025],MATCH(TransTonsShort[[#This Row],[Grouping_ID]],LandfillFees[Grouping_ID],0))</f>
        <v>72.030938699729589</v>
      </c>
      <c r="AA954" s="102">
        <f>IF(OR(TransTonsShort[[#This Row],[CollectionStream_ID]]="03",TransTonsShort[[#This Row],[CollectionStream_ID]]="04",TransTonsShort[[#This Row],[CollectionStream_ID]]="13"),0,TransTonsShort[[#This Row],[Trans_Tons_All]]*TransTonsShort[[#This Row],[Disposal_Fee]])</f>
        <v>0</v>
      </c>
    </row>
    <row r="955" spans="12:27" ht="15" x14ac:dyDescent="0.25">
      <c r="L955" s="446" t="s">
        <v>870</v>
      </c>
      <c r="M955" s="446">
        <v>1</v>
      </c>
      <c r="N955" s="446">
        <v>3</v>
      </c>
      <c r="O955" s="446" t="s">
        <v>752</v>
      </c>
      <c r="P955" s="449" t="s">
        <v>706</v>
      </c>
      <c r="Q955" s="449"/>
      <c r="R955" s="449"/>
      <c r="S955" s="449" t="s">
        <v>964</v>
      </c>
      <c r="T955" s="449" t="s">
        <v>1025</v>
      </c>
      <c r="U955" s="452">
        <v>0</v>
      </c>
      <c r="V9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55" s="272" t="str">
        <f>IFERROR(SUMIFS(TransUnitCost[Miles],TransUnitCost[Grouping_ID],TransTonsShort[[#This Row],[Grouping_ID]],TransUnitCost[Transp_ID],TransTonsShort[[#This Row],[Transp_ID]])*TransTonsShort[[#This Row],[Trans_Tons_All]]/TransTonsShort[[#This Row],[Trans_Tons_All]],"")</f>
        <v/>
      </c>
      <c r="X955" s="386" t="str">
        <f>TransTonsShort[[#This Row],[Grouping_ID]]&amp;"-"&amp;TransTonsShort[[#This Row],[Sector_ID]]</f>
        <v>1-3</v>
      </c>
      <c r="Y9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5" s="421">
        <f>INDEX(LandfillFees[Disposal Tip Fee 2025],MATCH(TransTonsShort[[#This Row],[Grouping_ID]],LandfillFees[Grouping_ID],0))</f>
        <v>134.68</v>
      </c>
      <c r="AA955" s="102">
        <f>IF(OR(TransTonsShort[[#This Row],[CollectionStream_ID]]="03",TransTonsShort[[#This Row],[CollectionStream_ID]]="04",TransTonsShort[[#This Row],[CollectionStream_ID]]="13"),0,TransTonsShort[[#This Row],[Trans_Tons_All]]*TransTonsShort[[#This Row],[Disposal_Fee]])</f>
        <v>0</v>
      </c>
    </row>
    <row r="956" spans="12:27" ht="15" x14ac:dyDescent="0.25">
      <c r="L956" s="446" t="s">
        <v>870</v>
      </c>
      <c r="M956" s="446">
        <v>2</v>
      </c>
      <c r="N956" s="446">
        <v>3</v>
      </c>
      <c r="O956" s="446" t="s">
        <v>752</v>
      </c>
      <c r="P956" s="449" t="s">
        <v>706</v>
      </c>
      <c r="Q956" s="449"/>
      <c r="R956" s="449"/>
      <c r="S956" s="449" t="s">
        <v>964</v>
      </c>
      <c r="T956" s="449" t="s">
        <v>1025</v>
      </c>
      <c r="U956" s="452">
        <v>367.78266139647616</v>
      </c>
      <c r="V9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10297.914519101332</v>
      </c>
      <c r="W956" s="272">
        <f>IFERROR(SUMIFS(TransUnitCost[Miles],TransUnitCost[Grouping_ID],TransTonsShort[[#This Row],[Grouping_ID]],TransUnitCost[Transp_ID],TransTonsShort[[#This Row],[Transp_ID]])*TransTonsShort[[#This Row],[Trans_Tons_All]]/TransTonsShort[[#This Row],[Trans_Tons_All]],"")</f>
        <v>70</v>
      </c>
      <c r="X956" s="386" t="str">
        <f>TransTonsShort[[#This Row],[Grouping_ID]]&amp;"-"&amp;TransTonsShort[[#This Row],[Sector_ID]]</f>
        <v>2-3</v>
      </c>
      <c r="Y9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6" s="421">
        <f>INDEX(LandfillFees[Disposal Tip Fee 2025],MATCH(TransTonsShort[[#This Row],[Grouping_ID]],LandfillFees[Grouping_ID],0))</f>
        <v>72.030938699729589</v>
      </c>
      <c r="AA956" s="102">
        <f>IF(OR(TransTonsShort[[#This Row],[CollectionStream_ID]]="03",TransTonsShort[[#This Row],[CollectionStream_ID]]="04",TransTonsShort[[#This Row],[CollectionStream_ID]]="13"),0,TransTonsShort[[#This Row],[Trans_Tons_All]]*TransTonsShort[[#This Row],[Disposal_Fee]])</f>
        <v>26491.730337872978</v>
      </c>
    </row>
    <row r="957" spans="12:27" ht="15" x14ac:dyDescent="0.25">
      <c r="L957" s="446" t="s">
        <v>870</v>
      </c>
      <c r="M957" s="446">
        <v>3</v>
      </c>
      <c r="N957" s="446">
        <v>3</v>
      </c>
      <c r="O957" s="446" t="s">
        <v>752</v>
      </c>
      <c r="P957" s="449" t="s">
        <v>706</v>
      </c>
      <c r="Q957" s="449"/>
      <c r="R957" s="449"/>
      <c r="S957" s="449" t="s">
        <v>964</v>
      </c>
      <c r="T957" s="449" t="s">
        <v>1025</v>
      </c>
      <c r="U957" s="452">
        <v>147.89399146491724</v>
      </c>
      <c r="V9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7764.4345519081544</v>
      </c>
      <c r="W957" s="272">
        <f>IFERROR(SUMIFS(TransUnitCost[Miles],TransUnitCost[Grouping_ID],TransTonsShort[[#This Row],[Grouping_ID]],TransUnitCost[Transp_ID],TransTonsShort[[#This Row],[Transp_ID]])*TransTonsShort[[#This Row],[Trans_Tons_All]]/TransTonsShort[[#This Row],[Trans_Tons_All]],"")</f>
        <v>150</v>
      </c>
      <c r="X957" s="386" t="str">
        <f>TransTonsShort[[#This Row],[Grouping_ID]]&amp;"-"&amp;TransTonsShort[[#This Row],[Sector_ID]]</f>
        <v>3-3</v>
      </c>
      <c r="Y9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7" s="421">
        <f>INDEX(LandfillFees[Disposal Tip Fee 2025],MATCH(TransTonsShort[[#This Row],[Grouping_ID]],LandfillFees[Grouping_ID],0))</f>
        <v>72.030938699729589</v>
      </c>
      <c r="AA957" s="102">
        <f>IF(OR(TransTonsShort[[#This Row],[CollectionStream_ID]]="03",TransTonsShort[[#This Row],[CollectionStream_ID]]="04",TransTonsShort[[#This Row],[CollectionStream_ID]]="13"),0,TransTonsShort[[#This Row],[Trans_Tons_All]]*TransTonsShort[[#This Row],[Disposal_Fee]])</f>
        <v>10652.943033267784</v>
      </c>
    </row>
    <row r="958" spans="12:27" ht="15" x14ac:dyDescent="0.25">
      <c r="L958" s="446" t="s">
        <v>870</v>
      </c>
      <c r="M958" s="446">
        <v>4</v>
      </c>
      <c r="N958" s="446">
        <v>3</v>
      </c>
      <c r="O958" s="446" t="s">
        <v>752</v>
      </c>
      <c r="P958" s="449" t="s">
        <v>706</v>
      </c>
      <c r="Q958" s="449"/>
      <c r="R958" s="449"/>
      <c r="S958" s="449" t="s">
        <v>964</v>
      </c>
      <c r="T958" s="449" t="s">
        <v>1025</v>
      </c>
      <c r="U958" s="452">
        <v>139.79439929823366</v>
      </c>
      <c r="V9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13979.439929823366</v>
      </c>
      <c r="W958" s="272">
        <f>IFERROR(SUMIFS(TransUnitCost[Miles],TransUnitCost[Grouping_ID],TransTonsShort[[#This Row],[Grouping_ID]],TransUnitCost[Transp_ID],TransTonsShort[[#This Row],[Transp_ID]])*TransTonsShort[[#This Row],[Trans_Tons_All]]/TransTonsShort[[#This Row],[Trans_Tons_All]],"")</f>
        <v>250</v>
      </c>
      <c r="X958" s="386" t="str">
        <f>TransTonsShort[[#This Row],[Grouping_ID]]&amp;"-"&amp;TransTonsShort[[#This Row],[Sector_ID]]</f>
        <v>4-3</v>
      </c>
      <c r="Y9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8" s="421">
        <f>INDEX(LandfillFees[Disposal Tip Fee 2025],MATCH(TransTonsShort[[#This Row],[Grouping_ID]],LandfillFees[Grouping_ID],0))</f>
        <v>72.030938699729589</v>
      </c>
      <c r="AA958" s="102">
        <f>IF(OR(TransTonsShort[[#This Row],[CollectionStream_ID]]="03",TransTonsShort[[#This Row],[CollectionStream_ID]]="04",TransTonsShort[[#This Row],[CollectionStream_ID]]="13"),0,TransTonsShort[[#This Row],[Trans_Tons_All]]*TransTonsShort[[#This Row],[Disposal_Fee]])</f>
        <v>10069.521806416589</v>
      </c>
    </row>
    <row r="959" spans="12:27" ht="15" x14ac:dyDescent="0.25">
      <c r="L959" s="446" t="s">
        <v>870</v>
      </c>
      <c r="M959" s="446">
        <v>1</v>
      </c>
      <c r="N959" s="446">
        <v>3</v>
      </c>
      <c r="O959" s="446" t="s">
        <v>750</v>
      </c>
      <c r="P959" s="449" t="s">
        <v>739</v>
      </c>
      <c r="Q959" s="449"/>
      <c r="R959" s="449"/>
      <c r="S959" s="449" t="s">
        <v>963</v>
      </c>
      <c r="T959" s="449" t="s">
        <v>1121</v>
      </c>
      <c r="U959" s="452">
        <v>3476.0354868932004</v>
      </c>
      <c r="V9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67435.088445728077</v>
      </c>
      <c r="W959" s="272">
        <f>IFERROR(SUMIFS(TransUnitCost[Miles],TransUnitCost[Grouping_ID],TransTonsShort[[#This Row],[Grouping_ID]],TransUnitCost[Transp_ID],TransTonsShort[[#This Row],[Transp_ID]])*TransTonsShort[[#This Row],[Trans_Tons_All]]/TransTonsShort[[#This Row],[Trans_Tons_All]],"")</f>
        <v>20</v>
      </c>
      <c r="X959" s="386" t="str">
        <f>TransTonsShort[[#This Row],[Grouping_ID]]&amp;"-"&amp;TransTonsShort[[#This Row],[Sector_ID]]</f>
        <v>1-3</v>
      </c>
      <c r="Y9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59" s="421">
        <f>INDEX(LandfillFees[Disposal Tip Fee 2025],MATCH(TransTonsShort[[#This Row],[Grouping_ID]],LandfillFees[Grouping_ID],0))</f>
        <v>134.68</v>
      </c>
      <c r="AA959" s="102">
        <f>IF(OR(TransTonsShort[[#This Row],[CollectionStream_ID]]="03",TransTonsShort[[#This Row],[CollectionStream_ID]]="04",TransTonsShort[[#This Row],[CollectionStream_ID]]="13"),0,TransTonsShort[[#This Row],[Trans_Tons_All]]*TransTonsShort[[#This Row],[Disposal_Fee]])</f>
        <v>468152.45937477623</v>
      </c>
    </row>
    <row r="960" spans="12:27" ht="15" x14ac:dyDescent="0.25">
      <c r="L960" s="446" t="s">
        <v>870</v>
      </c>
      <c r="M960" s="446">
        <v>2</v>
      </c>
      <c r="N960" s="446">
        <v>3</v>
      </c>
      <c r="O960" s="446" t="s">
        <v>750</v>
      </c>
      <c r="P960" s="449" t="s">
        <v>739</v>
      </c>
      <c r="Q960" s="449"/>
      <c r="R960" s="449"/>
      <c r="S960" s="449" t="s">
        <v>963</v>
      </c>
      <c r="T960" s="449" t="s">
        <v>1121</v>
      </c>
      <c r="U960" s="452">
        <v>868.74014737430389</v>
      </c>
      <c r="V9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35878.968086558751</v>
      </c>
      <c r="W960" s="272">
        <f>IFERROR(SUMIFS(TransUnitCost[Miles],TransUnitCost[Grouping_ID],TransTonsShort[[#This Row],[Grouping_ID]],TransUnitCost[Transp_ID],TransTonsShort[[#This Row],[Transp_ID]])*TransTonsShort[[#This Row],[Trans_Tons_All]]/TransTonsShort[[#This Row],[Trans_Tons_All]],"")</f>
        <v>70</v>
      </c>
      <c r="X960" s="386" t="str">
        <f>TransTonsShort[[#This Row],[Grouping_ID]]&amp;"-"&amp;TransTonsShort[[#This Row],[Sector_ID]]</f>
        <v>2-3</v>
      </c>
      <c r="Y9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0" s="421">
        <f>INDEX(LandfillFees[Disposal Tip Fee 2025],MATCH(TransTonsShort[[#This Row],[Grouping_ID]],LandfillFees[Grouping_ID],0))</f>
        <v>72.030938699729589</v>
      </c>
      <c r="AA960" s="102">
        <f>IF(OR(TransTonsShort[[#This Row],[CollectionStream_ID]]="03",TransTonsShort[[#This Row],[CollectionStream_ID]]="04",TransTonsShort[[#This Row],[CollectionStream_ID]]="13"),0,TransTonsShort[[#This Row],[Trans_Tons_All]]*TransTonsShort[[#This Row],[Disposal_Fee]])</f>
        <v>62576.168301512531</v>
      </c>
    </row>
    <row r="961" spans="12:27" ht="15" x14ac:dyDescent="0.25">
      <c r="L961" s="446" t="s">
        <v>870</v>
      </c>
      <c r="M961" s="446">
        <v>3</v>
      </c>
      <c r="N961" s="446">
        <v>3</v>
      </c>
      <c r="O961" s="446" t="s">
        <v>750</v>
      </c>
      <c r="P961" s="449" t="s">
        <v>739</v>
      </c>
      <c r="Q961" s="449"/>
      <c r="R961" s="449"/>
      <c r="S961" s="449" t="s">
        <v>963</v>
      </c>
      <c r="T961" s="449" t="s">
        <v>1121</v>
      </c>
      <c r="U961" s="452">
        <v>15.583113133856919</v>
      </c>
      <c r="V9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560.99207281884912</v>
      </c>
      <c r="W961" s="272">
        <f>IFERROR(SUMIFS(TransUnitCost[Miles],TransUnitCost[Grouping_ID],TransTonsShort[[#This Row],[Grouping_ID]],TransUnitCost[Transp_ID],TransTonsShort[[#This Row],[Transp_ID]])*TransTonsShort[[#This Row],[Trans_Tons_All]]/TransTonsShort[[#This Row],[Trans_Tons_All]],"")</f>
        <v>150</v>
      </c>
      <c r="X961" s="386" t="str">
        <f>TransTonsShort[[#This Row],[Grouping_ID]]&amp;"-"&amp;TransTonsShort[[#This Row],[Sector_ID]]</f>
        <v>3-3</v>
      </c>
      <c r="Y9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1" s="421">
        <f>INDEX(LandfillFees[Disposal Tip Fee 2025],MATCH(TransTonsShort[[#This Row],[Grouping_ID]],LandfillFees[Grouping_ID],0))</f>
        <v>72.030938699729589</v>
      </c>
      <c r="AA961" s="102">
        <f>IF(OR(TransTonsShort[[#This Row],[CollectionStream_ID]]="03",TransTonsShort[[#This Row],[CollectionStream_ID]]="04",TransTonsShort[[#This Row],[CollectionStream_ID]]="13"),0,TransTonsShort[[#This Row],[Trans_Tons_All]]*TransTonsShort[[#This Row],[Disposal_Fee]])</f>
        <v>1122.4662668957988</v>
      </c>
    </row>
    <row r="962" spans="12:27" ht="15" x14ac:dyDescent="0.25">
      <c r="L962" s="446" t="s">
        <v>870</v>
      </c>
      <c r="M962" s="446">
        <v>4</v>
      </c>
      <c r="N962" s="446">
        <v>3</v>
      </c>
      <c r="O962" s="446" t="s">
        <v>750</v>
      </c>
      <c r="P962" s="449" t="s">
        <v>739</v>
      </c>
      <c r="Q962" s="449"/>
      <c r="R962" s="449"/>
      <c r="S962" s="449" t="s">
        <v>963</v>
      </c>
      <c r="T962" s="449" t="s">
        <v>1121</v>
      </c>
      <c r="U962" s="452">
        <v>300.20272569462372</v>
      </c>
      <c r="V9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16511.149913204306</v>
      </c>
      <c r="W962" s="272">
        <f>IFERROR(SUMIFS(TransUnitCost[Miles],TransUnitCost[Grouping_ID],TransTonsShort[[#This Row],[Grouping_ID]],TransUnitCost[Transp_ID],TransTonsShort[[#This Row],[Transp_ID]])*TransTonsShort[[#This Row],[Trans_Tons_All]]/TransTonsShort[[#This Row],[Trans_Tons_All]],"")</f>
        <v>250</v>
      </c>
      <c r="X962" s="386" t="str">
        <f>TransTonsShort[[#This Row],[Grouping_ID]]&amp;"-"&amp;TransTonsShort[[#This Row],[Sector_ID]]</f>
        <v>4-3</v>
      </c>
      <c r="Y9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2" s="421">
        <f>INDEX(LandfillFees[Disposal Tip Fee 2025],MATCH(TransTonsShort[[#This Row],[Grouping_ID]],LandfillFees[Grouping_ID],0))</f>
        <v>72.030938699729589</v>
      </c>
      <c r="AA962" s="102">
        <f>IF(OR(TransTonsShort[[#This Row],[CollectionStream_ID]]="03",TransTonsShort[[#This Row],[CollectionStream_ID]]="04",TransTonsShort[[#This Row],[CollectionStream_ID]]="13"),0,TransTonsShort[[#This Row],[Trans_Tons_All]]*TransTonsShort[[#This Row],[Disposal_Fee]])</f>
        <v>21623.884132001178</v>
      </c>
    </row>
    <row r="963" spans="12:27" ht="15" x14ac:dyDescent="0.25">
      <c r="L963" s="446" t="s">
        <v>870</v>
      </c>
      <c r="M963" s="446">
        <v>1</v>
      </c>
      <c r="N963" s="446">
        <v>3</v>
      </c>
      <c r="O963" s="446" t="s">
        <v>750</v>
      </c>
      <c r="P963" s="449" t="s">
        <v>700</v>
      </c>
      <c r="Q963" s="449"/>
      <c r="R963" s="449"/>
      <c r="S963" s="449" t="s">
        <v>963</v>
      </c>
      <c r="T963" s="449" t="s">
        <v>701</v>
      </c>
      <c r="U963" s="452">
        <v>0</v>
      </c>
      <c r="V9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3" s="272" t="str">
        <f>IFERROR(SUMIFS(TransUnitCost[Miles],TransUnitCost[Grouping_ID],TransTonsShort[[#This Row],[Grouping_ID]],TransUnitCost[Transp_ID],TransTonsShort[[#This Row],[Transp_ID]])*TransTonsShort[[#This Row],[Trans_Tons_All]]/TransTonsShort[[#This Row],[Trans_Tons_All]],"")</f>
        <v/>
      </c>
      <c r="X963" s="386" t="str">
        <f>TransTonsShort[[#This Row],[Grouping_ID]]&amp;"-"&amp;TransTonsShort[[#This Row],[Sector_ID]]</f>
        <v>1-3</v>
      </c>
      <c r="Y9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3" s="421">
        <f>INDEX(LandfillFees[Disposal Tip Fee 2025],MATCH(TransTonsShort[[#This Row],[Grouping_ID]],LandfillFees[Grouping_ID],0))</f>
        <v>134.68</v>
      </c>
      <c r="AA963" s="102">
        <f>IF(OR(TransTonsShort[[#This Row],[CollectionStream_ID]]="03",TransTonsShort[[#This Row],[CollectionStream_ID]]="04",TransTonsShort[[#This Row],[CollectionStream_ID]]="13"),0,TransTonsShort[[#This Row],[Trans_Tons_All]]*TransTonsShort[[#This Row],[Disposal_Fee]])</f>
        <v>0</v>
      </c>
    </row>
    <row r="964" spans="12:27" ht="15" x14ac:dyDescent="0.25">
      <c r="L964" s="446" t="s">
        <v>870</v>
      </c>
      <c r="M964" s="446">
        <v>2</v>
      </c>
      <c r="N964" s="446">
        <v>3</v>
      </c>
      <c r="O964" s="446" t="s">
        <v>750</v>
      </c>
      <c r="P964" s="449" t="s">
        <v>700</v>
      </c>
      <c r="Q964" s="449"/>
      <c r="R964" s="449"/>
      <c r="S964" s="449" t="s">
        <v>963</v>
      </c>
      <c r="T964" s="449" t="s">
        <v>701</v>
      </c>
      <c r="U964" s="452">
        <v>0</v>
      </c>
      <c r="V9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4" s="272" t="str">
        <f>IFERROR(SUMIFS(TransUnitCost[Miles],TransUnitCost[Grouping_ID],TransTonsShort[[#This Row],[Grouping_ID]],TransUnitCost[Transp_ID],TransTonsShort[[#This Row],[Transp_ID]])*TransTonsShort[[#This Row],[Trans_Tons_All]]/TransTonsShort[[#This Row],[Trans_Tons_All]],"")</f>
        <v/>
      </c>
      <c r="X964" s="386" t="str">
        <f>TransTonsShort[[#This Row],[Grouping_ID]]&amp;"-"&amp;TransTonsShort[[#This Row],[Sector_ID]]</f>
        <v>2-3</v>
      </c>
      <c r="Y9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4" s="421">
        <f>INDEX(LandfillFees[Disposal Tip Fee 2025],MATCH(TransTonsShort[[#This Row],[Grouping_ID]],LandfillFees[Grouping_ID],0))</f>
        <v>72.030938699729589</v>
      </c>
      <c r="AA964" s="102">
        <f>IF(OR(TransTonsShort[[#This Row],[CollectionStream_ID]]="03",TransTonsShort[[#This Row],[CollectionStream_ID]]="04",TransTonsShort[[#This Row],[CollectionStream_ID]]="13"),0,TransTonsShort[[#This Row],[Trans_Tons_All]]*TransTonsShort[[#This Row],[Disposal_Fee]])</f>
        <v>0</v>
      </c>
    </row>
    <row r="965" spans="12:27" ht="15" x14ac:dyDescent="0.25">
      <c r="L965" s="446" t="s">
        <v>870</v>
      </c>
      <c r="M965" s="446">
        <v>3</v>
      </c>
      <c r="N965" s="446">
        <v>3</v>
      </c>
      <c r="O965" s="446" t="s">
        <v>750</v>
      </c>
      <c r="P965" s="449" t="s">
        <v>700</v>
      </c>
      <c r="Q965" s="449"/>
      <c r="R965" s="449"/>
      <c r="S965" s="449" t="s">
        <v>963</v>
      </c>
      <c r="T965" s="449" t="s">
        <v>701</v>
      </c>
      <c r="U965" s="452">
        <v>0</v>
      </c>
      <c r="V9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5" s="272" t="str">
        <f>IFERROR(SUMIFS(TransUnitCost[Miles],TransUnitCost[Grouping_ID],TransTonsShort[[#This Row],[Grouping_ID]],TransUnitCost[Transp_ID],TransTonsShort[[#This Row],[Transp_ID]])*TransTonsShort[[#This Row],[Trans_Tons_All]]/TransTonsShort[[#This Row],[Trans_Tons_All]],"")</f>
        <v/>
      </c>
      <c r="X965" s="386" t="str">
        <f>TransTonsShort[[#This Row],[Grouping_ID]]&amp;"-"&amp;TransTonsShort[[#This Row],[Sector_ID]]</f>
        <v>3-3</v>
      </c>
      <c r="Y9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5" s="421">
        <f>INDEX(LandfillFees[Disposal Tip Fee 2025],MATCH(TransTonsShort[[#This Row],[Grouping_ID]],LandfillFees[Grouping_ID],0))</f>
        <v>72.030938699729589</v>
      </c>
      <c r="AA965" s="102">
        <f>IF(OR(TransTonsShort[[#This Row],[CollectionStream_ID]]="03",TransTonsShort[[#This Row],[CollectionStream_ID]]="04",TransTonsShort[[#This Row],[CollectionStream_ID]]="13"),0,TransTonsShort[[#This Row],[Trans_Tons_All]]*TransTonsShort[[#This Row],[Disposal_Fee]])</f>
        <v>0</v>
      </c>
    </row>
    <row r="966" spans="12:27" ht="15" x14ac:dyDescent="0.25">
      <c r="L966" s="446" t="s">
        <v>870</v>
      </c>
      <c r="M966" s="446">
        <v>4</v>
      </c>
      <c r="N966" s="446">
        <v>3</v>
      </c>
      <c r="O966" s="446" t="s">
        <v>750</v>
      </c>
      <c r="P966" s="449" t="s">
        <v>700</v>
      </c>
      <c r="Q966" s="449"/>
      <c r="R966" s="449"/>
      <c r="S966" s="449" t="s">
        <v>963</v>
      </c>
      <c r="T966" s="449" t="s">
        <v>701</v>
      </c>
      <c r="U966" s="452">
        <v>0</v>
      </c>
      <c r="V9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6" s="272" t="str">
        <f>IFERROR(SUMIFS(TransUnitCost[Miles],TransUnitCost[Grouping_ID],TransTonsShort[[#This Row],[Grouping_ID]],TransUnitCost[Transp_ID],TransTonsShort[[#This Row],[Transp_ID]])*TransTonsShort[[#This Row],[Trans_Tons_All]]/TransTonsShort[[#This Row],[Trans_Tons_All]],"")</f>
        <v/>
      </c>
      <c r="X966" s="386" t="str">
        <f>TransTonsShort[[#This Row],[Grouping_ID]]&amp;"-"&amp;TransTonsShort[[#This Row],[Sector_ID]]</f>
        <v>4-3</v>
      </c>
      <c r="Y9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966" s="421">
        <f>INDEX(LandfillFees[Disposal Tip Fee 2025],MATCH(TransTonsShort[[#This Row],[Grouping_ID]],LandfillFees[Grouping_ID],0))</f>
        <v>72.030938699729589</v>
      </c>
      <c r="AA966" s="102">
        <f>IF(OR(TransTonsShort[[#This Row],[CollectionStream_ID]]="03",TransTonsShort[[#This Row],[CollectionStream_ID]]="04",TransTonsShort[[#This Row],[CollectionStream_ID]]="13"),0,TransTonsShort[[#This Row],[Trans_Tons_All]]*TransTonsShort[[#This Row],[Disposal_Fee]])</f>
        <v>0</v>
      </c>
    </row>
    <row r="967" spans="12:27" ht="15" x14ac:dyDescent="0.25">
      <c r="L967" s="446" t="s">
        <v>876</v>
      </c>
      <c r="M967" s="446">
        <v>1</v>
      </c>
      <c r="N967" s="446">
        <v>4</v>
      </c>
      <c r="O967" s="446" t="s">
        <v>700</v>
      </c>
      <c r="P967" s="449" t="s">
        <v>719</v>
      </c>
      <c r="Q967" s="449"/>
      <c r="R967" s="449"/>
      <c r="S967" s="449" t="s">
        <v>872</v>
      </c>
      <c r="T967" s="449" t="s">
        <v>1055</v>
      </c>
      <c r="U967" s="452">
        <v>0</v>
      </c>
      <c r="V9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7" s="272" t="str">
        <f>IFERROR(SUMIFS(TransUnitCost[Miles],TransUnitCost[Grouping_ID],TransTonsShort[[#This Row],[Grouping_ID]],TransUnitCost[Transp_ID],TransTonsShort[[#This Row],[Transp_ID]])*TransTonsShort[[#This Row],[Trans_Tons_All]]/TransTonsShort[[#This Row],[Trans_Tons_All]],"")</f>
        <v/>
      </c>
      <c r="X967" s="386" t="str">
        <f>TransTonsShort[[#This Row],[Grouping_ID]]&amp;"-"&amp;TransTonsShort[[#This Row],[Sector_ID]]</f>
        <v>1-4</v>
      </c>
      <c r="Y9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67" s="421">
        <f>INDEX(LandfillFees[Disposal Tip Fee 2025],MATCH(TransTonsShort[[#This Row],[Grouping_ID]],LandfillFees[Grouping_ID],0))</f>
        <v>134.68</v>
      </c>
      <c r="AA967" s="102">
        <f>IF(OR(TransTonsShort[[#This Row],[CollectionStream_ID]]="03",TransTonsShort[[#This Row],[CollectionStream_ID]]="04",TransTonsShort[[#This Row],[CollectionStream_ID]]="13"),0,TransTonsShort[[#This Row],[Trans_Tons_All]]*TransTonsShort[[#This Row],[Disposal_Fee]])</f>
        <v>0</v>
      </c>
    </row>
    <row r="968" spans="12:27" ht="15" x14ac:dyDescent="0.25">
      <c r="L968" s="446" t="s">
        <v>876</v>
      </c>
      <c r="M968" s="446">
        <v>2</v>
      </c>
      <c r="N968" s="446">
        <v>4</v>
      </c>
      <c r="O968" s="446" t="s">
        <v>700</v>
      </c>
      <c r="P968" s="449" t="s">
        <v>719</v>
      </c>
      <c r="Q968" s="449"/>
      <c r="R968" s="449"/>
      <c r="S968" s="449" t="s">
        <v>872</v>
      </c>
      <c r="T968" s="449" t="s">
        <v>1055</v>
      </c>
      <c r="U968" s="452">
        <v>0</v>
      </c>
      <c r="V9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8" s="272" t="str">
        <f>IFERROR(SUMIFS(TransUnitCost[Miles],TransUnitCost[Grouping_ID],TransTonsShort[[#This Row],[Grouping_ID]],TransUnitCost[Transp_ID],TransTonsShort[[#This Row],[Transp_ID]])*TransTonsShort[[#This Row],[Trans_Tons_All]]/TransTonsShort[[#This Row],[Trans_Tons_All]],"")</f>
        <v/>
      </c>
      <c r="X968" s="386" t="str">
        <f>TransTonsShort[[#This Row],[Grouping_ID]]&amp;"-"&amp;TransTonsShort[[#This Row],[Sector_ID]]</f>
        <v>2-4</v>
      </c>
      <c r="Y9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68" s="421">
        <f>INDEX(LandfillFees[Disposal Tip Fee 2025],MATCH(TransTonsShort[[#This Row],[Grouping_ID]],LandfillFees[Grouping_ID],0))</f>
        <v>72.030938699729589</v>
      </c>
      <c r="AA968" s="102">
        <f>IF(OR(TransTonsShort[[#This Row],[CollectionStream_ID]]="03",TransTonsShort[[#This Row],[CollectionStream_ID]]="04",TransTonsShort[[#This Row],[CollectionStream_ID]]="13"),0,TransTonsShort[[#This Row],[Trans_Tons_All]]*TransTonsShort[[#This Row],[Disposal_Fee]])</f>
        <v>0</v>
      </c>
    </row>
    <row r="969" spans="12:27" ht="15" x14ac:dyDescent="0.25">
      <c r="L969" s="446" t="s">
        <v>876</v>
      </c>
      <c r="M969" s="446">
        <v>3</v>
      </c>
      <c r="N969" s="446">
        <v>4</v>
      </c>
      <c r="O969" s="446" t="s">
        <v>700</v>
      </c>
      <c r="P969" s="449" t="s">
        <v>719</v>
      </c>
      <c r="Q969" s="449"/>
      <c r="R969" s="449"/>
      <c r="S969" s="449" t="s">
        <v>872</v>
      </c>
      <c r="T969" s="449" t="s">
        <v>1055</v>
      </c>
      <c r="U969" s="452">
        <v>0</v>
      </c>
      <c r="V9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69" s="272" t="str">
        <f>IFERROR(SUMIFS(TransUnitCost[Miles],TransUnitCost[Grouping_ID],TransTonsShort[[#This Row],[Grouping_ID]],TransUnitCost[Transp_ID],TransTonsShort[[#This Row],[Transp_ID]])*TransTonsShort[[#This Row],[Trans_Tons_All]]/TransTonsShort[[#This Row],[Trans_Tons_All]],"")</f>
        <v/>
      </c>
      <c r="X969" s="386" t="str">
        <f>TransTonsShort[[#This Row],[Grouping_ID]]&amp;"-"&amp;TransTonsShort[[#This Row],[Sector_ID]]</f>
        <v>3-4</v>
      </c>
      <c r="Y9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69" s="421">
        <f>INDEX(LandfillFees[Disposal Tip Fee 2025],MATCH(TransTonsShort[[#This Row],[Grouping_ID]],LandfillFees[Grouping_ID],0))</f>
        <v>72.030938699729589</v>
      </c>
      <c r="AA969" s="102">
        <f>IF(OR(TransTonsShort[[#This Row],[CollectionStream_ID]]="03",TransTonsShort[[#This Row],[CollectionStream_ID]]="04",TransTonsShort[[#This Row],[CollectionStream_ID]]="13"),0,TransTonsShort[[#This Row],[Trans_Tons_All]]*TransTonsShort[[#This Row],[Disposal_Fee]])</f>
        <v>0</v>
      </c>
    </row>
    <row r="970" spans="12:27" ht="15" x14ac:dyDescent="0.25">
      <c r="L970" s="446" t="s">
        <v>876</v>
      </c>
      <c r="M970" s="446">
        <v>4</v>
      </c>
      <c r="N970" s="446">
        <v>4</v>
      </c>
      <c r="O970" s="446" t="s">
        <v>700</v>
      </c>
      <c r="P970" s="449" t="s">
        <v>719</v>
      </c>
      <c r="Q970" s="449"/>
      <c r="R970" s="449"/>
      <c r="S970" s="449" t="s">
        <v>872</v>
      </c>
      <c r="T970" s="449" t="s">
        <v>1055</v>
      </c>
      <c r="U970" s="452">
        <v>0</v>
      </c>
      <c r="V9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0" s="272" t="str">
        <f>IFERROR(SUMIFS(TransUnitCost[Miles],TransUnitCost[Grouping_ID],TransTonsShort[[#This Row],[Grouping_ID]],TransUnitCost[Transp_ID],TransTonsShort[[#This Row],[Transp_ID]])*TransTonsShort[[#This Row],[Trans_Tons_All]]/TransTonsShort[[#This Row],[Trans_Tons_All]],"")</f>
        <v/>
      </c>
      <c r="X970" s="386" t="str">
        <f>TransTonsShort[[#This Row],[Grouping_ID]]&amp;"-"&amp;TransTonsShort[[#This Row],[Sector_ID]]</f>
        <v>4-4</v>
      </c>
      <c r="Y9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0" s="421">
        <f>INDEX(LandfillFees[Disposal Tip Fee 2025],MATCH(TransTonsShort[[#This Row],[Grouping_ID]],LandfillFees[Grouping_ID],0))</f>
        <v>72.030938699729589</v>
      </c>
      <c r="AA970" s="102">
        <f>IF(OR(TransTonsShort[[#This Row],[CollectionStream_ID]]="03",TransTonsShort[[#This Row],[CollectionStream_ID]]="04",TransTonsShort[[#This Row],[CollectionStream_ID]]="13"),0,TransTonsShort[[#This Row],[Trans_Tons_All]]*TransTonsShort[[#This Row],[Disposal_Fee]])</f>
        <v>0</v>
      </c>
    </row>
    <row r="971" spans="12:27" ht="15" x14ac:dyDescent="0.25">
      <c r="L971" s="446" t="s">
        <v>876</v>
      </c>
      <c r="M971" s="446">
        <v>1</v>
      </c>
      <c r="N971" s="446">
        <v>4</v>
      </c>
      <c r="O971" s="446" t="s">
        <v>700</v>
      </c>
      <c r="P971" s="449" t="s">
        <v>700</v>
      </c>
      <c r="Q971" s="449"/>
      <c r="R971" s="449"/>
      <c r="S971" s="449" t="s">
        <v>872</v>
      </c>
      <c r="T971" s="449" t="s">
        <v>701</v>
      </c>
      <c r="U971" s="452">
        <v>305.77716092396582</v>
      </c>
      <c r="V9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1" s="272">
        <f>IFERROR(SUMIFS(TransUnitCost[Miles],TransUnitCost[Grouping_ID],TransTonsShort[[#This Row],[Grouping_ID]],TransUnitCost[Transp_ID],TransTonsShort[[#This Row],[Transp_ID]])*TransTonsShort[[#This Row],[Trans_Tons_All]]/TransTonsShort[[#This Row],[Trans_Tons_All]],"")</f>
        <v>0</v>
      </c>
      <c r="X971" s="386" t="str">
        <f>TransTonsShort[[#This Row],[Grouping_ID]]&amp;"-"&amp;TransTonsShort[[#This Row],[Sector_ID]]</f>
        <v>1-4</v>
      </c>
      <c r="Y9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1" s="421">
        <f>INDEX(LandfillFees[Disposal Tip Fee 2025],MATCH(TransTonsShort[[#This Row],[Grouping_ID]],LandfillFees[Grouping_ID],0))</f>
        <v>134.68</v>
      </c>
      <c r="AA971" s="102">
        <f>IF(OR(TransTonsShort[[#This Row],[CollectionStream_ID]]="03",TransTonsShort[[#This Row],[CollectionStream_ID]]="04",TransTonsShort[[#This Row],[CollectionStream_ID]]="13"),0,TransTonsShort[[#This Row],[Trans_Tons_All]]*TransTonsShort[[#This Row],[Disposal_Fee]])</f>
        <v>41182.068033239717</v>
      </c>
    </row>
    <row r="972" spans="12:27" ht="15" x14ac:dyDescent="0.25">
      <c r="L972" s="446" t="s">
        <v>876</v>
      </c>
      <c r="M972" s="446">
        <v>2</v>
      </c>
      <c r="N972" s="446">
        <v>4</v>
      </c>
      <c r="O972" s="446" t="s">
        <v>700</v>
      </c>
      <c r="P972" s="449" t="s">
        <v>700</v>
      </c>
      <c r="Q972" s="449"/>
      <c r="R972" s="449"/>
      <c r="S972" s="449" t="s">
        <v>872</v>
      </c>
      <c r="T972" s="449" t="s">
        <v>701</v>
      </c>
      <c r="U972" s="452">
        <v>3941.2772467367831</v>
      </c>
      <c r="V9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2" s="272">
        <f>IFERROR(SUMIFS(TransUnitCost[Miles],TransUnitCost[Grouping_ID],TransTonsShort[[#This Row],[Grouping_ID]],TransUnitCost[Transp_ID],TransTonsShort[[#This Row],[Transp_ID]])*TransTonsShort[[#This Row],[Trans_Tons_All]]/TransTonsShort[[#This Row],[Trans_Tons_All]],"")</f>
        <v>0</v>
      </c>
      <c r="X972" s="386" t="str">
        <f>TransTonsShort[[#This Row],[Grouping_ID]]&amp;"-"&amp;TransTonsShort[[#This Row],[Sector_ID]]</f>
        <v>2-4</v>
      </c>
      <c r="Y9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2" s="421">
        <f>INDEX(LandfillFees[Disposal Tip Fee 2025],MATCH(TransTonsShort[[#This Row],[Grouping_ID]],LandfillFees[Grouping_ID],0))</f>
        <v>72.030938699729589</v>
      </c>
      <c r="AA972" s="102">
        <f>IF(OR(TransTonsShort[[#This Row],[CollectionStream_ID]]="03",TransTonsShort[[#This Row],[CollectionStream_ID]]="04",TransTonsShort[[#This Row],[CollectionStream_ID]]="13"),0,TransTonsShort[[#This Row],[Trans_Tons_All]]*TransTonsShort[[#This Row],[Disposal_Fee]])</f>
        <v>283893.89975833625</v>
      </c>
    </row>
    <row r="973" spans="12:27" ht="15" x14ac:dyDescent="0.25">
      <c r="L973" s="446" t="s">
        <v>876</v>
      </c>
      <c r="M973" s="446">
        <v>3</v>
      </c>
      <c r="N973" s="446">
        <v>4</v>
      </c>
      <c r="O973" s="446" t="s">
        <v>700</v>
      </c>
      <c r="P973" s="449" t="s">
        <v>700</v>
      </c>
      <c r="Q973" s="449"/>
      <c r="R973" s="449"/>
      <c r="S973" s="449" t="s">
        <v>872</v>
      </c>
      <c r="T973" s="449" t="s">
        <v>701</v>
      </c>
      <c r="U973" s="452">
        <v>0</v>
      </c>
      <c r="V9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3" s="272" t="str">
        <f>IFERROR(SUMIFS(TransUnitCost[Miles],TransUnitCost[Grouping_ID],TransTonsShort[[#This Row],[Grouping_ID]],TransUnitCost[Transp_ID],TransTonsShort[[#This Row],[Transp_ID]])*TransTonsShort[[#This Row],[Trans_Tons_All]]/TransTonsShort[[#This Row],[Trans_Tons_All]],"")</f>
        <v/>
      </c>
      <c r="X973" s="386" t="str">
        <f>TransTonsShort[[#This Row],[Grouping_ID]]&amp;"-"&amp;TransTonsShort[[#This Row],[Sector_ID]]</f>
        <v>3-4</v>
      </c>
      <c r="Y9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3" s="421">
        <f>INDEX(LandfillFees[Disposal Tip Fee 2025],MATCH(TransTonsShort[[#This Row],[Grouping_ID]],LandfillFees[Grouping_ID],0))</f>
        <v>72.030938699729589</v>
      </c>
      <c r="AA973" s="102">
        <f>IF(OR(TransTonsShort[[#This Row],[CollectionStream_ID]]="03",TransTonsShort[[#This Row],[CollectionStream_ID]]="04",TransTonsShort[[#This Row],[CollectionStream_ID]]="13"),0,TransTonsShort[[#This Row],[Trans_Tons_All]]*TransTonsShort[[#This Row],[Disposal_Fee]])</f>
        <v>0</v>
      </c>
    </row>
    <row r="974" spans="12:27" ht="15" x14ac:dyDescent="0.25">
      <c r="L974" s="446" t="s">
        <v>876</v>
      </c>
      <c r="M974" s="446">
        <v>4</v>
      </c>
      <c r="N974" s="446">
        <v>4</v>
      </c>
      <c r="O974" s="446" t="s">
        <v>700</v>
      </c>
      <c r="P974" s="449" t="s">
        <v>700</v>
      </c>
      <c r="Q974" s="449"/>
      <c r="R974" s="449"/>
      <c r="S974" s="449" t="s">
        <v>872</v>
      </c>
      <c r="T974" s="449" t="s">
        <v>701</v>
      </c>
      <c r="U974" s="452">
        <v>0</v>
      </c>
      <c r="V9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4" s="272" t="str">
        <f>IFERROR(SUMIFS(TransUnitCost[Miles],TransUnitCost[Grouping_ID],TransTonsShort[[#This Row],[Grouping_ID]],TransUnitCost[Transp_ID],TransTonsShort[[#This Row],[Transp_ID]])*TransTonsShort[[#This Row],[Trans_Tons_All]]/TransTonsShort[[#This Row],[Trans_Tons_All]],"")</f>
        <v/>
      </c>
      <c r="X974" s="386" t="str">
        <f>TransTonsShort[[#This Row],[Grouping_ID]]&amp;"-"&amp;TransTonsShort[[#This Row],[Sector_ID]]</f>
        <v>4-4</v>
      </c>
      <c r="Y9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4" s="421">
        <f>INDEX(LandfillFees[Disposal Tip Fee 2025],MATCH(TransTonsShort[[#This Row],[Grouping_ID]],LandfillFees[Grouping_ID],0))</f>
        <v>72.030938699729589</v>
      </c>
      <c r="AA974" s="102">
        <f>IF(OR(TransTonsShort[[#This Row],[CollectionStream_ID]]="03",TransTonsShort[[#This Row],[CollectionStream_ID]]="04",TransTonsShort[[#This Row],[CollectionStream_ID]]="13"),0,TransTonsShort[[#This Row],[Trans_Tons_All]]*TransTonsShort[[#This Row],[Disposal_Fee]])</f>
        <v>0</v>
      </c>
    </row>
    <row r="975" spans="12:27" ht="15" x14ac:dyDescent="0.25">
      <c r="L975" s="446" t="s">
        <v>876</v>
      </c>
      <c r="M975" s="446">
        <v>1</v>
      </c>
      <c r="N975" s="446">
        <v>4</v>
      </c>
      <c r="O975" s="446" t="s">
        <v>700</v>
      </c>
      <c r="P975" s="449" t="s">
        <v>706</v>
      </c>
      <c r="Q975" s="449"/>
      <c r="R975" s="449"/>
      <c r="S975" s="449" t="s">
        <v>872</v>
      </c>
      <c r="T975" s="449" t="s">
        <v>1025</v>
      </c>
      <c r="U975" s="452">
        <v>45.690840138063855</v>
      </c>
      <c r="V9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913.81680276127713</v>
      </c>
      <c r="W975" s="272">
        <f>IFERROR(SUMIFS(TransUnitCost[Miles],TransUnitCost[Grouping_ID],TransTonsShort[[#This Row],[Grouping_ID]],TransUnitCost[Transp_ID],TransTonsShort[[#This Row],[Transp_ID]])*TransTonsShort[[#This Row],[Trans_Tons_All]]/TransTonsShort[[#This Row],[Trans_Tons_All]],"")</f>
        <v>20</v>
      </c>
      <c r="X975" s="386" t="str">
        <f>TransTonsShort[[#This Row],[Grouping_ID]]&amp;"-"&amp;TransTonsShort[[#This Row],[Sector_ID]]</f>
        <v>1-4</v>
      </c>
      <c r="Y9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5" s="421">
        <f>INDEX(LandfillFees[Disposal Tip Fee 2025],MATCH(TransTonsShort[[#This Row],[Grouping_ID]],LandfillFees[Grouping_ID],0))</f>
        <v>134.68</v>
      </c>
      <c r="AA975" s="102">
        <f>IF(OR(TransTonsShort[[#This Row],[CollectionStream_ID]]="03",TransTonsShort[[#This Row],[CollectionStream_ID]]="04",TransTonsShort[[#This Row],[CollectionStream_ID]]="13"),0,TransTonsShort[[#This Row],[Trans_Tons_All]]*TransTonsShort[[#This Row],[Disposal_Fee]])</f>
        <v>6153.6423497944406</v>
      </c>
    </row>
    <row r="976" spans="12:27" ht="15" x14ac:dyDescent="0.25">
      <c r="L976" s="446" t="s">
        <v>876</v>
      </c>
      <c r="M976" s="446">
        <v>2</v>
      </c>
      <c r="N976" s="446">
        <v>4</v>
      </c>
      <c r="O976" s="446" t="s">
        <v>700</v>
      </c>
      <c r="P976" s="449" t="s">
        <v>706</v>
      </c>
      <c r="Q976" s="449"/>
      <c r="R976" s="449"/>
      <c r="S976" s="449" t="s">
        <v>872</v>
      </c>
      <c r="T976" s="449" t="s">
        <v>1025</v>
      </c>
      <c r="U976" s="452">
        <v>487.12415409106308</v>
      </c>
      <c r="V9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13639.476314549765</v>
      </c>
      <c r="W976" s="272">
        <f>IFERROR(SUMIFS(TransUnitCost[Miles],TransUnitCost[Grouping_ID],TransTonsShort[[#This Row],[Grouping_ID]],TransUnitCost[Transp_ID],TransTonsShort[[#This Row],[Transp_ID]])*TransTonsShort[[#This Row],[Trans_Tons_All]]/TransTonsShort[[#This Row],[Trans_Tons_All]],"")</f>
        <v>70</v>
      </c>
      <c r="X976" s="386" t="str">
        <f>TransTonsShort[[#This Row],[Grouping_ID]]&amp;"-"&amp;TransTonsShort[[#This Row],[Sector_ID]]</f>
        <v>2-4</v>
      </c>
      <c r="Y9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6" s="421">
        <f>INDEX(LandfillFees[Disposal Tip Fee 2025],MATCH(TransTonsShort[[#This Row],[Grouping_ID]],LandfillFees[Grouping_ID],0))</f>
        <v>72.030938699729589</v>
      </c>
      <c r="AA976" s="102">
        <f>IF(OR(TransTonsShort[[#This Row],[CollectionStream_ID]]="03",TransTonsShort[[#This Row],[CollectionStream_ID]]="04",TransTonsShort[[#This Row],[CollectionStream_ID]]="13"),0,TransTonsShort[[#This Row],[Trans_Tons_All]]*TransTonsShort[[#This Row],[Disposal_Fee]])</f>
        <v>35088.010082490997</v>
      </c>
    </row>
    <row r="977" spans="12:27" ht="15" x14ac:dyDescent="0.25">
      <c r="L977" s="446" t="s">
        <v>876</v>
      </c>
      <c r="M977" s="446">
        <v>3</v>
      </c>
      <c r="N977" s="446">
        <v>4</v>
      </c>
      <c r="O977" s="446" t="s">
        <v>700</v>
      </c>
      <c r="P977" s="449" t="s">
        <v>706</v>
      </c>
      <c r="Q977" s="449"/>
      <c r="R977" s="449"/>
      <c r="S977" s="449" t="s">
        <v>872</v>
      </c>
      <c r="T977" s="449" t="s">
        <v>1025</v>
      </c>
      <c r="U977" s="452">
        <v>2383.4029801837414</v>
      </c>
      <c r="V9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125128.65645964643</v>
      </c>
      <c r="W977" s="272">
        <f>IFERROR(SUMIFS(TransUnitCost[Miles],TransUnitCost[Grouping_ID],TransTonsShort[[#This Row],[Grouping_ID]],TransUnitCost[Transp_ID],TransTonsShort[[#This Row],[Transp_ID]])*TransTonsShort[[#This Row],[Trans_Tons_All]]/TransTonsShort[[#This Row],[Trans_Tons_All]],"")</f>
        <v>150</v>
      </c>
      <c r="X977" s="386" t="str">
        <f>TransTonsShort[[#This Row],[Grouping_ID]]&amp;"-"&amp;TransTonsShort[[#This Row],[Sector_ID]]</f>
        <v>3-4</v>
      </c>
      <c r="Y9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7" s="421">
        <f>INDEX(LandfillFees[Disposal Tip Fee 2025],MATCH(TransTonsShort[[#This Row],[Grouping_ID]],LandfillFees[Grouping_ID],0))</f>
        <v>72.030938699729589</v>
      </c>
      <c r="AA977" s="102">
        <f>IF(OR(TransTonsShort[[#This Row],[CollectionStream_ID]]="03",TransTonsShort[[#This Row],[CollectionStream_ID]]="04",TransTonsShort[[#This Row],[CollectionStream_ID]]="13"),0,TransTonsShort[[#This Row],[Trans_Tons_All]]*TransTonsShort[[#This Row],[Disposal_Fee]])</f>
        <v>171678.75396236789</v>
      </c>
    </row>
    <row r="978" spans="12:27" ht="15" x14ac:dyDescent="0.25">
      <c r="L978" s="446" t="s">
        <v>876</v>
      </c>
      <c r="M978" s="446">
        <v>4</v>
      </c>
      <c r="N978" s="446">
        <v>4</v>
      </c>
      <c r="O978" s="446" t="s">
        <v>700</v>
      </c>
      <c r="P978" s="449" t="s">
        <v>706</v>
      </c>
      <c r="Q978" s="449"/>
      <c r="R978" s="449"/>
      <c r="S978" s="449" t="s">
        <v>872</v>
      </c>
      <c r="T978" s="449" t="s">
        <v>1025</v>
      </c>
      <c r="U978" s="452">
        <v>0</v>
      </c>
      <c r="V9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8" s="272" t="str">
        <f>IFERROR(SUMIFS(TransUnitCost[Miles],TransUnitCost[Grouping_ID],TransTonsShort[[#This Row],[Grouping_ID]],TransUnitCost[Transp_ID],TransTonsShort[[#This Row],[Transp_ID]])*TransTonsShort[[#This Row],[Trans_Tons_All]]/TransTonsShort[[#This Row],[Trans_Tons_All]],"")</f>
        <v/>
      </c>
      <c r="X978" s="386" t="str">
        <f>TransTonsShort[[#This Row],[Grouping_ID]]&amp;"-"&amp;TransTonsShort[[#This Row],[Sector_ID]]</f>
        <v>4-4</v>
      </c>
      <c r="Y9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8" s="421">
        <f>INDEX(LandfillFees[Disposal Tip Fee 2025],MATCH(TransTonsShort[[#This Row],[Grouping_ID]],LandfillFees[Grouping_ID],0))</f>
        <v>72.030938699729589</v>
      </c>
      <c r="AA978" s="102">
        <f>IF(OR(TransTonsShort[[#This Row],[CollectionStream_ID]]="03",TransTonsShort[[#This Row],[CollectionStream_ID]]="04",TransTonsShort[[#This Row],[CollectionStream_ID]]="13"),0,TransTonsShort[[#This Row],[Trans_Tons_All]]*TransTonsShort[[#This Row],[Disposal_Fee]])</f>
        <v>0</v>
      </c>
    </row>
    <row r="979" spans="12:27" ht="15" x14ac:dyDescent="0.25">
      <c r="L979" s="446" t="s">
        <v>876</v>
      </c>
      <c r="M979" s="446">
        <v>1</v>
      </c>
      <c r="N979" s="446">
        <v>4</v>
      </c>
      <c r="O979" s="446" t="s">
        <v>748</v>
      </c>
      <c r="P979" s="450" t="s">
        <v>719</v>
      </c>
      <c r="Q979" s="450"/>
      <c r="R979" s="450"/>
      <c r="S979" s="449" t="s">
        <v>765</v>
      </c>
      <c r="T979" s="449" t="s">
        <v>1055</v>
      </c>
      <c r="U979" s="452">
        <v>0</v>
      </c>
      <c r="V9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79" s="272" t="str">
        <f>IFERROR(SUMIFS(TransUnitCost[Miles],TransUnitCost[Grouping_ID],TransTonsShort[[#This Row],[Grouping_ID]],TransUnitCost[Transp_ID],TransTonsShort[[#This Row],[Transp_ID]])*TransTonsShort[[#This Row],[Trans_Tons_All]]/TransTonsShort[[#This Row],[Trans_Tons_All]],"")</f>
        <v/>
      </c>
      <c r="X979" s="386" t="str">
        <f>TransTonsShort[[#This Row],[Grouping_ID]]&amp;"-"&amp;TransTonsShort[[#This Row],[Sector_ID]]</f>
        <v>1-4</v>
      </c>
      <c r="Y9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79" s="421">
        <f>INDEX(LandfillFees[Disposal Tip Fee 2025],MATCH(TransTonsShort[[#This Row],[Grouping_ID]],LandfillFees[Grouping_ID],0))</f>
        <v>134.68</v>
      </c>
      <c r="AA979" s="102">
        <f>IF(OR(TransTonsShort[[#This Row],[CollectionStream_ID]]="03",TransTonsShort[[#This Row],[CollectionStream_ID]]="04",TransTonsShort[[#This Row],[CollectionStream_ID]]="13"),0,TransTonsShort[[#This Row],[Trans_Tons_All]]*TransTonsShort[[#This Row],[Disposal_Fee]])</f>
        <v>0</v>
      </c>
    </row>
    <row r="980" spans="12:27" ht="15" x14ac:dyDescent="0.25">
      <c r="L980" s="446" t="s">
        <v>876</v>
      </c>
      <c r="M980" s="446">
        <v>2</v>
      </c>
      <c r="N980" s="446">
        <v>4</v>
      </c>
      <c r="O980" s="446" t="s">
        <v>748</v>
      </c>
      <c r="P980" s="450" t="s">
        <v>719</v>
      </c>
      <c r="Q980" s="450"/>
      <c r="R980" s="450"/>
      <c r="S980" s="449" t="s">
        <v>765</v>
      </c>
      <c r="T980" s="449" t="s">
        <v>1055</v>
      </c>
      <c r="U980" s="452">
        <v>0</v>
      </c>
      <c r="V9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0" s="272" t="str">
        <f>IFERROR(SUMIFS(TransUnitCost[Miles],TransUnitCost[Grouping_ID],TransTonsShort[[#This Row],[Grouping_ID]],TransUnitCost[Transp_ID],TransTonsShort[[#This Row],[Transp_ID]])*TransTonsShort[[#This Row],[Trans_Tons_All]]/TransTonsShort[[#This Row],[Trans_Tons_All]],"")</f>
        <v/>
      </c>
      <c r="X980" s="386" t="str">
        <f>TransTonsShort[[#This Row],[Grouping_ID]]&amp;"-"&amp;TransTonsShort[[#This Row],[Sector_ID]]</f>
        <v>2-4</v>
      </c>
      <c r="Y9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0" s="421">
        <f>INDEX(LandfillFees[Disposal Tip Fee 2025],MATCH(TransTonsShort[[#This Row],[Grouping_ID]],LandfillFees[Grouping_ID],0))</f>
        <v>72.030938699729589</v>
      </c>
      <c r="AA980" s="102">
        <f>IF(OR(TransTonsShort[[#This Row],[CollectionStream_ID]]="03",TransTonsShort[[#This Row],[CollectionStream_ID]]="04",TransTonsShort[[#This Row],[CollectionStream_ID]]="13"),0,TransTonsShort[[#This Row],[Trans_Tons_All]]*TransTonsShort[[#This Row],[Disposal_Fee]])</f>
        <v>0</v>
      </c>
    </row>
    <row r="981" spans="12:27" ht="15" x14ac:dyDescent="0.25">
      <c r="L981" s="446" t="s">
        <v>876</v>
      </c>
      <c r="M981" s="446">
        <v>3</v>
      </c>
      <c r="N981" s="446">
        <v>4</v>
      </c>
      <c r="O981" s="446" t="s">
        <v>748</v>
      </c>
      <c r="P981" s="450" t="s">
        <v>719</v>
      </c>
      <c r="Q981" s="450"/>
      <c r="R981" s="450"/>
      <c r="S981" s="449" t="s">
        <v>765</v>
      </c>
      <c r="T981" s="449" t="s">
        <v>1055</v>
      </c>
      <c r="U981" s="452">
        <v>0</v>
      </c>
      <c r="V9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1" s="272" t="str">
        <f>IFERROR(SUMIFS(TransUnitCost[Miles],TransUnitCost[Grouping_ID],TransTonsShort[[#This Row],[Grouping_ID]],TransUnitCost[Transp_ID],TransTonsShort[[#This Row],[Transp_ID]])*TransTonsShort[[#This Row],[Trans_Tons_All]]/TransTonsShort[[#This Row],[Trans_Tons_All]],"")</f>
        <v/>
      </c>
      <c r="X981" s="386" t="str">
        <f>TransTonsShort[[#This Row],[Grouping_ID]]&amp;"-"&amp;TransTonsShort[[#This Row],[Sector_ID]]</f>
        <v>3-4</v>
      </c>
      <c r="Y9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1" s="421">
        <f>INDEX(LandfillFees[Disposal Tip Fee 2025],MATCH(TransTonsShort[[#This Row],[Grouping_ID]],LandfillFees[Grouping_ID],0))</f>
        <v>72.030938699729589</v>
      </c>
      <c r="AA981" s="102">
        <f>IF(OR(TransTonsShort[[#This Row],[CollectionStream_ID]]="03",TransTonsShort[[#This Row],[CollectionStream_ID]]="04",TransTonsShort[[#This Row],[CollectionStream_ID]]="13"),0,TransTonsShort[[#This Row],[Trans_Tons_All]]*TransTonsShort[[#This Row],[Disposal_Fee]])</f>
        <v>0</v>
      </c>
    </row>
    <row r="982" spans="12:27" ht="15" x14ac:dyDescent="0.25">
      <c r="L982" s="446" t="s">
        <v>876</v>
      </c>
      <c r="M982" s="446">
        <v>4</v>
      </c>
      <c r="N982" s="446">
        <v>4</v>
      </c>
      <c r="O982" s="446" t="s">
        <v>748</v>
      </c>
      <c r="P982" s="450" t="s">
        <v>719</v>
      </c>
      <c r="Q982" s="450"/>
      <c r="R982" s="450"/>
      <c r="S982" s="449" t="s">
        <v>765</v>
      </c>
      <c r="T982" s="449" t="s">
        <v>1055</v>
      </c>
      <c r="U982" s="452">
        <v>0</v>
      </c>
      <c r="V9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2" s="272" t="str">
        <f>IFERROR(SUMIFS(TransUnitCost[Miles],TransUnitCost[Grouping_ID],TransTonsShort[[#This Row],[Grouping_ID]],TransUnitCost[Transp_ID],TransTonsShort[[#This Row],[Transp_ID]])*TransTonsShort[[#This Row],[Trans_Tons_All]]/TransTonsShort[[#This Row],[Trans_Tons_All]],"")</f>
        <v/>
      </c>
      <c r="X982" s="386" t="str">
        <f>TransTonsShort[[#This Row],[Grouping_ID]]&amp;"-"&amp;TransTonsShort[[#This Row],[Sector_ID]]</f>
        <v>4-4</v>
      </c>
      <c r="Y9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2" s="421">
        <f>INDEX(LandfillFees[Disposal Tip Fee 2025],MATCH(TransTonsShort[[#This Row],[Grouping_ID]],LandfillFees[Grouping_ID],0))</f>
        <v>72.030938699729589</v>
      </c>
      <c r="AA982" s="102">
        <f>IF(OR(TransTonsShort[[#This Row],[CollectionStream_ID]]="03",TransTonsShort[[#This Row],[CollectionStream_ID]]="04",TransTonsShort[[#This Row],[CollectionStream_ID]]="13"),0,TransTonsShort[[#This Row],[Trans_Tons_All]]*TransTonsShort[[#This Row],[Disposal_Fee]])</f>
        <v>0</v>
      </c>
    </row>
    <row r="983" spans="12:27" ht="15" x14ac:dyDescent="0.25">
      <c r="L983" s="446" t="s">
        <v>876</v>
      </c>
      <c r="M983" s="446">
        <v>1</v>
      </c>
      <c r="N983" s="446">
        <v>4</v>
      </c>
      <c r="O983" s="446" t="s">
        <v>748</v>
      </c>
      <c r="P983" s="449" t="s">
        <v>700</v>
      </c>
      <c r="Q983" s="449"/>
      <c r="R983" s="449"/>
      <c r="S983" s="449" t="s">
        <v>765</v>
      </c>
      <c r="T983" s="449" t="s">
        <v>701</v>
      </c>
      <c r="U983" s="452">
        <v>0</v>
      </c>
      <c r="V9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3" s="272" t="str">
        <f>IFERROR(SUMIFS(TransUnitCost[Miles],TransUnitCost[Grouping_ID],TransTonsShort[[#This Row],[Grouping_ID]],TransUnitCost[Transp_ID],TransTonsShort[[#This Row],[Transp_ID]])*TransTonsShort[[#This Row],[Trans_Tons_All]]/TransTonsShort[[#This Row],[Trans_Tons_All]],"")</f>
        <v/>
      </c>
      <c r="X983" s="386" t="str">
        <f>TransTonsShort[[#This Row],[Grouping_ID]]&amp;"-"&amp;TransTonsShort[[#This Row],[Sector_ID]]</f>
        <v>1-4</v>
      </c>
      <c r="Y9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3" s="421">
        <f>INDEX(LandfillFees[Disposal Tip Fee 2025],MATCH(TransTonsShort[[#This Row],[Grouping_ID]],LandfillFees[Grouping_ID],0))</f>
        <v>134.68</v>
      </c>
      <c r="AA983" s="102">
        <f>IF(OR(TransTonsShort[[#This Row],[CollectionStream_ID]]="03",TransTonsShort[[#This Row],[CollectionStream_ID]]="04",TransTonsShort[[#This Row],[CollectionStream_ID]]="13"),0,TransTonsShort[[#This Row],[Trans_Tons_All]]*TransTonsShort[[#This Row],[Disposal_Fee]])</f>
        <v>0</v>
      </c>
    </row>
    <row r="984" spans="12:27" ht="15" x14ac:dyDescent="0.25">
      <c r="L984" s="446" t="s">
        <v>876</v>
      </c>
      <c r="M984" s="446">
        <v>2</v>
      </c>
      <c r="N984" s="446">
        <v>4</v>
      </c>
      <c r="O984" s="446" t="s">
        <v>748</v>
      </c>
      <c r="P984" s="449" t="s">
        <v>700</v>
      </c>
      <c r="Q984" s="449"/>
      <c r="R984" s="449"/>
      <c r="S984" s="449" t="s">
        <v>765</v>
      </c>
      <c r="T984" s="449" t="s">
        <v>701</v>
      </c>
      <c r="U984" s="452">
        <v>0</v>
      </c>
      <c r="V9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4" s="272" t="str">
        <f>IFERROR(SUMIFS(TransUnitCost[Miles],TransUnitCost[Grouping_ID],TransTonsShort[[#This Row],[Grouping_ID]],TransUnitCost[Transp_ID],TransTonsShort[[#This Row],[Transp_ID]])*TransTonsShort[[#This Row],[Trans_Tons_All]]/TransTonsShort[[#This Row],[Trans_Tons_All]],"")</f>
        <v/>
      </c>
      <c r="X984" s="386" t="str">
        <f>TransTonsShort[[#This Row],[Grouping_ID]]&amp;"-"&amp;TransTonsShort[[#This Row],[Sector_ID]]</f>
        <v>2-4</v>
      </c>
      <c r="Y9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4" s="421">
        <f>INDEX(LandfillFees[Disposal Tip Fee 2025],MATCH(TransTonsShort[[#This Row],[Grouping_ID]],LandfillFees[Grouping_ID],0))</f>
        <v>72.030938699729589</v>
      </c>
      <c r="AA984" s="102">
        <f>IF(OR(TransTonsShort[[#This Row],[CollectionStream_ID]]="03",TransTonsShort[[#This Row],[CollectionStream_ID]]="04",TransTonsShort[[#This Row],[CollectionStream_ID]]="13"),0,TransTonsShort[[#This Row],[Trans_Tons_All]]*TransTonsShort[[#This Row],[Disposal_Fee]])</f>
        <v>0</v>
      </c>
    </row>
    <row r="985" spans="12:27" ht="15" x14ac:dyDescent="0.25">
      <c r="L985" s="446" t="s">
        <v>876</v>
      </c>
      <c r="M985" s="446">
        <v>3</v>
      </c>
      <c r="N985" s="446">
        <v>4</v>
      </c>
      <c r="O985" s="446" t="s">
        <v>748</v>
      </c>
      <c r="P985" s="449" t="s">
        <v>700</v>
      </c>
      <c r="Q985" s="449"/>
      <c r="R985" s="449"/>
      <c r="S985" s="449" t="s">
        <v>765</v>
      </c>
      <c r="T985" s="449" t="s">
        <v>701</v>
      </c>
      <c r="U985" s="452">
        <v>0</v>
      </c>
      <c r="V9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5" s="272" t="str">
        <f>IFERROR(SUMIFS(TransUnitCost[Miles],TransUnitCost[Grouping_ID],TransTonsShort[[#This Row],[Grouping_ID]],TransUnitCost[Transp_ID],TransTonsShort[[#This Row],[Transp_ID]])*TransTonsShort[[#This Row],[Trans_Tons_All]]/TransTonsShort[[#This Row],[Trans_Tons_All]],"")</f>
        <v/>
      </c>
      <c r="X985" s="386" t="str">
        <f>TransTonsShort[[#This Row],[Grouping_ID]]&amp;"-"&amp;TransTonsShort[[#This Row],[Sector_ID]]</f>
        <v>3-4</v>
      </c>
      <c r="Y9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5" s="421">
        <f>INDEX(LandfillFees[Disposal Tip Fee 2025],MATCH(TransTonsShort[[#This Row],[Grouping_ID]],LandfillFees[Grouping_ID],0))</f>
        <v>72.030938699729589</v>
      </c>
      <c r="AA985" s="102">
        <f>IF(OR(TransTonsShort[[#This Row],[CollectionStream_ID]]="03",TransTonsShort[[#This Row],[CollectionStream_ID]]="04",TransTonsShort[[#This Row],[CollectionStream_ID]]="13"),0,TransTonsShort[[#This Row],[Trans_Tons_All]]*TransTonsShort[[#This Row],[Disposal_Fee]])</f>
        <v>0</v>
      </c>
    </row>
    <row r="986" spans="12:27" ht="15" x14ac:dyDescent="0.25">
      <c r="L986" s="446" t="s">
        <v>876</v>
      </c>
      <c r="M986" s="446">
        <v>4</v>
      </c>
      <c r="N986" s="446">
        <v>4</v>
      </c>
      <c r="O986" s="446" t="s">
        <v>748</v>
      </c>
      <c r="P986" s="449" t="s">
        <v>700</v>
      </c>
      <c r="Q986" s="449"/>
      <c r="R986" s="449"/>
      <c r="S986" s="449" t="s">
        <v>765</v>
      </c>
      <c r="T986" s="449" t="s">
        <v>701</v>
      </c>
      <c r="U986" s="452">
        <v>0</v>
      </c>
      <c r="V9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6" s="272" t="str">
        <f>IFERROR(SUMIFS(TransUnitCost[Miles],TransUnitCost[Grouping_ID],TransTonsShort[[#This Row],[Grouping_ID]],TransUnitCost[Transp_ID],TransTonsShort[[#This Row],[Transp_ID]])*TransTonsShort[[#This Row],[Trans_Tons_All]]/TransTonsShort[[#This Row],[Trans_Tons_All]],"")</f>
        <v/>
      </c>
      <c r="X986" s="386" t="str">
        <f>TransTonsShort[[#This Row],[Grouping_ID]]&amp;"-"&amp;TransTonsShort[[#This Row],[Sector_ID]]</f>
        <v>4-4</v>
      </c>
      <c r="Y9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6" s="421">
        <f>INDEX(LandfillFees[Disposal Tip Fee 2025],MATCH(TransTonsShort[[#This Row],[Grouping_ID]],LandfillFees[Grouping_ID],0))</f>
        <v>72.030938699729589</v>
      </c>
      <c r="AA986" s="102">
        <f>IF(OR(TransTonsShort[[#This Row],[CollectionStream_ID]]="03",TransTonsShort[[#This Row],[CollectionStream_ID]]="04",TransTonsShort[[#This Row],[CollectionStream_ID]]="13"),0,TransTonsShort[[#This Row],[Trans_Tons_All]]*TransTonsShort[[#This Row],[Disposal_Fee]])</f>
        <v>0</v>
      </c>
    </row>
    <row r="987" spans="12:27" ht="15" x14ac:dyDescent="0.25">
      <c r="L987" s="446" t="s">
        <v>876</v>
      </c>
      <c r="M987" s="446">
        <v>1</v>
      </c>
      <c r="N987" s="446">
        <v>4</v>
      </c>
      <c r="O987" s="446" t="s">
        <v>748</v>
      </c>
      <c r="P987" s="449" t="s">
        <v>748</v>
      </c>
      <c r="Q987" s="449"/>
      <c r="R987" s="449"/>
      <c r="S987" s="449" t="s">
        <v>765</v>
      </c>
      <c r="T987" s="449" t="s">
        <v>849</v>
      </c>
      <c r="U987" s="452">
        <v>0</v>
      </c>
      <c r="V9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7" s="272" t="str">
        <f>IFERROR(SUMIFS(TransUnitCost[Miles],TransUnitCost[Grouping_ID],TransTonsShort[[#This Row],[Grouping_ID]],TransUnitCost[Transp_ID],TransTonsShort[[#This Row],[Transp_ID]])*TransTonsShort[[#This Row],[Trans_Tons_All]]/TransTonsShort[[#This Row],[Trans_Tons_All]],"")</f>
        <v/>
      </c>
      <c r="X987" s="386" t="str">
        <f>TransTonsShort[[#This Row],[Grouping_ID]]&amp;"-"&amp;TransTonsShort[[#This Row],[Sector_ID]]</f>
        <v>1-4</v>
      </c>
      <c r="Y9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7" s="421">
        <f>INDEX(LandfillFees[Disposal Tip Fee 2025],MATCH(TransTonsShort[[#This Row],[Grouping_ID]],LandfillFees[Grouping_ID],0))</f>
        <v>134.68</v>
      </c>
      <c r="AA987" s="102">
        <f>IF(OR(TransTonsShort[[#This Row],[CollectionStream_ID]]="03",TransTonsShort[[#This Row],[CollectionStream_ID]]="04",TransTonsShort[[#This Row],[CollectionStream_ID]]="13"),0,TransTonsShort[[#This Row],[Trans_Tons_All]]*TransTonsShort[[#This Row],[Disposal_Fee]])</f>
        <v>0</v>
      </c>
    </row>
    <row r="988" spans="12:27" ht="15" x14ac:dyDescent="0.25">
      <c r="L988" s="446" t="s">
        <v>876</v>
      </c>
      <c r="M988" s="446">
        <v>2</v>
      </c>
      <c r="N988" s="446">
        <v>4</v>
      </c>
      <c r="O988" s="446" t="s">
        <v>748</v>
      </c>
      <c r="P988" s="449" t="s">
        <v>748</v>
      </c>
      <c r="Q988" s="449"/>
      <c r="R988" s="449"/>
      <c r="S988" s="449" t="s">
        <v>765</v>
      </c>
      <c r="T988" s="449" t="s">
        <v>849</v>
      </c>
      <c r="U988" s="452">
        <v>0</v>
      </c>
      <c r="V9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8" s="272" t="str">
        <f>IFERROR(SUMIFS(TransUnitCost[Miles],TransUnitCost[Grouping_ID],TransTonsShort[[#This Row],[Grouping_ID]],TransUnitCost[Transp_ID],TransTonsShort[[#This Row],[Transp_ID]])*TransTonsShort[[#This Row],[Trans_Tons_All]]/TransTonsShort[[#This Row],[Trans_Tons_All]],"")</f>
        <v/>
      </c>
      <c r="X988" s="386" t="str">
        <f>TransTonsShort[[#This Row],[Grouping_ID]]&amp;"-"&amp;TransTonsShort[[#This Row],[Sector_ID]]</f>
        <v>2-4</v>
      </c>
      <c r="Y9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8" s="421">
        <f>INDEX(LandfillFees[Disposal Tip Fee 2025],MATCH(TransTonsShort[[#This Row],[Grouping_ID]],LandfillFees[Grouping_ID],0))</f>
        <v>72.030938699729589</v>
      </c>
      <c r="AA988" s="102">
        <f>IF(OR(TransTonsShort[[#This Row],[CollectionStream_ID]]="03",TransTonsShort[[#This Row],[CollectionStream_ID]]="04",TransTonsShort[[#This Row],[CollectionStream_ID]]="13"),0,TransTonsShort[[#This Row],[Trans_Tons_All]]*TransTonsShort[[#This Row],[Disposal_Fee]])</f>
        <v>0</v>
      </c>
    </row>
    <row r="989" spans="12:27" ht="15" x14ac:dyDescent="0.25">
      <c r="L989" s="446" t="s">
        <v>876</v>
      </c>
      <c r="M989" s="446">
        <v>3</v>
      </c>
      <c r="N989" s="446">
        <v>4</v>
      </c>
      <c r="O989" s="446" t="s">
        <v>748</v>
      </c>
      <c r="P989" s="449" t="s">
        <v>748</v>
      </c>
      <c r="Q989" s="449"/>
      <c r="R989" s="449"/>
      <c r="S989" s="449" t="s">
        <v>765</v>
      </c>
      <c r="T989" s="449" t="s">
        <v>849</v>
      </c>
      <c r="U989" s="452">
        <v>0</v>
      </c>
      <c r="V9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89" s="272" t="str">
        <f>IFERROR(SUMIFS(TransUnitCost[Miles],TransUnitCost[Grouping_ID],TransTonsShort[[#This Row],[Grouping_ID]],TransUnitCost[Transp_ID],TransTonsShort[[#This Row],[Transp_ID]])*TransTonsShort[[#This Row],[Trans_Tons_All]]/TransTonsShort[[#This Row],[Trans_Tons_All]],"")</f>
        <v/>
      </c>
      <c r="X989" s="386" t="str">
        <f>TransTonsShort[[#This Row],[Grouping_ID]]&amp;"-"&amp;TransTonsShort[[#This Row],[Sector_ID]]</f>
        <v>3-4</v>
      </c>
      <c r="Y9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89" s="421">
        <f>INDEX(LandfillFees[Disposal Tip Fee 2025],MATCH(TransTonsShort[[#This Row],[Grouping_ID]],LandfillFees[Grouping_ID],0))</f>
        <v>72.030938699729589</v>
      </c>
      <c r="AA989" s="102">
        <f>IF(OR(TransTonsShort[[#This Row],[CollectionStream_ID]]="03",TransTonsShort[[#This Row],[CollectionStream_ID]]="04",TransTonsShort[[#This Row],[CollectionStream_ID]]="13"),0,TransTonsShort[[#This Row],[Trans_Tons_All]]*TransTonsShort[[#This Row],[Disposal_Fee]])</f>
        <v>0</v>
      </c>
    </row>
    <row r="990" spans="12:27" ht="15" x14ac:dyDescent="0.25">
      <c r="L990" s="446" t="s">
        <v>876</v>
      </c>
      <c r="M990" s="446">
        <v>4</v>
      </c>
      <c r="N990" s="446">
        <v>4</v>
      </c>
      <c r="O990" s="446" t="s">
        <v>748</v>
      </c>
      <c r="P990" s="449" t="s">
        <v>748</v>
      </c>
      <c r="Q990" s="449"/>
      <c r="R990" s="449"/>
      <c r="S990" s="449" t="s">
        <v>765</v>
      </c>
      <c r="T990" s="449" t="s">
        <v>849</v>
      </c>
      <c r="U990" s="452">
        <v>0</v>
      </c>
      <c r="V9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0" s="272" t="str">
        <f>IFERROR(SUMIFS(TransUnitCost[Miles],TransUnitCost[Grouping_ID],TransTonsShort[[#This Row],[Grouping_ID]],TransUnitCost[Transp_ID],TransTonsShort[[#This Row],[Transp_ID]])*TransTonsShort[[#This Row],[Trans_Tons_All]]/TransTonsShort[[#This Row],[Trans_Tons_All]],"")</f>
        <v/>
      </c>
      <c r="X990" s="386" t="str">
        <f>TransTonsShort[[#This Row],[Grouping_ID]]&amp;"-"&amp;TransTonsShort[[#This Row],[Sector_ID]]</f>
        <v>4-4</v>
      </c>
      <c r="Y9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0" s="421">
        <f>INDEX(LandfillFees[Disposal Tip Fee 2025],MATCH(TransTonsShort[[#This Row],[Grouping_ID]],LandfillFees[Grouping_ID],0))</f>
        <v>72.030938699729589</v>
      </c>
      <c r="AA990" s="102">
        <f>IF(OR(TransTonsShort[[#This Row],[CollectionStream_ID]]="03",TransTonsShort[[#This Row],[CollectionStream_ID]]="04",TransTonsShort[[#This Row],[CollectionStream_ID]]="13"),0,TransTonsShort[[#This Row],[Trans_Tons_All]]*TransTonsShort[[#This Row],[Disposal_Fee]])</f>
        <v>0</v>
      </c>
    </row>
    <row r="991" spans="12:27" ht="15" x14ac:dyDescent="0.25">
      <c r="L991" s="446" t="s">
        <v>876</v>
      </c>
      <c r="M991" s="446">
        <v>1</v>
      </c>
      <c r="N991" s="446">
        <v>4</v>
      </c>
      <c r="O991" s="446" t="s">
        <v>746</v>
      </c>
      <c r="P991" s="449" t="s">
        <v>719</v>
      </c>
      <c r="Q991" s="449"/>
      <c r="R991" s="449"/>
      <c r="S991" s="449" t="s">
        <v>762</v>
      </c>
      <c r="T991" s="449" t="s">
        <v>1055</v>
      </c>
      <c r="U991" s="452">
        <v>0</v>
      </c>
      <c r="V9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1" s="272" t="str">
        <f>IFERROR(SUMIFS(TransUnitCost[Miles],TransUnitCost[Grouping_ID],TransTonsShort[[#This Row],[Grouping_ID]],TransUnitCost[Transp_ID],TransTonsShort[[#This Row],[Transp_ID]])*TransTonsShort[[#This Row],[Trans_Tons_All]]/TransTonsShort[[#This Row],[Trans_Tons_All]],"")</f>
        <v/>
      </c>
      <c r="X991" s="386" t="str">
        <f>TransTonsShort[[#This Row],[Grouping_ID]]&amp;"-"&amp;TransTonsShort[[#This Row],[Sector_ID]]</f>
        <v>1-4</v>
      </c>
      <c r="Y9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1" s="421">
        <f>INDEX(LandfillFees[Disposal Tip Fee 2025],MATCH(TransTonsShort[[#This Row],[Grouping_ID]],LandfillFees[Grouping_ID],0))</f>
        <v>134.68</v>
      </c>
      <c r="AA991" s="102">
        <f>IF(OR(TransTonsShort[[#This Row],[CollectionStream_ID]]="03",TransTonsShort[[#This Row],[CollectionStream_ID]]="04",TransTonsShort[[#This Row],[CollectionStream_ID]]="13"),0,TransTonsShort[[#This Row],[Trans_Tons_All]]*TransTonsShort[[#This Row],[Disposal_Fee]])</f>
        <v>0</v>
      </c>
    </row>
    <row r="992" spans="12:27" ht="15" x14ac:dyDescent="0.25">
      <c r="L992" s="446" t="s">
        <v>876</v>
      </c>
      <c r="M992" s="446">
        <v>2</v>
      </c>
      <c r="N992" s="446">
        <v>4</v>
      </c>
      <c r="O992" s="446" t="s">
        <v>746</v>
      </c>
      <c r="P992" s="449" t="s">
        <v>719</v>
      </c>
      <c r="Q992" s="449"/>
      <c r="R992" s="449"/>
      <c r="S992" s="449" t="s">
        <v>762</v>
      </c>
      <c r="T992" s="449" t="s">
        <v>1055</v>
      </c>
      <c r="U992" s="452">
        <v>0</v>
      </c>
      <c r="V9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2" s="272" t="str">
        <f>IFERROR(SUMIFS(TransUnitCost[Miles],TransUnitCost[Grouping_ID],TransTonsShort[[#This Row],[Grouping_ID]],TransUnitCost[Transp_ID],TransTonsShort[[#This Row],[Transp_ID]])*TransTonsShort[[#This Row],[Trans_Tons_All]]/TransTonsShort[[#This Row],[Trans_Tons_All]],"")</f>
        <v/>
      </c>
      <c r="X992" s="386" t="str">
        <f>TransTonsShort[[#This Row],[Grouping_ID]]&amp;"-"&amp;TransTonsShort[[#This Row],[Sector_ID]]</f>
        <v>2-4</v>
      </c>
      <c r="Y9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2" s="421">
        <f>INDEX(LandfillFees[Disposal Tip Fee 2025],MATCH(TransTonsShort[[#This Row],[Grouping_ID]],LandfillFees[Grouping_ID],0))</f>
        <v>72.030938699729589</v>
      </c>
      <c r="AA992" s="102">
        <f>IF(OR(TransTonsShort[[#This Row],[CollectionStream_ID]]="03",TransTonsShort[[#This Row],[CollectionStream_ID]]="04",TransTonsShort[[#This Row],[CollectionStream_ID]]="13"),0,TransTonsShort[[#This Row],[Trans_Tons_All]]*TransTonsShort[[#This Row],[Disposal_Fee]])</f>
        <v>0</v>
      </c>
    </row>
    <row r="993" spans="12:27" ht="15" x14ac:dyDescent="0.25">
      <c r="L993" s="446" t="s">
        <v>876</v>
      </c>
      <c r="M993" s="446">
        <v>3</v>
      </c>
      <c r="N993" s="446">
        <v>4</v>
      </c>
      <c r="O993" s="446" t="s">
        <v>746</v>
      </c>
      <c r="P993" s="449" t="s">
        <v>719</v>
      </c>
      <c r="Q993" s="449"/>
      <c r="R993" s="449"/>
      <c r="S993" s="449" t="s">
        <v>762</v>
      </c>
      <c r="T993" s="449" t="s">
        <v>1055</v>
      </c>
      <c r="U993" s="452">
        <v>0</v>
      </c>
      <c r="V9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3" s="272" t="str">
        <f>IFERROR(SUMIFS(TransUnitCost[Miles],TransUnitCost[Grouping_ID],TransTonsShort[[#This Row],[Grouping_ID]],TransUnitCost[Transp_ID],TransTonsShort[[#This Row],[Transp_ID]])*TransTonsShort[[#This Row],[Trans_Tons_All]]/TransTonsShort[[#This Row],[Trans_Tons_All]],"")</f>
        <v/>
      </c>
      <c r="X993" s="386" t="str">
        <f>TransTonsShort[[#This Row],[Grouping_ID]]&amp;"-"&amp;TransTonsShort[[#This Row],[Sector_ID]]</f>
        <v>3-4</v>
      </c>
      <c r="Y9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3" s="421">
        <f>INDEX(LandfillFees[Disposal Tip Fee 2025],MATCH(TransTonsShort[[#This Row],[Grouping_ID]],LandfillFees[Grouping_ID],0))</f>
        <v>72.030938699729589</v>
      </c>
      <c r="AA993" s="102">
        <f>IF(OR(TransTonsShort[[#This Row],[CollectionStream_ID]]="03",TransTonsShort[[#This Row],[CollectionStream_ID]]="04",TransTonsShort[[#This Row],[CollectionStream_ID]]="13"),0,TransTonsShort[[#This Row],[Trans_Tons_All]]*TransTonsShort[[#This Row],[Disposal_Fee]])</f>
        <v>0</v>
      </c>
    </row>
    <row r="994" spans="12:27" ht="15" x14ac:dyDescent="0.25">
      <c r="L994" s="446" t="s">
        <v>876</v>
      </c>
      <c r="M994" s="446">
        <v>4</v>
      </c>
      <c r="N994" s="446">
        <v>4</v>
      </c>
      <c r="O994" s="446" t="s">
        <v>746</v>
      </c>
      <c r="P994" s="449" t="s">
        <v>719</v>
      </c>
      <c r="Q994" s="449"/>
      <c r="R994" s="449"/>
      <c r="S994" s="449" t="s">
        <v>762</v>
      </c>
      <c r="T994" s="449" t="s">
        <v>1055</v>
      </c>
      <c r="U994" s="452">
        <v>0</v>
      </c>
      <c r="V9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4" s="272" t="str">
        <f>IFERROR(SUMIFS(TransUnitCost[Miles],TransUnitCost[Grouping_ID],TransTonsShort[[#This Row],[Grouping_ID]],TransUnitCost[Transp_ID],TransTonsShort[[#This Row],[Transp_ID]])*TransTonsShort[[#This Row],[Trans_Tons_All]]/TransTonsShort[[#This Row],[Trans_Tons_All]],"")</f>
        <v/>
      </c>
      <c r="X994" s="386" t="str">
        <f>TransTonsShort[[#This Row],[Grouping_ID]]&amp;"-"&amp;TransTonsShort[[#This Row],[Sector_ID]]</f>
        <v>4-4</v>
      </c>
      <c r="Y9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4" s="421">
        <f>INDEX(LandfillFees[Disposal Tip Fee 2025],MATCH(TransTonsShort[[#This Row],[Grouping_ID]],LandfillFees[Grouping_ID],0))</f>
        <v>72.030938699729589</v>
      </c>
      <c r="AA994" s="102">
        <f>IF(OR(TransTonsShort[[#This Row],[CollectionStream_ID]]="03",TransTonsShort[[#This Row],[CollectionStream_ID]]="04",TransTonsShort[[#This Row],[CollectionStream_ID]]="13"),0,TransTonsShort[[#This Row],[Trans_Tons_All]]*TransTonsShort[[#This Row],[Disposal_Fee]])</f>
        <v>0</v>
      </c>
    </row>
    <row r="995" spans="12:27" ht="15" x14ac:dyDescent="0.25">
      <c r="L995" s="446" t="s">
        <v>876</v>
      </c>
      <c r="M995" s="446">
        <v>1</v>
      </c>
      <c r="N995" s="446">
        <v>4</v>
      </c>
      <c r="O995" s="446" t="s">
        <v>746</v>
      </c>
      <c r="P995" s="449" t="s">
        <v>700</v>
      </c>
      <c r="Q995" s="449"/>
      <c r="R995" s="449"/>
      <c r="S995" s="449" t="s">
        <v>762</v>
      </c>
      <c r="T995" s="449" t="s">
        <v>701</v>
      </c>
      <c r="U995" s="452">
        <v>0</v>
      </c>
      <c r="V9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5" s="272" t="str">
        <f>IFERROR(SUMIFS(TransUnitCost[Miles],TransUnitCost[Grouping_ID],TransTonsShort[[#This Row],[Grouping_ID]],TransUnitCost[Transp_ID],TransTonsShort[[#This Row],[Transp_ID]])*TransTonsShort[[#This Row],[Trans_Tons_All]]/TransTonsShort[[#This Row],[Trans_Tons_All]],"")</f>
        <v/>
      </c>
      <c r="X995" s="386" t="str">
        <f>TransTonsShort[[#This Row],[Grouping_ID]]&amp;"-"&amp;TransTonsShort[[#This Row],[Sector_ID]]</f>
        <v>1-4</v>
      </c>
      <c r="Y9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5" s="421">
        <f>INDEX(LandfillFees[Disposal Tip Fee 2025],MATCH(TransTonsShort[[#This Row],[Grouping_ID]],LandfillFees[Grouping_ID],0))</f>
        <v>134.68</v>
      </c>
      <c r="AA995" s="102">
        <f>IF(OR(TransTonsShort[[#This Row],[CollectionStream_ID]]="03",TransTonsShort[[#This Row],[CollectionStream_ID]]="04",TransTonsShort[[#This Row],[CollectionStream_ID]]="13"),0,TransTonsShort[[#This Row],[Trans_Tons_All]]*TransTonsShort[[#This Row],[Disposal_Fee]])</f>
        <v>0</v>
      </c>
    </row>
    <row r="996" spans="12:27" ht="15" x14ac:dyDescent="0.25">
      <c r="L996" s="446" t="s">
        <v>876</v>
      </c>
      <c r="M996" s="446">
        <v>2</v>
      </c>
      <c r="N996" s="446">
        <v>4</v>
      </c>
      <c r="O996" s="446" t="s">
        <v>746</v>
      </c>
      <c r="P996" s="449" t="s">
        <v>700</v>
      </c>
      <c r="Q996" s="449"/>
      <c r="R996" s="449"/>
      <c r="S996" s="449" t="s">
        <v>762</v>
      </c>
      <c r="T996" s="449" t="s">
        <v>701</v>
      </c>
      <c r="U996" s="452">
        <v>0</v>
      </c>
      <c r="V9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6" s="272" t="str">
        <f>IFERROR(SUMIFS(TransUnitCost[Miles],TransUnitCost[Grouping_ID],TransTonsShort[[#This Row],[Grouping_ID]],TransUnitCost[Transp_ID],TransTonsShort[[#This Row],[Transp_ID]])*TransTonsShort[[#This Row],[Trans_Tons_All]]/TransTonsShort[[#This Row],[Trans_Tons_All]],"")</f>
        <v/>
      </c>
      <c r="X996" s="386" t="str">
        <f>TransTonsShort[[#This Row],[Grouping_ID]]&amp;"-"&amp;TransTonsShort[[#This Row],[Sector_ID]]</f>
        <v>2-4</v>
      </c>
      <c r="Y9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6" s="421">
        <f>INDEX(LandfillFees[Disposal Tip Fee 2025],MATCH(TransTonsShort[[#This Row],[Grouping_ID]],LandfillFees[Grouping_ID],0))</f>
        <v>72.030938699729589</v>
      </c>
      <c r="AA996" s="102">
        <f>IF(OR(TransTonsShort[[#This Row],[CollectionStream_ID]]="03",TransTonsShort[[#This Row],[CollectionStream_ID]]="04",TransTonsShort[[#This Row],[CollectionStream_ID]]="13"),0,TransTonsShort[[#This Row],[Trans_Tons_All]]*TransTonsShort[[#This Row],[Disposal_Fee]])</f>
        <v>0</v>
      </c>
    </row>
    <row r="997" spans="12:27" ht="15" x14ac:dyDescent="0.25">
      <c r="L997" s="446" t="s">
        <v>876</v>
      </c>
      <c r="M997" s="446">
        <v>3</v>
      </c>
      <c r="N997" s="446">
        <v>4</v>
      </c>
      <c r="O997" s="446" t="s">
        <v>746</v>
      </c>
      <c r="P997" s="449" t="s">
        <v>700</v>
      </c>
      <c r="Q997" s="449"/>
      <c r="R997" s="449"/>
      <c r="S997" s="449" t="s">
        <v>762</v>
      </c>
      <c r="T997" s="449" t="s">
        <v>701</v>
      </c>
      <c r="U997" s="452">
        <v>0</v>
      </c>
      <c r="V9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7" s="272" t="str">
        <f>IFERROR(SUMIFS(TransUnitCost[Miles],TransUnitCost[Grouping_ID],TransTonsShort[[#This Row],[Grouping_ID]],TransUnitCost[Transp_ID],TransTonsShort[[#This Row],[Transp_ID]])*TransTonsShort[[#This Row],[Trans_Tons_All]]/TransTonsShort[[#This Row],[Trans_Tons_All]],"")</f>
        <v/>
      </c>
      <c r="X997" s="386" t="str">
        <f>TransTonsShort[[#This Row],[Grouping_ID]]&amp;"-"&amp;TransTonsShort[[#This Row],[Sector_ID]]</f>
        <v>3-4</v>
      </c>
      <c r="Y9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7" s="421">
        <f>INDEX(LandfillFees[Disposal Tip Fee 2025],MATCH(TransTonsShort[[#This Row],[Grouping_ID]],LandfillFees[Grouping_ID],0))</f>
        <v>72.030938699729589</v>
      </c>
      <c r="AA997" s="102">
        <f>IF(OR(TransTonsShort[[#This Row],[CollectionStream_ID]]="03",TransTonsShort[[#This Row],[CollectionStream_ID]]="04",TransTonsShort[[#This Row],[CollectionStream_ID]]="13"),0,TransTonsShort[[#This Row],[Trans_Tons_All]]*TransTonsShort[[#This Row],[Disposal_Fee]])</f>
        <v>0</v>
      </c>
    </row>
    <row r="998" spans="12:27" ht="15" x14ac:dyDescent="0.25">
      <c r="L998" s="446" t="s">
        <v>876</v>
      </c>
      <c r="M998" s="446">
        <v>4</v>
      </c>
      <c r="N998" s="446">
        <v>4</v>
      </c>
      <c r="O998" s="446" t="s">
        <v>746</v>
      </c>
      <c r="P998" s="449" t="s">
        <v>700</v>
      </c>
      <c r="Q998" s="449"/>
      <c r="R998" s="449"/>
      <c r="S998" s="449" t="s">
        <v>762</v>
      </c>
      <c r="T998" s="449" t="s">
        <v>701</v>
      </c>
      <c r="U998" s="452">
        <v>0</v>
      </c>
      <c r="V9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8" s="272" t="str">
        <f>IFERROR(SUMIFS(TransUnitCost[Miles],TransUnitCost[Grouping_ID],TransTonsShort[[#This Row],[Grouping_ID]],TransUnitCost[Transp_ID],TransTonsShort[[#This Row],[Transp_ID]])*TransTonsShort[[#This Row],[Trans_Tons_All]]/TransTonsShort[[#This Row],[Trans_Tons_All]],"")</f>
        <v/>
      </c>
      <c r="X998" s="386" t="str">
        <f>TransTonsShort[[#This Row],[Grouping_ID]]&amp;"-"&amp;TransTonsShort[[#This Row],[Sector_ID]]</f>
        <v>4-4</v>
      </c>
      <c r="Y9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8" s="421">
        <f>INDEX(LandfillFees[Disposal Tip Fee 2025],MATCH(TransTonsShort[[#This Row],[Grouping_ID]],LandfillFees[Grouping_ID],0))</f>
        <v>72.030938699729589</v>
      </c>
      <c r="AA998" s="102">
        <f>IF(OR(TransTonsShort[[#This Row],[CollectionStream_ID]]="03",TransTonsShort[[#This Row],[CollectionStream_ID]]="04",TransTonsShort[[#This Row],[CollectionStream_ID]]="13"),0,TransTonsShort[[#This Row],[Trans_Tons_All]]*TransTonsShort[[#This Row],[Disposal_Fee]])</f>
        <v>0</v>
      </c>
    </row>
    <row r="999" spans="12:27" ht="15" x14ac:dyDescent="0.25">
      <c r="L999" s="446" t="s">
        <v>876</v>
      </c>
      <c r="M999" s="446">
        <v>1</v>
      </c>
      <c r="N999" s="446">
        <v>4</v>
      </c>
      <c r="O999" s="446" t="s">
        <v>746</v>
      </c>
      <c r="P999" s="449" t="s">
        <v>746</v>
      </c>
      <c r="Q999" s="449"/>
      <c r="R999" s="449"/>
      <c r="S999" s="449" t="s">
        <v>762</v>
      </c>
      <c r="T999" s="449" t="s">
        <v>848</v>
      </c>
      <c r="U999" s="452">
        <v>0</v>
      </c>
      <c r="V9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999" s="272" t="str">
        <f>IFERROR(SUMIFS(TransUnitCost[Miles],TransUnitCost[Grouping_ID],TransTonsShort[[#This Row],[Grouping_ID]],TransUnitCost[Transp_ID],TransTonsShort[[#This Row],[Transp_ID]])*TransTonsShort[[#This Row],[Trans_Tons_All]]/TransTonsShort[[#This Row],[Trans_Tons_All]],"")</f>
        <v/>
      </c>
      <c r="X999" s="386" t="str">
        <f>TransTonsShort[[#This Row],[Grouping_ID]]&amp;"-"&amp;TransTonsShort[[#This Row],[Sector_ID]]</f>
        <v>1-4</v>
      </c>
      <c r="Y9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999" s="421">
        <f>INDEX(LandfillFees[Disposal Tip Fee 2025],MATCH(TransTonsShort[[#This Row],[Grouping_ID]],LandfillFees[Grouping_ID],0))</f>
        <v>134.68</v>
      </c>
      <c r="AA999" s="102">
        <f>IF(OR(TransTonsShort[[#This Row],[CollectionStream_ID]]="03",TransTonsShort[[#This Row],[CollectionStream_ID]]="04",TransTonsShort[[#This Row],[CollectionStream_ID]]="13"),0,TransTonsShort[[#This Row],[Trans_Tons_All]]*TransTonsShort[[#This Row],[Disposal_Fee]])</f>
        <v>0</v>
      </c>
    </row>
    <row r="1000" spans="12:27" ht="15" x14ac:dyDescent="0.25">
      <c r="L1000" s="446" t="s">
        <v>876</v>
      </c>
      <c r="M1000" s="446">
        <v>2</v>
      </c>
      <c r="N1000" s="446">
        <v>4</v>
      </c>
      <c r="O1000" s="446" t="s">
        <v>746</v>
      </c>
      <c r="P1000" s="449" t="s">
        <v>746</v>
      </c>
      <c r="Q1000" s="449"/>
      <c r="R1000" s="449"/>
      <c r="S1000" s="449" t="s">
        <v>762</v>
      </c>
      <c r="T1000" s="449" t="s">
        <v>848</v>
      </c>
      <c r="U1000" s="452">
        <v>0</v>
      </c>
      <c r="V10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0" s="272" t="str">
        <f>IFERROR(SUMIFS(TransUnitCost[Miles],TransUnitCost[Grouping_ID],TransTonsShort[[#This Row],[Grouping_ID]],TransUnitCost[Transp_ID],TransTonsShort[[#This Row],[Transp_ID]])*TransTonsShort[[#This Row],[Trans_Tons_All]]/TransTonsShort[[#This Row],[Trans_Tons_All]],"")</f>
        <v/>
      </c>
      <c r="X1000" s="386" t="str">
        <f>TransTonsShort[[#This Row],[Grouping_ID]]&amp;"-"&amp;TransTonsShort[[#This Row],[Sector_ID]]</f>
        <v>2-4</v>
      </c>
      <c r="Y10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00" s="421">
        <f>INDEX(LandfillFees[Disposal Tip Fee 2025],MATCH(TransTonsShort[[#This Row],[Grouping_ID]],LandfillFees[Grouping_ID],0))</f>
        <v>72.030938699729589</v>
      </c>
      <c r="AA1000" s="102">
        <f>IF(OR(TransTonsShort[[#This Row],[CollectionStream_ID]]="03",TransTonsShort[[#This Row],[CollectionStream_ID]]="04",TransTonsShort[[#This Row],[CollectionStream_ID]]="13"),0,TransTonsShort[[#This Row],[Trans_Tons_All]]*TransTonsShort[[#This Row],[Disposal_Fee]])</f>
        <v>0</v>
      </c>
    </row>
    <row r="1001" spans="12:27" ht="15" x14ac:dyDescent="0.25">
      <c r="L1001" s="446" t="s">
        <v>876</v>
      </c>
      <c r="M1001" s="446">
        <v>3</v>
      </c>
      <c r="N1001" s="446">
        <v>4</v>
      </c>
      <c r="O1001" s="446" t="s">
        <v>746</v>
      </c>
      <c r="P1001" s="449" t="s">
        <v>746</v>
      </c>
      <c r="Q1001" s="449"/>
      <c r="R1001" s="449"/>
      <c r="S1001" s="449" t="s">
        <v>762</v>
      </c>
      <c r="T1001" s="449" t="s">
        <v>848</v>
      </c>
      <c r="U1001" s="452">
        <v>0</v>
      </c>
      <c r="V10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1" s="272" t="str">
        <f>IFERROR(SUMIFS(TransUnitCost[Miles],TransUnitCost[Grouping_ID],TransTonsShort[[#This Row],[Grouping_ID]],TransUnitCost[Transp_ID],TransTonsShort[[#This Row],[Transp_ID]])*TransTonsShort[[#This Row],[Trans_Tons_All]]/TransTonsShort[[#This Row],[Trans_Tons_All]],"")</f>
        <v/>
      </c>
      <c r="X1001" s="386" t="str">
        <f>TransTonsShort[[#This Row],[Grouping_ID]]&amp;"-"&amp;TransTonsShort[[#This Row],[Sector_ID]]</f>
        <v>3-4</v>
      </c>
      <c r="Y10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01" s="421">
        <f>INDEX(LandfillFees[Disposal Tip Fee 2025],MATCH(TransTonsShort[[#This Row],[Grouping_ID]],LandfillFees[Grouping_ID],0))</f>
        <v>72.030938699729589</v>
      </c>
      <c r="AA1001" s="102">
        <f>IF(OR(TransTonsShort[[#This Row],[CollectionStream_ID]]="03",TransTonsShort[[#This Row],[CollectionStream_ID]]="04",TransTonsShort[[#This Row],[CollectionStream_ID]]="13"),0,TransTonsShort[[#This Row],[Trans_Tons_All]]*TransTonsShort[[#This Row],[Disposal_Fee]])</f>
        <v>0</v>
      </c>
    </row>
    <row r="1002" spans="12:27" ht="15" x14ac:dyDescent="0.25">
      <c r="L1002" s="446" t="s">
        <v>876</v>
      </c>
      <c r="M1002" s="446">
        <v>4</v>
      </c>
      <c r="N1002" s="446">
        <v>4</v>
      </c>
      <c r="O1002" s="446" t="s">
        <v>746</v>
      </c>
      <c r="P1002" s="449" t="s">
        <v>746</v>
      </c>
      <c r="Q1002" s="449"/>
      <c r="R1002" s="449"/>
      <c r="S1002" s="449" t="s">
        <v>762</v>
      </c>
      <c r="T1002" s="449" t="s">
        <v>848</v>
      </c>
      <c r="U1002" s="452">
        <v>0</v>
      </c>
      <c r="V10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2" s="272" t="str">
        <f>IFERROR(SUMIFS(TransUnitCost[Miles],TransUnitCost[Grouping_ID],TransTonsShort[[#This Row],[Grouping_ID]],TransUnitCost[Transp_ID],TransTonsShort[[#This Row],[Transp_ID]])*TransTonsShort[[#This Row],[Trans_Tons_All]]/TransTonsShort[[#This Row],[Trans_Tons_All]],"")</f>
        <v/>
      </c>
      <c r="X1002" s="386" t="str">
        <f>TransTonsShort[[#This Row],[Grouping_ID]]&amp;"-"&amp;TransTonsShort[[#This Row],[Sector_ID]]</f>
        <v>4-4</v>
      </c>
      <c r="Y10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02" s="421">
        <f>INDEX(LandfillFees[Disposal Tip Fee 2025],MATCH(TransTonsShort[[#This Row],[Grouping_ID]],LandfillFees[Grouping_ID],0))</f>
        <v>72.030938699729589</v>
      </c>
      <c r="AA1002" s="102">
        <f>IF(OR(TransTonsShort[[#This Row],[CollectionStream_ID]]="03",TransTonsShort[[#This Row],[CollectionStream_ID]]="04",TransTonsShort[[#This Row],[CollectionStream_ID]]="13"),0,TransTonsShort[[#This Row],[Trans_Tons_All]]*TransTonsShort[[#This Row],[Disposal_Fee]])</f>
        <v>0</v>
      </c>
    </row>
    <row r="1003" spans="12:27" ht="15" x14ac:dyDescent="0.25">
      <c r="L1003" s="446" t="s">
        <v>876</v>
      </c>
      <c r="M1003" s="446">
        <v>1</v>
      </c>
      <c r="N1003" s="446">
        <v>4</v>
      </c>
      <c r="O1003" s="446" t="s">
        <v>706</v>
      </c>
      <c r="P1003" s="450" t="s">
        <v>739</v>
      </c>
      <c r="Q1003" s="450"/>
      <c r="R1003" s="450"/>
      <c r="S1003" s="449" t="s">
        <v>707</v>
      </c>
      <c r="T1003" s="449" t="s">
        <v>1121</v>
      </c>
      <c r="U1003" s="452">
        <v>0</v>
      </c>
      <c r="V10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3" s="272" t="str">
        <f>IFERROR(SUMIFS(TransUnitCost[Miles],TransUnitCost[Grouping_ID],TransTonsShort[[#This Row],[Grouping_ID]],TransUnitCost[Transp_ID],TransTonsShort[[#This Row],[Transp_ID]])*TransTonsShort[[#This Row],[Trans_Tons_All]]/TransTonsShort[[#This Row],[Trans_Tons_All]],"")</f>
        <v/>
      </c>
      <c r="X1003" s="386" t="str">
        <f>TransTonsShort[[#This Row],[Grouping_ID]]&amp;"-"&amp;TransTonsShort[[#This Row],[Sector_ID]]</f>
        <v>1-4</v>
      </c>
      <c r="Y10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3" s="421">
        <f>INDEX(LandfillFees[Disposal Tip Fee 2025],MATCH(TransTonsShort[[#This Row],[Grouping_ID]],LandfillFees[Grouping_ID],0))</f>
        <v>134.68</v>
      </c>
      <c r="AA1003" s="102">
        <f>IF(OR(TransTonsShort[[#This Row],[CollectionStream_ID]]="03",TransTonsShort[[#This Row],[CollectionStream_ID]]="04",TransTonsShort[[#This Row],[CollectionStream_ID]]="13"),0,TransTonsShort[[#This Row],[Trans_Tons_All]]*TransTonsShort[[#This Row],[Disposal_Fee]])</f>
        <v>0</v>
      </c>
    </row>
    <row r="1004" spans="12:27" ht="15" x14ac:dyDescent="0.25">
      <c r="L1004" s="446" t="s">
        <v>876</v>
      </c>
      <c r="M1004" s="446">
        <v>2</v>
      </c>
      <c r="N1004" s="446">
        <v>4</v>
      </c>
      <c r="O1004" s="446" t="s">
        <v>706</v>
      </c>
      <c r="P1004" s="450" t="s">
        <v>739</v>
      </c>
      <c r="Q1004" s="450"/>
      <c r="R1004" s="450"/>
      <c r="S1004" s="449" t="s">
        <v>707</v>
      </c>
      <c r="T1004" s="449" t="s">
        <v>1121</v>
      </c>
      <c r="U1004" s="452">
        <v>3686.5693753982687</v>
      </c>
      <c r="V10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152255.3152039485</v>
      </c>
      <c r="W1004" s="272">
        <f>IFERROR(SUMIFS(TransUnitCost[Miles],TransUnitCost[Grouping_ID],TransTonsShort[[#This Row],[Grouping_ID]],TransUnitCost[Transp_ID],TransTonsShort[[#This Row],[Transp_ID]])*TransTonsShort[[#This Row],[Trans_Tons_All]]/TransTonsShort[[#This Row],[Trans_Tons_All]],"")</f>
        <v>70</v>
      </c>
      <c r="X1004" s="386" t="str">
        <f>TransTonsShort[[#This Row],[Grouping_ID]]&amp;"-"&amp;TransTonsShort[[#This Row],[Sector_ID]]</f>
        <v>2-4</v>
      </c>
      <c r="Y10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4" s="421">
        <f>INDEX(LandfillFees[Disposal Tip Fee 2025],MATCH(TransTonsShort[[#This Row],[Grouping_ID]],LandfillFees[Grouping_ID],0))</f>
        <v>72.030938699729589</v>
      </c>
      <c r="AA1004" s="102">
        <f>IF(OR(TransTonsShort[[#This Row],[CollectionStream_ID]]="03",TransTonsShort[[#This Row],[CollectionStream_ID]]="04",TransTonsShort[[#This Row],[CollectionStream_ID]]="13"),0,TransTonsShort[[#This Row],[Trans_Tons_All]]*TransTonsShort[[#This Row],[Disposal_Fee]])</f>
        <v>265547.05269161309</v>
      </c>
    </row>
    <row r="1005" spans="12:27" ht="15" x14ac:dyDescent="0.25">
      <c r="L1005" s="446" t="s">
        <v>876</v>
      </c>
      <c r="M1005" s="446">
        <v>3</v>
      </c>
      <c r="N1005" s="446">
        <v>4</v>
      </c>
      <c r="O1005" s="446" t="s">
        <v>706</v>
      </c>
      <c r="P1005" s="450" t="s">
        <v>739</v>
      </c>
      <c r="Q1005" s="450"/>
      <c r="R1005" s="450"/>
      <c r="S1005" s="449" t="s">
        <v>707</v>
      </c>
      <c r="T1005" s="449" t="s">
        <v>1121</v>
      </c>
      <c r="U1005" s="452">
        <v>2275.6733198532652</v>
      </c>
      <c r="V10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81924.239514717541</v>
      </c>
      <c r="W1005" s="272">
        <f>IFERROR(SUMIFS(TransUnitCost[Miles],TransUnitCost[Grouping_ID],TransTonsShort[[#This Row],[Grouping_ID]],TransUnitCost[Transp_ID],TransTonsShort[[#This Row],[Transp_ID]])*TransTonsShort[[#This Row],[Trans_Tons_All]]/TransTonsShort[[#This Row],[Trans_Tons_All]],"")</f>
        <v>150</v>
      </c>
      <c r="X1005" s="386" t="str">
        <f>TransTonsShort[[#This Row],[Grouping_ID]]&amp;"-"&amp;TransTonsShort[[#This Row],[Sector_ID]]</f>
        <v>3-4</v>
      </c>
      <c r="Y10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5" s="421">
        <f>INDEX(LandfillFees[Disposal Tip Fee 2025],MATCH(TransTonsShort[[#This Row],[Grouping_ID]],LandfillFees[Grouping_ID],0))</f>
        <v>72.030938699729589</v>
      </c>
      <c r="AA1005" s="102">
        <f>IF(OR(TransTonsShort[[#This Row],[CollectionStream_ID]]="03",TransTonsShort[[#This Row],[CollectionStream_ID]]="04",TransTonsShort[[#This Row],[CollectionStream_ID]]="13"),0,TransTonsShort[[#This Row],[Trans_Tons_All]]*TransTonsShort[[#This Row],[Disposal_Fee]])</f>
        <v>163918.88540296067</v>
      </c>
    </row>
    <row r="1006" spans="12:27" ht="15" x14ac:dyDescent="0.25">
      <c r="L1006" s="446" t="s">
        <v>876</v>
      </c>
      <c r="M1006" s="446">
        <v>4</v>
      </c>
      <c r="N1006" s="446">
        <v>4</v>
      </c>
      <c r="O1006" s="446" t="s">
        <v>706</v>
      </c>
      <c r="P1006" s="450" t="s">
        <v>739</v>
      </c>
      <c r="Q1006" s="450"/>
      <c r="R1006" s="450"/>
      <c r="S1006" s="449" t="s">
        <v>707</v>
      </c>
      <c r="T1006" s="449" t="s">
        <v>1121</v>
      </c>
      <c r="U1006" s="452">
        <v>1699.8498513891011</v>
      </c>
      <c r="V10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93491.741826400554</v>
      </c>
      <c r="W1006" s="272">
        <f>IFERROR(SUMIFS(TransUnitCost[Miles],TransUnitCost[Grouping_ID],TransTonsShort[[#This Row],[Grouping_ID]],TransUnitCost[Transp_ID],TransTonsShort[[#This Row],[Transp_ID]])*TransTonsShort[[#This Row],[Trans_Tons_All]]/TransTonsShort[[#This Row],[Trans_Tons_All]],"")</f>
        <v>250</v>
      </c>
      <c r="X1006" s="386" t="str">
        <f>TransTonsShort[[#This Row],[Grouping_ID]]&amp;"-"&amp;TransTonsShort[[#This Row],[Sector_ID]]</f>
        <v>4-4</v>
      </c>
      <c r="Y10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6" s="421">
        <f>INDEX(LandfillFees[Disposal Tip Fee 2025],MATCH(TransTonsShort[[#This Row],[Grouping_ID]],LandfillFees[Grouping_ID],0))</f>
        <v>72.030938699729589</v>
      </c>
      <c r="AA1006" s="102">
        <f>IF(OR(TransTonsShort[[#This Row],[CollectionStream_ID]]="03",TransTonsShort[[#This Row],[CollectionStream_ID]]="04",TransTonsShort[[#This Row],[CollectionStream_ID]]="13"),0,TransTonsShort[[#This Row],[Trans_Tons_All]]*TransTonsShort[[#This Row],[Disposal_Fee]])</f>
        <v>122441.7804441528</v>
      </c>
    </row>
    <row r="1007" spans="12:27" ht="15" x14ac:dyDescent="0.25">
      <c r="L1007" s="446" t="s">
        <v>876</v>
      </c>
      <c r="M1007" s="446">
        <v>1</v>
      </c>
      <c r="N1007" s="446">
        <v>4</v>
      </c>
      <c r="O1007" s="446" t="s">
        <v>706</v>
      </c>
      <c r="P1007" s="449" t="s">
        <v>700</v>
      </c>
      <c r="Q1007" s="449"/>
      <c r="R1007" s="449"/>
      <c r="S1007" s="449" t="s">
        <v>707</v>
      </c>
      <c r="T1007" s="449" t="s">
        <v>701</v>
      </c>
      <c r="U1007" s="452">
        <v>225.02921433829084</v>
      </c>
      <c r="V10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7" s="272">
        <f>IFERROR(SUMIFS(TransUnitCost[Miles],TransUnitCost[Grouping_ID],TransTonsShort[[#This Row],[Grouping_ID]],TransUnitCost[Transp_ID],TransTonsShort[[#This Row],[Transp_ID]])*TransTonsShort[[#This Row],[Trans_Tons_All]]/TransTonsShort[[#This Row],[Trans_Tons_All]],"")</f>
        <v>0</v>
      </c>
      <c r="X1007" s="386" t="str">
        <f>TransTonsShort[[#This Row],[Grouping_ID]]&amp;"-"&amp;TransTonsShort[[#This Row],[Sector_ID]]</f>
        <v>1-4</v>
      </c>
      <c r="Y10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7" s="421">
        <f>INDEX(LandfillFees[Disposal Tip Fee 2025],MATCH(TransTonsShort[[#This Row],[Grouping_ID]],LandfillFees[Grouping_ID],0))</f>
        <v>134.68</v>
      </c>
      <c r="AA1007" s="102">
        <f>IF(OR(TransTonsShort[[#This Row],[CollectionStream_ID]]="03",TransTonsShort[[#This Row],[CollectionStream_ID]]="04",TransTonsShort[[#This Row],[CollectionStream_ID]]="13"),0,TransTonsShort[[#This Row],[Trans_Tons_All]]*TransTonsShort[[#This Row],[Disposal_Fee]])</f>
        <v>30306.934587081014</v>
      </c>
    </row>
    <row r="1008" spans="12:27" ht="15" x14ac:dyDescent="0.25">
      <c r="L1008" s="446" t="s">
        <v>876</v>
      </c>
      <c r="M1008" s="446">
        <v>2</v>
      </c>
      <c r="N1008" s="446">
        <v>4</v>
      </c>
      <c r="O1008" s="446" t="s">
        <v>706</v>
      </c>
      <c r="P1008" s="449" t="s">
        <v>700</v>
      </c>
      <c r="Q1008" s="449"/>
      <c r="R1008" s="449"/>
      <c r="S1008" s="449" t="s">
        <v>707</v>
      </c>
      <c r="T1008" s="449" t="s">
        <v>701</v>
      </c>
      <c r="U1008" s="452">
        <v>0</v>
      </c>
      <c r="V10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8" s="272" t="str">
        <f>IFERROR(SUMIFS(TransUnitCost[Miles],TransUnitCost[Grouping_ID],TransTonsShort[[#This Row],[Grouping_ID]],TransUnitCost[Transp_ID],TransTonsShort[[#This Row],[Transp_ID]])*TransTonsShort[[#This Row],[Trans_Tons_All]]/TransTonsShort[[#This Row],[Trans_Tons_All]],"")</f>
        <v/>
      </c>
      <c r="X1008" s="386" t="str">
        <f>TransTonsShort[[#This Row],[Grouping_ID]]&amp;"-"&amp;TransTonsShort[[#This Row],[Sector_ID]]</f>
        <v>2-4</v>
      </c>
      <c r="Y10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8" s="421">
        <f>INDEX(LandfillFees[Disposal Tip Fee 2025],MATCH(TransTonsShort[[#This Row],[Grouping_ID]],LandfillFees[Grouping_ID],0))</f>
        <v>72.030938699729589</v>
      </c>
      <c r="AA1008" s="102">
        <f>IF(OR(TransTonsShort[[#This Row],[CollectionStream_ID]]="03",TransTonsShort[[#This Row],[CollectionStream_ID]]="04",TransTonsShort[[#This Row],[CollectionStream_ID]]="13"),0,TransTonsShort[[#This Row],[Trans_Tons_All]]*TransTonsShort[[#This Row],[Disposal_Fee]])</f>
        <v>0</v>
      </c>
    </row>
    <row r="1009" spans="12:27" ht="15" x14ac:dyDescent="0.25">
      <c r="L1009" s="446" t="s">
        <v>876</v>
      </c>
      <c r="M1009" s="446">
        <v>3</v>
      </c>
      <c r="N1009" s="446">
        <v>4</v>
      </c>
      <c r="O1009" s="446" t="s">
        <v>706</v>
      </c>
      <c r="P1009" s="449" t="s">
        <v>700</v>
      </c>
      <c r="Q1009" s="449"/>
      <c r="R1009" s="449"/>
      <c r="S1009" s="449" t="s">
        <v>707</v>
      </c>
      <c r="T1009" s="449" t="s">
        <v>701</v>
      </c>
      <c r="U1009" s="452">
        <v>0</v>
      </c>
      <c r="V10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09" s="272" t="str">
        <f>IFERROR(SUMIFS(TransUnitCost[Miles],TransUnitCost[Grouping_ID],TransTonsShort[[#This Row],[Grouping_ID]],TransUnitCost[Transp_ID],TransTonsShort[[#This Row],[Transp_ID]])*TransTonsShort[[#This Row],[Trans_Tons_All]]/TransTonsShort[[#This Row],[Trans_Tons_All]],"")</f>
        <v/>
      </c>
      <c r="X1009" s="386" t="str">
        <f>TransTonsShort[[#This Row],[Grouping_ID]]&amp;"-"&amp;TransTonsShort[[#This Row],[Sector_ID]]</f>
        <v>3-4</v>
      </c>
      <c r="Y10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09" s="421">
        <f>INDEX(LandfillFees[Disposal Tip Fee 2025],MATCH(TransTonsShort[[#This Row],[Grouping_ID]],LandfillFees[Grouping_ID],0))</f>
        <v>72.030938699729589</v>
      </c>
      <c r="AA1009" s="102">
        <f>IF(OR(TransTonsShort[[#This Row],[CollectionStream_ID]]="03",TransTonsShort[[#This Row],[CollectionStream_ID]]="04",TransTonsShort[[#This Row],[CollectionStream_ID]]="13"),0,TransTonsShort[[#This Row],[Trans_Tons_All]]*TransTonsShort[[#This Row],[Disposal_Fee]])</f>
        <v>0</v>
      </c>
    </row>
    <row r="1010" spans="12:27" ht="15" x14ac:dyDescent="0.25">
      <c r="L1010" s="446" t="s">
        <v>876</v>
      </c>
      <c r="M1010" s="446">
        <v>4</v>
      </c>
      <c r="N1010" s="446">
        <v>4</v>
      </c>
      <c r="O1010" s="446" t="s">
        <v>706</v>
      </c>
      <c r="P1010" s="449" t="s">
        <v>700</v>
      </c>
      <c r="Q1010" s="449"/>
      <c r="R1010" s="449"/>
      <c r="S1010" s="449" t="s">
        <v>707</v>
      </c>
      <c r="T1010" s="449" t="s">
        <v>701</v>
      </c>
      <c r="U1010" s="452">
        <v>0</v>
      </c>
      <c r="V10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0" s="272" t="str">
        <f>IFERROR(SUMIFS(TransUnitCost[Miles],TransUnitCost[Grouping_ID],TransTonsShort[[#This Row],[Grouping_ID]],TransUnitCost[Transp_ID],TransTonsShort[[#This Row],[Transp_ID]])*TransTonsShort[[#This Row],[Trans_Tons_All]]/TransTonsShort[[#This Row],[Trans_Tons_All]],"")</f>
        <v/>
      </c>
      <c r="X1010" s="386" t="str">
        <f>TransTonsShort[[#This Row],[Grouping_ID]]&amp;"-"&amp;TransTonsShort[[#This Row],[Sector_ID]]</f>
        <v>4-4</v>
      </c>
      <c r="Y10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0" s="421">
        <f>INDEX(LandfillFees[Disposal Tip Fee 2025],MATCH(TransTonsShort[[#This Row],[Grouping_ID]],LandfillFees[Grouping_ID],0))</f>
        <v>72.030938699729589</v>
      </c>
      <c r="AA1010" s="102">
        <f>IF(OR(TransTonsShort[[#This Row],[CollectionStream_ID]]="03",TransTonsShort[[#This Row],[CollectionStream_ID]]="04",TransTonsShort[[#This Row],[CollectionStream_ID]]="13"),0,TransTonsShort[[#This Row],[Trans_Tons_All]]*TransTonsShort[[#This Row],[Disposal_Fee]])</f>
        <v>0</v>
      </c>
    </row>
    <row r="1011" spans="12:27" ht="15" x14ac:dyDescent="0.25">
      <c r="L1011" s="446" t="s">
        <v>876</v>
      </c>
      <c r="M1011" s="446">
        <v>1</v>
      </c>
      <c r="N1011" s="446">
        <v>4</v>
      </c>
      <c r="O1011" s="446" t="s">
        <v>752</v>
      </c>
      <c r="P1011" s="449" t="s">
        <v>719</v>
      </c>
      <c r="Q1011" s="449"/>
      <c r="R1011" s="449"/>
      <c r="S1011" s="449" t="s">
        <v>964</v>
      </c>
      <c r="T1011" s="449" t="s">
        <v>1055</v>
      </c>
      <c r="U1011" s="452">
        <v>0</v>
      </c>
      <c r="V10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1" s="272" t="str">
        <f>IFERROR(SUMIFS(TransUnitCost[Miles],TransUnitCost[Grouping_ID],TransTonsShort[[#This Row],[Grouping_ID]],TransUnitCost[Transp_ID],TransTonsShort[[#This Row],[Transp_ID]])*TransTonsShort[[#This Row],[Trans_Tons_All]]/TransTonsShort[[#This Row],[Trans_Tons_All]],"")</f>
        <v/>
      </c>
      <c r="X1011" s="386" t="str">
        <f>TransTonsShort[[#This Row],[Grouping_ID]]&amp;"-"&amp;TransTonsShort[[#This Row],[Sector_ID]]</f>
        <v>1-4</v>
      </c>
      <c r="Y10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1" s="421">
        <f>INDEX(LandfillFees[Disposal Tip Fee 2025],MATCH(TransTonsShort[[#This Row],[Grouping_ID]],LandfillFees[Grouping_ID],0))</f>
        <v>134.68</v>
      </c>
      <c r="AA1011" s="102">
        <f>IF(OR(TransTonsShort[[#This Row],[CollectionStream_ID]]="03",TransTonsShort[[#This Row],[CollectionStream_ID]]="04",TransTonsShort[[#This Row],[CollectionStream_ID]]="13"),0,TransTonsShort[[#This Row],[Trans_Tons_All]]*TransTonsShort[[#This Row],[Disposal_Fee]])</f>
        <v>0</v>
      </c>
    </row>
    <row r="1012" spans="12:27" ht="15" x14ac:dyDescent="0.25">
      <c r="L1012" s="446" t="s">
        <v>876</v>
      </c>
      <c r="M1012" s="446">
        <v>2</v>
      </c>
      <c r="N1012" s="446">
        <v>4</v>
      </c>
      <c r="O1012" s="446" t="s">
        <v>752</v>
      </c>
      <c r="P1012" s="449" t="s">
        <v>719</v>
      </c>
      <c r="Q1012" s="449"/>
      <c r="R1012" s="449"/>
      <c r="S1012" s="449" t="s">
        <v>964</v>
      </c>
      <c r="T1012" s="449" t="s">
        <v>1055</v>
      </c>
      <c r="U1012" s="452">
        <v>0</v>
      </c>
      <c r="V10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2" s="272" t="str">
        <f>IFERROR(SUMIFS(TransUnitCost[Miles],TransUnitCost[Grouping_ID],TransTonsShort[[#This Row],[Grouping_ID]],TransUnitCost[Transp_ID],TransTonsShort[[#This Row],[Transp_ID]])*TransTonsShort[[#This Row],[Trans_Tons_All]]/TransTonsShort[[#This Row],[Trans_Tons_All]],"")</f>
        <v/>
      </c>
      <c r="X1012" s="386" t="str">
        <f>TransTonsShort[[#This Row],[Grouping_ID]]&amp;"-"&amp;TransTonsShort[[#This Row],[Sector_ID]]</f>
        <v>2-4</v>
      </c>
      <c r="Y10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2" s="421">
        <f>INDEX(LandfillFees[Disposal Tip Fee 2025],MATCH(TransTonsShort[[#This Row],[Grouping_ID]],LandfillFees[Grouping_ID],0))</f>
        <v>72.030938699729589</v>
      </c>
      <c r="AA1012" s="102">
        <f>IF(OR(TransTonsShort[[#This Row],[CollectionStream_ID]]="03",TransTonsShort[[#This Row],[CollectionStream_ID]]="04",TransTonsShort[[#This Row],[CollectionStream_ID]]="13"),0,TransTonsShort[[#This Row],[Trans_Tons_All]]*TransTonsShort[[#This Row],[Disposal_Fee]])</f>
        <v>0</v>
      </c>
    </row>
    <row r="1013" spans="12:27" ht="15" x14ac:dyDescent="0.25">
      <c r="L1013" s="446" t="s">
        <v>876</v>
      </c>
      <c r="M1013" s="446">
        <v>3</v>
      </c>
      <c r="N1013" s="446">
        <v>4</v>
      </c>
      <c r="O1013" s="446" t="s">
        <v>752</v>
      </c>
      <c r="P1013" s="449" t="s">
        <v>719</v>
      </c>
      <c r="Q1013" s="449"/>
      <c r="R1013" s="449"/>
      <c r="S1013" s="449" t="s">
        <v>964</v>
      </c>
      <c r="T1013" s="449" t="s">
        <v>1055</v>
      </c>
      <c r="U1013" s="452">
        <v>0</v>
      </c>
      <c r="V10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3" s="272" t="str">
        <f>IFERROR(SUMIFS(TransUnitCost[Miles],TransUnitCost[Grouping_ID],TransTonsShort[[#This Row],[Grouping_ID]],TransUnitCost[Transp_ID],TransTonsShort[[#This Row],[Transp_ID]])*TransTonsShort[[#This Row],[Trans_Tons_All]]/TransTonsShort[[#This Row],[Trans_Tons_All]],"")</f>
        <v/>
      </c>
      <c r="X1013" s="386" t="str">
        <f>TransTonsShort[[#This Row],[Grouping_ID]]&amp;"-"&amp;TransTonsShort[[#This Row],[Sector_ID]]</f>
        <v>3-4</v>
      </c>
      <c r="Y10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3" s="421">
        <f>INDEX(LandfillFees[Disposal Tip Fee 2025],MATCH(TransTonsShort[[#This Row],[Grouping_ID]],LandfillFees[Grouping_ID],0))</f>
        <v>72.030938699729589</v>
      </c>
      <c r="AA1013" s="102">
        <f>IF(OR(TransTonsShort[[#This Row],[CollectionStream_ID]]="03",TransTonsShort[[#This Row],[CollectionStream_ID]]="04",TransTonsShort[[#This Row],[CollectionStream_ID]]="13"),0,TransTonsShort[[#This Row],[Trans_Tons_All]]*TransTonsShort[[#This Row],[Disposal_Fee]])</f>
        <v>0</v>
      </c>
    </row>
    <row r="1014" spans="12:27" ht="15" x14ac:dyDescent="0.25">
      <c r="L1014" s="446" t="s">
        <v>876</v>
      </c>
      <c r="M1014" s="446">
        <v>4</v>
      </c>
      <c r="N1014" s="446">
        <v>4</v>
      </c>
      <c r="O1014" s="446" t="s">
        <v>752</v>
      </c>
      <c r="P1014" s="449" t="s">
        <v>719</v>
      </c>
      <c r="Q1014" s="449"/>
      <c r="R1014" s="449"/>
      <c r="S1014" s="449" t="s">
        <v>964</v>
      </c>
      <c r="T1014" s="449" t="s">
        <v>1055</v>
      </c>
      <c r="U1014" s="452">
        <v>0</v>
      </c>
      <c r="V10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4" s="272" t="str">
        <f>IFERROR(SUMIFS(TransUnitCost[Miles],TransUnitCost[Grouping_ID],TransTonsShort[[#This Row],[Grouping_ID]],TransUnitCost[Transp_ID],TransTonsShort[[#This Row],[Transp_ID]])*TransTonsShort[[#This Row],[Trans_Tons_All]]/TransTonsShort[[#This Row],[Trans_Tons_All]],"")</f>
        <v/>
      </c>
      <c r="X1014" s="386" t="str">
        <f>TransTonsShort[[#This Row],[Grouping_ID]]&amp;"-"&amp;TransTonsShort[[#This Row],[Sector_ID]]</f>
        <v>4-4</v>
      </c>
      <c r="Y10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4" s="421">
        <f>INDEX(LandfillFees[Disposal Tip Fee 2025],MATCH(TransTonsShort[[#This Row],[Grouping_ID]],LandfillFees[Grouping_ID],0))</f>
        <v>72.030938699729589</v>
      </c>
      <c r="AA1014" s="102">
        <f>IF(OR(TransTonsShort[[#This Row],[CollectionStream_ID]]="03",TransTonsShort[[#This Row],[CollectionStream_ID]]="04",TransTonsShort[[#This Row],[CollectionStream_ID]]="13"),0,TransTonsShort[[#This Row],[Trans_Tons_All]]*TransTonsShort[[#This Row],[Disposal_Fee]])</f>
        <v>0</v>
      </c>
    </row>
    <row r="1015" spans="12:27" ht="15" x14ac:dyDescent="0.25">
      <c r="L1015" s="446" t="s">
        <v>876</v>
      </c>
      <c r="M1015" s="446">
        <v>1</v>
      </c>
      <c r="N1015" s="446">
        <v>4</v>
      </c>
      <c r="O1015" s="448" t="s">
        <v>752</v>
      </c>
      <c r="P1015" s="449" t="s">
        <v>700</v>
      </c>
      <c r="Q1015" s="449"/>
      <c r="R1015" s="449"/>
      <c r="S1015" s="449" t="s">
        <v>964</v>
      </c>
      <c r="T1015" s="449" t="s">
        <v>701</v>
      </c>
      <c r="U1015" s="452">
        <v>3087.9604639872932</v>
      </c>
      <c r="V10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5" s="272">
        <f>IFERROR(SUMIFS(TransUnitCost[Miles],TransUnitCost[Grouping_ID],TransTonsShort[[#This Row],[Grouping_ID]],TransUnitCost[Transp_ID],TransTonsShort[[#This Row],[Transp_ID]])*TransTonsShort[[#This Row],[Trans_Tons_All]]/TransTonsShort[[#This Row],[Trans_Tons_All]],"")</f>
        <v>0</v>
      </c>
      <c r="X1015" s="386" t="str">
        <f>TransTonsShort[[#This Row],[Grouping_ID]]&amp;"-"&amp;TransTonsShort[[#This Row],[Sector_ID]]</f>
        <v>1-4</v>
      </c>
      <c r="Y10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5" s="421">
        <f>INDEX(LandfillFees[Disposal Tip Fee 2025],MATCH(TransTonsShort[[#This Row],[Grouping_ID]],LandfillFees[Grouping_ID],0))</f>
        <v>134.68</v>
      </c>
      <c r="AA1015" s="102">
        <f>IF(OR(TransTonsShort[[#This Row],[CollectionStream_ID]]="03",TransTonsShort[[#This Row],[CollectionStream_ID]]="04",TransTonsShort[[#This Row],[CollectionStream_ID]]="13"),0,TransTonsShort[[#This Row],[Trans_Tons_All]]*TransTonsShort[[#This Row],[Disposal_Fee]])</f>
        <v>415886.51528980868</v>
      </c>
    </row>
    <row r="1016" spans="12:27" ht="15" x14ac:dyDescent="0.25">
      <c r="L1016" s="446" t="s">
        <v>876</v>
      </c>
      <c r="M1016" s="446">
        <v>2</v>
      </c>
      <c r="N1016" s="446">
        <v>4</v>
      </c>
      <c r="O1016" s="448" t="s">
        <v>752</v>
      </c>
      <c r="P1016" s="449" t="s">
        <v>700</v>
      </c>
      <c r="Q1016" s="449"/>
      <c r="R1016" s="449"/>
      <c r="S1016" s="449" t="s">
        <v>964</v>
      </c>
      <c r="T1016" s="449" t="s">
        <v>701</v>
      </c>
      <c r="U1016" s="452">
        <v>0</v>
      </c>
      <c r="V10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6" s="272" t="str">
        <f>IFERROR(SUMIFS(TransUnitCost[Miles],TransUnitCost[Grouping_ID],TransTonsShort[[#This Row],[Grouping_ID]],TransUnitCost[Transp_ID],TransTonsShort[[#This Row],[Transp_ID]])*TransTonsShort[[#This Row],[Trans_Tons_All]]/TransTonsShort[[#This Row],[Trans_Tons_All]],"")</f>
        <v/>
      </c>
      <c r="X1016" s="386" t="str">
        <f>TransTonsShort[[#This Row],[Grouping_ID]]&amp;"-"&amp;TransTonsShort[[#This Row],[Sector_ID]]</f>
        <v>2-4</v>
      </c>
      <c r="Y10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6" s="421">
        <f>INDEX(LandfillFees[Disposal Tip Fee 2025],MATCH(TransTonsShort[[#This Row],[Grouping_ID]],LandfillFees[Grouping_ID],0))</f>
        <v>72.030938699729589</v>
      </c>
      <c r="AA1016" s="102">
        <f>IF(OR(TransTonsShort[[#This Row],[CollectionStream_ID]]="03",TransTonsShort[[#This Row],[CollectionStream_ID]]="04",TransTonsShort[[#This Row],[CollectionStream_ID]]="13"),0,TransTonsShort[[#This Row],[Trans_Tons_All]]*TransTonsShort[[#This Row],[Disposal_Fee]])</f>
        <v>0</v>
      </c>
    </row>
    <row r="1017" spans="12:27" ht="15" x14ac:dyDescent="0.25">
      <c r="L1017" s="446" t="s">
        <v>876</v>
      </c>
      <c r="M1017" s="446">
        <v>3</v>
      </c>
      <c r="N1017" s="446">
        <v>4</v>
      </c>
      <c r="O1017" s="448" t="s">
        <v>752</v>
      </c>
      <c r="P1017" s="449" t="s">
        <v>700</v>
      </c>
      <c r="Q1017" s="449"/>
      <c r="R1017" s="449"/>
      <c r="S1017" s="449" t="s">
        <v>964</v>
      </c>
      <c r="T1017" s="449" t="s">
        <v>701</v>
      </c>
      <c r="U1017" s="452">
        <v>0</v>
      </c>
      <c r="V10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7" s="272" t="str">
        <f>IFERROR(SUMIFS(TransUnitCost[Miles],TransUnitCost[Grouping_ID],TransTonsShort[[#This Row],[Grouping_ID]],TransUnitCost[Transp_ID],TransTonsShort[[#This Row],[Transp_ID]])*TransTonsShort[[#This Row],[Trans_Tons_All]]/TransTonsShort[[#This Row],[Trans_Tons_All]],"")</f>
        <v/>
      </c>
      <c r="X1017" s="386" t="str">
        <f>TransTonsShort[[#This Row],[Grouping_ID]]&amp;"-"&amp;TransTonsShort[[#This Row],[Sector_ID]]</f>
        <v>3-4</v>
      </c>
      <c r="Y10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7" s="421">
        <f>INDEX(LandfillFees[Disposal Tip Fee 2025],MATCH(TransTonsShort[[#This Row],[Grouping_ID]],LandfillFees[Grouping_ID],0))</f>
        <v>72.030938699729589</v>
      </c>
      <c r="AA1017" s="102">
        <f>IF(OR(TransTonsShort[[#This Row],[CollectionStream_ID]]="03",TransTonsShort[[#This Row],[CollectionStream_ID]]="04",TransTonsShort[[#This Row],[CollectionStream_ID]]="13"),0,TransTonsShort[[#This Row],[Trans_Tons_All]]*TransTonsShort[[#This Row],[Disposal_Fee]])</f>
        <v>0</v>
      </c>
    </row>
    <row r="1018" spans="12:27" ht="15" x14ac:dyDescent="0.25">
      <c r="L1018" s="446" t="s">
        <v>876</v>
      </c>
      <c r="M1018" s="446">
        <v>4</v>
      </c>
      <c r="N1018" s="446">
        <v>4</v>
      </c>
      <c r="O1018" s="448" t="s">
        <v>752</v>
      </c>
      <c r="P1018" s="449" t="s">
        <v>700</v>
      </c>
      <c r="Q1018" s="449"/>
      <c r="R1018" s="449"/>
      <c r="S1018" s="449" t="s">
        <v>964</v>
      </c>
      <c r="T1018" s="449" t="s">
        <v>701</v>
      </c>
      <c r="U1018" s="452">
        <v>0</v>
      </c>
      <c r="V10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8" s="272" t="str">
        <f>IFERROR(SUMIFS(TransUnitCost[Miles],TransUnitCost[Grouping_ID],TransTonsShort[[#This Row],[Grouping_ID]],TransUnitCost[Transp_ID],TransTonsShort[[#This Row],[Transp_ID]])*TransTonsShort[[#This Row],[Trans_Tons_All]]/TransTonsShort[[#This Row],[Trans_Tons_All]],"")</f>
        <v/>
      </c>
      <c r="X1018" s="386" t="str">
        <f>TransTonsShort[[#This Row],[Grouping_ID]]&amp;"-"&amp;TransTonsShort[[#This Row],[Sector_ID]]</f>
        <v>4-4</v>
      </c>
      <c r="Y10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8" s="421">
        <f>INDEX(LandfillFees[Disposal Tip Fee 2025],MATCH(TransTonsShort[[#This Row],[Grouping_ID]],LandfillFees[Grouping_ID],0))</f>
        <v>72.030938699729589</v>
      </c>
      <c r="AA1018" s="102">
        <f>IF(OR(TransTonsShort[[#This Row],[CollectionStream_ID]]="03",TransTonsShort[[#This Row],[CollectionStream_ID]]="04",TransTonsShort[[#This Row],[CollectionStream_ID]]="13"),0,TransTonsShort[[#This Row],[Trans_Tons_All]]*TransTonsShort[[#This Row],[Disposal_Fee]])</f>
        <v>0</v>
      </c>
    </row>
    <row r="1019" spans="12:27" ht="15" x14ac:dyDescent="0.25">
      <c r="L1019" s="446" t="s">
        <v>876</v>
      </c>
      <c r="M1019" s="446">
        <v>1</v>
      </c>
      <c r="N1019" s="446">
        <v>4</v>
      </c>
      <c r="O1019" s="448" t="s">
        <v>752</v>
      </c>
      <c r="P1019" s="449" t="s">
        <v>706</v>
      </c>
      <c r="Q1019" s="449"/>
      <c r="R1019" s="449"/>
      <c r="S1019" s="449" t="s">
        <v>964</v>
      </c>
      <c r="T1019" s="449" t="s">
        <v>1025</v>
      </c>
      <c r="U1019" s="452">
        <v>0</v>
      </c>
      <c r="V10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19" s="272" t="str">
        <f>IFERROR(SUMIFS(TransUnitCost[Miles],TransUnitCost[Grouping_ID],TransTonsShort[[#This Row],[Grouping_ID]],TransUnitCost[Transp_ID],TransTonsShort[[#This Row],[Transp_ID]])*TransTonsShort[[#This Row],[Trans_Tons_All]]/TransTonsShort[[#This Row],[Trans_Tons_All]],"")</f>
        <v/>
      </c>
      <c r="X1019" s="386" t="str">
        <f>TransTonsShort[[#This Row],[Grouping_ID]]&amp;"-"&amp;TransTonsShort[[#This Row],[Sector_ID]]</f>
        <v>1-4</v>
      </c>
      <c r="Y10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19" s="421">
        <f>INDEX(LandfillFees[Disposal Tip Fee 2025],MATCH(TransTonsShort[[#This Row],[Grouping_ID]],LandfillFees[Grouping_ID],0))</f>
        <v>134.68</v>
      </c>
      <c r="AA1019" s="102">
        <f>IF(OR(TransTonsShort[[#This Row],[CollectionStream_ID]]="03",TransTonsShort[[#This Row],[CollectionStream_ID]]="04",TransTonsShort[[#This Row],[CollectionStream_ID]]="13"),0,TransTonsShort[[#This Row],[Trans_Tons_All]]*TransTonsShort[[#This Row],[Disposal_Fee]])</f>
        <v>0</v>
      </c>
    </row>
    <row r="1020" spans="12:27" ht="15" x14ac:dyDescent="0.25">
      <c r="L1020" s="446" t="s">
        <v>876</v>
      </c>
      <c r="M1020" s="446">
        <v>2</v>
      </c>
      <c r="N1020" s="446">
        <v>4</v>
      </c>
      <c r="O1020" s="448" t="s">
        <v>752</v>
      </c>
      <c r="P1020" s="449" t="s">
        <v>706</v>
      </c>
      <c r="Q1020" s="449"/>
      <c r="R1020" s="449"/>
      <c r="S1020" s="449" t="s">
        <v>964</v>
      </c>
      <c r="T1020" s="449" t="s">
        <v>1025</v>
      </c>
      <c r="U1020" s="452">
        <v>10219.834745675042</v>
      </c>
      <c r="V10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286155.37287890119</v>
      </c>
      <c r="W1020" s="272">
        <f>IFERROR(SUMIFS(TransUnitCost[Miles],TransUnitCost[Grouping_ID],TransTonsShort[[#This Row],[Grouping_ID]],TransUnitCost[Transp_ID],TransTonsShort[[#This Row],[Transp_ID]])*TransTonsShort[[#This Row],[Trans_Tons_All]]/TransTonsShort[[#This Row],[Trans_Tons_All]],"")</f>
        <v>70</v>
      </c>
      <c r="X1020" s="386" t="str">
        <f>TransTonsShort[[#This Row],[Grouping_ID]]&amp;"-"&amp;TransTonsShort[[#This Row],[Sector_ID]]</f>
        <v>2-4</v>
      </c>
      <c r="Y10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0" s="421">
        <f>INDEX(LandfillFees[Disposal Tip Fee 2025],MATCH(TransTonsShort[[#This Row],[Grouping_ID]],LandfillFees[Grouping_ID],0))</f>
        <v>72.030938699729589</v>
      </c>
      <c r="AA1020" s="102">
        <f>IF(OR(TransTonsShort[[#This Row],[CollectionStream_ID]]="03",TransTonsShort[[#This Row],[CollectionStream_ID]]="04",TransTonsShort[[#This Row],[CollectionStream_ID]]="13"),0,TransTonsShort[[#This Row],[Trans_Tons_All]]*TransTonsShort[[#This Row],[Disposal_Fee]])</f>
        <v>736144.29008708545</v>
      </c>
    </row>
    <row r="1021" spans="12:27" ht="15" x14ac:dyDescent="0.25">
      <c r="L1021" s="446" t="s">
        <v>876</v>
      </c>
      <c r="M1021" s="446">
        <v>3</v>
      </c>
      <c r="N1021" s="446">
        <v>4</v>
      </c>
      <c r="O1021" s="448" t="s">
        <v>752</v>
      </c>
      <c r="P1021" s="449" t="s">
        <v>706</v>
      </c>
      <c r="Q1021" s="449"/>
      <c r="R1021" s="449"/>
      <c r="S1021" s="449" t="s">
        <v>964</v>
      </c>
      <c r="T1021" s="449" t="s">
        <v>1025</v>
      </c>
      <c r="U1021" s="452">
        <v>5789.6019896444768</v>
      </c>
      <c r="V10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303954.10445633502</v>
      </c>
      <c r="W1021" s="272">
        <f>IFERROR(SUMIFS(TransUnitCost[Miles],TransUnitCost[Grouping_ID],TransTonsShort[[#This Row],[Grouping_ID]],TransUnitCost[Transp_ID],TransTonsShort[[#This Row],[Transp_ID]])*TransTonsShort[[#This Row],[Trans_Tons_All]]/TransTonsShort[[#This Row],[Trans_Tons_All]],"")</f>
        <v>150</v>
      </c>
      <c r="X1021" s="386" t="str">
        <f>TransTonsShort[[#This Row],[Grouping_ID]]&amp;"-"&amp;TransTonsShort[[#This Row],[Sector_ID]]</f>
        <v>3-4</v>
      </c>
      <c r="Y10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1" s="421">
        <f>INDEX(LandfillFees[Disposal Tip Fee 2025],MATCH(TransTonsShort[[#This Row],[Grouping_ID]],LandfillFees[Grouping_ID],0))</f>
        <v>72.030938699729589</v>
      </c>
      <c r="AA1021" s="102">
        <f>IF(OR(TransTonsShort[[#This Row],[CollectionStream_ID]]="03",TransTonsShort[[#This Row],[CollectionStream_ID]]="04",TransTonsShort[[#This Row],[CollectionStream_ID]]="13"),0,TransTonsShort[[#This Row],[Trans_Tons_All]]*TransTonsShort[[#This Row],[Disposal_Fee]])</f>
        <v>417030.46601191378</v>
      </c>
    </row>
    <row r="1022" spans="12:27" ht="15" x14ac:dyDescent="0.25">
      <c r="L1022" s="446" t="s">
        <v>876</v>
      </c>
      <c r="M1022" s="446">
        <v>4</v>
      </c>
      <c r="N1022" s="446">
        <v>4</v>
      </c>
      <c r="O1022" s="448" t="s">
        <v>752</v>
      </c>
      <c r="P1022" s="449" t="s">
        <v>706</v>
      </c>
      <c r="Q1022" s="449"/>
      <c r="R1022" s="449"/>
      <c r="S1022" s="449" t="s">
        <v>964</v>
      </c>
      <c r="T1022" s="449" t="s">
        <v>1025</v>
      </c>
      <c r="U1022" s="452">
        <v>25083.23059063555</v>
      </c>
      <c r="V10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2508323.0590635552</v>
      </c>
      <c r="W1022" s="272">
        <f>IFERROR(SUMIFS(TransUnitCost[Miles],TransUnitCost[Grouping_ID],TransTonsShort[[#This Row],[Grouping_ID]],TransUnitCost[Transp_ID],TransTonsShort[[#This Row],[Transp_ID]])*TransTonsShort[[#This Row],[Trans_Tons_All]]/TransTonsShort[[#This Row],[Trans_Tons_All]],"")</f>
        <v>250</v>
      </c>
      <c r="X1022" s="386" t="str">
        <f>TransTonsShort[[#This Row],[Grouping_ID]]&amp;"-"&amp;TransTonsShort[[#This Row],[Sector_ID]]</f>
        <v>4-4</v>
      </c>
      <c r="Y10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2" s="421">
        <f>INDEX(LandfillFees[Disposal Tip Fee 2025],MATCH(TransTonsShort[[#This Row],[Grouping_ID]],LandfillFees[Grouping_ID],0))</f>
        <v>72.030938699729589</v>
      </c>
      <c r="AA1022" s="102">
        <f>IF(OR(TransTonsShort[[#This Row],[CollectionStream_ID]]="03",TransTonsShort[[#This Row],[CollectionStream_ID]]="04",TransTonsShort[[#This Row],[CollectionStream_ID]]="13"),0,TransTonsShort[[#This Row],[Trans_Tons_All]]*TransTonsShort[[#This Row],[Disposal_Fee]])</f>
        <v>1806768.6450652513</v>
      </c>
    </row>
    <row r="1023" spans="12:27" ht="15" x14ac:dyDescent="0.25">
      <c r="L1023" s="446" t="s">
        <v>876</v>
      </c>
      <c r="M1023" s="446">
        <v>1</v>
      </c>
      <c r="N1023" s="446">
        <v>4</v>
      </c>
      <c r="O1023" s="448" t="s">
        <v>750</v>
      </c>
      <c r="P1023" s="449" t="s">
        <v>739</v>
      </c>
      <c r="Q1023" s="449"/>
      <c r="R1023" s="449"/>
      <c r="S1023" s="449" t="s">
        <v>963</v>
      </c>
      <c r="T1023" s="449" t="s">
        <v>1121</v>
      </c>
      <c r="U1023" s="452">
        <v>1208.699586158147</v>
      </c>
      <c r="V10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23448.77197146805</v>
      </c>
      <c r="W1023" s="272">
        <f>IFERROR(SUMIFS(TransUnitCost[Miles],TransUnitCost[Grouping_ID],TransTonsShort[[#This Row],[Grouping_ID]],TransUnitCost[Transp_ID],TransTonsShort[[#This Row],[Transp_ID]])*TransTonsShort[[#This Row],[Trans_Tons_All]]/TransTonsShort[[#This Row],[Trans_Tons_All]],"")</f>
        <v>20</v>
      </c>
      <c r="X1023" s="386" t="str">
        <f>TransTonsShort[[#This Row],[Grouping_ID]]&amp;"-"&amp;TransTonsShort[[#This Row],[Sector_ID]]</f>
        <v>1-4</v>
      </c>
      <c r="Y10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3" s="421">
        <f>INDEX(LandfillFees[Disposal Tip Fee 2025],MATCH(TransTonsShort[[#This Row],[Grouping_ID]],LandfillFees[Grouping_ID],0))</f>
        <v>134.68</v>
      </c>
      <c r="AA1023" s="102">
        <f>IF(OR(TransTonsShort[[#This Row],[CollectionStream_ID]]="03",TransTonsShort[[#This Row],[CollectionStream_ID]]="04",TransTonsShort[[#This Row],[CollectionStream_ID]]="13"),0,TransTonsShort[[#This Row],[Trans_Tons_All]]*TransTonsShort[[#This Row],[Disposal_Fee]])</f>
        <v>162787.66026377925</v>
      </c>
    </row>
    <row r="1024" spans="12:27" ht="15" x14ac:dyDescent="0.25">
      <c r="L1024" s="446" t="s">
        <v>876</v>
      </c>
      <c r="M1024" s="446">
        <v>2</v>
      </c>
      <c r="N1024" s="446">
        <v>4</v>
      </c>
      <c r="O1024" s="448" t="s">
        <v>750</v>
      </c>
      <c r="P1024" s="449" t="s">
        <v>739</v>
      </c>
      <c r="Q1024" s="449"/>
      <c r="R1024" s="449"/>
      <c r="S1024" s="449" t="s">
        <v>963</v>
      </c>
      <c r="T1024" s="449" t="s">
        <v>1121</v>
      </c>
      <c r="U1024" s="452">
        <v>5211.3592078475976</v>
      </c>
      <c r="V10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215229.13528410578</v>
      </c>
      <c r="W1024" s="272">
        <f>IFERROR(SUMIFS(TransUnitCost[Miles],TransUnitCost[Grouping_ID],TransTonsShort[[#This Row],[Grouping_ID]],TransUnitCost[Transp_ID],TransTonsShort[[#This Row],[Transp_ID]])*TransTonsShort[[#This Row],[Trans_Tons_All]]/TransTonsShort[[#This Row],[Trans_Tons_All]],"")</f>
        <v>70</v>
      </c>
      <c r="X1024" s="386" t="str">
        <f>TransTonsShort[[#This Row],[Grouping_ID]]&amp;"-"&amp;TransTonsShort[[#This Row],[Sector_ID]]</f>
        <v>2-4</v>
      </c>
      <c r="Y10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4" s="421">
        <f>INDEX(LandfillFees[Disposal Tip Fee 2025],MATCH(TransTonsShort[[#This Row],[Grouping_ID]],LandfillFees[Grouping_ID],0))</f>
        <v>72.030938699729589</v>
      </c>
      <c r="AA1024" s="102">
        <f>IF(OR(TransTonsShort[[#This Row],[CollectionStream_ID]]="03",TransTonsShort[[#This Row],[CollectionStream_ID]]="04",TransTonsShort[[#This Row],[CollectionStream_ID]]="13"),0,TransTonsShort[[#This Row],[Trans_Tons_All]]*TransTonsShort[[#This Row],[Disposal_Fee]])</f>
        <v>375379.09564274165</v>
      </c>
    </row>
    <row r="1025" spans="12:27" ht="15" x14ac:dyDescent="0.25">
      <c r="L1025" s="446" t="s">
        <v>876</v>
      </c>
      <c r="M1025" s="446">
        <v>3</v>
      </c>
      <c r="N1025" s="446">
        <v>4</v>
      </c>
      <c r="O1025" s="448" t="s">
        <v>750</v>
      </c>
      <c r="P1025" s="449" t="s">
        <v>739</v>
      </c>
      <c r="Q1025" s="449"/>
      <c r="R1025" s="449"/>
      <c r="S1025" s="449" t="s">
        <v>963</v>
      </c>
      <c r="T1025" s="449" t="s">
        <v>1121</v>
      </c>
      <c r="U1025" s="452">
        <v>1287.303248860916</v>
      </c>
      <c r="V10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46342.916958992981</v>
      </c>
      <c r="W1025" s="272">
        <f>IFERROR(SUMIFS(TransUnitCost[Miles],TransUnitCost[Grouping_ID],TransTonsShort[[#This Row],[Grouping_ID]],TransUnitCost[Transp_ID],TransTonsShort[[#This Row],[Transp_ID]])*TransTonsShort[[#This Row],[Trans_Tons_All]]/TransTonsShort[[#This Row],[Trans_Tons_All]],"")</f>
        <v>150</v>
      </c>
      <c r="X1025" s="386" t="str">
        <f>TransTonsShort[[#This Row],[Grouping_ID]]&amp;"-"&amp;TransTonsShort[[#This Row],[Sector_ID]]</f>
        <v>3-4</v>
      </c>
      <c r="Y10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5" s="421">
        <f>INDEX(LandfillFees[Disposal Tip Fee 2025],MATCH(TransTonsShort[[#This Row],[Grouping_ID]],LandfillFees[Grouping_ID],0))</f>
        <v>72.030938699729589</v>
      </c>
      <c r="AA1025" s="102">
        <f>IF(OR(TransTonsShort[[#This Row],[CollectionStream_ID]]="03",TransTonsShort[[#This Row],[CollectionStream_ID]]="04",TransTonsShort[[#This Row],[CollectionStream_ID]]="13"),0,TransTonsShort[[#This Row],[Trans_Tons_All]]*TransTonsShort[[#This Row],[Disposal_Fee]])</f>
        <v>92725.661406663392</v>
      </c>
    </row>
    <row r="1026" spans="12:27" ht="15" x14ac:dyDescent="0.25">
      <c r="L1026" s="446" t="s">
        <v>876</v>
      </c>
      <c r="M1026" s="446">
        <v>4</v>
      </c>
      <c r="N1026" s="446">
        <v>4</v>
      </c>
      <c r="O1026" s="448" t="s">
        <v>750</v>
      </c>
      <c r="P1026" s="449" t="s">
        <v>739</v>
      </c>
      <c r="Q1026" s="449"/>
      <c r="R1026" s="449"/>
      <c r="S1026" s="449" t="s">
        <v>963</v>
      </c>
      <c r="T1026" s="449" t="s">
        <v>1121</v>
      </c>
      <c r="U1026" s="452">
        <v>11682.399622554176</v>
      </c>
      <c r="V10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642531.97924047965</v>
      </c>
      <c r="W1026" s="272">
        <f>IFERROR(SUMIFS(TransUnitCost[Miles],TransUnitCost[Grouping_ID],TransTonsShort[[#This Row],[Grouping_ID]],TransUnitCost[Transp_ID],TransTonsShort[[#This Row],[Transp_ID]])*TransTonsShort[[#This Row],[Trans_Tons_All]]/TransTonsShort[[#This Row],[Trans_Tons_All]],"")</f>
        <v>250</v>
      </c>
      <c r="X1026" s="386" t="str">
        <f>TransTonsShort[[#This Row],[Grouping_ID]]&amp;"-"&amp;TransTonsShort[[#This Row],[Sector_ID]]</f>
        <v>4-4</v>
      </c>
      <c r="Y10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6" s="421">
        <f>INDEX(LandfillFees[Disposal Tip Fee 2025],MATCH(TransTonsShort[[#This Row],[Grouping_ID]],LandfillFees[Grouping_ID],0))</f>
        <v>72.030938699729589</v>
      </c>
      <c r="AA1026" s="102">
        <f>IF(OR(TransTonsShort[[#This Row],[CollectionStream_ID]]="03",TransTonsShort[[#This Row],[CollectionStream_ID]]="04",TransTonsShort[[#This Row],[CollectionStream_ID]]="13"),0,TransTonsShort[[#This Row],[Trans_Tons_All]]*TransTonsShort[[#This Row],[Disposal_Fee]])</f>
        <v>841494.21107794391</v>
      </c>
    </row>
    <row r="1027" spans="12:27" ht="15" x14ac:dyDescent="0.25">
      <c r="L1027" s="446" t="s">
        <v>876</v>
      </c>
      <c r="M1027" s="446">
        <v>1</v>
      </c>
      <c r="N1027" s="446">
        <v>4</v>
      </c>
      <c r="O1027" s="446" t="s">
        <v>750</v>
      </c>
      <c r="P1027" s="449" t="s">
        <v>700</v>
      </c>
      <c r="Q1027" s="449"/>
      <c r="R1027" s="449"/>
      <c r="S1027" s="449" t="s">
        <v>963</v>
      </c>
      <c r="T1027" s="449" t="s">
        <v>701</v>
      </c>
      <c r="U1027" s="452">
        <v>0</v>
      </c>
      <c r="V10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27" s="272" t="str">
        <f>IFERROR(SUMIFS(TransUnitCost[Miles],TransUnitCost[Grouping_ID],TransTonsShort[[#This Row],[Grouping_ID]],TransUnitCost[Transp_ID],TransTonsShort[[#This Row],[Transp_ID]])*TransTonsShort[[#This Row],[Trans_Tons_All]]/TransTonsShort[[#This Row],[Trans_Tons_All]],"")</f>
        <v/>
      </c>
      <c r="X1027" s="386" t="str">
        <f>TransTonsShort[[#This Row],[Grouping_ID]]&amp;"-"&amp;TransTonsShort[[#This Row],[Sector_ID]]</f>
        <v>1-4</v>
      </c>
      <c r="Y10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7" s="421">
        <f>INDEX(LandfillFees[Disposal Tip Fee 2025],MATCH(TransTonsShort[[#This Row],[Grouping_ID]],LandfillFees[Grouping_ID],0))</f>
        <v>134.68</v>
      </c>
      <c r="AA1027" s="102">
        <f>IF(OR(TransTonsShort[[#This Row],[CollectionStream_ID]]="03",TransTonsShort[[#This Row],[CollectionStream_ID]]="04",TransTonsShort[[#This Row],[CollectionStream_ID]]="13"),0,TransTonsShort[[#This Row],[Trans_Tons_All]]*TransTonsShort[[#This Row],[Disposal_Fee]])</f>
        <v>0</v>
      </c>
    </row>
    <row r="1028" spans="12:27" ht="15" x14ac:dyDescent="0.25">
      <c r="L1028" s="446" t="s">
        <v>876</v>
      </c>
      <c r="M1028" s="446">
        <v>2</v>
      </c>
      <c r="N1028" s="446">
        <v>4</v>
      </c>
      <c r="O1028" s="446" t="s">
        <v>750</v>
      </c>
      <c r="P1028" s="449" t="s">
        <v>700</v>
      </c>
      <c r="Q1028" s="449"/>
      <c r="R1028" s="449"/>
      <c r="S1028" s="449" t="s">
        <v>963</v>
      </c>
      <c r="T1028" s="449" t="s">
        <v>701</v>
      </c>
      <c r="U1028" s="452">
        <v>0</v>
      </c>
      <c r="V10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28" s="272" t="str">
        <f>IFERROR(SUMIFS(TransUnitCost[Miles],TransUnitCost[Grouping_ID],TransTonsShort[[#This Row],[Grouping_ID]],TransUnitCost[Transp_ID],TransTonsShort[[#This Row],[Transp_ID]])*TransTonsShort[[#This Row],[Trans_Tons_All]]/TransTonsShort[[#This Row],[Trans_Tons_All]],"")</f>
        <v/>
      </c>
      <c r="X1028" s="386" t="str">
        <f>TransTonsShort[[#This Row],[Grouping_ID]]&amp;"-"&amp;TransTonsShort[[#This Row],[Sector_ID]]</f>
        <v>2-4</v>
      </c>
      <c r="Y10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8" s="421">
        <f>INDEX(LandfillFees[Disposal Tip Fee 2025],MATCH(TransTonsShort[[#This Row],[Grouping_ID]],LandfillFees[Grouping_ID],0))</f>
        <v>72.030938699729589</v>
      </c>
      <c r="AA1028" s="102">
        <f>IF(OR(TransTonsShort[[#This Row],[CollectionStream_ID]]="03",TransTonsShort[[#This Row],[CollectionStream_ID]]="04",TransTonsShort[[#This Row],[CollectionStream_ID]]="13"),0,TransTonsShort[[#This Row],[Trans_Tons_All]]*TransTonsShort[[#This Row],[Disposal_Fee]])</f>
        <v>0</v>
      </c>
    </row>
    <row r="1029" spans="12:27" ht="15" x14ac:dyDescent="0.25">
      <c r="L1029" s="446" t="s">
        <v>876</v>
      </c>
      <c r="M1029" s="446">
        <v>3</v>
      </c>
      <c r="N1029" s="446">
        <v>4</v>
      </c>
      <c r="O1029" s="446" t="s">
        <v>750</v>
      </c>
      <c r="P1029" s="449" t="s">
        <v>700</v>
      </c>
      <c r="Q1029" s="449"/>
      <c r="R1029" s="449"/>
      <c r="S1029" s="449" t="s">
        <v>963</v>
      </c>
      <c r="T1029" s="449" t="s">
        <v>701</v>
      </c>
      <c r="U1029" s="452">
        <v>0</v>
      </c>
      <c r="V10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29" s="272" t="str">
        <f>IFERROR(SUMIFS(TransUnitCost[Miles],TransUnitCost[Grouping_ID],TransTonsShort[[#This Row],[Grouping_ID]],TransUnitCost[Transp_ID],TransTonsShort[[#This Row],[Transp_ID]])*TransTonsShort[[#This Row],[Trans_Tons_All]]/TransTonsShort[[#This Row],[Trans_Tons_All]],"")</f>
        <v/>
      </c>
      <c r="X1029" s="386" t="str">
        <f>TransTonsShort[[#This Row],[Grouping_ID]]&amp;"-"&amp;TransTonsShort[[#This Row],[Sector_ID]]</f>
        <v>3-4</v>
      </c>
      <c r="Y10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29" s="421">
        <f>INDEX(LandfillFees[Disposal Tip Fee 2025],MATCH(TransTonsShort[[#This Row],[Grouping_ID]],LandfillFees[Grouping_ID],0))</f>
        <v>72.030938699729589</v>
      </c>
      <c r="AA1029" s="102">
        <f>IF(OR(TransTonsShort[[#This Row],[CollectionStream_ID]]="03",TransTonsShort[[#This Row],[CollectionStream_ID]]="04",TransTonsShort[[#This Row],[CollectionStream_ID]]="13"),0,TransTonsShort[[#This Row],[Trans_Tons_All]]*TransTonsShort[[#This Row],[Disposal_Fee]])</f>
        <v>0</v>
      </c>
    </row>
    <row r="1030" spans="12:27" ht="15" x14ac:dyDescent="0.25">
      <c r="L1030" s="446" t="s">
        <v>876</v>
      </c>
      <c r="M1030" s="446">
        <v>4</v>
      </c>
      <c r="N1030" s="446">
        <v>4</v>
      </c>
      <c r="O1030" s="446" t="s">
        <v>750</v>
      </c>
      <c r="P1030" s="449" t="s">
        <v>700</v>
      </c>
      <c r="Q1030" s="449"/>
      <c r="R1030" s="449"/>
      <c r="S1030" s="449" t="s">
        <v>963</v>
      </c>
      <c r="T1030" s="449" t="s">
        <v>701</v>
      </c>
      <c r="U1030" s="452">
        <v>0</v>
      </c>
      <c r="V10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0" s="272" t="str">
        <f>IFERROR(SUMIFS(TransUnitCost[Miles],TransUnitCost[Grouping_ID],TransTonsShort[[#This Row],[Grouping_ID]],TransUnitCost[Transp_ID],TransTonsShort[[#This Row],[Transp_ID]])*TransTonsShort[[#This Row],[Trans_Tons_All]]/TransTonsShort[[#This Row],[Trans_Tons_All]],"")</f>
        <v/>
      </c>
      <c r="X1030" s="386" t="str">
        <f>TransTonsShort[[#This Row],[Grouping_ID]]&amp;"-"&amp;TransTonsShort[[#This Row],[Sector_ID]]</f>
        <v>4-4</v>
      </c>
      <c r="Y10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30" s="421">
        <f>INDEX(LandfillFees[Disposal Tip Fee 2025],MATCH(TransTonsShort[[#This Row],[Grouping_ID]],LandfillFees[Grouping_ID],0))</f>
        <v>72.030938699729589</v>
      </c>
      <c r="AA1030" s="102">
        <f>IF(OR(TransTonsShort[[#This Row],[CollectionStream_ID]]="03",TransTonsShort[[#This Row],[CollectionStream_ID]]="04",TransTonsShort[[#This Row],[CollectionStream_ID]]="13"),0,TransTonsShort[[#This Row],[Trans_Tons_All]]*TransTonsShort[[#This Row],[Disposal_Fee]])</f>
        <v>0</v>
      </c>
    </row>
    <row r="1031" spans="12:27" ht="15" x14ac:dyDescent="0.25">
      <c r="L1031" s="446" t="s">
        <v>875</v>
      </c>
      <c r="M1031" s="446">
        <v>1</v>
      </c>
      <c r="N1031" s="446">
        <v>4</v>
      </c>
      <c r="O1031" s="446" t="s">
        <v>700</v>
      </c>
      <c r="P1031" s="449" t="s">
        <v>719</v>
      </c>
      <c r="Q1031" s="449"/>
      <c r="R1031" s="449"/>
      <c r="S1031" s="449" t="s">
        <v>872</v>
      </c>
      <c r="T1031" s="449" t="s">
        <v>1055</v>
      </c>
      <c r="U1031" s="452">
        <v>0</v>
      </c>
      <c r="V10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1" s="272" t="str">
        <f>IFERROR(SUMIFS(TransUnitCost[Miles],TransUnitCost[Grouping_ID],TransTonsShort[[#This Row],[Grouping_ID]],TransUnitCost[Transp_ID],TransTonsShort[[#This Row],[Transp_ID]])*TransTonsShort[[#This Row],[Trans_Tons_All]]/TransTonsShort[[#This Row],[Trans_Tons_All]],"")</f>
        <v/>
      </c>
      <c r="X1031" s="386" t="str">
        <f>TransTonsShort[[#This Row],[Grouping_ID]]&amp;"-"&amp;TransTonsShort[[#This Row],[Sector_ID]]</f>
        <v>1-4</v>
      </c>
      <c r="Y10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1" s="421">
        <f>INDEX(LandfillFees[Disposal Tip Fee 2025],MATCH(TransTonsShort[[#This Row],[Grouping_ID]],LandfillFees[Grouping_ID],0))</f>
        <v>134.68</v>
      </c>
      <c r="AA1031" s="102">
        <f>IF(OR(TransTonsShort[[#This Row],[CollectionStream_ID]]="03",TransTonsShort[[#This Row],[CollectionStream_ID]]="04",TransTonsShort[[#This Row],[CollectionStream_ID]]="13"),0,TransTonsShort[[#This Row],[Trans_Tons_All]]*TransTonsShort[[#This Row],[Disposal_Fee]])</f>
        <v>0</v>
      </c>
    </row>
    <row r="1032" spans="12:27" ht="15" x14ac:dyDescent="0.25">
      <c r="L1032" s="446" t="s">
        <v>875</v>
      </c>
      <c r="M1032" s="446">
        <v>2</v>
      </c>
      <c r="N1032" s="446">
        <v>4</v>
      </c>
      <c r="O1032" s="446" t="s">
        <v>700</v>
      </c>
      <c r="P1032" s="449" t="s">
        <v>719</v>
      </c>
      <c r="Q1032" s="449"/>
      <c r="R1032" s="449"/>
      <c r="S1032" s="449" t="s">
        <v>872</v>
      </c>
      <c r="T1032" s="449" t="s">
        <v>1055</v>
      </c>
      <c r="U1032" s="452">
        <v>0</v>
      </c>
      <c r="V10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2" s="272" t="str">
        <f>IFERROR(SUMIFS(TransUnitCost[Miles],TransUnitCost[Grouping_ID],TransTonsShort[[#This Row],[Grouping_ID]],TransUnitCost[Transp_ID],TransTonsShort[[#This Row],[Transp_ID]])*TransTonsShort[[#This Row],[Trans_Tons_All]]/TransTonsShort[[#This Row],[Trans_Tons_All]],"")</f>
        <v/>
      </c>
      <c r="X1032" s="386" t="str">
        <f>TransTonsShort[[#This Row],[Grouping_ID]]&amp;"-"&amp;TransTonsShort[[#This Row],[Sector_ID]]</f>
        <v>2-4</v>
      </c>
      <c r="Y10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2" s="421">
        <f>INDEX(LandfillFees[Disposal Tip Fee 2025],MATCH(TransTonsShort[[#This Row],[Grouping_ID]],LandfillFees[Grouping_ID],0))</f>
        <v>72.030938699729589</v>
      </c>
      <c r="AA1032" s="102">
        <f>IF(OR(TransTonsShort[[#This Row],[CollectionStream_ID]]="03",TransTonsShort[[#This Row],[CollectionStream_ID]]="04",TransTonsShort[[#This Row],[CollectionStream_ID]]="13"),0,TransTonsShort[[#This Row],[Trans_Tons_All]]*TransTonsShort[[#This Row],[Disposal_Fee]])</f>
        <v>0</v>
      </c>
    </row>
    <row r="1033" spans="12:27" ht="15" x14ac:dyDescent="0.25">
      <c r="L1033" s="446" t="s">
        <v>875</v>
      </c>
      <c r="M1033" s="446">
        <v>3</v>
      </c>
      <c r="N1033" s="446">
        <v>4</v>
      </c>
      <c r="O1033" s="446" t="s">
        <v>700</v>
      </c>
      <c r="P1033" s="449" t="s">
        <v>719</v>
      </c>
      <c r="Q1033" s="449"/>
      <c r="R1033" s="449"/>
      <c r="S1033" s="449" t="s">
        <v>872</v>
      </c>
      <c r="T1033" s="449" t="s">
        <v>1055</v>
      </c>
      <c r="U1033" s="452">
        <v>0</v>
      </c>
      <c r="V10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3" s="272" t="str">
        <f>IFERROR(SUMIFS(TransUnitCost[Miles],TransUnitCost[Grouping_ID],TransTonsShort[[#This Row],[Grouping_ID]],TransUnitCost[Transp_ID],TransTonsShort[[#This Row],[Transp_ID]])*TransTonsShort[[#This Row],[Trans_Tons_All]]/TransTonsShort[[#This Row],[Trans_Tons_All]],"")</f>
        <v/>
      </c>
      <c r="X1033" s="386" t="str">
        <f>TransTonsShort[[#This Row],[Grouping_ID]]&amp;"-"&amp;TransTonsShort[[#This Row],[Sector_ID]]</f>
        <v>3-4</v>
      </c>
      <c r="Y10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3" s="421">
        <f>INDEX(LandfillFees[Disposal Tip Fee 2025],MATCH(TransTonsShort[[#This Row],[Grouping_ID]],LandfillFees[Grouping_ID],0))</f>
        <v>72.030938699729589</v>
      </c>
      <c r="AA1033" s="102">
        <f>IF(OR(TransTonsShort[[#This Row],[CollectionStream_ID]]="03",TransTonsShort[[#This Row],[CollectionStream_ID]]="04",TransTonsShort[[#This Row],[CollectionStream_ID]]="13"),0,TransTonsShort[[#This Row],[Trans_Tons_All]]*TransTonsShort[[#This Row],[Disposal_Fee]])</f>
        <v>0</v>
      </c>
    </row>
    <row r="1034" spans="12:27" ht="15" x14ac:dyDescent="0.25">
      <c r="L1034" s="446" t="s">
        <v>875</v>
      </c>
      <c r="M1034" s="446">
        <v>4</v>
      </c>
      <c r="N1034" s="446">
        <v>4</v>
      </c>
      <c r="O1034" s="446" t="s">
        <v>700</v>
      </c>
      <c r="P1034" s="449" t="s">
        <v>719</v>
      </c>
      <c r="Q1034" s="449"/>
      <c r="R1034" s="449"/>
      <c r="S1034" s="449" t="s">
        <v>872</v>
      </c>
      <c r="T1034" s="449" t="s">
        <v>1055</v>
      </c>
      <c r="U1034" s="452">
        <v>0</v>
      </c>
      <c r="V10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4" s="272" t="str">
        <f>IFERROR(SUMIFS(TransUnitCost[Miles],TransUnitCost[Grouping_ID],TransTonsShort[[#This Row],[Grouping_ID]],TransUnitCost[Transp_ID],TransTonsShort[[#This Row],[Transp_ID]])*TransTonsShort[[#This Row],[Trans_Tons_All]]/TransTonsShort[[#This Row],[Trans_Tons_All]],"")</f>
        <v/>
      </c>
      <c r="X1034" s="386" t="str">
        <f>TransTonsShort[[#This Row],[Grouping_ID]]&amp;"-"&amp;TransTonsShort[[#This Row],[Sector_ID]]</f>
        <v>4-4</v>
      </c>
      <c r="Y10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4" s="421">
        <f>INDEX(LandfillFees[Disposal Tip Fee 2025],MATCH(TransTonsShort[[#This Row],[Grouping_ID]],LandfillFees[Grouping_ID],0))</f>
        <v>72.030938699729589</v>
      </c>
      <c r="AA1034" s="102">
        <f>IF(OR(TransTonsShort[[#This Row],[CollectionStream_ID]]="03",TransTonsShort[[#This Row],[CollectionStream_ID]]="04",TransTonsShort[[#This Row],[CollectionStream_ID]]="13"),0,TransTonsShort[[#This Row],[Trans_Tons_All]]*TransTonsShort[[#This Row],[Disposal_Fee]])</f>
        <v>0</v>
      </c>
    </row>
    <row r="1035" spans="12:27" ht="15" x14ac:dyDescent="0.25">
      <c r="L1035" s="446" t="s">
        <v>875</v>
      </c>
      <c r="M1035" s="446">
        <v>1</v>
      </c>
      <c r="N1035" s="446">
        <v>4</v>
      </c>
      <c r="O1035" s="446" t="s">
        <v>700</v>
      </c>
      <c r="P1035" s="449" t="s">
        <v>700</v>
      </c>
      <c r="Q1035" s="449"/>
      <c r="R1035" s="449"/>
      <c r="S1035" s="449" t="s">
        <v>872</v>
      </c>
      <c r="T1035" s="449" t="s">
        <v>701</v>
      </c>
      <c r="U1035" s="452">
        <v>281.28780425687677</v>
      </c>
      <c r="V10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5" s="272">
        <f>IFERROR(SUMIFS(TransUnitCost[Miles],TransUnitCost[Grouping_ID],TransTonsShort[[#This Row],[Grouping_ID]],TransUnitCost[Transp_ID],TransTonsShort[[#This Row],[Transp_ID]])*TransTonsShort[[#This Row],[Trans_Tons_All]]/TransTonsShort[[#This Row],[Trans_Tons_All]],"")</f>
        <v>0</v>
      </c>
      <c r="X1035" s="386" t="str">
        <f>TransTonsShort[[#This Row],[Grouping_ID]]&amp;"-"&amp;TransTonsShort[[#This Row],[Sector_ID]]</f>
        <v>1-4</v>
      </c>
      <c r="Y10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5" s="421">
        <f>INDEX(LandfillFees[Disposal Tip Fee 2025],MATCH(TransTonsShort[[#This Row],[Grouping_ID]],LandfillFees[Grouping_ID],0))</f>
        <v>134.68</v>
      </c>
      <c r="AA1035" s="102">
        <f>IF(OR(TransTonsShort[[#This Row],[CollectionStream_ID]]="03",TransTonsShort[[#This Row],[CollectionStream_ID]]="04",TransTonsShort[[#This Row],[CollectionStream_ID]]="13"),0,TransTonsShort[[#This Row],[Trans_Tons_All]]*TransTonsShort[[#This Row],[Disposal_Fee]])</f>
        <v>37883.841477316164</v>
      </c>
    </row>
    <row r="1036" spans="12:27" ht="15" x14ac:dyDescent="0.25">
      <c r="L1036" s="446" t="s">
        <v>875</v>
      </c>
      <c r="M1036" s="446">
        <v>2</v>
      </c>
      <c r="N1036" s="446">
        <v>4</v>
      </c>
      <c r="O1036" s="446" t="s">
        <v>700</v>
      </c>
      <c r="P1036" s="449" t="s">
        <v>700</v>
      </c>
      <c r="Q1036" s="449"/>
      <c r="R1036" s="449"/>
      <c r="S1036" s="449" t="s">
        <v>872</v>
      </c>
      <c r="T1036" s="449" t="s">
        <v>701</v>
      </c>
      <c r="U1036" s="452">
        <v>3658.3725977572517</v>
      </c>
      <c r="V10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6" s="272">
        <f>IFERROR(SUMIFS(TransUnitCost[Miles],TransUnitCost[Grouping_ID],TransTonsShort[[#This Row],[Grouping_ID]],TransUnitCost[Transp_ID],TransTonsShort[[#This Row],[Transp_ID]])*TransTonsShort[[#This Row],[Trans_Tons_All]]/TransTonsShort[[#This Row],[Trans_Tons_All]],"")</f>
        <v>0</v>
      </c>
      <c r="X1036" s="386" t="str">
        <f>TransTonsShort[[#This Row],[Grouping_ID]]&amp;"-"&amp;TransTonsShort[[#This Row],[Sector_ID]]</f>
        <v>2-4</v>
      </c>
      <c r="Y10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6" s="421">
        <f>INDEX(LandfillFees[Disposal Tip Fee 2025],MATCH(TransTonsShort[[#This Row],[Grouping_ID]],LandfillFees[Grouping_ID],0))</f>
        <v>72.030938699729589</v>
      </c>
      <c r="AA1036" s="102">
        <f>IF(OR(TransTonsShort[[#This Row],[CollectionStream_ID]]="03",TransTonsShort[[#This Row],[CollectionStream_ID]]="04",TransTonsShort[[#This Row],[CollectionStream_ID]]="13"),0,TransTonsShort[[#This Row],[Trans_Tons_All]]*TransTonsShort[[#This Row],[Disposal_Fee]])</f>
        <v>263516.0123298231</v>
      </c>
    </row>
    <row r="1037" spans="12:27" ht="15" x14ac:dyDescent="0.25">
      <c r="L1037" s="446" t="s">
        <v>875</v>
      </c>
      <c r="M1037" s="446">
        <v>3</v>
      </c>
      <c r="N1037" s="446">
        <v>4</v>
      </c>
      <c r="O1037" s="446" t="s">
        <v>700</v>
      </c>
      <c r="P1037" s="449" t="s">
        <v>700</v>
      </c>
      <c r="Q1037" s="449"/>
      <c r="R1037" s="449"/>
      <c r="S1037" s="449" t="s">
        <v>872</v>
      </c>
      <c r="T1037" s="449" t="s">
        <v>701</v>
      </c>
      <c r="U1037" s="452">
        <v>0</v>
      </c>
      <c r="V10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7" s="272" t="str">
        <f>IFERROR(SUMIFS(TransUnitCost[Miles],TransUnitCost[Grouping_ID],TransTonsShort[[#This Row],[Grouping_ID]],TransUnitCost[Transp_ID],TransTonsShort[[#This Row],[Transp_ID]])*TransTonsShort[[#This Row],[Trans_Tons_All]]/TransTonsShort[[#This Row],[Trans_Tons_All]],"")</f>
        <v/>
      </c>
      <c r="X1037" s="386" t="str">
        <f>TransTonsShort[[#This Row],[Grouping_ID]]&amp;"-"&amp;TransTonsShort[[#This Row],[Sector_ID]]</f>
        <v>3-4</v>
      </c>
      <c r="Y10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7" s="421">
        <f>INDEX(LandfillFees[Disposal Tip Fee 2025],MATCH(TransTonsShort[[#This Row],[Grouping_ID]],LandfillFees[Grouping_ID],0))</f>
        <v>72.030938699729589</v>
      </c>
      <c r="AA1037" s="102">
        <f>IF(OR(TransTonsShort[[#This Row],[CollectionStream_ID]]="03",TransTonsShort[[#This Row],[CollectionStream_ID]]="04",TransTonsShort[[#This Row],[CollectionStream_ID]]="13"),0,TransTonsShort[[#This Row],[Trans_Tons_All]]*TransTonsShort[[#This Row],[Disposal_Fee]])</f>
        <v>0</v>
      </c>
    </row>
    <row r="1038" spans="12:27" ht="15" x14ac:dyDescent="0.25">
      <c r="L1038" s="446" t="s">
        <v>875</v>
      </c>
      <c r="M1038" s="446">
        <v>4</v>
      </c>
      <c r="N1038" s="446">
        <v>4</v>
      </c>
      <c r="O1038" s="446" t="s">
        <v>700</v>
      </c>
      <c r="P1038" s="449" t="s">
        <v>700</v>
      </c>
      <c r="Q1038" s="449"/>
      <c r="R1038" s="449"/>
      <c r="S1038" s="449" t="s">
        <v>872</v>
      </c>
      <c r="T1038" s="449" t="s">
        <v>701</v>
      </c>
      <c r="U1038" s="452">
        <v>0</v>
      </c>
      <c r="V10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38" s="272" t="str">
        <f>IFERROR(SUMIFS(TransUnitCost[Miles],TransUnitCost[Grouping_ID],TransTonsShort[[#This Row],[Grouping_ID]],TransUnitCost[Transp_ID],TransTonsShort[[#This Row],[Transp_ID]])*TransTonsShort[[#This Row],[Trans_Tons_All]]/TransTonsShort[[#This Row],[Trans_Tons_All]],"")</f>
        <v/>
      </c>
      <c r="X1038" s="386" t="str">
        <f>TransTonsShort[[#This Row],[Grouping_ID]]&amp;"-"&amp;TransTonsShort[[#This Row],[Sector_ID]]</f>
        <v>4-4</v>
      </c>
      <c r="Y10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8" s="421">
        <f>INDEX(LandfillFees[Disposal Tip Fee 2025],MATCH(TransTonsShort[[#This Row],[Grouping_ID]],LandfillFees[Grouping_ID],0))</f>
        <v>72.030938699729589</v>
      </c>
      <c r="AA1038" s="102">
        <f>IF(OR(TransTonsShort[[#This Row],[CollectionStream_ID]]="03",TransTonsShort[[#This Row],[CollectionStream_ID]]="04",TransTonsShort[[#This Row],[CollectionStream_ID]]="13"),0,TransTonsShort[[#This Row],[Trans_Tons_All]]*TransTonsShort[[#This Row],[Disposal_Fee]])</f>
        <v>0</v>
      </c>
    </row>
    <row r="1039" spans="12:27" ht="15" x14ac:dyDescent="0.25">
      <c r="L1039" s="446" t="s">
        <v>875</v>
      </c>
      <c r="M1039" s="446">
        <v>1</v>
      </c>
      <c r="N1039" s="446">
        <v>4</v>
      </c>
      <c r="O1039" s="446" t="s">
        <v>700</v>
      </c>
      <c r="P1039" s="449" t="s">
        <v>706</v>
      </c>
      <c r="Q1039" s="449"/>
      <c r="R1039" s="449"/>
      <c r="S1039" s="449" t="s">
        <v>872</v>
      </c>
      <c r="T1039" s="449" t="s">
        <v>1025</v>
      </c>
      <c r="U1039" s="452">
        <v>42.031510980912621</v>
      </c>
      <c r="V10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840.63021961825245</v>
      </c>
      <c r="W1039" s="272">
        <f>IFERROR(SUMIFS(TransUnitCost[Miles],TransUnitCost[Grouping_ID],TransTonsShort[[#This Row],[Grouping_ID]],TransUnitCost[Transp_ID],TransTonsShort[[#This Row],[Transp_ID]])*TransTonsShort[[#This Row],[Trans_Tons_All]]/TransTonsShort[[#This Row],[Trans_Tons_All]],"")</f>
        <v>20</v>
      </c>
      <c r="X1039" s="386" t="str">
        <f>TransTonsShort[[#This Row],[Grouping_ID]]&amp;"-"&amp;TransTonsShort[[#This Row],[Sector_ID]]</f>
        <v>1-4</v>
      </c>
      <c r="Y10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39" s="421">
        <f>INDEX(LandfillFees[Disposal Tip Fee 2025],MATCH(TransTonsShort[[#This Row],[Grouping_ID]],LandfillFees[Grouping_ID],0))</f>
        <v>134.68</v>
      </c>
      <c r="AA1039" s="102">
        <f>IF(OR(TransTonsShort[[#This Row],[CollectionStream_ID]]="03",TransTonsShort[[#This Row],[CollectionStream_ID]]="04",TransTonsShort[[#This Row],[CollectionStream_ID]]="13"),0,TransTonsShort[[#This Row],[Trans_Tons_All]]*TransTonsShort[[#This Row],[Disposal_Fee]])</f>
        <v>5660.803898909312</v>
      </c>
    </row>
    <row r="1040" spans="12:27" ht="15" x14ac:dyDescent="0.25">
      <c r="L1040" s="446" t="s">
        <v>875</v>
      </c>
      <c r="M1040" s="446">
        <v>2</v>
      </c>
      <c r="N1040" s="446">
        <v>4</v>
      </c>
      <c r="O1040" s="446" t="s">
        <v>700</v>
      </c>
      <c r="P1040" s="449" t="s">
        <v>706</v>
      </c>
      <c r="Q1040" s="449"/>
      <c r="R1040" s="449"/>
      <c r="S1040" s="449" t="s">
        <v>872</v>
      </c>
      <c r="T1040" s="449" t="s">
        <v>1025</v>
      </c>
      <c r="U1040" s="452">
        <v>452.15841095876146</v>
      </c>
      <c r="V10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12660.435506845321</v>
      </c>
      <c r="W1040" s="272">
        <f>IFERROR(SUMIFS(TransUnitCost[Miles],TransUnitCost[Grouping_ID],TransTonsShort[[#This Row],[Grouping_ID]],TransUnitCost[Transp_ID],TransTonsShort[[#This Row],[Transp_ID]])*TransTonsShort[[#This Row],[Trans_Tons_All]]/TransTonsShort[[#This Row],[Trans_Tons_All]],"")</f>
        <v>70</v>
      </c>
      <c r="X1040" s="386" t="str">
        <f>TransTonsShort[[#This Row],[Grouping_ID]]&amp;"-"&amp;TransTonsShort[[#This Row],[Sector_ID]]</f>
        <v>2-4</v>
      </c>
      <c r="Y10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0" s="421">
        <f>INDEX(LandfillFees[Disposal Tip Fee 2025],MATCH(TransTonsShort[[#This Row],[Grouping_ID]],LandfillFees[Grouping_ID],0))</f>
        <v>72.030938699729589</v>
      </c>
      <c r="AA1040" s="102">
        <f>IF(OR(TransTonsShort[[#This Row],[CollectionStream_ID]]="03",TransTonsShort[[#This Row],[CollectionStream_ID]]="04",TransTonsShort[[#This Row],[CollectionStream_ID]]="13"),0,TransTonsShort[[#This Row],[Trans_Tons_All]]*TransTonsShort[[#This Row],[Disposal_Fee]])</f>
        <v>32569.394782337688</v>
      </c>
    </row>
    <row r="1041" spans="12:27" ht="15" x14ac:dyDescent="0.25">
      <c r="L1041" s="446" t="s">
        <v>875</v>
      </c>
      <c r="M1041" s="446">
        <v>3</v>
      </c>
      <c r="N1041" s="446">
        <v>4</v>
      </c>
      <c r="O1041" s="446" t="s">
        <v>700</v>
      </c>
      <c r="P1041" s="449" t="s">
        <v>706</v>
      </c>
      <c r="Q1041" s="449"/>
      <c r="R1041" s="449"/>
      <c r="S1041" s="449" t="s">
        <v>872</v>
      </c>
      <c r="T1041" s="449" t="s">
        <v>1025</v>
      </c>
      <c r="U1041" s="452">
        <v>2209.1768783517928</v>
      </c>
      <c r="V10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115981.78611346912</v>
      </c>
      <c r="W1041" s="272">
        <f>IFERROR(SUMIFS(TransUnitCost[Miles],TransUnitCost[Grouping_ID],TransTonsShort[[#This Row],[Grouping_ID]],TransUnitCost[Transp_ID],TransTonsShort[[#This Row],[Transp_ID]])*TransTonsShort[[#This Row],[Trans_Tons_All]]/TransTonsShort[[#This Row],[Trans_Tons_All]],"")</f>
        <v>150</v>
      </c>
      <c r="X1041" s="386" t="str">
        <f>TransTonsShort[[#This Row],[Grouping_ID]]&amp;"-"&amp;TransTonsShort[[#This Row],[Sector_ID]]</f>
        <v>3-4</v>
      </c>
      <c r="Y10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1" s="421">
        <f>INDEX(LandfillFees[Disposal Tip Fee 2025],MATCH(TransTonsShort[[#This Row],[Grouping_ID]],LandfillFees[Grouping_ID],0))</f>
        <v>72.030938699729589</v>
      </c>
      <c r="AA1041" s="102">
        <f>IF(OR(TransTonsShort[[#This Row],[CollectionStream_ID]]="03",TransTonsShort[[#This Row],[CollectionStream_ID]]="04",TransTonsShort[[#This Row],[CollectionStream_ID]]="13"),0,TransTonsShort[[#This Row],[Trans_Tons_All]]*TransTonsShort[[#This Row],[Disposal_Fee]])</f>
        <v>159129.08430141796</v>
      </c>
    </row>
    <row r="1042" spans="12:27" ht="15" x14ac:dyDescent="0.25">
      <c r="L1042" s="446" t="s">
        <v>875</v>
      </c>
      <c r="M1042" s="446">
        <v>4</v>
      </c>
      <c r="N1042" s="446">
        <v>4</v>
      </c>
      <c r="O1042" s="446" t="s">
        <v>700</v>
      </c>
      <c r="P1042" s="449" t="s">
        <v>706</v>
      </c>
      <c r="Q1042" s="449"/>
      <c r="R1042" s="449"/>
      <c r="S1042" s="449" t="s">
        <v>872</v>
      </c>
      <c r="T1042" s="449" t="s">
        <v>1025</v>
      </c>
      <c r="U1042" s="452">
        <v>0</v>
      </c>
      <c r="V10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2" s="272" t="str">
        <f>IFERROR(SUMIFS(TransUnitCost[Miles],TransUnitCost[Grouping_ID],TransTonsShort[[#This Row],[Grouping_ID]],TransUnitCost[Transp_ID],TransTonsShort[[#This Row],[Transp_ID]])*TransTonsShort[[#This Row],[Trans_Tons_All]]/TransTonsShort[[#This Row],[Trans_Tons_All]],"")</f>
        <v/>
      </c>
      <c r="X1042" s="386" t="str">
        <f>TransTonsShort[[#This Row],[Grouping_ID]]&amp;"-"&amp;TransTonsShort[[#This Row],[Sector_ID]]</f>
        <v>4-4</v>
      </c>
      <c r="Y10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2" s="421">
        <f>INDEX(LandfillFees[Disposal Tip Fee 2025],MATCH(TransTonsShort[[#This Row],[Grouping_ID]],LandfillFees[Grouping_ID],0))</f>
        <v>72.030938699729589</v>
      </c>
      <c r="AA1042" s="102">
        <f>IF(OR(TransTonsShort[[#This Row],[CollectionStream_ID]]="03",TransTonsShort[[#This Row],[CollectionStream_ID]]="04",TransTonsShort[[#This Row],[CollectionStream_ID]]="13"),0,TransTonsShort[[#This Row],[Trans_Tons_All]]*TransTonsShort[[#This Row],[Disposal_Fee]])</f>
        <v>0</v>
      </c>
    </row>
    <row r="1043" spans="12:27" ht="15" x14ac:dyDescent="0.25">
      <c r="L1043" s="446" t="s">
        <v>875</v>
      </c>
      <c r="M1043" s="446">
        <v>1</v>
      </c>
      <c r="N1043" s="446">
        <v>4</v>
      </c>
      <c r="O1043" s="446" t="s">
        <v>748</v>
      </c>
      <c r="P1043" s="449" t="s">
        <v>719</v>
      </c>
      <c r="Q1043" s="449"/>
      <c r="R1043" s="449"/>
      <c r="S1043" s="449" t="s">
        <v>765</v>
      </c>
      <c r="T1043" s="449" t="s">
        <v>1055</v>
      </c>
      <c r="U1043" s="452">
        <v>0</v>
      </c>
      <c r="V10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3" s="272" t="str">
        <f>IFERROR(SUMIFS(TransUnitCost[Miles],TransUnitCost[Grouping_ID],TransTonsShort[[#This Row],[Grouping_ID]],TransUnitCost[Transp_ID],TransTonsShort[[#This Row],[Transp_ID]])*TransTonsShort[[#This Row],[Trans_Tons_All]]/TransTonsShort[[#This Row],[Trans_Tons_All]],"")</f>
        <v/>
      </c>
      <c r="X1043" s="386" t="str">
        <f>TransTonsShort[[#This Row],[Grouping_ID]]&amp;"-"&amp;TransTonsShort[[#This Row],[Sector_ID]]</f>
        <v>1-4</v>
      </c>
      <c r="Y10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3" s="421">
        <f>INDEX(LandfillFees[Disposal Tip Fee 2025],MATCH(TransTonsShort[[#This Row],[Grouping_ID]],LandfillFees[Grouping_ID],0))</f>
        <v>134.68</v>
      </c>
      <c r="AA1043" s="102">
        <f>IF(OR(TransTonsShort[[#This Row],[CollectionStream_ID]]="03",TransTonsShort[[#This Row],[CollectionStream_ID]]="04",TransTonsShort[[#This Row],[CollectionStream_ID]]="13"),0,TransTonsShort[[#This Row],[Trans_Tons_All]]*TransTonsShort[[#This Row],[Disposal_Fee]])</f>
        <v>0</v>
      </c>
    </row>
    <row r="1044" spans="12:27" ht="15" x14ac:dyDescent="0.25">
      <c r="L1044" s="446" t="s">
        <v>875</v>
      </c>
      <c r="M1044" s="446">
        <v>2</v>
      </c>
      <c r="N1044" s="446">
        <v>4</v>
      </c>
      <c r="O1044" s="446" t="s">
        <v>748</v>
      </c>
      <c r="P1044" s="449" t="s">
        <v>719</v>
      </c>
      <c r="Q1044" s="449"/>
      <c r="R1044" s="449"/>
      <c r="S1044" s="449" t="s">
        <v>765</v>
      </c>
      <c r="T1044" s="449" t="s">
        <v>1055</v>
      </c>
      <c r="U1044" s="452">
        <v>0</v>
      </c>
      <c r="V10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4" s="272" t="str">
        <f>IFERROR(SUMIFS(TransUnitCost[Miles],TransUnitCost[Grouping_ID],TransTonsShort[[#This Row],[Grouping_ID]],TransUnitCost[Transp_ID],TransTonsShort[[#This Row],[Transp_ID]])*TransTonsShort[[#This Row],[Trans_Tons_All]]/TransTonsShort[[#This Row],[Trans_Tons_All]],"")</f>
        <v/>
      </c>
      <c r="X1044" s="386" t="str">
        <f>TransTonsShort[[#This Row],[Grouping_ID]]&amp;"-"&amp;TransTonsShort[[#This Row],[Sector_ID]]</f>
        <v>2-4</v>
      </c>
      <c r="Y10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4" s="421">
        <f>INDEX(LandfillFees[Disposal Tip Fee 2025],MATCH(TransTonsShort[[#This Row],[Grouping_ID]],LandfillFees[Grouping_ID],0))</f>
        <v>72.030938699729589</v>
      </c>
      <c r="AA1044" s="102">
        <f>IF(OR(TransTonsShort[[#This Row],[CollectionStream_ID]]="03",TransTonsShort[[#This Row],[CollectionStream_ID]]="04",TransTonsShort[[#This Row],[CollectionStream_ID]]="13"),0,TransTonsShort[[#This Row],[Trans_Tons_All]]*TransTonsShort[[#This Row],[Disposal_Fee]])</f>
        <v>0</v>
      </c>
    </row>
    <row r="1045" spans="12:27" ht="15" x14ac:dyDescent="0.25">
      <c r="L1045" s="446" t="s">
        <v>875</v>
      </c>
      <c r="M1045" s="446">
        <v>3</v>
      </c>
      <c r="N1045" s="446">
        <v>4</v>
      </c>
      <c r="O1045" s="446" t="s">
        <v>748</v>
      </c>
      <c r="P1045" s="449" t="s">
        <v>719</v>
      </c>
      <c r="Q1045" s="449"/>
      <c r="R1045" s="449"/>
      <c r="S1045" s="449" t="s">
        <v>765</v>
      </c>
      <c r="T1045" s="449" t="s">
        <v>1055</v>
      </c>
      <c r="U1045" s="452">
        <v>0</v>
      </c>
      <c r="V10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5" s="272" t="str">
        <f>IFERROR(SUMIFS(TransUnitCost[Miles],TransUnitCost[Grouping_ID],TransTonsShort[[#This Row],[Grouping_ID]],TransUnitCost[Transp_ID],TransTonsShort[[#This Row],[Transp_ID]])*TransTonsShort[[#This Row],[Trans_Tons_All]]/TransTonsShort[[#This Row],[Trans_Tons_All]],"")</f>
        <v/>
      </c>
      <c r="X1045" s="386" t="str">
        <f>TransTonsShort[[#This Row],[Grouping_ID]]&amp;"-"&amp;TransTonsShort[[#This Row],[Sector_ID]]</f>
        <v>3-4</v>
      </c>
      <c r="Y10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5" s="421">
        <f>INDEX(LandfillFees[Disposal Tip Fee 2025],MATCH(TransTonsShort[[#This Row],[Grouping_ID]],LandfillFees[Grouping_ID],0))</f>
        <v>72.030938699729589</v>
      </c>
      <c r="AA1045" s="102">
        <f>IF(OR(TransTonsShort[[#This Row],[CollectionStream_ID]]="03",TransTonsShort[[#This Row],[CollectionStream_ID]]="04",TransTonsShort[[#This Row],[CollectionStream_ID]]="13"),0,TransTonsShort[[#This Row],[Trans_Tons_All]]*TransTonsShort[[#This Row],[Disposal_Fee]])</f>
        <v>0</v>
      </c>
    </row>
    <row r="1046" spans="12:27" ht="15" x14ac:dyDescent="0.25">
      <c r="L1046" s="446" t="s">
        <v>875</v>
      </c>
      <c r="M1046" s="446">
        <v>4</v>
      </c>
      <c r="N1046" s="446">
        <v>4</v>
      </c>
      <c r="O1046" s="446" t="s">
        <v>748</v>
      </c>
      <c r="P1046" s="449" t="s">
        <v>719</v>
      </c>
      <c r="Q1046" s="449"/>
      <c r="R1046" s="449"/>
      <c r="S1046" s="449" t="s">
        <v>765</v>
      </c>
      <c r="T1046" s="449" t="s">
        <v>1055</v>
      </c>
      <c r="U1046" s="452">
        <v>0</v>
      </c>
      <c r="V10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6" s="272" t="str">
        <f>IFERROR(SUMIFS(TransUnitCost[Miles],TransUnitCost[Grouping_ID],TransTonsShort[[#This Row],[Grouping_ID]],TransUnitCost[Transp_ID],TransTonsShort[[#This Row],[Transp_ID]])*TransTonsShort[[#This Row],[Trans_Tons_All]]/TransTonsShort[[#This Row],[Trans_Tons_All]],"")</f>
        <v/>
      </c>
      <c r="X1046" s="386" t="str">
        <f>TransTonsShort[[#This Row],[Grouping_ID]]&amp;"-"&amp;TransTonsShort[[#This Row],[Sector_ID]]</f>
        <v>4-4</v>
      </c>
      <c r="Y10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6" s="421">
        <f>INDEX(LandfillFees[Disposal Tip Fee 2025],MATCH(TransTonsShort[[#This Row],[Grouping_ID]],LandfillFees[Grouping_ID],0))</f>
        <v>72.030938699729589</v>
      </c>
      <c r="AA1046" s="102">
        <f>IF(OR(TransTonsShort[[#This Row],[CollectionStream_ID]]="03",TransTonsShort[[#This Row],[CollectionStream_ID]]="04",TransTonsShort[[#This Row],[CollectionStream_ID]]="13"),0,TransTonsShort[[#This Row],[Trans_Tons_All]]*TransTonsShort[[#This Row],[Disposal_Fee]])</f>
        <v>0</v>
      </c>
    </row>
    <row r="1047" spans="12:27" ht="15" x14ac:dyDescent="0.25">
      <c r="L1047" s="446" t="s">
        <v>875</v>
      </c>
      <c r="M1047" s="446">
        <v>1</v>
      </c>
      <c r="N1047" s="446">
        <v>4</v>
      </c>
      <c r="O1047" s="446" t="s">
        <v>748</v>
      </c>
      <c r="P1047" s="449" t="s">
        <v>700</v>
      </c>
      <c r="Q1047" s="449"/>
      <c r="R1047" s="449"/>
      <c r="S1047" s="449" t="s">
        <v>765</v>
      </c>
      <c r="T1047" s="449" t="s">
        <v>701</v>
      </c>
      <c r="U1047" s="452">
        <v>0</v>
      </c>
      <c r="V10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7" s="272" t="str">
        <f>IFERROR(SUMIFS(TransUnitCost[Miles],TransUnitCost[Grouping_ID],TransTonsShort[[#This Row],[Grouping_ID]],TransUnitCost[Transp_ID],TransTonsShort[[#This Row],[Transp_ID]])*TransTonsShort[[#This Row],[Trans_Tons_All]]/TransTonsShort[[#This Row],[Trans_Tons_All]],"")</f>
        <v/>
      </c>
      <c r="X1047" s="386" t="str">
        <f>TransTonsShort[[#This Row],[Grouping_ID]]&amp;"-"&amp;TransTonsShort[[#This Row],[Sector_ID]]</f>
        <v>1-4</v>
      </c>
      <c r="Y10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7" s="421">
        <f>INDEX(LandfillFees[Disposal Tip Fee 2025],MATCH(TransTonsShort[[#This Row],[Grouping_ID]],LandfillFees[Grouping_ID],0))</f>
        <v>134.68</v>
      </c>
      <c r="AA1047" s="102">
        <f>IF(OR(TransTonsShort[[#This Row],[CollectionStream_ID]]="03",TransTonsShort[[#This Row],[CollectionStream_ID]]="04",TransTonsShort[[#This Row],[CollectionStream_ID]]="13"),0,TransTonsShort[[#This Row],[Trans_Tons_All]]*TransTonsShort[[#This Row],[Disposal_Fee]])</f>
        <v>0</v>
      </c>
    </row>
    <row r="1048" spans="12:27" ht="15" x14ac:dyDescent="0.25">
      <c r="L1048" s="446" t="s">
        <v>875</v>
      </c>
      <c r="M1048" s="446">
        <v>2</v>
      </c>
      <c r="N1048" s="446">
        <v>4</v>
      </c>
      <c r="O1048" s="446" t="s">
        <v>748</v>
      </c>
      <c r="P1048" s="449" t="s">
        <v>700</v>
      </c>
      <c r="Q1048" s="449"/>
      <c r="R1048" s="449"/>
      <c r="S1048" s="449" t="s">
        <v>765</v>
      </c>
      <c r="T1048" s="449" t="s">
        <v>701</v>
      </c>
      <c r="U1048" s="452">
        <v>0</v>
      </c>
      <c r="V10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8" s="272" t="str">
        <f>IFERROR(SUMIFS(TransUnitCost[Miles],TransUnitCost[Grouping_ID],TransTonsShort[[#This Row],[Grouping_ID]],TransUnitCost[Transp_ID],TransTonsShort[[#This Row],[Transp_ID]])*TransTonsShort[[#This Row],[Trans_Tons_All]]/TransTonsShort[[#This Row],[Trans_Tons_All]],"")</f>
        <v/>
      </c>
      <c r="X1048" s="386" t="str">
        <f>TransTonsShort[[#This Row],[Grouping_ID]]&amp;"-"&amp;TransTonsShort[[#This Row],[Sector_ID]]</f>
        <v>2-4</v>
      </c>
      <c r="Y10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8" s="421">
        <f>INDEX(LandfillFees[Disposal Tip Fee 2025],MATCH(TransTonsShort[[#This Row],[Grouping_ID]],LandfillFees[Grouping_ID],0))</f>
        <v>72.030938699729589</v>
      </c>
      <c r="AA1048" s="102">
        <f>IF(OR(TransTonsShort[[#This Row],[CollectionStream_ID]]="03",TransTonsShort[[#This Row],[CollectionStream_ID]]="04",TransTonsShort[[#This Row],[CollectionStream_ID]]="13"),0,TransTonsShort[[#This Row],[Trans_Tons_All]]*TransTonsShort[[#This Row],[Disposal_Fee]])</f>
        <v>0</v>
      </c>
    </row>
    <row r="1049" spans="12:27" ht="15" x14ac:dyDescent="0.25">
      <c r="L1049" s="446" t="s">
        <v>875</v>
      </c>
      <c r="M1049" s="446">
        <v>3</v>
      </c>
      <c r="N1049" s="446">
        <v>4</v>
      </c>
      <c r="O1049" s="446" t="s">
        <v>748</v>
      </c>
      <c r="P1049" s="449" t="s">
        <v>700</v>
      </c>
      <c r="Q1049" s="449"/>
      <c r="R1049" s="449"/>
      <c r="S1049" s="449" t="s">
        <v>765</v>
      </c>
      <c r="T1049" s="449" t="s">
        <v>701</v>
      </c>
      <c r="U1049" s="452">
        <v>0</v>
      </c>
      <c r="V10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49" s="272" t="str">
        <f>IFERROR(SUMIFS(TransUnitCost[Miles],TransUnitCost[Grouping_ID],TransTonsShort[[#This Row],[Grouping_ID]],TransUnitCost[Transp_ID],TransTonsShort[[#This Row],[Transp_ID]])*TransTonsShort[[#This Row],[Trans_Tons_All]]/TransTonsShort[[#This Row],[Trans_Tons_All]],"")</f>
        <v/>
      </c>
      <c r="X1049" s="386" t="str">
        <f>TransTonsShort[[#This Row],[Grouping_ID]]&amp;"-"&amp;TransTonsShort[[#This Row],[Sector_ID]]</f>
        <v>3-4</v>
      </c>
      <c r="Y10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49" s="421">
        <f>INDEX(LandfillFees[Disposal Tip Fee 2025],MATCH(TransTonsShort[[#This Row],[Grouping_ID]],LandfillFees[Grouping_ID],0))</f>
        <v>72.030938699729589</v>
      </c>
      <c r="AA1049" s="102">
        <f>IF(OR(TransTonsShort[[#This Row],[CollectionStream_ID]]="03",TransTonsShort[[#This Row],[CollectionStream_ID]]="04",TransTonsShort[[#This Row],[CollectionStream_ID]]="13"),0,TransTonsShort[[#This Row],[Trans_Tons_All]]*TransTonsShort[[#This Row],[Disposal_Fee]])</f>
        <v>0</v>
      </c>
    </row>
    <row r="1050" spans="12:27" ht="15" x14ac:dyDescent="0.25">
      <c r="L1050" s="446" t="s">
        <v>875</v>
      </c>
      <c r="M1050" s="446">
        <v>4</v>
      </c>
      <c r="N1050" s="446">
        <v>4</v>
      </c>
      <c r="O1050" s="446" t="s">
        <v>748</v>
      </c>
      <c r="P1050" s="449" t="s">
        <v>700</v>
      </c>
      <c r="Q1050" s="449"/>
      <c r="R1050" s="449"/>
      <c r="S1050" s="449" t="s">
        <v>765</v>
      </c>
      <c r="T1050" s="449" t="s">
        <v>701</v>
      </c>
      <c r="U1050" s="452">
        <v>0</v>
      </c>
      <c r="V10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0" s="272" t="str">
        <f>IFERROR(SUMIFS(TransUnitCost[Miles],TransUnitCost[Grouping_ID],TransTonsShort[[#This Row],[Grouping_ID]],TransUnitCost[Transp_ID],TransTonsShort[[#This Row],[Transp_ID]])*TransTonsShort[[#This Row],[Trans_Tons_All]]/TransTonsShort[[#This Row],[Trans_Tons_All]],"")</f>
        <v/>
      </c>
      <c r="X1050" s="386" t="str">
        <f>TransTonsShort[[#This Row],[Grouping_ID]]&amp;"-"&amp;TransTonsShort[[#This Row],[Sector_ID]]</f>
        <v>4-4</v>
      </c>
      <c r="Y10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0" s="421">
        <f>INDEX(LandfillFees[Disposal Tip Fee 2025],MATCH(TransTonsShort[[#This Row],[Grouping_ID]],LandfillFees[Grouping_ID],0))</f>
        <v>72.030938699729589</v>
      </c>
      <c r="AA1050" s="102">
        <f>IF(OR(TransTonsShort[[#This Row],[CollectionStream_ID]]="03",TransTonsShort[[#This Row],[CollectionStream_ID]]="04",TransTonsShort[[#This Row],[CollectionStream_ID]]="13"),0,TransTonsShort[[#This Row],[Trans_Tons_All]]*TransTonsShort[[#This Row],[Disposal_Fee]])</f>
        <v>0</v>
      </c>
    </row>
    <row r="1051" spans="12:27" ht="15" x14ac:dyDescent="0.25">
      <c r="L1051" s="446" t="s">
        <v>875</v>
      </c>
      <c r="M1051" s="446">
        <v>1</v>
      </c>
      <c r="N1051" s="446">
        <v>4</v>
      </c>
      <c r="O1051" s="446" t="s">
        <v>748</v>
      </c>
      <c r="P1051" s="450" t="s">
        <v>748</v>
      </c>
      <c r="Q1051" s="450"/>
      <c r="R1051" s="450"/>
      <c r="S1051" s="449" t="s">
        <v>765</v>
      </c>
      <c r="T1051" s="449" t="s">
        <v>849</v>
      </c>
      <c r="U1051" s="452">
        <v>0</v>
      </c>
      <c r="V10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1" s="272" t="str">
        <f>IFERROR(SUMIFS(TransUnitCost[Miles],TransUnitCost[Grouping_ID],TransTonsShort[[#This Row],[Grouping_ID]],TransUnitCost[Transp_ID],TransTonsShort[[#This Row],[Transp_ID]])*TransTonsShort[[#This Row],[Trans_Tons_All]]/TransTonsShort[[#This Row],[Trans_Tons_All]],"")</f>
        <v/>
      </c>
      <c r="X1051" s="386" t="str">
        <f>TransTonsShort[[#This Row],[Grouping_ID]]&amp;"-"&amp;TransTonsShort[[#This Row],[Sector_ID]]</f>
        <v>1-4</v>
      </c>
      <c r="Y10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1" s="421">
        <f>INDEX(LandfillFees[Disposal Tip Fee 2025],MATCH(TransTonsShort[[#This Row],[Grouping_ID]],LandfillFees[Grouping_ID],0))</f>
        <v>134.68</v>
      </c>
      <c r="AA1051" s="102">
        <f>IF(OR(TransTonsShort[[#This Row],[CollectionStream_ID]]="03",TransTonsShort[[#This Row],[CollectionStream_ID]]="04",TransTonsShort[[#This Row],[CollectionStream_ID]]="13"),0,TransTonsShort[[#This Row],[Trans_Tons_All]]*TransTonsShort[[#This Row],[Disposal_Fee]])</f>
        <v>0</v>
      </c>
    </row>
    <row r="1052" spans="12:27" ht="15" x14ac:dyDescent="0.25">
      <c r="L1052" s="446" t="s">
        <v>875</v>
      </c>
      <c r="M1052" s="446">
        <v>2</v>
      </c>
      <c r="N1052" s="446">
        <v>4</v>
      </c>
      <c r="O1052" s="446" t="s">
        <v>748</v>
      </c>
      <c r="P1052" s="450" t="s">
        <v>748</v>
      </c>
      <c r="Q1052" s="450"/>
      <c r="R1052" s="450"/>
      <c r="S1052" s="449" t="s">
        <v>765</v>
      </c>
      <c r="T1052" s="449" t="s">
        <v>849</v>
      </c>
      <c r="U1052" s="452">
        <v>0</v>
      </c>
      <c r="V10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2" s="272" t="str">
        <f>IFERROR(SUMIFS(TransUnitCost[Miles],TransUnitCost[Grouping_ID],TransTonsShort[[#This Row],[Grouping_ID]],TransUnitCost[Transp_ID],TransTonsShort[[#This Row],[Transp_ID]])*TransTonsShort[[#This Row],[Trans_Tons_All]]/TransTonsShort[[#This Row],[Trans_Tons_All]],"")</f>
        <v/>
      </c>
      <c r="X1052" s="386" t="str">
        <f>TransTonsShort[[#This Row],[Grouping_ID]]&amp;"-"&amp;TransTonsShort[[#This Row],[Sector_ID]]</f>
        <v>2-4</v>
      </c>
      <c r="Y10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2" s="421">
        <f>INDEX(LandfillFees[Disposal Tip Fee 2025],MATCH(TransTonsShort[[#This Row],[Grouping_ID]],LandfillFees[Grouping_ID],0))</f>
        <v>72.030938699729589</v>
      </c>
      <c r="AA1052" s="102">
        <f>IF(OR(TransTonsShort[[#This Row],[CollectionStream_ID]]="03",TransTonsShort[[#This Row],[CollectionStream_ID]]="04",TransTonsShort[[#This Row],[CollectionStream_ID]]="13"),0,TransTonsShort[[#This Row],[Trans_Tons_All]]*TransTonsShort[[#This Row],[Disposal_Fee]])</f>
        <v>0</v>
      </c>
    </row>
    <row r="1053" spans="12:27" ht="15" x14ac:dyDescent="0.25">
      <c r="L1053" s="446" t="s">
        <v>875</v>
      </c>
      <c r="M1053" s="446">
        <v>3</v>
      </c>
      <c r="N1053" s="446">
        <v>4</v>
      </c>
      <c r="O1053" s="446" t="s">
        <v>748</v>
      </c>
      <c r="P1053" s="450" t="s">
        <v>748</v>
      </c>
      <c r="Q1053" s="450"/>
      <c r="R1053" s="450"/>
      <c r="S1053" s="449" t="s">
        <v>765</v>
      </c>
      <c r="T1053" s="449" t="s">
        <v>849</v>
      </c>
      <c r="U1053" s="452">
        <v>0</v>
      </c>
      <c r="V10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3" s="272" t="str">
        <f>IFERROR(SUMIFS(TransUnitCost[Miles],TransUnitCost[Grouping_ID],TransTonsShort[[#This Row],[Grouping_ID]],TransUnitCost[Transp_ID],TransTonsShort[[#This Row],[Transp_ID]])*TransTonsShort[[#This Row],[Trans_Tons_All]]/TransTonsShort[[#This Row],[Trans_Tons_All]],"")</f>
        <v/>
      </c>
      <c r="X1053" s="386" t="str">
        <f>TransTonsShort[[#This Row],[Grouping_ID]]&amp;"-"&amp;TransTonsShort[[#This Row],[Sector_ID]]</f>
        <v>3-4</v>
      </c>
      <c r="Y10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3" s="421">
        <f>INDEX(LandfillFees[Disposal Tip Fee 2025],MATCH(TransTonsShort[[#This Row],[Grouping_ID]],LandfillFees[Grouping_ID],0))</f>
        <v>72.030938699729589</v>
      </c>
      <c r="AA1053" s="102">
        <f>IF(OR(TransTonsShort[[#This Row],[CollectionStream_ID]]="03",TransTonsShort[[#This Row],[CollectionStream_ID]]="04",TransTonsShort[[#This Row],[CollectionStream_ID]]="13"),0,TransTonsShort[[#This Row],[Trans_Tons_All]]*TransTonsShort[[#This Row],[Disposal_Fee]])</f>
        <v>0</v>
      </c>
    </row>
    <row r="1054" spans="12:27" ht="15" x14ac:dyDescent="0.25">
      <c r="L1054" s="446" t="s">
        <v>875</v>
      </c>
      <c r="M1054" s="446">
        <v>4</v>
      </c>
      <c r="N1054" s="446">
        <v>4</v>
      </c>
      <c r="O1054" s="446" t="s">
        <v>748</v>
      </c>
      <c r="P1054" s="450" t="s">
        <v>748</v>
      </c>
      <c r="Q1054" s="450"/>
      <c r="R1054" s="450"/>
      <c r="S1054" s="449" t="s">
        <v>765</v>
      </c>
      <c r="T1054" s="449" t="s">
        <v>849</v>
      </c>
      <c r="U1054" s="452">
        <v>0</v>
      </c>
      <c r="V10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4" s="272" t="str">
        <f>IFERROR(SUMIFS(TransUnitCost[Miles],TransUnitCost[Grouping_ID],TransTonsShort[[#This Row],[Grouping_ID]],TransUnitCost[Transp_ID],TransTonsShort[[#This Row],[Transp_ID]])*TransTonsShort[[#This Row],[Trans_Tons_All]]/TransTonsShort[[#This Row],[Trans_Tons_All]],"")</f>
        <v/>
      </c>
      <c r="X1054" s="386" t="str">
        <f>TransTonsShort[[#This Row],[Grouping_ID]]&amp;"-"&amp;TransTonsShort[[#This Row],[Sector_ID]]</f>
        <v>4-4</v>
      </c>
      <c r="Y10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4" s="421">
        <f>INDEX(LandfillFees[Disposal Tip Fee 2025],MATCH(TransTonsShort[[#This Row],[Grouping_ID]],LandfillFees[Grouping_ID],0))</f>
        <v>72.030938699729589</v>
      </c>
      <c r="AA1054" s="102">
        <f>IF(OR(TransTonsShort[[#This Row],[CollectionStream_ID]]="03",TransTonsShort[[#This Row],[CollectionStream_ID]]="04",TransTonsShort[[#This Row],[CollectionStream_ID]]="13"),0,TransTonsShort[[#This Row],[Trans_Tons_All]]*TransTonsShort[[#This Row],[Disposal_Fee]])</f>
        <v>0</v>
      </c>
    </row>
    <row r="1055" spans="12:27" ht="15" x14ac:dyDescent="0.25">
      <c r="L1055" s="446" t="s">
        <v>875</v>
      </c>
      <c r="M1055" s="446">
        <v>1</v>
      </c>
      <c r="N1055" s="446">
        <v>4</v>
      </c>
      <c r="O1055" s="446" t="s">
        <v>746</v>
      </c>
      <c r="P1055" s="449" t="s">
        <v>719</v>
      </c>
      <c r="Q1055" s="449"/>
      <c r="R1055" s="449"/>
      <c r="S1055" s="449" t="s">
        <v>762</v>
      </c>
      <c r="T1055" s="449" t="s">
        <v>1055</v>
      </c>
      <c r="U1055" s="452">
        <v>0</v>
      </c>
      <c r="V10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5" s="272" t="str">
        <f>IFERROR(SUMIFS(TransUnitCost[Miles],TransUnitCost[Grouping_ID],TransTonsShort[[#This Row],[Grouping_ID]],TransUnitCost[Transp_ID],TransTonsShort[[#This Row],[Transp_ID]])*TransTonsShort[[#This Row],[Trans_Tons_All]]/TransTonsShort[[#This Row],[Trans_Tons_All]],"")</f>
        <v/>
      </c>
      <c r="X1055" s="386" t="str">
        <f>TransTonsShort[[#This Row],[Grouping_ID]]&amp;"-"&amp;TransTonsShort[[#This Row],[Sector_ID]]</f>
        <v>1-4</v>
      </c>
      <c r="Y10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5" s="421">
        <f>INDEX(LandfillFees[Disposal Tip Fee 2025],MATCH(TransTonsShort[[#This Row],[Grouping_ID]],LandfillFees[Grouping_ID],0))</f>
        <v>134.68</v>
      </c>
      <c r="AA1055" s="102">
        <f>IF(OR(TransTonsShort[[#This Row],[CollectionStream_ID]]="03",TransTonsShort[[#This Row],[CollectionStream_ID]]="04",TransTonsShort[[#This Row],[CollectionStream_ID]]="13"),0,TransTonsShort[[#This Row],[Trans_Tons_All]]*TransTonsShort[[#This Row],[Disposal_Fee]])</f>
        <v>0</v>
      </c>
    </row>
    <row r="1056" spans="12:27" ht="15" x14ac:dyDescent="0.25">
      <c r="L1056" s="446" t="s">
        <v>875</v>
      </c>
      <c r="M1056" s="446">
        <v>2</v>
      </c>
      <c r="N1056" s="446">
        <v>4</v>
      </c>
      <c r="O1056" s="446" t="s">
        <v>746</v>
      </c>
      <c r="P1056" s="449" t="s">
        <v>719</v>
      </c>
      <c r="Q1056" s="449"/>
      <c r="R1056" s="449"/>
      <c r="S1056" s="449" t="s">
        <v>762</v>
      </c>
      <c r="T1056" s="449" t="s">
        <v>1055</v>
      </c>
      <c r="U1056" s="452">
        <v>0</v>
      </c>
      <c r="V10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6" s="272" t="str">
        <f>IFERROR(SUMIFS(TransUnitCost[Miles],TransUnitCost[Grouping_ID],TransTonsShort[[#This Row],[Grouping_ID]],TransUnitCost[Transp_ID],TransTonsShort[[#This Row],[Transp_ID]])*TransTonsShort[[#This Row],[Trans_Tons_All]]/TransTonsShort[[#This Row],[Trans_Tons_All]],"")</f>
        <v/>
      </c>
      <c r="X1056" s="386" t="str">
        <f>TransTonsShort[[#This Row],[Grouping_ID]]&amp;"-"&amp;TransTonsShort[[#This Row],[Sector_ID]]</f>
        <v>2-4</v>
      </c>
      <c r="Y10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6" s="421">
        <f>INDEX(LandfillFees[Disposal Tip Fee 2025],MATCH(TransTonsShort[[#This Row],[Grouping_ID]],LandfillFees[Grouping_ID],0))</f>
        <v>72.030938699729589</v>
      </c>
      <c r="AA1056" s="102">
        <f>IF(OR(TransTonsShort[[#This Row],[CollectionStream_ID]]="03",TransTonsShort[[#This Row],[CollectionStream_ID]]="04",TransTonsShort[[#This Row],[CollectionStream_ID]]="13"),0,TransTonsShort[[#This Row],[Trans_Tons_All]]*TransTonsShort[[#This Row],[Disposal_Fee]])</f>
        <v>0</v>
      </c>
    </row>
    <row r="1057" spans="12:27" ht="15" x14ac:dyDescent="0.25">
      <c r="L1057" s="446" t="s">
        <v>875</v>
      </c>
      <c r="M1057" s="446">
        <v>3</v>
      </c>
      <c r="N1057" s="446">
        <v>4</v>
      </c>
      <c r="O1057" s="446" t="s">
        <v>746</v>
      </c>
      <c r="P1057" s="449" t="s">
        <v>719</v>
      </c>
      <c r="Q1057" s="449"/>
      <c r="R1057" s="449"/>
      <c r="S1057" s="449" t="s">
        <v>762</v>
      </c>
      <c r="T1057" s="449" t="s">
        <v>1055</v>
      </c>
      <c r="U1057" s="452">
        <v>0</v>
      </c>
      <c r="V10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7" s="272" t="str">
        <f>IFERROR(SUMIFS(TransUnitCost[Miles],TransUnitCost[Grouping_ID],TransTonsShort[[#This Row],[Grouping_ID]],TransUnitCost[Transp_ID],TransTonsShort[[#This Row],[Transp_ID]])*TransTonsShort[[#This Row],[Trans_Tons_All]]/TransTonsShort[[#This Row],[Trans_Tons_All]],"")</f>
        <v/>
      </c>
      <c r="X1057" s="386" t="str">
        <f>TransTonsShort[[#This Row],[Grouping_ID]]&amp;"-"&amp;TransTonsShort[[#This Row],[Sector_ID]]</f>
        <v>3-4</v>
      </c>
      <c r="Y10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7" s="421">
        <f>INDEX(LandfillFees[Disposal Tip Fee 2025],MATCH(TransTonsShort[[#This Row],[Grouping_ID]],LandfillFees[Grouping_ID],0))</f>
        <v>72.030938699729589</v>
      </c>
      <c r="AA1057" s="102">
        <f>IF(OR(TransTonsShort[[#This Row],[CollectionStream_ID]]="03",TransTonsShort[[#This Row],[CollectionStream_ID]]="04",TransTonsShort[[#This Row],[CollectionStream_ID]]="13"),0,TransTonsShort[[#This Row],[Trans_Tons_All]]*TransTonsShort[[#This Row],[Disposal_Fee]])</f>
        <v>0</v>
      </c>
    </row>
    <row r="1058" spans="12:27" ht="15" x14ac:dyDescent="0.25">
      <c r="L1058" s="446" t="s">
        <v>875</v>
      </c>
      <c r="M1058" s="446">
        <v>4</v>
      </c>
      <c r="N1058" s="446">
        <v>4</v>
      </c>
      <c r="O1058" s="446" t="s">
        <v>746</v>
      </c>
      <c r="P1058" s="449" t="s">
        <v>719</v>
      </c>
      <c r="Q1058" s="449"/>
      <c r="R1058" s="449"/>
      <c r="S1058" s="449" t="s">
        <v>762</v>
      </c>
      <c r="T1058" s="449" t="s">
        <v>1055</v>
      </c>
      <c r="U1058" s="452">
        <v>0</v>
      </c>
      <c r="V10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8" s="272" t="str">
        <f>IFERROR(SUMIFS(TransUnitCost[Miles],TransUnitCost[Grouping_ID],TransTonsShort[[#This Row],[Grouping_ID]],TransUnitCost[Transp_ID],TransTonsShort[[#This Row],[Transp_ID]])*TransTonsShort[[#This Row],[Trans_Tons_All]]/TransTonsShort[[#This Row],[Trans_Tons_All]],"")</f>
        <v/>
      </c>
      <c r="X1058" s="386" t="str">
        <f>TransTonsShort[[#This Row],[Grouping_ID]]&amp;"-"&amp;TransTonsShort[[#This Row],[Sector_ID]]</f>
        <v>4-4</v>
      </c>
      <c r="Y10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8" s="421">
        <f>INDEX(LandfillFees[Disposal Tip Fee 2025],MATCH(TransTonsShort[[#This Row],[Grouping_ID]],LandfillFees[Grouping_ID],0))</f>
        <v>72.030938699729589</v>
      </c>
      <c r="AA1058" s="102">
        <f>IF(OR(TransTonsShort[[#This Row],[CollectionStream_ID]]="03",TransTonsShort[[#This Row],[CollectionStream_ID]]="04",TransTonsShort[[#This Row],[CollectionStream_ID]]="13"),0,TransTonsShort[[#This Row],[Trans_Tons_All]]*TransTonsShort[[#This Row],[Disposal_Fee]])</f>
        <v>0</v>
      </c>
    </row>
    <row r="1059" spans="12:27" ht="15" x14ac:dyDescent="0.25">
      <c r="L1059" s="446" t="s">
        <v>875</v>
      </c>
      <c r="M1059" s="446">
        <v>1</v>
      </c>
      <c r="N1059" s="446">
        <v>4</v>
      </c>
      <c r="O1059" s="446" t="s">
        <v>746</v>
      </c>
      <c r="P1059" s="449" t="s">
        <v>700</v>
      </c>
      <c r="Q1059" s="449"/>
      <c r="R1059" s="449"/>
      <c r="S1059" s="449" t="s">
        <v>762</v>
      </c>
      <c r="T1059" s="449" t="s">
        <v>701</v>
      </c>
      <c r="U1059" s="452">
        <v>0</v>
      </c>
      <c r="V10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59" s="272" t="str">
        <f>IFERROR(SUMIFS(TransUnitCost[Miles],TransUnitCost[Grouping_ID],TransTonsShort[[#This Row],[Grouping_ID]],TransUnitCost[Transp_ID],TransTonsShort[[#This Row],[Transp_ID]])*TransTonsShort[[#This Row],[Trans_Tons_All]]/TransTonsShort[[#This Row],[Trans_Tons_All]],"")</f>
        <v/>
      </c>
      <c r="X1059" s="386" t="str">
        <f>TransTonsShort[[#This Row],[Grouping_ID]]&amp;"-"&amp;TransTonsShort[[#This Row],[Sector_ID]]</f>
        <v>1-4</v>
      </c>
      <c r="Y10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59" s="421">
        <f>INDEX(LandfillFees[Disposal Tip Fee 2025],MATCH(TransTonsShort[[#This Row],[Grouping_ID]],LandfillFees[Grouping_ID],0))</f>
        <v>134.68</v>
      </c>
      <c r="AA1059" s="102">
        <f>IF(OR(TransTonsShort[[#This Row],[CollectionStream_ID]]="03",TransTonsShort[[#This Row],[CollectionStream_ID]]="04",TransTonsShort[[#This Row],[CollectionStream_ID]]="13"),0,TransTonsShort[[#This Row],[Trans_Tons_All]]*TransTonsShort[[#This Row],[Disposal_Fee]])</f>
        <v>0</v>
      </c>
    </row>
    <row r="1060" spans="12:27" ht="15" x14ac:dyDescent="0.25">
      <c r="L1060" s="446" t="s">
        <v>875</v>
      </c>
      <c r="M1060" s="446">
        <v>2</v>
      </c>
      <c r="N1060" s="446">
        <v>4</v>
      </c>
      <c r="O1060" s="446" t="s">
        <v>746</v>
      </c>
      <c r="P1060" s="449" t="s">
        <v>700</v>
      </c>
      <c r="Q1060" s="449"/>
      <c r="R1060" s="449"/>
      <c r="S1060" s="449" t="s">
        <v>762</v>
      </c>
      <c r="T1060" s="449" t="s">
        <v>701</v>
      </c>
      <c r="U1060" s="452">
        <v>0</v>
      </c>
      <c r="V10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0" s="272" t="str">
        <f>IFERROR(SUMIFS(TransUnitCost[Miles],TransUnitCost[Grouping_ID],TransTonsShort[[#This Row],[Grouping_ID]],TransUnitCost[Transp_ID],TransTonsShort[[#This Row],[Transp_ID]])*TransTonsShort[[#This Row],[Trans_Tons_All]]/TransTonsShort[[#This Row],[Trans_Tons_All]],"")</f>
        <v/>
      </c>
      <c r="X1060" s="386" t="str">
        <f>TransTonsShort[[#This Row],[Grouping_ID]]&amp;"-"&amp;TransTonsShort[[#This Row],[Sector_ID]]</f>
        <v>2-4</v>
      </c>
      <c r="Y10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0" s="421">
        <f>INDEX(LandfillFees[Disposal Tip Fee 2025],MATCH(TransTonsShort[[#This Row],[Grouping_ID]],LandfillFees[Grouping_ID],0))</f>
        <v>72.030938699729589</v>
      </c>
      <c r="AA1060" s="102">
        <f>IF(OR(TransTonsShort[[#This Row],[CollectionStream_ID]]="03",TransTonsShort[[#This Row],[CollectionStream_ID]]="04",TransTonsShort[[#This Row],[CollectionStream_ID]]="13"),0,TransTonsShort[[#This Row],[Trans_Tons_All]]*TransTonsShort[[#This Row],[Disposal_Fee]])</f>
        <v>0</v>
      </c>
    </row>
    <row r="1061" spans="12:27" ht="15" x14ac:dyDescent="0.25">
      <c r="L1061" s="446" t="s">
        <v>875</v>
      </c>
      <c r="M1061" s="446">
        <v>3</v>
      </c>
      <c r="N1061" s="446">
        <v>4</v>
      </c>
      <c r="O1061" s="446" t="s">
        <v>746</v>
      </c>
      <c r="P1061" s="449" t="s">
        <v>700</v>
      </c>
      <c r="Q1061" s="449"/>
      <c r="R1061" s="449"/>
      <c r="S1061" s="449" t="s">
        <v>762</v>
      </c>
      <c r="T1061" s="449" t="s">
        <v>701</v>
      </c>
      <c r="U1061" s="452">
        <v>0</v>
      </c>
      <c r="V10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1" s="272" t="str">
        <f>IFERROR(SUMIFS(TransUnitCost[Miles],TransUnitCost[Grouping_ID],TransTonsShort[[#This Row],[Grouping_ID]],TransUnitCost[Transp_ID],TransTonsShort[[#This Row],[Transp_ID]])*TransTonsShort[[#This Row],[Trans_Tons_All]]/TransTonsShort[[#This Row],[Trans_Tons_All]],"")</f>
        <v/>
      </c>
      <c r="X1061" s="386" t="str">
        <f>TransTonsShort[[#This Row],[Grouping_ID]]&amp;"-"&amp;TransTonsShort[[#This Row],[Sector_ID]]</f>
        <v>3-4</v>
      </c>
      <c r="Y10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1" s="421">
        <f>INDEX(LandfillFees[Disposal Tip Fee 2025],MATCH(TransTonsShort[[#This Row],[Grouping_ID]],LandfillFees[Grouping_ID],0))</f>
        <v>72.030938699729589</v>
      </c>
      <c r="AA1061" s="102">
        <f>IF(OR(TransTonsShort[[#This Row],[CollectionStream_ID]]="03",TransTonsShort[[#This Row],[CollectionStream_ID]]="04",TransTonsShort[[#This Row],[CollectionStream_ID]]="13"),0,TransTonsShort[[#This Row],[Trans_Tons_All]]*TransTonsShort[[#This Row],[Disposal_Fee]])</f>
        <v>0</v>
      </c>
    </row>
    <row r="1062" spans="12:27" ht="15" x14ac:dyDescent="0.25">
      <c r="L1062" s="446" t="s">
        <v>875</v>
      </c>
      <c r="M1062" s="446">
        <v>4</v>
      </c>
      <c r="N1062" s="446">
        <v>4</v>
      </c>
      <c r="O1062" s="446" t="s">
        <v>746</v>
      </c>
      <c r="P1062" s="449" t="s">
        <v>700</v>
      </c>
      <c r="Q1062" s="449"/>
      <c r="R1062" s="449"/>
      <c r="S1062" s="449" t="s">
        <v>762</v>
      </c>
      <c r="T1062" s="449" t="s">
        <v>701</v>
      </c>
      <c r="U1062" s="452">
        <v>0</v>
      </c>
      <c r="V10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2" s="272" t="str">
        <f>IFERROR(SUMIFS(TransUnitCost[Miles],TransUnitCost[Grouping_ID],TransTonsShort[[#This Row],[Grouping_ID]],TransUnitCost[Transp_ID],TransTonsShort[[#This Row],[Transp_ID]])*TransTonsShort[[#This Row],[Trans_Tons_All]]/TransTonsShort[[#This Row],[Trans_Tons_All]],"")</f>
        <v/>
      </c>
      <c r="X1062" s="386" t="str">
        <f>TransTonsShort[[#This Row],[Grouping_ID]]&amp;"-"&amp;TransTonsShort[[#This Row],[Sector_ID]]</f>
        <v>4-4</v>
      </c>
      <c r="Y10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2" s="421">
        <f>INDEX(LandfillFees[Disposal Tip Fee 2025],MATCH(TransTonsShort[[#This Row],[Grouping_ID]],LandfillFees[Grouping_ID],0))</f>
        <v>72.030938699729589</v>
      </c>
      <c r="AA1062" s="102">
        <f>IF(OR(TransTonsShort[[#This Row],[CollectionStream_ID]]="03",TransTonsShort[[#This Row],[CollectionStream_ID]]="04",TransTonsShort[[#This Row],[CollectionStream_ID]]="13"),0,TransTonsShort[[#This Row],[Trans_Tons_All]]*TransTonsShort[[#This Row],[Disposal_Fee]])</f>
        <v>0</v>
      </c>
    </row>
    <row r="1063" spans="12:27" ht="15" x14ac:dyDescent="0.25">
      <c r="L1063" s="446" t="s">
        <v>875</v>
      </c>
      <c r="M1063" s="446">
        <v>1</v>
      </c>
      <c r="N1063" s="446">
        <v>4</v>
      </c>
      <c r="O1063" s="446" t="s">
        <v>746</v>
      </c>
      <c r="P1063" s="449" t="s">
        <v>746</v>
      </c>
      <c r="Q1063" s="449"/>
      <c r="R1063" s="449"/>
      <c r="S1063" s="449" t="s">
        <v>762</v>
      </c>
      <c r="T1063" s="449" t="s">
        <v>848</v>
      </c>
      <c r="U1063" s="452">
        <v>0</v>
      </c>
      <c r="V10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3" s="272" t="str">
        <f>IFERROR(SUMIFS(TransUnitCost[Miles],TransUnitCost[Grouping_ID],TransTonsShort[[#This Row],[Grouping_ID]],TransUnitCost[Transp_ID],TransTonsShort[[#This Row],[Transp_ID]])*TransTonsShort[[#This Row],[Trans_Tons_All]]/TransTonsShort[[#This Row],[Trans_Tons_All]],"")</f>
        <v/>
      </c>
      <c r="X1063" s="386" t="str">
        <f>TransTonsShort[[#This Row],[Grouping_ID]]&amp;"-"&amp;TransTonsShort[[#This Row],[Sector_ID]]</f>
        <v>1-4</v>
      </c>
      <c r="Y10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3" s="421">
        <f>INDEX(LandfillFees[Disposal Tip Fee 2025],MATCH(TransTonsShort[[#This Row],[Grouping_ID]],LandfillFees[Grouping_ID],0))</f>
        <v>134.68</v>
      </c>
      <c r="AA1063" s="102">
        <f>IF(OR(TransTonsShort[[#This Row],[CollectionStream_ID]]="03",TransTonsShort[[#This Row],[CollectionStream_ID]]="04",TransTonsShort[[#This Row],[CollectionStream_ID]]="13"),0,TransTonsShort[[#This Row],[Trans_Tons_All]]*TransTonsShort[[#This Row],[Disposal_Fee]])</f>
        <v>0</v>
      </c>
    </row>
    <row r="1064" spans="12:27" ht="15" x14ac:dyDescent="0.25">
      <c r="L1064" s="446" t="s">
        <v>875</v>
      </c>
      <c r="M1064" s="446">
        <v>2</v>
      </c>
      <c r="N1064" s="446">
        <v>4</v>
      </c>
      <c r="O1064" s="446" t="s">
        <v>746</v>
      </c>
      <c r="P1064" s="449" t="s">
        <v>746</v>
      </c>
      <c r="Q1064" s="449"/>
      <c r="R1064" s="449"/>
      <c r="S1064" s="449" t="s">
        <v>762</v>
      </c>
      <c r="T1064" s="449" t="s">
        <v>848</v>
      </c>
      <c r="U1064" s="452">
        <v>0</v>
      </c>
      <c r="V10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4" s="272" t="str">
        <f>IFERROR(SUMIFS(TransUnitCost[Miles],TransUnitCost[Grouping_ID],TransTonsShort[[#This Row],[Grouping_ID]],TransUnitCost[Transp_ID],TransTonsShort[[#This Row],[Transp_ID]])*TransTonsShort[[#This Row],[Trans_Tons_All]]/TransTonsShort[[#This Row],[Trans_Tons_All]],"")</f>
        <v/>
      </c>
      <c r="X1064" s="386" t="str">
        <f>TransTonsShort[[#This Row],[Grouping_ID]]&amp;"-"&amp;TransTonsShort[[#This Row],[Sector_ID]]</f>
        <v>2-4</v>
      </c>
      <c r="Y10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4" s="421">
        <f>INDEX(LandfillFees[Disposal Tip Fee 2025],MATCH(TransTonsShort[[#This Row],[Grouping_ID]],LandfillFees[Grouping_ID],0))</f>
        <v>72.030938699729589</v>
      </c>
      <c r="AA1064" s="102">
        <f>IF(OR(TransTonsShort[[#This Row],[CollectionStream_ID]]="03",TransTonsShort[[#This Row],[CollectionStream_ID]]="04",TransTonsShort[[#This Row],[CollectionStream_ID]]="13"),0,TransTonsShort[[#This Row],[Trans_Tons_All]]*TransTonsShort[[#This Row],[Disposal_Fee]])</f>
        <v>0</v>
      </c>
    </row>
    <row r="1065" spans="12:27" ht="15" x14ac:dyDescent="0.25">
      <c r="L1065" s="446" t="s">
        <v>875</v>
      </c>
      <c r="M1065" s="446">
        <v>3</v>
      </c>
      <c r="N1065" s="446">
        <v>4</v>
      </c>
      <c r="O1065" s="446" t="s">
        <v>746</v>
      </c>
      <c r="P1065" s="449" t="s">
        <v>746</v>
      </c>
      <c r="Q1065" s="449"/>
      <c r="R1065" s="449"/>
      <c r="S1065" s="449" t="s">
        <v>762</v>
      </c>
      <c r="T1065" s="449" t="s">
        <v>848</v>
      </c>
      <c r="U1065" s="452">
        <v>0</v>
      </c>
      <c r="V10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5" s="272" t="str">
        <f>IFERROR(SUMIFS(TransUnitCost[Miles],TransUnitCost[Grouping_ID],TransTonsShort[[#This Row],[Grouping_ID]],TransUnitCost[Transp_ID],TransTonsShort[[#This Row],[Transp_ID]])*TransTonsShort[[#This Row],[Trans_Tons_All]]/TransTonsShort[[#This Row],[Trans_Tons_All]],"")</f>
        <v/>
      </c>
      <c r="X1065" s="386" t="str">
        <f>TransTonsShort[[#This Row],[Grouping_ID]]&amp;"-"&amp;TransTonsShort[[#This Row],[Sector_ID]]</f>
        <v>3-4</v>
      </c>
      <c r="Y10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5" s="421">
        <f>INDEX(LandfillFees[Disposal Tip Fee 2025],MATCH(TransTonsShort[[#This Row],[Grouping_ID]],LandfillFees[Grouping_ID],0))</f>
        <v>72.030938699729589</v>
      </c>
      <c r="AA1065" s="102">
        <f>IF(OR(TransTonsShort[[#This Row],[CollectionStream_ID]]="03",TransTonsShort[[#This Row],[CollectionStream_ID]]="04",TransTonsShort[[#This Row],[CollectionStream_ID]]="13"),0,TransTonsShort[[#This Row],[Trans_Tons_All]]*TransTonsShort[[#This Row],[Disposal_Fee]])</f>
        <v>0</v>
      </c>
    </row>
    <row r="1066" spans="12:27" ht="15" x14ac:dyDescent="0.25">
      <c r="L1066" s="446" t="s">
        <v>875</v>
      </c>
      <c r="M1066" s="446">
        <v>4</v>
      </c>
      <c r="N1066" s="446">
        <v>4</v>
      </c>
      <c r="O1066" s="446" t="s">
        <v>746</v>
      </c>
      <c r="P1066" s="449" t="s">
        <v>746</v>
      </c>
      <c r="Q1066" s="449"/>
      <c r="R1066" s="449"/>
      <c r="S1066" s="449" t="s">
        <v>762</v>
      </c>
      <c r="T1066" s="449" t="s">
        <v>848</v>
      </c>
      <c r="U1066" s="452">
        <v>0</v>
      </c>
      <c r="V10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6" s="272" t="str">
        <f>IFERROR(SUMIFS(TransUnitCost[Miles],TransUnitCost[Grouping_ID],TransTonsShort[[#This Row],[Grouping_ID]],TransUnitCost[Transp_ID],TransTonsShort[[#This Row],[Transp_ID]])*TransTonsShort[[#This Row],[Trans_Tons_All]]/TransTonsShort[[#This Row],[Trans_Tons_All]],"")</f>
        <v/>
      </c>
      <c r="X1066" s="386" t="str">
        <f>TransTonsShort[[#This Row],[Grouping_ID]]&amp;"-"&amp;TransTonsShort[[#This Row],[Sector_ID]]</f>
        <v>4-4</v>
      </c>
      <c r="Y10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66" s="421">
        <f>INDEX(LandfillFees[Disposal Tip Fee 2025],MATCH(TransTonsShort[[#This Row],[Grouping_ID]],LandfillFees[Grouping_ID],0))</f>
        <v>72.030938699729589</v>
      </c>
      <c r="AA1066" s="102">
        <f>IF(OR(TransTonsShort[[#This Row],[CollectionStream_ID]]="03",TransTonsShort[[#This Row],[CollectionStream_ID]]="04",TransTonsShort[[#This Row],[CollectionStream_ID]]="13"),0,TransTonsShort[[#This Row],[Trans_Tons_All]]*TransTonsShort[[#This Row],[Disposal_Fee]])</f>
        <v>0</v>
      </c>
    </row>
    <row r="1067" spans="12:27" ht="15" x14ac:dyDescent="0.25">
      <c r="L1067" s="446" t="s">
        <v>875</v>
      </c>
      <c r="M1067" s="446">
        <v>1</v>
      </c>
      <c r="N1067" s="446">
        <v>4</v>
      </c>
      <c r="O1067" s="446" t="s">
        <v>706</v>
      </c>
      <c r="P1067" s="449" t="s">
        <v>739</v>
      </c>
      <c r="Q1067" s="449"/>
      <c r="R1067" s="449"/>
      <c r="S1067" s="449" t="s">
        <v>707</v>
      </c>
      <c r="T1067" s="449" t="s">
        <v>1121</v>
      </c>
      <c r="U1067" s="452">
        <v>0</v>
      </c>
      <c r="V10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67" s="272" t="str">
        <f>IFERROR(SUMIFS(TransUnitCost[Miles],TransUnitCost[Grouping_ID],TransTonsShort[[#This Row],[Grouping_ID]],TransUnitCost[Transp_ID],TransTonsShort[[#This Row],[Transp_ID]])*TransTonsShort[[#This Row],[Trans_Tons_All]]/TransTonsShort[[#This Row],[Trans_Tons_All]],"")</f>
        <v/>
      </c>
      <c r="X1067" s="386" t="str">
        <f>TransTonsShort[[#This Row],[Grouping_ID]]&amp;"-"&amp;TransTonsShort[[#This Row],[Sector_ID]]</f>
        <v>1-4</v>
      </c>
      <c r="Y10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67" s="421">
        <f>INDEX(LandfillFees[Disposal Tip Fee 2025],MATCH(TransTonsShort[[#This Row],[Grouping_ID]],LandfillFees[Grouping_ID],0))</f>
        <v>134.68</v>
      </c>
      <c r="AA1067" s="102">
        <f>IF(OR(TransTonsShort[[#This Row],[CollectionStream_ID]]="03",TransTonsShort[[#This Row],[CollectionStream_ID]]="04",TransTonsShort[[#This Row],[CollectionStream_ID]]="13"),0,TransTonsShort[[#This Row],[Trans_Tons_All]]*TransTonsShort[[#This Row],[Disposal_Fee]])</f>
        <v>0</v>
      </c>
    </row>
    <row r="1068" spans="12:27" ht="15" x14ac:dyDescent="0.25">
      <c r="L1068" s="446" t="s">
        <v>875</v>
      </c>
      <c r="M1068" s="446">
        <v>2</v>
      </c>
      <c r="N1068" s="446">
        <v>4</v>
      </c>
      <c r="O1068" s="446" t="s">
        <v>706</v>
      </c>
      <c r="P1068" s="449" t="s">
        <v>739</v>
      </c>
      <c r="Q1068" s="449"/>
      <c r="R1068" s="449"/>
      <c r="S1068" s="449" t="s">
        <v>707</v>
      </c>
      <c r="T1068" s="449" t="s">
        <v>1121</v>
      </c>
      <c r="U1068" s="452">
        <v>3686.5693753982687</v>
      </c>
      <c r="V10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152255.3152039485</v>
      </c>
      <c r="W1068" s="272">
        <f>IFERROR(SUMIFS(TransUnitCost[Miles],TransUnitCost[Grouping_ID],TransTonsShort[[#This Row],[Grouping_ID]],TransUnitCost[Transp_ID],TransTonsShort[[#This Row],[Transp_ID]])*TransTonsShort[[#This Row],[Trans_Tons_All]]/TransTonsShort[[#This Row],[Trans_Tons_All]],"")</f>
        <v>70</v>
      </c>
      <c r="X1068" s="386" t="str">
        <f>TransTonsShort[[#This Row],[Grouping_ID]]&amp;"-"&amp;TransTonsShort[[#This Row],[Sector_ID]]</f>
        <v>2-4</v>
      </c>
      <c r="Y10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68" s="421">
        <f>INDEX(LandfillFees[Disposal Tip Fee 2025],MATCH(TransTonsShort[[#This Row],[Grouping_ID]],LandfillFees[Grouping_ID],0))</f>
        <v>72.030938699729589</v>
      </c>
      <c r="AA1068" s="102">
        <f>IF(OR(TransTonsShort[[#This Row],[CollectionStream_ID]]="03",TransTonsShort[[#This Row],[CollectionStream_ID]]="04",TransTonsShort[[#This Row],[CollectionStream_ID]]="13"),0,TransTonsShort[[#This Row],[Trans_Tons_All]]*TransTonsShort[[#This Row],[Disposal_Fee]])</f>
        <v>265547.05269161309</v>
      </c>
    </row>
    <row r="1069" spans="12:27" ht="15" x14ac:dyDescent="0.25">
      <c r="L1069" s="446" t="s">
        <v>875</v>
      </c>
      <c r="M1069" s="446">
        <v>3</v>
      </c>
      <c r="N1069" s="446">
        <v>4</v>
      </c>
      <c r="O1069" s="446" t="s">
        <v>706</v>
      </c>
      <c r="P1069" s="449" t="s">
        <v>739</v>
      </c>
      <c r="Q1069" s="449"/>
      <c r="R1069" s="449"/>
      <c r="S1069" s="449" t="s">
        <v>707</v>
      </c>
      <c r="T1069" s="449" t="s">
        <v>1121</v>
      </c>
      <c r="U1069" s="452">
        <v>2275.6733198532652</v>
      </c>
      <c r="V10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81924.239514717541</v>
      </c>
      <c r="W1069" s="272">
        <f>IFERROR(SUMIFS(TransUnitCost[Miles],TransUnitCost[Grouping_ID],TransTonsShort[[#This Row],[Grouping_ID]],TransUnitCost[Transp_ID],TransTonsShort[[#This Row],[Transp_ID]])*TransTonsShort[[#This Row],[Trans_Tons_All]]/TransTonsShort[[#This Row],[Trans_Tons_All]],"")</f>
        <v>150</v>
      </c>
      <c r="X1069" s="386" t="str">
        <f>TransTonsShort[[#This Row],[Grouping_ID]]&amp;"-"&amp;TransTonsShort[[#This Row],[Sector_ID]]</f>
        <v>3-4</v>
      </c>
      <c r="Y10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69" s="421">
        <f>INDEX(LandfillFees[Disposal Tip Fee 2025],MATCH(TransTonsShort[[#This Row],[Grouping_ID]],LandfillFees[Grouping_ID],0))</f>
        <v>72.030938699729589</v>
      </c>
      <c r="AA1069" s="102">
        <f>IF(OR(TransTonsShort[[#This Row],[CollectionStream_ID]]="03",TransTonsShort[[#This Row],[CollectionStream_ID]]="04",TransTonsShort[[#This Row],[CollectionStream_ID]]="13"),0,TransTonsShort[[#This Row],[Trans_Tons_All]]*TransTonsShort[[#This Row],[Disposal_Fee]])</f>
        <v>163918.88540296067</v>
      </c>
    </row>
    <row r="1070" spans="12:27" ht="15" x14ac:dyDescent="0.25">
      <c r="L1070" s="446" t="s">
        <v>875</v>
      </c>
      <c r="M1070" s="446">
        <v>4</v>
      </c>
      <c r="N1070" s="446">
        <v>4</v>
      </c>
      <c r="O1070" s="446" t="s">
        <v>706</v>
      </c>
      <c r="P1070" s="449" t="s">
        <v>739</v>
      </c>
      <c r="Q1070" s="449"/>
      <c r="R1070" s="449"/>
      <c r="S1070" s="449" t="s">
        <v>707</v>
      </c>
      <c r="T1070" s="449" t="s">
        <v>1121</v>
      </c>
      <c r="U1070" s="452">
        <v>1699.8498513891011</v>
      </c>
      <c r="V10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93491.741826400554</v>
      </c>
      <c r="W1070" s="272">
        <f>IFERROR(SUMIFS(TransUnitCost[Miles],TransUnitCost[Grouping_ID],TransTonsShort[[#This Row],[Grouping_ID]],TransUnitCost[Transp_ID],TransTonsShort[[#This Row],[Transp_ID]])*TransTonsShort[[#This Row],[Trans_Tons_All]]/TransTonsShort[[#This Row],[Trans_Tons_All]],"")</f>
        <v>250</v>
      </c>
      <c r="X1070" s="386" t="str">
        <f>TransTonsShort[[#This Row],[Grouping_ID]]&amp;"-"&amp;TransTonsShort[[#This Row],[Sector_ID]]</f>
        <v>4-4</v>
      </c>
      <c r="Y10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0" s="421">
        <f>INDEX(LandfillFees[Disposal Tip Fee 2025],MATCH(TransTonsShort[[#This Row],[Grouping_ID]],LandfillFees[Grouping_ID],0))</f>
        <v>72.030938699729589</v>
      </c>
      <c r="AA1070" s="102">
        <f>IF(OR(TransTonsShort[[#This Row],[CollectionStream_ID]]="03",TransTonsShort[[#This Row],[CollectionStream_ID]]="04",TransTonsShort[[#This Row],[CollectionStream_ID]]="13"),0,TransTonsShort[[#This Row],[Trans_Tons_All]]*TransTonsShort[[#This Row],[Disposal_Fee]])</f>
        <v>122441.7804441528</v>
      </c>
    </row>
    <row r="1071" spans="12:27" ht="15" x14ac:dyDescent="0.25">
      <c r="L1071" s="446" t="s">
        <v>875</v>
      </c>
      <c r="M1071" s="446">
        <v>1</v>
      </c>
      <c r="N1071" s="446">
        <v>4</v>
      </c>
      <c r="O1071" s="446" t="s">
        <v>706</v>
      </c>
      <c r="P1071" s="449" t="s">
        <v>700</v>
      </c>
      <c r="Q1071" s="449"/>
      <c r="R1071" s="449"/>
      <c r="S1071" s="449" t="s">
        <v>707</v>
      </c>
      <c r="T1071" s="449" t="s">
        <v>701</v>
      </c>
      <c r="U1071" s="452">
        <v>225.02921433829084</v>
      </c>
      <c r="V10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1" s="272">
        <f>IFERROR(SUMIFS(TransUnitCost[Miles],TransUnitCost[Grouping_ID],TransTonsShort[[#This Row],[Grouping_ID]],TransUnitCost[Transp_ID],TransTonsShort[[#This Row],[Transp_ID]])*TransTonsShort[[#This Row],[Trans_Tons_All]]/TransTonsShort[[#This Row],[Trans_Tons_All]],"")</f>
        <v>0</v>
      </c>
      <c r="X1071" s="386" t="str">
        <f>TransTonsShort[[#This Row],[Grouping_ID]]&amp;"-"&amp;TransTonsShort[[#This Row],[Sector_ID]]</f>
        <v>1-4</v>
      </c>
      <c r="Y10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1" s="421">
        <f>INDEX(LandfillFees[Disposal Tip Fee 2025],MATCH(TransTonsShort[[#This Row],[Grouping_ID]],LandfillFees[Grouping_ID],0))</f>
        <v>134.68</v>
      </c>
      <c r="AA1071" s="102">
        <f>IF(OR(TransTonsShort[[#This Row],[CollectionStream_ID]]="03",TransTonsShort[[#This Row],[CollectionStream_ID]]="04",TransTonsShort[[#This Row],[CollectionStream_ID]]="13"),0,TransTonsShort[[#This Row],[Trans_Tons_All]]*TransTonsShort[[#This Row],[Disposal_Fee]])</f>
        <v>30306.934587081014</v>
      </c>
    </row>
    <row r="1072" spans="12:27" ht="15" x14ac:dyDescent="0.25">
      <c r="L1072" s="446" t="s">
        <v>875</v>
      </c>
      <c r="M1072" s="446">
        <v>2</v>
      </c>
      <c r="N1072" s="446">
        <v>4</v>
      </c>
      <c r="O1072" s="446" t="s">
        <v>706</v>
      </c>
      <c r="P1072" s="449" t="s">
        <v>700</v>
      </c>
      <c r="Q1072" s="449"/>
      <c r="R1072" s="449"/>
      <c r="S1072" s="449" t="s">
        <v>707</v>
      </c>
      <c r="T1072" s="449" t="s">
        <v>701</v>
      </c>
      <c r="U1072" s="452">
        <v>0</v>
      </c>
      <c r="V10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2" s="272" t="str">
        <f>IFERROR(SUMIFS(TransUnitCost[Miles],TransUnitCost[Grouping_ID],TransTonsShort[[#This Row],[Grouping_ID]],TransUnitCost[Transp_ID],TransTonsShort[[#This Row],[Transp_ID]])*TransTonsShort[[#This Row],[Trans_Tons_All]]/TransTonsShort[[#This Row],[Trans_Tons_All]],"")</f>
        <v/>
      </c>
      <c r="X1072" s="386" t="str">
        <f>TransTonsShort[[#This Row],[Grouping_ID]]&amp;"-"&amp;TransTonsShort[[#This Row],[Sector_ID]]</f>
        <v>2-4</v>
      </c>
      <c r="Y10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2" s="421">
        <f>INDEX(LandfillFees[Disposal Tip Fee 2025],MATCH(TransTonsShort[[#This Row],[Grouping_ID]],LandfillFees[Grouping_ID],0))</f>
        <v>72.030938699729589</v>
      </c>
      <c r="AA1072" s="102">
        <f>IF(OR(TransTonsShort[[#This Row],[CollectionStream_ID]]="03",TransTonsShort[[#This Row],[CollectionStream_ID]]="04",TransTonsShort[[#This Row],[CollectionStream_ID]]="13"),0,TransTonsShort[[#This Row],[Trans_Tons_All]]*TransTonsShort[[#This Row],[Disposal_Fee]])</f>
        <v>0</v>
      </c>
    </row>
    <row r="1073" spans="12:27" ht="15" x14ac:dyDescent="0.25">
      <c r="L1073" s="446" t="s">
        <v>875</v>
      </c>
      <c r="M1073" s="446">
        <v>3</v>
      </c>
      <c r="N1073" s="446">
        <v>4</v>
      </c>
      <c r="O1073" s="446" t="s">
        <v>706</v>
      </c>
      <c r="P1073" s="449" t="s">
        <v>700</v>
      </c>
      <c r="Q1073" s="449"/>
      <c r="R1073" s="449"/>
      <c r="S1073" s="449" t="s">
        <v>707</v>
      </c>
      <c r="T1073" s="449" t="s">
        <v>701</v>
      </c>
      <c r="U1073" s="452">
        <v>0</v>
      </c>
      <c r="V10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3" s="272" t="str">
        <f>IFERROR(SUMIFS(TransUnitCost[Miles],TransUnitCost[Grouping_ID],TransTonsShort[[#This Row],[Grouping_ID]],TransUnitCost[Transp_ID],TransTonsShort[[#This Row],[Transp_ID]])*TransTonsShort[[#This Row],[Trans_Tons_All]]/TransTonsShort[[#This Row],[Trans_Tons_All]],"")</f>
        <v/>
      </c>
      <c r="X1073" s="386" t="str">
        <f>TransTonsShort[[#This Row],[Grouping_ID]]&amp;"-"&amp;TransTonsShort[[#This Row],[Sector_ID]]</f>
        <v>3-4</v>
      </c>
      <c r="Y10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3" s="421">
        <f>INDEX(LandfillFees[Disposal Tip Fee 2025],MATCH(TransTonsShort[[#This Row],[Grouping_ID]],LandfillFees[Grouping_ID],0))</f>
        <v>72.030938699729589</v>
      </c>
      <c r="AA1073" s="102">
        <f>IF(OR(TransTonsShort[[#This Row],[CollectionStream_ID]]="03",TransTonsShort[[#This Row],[CollectionStream_ID]]="04",TransTonsShort[[#This Row],[CollectionStream_ID]]="13"),0,TransTonsShort[[#This Row],[Trans_Tons_All]]*TransTonsShort[[#This Row],[Disposal_Fee]])</f>
        <v>0</v>
      </c>
    </row>
    <row r="1074" spans="12:27" ht="15" x14ac:dyDescent="0.25">
      <c r="L1074" s="446" t="s">
        <v>875</v>
      </c>
      <c r="M1074" s="446">
        <v>4</v>
      </c>
      <c r="N1074" s="446">
        <v>4</v>
      </c>
      <c r="O1074" s="446" t="s">
        <v>706</v>
      </c>
      <c r="P1074" s="449" t="s">
        <v>700</v>
      </c>
      <c r="Q1074" s="449"/>
      <c r="R1074" s="449"/>
      <c r="S1074" s="449" t="s">
        <v>707</v>
      </c>
      <c r="T1074" s="449" t="s">
        <v>701</v>
      </c>
      <c r="U1074" s="452">
        <v>0</v>
      </c>
      <c r="V10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4" s="272" t="str">
        <f>IFERROR(SUMIFS(TransUnitCost[Miles],TransUnitCost[Grouping_ID],TransTonsShort[[#This Row],[Grouping_ID]],TransUnitCost[Transp_ID],TransTonsShort[[#This Row],[Transp_ID]])*TransTonsShort[[#This Row],[Trans_Tons_All]]/TransTonsShort[[#This Row],[Trans_Tons_All]],"")</f>
        <v/>
      </c>
      <c r="X1074" s="386" t="str">
        <f>TransTonsShort[[#This Row],[Grouping_ID]]&amp;"-"&amp;TransTonsShort[[#This Row],[Sector_ID]]</f>
        <v>4-4</v>
      </c>
      <c r="Y10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4" s="421">
        <f>INDEX(LandfillFees[Disposal Tip Fee 2025],MATCH(TransTonsShort[[#This Row],[Grouping_ID]],LandfillFees[Grouping_ID],0))</f>
        <v>72.030938699729589</v>
      </c>
      <c r="AA1074" s="102">
        <f>IF(OR(TransTonsShort[[#This Row],[CollectionStream_ID]]="03",TransTonsShort[[#This Row],[CollectionStream_ID]]="04",TransTonsShort[[#This Row],[CollectionStream_ID]]="13"),0,TransTonsShort[[#This Row],[Trans_Tons_All]]*TransTonsShort[[#This Row],[Disposal_Fee]])</f>
        <v>0</v>
      </c>
    </row>
    <row r="1075" spans="12:27" ht="15" x14ac:dyDescent="0.25">
      <c r="L1075" s="446" t="s">
        <v>875</v>
      </c>
      <c r="M1075" s="446">
        <v>1</v>
      </c>
      <c r="N1075" s="446">
        <v>4</v>
      </c>
      <c r="O1075" s="446" t="s">
        <v>752</v>
      </c>
      <c r="P1075" s="450" t="s">
        <v>719</v>
      </c>
      <c r="Q1075" s="450"/>
      <c r="R1075" s="450"/>
      <c r="S1075" s="449" t="s">
        <v>964</v>
      </c>
      <c r="T1075" s="449" t="s">
        <v>1055</v>
      </c>
      <c r="U1075" s="452">
        <v>0</v>
      </c>
      <c r="V10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5" s="272" t="str">
        <f>IFERROR(SUMIFS(TransUnitCost[Miles],TransUnitCost[Grouping_ID],TransTonsShort[[#This Row],[Grouping_ID]],TransUnitCost[Transp_ID],TransTonsShort[[#This Row],[Transp_ID]])*TransTonsShort[[#This Row],[Trans_Tons_All]]/TransTonsShort[[#This Row],[Trans_Tons_All]],"")</f>
        <v/>
      </c>
      <c r="X1075" s="386" t="str">
        <f>TransTonsShort[[#This Row],[Grouping_ID]]&amp;"-"&amp;TransTonsShort[[#This Row],[Sector_ID]]</f>
        <v>1-4</v>
      </c>
      <c r="Y10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5" s="421">
        <f>INDEX(LandfillFees[Disposal Tip Fee 2025],MATCH(TransTonsShort[[#This Row],[Grouping_ID]],LandfillFees[Grouping_ID],0))</f>
        <v>134.68</v>
      </c>
      <c r="AA1075" s="102">
        <f>IF(OR(TransTonsShort[[#This Row],[CollectionStream_ID]]="03",TransTonsShort[[#This Row],[CollectionStream_ID]]="04",TransTonsShort[[#This Row],[CollectionStream_ID]]="13"),0,TransTonsShort[[#This Row],[Trans_Tons_All]]*TransTonsShort[[#This Row],[Disposal_Fee]])</f>
        <v>0</v>
      </c>
    </row>
    <row r="1076" spans="12:27" ht="15" x14ac:dyDescent="0.25">
      <c r="L1076" s="446" t="s">
        <v>875</v>
      </c>
      <c r="M1076" s="446">
        <v>2</v>
      </c>
      <c r="N1076" s="446">
        <v>4</v>
      </c>
      <c r="O1076" s="446" t="s">
        <v>752</v>
      </c>
      <c r="P1076" s="450" t="s">
        <v>719</v>
      </c>
      <c r="Q1076" s="450"/>
      <c r="R1076" s="450"/>
      <c r="S1076" s="449" t="s">
        <v>964</v>
      </c>
      <c r="T1076" s="449" t="s">
        <v>1055</v>
      </c>
      <c r="U1076" s="452">
        <v>0</v>
      </c>
      <c r="V10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6" s="272" t="str">
        <f>IFERROR(SUMIFS(TransUnitCost[Miles],TransUnitCost[Grouping_ID],TransTonsShort[[#This Row],[Grouping_ID]],TransUnitCost[Transp_ID],TransTonsShort[[#This Row],[Transp_ID]])*TransTonsShort[[#This Row],[Trans_Tons_All]]/TransTonsShort[[#This Row],[Trans_Tons_All]],"")</f>
        <v/>
      </c>
      <c r="X1076" s="386" t="str">
        <f>TransTonsShort[[#This Row],[Grouping_ID]]&amp;"-"&amp;TransTonsShort[[#This Row],[Sector_ID]]</f>
        <v>2-4</v>
      </c>
      <c r="Y10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6" s="421">
        <f>INDEX(LandfillFees[Disposal Tip Fee 2025],MATCH(TransTonsShort[[#This Row],[Grouping_ID]],LandfillFees[Grouping_ID],0))</f>
        <v>72.030938699729589</v>
      </c>
      <c r="AA1076" s="102">
        <f>IF(OR(TransTonsShort[[#This Row],[CollectionStream_ID]]="03",TransTonsShort[[#This Row],[CollectionStream_ID]]="04",TransTonsShort[[#This Row],[CollectionStream_ID]]="13"),0,TransTonsShort[[#This Row],[Trans_Tons_All]]*TransTonsShort[[#This Row],[Disposal_Fee]])</f>
        <v>0</v>
      </c>
    </row>
    <row r="1077" spans="12:27" ht="15" x14ac:dyDescent="0.25">
      <c r="L1077" s="446" t="s">
        <v>875</v>
      </c>
      <c r="M1077" s="446">
        <v>3</v>
      </c>
      <c r="N1077" s="446">
        <v>4</v>
      </c>
      <c r="O1077" s="446" t="s">
        <v>752</v>
      </c>
      <c r="P1077" s="450" t="s">
        <v>719</v>
      </c>
      <c r="Q1077" s="450"/>
      <c r="R1077" s="450"/>
      <c r="S1077" s="449" t="s">
        <v>964</v>
      </c>
      <c r="T1077" s="449" t="s">
        <v>1055</v>
      </c>
      <c r="U1077" s="452">
        <v>0</v>
      </c>
      <c r="V10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7" s="272" t="str">
        <f>IFERROR(SUMIFS(TransUnitCost[Miles],TransUnitCost[Grouping_ID],TransTonsShort[[#This Row],[Grouping_ID]],TransUnitCost[Transp_ID],TransTonsShort[[#This Row],[Transp_ID]])*TransTonsShort[[#This Row],[Trans_Tons_All]]/TransTonsShort[[#This Row],[Trans_Tons_All]],"")</f>
        <v/>
      </c>
      <c r="X1077" s="386" t="str">
        <f>TransTonsShort[[#This Row],[Grouping_ID]]&amp;"-"&amp;TransTonsShort[[#This Row],[Sector_ID]]</f>
        <v>3-4</v>
      </c>
      <c r="Y10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7" s="421">
        <f>INDEX(LandfillFees[Disposal Tip Fee 2025],MATCH(TransTonsShort[[#This Row],[Grouping_ID]],LandfillFees[Grouping_ID],0))</f>
        <v>72.030938699729589</v>
      </c>
      <c r="AA1077" s="102">
        <f>IF(OR(TransTonsShort[[#This Row],[CollectionStream_ID]]="03",TransTonsShort[[#This Row],[CollectionStream_ID]]="04",TransTonsShort[[#This Row],[CollectionStream_ID]]="13"),0,TransTonsShort[[#This Row],[Trans_Tons_All]]*TransTonsShort[[#This Row],[Disposal_Fee]])</f>
        <v>0</v>
      </c>
    </row>
    <row r="1078" spans="12:27" ht="15" x14ac:dyDescent="0.25">
      <c r="L1078" s="446" t="s">
        <v>875</v>
      </c>
      <c r="M1078" s="446">
        <v>4</v>
      </c>
      <c r="N1078" s="446">
        <v>4</v>
      </c>
      <c r="O1078" s="446" t="s">
        <v>752</v>
      </c>
      <c r="P1078" s="450" t="s">
        <v>719</v>
      </c>
      <c r="Q1078" s="450"/>
      <c r="R1078" s="450"/>
      <c r="S1078" s="449" t="s">
        <v>964</v>
      </c>
      <c r="T1078" s="449" t="s">
        <v>1055</v>
      </c>
      <c r="U1078" s="452">
        <v>0</v>
      </c>
      <c r="V10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8" s="272" t="str">
        <f>IFERROR(SUMIFS(TransUnitCost[Miles],TransUnitCost[Grouping_ID],TransTonsShort[[#This Row],[Grouping_ID]],TransUnitCost[Transp_ID],TransTonsShort[[#This Row],[Transp_ID]])*TransTonsShort[[#This Row],[Trans_Tons_All]]/TransTonsShort[[#This Row],[Trans_Tons_All]],"")</f>
        <v/>
      </c>
      <c r="X1078" s="386" t="str">
        <f>TransTonsShort[[#This Row],[Grouping_ID]]&amp;"-"&amp;TransTonsShort[[#This Row],[Sector_ID]]</f>
        <v>4-4</v>
      </c>
      <c r="Y10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8" s="421">
        <f>INDEX(LandfillFees[Disposal Tip Fee 2025],MATCH(TransTonsShort[[#This Row],[Grouping_ID]],LandfillFees[Grouping_ID],0))</f>
        <v>72.030938699729589</v>
      </c>
      <c r="AA1078" s="102">
        <f>IF(OR(TransTonsShort[[#This Row],[CollectionStream_ID]]="03",TransTonsShort[[#This Row],[CollectionStream_ID]]="04",TransTonsShort[[#This Row],[CollectionStream_ID]]="13"),0,TransTonsShort[[#This Row],[Trans_Tons_All]]*TransTonsShort[[#This Row],[Disposal_Fee]])</f>
        <v>0</v>
      </c>
    </row>
    <row r="1079" spans="12:27" ht="15" x14ac:dyDescent="0.25">
      <c r="L1079" s="446" t="s">
        <v>875</v>
      </c>
      <c r="M1079" s="446">
        <v>1</v>
      </c>
      <c r="N1079" s="446">
        <v>4</v>
      </c>
      <c r="O1079" s="446" t="s">
        <v>752</v>
      </c>
      <c r="P1079" s="449" t="s">
        <v>700</v>
      </c>
      <c r="Q1079" s="449"/>
      <c r="R1079" s="449"/>
      <c r="S1079" s="449" t="s">
        <v>964</v>
      </c>
      <c r="T1079" s="449" t="s">
        <v>701</v>
      </c>
      <c r="U1079" s="452">
        <v>3087.9604639872932</v>
      </c>
      <c r="V10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79" s="272">
        <f>IFERROR(SUMIFS(TransUnitCost[Miles],TransUnitCost[Grouping_ID],TransTonsShort[[#This Row],[Grouping_ID]],TransUnitCost[Transp_ID],TransTonsShort[[#This Row],[Transp_ID]])*TransTonsShort[[#This Row],[Trans_Tons_All]]/TransTonsShort[[#This Row],[Trans_Tons_All]],"")</f>
        <v>0</v>
      </c>
      <c r="X1079" s="386" t="str">
        <f>TransTonsShort[[#This Row],[Grouping_ID]]&amp;"-"&amp;TransTonsShort[[#This Row],[Sector_ID]]</f>
        <v>1-4</v>
      </c>
      <c r="Y10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79" s="421">
        <f>INDEX(LandfillFees[Disposal Tip Fee 2025],MATCH(TransTonsShort[[#This Row],[Grouping_ID]],LandfillFees[Grouping_ID],0))</f>
        <v>134.68</v>
      </c>
      <c r="AA1079" s="102">
        <f>IF(OR(TransTonsShort[[#This Row],[CollectionStream_ID]]="03",TransTonsShort[[#This Row],[CollectionStream_ID]]="04",TransTonsShort[[#This Row],[CollectionStream_ID]]="13"),0,TransTonsShort[[#This Row],[Trans_Tons_All]]*TransTonsShort[[#This Row],[Disposal_Fee]])</f>
        <v>415886.51528980868</v>
      </c>
    </row>
    <row r="1080" spans="12:27" ht="15" x14ac:dyDescent="0.25">
      <c r="L1080" s="446" t="s">
        <v>875</v>
      </c>
      <c r="M1080" s="446">
        <v>2</v>
      </c>
      <c r="N1080" s="446">
        <v>4</v>
      </c>
      <c r="O1080" s="446" t="s">
        <v>752</v>
      </c>
      <c r="P1080" s="449" t="s">
        <v>700</v>
      </c>
      <c r="Q1080" s="449"/>
      <c r="R1080" s="449"/>
      <c r="S1080" s="449" t="s">
        <v>964</v>
      </c>
      <c r="T1080" s="449" t="s">
        <v>701</v>
      </c>
      <c r="U1080" s="452">
        <v>0</v>
      </c>
      <c r="V10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80" s="272" t="str">
        <f>IFERROR(SUMIFS(TransUnitCost[Miles],TransUnitCost[Grouping_ID],TransTonsShort[[#This Row],[Grouping_ID]],TransUnitCost[Transp_ID],TransTonsShort[[#This Row],[Transp_ID]])*TransTonsShort[[#This Row],[Trans_Tons_All]]/TransTonsShort[[#This Row],[Trans_Tons_All]],"")</f>
        <v/>
      </c>
      <c r="X1080" s="386" t="str">
        <f>TransTonsShort[[#This Row],[Grouping_ID]]&amp;"-"&amp;TransTonsShort[[#This Row],[Sector_ID]]</f>
        <v>2-4</v>
      </c>
      <c r="Y10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0" s="421">
        <f>INDEX(LandfillFees[Disposal Tip Fee 2025],MATCH(TransTonsShort[[#This Row],[Grouping_ID]],LandfillFees[Grouping_ID],0))</f>
        <v>72.030938699729589</v>
      </c>
      <c r="AA1080" s="102">
        <f>IF(OR(TransTonsShort[[#This Row],[CollectionStream_ID]]="03",TransTonsShort[[#This Row],[CollectionStream_ID]]="04",TransTonsShort[[#This Row],[CollectionStream_ID]]="13"),0,TransTonsShort[[#This Row],[Trans_Tons_All]]*TransTonsShort[[#This Row],[Disposal_Fee]])</f>
        <v>0</v>
      </c>
    </row>
    <row r="1081" spans="12:27" ht="15" x14ac:dyDescent="0.25">
      <c r="L1081" s="446" t="s">
        <v>875</v>
      </c>
      <c r="M1081" s="446">
        <v>3</v>
      </c>
      <c r="N1081" s="446">
        <v>4</v>
      </c>
      <c r="O1081" s="446" t="s">
        <v>752</v>
      </c>
      <c r="P1081" s="449" t="s">
        <v>700</v>
      </c>
      <c r="Q1081" s="449"/>
      <c r="R1081" s="449"/>
      <c r="S1081" s="449" t="s">
        <v>964</v>
      </c>
      <c r="T1081" s="449" t="s">
        <v>701</v>
      </c>
      <c r="U1081" s="452">
        <v>0</v>
      </c>
      <c r="V10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81" s="272" t="str">
        <f>IFERROR(SUMIFS(TransUnitCost[Miles],TransUnitCost[Grouping_ID],TransTonsShort[[#This Row],[Grouping_ID]],TransUnitCost[Transp_ID],TransTonsShort[[#This Row],[Transp_ID]])*TransTonsShort[[#This Row],[Trans_Tons_All]]/TransTonsShort[[#This Row],[Trans_Tons_All]],"")</f>
        <v/>
      </c>
      <c r="X1081" s="386" t="str">
        <f>TransTonsShort[[#This Row],[Grouping_ID]]&amp;"-"&amp;TransTonsShort[[#This Row],[Sector_ID]]</f>
        <v>3-4</v>
      </c>
      <c r="Y10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1" s="421">
        <f>INDEX(LandfillFees[Disposal Tip Fee 2025],MATCH(TransTonsShort[[#This Row],[Grouping_ID]],LandfillFees[Grouping_ID],0))</f>
        <v>72.030938699729589</v>
      </c>
      <c r="AA1081" s="102">
        <f>IF(OR(TransTonsShort[[#This Row],[CollectionStream_ID]]="03",TransTonsShort[[#This Row],[CollectionStream_ID]]="04",TransTonsShort[[#This Row],[CollectionStream_ID]]="13"),0,TransTonsShort[[#This Row],[Trans_Tons_All]]*TransTonsShort[[#This Row],[Disposal_Fee]])</f>
        <v>0</v>
      </c>
    </row>
    <row r="1082" spans="12:27" ht="15" x14ac:dyDescent="0.25">
      <c r="L1082" s="446" t="s">
        <v>875</v>
      </c>
      <c r="M1082" s="446">
        <v>4</v>
      </c>
      <c r="N1082" s="446">
        <v>4</v>
      </c>
      <c r="O1082" s="446" t="s">
        <v>752</v>
      </c>
      <c r="P1082" s="449" t="s">
        <v>700</v>
      </c>
      <c r="Q1082" s="449"/>
      <c r="R1082" s="449"/>
      <c r="S1082" s="449" t="s">
        <v>964</v>
      </c>
      <c r="T1082" s="449" t="s">
        <v>701</v>
      </c>
      <c r="U1082" s="452">
        <v>0</v>
      </c>
      <c r="V10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82" s="272" t="str">
        <f>IFERROR(SUMIFS(TransUnitCost[Miles],TransUnitCost[Grouping_ID],TransTonsShort[[#This Row],[Grouping_ID]],TransUnitCost[Transp_ID],TransTonsShort[[#This Row],[Transp_ID]])*TransTonsShort[[#This Row],[Trans_Tons_All]]/TransTonsShort[[#This Row],[Trans_Tons_All]],"")</f>
        <v/>
      </c>
      <c r="X1082" s="386" t="str">
        <f>TransTonsShort[[#This Row],[Grouping_ID]]&amp;"-"&amp;TransTonsShort[[#This Row],[Sector_ID]]</f>
        <v>4-4</v>
      </c>
      <c r="Y10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2" s="421">
        <f>INDEX(LandfillFees[Disposal Tip Fee 2025],MATCH(TransTonsShort[[#This Row],[Grouping_ID]],LandfillFees[Grouping_ID],0))</f>
        <v>72.030938699729589</v>
      </c>
      <c r="AA1082" s="102">
        <f>IF(OR(TransTonsShort[[#This Row],[CollectionStream_ID]]="03",TransTonsShort[[#This Row],[CollectionStream_ID]]="04",TransTonsShort[[#This Row],[CollectionStream_ID]]="13"),0,TransTonsShort[[#This Row],[Trans_Tons_All]]*TransTonsShort[[#This Row],[Disposal_Fee]])</f>
        <v>0</v>
      </c>
    </row>
    <row r="1083" spans="12:27" ht="15" x14ac:dyDescent="0.25">
      <c r="L1083" s="446" t="s">
        <v>875</v>
      </c>
      <c r="M1083" s="446">
        <v>1</v>
      </c>
      <c r="N1083" s="446">
        <v>4</v>
      </c>
      <c r="O1083" s="446" t="s">
        <v>752</v>
      </c>
      <c r="P1083" s="449" t="s">
        <v>706</v>
      </c>
      <c r="Q1083" s="449"/>
      <c r="R1083" s="449"/>
      <c r="S1083" s="449" t="s">
        <v>964</v>
      </c>
      <c r="T1083" s="449" t="s">
        <v>1025</v>
      </c>
      <c r="U1083" s="452">
        <v>0</v>
      </c>
      <c r="V10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83" s="272" t="str">
        <f>IFERROR(SUMIFS(TransUnitCost[Miles],TransUnitCost[Grouping_ID],TransTonsShort[[#This Row],[Grouping_ID]],TransUnitCost[Transp_ID],TransTonsShort[[#This Row],[Transp_ID]])*TransTonsShort[[#This Row],[Trans_Tons_All]]/TransTonsShort[[#This Row],[Trans_Tons_All]],"")</f>
        <v/>
      </c>
      <c r="X1083" s="386" t="str">
        <f>TransTonsShort[[#This Row],[Grouping_ID]]&amp;"-"&amp;TransTonsShort[[#This Row],[Sector_ID]]</f>
        <v>1-4</v>
      </c>
      <c r="Y10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3" s="421">
        <f>INDEX(LandfillFees[Disposal Tip Fee 2025],MATCH(TransTonsShort[[#This Row],[Grouping_ID]],LandfillFees[Grouping_ID],0))</f>
        <v>134.68</v>
      </c>
      <c r="AA1083" s="102">
        <f>IF(OR(TransTonsShort[[#This Row],[CollectionStream_ID]]="03",TransTonsShort[[#This Row],[CollectionStream_ID]]="04",TransTonsShort[[#This Row],[CollectionStream_ID]]="13"),0,TransTonsShort[[#This Row],[Trans_Tons_All]]*TransTonsShort[[#This Row],[Disposal_Fee]])</f>
        <v>0</v>
      </c>
    </row>
    <row r="1084" spans="12:27" ht="15" x14ac:dyDescent="0.25">
      <c r="L1084" s="446" t="s">
        <v>875</v>
      </c>
      <c r="M1084" s="446">
        <v>2</v>
      </c>
      <c r="N1084" s="446">
        <v>4</v>
      </c>
      <c r="O1084" s="446" t="s">
        <v>752</v>
      </c>
      <c r="P1084" s="449" t="s">
        <v>706</v>
      </c>
      <c r="Q1084" s="449"/>
      <c r="R1084" s="449"/>
      <c r="S1084" s="449" t="s">
        <v>964</v>
      </c>
      <c r="T1084" s="449" t="s">
        <v>1025</v>
      </c>
      <c r="U1084" s="452">
        <v>10219.834745675042</v>
      </c>
      <c r="V10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286155.37287890119</v>
      </c>
      <c r="W1084" s="272">
        <f>IFERROR(SUMIFS(TransUnitCost[Miles],TransUnitCost[Grouping_ID],TransTonsShort[[#This Row],[Grouping_ID]],TransUnitCost[Transp_ID],TransTonsShort[[#This Row],[Transp_ID]])*TransTonsShort[[#This Row],[Trans_Tons_All]]/TransTonsShort[[#This Row],[Trans_Tons_All]],"")</f>
        <v>70</v>
      </c>
      <c r="X1084" s="386" t="str">
        <f>TransTonsShort[[#This Row],[Grouping_ID]]&amp;"-"&amp;TransTonsShort[[#This Row],[Sector_ID]]</f>
        <v>2-4</v>
      </c>
      <c r="Y10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4" s="421">
        <f>INDEX(LandfillFees[Disposal Tip Fee 2025],MATCH(TransTonsShort[[#This Row],[Grouping_ID]],LandfillFees[Grouping_ID],0))</f>
        <v>72.030938699729589</v>
      </c>
      <c r="AA1084" s="102">
        <f>IF(OR(TransTonsShort[[#This Row],[CollectionStream_ID]]="03",TransTonsShort[[#This Row],[CollectionStream_ID]]="04",TransTonsShort[[#This Row],[CollectionStream_ID]]="13"),0,TransTonsShort[[#This Row],[Trans_Tons_All]]*TransTonsShort[[#This Row],[Disposal_Fee]])</f>
        <v>736144.29008708545</v>
      </c>
    </row>
    <row r="1085" spans="12:27" ht="15" x14ac:dyDescent="0.25">
      <c r="L1085" s="446" t="s">
        <v>875</v>
      </c>
      <c r="M1085" s="446">
        <v>3</v>
      </c>
      <c r="N1085" s="446">
        <v>4</v>
      </c>
      <c r="O1085" s="446" t="s">
        <v>752</v>
      </c>
      <c r="P1085" s="449" t="s">
        <v>706</v>
      </c>
      <c r="Q1085" s="449"/>
      <c r="R1085" s="449"/>
      <c r="S1085" s="449" t="s">
        <v>964</v>
      </c>
      <c r="T1085" s="449" t="s">
        <v>1025</v>
      </c>
      <c r="U1085" s="452">
        <v>5789.6019896444768</v>
      </c>
      <c r="V10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303954.10445633502</v>
      </c>
      <c r="W1085" s="272">
        <f>IFERROR(SUMIFS(TransUnitCost[Miles],TransUnitCost[Grouping_ID],TransTonsShort[[#This Row],[Grouping_ID]],TransUnitCost[Transp_ID],TransTonsShort[[#This Row],[Transp_ID]])*TransTonsShort[[#This Row],[Trans_Tons_All]]/TransTonsShort[[#This Row],[Trans_Tons_All]],"")</f>
        <v>150</v>
      </c>
      <c r="X1085" s="386" t="str">
        <f>TransTonsShort[[#This Row],[Grouping_ID]]&amp;"-"&amp;TransTonsShort[[#This Row],[Sector_ID]]</f>
        <v>3-4</v>
      </c>
      <c r="Y10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5" s="421">
        <f>INDEX(LandfillFees[Disposal Tip Fee 2025],MATCH(TransTonsShort[[#This Row],[Grouping_ID]],LandfillFees[Grouping_ID],0))</f>
        <v>72.030938699729589</v>
      </c>
      <c r="AA1085" s="102">
        <f>IF(OR(TransTonsShort[[#This Row],[CollectionStream_ID]]="03",TransTonsShort[[#This Row],[CollectionStream_ID]]="04",TransTonsShort[[#This Row],[CollectionStream_ID]]="13"),0,TransTonsShort[[#This Row],[Trans_Tons_All]]*TransTonsShort[[#This Row],[Disposal_Fee]])</f>
        <v>417030.46601191378</v>
      </c>
    </row>
    <row r="1086" spans="12:27" ht="15" x14ac:dyDescent="0.25">
      <c r="L1086" s="446" t="s">
        <v>875</v>
      </c>
      <c r="M1086" s="446">
        <v>4</v>
      </c>
      <c r="N1086" s="446">
        <v>4</v>
      </c>
      <c r="O1086" s="446" t="s">
        <v>752</v>
      </c>
      <c r="P1086" s="449" t="s">
        <v>706</v>
      </c>
      <c r="Q1086" s="449"/>
      <c r="R1086" s="449"/>
      <c r="S1086" s="449" t="s">
        <v>964</v>
      </c>
      <c r="T1086" s="449" t="s">
        <v>1025</v>
      </c>
      <c r="U1086" s="452">
        <v>25083.23059063555</v>
      </c>
      <c r="V10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2508323.0590635552</v>
      </c>
      <c r="W1086" s="272">
        <f>IFERROR(SUMIFS(TransUnitCost[Miles],TransUnitCost[Grouping_ID],TransTonsShort[[#This Row],[Grouping_ID]],TransUnitCost[Transp_ID],TransTonsShort[[#This Row],[Transp_ID]])*TransTonsShort[[#This Row],[Trans_Tons_All]]/TransTonsShort[[#This Row],[Trans_Tons_All]],"")</f>
        <v>250</v>
      </c>
      <c r="X1086" s="386" t="str">
        <f>TransTonsShort[[#This Row],[Grouping_ID]]&amp;"-"&amp;TransTonsShort[[#This Row],[Sector_ID]]</f>
        <v>4-4</v>
      </c>
      <c r="Y10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6" s="421">
        <f>INDEX(LandfillFees[Disposal Tip Fee 2025],MATCH(TransTonsShort[[#This Row],[Grouping_ID]],LandfillFees[Grouping_ID],0))</f>
        <v>72.030938699729589</v>
      </c>
      <c r="AA1086" s="102">
        <f>IF(OR(TransTonsShort[[#This Row],[CollectionStream_ID]]="03",TransTonsShort[[#This Row],[CollectionStream_ID]]="04",TransTonsShort[[#This Row],[CollectionStream_ID]]="13"),0,TransTonsShort[[#This Row],[Trans_Tons_All]]*TransTonsShort[[#This Row],[Disposal_Fee]])</f>
        <v>1806768.6450652513</v>
      </c>
    </row>
    <row r="1087" spans="12:27" ht="15" x14ac:dyDescent="0.25">
      <c r="L1087" s="446" t="s">
        <v>875</v>
      </c>
      <c r="M1087" s="446">
        <v>1</v>
      </c>
      <c r="N1087" s="446">
        <v>4</v>
      </c>
      <c r="O1087" s="448" t="s">
        <v>750</v>
      </c>
      <c r="P1087" s="449" t="s">
        <v>739</v>
      </c>
      <c r="Q1087" s="449"/>
      <c r="R1087" s="449"/>
      <c r="S1087" s="449" t="s">
        <v>963</v>
      </c>
      <c r="T1087" s="449" t="s">
        <v>1121</v>
      </c>
      <c r="U1087" s="452">
        <v>1208.699586158147</v>
      </c>
      <c r="V10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23448.77197146805</v>
      </c>
      <c r="W1087" s="272">
        <f>IFERROR(SUMIFS(TransUnitCost[Miles],TransUnitCost[Grouping_ID],TransTonsShort[[#This Row],[Grouping_ID]],TransUnitCost[Transp_ID],TransTonsShort[[#This Row],[Transp_ID]])*TransTonsShort[[#This Row],[Trans_Tons_All]]/TransTonsShort[[#This Row],[Trans_Tons_All]],"")</f>
        <v>20</v>
      </c>
      <c r="X1087" s="386" t="str">
        <f>TransTonsShort[[#This Row],[Grouping_ID]]&amp;"-"&amp;TransTonsShort[[#This Row],[Sector_ID]]</f>
        <v>1-4</v>
      </c>
      <c r="Y10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7" s="421">
        <f>INDEX(LandfillFees[Disposal Tip Fee 2025],MATCH(TransTonsShort[[#This Row],[Grouping_ID]],LandfillFees[Grouping_ID],0))</f>
        <v>134.68</v>
      </c>
      <c r="AA1087" s="102">
        <f>IF(OR(TransTonsShort[[#This Row],[CollectionStream_ID]]="03",TransTonsShort[[#This Row],[CollectionStream_ID]]="04",TransTonsShort[[#This Row],[CollectionStream_ID]]="13"),0,TransTonsShort[[#This Row],[Trans_Tons_All]]*TransTonsShort[[#This Row],[Disposal_Fee]])</f>
        <v>162787.66026377925</v>
      </c>
    </row>
    <row r="1088" spans="12:27" ht="15" x14ac:dyDescent="0.25">
      <c r="L1088" s="446" t="s">
        <v>875</v>
      </c>
      <c r="M1088" s="446">
        <v>2</v>
      </c>
      <c r="N1088" s="446">
        <v>4</v>
      </c>
      <c r="O1088" s="448" t="s">
        <v>750</v>
      </c>
      <c r="P1088" s="449" t="s">
        <v>739</v>
      </c>
      <c r="Q1088" s="449"/>
      <c r="R1088" s="449"/>
      <c r="S1088" s="449" t="s">
        <v>963</v>
      </c>
      <c r="T1088" s="449" t="s">
        <v>1121</v>
      </c>
      <c r="U1088" s="452">
        <v>5211.3592078475976</v>
      </c>
      <c r="V10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215229.13528410578</v>
      </c>
      <c r="W1088" s="272">
        <f>IFERROR(SUMIFS(TransUnitCost[Miles],TransUnitCost[Grouping_ID],TransTonsShort[[#This Row],[Grouping_ID]],TransUnitCost[Transp_ID],TransTonsShort[[#This Row],[Transp_ID]])*TransTonsShort[[#This Row],[Trans_Tons_All]]/TransTonsShort[[#This Row],[Trans_Tons_All]],"")</f>
        <v>70</v>
      </c>
      <c r="X1088" s="386" t="str">
        <f>TransTonsShort[[#This Row],[Grouping_ID]]&amp;"-"&amp;TransTonsShort[[#This Row],[Sector_ID]]</f>
        <v>2-4</v>
      </c>
      <c r="Y10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8" s="421">
        <f>INDEX(LandfillFees[Disposal Tip Fee 2025],MATCH(TransTonsShort[[#This Row],[Grouping_ID]],LandfillFees[Grouping_ID],0))</f>
        <v>72.030938699729589</v>
      </c>
      <c r="AA1088" s="102">
        <f>IF(OR(TransTonsShort[[#This Row],[CollectionStream_ID]]="03",TransTonsShort[[#This Row],[CollectionStream_ID]]="04",TransTonsShort[[#This Row],[CollectionStream_ID]]="13"),0,TransTonsShort[[#This Row],[Trans_Tons_All]]*TransTonsShort[[#This Row],[Disposal_Fee]])</f>
        <v>375379.09564274165</v>
      </c>
    </row>
    <row r="1089" spans="12:27" ht="15" x14ac:dyDescent="0.25">
      <c r="L1089" s="446" t="s">
        <v>875</v>
      </c>
      <c r="M1089" s="446">
        <v>3</v>
      </c>
      <c r="N1089" s="446">
        <v>4</v>
      </c>
      <c r="O1089" s="448" t="s">
        <v>750</v>
      </c>
      <c r="P1089" s="449" t="s">
        <v>739</v>
      </c>
      <c r="Q1089" s="449"/>
      <c r="R1089" s="449"/>
      <c r="S1089" s="449" t="s">
        <v>963</v>
      </c>
      <c r="T1089" s="449" t="s">
        <v>1121</v>
      </c>
      <c r="U1089" s="452">
        <v>1287.303248860916</v>
      </c>
      <c r="V10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46342.916958992981</v>
      </c>
      <c r="W1089" s="272">
        <f>IFERROR(SUMIFS(TransUnitCost[Miles],TransUnitCost[Grouping_ID],TransTonsShort[[#This Row],[Grouping_ID]],TransUnitCost[Transp_ID],TransTonsShort[[#This Row],[Transp_ID]])*TransTonsShort[[#This Row],[Trans_Tons_All]]/TransTonsShort[[#This Row],[Trans_Tons_All]],"")</f>
        <v>150</v>
      </c>
      <c r="X1089" s="386" t="str">
        <f>TransTonsShort[[#This Row],[Grouping_ID]]&amp;"-"&amp;TransTonsShort[[#This Row],[Sector_ID]]</f>
        <v>3-4</v>
      </c>
      <c r="Y10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89" s="421">
        <f>INDEX(LandfillFees[Disposal Tip Fee 2025],MATCH(TransTonsShort[[#This Row],[Grouping_ID]],LandfillFees[Grouping_ID],0))</f>
        <v>72.030938699729589</v>
      </c>
      <c r="AA1089" s="102">
        <f>IF(OR(TransTonsShort[[#This Row],[CollectionStream_ID]]="03",TransTonsShort[[#This Row],[CollectionStream_ID]]="04",TransTonsShort[[#This Row],[CollectionStream_ID]]="13"),0,TransTonsShort[[#This Row],[Trans_Tons_All]]*TransTonsShort[[#This Row],[Disposal_Fee]])</f>
        <v>92725.661406663392</v>
      </c>
    </row>
    <row r="1090" spans="12:27" ht="15" x14ac:dyDescent="0.25">
      <c r="L1090" s="446" t="s">
        <v>875</v>
      </c>
      <c r="M1090" s="446">
        <v>4</v>
      </c>
      <c r="N1090" s="446">
        <v>4</v>
      </c>
      <c r="O1090" s="448" t="s">
        <v>750</v>
      </c>
      <c r="P1090" s="449" t="s">
        <v>739</v>
      </c>
      <c r="Q1090" s="449"/>
      <c r="R1090" s="449"/>
      <c r="S1090" s="449" t="s">
        <v>963</v>
      </c>
      <c r="T1090" s="449" t="s">
        <v>1121</v>
      </c>
      <c r="U1090" s="452">
        <v>11682.399622554176</v>
      </c>
      <c r="V10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642531.97924047965</v>
      </c>
      <c r="W1090" s="272">
        <f>IFERROR(SUMIFS(TransUnitCost[Miles],TransUnitCost[Grouping_ID],TransTonsShort[[#This Row],[Grouping_ID]],TransUnitCost[Transp_ID],TransTonsShort[[#This Row],[Transp_ID]])*TransTonsShort[[#This Row],[Trans_Tons_All]]/TransTonsShort[[#This Row],[Trans_Tons_All]],"")</f>
        <v>250</v>
      </c>
      <c r="X1090" s="386" t="str">
        <f>TransTonsShort[[#This Row],[Grouping_ID]]&amp;"-"&amp;TransTonsShort[[#This Row],[Sector_ID]]</f>
        <v>4-4</v>
      </c>
      <c r="Y10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0" s="421">
        <f>INDEX(LandfillFees[Disposal Tip Fee 2025],MATCH(TransTonsShort[[#This Row],[Grouping_ID]],LandfillFees[Grouping_ID],0))</f>
        <v>72.030938699729589</v>
      </c>
      <c r="AA1090" s="102">
        <f>IF(OR(TransTonsShort[[#This Row],[CollectionStream_ID]]="03",TransTonsShort[[#This Row],[CollectionStream_ID]]="04",TransTonsShort[[#This Row],[CollectionStream_ID]]="13"),0,TransTonsShort[[#This Row],[Trans_Tons_All]]*TransTonsShort[[#This Row],[Disposal_Fee]])</f>
        <v>841494.21107794391</v>
      </c>
    </row>
    <row r="1091" spans="12:27" ht="15" x14ac:dyDescent="0.25">
      <c r="L1091" s="446" t="s">
        <v>875</v>
      </c>
      <c r="M1091" s="446">
        <v>1</v>
      </c>
      <c r="N1091" s="446">
        <v>4</v>
      </c>
      <c r="O1091" s="448" t="s">
        <v>750</v>
      </c>
      <c r="P1091" s="449" t="s">
        <v>700</v>
      </c>
      <c r="Q1091" s="449"/>
      <c r="R1091" s="449"/>
      <c r="S1091" s="449" t="s">
        <v>963</v>
      </c>
      <c r="T1091" s="449" t="s">
        <v>701</v>
      </c>
      <c r="U1091" s="452">
        <v>0</v>
      </c>
      <c r="V10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1" s="272" t="str">
        <f>IFERROR(SUMIFS(TransUnitCost[Miles],TransUnitCost[Grouping_ID],TransTonsShort[[#This Row],[Grouping_ID]],TransUnitCost[Transp_ID],TransTonsShort[[#This Row],[Transp_ID]])*TransTonsShort[[#This Row],[Trans_Tons_All]]/TransTonsShort[[#This Row],[Trans_Tons_All]],"")</f>
        <v/>
      </c>
      <c r="X1091" s="386" t="str">
        <f>TransTonsShort[[#This Row],[Grouping_ID]]&amp;"-"&amp;TransTonsShort[[#This Row],[Sector_ID]]</f>
        <v>1-4</v>
      </c>
      <c r="Y10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1" s="421">
        <f>INDEX(LandfillFees[Disposal Tip Fee 2025],MATCH(TransTonsShort[[#This Row],[Grouping_ID]],LandfillFees[Grouping_ID],0))</f>
        <v>134.68</v>
      </c>
      <c r="AA1091" s="102">
        <f>IF(OR(TransTonsShort[[#This Row],[CollectionStream_ID]]="03",TransTonsShort[[#This Row],[CollectionStream_ID]]="04",TransTonsShort[[#This Row],[CollectionStream_ID]]="13"),0,TransTonsShort[[#This Row],[Trans_Tons_All]]*TransTonsShort[[#This Row],[Disposal_Fee]])</f>
        <v>0</v>
      </c>
    </row>
    <row r="1092" spans="12:27" ht="15" x14ac:dyDescent="0.25">
      <c r="L1092" s="446" t="s">
        <v>875</v>
      </c>
      <c r="M1092" s="446">
        <v>2</v>
      </c>
      <c r="N1092" s="446">
        <v>4</v>
      </c>
      <c r="O1092" s="448" t="s">
        <v>750</v>
      </c>
      <c r="P1092" s="449" t="s">
        <v>700</v>
      </c>
      <c r="Q1092" s="449"/>
      <c r="R1092" s="449"/>
      <c r="S1092" s="449" t="s">
        <v>963</v>
      </c>
      <c r="T1092" s="449" t="s">
        <v>701</v>
      </c>
      <c r="U1092" s="452">
        <v>0</v>
      </c>
      <c r="V10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2" s="272" t="str">
        <f>IFERROR(SUMIFS(TransUnitCost[Miles],TransUnitCost[Grouping_ID],TransTonsShort[[#This Row],[Grouping_ID]],TransUnitCost[Transp_ID],TransTonsShort[[#This Row],[Transp_ID]])*TransTonsShort[[#This Row],[Trans_Tons_All]]/TransTonsShort[[#This Row],[Trans_Tons_All]],"")</f>
        <v/>
      </c>
      <c r="X1092" s="386" t="str">
        <f>TransTonsShort[[#This Row],[Grouping_ID]]&amp;"-"&amp;TransTonsShort[[#This Row],[Sector_ID]]</f>
        <v>2-4</v>
      </c>
      <c r="Y10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2" s="421">
        <f>INDEX(LandfillFees[Disposal Tip Fee 2025],MATCH(TransTonsShort[[#This Row],[Grouping_ID]],LandfillFees[Grouping_ID],0))</f>
        <v>72.030938699729589</v>
      </c>
      <c r="AA1092" s="102">
        <f>IF(OR(TransTonsShort[[#This Row],[CollectionStream_ID]]="03",TransTonsShort[[#This Row],[CollectionStream_ID]]="04",TransTonsShort[[#This Row],[CollectionStream_ID]]="13"),0,TransTonsShort[[#This Row],[Trans_Tons_All]]*TransTonsShort[[#This Row],[Disposal_Fee]])</f>
        <v>0</v>
      </c>
    </row>
    <row r="1093" spans="12:27" ht="15" x14ac:dyDescent="0.25">
      <c r="L1093" s="446" t="s">
        <v>875</v>
      </c>
      <c r="M1093" s="446">
        <v>3</v>
      </c>
      <c r="N1093" s="446">
        <v>4</v>
      </c>
      <c r="O1093" s="448" t="s">
        <v>750</v>
      </c>
      <c r="P1093" s="449" t="s">
        <v>700</v>
      </c>
      <c r="Q1093" s="449"/>
      <c r="R1093" s="449"/>
      <c r="S1093" s="449" t="s">
        <v>963</v>
      </c>
      <c r="T1093" s="449" t="s">
        <v>701</v>
      </c>
      <c r="U1093" s="452">
        <v>0</v>
      </c>
      <c r="V10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3" s="272" t="str">
        <f>IFERROR(SUMIFS(TransUnitCost[Miles],TransUnitCost[Grouping_ID],TransTonsShort[[#This Row],[Grouping_ID]],TransUnitCost[Transp_ID],TransTonsShort[[#This Row],[Transp_ID]])*TransTonsShort[[#This Row],[Trans_Tons_All]]/TransTonsShort[[#This Row],[Trans_Tons_All]],"")</f>
        <v/>
      </c>
      <c r="X1093" s="386" t="str">
        <f>TransTonsShort[[#This Row],[Grouping_ID]]&amp;"-"&amp;TransTonsShort[[#This Row],[Sector_ID]]</f>
        <v>3-4</v>
      </c>
      <c r="Y10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3" s="421">
        <f>INDEX(LandfillFees[Disposal Tip Fee 2025],MATCH(TransTonsShort[[#This Row],[Grouping_ID]],LandfillFees[Grouping_ID],0))</f>
        <v>72.030938699729589</v>
      </c>
      <c r="AA1093" s="102">
        <f>IF(OR(TransTonsShort[[#This Row],[CollectionStream_ID]]="03",TransTonsShort[[#This Row],[CollectionStream_ID]]="04",TransTonsShort[[#This Row],[CollectionStream_ID]]="13"),0,TransTonsShort[[#This Row],[Trans_Tons_All]]*TransTonsShort[[#This Row],[Disposal_Fee]])</f>
        <v>0</v>
      </c>
    </row>
    <row r="1094" spans="12:27" ht="15" x14ac:dyDescent="0.25">
      <c r="L1094" s="446" t="s">
        <v>875</v>
      </c>
      <c r="M1094" s="446">
        <v>4</v>
      </c>
      <c r="N1094" s="446">
        <v>4</v>
      </c>
      <c r="O1094" s="448" t="s">
        <v>750</v>
      </c>
      <c r="P1094" s="449" t="s">
        <v>700</v>
      </c>
      <c r="Q1094" s="449"/>
      <c r="R1094" s="449"/>
      <c r="S1094" s="449" t="s">
        <v>963</v>
      </c>
      <c r="T1094" s="449" t="s">
        <v>701</v>
      </c>
      <c r="U1094" s="452">
        <v>0</v>
      </c>
      <c r="V10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4" s="272" t="str">
        <f>IFERROR(SUMIFS(TransUnitCost[Miles],TransUnitCost[Grouping_ID],TransTonsShort[[#This Row],[Grouping_ID]],TransUnitCost[Transp_ID],TransTonsShort[[#This Row],[Transp_ID]])*TransTonsShort[[#This Row],[Trans_Tons_All]]/TransTonsShort[[#This Row],[Trans_Tons_All]],"")</f>
        <v/>
      </c>
      <c r="X1094" s="386" t="str">
        <f>TransTonsShort[[#This Row],[Grouping_ID]]&amp;"-"&amp;TransTonsShort[[#This Row],[Sector_ID]]</f>
        <v>4-4</v>
      </c>
      <c r="Y10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094" s="421">
        <f>INDEX(LandfillFees[Disposal Tip Fee 2025],MATCH(TransTonsShort[[#This Row],[Grouping_ID]],LandfillFees[Grouping_ID],0))</f>
        <v>72.030938699729589</v>
      </c>
      <c r="AA1094" s="102">
        <f>IF(OR(TransTonsShort[[#This Row],[CollectionStream_ID]]="03",TransTonsShort[[#This Row],[CollectionStream_ID]]="04",TransTonsShort[[#This Row],[CollectionStream_ID]]="13"),0,TransTonsShort[[#This Row],[Trans_Tons_All]]*TransTonsShort[[#This Row],[Disposal_Fee]])</f>
        <v>0</v>
      </c>
    </row>
    <row r="1095" spans="12:27" ht="15" x14ac:dyDescent="0.25">
      <c r="L1095" s="446" t="s">
        <v>874</v>
      </c>
      <c r="M1095" s="446">
        <v>1</v>
      </c>
      <c r="N1095" s="446">
        <v>4</v>
      </c>
      <c r="O1095" s="448" t="s">
        <v>700</v>
      </c>
      <c r="P1095" s="449" t="s">
        <v>719</v>
      </c>
      <c r="Q1095" s="449"/>
      <c r="R1095" s="449"/>
      <c r="S1095" s="449" t="s">
        <v>872</v>
      </c>
      <c r="T1095" s="449" t="s">
        <v>1055</v>
      </c>
      <c r="U1095" s="452">
        <v>0</v>
      </c>
      <c r="V10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5" s="272" t="str">
        <f>IFERROR(SUMIFS(TransUnitCost[Miles],TransUnitCost[Grouping_ID],TransTonsShort[[#This Row],[Grouping_ID]],TransUnitCost[Transp_ID],TransTonsShort[[#This Row],[Transp_ID]])*TransTonsShort[[#This Row],[Trans_Tons_All]]/TransTonsShort[[#This Row],[Trans_Tons_All]],"")</f>
        <v/>
      </c>
      <c r="X1095" s="386" t="str">
        <f>TransTonsShort[[#This Row],[Grouping_ID]]&amp;"-"&amp;TransTonsShort[[#This Row],[Sector_ID]]</f>
        <v>1-4</v>
      </c>
      <c r="Y10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95" s="421">
        <f>INDEX(LandfillFees[Disposal Tip Fee 2025],MATCH(TransTonsShort[[#This Row],[Grouping_ID]],LandfillFees[Grouping_ID],0))</f>
        <v>134.68</v>
      </c>
      <c r="AA1095" s="102">
        <f>IF(OR(TransTonsShort[[#This Row],[CollectionStream_ID]]="03",TransTonsShort[[#This Row],[CollectionStream_ID]]="04",TransTonsShort[[#This Row],[CollectionStream_ID]]="13"),0,TransTonsShort[[#This Row],[Trans_Tons_All]]*TransTonsShort[[#This Row],[Disposal_Fee]])</f>
        <v>0</v>
      </c>
    </row>
    <row r="1096" spans="12:27" ht="15" x14ac:dyDescent="0.25">
      <c r="L1096" s="446" t="s">
        <v>874</v>
      </c>
      <c r="M1096" s="446">
        <v>2</v>
      </c>
      <c r="N1096" s="446">
        <v>4</v>
      </c>
      <c r="O1096" s="448" t="s">
        <v>700</v>
      </c>
      <c r="P1096" s="449" t="s">
        <v>719</v>
      </c>
      <c r="Q1096" s="449"/>
      <c r="R1096" s="449"/>
      <c r="S1096" s="449" t="s">
        <v>872</v>
      </c>
      <c r="T1096" s="449" t="s">
        <v>1055</v>
      </c>
      <c r="U1096" s="452">
        <v>0</v>
      </c>
      <c r="V10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6" s="272" t="str">
        <f>IFERROR(SUMIFS(TransUnitCost[Miles],TransUnitCost[Grouping_ID],TransTonsShort[[#This Row],[Grouping_ID]],TransUnitCost[Transp_ID],TransTonsShort[[#This Row],[Transp_ID]])*TransTonsShort[[#This Row],[Trans_Tons_All]]/TransTonsShort[[#This Row],[Trans_Tons_All]],"")</f>
        <v/>
      </c>
      <c r="X1096" s="386" t="str">
        <f>TransTonsShort[[#This Row],[Grouping_ID]]&amp;"-"&amp;TransTonsShort[[#This Row],[Sector_ID]]</f>
        <v>2-4</v>
      </c>
      <c r="Y10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96" s="421">
        <f>INDEX(LandfillFees[Disposal Tip Fee 2025],MATCH(TransTonsShort[[#This Row],[Grouping_ID]],LandfillFees[Grouping_ID],0))</f>
        <v>72.030938699729589</v>
      </c>
      <c r="AA1096" s="102">
        <f>IF(OR(TransTonsShort[[#This Row],[CollectionStream_ID]]="03",TransTonsShort[[#This Row],[CollectionStream_ID]]="04",TransTonsShort[[#This Row],[CollectionStream_ID]]="13"),0,TransTonsShort[[#This Row],[Trans_Tons_All]]*TransTonsShort[[#This Row],[Disposal_Fee]])</f>
        <v>0</v>
      </c>
    </row>
    <row r="1097" spans="12:27" ht="15" x14ac:dyDescent="0.25">
      <c r="L1097" s="446" t="s">
        <v>874</v>
      </c>
      <c r="M1097" s="446">
        <v>3</v>
      </c>
      <c r="N1097" s="446">
        <v>4</v>
      </c>
      <c r="O1097" s="448" t="s">
        <v>700</v>
      </c>
      <c r="P1097" s="449" t="s">
        <v>719</v>
      </c>
      <c r="Q1097" s="449"/>
      <c r="R1097" s="449"/>
      <c r="S1097" s="449" t="s">
        <v>872</v>
      </c>
      <c r="T1097" s="449" t="s">
        <v>1055</v>
      </c>
      <c r="U1097" s="452">
        <v>0</v>
      </c>
      <c r="V10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7" s="272" t="str">
        <f>IFERROR(SUMIFS(TransUnitCost[Miles],TransUnitCost[Grouping_ID],TransTonsShort[[#This Row],[Grouping_ID]],TransUnitCost[Transp_ID],TransTonsShort[[#This Row],[Transp_ID]])*TransTonsShort[[#This Row],[Trans_Tons_All]]/TransTonsShort[[#This Row],[Trans_Tons_All]],"")</f>
        <v/>
      </c>
      <c r="X1097" s="386" t="str">
        <f>TransTonsShort[[#This Row],[Grouping_ID]]&amp;"-"&amp;TransTonsShort[[#This Row],[Sector_ID]]</f>
        <v>3-4</v>
      </c>
      <c r="Y10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97" s="421">
        <f>INDEX(LandfillFees[Disposal Tip Fee 2025],MATCH(TransTonsShort[[#This Row],[Grouping_ID]],LandfillFees[Grouping_ID],0))</f>
        <v>72.030938699729589</v>
      </c>
      <c r="AA1097" s="102">
        <f>IF(OR(TransTonsShort[[#This Row],[CollectionStream_ID]]="03",TransTonsShort[[#This Row],[CollectionStream_ID]]="04",TransTonsShort[[#This Row],[CollectionStream_ID]]="13"),0,TransTonsShort[[#This Row],[Trans_Tons_All]]*TransTonsShort[[#This Row],[Disposal_Fee]])</f>
        <v>0</v>
      </c>
    </row>
    <row r="1098" spans="12:27" ht="15" x14ac:dyDescent="0.25">
      <c r="L1098" s="446" t="s">
        <v>874</v>
      </c>
      <c r="M1098" s="446">
        <v>4</v>
      </c>
      <c r="N1098" s="446">
        <v>4</v>
      </c>
      <c r="O1098" s="448" t="s">
        <v>700</v>
      </c>
      <c r="P1098" s="449" t="s">
        <v>719</v>
      </c>
      <c r="Q1098" s="449"/>
      <c r="R1098" s="449"/>
      <c r="S1098" s="449" t="s">
        <v>872</v>
      </c>
      <c r="T1098" s="449" t="s">
        <v>1055</v>
      </c>
      <c r="U1098" s="452">
        <v>0</v>
      </c>
      <c r="V10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8" s="272" t="str">
        <f>IFERROR(SUMIFS(TransUnitCost[Miles],TransUnitCost[Grouping_ID],TransTonsShort[[#This Row],[Grouping_ID]],TransUnitCost[Transp_ID],TransTonsShort[[#This Row],[Transp_ID]])*TransTonsShort[[#This Row],[Trans_Tons_All]]/TransTonsShort[[#This Row],[Trans_Tons_All]],"")</f>
        <v/>
      </c>
      <c r="X1098" s="386" t="str">
        <f>TransTonsShort[[#This Row],[Grouping_ID]]&amp;"-"&amp;TransTonsShort[[#This Row],[Sector_ID]]</f>
        <v>4-4</v>
      </c>
      <c r="Y10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98" s="421">
        <f>INDEX(LandfillFees[Disposal Tip Fee 2025],MATCH(TransTonsShort[[#This Row],[Grouping_ID]],LandfillFees[Grouping_ID],0))</f>
        <v>72.030938699729589</v>
      </c>
      <c r="AA1098" s="102">
        <f>IF(OR(TransTonsShort[[#This Row],[CollectionStream_ID]]="03",TransTonsShort[[#This Row],[CollectionStream_ID]]="04",TransTonsShort[[#This Row],[CollectionStream_ID]]="13"),0,TransTonsShort[[#This Row],[Trans_Tons_All]]*TransTonsShort[[#This Row],[Disposal_Fee]])</f>
        <v>0</v>
      </c>
    </row>
    <row r="1099" spans="12:27" ht="15" x14ac:dyDescent="0.25">
      <c r="L1099" s="446" t="s">
        <v>874</v>
      </c>
      <c r="M1099" s="446">
        <v>1</v>
      </c>
      <c r="N1099" s="446">
        <v>4</v>
      </c>
      <c r="O1099" s="446" t="s">
        <v>700</v>
      </c>
      <c r="P1099" s="449" t="s">
        <v>700</v>
      </c>
      <c r="Q1099" s="449"/>
      <c r="R1099" s="449"/>
      <c r="S1099" s="449" t="s">
        <v>872</v>
      </c>
      <c r="T1099" s="449" t="s">
        <v>701</v>
      </c>
      <c r="U1099" s="452">
        <v>1114.0042150349775</v>
      </c>
      <c r="V10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099" s="272">
        <f>IFERROR(SUMIFS(TransUnitCost[Miles],TransUnitCost[Grouping_ID],TransTonsShort[[#This Row],[Grouping_ID]],TransUnitCost[Transp_ID],TransTonsShort[[#This Row],[Transp_ID]])*TransTonsShort[[#This Row],[Trans_Tons_All]]/TransTonsShort[[#This Row],[Trans_Tons_All]],"")</f>
        <v>0</v>
      </c>
      <c r="X1099" s="386" t="str">
        <f>TransTonsShort[[#This Row],[Grouping_ID]]&amp;"-"&amp;TransTonsShort[[#This Row],[Sector_ID]]</f>
        <v>1-4</v>
      </c>
      <c r="Y10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099" s="421">
        <f>INDEX(LandfillFees[Disposal Tip Fee 2025],MATCH(TransTonsShort[[#This Row],[Grouping_ID]],LandfillFees[Grouping_ID],0))</f>
        <v>134.68</v>
      </c>
      <c r="AA1099" s="102">
        <f>IF(OR(TransTonsShort[[#This Row],[CollectionStream_ID]]="03",TransTonsShort[[#This Row],[CollectionStream_ID]]="04",TransTonsShort[[#This Row],[CollectionStream_ID]]="13"),0,TransTonsShort[[#This Row],[Trans_Tons_All]]*TransTonsShort[[#This Row],[Disposal_Fee]])</f>
        <v>150034.08768091077</v>
      </c>
    </row>
    <row r="1100" spans="12:27" ht="15" x14ac:dyDescent="0.25">
      <c r="L1100" s="446" t="s">
        <v>874</v>
      </c>
      <c r="M1100" s="446">
        <v>2</v>
      </c>
      <c r="N1100" s="446">
        <v>4</v>
      </c>
      <c r="O1100" s="446" t="s">
        <v>700</v>
      </c>
      <c r="P1100" s="449" t="s">
        <v>700</v>
      </c>
      <c r="Q1100" s="449"/>
      <c r="R1100" s="449"/>
      <c r="S1100" s="449" t="s">
        <v>872</v>
      </c>
      <c r="T1100" s="449" t="s">
        <v>701</v>
      </c>
      <c r="U1100" s="452">
        <v>4307.6446589829875</v>
      </c>
      <c r="V11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0" s="272">
        <f>IFERROR(SUMIFS(TransUnitCost[Miles],TransUnitCost[Grouping_ID],TransTonsShort[[#This Row],[Grouping_ID]],TransUnitCost[Transp_ID],TransTonsShort[[#This Row],[Transp_ID]])*TransTonsShort[[#This Row],[Trans_Tons_All]]/TransTonsShort[[#This Row],[Trans_Tons_All]],"")</f>
        <v>0</v>
      </c>
      <c r="X1100" s="386" t="str">
        <f>TransTonsShort[[#This Row],[Grouping_ID]]&amp;"-"&amp;TransTonsShort[[#This Row],[Sector_ID]]</f>
        <v>2-4</v>
      </c>
      <c r="Y11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0" s="421">
        <f>INDEX(LandfillFees[Disposal Tip Fee 2025],MATCH(TransTonsShort[[#This Row],[Grouping_ID]],LandfillFees[Grouping_ID],0))</f>
        <v>72.030938699729589</v>
      </c>
      <c r="AA1100" s="102">
        <f>IF(OR(TransTonsShort[[#This Row],[CollectionStream_ID]]="03",TransTonsShort[[#This Row],[CollectionStream_ID]]="04",TransTonsShort[[#This Row],[CollectionStream_ID]]="13"),0,TransTonsShort[[#This Row],[Trans_Tons_All]]*TransTonsShort[[#This Row],[Disposal_Fee]])</f>
        <v>310283.68837142113</v>
      </c>
    </row>
    <row r="1101" spans="12:27" ht="15" x14ac:dyDescent="0.25">
      <c r="L1101" s="446" t="s">
        <v>874</v>
      </c>
      <c r="M1101" s="446">
        <v>3</v>
      </c>
      <c r="N1101" s="446">
        <v>4</v>
      </c>
      <c r="O1101" s="446" t="s">
        <v>700</v>
      </c>
      <c r="P1101" s="449" t="s">
        <v>700</v>
      </c>
      <c r="Q1101" s="449"/>
      <c r="R1101" s="449"/>
      <c r="S1101" s="449" t="s">
        <v>872</v>
      </c>
      <c r="T1101" s="449" t="s">
        <v>701</v>
      </c>
      <c r="U1101" s="452">
        <v>0</v>
      </c>
      <c r="V11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1" s="272" t="str">
        <f>IFERROR(SUMIFS(TransUnitCost[Miles],TransUnitCost[Grouping_ID],TransTonsShort[[#This Row],[Grouping_ID]],TransUnitCost[Transp_ID],TransTonsShort[[#This Row],[Transp_ID]])*TransTonsShort[[#This Row],[Trans_Tons_All]]/TransTonsShort[[#This Row],[Trans_Tons_All]],"")</f>
        <v/>
      </c>
      <c r="X1101" s="386" t="str">
        <f>TransTonsShort[[#This Row],[Grouping_ID]]&amp;"-"&amp;TransTonsShort[[#This Row],[Sector_ID]]</f>
        <v>3-4</v>
      </c>
      <c r="Y11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1" s="421">
        <f>INDEX(LandfillFees[Disposal Tip Fee 2025],MATCH(TransTonsShort[[#This Row],[Grouping_ID]],LandfillFees[Grouping_ID],0))</f>
        <v>72.030938699729589</v>
      </c>
      <c r="AA1101" s="102">
        <f>IF(OR(TransTonsShort[[#This Row],[CollectionStream_ID]]="03",TransTonsShort[[#This Row],[CollectionStream_ID]]="04",TransTonsShort[[#This Row],[CollectionStream_ID]]="13"),0,TransTonsShort[[#This Row],[Trans_Tons_All]]*TransTonsShort[[#This Row],[Disposal_Fee]])</f>
        <v>0</v>
      </c>
    </row>
    <row r="1102" spans="12:27" ht="15" x14ac:dyDescent="0.25">
      <c r="L1102" s="446" t="s">
        <v>874</v>
      </c>
      <c r="M1102" s="446">
        <v>4</v>
      </c>
      <c r="N1102" s="446">
        <v>4</v>
      </c>
      <c r="O1102" s="446" t="s">
        <v>700</v>
      </c>
      <c r="P1102" s="449" t="s">
        <v>700</v>
      </c>
      <c r="Q1102" s="449"/>
      <c r="R1102" s="449"/>
      <c r="S1102" s="449" t="s">
        <v>872</v>
      </c>
      <c r="T1102" s="449" t="s">
        <v>701</v>
      </c>
      <c r="U1102" s="452">
        <v>0</v>
      </c>
      <c r="V11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2" s="272" t="str">
        <f>IFERROR(SUMIFS(TransUnitCost[Miles],TransUnitCost[Grouping_ID],TransTonsShort[[#This Row],[Grouping_ID]],TransUnitCost[Transp_ID],TransTonsShort[[#This Row],[Transp_ID]])*TransTonsShort[[#This Row],[Trans_Tons_All]]/TransTonsShort[[#This Row],[Trans_Tons_All]],"")</f>
        <v/>
      </c>
      <c r="X1102" s="386" t="str">
        <f>TransTonsShort[[#This Row],[Grouping_ID]]&amp;"-"&amp;TransTonsShort[[#This Row],[Sector_ID]]</f>
        <v>4-4</v>
      </c>
      <c r="Y11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2" s="421">
        <f>INDEX(LandfillFees[Disposal Tip Fee 2025],MATCH(TransTonsShort[[#This Row],[Grouping_ID]],LandfillFees[Grouping_ID],0))</f>
        <v>72.030938699729589</v>
      </c>
      <c r="AA1102" s="102">
        <f>IF(OR(TransTonsShort[[#This Row],[CollectionStream_ID]]="03",TransTonsShort[[#This Row],[CollectionStream_ID]]="04",TransTonsShort[[#This Row],[CollectionStream_ID]]="13"),0,TransTonsShort[[#This Row],[Trans_Tons_All]]*TransTonsShort[[#This Row],[Disposal_Fee]])</f>
        <v>0</v>
      </c>
    </row>
    <row r="1103" spans="12:27" ht="15" x14ac:dyDescent="0.25">
      <c r="L1103" s="446" t="s">
        <v>874</v>
      </c>
      <c r="M1103" s="446">
        <v>1</v>
      </c>
      <c r="N1103" s="446">
        <v>4</v>
      </c>
      <c r="O1103" s="446" t="s">
        <v>700</v>
      </c>
      <c r="P1103" s="449" t="s">
        <v>706</v>
      </c>
      <c r="Q1103" s="449"/>
      <c r="R1103" s="449"/>
      <c r="S1103" s="449" t="s">
        <v>872</v>
      </c>
      <c r="T1103" s="449" t="s">
        <v>1025</v>
      </c>
      <c r="U1103" s="452">
        <v>166.46039994775529</v>
      </c>
      <c r="V11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3329.2079989551057</v>
      </c>
      <c r="W1103" s="272">
        <f>IFERROR(SUMIFS(TransUnitCost[Miles],TransUnitCost[Grouping_ID],TransTonsShort[[#This Row],[Grouping_ID]],TransUnitCost[Transp_ID],TransTonsShort[[#This Row],[Transp_ID]])*TransTonsShort[[#This Row],[Trans_Tons_All]]/TransTonsShort[[#This Row],[Trans_Tons_All]],"")</f>
        <v>20</v>
      </c>
      <c r="X1103" s="386" t="str">
        <f>TransTonsShort[[#This Row],[Grouping_ID]]&amp;"-"&amp;TransTonsShort[[#This Row],[Sector_ID]]</f>
        <v>1-4</v>
      </c>
      <c r="Y11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3" s="421">
        <f>INDEX(LandfillFees[Disposal Tip Fee 2025],MATCH(TransTonsShort[[#This Row],[Grouping_ID]],LandfillFees[Grouping_ID],0))</f>
        <v>134.68</v>
      </c>
      <c r="AA1103" s="102">
        <f>IF(OR(TransTonsShort[[#This Row],[CollectionStream_ID]]="03",TransTonsShort[[#This Row],[CollectionStream_ID]]="04",TransTonsShort[[#This Row],[CollectionStream_ID]]="13"),0,TransTonsShort[[#This Row],[Trans_Tons_All]]*TransTonsShort[[#This Row],[Disposal_Fee]])</f>
        <v>22418.886664963684</v>
      </c>
    </row>
    <row r="1104" spans="12:27" ht="15" x14ac:dyDescent="0.25">
      <c r="L1104" s="446" t="s">
        <v>874</v>
      </c>
      <c r="M1104" s="446">
        <v>2</v>
      </c>
      <c r="N1104" s="446">
        <v>4</v>
      </c>
      <c r="O1104" s="446" t="s">
        <v>700</v>
      </c>
      <c r="P1104" s="449" t="s">
        <v>706</v>
      </c>
      <c r="Q1104" s="449"/>
      <c r="R1104" s="449"/>
      <c r="S1104" s="449" t="s">
        <v>872</v>
      </c>
      <c r="T1104" s="449" t="s">
        <v>1025</v>
      </c>
      <c r="U1104" s="452">
        <v>532.40551964958274</v>
      </c>
      <c r="V11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14907.354550188316</v>
      </c>
      <c r="W1104" s="272">
        <f>IFERROR(SUMIFS(TransUnitCost[Miles],TransUnitCost[Grouping_ID],TransTonsShort[[#This Row],[Grouping_ID]],TransUnitCost[Transp_ID],TransTonsShort[[#This Row],[Transp_ID]])*TransTonsShort[[#This Row],[Trans_Tons_All]]/TransTonsShort[[#This Row],[Trans_Tons_All]],"")</f>
        <v>70</v>
      </c>
      <c r="X1104" s="386" t="str">
        <f>TransTonsShort[[#This Row],[Grouping_ID]]&amp;"-"&amp;TransTonsShort[[#This Row],[Sector_ID]]</f>
        <v>2-4</v>
      </c>
      <c r="Y11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4" s="421">
        <f>INDEX(LandfillFees[Disposal Tip Fee 2025],MATCH(TransTonsShort[[#This Row],[Grouping_ID]],LandfillFees[Grouping_ID],0))</f>
        <v>72.030938699729589</v>
      </c>
      <c r="AA1104" s="102">
        <f>IF(OR(TransTonsShort[[#This Row],[CollectionStream_ID]]="03",TransTonsShort[[#This Row],[CollectionStream_ID]]="04",TransTonsShort[[#This Row],[CollectionStream_ID]]="13"),0,TransTonsShort[[#This Row],[Trans_Tons_All]]*TransTonsShort[[#This Row],[Disposal_Fee]])</f>
        <v>38349.669349276774</v>
      </c>
    </row>
    <row r="1105" spans="12:27" ht="15" x14ac:dyDescent="0.25">
      <c r="L1105" s="446" t="s">
        <v>874</v>
      </c>
      <c r="M1105" s="446">
        <v>3</v>
      </c>
      <c r="N1105" s="446">
        <v>4</v>
      </c>
      <c r="O1105" s="446" t="s">
        <v>700</v>
      </c>
      <c r="P1105" s="449" t="s">
        <v>706</v>
      </c>
      <c r="Q1105" s="449"/>
      <c r="R1105" s="449"/>
      <c r="S1105" s="449" t="s">
        <v>872</v>
      </c>
      <c r="T1105" s="449" t="s">
        <v>1025</v>
      </c>
      <c r="U1105" s="452">
        <v>2901.8631778368617</v>
      </c>
      <c r="V11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152347.81683643523</v>
      </c>
      <c r="W1105" s="272">
        <f>IFERROR(SUMIFS(TransUnitCost[Miles],TransUnitCost[Grouping_ID],TransTonsShort[[#This Row],[Grouping_ID]],TransUnitCost[Transp_ID],TransTonsShort[[#This Row],[Transp_ID]])*TransTonsShort[[#This Row],[Trans_Tons_All]]/TransTonsShort[[#This Row],[Trans_Tons_All]],"")</f>
        <v>150</v>
      </c>
      <c r="X1105" s="386" t="str">
        <f>TransTonsShort[[#This Row],[Grouping_ID]]&amp;"-"&amp;TransTonsShort[[#This Row],[Sector_ID]]</f>
        <v>3-4</v>
      </c>
      <c r="Y11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5" s="421">
        <f>INDEX(LandfillFees[Disposal Tip Fee 2025],MATCH(TransTonsShort[[#This Row],[Grouping_ID]],LandfillFees[Grouping_ID],0))</f>
        <v>72.030938699729589</v>
      </c>
      <c r="AA1105" s="102">
        <f>IF(OR(TransTonsShort[[#This Row],[CollectionStream_ID]]="03",TransTonsShort[[#This Row],[CollectionStream_ID]]="04",TransTonsShort[[#This Row],[CollectionStream_ID]]="13"),0,TransTonsShort[[#This Row],[Trans_Tons_All]]*TransTonsShort[[#This Row],[Disposal_Fee]])</f>
        <v>209023.92867776949</v>
      </c>
    </row>
    <row r="1106" spans="12:27" ht="15" x14ac:dyDescent="0.25">
      <c r="L1106" s="446" t="s">
        <v>874</v>
      </c>
      <c r="M1106" s="446">
        <v>4</v>
      </c>
      <c r="N1106" s="446">
        <v>4</v>
      </c>
      <c r="O1106" s="446" t="s">
        <v>700</v>
      </c>
      <c r="P1106" s="449" t="s">
        <v>706</v>
      </c>
      <c r="Q1106" s="449"/>
      <c r="R1106" s="449"/>
      <c r="S1106" s="449" t="s">
        <v>872</v>
      </c>
      <c r="T1106" s="449" t="s">
        <v>1025</v>
      </c>
      <c r="U1106" s="452">
        <v>0</v>
      </c>
      <c r="V11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6" s="272" t="str">
        <f>IFERROR(SUMIFS(TransUnitCost[Miles],TransUnitCost[Grouping_ID],TransTonsShort[[#This Row],[Grouping_ID]],TransUnitCost[Transp_ID],TransTonsShort[[#This Row],[Transp_ID]])*TransTonsShort[[#This Row],[Trans_Tons_All]]/TransTonsShort[[#This Row],[Trans_Tons_All]],"")</f>
        <v/>
      </c>
      <c r="X1106" s="386" t="str">
        <f>TransTonsShort[[#This Row],[Grouping_ID]]&amp;"-"&amp;TransTonsShort[[#This Row],[Sector_ID]]</f>
        <v>4-4</v>
      </c>
      <c r="Y11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6" s="421">
        <f>INDEX(LandfillFees[Disposal Tip Fee 2025],MATCH(TransTonsShort[[#This Row],[Grouping_ID]],LandfillFees[Grouping_ID],0))</f>
        <v>72.030938699729589</v>
      </c>
      <c r="AA1106" s="102">
        <f>IF(OR(TransTonsShort[[#This Row],[CollectionStream_ID]]="03",TransTonsShort[[#This Row],[CollectionStream_ID]]="04",TransTonsShort[[#This Row],[CollectionStream_ID]]="13"),0,TransTonsShort[[#This Row],[Trans_Tons_All]]*TransTonsShort[[#This Row],[Disposal_Fee]])</f>
        <v>0</v>
      </c>
    </row>
    <row r="1107" spans="12:27" ht="15" x14ac:dyDescent="0.25">
      <c r="L1107" s="446" t="s">
        <v>874</v>
      </c>
      <c r="M1107" s="446">
        <v>1</v>
      </c>
      <c r="N1107" s="446">
        <v>4</v>
      </c>
      <c r="O1107" s="446" t="s">
        <v>748</v>
      </c>
      <c r="P1107" s="449" t="s">
        <v>719</v>
      </c>
      <c r="Q1107" s="449"/>
      <c r="R1107" s="449"/>
      <c r="S1107" s="449" t="s">
        <v>765</v>
      </c>
      <c r="T1107" s="449" t="s">
        <v>1055</v>
      </c>
      <c r="U1107" s="452">
        <v>0</v>
      </c>
      <c r="V11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7" s="272" t="str">
        <f>IFERROR(SUMIFS(TransUnitCost[Miles],TransUnitCost[Grouping_ID],TransTonsShort[[#This Row],[Grouping_ID]],TransUnitCost[Transp_ID],TransTonsShort[[#This Row],[Transp_ID]])*TransTonsShort[[#This Row],[Trans_Tons_All]]/TransTonsShort[[#This Row],[Trans_Tons_All]],"")</f>
        <v/>
      </c>
      <c r="X1107" s="386" t="str">
        <f>TransTonsShort[[#This Row],[Grouping_ID]]&amp;"-"&amp;TransTonsShort[[#This Row],[Sector_ID]]</f>
        <v>1-4</v>
      </c>
      <c r="Y11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7" s="421">
        <f>INDEX(LandfillFees[Disposal Tip Fee 2025],MATCH(TransTonsShort[[#This Row],[Grouping_ID]],LandfillFees[Grouping_ID],0))</f>
        <v>134.68</v>
      </c>
      <c r="AA1107" s="102">
        <f>IF(OR(TransTonsShort[[#This Row],[CollectionStream_ID]]="03",TransTonsShort[[#This Row],[CollectionStream_ID]]="04",TransTonsShort[[#This Row],[CollectionStream_ID]]="13"),0,TransTonsShort[[#This Row],[Trans_Tons_All]]*TransTonsShort[[#This Row],[Disposal_Fee]])</f>
        <v>0</v>
      </c>
    </row>
    <row r="1108" spans="12:27" ht="15" x14ac:dyDescent="0.25">
      <c r="L1108" s="446" t="s">
        <v>874</v>
      </c>
      <c r="M1108" s="446">
        <v>2</v>
      </c>
      <c r="N1108" s="446">
        <v>4</v>
      </c>
      <c r="O1108" s="446" t="s">
        <v>748</v>
      </c>
      <c r="P1108" s="449" t="s">
        <v>719</v>
      </c>
      <c r="Q1108" s="449"/>
      <c r="R1108" s="449"/>
      <c r="S1108" s="449" t="s">
        <v>765</v>
      </c>
      <c r="T1108" s="449" t="s">
        <v>1055</v>
      </c>
      <c r="U1108" s="452">
        <v>0</v>
      </c>
      <c r="V11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8" s="272" t="str">
        <f>IFERROR(SUMIFS(TransUnitCost[Miles],TransUnitCost[Grouping_ID],TransTonsShort[[#This Row],[Grouping_ID]],TransUnitCost[Transp_ID],TransTonsShort[[#This Row],[Transp_ID]])*TransTonsShort[[#This Row],[Trans_Tons_All]]/TransTonsShort[[#This Row],[Trans_Tons_All]],"")</f>
        <v/>
      </c>
      <c r="X1108" s="386" t="str">
        <f>TransTonsShort[[#This Row],[Grouping_ID]]&amp;"-"&amp;TransTonsShort[[#This Row],[Sector_ID]]</f>
        <v>2-4</v>
      </c>
      <c r="Y11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8" s="421">
        <f>INDEX(LandfillFees[Disposal Tip Fee 2025],MATCH(TransTonsShort[[#This Row],[Grouping_ID]],LandfillFees[Grouping_ID],0))</f>
        <v>72.030938699729589</v>
      </c>
      <c r="AA1108" s="102">
        <f>IF(OR(TransTonsShort[[#This Row],[CollectionStream_ID]]="03",TransTonsShort[[#This Row],[CollectionStream_ID]]="04",TransTonsShort[[#This Row],[CollectionStream_ID]]="13"),0,TransTonsShort[[#This Row],[Trans_Tons_All]]*TransTonsShort[[#This Row],[Disposal_Fee]])</f>
        <v>0</v>
      </c>
    </row>
    <row r="1109" spans="12:27" ht="15" x14ac:dyDescent="0.25">
      <c r="L1109" s="446" t="s">
        <v>874</v>
      </c>
      <c r="M1109" s="446">
        <v>3</v>
      </c>
      <c r="N1109" s="446">
        <v>4</v>
      </c>
      <c r="O1109" s="446" t="s">
        <v>748</v>
      </c>
      <c r="P1109" s="449" t="s">
        <v>719</v>
      </c>
      <c r="Q1109" s="449"/>
      <c r="R1109" s="449"/>
      <c r="S1109" s="449" t="s">
        <v>765</v>
      </c>
      <c r="T1109" s="449" t="s">
        <v>1055</v>
      </c>
      <c r="U1109" s="452">
        <v>0</v>
      </c>
      <c r="V11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09" s="272" t="str">
        <f>IFERROR(SUMIFS(TransUnitCost[Miles],TransUnitCost[Grouping_ID],TransTonsShort[[#This Row],[Grouping_ID]],TransUnitCost[Transp_ID],TransTonsShort[[#This Row],[Transp_ID]])*TransTonsShort[[#This Row],[Trans_Tons_All]]/TransTonsShort[[#This Row],[Trans_Tons_All]],"")</f>
        <v/>
      </c>
      <c r="X1109" s="386" t="str">
        <f>TransTonsShort[[#This Row],[Grouping_ID]]&amp;"-"&amp;TransTonsShort[[#This Row],[Sector_ID]]</f>
        <v>3-4</v>
      </c>
      <c r="Y11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09" s="421">
        <f>INDEX(LandfillFees[Disposal Tip Fee 2025],MATCH(TransTonsShort[[#This Row],[Grouping_ID]],LandfillFees[Grouping_ID],0))</f>
        <v>72.030938699729589</v>
      </c>
      <c r="AA1109" s="102">
        <f>IF(OR(TransTonsShort[[#This Row],[CollectionStream_ID]]="03",TransTonsShort[[#This Row],[CollectionStream_ID]]="04",TransTonsShort[[#This Row],[CollectionStream_ID]]="13"),0,TransTonsShort[[#This Row],[Trans_Tons_All]]*TransTonsShort[[#This Row],[Disposal_Fee]])</f>
        <v>0</v>
      </c>
    </row>
    <row r="1110" spans="12:27" ht="15" x14ac:dyDescent="0.25">
      <c r="L1110" s="446" t="s">
        <v>874</v>
      </c>
      <c r="M1110" s="446">
        <v>4</v>
      </c>
      <c r="N1110" s="446">
        <v>4</v>
      </c>
      <c r="O1110" s="446" t="s">
        <v>748</v>
      </c>
      <c r="P1110" s="449" t="s">
        <v>719</v>
      </c>
      <c r="Q1110" s="449"/>
      <c r="R1110" s="449"/>
      <c r="S1110" s="449" t="s">
        <v>765</v>
      </c>
      <c r="T1110" s="449" t="s">
        <v>1055</v>
      </c>
      <c r="U1110" s="452">
        <v>0</v>
      </c>
      <c r="V11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0" s="272" t="str">
        <f>IFERROR(SUMIFS(TransUnitCost[Miles],TransUnitCost[Grouping_ID],TransTonsShort[[#This Row],[Grouping_ID]],TransUnitCost[Transp_ID],TransTonsShort[[#This Row],[Transp_ID]])*TransTonsShort[[#This Row],[Trans_Tons_All]]/TransTonsShort[[#This Row],[Trans_Tons_All]],"")</f>
        <v/>
      </c>
      <c r="X1110" s="386" t="str">
        <f>TransTonsShort[[#This Row],[Grouping_ID]]&amp;"-"&amp;TransTonsShort[[#This Row],[Sector_ID]]</f>
        <v>4-4</v>
      </c>
      <c r="Y11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0" s="421">
        <f>INDEX(LandfillFees[Disposal Tip Fee 2025],MATCH(TransTonsShort[[#This Row],[Grouping_ID]],LandfillFees[Grouping_ID],0))</f>
        <v>72.030938699729589</v>
      </c>
      <c r="AA1110" s="102">
        <f>IF(OR(TransTonsShort[[#This Row],[CollectionStream_ID]]="03",TransTonsShort[[#This Row],[CollectionStream_ID]]="04",TransTonsShort[[#This Row],[CollectionStream_ID]]="13"),0,TransTonsShort[[#This Row],[Trans_Tons_All]]*TransTonsShort[[#This Row],[Disposal_Fee]])</f>
        <v>0</v>
      </c>
    </row>
    <row r="1111" spans="12:27" ht="15" x14ac:dyDescent="0.25">
      <c r="L1111" s="446" t="s">
        <v>874</v>
      </c>
      <c r="M1111" s="446">
        <v>1</v>
      </c>
      <c r="N1111" s="446">
        <v>4</v>
      </c>
      <c r="O1111" s="446" t="s">
        <v>748</v>
      </c>
      <c r="P1111" s="449" t="s">
        <v>700</v>
      </c>
      <c r="Q1111" s="449"/>
      <c r="R1111" s="449"/>
      <c r="S1111" s="449" t="s">
        <v>765</v>
      </c>
      <c r="T1111" s="449" t="s">
        <v>701</v>
      </c>
      <c r="U1111" s="452">
        <v>0</v>
      </c>
      <c r="V11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1" s="272" t="str">
        <f>IFERROR(SUMIFS(TransUnitCost[Miles],TransUnitCost[Grouping_ID],TransTonsShort[[#This Row],[Grouping_ID]],TransUnitCost[Transp_ID],TransTonsShort[[#This Row],[Transp_ID]])*TransTonsShort[[#This Row],[Trans_Tons_All]]/TransTonsShort[[#This Row],[Trans_Tons_All]],"")</f>
        <v/>
      </c>
      <c r="X1111" s="386" t="str">
        <f>TransTonsShort[[#This Row],[Grouping_ID]]&amp;"-"&amp;TransTonsShort[[#This Row],[Sector_ID]]</f>
        <v>1-4</v>
      </c>
      <c r="Y11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1" s="421">
        <f>INDEX(LandfillFees[Disposal Tip Fee 2025],MATCH(TransTonsShort[[#This Row],[Grouping_ID]],LandfillFees[Grouping_ID],0))</f>
        <v>134.68</v>
      </c>
      <c r="AA1111" s="102">
        <f>IF(OR(TransTonsShort[[#This Row],[CollectionStream_ID]]="03",TransTonsShort[[#This Row],[CollectionStream_ID]]="04",TransTonsShort[[#This Row],[CollectionStream_ID]]="13"),0,TransTonsShort[[#This Row],[Trans_Tons_All]]*TransTonsShort[[#This Row],[Disposal_Fee]])</f>
        <v>0</v>
      </c>
    </row>
    <row r="1112" spans="12:27" ht="15" x14ac:dyDescent="0.25">
      <c r="L1112" s="446" t="s">
        <v>874</v>
      </c>
      <c r="M1112" s="446">
        <v>2</v>
      </c>
      <c r="N1112" s="446">
        <v>4</v>
      </c>
      <c r="O1112" s="446" t="s">
        <v>748</v>
      </c>
      <c r="P1112" s="449" t="s">
        <v>700</v>
      </c>
      <c r="Q1112" s="449"/>
      <c r="R1112" s="449"/>
      <c r="S1112" s="449" t="s">
        <v>765</v>
      </c>
      <c r="T1112" s="449" t="s">
        <v>701</v>
      </c>
      <c r="U1112" s="452">
        <v>0</v>
      </c>
      <c r="V11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2" s="272" t="str">
        <f>IFERROR(SUMIFS(TransUnitCost[Miles],TransUnitCost[Grouping_ID],TransTonsShort[[#This Row],[Grouping_ID]],TransUnitCost[Transp_ID],TransTonsShort[[#This Row],[Transp_ID]])*TransTonsShort[[#This Row],[Trans_Tons_All]]/TransTonsShort[[#This Row],[Trans_Tons_All]],"")</f>
        <v/>
      </c>
      <c r="X1112" s="386" t="str">
        <f>TransTonsShort[[#This Row],[Grouping_ID]]&amp;"-"&amp;TransTonsShort[[#This Row],[Sector_ID]]</f>
        <v>2-4</v>
      </c>
      <c r="Y11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2" s="421">
        <f>INDEX(LandfillFees[Disposal Tip Fee 2025],MATCH(TransTonsShort[[#This Row],[Grouping_ID]],LandfillFees[Grouping_ID],0))</f>
        <v>72.030938699729589</v>
      </c>
      <c r="AA1112" s="102">
        <f>IF(OR(TransTonsShort[[#This Row],[CollectionStream_ID]]="03",TransTonsShort[[#This Row],[CollectionStream_ID]]="04",TransTonsShort[[#This Row],[CollectionStream_ID]]="13"),0,TransTonsShort[[#This Row],[Trans_Tons_All]]*TransTonsShort[[#This Row],[Disposal_Fee]])</f>
        <v>0</v>
      </c>
    </row>
    <row r="1113" spans="12:27" ht="15" x14ac:dyDescent="0.25">
      <c r="L1113" s="446" t="s">
        <v>874</v>
      </c>
      <c r="M1113" s="446">
        <v>3</v>
      </c>
      <c r="N1113" s="446">
        <v>4</v>
      </c>
      <c r="O1113" s="446" t="s">
        <v>748</v>
      </c>
      <c r="P1113" s="449" t="s">
        <v>700</v>
      </c>
      <c r="Q1113" s="449"/>
      <c r="R1113" s="449"/>
      <c r="S1113" s="449" t="s">
        <v>765</v>
      </c>
      <c r="T1113" s="449" t="s">
        <v>701</v>
      </c>
      <c r="U1113" s="452">
        <v>0</v>
      </c>
      <c r="V11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3" s="272" t="str">
        <f>IFERROR(SUMIFS(TransUnitCost[Miles],TransUnitCost[Grouping_ID],TransTonsShort[[#This Row],[Grouping_ID]],TransUnitCost[Transp_ID],TransTonsShort[[#This Row],[Transp_ID]])*TransTonsShort[[#This Row],[Trans_Tons_All]]/TransTonsShort[[#This Row],[Trans_Tons_All]],"")</f>
        <v/>
      </c>
      <c r="X1113" s="386" t="str">
        <f>TransTonsShort[[#This Row],[Grouping_ID]]&amp;"-"&amp;TransTonsShort[[#This Row],[Sector_ID]]</f>
        <v>3-4</v>
      </c>
      <c r="Y11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3" s="421">
        <f>INDEX(LandfillFees[Disposal Tip Fee 2025],MATCH(TransTonsShort[[#This Row],[Grouping_ID]],LandfillFees[Grouping_ID],0))</f>
        <v>72.030938699729589</v>
      </c>
      <c r="AA1113" s="102">
        <f>IF(OR(TransTonsShort[[#This Row],[CollectionStream_ID]]="03",TransTonsShort[[#This Row],[CollectionStream_ID]]="04",TransTonsShort[[#This Row],[CollectionStream_ID]]="13"),0,TransTonsShort[[#This Row],[Trans_Tons_All]]*TransTonsShort[[#This Row],[Disposal_Fee]])</f>
        <v>0</v>
      </c>
    </row>
    <row r="1114" spans="12:27" ht="15" x14ac:dyDescent="0.25">
      <c r="L1114" s="446" t="s">
        <v>874</v>
      </c>
      <c r="M1114" s="446">
        <v>4</v>
      </c>
      <c r="N1114" s="446">
        <v>4</v>
      </c>
      <c r="O1114" s="446" t="s">
        <v>748</v>
      </c>
      <c r="P1114" s="449" t="s">
        <v>700</v>
      </c>
      <c r="Q1114" s="449"/>
      <c r="R1114" s="449"/>
      <c r="S1114" s="449" t="s">
        <v>765</v>
      </c>
      <c r="T1114" s="449" t="s">
        <v>701</v>
      </c>
      <c r="U1114" s="452">
        <v>0</v>
      </c>
      <c r="V11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4" s="272" t="str">
        <f>IFERROR(SUMIFS(TransUnitCost[Miles],TransUnitCost[Grouping_ID],TransTonsShort[[#This Row],[Grouping_ID]],TransUnitCost[Transp_ID],TransTonsShort[[#This Row],[Transp_ID]])*TransTonsShort[[#This Row],[Trans_Tons_All]]/TransTonsShort[[#This Row],[Trans_Tons_All]],"")</f>
        <v/>
      </c>
      <c r="X1114" s="386" t="str">
        <f>TransTonsShort[[#This Row],[Grouping_ID]]&amp;"-"&amp;TransTonsShort[[#This Row],[Sector_ID]]</f>
        <v>4-4</v>
      </c>
      <c r="Y11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4" s="421">
        <f>INDEX(LandfillFees[Disposal Tip Fee 2025],MATCH(TransTonsShort[[#This Row],[Grouping_ID]],LandfillFees[Grouping_ID],0))</f>
        <v>72.030938699729589</v>
      </c>
      <c r="AA1114" s="102">
        <f>IF(OR(TransTonsShort[[#This Row],[CollectionStream_ID]]="03",TransTonsShort[[#This Row],[CollectionStream_ID]]="04",TransTonsShort[[#This Row],[CollectionStream_ID]]="13"),0,TransTonsShort[[#This Row],[Trans_Tons_All]]*TransTonsShort[[#This Row],[Disposal_Fee]])</f>
        <v>0</v>
      </c>
    </row>
    <row r="1115" spans="12:27" ht="15" x14ac:dyDescent="0.25">
      <c r="L1115" s="446" t="s">
        <v>874</v>
      </c>
      <c r="M1115" s="446">
        <v>1</v>
      </c>
      <c r="N1115" s="446">
        <v>4</v>
      </c>
      <c r="O1115" s="446" t="s">
        <v>748</v>
      </c>
      <c r="P1115" s="449" t="s">
        <v>748</v>
      </c>
      <c r="Q1115" s="449"/>
      <c r="R1115" s="449"/>
      <c r="S1115" s="449" t="s">
        <v>765</v>
      </c>
      <c r="T1115" s="449" t="s">
        <v>849</v>
      </c>
      <c r="U1115" s="452">
        <v>0</v>
      </c>
      <c r="V11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5" s="272" t="str">
        <f>IFERROR(SUMIFS(TransUnitCost[Miles],TransUnitCost[Grouping_ID],TransTonsShort[[#This Row],[Grouping_ID]],TransUnitCost[Transp_ID],TransTonsShort[[#This Row],[Transp_ID]])*TransTonsShort[[#This Row],[Trans_Tons_All]]/TransTonsShort[[#This Row],[Trans_Tons_All]],"")</f>
        <v/>
      </c>
      <c r="X1115" s="386" t="str">
        <f>TransTonsShort[[#This Row],[Grouping_ID]]&amp;"-"&amp;TransTonsShort[[#This Row],[Sector_ID]]</f>
        <v>1-4</v>
      </c>
      <c r="Y11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5" s="421">
        <f>INDEX(LandfillFees[Disposal Tip Fee 2025],MATCH(TransTonsShort[[#This Row],[Grouping_ID]],LandfillFees[Grouping_ID],0))</f>
        <v>134.68</v>
      </c>
      <c r="AA1115" s="102">
        <f>IF(OR(TransTonsShort[[#This Row],[CollectionStream_ID]]="03",TransTonsShort[[#This Row],[CollectionStream_ID]]="04",TransTonsShort[[#This Row],[CollectionStream_ID]]="13"),0,TransTonsShort[[#This Row],[Trans_Tons_All]]*TransTonsShort[[#This Row],[Disposal_Fee]])</f>
        <v>0</v>
      </c>
    </row>
    <row r="1116" spans="12:27" ht="15" x14ac:dyDescent="0.25">
      <c r="L1116" s="446" t="s">
        <v>874</v>
      </c>
      <c r="M1116" s="446">
        <v>2</v>
      </c>
      <c r="N1116" s="446">
        <v>4</v>
      </c>
      <c r="O1116" s="446" t="s">
        <v>748</v>
      </c>
      <c r="P1116" s="449" t="s">
        <v>748</v>
      </c>
      <c r="Q1116" s="449"/>
      <c r="R1116" s="449"/>
      <c r="S1116" s="449" t="s">
        <v>765</v>
      </c>
      <c r="T1116" s="449" t="s">
        <v>849</v>
      </c>
      <c r="U1116" s="452">
        <v>0</v>
      </c>
      <c r="V11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6" s="272" t="str">
        <f>IFERROR(SUMIFS(TransUnitCost[Miles],TransUnitCost[Grouping_ID],TransTonsShort[[#This Row],[Grouping_ID]],TransUnitCost[Transp_ID],TransTonsShort[[#This Row],[Transp_ID]])*TransTonsShort[[#This Row],[Trans_Tons_All]]/TransTonsShort[[#This Row],[Trans_Tons_All]],"")</f>
        <v/>
      </c>
      <c r="X1116" s="386" t="str">
        <f>TransTonsShort[[#This Row],[Grouping_ID]]&amp;"-"&amp;TransTonsShort[[#This Row],[Sector_ID]]</f>
        <v>2-4</v>
      </c>
      <c r="Y11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6" s="421">
        <f>INDEX(LandfillFees[Disposal Tip Fee 2025],MATCH(TransTonsShort[[#This Row],[Grouping_ID]],LandfillFees[Grouping_ID],0))</f>
        <v>72.030938699729589</v>
      </c>
      <c r="AA1116" s="102">
        <f>IF(OR(TransTonsShort[[#This Row],[CollectionStream_ID]]="03",TransTonsShort[[#This Row],[CollectionStream_ID]]="04",TransTonsShort[[#This Row],[CollectionStream_ID]]="13"),0,TransTonsShort[[#This Row],[Trans_Tons_All]]*TransTonsShort[[#This Row],[Disposal_Fee]])</f>
        <v>0</v>
      </c>
    </row>
    <row r="1117" spans="12:27" ht="15" x14ac:dyDescent="0.25">
      <c r="L1117" s="446" t="s">
        <v>874</v>
      </c>
      <c r="M1117" s="446">
        <v>3</v>
      </c>
      <c r="N1117" s="446">
        <v>4</v>
      </c>
      <c r="O1117" s="446" t="s">
        <v>748</v>
      </c>
      <c r="P1117" s="449" t="s">
        <v>748</v>
      </c>
      <c r="Q1117" s="449"/>
      <c r="R1117" s="449"/>
      <c r="S1117" s="449" t="s">
        <v>765</v>
      </c>
      <c r="T1117" s="449" t="s">
        <v>849</v>
      </c>
      <c r="U1117" s="452">
        <v>0</v>
      </c>
      <c r="V11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7" s="272" t="str">
        <f>IFERROR(SUMIFS(TransUnitCost[Miles],TransUnitCost[Grouping_ID],TransTonsShort[[#This Row],[Grouping_ID]],TransUnitCost[Transp_ID],TransTonsShort[[#This Row],[Transp_ID]])*TransTonsShort[[#This Row],[Trans_Tons_All]]/TransTonsShort[[#This Row],[Trans_Tons_All]],"")</f>
        <v/>
      </c>
      <c r="X1117" s="386" t="str">
        <f>TransTonsShort[[#This Row],[Grouping_ID]]&amp;"-"&amp;TransTonsShort[[#This Row],[Sector_ID]]</f>
        <v>3-4</v>
      </c>
      <c r="Y11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7" s="421">
        <f>INDEX(LandfillFees[Disposal Tip Fee 2025],MATCH(TransTonsShort[[#This Row],[Grouping_ID]],LandfillFees[Grouping_ID],0))</f>
        <v>72.030938699729589</v>
      </c>
      <c r="AA1117" s="102">
        <f>IF(OR(TransTonsShort[[#This Row],[CollectionStream_ID]]="03",TransTonsShort[[#This Row],[CollectionStream_ID]]="04",TransTonsShort[[#This Row],[CollectionStream_ID]]="13"),0,TransTonsShort[[#This Row],[Trans_Tons_All]]*TransTonsShort[[#This Row],[Disposal_Fee]])</f>
        <v>0</v>
      </c>
    </row>
    <row r="1118" spans="12:27" ht="15" x14ac:dyDescent="0.25">
      <c r="L1118" s="446" t="s">
        <v>874</v>
      </c>
      <c r="M1118" s="446">
        <v>4</v>
      </c>
      <c r="N1118" s="446">
        <v>4</v>
      </c>
      <c r="O1118" s="446" t="s">
        <v>748</v>
      </c>
      <c r="P1118" s="449" t="s">
        <v>748</v>
      </c>
      <c r="Q1118" s="449"/>
      <c r="R1118" s="449"/>
      <c r="S1118" s="449" t="s">
        <v>765</v>
      </c>
      <c r="T1118" s="449" t="s">
        <v>849</v>
      </c>
      <c r="U1118" s="452">
        <v>0</v>
      </c>
      <c r="V11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8" s="272" t="str">
        <f>IFERROR(SUMIFS(TransUnitCost[Miles],TransUnitCost[Grouping_ID],TransTonsShort[[#This Row],[Grouping_ID]],TransUnitCost[Transp_ID],TransTonsShort[[#This Row],[Transp_ID]])*TransTonsShort[[#This Row],[Trans_Tons_All]]/TransTonsShort[[#This Row],[Trans_Tons_All]],"")</f>
        <v/>
      </c>
      <c r="X1118" s="386" t="str">
        <f>TransTonsShort[[#This Row],[Grouping_ID]]&amp;"-"&amp;TransTonsShort[[#This Row],[Sector_ID]]</f>
        <v>4-4</v>
      </c>
      <c r="Y11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8" s="421">
        <f>INDEX(LandfillFees[Disposal Tip Fee 2025],MATCH(TransTonsShort[[#This Row],[Grouping_ID]],LandfillFees[Grouping_ID],0))</f>
        <v>72.030938699729589</v>
      </c>
      <c r="AA1118" s="102">
        <f>IF(OR(TransTonsShort[[#This Row],[CollectionStream_ID]]="03",TransTonsShort[[#This Row],[CollectionStream_ID]]="04",TransTonsShort[[#This Row],[CollectionStream_ID]]="13"),0,TransTonsShort[[#This Row],[Trans_Tons_All]]*TransTonsShort[[#This Row],[Disposal_Fee]])</f>
        <v>0</v>
      </c>
    </row>
    <row r="1119" spans="12:27" ht="15" x14ac:dyDescent="0.25">
      <c r="L1119" s="446" t="s">
        <v>874</v>
      </c>
      <c r="M1119" s="446">
        <v>1</v>
      </c>
      <c r="N1119" s="446">
        <v>4</v>
      </c>
      <c r="O1119" s="446" t="s">
        <v>746</v>
      </c>
      <c r="P1119" s="449" t="s">
        <v>719</v>
      </c>
      <c r="Q1119" s="449"/>
      <c r="R1119" s="449"/>
      <c r="S1119" s="449" t="s">
        <v>762</v>
      </c>
      <c r="T1119" s="449" t="s">
        <v>1055</v>
      </c>
      <c r="U1119" s="452">
        <v>0</v>
      </c>
      <c r="V11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19" s="272" t="str">
        <f>IFERROR(SUMIFS(TransUnitCost[Miles],TransUnitCost[Grouping_ID],TransTonsShort[[#This Row],[Grouping_ID]],TransUnitCost[Transp_ID],TransTonsShort[[#This Row],[Transp_ID]])*TransTonsShort[[#This Row],[Trans_Tons_All]]/TransTonsShort[[#This Row],[Trans_Tons_All]],"")</f>
        <v/>
      </c>
      <c r="X1119" s="386" t="str">
        <f>TransTonsShort[[#This Row],[Grouping_ID]]&amp;"-"&amp;TransTonsShort[[#This Row],[Sector_ID]]</f>
        <v>1-4</v>
      </c>
      <c r="Y11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19" s="421">
        <f>INDEX(LandfillFees[Disposal Tip Fee 2025],MATCH(TransTonsShort[[#This Row],[Grouping_ID]],LandfillFees[Grouping_ID],0))</f>
        <v>134.68</v>
      </c>
      <c r="AA1119" s="102">
        <f>IF(OR(TransTonsShort[[#This Row],[CollectionStream_ID]]="03",TransTonsShort[[#This Row],[CollectionStream_ID]]="04",TransTonsShort[[#This Row],[CollectionStream_ID]]="13"),0,TransTonsShort[[#This Row],[Trans_Tons_All]]*TransTonsShort[[#This Row],[Disposal_Fee]])</f>
        <v>0</v>
      </c>
    </row>
    <row r="1120" spans="12:27" ht="15" x14ac:dyDescent="0.25">
      <c r="L1120" s="446" t="s">
        <v>874</v>
      </c>
      <c r="M1120" s="446">
        <v>2</v>
      </c>
      <c r="N1120" s="446">
        <v>4</v>
      </c>
      <c r="O1120" s="446" t="s">
        <v>746</v>
      </c>
      <c r="P1120" s="449" t="s">
        <v>719</v>
      </c>
      <c r="Q1120" s="449"/>
      <c r="R1120" s="449"/>
      <c r="S1120" s="449" t="s">
        <v>762</v>
      </c>
      <c r="T1120" s="449" t="s">
        <v>1055</v>
      </c>
      <c r="U1120" s="452">
        <v>0</v>
      </c>
      <c r="V11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0" s="272" t="str">
        <f>IFERROR(SUMIFS(TransUnitCost[Miles],TransUnitCost[Grouping_ID],TransTonsShort[[#This Row],[Grouping_ID]],TransUnitCost[Transp_ID],TransTonsShort[[#This Row],[Transp_ID]])*TransTonsShort[[#This Row],[Trans_Tons_All]]/TransTonsShort[[#This Row],[Trans_Tons_All]],"")</f>
        <v/>
      </c>
      <c r="X1120" s="386" t="str">
        <f>TransTonsShort[[#This Row],[Grouping_ID]]&amp;"-"&amp;TransTonsShort[[#This Row],[Sector_ID]]</f>
        <v>2-4</v>
      </c>
      <c r="Y11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0" s="421">
        <f>INDEX(LandfillFees[Disposal Tip Fee 2025],MATCH(TransTonsShort[[#This Row],[Grouping_ID]],LandfillFees[Grouping_ID],0))</f>
        <v>72.030938699729589</v>
      </c>
      <c r="AA1120" s="102">
        <f>IF(OR(TransTonsShort[[#This Row],[CollectionStream_ID]]="03",TransTonsShort[[#This Row],[CollectionStream_ID]]="04",TransTonsShort[[#This Row],[CollectionStream_ID]]="13"),0,TransTonsShort[[#This Row],[Trans_Tons_All]]*TransTonsShort[[#This Row],[Disposal_Fee]])</f>
        <v>0</v>
      </c>
    </row>
    <row r="1121" spans="12:27" ht="15" x14ac:dyDescent="0.25">
      <c r="L1121" s="446" t="s">
        <v>874</v>
      </c>
      <c r="M1121" s="446">
        <v>3</v>
      </c>
      <c r="N1121" s="446">
        <v>4</v>
      </c>
      <c r="O1121" s="446" t="s">
        <v>746</v>
      </c>
      <c r="P1121" s="449" t="s">
        <v>719</v>
      </c>
      <c r="Q1121" s="449"/>
      <c r="R1121" s="449"/>
      <c r="S1121" s="449" t="s">
        <v>762</v>
      </c>
      <c r="T1121" s="449" t="s">
        <v>1055</v>
      </c>
      <c r="U1121" s="452">
        <v>0</v>
      </c>
      <c r="V11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1" s="272" t="str">
        <f>IFERROR(SUMIFS(TransUnitCost[Miles],TransUnitCost[Grouping_ID],TransTonsShort[[#This Row],[Grouping_ID]],TransUnitCost[Transp_ID],TransTonsShort[[#This Row],[Transp_ID]])*TransTonsShort[[#This Row],[Trans_Tons_All]]/TransTonsShort[[#This Row],[Trans_Tons_All]],"")</f>
        <v/>
      </c>
      <c r="X1121" s="386" t="str">
        <f>TransTonsShort[[#This Row],[Grouping_ID]]&amp;"-"&amp;TransTonsShort[[#This Row],[Sector_ID]]</f>
        <v>3-4</v>
      </c>
      <c r="Y11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1" s="421">
        <f>INDEX(LandfillFees[Disposal Tip Fee 2025],MATCH(TransTonsShort[[#This Row],[Grouping_ID]],LandfillFees[Grouping_ID],0))</f>
        <v>72.030938699729589</v>
      </c>
      <c r="AA1121" s="102">
        <f>IF(OR(TransTonsShort[[#This Row],[CollectionStream_ID]]="03",TransTonsShort[[#This Row],[CollectionStream_ID]]="04",TransTonsShort[[#This Row],[CollectionStream_ID]]="13"),0,TransTonsShort[[#This Row],[Trans_Tons_All]]*TransTonsShort[[#This Row],[Disposal_Fee]])</f>
        <v>0</v>
      </c>
    </row>
    <row r="1122" spans="12:27" ht="15" x14ac:dyDescent="0.25">
      <c r="L1122" s="446" t="s">
        <v>874</v>
      </c>
      <c r="M1122" s="446">
        <v>4</v>
      </c>
      <c r="N1122" s="446">
        <v>4</v>
      </c>
      <c r="O1122" s="446" t="s">
        <v>746</v>
      </c>
      <c r="P1122" s="449" t="s">
        <v>719</v>
      </c>
      <c r="Q1122" s="449"/>
      <c r="R1122" s="449"/>
      <c r="S1122" s="449" t="s">
        <v>762</v>
      </c>
      <c r="T1122" s="449" t="s">
        <v>1055</v>
      </c>
      <c r="U1122" s="452">
        <v>0</v>
      </c>
      <c r="V11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2" s="272" t="str">
        <f>IFERROR(SUMIFS(TransUnitCost[Miles],TransUnitCost[Grouping_ID],TransTonsShort[[#This Row],[Grouping_ID]],TransUnitCost[Transp_ID],TransTonsShort[[#This Row],[Transp_ID]])*TransTonsShort[[#This Row],[Trans_Tons_All]]/TransTonsShort[[#This Row],[Trans_Tons_All]],"")</f>
        <v/>
      </c>
      <c r="X1122" s="386" t="str">
        <f>TransTonsShort[[#This Row],[Grouping_ID]]&amp;"-"&amp;TransTonsShort[[#This Row],[Sector_ID]]</f>
        <v>4-4</v>
      </c>
      <c r="Y11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2" s="421">
        <f>INDEX(LandfillFees[Disposal Tip Fee 2025],MATCH(TransTonsShort[[#This Row],[Grouping_ID]],LandfillFees[Grouping_ID],0))</f>
        <v>72.030938699729589</v>
      </c>
      <c r="AA1122" s="102">
        <f>IF(OR(TransTonsShort[[#This Row],[CollectionStream_ID]]="03",TransTonsShort[[#This Row],[CollectionStream_ID]]="04",TransTonsShort[[#This Row],[CollectionStream_ID]]="13"),0,TransTonsShort[[#This Row],[Trans_Tons_All]]*TransTonsShort[[#This Row],[Disposal_Fee]])</f>
        <v>0</v>
      </c>
    </row>
    <row r="1123" spans="12:27" ht="15" x14ac:dyDescent="0.25">
      <c r="L1123" s="446" t="s">
        <v>874</v>
      </c>
      <c r="M1123" s="446">
        <v>1</v>
      </c>
      <c r="N1123" s="446">
        <v>4</v>
      </c>
      <c r="O1123" s="446" t="s">
        <v>746</v>
      </c>
      <c r="P1123" s="450" t="s">
        <v>700</v>
      </c>
      <c r="Q1123" s="450"/>
      <c r="R1123" s="450"/>
      <c r="S1123" s="449" t="s">
        <v>762</v>
      </c>
      <c r="T1123" s="449" t="s">
        <v>701</v>
      </c>
      <c r="U1123" s="452">
        <v>0</v>
      </c>
      <c r="V11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3" s="272" t="str">
        <f>IFERROR(SUMIFS(TransUnitCost[Miles],TransUnitCost[Grouping_ID],TransTonsShort[[#This Row],[Grouping_ID]],TransUnitCost[Transp_ID],TransTonsShort[[#This Row],[Transp_ID]])*TransTonsShort[[#This Row],[Trans_Tons_All]]/TransTonsShort[[#This Row],[Trans_Tons_All]],"")</f>
        <v/>
      </c>
      <c r="X1123" s="386" t="str">
        <f>TransTonsShort[[#This Row],[Grouping_ID]]&amp;"-"&amp;TransTonsShort[[#This Row],[Sector_ID]]</f>
        <v>1-4</v>
      </c>
      <c r="Y11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3" s="421">
        <f>INDEX(LandfillFees[Disposal Tip Fee 2025],MATCH(TransTonsShort[[#This Row],[Grouping_ID]],LandfillFees[Grouping_ID],0))</f>
        <v>134.68</v>
      </c>
      <c r="AA1123" s="102">
        <f>IF(OR(TransTonsShort[[#This Row],[CollectionStream_ID]]="03",TransTonsShort[[#This Row],[CollectionStream_ID]]="04",TransTonsShort[[#This Row],[CollectionStream_ID]]="13"),0,TransTonsShort[[#This Row],[Trans_Tons_All]]*TransTonsShort[[#This Row],[Disposal_Fee]])</f>
        <v>0</v>
      </c>
    </row>
    <row r="1124" spans="12:27" ht="15" x14ac:dyDescent="0.25">
      <c r="L1124" s="446" t="s">
        <v>874</v>
      </c>
      <c r="M1124" s="446">
        <v>2</v>
      </c>
      <c r="N1124" s="446">
        <v>4</v>
      </c>
      <c r="O1124" s="446" t="s">
        <v>746</v>
      </c>
      <c r="P1124" s="450" t="s">
        <v>700</v>
      </c>
      <c r="Q1124" s="450"/>
      <c r="R1124" s="450"/>
      <c r="S1124" s="449" t="s">
        <v>762</v>
      </c>
      <c r="T1124" s="449" t="s">
        <v>701</v>
      </c>
      <c r="U1124" s="452">
        <v>0</v>
      </c>
      <c r="V11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4" s="272" t="str">
        <f>IFERROR(SUMIFS(TransUnitCost[Miles],TransUnitCost[Grouping_ID],TransTonsShort[[#This Row],[Grouping_ID]],TransUnitCost[Transp_ID],TransTonsShort[[#This Row],[Transp_ID]])*TransTonsShort[[#This Row],[Trans_Tons_All]]/TransTonsShort[[#This Row],[Trans_Tons_All]],"")</f>
        <v/>
      </c>
      <c r="X1124" s="386" t="str">
        <f>TransTonsShort[[#This Row],[Grouping_ID]]&amp;"-"&amp;TransTonsShort[[#This Row],[Sector_ID]]</f>
        <v>2-4</v>
      </c>
      <c r="Y11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4" s="421">
        <f>INDEX(LandfillFees[Disposal Tip Fee 2025],MATCH(TransTonsShort[[#This Row],[Grouping_ID]],LandfillFees[Grouping_ID],0))</f>
        <v>72.030938699729589</v>
      </c>
      <c r="AA1124" s="102">
        <f>IF(OR(TransTonsShort[[#This Row],[CollectionStream_ID]]="03",TransTonsShort[[#This Row],[CollectionStream_ID]]="04",TransTonsShort[[#This Row],[CollectionStream_ID]]="13"),0,TransTonsShort[[#This Row],[Trans_Tons_All]]*TransTonsShort[[#This Row],[Disposal_Fee]])</f>
        <v>0</v>
      </c>
    </row>
    <row r="1125" spans="12:27" ht="15" x14ac:dyDescent="0.25">
      <c r="L1125" s="446" t="s">
        <v>874</v>
      </c>
      <c r="M1125" s="446">
        <v>3</v>
      </c>
      <c r="N1125" s="446">
        <v>4</v>
      </c>
      <c r="O1125" s="446" t="s">
        <v>746</v>
      </c>
      <c r="P1125" s="450" t="s">
        <v>700</v>
      </c>
      <c r="Q1125" s="450"/>
      <c r="R1125" s="450"/>
      <c r="S1125" s="449" t="s">
        <v>762</v>
      </c>
      <c r="T1125" s="449" t="s">
        <v>701</v>
      </c>
      <c r="U1125" s="452">
        <v>0</v>
      </c>
      <c r="V11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5" s="272" t="str">
        <f>IFERROR(SUMIFS(TransUnitCost[Miles],TransUnitCost[Grouping_ID],TransTonsShort[[#This Row],[Grouping_ID]],TransUnitCost[Transp_ID],TransTonsShort[[#This Row],[Transp_ID]])*TransTonsShort[[#This Row],[Trans_Tons_All]]/TransTonsShort[[#This Row],[Trans_Tons_All]],"")</f>
        <v/>
      </c>
      <c r="X1125" s="386" t="str">
        <f>TransTonsShort[[#This Row],[Grouping_ID]]&amp;"-"&amp;TransTonsShort[[#This Row],[Sector_ID]]</f>
        <v>3-4</v>
      </c>
      <c r="Y11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5" s="421">
        <f>INDEX(LandfillFees[Disposal Tip Fee 2025],MATCH(TransTonsShort[[#This Row],[Grouping_ID]],LandfillFees[Grouping_ID],0))</f>
        <v>72.030938699729589</v>
      </c>
      <c r="AA1125" s="102">
        <f>IF(OR(TransTonsShort[[#This Row],[CollectionStream_ID]]="03",TransTonsShort[[#This Row],[CollectionStream_ID]]="04",TransTonsShort[[#This Row],[CollectionStream_ID]]="13"),0,TransTonsShort[[#This Row],[Trans_Tons_All]]*TransTonsShort[[#This Row],[Disposal_Fee]])</f>
        <v>0</v>
      </c>
    </row>
    <row r="1126" spans="12:27" ht="15" x14ac:dyDescent="0.25">
      <c r="L1126" s="446" t="s">
        <v>874</v>
      </c>
      <c r="M1126" s="446">
        <v>4</v>
      </c>
      <c r="N1126" s="446">
        <v>4</v>
      </c>
      <c r="O1126" s="446" t="s">
        <v>746</v>
      </c>
      <c r="P1126" s="450" t="s">
        <v>700</v>
      </c>
      <c r="Q1126" s="450"/>
      <c r="R1126" s="450"/>
      <c r="S1126" s="449" t="s">
        <v>762</v>
      </c>
      <c r="T1126" s="449" t="s">
        <v>701</v>
      </c>
      <c r="U1126" s="452">
        <v>0</v>
      </c>
      <c r="V11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6" s="272" t="str">
        <f>IFERROR(SUMIFS(TransUnitCost[Miles],TransUnitCost[Grouping_ID],TransTonsShort[[#This Row],[Grouping_ID]],TransUnitCost[Transp_ID],TransTonsShort[[#This Row],[Transp_ID]])*TransTonsShort[[#This Row],[Trans_Tons_All]]/TransTonsShort[[#This Row],[Trans_Tons_All]],"")</f>
        <v/>
      </c>
      <c r="X1126" s="386" t="str">
        <f>TransTonsShort[[#This Row],[Grouping_ID]]&amp;"-"&amp;TransTonsShort[[#This Row],[Sector_ID]]</f>
        <v>4-4</v>
      </c>
      <c r="Y11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6" s="421">
        <f>INDEX(LandfillFees[Disposal Tip Fee 2025],MATCH(TransTonsShort[[#This Row],[Grouping_ID]],LandfillFees[Grouping_ID],0))</f>
        <v>72.030938699729589</v>
      </c>
      <c r="AA1126" s="102">
        <f>IF(OR(TransTonsShort[[#This Row],[CollectionStream_ID]]="03",TransTonsShort[[#This Row],[CollectionStream_ID]]="04",TransTonsShort[[#This Row],[CollectionStream_ID]]="13"),0,TransTonsShort[[#This Row],[Trans_Tons_All]]*TransTonsShort[[#This Row],[Disposal_Fee]])</f>
        <v>0</v>
      </c>
    </row>
    <row r="1127" spans="12:27" ht="15" x14ac:dyDescent="0.25">
      <c r="L1127" s="446" t="s">
        <v>874</v>
      </c>
      <c r="M1127" s="446">
        <v>1</v>
      </c>
      <c r="N1127" s="446">
        <v>4</v>
      </c>
      <c r="O1127" s="446" t="s">
        <v>746</v>
      </c>
      <c r="P1127" s="449" t="s">
        <v>746</v>
      </c>
      <c r="Q1127" s="449"/>
      <c r="R1127" s="449"/>
      <c r="S1127" s="449" t="s">
        <v>762</v>
      </c>
      <c r="T1127" s="449" t="s">
        <v>848</v>
      </c>
      <c r="U1127" s="452">
        <v>0</v>
      </c>
      <c r="V11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7" s="272" t="str">
        <f>IFERROR(SUMIFS(TransUnitCost[Miles],TransUnitCost[Grouping_ID],TransTonsShort[[#This Row],[Grouping_ID]],TransUnitCost[Transp_ID],TransTonsShort[[#This Row],[Transp_ID]])*TransTonsShort[[#This Row],[Trans_Tons_All]]/TransTonsShort[[#This Row],[Trans_Tons_All]],"")</f>
        <v/>
      </c>
      <c r="X1127" s="386" t="str">
        <f>TransTonsShort[[#This Row],[Grouping_ID]]&amp;"-"&amp;TransTonsShort[[#This Row],[Sector_ID]]</f>
        <v>1-4</v>
      </c>
      <c r="Y11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7" s="421">
        <f>INDEX(LandfillFees[Disposal Tip Fee 2025],MATCH(TransTonsShort[[#This Row],[Grouping_ID]],LandfillFees[Grouping_ID],0))</f>
        <v>134.68</v>
      </c>
      <c r="AA1127" s="102">
        <f>IF(OR(TransTonsShort[[#This Row],[CollectionStream_ID]]="03",TransTonsShort[[#This Row],[CollectionStream_ID]]="04",TransTonsShort[[#This Row],[CollectionStream_ID]]="13"),0,TransTonsShort[[#This Row],[Trans_Tons_All]]*TransTonsShort[[#This Row],[Disposal_Fee]])</f>
        <v>0</v>
      </c>
    </row>
    <row r="1128" spans="12:27" ht="15" x14ac:dyDescent="0.25">
      <c r="L1128" s="446" t="s">
        <v>874</v>
      </c>
      <c r="M1128" s="446">
        <v>2</v>
      </c>
      <c r="N1128" s="446">
        <v>4</v>
      </c>
      <c r="O1128" s="446" t="s">
        <v>746</v>
      </c>
      <c r="P1128" s="449" t="s">
        <v>746</v>
      </c>
      <c r="Q1128" s="449"/>
      <c r="R1128" s="449"/>
      <c r="S1128" s="449" t="s">
        <v>762</v>
      </c>
      <c r="T1128" s="449" t="s">
        <v>848</v>
      </c>
      <c r="U1128" s="452">
        <v>0</v>
      </c>
      <c r="V11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8" s="272" t="str">
        <f>IFERROR(SUMIFS(TransUnitCost[Miles],TransUnitCost[Grouping_ID],TransTonsShort[[#This Row],[Grouping_ID]],TransUnitCost[Transp_ID],TransTonsShort[[#This Row],[Transp_ID]])*TransTonsShort[[#This Row],[Trans_Tons_All]]/TransTonsShort[[#This Row],[Trans_Tons_All]],"")</f>
        <v/>
      </c>
      <c r="X1128" s="386" t="str">
        <f>TransTonsShort[[#This Row],[Grouping_ID]]&amp;"-"&amp;TransTonsShort[[#This Row],[Sector_ID]]</f>
        <v>2-4</v>
      </c>
      <c r="Y11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8" s="421">
        <f>INDEX(LandfillFees[Disposal Tip Fee 2025],MATCH(TransTonsShort[[#This Row],[Grouping_ID]],LandfillFees[Grouping_ID],0))</f>
        <v>72.030938699729589</v>
      </c>
      <c r="AA1128" s="102">
        <f>IF(OR(TransTonsShort[[#This Row],[CollectionStream_ID]]="03",TransTonsShort[[#This Row],[CollectionStream_ID]]="04",TransTonsShort[[#This Row],[CollectionStream_ID]]="13"),0,TransTonsShort[[#This Row],[Trans_Tons_All]]*TransTonsShort[[#This Row],[Disposal_Fee]])</f>
        <v>0</v>
      </c>
    </row>
    <row r="1129" spans="12:27" ht="15" x14ac:dyDescent="0.25">
      <c r="L1129" s="446" t="s">
        <v>874</v>
      </c>
      <c r="M1129" s="446">
        <v>3</v>
      </c>
      <c r="N1129" s="446">
        <v>4</v>
      </c>
      <c r="O1129" s="446" t="s">
        <v>746</v>
      </c>
      <c r="P1129" s="449" t="s">
        <v>746</v>
      </c>
      <c r="Q1129" s="449"/>
      <c r="R1129" s="449"/>
      <c r="S1129" s="449" t="s">
        <v>762</v>
      </c>
      <c r="T1129" s="449" t="s">
        <v>848</v>
      </c>
      <c r="U1129" s="452">
        <v>0</v>
      </c>
      <c r="V11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29" s="272" t="str">
        <f>IFERROR(SUMIFS(TransUnitCost[Miles],TransUnitCost[Grouping_ID],TransTonsShort[[#This Row],[Grouping_ID]],TransUnitCost[Transp_ID],TransTonsShort[[#This Row],[Transp_ID]])*TransTonsShort[[#This Row],[Trans_Tons_All]]/TransTonsShort[[#This Row],[Trans_Tons_All]],"")</f>
        <v/>
      </c>
      <c r="X1129" s="386" t="str">
        <f>TransTonsShort[[#This Row],[Grouping_ID]]&amp;"-"&amp;TransTonsShort[[#This Row],[Sector_ID]]</f>
        <v>3-4</v>
      </c>
      <c r="Y11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29" s="421">
        <f>INDEX(LandfillFees[Disposal Tip Fee 2025],MATCH(TransTonsShort[[#This Row],[Grouping_ID]],LandfillFees[Grouping_ID],0))</f>
        <v>72.030938699729589</v>
      </c>
      <c r="AA1129" s="102">
        <f>IF(OR(TransTonsShort[[#This Row],[CollectionStream_ID]]="03",TransTonsShort[[#This Row],[CollectionStream_ID]]="04",TransTonsShort[[#This Row],[CollectionStream_ID]]="13"),0,TransTonsShort[[#This Row],[Trans_Tons_All]]*TransTonsShort[[#This Row],[Disposal_Fee]])</f>
        <v>0</v>
      </c>
    </row>
    <row r="1130" spans="12:27" ht="15" x14ac:dyDescent="0.25">
      <c r="L1130" s="446" t="s">
        <v>874</v>
      </c>
      <c r="M1130" s="446">
        <v>4</v>
      </c>
      <c r="N1130" s="446">
        <v>4</v>
      </c>
      <c r="O1130" s="446" t="s">
        <v>746</v>
      </c>
      <c r="P1130" s="449" t="s">
        <v>746</v>
      </c>
      <c r="Q1130" s="449"/>
      <c r="R1130" s="449"/>
      <c r="S1130" s="449" t="s">
        <v>762</v>
      </c>
      <c r="T1130" s="449" t="s">
        <v>848</v>
      </c>
      <c r="U1130" s="452">
        <v>0</v>
      </c>
      <c r="V11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0" s="272" t="str">
        <f>IFERROR(SUMIFS(TransUnitCost[Miles],TransUnitCost[Grouping_ID],TransTonsShort[[#This Row],[Grouping_ID]],TransUnitCost[Transp_ID],TransTonsShort[[#This Row],[Transp_ID]])*TransTonsShort[[#This Row],[Trans_Tons_All]]/TransTonsShort[[#This Row],[Trans_Tons_All]],"")</f>
        <v/>
      </c>
      <c r="X1130" s="386" t="str">
        <f>TransTonsShort[[#This Row],[Grouping_ID]]&amp;"-"&amp;TransTonsShort[[#This Row],[Sector_ID]]</f>
        <v>4-4</v>
      </c>
      <c r="Y11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30" s="421">
        <f>INDEX(LandfillFees[Disposal Tip Fee 2025],MATCH(TransTonsShort[[#This Row],[Grouping_ID]],LandfillFees[Grouping_ID],0))</f>
        <v>72.030938699729589</v>
      </c>
      <c r="AA1130" s="102">
        <f>IF(OR(TransTonsShort[[#This Row],[CollectionStream_ID]]="03",TransTonsShort[[#This Row],[CollectionStream_ID]]="04",TransTonsShort[[#This Row],[CollectionStream_ID]]="13"),0,TransTonsShort[[#This Row],[Trans_Tons_All]]*TransTonsShort[[#This Row],[Disposal_Fee]])</f>
        <v>0</v>
      </c>
    </row>
    <row r="1131" spans="12:27" ht="15" x14ac:dyDescent="0.25">
      <c r="L1131" s="446" t="s">
        <v>874</v>
      </c>
      <c r="M1131" s="446">
        <v>1</v>
      </c>
      <c r="N1131" s="446">
        <v>4</v>
      </c>
      <c r="O1131" s="446" t="s">
        <v>706</v>
      </c>
      <c r="P1131" s="449" t="s">
        <v>739</v>
      </c>
      <c r="Q1131" s="449"/>
      <c r="R1131" s="449"/>
      <c r="S1131" s="449" t="s">
        <v>707</v>
      </c>
      <c r="T1131" s="449" t="s">
        <v>1121</v>
      </c>
      <c r="U1131" s="452">
        <v>0</v>
      </c>
      <c r="V11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1" s="272" t="str">
        <f>IFERROR(SUMIFS(TransUnitCost[Miles],TransUnitCost[Grouping_ID],TransTonsShort[[#This Row],[Grouping_ID]],TransUnitCost[Transp_ID],TransTonsShort[[#This Row],[Transp_ID]])*TransTonsShort[[#This Row],[Trans_Tons_All]]/TransTonsShort[[#This Row],[Trans_Tons_All]],"")</f>
        <v/>
      </c>
      <c r="X1131" s="386" t="str">
        <f>TransTonsShort[[#This Row],[Grouping_ID]]&amp;"-"&amp;TransTonsShort[[#This Row],[Sector_ID]]</f>
        <v>1-4</v>
      </c>
      <c r="Y11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1" s="421">
        <f>INDEX(LandfillFees[Disposal Tip Fee 2025],MATCH(TransTonsShort[[#This Row],[Grouping_ID]],LandfillFees[Grouping_ID],0))</f>
        <v>134.68</v>
      </c>
      <c r="AA1131" s="102">
        <f>IF(OR(TransTonsShort[[#This Row],[CollectionStream_ID]]="03",TransTonsShort[[#This Row],[CollectionStream_ID]]="04",TransTonsShort[[#This Row],[CollectionStream_ID]]="13"),0,TransTonsShort[[#This Row],[Trans_Tons_All]]*TransTonsShort[[#This Row],[Disposal_Fee]])</f>
        <v>0</v>
      </c>
    </row>
    <row r="1132" spans="12:27" ht="15" x14ac:dyDescent="0.25">
      <c r="L1132" s="446" t="s">
        <v>874</v>
      </c>
      <c r="M1132" s="446">
        <v>2</v>
      </c>
      <c r="N1132" s="446">
        <v>4</v>
      </c>
      <c r="O1132" s="446" t="s">
        <v>706</v>
      </c>
      <c r="P1132" s="449" t="s">
        <v>739</v>
      </c>
      <c r="Q1132" s="449"/>
      <c r="R1132" s="449"/>
      <c r="S1132" s="449" t="s">
        <v>707</v>
      </c>
      <c r="T1132" s="449" t="s">
        <v>1121</v>
      </c>
      <c r="U1132" s="452">
        <v>3686.5693753982687</v>
      </c>
      <c r="V11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152255.3152039485</v>
      </c>
      <c r="W1132" s="272">
        <f>IFERROR(SUMIFS(TransUnitCost[Miles],TransUnitCost[Grouping_ID],TransTonsShort[[#This Row],[Grouping_ID]],TransUnitCost[Transp_ID],TransTonsShort[[#This Row],[Transp_ID]])*TransTonsShort[[#This Row],[Trans_Tons_All]]/TransTonsShort[[#This Row],[Trans_Tons_All]],"")</f>
        <v>70</v>
      </c>
      <c r="X1132" s="386" t="str">
        <f>TransTonsShort[[#This Row],[Grouping_ID]]&amp;"-"&amp;TransTonsShort[[#This Row],[Sector_ID]]</f>
        <v>2-4</v>
      </c>
      <c r="Y11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2" s="421">
        <f>INDEX(LandfillFees[Disposal Tip Fee 2025],MATCH(TransTonsShort[[#This Row],[Grouping_ID]],LandfillFees[Grouping_ID],0))</f>
        <v>72.030938699729589</v>
      </c>
      <c r="AA1132" s="102">
        <f>IF(OR(TransTonsShort[[#This Row],[CollectionStream_ID]]="03",TransTonsShort[[#This Row],[CollectionStream_ID]]="04",TransTonsShort[[#This Row],[CollectionStream_ID]]="13"),0,TransTonsShort[[#This Row],[Trans_Tons_All]]*TransTonsShort[[#This Row],[Disposal_Fee]])</f>
        <v>265547.05269161309</v>
      </c>
    </row>
    <row r="1133" spans="12:27" ht="15" x14ac:dyDescent="0.25">
      <c r="L1133" s="446" t="s">
        <v>874</v>
      </c>
      <c r="M1133" s="446">
        <v>3</v>
      </c>
      <c r="N1133" s="446">
        <v>4</v>
      </c>
      <c r="O1133" s="446" t="s">
        <v>706</v>
      </c>
      <c r="P1133" s="449" t="s">
        <v>739</v>
      </c>
      <c r="Q1133" s="449"/>
      <c r="R1133" s="449"/>
      <c r="S1133" s="449" t="s">
        <v>707</v>
      </c>
      <c r="T1133" s="449" t="s">
        <v>1121</v>
      </c>
      <c r="U1133" s="452">
        <v>2275.6733198532652</v>
      </c>
      <c r="V11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81924.239514717541</v>
      </c>
      <c r="W1133" s="272">
        <f>IFERROR(SUMIFS(TransUnitCost[Miles],TransUnitCost[Grouping_ID],TransTonsShort[[#This Row],[Grouping_ID]],TransUnitCost[Transp_ID],TransTonsShort[[#This Row],[Transp_ID]])*TransTonsShort[[#This Row],[Trans_Tons_All]]/TransTonsShort[[#This Row],[Trans_Tons_All]],"")</f>
        <v>150</v>
      </c>
      <c r="X1133" s="386" t="str">
        <f>TransTonsShort[[#This Row],[Grouping_ID]]&amp;"-"&amp;TransTonsShort[[#This Row],[Sector_ID]]</f>
        <v>3-4</v>
      </c>
      <c r="Y11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3" s="421">
        <f>INDEX(LandfillFees[Disposal Tip Fee 2025],MATCH(TransTonsShort[[#This Row],[Grouping_ID]],LandfillFees[Grouping_ID],0))</f>
        <v>72.030938699729589</v>
      </c>
      <c r="AA1133" s="102">
        <f>IF(OR(TransTonsShort[[#This Row],[CollectionStream_ID]]="03",TransTonsShort[[#This Row],[CollectionStream_ID]]="04",TransTonsShort[[#This Row],[CollectionStream_ID]]="13"),0,TransTonsShort[[#This Row],[Trans_Tons_All]]*TransTonsShort[[#This Row],[Disposal_Fee]])</f>
        <v>163918.88540296067</v>
      </c>
    </row>
    <row r="1134" spans="12:27" ht="15" x14ac:dyDescent="0.25">
      <c r="L1134" s="446" t="s">
        <v>874</v>
      </c>
      <c r="M1134" s="446">
        <v>4</v>
      </c>
      <c r="N1134" s="446">
        <v>4</v>
      </c>
      <c r="O1134" s="446" t="s">
        <v>706</v>
      </c>
      <c r="P1134" s="449" t="s">
        <v>739</v>
      </c>
      <c r="Q1134" s="449"/>
      <c r="R1134" s="449"/>
      <c r="S1134" s="449" t="s">
        <v>707</v>
      </c>
      <c r="T1134" s="449" t="s">
        <v>1121</v>
      </c>
      <c r="U1134" s="452">
        <v>1699.8498513891011</v>
      </c>
      <c r="V11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93491.741826400554</v>
      </c>
      <c r="W1134" s="272">
        <f>IFERROR(SUMIFS(TransUnitCost[Miles],TransUnitCost[Grouping_ID],TransTonsShort[[#This Row],[Grouping_ID]],TransUnitCost[Transp_ID],TransTonsShort[[#This Row],[Transp_ID]])*TransTonsShort[[#This Row],[Trans_Tons_All]]/TransTonsShort[[#This Row],[Trans_Tons_All]],"")</f>
        <v>250</v>
      </c>
      <c r="X1134" s="386" t="str">
        <f>TransTonsShort[[#This Row],[Grouping_ID]]&amp;"-"&amp;TransTonsShort[[#This Row],[Sector_ID]]</f>
        <v>4-4</v>
      </c>
      <c r="Y11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4" s="421">
        <f>INDEX(LandfillFees[Disposal Tip Fee 2025],MATCH(TransTonsShort[[#This Row],[Grouping_ID]],LandfillFees[Grouping_ID],0))</f>
        <v>72.030938699729589</v>
      </c>
      <c r="AA1134" s="102">
        <f>IF(OR(TransTonsShort[[#This Row],[CollectionStream_ID]]="03",TransTonsShort[[#This Row],[CollectionStream_ID]]="04",TransTonsShort[[#This Row],[CollectionStream_ID]]="13"),0,TransTonsShort[[#This Row],[Trans_Tons_All]]*TransTonsShort[[#This Row],[Disposal_Fee]])</f>
        <v>122441.7804441528</v>
      </c>
    </row>
    <row r="1135" spans="12:27" ht="15" x14ac:dyDescent="0.25">
      <c r="L1135" s="446" t="s">
        <v>874</v>
      </c>
      <c r="M1135" s="446">
        <v>1</v>
      </c>
      <c r="N1135" s="446">
        <v>4</v>
      </c>
      <c r="O1135" s="446" t="s">
        <v>706</v>
      </c>
      <c r="P1135" s="449" t="s">
        <v>700</v>
      </c>
      <c r="Q1135" s="449"/>
      <c r="R1135" s="449"/>
      <c r="S1135" s="449" t="s">
        <v>707</v>
      </c>
      <c r="T1135" s="449" t="s">
        <v>701</v>
      </c>
      <c r="U1135" s="452">
        <v>225.02921433829084</v>
      </c>
      <c r="V11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5" s="272">
        <f>IFERROR(SUMIFS(TransUnitCost[Miles],TransUnitCost[Grouping_ID],TransTonsShort[[#This Row],[Grouping_ID]],TransUnitCost[Transp_ID],TransTonsShort[[#This Row],[Transp_ID]])*TransTonsShort[[#This Row],[Trans_Tons_All]]/TransTonsShort[[#This Row],[Trans_Tons_All]],"")</f>
        <v>0</v>
      </c>
      <c r="X1135" s="386" t="str">
        <f>TransTonsShort[[#This Row],[Grouping_ID]]&amp;"-"&amp;TransTonsShort[[#This Row],[Sector_ID]]</f>
        <v>1-4</v>
      </c>
      <c r="Y11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5" s="421">
        <f>INDEX(LandfillFees[Disposal Tip Fee 2025],MATCH(TransTonsShort[[#This Row],[Grouping_ID]],LandfillFees[Grouping_ID],0))</f>
        <v>134.68</v>
      </c>
      <c r="AA1135" s="102">
        <f>IF(OR(TransTonsShort[[#This Row],[CollectionStream_ID]]="03",TransTonsShort[[#This Row],[CollectionStream_ID]]="04",TransTonsShort[[#This Row],[CollectionStream_ID]]="13"),0,TransTonsShort[[#This Row],[Trans_Tons_All]]*TransTonsShort[[#This Row],[Disposal_Fee]])</f>
        <v>30306.934587081014</v>
      </c>
    </row>
    <row r="1136" spans="12:27" ht="15" x14ac:dyDescent="0.25">
      <c r="L1136" s="446" t="s">
        <v>874</v>
      </c>
      <c r="M1136" s="446">
        <v>2</v>
      </c>
      <c r="N1136" s="446">
        <v>4</v>
      </c>
      <c r="O1136" s="446" t="s">
        <v>706</v>
      </c>
      <c r="P1136" s="449" t="s">
        <v>700</v>
      </c>
      <c r="Q1136" s="449"/>
      <c r="R1136" s="449"/>
      <c r="S1136" s="449" t="s">
        <v>707</v>
      </c>
      <c r="T1136" s="449" t="s">
        <v>701</v>
      </c>
      <c r="U1136" s="452">
        <v>0</v>
      </c>
      <c r="V11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6" s="272" t="str">
        <f>IFERROR(SUMIFS(TransUnitCost[Miles],TransUnitCost[Grouping_ID],TransTonsShort[[#This Row],[Grouping_ID]],TransUnitCost[Transp_ID],TransTonsShort[[#This Row],[Transp_ID]])*TransTonsShort[[#This Row],[Trans_Tons_All]]/TransTonsShort[[#This Row],[Trans_Tons_All]],"")</f>
        <v/>
      </c>
      <c r="X1136" s="386" t="str">
        <f>TransTonsShort[[#This Row],[Grouping_ID]]&amp;"-"&amp;TransTonsShort[[#This Row],[Sector_ID]]</f>
        <v>2-4</v>
      </c>
      <c r="Y11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6" s="421">
        <f>INDEX(LandfillFees[Disposal Tip Fee 2025],MATCH(TransTonsShort[[#This Row],[Grouping_ID]],LandfillFees[Grouping_ID],0))</f>
        <v>72.030938699729589</v>
      </c>
      <c r="AA1136" s="102">
        <f>IF(OR(TransTonsShort[[#This Row],[CollectionStream_ID]]="03",TransTonsShort[[#This Row],[CollectionStream_ID]]="04",TransTonsShort[[#This Row],[CollectionStream_ID]]="13"),0,TransTonsShort[[#This Row],[Trans_Tons_All]]*TransTonsShort[[#This Row],[Disposal_Fee]])</f>
        <v>0</v>
      </c>
    </row>
    <row r="1137" spans="12:27" ht="15" x14ac:dyDescent="0.25">
      <c r="L1137" s="446" t="s">
        <v>874</v>
      </c>
      <c r="M1137" s="446">
        <v>3</v>
      </c>
      <c r="N1137" s="446">
        <v>4</v>
      </c>
      <c r="O1137" s="446" t="s">
        <v>706</v>
      </c>
      <c r="P1137" s="449" t="s">
        <v>700</v>
      </c>
      <c r="Q1137" s="449"/>
      <c r="R1137" s="449"/>
      <c r="S1137" s="449" t="s">
        <v>707</v>
      </c>
      <c r="T1137" s="449" t="s">
        <v>701</v>
      </c>
      <c r="U1137" s="452">
        <v>0</v>
      </c>
      <c r="V11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7" s="272" t="str">
        <f>IFERROR(SUMIFS(TransUnitCost[Miles],TransUnitCost[Grouping_ID],TransTonsShort[[#This Row],[Grouping_ID]],TransUnitCost[Transp_ID],TransTonsShort[[#This Row],[Transp_ID]])*TransTonsShort[[#This Row],[Trans_Tons_All]]/TransTonsShort[[#This Row],[Trans_Tons_All]],"")</f>
        <v/>
      </c>
      <c r="X1137" s="386" t="str">
        <f>TransTonsShort[[#This Row],[Grouping_ID]]&amp;"-"&amp;TransTonsShort[[#This Row],[Sector_ID]]</f>
        <v>3-4</v>
      </c>
      <c r="Y11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7" s="421">
        <f>INDEX(LandfillFees[Disposal Tip Fee 2025],MATCH(TransTonsShort[[#This Row],[Grouping_ID]],LandfillFees[Grouping_ID],0))</f>
        <v>72.030938699729589</v>
      </c>
      <c r="AA1137" s="102">
        <f>IF(OR(TransTonsShort[[#This Row],[CollectionStream_ID]]="03",TransTonsShort[[#This Row],[CollectionStream_ID]]="04",TransTonsShort[[#This Row],[CollectionStream_ID]]="13"),0,TransTonsShort[[#This Row],[Trans_Tons_All]]*TransTonsShort[[#This Row],[Disposal_Fee]])</f>
        <v>0</v>
      </c>
    </row>
    <row r="1138" spans="12:27" ht="15" x14ac:dyDescent="0.25">
      <c r="L1138" s="446" t="s">
        <v>874</v>
      </c>
      <c r="M1138" s="446">
        <v>4</v>
      </c>
      <c r="N1138" s="446">
        <v>4</v>
      </c>
      <c r="O1138" s="446" t="s">
        <v>706</v>
      </c>
      <c r="P1138" s="449" t="s">
        <v>700</v>
      </c>
      <c r="Q1138" s="449"/>
      <c r="R1138" s="449"/>
      <c r="S1138" s="449" t="s">
        <v>707</v>
      </c>
      <c r="T1138" s="449" t="s">
        <v>701</v>
      </c>
      <c r="U1138" s="452">
        <v>0</v>
      </c>
      <c r="V11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8" s="272" t="str">
        <f>IFERROR(SUMIFS(TransUnitCost[Miles],TransUnitCost[Grouping_ID],TransTonsShort[[#This Row],[Grouping_ID]],TransUnitCost[Transp_ID],TransTonsShort[[#This Row],[Transp_ID]])*TransTonsShort[[#This Row],[Trans_Tons_All]]/TransTonsShort[[#This Row],[Trans_Tons_All]],"")</f>
        <v/>
      </c>
      <c r="X1138" s="386" t="str">
        <f>TransTonsShort[[#This Row],[Grouping_ID]]&amp;"-"&amp;TransTonsShort[[#This Row],[Sector_ID]]</f>
        <v>4-4</v>
      </c>
      <c r="Y11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8" s="421">
        <f>INDEX(LandfillFees[Disposal Tip Fee 2025],MATCH(TransTonsShort[[#This Row],[Grouping_ID]],LandfillFees[Grouping_ID],0))</f>
        <v>72.030938699729589</v>
      </c>
      <c r="AA1138" s="102">
        <f>IF(OR(TransTonsShort[[#This Row],[CollectionStream_ID]]="03",TransTonsShort[[#This Row],[CollectionStream_ID]]="04",TransTonsShort[[#This Row],[CollectionStream_ID]]="13"),0,TransTonsShort[[#This Row],[Trans_Tons_All]]*TransTonsShort[[#This Row],[Disposal_Fee]])</f>
        <v>0</v>
      </c>
    </row>
    <row r="1139" spans="12:27" ht="15" x14ac:dyDescent="0.25">
      <c r="L1139" s="446" t="s">
        <v>874</v>
      </c>
      <c r="M1139" s="446">
        <v>1</v>
      </c>
      <c r="N1139" s="446">
        <v>4</v>
      </c>
      <c r="O1139" s="446" t="s">
        <v>752</v>
      </c>
      <c r="P1139" s="449" t="s">
        <v>719</v>
      </c>
      <c r="Q1139" s="449"/>
      <c r="R1139" s="449"/>
      <c r="S1139" s="449" t="s">
        <v>964</v>
      </c>
      <c r="T1139" s="449" t="s">
        <v>1055</v>
      </c>
      <c r="U1139" s="452">
        <v>0</v>
      </c>
      <c r="V11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39" s="272" t="str">
        <f>IFERROR(SUMIFS(TransUnitCost[Miles],TransUnitCost[Grouping_ID],TransTonsShort[[#This Row],[Grouping_ID]],TransUnitCost[Transp_ID],TransTonsShort[[#This Row],[Transp_ID]])*TransTonsShort[[#This Row],[Trans_Tons_All]]/TransTonsShort[[#This Row],[Trans_Tons_All]],"")</f>
        <v/>
      </c>
      <c r="X1139" s="386" t="str">
        <f>TransTonsShort[[#This Row],[Grouping_ID]]&amp;"-"&amp;TransTonsShort[[#This Row],[Sector_ID]]</f>
        <v>1-4</v>
      </c>
      <c r="Y11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39" s="421">
        <f>INDEX(LandfillFees[Disposal Tip Fee 2025],MATCH(TransTonsShort[[#This Row],[Grouping_ID]],LandfillFees[Grouping_ID],0))</f>
        <v>134.68</v>
      </c>
      <c r="AA1139" s="102">
        <f>IF(OR(TransTonsShort[[#This Row],[CollectionStream_ID]]="03",TransTonsShort[[#This Row],[CollectionStream_ID]]="04",TransTonsShort[[#This Row],[CollectionStream_ID]]="13"),0,TransTonsShort[[#This Row],[Trans_Tons_All]]*TransTonsShort[[#This Row],[Disposal_Fee]])</f>
        <v>0</v>
      </c>
    </row>
    <row r="1140" spans="12:27" ht="15" x14ac:dyDescent="0.25">
      <c r="L1140" s="446" t="s">
        <v>874</v>
      </c>
      <c r="M1140" s="446">
        <v>2</v>
      </c>
      <c r="N1140" s="446">
        <v>4</v>
      </c>
      <c r="O1140" s="446" t="s">
        <v>752</v>
      </c>
      <c r="P1140" s="449" t="s">
        <v>719</v>
      </c>
      <c r="Q1140" s="449"/>
      <c r="R1140" s="449"/>
      <c r="S1140" s="449" t="s">
        <v>964</v>
      </c>
      <c r="T1140" s="449" t="s">
        <v>1055</v>
      </c>
      <c r="U1140" s="452">
        <v>0</v>
      </c>
      <c r="V11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0" s="272" t="str">
        <f>IFERROR(SUMIFS(TransUnitCost[Miles],TransUnitCost[Grouping_ID],TransTonsShort[[#This Row],[Grouping_ID]],TransUnitCost[Transp_ID],TransTonsShort[[#This Row],[Transp_ID]])*TransTonsShort[[#This Row],[Trans_Tons_All]]/TransTonsShort[[#This Row],[Trans_Tons_All]],"")</f>
        <v/>
      </c>
      <c r="X1140" s="386" t="str">
        <f>TransTonsShort[[#This Row],[Grouping_ID]]&amp;"-"&amp;TransTonsShort[[#This Row],[Sector_ID]]</f>
        <v>2-4</v>
      </c>
      <c r="Y11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0" s="421">
        <f>INDEX(LandfillFees[Disposal Tip Fee 2025],MATCH(TransTonsShort[[#This Row],[Grouping_ID]],LandfillFees[Grouping_ID],0))</f>
        <v>72.030938699729589</v>
      </c>
      <c r="AA1140" s="102">
        <f>IF(OR(TransTonsShort[[#This Row],[CollectionStream_ID]]="03",TransTonsShort[[#This Row],[CollectionStream_ID]]="04",TransTonsShort[[#This Row],[CollectionStream_ID]]="13"),0,TransTonsShort[[#This Row],[Trans_Tons_All]]*TransTonsShort[[#This Row],[Disposal_Fee]])</f>
        <v>0</v>
      </c>
    </row>
    <row r="1141" spans="12:27" ht="15" x14ac:dyDescent="0.25">
      <c r="L1141" s="446" t="s">
        <v>874</v>
      </c>
      <c r="M1141" s="446">
        <v>3</v>
      </c>
      <c r="N1141" s="446">
        <v>4</v>
      </c>
      <c r="O1141" s="446" t="s">
        <v>752</v>
      </c>
      <c r="P1141" s="449" t="s">
        <v>719</v>
      </c>
      <c r="Q1141" s="449"/>
      <c r="R1141" s="449"/>
      <c r="S1141" s="449" t="s">
        <v>964</v>
      </c>
      <c r="T1141" s="449" t="s">
        <v>1055</v>
      </c>
      <c r="U1141" s="452">
        <v>0</v>
      </c>
      <c r="V11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1" s="272" t="str">
        <f>IFERROR(SUMIFS(TransUnitCost[Miles],TransUnitCost[Grouping_ID],TransTonsShort[[#This Row],[Grouping_ID]],TransUnitCost[Transp_ID],TransTonsShort[[#This Row],[Transp_ID]])*TransTonsShort[[#This Row],[Trans_Tons_All]]/TransTonsShort[[#This Row],[Trans_Tons_All]],"")</f>
        <v/>
      </c>
      <c r="X1141" s="386" t="str">
        <f>TransTonsShort[[#This Row],[Grouping_ID]]&amp;"-"&amp;TransTonsShort[[#This Row],[Sector_ID]]</f>
        <v>3-4</v>
      </c>
      <c r="Y11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1" s="421">
        <f>INDEX(LandfillFees[Disposal Tip Fee 2025],MATCH(TransTonsShort[[#This Row],[Grouping_ID]],LandfillFees[Grouping_ID],0))</f>
        <v>72.030938699729589</v>
      </c>
      <c r="AA1141" s="102">
        <f>IF(OR(TransTonsShort[[#This Row],[CollectionStream_ID]]="03",TransTonsShort[[#This Row],[CollectionStream_ID]]="04",TransTonsShort[[#This Row],[CollectionStream_ID]]="13"),0,TransTonsShort[[#This Row],[Trans_Tons_All]]*TransTonsShort[[#This Row],[Disposal_Fee]])</f>
        <v>0</v>
      </c>
    </row>
    <row r="1142" spans="12:27" ht="15" x14ac:dyDescent="0.25">
      <c r="L1142" s="446" t="s">
        <v>874</v>
      </c>
      <c r="M1142" s="446">
        <v>4</v>
      </c>
      <c r="N1142" s="446">
        <v>4</v>
      </c>
      <c r="O1142" s="446" t="s">
        <v>752</v>
      </c>
      <c r="P1142" s="449" t="s">
        <v>719</v>
      </c>
      <c r="Q1142" s="449"/>
      <c r="R1142" s="449"/>
      <c r="S1142" s="449" t="s">
        <v>964</v>
      </c>
      <c r="T1142" s="449" t="s">
        <v>1055</v>
      </c>
      <c r="U1142" s="452">
        <v>0</v>
      </c>
      <c r="V11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2" s="272" t="str">
        <f>IFERROR(SUMIFS(TransUnitCost[Miles],TransUnitCost[Grouping_ID],TransTonsShort[[#This Row],[Grouping_ID]],TransUnitCost[Transp_ID],TransTonsShort[[#This Row],[Transp_ID]])*TransTonsShort[[#This Row],[Trans_Tons_All]]/TransTonsShort[[#This Row],[Trans_Tons_All]],"")</f>
        <v/>
      </c>
      <c r="X1142" s="386" t="str">
        <f>TransTonsShort[[#This Row],[Grouping_ID]]&amp;"-"&amp;TransTonsShort[[#This Row],[Sector_ID]]</f>
        <v>4-4</v>
      </c>
      <c r="Y11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2" s="421">
        <f>INDEX(LandfillFees[Disposal Tip Fee 2025],MATCH(TransTonsShort[[#This Row],[Grouping_ID]],LandfillFees[Grouping_ID],0))</f>
        <v>72.030938699729589</v>
      </c>
      <c r="AA1142" s="102">
        <f>IF(OR(TransTonsShort[[#This Row],[CollectionStream_ID]]="03",TransTonsShort[[#This Row],[CollectionStream_ID]]="04",TransTonsShort[[#This Row],[CollectionStream_ID]]="13"),0,TransTonsShort[[#This Row],[Trans_Tons_All]]*TransTonsShort[[#This Row],[Disposal_Fee]])</f>
        <v>0</v>
      </c>
    </row>
    <row r="1143" spans="12:27" ht="15" x14ac:dyDescent="0.25">
      <c r="L1143" s="446" t="s">
        <v>874</v>
      </c>
      <c r="M1143" s="446">
        <v>1</v>
      </c>
      <c r="N1143" s="446">
        <v>4</v>
      </c>
      <c r="O1143" s="446" t="s">
        <v>752</v>
      </c>
      <c r="P1143" s="449" t="s">
        <v>700</v>
      </c>
      <c r="Q1143" s="449"/>
      <c r="R1143" s="449"/>
      <c r="S1143" s="449" t="s">
        <v>964</v>
      </c>
      <c r="T1143" s="449" t="s">
        <v>701</v>
      </c>
      <c r="U1143" s="452">
        <v>3657.7151521746305</v>
      </c>
      <c r="V11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3" s="272">
        <f>IFERROR(SUMIFS(TransUnitCost[Miles],TransUnitCost[Grouping_ID],TransTonsShort[[#This Row],[Grouping_ID]],TransUnitCost[Transp_ID],TransTonsShort[[#This Row],[Transp_ID]])*TransTonsShort[[#This Row],[Trans_Tons_All]]/TransTonsShort[[#This Row],[Trans_Tons_All]],"")</f>
        <v>0</v>
      </c>
      <c r="X1143" s="386" t="str">
        <f>TransTonsShort[[#This Row],[Grouping_ID]]&amp;"-"&amp;TransTonsShort[[#This Row],[Sector_ID]]</f>
        <v>1-4</v>
      </c>
      <c r="Y11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3" s="421">
        <f>INDEX(LandfillFees[Disposal Tip Fee 2025],MATCH(TransTonsShort[[#This Row],[Grouping_ID]],LandfillFees[Grouping_ID],0))</f>
        <v>134.68</v>
      </c>
      <c r="AA1143" s="102">
        <f>IF(OR(TransTonsShort[[#This Row],[CollectionStream_ID]]="03",TransTonsShort[[#This Row],[CollectionStream_ID]]="04",TransTonsShort[[#This Row],[CollectionStream_ID]]="13"),0,TransTonsShort[[#This Row],[Trans_Tons_All]]*TransTonsShort[[#This Row],[Disposal_Fee]])</f>
        <v>492621.07669487927</v>
      </c>
    </row>
    <row r="1144" spans="12:27" ht="15" x14ac:dyDescent="0.25">
      <c r="L1144" s="446" t="s">
        <v>874</v>
      </c>
      <c r="M1144" s="446">
        <v>2</v>
      </c>
      <c r="N1144" s="446">
        <v>4</v>
      </c>
      <c r="O1144" s="446" t="s">
        <v>752</v>
      </c>
      <c r="P1144" s="449" t="s">
        <v>700</v>
      </c>
      <c r="Q1144" s="449"/>
      <c r="R1144" s="449"/>
      <c r="S1144" s="449" t="s">
        <v>964</v>
      </c>
      <c r="T1144" s="449" t="s">
        <v>701</v>
      </c>
      <c r="U1144" s="452">
        <v>0</v>
      </c>
      <c r="V11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4" s="272" t="str">
        <f>IFERROR(SUMIFS(TransUnitCost[Miles],TransUnitCost[Grouping_ID],TransTonsShort[[#This Row],[Grouping_ID]],TransUnitCost[Transp_ID],TransTonsShort[[#This Row],[Transp_ID]])*TransTonsShort[[#This Row],[Trans_Tons_All]]/TransTonsShort[[#This Row],[Trans_Tons_All]],"")</f>
        <v/>
      </c>
      <c r="X1144" s="386" t="str">
        <f>TransTonsShort[[#This Row],[Grouping_ID]]&amp;"-"&amp;TransTonsShort[[#This Row],[Sector_ID]]</f>
        <v>2-4</v>
      </c>
      <c r="Y11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4" s="421">
        <f>INDEX(LandfillFees[Disposal Tip Fee 2025],MATCH(TransTonsShort[[#This Row],[Grouping_ID]],LandfillFees[Grouping_ID],0))</f>
        <v>72.030938699729589</v>
      </c>
      <c r="AA1144" s="102">
        <f>IF(OR(TransTonsShort[[#This Row],[CollectionStream_ID]]="03",TransTonsShort[[#This Row],[CollectionStream_ID]]="04",TransTonsShort[[#This Row],[CollectionStream_ID]]="13"),0,TransTonsShort[[#This Row],[Trans_Tons_All]]*TransTonsShort[[#This Row],[Disposal_Fee]])</f>
        <v>0</v>
      </c>
    </row>
    <row r="1145" spans="12:27" ht="15" x14ac:dyDescent="0.25">
      <c r="L1145" s="446" t="s">
        <v>874</v>
      </c>
      <c r="M1145" s="446">
        <v>3</v>
      </c>
      <c r="N1145" s="446">
        <v>4</v>
      </c>
      <c r="O1145" s="446" t="s">
        <v>752</v>
      </c>
      <c r="P1145" s="449" t="s">
        <v>700</v>
      </c>
      <c r="Q1145" s="449"/>
      <c r="R1145" s="449"/>
      <c r="S1145" s="449" t="s">
        <v>964</v>
      </c>
      <c r="T1145" s="449" t="s">
        <v>701</v>
      </c>
      <c r="U1145" s="452">
        <v>0</v>
      </c>
      <c r="V11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5" s="272" t="str">
        <f>IFERROR(SUMIFS(TransUnitCost[Miles],TransUnitCost[Grouping_ID],TransTonsShort[[#This Row],[Grouping_ID]],TransUnitCost[Transp_ID],TransTonsShort[[#This Row],[Transp_ID]])*TransTonsShort[[#This Row],[Trans_Tons_All]]/TransTonsShort[[#This Row],[Trans_Tons_All]],"")</f>
        <v/>
      </c>
      <c r="X1145" s="386" t="str">
        <f>TransTonsShort[[#This Row],[Grouping_ID]]&amp;"-"&amp;TransTonsShort[[#This Row],[Sector_ID]]</f>
        <v>3-4</v>
      </c>
      <c r="Y11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5" s="421">
        <f>INDEX(LandfillFees[Disposal Tip Fee 2025],MATCH(TransTonsShort[[#This Row],[Grouping_ID]],LandfillFees[Grouping_ID],0))</f>
        <v>72.030938699729589</v>
      </c>
      <c r="AA1145" s="102">
        <f>IF(OR(TransTonsShort[[#This Row],[CollectionStream_ID]]="03",TransTonsShort[[#This Row],[CollectionStream_ID]]="04",TransTonsShort[[#This Row],[CollectionStream_ID]]="13"),0,TransTonsShort[[#This Row],[Trans_Tons_All]]*TransTonsShort[[#This Row],[Disposal_Fee]])</f>
        <v>0</v>
      </c>
    </row>
    <row r="1146" spans="12:27" ht="15" x14ac:dyDescent="0.25">
      <c r="L1146" s="446" t="s">
        <v>874</v>
      </c>
      <c r="M1146" s="446">
        <v>4</v>
      </c>
      <c r="N1146" s="446">
        <v>4</v>
      </c>
      <c r="O1146" s="446" t="s">
        <v>752</v>
      </c>
      <c r="P1146" s="449" t="s">
        <v>700</v>
      </c>
      <c r="Q1146" s="449"/>
      <c r="R1146" s="449"/>
      <c r="S1146" s="449" t="s">
        <v>964</v>
      </c>
      <c r="T1146" s="449" t="s">
        <v>701</v>
      </c>
      <c r="U1146" s="452">
        <v>0</v>
      </c>
      <c r="V11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6" s="272" t="str">
        <f>IFERROR(SUMIFS(TransUnitCost[Miles],TransUnitCost[Grouping_ID],TransTonsShort[[#This Row],[Grouping_ID]],TransUnitCost[Transp_ID],TransTonsShort[[#This Row],[Transp_ID]])*TransTonsShort[[#This Row],[Trans_Tons_All]]/TransTonsShort[[#This Row],[Trans_Tons_All]],"")</f>
        <v/>
      </c>
      <c r="X1146" s="386" t="str">
        <f>TransTonsShort[[#This Row],[Grouping_ID]]&amp;"-"&amp;TransTonsShort[[#This Row],[Sector_ID]]</f>
        <v>4-4</v>
      </c>
      <c r="Y11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6" s="421">
        <f>INDEX(LandfillFees[Disposal Tip Fee 2025],MATCH(TransTonsShort[[#This Row],[Grouping_ID]],LandfillFees[Grouping_ID],0))</f>
        <v>72.030938699729589</v>
      </c>
      <c r="AA1146" s="102">
        <f>IF(OR(TransTonsShort[[#This Row],[CollectionStream_ID]]="03",TransTonsShort[[#This Row],[CollectionStream_ID]]="04",TransTonsShort[[#This Row],[CollectionStream_ID]]="13"),0,TransTonsShort[[#This Row],[Trans_Tons_All]]*TransTonsShort[[#This Row],[Disposal_Fee]])</f>
        <v>0</v>
      </c>
    </row>
    <row r="1147" spans="12:27" ht="15" x14ac:dyDescent="0.25">
      <c r="L1147" s="446" t="s">
        <v>874</v>
      </c>
      <c r="M1147" s="446">
        <v>1</v>
      </c>
      <c r="N1147" s="446">
        <v>4</v>
      </c>
      <c r="O1147" s="446" t="s">
        <v>752</v>
      </c>
      <c r="P1147" s="450" t="s">
        <v>706</v>
      </c>
      <c r="Q1147" s="450"/>
      <c r="R1147" s="450"/>
      <c r="S1147" s="449" t="s">
        <v>964</v>
      </c>
      <c r="T1147" s="449" t="s">
        <v>1025</v>
      </c>
      <c r="U1147" s="452">
        <v>0</v>
      </c>
      <c r="V11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47" s="272" t="str">
        <f>IFERROR(SUMIFS(TransUnitCost[Miles],TransUnitCost[Grouping_ID],TransTonsShort[[#This Row],[Grouping_ID]],TransUnitCost[Transp_ID],TransTonsShort[[#This Row],[Transp_ID]])*TransTonsShort[[#This Row],[Trans_Tons_All]]/TransTonsShort[[#This Row],[Trans_Tons_All]],"")</f>
        <v/>
      </c>
      <c r="X1147" s="386" t="str">
        <f>TransTonsShort[[#This Row],[Grouping_ID]]&amp;"-"&amp;TransTonsShort[[#This Row],[Sector_ID]]</f>
        <v>1-4</v>
      </c>
      <c r="Y11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7" s="421">
        <f>INDEX(LandfillFees[Disposal Tip Fee 2025],MATCH(TransTonsShort[[#This Row],[Grouping_ID]],LandfillFees[Grouping_ID],0))</f>
        <v>134.68</v>
      </c>
      <c r="AA1147" s="102">
        <f>IF(OR(TransTonsShort[[#This Row],[CollectionStream_ID]]="03",TransTonsShort[[#This Row],[CollectionStream_ID]]="04",TransTonsShort[[#This Row],[CollectionStream_ID]]="13"),0,TransTonsShort[[#This Row],[Trans_Tons_All]]*TransTonsShort[[#This Row],[Disposal_Fee]])</f>
        <v>0</v>
      </c>
    </row>
    <row r="1148" spans="12:27" ht="15" x14ac:dyDescent="0.25">
      <c r="L1148" s="446" t="s">
        <v>874</v>
      </c>
      <c r="M1148" s="446">
        <v>2</v>
      </c>
      <c r="N1148" s="446">
        <v>4</v>
      </c>
      <c r="O1148" s="446" t="s">
        <v>752</v>
      </c>
      <c r="P1148" s="450" t="s">
        <v>706</v>
      </c>
      <c r="Q1148" s="450"/>
      <c r="R1148" s="450"/>
      <c r="S1148" s="449" t="s">
        <v>964</v>
      </c>
      <c r="T1148" s="449" t="s">
        <v>1025</v>
      </c>
      <c r="U1148" s="452">
        <v>10308.468395358715</v>
      </c>
      <c r="V11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288637.11507004406</v>
      </c>
      <c r="W1148" s="272">
        <f>IFERROR(SUMIFS(TransUnitCost[Miles],TransUnitCost[Grouping_ID],TransTonsShort[[#This Row],[Grouping_ID]],TransUnitCost[Transp_ID],TransTonsShort[[#This Row],[Transp_ID]])*TransTonsShort[[#This Row],[Trans_Tons_All]]/TransTonsShort[[#This Row],[Trans_Tons_All]],"")</f>
        <v>70</v>
      </c>
      <c r="X1148" s="386" t="str">
        <f>TransTonsShort[[#This Row],[Grouping_ID]]&amp;"-"&amp;TransTonsShort[[#This Row],[Sector_ID]]</f>
        <v>2-4</v>
      </c>
      <c r="Y11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8" s="421">
        <f>INDEX(LandfillFees[Disposal Tip Fee 2025],MATCH(TransTonsShort[[#This Row],[Grouping_ID]],LandfillFees[Grouping_ID],0))</f>
        <v>72.030938699729589</v>
      </c>
      <c r="AA1148" s="102">
        <f>IF(OR(TransTonsShort[[#This Row],[CollectionStream_ID]]="03",TransTonsShort[[#This Row],[CollectionStream_ID]]="04",TransTonsShort[[#This Row],[CollectionStream_ID]]="13"),0,TransTonsShort[[#This Row],[Trans_Tons_All]]*TransTonsShort[[#This Row],[Disposal_Fee]])</f>
        <v>742528.65507418348</v>
      </c>
    </row>
    <row r="1149" spans="12:27" ht="15" x14ac:dyDescent="0.25">
      <c r="L1149" s="446" t="s">
        <v>874</v>
      </c>
      <c r="M1149" s="446">
        <v>3</v>
      </c>
      <c r="N1149" s="446">
        <v>4</v>
      </c>
      <c r="O1149" s="446" t="s">
        <v>752</v>
      </c>
      <c r="P1149" s="450" t="s">
        <v>706</v>
      </c>
      <c r="Q1149" s="450"/>
      <c r="R1149" s="450"/>
      <c r="S1149" s="449" t="s">
        <v>964</v>
      </c>
      <c r="T1149" s="449" t="s">
        <v>1025</v>
      </c>
      <c r="U1149" s="452">
        <v>6027.6129844833404</v>
      </c>
      <c r="V11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316449.68168537534</v>
      </c>
      <c r="W1149" s="272">
        <f>IFERROR(SUMIFS(TransUnitCost[Miles],TransUnitCost[Grouping_ID],TransTonsShort[[#This Row],[Grouping_ID]],TransUnitCost[Transp_ID],TransTonsShort[[#This Row],[Transp_ID]])*TransTonsShort[[#This Row],[Trans_Tons_All]]/TransTonsShort[[#This Row],[Trans_Tons_All]],"")</f>
        <v>150</v>
      </c>
      <c r="X1149" s="386" t="str">
        <f>TransTonsShort[[#This Row],[Grouping_ID]]&amp;"-"&amp;TransTonsShort[[#This Row],[Sector_ID]]</f>
        <v>3-4</v>
      </c>
      <c r="Y11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49" s="421">
        <f>INDEX(LandfillFees[Disposal Tip Fee 2025],MATCH(TransTonsShort[[#This Row],[Grouping_ID]],LandfillFees[Grouping_ID],0))</f>
        <v>72.030938699729589</v>
      </c>
      <c r="AA1149" s="102">
        <f>IF(OR(TransTonsShort[[#This Row],[CollectionStream_ID]]="03",TransTonsShort[[#This Row],[CollectionStream_ID]]="04",TransTonsShort[[#This Row],[CollectionStream_ID]]="13"),0,TransTonsShort[[#This Row],[Trans_Tons_All]]*TransTonsShort[[#This Row],[Disposal_Fee]])</f>
        <v>434174.62139101361</v>
      </c>
    </row>
    <row r="1150" spans="12:27" ht="15" x14ac:dyDescent="0.25">
      <c r="L1150" s="446" t="s">
        <v>874</v>
      </c>
      <c r="M1150" s="446">
        <v>4</v>
      </c>
      <c r="N1150" s="446">
        <v>4</v>
      </c>
      <c r="O1150" s="446" t="s">
        <v>752</v>
      </c>
      <c r="P1150" s="450" t="s">
        <v>706</v>
      </c>
      <c r="Q1150" s="450"/>
      <c r="R1150" s="450"/>
      <c r="S1150" s="449" t="s">
        <v>964</v>
      </c>
      <c r="T1150" s="449" t="s">
        <v>1025</v>
      </c>
      <c r="U1150" s="452">
        <v>26984.83478148892</v>
      </c>
      <c r="V11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2698483.4781488921</v>
      </c>
      <c r="W1150" s="272">
        <f>IFERROR(SUMIFS(TransUnitCost[Miles],TransUnitCost[Grouping_ID],TransTonsShort[[#This Row],[Grouping_ID]],TransUnitCost[Transp_ID],TransTonsShort[[#This Row],[Transp_ID]])*TransTonsShort[[#This Row],[Trans_Tons_All]]/TransTonsShort[[#This Row],[Trans_Tons_All]],"")</f>
        <v>250</v>
      </c>
      <c r="X1150" s="386" t="str">
        <f>TransTonsShort[[#This Row],[Grouping_ID]]&amp;"-"&amp;TransTonsShort[[#This Row],[Sector_ID]]</f>
        <v>4-4</v>
      </c>
      <c r="Y11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0" s="421">
        <f>INDEX(LandfillFees[Disposal Tip Fee 2025],MATCH(TransTonsShort[[#This Row],[Grouping_ID]],LandfillFees[Grouping_ID],0))</f>
        <v>72.030938699729589</v>
      </c>
      <c r="AA1150" s="102">
        <f>IF(OR(TransTonsShort[[#This Row],[CollectionStream_ID]]="03",TransTonsShort[[#This Row],[CollectionStream_ID]]="04",TransTonsShort[[#This Row],[CollectionStream_ID]]="13"),0,TransTonsShort[[#This Row],[Trans_Tons_All]]*TransTonsShort[[#This Row],[Disposal_Fee]])</f>
        <v>1943742.9799677592</v>
      </c>
    </row>
    <row r="1151" spans="12:27" ht="15" x14ac:dyDescent="0.25">
      <c r="L1151" s="446" t="s">
        <v>874</v>
      </c>
      <c r="M1151" s="446">
        <v>1</v>
      </c>
      <c r="N1151" s="446">
        <v>4</v>
      </c>
      <c r="O1151" s="446" t="s">
        <v>750</v>
      </c>
      <c r="P1151" s="449" t="s">
        <v>739</v>
      </c>
      <c r="Q1151" s="449"/>
      <c r="R1151" s="449"/>
      <c r="S1151" s="449" t="s">
        <v>963</v>
      </c>
      <c r="T1151" s="449" t="s">
        <v>1121</v>
      </c>
      <c r="U1151" s="452">
        <v>1208.699586158147</v>
      </c>
      <c r="V11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23448.77197146805</v>
      </c>
      <c r="W1151" s="272">
        <f>IFERROR(SUMIFS(TransUnitCost[Miles],TransUnitCost[Grouping_ID],TransTonsShort[[#This Row],[Grouping_ID]],TransUnitCost[Transp_ID],TransTonsShort[[#This Row],[Transp_ID]])*TransTonsShort[[#This Row],[Trans_Tons_All]]/TransTonsShort[[#This Row],[Trans_Tons_All]],"")</f>
        <v>20</v>
      </c>
      <c r="X1151" s="386" t="str">
        <f>TransTonsShort[[#This Row],[Grouping_ID]]&amp;"-"&amp;TransTonsShort[[#This Row],[Sector_ID]]</f>
        <v>1-4</v>
      </c>
      <c r="Y11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1" s="421">
        <f>INDEX(LandfillFees[Disposal Tip Fee 2025],MATCH(TransTonsShort[[#This Row],[Grouping_ID]],LandfillFees[Grouping_ID],0))</f>
        <v>134.68</v>
      </c>
      <c r="AA1151" s="102">
        <f>IF(OR(TransTonsShort[[#This Row],[CollectionStream_ID]]="03",TransTonsShort[[#This Row],[CollectionStream_ID]]="04",TransTonsShort[[#This Row],[CollectionStream_ID]]="13"),0,TransTonsShort[[#This Row],[Trans_Tons_All]]*TransTonsShort[[#This Row],[Disposal_Fee]])</f>
        <v>162787.66026377925</v>
      </c>
    </row>
    <row r="1152" spans="12:27" ht="15" x14ac:dyDescent="0.25">
      <c r="L1152" s="446" t="s">
        <v>874</v>
      </c>
      <c r="M1152" s="446">
        <v>2</v>
      </c>
      <c r="N1152" s="446">
        <v>4</v>
      </c>
      <c r="O1152" s="446" t="s">
        <v>750</v>
      </c>
      <c r="P1152" s="449" t="s">
        <v>739</v>
      </c>
      <c r="Q1152" s="449"/>
      <c r="R1152" s="449"/>
      <c r="S1152" s="449" t="s">
        <v>963</v>
      </c>
      <c r="T1152" s="449" t="s">
        <v>1121</v>
      </c>
      <c r="U1152" s="452">
        <v>5211.3592078475976</v>
      </c>
      <c r="V11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215229.13528410578</v>
      </c>
      <c r="W1152" s="272">
        <f>IFERROR(SUMIFS(TransUnitCost[Miles],TransUnitCost[Grouping_ID],TransTonsShort[[#This Row],[Grouping_ID]],TransUnitCost[Transp_ID],TransTonsShort[[#This Row],[Transp_ID]])*TransTonsShort[[#This Row],[Trans_Tons_All]]/TransTonsShort[[#This Row],[Trans_Tons_All]],"")</f>
        <v>70</v>
      </c>
      <c r="X1152" s="386" t="str">
        <f>TransTonsShort[[#This Row],[Grouping_ID]]&amp;"-"&amp;TransTonsShort[[#This Row],[Sector_ID]]</f>
        <v>2-4</v>
      </c>
      <c r="Y11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2" s="421">
        <f>INDEX(LandfillFees[Disposal Tip Fee 2025],MATCH(TransTonsShort[[#This Row],[Grouping_ID]],LandfillFees[Grouping_ID],0))</f>
        <v>72.030938699729589</v>
      </c>
      <c r="AA1152" s="102">
        <f>IF(OR(TransTonsShort[[#This Row],[CollectionStream_ID]]="03",TransTonsShort[[#This Row],[CollectionStream_ID]]="04",TransTonsShort[[#This Row],[CollectionStream_ID]]="13"),0,TransTonsShort[[#This Row],[Trans_Tons_All]]*TransTonsShort[[#This Row],[Disposal_Fee]])</f>
        <v>375379.09564274165</v>
      </c>
    </row>
    <row r="1153" spans="12:27" ht="15" x14ac:dyDescent="0.25">
      <c r="L1153" s="446" t="s">
        <v>874</v>
      </c>
      <c r="M1153" s="446">
        <v>3</v>
      </c>
      <c r="N1153" s="446">
        <v>4</v>
      </c>
      <c r="O1153" s="446" t="s">
        <v>750</v>
      </c>
      <c r="P1153" s="449" t="s">
        <v>739</v>
      </c>
      <c r="Q1153" s="449"/>
      <c r="R1153" s="449"/>
      <c r="S1153" s="449" t="s">
        <v>963</v>
      </c>
      <c r="T1153" s="449" t="s">
        <v>1121</v>
      </c>
      <c r="U1153" s="452">
        <v>1287.303248860916</v>
      </c>
      <c r="V11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46342.916958992981</v>
      </c>
      <c r="W1153" s="272">
        <f>IFERROR(SUMIFS(TransUnitCost[Miles],TransUnitCost[Grouping_ID],TransTonsShort[[#This Row],[Grouping_ID]],TransUnitCost[Transp_ID],TransTonsShort[[#This Row],[Transp_ID]])*TransTonsShort[[#This Row],[Trans_Tons_All]]/TransTonsShort[[#This Row],[Trans_Tons_All]],"")</f>
        <v>150</v>
      </c>
      <c r="X1153" s="386" t="str">
        <f>TransTonsShort[[#This Row],[Grouping_ID]]&amp;"-"&amp;TransTonsShort[[#This Row],[Sector_ID]]</f>
        <v>3-4</v>
      </c>
      <c r="Y11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3" s="421">
        <f>INDEX(LandfillFees[Disposal Tip Fee 2025],MATCH(TransTonsShort[[#This Row],[Grouping_ID]],LandfillFees[Grouping_ID],0))</f>
        <v>72.030938699729589</v>
      </c>
      <c r="AA1153" s="102">
        <f>IF(OR(TransTonsShort[[#This Row],[CollectionStream_ID]]="03",TransTonsShort[[#This Row],[CollectionStream_ID]]="04",TransTonsShort[[#This Row],[CollectionStream_ID]]="13"),0,TransTonsShort[[#This Row],[Trans_Tons_All]]*TransTonsShort[[#This Row],[Disposal_Fee]])</f>
        <v>92725.661406663392</v>
      </c>
    </row>
    <row r="1154" spans="12:27" ht="15" x14ac:dyDescent="0.25">
      <c r="L1154" s="446" t="s">
        <v>874</v>
      </c>
      <c r="M1154" s="446">
        <v>4</v>
      </c>
      <c r="N1154" s="446">
        <v>4</v>
      </c>
      <c r="O1154" s="446" t="s">
        <v>750</v>
      </c>
      <c r="P1154" s="449" t="s">
        <v>739</v>
      </c>
      <c r="Q1154" s="449"/>
      <c r="R1154" s="449"/>
      <c r="S1154" s="449" t="s">
        <v>963</v>
      </c>
      <c r="T1154" s="449" t="s">
        <v>1121</v>
      </c>
      <c r="U1154" s="452">
        <v>11682.399622554176</v>
      </c>
      <c r="V11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642531.97924047965</v>
      </c>
      <c r="W1154" s="272">
        <f>IFERROR(SUMIFS(TransUnitCost[Miles],TransUnitCost[Grouping_ID],TransTonsShort[[#This Row],[Grouping_ID]],TransUnitCost[Transp_ID],TransTonsShort[[#This Row],[Transp_ID]])*TransTonsShort[[#This Row],[Trans_Tons_All]]/TransTonsShort[[#This Row],[Trans_Tons_All]],"")</f>
        <v>250</v>
      </c>
      <c r="X1154" s="386" t="str">
        <f>TransTonsShort[[#This Row],[Grouping_ID]]&amp;"-"&amp;TransTonsShort[[#This Row],[Sector_ID]]</f>
        <v>4-4</v>
      </c>
      <c r="Y11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4" s="421">
        <f>INDEX(LandfillFees[Disposal Tip Fee 2025],MATCH(TransTonsShort[[#This Row],[Grouping_ID]],LandfillFees[Grouping_ID],0))</f>
        <v>72.030938699729589</v>
      </c>
      <c r="AA1154" s="102">
        <f>IF(OR(TransTonsShort[[#This Row],[CollectionStream_ID]]="03",TransTonsShort[[#This Row],[CollectionStream_ID]]="04",TransTonsShort[[#This Row],[CollectionStream_ID]]="13"),0,TransTonsShort[[#This Row],[Trans_Tons_All]]*TransTonsShort[[#This Row],[Disposal_Fee]])</f>
        <v>841494.21107794391</v>
      </c>
    </row>
    <row r="1155" spans="12:27" ht="15" x14ac:dyDescent="0.25">
      <c r="L1155" s="446" t="s">
        <v>874</v>
      </c>
      <c r="M1155" s="446">
        <v>1</v>
      </c>
      <c r="N1155" s="446">
        <v>4</v>
      </c>
      <c r="O1155" s="446" t="s">
        <v>750</v>
      </c>
      <c r="P1155" s="449" t="s">
        <v>700</v>
      </c>
      <c r="Q1155" s="449"/>
      <c r="R1155" s="449"/>
      <c r="S1155" s="449" t="s">
        <v>963</v>
      </c>
      <c r="T1155" s="449" t="s">
        <v>701</v>
      </c>
      <c r="U1155" s="452">
        <v>0</v>
      </c>
      <c r="V11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5" s="272" t="str">
        <f>IFERROR(SUMIFS(TransUnitCost[Miles],TransUnitCost[Grouping_ID],TransTonsShort[[#This Row],[Grouping_ID]],TransUnitCost[Transp_ID],TransTonsShort[[#This Row],[Transp_ID]])*TransTonsShort[[#This Row],[Trans_Tons_All]]/TransTonsShort[[#This Row],[Trans_Tons_All]],"")</f>
        <v/>
      </c>
      <c r="X1155" s="386" t="str">
        <f>TransTonsShort[[#This Row],[Grouping_ID]]&amp;"-"&amp;TransTonsShort[[#This Row],[Sector_ID]]</f>
        <v>1-4</v>
      </c>
      <c r="Y11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5" s="421">
        <f>INDEX(LandfillFees[Disposal Tip Fee 2025],MATCH(TransTonsShort[[#This Row],[Grouping_ID]],LandfillFees[Grouping_ID],0))</f>
        <v>134.68</v>
      </c>
      <c r="AA1155" s="102">
        <f>IF(OR(TransTonsShort[[#This Row],[CollectionStream_ID]]="03",TransTonsShort[[#This Row],[CollectionStream_ID]]="04",TransTonsShort[[#This Row],[CollectionStream_ID]]="13"),0,TransTonsShort[[#This Row],[Trans_Tons_All]]*TransTonsShort[[#This Row],[Disposal_Fee]])</f>
        <v>0</v>
      </c>
    </row>
    <row r="1156" spans="12:27" ht="15" x14ac:dyDescent="0.25">
      <c r="L1156" s="446" t="s">
        <v>874</v>
      </c>
      <c r="M1156" s="446">
        <v>2</v>
      </c>
      <c r="N1156" s="446">
        <v>4</v>
      </c>
      <c r="O1156" s="446" t="s">
        <v>750</v>
      </c>
      <c r="P1156" s="449" t="s">
        <v>700</v>
      </c>
      <c r="Q1156" s="449"/>
      <c r="R1156" s="449"/>
      <c r="S1156" s="449" t="s">
        <v>963</v>
      </c>
      <c r="T1156" s="449" t="s">
        <v>701</v>
      </c>
      <c r="U1156" s="452">
        <v>0</v>
      </c>
      <c r="V11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6" s="272" t="str">
        <f>IFERROR(SUMIFS(TransUnitCost[Miles],TransUnitCost[Grouping_ID],TransTonsShort[[#This Row],[Grouping_ID]],TransUnitCost[Transp_ID],TransTonsShort[[#This Row],[Transp_ID]])*TransTonsShort[[#This Row],[Trans_Tons_All]]/TransTonsShort[[#This Row],[Trans_Tons_All]],"")</f>
        <v/>
      </c>
      <c r="X1156" s="386" t="str">
        <f>TransTonsShort[[#This Row],[Grouping_ID]]&amp;"-"&amp;TransTonsShort[[#This Row],[Sector_ID]]</f>
        <v>2-4</v>
      </c>
      <c r="Y11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6" s="421">
        <f>INDEX(LandfillFees[Disposal Tip Fee 2025],MATCH(TransTonsShort[[#This Row],[Grouping_ID]],LandfillFees[Grouping_ID],0))</f>
        <v>72.030938699729589</v>
      </c>
      <c r="AA1156" s="102">
        <f>IF(OR(TransTonsShort[[#This Row],[CollectionStream_ID]]="03",TransTonsShort[[#This Row],[CollectionStream_ID]]="04",TransTonsShort[[#This Row],[CollectionStream_ID]]="13"),0,TransTonsShort[[#This Row],[Trans_Tons_All]]*TransTonsShort[[#This Row],[Disposal_Fee]])</f>
        <v>0</v>
      </c>
    </row>
    <row r="1157" spans="12:27" ht="15" x14ac:dyDescent="0.25">
      <c r="L1157" s="446" t="s">
        <v>874</v>
      </c>
      <c r="M1157" s="446">
        <v>3</v>
      </c>
      <c r="N1157" s="446">
        <v>4</v>
      </c>
      <c r="O1157" s="446" t="s">
        <v>750</v>
      </c>
      <c r="P1157" s="449" t="s">
        <v>700</v>
      </c>
      <c r="Q1157" s="449"/>
      <c r="R1157" s="449"/>
      <c r="S1157" s="449" t="s">
        <v>963</v>
      </c>
      <c r="T1157" s="449" t="s">
        <v>701</v>
      </c>
      <c r="U1157" s="452">
        <v>0</v>
      </c>
      <c r="V11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7" s="272" t="str">
        <f>IFERROR(SUMIFS(TransUnitCost[Miles],TransUnitCost[Grouping_ID],TransTonsShort[[#This Row],[Grouping_ID]],TransUnitCost[Transp_ID],TransTonsShort[[#This Row],[Transp_ID]])*TransTonsShort[[#This Row],[Trans_Tons_All]]/TransTonsShort[[#This Row],[Trans_Tons_All]],"")</f>
        <v/>
      </c>
      <c r="X1157" s="386" t="str">
        <f>TransTonsShort[[#This Row],[Grouping_ID]]&amp;"-"&amp;TransTonsShort[[#This Row],[Sector_ID]]</f>
        <v>3-4</v>
      </c>
      <c r="Y11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7" s="421">
        <f>INDEX(LandfillFees[Disposal Tip Fee 2025],MATCH(TransTonsShort[[#This Row],[Grouping_ID]],LandfillFees[Grouping_ID],0))</f>
        <v>72.030938699729589</v>
      </c>
      <c r="AA1157" s="102">
        <f>IF(OR(TransTonsShort[[#This Row],[CollectionStream_ID]]="03",TransTonsShort[[#This Row],[CollectionStream_ID]]="04",TransTonsShort[[#This Row],[CollectionStream_ID]]="13"),0,TransTonsShort[[#This Row],[Trans_Tons_All]]*TransTonsShort[[#This Row],[Disposal_Fee]])</f>
        <v>0</v>
      </c>
    </row>
    <row r="1158" spans="12:27" ht="15" x14ac:dyDescent="0.25">
      <c r="L1158" s="446" t="s">
        <v>874</v>
      </c>
      <c r="M1158" s="446">
        <v>4</v>
      </c>
      <c r="N1158" s="446">
        <v>4</v>
      </c>
      <c r="O1158" s="446" t="s">
        <v>750</v>
      </c>
      <c r="P1158" s="449" t="s">
        <v>700</v>
      </c>
      <c r="Q1158" s="449"/>
      <c r="R1158" s="449"/>
      <c r="S1158" s="449" t="s">
        <v>963</v>
      </c>
      <c r="T1158" s="449" t="s">
        <v>701</v>
      </c>
      <c r="U1158" s="452">
        <v>0</v>
      </c>
      <c r="V11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8" s="272" t="str">
        <f>IFERROR(SUMIFS(TransUnitCost[Miles],TransUnitCost[Grouping_ID],TransTonsShort[[#This Row],[Grouping_ID]],TransUnitCost[Transp_ID],TransTonsShort[[#This Row],[Transp_ID]])*TransTonsShort[[#This Row],[Trans_Tons_All]]/TransTonsShort[[#This Row],[Trans_Tons_All]],"")</f>
        <v/>
      </c>
      <c r="X1158" s="386" t="str">
        <f>TransTonsShort[[#This Row],[Grouping_ID]]&amp;"-"&amp;TransTonsShort[[#This Row],[Sector_ID]]</f>
        <v>4-4</v>
      </c>
      <c r="Y11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58" s="421">
        <f>INDEX(LandfillFees[Disposal Tip Fee 2025],MATCH(TransTonsShort[[#This Row],[Grouping_ID]],LandfillFees[Grouping_ID],0))</f>
        <v>72.030938699729589</v>
      </c>
      <c r="AA1158" s="102">
        <f>IF(OR(TransTonsShort[[#This Row],[CollectionStream_ID]]="03",TransTonsShort[[#This Row],[CollectionStream_ID]]="04",TransTonsShort[[#This Row],[CollectionStream_ID]]="13"),0,TransTonsShort[[#This Row],[Trans_Tons_All]]*TransTonsShort[[#This Row],[Disposal_Fee]])</f>
        <v>0</v>
      </c>
    </row>
    <row r="1159" spans="12:27" ht="15" x14ac:dyDescent="0.25">
      <c r="L1159" s="446" t="s">
        <v>873</v>
      </c>
      <c r="M1159" s="446">
        <v>1</v>
      </c>
      <c r="N1159" s="446">
        <v>4</v>
      </c>
      <c r="O1159" s="448" t="s">
        <v>700</v>
      </c>
      <c r="P1159" s="449" t="s">
        <v>719</v>
      </c>
      <c r="Q1159" s="449"/>
      <c r="R1159" s="449"/>
      <c r="S1159" s="449" t="s">
        <v>872</v>
      </c>
      <c r="T1159" s="449" t="s">
        <v>1055</v>
      </c>
      <c r="U1159" s="452">
        <v>0</v>
      </c>
      <c r="V11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59" s="272" t="str">
        <f>IFERROR(SUMIFS(TransUnitCost[Miles],TransUnitCost[Grouping_ID],TransTonsShort[[#This Row],[Grouping_ID]],TransUnitCost[Transp_ID],TransTonsShort[[#This Row],[Transp_ID]])*TransTonsShort[[#This Row],[Trans_Tons_All]]/TransTonsShort[[#This Row],[Trans_Tons_All]],"")</f>
        <v/>
      </c>
      <c r="X1159" s="386" t="str">
        <f>TransTonsShort[[#This Row],[Grouping_ID]]&amp;"-"&amp;TransTonsShort[[#This Row],[Sector_ID]]</f>
        <v>1-4</v>
      </c>
      <c r="Y11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59" s="421">
        <f>INDEX(LandfillFees[Disposal Tip Fee 2025],MATCH(TransTonsShort[[#This Row],[Grouping_ID]],LandfillFees[Grouping_ID],0))</f>
        <v>134.68</v>
      </c>
      <c r="AA1159" s="102">
        <f>IF(OR(TransTonsShort[[#This Row],[CollectionStream_ID]]="03",TransTonsShort[[#This Row],[CollectionStream_ID]]="04",TransTonsShort[[#This Row],[CollectionStream_ID]]="13"),0,TransTonsShort[[#This Row],[Trans_Tons_All]]*TransTonsShort[[#This Row],[Disposal_Fee]])</f>
        <v>0</v>
      </c>
    </row>
    <row r="1160" spans="12:27" ht="15" x14ac:dyDescent="0.25">
      <c r="L1160" s="446" t="s">
        <v>873</v>
      </c>
      <c r="M1160" s="446">
        <v>2</v>
      </c>
      <c r="N1160" s="446">
        <v>4</v>
      </c>
      <c r="O1160" s="448" t="s">
        <v>700</v>
      </c>
      <c r="P1160" s="449" t="s">
        <v>719</v>
      </c>
      <c r="Q1160" s="449"/>
      <c r="R1160" s="449"/>
      <c r="S1160" s="449" t="s">
        <v>872</v>
      </c>
      <c r="T1160" s="449" t="s">
        <v>1055</v>
      </c>
      <c r="U1160" s="452">
        <v>0</v>
      </c>
      <c r="V11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0" s="272" t="str">
        <f>IFERROR(SUMIFS(TransUnitCost[Miles],TransUnitCost[Grouping_ID],TransTonsShort[[#This Row],[Grouping_ID]],TransUnitCost[Transp_ID],TransTonsShort[[#This Row],[Transp_ID]])*TransTonsShort[[#This Row],[Trans_Tons_All]]/TransTonsShort[[#This Row],[Trans_Tons_All]],"")</f>
        <v/>
      </c>
      <c r="X1160" s="386" t="str">
        <f>TransTonsShort[[#This Row],[Grouping_ID]]&amp;"-"&amp;TransTonsShort[[#This Row],[Sector_ID]]</f>
        <v>2-4</v>
      </c>
      <c r="Y11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0" s="421">
        <f>INDEX(LandfillFees[Disposal Tip Fee 2025],MATCH(TransTonsShort[[#This Row],[Grouping_ID]],LandfillFees[Grouping_ID],0))</f>
        <v>72.030938699729589</v>
      </c>
      <c r="AA1160" s="102">
        <f>IF(OR(TransTonsShort[[#This Row],[CollectionStream_ID]]="03",TransTonsShort[[#This Row],[CollectionStream_ID]]="04",TransTonsShort[[#This Row],[CollectionStream_ID]]="13"),0,TransTonsShort[[#This Row],[Trans_Tons_All]]*TransTonsShort[[#This Row],[Disposal_Fee]])</f>
        <v>0</v>
      </c>
    </row>
    <row r="1161" spans="12:27" ht="15" x14ac:dyDescent="0.25">
      <c r="L1161" s="446" t="s">
        <v>873</v>
      </c>
      <c r="M1161" s="446">
        <v>3</v>
      </c>
      <c r="N1161" s="446">
        <v>4</v>
      </c>
      <c r="O1161" s="448" t="s">
        <v>700</v>
      </c>
      <c r="P1161" s="449" t="s">
        <v>719</v>
      </c>
      <c r="Q1161" s="449"/>
      <c r="R1161" s="449"/>
      <c r="S1161" s="449" t="s">
        <v>872</v>
      </c>
      <c r="T1161" s="449" t="s">
        <v>1055</v>
      </c>
      <c r="U1161" s="452">
        <v>0</v>
      </c>
      <c r="V11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1" s="272" t="str">
        <f>IFERROR(SUMIFS(TransUnitCost[Miles],TransUnitCost[Grouping_ID],TransTonsShort[[#This Row],[Grouping_ID]],TransUnitCost[Transp_ID],TransTonsShort[[#This Row],[Transp_ID]])*TransTonsShort[[#This Row],[Trans_Tons_All]]/TransTonsShort[[#This Row],[Trans_Tons_All]],"")</f>
        <v/>
      </c>
      <c r="X1161" s="386" t="str">
        <f>TransTonsShort[[#This Row],[Grouping_ID]]&amp;"-"&amp;TransTonsShort[[#This Row],[Sector_ID]]</f>
        <v>3-4</v>
      </c>
      <c r="Y11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1" s="421">
        <f>INDEX(LandfillFees[Disposal Tip Fee 2025],MATCH(TransTonsShort[[#This Row],[Grouping_ID]],LandfillFees[Grouping_ID],0))</f>
        <v>72.030938699729589</v>
      </c>
      <c r="AA1161" s="102">
        <f>IF(OR(TransTonsShort[[#This Row],[CollectionStream_ID]]="03",TransTonsShort[[#This Row],[CollectionStream_ID]]="04",TransTonsShort[[#This Row],[CollectionStream_ID]]="13"),0,TransTonsShort[[#This Row],[Trans_Tons_All]]*TransTonsShort[[#This Row],[Disposal_Fee]])</f>
        <v>0</v>
      </c>
    </row>
    <row r="1162" spans="12:27" ht="15" x14ac:dyDescent="0.25">
      <c r="L1162" s="446" t="s">
        <v>873</v>
      </c>
      <c r="M1162" s="446">
        <v>4</v>
      </c>
      <c r="N1162" s="446">
        <v>4</v>
      </c>
      <c r="O1162" s="448" t="s">
        <v>700</v>
      </c>
      <c r="P1162" s="449" t="s">
        <v>719</v>
      </c>
      <c r="Q1162" s="449"/>
      <c r="R1162" s="449"/>
      <c r="S1162" s="449" t="s">
        <v>872</v>
      </c>
      <c r="T1162" s="449" t="s">
        <v>1055</v>
      </c>
      <c r="U1162" s="452">
        <v>0</v>
      </c>
      <c r="V11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2" s="272" t="str">
        <f>IFERROR(SUMIFS(TransUnitCost[Miles],TransUnitCost[Grouping_ID],TransTonsShort[[#This Row],[Grouping_ID]],TransUnitCost[Transp_ID],TransTonsShort[[#This Row],[Transp_ID]])*TransTonsShort[[#This Row],[Trans_Tons_All]]/TransTonsShort[[#This Row],[Trans_Tons_All]],"")</f>
        <v/>
      </c>
      <c r="X1162" s="386" t="str">
        <f>TransTonsShort[[#This Row],[Grouping_ID]]&amp;"-"&amp;TransTonsShort[[#This Row],[Sector_ID]]</f>
        <v>4-4</v>
      </c>
      <c r="Y11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2" s="421">
        <f>INDEX(LandfillFees[Disposal Tip Fee 2025],MATCH(TransTonsShort[[#This Row],[Grouping_ID]],LandfillFees[Grouping_ID],0))</f>
        <v>72.030938699729589</v>
      </c>
      <c r="AA1162" s="102">
        <f>IF(OR(TransTonsShort[[#This Row],[CollectionStream_ID]]="03",TransTonsShort[[#This Row],[CollectionStream_ID]]="04",TransTonsShort[[#This Row],[CollectionStream_ID]]="13"),0,TransTonsShort[[#This Row],[Trans_Tons_All]]*TransTonsShort[[#This Row],[Disposal_Fee]])</f>
        <v>0</v>
      </c>
    </row>
    <row r="1163" spans="12:27" ht="15" x14ac:dyDescent="0.25">
      <c r="L1163" s="446" t="s">
        <v>873</v>
      </c>
      <c r="M1163" s="446">
        <v>1</v>
      </c>
      <c r="N1163" s="446">
        <v>4</v>
      </c>
      <c r="O1163" s="448" t="s">
        <v>700</v>
      </c>
      <c r="P1163" s="449" t="s">
        <v>700</v>
      </c>
      <c r="Q1163" s="449"/>
      <c r="R1163" s="449"/>
      <c r="S1163" s="449" t="s">
        <v>872</v>
      </c>
      <c r="T1163" s="449" t="s">
        <v>701</v>
      </c>
      <c r="U1163" s="452">
        <v>1114.0042150349775</v>
      </c>
      <c r="V11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3" s="272">
        <f>IFERROR(SUMIFS(TransUnitCost[Miles],TransUnitCost[Grouping_ID],TransTonsShort[[#This Row],[Grouping_ID]],TransUnitCost[Transp_ID],TransTonsShort[[#This Row],[Transp_ID]])*TransTonsShort[[#This Row],[Trans_Tons_All]]/TransTonsShort[[#This Row],[Trans_Tons_All]],"")</f>
        <v>0</v>
      </c>
      <c r="X1163" s="386" t="str">
        <f>TransTonsShort[[#This Row],[Grouping_ID]]&amp;"-"&amp;TransTonsShort[[#This Row],[Sector_ID]]</f>
        <v>1-4</v>
      </c>
      <c r="Y11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3" s="421">
        <f>INDEX(LandfillFees[Disposal Tip Fee 2025],MATCH(TransTonsShort[[#This Row],[Grouping_ID]],LandfillFees[Grouping_ID],0))</f>
        <v>134.68</v>
      </c>
      <c r="AA1163" s="102">
        <f>IF(OR(TransTonsShort[[#This Row],[CollectionStream_ID]]="03",TransTonsShort[[#This Row],[CollectionStream_ID]]="04",TransTonsShort[[#This Row],[CollectionStream_ID]]="13"),0,TransTonsShort[[#This Row],[Trans_Tons_All]]*TransTonsShort[[#This Row],[Disposal_Fee]])</f>
        <v>150034.08768091077</v>
      </c>
    </row>
    <row r="1164" spans="12:27" ht="15" x14ac:dyDescent="0.25">
      <c r="L1164" s="446" t="s">
        <v>873</v>
      </c>
      <c r="M1164" s="446">
        <v>2</v>
      </c>
      <c r="N1164" s="446">
        <v>4</v>
      </c>
      <c r="O1164" s="448" t="s">
        <v>700</v>
      </c>
      <c r="P1164" s="449" t="s">
        <v>700</v>
      </c>
      <c r="Q1164" s="449"/>
      <c r="R1164" s="449"/>
      <c r="S1164" s="449" t="s">
        <v>872</v>
      </c>
      <c r="T1164" s="449" t="s">
        <v>701</v>
      </c>
      <c r="U1164" s="452">
        <v>4307.6446589829875</v>
      </c>
      <c r="V11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4" s="272">
        <f>IFERROR(SUMIFS(TransUnitCost[Miles],TransUnitCost[Grouping_ID],TransTonsShort[[#This Row],[Grouping_ID]],TransUnitCost[Transp_ID],TransTonsShort[[#This Row],[Transp_ID]])*TransTonsShort[[#This Row],[Trans_Tons_All]]/TransTonsShort[[#This Row],[Trans_Tons_All]],"")</f>
        <v>0</v>
      </c>
      <c r="X1164" s="386" t="str">
        <f>TransTonsShort[[#This Row],[Grouping_ID]]&amp;"-"&amp;TransTonsShort[[#This Row],[Sector_ID]]</f>
        <v>2-4</v>
      </c>
      <c r="Y11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4" s="421">
        <f>INDEX(LandfillFees[Disposal Tip Fee 2025],MATCH(TransTonsShort[[#This Row],[Grouping_ID]],LandfillFees[Grouping_ID],0))</f>
        <v>72.030938699729589</v>
      </c>
      <c r="AA1164" s="102">
        <f>IF(OR(TransTonsShort[[#This Row],[CollectionStream_ID]]="03",TransTonsShort[[#This Row],[CollectionStream_ID]]="04",TransTonsShort[[#This Row],[CollectionStream_ID]]="13"),0,TransTonsShort[[#This Row],[Trans_Tons_All]]*TransTonsShort[[#This Row],[Disposal_Fee]])</f>
        <v>310283.68837142113</v>
      </c>
    </row>
    <row r="1165" spans="12:27" ht="15" x14ac:dyDescent="0.25">
      <c r="L1165" s="446" t="s">
        <v>873</v>
      </c>
      <c r="M1165" s="446">
        <v>3</v>
      </c>
      <c r="N1165" s="446">
        <v>4</v>
      </c>
      <c r="O1165" s="448" t="s">
        <v>700</v>
      </c>
      <c r="P1165" s="449" t="s">
        <v>700</v>
      </c>
      <c r="Q1165" s="449"/>
      <c r="R1165" s="449"/>
      <c r="S1165" s="449" t="s">
        <v>872</v>
      </c>
      <c r="T1165" s="449" t="s">
        <v>701</v>
      </c>
      <c r="U1165" s="452">
        <v>0</v>
      </c>
      <c r="V11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5" s="272" t="str">
        <f>IFERROR(SUMIFS(TransUnitCost[Miles],TransUnitCost[Grouping_ID],TransTonsShort[[#This Row],[Grouping_ID]],TransUnitCost[Transp_ID],TransTonsShort[[#This Row],[Transp_ID]])*TransTonsShort[[#This Row],[Trans_Tons_All]]/TransTonsShort[[#This Row],[Trans_Tons_All]],"")</f>
        <v/>
      </c>
      <c r="X1165" s="386" t="str">
        <f>TransTonsShort[[#This Row],[Grouping_ID]]&amp;"-"&amp;TransTonsShort[[#This Row],[Sector_ID]]</f>
        <v>3-4</v>
      </c>
      <c r="Y11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5" s="421">
        <f>INDEX(LandfillFees[Disposal Tip Fee 2025],MATCH(TransTonsShort[[#This Row],[Grouping_ID]],LandfillFees[Grouping_ID],0))</f>
        <v>72.030938699729589</v>
      </c>
      <c r="AA1165" s="102">
        <f>IF(OR(TransTonsShort[[#This Row],[CollectionStream_ID]]="03",TransTonsShort[[#This Row],[CollectionStream_ID]]="04",TransTonsShort[[#This Row],[CollectionStream_ID]]="13"),0,TransTonsShort[[#This Row],[Trans_Tons_All]]*TransTonsShort[[#This Row],[Disposal_Fee]])</f>
        <v>0</v>
      </c>
    </row>
    <row r="1166" spans="12:27" ht="15" x14ac:dyDescent="0.25">
      <c r="L1166" s="446" t="s">
        <v>873</v>
      </c>
      <c r="M1166" s="446">
        <v>4</v>
      </c>
      <c r="N1166" s="446">
        <v>4</v>
      </c>
      <c r="O1166" s="448" t="s">
        <v>700</v>
      </c>
      <c r="P1166" s="449" t="s">
        <v>700</v>
      </c>
      <c r="Q1166" s="449"/>
      <c r="R1166" s="449"/>
      <c r="S1166" s="449" t="s">
        <v>872</v>
      </c>
      <c r="T1166" s="449" t="s">
        <v>701</v>
      </c>
      <c r="U1166" s="452">
        <v>0</v>
      </c>
      <c r="V11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66" s="272" t="str">
        <f>IFERROR(SUMIFS(TransUnitCost[Miles],TransUnitCost[Grouping_ID],TransTonsShort[[#This Row],[Grouping_ID]],TransUnitCost[Transp_ID],TransTonsShort[[#This Row],[Transp_ID]])*TransTonsShort[[#This Row],[Trans_Tons_All]]/TransTonsShort[[#This Row],[Trans_Tons_All]],"")</f>
        <v/>
      </c>
      <c r="X1166" s="386" t="str">
        <f>TransTonsShort[[#This Row],[Grouping_ID]]&amp;"-"&amp;TransTonsShort[[#This Row],[Sector_ID]]</f>
        <v>4-4</v>
      </c>
      <c r="Y11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6" s="421">
        <f>INDEX(LandfillFees[Disposal Tip Fee 2025],MATCH(TransTonsShort[[#This Row],[Grouping_ID]],LandfillFees[Grouping_ID],0))</f>
        <v>72.030938699729589</v>
      </c>
      <c r="AA1166" s="102">
        <f>IF(OR(TransTonsShort[[#This Row],[CollectionStream_ID]]="03",TransTonsShort[[#This Row],[CollectionStream_ID]]="04",TransTonsShort[[#This Row],[CollectionStream_ID]]="13"),0,TransTonsShort[[#This Row],[Trans_Tons_All]]*TransTonsShort[[#This Row],[Disposal_Fee]])</f>
        <v>0</v>
      </c>
    </row>
    <row r="1167" spans="12:27" ht="15" x14ac:dyDescent="0.25">
      <c r="L1167" s="446" t="s">
        <v>873</v>
      </c>
      <c r="M1167" s="446">
        <v>1</v>
      </c>
      <c r="N1167" s="446">
        <v>4</v>
      </c>
      <c r="O1167" s="448" t="s">
        <v>700</v>
      </c>
      <c r="P1167" s="449" t="s">
        <v>706</v>
      </c>
      <c r="Q1167" s="449"/>
      <c r="R1167" s="449"/>
      <c r="S1167" s="449" t="s">
        <v>872</v>
      </c>
      <c r="T1167" s="449" t="s">
        <v>1025</v>
      </c>
      <c r="U1167" s="452">
        <v>166.46039994775529</v>
      </c>
      <c r="V11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3329.2079989551057</v>
      </c>
      <c r="W1167" s="272">
        <f>IFERROR(SUMIFS(TransUnitCost[Miles],TransUnitCost[Grouping_ID],TransTonsShort[[#This Row],[Grouping_ID]],TransUnitCost[Transp_ID],TransTonsShort[[#This Row],[Transp_ID]])*TransTonsShort[[#This Row],[Trans_Tons_All]]/TransTonsShort[[#This Row],[Trans_Tons_All]],"")</f>
        <v>20</v>
      </c>
      <c r="X1167" s="386" t="str">
        <f>TransTonsShort[[#This Row],[Grouping_ID]]&amp;"-"&amp;TransTonsShort[[#This Row],[Sector_ID]]</f>
        <v>1-4</v>
      </c>
      <c r="Y11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7" s="421">
        <f>INDEX(LandfillFees[Disposal Tip Fee 2025],MATCH(TransTonsShort[[#This Row],[Grouping_ID]],LandfillFees[Grouping_ID],0))</f>
        <v>134.68</v>
      </c>
      <c r="AA1167" s="102">
        <f>IF(OR(TransTonsShort[[#This Row],[CollectionStream_ID]]="03",TransTonsShort[[#This Row],[CollectionStream_ID]]="04",TransTonsShort[[#This Row],[CollectionStream_ID]]="13"),0,TransTonsShort[[#This Row],[Trans_Tons_All]]*TransTonsShort[[#This Row],[Disposal_Fee]])</f>
        <v>22418.886664963684</v>
      </c>
    </row>
    <row r="1168" spans="12:27" ht="15" x14ac:dyDescent="0.25">
      <c r="L1168" s="446" t="s">
        <v>873</v>
      </c>
      <c r="M1168" s="446">
        <v>2</v>
      </c>
      <c r="N1168" s="446">
        <v>4</v>
      </c>
      <c r="O1168" s="448" t="s">
        <v>700</v>
      </c>
      <c r="P1168" s="449" t="s">
        <v>706</v>
      </c>
      <c r="Q1168" s="449"/>
      <c r="R1168" s="449"/>
      <c r="S1168" s="449" t="s">
        <v>872</v>
      </c>
      <c r="T1168" s="449" t="s">
        <v>1025</v>
      </c>
      <c r="U1168" s="452">
        <v>532.40551964958274</v>
      </c>
      <c r="V11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14907.354550188316</v>
      </c>
      <c r="W1168" s="272">
        <f>IFERROR(SUMIFS(TransUnitCost[Miles],TransUnitCost[Grouping_ID],TransTonsShort[[#This Row],[Grouping_ID]],TransUnitCost[Transp_ID],TransTonsShort[[#This Row],[Transp_ID]])*TransTonsShort[[#This Row],[Trans_Tons_All]]/TransTonsShort[[#This Row],[Trans_Tons_All]],"")</f>
        <v>70</v>
      </c>
      <c r="X1168" s="386" t="str">
        <f>TransTonsShort[[#This Row],[Grouping_ID]]&amp;"-"&amp;TransTonsShort[[#This Row],[Sector_ID]]</f>
        <v>2-4</v>
      </c>
      <c r="Y11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8" s="421">
        <f>INDEX(LandfillFees[Disposal Tip Fee 2025],MATCH(TransTonsShort[[#This Row],[Grouping_ID]],LandfillFees[Grouping_ID],0))</f>
        <v>72.030938699729589</v>
      </c>
      <c r="AA1168" s="102">
        <f>IF(OR(TransTonsShort[[#This Row],[CollectionStream_ID]]="03",TransTonsShort[[#This Row],[CollectionStream_ID]]="04",TransTonsShort[[#This Row],[CollectionStream_ID]]="13"),0,TransTonsShort[[#This Row],[Trans_Tons_All]]*TransTonsShort[[#This Row],[Disposal_Fee]])</f>
        <v>38349.669349276774</v>
      </c>
    </row>
    <row r="1169" spans="12:27" ht="15" x14ac:dyDescent="0.25">
      <c r="L1169" s="446" t="s">
        <v>873</v>
      </c>
      <c r="M1169" s="446">
        <v>3</v>
      </c>
      <c r="N1169" s="446">
        <v>4</v>
      </c>
      <c r="O1169" s="448" t="s">
        <v>700</v>
      </c>
      <c r="P1169" s="449" t="s">
        <v>706</v>
      </c>
      <c r="Q1169" s="449"/>
      <c r="R1169" s="449"/>
      <c r="S1169" s="449" t="s">
        <v>872</v>
      </c>
      <c r="T1169" s="449" t="s">
        <v>1025</v>
      </c>
      <c r="U1169" s="452">
        <v>2901.8631778368617</v>
      </c>
      <c r="V11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152347.81683643523</v>
      </c>
      <c r="W1169" s="272">
        <f>IFERROR(SUMIFS(TransUnitCost[Miles],TransUnitCost[Grouping_ID],TransTonsShort[[#This Row],[Grouping_ID]],TransUnitCost[Transp_ID],TransTonsShort[[#This Row],[Transp_ID]])*TransTonsShort[[#This Row],[Trans_Tons_All]]/TransTonsShort[[#This Row],[Trans_Tons_All]],"")</f>
        <v>150</v>
      </c>
      <c r="X1169" s="386" t="str">
        <f>TransTonsShort[[#This Row],[Grouping_ID]]&amp;"-"&amp;TransTonsShort[[#This Row],[Sector_ID]]</f>
        <v>3-4</v>
      </c>
      <c r="Y11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69" s="421">
        <f>INDEX(LandfillFees[Disposal Tip Fee 2025],MATCH(TransTonsShort[[#This Row],[Grouping_ID]],LandfillFees[Grouping_ID],0))</f>
        <v>72.030938699729589</v>
      </c>
      <c r="AA1169" s="102">
        <f>IF(OR(TransTonsShort[[#This Row],[CollectionStream_ID]]="03",TransTonsShort[[#This Row],[CollectionStream_ID]]="04",TransTonsShort[[#This Row],[CollectionStream_ID]]="13"),0,TransTonsShort[[#This Row],[Trans_Tons_All]]*TransTonsShort[[#This Row],[Disposal_Fee]])</f>
        <v>209023.92867776949</v>
      </c>
    </row>
    <row r="1170" spans="12:27" ht="15" x14ac:dyDescent="0.25">
      <c r="L1170" s="446" t="s">
        <v>873</v>
      </c>
      <c r="M1170" s="446">
        <v>4</v>
      </c>
      <c r="N1170" s="446">
        <v>4</v>
      </c>
      <c r="O1170" s="448" t="s">
        <v>700</v>
      </c>
      <c r="P1170" s="449" t="s">
        <v>706</v>
      </c>
      <c r="Q1170" s="449"/>
      <c r="R1170" s="449"/>
      <c r="S1170" s="449" t="s">
        <v>872</v>
      </c>
      <c r="T1170" s="449" t="s">
        <v>1025</v>
      </c>
      <c r="U1170" s="452">
        <v>0</v>
      </c>
      <c r="V11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0" s="272" t="str">
        <f>IFERROR(SUMIFS(TransUnitCost[Miles],TransUnitCost[Grouping_ID],TransTonsShort[[#This Row],[Grouping_ID]],TransUnitCost[Transp_ID],TransTonsShort[[#This Row],[Transp_ID]])*TransTonsShort[[#This Row],[Trans_Tons_All]]/TransTonsShort[[#This Row],[Trans_Tons_All]],"")</f>
        <v/>
      </c>
      <c r="X1170" s="386" t="str">
        <f>TransTonsShort[[#This Row],[Grouping_ID]]&amp;"-"&amp;TransTonsShort[[#This Row],[Sector_ID]]</f>
        <v>4-4</v>
      </c>
      <c r="Y11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0" s="421">
        <f>INDEX(LandfillFees[Disposal Tip Fee 2025],MATCH(TransTonsShort[[#This Row],[Grouping_ID]],LandfillFees[Grouping_ID],0))</f>
        <v>72.030938699729589</v>
      </c>
      <c r="AA1170" s="102">
        <f>IF(OR(TransTonsShort[[#This Row],[CollectionStream_ID]]="03",TransTonsShort[[#This Row],[CollectionStream_ID]]="04",TransTonsShort[[#This Row],[CollectionStream_ID]]="13"),0,TransTonsShort[[#This Row],[Trans_Tons_All]]*TransTonsShort[[#This Row],[Disposal_Fee]])</f>
        <v>0</v>
      </c>
    </row>
    <row r="1171" spans="12:27" ht="15" x14ac:dyDescent="0.25">
      <c r="L1171" s="446" t="s">
        <v>873</v>
      </c>
      <c r="M1171" s="446">
        <v>1</v>
      </c>
      <c r="N1171" s="446">
        <v>4</v>
      </c>
      <c r="O1171" s="446" t="s">
        <v>748</v>
      </c>
      <c r="P1171" s="449" t="s">
        <v>719</v>
      </c>
      <c r="Q1171" s="449"/>
      <c r="R1171" s="449"/>
      <c r="S1171" s="449" t="s">
        <v>765</v>
      </c>
      <c r="T1171" s="449" t="s">
        <v>1055</v>
      </c>
      <c r="U1171" s="452">
        <v>0</v>
      </c>
      <c r="V11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1" s="272" t="str">
        <f>IFERROR(SUMIFS(TransUnitCost[Miles],TransUnitCost[Grouping_ID],TransTonsShort[[#This Row],[Grouping_ID]],TransUnitCost[Transp_ID],TransTonsShort[[#This Row],[Transp_ID]])*TransTonsShort[[#This Row],[Trans_Tons_All]]/TransTonsShort[[#This Row],[Trans_Tons_All]],"")</f>
        <v/>
      </c>
      <c r="X1171" s="386" t="str">
        <f>TransTonsShort[[#This Row],[Grouping_ID]]&amp;"-"&amp;TransTonsShort[[#This Row],[Sector_ID]]</f>
        <v>1-4</v>
      </c>
      <c r="Y11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1" s="421">
        <f>INDEX(LandfillFees[Disposal Tip Fee 2025],MATCH(TransTonsShort[[#This Row],[Grouping_ID]],LandfillFees[Grouping_ID],0))</f>
        <v>134.68</v>
      </c>
      <c r="AA1171" s="102">
        <f>IF(OR(TransTonsShort[[#This Row],[CollectionStream_ID]]="03",TransTonsShort[[#This Row],[CollectionStream_ID]]="04",TransTonsShort[[#This Row],[CollectionStream_ID]]="13"),0,TransTonsShort[[#This Row],[Trans_Tons_All]]*TransTonsShort[[#This Row],[Disposal_Fee]])</f>
        <v>0</v>
      </c>
    </row>
    <row r="1172" spans="12:27" ht="15" x14ac:dyDescent="0.25">
      <c r="L1172" s="446" t="s">
        <v>873</v>
      </c>
      <c r="M1172" s="446">
        <v>2</v>
      </c>
      <c r="N1172" s="446">
        <v>4</v>
      </c>
      <c r="O1172" s="446" t="s">
        <v>748</v>
      </c>
      <c r="P1172" s="449" t="s">
        <v>719</v>
      </c>
      <c r="Q1172" s="449"/>
      <c r="R1172" s="449"/>
      <c r="S1172" s="449" t="s">
        <v>765</v>
      </c>
      <c r="T1172" s="449" t="s">
        <v>1055</v>
      </c>
      <c r="U1172" s="452">
        <v>0</v>
      </c>
      <c r="V11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2" s="272" t="str">
        <f>IFERROR(SUMIFS(TransUnitCost[Miles],TransUnitCost[Grouping_ID],TransTonsShort[[#This Row],[Grouping_ID]],TransUnitCost[Transp_ID],TransTonsShort[[#This Row],[Transp_ID]])*TransTonsShort[[#This Row],[Trans_Tons_All]]/TransTonsShort[[#This Row],[Trans_Tons_All]],"")</f>
        <v/>
      </c>
      <c r="X1172" s="386" t="str">
        <f>TransTonsShort[[#This Row],[Grouping_ID]]&amp;"-"&amp;TransTonsShort[[#This Row],[Sector_ID]]</f>
        <v>2-4</v>
      </c>
      <c r="Y11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2" s="421">
        <f>INDEX(LandfillFees[Disposal Tip Fee 2025],MATCH(TransTonsShort[[#This Row],[Grouping_ID]],LandfillFees[Grouping_ID],0))</f>
        <v>72.030938699729589</v>
      </c>
      <c r="AA1172" s="102">
        <f>IF(OR(TransTonsShort[[#This Row],[CollectionStream_ID]]="03",TransTonsShort[[#This Row],[CollectionStream_ID]]="04",TransTonsShort[[#This Row],[CollectionStream_ID]]="13"),0,TransTonsShort[[#This Row],[Trans_Tons_All]]*TransTonsShort[[#This Row],[Disposal_Fee]])</f>
        <v>0</v>
      </c>
    </row>
    <row r="1173" spans="12:27" ht="15" x14ac:dyDescent="0.25">
      <c r="L1173" s="446" t="s">
        <v>873</v>
      </c>
      <c r="M1173" s="446">
        <v>3</v>
      </c>
      <c r="N1173" s="446">
        <v>4</v>
      </c>
      <c r="O1173" s="446" t="s">
        <v>748</v>
      </c>
      <c r="P1173" s="449" t="s">
        <v>719</v>
      </c>
      <c r="Q1173" s="449"/>
      <c r="R1173" s="449"/>
      <c r="S1173" s="449" t="s">
        <v>765</v>
      </c>
      <c r="T1173" s="449" t="s">
        <v>1055</v>
      </c>
      <c r="U1173" s="452">
        <v>0</v>
      </c>
      <c r="V11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3" s="272" t="str">
        <f>IFERROR(SUMIFS(TransUnitCost[Miles],TransUnitCost[Grouping_ID],TransTonsShort[[#This Row],[Grouping_ID]],TransUnitCost[Transp_ID],TransTonsShort[[#This Row],[Transp_ID]])*TransTonsShort[[#This Row],[Trans_Tons_All]]/TransTonsShort[[#This Row],[Trans_Tons_All]],"")</f>
        <v/>
      </c>
      <c r="X1173" s="386" t="str">
        <f>TransTonsShort[[#This Row],[Grouping_ID]]&amp;"-"&amp;TransTonsShort[[#This Row],[Sector_ID]]</f>
        <v>3-4</v>
      </c>
      <c r="Y11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3" s="421">
        <f>INDEX(LandfillFees[Disposal Tip Fee 2025],MATCH(TransTonsShort[[#This Row],[Grouping_ID]],LandfillFees[Grouping_ID],0))</f>
        <v>72.030938699729589</v>
      </c>
      <c r="AA1173" s="102">
        <f>IF(OR(TransTonsShort[[#This Row],[CollectionStream_ID]]="03",TransTonsShort[[#This Row],[CollectionStream_ID]]="04",TransTonsShort[[#This Row],[CollectionStream_ID]]="13"),0,TransTonsShort[[#This Row],[Trans_Tons_All]]*TransTonsShort[[#This Row],[Disposal_Fee]])</f>
        <v>0</v>
      </c>
    </row>
    <row r="1174" spans="12:27" ht="15" x14ac:dyDescent="0.25">
      <c r="L1174" s="446" t="s">
        <v>873</v>
      </c>
      <c r="M1174" s="446">
        <v>4</v>
      </c>
      <c r="N1174" s="446">
        <v>4</v>
      </c>
      <c r="O1174" s="446" t="s">
        <v>748</v>
      </c>
      <c r="P1174" s="449" t="s">
        <v>719</v>
      </c>
      <c r="Q1174" s="449"/>
      <c r="R1174" s="449"/>
      <c r="S1174" s="449" t="s">
        <v>765</v>
      </c>
      <c r="T1174" s="449" t="s">
        <v>1055</v>
      </c>
      <c r="U1174" s="452">
        <v>0</v>
      </c>
      <c r="V11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4" s="272" t="str">
        <f>IFERROR(SUMIFS(TransUnitCost[Miles],TransUnitCost[Grouping_ID],TransTonsShort[[#This Row],[Grouping_ID]],TransUnitCost[Transp_ID],TransTonsShort[[#This Row],[Transp_ID]])*TransTonsShort[[#This Row],[Trans_Tons_All]]/TransTonsShort[[#This Row],[Trans_Tons_All]],"")</f>
        <v/>
      </c>
      <c r="X1174" s="386" t="str">
        <f>TransTonsShort[[#This Row],[Grouping_ID]]&amp;"-"&amp;TransTonsShort[[#This Row],[Sector_ID]]</f>
        <v>4-4</v>
      </c>
      <c r="Y11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4" s="421">
        <f>INDEX(LandfillFees[Disposal Tip Fee 2025],MATCH(TransTonsShort[[#This Row],[Grouping_ID]],LandfillFees[Grouping_ID],0))</f>
        <v>72.030938699729589</v>
      </c>
      <c r="AA1174" s="102">
        <f>IF(OR(TransTonsShort[[#This Row],[CollectionStream_ID]]="03",TransTonsShort[[#This Row],[CollectionStream_ID]]="04",TransTonsShort[[#This Row],[CollectionStream_ID]]="13"),0,TransTonsShort[[#This Row],[Trans_Tons_All]]*TransTonsShort[[#This Row],[Disposal_Fee]])</f>
        <v>0</v>
      </c>
    </row>
    <row r="1175" spans="12:27" ht="15" x14ac:dyDescent="0.25">
      <c r="L1175" s="446" t="s">
        <v>873</v>
      </c>
      <c r="M1175" s="446">
        <v>1</v>
      </c>
      <c r="N1175" s="446">
        <v>4</v>
      </c>
      <c r="O1175" s="446" t="s">
        <v>748</v>
      </c>
      <c r="P1175" s="449" t="s">
        <v>700</v>
      </c>
      <c r="Q1175" s="449"/>
      <c r="R1175" s="449"/>
      <c r="S1175" s="449" t="s">
        <v>765</v>
      </c>
      <c r="T1175" s="449" t="s">
        <v>701</v>
      </c>
      <c r="U1175" s="452">
        <v>0</v>
      </c>
      <c r="V11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5" s="272" t="str">
        <f>IFERROR(SUMIFS(TransUnitCost[Miles],TransUnitCost[Grouping_ID],TransTonsShort[[#This Row],[Grouping_ID]],TransUnitCost[Transp_ID],TransTonsShort[[#This Row],[Transp_ID]])*TransTonsShort[[#This Row],[Trans_Tons_All]]/TransTonsShort[[#This Row],[Trans_Tons_All]],"")</f>
        <v/>
      </c>
      <c r="X1175" s="386" t="str">
        <f>TransTonsShort[[#This Row],[Grouping_ID]]&amp;"-"&amp;TransTonsShort[[#This Row],[Sector_ID]]</f>
        <v>1-4</v>
      </c>
      <c r="Y11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5" s="421">
        <f>INDEX(LandfillFees[Disposal Tip Fee 2025],MATCH(TransTonsShort[[#This Row],[Grouping_ID]],LandfillFees[Grouping_ID],0))</f>
        <v>134.68</v>
      </c>
      <c r="AA1175" s="102">
        <f>IF(OR(TransTonsShort[[#This Row],[CollectionStream_ID]]="03",TransTonsShort[[#This Row],[CollectionStream_ID]]="04",TransTonsShort[[#This Row],[CollectionStream_ID]]="13"),0,TransTonsShort[[#This Row],[Trans_Tons_All]]*TransTonsShort[[#This Row],[Disposal_Fee]])</f>
        <v>0</v>
      </c>
    </row>
    <row r="1176" spans="12:27" ht="15" x14ac:dyDescent="0.25">
      <c r="L1176" s="446" t="s">
        <v>873</v>
      </c>
      <c r="M1176" s="446">
        <v>2</v>
      </c>
      <c r="N1176" s="446">
        <v>4</v>
      </c>
      <c r="O1176" s="446" t="s">
        <v>748</v>
      </c>
      <c r="P1176" s="449" t="s">
        <v>700</v>
      </c>
      <c r="Q1176" s="449"/>
      <c r="R1176" s="449"/>
      <c r="S1176" s="449" t="s">
        <v>765</v>
      </c>
      <c r="T1176" s="449" t="s">
        <v>701</v>
      </c>
      <c r="U1176" s="452">
        <v>0</v>
      </c>
      <c r="V11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6" s="272" t="str">
        <f>IFERROR(SUMIFS(TransUnitCost[Miles],TransUnitCost[Grouping_ID],TransTonsShort[[#This Row],[Grouping_ID]],TransUnitCost[Transp_ID],TransTonsShort[[#This Row],[Transp_ID]])*TransTonsShort[[#This Row],[Trans_Tons_All]]/TransTonsShort[[#This Row],[Trans_Tons_All]],"")</f>
        <v/>
      </c>
      <c r="X1176" s="386" t="str">
        <f>TransTonsShort[[#This Row],[Grouping_ID]]&amp;"-"&amp;TransTonsShort[[#This Row],[Sector_ID]]</f>
        <v>2-4</v>
      </c>
      <c r="Y11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6" s="421">
        <f>INDEX(LandfillFees[Disposal Tip Fee 2025],MATCH(TransTonsShort[[#This Row],[Grouping_ID]],LandfillFees[Grouping_ID],0))</f>
        <v>72.030938699729589</v>
      </c>
      <c r="AA1176" s="102">
        <f>IF(OR(TransTonsShort[[#This Row],[CollectionStream_ID]]="03",TransTonsShort[[#This Row],[CollectionStream_ID]]="04",TransTonsShort[[#This Row],[CollectionStream_ID]]="13"),0,TransTonsShort[[#This Row],[Trans_Tons_All]]*TransTonsShort[[#This Row],[Disposal_Fee]])</f>
        <v>0</v>
      </c>
    </row>
    <row r="1177" spans="12:27" ht="15" x14ac:dyDescent="0.25">
      <c r="L1177" s="446" t="s">
        <v>873</v>
      </c>
      <c r="M1177" s="446">
        <v>3</v>
      </c>
      <c r="N1177" s="446">
        <v>4</v>
      </c>
      <c r="O1177" s="446" t="s">
        <v>748</v>
      </c>
      <c r="P1177" s="449" t="s">
        <v>700</v>
      </c>
      <c r="Q1177" s="449"/>
      <c r="R1177" s="449"/>
      <c r="S1177" s="449" t="s">
        <v>765</v>
      </c>
      <c r="T1177" s="449" t="s">
        <v>701</v>
      </c>
      <c r="U1177" s="452">
        <v>0</v>
      </c>
      <c r="V11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7" s="272" t="str">
        <f>IFERROR(SUMIFS(TransUnitCost[Miles],TransUnitCost[Grouping_ID],TransTonsShort[[#This Row],[Grouping_ID]],TransUnitCost[Transp_ID],TransTonsShort[[#This Row],[Transp_ID]])*TransTonsShort[[#This Row],[Trans_Tons_All]]/TransTonsShort[[#This Row],[Trans_Tons_All]],"")</f>
        <v/>
      </c>
      <c r="X1177" s="386" t="str">
        <f>TransTonsShort[[#This Row],[Grouping_ID]]&amp;"-"&amp;TransTonsShort[[#This Row],[Sector_ID]]</f>
        <v>3-4</v>
      </c>
      <c r="Y11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7" s="421">
        <f>INDEX(LandfillFees[Disposal Tip Fee 2025],MATCH(TransTonsShort[[#This Row],[Grouping_ID]],LandfillFees[Grouping_ID],0))</f>
        <v>72.030938699729589</v>
      </c>
      <c r="AA1177" s="102">
        <f>IF(OR(TransTonsShort[[#This Row],[CollectionStream_ID]]="03",TransTonsShort[[#This Row],[CollectionStream_ID]]="04",TransTonsShort[[#This Row],[CollectionStream_ID]]="13"),0,TransTonsShort[[#This Row],[Trans_Tons_All]]*TransTonsShort[[#This Row],[Disposal_Fee]])</f>
        <v>0</v>
      </c>
    </row>
    <row r="1178" spans="12:27" ht="15" x14ac:dyDescent="0.25">
      <c r="L1178" s="446" t="s">
        <v>873</v>
      </c>
      <c r="M1178" s="446">
        <v>4</v>
      </c>
      <c r="N1178" s="446">
        <v>4</v>
      </c>
      <c r="O1178" s="446" t="s">
        <v>748</v>
      </c>
      <c r="P1178" s="449" t="s">
        <v>700</v>
      </c>
      <c r="Q1178" s="449"/>
      <c r="R1178" s="449"/>
      <c r="S1178" s="449" t="s">
        <v>765</v>
      </c>
      <c r="T1178" s="449" t="s">
        <v>701</v>
      </c>
      <c r="U1178" s="452">
        <v>0</v>
      </c>
      <c r="V11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8" s="272" t="str">
        <f>IFERROR(SUMIFS(TransUnitCost[Miles],TransUnitCost[Grouping_ID],TransTonsShort[[#This Row],[Grouping_ID]],TransUnitCost[Transp_ID],TransTonsShort[[#This Row],[Transp_ID]])*TransTonsShort[[#This Row],[Trans_Tons_All]]/TransTonsShort[[#This Row],[Trans_Tons_All]],"")</f>
        <v/>
      </c>
      <c r="X1178" s="386" t="str">
        <f>TransTonsShort[[#This Row],[Grouping_ID]]&amp;"-"&amp;TransTonsShort[[#This Row],[Sector_ID]]</f>
        <v>4-4</v>
      </c>
      <c r="Y11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8" s="421">
        <f>INDEX(LandfillFees[Disposal Tip Fee 2025],MATCH(TransTonsShort[[#This Row],[Grouping_ID]],LandfillFees[Grouping_ID],0))</f>
        <v>72.030938699729589</v>
      </c>
      <c r="AA1178" s="102">
        <f>IF(OR(TransTonsShort[[#This Row],[CollectionStream_ID]]="03",TransTonsShort[[#This Row],[CollectionStream_ID]]="04",TransTonsShort[[#This Row],[CollectionStream_ID]]="13"),0,TransTonsShort[[#This Row],[Trans_Tons_All]]*TransTonsShort[[#This Row],[Disposal_Fee]])</f>
        <v>0</v>
      </c>
    </row>
    <row r="1179" spans="12:27" ht="15" x14ac:dyDescent="0.25">
      <c r="L1179" s="446" t="s">
        <v>873</v>
      </c>
      <c r="M1179" s="446">
        <v>1</v>
      </c>
      <c r="N1179" s="446">
        <v>4</v>
      </c>
      <c r="O1179" s="446" t="s">
        <v>748</v>
      </c>
      <c r="P1179" s="449" t="s">
        <v>748</v>
      </c>
      <c r="Q1179" s="449"/>
      <c r="R1179" s="449"/>
      <c r="S1179" s="449" t="s">
        <v>765</v>
      </c>
      <c r="T1179" s="449" t="s">
        <v>849</v>
      </c>
      <c r="U1179" s="452">
        <v>0</v>
      </c>
      <c r="V11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79" s="272" t="str">
        <f>IFERROR(SUMIFS(TransUnitCost[Miles],TransUnitCost[Grouping_ID],TransTonsShort[[#This Row],[Grouping_ID]],TransUnitCost[Transp_ID],TransTonsShort[[#This Row],[Transp_ID]])*TransTonsShort[[#This Row],[Trans_Tons_All]]/TransTonsShort[[#This Row],[Trans_Tons_All]],"")</f>
        <v/>
      </c>
      <c r="X1179" s="386" t="str">
        <f>TransTonsShort[[#This Row],[Grouping_ID]]&amp;"-"&amp;TransTonsShort[[#This Row],[Sector_ID]]</f>
        <v>1-4</v>
      </c>
      <c r="Y11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79" s="421">
        <f>INDEX(LandfillFees[Disposal Tip Fee 2025],MATCH(TransTonsShort[[#This Row],[Grouping_ID]],LandfillFees[Grouping_ID],0))</f>
        <v>134.68</v>
      </c>
      <c r="AA1179" s="102">
        <f>IF(OR(TransTonsShort[[#This Row],[CollectionStream_ID]]="03",TransTonsShort[[#This Row],[CollectionStream_ID]]="04",TransTonsShort[[#This Row],[CollectionStream_ID]]="13"),0,TransTonsShort[[#This Row],[Trans_Tons_All]]*TransTonsShort[[#This Row],[Disposal_Fee]])</f>
        <v>0</v>
      </c>
    </row>
    <row r="1180" spans="12:27" ht="15" x14ac:dyDescent="0.25">
      <c r="L1180" s="446" t="s">
        <v>873</v>
      </c>
      <c r="M1180" s="446">
        <v>2</v>
      </c>
      <c r="N1180" s="446">
        <v>4</v>
      </c>
      <c r="O1180" s="446" t="s">
        <v>748</v>
      </c>
      <c r="P1180" s="449" t="s">
        <v>748</v>
      </c>
      <c r="Q1180" s="449"/>
      <c r="R1180" s="449"/>
      <c r="S1180" s="449" t="s">
        <v>765</v>
      </c>
      <c r="T1180" s="449" t="s">
        <v>849</v>
      </c>
      <c r="U1180" s="452">
        <v>0</v>
      </c>
      <c r="V11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0" s="272" t="str">
        <f>IFERROR(SUMIFS(TransUnitCost[Miles],TransUnitCost[Grouping_ID],TransTonsShort[[#This Row],[Grouping_ID]],TransUnitCost[Transp_ID],TransTonsShort[[#This Row],[Transp_ID]])*TransTonsShort[[#This Row],[Trans_Tons_All]]/TransTonsShort[[#This Row],[Trans_Tons_All]],"")</f>
        <v/>
      </c>
      <c r="X1180" s="386" t="str">
        <f>TransTonsShort[[#This Row],[Grouping_ID]]&amp;"-"&amp;TransTonsShort[[#This Row],[Sector_ID]]</f>
        <v>2-4</v>
      </c>
      <c r="Y11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0" s="421">
        <f>INDEX(LandfillFees[Disposal Tip Fee 2025],MATCH(TransTonsShort[[#This Row],[Grouping_ID]],LandfillFees[Grouping_ID],0))</f>
        <v>72.030938699729589</v>
      </c>
      <c r="AA1180" s="102">
        <f>IF(OR(TransTonsShort[[#This Row],[CollectionStream_ID]]="03",TransTonsShort[[#This Row],[CollectionStream_ID]]="04",TransTonsShort[[#This Row],[CollectionStream_ID]]="13"),0,TransTonsShort[[#This Row],[Trans_Tons_All]]*TransTonsShort[[#This Row],[Disposal_Fee]])</f>
        <v>0</v>
      </c>
    </row>
    <row r="1181" spans="12:27" ht="15" x14ac:dyDescent="0.25">
      <c r="L1181" s="446" t="s">
        <v>873</v>
      </c>
      <c r="M1181" s="446">
        <v>3</v>
      </c>
      <c r="N1181" s="446">
        <v>4</v>
      </c>
      <c r="O1181" s="446" t="s">
        <v>748</v>
      </c>
      <c r="P1181" s="449" t="s">
        <v>748</v>
      </c>
      <c r="Q1181" s="449"/>
      <c r="R1181" s="449"/>
      <c r="S1181" s="449" t="s">
        <v>765</v>
      </c>
      <c r="T1181" s="449" t="s">
        <v>849</v>
      </c>
      <c r="U1181" s="452">
        <v>0</v>
      </c>
      <c r="V11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1" s="272" t="str">
        <f>IFERROR(SUMIFS(TransUnitCost[Miles],TransUnitCost[Grouping_ID],TransTonsShort[[#This Row],[Grouping_ID]],TransUnitCost[Transp_ID],TransTonsShort[[#This Row],[Transp_ID]])*TransTonsShort[[#This Row],[Trans_Tons_All]]/TransTonsShort[[#This Row],[Trans_Tons_All]],"")</f>
        <v/>
      </c>
      <c r="X1181" s="386" t="str">
        <f>TransTonsShort[[#This Row],[Grouping_ID]]&amp;"-"&amp;TransTonsShort[[#This Row],[Sector_ID]]</f>
        <v>3-4</v>
      </c>
      <c r="Y11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1" s="421">
        <f>INDEX(LandfillFees[Disposal Tip Fee 2025],MATCH(TransTonsShort[[#This Row],[Grouping_ID]],LandfillFees[Grouping_ID],0))</f>
        <v>72.030938699729589</v>
      </c>
      <c r="AA1181" s="102">
        <f>IF(OR(TransTonsShort[[#This Row],[CollectionStream_ID]]="03",TransTonsShort[[#This Row],[CollectionStream_ID]]="04",TransTonsShort[[#This Row],[CollectionStream_ID]]="13"),0,TransTonsShort[[#This Row],[Trans_Tons_All]]*TransTonsShort[[#This Row],[Disposal_Fee]])</f>
        <v>0</v>
      </c>
    </row>
    <row r="1182" spans="12:27" ht="15" x14ac:dyDescent="0.25">
      <c r="L1182" s="446" t="s">
        <v>873</v>
      </c>
      <c r="M1182" s="446">
        <v>4</v>
      </c>
      <c r="N1182" s="446">
        <v>4</v>
      </c>
      <c r="O1182" s="446" t="s">
        <v>748</v>
      </c>
      <c r="P1182" s="449" t="s">
        <v>748</v>
      </c>
      <c r="Q1182" s="449"/>
      <c r="R1182" s="449"/>
      <c r="S1182" s="449" t="s">
        <v>765</v>
      </c>
      <c r="T1182" s="449" t="s">
        <v>849</v>
      </c>
      <c r="U1182" s="452">
        <v>0</v>
      </c>
      <c r="V11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2" s="272" t="str">
        <f>IFERROR(SUMIFS(TransUnitCost[Miles],TransUnitCost[Grouping_ID],TransTonsShort[[#This Row],[Grouping_ID]],TransUnitCost[Transp_ID],TransTonsShort[[#This Row],[Transp_ID]])*TransTonsShort[[#This Row],[Trans_Tons_All]]/TransTonsShort[[#This Row],[Trans_Tons_All]],"")</f>
        <v/>
      </c>
      <c r="X1182" s="386" t="str">
        <f>TransTonsShort[[#This Row],[Grouping_ID]]&amp;"-"&amp;TransTonsShort[[#This Row],[Sector_ID]]</f>
        <v>4-4</v>
      </c>
      <c r="Y11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2" s="421">
        <f>INDEX(LandfillFees[Disposal Tip Fee 2025],MATCH(TransTonsShort[[#This Row],[Grouping_ID]],LandfillFees[Grouping_ID],0))</f>
        <v>72.030938699729589</v>
      </c>
      <c r="AA1182" s="102">
        <f>IF(OR(TransTonsShort[[#This Row],[CollectionStream_ID]]="03",TransTonsShort[[#This Row],[CollectionStream_ID]]="04",TransTonsShort[[#This Row],[CollectionStream_ID]]="13"),0,TransTonsShort[[#This Row],[Trans_Tons_All]]*TransTonsShort[[#This Row],[Disposal_Fee]])</f>
        <v>0</v>
      </c>
    </row>
    <row r="1183" spans="12:27" ht="15" x14ac:dyDescent="0.25">
      <c r="L1183" s="446" t="s">
        <v>873</v>
      </c>
      <c r="M1183" s="446">
        <v>1</v>
      </c>
      <c r="N1183" s="446">
        <v>4</v>
      </c>
      <c r="O1183" s="446" t="s">
        <v>746</v>
      </c>
      <c r="P1183" s="449" t="s">
        <v>719</v>
      </c>
      <c r="Q1183" s="449"/>
      <c r="R1183" s="449"/>
      <c r="S1183" s="449" t="s">
        <v>762</v>
      </c>
      <c r="T1183" s="449" t="s">
        <v>1055</v>
      </c>
      <c r="U1183" s="452">
        <v>0</v>
      </c>
      <c r="V11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3" s="272" t="str">
        <f>IFERROR(SUMIFS(TransUnitCost[Miles],TransUnitCost[Grouping_ID],TransTonsShort[[#This Row],[Grouping_ID]],TransUnitCost[Transp_ID],TransTonsShort[[#This Row],[Transp_ID]])*TransTonsShort[[#This Row],[Trans_Tons_All]]/TransTonsShort[[#This Row],[Trans_Tons_All]],"")</f>
        <v/>
      </c>
      <c r="X1183" s="386" t="str">
        <f>TransTonsShort[[#This Row],[Grouping_ID]]&amp;"-"&amp;TransTonsShort[[#This Row],[Sector_ID]]</f>
        <v>1-4</v>
      </c>
      <c r="Y11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3" s="421">
        <f>INDEX(LandfillFees[Disposal Tip Fee 2025],MATCH(TransTonsShort[[#This Row],[Grouping_ID]],LandfillFees[Grouping_ID],0))</f>
        <v>134.68</v>
      </c>
      <c r="AA1183" s="102">
        <f>IF(OR(TransTonsShort[[#This Row],[CollectionStream_ID]]="03",TransTonsShort[[#This Row],[CollectionStream_ID]]="04",TransTonsShort[[#This Row],[CollectionStream_ID]]="13"),0,TransTonsShort[[#This Row],[Trans_Tons_All]]*TransTonsShort[[#This Row],[Disposal_Fee]])</f>
        <v>0</v>
      </c>
    </row>
    <row r="1184" spans="12:27" ht="15" x14ac:dyDescent="0.25">
      <c r="L1184" s="446" t="s">
        <v>873</v>
      </c>
      <c r="M1184" s="446">
        <v>2</v>
      </c>
      <c r="N1184" s="446">
        <v>4</v>
      </c>
      <c r="O1184" s="446" t="s">
        <v>746</v>
      </c>
      <c r="P1184" s="449" t="s">
        <v>719</v>
      </c>
      <c r="Q1184" s="449"/>
      <c r="R1184" s="449"/>
      <c r="S1184" s="449" t="s">
        <v>762</v>
      </c>
      <c r="T1184" s="449" t="s">
        <v>1055</v>
      </c>
      <c r="U1184" s="452">
        <v>0</v>
      </c>
      <c r="V11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4" s="272" t="str">
        <f>IFERROR(SUMIFS(TransUnitCost[Miles],TransUnitCost[Grouping_ID],TransTonsShort[[#This Row],[Grouping_ID]],TransUnitCost[Transp_ID],TransTonsShort[[#This Row],[Transp_ID]])*TransTonsShort[[#This Row],[Trans_Tons_All]]/TransTonsShort[[#This Row],[Trans_Tons_All]],"")</f>
        <v/>
      </c>
      <c r="X1184" s="386" t="str">
        <f>TransTonsShort[[#This Row],[Grouping_ID]]&amp;"-"&amp;TransTonsShort[[#This Row],[Sector_ID]]</f>
        <v>2-4</v>
      </c>
      <c r="Y11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4" s="421">
        <f>INDEX(LandfillFees[Disposal Tip Fee 2025],MATCH(TransTonsShort[[#This Row],[Grouping_ID]],LandfillFees[Grouping_ID],0))</f>
        <v>72.030938699729589</v>
      </c>
      <c r="AA1184" s="102">
        <f>IF(OR(TransTonsShort[[#This Row],[CollectionStream_ID]]="03",TransTonsShort[[#This Row],[CollectionStream_ID]]="04",TransTonsShort[[#This Row],[CollectionStream_ID]]="13"),0,TransTonsShort[[#This Row],[Trans_Tons_All]]*TransTonsShort[[#This Row],[Disposal_Fee]])</f>
        <v>0</v>
      </c>
    </row>
    <row r="1185" spans="12:27" ht="15" x14ac:dyDescent="0.25">
      <c r="L1185" s="446" t="s">
        <v>873</v>
      </c>
      <c r="M1185" s="446">
        <v>3</v>
      </c>
      <c r="N1185" s="446">
        <v>4</v>
      </c>
      <c r="O1185" s="446" t="s">
        <v>746</v>
      </c>
      <c r="P1185" s="449" t="s">
        <v>719</v>
      </c>
      <c r="Q1185" s="449"/>
      <c r="R1185" s="449"/>
      <c r="S1185" s="449" t="s">
        <v>762</v>
      </c>
      <c r="T1185" s="449" t="s">
        <v>1055</v>
      </c>
      <c r="U1185" s="452">
        <v>0</v>
      </c>
      <c r="V11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5" s="272" t="str">
        <f>IFERROR(SUMIFS(TransUnitCost[Miles],TransUnitCost[Grouping_ID],TransTonsShort[[#This Row],[Grouping_ID]],TransUnitCost[Transp_ID],TransTonsShort[[#This Row],[Transp_ID]])*TransTonsShort[[#This Row],[Trans_Tons_All]]/TransTonsShort[[#This Row],[Trans_Tons_All]],"")</f>
        <v/>
      </c>
      <c r="X1185" s="386" t="str">
        <f>TransTonsShort[[#This Row],[Grouping_ID]]&amp;"-"&amp;TransTonsShort[[#This Row],[Sector_ID]]</f>
        <v>3-4</v>
      </c>
      <c r="Y11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5" s="421">
        <f>INDEX(LandfillFees[Disposal Tip Fee 2025],MATCH(TransTonsShort[[#This Row],[Grouping_ID]],LandfillFees[Grouping_ID],0))</f>
        <v>72.030938699729589</v>
      </c>
      <c r="AA1185" s="102">
        <f>IF(OR(TransTonsShort[[#This Row],[CollectionStream_ID]]="03",TransTonsShort[[#This Row],[CollectionStream_ID]]="04",TransTonsShort[[#This Row],[CollectionStream_ID]]="13"),0,TransTonsShort[[#This Row],[Trans_Tons_All]]*TransTonsShort[[#This Row],[Disposal_Fee]])</f>
        <v>0</v>
      </c>
    </row>
    <row r="1186" spans="12:27" ht="15" x14ac:dyDescent="0.25">
      <c r="L1186" s="446" t="s">
        <v>873</v>
      </c>
      <c r="M1186" s="446">
        <v>4</v>
      </c>
      <c r="N1186" s="446">
        <v>4</v>
      </c>
      <c r="O1186" s="446" t="s">
        <v>746</v>
      </c>
      <c r="P1186" s="449" t="s">
        <v>719</v>
      </c>
      <c r="Q1186" s="449"/>
      <c r="R1186" s="449"/>
      <c r="S1186" s="449" t="s">
        <v>762</v>
      </c>
      <c r="T1186" s="449" t="s">
        <v>1055</v>
      </c>
      <c r="U1186" s="452">
        <v>0</v>
      </c>
      <c r="V11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6" s="272" t="str">
        <f>IFERROR(SUMIFS(TransUnitCost[Miles],TransUnitCost[Grouping_ID],TransTonsShort[[#This Row],[Grouping_ID]],TransUnitCost[Transp_ID],TransTonsShort[[#This Row],[Transp_ID]])*TransTonsShort[[#This Row],[Trans_Tons_All]]/TransTonsShort[[#This Row],[Trans_Tons_All]],"")</f>
        <v/>
      </c>
      <c r="X1186" s="386" t="str">
        <f>TransTonsShort[[#This Row],[Grouping_ID]]&amp;"-"&amp;TransTonsShort[[#This Row],[Sector_ID]]</f>
        <v>4-4</v>
      </c>
      <c r="Y11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6" s="421">
        <f>INDEX(LandfillFees[Disposal Tip Fee 2025],MATCH(TransTonsShort[[#This Row],[Grouping_ID]],LandfillFees[Grouping_ID],0))</f>
        <v>72.030938699729589</v>
      </c>
      <c r="AA1186" s="102">
        <f>IF(OR(TransTonsShort[[#This Row],[CollectionStream_ID]]="03",TransTonsShort[[#This Row],[CollectionStream_ID]]="04",TransTonsShort[[#This Row],[CollectionStream_ID]]="13"),0,TransTonsShort[[#This Row],[Trans_Tons_All]]*TransTonsShort[[#This Row],[Disposal_Fee]])</f>
        <v>0</v>
      </c>
    </row>
    <row r="1187" spans="12:27" ht="15" x14ac:dyDescent="0.25">
      <c r="L1187" s="446" t="s">
        <v>873</v>
      </c>
      <c r="M1187" s="446">
        <v>1</v>
      </c>
      <c r="N1187" s="446">
        <v>4</v>
      </c>
      <c r="O1187" s="446" t="s">
        <v>746</v>
      </c>
      <c r="P1187" s="449" t="s">
        <v>700</v>
      </c>
      <c r="Q1187" s="449"/>
      <c r="R1187" s="449"/>
      <c r="S1187" s="449" t="s">
        <v>762</v>
      </c>
      <c r="T1187" s="449" t="s">
        <v>701</v>
      </c>
      <c r="U1187" s="452">
        <v>0</v>
      </c>
      <c r="V118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7" s="272" t="str">
        <f>IFERROR(SUMIFS(TransUnitCost[Miles],TransUnitCost[Grouping_ID],TransTonsShort[[#This Row],[Grouping_ID]],TransUnitCost[Transp_ID],TransTonsShort[[#This Row],[Transp_ID]])*TransTonsShort[[#This Row],[Trans_Tons_All]]/TransTonsShort[[#This Row],[Trans_Tons_All]],"")</f>
        <v/>
      </c>
      <c r="X1187" s="386" t="str">
        <f>TransTonsShort[[#This Row],[Grouping_ID]]&amp;"-"&amp;TransTonsShort[[#This Row],[Sector_ID]]</f>
        <v>1-4</v>
      </c>
      <c r="Y11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7" s="421">
        <f>INDEX(LandfillFees[Disposal Tip Fee 2025],MATCH(TransTonsShort[[#This Row],[Grouping_ID]],LandfillFees[Grouping_ID],0))</f>
        <v>134.68</v>
      </c>
      <c r="AA1187" s="102">
        <f>IF(OR(TransTonsShort[[#This Row],[CollectionStream_ID]]="03",TransTonsShort[[#This Row],[CollectionStream_ID]]="04",TransTonsShort[[#This Row],[CollectionStream_ID]]="13"),0,TransTonsShort[[#This Row],[Trans_Tons_All]]*TransTonsShort[[#This Row],[Disposal_Fee]])</f>
        <v>0</v>
      </c>
    </row>
    <row r="1188" spans="12:27" ht="15" x14ac:dyDescent="0.25">
      <c r="L1188" s="446" t="s">
        <v>873</v>
      </c>
      <c r="M1188" s="446">
        <v>2</v>
      </c>
      <c r="N1188" s="446">
        <v>4</v>
      </c>
      <c r="O1188" s="446" t="s">
        <v>746</v>
      </c>
      <c r="P1188" s="449" t="s">
        <v>700</v>
      </c>
      <c r="Q1188" s="449"/>
      <c r="R1188" s="449"/>
      <c r="S1188" s="449" t="s">
        <v>762</v>
      </c>
      <c r="T1188" s="449" t="s">
        <v>701</v>
      </c>
      <c r="U1188" s="452">
        <v>0</v>
      </c>
      <c r="V118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8" s="272" t="str">
        <f>IFERROR(SUMIFS(TransUnitCost[Miles],TransUnitCost[Grouping_ID],TransTonsShort[[#This Row],[Grouping_ID]],TransUnitCost[Transp_ID],TransTonsShort[[#This Row],[Transp_ID]])*TransTonsShort[[#This Row],[Trans_Tons_All]]/TransTonsShort[[#This Row],[Trans_Tons_All]],"")</f>
        <v/>
      </c>
      <c r="X1188" s="386" t="str">
        <f>TransTonsShort[[#This Row],[Grouping_ID]]&amp;"-"&amp;TransTonsShort[[#This Row],[Sector_ID]]</f>
        <v>2-4</v>
      </c>
      <c r="Y11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8" s="421">
        <f>INDEX(LandfillFees[Disposal Tip Fee 2025],MATCH(TransTonsShort[[#This Row],[Grouping_ID]],LandfillFees[Grouping_ID],0))</f>
        <v>72.030938699729589</v>
      </c>
      <c r="AA1188" s="102">
        <f>IF(OR(TransTonsShort[[#This Row],[CollectionStream_ID]]="03",TransTonsShort[[#This Row],[CollectionStream_ID]]="04",TransTonsShort[[#This Row],[CollectionStream_ID]]="13"),0,TransTonsShort[[#This Row],[Trans_Tons_All]]*TransTonsShort[[#This Row],[Disposal_Fee]])</f>
        <v>0</v>
      </c>
    </row>
    <row r="1189" spans="12:27" ht="15" x14ac:dyDescent="0.25">
      <c r="L1189" s="446" t="s">
        <v>873</v>
      </c>
      <c r="M1189" s="446">
        <v>3</v>
      </c>
      <c r="N1189" s="446">
        <v>4</v>
      </c>
      <c r="O1189" s="446" t="s">
        <v>746</v>
      </c>
      <c r="P1189" s="449" t="s">
        <v>700</v>
      </c>
      <c r="Q1189" s="449"/>
      <c r="R1189" s="449"/>
      <c r="S1189" s="449" t="s">
        <v>762</v>
      </c>
      <c r="T1189" s="449" t="s">
        <v>701</v>
      </c>
      <c r="U1189" s="452">
        <v>0</v>
      </c>
      <c r="V118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89" s="272" t="str">
        <f>IFERROR(SUMIFS(TransUnitCost[Miles],TransUnitCost[Grouping_ID],TransTonsShort[[#This Row],[Grouping_ID]],TransUnitCost[Transp_ID],TransTonsShort[[#This Row],[Transp_ID]])*TransTonsShort[[#This Row],[Trans_Tons_All]]/TransTonsShort[[#This Row],[Trans_Tons_All]],"")</f>
        <v/>
      </c>
      <c r="X1189" s="386" t="str">
        <f>TransTonsShort[[#This Row],[Grouping_ID]]&amp;"-"&amp;TransTonsShort[[#This Row],[Sector_ID]]</f>
        <v>3-4</v>
      </c>
      <c r="Y11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89" s="421">
        <f>INDEX(LandfillFees[Disposal Tip Fee 2025],MATCH(TransTonsShort[[#This Row],[Grouping_ID]],LandfillFees[Grouping_ID],0))</f>
        <v>72.030938699729589</v>
      </c>
      <c r="AA1189" s="102">
        <f>IF(OR(TransTonsShort[[#This Row],[CollectionStream_ID]]="03",TransTonsShort[[#This Row],[CollectionStream_ID]]="04",TransTonsShort[[#This Row],[CollectionStream_ID]]="13"),0,TransTonsShort[[#This Row],[Trans_Tons_All]]*TransTonsShort[[#This Row],[Disposal_Fee]])</f>
        <v>0</v>
      </c>
    </row>
    <row r="1190" spans="12:27" ht="15" x14ac:dyDescent="0.25">
      <c r="L1190" s="446" t="s">
        <v>873</v>
      </c>
      <c r="M1190" s="446">
        <v>4</v>
      </c>
      <c r="N1190" s="446">
        <v>4</v>
      </c>
      <c r="O1190" s="446" t="s">
        <v>746</v>
      </c>
      <c r="P1190" s="449" t="s">
        <v>700</v>
      </c>
      <c r="Q1190" s="449"/>
      <c r="R1190" s="449"/>
      <c r="S1190" s="449" t="s">
        <v>762</v>
      </c>
      <c r="T1190" s="449" t="s">
        <v>701</v>
      </c>
      <c r="U1190" s="452">
        <v>0</v>
      </c>
      <c r="V119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0" s="272" t="str">
        <f>IFERROR(SUMIFS(TransUnitCost[Miles],TransUnitCost[Grouping_ID],TransTonsShort[[#This Row],[Grouping_ID]],TransUnitCost[Transp_ID],TransTonsShort[[#This Row],[Transp_ID]])*TransTonsShort[[#This Row],[Trans_Tons_All]]/TransTonsShort[[#This Row],[Trans_Tons_All]],"")</f>
        <v/>
      </c>
      <c r="X1190" s="386" t="str">
        <f>TransTonsShort[[#This Row],[Grouping_ID]]&amp;"-"&amp;TransTonsShort[[#This Row],[Sector_ID]]</f>
        <v>4-4</v>
      </c>
      <c r="Y11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90" s="421">
        <f>INDEX(LandfillFees[Disposal Tip Fee 2025],MATCH(TransTonsShort[[#This Row],[Grouping_ID]],LandfillFees[Grouping_ID],0))</f>
        <v>72.030938699729589</v>
      </c>
      <c r="AA1190" s="102">
        <f>IF(OR(TransTonsShort[[#This Row],[CollectionStream_ID]]="03",TransTonsShort[[#This Row],[CollectionStream_ID]]="04",TransTonsShort[[#This Row],[CollectionStream_ID]]="13"),0,TransTonsShort[[#This Row],[Trans_Tons_All]]*TransTonsShort[[#This Row],[Disposal_Fee]])</f>
        <v>0</v>
      </c>
    </row>
    <row r="1191" spans="12:27" ht="15" x14ac:dyDescent="0.25">
      <c r="L1191" s="446" t="s">
        <v>873</v>
      </c>
      <c r="M1191" s="446">
        <v>1</v>
      </c>
      <c r="N1191" s="446">
        <v>4</v>
      </c>
      <c r="O1191" s="446" t="s">
        <v>746</v>
      </c>
      <c r="P1191" s="449" t="s">
        <v>746</v>
      </c>
      <c r="Q1191" s="449"/>
      <c r="R1191" s="449"/>
      <c r="S1191" s="449" t="s">
        <v>762</v>
      </c>
      <c r="T1191" s="449" t="s">
        <v>848</v>
      </c>
      <c r="U1191" s="452">
        <v>0</v>
      </c>
      <c r="V119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1" s="272" t="str">
        <f>IFERROR(SUMIFS(TransUnitCost[Miles],TransUnitCost[Grouping_ID],TransTonsShort[[#This Row],[Grouping_ID]],TransUnitCost[Transp_ID],TransTonsShort[[#This Row],[Transp_ID]])*TransTonsShort[[#This Row],[Trans_Tons_All]]/TransTonsShort[[#This Row],[Trans_Tons_All]],"")</f>
        <v/>
      </c>
      <c r="X1191" s="386" t="str">
        <f>TransTonsShort[[#This Row],[Grouping_ID]]&amp;"-"&amp;TransTonsShort[[#This Row],[Sector_ID]]</f>
        <v>1-4</v>
      </c>
      <c r="Y11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91" s="421">
        <f>INDEX(LandfillFees[Disposal Tip Fee 2025],MATCH(TransTonsShort[[#This Row],[Grouping_ID]],LandfillFees[Grouping_ID],0))</f>
        <v>134.68</v>
      </c>
      <c r="AA1191" s="102">
        <f>IF(OR(TransTonsShort[[#This Row],[CollectionStream_ID]]="03",TransTonsShort[[#This Row],[CollectionStream_ID]]="04",TransTonsShort[[#This Row],[CollectionStream_ID]]="13"),0,TransTonsShort[[#This Row],[Trans_Tons_All]]*TransTonsShort[[#This Row],[Disposal_Fee]])</f>
        <v>0</v>
      </c>
    </row>
    <row r="1192" spans="12:27" ht="15" x14ac:dyDescent="0.25">
      <c r="L1192" s="446" t="s">
        <v>873</v>
      </c>
      <c r="M1192" s="446">
        <v>2</v>
      </c>
      <c r="N1192" s="446">
        <v>4</v>
      </c>
      <c r="O1192" s="446" t="s">
        <v>746</v>
      </c>
      <c r="P1192" s="449" t="s">
        <v>746</v>
      </c>
      <c r="Q1192" s="449"/>
      <c r="R1192" s="449"/>
      <c r="S1192" s="449" t="s">
        <v>762</v>
      </c>
      <c r="T1192" s="449" t="s">
        <v>848</v>
      </c>
      <c r="U1192" s="452">
        <v>0</v>
      </c>
      <c r="V119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2" s="272" t="str">
        <f>IFERROR(SUMIFS(TransUnitCost[Miles],TransUnitCost[Grouping_ID],TransTonsShort[[#This Row],[Grouping_ID]],TransUnitCost[Transp_ID],TransTonsShort[[#This Row],[Transp_ID]])*TransTonsShort[[#This Row],[Trans_Tons_All]]/TransTonsShort[[#This Row],[Trans_Tons_All]],"")</f>
        <v/>
      </c>
      <c r="X1192" s="386" t="str">
        <f>TransTonsShort[[#This Row],[Grouping_ID]]&amp;"-"&amp;TransTonsShort[[#This Row],[Sector_ID]]</f>
        <v>2-4</v>
      </c>
      <c r="Y11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92" s="421">
        <f>INDEX(LandfillFees[Disposal Tip Fee 2025],MATCH(TransTonsShort[[#This Row],[Grouping_ID]],LandfillFees[Grouping_ID],0))</f>
        <v>72.030938699729589</v>
      </c>
      <c r="AA1192" s="102">
        <f>IF(OR(TransTonsShort[[#This Row],[CollectionStream_ID]]="03",TransTonsShort[[#This Row],[CollectionStream_ID]]="04",TransTonsShort[[#This Row],[CollectionStream_ID]]="13"),0,TransTonsShort[[#This Row],[Trans_Tons_All]]*TransTonsShort[[#This Row],[Disposal_Fee]])</f>
        <v>0</v>
      </c>
    </row>
    <row r="1193" spans="12:27" ht="15" x14ac:dyDescent="0.25">
      <c r="L1193" s="446" t="s">
        <v>873</v>
      </c>
      <c r="M1193" s="446">
        <v>3</v>
      </c>
      <c r="N1193" s="446">
        <v>4</v>
      </c>
      <c r="O1193" s="446" t="s">
        <v>746</v>
      </c>
      <c r="P1193" s="449" t="s">
        <v>746</v>
      </c>
      <c r="Q1193" s="449"/>
      <c r="R1193" s="449"/>
      <c r="S1193" s="449" t="s">
        <v>762</v>
      </c>
      <c r="T1193" s="449" t="s">
        <v>848</v>
      </c>
      <c r="U1193" s="452">
        <v>0</v>
      </c>
      <c r="V119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3" s="272" t="str">
        <f>IFERROR(SUMIFS(TransUnitCost[Miles],TransUnitCost[Grouping_ID],TransTonsShort[[#This Row],[Grouping_ID]],TransUnitCost[Transp_ID],TransTonsShort[[#This Row],[Transp_ID]])*TransTonsShort[[#This Row],[Trans_Tons_All]]/TransTonsShort[[#This Row],[Trans_Tons_All]],"")</f>
        <v/>
      </c>
      <c r="X1193" s="386" t="str">
        <f>TransTonsShort[[#This Row],[Grouping_ID]]&amp;"-"&amp;TransTonsShort[[#This Row],[Sector_ID]]</f>
        <v>3-4</v>
      </c>
      <c r="Y11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93" s="421">
        <f>INDEX(LandfillFees[Disposal Tip Fee 2025],MATCH(TransTonsShort[[#This Row],[Grouping_ID]],LandfillFees[Grouping_ID],0))</f>
        <v>72.030938699729589</v>
      </c>
      <c r="AA1193" s="102">
        <f>IF(OR(TransTonsShort[[#This Row],[CollectionStream_ID]]="03",TransTonsShort[[#This Row],[CollectionStream_ID]]="04",TransTonsShort[[#This Row],[CollectionStream_ID]]="13"),0,TransTonsShort[[#This Row],[Trans_Tons_All]]*TransTonsShort[[#This Row],[Disposal_Fee]])</f>
        <v>0</v>
      </c>
    </row>
    <row r="1194" spans="12:27" ht="15" x14ac:dyDescent="0.25">
      <c r="L1194" s="446" t="s">
        <v>873</v>
      </c>
      <c r="M1194" s="446">
        <v>4</v>
      </c>
      <c r="N1194" s="446">
        <v>4</v>
      </c>
      <c r="O1194" s="446" t="s">
        <v>746</v>
      </c>
      <c r="P1194" s="449" t="s">
        <v>746</v>
      </c>
      <c r="Q1194" s="449"/>
      <c r="R1194" s="449"/>
      <c r="S1194" s="449" t="s">
        <v>762</v>
      </c>
      <c r="T1194" s="449" t="s">
        <v>848</v>
      </c>
      <c r="U1194" s="452">
        <v>0</v>
      </c>
      <c r="V119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4" s="272" t="str">
        <f>IFERROR(SUMIFS(TransUnitCost[Miles],TransUnitCost[Grouping_ID],TransTonsShort[[#This Row],[Grouping_ID]],TransUnitCost[Transp_ID],TransTonsShort[[#This Row],[Transp_ID]])*TransTonsShort[[#This Row],[Trans_Tons_All]]/TransTonsShort[[#This Row],[Trans_Tons_All]],"")</f>
        <v/>
      </c>
      <c r="X1194" s="386" t="str">
        <f>TransTonsShort[[#This Row],[Grouping_ID]]&amp;"-"&amp;TransTonsShort[[#This Row],[Sector_ID]]</f>
        <v>4-4</v>
      </c>
      <c r="Y11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194" s="421">
        <f>INDEX(LandfillFees[Disposal Tip Fee 2025],MATCH(TransTonsShort[[#This Row],[Grouping_ID]],LandfillFees[Grouping_ID],0))</f>
        <v>72.030938699729589</v>
      </c>
      <c r="AA1194" s="102">
        <f>IF(OR(TransTonsShort[[#This Row],[CollectionStream_ID]]="03",TransTonsShort[[#This Row],[CollectionStream_ID]]="04",TransTonsShort[[#This Row],[CollectionStream_ID]]="13"),0,TransTonsShort[[#This Row],[Trans_Tons_All]]*TransTonsShort[[#This Row],[Disposal_Fee]])</f>
        <v>0</v>
      </c>
    </row>
    <row r="1195" spans="12:27" ht="15" x14ac:dyDescent="0.25">
      <c r="L1195" s="446" t="s">
        <v>873</v>
      </c>
      <c r="M1195" s="446">
        <v>1</v>
      </c>
      <c r="N1195" s="446">
        <v>4</v>
      </c>
      <c r="O1195" s="446" t="s">
        <v>706</v>
      </c>
      <c r="P1195" s="450" t="s">
        <v>739</v>
      </c>
      <c r="Q1195" s="450"/>
      <c r="R1195" s="450"/>
      <c r="S1195" s="449" t="s">
        <v>707</v>
      </c>
      <c r="T1195" s="449" t="s">
        <v>1121</v>
      </c>
      <c r="U1195" s="452">
        <v>0</v>
      </c>
      <c r="V119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5" s="272" t="str">
        <f>IFERROR(SUMIFS(TransUnitCost[Miles],TransUnitCost[Grouping_ID],TransTonsShort[[#This Row],[Grouping_ID]],TransUnitCost[Transp_ID],TransTonsShort[[#This Row],[Transp_ID]])*TransTonsShort[[#This Row],[Trans_Tons_All]]/TransTonsShort[[#This Row],[Trans_Tons_All]],"")</f>
        <v/>
      </c>
      <c r="X1195" s="386" t="str">
        <f>TransTonsShort[[#This Row],[Grouping_ID]]&amp;"-"&amp;TransTonsShort[[#This Row],[Sector_ID]]</f>
        <v>1-4</v>
      </c>
      <c r="Y11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5" s="421">
        <f>INDEX(LandfillFees[Disposal Tip Fee 2025],MATCH(TransTonsShort[[#This Row],[Grouping_ID]],LandfillFees[Grouping_ID],0))</f>
        <v>134.68</v>
      </c>
      <c r="AA1195" s="102">
        <f>IF(OR(TransTonsShort[[#This Row],[CollectionStream_ID]]="03",TransTonsShort[[#This Row],[CollectionStream_ID]]="04",TransTonsShort[[#This Row],[CollectionStream_ID]]="13"),0,TransTonsShort[[#This Row],[Trans_Tons_All]]*TransTonsShort[[#This Row],[Disposal_Fee]])</f>
        <v>0</v>
      </c>
    </row>
    <row r="1196" spans="12:27" ht="15" x14ac:dyDescent="0.25">
      <c r="L1196" s="446" t="s">
        <v>873</v>
      </c>
      <c r="M1196" s="446">
        <v>2</v>
      </c>
      <c r="N1196" s="446">
        <v>4</v>
      </c>
      <c r="O1196" s="446" t="s">
        <v>706</v>
      </c>
      <c r="P1196" s="450" t="s">
        <v>739</v>
      </c>
      <c r="Q1196" s="450"/>
      <c r="R1196" s="450"/>
      <c r="S1196" s="449" t="s">
        <v>707</v>
      </c>
      <c r="T1196" s="449" t="s">
        <v>1121</v>
      </c>
      <c r="U1196" s="452">
        <v>3686.5693753982687</v>
      </c>
      <c r="V119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152255.3152039485</v>
      </c>
      <c r="W1196" s="272">
        <f>IFERROR(SUMIFS(TransUnitCost[Miles],TransUnitCost[Grouping_ID],TransTonsShort[[#This Row],[Grouping_ID]],TransUnitCost[Transp_ID],TransTonsShort[[#This Row],[Transp_ID]])*TransTonsShort[[#This Row],[Trans_Tons_All]]/TransTonsShort[[#This Row],[Trans_Tons_All]],"")</f>
        <v>70</v>
      </c>
      <c r="X1196" s="386" t="str">
        <f>TransTonsShort[[#This Row],[Grouping_ID]]&amp;"-"&amp;TransTonsShort[[#This Row],[Sector_ID]]</f>
        <v>2-4</v>
      </c>
      <c r="Y11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6" s="421">
        <f>INDEX(LandfillFees[Disposal Tip Fee 2025],MATCH(TransTonsShort[[#This Row],[Grouping_ID]],LandfillFees[Grouping_ID],0))</f>
        <v>72.030938699729589</v>
      </c>
      <c r="AA1196" s="102">
        <f>IF(OR(TransTonsShort[[#This Row],[CollectionStream_ID]]="03",TransTonsShort[[#This Row],[CollectionStream_ID]]="04",TransTonsShort[[#This Row],[CollectionStream_ID]]="13"),0,TransTonsShort[[#This Row],[Trans_Tons_All]]*TransTonsShort[[#This Row],[Disposal_Fee]])</f>
        <v>265547.05269161309</v>
      </c>
    </row>
    <row r="1197" spans="12:27" ht="15" x14ac:dyDescent="0.25">
      <c r="L1197" s="446" t="s">
        <v>873</v>
      </c>
      <c r="M1197" s="446">
        <v>3</v>
      </c>
      <c r="N1197" s="446">
        <v>4</v>
      </c>
      <c r="O1197" s="446" t="s">
        <v>706</v>
      </c>
      <c r="P1197" s="450" t="s">
        <v>739</v>
      </c>
      <c r="Q1197" s="450"/>
      <c r="R1197" s="450"/>
      <c r="S1197" s="449" t="s">
        <v>707</v>
      </c>
      <c r="T1197" s="449" t="s">
        <v>1121</v>
      </c>
      <c r="U1197" s="452">
        <v>2275.6733198532652</v>
      </c>
      <c r="V119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81924.239514717541</v>
      </c>
      <c r="W1197" s="272">
        <f>IFERROR(SUMIFS(TransUnitCost[Miles],TransUnitCost[Grouping_ID],TransTonsShort[[#This Row],[Grouping_ID]],TransUnitCost[Transp_ID],TransTonsShort[[#This Row],[Transp_ID]])*TransTonsShort[[#This Row],[Trans_Tons_All]]/TransTonsShort[[#This Row],[Trans_Tons_All]],"")</f>
        <v>150</v>
      </c>
      <c r="X1197" s="386" t="str">
        <f>TransTonsShort[[#This Row],[Grouping_ID]]&amp;"-"&amp;TransTonsShort[[#This Row],[Sector_ID]]</f>
        <v>3-4</v>
      </c>
      <c r="Y11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7" s="421">
        <f>INDEX(LandfillFees[Disposal Tip Fee 2025],MATCH(TransTonsShort[[#This Row],[Grouping_ID]],LandfillFees[Grouping_ID],0))</f>
        <v>72.030938699729589</v>
      </c>
      <c r="AA1197" s="102">
        <f>IF(OR(TransTonsShort[[#This Row],[CollectionStream_ID]]="03",TransTonsShort[[#This Row],[CollectionStream_ID]]="04",TransTonsShort[[#This Row],[CollectionStream_ID]]="13"),0,TransTonsShort[[#This Row],[Trans_Tons_All]]*TransTonsShort[[#This Row],[Disposal_Fee]])</f>
        <v>163918.88540296067</v>
      </c>
    </row>
    <row r="1198" spans="12:27" ht="15" x14ac:dyDescent="0.25">
      <c r="L1198" s="446" t="s">
        <v>873</v>
      </c>
      <c r="M1198" s="446">
        <v>4</v>
      </c>
      <c r="N1198" s="446">
        <v>4</v>
      </c>
      <c r="O1198" s="446" t="s">
        <v>706</v>
      </c>
      <c r="P1198" s="450" t="s">
        <v>739</v>
      </c>
      <c r="Q1198" s="450"/>
      <c r="R1198" s="450"/>
      <c r="S1198" s="449" t="s">
        <v>707</v>
      </c>
      <c r="T1198" s="449" t="s">
        <v>1121</v>
      </c>
      <c r="U1198" s="452">
        <v>1699.8498513891011</v>
      </c>
      <c r="V119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93491.741826400554</v>
      </c>
      <c r="W1198" s="272">
        <f>IFERROR(SUMIFS(TransUnitCost[Miles],TransUnitCost[Grouping_ID],TransTonsShort[[#This Row],[Grouping_ID]],TransUnitCost[Transp_ID],TransTonsShort[[#This Row],[Transp_ID]])*TransTonsShort[[#This Row],[Trans_Tons_All]]/TransTonsShort[[#This Row],[Trans_Tons_All]],"")</f>
        <v>250</v>
      </c>
      <c r="X1198" s="386" t="str">
        <f>TransTonsShort[[#This Row],[Grouping_ID]]&amp;"-"&amp;TransTonsShort[[#This Row],[Sector_ID]]</f>
        <v>4-4</v>
      </c>
      <c r="Y11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8" s="421">
        <f>INDEX(LandfillFees[Disposal Tip Fee 2025],MATCH(TransTonsShort[[#This Row],[Grouping_ID]],LandfillFees[Grouping_ID],0))</f>
        <v>72.030938699729589</v>
      </c>
      <c r="AA1198" s="102">
        <f>IF(OR(TransTonsShort[[#This Row],[CollectionStream_ID]]="03",TransTonsShort[[#This Row],[CollectionStream_ID]]="04",TransTonsShort[[#This Row],[CollectionStream_ID]]="13"),0,TransTonsShort[[#This Row],[Trans_Tons_All]]*TransTonsShort[[#This Row],[Disposal_Fee]])</f>
        <v>122441.7804441528</v>
      </c>
    </row>
    <row r="1199" spans="12:27" ht="15" x14ac:dyDescent="0.25">
      <c r="L1199" s="446" t="s">
        <v>873</v>
      </c>
      <c r="M1199" s="446">
        <v>1</v>
      </c>
      <c r="N1199" s="446">
        <v>4</v>
      </c>
      <c r="O1199" s="446" t="s">
        <v>706</v>
      </c>
      <c r="P1199" s="449" t="s">
        <v>700</v>
      </c>
      <c r="Q1199" s="449"/>
      <c r="R1199" s="449"/>
      <c r="S1199" s="449" t="s">
        <v>707</v>
      </c>
      <c r="T1199" s="449" t="s">
        <v>701</v>
      </c>
      <c r="U1199" s="452">
        <v>225.02921433829084</v>
      </c>
      <c r="V119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199" s="272">
        <f>IFERROR(SUMIFS(TransUnitCost[Miles],TransUnitCost[Grouping_ID],TransTonsShort[[#This Row],[Grouping_ID]],TransUnitCost[Transp_ID],TransTonsShort[[#This Row],[Transp_ID]])*TransTonsShort[[#This Row],[Trans_Tons_All]]/TransTonsShort[[#This Row],[Trans_Tons_All]],"")</f>
        <v>0</v>
      </c>
      <c r="X1199" s="386" t="str">
        <f>TransTonsShort[[#This Row],[Grouping_ID]]&amp;"-"&amp;TransTonsShort[[#This Row],[Sector_ID]]</f>
        <v>1-4</v>
      </c>
      <c r="Y11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199" s="421">
        <f>INDEX(LandfillFees[Disposal Tip Fee 2025],MATCH(TransTonsShort[[#This Row],[Grouping_ID]],LandfillFees[Grouping_ID],0))</f>
        <v>134.68</v>
      </c>
      <c r="AA1199" s="102">
        <f>IF(OR(TransTonsShort[[#This Row],[CollectionStream_ID]]="03",TransTonsShort[[#This Row],[CollectionStream_ID]]="04",TransTonsShort[[#This Row],[CollectionStream_ID]]="13"),0,TransTonsShort[[#This Row],[Trans_Tons_All]]*TransTonsShort[[#This Row],[Disposal_Fee]])</f>
        <v>30306.934587081014</v>
      </c>
    </row>
    <row r="1200" spans="12:27" ht="15" x14ac:dyDescent="0.25">
      <c r="L1200" s="446" t="s">
        <v>873</v>
      </c>
      <c r="M1200" s="446">
        <v>2</v>
      </c>
      <c r="N1200" s="446">
        <v>4</v>
      </c>
      <c r="O1200" s="446" t="s">
        <v>706</v>
      </c>
      <c r="P1200" s="449" t="s">
        <v>700</v>
      </c>
      <c r="Q1200" s="449"/>
      <c r="R1200" s="449"/>
      <c r="S1200" s="449" t="s">
        <v>707</v>
      </c>
      <c r="T1200" s="449" t="s">
        <v>701</v>
      </c>
      <c r="U1200" s="452">
        <v>0</v>
      </c>
      <c r="V120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0" s="272" t="str">
        <f>IFERROR(SUMIFS(TransUnitCost[Miles],TransUnitCost[Grouping_ID],TransTonsShort[[#This Row],[Grouping_ID]],TransUnitCost[Transp_ID],TransTonsShort[[#This Row],[Transp_ID]])*TransTonsShort[[#This Row],[Trans_Tons_All]]/TransTonsShort[[#This Row],[Trans_Tons_All]],"")</f>
        <v/>
      </c>
      <c r="X1200" s="386" t="str">
        <f>TransTonsShort[[#This Row],[Grouping_ID]]&amp;"-"&amp;TransTonsShort[[#This Row],[Sector_ID]]</f>
        <v>2-4</v>
      </c>
      <c r="Y12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0" s="421">
        <f>INDEX(LandfillFees[Disposal Tip Fee 2025],MATCH(TransTonsShort[[#This Row],[Grouping_ID]],LandfillFees[Grouping_ID],0))</f>
        <v>72.030938699729589</v>
      </c>
      <c r="AA1200" s="102">
        <f>IF(OR(TransTonsShort[[#This Row],[CollectionStream_ID]]="03",TransTonsShort[[#This Row],[CollectionStream_ID]]="04",TransTonsShort[[#This Row],[CollectionStream_ID]]="13"),0,TransTonsShort[[#This Row],[Trans_Tons_All]]*TransTonsShort[[#This Row],[Disposal_Fee]])</f>
        <v>0</v>
      </c>
    </row>
    <row r="1201" spans="12:27" ht="15" x14ac:dyDescent="0.25">
      <c r="L1201" s="446" t="s">
        <v>873</v>
      </c>
      <c r="M1201" s="446">
        <v>3</v>
      </c>
      <c r="N1201" s="446">
        <v>4</v>
      </c>
      <c r="O1201" s="446" t="s">
        <v>706</v>
      </c>
      <c r="P1201" s="449" t="s">
        <v>700</v>
      </c>
      <c r="Q1201" s="449"/>
      <c r="R1201" s="449"/>
      <c r="S1201" s="449" t="s">
        <v>707</v>
      </c>
      <c r="T1201" s="449" t="s">
        <v>701</v>
      </c>
      <c r="U1201" s="452">
        <v>0</v>
      </c>
      <c r="V120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1" s="272" t="str">
        <f>IFERROR(SUMIFS(TransUnitCost[Miles],TransUnitCost[Grouping_ID],TransTonsShort[[#This Row],[Grouping_ID]],TransUnitCost[Transp_ID],TransTonsShort[[#This Row],[Transp_ID]])*TransTonsShort[[#This Row],[Trans_Tons_All]]/TransTonsShort[[#This Row],[Trans_Tons_All]],"")</f>
        <v/>
      </c>
      <c r="X1201" s="386" t="str">
        <f>TransTonsShort[[#This Row],[Grouping_ID]]&amp;"-"&amp;TransTonsShort[[#This Row],[Sector_ID]]</f>
        <v>3-4</v>
      </c>
      <c r="Y12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1" s="421">
        <f>INDEX(LandfillFees[Disposal Tip Fee 2025],MATCH(TransTonsShort[[#This Row],[Grouping_ID]],LandfillFees[Grouping_ID],0))</f>
        <v>72.030938699729589</v>
      </c>
      <c r="AA1201" s="102">
        <f>IF(OR(TransTonsShort[[#This Row],[CollectionStream_ID]]="03",TransTonsShort[[#This Row],[CollectionStream_ID]]="04",TransTonsShort[[#This Row],[CollectionStream_ID]]="13"),0,TransTonsShort[[#This Row],[Trans_Tons_All]]*TransTonsShort[[#This Row],[Disposal_Fee]])</f>
        <v>0</v>
      </c>
    </row>
    <row r="1202" spans="12:27" ht="15" x14ac:dyDescent="0.25">
      <c r="L1202" s="446" t="s">
        <v>873</v>
      </c>
      <c r="M1202" s="446">
        <v>4</v>
      </c>
      <c r="N1202" s="446">
        <v>4</v>
      </c>
      <c r="O1202" s="446" t="s">
        <v>706</v>
      </c>
      <c r="P1202" s="449" t="s">
        <v>700</v>
      </c>
      <c r="Q1202" s="449"/>
      <c r="R1202" s="449"/>
      <c r="S1202" s="449" t="s">
        <v>707</v>
      </c>
      <c r="T1202" s="449" t="s">
        <v>701</v>
      </c>
      <c r="U1202" s="452">
        <v>0</v>
      </c>
      <c r="V120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2" s="272" t="str">
        <f>IFERROR(SUMIFS(TransUnitCost[Miles],TransUnitCost[Grouping_ID],TransTonsShort[[#This Row],[Grouping_ID]],TransUnitCost[Transp_ID],TransTonsShort[[#This Row],[Transp_ID]])*TransTonsShort[[#This Row],[Trans_Tons_All]]/TransTonsShort[[#This Row],[Trans_Tons_All]],"")</f>
        <v/>
      </c>
      <c r="X1202" s="386" t="str">
        <f>TransTonsShort[[#This Row],[Grouping_ID]]&amp;"-"&amp;TransTonsShort[[#This Row],[Sector_ID]]</f>
        <v>4-4</v>
      </c>
      <c r="Y12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2" s="421">
        <f>INDEX(LandfillFees[Disposal Tip Fee 2025],MATCH(TransTonsShort[[#This Row],[Grouping_ID]],LandfillFees[Grouping_ID],0))</f>
        <v>72.030938699729589</v>
      </c>
      <c r="AA1202" s="102">
        <f>IF(OR(TransTonsShort[[#This Row],[CollectionStream_ID]]="03",TransTonsShort[[#This Row],[CollectionStream_ID]]="04",TransTonsShort[[#This Row],[CollectionStream_ID]]="13"),0,TransTonsShort[[#This Row],[Trans_Tons_All]]*TransTonsShort[[#This Row],[Disposal_Fee]])</f>
        <v>0</v>
      </c>
    </row>
    <row r="1203" spans="12:27" ht="15" x14ac:dyDescent="0.25">
      <c r="L1203" s="446" t="s">
        <v>873</v>
      </c>
      <c r="M1203" s="446">
        <v>1</v>
      </c>
      <c r="N1203" s="446">
        <v>4</v>
      </c>
      <c r="O1203" s="446" t="s">
        <v>752</v>
      </c>
      <c r="P1203" s="449" t="s">
        <v>719</v>
      </c>
      <c r="Q1203" s="449"/>
      <c r="R1203" s="449"/>
      <c r="S1203" s="449" t="s">
        <v>964</v>
      </c>
      <c r="T1203" s="449" t="s">
        <v>1055</v>
      </c>
      <c r="U1203" s="452">
        <v>0</v>
      </c>
      <c r="V120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3" s="272" t="str">
        <f>IFERROR(SUMIFS(TransUnitCost[Miles],TransUnitCost[Grouping_ID],TransTonsShort[[#This Row],[Grouping_ID]],TransUnitCost[Transp_ID],TransTonsShort[[#This Row],[Transp_ID]])*TransTonsShort[[#This Row],[Trans_Tons_All]]/TransTonsShort[[#This Row],[Trans_Tons_All]],"")</f>
        <v/>
      </c>
      <c r="X1203" s="386" t="str">
        <f>TransTonsShort[[#This Row],[Grouping_ID]]&amp;"-"&amp;TransTonsShort[[#This Row],[Sector_ID]]</f>
        <v>1-4</v>
      </c>
      <c r="Y12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3" s="421">
        <f>INDEX(LandfillFees[Disposal Tip Fee 2025],MATCH(TransTonsShort[[#This Row],[Grouping_ID]],LandfillFees[Grouping_ID],0))</f>
        <v>134.68</v>
      </c>
      <c r="AA1203" s="102">
        <f>IF(OR(TransTonsShort[[#This Row],[CollectionStream_ID]]="03",TransTonsShort[[#This Row],[CollectionStream_ID]]="04",TransTonsShort[[#This Row],[CollectionStream_ID]]="13"),0,TransTonsShort[[#This Row],[Trans_Tons_All]]*TransTonsShort[[#This Row],[Disposal_Fee]])</f>
        <v>0</v>
      </c>
    </row>
    <row r="1204" spans="12:27" ht="15" x14ac:dyDescent="0.25">
      <c r="L1204" s="446" t="s">
        <v>873</v>
      </c>
      <c r="M1204" s="446">
        <v>2</v>
      </c>
      <c r="N1204" s="446">
        <v>4</v>
      </c>
      <c r="O1204" s="446" t="s">
        <v>752</v>
      </c>
      <c r="P1204" s="449" t="s">
        <v>719</v>
      </c>
      <c r="Q1204" s="449"/>
      <c r="R1204" s="449"/>
      <c r="S1204" s="449" t="s">
        <v>964</v>
      </c>
      <c r="T1204" s="449" t="s">
        <v>1055</v>
      </c>
      <c r="U1204" s="452">
        <v>0</v>
      </c>
      <c r="V120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4" s="272" t="str">
        <f>IFERROR(SUMIFS(TransUnitCost[Miles],TransUnitCost[Grouping_ID],TransTonsShort[[#This Row],[Grouping_ID]],TransUnitCost[Transp_ID],TransTonsShort[[#This Row],[Transp_ID]])*TransTonsShort[[#This Row],[Trans_Tons_All]]/TransTonsShort[[#This Row],[Trans_Tons_All]],"")</f>
        <v/>
      </c>
      <c r="X1204" s="386" t="str">
        <f>TransTonsShort[[#This Row],[Grouping_ID]]&amp;"-"&amp;TransTonsShort[[#This Row],[Sector_ID]]</f>
        <v>2-4</v>
      </c>
      <c r="Y12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4" s="421">
        <f>INDEX(LandfillFees[Disposal Tip Fee 2025],MATCH(TransTonsShort[[#This Row],[Grouping_ID]],LandfillFees[Grouping_ID],0))</f>
        <v>72.030938699729589</v>
      </c>
      <c r="AA1204" s="102">
        <f>IF(OR(TransTonsShort[[#This Row],[CollectionStream_ID]]="03",TransTonsShort[[#This Row],[CollectionStream_ID]]="04",TransTonsShort[[#This Row],[CollectionStream_ID]]="13"),0,TransTonsShort[[#This Row],[Trans_Tons_All]]*TransTonsShort[[#This Row],[Disposal_Fee]])</f>
        <v>0</v>
      </c>
    </row>
    <row r="1205" spans="12:27" ht="15" x14ac:dyDescent="0.25">
      <c r="L1205" s="446" t="s">
        <v>873</v>
      </c>
      <c r="M1205" s="446">
        <v>3</v>
      </c>
      <c r="N1205" s="446">
        <v>4</v>
      </c>
      <c r="O1205" s="446" t="s">
        <v>752</v>
      </c>
      <c r="P1205" s="449" t="s">
        <v>719</v>
      </c>
      <c r="Q1205" s="449"/>
      <c r="R1205" s="449"/>
      <c r="S1205" s="449" t="s">
        <v>964</v>
      </c>
      <c r="T1205" s="449" t="s">
        <v>1055</v>
      </c>
      <c r="U1205" s="452">
        <v>0</v>
      </c>
      <c r="V120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5" s="272" t="str">
        <f>IFERROR(SUMIFS(TransUnitCost[Miles],TransUnitCost[Grouping_ID],TransTonsShort[[#This Row],[Grouping_ID]],TransUnitCost[Transp_ID],TransTonsShort[[#This Row],[Transp_ID]])*TransTonsShort[[#This Row],[Trans_Tons_All]]/TransTonsShort[[#This Row],[Trans_Tons_All]],"")</f>
        <v/>
      </c>
      <c r="X1205" s="386" t="str">
        <f>TransTonsShort[[#This Row],[Grouping_ID]]&amp;"-"&amp;TransTonsShort[[#This Row],[Sector_ID]]</f>
        <v>3-4</v>
      </c>
      <c r="Y12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5" s="421">
        <f>INDEX(LandfillFees[Disposal Tip Fee 2025],MATCH(TransTonsShort[[#This Row],[Grouping_ID]],LandfillFees[Grouping_ID],0))</f>
        <v>72.030938699729589</v>
      </c>
      <c r="AA1205" s="102">
        <f>IF(OR(TransTonsShort[[#This Row],[CollectionStream_ID]]="03",TransTonsShort[[#This Row],[CollectionStream_ID]]="04",TransTonsShort[[#This Row],[CollectionStream_ID]]="13"),0,TransTonsShort[[#This Row],[Trans_Tons_All]]*TransTonsShort[[#This Row],[Disposal_Fee]])</f>
        <v>0</v>
      </c>
    </row>
    <row r="1206" spans="12:27" ht="15" x14ac:dyDescent="0.25">
      <c r="L1206" s="446" t="s">
        <v>873</v>
      </c>
      <c r="M1206" s="446">
        <v>4</v>
      </c>
      <c r="N1206" s="446">
        <v>4</v>
      </c>
      <c r="O1206" s="446" t="s">
        <v>752</v>
      </c>
      <c r="P1206" s="449" t="s">
        <v>719</v>
      </c>
      <c r="Q1206" s="449"/>
      <c r="R1206" s="449"/>
      <c r="S1206" s="449" t="s">
        <v>964</v>
      </c>
      <c r="T1206" s="449" t="s">
        <v>1055</v>
      </c>
      <c r="U1206" s="452">
        <v>0</v>
      </c>
      <c r="V120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6" s="272" t="str">
        <f>IFERROR(SUMIFS(TransUnitCost[Miles],TransUnitCost[Grouping_ID],TransTonsShort[[#This Row],[Grouping_ID]],TransUnitCost[Transp_ID],TransTonsShort[[#This Row],[Transp_ID]])*TransTonsShort[[#This Row],[Trans_Tons_All]]/TransTonsShort[[#This Row],[Trans_Tons_All]],"")</f>
        <v/>
      </c>
      <c r="X1206" s="386" t="str">
        <f>TransTonsShort[[#This Row],[Grouping_ID]]&amp;"-"&amp;TransTonsShort[[#This Row],[Sector_ID]]</f>
        <v>4-4</v>
      </c>
      <c r="Y12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6" s="421">
        <f>INDEX(LandfillFees[Disposal Tip Fee 2025],MATCH(TransTonsShort[[#This Row],[Grouping_ID]],LandfillFees[Grouping_ID],0))</f>
        <v>72.030938699729589</v>
      </c>
      <c r="AA1206" s="102">
        <f>IF(OR(TransTonsShort[[#This Row],[CollectionStream_ID]]="03",TransTonsShort[[#This Row],[CollectionStream_ID]]="04",TransTonsShort[[#This Row],[CollectionStream_ID]]="13"),0,TransTonsShort[[#This Row],[Trans_Tons_All]]*TransTonsShort[[#This Row],[Disposal_Fee]])</f>
        <v>0</v>
      </c>
    </row>
    <row r="1207" spans="12:27" ht="15" x14ac:dyDescent="0.25">
      <c r="L1207" s="446" t="s">
        <v>873</v>
      </c>
      <c r="M1207" s="446">
        <v>1</v>
      </c>
      <c r="N1207" s="446">
        <v>4</v>
      </c>
      <c r="O1207" s="446" t="s">
        <v>752</v>
      </c>
      <c r="P1207" s="449" t="s">
        <v>700</v>
      </c>
      <c r="Q1207" s="449"/>
      <c r="R1207" s="449"/>
      <c r="S1207" s="449" t="s">
        <v>964</v>
      </c>
      <c r="T1207" s="449" t="s">
        <v>701</v>
      </c>
      <c r="U1207" s="452">
        <v>3657.7151521746305</v>
      </c>
      <c r="V120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7" s="272">
        <f>IFERROR(SUMIFS(TransUnitCost[Miles],TransUnitCost[Grouping_ID],TransTonsShort[[#This Row],[Grouping_ID]],TransUnitCost[Transp_ID],TransTonsShort[[#This Row],[Transp_ID]])*TransTonsShort[[#This Row],[Trans_Tons_All]]/TransTonsShort[[#This Row],[Trans_Tons_All]],"")</f>
        <v>0</v>
      </c>
      <c r="X1207" s="386" t="str">
        <f>TransTonsShort[[#This Row],[Grouping_ID]]&amp;"-"&amp;TransTonsShort[[#This Row],[Sector_ID]]</f>
        <v>1-4</v>
      </c>
      <c r="Y12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7" s="421">
        <f>INDEX(LandfillFees[Disposal Tip Fee 2025],MATCH(TransTonsShort[[#This Row],[Grouping_ID]],LandfillFees[Grouping_ID],0))</f>
        <v>134.68</v>
      </c>
      <c r="AA1207" s="102">
        <f>IF(OR(TransTonsShort[[#This Row],[CollectionStream_ID]]="03",TransTonsShort[[#This Row],[CollectionStream_ID]]="04",TransTonsShort[[#This Row],[CollectionStream_ID]]="13"),0,TransTonsShort[[#This Row],[Trans_Tons_All]]*TransTonsShort[[#This Row],[Disposal_Fee]])</f>
        <v>492621.07669487927</v>
      </c>
    </row>
    <row r="1208" spans="12:27" ht="15" x14ac:dyDescent="0.25">
      <c r="L1208" s="446" t="s">
        <v>873</v>
      </c>
      <c r="M1208" s="446">
        <v>2</v>
      </c>
      <c r="N1208" s="446">
        <v>4</v>
      </c>
      <c r="O1208" s="446" t="s">
        <v>752</v>
      </c>
      <c r="P1208" s="449" t="s">
        <v>700</v>
      </c>
      <c r="Q1208" s="449"/>
      <c r="R1208" s="449"/>
      <c r="S1208" s="449" t="s">
        <v>964</v>
      </c>
      <c r="T1208" s="449" t="s">
        <v>701</v>
      </c>
      <c r="U1208" s="452">
        <v>0</v>
      </c>
      <c r="V120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8" s="272" t="str">
        <f>IFERROR(SUMIFS(TransUnitCost[Miles],TransUnitCost[Grouping_ID],TransTonsShort[[#This Row],[Grouping_ID]],TransUnitCost[Transp_ID],TransTonsShort[[#This Row],[Transp_ID]])*TransTonsShort[[#This Row],[Trans_Tons_All]]/TransTonsShort[[#This Row],[Trans_Tons_All]],"")</f>
        <v/>
      </c>
      <c r="X1208" s="386" t="str">
        <f>TransTonsShort[[#This Row],[Grouping_ID]]&amp;"-"&amp;TransTonsShort[[#This Row],[Sector_ID]]</f>
        <v>2-4</v>
      </c>
      <c r="Y12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8" s="421">
        <f>INDEX(LandfillFees[Disposal Tip Fee 2025],MATCH(TransTonsShort[[#This Row],[Grouping_ID]],LandfillFees[Grouping_ID],0))</f>
        <v>72.030938699729589</v>
      </c>
      <c r="AA1208" s="102">
        <f>IF(OR(TransTonsShort[[#This Row],[CollectionStream_ID]]="03",TransTonsShort[[#This Row],[CollectionStream_ID]]="04",TransTonsShort[[#This Row],[CollectionStream_ID]]="13"),0,TransTonsShort[[#This Row],[Trans_Tons_All]]*TransTonsShort[[#This Row],[Disposal_Fee]])</f>
        <v>0</v>
      </c>
    </row>
    <row r="1209" spans="12:27" ht="15" x14ac:dyDescent="0.25">
      <c r="L1209" s="446" t="s">
        <v>873</v>
      </c>
      <c r="M1209" s="446">
        <v>3</v>
      </c>
      <c r="N1209" s="446">
        <v>4</v>
      </c>
      <c r="O1209" s="446" t="s">
        <v>752</v>
      </c>
      <c r="P1209" s="449" t="s">
        <v>700</v>
      </c>
      <c r="Q1209" s="449"/>
      <c r="R1209" s="449"/>
      <c r="S1209" s="449" t="s">
        <v>964</v>
      </c>
      <c r="T1209" s="449" t="s">
        <v>701</v>
      </c>
      <c r="U1209" s="452">
        <v>0</v>
      </c>
      <c r="V120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09" s="272" t="str">
        <f>IFERROR(SUMIFS(TransUnitCost[Miles],TransUnitCost[Grouping_ID],TransTonsShort[[#This Row],[Grouping_ID]],TransUnitCost[Transp_ID],TransTonsShort[[#This Row],[Transp_ID]])*TransTonsShort[[#This Row],[Trans_Tons_All]]/TransTonsShort[[#This Row],[Trans_Tons_All]],"")</f>
        <v/>
      </c>
      <c r="X1209" s="386" t="str">
        <f>TransTonsShort[[#This Row],[Grouping_ID]]&amp;"-"&amp;TransTonsShort[[#This Row],[Sector_ID]]</f>
        <v>3-4</v>
      </c>
      <c r="Y12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09" s="421">
        <f>INDEX(LandfillFees[Disposal Tip Fee 2025],MATCH(TransTonsShort[[#This Row],[Grouping_ID]],LandfillFees[Grouping_ID],0))</f>
        <v>72.030938699729589</v>
      </c>
      <c r="AA1209" s="102">
        <f>IF(OR(TransTonsShort[[#This Row],[CollectionStream_ID]]="03",TransTonsShort[[#This Row],[CollectionStream_ID]]="04",TransTonsShort[[#This Row],[CollectionStream_ID]]="13"),0,TransTonsShort[[#This Row],[Trans_Tons_All]]*TransTonsShort[[#This Row],[Disposal_Fee]])</f>
        <v>0</v>
      </c>
    </row>
    <row r="1210" spans="12:27" ht="15" x14ac:dyDescent="0.25">
      <c r="L1210" s="446" t="s">
        <v>873</v>
      </c>
      <c r="M1210" s="446">
        <v>4</v>
      </c>
      <c r="N1210" s="446">
        <v>4</v>
      </c>
      <c r="O1210" s="446" t="s">
        <v>752</v>
      </c>
      <c r="P1210" s="449" t="s">
        <v>700</v>
      </c>
      <c r="Q1210" s="449"/>
      <c r="R1210" s="449"/>
      <c r="S1210" s="449" t="s">
        <v>964</v>
      </c>
      <c r="T1210" s="449" t="s">
        <v>701</v>
      </c>
      <c r="U1210" s="452">
        <v>0</v>
      </c>
      <c r="V121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10" s="272" t="str">
        <f>IFERROR(SUMIFS(TransUnitCost[Miles],TransUnitCost[Grouping_ID],TransTonsShort[[#This Row],[Grouping_ID]],TransUnitCost[Transp_ID],TransTonsShort[[#This Row],[Transp_ID]])*TransTonsShort[[#This Row],[Trans_Tons_All]]/TransTonsShort[[#This Row],[Trans_Tons_All]],"")</f>
        <v/>
      </c>
      <c r="X1210" s="386" t="str">
        <f>TransTonsShort[[#This Row],[Grouping_ID]]&amp;"-"&amp;TransTonsShort[[#This Row],[Sector_ID]]</f>
        <v>4-4</v>
      </c>
      <c r="Y12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0" s="421">
        <f>INDEX(LandfillFees[Disposal Tip Fee 2025],MATCH(TransTonsShort[[#This Row],[Grouping_ID]],LandfillFees[Grouping_ID],0))</f>
        <v>72.030938699729589</v>
      </c>
      <c r="AA1210" s="102">
        <f>IF(OR(TransTonsShort[[#This Row],[CollectionStream_ID]]="03",TransTonsShort[[#This Row],[CollectionStream_ID]]="04",TransTonsShort[[#This Row],[CollectionStream_ID]]="13"),0,TransTonsShort[[#This Row],[Trans_Tons_All]]*TransTonsShort[[#This Row],[Disposal_Fee]])</f>
        <v>0</v>
      </c>
    </row>
    <row r="1211" spans="12:27" ht="15" x14ac:dyDescent="0.25">
      <c r="L1211" s="446" t="s">
        <v>873</v>
      </c>
      <c r="M1211" s="446">
        <v>1</v>
      </c>
      <c r="N1211" s="446">
        <v>4</v>
      </c>
      <c r="O1211" s="446" t="s">
        <v>752</v>
      </c>
      <c r="P1211" s="449" t="s">
        <v>706</v>
      </c>
      <c r="Q1211" s="449"/>
      <c r="R1211" s="449"/>
      <c r="S1211" s="449" t="s">
        <v>964</v>
      </c>
      <c r="T1211" s="449" t="s">
        <v>1025</v>
      </c>
      <c r="U1211" s="452">
        <v>0</v>
      </c>
      <c r="V121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11" s="272" t="str">
        <f>IFERROR(SUMIFS(TransUnitCost[Miles],TransUnitCost[Grouping_ID],TransTonsShort[[#This Row],[Grouping_ID]],TransUnitCost[Transp_ID],TransTonsShort[[#This Row],[Transp_ID]])*TransTonsShort[[#This Row],[Trans_Tons_All]]/TransTonsShort[[#This Row],[Trans_Tons_All]],"")</f>
        <v/>
      </c>
      <c r="X1211" s="386" t="str">
        <f>TransTonsShort[[#This Row],[Grouping_ID]]&amp;"-"&amp;TransTonsShort[[#This Row],[Sector_ID]]</f>
        <v>1-4</v>
      </c>
      <c r="Y12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1" s="421">
        <f>INDEX(LandfillFees[Disposal Tip Fee 2025],MATCH(TransTonsShort[[#This Row],[Grouping_ID]],LandfillFees[Grouping_ID],0))</f>
        <v>134.68</v>
      </c>
      <c r="AA1211" s="102">
        <f>IF(OR(TransTonsShort[[#This Row],[CollectionStream_ID]]="03",TransTonsShort[[#This Row],[CollectionStream_ID]]="04",TransTonsShort[[#This Row],[CollectionStream_ID]]="13"),0,TransTonsShort[[#This Row],[Trans_Tons_All]]*TransTonsShort[[#This Row],[Disposal_Fee]])</f>
        <v>0</v>
      </c>
    </row>
    <row r="1212" spans="12:27" ht="15" x14ac:dyDescent="0.25">
      <c r="L1212" s="446" t="s">
        <v>873</v>
      </c>
      <c r="M1212" s="446">
        <v>2</v>
      </c>
      <c r="N1212" s="446">
        <v>4</v>
      </c>
      <c r="O1212" s="446" t="s">
        <v>752</v>
      </c>
      <c r="P1212" s="449" t="s">
        <v>706</v>
      </c>
      <c r="Q1212" s="449"/>
      <c r="R1212" s="449"/>
      <c r="S1212" s="449" t="s">
        <v>964</v>
      </c>
      <c r="T1212" s="449" t="s">
        <v>1025</v>
      </c>
      <c r="U1212" s="452">
        <v>10308.468395358715</v>
      </c>
      <c r="V121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288637.11507004406</v>
      </c>
      <c r="W1212" s="272">
        <f>IFERROR(SUMIFS(TransUnitCost[Miles],TransUnitCost[Grouping_ID],TransTonsShort[[#This Row],[Grouping_ID]],TransUnitCost[Transp_ID],TransTonsShort[[#This Row],[Transp_ID]])*TransTonsShort[[#This Row],[Trans_Tons_All]]/TransTonsShort[[#This Row],[Trans_Tons_All]],"")</f>
        <v>70</v>
      </c>
      <c r="X1212" s="386" t="str">
        <f>TransTonsShort[[#This Row],[Grouping_ID]]&amp;"-"&amp;TransTonsShort[[#This Row],[Sector_ID]]</f>
        <v>2-4</v>
      </c>
      <c r="Y12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2" s="421">
        <f>INDEX(LandfillFees[Disposal Tip Fee 2025],MATCH(TransTonsShort[[#This Row],[Grouping_ID]],LandfillFees[Grouping_ID],0))</f>
        <v>72.030938699729589</v>
      </c>
      <c r="AA1212" s="102">
        <f>IF(OR(TransTonsShort[[#This Row],[CollectionStream_ID]]="03",TransTonsShort[[#This Row],[CollectionStream_ID]]="04",TransTonsShort[[#This Row],[CollectionStream_ID]]="13"),0,TransTonsShort[[#This Row],[Trans_Tons_All]]*TransTonsShort[[#This Row],[Disposal_Fee]])</f>
        <v>742528.65507418348</v>
      </c>
    </row>
    <row r="1213" spans="12:27" ht="15" x14ac:dyDescent="0.25">
      <c r="L1213" s="446" t="s">
        <v>873</v>
      </c>
      <c r="M1213" s="446">
        <v>3</v>
      </c>
      <c r="N1213" s="446">
        <v>4</v>
      </c>
      <c r="O1213" s="446" t="s">
        <v>752</v>
      </c>
      <c r="P1213" s="449" t="s">
        <v>706</v>
      </c>
      <c r="Q1213" s="449"/>
      <c r="R1213" s="449"/>
      <c r="S1213" s="449" t="s">
        <v>964</v>
      </c>
      <c r="T1213" s="449" t="s">
        <v>1025</v>
      </c>
      <c r="U1213" s="452">
        <v>6027.6129844833404</v>
      </c>
      <c r="V121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316449.68168537534</v>
      </c>
      <c r="W1213" s="272">
        <f>IFERROR(SUMIFS(TransUnitCost[Miles],TransUnitCost[Grouping_ID],TransTonsShort[[#This Row],[Grouping_ID]],TransUnitCost[Transp_ID],TransTonsShort[[#This Row],[Transp_ID]])*TransTonsShort[[#This Row],[Trans_Tons_All]]/TransTonsShort[[#This Row],[Trans_Tons_All]],"")</f>
        <v>150</v>
      </c>
      <c r="X1213" s="386" t="str">
        <f>TransTonsShort[[#This Row],[Grouping_ID]]&amp;"-"&amp;TransTonsShort[[#This Row],[Sector_ID]]</f>
        <v>3-4</v>
      </c>
      <c r="Y12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3" s="421">
        <f>INDEX(LandfillFees[Disposal Tip Fee 2025],MATCH(TransTonsShort[[#This Row],[Grouping_ID]],LandfillFees[Grouping_ID],0))</f>
        <v>72.030938699729589</v>
      </c>
      <c r="AA1213" s="102">
        <f>IF(OR(TransTonsShort[[#This Row],[CollectionStream_ID]]="03",TransTonsShort[[#This Row],[CollectionStream_ID]]="04",TransTonsShort[[#This Row],[CollectionStream_ID]]="13"),0,TransTonsShort[[#This Row],[Trans_Tons_All]]*TransTonsShort[[#This Row],[Disposal_Fee]])</f>
        <v>434174.62139101361</v>
      </c>
    </row>
    <row r="1214" spans="12:27" ht="15" x14ac:dyDescent="0.25">
      <c r="L1214" s="446" t="s">
        <v>873</v>
      </c>
      <c r="M1214" s="446">
        <v>4</v>
      </c>
      <c r="N1214" s="446">
        <v>4</v>
      </c>
      <c r="O1214" s="446" t="s">
        <v>752</v>
      </c>
      <c r="P1214" s="449" t="s">
        <v>706</v>
      </c>
      <c r="Q1214" s="449"/>
      <c r="R1214" s="449"/>
      <c r="S1214" s="449" t="s">
        <v>964</v>
      </c>
      <c r="T1214" s="449" t="s">
        <v>1025</v>
      </c>
      <c r="U1214" s="452">
        <v>26984.83478148892</v>
      </c>
      <c r="V121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2698483.4781488921</v>
      </c>
      <c r="W1214" s="272">
        <f>IFERROR(SUMIFS(TransUnitCost[Miles],TransUnitCost[Grouping_ID],TransTonsShort[[#This Row],[Grouping_ID]],TransUnitCost[Transp_ID],TransTonsShort[[#This Row],[Transp_ID]])*TransTonsShort[[#This Row],[Trans_Tons_All]]/TransTonsShort[[#This Row],[Trans_Tons_All]],"")</f>
        <v>250</v>
      </c>
      <c r="X1214" s="386" t="str">
        <f>TransTonsShort[[#This Row],[Grouping_ID]]&amp;"-"&amp;TransTonsShort[[#This Row],[Sector_ID]]</f>
        <v>4-4</v>
      </c>
      <c r="Y12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4" s="421">
        <f>INDEX(LandfillFees[Disposal Tip Fee 2025],MATCH(TransTonsShort[[#This Row],[Grouping_ID]],LandfillFees[Grouping_ID],0))</f>
        <v>72.030938699729589</v>
      </c>
      <c r="AA1214" s="102">
        <f>IF(OR(TransTonsShort[[#This Row],[CollectionStream_ID]]="03",TransTonsShort[[#This Row],[CollectionStream_ID]]="04",TransTonsShort[[#This Row],[CollectionStream_ID]]="13"),0,TransTonsShort[[#This Row],[Trans_Tons_All]]*TransTonsShort[[#This Row],[Disposal_Fee]])</f>
        <v>1943742.9799677592</v>
      </c>
    </row>
    <row r="1215" spans="12:27" ht="15" x14ac:dyDescent="0.25">
      <c r="L1215" s="446" t="s">
        <v>873</v>
      </c>
      <c r="M1215" s="446">
        <v>1</v>
      </c>
      <c r="N1215" s="446">
        <v>4</v>
      </c>
      <c r="O1215" s="446" t="s">
        <v>750</v>
      </c>
      <c r="P1215" s="449" t="s">
        <v>739</v>
      </c>
      <c r="Q1215" s="449"/>
      <c r="R1215" s="449"/>
      <c r="S1215" s="449" t="s">
        <v>963</v>
      </c>
      <c r="T1215" s="449" t="s">
        <v>1121</v>
      </c>
      <c r="U1215" s="452">
        <v>1208.699586158147</v>
      </c>
      <c r="V121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23448.77197146805</v>
      </c>
      <c r="W1215" s="272">
        <f>IFERROR(SUMIFS(TransUnitCost[Miles],TransUnitCost[Grouping_ID],TransTonsShort[[#This Row],[Grouping_ID]],TransUnitCost[Transp_ID],TransTonsShort[[#This Row],[Transp_ID]])*TransTonsShort[[#This Row],[Trans_Tons_All]]/TransTonsShort[[#This Row],[Trans_Tons_All]],"")</f>
        <v>20</v>
      </c>
      <c r="X1215" s="386" t="str">
        <f>TransTonsShort[[#This Row],[Grouping_ID]]&amp;"-"&amp;TransTonsShort[[#This Row],[Sector_ID]]</f>
        <v>1-4</v>
      </c>
      <c r="Y12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5" s="421">
        <f>INDEX(LandfillFees[Disposal Tip Fee 2025],MATCH(TransTonsShort[[#This Row],[Grouping_ID]],LandfillFees[Grouping_ID],0))</f>
        <v>134.68</v>
      </c>
      <c r="AA1215" s="102">
        <f>IF(OR(TransTonsShort[[#This Row],[CollectionStream_ID]]="03",TransTonsShort[[#This Row],[CollectionStream_ID]]="04",TransTonsShort[[#This Row],[CollectionStream_ID]]="13"),0,TransTonsShort[[#This Row],[Trans_Tons_All]]*TransTonsShort[[#This Row],[Disposal_Fee]])</f>
        <v>162787.66026377925</v>
      </c>
    </row>
    <row r="1216" spans="12:27" ht="15" x14ac:dyDescent="0.25">
      <c r="L1216" s="446" t="s">
        <v>873</v>
      </c>
      <c r="M1216" s="446">
        <v>2</v>
      </c>
      <c r="N1216" s="446">
        <v>4</v>
      </c>
      <c r="O1216" s="446" t="s">
        <v>750</v>
      </c>
      <c r="P1216" s="449" t="s">
        <v>739</v>
      </c>
      <c r="Q1216" s="449"/>
      <c r="R1216" s="449"/>
      <c r="S1216" s="449" t="s">
        <v>963</v>
      </c>
      <c r="T1216" s="449" t="s">
        <v>1121</v>
      </c>
      <c r="U1216" s="452">
        <v>5211.3592078475976</v>
      </c>
      <c r="V121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215229.13528410578</v>
      </c>
      <c r="W1216" s="272">
        <f>IFERROR(SUMIFS(TransUnitCost[Miles],TransUnitCost[Grouping_ID],TransTonsShort[[#This Row],[Grouping_ID]],TransUnitCost[Transp_ID],TransTonsShort[[#This Row],[Transp_ID]])*TransTonsShort[[#This Row],[Trans_Tons_All]]/TransTonsShort[[#This Row],[Trans_Tons_All]],"")</f>
        <v>70</v>
      </c>
      <c r="X1216" s="386" t="str">
        <f>TransTonsShort[[#This Row],[Grouping_ID]]&amp;"-"&amp;TransTonsShort[[#This Row],[Sector_ID]]</f>
        <v>2-4</v>
      </c>
      <c r="Y12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6" s="421">
        <f>INDEX(LandfillFees[Disposal Tip Fee 2025],MATCH(TransTonsShort[[#This Row],[Grouping_ID]],LandfillFees[Grouping_ID],0))</f>
        <v>72.030938699729589</v>
      </c>
      <c r="AA1216" s="102">
        <f>IF(OR(TransTonsShort[[#This Row],[CollectionStream_ID]]="03",TransTonsShort[[#This Row],[CollectionStream_ID]]="04",TransTonsShort[[#This Row],[CollectionStream_ID]]="13"),0,TransTonsShort[[#This Row],[Trans_Tons_All]]*TransTonsShort[[#This Row],[Disposal_Fee]])</f>
        <v>375379.09564274165</v>
      </c>
    </row>
    <row r="1217" spans="12:27" ht="15" x14ac:dyDescent="0.25">
      <c r="L1217" s="446" t="s">
        <v>873</v>
      </c>
      <c r="M1217" s="446">
        <v>3</v>
      </c>
      <c r="N1217" s="446">
        <v>4</v>
      </c>
      <c r="O1217" s="446" t="s">
        <v>750</v>
      </c>
      <c r="P1217" s="449" t="s">
        <v>739</v>
      </c>
      <c r="Q1217" s="449"/>
      <c r="R1217" s="449"/>
      <c r="S1217" s="449" t="s">
        <v>963</v>
      </c>
      <c r="T1217" s="449" t="s">
        <v>1121</v>
      </c>
      <c r="U1217" s="452">
        <v>1287.303248860916</v>
      </c>
      <c r="V121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46342.916958992981</v>
      </c>
      <c r="W1217" s="272">
        <f>IFERROR(SUMIFS(TransUnitCost[Miles],TransUnitCost[Grouping_ID],TransTonsShort[[#This Row],[Grouping_ID]],TransUnitCost[Transp_ID],TransTonsShort[[#This Row],[Transp_ID]])*TransTonsShort[[#This Row],[Trans_Tons_All]]/TransTonsShort[[#This Row],[Trans_Tons_All]],"")</f>
        <v>150</v>
      </c>
      <c r="X1217" s="386" t="str">
        <f>TransTonsShort[[#This Row],[Grouping_ID]]&amp;"-"&amp;TransTonsShort[[#This Row],[Sector_ID]]</f>
        <v>3-4</v>
      </c>
      <c r="Y12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7" s="421">
        <f>INDEX(LandfillFees[Disposal Tip Fee 2025],MATCH(TransTonsShort[[#This Row],[Grouping_ID]],LandfillFees[Grouping_ID],0))</f>
        <v>72.030938699729589</v>
      </c>
      <c r="AA1217" s="102">
        <f>IF(OR(TransTonsShort[[#This Row],[CollectionStream_ID]]="03",TransTonsShort[[#This Row],[CollectionStream_ID]]="04",TransTonsShort[[#This Row],[CollectionStream_ID]]="13"),0,TransTonsShort[[#This Row],[Trans_Tons_All]]*TransTonsShort[[#This Row],[Disposal_Fee]])</f>
        <v>92725.661406663392</v>
      </c>
    </row>
    <row r="1218" spans="12:27" ht="15" x14ac:dyDescent="0.25">
      <c r="L1218" s="446" t="s">
        <v>873</v>
      </c>
      <c r="M1218" s="446">
        <v>4</v>
      </c>
      <c r="N1218" s="446">
        <v>4</v>
      </c>
      <c r="O1218" s="446" t="s">
        <v>750</v>
      </c>
      <c r="P1218" s="449" t="s">
        <v>739</v>
      </c>
      <c r="Q1218" s="449"/>
      <c r="R1218" s="449"/>
      <c r="S1218" s="449" t="s">
        <v>963</v>
      </c>
      <c r="T1218" s="449" t="s">
        <v>1121</v>
      </c>
      <c r="U1218" s="452">
        <v>11682.399622554176</v>
      </c>
      <c r="V121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642531.97924047965</v>
      </c>
      <c r="W1218" s="272">
        <f>IFERROR(SUMIFS(TransUnitCost[Miles],TransUnitCost[Grouping_ID],TransTonsShort[[#This Row],[Grouping_ID]],TransUnitCost[Transp_ID],TransTonsShort[[#This Row],[Transp_ID]])*TransTonsShort[[#This Row],[Trans_Tons_All]]/TransTonsShort[[#This Row],[Trans_Tons_All]],"")</f>
        <v>250</v>
      </c>
      <c r="X1218" s="386" t="str">
        <f>TransTonsShort[[#This Row],[Grouping_ID]]&amp;"-"&amp;TransTonsShort[[#This Row],[Sector_ID]]</f>
        <v>4-4</v>
      </c>
      <c r="Y12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8" s="421">
        <f>INDEX(LandfillFees[Disposal Tip Fee 2025],MATCH(TransTonsShort[[#This Row],[Grouping_ID]],LandfillFees[Grouping_ID],0))</f>
        <v>72.030938699729589</v>
      </c>
      <c r="AA1218" s="102">
        <f>IF(OR(TransTonsShort[[#This Row],[CollectionStream_ID]]="03",TransTonsShort[[#This Row],[CollectionStream_ID]]="04",TransTonsShort[[#This Row],[CollectionStream_ID]]="13"),0,TransTonsShort[[#This Row],[Trans_Tons_All]]*TransTonsShort[[#This Row],[Disposal_Fee]])</f>
        <v>841494.21107794391</v>
      </c>
    </row>
    <row r="1219" spans="12:27" ht="15" x14ac:dyDescent="0.25">
      <c r="L1219" s="446" t="s">
        <v>873</v>
      </c>
      <c r="M1219" s="446">
        <v>1</v>
      </c>
      <c r="N1219" s="446">
        <v>4</v>
      </c>
      <c r="O1219" s="446" t="s">
        <v>750</v>
      </c>
      <c r="P1219" s="450" t="s">
        <v>700</v>
      </c>
      <c r="Q1219" s="450"/>
      <c r="R1219" s="450"/>
      <c r="S1219" s="449" t="s">
        <v>963</v>
      </c>
      <c r="T1219" s="449" t="s">
        <v>701</v>
      </c>
      <c r="U1219" s="452">
        <v>0</v>
      </c>
      <c r="V121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19" s="272" t="str">
        <f>IFERROR(SUMIFS(TransUnitCost[Miles],TransUnitCost[Grouping_ID],TransTonsShort[[#This Row],[Grouping_ID]],TransUnitCost[Transp_ID],TransTonsShort[[#This Row],[Transp_ID]])*TransTonsShort[[#This Row],[Trans_Tons_All]]/TransTonsShort[[#This Row],[Trans_Tons_All]],"")</f>
        <v/>
      </c>
      <c r="X1219" s="386" t="str">
        <f>TransTonsShort[[#This Row],[Grouping_ID]]&amp;"-"&amp;TransTonsShort[[#This Row],[Sector_ID]]</f>
        <v>1-4</v>
      </c>
      <c r="Y12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19" s="421">
        <f>INDEX(LandfillFees[Disposal Tip Fee 2025],MATCH(TransTonsShort[[#This Row],[Grouping_ID]],LandfillFees[Grouping_ID],0))</f>
        <v>134.68</v>
      </c>
      <c r="AA1219" s="102">
        <f>IF(OR(TransTonsShort[[#This Row],[CollectionStream_ID]]="03",TransTonsShort[[#This Row],[CollectionStream_ID]]="04",TransTonsShort[[#This Row],[CollectionStream_ID]]="13"),0,TransTonsShort[[#This Row],[Trans_Tons_All]]*TransTonsShort[[#This Row],[Disposal_Fee]])</f>
        <v>0</v>
      </c>
    </row>
    <row r="1220" spans="12:27" ht="15" x14ac:dyDescent="0.25">
      <c r="L1220" s="446" t="s">
        <v>873</v>
      </c>
      <c r="M1220" s="446">
        <v>2</v>
      </c>
      <c r="N1220" s="446">
        <v>4</v>
      </c>
      <c r="O1220" s="446" t="s">
        <v>750</v>
      </c>
      <c r="P1220" s="450" t="s">
        <v>700</v>
      </c>
      <c r="Q1220" s="450"/>
      <c r="R1220" s="450"/>
      <c r="S1220" s="449" t="s">
        <v>963</v>
      </c>
      <c r="T1220" s="449" t="s">
        <v>701</v>
      </c>
      <c r="U1220" s="452">
        <v>0</v>
      </c>
      <c r="V122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0" s="272" t="str">
        <f>IFERROR(SUMIFS(TransUnitCost[Miles],TransUnitCost[Grouping_ID],TransTonsShort[[#This Row],[Grouping_ID]],TransUnitCost[Transp_ID],TransTonsShort[[#This Row],[Transp_ID]])*TransTonsShort[[#This Row],[Trans_Tons_All]]/TransTonsShort[[#This Row],[Trans_Tons_All]],"")</f>
        <v/>
      </c>
      <c r="X1220" s="386" t="str">
        <f>TransTonsShort[[#This Row],[Grouping_ID]]&amp;"-"&amp;TransTonsShort[[#This Row],[Sector_ID]]</f>
        <v>2-4</v>
      </c>
      <c r="Y12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20" s="421">
        <f>INDEX(LandfillFees[Disposal Tip Fee 2025],MATCH(TransTonsShort[[#This Row],[Grouping_ID]],LandfillFees[Grouping_ID],0))</f>
        <v>72.030938699729589</v>
      </c>
      <c r="AA1220" s="102">
        <f>IF(OR(TransTonsShort[[#This Row],[CollectionStream_ID]]="03",TransTonsShort[[#This Row],[CollectionStream_ID]]="04",TransTonsShort[[#This Row],[CollectionStream_ID]]="13"),0,TransTonsShort[[#This Row],[Trans_Tons_All]]*TransTonsShort[[#This Row],[Disposal_Fee]])</f>
        <v>0</v>
      </c>
    </row>
    <row r="1221" spans="12:27" ht="15" x14ac:dyDescent="0.25">
      <c r="L1221" s="446" t="s">
        <v>873</v>
      </c>
      <c r="M1221" s="446">
        <v>3</v>
      </c>
      <c r="N1221" s="446">
        <v>4</v>
      </c>
      <c r="O1221" s="446" t="s">
        <v>750</v>
      </c>
      <c r="P1221" s="450" t="s">
        <v>700</v>
      </c>
      <c r="Q1221" s="450"/>
      <c r="R1221" s="450"/>
      <c r="S1221" s="449" t="s">
        <v>963</v>
      </c>
      <c r="T1221" s="449" t="s">
        <v>701</v>
      </c>
      <c r="U1221" s="452">
        <v>0</v>
      </c>
      <c r="V122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1" s="272" t="str">
        <f>IFERROR(SUMIFS(TransUnitCost[Miles],TransUnitCost[Grouping_ID],TransTonsShort[[#This Row],[Grouping_ID]],TransUnitCost[Transp_ID],TransTonsShort[[#This Row],[Transp_ID]])*TransTonsShort[[#This Row],[Trans_Tons_All]]/TransTonsShort[[#This Row],[Trans_Tons_All]],"")</f>
        <v/>
      </c>
      <c r="X1221" s="386" t="str">
        <f>TransTonsShort[[#This Row],[Grouping_ID]]&amp;"-"&amp;TransTonsShort[[#This Row],[Sector_ID]]</f>
        <v>3-4</v>
      </c>
      <c r="Y12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21" s="421">
        <f>INDEX(LandfillFees[Disposal Tip Fee 2025],MATCH(TransTonsShort[[#This Row],[Grouping_ID]],LandfillFees[Grouping_ID],0))</f>
        <v>72.030938699729589</v>
      </c>
      <c r="AA1221" s="102">
        <f>IF(OR(TransTonsShort[[#This Row],[CollectionStream_ID]]="03",TransTonsShort[[#This Row],[CollectionStream_ID]]="04",TransTonsShort[[#This Row],[CollectionStream_ID]]="13"),0,TransTonsShort[[#This Row],[Trans_Tons_All]]*TransTonsShort[[#This Row],[Disposal_Fee]])</f>
        <v>0</v>
      </c>
    </row>
    <row r="1222" spans="12:27" ht="15" x14ac:dyDescent="0.25">
      <c r="L1222" s="446" t="s">
        <v>873</v>
      </c>
      <c r="M1222" s="446">
        <v>4</v>
      </c>
      <c r="N1222" s="446">
        <v>4</v>
      </c>
      <c r="O1222" s="446" t="s">
        <v>750</v>
      </c>
      <c r="P1222" s="450" t="s">
        <v>700</v>
      </c>
      <c r="Q1222" s="450"/>
      <c r="R1222" s="450"/>
      <c r="S1222" s="449" t="s">
        <v>963</v>
      </c>
      <c r="T1222" s="449" t="s">
        <v>701</v>
      </c>
      <c r="U1222" s="452">
        <v>0</v>
      </c>
      <c r="V122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2" s="272" t="str">
        <f>IFERROR(SUMIFS(TransUnitCost[Miles],TransUnitCost[Grouping_ID],TransTonsShort[[#This Row],[Grouping_ID]],TransUnitCost[Transp_ID],TransTonsShort[[#This Row],[Transp_ID]])*TransTonsShort[[#This Row],[Trans_Tons_All]]/TransTonsShort[[#This Row],[Trans_Tons_All]],"")</f>
        <v/>
      </c>
      <c r="X1222" s="386" t="str">
        <f>TransTonsShort[[#This Row],[Grouping_ID]]&amp;"-"&amp;TransTonsShort[[#This Row],[Sector_ID]]</f>
        <v>4-4</v>
      </c>
      <c r="Y12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22" s="421">
        <f>INDEX(LandfillFees[Disposal Tip Fee 2025],MATCH(TransTonsShort[[#This Row],[Grouping_ID]],LandfillFees[Grouping_ID],0))</f>
        <v>72.030938699729589</v>
      </c>
      <c r="AA1222" s="102">
        <f>IF(OR(TransTonsShort[[#This Row],[CollectionStream_ID]]="03",TransTonsShort[[#This Row],[CollectionStream_ID]]="04",TransTonsShort[[#This Row],[CollectionStream_ID]]="13"),0,TransTonsShort[[#This Row],[Trans_Tons_All]]*TransTonsShort[[#This Row],[Disposal_Fee]])</f>
        <v>0</v>
      </c>
    </row>
    <row r="1223" spans="12:27" ht="15" x14ac:dyDescent="0.25">
      <c r="L1223" s="446" t="s">
        <v>870</v>
      </c>
      <c r="M1223" s="446">
        <v>1</v>
      </c>
      <c r="N1223" s="446">
        <v>4</v>
      </c>
      <c r="O1223" s="446" t="s">
        <v>700</v>
      </c>
      <c r="P1223" s="449" t="s">
        <v>719</v>
      </c>
      <c r="Q1223" s="449"/>
      <c r="R1223" s="449"/>
      <c r="S1223" s="449" t="s">
        <v>872</v>
      </c>
      <c r="T1223" s="449" t="s">
        <v>1055</v>
      </c>
      <c r="U1223" s="452">
        <v>0</v>
      </c>
      <c r="V122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3" s="272" t="str">
        <f>IFERROR(SUMIFS(TransUnitCost[Miles],TransUnitCost[Grouping_ID],TransTonsShort[[#This Row],[Grouping_ID]],TransUnitCost[Transp_ID],TransTonsShort[[#This Row],[Transp_ID]])*TransTonsShort[[#This Row],[Trans_Tons_All]]/TransTonsShort[[#This Row],[Trans_Tons_All]],"")</f>
        <v/>
      </c>
      <c r="X1223" s="386" t="str">
        <f>TransTonsShort[[#This Row],[Grouping_ID]]&amp;"-"&amp;TransTonsShort[[#This Row],[Sector_ID]]</f>
        <v>1-4</v>
      </c>
      <c r="Y12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3" s="421">
        <f>INDEX(LandfillFees[Disposal Tip Fee 2025],MATCH(TransTonsShort[[#This Row],[Grouping_ID]],LandfillFees[Grouping_ID],0))</f>
        <v>134.68</v>
      </c>
      <c r="AA1223" s="102">
        <f>IF(OR(TransTonsShort[[#This Row],[CollectionStream_ID]]="03",TransTonsShort[[#This Row],[CollectionStream_ID]]="04",TransTonsShort[[#This Row],[CollectionStream_ID]]="13"),0,TransTonsShort[[#This Row],[Trans_Tons_All]]*TransTonsShort[[#This Row],[Disposal_Fee]])</f>
        <v>0</v>
      </c>
    </row>
    <row r="1224" spans="12:27" ht="15" x14ac:dyDescent="0.25">
      <c r="L1224" s="446" t="s">
        <v>870</v>
      </c>
      <c r="M1224" s="446">
        <v>2</v>
      </c>
      <c r="N1224" s="446">
        <v>4</v>
      </c>
      <c r="O1224" s="446" t="s">
        <v>700</v>
      </c>
      <c r="P1224" s="449" t="s">
        <v>719</v>
      </c>
      <c r="Q1224" s="449"/>
      <c r="R1224" s="449"/>
      <c r="S1224" s="449" t="s">
        <v>872</v>
      </c>
      <c r="T1224" s="449" t="s">
        <v>1055</v>
      </c>
      <c r="U1224" s="452">
        <v>0</v>
      </c>
      <c r="V122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4" s="272" t="str">
        <f>IFERROR(SUMIFS(TransUnitCost[Miles],TransUnitCost[Grouping_ID],TransTonsShort[[#This Row],[Grouping_ID]],TransUnitCost[Transp_ID],TransTonsShort[[#This Row],[Transp_ID]])*TransTonsShort[[#This Row],[Trans_Tons_All]]/TransTonsShort[[#This Row],[Trans_Tons_All]],"")</f>
        <v/>
      </c>
      <c r="X1224" s="386" t="str">
        <f>TransTonsShort[[#This Row],[Grouping_ID]]&amp;"-"&amp;TransTonsShort[[#This Row],[Sector_ID]]</f>
        <v>2-4</v>
      </c>
      <c r="Y12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4" s="421">
        <f>INDEX(LandfillFees[Disposal Tip Fee 2025],MATCH(TransTonsShort[[#This Row],[Grouping_ID]],LandfillFees[Grouping_ID],0))</f>
        <v>72.030938699729589</v>
      </c>
      <c r="AA1224" s="102">
        <f>IF(OR(TransTonsShort[[#This Row],[CollectionStream_ID]]="03",TransTonsShort[[#This Row],[CollectionStream_ID]]="04",TransTonsShort[[#This Row],[CollectionStream_ID]]="13"),0,TransTonsShort[[#This Row],[Trans_Tons_All]]*TransTonsShort[[#This Row],[Disposal_Fee]])</f>
        <v>0</v>
      </c>
    </row>
    <row r="1225" spans="12:27" ht="15" x14ac:dyDescent="0.25">
      <c r="L1225" s="446" t="s">
        <v>870</v>
      </c>
      <c r="M1225" s="446">
        <v>3</v>
      </c>
      <c r="N1225" s="446">
        <v>4</v>
      </c>
      <c r="O1225" s="446" t="s">
        <v>700</v>
      </c>
      <c r="P1225" s="449" t="s">
        <v>719</v>
      </c>
      <c r="Q1225" s="449"/>
      <c r="R1225" s="449"/>
      <c r="S1225" s="449" t="s">
        <v>872</v>
      </c>
      <c r="T1225" s="449" t="s">
        <v>1055</v>
      </c>
      <c r="U1225" s="452">
        <v>0</v>
      </c>
      <c r="V122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5" s="272" t="str">
        <f>IFERROR(SUMIFS(TransUnitCost[Miles],TransUnitCost[Grouping_ID],TransTonsShort[[#This Row],[Grouping_ID]],TransUnitCost[Transp_ID],TransTonsShort[[#This Row],[Transp_ID]])*TransTonsShort[[#This Row],[Trans_Tons_All]]/TransTonsShort[[#This Row],[Trans_Tons_All]],"")</f>
        <v/>
      </c>
      <c r="X1225" s="386" t="str">
        <f>TransTonsShort[[#This Row],[Grouping_ID]]&amp;"-"&amp;TransTonsShort[[#This Row],[Sector_ID]]</f>
        <v>3-4</v>
      </c>
      <c r="Y12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5" s="421">
        <f>INDEX(LandfillFees[Disposal Tip Fee 2025],MATCH(TransTonsShort[[#This Row],[Grouping_ID]],LandfillFees[Grouping_ID],0))</f>
        <v>72.030938699729589</v>
      </c>
      <c r="AA1225" s="102">
        <f>IF(OR(TransTonsShort[[#This Row],[CollectionStream_ID]]="03",TransTonsShort[[#This Row],[CollectionStream_ID]]="04",TransTonsShort[[#This Row],[CollectionStream_ID]]="13"),0,TransTonsShort[[#This Row],[Trans_Tons_All]]*TransTonsShort[[#This Row],[Disposal_Fee]])</f>
        <v>0</v>
      </c>
    </row>
    <row r="1226" spans="12:27" ht="15" x14ac:dyDescent="0.25">
      <c r="L1226" s="446" t="s">
        <v>870</v>
      </c>
      <c r="M1226" s="446">
        <v>4</v>
      </c>
      <c r="N1226" s="446">
        <v>4</v>
      </c>
      <c r="O1226" s="446" t="s">
        <v>700</v>
      </c>
      <c r="P1226" s="449" t="s">
        <v>719</v>
      </c>
      <c r="Q1226" s="449"/>
      <c r="R1226" s="449"/>
      <c r="S1226" s="449" t="s">
        <v>872</v>
      </c>
      <c r="T1226" s="449" t="s">
        <v>1055</v>
      </c>
      <c r="U1226" s="452">
        <v>0</v>
      </c>
      <c r="V122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6" s="272" t="str">
        <f>IFERROR(SUMIFS(TransUnitCost[Miles],TransUnitCost[Grouping_ID],TransTonsShort[[#This Row],[Grouping_ID]],TransUnitCost[Transp_ID],TransTonsShort[[#This Row],[Transp_ID]])*TransTonsShort[[#This Row],[Trans_Tons_All]]/TransTonsShort[[#This Row],[Trans_Tons_All]],"")</f>
        <v/>
      </c>
      <c r="X1226" s="386" t="str">
        <f>TransTonsShort[[#This Row],[Grouping_ID]]&amp;"-"&amp;TransTonsShort[[#This Row],[Sector_ID]]</f>
        <v>4-4</v>
      </c>
      <c r="Y12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6" s="421">
        <f>INDEX(LandfillFees[Disposal Tip Fee 2025],MATCH(TransTonsShort[[#This Row],[Grouping_ID]],LandfillFees[Grouping_ID],0))</f>
        <v>72.030938699729589</v>
      </c>
      <c r="AA1226" s="102">
        <f>IF(OR(TransTonsShort[[#This Row],[CollectionStream_ID]]="03",TransTonsShort[[#This Row],[CollectionStream_ID]]="04",TransTonsShort[[#This Row],[CollectionStream_ID]]="13"),0,TransTonsShort[[#This Row],[Trans_Tons_All]]*TransTonsShort[[#This Row],[Disposal_Fee]])</f>
        <v>0</v>
      </c>
    </row>
    <row r="1227" spans="12:27" ht="15" x14ac:dyDescent="0.25">
      <c r="L1227" s="446" t="s">
        <v>870</v>
      </c>
      <c r="M1227" s="446">
        <v>1</v>
      </c>
      <c r="N1227" s="446">
        <v>4</v>
      </c>
      <c r="O1227" s="446" t="s">
        <v>700</v>
      </c>
      <c r="P1227" s="449" t="s">
        <v>700</v>
      </c>
      <c r="Q1227" s="449"/>
      <c r="R1227" s="449"/>
      <c r="S1227" s="449" t="s">
        <v>872</v>
      </c>
      <c r="T1227" s="449" t="s">
        <v>701</v>
      </c>
      <c r="U1227" s="452">
        <v>0</v>
      </c>
      <c r="V122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7" s="272" t="str">
        <f>IFERROR(SUMIFS(TransUnitCost[Miles],TransUnitCost[Grouping_ID],TransTonsShort[[#This Row],[Grouping_ID]],TransUnitCost[Transp_ID],TransTonsShort[[#This Row],[Transp_ID]])*TransTonsShort[[#This Row],[Trans_Tons_All]]/TransTonsShort[[#This Row],[Trans_Tons_All]],"")</f>
        <v/>
      </c>
      <c r="X1227" s="386" t="str">
        <f>TransTonsShort[[#This Row],[Grouping_ID]]&amp;"-"&amp;TransTonsShort[[#This Row],[Sector_ID]]</f>
        <v>1-4</v>
      </c>
      <c r="Y12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7" s="421">
        <f>INDEX(LandfillFees[Disposal Tip Fee 2025],MATCH(TransTonsShort[[#This Row],[Grouping_ID]],LandfillFees[Grouping_ID],0))</f>
        <v>134.68</v>
      </c>
      <c r="AA1227" s="102">
        <f>IF(OR(TransTonsShort[[#This Row],[CollectionStream_ID]]="03",TransTonsShort[[#This Row],[CollectionStream_ID]]="04",TransTonsShort[[#This Row],[CollectionStream_ID]]="13"),0,TransTonsShort[[#This Row],[Trans_Tons_All]]*TransTonsShort[[#This Row],[Disposal_Fee]])</f>
        <v>0</v>
      </c>
    </row>
    <row r="1228" spans="12:27" ht="15" x14ac:dyDescent="0.25">
      <c r="L1228" s="446" t="s">
        <v>870</v>
      </c>
      <c r="M1228" s="446">
        <v>2</v>
      </c>
      <c r="N1228" s="446">
        <v>4</v>
      </c>
      <c r="O1228" s="446" t="s">
        <v>700</v>
      </c>
      <c r="P1228" s="449" t="s">
        <v>700</v>
      </c>
      <c r="Q1228" s="449"/>
      <c r="R1228" s="449"/>
      <c r="S1228" s="449" t="s">
        <v>872</v>
      </c>
      <c r="T1228" s="449" t="s">
        <v>701</v>
      </c>
      <c r="U1228" s="452">
        <v>0</v>
      </c>
      <c r="V122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8" s="272" t="str">
        <f>IFERROR(SUMIFS(TransUnitCost[Miles],TransUnitCost[Grouping_ID],TransTonsShort[[#This Row],[Grouping_ID]],TransUnitCost[Transp_ID],TransTonsShort[[#This Row],[Transp_ID]])*TransTonsShort[[#This Row],[Trans_Tons_All]]/TransTonsShort[[#This Row],[Trans_Tons_All]],"")</f>
        <v/>
      </c>
      <c r="X1228" s="386" t="str">
        <f>TransTonsShort[[#This Row],[Grouping_ID]]&amp;"-"&amp;TransTonsShort[[#This Row],[Sector_ID]]</f>
        <v>2-4</v>
      </c>
      <c r="Y12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8" s="421">
        <f>INDEX(LandfillFees[Disposal Tip Fee 2025],MATCH(TransTonsShort[[#This Row],[Grouping_ID]],LandfillFees[Grouping_ID],0))</f>
        <v>72.030938699729589</v>
      </c>
      <c r="AA1228" s="102">
        <f>IF(OR(TransTonsShort[[#This Row],[CollectionStream_ID]]="03",TransTonsShort[[#This Row],[CollectionStream_ID]]="04",TransTonsShort[[#This Row],[CollectionStream_ID]]="13"),0,TransTonsShort[[#This Row],[Trans_Tons_All]]*TransTonsShort[[#This Row],[Disposal_Fee]])</f>
        <v>0</v>
      </c>
    </row>
    <row r="1229" spans="12:27" ht="15" x14ac:dyDescent="0.25">
      <c r="L1229" s="446" t="s">
        <v>870</v>
      </c>
      <c r="M1229" s="446">
        <v>3</v>
      </c>
      <c r="N1229" s="446">
        <v>4</v>
      </c>
      <c r="O1229" s="446" t="s">
        <v>700</v>
      </c>
      <c r="P1229" s="449" t="s">
        <v>700</v>
      </c>
      <c r="Q1229" s="449"/>
      <c r="R1229" s="449"/>
      <c r="S1229" s="449" t="s">
        <v>872</v>
      </c>
      <c r="T1229" s="449" t="s">
        <v>701</v>
      </c>
      <c r="U1229" s="452">
        <v>0</v>
      </c>
      <c r="V122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29" s="272" t="str">
        <f>IFERROR(SUMIFS(TransUnitCost[Miles],TransUnitCost[Grouping_ID],TransTonsShort[[#This Row],[Grouping_ID]],TransUnitCost[Transp_ID],TransTonsShort[[#This Row],[Transp_ID]])*TransTonsShort[[#This Row],[Trans_Tons_All]]/TransTonsShort[[#This Row],[Trans_Tons_All]],"")</f>
        <v/>
      </c>
      <c r="X1229" s="386" t="str">
        <f>TransTonsShort[[#This Row],[Grouping_ID]]&amp;"-"&amp;TransTonsShort[[#This Row],[Sector_ID]]</f>
        <v>3-4</v>
      </c>
      <c r="Y12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29" s="421">
        <f>INDEX(LandfillFees[Disposal Tip Fee 2025],MATCH(TransTonsShort[[#This Row],[Grouping_ID]],LandfillFees[Grouping_ID],0))</f>
        <v>72.030938699729589</v>
      </c>
      <c r="AA1229" s="102">
        <f>IF(OR(TransTonsShort[[#This Row],[CollectionStream_ID]]="03",TransTonsShort[[#This Row],[CollectionStream_ID]]="04",TransTonsShort[[#This Row],[CollectionStream_ID]]="13"),0,TransTonsShort[[#This Row],[Trans_Tons_All]]*TransTonsShort[[#This Row],[Disposal_Fee]])</f>
        <v>0</v>
      </c>
    </row>
    <row r="1230" spans="12:27" ht="15" x14ac:dyDescent="0.25">
      <c r="L1230" s="446" t="s">
        <v>870</v>
      </c>
      <c r="M1230" s="446">
        <v>4</v>
      </c>
      <c r="N1230" s="446">
        <v>4</v>
      </c>
      <c r="O1230" s="446" t="s">
        <v>700</v>
      </c>
      <c r="P1230" s="449" t="s">
        <v>700</v>
      </c>
      <c r="Q1230" s="449"/>
      <c r="R1230" s="449"/>
      <c r="S1230" s="449" t="s">
        <v>872</v>
      </c>
      <c r="T1230" s="449" t="s">
        <v>701</v>
      </c>
      <c r="U1230" s="452">
        <v>0</v>
      </c>
      <c r="V123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0" s="272" t="str">
        <f>IFERROR(SUMIFS(TransUnitCost[Miles],TransUnitCost[Grouping_ID],TransTonsShort[[#This Row],[Grouping_ID]],TransUnitCost[Transp_ID],TransTonsShort[[#This Row],[Transp_ID]])*TransTonsShort[[#This Row],[Trans_Tons_All]]/TransTonsShort[[#This Row],[Trans_Tons_All]],"")</f>
        <v/>
      </c>
      <c r="X1230" s="386" t="str">
        <f>TransTonsShort[[#This Row],[Grouping_ID]]&amp;"-"&amp;TransTonsShort[[#This Row],[Sector_ID]]</f>
        <v>4-4</v>
      </c>
      <c r="Y12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0" s="421">
        <f>INDEX(LandfillFees[Disposal Tip Fee 2025],MATCH(TransTonsShort[[#This Row],[Grouping_ID]],LandfillFees[Grouping_ID],0))</f>
        <v>72.030938699729589</v>
      </c>
      <c r="AA1230" s="102">
        <f>IF(OR(TransTonsShort[[#This Row],[CollectionStream_ID]]="03",TransTonsShort[[#This Row],[CollectionStream_ID]]="04",TransTonsShort[[#This Row],[CollectionStream_ID]]="13"),0,TransTonsShort[[#This Row],[Trans_Tons_All]]*TransTonsShort[[#This Row],[Disposal_Fee]])</f>
        <v>0</v>
      </c>
    </row>
    <row r="1231" spans="12:27" ht="15" x14ac:dyDescent="0.25">
      <c r="L1231" s="446" t="s">
        <v>870</v>
      </c>
      <c r="M1231" s="446">
        <v>1</v>
      </c>
      <c r="N1231" s="446">
        <v>4</v>
      </c>
      <c r="O1231" s="448" t="s">
        <v>700</v>
      </c>
      <c r="P1231" s="449" t="s">
        <v>706</v>
      </c>
      <c r="Q1231" s="449"/>
      <c r="R1231" s="449"/>
      <c r="S1231" s="449" t="s">
        <v>872</v>
      </c>
      <c r="T1231" s="449" t="s">
        <v>1025</v>
      </c>
      <c r="U1231" s="452">
        <v>0</v>
      </c>
      <c r="V123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1" s="272" t="str">
        <f>IFERROR(SUMIFS(TransUnitCost[Miles],TransUnitCost[Grouping_ID],TransTonsShort[[#This Row],[Grouping_ID]],TransUnitCost[Transp_ID],TransTonsShort[[#This Row],[Transp_ID]])*TransTonsShort[[#This Row],[Trans_Tons_All]]/TransTonsShort[[#This Row],[Trans_Tons_All]],"")</f>
        <v/>
      </c>
      <c r="X1231" s="386" t="str">
        <f>TransTonsShort[[#This Row],[Grouping_ID]]&amp;"-"&amp;TransTonsShort[[#This Row],[Sector_ID]]</f>
        <v>1-4</v>
      </c>
      <c r="Y12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1" s="421">
        <f>INDEX(LandfillFees[Disposal Tip Fee 2025],MATCH(TransTonsShort[[#This Row],[Grouping_ID]],LandfillFees[Grouping_ID],0))</f>
        <v>134.68</v>
      </c>
      <c r="AA1231" s="102">
        <f>IF(OR(TransTonsShort[[#This Row],[CollectionStream_ID]]="03",TransTonsShort[[#This Row],[CollectionStream_ID]]="04",TransTonsShort[[#This Row],[CollectionStream_ID]]="13"),0,TransTonsShort[[#This Row],[Trans_Tons_All]]*TransTonsShort[[#This Row],[Disposal_Fee]])</f>
        <v>0</v>
      </c>
    </row>
    <row r="1232" spans="12:27" ht="15" x14ac:dyDescent="0.25">
      <c r="L1232" s="446" t="s">
        <v>870</v>
      </c>
      <c r="M1232" s="446">
        <v>2</v>
      </c>
      <c r="N1232" s="446">
        <v>4</v>
      </c>
      <c r="O1232" s="448" t="s">
        <v>700</v>
      </c>
      <c r="P1232" s="449" t="s">
        <v>706</v>
      </c>
      <c r="Q1232" s="449"/>
      <c r="R1232" s="449"/>
      <c r="S1232" s="449" t="s">
        <v>872</v>
      </c>
      <c r="T1232" s="449" t="s">
        <v>1025</v>
      </c>
      <c r="U1232" s="452">
        <v>0</v>
      </c>
      <c r="V123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2" s="272" t="str">
        <f>IFERROR(SUMIFS(TransUnitCost[Miles],TransUnitCost[Grouping_ID],TransTonsShort[[#This Row],[Grouping_ID]],TransUnitCost[Transp_ID],TransTonsShort[[#This Row],[Transp_ID]])*TransTonsShort[[#This Row],[Trans_Tons_All]]/TransTonsShort[[#This Row],[Trans_Tons_All]],"")</f>
        <v/>
      </c>
      <c r="X1232" s="386" t="str">
        <f>TransTonsShort[[#This Row],[Grouping_ID]]&amp;"-"&amp;TransTonsShort[[#This Row],[Sector_ID]]</f>
        <v>2-4</v>
      </c>
      <c r="Y12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2" s="421">
        <f>INDEX(LandfillFees[Disposal Tip Fee 2025],MATCH(TransTonsShort[[#This Row],[Grouping_ID]],LandfillFees[Grouping_ID],0))</f>
        <v>72.030938699729589</v>
      </c>
      <c r="AA1232" s="102">
        <f>IF(OR(TransTonsShort[[#This Row],[CollectionStream_ID]]="03",TransTonsShort[[#This Row],[CollectionStream_ID]]="04",TransTonsShort[[#This Row],[CollectionStream_ID]]="13"),0,TransTonsShort[[#This Row],[Trans_Tons_All]]*TransTonsShort[[#This Row],[Disposal_Fee]])</f>
        <v>0</v>
      </c>
    </row>
    <row r="1233" spans="12:27" ht="15" x14ac:dyDescent="0.25">
      <c r="L1233" s="446" t="s">
        <v>870</v>
      </c>
      <c r="M1233" s="446">
        <v>3</v>
      </c>
      <c r="N1233" s="446">
        <v>4</v>
      </c>
      <c r="O1233" s="448" t="s">
        <v>700</v>
      </c>
      <c r="P1233" s="449" t="s">
        <v>706</v>
      </c>
      <c r="Q1233" s="449"/>
      <c r="R1233" s="449"/>
      <c r="S1233" s="449" t="s">
        <v>872</v>
      </c>
      <c r="T1233" s="449" t="s">
        <v>1025</v>
      </c>
      <c r="U1233" s="452">
        <v>0</v>
      </c>
      <c r="V123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3" s="272" t="str">
        <f>IFERROR(SUMIFS(TransUnitCost[Miles],TransUnitCost[Grouping_ID],TransTonsShort[[#This Row],[Grouping_ID]],TransUnitCost[Transp_ID],TransTonsShort[[#This Row],[Transp_ID]])*TransTonsShort[[#This Row],[Trans_Tons_All]]/TransTonsShort[[#This Row],[Trans_Tons_All]],"")</f>
        <v/>
      </c>
      <c r="X1233" s="386" t="str">
        <f>TransTonsShort[[#This Row],[Grouping_ID]]&amp;"-"&amp;TransTonsShort[[#This Row],[Sector_ID]]</f>
        <v>3-4</v>
      </c>
      <c r="Y12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3" s="421">
        <f>INDEX(LandfillFees[Disposal Tip Fee 2025],MATCH(TransTonsShort[[#This Row],[Grouping_ID]],LandfillFees[Grouping_ID],0))</f>
        <v>72.030938699729589</v>
      </c>
      <c r="AA1233" s="102">
        <f>IF(OR(TransTonsShort[[#This Row],[CollectionStream_ID]]="03",TransTonsShort[[#This Row],[CollectionStream_ID]]="04",TransTonsShort[[#This Row],[CollectionStream_ID]]="13"),0,TransTonsShort[[#This Row],[Trans_Tons_All]]*TransTonsShort[[#This Row],[Disposal_Fee]])</f>
        <v>0</v>
      </c>
    </row>
    <row r="1234" spans="12:27" ht="15" x14ac:dyDescent="0.25">
      <c r="L1234" s="446" t="s">
        <v>870</v>
      </c>
      <c r="M1234" s="446">
        <v>4</v>
      </c>
      <c r="N1234" s="446">
        <v>4</v>
      </c>
      <c r="O1234" s="448" t="s">
        <v>700</v>
      </c>
      <c r="P1234" s="449" t="s">
        <v>706</v>
      </c>
      <c r="Q1234" s="449"/>
      <c r="R1234" s="449"/>
      <c r="S1234" s="449" t="s">
        <v>872</v>
      </c>
      <c r="T1234" s="449" t="s">
        <v>1025</v>
      </c>
      <c r="U1234" s="452">
        <v>0</v>
      </c>
      <c r="V123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4" s="272" t="str">
        <f>IFERROR(SUMIFS(TransUnitCost[Miles],TransUnitCost[Grouping_ID],TransTonsShort[[#This Row],[Grouping_ID]],TransUnitCost[Transp_ID],TransTonsShort[[#This Row],[Transp_ID]])*TransTonsShort[[#This Row],[Trans_Tons_All]]/TransTonsShort[[#This Row],[Trans_Tons_All]],"")</f>
        <v/>
      </c>
      <c r="X1234" s="386" t="str">
        <f>TransTonsShort[[#This Row],[Grouping_ID]]&amp;"-"&amp;TransTonsShort[[#This Row],[Sector_ID]]</f>
        <v>4-4</v>
      </c>
      <c r="Y12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4" s="421">
        <f>INDEX(LandfillFees[Disposal Tip Fee 2025],MATCH(TransTonsShort[[#This Row],[Grouping_ID]],LandfillFees[Grouping_ID],0))</f>
        <v>72.030938699729589</v>
      </c>
      <c r="AA1234" s="102">
        <f>IF(OR(TransTonsShort[[#This Row],[CollectionStream_ID]]="03",TransTonsShort[[#This Row],[CollectionStream_ID]]="04",TransTonsShort[[#This Row],[CollectionStream_ID]]="13"),0,TransTonsShort[[#This Row],[Trans_Tons_All]]*TransTonsShort[[#This Row],[Disposal_Fee]])</f>
        <v>0</v>
      </c>
    </row>
    <row r="1235" spans="12:27" ht="15" x14ac:dyDescent="0.25">
      <c r="L1235" s="446" t="s">
        <v>870</v>
      </c>
      <c r="M1235" s="446">
        <v>1</v>
      </c>
      <c r="N1235" s="446">
        <v>4</v>
      </c>
      <c r="O1235" s="448" t="s">
        <v>748</v>
      </c>
      <c r="P1235" s="449" t="s">
        <v>719</v>
      </c>
      <c r="Q1235" s="449"/>
      <c r="R1235" s="449"/>
      <c r="S1235" s="449" t="s">
        <v>765</v>
      </c>
      <c r="T1235" s="449" t="s">
        <v>1055</v>
      </c>
      <c r="U1235" s="452">
        <v>0</v>
      </c>
      <c r="V123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5" s="272" t="str">
        <f>IFERROR(SUMIFS(TransUnitCost[Miles],TransUnitCost[Grouping_ID],TransTonsShort[[#This Row],[Grouping_ID]],TransUnitCost[Transp_ID],TransTonsShort[[#This Row],[Transp_ID]])*TransTonsShort[[#This Row],[Trans_Tons_All]]/TransTonsShort[[#This Row],[Trans_Tons_All]],"")</f>
        <v/>
      </c>
      <c r="X1235" s="386" t="str">
        <f>TransTonsShort[[#This Row],[Grouping_ID]]&amp;"-"&amp;TransTonsShort[[#This Row],[Sector_ID]]</f>
        <v>1-4</v>
      </c>
      <c r="Y12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5" s="421">
        <f>INDEX(LandfillFees[Disposal Tip Fee 2025],MATCH(TransTonsShort[[#This Row],[Grouping_ID]],LandfillFees[Grouping_ID],0))</f>
        <v>134.68</v>
      </c>
      <c r="AA1235" s="102">
        <f>IF(OR(TransTonsShort[[#This Row],[CollectionStream_ID]]="03",TransTonsShort[[#This Row],[CollectionStream_ID]]="04",TransTonsShort[[#This Row],[CollectionStream_ID]]="13"),0,TransTonsShort[[#This Row],[Trans_Tons_All]]*TransTonsShort[[#This Row],[Disposal_Fee]])</f>
        <v>0</v>
      </c>
    </row>
    <row r="1236" spans="12:27" ht="15" x14ac:dyDescent="0.25">
      <c r="L1236" s="446" t="s">
        <v>870</v>
      </c>
      <c r="M1236" s="446">
        <v>2</v>
      </c>
      <c r="N1236" s="446">
        <v>4</v>
      </c>
      <c r="O1236" s="448" t="s">
        <v>748</v>
      </c>
      <c r="P1236" s="449" t="s">
        <v>719</v>
      </c>
      <c r="Q1236" s="449"/>
      <c r="R1236" s="449"/>
      <c r="S1236" s="449" t="s">
        <v>765</v>
      </c>
      <c r="T1236" s="449" t="s">
        <v>1055</v>
      </c>
      <c r="U1236" s="452">
        <v>0</v>
      </c>
      <c r="V123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6" s="272" t="str">
        <f>IFERROR(SUMIFS(TransUnitCost[Miles],TransUnitCost[Grouping_ID],TransTonsShort[[#This Row],[Grouping_ID]],TransUnitCost[Transp_ID],TransTonsShort[[#This Row],[Transp_ID]])*TransTonsShort[[#This Row],[Trans_Tons_All]]/TransTonsShort[[#This Row],[Trans_Tons_All]],"")</f>
        <v/>
      </c>
      <c r="X1236" s="386" t="str">
        <f>TransTonsShort[[#This Row],[Grouping_ID]]&amp;"-"&amp;TransTonsShort[[#This Row],[Sector_ID]]</f>
        <v>2-4</v>
      </c>
      <c r="Y12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6" s="421">
        <f>INDEX(LandfillFees[Disposal Tip Fee 2025],MATCH(TransTonsShort[[#This Row],[Grouping_ID]],LandfillFees[Grouping_ID],0))</f>
        <v>72.030938699729589</v>
      </c>
      <c r="AA1236" s="102">
        <f>IF(OR(TransTonsShort[[#This Row],[CollectionStream_ID]]="03",TransTonsShort[[#This Row],[CollectionStream_ID]]="04",TransTonsShort[[#This Row],[CollectionStream_ID]]="13"),0,TransTonsShort[[#This Row],[Trans_Tons_All]]*TransTonsShort[[#This Row],[Disposal_Fee]])</f>
        <v>0</v>
      </c>
    </row>
    <row r="1237" spans="12:27" ht="15" x14ac:dyDescent="0.25">
      <c r="L1237" s="446" t="s">
        <v>870</v>
      </c>
      <c r="M1237" s="446">
        <v>3</v>
      </c>
      <c r="N1237" s="446">
        <v>4</v>
      </c>
      <c r="O1237" s="448" t="s">
        <v>748</v>
      </c>
      <c r="P1237" s="449" t="s">
        <v>719</v>
      </c>
      <c r="Q1237" s="449"/>
      <c r="R1237" s="449"/>
      <c r="S1237" s="449" t="s">
        <v>765</v>
      </c>
      <c r="T1237" s="449" t="s">
        <v>1055</v>
      </c>
      <c r="U1237" s="452">
        <v>0</v>
      </c>
      <c r="V123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7" s="272" t="str">
        <f>IFERROR(SUMIFS(TransUnitCost[Miles],TransUnitCost[Grouping_ID],TransTonsShort[[#This Row],[Grouping_ID]],TransUnitCost[Transp_ID],TransTonsShort[[#This Row],[Transp_ID]])*TransTonsShort[[#This Row],[Trans_Tons_All]]/TransTonsShort[[#This Row],[Trans_Tons_All]],"")</f>
        <v/>
      </c>
      <c r="X1237" s="386" t="str">
        <f>TransTonsShort[[#This Row],[Grouping_ID]]&amp;"-"&amp;TransTonsShort[[#This Row],[Sector_ID]]</f>
        <v>3-4</v>
      </c>
      <c r="Y12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7" s="421">
        <f>INDEX(LandfillFees[Disposal Tip Fee 2025],MATCH(TransTonsShort[[#This Row],[Grouping_ID]],LandfillFees[Grouping_ID],0))</f>
        <v>72.030938699729589</v>
      </c>
      <c r="AA1237" s="102">
        <f>IF(OR(TransTonsShort[[#This Row],[CollectionStream_ID]]="03",TransTonsShort[[#This Row],[CollectionStream_ID]]="04",TransTonsShort[[#This Row],[CollectionStream_ID]]="13"),0,TransTonsShort[[#This Row],[Trans_Tons_All]]*TransTonsShort[[#This Row],[Disposal_Fee]])</f>
        <v>0</v>
      </c>
    </row>
    <row r="1238" spans="12:27" ht="15" x14ac:dyDescent="0.25">
      <c r="L1238" s="446" t="s">
        <v>870</v>
      </c>
      <c r="M1238" s="446">
        <v>4</v>
      </c>
      <c r="N1238" s="446">
        <v>4</v>
      </c>
      <c r="O1238" s="448" t="s">
        <v>748</v>
      </c>
      <c r="P1238" s="449" t="s">
        <v>719</v>
      </c>
      <c r="Q1238" s="449"/>
      <c r="R1238" s="449"/>
      <c r="S1238" s="449" t="s">
        <v>765</v>
      </c>
      <c r="T1238" s="449" t="s">
        <v>1055</v>
      </c>
      <c r="U1238" s="452">
        <v>0</v>
      </c>
      <c r="V123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8" s="272" t="str">
        <f>IFERROR(SUMIFS(TransUnitCost[Miles],TransUnitCost[Grouping_ID],TransTonsShort[[#This Row],[Grouping_ID]],TransUnitCost[Transp_ID],TransTonsShort[[#This Row],[Transp_ID]])*TransTonsShort[[#This Row],[Trans_Tons_All]]/TransTonsShort[[#This Row],[Trans_Tons_All]],"")</f>
        <v/>
      </c>
      <c r="X1238" s="386" t="str">
        <f>TransTonsShort[[#This Row],[Grouping_ID]]&amp;"-"&amp;TransTonsShort[[#This Row],[Sector_ID]]</f>
        <v>4-4</v>
      </c>
      <c r="Y12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8" s="421">
        <f>INDEX(LandfillFees[Disposal Tip Fee 2025],MATCH(TransTonsShort[[#This Row],[Grouping_ID]],LandfillFees[Grouping_ID],0))</f>
        <v>72.030938699729589</v>
      </c>
      <c r="AA1238" s="102">
        <f>IF(OR(TransTonsShort[[#This Row],[CollectionStream_ID]]="03",TransTonsShort[[#This Row],[CollectionStream_ID]]="04",TransTonsShort[[#This Row],[CollectionStream_ID]]="13"),0,TransTonsShort[[#This Row],[Trans_Tons_All]]*TransTonsShort[[#This Row],[Disposal_Fee]])</f>
        <v>0</v>
      </c>
    </row>
    <row r="1239" spans="12:27" ht="15" x14ac:dyDescent="0.25">
      <c r="L1239" s="446" t="s">
        <v>870</v>
      </c>
      <c r="M1239" s="446">
        <v>1</v>
      </c>
      <c r="N1239" s="446">
        <v>4</v>
      </c>
      <c r="O1239" s="448" t="s">
        <v>748</v>
      </c>
      <c r="P1239" s="449" t="s">
        <v>700</v>
      </c>
      <c r="Q1239" s="449"/>
      <c r="R1239" s="449"/>
      <c r="S1239" s="449" t="s">
        <v>765</v>
      </c>
      <c r="T1239" s="449" t="s">
        <v>701</v>
      </c>
      <c r="U1239" s="452">
        <v>708.0956026703675</v>
      </c>
      <c r="V123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39" s="272">
        <f>IFERROR(SUMIFS(TransUnitCost[Miles],TransUnitCost[Grouping_ID],TransTonsShort[[#This Row],[Grouping_ID]],TransUnitCost[Transp_ID],TransTonsShort[[#This Row],[Transp_ID]])*TransTonsShort[[#This Row],[Trans_Tons_All]]/TransTonsShort[[#This Row],[Trans_Tons_All]],"")</f>
        <v>0</v>
      </c>
      <c r="X1239" s="386" t="str">
        <f>TransTonsShort[[#This Row],[Grouping_ID]]&amp;"-"&amp;TransTonsShort[[#This Row],[Sector_ID]]</f>
        <v>1-4</v>
      </c>
      <c r="Y12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39" s="421">
        <f>INDEX(LandfillFees[Disposal Tip Fee 2025],MATCH(TransTonsShort[[#This Row],[Grouping_ID]],LandfillFees[Grouping_ID],0))</f>
        <v>134.68</v>
      </c>
      <c r="AA1239" s="102">
        <f>IF(OR(TransTonsShort[[#This Row],[CollectionStream_ID]]="03",TransTonsShort[[#This Row],[CollectionStream_ID]]="04",TransTonsShort[[#This Row],[CollectionStream_ID]]="13"),0,TransTonsShort[[#This Row],[Trans_Tons_All]]*TransTonsShort[[#This Row],[Disposal_Fee]])</f>
        <v>95366.315767645094</v>
      </c>
    </row>
    <row r="1240" spans="12:27" ht="15" x14ac:dyDescent="0.25">
      <c r="L1240" s="446" t="s">
        <v>870</v>
      </c>
      <c r="M1240" s="446">
        <v>2</v>
      </c>
      <c r="N1240" s="446">
        <v>4</v>
      </c>
      <c r="O1240" s="448" t="s">
        <v>748</v>
      </c>
      <c r="P1240" s="449" t="s">
        <v>700</v>
      </c>
      <c r="Q1240" s="449"/>
      <c r="R1240" s="449"/>
      <c r="S1240" s="449" t="s">
        <v>765</v>
      </c>
      <c r="T1240" s="449" t="s">
        <v>701</v>
      </c>
      <c r="U1240" s="452">
        <v>0</v>
      </c>
      <c r="V124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0" s="272" t="str">
        <f>IFERROR(SUMIFS(TransUnitCost[Miles],TransUnitCost[Grouping_ID],TransTonsShort[[#This Row],[Grouping_ID]],TransUnitCost[Transp_ID],TransTonsShort[[#This Row],[Transp_ID]])*TransTonsShort[[#This Row],[Trans_Tons_All]]/TransTonsShort[[#This Row],[Trans_Tons_All]],"")</f>
        <v/>
      </c>
      <c r="X1240" s="386" t="str">
        <f>TransTonsShort[[#This Row],[Grouping_ID]]&amp;"-"&amp;TransTonsShort[[#This Row],[Sector_ID]]</f>
        <v>2-4</v>
      </c>
      <c r="Y12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0" s="421">
        <f>INDEX(LandfillFees[Disposal Tip Fee 2025],MATCH(TransTonsShort[[#This Row],[Grouping_ID]],LandfillFees[Grouping_ID],0))</f>
        <v>72.030938699729589</v>
      </c>
      <c r="AA1240" s="102">
        <f>IF(OR(TransTonsShort[[#This Row],[CollectionStream_ID]]="03",TransTonsShort[[#This Row],[CollectionStream_ID]]="04",TransTonsShort[[#This Row],[CollectionStream_ID]]="13"),0,TransTonsShort[[#This Row],[Trans_Tons_All]]*TransTonsShort[[#This Row],[Disposal_Fee]])</f>
        <v>0</v>
      </c>
    </row>
    <row r="1241" spans="12:27" ht="15" x14ac:dyDescent="0.25">
      <c r="L1241" s="446" t="s">
        <v>870</v>
      </c>
      <c r="M1241" s="446">
        <v>3</v>
      </c>
      <c r="N1241" s="446">
        <v>4</v>
      </c>
      <c r="O1241" s="448" t="s">
        <v>748</v>
      </c>
      <c r="P1241" s="449" t="s">
        <v>700</v>
      </c>
      <c r="Q1241" s="449"/>
      <c r="R1241" s="449"/>
      <c r="S1241" s="449" t="s">
        <v>765</v>
      </c>
      <c r="T1241" s="449" t="s">
        <v>701</v>
      </c>
      <c r="U1241" s="452">
        <v>0</v>
      </c>
      <c r="V124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1" s="272" t="str">
        <f>IFERROR(SUMIFS(TransUnitCost[Miles],TransUnitCost[Grouping_ID],TransTonsShort[[#This Row],[Grouping_ID]],TransUnitCost[Transp_ID],TransTonsShort[[#This Row],[Transp_ID]])*TransTonsShort[[#This Row],[Trans_Tons_All]]/TransTonsShort[[#This Row],[Trans_Tons_All]],"")</f>
        <v/>
      </c>
      <c r="X1241" s="386" t="str">
        <f>TransTonsShort[[#This Row],[Grouping_ID]]&amp;"-"&amp;TransTonsShort[[#This Row],[Sector_ID]]</f>
        <v>3-4</v>
      </c>
      <c r="Y12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1" s="421">
        <f>INDEX(LandfillFees[Disposal Tip Fee 2025],MATCH(TransTonsShort[[#This Row],[Grouping_ID]],LandfillFees[Grouping_ID],0))</f>
        <v>72.030938699729589</v>
      </c>
      <c r="AA1241" s="102">
        <f>IF(OR(TransTonsShort[[#This Row],[CollectionStream_ID]]="03",TransTonsShort[[#This Row],[CollectionStream_ID]]="04",TransTonsShort[[#This Row],[CollectionStream_ID]]="13"),0,TransTonsShort[[#This Row],[Trans_Tons_All]]*TransTonsShort[[#This Row],[Disposal_Fee]])</f>
        <v>0</v>
      </c>
    </row>
    <row r="1242" spans="12:27" ht="15" x14ac:dyDescent="0.25">
      <c r="L1242" s="446" t="s">
        <v>870</v>
      </c>
      <c r="M1242" s="446">
        <v>4</v>
      </c>
      <c r="N1242" s="446">
        <v>4</v>
      </c>
      <c r="O1242" s="448" t="s">
        <v>748</v>
      </c>
      <c r="P1242" s="449" t="s">
        <v>700</v>
      </c>
      <c r="Q1242" s="449"/>
      <c r="R1242" s="449"/>
      <c r="S1242" s="449" t="s">
        <v>765</v>
      </c>
      <c r="T1242" s="449" t="s">
        <v>701</v>
      </c>
      <c r="U1242" s="452">
        <v>0</v>
      </c>
      <c r="V124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2" s="272" t="str">
        <f>IFERROR(SUMIFS(TransUnitCost[Miles],TransUnitCost[Grouping_ID],TransTonsShort[[#This Row],[Grouping_ID]],TransUnitCost[Transp_ID],TransTonsShort[[#This Row],[Transp_ID]])*TransTonsShort[[#This Row],[Trans_Tons_All]]/TransTonsShort[[#This Row],[Trans_Tons_All]],"")</f>
        <v/>
      </c>
      <c r="X1242" s="386" t="str">
        <f>TransTonsShort[[#This Row],[Grouping_ID]]&amp;"-"&amp;TransTonsShort[[#This Row],[Sector_ID]]</f>
        <v>4-4</v>
      </c>
      <c r="Y12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2" s="421">
        <f>INDEX(LandfillFees[Disposal Tip Fee 2025],MATCH(TransTonsShort[[#This Row],[Grouping_ID]],LandfillFees[Grouping_ID],0))</f>
        <v>72.030938699729589</v>
      </c>
      <c r="AA1242" s="102">
        <f>IF(OR(TransTonsShort[[#This Row],[CollectionStream_ID]]="03",TransTonsShort[[#This Row],[CollectionStream_ID]]="04",TransTonsShort[[#This Row],[CollectionStream_ID]]="13"),0,TransTonsShort[[#This Row],[Trans_Tons_All]]*TransTonsShort[[#This Row],[Disposal_Fee]])</f>
        <v>0</v>
      </c>
    </row>
    <row r="1243" spans="12:27" ht="15" x14ac:dyDescent="0.25">
      <c r="L1243" s="446" t="s">
        <v>870</v>
      </c>
      <c r="M1243" s="446">
        <v>1</v>
      </c>
      <c r="N1243" s="446">
        <v>4</v>
      </c>
      <c r="O1243" s="446" t="s">
        <v>748</v>
      </c>
      <c r="P1243" s="449" t="s">
        <v>748</v>
      </c>
      <c r="Q1243" s="449"/>
      <c r="R1243" s="449"/>
      <c r="S1243" s="449" t="s">
        <v>765</v>
      </c>
      <c r="T1243" s="449" t="s">
        <v>849</v>
      </c>
      <c r="U1243" s="452">
        <v>105.80738890476756</v>
      </c>
      <c r="V124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2729.8306337430031</v>
      </c>
      <c r="W1243" s="272">
        <f>IFERROR(SUMIFS(TransUnitCost[Miles],TransUnitCost[Grouping_ID],TransTonsShort[[#This Row],[Grouping_ID]],TransUnitCost[Transp_ID],TransTonsShort[[#This Row],[Transp_ID]])*TransTonsShort[[#This Row],[Trans_Tons_All]]/TransTonsShort[[#This Row],[Trans_Tons_All]],"")</f>
        <v>20</v>
      </c>
      <c r="X1243" s="386" t="str">
        <f>TransTonsShort[[#This Row],[Grouping_ID]]&amp;"-"&amp;TransTonsShort[[#This Row],[Sector_ID]]</f>
        <v>1-4</v>
      </c>
      <c r="Y12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3" s="421">
        <f>INDEX(LandfillFees[Disposal Tip Fee 2025],MATCH(TransTonsShort[[#This Row],[Grouping_ID]],LandfillFees[Grouping_ID],0))</f>
        <v>134.68</v>
      </c>
      <c r="AA1243" s="102">
        <f>IF(OR(TransTonsShort[[#This Row],[CollectionStream_ID]]="03",TransTonsShort[[#This Row],[CollectionStream_ID]]="04",TransTonsShort[[#This Row],[CollectionStream_ID]]="13"),0,TransTonsShort[[#This Row],[Trans_Tons_All]]*TransTonsShort[[#This Row],[Disposal_Fee]])</f>
        <v>14250.139137694096</v>
      </c>
    </row>
    <row r="1244" spans="12:27" ht="15" x14ac:dyDescent="0.25">
      <c r="L1244" s="446" t="s">
        <v>870</v>
      </c>
      <c r="M1244" s="446">
        <v>2</v>
      </c>
      <c r="N1244" s="446">
        <v>4</v>
      </c>
      <c r="O1244" s="446" t="s">
        <v>748</v>
      </c>
      <c r="P1244" s="449" t="s">
        <v>748</v>
      </c>
      <c r="Q1244" s="449"/>
      <c r="R1244" s="449"/>
      <c r="S1244" s="449" t="s">
        <v>765</v>
      </c>
      <c r="T1244" s="449" t="s">
        <v>849</v>
      </c>
      <c r="U1244" s="452">
        <v>1038.1940309063546</v>
      </c>
      <c r="V124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37063.526903356862</v>
      </c>
      <c r="W1244" s="272">
        <f>IFERROR(SUMIFS(TransUnitCost[Miles],TransUnitCost[Grouping_ID],TransTonsShort[[#This Row],[Grouping_ID]],TransUnitCost[Transp_ID],TransTonsShort[[#This Row],[Transp_ID]])*TransTonsShort[[#This Row],[Trans_Tons_All]]/TransTonsShort[[#This Row],[Trans_Tons_All]],"")</f>
        <v>70</v>
      </c>
      <c r="X1244" s="386" t="str">
        <f>TransTonsShort[[#This Row],[Grouping_ID]]&amp;"-"&amp;TransTonsShort[[#This Row],[Sector_ID]]</f>
        <v>2-4</v>
      </c>
      <c r="Y12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4" s="421">
        <f>INDEX(LandfillFees[Disposal Tip Fee 2025],MATCH(TransTonsShort[[#This Row],[Grouping_ID]],LandfillFees[Grouping_ID],0))</f>
        <v>72.030938699729589</v>
      </c>
      <c r="AA1244" s="102">
        <f>IF(OR(TransTonsShort[[#This Row],[CollectionStream_ID]]="03",TransTonsShort[[#This Row],[CollectionStream_ID]]="04",TransTonsShort[[#This Row],[CollectionStream_ID]]="13"),0,TransTonsShort[[#This Row],[Trans_Tons_All]]*TransTonsShort[[#This Row],[Disposal_Fee]])</f>
        <v>74782.090598640789</v>
      </c>
    </row>
    <row r="1245" spans="12:27" ht="15" x14ac:dyDescent="0.25">
      <c r="L1245" s="446" t="s">
        <v>870</v>
      </c>
      <c r="M1245" s="446">
        <v>3</v>
      </c>
      <c r="N1245" s="446">
        <v>4</v>
      </c>
      <c r="O1245" s="446" t="s">
        <v>748</v>
      </c>
      <c r="P1245" s="449" t="s">
        <v>748</v>
      </c>
      <c r="Q1245" s="449"/>
      <c r="R1245" s="449"/>
      <c r="S1245" s="449" t="s">
        <v>765</v>
      </c>
      <c r="T1245" s="449" t="s">
        <v>849</v>
      </c>
      <c r="U1245" s="452">
        <v>963.80851263533611</v>
      </c>
      <c r="V124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65057.074602885186</v>
      </c>
      <c r="W1245" s="272">
        <f>IFERROR(SUMIFS(TransUnitCost[Miles],TransUnitCost[Grouping_ID],TransTonsShort[[#This Row],[Grouping_ID]],TransUnitCost[Transp_ID],TransTonsShort[[#This Row],[Transp_ID]])*TransTonsShort[[#This Row],[Trans_Tons_All]]/TransTonsShort[[#This Row],[Trans_Tons_All]],"")</f>
        <v>150</v>
      </c>
      <c r="X1245" s="386" t="str">
        <f>TransTonsShort[[#This Row],[Grouping_ID]]&amp;"-"&amp;TransTonsShort[[#This Row],[Sector_ID]]</f>
        <v>3-4</v>
      </c>
      <c r="Y12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5" s="421">
        <f>INDEX(LandfillFees[Disposal Tip Fee 2025],MATCH(TransTonsShort[[#This Row],[Grouping_ID]],LandfillFees[Grouping_ID],0))</f>
        <v>72.030938699729589</v>
      </c>
      <c r="AA1245" s="102">
        <f>IF(OR(TransTonsShort[[#This Row],[CollectionStream_ID]]="03",TransTonsShort[[#This Row],[CollectionStream_ID]]="04",TransTonsShort[[#This Row],[CollectionStream_ID]]="13"),0,TransTonsShort[[#This Row],[Trans_Tons_All]]*TransTonsShort[[#This Row],[Disposal_Fee]])</f>
        <v>69424.031891913444</v>
      </c>
    </row>
    <row r="1246" spans="12:27" ht="15" x14ac:dyDescent="0.25">
      <c r="L1246" s="446" t="s">
        <v>870</v>
      </c>
      <c r="M1246" s="446">
        <v>4</v>
      </c>
      <c r="N1246" s="446">
        <v>4</v>
      </c>
      <c r="O1246" s="446" t="s">
        <v>748</v>
      </c>
      <c r="P1246" s="449" t="s">
        <v>748</v>
      </c>
      <c r="Q1246" s="449"/>
      <c r="R1246" s="449"/>
      <c r="S1246" s="449" t="s">
        <v>765</v>
      </c>
      <c r="T1246" s="449" t="s">
        <v>849</v>
      </c>
      <c r="U1246" s="452">
        <v>0</v>
      </c>
      <c r="V124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6" s="272" t="str">
        <f>IFERROR(SUMIFS(TransUnitCost[Miles],TransUnitCost[Grouping_ID],TransTonsShort[[#This Row],[Grouping_ID]],TransUnitCost[Transp_ID],TransTonsShort[[#This Row],[Transp_ID]])*TransTonsShort[[#This Row],[Trans_Tons_All]]/TransTonsShort[[#This Row],[Trans_Tons_All]],"")</f>
        <v/>
      </c>
      <c r="X1246" s="386" t="str">
        <f>TransTonsShort[[#This Row],[Grouping_ID]]&amp;"-"&amp;TransTonsShort[[#This Row],[Sector_ID]]</f>
        <v>4-4</v>
      </c>
      <c r="Y12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6" s="421">
        <f>INDEX(LandfillFees[Disposal Tip Fee 2025],MATCH(TransTonsShort[[#This Row],[Grouping_ID]],LandfillFees[Grouping_ID],0))</f>
        <v>72.030938699729589</v>
      </c>
      <c r="AA1246" s="102">
        <f>IF(OR(TransTonsShort[[#This Row],[CollectionStream_ID]]="03",TransTonsShort[[#This Row],[CollectionStream_ID]]="04",TransTonsShort[[#This Row],[CollectionStream_ID]]="13"),0,TransTonsShort[[#This Row],[Trans_Tons_All]]*TransTonsShort[[#This Row],[Disposal_Fee]])</f>
        <v>0</v>
      </c>
    </row>
    <row r="1247" spans="12:27" ht="15" x14ac:dyDescent="0.25">
      <c r="L1247" s="446" t="s">
        <v>870</v>
      </c>
      <c r="M1247" s="446">
        <v>1</v>
      </c>
      <c r="N1247" s="446">
        <v>4</v>
      </c>
      <c r="O1247" s="446" t="s">
        <v>746</v>
      </c>
      <c r="P1247" s="449" t="s">
        <v>719</v>
      </c>
      <c r="Q1247" s="449"/>
      <c r="R1247" s="449"/>
      <c r="S1247" s="449" t="s">
        <v>762</v>
      </c>
      <c r="T1247" s="449" t="s">
        <v>1055</v>
      </c>
      <c r="U1247" s="452">
        <v>0</v>
      </c>
      <c r="V124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7" s="272" t="str">
        <f>IFERROR(SUMIFS(TransUnitCost[Miles],TransUnitCost[Grouping_ID],TransTonsShort[[#This Row],[Grouping_ID]],TransUnitCost[Transp_ID],TransTonsShort[[#This Row],[Transp_ID]])*TransTonsShort[[#This Row],[Trans_Tons_All]]/TransTonsShort[[#This Row],[Trans_Tons_All]],"")</f>
        <v/>
      </c>
      <c r="X1247" s="386" t="str">
        <f>TransTonsShort[[#This Row],[Grouping_ID]]&amp;"-"&amp;TransTonsShort[[#This Row],[Sector_ID]]</f>
        <v>1-4</v>
      </c>
      <c r="Y12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7" s="421">
        <f>INDEX(LandfillFees[Disposal Tip Fee 2025],MATCH(TransTonsShort[[#This Row],[Grouping_ID]],LandfillFees[Grouping_ID],0))</f>
        <v>134.68</v>
      </c>
      <c r="AA1247" s="102">
        <f>IF(OR(TransTonsShort[[#This Row],[CollectionStream_ID]]="03",TransTonsShort[[#This Row],[CollectionStream_ID]]="04",TransTonsShort[[#This Row],[CollectionStream_ID]]="13"),0,TransTonsShort[[#This Row],[Trans_Tons_All]]*TransTonsShort[[#This Row],[Disposal_Fee]])</f>
        <v>0</v>
      </c>
    </row>
    <row r="1248" spans="12:27" ht="15" x14ac:dyDescent="0.25">
      <c r="L1248" s="446" t="s">
        <v>870</v>
      </c>
      <c r="M1248" s="446">
        <v>2</v>
      </c>
      <c r="N1248" s="446">
        <v>4</v>
      </c>
      <c r="O1248" s="446" t="s">
        <v>746</v>
      </c>
      <c r="P1248" s="449" t="s">
        <v>719</v>
      </c>
      <c r="Q1248" s="449"/>
      <c r="R1248" s="449"/>
      <c r="S1248" s="449" t="s">
        <v>762</v>
      </c>
      <c r="T1248" s="449" t="s">
        <v>1055</v>
      </c>
      <c r="U1248" s="452">
        <v>0</v>
      </c>
      <c r="V124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8" s="272" t="str">
        <f>IFERROR(SUMIFS(TransUnitCost[Miles],TransUnitCost[Grouping_ID],TransTonsShort[[#This Row],[Grouping_ID]],TransUnitCost[Transp_ID],TransTonsShort[[#This Row],[Transp_ID]])*TransTonsShort[[#This Row],[Trans_Tons_All]]/TransTonsShort[[#This Row],[Trans_Tons_All]],"")</f>
        <v/>
      </c>
      <c r="X1248" s="386" t="str">
        <f>TransTonsShort[[#This Row],[Grouping_ID]]&amp;"-"&amp;TransTonsShort[[#This Row],[Sector_ID]]</f>
        <v>2-4</v>
      </c>
      <c r="Y12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8" s="421">
        <f>INDEX(LandfillFees[Disposal Tip Fee 2025],MATCH(TransTonsShort[[#This Row],[Grouping_ID]],LandfillFees[Grouping_ID],0))</f>
        <v>72.030938699729589</v>
      </c>
      <c r="AA1248" s="102">
        <f>IF(OR(TransTonsShort[[#This Row],[CollectionStream_ID]]="03",TransTonsShort[[#This Row],[CollectionStream_ID]]="04",TransTonsShort[[#This Row],[CollectionStream_ID]]="13"),0,TransTonsShort[[#This Row],[Trans_Tons_All]]*TransTonsShort[[#This Row],[Disposal_Fee]])</f>
        <v>0</v>
      </c>
    </row>
    <row r="1249" spans="12:27" ht="15" x14ac:dyDescent="0.25">
      <c r="L1249" s="446" t="s">
        <v>870</v>
      </c>
      <c r="M1249" s="446">
        <v>3</v>
      </c>
      <c r="N1249" s="446">
        <v>4</v>
      </c>
      <c r="O1249" s="446" t="s">
        <v>746</v>
      </c>
      <c r="P1249" s="449" t="s">
        <v>719</v>
      </c>
      <c r="Q1249" s="449"/>
      <c r="R1249" s="449"/>
      <c r="S1249" s="449" t="s">
        <v>762</v>
      </c>
      <c r="T1249" s="449" t="s">
        <v>1055</v>
      </c>
      <c r="U1249" s="452">
        <v>0</v>
      </c>
      <c r="V124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49" s="272" t="str">
        <f>IFERROR(SUMIFS(TransUnitCost[Miles],TransUnitCost[Grouping_ID],TransTonsShort[[#This Row],[Grouping_ID]],TransUnitCost[Transp_ID],TransTonsShort[[#This Row],[Transp_ID]])*TransTonsShort[[#This Row],[Trans_Tons_All]]/TransTonsShort[[#This Row],[Trans_Tons_All]],"")</f>
        <v/>
      </c>
      <c r="X1249" s="386" t="str">
        <f>TransTonsShort[[#This Row],[Grouping_ID]]&amp;"-"&amp;TransTonsShort[[#This Row],[Sector_ID]]</f>
        <v>3-4</v>
      </c>
      <c r="Y12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49" s="421">
        <f>INDEX(LandfillFees[Disposal Tip Fee 2025],MATCH(TransTonsShort[[#This Row],[Grouping_ID]],LandfillFees[Grouping_ID],0))</f>
        <v>72.030938699729589</v>
      </c>
      <c r="AA1249" s="102">
        <f>IF(OR(TransTonsShort[[#This Row],[CollectionStream_ID]]="03",TransTonsShort[[#This Row],[CollectionStream_ID]]="04",TransTonsShort[[#This Row],[CollectionStream_ID]]="13"),0,TransTonsShort[[#This Row],[Trans_Tons_All]]*TransTonsShort[[#This Row],[Disposal_Fee]])</f>
        <v>0</v>
      </c>
    </row>
    <row r="1250" spans="12:27" ht="15" x14ac:dyDescent="0.25">
      <c r="L1250" s="446" t="s">
        <v>870</v>
      </c>
      <c r="M1250" s="446">
        <v>4</v>
      </c>
      <c r="N1250" s="446">
        <v>4</v>
      </c>
      <c r="O1250" s="446" t="s">
        <v>746</v>
      </c>
      <c r="P1250" s="449" t="s">
        <v>719</v>
      </c>
      <c r="Q1250" s="449"/>
      <c r="R1250" s="449"/>
      <c r="S1250" s="449" t="s">
        <v>762</v>
      </c>
      <c r="T1250" s="449" t="s">
        <v>1055</v>
      </c>
      <c r="U1250" s="452">
        <v>0</v>
      </c>
      <c r="V125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0" s="272" t="str">
        <f>IFERROR(SUMIFS(TransUnitCost[Miles],TransUnitCost[Grouping_ID],TransTonsShort[[#This Row],[Grouping_ID]],TransUnitCost[Transp_ID],TransTonsShort[[#This Row],[Transp_ID]])*TransTonsShort[[#This Row],[Trans_Tons_All]]/TransTonsShort[[#This Row],[Trans_Tons_All]],"")</f>
        <v/>
      </c>
      <c r="X1250" s="386" t="str">
        <f>TransTonsShort[[#This Row],[Grouping_ID]]&amp;"-"&amp;TransTonsShort[[#This Row],[Sector_ID]]</f>
        <v>4-4</v>
      </c>
      <c r="Y12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0" s="421">
        <f>INDEX(LandfillFees[Disposal Tip Fee 2025],MATCH(TransTonsShort[[#This Row],[Grouping_ID]],LandfillFees[Grouping_ID],0))</f>
        <v>72.030938699729589</v>
      </c>
      <c r="AA1250" s="102">
        <f>IF(OR(TransTonsShort[[#This Row],[CollectionStream_ID]]="03",TransTonsShort[[#This Row],[CollectionStream_ID]]="04",TransTonsShort[[#This Row],[CollectionStream_ID]]="13"),0,TransTonsShort[[#This Row],[Trans_Tons_All]]*TransTonsShort[[#This Row],[Disposal_Fee]])</f>
        <v>0</v>
      </c>
    </row>
    <row r="1251" spans="12:27" ht="15" x14ac:dyDescent="0.25">
      <c r="L1251" s="446" t="s">
        <v>870</v>
      </c>
      <c r="M1251" s="446">
        <v>1</v>
      </c>
      <c r="N1251" s="446">
        <v>4</v>
      </c>
      <c r="O1251" s="446" t="s">
        <v>746</v>
      </c>
      <c r="P1251" s="449" t="s">
        <v>700</v>
      </c>
      <c r="Q1251" s="449"/>
      <c r="R1251" s="449"/>
      <c r="S1251" s="449" t="s">
        <v>762</v>
      </c>
      <c r="T1251" s="449" t="s">
        <v>701</v>
      </c>
      <c r="U1251" s="452">
        <v>192.88365178719988</v>
      </c>
      <c r="V125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1" s="272">
        <f>IFERROR(SUMIFS(TransUnitCost[Miles],TransUnitCost[Grouping_ID],TransTonsShort[[#This Row],[Grouping_ID]],TransUnitCost[Transp_ID],TransTonsShort[[#This Row],[Transp_ID]])*TransTonsShort[[#This Row],[Trans_Tons_All]]/TransTonsShort[[#This Row],[Trans_Tons_All]],"")</f>
        <v>0</v>
      </c>
      <c r="X1251" s="386" t="str">
        <f>TransTonsShort[[#This Row],[Grouping_ID]]&amp;"-"&amp;TransTonsShort[[#This Row],[Sector_ID]]</f>
        <v>1-4</v>
      </c>
      <c r="Y12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1" s="421">
        <f>INDEX(LandfillFees[Disposal Tip Fee 2025],MATCH(TransTonsShort[[#This Row],[Grouping_ID]],LandfillFees[Grouping_ID],0))</f>
        <v>134.68</v>
      </c>
      <c r="AA1251" s="102">
        <f>IF(OR(TransTonsShort[[#This Row],[CollectionStream_ID]]="03",TransTonsShort[[#This Row],[CollectionStream_ID]]="04",TransTonsShort[[#This Row],[CollectionStream_ID]]="13"),0,TransTonsShort[[#This Row],[Trans_Tons_All]]*TransTonsShort[[#This Row],[Disposal_Fee]])</f>
        <v>25977.57022270008</v>
      </c>
    </row>
    <row r="1252" spans="12:27" ht="15" x14ac:dyDescent="0.25">
      <c r="L1252" s="446" t="s">
        <v>870</v>
      </c>
      <c r="M1252" s="446">
        <v>2</v>
      </c>
      <c r="N1252" s="446">
        <v>4</v>
      </c>
      <c r="O1252" s="446" t="s">
        <v>746</v>
      </c>
      <c r="P1252" s="449" t="s">
        <v>700</v>
      </c>
      <c r="Q1252" s="449"/>
      <c r="R1252" s="449"/>
      <c r="S1252" s="449" t="s">
        <v>762</v>
      </c>
      <c r="T1252" s="449" t="s">
        <v>701</v>
      </c>
      <c r="U1252" s="452">
        <v>1829.7352710686939</v>
      </c>
      <c r="V125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2" s="272">
        <f>IFERROR(SUMIFS(TransUnitCost[Miles],TransUnitCost[Grouping_ID],TransTonsShort[[#This Row],[Grouping_ID]],TransUnitCost[Transp_ID],TransTonsShort[[#This Row],[Transp_ID]])*TransTonsShort[[#This Row],[Trans_Tons_All]]/TransTonsShort[[#This Row],[Trans_Tons_All]],"")</f>
        <v>0</v>
      </c>
      <c r="X1252" s="386" t="str">
        <f>TransTonsShort[[#This Row],[Grouping_ID]]&amp;"-"&amp;TransTonsShort[[#This Row],[Sector_ID]]</f>
        <v>2-4</v>
      </c>
      <c r="Y12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2" s="421">
        <f>INDEX(LandfillFees[Disposal Tip Fee 2025],MATCH(TransTonsShort[[#This Row],[Grouping_ID]],LandfillFees[Grouping_ID],0))</f>
        <v>72.030938699729589</v>
      </c>
      <c r="AA1252" s="102">
        <f>IF(OR(TransTonsShort[[#This Row],[CollectionStream_ID]]="03",TransTonsShort[[#This Row],[CollectionStream_ID]]="04",TransTonsShort[[#This Row],[CollectionStream_ID]]="13"),0,TransTonsShort[[#This Row],[Trans_Tons_All]]*TransTonsShort[[#This Row],[Disposal_Fee]])</f>
        <v>131797.5491470822</v>
      </c>
    </row>
    <row r="1253" spans="12:27" ht="15" x14ac:dyDescent="0.25">
      <c r="L1253" s="446" t="s">
        <v>870</v>
      </c>
      <c r="M1253" s="446">
        <v>3</v>
      </c>
      <c r="N1253" s="446">
        <v>4</v>
      </c>
      <c r="O1253" s="446" t="s">
        <v>746</v>
      </c>
      <c r="P1253" s="449" t="s">
        <v>700</v>
      </c>
      <c r="Q1253" s="449"/>
      <c r="R1253" s="449"/>
      <c r="S1253" s="449" t="s">
        <v>762</v>
      </c>
      <c r="T1253" s="449" t="s">
        <v>701</v>
      </c>
      <c r="U1253" s="452">
        <v>0</v>
      </c>
      <c r="V125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3" s="272" t="str">
        <f>IFERROR(SUMIFS(TransUnitCost[Miles],TransUnitCost[Grouping_ID],TransTonsShort[[#This Row],[Grouping_ID]],TransUnitCost[Transp_ID],TransTonsShort[[#This Row],[Transp_ID]])*TransTonsShort[[#This Row],[Trans_Tons_All]]/TransTonsShort[[#This Row],[Trans_Tons_All]],"")</f>
        <v/>
      </c>
      <c r="X1253" s="386" t="str">
        <f>TransTonsShort[[#This Row],[Grouping_ID]]&amp;"-"&amp;TransTonsShort[[#This Row],[Sector_ID]]</f>
        <v>3-4</v>
      </c>
      <c r="Y12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3" s="421">
        <f>INDEX(LandfillFees[Disposal Tip Fee 2025],MATCH(TransTonsShort[[#This Row],[Grouping_ID]],LandfillFees[Grouping_ID],0))</f>
        <v>72.030938699729589</v>
      </c>
      <c r="AA1253" s="102">
        <f>IF(OR(TransTonsShort[[#This Row],[CollectionStream_ID]]="03",TransTonsShort[[#This Row],[CollectionStream_ID]]="04",TransTonsShort[[#This Row],[CollectionStream_ID]]="13"),0,TransTonsShort[[#This Row],[Trans_Tons_All]]*TransTonsShort[[#This Row],[Disposal_Fee]])</f>
        <v>0</v>
      </c>
    </row>
    <row r="1254" spans="12:27" ht="15" x14ac:dyDescent="0.25">
      <c r="L1254" s="446" t="s">
        <v>870</v>
      </c>
      <c r="M1254" s="446">
        <v>4</v>
      </c>
      <c r="N1254" s="446">
        <v>4</v>
      </c>
      <c r="O1254" s="446" t="s">
        <v>746</v>
      </c>
      <c r="P1254" s="449" t="s">
        <v>700</v>
      </c>
      <c r="Q1254" s="449"/>
      <c r="R1254" s="449"/>
      <c r="S1254" s="449" t="s">
        <v>762</v>
      </c>
      <c r="T1254" s="449" t="s">
        <v>701</v>
      </c>
      <c r="U1254" s="452">
        <v>0</v>
      </c>
      <c r="V125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4" s="272" t="str">
        <f>IFERROR(SUMIFS(TransUnitCost[Miles],TransUnitCost[Grouping_ID],TransTonsShort[[#This Row],[Grouping_ID]],TransUnitCost[Transp_ID],TransTonsShort[[#This Row],[Transp_ID]])*TransTonsShort[[#This Row],[Trans_Tons_All]]/TransTonsShort[[#This Row],[Trans_Tons_All]],"")</f>
        <v/>
      </c>
      <c r="X1254" s="386" t="str">
        <f>TransTonsShort[[#This Row],[Grouping_ID]]&amp;"-"&amp;TransTonsShort[[#This Row],[Sector_ID]]</f>
        <v>4-4</v>
      </c>
      <c r="Y12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4" s="421">
        <f>INDEX(LandfillFees[Disposal Tip Fee 2025],MATCH(TransTonsShort[[#This Row],[Grouping_ID]],LandfillFees[Grouping_ID],0))</f>
        <v>72.030938699729589</v>
      </c>
      <c r="AA1254" s="102">
        <f>IF(OR(TransTonsShort[[#This Row],[CollectionStream_ID]]="03",TransTonsShort[[#This Row],[CollectionStream_ID]]="04",TransTonsShort[[#This Row],[CollectionStream_ID]]="13"),0,TransTonsShort[[#This Row],[Trans_Tons_All]]*TransTonsShort[[#This Row],[Disposal_Fee]])</f>
        <v>0</v>
      </c>
    </row>
    <row r="1255" spans="12:27" ht="15" x14ac:dyDescent="0.25">
      <c r="L1255" s="446" t="s">
        <v>870</v>
      </c>
      <c r="M1255" s="446">
        <v>1</v>
      </c>
      <c r="N1255" s="446">
        <v>4</v>
      </c>
      <c r="O1255" s="446" t="s">
        <v>746</v>
      </c>
      <c r="P1255" s="449" t="s">
        <v>746</v>
      </c>
      <c r="Q1255" s="449"/>
      <c r="R1255" s="449"/>
      <c r="S1255" s="449" t="s">
        <v>762</v>
      </c>
      <c r="T1255" s="449" t="s">
        <v>848</v>
      </c>
      <c r="U1255" s="452">
        <v>28.821695094639061</v>
      </c>
      <c r="V125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472.67579955208055</v>
      </c>
      <c r="W1255" s="272">
        <f>IFERROR(SUMIFS(TransUnitCost[Miles],TransUnitCost[Grouping_ID],TransTonsShort[[#This Row],[Grouping_ID]],TransUnitCost[Transp_ID],TransTonsShort[[#This Row],[Transp_ID]])*TransTonsShort[[#This Row],[Trans_Tons_All]]/TransTonsShort[[#This Row],[Trans_Tons_All]],"")</f>
        <v>20</v>
      </c>
      <c r="X1255" s="386" t="str">
        <f>TransTonsShort[[#This Row],[Grouping_ID]]&amp;"-"&amp;TransTonsShort[[#This Row],[Sector_ID]]</f>
        <v>1-4</v>
      </c>
      <c r="Y12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5" s="421">
        <f>INDEX(LandfillFees[Disposal Tip Fee 2025],MATCH(TransTonsShort[[#This Row],[Grouping_ID]],LandfillFees[Grouping_ID],0))</f>
        <v>134.68</v>
      </c>
      <c r="AA1255" s="102">
        <f>IF(OR(TransTonsShort[[#This Row],[CollectionStream_ID]]="03",TransTonsShort[[#This Row],[CollectionStream_ID]]="04",TransTonsShort[[#This Row],[CollectionStream_ID]]="13"),0,TransTonsShort[[#This Row],[Trans_Tons_All]]*TransTonsShort[[#This Row],[Disposal_Fee]])</f>
        <v>3881.7058953459891</v>
      </c>
    </row>
    <row r="1256" spans="12:27" ht="15" x14ac:dyDescent="0.25">
      <c r="L1256" s="446" t="s">
        <v>870</v>
      </c>
      <c r="M1256" s="446">
        <v>2</v>
      </c>
      <c r="N1256" s="446">
        <v>4</v>
      </c>
      <c r="O1256" s="446" t="s">
        <v>746</v>
      </c>
      <c r="P1256" s="449" t="s">
        <v>746</v>
      </c>
      <c r="Q1256" s="449"/>
      <c r="R1256" s="449"/>
      <c r="S1256" s="449" t="s">
        <v>762</v>
      </c>
      <c r="T1256" s="449" t="s">
        <v>848</v>
      </c>
      <c r="U1256" s="452">
        <v>1829.7352710686939</v>
      </c>
      <c r="V125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40986.070071938746</v>
      </c>
      <c r="W1256" s="272">
        <f>IFERROR(SUMIFS(TransUnitCost[Miles],TransUnitCost[Grouping_ID],TransTonsShort[[#This Row],[Grouping_ID]],TransUnitCost[Transp_ID],TransTonsShort[[#This Row],[Transp_ID]])*TransTonsShort[[#This Row],[Trans_Tons_All]]/TransTonsShort[[#This Row],[Trans_Tons_All]],"")</f>
        <v>70</v>
      </c>
      <c r="X1256" s="386" t="str">
        <f>TransTonsShort[[#This Row],[Grouping_ID]]&amp;"-"&amp;TransTonsShort[[#This Row],[Sector_ID]]</f>
        <v>2-4</v>
      </c>
      <c r="Y12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6" s="421">
        <f>INDEX(LandfillFees[Disposal Tip Fee 2025],MATCH(TransTonsShort[[#This Row],[Grouping_ID]],LandfillFees[Grouping_ID],0))</f>
        <v>72.030938699729589</v>
      </c>
      <c r="AA1256" s="102">
        <f>IF(OR(TransTonsShort[[#This Row],[CollectionStream_ID]]="03",TransTonsShort[[#This Row],[CollectionStream_ID]]="04",TransTonsShort[[#This Row],[CollectionStream_ID]]="13"),0,TransTonsShort[[#This Row],[Trans_Tons_All]]*TransTonsShort[[#This Row],[Disposal_Fee]])</f>
        <v>131797.5491470822</v>
      </c>
    </row>
    <row r="1257" spans="12:27" ht="15" x14ac:dyDescent="0.25">
      <c r="L1257" s="446" t="s">
        <v>870</v>
      </c>
      <c r="M1257" s="446">
        <v>3</v>
      </c>
      <c r="N1257" s="446">
        <v>4</v>
      </c>
      <c r="O1257" s="446" t="s">
        <v>746</v>
      </c>
      <c r="P1257" s="449" t="s">
        <v>746</v>
      </c>
      <c r="Q1257" s="449"/>
      <c r="R1257" s="449"/>
      <c r="S1257" s="449" t="s">
        <v>762</v>
      </c>
      <c r="T1257" s="449" t="s">
        <v>848</v>
      </c>
      <c r="U1257" s="452">
        <v>1932.0722167819058</v>
      </c>
      <c r="V125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84045.141430012896</v>
      </c>
      <c r="W1257" s="272">
        <f>IFERROR(SUMIFS(TransUnitCost[Miles],TransUnitCost[Grouping_ID],TransTonsShort[[#This Row],[Grouping_ID]],TransUnitCost[Transp_ID],TransTonsShort[[#This Row],[Transp_ID]])*TransTonsShort[[#This Row],[Trans_Tons_All]]/TransTonsShort[[#This Row],[Trans_Tons_All]],"")</f>
        <v>150</v>
      </c>
      <c r="X1257" s="386" t="str">
        <f>TransTonsShort[[#This Row],[Grouping_ID]]&amp;"-"&amp;TransTonsShort[[#This Row],[Sector_ID]]</f>
        <v>3-4</v>
      </c>
      <c r="Y12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7" s="421">
        <f>INDEX(LandfillFees[Disposal Tip Fee 2025],MATCH(TransTonsShort[[#This Row],[Grouping_ID]],LandfillFees[Grouping_ID],0))</f>
        <v>72.030938699729589</v>
      </c>
      <c r="AA1257" s="102">
        <f>IF(OR(TransTonsShort[[#This Row],[CollectionStream_ID]]="03",TransTonsShort[[#This Row],[CollectionStream_ID]]="04",TransTonsShort[[#This Row],[CollectionStream_ID]]="13"),0,TransTonsShort[[#This Row],[Trans_Tons_All]]*TransTonsShort[[#This Row],[Disposal_Fee]])</f>
        <v>139168.97541046812</v>
      </c>
    </row>
    <row r="1258" spans="12:27" ht="15" x14ac:dyDescent="0.25">
      <c r="L1258" s="446" t="s">
        <v>870</v>
      </c>
      <c r="M1258" s="446">
        <v>4</v>
      </c>
      <c r="N1258" s="446">
        <v>4</v>
      </c>
      <c r="O1258" s="446" t="s">
        <v>746</v>
      </c>
      <c r="P1258" s="449" t="s">
        <v>746</v>
      </c>
      <c r="Q1258" s="449"/>
      <c r="R1258" s="449"/>
      <c r="S1258" s="449" t="s">
        <v>762</v>
      </c>
      <c r="T1258" s="449" t="s">
        <v>848</v>
      </c>
      <c r="U1258" s="452">
        <v>0</v>
      </c>
      <c r="V125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8" s="272" t="str">
        <f>IFERROR(SUMIFS(TransUnitCost[Miles],TransUnitCost[Grouping_ID],TransTonsShort[[#This Row],[Grouping_ID]],TransUnitCost[Transp_ID],TransTonsShort[[#This Row],[Transp_ID]])*TransTonsShort[[#This Row],[Trans_Tons_All]]/TransTonsShort[[#This Row],[Trans_Tons_All]],"")</f>
        <v/>
      </c>
      <c r="X1258" s="386" t="str">
        <f>TransTonsShort[[#This Row],[Grouping_ID]]&amp;"-"&amp;TransTonsShort[[#This Row],[Sector_ID]]</f>
        <v>4-4</v>
      </c>
      <c r="Y12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Mixed</v>
      </c>
      <c r="Z1258" s="421">
        <f>INDEX(LandfillFees[Disposal Tip Fee 2025],MATCH(TransTonsShort[[#This Row],[Grouping_ID]],LandfillFees[Grouping_ID],0))</f>
        <v>72.030938699729589</v>
      </c>
      <c r="AA1258" s="102">
        <f>IF(OR(TransTonsShort[[#This Row],[CollectionStream_ID]]="03",TransTonsShort[[#This Row],[CollectionStream_ID]]="04",TransTonsShort[[#This Row],[CollectionStream_ID]]="13"),0,TransTonsShort[[#This Row],[Trans_Tons_All]]*TransTonsShort[[#This Row],[Disposal_Fee]])</f>
        <v>0</v>
      </c>
    </row>
    <row r="1259" spans="12:27" ht="15" x14ac:dyDescent="0.25">
      <c r="L1259" s="446" t="s">
        <v>870</v>
      </c>
      <c r="M1259" s="446">
        <v>1</v>
      </c>
      <c r="N1259" s="446">
        <v>4</v>
      </c>
      <c r="O1259" s="446" t="s">
        <v>706</v>
      </c>
      <c r="P1259" s="449" t="s">
        <v>739</v>
      </c>
      <c r="Q1259" s="449"/>
      <c r="R1259" s="449"/>
      <c r="S1259" s="449" t="s">
        <v>707</v>
      </c>
      <c r="T1259" s="449" t="s">
        <v>1121</v>
      </c>
      <c r="U1259" s="452">
        <v>0</v>
      </c>
      <c r="V125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59" s="272" t="str">
        <f>IFERROR(SUMIFS(TransUnitCost[Miles],TransUnitCost[Grouping_ID],TransTonsShort[[#This Row],[Grouping_ID]],TransUnitCost[Transp_ID],TransTonsShort[[#This Row],[Transp_ID]])*TransTonsShort[[#This Row],[Trans_Tons_All]]/TransTonsShort[[#This Row],[Trans_Tons_All]],"")</f>
        <v/>
      </c>
      <c r="X1259" s="386" t="str">
        <f>TransTonsShort[[#This Row],[Grouping_ID]]&amp;"-"&amp;TransTonsShort[[#This Row],[Sector_ID]]</f>
        <v>1-4</v>
      </c>
      <c r="Y12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59" s="421">
        <f>INDEX(LandfillFees[Disposal Tip Fee 2025],MATCH(TransTonsShort[[#This Row],[Grouping_ID]],LandfillFees[Grouping_ID],0))</f>
        <v>134.68</v>
      </c>
      <c r="AA1259" s="102">
        <f>IF(OR(TransTonsShort[[#This Row],[CollectionStream_ID]]="03",TransTonsShort[[#This Row],[CollectionStream_ID]]="04",TransTonsShort[[#This Row],[CollectionStream_ID]]="13"),0,TransTonsShort[[#This Row],[Trans_Tons_All]]*TransTonsShort[[#This Row],[Disposal_Fee]])</f>
        <v>0</v>
      </c>
    </row>
    <row r="1260" spans="12:27" ht="15" x14ac:dyDescent="0.25">
      <c r="L1260" s="446" t="s">
        <v>870</v>
      </c>
      <c r="M1260" s="446">
        <v>2</v>
      </c>
      <c r="N1260" s="446">
        <v>4</v>
      </c>
      <c r="O1260" s="446" t="s">
        <v>706</v>
      </c>
      <c r="P1260" s="449" t="s">
        <v>739</v>
      </c>
      <c r="Q1260" s="449"/>
      <c r="R1260" s="449"/>
      <c r="S1260" s="449" t="s">
        <v>707</v>
      </c>
      <c r="T1260" s="449" t="s">
        <v>1121</v>
      </c>
      <c r="U1260" s="452">
        <v>3686.5693753982687</v>
      </c>
      <c r="V126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152255.3152039485</v>
      </c>
      <c r="W1260" s="272">
        <f>IFERROR(SUMIFS(TransUnitCost[Miles],TransUnitCost[Grouping_ID],TransTonsShort[[#This Row],[Grouping_ID]],TransUnitCost[Transp_ID],TransTonsShort[[#This Row],[Transp_ID]])*TransTonsShort[[#This Row],[Trans_Tons_All]]/TransTonsShort[[#This Row],[Trans_Tons_All]],"")</f>
        <v>70</v>
      </c>
      <c r="X1260" s="386" t="str">
        <f>TransTonsShort[[#This Row],[Grouping_ID]]&amp;"-"&amp;TransTonsShort[[#This Row],[Sector_ID]]</f>
        <v>2-4</v>
      </c>
      <c r="Y12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0" s="421">
        <f>INDEX(LandfillFees[Disposal Tip Fee 2025],MATCH(TransTonsShort[[#This Row],[Grouping_ID]],LandfillFees[Grouping_ID],0))</f>
        <v>72.030938699729589</v>
      </c>
      <c r="AA1260" s="102">
        <f>IF(OR(TransTonsShort[[#This Row],[CollectionStream_ID]]="03",TransTonsShort[[#This Row],[CollectionStream_ID]]="04",TransTonsShort[[#This Row],[CollectionStream_ID]]="13"),0,TransTonsShort[[#This Row],[Trans_Tons_All]]*TransTonsShort[[#This Row],[Disposal_Fee]])</f>
        <v>265547.05269161309</v>
      </c>
    </row>
    <row r="1261" spans="12:27" ht="15" x14ac:dyDescent="0.25">
      <c r="L1261" s="446" t="s">
        <v>870</v>
      </c>
      <c r="M1261" s="446">
        <v>3</v>
      </c>
      <c r="N1261" s="446">
        <v>4</v>
      </c>
      <c r="O1261" s="446" t="s">
        <v>706</v>
      </c>
      <c r="P1261" s="449" t="s">
        <v>739</v>
      </c>
      <c r="Q1261" s="449"/>
      <c r="R1261" s="449"/>
      <c r="S1261" s="449" t="s">
        <v>707</v>
      </c>
      <c r="T1261" s="449" t="s">
        <v>1121</v>
      </c>
      <c r="U1261" s="452">
        <v>2275.6733198532652</v>
      </c>
      <c r="V126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81924.239514717541</v>
      </c>
      <c r="W1261" s="272">
        <f>IFERROR(SUMIFS(TransUnitCost[Miles],TransUnitCost[Grouping_ID],TransTonsShort[[#This Row],[Grouping_ID]],TransUnitCost[Transp_ID],TransTonsShort[[#This Row],[Transp_ID]])*TransTonsShort[[#This Row],[Trans_Tons_All]]/TransTonsShort[[#This Row],[Trans_Tons_All]],"")</f>
        <v>150</v>
      </c>
      <c r="X1261" s="386" t="str">
        <f>TransTonsShort[[#This Row],[Grouping_ID]]&amp;"-"&amp;TransTonsShort[[#This Row],[Sector_ID]]</f>
        <v>3-4</v>
      </c>
      <c r="Y12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1" s="421">
        <f>INDEX(LandfillFees[Disposal Tip Fee 2025],MATCH(TransTonsShort[[#This Row],[Grouping_ID]],LandfillFees[Grouping_ID],0))</f>
        <v>72.030938699729589</v>
      </c>
      <c r="AA1261" s="102">
        <f>IF(OR(TransTonsShort[[#This Row],[CollectionStream_ID]]="03",TransTonsShort[[#This Row],[CollectionStream_ID]]="04",TransTonsShort[[#This Row],[CollectionStream_ID]]="13"),0,TransTonsShort[[#This Row],[Trans_Tons_All]]*TransTonsShort[[#This Row],[Disposal_Fee]])</f>
        <v>163918.88540296067</v>
      </c>
    </row>
    <row r="1262" spans="12:27" ht="15" x14ac:dyDescent="0.25">
      <c r="L1262" s="446" t="s">
        <v>870</v>
      </c>
      <c r="M1262" s="446">
        <v>4</v>
      </c>
      <c r="N1262" s="446">
        <v>4</v>
      </c>
      <c r="O1262" s="446" t="s">
        <v>706</v>
      </c>
      <c r="P1262" s="449" t="s">
        <v>739</v>
      </c>
      <c r="Q1262" s="449"/>
      <c r="R1262" s="449"/>
      <c r="S1262" s="449" t="s">
        <v>707</v>
      </c>
      <c r="T1262" s="449" t="s">
        <v>1121</v>
      </c>
      <c r="U1262" s="452">
        <v>1699.8498513891011</v>
      </c>
      <c r="V126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93491.741826400554</v>
      </c>
      <c r="W1262" s="272">
        <f>IFERROR(SUMIFS(TransUnitCost[Miles],TransUnitCost[Grouping_ID],TransTonsShort[[#This Row],[Grouping_ID]],TransUnitCost[Transp_ID],TransTonsShort[[#This Row],[Transp_ID]])*TransTonsShort[[#This Row],[Trans_Tons_All]]/TransTonsShort[[#This Row],[Trans_Tons_All]],"")</f>
        <v>250</v>
      </c>
      <c r="X1262" s="386" t="str">
        <f>TransTonsShort[[#This Row],[Grouping_ID]]&amp;"-"&amp;TransTonsShort[[#This Row],[Sector_ID]]</f>
        <v>4-4</v>
      </c>
      <c r="Y12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2" s="421">
        <f>INDEX(LandfillFees[Disposal Tip Fee 2025],MATCH(TransTonsShort[[#This Row],[Grouping_ID]],LandfillFees[Grouping_ID],0))</f>
        <v>72.030938699729589</v>
      </c>
      <c r="AA1262" s="102">
        <f>IF(OR(TransTonsShort[[#This Row],[CollectionStream_ID]]="03",TransTonsShort[[#This Row],[CollectionStream_ID]]="04",TransTonsShort[[#This Row],[CollectionStream_ID]]="13"),0,TransTonsShort[[#This Row],[Trans_Tons_All]]*TransTonsShort[[#This Row],[Disposal_Fee]])</f>
        <v>122441.7804441528</v>
      </c>
    </row>
    <row r="1263" spans="12:27" ht="15" x14ac:dyDescent="0.25">
      <c r="L1263" s="446" t="s">
        <v>870</v>
      </c>
      <c r="M1263" s="446">
        <v>1</v>
      </c>
      <c r="N1263" s="446">
        <v>4</v>
      </c>
      <c r="O1263" s="446" t="s">
        <v>706</v>
      </c>
      <c r="P1263" s="449" t="s">
        <v>700</v>
      </c>
      <c r="Q1263" s="449"/>
      <c r="R1263" s="449"/>
      <c r="S1263" s="449" t="s">
        <v>707</v>
      </c>
      <c r="T1263" s="449" t="s">
        <v>701</v>
      </c>
      <c r="U1263" s="452">
        <v>225.02921433829084</v>
      </c>
      <c r="V126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3" s="272">
        <f>IFERROR(SUMIFS(TransUnitCost[Miles],TransUnitCost[Grouping_ID],TransTonsShort[[#This Row],[Grouping_ID]],TransUnitCost[Transp_ID],TransTonsShort[[#This Row],[Transp_ID]])*TransTonsShort[[#This Row],[Trans_Tons_All]]/TransTonsShort[[#This Row],[Trans_Tons_All]],"")</f>
        <v>0</v>
      </c>
      <c r="X1263" s="386" t="str">
        <f>TransTonsShort[[#This Row],[Grouping_ID]]&amp;"-"&amp;TransTonsShort[[#This Row],[Sector_ID]]</f>
        <v>1-4</v>
      </c>
      <c r="Y12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3" s="421">
        <f>INDEX(LandfillFees[Disposal Tip Fee 2025],MATCH(TransTonsShort[[#This Row],[Grouping_ID]],LandfillFees[Grouping_ID],0))</f>
        <v>134.68</v>
      </c>
      <c r="AA1263" s="102">
        <f>IF(OR(TransTonsShort[[#This Row],[CollectionStream_ID]]="03",TransTonsShort[[#This Row],[CollectionStream_ID]]="04",TransTonsShort[[#This Row],[CollectionStream_ID]]="13"),0,TransTonsShort[[#This Row],[Trans_Tons_All]]*TransTonsShort[[#This Row],[Disposal_Fee]])</f>
        <v>30306.934587081014</v>
      </c>
    </row>
    <row r="1264" spans="12:27" ht="15" x14ac:dyDescent="0.25">
      <c r="L1264" s="446" t="s">
        <v>870</v>
      </c>
      <c r="M1264" s="446">
        <v>2</v>
      </c>
      <c r="N1264" s="446">
        <v>4</v>
      </c>
      <c r="O1264" s="446" t="s">
        <v>706</v>
      </c>
      <c r="P1264" s="449" t="s">
        <v>700</v>
      </c>
      <c r="Q1264" s="449"/>
      <c r="R1264" s="449"/>
      <c r="S1264" s="449" t="s">
        <v>707</v>
      </c>
      <c r="T1264" s="449" t="s">
        <v>701</v>
      </c>
      <c r="U1264" s="452">
        <v>0</v>
      </c>
      <c r="V126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4" s="272" t="str">
        <f>IFERROR(SUMIFS(TransUnitCost[Miles],TransUnitCost[Grouping_ID],TransTonsShort[[#This Row],[Grouping_ID]],TransUnitCost[Transp_ID],TransTonsShort[[#This Row],[Transp_ID]])*TransTonsShort[[#This Row],[Trans_Tons_All]]/TransTonsShort[[#This Row],[Trans_Tons_All]],"")</f>
        <v/>
      </c>
      <c r="X1264" s="386" t="str">
        <f>TransTonsShort[[#This Row],[Grouping_ID]]&amp;"-"&amp;TransTonsShort[[#This Row],[Sector_ID]]</f>
        <v>2-4</v>
      </c>
      <c r="Y12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4" s="421">
        <f>INDEX(LandfillFees[Disposal Tip Fee 2025],MATCH(TransTonsShort[[#This Row],[Grouping_ID]],LandfillFees[Grouping_ID],0))</f>
        <v>72.030938699729589</v>
      </c>
      <c r="AA1264" s="102">
        <f>IF(OR(TransTonsShort[[#This Row],[CollectionStream_ID]]="03",TransTonsShort[[#This Row],[CollectionStream_ID]]="04",TransTonsShort[[#This Row],[CollectionStream_ID]]="13"),0,TransTonsShort[[#This Row],[Trans_Tons_All]]*TransTonsShort[[#This Row],[Disposal_Fee]])</f>
        <v>0</v>
      </c>
    </row>
    <row r="1265" spans="12:27" ht="15" x14ac:dyDescent="0.25">
      <c r="L1265" s="446" t="s">
        <v>870</v>
      </c>
      <c r="M1265" s="446">
        <v>3</v>
      </c>
      <c r="N1265" s="446">
        <v>4</v>
      </c>
      <c r="O1265" s="446" t="s">
        <v>706</v>
      </c>
      <c r="P1265" s="449" t="s">
        <v>700</v>
      </c>
      <c r="Q1265" s="449"/>
      <c r="R1265" s="449"/>
      <c r="S1265" s="449" t="s">
        <v>707</v>
      </c>
      <c r="T1265" s="449" t="s">
        <v>701</v>
      </c>
      <c r="U1265" s="452">
        <v>0</v>
      </c>
      <c r="V126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5" s="272" t="str">
        <f>IFERROR(SUMIFS(TransUnitCost[Miles],TransUnitCost[Grouping_ID],TransTonsShort[[#This Row],[Grouping_ID]],TransUnitCost[Transp_ID],TransTonsShort[[#This Row],[Transp_ID]])*TransTonsShort[[#This Row],[Trans_Tons_All]]/TransTonsShort[[#This Row],[Trans_Tons_All]],"")</f>
        <v/>
      </c>
      <c r="X1265" s="386" t="str">
        <f>TransTonsShort[[#This Row],[Grouping_ID]]&amp;"-"&amp;TransTonsShort[[#This Row],[Sector_ID]]</f>
        <v>3-4</v>
      </c>
      <c r="Y12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5" s="421">
        <f>INDEX(LandfillFees[Disposal Tip Fee 2025],MATCH(TransTonsShort[[#This Row],[Grouping_ID]],LandfillFees[Grouping_ID],0))</f>
        <v>72.030938699729589</v>
      </c>
      <c r="AA1265" s="102">
        <f>IF(OR(TransTonsShort[[#This Row],[CollectionStream_ID]]="03",TransTonsShort[[#This Row],[CollectionStream_ID]]="04",TransTonsShort[[#This Row],[CollectionStream_ID]]="13"),0,TransTonsShort[[#This Row],[Trans_Tons_All]]*TransTonsShort[[#This Row],[Disposal_Fee]])</f>
        <v>0</v>
      </c>
    </row>
    <row r="1266" spans="12:27" ht="15" x14ac:dyDescent="0.25">
      <c r="L1266" s="446" t="s">
        <v>870</v>
      </c>
      <c r="M1266" s="446">
        <v>4</v>
      </c>
      <c r="N1266" s="446">
        <v>4</v>
      </c>
      <c r="O1266" s="446" t="s">
        <v>706</v>
      </c>
      <c r="P1266" s="449" t="s">
        <v>700</v>
      </c>
      <c r="Q1266" s="449"/>
      <c r="R1266" s="449"/>
      <c r="S1266" s="449" t="s">
        <v>707</v>
      </c>
      <c r="T1266" s="449" t="s">
        <v>701</v>
      </c>
      <c r="U1266" s="452">
        <v>0</v>
      </c>
      <c r="V126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6" s="272" t="str">
        <f>IFERROR(SUMIFS(TransUnitCost[Miles],TransUnitCost[Grouping_ID],TransTonsShort[[#This Row],[Grouping_ID]],TransUnitCost[Transp_ID],TransTonsShort[[#This Row],[Transp_ID]])*TransTonsShort[[#This Row],[Trans_Tons_All]]/TransTonsShort[[#This Row],[Trans_Tons_All]],"")</f>
        <v/>
      </c>
      <c r="X1266" s="386" t="str">
        <f>TransTonsShort[[#This Row],[Grouping_ID]]&amp;"-"&amp;TransTonsShort[[#This Row],[Sector_ID]]</f>
        <v>4-4</v>
      </c>
      <c r="Y12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6" s="421">
        <f>INDEX(LandfillFees[Disposal Tip Fee 2025],MATCH(TransTonsShort[[#This Row],[Grouping_ID]],LandfillFees[Grouping_ID],0))</f>
        <v>72.030938699729589</v>
      </c>
      <c r="AA1266" s="102">
        <f>IF(OR(TransTonsShort[[#This Row],[CollectionStream_ID]]="03",TransTonsShort[[#This Row],[CollectionStream_ID]]="04",TransTonsShort[[#This Row],[CollectionStream_ID]]="13"),0,TransTonsShort[[#This Row],[Trans_Tons_All]]*TransTonsShort[[#This Row],[Disposal_Fee]])</f>
        <v>0</v>
      </c>
    </row>
    <row r="1267" spans="12:27" ht="15" x14ac:dyDescent="0.25">
      <c r="L1267" s="446" t="s">
        <v>870</v>
      </c>
      <c r="M1267" s="446">
        <v>1</v>
      </c>
      <c r="N1267" s="446">
        <v>4</v>
      </c>
      <c r="O1267" s="446" t="s">
        <v>752</v>
      </c>
      <c r="P1267" s="450" t="s">
        <v>719</v>
      </c>
      <c r="Q1267" s="450"/>
      <c r="R1267" s="450"/>
      <c r="S1267" s="449" t="s">
        <v>964</v>
      </c>
      <c r="T1267" s="449" t="s">
        <v>1055</v>
      </c>
      <c r="U1267" s="452">
        <v>0</v>
      </c>
      <c r="V126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7" s="272" t="str">
        <f>IFERROR(SUMIFS(TransUnitCost[Miles],TransUnitCost[Grouping_ID],TransTonsShort[[#This Row],[Grouping_ID]],TransUnitCost[Transp_ID],TransTonsShort[[#This Row],[Transp_ID]])*TransTonsShort[[#This Row],[Trans_Tons_All]]/TransTonsShort[[#This Row],[Trans_Tons_All]],"")</f>
        <v/>
      </c>
      <c r="X1267" s="386" t="str">
        <f>TransTonsShort[[#This Row],[Grouping_ID]]&amp;"-"&amp;TransTonsShort[[#This Row],[Sector_ID]]</f>
        <v>1-4</v>
      </c>
      <c r="Y12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7" s="421">
        <f>INDEX(LandfillFees[Disposal Tip Fee 2025],MATCH(TransTonsShort[[#This Row],[Grouping_ID]],LandfillFees[Grouping_ID],0))</f>
        <v>134.68</v>
      </c>
      <c r="AA1267" s="102">
        <f>IF(OR(TransTonsShort[[#This Row],[CollectionStream_ID]]="03",TransTonsShort[[#This Row],[CollectionStream_ID]]="04",TransTonsShort[[#This Row],[CollectionStream_ID]]="13"),0,TransTonsShort[[#This Row],[Trans_Tons_All]]*TransTonsShort[[#This Row],[Disposal_Fee]])</f>
        <v>0</v>
      </c>
    </row>
    <row r="1268" spans="12:27" ht="15" x14ac:dyDescent="0.25">
      <c r="L1268" s="446" t="s">
        <v>870</v>
      </c>
      <c r="M1268" s="446">
        <v>2</v>
      </c>
      <c r="N1268" s="446">
        <v>4</v>
      </c>
      <c r="O1268" s="446" t="s">
        <v>752</v>
      </c>
      <c r="P1268" s="450" t="s">
        <v>719</v>
      </c>
      <c r="Q1268" s="450"/>
      <c r="R1268" s="450"/>
      <c r="S1268" s="449" t="s">
        <v>964</v>
      </c>
      <c r="T1268" s="449" t="s">
        <v>1055</v>
      </c>
      <c r="U1268" s="452">
        <v>0</v>
      </c>
      <c r="V126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8" s="272" t="str">
        <f>IFERROR(SUMIFS(TransUnitCost[Miles],TransUnitCost[Grouping_ID],TransTonsShort[[#This Row],[Grouping_ID]],TransUnitCost[Transp_ID],TransTonsShort[[#This Row],[Transp_ID]])*TransTonsShort[[#This Row],[Trans_Tons_All]]/TransTonsShort[[#This Row],[Trans_Tons_All]],"")</f>
        <v/>
      </c>
      <c r="X1268" s="386" t="str">
        <f>TransTonsShort[[#This Row],[Grouping_ID]]&amp;"-"&amp;TransTonsShort[[#This Row],[Sector_ID]]</f>
        <v>2-4</v>
      </c>
      <c r="Y12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8" s="421">
        <f>INDEX(LandfillFees[Disposal Tip Fee 2025],MATCH(TransTonsShort[[#This Row],[Grouping_ID]],LandfillFees[Grouping_ID],0))</f>
        <v>72.030938699729589</v>
      </c>
      <c r="AA1268" s="102">
        <f>IF(OR(TransTonsShort[[#This Row],[CollectionStream_ID]]="03",TransTonsShort[[#This Row],[CollectionStream_ID]]="04",TransTonsShort[[#This Row],[CollectionStream_ID]]="13"),0,TransTonsShort[[#This Row],[Trans_Tons_All]]*TransTonsShort[[#This Row],[Disposal_Fee]])</f>
        <v>0</v>
      </c>
    </row>
    <row r="1269" spans="12:27" ht="15" x14ac:dyDescent="0.25">
      <c r="L1269" s="446" t="s">
        <v>870</v>
      </c>
      <c r="M1269" s="446">
        <v>3</v>
      </c>
      <c r="N1269" s="446">
        <v>4</v>
      </c>
      <c r="O1269" s="446" t="s">
        <v>752</v>
      </c>
      <c r="P1269" s="450" t="s">
        <v>719</v>
      </c>
      <c r="Q1269" s="450"/>
      <c r="R1269" s="450"/>
      <c r="S1269" s="449" t="s">
        <v>964</v>
      </c>
      <c r="T1269" s="449" t="s">
        <v>1055</v>
      </c>
      <c r="U1269" s="452">
        <v>0</v>
      </c>
      <c r="V126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69" s="272" t="str">
        <f>IFERROR(SUMIFS(TransUnitCost[Miles],TransUnitCost[Grouping_ID],TransTonsShort[[#This Row],[Grouping_ID]],TransUnitCost[Transp_ID],TransTonsShort[[#This Row],[Transp_ID]])*TransTonsShort[[#This Row],[Trans_Tons_All]]/TransTonsShort[[#This Row],[Trans_Tons_All]],"")</f>
        <v/>
      </c>
      <c r="X1269" s="386" t="str">
        <f>TransTonsShort[[#This Row],[Grouping_ID]]&amp;"-"&amp;TransTonsShort[[#This Row],[Sector_ID]]</f>
        <v>3-4</v>
      </c>
      <c r="Y12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69" s="421">
        <f>INDEX(LandfillFees[Disposal Tip Fee 2025],MATCH(TransTonsShort[[#This Row],[Grouping_ID]],LandfillFees[Grouping_ID],0))</f>
        <v>72.030938699729589</v>
      </c>
      <c r="AA1269" s="102">
        <f>IF(OR(TransTonsShort[[#This Row],[CollectionStream_ID]]="03",TransTonsShort[[#This Row],[CollectionStream_ID]]="04",TransTonsShort[[#This Row],[CollectionStream_ID]]="13"),0,TransTonsShort[[#This Row],[Trans_Tons_All]]*TransTonsShort[[#This Row],[Disposal_Fee]])</f>
        <v>0</v>
      </c>
    </row>
    <row r="1270" spans="12:27" ht="15" x14ac:dyDescent="0.25">
      <c r="L1270" s="446" t="s">
        <v>870</v>
      </c>
      <c r="M1270" s="446">
        <v>4</v>
      </c>
      <c r="N1270" s="446">
        <v>4</v>
      </c>
      <c r="O1270" s="446" t="s">
        <v>752</v>
      </c>
      <c r="P1270" s="450" t="s">
        <v>719</v>
      </c>
      <c r="Q1270" s="450"/>
      <c r="R1270" s="450"/>
      <c r="S1270" s="449" t="s">
        <v>964</v>
      </c>
      <c r="T1270" s="449" t="s">
        <v>1055</v>
      </c>
      <c r="U1270" s="452">
        <v>0</v>
      </c>
      <c r="V127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0" s="272" t="str">
        <f>IFERROR(SUMIFS(TransUnitCost[Miles],TransUnitCost[Grouping_ID],TransTonsShort[[#This Row],[Grouping_ID]],TransUnitCost[Transp_ID],TransTonsShort[[#This Row],[Transp_ID]])*TransTonsShort[[#This Row],[Trans_Tons_All]]/TransTonsShort[[#This Row],[Trans_Tons_All]],"")</f>
        <v/>
      </c>
      <c r="X1270" s="386" t="str">
        <f>TransTonsShort[[#This Row],[Grouping_ID]]&amp;"-"&amp;TransTonsShort[[#This Row],[Sector_ID]]</f>
        <v>4-4</v>
      </c>
      <c r="Y12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0" s="421">
        <f>INDEX(LandfillFees[Disposal Tip Fee 2025],MATCH(TransTonsShort[[#This Row],[Grouping_ID]],LandfillFees[Grouping_ID],0))</f>
        <v>72.030938699729589</v>
      </c>
      <c r="AA1270" s="102">
        <f>IF(OR(TransTonsShort[[#This Row],[CollectionStream_ID]]="03",TransTonsShort[[#This Row],[CollectionStream_ID]]="04",TransTonsShort[[#This Row],[CollectionStream_ID]]="13"),0,TransTonsShort[[#This Row],[Trans_Tons_All]]*TransTonsShort[[#This Row],[Disposal_Fee]])</f>
        <v>0</v>
      </c>
    </row>
    <row r="1271" spans="12:27" ht="15" x14ac:dyDescent="0.25">
      <c r="L1271" s="446" t="s">
        <v>870</v>
      </c>
      <c r="M1271" s="446">
        <v>1</v>
      </c>
      <c r="N1271" s="446">
        <v>4</v>
      </c>
      <c r="O1271" s="446" t="s">
        <v>752</v>
      </c>
      <c r="P1271" s="449" t="s">
        <v>700</v>
      </c>
      <c r="Q1271" s="449"/>
      <c r="R1271" s="449"/>
      <c r="S1271" s="449" t="s">
        <v>964</v>
      </c>
      <c r="T1271" s="449" t="s">
        <v>701</v>
      </c>
      <c r="U1271" s="452">
        <v>3657.7151521746305</v>
      </c>
      <c r="V127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1" s="272">
        <f>IFERROR(SUMIFS(TransUnitCost[Miles],TransUnitCost[Grouping_ID],TransTonsShort[[#This Row],[Grouping_ID]],TransUnitCost[Transp_ID],TransTonsShort[[#This Row],[Transp_ID]])*TransTonsShort[[#This Row],[Trans_Tons_All]]/TransTonsShort[[#This Row],[Trans_Tons_All]],"")</f>
        <v>0</v>
      </c>
      <c r="X1271" s="386" t="str">
        <f>TransTonsShort[[#This Row],[Grouping_ID]]&amp;"-"&amp;TransTonsShort[[#This Row],[Sector_ID]]</f>
        <v>1-4</v>
      </c>
      <c r="Y12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1" s="421">
        <f>INDEX(LandfillFees[Disposal Tip Fee 2025],MATCH(TransTonsShort[[#This Row],[Grouping_ID]],LandfillFees[Grouping_ID],0))</f>
        <v>134.68</v>
      </c>
      <c r="AA1271" s="102">
        <f>IF(OR(TransTonsShort[[#This Row],[CollectionStream_ID]]="03",TransTonsShort[[#This Row],[CollectionStream_ID]]="04",TransTonsShort[[#This Row],[CollectionStream_ID]]="13"),0,TransTonsShort[[#This Row],[Trans_Tons_All]]*TransTonsShort[[#This Row],[Disposal_Fee]])</f>
        <v>492621.07669487927</v>
      </c>
    </row>
    <row r="1272" spans="12:27" ht="15" x14ac:dyDescent="0.25">
      <c r="L1272" s="446" t="s">
        <v>870</v>
      </c>
      <c r="M1272" s="446">
        <v>2</v>
      </c>
      <c r="N1272" s="446">
        <v>4</v>
      </c>
      <c r="O1272" s="446" t="s">
        <v>752</v>
      </c>
      <c r="P1272" s="449" t="s">
        <v>700</v>
      </c>
      <c r="Q1272" s="449"/>
      <c r="R1272" s="449"/>
      <c r="S1272" s="449" t="s">
        <v>964</v>
      </c>
      <c r="T1272" s="449" t="s">
        <v>701</v>
      </c>
      <c r="U1272" s="452">
        <v>0</v>
      </c>
      <c r="V127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2" s="272" t="str">
        <f>IFERROR(SUMIFS(TransUnitCost[Miles],TransUnitCost[Grouping_ID],TransTonsShort[[#This Row],[Grouping_ID]],TransUnitCost[Transp_ID],TransTonsShort[[#This Row],[Transp_ID]])*TransTonsShort[[#This Row],[Trans_Tons_All]]/TransTonsShort[[#This Row],[Trans_Tons_All]],"")</f>
        <v/>
      </c>
      <c r="X1272" s="386" t="str">
        <f>TransTonsShort[[#This Row],[Grouping_ID]]&amp;"-"&amp;TransTonsShort[[#This Row],[Sector_ID]]</f>
        <v>2-4</v>
      </c>
      <c r="Y12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2" s="421">
        <f>INDEX(LandfillFees[Disposal Tip Fee 2025],MATCH(TransTonsShort[[#This Row],[Grouping_ID]],LandfillFees[Grouping_ID],0))</f>
        <v>72.030938699729589</v>
      </c>
      <c r="AA1272" s="102">
        <f>IF(OR(TransTonsShort[[#This Row],[CollectionStream_ID]]="03",TransTonsShort[[#This Row],[CollectionStream_ID]]="04",TransTonsShort[[#This Row],[CollectionStream_ID]]="13"),0,TransTonsShort[[#This Row],[Trans_Tons_All]]*TransTonsShort[[#This Row],[Disposal_Fee]])</f>
        <v>0</v>
      </c>
    </row>
    <row r="1273" spans="12:27" ht="15" x14ac:dyDescent="0.25">
      <c r="L1273" s="446" t="s">
        <v>870</v>
      </c>
      <c r="M1273" s="446">
        <v>3</v>
      </c>
      <c r="N1273" s="446">
        <v>4</v>
      </c>
      <c r="O1273" s="446" t="s">
        <v>752</v>
      </c>
      <c r="P1273" s="449" t="s">
        <v>700</v>
      </c>
      <c r="Q1273" s="449"/>
      <c r="R1273" s="449"/>
      <c r="S1273" s="449" t="s">
        <v>964</v>
      </c>
      <c r="T1273" s="449" t="s">
        <v>701</v>
      </c>
      <c r="U1273" s="452">
        <v>0</v>
      </c>
      <c r="V127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3" s="272" t="str">
        <f>IFERROR(SUMIFS(TransUnitCost[Miles],TransUnitCost[Grouping_ID],TransTonsShort[[#This Row],[Grouping_ID]],TransUnitCost[Transp_ID],TransTonsShort[[#This Row],[Transp_ID]])*TransTonsShort[[#This Row],[Trans_Tons_All]]/TransTonsShort[[#This Row],[Trans_Tons_All]],"")</f>
        <v/>
      </c>
      <c r="X1273" s="386" t="str">
        <f>TransTonsShort[[#This Row],[Grouping_ID]]&amp;"-"&amp;TransTonsShort[[#This Row],[Sector_ID]]</f>
        <v>3-4</v>
      </c>
      <c r="Y12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3" s="421">
        <f>INDEX(LandfillFees[Disposal Tip Fee 2025],MATCH(TransTonsShort[[#This Row],[Grouping_ID]],LandfillFees[Grouping_ID],0))</f>
        <v>72.030938699729589</v>
      </c>
      <c r="AA1273" s="102">
        <f>IF(OR(TransTonsShort[[#This Row],[CollectionStream_ID]]="03",TransTonsShort[[#This Row],[CollectionStream_ID]]="04",TransTonsShort[[#This Row],[CollectionStream_ID]]="13"),0,TransTonsShort[[#This Row],[Trans_Tons_All]]*TransTonsShort[[#This Row],[Disposal_Fee]])</f>
        <v>0</v>
      </c>
    </row>
    <row r="1274" spans="12:27" ht="15" x14ac:dyDescent="0.25">
      <c r="L1274" s="446" t="s">
        <v>870</v>
      </c>
      <c r="M1274" s="446">
        <v>4</v>
      </c>
      <c r="N1274" s="446">
        <v>4</v>
      </c>
      <c r="O1274" s="446" t="s">
        <v>752</v>
      </c>
      <c r="P1274" s="449" t="s">
        <v>700</v>
      </c>
      <c r="Q1274" s="449"/>
      <c r="R1274" s="449"/>
      <c r="S1274" s="449" t="s">
        <v>964</v>
      </c>
      <c r="T1274" s="449" t="s">
        <v>701</v>
      </c>
      <c r="U1274" s="452">
        <v>0</v>
      </c>
      <c r="V127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4" s="272" t="str">
        <f>IFERROR(SUMIFS(TransUnitCost[Miles],TransUnitCost[Grouping_ID],TransTonsShort[[#This Row],[Grouping_ID]],TransUnitCost[Transp_ID],TransTonsShort[[#This Row],[Transp_ID]])*TransTonsShort[[#This Row],[Trans_Tons_All]]/TransTonsShort[[#This Row],[Trans_Tons_All]],"")</f>
        <v/>
      </c>
      <c r="X1274" s="386" t="str">
        <f>TransTonsShort[[#This Row],[Grouping_ID]]&amp;"-"&amp;TransTonsShort[[#This Row],[Sector_ID]]</f>
        <v>4-4</v>
      </c>
      <c r="Y12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4" s="421">
        <f>INDEX(LandfillFees[Disposal Tip Fee 2025],MATCH(TransTonsShort[[#This Row],[Grouping_ID]],LandfillFees[Grouping_ID],0))</f>
        <v>72.030938699729589</v>
      </c>
      <c r="AA1274" s="102">
        <f>IF(OR(TransTonsShort[[#This Row],[CollectionStream_ID]]="03",TransTonsShort[[#This Row],[CollectionStream_ID]]="04",TransTonsShort[[#This Row],[CollectionStream_ID]]="13"),0,TransTonsShort[[#This Row],[Trans_Tons_All]]*TransTonsShort[[#This Row],[Disposal_Fee]])</f>
        <v>0</v>
      </c>
    </row>
    <row r="1275" spans="12:27" ht="15" x14ac:dyDescent="0.25">
      <c r="L1275" s="446" t="s">
        <v>870</v>
      </c>
      <c r="M1275" s="446">
        <v>1</v>
      </c>
      <c r="N1275" s="446">
        <v>4</v>
      </c>
      <c r="O1275" s="446" t="s">
        <v>752</v>
      </c>
      <c r="P1275" s="449" t="s">
        <v>706</v>
      </c>
      <c r="Q1275" s="449"/>
      <c r="R1275" s="449"/>
      <c r="S1275" s="449" t="s">
        <v>964</v>
      </c>
      <c r="T1275" s="449" t="s">
        <v>1025</v>
      </c>
      <c r="U1275" s="452">
        <v>0</v>
      </c>
      <c r="V127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75" s="272" t="str">
        <f>IFERROR(SUMIFS(TransUnitCost[Miles],TransUnitCost[Grouping_ID],TransTonsShort[[#This Row],[Grouping_ID]],TransUnitCost[Transp_ID],TransTonsShort[[#This Row],[Transp_ID]])*TransTonsShort[[#This Row],[Trans_Tons_All]]/TransTonsShort[[#This Row],[Trans_Tons_All]],"")</f>
        <v/>
      </c>
      <c r="X1275" s="386" t="str">
        <f>TransTonsShort[[#This Row],[Grouping_ID]]&amp;"-"&amp;TransTonsShort[[#This Row],[Sector_ID]]</f>
        <v>1-4</v>
      </c>
      <c r="Y12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5" s="421">
        <f>INDEX(LandfillFees[Disposal Tip Fee 2025],MATCH(TransTonsShort[[#This Row],[Grouping_ID]],LandfillFees[Grouping_ID],0))</f>
        <v>134.68</v>
      </c>
      <c r="AA1275" s="102">
        <f>IF(OR(TransTonsShort[[#This Row],[CollectionStream_ID]]="03",TransTonsShort[[#This Row],[CollectionStream_ID]]="04",TransTonsShort[[#This Row],[CollectionStream_ID]]="13"),0,TransTonsShort[[#This Row],[Trans_Tons_All]]*TransTonsShort[[#This Row],[Disposal_Fee]])</f>
        <v>0</v>
      </c>
    </row>
    <row r="1276" spans="12:27" ht="15" x14ac:dyDescent="0.25">
      <c r="L1276" s="446" t="s">
        <v>870</v>
      </c>
      <c r="M1276" s="446">
        <v>2</v>
      </c>
      <c r="N1276" s="446">
        <v>4</v>
      </c>
      <c r="O1276" s="446" t="s">
        <v>752</v>
      </c>
      <c r="P1276" s="449" t="s">
        <v>706</v>
      </c>
      <c r="Q1276" s="449"/>
      <c r="R1276" s="449"/>
      <c r="S1276" s="449" t="s">
        <v>964</v>
      </c>
      <c r="T1276" s="449" t="s">
        <v>1025</v>
      </c>
      <c r="U1276" s="452">
        <v>10308.468395358715</v>
      </c>
      <c r="V127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288637.11507004406</v>
      </c>
      <c r="W1276" s="272">
        <f>IFERROR(SUMIFS(TransUnitCost[Miles],TransUnitCost[Grouping_ID],TransTonsShort[[#This Row],[Grouping_ID]],TransUnitCost[Transp_ID],TransTonsShort[[#This Row],[Transp_ID]])*TransTonsShort[[#This Row],[Trans_Tons_All]]/TransTonsShort[[#This Row],[Trans_Tons_All]],"")</f>
        <v>70</v>
      </c>
      <c r="X1276" s="386" t="str">
        <f>TransTonsShort[[#This Row],[Grouping_ID]]&amp;"-"&amp;TransTonsShort[[#This Row],[Sector_ID]]</f>
        <v>2-4</v>
      </c>
      <c r="Y12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6" s="421">
        <f>INDEX(LandfillFees[Disposal Tip Fee 2025],MATCH(TransTonsShort[[#This Row],[Grouping_ID]],LandfillFees[Grouping_ID],0))</f>
        <v>72.030938699729589</v>
      </c>
      <c r="AA1276" s="102">
        <f>IF(OR(TransTonsShort[[#This Row],[CollectionStream_ID]]="03",TransTonsShort[[#This Row],[CollectionStream_ID]]="04",TransTonsShort[[#This Row],[CollectionStream_ID]]="13"),0,TransTonsShort[[#This Row],[Trans_Tons_All]]*TransTonsShort[[#This Row],[Disposal_Fee]])</f>
        <v>742528.65507418348</v>
      </c>
    </row>
    <row r="1277" spans="12:27" ht="15" x14ac:dyDescent="0.25">
      <c r="L1277" s="446" t="s">
        <v>870</v>
      </c>
      <c r="M1277" s="446">
        <v>3</v>
      </c>
      <c r="N1277" s="446">
        <v>4</v>
      </c>
      <c r="O1277" s="446" t="s">
        <v>752</v>
      </c>
      <c r="P1277" s="449" t="s">
        <v>706</v>
      </c>
      <c r="Q1277" s="449"/>
      <c r="R1277" s="449"/>
      <c r="S1277" s="449" t="s">
        <v>964</v>
      </c>
      <c r="T1277" s="449" t="s">
        <v>1025</v>
      </c>
      <c r="U1277" s="452">
        <v>6027.6129844833404</v>
      </c>
      <c r="V1277"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316449.68168537534</v>
      </c>
      <c r="W1277" s="272">
        <f>IFERROR(SUMIFS(TransUnitCost[Miles],TransUnitCost[Grouping_ID],TransTonsShort[[#This Row],[Grouping_ID]],TransUnitCost[Transp_ID],TransTonsShort[[#This Row],[Transp_ID]])*TransTonsShort[[#This Row],[Trans_Tons_All]]/TransTonsShort[[#This Row],[Trans_Tons_All]],"")</f>
        <v>150</v>
      </c>
      <c r="X1277" s="386" t="str">
        <f>TransTonsShort[[#This Row],[Grouping_ID]]&amp;"-"&amp;TransTonsShort[[#This Row],[Sector_ID]]</f>
        <v>3-4</v>
      </c>
      <c r="Y12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7" s="421">
        <f>INDEX(LandfillFees[Disposal Tip Fee 2025],MATCH(TransTonsShort[[#This Row],[Grouping_ID]],LandfillFees[Grouping_ID],0))</f>
        <v>72.030938699729589</v>
      </c>
      <c r="AA1277" s="102">
        <f>IF(OR(TransTonsShort[[#This Row],[CollectionStream_ID]]="03",TransTonsShort[[#This Row],[CollectionStream_ID]]="04",TransTonsShort[[#This Row],[CollectionStream_ID]]="13"),0,TransTonsShort[[#This Row],[Trans_Tons_All]]*TransTonsShort[[#This Row],[Disposal_Fee]])</f>
        <v>434174.62139101361</v>
      </c>
    </row>
    <row r="1278" spans="12:27" ht="15" x14ac:dyDescent="0.25">
      <c r="L1278" s="446" t="s">
        <v>870</v>
      </c>
      <c r="M1278" s="446">
        <v>4</v>
      </c>
      <c r="N1278" s="446">
        <v>4</v>
      </c>
      <c r="O1278" s="446" t="s">
        <v>752</v>
      </c>
      <c r="P1278" s="449" t="s">
        <v>706</v>
      </c>
      <c r="Q1278" s="449"/>
      <c r="R1278" s="449"/>
      <c r="S1278" s="449" t="s">
        <v>964</v>
      </c>
      <c r="T1278" s="449" t="s">
        <v>1025</v>
      </c>
      <c r="U1278" s="452">
        <v>26984.83478148892</v>
      </c>
      <c r="V1278"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2698483.4781488921</v>
      </c>
      <c r="W1278" s="272">
        <f>IFERROR(SUMIFS(TransUnitCost[Miles],TransUnitCost[Grouping_ID],TransTonsShort[[#This Row],[Grouping_ID]],TransUnitCost[Transp_ID],TransTonsShort[[#This Row],[Transp_ID]])*TransTonsShort[[#This Row],[Trans_Tons_All]]/TransTonsShort[[#This Row],[Trans_Tons_All]],"")</f>
        <v>250</v>
      </c>
      <c r="X1278" s="386" t="str">
        <f>TransTonsShort[[#This Row],[Grouping_ID]]&amp;"-"&amp;TransTonsShort[[#This Row],[Sector_ID]]</f>
        <v>4-4</v>
      </c>
      <c r="Y12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8" s="421">
        <f>INDEX(LandfillFees[Disposal Tip Fee 2025],MATCH(TransTonsShort[[#This Row],[Grouping_ID]],LandfillFees[Grouping_ID],0))</f>
        <v>72.030938699729589</v>
      </c>
      <c r="AA1278" s="102">
        <f>IF(OR(TransTonsShort[[#This Row],[CollectionStream_ID]]="03",TransTonsShort[[#This Row],[CollectionStream_ID]]="04",TransTonsShort[[#This Row],[CollectionStream_ID]]="13"),0,TransTonsShort[[#This Row],[Trans_Tons_All]]*TransTonsShort[[#This Row],[Disposal_Fee]])</f>
        <v>1943742.9799677592</v>
      </c>
    </row>
    <row r="1279" spans="12:27" ht="15" x14ac:dyDescent="0.25">
      <c r="L1279" s="446" t="s">
        <v>870</v>
      </c>
      <c r="M1279" s="446">
        <v>1</v>
      </c>
      <c r="N1279" s="446">
        <v>4</v>
      </c>
      <c r="O1279" s="446" t="s">
        <v>750</v>
      </c>
      <c r="P1279" s="449" t="s">
        <v>739</v>
      </c>
      <c r="Q1279" s="449"/>
      <c r="R1279" s="449"/>
      <c r="S1279" s="449" t="s">
        <v>963</v>
      </c>
      <c r="T1279" s="449" t="s">
        <v>1121</v>
      </c>
      <c r="U1279" s="452">
        <v>1208.699586158147</v>
      </c>
      <c r="V1279"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23448.77197146805</v>
      </c>
      <c r="W1279" s="272">
        <f>IFERROR(SUMIFS(TransUnitCost[Miles],TransUnitCost[Grouping_ID],TransTonsShort[[#This Row],[Grouping_ID]],TransUnitCost[Transp_ID],TransTonsShort[[#This Row],[Transp_ID]])*TransTonsShort[[#This Row],[Trans_Tons_All]]/TransTonsShort[[#This Row],[Trans_Tons_All]],"")</f>
        <v>20</v>
      </c>
      <c r="X1279" s="386" t="str">
        <f>TransTonsShort[[#This Row],[Grouping_ID]]&amp;"-"&amp;TransTonsShort[[#This Row],[Sector_ID]]</f>
        <v>1-4</v>
      </c>
      <c r="Y12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79" s="421">
        <f>INDEX(LandfillFees[Disposal Tip Fee 2025],MATCH(TransTonsShort[[#This Row],[Grouping_ID]],LandfillFees[Grouping_ID],0))</f>
        <v>134.68</v>
      </c>
      <c r="AA1279" s="102">
        <f>IF(OR(TransTonsShort[[#This Row],[CollectionStream_ID]]="03",TransTonsShort[[#This Row],[CollectionStream_ID]]="04",TransTonsShort[[#This Row],[CollectionStream_ID]]="13"),0,TransTonsShort[[#This Row],[Trans_Tons_All]]*TransTonsShort[[#This Row],[Disposal_Fee]])</f>
        <v>162787.66026377925</v>
      </c>
    </row>
    <row r="1280" spans="12:27" ht="15" x14ac:dyDescent="0.25">
      <c r="L1280" s="446" t="s">
        <v>870</v>
      </c>
      <c r="M1280" s="446">
        <v>2</v>
      </c>
      <c r="N1280" s="446">
        <v>4</v>
      </c>
      <c r="O1280" s="446" t="s">
        <v>750</v>
      </c>
      <c r="P1280" s="449" t="s">
        <v>739</v>
      </c>
      <c r="Q1280" s="449"/>
      <c r="R1280" s="449"/>
      <c r="S1280" s="449" t="s">
        <v>963</v>
      </c>
      <c r="T1280" s="449" t="s">
        <v>1121</v>
      </c>
      <c r="U1280" s="452">
        <v>5211.3592078475976</v>
      </c>
      <c r="V1280"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215229.13528410578</v>
      </c>
      <c r="W1280" s="272">
        <f>IFERROR(SUMIFS(TransUnitCost[Miles],TransUnitCost[Grouping_ID],TransTonsShort[[#This Row],[Grouping_ID]],TransUnitCost[Transp_ID],TransTonsShort[[#This Row],[Transp_ID]])*TransTonsShort[[#This Row],[Trans_Tons_All]]/TransTonsShort[[#This Row],[Trans_Tons_All]],"")</f>
        <v>70</v>
      </c>
      <c r="X1280" s="386" t="str">
        <f>TransTonsShort[[#This Row],[Grouping_ID]]&amp;"-"&amp;TransTonsShort[[#This Row],[Sector_ID]]</f>
        <v>2-4</v>
      </c>
      <c r="Y12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0" s="421">
        <f>INDEX(LandfillFees[Disposal Tip Fee 2025],MATCH(TransTonsShort[[#This Row],[Grouping_ID]],LandfillFees[Grouping_ID],0))</f>
        <v>72.030938699729589</v>
      </c>
      <c r="AA1280" s="102">
        <f>IF(OR(TransTonsShort[[#This Row],[CollectionStream_ID]]="03",TransTonsShort[[#This Row],[CollectionStream_ID]]="04",TransTonsShort[[#This Row],[CollectionStream_ID]]="13"),0,TransTonsShort[[#This Row],[Trans_Tons_All]]*TransTonsShort[[#This Row],[Disposal_Fee]])</f>
        <v>375379.09564274165</v>
      </c>
    </row>
    <row r="1281" spans="12:27" ht="15" x14ac:dyDescent="0.25">
      <c r="L1281" s="446" t="s">
        <v>870</v>
      </c>
      <c r="M1281" s="446">
        <v>3</v>
      </c>
      <c r="N1281" s="446">
        <v>4</v>
      </c>
      <c r="O1281" s="446" t="s">
        <v>750</v>
      </c>
      <c r="P1281" s="449" t="s">
        <v>739</v>
      </c>
      <c r="Q1281" s="449"/>
      <c r="R1281" s="449"/>
      <c r="S1281" s="449" t="s">
        <v>963</v>
      </c>
      <c r="T1281" s="449" t="s">
        <v>1121</v>
      </c>
      <c r="U1281" s="452">
        <v>1287.303248860916</v>
      </c>
      <c r="V1281"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46342.916958992981</v>
      </c>
      <c r="W1281" s="272">
        <f>IFERROR(SUMIFS(TransUnitCost[Miles],TransUnitCost[Grouping_ID],TransTonsShort[[#This Row],[Grouping_ID]],TransUnitCost[Transp_ID],TransTonsShort[[#This Row],[Transp_ID]])*TransTonsShort[[#This Row],[Trans_Tons_All]]/TransTonsShort[[#This Row],[Trans_Tons_All]],"")</f>
        <v>150</v>
      </c>
      <c r="X1281" s="386" t="str">
        <f>TransTonsShort[[#This Row],[Grouping_ID]]&amp;"-"&amp;TransTonsShort[[#This Row],[Sector_ID]]</f>
        <v>3-4</v>
      </c>
      <c r="Y12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1" s="421">
        <f>INDEX(LandfillFees[Disposal Tip Fee 2025],MATCH(TransTonsShort[[#This Row],[Grouping_ID]],LandfillFees[Grouping_ID],0))</f>
        <v>72.030938699729589</v>
      </c>
      <c r="AA1281" s="102">
        <f>IF(OR(TransTonsShort[[#This Row],[CollectionStream_ID]]="03",TransTonsShort[[#This Row],[CollectionStream_ID]]="04",TransTonsShort[[#This Row],[CollectionStream_ID]]="13"),0,TransTonsShort[[#This Row],[Trans_Tons_All]]*TransTonsShort[[#This Row],[Disposal_Fee]])</f>
        <v>92725.661406663392</v>
      </c>
    </row>
    <row r="1282" spans="12:27" ht="15" x14ac:dyDescent="0.25">
      <c r="L1282" s="446" t="s">
        <v>870</v>
      </c>
      <c r="M1282" s="446">
        <v>4</v>
      </c>
      <c r="N1282" s="446">
        <v>4</v>
      </c>
      <c r="O1282" s="446" t="s">
        <v>750</v>
      </c>
      <c r="P1282" s="449" t="s">
        <v>739</v>
      </c>
      <c r="Q1282" s="449"/>
      <c r="R1282" s="449"/>
      <c r="S1282" s="449" t="s">
        <v>963</v>
      </c>
      <c r="T1282" s="449" t="s">
        <v>1121</v>
      </c>
      <c r="U1282" s="452">
        <v>11682.399622554176</v>
      </c>
      <c r="V1282"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642531.97924047965</v>
      </c>
      <c r="W1282" s="272">
        <f>IFERROR(SUMIFS(TransUnitCost[Miles],TransUnitCost[Grouping_ID],TransTonsShort[[#This Row],[Grouping_ID]],TransUnitCost[Transp_ID],TransTonsShort[[#This Row],[Transp_ID]])*TransTonsShort[[#This Row],[Trans_Tons_All]]/TransTonsShort[[#This Row],[Trans_Tons_All]],"")</f>
        <v>250</v>
      </c>
      <c r="X1282" s="386" t="str">
        <f>TransTonsShort[[#This Row],[Grouping_ID]]&amp;"-"&amp;TransTonsShort[[#This Row],[Sector_ID]]</f>
        <v>4-4</v>
      </c>
      <c r="Y12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2" s="421">
        <f>INDEX(LandfillFees[Disposal Tip Fee 2025],MATCH(TransTonsShort[[#This Row],[Grouping_ID]],LandfillFees[Grouping_ID],0))</f>
        <v>72.030938699729589</v>
      </c>
      <c r="AA1282" s="102">
        <f>IF(OR(TransTonsShort[[#This Row],[CollectionStream_ID]]="03",TransTonsShort[[#This Row],[CollectionStream_ID]]="04",TransTonsShort[[#This Row],[CollectionStream_ID]]="13"),0,TransTonsShort[[#This Row],[Trans_Tons_All]]*TransTonsShort[[#This Row],[Disposal_Fee]])</f>
        <v>841494.21107794391</v>
      </c>
    </row>
    <row r="1283" spans="12:27" ht="15" x14ac:dyDescent="0.25">
      <c r="L1283" s="446" t="s">
        <v>870</v>
      </c>
      <c r="M1283" s="446">
        <v>1</v>
      </c>
      <c r="N1283" s="446">
        <v>4</v>
      </c>
      <c r="O1283" s="446" t="s">
        <v>750</v>
      </c>
      <c r="P1283" s="449" t="s">
        <v>700</v>
      </c>
      <c r="Q1283" s="449"/>
      <c r="R1283" s="449"/>
      <c r="S1283" s="449" t="s">
        <v>963</v>
      </c>
      <c r="T1283" s="449" t="s">
        <v>701</v>
      </c>
      <c r="U1283" s="452">
        <v>0</v>
      </c>
      <c r="V1283"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83" s="272" t="str">
        <f>IFERROR(SUMIFS(TransUnitCost[Miles],TransUnitCost[Grouping_ID],TransTonsShort[[#This Row],[Grouping_ID]],TransUnitCost[Transp_ID],TransTonsShort[[#This Row],[Transp_ID]])*TransTonsShort[[#This Row],[Trans_Tons_All]]/TransTonsShort[[#This Row],[Trans_Tons_All]],"")</f>
        <v/>
      </c>
      <c r="X1283" s="386" t="str">
        <f>TransTonsShort[[#This Row],[Grouping_ID]]&amp;"-"&amp;TransTonsShort[[#This Row],[Sector_ID]]</f>
        <v>1-4</v>
      </c>
      <c r="Y12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3" s="421">
        <f>INDEX(LandfillFees[Disposal Tip Fee 2025],MATCH(TransTonsShort[[#This Row],[Grouping_ID]],LandfillFees[Grouping_ID],0))</f>
        <v>134.68</v>
      </c>
      <c r="AA1283" s="102">
        <f>IF(OR(TransTonsShort[[#This Row],[CollectionStream_ID]]="03",TransTonsShort[[#This Row],[CollectionStream_ID]]="04",TransTonsShort[[#This Row],[CollectionStream_ID]]="13"),0,TransTonsShort[[#This Row],[Trans_Tons_All]]*TransTonsShort[[#This Row],[Disposal_Fee]])</f>
        <v>0</v>
      </c>
    </row>
    <row r="1284" spans="12:27" ht="15" x14ac:dyDescent="0.25">
      <c r="L1284" s="446" t="s">
        <v>870</v>
      </c>
      <c r="M1284" s="446">
        <v>2</v>
      </c>
      <c r="N1284" s="446">
        <v>4</v>
      </c>
      <c r="O1284" s="446" t="s">
        <v>750</v>
      </c>
      <c r="P1284" s="449" t="s">
        <v>700</v>
      </c>
      <c r="Q1284" s="449"/>
      <c r="R1284" s="449"/>
      <c r="S1284" s="449" t="s">
        <v>963</v>
      </c>
      <c r="T1284" s="449" t="s">
        <v>701</v>
      </c>
      <c r="U1284" s="452">
        <v>0</v>
      </c>
      <c r="V1284"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84" s="272" t="str">
        <f>IFERROR(SUMIFS(TransUnitCost[Miles],TransUnitCost[Grouping_ID],TransTonsShort[[#This Row],[Grouping_ID]],TransUnitCost[Transp_ID],TransTonsShort[[#This Row],[Transp_ID]])*TransTonsShort[[#This Row],[Trans_Tons_All]]/TransTonsShort[[#This Row],[Trans_Tons_All]],"")</f>
        <v/>
      </c>
      <c r="X1284" s="386" t="str">
        <f>TransTonsShort[[#This Row],[Grouping_ID]]&amp;"-"&amp;TransTonsShort[[#This Row],[Sector_ID]]</f>
        <v>2-4</v>
      </c>
      <c r="Y12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4" s="421">
        <f>INDEX(LandfillFees[Disposal Tip Fee 2025],MATCH(TransTonsShort[[#This Row],[Grouping_ID]],LandfillFees[Grouping_ID],0))</f>
        <v>72.030938699729589</v>
      </c>
      <c r="AA1284" s="102">
        <f>IF(OR(TransTonsShort[[#This Row],[CollectionStream_ID]]="03",TransTonsShort[[#This Row],[CollectionStream_ID]]="04",TransTonsShort[[#This Row],[CollectionStream_ID]]="13"),0,TransTonsShort[[#This Row],[Trans_Tons_All]]*TransTonsShort[[#This Row],[Disposal_Fee]])</f>
        <v>0</v>
      </c>
    </row>
    <row r="1285" spans="12:27" ht="15" x14ac:dyDescent="0.25">
      <c r="L1285" s="446" t="s">
        <v>870</v>
      </c>
      <c r="M1285" s="446">
        <v>3</v>
      </c>
      <c r="N1285" s="446">
        <v>4</v>
      </c>
      <c r="O1285" s="446" t="s">
        <v>750</v>
      </c>
      <c r="P1285" s="449" t="s">
        <v>700</v>
      </c>
      <c r="Q1285" s="449"/>
      <c r="R1285" s="449"/>
      <c r="S1285" s="449" t="s">
        <v>963</v>
      </c>
      <c r="T1285" s="449" t="s">
        <v>701</v>
      </c>
      <c r="U1285" s="452">
        <v>0</v>
      </c>
      <c r="V1285"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85" s="272" t="str">
        <f>IFERROR(SUMIFS(TransUnitCost[Miles],TransUnitCost[Grouping_ID],TransTonsShort[[#This Row],[Grouping_ID]],TransUnitCost[Transp_ID],TransTonsShort[[#This Row],[Transp_ID]])*TransTonsShort[[#This Row],[Trans_Tons_All]]/TransTonsShort[[#This Row],[Trans_Tons_All]],"")</f>
        <v/>
      </c>
      <c r="X1285" s="386" t="str">
        <f>TransTonsShort[[#This Row],[Grouping_ID]]&amp;"-"&amp;TransTonsShort[[#This Row],[Sector_ID]]</f>
        <v>3-4</v>
      </c>
      <c r="Y12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5" s="421">
        <f>INDEX(LandfillFees[Disposal Tip Fee 2025],MATCH(TransTonsShort[[#This Row],[Grouping_ID]],LandfillFees[Grouping_ID],0))</f>
        <v>72.030938699729589</v>
      </c>
      <c r="AA1285" s="102">
        <f>IF(OR(TransTonsShort[[#This Row],[CollectionStream_ID]]="03",TransTonsShort[[#This Row],[CollectionStream_ID]]="04",TransTonsShort[[#This Row],[CollectionStream_ID]]="13"),0,TransTonsShort[[#This Row],[Trans_Tons_All]]*TransTonsShort[[#This Row],[Disposal_Fee]])</f>
        <v>0</v>
      </c>
    </row>
    <row r="1286" spans="12:27" ht="15" x14ac:dyDescent="0.25">
      <c r="L1286" s="446" t="s">
        <v>870</v>
      </c>
      <c r="M1286" s="446">
        <v>4</v>
      </c>
      <c r="N1286" s="446">
        <v>4</v>
      </c>
      <c r="O1286" s="446" t="s">
        <v>750</v>
      </c>
      <c r="P1286" s="449" t="s">
        <v>700</v>
      </c>
      <c r="Q1286" s="449"/>
      <c r="R1286" s="449"/>
      <c r="S1286" s="449" t="s">
        <v>963</v>
      </c>
      <c r="T1286" s="449" t="s">
        <v>701</v>
      </c>
      <c r="U1286" s="452">
        <v>0</v>
      </c>
      <c r="V1286" s="256">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0</v>
      </c>
      <c r="W1286" s="272" t="str">
        <f>IFERROR(SUMIFS(TransUnitCost[Miles],TransUnitCost[Grouping_ID],TransTonsShort[[#This Row],[Grouping_ID]],TransUnitCost[Transp_ID],TransTonsShort[[#This Row],[Transp_ID]])*TransTonsShort[[#This Row],[Trans_Tons_All]]/TransTonsShort[[#This Row],[Trans_Tons_All]],"")</f>
        <v/>
      </c>
      <c r="X1286" s="386" t="str">
        <f>TransTonsShort[[#This Row],[Grouping_ID]]&amp;"-"&amp;TransTonsShort[[#This Row],[Sector_ID]]</f>
        <v>4-4</v>
      </c>
      <c r="Y12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Separated</v>
      </c>
      <c r="Z1286" s="421">
        <f>INDEX(LandfillFees[Disposal Tip Fee 2025],MATCH(TransTonsShort[[#This Row],[Grouping_ID]],LandfillFees[Grouping_ID],0))</f>
        <v>72.030938699729589</v>
      </c>
      <c r="AA1286" s="102">
        <f>IF(OR(TransTonsShort[[#This Row],[CollectionStream_ID]]="03",TransTonsShort[[#This Row],[CollectionStream_ID]]="04",TransTonsShort[[#This Row],[CollectionStream_ID]]="13"),0,TransTonsShort[[#This Row],[Trans_Tons_All]]*TransTonsShort[[#This Row],[Disposal_Fee]])</f>
        <v>0</v>
      </c>
    </row>
    <row r="1287" spans="12:27" ht="15" x14ac:dyDescent="0.25">
      <c r="L1287" s="446" t="s">
        <v>876</v>
      </c>
      <c r="M1287" s="446">
        <v>1</v>
      </c>
      <c r="N1287" s="446">
        <v>1</v>
      </c>
      <c r="O1287" s="446" t="s">
        <v>712</v>
      </c>
      <c r="P1287" s="449" t="s">
        <v>744</v>
      </c>
      <c r="Q1287" s="449"/>
      <c r="R1287" s="449"/>
      <c r="S1287" s="449" t="s">
        <v>713</v>
      </c>
      <c r="T1287" s="449" t="s">
        <v>967</v>
      </c>
      <c r="U1287" s="452">
        <v>270696.58533119952</v>
      </c>
      <c r="V128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87" s="272">
        <f>IFERROR(SUMIFS(TransUnitCost[Miles],TransUnitCost[Grouping_ID],TransTonsShort[[#This Row],[Grouping_ID]],TransUnitCost[Transp_ID],TransTonsShort[[#This Row],[Transp_ID]])*TransTonsShort[[#This Row],[Trans_Tons_All]]/TransTonsShort[[#This Row],[Trans_Tons_All]],"")</f>
        <v>0</v>
      </c>
      <c r="X1287" s="386" t="str">
        <f>TransTonsShort[[#This Row],[Grouping_ID]]&amp;"-"&amp;TransTonsShort[[#This Row],[Sector_ID]]</f>
        <v>1-1</v>
      </c>
      <c r="Y12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287" s="421">
        <f>INDEX(LandfillFees[Disposal Tip Fee 2025],MATCH(TransTonsShort[[#This Row],[Grouping_ID]],LandfillFees[Grouping_ID],0))</f>
        <v>134.68</v>
      </c>
      <c r="AA1287" s="102">
        <f>IF(OR(TransTonsShort[[#This Row],[CollectionStream_ID]]="03",TransTonsShort[[#This Row],[CollectionStream_ID]]="04",TransTonsShort[[#This Row],[CollectionStream_ID]]="13"),0,TransTonsShort[[#This Row],[Trans_Tons_All]]*TransTonsShort[[#This Row],[Disposal_Fee]])</f>
        <v>0</v>
      </c>
    </row>
    <row r="1288" spans="12:27" ht="15" x14ac:dyDescent="0.25">
      <c r="L1288" s="446" t="s">
        <v>876</v>
      </c>
      <c r="M1288" s="446">
        <v>1</v>
      </c>
      <c r="N1288" s="446">
        <v>1</v>
      </c>
      <c r="O1288" s="446" t="s">
        <v>719</v>
      </c>
      <c r="P1288" s="449" t="s">
        <v>744</v>
      </c>
      <c r="Q1288" s="449"/>
      <c r="R1288" s="449"/>
      <c r="S1288" s="449" t="s">
        <v>720</v>
      </c>
      <c r="T1288" s="449" t="s">
        <v>967</v>
      </c>
      <c r="U1288" s="452">
        <v>144781.32652718961</v>
      </c>
      <c r="V128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88" s="272">
        <f>IFERROR(SUMIFS(TransUnitCost[Miles],TransUnitCost[Grouping_ID],TransTonsShort[[#This Row],[Grouping_ID]],TransUnitCost[Transp_ID],TransTonsShort[[#This Row],[Transp_ID]])*TransTonsShort[[#This Row],[Trans_Tons_All]]/TransTonsShort[[#This Row],[Trans_Tons_All]],"")</f>
        <v>0</v>
      </c>
      <c r="X1288" s="386" t="str">
        <f>TransTonsShort[[#This Row],[Grouping_ID]]&amp;"-"&amp;TransTonsShort[[#This Row],[Sector_ID]]</f>
        <v>1-1</v>
      </c>
      <c r="Y12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288" s="421">
        <f>INDEX(LandfillFees[Disposal Tip Fee 2025],MATCH(TransTonsShort[[#This Row],[Grouping_ID]],LandfillFees[Grouping_ID],0))</f>
        <v>134.68</v>
      </c>
      <c r="AA1288" s="102">
        <f>IF(OR(TransTonsShort[[#This Row],[CollectionStream_ID]]="03",TransTonsShort[[#This Row],[CollectionStream_ID]]="04",TransTonsShort[[#This Row],[CollectionStream_ID]]="13"),0,TransTonsShort[[#This Row],[Trans_Tons_All]]*TransTonsShort[[#This Row],[Disposal_Fee]])</f>
        <v>0</v>
      </c>
    </row>
    <row r="1289" spans="12:27" ht="15" x14ac:dyDescent="0.25">
      <c r="L1289" s="446" t="s">
        <v>876</v>
      </c>
      <c r="M1289" s="446">
        <v>1</v>
      </c>
      <c r="N1289" s="446">
        <v>1</v>
      </c>
      <c r="O1289" s="446" t="s">
        <v>754</v>
      </c>
      <c r="P1289" s="449" t="s">
        <v>744</v>
      </c>
      <c r="Q1289" s="449"/>
      <c r="R1289" s="449"/>
      <c r="S1289" s="449" t="s">
        <v>1991</v>
      </c>
      <c r="T1289" s="449" t="s">
        <v>967</v>
      </c>
      <c r="U1289" s="452">
        <v>343.64376002431334</v>
      </c>
      <c r="V128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89" s="272">
        <f>IFERROR(SUMIFS(TransUnitCost[Miles],TransUnitCost[Grouping_ID],TransTonsShort[[#This Row],[Grouping_ID]],TransUnitCost[Transp_ID],TransTonsShort[[#This Row],[Transp_ID]])*TransTonsShort[[#This Row],[Trans_Tons_All]]/TransTonsShort[[#This Row],[Trans_Tons_All]],"")</f>
        <v>0</v>
      </c>
      <c r="X1289" s="386" t="str">
        <f>TransTonsShort[[#This Row],[Grouping_ID]]&amp;"-"&amp;TransTonsShort[[#This Row],[Sector_ID]]</f>
        <v>1-1</v>
      </c>
      <c r="Y12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289" s="421">
        <f>INDEX(LandfillFees[Disposal Tip Fee 2025],MATCH(TransTonsShort[[#This Row],[Grouping_ID]],LandfillFees[Grouping_ID],0))</f>
        <v>134.68</v>
      </c>
      <c r="AA1289" s="102">
        <f>IF(OR(TransTonsShort[[#This Row],[CollectionStream_ID]]="03",TransTonsShort[[#This Row],[CollectionStream_ID]]="04",TransTonsShort[[#This Row],[CollectionStream_ID]]="13"),0,TransTonsShort[[#This Row],[Trans_Tons_All]]*TransTonsShort[[#This Row],[Disposal_Fee]])</f>
        <v>0</v>
      </c>
    </row>
    <row r="1290" spans="12:27" ht="15" x14ac:dyDescent="0.25">
      <c r="L1290" s="446" t="s">
        <v>876</v>
      </c>
      <c r="M1290" s="446">
        <v>1</v>
      </c>
      <c r="N1290" s="446">
        <v>2</v>
      </c>
      <c r="O1290" s="446" t="s">
        <v>712</v>
      </c>
      <c r="P1290" s="449" t="s">
        <v>744</v>
      </c>
      <c r="Q1290" s="449"/>
      <c r="R1290" s="449"/>
      <c r="S1290" s="449" t="s">
        <v>713</v>
      </c>
      <c r="T1290" s="449" t="s">
        <v>967</v>
      </c>
      <c r="U1290" s="452">
        <v>115620.61201558373</v>
      </c>
      <c r="V129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0" s="272">
        <f>IFERROR(SUMIFS(TransUnitCost[Miles],TransUnitCost[Grouping_ID],TransTonsShort[[#This Row],[Grouping_ID]],TransUnitCost[Transp_ID],TransTonsShort[[#This Row],[Transp_ID]])*TransTonsShort[[#This Row],[Trans_Tons_All]]/TransTonsShort[[#This Row],[Trans_Tons_All]],"")</f>
        <v>0</v>
      </c>
      <c r="X1290" s="386" t="str">
        <f>TransTonsShort[[#This Row],[Grouping_ID]]&amp;"-"&amp;TransTonsShort[[#This Row],[Sector_ID]]</f>
        <v>1-2</v>
      </c>
      <c r="Y12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290" s="421">
        <f>INDEX(LandfillFees[Disposal Tip Fee 2025],MATCH(TransTonsShort[[#This Row],[Grouping_ID]],LandfillFees[Grouping_ID],0))</f>
        <v>134.68</v>
      </c>
      <c r="AA1290" s="102">
        <f>IF(OR(TransTonsShort[[#This Row],[CollectionStream_ID]]="03",TransTonsShort[[#This Row],[CollectionStream_ID]]="04",TransTonsShort[[#This Row],[CollectionStream_ID]]="13"),0,TransTonsShort[[#This Row],[Trans_Tons_All]]*TransTonsShort[[#This Row],[Disposal_Fee]])</f>
        <v>0</v>
      </c>
    </row>
    <row r="1291" spans="12:27" ht="15" x14ac:dyDescent="0.25">
      <c r="L1291" s="446" t="s">
        <v>876</v>
      </c>
      <c r="M1291" s="446">
        <v>1</v>
      </c>
      <c r="N1291" s="446">
        <v>2</v>
      </c>
      <c r="O1291" s="446" t="s">
        <v>719</v>
      </c>
      <c r="P1291" s="450" t="s">
        <v>744</v>
      </c>
      <c r="Q1291" s="450"/>
      <c r="R1291" s="450"/>
      <c r="S1291" s="449" t="s">
        <v>720</v>
      </c>
      <c r="T1291" s="449" t="s">
        <v>967</v>
      </c>
      <c r="U1291" s="452">
        <v>3180.8415117578074</v>
      </c>
      <c r="V129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1" s="272">
        <f>IFERROR(SUMIFS(TransUnitCost[Miles],TransUnitCost[Grouping_ID],TransTonsShort[[#This Row],[Grouping_ID]],TransUnitCost[Transp_ID],TransTonsShort[[#This Row],[Transp_ID]])*TransTonsShort[[#This Row],[Trans_Tons_All]]/TransTonsShort[[#This Row],[Trans_Tons_All]],"")</f>
        <v>0</v>
      </c>
      <c r="X1291" s="386" t="str">
        <f>TransTonsShort[[#This Row],[Grouping_ID]]&amp;"-"&amp;TransTonsShort[[#This Row],[Sector_ID]]</f>
        <v>1-2</v>
      </c>
      <c r="Y12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291" s="421">
        <f>INDEX(LandfillFees[Disposal Tip Fee 2025],MATCH(TransTonsShort[[#This Row],[Grouping_ID]],LandfillFees[Grouping_ID],0))</f>
        <v>134.68</v>
      </c>
      <c r="AA1291" s="102">
        <f>IF(OR(TransTonsShort[[#This Row],[CollectionStream_ID]]="03",TransTonsShort[[#This Row],[CollectionStream_ID]]="04",TransTonsShort[[#This Row],[CollectionStream_ID]]="13"),0,TransTonsShort[[#This Row],[Trans_Tons_All]]*TransTonsShort[[#This Row],[Disposal_Fee]])</f>
        <v>0</v>
      </c>
    </row>
    <row r="1292" spans="12:27" ht="15" x14ac:dyDescent="0.25">
      <c r="L1292" s="446" t="s">
        <v>876</v>
      </c>
      <c r="M1292" s="446">
        <v>1</v>
      </c>
      <c r="N1292" s="446">
        <v>2</v>
      </c>
      <c r="O1292" s="446" t="s">
        <v>754</v>
      </c>
      <c r="P1292" s="450" t="s">
        <v>744</v>
      </c>
      <c r="Q1292" s="450"/>
      <c r="R1292" s="450"/>
      <c r="S1292" s="449" t="s">
        <v>1991</v>
      </c>
      <c r="T1292" s="449" t="s">
        <v>967</v>
      </c>
      <c r="U1292" s="452">
        <v>0.84305151988863725</v>
      </c>
      <c r="V129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2" s="272">
        <f>IFERROR(SUMIFS(TransUnitCost[Miles],TransUnitCost[Grouping_ID],TransTonsShort[[#This Row],[Grouping_ID]],TransUnitCost[Transp_ID],TransTonsShort[[#This Row],[Transp_ID]])*TransTonsShort[[#This Row],[Trans_Tons_All]]/TransTonsShort[[#This Row],[Trans_Tons_All]],"")</f>
        <v>0</v>
      </c>
      <c r="X1292" s="386" t="str">
        <f>TransTonsShort[[#This Row],[Grouping_ID]]&amp;"-"&amp;TransTonsShort[[#This Row],[Sector_ID]]</f>
        <v>1-2</v>
      </c>
      <c r="Y12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292" s="421">
        <f>INDEX(LandfillFees[Disposal Tip Fee 2025],MATCH(TransTonsShort[[#This Row],[Grouping_ID]],LandfillFees[Grouping_ID],0))</f>
        <v>134.68</v>
      </c>
      <c r="AA1292" s="102">
        <f>IF(OR(TransTonsShort[[#This Row],[CollectionStream_ID]]="03",TransTonsShort[[#This Row],[CollectionStream_ID]]="04",TransTonsShort[[#This Row],[CollectionStream_ID]]="13"),0,TransTonsShort[[#This Row],[Trans_Tons_All]]*TransTonsShort[[#This Row],[Disposal_Fee]])</f>
        <v>0</v>
      </c>
    </row>
    <row r="1293" spans="12:27" ht="15" x14ac:dyDescent="0.25">
      <c r="L1293" s="446" t="s">
        <v>876</v>
      </c>
      <c r="M1293" s="446">
        <v>1</v>
      </c>
      <c r="N1293" s="446">
        <v>3</v>
      </c>
      <c r="O1293" s="446" t="s">
        <v>712</v>
      </c>
      <c r="P1293" s="450" t="s">
        <v>744</v>
      </c>
      <c r="Q1293" s="450"/>
      <c r="R1293" s="450"/>
      <c r="S1293" s="449" t="s">
        <v>713</v>
      </c>
      <c r="T1293" s="449" t="s">
        <v>967</v>
      </c>
      <c r="U1293" s="452">
        <v>400497.2425115396</v>
      </c>
      <c r="V129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3" s="272">
        <f>IFERROR(SUMIFS(TransUnitCost[Miles],TransUnitCost[Grouping_ID],TransTonsShort[[#This Row],[Grouping_ID]],TransUnitCost[Transp_ID],TransTonsShort[[#This Row],[Transp_ID]])*TransTonsShort[[#This Row],[Trans_Tons_All]]/TransTonsShort[[#This Row],[Trans_Tons_All]],"")</f>
        <v>0</v>
      </c>
      <c r="X1293" s="386" t="str">
        <f>TransTonsShort[[#This Row],[Grouping_ID]]&amp;"-"&amp;TransTonsShort[[#This Row],[Sector_ID]]</f>
        <v>1-3</v>
      </c>
      <c r="Y12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293" s="421">
        <f>INDEX(LandfillFees[Disposal Tip Fee 2025],MATCH(TransTonsShort[[#This Row],[Grouping_ID]],LandfillFees[Grouping_ID],0))</f>
        <v>134.68</v>
      </c>
      <c r="AA1293" s="102">
        <f>IF(OR(TransTonsShort[[#This Row],[CollectionStream_ID]]="03",TransTonsShort[[#This Row],[CollectionStream_ID]]="04",TransTonsShort[[#This Row],[CollectionStream_ID]]="13"),0,TransTonsShort[[#This Row],[Trans_Tons_All]]*TransTonsShort[[#This Row],[Disposal_Fee]])</f>
        <v>0</v>
      </c>
    </row>
    <row r="1294" spans="12:27" ht="15" x14ac:dyDescent="0.25">
      <c r="L1294" s="446" t="s">
        <v>876</v>
      </c>
      <c r="M1294" s="446">
        <v>1</v>
      </c>
      <c r="N1294" s="446">
        <v>3</v>
      </c>
      <c r="O1294" s="446" t="s">
        <v>719</v>
      </c>
      <c r="P1294" s="450" t="s">
        <v>744</v>
      </c>
      <c r="Q1294" s="450"/>
      <c r="R1294" s="450"/>
      <c r="S1294" s="449" t="s">
        <v>720</v>
      </c>
      <c r="T1294" s="449" t="s">
        <v>967</v>
      </c>
      <c r="U1294" s="452">
        <v>40366.685615916875</v>
      </c>
      <c r="V129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4" s="272">
        <f>IFERROR(SUMIFS(TransUnitCost[Miles],TransUnitCost[Grouping_ID],TransTonsShort[[#This Row],[Grouping_ID]],TransUnitCost[Transp_ID],TransTonsShort[[#This Row],[Transp_ID]])*TransTonsShort[[#This Row],[Trans_Tons_All]]/TransTonsShort[[#This Row],[Trans_Tons_All]],"")</f>
        <v>0</v>
      </c>
      <c r="X1294" s="386" t="str">
        <f>TransTonsShort[[#This Row],[Grouping_ID]]&amp;"-"&amp;TransTonsShort[[#This Row],[Sector_ID]]</f>
        <v>1-3</v>
      </c>
      <c r="Y12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294" s="421">
        <f>INDEX(LandfillFees[Disposal Tip Fee 2025],MATCH(TransTonsShort[[#This Row],[Grouping_ID]],LandfillFees[Grouping_ID],0))</f>
        <v>134.68</v>
      </c>
      <c r="AA1294" s="102">
        <f>IF(OR(TransTonsShort[[#This Row],[CollectionStream_ID]]="03",TransTonsShort[[#This Row],[CollectionStream_ID]]="04",TransTonsShort[[#This Row],[CollectionStream_ID]]="13"),0,TransTonsShort[[#This Row],[Trans_Tons_All]]*TransTonsShort[[#This Row],[Disposal_Fee]])</f>
        <v>0</v>
      </c>
    </row>
    <row r="1295" spans="12:27" ht="15" x14ac:dyDescent="0.25">
      <c r="L1295" s="446" t="s">
        <v>876</v>
      </c>
      <c r="M1295" s="446">
        <v>1</v>
      </c>
      <c r="N1295" s="446">
        <v>3</v>
      </c>
      <c r="O1295" s="446" t="s">
        <v>754</v>
      </c>
      <c r="P1295" s="449" t="s">
        <v>744</v>
      </c>
      <c r="Q1295" s="449"/>
      <c r="R1295" s="449"/>
      <c r="S1295" s="449" t="s">
        <v>1991</v>
      </c>
      <c r="T1295" s="449" t="s">
        <v>967</v>
      </c>
      <c r="U1295" s="452">
        <v>699.42953050571566</v>
      </c>
      <c r="V129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5" s="272">
        <f>IFERROR(SUMIFS(TransUnitCost[Miles],TransUnitCost[Grouping_ID],TransTonsShort[[#This Row],[Grouping_ID]],TransUnitCost[Transp_ID],TransTonsShort[[#This Row],[Transp_ID]])*TransTonsShort[[#This Row],[Trans_Tons_All]]/TransTonsShort[[#This Row],[Trans_Tons_All]],"")</f>
        <v>0</v>
      </c>
      <c r="X1295" s="386" t="str">
        <f>TransTonsShort[[#This Row],[Grouping_ID]]&amp;"-"&amp;TransTonsShort[[#This Row],[Sector_ID]]</f>
        <v>1-3</v>
      </c>
      <c r="Y12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295" s="421">
        <f>INDEX(LandfillFees[Disposal Tip Fee 2025],MATCH(TransTonsShort[[#This Row],[Grouping_ID]],LandfillFees[Grouping_ID],0))</f>
        <v>134.68</v>
      </c>
      <c r="AA1295" s="102">
        <f>IF(OR(TransTonsShort[[#This Row],[CollectionStream_ID]]="03",TransTonsShort[[#This Row],[CollectionStream_ID]]="04",TransTonsShort[[#This Row],[CollectionStream_ID]]="13"),0,TransTonsShort[[#This Row],[Trans_Tons_All]]*TransTonsShort[[#This Row],[Disposal_Fee]])</f>
        <v>0</v>
      </c>
    </row>
    <row r="1296" spans="12:27" ht="15" x14ac:dyDescent="0.25">
      <c r="L1296" s="446" t="s">
        <v>876</v>
      </c>
      <c r="M1296" s="446">
        <v>1</v>
      </c>
      <c r="N1296" s="446">
        <v>4</v>
      </c>
      <c r="O1296" s="446" t="s">
        <v>712</v>
      </c>
      <c r="P1296" s="449" t="s">
        <v>744</v>
      </c>
      <c r="Q1296" s="449"/>
      <c r="R1296" s="449"/>
      <c r="S1296" s="449" t="s">
        <v>713</v>
      </c>
      <c r="T1296" s="449" t="s">
        <v>967</v>
      </c>
      <c r="U1296" s="452">
        <v>151736.5395458343</v>
      </c>
      <c r="V129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6" s="272">
        <f>IFERROR(SUMIFS(TransUnitCost[Miles],TransUnitCost[Grouping_ID],TransTonsShort[[#This Row],[Grouping_ID]],TransUnitCost[Transp_ID],TransTonsShort[[#This Row],[Transp_ID]])*TransTonsShort[[#This Row],[Trans_Tons_All]]/TransTonsShort[[#This Row],[Trans_Tons_All]],"")</f>
        <v>0</v>
      </c>
      <c r="X1296" s="386" t="str">
        <f>TransTonsShort[[#This Row],[Grouping_ID]]&amp;"-"&amp;TransTonsShort[[#This Row],[Sector_ID]]</f>
        <v>1-4</v>
      </c>
      <c r="Y12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296" s="421">
        <f>INDEX(LandfillFees[Disposal Tip Fee 2025],MATCH(TransTonsShort[[#This Row],[Grouping_ID]],LandfillFees[Grouping_ID],0))</f>
        <v>134.68</v>
      </c>
      <c r="AA1296" s="102">
        <f>IF(OR(TransTonsShort[[#This Row],[CollectionStream_ID]]="03",TransTonsShort[[#This Row],[CollectionStream_ID]]="04",TransTonsShort[[#This Row],[CollectionStream_ID]]="13"),0,TransTonsShort[[#This Row],[Trans_Tons_All]]*TransTonsShort[[#This Row],[Disposal_Fee]])</f>
        <v>0</v>
      </c>
    </row>
    <row r="1297" spans="12:27" ht="15" x14ac:dyDescent="0.25">
      <c r="L1297" s="446" t="s">
        <v>876</v>
      </c>
      <c r="M1297" s="446">
        <v>1</v>
      </c>
      <c r="N1297" s="446">
        <v>4</v>
      </c>
      <c r="O1297" s="446" t="s">
        <v>719</v>
      </c>
      <c r="P1297" s="449" t="s">
        <v>744</v>
      </c>
      <c r="Q1297" s="449"/>
      <c r="R1297" s="449"/>
      <c r="S1297" s="449" t="s">
        <v>720</v>
      </c>
      <c r="T1297" s="449" t="s">
        <v>967</v>
      </c>
      <c r="U1297" s="452">
        <v>4803.1254415545491</v>
      </c>
      <c r="V129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7" s="272">
        <f>IFERROR(SUMIFS(TransUnitCost[Miles],TransUnitCost[Grouping_ID],TransTonsShort[[#This Row],[Grouping_ID]],TransUnitCost[Transp_ID],TransTonsShort[[#This Row],[Transp_ID]])*TransTonsShort[[#This Row],[Trans_Tons_All]]/TransTonsShort[[#This Row],[Trans_Tons_All]],"")</f>
        <v>0</v>
      </c>
      <c r="X1297" s="386" t="str">
        <f>TransTonsShort[[#This Row],[Grouping_ID]]&amp;"-"&amp;TransTonsShort[[#This Row],[Sector_ID]]</f>
        <v>1-4</v>
      </c>
      <c r="Y12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297" s="421">
        <f>INDEX(LandfillFees[Disposal Tip Fee 2025],MATCH(TransTonsShort[[#This Row],[Grouping_ID]],LandfillFees[Grouping_ID],0))</f>
        <v>134.68</v>
      </c>
      <c r="AA1297" s="102">
        <f>IF(OR(TransTonsShort[[#This Row],[CollectionStream_ID]]="03",TransTonsShort[[#This Row],[CollectionStream_ID]]="04",TransTonsShort[[#This Row],[CollectionStream_ID]]="13"),0,TransTonsShort[[#This Row],[Trans_Tons_All]]*TransTonsShort[[#This Row],[Disposal_Fee]])</f>
        <v>0</v>
      </c>
    </row>
    <row r="1298" spans="12:27" ht="15" x14ac:dyDescent="0.25">
      <c r="L1298" s="446" t="s">
        <v>876</v>
      </c>
      <c r="M1298" s="446">
        <v>1</v>
      </c>
      <c r="N1298" s="446">
        <v>4</v>
      </c>
      <c r="O1298" s="446" t="s">
        <v>754</v>
      </c>
      <c r="P1298" s="449" t="s">
        <v>744</v>
      </c>
      <c r="Q1298" s="449"/>
      <c r="R1298" s="449"/>
      <c r="S1298" s="449" t="s">
        <v>1991</v>
      </c>
      <c r="T1298" s="449" t="s">
        <v>967</v>
      </c>
      <c r="U1298" s="452">
        <v>1379.2262399911913</v>
      </c>
      <c r="V129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8" s="272">
        <f>IFERROR(SUMIFS(TransUnitCost[Miles],TransUnitCost[Grouping_ID],TransTonsShort[[#This Row],[Grouping_ID]],TransUnitCost[Transp_ID],TransTonsShort[[#This Row],[Transp_ID]])*TransTonsShort[[#This Row],[Trans_Tons_All]]/TransTonsShort[[#This Row],[Trans_Tons_All]],"")</f>
        <v>0</v>
      </c>
      <c r="X1298" s="386" t="str">
        <f>TransTonsShort[[#This Row],[Grouping_ID]]&amp;"-"&amp;TransTonsShort[[#This Row],[Sector_ID]]</f>
        <v>1-4</v>
      </c>
      <c r="Y12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298" s="421">
        <f>INDEX(LandfillFees[Disposal Tip Fee 2025],MATCH(TransTonsShort[[#This Row],[Grouping_ID]],LandfillFees[Grouping_ID],0))</f>
        <v>134.68</v>
      </c>
      <c r="AA1298" s="102">
        <f>IF(OR(TransTonsShort[[#This Row],[CollectionStream_ID]]="03",TransTonsShort[[#This Row],[CollectionStream_ID]]="04",TransTonsShort[[#This Row],[CollectionStream_ID]]="13"),0,TransTonsShort[[#This Row],[Trans_Tons_All]]*TransTonsShort[[#This Row],[Disposal_Fee]])</f>
        <v>0</v>
      </c>
    </row>
    <row r="1299" spans="12:27" ht="15" x14ac:dyDescent="0.25">
      <c r="L1299" s="446" t="s">
        <v>876</v>
      </c>
      <c r="M1299" s="446">
        <v>1</v>
      </c>
      <c r="N1299" s="446">
        <v>5</v>
      </c>
      <c r="O1299" s="446" t="s">
        <v>754</v>
      </c>
      <c r="P1299" s="449" t="s">
        <v>744</v>
      </c>
      <c r="Q1299" s="449"/>
      <c r="R1299" s="449"/>
      <c r="S1299" s="449" t="s">
        <v>1991</v>
      </c>
      <c r="T1299" s="449" t="s">
        <v>967</v>
      </c>
      <c r="U1299" s="452">
        <v>594846.89943546033</v>
      </c>
      <c r="V129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299" s="272">
        <f>IFERROR(SUMIFS(TransUnitCost[Miles],TransUnitCost[Grouping_ID],TransTonsShort[[#This Row],[Grouping_ID]],TransUnitCost[Transp_ID],TransTonsShort[[#This Row],[Transp_ID]])*TransTonsShort[[#This Row],[Trans_Tons_All]]/TransTonsShort[[#This Row],[Trans_Tons_All]],"")</f>
        <v>0</v>
      </c>
      <c r="X1299" s="386" t="str">
        <f>TransTonsShort[[#This Row],[Grouping_ID]]&amp;"-"&amp;TransTonsShort[[#This Row],[Sector_ID]]</f>
        <v>1-5</v>
      </c>
      <c r="Y12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299" s="421">
        <f>INDEX(LandfillFees[Disposal Tip Fee 2025],MATCH(TransTonsShort[[#This Row],[Grouping_ID]],LandfillFees[Grouping_ID],0))</f>
        <v>134.68</v>
      </c>
      <c r="AA1299" s="102">
        <f>IF(OR(TransTonsShort[[#This Row],[CollectionStream_ID]]="03",TransTonsShort[[#This Row],[CollectionStream_ID]]="04",TransTonsShort[[#This Row],[CollectionStream_ID]]="13"),0,TransTonsShort[[#This Row],[Trans_Tons_All]]*TransTonsShort[[#This Row],[Disposal_Fee]])</f>
        <v>0</v>
      </c>
    </row>
    <row r="1300" spans="12:27" ht="15" x14ac:dyDescent="0.25">
      <c r="L1300" s="446" t="s">
        <v>876</v>
      </c>
      <c r="M1300" s="446">
        <v>1</v>
      </c>
      <c r="N1300" s="446">
        <v>6</v>
      </c>
      <c r="O1300" s="446" t="s">
        <v>754</v>
      </c>
      <c r="P1300" s="449" t="s">
        <v>744</v>
      </c>
      <c r="Q1300" s="449"/>
      <c r="R1300" s="449"/>
      <c r="S1300" s="449" t="s">
        <v>1991</v>
      </c>
      <c r="T1300" s="449" t="s">
        <v>967</v>
      </c>
      <c r="U1300" s="452">
        <v>29911.9210262825</v>
      </c>
      <c r="V130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0" s="272">
        <f>IFERROR(SUMIFS(TransUnitCost[Miles],TransUnitCost[Grouping_ID],TransTonsShort[[#This Row],[Grouping_ID]],TransUnitCost[Transp_ID],TransTonsShort[[#This Row],[Transp_ID]])*TransTonsShort[[#This Row],[Trans_Tons_All]]/TransTonsShort[[#This Row],[Trans_Tons_All]],"")</f>
        <v>0</v>
      </c>
      <c r="X1300" s="386" t="str">
        <f>TransTonsShort[[#This Row],[Grouping_ID]]&amp;"-"&amp;TransTonsShort[[#This Row],[Sector_ID]]</f>
        <v>1-6</v>
      </c>
      <c r="Y13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00" s="421">
        <f>INDEX(LandfillFees[Disposal Tip Fee 2025],MATCH(TransTonsShort[[#This Row],[Grouping_ID]],LandfillFees[Grouping_ID],0))</f>
        <v>134.68</v>
      </c>
      <c r="AA1300" s="102">
        <f>IF(OR(TransTonsShort[[#This Row],[CollectionStream_ID]]="03",TransTonsShort[[#This Row],[CollectionStream_ID]]="04",TransTonsShort[[#This Row],[CollectionStream_ID]]="13"),0,TransTonsShort[[#This Row],[Trans_Tons_All]]*TransTonsShort[[#This Row],[Disposal_Fee]])</f>
        <v>0</v>
      </c>
    </row>
    <row r="1301" spans="12:27" ht="15" x14ac:dyDescent="0.25">
      <c r="L1301" s="446" t="s">
        <v>876</v>
      </c>
      <c r="M1301" s="446">
        <v>2</v>
      </c>
      <c r="N1301" s="446">
        <v>1</v>
      </c>
      <c r="O1301" s="446" t="s">
        <v>712</v>
      </c>
      <c r="P1301" s="449" t="s">
        <v>744</v>
      </c>
      <c r="Q1301" s="449"/>
      <c r="R1301" s="449"/>
      <c r="S1301" s="449" t="s">
        <v>713</v>
      </c>
      <c r="T1301" s="449" t="s">
        <v>967</v>
      </c>
      <c r="U1301" s="452">
        <v>239468.15466411575</v>
      </c>
      <c r="V130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1" s="272">
        <f>IFERROR(SUMIFS(TransUnitCost[Miles],TransUnitCost[Grouping_ID],TransTonsShort[[#This Row],[Grouping_ID]],TransUnitCost[Transp_ID],TransTonsShort[[#This Row],[Transp_ID]])*TransTonsShort[[#This Row],[Trans_Tons_All]]/TransTonsShort[[#This Row],[Trans_Tons_All]],"")</f>
        <v>0</v>
      </c>
      <c r="X1301" s="386" t="str">
        <f>TransTonsShort[[#This Row],[Grouping_ID]]&amp;"-"&amp;TransTonsShort[[#This Row],[Sector_ID]]</f>
        <v>2-1</v>
      </c>
      <c r="Y13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01" s="421">
        <f>INDEX(LandfillFees[Disposal Tip Fee 2025],MATCH(TransTonsShort[[#This Row],[Grouping_ID]],LandfillFees[Grouping_ID],0))</f>
        <v>72.030938699729589</v>
      </c>
      <c r="AA1301" s="102">
        <f>IF(OR(TransTonsShort[[#This Row],[CollectionStream_ID]]="03",TransTonsShort[[#This Row],[CollectionStream_ID]]="04",TransTonsShort[[#This Row],[CollectionStream_ID]]="13"),0,TransTonsShort[[#This Row],[Trans_Tons_All]]*TransTonsShort[[#This Row],[Disposal_Fee]])</f>
        <v>0</v>
      </c>
    </row>
    <row r="1302" spans="12:27" ht="15" x14ac:dyDescent="0.25">
      <c r="L1302" s="446" t="s">
        <v>876</v>
      </c>
      <c r="M1302" s="446">
        <v>2</v>
      </c>
      <c r="N1302" s="446">
        <v>1</v>
      </c>
      <c r="O1302" s="446" t="s">
        <v>719</v>
      </c>
      <c r="P1302" s="449" t="s">
        <v>744</v>
      </c>
      <c r="Q1302" s="449"/>
      <c r="R1302" s="449"/>
      <c r="S1302" s="449" t="s">
        <v>720</v>
      </c>
      <c r="T1302" s="449" t="s">
        <v>967</v>
      </c>
      <c r="U1302" s="452">
        <v>114198.59104574661</v>
      </c>
      <c r="V130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2" s="272">
        <f>IFERROR(SUMIFS(TransUnitCost[Miles],TransUnitCost[Grouping_ID],TransTonsShort[[#This Row],[Grouping_ID]],TransUnitCost[Transp_ID],TransTonsShort[[#This Row],[Transp_ID]])*TransTonsShort[[#This Row],[Trans_Tons_All]]/TransTonsShort[[#This Row],[Trans_Tons_All]],"")</f>
        <v>0</v>
      </c>
      <c r="X1302" s="386" t="str">
        <f>TransTonsShort[[#This Row],[Grouping_ID]]&amp;"-"&amp;TransTonsShort[[#This Row],[Sector_ID]]</f>
        <v>2-1</v>
      </c>
      <c r="Y13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02" s="421">
        <f>INDEX(LandfillFees[Disposal Tip Fee 2025],MATCH(TransTonsShort[[#This Row],[Grouping_ID]],LandfillFees[Grouping_ID],0))</f>
        <v>72.030938699729589</v>
      </c>
      <c r="AA1302" s="102">
        <f>IF(OR(TransTonsShort[[#This Row],[CollectionStream_ID]]="03",TransTonsShort[[#This Row],[CollectionStream_ID]]="04",TransTonsShort[[#This Row],[CollectionStream_ID]]="13"),0,TransTonsShort[[#This Row],[Trans_Tons_All]]*TransTonsShort[[#This Row],[Disposal_Fee]])</f>
        <v>0</v>
      </c>
    </row>
    <row r="1303" spans="12:27" ht="15" x14ac:dyDescent="0.25">
      <c r="L1303" s="446" t="s">
        <v>876</v>
      </c>
      <c r="M1303" s="446">
        <v>2</v>
      </c>
      <c r="N1303" s="446">
        <v>1</v>
      </c>
      <c r="O1303" s="448" t="s">
        <v>754</v>
      </c>
      <c r="P1303" s="449" t="s">
        <v>744</v>
      </c>
      <c r="Q1303" s="449"/>
      <c r="R1303" s="449"/>
      <c r="S1303" s="449" t="s">
        <v>1991</v>
      </c>
      <c r="T1303" s="449" t="s">
        <v>967</v>
      </c>
      <c r="U1303" s="452">
        <v>316.02729869964475</v>
      </c>
      <c r="V130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3" s="272">
        <f>IFERROR(SUMIFS(TransUnitCost[Miles],TransUnitCost[Grouping_ID],TransTonsShort[[#This Row],[Grouping_ID]],TransUnitCost[Transp_ID],TransTonsShort[[#This Row],[Transp_ID]])*TransTonsShort[[#This Row],[Trans_Tons_All]]/TransTonsShort[[#This Row],[Trans_Tons_All]],"")</f>
        <v>0</v>
      </c>
      <c r="X1303" s="386" t="str">
        <f>TransTonsShort[[#This Row],[Grouping_ID]]&amp;"-"&amp;TransTonsShort[[#This Row],[Sector_ID]]</f>
        <v>2-1</v>
      </c>
      <c r="Y13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03" s="421">
        <f>INDEX(LandfillFees[Disposal Tip Fee 2025],MATCH(TransTonsShort[[#This Row],[Grouping_ID]],LandfillFees[Grouping_ID],0))</f>
        <v>72.030938699729589</v>
      </c>
      <c r="AA1303" s="102">
        <f>IF(OR(TransTonsShort[[#This Row],[CollectionStream_ID]]="03",TransTonsShort[[#This Row],[CollectionStream_ID]]="04",TransTonsShort[[#This Row],[CollectionStream_ID]]="13"),0,TransTonsShort[[#This Row],[Trans_Tons_All]]*TransTonsShort[[#This Row],[Disposal_Fee]])</f>
        <v>0</v>
      </c>
    </row>
    <row r="1304" spans="12:27" ht="15" x14ac:dyDescent="0.25">
      <c r="L1304" s="446" t="s">
        <v>876</v>
      </c>
      <c r="M1304" s="446">
        <v>2</v>
      </c>
      <c r="N1304" s="446">
        <v>2</v>
      </c>
      <c r="O1304" s="448" t="s">
        <v>712</v>
      </c>
      <c r="P1304" s="449" t="s">
        <v>744</v>
      </c>
      <c r="Q1304" s="449"/>
      <c r="R1304" s="449"/>
      <c r="S1304" s="449" t="s">
        <v>713</v>
      </c>
      <c r="T1304" s="449" t="s">
        <v>967</v>
      </c>
      <c r="U1304" s="452">
        <v>86454.689593686009</v>
      </c>
      <c r="V130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4" s="272">
        <f>IFERROR(SUMIFS(TransUnitCost[Miles],TransUnitCost[Grouping_ID],TransTonsShort[[#This Row],[Grouping_ID]],TransUnitCost[Transp_ID],TransTonsShort[[#This Row],[Transp_ID]])*TransTonsShort[[#This Row],[Trans_Tons_All]]/TransTonsShort[[#This Row],[Trans_Tons_All]],"")</f>
        <v>0</v>
      </c>
      <c r="X1304" s="386" t="str">
        <f>TransTonsShort[[#This Row],[Grouping_ID]]&amp;"-"&amp;TransTonsShort[[#This Row],[Sector_ID]]</f>
        <v>2-2</v>
      </c>
      <c r="Y13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04" s="421">
        <f>INDEX(LandfillFees[Disposal Tip Fee 2025],MATCH(TransTonsShort[[#This Row],[Grouping_ID]],LandfillFees[Grouping_ID],0))</f>
        <v>72.030938699729589</v>
      </c>
      <c r="AA1304" s="102">
        <f>IF(OR(TransTonsShort[[#This Row],[CollectionStream_ID]]="03",TransTonsShort[[#This Row],[CollectionStream_ID]]="04",TransTonsShort[[#This Row],[CollectionStream_ID]]="13"),0,TransTonsShort[[#This Row],[Trans_Tons_All]]*TransTonsShort[[#This Row],[Disposal_Fee]])</f>
        <v>0</v>
      </c>
    </row>
    <row r="1305" spans="12:27" ht="15" x14ac:dyDescent="0.25">
      <c r="L1305" s="446" t="s">
        <v>876</v>
      </c>
      <c r="M1305" s="446">
        <v>2</v>
      </c>
      <c r="N1305" s="446">
        <v>2</v>
      </c>
      <c r="O1305" s="448" t="s">
        <v>719</v>
      </c>
      <c r="P1305" s="449" t="s">
        <v>744</v>
      </c>
      <c r="Q1305" s="449"/>
      <c r="R1305" s="449"/>
      <c r="S1305" s="449" t="s">
        <v>720</v>
      </c>
      <c r="T1305" s="449" t="s">
        <v>967</v>
      </c>
      <c r="U1305" s="452">
        <v>0</v>
      </c>
      <c r="V130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5" s="272" t="str">
        <f>IFERROR(SUMIFS(TransUnitCost[Miles],TransUnitCost[Grouping_ID],TransTonsShort[[#This Row],[Grouping_ID]],TransUnitCost[Transp_ID],TransTonsShort[[#This Row],[Transp_ID]])*TransTonsShort[[#This Row],[Trans_Tons_All]]/TransTonsShort[[#This Row],[Trans_Tons_All]],"")</f>
        <v/>
      </c>
      <c r="X1305" s="386" t="str">
        <f>TransTonsShort[[#This Row],[Grouping_ID]]&amp;"-"&amp;TransTonsShort[[#This Row],[Sector_ID]]</f>
        <v>2-2</v>
      </c>
      <c r="Y13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05" s="421">
        <f>INDEX(LandfillFees[Disposal Tip Fee 2025],MATCH(TransTonsShort[[#This Row],[Grouping_ID]],LandfillFees[Grouping_ID],0))</f>
        <v>72.030938699729589</v>
      </c>
      <c r="AA1305" s="102">
        <f>IF(OR(TransTonsShort[[#This Row],[CollectionStream_ID]]="03",TransTonsShort[[#This Row],[CollectionStream_ID]]="04",TransTonsShort[[#This Row],[CollectionStream_ID]]="13"),0,TransTonsShort[[#This Row],[Trans_Tons_All]]*TransTonsShort[[#This Row],[Disposal_Fee]])</f>
        <v>0</v>
      </c>
    </row>
    <row r="1306" spans="12:27" ht="15" x14ac:dyDescent="0.25">
      <c r="L1306" s="446" t="s">
        <v>876</v>
      </c>
      <c r="M1306" s="446">
        <v>2</v>
      </c>
      <c r="N1306" s="446">
        <v>2</v>
      </c>
      <c r="O1306" s="448" t="s">
        <v>754</v>
      </c>
      <c r="P1306" s="449" t="s">
        <v>744</v>
      </c>
      <c r="Q1306" s="449"/>
      <c r="R1306" s="449"/>
      <c r="S1306" s="449" t="s">
        <v>1991</v>
      </c>
      <c r="T1306" s="449" t="s">
        <v>967</v>
      </c>
      <c r="U1306" s="452">
        <v>0</v>
      </c>
      <c r="V130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6" s="272" t="str">
        <f>IFERROR(SUMIFS(TransUnitCost[Miles],TransUnitCost[Grouping_ID],TransTonsShort[[#This Row],[Grouping_ID]],TransUnitCost[Transp_ID],TransTonsShort[[#This Row],[Transp_ID]])*TransTonsShort[[#This Row],[Trans_Tons_All]]/TransTonsShort[[#This Row],[Trans_Tons_All]],"")</f>
        <v/>
      </c>
      <c r="X1306" s="386" t="str">
        <f>TransTonsShort[[#This Row],[Grouping_ID]]&amp;"-"&amp;TransTonsShort[[#This Row],[Sector_ID]]</f>
        <v>2-2</v>
      </c>
      <c r="Y13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06" s="421">
        <f>INDEX(LandfillFees[Disposal Tip Fee 2025],MATCH(TransTonsShort[[#This Row],[Grouping_ID]],LandfillFees[Grouping_ID],0))</f>
        <v>72.030938699729589</v>
      </c>
      <c r="AA1306" s="102">
        <f>IF(OR(TransTonsShort[[#This Row],[CollectionStream_ID]]="03",TransTonsShort[[#This Row],[CollectionStream_ID]]="04",TransTonsShort[[#This Row],[CollectionStream_ID]]="13"),0,TransTonsShort[[#This Row],[Trans_Tons_All]]*TransTonsShort[[#This Row],[Disposal_Fee]])</f>
        <v>0</v>
      </c>
    </row>
    <row r="1307" spans="12:27" ht="15" x14ac:dyDescent="0.25">
      <c r="L1307" s="446" t="s">
        <v>876</v>
      </c>
      <c r="M1307" s="446">
        <v>2</v>
      </c>
      <c r="N1307" s="446">
        <v>3</v>
      </c>
      <c r="O1307" s="448" t="s">
        <v>712</v>
      </c>
      <c r="P1307" s="449" t="s">
        <v>744</v>
      </c>
      <c r="Q1307" s="449"/>
      <c r="R1307" s="449"/>
      <c r="S1307" s="449" t="s">
        <v>713</v>
      </c>
      <c r="T1307" s="449" t="s">
        <v>967</v>
      </c>
      <c r="U1307" s="452">
        <v>312246.44674019678</v>
      </c>
      <c r="V130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7" s="272">
        <f>IFERROR(SUMIFS(TransUnitCost[Miles],TransUnitCost[Grouping_ID],TransTonsShort[[#This Row],[Grouping_ID]],TransUnitCost[Transp_ID],TransTonsShort[[#This Row],[Transp_ID]])*TransTonsShort[[#This Row],[Trans_Tons_All]]/TransTonsShort[[#This Row],[Trans_Tons_All]],"")</f>
        <v>0</v>
      </c>
      <c r="X1307" s="386" t="str">
        <f>TransTonsShort[[#This Row],[Grouping_ID]]&amp;"-"&amp;TransTonsShort[[#This Row],[Sector_ID]]</f>
        <v>2-3</v>
      </c>
      <c r="Y13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07" s="421">
        <f>INDEX(LandfillFees[Disposal Tip Fee 2025],MATCH(TransTonsShort[[#This Row],[Grouping_ID]],LandfillFees[Grouping_ID],0))</f>
        <v>72.030938699729589</v>
      </c>
      <c r="AA1307" s="102">
        <f>IF(OR(TransTonsShort[[#This Row],[CollectionStream_ID]]="03",TransTonsShort[[#This Row],[CollectionStream_ID]]="04",TransTonsShort[[#This Row],[CollectionStream_ID]]="13"),0,TransTonsShort[[#This Row],[Trans_Tons_All]]*TransTonsShort[[#This Row],[Disposal_Fee]])</f>
        <v>0</v>
      </c>
    </row>
    <row r="1308" spans="12:27" ht="15" x14ac:dyDescent="0.25">
      <c r="L1308" s="446" t="s">
        <v>876</v>
      </c>
      <c r="M1308" s="446">
        <v>2</v>
      </c>
      <c r="N1308" s="446">
        <v>3</v>
      </c>
      <c r="O1308" s="448" t="s">
        <v>719</v>
      </c>
      <c r="P1308" s="449" t="s">
        <v>744</v>
      </c>
      <c r="Q1308" s="449"/>
      <c r="R1308" s="449"/>
      <c r="S1308" s="449" t="s">
        <v>720</v>
      </c>
      <c r="T1308" s="449" t="s">
        <v>967</v>
      </c>
      <c r="U1308" s="452">
        <v>27604.286216393386</v>
      </c>
      <c r="V130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8" s="272">
        <f>IFERROR(SUMIFS(TransUnitCost[Miles],TransUnitCost[Grouping_ID],TransTonsShort[[#This Row],[Grouping_ID]],TransUnitCost[Transp_ID],TransTonsShort[[#This Row],[Transp_ID]])*TransTonsShort[[#This Row],[Trans_Tons_All]]/TransTonsShort[[#This Row],[Trans_Tons_All]],"")</f>
        <v>0</v>
      </c>
      <c r="X1308" s="386" t="str">
        <f>TransTonsShort[[#This Row],[Grouping_ID]]&amp;"-"&amp;TransTonsShort[[#This Row],[Sector_ID]]</f>
        <v>2-3</v>
      </c>
      <c r="Y13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08" s="421">
        <f>INDEX(LandfillFees[Disposal Tip Fee 2025],MATCH(TransTonsShort[[#This Row],[Grouping_ID]],LandfillFees[Grouping_ID],0))</f>
        <v>72.030938699729589</v>
      </c>
      <c r="AA1308" s="102">
        <f>IF(OR(TransTonsShort[[#This Row],[CollectionStream_ID]]="03",TransTonsShort[[#This Row],[CollectionStream_ID]]="04",TransTonsShort[[#This Row],[CollectionStream_ID]]="13"),0,TransTonsShort[[#This Row],[Trans_Tons_All]]*TransTonsShort[[#This Row],[Disposal_Fee]])</f>
        <v>0</v>
      </c>
    </row>
    <row r="1309" spans="12:27" ht="15" x14ac:dyDescent="0.25">
      <c r="L1309" s="446" t="s">
        <v>876</v>
      </c>
      <c r="M1309" s="446">
        <v>2</v>
      </c>
      <c r="N1309" s="446">
        <v>3</v>
      </c>
      <c r="O1309" s="448" t="s">
        <v>754</v>
      </c>
      <c r="P1309" s="449" t="s">
        <v>744</v>
      </c>
      <c r="Q1309" s="449"/>
      <c r="R1309" s="449"/>
      <c r="S1309" s="449" t="s">
        <v>1991</v>
      </c>
      <c r="T1309" s="449" t="s">
        <v>967</v>
      </c>
      <c r="U1309" s="452">
        <v>190.58148001798901</v>
      </c>
      <c r="V130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09" s="272">
        <f>IFERROR(SUMIFS(TransUnitCost[Miles],TransUnitCost[Grouping_ID],TransTonsShort[[#This Row],[Grouping_ID]],TransUnitCost[Transp_ID],TransTonsShort[[#This Row],[Transp_ID]])*TransTonsShort[[#This Row],[Trans_Tons_All]]/TransTonsShort[[#This Row],[Trans_Tons_All]],"")</f>
        <v>0</v>
      </c>
      <c r="X1309" s="386" t="str">
        <f>TransTonsShort[[#This Row],[Grouping_ID]]&amp;"-"&amp;TransTonsShort[[#This Row],[Sector_ID]]</f>
        <v>2-3</v>
      </c>
      <c r="Y13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09" s="421">
        <f>INDEX(LandfillFees[Disposal Tip Fee 2025],MATCH(TransTonsShort[[#This Row],[Grouping_ID]],LandfillFees[Grouping_ID],0))</f>
        <v>72.030938699729589</v>
      </c>
      <c r="AA1309" s="102">
        <f>IF(OR(TransTonsShort[[#This Row],[CollectionStream_ID]]="03",TransTonsShort[[#This Row],[CollectionStream_ID]]="04",TransTonsShort[[#This Row],[CollectionStream_ID]]="13"),0,TransTonsShort[[#This Row],[Trans_Tons_All]]*TransTonsShort[[#This Row],[Disposal_Fee]])</f>
        <v>0</v>
      </c>
    </row>
    <row r="1310" spans="12:27" ht="15" x14ac:dyDescent="0.25">
      <c r="L1310" s="446" t="s">
        <v>876</v>
      </c>
      <c r="M1310" s="446">
        <v>2</v>
      </c>
      <c r="N1310" s="446">
        <v>4</v>
      </c>
      <c r="O1310" s="448" t="s">
        <v>712</v>
      </c>
      <c r="P1310" s="449" t="s">
        <v>744</v>
      </c>
      <c r="Q1310" s="449"/>
      <c r="R1310" s="449"/>
      <c r="S1310" s="449" t="s">
        <v>713</v>
      </c>
      <c r="T1310" s="449" t="s">
        <v>967</v>
      </c>
      <c r="U1310" s="452">
        <v>172916.50474641565</v>
      </c>
      <c r="V131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0" s="272">
        <f>IFERROR(SUMIFS(TransUnitCost[Miles],TransUnitCost[Grouping_ID],TransTonsShort[[#This Row],[Grouping_ID]],TransUnitCost[Transp_ID],TransTonsShort[[#This Row],[Transp_ID]])*TransTonsShort[[#This Row],[Trans_Tons_All]]/TransTonsShort[[#This Row],[Trans_Tons_All]],"")</f>
        <v>0</v>
      </c>
      <c r="X1310" s="386" t="str">
        <f>TransTonsShort[[#This Row],[Grouping_ID]]&amp;"-"&amp;TransTonsShort[[#This Row],[Sector_ID]]</f>
        <v>2-4</v>
      </c>
      <c r="Y13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10" s="421">
        <f>INDEX(LandfillFees[Disposal Tip Fee 2025],MATCH(TransTonsShort[[#This Row],[Grouping_ID]],LandfillFees[Grouping_ID],0))</f>
        <v>72.030938699729589</v>
      </c>
      <c r="AA1310" s="102">
        <f>IF(OR(TransTonsShort[[#This Row],[CollectionStream_ID]]="03",TransTonsShort[[#This Row],[CollectionStream_ID]]="04",TransTonsShort[[#This Row],[CollectionStream_ID]]="13"),0,TransTonsShort[[#This Row],[Trans_Tons_All]]*TransTonsShort[[#This Row],[Disposal_Fee]])</f>
        <v>0</v>
      </c>
    </row>
    <row r="1311" spans="12:27" ht="15" x14ac:dyDescent="0.25">
      <c r="L1311" s="446" t="s">
        <v>876</v>
      </c>
      <c r="M1311" s="446">
        <v>2</v>
      </c>
      <c r="N1311" s="446">
        <v>4</v>
      </c>
      <c r="O1311" s="448" t="s">
        <v>719</v>
      </c>
      <c r="P1311" s="449" t="s">
        <v>744</v>
      </c>
      <c r="Q1311" s="449"/>
      <c r="R1311" s="449"/>
      <c r="S1311" s="449" t="s">
        <v>720</v>
      </c>
      <c r="T1311" s="449" t="s">
        <v>967</v>
      </c>
      <c r="U1311" s="452">
        <v>45356.201192529326</v>
      </c>
      <c r="V131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1" s="272">
        <f>IFERROR(SUMIFS(TransUnitCost[Miles],TransUnitCost[Grouping_ID],TransTonsShort[[#This Row],[Grouping_ID]],TransUnitCost[Transp_ID],TransTonsShort[[#This Row],[Transp_ID]])*TransTonsShort[[#This Row],[Trans_Tons_All]]/TransTonsShort[[#This Row],[Trans_Tons_All]],"")</f>
        <v>0</v>
      </c>
      <c r="X1311" s="386" t="str">
        <f>TransTonsShort[[#This Row],[Grouping_ID]]&amp;"-"&amp;TransTonsShort[[#This Row],[Sector_ID]]</f>
        <v>2-4</v>
      </c>
      <c r="Y13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11" s="421">
        <f>INDEX(LandfillFees[Disposal Tip Fee 2025],MATCH(TransTonsShort[[#This Row],[Grouping_ID]],LandfillFees[Grouping_ID],0))</f>
        <v>72.030938699729589</v>
      </c>
      <c r="AA1311" s="102">
        <f>IF(OR(TransTonsShort[[#This Row],[CollectionStream_ID]]="03",TransTonsShort[[#This Row],[CollectionStream_ID]]="04",TransTonsShort[[#This Row],[CollectionStream_ID]]="13"),0,TransTonsShort[[#This Row],[Trans_Tons_All]]*TransTonsShort[[#This Row],[Disposal_Fee]])</f>
        <v>0</v>
      </c>
    </row>
    <row r="1312" spans="12:27" ht="15" x14ac:dyDescent="0.25">
      <c r="L1312" s="446" t="s">
        <v>876</v>
      </c>
      <c r="M1312" s="446">
        <v>2</v>
      </c>
      <c r="N1312" s="446">
        <v>4</v>
      </c>
      <c r="O1312" s="448" t="s">
        <v>754</v>
      </c>
      <c r="P1312" s="449" t="s">
        <v>744</v>
      </c>
      <c r="Q1312" s="449"/>
      <c r="R1312" s="449"/>
      <c r="S1312" s="449" t="s">
        <v>1991</v>
      </c>
      <c r="T1312" s="449" t="s">
        <v>967</v>
      </c>
      <c r="U1312" s="452">
        <v>5439.0442810317654</v>
      </c>
      <c r="V131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2" s="272">
        <f>IFERROR(SUMIFS(TransUnitCost[Miles],TransUnitCost[Grouping_ID],TransTonsShort[[#This Row],[Grouping_ID]],TransUnitCost[Transp_ID],TransTonsShort[[#This Row],[Transp_ID]])*TransTonsShort[[#This Row],[Trans_Tons_All]]/TransTonsShort[[#This Row],[Trans_Tons_All]],"")</f>
        <v>0</v>
      </c>
      <c r="X1312" s="386" t="str">
        <f>TransTonsShort[[#This Row],[Grouping_ID]]&amp;"-"&amp;TransTonsShort[[#This Row],[Sector_ID]]</f>
        <v>2-4</v>
      </c>
      <c r="Y13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12" s="421">
        <f>INDEX(LandfillFees[Disposal Tip Fee 2025],MATCH(TransTonsShort[[#This Row],[Grouping_ID]],LandfillFees[Grouping_ID],0))</f>
        <v>72.030938699729589</v>
      </c>
      <c r="AA1312" s="102">
        <f>IF(OR(TransTonsShort[[#This Row],[CollectionStream_ID]]="03",TransTonsShort[[#This Row],[CollectionStream_ID]]="04",TransTonsShort[[#This Row],[CollectionStream_ID]]="13"),0,TransTonsShort[[#This Row],[Trans_Tons_All]]*TransTonsShort[[#This Row],[Disposal_Fee]])</f>
        <v>0</v>
      </c>
    </row>
    <row r="1313" spans="12:27" ht="15" x14ac:dyDescent="0.25">
      <c r="L1313" s="446" t="s">
        <v>876</v>
      </c>
      <c r="M1313" s="446">
        <v>2</v>
      </c>
      <c r="N1313" s="446">
        <v>5</v>
      </c>
      <c r="O1313" s="448" t="s">
        <v>754</v>
      </c>
      <c r="P1313" s="449" t="s">
        <v>744</v>
      </c>
      <c r="Q1313" s="449"/>
      <c r="R1313" s="449"/>
      <c r="S1313" s="449" t="s">
        <v>1991</v>
      </c>
      <c r="T1313" s="449" t="s">
        <v>967</v>
      </c>
      <c r="U1313" s="452">
        <v>507819.48048613168</v>
      </c>
      <c r="V131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3" s="272">
        <f>IFERROR(SUMIFS(TransUnitCost[Miles],TransUnitCost[Grouping_ID],TransTonsShort[[#This Row],[Grouping_ID]],TransUnitCost[Transp_ID],TransTonsShort[[#This Row],[Transp_ID]])*TransTonsShort[[#This Row],[Trans_Tons_All]]/TransTonsShort[[#This Row],[Trans_Tons_All]],"")</f>
        <v>0</v>
      </c>
      <c r="X1313" s="386" t="str">
        <f>TransTonsShort[[#This Row],[Grouping_ID]]&amp;"-"&amp;TransTonsShort[[#This Row],[Sector_ID]]</f>
        <v>2-5</v>
      </c>
      <c r="Y13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13" s="421">
        <f>INDEX(LandfillFees[Disposal Tip Fee 2025],MATCH(TransTonsShort[[#This Row],[Grouping_ID]],LandfillFees[Grouping_ID],0))</f>
        <v>72.030938699729589</v>
      </c>
      <c r="AA1313" s="102">
        <f>IF(OR(TransTonsShort[[#This Row],[CollectionStream_ID]]="03",TransTonsShort[[#This Row],[CollectionStream_ID]]="04",TransTonsShort[[#This Row],[CollectionStream_ID]]="13"),0,TransTonsShort[[#This Row],[Trans_Tons_All]]*TransTonsShort[[#This Row],[Disposal_Fee]])</f>
        <v>0</v>
      </c>
    </row>
    <row r="1314" spans="12:27" ht="15" x14ac:dyDescent="0.25">
      <c r="L1314" s="446" t="s">
        <v>876</v>
      </c>
      <c r="M1314" s="446">
        <v>2</v>
      </c>
      <c r="N1314" s="446">
        <v>6</v>
      </c>
      <c r="O1314" s="448" t="s">
        <v>754</v>
      </c>
      <c r="P1314" s="449" t="s">
        <v>744</v>
      </c>
      <c r="Q1314" s="449"/>
      <c r="R1314" s="449"/>
      <c r="S1314" s="449" t="s">
        <v>1991</v>
      </c>
      <c r="T1314" s="449" t="s">
        <v>967</v>
      </c>
      <c r="U1314" s="452">
        <v>23265.951414096395</v>
      </c>
      <c r="V131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4" s="272">
        <f>IFERROR(SUMIFS(TransUnitCost[Miles],TransUnitCost[Grouping_ID],TransTonsShort[[#This Row],[Grouping_ID]],TransUnitCost[Transp_ID],TransTonsShort[[#This Row],[Transp_ID]])*TransTonsShort[[#This Row],[Trans_Tons_All]]/TransTonsShort[[#This Row],[Trans_Tons_All]],"")</f>
        <v>0</v>
      </c>
      <c r="X1314" s="386" t="str">
        <f>TransTonsShort[[#This Row],[Grouping_ID]]&amp;"-"&amp;TransTonsShort[[#This Row],[Sector_ID]]</f>
        <v>2-6</v>
      </c>
      <c r="Y13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14" s="421">
        <f>INDEX(LandfillFees[Disposal Tip Fee 2025],MATCH(TransTonsShort[[#This Row],[Grouping_ID]],LandfillFees[Grouping_ID],0))</f>
        <v>72.030938699729589</v>
      </c>
      <c r="AA1314" s="102">
        <f>IF(OR(TransTonsShort[[#This Row],[CollectionStream_ID]]="03",TransTonsShort[[#This Row],[CollectionStream_ID]]="04",TransTonsShort[[#This Row],[CollectionStream_ID]]="13"),0,TransTonsShort[[#This Row],[Trans_Tons_All]]*TransTonsShort[[#This Row],[Disposal_Fee]])</f>
        <v>0</v>
      </c>
    </row>
    <row r="1315" spans="12:27" ht="15" x14ac:dyDescent="0.25">
      <c r="L1315" s="446" t="s">
        <v>876</v>
      </c>
      <c r="M1315" s="446">
        <v>3</v>
      </c>
      <c r="N1315" s="446">
        <v>1</v>
      </c>
      <c r="O1315" s="446" t="s">
        <v>712</v>
      </c>
      <c r="P1315" s="449" t="s">
        <v>744</v>
      </c>
      <c r="Q1315" s="449"/>
      <c r="R1315" s="449"/>
      <c r="S1315" s="449" t="s">
        <v>713</v>
      </c>
      <c r="T1315" s="449" t="s">
        <v>967</v>
      </c>
      <c r="U1315" s="452">
        <v>167078.44650063745</v>
      </c>
      <c r="V131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5" s="272">
        <f>IFERROR(SUMIFS(TransUnitCost[Miles],TransUnitCost[Grouping_ID],TransTonsShort[[#This Row],[Grouping_ID]],TransUnitCost[Transp_ID],TransTonsShort[[#This Row],[Transp_ID]])*TransTonsShort[[#This Row],[Trans_Tons_All]]/TransTonsShort[[#This Row],[Trans_Tons_All]],"")</f>
        <v>0</v>
      </c>
      <c r="X1315" s="386" t="str">
        <f>TransTonsShort[[#This Row],[Grouping_ID]]&amp;"-"&amp;TransTonsShort[[#This Row],[Sector_ID]]</f>
        <v>3-1</v>
      </c>
      <c r="Y13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15" s="421">
        <f>INDEX(LandfillFees[Disposal Tip Fee 2025],MATCH(TransTonsShort[[#This Row],[Grouping_ID]],LandfillFees[Grouping_ID],0))</f>
        <v>72.030938699729589</v>
      </c>
      <c r="AA1315" s="102">
        <f>IF(OR(TransTonsShort[[#This Row],[CollectionStream_ID]]="03",TransTonsShort[[#This Row],[CollectionStream_ID]]="04",TransTonsShort[[#This Row],[CollectionStream_ID]]="13"),0,TransTonsShort[[#This Row],[Trans_Tons_All]]*TransTonsShort[[#This Row],[Disposal_Fee]])</f>
        <v>0</v>
      </c>
    </row>
    <row r="1316" spans="12:27" ht="15" x14ac:dyDescent="0.25">
      <c r="L1316" s="446" t="s">
        <v>876</v>
      </c>
      <c r="M1316" s="446">
        <v>3</v>
      </c>
      <c r="N1316" s="446">
        <v>1</v>
      </c>
      <c r="O1316" s="446" t="s">
        <v>719</v>
      </c>
      <c r="P1316" s="449" t="s">
        <v>744</v>
      </c>
      <c r="Q1316" s="449"/>
      <c r="R1316" s="449"/>
      <c r="S1316" s="449" t="s">
        <v>720</v>
      </c>
      <c r="T1316" s="449" t="s">
        <v>967</v>
      </c>
      <c r="U1316" s="452">
        <v>14718.001298030633</v>
      </c>
      <c r="V131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6" s="272">
        <f>IFERROR(SUMIFS(TransUnitCost[Miles],TransUnitCost[Grouping_ID],TransTonsShort[[#This Row],[Grouping_ID]],TransUnitCost[Transp_ID],TransTonsShort[[#This Row],[Transp_ID]])*TransTonsShort[[#This Row],[Trans_Tons_All]]/TransTonsShort[[#This Row],[Trans_Tons_All]],"")</f>
        <v>0</v>
      </c>
      <c r="X1316" s="386" t="str">
        <f>TransTonsShort[[#This Row],[Grouping_ID]]&amp;"-"&amp;TransTonsShort[[#This Row],[Sector_ID]]</f>
        <v>3-1</v>
      </c>
      <c r="Y13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16" s="421">
        <f>INDEX(LandfillFees[Disposal Tip Fee 2025],MATCH(TransTonsShort[[#This Row],[Grouping_ID]],LandfillFees[Grouping_ID],0))</f>
        <v>72.030938699729589</v>
      </c>
      <c r="AA1316" s="102">
        <f>IF(OR(TransTonsShort[[#This Row],[CollectionStream_ID]]="03",TransTonsShort[[#This Row],[CollectionStream_ID]]="04",TransTonsShort[[#This Row],[CollectionStream_ID]]="13"),0,TransTonsShort[[#This Row],[Trans_Tons_All]]*TransTonsShort[[#This Row],[Disposal_Fee]])</f>
        <v>0</v>
      </c>
    </row>
    <row r="1317" spans="12:27" ht="15" x14ac:dyDescent="0.25">
      <c r="L1317" s="446" t="s">
        <v>876</v>
      </c>
      <c r="M1317" s="446">
        <v>3</v>
      </c>
      <c r="N1317" s="446">
        <v>1</v>
      </c>
      <c r="O1317" s="446" t="s">
        <v>754</v>
      </c>
      <c r="P1317" s="449" t="s">
        <v>744</v>
      </c>
      <c r="Q1317" s="449"/>
      <c r="R1317" s="449"/>
      <c r="S1317" s="449" t="s">
        <v>1991</v>
      </c>
      <c r="T1317" s="449" t="s">
        <v>967</v>
      </c>
      <c r="U1317" s="452">
        <v>13.831046700604208</v>
      </c>
      <c r="V131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7" s="272">
        <f>IFERROR(SUMIFS(TransUnitCost[Miles],TransUnitCost[Grouping_ID],TransTonsShort[[#This Row],[Grouping_ID]],TransUnitCost[Transp_ID],TransTonsShort[[#This Row],[Transp_ID]])*TransTonsShort[[#This Row],[Trans_Tons_All]]/TransTonsShort[[#This Row],[Trans_Tons_All]],"")</f>
        <v>0</v>
      </c>
      <c r="X1317" s="386" t="str">
        <f>TransTonsShort[[#This Row],[Grouping_ID]]&amp;"-"&amp;TransTonsShort[[#This Row],[Sector_ID]]</f>
        <v>3-1</v>
      </c>
      <c r="Y13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17" s="421">
        <f>INDEX(LandfillFees[Disposal Tip Fee 2025],MATCH(TransTonsShort[[#This Row],[Grouping_ID]],LandfillFees[Grouping_ID],0))</f>
        <v>72.030938699729589</v>
      </c>
      <c r="AA1317" s="102">
        <f>IF(OR(TransTonsShort[[#This Row],[CollectionStream_ID]]="03",TransTonsShort[[#This Row],[CollectionStream_ID]]="04",TransTonsShort[[#This Row],[CollectionStream_ID]]="13"),0,TransTonsShort[[#This Row],[Trans_Tons_All]]*TransTonsShort[[#This Row],[Disposal_Fee]])</f>
        <v>0</v>
      </c>
    </row>
    <row r="1318" spans="12:27" ht="15" x14ac:dyDescent="0.25">
      <c r="L1318" s="446" t="s">
        <v>876</v>
      </c>
      <c r="M1318" s="446">
        <v>3</v>
      </c>
      <c r="N1318" s="446">
        <v>2</v>
      </c>
      <c r="O1318" s="446" t="s">
        <v>712</v>
      </c>
      <c r="P1318" s="449" t="s">
        <v>744</v>
      </c>
      <c r="Q1318" s="449"/>
      <c r="R1318" s="449"/>
      <c r="S1318" s="449" t="s">
        <v>713</v>
      </c>
      <c r="T1318" s="449" t="s">
        <v>967</v>
      </c>
      <c r="U1318" s="452">
        <v>34379.027492415051</v>
      </c>
      <c r="V131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8" s="272">
        <f>IFERROR(SUMIFS(TransUnitCost[Miles],TransUnitCost[Grouping_ID],TransTonsShort[[#This Row],[Grouping_ID]],TransUnitCost[Transp_ID],TransTonsShort[[#This Row],[Transp_ID]])*TransTonsShort[[#This Row],[Trans_Tons_All]]/TransTonsShort[[#This Row],[Trans_Tons_All]],"")</f>
        <v>0</v>
      </c>
      <c r="X1318" s="386" t="str">
        <f>TransTonsShort[[#This Row],[Grouping_ID]]&amp;"-"&amp;TransTonsShort[[#This Row],[Sector_ID]]</f>
        <v>3-2</v>
      </c>
      <c r="Y13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18" s="421">
        <f>INDEX(LandfillFees[Disposal Tip Fee 2025],MATCH(TransTonsShort[[#This Row],[Grouping_ID]],LandfillFees[Grouping_ID],0))</f>
        <v>72.030938699729589</v>
      </c>
      <c r="AA1318" s="102">
        <f>IF(OR(TransTonsShort[[#This Row],[CollectionStream_ID]]="03",TransTonsShort[[#This Row],[CollectionStream_ID]]="04",TransTonsShort[[#This Row],[CollectionStream_ID]]="13"),0,TransTonsShort[[#This Row],[Trans_Tons_All]]*TransTonsShort[[#This Row],[Disposal_Fee]])</f>
        <v>0</v>
      </c>
    </row>
    <row r="1319" spans="12:27" ht="15" x14ac:dyDescent="0.25">
      <c r="L1319" s="446" t="s">
        <v>876</v>
      </c>
      <c r="M1319" s="446">
        <v>3</v>
      </c>
      <c r="N1319" s="446">
        <v>2</v>
      </c>
      <c r="O1319" s="446" t="s">
        <v>719</v>
      </c>
      <c r="P1319" s="449" t="s">
        <v>744</v>
      </c>
      <c r="Q1319" s="449"/>
      <c r="R1319" s="449"/>
      <c r="S1319" s="449" t="s">
        <v>720</v>
      </c>
      <c r="T1319" s="449" t="s">
        <v>967</v>
      </c>
      <c r="U1319" s="452">
        <v>0</v>
      </c>
      <c r="V131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19" s="272" t="str">
        <f>IFERROR(SUMIFS(TransUnitCost[Miles],TransUnitCost[Grouping_ID],TransTonsShort[[#This Row],[Grouping_ID]],TransUnitCost[Transp_ID],TransTonsShort[[#This Row],[Transp_ID]])*TransTonsShort[[#This Row],[Trans_Tons_All]]/TransTonsShort[[#This Row],[Trans_Tons_All]],"")</f>
        <v/>
      </c>
      <c r="X1319" s="386" t="str">
        <f>TransTonsShort[[#This Row],[Grouping_ID]]&amp;"-"&amp;TransTonsShort[[#This Row],[Sector_ID]]</f>
        <v>3-2</v>
      </c>
      <c r="Y13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19" s="421">
        <f>INDEX(LandfillFees[Disposal Tip Fee 2025],MATCH(TransTonsShort[[#This Row],[Grouping_ID]],LandfillFees[Grouping_ID],0))</f>
        <v>72.030938699729589</v>
      </c>
      <c r="AA1319" s="102">
        <f>IF(OR(TransTonsShort[[#This Row],[CollectionStream_ID]]="03",TransTonsShort[[#This Row],[CollectionStream_ID]]="04",TransTonsShort[[#This Row],[CollectionStream_ID]]="13"),0,TransTonsShort[[#This Row],[Trans_Tons_All]]*TransTonsShort[[#This Row],[Disposal_Fee]])</f>
        <v>0</v>
      </c>
    </row>
    <row r="1320" spans="12:27" ht="15" x14ac:dyDescent="0.25">
      <c r="L1320" s="446" t="s">
        <v>876</v>
      </c>
      <c r="M1320" s="446">
        <v>3</v>
      </c>
      <c r="N1320" s="446">
        <v>2</v>
      </c>
      <c r="O1320" s="446" t="s">
        <v>754</v>
      </c>
      <c r="P1320" s="449" t="s">
        <v>744</v>
      </c>
      <c r="Q1320" s="449"/>
      <c r="R1320" s="449"/>
      <c r="S1320" s="449" t="s">
        <v>1991</v>
      </c>
      <c r="T1320" s="449" t="s">
        <v>967</v>
      </c>
      <c r="U1320" s="452">
        <v>0.63462924206372762</v>
      </c>
      <c r="V132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0" s="272">
        <f>IFERROR(SUMIFS(TransUnitCost[Miles],TransUnitCost[Grouping_ID],TransTonsShort[[#This Row],[Grouping_ID]],TransUnitCost[Transp_ID],TransTonsShort[[#This Row],[Transp_ID]])*TransTonsShort[[#This Row],[Trans_Tons_All]]/TransTonsShort[[#This Row],[Trans_Tons_All]],"")</f>
        <v>0</v>
      </c>
      <c r="X1320" s="386" t="str">
        <f>TransTonsShort[[#This Row],[Grouping_ID]]&amp;"-"&amp;TransTonsShort[[#This Row],[Sector_ID]]</f>
        <v>3-2</v>
      </c>
      <c r="Y13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20" s="421">
        <f>INDEX(LandfillFees[Disposal Tip Fee 2025],MATCH(TransTonsShort[[#This Row],[Grouping_ID]],LandfillFees[Grouping_ID],0))</f>
        <v>72.030938699729589</v>
      </c>
      <c r="AA1320" s="102">
        <f>IF(OR(TransTonsShort[[#This Row],[CollectionStream_ID]]="03",TransTonsShort[[#This Row],[CollectionStream_ID]]="04",TransTonsShort[[#This Row],[CollectionStream_ID]]="13"),0,TransTonsShort[[#This Row],[Trans_Tons_All]]*TransTonsShort[[#This Row],[Disposal_Fee]])</f>
        <v>0</v>
      </c>
    </row>
    <row r="1321" spans="12:27" ht="15" x14ac:dyDescent="0.25">
      <c r="L1321" s="446" t="s">
        <v>876</v>
      </c>
      <c r="M1321" s="446">
        <v>3</v>
      </c>
      <c r="N1321" s="446">
        <v>3</v>
      </c>
      <c r="O1321" s="446" t="s">
        <v>712</v>
      </c>
      <c r="P1321" s="449" t="s">
        <v>744</v>
      </c>
      <c r="Q1321" s="449"/>
      <c r="R1321" s="449"/>
      <c r="S1321" s="449" t="s">
        <v>713</v>
      </c>
      <c r="T1321" s="449" t="s">
        <v>967</v>
      </c>
      <c r="U1321" s="452">
        <v>112939.9469634845</v>
      </c>
      <c r="V132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1" s="272">
        <f>IFERROR(SUMIFS(TransUnitCost[Miles],TransUnitCost[Grouping_ID],TransTonsShort[[#This Row],[Grouping_ID]],TransUnitCost[Transp_ID],TransTonsShort[[#This Row],[Transp_ID]])*TransTonsShort[[#This Row],[Trans_Tons_All]]/TransTonsShort[[#This Row],[Trans_Tons_All]],"")</f>
        <v>0</v>
      </c>
      <c r="X1321" s="386" t="str">
        <f>TransTonsShort[[#This Row],[Grouping_ID]]&amp;"-"&amp;TransTonsShort[[#This Row],[Sector_ID]]</f>
        <v>3-3</v>
      </c>
      <c r="Y13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21" s="421">
        <f>INDEX(LandfillFees[Disposal Tip Fee 2025],MATCH(TransTonsShort[[#This Row],[Grouping_ID]],LandfillFees[Grouping_ID],0))</f>
        <v>72.030938699729589</v>
      </c>
      <c r="AA1321" s="102">
        <f>IF(OR(TransTonsShort[[#This Row],[CollectionStream_ID]]="03",TransTonsShort[[#This Row],[CollectionStream_ID]]="04",TransTonsShort[[#This Row],[CollectionStream_ID]]="13"),0,TransTonsShort[[#This Row],[Trans_Tons_All]]*TransTonsShort[[#This Row],[Disposal_Fee]])</f>
        <v>0</v>
      </c>
    </row>
    <row r="1322" spans="12:27" ht="15" x14ac:dyDescent="0.25">
      <c r="L1322" s="446" t="s">
        <v>876</v>
      </c>
      <c r="M1322" s="446">
        <v>3</v>
      </c>
      <c r="N1322" s="446">
        <v>3</v>
      </c>
      <c r="O1322" s="446" t="s">
        <v>719</v>
      </c>
      <c r="P1322" s="449" t="s">
        <v>744</v>
      </c>
      <c r="Q1322" s="449"/>
      <c r="R1322" s="449"/>
      <c r="S1322" s="449" t="s">
        <v>720</v>
      </c>
      <c r="T1322" s="449" t="s">
        <v>967</v>
      </c>
      <c r="U1322" s="452">
        <v>710.57263630539853</v>
      </c>
      <c r="V132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2" s="272">
        <f>IFERROR(SUMIFS(TransUnitCost[Miles],TransUnitCost[Grouping_ID],TransTonsShort[[#This Row],[Grouping_ID]],TransUnitCost[Transp_ID],TransTonsShort[[#This Row],[Transp_ID]])*TransTonsShort[[#This Row],[Trans_Tons_All]]/TransTonsShort[[#This Row],[Trans_Tons_All]],"")</f>
        <v>0</v>
      </c>
      <c r="X1322" s="386" t="str">
        <f>TransTonsShort[[#This Row],[Grouping_ID]]&amp;"-"&amp;TransTonsShort[[#This Row],[Sector_ID]]</f>
        <v>3-3</v>
      </c>
      <c r="Y13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22" s="421">
        <f>INDEX(LandfillFees[Disposal Tip Fee 2025],MATCH(TransTonsShort[[#This Row],[Grouping_ID]],LandfillFees[Grouping_ID],0))</f>
        <v>72.030938699729589</v>
      </c>
      <c r="AA1322" s="102">
        <f>IF(OR(TransTonsShort[[#This Row],[CollectionStream_ID]]="03",TransTonsShort[[#This Row],[CollectionStream_ID]]="04",TransTonsShort[[#This Row],[CollectionStream_ID]]="13"),0,TransTonsShort[[#This Row],[Trans_Tons_All]]*TransTonsShort[[#This Row],[Disposal_Fee]])</f>
        <v>0</v>
      </c>
    </row>
    <row r="1323" spans="12:27" ht="15" x14ac:dyDescent="0.25">
      <c r="L1323" s="446" t="s">
        <v>876</v>
      </c>
      <c r="M1323" s="446">
        <v>3</v>
      </c>
      <c r="N1323" s="446">
        <v>3</v>
      </c>
      <c r="O1323" s="446" t="s">
        <v>754</v>
      </c>
      <c r="P1323" s="449" t="s">
        <v>744</v>
      </c>
      <c r="Q1323" s="449"/>
      <c r="R1323" s="449"/>
      <c r="S1323" s="449" t="s">
        <v>1991</v>
      </c>
      <c r="T1323" s="449" t="s">
        <v>967</v>
      </c>
      <c r="U1323" s="452">
        <v>3.9585867554731475</v>
      </c>
      <c r="V132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3" s="272">
        <f>IFERROR(SUMIFS(TransUnitCost[Miles],TransUnitCost[Grouping_ID],TransTonsShort[[#This Row],[Grouping_ID]],TransUnitCost[Transp_ID],TransTonsShort[[#This Row],[Transp_ID]])*TransTonsShort[[#This Row],[Trans_Tons_All]]/TransTonsShort[[#This Row],[Trans_Tons_All]],"")</f>
        <v>0</v>
      </c>
      <c r="X1323" s="386" t="str">
        <f>TransTonsShort[[#This Row],[Grouping_ID]]&amp;"-"&amp;TransTonsShort[[#This Row],[Sector_ID]]</f>
        <v>3-3</v>
      </c>
      <c r="Y13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23" s="421">
        <f>INDEX(LandfillFees[Disposal Tip Fee 2025],MATCH(TransTonsShort[[#This Row],[Grouping_ID]],LandfillFees[Grouping_ID],0))</f>
        <v>72.030938699729589</v>
      </c>
      <c r="AA1323" s="102">
        <f>IF(OR(TransTonsShort[[#This Row],[CollectionStream_ID]]="03",TransTonsShort[[#This Row],[CollectionStream_ID]]="04",TransTonsShort[[#This Row],[CollectionStream_ID]]="13"),0,TransTonsShort[[#This Row],[Trans_Tons_All]]*TransTonsShort[[#This Row],[Disposal_Fee]])</f>
        <v>0</v>
      </c>
    </row>
    <row r="1324" spans="12:27" ht="15" x14ac:dyDescent="0.25">
      <c r="L1324" s="446" t="s">
        <v>876</v>
      </c>
      <c r="M1324" s="446">
        <v>3</v>
      </c>
      <c r="N1324" s="446">
        <v>4</v>
      </c>
      <c r="O1324" s="446" t="s">
        <v>712</v>
      </c>
      <c r="P1324" s="449" t="s">
        <v>744</v>
      </c>
      <c r="Q1324" s="449"/>
      <c r="R1324" s="449"/>
      <c r="S1324" s="449" t="s">
        <v>713</v>
      </c>
      <c r="T1324" s="449" t="s">
        <v>967</v>
      </c>
      <c r="U1324" s="452">
        <v>80131.115739945235</v>
      </c>
      <c r="V132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4" s="272">
        <f>IFERROR(SUMIFS(TransUnitCost[Miles],TransUnitCost[Grouping_ID],TransTonsShort[[#This Row],[Grouping_ID]],TransUnitCost[Transp_ID],TransTonsShort[[#This Row],[Transp_ID]])*TransTonsShort[[#This Row],[Trans_Tons_All]]/TransTonsShort[[#This Row],[Trans_Tons_All]],"")</f>
        <v>0</v>
      </c>
      <c r="X1324" s="386" t="str">
        <f>TransTonsShort[[#This Row],[Grouping_ID]]&amp;"-"&amp;TransTonsShort[[#This Row],[Sector_ID]]</f>
        <v>3-4</v>
      </c>
      <c r="Y13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24" s="421">
        <f>INDEX(LandfillFees[Disposal Tip Fee 2025],MATCH(TransTonsShort[[#This Row],[Grouping_ID]],LandfillFees[Grouping_ID],0))</f>
        <v>72.030938699729589</v>
      </c>
      <c r="AA1324" s="102">
        <f>IF(OR(TransTonsShort[[#This Row],[CollectionStream_ID]]="03",TransTonsShort[[#This Row],[CollectionStream_ID]]="04",TransTonsShort[[#This Row],[CollectionStream_ID]]="13"),0,TransTonsShort[[#This Row],[Trans_Tons_All]]*TransTonsShort[[#This Row],[Disposal_Fee]])</f>
        <v>0</v>
      </c>
    </row>
    <row r="1325" spans="12:27" ht="15" x14ac:dyDescent="0.25">
      <c r="L1325" s="446" t="s">
        <v>876</v>
      </c>
      <c r="M1325" s="446">
        <v>3</v>
      </c>
      <c r="N1325" s="446">
        <v>4</v>
      </c>
      <c r="O1325" s="446" t="s">
        <v>719</v>
      </c>
      <c r="P1325" s="449" t="s">
        <v>744</v>
      </c>
      <c r="Q1325" s="449"/>
      <c r="R1325" s="449"/>
      <c r="S1325" s="449" t="s">
        <v>720</v>
      </c>
      <c r="T1325" s="449" t="s">
        <v>967</v>
      </c>
      <c r="U1325" s="452">
        <v>30483.436903200578</v>
      </c>
      <c r="V132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5" s="272">
        <f>IFERROR(SUMIFS(TransUnitCost[Miles],TransUnitCost[Grouping_ID],TransTonsShort[[#This Row],[Grouping_ID]],TransUnitCost[Transp_ID],TransTonsShort[[#This Row],[Transp_ID]])*TransTonsShort[[#This Row],[Trans_Tons_All]]/TransTonsShort[[#This Row],[Trans_Tons_All]],"")</f>
        <v>0</v>
      </c>
      <c r="X1325" s="386" t="str">
        <f>TransTonsShort[[#This Row],[Grouping_ID]]&amp;"-"&amp;TransTonsShort[[#This Row],[Sector_ID]]</f>
        <v>3-4</v>
      </c>
      <c r="Y13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25" s="421">
        <f>INDEX(LandfillFees[Disposal Tip Fee 2025],MATCH(TransTonsShort[[#This Row],[Grouping_ID]],LandfillFees[Grouping_ID],0))</f>
        <v>72.030938699729589</v>
      </c>
      <c r="AA1325" s="102">
        <f>IF(OR(TransTonsShort[[#This Row],[CollectionStream_ID]]="03",TransTonsShort[[#This Row],[CollectionStream_ID]]="04",TransTonsShort[[#This Row],[CollectionStream_ID]]="13"),0,TransTonsShort[[#This Row],[Trans_Tons_All]]*TransTonsShort[[#This Row],[Disposal_Fee]])</f>
        <v>0</v>
      </c>
    </row>
    <row r="1326" spans="12:27" ht="15" x14ac:dyDescent="0.25">
      <c r="L1326" s="446" t="s">
        <v>876</v>
      </c>
      <c r="M1326" s="446">
        <v>3</v>
      </c>
      <c r="N1326" s="446">
        <v>4</v>
      </c>
      <c r="O1326" s="446" t="s">
        <v>754</v>
      </c>
      <c r="P1326" s="449" t="s">
        <v>744</v>
      </c>
      <c r="Q1326" s="449"/>
      <c r="R1326" s="449"/>
      <c r="S1326" s="449" t="s">
        <v>1991</v>
      </c>
      <c r="T1326" s="449" t="s">
        <v>967</v>
      </c>
      <c r="U1326" s="452">
        <v>2464.105248444625</v>
      </c>
      <c r="V132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6" s="272">
        <f>IFERROR(SUMIFS(TransUnitCost[Miles],TransUnitCost[Grouping_ID],TransTonsShort[[#This Row],[Grouping_ID]],TransUnitCost[Transp_ID],TransTonsShort[[#This Row],[Transp_ID]])*TransTonsShort[[#This Row],[Trans_Tons_All]]/TransTonsShort[[#This Row],[Trans_Tons_All]],"")</f>
        <v>0</v>
      </c>
      <c r="X1326" s="386" t="str">
        <f>TransTonsShort[[#This Row],[Grouping_ID]]&amp;"-"&amp;TransTonsShort[[#This Row],[Sector_ID]]</f>
        <v>3-4</v>
      </c>
      <c r="Y13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26" s="421">
        <f>INDEX(LandfillFees[Disposal Tip Fee 2025],MATCH(TransTonsShort[[#This Row],[Grouping_ID]],LandfillFees[Grouping_ID],0))</f>
        <v>72.030938699729589</v>
      </c>
      <c r="AA1326" s="102">
        <f>IF(OR(TransTonsShort[[#This Row],[CollectionStream_ID]]="03",TransTonsShort[[#This Row],[CollectionStream_ID]]="04",TransTonsShort[[#This Row],[CollectionStream_ID]]="13"),0,TransTonsShort[[#This Row],[Trans_Tons_All]]*TransTonsShort[[#This Row],[Disposal_Fee]])</f>
        <v>0</v>
      </c>
    </row>
    <row r="1327" spans="12:27" ht="15" x14ac:dyDescent="0.25">
      <c r="L1327" s="446" t="s">
        <v>876</v>
      </c>
      <c r="M1327" s="446">
        <v>3</v>
      </c>
      <c r="N1327" s="446">
        <v>5</v>
      </c>
      <c r="O1327" s="446" t="s">
        <v>754</v>
      </c>
      <c r="P1327" s="449" t="s">
        <v>744</v>
      </c>
      <c r="Q1327" s="449"/>
      <c r="R1327" s="449"/>
      <c r="S1327" s="449" t="s">
        <v>1991</v>
      </c>
      <c r="T1327" s="449" t="s">
        <v>967</v>
      </c>
      <c r="U1327" s="452">
        <v>112502.92066113914</v>
      </c>
      <c r="V132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7" s="272">
        <f>IFERROR(SUMIFS(TransUnitCost[Miles],TransUnitCost[Grouping_ID],TransTonsShort[[#This Row],[Grouping_ID]],TransUnitCost[Transp_ID],TransTonsShort[[#This Row],[Transp_ID]])*TransTonsShort[[#This Row],[Trans_Tons_All]]/TransTonsShort[[#This Row],[Trans_Tons_All]],"")</f>
        <v>0</v>
      </c>
      <c r="X1327" s="386" t="str">
        <f>TransTonsShort[[#This Row],[Grouping_ID]]&amp;"-"&amp;TransTonsShort[[#This Row],[Sector_ID]]</f>
        <v>3-5</v>
      </c>
      <c r="Y13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27" s="421">
        <f>INDEX(LandfillFees[Disposal Tip Fee 2025],MATCH(TransTonsShort[[#This Row],[Grouping_ID]],LandfillFees[Grouping_ID],0))</f>
        <v>72.030938699729589</v>
      </c>
      <c r="AA1327" s="102">
        <f>IF(OR(TransTonsShort[[#This Row],[CollectionStream_ID]]="03",TransTonsShort[[#This Row],[CollectionStream_ID]]="04",TransTonsShort[[#This Row],[CollectionStream_ID]]="13"),0,TransTonsShort[[#This Row],[Trans_Tons_All]]*TransTonsShort[[#This Row],[Disposal_Fee]])</f>
        <v>0</v>
      </c>
    </row>
    <row r="1328" spans="12:27" ht="15" x14ac:dyDescent="0.25">
      <c r="L1328" s="446" t="s">
        <v>876</v>
      </c>
      <c r="M1328" s="446">
        <v>3</v>
      </c>
      <c r="N1328" s="446">
        <v>6</v>
      </c>
      <c r="O1328" s="446" t="s">
        <v>754</v>
      </c>
      <c r="P1328" s="449" t="s">
        <v>744</v>
      </c>
      <c r="Q1328" s="449"/>
      <c r="R1328" s="449"/>
      <c r="S1328" s="449" t="s">
        <v>1991</v>
      </c>
      <c r="T1328" s="449" t="s">
        <v>967</v>
      </c>
      <c r="U1328" s="452">
        <v>10530.418399916423</v>
      </c>
      <c r="V132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8" s="272">
        <f>IFERROR(SUMIFS(TransUnitCost[Miles],TransUnitCost[Grouping_ID],TransTonsShort[[#This Row],[Grouping_ID]],TransUnitCost[Transp_ID],TransTonsShort[[#This Row],[Transp_ID]])*TransTonsShort[[#This Row],[Trans_Tons_All]]/TransTonsShort[[#This Row],[Trans_Tons_All]],"")</f>
        <v>0</v>
      </c>
      <c r="X1328" s="386" t="str">
        <f>TransTonsShort[[#This Row],[Grouping_ID]]&amp;"-"&amp;TransTonsShort[[#This Row],[Sector_ID]]</f>
        <v>3-6</v>
      </c>
      <c r="Y13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28" s="421">
        <f>INDEX(LandfillFees[Disposal Tip Fee 2025],MATCH(TransTonsShort[[#This Row],[Grouping_ID]],LandfillFees[Grouping_ID],0))</f>
        <v>72.030938699729589</v>
      </c>
      <c r="AA1328" s="102">
        <f>IF(OR(TransTonsShort[[#This Row],[CollectionStream_ID]]="03",TransTonsShort[[#This Row],[CollectionStream_ID]]="04",TransTonsShort[[#This Row],[CollectionStream_ID]]="13"),0,TransTonsShort[[#This Row],[Trans_Tons_All]]*TransTonsShort[[#This Row],[Disposal_Fee]])</f>
        <v>0</v>
      </c>
    </row>
    <row r="1329" spans="12:27" ht="15" x14ac:dyDescent="0.25">
      <c r="L1329" s="446" t="s">
        <v>876</v>
      </c>
      <c r="M1329" s="446">
        <v>4</v>
      </c>
      <c r="N1329" s="446">
        <v>1</v>
      </c>
      <c r="O1329" s="446" t="s">
        <v>712</v>
      </c>
      <c r="P1329" s="449" t="s">
        <v>744</v>
      </c>
      <c r="Q1329" s="449"/>
      <c r="R1329" s="449"/>
      <c r="S1329" s="449" t="s">
        <v>713</v>
      </c>
      <c r="T1329" s="449" t="s">
        <v>967</v>
      </c>
      <c r="U1329" s="452">
        <v>192556.72477401805</v>
      </c>
      <c r="V132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29" s="272">
        <f>IFERROR(SUMIFS(TransUnitCost[Miles],TransUnitCost[Grouping_ID],TransTonsShort[[#This Row],[Grouping_ID]],TransUnitCost[Transp_ID],TransTonsShort[[#This Row],[Transp_ID]])*TransTonsShort[[#This Row],[Trans_Tons_All]]/TransTonsShort[[#This Row],[Trans_Tons_All]],"")</f>
        <v>0</v>
      </c>
      <c r="X1329" s="386" t="str">
        <f>TransTonsShort[[#This Row],[Grouping_ID]]&amp;"-"&amp;TransTonsShort[[#This Row],[Sector_ID]]</f>
        <v>4-1</v>
      </c>
      <c r="Y13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29" s="421">
        <f>INDEX(LandfillFees[Disposal Tip Fee 2025],MATCH(TransTonsShort[[#This Row],[Grouping_ID]],LandfillFees[Grouping_ID],0))</f>
        <v>72.030938699729589</v>
      </c>
      <c r="AA1329" s="102">
        <f>IF(OR(TransTonsShort[[#This Row],[CollectionStream_ID]]="03",TransTonsShort[[#This Row],[CollectionStream_ID]]="04",TransTonsShort[[#This Row],[CollectionStream_ID]]="13"),0,TransTonsShort[[#This Row],[Trans_Tons_All]]*TransTonsShort[[#This Row],[Disposal_Fee]])</f>
        <v>0</v>
      </c>
    </row>
    <row r="1330" spans="12:27" ht="15" x14ac:dyDescent="0.25">
      <c r="L1330" s="446" t="s">
        <v>876</v>
      </c>
      <c r="M1330" s="446">
        <v>4</v>
      </c>
      <c r="N1330" s="446">
        <v>1</v>
      </c>
      <c r="O1330" s="446" t="s">
        <v>719</v>
      </c>
      <c r="P1330" s="449" t="s">
        <v>744</v>
      </c>
      <c r="Q1330" s="449"/>
      <c r="R1330" s="449"/>
      <c r="S1330" s="449" t="s">
        <v>720</v>
      </c>
      <c r="T1330" s="449" t="s">
        <v>967</v>
      </c>
      <c r="U1330" s="452">
        <v>31.249121728528202</v>
      </c>
      <c r="V133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0" s="272">
        <f>IFERROR(SUMIFS(TransUnitCost[Miles],TransUnitCost[Grouping_ID],TransTonsShort[[#This Row],[Grouping_ID]],TransUnitCost[Transp_ID],TransTonsShort[[#This Row],[Transp_ID]])*TransTonsShort[[#This Row],[Trans_Tons_All]]/TransTonsShort[[#This Row],[Trans_Tons_All]],"")</f>
        <v>0</v>
      </c>
      <c r="X1330" s="386" t="str">
        <f>TransTonsShort[[#This Row],[Grouping_ID]]&amp;"-"&amp;TransTonsShort[[#This Row],[Sector_ID]]</f>
        <v>4-1</v>
      </c>
      <c r="Y13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30" s="421">
        <f>INDEX(LandfillFees[Disposal Tip Fee 2025],MATCH(TransTonsShort[[#This Row],[Grouping_ID]],LandfillFees[Grouping_ID],0))</f>
        <v>72.030938699729589</v>
      </c>
      <c r="AA1330" s="102">
        <f>IF(OR(TransTonsShort[[#This Row],[CollectionStream_ID]]="03",TransTonsShort[[#This Row],[CollectionStream_ID]]="04",TransTonsShort[[#This Row],[CollectionStream_ID]]="13"),0,TransTonsShort[[#This Row],[Trans_Tons_All]]*TransTonsShort[[#This Row],[Disposal_Fee]])</f>
        <v>0</v>
      </c>
    </row>
    <row r="1331" spans="12:27" ht="15" x14ac:dyDescent="0.25">
      <c r="L1331" s="446" t="s">
        <v>876</v>
      </c>
      <c r="M1331" s="446">
        <v>4</v>
      </c>
      <c r="N1331" s="446">
        <v>1</v>
      </c>
      <c r="O1331" s="446" t="s">
        <v>754</v>
      </c>
      <c r="P1331" s="449" t="s">
        <v>744</v>
      </c>
      <c r="Q1331" s="449"/>
      <c r="R1331" s="449"/>
      <c r="S1331" s="449" t="s">
        <v>1991</v>
      </c>
      <c r="T1331" s="449" t="s">
        <v>967</v>
      </c>
      <c r="U1331" s="452">
        <v>6.3556190710760312</v>
      </c>
      <c r="V133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1" s="272">
        <f>IFERROR(SUMIFS(TransUnitCost[Miles],TransUnitCost[Grouping_ID],TransTonsShort[[#This Row],[Grouping_ID]],TransUnitCost[Transp_ID],TransTonsShort[[#This Row],[Transp_ID]])*TransTonsShort[[#This Row],[Trans_Tons_All]]/TransTonsShort[[#This Row],[Trans_Tons_All]],"")</f>
        <v>0</v>
      </c>
      <c r="X1331" s="386" t="str">
        <f>TransTonsShort[[#This Row],[Grouping_ID]]&amp;"-"&amp;TransTonsShort[[#This Row],[Sector_ID]]</f>
        <v>4-1</v>
      </c>
      <c r="Y13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31" s="421">
        <f>INDEX(LandfillFees[Disposal Tip Fee 2025],MATCH(TransTonsShort[[#This Row],[Grouping_ID]],LandfillFees[Grouping_ID],0))</f>
        <v>72.030938699729589</v>
      </c>
      <c r="AA1331" s="102">
        <f>IF(OR(TransTonsShort[[#This Row],[CollectionStream_ID]]="03",TransTonsShort[[#This Row],[CollectionStream_ID]]="04",TransTonsShort[[#This Row],[CollectionStream_ID]]="13"),0,TransTonsShort[[#This Row],[Trans_Tons_All]]*TransTonsShort[[#This Row],[Disposal_Fee]])</f>
        <v>0</v>
      </c>
    </row>
    <row r="1332" spans="12:27" ht="15" x14ac:dyDescent="0.25">
      <c r="L1332" s="446" t="s">
        <v>876</v>
      </c>
      <c r="M1332" s="446">
        <v>4</v>
      </c>
      <c r="N1332" s="446">
        <v>2</v>
      </c>
      <c r="O1332" s="446" t="s">
        <v>712</v>
      </c>
      <c r="P1332" s="449" t="s">
        <v>744</v>
      </c>
      <c r="Q1332" s="449"/>
      <c r="R1332" s="449"/>
      <c r="S1332" s="449" t="s">
        <v>713</v>
      </c>
      <c r="T1332" s="449" t="s">
        <v>967</v>
      </c>
      <c r="U1332" s="452">
        <v>39154.417415457399</v>
      </c>
      <c r="V133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2" s="272">
        <f>IFERROR(SUMIFS(TransUnitCost[Miles],TransUnitCost[Grouping_ID],TransTonsShort[[#This Row],[Grouping_ID]],TransUnitCost[Transp_ID],TransTonsShort[[#This Row],[Transp_ID]])*TransTonsShort[[#This Row],[Trans_Tons_All]]/TransTonsShort[[#This Row],[Trans_Tons_All]],"")</f>
        <v>0</v>
      </c>
      <c r="X1332" s="386" t="str">
        <f>TransTonsShort[[#This Row],[Grouping_ID]]&amp;"-"&amp;TransTonsShort[[#This Row],[Sector_ID]]</f>
        <v>4-2</v>
      </c>
      <c r="Y13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32" s="421">
        <f>INDEX(LandfillFees[Disposal Tip Fee 2025],MATCH(TransTonsShort[[#This Row],[Grouping_ID]],LandfillFees[Grouping_ID],0))</f>
        <v>72.030938699729589</v>
      </c>
      <c r="AA1332" s="102">
        <f>IF(OR(TransTonsShort[[#This Row],[CollectionStream_ID]]="03",TransTonsShort[[#This Row],[CollectionStream_ID]]="04",TransTonsShort[[#This Row],[CollectionStream_ID]]="13"),0,TransTonsShort[[#This Row],[Trans_Tons_All]]*TransTonsShort[[#This Row],[Disposal_Fee]])</f>
        <v>0</v>
      </c>
    </row>
    <row r="1333" spans="12:27" ht="15" x14ac:dyDescent="0.25">
      <c r="L1333" s="446" t="s">
        <v>876</v>
      </c>
      <c r="M1333" s="446">
        <v>4</v>
      </c>
      <c r="N1333" s="446">
        <v>2</v>
      </c>
      <c r="O1333" s="446" t="s">
        <v>719</v>
      </c>
      <c r="P1333" s="449" t="s">
        <v>744</v>
      </c>
      <c r="Q1333" s="449"/>
      <c r="R1333" s="449"/>
      <c r="S1333" s="449" t="s">
        <v>720</v>
      </c>
      <c r="T1333" s="449" t="s">
        <v>967</v>
      </c>
      <c r="U1333" s="452">
        <v>0.52265282121438028</v>
      </c>
      <c r="V133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3" s="272">
        <f>IFERROR(SUMIFS(TransUnitCost[Miles],TransUnitCost[Grouping_ID],TransTonsShort[[#This Row],[Grouping_ID]],TransUnitCost[Transp_ID],TransTonsShort[[#This Row],[Transp_ID]])*TransTonsShort[[#This Row],[Trans_Tons_All]]/TransTonsShort[[#This Row],[Trans_Tons_All]],"")</f>
        <v>0</v>
      </c>
      <c r="X1333" s="386" t="str">
        <f>TransTonsShort[[#This Row],[Grouping_ID]]&amp;"-"&amp;TransTonsShort[[#This Row],[Sector_ID]]</f>
        <v>4-2</v>
      </c>
      <c r="Y13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33" s="421">
        <f>INDEX(LandfillFees[Disposal Tip Fee 2025],MATCH(TransTonsShort[[#This Row],[Grouping_ID]],LandfillFees[Grouping_ID],0))</f>
        <v>72.030938699729589</v>
      </c>
      <c r="AA1333" s="102">
        <f>IF(OR(TransTonsShort[[#This Row],[CollectionStream_ID]]="03",TransTonsShort[[#This Row],[CollectionStream_ID]]="04",TransTonsShort[[#This Row],[CollectionStream_ID]]="13"),0,TransTonsShort[[#This Row],[Trans_Tons_All]]*TransTonsShort[[#This Row],[Disposal_Fee]])</f>
        <v>0</v>
      </c>
    </row>
    <row r="1334" spans="12:27" ht="15" x14ac:dyDescent="0.25">
      <c r="L1334" s="446" t="s">
        <v>876</v>
      </c>
      <c r="M1334" s="446">
        <v>4</v>
      </c>
      <c r="N1334" s="446">
        <v>2</v>
      </c>
      <c r="O1334" s="446" t="s">
        <v>754</v>
      </c>
      <c r="P1334" s="449" t="s">
        <v>744</v>
      </c>
      <c r="Q1334" s="449"/>
      <c r="R1334" s="449"/>
      <c r="S1334" s="449" t="s">
        <v>1991</v>
      </c>
      <c r="T1334" s="449" t="s">
        <v>967</v>
      </c>
      <c r="U1334" s="452">
        <v>80.450079532787527</v>
      </c>
      <c r="V133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4" s="272">
        <f>IFERROR(SUMIFS(TransUnitCost[Miles],TransUnitCost[Grouping_ID],TransTonsShort[[#This Row],[Grouping_ID]],TransUnitCost[Transp_ID],TransTonsShort[[#This Row],[Transp_ID]])*TransTonsShort[[#This Row],[Trans_Tons_All]]/TransTonsShort[[#This Row],[Trans_Tons_All]],"")</f>
        <v>0</v>
      </c>
      <c r="X1334" s="386" t="str">
        <f>TransTonsShort[[#This Row],[Grouping_ID]]&amp;"-"&amp;TransTonsShort[[#This Row],[Sector_ID]]</f>
        <v>4-2</v>
      </c>
      <c r="Y13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34" s="421">
        <f>INDEX(LandfillFees[Disposal Tip Fee 2025],MATCH(TransTonsShort[[#This Row],[Grouping_ID]],LandfillFees[Grouping_ID],0))</f>
        <v>72.030938699729589</v>
      </c>
      <c r="AA1334" s="102">
        <f>IF(OR(TransTonsShort[[#This Row],[CollectionStream_ID]]="03",TransTonsShort[[#This Row],[CollectionStream_ID]]="04",TransTonsShort[[#This Row],[CollectionStream_ID]]="13"),0,TransTonsShort[[#This Row],[Trans_Tons_All]]*TransTonsShort[[#This Row],[Disposal_Fee]])</f>
        <v>0</v>
      </c>
    </row>
    <row r="1335" spans="12:27" ht="15" x14ac:dyDescent="0.25">
      <c r="L1335" s="446" t="s">
        <v>876</v>
      </c>
      <c r="M1335" s="446">
        <v>4</v>
      </c>
      <c r="N1335" s="446">
        <v>3</v>
      </c>
      <c r="O1335" s="446" t="s">
        <v>712</v>
      </c>
      <c r="P1335" s="449" t="s">
        <v>744</v>
      </c>
      <c r="Q1335" s="449"/>
      <c r="R1335" s="449"/>
      <c r="S1335" s="449" t="s">
        <v>713</v>
      </c>
      <c r="T1335" s="449" t="s">
        <v>967</v>
      </c>
      <c r="U1335" s="452">
        <v>131536.18715595623</v>
      </c>
      <c r="V133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5" s="272">
        <f>IFERROR(SUMIFS(TransUnitCost[Miles],TransUnitCost[Grouping_ID],TransTonsShort[[#This Row],[Grouping_ID]],TransUnitCost[Transp_ID],TransTonsShort[[#This Row],[Transp_ID]])*TransTonsShort[[#This Row],[Trans_Tons_All]]/TransTonsShort[[#This Row],[Trans_Tons_All]],"")</f>
        <v>0</v>
      </c>
      <c r="X1335" s="386" t="str">
        <f>TransTonsShort[[#This Row],[Grouping_ID]]&amp;"-"&amp;TransTonsShort[[#This Row],[Sector_ID]]</f>
        <v>4-3</v>
      </c>
      <c r="Y13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35" s="421">
        <f>INDEX(LandfillFees[Disposal Tip Fee 2025],MATCH(TransTonsShort[[#This Row],[Grouping_ID]],LandfillFees[Grouping_ID],0))</f>
        <v>72.030938699729589</v>
      </c>
      <c r="AA1335" s="102">
        <f>IF(OR(TransTonsShort[[#This Row],[CollectionStream_ID]]="03",TransTonsShort[[#This Row],[CollectionStream_ID]]="04",TransTonsShort[[#This Row],[CollectionStream_ID]]="13"),0,TransTonsShort[[#This Row],[Trans_Tons_All]]*TransTonsShort[[#This Row],[Disposal_Fee]])</f>
        <v>0</v>
      </c>
    </row>
    <row r="1336" spans="12:27" ht="15" x14ac:dyDescent="0.25">
      <c r="L1336" s="446" t="s">
        <v>876</v>
      </c>
      <c r="M1336" s="446">
        <v>4</v>
      </c>
      <c r="N1336" s="446">
        <v>3</v>
      </c>
      <c r="O1336" s="446" t="s">
        <v>719</v>
      </c>
      <c r="P1336" s="449" t="s">
        <v>744</v>
      </c>
      <c r="Q1336" s="449"/>
      <c r="R1336" s="449"/>
      <c r="S1336" s="449" t="s">
        <v>720</v>
      </c>
      <c r="T1336" s="449" t="s">
        <v>967</v>
      </c>
      <c r="U1336" s="452">
        <v>5443.1244494308885</v>
      </c>
      <c r="V133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6" s="272">
        <f>IFERROR(SUMIFS(TransUnitCost[Miles],TransUnitCost[Grouping_ID],TransTonsShort[[#This Row],[Grouping_ID]],TransUnitCost[Transp_ID],TransTonsShort[[#This Row],[Transp_ID]])*TransTonsShort[[#This Row],[Trans_Tons_All]]/TransTonsShort[[#This Row],[Trans_Tons_All]],"")</f>
        <v>0</v>
      </c>
      <c r="X1336" s="386" t="str">
        <f>TransTonsShort[[#This Row],[Grouping_ID]]&amp;"-"&amp;TransTonsShort[[#This Row],[Sector_ID]]</f>
        <v>4-3</v>
      </c>
      <c r="Y13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36" s="421">
        <f>INDEX(LandfillFees[Disposal Tip Fee 2025],MATCH(TransTonsShort[[#This Row],[Grouping_ID]],LandfillFees[Grouping_ID],0))</f>
        <v>72.030938699729589</v>
      </c>
      <c r="AA1336" s="102">
        <f>IF(OR(TransTonsShort[[#This Row],[CollectionStream_ID]]="03",TransTonsShort[[#This Row],[CollectionStream_ID]]="04",TransTonsShort[[#This Row],[CollectionStream_ID]]="13"),0,TransTonsShort[[#This Row],[Trans_Tons_All]]*TransTonsShort[[#This Row],[Disposal_Fee]])</f>
        <v>0</v>
      </c>
    </row>
    <row r="1337" spans="12:27" ht="15" x14ac:dyDescent="0.25">
      <c r="L1337" s="446" t="s">
        <v>876</v>
      </c>
      <c r="M1337" s="446">
        <v>4</v>
      </c>
      <c r="N1337" s="446">
        <v>3</v>
      </c>
      <c r="O1337" s="446" t="s">
        <v>754</v>
      </c>
      <c r="P1337" s="449" t="s">
        <v>744</v>
      </c>
      <c r="Q1337" s="449"/>
      <c r="R1337" s="449"/>
      <c r="S1337" s="449" t="s">
        <v>1991</v>
      </c>
      <c r="T1337" s="449" t="s">
        <v>967</v>
      </c>
      <c r="U1337" s="452">
        <v>42.886103670660546</v>
      </c>
      <c r="V133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7" s="272">
        <f>IFERROR(SUMIFS(TransUnitCost[Miles],TransUnitCost[Grouping_ID],TransTonsShort[[#This Row],[Grouping_ID]],TransUnitCost[Transp_ID],TransTonsShort[[#This Row],[Transp_ID]])*TransTonsShort[[#This Row],[Trans_Tons_All]]/TransTonsShort[[#This Row],[Trans_Tons_All]],"")</f>
        <v>0</v>
      </c>
      <c r="X1337" s="386" t="str">
        <f>TransTonsShort[[#This Row],[Grouping_ID]]&amp;"-"&amp;TransTonsShort[[#This Row],[Sector_ID]]</f>
        <v>4-3</v>
      </c>
      <c r="Y13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37" s="421">
        <f>INDEX(LandfillFees[Disposal Tip Fee 2025],MATCH(TransTonsShort[[#This Row],[Grouping_ID]],LandfillFees[Grouping_ID],0))</f>
        <v>72.030938699729589</v>
      </c>
      <c r="AA1337" s="102">
        <f>IF(OR(TransTonsShort[[#This Row],[CollectionStream_ID]]="03",TransTonsShort[[#This Row],[CollectionStream_ID]]="04",TransTonsShort[[#This Row],[CollectionStream_ID]]="13"),0,TransTonsShort[[#This Row],[Trans_Tons_All]]*TransTonsShort[[#This Row],[Disposal_Fee]])</f>
        <v>0</v>
      </c>
    </row>
    <row r="1338" spans="12:27" ht="15" x14ac:dyDescent="0.25">
      <c r="L1338" s="446" t="s">
        <v>876</v>
      </c>
      <c r="M1338" s="446">
        <v>4</v>
      </c>
      <c r="N1338" s="446">
        <v>4</v>
      </c>
      <c r="O1338" s="446" t="s">
        <v>712</v>
      </c>
      <c r="P1338" s="449" t="s">
        <v>744</v>
      </c>
      <c r="Q1338" s="449"/>
      <c r="R1338" s="449"/>
      <c r="S1338" s="449" t="s">
        <v>713</v>
      </c>
      <c r="T1338" s="449" t="s">
        <v>967</v>
      </c>
      <c r="U1338" s="452">
        <v>90315.999432660581</v>
      </c>
      <c r="V133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8" s="272">
        <f>IFERROR(SUMIFS(TransUnitCost[Miles],TransUnitCost[Grouping_ID],TransTonsShort[[#This Row],[Grouping_ID]],TransUnitCost[Transp_ID],TransTonsShort[[#This Row],[Transp_ID]])*TransTonsShort[[#This Row],[Trans_Tons_All]]/TransTonsShort[[#This Row],[Trans_Tons_All]],"")</f>
        <v>0</v>
      </c>
      <c r="X1338" s="386" t="str">
        <f>TransTonsShort[[#This Row],[Grouping_ID]]&amp;"-"&amp;TransTonsShort[[#This Row],[Sector_ID]]</f>
        <v>4-4</v>
      </c>
      <c r="Y13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38" s="421">
        <f>INDEX(LandfillFees[Disposal Tip Fee 2025],MATCH(TransTonsShort[[#This Row],[Grouping_ID]],LandfillFees[Grouping_ID],0))</f>
        <v>72.030938699729589</v>
      </c>
      <c r="AA1338" s="102">
        <f>IF(OR(TransTonsShort[[#This Row],[CollectionStream_ID]]="03",TransTonsShort[[#This Row],[CollectionStream_ID]]="04",TransTonsShort[[#This Row],[CollectionStream_ID]]="13"),0,TransTonsShort[[#This Row],[Trans_Tons_All]]*TransTonsShort[[#This Row],[Disposal_Fee]])</f>
        <v>0</v>
      </c>
    </row>
    <row r="1339" spans="12:27" ht="15" x14ac:dyDescent="0.25">
      <c r="L1339" s="446" t="s">
        <v>876</v>
      </c>
      <c r="M1339" s="446">
        <v>4</v>
      </c>
      <c r="N1339" s="446">
        <v>4</v>
      </c>
      <c r="O1339" s="446" t="s">
        <v>719</v>
      </c>
      <c r="P1339" s="450" t="s">
        <v>744</v>
      </c>
      <c r="Q1339" s="450"/>
      <c r="R1339" s="450"/>
      <c r="S1339" s="449" t="s">
        <v>720</v>
      </c>
      <c r="T1339" s="449" t="s">
        <v>967</v>
      </c>
      <c r="U1339" s="452">
        <v>21209.540696132946</v>
      </c>
      <c r="V133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39" s="272">
        <f>IFERROR(SUMIFS(TransUnitCost[Miles],TransUnitCost[Grouping_ID],TransTonsShort[[#This Row],[Grouping_ID]],TransUnitCost[Transp_ID],TransTonsShort[[#This Row],[Transp_ID]])*TransTonsShort[[#This Row],[Trans_Tons_All]]/TransTonsShort[[#This Row],[Trans_Tons_All]],"")</f>
        <v>0</v>
      </c>
      <c r="X1339" s="386" t="str">
        <f>TransTonsShort[[#This Row],[Grouping_ID]]&amp;"-"&amp;TransTonsShort[[#This Row],[Sector_ID]]</f>
        <v>4-4</v>
      </c>
      <c r="Y13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39" s="421">
        <f>INDEX(LandfillFees[Disposal Tip Fee 2025],MATCH(TransTonsShort[[#This Row],[Grouping_ID]],LandfillFees[Grouping_ID],0))</f>
        <v>72.030938699729589</v>
      </c>
      <c r="AA1339" s="102">
        <f>IF(OR(TransTonsShort[[#This Row],[CollectionStream_ID]]="03",TransTonsShort[[#This Row],[CollectionStream_ID]]="04",TransTonsShort[[#This Row],[CollectionStream_ID]]="13"),0,TransTonsShort[[#This Row],[Trans_Tons_All]]*TransTonsShort[[#This Row],[Disposal_Fee]])</f>
        <v>0</v>
      </c>
    </row>
    <row r="1340" spans="12:27" ht="15" x14ac:dyDescent="0.25">
      <c r="L1340" s="446" t="s">
        <v>876</v>
      </c>
      <c r="M1340" s="446">
        <v>4</v>
      </c>
      <c r="N1340" s="446">
        <v>4</v>
      </c>
      <c r="O1340" s="446" t="s">
        <v>754</v>
      </c>
      <c r="P1340" s="450" t="s">
        <v>744</v>
      </c>
      <c r="Q1340" s="450"/>
      <c r="R1340" s="450"/>
      <c r="S1340" s="449" t="s">
        <v>1991</v>
      </c>
      <c r="T1340" s="449" t="s">
        <v>967</v>
      </c>
      <c r="U1340" s="452">
        <v>5743.800939331295</v>
      </c>
      <c r="V134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0" s="272">
        <f>IFERROR(SUMIFS(TransUnitCost[Miles],TransUnitCost[Grouping_ID],TransTonsShort[[#This Row],[Grouping_ID]],TransUnitCost[Transp_ID],TransTonsShort[[#This Row],[Transp_ID]])*TransTonsShort[[#This Row],[Trans_Tons_All]]/TransTonsShort[[#This Row],[Trans_Tons_All]],"")</f>
        <v>0</v>
      </c>
      <c r="X1340" s="386" t="str">
        <f>TransTonsShort[[#This Row],[Grouping_ID]]&amp;"-"&amp;TransTonsShort[[#This Row],[Sector_ID]]</f>
        <v>4-4</v>
      </c>
      <c r="Y13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40" s="421">
        <f>INDEX(LandfillFees[Disposal Tip Fee 2025],MATCH(TransTonsShort[[#This Row],[Grouping_ID]],LandfillFees[Grouping_ID],0))</f>
        <v>72.030938699729589</v>
      </c>
      <c r="AA1340" s="102">
        <f>IF(OR(TransTonsShort[[#This Row],[CollectionStream_ID]]="03",TransTonsShort[[#This Row],[CollectionStream_ID]]="04",TransTonsShort[[#This Row],[CollectionStream_ID]]="13"),0,TransTonsShort[[#This Row],[Trans_Tons_All]]*TransTonsShort[[#This Row],[Disposal_Fee]])</f>
        <v>0</v>
      </c>
    </row>
    <row r="1341" spans="12:27" ht="15" x14ac:dyDescent="0.25">
      <c r="L1341" s="446" t="s">
        <v>876</v>
      </c>
      <c r="M1341" s="446">
        <v>4</v>
      </c>
      <c r="N1341" s="446">
        <v>5</v>
      </c>
      <c r="O1341" s="446" t="s">
        <v>754</v>
      </c>
      <c r="P1341" s="450" t="s">
        <v>744</v>
      </c>
      <c r="Q1341" s="450"/>
      <c r="R1341" s="450"/>
      <c r="S1341" s="449" t="s">
        <v>1991</v>
      </c>
      <c r="T1341" s="449" t="s">
        <v>967</v>
      </c>
      <c r="U1341" s="452">
        <v>53906.212649540714</v>
      </c>
      <c r="V134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1" s="272">
        <f>IFERROR(SUMIFS(TransUnitCost[Miles],TransUnitCost[Grouping_ID],TransTonsShort[[#This Row],[Grouping_ID]],TransUnitCost[Transp_ID],TransTonsShort[[#This Row],[Transp_ID]])*TransTonsShort[[#This Row],[Trans_Tons_All]]/TransTonsShort[[#This Row],[Trans_Tons_All]],"")</f>
        <v>0</v>
      </c>
      <c r="X1341" s="386" t="str">
        <f>TransTonsShort[[#This Row],[Grouping_ID]]&amp;"-"&amp;TransTonsShort[[#This Row],[Sector_ID]]</f>
        <v>4-5</v>
      </c>
      <c r="Y13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41" s="421">
        <f>INDEX(LandfillFees[Disposal Tip Fee 2025],MATCH(TransTonsShort[[#This Row],[Grouping_ID]],LandfillFees[Grouping_ID],0))</f>
        <v>72.030938699729589</v>
      </c>
      <c r="AA1341" s="102">
        <f>IF(OR(TransTonsShort[[#This Row],[CollectionStream_ID]]="03",TransTonsShort[[#This Row],[CollectionStream_ID]]="04",TransTonsShort[[#This Row],[CollectionStream_ID]]="13"),0,TransTonsShort[[#This Row],[Trans_Tons_All]]*TransTonsShort[[#This Row],[Disposal_Fee]])</f>
        <v>0</v>
      </c>
    </row>
    <row r="1342" spans="12:27" ht="15" x14ac:dyDescent="0.25">
      <c r="L1342" s="446" t="s">
        <v>876</v>
      </c>
      <c r="M1342" s="446">
        <v>4</v>
      </c>
      <c r="N1342" s="446">
        <v>6</v>
      </c>
      <c r="O1342" s="446" t="s">
        <v>754</v>
      </c>
      <c r="P1342" s="450" t="s">
        <v>744</v>
      </c>
      <c r="Q1342" s="450"/>
      <c r="R1342" s="450"/>
      <c r="S1342" s="449" t="s">
        <v>1991</v>
      </c>
      <c r="T1342" s="449" t="s">
        <v>967</v>
      </c>
      <c r="U1342" s="452">
        <v>12603.943863547724</v>
      </c>
      <c r="V134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2" s="272">
        <f>IFERROR(SUMIFS(TransUnitCost[Miles],TransUnitCost[Grouping_ID],TransTonsShort[[#This Row],[Grouping_ID]],TransUnitCost[Transp_ID],TransTonsShort[[#This Row],[Transp_ID]])*TransTonsShort[[#This Row],[Trans_Tons_All]]/TransTonsShort[[#This Row],[Trans_Tons_All]],"")</f>
        <v>0</v>
      </c>
      <c r="X1342" s="386" t="str">
        <f>TransTonsShort[[#This Row],[Grouping_ID]]&amp;"-"&amp;TransTonsShort[[#This Row],[Sector_ID]]</f>
        <v>4-6</v>
      </c>
      <c r="Y13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42" s="421">
        <f>INDEX(LandfillFees[Disposal Tip Fee 2025],MATCH(TransTonsShort[[#This Row],[Grouping_ID]],LandfillFees[Grouping_ID],0))</f>
        <v>72.030938699729589</v>
      </c>
      <c r="AA1342" s="102">
        <f>IF(OR(TransTonsShort[[#This Row],[CollectionStream_ID]]="03",TransTonsShort[[#This Row],[CollectionStream_ID]]="04",TransTonsShort[[#This Row],[CollectionStream_ID]]="13"),0,TransTonsShort[[#This Row],[Trans_Tons_All]]*TransTonsShort[[#This Row],[Disposal_Fee]])</f>
        <v>0</v>
      </c>
    </row>
    <row r="1343" spans="12:27" ht="15" x14ac:dyDescent="0.25">
      <c r="L1343" s="446" t="s">
        <v>875</v>
      </c>
      <c r="M1343" s="446">
        <v>1</v>
      </c>
      <c r="N1343" s="446">
        <v>1</v>
      </c>
      <c r="O1343" s="446" t="s">
        <v>712</v>
      </c>
      <c r="P1343" s="449" t="s">
        <v>744</v>
      </c>
      <c r="Q1343" s="449"/>
      <c r="R1343" s="449"/>
      <c r="S1343" s="449" t="s">
        <v>713</v>
      </c>
      <c r="T1343" s="449" t="s">
        <v>967</v>
      </c>
      <c r="U1343" s="452">
        <v>277582.2605890386</v>
      </c>
      <c r="V134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3" s="272">
        <f>IFERROR(SUMIFS(TransUnitCost[Miles],TransUnitCost[Grouping_ID],TransTonsShort[[#This Row],[Grouping_ID]],TransUnitCost[Transp_ID],TransTonsShort[[#This Row],[Transp_ID]])*TransTonsShort[[#This Row],[Trans_Tons_All]]/TransTonsShort[[#This Row],[Trans_Tons_All]],"")</f>
        <v>0</v>
      </c>
      <c r="X1343" s="386" t="str">
        <f>TransTonsShort[[#This Row],[Grouping_ID]]&amp;"-"&amp;TransTonsShort[[#This Row],[Sector_ID]]</f>
        <v>1-1</v>
      </c>
      <c r="Y13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43" s="421">
        <f>INDEX(LandfillFees[Disposal Tip Fee 2025],MATCH(TransTonsShort[[#This Row],[Grouping_ID]],LandfillFees[Grouping_ID],0))</f>
        <v>134.68</v>
      </c>
      <c r="AA1343" s="102">
        <f>IF(OR(TransTonsShort[[#This Row],[CollectionStream_ID]]="03",TransTonsShort[[#This Row],[CollectionStream_ID]]="04",TransTonsShort[[#This Row],[CollectionStream_ID]]="13"),0,TransTonsShort[[#This Row],[Trans_Tons_All]]*TransTonsShort[[#This Row],[Disposal_Fee]])</f>
        <v>0</v>
      </c>
    </row>
    <row r="1344" spans="12:27" ht="15" x14ac:dyDescent="0.25">
      <c r="L1344" s="446" t="s">
        <v>875</v>
      </c>
      <c r="M1344" s="446">
        <v>1</v>
      </c>
      <c r="N1344" s="446">
        <v>1</v>
      </c>
      <c r="O1344" s="446" t="s">
        <v>719</v>
      </c>
      <c r="P1344" s="449" t="s">
        <v>744</v>
      </c>
      <c r="Q1344" s="449"/>
      <c r="R1344" s="449"/>
      <c r="S1344" s="449" t="s">
        <v>720</v>
      </c>
      <c r="T1344" s="449" t="s">
        <v>967</v>
      </c>
      <c r="U1344" s="452">
        <v>144781.32652718961</v>
      </c>
      <c r="V134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4" s="272">
        <f>IFERROR(SUMIFS(TransUnitCost[Miles],TransUnitCost[Grouping_ID],TransTonsShort[[#This Row],[Grouping_ID]],TransUnitCost[Transp_ID],TransTonsShort[[#This Row],[Transp_ID]])*TransTonsShort[[#This Row],[Trans_Tons_All]]/TransTonsShort[[#This Row],[Trans_Tons_All]],"")</f>
        <v>0</v>
      </c>
      <c r="X1344" s="386" t="str">
        <f>TransTonsShort[[#This Row],[Grouping_ID]]&amp;"-"&amp;TransTonsShort[[#This Row],[Sector_ID]]</f>
        <v>1-1</v>
      </c>
      <c r="Y13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44" s="421">
        <f>INDEX(LandfillFees[Disposal Tip Fee 2025],MATCH(TransTonsShort[[#This Row],[Grouping_ID]],LandfillFees[Grouping_ID],0))</f>
        <v>134.68</v>
      </c>
      <c r="AA1344" s="102">
        <f>IF(OR(TransTonsShort[[#This Row],[CollectionStream_ID]]="03",TransTonsShort[[#This Row],[CollectionStream_ID]]="04",TransTonsShort[[#This Row],[CollectionStream_ID]]="13"),0,TransTonsShort[[#This Row],[Trans_Tons_All]]*TransTonsShort[[#This Row],[Disposal_Fee]])</f>
        <v>0</v>
      </c>
    </row>
    <row r="1345" spans="12:27" ht="15" x14ac:dyDescent="0.25">
      <c r="L1345" s="446" t="s">
        <v>875</v>
      </c>
      <c r="M1345" s="446">
        <v>1</v>
      </c>
      <c r="N1345" s="446">
        <v>1</v>
      </c>
      <c r="O1345" s="446" t="s">
        <v>754</v>
      </c>
      <c r="P1345" s="449" t="s">
        <v>744</v>
      </c>
      <c r="Q1345" s="449"/>
      <c r="R1345" s="449"/>
      <c r="S1345" s="449" t="s">
        <v>1991</v>
      </c>
      <c r="T1345" s="449" t="s">
        <v>967</v>
      </c>
      <c r="U1345" s="452">
        <v>343.64376002431334</v>
      </c>
      <c r="V134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5" s="272">
        <f>IFERROR(SUMIFS(TransUnitCost[Miles],TransUnitCost[Grouping_ID],TransTonsShort[[#This Row],[Grouping_ID]],TransUnitCost[Transp_ID],TransTonsShort[[#This Row],[Transp_ID]])*TransTonsShort[[#This Row],[Trans_Tons_All]]/TransTonsShort[[#This Row],[Trans_Tons_All]],"")</f>
        <v>0</v>
      </c>
      <c r="X1345" s="386" t="str">
        <f>TransTonsShort[[#This Row],[Grouping_ID]]&amp;"-"&amp;TransTonsShort[[#This Row],[Sector_ID]]</f>
        <v>1-1</v>
      </c>
      <c r="Y13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45" s="421">
        <f>INDEX(LandfillFees[Disposal Tip Fee 2025],MATCH(TransTonsShort[[#This Row],[Grouping_ID]],LandfillFees[Grouping_ID],0))</f>
        <v>134.68</v>
      </c>
      <c r="AA1345" s="102">
        <f>IF(OR(TransTonsShort[[#This Row],[CollectionStream_ID]]="03",TransTonsShort[[#This Row],[CollectionStream_ID]]="04",TransTonsShort[[#This Row],[CollectionStream_ID]]="13"),0,TransTonsShort[[#This Row],[Trans_Tons_All]]*TransTonsShort[[#This Row],[Disposal_Fee]])</f>
        <v>0</v>
      </c>
    </row>
    <row r="1346" spans="12:27" ht="15" x14ac:dyDescent="0.25">
      <c r="L1346" s="446" t="s">
        <v>875</v>
      </c>
      <c r="M1346" s="446">
        <v>1</v>
      </c>
      <c r="N1346" s="446">
        <v>2</v>
      </c>
      <c r="O1346" s="446" t="s">
        <v>712</v>
      </c>
      <c r="P1346" s="449" t="s">
        <v>744</v>
      </c>
      <c r="Q1346" s="449"/>
      <c r="R1346" s="449"/>
      <c r="S1346" s="449" t="s">
        <v>713</v>
      </c>
      <c r="T1346" s="449" t="s">
        <v>967</v>
      </c>
      <c r="U1346" s="452">
        <v>117338.68390370622</v>
      </c>
      <c r="V134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6" s="272">
        <f>IFERROR(SUMIFS(TransUnitCost[Miles],TransUnitCost[Grouping_ID],TransTonsShort[[#This Row],[Grouping_ID]],TransUnitCost[Transp_ID],TransTonsShort[[#This Row],[Transp_ID]])*TransTonsShort[[#This Row],[Trans_Tons_All]]/TransTonsShort[[#This Row],[Trans_Tons_All]],"")</f>
        <v>0</v>
      </c>
      <c r="X1346" s="386" t="str">
        <f>TransTonsShort[[#This Row],[Grouping_ID]]&amp;"-"&amp;TransTonsShort[[#This Row],[Sector_ID]]</f>
        <v>1-2</v>
      </c>
      <c r="Y13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46" s="421">
        <f>INDEX(LandfillFees[Disposal Tip Fee 2025],MATCH(TransTonsShort[[#This Row],[Grouping_ID]],LandfillFees[Grouping_ID],0))</f>
        <v>134.68</v>
      </c>
      <c r="AA1346" s="102">
        <f>IF(OR(TransTonsShort[[#This Row],[CollectionStream_ID]]="03",TransTonsShort[[#This Row],[CollectionStream_ID]]="04",TransTonsShort[[#This Row],[CollectionStream_ID]]="13"),0,TransTonsShort[[#This Row],[Trans_Tons_All]]*TransTonsShort[[#This Row],[Disposal_Fee]])</f>
        <v>0</v>
      </c>
    </row>
    <row r="1347" spans="12:27" ht="15" x14ac:dyDescent="0.25">
      <c r="L1347" s="446" t="s">
        <v>875</v>
      </c>
      <c r="M1347" s="446">
        <v>1</v>
      </c>
      <c r="N1347" s="446">
        <v>2</v>
      </c>
      <c r="O1347" s="446" t="s">
        <v>719</v>
      </c>
      <c r="P1347" s="449" t="s">
        <v>744</v>
      </c>
      <c r="Q1347" s="449"/>
      <c r="R1347" s="449"/>
      <c r="S1347" s="449" t="s">
        <v>720</v>
      </c>
      <c r="T1347" s="449" t="s">
        <v>967</v>
      </c>
      <c r="U1347" s="452">
        <v>3180.8415117578074</v>
      </c>
      <c r="V134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7" s="272">
        <f>IFERROR(SUMIFS(TransUnitCost[Miles],TransUnitCost[Grouping_ID],TransTonsShort[[#This Row],[Grouping_ID]],TransUnitCost[Transp_ID],TransTonsShort[[#This Row],[Transp_ID]])*TransTonsShort[[#This Row],[Trans_Tons_All]]/TransTonsShort[[#This Row],[Trans_Tons_All]],"")</f>
        <v>0</v>
      </c>
      <c r="X1347" s="386" t="str">
        <f>TransTonsShort[[#This Row],[Grouping_ID]]&amp;"-"&amp;TransTonsShort[[#This Row],[Sector_ID]]</f>
        <v>1-2</v>
      </c>
      <c r="Y13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47" s="421">
        <f>INDEX(LandfillFees[Disposal Tip Fee 2025],MATCH(TransTonsShort[[#This Row],[Grouping_ID]],LandfillFees[Grouping_ID],0))</f>
        <v>134.68</v>
      </c>
      <c r="AA1347" s="102">
        <f>IF(OR(TransTonsShort[[#This Row],[CollectionStream_ID]]="03",TransTonsShort[[#This Row],[CollectionStream_ID]]="04",TransTonsShort[[#This Row],[CollectionStream_ID]]="13"),0,TransTonsShort[[#This Row],[Trans_Tons_All]]*TransTonsShort[[#This Row],[Disposal_Fee]])</f>
        <v>0</v>
      </c>
    </row>
    <row r="1348" spans="12:27" ht="15" x14ac:dyDescent="0.25">
      <c r="L1348" s="446" t="s">
        <v>875</v>
      </c>
      <c r="M1348" s="446">
        <v>1</v>
      </c>
      <c r="N1348" s="446">
        <v>2</v>
      </c>
      <c r="O1348" s="446" t="s">
        <v>754</v>
      </c>
      <c r="P1348" s="449" t="s">
        <v>744</v>
      </c>
      <c r="Q1348" s="449"/>
      <c r="R1348" s="449"/>
      <c r="S1348" s="449" t="s">
        <v>1991</v>
      </c>
      <c r="T1348" s="449" t="s">
        <v>967</v>
      </c>
      <c r="U1348" s="452">
        <v>0.84305151988863725</v>
      </c>
      <c r="V134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8" s="272">
        <f>IFERROR(SUMIFS(TransUnitCost[Miles],TransUnitCost[Grouping_ID],TransTonsShort[[#This Row],[Grouping_ID]],TransUnitCost[Transp_ID],TransTonsShort[[#This Row],[Transp_ID]])*TransTonsShort[[#This Row],[Trans_Tons_All]]/TransTonsShort[[#This Row],[Trans_Tons_All]],"")</f>
        <v>0</v>
      </c>
      <c r="X1348" s="386" t="str">
        <f>TransTonsShort[[#This Row],[Grouping_ID]]&amp;"-"&amp;TransTonsShort[[#This Row],[Sector_ID]]</f>
        <v>1-2</v>
      </c>
      <c r="Y13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48" s="421">
        <f>INDEX(LandfillFees[Disposal Tip Fee 2025],MATCH(TransTonsShort[[#This Row],[Grouping_ID]],LandfillFees[Grouping_ID],0))</f>
        <v>134.68</v>
      </c>
      <c r="AA1348" s="102">
        <f>IF(OR(TransTonsShort[[#This Row],[CollectionStream_ID]]="03",TransTonsShort[[#This Row],[CollectionStream_ID]]="04",TransTonsShort[[#This Row],[CollectionStream_ID]]="13"),0,TransTonsShort[[#This Row],[Trans_Tons_All]]*TransTonsShort[[#This Row],[Disposal_Fee]])</f>
        <v>0</v>
      </c>
    </row>
    <row r="1349" spans="12:27" ht="15" x14ac:dyDescent="0.25">
      <c r="L1349" s="446" t="s">
        <v>875</v>
      </c>
      <c r="M1349" s="446">
        <v>1</v>
      </c>
      <c r="N1349" s="446">
        <v>3</v>
      </c>
      <c r="O1349" s="446" t="s">
        <v>712</v>
      </c>
      <c r="P1349" s="449" t="s">
        <v>744</v>
      </c>
      <c r="Q1349" s="449"/>
      <c r="R1349" s="449"/>
      <c r="S1349" s="449" t="s">
        <v>713</v>
      </c>
      <c r="T1349" s="449" t="s">
        <v>967</v>
      </c>
      <c r="U1349" s="452">
        <v>408250.46137665247</v>
      </c>
      <c r="V134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49" s="272">
        <f>IFERROR(SUMIFS(TransUnitCost[Miles],TransUnitCost[Grouping_ID],TransTonsShort[[#This Row],[Grouping_ID]],TransUnitCost[Transp_ID],TransTonsShort[[#This Row],[Transp_ID]])*TransTonsShort[[#This Row],[Trans_Tons_All]]/TransTonsShort[[#This Row],[Trans_Tons_All]],"")</f>
        <v>0</v>
      </c>
      <c r="X1349" s="386" t="str">
        <f>TransTonsShort[[#This Row],[Grouping_ID]]&amp;"-"&amp;TransTonsShort[[#This Row],[Sector_ID]]</f>
        <v>1-3</v>
      </c>
      <c r="Y13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49" s="421">
        <f>INDEX(LandfillFees[Disposal Tip Fee 2025],MATCH(TransTonsShort[[#This Row],[Grouping_ID]],LandfillFees[Grouping_ID],0))</f>
        <v>134.68</v>
      </c>
      <c r="AA1349" s="102">
        <f>IF(OR(TransTonsShort[[#This Row],[CollectionStream_ID]]="03",TransTonsShort[[#This Row],[CollectionStream_ID]]="04",TransTonsShort[[#This Row],[CollectionStream_ID]]="13"),0,TransTonsShort[[#This Row],[Trans_Tons_All]]*TransTonsShort[[#This Row],[Disposal_Fee]])</f>
        <v>0</v>
      </c>
    </row>
    <row r="1350" spans="12:27" ht="15" x14ac:dyDescent="0.25">
      <c r="L1350" s="446" t="s">
        <v>875</v>
      </c>
      <c r="M1350" s="446">
        <v>1</v>
      </c>
      <c r="N1350" s="446">
        <v>3</v>
      </c>
      <c r="O1350" s="446" t="s">
        <v>719</v>
      </c>
      <c r="P1350" s="449" t="s">
        <v>744</v>
      </c>
      <c r="Q1350" s="449"/>
      <c r="R1350" s="449"/>
      <c r="S1350" s="449" t="s">
        <v>720</v>
      </c>
      <c r="T1350" s="449" t="s">
        <v>967</v>
      </c>
      <c r="U1350" s="452">
        <v>40366.685615916875</v>
      </c>
      <c r="V135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0" s="272">
        <f>IFERROR(SUMIFS(TransUnitCost[Miles],TransUnitCost[Grouping_ID],TransTonsShort[[#This Row],[Grouping_ID]],TransUnitCost[Transp_ID],TransTonsShort[[#This Row],[Transp_ID]])*TransTonsShort[[#This Row],[Trans_Tons_All]]/TransTonsShort[[#This Row],[Trans_Tons_All]],"")</f>
        <v>0</v>
      </c>
      <c r="X1350" s="386" t="str">
        <f>TransTonsShort[[#This Row],[Grouping_ID]]&amp;"-"&amp;TransTonsShort[[#This Row],[Sector_ID]]</f>
        <v>1-3</v>
      </c>
      <c r="Y13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50" s="421">
        <f>INDEX(LandfillFees[Disposal Tip Fee 2025],MATCH(TransTonsShort[[#This Row],[Grouping_ID]],LandfillFees[Grouping_ID],0))</f>
        <v>134.68</v>
      </c>
      <c r="AA1350" s="102">
        <f>IF(OR(TransTonsShort[[#This Row],[CollectionStream_ID]]="03",TransTonsShort[[#This Row],[CollectionStream_ID]]="04",TransTonsShort[[#This Row],[CollectionStream_ID]]="13"),0,TransTonsShort[[#This Row],[Trans_Tons_All]]*TransTonsShort[[#This Row],[Disposal_Fee]])</f>
        <v>0</v>
      </c>
    </row>
    <row r="1351" spans="12:27" ht="15" x14ac:dyDescent="0.25">
      <c r="L1351" s="446" t="s">
        <v>875</v>
      </c>
      <c r="M1351" s="446">
        <v>1</v>
      </c>
      <c r="N1351" s="446">
        <v>3</v>
      </c>
      <c r="O1351" s="446" t="s">
        <v>754</v>
      </c>
      <c r="P1351" s="449" t="s">
        <v>744</v>
      </c>
      <c r="Q1351" s="449"/>
      <c r="R1351" s="449"/>
      <c r="S1351" s="449" t="s">
        <v>1991</v>
      </c>
      <c r="T1351" s="449" t="s">
        <v>967</v>
      </c>
      <c r="U1351" s="452">
        <v>699.42953050571566</v>
      </c>
      <c r="V135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1" s="272">
        <f>IFERROR(SUMIFS(TransUnitCost[Miles],TransUnitCost[Grouping_ID],TransTonsShort[[#This Row],[Grouping_ID]],TransUnitCost[Transp_ID],TransTonsShort[[#This Row],[Transp_ID]])*TransTonsShort[[#This Row],[Trans_Tons_All]]/TransTonsShort[[#This Row],[Trans_Tons_All]],"")</f>
        <v>0</v>
      </c>
      <c r="X1351" s="386" t="str">
        <f>TransTonsShort[[#This Row],[Grouping_ID]]&amp;"-"&amp;TransTonsShort[[#This Row],[Sector_ID]]</f>
        <v>1-3</v>
      </c>
      <c r="Y13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51" s="421">
        <f>INDEX(LandfillFees[Disposal Tip Fee 2025],MATCH(TransTonsShort[[#This Row],[Grouping_ID]],LandfillFees[Grouping_ID],0))</f>
        <v>134.68</v>
      </c>
      <c r="AA1351" s="102">
        <f>IF(OR(TransTonsShort[[#This Row],[CollectionStream_ID]]="03",TransTonsShort[[#This Row],[CollectionStream_ID]]="04",TransTonsShort[[#This Row],[CollectionStream_ID]]="13"),0,TransTonsShort[[#This Row],[Trans_Tons_All]]*TransTonsShort[[#This Row],[Disposal_Fee]])</f>
        <v>0</v>
      </c>
    </row>
    <row r="1352" spans="12:27" ht="15" x14ac:dyDescent="0.25">
      <c r="L1352" s="446" t="s">
        <v>875</v>
      </c>
      <c r="M1352" s="446">
        <v>1</v>
      </c>
      <c r="N1352" s="446">
        <v>4</v>
      </c>
      <c r="O1352" s="446" t="s">
        <v>712</v>
      </c>
      <c r="P1352" s="449" t="s">
        <v>744</v>
      </c>
      <c r="Q1352" s="449"/>
      <c r="R1352" s="449"/>
      <c r="S1352" s="449" t="s">
        <v>713</v>
      </c>
      <c r="T1352" s="449" t="s">
        <v>967</v>
      </c>
      <c r="U1352" s="452">
        <v>151764.68823165854</v>
      </c>
      <c r="V135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2" s="272">
        <f>IFERROR(SUMIFS(TransUnitCost[Miles],TransUnitCost[Grouping_ID],TransTonsShort[[#This Row],[Grouping_ID]],TransUnitCost[Transp_ID],TransTonsShort[[#This Row],[Transp_ID]])*TransTonsShort[[#This Row],[Trans_Tons_All]]/TransTonsShort[[#This Row],[Trans_Tons_All]],"")</f>
        <v>0</v>
      </c>
      <c r="X1352" s="386" t="str">
        <f>TransTonsShort[[#This Row],[Grouping_ID]]&amp;"-"&amp;TransTonsShort[[#This Row],[Sector_ID]]</f>
        <v>1-4</v>
      </c>
      <c r="Y13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52" s="421">
        <f>INDEX(LandfillFees[Disposal Tip Fee 2025],MATCH(TransTonsShort[[#This Row],[Grouping_ID]],LandfillFees[Grouping_ID],0))</f>
        <v>134.68</v>
      </c>
      <c r="AA1352" s="102">
        <f>IF(OR(TransTonsShort[[#This Row],[CollectionStream_ID]]="03",TransTonsShort[[#This Row],[CollectionStream_ID]]="04",TransTonsShort[[#This Row],[CollectionStream_ID]]="13"),0,TransTonsShort[[#This Row],[Trans_Tons_All]]*TransTonsShort[[#This Row],[Disposal_Fee]])</f>
        <v>0</v>
      </c>
    </row>
    <row r="1353" spans="12:27" ht="15" x14ac:dyDescent="0.25">
      <c r="L1353" s="446" t="s">
        <v>875</v>
      </c>
      <c r="M1353" s="446">
        <v>1</v>
      </c>
      <c r="N1353" s="446">
        <v>4</v>
      </c>
      <c r="O1353" s="446" t="s">
        <v>719</v>
      </c>
      <c r="P1353" s="449" t="s">
        <v>744</v>
      </c>
      <c r="Q1353" s="449"/>
      <c r="R1353" s="449"/>
      <c r="S1353" s="449" t="s">
        <v>720</v>
      </c>
      <c r="T1353" s="449" t="s">
        <v>967</v>
      </c>
      <c r="U1353" s="452">
        <v>4803.1254415545491</v>
      </c>
      <c r="V135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3" s="272">
        <f>IFERROR(SUMIFS(TransUnitCost[Miles],TransUnitCost[Grouping_ID],TransTonsShort[[#This Row],[Grouping_ID]],TransUnitCost[Transp_ID],TransTonsShort[[#This Row],[Transp_ID]])*TransTonsShort[[#This Row],[Trans_Tons_All]]/TransTonsShort[[#This Row],[Trans_Tons_All]],"")</f>
        <v>0</v>
      </c>
      <c r="X1353" s="386" t="str">
        <f>TransTonsShort[[#This Row],[Grouping_ID]]&amp;"-"&amp;TransTonsShort[[#This Row],[Sector_ID]]</f>
        <v>1-4</v>
      </c>
      <c r="Y13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53" s="421">
        <f>INDEX(LandfillFees[Disposal Tip Fee 2025],MATCH(TransTonsShort[[#This Row],[Grouping_ID]],LandfillFees[Grouping_ID],0))</f>
        <v>134.68</v>
      </c>
      <c r="AA1353" s="102">
        <f>IF(OR(TransTonsShort[[#This Row],[CollectionStream_ID]]="03",TransTonsShort[[#This Row],[CollectionStream_ID]]="04",TransTonsShort[[#This Row],[CollectionStream_ID]]="13"),0,TransTonsShort[[#This Row],[Trans_Tons_All]]*TransTonsShort[[#This Row],[Disposal_Fee]])</f>
        <v>0</v>
      </c>
    </row>
    <row r="1354" spans="12:27" ht="15" x14ac:dyDescent="0.25">
      <c r="L1354" s="446" t="s">
        <v>875</v>
      </c>
      <c r="M1354" s="446">
        <v>1</v>
      </c>
      <c r="N1354" s="446">
        <v>4</v>
      </c>
      <c r="O1354" s="446" t="s">
        <v>754</v>
      </c>
      <c r="P1354" s="449" t="s">
        <v>744</v>
      </c>
      <c r="Q1354" s="449"/>
      <c r="R1354" s="449"/>
      <c r="S1354" s="449" t="s">
        <v>1991</v>
      </c>
      <c r="T1354" s="449" t="s">
        <v>967</v>
      </c>
      <c r="U1354" s="452">
        <v>1379.2262399911913</v>
      </c>
      <c r="V135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4" s="272">
        <f>IFERROR(SUMIFS(TransUnitCost[Miles],TransUnitCost[Grouping_ID],TransTonsShort[[#This Row],[Grouping_ID]],TransUnitCost[Transp_ID],TransTonsShort[[#This Row],[Transp_ID]])*TransTonsShort[[#This Row],[Trans_Tons_All]]/TransTonsShort[[#This Row],[Trans_Tons_All]],"")</f>
        <v>0</v>
      </c>
      <c r="X1354" s="386" t="str">
        <f>TransTonsShort[[#This Row],[Grouping_ID]]&amp;"-"&amp;TransTonsShort[[#This Row],[Sector_ID]]</f>
        <v>1-4</v>
      </c>
      <c r="Y13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54" s="421">
        <f>INDEX(LandfillFees[Disposal Tip Fee 2025],MATCH(TransTonsShort[[#This Row],[Grouping_ID]],LandfillFees[Grouping_ID],0))</f>
        <v>134.68</v>
      </c>
      <c r="AA1354" s="102">
        <f>IF(OR(TransTonsShort[[#This Row],[CollectionStream_ID]]="03",TransTonsShort[[#This Row],[CollectionStream_ID]]="04",TransTonsShort[[#This Row],[CollectionStream_ID]]="13"),0,TransTonsShort[[#This Row],[Trans_Tons_All]]*TransTonsShort[[#This Row],[Disposal_Fee]])</f>
        <v>0</v>
      </c>
    </row>
    <row r="1355" spans="12:27" ht="15" x14ac:dyDescent="0.25">
      <c r="L1355" s="446" t="s">
        <v>875</v>
      </c>
      <c r="M1355" s="446">
        <v>1</v>
      </c>
      <c r="N1355" s="446">
        <v>5</v>
      </c>
      <c r="O1355" s="446" t="s">
        <v>754</v>
      </c>
      <c r="P1355" s="449" t="s">
        <v>744</v>
      </c>
      <c r="Q1355" s="449"/>
      <c r="R1355" s="449"/>
      <c r="S1355" s="449" t="s">
        <v>1991</v>
      </c>
      <c r="T1355" s="449" t="s">
        <v>967</v>
      </c>
      <c r="U1355" s="452">
        <v>594846.89943546033</v>
      </c>
      <c r="V135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5" s="272">
        <f>IFERROR(SUMIFS(TransUnitCost[Miles],TransUnitCost[Grouping_ID],TransTonsShort[[#This Row],[Grouping_ID]],TransUnitCost[Transp_ID],TransTonsShort[[#This Row],[Transp_ID]])*TransTonsShort[[#This Row],[Trans_Tons_All]]/TransTonsShort[[#This Row],[Trans_Tons_All]],"")</f>
        <v>0</v>
      </c>
      <c r="X1355" s="386" t="str">
        <f>TransTonsShort[[#This Row],[Grouping_ID]]&amp;"-"&amp;TransTonsShort[[#This Row],[Sector_ID]]</f>
        <v>1-5</v>
      </c>
      <c r="Y13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55" s="421">
        <f>INDEX(LandfillFees[Disposal Tip Fee 2025],MATCH(TransTonsShort[[#This Row],[Grouping_ID]],LandfillFees[Grouping_ID],0))</f>
        <v>134.68</v>
      </c>
      <c r="AA1355" s="102">
        <f>IF(OR(TransTonsShort[[#This Row],[CollectionStream_ID]]="03",TransTonsShort[[#This Row],[CollectionStream_ID]]="04",TransTonsShort[[#This Row],[CollectionStream_ID]]="13"),0,TransTonsShort[[#This Row],[Trans_Tons_All]]*TransTonsShort[[#This Row],[Disposal_Fee]])</f>
        <v>0</v>
      </c>
    </row>
    <row r="1356" spans="12:27" ht="15" x14ac:dyDescent="0.25">
      <c r="L1356" s="446" t="s">
        <v>875</v>
      </c>
      <c r="M1356" s="446">
        <v>1</v>
      </c>
      <c r="N1356" s="446">
        <v>6</v>
      </c>
      <c r="O1356" s="446" t="s">
        <v>754</v>
      </c>
      <c r="P1356" s="449" t="s">
        <v>744</v>
      </c>
      <c r="Q1356" s="449"/>
      <c r="R1356" s="449"/>
      <c r="S1356" s="449" t="s">
        <v>1991</v>
      </c>
      <c r="T1356" s="449" t="s">
        <v>967</v>
      </c>
      <c r="U1356" s="452">
        <v>29911.9210262825</v>
      </c>
      <c r="V135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6" s="272">
        <f>IFERROR(SUMIFS(TransUnitCost[Miles],TransUnitCost[Grouping_ID],TransTonsShort[[#This Row],[Grouping_ID]],TransUnitCost[Transp_ID],TransTonsShort[[#This Row],[Transp_ID]])*TransTonsShort[[#This Row],[Trans_Tons_All]]/TransTonsShort[[#This Row],[Trans_Tons_All]],"")</f>
        <v>0</v>
      </c>
      <c r="X1356" s="386" t="str">
        <f>TransTonsShort[[#This Row],[Grouping_ID]]&amp;"-"&amp;TransTonsShort[[#This Row],[Sector_ID]]</f>
        <v>1-6</v>
      </c>
      <c r="Y13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56" s="421">
        <f>INDEX(LandfillFees[Disposal Tip Fee 2025],MATCH(TransTonsShort[[#This Row],[Grouping_ID]],LandfillFees[Grouping_ID],0))</f>
        <v>134.68</v>
      </c>
      <c r="AA1356" s="102">
        <f>IF(OR(TransTonsShort[[#This Row],[CollectionStream_ID]]="03",TransTonsShort[[#This Row],[CollectionStream_ID]]="04",TransTonsShort[[#This Row],[CollectionStream_ID]]="13"),0,TransTonsShort[[#This Row],[Trans_Tons_All]]*TransTonsShort[[#This Row],[Disposal_Fee]])</f>
        <v>0</v>
      </c>
    </row>
    <row r="1357" spans="12:27" ht="15" x14ac:dyDescent="0.25">
      <c r="L1357" s="446" t="s">
        <v>875</v>
      </c>
      <c r="M1357" s="446">
        <v>2</v>
      </c>
      <c r="N1357" s="446">
        <v>1</v>
      </c>
      <c r="O1357" s="446" t="s">
        <v>712</v>
      </c>
      <c r="P1357" s="449" t="s">
        <v>744</v>
      </c>
      <c r="Q1357" s="449"/>
      <c r="R1357" s="449"/>
      <c r="S1357" s="449" t="s">
        <v>713</v>
      </c>
      <c r="T1357" s="449" t="s">
        <v>967</v>
      </c>
      <c r="U1357" s="452">
        <v>245690.74589841289</v>
      </c>
      <c r="V135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7" s="272">
        <f>IFERROR(SUMIFS(TransUnitCost[Miles],TransUnitCost[Grouping_ID],TransTonsShort[[#This Row],[Grouping_ID]],TransUnitCost[Transp_ID],TransTonsShort[[#This Row],[Transp_ID]])*TransTonsShort[[#This Row],[Trans_Tons_All]]/TransTonsShort[[#This Row],[Trans_Tons_All]],"")</f>
        <v>0</v>
      </c>
      <c r="X1357" s="386" t="str">
        <f>TransTonsShort[[#This Row],[Grouping_ID]]&amp;"-"&amp;TransTonsShort[[#This Row],[Sector_ID]]</f>
        <v>2-1</v>
      </c>
      <c r="Y13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57" s="421">
        <f>INDEX(LandfillFees[Disposal Tip Fee 2025],MATCH(TransTonsShort[[#This Row],[Grouping_ID]],LandfillFees[Grouping_ID],0))</f>
        <v>72.030938699729589</v>
      </c>
      <c r="AA1357" s="102">
        <f>IF(OR(TransTonsShort[[#This Row],[CollectionStream_ID]]="03",TransTonsShort[[#This Row],[CollectionStream_ID]]="04",TransTonsShort[[#This Row],[CollectionStream_ID]]="13"),0,TransTonsShort[[#This Row],[Trans_Tons_All]]*TransTonsShort[[#This Row],[Disposal_Fee]])</f>
        <v>0</v>
      </c>
    </row>
    <row r="1358" spans="12:27" ht="15" x14ac:dyDescent="0.25">
      <c r="L1358" s="446" t="s">
        <v>875</v>
      </c>
      <c r="M1358" s="446">
        <v>2</v>
      </c>
      <c r="N1358" s="446">
        <v>1</v>
      </c>
      <c r="O1358" s="446" t="s">
        <v>719</v>
      </c>
      <c r="P1358" s="449" t="s">
        <v>744</v>
      </c>
      <c r="Q1358" s="449"/>
      <c r="R1358" s="449"/>
      <c r="S1358" s="449" t="s">
        <v>720</v>
      </c>
      <c r="T1358" s="449" t="s">
        <v>967</v>
      </c>
      <c r="U1358" s="452">
        <v>114198.59104574661</v>
      </c>
      <c r="V135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8" s="272">
        <f>IFERROR(SUMIFS(TransUnitCost[Miles],TransUnitCost[Grouping_ID],TransTonsShort[[#This Row],[Grouping_ID]],TransUnitCost[Transp_ID],TransTonsShort[[#This Row],[Transp_ID]])*TransTonsShort[[#This Row],[Trans_Tons_All]]/TransTonsShort[[#This Row],[Trans_Tons_All]],"")</f>
        <v>0</v>
      </c>
      <c r="X1358" s="386" t="str">
        <f>TransTonsShort[[#This Row],[Grouping_ID]]&amp;"-"&amp;TransTonsShort[[#This Row],[Sector_ID]]</f>
        <v>2-1</v>
      </c>
      <c r="Y13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58" s="421">
        <f>INDEX(LandfillFees[Disposal Tip Fee 2025],MATCH(TransTonsShort[[#This Row],[Grouping_ID]],LandfillFees[Grouping_ID],0))</f>
        <v>72.030938699729589</v>
      </c>
      <c r="AA1358" s="102">
        <f>IF(OR(TransTonsShort[[#This Row],[CollectionStream_ID]]="03",TransTonsShort[[#This Row],[CollectionStream_ID]]="04",TransTonsShort[[#This Row],[CollectionStream_ID]]="13"),0,TransTonsShort[[#This Row],[Trans_Tons_All]]*TransTonsShort[[#This Row],[Disposal_Fee]])</f>
        <v>0</v>
      </c>
    </row>
    <row r="1359" spans="12:27" ht="15" x14ac:dyDescent="0.25">
      <c r="L1359" s="446" t="s">
        <v>875</v>
      </c>
      <c r="M1359" s="446">
        <v>2</v>
      </c>
      <c r="N1359" s="446">
        <v>1</v>
      </c>
      <c r="O1359" s="446" t="s">
        <v>754</v>
      </c>
      <c r="P1359" s="449" t="s">
        <v>744</v>
      </c>
      <c r="Q1359" s="449"/>
      <c r="R1359" s="449"/>
      <c r="S1359" s="449" t="s">
        <v>1991</v>
      </c>
      <c r="T1359" s="449" t="s">
        <v>967</v>
      </c>
      <c r="U1359" s="452">
        <v>316.02729869964475</v>
      </c>
      <c r="V135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59" s="272">
        <f>IFERROR(SUMIFS(TransUnitCost[Miles],TransUnitCost[Grouping_ID],TransTonsShort[[#This Row],[Grouping_ID]],TransUnitCost[Transp_ID],TransTonsShort[[#This Row],[Transp_ID]])*TransTonsShort[[#This Row],[Trans_Tons_All]]/TransTonsShort[[#This Row],[Trans_Tons_All]],"")</f>
        <v>0</v>
      </c>
      <c r="X1359" s="386" t="str">
        <f>TransTonsShort[[#This Row],[Grouping_ID]]&amp;"-"&amp;TransTonsShort[[#This Row],[Sector_ID]]</f>
        <v>2-1</v>
      </c>
      <c r="Y13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59" s="421">
        <f>INDEX(LandfillFees[Disposal Tip Fee 2025],MATCH(TransTonsShort[[#This Row],[Grouping_ID]],LandfillFees[Grouping_ID],0))</f>
        <v>72.030938699729589</v>
      </c>
      <c r="AA1359" s="102">
        <f>IF(OR(TransTonsShort[[#This Row],[CollectionStream_ID]]="03",TransTonsShort[[#This Row],[CollectionStream_ID]]="04",TransTonsShort[[#This Row],[CollectionStream_ID]]="13"),0,TransTonsShort[[#This Row],[Trans_Tons_All]]*TransTonsShort[[#This Row],[Disposal_Fee]])</f>
        <v>0</v>
      </c>
    </row>
    <row r="1360" spans="12:27" ht="15" x14ac:dyDescent="0.25">
      <c r="L1360" s="446" t="s">
        <v>875</v>
      </c>
      <c r="M1360" s="446">
        <v>2</v>
      </c>
      <c r="N1360" s="446">
        <v>2</v>
      </c>
      <c r="O1360" s="446" t="s">
        <v>712</v>
      </c>
      <c r="P1360" s="449" t="s">
        <v>744</v>
      </c>
      <c r="Q1360" s="449"/>
      <c r="R1360" s="449"/>
      <c r="S1360" s="449" t="s">
        <v>713</v>
      </c>
      <c r="T1360" s="449" t="s">
        <v>967</v>
      </c>
      <c r="U1360" s="452">
        <v>86814.554469752009</v>
      </c>
      <c r="V136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0" s="272">
        <f>IFERROR(SUMIFS(TransUnitCost[Miles],TransUnitCost[Grouping_ID],TransTonsShort[[#This Row],[Grouping_ID]],TransUnitCost[Transp_ID],TransTonsShort[[#This Row],[Transp_ID]])*TransTonsShort[[#This Row],[Trans_Tons_All]]/TransTonsShort[[#This Row],[Trans_Tons_All]],"")</f>
        <v>0</v>
      </c>
      <c r="X1360" s="386" t="str">
        <f>TransTonsShort[[#This Row],[Grouping_ID]]&amp;"-"&amp;TransTonsShort[[#This Row],[Sector_ID]]</f>
        <v>2-2</v>
      </c>
      <c r="Y13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60" s="421">
        <f>INDEX(LandfillFees[Disposal Tip Fee 2025],MATCH(TransTonsShort[[#This Row],[Grouping_ID]],LandfillFees[Grouping_ID],0))</f>
        <v>72.030938699729589</v>
      </c>
      <c r="AA1360" s="102">
        <f>IF(OR(TransTonsShort[[#This Row],[CollectionStream_ID]]="03",TransTonsShort[[#This Row],[CollectionStream_ID]]="04",TransTonsShort[[#This Row],[CollectionStream_ID]]="13"),0,TransTonsShort[[#This Row],[Trans_Tons_All]]*TransTonsShort[[#This Row],[Disposal_Fee]])</f>
        <v>0</v>
      </c>
    </row>
    <row r="1361" spans="12:27" ht="15" x14ac:dyDescent="0.25">
      <c r="L1361" s="446" t="s">
        <v>875</v>
      </c>
      <c r="M1361" s="446">
        <v>2</v>
      </c>
      <c r="N1361" s="446">
        <v>2</v>
      </c>
      <c r="O1361" s="446" t="s">
        <v>719</v>
      </c>
      <c r="P1361" s="449" t="s">
        <v>744</v>
      </c>
      <c r="Q1361" s="449"/>
      <c r="R1361" s="449"/>
      <c r="S1361" s="449" t="s">
        <v>720</v>
      </c>
      <c r="T1361" s="449" t="s">
        <v>967</v>
      </c>
      <c r="U1361" s="452">
        <v>0</v>
      </c>
      <c r="V136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1" s="272" t="str">
        <f>IFERROR(SUMIFS(TransUnitCost[Miles],TransUnitCost[Grouping_ID],TransTonsShort[[#This Row],[Grouping_ID]],TransUnitCost[Transp_ID],TransTonsShort[[#This Row],[Transp_ID]])*TransTonsShort[[#This Row],[Trans_Tons_All]]/TransTonsShort[[#This Row],[Trans_Tons_All]],"")</f>
        <v/>
      </c>
      <c r="X1361" s="386" t="str">
        <f>TransTonsShort[[#This Row],[Grouping_ID]]&amp;"-"&amp;TransTonsShort[[#This Row],[Sector_ID]]</f>
        <v>2-2</v>
      </c>
      <c r="Y13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61" s="421">
        <f>INDEX(LandfillFees[Disposal Tip Fee 2025],MATCH(TransTonsShort[[#This Row],[Grouping_ID]],LandfillFees[Grouping_ID],0))</f>
        <v>72.030938699729589</v>
      </c>
      <c r="AA1361" s="102">
        <f>IF(OR(TransTonsShort[[#This Row],[CollectionStream_ID]]="03",TransTonsShort[[#This Row],[CollectionStream_ID]]="04",TransTonsShort[[#This Row],[CollectionStream_ID]]="13"),0,TransTonsShort[[#This Row],[Trans_Tons_All]]*TransTonsShort[[#This Row],[Disposal_Fee]])</f>
        <v>0</v>
      </c>
    </row>
    <row r="1362" spans="12:27" ht="15" x14ac:dyDescent="0.25">
      <c r="L1362" s="446" t="s">
        <v>875</v>
      </c>
      <c r="M1362" s="446">
        <v>2</v>
      </c>
      <c r="N1362" s="446">
        <v>2</v>
      </c>
      <c r="O1362" s="446" t="s">
        <v>754</v>
      </c>
      <c r="P1362" s="449" t="s">
        <v>744</v>
      </c>
      <c r="Q1362" s="449"/>
      <c r="R1362" s="449"/>
      <c r="S1362" s="449" t="s">
        <v>1991</v>
      </c>
      <c r="T1362" s="449" t="s">
        <v>967</v>
      </c>
      <c r="U1362" s="452">
        <v>0</v>
      </c>
      <c r="V136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2" s="272" t="str">
        <f>IFERROR(SUMIFS(TransUnitCost[Miles],TransUnitCost[Grouping_ID],TransTonsShort[[#This Row],[Grouping_ID]],TransUnitCost[Transp_ID],TransTonsShort[[#This Row],[Transp_ID]])*TransTonsShort[[#This Row],[Trans_Tons_All]]/TransTonsShort[[#This Row],[Trans_Tons_All]],"")</f>
        <v/>
      </c>
      <c r="X1362" s="386" t="str">
        <f>TransTonsShort[[#This Row],[Grouping_ID]]&amp;"-"&amp;TransTonsShort[[#This Row],[Sector_ID]]</f>
        <v>2-2</v>
      </c>
      <c r="Y13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62" s="421">
        <f>INDEX(LandfillFees[Disposal Tip Fee 2025],MATCH(TransTonsShort[[#This Row],[Grouping_ID]],LandfillFees[Grouping_ID],0))</f>
        <v>72.030938699729589</v>
      </c>
      <c r="AA1362" s="102">
        <f>IF(OR(TransTonsShort[[#This Row],[CollectionStream_ID]]="03",TransTonsShort[[#This Row],[CollectionStream_ID]]="04",TransTonsShort[[#This Row],[CollectionStream_ID]]="13"),0,TransTonsShort[[#This Row],[Trans_Tons_All]]*TransTonsShort[[#This Row],[Disposal_Fee]])</f>
        <v>0</v>
      </c>
    </row>
    <row r="1363" spans="12:27" ht="15" x14ac:dyDescent="0.25">
      <c r="L1363" s="446" t="s">
        <v>875</v>
      </c>
      <c r="M1363" s="446">
        <v>2</v>
      </c>
      <c r="N1363" s="446">
        <v>3</v>
      </c>
      <c r="O1363" s="446" t="s">
        <v>712</v>
      </c>
      <c r="P1363" s="450" t="s">
        <v>744</v>
      </c>
      <c r="Q1363" s="450"/>
      <c r="R1363" s="450"/>
      <c r="S1363" s="449" t="s">
        <v>713</v>
      </c>
      <c r="T1363" s="449" t="s">
        <v>967</v>
      </c>
      <c r="U1363" s="452">
        <v>317441.73288029624</v>
      </c>
      <c r="V136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3" s="272">
        <f>IFERROR(SUMIFS(TransUnitCost[Miles],TransUnitCost[Grouping_ID],TransTonsShort[[#This Row],[Grouping_ID]],TransUnitCost[Transp_ID],TransTonsShort[[#This Row],[Transp_ID]])*TransTonsShort[[#This Row],[Trans_Tons_All]]/TransTonsShort[[#This Row],[Trans_Tons_All]],"")</f>
        <v>0</v>
      </c>
      <c r="X1363" s="386" t="str">
        <f>TransTonsShort[[#This Row],[Grouping_ID]]&amp;"-"&amp;TransTonsShort[[#This Row],[Sector_ID]]</f>
        <v>2-3</v>
      </c>
      <c r="Y13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63" s="421">
        <f>INDEX(LandfillFees[Disposal Tip Fee 2025],MATCH(TransTonsShort[[#This Row],[Grouping_ID]],LandfillFees[Grouping_ID],0))</f>
        <v>72.030938699729589</v>
      </c>
      <c r="AA1363" s="102">
        <f>IF(OR(TransTonsShort[[#This Row],[CollectionStream_ID]]="03",TransTonsShort[[#This Row],[CollectionStream_ID]]="04",TransTonsShort[[#This Row],[CollectionStream_ID]]="13"),0,TransTonsShort[[#This Row],[Trans_Tons_All]]*TransTonsShort[[#This Row],[Disposal_Fee]])</f>
        <v>0</v>
      </c>
    </row>
    <row r="1364" spans="12:27" ht="15" x14ac:dyDescent="0.25">
      <c r="L1364" s="446" t="s">
        <v>875</v>
      </c>
      <c r="M1364" s="446">
        <v>2</v>
      </c>
      <c r="N1364" s="446">
        <v>3</v>
      </c>
      <c r="O1364" s="446" t="s">
        <v>719</v>
      </c>
      <c r="P1364" s="450" t="s">
        <v>744</v>
      </c>
      <c r="Q1364" s="450"/>
      <c r="R1364" s="450"/>
      <c r="S1364" s="449" t="s">
        <v>720</v>
      </c>
      <c r="T1364" s="449" t="s">
        <v>967</v>
      </c>
      <c r="U1364" s="452">
        <v>27604.286216393386</v>
      </c>
      <c r="V136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4" s="272">
        <f>IFERROR(SUMIFS(TransUnitCost[Miles],TransUnitCost[Grouping_ID],TransTonsShort[[#This Row],[Grouping_ID]],TransUnitCost[Transp_ID],TransTonsShort[[#This Row],[Transp_ID]])*TransTonsShort[[#This Row],[Trans_Tons_All]]/TransTonsShort[[#This Row],[Trans_Tons_All]],"")</f>
        <v>0</v>
      </c>
      <c r="X1364" s="386" t="str">
        <f>TransTonsShort[[#This Row],[Grouping_ID]]&amp;"-"&amp;TransTonsShort[[#This Row],[Sector_ID]]</f>
        <v>2-3</v>
      </c>
      <c r="Y13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64" s="421">
        <f>INDEX(LandfillFees[Disposal Tip Fee 2025],MATCH(TransTonsShort[[#This Row],[Grouping_ID]],LandfillFees[Grouping_ID],0))</f>
        <v>72.030938699729589</v>
      </c>
      <c r="AA1364" s="102">
        <f>IF(OR(TransTonsShort[[#This Row],[CollectionStream_ID]]="03",TransTonsShort[[#This Row],[CollectionStream_ID]]="04",TransTonsShort[[#This Row],[CollectionStream_ID]]="13"),0,TransTonsShort[[#This Row],[Trans_Tons_All]]*TransTonsShort[[#This Row],[Disposal_Fee]])</f>
        <v>0</v>
      </c>
    </row>
    <row r="1365" spans="12:27" ht="15" x14ac:dyDescent="0.25">
      <c r="L1365" s="446" t="s">
        <v>875</v>
      </c>
      <c r="M1365" s="446">
        <v>2</v>
      </c>
      <c r="N1365" s="446">
        <v>3</v>
      </c>
      <c r="O1365" s="446" t="s">
        <v>754</v>
      </c>
      <c r="P1365" s="450" t="s">
        <v>744</v>
      </c>
      <c r="Q1365" s="450"/>
      <c r="R1365" s="450"/>
      <c r="S1365" s="449" t="s">
        <v>1991</v>
      </c>
      <c r="T1365" s="449" t="s">
        <v>967</v>
      </c>
      <c r="U1365" s="452">
        <v>190.58148001798901</v>
      </c>
      <c r="V136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5" s="272">
        <f>IFERROR(SUMIFS(TransUnitCost[Miles],TransUnitCost[Grouping_ID],TransTonsShort[[#This Row],[Grouping_ID]],TransUnitCost[Transp_ID],TransTonsShort[[#This Row],[Transp_ID]])*TransTonsShort[[#This Row],[Trans_Tons_All]]/TransTonsShort[[#This Row],[Trans_Tons_All]],"")</f>
        <v>0</v>
      </c>
      <c r="X1365" s="386" t="str">
        <f>TransTonsShort[[#This Row],[Grouping_ID]]&amp;"-"&amp;TransTonsShort[[#This Row],[Sector_ID]]</f>
        <v>2-3</v>
      </c>
      <c r="Y13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65" s="421">
        <f>INDEX(LandfillFees[Disposal Tip Fee 2025],MATCH(TransTonsShort[[#This Row],[Grouping_ID]],LandfillFees[Grouping_ID],0))</f>
        <v>72.030938699729589</v>
      </c>
      <c r="AA1365" s="102">
        <f>IF(OR(TransTonsShort[[#This Row],[CollectionStream_ID]]="03",TransTonsShort[[#This Row],[CollectionStream_ID]]="04",TransTonsShort[[#This Row],[CollectionStream_ID]]="13"),0,TransTonsShort[[#This Row],[Trans_Tons_All]]*TransTonsShort[[#This Row],[Disposal_Fee]])</f>
        <v>0</v>
      </c>
    </row>
    <row r="1366" spans="12:27" ht="15" x14ac:dyDescent="0.25">
      <c r="L1366" s="446" t="s">
        <v>875</v>
      </c>
      <c r="M1366" s="446">
        <v>2</v>
      </c>
      <c r="N1366" s="446">
        <v>4</v>
      </c>
      <c r="O1366" s="446" t="s">
        <v>712</v>
      </c>
      <c r="P1366" s="450" t="s">
        <v>744</v>
      </c>
      <c r="Q1366" s="450"/>
      <c r="R1366" s="450"/>
      <c r="S1366" s="449" t="s">
        <v>713</v>
      </c>
      <c r="T1366" s="449" t="s">
        <v>967</v>
      </c>
      <c r="U1366" s="452">
        <v>173234.37513852745</v>
      </c>
      <c r="V136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6" s="272">
        <f>IFERROR(SUMIFS(TransUnitCost[Miles],TransUnitCost[Grouping_ID],TransTonsShort[[#This Row],[Grouping_ID]],TransUnitCost[Transp_ID],TransTonsShort[[#This Row],[Transp_ID]])*TransTonsShort[[#This Row],[Trans_Tons_All]]/TransTonsShort[[#This Row],[Trans_Tons_All]],"")</f>
        <v>0</v>
      </c>
      <c r="X1366" s="386" t="str">
        <f>TransTonsShort[[#This Row],[Grouping_ID]]&amp;"-"&amp;TransTonsShort[[#This Row],[Sector_ID]]</f>
        <v>2-4</v>
      </c>
      <c r="Y13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66" s="421">
        <f>INDEX(LandfillFees[Disposal Tip Fee 2025],MATCH(TransTonsShort[[#This Row],[Grouping_ID]],LandfillFees[Grouping_ID],0))</f>
        <v>72.030938699729589</v>
      </c>
      <c r="AA1366" s="102">
        <f>IF(OR(TransTonsShort[[#This Row],[CollectionStream_ID]]="03",TransTonsShort[[#This Row],[CollectionStream_ID]]="04",TransTonsShort[[#This Row],[CollectionStream_ID]]="13"),0,TransTonsShort[[#This Row],[Trans_Tons_All]]*TransTonsShort[[#This Row],[Disposal_Fee]])</f>
        <v>0</v>
      </c>
    </row>
    <row r="1367" spans="12:27" ht="15" x14ac:dyDescent="0.25">
      <c r="L1367" s="446" t="s">
        <v>875</v>
      </c>
      <c r="M1367" s="446">
        <v>2</v>
      </c>
      <c r="N1367" s="446">
        <v>4</v>
      </c>
      <c r="O1367" s="446" t="s">
        <v>719</v>
      </c>
      <c r="P1367" s="449" t="s">
        <v>744</v>
      </c>
      <c r="Q1367" s="449"/>
      <c r="R1367" s="449"/>
      <c r="S1367" s="449" t="s">
        <v>720</v>
      </c>
      <c r="T1367" s="449" t="s">
        <v>967</v>
      </c>
      <c r="U1367" s="452">
        <v>45356.201192529326</v>
      </c>
      <c r="V136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7" s="272">
        <f>IFERROR(SUMIFS(TransUnitCost[Miles],TransUnitCost[Grouping_ID],TransTonsShort[[#This Row],[Grouping_ID]],TransUnitCost[Transp_ID],TransTonsShort[[#This Row],[Transp_ID]])*TransTonsShort[[#This Row],[Trans_Tons_All]]/TransTonsShort[[#This Row],[Trans_Tons_All]],"")</f>
        <v>0</v>
      </c>
      <c r="X1367" s="386" t="str">
        <f>TransTonsShort[[#This Row],[Grouping_ID]]&amp;"-"&amp;TransTonsShort[[#This Row],[Sector_ID]]</f>
        <v>2-4</v>
      </c>
      <c r="Y13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67" s="421">
        <f>INDEX(LandfillFees[Disposal Tip Fee 2025],MATCH(TransTonsShort[[#This Row],[Grouping_ID]],LandfillFees[Grouping_ID],0))</f>
        <v>72.030938699729589</v>
      </c>
      <c r="AA1367" s="102">
        <f>IF(OR(TransTonsShort[[#This Row],[CollectionStream_ID]]="03",TransTonsShort[[#This Row],[CollectionStream_ID]]="04",TransTonsShort[[#This Row],[CollectionStream_ID]]="13"),0,TransTonsShort[[#This Row],[Trans_Tons_All]]*TransTonsShort[[#This Row],[Disposal_Fee]])</f>
        <v>0</v>
      </c>
    </row>
    <row r="1368" spans="12:27" ht="15" x14ac:dyDescent="0.25">
      <c r="L1368" s="446" t="s">
        <v>875</v>
      </c>
      <c r="M1368" s="446">
        <v>2</v>
      </c>
      <c r="N1368" s="446">
        <v>4</v>
      </c>
      <c r="O1368" s="446" t="s">
        <v>754</v>
      </c>
      <c r="P1368" s="449" t="s">
        <v>744</v>
      </c>
      <c r="Q1368" s="449"/>
      <c r="R1368" s="449"/>
      <c r="S1368" s="449" t="s">
        <v>1991</v>
      </c>
      <c r="T1368" s="449" t="s">
        <v>967</v>
      </c>
      <c r="U1368" s="452">
        <v>5439.0442810317654</v>
      </c>
      <c r="V136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8" s="272">
        <f>IFERROR(SUMIFS(TransUnitCost[Miles],TransUnitCost[Grouping_ID],TransTonsShort[[#This Row],[Grouping_ID]],TransUnitCost[Transp_ID],TransTonsShort[[#This Row],[Transp_ID]])*TransTonsShort[[#This Row],[Trans_Tons_All]]/TransTonsShort[[#This Row],[Trans_Tons_All]],"")</f>
        <v>0</v>
      </c>
      <c r="X1368" s="386" t="str">
        <f>TransTonsShort[[#This Row],[Grouping_ID]]&amp;"-"&amp;TransTonsShort[[#This Row],[Sector_ID]]</f>
        <v>2-4</v>
      </c>
      <c r="Y13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68" s="421">
        <f>INDEX(LandfillFees[Disposal Tip Fee 2025],MATCH(TransTonsShort[[#This Row],[Grouping_ID]],LandfillFees[Grouping_ID],0))</f>
        <v>72.030938699729589</v>
      </c>
      <c r="AA1368" s="102">
        <f>IF(OR(TransTonsShort[[#This Row],[CollectionStream_ID]]="03",TransTonsShort[[#This Row],[CollectionStream_ID]]="04",TransTonsShort[[#This Row],[CollectionStream_ID]]="13"),0,TransTonsShort[[#This Row],[Trans_Tons_All]]*TransTonsShort[[#This Row],[Disposal_Fee]])</f>
        <v>0</v>
      </c>
    </row>
    <row r="1369" spans="12:27" ht="15" x14ac:dyDescent="0.25">
      <c r="L1369" s="446" t="s">
        <v>875</v>
      </c>
      <c r="M1369" s="446">
        <v>2</v>
      </c>
      <c r="N1369" s="446">
        <v>5</v>
      </c>
      <c r="O1369" s="446" t="s">
        <v>754</v>
      </c>
      <c r="P1369" s="449" t="s">
        <v>744</v>
      </c>
      <c r="Q1369" s="449"/>
      <c r="R1369" s="449"/>
      <c r="S1369" s="449" t="s">
        <v>1991</v>
      </c>
      <c r="T1369" s="449" t="s">
        <v>967</v>
      </c>
      <c r="U1369" s="452">
        <v>507819.48048613168</v>
      </c>
      <c r="V136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69" s="272">
        <f>IFERROR(SUMIFS(TransUnitCost[Miles],TransUnitCost[Grouping_ID],TransTonsShort[[#This Row],[Grouping_ID]],TransUnitCost[Transp_ID],TransTonsShort[[#This Row],[Transp_ID]])*TransTonsShort[[#This Row],[Trans_Tons_All]]/TransTonsShort[[#This Row],[Trans_Tons_All]],"")</f>
        <v>0</v>
      </c>
      <c r="X1369" s="386" t="str">
        <f>TransTonsShort[[#This Row],[Grouping_ID]]&amp;"-"&amp;TransTonsShort[[#This Row],[Sector_ID]]</f>
        <v>2-5</v>
      </c>
      <c r="Y13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69" s="421">
        <f>INDEX(LandfillFees[Disposal Tip Fee 2025],MATCH(TransTonsShort[[#This Row],[Grouping_ID]],LandfillFees[Grouping_ID],0))</f>
        <v>72.030938699729589</v>
      </c>
      <c r="AA1369" s="102">
        <f>IF(OR(TransTonsShort[[#This Row],[CollectionStream_ID]]="03",TransTonsShort[[#This Row],[CollectionStream_ID]]="04",TransTonsShort[[#This Row],[CollectionStream_ID]]="13"),0,TransTonsShort[[#This Row],[Trans_Tons_All]]*TransTonsShort[[#This Row],[Disposal_Fee]])</f>
        <v>0</v>
      </c>
    </row>
    <row r="1370" spans="12:27" ht="15" x14ac:dyDescent="0.25">
      <c r="L1370" s="446" t="s">
        <v>875</v>
      </c>
      <c r="M1370" s="446">
        <v>2</v>
      </c>
      <c r="N1370" s="446">
        <v>6</v>
      </c>
      <c r="O1370" s="446" t="s">
        <v>754</v>
      </c>
      <c r="P1370" s="449" t="s">
        <v>744</v>
      </c>
      <c r="Q1370" s="449"/>
      <c r="R1370" s="449"/>
      <c r="S1370" s="449" t="s">
        <v>1991</v>
      </c>
      <c r="T1370" s="449" t="s">
        <v>967</v>
      </c>
      <c r="U1370" s="452">
        <v>23265.951414096395</v>
      </c>
      <c r="V137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0" s="272">
        <f>IFERROR(SUMIFS(TransUnitCost[Miles],TransUnitCost[Grouping_ID],TransTonsShort[[#This Row],[Grouping_ID]],TransUnitCost[Transp_ID],TransTonsShort[[#This Row],[Transp_ID]])*TransTonsShort[[#This Row],[Trans_Tons_All]]/TransTonsShort[[#This Row],[Trans_Tons_All]],"")</f>
        <v>0</v>
      </c>
      <c r="X1370" s="386" t="str">
        <f>TransTonsShort[[#This Row],[Grouping_ID]]&amp;"-"&amp;TransTonsShort[[#This Row],[Sector_ID]]</f>
        <v>2-6</v>
      </c>
      <c r="Y13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70" s="421">
        <f>INDEX(LandfillFees[Disposal Tip Fee 2025],MATCH(TransTonsShort[[#This Row],[Grouping_ID]],LandfillFees[Grouping_ID],0))</f>
        <v>72.030938699729589</v>
      </c>
      <c r="AA1370" s="102">
        <f>IF(OR(TransTonsShort[[#This Row],[CollectionStream_ID]]="03",TransTonsShort[[#This Row],[CollectionStream_ID]]="04",TransTonsShort[[#This Row],[CollectionStream_ID]]="13"),0,TransTonsShort[[#This Row],[Trans_Tons_All]]*TransTonsShort[[#This Row],[Disposal_Fee]])</f>
        <v>0</v>
      </c>
    </row>
    <row r="1371" spans="12:27" ht="15" x14ac:dyDescent="0.25">
      <c r="L1371" s="446" t="s">
        <v>875</v>
      </c>
      <c r="M1371" s="446">
        <v>3</v>
      </c>
      <c r="N1371" s="446">
        <v>1</v>
      </c>
      <c r="O1371" s="446" t="s">
        <v>712</v>
      </c>
      <c r="P1371" s="449" t="s">
        <v>744</v>
      </c>
      <c r="Q1371" s="449"/>
      <c r="R1371" s="449"/>
      <c r="S1371" s="449" t="s">
        <v>713</v>
      </c>
      <c r="T1371" s="449" t="s">
        <v>967</v>
      </c>
      <c r="U1371" s="452">
        <v>168630.65733917174</v>
      </c>
      <c r="V137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1" s="272">
        <f>IFERROR(SUMIFS(TransUnitCost[Miles],TransUnitCost[Grouping_ID],TransTonsShort[[#This Row],[Grouping_ID]],TransUnitCost[Transp_ID],TransTonsShort[[#This Row],[Transp_ID]])*TransTonsShort[[#This Row],[Trans_Tons_All]]/TransTonsShort[[#This Row],[Trans_Tons_All]],"")</f>
        <v>0</v>
      </c>
      <c r="X1371" s="386" t="str">
        <f>TransTonsShort[[#This Row],[Grouping_ID]]&amp;"-"&amp;TransTonsShort[[#This Row],[Sector_ID]]</f>
        <v>3-1</v>
      </c>
      <c r="Y13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71" s="421">
        <f>INDEX(LandfillFees[Disposal Tip Fee 2025],MATCH(TransTonsShort[[#This Row],[Grouping_ID]],LandfillFees[Grouping_ID],0))</f>
        <v>72.030938699729589</v>
      </c>
      <c r="AA1371" s="102">
        <f>IF(OR(TransTonsShort[[#This Row],[CollectionStream_ID]]="03",TransTonsShort[[#This Row],[CollectionStream_ID]]="04",TransTonsShort[[#This Row],[CollectionStream_ID]]="13"),0,TransTonsShort[[#This Row],[Trans_Tons_All]]*TransTonsShort[[#This Row],[Disposal_Fee]])</f>
        <v>0</v>
      </c>
    </row>
    <row r="1372" spans="12:27" ht="15" x14ac:dyDescent="0.25">
      <c r="L1372" s="446" t="s">
        <v>875</v>
      </c>
      <c r="M1372" s="446">
        <v>3</v>
      </c>
      <c r="N1372" s="446">
        <v>1</v>
      </c>
      <c r="O1372" s="446" t="s">
        <v>719</v>
      </c>
      <c r="P1372" s="449" t="s">
        <v>744</v>
      </c>
      <c r="Q1372" s="449"/>
      <c r="R1372" s="449"/>
      <c r="S1372" s="449" t="s">
        <v>720</v>
      </c>
      <c r="T1372" s="449" t="s">
        <v>967</v>
      </c>
      <c r="U1372" s="452">
        <v>14718.001298030635</v>
      </c>
      <c r="V137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2" s="272">
        <f>IFERROR(SUMIFS(TransUnitCost[Miles],TransUnitCost[Grouping_ID],TransTonsShort[[#This Row],[Grouping_ID]],TransUnitCost[Transp_ID],TransTonsShort[[#This Row],[Transp_ID]])*TransTonsShort[[#This Row],[Trans_Tons_All]]/TransTonsShort[[#This Row],[Trans_Tons_All]],"")</f>
        <v>0</v>
      </c>
      <c r="X1372" s="386" t="str">
        <f>TransTonsShort[[#This Row],[Grouping_ID]]&amp;"-"&amp;TransTonsShort[[#This Row],[Sector_ID]]</f>
        <v>3-1</v>
      </c>
      <c r="Y13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72" s="421">
        <f>INDEX(LandfillFees[Disposal Tip Fee 2025],MATCH(TransTonsShort[[#This Row],[Grouping_ID]],LandfillFees[Grouping_ID],0))</f>
        <v>72.030938699729589</v>
      </c>
      <c r="AA1372" s="102">
        <f>IF(OR(TransTonsShort[[#This Row],[CollectionStream_ID]]="03",TransTonsShort[[#This Row],[CollectionStream_ID]]="04",TransTonsShort[[#This Row],[CollectionStream_ID]]="13"),0,TransTonsShort[[#This Row],[Trans_Tons_All]]*TransTonsShort[[#This Row],[Disposal_Fee]])</f>
        <v>0</v>
      </c>
    </row>
    <row r="1373" spans="12:27" ht="15" x14ac:dyDescent="0.25">
      <c r="L1373" s="446" t="s">
        <v>875</v>
      </c>
      <c r="M1373" s="446">
        <v>3</v>
      </c>
      <c r="N1373" s="446">
        <v>1</v>
      </c>
      <c r="O1373" s="446" t="s">
        <v>754</v>
      </c>
      <c r="P1373" s="449" t="s">
        <v>744</v>
      </c>
      <c r="Q1373" s="449"/>
      <c r="R1373" s="449"/>
      <c r="S1373" s="449" t="s">
        <v>1991</v>
      </c>
      <c r="T1373" s="449" t="s">
        <v>967</v>
      </c>
      <c r="U1373" s="452">
        <v>13.831046700604208</v>
      </c>
      <c r="V137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3" s="272">
        <f>IFERROR(SUMIFS(TransUnitCost[Miles],TransUnitCost[Grouping_ID],TransTonsShort[[#This Row],[Grouping_ID]],TransUnitCost[Transp_ID],TransTonsShort[[#This Row],[Transp_ID]])*TransTonsShort[[#This Row],[Trans_Tons_All]]/TransTonsShort[[#This Row],[Trans_Tons_All]],"")</f>
        <v>0</v>
      </c>
      <c r="X1373" s="386" t="str">
        <f>TransTonsShort[[#This Row],[Grouping_ID]]&amp;"-"&amp;TransTonsShort[[#This Row],[Sector_ID]]</f>
        <v>3-1</v>
      </c>
      <c r="Y13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73" s="421">
        <f>INDEX(LandfillFees[Disposal Tip Fee 2025],MATCH(TransTonsShort[[#This Row],[Grouping_ID]],LandfillFees[Grouping_ID],0))</f>
        <v>72.030938699729589</v>
      </c>
      <c r="AA1373" s="102">
        <f>IF(OR(TransTonsShort[[#This Row],[CollectionStream_ID]]="03",TransTonsShort[[#This Row],[CollectionStream_ID]]="04",TransTonsShort[[#This Row],[CollectionStream_ID]]="13"),0,TransTonsShort[[#This Row],[Trans_Tons_All]]*TransTonsShort[[#This Row],[Disposal_Fee]])</f>
        <v>0</v>
      </c>
    </row>
    <row r="1374" spans="12:27" ht="15" x14ac:dyDescent="0.25">
      <c r="L1374" s="446" t="s">
        <v>875</v>
      </c>
      <c r="M1374" s="446">
        <v>3</v>
      </c>
      <c r="N1374" s="446">
        <v>2</v>
      </c>
      <c r="O1374" s="446" t="s">
        <v>712</v>
      </c>
      <c r="P1374" s="449" t="s">
        <v>744</v>
      </c>
      <c r="Q1374" s="449"/>
      <c r="R1374" s="449"/>
      <c r="S1374" s="449" t="s">
        <v>713</v>
      </c>
      <c r="T1374" s="449" t="s">
        <v>967</v>
      </c>
      <c r="U1374" s="452">
        <v>34437.542443410355</v>
      </c>
      <c r="V137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4" s="272">
        <f>IFERROR(SUMIFS(TransUnitCost[Miles],TransUnitCost[Grouping_ID],TransTonsShort[[#This Row],[Grouping_ID]],TransUnitCost[Transp_ID],TransTonsShort[[#This Row],[Transp_ID]])*TransTonsShort[[#This Row],[Trans_Tons_All]]/TransTonsShort[[#This Row],[Trans_Tons_All]],"")</f>
        <v>0</v>
      </c>
      <c r="X1374" s="386" t="str">
        <f>TransTonsShort[[#This Row],[Grouping_ID]]&amp;"-"&amp;TransTonsShort[[#This Row],[Sector_ID]]</f>
        <v>3-2</v>
      </c>
      <c r="Y13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74" s="421">
        <f>INDEX(LandfillFees[Disposal Tip Fee 2025],MATCH(TransTonsShort[[#This Row],[Grouping_ID]],LandfillFees[Grouping_ID],0))</f>
        <v>72.030938699729589</v>
      </c>
      <c r="AA1374" s="102">
        <f>IF(OR(TransTonsShort[[#This Row],[CollectionStream_ID]]="03",TransTonsShort[[#This Row],[CollectionStream_ID]]="04",TransTonsShort[[#This Row],[CollectionStream_ID]]="13"),0,TransTonsShort[[#This Row],[Trans_Tons_All]]*TransTonsShort[[#This Row],[Disposal_Fee]])</f>
        <v>0</v>
      </c>
    </row>
    <row r="1375" spans="12:27" ht="15" x14ac:dyDescent="0.25">
      <c r="L1375" s="446" t="s">
        <v>875</v>
      </c>
      <c r="M1375" s="446">
        <v>3</v>
      </c>
      <c r="N1375" s="446">
        <v>2</v>
      </c>
      <c r="O1375" s="448" t="s">
        <v>719</v>
      </c>
      <c r="P1375" s="449" t="s">
        <v>744</v>
      </c>
      <c r="Q1375" s="449"/>
      <c r="R1375" s="449"/>
      <c r="S1375" s="449" t="s">
        <v>720</v>
      </c>
      <c r="T1375" s="449" t="s">
        <v>967</v>
      </c>
      <c r="U1375" s="452">
        <v>0</v>
      </c>
      <c r="V137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5" s="272" t="str">
        <f>IFERROR(SUMIFS(TransUnitCost[Miles],TransUnitCost[Grouping_ID],TransTonsShort[[#This Row],[Grouping_ID]],TransUnitCost[Transp_ID],TransTonsShort[[#This Row],[Transp_ID]])*TransTonsShort[[#This Row],[Trans_Tons_All]]/TransTonsShort[[#This Row],[Trans_Tons_All]],"")</f>
        <v/>
      </c>
      <c r="X1375" s="386" t="str">
        <f>TransTonsShort[[#This Row],[Grouping_ID]]&amp;"-"&amp;TransTonsShort[[#This Row],[Sector_ID]]</f>
        <v>3-2</v>
      </c>
      <c r="Y13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75" s="421">
        <f>INDEX(LandfillFees[Disposal Tip Fee 2025],MATCH(TransTonsShort[[#This Row],[Grouping_ID]],LandfillFees[Grouping_ID],0))</f>
        <v>72.030938699729589</v>
      </c>
      <c r="AA1375" s="102">
        <f>IF(OR(TransTonsShort[[#This Row],[CollectionStream_ID]]="03",TransTonsShort[[#This Row],[CollectionStream_ID]]="04",TransTonsShort[[#This Row],[CollectionStream_ID]]="13"),0,TransTonsShort[[#This Row],[Trans_Tons_All]]*TransTonsShort[[#This Row],[Disposal_Fee]])</f>
        <v>0</v>
      </c>
    </row>
    <row r="1376" spans="12:27" ht="15" x14ac:dyDescent="0.25">
      <c r="L1376" s="446" t="s">
        <v>875</v>
      </c>
      <c r="M1376" s="446">
        <v>3</v>
      </c>
      <c r="N1376" s="446">
        <v>2</v>
      </c>
      <c r="O1376" s="448" t="s">
        <v>754</v>
      </c>
      <c r="P1376" s="449" t="s">
        <v>744</v>
      </c>
      <c r="Q1376" s="449"/>
      <c r="R1376" s="449"/>
      <c r="S1376" s="449" t="s">
        <v>1991</v>
      </c>
      <c r="T1376" s="449" t="s">
        <v>967</v>
      </c>
      <c r="U1376" s="452">
        <v>0.63462924206372762</v>
      </c>
      <c r="V137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6" s="272">
        <f>IFERROR(SUMIFS(TransUnitCost[Miles],TransUnitCost[Grouping_ID],TransTonsShort[[#This Row],[Grouping_ID]],TransUnitCost[Transp_ID],TransTonsShort[[#This Row],[Transp_ID]])*TransTonsShort[[#This Row],[Trans_Tons_All]]/TransTonsShort[[#This Row],[Trans_Tons_All]],"")</f>
        <v>0</v>
      </c>
      <c r="X1376" s="386" t="str">
        <f>TransTonsShort[[#This Row],[Grouping_ID]]&amp;"-"&amp;TransTonsShort[[#This Row],[Sector_ID]]</f>
        <v>3-2</v>
      </c>
      <c r="Y13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76" s="421">
        <f>INDEX(LandfillFees[Disposal Tip Fee 2025],MATCH(TransTonsShort[[#This Row],[Grouping_ID]],LandfillFees[Grouping_ID],0))</f>
        <v>72.030938699729589</v>
      </c>
      <c r="AA1376" s="102">
        <f>IF(OR(TransTonsShort[[#This Row],[CollectionStream_ID]]="03",TransTonsShort[[#This Row],[CollectionStream_ID]]="04",TransTonsShort[[#This Row],[CollectionStream_ID]]="13"),0,TransTonsShort[[#This Row],[Trans_Tons_All]]*TransTonsShort[[#This Row],[Disposal_Fee]])</f>
        <v>0</v>
      </c>
    </row>
    <row r="1377" spans="12:27" ht="15" x14ac:dyDescent="0.25">
      <c r="L1377" s="446" t="s">
        <v>875</v>
      </c>
      <c r="M1377" s="446">
        <v>3</v>
      </c>
      <c r="N1377" s="446">
        <v>3</v>
      </c>
      <c r="O1377" s="448" t="s">
        <v>712</v>
      </c>
      <c r="P1377" s="449" t="s">
        <v>744</v>
      </c>
      <c r="Q1377" s="449"/>
      <c r="R1377" s="449"/>
      <c r="S1377" s="449" t="s">
        <v>713</v>
      </c>
      <c r="T1377" s="449" t="s">
        <v>967</v>
      </c>
      <c r="U1377" s="452">
        <v>114713.13552685041</v>
      </c>
      <c r="V137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7" s="272">
        <f>IFERROR(SUMIFS(TransUnitCost[Miles],TransUnitCost[Grouping_ID],TransTonsShort[[#This Row],[Grouping_ID]],TransUnitCost[Transp_ID],TransTonsShort[[#This Row],[Transp_ID]])*TransTonsShort[[#This Row],[Trans_Tons_All]]/TransTonsShort[[#This Row],[Trans_Tons_All]],"")</f>
        <v>0</v>
      </c>
      <c r="X1377" s="386" t="str">
        <f>TransTonsShort[[#This Row],[Grouping_ID]]&amp;"-"&amp;TransTonsShort[[#This Row],[Sector_ID]]</f>
        <v>3-3</v>
      </c>
      <c r="Y13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77" s="421">
        <f>INDEX(LandfillFees[Disposal Tip Fee 2025],MATCH(TransTonsShort[[#This Row],[Grouping_ID]],LandfillFees[Grouping_ID],0))</f>
        <v>72.030938699729589</v>
      </c>
      <c r="AA1377" s="102">
        <f>IF(OR(TransTonsShort[[#This Row],[CollectionStream_ID]]="03",TransTonsShort[[#This Row],[CollectionStream_ID]]="04",TransTonsShort[[#This Row],[CollectionStream_ID]]="13"),0,TransTonsShort[[#This Row],[Trans_Tons_All]]*TransTonsShort[[#This Row],[Disposal_Fee]])</f>
        <v>0</v>
      </c>
    </row>
    <row r="1378" spans="12:27" ht="15" x14ac:dyDescent="0.25">
      <c r="L1378" s="446" t="s">
        <v>875</v>
      </c>
      <c r="M1378" s="446">
        <v>3</v>
      </c>
      <c r="N1378" s="446">
        <v>3</v>
      </c>
      <c r="O1378" s="448" t="s">
        <v>719</v>
      </c>
      <c r="P1378" s="449" t="s">
        <v>744</v>
      </c>
      <c r="Q1378" s="449"/>
      <c r="R1378" s="449"/>
      <c r="S1378" s="449" t="s">
        <v>720</v>
      </c>
      <c r="T1378" s="449" t="s">
        <v>967</v>
      </c>
      <c r="U1378" s="452">
        <v>710.57263630539853</v>
      </c>
      <c r="V137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8" s="272">
        <f>IFERROR(SUMIFS(TransUnitCost[Miles],TransUnitCost[Grouping_ID],TransTonsShort[[#This Row],[Grouping_ID]],TransUnitCost[Transp_ID],TransTonsShort[[#This Row],[Transp_ID]])*TransTonsShort[[#This Row],[Trans_Tons_All]]/TransTonsShort[[#This Row],[Trans_Tons_All]],"")</f>
        <v>0</v>
      </c>
      <c r="X1378" s="386" t="str">
        <f>TransTonsShort[[#This Row],[Grouping_ID]]&amp;"-"&amp;TransTonsShort[[#This Row],[Sector_ID]]</f>
        <v>3-3</v>
      </c>
      <c r="Y13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78" s="421">
        <f>INDEX(LandfillFees[Disposal Tip Fee 2025],MATCH(TransTonsShort[[#This Row],[Grouping_ID]],LandfillFees[Grouping_ID],0))</f>
        <v>72.030938699729589</v>
      </c>
      <c r="AA1378" s="102">
        <f>IF(OR(TransTonsShort[[#This Row],[CollectionStream_ID]]="03",TransTonsShort[[#This Row],[CollectionStream_ID]]="04",TransTonsShort[[#This Row],[CollectionStream_ID]]="13"),0,TransTonsShort[[#This Row],[Trans_Tons_All]]*TransTonsShort[[#This Row],[Disposal_Fee]])</f>
        <v>0</v>
      </c>
    </row>
    <row r="1379" spans="12:27" ht="15" x14ac:dyDescent="0.25">
      <c r="L1379" s="446" t="s">
        <v>875</v>
      </c>
      <c r="M1379" s="446">
        <v>3</v>
      </c>
      <c r="N1379" s="446">
        <v>3</v>
      </c>
      <c r="O1379" s="448" t="s">
        <v>754</v>
      </c>
      <c r="P1379" s="449" t="s">
        <v>744</v>
      </c>
      <c r="Q1379" s="449"/>
      <c r="R1379" s="449"/>
      <c r="S1379" s="449" t="s">
        <v>1991</v>
      </c>
      <c r="T1379" s="449" t="s">
        <v>967</v>
      </c>
      <c r="U1379" s="452">
        <v>3.9585867554731475</v>
      </c>
      <c r="V137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79" s="272">
        <f>IFERROR(SUMIFS(TransUnitCost[Miles],TransUnitCost[Grouping_ID],TransTonsShort[[#This Row],[Grouping_ID]],TransUnitCost[Transp_ID],TransTonsShort[[#This Row],[Transp_ID]])*TransTonsShort[[#This Row],[Trans_Tons_All]]/TransTonsShort[[#This Row],[Trans_Tons_All]],"")</f>
        <v>0</v>
      </c>
      <c r="X1379" s="386" t="str">
        <f>TransTonsShort[[#This Row],[Grouping_ID]]&amp;"-"&amp;TransTonsShort[[#This Row],[Sector_ID]]</f>
        <v>3-3</v>
      </c>
      <c r="Y13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79" s="421">
        <f>INDEX(LandfillFees[Disposal Tip Fee 2025],MATCH(TransTonsShort[[#This Row],[Grouping_ID]],LandfillFees[Grouping_ID],0))</f>
        <v>72.030938699729589</v>
      </c>
      <c r="AA1379" s="102">
        <f>IF(OR(TransTonsShort[[#This Row],[CollectionStream_ID]]="03",TransTonsShort[[#This Row],[CollectionStream_ID]]="04",TransTonsShort[[#This Row],[CollectionStream_ID]]="13"),0,TransTonsShort[[#This Row],[Trans_Tons_All]]*TransTonsShort[[#This Row],[Disposal_Fee]])</f>
        <v>0</v>
      </c>
    </row>
    <row r="1380" spans="12:27" ht="15" x14ac:dyDescent="0.25">
      <c r="L1380" s="446" t="s">
        <v>875</v>
      </c>
      <c r="M1380" s="446">
        <v>3</v>
      </c>
      <c r="N1380" s="446">
        <v>4</v>
      </c>
      <c r="O1380" s="448" t="s">
        <v>712</v>
      </c>
      <c r="P1380" s="449" t="s">
        <v>744</v>
      </c>
      <c r="Q1380" s="449"/>
      <c r="R1380" s="449"/>
      <c r="S1380" s="449" t="s">
        <v>713</v>
      </c>
      <c r="T1380" s="449" t="s">
        <v>967</v>
      </c>
      <c r="U1380" s="452">
        <v>80305.341841777175</v>
      </c>
      <c r="V138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0" s="272">
        <f>IFERROR(SUMIFS(TransUnitCost[Miles],TransUnitCost[Grouping_ID],TransTonsShort[[#This Row],[Grouping_ID]],TransUnitCost[Transp_ID],TransTonsShort[[#This Row],[Transp_ID]])*TransTonsShort[[#This Row],[Trans_Tons_All]]/TransTonsShort[[#This Row],[Trans_Tons_All]],"")</f>
        <v>0</v>
      </c>
      <c r="X1380" s="386" t="str">
        <f>TransTonsShort[[#This Row],[Grouping_ID]]&amp;"-"&amp;TransTonsShort[[#This Row],[Sector_ID]]</f>
        <v>3-4</v>
      </c>
      <c r="Y13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80" s="421">
        <f>INDEX(LandfillFees[Disposal Tip Fee 2025],MATCH(TransTonsShort[[#This Row],[Grouping_ID]],LandfillFees[Grouping_ID],0))</f>
        <v>72.030938699729589</v>
      </c>
      <c r="AA1380" s="102">
        <f>IF(OR(TransTonsShort[[#This Row],[CollectionStream_ID]]="03",TransTonsShort[[#This Row],[CollectionStream_ID]]="04",TransTonsShort[[#This Row],[CollectionStream_ID]]="13"),0,TransTonsShort[[#This Row],[Trans_Tons_All]]*TransTonsShort[[#This Row],[Disposal_Fee]])</f>
        <v>0</v>
      </c>
    </row>
    <row r="1381" spans="12:27" ht="15" x14ac:dyDescent="0.25">
      <c r="L1381" s="446" t="s">
        <v>875</v>
      </c>
      <c r="M1381" s="446">
        <v>3</v>
      </c>
      <c r="N1381" s="446">
        <v>4</v>
      </c>
      <c r="O1381" s="448" t="s">
        <v>719</v>
      </c>
      <c r="P1381" s="449" t="s">
        <v>744</v>
      </c>
      <c r="Q1381" s="449"/>
      <c r="R1381" s="449"/>
      <c r="S1381" s="449" t="s">
        <v>720</v>
      </c>
      <c r="T1381" s="449" t="s">
        <v>967</v>
      </c>
      <c r="U1381" s="452">
        <v>30483.436903200578</v>
      </c>
      <c r="V138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1" s="272">
        <f>IFERROR(SUMIFS(TransUnitCost[Miles],TransUnitCost[Grouping_ID],TransTonsShort[[#This Row],[Grouping_ID]],TransUnitCost[Transp_ID],TransTonsShort[[#This Row],[Transp_ID]])*TransTonsShort[[#This Row],[Trans_Tons_All]]/TransTonsShort[[#This Row],[Trans_Tons_All]],"")</f>
        <v>0</v>
      </c>
      <c r="X1381" s="386" t="str">
        <f>TransTonsShort[[#This Row],[Grouping_ID]]&amp;"-"&amp;TransTonsShort[[#This Row],[Sector_ID]]</f>
        <v>3-4</v>
      </c>
      <c r="Y13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81" s="421">
        <f>INDEX(LandfillFees[Disposal Tip Fee 2025],MATCH(TransTonsShort[[#This Row],[Grouping_ID]],LandfillFees[Grouping_ID],0))</f>
        <v>72.030938699729589</v>
      </c>
      <c r="AA1381" s="102">
        <f>IF(OR(TransTonsShort[[#This Row],[CollectionStream_ID]]="03",TransTonsShort[[#This Row],[CollectionStream_ID]]="04",TransTonsShort[[#This Row],[CollectionStream_ID]]="13"),0,TransTonsShort[[#This Row],[Trans_Tons_All]]*TransTonsShort[[#This Row],[Disposal_Fee]])</f>
        <v>0</v>
      </c>
    </row>
    <row r="1382" spans="12:27" ht="15" x14ac:dyDescent="0.25">
      <c r="L1382" s="446" t="s">
        <v>875</v>
      </c>
      <c r="M1382" s="446">
        <v>3</v>
      </c>
      <c r="N1382" s="446">
        <v>4</v>
      </c>
      <c r="O1382" s="448" t="s">
        <v>754</v>
      </c>
      <c r="P1382" s="449" t="s">
        <v>744</v>
      </c>
      <c r="Q1382" s="449"/>
      <c r="R1382" s="449"/>
      <c r="S1382" s="449" t="s">
        <v>1991</v>
      </c>
      <c r="T1382" s="449" t="s">
        <v>967</v>
      </c>
      <c r="U1382" s="452">
        <v>2464.105248444625</v>
      </c>
      <c r="V138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2" s="272">
        <f>IFERROR(SUMIFS(TransUnitCost[Miles],TransUnitCost[Grouping_ID],TransTonsShort[[#This Row],[Grouping_ID]],TransUnitCost[Transp_ID],TransTonsShort[[#This Row],[Transp_ID]])*TransTonsShort[[#This Row],[Trans_Tons_All]]/TransTonsShort[[#This Row],[Trans_Tons_All]],"")</f>
        <v>0</v>
      </c>
      <c r="X1382" s="386" t="str">
        <f>TransTonsShort[[#This Row],[Grouping_ID]]&amp;"-"&amp;TransTonsShort[[#This Row],[Sector_ID]]</f>
        <v>3-4</v>
      </c>
      <c r="Y13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82" s="421">
        <f>INDEX(LandfillFees[Disposal Tip Fee 2025],MATCH(TransTonsShort[[#This Row],[Grouping_ID]],LandfillFees[Grouping_ID],0))</f>
        <v>72.030938699729589</v>
      </c>
      <c r="AA1382" s="102">
        <f>IF(OR(TransTonsShort[[#This Row],[CollectionStream_ID]]="03",TransTonsShort[[#This Row],[CollectionStream_ID]]="04",TransTonsShort[[#This Row],[CollectionStream_ID]]="13"),0,TransTonsShort[[#This Row],[Trans_Tons_All]]*TransTonsShort[[#This Row],[Disposal_Fee]])</f>
        <v>0</v>
      </c>
    </row>
    <row r="1383" spans="12:27" ht="15" x14ac:dyDescent="0.25">
      <c r="L1383" s="446" t="s">
        <v>875</v>
      </c>
      <c r="M1383" s="446">
        <v>3</v>
      </c>
      <c r="N1383" s="446">
        <v>5</v>
      </c>
      <c r="O1383" s="448" t="s">
        <v>754</v>
      </c>
      <c r="P1383" s="449" t="s">
        <v>744</v>
      </c>
      <c r="Q1383" s="449"/>
      <c r="R1383" s="449"/>
      <c r="S1383" s="449" t="s">
        <v>1991</v>
      </c>
      <c r="T1383" s="449" t="s">
        <v>967</v>
      </c>
      <c r="U1383" s="452">
        <v>112502.92066113914</v>
      </c>
      <c r="V138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3" s="272">
        <f>IFERROR(SUMIFS(TransUnitCost[Miles],TransUnitCost[Grouping_ID],TransTonsShort[[#This Row],[Grouping_ID]],TransUnitCost[Transp_ID],TransTonsShort[[#This Row],[Transp_ID]])*TransTonsShort[[#This Row],[Trans_Tons_All]]/TransTonsShort[[#This Row],[Trans_Tons_All]],"")</f>
        <v>0</v>
      </c>
      <c r="X1383" s="386" t="str">
        <f>TransTonsShort[[#This Row],[Grouping_ID]]&amp;"-"&amp;TransTonsShort[[#This Row],[Sector_ID]]</f>
        <v>3-5</v>
      </c>
      <c r="Y13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83" s="421">
        <f>INDEX(LandfillFees[Disposal Tip Fee 2025],MATCH(TransTonsShort[[#This Row],[Grouping_ID]],LandfillFees[Grouping_ID],0))</f>
        <v>72.030938699729589</v>
      </c>
      <c r="AA1383" s="102">
        <f>IF(OR(TransTonsShort[[#This Row],[CollectionStream_ID]]="03",TransTonsShort[[#This Row],[CollectionStream_ID]]="04",TransTonsShort[[#This Row],[CollectionStream_ID]]="13"),0,TransTonsShort[[#This Row],[Trans_Tons_All]]*TransTonsShort[[#This Row],[Disposal_Fee]])</f>
        <v>0</v>
      </c>
    </row>
    <row r="1384" spans="12:27" ht="15" x14ac:dyDescent="0.25">
      <c r="L1384" s="446" t="s">
        <v>875</v>
      </c>
      <c r="M1384" s="446">
        <v>3</v>
      </c>
      <c r="N1384" s="446">
        <v>6</v>
      </c>
      <c r="O1384" s="448" t="s">
        <v>754</v>
      </c>
      <c r="P1384" s="449" t="s">
        <v>744</v>
      </c>
      <c r="Q1384" s="449"/>
      <c r="R1384" s="449"/>
      <c r="S1384" s="449" t="s">
        <v>1991</v>
      </c>
      <c r="T1384" s="449" t="s">
        <v>967</v>
      </c>
      <c r="U1384" s="452">
        <v>10530.418399916423</v>
      </c>
      <c r="V138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4" s="272">
        <f>IFERROR(SUMIFS(TransUnitCost[Miles],TransUnitCost[Grouping_ID],TransTonsShort[[#This Row],[Grouping_ID]],TransUnitCost[Transp_ID],TransTonsShort[[#This Row],[Transp_ID]])*TransTonsShort[[#This Row],[Trans_Tons_All]]/TransTonsShort[[#This Row],[Trans_Tons_All]],"")</f>
        <v>0</v>
      </c>
      <c r="X1384" s="386" t="str">
        <f>TransTonsShort[[#This Row],[Grouping_ID]]&amp;"-"&amp;TransTonsShort[[#This Row],[Sector_ID]]</f>
        <v>3-6</v>
      </c>
      <c r="Y13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84" s="421">
        <f>INDEX(LandfillFees[Disposal Tip Fee 2025],MATCH(TransTonsShort[[#This Row],[Grouping_ID]],LandfillFees[Grouping_ID],0))</f>
        <v>72.030938699729589</v>
      </c>
      <c r="AA1384" s="102">
        <f>IF(OR(TransTonsShort[[#This Row],[CollectionStream_ID]]="03",TransTonsShort[[#This Row],[CollectionStream_ID]]="04",TransTonsShort[[#This Row],[CollectionStream_ID]]="13"),0,TransTonsShort[[#This Row],[Trans_Tons_All]]*TransTonsShort[[#This Row],[Disposal_Fee]])</f>
        <v>0</v>
      </c>
    </row>
    <row r="1385" spans="12:27" ht="15" x14ac:dyDescent="0.25">
      <c r="L1385" s="446" t="s">
        <v>875</v>
      </c>
      <c r="M1385" s="446">
        <v>4</v>
      </c>
      <c r="N1385" s="446">
        <v>1</v>
      </c>
      <c r="O1385" s="448" t="s">
        <v>712</v>
      </c>
      <c r="P1385" s="449" t="s">
        <v>744</v>
      </c>
      <c r="Q1385" s="449"/>
      <c r="R1385" s="449"/>
      <c r="S1385" s="449" t="s">
        <v>713</v>
      </c>
      <c r="T1385" s="449" t="s">
        <v>967</v>
      </c>
      <c r="U1385" s="452">
        <v>192582.86401109595</v>
      </c>
      <c r="V138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5" s="272">
        <f>IFERROR(SUMIFS(TransUnitCost[Miles],TransUnitCost[Grouping_ID],TransTonsShort[[#This Row],[Grouping_ID]],TransUnitCost[Transp_ID],TransTonsShort[[#This Row],[Transp_ID]])*TransTonsShort[[#This Row],[Trans_Tons_All]]/TransTonsShort[[#This Row],[Trans_Tons_All]],"")</f>
        <v>0</v>
      </c>
      <c r="X1385" s="386" t="str">
        <f>TransTonsShort[[#This Row],[Grouping_ID]]&amp;"-"&amp;TransTonsShort[[#This Row],[Sector_ID]]</f>
        <v>4-1</v>
      </c>
      <c r="Y13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85" s="421">
        <f>INDEX(LandfillFees[Disposal Tip Fee 2025],MATCH(TransTonsShort[[#This Row],[Grouping_ID]],LandfillFees[Grouping_ID],0))</f>
        <v>72.030938699729589</v>
      </c>
      <c r="AA1385" s="102">
        <f>IF(OR(TransTonsShort[[#This Row],[CollectionStream_ID]]="03",TransTonsShort[[#This Row],[CollectionStream_ID]]="04",TransTonsShort[[#This Row],[CollectionStream_ID]]="13"),0,TransTonsShort[[#This Row],[Trans_Tons_All]]*TransTonsShort[[#This Row],[Disposal_Fee]])</f>
        <v>0</v>
      </c>
    </row>
    <row r="1386" spans="12:27" ht="15" x14ac:dyDescent="0.25">
      <c r="L1386" s="446" t="s">
        <v>875</v>
      </c>
      <c r="M1386" s="446">
        <v>4</v>
      </c>
      <c r="N1386" s="446">
        <v>1</v>
      </c>
      <c r="O1386" s="448" t="s">
        <v>719</v>
      </c>
      <c r="P1386" s="449" t="s">
        <v>744</v>
      </c>
      <c r="Q1386" s="449"/>
      <c r="R1386" s="449"/>
      <c r="S1386" s="449" t="s">
        <v>720</v>
      </c>
      <c r="T1386" s="449" t="s">
        <v>967</v>
      </c>
      <c r="U1386" s="452">
        <v>31.249121728528202</v>
      </c>
      <c r="V138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6" s="272">
        <f>IFERROR(SUMIFS(TransUnitCost[Miles],TransUnitCost[Grouping_ID],TransTonsShort[[#This Row],[Grouping_ID]],TransUnitCost[Transp_ID],TransTonsShort[[#This Row],[Transp_ID]])*TransTonsShort[[#This Row],[Trans_Tons_All]]/TransTonsShort[[#This Row],[Trans_Tons_All]],"")</f>
        <v>0</v>
      </c>
      <c r="X1386" s="386" t="str">
        <f>TransTonsShort[[#This Row],[Grouping_ID]]&amp;"-"&amp;TransTonsShort[[#This Row],[Sector_ID]]</f>
        <v>4-1</v>
      </c>
      <c r="Y13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86" s="421">
        <f>INDEX(LandfillFees[Disposal Tip Fee 2025],MATCH(TransTonsShort[[#This Row],[Grouping_ID]],LandfillFees[Grouping_ID],0))</f>
        <v>72.030938699729589</v>
      </c>
      <c r="AA1386" s="102">
        <f>IF(OR(TransTonsShort[[#This Row],[CollectionStream_ID]]="03",TransTonsShort[[#This Row],[CollectionStream_ID]]="04",TransTonsShort[[#This Row],[CollectionStream_ID]]="13"),0,TransTonsShort[[#This Row],[Trans_Tons_All]]*TransTonsShort[[#This Row],[Disposal_Fee]])</f>
        <v>0</v>
      </c>
    </row>
    <row r="1387" spans="12:27" ht="15" x14ac:dyDescent="0.25">
      <c r="L1387" s="446" t="s">
        <v>875</v>
      </c>
      <c r="M1387" s="446">
        <v>4</v>
      </c>
      <c r="N1387" s="446">
        <v>1</v>
      </c>
      <c r="O1387" s="446" t="s">
        <v>754</v>
      </c>
      <c r="P1387" s="449" t="s">
        <v>744</v>
      </c>
      <c r="Q1387" s="449"/>
      <c r="R1387" s="449"/>
      <c r="S1387" s="449" t="s">
        <v>1991</v>
      </c>
      <c r="T1387" s="449" t="s">
        <v>967</v>
      </c>
      <c r="U1387" s="452">
        <v>6.3556190710760312</v>
      </c>
      <c r="V138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7" s="272">
        <f>IFERROR(SUMIFS(TransUnitCost[Miles],TransUnitCost[Grouping_ID],TransTonsShort[[#This Row],[Grouping_ID]],TransUnitCost[Transp_ID],TransTonsShort[[#This Row],[Transp_ID]])*TransTonsShort[[#This Row],[Trans_Tons_All]]/TransTonsShort[[#This Row],[Trans_Tons_All]],"")</f>
        <v>0</v>
      </c>
      <c r="X1387" s="386" t="str">
        <f>TransTonsShort[[#This Row],[Grouping_ID]]&amp;"-"&amp;TransTonsShort[[#This Row],[Sector_ID]]</f>
        <v>4-1</v>
      </c>
      <c r="Y13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87" s="421">
        <f>INDEX(LandfillFees[Disposal Tip Fee 2025],MATCH(TransTonsShort[[#This Row],[Grouping_ID]],LandfillFees[Grouping_ID],0))</f>
        <v>72.030938699729589</v>
      </c>
      <c r="AA1387" s="102">
        <f>IF(OR(TransTonsShort[[#This Row],[CollectionStream_ID]]="03",TransTonsShort[[#This Row],[CollectionStream_ID]]="04",TransTonsShort[[#This Row],[CollectionStream_ID]]="13"),0,TransTonsShort[[#This Row],[Trans_Tons_All]]*TransTonsShort[[#This Row],[Disposal_Fee]])</f>
        <v>0</v>
      </c>
    </row>
    <row r="1388" spans="12:27" ht="15" x14ac:dyDescent="0.25">
      <c r="L1388" s="446" t="s">
        <v>875</v>
      </c>
      <c r="M1388" s="446">
        <v>4</v>
      </c>
      <c r="N1388" s="446">
        <v>2</v>
      </c>
      <c r="O1388" s="446" t="s">
        <v>712</v>
      </c>
      <c r="P1388" s="449" t="s">
        <v>744</v>
      </c>
      <c r="Q1388" s="449"/>
      <c r="R1388" s="449"/>
      <c r="S1388" s="449" t="s">
        <v>713</v>
      </c>
      <c r="T1388" s="449" t="s">
        <v>967</v>
      </c>
      <c r="U1388" s="452">
        <v>39155.673387973366</v>
      </c>
      <c r="V138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8" s="272">
        <f>IFERROR(SUMIFS(TransUnitCost[Miles],TransUnitCost[Grouping_ID],TransTonsShort[[#This Row],[Grouping_ID]],TransUnitCost[Transp_ID],TransTonsShort[[#This Row],[Transp_ID]])*TransTonsShort[[#This Row],[Trans_Tons_All]]/TransTonsShort[[#This Row],[Trans_Tons_All]],"")</f>
        <v>0</v>
      </c>
      <c r="X1388" s="386" t="str">
        <f>TransTonsShort[[#This Row],[Grouping_ID]]&amp;"-"&amp;TransTonsShort[[#This Row],[Sector_ID]]</f>
        <v>4-2</v>
      </c>
      <c r="Y13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88" s="421">
        <f>INDEX(LandfillFees[Disposal Tip Fee 2025],MATCH(TransTonsShort[[#This Row],[Grouping_ID]],LandfillFees[Grouping_ID],0))</f>
        <v>72.030938699729589</v>
      </c>
      <c r="AA1388" s="102">
        <f>IF(OR(TransTonsShort[[#This Row],[CollectionStream_ID]]="03",TransTonsShort[[#This Row],[CollectionStream_ID]]="04",TransTonsShort[[#This Row],[CollectionStream_ID]]="13"),0,TransTonsShort[[#This Row],[Trans_Tons_All]]*TransTonsShort[[#This Row],[Disposal_Fee]])</f>
        <v>0</v>
      </c>
    </row>
    <row r="1389" spans="12:27" ht="15" x14ac:dyDescent="0.25">
      <c r="L1389" s="446" t="s">
        <v>875</v>
      </c>
      <c r="M1389" s="446">
        <v>4</v>
      </c>
      <c r="N1389" s="446">
        <v>2</v>
      </c>
      <c r="O1389" s="446" t="s">
        <v>719</v>
      </c>
      <c r="P1389" s="449" t="s">
        <v>744</v>
      </c>
      <c r="Q1389" s="449"/>
      <c r="R1389" s="449"/>
      <c r="S1389" s="449" t="s">
        <v>720</v>
      </c>
      <c r="T1389" s="449" t="s">
        <v>967</v>
      </c>
      <c r="U1389" s="452">
        <v>0.52265282121438028</v>
      </c>
      <c r="V138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89" s="272">
        <f>IFERROR(SUMIFS(TransUnitCost[Miles],TransUnitCost[Grouping_ID],TransTonsShort[[#This Row],[Grouping_ID]],TransUnitCost[Transp_ID],TransTonsShort[[#This Row],[Transp_ID]])*TransTonsShort[[#This Row],[Trans_Tons_All]]/TransTonsShort[[#This Row],[Trans_Tons_All]],"")</f>
        <v>0</v>
      </c>
      <c r="X1389" s="386" t="str">
        <f>TransTonsShort[[#This Row],[Grouping_ID]]&amp;"-"&amp;TransTonsShort[[#This Row],[Sector_ID]]</f>
        <v>4-2</v>
      </c>
      <c r="Y13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89" s="421">
        <f>INDEX(LandfillFees[Disposal Tip Fee 2025],MATCH(TransTonsShort[[#This Row],[Grouping_ID]],LandfillFees[Grouping_ID],0))</f>
        <v>72.030938699729589</v>
      </c>
      <c r="AA1389" s="102">
        <f>IF(OR(TransTonsShort[[#This Row],[CollectionStream_ID]]="03",TransTonsShort[[#This Row],[CollectionStream_ID]]="04",TransTonsShort[[#This Row],[CollectionStream_ID]]="13"),0,TransTonsShort[[#This Row],[Trans_Tons_All]]*TransTonsShort[[#This Row],[Disposal_Fee]])</f>
        <v>0</v>
      </c>
    </row>
    <row r="1390" spans="12:27" ht="15" x14ac:dyDescent="0.25">
      <c r="L1390" s="446" t="s">
        <v>875</v>
      </c>
      <c r="M1390" s="446">
        <v>4</v>
      </c>
      <c r="N1390" s="446">
        <v>2</v>
      </c>
      <c r="O1390" s="446" t="s">
        <v>754</v>
      </c>
      <c r="P1390" s="449" t="s">
        <v>744</v>
      </c>
      <c r="Q1390" s="449"/>
      <c r="R1390" s="449"/>
      <c r="S1390" s="449" t="s">
        <v>1991</v>
      </c>
      <c r="T1390" s="449" t="s">
        <v>967</v>
      </c>
      <c r="U1390" s="452">
        <v>80.450079532787527</v>
      </c>
      <c r="V139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0" s="272">
        <f>IFERROR(SUMIFS(TransUnitCost[Miles],TransUnitCost[Grouping_ID],TransTonsShort[[#This Row],[Grouping_ID]],TransUnitCost[Transp_ID],TransTonsShort[[#This Row],[Transp_ID]])*TransTonsShort[[#This Row],[Trans_Tons_All]]/TransTonsShort[[#This Row],[Trans_Tons_All]],"")</f>
        <v>0</v>
      </c>
      <c r="X1390" s="386" t="str">
        <f>TransTonsShort[[#This Row],[Grouping_ID]]&amp;"-"&amp;TransTonsShort[[#This Row],[Sector_ID]]</f>
        <v>4-2</v>
      </c>
      <c r="Y13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90" s="421">
        <f>INDEX(LandfillFees[Disposal Tip Fee 2025],MATCH(TransTonsShort[[#This Row],[Grouping_ID]],LandfillFees[Grouping_ID],0))</f>
        <v>72.030938699729589</v>
      </c>
      <c r="AA1390" s="102">
        <f>IF(OR(TransTonsShort[[#This Row],[CollectionStream_ID]]="03",TransTonsShort[[#This Row],[CollectionStream_ID]]="04",TransTonsShort[[#This Row],[CollectionStream_ID]]="13"),0,TransTonsShort[[#This Row],[Trans_Tons_All]]*TransTonsShort[[#This Row],[Disposal_Fee]])</f>
        <v>0</v>
      </c>
    </row>
    <row r="1391" spans="12:27" ht="15" x14ac:dyDescent="0.25">
      <c r="L1391" s="446" t="s">
        <v>875</v>
      </c>
      <c r="M1391" s="446">
        <v>4</v>
      </c>
      <c r="N1391" s="446">
        <v>3</v>
      </c>
      <c r="O1391" s="446" t="s">
        <v>712</v>
      </c>
      <c r="P1391" s="449" t="s">
        <v>744</v>
      </c>
      <c r="Q1391" s="449"/>
      <c r="R1391" s="449"/>
      <c r="S1391" s="449" t="s">
        <v>713</v>
      </c>
      <c r="T1391" s="449" t="s">
        <v>967</v>
      </c>
      <c r="U1391" s="452">
        <v>132897.6284946996</v>
      </c>
      <c r="V139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1" s="272">
        <f>IFERROR(SUMIFS(TransUnitCost[Miles],TransUnitCost[Grouping_ID],TransTonsShort[[#This Row],[Grouping_ID]],TransUnitCost[Transp_ID],TransTonsShort[[#This Row],[Transp_ID]])*TransTonsShort[[#This Row],[Trans_Tons_All]]/TransTonsShort[[#This Row],[Trans_Tons_All]],"")</f>
        <v>0</v>
      </c>
      <c r="X1391" s="386" t="str">
        <f>TransTonsShort[[#This Row],[Grouping_ID]]&amp;"-"&amp;TransTonsShort[[#This Row],[Sector_ID]]</f>
        <v>4-3</v>
      </c>
      <c r="Y13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91" s="421">
        <f>INDEX(LandfillFees[Disposal Tip Fee 2025],MATCH(TransTonsShort[[#This Row],[Grouping_ID]],LandfillFees[Grouping_ID],0))</f>
        <v>72.030938699729589</v>
      </c>
      <c r="AA1391" s="102">
        <f>IF(OR(TransTonsShort[[#This Row],[CollectionStream_ID]]="03",TransTonsShort[[#This Row],[CollectionStream_ID]]="04",TransTonsShort[[#This Row],[CollectionStream_ID]]="13"),0,TransTonsShort[[#This Row],[Trans_Tons_All]]*TransTonsShort[[#This Row],[Disposal_Fee]])</f>
        <v>0</v>
      </c>
    </row>
    <row r="1392" spans="12:27" ht="15" x14ac:dyDescent="0.25">
      <c r="L1392" s="446" t="s">
        <v>875</v>
      </c>
      <c r="M1392" s="446">
        <v>4</v>
      </c>
      <c r="N1392" s="446">
        <v>3</v>
      </c>
      <c r="O1392" s="446" t="s">
        <v>719</v>
      </c>
      <c r="P1392" s="449" t="s">
        <v>744</v>
      </c>
      <c r="Q1392" s="449"/>
      <c r="R1392" s="449"/>
      <c r="S1392" s="449" t="s">
        <v>720</v>
      </c>
      <c r="T1392" s="449" t="s">
        <v>967</v>
      </c>
      <c r="U1392" s="452">
        <v>5443.1244494308885</v>
      </c>
      <c r="V139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2" s="272">
        <f>IFERROR(SUMIFS(TransUnitCost[Miles],TransUnitCost[Grouping_ID],TransTonsShort[[#This Row],[Grouping_ID]],TransUnitCost[Transp_ID],TransTonsShort[[#This Row],[Transp_ID]])*TransTonsShort[[#This Row],[Trans_Tons_All]]/TransTonsShort[[#This Row],[Trans_Tons_All]],"")</f>
        <v>0</v>
      </c>
      <c r="X1392" s="386" t="str">
        <f>TransTonsShort[[#This Row],[Grouping_ID]]&amp;"-"&amp;TransTonsShort[[#This Row],[Sector_ID]]</f>
        <v>4-3</v>
      </c>
      <c r="Y13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92" s="421">
        <f>INDEX(LandfillFees[Disposal Tip Fee 2025],MATCH(TransTonsShort[[#This Row],[Grouping_ID]],LandfillFees[Grouping_ID],0))</f>
        <v>72.030938699729589</v>
      </c>
      <c r="AA1392" s="102">
        <f>IF(OR(TransTonsShort[[#This Row],[CollectionStream_ID]]="03",TransTonsShort[[#This Row],[CollectionStream_ID]]="04",TransTonsShort[[#This Row],[CollectionStream_ID]]="13"),0,TransTonsShort[[#This Row],[Trans_Tons_All]]*TransTonsShort[[#This Row],[Disposal_Fee]])</f>
        <v>0</v>
      </c>
    </row>
    <row r="1393" spans="12:27" ht="15" x14ac:dyDescent="0.25">
      <c r="L1393" s="446" t="s">
        <v>875</v>
      </c>
      <c r="M1393" s="446">
        <v>4</v>
      </c>
      <c r="N1393" s="446">
        <v>3</v>
      </c>
      <c r="O1393" s="446" t="s">
        <v>754</v>
      </c>
      <c r="P1393" s="449" t="s">
        <v>744</v>
      </c>
      <c r="Q1393" s="449"/>
      <c r="R1393" s="449"/>
      <c r="S1393" s="449" t="s">
        <v>1991</v>
      </c>
      <c r="T1393" s="449" t="s">
        <v>967</v>
      </c>
      <c r="U1393" s="452">
        <v>42.886103670660546</v>
      </c>
      <c r="V139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3" s="272">
        <f>IFERROR(SUMIFS(TransUnitCost[Miles],TransUnitCost[Grouping_ID],TransTonsShort[[#This Row],[Grouping_ID]],TransUnitCost[Transp_ID],TransTonsShort[[#This Row],[Transp_ID]])*TransTonsShort[[#This Row],[Trans_Tons_All]]/TransTonsShort[[#This Row],[Trans_Tons_All]],"")</f>
        <v>0</v>
      </c>
      <c r="X1393" s="386" t="str">
        <f>TransTonsShort[[#This Row],[Grouping_ID]]&amp;"-"&amp;TransTonsShort[[#This Row],[Sector_ID]]</f>
        <v>4-3</v>
      </c>
      <c r="Y13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93" s="421">
        <f>INDEX(LandfillFees[Disposal Tip Fee 2025],MATCH(TransTonsShort[[#This Row],[Grouping_ID]],LandfillFees[Grouping_ID],0))</f>
        <v>72.030938699729589</v>
      </c>
      <c r="AA1393" s="102">
        <f>IF(OR(TransTonsShort[[#This Row],[CollectionStream_ID]]="03",TransTonsShort[[#This Row],[CollectionStream_ID]]="04",TransTonsShort[[#This Row],[CollectionStream_ID]]="13"),0,TransTonsShort[[#This Row],[Trans_Tons_All]]*TransTonsShort[[#This Row],[Disposal_Fee]])</f>
        <v>0</v>
      </c>
    </row>
    <row r="1394" spans="12:27" ht="15" x14ac:dyDescent="0.25">
      <c r="L1394" s="446" t="s">
        <v>875</v>
      </c>
      <c r="M1394" s="446">
        <v>4</v>
      </c>
      <c r="N1394" s="446">
        <v>4</v>
      </c>
      <c r="O1394" s="446" t="s">
        <v>712</v>
      </c>
      <c r="P1394" s="449" t="s">
        <v>744</v>
      </c>
      <c r="Q1394" s="449"/>
      <c r="R1394" s="449"/>
      <c r="S1394" s="449" t="s">
        <v>713</v>
      </c>
      <c r="T1394" s="449" t="s">
        <v>967</v>
      </c>
      <c r="U1394" s="452">
        <v>90315.999432660581</v>
      </c>
      <c r="V139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4" s="272">
        <f>IFERROR(SUMIFS(TransUnitCost[Miles],TransUnitCost[Grouping_ID],TransTonsShort[[#This Row],[Grouping_ID]],TransUnitCost[Transp_ID],TransTonsShort[[#This Row],[Transp_ID]])*TransTonsShort[[#This Row],[Trans_Tons_All]]/TransTonsShort[[#This Row],[Trans_Tons_All]],"")</f>
        <v>0</v>
      </c>
      <c r="X1394" s="386" t="str">
        <f>TransTonsShort[[#This Row],[Grouping_ID]]&amp;"-"&amp;TransTonsShort[[#This Row],[Sector_ID]]</f>
        <v>4-4</v>
      </c>
      <c r="Y13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94" s="421">
        <f>INDEX(LandfillFees[Disposal Tip Fee 2025],MATCH(TransTonsShort[[#This Row],[Grouping_ID]],LandfillFees[Grouping_ID],0))</f>
        <v>72.030938699729589</v>
      </c>
      <c r="AA1394" s="102">
        <f>IF(OR(TransTonsShort[[#This Row],[CollectionStream_ID]]="03",TransTonsShort[[#This Row],[CollectionStream_ID]]="04",TransTonsShort[[#This Row],[CollectionStream_ID]]="13"),0,TransTonsShort[[#This Row],[Trans_Tons_All]]*TransTonsShort[[#This Row],[Disposal_Fee]])</f>
        <v>0</v>
      </c>
    </row>
    <row r="1395" spans="12:27" ht="15" x14ac:dyDescent="0.25">
      <c r="L1395" s="446" t="s">
        <v>875</v>
      </c>
      <c r="M1395" s="446">
        <v>4</v>
      </c>
      <c r="N1395" s="446">
        <v>4</v>
      </c>
      <c r="O1395" s="446" t="s">
        <v>719</v>
      </c>
      <c r="P1395" s="449" t="s">
        <v>744</v>
      </c>
      <c r="Q1395" s="449"/>
      <c r="R1395" s="449"/>
      <c r="S1395" s="449" t="s">
        <v>720</v>
      </c>
      <c r="T1395" s="449" t="s">
        <v>967</v>
      </c>
      <c r="U1395" s="452">
        <v>21209.540696132946</v>
      </c>
      <c r="V139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5" s="272">
        <f>IFERROR(SUMIFS(TransUnitCost[Miles],TransUnitCost[Grouping_ID],TransTonsShort[[#This Row],[Grouping_ID]],TransUnitCost[Transp_ID],TransTonsShort[[#This Row],[Transp_ID]])*TransTonsShort[[#This Row],[Trans_Tons_All]]/TransTonsShort[[#This Row],[Trans_Tons_All]],"")</f>
        <v>0</v>
      </c>
      <c r="X1395" s="386" t="str">
        <f>TransTonsShort[[#This Row],[Grouping_ID]]&amp;"-"&amp;TransTonsShort[[#This Row],[Sector_ID]]</f>
        <v>4-4</v>
      </c>
      <c r="Y13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395" s="421">
        <f>INDEX(LandfillFees[Disposal Tip Fee 2025],MATCH(TransTonsShort[[#This Row],[Grouping_ID]],LandfillFees[Grouping_ID],0))</f>
        <v>72.030938699729589</v>
      </c>
      <c r="AA1395" s="102">
        <f>IF(OR(TransTonsShort[[#This Row],[CollectionStream_ID]]="03",TransTonsShort[[#This Row],[CollectionStream_ID]]="04",TransTonsShort[[#This Row],[CollectionStream_ID]]="13"),0,TransTonsShort[[#This Row],[Trans_Tons_All]]*TransTonsShort[[#This Row],[Disposal_Fee]])</f>
        <v>0</v>
      </c>
    </row>
    <row r="1396" spans="12:27" ht="15" x14ac:dyDescent="0.25">
      <c r="L1396" s="446" t="s">
        <v>875</v>
      </c>
      <c r="M1396" s="446">
        <v>4</v>
      </c>
      <c r="N1396" s="446">
        <v>4</v>
      </c>
      <c r="O1396" s="446" t="s">
        <v>754</v>
      </c>
      <c r="P1396" s="449" t="s">
        <v>744</v>
      </c>
      <c r="Q1396" s="449"/>
      <c r="R1396" s="449"/>
      <c r="S1396" s="449" t="s">
        <v>1991</v>
      </c>
      <c r="T1396" s="449" t="s">
        <v>967</v>
      </c>
      <c r="U1396" s="452">
        <v>5743.800939331295</v>
      </c>
      <c r="V139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6" s="272">
        <f>IFERROR(SUMIFS(TransUnitCost[Miles],TransUnitCost[Grouping_ID],TransTonsShort[[#This Row],[Grouping_ID]],TransUnitCost[Transp_ID],TransTonsShort[[#This Row],[Transp_ID]])*TransTonsShort[[#This Row],[Trans_Tons_All]]/TransTonsShort[[#This Row],[Trans_Tons_All]],"")</f>
        <v>0</v>
      </c>
      <c r="X1396" s="386" t="str">
        <f>TransTonsShort[[#This Row],[Grouping_ID]]&amp;"-"&amp;TransTonsShort[[#This Row],[Sector_ID]]</f>
        <v>4-4</v>
      </c>
      <c r="Y13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96" s="421">
        <f>INDEX(LandfillFees[Disposal Tip Fee 2025],MATCH(TransTonsShort[[#This Row],[Grouping_ID]],LandfillFees[Grouping_ID],0))</f>
        <v>72.030938699729589</v>
      </c>
      <c r="AA1396" s="102">
        <f>IF(OR(TransTonsShort[[#This Row],[CollectionStream_ID]]="03",TransTonsShort[[#This Row],[CollectionStream_ID]]="04",TransTonsShort[[#This Row],[CollectionStream_ID]]="13"),0,TransTonsShort[[#This Row],[Trans_Tons_All]]*TransTonsShort[[#This Row],[Disposal_Fee]])</f>
        <v>0</v>
      </c>
    </row>
    <row r="1397" spans="12:27" ht="15" x14ac:dyDescent="0.25">
      <c r="L1397" s="446" t="s">
        <v>875</v>
      </c>
      <c r="M1397" s="446">
        <v>4</v>
      </c>
      <c r="N1397" s="446">
        <v>5</v>
      </c>
      <c r="O1397" s="446" t="s">
        <v>754</v>
      </c>
      <c r="P1397" s="449" t="s">
        <v>744</v>
      </c>
      <c r="Q1397" s="449"/>
      <c r="R1397" s="449"/>
      <c r="S1397" s="449" t="s">
        <v>1991</v>
      </c>
      <c r="T1397" s="449" t="s">
        <v>967</v>
      </c>
      <c r="U1397" s="452">
        <v>53906.212649540714</v>
      </c>
      <c r="V139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7" s="272">
        <f>IFERROR(SUMIFS(TransUnitCost[Miles],TransUnitCost[Grouping_ID],TransTonsShort[[#This Row],[Grouping_ID]],TransUnitCost[Transp_ID],TransTonsShort[[#This Row],[Transp_ID]])*TransTonsShort[[#This Row],[Trans_Tons_All]]/TransTonsShort[[#This Row],[Trans_Tons_All]],"")</f>
        <v>0</v>
      </c>
      <c r="X1397" s="386" t="str">
        <f>TransTonsShort[[#This Row],[Grouping_ID]]&amp;"-"&amp;TransTonsShort[[#This Row],[Sector_ID]]</f>
        <v>4-5</v>
      </c>
      <c r="Y13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97" s="421">
        <f>INDEX(LandfillFees[Disposal Tip Fee 2025],MATCH(TransTonsShort[[#This Row],[Grouping_ID]],LandfillFees[Grouping_ID],0))</f>
        <v>72.030938699729589</v>
      </c>
      <c r="AA1397" s="102">
        <f>IF(OR(TransTonsShort[[#This Row],[CollectionStream_ID]]="03",TransTonsShort[[#This Row],[CollectionStream_ID]]="04",TransTonsShort[[#This Row],[CollectionStream_ID]]="13"),0,TransTonsShort[[#This Row],[Trans_Tons_All]]*TransTonsShort[[#This Row],[Disposal_Fee]])</f>
        <v>0</v>
      </c>
    </row>
    <row r="1398" spans="12:27" ht="15" x14ac:dyDescent="0.25">
      <c r="L1398" s="446" t="s">
        <v>875</v>
      </c>
      <c r="M1398" s="446">
        <v>4</v>
      </c>
      <c r="N1398" s="446">
        <v>6</v>
      </c>
      <c r="O1398" s="446" t="s">
        <v>754</v>
      </c>
      <c r="P1398" s="449" t="s">
        <v>744</v>
      </c>
      <c r="Q1398" s="449"/>
      <c r="R1398" s="449"/>
      <c r="S1398" s="449" t="s">
        <v>1991</v>
      </c>
      <c r="T1398" s="449" t="s">
        <v>967</v>
      </c>
      <c r="U1398" s="452">
        <v>12603.943863547724</v>
      </c>
      <c r="V139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8" s="272">
        <f>IFERROR(SUMIFS(TransUnitCost[Miles],TransUnitCost[Grouping_ID],TransTonsShort[[#This Row],[Grouping_ID]],TransUnitCost[Transp_ID],TransTonsShort[[#This Row],[Transp_ID]])*TransTonsShort[[#This Row],[Trans_Tons_All]]/TransTonsShort[[#This Row],[Trans_Tons_All]],"")</f>
        <v>0</v>
      </c>
      <c r="X1398" s="386" t="str">
        <f>TransTonsShort[[#This Row],[Grouping_ID]]&amp;"-"&amp;TransTonsShort[[#This Row],[Sector_ID]]</f>
        <v>4-6</v>
      </c>
      <c r="Y13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398" s="421">
        <f>INDEX(LandfillFees[Disposal Tip Fee 2025],MATCH(TransTonsShort[[#This Row],[Grouping_ID]],LandfillFees[Grouping_ID],0))</f>
        <v>72.030938699729589</v>
      </c>
      <c r="AA1398" s="102">
        <f>IF(OR(TransTonsShort[[#This Row],[CollectionStream_ID]]="03",TransTonsShort[[#This Row],[CollectionStream_ID]]="04",TransTonsShort[[#This Row],[CollectionStream_ID]]="13"),0,TransTonsShort[[#This Row],[Trans_Tons_All]]*TransTonsShort[[#This Row],[Disposal_Fee]])</f>
        <v>0</v>
      </c>
    </row>
    <row r="1399" spans="12:27" ht="15" x14ac:dyDescent="0.25">
      <c r="L1399" s="446" t="s">
        <v>874</v>
      </c>
      <c r="M1399" s="446">
        <v>1</v>
      </c>
      <c r="N1399" s="446">
        <v>1</v>
      </c>
      <c r="O1399" s="446" t="s">
        <v>712</v>
      </c>
      <c r="P1399" s="449" t="s">
        <v>744</v>
      </c>
      <c r="Q1399" s="449"/>
      <c r="R1399" s="449"/>
      <c r="S1399" s="449" t="s">
        <v>713</v>
      </c>
      <c r="T1399" s="449" t="s">
        <v>967</v>
      </c>
      <c r="U1399" s="452">
        <v>273658.45098239824</v>
      </c>
      <c r="V139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399" s="272">
        <f>IFERROR(SUMIFS(TransUnitCost[Miles],TransUnitCost[Grouping_ID],TransTonsShort[[#This Row],[Grouping_ID]],TransUnitCost[Transp_ID],TransTonsShort[[#This Row],[Transp_ID]])*TransTonsShort[[#This Row],[Trans_Tons_All]]/TransTonsShort[[#This Row],[Trans_Tons_All]],"")</f>
        <v>0</v>
      </c>
      <c r="X1399" s="386" t="str">
        <f>TransTonsShort[[#This Row],[Grouping_ID]]&amp;"-"&amp;TransTonsShort[[#This Row],[Sector_ID]]</f>
        <v>1-1</v>
      </c>
      <c r="Y13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399" s="421">
        <f>INDEX(LandfillFees[Disposal Tip Fee 2025],MATCH(TransTonsShort[[#This Row],[Grouping_ID]],LandfillFees[Grouping_ID],0))</f>
        <v>134.68</v>
      </c>
      <c r="AA1399" s="102">
        <f>IF(OR(TransTonsShort[[#This Row],[CollectionStream_ID]]="03",TransTonsShort[[#This Row],[CollectionStream_ID]]="04",TransTonsShort[[#This Row],[CollectionStream_ID]]="13"),0,TransTonsShort[[#This Row],[Trans_Tons_All]]*TransTonsShort[[#This Row],[Disposal_Fee]])</f>
        <v>0</v>
      </c>
    </row>
    <row r="1400" spans="12:27" ht="15" x14ac:dyDescent="0.25">
      <c r="L1400" s="446" t="s">
        <v>874</v>
      </c>
      <c r="M1400" s="446">
        <v>1</v>
      </c>
      <c r="N1400" s="446">
        <v>1</v>
      </c>
      <c r="O1400" s="446" t="s">
        <v>719</v>
      </c>
      <c r="P1400" s="449" t="s">
        <v>744</v>
      </c>
      <c r="Q1400" s="449"/>
      <c r="R1400" s="449"/>
      <c r="S1400" s="449" t="s">
        <v>720</v>
      </c>
      <c r="T1400" s="449" t="s">
        <v>967</v>
      </c>
      <c r="U1400" s="452">
        <v>144781.32652718961</v>
      </c>
      <c r="V140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0" s="272">
        <f>IFERROR(SUMIFS(TransUnitCost[Miles],TransUnitCost[Grouping_ID],TransTonsShort[[#This Row],[Grouping_ID]],TransUnitCost[Transp_ID],TransTonsShort[[#This Row],[Transp_ID]])*TransTonsShort[[#This Row],[Trans_Tons_All]]/TransTonsShort[[#This Row],[Trans_Tons_All]],"")</f>
        <v>0</v>
      </c>
      <c r="X1400" s="386" t="str">
        <f>TransTonsShort[[#This Row],[Grouping_ID]]&amp;"-"&amp;TransTonsShort[[#This Row],[Sector_ID]]</f>
        <v>1-1</v>
      </c>
      <c r="Y14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00" s="421">
        <f>INDEX(LandfillFees[Disposal Tip Fee 2025],MATCH(TransTonsShort[[#This Row],[Grouping_ID]],LandfillFees[Grouping_ID],0))</f>
        <v>134.68</v>
      </c>
      <c r="AA1400" s="102">
        <f>IF(OR(TransTonsShort[[#This Row],[CollectionStream_ID]]="03",TransTonsShort[[#This Row],[CollectionStream_ID]]="04",TransTonsShort[[#This Row],[CollectionStream_ID]]="13"),0,TransTonsShort[[#This Row],[Trans_Tons_All]]*TransTonsShort[[#This Row],[Disposal_Fee]])</f>
        <v>0</v>
      </c>
    </row>
    <row r="1401" spans="12:27" ht="15" x14ac:dyDescent="0.25">
      <c r="L1401" s="446" t="s">
        <v>874</v>
      </c>
      <c r="M1401" s="446">
        <v>1</v>
      </c>
      <c r="N1401" s="446">
        <v>1</v>
      </c>
      <c r="O1401" s="446" t="s">
        <v>754</v>
      </c>
      <c r="P1401" s="449" t="s">
        <v>744</v>
      </c>
      <c r="Q1401" s="449"/>
      <c r="R1401" s="449"/>
      <c r="S1401" s="449" t="s">
        <v>1991</v>
      </c>
      <c r="T1401" s="449" t="s">
        <v>967</v>
      </c>
      <c r="U1401" s="452">
        <v>343.64376002431334</v>
      </c>
      <c r="V140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1" s="272">
        <f>IFERROR(SUMIFS(TransUnitCost[Miles],TransUnitCost[Grouping_ID],TransTonsShort[[#This Row],[Grouping_ID]],TransUnitCost[Transp_ID],TransTonsShort[[#This Row],[Transp_ID]])*TransTonsShort[[#This Row],[Trans_Tons_All]]/TransTonsShort[[#This Row],[Trans_Tons_All]],"")</f>
        <v>0</v>
      </c>
      <c r="X1401" s="386" t="str">
        <f>TransTonsShort[[#This Row],[Grouping_ID]]&amp;"-"&amp;TransTonsShort[[#This Row],[Sector_ID]]</f>
        <v>1-1</v>
      </c>
      <c r="Y14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01" s="421">
        <f>INDEX(LandfillFees[Disposal Tip Fee 2025],MATCH(TransTonsShort[[#This Row],[Grouping_ID]],LandfillFees[Grouping_ID],0))</f>
        <v>134.68</v>
      </c>
      <c r="AA1401" s="102">
        <f>IF(OR(TransTonsShort[[#This Row],[CollectionStream_ID]]="03",TransTonsShort[[#This Row],[CollectionStream_ID]]="04",TransTonsShort[[#This Row],[CollectionStream_ID]]="13"),0,TransTonsShort[[#This Row],[Trans_Tons_All]]*TransTonsShort[[#This Row],[Disposal_Fee]])</f>
        <v>0</v>
      </c>
    </row>
    <row r="1402" spans="12:27" ht="15" x14ac:dyDescent="0.25">
      <c r="L1402" s="446" t="s">
        <v>874</v>
      </c>
      <c r="M1402" s="446">
        <v>1</v>
      </c>
      <c r="N1402" s="446">
        <v>2</v>
      </c>
      <c r="O1402" s="446" t="s">
        <v>712</v>
      </c>
      <c r="P1402" s="449" t="s">
        <v>744</v>
      </c>
      <c r="Q1402" s="449"/>
      <c r="R1402" s="449"/>
      <c r="S1402" s="449" t="s">
        <v>713</v>
      </c>
      <c r="T1402" s="449" t="s">
        <v>967</v>
      </c>
      <c r="U1402" s="452">
        <v>115976.35625635512</v>
      </c>
      <c r="V140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2" s="272">
        <f>IFERROR(SUMIFS(TransUnitCost[Miles],TransUnitCost[Grouping_ID],TransTonsShort[[#This Row],[Grouping_ID]],TransUnitCost[Transp_ID],TransTonsShort[[#This Row],[Transp_ID]])*TransTonsShort[[#This Row],[Trans_Tons_All]]/TransTonsShort[[#This Row],[Trans_Tons_All]],"")</f>
        <v>0</v>
      </c>
      <c r="X1402" s="386" t="str">
        <f>TransTonsShort[[#This Row],[Grouping_ID]]&amp;"-"&amp;TransTonsShort[[#This Row],[Sector_ID]]</f>
        <v>1-2</v>
      </c>
      <c r="Y14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02" s="421">
        <f>INDEX(LandfillFees[Disposal Tip Fee 2025],MATCH(TransTonsShort[[#This Row],[Grouping_ID]],LandfillFees[Grouping_ID],0))</f>
        <v>134.68</v>
      </c>
      <c r="AA1402" s="102">
        <f>IF(OR(TransTonsShort[[#This Row],[CollectionStream_ID]]="03",TransTonsShort[[#This Row],[CollectionStream_ID]]="04",TransTonsShort[[#This Row],[CollectionStream_ID]]="13"),0,TransTonsShort[[#This Row],[Trans_Tons_All]]*TransTonsShort[[#This Row],[Disposal_Fee]])</f>
        <v>0</v>
      </c>
    </row>
    <row r="1403" spans="12:27" ht="15" x14ac:dyDescent="0.25">
      <c r="L1403" s="446" t="s">
        <v>874</v>
      </c>
      <c r="M1403" s="446">
        <v>1</v>
      </c>
      <c r="N1403" s="446">
        <v>2</v>
      </c>
      <c r="O1403" s="446" t="s">
        <v>719</v>
      </c>
      <c r="P1403" s="449" t="s">
        <v>744</v>
      </c>
      <c r="Q1403" s="449"/>
      <c r="R1403" s="449"/>
      <c r="S1403" s="449" t="s">
        <v>720</v>
      </c>
      <c r="T1403" s="449" t="s">
        <v>967</v>
      </c>
      <c r="U1403" s="452">
        <v>3180.8415117578074</v>
      </c>
      <c r="V140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3" s="272">
        <f>IFERROR(SUMIFS(TransUnitCost[Miles],TransUnitCost[Grouping_ID],TransTonsShort[[#This Row],[Grouping_ID]],TransUnitCost[Transp_ID],TransTonsShort[[#This Row],[Transp_ID]])*TransTonsShort[[#This Row],[Trans_Tons_All]]/TransTonsShort[[#This Row],[Trans_Tons_All]],"")</f>
        <v>0</v>
      </c>
      <c r="X1403" s="386" t="str">
        <f>TransTonsShort[[#This Row],[Grouping_ID]]&amp;"-"&amp;TransTonsShort[[#This Row],[Sector_ID]]</f>
        <v>1-2</v>
      </c>
      <c r="Y14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03" s="421">
        <f>INDEX(LandfillFees[Disposal Tip Fee 2025],MATCH(TransTonsShort[[#This Row],[Grouping_ID]],LandfillFees[Grouping_ID],0))</f>
        <v>134.68</v>
      </c>
      <c r="AA1403" s="102">
        <f>IF(OR(TransTonsShort[[#This Row],[CollectionStream_ID]]="03",TransTonsShort[[#This Row],[CollectionStream_ID]]="04",TransTonsShort[[#This Row],[CollectionStream_ID]]="13"),0,TransTonsShort[[#This Row],[Trans_Tons_All]]*TransTonsShort[[#This Row],[Disposal_Fee]])</f>
        <v>0</v>
      </c>
    </row>
    <row r="1404" spans="12:27" ht="15" x14ac:dyDescent="0.25">
      <c r="L1404" s="446" t="s">
        <v>874</v>
      </c>
      <c r="M1404" s="446">
        <v>1</v>
      </c>
      <c r="N1404" s="446">
        <v>2</v>
      </c>
      <c r="O1404" s="446" t="s">
        <v>754</v>
      </c>
      <c r="P1404" s="449" t="s">
        <v>744</v>
      </c>
      <c r="Q1404" s="449"/>
      <c r="R1404" s="449"/>
      <c r="S1404" s="449" t="s">
        <v>1991</v>
      </c>
      <c r="T1404" s="449" t="s">
        <v>967</v>
      </c>
      <c r="U1404" s="452">
        <v>0.84305151988863725</v>
      </c>
      <c r="V140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4" s="272">
        <f>IFERROR(SUMIFS(TransUnitCost[Miles],TransUnitCost[Grouping_ID],TransTonsShort[[#This Row],[Grouping_ID]],TransUnitCost[Transp_ID],TransTonsShort[[#This Row],[Transp_ID]])*TransTonsShort[[#This Row],[Trans_Tons_All]]/TransTonsShort[[#This Row],[Trans_Tons_All]],"")</f>
        <v>0</v>
      </c>
      <c r="X1404" s="386" t="str">
        <f>TransTonsShort[[#This Row],[Grouping_ID]]&amp;"-"&amp;TransTonsShort[[#This Row],[Sector_ID]]</f>
        <v>1-2</v>
      </c>
      <c r="Y14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04" s="421">
        <f>INDEX(LandfillFees[Disposal Tip Fee 2025],MATCH(TransTonsShort[[#This Row],[Grouping_ID]],LandfillFees[Grouping_ID],0))</f>
        <v>134.68</v>
      </c>
      <c r="AA1404" s="102">
        <f>IF(OR(TransTonsShort[[#This Row],[CollectionStream_ID]]="03",TransTonsShort[[#This Row],[CollectionStream_ID]]="04",TransTonsShort[[#This Row],[CollectionStream_ID]]="13"),0,TransTonsShort[[#This Row],[Trans_Tons_All]]*TransTonsShort[[#This Row],[Disposal_Fee]])</f>
        <v>0</v>
      </c>
    </row>
    <row r="1405" spans="12:27" ht="15" x14ac:dyDescent="0.25">
      <c r="L1405" s="446" t="s">
        <v>874</v>
      </c>
      <c r="M1405" s="446">
        <v>1</v>
      </c>
      <c r="N1405" s="446">
        <v>3</v>
      </c>
      <c r="O1405" s="446" t="s">
        <v>712</v>
      </c>
      <c r="P1405" s="449" t="s">
        <v>744</v>
      </c>
      <c r="Q1405" s="449"/>
      <c r="R1405" s="449"/>
      <c r="S1405" s="449" t="s">
        <v>713</v>
      </c>
      <c r="T1405" s="449" t="s">
        <v>967</v>
      </c>
      <c r="U1405" s="452">
        <v>403111.49575222039</v>
      </c>
      <c r="V140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5" s="272">
        <f>IFERROR(SUMIFS(TransUnitCost[Miles],TransUnitCost[Grouping_ID],TransTonsShort[[#This Row],[Grouping_ID]],TransUnitCost[Transp_ID],TransTonsShort[[#This Row],[Transp_ID]])*TransTonsShort[[#This Row],[Trans_Tons_All]]/TransTonsShort[[#This Row],[Trans_Tons_All]],"")</f>
        <v>0</v>
      </c>
      <c r="X1405" s="386" t="str">
        <f>TransTonsShort[[#This Row],[Grouping_ID]]&amp;"-"&amp;TransTonsShort[[#This Row],[Sector_ID]]</f>
        <v>1-3</v>
      </c>
      <c r="Y14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05" s="421">
        <f>INDEX(LandfillFees[Disposal Tip Fee 2025],MATCH(TransTonsShort[[#This Row],[Grouping_ID]],LandfillFees[Grouping_ID],0))</f>
        <v>134.68</v>
      </c>
      <c r="AA1405" s="102">
        <f>IF(OR(TransTonsShort[[#This Row],[CollectionStream_ID]]="03",TransTonsShort[[#This Row],[CollectionStream_ID]]="04",TransTonsShort[[#This Row],[CollectionStream_ID]]="13"),0,TransTonsShort[[#This Row],[Trans_Tons_All]]*TransTonsShort[[#This Row],[Disposal_Fee]])</f>
        <v>0</v>
      </c>
    </row>
    <row r="1406" spans="12:27" ht="15" x14ac:dyDescent="0.25">
      <c r="L1406" s="446" t="s">
        <v>874</v>
      </c>
      <c r="M1406" s="446">
        <v>1</v>
      </c>
      <c r="N1406" s="446">
        <v>3</v>
      </c>
      <c r="O1406" s="446" t="s">
        <v>719</v>
      </c>
      <c r="P1406" s="449" t="s">
        <v>744</v>
      </c>
      <c r="Q1406" s="449"/>
      <c r="R1406" s="449"/>
      <c r="S1406" s="449" t="s">
        <v>720</v>
      </c>
      <c r="T1406" s="449" t="s">
        <v>967</v>
      </c>
      <c r="U1406" s="452">
        <v>40366.685615916875</v>
      </c>
      <c r="V140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6" s="272">
        <f>IFERROR(SUMIFS(TransUnitCost[Miles],TransUnitCost[Grouping_ID],TransTonsShort[[#This Row],[Grouping_ID]],TransUnitCost[Transp_ID],TransTonsShort[[#This Row],[Transp_ID]])*TransTonsShort[[#This Row],[Trans_Tons_All]]/TransTonsShort[[#This Row],[Trans_Tons_All]],"")</f>
        <v>0</v>
      </c>
      <c r="X1406" s="386" t="str">
        <f>TransTonsShort[[#This Row],[Grouping_ID]]&amp;"-"&amp;TransTonsShort[[#This Row],[Sector_ID]]</f>
        <v>1-3</v>
      </c>
      <c r="Y14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06" s="421">
        <f>INDEX(LandfillFees[Disposal Tip Fee 2025],MATCH(TransTonsShort[[#This Row],[Grouping_ID]],LandfillFees[Grouping_ID],0))</f>
        <v>134.68</v>
      </c>
      <c r="AA1406" s="102">
        <f>IF(OR(TransTonsShort[[#This Row],[CollectionStream_ID]]="03",TransTonsShort[[#This Row],[CollectionStream_ID]]="04",TransTonsShort[[#This Row],[CollectionStream_ID]]="13"),0,TransTonsShort[[#This Row],[Trans_Tons_All]]*TransTonsShort[[#This Row],[Disposal_Fee]])</f>
        <v>0</v>
      </c>
    </row>
    <row r="1407" spans="12:27" ht="15" x14ac:dyDescent="0.25">
      <c r="L1407" s="446" t="s">
        <v>874</v>
      </c>
      <c r="M1407" s="446">
        <v>1</v>
      </c>
      <c r="N1407" s="446">
        <v>3</v>
      </c>
      <c r="O1407" s="446" t="s">
        <v>754</v>
      </c>
      <c r="P1407" s="449" t="s">
        <v>744</v>
      </c>
      <c r="Q1407" s="449"/>
      <c r="R1407" s="449"/>
      <c r="S1407" s="449" t="s">
        <v>1991</v>
      </c>
      <c r="T1407" s="449" t="s">
        <v>967</v>
      </c>
      <c r="U1407" s="452">
        <v>699.42953050571566</v>
      </c>
      <c r="V140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7" s="272">
        <f>IFERROR(SUMIFS(TransUnitCost[Miles],TransUnitCost[Grouping_ID],TransTonsShort[[#This Row],[Grouping_ID]],TransUnitCost[Transp_ID],TransTonsShort[[#This Row],[Transp_ID]])*TransTonsShort[[#This Row],[Trans_Tons_All]]/TransTonsShort[[#This Row],[Trans_Tons_All]],"")</f>
        <v>0</v>
      </c>
      <c r="X1407" s="386" t="str">
        <f>TransTonsShort[[#This Row],[Grouping_ID]]&amp;"-"&amp;TransTonsShort[[#This Row],[Sector_ID]]</f>
        <v>1-3</v>
      </c>
      <c r="Y14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07" s="421">
        <f>INDEX(LandfillFees[Disposal Tip Fee 2025],MATCH(TransTonsShort[[#This Row],[Grouping_ID]],LandfillFees[Grouping_ID],0))</f>
        <v>134.68</v>
      </c>
      <c r="AA1407" s="102">
        <f>IF(OR(TransTonsShort[[#This Row],[CollectionStream_ID]]="03",TransTonsShort[[#This Row],[CollectionStream_ID]]="04",TransTonsShort[[#This Row],[CollectionStream_ID]]="13"),0,TransTonsShort[[#This Row],[Trans_Tons_All]]*TransTonsShort[[#This Row],[Disposal_Fee]])</f>
        <v>0</v>
      </c>
    </row>
    <row r="1408" spans="12:27" ht="15" x14ac:dyDescent="0.25">
      <c r="L1408" s="446" t="s">
        <v>874</v>
      </c>
      <c r="M1408" s="446">
        <v>1</v>
      </c>
      <c r="N1408" s="446">
        <v>4</v>
      </c>
      <c r="O1408" s="446" t="s">
        <v>712</v>
      </c>
      <c r="P1408" s="449" t="s">
        <v>744</v>
      </c>
      <c r="Q1408" s="449"/>
      <c r="R1408" s="449"/>
      <c r="S1408" s="449" t="s">
        <v>713</v>
      </c>
      <c r="T1408" s="449" t="s">
        <v>967</v>
      </c>
      <c r="U1408" s="452">
        <v>150237.78824372627</v>
      </c>
      <c r="V140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8" s="272">
        <f>IFERROR(SUMIFS(TransUnitCost[Miles],TransUnitCost[Grouping_ID],TransTonsShort[[#This Row],[Grouping_ID]],TransUnitCost[Transp_ID],TransTonsShort[[#This Row],[Transp_ID]])*TransTonsShort[[#This Row],[Trans_Tons_All]]/TransTonsShort[[#This Row],[Trans_Tons_All]],"")</f>
        <v>0</v>
      </c>
      <c r="X1408" s="386" t="str">
        <f>TransTonsShort[[#This Row],[Grouping_ID]]&amp;"-"&amp;TransTonsShort[[#This Row],[Sector_ID]]</f>
        <v>1-4</v>
      </c>
      <c r="Y14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08" s="421">
        <f>INDEX(LandfillFees[Disposal Tip Fee 2025],MATCH(TransTonsShort[[#This Row],[Grouping_ID]],LandfillFees[Grouping_ID],0))</f>
        <v>134.68</v>
      </c>
      <c r="AA1408" s="102">
        <f>IF(OR(TransTonsShort[[#This Row],[CollectionStream_ID]]="03",TransTonsShort[[#This Row],[CollectionStream_ID]]="04",TransTonsShort[[#This Row],[CollectionStream_ID]]="13"),0,TransTonsShort[[#This Row],[Trans_Tons_All]]*TransTonsShort[[#This Row],[Disposal_Fee]])</f>
        <v>0</v>
      </c>
    </row>
    <row r="1409" spans="12:27" ht="15" x14ac:dyDescent="0.25">
      <c r="L1409" s="446" t="s">
        <v>874</v>
      </c>
      <c r="M1409" s="446">
        <v>1</v>
      </c>
      <c r="N1409" s="446">
        <v>4</v>
      </c>
      <c r="O1409" s="446" t="s">
        <v>719</v>
      </c>
      <c r="P1409" s="449" t="s">
        <v>744</v>
      </c>
      <c r="Q1409" s="449"/>
      <c r="R1409" s="449"/>
      <c r="S1409" s="449" t="s">
        <v>720</v>
      </c>
      <c r="T1409" s="449" t="s">
        <v>967</v>
      </c>
      <c r="U1409" s="452">
        <v>4803.1254415545491</v>
      </c>
      <c r="V140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09" s="272">
        <f>IFERROR(SUMIFS(TransUnitCost[Miles],TransUnitCost[Grouping_ID],TransTonsShort[[#This Row],[Grouping_ID]],TransUnitCost[Transp_ID],TransTonsShort[[#This Row],[Transp_ID]])*TransTonsShort[[#This Row],[Trans_Tons_All]]/TransTonsShort[[#This Row],[Trans_Tons_All]],"")</f>
        <v>0</v>
      </c>
      <c r="X1409" s="386" t="str">
        <f>TransTonsShort[[#This Row],[Grouping_ID]]&amp;"-"&amp;TransTonsShort[[#This Row],[Sector_ID]]</f>
        <v>1-4</v>
      </c>
      <c r="Y14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09" s="421">
        <f>INDEX(LandfillFees[Disposal Tip Fee 2025],MATCH(TransTonsShort[[#This Row],[Grouping_ID]],LandfillFees[Grouping_ID],0))</f>
        <v>134.68</v>
      </c>
      <c r="AA1409" s="102">
        <f>IF(OR(TransTonsShort[[#This Row],[CollectionStream_ID]]="03",TransTonsShort[[#This Row],[CollectionStream_ID]]="04",TransTonsShort[[#This Row],[CollectionStream_ID]]="13"),0,TransTonsShort[[#This Row],[Trans_Tons_All]]*TransTonsShort[[#This Row],[Disposal_Fee]])</f>
        <v>0</v>
      </c>
    </row>
    <row r="1410" spans="12:27" ht="15" x14ac:dyDescent="0.25">
      <c r="L1410" s="446" t="s">
        <v>874</v>
      </c>
      <c r="M1410" s="446">
        <v>1</v>
      </c>
      <c r="N1410" s="446">
        <v>4</v>
      </c>
      <c r="O1410" s="446" t="s">
        <v>754</v>
      </c>
      <c r="P1410" s="449" t="s">
        <v>744</v>
      </c>
      <c r="Q1410" s="449"/>
      <c r="R1410" s="449"/>
      <c r="S1410" s="449" t="s">
        <v>1991</v>
      </c>
      <c r="T1410" s="449" t="s">
        <v>967</v>
      </c>
      <c r="U1410" s="452">
        <v>1379.2262399911913</v>
      </c>
      <c r="V141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0" s="272">
        <f>IFERROR(SUMIFS(TransUnitCost[Miles],TransUnitCost[Grouping_ID],TransTonsShort[[#This Row],[Grouping_ID]],TransUnitCost[Transp_ID],TransTonsShort[[#This Row],[Transp_ID]])*TransTonsShort[[#This Row],[Trans_Tons_All]]/TransTonsShort[[#This Row],[Trans_Tons_All]],"")</f>
        <v>0</v>
      </c>
      <c r="X1410" s="386" t="str">
        <f>TransTonsShort[[#This Row],[Grouping_ID]]&amp;"-"&amp;TransTonsShort[[#This Row],[Sector_ID]]</f>
        <v>1-4</v>
      </c>
      <c r="Y14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10" s="421">
        <f>INDEX(LandfillFees[Disposal Tip Fee 2025],MATCH(TransTonsShort[[#This Row],[Grouping_ID]],LandfillFees[Grouping_ID],0))</f>
        <v>134.68</v>
      </c>
      <c r="AA1410" s="102">
        <f>IF(OR(TransTonsShort[[#This Row],[CollectionStream_ID]]="03",TransTonsShort[[#This Row],[CollectionStream_ID]]="04",TransTonsShort[[#This Row],[CollectionStream_ID]]="13"),0,TransTonsShort[[#This Row],[Trans_Tons_All]]*TransTonsShort[[#This Row],[Disposal_Fee]])</f>
        <v>0</v>
      </c>
    </row>
    <row r="1411" spans="12:27" ht="15" x14ac:dyDescent="0.25">
      <c r="L1411" s="446" t="s">
        <v>874</v>
      </c>
      <c r="M1411" s="446">
        <v>1</v>
      </c>
      <c r="N1411" s="446">
        <v>5</v>
      </c>
      <c r="O1411" s="446" t="s">
        <v>754</v>
      </c>
      <c r="P1411" s="450" t="s">
        <v>744</v>
      </c>
      <c r="Q1411" s="450"/>
      <c r="R1411" s="450"/>
      <c r="S1411" s="449" t="s">
        <v>1991</v>
      </c>
      <c r="T1411" s="449" t="s">
        <v>967</v>
      </c>
      <c r="U1411" s="452">
        <v>594846.89943546033</v>
      </c>
      <c r="V141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1" s="272">
        <f>IFERROR(SUMIFS(TransUnitCost[Miles],TransUnitCost[Grouping_ID],TransTonsShort[[#This Row],[Grouping_ID]],TransUnitCost[Transp_ID],TransTonsShort[[#This Row],[Transp_ID]])*TransTonsShort[[#This Row],[Trans_Tons_All]]/TransTonsShort[[#This Row],[Trans_Tons_All]],"")</f>
        <v>0</v>
      </c>
      <c r="X1411" s="386" t="str">
        <f>TransTonsShort[[#This Row],[Grouping_ID]]&amp;"-"&amp;TransTonsShort[[#This Row],[Sector_ID]]</f>
        <v>1-5</v>
      </c>
      <c r="Y14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11" s="421">
        <f>INDEX(LandfillFees[Disposal Tip Fee 2025],MATCH(TransTonsShort[[#This Row],[Grouping_ID]],LandfillFees[Grouping_ID],0))</f>
        <v>134.68</v>
      </c>
      <c r="AA1411" s="102">
        <f>IF(OR(TransTonsShort[[#This Row],[CollectionStream_ID]]="03",TransTonsShort[[#This Row],[CollectionStream_ID]]="04",TransTonsShort[[#This Row],[CollectionStream_ID]]="13"),0,TransTonsShort[[#This Row],[Trans_Tons_All]]*TransTonsShort[[#This Row],[Disposal_Fee]])</f>
        <v>0</v>
      </c>
    </row>
    <row r="1412" spans="12:27" ht="15" x14ac:dyDescent="0.25">
      <c r="L1412" s="446" t="s">
        <v>874</v>
      </c>
      <c r="M1412" s="446">
        <v>1</v>
      </c>
      <c r="N1412" s="446">
        <v>6</v>
      </c>
      <c r="O1412" s="446" t="s">
        <v>754</v>
      </c>
      <c r="P1412" s="450" t="s">
        <v>744</v>
      </c>
      <c r="Q1412" s="450"/>
      <c r="R1412" s="450"/>
      <c r="S1412" s="449" t="s">
        <v>1991</v>
      </c>
      <c r="T1412" s="449" t="s">
        <v>967</v>
      </c>
      <c r="U1412" s="452">
        <v>29911.9210262825</v>
      </c>
      <c r="V141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2" s="272">
        <f>IFERROR(SUMIFS(TransUnitCost[Miles],TransUnitCost[Grouping_ID],TransTonsShort[[#This Row],[Grouping_ID]],TransUnitCost[Transp_ID],TransTonsShort[[#This Row],[Transp_ID]])*TransTonsShort[[#This Row],[Trans_Tons_All]]/TransTonsShort[[#This Row],[Trans_Tons_All]],"")</f>
        <v>0</v>
      </c>
      <c r="X1412" s="386" t="str">
        <f>TransTonsShort[[#This Row],[Grouping_ID]]&amp;"-"&amp;TransTonsShort[[#This Row],[Sector_ID]]</f>
        <v>1-6</v>
      </c>
      <c r="Y14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12" s="421">
        <f>INDEX(LandfillFees[Disposal Tip Fee 2025],MATCH(TransTonsShort[[#This Row],[Grouping_ID]],LandfillFees[Grouping_ID],0))</f>
        <v>134.68</v>
      </c>
      <c r="AA1412" s="102">
        <f>IF(OR(TransTonsShort[[#This Row],[CollectionStream_ID]]="03",TransTonsShort[[#This Row],[CollectionStream_ID]]="04",TransTonsShort[[#This Row],[CollectionStream_ID]]="13"),0,TransTonsShort[[#This Row],[Trans_Tons_All]]*TransTonsShort[[#This Row],[Disposal_Fee]])</f>
        <v>0</v>
      </c>
    </row>
    <row r="1413" spans="12:27" ht="15" x14ac:dyDescent="0.25">
      <c r="L1413" s="446" t="s">
        <v>874</v>
      </c>
      <c r="M1413" s="446">
        <v>2</v>
      </c>
      <c r="N1413" s="446">
        <v>1</v>
      </c>
      <c r="O1413" s="446" t="s">
        <v>712</v>
      </c>
      <c r="P1413" s="450" t="s">
        <v>744</v>
      </c>
      <c r="Q1413" s="450"/>
      <c r="R1413" s="450"/>
      <c r="S1413" s="449" t="s">
        <v>713</v>
      </c>
      <c r="T1413" s="449" t="s">
        <v>967</v>
      </c>
      <c r="U1413" s="452">
        <v>232766.79103445815</v>
      </c>
      <c r="V141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3" s="272">
        <f>IFERROR(SUMIFS(TransUnitCost[Miles],TransUnitCost[Grouping_ID],TransTonsShort[[#This Row],[Grouping_ID]],TransUnitCost[Transp_ID],TransTonsShort[[#This Row],[Transp_ID]])*TransTonsShort[[#This Row],[Trans_Tons_All]]/TransTonsShort[[#This Row],[Trans_Tons_All]],"")</f>
        <v>0</v>
      </c>
      <c r="X1413" s="386" t="str">
        <f>TransTonsShort[[#This Row],[Grouping_ID]]&amp;"-"&amp;TransTonsShort[[#This Row],[Sector_ID]]</f>
        <v>2-1</v>
      </c>
      <c r="Y14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13" s="421">
        <f>INDEX(LandfillFees[Disposal Tip Fee 2025],MATCH(TransTonsShort[[#This Row],[Grouping_ID]],LandfillFees[Grouping_ID],0))</f>
        <v>72.030938699729589</v>
      </c>
      <c r="AA1413" s="102">
        <f>IF(OR(TransTonsShort[[#This Row],[CollectionStream_ID]]="03",TransTonsShort[[#This Row],[CollectionStream_ID]]="04",TransTonsShort[[#This Row],[CollectionStream_ID]]="13"),0,TransTonsShort[[#This Row],[Trans_Tons_All]]*TransTonsShort[[#This Row],[Disposal_Fee]])</f>
        <v>0</v>
      </c>
    </row>
    <row r="1414" spans="12:27" ht="15" x14ac:dyDescent="0.25">
      <c r="L1414" s="446" t="s">
        <v>874</v>
      </c>
      <c r="M1414" s="446">
        <v>2</v>
      </c>
      <c r="N1414" s="446">
        <v>1</v>
      </c>
      <c r="O1414" s="446" t="s">
        <v>719</v>
      </c>
      <c r="P1414" s="450" t="s">
        <v>744</v>
      </c>
      <c r="Q1414" s="450"/>
      <c r="R1414" s="450"/>
      <c r="S1414" s="449" t="s">
        <v>720</v>
      </c>
      <c r="T1414" s="449" t="s">
        <v>967</v>
      </c>
      <c r="U1414" s="452">
        <v>114198.59104574661</v>
      </c>
      <c r="V141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4" s="272">
        <f>IFERROR(SUMIFS(TransUnitCost[Miles],TransUnitCost[Grouping_ID],TransTonsShort[[#This Row],[Grouping_ID]],TransUnitCost[Transp_ID],TransTonsShort[[#This Row],[Transp_ID]])*TransTonsShort[[#This Row],[Trans_Tons_All]]/TransTonsShort[[#This Row],[Trans_Tons_All]],"")</f>
        <v>0</v>
      </c>
      <c r="X1414" s="386" t="str">
        <f>TransTonsShort[[#This Row],[Grouping_ID]]&amp;"-"&amp;TransTonsShort[[#This Row],[Sector_ID]]</f>
        <v>2-1</v>
      </c>
      <c r="Y14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14" s="421">
        <f>INDEX(LandfillFees[Disposal Tip Fee 2025],MATCH(TransTonsShort[[#This Row],[Grouping_ID]],LandfillFees[Grouping_ID],0))</f>
        <v>72.030938699729589</v>
      </c>
      <c r="AA1414" s="102">
        <f>IF(OR(TransTonsShort[[#This Row],[CollectionStream_ID]]="03",TransTonsShort[[#This Row],[CollectionStream_ID]]="04",TransTonsShort[[#This Row],[CollectionStream_ID]]="13"),0,TransTonsShort[[#This Row],[Trans_Tons_All]]*TransTonsShort[[#This Row],[Disposal_Fee]])</f>
        <v>0</v>
      </c>
    </row>
    <row r="1415" spans="12:27" ht="15" x14ac:dyDescent="0.25">
      <c r="L1415" s="446" t="s">
        <v>874</v>
      </c>
      <c r="M1415" s="446">
        <v>2</v>
      </c>
      <c r="N1415" s="446">
        <v>1</v>
      </c>
      <c r="O1415" s="446" t="s">
        <v>754</v>
      </c>
      <c r="P1415" s="449" t="s">
        <v>744</v>
      </c>
      <c r="Q1415" s="449"/>
      <c r="R1415" s="449"/>
      <c r="S1415" s="449" t="s">
        <v>1991</v>
      </c>
      <c r="T1415" s="449" t="s">
        <v>967</v>
      </c>
      <c r="U1415" s="452">
        <v>316.02729869964475</v>
      </c>
      <c r="V141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5" s="272">
        <f>IFERROR(SUMIFS(TransUnitCost[Miles],TransUnitCost[Grouping_ID],TransTonsShort[[#This Row],[Grouping_ID]],TransUnitCost[Transp_ID],TransTonsShort[[#This Row],[Transp_ID]])*TransTonsShort[[#This Row],[Trans_Tons_All]]/TransTonsShort[[#This Row],[Trans_Tons_All]],"")</f>
        <v>0</v>
      </c>
      <c r="X1415" s="386" t="str">
        <f>TransTonsShort[[#This Row],[Grouping_ID]]&amp;"-"&amp;TransTonsShort[[#This Row],[Sector_ID]]</f>
        <v>2-1</v>
      </c>
      <c r="Y14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15" s="421">
        <f>INDEX(LandfillFees[Disposal Tip Fee 2025],MATCH(TransTonsShort[[#This Row],[Grouping_ID]],LandfillFees[Grouping_ID],0))</f>
        <v>72.030938699729589</v>
      </c>
      <c r="AA1415" s="102">
        <f>IF(OR(TransTonsShort[[#This Row],[CollectionStream_ID]]="03",TransTonsShort[[#This Row],[CollectionStream_ID]]="04",TransTonsShort[[#This Row],[CollectionStream_ID]]="13"),0,TransTonsShort[[#This Row],[Trans_Tons_All]]*TransTonsShort[[#This Row],[Disposal_Fee]])</f>
        <v>0</v>
      </c>
    </row>
    <row r="1416" spans="12:27" ht="15" x14ac:dyDescent="0.25">
      <c r="L1416" s="446" t="s">
        <v>874</v>
      </c>
      <c r="M1416" s="446">
        <v>2</v>
      </c>
      <c r="N1416" s="446">
        <v>2</v>
      </c>
      <c r="O1416" s="446" t="s">
        <v>712</v>
      </c>
      <c r="P1416" s="449" t="s">
        <v>744</v>
      </c>
      <c r="Q1416" s="449"/>
      <c r="R1416" s="449"/>
      <c r="S1416" s="449" t="s">
        <v>713</v>
      </c>
      <c r="T1416" s="449" t="s">
        <v>967</v>
      </c>
      <c r="U1416" s="452">
        <v>85354.082230524524</v>
      </c>
      <c r="V141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6" s="272">
        <f>IFERROR(SUMIFS(TransUnitCost[Miles],TransUnitCost[Grouping_ID],TransTonsShort[[#This Row],[Grouping_ID]],TransUnitCost[Transp_ID],TransTonsShort[[#This Row],[Transp_ID]])*TransTonsShort[[#This Row],[Trans_Tons_All]]/TransTonsShort[[#This Row],[Trans_Tons_All]],"")</f>
        <v>0</v>
      </c>
      <c r="X1416" s="386" t="str">
        <f>TransTonsShort[[#This Row],[Grouping_ID]]&amp;"-"&amp;TransTonsShort[[#This Row],[Sector_ID]]</f>
        <v>2-2</v>
      </c>
      <c r="Y14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16" s="421">
        <f>INDEX(LandfillFees[Disposal Tip Fee 2025],MATCH(TransTonsShort[[#This Row],[Grouping_ID]],LandfillFees[Grouping_ID],0))</f>
        <v>72.030938699729589</v>
      </c>
      <c r="AA1416" s="102">
        <f>IF(OR(TransTonsShort[[#This Row],[CollectionStream_ID]]="03",TransTonsShort[[#This Row],[CollectionStream_ID]]="04",TransTonsShort[[#This Row],[CollectionStream_ID]]="13"),0,TransTonsShort[[#This Row],[Trans_Tons_All]]*TransTonsShort[[#This Row],[Disposal_Fee]])</f>
        <v>0</v>
      </c>
    </row>
    <row r="1417" spans="12:27" ht="15" x14ac:dyDescent="0.25">
      <c r="L1417" s="446" t="s">
        <v>874</v>
      </c>
      <c r="M1417" s="446">
        <v>2</v>
      </c>
      <c r="N1417" s="446">
        <v>2</v>
      </c>
      <c r="O1417" s="446" t="s">
        <v>719</v>
      </c>
      <c r="P1417" s="449" t="s">
        <v>744</v>
      </c>
      <c r="Q1417" s="449"/>
      <c r="R1417" s="449"/>
      <c r="S1417" s="449" t="s">
        <v>720</v>
      </c>
      <c r="T1417" s="449" t="s">
        <v>967</v>
      </c>
      <c r="U1417" s="452">
        <v>0</v>
      </c>
      <c r="V141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7" s="272" t="str">
        <f>IFERROR(SUMIFS(TransUnitCost[Miles],TransUnitCost[Grouping_ID],TransTonsShort[[#This Row],[Grouping_ID]],TransUnitCost[Transp_ID],TransTonsShort[[#This Row],[Transp_ID]])*TransTonsShort[[#This Row],[Trans_Tons_All]]/TransTonsShort[[#This Row],[Trans_Tons_All]],"")</f>
        <v/>
      </c>
      <c r="X1417" s="386" t="str">
        <f>TransTonsShort[[#This Row],[Grouping_ID]]&amp;"-"&amp;TransTonsShort[[#This Row],[Sector_ID]]</f>
        <v>2-2</v>
      </c>
      <c r="Y14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17" s="421">
        <f>INDEX(LandfillFees[Disposal Tip Fee 2025],MATCH(TransTonsShort[[#This Row],[Grouping_ID]],LandfillFees[Grouping_ID],0))</f>
        <v>72.030938699729589</v>
      </c>
      <c r="AA1417" s="102">
        <f>IF(OR(TransTonsShort[[#This Row],[CollectionStream_ID]]="03",TransTonsShort[[#This Row],[CollectionStream_ID]]="04",TransTonsShort[[#This Row],[CollectionStream_ID]]="13"),0,TransTonsShort[[#This Row],[Trans_Tons_All]]*TransTonsShort[[#This Row],[Disposal_Fee]])</f>
        <v>0</v>
      </c>
    </row>
    <row r="1418" spans="12:27" ht="15" x14ac:dyDescent="0.25">
      <c r="L1418" s="446" t="s">
        <v>874</v>
      </c>
      <c r="M1418" s="446">
        <v>2</v>
      </c>
      <c r="N1418" s="446">
        <v>2</v>
      </c>
      <c r="O1418" s="446" t="s">
        <v>754</v>
      </c>
      <c r="P1418" s="449" t="s">
        <v>744</v>
      </c>
      <c r="Q1418" s="449"/>
      <c r="R1418" s="449"/>
      <c r="S1418" s="449" t="s">
        <v>1991</v>
      </c>
      <c r="T1418" s="449" t="s">
        <v>967</v>
      </c>
      <c r="U1418" s="452">
        <v>0</v>
      </c>
      <c r="V141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8" s="272" t="str">
        <f>IFERROR(SUMIFS(TransUnitCost[Miles],TransUnitCost[Grouping_ID],TransTonsShort[[#This Row],[Grouping_ID]],TransUnitCost[Transp_ID],TransTonsShort[[#This Row],[Transp_ID]])*TransTonsShort[[#This Row],[Trans_Tons_All]]/TransTonsShort[[#This Row],[Trans_Tons_All]],"")</f>
        <v/>
      </c>
      <c r="X1418" s="386" t="str">
        <f>TransTonsShort[[#This Row],[Grouping_ID]]&amp;"-"&amp;TransTonsShort[[#This Row],[Sector_ID]]</f>
        <v>2-2</v>
      </c>
      <c r="Y14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18" s="421">
        <f>INDEX(LandfillFees[Disposal Tip Fee 2025],MATCH(TransTonsShort[[#This Row],[Grouping_ID]],LandfillFees[Grouping_ID],0))</f>
        <v>72.030938699729589</v>
      </c>
      <c r="AA1418" s="102">
        <f>IF(OR(TransTonsShort[[#This Row],[CollectionStream_ID]]="03",TransTonsShort[[#This Row],[CollectionStream_ID]]="04",TransTonsShort[[#This Row],[CollectionStream_ID]]="13"),0,TransTonsShort[[#This Row],[Trans_Tons_All]]*TransTonsShort[[#This Row],[Disposal_Fee]])</f>
        <v>0</v>
      </c>
    </row>
    <row r="1419" spans="12:27" ht="15" x14ac:dyDescent="0.25">
      <c r="L1419" s="446" t="s">
        <v>874</v>
      </c>
      <c r="M1419" s="446">
        <v>2</v>
      </c>
      <c r="N1419" s="446">
        <v>3</v>
      </c>
      <c r="O1419" s="446" t="s">
        <v>712</v>
      </c>
      <c r="P1419" s="449" t="s">
        <v>744</v>
      </c>
      <c r="Q1419" s="449"/>
      <c r="R1419" s="449"/>
      <c r="S1419" s="449" t="s">
        <v>713</v>
      </c>
      <c r="T1419" s="449" t="s">
        <v>967</v>
      </c>
      <c r="U1419" s="452">
        <v>305242.93716948526</v>
      </c>
      <c r="V141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19" s="272">
        <f>IFERROR(SUMIFS(TransUnitCost[Miles],TransUnitCost[Grouping_ID],TransTonsShort[[#This Row],[Grouping_ID]],TransUnitCost[Transp_ID],TransTonsShort[[#This Row],[Transp_ID]])*TransTonsShort[[#This Row],[Trans_Tons_All]]/TransTonsShort[[#This Row],[Trans_Tons_All]],"")</f>
        <v>0</v>
      </c>
      <c r="X1419" s="386" t="str">
        <f>TransTonsShort[[#This Row],[Grouping_ID]]&amp;"-"&amp;TransTonsShort[[#This Row],[Sector_ID]]</f>
        <v>2-3</v>
      </c>
      <c r="Y14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19" s="421">
        <f>INDEX(LandfillFees[Disposal Tip Fee 2025],MATCH(TransTonsShort[[#This Row],[Grouping_ID]],LandfillFees[Grouping_ID],0))</f>
        <v>72.030938699729589</v>
      </c>
      <c r="AA1419" s="102">
        <f>IF(OR(TransTonsShort[[#This Row],[CollectionStream_ID]]="03",TransTonsShort[[#This Row],[CollectionStream_ID]]="04",TransTonsShort[[#This Row],[CollectionStream_ID]]="13"),0,TransTonsShort[[#This Row],[Trans_Tons_All]]*TransTonsShort[[#This Row],[Disposal_Fee]])</f>
        <v>0</v>
      </c>
    </row>
    <row r="1420" spans="12:27" ht="15" x14ac:dyDescent="0.25">
      <c r="L1420" s="446" t="s">
        <v>874</v>
      </c>
      <c r="M1420" s="446">
        <v>2</v>
      </c>
      <c r="N1420" s="446">
        <v>3</v>
      </c>
      <c r="O1420" s="446" t="s">
        <v>719</v>
      </c>
      <c r="P1420" s="449" t="s">
        <v>744</v>
      </c>
      <c r="Q1420" s="449"/>
      <c r="R1420" s="449"/>
      <c r="S1420" s="449" t="s">
        <v>720</v>
      </c>
      <c r="T1420" s="449" t="s">
        <v>967</v>
      </c>
      <c r="U1420" s="452">
        <v>27604.286216393386</v>
      </c>
      <c r="V142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0" s="272">
        <f>IFERROR(SUMIFS(TransUnitCost[Miles],TransUnitCost[Grouping_ID],TransTonsShort[[#This Row],[Grouping_ID]],TransUnitCost[Transp_ID],TransTonsShort[[#This Row],[Transp_ID]])*TransTonsShort[[#This Row],[Trans_Tons_All]]/TransTonsShort[[#This Row],[Trans_Tons_All]],"")</f>
        <v>0</v>
      </c>
      <c r="X1420" s="386" t="str">
        <f>TransTonsShort[[#This Row],[Grouping_ID]]&amp;"-"&amp;TransTonsShort[[#This Row],[Sector_ID]]</f>
        <v>2-3</v>
      </c>
      <c r="Y14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20" s="421">
        <f>INDEX(LandfillFees[Disposal Tip Fee 2025],MATCH(TransTonsShort[[#This Row],[Grouping_ID]],LandfillFees[Grouping_ID],0))</f>
        <v>72.030938699729589</v>
      </c>
      <c r="AA1420" s="102">
        <f>IF(OR(TransTonsShort[[#This Row],[CollectionStream_ID]]="03",TransTonsShort[[#This Row],[CollectionStream_ID]]="04",TransTonsShort[[#This Row],[CollectionStream_ID]]="13"),0,TransTonsShort[[#This Row],[Trans_Tons_All]]*TransTonsShort[[#This Row],[Disposal_Fee]])</f>
        <v>0</v>
      </c>
    </row>
    <row r="1421" spans="12:27" ht="15" x14ac:dyDescent="0.25">
      <c r="L1421" s="446" t="s">
        <v>874</v>
      </c>
      <c r="M1421" s="446">
        <v>2</v>
      </c>
      <c r="N1421" s="446">
        <v>3</v>
      </c>
      <c r="O1421" s="446" t="s">
        <v>754</v>
      </c>
      <c r="P1421" s="449" t="s">
        <v>744</v>
      </c>
      <c r="Q1421" s="449"/>
      <c r="R1421" s="449"/>
      <c r="S1421" s="449" t="s">
        <v>1991</v>
      </c>
      <c r="T1421" s="449" t="s">
        <v>967</v>
      </c>
      <c r="U1421" s="452">
        <v>190.58148001798901</v>
      </c>
      <c r="V142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1" s="272">
        <f>IFERROR(SUMIFS(TransUnitCost[Miles],TransUnitCost[Grouping_ID],TransTonsShort[[#This Row],[Grouping_ID]],TransUnitCost[Transp_ID],TransTonsShort[[#This Row],[Transp_ID]])*TransTonsShort[[#This Row],[Trans_Tons_All]]/TransTonsShort[[#This Row],[Trans_Tons_All]],"")</f>
        <v>0</v>
      </c>
      <c r="X1421" s="386" t="str">
        <f>TransTonsShort[[#This Row],[Grouping_ID]]&amp;"-"&amp;TransTonsShort[[#This Row],[Sector_ID]]</f>
        <v>2-3</v>
      </c>
      <c r="Y14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21" s="421">
        <f>INDEX(LandfillFees[Disposal Tip Fee 2025],MATCH(TransTonsShort[[#This Row],[Grouping_ID]],LandfillFees[Grouping_ID],0))</f>
        <v>72.030938699729589</v>
      </c>
      <c r="AA1421" s="102">
        <f>IF(OR(TransTonsShort[[#This Row],[CollectionStream_ID]]="03",TransTonsShort[[#This Row],[CollectionStream_ID]]="04",TransTonsShort[[#This Row],[CollectionStream_ID]]="13"),0,TransTonsShort[[#This Row],[Trans_Tons_All]]*TransTonsShort[[#This Row],[Disposal_Fee]])</f>
        <v>0</v>
      </c>
    </row>
    <row r="1422" spans="12:27" ht="15" x14ac:dyDescent="0.25">
      <c r="L1422" s="446" t="s">
        <v>874</v>
      </c>
      <c r="M1422" s="446">
        <v>2</v>
      </c>
      <c r="N1422" s="446">
        <v>4</v>
      </c>
      <c r="O1422" s="446" t="s">
        <v>712</v>
      </c>
      <c r="P1422" s="449" t="s">
        <v>744</v>
      </c>
      <c r="Q1422" s="449"/>
      <c r="R1422" s="449"/>
      <c r="S1422" s="449" t="s">
        <v>713</v>
      </c>
      <c r="T1422" s="449" t="s">
        <v>967</v>
      </c>
      <c r="U1422" s="452">
        <v>172416.22231892723</v>
      </c>
      <c r="V142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2" s="272">
        <f>IFERROR(SUMIFS(TransUnitCost[Miles],TransUnitCost[Grouping_ID],TransTonsShort[[#This Row],[Grouping_ID]],TransUnitCost[Transp_ID],TransTonsShort[[#This Row],[Transp_ID]])*TransTonsShort[[#This Row],[Trans_Tons_All]]/TransTonsShort[[#This Row],[Trans_Tons_All]],"")</f>
        <v>0</v>
      </c>
      <c r="X1422" s="386" t="str">
        <f>TransTonsShort[[#This Row],[Grouping_ID]]&amp;"-"&amp;TransTonsShort[[#This Row],[Sector_ID]]</f>
        <v>2-4</v>
      </c>
      <c r="Y14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22" s="421">
        <f>INDEX(LandfillFees[Disposal Tip Fee 2025],MATCH(TransTonsShort[[#This Row],[Grouping_ID]],LandfillFees[Grouping_ID],0))</f>
        <v>72.030938699729589</v>
      </c>
      <c r="AA1422" s="102">
        <f>IF(OR(TransTonsShort[[#This Row],[CollectionStream_ID]]="03",TransTonsShort[[#This Row],[CollectionStream_ID]]="04",TransTonsShort[[#This Row],[CollectionStream_ID]]="13"),0,TransTonsShort[[#This Row],[Trans_Tons_All]]*TransTonsShort[[#This Row],[Disposal_Fee]])</f>
        <v>0</v>
      </c>
    </row>
    <row r="1423" spans="12:27" ht="15" x14ac:dyDescent="0.25">
      <c r="L1423" s="446" t="s">
        <v>874</v>
      </c>
      <c r="M1423" s="446">
        <v>2</v>
      </c>
      <c r="N1423" s="446">
        <v>4</v>
      </c>
      <c r="O1423" s="446" t="s">
        <v>719</v>
      </c>
      <c r="P1423" s="449" t="s">
        <v>744</v>
      </c>
      <c r="Q1423" s="449"/>
      <c r="R1423" s="449"/>
      <c r="S1423" s="449" t="s">
        <v>720</v>
      </c>
      <c r="T1423" s="449" t="s">
        <v>967</v>
      </c>
      <c r="U1423" s="452">
        <v>45356.201192529326</v>
      </c>
      <c r="V142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3" s="272">
        <f>IFERROR(SUMIFS(TransUnitCost[Miles],TransUnitCost[Grouping_ID],TransTonsShort[[#This Row],[Grouping_ID]],TransUnitCost[Transp_ID],TransTonsShort[[#This Row],[Transp_ID]])*TransTonsShort[[#This Row],[Trans_Tons_All]]/TransTonsShort[[#This Row],[Trans_Tons_All]],"")</f>
        <v>0</v>
      </c>
      <c r="X1423" s="386" t="str">
        <f>TransTonsShort[[#This Row],[Grouping_ID]]&amp;"-"&amp;TransTonsShort[[#This Row],[Sector_ID]]</f>
        <v>2-4</v>
      </c>
      <c r="Y14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23" s="421">
        <f>INDEX(LandfillFees[Disposal Tip Fee 2025],MATCH(TransTonsShort[[#This Row],[Grouping_ID]],LandfillFees[Grouping_ID],0))</f>
        <v>72.030938699729589</v>
      </c>
      <c r="AA1423" s="102">
        <f>IF(OR(TransTonsShort[[#This Row],[CollectionStream_ID]]="03",TransTonsShort[[#This Row],[CollectionStream_ID]]="04",TransTonsShort[[#This Row],[CollectionStream_ID]]="13"),0,TransTonsShort[[#This Row],[Trans_Tons_All]]*TransTonsShort[[#This Row],[Disposal_Fee]])</f>
        <v>0</v>
      </c>
    </row>
    <row r="1424" spans="12:27" ht="15" x14ac:dyDescent="0.25">
      <c r="L1424" s="446" t="s">
        <v>874</v>
      </c>
      <c r="M1424" s="446">
        <v>2</v>
      </c>
      <c r="N1424" s="446">
        <v>4</v>
      </c>
      <c r="O1424" s="446" t="s">
        <v>754</v>
      </c>
      <c r="P1424" s="449" t="s">
        <v>744</v>
      </c>
      <c r="Q1424" s="449"/>
      <c r="R1424" s="449"/>
      <c r="S1424" s="449" t="s">
        <v>1991</v>
      </c>
      <c r="T1424" s="449" t="s">
        <v>967</v>
      </c>
      <c r="U1424" s="452">
        <v>5439.0442810317654</v>
      </c>
      <c r="V142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4" s="272">
        <f>IFERROR(SUMIFS(TransUnitCost[Miles],TransUnitCost[Grouping_ID],TransTonsShort[[#This Row],[Grouping_ID]],TransUnitCost[Transp_ID],TransTonsShort[[#This Row],[Transp_ID]])*TransTonsShort[[#This Row],[Trans_Tons_All]]/TransTonsShort[[#This Row],[Trans_Tons_All]],"")</f>
        <v>0</v>
      </c>
      <c r="X1424" s="386" t="str">
        <f>TransTonsShort[[#This Row],[Grouping_ID]]&amp;"-"&amp;TransTonsShort[[#This Row],[Sector_ID]]</f>
        <v>2-4</v>
      </c>
      <c r="Y14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24" s="421">
        <f>INDEX(LandfillFees[Disposal Tip Fee 2025],MATCH(TransTonsShort[[#This Row],[Grouping_ID]],LandfillFees[Grouping_ID],0))</f>
        <v>72.030938699729589</v>
      </c>
      <c r="AA1424" s="102">
        <f>IF(OR(TransTonsShort[[#This Row],[CollectionStream_ID]]="03",TransTonsShort[[#This Row],[CollectionStream_ID]]="04",TransTonsShort[[#This Row],[CollectionStream_ID]]="13"),0,TransTonsShort[[#This Row],[Trans_Tons_All]]*TransTonsShort[[#This Row],[Disposal_Fee]])</f>
        <v>0</v>
      </c>
    </row>
    <row r="1425" spans="12:27" ht="15" x14ac:dyDescent="0.25">
      <c r="L1425" s="446" t="s">
        <v>874</v>
      </c>
      <c r="M1425" s="446">
        <v>2</v>
      </c>
      <c r="N1425" s="446">
        <v>5</v>
      </c>
      <c r="O1425" s="446" t="s">
        <v>754</v>
      </c>
      <c r="P1425" s="449" t="s">
        <v>744</v>
      </c>
      <c r="Q1425" s="449"/>
      <c r="R1425" s="449"/>
      <c r="S1425" s="449" t="s">
        <v>1991</v>
      </c>
      <c r="T1425" s="449" t="s">
        <v>967</v>
      </c>
      <c r="U1425" s="452">
        <v>507819.48048613168</v>
      </c>
      <c r="V142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5" s="272">
        <f>IFERROR(SUMIFS(TransUnitCost[Miles],TransUnitCost[Grouping_ID],TransTonsShort[[#This Row],[Grouping_ID]],TransUnitCost[Transp_ID],TransTonsShort[[#This Row],[Transp_ID]])*TransTonsShort[[#This Row],[Trans_Tons_All]]/TransTonsShort[[#This Row],[Trans_Tons_All]],"")</f>
        <v>0</v>
      </c>
      <c r="X1425" s="386" t="str">
        <f>TransTonsShort[[#This Row],[Grouping_ID]]&amp;"-"&amp;TransTonsShort[[#This Row],[Sector_ID]]</f>
        <v>2-5</v>
      </c>
      <c r="Y14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25" s="421">
        <f>INDEX(LandfillFees[Disposal Tip Fee 2025],MATCH(TransTonsShort[[#This Row],[Grouping_ID]],LandfillFees[Grouping_ID],0))</f>
        <v>72.030938699729589</v>
      </c>
      <c r="AA1425" s="102">
        <f>IF(OR(TransTonsShort[[#This Row],[CollectionStream_ID]]="03",TransTonsShort[[#This Row],[CollectionStream_ID]]="04",TransTonsShort[[#This Row],[CollectionStream_ID]]="13"),0,TransTonsShort[[#This Row],[Trans_Tons_All]]*TransTonsShort[[#This Row],[Disposal_Fee]])</f>
        <v>0</v>
      </c>
    </row>
    <row r="1426" spans="12:27" ht="15" x14ac:dyDescent="0.25">
      <c r="L1426" s="446" t="s">
        <v>874</v>
      </c>
      <c r="M1426" s="446">
        <v>2</v>
      </c>
      <c r="N1426" s="446">
        <v>6</v>
      </c>
      <c r="O1426" s="446" t="s">
        <v>754</v>
      </c>
      <c r="P1426" s="449" t="s">
        <v>744</v>
      </c>
      <c r="Q1426" s="449"/>
      <c r="R1426" s="449"/>
      <c r="S1426" s="449" t="s">
        <v>1991</v>
      </c>
      <c r="T1426" s="449" t="s">
        <v>967</v>
      </c>
      <c r="U1426" s="452">
        <v>23265.951414096395</v>
      </c>
      <c r="V142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6" s="272">
        <f>IFERROR(SUMIFS(TransUnitCost[Miles],TransUnitCost[Grouping_ID],TransTonsShort[[#This Row],[Grouping_ID]],TransUnitCost[Transp_ID],TransTonsShort[[#This Row],[Transp_ID]])*TransTonsShort[[#This Row],[Trans_Tons_All]]/TransTonsShort[[#This Row],[Trans_Tons_All]],"")</f>
        <v>0</v>
      </c>
      <c r="X1426" s="386" t="str">
        <f>TransTonsShort[[#This Row],[Grouping_ID]]&amp;"-"&amp;TransTonsShort[[#This Row],[Sector_ID]]</f>
        <v>2-6</v>
      </c>
      <c r="Y14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26" s="421">
        <f>INDEX(LandfillFees[Disposal Tip Fee 2025],MATCH(TransTonsShort[[#This Row],[Grouping_ID]],LandfillFees[Grouping_ID],0))</f>
        <v>72.030938699729589</v>
      </c>
      <c r="AA1426" s="102">
        <f>IF(OR(TransTonsShort[[#This Row],[CollectionStream_ID]]="03",TransTonsShort[[#This Row],[CollectionStream_ID]]="04",TransTonsShort[[#This Row],[CollectionStream_ID]]="13"),0,TransTonsShort[[#This Row],[Trans_Tons_All]]*TransTonsShort[[#This Row],[Disposal_Fee]])</f>
        <v>0</v>
      </c>
    </row>
    <row r="1427" spans="12:27" ht="15" x14ac:dyDescent="0.25">
      <c r="L1427" s="446" t="s">
        <v>874</v>
      </c>
      <c r="M1427" s="446">
        <v>3</v>
      </c>
      <c r="N1427" s="446">
        <v>1</v>
      </c>
      <c r="O1427" s="446" t="s">
        <v>712</v>
      </c>
      <c r="P1427" s="449" t="s">
        <v>744</v>
      </c>
      <c r="Q1427" s="449"/>
      <c r="R1427" s="449"/>
      <c r="S1427" s="449" t="s">
        <v>713</v>
      </c>
      <c r="T1427" s="449" t="s">
        <v>967</v>
      </c>
      <c r="U1427" s="452">
        <v>159129.98619610342</v>
      </c>
      <c r="V142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7" s="272">
        <f>IFERROR(SUMIFS(TransUnitCost[Miles],TransUnitCost[Grouping_ID],TransTonsShort[[#This Row],[Grouping_ID]],TransUnitCost[Transp_ID],TransTonsShort[[#This Row],[Transp_ID]])*TransTonsShort[[#This Row],[Trans_Tons_All]]/TransTonsShort[[#This Row],[Trans_Tons_All]],"")</f>
        <v>0</v>
      </c>
      <c r="X1427" s="386" t="str">
        <f>TransTonsShort[[#This Row],[Grouping_ID]]&amp;"-"&amp;TransTonsShort[[#This Row],[Sector_ID]]</f>
        <v>3-1</v>
      </c>
      <c r="Y14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27" s="421">
        <f>INDEX(LandfillFees[Disposal Tip Fee 2025],MATCH(TransTonsShort[[#This Row],[Grouping_ID]],LandfillFees[Grouping_ID],0))</f>
        <v>72.030938699729589</v>
      </c>
      <c r="AA1427" s="102">
        <f>IF(OR(TransTonsShort[[#This Row],[CollectionStream_ID]]="03",TransTonsShort[[#This Row],[CollectionStream_ID]]="04",TransTonsShort[[#This Row],[CollectionStream_ID]]="13"),0,TransTonsShort[[#This Row],[Trans_Tons_All]]*TransTonsShort[[#This Row],[Disposal_Fee]])</f>
        <v>0</v>
      </c>
    </row>
    <row r="1428" spans="12:27" ht="15" x14ac:dyDescent="0.25">
      <c r="L1428" s="446" t="s">
        <v>874</v>
      </c>
      <c r="M1428" s="446">
        <v>3</v>
      </c>
      <c r="N1428" s="446">
        <v>1</v>
      </c>
      <c r="O1428" s="446" t="s">
        <v>719</v>
      </c>
      <c r="P1428" s="449" t="s">
        <v>744</v>
      </c>
      <c r="Q1428" s="449"/>
      <c r="R1428" s="449"/>
      <c r="S1428" s="449" t="s">
        <v>720</v>
      </c>
      <c r="T1428" s="449" t="s">
        <v>967</v>
      </c>
      <c r="U1428" s="452">
        <v>14718.001298030635</v>
      </c>
      <c r="V142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8" s="272">
        <f>IFERROR(SUMIFS(TransUnitCost[Miles],TransUnitCost[Grouping_ID],TransTonsShort[[#This Row],[Grouping_ID]],TransUnitCost[Transp_ID],TransTonsShort[[#This Row],[Transp_ID]])*TransTonsShort[[#This Row],[Trans_Tons_All]]/TransTonsShort[[#This Row],[Trans_Tons_All]],"")</f>
        <v>0</v>
      </c>
      <c r="X1428" s="386" t="str">
        <f>TransTonsShort[[#This Row],[Grouping_ID]]&amp;"-"&amp;TransTonsShort[[#This Row],[Sector_ID]]</f>
        <v>3-1</v>
      </c>
      <c r="Y14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28" s="421">
        <f>INDEX(LandfillFees[Disposal Tip Fee 2025],MATCH(TransTonsShort[[#This Row],[Grouping_ID]],LandfillFees[Grouping_ID],0))</f>
        <v>72.030938699729589</v>
      </c>
      <c r="AA1428" s="102">
        <f>IF(OR(TransTonsShort[[#This Row],[CollectionStream_ID]]="03",TransTonsShort[[#This Row],[CollectionStream_ID]]="04",TransTonsShort[[#This Row],[CollectionStream_ID]]="13"),0,TransTonsShort[[#This Row],[Trans_Tons_All]]*TransTonsShort[[#This Row],[Disposal_Fee]])</f>
        <v>0</v>
      </c>
    </row>
    <row r="1429" spans="12:27" ht="15" x14ac:dyDescent="0.25">
      <c r="L1429" s="446" t="s">
        <v>874</v>
      </c>
      <c r="M1429" s="446">
        <v>3</v>
      </c>
      <c r="N1429" s="446">
        <v>1</v>
      </c>
      <c r="O1429" s="446" t="s">
        <v>754</v>
      </c>
      <c r="P1429" s="449" t="s">
        <v>744</v>
      </c>
      <c r="Q1429" s="449"/>
      <c r="R1429" s="449"/>
      <c r="S1429" s="449" t="s">
        <v>1991</v>
      </c>
      <c r="T1429" s="449" t="s">
        <v>967</v>
      </c>
      <c r="U1429" s="452">
        <v>13.831046700604208</v>
      </c>
      <c r="V142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29" s="272">
        <f>IFERROR(SUMIFS(TransUnitCost[Miles],TransUnitCost[Grouping_ID],TransTonsShort[[#This Row],[Grouping_ID]],TransUnitCost[Transp_ID],TransTonsShort[[#This Row],[Transp_ID]])*TransTonsShort[[#This Row],[Trans_Tons_All]]/TransTonsShort[[#This Row],[Trans_Tons_All]],"")</f>
        <v>0</v>
      </c>
      <c r="X1429" s="386" t="str">
        <f>TransTonsShort[[#This Row],[Grouping_ID]]&amp;"-"&amp;TransTonsShort[[#This Row],[Sector_ID]]</f>
        <v>3-1</v>
      </c>
      <c r="Y14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29" s="421">
        <f>INDEX(LandfillFees[Disposal Tip Fee 2025],MATCH(TransTonsShort[[#This Row],[Grouping_ID]],LandfillFees[Grouping_ID],0))</f>
        <v>72.030938699729589</v>
      </c>
      <c r="AA1429" s="102">
        <f>IF(OR(TransTonsShort[[#This Row],[CollectionStream_ID]]="03",TransTonsShort[[#This Row],[CollectionStream_ID]]="04",TransTonsShort[[#This Row],[CollectionStream_ID]]="13"),0,TransTonsShort[[#This Row],[Trans_Tons_All]]*TransTonsShort[[#This Row],[Disposal_Fee]])</f>
        <v>0</v>
      </c>
    </row>
    <row r="1430" spans="12:27" ht="15" x14ac:dyDescent="0.25">
      <c r="L1430" s="446" t="s">
        <v>874</v>
      </c>
      <c r="M1430" s="446">
        <v>3</v>
      </c>
      <c r="N1430" s="446">
        <v>2</v>
      </c>
      <c r="O1430" s="446" t="s">
        <v>712</v>
      </c>
      <c r="P1430" s="449" t="s">
        <v>744</v>
      </c>
      <c r="Q1430" s="449"/>
      <c r="R1430" s="449"/>
      <c r="S1430" s="449" t="s">
        <v>713</v>
      </c>
      <c r="T1430" s="449" t="s">
        <v>967</v>
      </c>
      <c r="U1430" s="452">
        <v>33929.849096486047</v>
      </c>
      <c r="V143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0" s="272">
        <f>IFERROR(SUMIFS(TransUnitCost[Miles],TransUnitCost[Grouping_ID],TransTonsShort[[#This Row],[Grouping_ID]],TransUnitCost[Transp_ID],TransTonsShort[[#This Row],[Transp_ID]])*TransTonsShort[[#This Row],[Trans_Tons_All]]/TransTonsShort[[#This Row],[Trans_Tons_All]],"")</f>
        <v>0</v>
      </c>
      <c r="X1430" s="386" t="str">
        <f>TransTonsShort[[#This Row],[Grouping_ID]]&amp;"-"&amp;TransTonsShort[[#This Row],[Sector_ID]]</f>
        <v>3-2</v>
      </c>
      <c r="Y14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30" s="421">
        <f>INDEX(LandfillFees[Disposal Tip Fee 2025],MATCH(TransTonsShort[[#This Row],[Grouping_ID]],LandfillFees[Grouping_ID],0))</f>
        <v>72.030938699729589</v>
      </c>
      <c r="AA1430" s="102">
        <f>IF(OR(TransTonsShort[[#This Row],[CollectionStream_ID]]="03",TransTonsShort[[#This Row],[CollectionStream_ID]]="04",TransTonsShort[[#This Row],[CollectionStream_ID]]="13"),0,TransTonsShort[[#This Row],[Trans_Tons_All]]*TransTonsShort[[#This Row],[Disposal_Fee]])</f>
        <v>0</v>
      </c>
    </row>
    <row r="1431" spans="12:27" ht="15" x14ac:dyDescent="0.25">
      <c r="L1431" s="446" t="s">
        <v>874</v>
      </c>
      <c r="M1431" s="446">
        <v>3</v>
      </c>
      <c r="N1431" s="446">
        <v>2</v>
      </c>
      <c r="O1431" s="446" t="s">
        <v>719</v>
      </c>
      <c r="P1431" s="449" t="s">
        <v>744</v>
      </c>
      <c r="Q1431" s="449"/>
      <c r="R1431" s="449"/>
      <c r="S1431" s="449" t="s">
        <v>720</v>
      </c>
      <c r="T1431" s="449" t="s">
        <v>967</v>
      </c>
      <c r="U1431" s="452">
        <v>0</v>
      </c>
      <c r="V143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1" s="272" t="str">
        <f>IFERROR(SUMIFS(TransUnitCost[Miles],TransUnitCost[Grouping_ID],TransTonsShort[[#This Row],[Grouping_ID]],TransUnitCost[Transp_ID],TransTonsShort[[#This Row],[Transp_ID]])*TransTonsShort[[#This Row],[Trans_Tons_All]]/TransTonsShort[[#This Row],[Trans_Tons_All]],"")</f>
        <v/>
      </c>
      <c r="X1431" s="386" t="str">
        <f>TransTonsShort[[#This Row],[Grouping_ID]]&amp;"-"&amp;TransTonsShort[[#This Row],[Sector_ID]]</f>
        <v>3-2</v>
      </c>
      <c r="Y14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31" s="421">
        <f>INDEX(LandfillFees[Disposal Tip Fee 2025],MATCH(TransTonsShort[[#This Row],[Grouping_ID]],LandfillFees[Grouping_ID],0))</f>
        <v>72.030938699729589</v>
      </c>
      <c r="AA1431" s="102">
        <f>IF(OR(TransTonsShort[[#This Row],[CollectionStream_ID]]="03",TransTonsShort[[#This Row],[CollectionStream_ID]]="04",TransTonsShort[[#This Row],[CollectionStream_ID]]="13"),0,TransTonsShort[[#This Row],[Trans_Tons_All]]*TransTonsShort[[#This Row],[Disposal_Fee]])</f>
        <v>0</v>
      </c>
    </row>
    <row r="1432" spans="12:27" ht="15" x14ac:dyDescent="0.25">
      <c r="L1432" s="446" t="s">
        <v>874</v>
      </c>
      <c r="M1432" s="446">
        <v>3</v>
      </c>
      <c r="N1432" s="446">
        <v>2</v>
      </c>
      <c r="O1432" s="446" t="s">
        <v>754</v>
      </c>
      <c r="P1432" s="449" t="s">
        <v>744</v>
      </c>
      <c r="Q1432" s="449"/>
      <c r="R1432" s="449"/>
      <c r="S1432" s="449" t="s">
        <v>1991</v>
      </c>
      <c r="T1432" s="449" t="s">
        <v>967</v>
      </c>
      <c r="U1432" s="452">
        <v>0.63462924206372762</v>
      </c>
      <c r="V143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2" s="272">
        <f>IFERROR(SUMIFS(TransUnitCost[Miles],TransUnitCost[Grouping_ID],TransTonsShort[[#This Row],[Grouping_ID]],TransUnitCost[Transp_ID],TransTonsShort[[#This Row],[Transp_ID]])*TransTonsShort[[#This Row],[Trans_Tons_All]]/TransTonsShort[[#This Row],[Trans_Tons_All]],"")</f>
        <v>0</v>
      </c>
      <c r="X1432" s="386" t="str">
        <f>TransTonsShort[[#This Row],[Grouping_ID]]&amp;"-"&amp;TransTonsShort[[#This Row],[Sector_ID]]</f>
        <v>3-2</v>
      </c>
      <c r="Y14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32" s="421">
        <f>INDEX(LandfillFees[Disposal Tip Fee 2025],MATCH(TransTonsShort[[#This Row],[Grouping_ID]],LandfillFees[Grouping_ID],0))</f>
        <v>72.030938699729589</v>
      </c>
      <c r="AA1432" s="102">
        <f>IF(OR(TransTonsShort[[#This Row],[CollectionStream_ID]]="03",TransTonsShort[[#This Row],[CollectionStream_ID]]="04",TransTonsShort[[#This Row],[CollectionStream_ID]]="13"),0,TransTonsShort[[#This Row],[Trans_Tons_All]]*TransTonsShort[[#This Row],[Disposal_Fee]])</f>
        <v>0</v>
      </c>
    </row>
    <row r="1433" spans="12:27" ht="15" x14ac:dyDescent="0.25">
      <c r="L1433" s="446" t="s">
        <v>874</v>
      </c>
      <c r="M1433" s="446">
        <v>3</v>
      </c>
      <c r="N1433" s="446">
        <v>3</v>
      </c>
      <c r="O1433" s="446" t="s">
        <v>712</v>
      </c>
      <c r="P1433" s="449" t="s">
        <v>744</v>
      </c>
      <c r="Q1433" s="449"/>
      <c r="R1433" s="449"/>
      <c r="S1433" s="449" t="s">
        <v>713</v>
      </c>
      <c r="T1433" s="449" t="s">
        <v>967</v>
      </c>
      <c r="U1433" s="452">
        <v>110494.31967557185</v>
      </c>
      <c r="V143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3" s="272">
        <f>IFERROR(SUMIFS(TransUnitCost[Miles],TransUnitCost[Grouping_ID],TransTonsShort[[#This Row],[Grouping_ID]],TransUnitCost[Transp_ID],TransTonsShort[[#This Row],[Transp_ID]])*TransTonsShort[[#This Row],[Trans_Tons_All]]/TransTonsShort[[#This Row],[Trans_Tons_All]],"")</f>
        <v>0</v>
      </c>
      <c r="X1433" s="386" t="str">
        <f>TransTonsShort[[#This Row],[Grouping_ID]]&amp;"-"&amp;TransTonsShort[[#This Row],[Sector_ID]]</f>
        <v>3-3</v>
      </c>
      <c r="Y14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33" s="421">
        <f>INDEX(LandfillFees[Disposal Tip Fee 2025],MATCH(TransTonsShort[[#This Row],[Grouping_ID]],LandfillFees[Grouping_ID],0))</f>
        <v>72.030938699729589</v>
      </c>
      <c r="AA1433" s="102">
        <f>IF(OR(TransTonsShort[[#This Row],[CollectionStream_ID]]="03",TransTonsShort[[#This Row],[CollectionStream_ID]]="04",TransTonsShort[[#This Row],[CollectionStream_ID]]="13"),0,TransTonsShort[[#This Row],[Trans_Tons_All]]*TransTonsShort[[#This Row],[Disposal_Fee]])</f>
        <v>0</v>
      </c>
    </row>
    <row r="1434" spans="12:27" ht="15" x14ac:dyDescent="0.25">
      <c r="L1434" s="446" t="s">
        <v>874</v>
      </c>
      <c r="M1434" s="446">
        <v>3</v>
      </c>
      <c r="N1434" s="446">
        <v>3</v>
      </c>
      <c r="O1434" s="446" t="s">
        <v>719</v>
      </c>
      <c r="P1434" s="449" t="s">
        <v>744</v>
      </c>
      <c r="Q1434" s="449"/>
      <c r="R1434" s="449"/>
      <c r="S1434" s="449" t="s">
        <v>720</v>
      </c>
      <c r="T1434" s="449" t="s">
        <v>967</v>
      </c>
      <c r="U1434" s="452">
        <v>710.57263630539853</v>
      </c>
      <c r="V143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4" s="272">
        <f>IFERROR(SUMIFS(TransUnitCost[Miles],TransUnitCost[Grouping_ID],TransTonsShort[[#This Row],[Grouping_ID]],TransUnitCost[Transp_ID],TransTonsShort[[#This Row],[Transp_ID]])*TransTonsShort[[#This Row],[Trans_Tons_All]]/TransTonsShort[[#This Row],[Trans_Tons_All]],"")</f>
        <v>0</v>
      </c>
      <c r="X1434" s="386" t="str">
        <f>TransTonsShort[[#This Row],[Grouping_ID]]&amp;"-"&amp;TransTonsShort[[#This Row],[Sector_ID]]</f>
        <v>3-3</v>
      </c>
      <c r="Y14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34" s="421">
        <f>INDEX(LandfillFees[Disposal Tip Fee 2025],MATCH(TransTonsShort[[#This Row],[Grouping_ID]],LandfillFees[Grouping_ID],0))</f>
        <v>72.030938699729589</v>
      </c>
      <c r="AA1434" s="102">
        <f>IF(OR(TransTonsShort[[#This Row],[CollectionStream_ID]]="03",TransTonsShort[[#This Row],[CollectionStream_ID]]="04",TransTonsShort[[#This Row],[CollectionStream_ID]]="13"),0,TransTonsShort[[#This Row],[Trans_Tons_All]]*TransTonsShort[[#This Row],[Disposal_Fee]])</f>
        <v>0</v>
      </c>
    </row>
    <row r="1435" spans="12:27" ht="15" x14ac:dyDescent="0.25">
      <c r="L1435" s="446" t="s">
        <v>874</v>
      </c>
      <c r="M1435" s="446">
        <v>3</v>
      </c>
      <c r="N1435" s="446">
        <v>3</v>
      </c>
      <c r="O1435" s="446" t="s">
        <v>754</v>
      </c>
      <c r="P1435" s="450" t="s">
        <v>744</v>
      </c>
      <c r="Q1435" s="450"/>
      <c r="R1435" s="450"/>
      <c r="S1435" s="449" t="s">
        <v>1991</v>
      </c>
      <c r="T1435" s="449" t="s">
        <v>967</v>
      </c>
      <c r="U1435" s="452">
        <v>3.9585867554731475</v>
      </c>
      <c r="V143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5" s="272">
        <f>IFERROR(SUMIFS(TransUnitCost[Miles],TransUnitCost[Grouping_ID],TransTonsShort[[#This Row],[Grouping_ID]],TransUnitCost[Transp_ID],TransTonsShort[[#This Row],[Transp_ID]])*TransTonsShort[[#This Row],[Trans_Tons_All]]/TransTonsShort[[#This Row],[Trans_Tons_All]],"")</f>
        <v>0</v>
      </c>
      <c r="X1435" s="386" t="str">
        <f>TransTonsShort[[#This Row],[Grouping_ID]]&amp;"-"&amp;TransTonsShort[[#This Row],[Sector_ID]]</f>
        <v>3-3</v>
      </c>
      <c r="Y14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35" s="421">
        <f>INDEX(LandfillFees[Disposal Tip Fee 2025],MATCH(TransTonsShort[[#This Row],[Grouping_ID]],LandfillFees[Grouping_ID],0))</f>
        <v>72.030938699729589</v>
      </c>
      <c r="AA1435" s="102">
        <f>IF(OR(TransTonsShort[[#This Row],[CollectionStream_ID]]="03",TransTonsShort[[#This Row],[CollectionStream_ID]]="04",TransTonsShort[[#This Row],[CollectionStream_ID]]="13"),0,TransTonsShort[[#This Row],[Trans_Tons_All]]*TransTonsShort[[#This Row],[Disposal_Fee]])</f>
        <v>0</v>
      </c>
    </row>
    <row r="1436" spans="12:27" ht="15" x14ac:dyDescent="0.25">
      <c r="L1436" s="446" t="s">
        <v>874</v>
      </c>
      <c r="M1436" s="446">
        <v>3</v>
      </c>
      <c r="N1436" s="446">
        <v>4</v>
      </c>
      <c r="O1436" s="446" t="s">
        <v>712</v>
      </c>
      <c r="P1436" s="450" t="s">
        <v>744</v>
      </c>
      <c r="Q1436" s="450"/>
      <c r="R1436" s="450"/>
      <c r="S1436" s="449" t="s">
        <v>713</v>
      </c>
      <c r="T1436" s="449" t="s">
        <v>967</v>
      </c>
      <c r="U1436" s="452">
        <v>79374.644547453237</v>
      </c>
      <c r="V143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6" s="272">
        <f>IFERROR(SUMIFS(TransUnitCost[Miles],TransUnitCost[Grouping_ID],TransTonsShort[[#This Row],[Grouping_ID]],TransUnitCost[Transp_ID],TransTonsShort[[#This Row],[Transp_ID]])*TransTonsShort[[#This Row],[Trans_Tons_All]]/TransTonsShort[[#This Row],[Trans_Tons_All]],"")</f>
        <v>0</v>
      </c>
      <c r="X1436" s="386" t="str">
        <f>TransTonsShort[[#This Row],[Grouping_ID]]&amp;"-"&amp;TransTonsShort[[#This Row],[Sector_ID]]</f>
        <v>3-4</v>
      </c>
      <c r="Y14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36" s="421">
        <f>INDEX(LandfillFees[Disposal Tip Fee 2025],MATCH(TransTonsShort[[#This Row],[Grouping_ID]],LandfillFees[Grouping_ID],0))</f>
        <v>72.030938699729589</v>
      </c>
      <c r="AA1436" s="102">
        <f>IF(OR(TransTonsShort[[#This Row],[CollectionStream_ID]]="03",TransTonsShort[[#This Row],[CollectionStream_ID]]="04",TransTonsShort[[#This Row],[CollectionStream_ID]]="13"),0,TransTonsShort[[#This Row],[Trans_Tons_All]]*TransTonsShort[[#This Row],[Disposal_Fee]])</f>
        <v>0</v>
      </c>
    </row>
    <row r="1437" spans="12:27" ht="15" x14ac:dyDescent="0.25">
      <c r="L1437" s="446" t="s">
        <v>874</v>
      </c>
      <c r="M1437" s="446">
        <v>3</v>
      </c>
      <c r="N1437" s="446">
        <v>4</v>
      </c>
      <c r="O1437" s="446" t="s">
        <v>719</v>
      </c>
      <c r="P1437" s="450" t="s">
        <v>744</v>
      </c>
      <c r="Q1437" s="450"/>
      <c r="R1437" s="450"/>
      <c r="S1437" s="449" t="s">
        <v>720</v>
      </c>
      <c r="T1437" s="449" t="s">
        <v>967</v>
      </c>
      <c r="U1437" s="452">
        <v>30483.436903200578</v>
      </c>
      <c r="V143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7" s="272">
        <f>IFERROR(SUMIFS(TransUnitCost[Miles],TransUnitCost[Grouping_ID],TransTonsShort[[#This Row],[Grouping_ID]],TransUnitCost[Transp_ID],TransTonsShort[[#This Row],[Transp_ID]])*TransTonsShort[[#This Row],[Trans_Tons_All]]/TransTonsShort[[#This Row],[Trans_Tons_All]],"")</f>
        <v>0</v>
      </c>
      <c r="X1437" s="386" t="str">
        <f>TransTonsShort[[#This Row],[Grouping_ID]]&amp;"-"&amp;TransTonsShort[[#This Row],[Sector_ID]]</f>
        <v>3-4</v>
      </c>
      <c r="Y14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37" s="421">
        <f>INDEX(LandfillFees[Disposal Tip Fee 2025],MATCH(TransTonsShort[[#This Row],[Grouping_ID]],LandfillFees[Grouping_ID],0))</f>
        <v>72.030938699729589</v>
      </c>
      <c r="AA1437" s="102">
        <f>IF(OR(TransTonsShort[[#This Row],[CollectionStream_ID]]="03",TransTonsShort[[#This Row],[CollectionStream_ID]]="04",TransTonsShort[[#This Row],[CollectionStream_ID]]="13"),0,TransTonsShort[[#This Row],[Trans_Tons_All]]*TransTonsShort[[#This Row],[Disposal_Fee]])</f>
        <v>0</v>
      </c>
    </row>
    <row r="1438" spans="12:27" ht="15" x14ac:dyDescent="0.25">
      <c r="L1438" s="446" t="s">
        <v>874</v>
      </c>
      <c r="M1438" s="446">
        <v>3</v>
      </c>
      <c r="N1438" s="446">
        <v>4</v>
      </c>
      <c r="O1438" s="446" t="s">
        <v>754</v>
      </c>
      <c r="P1438" s="450" t="s">
        <v>744</v>
      </c>
      <c r="Q1438" s="450"/>
      <c r="R1438" s="450"/>
      <c r="S1438" s="449" t="s">
        <v>1991</v>
      </c>
      <c r="T1438" s="449" t="s">
        <v>967</v>
      </c>
      <c r="U1438" s="452">
        <v>2464.105248444625</v>
      </c>
      <c r="V143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8" s="272">
        <f>IFERROR(SUMIFS(TransUnitCost[Miles],TransUnitCost[Grouping_ID],TransTonsShort[[#This Row],[Grouping_ID]],TransUnitCost[Transp_ID],TransTonsShort[[#This Row],[Transp_ID]])*TransTonsShort[[#This Row],[Trans_Tons_All]]/TransTonsShort[[#This Row],[Trans_Tons_All]],"")</f>
        <v>0</v>
      </c>
      <c r="X1438" s="386" t="str">
        <f>TransTonsShort[[#This Row],[Grouping_ID]]&amp;"-"&amp;TransTonsShort[[#This Row],[Sector_ID]]</f>
        <v>3-4</v>
      </c>
      <c r="Y14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38" s="421">
        <f>INDEX(LandfillFees[Disposal Tip Fee 2025],MATCH(TransTonsShort[[#This Row],[Grouping_ID]],LandfillFees[Grouping_ID],0))</f>
        <v>72.030938699729589</v>
      </c>
      <c r="AA1438" s="102">
        <f>IF(OR(TransTonsShort[[#This Row],[CollectionStream_ID]]="03",TransTonsShort[[#This Row],[CollectionStream_ID]]="04",TransTonsShort[[#This Row],[CollectionStream_ID]]="13"),0,TransTonsShort[[#This Row],[Trans_Tons_All]]*TransTonsShort[[#This Row],[Disposal_Fee]])</f>
        <v>0</v>
      </c>
    </row>
    <row r="1439" spans="12:27" ht="15" x14ac:dyDescent="0.25">
      <c r="L1439" s="446" t="s">
        <v>874</v>
      </c>
      <c r="M1439" s="446">
        <v>3</v>
      </c>
      <c r="N1439" s="446">
        <v>5</v>
      </c>
      <c r="O1439" s="446" t="s">
        <v>754</v>
      </c>
      <c r="P1439" s="449" t="s">
        <v>744</v>
      </c>
      <c r="Q1439" s="449"/>
      <c r="R1439" s="449"/>
      <c r="S1439" s="449" t="s">
        <v>1991</v>
      </c>
      <c r="T1439" s="449" t="s">
        <v>967</v>
      </c>
      <c r="U1439" s="452">
        <v>112502.92066113914</v>
      </c>
      <c r="V143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39" s="272">
        <f>IFERROR(SUMIFS(TransUnitCost[Miles],TransUnitCost[Grouping_ID],TransTonsShort[[#This Row],[Grouping_ID]],TransUnitCost[Transp_ID],TransTonsShort[[#This Row],[Transp_ID]])*TransTonsShort[[#This Row],[Trans_Tons_All]]/TransTonsShort[[#This Row],[Trans_Tons_All]],"")</f>
        <v>0</v>
      </c>
      <c r="X1439" s="386" t="str">
        <f>TransTonsShort[[#This Row],[Grouping_ID]]&amp;"-"&amp;TransTonsShort[[#This Row],[Sector_ID]]</f>
        <v>3-5</v>
      </c>
      <c r="Y14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39" s="421">
        <f>INDEX(LandfillFees[Disposal Tip Fee 2025],MATCH(TransTonsShort[[#This Row],[Grouping_ID]],LandfillFees[Grouping_ID],0))</f>
        <v>72.030938699729589</v>
      </c>
      <c r="AA1439" s="102">
        <f>IF(OR(TransTonsShort[[#This Row],[CollectionStream_ID]]="03",TransTonsShort[[#This Row],[CollectionStream_ID]]="04",TransTonsShort[[#This Row],[CollectionStream_ID]]="13"),0,TransTonsShort[[#This Row],[Trans_Tons_All]]*TransTonsShort[[#This Row],[Disposal_Fee]])</f>
        <v>0</v>
      </c>
    </row>
    <row r="1440" spans="12:27" ht="15" x14ac:dyDescent="0.25">
      <c r="L1440" s="446" t="s">
        <v>874</v>
      </c>
      <c r="M1440" s="446">
        <v>3</v>
      </c>
      <c r="N1440" s="446">
        <v>6</v>
      </c>
      <c r="O1440" s="446" t="s">
        <v>754</v>
      </c>
      <c r="P1440" s="449" t="s">
        <v>744</v>
      </c>
      <c r="Q1440" s="449"/>
      <c r="R1440" s="449"/>
      <c r="S1440" s="449" t="s">
        <v>1991</v>
      </c>
      <c r="T1440" s="449" t="s">
        <v>967</v>
      </c>
      <c r="U1440" s="452">
        <v>10530.418399916423</v>
      </c>
      <c r="V144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0" s="272">
        <f>IFERROR(SUMIFS(TransUnitCost[Miles],TransUnitCost[Grouping_ID],TransTonsShort[[#This Row],[Grouping_ID]],TransUnitCost[Transp_ID],TransTonsShort[[#This Row],[Transp_ID]])*TransTonsShort[[#This Row],[Trans_Tons_All]]/TransTonsShort[[#This Row],[Trans_Tons_All]],"")</f>
        <v>0</v>
      </c>
      <c r="X1440" s="386" t="str">
        <f>TransTonsShort[[#This Row],[Grouping_ID]]&amp;"-"&amp;TransTonsShort[[#This Row],[Sector_ID]]</f>
        <v>3-6</v>
      </c>
      <c r="Y14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40" s="421">
        <f>INDEX(LandfillFees[Disposal Tip Fee 2025],MATCH(TransTonsShort[[#This Row],[Grouping_ID]],LandfillFees[Grouping_ID],0))</f>
        <v>72.030938699729589</v>
      </c>
      <c r="AA1440" s="102">
        <f>IF(OR(TransTonsShort[[#This Row],[CollectionStream_ID]]="03",TransTonsShort[[#This Row],[CollectionStream_ID]]="04",TransTonsShort[[#This Row],[CollectionStream_ID]]="13"),0,TransTonsShort[[#This Row],[Trans_Tons_All]]*TransTonsShort[[#This Row],[Disposal_Fee]])</f>
        <v>0</v>
      </c>
    </row>
    <row r="1441" spans="12:27" ht="15" x14ac:dyDescent="0.25">
      <c r="L1441" s="446" t="s">
        <v>874</v>
      </c>
      <c r="M1441" s="446">
        <v>4</v>
      </c>
      <c r="N1441" s="446">
        <v>1</v>
      </c>
      <c r="O1441" s="446" t="s">
        <v>712</v>
      </c>
      <c r="P1441" s="449" t="s">
        <v>744</v>
      </c>
      <c r="Q1441" s="449"/>
      <c r="R1441" s="449"/>
      <c r="S1441" s="449" t="s">
        <v>713</v>
      </c>
      <c r="T1441" s="449" t="s">
        <v>967</v>
      </c>
      <c r="U1441" s="452">
        <v>192573.25821650762</v>
      </c>
      <c r="V144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1" s="272">
        <f>IFERROR(SUMIFS(TransUnitCost[Miles],TransUnitCost[Grouping_ID],TransTonsShort[[#This Row],[Grouping_ID]],TransUnitCost[Transp_ID],TransTonsShort[[#This Row],[Transp_ID]])*TransTonsShort[[#This Row],[Trans_Tons_All]]/TransTonsShort[[#This Row],[Trans_Tons_All]],"")</f>
        <v>0</v>
      </c>
      <c r="X1441" s="386" t="str">
        <f>TransTonsShort[[#This Row],[Grouping_ID]]&amp;"-"&amp;TransTonsShort[[#This Row],[Sector_ID]]</f>
        <v>4-1</v>
      </c>
      <c r="Y14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41" s="421">
        <f>INDEX(LandfillFees[Disposal Tip Fee 2025],MATCH(TransTonsShort[[#This Row],[Grouping_ID]],LandfillFees[Grouping_ID],0))</f>
        <v>72.030938699729589</v>
      </c>
      <c r="AA1441" s="102">
        <f>IF(OR(TransTonsShort[[#This Row],[CollectionStream_ID]]="03",TransTonsShort[[#This Row],[CollectionStream_ID]]="04",TransTonsShort[[#This Row],[CollectionStream_ID]]="13"),0,TransTonsShort[[#This Row],[Trans_Tons_All]]*TransTonsShort[[#This Row],[Disposal_Fee]])</f>
        <v>0</v>
      </c>
    </row>
    <row r="1442" spans="12:27" ht="15" x14ac:dyDescent="0.25">
      <c r="L1442" s="446" t="s">
        <v>874</v>
      </c>
      <c r="M1442" s="446">
        <v>4</v>
      </c>
      <c r="N1442" s="446">
        <v>1</v>
      </c>
      <c r="O1442" s="446" t="s">
        <v>719</v>
      </c>
      <c r="P1442" s="449" t="s">
        <v>744</v>
      </c>
      <c r="Q1442" s="449"/>
      <c r="R1442" s="449"/>
      <c r="S1442" s="449" t="s">
        <v>720</v>
      </c>
      <c r="T1442" s="449" t="s">
        <v>967</v>
      </c>
      <c r="U1442" s="452">
        <v>31.249121728528202</v>
      </c>
      <c r="V144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2" s="272">
        <f>IFERROR(SUMIFS(TransUnitCost[Miles],TransUnitCost[Grouping_ID],TransTonsShort[[#This Row],[Grouping_ID]],TransUnitCost[Transp_ID],TransTonsShort[[#This Row],[Transp_ID]])*TransTonsShort[[#This Row],[Trans_Tons_All]]/TransTonsShort[[#This Row],[Trans_Tons_All]],"")</f>
        <v>0</v>
      </c>
      <c r="X1442" s="386" t="str">
        <f>TransTonsShort[[#This Row],[Grouping_ID]]&amp;"-"&amp;TransTonsShort[[#This Row],[Sector_ID]]</f>
        <v>4-1</v>
      </c>
      <c r="Y14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42" s="421">
        <f>INDEX(LandfillFees[Disposal Tip Fee 2025],MATCH(TransTonsShort[[#This Row],[Grouping_ID]],LandfillFees[Grouping_ID],0))</f>
        <v>72.030938699729589</v>
      </c>
      <c r="AA1442" s="102">
        <f>IF(OR(TransTonsShort[[#This Row],[CollectionStream_ID]]="03",TransTonsShort[[#This Row],[CollectionStream_ID]]="04",TransTonsShort[[#This Row],[CollectionStream_ID]]="13"),0,TransTonsShort[[#This Row],[Trans_Tons_All]]*TransTonsShort[[#This Row],[Disposal_Fee]])</f>
        <v>0</v>
      </c>
    </row>
    <row r="1443" spans="12:27" ht="15" x14ac:dyDescent="0.25">
      <c r="L1443" s="446" t="s">
        <v>874</v>
      </c>
      <c r="M1443" s="446">
        <v>4</v>
      </c>
      <c r="N1443" s="446">
        <v>1</v>
      </c>
      <c r="O1443" s="446" t="s">
        <v>754</v>
      </c>
      <c r="P1443" s="449" t="s">
        <v>744</v>
      </c>
      <c r="Q1443" s="449"/>
      <c r="R1443" s="449"/>
      <c r="S1443" s="449" t="s">
        <v>1991</v>
      </c>
      <c r="T1443" s="449" t="s">
        <v>967</v>
      </c>
      <c r="U1443" s="452">
        <v>6.3556190710760312</v>
      </c>
      <c r="V144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3" s="272">
        <f>IFERROR(SUMIFS(TransUnitCost[Miles],TransUnitCost[Grouping_ID],TransTonsShort[[#This Row],[Grouping_ID]],TransUnitCost[Transp_ID],TransTonsShort[[#This Row],[Transp_ID]])*TransTonsShort[[#This Row],[Trans_Tons_All]]/TransTonsShort[[#This Row],[Trans_Tons_All]],"")</f>
        <v>0</v>
      </c>
      <c r="X1443" s="386" t="str">
        <f>TransTonsShort[[#This Row],[Grouping_ID]]&amp;"-"&amp;TransTonsShort[[#This Row],[Sector_ID]]</f>
        <v>4-1</v>
      </c>
      <c r="Y14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43" s="421">
        <f>INDEX(LandfillFees[Disposal Tip Fee 2025],MATCH(TransTonsShort[[#This Row],[Grouping_ID]],LandfillFees[Grouping_ID],0))</f>
        <v>72.030938699729589</v>
      </c>
      <c r="AA1443" s="102">
        <f>IF(OR(TransTonsShort[[#This Row],[CollectionStream_ID]]="03",TransTonsShort[[#This Row],[CollectionStream_ID]]="04",TransTonsShort[[#This Row],[CollectionStream_ID]]="13"),0,TransTonsShort[[#This Row],[Trans_Tons_All]]*TransTonsShort[[#This Row],[Disposal_Fee]])</f>
        <v>0</v>
      </c>
    </row>
    <row r="1444" spans="12:27" ht="15" x14ac:dyDescent="0.25">
      <c r="L1444" s="446" t="s">
        <v>874</v>
      </c>
      <c r="M1444" s="446">
        <v>4</v>
      </c>
      <c r="N1444" s="446">
        <v>2</v>
      </c>
      <c r="O1444" s="446" t="s">
        <v>712</v>
      </c>
      <c r="P1444" s="449" t="s">
        <v>744</v>
      </c>
      <c r="Q1444" s="449"/>
      <c r="R1444" s="449"/>
      <c r="S1444" s="449" t="s">
        <v>713</v>
      </c>
      <c r="T1444" s="449" t="s">
        <v>967</v>
      </c>
      <c r="U1444" s="452">
        <v>39155.625988914617</v>
      </c>
      <c r="V144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4" s="272">
        <f>IFERROR(SUMIFS(TransUnitCost[Miles],TransUnitCost[Grouping_ID],TransTonsShort[[#This Row],[Grouping_ID]],TransUnitCost[Transp_ID],TransTonsShort[[#This Row],[Transp_ID]])*TransTonsShort[[#This Row],[Trans_Tons_All]]/TransTonsShort[[#This Row],[Trans_Tons_All]],"")</f>
        <v>0</v>
      </c>
      <c r="X1444" s="386" t="str">
        <f>TransTonsShort[[#This Row],[Grouping_ID]]&amp;"-"&amp;TransTonsShort[[#This Row],[Sector_ID]]</f>
        <v>4-2</v>
      </c>
      <c r="Y14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44" s="421">
        <f>INDEX(LandfillFees[Disposal Tip Fee 2025],MATCH(TransTonsShort[[#This Row],[Grouping_ID]],LandfillFees[Grouping_ID],0))</f>
        <v>72.030938699729589</v>
      </c>
      <c r="AA1444" s="102">
        <f>IF(OR(TransTonsShort[[#This Row],[CollectionStream_ID]]="03",TransTonsShort[[#This Row],[CollectionStream_ID]]="04",TransTonsShort[[#This Row],[CollectionStream_ID]]="13"),0,TransTonsShort[[#This Row],[Trans_Tons_All]]*TransTonsShort[[#This Row],[Disposal_Fee]])</f>
        <v>0</v>
      </c>
    </row>
    <row r="1445" spans="12:27" ht="15" x14ac:dyDescent="0.25">
      <c r="L1445" s="446" t="s">
        <v>874</v>
      </c>
      <c r="M1445" s="446">
        <v>4</v>
      </c>
      <c r="N1445" s="446">
        <v>2</v>
      </c>
      <c r="O1445" s="446" t="s">
        <v>719</v>
      </c>
      <c r="P1445" s="449" t="s">
        <v>744</v>
      </c>
      <c r="Q1445" s="449"/>
      <c r="R1445" s="449"/>
      <c r="S1445" s="449" t="s">
        <v>720</v>
      </c>
      <c r="T1445" s="449" t="s">
        <v>967</v>
      </c>
      <c r="U1445" s="452">
        <v>0.52265282121438028</v>
      </c>
      <c r="V144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5" s="272">
        <f>IFERROR(SUMIFS(TransUnitCost[Miles],TransUnitCost[Grouping_ID],TransTonsShort[[#This Row],[Grouping_ID]],TransUnitCost[Transp_ID],TransTonsShort[[#This Row],[Transp_ID]])*TransTonsShort[[#This Row],[Trans_Tons_All]]/TransTonsShort[[#This Row],[Trans_Tons_All]],"")</f>
        <v>0</v>
      </c>
      <c r="X1445" s="386" t="str">
        <f>TransTonsShort[[#This Row],[Grouping_ID]]&amp;"-"&amp;TransTonsShort[[#This Row],[Sector_ID]]</f>
        <v>4-2</v>
      </c>
      <c r="Y14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45" s="421">
        <f>INDEX(LandfillFees[Disposal Tip Fee 2025],MATCH(TransTonsShort[[#This Row],[Grouping_ID]],LandfillFees[Grouping_ID],0))</f>
        <v>72.030938699729589</v>
      </c>
      <c r="AA1445" s="102">
        <f>IF(OR(TransTonsShort[[#This Row],[CollectionStream_ID]]="03",TransTonsShort[[#This Row],[CollectionStream_ID]]="04",TransTonsShort[[#This Row],[CollectionStream_ID]]="13"),0,TransTonsShort[[#This Row],[Trans_Tons_All]]*TransTonsShort[[#This Row],[Disposal_Fee]])</f>
        <v>0</v>
      </c>
    </row>
    <row r="1446" spans="12:27" ht="15" x14ac:dyDescent="0.25">
      <c r="L1446" s="446" t="s">
        <v>874</v>
      </c>
      <c r="M1446" s="446">
        <v>4</v>
      </c>
      <c r="N1446" s="446">
        <v>2</v>
      </c>
      <c r="O1446" s="446" t="s">
        <v>754</v>
      </c>
      <c r="P1446" s="449" t="s">
        <v>744</v>
      </c>
      <c r="Q1446" s="449"/>
      <c r="R1446" s="449"/>
      <c r="S1446" s="449" t="s">
        <v>1991</v>
      </c>
      <c r="T1446" s="449" t="s">
        <v>967</v>
      </c>
      <c r="U1446" s="452">
        <v>80.450079532787527</v>
      </c>
      <c r="V144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6" s="272">
        <f>IFERROR(SUMIFS(TransUnitCost[Miles],TransUnitCost[Grouping_ID],TransTonsShort[[#This Row],[Grouping_ID]],TransUnitCost[Transp_ID],TransTonsShort[[#This Row],[Transp_ID]])*TransTonsShort[[#This Row],[Trans_Tons_All]]/TransTonsShort[[#This Row],[Trans_Tons_All]],"")</f>
        <v>0</v>
      </c>
      <c r="X1446" s="386" t="str">
        <f>TransTonsShort[[#This Row],[Grouping_ID]]&amp;"-"&amp;TransTonsShort[[#This Row],[Sector_ID]]</f>
        <v>4-2</v>
      </c>
      <c r="Y14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46" s="421">
        <f>INDEX(LandfillFees[Disposal Tip Fee 2025],MATCH(TransTonsShort[[#This Row],[Grouping_ID]],LandfillFees[Grouping_ID],0))</f>
        <v>72.030938699729589</v>
      </c>
      <c r="AA1446" s="102">
        <f>IF(OR(TransTonsShort[[#This Row],[CollectionStream_ID]]="03",TransTonsShort[[#This Row],[CollectionStream_ID]]="04",TransTonsShort[[#This Row],[CollectionStream_ID]]="13"),0,TransTonsShort[[#This Row],[Trans_Tons_All]]*TransTonsShort[[#This Row],[Disposal_Fee]])</f>
        <v>0</v>
      </c>
    </row>
    <row r="1447" spans="12:27" ht="15" x14ac:dyDescent="0.25">
      <c r="L1447" s="446" t="s">
        <v>874</v>
      </c>
      <c r="M1447" s="446">
        <v>4</v>
      </c>
      <c r="N1447" s="446">
        <v>3</v>
      </c>
      <c r="O1447" s="446" t="s">
        <v>712</v>
      </c>
      <c r="P1447" s="449" t="s">
        <v>744</v>
      </c>
      <c r="Q1447" s="449"/>
      <c r="R1447" s="449"/>
      <c r="S1447" s="451" t="s">
        <v>713</v>
      </c>
      <c r="T1447" s="451" t="s">
        <v>967</v>
      </c>
      <c r="U1447" s="452">
        <v>132475.57024505627</v>
      </c>
      <c r="V144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7" s="272">
        <f>IFERROR(SUMIFS(TransUnitCost[Miles],TransUnitCost[Grouping_ID],TransTonsShort[[#This Row],[Grouping_ID]],TransUnitCost[Transp_ID],TransTonsShort[[#This Row],[Transp_ID]])*TransTonsShort[[#This Row],[Trans_Tons_All]]/TransTonsShort[[#This Row],[Trans_Tons_All]],"")</f>
        <v>0</v>
      </c>
      <c r="X1447" s="386" t="str">
        <f>TransTonsShort[[#This Row],[Grouping_ID]]&amp;"-"&amp;TransTonsShort[[#This Row],[Sector_ID]]</f>
        <v>4-3</v>
      </c>
      <c r="Y14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47" s="421">
        <f>INDEX(LandfillFees[Disposal Tip Fee 2025],MATCH(TransTonsShort[[#This Row],[Grouping_ID]],LandfillFees[Grouping_ID],0))</f>
        <v>72.030938699729589</v>
      </c>
      <c r="AA1447" s="102">
        <f>IF(OR(TransTonsShort[[#This Row],[CollectionStream_ID]]="03",TransTonsShort[[#This Row],[CollectionStream_ID]]="04",TransTonsShort[[#This Row],[CollectionStream_ID]]="13"),0,TransTonsShort[[#This Row],[Trans_Tons_All]]*TransTonsShort[[#This Row],[Disposal_Fee]])</f>
        <v>0</v>
      </c>
    </row>
    <row r="1448" spans="12:27" ht="15" x14ac:dyDescent="0.25">
      <c r="L1448" s="446" t="s">
        <v>874</v>
      </c>
      <c r="M1448" s="446">
        <v>4</v>
      </c>
      <c r="N1448" s="446">
        <v>3</v>
      </c>
      <c r="O1448" s="446" t="s">
        <v>719</v>
      </c>
      <c r="P1448" s="449" t="s">
        <v>744</v>
      </c>
      <c r="Q1448" s="449"/>
      <c r="R1448" s="449"/>
      <c r="S1448" s="451" t="s">
        <v>720</v>
      </c>
      <c r="T1448" s="451" t="s">
        <v>967</v>
      </c>
      <c r="U1448" s="452">
        <v>5443.1244494308885</v>
      </c>
      <c r="V144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8" s="272">
        <f>IFERROR(SUMIFS(TransUnitCost[Miles],TransUnitCost[Grouping_ID],TransTonsShort[[#This Row],[Grouping_ID]],TransUnitCost[Transp_ID],TransTonsShort[[#This Row],[Transp_ID]])*TransTonsShort[[#This Row],[Trans_Tons_All]]/TransTonsShort[[#This Row],[Trans_Tons_All]],"")</f>
        <v>0</v>
      </c>
      <c r="X1448" s="386" t="str">
        <f>TransTonsShort[[#This Row],[Grouping_ID]]&amp;"-"&amp;TransTonsShort[[#This Row],[Sector_ID]]</f>
        <v>4-3</v>
      </c>
      <c r="Y14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48" s="421">
        <f>INDEX(LandfillFees[Disposal Tip Fee 2025],MATCH(TransTonsShort[[#This Row],[Grouping_ID]],LandfillFees[Grouping_ID],0))</f>
        <v>72.030938699729589</v>
      </c>
      <c r="AA1448" s="102">
        <f>IF(OR(TransTonsShort[[#This Row],[CollectionStream_ID]]="03",TransTonsShort[[#This Row],[CollectionStream_ID]]="04",TransTonsShort[[#This Row],[CollectionStream_ID]]="13"),0,TransTonsShort[[#This Row],[Trans_Tons_All]]*TransTonsShort[[#This Row],[Disposal_Fee]])</f>
        <v>0</v>
      </c>
    </row>
    <row r="1449" spans="12:27" ht="15" x14ac:dyDescent="0.25">
      <c r="L1449" s="446" t="s">
        <v>874</v>
      </c>
      <c r="M1449" s="446">
        <v>4</v>
      </c>
      <c r="N1449" s="446">
        <v>3</v>
      </c>
      <c r="O1449" s="446" t="s">
        <v>754</v>
      </c>
      <c r="P1449" s="449" t="s">
        <v>744</v>
      </c>
      <c r="Q1449" s="449"/>
      <c r="R1449" s="449"/>
      <c r="S1449" s="451" t="s">
        <v>1991</v>
      </c>
      <c r="T1449" s="451" t="s">
        <v>967</v>
      </c>
      <c r="U1449" s="452">
        <v>42.886103670660546</v>
      </c>
      <c r="V144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49" s="272">
        <f>IFERROR(SUMIFS(TransUnitCost[Miles],TransUnitCost[Grouping_ID],TransTonsShort[[#This Row],[Grouping_ID]],TransUnitCost[Transp_ID],TransTonsShort[[#This Row],[Transp_ID]])*TransTonsShort[[#This Row],[Trans_Tons_All]]/TransTonsShort[[#This Row],[Trans_Tons_All]],"")</f>
        <v>0</v>
      </c>
      <c r="X1449" s="386" t="str">
        <f>TransTonsShort[[#This Row],[Grouping_ID]]&amp;"-"&amp;TransTonsShort[[#This Row],[Sector_ID]]</f>
        <v>4-3</v>
      </c>
      <c r="Y14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49" s="421">
        <f>INDEX(LandfillFees[Disposal Tip Fee 2025],MATCH(TransTonsShort[[#This Row],[Grouping_ID]],LandfillFees[Grouping_ID],0))</f>
        <v>72.030938699729589</v>
      </c>
      <c r="AA1449" s="102">
        <f>IF(OR(TransTonsShort[[#This Row],[CollectionStream_ID]]="03",TransTonsShort[[#This Row],[CollectionStream_ID]]="04",TransTonsShort[[#This Row],[CollectionStream_ID]]="13"),0,TransTonsShort[[#This Row],[Trans_Tons_All]]*TransTonsShort[[#This Row],[Disposal_Fee]])</f>
        <v>0</v>
      </c>
    </row>
    <row r="1450" spans="12:27" ht="15" x14ac:dyDescent="0.25">
      <c r="L1450" s="446" t="s">
        <v>874</v>
      </c>
      <c r="M1450" s="446">
        <v>4</v>
      </c>
      <c r="N1450" s="446">
        <v>4</v>
      </c>
      <c r="O1450" s="446" t="s">
        <v>712</v>
      </c>
      <c r="P1450" s="449" t="s">
        <v>744</v>
      </c>
      <c r="Q1450" s="449"/>
      <c r="R1450" s="449"/>
      <c r="S1450" s="451" t="s">
        <v>713</v>
      </c>
      <c r="T1450" s="451" t="s">
        <v>967</v>
      </c>
      <c r="U1450" s="452">
        <v>88414.395241807215</v>
      </c>
      <c r="V145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0" s="272">
        <f>IFERROR(SUMIFS(TransUnitCost[Miles],TransUnitCost[Grouping_ID],TransTonsShort[[#This Row],[Grouping_ID]],TransUnitCost[Transp_ID],TransTonsShort[[#This Row],[Transp_ID]])*TransTonsShort[[#This Row],[Trans_Tons_All]]/TransTonsShort[[#This Row],[Trans_Tons_All]],"")</f>
        <v>0</v>
      </c>
      <c r="X1450" s="386" t="str">
        <f>TransTonsShort[[#This Row],[Grouping_ID]]&amp;"-"&amp;TransTonsShort[[#This Row],[Sector_ID]]</f>
        <v>4-4</v>
      </c>
      <c r="Y14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50" s="421">
        <f>INDEX(LandfillFees[Disposal Tip Fee 2025],MATCH(TransTonsShort[[#This Row],[Grouping_ID]],LandfillFees[Grouping_ID],0))</f>
        <v>72.030938699729589</v>
      </c>
      <c r="AA1450" s="102">
        <f>IF(OR(TransTonsShort[[#This Row],[CollectionStream_ID]]="03",TransTonsShort[[#This Row],[CollectionStream_ID]]="04",TransTonsShort[[#This Row],[CollectionStream_ID]]="13"),0,TransTonsShort[[#This Row],[Trans_Tons_All]]*TransTonsShort[[#This Row],[Disposal_Fee]])</f>
        <v>0</v>
      </c>
    </row>
    <row r="1451" spans="12:27" ht="15" x14ac:dyDescent="0.25">
      <c r="L1451" s="446" t="s">
        <v>874</v>
      </c>
      <c r="M1451" s="446">
        <v>4</v>
      </c>
      <c r="N1451" s="446">
        <v>4</v>
      </c>
      <c r="O1451" s="446" t="s">
        <v>719</v>
      </c>
      <c r="P1451" s="449" t="s">
        <v>744</v>
      </c>
      <c r="Q1451" s="449"/>
      <c r="R1451" s="449"/>
      <c r="S1451" s="451" t="s">
        <v>720</v>
      </c>
      <c r="T1451" s="451" t="s">
        <v>967</v>
      </c>
      <c r="U1451" s="452">
        <v>21209.540696132946</v>
      </c>
      <c r="V145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1" s="272">
        <f>IFERROR(SUMIFS(TransUnitCost[Miles],TransUnitCost[Grouping_ID],TransTonsShort[[#This Row],[Grouping_ID]],TransUnitCost[Transp_ID],TransTonsShort[[#This Row],[Transp_ID]])*TransTonsShort[[#This Row],[Trans_Tons_All]]/TransTonsShort[[#This Row],[Trans_Tons_All]],"")</f>
        <v>0</v>
      </c>
      <c r="X1451" s="386" t="str">
        <f>TransTonsShort[[#This Row],[Grouping_ID]]&amp;"-"&amp;TransTonsShort[[#This Row],[Sector_ID]]</f>
        <v>4-4</v>
      </c>
      <c r="Y14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51" s="421">
        <f>INDEX(LandfillFees[Disposal Tip Fee 2025],MATCH(TransTonsShort[[#This Row],[Grouping_ID]],LandfillFees[Grouping_ID],0))</f>
        <v>72.030938699729589</v>
      </c>
      <c r="AA1451" s="102">
        <f>IF(OR(TransTonsShort[[#This Row],[CollectionStream_ID]]="03",TransTonsShort[[#This Row],[CollectionStream_ID]]="04",TransTonsShort[[#This Row],[CollectionStream_ID]]="13"),0,TransTonsShort[[#This Row],[Trans_Tons_All]]*TransTonsShort[[#This Row],[Disposal_Fee]])</f>
        <v>0</v>
      </c>
    </row>
    <row r="1452" spans="12:27" ht="15" x14ac:dyDescent="0.25">
      <c r="L1452" s="446" t="s">
        <v>874</v>
      </c>
      <c r="M1452" s="446">
        <v>4</v>
      </c>
      <c r="N1452" s="446">
        <v>4</v>
      </c>
      <c r="O1452" s="446" t="s">
        <v>754</v>
      </c>
      <c r="P1452" s="449" t="s">
        <v>744</v>
      </c>
      <c r="Q1452" s="449"/>
      <c r="R1452" s="449"/>
      <c r="S1452" s="451" t="s">
        <v>1991</v>
      </c>
      <c r="T1452" s="451" t="s">
        <v>967</v>
      </c>
      <c r="U1452" s="452">
        <v>5743.800939331295</v>
      </c>
      <c r="V145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2" s="272">
        <f>IFERROR(SUMIFS(TransUnitCost[Miles],TransUnitCost[Grouping_ID],TransTonsShort[[#This Row],[Grouping_ID]],TransUnitCost[Transp_ID],TransTonsShort[[#This Row],[Transp_ID]])*TransTonsShort[[#This Row],[Trans_Tons_All]]/TransTonsShort[[#This Row],[Trans_Tons_All]],"")</f>
        <v>0</v>
      </c>
      <c r="X1452" s="386" t="str">
        <f>TransTonsShort[[#This Row],[Grouping_ID]]&amp;"-"&amp;TransTonsShort[[#This Row],[Sector_ID]]</f>
        <v>4-4</v>
      </c>
      <c r="Y14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52" s="421">
        <f>INDEX(LandfillFees[Disposal Tip Fee 2025],MATCH(TransTonsShort[[#This Row],[Grouping_ID]],LandfillFees[Grouping_ID],0))</f>
        <v>72.030938699729589</v>
      </c>
      <c r="AA1452" s="102">
        <f>IF(OR(TransTonsShort[[#This Row],[CollectionStream_ID]]="03",TransTonsShort[[#This Row],[CollectionStream_ID]]="04",TransTonsShort[[#This Row],[CollectionStream_ID]]="13"),0,TransTonsShort[[#This Row],[Trans_Tons_All]]*TransTonsShort[[#This Row],[Disposal_Fee]])</f>
        <v>0</v>
      </c>
    </row>
    <row r="1453" spans="12:27" ht="15" x14ac:dyDescent="0.25">
      <c r="L1453" s="446" t="s">
        <v>874</v>
      </c>
      <c r="M1453" s="446">
        <v>4</v>
      </c>
      <c r="N1453" s="446">
        <v>5</v>
      </c>
      <c r="O1453" s="446" t="s">
        <v>754</v>
      </c>
      <c r="P1453" s="449" t="s">
        <v>744</v>
      </c>
      <c r="Q1453" s="449"/>
      <c r="R1453" s="449"/>
      <c r="S1453" s="451" t="s">
        <v>1991</v>
      </c>
      <c r="T1453" s="451" t="s">
        <v>967</v>
      </c>
      <c r="U1453" s="452">
        <v>53906.212649540714</v>
      </c>
      <c r="V145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3" s="272">
        <f>IFERROR(SUMIFS(TransUnitCost[Miles],TransUnitCost[Grouping_ID],TransTonsShort[[#This Row],[Grouping_ID]],TransUnitCost[Transp_ID],TransTonsShort[[#This Row],[Transp_ID]])*TransTonsShort[[#This Row],[Trans_Tons_All]]/TransTonsShort[[#This Row],[Trans_Tons_All]],"")</f>
        <v>0</v>
      </c>
      <c r="X1453" s="386" t="str">
        <f>TransTonsShort[[#This Row],[Grouping_ID]]&amp;"-"&amp;TransTonsShort[[#This Row],[Sector_ID]]</f>
        <v>4-5</v>
      </c>
      <c r="Y14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53" s="421">
        <f>INDEX(LandfillFees[Disposal Tip Fee 2025],MATCH(TransTonsShort[[#This Row],[Grouping_ID]],LandfillFees[Grouping_ID],0))</f>
        <v>72.030938699729589</v>
      </c>
      <c r="AA1453" s="102">
        <f>IF(OR(TransTonsShort[[#This Row],[CollectionStream_ID]]="03",TransTonsShort[[#This Row],[CollectionStream_ID]]="04",TransTonsShort[[#This Row],[CollectionStream_ID]]="13"),0,TransTonsShort[[#This Row],[Trans_Tons_All]]*TransTonsShort[[#This Row],[Disposal_Fee]])</f>
        <v>0</v>
      </c>
    </row>
    <row r="1454" spans="12:27" ht="15" x14ac:dyDescent="0.25">
      <c r="L1454" s="446" t="s">
        <v>874</v>
      </c>
      <c r="M1454" s="446">
        <v>4</v>
      </c>
      <c r="N1454" s="446">
        <v>6</v>
      </c>
      <c r="O1454" s="446" t="s">
        <v>754</v>
      </c>
      <c r="P1454" s="449" t="s">
        <v>744</v>
      </c>
      <c r="Q1454" s="449"/>
      <c r="R1454" s="449"/>
      <c r="S1454" s="451" t="s">
        <v>1991</v>
      </c>
      <c r="T1454" s="451" t="s">
        <v>967</v>
      </c>
      <c r="U1454" s="452">
        <v>12603.943863547724</v>
      </c>
      <c r="V145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4" s="272">
        <f>IFERROR(SUMIFS(TransUnitCost[Miles],TransUnitCost[Grouping_ID],TransTonsShort[[#This Row],[Grouping_ID]],TransUnitCost[Transp_ID],TransTonsShort[[#This Row],[Transp_ID]])*TransTonsShort[[#This Row],[Trans_Tons_All]]/TransTonsShort[[#This Row],[Trans_Tons_All]],"")</f>
        <v>0</v>
      </c>
      <c r="X1454" s="386" t="str">
        <f>TransTonsShort[[#This Row],[Grouping_ID]]&amp;"-"&amp;TransTonsShort[[#This Row],[Sector_ID]]</f>
        <v>4-6</v>
      </c>
      <c r="Y14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54" s="421">
        <f>INDEX(LandfillFees[Disposal Tip Fee 2025],MATCH(TransTonsShort[[#This Row],[Grouping_ID]],LandfillFees[Grouping_ID],0))</f>
        <v>72.030938699729589</v>
      </c>
      <c r="AA1454" s="102">
        <f>IF(OR(TransTonsShort[[#This Row],[CollectionStream_ID]]="03",TransTonsShort[[#This Row],[CollectionStream_ID]]="04",TransTonsShort[[#This Row],[CollectionStream_ID]]="13"),0,TransTonsShort[[#This Row],[Trans_Tons_All]]*TransTonsShort[[#This Row],[Disposal_Fee]])</f>
        <v>0</v>
      </c>
    </row>
    <row r="1455" spans="12:27" ht="15" x14ac:dyDescent="0.25">
      <c r="L1455" s="446" t="s">
        <v>873</v>
      </c>
      <c r="M1455" s="446">
        <v>1</v>
      </c>
      <c r="N1455" s="446">
        <v>1</v>
      </c>
      <c r="O1455" s="446" t="s">
        <v>712</v>
      </c>
      <c r="P1455" s="449" t="s">
        <v>744</v>
      </c>
      <c r="Q1455" s="449"/>
      <c r="R1455" s="449"/>
      <c r="S1455" s="451" t="s">
        <v>713</v>
      </c>
      <c r="T1455" s="451" t="s">
        <v>967</v>
      </c>
      <c r="U1455" s="452">
        <v>273658.45098239824</v>
      </c>
      <c r="V145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5" s="272">
        <f>IFERROR(SUMIFS(TransUnitCost[Miles],TransUnitCost[Grouping_ID],TransTonsShort[[#This Row],[Grouping_ID]],TransUnitCost[Transp_ID],TransTonsShort[[#This Row],[Transp_ID]])*TransTonsShort[[#This Row],[Trans_Tons_All]]/TransTonsShort[[#This Row],[Trans_Tons_All]],"")</f>
        <v>0</v>
      </c>
      <c r="X1455" s="386" t="str">
        <f>TransTonsShort[[#This Row],[Grouping_ID]]&amp;"-"&amp;TransTonsShort[[#This Row],[Sector_ID]]</f>
        <v>1-1</v>
      </c>
      <c r="Y14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55" s="421">
        <f>INDEX(LandfillFees[Disposal Tip Fee 2025],MATCH(TransTonsShort[[#This Row],[Grouping_ID]],LandfillFees[Grouping_ID],0))</f>
        <v>134.68</v>
      </c>
      <c r="AA1455" s="102">
        <f>IF(OR(TransTonsShort[[#This Row],[CollectionStream_ID]]="03",TransTonsShort[[#This Row],[CollectionStream_ID]]="04",TransTonsShort[[#This Row],[CollectionStream_ID]]="13"),0,TransTonsShort[[#This Row],[Trans_Tons_All]]*TransTonsShort[[#This Row],[Disposal_Fee]])</f>
        <v>0</v>
      </c>
    </row>
    <row r="1456" spans="12:27" ht="15" x14ac:dyDescent="0.25">
      <c r="L1456" s="446" t="s">
        <v>873</v>
      </c>
      <c r="M1456" s="446">
        <v>1</v>
      </c>
      <c r="N1456" s="446">
        <v>1</v>
      </c>
      <c r="O1456" s="446" t="s">
        <v>719</v>
      </c>
      <c r="P1456" s="449" t="s">
        <v>744</v>
      </c>
      <c r="Q1456" s="449"/>
      <c r="R1456" s="449"/>
      <c r="S1456" s="451" t="s">
        <v>720</v>
      </c>
      <c r="T1456" s="451" t="s">
        <v>967</v>
      </c>
      <c r="U1456" s="452">
        <v>144781.32652718961</v>
      </c>
      <c r="V145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6" s="272">
        <f>IFERROR(SUMIFS(TransUnitCost[Miles],TransUnitCost[Grouping_ID],TransTonsShort[[#This Row],[Grouping_ID]],TransUnitCost[Transp_ID],TransTonsShort[[#This Row],[Transp_ID]])*TransTonsShort[[#This Row],[Trans_Tons_All]]/TransTonsShort[[#This Row],[Trans_Tons_All]],"")</f>
        <v>0</v>
      </c>
      <c r="X1456" s="386" t="str">
        <f>TransTonsShort[[#This Row],[Grouping_ID]]&amp;"-"&amp;TransTonsShort[[#This Row],[Sector_ID]]</f>
        <v>1-1</v>
      </c>
      <c r="Y14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56" s="421">
        <f>INDEX(LandfillFees[Disposal Tip Fee 2025],MATCH(TransTonsShort[[#This Row],[Grouping_ID]],LandfillFees[Grouping_ID],0))</f>
        <v>134.68</v>
      </c>
      <c r="AA1456" s="102">
        <f>IF(OR(TransTonsShort[[#This Row],[CollectionStream_ID]]="03",TransTonsShort[[#This Row],[CollectionStream_ID]]="04",TransTonsShort[[#This Row],[CollectionStream_ID]]="13"),0,TransTonsShort[[#This Row],[Trans_Tons_All]]*TransTonsShort[[#This Row],[Disposal_Fee]])</f>
        <v>0</v>
      </c>
    </row>
    <row r="1457" spans="12:27" ht="15" x14ac:dyDescent="0.25">
      <c r="L1457" s="446" t="s">
        <v>873</v>
      </c>
      <c r="M1457" s="446">
        <v>1</v>
      </c>
      <c r="N1457" s="446">
        <v>1</v>
      </c>
      <c r="O1457" s="446" t="s">
        <v>754</v>
      </c>
      <c r="P1457" s="449" t="s">
        <v>744</v>
      </c>
      <c r="Q1457" s="449"/>
      <c r="R1457" s="449"/>
      <c r="S1457" s="451" t="s">
        <v>1991</v>
      </c>
      <c r="T1457" s="451" t="s">
        <v>967</v>
      </c>
      <c r="U1457" s="452">
        <v>343.64376002431334</v>
      </c>
      <c r="V145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7" s="272">
        <f>IFERROR(SUMIFS(TransUnitCost[Miles],TransUnitCost[Grouping_ID],TransTonsShort[[#This Row],[Grouping_ID]],TransUnitCost[Transp_ID],TransTonsShort[[#This Row],[Transp_ID]])*TransTonsShort[[#This Row],[Trans_Tons_All]]/TransTonsShort[[#This Row],[Trans_Tons_All]],"")</f>
        <v>0</v>
      </c>
      <c r="X1457" s="386" t="str">
        <f>TransTonsShort[[#This Row],[Grouping_ID]]&amp;"-"&amp;TransTonsShort[[#This Row],[Sector_ID]]</f>
        <v>1-1</v>
      </c>
      <c r="Y14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57" s="421">
        <f>INDEX(LandfillFees[Disposal Tip Fee 2025],MATCH(TransTonsShort[[#This Row],[Grouping_ID]],LandfillFees[Grouping_ID],0))</f>
        <v>134.68</v>
      </c>
      <c r="AA1457" s="102">
        <f>IF(OR(TransTonsShort[[#This Row],[CollectionStream_ID]]="03",TransTonsShort[[#This Row],[CollectionStream_ID]]="04",TransTonsShort[[#This Row],[CollectionStream_ID]]="13"),0,TransTonsShort[[#This Row],[Trans_Tons_All]]*TransTonsShort[[#This Row],[Disposal_Fee]])</f>
        <v>0</v>
      </c>
    </row>
    <row r="1458" spans="12:27" ht="15" x14ac:dyDescent="0.25">
      <c r="L1458" s="446" t="s">
        <v>873</v>
      </c>
      <c r="M1458" s="446">
        <v>1</v>
      </c>
      <c r="N1458" s="446">
        <v>2</v>
      </c>
      <c r="O1458" s="446" t="s">
        <v>712</v>
      </c>
      <c r="P1458" s="449" t="s">
        <v>744</v>
      </c>
      <c r="Q1458" s="449"/>
      <c r="R1458" s="449"/>
      <c r="S1458" s="451" t="s">
        <v>713</v>
      </c>
      <c r="T1458" s="451" t="s">
        <v>967</v>
      </c>
      <c r="U1458" s="452">
        <v>115976.35625635512</v>
      </c>
      <c r="V145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8" s="272">
        <f>IFERROR(SUMIFS(TransUnitCost[Miles],TransUnitCost[Grouping_ID],TransTonsShort[[#This Row],[Grouping_ID]],TransUnitCost[Transp_ID],TransTonsShort[[#This Row],[Transp_ID]])*TransTonsShort[[#This Row],[Trans_Tons_All]]/TransTonsShort[[#This Row],[Trans_Tons_All]],"")</f>
        <v>0</v>
      </c>
      <c r="X1458" s="386" t="str">
        <f>TransTonsShort[[#This Row],[Grouping_ID]]&amp;"-"&amp;TransTonsShort[[#This Row],[Sector_ID]]</f>
        <v>1-2</v>
      </c>
      <c r="Y14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58" s="421">
        <f>INDEX(LandfillFees[Disposal Tip Fee 2025],MATCH(TransTonsShort[[#This Row],[Grouping_ID]],LandfillFees[Grouping_ID],0))</f>
        <v>134.68</v>
      </c>
      <c r="AA1458" s="102">
        <f>IF(OR(TransTonsShort[[#This Row],[CollectionStream_ID]]="03",TransTonsShort[[#This Row],[CollectionStream_ID]]="04",TransTonsShort[[#This Row],[CollectionStream_ID]]="13"),0,TransTonsShort[[#This Row],[Trans_Tons_All]]*TransTonsShort[[#This Row],[Disposal_Fee]])</f>
        <v>0</v>
      </c>
    </row>
    <row r="1459" spans="12:27" ht="15" x14ac:dyDescent="0.25">
      <c r="L1459" s="446" t="s">
        <v>873</v>
      </c>
      <c r="M1459" s="446">
        <v>1</v>
      </c>
      <c r="N1459" s="446">
        <v>2</v>
      </c>
      <c r="O1459" s="446" t="s">
        <v>719</v>
      </c>
      <c r="P1459" s="449" t="s">
        <v>744</v>
      </c>
      <c r="Q1459" s="449"/>
      <c r="R1459" s="449"/>
      <c r="S1459" s="451" t="s">
        <v>720</v>
      </c>
      <c r="T1459" s="451" t="s">
        <v>967</v>
      </c>
      <c r="U1459" s="452">
        <v>3180.8415117578074</v>
      </c>
      <c r="V145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59" s="272">
        <f>IFERROR(SUMIFS(TransUnitCost[Miles],TransUnitCost[Grouping_ID],TransTonsShort[[#This Row],[Grouping_ID]],TransUnitCost[Transp_ID],TransTonsShort[[#This Row],[Transp_ID]])*TransTonsShort[[#This Row],[Trans_Tons_All]]/TransTonsShort[[#This Row],[Trans_Tons_All]],"")</f>
        <v>0</v>
      </c>
      <c r="X1459" s="386" t="str">
        <f>TransTonsShort[[#This Row],[Grouping_ID]]&amp;"-"&amp;TransTonsShort[[#This Row],[Sector_ID]]</f>
        <v>1-2</v>
      </c>
      <c r="Y14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59" s="421">
        <f>INDEX(LandfillFees[Disposal Tip Fee 2025],MATCH(TransTonsShort[[#This Row],[Grouping_ID]],LandfillFees[Grouping_ID],0))</f>
        <v>134.68</v>
      </c>
      <c r="AA1459" s="102">
        <f>IF(OR(TransTonsShort[[#This Row],[CollectionStream_ID]]="03",TransTonsShort[[#This Row],[CollectionStream_ID]]="04",TransTonsShort[[#This Row],[CollectionStream_ID]]="13"),0,TransTonsShort[[#This Row],[Trans_Tons_All]]*TransTonsShort[[#This Row],[Disposal_Fee]])</f>
        <v>0</v>
      </c>
    </row>
    <row r="1460" spans="12:27" ht="15" x14ac:dyDescent="0.25">
      <c r="L1460" s="446" t="s">
        <v>873</v>
      </c>
      <c r="M1460" s="446">
        <v>1</v>
      </c>
      <c r="N1460" s="446">
        <v>2</v>
      </c>
      <c r="O1460" s="446" t="s">
        <v>754</v>
      </c>
      <c r="P1460" s="449" t="s">
        <v>744</v>
      </c>
      <c r="Q1460" s="449"/>
      <c r="R1460" s="449"/>
      <c r="S1460" s="451" t="s">
        <v>1991</v>
      </c>
      <c r="T1460" s="451" t="s">
        <v>967</v>
      </c>
      <c r="U1460" s="452">
        <v>0.84305151988863725</v>
      </c>
      <c r="V146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0" s="272">
        <f>IFERROR(SUMIFS(TransUnitCost[Miles],TransUnitCost[Grouping_ID],TransTonsShort[[#This Row],[Grouping_ID]],TransUnitCost[Transp_ID],TransTonsShort[[#This Row],[Transp_ID]])*TransTonsShort[[#This Row],[Trans_Tons_All]]/TransTonsShort[[#This Row],[Trans_Tons_All]],"")</f>
        <v>0</v>
      </c>
      <c r="X1460" s="386" t="str">
        <f>TransTonsShort[[#This Row],[Grouping_ID]]&amp;"-"&amp;TransTonsShort[[#This Row],[Sector_ID]]</f>
        <v>1-2</v>
      </c>
      <c r="Y14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60" s="421">
        <f>INDEX(LandfillFees[Disposal Tip Fee 2025],MATCH(TransTonsShort[[#This Row],[Grouping_ID]],LandfillFees[Grouping_ID],0))</f>
        <v>134.68</v>
      </c>
      <c r="AA1460" s="102">
        <f>IF(OR(TransTonsShort[[#This Row],[CollectionStream_ID]]="03",TransTonsShort[[#This Row],[CollectionStream_ID]]="04",TransTonsShort[[#This Row],[CollectionStream_ID]]="13"),0,TransTonsShort[[#This Row],[Trans_Tons_All]]*TransTonsShort[[#This Row],[Disposal_Fee]])</f>
        <v>0</v>
      </c>
    </row>
    <row r="1461" spans="12:27" ht="15" x14ac:dyDescent="0.25">
      <c r="L1461" s="446" t="s">
        <v>873</v>
      </c>
      <c r="M1461" s="446">
        <v>1</v>
      </c>
      <c r="N1461" s="446">
        <v>3</v>
      </c>
      <c r="O1461" s="446" t="s">
        <v>712</v>
      </c>
      <c r="P1461" s="449" t="s">
        <v>744</v>
      </c>
      <c r="Q1461" s="449"/>
      <c r="R1461" s="449"/>
      <c r="S1461" s="451" t="s">
        <v>713</v>
      </c>
      <c r="T1461" s="451" t="s">
        <v>967</v>
      </c>
      <c r="U1461" s="452">
        <v>403111.49575222039</v>
      </c>
      <c r="V146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1" s="272">
        <f>IFERROR(SUMIFS(TransUnitCost[Miles],TransUnitCost[Grouping_ID],TransTonsShort[[#This Row],[Grouping_ID]],TransUnitCost[Transp_ID],TransTonsShort[[#This Row],[Transp_ID]])*TransTonsShort[[#This Row],[Trans_Tons_All]]/TransTonsShort[[#This Row],[Trans_Tons_All]],"")</f>
        <v>0</v>
      </c>
      <c r="X1461" s="386" t="str">
        <f>TransTonsShort[[#This Row],[Grouping_ID]]&amp;"-"&amp;TransTonsShort[[#This Row],[Sector_ID]]</f>
        <v>1-3</v>
      </c>
      <c r="Y14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61" s="421">
        <f>INDEX(LandfillFees[Disposal Tip Fee 2025],MATCH(TransTonsShort[[#This Row],[Grouping_ID]],LandfillFees[Grouping_ID],0))</f>
        <v>134.68</v>
      </c>
      <c r="AA1461" s="102">
        <f>IF(OR(TransTonsShort[[#This Row],[CollectionStream_ID]]="03",TransTonsShort[[#This Row],[CollectionStream_ID]]="04",TransTonsShort[[#This Row],[CollectionStream_ID]]="13"),0,TransTonsShort[[#This Row],[Trans_Tons_All]]*TransTonsShort[[#This Row],[Disposal_Fee]])</f>
        <v>0</v>
      </c>
    </row>
    <row r="1462" spans="12:27" ht="15" x14ac:dyDescent="0.25">
      <c r="L1462" s="446" t="s">
        <v>873</v>
      </c>
      <c r="M1462" s="446">
        <v>1</v>
      </c>
      <c r="N1462" s="446">
        <v>3</v>
      </c>
      <c r="O1462" s="446" t="s">
        <v>719</v>
      </c>
      <c r="P1462" s="449" t="s">
        <v>744</v>
      </c>
      <c r="Q1462" s="449"/>
      <c r="R1462" s="449"/>
      <c r="S1462" s="451" t="s">
        <v>720</v>
      </c>
      <c r="T1462" s="451" t="s">
        <v>967</v>
      </c>
      <c r="U1462" s="452">
        <v>40366.685615916875</v>
      </c>
      <c r="V146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2" s="272">
        <f>IFERROR(SUMIFS(TransUnitCost[Miles],TransUnitCost[Grouping_ID],TransTonsShort[[#This Row],[Grouping_ID]],TransUnitCost[Transp_ID],TransTonsShort[[#This Row],[Transp_ID]])*TransTonsShort[[#This Row],[Trans_Tons_All]]/TransTonsShort[[#This Row],[Trans_Tons_All]],"")</f>
        <v>0</v>
      </c>
      <c r="X1462" s="386" t="str">
        <f>TransTonsShort[[#This Row],[Grouping_ID]]&amp;"-"&amp;TransTonsShort[[#This Row],[Sector_ID]]</f>
        <v>1-3</v>
      </c>
      <c r="Y14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62" s="421">
        <f>INDEX(LandfillFees[Disposal Tip Fee 2025],MATCH(TransTonsShort[[#This Row],[Grouping_ID]],LandfillFees[Grouping_ID],0))</f>
        <v>134.68</v>
      </c>
      <c r="AA1462" s="102">
        <f>IF(OR(TransTonsShort[[#This Row],[CollectionStream_ID]]="03",TransTonsShort[[#This Row],[CollectionStream_ID]]="04",TransTonsShort[[#This Row],[CollectionStream_ID]]="13"),0,TransTonsShort[[#This Row],[Trans_Tons_All]]*TransTonsShort[[#This Row],[Disposal_Fee]])</f>
        <v>0</v>
      </c>
    </row>
    <row r="1463" spans="12:27" ht="15" x14ac:dyDescent="0.25">
      <c r="L1463" s="446" t="s">
        <v>873</v>
      </c>
      <c r="M1463" s="446">
        <v>1</v>
      </c>
      <c r="N1463" s="446">
        <v>3</v>
      </c>
      <c r="O1463" s="446" t="s">
        <v>754</v>
      </c>
      <c r="P1463" s="449" t="s">
        <v>744</v>
      </c>
      <c r="Q1463" s="449"/>
      <c r="R1463" s="449"/>
      <c r="S1463" s="451" t="s">
        <v>1991</v>
      </c>
      <c r="T1463" s="451" t="s">
        <v>967</v>
      </c>
      <c r="U1463" s="452">
        <v>699.42953050571566</v>
      </c>
      <c r="V146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3" s="272">
        <f>IFERROR(SUMIFS(TransUnitCost[Miles],TransUnitCost[Grouping_ID],TransTonsShort[[#This Row],[Grouping_ID]],TransUnitCost[Transp_ID],TransTonsShort[[#This Row],[Transp_ID]])*TransTonsShort[[#This Row],[Trans_Tons_All]]/TransTonsShort[[#This Row],[Trans_Tons_All]],"")</f>
        <v>0</v>
      </c>
      <c r="X1463" s="386" t="str">
        <f>TransTonsShort[[#This Row],[Grouping_ID]]&amp;"-"&amp;TransTonsShort[[#This Row],[Sector_ID]]</f>
        <v>1-3</v>
      </c>
      <c r="Y14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63" s="421">
        <f>INDEX(LandfillFees[Disposal Tip Fee 2025],MATCH(TransTonsShort[[#This Row],[Grouping_ID]],LandfillFees[Grouping_ID],0))</f>
        <v>134.68</v>
      </c>
      <c r="AA1463" s="102">
        <f>IF(OR(TransTonsShort[[#This Row],[CollectionStream_ID]]="03",TransTonsShort[[#This Row],[CollectionStream_ID]]="04",TransTonsShort[[#This Row],[CollectionStream_ID]]="13"),0,TransTonsShort[[#This Row],[Trans_Tons_All]]*TransTonsShort[[#This Row],[Disposal_Fee]])</f>
        <v>0</v>
      </c>
    </row>
    <row r="1464" spans="12:27" ht="15" x14ac:dyDescent="0.25">
      <c r="L1464" s="446" t="s">
        <v>873</v>
      </c>
      <c r="M1464" s="446">
        <v>1</v>
      </c>
      <c r="N1464" s="446">
        <v>4</v>
      </c>
      <c r="O1464" s="446" t="s">
        <v>712</v>
      </c>
      <c r="P1464" s="449" t="s">
        <v>744</v>
      </c>
      <c r="Q1464" s="449"/>
      <c r="R1464" s="449"/>
      <c r="S1464" s="451" t="s">
        <v>713</v>
      </c>
      <c r="T1464" s="451" t="s">
        <v>967</v>
      </c>
      <c r="U1464" s="452">
        <v>150237.78824372627</v>
      </c>
      <c r="V146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4" s="272">
        <f>IFERROR(SUMIFS(TransUnitCost[Miles],TransUnitCost[Grouping_ID],TransTonsShort[[#This Row],[Grouping_ID]],TransUnitCost[Transp_ID],TransTonsShort[[#This Row],[Transp_ID]])*TransTonsShort[[#This Row],[Trans_Tons_All]]/TransTonsShort[[#This Row],[Trans_Tons_All]],"")</f>
        <v>0</v>
      </c>
      <c r="X1464" s="386" t="str">
        <f>TransTonsShort[[#This Row],[Grouping_ID]]&amp;"-"&amp;TransTonsShort[[#This Row],[Sector_ID]]</f>
        <v>1-4</v>
      </c>
      <c r="Y14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64" s="421">
        <f>INDEX(LandfillFees[Disposal Tip Fee 2025],MATCH(TransTonsShort[[#This Row],[Grouping_ID]],LandfillFees[Grouping_ID],0))</f>
        <v>134.68</v>
      </c>
      <c r="AA1464" s="102">
        <f>IF(OR(TransTonsShort[[#This Row],[CollectionStream_ID]]="03",TransTonsShort[[#This Row],[CollectionStream_ID]]="04",TransTonsShort[[#This Row],[CollectionStream_ID]]="13"),0,TransTonsShort[[#This Row],[Trans_Tons_All]]*TransTonsShort[[#This Row],[Disposal_Fee]])</f>
        <v>0</v>
      </c>
    </row>
    <row r="1465" spans="12:27" ht="15" x14ac:dyDescent="0.25">
      <c r="L1465" s="446" t="s">
        <v>873</v>
      </c>
      <c r="M1465" s="446">
        <v>1</v>
      </c>
      <c r="N1465" s="446">
        <v>4</v>
      </c>
      <c r="O1465" s="446" t="s">
        <v>719</v>
      </c>
      <c r="P1465" s="449" t="s">
        <v>744</v>
      </c>
      <c r="Q1465" s="449"/>
      <c r="R1465" s="449"/>
      <c r="S1465" s="451" t="s">
        <v>720</v>
      </c>
      <c r="T1465" s="451" t="s">
        <v>967</v>
      </c>
      <c r="U1465" s="452">
        <v>4803.1254415545491</v>
      </c>
      <c r="V146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5" s="272">
        <f>IFERROR(SUMIFS(TransUnitCost[Miles],TransUnitCost[Grouping_ID],TransTonsShort[[#This Row],[Grouping_ID]],TransUnitCost[Transp_ID],TransTonsShort[[#This Row],[Transp_ID]])*TransTonsShort[[#This Row],[Trans_Tons_All]]/TransTonsShort[[#This Row],[Trans_Tons_All]],"")</f>
        <v>0</v>
      </c>
      <c r="X1465" s="386" t="str">
        <f>TransTonsShort[[#This Row],[Grouping_ID]]&amp;"-"&amp;TransTonsShort[[#This Row],[Sector_ID]]</f>
        <v>1-4</v>
      </c>
      <c r="Y14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65" s="421">
        <f>INDEX(LandfillFees[Disposal Tip Fee 2025],MATCH(TransTonsShort[[#This Row],[Grouping_ID]],LandfillFees[Grouping_ID],0))</f>
        <v>134.68</v>
      </c>
      <c r="AA1465" s="102">
        <f>IF(OR(TransTonsShort[[#This Row],[CollectionStream_ID]]="03",TransTonsShort[[#This Row],[CollectionStream_ID]]="04",TransTonsShort[[#This Row],[CollectionStream_ID]]="13"),0,TransTonsShort[[#This Row],[Trans_Tons_All]]*TransTonsShort[[#This Row],[Disposal_Fee]])</f>
        <v>0</v>
      </c>
    </row>
    <row r="1466" spans="12:27" ht="15" x14ac:dyDescent="0.25">
      <c r="L1466" s="446" t="s">
        <v>873</v>
      </c>
      <c r="M1466" s="446">
        <v>1</v>
      </c>
      <c r="N1466" s="446">
        <v>4</v>
      </c>
      <c r="O1466" s="446" t="s">
        <v>754</v>
      </c>
      <c r="P1466" s="449" t="s">
        <v>744</v>
      </c>
      <c r="Q1466" s="449"/>
      <c r="R1466" s="449"/>
      <c r="S1466" s="451" t="s">
        <v>1991</v>
      </c>
      <c r="T1466" s="451" t="s">
        <v>967</v>
      </c>
      <c r="U1466" s="452">
        <v>1379.2262399911913</v>
      </c>
      <c r="V146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6" s="272">
        <f>IFERROR(SUMIFS(TransUnitCost[Miles],TransUnitCost[Grouping_ID],TransTonsShort[[#This Row],[Grouping_ID]],TransUnitCost[Transp_ID],TransTonsShort[[#This Row],[Transp_ID]])*TransTonsShort[[#This Row],[Trans_Tons_All]]/TransTonsShort[[#This Row],[Trans_Tons_All]],"")</f>
        <v>0</v>
      </c>
      <c r="X1466" s="386" t="str">
        <f>TransTonsShort[[#This Row],[Grouping_ID]]&amp;"-"&amp;TransTonsShort[[#This Row],[Sector_ID]]</f>
        <v>1-4</v>
      </c>
      <c r="Y14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66" s="421">
        <f>INDEX(LandfillFees[Disposal Tip Fee 2025],MATCH(TransTonsShort[[#This Row],[Grouping_ID]],LandfillFees[Grouping_ID],0))</f>
        <v>134.68</v>
      </c>
      <c r="AA1466" s="102">
        <f>IF(OR(TransTonsShort[[#This Row],[CollectionStream_ID]]="03",TransTonsShort[[#This Row],[CollectionStream_ID]]="04",TransTonsShort[[#This Row],[CollectionStream_ID]]="13"),0,TransTonsShort[[#This Row],[Trans_Tons_All]]*TransTonsShort[[#This Row],[Disposal_Fee]])</f>
        <v>0</v>
      </c>
    </row>
    <row r="1467" spans="12:27" ht="15" x14ac:dyDescent="0.25">
      <c r="L1467" s="446" t="s">
        <v>873</v>
      </c>
      <c r="M1467" s="446">
        <v>1</v>
      </c>
      <c r="N1467" s="446">
        <v>5</v>
      </c>
      <c r="O1467" s="446" t="s">
        <v>754</v>
      </c>
      <c r="P1467" s="449" t="s">
        <v>744</v>
      </c>
      <c r="Q1467" s="449"/>
      <c r="R1467" s="449"/>
      <c r="S1467" s="451" t="s">
        <v>1991</v>
      </c>
      <c r="T1467" s="451" t="s">
        <v>967</v>
      </c>
      <c r="U1467" s="452">
        <v>594846.89943546033</v>
      </c>
      <c r="V146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7" s="272">
        <f>IFERROR(SUMIFS(TransUnitCost[Miles],TransUnitCost[Grouping_ID],TransTonsShort[[#This Row],[Grouping_ID]],TransUnitCost[Transp_ID],TransTonsShort[[#This Row],[Transp_ID]])*TransTonsShort[[#This Row],[Trans_Tons_All]]/TransTonsShort[[#This Row],[Trans_Tons_All]],"")</f>
        <v>0</v>
      </c>
      <c r="X1467" s="386" t="str">
        <f>TransTonsShort[[#This Row],[Grouping_ID]]&amp;"-"&amp;TransTonsShort[[#This Row],[Sector_ID]]</f>
        <v>1-5</v>
      </c>
      <c r="Y146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67" s="421">
        <f>INDEX(LandfillFees[Disposal Tip Fee 2025],MATCH(TransTonsShort[[#This Row],[Grouping_ID]],LandfillFees[Grouping_ID],0))</f>
        <v>134.68</v>
      </c>
      <c r="AA1467" s="102">
        <f>IF(OR(TransTonsShort[[#This Row],[CollectionStream_ID]]="03",TransTonsShort[[#This Row],[CollectionStream_ID]]="04",TransTonsShort[[#This Row],[CollectionStream_ID]]="13"),0,TransTonsShort[[#This Row],[Trans_Tons_All]]*TransTonsShort[[#This Row],[Disposal_Fee]])</f>
        <v>0</v>
      </c>
    </row>
    <row r="1468" spans="12:27" ht="15" x14ac:dyDescent="0.25">
      <c r="L1468" s="446" t="s">
        <v>873</v>
      </c>
      <c r="M1468" s="446">
        <v>1</v>
      </c>
      <c r="N1468" s="446">
        <v>6</v>
      </c>
      <c r="O1468" s="446" t="s">
        <v>754</v>
      </c>
      <c r="P1468" s="449" t="s">
        <v>744</v>
      </c>
      <c r="Q1468" s="449"/>
      <c r="R1468" s="449"/>
      <c r="S1468" s="451" t="s">
        <v>1991</v>
      </c>
      <c r="T1468" s="451" t="s">
        <v>967</v>
      </c>
      <c r="U1468" s="452">
        <v>29911.9210262825</v>
      </c>
      <c r="V146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8" s="272">
        <f>IFERROR(SUMIFS(TransUnitCost[Miles],TransUnitCost[Grouping_ID],TransTonsShort[[#This Row],[Grouping_ID]],TransUnitCost[Transp_ID],TransTonsShort[[#This Row],[Transp_ID]])*TransTonsShort[[#This Row],[Trans_Tons_All]]/TransTonsShort[[#This Row],[Trans_Tons_All]],"")</f>
        <v>0</v>
      </c>
      <c r="X1468" s="386" t="str">
        <f>TransTonsShort[[#This Row],[Grouping_ID]]&amp;"-"&amp;TransTonsShort[[#This Row],[Sector_ID]]</f>
        <v>1-6</v>
      </c>
      <c r="Y146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68" s="421">
        <f>INDEX(LandfillFees[Disposal Tip Fee 2025],MATCH(TransTonsShort[[#This Row],[Grouping_ID]],LandfillFees[Grouping_ID],0))</f>
        <v>134.68</v>
      </c>
      <c r="AA1468" s="102">
        <f>IF(OR(TransTonsShort[[#This Row],[CollectionStream_ID]]="03",TransTonsShort[[#This Row],[CollectionStream_ID]]="04",TransTonsShort[[#This Row],[CollectionStream_ID]]="13"),0,TransTonsShort[[#This Row],[Trans_Tons_All]]*TransTonsShort[[#This Row],[Disposal_Fee]])</f>
        <v>0</v>
      </c>
    </row>
    <row r="1469" spans="12:27" ht="15" x14ac:dyDescent="0.25">
      <c r="L1469" s="446" t="s">
        <v>873</v>
      </c>
      <c r="M1469" s="446">
        <v>2</v>
      </c>
      <c r="N1469" s="446">
        <v>1</v>
      </c>
      <c r="O1469" s="446" t="s">
        <v>712</v>
      </c>
      <c r="P1469" s="449" t="s">
        <v>744</v>
      </c>
      <c r="Q1469" s="449"/>
      <c r="R1469" s="449"/>
      <c r="S1469" s="451" t="s">
        <v>713</v>
      </c>
      <c r="T1469" s="451" t="s">
        <v>967</v>
      </c>
      <c r="U1469" s="452">
        <v>232766.79103445815</v>
      </c>
      <c r="V146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69" s="272">
        <f>IFERROR(SUMIFS(TransUnitCost[Miles],TransUnitCost[Grouping_ID],TransTonsShort[[#This Row],[Grouping_ID]],TransUnitCost[Transp_ID],TransTonsShort[[#This Row],[Transp_ID]])*TransTonsShort[[#This Row],[Trans_Tons_All]]/TransTonsShort[[#This Row],[Trans_Tons_All]],"")</f>
        <v>0</v>
      </c>
      <c r="X1469" s="386" t="str">
        <f>TransTonsShort[[#This Row],[Grouping_ID]]&amp;"-"&amp;TransTonsShort[[#This Row],[Sector_ID]]</f>
        <v>2-1</v>
      </c>
      <c r="Y146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69" s="421">
        <f>INDEX(LandfillFees[Disposal Tip Fee 2025],MATCH(TransTonsShort[[#This Row],[Grouping_ID]],LandfillFees[Grouping_ID],0))</f>
        <v>72.030938699729589</v>
      </c>
      <c r="AA1469" s="102">
        <f>IF(OR(TransTonsShort[[#This Row],[CollectionStream_ID]]="03",TransTonsShort[[#This Row],[CollectionStream_ID]]="04",TransTonsShort[[#This Row],[CollectionStream_ID]]="13"),0,TransTonsShort[[#This Row],[Trans_Tons_All]]*TransTonsShort[[#This Row],[Disposal_Fee]])</f>
        <v>0</v>
      </c>
    </row>
    <row r="1470" spans="12:27" ht="15" x14ac:dyDescent="0.25">
      <c r="L1470" s="446" t="s">
        <v>873</v>
      </c>
      <c r="M1470" s="446">
        <v>2</v>
      </c>
      <c r="N1470" s="446">
        <v>1</v>
      </c>
      <c r="O1470" s="446" t="s">
        <v>719</v>
      </c>
      <c r="P1470" s="449" t="s">
        <v>744</v>
      </c>
      <c r="Q1470" s="449"/>
      <c r="R1470" s="449"/>
      <c r="S1470" s="451" t="s">
        <v>720</v>
      </c>
      <c r="T1470" s="451" t="s">
        <v>967</v>
      </c>
      <c r="U1470" s="452">
        <v>114198.59104574661</v>
      </c>
      <c r="V147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0" s="272">
        <f>IFERROR(SUMIFS(TransUnitCost[Miles],TransUnitCost[Grouping_ID],TransTonsShort[[#This Row],[Grouping_ID]],TransUnitCost[Transp_ID],TransTonsShort[[#This Row],[Transp_ID]])*TransTonsShort[[#This Row],[Trans_Tons_All]]/TransTonsShort[[#This Row],[Trans_Tons_All]],"")</f>
        <v>0</v>
      </c>
      <c r="X1470" s="386" t="str">
        <f>TransTonsShort[[#This Row],[Grouping_ID]]&amp;"-"&amp;TransTonsShort[[#This Row],[Sector_ID]]</f>
        <v>2-1</v>
      </c>
      <c r="Y147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70" s="421">
        <f>INDEX(LandfillFees[Disposal Tip Fee 2025],MATCH(TransTonsShort[[#This Row],[Grouping_ID]],LandfillFees[Grouping_ID],0))</f>
        <v>72.030938699729589</v>
      </c>
      <c r="AA1470" s="102">
        <f>IF(OR(TransTonsShort[[#This Row],[CollectionStream_ID]]="03",TransTonsShort[[#This Row],[CollectionStream_ID]]="04",TransTonsShort[[#This Row],[CollectionStream_ID]]="13"),0,TransTonsShort[[#This Row],[Trans_Tons_All]]*TransTonsShort[[#This Row],[Disposal_Fee]])</f>
        <v>0</v>
      </c>
    </row>
    <row r="1471" spans="12:27" ht="15" x14ac:dyDescent="0.25">
      <c r="L1471" s="446" t="s">
        <v>873</v>
      </c>
      <c r="M1471" s="446">
        <v>2</v>
      </c>
      <c r="N1471" s="446">
        <v>1</v>
      </c>
      <c r="O1471" s="446" t="s">
        <v>754</v>
      </c>
      <c r="P1471" s="449" t="s">
        <v>744</v>
      </c>
      <c r="Q1471" s="449"/>
      <c r="R1471" s="449"/>
      <c r="S1471" s="451" t="s">
        <v>1991</v>
      </c>
      <c r="T1471" s="451" t="s">
        <v>967</v>
      </c>
      <c r="U1471" s="452">
        <v>316.02729869964475</v>
      </c>
      <c r="V147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1" s="272">
        <f>IFERROR(SUMIFS(TransUnitCost[Miles],TransUnitCost[Grouping_ID],TransTonsShort[[#This Row],[Grouping_ID]],TransUnitCost[Transp_ID],TransTonsShort[[#This Row],[Transp_ID]])*TransTonsShort[[#This Row],[Trans_Tons_All]]/TransTonsShort[[#This Row],[Trans_Tons_All]],"")</f>
        <v>0</v>
      </c>
      <c r="X1471" s="386" t="str">
        <f>TransTonsShort[[#This Row],[Grouping_ID]]&amp;"-"&amp;TransTonsShort[[#This Row],[Sector_ID]]</f>
        <v>2-1</v>
      </c>
      <c r="Y147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71" s="421">
        <f>INDEX(LandfillFees[Disposal Tip Fee 2025],MATCH(TransTonsShort[[#This Row],[Grouping_ID]],LandfillFees[Grouping_ID],0))</f>
        <v>72.030938699729589</v>
      </c>
      <c r="AA1471" s="102">
        <f>IF(OR(TransTonsShort[[#This Row],[CollectionStream_ID]]="03",TransTonsShort[[#This Row],[CollectionStream_ID]]="04",TransTonsShort[[#This Row],[CollectionStream_ID]]="13"),0,TransTonsShort[[#This Row],[Trans_Tons_All]]*TransTonsShort[[#This Row],[Disposal_Fee]])</f>
        <v>0</v>
      </c>
    </row>
    <row r="1472" spans="12:27" ht="15" x14ac:dyDescent="0.25">
      <c r="L1472" s="446" t="s">
        <v>873</v>
      </c>
      <c r="M1472" s="446">
        <v>2</v>
      </c>
      <c r="N1472" s="446">
        <v>2</v>
      </c>
      <c r="O1472" s="446" t="s">
        <v>712</v>
      </c>
      <c r="P1472" s="449" t="s">
        <v>744</v>
      </c>
      <c r="Q1472" s="449"/>
      <c r="R1472" s="449"/>
      <c r="S1472" s="451" t="s">
        <v>713</v>
      </c>
      <c r="T1472" s="451" t="s">
        <v>967</v>
      </c>
      <c r="U1472" s="452">
        <v>85354.082230524524</v>
      </c>
      <c r="V147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2" s="272">
        <f>IFERROR(SUMIFS(TransUnitCost[Miles],TransUnitCost[Grouping_ID],TransTonsShort[[#This Row],[Grouping_ID]],TransUnitCost[Transp_ID],TransTonsShort[[#This Row],[Transp_ID]])*TransTonsShort[[#This Row],[Trans_Tons_All]]/TransTonsShort[[#This Row],[Trans_Tons_All]],"")</f>
        <v>0</v>
      </c>
      <c r="X1472" s="386" t="str">
        <f>TransTonsShort[[#This Row],[Grouping_ID]]&amp;"-"&amp;TransTonsShort[[#This Row],[Sector_ID]]</f>
        <v>2-2</v>
      </c>
      <c r="Y147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72" s="421">
        <f>INDEX(LandfillFees[Disposal Tip Fee 2025],MATCH(TransTonsShort[[#This Row],[Grouping_ID]],LandfillFees[Grouping_ID],0))</f>
        <v>72.030938699729589</v>
      </c>
      <c r="AA1472" s="102">
        <f>IF(OR(TransTonsShort[[#This Row],[CollectionStream_ID]]="03",TransTonsShort[[#This Row],[CollectionStream_ID]]="04",TransTonsShort[[#This Row],[CollectionStream_ID]]="13"),0,TransTonsShort[[#This Row],[Trans_Tons_All]]*TransTonsShort[[#This Row],[Disposal_Fee]])</f>
        <v>0</v>
      </c>
    </row>
    <row r="1473" spans="12:27" ht="15" x14ac:dyDescent="0.25">
      <c r="L1473" s="446" t="s">
        <v>873</v>
      </c>
      <c r="M1473" s="446">
        <v>2</v>
      </c>
      <c r="N1473" s="446">
        <v>2</v>
      </c>
      <c r="O1473" s="446" t="s">
        <v>719</v>
      </c>
      <c r="P1473" s="449" t="s">
        <v>744</v>
      </c>
      <c r="Q1473" s="449"/>
      <c r="R1473" s="449"/>
      <c r="S1473" s="451" t="s">
        <v>720</v>
      </c>
      <c r="T1473" s="451" t="s">
        <v>967</v>
      </c>
      <c r="U1473" s="452">
        <v>0</v>
      </c>
      <c r="V147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3" s="272" t="str">
        <f>IFERROR(SUMIFS(TransUnitCost[Miles],TransUnitCost[Grouping_ID],TransTonsShort[[#This Row],[Grouping_ID]],TransUnitCost[Transp_ID],TransTonsShort[[#This Row],[Transp_ID]])*TransTonsShort[[#This Row],[Trans_Tons_All]]/TransTonsShort[[#This Row],[Trans_Tons_All]],"")</f>
        <v/>
      </c>
      <c r="X1473" s="386" t="str">
        <f>TransTonsShort[[#This Row],[Grouping_ID]]&amp;"-"&amp;TransTonsShort[[#This Row],[Sector_ID]]</f>
        <v>2-2</v>
      </c>
      <c r="Y147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73" s="421">
        <f>INDEX(LandfillFees[Disposal Tip Fee 2025],MATCH(TransTonsShort[[#This Row],[Grouping_ID]],LandfillFees[Grouping_ID],0))</f>
        <v>72.030938699729589</v>
      </c>
      <c r="AA1473" s="102">
        <f>IF(OR(TransTonsShort[[#This Row],[CollectionStream_ID]]="03",TransTonsShort[[#This Row],[CollectionStream_ID]]="04",TransTonsShort[[#This Row],[CollectionStream_ID]]="13"),0,TransTonsShort[[#This Row],[Trans_Tons_All]]*TransTonsShort[[#This Row],[Disposal_Fee]])</f>
        <v>0</v>
      </c>
    </row>
    <row r="1474" spans="12:27" ht="15" x14ac:dyDescent="0.25">
      <c r="L1474" s="446" t="s">
        <v>873</v>
      </c>
      <c r="M1474" s="446">
        <v>2</v>
      </c>
      <c r="N1474" s="446">
        <v>2</v>
      </c>
      <c r="O1474" s="446" t="s">
        <v>754</v>
      </c>
      <c r="P1474" s="449" t="s">
        <v>744</v>
      </c>
      <c r="Q1474" s="449"/>
      <c r="R1474" s="449"/>
      <c r="S1474" s="451" t="s">
        <v>1991</v>
      </c>
      <c r="T1474" s="451" t="s">
        <v>967</v>
      </c>
      <c r="U1474" s="452">
        <v>0</v>
      </c>
      <c r="V147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4" s="272" t="str">
        <f>IFERROR(SUMIFS(TransUnitCost[Miles],TransUnitCost[Grouping_ID],TransTonsShort[[#This Row],[Grouping_ID]],TransUnitCost[Transp_ID],TransTonsShort[[#This Row],[Transp_ID]])*TransTonsShort[[#This Row],[Trans_Tons_All]]/TransTonsShort[[#This Row],[Trans_Tons_All]],"")</f>
        <v/>
      </c>
      <c r="X1474" s="386" t="str">
        <f>TransTonsShort[[#This Row],[Grouping_ID]]&amp;"-"&amp;TransTonsShort[[#This Row],[Sector_ID]]</f>
        <v>2-2</v>
      </c>
      <c r="Y147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74" s="421">
        <f>INDEX(LandfillFees[Disposal Tip Fee 2025],MATCH(TransTonsShort[[#This Row],[Grouping_ID]],LandfillFees[Grouping_ID],0))</f>
        <v>72.030938699729589</v>
      </c>
      <c r="AA1474" s="102">
        <f>IF(OR(TransTonsShort[[#This Row],[CollectionStream_ID]]="03",TransTonsShort[[#This Row],[CollectionStream_ID]]="04",TransTonsShort[[#This Row],[CollectionStream_ID]]="13"),0,TransTonsShort[[#This Row],[Trans_Tons_All]]*TransTonsShort[[#This Row],[Disposal_Fee]])</f>
        <v>0</v>
      </c>
    </row>
    <row r="1475" spans="12:27" ht="15" x14ac:dyDescent="0.25">
      <c r="L1475" s="446" t="s">
        <v>873</v>
      </c>
      <c r="M1475" s="446">
        <v>2</v>
      </c>
      <c r="N1475" s="446">
        <v>3</v>
      </c>
      <c r="O1475" s="446" t="s">
        <v>712</v>
      </c>
      <c r="P1475" s="449" t="s">
        <v>744</v>
      </c>
      <c r="Q1475" s="449"/>
      <c r="R1475" s="449"/>
      <c r="S1475" s="451" t="s">
        <v>713</v>
      </c>
      <c r="T1475" s="451" t="s">
        <v>967</v>
      </c>
      <c r="U1475" s="452">
        <v>305242.93716948526</v>
      </c>
      <c r="V147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5" s="272">
        <f>IFERROR(SUMIFS(TransUnitCost[Miles],TransUnitCost[Grouping_ID],TransTonsShort[[#This Row],[Grouping_ID]],TransUnitCost[Transp_ID],TransTonsShort[[#This Row],[Transp_ID]])*TransTonsShort[[#This Row],[Trans_Tons_All]]/TransTonsShort[[#This Row],[Trans_Tons_All]],"")</f>
        <v>0</v>
      </c>
      <c r="X1475" s="386" t="str">
        <f>TransTonsShort[[#This Row],[Grouping_ID]]&amp;"-"&amp;TransTonsShort[[#This Row],[Sector_ID]]</f>
        <v>2-3</v>
      </c>
      <c r="Y147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75" s="421">
        <f>INDEX(LandfillFees[Disposal Tip Fee 2025],MATCH(TransTonsShort[[#This Row],[Grouping_ID]],LandfillFees[Grouping_ID],0))</f>
        <v>72.030938699729589</v>
      </c>
      <c r="AA1475" s="102">
        <f>IF(OR(TransTonsShort[[#This Row],[CollectionStream_ID]]="03",TransTonsShort[[#This Row],[CollectionStream_ID]]="04",TransTonsShort[[#This Row],[CollectionStream_ID]]="13"),0,TransTonsShort[[#This Row],[Trans_Tons_All]]*TransTonsShort[[#This Row],[Disposal_Fee]])</f>
        <v>0</v>
      </c>
    </row>
    <row r="1476" spans="12:27" ht="15" x14ac:dyDescent="0.25">
      <c r="L1476" s="446" t="s">
        <v>873</v>
      </c>
      <c r="M1476" s="446">
        <v>2</v>
      </c>
      <c r="N1476" s="446">
        <v>3</v>
      </c>
      <c r="O1476" s="446" t="s">
        <v>719</v>
      </c>
      <c r="P1476" s="449" t="s">
        <v>744</v>
      </c>
      <c r="Q1476" s="449"/>
      <c r="R1476" s="449"/>
      <c r="S1476" s="451" t="s">
        <v>720</v>
      </c>
      <c r="T1476" s="451" t="s">
        <v>967</v>
      </c>
      <c r="U1476" s="452">
        <v>27604.286216393386</v>
      </c>
      <c r="V147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6" s="272">
        <f>IFERROR(SUMIFS(TransUnitCost[Miles],TransUnitCost[Grouping_ID],TransTonsShort[[#This Row],[Grouping_ID]],TransUnitCost[Transp_ID],TransTonsShort[[#This Row],[Transp_ID]])*TransTonsShort[[#This Row],[Trans_Tons_All]]/TransTonsShort[[#This Row],[Trans_Tons_All]],"")</f>
        <v>0</v>
      </c>
      <c r="X1476" s="386" t="str">
        <f>TransTonsShort[[#This Row],[Grouping_ID]]&amp;"-"&amp;TransTonsShort[[#This Row],[Sector_ID]]</f>
        <v>2-3</v>
      </c>
      <c r="Y147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76" s="421">
        <f>INDEX(LandfillFees[Disposal Tip Fee 2025],MATCH(TransTonsShort[[#This Row],[Grouping_ID]],LandfillFees[Grouping_ID],0))</f>
        <v>72.030938699729589</v>
      </c>
      <c r="AA1476" s="102">
        <f>IF(OR(TransTonsShort[[#This Row],[CollectionStream_ID]]="03",TransTonsShort[[#This Row],[CollectionStream_ID]]="04",TransTonsShort[[#This Row],[CollectionStream_ID]]="13"),0,TransTonsShort[[#This Row],[Trans_Tons_All]]*TransTonsShort[[#This Row],[Disposal_Fee]])</f>
        <v>0</v>
      </c>
    </row>
    <row r="1477" spans="12:27" ht="15" x14ac:dyDescent="0.25">
      <c r="L1477" s="446" t="s">
        <v>873</v>
      </c>
      <c r="M1477" s="446">
        <v>2</v>
      </c>
      <c r="N1477" s="446">
        <v>3</v>
      </c>
      <c r="O1477" s="446" t="s">
        <v>754</v>
      </c>
      <c r="P1477" s="449" t="s">
        <v>744</v>
      </c>
      <c r="Q1477" s="449"/>
      <c r="R1477" s="449"/>
      <c r="S1477" s="451" t="s">
        <v>1991</v>
      </c>
      <c r="T1477" s="451" t="s">
        <v>967</v>
      </c>
      <c r="U1477" s="452">
        <v>190.58148001798901</v>
      </c>
      <c r="V147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7" s="272">
        <f>IFERROR(SUMIFS(TransUnitCost[Miles],TransUnitCost[Grouping_ID],TransTonsShort[[#This Row],[Grouping_ID]],TransUnitCost[Transp_ID],TransTonsShort[[#This Row],[Transp_ID]])*TransTonsShort[[#This Row],[Trans_Tons_All]]/TransTonsShort[[#This Row],[Trans_Tons_All]],"")</f>
        <v>0</v>
      </c>
      <c r="X1477" s="386" t="str">
        <f>TransTonsShort[[#This Row],[Grouping_ID]]&amp;"-"&amp;TransTonsShort[[#This Row],[Sector_ID]]</f>
        <v>2-3</v>
      </c>
      <c r="Y147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77" s="421">
        <f>INDEX(LandfillFees[Disposal Tip Fee 2025],MATCH(TransTonsShort[[#This Row],[Grouping_ID]],LandfillFees[Grouping_ID],0))</f>
        <v>72.030938699729589</v>
      </c>
      <c r="AA1477" s="102">
        <f>IF(OR(TransTonsShort[[#This Row],[CollectionStream_ID]]="03",TransTonsShort[[#This Row],[CollectionStream_ID]]="04",TransTonsShort[[#This Row],[CollectionStream_ID]]="13"),0,TransTonsShort[[#This Row],[Trans_Tons_All]]*TransTonsShort[[#This Row],[Disposal_Fee]])</f>
        <v>0</v>
      </c>
    </row>
    <row r="1478" spans="12:27" ht="15" x14ac:dyDescent="0.25">
      <c r="L1478" s="446" t="s">
        <v>873</v>
      </c>
      <c r="M1478" s="446">
        <v>2</v>
      </c>
      <c r="N1478" s="446">
        <v>4</v>
      </c>
      <c r="O1478" s="446" t="s">
        <v>712</v>
      </c>
      <c r="P1478" s="449" t="s">
        <v>744</v>
      </c>
      <c r="Q1478" s="449"/>
      <c r="R1478" s="449"/>
      <c r="S1478" s="451" t="s">
        <v>713</v>
      </c>
      <c r="T1478" s="451" t="s">
        <v>967</v>
      </c>
      <c r="U1478" s="452">
        <v>172416.22231892723</v>
      </c>
      <c r="V147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8" s="272">
        <f>IFERROR(SUMIFS(TransUnitCost[Miles],TransUnitCost[Grouping_ID],TransTonsShort[[#This Row],[Grouping_ID]],TransUnitCost[Transp_ID],TransTonsShort[[#This Row],[Transp_ID]])*TransTonsShort[[#This Row],[Trans_Tons_All]]/TransTonsShort[[#This Row],[Trans_Tons_All]],"")</f>
        <v>0</v>
      </c>
      <c r="X1478" s="386" t="str">
        <f>TransTonsShort[[#This Row],[Grouping_ID]]&amp;"-"&amp;TransTonsShort[[#This Row],[Sector_ID]]</f>
        <v>2-4</v>
      </c>
      <c r="Y147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78" s="421">
        <f>INDEX(LandfillFees[Disposal Tip Fee 2025],MATCH(TransTonsShort[[#This Row],[Grouping_ID]],LandfillFees[Grouping_ID],0))</f>
        <v>72.030938699729589</v>
      </c>
      <c r="AA1478" s="102">
        <f>IF(OR(TransTonsShort[[#This Row],[CollectionStream_ID]]="03",TransTonsShort[[#This Row],[CollectionStream_ID]]="04",TransTonsShort[[#This Row],[CollectionStream_ID]]="13"),0,TransTonsShort[[#This Row],[Trans_Tons_All]]*TransTonsShort[[#This Row],[Disposal_Fee]])</f>
        <v>0</v>
      </c>
    </row>
    <row r="1479" spans="12:27" ht="15" x14ac:dyDescent="0.25">
      <c r="L1479" s="446" t="s">
        <v>873</v>
      </c>
      <c r="M1479" s="446">
        <v>2</v>
      </c>
      <c r="N1479" s="446">
        <v>4</v>
      </c>
      <c r="O1479" s="446" t="s">
        <v>719</v>
      </c>
      <c r="P1479" s="449" t="s">
        <v>744</v>
      </c>
      <c r="Q1479" s="449"/>
      <c r="R1479" s="449"/>
      <c r="S1479" s="451" t="s">
        <v>720</v>
      </c>
      <c r="T1479" s="451" t="s">
        <v>967</v>
      </c>
      <c r="U1479" s="452">
        <v>45356.201192529326</v>
      </c>
      <c r="V147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79" s="272">
        <f>IFERROR(SUMIFS(TransUnitCost[Miles],TransUnitCost[Grouping_ID],TransTonsShort[[#This Row],[Grouping_ID]],TransUnitCost[Transp_ID],TransTonsShort[[#This Row],[Transp_ID]])*TransTonsShort[[#This Row],[Trans_Tons_All]]/TransTonsShort[[#This Row],[Trans_Tons_All]],"")</f>
        <v>0</v>
      </c>
      <c r="X1479" s="386" t="str">
        <f>TransTonsShort[[#This Row],[Grouping_ID]]&amp;"-"&amp;TransTonsShort[[#This Row],[Sector_ID]]</f>
        <v>2-4</v>
      </c>
      <c r="Y147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79" s="421">
        <f>INDEX(LandfillFees[Disposal Tip Fee 2025],MATCH(TransTonsShort[[#This Row],[Grouping_ID]],LandfillFees[Grouping_ID],0))</f>
        <v>72.030938699729589</v>
      </c>
      <c r="AA1479" s="102">
        <f>IF(OR(TransTonsShort[[#This Row],[CollectionStream_ID]]="03",TransTonsShort[[#This Row],[CollectionStream_ID]]="04",TransTonsShort[[#This Row],[CollectionStream_ID]]="13"),0,TransTonsShort[[#This Row],[Trans_Tons_All]]*TransTonsShort[[#This Row],[Disposal_Fee]])</f>
        <v>0</v>
      </c>
    </row>
    <row r="1480" spans="12:27" ht="15" x14ac:dyDescent="0.25">
      <c r="L1480" s="446" t="s">
        <v>873</v>
      </c>
      <c r="M1480" s="446">
        <v>2</v>
      </c>
      <c r="N1480" s="446">
        <v>4</v>
      </c>
      <c r="O1480" s="446" t="s">
        <v>754</v>
      </c>
      <c r="P1480" s="449" t="s">
        <v>744</v>
      </c>
      <c r="Q1480" s="449"/>
      <c r="R1480" s="449"/>
      <c r="S1480" s="451" t="s">
        <v>1991</v>
      </c>
      <c r="T1480" s="451" t="s">
        <v>967</v>
      </c>
      <c r="U1480" s="452">
        <v>5439.0442810317654</v>
      </c>
      <c r="V148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0" s="272">
        <f>IFERROR(SUMIFS(TransUnitCost[Miles],TransUnitCost[Grouping_ID],TransTonsShort[[#This Row],[Grouping_ID]],TransUnitCost[Transp_ID],TransTonsShort[[#This Row],[Transp_ID]])*TransTonsShort[[#This Row],[Trans_Tons_All]]/TransTonsShort[[#This Row],[Trans_Tons_All]],"")</f>
        <v>0</v>
      </c>
      <c r="X1480" s="386" t="str">
        <f>TransTonsShort[[#This Row],[Grouping_ID]]&amp;"-"&amp;TransTonsShort[[#This Row],[Sector_ID]]</f>
        <v>2-4</v>
      </c>
      <c r="Y148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80" s="421">
        <f>INDEX(LandfillFees[Disposal Tip Fee 2025],MATCH(TransTonsShort[[#This Row],[Grouping_ID]],LandfillFees[Grouping_ID],0))</f>
        <v>72.030938699729589</v>
      </c>
      <c r="AA1480" s="102">
        <f>IF(OR(TransTonsShort[[#This Row],[CollectionStream_ID]]="03",TransTonsShort[[#This Row],[CollectionStream_ID]]="04",TransTonsShort[[#This Row],[CollectionStream_ID]]="13"),0,TransTonsShort[[#This Row],[Trans_Tons_All]]*TransTonsShort[[#This Row],[Disposal_Fee]])</f>
        <v>0</v>
      </c>
    </row>
    <row r="1481" spans="12:27" ht="15" x14ac:dyDescent="0.25">
      <c r="L1481" s="446" t="s">
        <v>873</v>
      </c>
      <c r="M1481" s="446">
        <v>2</v>
      </c>
      <c r="N1481" s="446">
        <v>5</v>
      </c>
      <c r="O1481" s="446" t="s">
        <v>754</v>
      </c>
      <c r="P1481" s="449" t="s">
        <v>744</v>
      </c>
      <c r="Q1481" s="449"/>
      <c r="R1481" s="449"/>
      <c r="S1481" s="451" t="s">
        <v>1991</v>
      </c>
      <c r="T1481" s="451" t="s">
        <v>967</v>
      </c>
      <c r="U1481" s="452">
        <v>507819.48048613168</v>
      </c>
      <c r="V148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1" s="272">
        <f>IFERROR(SUMIFS(TransUnitCost[Miles],TransUnitCost[Grouping_ID],TransTonsShort[[#This Row],[Grouping_ID]],TransUnitCost[Transp_ID],TransTonsShort[[#This Row],[Transp_ID]])*TransTonsShort[[#This Row],[Trans_Tons_All]]/TransTonsShort[[#This Row],[Trans_Tons_All]],"")</f>
        <v>0</v>
      </c>
      <c r="X1481" s="386" t="str">
        <f>TransTonsShort[[#This Row],[Grouping_ID]]&amp;"-"&amp;TransTonsShort[[#This Row],[Sector_ID]]</f>
        <v>2-5</v>
      </c>
      <c r="Y148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81" s="421">
        <f>INDEX(LandfillFees[Disposal Tip Fee 2025],MATCH(TransTonsShort[[#This Row],[Grouping_ID]],LandfillFees[Grouping_ID],0))</f>
        <v>72.030938699729589</v>
      </c>
      <c r="AA1481" s="102">
        <f>IF(OR(TransTonsShort[[#This Row],[CollectionStream_ID]]="03",TransTonsShort[[#This Row],[CollectionStream_ID]]="04",TransTonsShort[[#This Row],[CollectionStream_ID]]="13"),0,TransTonsShort[[#This Row],[Trans_Tons_All]]*TransTonsShort[[#This Row],[Disposal_Fee]])</f>
        <v>0</v>
      </c>
    </row>
    <row r="1482" spans="12:27" ht="15" x14ac:dyDescent="0.25">
      <c r="L1482" s="446" t="s">
        <v>873</v>
      </c>
      <c r="M1482" s="446">
        <v>2</v>
      </c>
      <c r="N1482" s="446">
        <v>6</v>
      </c>
      <c r="O1482" s="446" t="s">
        <v>754</v>
      </c>
      <c r="P1482" s="449" t="s">
        <v>744</v>
      </c>
      <c r="Q1482" s="449"/>
      <c r="R1482" s="449"/>
      <c r="S1482" s="451" t="s">
        <v>1991</v>
      </c>
      <c r="T1482" s="451" t="s">
        <v>967</v>
      </c>
      <c r="U1482" s="452">
        <v>23265.951414096395</v>
      </c>
      <c r="V148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2" s="272">
        <f>IFERROR(SUMIFS(TransUnitCost[Miles],TransUnitCost[Grouping_ID],TransTonsShort[[#This Row],[Grouping_ID]],TransUnitCost[Transp_ID],TransTonsShort[[#This Row],[Transp_ID]])*TransTonsShort[[#This Row],[Trans_Tons_All]]/TransTonsShort[[#This Row],[Trans_Tons_All]],"")</f>
        <v>0</v>
      </c>
      <c r="X1482" s="386" t="str">
        <f>TransTonsShort[[#This Row],[Grouping_ID]]&amp;"-"&amp;TransTonsShort[[#This Row],[Sector_ID]]</f>
        <v>2-6</v>
      </c>
      <c r="Y148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82" s="421">
        <f>INDEX(LandfillFees[Disposal Tip Fee 2025],MATCH(TransTonsShort[[#This Row],[Grouping_ID]],LandfillFees[Grouping_ID],0))</f>
        <v>72.030938699729589</v>
      </c>
      <c r="AA1482" s="102">
        <f>IF(OR(TransTonsShort[[#This Row],[CollectionStream_ID]]="03",TransTonsShort[[#This Row],[CollectionStream_ID]]="04",TransTonsShort[[#This Row],[CollectionStream_ID]]="13"),0,TransTonsShort[[#This Row],[Trans_Tons_All]]*TransTonsShort[[#This Row],[Disposal_Fee]])</f>
        <v>0</v>
      </c>
    </row>
    <row r="1483" spans="12:27" ht="15" x14ac:dyDescent="0.25">
      <c r="L1483" s="446" t="s">
        <v>873</v>
      </c>
      <c r="M1483" s="446">
        <v>3</v>
      </c>
      <c r="N1483" s="446">
        <v>1</v>
      </c>
      <c r="O1483" s="446" t="s">
        <v>712</v>
      </c>
      <c r="P1483" s="449" t="s">
        <v>744</v>
      </c>
      <c r="Q1483" s="449"/>
      <c r="R1483" s="449"/>
      <c r="S1483" s="451" t="s">
        <v>713</v>
      </c>
      <c r="T1483" s="451" t="s">
        <v>967</v>
      </c>
      <c r="U1483" s="452">
        <v>159129.98619610342</v>
      </c>
      <c r="V148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3" s="272">
        <f>IFERROR(SUMIFS(TransUnitCost[Miles],TransUnitCost[Grouping_ID],TransTonsShort[[#This Row],[Grouping_ID]],TransUnitCost[Transp_ID],TransTonsShort[[#This Row],[Transp_ID]])*TransTonsShort[[#This Row],[Trans_Tons_All]]/TransTonsShort[[#This Row],[Trans_Tons_All]],"")</f>
        <v>0</v>
      </c>
      <c r="X1483" s="386" t="str">
        <f>TransTonsShort[[#This Row],[Grouping_ID]]&amp;"-"&amp;TransTonsShort[[#This Row],[Sector_ID]]</f>
        <v>3-1</v>
      </c>
      <c r="Y148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83" s="421">
        <f>INDEX(LandfillFees[Disposal Tip Fee 2025],MATCH(TransTonsShort[[#This Row],[Grouping_ID]],LandfillFees[Grouping_ID],0))</f>
        <v>72.030938699729589</v>
      </c>
      <c r="AA1483" s="102">
        <f>IF(OR(TransTonsShort[[#This Row],[CollectionStream_ID]]="03",TransTonsShort[[#This Row],[CollectionStream_ID]]="04",TransTonsShort[[#This Row],[CollectionStream_ID]]="13"),0,TransTonsShort[[#This Row],[Trans_Tons_All]]*TransTonsShort[[#This Row],[Disposal_Fee]])</f>
        <v>0</v>
      </c>
    </row>
    <row r="1484" spans="12:27" ht="15" x14ac:dyDescent="0.25">
      <c r="L1484" s="446" t="s">
        <v>873</v>
      </c>
      <c r="M1484" s="446">
        <v>3</v>
      </c>
      <c r="N1484" s="446">
        <v>1</v>
      </c>
      <c r="O1484" s="446" t="s">
        <v>719</v>
      </c>
      <c r="P1484" s="449" t="s">
        <v>744</v>
      </c>
      <c r="Q1484" s="449"/>
      <c r="R1484" s="449"/>
      <c r="S1484" s="451" t="s">
        <v>720</v>
      </c>
      <c r="T1484" s="451" t="s">
        <v>967</v>
      </c>
      <c r="U1484" s="452">
        <v>14718.001298030635</v>
      </c>
      <c r="V148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4" s="272">
        <f>IFERROR(SUMIFS(TransUnitCost[Miles],TransUnitCost[Grouping_ID],TransTonsShort[[#This Row],[Grouping_ID]],TransUnitCost[Transp_ID],TransTonsShort[[#This Row],[Transp_ID]])*TransTonsShort[[#This Row],[Trans_Tons_All]]/TransTonsShort[[#This Row],[Trans_Tons_All]],"")</f>
        <v>0</v>
      </c>
      <c r="X1484" s="386" t="str">
        <f>TransTonsShort[[#This Row],[Grouping_ID]]&amp;"-"&amp;TransTonsShort[[#This Row],[Sector_ID]]</f>
        <v>3-1</v>
      </c>
      <c r="Y148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84" s="421">
        <f>INDEX(LandfillFees[Disposal Tip Fee 2025],MATCH(TransTonsShort[[#This Row],[Grouping_ID]],LandfillFees[Grouping_ID],0))</f>
        <v>72.030938699729589</v>
      </c>
      <c r="AA1484" s="102">
        <f>IF(OR(TransTonsShort[[#This Row],[CollectionStream_ID]]="03",TransTonsShort[[#This Row],[CollectionStream_ID]]="04",TransTonsShort[[#This Row],[CollectionStream_ID]]="13"),0,TransTonsShort[[#This Row],[Trans_Tons_All]]*TransTonsShort[[#This Row],[Disposal_Fee]])</f>
        <v>0</v>
      </c>
    </row>
    <row r="1485" spans="12:27" ht="15" x14ac:dyDescent="0.25">
      <c r="L1485" s="446" t="s">
        <v>873</v>
      </c>
      <c r="M1485" s="446">
        <v>3</v>
      </c>
      <c r="N1485" s="446">
        <v>1</v>
      </c>
      <c r="O1485" s="446" t="s">
        <v>754</v>
      </c>
      <c r="P1485" s="449" t="s">
        <v>744</v>
      </c>
      <c r="Q1485" s="449"/>
      <c r="R1485" s="449"/>
      <c r="S1485" s="451" t="s">
        <v>1991</v>
      </c>
      <c r="T1485" s="451" t="s">
        <v>967</v>
      </c>
      <c r="U1485" s="452">
        <v>13.831046700604208</v>
      </c>
      <c r="V148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5" s="272">
        <f>IFERROR(SUMIFS(TransUnitCost[Miles],TransUnitCost[Grouping_ID],TransTonsShort[[#This Row],[Grouping_ID]],TransUnitCost[Transp_ID],TransTonsShort[[#This Row],[Transp_ID]])*TransTonsShort[[#This Row],[Trans_Tons_All]]/TransTonsShort[[#This Row],[Trans_Tons_All]],"")</f>
        <v>0</v>
      </c>
      <c r="X1485" s="386" t="str">
        <f>TransTonsShort[[#This Row],[Grouping_ID]]&amp;"-"&amp;TransTonsShort[[#This Row],[Sector_ID]]</f>
        <v>3-1</v>
      </c>
      <c r="Y148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85" s="421">
        <f>INDEX(LandfillFees[Disposal Tip Fee 2025],MATCH(TransTonsShort[[#This Row],[Grouping_ID]],LandfillFees[Grouping_ID],0))</f>
        <v>72.030938699729589</v>
      </c>
      <c r="AA1485" s="102">
        <f>IF(OR(TransTonsShort[[#This Row],[CollectionStream_ID]]="03",TransTonsShort[[#This Row],[CollectionStream_ID]]="04",TransTonsShort[[#This Row],[CollectionStream_ID]]="13"),0,TransTonsShort[[#This Row],[Trans_Tons_All]]*TransTonsShort[[#This Row],[Disposal_Fee]])</f>
        <v>0</v>
      </c>
    </row>
    <row r="1486" spans="12:27" ht="15" x14ac:dyDescent="0.25">
      <c r="L1486" s="446" t="s">
        <v>873</v>
      </c>
      <c r="M1486" s="446">
        <v>3</v>
      </c>
      <c r="N1486" s="446">
        <v>2</v>
      </c>
      <c r="O1486" s="446" t="s">
        <v>712</v>
      </c>
      <c r="P1486" s="449" t="s">
        <v>744</v>
      </c>
      <c r="Q1486" s="449"/>
      <c r="R1486" s="449"/>
      <c r="S1486" s="451" t="s">
        <v>713</v>
      </c>
      <c r="T1486" s="451" t="s">
        <v>967</v>
      </c>
      <c r="U1486" s="452">
        <v>33929.849096486047</v>
      </c>
      <c r="V148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6" s="272">
        <f>IFERROR(SUMIFS(TransUnitCost[Miles],TransUnitCost[Grouping_ID],TransTonsShort[[#This Row],[Grouping_ID]],TransUnitCost[Transp_ID],TransTonsShort[[#This Row],[Transp_ID]])*TransTonsShort[[#This Row],[Trans_Tons_All]]/TransTonsShort[[#This Row],[Trans_Tons_All]],"")</f>
        <v>0</v>
      </c>
      <c r="X1486" s="386" t="str">
        <f>TransTonsShort[[#This Row],[Grouping_ID]]&amp;"-"&amp;TransTonsShort[[#This Row],[Sector_ID]]</f>
        <v>3-2</v>
      </c>
      <c r="Y148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86" s="421">
        <f>INDEX(LandfillFees[Disposal Tip Fee 2025],MATCH(TransTonsShort[[#This Row],[Grouping_ID]],LandfillFees[Grouping_ID],0))</f>
        <v>72.030938699729589</v>
      </c>
      <c r="AA1486" s="102">
        <f>IF(OR(TransTonsShort[[#This Row],[CollectionStream_ID]]="03",TransTonsShort[[#This Row],[CollectionStream_ID]]="04",TransTonsShort[[#This Row],[CollectionStream_ID]]="13"),0,TransTonsShort[[#This Row],[Trans_Tons_All]]*TransTonsShort[[#This Row],[Disposal_Fee]])</f>
        <v>0</v>
      </c>
    </row>
    <row r="1487" spans="12:27" ht="15" x14ac:dyDescent="0.25">
      <c r="L1487" s="446" t="s">
        <v>873</v>
      </c>
      <c r="M1487" s="446">
        <v>3</v>
      </c>
      <c r="N1487" s="446">
        <v>2</v>
      </c>
      <c r="O1487" s="446" t="s">
        <v>719</v>
      </c>
      <c r="P1487" s="449" t="s">
        <v>744</v>
      </c>
      <c r="Q1487" s="449"/>
      <c r="R1487" s="449"/>
      <c r="S1487" s="451" t="s">
        <v>720</v>
      </c>
      <c r="T1487" s="451" t="s">
        <v>967</v>
      </c>
      <c r="U1487" s="452">
        <v>0</v>
      </c>
      <c r="V148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7" s="272" t="str">
        <f>IFERROR(SUMIFS(TransUnitCost[Miles],TransUnitCost[Grouping_ID],TransTonsShort[[#This Row],[Grouping_ID]],TransUnitCost[Transp_ID],TransTonsShort[[#This Row],[Transp_ID]])*TransTonsShort[[#This Row],[Trans_Tons_All]]/TransTonsShort[[#This Row],[Trans_Tons_All]],"")</f>
        <v/>
      </c>
      <c r="X1487" s="386" t="str">
        <f>TransTonsShort[[#This Row],[Grouping_ID]]&amp;"-"&amp;TransTonsShort[[#This Row],[Sector_ID]]</f>
        <v>3-2</v>
      </c>
      <c r="Y148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87" s="421">
        <f>INDEX(LandfillFees[Disposal Tip Fee 2025],MATCH(TransTonsShort[[#This Row],[Grouping_ID]],LandfillFees[Grouping_ID],0))</f>
        <v>72.030938699729589</v>
      </c>
      <c r="AA1487" s="102">
        <f>IF(OR(TransTonsShort[[#This Row],[CollectionStream_ID]]="03",TransTonsShort[[#This Row],[CollectionStream_ID]]="04",TransTonsShort[[#This Row],[CollectionStream_ID]]="13"),0,TransTonsShort[[#This Row],[Trans_Tons_All]]*TransTonsShort[[#This Row],[Disposal_Fee]])</f>
        <v>0</v>
      </c>
    </row>
    <row r="1488" spans="12:27" ht="15" x14ac:dyDescent="0.25">
      <c r="L1488" s="446" t="s">
        <v>873</v>
      </c>
      <c r="M1488" s="446">
        <v>3</v>
      </c>
      <c r="N1488" s="446">
        <v>2</v>
      </c>
      <c r="O1488" s="446" t="s">
        <v>754</v>
      </c>
      <c r="P1488" s="449" t="s">
        <v>744</v>
      </c>
      <c r="Q1488" s="449"/>
      <c r="R1488" s="449"/>
      <c r="S1488" s="451" t="s">
        <v>1991</v>
      </c>
      <c r="T1488" s="451" t="s">
        <v>967</v>
      </c>
      <c r="U1488" s="452">
        <v>0.63462924206372762</v>
      </c>
      <c r="V148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8" s="272">
        <f>IFERROR(SUMIFS(TransUnitCost[Miles],TransUnitCost[Grouping_ID],TransTonsShort[[#This Row],[Grouping_ID]],TransUnitCost[Transp_ID],TransTonsShort[[#This Row],[Transp_ID]])*TransTonsShort[[#This Row],[Trans_Tons_All]]/TransTonsShort[[#This Row],[Trans_Tons_All]],"")</f>
        <v>0</v>
      </c>
      <c r="X1488" s="386" t="str">
        <f>TransTonsShort[[#This Row],[Grouping_ID]]&amp;"-"&amp;TransTonsShort[[#This Row],[Sector_ID]]</f>
        <v>3-2</v>
      </c>
      <c r="Y148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88" s="421">
        <f>INDEX(LandfillFees[Disposal Tip Fee 2025],MATCH(TransTonsShort[[#This Row],[Grouping_ID]],LandfillFees[Grouping_ID],0))</f>
        <v>72.030938699729589</v>
      </c>
      <c r="AA1488" s="102">
        <f>IF(OR(TransTonsShort[[#This Row],[CollectionStream_ID]]="03",TransTonsShort[[#This Row],[CollectionStream_ID]]="04",TransTonsShort[[#This Row],[CollectionStream_ID]]="13"),0,TransTonsShort[[#This Row],[Trans_Tons_All]]*TransTonsShort[[#This Row],[Disposal_Fee]])</f>
        <v>0</v>
      </c>
    </row>
    <row r="1489" spans="12:27" ht="15" x14ac:dyDescent="0.25">
      <c r="L1489" s="446" t="s">
        <v>873</v>
      </c>
      <c r="M1489" s="446">
        <v>3</v>
      </c>
      <c r="N1489" s="446">
        <v>3</v>
      </c>
      <c r="O1489" s="446" t="s">
        <v>712</v>
      </c>
      <c r="P1489" s="449" t="s">
        <v>744</v>
      </c>
      <c r="Q1489" s="449"/>
      <c r="R1489" s="449"/>
      <c r="S1489" s="451" t="s">
        <v>713</v>
      </c>
      <c r="T1489" s="451" t="s">
        <v>967</v>
      </c>
      <c r="U1489" s="452">
        <v>110494.31967557185</v>
      </c>
      <c r="V148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89" s="272">
        <f>IFERROR(SUMIFS(TransUnitCost[Miles],TransUnitCost[Grouping_ID],TransTonsShort[[#This Row],[Grouping_ID]],TransUnitCost[Transp_ID],TransTonsShort[[#This Row],[Transp_ID]])*TransTonsShort[[#This Row],[Trans_Tons_All]]/TransTonsShort[[#This Row],[Trans_Tons_All]],"")</f>
        <v>0</v>
      </c>
      <c r="X1489" s="386" t="str">
        <f>TransTonsShort[[#This Row],[Grouping_ID]]&amp;"-"&amp;TransTonsShort[[#This Row],[Sector_ID]]</f>
        <v>3-3</v>
      </c>
      <c r="Y148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89" s="421">
        <f>INDEX(LandfillFees[Disposal Tip Fee 2025],MATCH(TransTonsShort[[#This Row],[Grouping_ID]],LandfillFees[Grouping_ID],0))</f>
        <v>72.030938699729589</v>
      </c>
      <c r="AA1489" s="102">
        <f>IF(OR(TransTonsShort[[#This Row],[CollectionStream_ID]]="03",TransTonsShort[[#This Row],[CollectionStream_ID]]="04",TransTonsShort[[#This Row],[CollectionStream_ID]]="13"),0,TransTonsShort[[#This Row],[Trans_Tons_All]]*TransTonsShort[[#This Row],[Disposal_Fee]])</f>
        <v>0</v>
      </c>
    </row>
    <row r="1490" spans="12:27" ht="15" x14ac:dyDescent="0.25">
      <c r="L1490" s="446" t="s">
        <v>873</v>
      </c>
      <c r="M1490" s="446">
        <v>3</v>
      </c>
      <c r="N1490" s="446">
        <v>3</v>
      </c>
      <c r="O1490" s="446" t="s">
        <v>719</v>
      </c>
      <c r="P1490" s="449" t="s">
        <v>744</v>
      </c>
      <c r="Q1490" s="449"/>
      <c r="R1490" s="449"/>
      <c r="S1490" s="451" t="s">
        <v>720</v>
      </c>
      <c r="T1490" s="451" t="s">
        <v>967</v>
      </c>
      <c r="U1490" s="452">
        <v>710.57263630539853</v>
      </c>
      <c r="V149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0" s="272">
        <f>IFERROR(SUMIFS(TransUnitCost[Miles],TransUnitCost[Grouping_ID],TransTonsShort[[#This Row],[Grouping_ID]],TransUnitCost[Transp_ID],TransTonsShort[[#This Row],[Transp_ID]])*TransTonsShort[[#This Row],[Trans_Tons_All]]/TransTonsShort[[#This Row],[Trans_Tons_All]],"")</f>
        <v>0</v>
      </c>
      <c r="X1490" s="386" t="str">
        <f>TransTonsShort[[#This Row],[Grouping_ID]]&amp;"-"&amp;TransTonsShort[[#This Row],[Sector_ID]]</f>
        <v>3-3</v>
      </c>
      <c r="Y149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90" s="421">
        <f>INDEX(LandfillFees[Disposal Tip Fee 2025],MATCH(TransTonsShort[[#This Row],[Grouping_ID]],LandfillFees[Grouping_ID],0))</f>
        <v>72.030938699729589</v>
      </c>
      <c r="AA1490" s="102">
        <f>IF(OR(TransTonsShort[[#This Row],[CollectionStream_ID]]="03",TransTonsShort[[#This Row],[CollectionStream_ID]]="04",TransTonsShort[[#This Row],[CollectionStream_ID]]="13"),0,TransTonsShort[[#This Row],[Trans_Tons_All]]*TransTonsShort[[#This Row],[Disposal_Fee]])</f>
        <v>0</v>
      </c>
    </row>
    <row r="1491" spans="12:27" ht="15" x14ac:dyDescent="0.25">
      <c r="L1491" s="446" t="s">
        <v>873</v>
      </c>
      <c r="M1491" s="446">
        <v>3</v>
      </c>
      <c r="N1491" s="446">
        <v>3</v>
      </c>
      <c r="O1491" s="446" t="s">
        <v>754</v>
      </c>
      <c r="P1491" s="449" t="s">
        <v>744</v>
      </c>
      <c r="Q1491" s="449"/>
      <c r="R1491" s="449"/>
      <c r="S1491" s="451" t="s">
        <v>1991</v>
      </c>
      <c r="T1491" s="451" t="s">
        <v>967</v>
      </c>
      <c r="U1491" s="452">
        <v>3.9585867554731475</v>
      </c>
      <c r="V149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1" s="272">
        <f>IFERROR(SUMIFS(TransUnitCost[Miles],TransUnitCost[Grouping_ID],TransTonsShort[[#This Row],[Grouping_ID]],TransUnitCost[Transp_ID],TransTonsShort[[#This Row],[Transp_ID]])*TransTonsShort[[#This Row],[Trans_Tons_All]]/TransTonsShort[[#This Row],[Trans_Tons_All]],"")</f>
        <v>0</v>
      </c>
      <c r="X1491" s="386" t="str">
        <f>TransTonsShort[[#This Row],[Grouping_ID]]&amp;"-"&amp;TransTonsShort[[#This Row],[Sector_ID]]</f>
        <v>3-3</v>
      </c>
      <c r="Y149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91" s="421">
        <f>INDEX(LandfillFees[Disposal Tip Fee 2025],MATCH(TransTonsShort[[#This Row],[Grouping_ID]],LandfillFees[Grouping_ID],0))</f>
        <v>72.030938699729589</v>
      </c>
      <c r="AA1491" s="102">
        <f>IF(OR(TransTonsShort[[#This Row],[CollectionStream_ID]]="03",TransTonsShort[[#This Row],[CollectionStream_ID]]="04",TransTonsShort[[#This Row],[CollectionStream_ID]]="13"),0,TransTonsShort[[#This Row],[Trans_Tons_All]]*TransTonsShort[[#This Row],[Disposal_Fee]])</f>
        <v>0</v>
      </c>
    </row>
    <row r="1492" spans="12:27" ht="15" x14ac:dyDescent="0.25">
      <c r="L1492" s="446" t="s">
        <v>873</v>
      </c>
      <c r="M1492" s="446">
        <v>3</v>
      </c>
      <c r="N1492" s="446">
        <v>4</v>
      </c>
      <c r="O1492" s="446" t="s">
        <v>712</v>
      </c>
      <c r="P1492" s="449" t="s">
        <v>744</v>
      </c>
      <c r="Q1492" s="449"/>
      <c r="R1492" s="449"/>
      <c r="S1492" s="451" t="s">
        <v>713</v>
      </c>
      <c r="T1492" s="451" t="s">
        <v>967</v>
      </c>
      <c r="U1492" s="452">
        <v>79374.644547453237</v>
      </c>
      <c r="V149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2" s="272">
        <f>IFERROR(SUMIFS(TransUnitCost[Miles],TransUnitCost[Grouping_ID],TransTonsShort[[#This Row],[Grouping_ID]],TransUnitCost[Transp_ID],TransTonsShort[[#This Row],[Transp_ID]])*TransTonsShort[[#This Row],[Trans_Tons_All]]/TransTonsShort[[#This Row],[Trans_Tons_All]],"")</f>
        <v>0</v>
      </c>
      <c r="X1492" s="386" t="str">
        <f>TransTonsShort[[#This Row],[Grouping_ID]]&amp;"-"&amp;TransTonsShort[[#This Row],[Sector_ID]]</f>
        <v>3-4</v>
      </c>
      <c r="Y149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92" s="421">
        <f>INDEX(LandfillFees[Disposal Tip Fee 2025],MATCH(TransTonsShort[[#This Row],[Grouping_ID]],LandfillFees[Grouping_ID],0))</f>
        <v>72.030938699729589</v>
      </c>
      <c r="AA1492" s="102">
        <f>IF(OR(TransTonsShort[[#This Row],[CollectionStream_ID]]="03",TransTonsShort[[#This Row],[CollectionStream_ID]]="04",TransTonsShort[[#This Row],[CollectionStream_ID]]="13"),0,TransTonsShort[[#This Row],[Trans_Tons_All]]*TransTonsShort[[#This Row],[Disposal_Fee]])</f>
        <v>0</v>
      </c>
    </row>
    <row r="1493" spans="12:27" ht="15" x14ac:dyDescent="0.25">
      <c r="L1493" s="446" t="s">
        <v>873</v>
      </c>
      <c r="M1493" s="446">
        <v>3</v>
      </c>
      <c r="N1493" s="446">
        <v>4</v>
      </c>
      <c r="O1493" s="446" t="s">
        <v>719</v>
      </c>
      <c r="P1493" s="449" t="s">
        <v>744</v>
      </c>
      <c r="Q1493" s="449"/>
      <c r="R1493" s="449"/>
      <c r="S1493" s="451" t="s">
        <v>720</v>
      </c>
      <c r="T1493" s="451" t="s">
        <v>967</v>
      </c>
      <c r="U1493" s="452">
        <v>30483.436903200578</v>
      </c>
      <c r="V149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3" s="272">
        <f>IFERROR(SUMIFS(TransUnitCost[Miles],TransUnitCost[Grouping_ID],TransTonsShort[[#This Row],[Grouping_ID]],TransUnitCost[Transp_ID],TransTonsShort[[#This Row],[Transp_ID]])*TransTonsShort[[#This Row],[Trans_Tons_All]]/TransTonsShort[[#This Row],[Trans_Tons_All]],"")</f>
        <v>0</v>
      </c>
      <c r="X1493" s="386" t="str">
        <f>TransTonsShort[[#This Row],[Grouping_ID]]&amp;"-"&amp;TransTonsShort[[#This Row],[Sector_ID]]</f>
        <v>3-4</v>
      </c>
      <c r="Y149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93" s="421">
        <f>INDEX(LandfillFees[Disposal Tip Fee 2025],MATCH(TransTonsShort[[#This Row],[Grouping_ID]],LandfillFees[Grouping_ID],0))</f>
        <v>72.030938699729589</v>
      </c>
      <c r="AA1493" s="102">
        <f>IF(OR(TransTonsShort[[#This Row],[CollectionStream_ID]]="03",TransTonsShort[[#This Row],[CollectionStream_ID]]="04",TransTonsShort[[#This Row],[CollectionStream_ID]]="13"),0,TransTonsShort[[#This Row],[Trans_Tons_All]]*TransTonsShort[[#This Row],[Disposal_Fee]])</f>
        <v>0</v>
      </c>
    </row>
    <row r="1494" spans="12:27" ht="15" x14ac:dyDescent="0.25">
      <c r="L1494" s="446" t="s">
        <v>873</v>
      </c>
      <c r="M1494" s="446">
        <v>3</v>
      </c>
      <c r="N1494" s="446">
        <v>4</v>
      </c>
      <c r="O1494" s="446" t="s">
        <v>754</v>
      </c>
      <c r="P1494" s="449" t="s">
        <v>744</v>
      </c>
      <c r="Q1494" s="449"/>
      <c r="R1494" s="449"/>
      <c r="S1494" s="451" t="s">
        <v>1991</v>
      </c>
      <c r="T1494" s="451" t="s">
        <v>967</v>
      </c>
      <c r="U1494" s="452">
        <v>2464.105248444625</v>
      </c>
      <c r="V149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4" s="272">
        <f>IFERROR(SUMIFS(TransUnitCost[Miles],TransUnitCost[Grouping_ID],TransTonsShort[[#This Row],[Grouping_ID]],TransUnitCost[Transp_ID],TransTonsShort[[#This Row],[Transp_ID]])*TransTonsShort[[#This Row],[Trans_Tons_All]]/TransTonsShort[[#This Row],[Trans_Tons_All]],"")</f>
        <v>0</v>
      </c>
      <c r="X1494" s="386" t="str">
        <f>TransTonsShort[[#This Row],[Grouping_ID]]&amp;"-"&amp;TransTonsShort[[#This Row],[Sector_ID]]</f>
        <v>3-4</v>
      </c>
      <c r="Y149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94" s="421">
        <f>INDEX(LandfillFees[Disposal Tip Fee 2025],MATCH(TransTonsShort[[#This Row],[Grouping_ID]],LandfillFees[Grouping_ID],0))</f>
        <v>72.030938699729589</v>
      </c>
      <c r="AA1494" s="102">
        <f>IF(OR(TransTonsShort[[#This Row],[CollectionStream_ID]]="03",TransTonsShort[[#This Row],[CollectionStream_ID]]="04",TransTonsShort[[#This Row],[CollectionStream_ID]]="13"),0,TransTonsShort[[#This Row],[Trans_Tons_All]]*TransTonsShort[[#This Row],[Disposal_Fee]])</f>
        <v>0</v>
      </c>
    </row>
    <row r="1495" spans="12:27" ht="15" x14ac:dyDescent="0.25">
      <c r="L1495" s="446" t="s">
        <v>873</v>
      </c>
      <c r="M1495" s="446">
        <v>3</v>
      </c>
      <c r="N1495" s="446">
        <v>5</v>
      </c>
      <c r="O1495" s="446" t="s">
        <v>754</v>
      </c>
      <c r="P1495" s="449" t="s">
        <v>744</v>
      </c>
      <c r="Q1495" s="449"/>
      <c r="R1495" s="449"/>
      <c r="S1495" s="451" t="s">
        <v>1991</v>
      </c>
      <c r="T1495" s="451" t="s">
        <v>967</v>
      </c>
      <c r="U1495" s="452">
        <v>112502.92066113914</v>
      </c>
      <c r="V149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5" s="272">
        <f>IFERROR(SUMIFS(TransUnitCost[Miles],TransUnitCost[Grouping_ID],TransTonsShort[[#This Row],[Grouping_ID]],TransUnitCost[Transp_ID],TransTonsShort[[#This Row],[Transp_ID]])*TransTonsShort[[#This Row],[Trans_Tons_All]]/TransTonsShort[[#This Row],[Trans_Tons_All]],"")</f>
        <v>0</v>
      </c>
      <c r="X1495" s="386" t="str">
        <f>TransTonsShort[[#This Row],[Grouping_ID]]&amp;"-"&amp;TransTonsShort[[#This Row],[Sector_ID]]</f>
        <v>3-5</v>
      </c>
      <c r="Y149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95" s="421">
        <f>INDEX(LandfillFees[Disposal Tip Fee 2025],MATCH(TransTonsShort[[#This Row],[Grouping_ID]],LandfillFees[Grouping_ID],0))</f>
        <v>72.030938699729589</v>
      </c>
      <c r="AA1495" s="102">
        <f>IF(OR(TransTonsShort[[#This Row],[CollectionStream_ID]]="03",TransTonsShort[[#This Row],[CollectionStream_ID]]="04",TransTonsShort[[#This Row],[CollectionStream_ID]]="13"),0,TransTonsShort[[#This Row],[Trans_Tons_All]]*TransTonsShort[[#This Row],[Disposal_Fee]])</f>
        <v>0</v>
      </c>
    </row>
    <row r="1496" spans="12:27" ht="15" x14ac:dyDescent="0.25">
      <c r="L1496" s="446" t="s">
        <v>873</v>
      </c>
      <c r="M1496" s="446">
        <v>3</v>
      </c>
      <c r="N1496" s="446">
        <v>6</v>
      </c>
      <c r="O1496" s="446" t="s">
        <v>754</v>
      </c>
      <c r="P1496" s="449" t="s">
        <v>744</v>
      </c>
      <c r="Q1496" s="449"/>
      <c r="R1496" s="449"/>
      <c r="S1496" s="451" t="s">
        <v>1991</v>
      </c>
      <c r="T1496" s="451" t="s">
        <v>967</v>
      </c>
      <c r="U1496" s="452">
        <v>10530.418399916423</v>
      </c>
      <c r="V149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6" s="272">
        <f>IFERROR(SUMIFS(TransUnitCost[Miles],TransUnitCost[Grouping_ID],TransTonsShort[[#This Row],[Grouping_ID]],TransUnitCost[Transp_ID],TransTonsShort[[#This Row],[Transp_ID]])*TransTonsShort[[#This Row],[Trans_Tons_All]]/TransTonsShort[[#This Row],[Trans_Tons_All]],"")</f>
        <v>0</v>
      </c>
      <c r="X1496" s="386" t="str">
        <f>TransTonsShort[[#This Row],[Grouping_ID]]&amp;"-"&amp;TransTonsShort[[#This Row],[Sector_ID]]</f>
        <v>3-6</v>
      </c>
      <c r="Y149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96" s="421">
        <f>INDEX(LandfillFees[Disposal Tip Fee 2025],MATCH(TransTonsShort[[#This Row],[Grouping_ID]],LandfillFees[Grouping_ID],0))</f>
        <v>72.030938699729589</v>
      </c>
      <c r="AA1496" s="102">
        <f>IF(OR(TransTonsShort[[#This Row],[CollectionStream_ID]]="03",TransTonsShort[[#This Row],[CollectionStream_ID]]="04",TransTonsShort[[#This Row],[CollectionStream_ID]]="13"),0,TransTonsShort[[#This Row],[Trans_Tons_All]]*TransTonsShort[[#This Row],[Disposal_Fee]])</f>
        <v>0</v>
      </c>
    </row>
    <row r="1497" spans="12:27" ht="15" x14ac:dyDescent="0.25">
      <c r="L1497" s="446" t="s">
        <v>873</v>
      </c>
      <c r="M1497" s="446">
        <v>4</v>
      </c>
      <c r="N1497" s="446">
        <v>1</v>
      </c>
      <c r="O1497" s="446" t="s">
        <v>712</v>
      </c>
      <c r="P1497" s="449" t="s">
        <v>744</v>
      </c>
      <c r="Q1497" s="449"/>
      <c r="R1497" s="449"/>
      <c r="S1497" s="451" t="s">
        <v>713</v>
      </c>
      <c r="T1497" s="451" t="s">
        <v>967</v>
      </c>
      <c r="U1497" s="452">
        <v>192573.25821650762</v>
      </c>
      <c r="V149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7" s="272">
        <f>IFERROR(SUMIFS(TransUnitCost[Miles],TransUnitCost[Grouping_ID],TransTonsShort[[#This Row],[Grouping_ID]],TransUnitCost[Transp_ID],TransTonsShort[[#This Row],[Transp_ID]])*TransTonsShort[[#This Row],[Trans_Tons_All]]/TransTonsShort[[#This Row],[Trans_Tons_All]],"")</f>
        <v>0</v>
      </c>
      <c r="X1497" s="386" t="str">
        <f>TransTonsShort[[#This Row],[Grouping_ID]]&amp;"-"&amp;TransTonsShort[[#This Row],[Sector_ID]]</f>
        <v>4-1</v>
      </c>
      <c r="Y149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497" s="421">
        <f>INDEX(LandfillFees[Disposal Tip Fee 2025],MATCH(TransTonsShort[[#This Row],[Grouping_ID]],LandfillFees[Grouping_ID],0))</f>
        <v>72.030938699729589</v>
      </c>
      <c r="AA1497" s="102">
        <f>IF(OR(TransTonsShort[[#This Row],[CollectionStream_ID]]="03",TransTonsShort[[#This Row],[CollectionStream_ID]]="04",TransTonsShort[[#This Row],[CollectionStream_ID]]="13"),0,TransTonsShort[[#This Row],[Trans_Tons_All]]*TransTonsShort[[#This Row],[Disposal_Fee]])</f>
        <v>0</v>
      </c>
    </row>
    <row r="1498" spans="12:27" ht="15" x14ac:dyDescent="0.25">
      <c r="L1498" s="446" t="s">
        <v>873</v>
      </c>
      <c r="M1498" s="446">
        <v>4</v>
      </c>
      <c r="N1498" s="446">
        <v>1</v>
      </c>
      <c r="O1498" s="446" t="s">
        <v>719</v>
      </c>
      <c r="P1498" s="449" t="s">
        <v>744</v>
      </c>
      <c r="Q1498" s="449"/>
      <c r="R1498" s="449"/>
      <c r="S1498" s="451" t="s">
        <v>720</v>
      </c>
      <c r="T1498" s="451" t="s">
        <v>967</v>
      </c>
      <c r="U1498" s="452">
        <v>31.249121728528202</v>
      </c>
      <c r="V149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8" s="272">
        <f>IFERROR(SUMIFS(TransUnitCost[Miles],TransUnitCost[Grouping_ID],TransTonsShort[[#This Row],[Grouping_ID]],TransUnitCost[Transp_ID],TransTonsShort[[#This Row],[Transp_ID]])*TransTonsShort[[#This Row],[Trans_Tons_All]]/TransTonsShort[[#This Row],[Trans_Tons_All]],"")</f>
        <v>0</v>
      </c>
      <c r="X1498" s="386" t="str">
        <f>TransTonsShort[[#This Row],[Grouping_ID]]&amp;"-"&amp;TransTonsShort[[#This Row],[Sector_ID]]</f>
        <v>4-1</v>
      </c>
      <c r="Y149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498" s="421">
        <f>INDEX(LandfillFees[Disposal Tip Fee 2025],MATCH(TransTonsShort[[#This Row],[Grouping_ID]],LandfillFees[Grouping_ID],0))</f>
        <v>72.030938699729589</v>
      </c>
      <c r="AA1498" s="102">
        <f>IF(OR(TransTonsShort[[#This Row],[CollectionStream_ID]]="03",TransTonsShort[[#This Row],[CollectionStream_ID]]="04",TransTonsShort[[#This Row],[CollectionStream_ID]]="13"),0,TransTonsShort[[#This Row],[Trans_Tons_All]]*TransTonsShort[[#This Row],[Disposal_Fee]])</f>
        <v>0</v>
      </c>
    </row>
    <row r="1499" spans="12:27" ht="15" x14ac:dyDescent="0.25">
      <c r="L1499" s="446" t="s">
        <v>873</v>
      </c>
      <c r="M1499" s="446">
        <v>4</v>
      </c>
      <c r="N1499" s="446">
        <v>1</v>
      </c>
      <c r="O1499" s="446" t="s">
        <v>754</v>
      </c>
      <c r="P1499" s="449" t="s">
        <v>744</v>
      </c>
      <c r="Q1499" s="449"/>
      <c r="R1499" s="449"/>
      <c r="S1499" s="451" t="s">
        <v>1991</v>
      </c>
      <c r="T1499" s="451" t="s">
        <v>967</v>
      </c>
      <c r="U1499" s="452">
        <v>6.3556190710760312</v>
      </c>
      <c r="V149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499" s="272">
        <f>IFERROR(SUMIFS(TransUnitCost[Miles],TransUnitCost[Grouping_ID],TransTonsShort[[#This Row],[Grouping_ID]],TransUnitCost[Transp_ID],TransTonsShort[[#This Row],[Transp_ID]])*TransTonsShort[[#This Row],[Trans_Tons_All]]/TransTonsShort[[#This Row],[Trans_Tons_All]],"")</f>
        <v>0</v>
      </c>
      <c r="X1499" s="386" t="str">
        <f>TransTonsShort[[#This Row],[Grouping_ID]]&amp;"-"&amp;TransTonsShort[[#This Row],[Sector_ID]]</f>
        <v>4-1</v>
      </c>
      <c r="Y149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499" s="421">
        <f>INDEX(LandfillFees[Disposal Tip Fee 2025],MATCH(TransTonsShort[[#This Row],[Grouping_ID]],LandfillFees[Grouping_ID],0))</f>
        <v>72.030938699729589</v>
      </c>
      <c r="AA1499" s="102">
        <f>IF(OR(TransTonsShort[[#This Row],[CollectionStream_ID]]="03",TransTonsShort[[#This Row],[CollectionStream_ID]]="04",TransTonsShort[[#This Row],[CollectionStream_ID]]="13"),0,TransTonsShort[[#This Row],[Trans_Tons_All]]*TransTonsShort[[#This Row],[Disposal_Fee]])</f>
        <v>0</v>
      </c>
    </row>
    <row r="1500" spans="12:27" ht="15" x14ac:dyDescent="0.25">
      <c r="L1500" s="446" t="s">
        <v>873</v>
      </c>
      <c r="M1500" s="446">
        <v>4</v>
      </c>
      <c r="N1500" s="446">
        <v>2</v>
      </c>
      <c r="O1500" s="446" t="s">
        <v>712</v>
      </c>
      <c r="P1500" s="449" t="s">
        <v>744</v>
      </c>
      <c r="Q1500" s="449"/>
      <c r="R1500" s="449"/>
      <c r="S1500" s="451" t="s">
        <v>713</v>
      </c>
      <c r="T1500" s="451" t="s">
        <v>967</v>
      </c>
      <c r="U1500" s="452">
        <v>39155.625988914617</v>
      </c>
      <c r="V150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0" s="272">
        <f>IFERROR(SUMIFS(TransUnitCost[Miles],TransUnitCost[Grouping_ID],TransTonsShort[[#This Row],[Grouping_ID]],TransUnitCost[Transp_ID],TransTonsShort[[#This Row],[Transp_ID]])*TransTonsShort[[#This Row],[Trans_Tons_All]]/TransTonsShort[[#This Row],[Trans_Tons_All]],"")</f>
        <v>0</v>
      </c>
      <c r="X1500" s="386" t="str">
        <f>TransTonsShort[[#This Row],[Grouping_ID]]&amp;"-"&amp;TransTonsShort[[#This Row],[Sector_ID]]</f>
        <v>4-2</v>
      </c>
      <c r="Y150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00" s="421">
        <f>INDEX(LandfillFees[Disposal Tip Fee 2025],MATCH(TransTonsShort[[#This Row],[Grouping_ID]],LandfillFees[Grouping_ID],0))</f>
        <v>72.030938699729589</v>
      </c>
      <c r="AA1500" s="102">
        <f>IF(OR(TransTonsShort[[#This Row],[CollectionStream_ID]]="03",TransTonsShort[[#This Row],[CollectionStream_ID]]="04",TransTonsShort[[#This Row],[CollectionStream_ID]]="13"),0,TransTonsShort[[#This Row],[Trans_Tons_All]]*TransTonsShort[[#This Row],[Disposal_Fee]])</f>
        <v>0</v>
      </c>
    </row>
    <row r="1501" spans="12:27" ht="15" x14ac:dyDescent="0.25">
      <c r="L1501" s="446" t="s">
        <v>873</v>
      </c>
      <c r="M1501" s="446">
        <v>4</v>
      </c>
      <c r="N1501" s="446">
        <v>2</v>
      </c>
      <c r="O1501" s="446" t="s">
        <v>719</v>
      </c>
      <c r="P1501" s="449" t="s">
        <v>744</v>
      </c>
      <c r="Q1501" s="449"/>
      <c r="R1501" s="449"/>
      <c r="S1501" s="451" t="s">
        <v>720</v>
      </c>
      <c r="T1501" s="451" t="s">
        <v>967</v>
      </c>
      <c r="U1501" s="452">
        <v>0.52265282121438028</v>
      </c>
      <c r="V150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1" s="272">
        <f>IFERROR(SUMIFS(TransUnitCost[Miles],TransUnitCost[Grouping_ID],TransTonsShort[[#This Row],[Grouping_ID]],TransUnitCost[Transp_ID],TransTonsShort[[#This Row],[Transp_ID]])*TransTonsShort[[#This Row],[Trans_Tons_All]]/TransTonsShort[[#This Row],[Trans_Tons_All]],"")</f>
        <v>0</v>
      </c>
      <c r="X1501" s="386" t="str">
        <f>TransTonsShort[[#This Row],[Grouping_ID]]&amp;"-"&amp;TransTonsShort[[#This Row],[Sector_ID]]</f>
        <v>4-2</v>
      </c>
      <c r="Y150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01" s="421">
        <f>INDEX(LandfillFees[Disposal Tip Fee 2025],MATCH(TransTonsShort[[#This Row],[Grouping_ID]],LandfillFees[Grouping_ID],0))</f>
        <v>72.030938699729589</v>
      </c>
      <c r="AA1501" s="102">
        <f>IF(OR(TransTonsShort[[#This Row],[CollectionStream_ID]]="03",TransTonsShort[[#This Row],[CollectionStream_ID]]="04",TransTonsShort[[#This Row],[CollectionStream_ID]]="13"),0,TransTonsShort[[#This Row],[Trans_Tons_All]]*TransTonsShort[[#This Row],[Disposal_Fee]])</f>
        <v>0</v>
      </c>
    </row>
    <row r="1502" spans="12:27" ht="15" x14ac:dyDescent="0.25">
      <c r="L1502" s="446" t="s">
        <v>873</v>
      </c>
      <c r="M1502" s="446">
        <v>4</v>
      </c>
      <c r="N1502" s="446">
        <v>2</v>
      </c>
      <c r="O1502" s="446" t="s">
        <v>754</v>
      </c>
      <c r="P1502" s="449" t="s">
        <v>744</v>
      </c>
      <c r="Q1502" s="449"/>
      <c r="R1502" s="449"/>
      <c r="S1502" s="451" t="s">
        <v>1991</v>
      </c>
      <c r="T1502" s="451" t="s">
        <v>967</v>
      </c>
      <c r="U1502" s="452">
        <v>80.450079532787527</v>
      </c>
      <c r="V150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2" s="272">
        <f>IFERROR(SUMIFS(TransUnitCost[Miles],TransUnitCost[Grouping_ID],TransTonsShort[[#This Row],[Grouping_ID]],TransUnitCost[Transp_ID],TransTonsShort[[#This Row],[Transp_ID]])*TransTonsShort[[#This Row],[Trans_Tons_All]]/TransTonsShort[[#This Row],[Trans_Tons_All]],"")</f>
        <v>0</v>
      </c>
      <c r="X1502" s="386" t="str">
        <f>TransTonsShort[[#This Row],[Grouping_ID]]&amp;"-"&amp;TransTonsShort[[#This Row],[Sector_ID]]</f>
        <v>4-2</v>
      </c>
      <c r="Y150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02" s="421">
        <f>INDEX(LandfillFees[Disposal Tip Fee 2025],MATCH(TransTonsShort[[#This Row],[Grouping_ID]],LandfillFees[Grouping_ID],0))</f>
        <v>72.030938699729589</v>
      </c>
      <c r="AA1502" s="102">
        <f>IF(OR(TransTonsShort[[#This Row],[CollectionStream_ID]]="03",TransTonsShort[[#This Row],[CollectionStream_ID]]="04",TransTonsShort[[#This Row],[CollectionStream_ID]]="13"),0,TransTonsShort[[#This Row],[Trans_Tons_All]]*TransTonsShort[[#This Row],[Disposal_Fee]])</f>
        <v>0</v>
      </c>
    </row>
    <row r="1503" spans="12:27" ht="15" x14ac:dyDescent="0.25">
      <c r="L1503" s="446" t="s">
        <v>873</v>
      </c>
      <c r="M1503" s="446">
        <v>4</v>
      </c>
      <c r="N1503" s="446">
        <v>3</v>
      </c>
      <c r="O1503" s="446" t="s">
        <v>712</v>
      </c>
      <c r="P1503" s="449" t="s">
        <v>744</v>
      </c>
      <c r="Q1503" s="449"/>
      <c r="R1503" s="449"/>
      <c r="S1503" s="451" t="s">
        <v>713</v>
      </c>
      <c r="T1503" s="451" t="s">
        <v>967</v>
      </c>
      <c r="U1503" s="452">
        <v>132475.57024505627</v>
      </c>
      <c r="V150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3" s="272">
        <f>IFERROR(SUMIFS(TransUnitCost[Miles],TransUnitCost[Grouping_ID],TransTonsShort[[#This Row],[Grouping_ID]],TransUnitCost[Transp_ID],TransTonsShort[[#This Row],[Transp_ID]])*TransTonsShort[[#This Row],[Trans_Tons_All]]/TransTonsShort[[#This Row],[Trans_Tons_All]],"")</f>
        <v>0</v>
      </c>
      <c r="X1503" s="386" t="str">
        <f>TransTonsShort[[#This Row],[Grouping_ID]]&amp;"-"&amp;TransTonsShort[[#This Row],[Sector_ID]]</f>
        <v>4-3</v>
      </c>
      <c r="Y150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03" s="421">
        <f>INDEX(LandfillFees[Disposal Tip Fee 2025],MATCH(TransTonsShort[[#This Row],[Grouping_ID]],LandfillFees[Grouping_ID],0))</f>
        <v>72.030938699729589</v>
      </c>
      <c r="AA1503" s="102">
        <f>IF(OR(TransTonsShort[[#This Row],[CollectionStream_ID]]="03",TransTonsShort[[#This Row],[CollectionStream_ID]]="04",TransTonsShort[[#This Row],[CollectionStream_ID]]="13"),0,TransTonsShort[[#This Row],[Trans_Tons_All]]*TransTonsShort[[#This Row],[Disposal_Fee]])</f>
        <v>0</v>
      </c>
    </row>
    <row r="1504" spans="12:27" ht="15" x14ac:dyDescent="0.25">
      <c r="L1504" s="446" t="s">
        <v>873</v>
      </c>
      <c r="M1504" s="446">
        <v>4</v>
      </c>
      <c r="N1504" s="446">
        <v>3</v>
      </c>
      <c r="O1504" s="446" t="s">
        <v>719</v>
      </c>
      <c r="P1504" s="449" t="s">
        <v>744</v>
      </c>
      <c r="Q1504" s="449"/>
      <c r="R1504" s="449"/>
      <c r="S1504" s="451" t="s">
        <v>720</v>
      </c>
      <c r="T1504" s="451" t="s">
        <v>967</v>
      </c>
      <c r="U1504" s="452">
        <v>5443.1244494308885</v>
      </c>
      <c r="V150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4" s="272">
        <f>IFERROR(SUMIFS(TransUnitCost[Miles],TransUnitCost[Grouping_ID],TransTonsShort[[#This Row],[Grouping_ID]],TransUnitCost[Transp_ID],TransTonsShort[[#This Row],[Transp_ID]])*TransTonsShort[[#This Row],[Trans_Tons_All]]/TransTonsShort[[#This Row],[Trans_Tons_All]],"")</f>
        <v>0</v>
      </c>
      <c r="X1504" s="386" t="str">
        <f>TransTonsShort[[#This Row],[Grouping_ID]]&amp;"-"&amp;TransTonsShort[[#This Row],[Sector_ID]]</f>
        <v>4-3</v>
      </c>
      <c r="Y150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04" s="421">
        <f>INDEX(LandfillFees[Disposal Tip Fee 2025],MATCH(TransTonsShort[[#This Row],[Grouping_ID]],LandfillFees[Grouping_ID],0))</f>
        <v>72.030938699729589</v>
      </c>
      <c r="AA1504" s="102">
        <f>IF(OR(TransTonsShort[[#This Row],[CollectionStream_ID]]="03",TransTonsShort[[#This Row],[CollectionStream_ID]]="04",TransTonsShort[[#This Row],[CollectionStream_ID]]="13"),0,TransTonsShort[[#This Row],[Trans_Tons_All]]*TransTonsShort[[#This Row],[Disposal_Fee]])</f>
        <v>0</v>
      </c>
    </row>
    <row r="1505" spans="12:27" ht="15" x14ac:dyDescent="0.25">
      <c r="L1505" s="446" t="s">
        <v>873</v>
      </c>
      <c r="M1505" s="446">
        <v>4</v>
      </c>
      <c r="N1505" s="446">
        <v>3</v>
      </c>
      <c r="O1505" s="446" t="s">
        <v>754</v>
      </c>
      <c r="P1505" s="449" t="s">
        <v>744</v>
      </c>
      <c r="Q1505" s="449"/>
      <c r="R1505" s="449"/>
      <c r="S1505" s="451" t="s">
        <v>1991</v>
      </c>
      <c r="T1505" s="451" t="s">
        <v>967</v>
      </c>
      <c r="U1505" s="452">
        <v>42.886103670660546</v>
      </c>
      <c r="V150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5" s="272">
        <f>IFERROR(SUMIFS(TransUnitCost[Miles],TransUnitCost[Grouping_ID],TransTonsShort[[#This Row],[Grouping_ID]],TransUnitCost[Transp_ID],TransTonsShort[[#This Row],[Transp_ID]])*TransTonsShort[[#This Row],[Trans_Tons_All]]/TransTonsShort[[#This Row],[Trans_Tons_All]],"")</f>
        <v>0</v>
      </c>
      <c r="X1505" s="386" t="str">
        <f>TransTonsShort[[#This Row],[Grouping_ID]]&amp;"-"&amp;TransTonsShort[[#This Row],[Sector_ID]]</f>
        <v>4-3</v>
      </c>
      <c r="Y150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05" s="421">
        <f>INDEX(LandfillFees[Disposal Tip Fee 2025],MATCH(TransTonsShort[[#This Row],[Grouping_ID]],LandfillFees[Grouping_ID],0))</f>
        <v>72.030938699729589</v>
      </c>
      <c r="AA1505" s="102">
        <f>IF(OR(TransTonsShort[[#This Row],[CollectionStream_ID]]="03",TransTonsShort[[#This Row],[CollectionStream_ID]]="04",TransTonsShort[[#This Row],[CollectionStream_ID]]="13"),0,TransTonsShort[[#This Row],[Trans_Tons_All]]*TransTonsShort[[#This Row],[Disposal_Fee]])</f>
        <v>0</v>
      </c>
    </row>
    <row r="1506" spans="12:27" ht="15" x14ac:dyDescent="0.25">
      <c r="L1506" s="446" t="s">
        <v>873</v>
      </c>
      <c r="M1506" s="446">
        <v>4</v>
      </c>
      <c r="N1506" s="446">
        <v>4</v>
      </c>
      <c r="O1506" s="446" t="s">
        <v>712</v>
      </c>
      <c r="P1506" s="449" t="s">
        <v>744</v>
      </c>
      <c r="Q1506" s="449"/>
      <c r="R1506" s="449"/>
      <c r="S1506" s="451" t="s">
        <v>713</v>
      </c>
      <c r="T1506" s="451" t="s">
        <v>967</v>
      </c>
      <c r="U1506" s="452">
        <v>88414.395241807215</v>
      </c>
      <c r="V150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6" s="272">
        <f>IFERROR(SUMIFS(TransUnitCost[Miles],TransUnitCost[Grouping_ID],TransTonsShort[[#This Row],[Grouping_ID]],TransUnitCost[Transp_ID],TransTonsShort[[#This Row],[Transp_ID]])*TransTonsShort[[#This Row],[Trans_Tons_All]]/TransTonsShort[[#This Row],[Trans_Tons_All]],"")</f>
        <v>0</v>
      </c>
      <c r="X1506" s="386" t="str">
        <f>TransTonsShort[[#This Row],[Grouping_ID]]&amp;"-"&amp;TransTonsShort[[#This Row],[Sector_ID]]</f>
        <v>4-4</v>
      </c>
      <c r="Y150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06" s="421">
        <f>INDEX(LandfillFees[Disposal Tip Fee 2025],MATCH(TransTonsShort[[#This Row],[Grouping_ID]],LandfillFees[Grouping_ID],0))</f>
        <v>72.030938699729589</v>
      </c>
      <c r="AA1506" s="102">
        <f>IF(OR(TransTonsShort[[#This Row],[CollectionStream_ID]]="03",TransTonsShort[[#This Row],[CollectionStream_ID]]="04",TransTonsShort[[#This Row],[CollectionStream_ID]]="13"),0,TransTonsShort[[#This Row],[Trans_Tons_All]]*TransTonsShort[[#This Row],[Disposal_Fee]])</f>
        <v>0</v>
      </c>
    </row>
    <row r="1507" spans="12:27" ht="15" x14ac:dyDescent="0.25">
      <c r="L1507" s="446" t="s">
        <v>873</v>
      </c>
      <c r="M1507" s="446">
        <v>4</v>
      </c>
      <c r="N1507" s="446">
        <v>4</v>
      </c>
      <c r="O1507" s="446" t="s">
        <v>719</v>
      </c>
      <c r="P1507" s="449" t="s">
        <v>744</v>
      </c>
      <c r="Q1507" s="449"/>
      <c r="R1507" s="449"/>
      <c r="S1507" s="451" t="s">
        <v>720</v>
      </c>
      <c r="T1507" s="451" t="s">
        <v>967</v>
      </c>
      <c r="U1507" s="452">
        <v>21209.540696132946</v>
      </c>
      <c r="V150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7" s="272">
        <f>IFERROR(SUMIFS(TransUnitCost[Miles],TransUnitCost[Grouping_ID],TransTonsShort[[#This Row],[Grouping_ID]],TransUnitCost[Transp_ID],TransTonsShort[[#This Row],[Transp_ID]])*TransTonsShort[[#This Row],[Trans_Tons_All]]/TransTonsShort[[#This Row],[Trans_Tons_All]],"")</f>
        <v>0</v>
      </c>
      <c r="X1507" s="386" t="str">
        <f>TransTonsShort[[#This Row],[Grouping_ID]]&amp;"-"&amp;TransTonsShort[[#This Row],[Sector_ID]]</f>
        <v>4-4</v>
      </c>
      <c r="Y150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07" s="421">
        <f>INDEX(LandfillFees[Disposal Tip Fee 2025],MATCH(TransTonsShort[[#This Row],[Grouping_ID]],LandfillFees[Grouping_ID],0))</f>
        <v>72.030938699729589</v>
      </c>
      <c r="AA1507" s="102">
        <f>IF(OR(TransTonsShort[[#This Row],[CollectionStream_ID]]="03",TransTonsShort[[#This Row],[CollectionStream_ID]]="04",TransTonsShort[[#This Row],[CollectionStream_ID]]="13"),0,TransTonsShort[[#This Row],[Trans_Tons_All]]*TransTonsShort[[#This Row],[Disposal_Fee]])</f>
        <v>0</v>
      </c>
    </row>
    <row r="1508" spans="12:27" ht="15" x14ac:dyDescent="0.25">
      <c r="L1508" s="446" t="s">
        <v>873</v>
      </c>
      <c r="M1508" s="446">
        <v>4</v>
      </c>
      <c r="N1508" s="446">
        <v>4</v>
      </c>
      <c r="O1508" s="446" t="s">
        <v>754</v>
      </c>
      <c r="P1508" s="449" t="s">
        <v>744</v>
      </c>
      <c r="Q1508" s="449"/>
      <c r="R1508" s="449"/>
      <c r="S1508" s="451" t="s">
        <v>1991</v>
      </c>
      <c r="T1508" s="451" t="s">
        <v>967</v>
      </c>
      <c r="U1508" s="452">
        <v>5743.800939331295</v>
      </c>
      <c r="V150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8" s="272">
        <f>IFERROR(SUMIFS(TransUnitCost[Miles],TransUnitCost[Grouping_ID],TransTonsShort[[#This Row],[Grouping_ID]],TransUnitCost[Transp_ID],TransTonsShort[[#This Row],[Transp_ID]])*TransTonsShort[[#This Row],[Trans_Tons_All]]/TransTonsShort[[#This Row],[Trans_Tons_All]],"")</f>
        <v>0</v>
      </c>
      <c r="X1508" s="386" t="str">
        <f>TransTonsShort[[#This Row],[Grouping_ID]]&amp;"-"&amp;TransTonsShort[[#This Row],[Sector_ID]]</f>
        <v>4-4</v>
      </c>
      <c r="Y150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08" s="421">
        <f>INDEX(LandfillFees[Disposal Tip Fee 2025],MATCH(TransTonsShort[[#This Row],[Grouping_ID]],LandfillFees[Grouping_ID],0))</f>
        <v>72.030938699729589</v>
      </c>
      <c r="AA1508" s="102">
        <f>IF(OR(TransTonsShort[[#This Row],[CollectionStream_ID]]="03",TransTonsShort[[#This Row],[CollectionStream_ID]]="04",TransTonsShort[[#This Row],[CollectionStream_ID]]="13"),0,TransTonsShort[[#This Row],[Trans_Tons_All]]*TransTonsShort[[#This Row],[Disposal_Fee]])</f>
        <v>0</v>
      </c>
    </row>
    <row r="1509" spans="12:27" ht="15" x14ac:dyDescent="0.25">
      <c r="L1509" s="446" t="s">
        <v>873</v>
      </c>
      <c r="M1509" s="446">
        <v>4</v>
      </c>
      <c r="N1509" s="446">
        <v>5</v>
      </c>
      <c r="O1509" s="446" t="s">
        <v>754</v>
      </c>
      <c r="P1509" s="449" t="s">
        <v>744</v>
      </c>
      <c r="Q1509" s="449"/>
      <c r="R1509" s="449"/>
      <c r="S1509" s="451" t="s">
        <v>1991</v>
      </c>
      <c r="T1509" s="451" t="s">
        <v>967</v>
      </c>
      <c r="U1509" s="452">
        <v>53906.212649540714</v>
      </c>
      <c r="V150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09" s="272">
        <f>IFERROR(SUMIFS(TransUnitCost[Miles],TransUnitCost[Grouping_ID],TransTonsShort[[#This Row],[Grouping_ID]],TransUnitCost[Transp_ID],TransTonsShort[[#This Row],[Transp_ID]])*TransTonsShort[[#This Row],[Trans_Tons_All]]/TransTonsShort[[#This Row],[Trans_Tons_All]],"")</f>
        <v>0</v>
      </c>
      <c r="X1509" s="386" t="str">
        <f>TransTonsShort[[#This Row],[Grouping_ID]]&amp;"-"&amp;TransTonsShort[[#This Row],[Sector_ID]]</f>
        <v>4-5</v>
      </c>
      <c r="Y150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09" s="421">
        <f>INDEX(LandfillFees[Disposal Tip Fee 2025],MATCH(TransTonsShort[[#This Row],[Grouping_ID]],LandfillFees[Grouping_ID],0))</f>
        <v>72.030938699729589</v>
      </c>
      <c r="AA1509" s="102">
        <f>IF(OR(TransTonsShort[[#This Row],[CollectionStream_ID]]="03",TransTonsShort[[#This Row],[CollectionStream_ID]]="04",TransTonsShort[[#This Row],[CollectionStream_ID]]="13"),0,TransTonsShort[[#This Row],[Trans_Tons_All]]*TransTonsShort[[#This Row],[Disposal_Fee]])</f>
        <v>0</v>
      </c>
    </row>
    <row r="1510" spans="12:27" ht="15" x14ac:dyDescent="0.25">
      <c r="L1510" s="446" t="s">
        <v>873</v>
      </c>
      <c r="M1510" s="446">
        <v>4</v>
      </c>
      <c r="N1510" s="446">
        <v>6</v>
      </c>
      <c r="O1510" s="446" t="s">
        <v>754</v>
      </c>
      <c r="P1510" s="449" t="s">
        <v>744</v>
      </c>
      <c r="Q1510" s="449"/>
      <c r="R1510" s="449"/>
      <c r="S1510" s="451" t="s">
        <v>1991</v>
      </c>
      <c r="T1510" s="451" t="s">
        <v>967</v>
      </c>
      <c r="U1510" s="452">
        <v>12603.943863547724</v>
      </c>
      <c r="V151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0" s="272">
        <f>IFERROR(SUMIFS(TransUnitCost[Miles],TransUnitCost[Grouping_ID],TransTonsShort[[#This Row],[Grouping_ID]],TransUnitCost[Transp_ID],TransTonsShort[[#This Row],[Transp_ID]])*TransTonsShort[[#This Row],[Trans_Tons_All]]/TransTonsShort[[#This Row],[Trans_Tons_All]],"")</f>
        <v>0</v>
      </c>
      <c r="X1510" s="386" t="str">
        <f>TransTonsShort[[#This Row],[Grouping_ID]]&amp;"-"&amp;TransTonsShort[[#This Row],[Sector_ID]]</f>
        <v>4-6</v>
      </c>
      <c r="Y151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10" s="421">
        <f>INDEX(LandfillFees[Disposal Tip Fee 2025],MATCH(TransTonsShort[[#This Row],[Grouping_ID]],LandfillFees[Grouping_ID],0))</f>
        <v>72.030938699729589</v>
      </c>
      <c r="AA1510" s="102">
        <f>IF(OR(TransTonsShort[[#This Row],[CollectionStream_ID]]="03",TransTonsShort[[#This Row],[CollectionStream_ID]]="04",TransTonsShort[[#This Row],[CollectionStream_ID]]="13"),0,TransTonsShort[[#This Row],[Trans_Tons_All]]*TransTonsShort[[#This Row],[Disposal_Fee]])</f>
        <v>0</v>
      </c>
    </row>
    <row r="1511" spans="12:27" ht="15" x14ac:dyDescent="0.25">
      <c r="L1511" s="446" t="s">
        <v>870</v>
      </c>
      <c r="M1511" s="446">
        <v>1</v>
      </c>
      <c r="N1511" s="446">
        <v>1</v>
      </c>
      <c r="O1511" s="446" t="s">
        <v>712</v>
      </c>
      <c r="P1511" s="449" t="s">
        <v>744</v>
      </c>
      <c r="Q1511" s="449"/>
      <c r="R1511" s="449"/>
      <c r="S1511" s="451" t="s">
        <v>713</v>
      </c>
      <c r="T1511" s="451" t="s">
        <v>967</v>
      </c>
      <c r="U1511" s="452">
        <v>273747.64894541283</v>
      </c>
      <c r="V151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1" s="272">
        <f>IFERROR(SUMIFS(TransUnitCost[Miles],TransUnitCost[Grouping_ID],TransTonsShort[[#This Row],[Grouping_ID]],TransUnitCost[Transp_ID],TransTonsShort[[#This Row],[Transp_ID]])*TransTonsShort[[#This Row],[Trans_Tons_All]]/TransTonsShort[[#This Row],[Trans_Tons_All]],"")</f>
        <v>0</v>
      </c>
      <c r="X1511" s="386" t="str">
        <f>TransTonsShort[[#This Row],[Grouping_ID]]&amp;"-"&amp;TransTonsShort[[#This Row],[Sector_ID]]</f>
        <v>1-1</v>
      </c>
      <c r="Y151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11" s="421">
        <f>INDEX(LandfillFees[Disposal Tip Fee 2025],MATCH(TransTonsShort[[#This Row],[Grouping_ID]],LandfillFees[Grouping_ID],0))</f>
        <v>134.68</v>
      </c>
      <c r="AA1511" s="102">
        <f>IF(OR(TransTonsShort[[#This Row],[CollectionStream_ID]]="03",TransTonsShort[[#This Row],[CollectionStream_ID]]="04",TransTonsShort[[#This Row],[CollectionStream_ID]]="13"),0,TransTonsShort[[#This Row],[Trans_Tons_All]]*TransTonsShort[[#This Row],[Disposal_Fee]])</f>
        <v>0</v>
      </c>
    </row>
    <row r="1512" spans="12:27" ht="15" x14ac:dyDescent="0.25">
      <c r="L1512" s="446" t="s">
        <v>870</v>
      </c>
      <c r="M1512" s="446">
        <v>1</v>
      </c>
      <c r="N1512" s="446">
        <v>1</v>
      </c>
      <c r="O1512" s="446" t="s">
        <v>719</v>
      </c>
      <c r="P1512" s="449" t="s">
        <v>744</v>
      </c>
      <c r="Q1512" s="449"/>
      <c r="R1512" s="449"/>
      <c r="S1512" s="451" t="s">
        <v>720</v>
      </c>
      <c r="T1512" s="451" t="s">
        <v>967</v>
      </c>
      <c r="U1512" s="452">
        <v>144781.32652718961</v>
      </c>
      <c r="V151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2" s="272">
        <f>IFERROR(SUMIFS(TransUnitCost[Miles],TransUnitCost[Grouping_ID],TransTonsShort[[#This Row],[Grouping_ID]],TransUnitCost[Transp_ID],TransTonsShort[[#This Row],[Transp_ID]])*TransTonsShort[[#This Row],[Trans_Tons_All]]/TransTonsShort[[#This Row],[Trans_Tons_All]],"")</f>
        <v>0</v>
      </c>
      <c r="X1512" s="386" t="str">
        <f>TransTonsShort[[#This Row],[Grouping_ID]]&amp;"-"&amp;TransTonsShort[[#This Row],[Sector_ID]]</f>
        <v>1-1</v>
      </c>
      <c r="Y151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12" s="421">
        <f>INDEX(LandfillFees[Disposal Tip Fee 2025],MATCH(TransTonsShort[[#This Row],[Grouping_ID]],LandfillFees[Grouping_ID],0))</f>
        <v>134.68</v>
      </c>
      <c r="AA1512" s="102">
        <f>IF(OR(TransTonsShort[[#This Row],[CollectionStream_ID]]="03",TransTonsShort[[#This Row],[CollectionStream_ID]]="04",TransTonsShort[[#This Row],[CollectionStream_ID]]="13"),0,TransTonsShort[[#This Row],[Trans_Tons_All]]*TransTonsShort[[#This Row],[Disposal_Fee]])</f>
        <v>0</v>
      </c>
    </row>
    <row r="1513" spans="12:27" ht="15" x14ac:dyDescent="0.25">
      <c r="L1513" s="446" t="s">
        <v>870</v>
      </c>
      <c r="M1513" s="446">
        <v>1</v>
      </c>
      <c r="N1513" s="446">
        <v>1</v>
      </c>
      <c r="O1513" s="446" t="s">
        <v>754</v>
      </c>
      <c r="P1513" s="449" t="s">
        <v>744</v>
      </c>
      <c r="Q1513" s="449"/>
      <c r="R1513" s="449"/>
      <c r="S1513" s="451" t="s">
        <v>1991</v>
      </c>
      <c r="T1513" s="451" t="s">
        <v>967</v>
      </c>
      <c r="U1513" s="452">
        <v>343.64376002431334</v>
      </c>
      <c r="V151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3" s="272">
        <f>IFERROR(SUMIFS(TransUnitCost[Miles],TransUnitCost[Grouping_ID],TransTonsShort[[#This Row],[Grouping_ID]],TransUnitCost[Transp_ID],TransTonsShort[[#This Row],[Transp_ID]])*TransTonsShort[[#This Row],[Trans_Tons_All]]/TransTonsShort[[#This Row],[Trans_Tons_All]],"")</f>
        <v>0</v>
      </c>
      <c r="X1513" s="386" t="str">
        <f>TransTonsShort[[#This Row],[Grouping_ID]]&amp;"-"&amp;TransTonsShort[[#This Row],[Sector_ID]]</f>
        <v>1-1</v>
      </c>
      <c r="Y151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13" s="421">
        <f>INDEX(LandfillFees[Disposal Tip Fee 2025],MATCH(TransTonsShort[[#This Row],[Grouping_ID]],LandfillFees[Grouping_ID],0))</f>
        <v>134.68</v>
      </c>
      <c r="AA1513" s="102">
        <f>IF(OR(TransTonsShort[[#This Row],[CollectionStream_ID]]="03",TransTonsShort[[#This Row],[CollectionStream_ID]]="04",TransTonsShort[[#This Row],[CollectionStream_ID]]="13"),0,TransTonsShort[[#This Row],[Trans_Tons_All]]*TransTonsShort[[#This Row],[Disposal_Fee]])</f>
        <v>0</v>
      </c>
    </row>
    <row r="1514" spans="12:27" ht="15" x14ac:dyDescent="0.25">
      <c r="L1514" s="446" t="s">
        <v>870</v>
      </c>
      <c r="M1514" s="446">
        <v>1</v>
      </c>
      <c r="N1514" s="446">
        <v>2</v>
      </c>
      <c r="O1514" s="446" t="s">
        <v>712</v>
      </c>
      <c r="P1514" s="449" t="s">
        <v>744</v>
      </c>
      <c r="Q1514" s="449"/>
      <c r="R1514" s="449"/>
      <c r="S1514" s="451" t="s">
        <v>713</v>
      </c>
      <c r="T1514" s="451" t="s">
        <v>967</v>
      </c>
      <c r="U1514" s="452">
        <v>116004.82543746331</v>
      </c>
      <c r="V151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4" s="272">
        <f>IFERROR(SUMIFS(TransUnitCost[Miles],TransUnitCost[Grouping_ID],TransTonsShort[[#This Row],[Grouping_ID]],TransUnitCost[Transp_ID],TransTonsShort[[#This Row],[Transp_ID]])*TransTonsShort[[#This Row],[Trans_Tons_All]]/TransTonsShort[[#This Row],[Trans_Tons_All]],"")</f>
        <v>0</v>
      </c>
      <c r="X1514" s="386" t="str">
        <f>TransTonsShort[[#This Row],[Grouping_ID]]&amp;"-"&amp;TransTonsShort[[#This Row],[Sector_ID]]</f>
        <v>1-2</v>
      </c>
      <c r="Y151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14" s="421">
        <f>INDEX(LandfillFees[Disposal Tip Fee 2025],MATCH(TransTonsShort[[#This Row],[Grouping_ID]],LandfillFees[Grouping_ID],0))</f>
        <v>134.68</v>
      </c>
      <c r="AA1514" s="102">
        <f>IF(OR(TransTonsShort[[#This Row],[CollectionStream_ID]]="03",TransTonsShort[[#This Row],[CollectionStream_ID]]="04",TransTonsShort[[#This Row],[CollectionStream_ID]]="13"),0,TransTonsShort[[#This Row],[Trans_Tons_All]]*TransTonsShort[[#This Row],[Disposal_Fee]])</f>
        <v>0</v>
      </c>
    </row>
    <row r="1515" spans="12:27" ht="15" x14ac:dyDescent="0.25">
      <c r="L1515" s="446" t="s">
        <v>870</v>
      </c>
      <c r="M1515" s="446">
        <v>1</v>
      </c>
      <c r="N1515" s="446">
        <v>2</v>
      </c>
      <c r="O1515" s="446" t="s">
        <v>719</v>
      </c>
      <c r="P1515" s="449" t="s">
        <v>744</v>
      </c>
      <c r="Q1515" s="449"/>
      <c r="R1515" s="449"/>
      <c r="S1515" s="451" t="s">
        <v>720</v>
      </c>
      <c r="T1515" s="451" t="s">
        <v>967</v>
      </c>
      <c r="U1515" s="452">
        <v>3180.8415117578074</v>
      </c>
      <c r="V151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5" s="272">
        <f>IFERROR(SUMIFS(TransUnitCost[Miles],TransUnitCost[Grouping_ID],TransTonsShort[[#This Row],[Grouping_ID]],TransUnitCost[Transp_ID],TransTonsShort[[#This Row],[Transp_ID]])*TransTonsShort[[#This Row],[Trans_Tons_All]]/TransTonsShort[[#This Row],[Trans_Tons_All]],"")</f>
        <v>0</v>
      </c>
      <c r="X1515" s="386" t="str">
        <f>TransTonsShort[[#This Row],[Grouping_ID]]&amp;"-"&amp;TransTonsShort[[#This Row],[Sector_ID]]</f>
        <v>1-2</v>
      </c>
      <c r="Y151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15" s="421">
        <f>INDEX(LandfillFees[Disposal Tip Fee 2025],MATCH(TransTonsShort[[#This Row],[Grouping_ID]],LandfillFees[Grouping_ID],0))</f>
        <v>134.68</v>
      </c>
      <c r="AA1515" s="102">
        <f>IF(OR(TransTonsShort[[#This Row],[CollectionStream_ID]]="03",TransTonsShort[[#This Row],[CollectionStream_ID]]="04",TransTonsShort[[#This Row],[CollectionStream_ID]]="13"),0,TransTonsShort[[#This Row],[Trans_Tons_All]]*TransTonsShort[[#This Row],[Disposal_Fee]])</f>
        <v>0</v>
      </c>
    </row>
    <row r="1516" spans="12:27" ht="15" x14ac:dyDescent="0.25">
      <c r="L1516" s="446" t="s">
        <v>870</v>
      </c>
      <c r="M1516" s="446">
        <v>1</v>
      </c>
      <c r="N1516" s="446">
        <v>2</v>
      </c>
      <c r="O1516" s="446" t="s">
        <v>754</v>
      </c>
      <c r="P1516" s="449" t="s">
        <v>744</v>
      </c>
      <c r="Q1516" s="449"/>
      <c r="R1516" s="449"/>
      <c r="S1516" s="451" t="s">
        <v>1991</v>
      </c>
      <c r="T1516" s="451" t="s">
        <v>967</v>
      </c>
      <c r="U1516" s="452">
        <v>0.84305151988863725</v>
      </c>
      <c r="V151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6" s="272">
        <f>IFERROR(SUMIFS(TransUnitCost[Miles],TransUnitCost[Grouping_ID],TransTonsShort[[#This Row],[Grouping_ID]],TransUnitCost[Transp_ID],TransTonsShort[[#This Row],[Transp_ID]])*TransTonsShort[[#This Row],[Trans_Tons_All]]/TransTonsShort[[#This Row],[Trans_Tons_All]],"")</f>
        <v>0</v>
      </c>
      <c r="X1516" s="386" t="str">
        <f>TransTonsShort[[#This Row],[Grouping_ID]]&amp;"-"&amp;TransTonsShort[[#This Row],[Sector_ID]]</f>
        <v>1-2</v>
      </c>
      <c r="Y151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16" s="421">
        <f>INDEX(LandfillFees[Disposal Tip Fee 2025],MATCH(TransTonsShort[[#This Row],[Grouping_ID]],LandfillFees[Grouping_ID],0))</f>
        <v>134.68</v>
      </c>
      <c r="AA1516" s="102">
        <f>IF(OR(TransTonsShort[[#This Row],[CollectionStream_ID]]="03",TransTonsShort[[#This Row],[CollectionStream_ID]]="04",TransTonsShort[[#This Row],[CollectionStream_ID]]="13"),0,TransTonsShort[[#This Row],[Trans_Tons_All]]*TransTonsShort[[#This Row],[Disposal_Fee]])</f>
        <v>0</v>
      </c>
    </row>
    <row r="1517" spans="12:27" ht="15" x14ac:dyDescent="0.25">
      <c r="L1517" s="446" t="s">
        <v>870</v>
      </c>
      <c r="M1517" s="446">
        <v>1</v>
      </c>
      <c r="N1517" s="446">
        <v>3</v>
      </c>
      <c r="O1517" s="446" t="s">
        <v>712</v>
      </c>
      <c r="P1517" s="449" t="s">
        <v>744</v>
      </c>
      <c r="Q1517" s="449"/>
      <c r="R1517" s="449"/>
      <c r="S1517" s="451" t="s">
        <v>713</v>
      </c>
      <c r="T1517" s="451" t="s">
        <v>967</v>
      </c>
      <c r="U1517" s="452">
        <v>403307.76660679001</v>
      </c>
      <c r="V151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7" s="272">
        <f>IFERROR(SUMIFS(TransUnitCost[Miles],TransUnitCost[Grouping_ID],TransTonsShort[[#This Row],[Grouping_ID]],TransUnitCost[Transp_ID],TransTonsShort[[#This Row],[Transp_ID]])*TransTonsShort[[#This Row],[Trans_Tons_All]]/TransTonsShort[[#This Row],[Trans_Tons_All]],"")</f>
        <v>0</v>
      </c>
      <c r="X1517" s="386" t="str">
        <f>TransTonsShort[[#This Row],[Grouping_ID]]&amp;"-"&amp;TransTonsShort[[#This Row],[Sector_ID]]</f>
        <v>1-3</v>
      </c>
      <c r="Y151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17" s="421">
        <f>INDEX(LandfillFees[Disposal Tip Fee 2025],MATCH(TransTonsShort[[#This Row],[Grouping_ID]],LandfillFees[Grouping_ID],0))</f>
        <v>134.68</v>
      </c>
      <c r="AA1517" s="102">
        <f>IF(OR(TransTonsShort[[#This Row],[CollectionStream_ID]]="03",TransTonsShort[[#This Row],[CollectionStream_ID]]="04",TransTonsShort[[#This Row],[CollectionStream_ID]]="13"),0,TransTonsShort[[#This Row],[Trans_Tons_All]]*TransTonsShort[[#This Row],[Disposal_Fee]])</f>
        <v>0</v>
      </c>
    </row>
    <row r="1518" spans="12:27" ht="15" x14ac:dyDescent="0.25">
      <c r="L1518" s="446" t="s">
        <v>870</v>
      </c>
      <c r="M1518" s="446">
        <v>1</v>
      </c>
      <c r="N1518" s="446">
        <v>3</v>
      </c>
      <c r="O1518" s="446" t="s">
        <v>719</v>
      </c>
      <c r="P1518" s="449" t="s">
        <v>744</v>
      </c>
      <c r="Q1518" s="449"/>
      <c r="R1518" s="449"/>
      <c r="S1518" s="451" t="s">
        <v>720</v>
      </c>
      <c r="T1518" s="451" t="s">
        <v>967</v>
      </c>
      <c r="U1518" s="452">
        <v>40366.685615916875</v>
      </c>
      <c r="V151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8" s="272">
        <f>IFERROR(SUMIFS(TransUnitCost[Miles],TransUnitCost[Grouping_ID],TransTonsShort[[#This Row],[Grouping_ID]],TransUnitCost[Transp_ID],TransTonsShort[[#This Row],[Transp_ID]])*TransTonsShort[[#This Row],[Trans_Tons_All]]/TransTonsShort[[#This Row],[Trans_Tons_All]],"")</f>
        <v>0</v>
      </c>
      <c r="X1518" s="386" t="str">
        <f>TransTonsShort[[#This Row],[Grouping_ID]]&amp;"-"&amp;TransTonsShort[[#This Row],[Sector_ID]]</f>
        <v>1-3</v>
      </c>
      <c r="Y151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18" s="421">
        <f>INDEX(LandfillFees[Disposal Tip Fee 2025],MATCH(TransTonsShort[[#This Row],[Grouping_ID]],LandfillFees[Grouping_ID],0))</f>
        <v>134.68</v>
      </c>
      <c r="AA1518" s="102">
        <f>IF(OR(TransTonsShort[[#This Row],[CollectionStream_ID]]="03",TransTonsShort[[#This Row],[CollectionStream_ID]]="04",TransTonsShort[[#This Row],[CollectionStream_ID]]="13"),0,TransTonsShort[[#This Row],[Trans_Tons_All]]*TransTonsShort[[#This Row],[Disposal_Fee]])</f>
        <v>0</v>
      </c>
    </row>
    <row r="1519" spans="12:27" ht="15" x14ac:dyDescent="0.25">
      <c r="L1519" s="446" t="s">
        <v>870</v>
      </c>
      <c r="M1519" s="446">
        <v>1</v>
      </c>
      <c r="N1519" s="446">
        <v>3</v>
      </c>
      <c r="O1519" s="446" t="s">
        <v>754</v>
      </c>
      <c r="P1519" s="449" t="s">
        <v>744</v>
      </c>
      <c r="Q1519" s="449"/>
      <c r="R1519" s="449"/>
      <c r="S1519" s="451" t="s">
        <v>1991</v>
      </c>
      <c r="T1519" s="451" t="s">
        <v>967</v>
      </c>
      <c r="U1519" s="452">
        <v>699.42953050571566</v>
      </c>
      <c r="V151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19" s="272">
        <f>IFERROR(SUMIFS(TransUnitCost[Miles],TransUnitCost[Grouping_ID],TransTonsShort[[#This Row],[Grouping_ID]],TransUnitCost[Transp_ID],TransTonsShort[[#This Row],[Transp_ID]])*TransTonsShort[[#This Row],[Trans_Tons_All]]/TransTonsShort[[#This Row],[Trans_Tons_All]],"")</f>
        <v>0</v>
      </c>
      <c r="X1519" s="386" t="str">
        <f>TransTonsShort[[#This Row],[Grouping_ID]]&amp;"-"&amp;TransTonsShort[[#This Row],[Sector_ID]]</f>
        <v>1-3</v>
      </c>
      <c r="Y151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19" s="421">
        <f>INDEX(LandfillFees[Disposal Tip Fee 2025],MATCH(TransTonsShort[[#This Row],[Grouping_ID]],LandfillFees[Grouping_ID],0))</f>
        <v>134.68</v>
      </c>
      <c r="AA1519" s="102">
        <f>IF(OR(TransTonsShort[[#This Row],[CollectionStream_ID]]="03",TransTonsShort[[#This Row],[CollectionStream_ID]]="04",TransTonsShort[[#This Row],[CollectionStream_ID]]="13"),0,TransTonsShort[[#This Row],[Trans_Tons_All]]*TransTonsShort[[#This Row],[Disposal_Fee]])</f>
        <v>0</v>
      </c>
    </row>
    <row r="1520" spans="12:27" ht="15" x14ac:dyDescent="0.25">
      <c r="L1520" s="446" t="s">
        <v>870</v>
      </c>
      <c r="M1520" s="446">
        <v>1</v>
      </c>
      <c r="N1520" s="446">
        <v>4</v>
      </c>
      <c r="O1520" s="446" t="s">
        <v>712</v>
      </c>
      <c r="P1520" s="449" t="s">
        <v>744</v>
      </c>
      <c r="Q1520" s="449"/>
      <c r="R1520" s="449"/>
      <c r="S1520" s="451" t="s">
        <v>713</v>
      </c>
      <c r="T1520" s="451" t="s">
        <v>967</v>
      </c>
      <c r="U1520" s="452">
        <v>150482.64452025204</v>
      </c>
      <c r="V152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0" s="272">
        <f>IFERROR(SUMIFS(TransUnitCost[Miles],TransUnitCost[Grouping_ID],TransTonsShort[[#This Row],[Grouping_ID]],TransUnitCost[Transp_ID],TransTonsShort[[#This Row],[Transp_ID]])*TransTonsShort[[#This Row],[Trans_Tons_All]]/TransTonsShort[[#This Row],[Trans_Tons_All]],"")</f>
        <v>0</v>
      </c>
      <c r="X1520" s="386" t="str">
        <f>TransTonsShort[[#This Row],[Grouping_ID]]&amp;"-"&amp;TransTonsShort[[#This Row],[Sector_ID]]</f>
        <v>1-4</v>
      </c>
      <c r="Y152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20" s="421">
        <f>INDEX(LandfillFees[Disposal Tip Fee 2025],MATCH(TransTonsShort[[#This Row],[Grouping_ID]],LandfillFees[Grouping_ID],0))</f>
        <v>134.68</v>
      </c>
      <c r="AA1520" s="102">
        <f>IF(OR(TransTonsShort[[#This Row],[CollectionStream_ID]]="03",TransTonsShort[[#This Row],[CollectionStream_ID]]="04",TransTonsShort[[#This Row],[CollectionStream_ID]]="13"),0,TransTonsShort[[#This Row],[Trans_Tons_All]]*TransTonsShort[[#This Row],[Disposal_Fee]])</f>
        <v>0</v>
      </c>
    </row>
    <row r="1521" spans="12:27" ht="15" x14ac:dyDescent="0.25">
      <c r="L1521" s="446" t="s">
        <v>870</v>
      </c>
      <c r="M1521" s="446">
        <v>1</v>
      </c>
      <c r="N1521" s="446">
        <v>4</v>
      </c>
      <c r="O1521" s="446" t="s">
        <v>719</v>
      </c>
      <c r="P1521" s="449" t="s">
        <v>744</v>
      </c>
      <c r="Q1521" s="449"/>
      <c r="R1521" s="449"/>
      <c r="S1521" s="451" t="s">
        <v>720</v>
      </c>
      <c r="T1521" s="451" t="s">
        <v>967</v>
      </c>
      <c r="U1521" s="452">
        <v>4803.1254415545491</v>
      </c>
      <c r="V152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1" s="272">
        <f>IFERROR(SUMIFS(TransUnitCost[Miles],TransUnitCost[Grouping_ID],TransTonsShort[[#This Row],[Grouping_ID]],TransUnitCost[Transp_ID],TransTonsShort[[#This Row],[Transp_ID]])*TransTonsShort[[#This Row],[Trans_Tons_All]]/TransTonsShort[[#This Row],[Trans_Tons_All]],"")</f>
        <v>0</v>
      </c>
      <c r="X1521" s="386" t="str">
        <f>TransTonsShort[[#This Row],[Grouping_ID]]&amp;"-"&amp;TransTonsShort[[#This Row],[Sector_ID]]</f>
        <v>1-4</v>
      </c>
      <c r="Y152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21" s="421">
        <f>INDEX(LandfillFees[Disposal Tip Fee 2025],MATCH(TransTonsShort[[#This Row],[Grouping_ID]],LandfillFees[Grouping_ID],0))</f>
        <v>134.68</v>
      </c>
      <c r="AA1521" s="102">
        <f>IF(OR(TransTonsShort[[#This Row],[CollectionStream_ID]]="03",TransTonsShort[[#This Row],[CollectionStream_ID]]="04",TransTonsShort[[#This Row],[CollectionStream_ID]]="13"),0,TransTonsShort[[#This Row],[Trans_Tons_All]]*TransTonsShort[[#This Row],[Disposal_Fee]])</f>
        <v>0</v>
      </c>
    </row>
    <row r="1522" spans="12:27" ht="15" x14ac:dyDescent="0.25">
      <c r="L1522" s="446" t="s">
        <v>870</v>
      </c>
      <c r="M1522" s="446">
        <v>1</v>
      </c>
      <c r="N1522" s="446">
        <v>4</v>
      </c>
      <c r="O1522" s="446" t="s">
        <v>754</v>
      </c>
      <c r="P1522" s="449" t="s">
        <v>744</v>
      </c>
      <c r="Q1522" s="449"/>
      <c r="R1522" s="449"/>
      <c r="S1522" s="451" t="s">
        <v>1991</v>
      </c>
      <c r="T1522" s="451" t="s">
        <v>967</v>
      </c>
      <c r="U1522" s="452">
        <v>1379.2262399911913</v>
      </c>
      <c r="V152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2" s="272">
        <f>IFERROR(SUMIFS(TransUnitCost[Miles],TransUnitCost[Grouping_ID],TransTonsShort[[#This Row],[Grouping_ID]],TransUnitCost[Transp_ID],TransTonsShort[[#This Row],[Transp_ID]])*TransTonsShort[[#This Row],[Trans_Tons_All]]/TransTonsShort[[#This Row],[Trans_Tons_All]],"")</f>
        <v>0</v>
      </c>
      <c r="X1522" s="386" t="str">
        <f>TransTonsShort[[#This Row],[Grouping_ID]]&amp;"-"&amp;TransTonsShort[[#This Row],[Sector_ID]]</f>
        <v>1-4</v>
      </c>
      <c r="Y152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22" s="421">
        <f>INDEX(LandfillFees[Disposal Tip Fee 2025],MATCH(TransTonsShort[[#This Row],[Grouping_ID]],LandfillFees[Grouping_ID],0))</f>
        <v>134.68</v>
      </c>
      <c r="AA1522" s="102">
        <f>IF(OR(TransTonsShort[[#This Row],[CollectionStream_ID]]="03",TransTonsShort[[#This Row],[CollectionStream_ID]]="04",TransTonsShort[[#This Row],[CollectionStream_ID]]="13"),0,TransTonsShort[[#This Row],[Trans_Tons_All]]*TransTonsShort[[#This Row],[Disposal_Fee]])</f>
        <v>0</v>
      </c>
    </row>
    <row r="1523" spans="12:27" ht="15" x14ac:dyDescent="0.25">
      <c r="L1523" s="446" t="s">
        <v>870</v>
      </c>
      <c r="M1523" s="446">
        <v>1</v>
      </c>
      <c r="N1523" s="446">
        <v>5</v>
      </c>
      <c r="O1523" s="446" t="s">
        <v>754</v>
      </c>
      <c r="P1523" s="449" t="s">
        <v>744</v>
      </c>
      <c r="Q1523" s="449"/>
      <c r="R1523" s="449"/>
      <c r="S1523" s="451" t="s">
        <v>1991</v>
      </c>
      <c r="T1523" s="451" t="s">
        <v>967</v>
      </c>
      <c r="U1523" s="452">
        <v>594846.89943546033</v>
      </c>
      <c r="V152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3" s="272">
        <f>IFERROR(SUMIFS(TransUnitCost[Miles],TransUnitCost[Grouping_ID],TransTonsShort[[#This Row],[Grouping_ID]],TransUnitCost[Transp_ID],TransTonsShort[[#This Row],[Transp_ID]])*TransTonsShort[[#This Row],[Trans_Tons_All]]/TransTonsShort[[#This Row],[Trans_Tons_All]],"")</f>
        <v>0</v>
      </c>
      <c r="X1523" s="386" t="str">
        <f>TransTonsShort[[#This Row],[Grouping_ID]]&amp;"-"&amp;TransTonsShort[[#This Row],[Sector_ID]]</f>
        <v>1-5</v>
      </c>
      <c r="Y152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23" s="421">
        <f>INDEX(LandfillFees[Disposal Tip Fee 2025],MATCH(TransTonsShort[[#This Row],[Grouping_ID]],LandfillFees[Grouping_ID],0))</f>
        <v>134.68</v>
      </c>
      <c r="AA1523" s="102">
        <f>IF(OR(TransTonsShort[[#This Row],[CollectionStream_ID]]="03",TransTonsShort[[#This Row],[CollectionStream_ID]]="04",TransTonsShort[[#This Row],[CollectionStream_ID]]="13"),0,TransTonsShort[[#This Row],[Trans_Tons_All]]*TransTonsShort[[#This Row],[Disposal_Fee]])</f>
        <v>0</v>
      </c>
    </row>
    <row r="1524" spans="12:27" ht="15" x14ac:dyDescent="0.25">
      <c r="L1524" s="446" t="s">
        <v>870</v>
      </c>
      <c r="M1524" s="446">
        <v>1</v>
      </c>
      <c r="N1524" s="446">
        <v>6</v>
      </c>
      <c r="O1524" s="446" t="s">
        <v>754</v>
      </c>
      <c r="P1524" s="449" t="s">
        <v>744</v>
      </c>
      <c r="Q1524" s="449"/>
      <c r="R1524" s="449"/>
      <c r="S1524" s="451" t="s">
        <v>1991</v>
      </c>
      <c r="T1524" s="451" t="s">
        <v>967</v>
      </c>
      <c r="U1524" s="452">
        <v>29911.9210262825</v>
      </c>
      <c r="V152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4" s="272">
        <f>IFERROR(SUMIFS(TransUnitCost[Miles],TransUnitCost[Grouping_ID],TransTonsShort[[#This Row],[Grouping_ID]],TransUnitCost[Transp_ID],TransTonsShort[[#This Row],[Transp_ID]])*TransTonsShort[[#This Row],[Trans_Tons_All]]/TransTonsShort[[#This Row],[Trans_Tons_All]],"")</f>
        <v>0</v>
      </c>
      <c r="X1524" s="386" t="str">
        <f>TransTonsShort[[#This Row],[Grouping_ID]]&amp;"-"&amp;TransTonsShort[[#This Row],[Sector_ID]]</f>
        <v>1-6</v>
      </c>
      <c r="Y152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24" s="421">
        <f>INDEX(LandfillFees[Disposal Tip Fee 2025],MATCH(TransTonsShort[[#This Row],[Grouping_ID]],LandfillFees[Grouping_ID],0))</f>
        <v>134.68</v>
      </c>
      <c r="AA1524" s="102">
        <f>IF(OR(TransTonsShort[[#This Row],[CollectionStream_ID]]="03",TransTonsShort[[#This Row],[CollectionStream_ID]]="04",TransTonsShort[[#This Row],[CollectionStream_ID]]="13"),0,TransTonsShort[[#This Row],[Trans_Tons_All]]*TransTonsShort[[#This Row],[Disposal_Fee]])</f>
        <v>0</v>
      </c>
    </row>
    <row r="1525" spans="12:27" ht="15" x14ac:dyDescent="0.25">
      <c r="L1525" s="446" t="s">
        <v>870</v>
      </c>
      <c r="M1525" s="446">
        <v>2</v>
      </c>
      <c r="N1525" s="446">
        <v>1</v>
      </c>
      <c r="O1525" s="446" t="s">
        <v>712</v>
      </c>
      <c r="P1525" s="449" t="s">
        <v>744</v>
      </c>
      <c r="Q1525" s="449"/>
      <c r="R1525" s="449"/>
      <c r="S1525" s="451" t="s">
        <v>713</v>
      </c>
      <c r="T1525" s="451" t="s">
        <v>967</v>
      </c>
      <c r="U1525" s="452">
        <v>232848.55179955682</v>
      </c>
      <c r="V152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5" s="272">
        <f>IFERROR(SUMIFS(TransUnitCost[Miles],TransUnitCost[Grouping_ID],TransTonsShort[[#This Row],[Grouping_ID]],TransUnitCost[Transp_ID],TransTonsShort[[#This Row],[Transp_ID]])*TransTonsShort[[#This Row],[Trans_Tons_All]]/TransTonsShort[[#This Row],[Trans_Tons_All]],"")</f>
        <v>0</v>
      </c>
      <c r="X1525" s="386" t="str">
        <f>TransTonsShort[[#This Row],[Grouping_ID]]&amp;"-"&amp;TransTonsShort[[#This Row],[Sector_ID]]</f>
        <v>2-1</v>
      </c>
      <c r="Y152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25" s="421">
        <f>INDEX(LandfillFees[Disposal Tip Fee 2025],MATCH(TransTonsShort[[#This Row],[Grouping_ID]],LandfillFees[Grouping_ID],0))</f>
        <v>72.030938699729589</v>
      </c>
      <c r="AA1525" s="102">
        <f>IF(OR(TransTonsShort[[#This Row],[CollectionStream_ID]]="03",TransTonsShort[[#This Row],[CollectionStream_ID]]="04",TransTonsShort[[#This Row],[CollectionStream_ID]]="13"),0,TransTonsShort[[#This Row],[Trans_Tons_All]]*TransTonsShort[[#This Row],[Disposal_Fee]])</f>
        <v>0</v>
      </c>
    </row>
    <row r="1526" spans="12:27" ht="15" x14ac:dyDescent="0.25">
      <c r="L1526" s="446" t="s">
        <v>870</v>
      </c>
      <c r="M1526" s="446">
        <v>2</v>
      </c>
      <c r="N1526" s="446">
        <v>1</v>
      </c>
      <c r="O1526" s="446" t="s">
        <v>719</v>
      </c>
      <c r="P1526" s="449" t="s">
        <v>744</v>
      </c>
      <c r="Q1526" s="449"/>
      <c r="R1526" s="449"/>
      <c r="S1526" s="451" t="s">
        <v>720</v>
      </c>
      <c r="T1526" s="451" t="s">
        <v>967</v>
      </c>
      <c r="U1526" s="452">
        <v>114198.59104574661</v>
      </c>
      <c r="V152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6" s="272">
        <f>IFERROR(SUMIFS(TransUnitCost[Miles],TransUnitCost[Grouping_ID],TransTonsShort[[#This Row],[Grouping_ID]],TransUnitCost[Transp_ID],TransTonsShort[[#This Row],[Transp_ID]])*TransTonsShort[[#This Row],[Trans_Tons_All]]/TransTonsShort[[#This Row],[Trans_Tons_All]],"")</f>
        <v>0</v>
      </c>
      <c r="X1526" s="386" t="str">
        <f>TransTonsShort[[#This Row],[Grouping_ID]]&amp;"-"&amp;TransTonsShort[[#This Row],[Sector_ID]]</f>
        <v>2-1</v>
      </c>
      <c r="Y152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26" s="421">
        <f>INDEX(LandfillFees[Disposal Tip Fee 2025],MATCH(TransTonsShort[[#This Row],[Grouping_ID]],LandfillFees[Grouping_ID],0))</f>
        <v>72.030938699729589</v>
      </c>
      <c r="AA1526" s="102">
        <f>IF(OR(TransTonsShort[[#This Row],[CollectionStream_ID]]="03",TransTonsShort[[#This Row],[CollectionStream_ID]]="04",TransTonsShort[[#This Row],[CollectionStream_ID]]="13"),0,TransTonsShort[[#This Row],[Trans_Tons_All]]*TransTonsShort[[#This Row],[Disposal_Fee]])</f>
        <v>0</v>
      </c>
    </row>
    <row r="1527" spans="12:27" ht="15" x14ac:dyDescent="0.25">
      <c r="L1527" s="446" t="s">
        <v>870</v>
      </c>
      <c r="M1527" s="446">
        <v>2</v>
      </c>
      <c r="N1527" s="446">
        <v>1</v>
      </c>
      <c r="O1527" s="446" t="s">
        <v>754</v>
      </c>
      <c r="P1527" s="449" t="s">
        <v>744</v>
      </c>
      <c r="Q1527" s="449"/>
      <c r="R1527" s="449"/>
      <c r="S1527" s="451" t="s">
        <v>1991</v>
      </c>
      <c r="T1527" s="451" t="s">
        <v>967</v>
      </c>
      <c r="U1527" s="452">
        <v>316.02729869964475</v>
      </c>
      <c r="V152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7" s="272">
        <f>IFERROR(SUMIFS(TransUnitCost[Miles],TransUnitCost[Grouping_ID],TransTonsShort[[#This Row],[Grouping_ID]],TransUnitCost[Transp_ID],TransTonsShort[[#This Row],[Transp_ID]])*TransTonsShort[[#This Row],[Trans_Tons_All]]/TransTonsShort[[#This Row],[Trans_Tons_All]],"")</f>
        <v>0</v>
      </c>
      <c r="X1527" s="386" t="str">
        <f>TransTonsShort[[#This Row],[Grouping_ID]]&amp;"-"&amp;TransTonsShort[[#This Row],[Sector_ID]]</f>
        <v>2-1</v>
      </c>
      <c r="Y152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27" s="421">
        <f>INDEX(LandfillFees[Disposal Tip Fee 2025],MATCH(TransTonsShort[[#This Row],[Grouping_ID]],LandfillFees[Grouping_ID],0))</f>
        <v>72.030938699729589</v>
      </c>
      <c r="AA1527" s="102">
        <f>IF(OR(TransTonsShort[[#This Row],[CollectionStream_ID]]="03",TransTonsShort[[#This Row],[CollectionStream_ID]]="04",TransTonsShort[[#This Row],[CollectionStream_ID]]="13"),0,TransTonsShort[[#This Row],[Trans_Tons_All]]*TransTonsShort[[#This Row],[Disposal_Fee]])</f>
        <v>0</v>
      </c>
    </row>
    <row r="1528" spans="12:27" ht="15" x14ac:dyDescent="0.25">
      <c r="L1528" s="446" t="s">
        <v>870</v>
      </c>
      <c r="M1528" s="446">
        <v>2</v>
      </c>
      <c r="N1528" s="446">
        <v>2</v>
      </c>
      <c r="O1528" s="446" t="s">
        <v>712</v>
      </c>
      <c r="P1528" s="449" t="s">
        <v>744</v>
      </c>
      <c r="Q1528" s="449"/>
      <c r="R1528" s="449"/>
      <c r="S1528" s="451" t="s">
        <v>713</v>
      </c>
      <c r="T1528" s="451" t="s">
        <v>967</v>
      </c>
      <c r="U1528" s="452">
        <v>85364.858237857232</v>
      </c>
      <c r="V152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8" s="272">
        <f>IFERROR(SUMIFS(TransUnitCost[Miles],TransUnitCost[Grouping_ID],TransTonsShort[[#This Row],[Grouping_ID]],TransUnitCost[Transp_ID],TransTonsShort[[#This Row],[Transp_ID]])*TransTonsShort[[#This Row],[Trans_Tons_All]]/TransTonsShort[[#This Row],[Trans_Tons_All]],"")</f>
        <v>0</v>
      </c>
      <c r="X1528" s="386" t="str">
        <f>TransTonsShort[[#This Row],[Grouping_ID]]&amp;"-"&amp;TransTonsShort[[#This Row],[Sector_ID]]</f>
        <v>2-2</v>
      </c>
      <c r="Y152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28" s="421">
        <f>INDEX(LandfillFees[Disposal Tip Fee 2025],MATCH(TransTonsShort[[#This Row],[Grouping_ID]],LandfillFees[Grouping_ID],0))</f>
        <v>72.030938699729589</v>
      </c>
      <c r="AA1528" s="102">
        <f>IF(OR(TransTonsShort[[#This Row],[CollectionStream_ID]]="03",TransTonsShort[[#This Row],[CollectionStream_ID]]="04",TransTonsShort[[#This Row],[CollectionStream_ID]]="13"),0,TransTonsShort[[#This Row],[Trans_Tons_All]]*TransTonsShort[[#This Row],[Disposal_Fee]])</f>
        <v>0</v>
      </c>
    </row>
    <row r="1529" spans="12:27" ht="15" x14ac:dyDescent="0.25">
      <c r="L1529" s="446" t="s">
        <v>870</v>
      </c>
      <c r="M1529" s="446">
        <v>2</v>
      </c>
      <c r="N1529" s="446">
        <v>2</v>
      </c>
      <c r="O1529" s="446" t="s">
        <v>719</v>
      </c>
      <c r="P1529" s="449" t="s">
        <v>744</v>
      </c>
      <c r="Q1529" s="449"/>
      <c r="R1529" s="449"/>
      <c r="S1529" s="451" t="s">
        <v>720</v>
      </c>
      <c r="T1529" s="451" t="s">
        <v>967</v>
      </c>
      <c r="U1529" s="452">
        <v>0</v>
      </c>
      <c r="V152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29" s="272" t="str">
        <f>IFERROR(SUMIFS(TransUnitCost[Miles],TransUnitCost[Grouping_ID],TransTonsShort[[#This Row],[Grouping_ID]],TransUnitCost[Transp_ID],TransTonsShort[[#This Row],[Transp_ID]])*TransTonsShort[[#This Row],[Trans_Tons_All]]/TransTonsShort[[#This Row],[Trans_Tons_All]],"")</f>
        <v/>
      </c>
      <c r="X1529" s="386" t="str">
        <f>TransTonsShort[[#This Row],[Grouping_ID]]&amp;"-"&amp;TransTonsShort[[#This Row],[Sector_ID]]</f>
        <v>2-2</v>
      </c>
      <c r="Y152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29" s="421">
        <f>INDEX(LandfillFees[Disposal Tip Fee 2025],MATCH(TransTonsShort[[#This Row],[Grouping_ID]],LandfillFees[Grouping_ID],0))</f>
        <v>72.030938699729589</v>
      </c>
      <c r="AA1529" s="102">
        <f>IF(OR(TransTonsShort[[#This Row],[CollectionStream_ID]]="03",TransTonsShort[[#This Row],[CollectionStream_ID]]="04",TransTonsShort[[#This Row],[CollectionStream_ID]]="13"),0,TransTonsShort[[#This Row],[Trans_Tons_All]]*TransTonsShort[[#This Row],[Disposal_Fee]])</f>
        <v>0</v>
      </c>
    </row>
    <row r="1530" spans="12:27" ht="15" x14ac:dyDescent="0.25">
      <c r="L1530" s="446" t="s">
        <v>870</v>
      </c>
      <c r="M1530" s="446">
        <v>2</v>
      </c>
      <c r="N1530" s="446">
        <v>2</v>
      </c>
      <c r="O1530" s="446" t="s">
        <v>754</v>
      </c>
      <c r="P1530" s="449" t="s">
        <v>744</v>
      </c>
      <c r="Q1530" s="449"/>
      <c r="R1530" s="449"/>
      <c r="S1530" s="451" t="s">
        <v>1991</v>
      </c>
      <c r="T1530" s="451" t="s">
        <v>967</v>
      </c>
      <c r="U1530" s="452">
        <v>0</v>
      </c>
      <c r="V153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0" s="272" t="str">
        <f>IFERROR(SUMIFS(TransUnitCost[Miles],TransUnitCost[Grouping_ID],TransTonsShort[[#This Row],[Grouping_ID]],TransUnitCost[Transp_ID],TransTonsShort[[#This Row],[Transp_ID]])*TransTonsShort[[#This Row],[Trans_Tons_All]]/TransTonsShort[[#This Row],[Trans_Tons_All]],"")</f>
        <v/>
      </c>
      <c r="X1530" s="386" t="str">
        <f>TransTonsShort[[#This Row],[Grouping_ID]]&amp;"-"&amp;TransTonsShort[[#This Row],[Sector_ID]]</f>
        <v>2-2</v>
      </c>
      <c r="Y153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30" s="421">
        <f>INDEX(LandfillFees[Disposal Tip Fee 2025],MATCH(TransTonsShort[[#This Row],[Grouping_ID]],LandfillFees[Grouping_ID],0))</f>
        <v>72.030938699729589</v>
      </c>
      <c r="AA1530" s="102">
        <f>IF(OR(TransTonsShort[[#This Row],[CollectionStream_ID]]="03",TransTonsShort[[#This Row],[CollectionStream_ID]]="04",TransTonsShort[[#This Row],[CollectionStream_ID]]="13"),0,TransTonsShort[[#This Row],[Trans_Tons_All]]*TransTonsShort[[#This Row],[Disposal_Fee]])</f>
        <v>0</v>
      </c>
    </row>
    <row r="1531" spans="12:27" ht="15" x14ac:dyDescent="0.25">
      <c r="L1531" s="446" t="s">
        <v>870</v>
      </c>
      <c r="M1531" s="446">
        <v>2</v>
      </c>
      <c r="N1531" s="446">
        <v>3</v>
      </c>
      <c r="O1531" s="446" t="s">
        <v>712</v>
      </c>
      <c r="P1531" s="449" t="s">
        <v>744</v>
      </c>
      <c r="Q1531" s="449"/>
      <c r="R1531" s="449"/>
      <c r="S1531" s="451" t="s">
        <v>713</v>
      </c>
      <c r="T1531" s="451" t="s">
        <v>967</v>
      </c>
      <c r="U1531" s="452">
        <v>305362.65882305434</v>
      </c>
      <c r="V153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1" s="272">
        <f>IFERROR(SUMIFS(TransUnitCost[Miles],TransUnitCost[Grouping_ID],TransTonsShort[[#This Row],[Grouping_ID]],TransUnitCost[Transp_ID],TransTonsShort[[#This Row],[Transp_ID]])*TransTonsShort[[#This Row],[Trans_Tons_All]]/TransTonsShort[[#This Row],[Trans_Tons_All]],"")</f>
        <v>0</v>
      </c>
      <c r="X1531" s="386" t="str">
        <f>TransTonsShort[[#This Row],[Grouping_ID]]&amp;"-"&amp;TransTonsShort[[#This Row],[Sector_ID]]</f>
        <v>2-3</v>
      </c>
      <c r="Y153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31" s="421">
        <f>INDEX(LandfillFees[Disposal Tip Fee 2025],MATCH(TransTonsShort[[#This Row],[Grouping_ID]],LandfillFees[Grouping_ID],0))</f>
        <v>72.030938699729589</v>
      </c>
      <c r="AA1531" s="102">
        <f>IF(OR(TransTonsShort[[#This Row],[CollectionStream_ID]]="03",TransTonsShort[[#This Row],[CollectionStream_ID]]="04",TransTonsShort[[#This Row],[CollectionStream_ID]]="13"),0,TransTonsShort[[#This Row],[Trans_Tons_All]]*TransTonsShort[[#This Row],[Disposal_Fee]])</f>
        <v>0</v>
      </c>
    </row>
    <row r="1532" spans="12:27" ht="15" x14ac:dyDescent="0.25">
      <c r="L1532" s="446" t="s">
        <v>870</v>
      </c>
      <c r="M1532" s="446">
        <v>2</v>
      </c>
      <c r="N1532" s="446">
        <v>3</v>
      </c>
      <c r="O1532" s="446" t="s">
        <v>719</v>
      </c>
      <c r="P1532" s="449" t="s">
        <v>744</v>
      </c>
      <c r="Q1532" s="449"/>
      <c r="R1532" s="449"/>
      <c r="S1532" s="451" t="s">
        <v>720</v>
      </c>
      <c r="T1532" s="451" t="s">
        <v>967</v>
      </c>
      <c r="U1532" s="452">
        <v>27604.286216393386</v>
      </c>
      <c r="V153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2" s="272">
        <f>IFERROR(SUMIFS(TransUnitCost[Miles],TransUnitCost[Grouping_ID],TransTonsShort[[#This Row],[Grouping_ID]],TransUnitCost[Transp_ID],TransTonsShort[[#This Row],[Transp_ID]])*TransTonsShort[[#This Row],[Trans_Tons_All]]/TransTonsShort[[#This Row],[Trans_Tons_All]],"")</f>
        <v>0</v>
      </c>
      <c r="X1532" s="386" t="str">
        <f>TransTonsShort[[#This Row],[Grouping_ID]]&amp;"-"&amp;TransTonsShort[[#This Row],[Sector_ID]]</f>
        <v>2-3</v>
      </c>
      <c r="Y153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32" s="421">
        <f>INDEX(LandfillFees[Disposal Tip Fee 2025],MATCH(TransTonsShort[[#This Row],[Grouping_ID]],LandfillFees[Grouping_ID],0))</f>
        <v>72.030938699729589</v>
      </c>
      <c r="AA1532" s="102">
        <f>IF(OR(TransTonsShort[[#This Row],[CollectionStream_ID]]="03",TransTonsShort[[#This Row],[CollectionStream_ID]]="04",TransTonsShort[[#This Row],[CollectionStream_ID]]="13"),0,TransTonsShort[[#This Row],[Trans_Tons_All]]*TransTonsShort[[#This Row],[Disposal_Fee]])</f>
        <v>0</v>
      </c>
    </row>
    <row r="1533" spans="12:27" ht="15" x14ac:dyDescent="0.25">
      <c r="L1533" s="446" t="s">
        <v>870</v>
      </c>
      <c r="M1533" s="446">
        <v>2</v>
      </c>
      <c r="N1533" s="446">
        <v>3</v>
      </c>
      <c r="O1533" s="446" t="s">
        <v>754</v>
      </c>
      <c r="P1533" s="449" t="s">
        <v>744</v>
      </c>
      <c r="Q1533" s="449"/>
      <c r="R1533" s="449"/>
      <c r="S1533" s="451" t="s">
        <v>1991</v>
      </c>
      <c r="T1533" s="451" t="s">
        <v>967</v>
      </c>
      <c r="U1533" s="452">
        <v>190.58148001798901</v>
      </c>
      <c r="V153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3" s="272">
        <f>IFERROR(SUMIFS(TransUnitCost[Miles],TransUnitCost[Grouping_ID],TransTonsShort[[#This Row],[Grouping_ID]],TransUnitCost[Transp_ID],TransTonsShort[[#This Row],[Transp_ID]])*TransTonsShort[[#This Row],[Trans_Tons_All]]/TransTonsShort[[#This Row],[Trans_Tons_All]],"")</f>
        <v>0</v>
      </c>
      <c r="X1533" s="386" t="str">
        <f>TransTonsShort[[#This Row],[Grouping_ID]]&amp;"-"&amp;TransTonsShort[[#This Row],[Sector_ID]]</f>
        <v>2-3</v>
      </c>
      <c r="Y153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33" s="421">
        <f>INDEX(LandfillFees[Disposal Tip Fee 2025],MATCH(TransTonsShort[[#This Row],[Grouping_ID]],LandfillFees[Grouping_ID],0))</f>
        <v>72.030938699729589</v>
      </c>
      <c r="AA1533" s="102">
        <f>IF(OR(TransTonsShort[[#This Row],[CollectionStream_ID]]="03",TransTonsShort[[#This Row],[CollectionStream_ID]]="04",TransTonsShort[[#This Row],[CollectionStream_ID]]="13"),0,TransTonsShort[[#This Row],[Trans_Tons_All]]*TransTonsShort[[#This Row],[Disposal_Fee]])</f>
        <v>0</v>
      </c>
    </row>
    <row r="1534" spans="12:27" ht="15" x14ac:dyDescent="0.25">
      <c r="L1534" s="446" t="s">
        <v>870</v>
      </c>
      <c r="M1534" s="446">
        <v>2</v>
      </c>
      <c r="N1534" s="446">
        <v>4</v>
      </c>
      <c r="O1534" s="446" t="s">
        <v>712</v>
      </c>
      <c r="P1534" s="449" t="s">
        <v>744</v>
      </c>
      <c r="Q1534" s="449"/>
      <c r="R1534" s="449"/>
      <c r="S1534" s="451" t="s">
        <v>713</v>
      </c>
      <c r="T1534" s="451" t="s">
        <v>967</v>
      </c>
      <c r="U1534" s="452">
        <v>172558.60792451605</v>
      </c>
      <c r="V153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4" s="272">
        <f>IFERROR(SUMIFS(TransUnitCost[Miles],TransUnitCost[Grouping_ID],TransTonsShort[[#This Row],[Grouping_ID]],TransUnitCost[Transp_ID],TransTonsShort[[#This Row],[Transp_ID]])*TransTonsShort[[#This Row],[Trans_Tons_All]]/TransTonsShort[[#This Row],[Trans_Tons_All]],"")</f>
        <v>0</v>
      </c>
      <c r="X1534" s="386" t="str">
        <f>TransTonsShort[[#This Row],[Grouping_ID]]&amp;"-"&amp;TransTonsShort[[#This Row],[Sector_ID]]</f>
        <v>2-4</v>
      </c>
      <c r="Y153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34" s="421">
        <f>INDEX(LandfillFees[Disposal Tip Fee 2025],MATCH(TransTonsShort[[#This Row],[Grouping_ID]],LandfillFees[Grouping_ID],0))</f>
        <v>72.030938699729589</v>
      </c>
      <c r="AA1534" s="102">
        <f>IF(OR(TransTonsShort[[#This Row],[CollectionStream_ID]]="03",TransTonsShort[[#This Row],[CollectionStream_ID]]="04",TransTonsShort[[#This Row],[CollectionStream_ID]]="13"),0,TransTonsShort[[#This Row],[Trans_Tons_All]]*TransTonsShort[[#This Row],[Disposal_Fee]])</f>
        <v>0</v>
      </c>
    </row>
    <row r="1535" spans="12:27" ht="15" x14ac:dyDescent="0.25">
      <c r="L1535" s="446" t="s">
        <v>870</v>
      </c>
      <c r="M1535" s="446">
        <v>2</v>
      </c>
      <c r="N1535" s="446">
        <v>4</v>
      </c>
      <c r="O1535" s="446" t="s">
        <v>719</v>
      </c>
      <c r="P1535" s="449" t="s">
        <v>744</v>
      </c>
      <c r="Q1535" s="449"/>
      <c r="R1535" s="449"/>
      <c r="S1535" s="451" t="s">
        <v>720</v>
      </c>
      <c r="T1535" s="451" t="s">
        <v>967</v>
      </c>
      <c r="U1535" s="452">
        <v>45356.201192529326</v>
      </c>
      <c r="V153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5" s="272">
        <f>IFERROR(SUMIFS(TransUnitCost[Miles],TransUnitCost[Grouping_ID],TransTonsShort[[#This Row],[Grouping_ID]],TransUnitCost[Transp_ID],TransTonsShort[[#This Row],[Transp_ID]])*TransTonsShort[[#This Row],[Trans_Tons_All]]/TransTonsShort[[#This Row],[Trans_Tons_All]],"")</f>
        <v>0</v>
      </c>
      <c r="X1535" s="386" t="str">
        <f>TransTonsShort[[#This Row],[Grouping_ID]]&amp;"-"&amp;TransTonsShort[[#This Row],[Sector_ID]]</f>
        <v>2-4</v>
      </c>
      <c r="Y153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35" s="421">
        <f>INDEX(LandfillFees[Disposal Tip Fee 2025],MATCH(TransTonsShort[[#This Row],[Grouping_ID]],LandfillFees[Grouping_ID],0))</f>
        <v>72.030938699729589</v>
      </c>
      <c r="AA1535" s="102">
        <f>IF(OR(TransTonsShort[[#This Row],[CollectionStream_ID]]="03",TransTonsShort[[#This Row],[CollectionStream_ID]]="04",TransTonsShort[[#This Row],[CollectionStream_ID]]="13"),0,TransTonsShort[[#This Row],[Trans_Tons_All]]*TransTonsShort[[#This Row],[Disposal_Fee]])</f>
        <v>0</v>
      </c>
    </row>
    <row r="1536" spans="12:27" ht="15" x14ac:dyDescent="0.25">
      <c r="L1536" s="446" t="s">
        <v>870</v>
      </c>
      <c r="M1536" s="446">
        <v>2</v>
      </c>
      <c r="N1536" s="446">
        <v>4</v>
      </c>
      <c r="O1536" s="446" t="s">
        <v>754</v>
      </c>
      <c r="P1536" s="449" t="s">
        <v>744</v>
      </c>
      <c r="Q1536" s="449"/>
      <c r="R1536" s="449"/>
      <c r="S1536" s="451" t="s">
        <v>1991</v>
      </c>
      <c r="T1536" s="451" t="s">
        <v>967</v>
      </c>
      <c r="U1536" s="452">
        <v>5439.0442810317654</v>
      </c>
      <c r="V153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6" s="272">
        <f>IFERROR(SUMIFS(TransUnitCost[Miles],TransUnitCost[Grouping_ID],TransTonsShort[[#This Row],[Grouping_ID]],TransUnitCost[Transp_ID],TransTonsShort[[#This Row],[Transp_ID]])*TransTonsShort[[#This Row],[Trans_Tons_All]]/TransTonsShort[[#This Row],[Trans_Tons_All]],"")</f>
        <v>0</v>
      </c>
      <c r="X1536" s="386" t="str">
        <f>TransTonsShort[[#This Row],[Grouping_ID]]&amp;"-"&amp;TransTonsShort[[#This Row],[Sector_ID]]</f>
        <v>2-4</v>
      </c>
      <c r="Y153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36" s="421">
        <f>INDEX(LandfillFees[Disposal Tip Fee 2025],MATCH(TransTonsShort[[#This Row],[Grouping_ID]],LandfillFees[Grouping_ID],0))</f>
        <v>72.030938699729589</v>
      </c>
      <c r="AA1536" s="102">
        <f>IF(OR(TransTonsShort[[#This Row],[CollectionStream_ID]]="03",TransTonsShort[[#This Row],[CollectionStream_ID]]="04",TransTonsShort[[#This Row],[CollectionStream_ID]]="13"),0,TransTonsShort[[#This Row],[Trans_Tons_All]]*TransTonsShort[[#This Row],[Disposal_Fee]])</f>
        <v>0</v>
      </c>
    </row>
    <row r="1537" spans="12:27" ht="15" x14ac:dyDescent="0.25">
      <c r="L1537" s="446" t="s">
        <v>870</v>
      </c>
      <c r="M1537" s="446">
        <v>2</v>
      </c>
      <c r="N1537" s="446">
        <v>5</v>
      </c>
      <c r="O1537" s="446" t="s">
        <v>754</v>
      </c>
      <c r="P1537" s="449" t="s">
        <v>744</v>
      </c>
      <c r="Q1537" s="449"/>
      <c r="R1537" s="449"/>
      <c r="S1537" s="451" t="s">
        <v>1991</v>
      </c>
      <c r="T1537" s="451" t="s">
        <v>967</v>
      </c>
      <c r="U1537" s="452">
        <v>507819.48048613168</v>
      </c>
      <c r="V153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7" s="272">
        <f>IFERROR(SUMIFS(TransUnitCost[Miles],TransUnitCost[Grouping_ID],TransTonsShort[[#This Row],[Grouping_ID]],TransUnitCost[Transp_ID],TransTonsShort[[#This Row],[Transp_ID]])*TransTonsShort[[#This Row],[Trans_Tons_All]]/TransTonsShort[[#This Row],[Trans_Tons_All]],"")</f>
        <v>0</v>
      </c>
      <c r="X1537" s="386" t="str">
        <f>TransTonsShort[[#This Row],[Grouping_ID]]&amp;"-"&amp;TransTonsShort[[#This Row],[Sector_ID]]</f>
        <v>2-5</v>
      </c>
      <c r="Y153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37" s="421">
        <f>INDEX(LandfillFees[Disposal Tip Fee 2025],MATCH(TransTonsShort[[#This Row],[Grouping_ID]],LandfillFees[Grouping_ID],0))</f>
        <v>72.030938699729589</v>
      </c>
      <c r="AA1537" s="102">
        <f>IF(OR(TransTonsShort[[#This Row],[CollectionStream_ID]]="03",TransTonsShort[[#This Row],[CollectionStream_ID]]="04",TransTonsShort[[#This Row],[CollectionStream_ID]]="13"),0,TransTonsShort[[#This Row],[Trans_Tons_All]]*TransTonsShort[[#This Row],[Disposal_Fee]])</f>
        <v>0</v>
      </c>
    </row>
    <row r="1538" spans="12:27" ht="15" x14ac:dyDescent="0.25">
      <c r="L1538" s="446" t="s">
        <v>870</v>
      </c>
      <c r="M1538" s="446">
        <v>2</v>
      </c>
      <c r="N1538" s="446">
        <v>6</v>
      </c>
      <c r="O1538" s="446" t="s">
        <v>754</v>
      </c>
      <c r="P1538" s="449" t="s">
        <v>744</v>
      </c>
      <c r="Q1538" s="449"/>
      <c r="R1538" s="449"/>
      <c r="S1538" s="451" t="s">
        <v>1991</v>
      </c>
      <c r="T1538" s="451" t="s">
        <v>967</v>
      </c>
      <c r="U1538" s="452">
        <v>23265.951414096395</v>
      </c>
      <c r="V153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8" s="272">
        <f>IFERROR(SUMIFS(TransUnitCost[Miles],TransUnitCost[Grouping_ID],TransTonsShort[[#This Row],[Grouping_ID]],TransUnitCost[Transp_ID],TransTonsShort[[#This Row],[Transp_ID]])*TransTonsShort[[#This Row],[Trans_Tons_All]]/TransTonsShort[[#This Row],[Trans_Tons_All]],"")</f>
        <v>0</v>
      </c>
      <c r="X1538" s="386" t="str">
        <f>TransTonsShort[[#This Row],[Grouping_ID]]&amp;"-"&amp;TransTonsShort[[#This Row],[Sector_ID]]</f>
        <v>2-6</v>
      </c>
      <c r="Y153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38" s="421">
        <f>INDEX(LandfillFees[Disposal Tip Fee 2025],MATCH(TransTonsShort[[#This Row],[Grouping_ID]],LandfillFees[Grouping_ID],0))</f>
        <v>72.030938699729589</v>
      </c>
      <c r="AA1538" s="102">
        <f>IF(OR(TransTonsShort[[#This Row],[CollectionStream_ID]]="03",TransTonsShort[[#This Row],[CollectionStream_ID]]="04",TransTonsShort[[#This Row],[CollectionStream_ID]]="13"),0,TransTonsShort[[#This Row],[Trans_Tons_All]]*TransTonsShort[[#This Row],[Disposal_Fee]])</f>
        <v>0</v>
      </c>
    </row>
    <row r="1539" spans="12:27" ht="15" x14ac:dyDescent="0.25">
      <c r="L1539" s="446" t="s">
        <v>870</v>
      </c>
      <c r="M1539" s="446">
        <v>3</v>
      </c>
      <c r="N1539" s="446">
        <v>1</v>
      </c>
      <c r="O1539" s="446" t="s">
        <v>712</v>
      </c>
      <c r="P1539" s="449" t="s">
        <v>744</v>
      </c>
      <c r="Q1539" s="449"/>
      <c r="R1539" s="449"/>
      <c r="S1539" s="451" t="s">
        <v>713</v>
      </c>
      <c r="T1539" s="451" t="s">
        <v>967</v>
      </c>
      <c r="U1539" s="452">
        <v>157990.24506460151</v>
      </c>
      <c r="V153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39" s="272">
        <f>IFERROR(SUMIFS(TransUnitCost[Miles],TransUnitCost[Grouping_ID],TransTonsShort[[#This Row],[Grouping_ID]],TransUnitCost[Transp_ID],TransTonsShort[[#This Row],[Transp_ID]])*TransTonsShort[[#This Row],[Trans_Tons_All]]/TransTonsShort[[#This Row],[Trans_Tons_All]],"")</f>
        <v>0</v>
      </c>
      <c r="X1539" s="386" t="str">
        <f>TransTonsShort[[#This Row],[Grouping_ID]]&amp;"-"&amp;TransTonsShort[[#This Row],[Sector_ID]]</f>
        <v>3-1</v>
      </c>
      <c r="Y153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39" s="421">
        <f>INDEX(LandfillFees[Disposal Tip Fee 2025],MATCH(TransTonsShort[[#This Row],[Grouping_ID]],LandfillFees[Grouping_ID],0))</f>
        <v>72.030938699729589</v>
      </c>
      <c r="AA1539" s="102">
        <f>IF(OR(TransTonsShort[[#This Row],[CollectionStream_ID]]="03",TransTonsShort[[#This Row],[CollectionStream_ID]]="04",TransTonsShort[[#This Row],[CollectionStream_ID]]="13"),0,TransTonsShort[[#This Row],[Trans_Tons_All]]*TransTonsShort[[#This Row],[Disposal_Fee]])</f>
        <v>0</v>
      </c>
    </row>
    <row r="1540" spans="12:27" ht="15" x14ac:dyDescent="0.25">
      <c r="L1540" s="446" t="s">
        <v>870</v>
      </c>
      <c r="M1540" s="446">
        <v>3</v>
      </c>
      <c r="N1540" s="446">
        <v>1</v>
      </c>
      <c r="O1540" s="446" t="s">
        <v>719</v>
      </c>
      <c r="P1540" s="449" t="s">
        <v>744</v>
      </c>
      <c r="Q1540" s="449"/>
      <c r="R1540" s="449"/>
      <c r="S1540" s="451" t="s">
        <v>720</v>
      </c>
      <c r="T1540" s="451" t="s">
        <v>967</v>
      </c>
      <c r="U1540" s="452">
        <v>14718.001298030635</v>
      </c>
      <c r="V154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0" s="272">
        <f>IFERROR(SUMIFS(TransUnitCost[Miles],TransUnitCost[Grouping_ID],TransTonsShort[[#This Row],[Grouping_ID]],TransUnitCost[Transp_ID],TransTonsShort[[#This Row],[Transp_ID]])*TransTonsShort[[#This Row],[Trans_Tons_All]]/TransTonsShort[[#This Row],[Trans_Tons_All]],"")</f>
        <v>0</v>
      </c>
      <c r="X1540" s="386" t="str">
        <f>TransTonsShort[[#This Row],[Grouping_ID]]&amp;"-"&amp;TransTonsShort[[#This Row],[Sector_ID]]</f>
        <v>3-1</v>
      </c>
      <c r="Y154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40" s="421">
        <f>INDEX(LandfillFees[Disposal Tip Fee 2025],MATCH(TransTonsShort[[#This Row],[Grouping_ID]],LandfillFees[Grouping_ID],0))</f>
        <v>72.030938699729589</v>
      </c>
      <c r="AA1540" s="102">
        <f>IF(OR(TransTonsShort[[#This Row],[CollectionStream_ID]]="03",TransTonsShort[[#This Row],[CollectionStream_ID]]="04",TransTonsShort[[#This Row],[CollectionStream_ID]]="13"),0,TransTonsShort[[#This Row],[Trans_Tons_All]]*TransTonsShort[[#This Row],[Disposal_Fee]])</f>
        <v>0</v>
      </c>
    </row>
    <row r="1541" spans="12:27" ht="15" x14ac:dyDescent="0.25">
      <c r="L1541" s="446" t="s">
        <v>870</v>
      </c>
      <c r="M1541" s="446">
        <v>3</v>
      </c>
      <c r="N1541" s="446">
        <v>1</v>
      </c>
      <c r="O1541" s="446" t="s">
        <v>754</v>
      </c>
      <c r="P1541" s="449" t="s">
        <v>744</v>
      </c>
      <c r="Q1541" s="449"/>
      <c r="R1541" s="449"/>
      <c r="S1541" s="451" t="s">
        <v>1991</v>
      </c>
      <c r="T1541" s="451" t="s">
        <v>967</v>
      </c>
      <c r="U1541" s="452">
        <v>13.831046700604208</v>
      </c>
      <c r="V154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1" s="272">
        <f>IFERROR(SUMIFS(TransUnitCost[Miles],TransUnitCost[Grouping_ID],TransTonsShort[[#This Row],[Grouping_ID]],TransUnitCost[Transp_ID],TransTonsShort[[#This Row],[Transp_ID]])*TransTonsShort[[#This Row],[Trans_Tons_All]]/TransTonsShort[[#This Row],[Trans_Tons_All]],"")</f>
        <v>0</v>
      </c>
      <c r="X1541" s="386" t="str">
        <f>TransTonsShort[[#This Row],[Grouping_ID]]&amp;"-"&amp;TransTonsShort[[#This Row],[Sector_ID]]</f>
        <v>3-1</v>
      </c>
      <c r="Y154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41" s="421">
        <f>INDEX(LandfillFees[Disposal Tip Fee 2025],MATCH(TransTonsShort[[#This Row],[Grouping_ID]],LandfillFees[Grouping_ID],0))</f>
        <v>72.030938699729589</v>
      </c>
      <c r="AA1541" s="102">
        <f>IF(OR(TransTonsShort[[#This Row],[CollectionStream_ID]]="03",TransTonsShort[[#This Row],[CollectionStream_ID]]="04",TransTonsShort[[#This Row],[CollectionStream_ID]]="13"),0,TransTonsShort[[#This Row],[Trans_Tons_All]]*TransTonsShort[[#This Row],[Disposal_Fee]])</f>
        <v>0</v>
      </c>
    </row>
    <row r="1542" spans="12:27" ht="15" x14ac:dyDescent="0.25">
      <c r="L1542" s="446" t="s">
        <v>870</v>
      </c>
      <c r="M1542" s="446">
        <v>3</v>
      </c>
      <c r="N1542" s="446">
        <v>2</v>
      </c>
      <c r="O1542" s="446" t="s">
        <v>712</v>
      </c>
      <c r="P1542" s="449" t="s">
        <v>744</v>
      </c>
      <c r="Q1542" s="449"/>
      <c r="R1542" s="449"/>
      <c r="S1542" s="451" t="s">
        <v>713</v>
      </c>
      <c r="T1542" s="451" t="s">
        <v>967</v>
      </c>
      <c r="U1542" s="452">
        <v>33900.370841553442</v>
      </c>
      <c r="V154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2" s="272">
        <f>IFERROR(SUMIFS(TransUnitCost[Miles],TransUnitCost[Grouping_ID],TransTonsShort[[#This Row],[Grouping_ID]],TransUnitCost[Transp_ID],TransTonsShort[[#This Row],[Transp_ID]])*TransTonsShort[[#This Row],[Trans_Tons_All]]/TransTonsShort[[#This Row],[Trans_Tons_All]],"")</f>
        <v>0</v>
      </c>
      <c r="X1542" s="386" t="str">
        <f>TransTonsShort[[#This Row],[Grouping_ID]]&amp;"-"&amp;TransTonsShort[[#This Row],[Sector_ID]]</f>
        <v>3-2</v>
      </c>
      <c r="Y154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42" s="421">
        <f>INDEX(LandfillFees[Disposal Tip Fee 2025],MATCH(TransTonsShort[[#This Row],[Grouping_ID]],LandfillFees[Grouping_ID],0))</f>
        <v>72.030938699729589</v>
      </c>
      <c r="AA1542" s="102">
        <f>IF(OR(TransTonsShort[[#This Row],[CollectionStream_ID]]="03",TransTonsShort[[#This Row],[CollectionStream_ID]]="04",TransTonsShort[[#This Row],[CollectionStream_ID]]="13"),0,TransTonsShort[[#This Row],[Trans_Tons_All]]*TransTonsShort[[#This Row],[Disposal_Fee]])</f>
        <v>0</v>
      </c>
    </row>
    <row r="1543" spans="12:27" ht="15" x14ac:dyDescent="0.25">
      <c r="L1543" s="446" t="s">
        <v>870</v>
      </c>
      <c r="M1543" s="446">
        <v>3</v>
      </c>
      <c r="N1543" s="446">
        <v>2</v>
      </c>
      <c r="O1543" s="446" t="s">
        <v>719</v>
      </c>
      <c r="P1543" s="449" t="s">
        <v>744</v>
      </c>
      <c r="Q1543" s="449"/>
      <c r="R1543" s="449"/>
      <c r="S1543" s="451" t="s">
        <v>720</v>
      </c>
      <c r="T1543" s="451" t="s">
        <v>967</v>
      </c>
      <c r="U1543" s="452">
        <v>0</v>
      </c>
      <c r="V154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3" s="272" t="str">
        <f>IFERROR(SUMIFS(TransUnitCost[Miles],TransUnitCost[Grouping_ID],TransTonsShort[[#This Row],[Grouping_ID]],TransUnitCost[Transp_ID],TransTonsShort[[#This Row],[Transp_ID]])*TransTonsShort[[#This Row],[Trans_Tons_All]]/TransTonsShort[[#This Row],[Trans_Tons_All]],"")</f>
        <v/>
      </c>
      <c r="X1543" s="386" t="str">
        <f>TransTonsShort[[#This Row],[Grouping_ID]]&amp;"-"&amp;TransTonsShort[[#This Row],[Sector_ID]]</f>
        <v>3-2</v>
      </c>
      <c r="Y154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43" s="421">
        <f>INDEX(LandfillFees[Disposal Tip Fee 2025],MATCH(TransTonsShort[[#This Row],[Grouping_ID]],LandfillFees[Grouping_ID],0))</f>
        <v>72.030938699729589</v>
      </c>
      <c r="AA1543" s="102">
        <f>IF(OR(TransTonsShort[[#This Row],[CollectionStream_ID]]="03",TransTonsShort[[#This Row],[CollectionStream_ID]]="04",TransTonsShort[[#This Row],[CollectionStream_ID]]="13"),0,TransTonsShort[[#This Row],[Trans_Tons_All]]*TransTonsShort[[#This Row],[Disposal_Fee]])</f>
        <v>0</v>
      </c>
    </row>
    <row r="1544" spans="12:27" ht="15" x14ac:dyDescent="0.25">
      <c r="L1544" s="446" t="s">
        <v>870</v>
      </c>
      <c r="M1544" s="446">
        <v>3</v>
      </c>
      <c r="N1544" s="446">
        <v>2</v>
      </c>
      <c r="O1544" s="446" t="s">
        <v>754</v>
      </c>
      <c r="P1544" s="449" t="s">
        <v>744</v>
      </c>
      <c r="Q1544" s="449"/>
      <c r="R1544" s="449"/>
      <c r="S1544" s="451" t="s">
        <v>1991</v>
      </c>
      <c r="T1544" s="451" t="s">
        <v>967</v>
      </c>
      <c r="U1544" s="452">
        <v>0.63462924206372762</v>
      </c>
      <c r="V154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4" s="272">
        <f>IFERROR(SUMIFS(TransUnitCost[Miles],TransUnitCost[Grouping_ID],TransTonsShort[[#This Row],[Grouping_ID]],TransUnitCost[Transp_ID],TransTonsShort[[#This Row],[Transp_ID]])*TransTonsShort[[#This Row],[Trans_Tons_All]]/TransTonsShort[[#This Row],[Trans_Tons_All]],"")</f>
        <v>0</v>
      </c>
      <c r="X1544" s="386" t="str">
        <f>TransTonsShort[[#This Row],[Grouping_ID]]&amp;"-"&amp;TransTonsShort[[#This Row],[Sector_ID]]</f>
        <v>3-2</v>
      </c>
      <c r="Y154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44" s="421">
        <f>INDEX(LandfillFees[Disposal Tip Fee 2025],MATCH(TransTonsShort[[#This Row],[Grouping_ID]],LandfillFees[Grouping_ID],0))</f>
        <v>72.030938699729589</v>
      </c>
      <c r="AA1544" s="102">
        <f>IF(OR(TransTonsShort[[#This Row],[CollectionStream_ID]]="03",TransTonsShort[[#This Row],[CollectionStream_ID]]="04",TransTonsShort[[#This Row],[CollectionStream_ID]]="13"),0,TransTonsShort[[#This Row],[Trans_Tons_All]]*TransTonsShort[[#This Row],[Disposal_Fee]])</f>
        <v>0</v>
      </c>
    </row>
    <row r="1545" spans="12:27" ht="15" x14ac:dyDescent="0.25">
      <c r="L1545" s="446" t="s">
        <v>870</v>
      </c>
      <c r="M1545" s="446">
        <v>3</v>
      </c>
      <c r="N1545" s="446">
        <v>3</v>
      </c>
      <c r="O1545" s="446" t="s">
        <v>712</v>
      </c>
      <c r="P1545" s="449" t="s">
        <v>744</v>
      </c>
      <c r="Q1545" s="449"/>
      <c r="R1545" s="449"/>
      <c r="S1545" s="451" t="s">
        <v>713</v>
      </c>
      <c r="T1545" s="451" t="s">
        <v>967</v>
      </c>
      <c r="U1545" s="452">
        <v>110209.85586592392</v>
      </c>
      <c r="V154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5" s="272">
        <f>IFERROR(SUMIFS(TransUnitCost[Miles],TransUnitCost[Grouping_ID],TransTonsShort[[#This Row],[Grouping_ID]],TransUnitCost[Transp_ID],TransTonsShort[[#This Row],[Transp_ID]])*TransTonsShort[[#This Row],[Trans_Tons_All]]/TransTonsShort[[#This Row],[Trans_Tons_All]],"")</f>
        <v>0</v>
      </c>
      <c r="X1545" s="386" t="str">
        <f>TransTonsShort[[#This Row],[Grouping_ID]]&amp;"-"&amp;TransTonsShort[[#This Row],[Sector_ID]]</f>
        <v>3-3</v>
      </c>
      <c r="Y154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45" s="421">
        <f>INDEX(LandfillFees[Disposal Tip Fee 2025],MATCH(TransTonsShort[[#This Row],[Grouping_ID]],LandfillFees[Grouping_ID],0))</f>
        <v>72.030938699729589</v>
      </c>
      <c r="AA1545" s="102">
        <f>IF(OR(TransTonsShort[[#This Row],[CollectionStream_ID]]="03",TransTonsShort[[#This Row],[CollectionStream_ID]]="04",TransTonsShort[[#This Row],[CollectionStream_ID]]="13"),0,TransTonsShort[[#This Row],[Trans_Tons_All]]*TransTonsShort[[#This Row],[Disposal_Fee]])</f>
        <v>0</v>
      </c>
    </row>
    <row r="1546" spans="12:27" ht="15" x14ac:dyDescent="0.25">
      <c r="L1546" s="446" t="s">
        <v>870</v>
      </c>
      <c r="M1546" s="446">
        <v>3</v>
      </c>
      <c r="N1546" s="446">
        <v>3</v>
      </c>
      <c r="O1546" s="446" t="s">
        <v>719</v>
      </c>
      <c r="P1546" s="449" t="s">
        <v>744</v>
      </c>
      <c r="Q1546" s="449"/>
      <c r="R1546" s="449"/>
      <c r="S1546" s="451" t="s">
        <v>720</v>
      </c>
      <c r="T1546" s="451" t="s">
        <v>967</v>
      </c>
      <c r="U1546" s="452">
        <v>710.57263630539853</v>
      </c>
      <c r="V154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6" s="272">
        <f>IFERROR(SUMIFS(TransUnitCost[Miles],TransUnitCost[Grouping_ID],TransTonsShort[[#This Row],[Grouping_ID]],TransUnitCost[Transp_ID],TransTonsShort[[#This Row],[Transp_ID]])*TransTonsShort[[#This Row],[Trans_Tons_All]]/TransTonsShort[[#This Row],[Trans_Tons_All]],"")</f>
        <v>0</v>
      </c>
      <c r="X1546" s="386" t="str">
        <f>TransTonsShort[[#This Row],[Grouping_ID]]&amp;"-"&amp;TransTonsShort[[#This Row],[Sector_ID]]</f>
        <v>3-3</v>
      </c>
      <c r="Y154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46" s="421">
        <f>INDEX(LandfillFees[Disposal Tip Fee 2025],MATCH(TransTonsShort[[#This Row],[Grouping_ID]],LandfillFees[Grouping_ID],0))</f>
        <v>72.030938699729589</v>
      </c>
      <c r="AA1546" s="102">
        <f>IF(OR(TransTonsShort[[#This Row],[CollectionStream_ID]]="03",TransTonsShort[[#This Row],[CollectionStream_ID]]="04",TransTonsShort[[#This Row],[CollectionStream_ID]]="13"),0,TransTonsShort[[#This Row],[Trans_Tons_All]]*TransTonsShort[[#This Row],[Disposal_Fee]])</f>
        <v>0</v>
      </c>
    </row>
    <row r="1547" spans="12:27" ht="15" x14ac:dyDescent="0.25">
      <c r="L1547" s="446" t="s">
        <v>870</v>
      </c>
      <c r="M1547" s="446">
        <v>3</v>
      </c>
      <c r="N1547" s="446">
        <v>3</v>
      </c>
      <c r="O1547" s="446" t="s">
        <v>754</v>
      </c>
      <c r="P1547" s="449" t="s">
        <v>744</v>
      </c>
      <c r="Q1547" s="449"/>
      <c r="R1547" s="449"/>
      <c r="S1547" s="451" t="s">
        <v>1991</v>
      </c>
      <c r="T1547" s="451" t="s">
        <v>967</v>
      </c>
      <c r="U1547" s="452">
        <v>3.9585867554731475</v>
      </c>
      <c r="V154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7" s="272">
        <f>IFERROR(SUMIFS(TransUnitCost[Miles],TransUnitCost[Grouping_ID],TransTonsShort[[#This Row],[Grouping_ID]],TransUnitCost[Transp_ID],TransTonsShort[[#This Row],[Transp_ID]])*TransTonsShort[[#This Row],[Trans_Tons_All]]/TransTonsShort[[#This Row],[Trans_Tons_All]],"")</f>
        <v>0</v>
      </c>
      <c r="X1547" s="386" t="str">
        <f>TransTonsShort[[#This Row],[Grouping_ID]]&amp;"-"&amp;TransTonsShort[[#This Row],[Sector_ID]]</f>
        <v>3-3</v>
      </c>
      <c r="Y154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47" s="421">
        <f>INDEX(LandfillFees[Disposal Tip Fee 2025],MATCH(TransTonsShort[[#This Row],[Grouping_ID]],LandfillFees[Grouping_ID],0))</f>
        <v>72.030938699729589</v>
      </c>
      <c r="AA1547" s="102">
        <f>IF(OR(TransTonsShort[[#This Row],[CollectionStream_ID]]="03",TransTonsShort[[#This Row],[CollectionStream_ID]]="04",TransTonsShort[[#This Row],[CollectionStream_ID]]="13"),0,TransTonsShort[[#This Row],[Trans_Tons_All]]*TransTonsShort[[#This Row],[Disposal_Fee]])</f>
        <v>0</v>
      </c>
    </row>
    <row r="1548" spans="12:27" ht="15" x14ac:dyDescent="0.25">
      <c r="L1548" s="446" t="s">
        <v>870</v>
      </c>
      <c r="M1548" s="446">
        <v>3</v>
      </c>
      <c r="N1548" s="446">
        <v>4</v>
      </c>
      <c r="O1548" s="446" t="s">
        <v>712</v>
      </c>
      <c r="P1548" s="449" t="s">
        <v>744</v>
      </c>
      <c r="Q1548" s="449"/>
      <c r="R1548" s="449"/>
      <c r="S1548" s="451" t="s">
        <v>713</v>
      </c>
      <c r="T1548" s="451" t="s">
        <v>967</v>
      </c>
      <c r="U1548" s="452">
        <v>79380.626995872852</v>
      </c>
      <c r="V154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8" s="272">
        <f>IFERROR(SUMIFS(TransUnitCost[Miles],TransUnitCost[Grouping_ID],TransTonsShort[[#This Row],[Grouping_ID]],TransUnitCost[Transp_ID],TransTonsShort[[#This Row],[Transp_ID]])*TransTonsShort[[#This Row],[Trans_Tons_All]]/TransTonsShort[[#This Row],[Trans_Tons_All]],"")</f>
        <v>0</v>
      </c>
      <c r="X1548" s="386" t="str">
        <f>TransTonsShort[[#This Row],[Grouping_ID]]&amp;"-"&amp;TransTonsShort[[#This Row],[Sector_ID]]</f>
        <v>3-4</v>
      </c>
      <c r="Y154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48" s="421">
        <f>INDEX(LandfillFees[Disposal Tip Fee 2025],MATCH(TransTonsShort[[#This Row],[Grouping_ID]],LandfillFees[Grouping_ID],0))</f>
        <v>72.030938699729589</v>
      </c>
      <c r="AA1548" s="102">
        <f>IF(OR(TransTonsShort[[#This Row],[CollectionStream_ID]]="03",TransTonsShort[[#This Row],[CollectionStream_ID]]="04",TransTonsShort[[#This Row],[CollectionStream_ID]]="13"),0,TransTonsShort[[#This Row],[Trans_Tons_All]]*TransTonsShort[[#This Row],[Disposal_Fee]])</f>
        <v>0</v>
      </c>
    </row>
    <row r="1549" spans="12:27" ht="15" x14ac:dyDescent="0.25">
      <c r="L1549" s="446" t="s">
        <v>870</v>
      </c>
      <c r="M1549" s="446">
        <v>3</v>
      </c>
      <c r="N1549" s="446">
        <v>4</v>
      </c>
      <c r="O1549" s="446" t="s">
        <v>719</v>
      </c>
      <c r="P1549" s="449" t="s">
        <v>744</v>
      </c>
      <c r="Q1549" s="449"/>
      <c r="R1549" s="449"/>
      <c r="S1549" s="451" t="s">
        <v>720</v>
      </c>
      <c r="T1549" s="451" t="s">
        <v>967</v>
      </c>
      <c r="U1549" s="452">
        <v>30483.436903200578</v>
      </c>
      <c r="V154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49" s="272">
        <f>IFERROR(SUMIFS(TransUnitCost[Miles],TransUnitCost[Grouping_ID],TransTonsShort[[#This Row],[Grouping_ID]],TransUnitCost[Transp_ID],TransTonsShort[[#This Row],[Transp_ID]])*TransTonsShort[[#This Row],[Trans_Tons_All]]/TransTonsShort[[#This Row],[Trans_Tons_All]],"")</f>
        <v>0</v>
      </c>
      <c r="X1549" s="386" t="str">
        <f>TransTonsShort[[#This Row],[Grouping_ID]]&amp;"-"&amp;TransTonsShort[[#This Row],[Sector_ID]]</f>
        <v>3-4</v>
      </c>
      <c r="Y154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49" s="421">
        <f>INDEX(LandfillFees[Disposal Tip Fee 2025],MATCH(TransTonsShort[[#This Row],[Grouping_ID]],LandfillFees[Grouping_ID],0))</f>
        <v>72.030938699729589</v>
      </c>
      <c r="AA1549" s="102">
        <f>IF(OR(TransTonsShort[[#This Row],[CollectionStream_ID]]="03",TransTonsShort[[#This Row],[CollectionStream_ID]]="04",TransTonsShort[[#This Row],[CollectionStream_ID]]="13"),0,TransTonsShort[[#This Row],[Trans_Tons_All]]*TransTonsShort[[#This Row],[Disposal_Fee]])</f>
        <v>0</v>
      </c>
    </row>
    <row r="1550" spans="12:27" ht="15" x14ac:dyDescent="0.25">
      <c r="L1550" s="446" t="s">
        <v>870</v>
      </c>
      <c r="M1550" s="446">
        <v>3</v>
      </c>
      <c r="N1550" s="446">
        <v>4</v>
      </c>
      <c r="O1550" s="446" t="s">
        <v>754</v>
      </c>
      <c r="P1550" s="449" t="s">
        <v>744</v>
      </c>
      <c r="Q1550" s="449"/>
      <c r="R1550" s="449"/>
      <c r="S1550" s="451" t="s">
        <v>1991</v>
      </c>
      <c r="T1550" s="451" t="s">
        <v>967</v>
      </c>
      <c r="U1550" s="452">
        <v>2464.105248444625</v>
      </c>
      <c r="V155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0" s="272">
        <f>IFERROR(SUMIFS(TransUnitCost[Miles],TransUnitCost[Grouping_ID],TransTonsShort[[#This Row],[Grouping_ID]],TransUnitCost[Transp_ID],TransTonsShort[[#This Row],[Transp_ID]])*TransTonsShort[[#This Row],[Trans_Tons_All]]/TransTonsShort[[#This Row],[Trans_Tons_All]],"")</f>
        <v>0</v>
      </c>
      <c r="X1550" s="386" t="str">
        <f>TransTonsShort[[#This Row],[Grouping_ID]]&amp;"-"&amp;TransTonsShort[[#This Row],[Sector_ID]]</f>
        <v>3-4</v>
      </c>
      <c r="Y155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50" s="421">
        <f>INDEX(LandfillFees[Disposal Tip Fee 2025],MATCH(TransTonsShort[[#This Row],[Grouping_ID]],LandfillFees[Grouping_ID],0))</f>
        <v>72.030938699729589</v>
      </c>
      <c r="AA1550" s="102">
        <f>IF(OR(TransTonsShort[[#This Row],[CollectionStream_ID]]="03",TransTonsShort[[#This Row],[CollectionStream_ID]]="04",TransTonsShort[[#This Row],[CollectionStream_ID]]="13"),0,TransTonsShort[[#This Row],[Trans_Tons_All]]*TransTonsShort[[#This Row],[Disposal_Fee]])</f>
        <v>0</v>
      </c>
    </row>
    <row r="1551" spans="12:27" ht="15" x14ac:dyDescent="0.25">
      <c r="L1551" s="446" t="s">
        <v>870</v>
      </c>
      <c r="M1551" s="446">
        <v>3</v>
      </c>
      <c r="N1551" s="446">
        <v>5</v>
      </c>
      <c r="O1551" s="446" t="s">
        <v>754</v>
      </c>
      <c r="P1551" s="449" t="s">
        <v>744</v>
      </c>
      <c r="Q1551" s="449"/>
      <c r="R1551" s="449"/>
      <c r="S1551" s="451" t="s">
        <v>1991</v>
      </c>
      <c r="T1551" s="451" t="s">
        <v>967</v>
      </c>
      <c r="U1551" s="452">
        <v>112502.92066113914</v>
      </c>
      <c r="V155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1" s="272">
        <f>IFERROR(SUMIFS(TransUnitCost[Miles],TransUnitCost[Grouping_ID],TransTonsShort[[#This Row],[Grouping_ID]],TransUnitCost[Transp_ID],TransTonsShort[[#This Row],[Transp_ID]])*TransTonsShort[[#This Row],[Trans_Tons_All]]/TransTonsShort[[#This Row],[Trans_Tons_All]],"")</f>
        <v>0</v>
      </c>
      <c r="X1551" s="386" t="str">
        <f>TransTonsShort[[#This Row],[Grouping_ID]]&amp;"-"&amp;TransTonsShort[[#This Row],[Sector_ID]]</f>
        <v>3-5</v>
      </c>
      <c r="Y155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51" s="421">
        <f>INDEX(LandfillFees[Disposal Tip Fee 2025],MATCH(TransTonsShort[[#This Row],[Grouping_ID]],LandfillFees[Grouping_ID],0))</f>
        <v>72.030938699729589</v>
      </c>
      <c r="AA1551" s="102">
        <f>IF(OR(TransTonsShort[[#This Row],[CollectionStream_ID]]="03",TransTonsShort[[#This Row],[CollectionStream_ID]]="04",TransTonsShort[[#This Row],[CollectionStream_ID]]="13"),0,TransTonsShort[[#This Row],[Trans_Tons_All]]*TransTonsShort[[#This Row],[Disposal_Fee]])</f>
        <v>0</v>
      </c>
    </row>
    <row r="1552" spans="12:27" ht="15" x14ac:dyDescent="0.25">
      <c r="L1552" s="446" t="s">
        <v>870</v>
      </c>
      <c r="M1552" s="446">
        <v>3</v>
      </c>
      <c r="N1552" s="446">
        <v>6</v>
      </c>
      <c r="O1552" s="446" t="s">
        <v>754</v>
      </c>
      <c r="P1552" s="449" t="s">
        <v>744</v>
      </c>
      <c r="Q1552" s="449"/>
      <c r="R1552" s="449"/>
      <c r="S1552" s="451" t="s">
        <v>1991</v>
      </c>
      <c r="T1552" s="451" t="s">
        <v>967</v>
      </c>
      <c r="U1552" s="452">
        <v>10530.418399916423</v>
      </c>
      <c r="V155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2" s="272">
        <f>IFERROR(SUMIFS(TransUnitCost[Miles],TransUnitCost[Grouping_ID],TransTonsShort[[#This Row],[Grouping_ID]],TransUnitCost[Transp_ID],TransTonsShort[[#This Row],[Transp_ID]])*TransTonsShort[[#This Row],[Trans_Tons_All]]/TransTonsShort[[#This Row],[Trans_Tons_All]],"")</f>
        <v>0</v>
      </c>
      <c r="X1552" s="386" t="str">
        <f>TransTonsShort[[#This Row],[Grouping_ID]]&amp;"-"&amp;TransTonsShort[[#This Row],[Sector_ID]]</f>
        <v>3-6</v>
      </c>
      <c r="Y155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52" s="421">
        <f>INDEX(LandfillFees[Disposal Tip Fee 2025],MATCH(TransTonsShort[[#This Row],[Grouping_ID]],LandfillFees[Grouping_ID],0))</f>
        <v>72.030938699729589</v>
      </c>
      <c r="AA1552" s="102">
        <f>IF(OR(TransTonsShort[[#This Row],[CollectionStream_ID]]="03",TransTonsShort[[#This Row],[CollectionStream_ID]]="04",TransTonsShort[[#This Row],[CollectionStream_ID]]="13"),0,TransTonsShort[[#This Row],[Trans_Tons_All]]*TransTonsShort[[#This Row],[Disposal_Fee]])</f>
        <v>0</v>
      </c>
    </row>
    <row r="1553" spans="12:27" ht="15" x14ac:dyDescent="0.25">
      <c r="L1553" s="446" t="s">
        <v>870</v>
      </c>
      <c r="M1553" s="446">
        <v>4</v>
      </c>
      <c r="N1553" s="446">
        <v>1</v>
      </c>
      <c r="O1553" s="446" t="s">
        <v>712</v>
      </c>
      <c r="P1553" s="449" t="s">
        <v>744</v>
      </c>
      <c r="Q1553" s="449"/>
      <c r="R1553" s="449"/>
      <c r="S1553" s="451" t="s">
        <v>713</v>
      </c>
      <c r="T1553" s="451" t="s">
        <v>967</v>
      </c>
      <c r="U1553" s="452">
        <v>192572.29797130611</v>
      </c>
      <c r="V155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3" s="272">
        <f>IFERROR(SUMIFS(TransUnitCost[Miles],TransUnitCost[Grouping_ID],TransTonsShort[[#This Row],[Grouping_ID]],TransUnitCost[Transp_ID],TransTonsShort[[#This Row],[Transp_ID]])*TransTonsShort[[#This Row],[Trans_Tons_All]]/TransTonsShort[[#This Row],[Trans_Tons_All]],"")</f>
        <v>0</v>
      </c>
      <c r="X1553" s="386" t="str">
        <f>TransTonsShort[[#This Row],[Grouping_ID]]&amp;"-"&amp;TransTonsShort[[#This Row],[Sector_ID]]</f>
        <v>4-1</v>
      </c>
      <c r="Y155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53" s="421">
        <f>INDEX(LandfillFees[Disposal Tip Fee 2025],MATCH(TransTonsShort[[#This Row],[Grouping_ID]],LandfillFees[Grouping_ID],0))</f>
        <v>72.030938699729589</v>
      </c>
      <c r="AA1553" s="102">
        <f>IF(OR(TransTonsShort[[#This Row],[CollectionStream_ID]]="03",TransTonsShort[[#This Row],[CollectionStream_ID]]="04",TransTonsShort[[#This Row],[CollectionStream_ID]]="13"),0,TransTonsShort[[#This Row],[Trans_Tons_All]]*TransTonsShort[[#This Row],[Disposal_Fee]])</f>
        <v>0</v>
      </c>
    </row>
    <row r="1554" spans="12:27" ht="15" x14ac:dyDescent="0.25">
      <c r="L1554" s="446" t="s">
        <v>870</v>
      </c>
      <c r="M1554" s="446">
        <v>4</v>
      </c>
      <c r="N1554" s="446">
        <v>1</v>
      </c>
      <c r="O1554" s="446" t="s">
        <v>719</v>
      </c>
      <c r="P1554" s="449" t="s">
        <v>744</v>
      </c>
      <c r="Q1554" s="449"/>
      <c r="R1554" s="449"/>
      <c r="S1554" s="451" t="s">
        <v>720</v>
      </c>
      <c r="T1554" s="451" t="s">
        <v>967</v>
      </c>
      <c r="U1554" s="452">
        <v>31.249121728528202</v>
      </c>
      <c r="V155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4" s="272">
        <f>IFERROR(SUMIFS(TransUnitCost[Miles],TransUnitCost[Grouping_ID],TransTonsShort[[#This Row],[Grouping_ID]],TransUnitCost[Transp_ID],TransTonsShort[[#This Row],[Transp_ID]])*TransTonsShort[[#This Row],[Trans_Tons_All]]/TransTonsShort[[#This Row],[Trans_Tons_All]],"")</f>
        <v>0</v>
      </c>
      <c r="X1554" s="386" t="str">
        <f>TransTonsShort[[#This Row],[Grouping_ID]]&amp;"-"&amp;TransTonsShort[[#This Row],[Sector_ID]]</f>
        <v>4-1</v>
      </c>
      <c r="Y155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54" s="421">
        <f>INDEX(LandfillFees[Disposal Tip Fee 2025],MATCH(TransTonsShort[[#This Row],[Grouping_ID]],LandfillFees[Grouping_ID],0))</f>
        <v>72.030938699729589</v>
      </c>
      <c r="AA1554" s="102">
        <f>IF(OR(TransTonsShort[[#This Row],[CollectionStream_ID]]="03",TransTonsShort[[#This Row],[CollectionStream_ID]]="04",TransTonsShort[[#This Row],[CollectionStream_ID]]="13"),0,TransTonsShort[[#This Row],[Trans_Tons_All]]*TransTonsShort[[#This Row],[Disposal_Fee]])</f>
        <v>0</v>
      </c>
    </row>
    <row r="1555" spans="12:27" ht="15" x14ac:dyDescent="0.25">
      <c r="L1555" s="446" t="s">
        <v>870</v>
      </c>
      <c r="M1555" s="446">
        <v>4</v>
      </c>
      <c r="N1555" s="446">
        <v>1</v>
      </c>
      <c r="O1555" s="446" t="s">
        <v>754</v>
      </c>
      <c r="P1555" s="449" t="s">
        <v>744</v>
      </c>
      <c r="Q1555" s="449"/>
      <c r="R1555" s="449"/>
      <c r="S1555" s="451" t="s">
        <v>1991</v>
      </c>
      <c r="T1555" s="451" t="s">
        <v>967</v>
      </c>
      <c r="U1555" s="452">
        <v>6.3556190710760312</v>
      </c>
      <c r="V155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5" s="272">
        <f>IFERROR(SUMIFS(TransUnitCost[Miles],TransUnitCost[Grouping_ID],TransTonsShort[[#This Row],[Grouping_ID]],TransUnitCost[Transp_ID],TransTonsShort[[#This Row],[Transp_ID]])*TransTonsShort[[#This Row],[Trans_Tons_All]]/TransTonsShort[[#This Row],[Trans_Tons_All]],"")</f>
        <v>0</v>
      </c>
      <c r="X1555" s="386" t="str">
        <f>TransTonsShort[[#This Row],[Grouping_ID]]&amp;"-"&amp;TransTonsShort[[#This Row],[Sector_ID]]</f>
        <v>4-1</v>
      </c>
      <c r="Y155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55" s="421">
        <f>INDEX(LandfillFees[Disposal Tip Fee 2025],MATCH(TransTonsShort[[#This Row],[Grouping_ID]],LandfillFees[Grouping_ID],0))</f>
        <v>72.030938699729589</v>
      </c>
      <c r="AA1555" s="102">
        <f>IF(OR(TransTonsShort[[#This Row],[CollectionStream_ID]]="03",TransTonsShort[[#This Row],[CollectionStream_ID]]="04",TransTonsShort[[#This Row],[CollectionStream_ID]]="13"),0,TransTonsShort[[#This Row],[Trans_Tons_All]]*TransTonsShort[[#This Row],[Disposal_Fee]])</f>
        <v>0</v>
      </c>
    </row>
    <row r="1556" spans="12:27" ht="15" x14ac:dyDescent="0.25">
      <c r="L1556" s="446" t="s">
        <v>870</v>
      </c>
      <c r="M1556" s="446">
        <v>4</v>
      </c>
      <c r="N1556" s="446">
        <v>2</v>
      </c>
      <c r="O1556" s="446" t="s">
        <v>712</v>
      </c>
      <c r="P1556" s="449" t="s">
        <v>744</v>
      </c>
      <c r="Q1556" s="449"/>
      <c r="R1556" s="449"/>
      <c r="S1556" s="451" t="s">
        <v>713</v>
      </c>
      <c r="T1556" s="451" t="s">
        <v>967</v>
      </c>
      <c r="U1556" s="452">
        <v>39155.578093855758</v>
      </c>
      <c r="V155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6" s="272">
        <f>IFERROR(SUMIFS(TransUnitCost[Miles],TransUnitCost[Grouping_ID],TransTonsShort[[#This Row],[Grouping_ID]],TransUnitCost[Transp_ID],TransTonsShort[[#This Row],[Transp_ID]])*TransTonsShort[[#This Row],[Trans_Tons_All]]/TransTonsShort[[#This Row],[Trans_Tons_All]],"")</f>
        <v>0</v>
      </c>
      <c r="X1556" s="386" t="str">
        <f>TransTonsShort[[#This Row],[Grouping_ID]]&amp;"-"&amp;TransTonsShort[[#This Row],[Sector_ID]]</f>
        <v>4-2</v>
      </c>
      <c r="Y155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56" s="421">
        <f>INDEX(LandfillFees[Disposal Tip Fee 2025],MATCH(TransTonsShort[[#This Row],[Grouping_ID]],LandfillFees[Grouping_ID],0))</f>
        <v>72.030938699729589</v>
      </c>
      <c r="AA1556" s="102">
        <f>IF(OR(TransTonsShort[[#This Row],[CollectionStream_ID]]="03",TransTonsShort[[#This Row],[CollectionStream_ID]]="04",TransTonsShort[[#This Row],[CollectionStream_ID]]="13"),0,TransTonsShort[[#This Row],[Trans_Tons_All]]*TransTonsShort[[#This Row],[Disposal_Fee]])</f>
        <v>0</v>
      </c>
    </row>
    <row r="1557" spans="12:27" ht="15" x14ac:dyDescent="0.25">
      <c r="L1557" s="446" t="s">
        <v>870</v>
      </c>
      <c r="M1557" s="446">
        <v>4</v>
      </c>
      <c r="N1557" s="446">
        <v>2</v>
      </c>
      <c r="O1557" s="446" t="s">
        <v>719</v>
      </c>
      <c r="P1557" s="449" t="s">
        <v>744</v>
      </c>
      <c r="Q1557" s="449"/>
      <c r="R1557" s="449"/>
      <c r="S1557" s="451" t="s">
        <v>720</v>
      </c>
      <c r="T1557" s="451" t="s">
        <v>967</v>
      </c>
      <c r="U1557" s="452">
        <v>0.52265282121438028</v>
      </c>
      <c r="V1557"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7" s="272">
        <f>IFERROR(SUMIFS(TransUnitCost[Miles],TransUnitCost[Grouping_ID],TransTonsShort[[#This Row],[Grouping_ID]],TransUnitCost[Transp_ID],TransTonsShort[[#This Row],[Transp_ID]])*TransTonsShort[[#This Row],[Trans_Tons_All]]/TransTonsShort[[#This Row],[Trans_Tons_All]],"")</f>
        <v>0</v>
      </c>
      <c r="X1557" s="386" t="str">
        <f>TransTonsShort[[#This Row],[Grouping_ID]]&amp;"-"&amp;TransTonsShort[[#This Row],[Sector_ID]]</f>
        <v>4-2</v>
      </c>
      <c r="Y1557"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57" s="421">
        <f>INDEX(LandfillFees[Disposal Tip Fee 2025],MATCH(TransTonsShort[[#This Row],[Grouping_ID]],LandfillFees[Grouping_ID],0))</f>
        <v>72.030938699729589</v>
      </c>
      <c r="AA1557" s="102">
        <f>IF(OR(TransTonsShort[[#This Row],[CollectionStream_ID]]="03",TransTonsShort[[#This Row],[CollectionStream_ID]]="04",TransTonsShort[[#This Row],[CollectionStream_ID]]="13"),0,TransTonsShort[[#This Row],[Trans_Tons_All]]*TransTonsShort[[#This Row],[Disposal_Fee]])</f>
        <v>0</v>
      </c>
    </row>
    <row r="1558" spans="12:27" ht="15" x14ac:dyDescent="0.25">
      <c r="L1558" s="446" t="s">
        <v>870</v>
      </c>
      <c r="M1558" s="446">
        <v>4</v>
      </c>
      <c r="N1558" s="446">
        <v>2</v>
      </c>
      <c r="O1558" s="446" t="s">
        <v>754</v>
      </c>
      <c r="P1558" s="449" t="s">
        <v>744</v>
      </c>
      <c r="Q1558" s="449"/>
      <c r="R1558" s="449"/>
      <c r="S1558" s="451" t="s">
        <v>1991</v>
      </c>
      <c r="T1558" s="451" t="s">
        <v>967</v>
      </c>
      <c r="U1558" s="452">
        <v>80.450079532787527</v>
      </c>
      <c r="V1558"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8" s="272">
        <f>IFERROR(SUMIFS(TransUnitCost[Miles],TransUnitCost[Grouping_ID],TransTonsShort[[#This Row],[Grouping_ID]],TransUnitCost[Transp_ID],TransTonsShort[[#This Row],[Transp_ID]])*TransTonsShort[[#This Row],[Trans_Tons_All]]/TransTonsShort[[#This Row],[Trans_Tons_All]],"")</f>
        <v>0</v>
      </c>
      <c r="X1558" s="386" t="str">
        <f>TransTonsShort[[#This Row],[Grouping_ID]]&amp;"-"&amp;TransTonsShort[[#This Row],[Sector_ID]]</f>
        <v>4-2</v>
      </c>
      <c r="Y1558"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58" s="421">
        <f>INDEX(LandfillFees[Disposal Tip Fee 2025],MATCH(TransTonsShort[[#This Row],[Grouping_ID]],LandfillFees[Grouping_ID],0))</f>
        <v>72.030938699729589</v>
      </c>
      <c r="AA1558" s="102">
        <f>IF(OR(TransTonsShort[[#This Row],[CollectionStream_ID]]="03",TransTonsShort[[#This Row],[CollectionStream_ID]]="04",TransTonsShort[[#This Row],[CollectionStream_ID]]="13"),0,TransTonsShort[[#This Row],[Trans_Tons_All]]*TransTonsShort[[#This Row],[Disposal_Fee]])</f>
        <v>0</v>
      </c>
    </row>
    <row r="1559" spans="12:27" ht="15" x14ac:dyDescent="0.25">
      <c r="L1559" s="446" t="s">
        <v>870</v>
      </c>
      <c r="M1559" s="446">
        <v>4</v>
      </c>
      <c r="N1559" s="446">
        <v>3</v>
      </c>
      <c r="O1559" s="446" t="s">
        <v>712</v>
      </c>
      <c r="P1559" s="449" t="s">
        <v>744</v>
      </c>
      <c r="Q1559" s="449"/>
      <c r="R1559" s="449"/>
      <c r="S1559" s="451" t="s">
        <v>713</v>
      </c>
      <c r="T1559" s="451" t="s">
        <v>967</v>
      </c>
      <c r="U1559" s="452">
        <v>132433.48503843066</v>
      </c>
      <c r="V1559"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59" s="272">
        <f>IFERROR(SUMIFS(TransUnitCost[Miles],TransUnitCost[Grouping_ID],TransTonsShort[[#This Row],[Grouping_ID]],TransUnitCost[Transp_ID],TransTonsShort[[#This Row],[Transp_ID]])*TransTonsShort[[#This Row],[Trans_Tons_All]]/TransTonsShort[[#This Row],[Trans_Tons_All]],"")</f>
        <v>0</v>
      </c>
      <c r="X1559" s="386" t="str">
        <f>TransTonsShort[[#This Row],[Grouping_ID]]&amp;"-"&amp;TransTonsShort[[#This Row],[Sector_ID]]</f>
        <v>4-3</v>
      </c>
      <c r="Y1559"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59" s="421">
        <f>INDEX(LandfillFees[Disposal Tip Fee 2025],MATCH(TransTonsShort[[#This Row],[Grouping_ID]],LandfillFees[Grouping_ID],0))</f>
        <v>72.030938699729589</v>
      </c>
      <c r="AA1559" s="102">
        <f>IF(OR(TransTonsShort[[#This Row],[CollectionStream_ID]]="03",TransTonsShort[[#This Row],[CollectionStream_ID]]="04",TransTonsShort[[#This Row],[CollectionStream_ID]]="13"),0,TransTonsShort[[#This Row],[Trans_Tons_All]]*TransTonsShort[[#This Row],[Disposal_Fee]])</f>
        <v>0</v>
      </c>
    </row>
    <row r="1560" spans="12:27" ht="15" x14ac:dyDescent="0.25">
      <c r="L1560" s="446" t="s">
        <v>870</v>
      </c>
      <c r="M1560" s="446">
        <v>4</v>
      </c>
      <c r="N1560" s="446">
        <v>3</v>
      </c>
      <c r="O1560" s="446" t="s">
        <v>719</v>
      </c>
      <c r="P1560" s="449" t="s">
        <v>744</v>
      </c>
      <c r="Q1560" s="449"/>
      <c r="R1560" s="449"/>
      <c r="S1560" s="451" t="s">
        <v>720</v>
      </c>
      <c r="T1560" s="451" t="s">
        <v>967</v>
      </c>
      <c r="U1560" s="452">
        <v>5443.1244494308885</v>
      </c>
      <c r="V1560"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0" s="272">
        <f>IFERROR(SUMIFS(TransUnitCost[Miles],TransUnitCost[Grouping_ID],TransTonsShort[[#This Row],[Grouping_ID]],TransUnitCost[Transp_ID],TransTonsShort[[#This Row],[Transp_ID]])*TransTonsShort[[#This Row],[Trans_Tons_All]]/TransTonsShort[[#This Row],[Trans_Tons_All]],"")</f>
        <v>0</v>
      </c>
      <c r="X1560" s="386" t="str">
        <f>TransTonsShort[[#This Row],[Grouping_ID]]&amp;"-"&amp;TransTonsShort[[#This Row],[Sector_ID]]</f>
        <v>4-3</v>
      </c>
      <c r="Y1560"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60" s="421">
        <f>INDEX(LandfillFees[Disposal Tip Fee 2025],MATCH(TransTonsShort[[#This Row],[Grouping_ID]],LandfillFees[Grouping_ID],0))</f>
        <v>72.030938699729589</v>
      </c>
      <c r="AA1560" s="102">
        <f>IF(OR(TransTonsShort[[#This Row],[CollectionStream_ID]]="03",TransTonsShort[[#This Row],[CollectionStream_ID]]="04",TransTonsShort[[#This Row],[CollectionStream_ID]]="13"),0,TransTonsShort[[#This Row],[Trans_Tons_All]]*TransTonsShort[[#This Row],[Disposal_Fee]])</f>
        <v>0</v>
      </c>
    </row>
    <row r="1561" spans="12:27" ht="15" x14ac:dyDescent="0.25">
      <c r="L1561" s="446" t="s">
        <v>870</v>
      </c>
      <c r="M1561" s="446">
        <v>4</v>
      </c>
      <c r="N1561" s="446">
        <v>3</v>
      </c>
      <c r="O1561" s="446" t="s">
        <v>754</v>
      </c>
      <c r="P1561" s="449" t="s">
        <v>744</v>
      </c>
      <c r="Q1561" s="449"/>
      <c r="R1561" s="449"/>
      <c r="S1561" s="451" t="s">
        <v>1991</v>
      </c>
      <c r="T1561" s="451" t="s">
        <v>967</v>
      </c>
      <c r="U1561" s="452">
        <v>42.886103670660546</v>
      </c>
      <c r="V1561"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1" s="272">
        <f>IFERROR(SUMIFS(TransUnitCost[Miles],TransUnitCost[Grouping_ID],TransTonsShort[[#This Row],[Grouping_ID]],TransUnitCost[Transp_ID],TransTonsShort[[#This Row],[Transp_ID]])*TransTonsShort[[#This Row],[Trans_Tons_All]]/TransTonsShort[[#This Row],[Trans_Tons_All]],"")</f>
        <v>0</v>
      </c>
      <c r="X1561" s="386" t="str">
        <f>TransTonsShort[[#This Row],[Grouping_ID]]&amp;"-"&amp;TransTonsShort[[#This Row],[Sector_ID]]</f>
        <v>4-3</v>
      </c>
      <c r="Y1561"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61" s="421">
        <f>INDEX(LandfillFees[Disposal Tip Fee 2025],MATCH(TransTonsShort[[#This Row],[Grouping_ID]],LandfillFees[Grouping_ID],0))</f>
        <v>72.030938699729589</v>
      </c>
      <c r="AA1561" s="102">
        <f>IF(OR(TransTonsShort[[#This Row],[CollectionStream_ID]]="03",TransTonsShort[[#This Row],[CollectionStream_ID]]="04",TransTonsShort[[#This Row],[CollectionStream_ID]]="13"),0,TransTonsShort[[#This Row],[Trans_Tons_All]]*TransTonsShort[[#This Row],[Disposal_Fee]])</f>
        <v>0</v>
      </c>
    </row>
    <row r="1562" spans="12:27" ht="15" x14ac:dyDescent="0.25">
      <c r="L1562" s="446" t="s">
        <v>870</v>
      </c>
      <c r="M1562" s="446">
        <v>4</v>
      </c>
      <c r="N1562" s="446">
        <v>4</v>
      </c>
      <c r="O1562" s="446" t="s">
        <v>712</v>
      </c>
      <c r="P1562" s="449" t="s">
        <v>744</v>
      </c>
      <c r="Q1562" s="449"/>
      <c r="R1562" s="449"/>
      <c r="S1562" s="451" t="s">
        <v>713</v>
      </c>
      <c r="T1562" s="451" t="s">
        <v>967</v>
      </c>
      <c r="U1562" s="452">
        <v>88414.395241807215</v>
      </c>
      <c r="V1562"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2" s="272">
        <f>IFERROR(SUMIFS(TransUnitCost[Miles],TransUnitCost[Grouping_ID],TransTonsShort[[#This Row],[Grouping_ID]],TransUnitCost[Transp_ID],TransTonsShort[[#This Row],[Transp_ID]])*TransTonsShort[[#This Row],[Trans_Tons_All]]/TransTonsShort[[#This Row],[Trans_Tons_All]],"")</f>
        <v>0</v>
      </c>
      <c r="X1562" s="386" t="str">
        <f>TransTonsShort[[#This Row],[Grouping_ID]]&amp;"-"&amp;TransTonsShort[[#This Row],[Sector_ID]]</f>
        <v>4-4</v>
      </c>
      <c r="Y1562"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Garbage</v>
      </c>
      <c r="Z1562" s="421">
        <f>INDEX(LandfillFees[Disposal Tip Fee 2025],MATCH(TransTonsShort[[#This Row],[Grouping_ID]],LandfillFees[Grouping_ID],0))</f>
        <v>72.030938699729589</v>
      </c>
      <c r="AA1562" s="102">
        <f>IF(OR(TransTonsShort[[#This Row],[CollectionStream_ID]]="03",TransTonsShort[[#This Row],[CollectionStream_ID]]="04",TransTonsShort[[#This Row],[CollectionStream_ID]]="13"),0,TransTonsShort[[#This Row],[Trans_Tons_All]]*TransTonsShort[[#This Row],[Disposal_Fee]])</f>
        <v>0</v>
      </c>
    </row>
    <row r="1563" spans="12:27" ht="15" x14ac:dyDescent="0.25">
      <c r="L1563" s="446" t="s">
        <v>870</v>
      </c>
      <c r="M1563" s="446">
        <v>4</v>
      </c>
      <c r="N1563" s="446">
        <v>4</v>
      </c>
      <c r="O1563" s="446" t="s">
        <v>719</v>
      </c>
      <c r="P1563" s="449" t="s">
        <v>744</v>
      </c>
      <c r="Q1563" s="449"/>
      <c r="R1563" s="449"/>
      <c r="S1563" s="451" t="s">
        <v>720</v>
      </c>
      <c r="T1563" s="451" t="s">
        <v>967</v>
      </c>
      <c r="U1563" s="452">
        <v>21209.540696132946</v>
      </c>
      <c r="V1563"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3" s="272">
        <f>IFERROR(SUMIFS(TransUnitCost[Miles],TransUnitCost[Grouping_ID],TransTonsShort[[#This Row],[Grouping_ID]],TransUnitCost[Transp_ID],TransTonsShort[[#This Row],[Transp_ID]])*TransTonsShort[[#This Row],[Trans_Tons_All]]/TransTonsShort[[#This Row],[Trans_Tons_All]],"")</f>
        <v>0</v>
      </c>
      <c r="X1563" s="386" t="str">
        <f>TransTonsShort[[#This Row],[Grouping_ID]]&amp;"-"&amp;TransTonsShort[[#This Row],[Sector_ID]]</f>
        <v>4-4</v>
      </c>
      <c r="Y1563"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Organics</v>
      </c>
      <c r="Z1563" s="421">
        <f>INDEX(LandfillFees[Disposal Tip Fee 2025],MATCH(TransTonsShort[[#This Row],[Grouping_ID]],LandfillFees[Grouping_ID],0))</f>
        <v>72.030938699729589</v>
      </c>
      <c r="AA1563" s="102">
        <f>IF(OR(TransTonsShort[[#This Row],[CollectionStream_ID]]="03",TransTonsShort[[#This Row],[CollectionStream_ID]]="04",TransTonsShort[[#This Row],[CollectionStream_ID]]="13"),0,TransTonsShort[[#This Row],[Trans_Tons_All]]*TransTonsShort[[#This Row],[Disposal_Fee]])</f>
        <v>0</v>
      </c>
    </row>
    <row r="1564" spans="12:27" ht="15" x14ac:dyDescent="0.25">
      <c r="L1564" s="446" t="s">
        <v>870</v>
      </c>
      <c r="M1564" s="446">
        <v>4</v>
      </c>
      <c r="N1564" s="446">
        <v>4</v>
      </c>
      <c r="O1564" s="446" t="s">
        <v>754</v>
      </c>
      <c r="P1564" s="449" t="s">
        <v>744</v>
      </c>
      <c r="Q1564" s="449"/>
      <c r="R1564" s="449"/>
      <c r="S1564" s="451" t="s">
        <v>1991</v>
      </c>
      <c r="T1564" s="451" t="s">
        <v>967</v>
      </c>
      <c r="U1564" s="452">
        <v>5743.800939331295</v>
      </c>
      <c r="V1564"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4" s="272">
        <f>IFERROR(SUMIFS(TransUnitCost[Miles],TransUnitCost[Grouping_ID],TransTonsShort[[#This Row],[Grouping_ID]],TransUnitCost[Transp_ID],TransTonsShort[[#This Row],[Transp_ID]])*TransTonsShort[[#This Row],[Trans_Tons_All]]/TransTonsShort[[#This Row],[Trans_Tons_All]],"")</f>
        <v>0</v>
      </c>
      <c r="X1564" s="386" t="str">
        <f>TransTonsShort[[#This Row],[Grouping_ID]]&amp;"-"&amp;TransTonsShort[[#This Row],[Sector_ID]]</f>
        <v>4-4</v>
      </c>
      <c r="Y1564"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64" s="421">
        <f>INDEX(LandfillFees[Disposal Tip Fee 2025],MATCH(TransTonsShort[[#This Row],[Grouping_ID]],LandfillFees[Grouping_ID],0))</f>
        <v>72.030938699729589</v>
      </c>
      <c r="AA1564" s="102">
        <f>IF(OR(TransTonsShort[[#This Row],[CollectionStream_ID]]="03",TransTonsShort[[#This Row],[CollectionStream_ID]]="04",TransTonsShort[[#This Row],[CollectionStream_ID]]="13"),0,TransTonsShort[[#This Row],[Trans_Tons_All]]*TransTonsShort[[#This Row],[Disposal_Fee]])</f>
        <v>0</v>
      </c>
    </row>
    <row r="1565" spans="12:27" ht="15" x14ac:dyDescent="0.25">
      <c r="L1565" s="446" t="s">
        <v>870</v>
      </c>
      <c r="M1565" s="446">
        <v>4</v>
      </c>
      <c r="N1565" s="446">
        <v>5</v>
      </c>
      <c r="O1565" s="446" t="s">
        <v>754</v>
      </c>
      <c r="P1565" s="449" t="s">
        <v>744</v>
      </c>
      <c r="Q1565" s="449"/>
      <c r="R1565" s="449"/>
      <c r="S1565" s="451" t="s">
        <v>1991</v>
      </c>
      <c r="T1565" s="451" t="s">
        <v>967</v>
      </c>
      <c r="U1565" s="452">
        <v>53906.212649540714</v>
      </c>
      <c r="V1565"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5" s="272">
        <f>IFERROR(SUMIFS(TransUnitCost[Miles],TransUnitCost[Grouping_ID],TransTonsShort[[#This Row],[Grouping_ID]],TransUnitCost[Transp_ID],TransTonsShort[[#This Row],[Transp_ID]])*TransTonsShort[[#This Row],[Trans_Tons_All]]/TransTonsShort[[#This Row],[Trans_Tons_All]],"")</f>
        <v>0</v>
      </c>
      <c r="X1565" s="386" t="str">
        <f>TransTonsShort[[#This Row],[Grouping_ID]]&amp;"-"&amp;TransTonsShort[[#This Row],[Sector_ID]]</f>
        <v>4-5</v>
      </c>
      <c r="Y1565"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65" s="421">
        <f>INDEX(LandfillFees[Disposal Tip Fee 2025],MATCH(TransTonsShort[[#This Row],[Grouping_ID]],LandfillFees[Grouping_ID],0))</f>
        <v>72.030938699729589</v>
      </c>
      <c r="AA1565" s="102">
        <f>IF(OR(TransTonsShort[[#This Row],[CollectionStream_ID]]="03",TransTonsShort[[#This Row],[CollectionStream_ID]]="04",TransTonsShort[[#This Row],[CollectionStream_ID]]="13"),0,TransTonsShort[[#This Row],[Trans_Tons_All]]*TransTonsShort[[#This Row],[Disposal_Fee]])</f>
        <v>0</v>
      </c>
    </row>
    <row r="1566" spans="12:27" ht="15" x14ac:dyDescent="0.25">
      <c r="L1566" s="446" t="s">
        <v>870</v>
      </c>
      <c r="M1566" s="446">
        <v>4</v>
      </c>
      <c r="N1566" s="446">
        <v>6</v>
      </c>
      <c r="O1566" s="446" t="s">
        <v>754</v>
      </c>
      <c r="P1566" s="449" t="s">
        <v>744</v>
      </c>
      <c r="Q1566" s="449"/>
      <c r="R1566" s="449"/>
      <c r="S1566" s="451" t="s">
        <v>1991</v>
      </c>
      <c r="T1566" s="451" t="s">
        <v>967</v>
      </c>
      <c r="U1566" s="452">
        <v>12603.943863547724</v>
      </c>
      <c r="V1566" s="256" t="str">
        <f>IF(TransTonsShort[[#This Row],[Transp_ID]]="08","",SUMIFS(TransUnitCost[Cost per Ton Mile],TransUnitCost[Grouping_ID],TransTonsShort[[#This Row],[Grouping_ID]],TransUnitCost[Transp_ID],TransTonsShort[[#This Row],[Transp_ID]])*
SUMIFS(TransUnitCost[Miles],TransUnitCost[Grouping_ID],TransTonsShort[[#This Row],[Grouping_ID]],TransUnitCost[Transp_ID],TransTonsShort[[#This Row],[Transp_ID]])*TransTonsShort[[#This Row],[Trans_Tons_All]])</f>
        <v/>
      </c>
      <c r="W1566" s="272">
        <f>IFERROR(SUMIFS(TransUnitCost[Miles],TransUnitCost[Grouping_ID],TransTonsShort[[#This Row],[Grouping_ID]],TransUnitCost[Transp_ID],TransTonsShort[[#This Row],[Transp_ID]])*TransTonsShort[[#This Row],[Trans_Tons_All]]/TransTonsShort[[#This Row],[Trans_Tons_All]],"")</f>
        <v>0</v>
      </c>
      <c r="X1566" s="386" t="str">
        <f>TransTonsShort[[#This Row],[Grouping_ID]]&amp;"-"&amp;TransTonsShort[[#This Row],[Sector_ID]]</f>
        <v>4-6</v>
      </c>
      <c r="Y1566" s="386" t="str">
        <f>IF(OR(TransTonsShort[[#This Row],[CollectionStream_ID]]="01",TransTonsShort[[#This Row],[CollectionStream_ID]]="09",TransTonsShort[[#This Row],[CollectionStream_ID]]="10"),"Mixed",IF(OR(TransTonsShort[[#This Row],[CollectionStream_ID]]="02",TransTonsShort[[#This Row],[CollectionStream_ID]]="11",TransTonsShort[[#This Row],[CollectionStream_ID]]="12"),"Separated",TransTonsShort[[#This Row],[CollectionStream_Name]]))</f>
        <v>Out of scope recovery</v>
      </c>
      <c r="Z1566" s="421">
        <f>INDEX(LandfillFees[Disposal Tip Fee 2025],MATCH(TransTonsShort[[#This Row],[Grouping_ID]],LandfillFees[Grouping_ID],0))</f>
        <v>72.030938699729589</v>
      </c>
      <c r="AA1566" s="102">
        <f>IF(OR(TransTonsShort[[#This Row],[CollectionStream_ID]]="03",TransTonsShort[[#This Row],[CollectionStream_ID]]="04",TransTonsShort[[#This Row],[CollectionStream_ID]]="13"),0,TransTonsShort[[#This Row],[Trans_Tons_All]]*TransTonsShort[[#This Row],[Disposal_Fee]])</f>
        <v>0</v>
      </c>
    </row>
  </sheetData>
  <sheetProtection algorithmName="SHA-512" hashValue="XC6Zr+Xi3z4jyNfnxeM5zsuheyYXd2gwxXpnBcFKDy06+vGhDYk5qXNpKFVUO9ezB5oD24KpovaEqQ5vMgtPeA==" saltValue="WOfuToynw6bIHaIsHXhBBA==" spinCount="100000" sheet="1" objects="1" scenarios="1" autoFilter="0"/>
  <pageMargins left="0.7" right="0.7" top="0.75" bottom="0.75" header="0.3" footer="0.3"/>
  <pageSetup orientation="portrait" horizontalDpi="1200" verticalDpi="1200" r:id="rId1"/>
  <legacyDrawing r:id="rId2"/>
  <tableParts count="3">
    <tablePart r:id="rId3"/>
    <tablePart r:id="rId4"/>
    <tablePart r:id="rId5"/>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3542-D24A-4F67-8A79-F94928AAFE30}">
  <sheetPr>
    <tabColor theme="9"/>
  </sheetPr>
  <dimension ref="A1:BD47"/>
  <sheetViews>
    <sheetView workbookViewId="0">
      <selection activeCell="M29" sqref="M29"/>
    </sheetView>
  </sheetViews>
  <sheetFormatPr defaultColWidth="9" defaultRowHeight="14.25" x14ac:dyDescent="0.2"/>
  <cols>
    <col min="1" max="1" width="2" style="212" bestFit="1" customWidth="1"/>
    <col min="2" max="2" width="14" style="212" customWidth="1"/>
    <col min="3" max="3" width="12.5" style="212" customWidth="1"/>
    <col min="4" max="4" width="44" style="212" customWidth="1"/>
    <col min="5" max="5" width="26.75" style="212" customWidth="1"/>
    <col min="6" max="6" width="14.5" style="212" customWidth="1"/>
    <col min="7" max="7" width="19" style="212" customWidth="1"/>
    <col min="8" max="13" width="9.875" style="212" customWidth="1"/>
    <col min="14" max="15" width="9" style="212"/>
    <col min="16" max="16" width="5.125" style="212" customWidth="1"/>
    <col min="17" max="17" width="28.75" style="212" customWidth="1"/>
    <col min="18" max="18" width="13.75" style="212" bestFit="1" customWidth="1"/>
    <col min="19" max="26" width="12.25" style="212" customWidth="1"/>
    <col min="27" max="29" width="9" style="212"/>
    <col min="30" max="30" width="9" style="212" customWidth="1"/>
    <col min="31" max="31" width="48.875" style="212" bestFit="1" customWidth="1"/>
    <col min="32" max="32" width="29.25" style="212" customWidth="1"/>
    <col min="33" max="43" width="11.5" style="212" customWidth="1"/>
    <col min="44" max="45" width="5.875" style="212" customWidth="1"/>
    <col min="46" max="46" width="9" style="212"/>
    <col min="47" max="47" width="8.875" style="212" bestFit="1" customWidth="1"/>
    <col min="48" max="48" width="48.875" style="212" bestFit="1" customWidth="1"/>
    <col min="49" max="49" width="20" style="212" bestFit="1" customWidth="1"/>
    <col min="50" max="50" width="15.75" style="212" bestFit="1" customWidth="1"/>
    <col min="51" max="51" width="11.25" style="212" bestFit="1" customWidth="1"/>
    <col min="52" max="52" width="12.875" style="212" bestFit="1" customWidth="1"/>
    <col min="53" max="53" width="12" style="212" bestFit="1" customWidth="1"/>
    <col min="54" max="54" width="12" style="212" customWidth="1"/>
    <col min="55" max="55" width="20.25" style="212" bestFit="1" customWidth="1"/>
    <col min="56" max="56" width="9" style="212"/>
    <col min="57" max="57" width="18.25" style="212" bestFit="1" customWidth="1"/>
    <col min="58" max="58" width="11" style="212" bestFit="1" customWidth="1"/>
    <col min="59" max="59" width="15.5" style="212" customWidth="1"/>
    <col min="60" max="61" width="16.25" style="212" customWidth="1"/>
    <col min="62" max="63" width="11" style="212" bestFit="1" customWidth="1"/>
    <col min="64" max="64" width="12.75" style="212" bestFit="1" customWidth="1"/>
    <col min="65" max="16384" width="9" style="212"/>
  </cols>
  <sheetData>
    <row r="1" spans="1:56" ht="20.25" thickBot="1" x14ac:dyDescent="0.35">
      <c r="A1" s="4"/>
      <c r="B1" s="65" t="s">
        <v>956</v>
      </c>
      <c r="C1" s="66"/>
      <c r="D1" s="66"/>
      <c r="E1" s="66"/>
      <c r="F1" s="66"/>
      <c r="G1" s="6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333"/>
      <c r="AT1" s="333"/>
      <c r="AU1" s="333"/>
      <c r="AV1" s="333"/>
      <c r="AW1" s="333"/>
      <c r="AX1" s="333"/>
      <c r="AY1" s="333"/>
      <c r="AZ1" s="333"/>
      <c r="BA1" s="333"/>
      <c r="BB1" s="333"/>
      <c r="BC1" s="333"/>
      <c r="BD1" s="317"/>
    </row>
    <row r="2" spans="1:56" ht="15.75" thickTop="1" x14ac:dyDescent="0.25">
      <c r="B2" s="134" t="s">
        <v>1083</v>
      </c>
      <c r="C2" s="220" t="s">
        <v>1084</v>
      </c>
      <c r="AS2" s="317"/>
      <c r="AT2" s="317"/>
      <c r="AU2" s="317"/>
      <c r="AV2" s="317"/>
      <c r="AW2" s="317"/>
      <c r="AX2" s="317"/>
      <c r="AY2" s="317"/>
      <c r="AZ2" s="317"/>
      <c r="BA2" s="317"/>
      <c r="BB2" s="317"/>
      <c r="BC2" s="317"/>
      <c r="BD2" s="317"/>
    </row>
    <row r="3" spans="1:56" x14ac:dyDescent="0.2">
      <c r="C3" s="220" t="s">
        <v>1105</v>
      </c>
      <c r="D3" s="304" t="s">
        <v>886</v>
      </c>
      <c r="E3" s="304" t="s">
        <v>1085</v>
      </c>
      <c r="BB3" s="317"/>
      <c r="BC3" s="317"/>
      <c r="BD3" s="317"/>
    </row>
    <row r="4" spans="1:56" x14ac:dyDescent="0.2">
      <c r="D4" s="304" t="s">
        <v>885</v>
      </c>
      <c r="E4" s="304" t="s">
        <v>1086</v>
      </c>
      <c r="BB4" s="317"/>
      <c r="BC4" s="317"/>
      <c r="BD4" s="317"/>
    </row>
    <row r="5" spans="1:56" x14ac:dyDescent="0.2">
      <c r="D5" s="304" t="s">
        <v>884</v>
      </c>
      <c r="E5" s="304" t="s">
        <v>887</v>
      </c>
      <c r="BB5" s="317"/>
      <c r="BC5" s="317"/>
      <c r="BD5" s="317"/>
    </row>
    <row r="6" spans="1:56" x14ac:dyDescent="0.2">
      <c r="D6" s="304" t="s">
        <v>883</v>
      </c>
      <c r="E6" s="304" t="s">
        <v>1087</v>
      </c>
      <c r="BB6" s="317"/>
      <c r="BC6" s="317"/>
      <c r="BD6" s="317"/>
    </row>
    <row r="7" spans="1:56" x14ac:dyDescent="0.2">
      <c r="D7" s="304" t="s">
        <v>882</v>
      </c>
      <c r="E7" s="304" t="s">
        <v>1088</v>
      </c>
      <c r="BB7" s="317"/>
      <c r="BC7" s="317"/>
      <c r="BD7" s="317"/>
    </row>
    <row r="8" spans="1:56" x14ac:dyDescent="0.2">
      <c r="D8" s="304" t="s">
        <v>881</v>
      </c>
      <c r="E8" s="304" t="s">
        <v>1089</v>
      </c>
      <c r="BB8" s="317"/>
      <c r="BC8" s="317"/>
      <c r="BD8" s="317"/>
    </row>
    <row r="9" spans="1:56" x14ac:dyDescent="0.2">
      <c r="D9" s="304" t="s">
        <v>899</v>
      </c>
      <c r="E9" s="304" t="s">
        <v>1090</v>
      </c>
      <c r="BB9" s="317"/>
      <c r="BC9" s="317"/>
      <c r="BD9" s="317"/>
    </row>
    <row r="10" spans="1:56" ht="15" x14ac:dyDescent="0.25">
      <c r="B10" s="134" t="s">
        <v>50</v>
      </c>
      <c r="C10" s="104">
        <v>6.5000000000000002E-2</v>
      </c>
      <c r="D10" s="212" t="s">
        <v>1082</v>
      </c>
      <c r="AS10" s="317"/>
      <c r="AT10" s="317"/>
      <c r="AU10" s="317"/>
      <c r="AV10" s="317"/>
      <c r="AW10" s="317"/>
      <c r="AX10" s="317"/>
      <c r="AY10" s="317"/>
      <c r="AZ10" s="317"/>
      <c r="BA10" s="317"/>
      <c r="BB10" s="317"/>
      <c r="BC10" s="317"/>
      <c r="BD10" s="317"/>
    </row>
    <row r="11" spans="1:56" s="317" customFormat="1" ht="15" x14ac:dyDescent="0.25">
      <c r="B11" s="339" t="s">
        <v>111</v>
      </c>
      <c r="C11" s="382">
        <v>5000000</v>
      </c>
      <c r="D11" s="383" t="s">
        <v>1106</v>
      </c>
    </row>
    <row r="12" spans="1:56" ht="15" x14ac:dyDescent="0.25">
      <c r="B12" s="339" t="s">
        <v>113</v>
      </c>
      <c r="C12" s="277">
        <v>0.6</v>
      </c>
      <c r="D12" s="383" t="str">
        <f>"Of existing initial capital equipment has been fully paid off - "&amp;(1-C12)*100&amp;"% still remaining"</f>
        <v>Of existing initial capital equipment has been fully paid off - 40% still remaining</v>
      </c>
      <c r="AA12" s="230"/>
      <c r="AB12" s="230"/>
      <c r="AC12" s="230"/>
      <c r="AD12" s="230"/>
      <c r="AE12" s="230"/>
      <c r="AF12" s="230"/>
      <c r="AG12" s="230"/>
      <c r="AH12" s="230"/>
      <c r="AI12" s="230"/>
    </row>
    <row r="13" spans="1:56" x14ac:dyDescent="0.2">
      <c r="AA13" s="230"/>
      <c r="AB13" s="230"/>
      <c r="AC13" s="230"/>
      <c r="AD13" s="230"/>
      <c r="AE13" s="230"/>
      <c r="AF13" s="230"/>
      <c r="AG13" s="230"/>
      <c r="AH13" s="230"/>
      <c r="AI13" s="230"/>
    </row>
    <row r="14" spans="1:56" ht="15" x14ac:dyDescent="0.25">
      <c r="B14" s="215" t="s">
        <v>902</v>
      </c>
      <c r="O14" s="215" t="s">
        <v>901</v>
      </c>
      <c r="T14" s="230"/>
      <c r="U14" s="230"/>
      <c r="V14" s="230"/>
      <c r="W14" s="230"/>
      <c r="X14" s="230"/>
      <c r="Y14" s="230"/>
      <c r="Z14" s="230"/>
      <c r="AC14" s="215" t="s">
        <v>1048</v>
      </c>
      <c r="AT14" s="215" t="s">
        <v>1046</v>
      </c>
    </row>
    <row r="15" spans="1:56" ht="15" x14ac:dyDescent="0.25">
      <c r="B15" s="220" t="s">
        <v>1080</v>
      </c>
      <c r="O15" s="303" t="s">
        <v>1079</v>
      </c>
      <c r="AC15" s="220" t="s">
        <v>1081</v>
      </c>
      <c r="AQ15" s="134" t="s">
        <v>50</v>
      </c>
      <c r="AW15" s="339" t="s">
        <v>111</v>
      </c>
      <c r="AX15" s="212" t="s">
        <v>113</v>
      </c>
    </row>
    <row r="16" spans="1:56" ht="60" x14ac:dyDescent="0.25">
      <c r="B16" s="222" t="s">
        <v>877</v>
      </c>
      <c r="C16" s="222" t="s">
        <v>869</v>
      </c>
      <c r="D16" s="222" t="s">
        <v>868</v>
      </c>
      <c r="E16" s="221" t="s">
        <v>886</v>
      </c>
      <c r="F16" s="221" t="s">
        <v>885</v>
      </c>
      <c r="G16" s="221" t="s">
        <v>884</v>
      </c>
      <c r="H16" s="221" t="s">
        <v>883</v>
      </c>
      <c r="I16" s="221" t="s">
        <v>882</v>
      </c>
      <c r="J16" s="257" t="s">
        <v>900</v>
      </c>
      <c r="K16" s="221" t="s">
        <v>881</v>
      </c>
      <c r="L16" s="221" t="s">
        <v>899</v>
      </c>
      <c r="M16" s="221" t="s">
        <v>880</v>
      </c>
      <c r="O16" s="222" t="s">
        <v>877</v>
      </c>
      <c r="P16" s="222" t="s">
        <v>869</v>
      </c>
      <c r="Q16" s="222" t="s">
        <v>868</v>
      </c>
      <c r="R16" s="221" t="s">
        <v>886</v>
      </c>
      <c r="S16" s="221" t="s">
        <v>885</v>
      </c>
      <c r="T16" s="221" t="s">
        <v>884</v>
      </c>
      <c r="U16" s="221" t="s">
        <v>883</v>
      </c>
      <c r="V16" s="221" t="s">
        <v>882</v>
      </c>
      <c r="W16" s="221" t="s">
        <v>900</v>
      </c>
      <c r="X16" s="221" t="s">
        <v>881</v>
      </c>
      <c r="Y16" s="221" t="s">
        <v>899</v>
      </c>
      <c r="Z16" s="221" t="s">
        <v>880</v>
      </c>
      <c r="AC16" s="222" t="s">
        <v>877</v>
      </c>
      <c r="AD16" s="222" t="s">
        <v>869</v>
      </c>
      <c r="AE16" s="222" t="s">
        <v>868</v>
      </c>
      <c r="AF16" s="222" t="s">
        <v>2</v>
      </c>
      <c r="AG16" s="221" t="s">
        <v>886</v>
      </c>
      <c r="AH16" s="221" t="s">
        <v>885</v>
      </c>
      <c r="AI16" s="221" t="s">
        <v>884</v>
      </c>
      <c r="AJ16" s="221" t="s">
        <v>883</v>
      </c>
      <c r="AK16" s="221" t="s">
        <v>882</v>
      </c>
      <c r="AL16" s="221" t="s">
        <v>900</v>
      </c>
      <c r="AM16" s="221" t="s">
        <v>881</v>
      </c>
      <c r="AN16" s="221" t="s">
        <v>899</v>
      </c>
      <c r="AO16" s="221" t="s">
        <v>880</v>
      </c>
      <c r="AP16" s="221" t="s">
        <v>898</v>
      </c>
      <c r="AQ16" s="221" t="s">
        <v>897</v>
      </c>
      <c r="AT16" s="222" t="s">
        <v>877</v>
      </c>
      <c r="AU16" s="222" t="s">
        <v>869</v>
      </c>
      <c r="AV16" s="222" t="s">
        <v>868</v>
      </c>
      <c r="AW16" s="340" t="s">
        <v>896</v>
      </c>
      <c r="AX16" s="221" t="s">
        <v>895</v>
      </c>
      <c r="AY16" s="222" t="s">
        <v>894</v>
      </c>
      <c r="AZ16" s="221" t="s">
        <v>893</v>
      </c>
      <c r="BA16" s="221" t="s">
        <v>892</v>
      </c>
      <c r="BB16" s="221" t="s">
        <v>891</v>
      </c>
      <c r="BC16" s="221" t="s">
        <v>890</v>
      </c>
    </row>
    <row r="17" spans="2:55" ht="15" x14ac:dyDescent="0.25">
      <c r="B17" s="212" t="s">
        <v>876</v>
      </c>
      <c r="C17" s="212" t="s">
        <v>706</v>
      </c>
      <c r="D17" s="212" t="str">
        <f>INDEX(MRFs[MRF_Name],MATCH(NewMRFEquipCounts[[#This Row],[MRF_ID]],MRFs[MRF_ID],0))</f>
        <v>1 MRF for SS (Salem)</v>
      </c>
      <c r="E17" s="33">
        <v>0</v>
      </c>
      <c r="F17" s="33">
        <v>0</v>
      </c>
      <c r="G17" s="33">
        <v>0</v>
      </c>
      <c r="H17" s="33">
        <v>0</v>
      </c>
      <c r="I17" s="33">
        <v>0</v>
      </c>
      <c r="J17" s="33">
        <v>0</v>
      </c>
      <c r="K17" s="33">
        <v>0</v>
      </c>
      <c r="L17" s="33">
        <v>0</v>
      </c>
      <c r="M17" s="33">
        <v>0</v>
      </c>
      <c r="O17" s="212" t="s">
        <v>876</v>
      </c>
      <c r="P17" s="212" t="s">
        <v>706</v>
      </c>
      <c r="Q17" s="212" t="str">
        <f>INDEX(MRFs[MRF_Name],MATCH(NewMRFEquipUnitCost[[#This Row],[MRF_ID]],MRFs[MRF_ID],0))</f>
        <v>1 MRF for SS (Salem)</v>
      </c>
      <c r="R17" s="216"/>
      <c r="S17" s="216"/>
      <c r="T17" s="216"/>
      <c r="U17" s="216"/>
      <c r="V17" s="216"/>
      <c r="W17" s="216"/>
      <c r="X17" s="216"/>
      <c r="Y17" s="216"/>
      <c r="Z17" s="216"/>
      <c r="AC17" s="212" t="s">
        <v>876</v>
      </c>
      <c r="AD17" s="212" t="s">
        <v>706</v>
      </c>
      <c r="AE17" s="212" t="str">
        <f>INDEX(MRFs[MRF_Name],MATCH(NewMRFEquipTotalCost[[#This Row],[MRF_ID]],MRFs[MRF_ID],0))</f>
        <v>1 MRF for SS (Salem)</v>
      </c>
      <c r="AF17" s="212" t="s">
        <v>879</v>
      </c>
      <c r="AG17"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17"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17"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0</v>
      </c>
      <c r="AJ17"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17"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17"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17"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17"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17"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0</v>
      </c>
      <c r="AP17" s="226">
        <f>SUM(NewMRFEquipTotalCost[[#This Row],[Bag_Breakers]:[Quality AI Vision System]])</f>
        <v>0</v>
      </c>
      <c r="AQ17" s="226">
        <f>PMT(MRF_CapEquip!$C$10,10,-NewMRFEquipTotalCost[[#This Row],[Additional_Capital_Cost_2025]])</f>
        <v>0</v>
      </c>
      <c r="AT17" s="212" t="s">
        <v>876</v>
      </c>
      <c r="AU17" s="212" t="s">
        <v>706</v>
      </c>
      <c r="AV17" s="212" t="str">
        <f>INDEX(MRFs[MRF_Name],MATCH(MRF_CapitalCost[[#This Row],[MRF_ID]],MRFs[MRF_ID],0))</f>
        <v>1 MRF for SS (Salem)</v>
      </c>
      <c r="AW17" s="216">
        <f t="shared" ref="AW17:AW31" si="0">$C$11</f>
        <v>5000000</v>
      </c>
      <c r="AX17" s="131">
        <f t="shared" ref="AX17:AX31" si="1">$C$12</f>
        <v>0.6</v>
      </c>
      <c r="AY17" s="225">
        <f>SUMIFS(MRF_Shifts[MRF_Count],MRF_Shifts[Scenario_ID],MRF_CapitalCost[[#This Row],[Scenario_ID]],MRF_Shifts[MRF_ID],MRF_CapitalCost[[#This Row],[MRF_ID]])</f>
        <v>1</v>
      </c>
      <c r="AZ17" s="224">
        <f>MRF_CapitalCost[[#This Row],[MRF_Count]]*PMT(MRF_CapEquip!$C$10,10,-((1-MRF_CapitalCost[[#This Row],[Pct_BasePaidOff]])*MRF_CapitalCost[[#This Row],[BaseCapitalCost_PerMRF]]))</f>
        <v>278209.3801113356</v>
      </c>
      <c r="BA17" s="224">
        <f>SUMIFS(NewMRFEquipTotalCost[Additional_CapitalCost_Annualized_2025],NewMRFEquipTotalCost[Scenario_ID],MRF_CapitalCost[[#This Row],[Scenario_ID]],NewMRFEquipTotalCost[MRF_ID],MRF_CapitalCost[[#This Row],[MRF_ID]])</f>
        <v>0</v>
      </c>
      <c r="BB17" s="102">
        <f>MRF_CapitalCost[[#This Row],[Remaining_BaseCapital_Annualized]]+MRF_CapitalCost[[#This Row],[Additional_CapitalCost_Annualized]]</f>
        <v>278209.3801113356</v>
      </c>
      <c r="BC17"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2.3266102670626427</v>
      </c>
    </row>
    <row r="18" spans="2:55" ht="15" x14ac:dyDescent="0.25">
      <c r="B18" s="212" t="s">
        <v>876</v>
      </c>
      <c r="C18" s="212" t="s">
        <v>712</v>
      </c>
      <c r="D18" s="212" t="str">
        <f>INDEX(MRFs[MRF_Name],MATCH(NewMRFEquipCounts[[#This Row],[MRF_ID]],MRFs[MRF_ID],0))</f>
        <v>5 MRFs for SS with fiber upgrades (Portland)</v>
      </c>
      <c r="E18" s="33">
        <v>0</v>
      </c>
      <c r="F18" s="33">
        <v>0</v>
      </c>
      <c r="G18" s="33">
        <v>0</v>
      </c>
      <c r="H18" s="33">
        <v>0</v>
      </c>
      <c r="I18" s="33">
        <v>0</v>
      </c>
      <c r="J18" s="33">
        <v>0</v>
      </c>
      <c r="K18" s="33">
        <v>0</v>
      </c>
      <c r="L18" s="33">
        <v>0</v>
      </c>
      <c r="M18" s="33">
        <v>0</v>
      </c>
      <c r="O18" s="212" t="s">
        <v>876</v>
      </c>
      <c r="P18" s="212" t="s">
        <v>712</v>
      </c>
      <c r="Q18" s="212" t="str">
        <f>INDEX(MRFs[MRF_Name],MATCH(NewMRFEquipUnitCost[[#This Row],[MRF_ID]],MRFs[MRF_ID],0))</f>
        <v>5 MRFs for SS with fiber upgrades (Portland)</v>
      </c>
      <c r="R18" s="216"/>
      <c r="S18" s="216"/>
      <c r="T18" s="216"/>
      <c r="U18" s="216"/>
      <c r="V18" s="216"/>
      <c r="W18" s="216"/>
      <c r="X18" s="216"/>
      <c r="Y18" s="216"/>
      <c r="Z18" s="216"/>
      <c r="AC18" s="212" t="s">
        <v>876</v>
      </c>
      <c r="AD18" s="212" t="s">
        <v>712</v>
      </c>
      <c r="AE18" s="212" t="str">
        <f>INDEX(MRFs[MRF_Name],MATCH(NewMRFEquipTotalCost[[#This Row],[MRF_ID]],MRFs[MRF_ID],0))</f>
        <v>5 MRFs for SS with fiber upgrades (Portland)</v>
      </c>
      <c r="AF18" s="212" t="s">
        <v>889</v>
      </c>
      <c r="AG18"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18"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18"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0</v>
      </c>
      <c r="AJ18"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18"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18"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18"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18"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18"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0</v>
      </c>
      <c r="AP18" s="226">
        <f>SUM(NewMRFEquipTotalCost[[#This Row],[Bag_Breakers]:[Quality AI Vision System]])</f>
        <v>0</v>
      </c>
      <c r="AQ18" s="226">
        <f>PMT(MRF_CapEquip!$C$10,10,-NewMRFEquipTotalCost[[#This Row],[Additional_Capital_Cost_2025]])</f>
        <v>0</v>
      </c>
      <c r="AT18" s="212" t="s">
        <v>876</v>
      </c>
      <c r="AU18" s="212" t="s">
        <v>712</v>
      </c>
      <c r="AV18" s="212" t="str">
        <f>INDEX(MRFs[MRF_Name],MATCH(MRF_CapitalCost[[#This Row],[MRF_ID]],MRFs[MRF_ID],0))</f>
        <v>5 MRFs for SS with fiber upgrades (Portland)</v>
      </c>
      <c r="AW18" s="216">
        <f t="shared" si="0"/>
        <v>5000000</v>
      </c>
      <c r="AX18" s="131">
        <f t="shared" si="1"/>
        <v>0.6</v>
      </c>
      <c r="AY18" s="225">
        <f>SUMIFS(MRF_Shifts[MRF_Count],MRF_Shifts[Scenario_ID],MRF_CapitalCost[[#This Row],[Scenario_ID]],MRF_Shifts[MRF_ID],MRF_CapitalCost[[#This Row],[MRF_ID]])</f>
        <v>5</v>
      </c>
      <c r="AZ18" s="224">
        <f>MRF_CapitalCost[[#This Row],[MRF_Count]]*PMT(MRF_CapEquip!$C$10,10,-((1-MRF_CapitalCost[[#This Row],[Pct_BasePaidOff]])*MRF_CapitalCost[[#This Row],[BaseCapitalCost_PerMRF]]))</f>
        <v>1391046.900556678</v>
      </c>
      <c r="BA18" s="224">
        <f>SUMIFS(NewMRFEquipTotalCost[Additional_CapitalCost_Annualized_2025],NewMRFEquipTotalCost[Scenario_ID],MRF_CapitalCost[[#This Row],[Scenario_ID]],NewMRFEquipTotalCost[MRF_ID],MRF_CapitalCost[[#This Row],[MRF_ID]])</f>
        <v>0</v>
      </c>
      <c r="BB18" s="102">
        <f>MRF_CapitalCost[[#This Row],[Remaining_BaseCapital_Annualized]]+MRF_CapitalCost[[#This Row],[Additional_CapitalCost_Annualized]]</f>
        <v>1391046.900556678</v>
      </c>
      <c r="BC18"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6.6412054239582456</v>
      </c>
    </row>
    <row r="19" spans="2:55" ht="15" x14ac:dyDescent="0.25">
      <c r="B19" s="212" t="s">
        <v>876</v>
      </c>
      <c r="C19" s="212" t="s">
        <v>719</v>
      </c>
      <c r="D19" s="212" t="str">
        <f>INDEX(MRFs[MRF_Name],MATCH(NewMRFEquipCounts[[#This Row],[MRF_ID]],MRFs[MRF_ID],0))</f>
        <v>1 MRF for SS with fiber and container upgrades (Portland)</v>
      </c>
      <c r="E19" s="33">
        <v>0</v>
      </c>
      <c r="F19" s="33">
        <v>0</v>
      </c>
      <c r="G19" s="33">
        <v>0</v>
      </c>
      <c r="H19" s="33">
        <v>0</v>
      </c>
      <c r="I19" s="33">
        <v>0</v>
      </c>
      <c r="J19" s="33">
        <v>0</v>
      </c>
      <c r="K19" s="33">
        <v>0</v>
      </c>
      <c r="L19" s="33">
        <v>0</v>
      </c>
      <c r="M19" s="33">
        <v>0</v>
      </c>
      <c r="O19" s="212" t="s">
        <v>876</v>
      </c>
      <c r="P19" s="212" t="s">
        <v>719</v>
      </c>
      <c r="Q19" s="212" t="str">
        <f>INDEX(MRFs[MRF_Name],MATCH(NewMRFEquipUnitCost[[#This Row],[MRF_ID]],MRFs[MRF_ID],0))</f>
        <v>1 MRF for SS with fiber and container upgrades (Portland)</v>
      </c>
      <c r="R19" s="216"/>
      <c r="S19" s="216"/>
      <c r="T19" s="216"/>
      <c r="U19" s="216"/>
      <c r="V19" s="216"/>
      <c r="W19" s="216"/>
      <c r="X19" s="216"/>
      <c r="Y19" s="216"/>
      <c r="Z19" s="216"/>
      <c r="AC19" s="212" t="s">
        <v>876</v>
      </c>
      <c r="AD19" s="212" t="s">
        <v>719</v>
      </c>
      <c r="AE19" s="212" t="str">
        <f>INDEX(MRFs[MRF_Name],MATCH(NewMRFEquipTotalCost[[#This Row],[MRF_ID]],MRFs[MRF_ID],0))</f>
        <v>1 MRF for SS with fiber and container upgrades (Portland)</v>
      </c>
      <c r="AF19" s="212" t="s">
        <v>888</v>
      </c>
      <c r="AG19"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19"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19"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0</v>
      </c>
      <c r="AJ19"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19"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19"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19"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19"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19"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0</v>
      </c>
      <c r="AP19" s="226">
        <f>SUM(NewMRFEquipTotalCost[[#This Row],[Bag_Breakers]:[Quality AI Vision System]])</f>
        <v>0</v>
      </c>
      <c r="AQ19" s="226">
        <f>PMT(MRF_CapEquip!$C$10,10,-NewMRFEquipTotalCost[[#This Row],[Additional_Capital_Cost_2025]])</f>
        <v>0</v>
      </c>
      <c r="AT19" s="212" t="s">
        <v>876</v>
      </c>
      <c r="AU19" s="212" t="s">
        <v>719</v>
      </c>
      <c r="AV19" s="212" t="str">
        <f>INDEX(MRFs[MRF_Name],MATCH(MRF_CapitalCost[[#This Row],[MRF_ID]],MRFs[MRF_ID],0))</f>
        <v>1 MRF for SS with fiber and container upgrades (Portland)</v>
      </c>
      <c r="AW19" s="216">
        <f t="shared" si="0"/>
        <v>5000000</v>
      </c>
      <c r="AX19" s="131">
        <f t="shared" si="1"/>
        <v>0.6</v>
      </c>
      <c r="AY19" s="225">
        <f>SUMIFS(MRF_Shifts[MRF_Count],MRF_Shifts[Scenario_ID],MRF_CapitalCost[[#This Row],[Scenario_ID]],MRF_Shifts[MRF_ID],MRF_CapitalCost[[#This Row],[MRF_ID]])</f>
        <v>1</v>
      </c>
      <c r="AZ19" s="224">
        <f>MRF_CapitalCost[[#This Row],[MRF_Count]]*PMT(MRF_CapEquip!$C$10,10,-((1-MRF_CapitalCost[[#This Row],[Pct_BasePaidOff]])*MRF_CapitalCost[[#This Row],[BaseCapitalCost_PerMRF]]))</f>
        <v>278209.3801113356</v>
      </c>
      <c r="BA19" s="224">
        <f>SUMIFS(NewMRFEquipTotalCost[Additional_CapitalCost_Annualized_2025],NewMRFEquipTotalCost[Scenario_ID],MRF_CapitalCost[[#This Row],[Scenario_ID]],NewMRFEquipTotalCost[MRF_ID],MRF_CapitalCost[[#This Row],[MRF_ID]])</f>
        <v>0</v>
      </c>
      <c r="BB19" s="102">
        <f>MRF_CapitalCost[[#This Row],[Remaining_BaseCapital_Annualized]]+MRF_CapitalCost[[#This Row],[Additional_CapitalCost_Annualized]]</f>
        <v>278209.3801113356</v>
      </c>
      <c r="BC19"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2.0868574467591272</v>
      </c>
    </row>
    <row r="20" spans="2:55" ht="15" x14ac:dyDescent="0.25">
      <c r="B20" s="212" t="s">
        <v>875</v>
      </c>
      <c r="C20" s="212" t="s">
        <v>706</v>
      </c>
      <c r="D20" s="212" t="str">
        <f>INDEX(MRFs[MRF_Name],MATCH(NewMRFEquipCounts[[#This Row],[MRF_ID]],MRFs[MRF_ID],0))</f>
        <v>1 MRF for SS (Salem)</v>
      </c>
      <c r="E20" s="33">
        <v>0</v>
      </c>
      <c r="F20" s="33">
        <v>0</v>
      </c>
      <c r="G20" s="33">
        <v>1</v>
      </c>
      <c r="H20" s="33">
        <v>0</v>
      </c>
      <c r="I20" s="33">
        <v>0</v>
      </c>
      <c r="J20" s="33">
        <v>0</v>
      </c>
      <c r="K20" s="33">
        <v>0</v>
      </c>
      <c r="L20" s="33">
        <v>0</v>
      </c>
      <c r="M20" s="33">
        <v>2</v>
      </c>
      <c r="O20" s="212" t="s">
        <v>875</v>
      </c>
      <c r="P20" s="212" t="s">
        <v>706</v>
      </c>
      <c r="Q20" s="212" t="str">
        <f>INDEX(MRFs[MRF_Name],MATCH(NewMRFEquipUnitCost[[#This Row],[MRF_ID]],MRFs[MRF_ID],0))</f>
        <v>1 MRF for SS (Salem)</v>
      </c>
      <c r="R20" s="216"/>
      <c r="S20" s="216"/>
      <c r="T20" s="216">
        <v>527700</v>
      </c>
      <c r="U20" s="216"/>
      <c r="V20" s="216"/>
      <c r="W20" s="216"/>
      <c r="X20" s="216"/>
      <c r="Y20" s="216"/>
      <c r="Z20" s="216">
        <v>106000</v>
      </c>
      <c r="AC20" s="212" t="s">
        <v>875</v>
      </c>
      <c r="AD20" s="212" t="s">
        <v>706</v>
      </c>
      <c r="AE20" s="212" t="str">
        <f>INDEX(MRFs[MRF_Name],MATCH(NewMRFEquipTotalCost[[#This Row],[MRF_ID]],MRFs[MRF_ID],0))</f>
        <v>1 MRF for SS (Salem)</v>
      </c>
      <c r="AF20" s="212" t="s">
        <v>878</v>
      </c>
      <c r="AG20"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0"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0"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v>
      </c>
      <c r="AJ20"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0"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0"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0"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0"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0"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0" s="226">
        <f>SUM(NewMRFEquipTotalCost[[#This Row],[Bag_Breakers]:[Quality AI Vision System]])</f>
        <v>739700</v>
      </c>
      <c r="AQ20" s="226">
        <f>PMT(MRF_CapEquip!$C$10,10,-NewMRFEquipTotalCost[[#This Row],[Additional_Capital_Cost_2025]])</f>
        <v>102895.73923417747</v>
      </c>
      <c r="AT20" s="212" t="s">
        <v>875</v>
      </c>
      <c r="AU20" s="212" t="s">
        <v>706</v>
      </c>
      <c r="AV20" s="212" t="str">
        <f>INDEX(MRFs[MRF_Name],MATCH(MRF_CapitalCost[[#This Row],[MRF_ID]],MRFs[MRF_ID],0))</f>
        <v>1 MRF for SS (Salem)</v>
      </c>
      <c r="AW20" s="216">
        <f t="shared" si="0"/>
        <v>5000000</v>
      </c>
      <c r="AX20" s="131">
        <f t="shared" si="1"/>
        <v>0.6</v>
      </c>
      <c r="AY20" s="225">
        <f>SUMIFS(MRF_Shifts[MRF_Count],MRF_Shifts[Scenario_ID],MRF_CapitalCost[[#This Row],[Scenario_ID]],MRF_Shifts[MRF_ID],MRF_CapitalCost[[#This Row],[MRF_ID]])</f>
        <v>1</v>
      </c>
      <c r="AZ20" s="224">
        <f>MRF_CapitalCost[[#This Row],[MRF_Count]]*PMT(MRF_CapEquip!$C$10,10,-((1-MRF_CapitalCost[[#This Row],[Pct_BasePaidOff]])*MRF_CapitalCost[[#This Row],[BaseCapitalCost_PerMRF]]))</f>
        <v>278209.3801113356</v>
      </c>
      <c r="BA20" s="224">
        <f>SUMIFS(NewMRFEquipTotalCost[Additional_CapitalCost_Annualized_2025],NewMRFEquipTotalCost[Scenario_ID],MRF_CapitalCost[[#This Row],[Scenario_ID]],NewMRFEquipTotalCost[MRF_ID],MRF_CapitalCost[[#This Row],[MRF_ID]])</f>
        <v>102895.73923417747</v>
      </c>
      <c r="BB20" s="102">
        <f>MRF_CapitalCost[[#This Row],[Remaining_BaseCapital_Annualized]]+MRF_CapitalCost[[#This Row],[Additional_CapitalCost_Annualized]]</f>
        <v>381105.11934551306</v>
      </c>
      <c r="BC20"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3.4538955866960848</v>
      </c>
    </row>
    <row r="21" spans="2:55" ht="15" x14ac:dyDescent="0.25">
      <c r="B21" s="212" t="s">
        <v>875</v>
      </c>
      <c r="C21" s="212" t="s">
        <v>712</v>
      </c>
      <c r="D21" s="212" t="str">
        <f>INDEX(MRFs[MRF_Name],MATCH(NewMRFEquipCounts[[#This Row],[MRF_ID]],MRFs[MRF_ID],0))</f>
        <v>5 MRFs for SS with fiber upgrades (Portland)</v>
      </c>
      <c r="E21" s="33">
        <v>0</v>
      </c>
      <c r="F21" s="33">
        <v>0</v>
      </c>
      <c r="G21" s="33">
        <v>10</v>
      </c>
      <c r="H21" s="33">
        <v>0</v>
      </c>
      <c r="I21" s="33">
        <v>10</v>
      </c>
      <c r="J21" s="33">
        <v>0</v>
      </c>
      <c r="K21" s="33">
        <v>3</v>
      </c>
      <c r="L21" s="33">
        <v>0</v>
      </c>
      <c r="M21" s="33">
        <v>10</v>
      </c>
      <c r="O21" s="212" t="s">
        <v>875</v>
      </c>
      <c r="P21" s="212" t="s">
        <v>712</v>
      </c>
      <c r="Q21" s="212" t="str">
        <f>INDEX(MRFs[MRF_Name],MATCH(NewMRFEquipUnitCost[[#This Row],[MRF_ID]],MRFs[MRF_ID],0))</f>
        <v>5 MRFs for SS with fiber upgrades (Portland)</v>
      </c>
      <c r="R21" s="216"/>
      <c r="S21" s="216"/>
      <c r="T21" s="216">
        <v>527700</v>
      </c>
      <c r="U21" s="216"/>
      <c r="V21" s="216">
        <v>1400000</v>
      </c>
      <c r="W21" s="216"/>
      <c r="X21" s="216">
        <v>407600</v>
      </c>
      <c r="Y21" s="216"/>
      <c r="Z21" s="216">
        <v>106000</v>
      </c>
      <c r="AC21" s="212" t="s">
        <v>875</v>
      </c>
      <c r="AD21" s="212" t="s">
        <v>712</v>
      </c>
      <c r="AE21" s="212" t="str">
        <f>INDEX(MRFs[MRF_Name],MATCH(NewMRFEquipTotalCost[[#This Row],[MRF_ID]],MRFs[MRF_ID],0))</f>
        <v>5 MRFs for SS with fiber upgrades (Portland)</v>
      </c>
      <c r="AF21" s="212" t="s">
        <v>889</v>
      </c>
      <c r="AG21"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1"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1"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5277000</v>
      </c>
      <c r="AJ21"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1"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14000000</v>
      </c>
      <c r="AL21"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1"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1222800</v>
      </c>
      <c r="AN21"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1"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1060000</v>
      </c>
      <c r="AP21" s="226">
        <f>SUM(NewMRFEquipTotalCost[[#This Row],[Bag_Breakers]:[Quality AI Vision System]])</f>
        <v>21559800</v>
      </c>
      <c r="AQ21" s="226">
        <f>PMT(MRF_CapEquip!$C$10,10,-NewMRFEquipTotalCost[[#This Row],[Additional_Capital_Cost_2025]])</f>
        <v>2999069.2966621867</v>
      </c>
      <c r="AT21" s="212" t="s">
        <v>875</v>
      </c>
      <c r="AU21" s="212" t="s">
        <v>712</v>
      </c>
      <c r="AV21" s="212" t="str">
        <f>INDEX(MRFs[MRF_Name],MATCH(MRF_CapitalCost[[#This Row],[MRF_ID]],MRFs[MRF_ID],0))</f>
        <v>5 MRFs for SS with fiber upgrades (Portland)</v>
      </c>
      <c r="AW21" s="216">
        <f t="shared" si="0"/>
        <v>5000000</v>
      </c>
      <c r="AX21" s="131">
        <f t="shared" si="1"/>
        <v>0.6</v>
      </c>
      <c r="AY21" s="225">
        <f>SUMIFS(MRF_Shifts[MRF_Count],MRF_Shifts[Scenario_ID],MRF_CapitalCost[[#This Row],[Scenario_ID]],MRF_Shifts[MRF_ID],MRF_CapitalCost[[#This Row],[MRF_ID]])</f>
        <v>5</v>
      </c>
      <c r="AZ21" s="224">
        <f>MRF_CapitalCost[[#This Row],[MRF_Count]]*PMT(MRF_CapEquip!$C$10,10,-((1-MRF_CapitalCost[[#This Row],[Pct_BasePaidOff]])*MRF_CapitalCost[[#This Row],[BaseCapitalCost_PerMRF]]))</f>
        <v>1391046.900556678</v>
      </c>
      <c r="BA21" s="224">
        <f>SUMIFS(NewMRFEquipTotalCost[Additional_CapitalCost_Annualized_2025],NewMRFEquipTotalCost[Scenario_ID],MRF_CapitalCost[[#This Row],[Scenario_ID]],NewMRFEquipTotalCost[MRF_ID],MRF_CapitalCost[[#This Row],[MRF_ID]])</f>
        <v>2999069.2966621867</v>
      </c>
      <c r="BB21" s="102">
        <f>MRF_CapitalCost[[#This Row],[Remaining_BaseCapital_Annualized]]+MRF_CapitalCost[[#This Row],[Additional_CapitalCost_Annualized]]</f>
        <v>4390116.1972188652</v>
      </c>
      <c r="BC21"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22.527240008164146</v>
      </c>
    </row>
    <row r="22" spans="2:55" ht="15" x14ac:dyDescent="0.25">
      <c r="B22" s="212" t="s">
        <v>875</v>
      </c>
      <c r="C22" s="212" t="s">
        <v>719</v>
      </c>
      <c r="D22" s="212" t="str">
        <f>INDEX(MRFs[MRF_Name],MATCH(NewMRFEquipCounts[[#This Row],[MRF_ID]],MRFs[MRF_ID],0))</f>
        <v>1 MRF for SS with fiber and container upgrades (Portland)</v>
      </c>
      <c r="E22" s="33">
        <v>0</v>
      </c>
      <c r="F22" s="33">
        <v>1</v>
      </c>
      <c r="G22" s="33">
        <v>3</v>
      </c>
      <c r="H22" s="33">
        <v>0</v>
      </c>
      <c r="I22" s="33">
        <v>0</v>
      </c>
      <c r="J22" s="33">
        <v>6</v>
      </c>
      <c r="K22" s="33">
        <v>0</v>
      </c>
      <c r="L22" s="33">
        <v>0</v>
      </c>
      <c r="M22" s="33">
        <v>2</v>
      </c>
      <c r="O22" s="212" t="s">
        <v>875</v>
      </c>
      <c r="P22" s="212" t="s">
        <v>719</v>
      </c>
      <c r="Q22" s="212" t="str">
        <f>INDEX(MRFs[MRF_Name],MATCH(NewMRFEquipUnitCost[[#This Row],[MRF_ID]],MRFs[MRF_ID],0))</f>
        <v>1 MRF for SS with fiber and container upgrades (Portland)</v>
      </c>
      <c r="R22" s="216"/>
      <c r="S22" s="216">
        <v>627600</v>
      </c>
      <c r="T22" s="216">
        <v>527700</v>
      </c>
      <c r="U22" s="216"/>
      <c r="V22" s="216"/>
      <c r="W22" s="216">
        <v>158900</v>
      </c>
      <c r="X22" s="216"/>
      <c r="Y22" s="216"/>
      <c r="Z22" s="216">
        <v>106000</v>
      </c>
      <c r="AC22" s="212" t="s">
        <v>875</v>
      </c>
      <c r="AD22" s="212" t="s">
        <v>719</v>
      </c>
      <c r="AE22" s="212" t="str">
        <f>INDEX(MRFs[MRF_Name],MATCH(NewMRFEquipTotalCost[[#This Row],[MRF_ID]],MRFs[MRF_ID],0))</f>
        <v>1 MRF for SS with fiber and container upgrades (Portland)</v>
      </c>
      <c r="AF22" s="212" t="s">
        <v>888</v>
      </c>
      <c r="AG22"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2"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627600</v>
      </c>
      <c r="AI22"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1583100</v>
      </c>
      <c r="AJ22"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2"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2"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953400</v>
      </c>
      <c r="AM22"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2"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2"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2" s="226">
        <f>SUM(NewMRFEquipTotalCost[[#This Row],[Bag_Breakers]:[Quality AI Vision System]])</f>
        <v>3376100</v>
      </c>
      <c r="AQ22" s="226">
        <f>PMT(MRF_CapEquip!$C$10,10,-NewMRFEquipTotalCost[[#This Row],[Additional_Capital_Cost_2025]])</f>
        <v>469631.34409694001</v>
      </c>
      <c r="AT22" s="212" t="s">
        <v>875</v>
      </c>
      <c r="AU22" s="212" t="s">
        <v>719</v>
      </c>
      <c r="AV22" s="212" t="str">
        <f>INDEX(MRFs[MRF_Name],MATCH(MRF_CapitalCost[[#This Row],[MRF_ID]],MRFs[MRF_ID],0))</f>
        <v>1 MRF for SS with fiber and container upgrades (Portland)</v>
      </c>
      <c r="AW22" s="216">
        <f t="shared" si="0"/>
        <v>5000000</v>
      </c>
      <c r="AX22" s="131">
        <f t="shared" si="1"/>
        <v>0.6</v>
      </c>
      <c r="AY22" s="225">
        <f>SUMIFS(MRF_Shifts[MRF_Count],MRF_Shifts[Scenario_ID],MRF_CapitalCost[[#This Row],[Scenario_ID]],MRF_Shifts[MRF_ID],MRF_CapitalCost[[#This Row],[MRF_ID]])</f>
        <v>1</v>
      </c>
      <c r="AZ22" s="224">
        <f>MRF_CapitalCost[[#This Row],[MRF_Count]]*PMT(MRF_CapEquip!$C$10,10,-((1-MRF_CapitalCost[[#This Row],[Pct_BasePaidOff]])*MRF_CapitalCost[[#This Row],[BaseCapitalCost_PerMRF]]))</f>
        <v>278209.3801113356</v>
      </c>
      <c r="BA22" s="224">
        <f>SUMIFS(NewMRFEquipTotalCost[Additional_CapitalCost_Annualized_2025],NewMRFEquipTotalCost[Scenario_ID],MRF_CapitalCost[[#This Row],[Scenario_ID]],NewMRFEquipTotalCost[MRF_ID],MRF_CapitalCost[[#This Row],[MRF_ID]])</f>
        <v>469631.34409694001</v>
      </c>
      <c r="BB22" s="102">
        <f>MRF_CapitalCost[[#This Row],[Remaining_BaseCapital_Annualized]]+MRF_CapitalCost[[#This Row],[Additional_CapitalCost_Annualized]]</f>
        <v>747840.72420827555</v>
      </c>
      <c r="BC22"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6.0455801641392029</v>
      </c>
    </row>
    <row r="23" spans="2:55" ht="15" x14ac:dyDescent="0.25">
      <c r="B23" s="212" t="s">
        <v>874</v>
      </c>
      <c r="C23" s="212" t="s">
        <v>706</v>
      </c>
      <c r="D23" s="212" t="str">
        <f>INDEX(MRFs[MRF_Name],MATCH(NewMRFEquipCounts[[#This Row],[MRF_ID]],MRFs[MRF_ID],0))</f>
        <v>1 MRF for SS (Salem)</v>
      </c>
      <c r="E23" s="33">
        <v>0</v>
      </c>
      <c r="F23" s="33">
        <v>0</v>
      </c>
      <c r="G23" s="33">
        <v>1</v>
      </c>
      <c r="H23" s="33">
        <v>0</v>
      </c>
      <c r="I23" s="33">
        <v>0</v>
      </c>
      <c r="J23" s="33">
        <v>0</v>
      </c>
      <c r="K23" s="33">
        <v>0</v>
      </c>
      <c r="L23" s="33">
        <v>0</v>
      </c>
      <c r="M23" s="33">
        <v>2</v>
      </c>
      <c r="O23" s="212" t="s">
        <v>874</v>
      </c>
      <c r="P23" s="212" t="s">
        <v>706</v>
      </c>
      <c r="Q23" s="212" t="str">
        <f>INDEX(MRFs[MRF_Name],MATCH(NewMRFEquipUnitCost[[#This Row],[MRF_ID]],MRFs[MRF_ID],0))</f>
        <v>1 MRF for SS (Salem)</v>
      </c>
      <c r="R23" s="216"/>
      <c r="S23" s="216"/>
      <c r="T23" s="216">
        <v>527700</v>
      </c>
      <c r="U23" s="216"/>
      <c r="V23" s="216"/>
      <c r="W23" s="216"/>
      <c r="X23" s="216"/>
      <c r="Y23" s="216"/>
      <c r="Z23" s="216">
        <v>106000</v>
      </c>
      <c r="AC23" s="212" t="s">
        <v>874</v>
      </c>
      <c r="AD23" s="212" t="s">
        <v>706</v>
      </c>
      <c r="AE23" s="212" t="str">
        <f>INDEX(MRFs[MRF_Name],MATCH(NewMRFEquipTotalCost[[#This Row],[MRF_ID]],MRFs[MRF_ID],0))</f>
        <v>1 MRF for SS (Salem)</v>
      </c>
      <c r="AF23" s="212" t="s">
        <v>878</v>
      </c>
      <c r="AG23"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3"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3"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v>
      </c>
      <c r="AJ23"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3"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3"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3"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3"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3"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3" s="226">
        <f>SUM(NewMRFEquipTotalCost[[#This Row],[Bag_Breakers]:[Quality AI Vision System]])</f>
        <v>739700</v>
      </c>
      <c r="AQ23" s="226">
        <f>PMT(MRF_CapEquip!$C$10,10,-NewMRFEquipTotalCost[[#This Row],[Additional_Capital_Cost_2025]])</f>
        <v>102895.73923417747</v>
      </c>
      <c r="AT23" s="212" t="s">
        <v>874</v>
      </c>
      <c r="AU23" s="212" t="s">
        <v>706</v>
      </c>
      <c r="AV23" s="212" t="str">
        <f>INDEX(MRFs[MRF_Name],MATCH(MRF_CapitalCost[[#This Row],[MRF_ID]],MRFs[MRF_ID],0))</f>
        <v>1 MRF for SS (Salem)</v>
      </c>
      <c r="AW23" s="216">
        <f t="shared" si="0"/>
        <v>5000000</v>
      </c>
      <c r="AX23" s="131">
        <f t="shared" si="1"/>
        <v>0.6</v>
      </c>
      <c r="AY23" s="225">
        <f>SUMIFS(MRF_Shifts[MRF_Count],MRF_Shifts[Scenario_ID],MRF_CapitalCost[[#This Row],[Scenario_ID]],MRF_Shifts[MRF_ID],MRF_CapitalCost[[#This Row],[MRF_ID]])</f>
        <v>1</v>
      </c>
      <c r="AZ23" s="224">
        <f>MRF_CapitalCost[[#This Row],[MRF_Count]]*PMT(MRF_CapEquip!$C$10,10,-((1-MRF_CapitalCost[[#This Row],[Pct_BasePaidOff]])*MRF_CapitalCost[[#This Row],[BaseCapitalCost_PerMRF]]))</f>
        <v>278209.3801113356</v>
      </c>
      <c r="BA23" s="224">
        <f>SUMIFS(NewMRFEquipTotalCost[Additional_CapitalCost_Annualized_2025],NewMRFEquipTotalCost[Scenario_ID],MRF_CapitalCost[[#This Row],[Scenario_ID]],NewMRFEquipTotalCost[MRF_ID],MRF_CapitalCost[[#This Row],[MRF_ID]])</f>
        <v>102895.73923417747</v>
      </c>
      <c r="BB23" s="102">
        <f>MRF_CapitalCost[[#This Row],[Remaining_BaseCapital_Annualized]]+MRF_CapitalCost[[#This Row],[Additional_CapitalCost_Annualized]]</f>
        <v>381105.11934551306</v>
      </c>
      <c r="BC23"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2.9483095187682462</v>
      </c>
    </row>
    <row r="24" spans="2:55" ht="15" x14ac:dyDescent="0.25">
      <c r="B24" s="212" t="s">
        <v>874</v>
      </c>
      <c r="C24" s="212" t="s">
        <v>712</v>
      </c>
      <c r="D24" s="212" t="str">
        <f>INDEX(MRFs[MRF_Name],MATCH(NewMRFEquipCounts[[#This Row],[MRF_ID]],MRFs[MRF_ID],0))</f>
        <v>5 MRFs for SS with fiber upgrades (Portland)</v>
      </c>
      <c r="E24" s="33">
        <v>0</v>
      </c>
      <c r="F24" s="33">
        <v>0</v>
      </c>
      <c r="G24" s="33">
        <v>10</v>
      </c>
      <c r="H24" s="33">
        <v>0</v>
      </c>
      <c r="I24" s="33">
        <v>10</v>
      </c>
      <c r="J24" s="33">
        <v>0</v>
      </c>
      <c r="K24" s="33">
        <v>3</v>
      </c>
      <c r="L24" s="33">
        <v>0</v>
      </c>
      <c r="M24" s="33">
        <v>10</v>
      </c>
      <c r="O24" s="212" t="s">
        <v>874</v>
      </c>
      <c r="P24" s="212" t="s">
        <v>712</v>
      </c>
      <c r="Q24" s="212" t="str">
        <f>INDEX(MRFs[MRF_Name],MATCH(NewMRFEquipUnitCost[[#This Row],[MRF_ID]],MRFs[MRF_ID],0))</f>
        <v>5 MRFs for SS with fiber upgrades (Portland)</v>
      </c>
      <c r="R24" s="216"/>
      <c r="S24" s="216"/>
      <c r="T24" s="216">
        <v>527700</v>
      </c>
      <c r="U24" s="216"/>
      <c r="V24" s="216">
        <v>1400000</v>
      </c>
      <c r="W24" s="216"/>
      <c r="X24" s="216">
        <v>407600</v>
      </c>
      <c r="Y24" s="216"/>
      <c r="Z24" s="216">
        <v>106000</v>
      </c>
      <c r="AC24" s="212" t="s">
        <v>874</v>
      </c>
      <c r="AD24" s="212" t="s">
        <v>712</v>
      </c>
      <c r="AE24" s="212" t="str">
        <f>INDEX(MRFs[MRF_Name],MATCH(NewMRFEquipTotalCost[[#This Row],[MRF_ID]],MRFs[MRF_ID],0))</f>
        <v>5 MRFs for SS with fiber upgrades (Portland)</v>
      </c>
      <c r="AF24" s="212" t="s">
        <v>889</v>
      </c>
      <c r="AG24"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4"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4"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5277000</v>
      </c>
      <c r="AJ24"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4"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14000000</v>
      </c>
      <c r="AL24"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4"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1222800</v>
      </c>
      <c r="AN24"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4"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1060000</v>
      </c>
      <c r="AP24" s="226">
        <f>SUM(NewMRFEquipTotalCost[[#This Row],[Bag_Breakers]:[Quality AI Vision System]])</f>
        <v>21559800</v>
      </c>
      <c r="AQ24" s="226">
        <f>PMT(MRF_CapEquip!$C$10,10,-NewMRFEquipTotalCost[[#This Row],[Additional_Capital_Cost_2025]])</f>
        <v>2999069.2966621867</v>
      </c>
      <c r="AT24" s="212" t="s">
        <v>874</v>
      </c>
      <c r="AU24" s="212" t="s">
        <v>712</v>
      </c>
      <c r="AV24" s="212" t="str">
        <f>INDEX(MRFs[MRF_Name],MATCH(MRF_CapitalCost[[#This Row],[MRF_ID]],MRFs[MRF_ID],0))</f>
        <v>5 MRFs for SS with fiber upgrades (Portland)</v>
      </c>
      <c r="AW24" s="216">
        <f t="shared" si="0"/>
        <v>5000000</v>
      </c>
      <c r="AX24" s="131">
        <f t="shared" si="1"/>
        <v>0.6</v>
      </c>
      <c r="AY24" s="225">
        <f>SUMIFS(MRF_Shifts[MRF_Count],MRF_Shifts[Scenario_ID],MRF_CapitalCost[[#This Row],[Scenario_ID]],MRF_Shifts[MRF_ID],MRF_CapitalCost[[#This Row],[MRF_ID]])</f>
        <v>5</v>
      </c>
      <c r="AZ24" s="224">
        <f>MRF_CapitalCost[[#This Row],[MRF_Count]]*PMT(MRF_CapEquip!$C$10,10,-((1-MRF_CapitalCost[[#This Row],[Pct_BasePaidOff]])*MRF_CapitalCost[[#This Row],[BaseCapitalCost_PerMRF]]))</f>
        <v>1391046.900556678</v>
      </c>
      <c r="BA24" s="224">
        <f>SUMIFS(NewMRFEquipTotalCost[Additional_CapitalCost_Annualized_2025],NewMRFEquipTotalCost[Scenario_ID],MRF_CapitalCost[[#This Row],[Scenario_ID]],NewMRFEquipTotalCost[MRF_ID],MRF_CapitalCost[[#This Row],[MRF_ID]])</f>
        <v>2999069.2966621867</v>
      </c>
      <c r="BB24" s="102">
        <f>MRF_CapitalCost[[#This Row],[Remaining_BaseCapital_Annualized]]+MRF_CapitalCost[[#This Row],[Additional_CapitalCost_Annualized]]</f>
        <v>4390116.1972188652</v>
      </c>
      <c r="BC24"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20.871552428361586</v>
      </c>
    </row>
    <row r="25" spans="2:55" ht="15" x14ac:dyDescent="0.25">
      <c r="B25" s="212" t="s">
        <v>874</v>
      </c>
      <c r="C25" s="212" t="s">
        <v>719</v>
      </c>
      <c r="D25" s="212" t="str">
        <f>INDEX(MRFs[MRF_Name],MATCH(NewMRFEquipCounts[[#This Row],[MRF_ID]],MRFs[MRF_ID],0))</f>
        <v>1 MRF for SS with fiber and container upgrades (Portland)</v>
      </c>
      <c r="E25" s="33">
        <v>0</v>
      </c>
      <c r="F25" s="33">
        <v>1</v>
      </c>
      <c r="G25" s="33">
        <v>3</v>
      </c>
      <c r="H25" s="33">
        <v>1</v>
      </c>
      <c r="I25" s="33">
        <v>0</v>
      </c>
      <c r="J25" s="33">
        <v>7</v>
      </c>
      <c r="K25" s="33">
        <v>0</v>
      </c>
      <c r="L25" s="33">
        <v>4</v>
      </c>
      <c r="M25" s="33">
        <v>2</v>
      </c>
      <c r="O25" s="212" t="s">
        <v>874</v>
      </c>
      <c r="P25" s="212" t="s">
        <v>719</v>
      </c>
      <c r="Q25" s="212" t="str">
        <f>INDEX(MRFs[MRF_Name],MATCH(NewMRFEquipUnitCost[[#This Row],[MRF_ID]],MRFs[MRF_ID],0))</f>
        <v>1 MRF for SS with fiber and container upgrades (Portland)</v>
      </c>
      <c r="R25" s="216"/>
      <c r="S25" s="216">
        <v>627600</v>
      </c>
      <c r="T25" s="216">
        <v>527700</v>
      </c>
      <c r="U25" s="216">
        <v>869000</v>
      </c>
      <c r="V25" s="216"/>
      <c r="W25" s="216">
        <v>158900</v>
      </c>
      <c r="X25" s="216"/>
      <c r="Y25" s="216">
        <v>407600</v>
      </c>
      <c r="Z25" s="216">
        <v>106000</v>
      </c>
      <c r="AC25" s="212" t="s">
        <v>874</v>
      </c>
      <c r="AD25" s="212" t="s">
        <v>719</v>
      </c>
      <c r="AE25" s="212" t="str">
        <f>INDEX(MRFs[MRF_Name],MATCH(NewMRFEquipTotalCost[[#This Row],[MRF_ID]],MRFs[MRF_ID],0))</f>
        <v>1 MRF for SS with fiber and container upgrades (Portland)</v>
      </c>
      <c r="AF25" s="212" t="s">
        <v>888</v>
      </c>
      <c r="AG25"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5"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627600</v>
      </c>
      <c r="AI25"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1583100</v>
      </c>
      <c r="AJ25"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869000</v>
      </c>
      <c r="AK25"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5"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1112300</v>
      </c>
      <c r="AM25"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5"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1630400</v>
      </c>
      <c r="AO25"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5" s="226">
        <f>SUM(NewMRFEquipTotalCost[[#This Row],[Bag_Breakers]:[Quality AI Vision System]])</f>
        <v>6034400</v>
      </c>
      <c r="AQ25" s="226">
        <f>PMT(MRF_CapEquip!$C$10,10,-NewMRFEquipTotalCost[[#This Row],[Additional_Capital_Cost_2025]])</f>
        <v>839413.34167192166</v>
      </c>
      <c r="AT25" s="212" t="s">
        <v>874</v>
      </c>
      <c r="AU25" s="212" t="s">
        <v>719</v>
      </c>
      <c r="AV25" s="212" t="str">
        <f>INDEX(MRFs[MRF_Name],MATCH(MRF_CapitalCost[[#This Row],[MRF_ID]],MRFs[MRF_ID],0))</f>
        <v>1 MRF for SS with fiber and container upgrades (Portland)</v>
      </c>
      <c r="AW25" s="216">
        <f t="shared" si="0"/>
        <v>5000000</v>
      </c>
      <c r="AX25" s="131">
        <f t="shared" si="1"/>
        <v>0.6</v>
      </c>
      <c r="AY25" s="225">
        <f>SUMIFS(MRF_Shifts[MRF_Count],MRF_Shifts[Scenario_ID],MRF_CapitalCost[[#This Row],[Scenario_ID]],MRF_Shifts[MRF_ID],MRF_CapitalCost[[#This Row],[MRF_ID]])</f>
        <v>1</v>
      </c>
      <c r="AZ25" s="224">
        <f>MRF_CapitalCost[[#This Row],[MRF_Count]]*PMT(MRF_CapEquip!$C$10,10,-((1-MRF_CapitalCost[[#This Row],[Pct_BasePaidOff]])*MRF_CapitalCost[[#This Row],[BaseCapitalCost_PerMRF]]))</f>
        <v>278209.3801113356</v>
      </c>
      <c r="BA25" s="224">
        <f>SUMIFS(NewMRFEquipTotalCost[Additional_CapitalCost_Annualized_2025],NewMRFEquipTotalCost[Scenario_ID],MRF_CapitalCost[[#This Row],[Scenario_ID]],NewMRFEquipTotalCost[MRF_ID],MRF_CapitalCost[[#This Row],[MRF_ID]])</f>
        <v>839413.34167192166</v>
      </c>
      <c r="BB25" s="102">
        <f>MRF_CapitalCost[[#This Row],[Remaining_BaseCapital_Annualized]]+MRF_CapitalCost[[#This Row],[Additional_CapitalCost_Annualized]]</f>
        <v>1117622.7217832573</v>
      </c>
      <c r="BC25"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8.14387858244522</v>
      </c>
    </row>
    <row r="26" spans="2:55" ht="15" x14ac:dyDescent="0.25">
      <c r="B26" s="212" t="s">
        <v>873</v>
      </c>
      <c r="C26" s="212" t="s">
        <v>706</v>
      </c>
      <c r="D26" s="212" t="str">
        <f>INDEX(MRFs[MRF_Name],MATCH(NewMRFEquipCounts[[#This Row],[MRF_ID]],MRFs[MRF_ID],0))</f>
        <v>1 MRF for SS (Salem)</v>
      </c>
      <c r="E26" s="33">
        <v>0</v>
      </c>
      <c r="F26" s="33">
        <v>0</v>
      </c>
      <c r="G26" s="33">
        <v>1</v>
      </c>
      <c r="H26" s="33">
        <v>0</v>
      </c>
      <c r="I26" s="33">
        <v>0</v>
      </c>
      <c r="J26" s="33">
        <v>0</v>
      </c>
      <c r="K26" s="33">
        <v>0</v>
      </c>
      <c r="L26" s="33">
        <v>0</v>
      </c>
      <c r="M26" s="33">
        <v>2</v>
      </c>
      <c r="O26" s="212" t="s">
        <v>873</v>
      </c>
      <c r="P26" s="212" t="s">
        <v>706</v>
      </c>
      <c r="Q26" s="212" t="str">
        <f>INDEX(MRFs[MRF_Name],MATCH(NewMRFEquipUnitCost[[#This Row],[MRF_ID]],MRFs[MRF_ID],0))</f>
        <v>1 MRF for SS (Salem)</v>
      </c>
      <c r="R26" s="216"/>
      <c r="S26" s="216"/>
      <c r="T26" s="216">
        <v>527700</v>
      </c>
      <c r="U26" s="216"/>
      <c r="V26" s="216"/>
      <c r="W26" s="216"/>
      <c r="X26" s="216"/>
      <c r="Y26" s="216"/>
      <c r="Z26" s="216">
        <v>106000</v>
      </c>
      <c r="AC26" s="212" t="s">
        <v>873</v>
      </c>
      <c r="AD26" s="212" t="s">
        <v>706</v>
      </c>
      <c r="AE26" s="212" t="str">
        <f>INDEX(MRFs[MRF_Name],MATCH(NewMRFEquipTotalCost[[#This Row],[MRF_ID]],MRFs[MRF_ID],0))</f>
        <v>1 MRF for SS (Salem)</v>
      </c>
      <c r="AF26" s="212" t="s">
        <v>878</v>
      </c>
      <c r="AG26"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6"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6"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v>
      </c>
      <c r="AJ26"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6"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6"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6"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6"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6"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6" s="226">
        <f>SUM(NewMRFEquipTotalCost[[#This Row],[Bag_Breakers]:[Quality AI Vision System]])</f>
        <v>739700</v>
      </c>
      <c r="AQ26" s="226">
        <f>PMT(MRF_CapEquip!$C$10,10,-NewMRFEquipTotalCost[[#This Row],[Additional_Capital_Cost_2025]])</f>
        <v>102895.73923417747</v>
      </c>
      <c r="AT26" s="212" t="s">
        <v>873</v>
      </c>
      <c r="AU26" s="212" t="s">
        <v>706</v>
      </c>
      <c r="AV26" s="212" t="str">
        <f>INDEX(MRFs[MRF_Name],MATCH(MRF_CapitalCost[[#This Row],[MRF_ID]],MRFs[MRF_ID],0))</f>
        <v>1 MRF for SS (Salem)</v>
      </c>
      <c r="AW26" s="216">
        <f t="shared" si="0"/>
        <v>5000000</v>
      </c>
      <c r="AX26" s="131">
        <f t="shared" si="1"/>
        <v>0.6</v>
      </c>
      <c r="AY26" s="225">
        <f>SUMIFS(MRF_Shifts[MRF_Count],MRF_Shifts[Scenario_ID],MRF_CapitalCost[[#This Row],[Scenario_ID]],MRF_Shifts[MRF_ID],MRF_CapitalCost[[#This Row],[MRF_ID]])</f>
        <v>1</v>
      </c>
      <c r="AZ26" s="224">
        <f>MRF_CapitalCost[[#This Row],[MRF_Count]]*PMT(MRF_CapEquip!$C$10,10,-((1-MRF_CapitalCost[[#This Row],[Pct_BasePaidOff]])*MRF_CapitalCost[[#This Row],[BaseCapitalCost_PerMRF]]))</f>
        <v>278209.3801113356</v>
      </c>
      <c r="BA26" s="224">
        <f>SUMIFS(NewMRFEquipTotalCost[Additional_CapitalCost_Annualized_2025],NewMRFEquipTotalCost[Scenario_ID],MRF_CapitalCost[[#This Row],[Scenario_ID]],NewMRFEquipTotalCost[MRF_ID],MRF_CapitalCost[[#This Row],[MRF_ID]])</f>
        <v>102895.73923417747</v>
      </c>
      <c r="BB26" s="102">
        <f>MRF_CapitalCost[[#This Row],[Remaining_BaseCapital_Annualized]]+MRF_CapitalCost[[#This Row],[Additional_CapitalCost_Annualized]]</f>
        <v>381105.11934551306</v>
      </c>
      <c r="BC26"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2.9483095187682467</v>
      </c>
    </row>
    <row r="27" spans="2:55" ht="15" x14ac:dyDescent="0.25">
      <c r="B27" s="212" t="s">
        <v>873</v>
      </c>
      <c r="C27" s="212" t="s">
        <v>712</v>
      </c>
      <c r="D27" s="212" t="str">
        <f>INDEX(MRFs[MRF_Name],MATCH(NewMRFEquipCounts[[#This Row],[MRF_ID]],MRFs[MRF_ID],0))</f>
        <v>5 MRFs for SS with fiber upgrades (Portland)</v>
      </c>
      <c r="E27" s="33">
        <v>0</v>
      </c>
      <c r="F27" s="33">
        <v>0</v>
      </c>
      <c r="G27" s="33">
        <v>10</v>
      </c>
      <c r="H27" s="33">
        <v>0</v>
      </c>
      <c r="I27" s="33">
        <v>10</v>
      </c>
      <c r="J27" s="33">
        <v>0</v>
      </c>
      <c r="K27" s="33">
        <v>4</v>
      </c>
      <c r="L27" s="33">
        <v>0</v>
      </c>
      <c r="M27" s="33">
        <v>10</v>
      </c>
      <c r="O27" s="212" t="s">
        <v>873</v>
      </c>
      <c r="P27" s="212" t="s">
        <v>712</v>
      </c>
      <c r="Q27" s="212" t="str">
        <f>INDEX(MRFs[MRF_Name],MATCH(NewMRFEquipUnitCost[[#This Row],[MRF_ID]],MRFs[MRF_ID],0))</f>
        <v>5 MRFs for SS with fiber upgrades (Portland)</v>
      </c>
      <c r="R27" s="216"/>
      <c r="S27" s="216"/>
      <c r="T27" s="216">
        <v>527700</v>
      </c>
      <c r="U27" s="216"/>
      <c r="V27" s="216">
        <v>1400000</v>
      </c>
      <c r="W27" s="216"/>
      <c r="X27" s="216">
        <v>407600</v>
      </c>
      <c r="Y27" s="216"/>
      <c r="Z27" s="216">
        <v>106000</v>
      </c>
      <c r="AC27" s="212" t="s">
        <v>873</v>
      </c>
      <c r="AD27" s="212" t="s">
        <v>712</v>
      </c>
      <c r="AE27" s="212" t="str">
        <f>INDEX(MRFs[MRF_Name],MATCH(NewMRFEquipTotalCost[[#This Row],[MRF_ID]],MRFs[MRF_ID],0))</f>
        <v>5 MRFs for SS with fiber upgrades (Portland)</v>
      </c>
      <c r="AF27" s="212" t="s">
        <v>889</v>
      </c>
      <c r="AG27"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7"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7"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5277000</v>
      </c>
      <c r="AJ27"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7"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14000000</v>
      </c>
      <c r="AL27"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7"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1630400</v>
      </c>
      <c r="AN27"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7"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1060000</v>
      </c>
      <c r="AP27" s="226">
        <f>SUM(NewMRFEquipTotalCost[[#This Row],[Bag_Breakers]:[Quality AI Vision System]])</f>
        <v>21967400</v>
      </c>
      <c r="AQ27" s="226">
        <f>PMT(MRF_CapEquip!$C$10,10,-NewMRFEquipTotalCost[[#This Row],[Additional_Capital_Cost_2025]])</f>
        <v>3055768.3683288763</v>
      </c>
      <c r="AT27" s="212" t="s">
        <v>873</v>
      </c>
      <c r="AU27" s="212" t="s">
        <v>712</v>
      </c>
      <c r="AV27" s="212" t="str">
        <f>INDEX(MRFs[MRF_Name],MATCH(MRF_CapitalCost[[#This Row],[MRF_ID]],MRFs[MRF_ID],0))</f>
        <v>5 MRFs for SS with fiber upgrades (Portland)</v>
      </c>
      <c r="AW27" s="216">
        <f t="shared" si="0"/>
        <v>5000000</v>
      </c>
      <c r="AX27" s="131">
        <f t="shared" si="1"/>
        <v>0.6</v>
      </c>
      <c r="AY27" s="225">
        <f>SUMIFS(MRF_Shifts[MRF_Count],MRF_Shifts[Scenario_ID],MRF_CapitalCost[[#This Row],[Scenario_ID]],MRF_Shifts[MRF_ID],MRF_CapitalCost[[#This Row],[MRF_ID]])</f>
        <v>5</v>
      </c>
      <c r="AZ27" s="224">
        <f>MRF_CapitalCost[[#This Row],[MRF_Count]]*PMT(MRF_CapEquip!$C$10,10,-((1-MRF_CapitalCost[[#This Row],[Pct_BasePaidOff]])*MRF_CapitalCost[[#This Row],[BaseCapitalCost_PerMRF]]))</f>
        <v>1391046.900556678</v>
      </c>
      <c r="BA27" s="224">
        <f>SUMIFS(NewMRFEquipTotalCost[Additional_CapitalCost_Annualized_2025],NewMRFEquipTotalCost[Scenario_ID],MRF_CapitalCost[[#This Row],[Scenario_ID]],NewMRFEquipTotalCost[MRF_ID],MRF_CapitalCost[[#This Row],[MRF_ID]])</f>
        <v>3055768.3683288763</v>
      </c>
      <c r="BB27" s="102">
        <f>MRF_CapitalCost[[#This Row],[Remaining_BaseCapital_Annualized]]+MRF_CapitalCost[[#This Row],[Additional_CapitalCost_Annualized]]</f>
        <v>4446815.2688855547</v>
      </c>
      <c r="BC27"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21.141111955665309</v>
      </c>
    </row>
    <row r="28" spans="2:55" ht="15" x14ac:dyDescent="0.25">
      <c r="B28" s="212" t="s">
        <v>873</v>
      </c>
      <c r="C28" s="212" t="s">
        <v>719</v>
      </c>
      <c r="D28" s="212" t="str">
        <f>INDEX(MRFs[MRF_Name],MATCH(NewMRFEquipCounts[[#This Row],[MRF_ID]],MRFs[MRF_ID],0))</f>
        <v>1 MRF for SS with fiber and container upgrades (Portland)</v>
      </c>
      <c r="E28" s="33">
        <v>0</v>
      </c>
      <c r="F28" s="33">
        <v>0</v>
      </c>
      <c r="G28" s="33">
        <v>3</v>
      </c>
      <c r="H28" s="33">
        <v>0</v>
      </c>
      <c r="I28" s="33">
        <v>0</v>
      </c>
      <c r="J28" s="33">
        <v>0</v>
      </c>
      <c r="K28" s="33">
        <v>1</v>
      </c>
      <c r="L28" s="33">
        <v>0</v>
      </c>
      <c r="M28" s="33">
        <v>2</v>
      </c>
      <c r="O28" s="212" t="s">
        <v>873</v>
      </c>
      <c r="P28" s="212" t="s">
        <v>719</v>
      </c>
      <c r="Q28" s="212" t="str">
        <f>INDEX(MRFs[MRF_Name],MATCH(NewMRFEquipUnitCost[[#This Row],[MRF_ID]],MRFs[MRF_ID],0))</f>
        <v>1 MRF for SS with fiber and container upgrades (Portland)</v>
      </c>
      <c r="R28" s="216"/>
      <c r="S28" s="216"/>
      <c r="T28" s="216">
        <v>527700</v>
      </c>
      <c r="U28" s="216"/>
      <c r="V28" s="216"/>
      <c r="W28" s="216"/>
      <c r="X28" s="216">
        <v>407600</v>
      </c>
      <c r="Y28" s="216"/>
      <c r="Z28" s="216">
        <v>106000</v>
      </c>
      <c r="AC28" s="212" t="s">
        <v>873</v>
      </c>
      <c r="AD28" s="212" t="s">
        <v>719</v>
      </c>
      <c r="AE28" s="212" t="str">
        <f>INDEX(MRFs[MRF_Name],MATCH(NewMRFEquipTotalCost[[#This Row],[MRF_ID]],MRFs[MRF_ID],0))</f>
        <v>1 MRF for SS with fiber and container upgrades (Portland)</v>
      </c>
      <c r="AF28" s="212" t="s">
        <v>888</v>
      </c>
      <c r="AG28"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8"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8"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1583100</v>
      </c>
      <c r="AJ28"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8"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28"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8"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407600</v>
      </c>
      <c r="AN28"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8"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28" s="226">
        <f>SUM(NewMRFEquipTotalCost[[#This Row],[Bag_Breakers]:[Quality AI Vision System]])</f>
        <v>2202700</v>
      </c>
      <c r="AQ28" s="226">
        <f>PMT(MRF_CapEquip!$C$10,10,-NewMRFEquipTotalCost[[#This Row],[Additional_Capital_Cost_2025]])</f>
        <v>306405.90078561945</v>
      </c>
      <c r="AT28" s="212" t="s">
        <v>873</v>
      </c>
      <c r="AU28" s="212" t="s">
        <v>719</v>
      </c>
      <c r="AV28" s="212" t="str">
        <f>INDEX(MRFs[MRF_Name],MATCH(MRF_CapitalCost[[#This Row],[MRF_ID]],MRFs[MRF_ID],0))</f>
        <v>1 MRF for SS with fiber and container upgrades (Portland)</v>
      </c>
      <c r="AW28" s="216">
        <f t="shared" si="0"/>
        <v>5000000</v>
      </c>
      <c r="AX28" s="131">
        <f t="shared" si="1"/>
        <v>0.6</v>
      </c>
      <c r="AY28" s="225">
        <f>SUMIFS(MRF_Shifts[MRF_Count],MRF_Shifts[Scenario_ID],MRF_CapitalCost[[#This Row],[Scenario_ID]],MRF_Shifts[MRF_ID],MRF_CapitalCost[[#This Row],[MRF_ID]])</f>
        <v>1</v>
      </c>
      <c r="AZ28" s="224">
        <f>MRF_CapitalCost[[#This Row],[MRF_Count]]*PMT(MRF_CapEquip!$C$10,10,-((1-MRF_CapitalCost[[#This Row],[Pct_BasePaidOff]])*MRF_CapitalCost[[#This Row],[BaseCapitalCost_PerMRF]]))</f>
        <v>278209.3801113356</v>
      </c>
      <c r="BA28" s="224">
        <f>SUMIFS(NewMRFEquipTotalCost[Additional_CapitalCost_Annualized_2025],NewMRFEquipTotalCost[Scenario_ID],MRF_CapitalCost[[#This Row],[Scenario_ID]],NewMRFEquipTotalCost[MRF_ID],MRF_CapitalCost[[#This Row],[MRF_ID]])</f>
        <v>306405.90078561945</v>
      </c>
      <c r="BB28" s="102">
        <f>MRF_CapitalCost[[#This Row],[Remaining_BaseCapital_Annualized]]+MRF_CapitalCost[[#This Row],[Additional_CapitalCost_Annualized]]</f>
        <v>584615.28089695505</v>
      </c>
      <c r="BC28"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4.2599669568906862</v>
      </c>
    </row>
    <row r="29" spans="2:55" ht="15" x14ac:dyDescent="0.25">
      <c r="B29" s="212" t="s">
        <v>870</v>
      </c>
      <c r="C29" s="212" t="s">
        <v>735</v>
      </c>
      <c r="D29" s="212" t="str">
        <f>INDEX(MRFs[MRF_Name],MATCH(NewMRFEquipCounts[[#This Row],[MRF_ID]],MRFs[MRF_ID],0))</f>
        <v>5 MRFs for DS fiber (Portland)</v>
      </c>
      <c r="E29" s="33">
        <v>0</v>
      </c>
      <c r="F29" s="33">
        <v>0</v>
      </c>
      <c r="G29" s="33">
        <v>10</v>
      </c>
      <c r="H29" s="33">
        <v>0</v>
      </c>
      <c r="I29" s="33">
        <v>10</v>
      </c>
      <c r="J29" s="33">
        <v>0</v>
      </c>
      <c r="K29" s="33">
        <v>0</v>
      </c>
      <c r="L29" s="33">
        <v>0</v>
      </c>
      <c r="M29" s="33">
        <v>5</v>
      </c>
      <c r="O29" s="212" t="s">
        <v>870</v>
      </c>
      <c r="P29" s="212" t="s">
        <v>735</v>
      </c>
      <c r="Q29" s="212" t="str">
        <f>INDEX(MRFs[MRF_Name],MATCH(NewMRFEquipUnitCost[[#This Row],[MRF_ID]],MRFs[MRF_ID],0))</f>
        <v>5 MRFs for DS fiber (Portland)</v>
      </c>
      <c r="R29" s="216"/>
      <c r="S29" s="216"/>
      <c r="T29" s="216">
        <v>527700</v>
      </c>
      <c r="U29" s="216"/>
      <c r="V29" s="216">
        <v>1400000</v>
      </c>
      <c r="W29" s="216"/>
      <c r="X29" s="216"/>
      <c r="Y29" s="216"/>
      <c r="Z29" s="216">
        <v>106000</v>
      </c>
      <c r="AC29" s="212" t="s">
        <v>870</v>
      </c>
      <c r="AD29" s="212" t="s">
        <v>735</v>
      </c>
      <c r="AE29" s="212" t="str">
        <f>INDEX(MRFs[MRF_Name],MATCH(NewMRFEquipTotalCost[[#This Row],[MRF_ID]],MRFs[MRF_ID],0))</f>
        <v>5 MRFs for DS fiber (Portland)</v>
      </c>
      <c r="AF29" s="212" t="s">
        <v>889</v>
      </c>
      <c r="AG29"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29"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29"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5277000</v>
      </c>
      <c r="AJ29"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29"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14000000</v>
      </c>
      <c r="AL29"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29"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29"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29"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530000</v>
      </c>
      <c r="AP29" s="226">
        <f>SUM(NewMRFEquipTotalCost[[#This Row],[Bag_Breakers]:[Quality AI Vision System]])</f>
        <v>19807000</v>
      </c>
      <c r="AQ29" s="226">
        <f>PMT(MRF_CapEquip!$C$10,10,-NewMRFEquipTotalCost[[#This Row],[Additional_Capital_Cost_2025]])</f>
        <v>2755246.5959326117</v>
      </c>
      <c r="AT29" s="212" t="s">
        <v>870</v>
      </c>
      <c r="AU29" s="212" t="s">
        <v>735</v>
      </c>
      <c r="AV29" s="212" t="str">
        <f>INDEX(MRFs[MRF_Name],MATCH(MRF_CapitalCost[[#This Row],[MRF_ID]],MRFs[MRF_ID],0))</f>
        <v>5 MRFs for DS fiber (Portland)</v>
      </c>
      <c r="AW29" s="216">
        <f t="shared" si="0"/>
        <v>5000000</v>
      </c>
      <c r="AX29" s="131">
        <f t="shared" si="1"/>
        <v>0.6</v>
      </c>
      <c r="AY29" s="225">
        <f>SUMIFS(MRF_Shifts[MRF_Count],MRF_Shifts[Scenario_ID],MRF_CapitalCost[[#This Row],[Scenario_ID]],MRF_Shifts[MRF_ID],MRF_CapitalCost[[#This Row],[MRF_ID]])</f>
        <v>5</v>
      </c>
      <c r="AZ29" s="224">
        <f>MRF_CapitalCost[[#This Row],[MRF_Count]]*PMT(MRF_CapEquip!$C$10,10,-((1-MRF_CapitalCost[[#This Row],[Pct_BasePaidOff]])*MRF_CapitalCost[[#This Row],[BaseCapitalCost_PerMRF]]))</f>
        <v>1391046.900556678</v>
      </c>
      <c r="BA29" s="224">
        <f>SUMIFS(NewMRFEquipTotalCost[Additional_CapitalCost_Annualized_2025],NewMRFEquipTotalCost[Scenario_ID],MRF_CapitalCost[[#This Row],[Scenario_ID]],NewMRFEquipTotalCost[MRF_ID],MRF_CapitalCost[[#This Row],[MRF_ID]])</f>
        <v>2755246.5959326117</v>
      </c>
      <c r="BB29" s="102">
        <f>MRF_CapitalCost[[#This Row],[Remaining_BaseCapital_Annualized]]+MRF_CapitalCost[[#This Row],[Additional_CapitalCost_Annualized]]</f>
        <v>4146293.4964892897</v>
      </c>
      <c r="BC29"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17.198066099743656</v>
      </c>
    </row>
    <row r="30" spans="2:55" ht="15" x14ac:dyDescent="0.25">
      <c r="B30" s="212" t="s">
        <v>870</v>
      </c>
      <c r="C30" s="212" t="s">
        <v>739</v>
      </c>
      <c r="D30" s="212" t="str">
        <f>INDEX(MRFs[MRF_Name],MATCH(NewMRFEquipCounts[[#This Row],[MRF_ID]],MRFs[MRF_ID],0))</f>
        <v>1 MRF for DS with fiber and container lines (Portland)</v>
      </c>
      <c r="E30" s="33">
        <v>0</v>
      </c>
      <c r="F30" s="33">
        <v>1</v>
      </c>
      <c r="G30" s="33">
        <v>3</v>
      </c>
      <c r="H30" s="33">
        <v>1</v>
      </c>
      <c r="I30" s="33">
        <v>0</v>
      </c>
      <c r="J30" s="33">
        <v>6</v>
      </c>
      <c r="K30" s="33">
        <v>0</v>
      </c>
      <c r="L30" s="33">
        <v>4</v>
      </c>
      <c r="M30" s="33">
        <v>2</v>
      </c>
      <c r="O30" s="212" t="s">
        <v>870</v>
      </c>
      <c r="P30" s="212" t="s">
        <v>739</v>
      </c>
      <c r="Q30" s="212" t="str">
        <f>INDEX(MRFs[MRF_Name],MATCH(NewMRFEquipUnitCost[[#This Row],[MRF_ID]],MRFs[MRF_ID],0))</f>
        <v>1 MRF for DS with fiber and container lines (Portland)</v>
      </c>
      <c r="R30" s="216">
        <v>194700</v>
      </c>
      <c r="S30" s="216">
        <v>719300</v>
      </c>
      <c r="T30" s="216">
        <v>527700</v>
      </c>
      <c r="U30" s="216">
        <v>869000</v>
      </c>
      <c r="V30" s="216"/>
      <c r="W30" s="216">
        <v>158900</v>
      </c>
      <c r="X30" s="216"/>
      <c r="Y30" s="216">
        <v>407600</v>
      </c>
      <c r="Z30" s="216">
        <v>106000</v>
      </c>
      <c r="AC30" s="212" t="s">
        <v>870</v>
      </c>
      <c r="AD30" s="212" t="s">
        <v>739</v>
      </c>
      <c r="AE30" s="212" t="str">
        <f>INDEX(MRFs[MRF_Name],MATCH(NewMRFEquipTotalCost[[#This Row],[MRF_ID]],MRFs[MRF_ID],0))</f>
        <v>1 MRF for DS with fiber and container lines (Portland)</v>
      </c>
      <c r="AF30" s="212" t="s">
        <v>888</v>
      </c>
      <c r="AG30"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30"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719300</v>
      </c>
      <c r="AI30"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1583100</v>
      </c>
      <c r="AJ30"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869000</v>
      </c>
      <c r="AK30"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30"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953400</v>
      </c>
      <c r="AM30"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30"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1630400</v>
      </c>
      <c r="AO30"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212000</v>
      </c>
      <c r="AP30" s="226">
        <f>SUM(NewMRFEquipTotalCost[[#This Row],[Bag_Breakers]:[Quality AI Vision System]])</f>
        <v>5967200</v>
      </c>
      <c r="AQ30" s="226">
        <f>PMT(MRF_CapEquip!$C$10,10,-NewMRFEquipTotalCost[[#This Row],[Additional_Capital_Cost_2025]])</f>
        <v>830065.50650018081</v>
      </c>
      <c r="AT30" s="212" t="s">
        <v>870</v>
      </c>
      <c r="AU30" s="212" t="s">
        <v>739</v>
      </c>
      <c r="AV30" s="212" t="str">
        <f>INDEX(MRFs[MRF_Name],MATCH(MRF_CapitalCost[[#This Row],[MRF_ID]],MRFs[MRF_ID],0))</f>
        <v>1 MRF for DS with fiber and container lines (Portland)</v>
      </c>
      <c r="AW30" s="216">
        <f t="shared" si="0"/>
        <v>5000000</v>
      </c>
      <c r="AX30" s="131">
        <f t="shared" si="1"/>
        <v>0.6</v>
      </c>
      <c r="AY30" s="225">
        <f>SUMIFS(MRF_Shifts[MRF_Count],MRF_Shifts[Scenario_ID],MRF_CapitalCost[[#This Row],[Scenario_ID]],MRF_Shifts[MRF_ID],MRF_CapitalCost[[#This Row],[MRF_ID]])</f>
        <v>1</v>
      </c>
      <c r="AZ30" s="224">
        <f>MRF_CapitalCost[[#This Row],[MRF_Count]]*PMT(MRF_CapEquip!$C$10,10,-((1-MRF_CapitalCost[[#This Row],[Pct_BasePaidOff]])*MRF_CapitalCost[[#This Row],[BaseCapitalCost_PerMRF]]))</f>
        <v>278209.3801113356</v>
      </c>
      <c r="BA30" s="224">
        <f>SUMIFS(NewMRFEquipTotalCost[Additional_CapitalCost_Annualized_2025],NewMRFEquipTotalCost[Scenario_ID],MRF_CapitalCost[[#This Row],[Scenario_ID]],NewMRFEquipTotalCost[MRF_ID],MRF_CapitalCost[[#This Row],[MRF_ID]])</f>
        <v>830065.50650018081</v>
      </c>
      <c r="BB30" s="102">
        <f>MRF_CapitalCost[[#This Row],[Remaining_BaseCapital_Annualized]]+MRF_CapitalCost[[#This Row],[Additional_CapitalCost_Annualized]]</f>
        <v>1108274.8866115164</v>
      </c>
      <c r="BC30"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6.6358294665541679</v>
      </c>
    </row>
    <row r="31" spans="2:55" ht="15" x14ac:dyDescent="0.25">
      <c r="B31" s="212" t="s">
        <v>870</v>
      </c>
      <c r="C31" s="212" t="s">
        <v>744</v>
      </c>
      <c r="D31" s="212" t="str">
        <f>INDEX(MRFs[MRF_Name],MATCH(NewMRFEquipCounts[[#This Row],[MRF_ID]],MRFs[MRF_ID],0))</f>
        <v>1 MRF for DS fiber (Salem)</v>
      </c>
      <c r="E31" s="33">
        <v>0</v>
      </c>
      <c r="F31" s="33">
        <v>0</v>
      </c>
      <c r="G31" s="33">
        <v>1</v>
      </c>
      <c r="H31" s="33">
        <v>0</v>
      </c>
      <c r="I31" s="33">
        <v>0</v>
      </c>
      <c r="J31" s="33">
        <v>0</v>
      </c>
      <c r="K31" s="33">
        <v>0</v>
      </c>
      <c r="L31" s="33">
        <v>0</v>
      </c>
      <c r="M31" s="33">
        <v>1</v>
      </c>
      <c r="O31" s="212" t="s">
        <v>870</v>
      </c>
      <c r="P31" s="212" t="s">
        <v>744</v>
      </c>
      <c r="Q31" s="212" t="str">
        <f>INDEX(MRFs[MRF_Name],MATCH(NewMRFEquipUnitCost[[#This Row],[MRF_ID]],MRFs[MRF_ID],0))</f>
        <v>1 MRF for DS fiber (Salem)</v>
      </c>
      <c r="R31" s="216"/>
      <c r="S31" s="216"/>
      <c r="T31" s="216">
        <v>527700</v>
      </c>
      <c r="U31" s="216"/>
      <c r="V31" s="216"/>
      <c r="W31" s="216"/>
      <c r="X31" s="216"/>
      <c r="Y31" s="216"/>
      <c r="Z31" s="216">
        <v>106000</v>
      </c>
      <c r="AC31" s="212" t="s">
        <v>870</v>
      </c>
      <c r="AD31" s="212" t="s">
        <v>744</v>
      </c>
      <c r="AE31" s="212" t="str">
        <f>INDEX(MRFs[MRF_Name],MATCH(NewMRFEquipTotalCost[[#This Row],[MRF_ID]],MRFs[MRF_ID],0))</f>
        <v>1 MRF for DS fiber (Salem)</v>
      </c>
      <c r="AF31" s="212" t="s">
        <v>878</v>
      </c>
      <c r="AG31" s="227">
        <f>SUMIFS(INDEX(NewMRFEquipUnitCost[],,MATCH(AG$16,NewMRFEquipUnitCost[#Headers],0)),NewMRFEquipUnitCost[Scenario_ID],NewMRFEquipTotalCost[[#This Row],[Scenario_ID]],NewMRFEquipUnitCost[MRF_ID],NewMRFEquipTotalCost[[#This Row],[MRF_ID]])*
SUMIFS(INDEX(NewMRFEquipCounts[],,MATCH(AG$16,NewMRFEquipCounts[#Headers],0)),NewMRFEquipUnitCost[Scenario_ID],NewMRFEquipTotalCost[[#This Row],[Scenario_ID]],NewMRFEquipCounts[MRF_ID],NewMRFEquipTotalCost[[#This Row],[MRF_ID]])</f>
        <v>0</v>
      </c>
      <c r="AH31" s="227">
        <f>SUMIFS(INDEX(NewMRFEquipUnitCost[],,MATCH(AH$16,NewMRFEquipUnitCost[#Headers],0)),NewMRFEquipUnitCost[Scenario_ID],NewMRFEquipTotalCost[[#This Row],[Scenario_ID]],NewMRFEquipUnitCost[MRF_ID],NewMRFEquipTotalCost[[#This Row],[MRF_ID]])*
SUMIFS(INDEX(NewMRFEquipCounts[],,MATCH(AH$16,NewMRFEquipCounts[#Headers],0)),NewMRFEquipUnitCost[Scenario_ID],NewMRFEquipTotalCost[[#This Row],[Scenario_ID]],NewMRFEquipCounts[MRF_ID],NewMRFEquipTotalCost[[#This Row],[MRF_ID]])</f>
        <v>0</v>
      </c>
      <c r="AI31" s="227">
        <f>SUMIFS(INDEX(NewMRFEquipUnitCost[],,MATCH(AI$16,NewMRFEquipUnitCost[#Headers],0)),NewMRFEquipUnitCost[Scenario_ID],NewMRFEquipTotalCost[[#This Row],[Scenario_ID]],NewMRFEquipUnitCost[MRF_ID],NewMRFEquipTotalCost[[#This Row],[MRF_ID]])*
SUMIFS(INDEX(NewMRFEquipCounts[],,MATCH(AI$16,NewMRFEquipCounts[#Headers],0)),NewMRFEquipUnitCost[Scenario_ID],NewMRFEquipTotalCost[[#This Row],[Scenario_ID]],NewMRFEquipCounts[MRF_ID],NewMRFEquipTotalCost[[#This Row],[MRF_ID]])</f>
        <v>527700</v>
      </c>
      <c r="AJ31" s="227">
        <f>SUMIFS(INDEX(NewMRFEquipUnitCost[],,MATCH(AJ$16,NewMRFEquipUnitCost[#Headers],0)),NewMRFEquipUnitCost[Scenario_ID],NewMRFEquipTotalCost[[#This Row],[Scenario_ID]],NewMRFEquipUnitCost[MRF_ID],NewMRFEquipTotalCost[[#This Row],[MRF_ID]])*
SUMIFS(INDEX(NewMRFEquipCounts[],,MATCH(AJ$16,NewMRFEquipCounts[#Headers],0)),NewMRFEquipUnitCost[Scenario_ID],NewMRFEquipTotalCost[[#This Row],[Scenario_ID]],NewMRFEquipCounts[MRF_ID],NewMRFEquipTotalCost[[#This Row],[MRF_ID]])</f>
        <v>0</v>
      </c>
      <c r="AK31" s="227">
        <f>SUMIFS(INDEX(NewMRFEquipUnitCost[],,MATCH(AK$16,NewMRFEquipUnitCost[#Headers],0)),NewMRFEquipUnitCost[Scenario_ID],NewMRFEquipTotalCost[[#This Row],[Scenario_ID]],NewMRFEquipUnitCost[MRF_ID],NewMRFEquipTotalCost[[#This Row],[MRF_ID]])*
SUMIFS(INDEX(NewMRFEquipCounts[],,MATCH(AK$16,NewMRFEquipCounts[#Headers],0)),NewMRFEquipUnitCost[Scenario_ID],NewMRFEquipTotalCost[[#This Row],[Scenario_ID]],NewMRFEquipCounts[MRF_ID],NewMRFEquipTotalCost[[#This Row],[MRF_ID]])</f>
        <v>0</v>
      </c>
      <c r="AL31" s="227">
        <f>SUMIFS(INDEX(NewMRFEquipUnitCost[],,MATCH(AL$16,NewMRFEquipUnitCost[#Headers],0)),NewMRFEquipUnitCost[Scenario_ID],NewMRFEquipTotalCost[[#This Row],[Scenario_ID]],NewMRFEquipUnitCost[MRF_ID],NewMRFEquipTotalCost[[#This Row],[MRF_ID]])*
SUMIFS(INDEX(NewMRFEquipCounts[],,MATCH(AL$16,NewMRFEquipCounts[#Headers],0)),NewMRFEquipUnitCost[Scenario_ID],NewMRFEquipTotalCost[[#This Row],[Scenario_ID]],NewMRFEquipCounts[MRF_ID],NewMRFEquipTotalCost[[#This Row],[MRF_ID]])</f>
        <v>0</v>
      </c>
      <c r="AM31" s="227">
        <f>SUMIFS(INDEX(NewMRFEquipUnitCost[],,MATCH(AM$16,NewMRFEquipUnitCost[#Headers],0)),NewMRFEquipUnitCost[Scenario_ID],NewMRFEquipTotalCost[[#This Row],[Scenario_ID]],NewMRFEquipUnitCost[MRF_ID],NewMRFEquipTotalCost[[#This Row],[MRF_ID]])*
SUMIFS(INDEX(NewMRFEquipCounts[],,MATCH(AM$16,NewMRFEquipCounts[#Headers],0)),NewMRFEquipUnitCost[Scenario_ID],NewMRFEquipTotalCost[[#This Row],[Scenario_ID]],NewMRFEquipCounts[MRF_ID],NewMRFEquipTotalCost[[#This Row],[MRF_ID]])</f>
        <v>0</v>
      </c>
      <c r="AN31" s="227">
        <f>SUMIFS(INDEX(NewMRFEquipUnitCost[],,MATCH(AN$16,NewMRFEquipUnitCost[#Headers],0)),NewMRFEquipUnitCost[Scenario_ID],NewMRFEquipTotalCost[[#This Row],[Scenario_ID]],NewMRFEquipUnitCost[MRF_ID],NewMRFEquipTotalCost[[#This Row],[MRF_ID]])*
SUMIFS(INDEX(NewMRFEquipCounts[],,MATCH(AN$16,NewMRFEquipCounts[#Headers],0)),NewMRFEquipUnitCost[Scenario_ID],NewMRFEquipTotalCost[[#This Row],[Scenario_ID]],NewMRFEquipCounts[MRF_ID],NewMRFEquipTotalCost[[#This Row],[MRF_ID]])</f>
        <v>0</v>
      </c>
      <c r="AO31" s="227">
        <f>SUMIFS(INDEX(NewMRFEquipUnitCost[],,MATCH(AO$16,NewMRFEquipUnitCost[#Headers],0)),NewMRFEquipUnitCost[Scenario_ID],NewMRFEquipTotalCost[[#This Row],[Scenario_ID]],NewMRFEquipUnitCost[MRF_ID],NewMRFEquipTotalCost[[#This Row],[MRF_ID]])*
SUMIFS(INDEX(NewMRFEquipCounts[],,MATCH(AO$16,NewMRFEquipCounts[#Headers],0)),NewMRFEquipUnitCost[Scenario_ID],NewMRFEquipTotalCost[[#This Row],[Scenario_ID]],NewMRFEquipCounts[MRF_ID],NewMRFEquipTotalCost[[#This Row],[MRF_ID]])</f>
        <v>106000</v>
      </c>
      <c r="AP31" s="226">
        <f>SUM(NewMRFEquipTotalCost[[#This Row],[Bag_Breakers]:[Quality AI Vision System]])</f>
        <v>633700</v>
      </c>
      <c r="AQ31" s="226">
        <f>PMT(MRF_CapEquip!$C$10,10,-NewMRFEquipTotalCost[[#This Row],[Additional_Capital_Cost_2025]])</f>
        <v>88150.642088276683</v>
      </c>
      <c r="AT31" s="212" t="s">
        <v>870</v>
      </c>
      <c r="AU31" s="212" t="s">
        <v>744</v>
      </c>
      <c r="AV31" s="212" t="str">
        <f>INDEX(MRFs[MRF_Name],MATCH(MRF_CapitalCost[[#This Row],[MRF_ID]],MRFs[MRF_ID],0))</f>
        <v>1 MRF for DS fiber (Salem)</v>
      </c>
      <c r="AW31" s="216">
        <f t="shared" si="0"/>
        <v>5000000</v>
      </c>
      <c r="AX31" s="131">
        <f t="shared" si="1"/>
        <v>0.6</v>
      </c>
      <c r="AY31" s="225">
        <f>SUMIFS(MRF_Shifts[MRF_Count],MRF_Shifts[Scenario_ID],MRF_CapitalCost[[#This Row],[Scenario_ID]],MRF_Shifts[MRF_ID],MRF_CapitalCost[[#This Row],[MRF_ID]])</f>
        <v>1</v>
      </c>
      <c r="AZ31" s="224">
        <f>MRF_CapitalCost[[#This Row],[MRF_Count]]*PMT(MRF_CapEquip!$C$10,10,-((1-MRF_CapitalCost[[#This Row],[Pct_BasePaidOff]])*MRF_CapitalCost[[#This Row],[BaseCapitalCost_PerMRF]]))</f>
        <v>278209.3801113356</v>
      </c>
      <c r="BA31" s="224">
        <f>SUMIFS(NewMRFEquipTotalCost[Additional_CapitalCost_Annualized_2025],NewMRFEquipTotalCost[Scenario_ID],MRF_CapitalCost[[#This Row],[Scenario_ID]],NewMRFEquipTotalCost[MRF_ID],MRF_CapitalCost[[#This Row],[MRF_ID]])</f>
        <v>88150.642088276683</v>
      </c>
      <c r="BB31" s="102">
        <f>MRF_CapitalCost[[#This Row],[Remaining_BaseCapital_Annualized]]+MRF_CapitalCost[[#This Row],[Additional_CapitalCost_Annualized]]</f>
        <v>366360.02219961229</v>
      </c>
      <c r="BC31" s="223">
        <f>MRF_CapitalCost[[#This Row],[Total_CapitalCost_Annualized]]/(SUMIFS(BaleMover[Total_Baled_tons],BaleMover[Scenario_ID],MRF_CapitalCost[[#This Row],[Scenario_ID]],BaleMover[MRF_ID],MRF_CapitalCost[[#This Row],[MRF_ID]])-SUMIFS(BaleMover[Total_Baled_tons],BaleMover[Scenario_ID],MRF_CapitalCost[[#This Row],[Scenario_ID]],BaleMover[MRF_ID],MRF_CapitalCost[[#This Row],[MRF_ID]],BaleMover[Bale_ID],"5000-02"))</f>
        <v>5.2858513766188819</v>
      </c>
    </row>
    <row r="35" spans="3:53" x14ac:dyDescent="0.2">
      <c r="C35"/>
      <c r="D35"/>
      <c r="E35"/>
      <c r="F35"/>
    </row>
    <row r="36" spans="3:53" x14ac:dyDescent="0.2">
      <c r="C36"/>
      <c r="D36"/>
      <c r="E36"/>
      <c r="F36"/>
      <c r="AV36" s="279"/>
      <c r="AW36" s="279"/>
      <c r="AZ36" s="224"/>
    </row>
    <row r="37" spans="3:53" x14ac:dyDescent="0.2">
      <c r="C37"/>
      <c r="D37"/>
      <c r="E37"/>
      <c r="F37"/>
      <c r="BA37" s="191"/>
    </row>
    <row r="38" spans="3:53" x14ac:dyDescent="0.2">
      <c r="C38"/>
      <c r="D38"/>
      <c r="E38"/>
      <c r="F38"/>
    </row>
    <row r="39" spans="3:53" x14ac:dyDescent="0.2">
      <c r="C39"/>
      <c r="D39"/>
      <c r="E39"/>
      <c r="F39"/>
    </row>
    <row r="40" spans="3:53" x14ac:dyDescent="0.2">
      <c r="C40"/>
      <c r="D40"/>
      <c r="E40"/>
      <c r="F40"/>
    </row>
    <row r="41" spans="3:53" x14ac:dyDescent="0.2">
      <c r="C41"/>
      <c r="D41"/>
      <c r="E41"/>
      <c r="F41"/>
    </row>
    <row r="42" spans="3:53" x14ac:dyDescent="0.2">
      <c r="C42"/>
      <c r="D42"/>
      <c r="E42"/>
      <c r="F42"/>
    </row>
    <row r="43" spans="3:53" x14ac:dyDescent="0.2">
      <c r="C43"/>
      <c r="D43"/>
      <c r="E43"/>
      <c r="F43"/>
    </row>
    <row r="44" spans="3:53" x14ac:dyDescent="0.2">
      <c r="C44"/>
      <c r="D44"/>
      <c r="E44"/>
      <c r="F44"/>
    </row>
    <row r="45" spans="3:53" x14ac:dyDescent="0.2">
      <c r="C45"/>
      <c r="D45"/>
      <c r="E45"/>
      <c r="F45"/>
    </row>
    <row r="46" spans="3:53" x14ac:dyDescent="0.2">
      <c r="C46"/>
      <c r="D46"/>
      <c r="E46"/>
      <c r="F46"/>
    </row>
    <row r="47" spans="3:53" x14ac:dyDescent="0.2">
      <c r="C47"/>
      <c r="D47"/>
      <c r="E47"/>
      <c r="F47"/>
    </row>
  </sheetData>
  <sheetProtection algorithmName="SHA-512" hashValue="xmoiTMWAnClyGucH2JqPFQFxndEhA2L9Gcvjab9Hctg/dhEeMVgUKQPlKJnQMg4keN8mT7Oo1u+QU5gRM5GP1Q==" saltValue="4WXMB0J1FWeKLUN/uC+d7Q==" spinCount="100000" sheet="1" objects="1" scenarios="1" autoFilter="0"/>
  <conditionalFormatting sqref="R17:Z19 R20:Y31">
    <cfRule type="expression" dxfId="3" priority="2">
      <formula>E17&gt;0</formula>
    </cfRule>
  </conditionalFormatting>
  <conditionalFormatting sqref="Z20:Z31">
    <cfRule type="expression" dxfId="2" priority="1">
      <formula>M20&gt;0</formula>
    </cfRule>
  </conditionalFormatting>
  <pageMargins left="0.7" right="0.7" top="0.75" bottom="0.75" header="0.3" footer="0.3"/>
  <pageSetup orientation="portrait" horizontalDpi="1200" verticalDpi="1200" r:id="rId1"/>
  <legacyDrawing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4608-2642-4F41-B19A-5BFDB908C4ED}">
  <sheetPr>
    <tabColor theme="9"/>
  </sheetPr>
  <dimension ref="A1:BJ64"/>
  <sheetViews>
    <sheetView workbookViewId="0">
      <selection activeCell="B1" sqref="B1"/>
    </sheetView>
  </sheetViews>
  <sheetFormatPr defaultColWidth="9" defaultRowHeight="14.25" outlineLevelRow="1" x14ac:dyDescent="0.2"/>
  <cols>
    <col min="1" max="1" width="2" style="212" bestFit="1" customWidth="1"/>
    <col min="2" max="2" width="14" style="212" customWidth="1"/>
    <col min="3" max="3" width="9.75" style="212" customWidth="1"/>
    <col min="4" max="4" width="56.875" style="212" bestFit="1" customWidth="1"/>
    <col min="5" max="5" width="11.875" style="212" customWidth="1"/>
    <col min="6" max="7" width="13.875" style="212" customWidth="1"/>
    <col min="8" max="8" width="17.625" style="212" customWidth="1"/>
    <col min="9" max="12" width="13.875" style="212" customWidth="1"/>
    <col min="13" max="14" width="3.875" style="212" customWidth="1"/>
    <col min="15" max="16" width="6" style="212" customWidth="1"/>
    <col min="17" max="17" width="48.875" style="212" bestFit="1" customWidth="1"/>
    <col min="18" max="18" width="9.625" style="212" customWidth="1"/>
    <col min="19" max="19" width="13.75" style="212" customWidth="1"/>
    <col min="20" max="21" width="3.375" style="212" customWidth="1"/>
    <col min="22" max="22" width="9" style="212"/>
    <col min="23" max="23" width="4.5" style="212" customWidth="1"/>
    <col min="24" max="24" width="10" style="212" customWidth="1"/>
    <col min="25" max="25" width="7.375" style="212" customWidth="1"/>
    <col min="26" max="26" width="48.875" style="212" bestFit="1" customWidth="1"/>
    <col min="27" max="27" width="84.625" style="212" customWidth="1"/>
    <col min="28" max="28" width="13.75" style="212" customWidth="1"/>
    <col min="29" max="29" width="10" style="212" customWidth="1"/>
    <col min="30" max="34" width="13.375" style="212" customWidth="1"/>
    <col min="35" max="37" width="13.375" style="600" customWidth="1"/>
    <col min="38" max="39" width="3.25" style="212" customWidth="1"/>
    <col min="40" max="41" width="7.5" style="212" customWidth="1"/>
    <col min="42" max="42" width="53.75" style="212" bestFit="1" customWidth="1"/>
    <col min="43" max="44" width="8.625" style="212" customWidth="1"/>
    <col min="45" max="45" width="53.25" style="212" bestFit="1" customWidth="1"/>
    <col min="46" max="46" width="18.25" style="212" customWidth="1"/>
    <col min="47" max="47" width="15.25" customWidth="1"/>
    <col min="48" max="48" width="17.375" style="212" customWidth="1"/>
    <col min="49" max="50" width="3.25" style="212" customWidth="1"/>
    <col min="51" max="52" width="5.25" style="212" customWidth="1"/>
    <col min="53" max="53" width="5.5" style="212" customWidth="1"/>
    <col min="54" max="54" width="5.25" style="212" customWidth="1"/>
    <col min="55" max="55" width="40.25" style="212" bestFit="1" customWidth="1"/>
    <col min="56" max="56" width="51.375" style="212" bestFit="1" customWidth="1"/>
    <col min="57" max="58" width="9" style="212"/>
    <col min="59" max="59" width="12.375" style="212" customWidth="1"/>
    <col min="60" max="60" width="13.75" style="212" bestFit="1" customWidth="1"/>
    <col min="61" max="61" width="11.625" style="212" customWidth="1"/>
    <col min="62" max="62" width="18.875" style="212" bestFit="1" customWidth="1"/>
    <col min="63" max="16384" width="9" style="212"/>
  </cols>
  <sheetData>
    <row r="1" spans="1:62" ht="20.25" thickBot="1" x14ac:dyDescent="0.25">
      <c r="A1" s="4"/>
      <c r="B1" s="65" t="s">
        <v>957</v>
      </c>
      <c r="C1" s="66"/>
      <c r="D1" s="66"/>
      <c r="E1" s="66"/>
      <c r="F1" s="66"/>
      <c r="G1" s="66"/>
      <c r="H1" s="66"/>
      <c r="I1" s="66"/>
      <c r="J1" s="66"/>
      <c r="K1" s="66"/>
      <c r="L1" s="66"/>
      <c r="M1" s="66"/>
      <c r="N1" s="66"/>
      <c r="O1" s="66"/>
      <c r="P1" s="66"/>
      <c r="Q1" s="66"/>
    </row>
    <row r="2" spans="1:62" ht="15" thickTop="1" x14ac:dyDescent="0.2"/>
    <row r="4" spans="1:62" ht="17.25" thickBot="1" x14ac:dyDescent="0.25">
      <c r="C4" s="74" t="s">
        <v>49</v>
      </c>
    </row>
    <row r="5" spans="1:62" ht="15.75" thickTop="1" x14ac:dyDescent="0.25">
      <c r="B5" s="134" t="s">
        <v>50</v>
      </c>
      <c r="C5" s="212" t="s">
        <v>933</v>
      </c>
    </row>
    <row r="6" spans="1:62" ht="15" x14ac:dyDescent="0.25">
      <c r="B6" s="134" t="s">
        <v>50</v>
      </c>
      <c r="C6" s="212" t="s">
        <v>932</v>
      </c>
    </row>
    <row r="7" spans="1:62" ht="15" x14ac:dyDescent="0.25">
      <c r="B7" s="134" t="s">
        <v>111</v>
      </c>
      <c r="C7" s="212" t="s">
        <v>931</v>
      </c>
    </row>
    <row r="8" spans="1:62" ht="15" x14ac:dyDescent="0.25">
      <c r="B8" s="134"/>
      <c r="C8" s="238"/>
    </row>
    <row r="9" spans="1:62" ht="16.5" hidden="1" outlineLevel="1" thickTop="1" thickBot="1" x14ac:dyDescent="0.3">
      <c r="BF9" s="229"/>
      <c r="BG9" s="229">
        <v>1</v>
      </c>
      <c r="BH9" s="229">
        <v>2</v>
      </c>
      <c r="BI9" s="229">
        <v>3</v>
      </c>
      <c r="BJ9" s="229"/>
    </row>
    <row r="10" spans="1:62" ht="16.5" hidden="1" outlineLevel="1" thickTop="1" thickBot="1" x14ac:dyDescent="0.3">
      <c r="BE10" s="229" t="s">
        <v>930</v>
      </c>
      <c r="BF10" s="229"/>
      <c r="BG10" s="229" t="s">
        <v>930</v>
      </c>
      <c r="BH10" s="229" t="s">
        <v>929</v>
      </c>
      <c r="BI10" s="229" t="s">
        <v>129</v>
      </c>
      <c r="BJ10" s="229" t="s">
        <v>25</v>
      </c>
    </row>
    <row r="11" spans="1:62" ht="16.5" hidden="1" outlineLevel="1" thickTop="1" thickBot="1" x14ac:dyDescent="0.3">
      <c r="Z11" s="229" t="s">
        <v>928</v>
      </c>
      <c r="AA11" s="229"/>
      <c r="BE11" s="237">
        <f>SUMIFS(MRFLaborProductivity[Scenario_FTE],MRFLaborProductivity[Scenario_ID],BF11,MRFLaborProductivity[LaborType_ID],$BG$9)</f>
        <v>406</v>
      </c>
      <c r="BF11" s="229" t="s">
        <v>876</v>
      </c>
      <c r="BG11" s="228">
        <f>SUMIFS(MRFLaborProductivity[Scenario_LaborCost],MRFLaborProductivity[Scenario_ID],$BF11,MRFLaborProductivity[LaborType_ID],BG$9)/SUMIFS(MRFLaborProductivity[Tons_Sorted],MRFLaborProductivity[Scenario_ID],$BF11,MRFLaborProductivity[LaborType_ID],BG$9)</f>
        <v>56.446993723705567</v>
      </c>
      <c r="BH11" s="228">
        <f>SUMIFS(MRFLaborProductivity[Scenario_LaborCost],MRFLaborProductivity[Scenario_ID],$BF11,MRFLaborProductivity[LaborType_ID],BH$9)/SUMIFS(MRFLaborProductivity[Tons_Sorted],MRFLaborProductivity[Scenario_ID],$BF11,MRFLaborProductivity[LaborType_ID],BH$9)</f>
        <v>11.293392382459114</v>
      </c>
      <c r="BI11" s="228">
        <f>SUMIFS(MRFLaborProductivity[Scenario_LaborCost],MRFLaborProductivity[Scenario_ID],$BF11,MRFLaborProductivity[LaborType_ID],BI$9)/SUMIFS(MRFLaborProductivity[Tons_Sorted],MRFLaborProductivity[Scenario_ID],$BF11,MRFLaborProductivity[LaborType_ID],BI$9)</f>
        <v>12.68416698045624</v>
      </c>
      <c r="BJ11" s="228">
        <f>SUM(BG11:BH11)</f>
        <v>67.740386106164678</v>
      </c>
    </row>
    <row r="12" spans="1:62" ht="16.5" hidden="1" outlineLevel="1" thickTop="1" thickBot="1" x14ac:dyDescent="0.3">
      <c r="Z12" s="229" t="s">
        <v>875</v>
      </c>
      <c r="AA12" s="229">
        <f>SUMIFS(MRFSorterFTEChanges[SortFTE_Cumulative],MRFSorterFTEChanges[Scenario_ID],Z12)</f>
        <v>-64.5</v>
      </c>
      <c r="BE12" s="237">
        <f>SUMIFS(MRFLaborProductivity[Scenario_FTE],MRFLaborProductivity[Scenario_ID],BF12,MRFLaborProductivity[LaborType_ID],$BG$9)</f>
        <v>341.5</v>
      </c>
      <c r="BF12" s="229" t="s">
        <v>875</v>
      </c>
      <c r="BG12" s="228">
        <f>SUMIFS(MRFLaborProductivity[Scenario_LaborCost],MRFLaborProductivity[Scenario_ID],$BF12,MRFLaborProductivity[LaborType_ID],BG$9)/SUMIFS(MRFLaborProductivity[Tons_Sorted],MRFLaborProductivity[Scenario_ID],$BF12,MRFLaborProductivity[LaborType_ID],BG$9)</f>
        <v>51.179707179260717</v>
      </c>
      <c r="BH12" s="228">
        <f>SUMIFS(MRFLaborProductivity[Scenario_LaborCost],MRFLaborProductivity[Scenario_ID],$BF12,MRFLaborProductivity[LaborType_ID],BH$9)/SUMIFS(MRFLaborProductivity[Tons_Sorted],MRFLaborProductivity[Scenario_ID],$BF12,MRFLaborProductivity[LaborType_ID],BH$9)</f>
        <v>12.226226615272905</v>
      </c>
      <c r="BI12" s="228">
        <f>SUMIFS(MRFLaborProductivity[Scenario_LaborCost],MRFLaborProductivity[Scenario_ID],$BF12,MRFLaborProductivity[LaborType_ID],BI$9)/SUMIFS(MRFLaborProductivity[Tons_Sorted],MRFLaborProductivity[Scenario_ID],$BF12,MRFLaborProductivity[LaborType_ID],BI$9)</f>
        <v>13.672699090836169</v>
      </c>
      <c r="BJ12" s="228">
        <f>SUM(BG12:BH12)</f>
        <v>63.405933794533624</v>
      </c>
    </row>
    <row r="13" spans="1:62" ht="16.5" hidden="1" outlineLevel="1" thickTop="1" thickBot="1" x14ac:dyDescent="0.3">
      <c r="Z13" s="229" t="s">
        <v>874</v>
      </c>
      <c r="AA13" s="229">
        <f>SUMIFS(MRFSorterFTEChanges[SortFTE_Cumulative],MRFSorterFTEChanges[Scenario_ID],Z13)</f>
        <v>-106.5</v>
      </c>
      <c r="BE13" s="237">
        <f>SUMIFS(MRFLaborProductivity[Scenario_FTE],MRFLaborProductivity[Scenario_ID],BF13,MRFLaborProductivity[LaborType_ID],$BG$9)</f>
        <v>299.5</v>
      </c>
      <c r="BF13" s="229" t="s">
        <v>874</v>
      </c>
      <c r="BG13" s="228">
        <f>SUMIFS(MRFLaborProductivity[Scenario_LaborCost],MRFLaborProductivity[Scenario_ID],$BF13,MRFLaborProductivity[LaborType_ID],BG$9)/SUMIFS(MRFLaborProductivity[Tons_Sorted],MRFLaborProductivity[Scenario_ID],$BF13,MRFLaborProductivity[LaborType_ID],BG$9)</f>
        <v>40.374950806612659</v>
      </c>
      <c r="BH13" s="228">
        <f>SUMIFS(MRFLaborProductivity[Scenario_LaborCost],MRFLaborProductivity[Scenario_ID],$BF13,MRFLaborProductivity[LaborType_ID],BH$9)/SUMIFS(MRFLaborProductivity[Tons_Sorted],MRFLaborProductivity[Scenario_ID],$BF13,MRFLaborProductivity[LaborType_ID],BH$9)</f>
        <v>11.946859546677835</v>
      </c>
      <c r="BI13" s="228">
        <f>SUMIFS(MRFLaborProductivity[Scenario_LaborCost],MRFLaborProductivity[Scenario_ID],$BF13,MRFLaborProductivity[LaborType_ID],BI$9)/SUMIFS(MRFLaborProductivity[Tons_Sorted],MRFLaborProductivity[Scenario_ID],$BF13,MRFLaborProductivity[LaborType_ID],BI$9)</f>
        <v>12.298788883813026</v>
      </c>
      <c r="BJ13" s="228">
        <f>SUM(BG13:BH13)</f>
        <v>52.321810353290495</v>
      </c>
    </row>
    <row r="14" spans="1:62" ht="16.5" hidden="1" outlineLevel="1" thickTop="1" thickBot="1" x14ac:dyDescent="0.3">
      <c r="Z14" s="229" t="s">
        <v>873</v>
      </c>
      <c r="AA14" s="229">
        <f>SUMIFS(MRFSorterFTEChanges[SortFTE_Cumulative],MRFSorterFTEChanges[Scenario_ID],Z14)</f>
        <v>-117</v>
      </c>
      <c r="BE14" s="237">
        <f>SUMIFS(MRFLaborProductivity[Scenario_FTE],MRFLaborProductivity[Scenario_ID],BF14,MRFLaborProductivity[LaborType_ID],$BG$9)</f>
        <v>289</v>
      </c>
      <c r="BF14" s="229" t="s">
        <v>873</v>
      </c>
      <c r="BG14" s="228">
        <f>SUMIFS(MRFLaborProductivity[Scenario_LaborCost],MRFLaborProductivity[Scenario_ID],$BF14,MRFLaborProductivity[LaborType_ID],BG$9)/SUMIFS(MRFLaborProductivity[Tons_Sorted],MRFLaborProductivity[Scenario_ID],$BF14,MRFLaborProductivity[LaborType_ID],BG$9)</f>
        <v>38.9594683910219</v>
      </c>
      <c r="BH14" s="228">
        <f>SUMIFS(MRFLaborProductivity[Scenario_LaborCost],MRFLaborProductivity[Scenario_ID],$BF14,MRFLaborProductivity[LaborType_ID],BH$9)/SUMIFS(MRFLaborProductivity[Tons_Sorted],MRFLaborProductivity[Scenario_ID],$BF14,MRFLaborProductivity[LaborType_ID],BH$9)</f>
        <v>11.753173274297977</v>
      </c>
      <c r="BI14" s="228">
        <f>SUMIFS(MRFLaborProductivity[Scenario_LaborCost],MRFLaborProductivity[Scenario_ID],$BF14,MRFLaborProductivity[LaborType_ID],BI$9)/SUMIFS(MRFLaborProductivity[Tons_Sorted],MRFLaborProductivity[Scenario_ID],$BF14,MRFLaborProductivity[LaborType_ID],BI$9)</f>
        <v>12.298788883813026</v>
      </c>
      <c r="BJ14" s="228">
        <f>SUM(BG14:BH14)</f>
        <v>50.712641665319879</v>
      </c>
    </row>
    <row r="15" spans="1:62" ht="16.5" hidden="1" outlineLevel="1" thickTop="1" thickBot="1" x14ac:dyDescent="0.3">
      <c r="Z15" s="229" t="s">
        <v>870</v>
      </c>
      <c r="AA15" s="229">
        <f>SUMIFS(MRFSorterFTEChanges[SortFTE_Cumulative],MRFSorterFTEChanges[Scenario_ID],Z15)</f>
        <v>-127.5</v>
      </c>
      <c r="BE15" s="237">
        <f>SUMIFS(MRFLaborProductivity[Scenario_FTE],MRFLaborProductivity[Scenario_ID],BF15,MRFLaborProductivity[LaborType_ID],$BG$9)</f>
        <v>278.5</v>
      </c>
      <c r="BF15" s="229" t="s">
        <v>870</v>
      </c>
      <c r="BG15" s="228">
        <f>SUMIFS(MRFLaborProductivity[Scenario_LaborCost],MRFLaborProductivity[Scenario_ID],$BF15,MRFLaborProductivity[LaborType_ID],BG$9)/SUMIFS(MRFLaborProductivity[Tons_Sorted],MRFLaborProductivity[Scenario_ID],$BF15,MRFLaborProductivity[LaborType_ID],BG$9)</f>
        <v>37.498582536941761</v>
      </c>
      <c r="BH15" s="228">
        <f>SUMIFS(MRFLaborProductivity[Scenario_LaborCost],MRFLaborProductivity[Scenario_ID],$BF15,MRFLaborProductivity[LaborType_ID],BH$9)/SUMIFS(MRFLaborProductivity[Tons_Sorted],MRFLaborProductivity[Scenario_ID],$BF15,MRFLaborProductivity[LaborType_ID],BH$9)</f>
        <v>12.636797895133302</v>
      </c>
      <c r="BI15" s="228">
        <f>SUMIFS(MRFLaborProductivity[Scenario_LaborCost],MRFLaborProductivity[Scenario_ID],$BF15,MRFLaborProductivity[LaborType_ID],BI$9)/SUMIFS(MRFLaborProductivity[Tons_Sorted],MRFLaborProductivity[Scenario_ID],$BF15,MRFLaborProductivity[LaborType_ID],BI$9)</f>
        <v>12.28391546826931</v>
      </c>
      <c r="BJ15" s="228">
        <f>SUM(BG15:BH15)</f>
        <v>50.135380432075067</v>
      </c>
    </row>
    <row r="16" spans="1:62" collapsed="1" x14ac:dyDescent="0.2"/>
    <row r="17" spans="2:62" ht="15" x14ac:dyDescent="0.25">
      <c r="B17" s="281" t="s">
        <v>1076</v>
      </c>
      <c r="O17" s="215" t="s">
        <v>927</v>
      </c>
      <c r="V17" s="215" t="s">
        <v>3737</v>
      </c>
      <c r="AN17" s="215" t="s">
        <v>1038</v>
      </c>
      <c r="AY17" s="215" t="s">
        <v>1047</v>
      </c>
    </row>
    <row r="18" spans="2:62" ht="15" x14ac:dyDescent="0.25">
      <c r="B18" s="220" t="s">
        <v>1078</v>
      </c>
      <c r="E18" s="134" t="s">
        <v>50</v>
      </c>
      <c r="F18" s="134" t="s">
        <v>111</v>
      </c>
      <c r="O18" s="220" t="s">
        <v>1160</v>
      </c>
      <c r="V18" s="220" t="s">
        <v>1077</v>
      </c>
      <c r="AN18" s="236">
        <v>4100</v>
      </c>
      <c r="AO18" s="212" t="s">
        <v>1039</v>
      </c>
      <c r="AT18" s="212" t="s">
        <v>2214</v>
      </c>
      <c r="BH18" s="214"/>
      <c r="BJ18" s="191"/>
    </row>
    <row r="19" spans="2:62" ht="60" x14ac:dyDescent="0.25">
      <c r="B19" s="595" t="s">
        <v>877</v>
      </c>
      <c r="C19" s="595" t="s">
        <v>1035</v>
      </c>
      <c r="D19" s="595" t="s">
        <v>1036</v>
      </c>
      <c r="E19" s="595" t="s">
        <v>3746</v>
      </c>
      <c r="F19" s="595" t="s">
        <v>62</v>
      </c>
      <c r="G19" s="595" t="s">
        <v>3748</v>
      </c>
      <c r="H19" s="595" t="s">
        <v>950</v>
      </c>
      <c r="I19" s="595" t="s">
        <v>78</v>
      </c>
      <c r="J19" s="595" t="s">
        <v>3747</v>
      </c>
      <c r="K19" s="595" t="s">
        <v>926</v>
      </c>
      <c r="L19" s="595" t="s">
        <v>925</v>
      </c>
      <c r="O19" s="222" t="s">
        <v>877</v>
      </c>
      <c r="P19" s="222" t="s">
        <v>869</v>
      </c>
      <c r="Q19" s="222" t="s">
        <v>868</v>
      </c>
      <c r="R19" s="222" t="s">
        <v>924</v>
      </c>
      <c r="S19" s="222" t="s">
        <v>894</v>
      </c>
      <c r="V19" s="215" t="s">
        <v>877</v>
      </c>
      <c r="W19" s="215" t="s">
        <v>917</v>
      </c>
      <c r="X19" s="215" t="s">
        <v>923</v>
      </c>
      <c r="Y19" s="215" t="s">
        <v>869</v>
      </c>
      <c r="Z19" s="215" t="s">
        <v>868</v>
      </c>
      <c r="AA19" s="215" t="s">
        <v>922</v>
      </c>
      <c r="AB19" s="221" t="s">
        <v>921</v>
      </c>
      <c r="AC19" s="221" t="s">
        <v>920</v>
      </c>
      <c r="AD19" s="221" t="s">
        <v>1037</v>
      </c>
      <c r="AE19" s="221" t="s">
        <v>3738</v>
      </c>
      <c r="AF19" s="222" t="s">
        <v>894</v>
      </c>
      <c r="AG19" s="222" t="s">
        <v>919</v>
      </c>
      <c r="AH19" s="222" t="s">
        <v>3743</v>
      </c>
      <c r="AI19" s="222" t="s">
        <v>3745</v>
      </c>
      <c r="AJ19" s="221" t="s">
        <v>3736</v>
      </c>
      <c r="AK19" s="340" t="s">
        <v>3744</v>
      </c>
      <c r="AN19" s="266" t="s">
        <v>877</v>
      </c>
      <c r="AO19" s="266" t="s">
        <v>917</v>
      </c>
      <c r="AP19" s="266" t="s">
        <v>923</v>
      </c>
      <c r="AQ19" s="266" t="s">
        <v>869</v>
      </c>
      <c r="AR19" s="215" t="s">
        <v>918</v>
      </c>
      <c r="AS19" s="266" t="s">
        <v>868</v>
      </c>
      <c r="AT19" s="267" t="s">
        <v>1152</v>
      </c>
      <c r="AU19" t="s">
        <v>1040</v>
      </c>
      <c r="AV19" s="268" t="s">
        <v>3735</v>
      </c>
      <c r="AY19" s="215" t="s">
        <v>877</v>
      </c>
      <c r="AZ19" s="215" t="s">
        <v>869</v>
      </c>
      <c r="BA19" s="215" t="s">
        <v>918</v>
      </c>
      <c r="BB19" s="215" t="s">
        <v>917</v>
      </c>
      <c r="BC19" s="215" t="s">
        <v>868</v>
      </c>
      <c r="BD19" s="215" t="s">
        <v>916</v>
      </c>
      <c r="BE19" s="215" t="s">
        <v>915</v>
      </c>
      <c r="BF19" s="215" t="s">
        <v>914</v>
      </c>
      <c r="BG19" s="215" t="s">
        <v>913</v>
      </c>
      <c r="BH19" s="215" t="s">
        <v>912</v>
      </c>
      <c r="BI19" s="215" t="s">
        <v>911</v>
      </c>
      <c r="BJ19" s="215" t="s">
        <v>910</v>
      </c>
    </row>
    <row r="20" spans="2:62" ht="15" x14ac:dyDescent="0.25">
      <c r="B20" s="212" t="s">
        <v>876</v>
      </c>
      <c r="C20" s="212">
        <v>1</v>
      </c>
      <c r="D20" s="212" t="s">
        <v>906</v>
      </c>
      <c r="E20" s="241">
        <f>13.5/((1.012)^2)</f>
        <v>13.181740067802966</v>
      </c>
      <c r="F20" s="19">
        <v>1.6</v>
      </c>
      <c r="G20" s="115">
        <f>MRFLaborCost[[#This Row],[Hourly_Pay_2018]]*MRFLaborCost[[#This Row],[Benefits_Ratio]]</f>
        <v>21.090784108484748</v>
      </c>
      <c r="H20" s="241" t="s">
        <v>820</v>
      </c>
      <c r="I20" s="135">
        <f>INDEX(Inflation[Escalator],MATCH(MRFLaborCost[[#This Row],[Escalator_ID]],Inflation[Financial_ID],0))</f>
        <v>1.4653074227460987</v>
      </c>
      <c r="J20" s="115">
        <f>MRFLaborCost[[#This Row],[HourlyLoadedCost_2018]]*MRFLaborCost[[#This Row],[Escalator]]</f>
        <v>30.904482505698162</v>
      </c>
      <c r="K20" s="101">
        <f>MRFLaborCost[[#This Row],[HourlyLoadedCost_2025]]*40*52</f>
        <v>64281.323611852175</v>
      </c>
      <c r="L20" s="225">
        <v>406</v>
      </c>
      <c r="O20" s="212" t="s">
        <v>876</v>
      </c>
      <c r="P20" s="212" t="s">
        <v>712</v>
      </c>
      <c r="Q20" s="212" t="str">
        <f>INDEX(MRFs[MRF_Name],MATCH(MRF_Shifts[[#This Row],[MRF_ID]],MRFs[MRF_ID],0))</f>
        <v>5 MRFs for SS with fiber upgrades (Portland)</v>
      </c>
      <c r="R20" s="19">
        <v>1.5</v>
      </c>
      <c r="S20" s="19">
        <v>5</v>
      </c>
      <c r="V20" s="212" t="s">
        <v>876</v>
      </c>
      <c r="W20" s="212">
        <v>1</v>
      </c>
      <c r="X20" s="212" t="str">
        <f>INDEX(MRFLaborCost[MRFLaborType_Name],MATCH(MRFSorterFTEChanges[[#This Row],[LaborType_ID]],MRFLaborCost[MRFLaborType_ID],0))</f>
        <v>Sort Labor</v>
      </c>
      <c r="Y20" s="212" t="s">
        <v>712</v>
      </c>
      <c r="Z20" s="212" t="str">
        <f>INDEX(MRFs[MRF_Name],MATCH(MRFSorterFTEChanges[[#This Row],[MRF_ID]],MRFs[MRF_ID],0))</f>
        <v>5 MRFs for SS with fiber upgrades (Portland)</v>
      </c>
      <c r="AA20" s="235" t="s">
        <v>909</v>
      </c>
      <c r="AB20" s="234">
        <v>0</v>
      </c>
      <c r="AC20" s="218">
        <f>(MRFSorterFTEChanges[[#This Row],[LaborType_ID]]=1)*SUMIFS(NewMRFEquipCounts[Optical_Paper],NewMRFEquipCounts[Scenario_ID],MRFSorterFTEChanges[[#This Row],[Scenario_ID]],NewMRFEquipCounts[MRF_ID],MRFSorterFTEChanges[[#This Row],[MRF_ID]])</f>
        <v>0</v>
      </c>
      <c r="AD20" s="234">
        <v>0</v>
      </c>
      <c r="AE20" s="234"/>
      <c r="AF20" s="263">
        <f>SUMIFS(MRF_Shifts[MRF_Count],MRF_Shifts[Scenario_ID],MRFSorterFTEChanges[[#This Row],[Scenario_ID]],MRF_Shifts[MRF_ID],MRFSorterFTEChanges[[#This Row],[MRF_ID]])</f>
        <v>5</v>
      </c>
      <c r="AG20" s="225">
        <f>SUMIFS(MRF_Shifts[Average Shifts per Day],MRF_Shifts[Scenario_ID],MRFSorterFTEChanges[[#This Row],[Scenario_ID]],MRF_Shifts[MRF_ID],MRFSorterFTEChanges[[#This Row],[MRF_ID]])</f>
        <v>1.5</v>
      </c>
      <c r="AH20"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20" s="264">
        <v>2</v>
      </c>
      <c r="AJ20" s="234"/>
      <c r="AK20" s="617">
        <f>MRFSorterFTEChanges[[#This Row],[MRF_Count]]*MRFSorterFTEChanges[[#This Row],[Change_Per_MRF_OpticalRobot-Maintenance]]</f>
        <v>0</v>
      </c>
      <c r="AN20" s="264" t="s">
        <v>876</v>
      </c>
      <c r="AO20" s="264">
        <v>2</v>
      </c>
      <c r="AP20" s="264" t="str">
        <f>INDEX(MRFLaborCost[MRFLaborType_Name],MATCH(MRFEquipOpFTEChanges[[#This Row],[LaborType_ID]],MRFLaborCost[MRFLaborType_ID],0))</f>
        <v>Equipment Operators / Supervisors / Maintenance / Scalehouse</v>
      </c>
      <c r="AQ20" s="264" t="s">
        <v>712</v>
      </c>
      <c r="AR20" s="264" t="s">
        <v>712</v>
      </c>
      <c r="AS20" s="264" t="str">
        <f>INDEX(MRFs[MRF_Name],MATCH(MRFEquipOpFTEChanges[[#This Row],[MRF_ID]],MRFs[MRF_ID],0))</f>
        <v>5 MRFs for SS with fiber upgrades (Portland)</v>
      </c>
      <c r="AT20" s="269">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177663.63906938551</v>
      </c>
      <c r="AU20" s="251">
        <f>(MRFEquipOpFTEChanges[[#This Row],[Total Baled Tons]])-(SUMIFS(MRFEquipOpFTEChanges[Total Baled Tons],MRFEquipOpFTEChanges[Scenario_ID],"S0",MRFEquipOpFTEChanges[MRF_ID],MRFEquipOpFTEChanges[[#This Row],[StartingMRF_ID]]))</f>
        <v>0</v>
      </c>
      <c r="AV20" s="271">
        <f>MRFEquipOpFTEChanges[[#This Row],[TotalBaledTonsChange]]/$AN$18</f>
        <v>0</v>
      </c>
      <c r="AY20" s="212" t="s">
        <v>876</v>
      </c>
      <c r="AZ20" s="212" t="s">
        <v>706</v>
      </c>
      <c r="BA20" s="212" t="s">
        <v>706</v>
      </c>
      <c r="BB20" s="212">
        <v>1</v>
      </c>
      <c r="BC20" s="212" t="str">
        <f>INDEX(MRFs[MRF_Name],MATCH(MRFLaborProductivity[[#This Row],[MRF_ID]],MRFs[MRF_ID],0))</f>
        <v>1 MRF for SS (Salem)</v>
      </c>
      <c r="BD20" s="212" t="str">
        <f>INDEX(MRFLaborCost[MRFLaborType_Name],MATCH(MRFLaborProductivity[[#This Row],[LaborType_ID]],MRFLaborCost[MRFLaborType_ID],0))</f>
        <v>Sort Labor</v>
      </c>
      <c r="BE20"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105.00358688569295</v>
      </c>
      <c r="BF20"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0" s="261">
        <f>MRFLaborProductivity[[#This Row],[Base_FTE]]+MRFLaborProductivity[[#This Row],[FTE_Change]]</f>
        <v>105.00358688569295</v>
      </c>
      <c r="BH20" s="102">
        <f>MRFLaborProductivity[[#This Row],[Scenario_FTE]]*SUMIFS(MRFLaborCost[Annual_CostPerFTE_2025],MRFLaborCost[MRFLaborType_ID],MRFLaborProductivity[[#This Row],[LaborType_ID]])</f>
        <v>6749769.5490044663</v>
      </c>
      <c r="BI20"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119577.1307510717</v>
      </c>
      <c r="BJ20" s="191">
        <f>IFERROR(MRFLaborProductivity[[#This Row],[Scenario_LaborCost]]/MRFLaborProductivity[[#This Row],[Tons_Sorted]],"")</f>
        <v>56.446993723705582</v>
      </c>
    </row>
    <row r="21" spans="2:62" ht="15" x14ac:dyDescent="0.25">
      <c r="B21" s="212" t="s">
        <v>876</v>
      </c>
      <c r="C21" s="212">
        <v>2</v>
      </c>
      <c r="D21" s="212" t="s">
        <v>904</v>
      </c>
      <c r="E21" s="241">
        <f>E20+5</f>
        <v>18.181740067802966</v>
      </c>
      <c r="F21" s="19">
        <v>1.4</v>
      </c>
      <c r="G21" s="115">
        <f>MRFLaborCost[[#This Row],[Hourly_Pay_2018]]*MRFLaborCost[[#This Row],[Benefits_Ratio]]</f>
        <v>25.454436094924151</v>
      </c>
      <c r="H21" s="241" t="s">
        <v>822</v>
      </c>
      <c r="I21" s="135">
        <f>INDEX(Inflation[Escalator],MATCH(MRFLaborCost[[#This Row],[Escalator_ID]],Inflation[Financial_ID],0))</f>
        <v>1.108096601756394</v>
      </c>
      <c r="J21" s="115">
        <f>MRFLaborCost[[#This Row],[HourlyLoadedCost_2018]]*MRFLaborCost[[#This Row],[Escalator]]</f>
        <v>28.205974136410749</v>
      </c>
      <c r="K21" s="101">
        <f>MRFLaborCost[[#This Row],[HourlyLoadedCost_2025]]*40*52</f>
        <v>58668.426203734358</v>
      </c>
      <c r="L21" s="225">
        <v>89</v>
      </c>
      <c r="O21" s="212" t="s">
        <v>876</v>
      </c>
      <c r="P21" s="212" t="s">
        <v>719</v>
      </c>
      <c r="Q21" s="212" t="str">
        <f>INDEX(MRFs[MRF_Name],MATCH(MRF_Shifts[[#This Row],[MRF_ID]],MRFs[MRF_ID],0))</f>
        <v>1 MRF for SS with fiber and container upgrades (Portland)</v>
      </c>
      <c r="R21" s="19">
        <v>1.5</v>
      </c>
      <c r="S21" s="19">
        <v>1</v>
      </c>
      <c r="V21" s="212" t="s">
        <v>876</v>
      </c>
      <c r="W21" s="212">
        <v>1</v>
      </c>
      <c r="X21" s="212" t="str">
        <f>INDEX(MRFLaborCost[MRFLaborType_Name],MATCH(MRFSorterFTEChanges[[#This Row],[LaborType_ID]],MRFLaborCost[MRFLaborType_ID],0))</f>
        <v>Sort Labor</v>
      </c>
      <c r="Y21" s="212" t="s">
        <v>719</v>
      </c>
      <c r="Z21" s="212" t="str">
        <f>INDEX(MRFs[MRF_Name],MATCH(MRFSorterFTEChanges[[#This Row],[MRF_ID]],MRFs[MRF_ID],0))</f>
        <v>1 MRF for SS with fiber and container upgrades (Portland)</v>
      </c>
      <c r="AA21" s="235" t="s">
        <v>909</v>
      </c>
      <c r="AB21" s="234">
        <v>0</v>
      </c>
      <c r="AC21" s="218">
        <f>(MRFSorterFTEChanges[[#This Row],[LaborType_ID]]=1)*SUMIFS(NewMRFEquipCounts[Optical_Paper],NewMRFEquipCounts[Scenario_ID],MRFSorterFTEChanges[[#This Row],[Scenario_ID]],NewMRFEquipCounts[MRF_ID],MRFSorterFTEChanges[[#This Row],[MRF_ID]])</f>
        <v>0</v>
      </c>
      <c r="AD21" s="234">
        <v>0</v>
      </c>
      <c r="AE21" s="234"/>
      <c r="AF21" s="263">
        <f>SUMIFS(MRF_Shifts[MRF_Count],MRF_Shifts[Scenario_ID],MRFSorterFTEChanges[[#This Row],[Scenario_ID]],MRF_Shifts[MRF_ID],MRFSorterFTEChanges[[#This Row],[MRF_ID]])</f>
        <v>1</v>
      </c>
      <c r="AG21" s="225">
        <f>SUMIFS(MRF_Shifts[Average Shifts per Day],MRF_Shifts[Scenario_ID],MRFSorterFTEChanges[[#This Row],[Scenario_ID]],MRF_Shifts[MRF_ID],MRFSorterFTEChanges[[#This Row],[MRF_ID]])</f>
        <v>1.5</v>
      </c>
      <c r="AH21"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21" s="264">
        <v>2</v>
      </c>
      <c r="AJ21" s="234"/>
      <c r="AK21" s="617">
        <f>MRFSorterFTEChanges[[#This Row],[MRF_Count]]*MRFSorterFTEChanges[[#This Row],[Change_Per_MRF_OpticalRobot-Maintenance]]</f>
        <v>0</v>
      </c>
      <c r="AN21" s="264" t="s">
        <v>876</v>
      </c>
      <c r="AO21" s="264">
        <v>2</v>
      </c>
      <c r="AP21" s="264" t="str">
        <f>INDEX(MRFLaborCost[MRFLaborType_Name],MATCH(MRFEquipOpFTEChanges[[#This Row],[LaborType_ID]],MRFLaborCost[MRFLaborType_ID],0))</f>
        <v>Equipment Operators / Supervisors / Maintenance / Scalehouse</v>
      </c>
      <c r="AQ21" s="264" t="s">
        <v>719</v>
      </c>
      <c r="AR21" s="264" t="s">
        <v>719</v>
      </c>
      <c r="AS21" s="264" t="str">
        <f>INDEX(MRFs[MRF_Name],MATCH(MRFEquipOpFTEChanges[[#This Row],[MRF_ID]],MRFs[MRF_ID],0))</f>
        <v>1 MRF for SS with fiber and container upgrades (Portland)</v>
      </c>
      <c r="AT21" s="269">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113931.00722701527</v>
      </c>
      <c r="AU21" s="251">
        <f>(MRFEquipOpFTEChanges[[#This Row],[Total Baled Tons]])-(SUMIFS(MRFEquipOpFTEChanges[Total Baled Tons],MRFEquipOpFTEChanges[Scenario_ID],"S0",MRFEquipOpFTEChanges[MRF_ID],MRFEquipOpFTEChanges[[#This Row],[StartingMRF_ID]]))</f>
        <v>0</v>
      </c>
      <c r="AV21" s="271">
        <f>MRFEquipOpFTEChanges[[#This Row],[TotalBaledTonsChange]]/$AN$18</f>
        <v>0</v>
      </c>
      <c r="AY21" s="212" t="s">
        <v>876</v>
      </c>
      <c r="AZ21" s="212" t="s">
        <v>706</v>
      </c>
      <c r="BA21" s="212" t="s">
        <v>706</v>
      </c>
      <c r="BB21" s="212">
        <v>2</v>
      </c>
      <c r="BC21" s="212" t="str">
        <f>INDEX(MRFs[MRF_Name],MATCH(MRFLaborProductivity[[#This Row],[MRF_ID]],MRFs[MRF_ID],0))</f>
        <v>1 MRF for SS (Salem)</v>
      </c>
      <c r="BD21" s="212" t="str">
        <f>INDEX(MRFLaborCost[MRFLaborType_Name],MATCH(MRFLaborProductivity[[#This Row],[LaborType_ID]],MRFLaborCost[MRFLaborType_ID],0))</f>
        <v>Equipment Operators / Supervisors / Maintenance / Scalehouse</v>
      </c>
      <c r="BE21"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23.018027667060771</v>
      </c>
      <c r="BF21"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1" s="261">
        <f>MRFLaborProductivity[[#This Row],[Base_FTE]]+MRFLaborProductivity[[#This Row],[FTE_Change]]</f>
        <v>23.018027667060771</v>
      </c>
      <c r="BH21" s="102">
        <f>MRFLaborProductivity[[#This Row],[Scenario_FTE]]*SUMIFS(MRFLaborCost[Annual_CostPerFTE_2025],MRFLaborCost[MRFLaborType_ID],MRFLaborProductivity[[#This Row],[LaborType_ID]])</f>
        <v>1350431.4575404706</v>
      </c>
      <c r="BI21"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119577.1307510717</v>
      </c>
      <c r="BJ21" s="191">
        <f>IFERROR(MRFLaborProductivity[[#This Row],[Scenario_LaborCost]]/MRFLaborProductivity[[#This Row],[Tons_Sorted]],"")</f>
        <v>11.293392382459114</v>
      </c>
    </row>
    <row r="22" spans="2:62" ht="15" x14ac:dyDescent="0.25">
      <c r="B22" s="212" t="s">
        <v>876</v>
      </c>
      <c r="C22" s="212">
        <v>3</v>
      </c>
      <c r="D22" s="212" t="s">
        <v>114</v>
      </c>
      <c r="E22" s="241">
        <v>40</v>
      </c>
      <c r="F22" s="19">
        <v>1.4</v>
      </c>
      <c r="G22" s="115">
        <f>MRFLaborCost[[#This Row],[Hourly_Pay_2018]]*MRFLaborCost[[#This Row],[Benefits_Ratio]]</f>
        <v>56</v>
      </c>
      <c r="H22" s="241" t="s">
        <v>79</v>
      </c>
      <c r="I22" s="135">
        <f>INDEX(Inflation[Escalator],MATCH(MRFLaborCost[[#This Row],[Escalator_ID]],Inflation[Financial_ID],0))</f>
        <v>1.1188403028848959</v>
      </c>
      <c r="J22" s="115">
        <f>MRFLaborCost[[#This Row],[HourlyLoadedCost_2018]]*MRFLaborCost[[#This Row],[Escalator]]</f>
        <v>62.655056961554166</v>
      </c>
      <c r="K22" s="101">
        <f>MRFLaborCost[[#This Row],[HourlyLoadedCost_2025]]*40*52</f>
        <v>130322.51848003267</v>
      </c>
      <c r="L22" s="225">
        <v>45</v>
      </c>
      <c r="O22" s="212" t="s">
        <v>876</v>
      </c>
      <c r="P22" s="212" t="s">
        <v>706</v>
      </c>
      <c r="Q22" s="212" t="str">
        <f>INDEX(MRFs[MRF_Name],MATCH(MRF_Shifts[[#This Row],[MRF_ID]],MRFs[MRF_ID],0))</f>
        <v>1 MRF for SS (Salem)</v>
      </c>
      <c r="R22" s="19">
        <v>1.5</v>
      </c>
      <c r="S22" s="19">
        <v>1</v>
      </c>
      <c r="V22" s="212" t="s">
        <v>876</v>
      </c>
      <c r="W22" s="212">
        <v>1</v>
      </c>
      <c r="X22" s="212" t="str">
        <f>INDEX(MRFLaborCost[MRFLaborType_Name],MATCH(MRFSorterFTEChanges[[#This Row],[LaborType_ID]],MRFLaborCost[MRFLaborType_ID],0))</f>
        <v>Sort Labor</v>
      </c>
      <c r="Y22" s="212" t="s">
        <v>706</v>
      </c>
      <c r="Z22" s="212" t="str">
        <f>INDEX(MRFs[MRF_Name],MATCH(MRFSorterFTEChanges[[#This Row],[MRF_ID]],MRFs[MRF_ID],0))</f>
        <v>1 MRF for SS (Salem)</v>
      </c>
      <c r="AA22" s="235" t="s">
        <v>909</v>
      </c>
      <c r="AB22" s="234">
        <v>0</v>
      </c>
      <c r="AC22" s="218">
        <f>(MRFSorterFTEChanges[[#This Row],[LaborType_ID]]=1)*SUMIFS(NewMRFEquipCounts[Optical_Paper],NewMRFEquipCounts[Scenario_ID],MRFSorterFTEChanges[[#This Row],[Scenario_ID]],NewMRFEquipCounts[MRF_ID],MRFSorterFTEChanges[[#This Row],[MRF_ID]])</f>
        <v>0</v>
      </c>
      <c r="AD22" s="234">
        <v>0</v>
      </c>
      <c r="AE22" s="234"/>
      <c r="AF22" s="263">
        <f>SUMIFS(MRF_Shifts[MRF_Count],MRF_Shifts[Scenario_ID],MRFSorterFTEChanges[[#This Row],[Scenario_ID]],MRF_Shifts[MRF_ID],MRFSorterFTEChanges[[#This Row],[MRF_ID]])</f>
        <v>1</v>
      </c>
      <c r="AG22" s="225">
        <f>SUMIFS(MRF_Shifts[Average Shifts per Day],MRF_Shifts[Scenario_ID],MRFSorterFTEChanges[[#This Row],[Scenario_ID]],MRF_Shifts[MRF_ID],MRFSorterFTEChanges[[#This Row],[MRF_ID]])</f>
        <v>1.5</v>
      </c>
      <c r="AH22"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22" s="264">
        <v>2</v>
      </c>
      <c r="AJ22" s="234"/>
      <c r="AK22" s="617">
        <f>MRFSorterFTEChanges[[#This Row],[MRF_Count]]*MRFSorterFTEChanges[[#This Row],[Change_Per_MRF_OpticalRobot-Maintenance]]</f>
        <v>0</v>
      </c>
      <c r="AN22" s="264" t="s">
        <v>876</v>
      </c>
      <c r="AO22" s="264">
        <v>2</v>
      </c>
      <c r="AP22" s="264" t="str">
        <f>INDEX(MRFLaborCost[MRFLaborType_Name],MATCH(MRFEquipOpFTEChanges[[#This Row],[LaborType_ID]],MRFLaborCost[MRFLaborType_ID],0))</f>
        <v>Equipment Operators / Supervisors / Maintenance / Scalehouse</v>
      </c>
      <c r="AQ22" s="264" t="s">
        <v>706</v>
      </c>
      <c r="AR22" s="264" t="s">
        <v>706</v>
      </c>
      <c r="AS22" s="264" t="str">
        <f>INDEX(MRFs[MRF_Name],MATCH(MRFEquipOpFTEChanges[[#This Row],[MRF_ID]],MRFs[MRF_ID],0))</f>
        <v>1 MRF for SS (Salem)</v>
      </c>
      <c r="AT22"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102014.49464479553</v>
      </c>
      <c r="AU22" s="251">
        <f>(MRFEquipOpFTEChanges[[#This Row],[Total Baled Tons]])-(SUMIFS(MRFEquipOpFTEChanges[Total Baled Tons],MRFEquipOpFTEChanges[Scenario_ID],"S0",MRFEquipOpFTEChanges[MRF_ID],MRFEquipOpFTEChanges[[#This Row],[StartingMRF_ID]]))</f>
        <v>0</v>
      </c>
      <c r="AV22" s="272">
        <f>MRFEquipOpFTEChanges[[#This Row],[TotalBaledTonsChange]]/$AN$18</f>
        <v>0</v>
      </c>
      <c r="AY22" s="212" t="s">
        <v>876</v>
      </c>
      <c r="AZ22" s="212" t="s">
        <v>706</v>
      </c>
      <c r="BA22" s="212" t="s">
        <v>706</v>
      </c>
      <c r="BB22" s="212">
        <v>3</v>
      </c>
      <c r="BC22" s="212" t="str">
        <f>INDEX(MRFs[MRF_Name],MATCH(MRFLaborProductivity[[#This Row],[MRF_ID]],MRFs[MRF_ID],0))</f>
        <v>1 MRF for SS (Salem)</v>
      </c>
      <c r="BD22" s="212" t="str">
        <f>INDEX(MRFLaborCost[MRFLaborType_Name],MATCH(MRFLaborProductivity[[#This Row],[LaborType_ID]],MRFLaborCost[MRFLaborType_ID],0))</f>
        <v>Admin / Mgmt / Marketing Expense</v>
      </c>
      <c r="BE22"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11.638328595704884</v>
      </c>
      <c r="BF22"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2" s="261">
        <f>MRFLaborProductivity[[#This Row],[Base_FTE]]+MRFLaborProductivity[[#This Row],[FTE_Change]]</f>
        <v>11.638328595704884</v>
      </c>
      <c r="BH22" s="102">
        <f>MRFLaborProductivity[[#This Row],[Scenario_FTE]]*SUMIFS(MRFLaborCost[Annual_CostPerFTE_2025],MRFLaborCost[MRFLaborType_ID],MRFLaborProductivity[[#This Row],[LaborType_ID]])</f>
        <v>1516736.2934904424</v>
      </c>
      <c r="BI22"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119577.1307510717</v>
      </c>
      <c r="BJ22" s="191">
        <f>IFERROR(MRFLaborProductivity[[#This Row],[Scenario_LaborCost]]/MRFLaborProductivity[[#This Row],[Tons_Sorted]],"")</f>
        <v>12.684166980456242</v>
      </c>
    </row>
    <row r="23" spans="2:62" ht="29.25" x14ac:dyDescent="0.25">
      <c r="O23" s="212" t="s">
        <v>875</v>
      </c>
      <c r="P23" s="212" t="s">
        <v>712</v>
      </c>
      <c r="Q23" s="212" t="str">
        <f>INDEX(MRFs[MRF_Name],MATCH(MRF_Shifts[[#This Row],[MRF_ID]],MRFs[MRF_ID],0))</f>
        <v>5 MRFs for SS with fiber upgrades (Portland)</v>
      </c>
      <c r="R23" s="19">
        <v>1.5</v>
      </c>
      <c r="S23" s="19">
        <v>5</v>
      </c>
      <c r="V23" s="212" t="s">
        <v>875</v>
      </c>
      <c r="W23" s="212">
        <v>1</v>
      </c>
      <c r="X23" s="212" t="str">
        <f>INDEX(MRFLaborCost[MRFLaborType_Name],MATCH(MRFSorterFTEChanges[[#This Row],[LaborType_ID]],MRFLaborCost[MRFLaborType_ID],0))</f>
        <v>Sort Labor</v>
      </c>
      <c r="Y23" s="212" t="s">
        <v>712</v>
      </c>
      <c r="Z23" s="212" t="str">
        <f>INDEX(MRFs[MRF_Name],MATCH(MRFSorterFTEChanges[[#This Row],[MRF_ID]],MRFs[MRF_ID],0))</f>
        <v>5 MRFs for SS with fiber upgrades (Portland)</v>
      </c>
      <c r="AA23" s="235" t="s">
        <v>3739</v>
      </c>
      <c r="AB23" s="234">
        <v>-4.3</v>
      </c>
      <c r="AC23" s="218">
        <f>(MRFSorterFTEChanges[[#This Row],[LaborType_ID]]=1)*SUMIFS(NewMRFEquipCounts[Optical_Paper],NewMRFEquipCounts[Scenario_ID],MRFSorterFTEChanges[[#This Row],[Scenario_ID]],NewMRFEquipCounts[MRF_ID],MRFSorterFTEChanges[[#This Row],[MRF_ID]])</f>
        <v>10</v>
      </c>
      <c r="AD23" s="234">
        <v>0</v>
      </c>
      <c r="AE23" s="234"/>
      <c r="AF23" s="263">
        <f>SUMIFS(MRF_Shifts[MRF_Count],MRF_Shifts[Scenario_ID],MRFSorterFTEChanges[[#This Row],[Scenario_ID]],MRF_Shifts[MRF_ID],MRFSorterFTEChanges[[#This Row],[MRF_ID]])</f>
        <v>5</v>
      </c>
      <c r="AG23" s="225">
        <f>SUMIFS(MRF_Shifts[Average Shifts per Day],MRF_Shifts[Scenario_ID],MRFSorterFTEChanges[[#This Row],[Scenario_ID]],MRF_Shifts[MRF_ID],MRFSorterFTEChanges[[#This Row],[MRF_ID]])</f>
        <v>1.5</v>
      </c>
      <c r="AH23"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-64.5</v>
      </c>
      <c r="AI23" s="264">
        <v>2</v>
      </c>
      <c r="AJ23" s="234">
        <v>0.5</v>
      </c>
      <c r="AK23" s="617">
        <f>MRFSorterFTEChanges[[#This Row],[MRF_Count]]*MRFSorterFTEChanges[[#This Row],[Change_Per_MRF_OpticalRobot-Maintenance]]</f>
        <v>2.5</v>
      </c>
      <c r="AN23" s="264" t="s">
        <v>875</v>
      </c>
      <c r="AO23" s="264">
        <v>2</v>
      </c>
      <c r="AP23" s="264" t="str">
        <f>INDEX(MRFLaborCost[MRFLaborType_Name],MATCH(MRFEquipOpFTEChanges[[#This Row],[LaborType_ID]],MRFLaborCost[MRFLaborType_ID],0))</f>
        <v>Equipment Operators / Supervisors / Maintenance / Scalehouse</v>
      </c>
      <c r="AQ23" s="264" t="s">
        <v>712</v>
      </c>
      <c r="AR23" s="264" t="s">
        <v>712</v>
      </c>
      <c r="AS23" s="264" t="str">
        <f>INDEX(MRFs[MRF_Name],MATCH(MRFEquipOpFTEChanges[[#This Row],[MRF_ID]],MRFs[MRF_ID],0))</f>
        <v>5 MRFs for SS with fiber upgrades (Portland)</v>
      </c>
      <c r="AT23"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174499.06632303391</v>
      </c>
      <c r="AU23" s="251">
        <f>(MRFEquipOpFTEChanges[[#This Row],[Total Baled Tons]])-(SUMIFS(MRFEquipOpFTEChanges[Total Baled Tons],MRFEquipOpFTEChanges[Scenario_ID],"S0",MRFEquipOpFTEChanges[MRF_ID],MRFEquipOpFTEChanges[[#This Row],[StartingMRF_ID]]))</f>
        <v>-3164.5727463515941</v>
      </c>
      <c r="AV23" s="272">
        <f>MRFEquipOpFTEChanges[[#This Row],[TotalBaledTonsChange]]/$AN$18</f>
        <v>-0.77184701130526689</v>
      </c>
      <c r="AY23" s="212" t="s">
        <v>876</v>
      </c>
      <c r="AZ23" s="212" t="s">
        <v>712</v>
      </c>
      <c r="BA23" s="212" t="s">
        <v>712</v>
      </c>
      <c r="BB23" s="212">
        <v>1</v>
      </c>
      <c r="BC23" s="212" t="str">
        <f>INDEX(MRFs[MRF_Name],MATCH(MRFLaborProductivity[[#This Row],[MRF_ID]],MRFs[MRF_ID],0))</f>
        <v>5 MRFs for SS with fiber upgrades (Portland)</v>
      </c>
      <c r="BD23" s="212" t="str">
        <f>INDEX(MRFLaborCost[MRFLaborType_Name],MATCH(MRFLaborProductivity[[#This Row],[LaborType_ID]],MRFLaborCost[MRFLaborType_ID],0))</f>
        <v>Sort Labor</v>
      </c>
      <c r="BE23"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183.92927769206852</v>
      </c>
      <c r="BF23"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3" s="261">
        <f>MRFLaborProductivity[[#This Row],[Base_FTE]]+MRFLaborProductivity[[#This Row],[FTE_Change]]</f>
        <v>183.92927769206852</v>
      </c>
      <c r="BH23" s="102">
        <f>MRFLaborProductivity[[#This Row],[Scenario_FTE]]*SUMIFS(MRFLaborCost[Annual_CostPerFTE_2025],MRFLaborCost[MRFLaborType_ID],MRFLaborProductivity[[#This Row],[LaborType_ID]])</f>
        <v>11823217.421018079</v>
      </c>
      <c r="BI23"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209456.99037383424</v>
      </c>
      <c r="BJ23" s="191">
        <f>IFERROR(MRFLaborProductivity[[#This Row],[Scenario_LaborCost]]/MRFLaborProductivity[[#This Row],[Tons_Sorted]],"")</f>
        <v>56.446993723705567</v>
      </c>
    </row>
    <row r="24" spans="2:62" ht="15" x14ac:dyDescent="0.25">
      <c r="O24" s="212" t="s">
        <v>875</v>
      </c>
      <c r="P24" s="212" t="s">
        <v>719</v>
      </c>
      <c r="Q24" s="212" t="str">
        <f>INDEX(MRFs[MRF_Name],MATCH(MRF_Shifts[[#This Row],[MRF_ID]],MRFs[MRF_ID],0))</f>
        <v>1 MRF for SS with fiber and container upgrades (Portland)</v>
      </c>
      <c r="R24" s="19">
        <v>1.5</v>
      </c>
      <c r="S24" s="19">
        <v>1</v>
      </c>
      <c r="V24" s="212" t="s">
        <v>875</v>
      </c>
      <c r="W24" s="212">
        <v>1</v>
      </c>
      <c r="X24" s="212" t="str">
        <f>INDEX(MRFLaborCost[MRFLaborType_Name],MATCH(MRFSorterFTEChanges[[#This Row],[LaborType_ID]],MRFLaborCost[MRFLaborType_ID],0))</f>
        <v>Sort Labor</v>
      </c>
      <c r="Y24" s="212" t="s">
        <v>719</v>
      </c>
      <c r="Z24" s="212" t="str">
        <f>INDEX(MRFs[MRF_Name],MATCH(MRFSorterFTEChanges[[#This Row],[MRF_ID]],MRFs[MRF_ID],0))</f>
        <v>1 MRF for SS with fiber and container upgrades (Portland)</v>
      </c>
      <c r="AA24" s="235" t="s">
        <v>3734</v>
      </c>
      <c r="AB24" s="234"/>
      <c r="AC24" s="218">
        <f>(MRFSorterFTEChanges[[#This Row],[LaborType_ID]]=1)*SUMIFS(NewMRFEquipCounts[Optical_Paper],NewMRFEquipCounts[Scenario_ID],MRFSorterFTEChanges[[#This Row],[Scenario_ID]],NewMRFEquipCounts[MRF_ID],MRFSorterFTEChanges[[#This Row],[MRF_ID]])</f>
        <v>0</v>
      </c>
      <c r="AD24" s="234">
        <v>0</v>
      </c>
      <c r="AE24" s="234"/>
      <c r="AF24" s="263">
        <f>SUMIFS(MRF_Shifts[MRF_Count],MRF_Shifts[Scenario_ID],MRFSorterFTEChanges[[#This Row],[Scenario_ID]],MRF_Shifts[MRF_ID],MRFSorterFTEChanges[[#This Row],[MRF_ID]])</f>
        <v>1</v>
      </c>
      <c r="AG24" s="225">
        <f>SUMIFS(MRF_Shifts[Average Shifts per Day],MRF_Shifts[Scenario_ID],MRFSorterFTEChanges[[#This Row],[Scenario_ID]],MRF_Shifts[MRF_ID],MRFSorterFTEChanges[[#This Row],[MRF_ID]])</f>
        <v>1.5</v>
      </c>
      <c r="AH24"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24" s="264">
        <v>2</v>
      </c>
      <c r="AJ24" s="234"/>
      <c r="AK24" s="617">
        <f>MRFSorterFTEChanges[[#This Row],[MRF_Count]]*MRFSorterFTEChanges[[#This Row],[Change_Per_MRF_OpticalRobot-Maintenance]]</f>
        <v>0</v>
      </c>
      <c r="AN24" s="264" t="s">
        <v>875</v>
      </c>
      <c r="AO24" s="264">
        <v>2</v>
      </c>
      <c r="AP24" s="264" t="str">
        <f>INDEX(MRFLaborCost[MRFLaborType_Name],MATCH(MRFEquipOpFTEChanges[[#This Row],[LaborType_ID]],MRFLaborCost[MRFLaborType_ID],0))</f>
        <v>Equipment Operators / Supervisors / Maintenance / Scalehouse</v>
      </c>
      <c r="AQ24" s="264" t="s">
        <v>719</v>
      </c>
      <c r="AR24" s="264" t="s">
        <v>719</v>
      </c>
      <c r="AS24" s="264" t="str">
        <f>INDEX(MRFs[MRF_Name],MATCH(MRFEquipOpFTEChanges[[#This Row],[MRF_ID]],MRFs[MRF_ID],0))</f>
        <v>1 MRF for SS with fiber and container upgrades (Portland)</v>
      </c>
      <c r="AT24"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111364.37948708581</v>
      </c>
      <c r="AU24" s="251">
        <f>(MRFEquipOpFTEChanges[[#This Row],[Total Baled Tons]])-(SUMIFS(MRFEquipOpFTEChanges[Total Baled Tons],MRFEquipOpFTEChanges[Scenario_ID],"S0",MRFEquipOpFTEChanges[MRF_ID],MRFEquipOpFTEChanges[[#This Row],[StartingMRF_ID]]))</f>
        <v>-2566.6277399294631</v>
      </c>
      <c r="AV24" s="272">
        <f>MRFEquipOpFTEChanges[[#This Row],[TotalBaledTonsChange]]/$AN$18</f>
        <v>-0.62600676583645443</v>
      </c>
      <c r="AY24" s="212" t="s">
        <v>876</v>
      </c>
      <c r="AZ24" s="212" t="s">
        <v>712</v>
      </c>
      <c r="BA24" s="212" t="s">
        <v>712</v>
      </c>
      <c r="BB24" s="212">
        <v>2</v>
      </c>
      <c r="BC24" s="212" t="str">
        <f>INDEX(MRFs[MRF_Name],MATCH(MRFLaborProductivity[[#This Row],[MRF_ID]],MRFs[MRF_ID],0))</f>
        <v>5 MRFs for SS with fiber upgrades (Portland)</v>
      </c>
      <c r="BD24" s="212" t="str">
        <f>INDEX(MRFLaborCost[MRFLaborType_Name],MATCH(MRFLaborProductivity[[#This Row],[LaborType_ID]],MRFLaborCost[MRFLaborType_ID],0))</f>
        <v>Equipment Operators / Supervisors / Maintenance / Scalehouse</v>
      </c>
      <c r="BE24"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40.319472203433747</v>
      </c>
      <c r="BF24"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4" s="261">
        <f>MRFLaborProductivity[[#This Row],[Base_FTE]]+MRFLaborProductivity[[#This Row],[FTE_Change]]</f>
        <v>40.319472203433747</v>
      </c>
      <c r="BH24" s="102">
        <f>MRFLaborProductivity[[#This Row],[Scenario_FTE]]*SUMIFS(MRFLaborCost[Annual_CostPerFTE_2025],MRFLaborCost[MRFLaborType_ID],MRFLaborProductivity[[#This Row],[LaborType_ID]])</f>
        <v>2365479.9795406717</v>
      </c>
      <c r="BI24"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209456.99037383424</v>
      </c>
      <c r="BJ24" s="191">
        <f>IFERROR(MRFLaborProductivity[[#This Row],[Scenario_LaborCost]]/MRFLaborProductivity[[#This Row],[Tons_Sorted]],"")</f>
        <v>11.293392382459114</v>
      </c>
    </row>
    <row r="25" spans="2:62" ht="15" x14ac:dyDescent="0.25">
      <c r="O25" s="212" t="s">
        <v>875</v>
      </c>
      <c r="P25" s="212" t="s">
        <v>706</v>
      </c>
      <c r="Q25" s="212" t="str">
        <f>INDEX(MRFs[MRF_Name],MATCH(MRF_Shifts[[#This Row],[MRF_ID]],MRFs[MRF_ID],0))</f>
        <v>1 MRF for SS (Salem)</v>
      </c>
      <c r="R25" s="19">
        <v>1.5</v>
      </c>
      <c r="S25" s="19">
        <v>1</v>
      </c>
      <c r="V25" s="212" t="s">
        <v>875</v>
      </c>
      <c r="W25" s="212">
        <v>1</v>
      </c>
      <c r="X25" s="212" t="str">
        <f>INDEX(MRFLaborCost[MRFLaborType_Name],MATCH(MRFSorterFTEChanges[[#This Row],[LaborType_ID]],MRFLaborCost[MRFLaborType_ID],0))</f>
        <v>Sort Labor</v>
      </c>
      <c r="Y25" s="212" t="s">
        <v>706</v>
      </c>
      <c r="Z25" s="212" t="str">
        <f>INDEX(MRFs[MRF_Name],MATCH(MRFSorterFTEChanges[[#This Row],[MRF_ID]],MRFs[MRF_ID],0))</f>
        <v>1 MRF for SS (Salem)</v>
      </c>
      <c r="AA25" s="235" t="s">
        <v>908</v>
      </c>
      <c r="AB25" s="234">
        <v>0</v>
      </c>
      <c r="AC25" s="218">
        <f>(MRFSorterFTEChanges[[#This Row],[LaborType_ID]]=1)*SUMIFS(NewMRFEquipCounts[Optical_Paper],NewMRFEquipCounts[Scenario_ID],MRFSorterFTEChanges[[#This Row],[Scenario_ID]],NewMRFEquipCounts[MRF_ID],MRFSorterFTEChanges[[#This Row],[MRF_ID]])</f>
        <v>0</v>
      </c>
      <c r="AD25" s="234">
        <v>0</v>
      </c>
      <c r="AE25" s="234"/>
      <c r="AF25" s="263">
        <f>SUMIFS(MRF_Shifts[MRF_Count],MRF_Shifts[Scenario_ID],MRFSorterFTEChanges[[#This Row],[Scenario_ID]],MRF_Shifts[MRF_ID],MRFSorterFTEChanges[[#This Row],[MRF_ID]])</f>
        <v>1</v>
      </c>
      <c r="AG25" s="225">
        <f>SUMIFS(MRF_Shifts[Average Shifts per Day],MRF_Shifts[Scenario_ID],MRFSorterFTEChanges[[#This Row],[Scenario_ID]],MRF_Shifts[MRF_ID],MRFSorterFTEChanges[[#This Row],[MRF_ID]])</f>
        <v>1.5</v>
      </c>
      <c r="AH25"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25" s="264">
        <v>2</v>
      </c>
      <c r="AJ25" s="234"/>
      <c r="AK25" s="617">
        <f>MRFSorterFTEChanges[[#This Row],[MRF_Count]]*MRFSorterFTEChanges[[#This Row],[Change_Per_MRF_OpticalRobot-Maintenance]]</f>
        <v>0</v>
      </c>
      <c r="AN25" s="264" t="s">
        <v>875</v>
      </c>
      <c r="AO25" s="264">
        <v>2</v>
      </c>
      <c r="AP25" s="264" t="str">
        <f>INDEX(MRFLaborCost[MRFLaborType_Name],MATCH(MRFEquipOpFTEChanges[[#This Row],[LaborType_ID]],MRFLaborCost[MRFLaborType_ID],0))</f>
        <v>Equipment Operators / Supervisors / Maintenance / Scalehouse</v>
      </c>
      <c r="AQ25" s="264" t="s">
        <v>706</v>
      </c>
      <c r="AR25" s="264" t="s">
        <v>706</v>
      </c>
      <c r="AS25" s="264" t="str">
        <f>INDEX(MRFs[MRF_Name],MATCH(MRFEquipOpFTEChanges[[#This Row],[MRF_ID]],MRFs[MRF_ID],0))</f>
        <v>1 MRF for SS (Salem)</v>
      </c>
      <c r="AT25"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99075.106838971522</v>
      </c>
      <c r="AU25" s="251">
        <f>(MRFEquipOpFTEChanges[[#This Row],[Total Baled Tons]])-(SUMIFS(MRFEquipOpFTEChanges[Total Baled Tons],MRFEquipOpFTEChanges[Scenario_ID],"S0",MRFEquipOpFTEChanges[MRF_ID],MRFEquipOpFTEChanges[[#This Row],[StartingMRF_ID]]))</f>
        <v>-2939.387805824008</v>
      </c>
      <c r="AV25" s="272">
        <f>MRFEquipOpFTEChanges[[#This Row],[TotalBaledTonsChange]]/$AN$18</f>
        <v>-0.71692385507902634</v>
      </c>
      <c r="AY25" s="212" t="s">
        <v>876</v>
      </c>
      <c r="AZ25" s="212" t="s">
        <v>712</v>
      </c>
      <c r="BA25" s="212" t="s">
        <v>712</v>
      </c>
      <c r="BB25" s="212">
        <v>3</v>
      </c>
      <c r="BC25" s="212" t="str">
        <f>INDEX(MRFs[MRF_Name],MATCH(MRFLaborProductivity[[#This Row],[MRF_ID]],MRFs[MRF_ID],0))</f>
        <v>5 MRFs for SS with fiber upgrades (Portland)</v>
      </c>
      <c r="BD25" s="212" t="str">
        <f>INDEX(MRFLaborCost[MRFLaborType_Name],MATCH(MRFLaborProductivity[[#This Row],[LaborType_ID]],MRFLaborCost[MRFLaborType_ID],0))</f>
        <v>Admin / Mgmt / Marketing Expense</v>
      </c>
      <c r="BE25"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20.386249990500204</v>
      </c>
      <c r="BF25"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5" s="261">
        <f>MRFLaborProductivity[[#This Row],[Base_FTE]]+MRFLaborProductivity[[#This Row],[FTE_Change]]</f>
        <v>20.386249990500204</v>
      </c>
      <c r="BH25" s="102">
        <f>MRFLaborProductivity[[#This Row],[Scenario_FTE]]*SUMIFS(MRFLaborCost[Annual_CostPerFTE_2025],MRFLaborCost[MRFLaborType_ID],MRFLaborProductivity[[#This Row],[LaborType_ID]])</f>
        <v>2656787.4411255284</v>
      </c>
      <c r="BI25"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209456.99037383424</v>
      </c>
      <c r="BJ25" s="191">
        <f>IFERROR(MRFLaborProductivity[[#This Row],[Scenario_LaborCost]]/MRFLaborProductivity[[#This Row],[Tons_Sorted]],"")</f>
        <v>12.684166980456238</v>
      </c>
    </row>
    <row r="26" spans="2:62" ht="29.25" x14ac:dyDescent="0.25">
      <c r="O26" s="212" t="s">
        <v>874</v>
      </c>
      <c r="P26" s="212" t="s">
        <v>712</v>
      </c>
      <c r="Q26" s="212" t="str">
        <f>INDEX(MRFs[MRF_Name],MATCH(MRF_Shifts[[#This Row],[MRF_ID]],MRFs[MRF_ID],0))</f>
        <v>5 MRFs for SS with fiber upgrades (Portland)</v>
      </c>
      <c r="R26" s="19">
        <v>1.5</v>
      </c>
      <c r="S26" s="19">
        <v>5</v>
      </c>
      <c r="V26" s="212" t="s">
        <v>874</v>
      </c>
      <c r="W26" s="212">
        <v>1</v>
      </c>
      <c r="X26" s="212" t="str">
        <f>INDEX(MRFLaborCost[MRFLaborType_Name],MATCH(MRFSorterFTEChanges[[#This Row],[LaborType_ID]],MRFLaborCost[MRFLaborType_ID],0))</f>
        <v>Sort Labor</v>
      </c>
      <c r="Y26" s="212" t="s">
        <v>712</v>
      </c>
      <c r="Z26" s="212" t="str">
        <f>INDEX(MRFs[MRF_Name],MATCH(MRFSorterFTEChanges[[#This Row],[MRF_ID]],MRFs[MRF_ID],0))</f>
        <v>5 MRFs for SS with fiber upgrades (Portland)</v>
      </c>
      <c r="AA26" s="235" t="s">
        <v>3740</v>
      </c>
      <c r="AB26" s="234">
        <v>-4.3</v>
      </c>
      <c r="AC26" s="218">
        <f>(MRFSorterFTEChanges[[#This Row],[LaborType_ID]]=1)*SUMIFS(NewMRFEquipCounts[Optical_Paper],NewMRFEquipCounts[Scenario_ID],MRFSorterFTEChanges[[#This Row],[Scenario_ID]],NewMRFEquipCounts[MRF_ID],MRFSorterFTEChanges[[#This Row],[MRF_ID]])</f>
        <v>10</v>
      </c>
      <c r="AD26" s="234">
        <v>0</v>
      </c>
      <c r="AE26" s="234">
        <f>-5</f>
        <v>-5</v>
      </c>
      <c r="AF26" s="263">
        <f>SUMIFS(MRF_Shifts[MRF_Count],MRF_Shifts[Scenario_ID],MRFSorterFTEChanges[[#This Row],[Scenario_ID]],MRF_Shifts[MRF_ID],MRFSorterFTEChanges[[#This Row],[MRF_ID]])</f>
        <v>5</v>
      </c>
      <c r="AG26" s="225">
        <f>SUMIFS(MRF_Shifts[Average Shifts per Day],MRF_Shifts[Scenario_ID],MRFSorterFTEChanges[[#This Row],[Scenario_ID]],MRF_Shifts[MRF_ID],MRFSorterFTEChanges[[#This Row],[MRF_ID]])</f>
        <v>1.5</v>
      </c>
      <c r="AH26"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-102</v>
      </c>
      <c r="AI26" s="264">
        <v>2</v>
      </c>
      <c r="AJ26" s="234">
        <v>0.5</v>
      </c>
      <c r="AK26" s="617">
        <f>MRFSorterFTEChanges[[#This Row],[MRF_Count]]*MRFSorterFTEChanges[[#This Row],[Change_Per_MRF_OpticalRobot-Maintenance]]</f>
        <v>2.5</v>
      </c>
      <c r="AN26" s="264" t="s">
        <v>874</v>
      </c>
      <c r="AO26" s="264">
        <v>2</v>
      </c>
      <c r="AP26" s="264" t="str">
        <f>INDEX(MRFLaborCost[MRFLaborType_Name],MATCH(MRFEquipOpFTEChanges[[#This Row],[LaborType_ID]],MRFLaborCost[MRFLaborType_ID],0))</f>
        <v>Equipment Operators / Supervisors / Maintenance / Scalehouse</v>
      </c>
      <c r="AQ26" s="264" t="s">
        <v>712</v>
      </c>
      <c r="AR26" s="264" t="s">
        <v>712</v>
      </c>
      <c r="AS26" s="264" t="str">
        <f>INDEX(MRFs[MRF_Name],MATCH(MRFEquipOpFTEChanges[[#This Row],[MRF_ID]],MRFs[MRF_ID],0))</f>
        <v>5 MRFs for SS with fiber upgrades (Portland)</v>
      </c>
      <c r="AT26"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180083.54444747695</v>
      </c>
      <c r="AU26" s="251">
        <f>(MRFEquipOpFTEChanges[[#This Row],[Total Baled Tons]])-(SUMIFS(MRFEquipOpFTEChanges[Total Baled Tons],MRFEquipOpFTEChanges[Scenario_ID],"S0",MRFEquipOpFTEChanges[MRF_ID],MRFEquipOpFTEChanges[[#This Row],[StartingMRF_ID]]))</f>
        <v>2419.9053780914401</v>
      </c>
      <c r="AV26" s="272">
        <f>MRFEquipOpFTEChanges[[#This Row],[TotalBaledTonsChange]]/$AN$18</f>
        <v>0.59022082392474151</v>
      </c>
      <c r="AY26" s="212" t="s">
        <v>876</v>
      </c>
      <c r="AZ26" s="212" t="s">
        <v>719</v>
      </c>
      <c r="BA26" s="212" t="s">
        <v>719</v>
      </c>
      <c r="BB26" s="212">
        <v>1</v>
      </c>
      <c r="BC26" s="212" t="str">
        <f>INDEX(MRFs[MRF_Name],MATCH(MRFLaborProductivity[[#This Row],[MRF_ID]],MRFs[MRF_ID],0))</f>
        <v>1 MRF for SS with fiber and container upgrades (Portland)</v>
      </c>
      <c r="BD26" s="212" t="str">
        <f>INDEX(MRFLaborCost[MRFLaborType_Name],MATCH(MRFLaborProductivity[[#This Row],[LaborType_ID]],MRFLaborCost[MRFLaborType_ID],0))</f>
        <v>Sort Labor</v>
      </c>
      <c r="BE26"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117.06713542223852</v>
      </c>
      <c r="BF26"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6" s="261">
        <f>MRFLaborProductivity[[#This Row],[Base_FTE]]+MRFLaborProductivity[[#This Row],[FTE_Change]]</f>
        <v>117.06713542223852</v>
      </c>
      <c r="BH26" s="102">
        <f>MRFLaborProductivity[[#This Row],[Scenario_FTE]]*SUMIFS(MRFLaborCost[Annual_CostPerFTE_2025],MRFLaborCost[MRFLaborType_ID],MRFLaborProductivity[[#This Row],[LaborType_ID]])</f>
        <v>7525230.4163894374</v>
      </c>
      <c r="BI26"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133314.99022292712</v>
      </c>
      <c r="BJ26" s="191">
        <f>IFERROR(MRFLaborProductivity[[#This Row],[Scenario_LaborCost]]/MRFLaborProductivity[[#This Row],[Tons_Sorted]],"")</f>
        <v>56.446993723705575</v>
      </c>
    </row>
    <row r="27" spans="2:62" ht="43.5" x14ac:dyDescent="0.25">
      <c r="O27" s="212" t="s">
        <v>874</v>
      </c>
      <c r="P27" s="212" t="s">
        <v>719</v>
      </c>
      <c r="Q27" s="212" t="str">
        <f>INDEX(MRFs[MRF_Name],MATCH(MRF_Shifts[[#This Row],[MRF_ID]],MRFs[MRF_ID],0))</f>
        <v>1 MRF for SS with fiber and container upgrades (Portland)</v>
      </c>
      <c r="R27" s="19">
        <v>3</v>
      </c>
      <c r="S27" s="19">
        <v>1</v>
      </c>
      <c r="V27" s="212" t="s">
        <v>874</v>
      </c>
      <c r="W27" s="212">
        <v>1</v>
      </c>
      <c r="X27" s="212" t="str">
        <f>INDEX(MRFLaborCost[MRFLaborType_Name],MATCH(MRFSorterFTEChanges[[#This Row],[LaborType_ID]],MRFLaborCost[MRFLaborType_ID],0))</f>
        <v>Sort Labor</v>
      </c>
      <c r="Y27" s="212" t="s">
        <v>719</v>
      </c>
      <c r="Z27" s="212" t="str">
        <f>INDEX(MRFs[MRF_Name],MATCH(MRFSorterFTEChanges[[#This Row],[MRF_ID]],MRFs[MRF_ID],0))</f>
        <v>1 MRF for SS with fiber and container upgrades (Portland)</v>
      </c>
      <c r="AA27" s="235" t="s">
        <v>3741</v>
      </c>
      <c r="AB27" s="234"/>
      <c r="AC27" s="218">
        <f>(MRFSorterFTEChanges[[#This Row],[LaborType_ID]]=1)*SUMIFS(NewMRFEquipCounts[Optical_Paper],NewMRFEquipCounts[Scenario_ID],MRFSorterFTEChanges[[#This Row],[Scenario_ID]],NewMRFEquipCounts[MRF_ID],MRFSorterFTEChanges[[#This Row],[MRF_ID]])</f>
        <v>0</v>
      </c>
      <c r="AD27" s="234">
        <v>1</v>
      </c>
      <c r="AE27" s="234"/>
      <c r="AF27" s="263">
        <f>SUMIFS(MRF_Shifts[MRF_Count],MRF_Shifts[Scenario_ID],MRFSorterFTEChanges[[#This Row],[Scenario_ID]],MRF_Shifts[MRF_ID],MRFSorterFTEChanges[[#This Row],[MRF_ID]])</f>
        <v>1</v>
      </c>
      <c r="AG27" s="225">
        <f>SUMIFS(MRF_Shifts[Average Shifts per Day],MRF_Shifts[Scenario_ID],MRFSorterFTEChanges[[#This Row],[Scenario_ID]],MRF_Shifts[MRF_ID],MRFSorterFTEChanges[[#This Row],[MRF_ID]])</f>
        <v>3</v>
      </c>
      <c r="AH27"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3</v>
      </c>
      <c r="AI27" s="264">
        <v>2</v>
      </c>
      <c r="AJ27" s="234">
        <v>1</v>
      </c>
      <c r="AK27" s="617">
        <f>MRFSorterFTEChanges[[#This Row],[MRF_Count]]*MRFSorterFTEChanges[[#This Row],[Change_Per_MRF_OpticalRobot-Maintenance]]</f>
        <v>1</v>
      </c>
      <c r="AN27" s="264" t="s">
        <v>874</v>
      </c>
      <c r="AO27" s="264">
        <v>2</v>
      </c>
      <c r="AP27" s="264" t="str">
        <f>INDEX(MRFLaborCost[MRFLaborType_Name],MATCH(MRFEquipOpFTEChanges[[#This Row],[LaborType_ID]],MRFLaborCost[MRFLaborType_ID],0))</f>
        <v>Equipment Operators / Supervisors / Maintenance / Scalehouse</v>
      </c>
      <c r="AQ27" s="264" t="s">
        <v>719</v>
      </c>
      <c r="AR27" s="264" t="s">
        <v>719</v>
      </c>
      <c r="AS27" s="264" t="str">
        <f>INDEX(MRFs[MRF_Name],MATCH(MRFEquipOpFTEChanges[[#This Row],[MRF_ID]],MRFs[MRF_ID],0))</f>
        <v>1 MRF for SS with fiber and container upgrades (Portland)</v>
      </c>
      <c r="AT27"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123678.75374369867</v>
      </c>
      <c r="AU27" s="251">
        <f>(MRFEquipOpFTEChanges[[#This Row],[Total Baled Tons]])-(SUMIFS(MRFEquipOpFTEChanges[Total Baled Tons],MRFEquipOpFTEChanges[Scenario_ID],"S0",MRFEquipOpFTEChanges[MRF_ID],MRFEquipOpFTEChanges[[#This Row],[StartingMRF_ID]]))</f>
        <v>9747.7465166834008</v>
      </c>
      <c r="AV27" s="272">
        <f>MRFEquipOpFTEChanges[[#This Row],[TotalBaledTonsChange]]/$AN$18</f>
        <v>2.3774991504105856</v>
      </c>
      <c r="AY27" s="212" t="s">
        <v>876</v>
      </c>
      <c r="AZ27" s="212" t="s">
        <v>719</v>
      </c>
      <c r="BA27" s="212" t="s">
        <v>719</v>
      </c>
      <c r="BB27" s="212">
        <v>2</v>
      </c>
      <c r="BC27" s="212" t="str">
        <f>INDEX(MRFs[MRF_Name],MATCH(MRFLaborProductivity[[#This Row],[MRF_ID]],MRFs[MRF_ID],0))</f>
        <v>1 MRF for SS with fiber and container upgrades (Portland)</v>
      </c>
      <c r="BD27" s="212" t="str">
        <f>INDEX(MRFLaborCost[MRFLaborType_Name],MATCH(MRFLaborProductivity[[#This Row],[LaborType_ID]],MRFLaborCost[MRFLaborType_ID],0))</f>
        <v>Equipment Operators / Supervisors / Maintenance / Scalehouse</v>
      </c>
      <c r="BE27"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25.662500129505489</v>
      </c>
      <c r="BF27"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7" s="261">
        <f>MRFLaborProductivity[[#This Row],[Base_FTE]]+MRFLaborProductivity[[#This Row],[FTE_Change]]</f>
        <v>25.662500129505489</v>
      </c>
      <c r="BH27" s="102">
        <f>MRFLaborProductivity[[#This Row],[Scenario_FTE]]*SUMIFS(MRFLaborCost[Annual_CostPerFTE_2025],MRFLaborCost[MRFLaborType_ID],MRFLaborProductivity[[#This Row],[LaborType_ID]])</f>
        <v>1505578.4950512161</v>
      </c>
      <c r="BI27"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133314.99022292712</v>
      </c>
      <c r="BJ27" s="191">
        <f>IFERROR(MRFLaborProductivity[[#This Row],[Scenario_LaborCost]]/MRFLaborProductivity[[#This Row],[Tons_Sorted]],"")</f>
        <v>11.293392382459112</v>
      </c>
    </row>
    <row r="28" spans="2:62" ht="15" x14ac:dyDescent="0.25">
      <c r="O28" s="212" t="s">
        <v>874</v>
      </c>
      <c r="P28" s="212" t="s">
        <v>706</v>
      </c>
      <c r="Q28" s="212" t="str">
        <f>INDEX(MRFs[MRF_Name],MATCH(MRF_Shifts[[#This Row],[MRF_ID]],MRFs[MRF_ID],0))</f>
        <v>1 MRF for SS (Salem)</v>
      </c>
      <c r="R28" s="19">
        <v>1.5</v>
      </c>
      <c r="S28" s="19">
        <v>1</v>
      </c>
      <c r="V28" s="212" t="s">
        <v>874</v>
      </c>
      <c r="W28" s="212">
        <v>1</v>
      </c>
      <c r="X28" s="212" t="str">
        <f>INDEX(MRFLaborCost[MRFLaborType_Name],MATCH(MRFSorterFTEChanges[[#This Row],[LaborType_ID]],MRFLaborCost[MRFLaborType_ID],0))</f>
        <v>Sort Labor</v>
      </c>
      <c r="Y28" s="212" t="s">
        <v>706</v>
      </c>
      <c r="Z28" s="212" t="str">
        <f>INDEX(MRFs[MRF_Name],MATCH(MRFSorterFTEChanges[[#This Row],[MRF_ID]],MRFs[MRF_ID],0))</f>
        <v>1 MRF for SS (Salem)</v>
      </c>
      <c r="AA28" s="235" t="s">
        <v>3732</v>
      </c>
      <c r="AB28" s="234">
        <v>0</v>
      </c>
      <c r="AC28" s="218">
        <f>(MRFSorterFTEChanges[[#This Row],[LaborType_ID]]=1)*SUMIFS(NewMRFEquipCounts[Optical_Paper],NewMRFEquipCounts[Scenario_ID],MRFSorterFTEChanges[[#This Row],[Scenario_ID]],NewMRFEquipCounts[MRF_ID],MRFSorterFTEChanges[[#This Row],[MRF_ID]])</f>
        <v>0</v>
      </c>
      <c r="AD28" s="234"/>
      <c r="AE28" s="234">
        <v>-5</v>
      </c>
      <c r="AF28" s="263">
        <f>SUMIFS(MRF_Shifts[MRF_Count],MRF_Shifts[Scenario_ID],MRFSorterFTEChanges[[#This Row],[Scenario_ID]],MRF_Shifts[MRF_ID],MRFSorterFTEChanges[[#This Row],[MRF_ID]])</f>
        <v>1</v>
      </c>
      <c r="AG28" s="225">
        <f>SUMIFS(MRF_Shifts[Average Shifts per Day],MRF_Shifts[Scenario_ID],MRFSorterFTEChanges[[#This Row],[Scenario_ID]],MRF_Shifts[MRF_ID],MRFSorterFTEChanges[[#This Row],[MRF_ID]])</f>
        <v>1.5</v>
      </c>
      <c r="AH28"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-7.5</v>
      </c>
      <c r="AI28" s="264">
        <v>2</v>
      </c>
      <c r="AJ28" s="234"/>
      <c r="AK28" s="617">
        <f>MRFSorterFTEChanges[[#This Row],[MRF_Count]]*MRFSorterFTEChanges[[#This Row],[Change_Per_MRF_OpticalRobot-Maintenance]]</f>
        <v>0</v>
      </c>
      <c r="AN28" s="264" t="s">
        <v>874</v>
      </c>
      <c r="AO28" s="264">
        <v>2</v>
      </c>
      <c r="AP28" s="264" t="str">
        <f>INDEX(MRFLaborCost[MRFLaborType_Name],MATCH(MRFEquipOpFTEChanges[[#This Row],[LaborType_ID]],MRFLaborCost[MRFLaborType_ID],0))</f>
        <v>Equipment Operators / Supervisors / Maintenance / Scalehouse</v>
      </c>
      <c r="AQ28" s="264" t="s">
        <v>706</v>
      </c>
      <c r="AR28" s="264" t="s">
        <v>706</v>
      </c>
      <c r="AS28" s="264" t="str">
        <f>INDEX(MRFs[MRF_Name],MATCH(MRFEquipOpFTEChanges[[#This Row],[MRF_ID]],MRFs[MRF_ID],0))</f>
        <v>1 MRF for SS (Salem)</v>
      </c>
      <c r="AT28"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108706.58696549722</v>
      </c>
      <c r="AU28" s="251">
        <f>(MRFEquipOpFTEChanges[[#This Row],[Total Baled Tons]])-(SUMIFS(MRFEquipOpFTEChanges[Total Baled Tons],MRFEquipOpFTEChanges[Scenario_ID],"S0",MRFEquipOpFTEChanges[MRF_ID],MRFEquipOpFTEChanges[[#This Row],[StartingMRF_ID]]))</f>
        <v>6692.0923207016895</v>
      </c>
      <c r="AV28" s="272">
        <f>MRFEquipOpFTEChanges[[#This Row],[TotalBaledTonsChange]]/$AN$18</f>
        <v>1.6322176391955341</v>
      </c>
      <c r="AY28" s="212" t="s">
        <v>876</v>
      </c>
      <c r="AZ28" s="212" t="s">
        <v>719</v>
      </c>
      <c r="BA28" s="212" t="s">
        <v>719</v>
      </c>
      <c r="BB28" s="212">
        <v>3</v>
      </c>
      <c r="BC28" s="212" t="str">
        <f>INDEX(MRFs[MRF_Name],MATCH(MRFLaborProductivity[[#This Row],[MRF_ID]],MRFs[MRF_ID],0))</f>
        <v>1 MRF for SS with fiber and container upgrades (Portland)</v>
      </c>
      <c r="BD28" s="212" t="str">
        <f>INDEX(MRFLaborCost[MRFLaborType_Name],MATCH(MRFLaborProductivity[[#This Row],[LaborType_ID]],MRFLaborCost[MRFLaborType_ID],0))</f>
        <v>Admin / Mgmt / Marketing Expense</v>
      </c>
      <c r="BE28"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12.97542141379491</v>
      </c>
      <c r="BF28"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8" s="261">
        <f>MRFLaborProductivity[[#This Row],[Base_FTE]]+MRFLaborProductivity[[#This Row],[FTE_Change]]</f>
        <v>12.97542141379491</v>
      </c>
      <c r="BH28" s="102">
        <f>MRFLaborProductivity[[#This Row],[Scenario_FTE]]*SUMIFS(MRFLaborCost[Annual_CostPerFTE_2025],MRFLaborCost[MRFLaborType_ID],MRFLaborProductivity[[#This Row],[LaborType_ID]])</f>
        <v>1690989.5969854987</v>
      </c>
      <c r="BI28"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133314.99022292712</v>
      </c>
      <c r="BJ28" s="191">
        <f>IFERROR(MRFLaborProductivity[[#This Row],[Scenario_LaborCost]]/MRFLaborProductivity[[#This Row],[Tons_Sorted]],"")</f>
        <v>12.68416698045624</v>
      </c>
    </row>
    <row r="29" spans="2:62" ht="29.25" x14ac:dyDescent="0.25">
      <c r="O29" s="212" t="s">
        <v>873</v>
      </c>
      <c r="P29" s="212" t="s">
        <v>712</v>
      </c>
      <c r="Q29" s="212" t="str">
        <f>INDEX(MRFs[MRF_Name],MATCH(MRF_Shifts[[#This Row],[MRF_ID]],MRFs[MRF_ID],0))</f>
        <v>5 MRFs for SS with fiber upgrades (Portland)</v>
      </c>
      <c r="R29" s="19">
        <v>1.5</v>
      </c>
      <c r="S29" s="19">
        <v>5</v>
      </c>
      <c r="V29" s="212" t="s">
        <v>873</v>
      </c>
      <c r="W29" s="212">
        <v>1</v>
      </c>
      <c r="X29" s="212" t="str">
        <f>INDEX(MRFLaborCost[MRFLaborType_Name],MATCH(MRFSorterFTEChanges[[#This Row],[LaborType_ID]],MRFLaborCost[MRFLaborType_ID],0))</f>
        <v>Sort Labor</v>
      </c>
      <c r="Y29" s="212" t="s">
        <v>712</v>
      </c>
      <c r="Z29" s="212" t="str">
        <f>INDEX(MRFs[MRF_Name],MATCH(MRFSorterFTEChanges[[#This Row],[MRF_ID]],MRFs[MRF_ID],0))</f>
        <v>5 MRFs for SS with fiber upgrades (Portland)</v>
      </c>
      <c r="AA29" s="235" t="s">
        <v>3740</v>
      </c>
      <c r="AB29" s="234">
        <v>-4.3</v>
      </c>
      <c r="AC29" s="218">
        <f>(MRFSorterFTEChanges[[#This Row],[LaborType_ID]]=1)*SUMIFS(NewMRFEquipCounts[Optical_Paper],NewMRFEquipCounts[Scenario_ID],MRFSorterFTEChanges[[#This Row],[Scenario_ID]],NewMRFEquipCounts[MRF_ID],MRFSorterFTEChanges[[#This Row],[MRF_ID]])</f>
        <v>10</v>
      </c>
      <c r="AD29" s="234">
        <v>0</v>
      </c>
      <c r="AE29" s="234">
        <f>-5</f>
        <v>-5</v>
      </c>
      <c r="AF29" s="263">
        <f>SUMIFS(MRF_Shifts[MRF_Count],MRF_Shifts[Scenario_ID],MRFSorterFTEChanges[[#This Row],[Scenario_ID]],MRF_Shifts[MRF_ID],MRFSorterFTEChanges[[#This Row],[MRF_ID]])</f>
        <v>5</v>
      </c>
      <c r="AG29" s="225">
        <f>SUMIFS(MRF_Shifts[Average Shifts per Day],MRF_Shifts[Scenario_ID],MRFSorterFTEChanges[[#This Row],[Scenario_ID]],MRF_Shifts[MRF_ID],MRFSorterFTEChanges[[#This Row],[MRF_ID]])</f>
        <v>1.5</v>
      </c>
      <c r="AH29"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-102</v>
      </c>
      <c r="AI29" s="264">
        <v>2</v>
      </c>
      <c r="AJ29" s="234">
        <v>0.5</v>
      </c>
      <c r="AK29" s="617">
        <f>MRFSorterFTEChanges[[#This Row],[MRF_Count]]*MRFSorterFTEChanges[[#This Row],[Change_Per_MRF_OpticalRobot-Maintenance]]</f>
        <v>2.5</v>
      </c>
      <c r="AN29" s="264" t="s">
        <v>873</v>
      </c>
      <c r="AO29" s="264">
        <v>2</v>
      </c>
      <c r="AP29" s="264" t="str">
        <f>INDEX(MRFLaborCost[MRFLaborType_Name],MATCH(MRFEquipOpFTEChanges[[#This Row],[LaborType_ID]],MRFLaborCost[MRFLaborType_ID],0))</f>
        <v>Equipment Operators / Supervisors / Maintenance / Scalehouse</v>
      </c>
      <c r="AQ29" s="264" t="s">
        <v>712</v>
      </c>
      <c r="AR29" s="264" t="s">
        <v>712</v>
      </c>
      <c r="AS29" s="264" t="str">
        <f>INDEX(MRFs[MRF_Name],MATCH(MRFEquipOpFTEChanges[[#This Row],[MRF_ID]],MRFs[MRF_ID],0))</f>
        <v>5 MRFs for SS with fiber upgrades (Portland)</v>
      </c>
      <c r="AT29"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180104.4381331194</v>
      </c>
      <c r="AU29" s="251">
        <f>(MRFEquipOpFTEChanges[[#This Row],[Total Baled Tons]])-(SUMIFS(MRFEquipOpFTEChanges[Total Baled Tons],MRFEquipOpFTEChanges[Scenario_ID],"S0",MRFEquipOpFTEChanges[MRF_ID],MRFEquipOpFTEChanges[[#This Row],[StartingMRF_ID]]))</f>
        <v>2440.7990637338953</v>
      </c>
      <c r="AV29" s="272">
        <f>MRFEquipOpFTEChanges[[#This Row],[TotalBaledTonsChange]]/$AN$18</f>
        <v>0.59531684481314517</v>
      </c>
      <c r="AY29" s="212" t="s">
        <v>875</v>
      </c>
      <c r="AZ29" s="212" t="s">
        <v>706</v>
      </c>
      <c r="BA29" s="212" t="s">
        <v>706</v>
      </c>
      <c r="BB29" s="212">
        <v>1</v>
      </c>
      <c r="BC29" s="212" t="str">
        <f>INDEX(MRFs[MRF_Name],MATCH(MRFLaborProductivity[[#This Row],[MRF_ID]],MRFs[MRF_ID],0))</f>
        <v>1 MRF for SS (Salem)</v>
      </c>
      <c r="BD29" s="212" t="str">
        <f>INDEX(MRFLaborCost[MRFLaborType_Name],MATCH(MRFLaborProductivity[[#This Row],[LaborType_ID]],MRFLaborCost[MRFLaborType_ID],0))</f>
        <v>Sort Labor</v>
      </c>
      <c r="BE29"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105.00358688569295</v>
      </c>
      <c r="BF29"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29" s="261">
        <f>MRFLaborProductivity[[#This Row],[Base_FTE]]+MRFLaborProductivity[[#This Row],[FTE_Change]]</f>
        <v>105.00358688569295</v>
      </c>
      <c r="BH29" s="102">
        <f>MRFLaborProductivity[[#This Row],[Scenario_FTE]]*SUMIFS(MRFLaborCost[Annual_CostPerFTE_2025],MRFLaborCost[MRFLaborType_ID],MRFLaborProductivity[[#This Row],[LaborType_ID]])</f>
        <v>6749769.5490044663</v>
      </c>
      <c r="BI29"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110340.66021378172</v>
      </c>
      <c r="BJ29" s="191">
        <f>IFERROR(MRFLaborProductivity[[#This Row],[Scenario_LaborCost]]/MRFLaborProductivity[[#This Row],[Tons_Sorted]],"")</f>
        <v>61.172096812969848</v>
      </c>
    </row>
    <row r="30" spans="2:62" ht="15" x14ac:dyDescent="0.25">
      <c r="D30" s="215"/>
      <c r="O30" s="212" t="s">
        <v>873</v>
      </c>
      <c r="P30" s="212" t="s">
        <v>719</v>
      </c>
      <c r="Q30" s="212" t="str">
        <f>INDEX(MRFs[MRF_Name],MATCH(MRF_Shifts[[#This Row],[MRF_ID]],MRFs[MRF_ID],0))</f>
        <v>1 MRF for SS with fiber and container upgrades (Portland)</v>
      </c>
      <c r="R30" s="19">
        <v>1.5</v>
      </c>
      <c r="S30" s="19">
        <v>1</v>
      </c>
      <c r="V30" s="212" t="s">
        <v>873</v>
      </c>
      <c r="W30" s="212">
        <v>1</v>
      </c>
      <c r="X30" s="212" t="str">
        <f>INDEX(MRFLaborCost[MRFLaborType_Name],MATCH(MRFSorterFTEChanges[[#This Row],[LaborType_ID]],MRFLaborCost[MRFLaborType_ID],0))</f>
        <v>Sort Labor</v>
      </c>
      <c r="Y30" s="212" t="s">
        <v>719</v>
      </c>
      <c r="Z30" s="212" t="str">
        <f>INDEX(MRFs[MRF_Name],MATCH(MRFSorterFTEChanges[[#This Row],[MRF_ID]],MRFs[MRF_ID],0))</f>
        <v>1 MRF for SS with fiber and container upgrades (Portland)</v>
      </c>
      <c r="AA30" s="235" t="s">
        <v>907</v>
      </c>
      <c r="AB30" s="234"/>
      <c r="AC30" s="218">
        <f>(MRFSorterFTEChanges[[#This Row],[LaborType_ID]]=1)*SUMIFS(NewMRFEquipCounts[Optical_Paper],NewMRFEquipCounts[Scenario_ID],MRFSorterFTEChanges[[#This Row],[Scenario_ID]],NewMRFEquipCounts[MRF_ID],MRFSorterFTEChanges[[#This Row],[MRF_ID]])</f>
        <v>0</v>
      </c>
      <c r="AD30" s="234">
        <v>0</v>
      </c>
      <c r="AE30" s="234">
        <v>-5</v>
      </c>
      <c r="AF30" s="263">
        <f>SUMIFS(MRF_Shifts[MRF_Count],MRF_Shifts[Scenario_ID],MRFSorterFTEChanges[[#This Row],[Scenario_ID]],MRF_Shifts[MRF_ID],MRFSorterFTEChanges[[#This Row],[MRF_ID]])</f>
        <v>1</v>
      </c>
      <c r="AG30" s="225">
        <f>SUMIFS(MRF_Shifts[Average Shifts per Day],MRF_Shifts[Scenario_ID],MRFSorterFTEChanges[[#This Row],[Scenario_ID]],MRF_Shifts[MRF_ID],MRFSorterFTEChanges[[#This Row],[MRF_ID]])</f>
        <v>1.5</v>
      </c>
      <c r="AH30"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-7.5</v>
      </c>
      <c r="AI30" s="264">
        <v>2</v>
      </c>
      <c r="AJ30" s="234"/>
      <c r="AK30" s="617">
        <f>MRFSorterFTEChanges[[#This Row],[MRF_Count]]*MRFSorterFTEChanges[[#This Row],[Change_Per_MRF_OpticalRobot-Maintenance]]</f>
        <v>0</v>
      </c>
      <c r="AN30" s="264" t="s">
        <v>873</v>
      </c>
      <c r="AO30" s="264">
        <v>2</v>
      </c>
      <c r="AP30" s="264" t="str">
        <f>INDEX(MRFLaborCost[MRFLaborType_Name],MATCH(MRFEquipOpFTEChanges[[#This Row],[LaborType_ID]],MRFLaborCost[MRFLaborType_ID],0))</f>
        <v>Equipment Operators / Supervisors / Maintenance / Scalehouse</v>
      </c>
      <c r="AQ30" s="264" t="s">
        <v>719</v>
      </c>
      <c r="AR30" s="264" t="s">
        <v>719</v>
      </c>
      <c r="AS30" s="264" t="str">
        <f>INDEX(MRFs[MRF_Name],MATCH(MRFEquipOpFTEChanges[[#This Row],[MRF_ID]],MRFs[MRF_ID],0))</f>
        <v>1 MRF for SS with fiber and container upgrades (Portland)</v>
      </c>
      <c r="AT30"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121370.09641008206</v>
      </c>
      <c r="AU30" s="251">
        <f>(MRFEquipOpFTEChanges[[#This Row],[Total Baled Tons]])-(SUMIFS(MRFEquipOpFTEChanges[Total Baled Tons],MRFEquipOpFTEChanges[Scenario_ID],"S0",MRFEquipOpFTEChanges[MRF_ID],MRFEquipOpFTEChanges[[#This Row],[StartingMRF_ID]]))</f>
        <v>7439.0891830667824</v>
      </c>
      <c r="AV30" s="272">
        <f>MRFEquipOpFTEChanges[[#This Row],[TotalBaledTonsChange]]/$AN$18</f>
        <v>1.8144119958699469</v>
      </c>
      <c r="AY30" s="212" t="s">
        <v>875</v>
      </c>
      <c r="AZ30" s="212" t="s">
        <v>706</v>
      </c>
      <c r="BA30" s="212" t="s">
        <v>706</v>
      </c>
      <c r="BB30" s="212">
        <v>2</v>
      </c>
      <c r="BC30" s="212" t="str">
        <f>INDEX(MRFs[MRF_Name],MATCH(MRFLaborProductivity[[#This Row],[MRF_ID]],MRFs[MRF_ID],0))</f>
        <v>1 MRF for SS (Salem)</v>
      </c>
      <c r="BD30" s="212" t="str">
        <f>INDEX(MRFLaborCost[MRFLaborType_Name],MATCH(MRFLaborProductivity[[#This Row],[LaborType_ID]],MRFLaborCost[MRFLaborType_ID],0))</f>
        <v>Equipment Operators / Supervisors / Maintenance / Scalehouse</v>
      </c>
      <c r="BE30"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23.018027667060771</v>
      </c>
      <c r="BF30"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-0.71692385507902634</v>
      </c>
      <c r="BG30" s="261">
        <f>MRFLaborProductivity[[#This Row],[Base_FTE]]+MRFLaborProductivity[[#This Row],[FTE_Change]]</f>
        <v>22.301103811981744</v>
      </c>
      <c r="BH30" s="102">
        <f>MRFLaborProductivity[[#This Row],[Scenario_FTE]]*SUMIFS(MRFLaborCost[Annual_CostPerFTE_2025],MRFLaborCost[MRFLaborType_ID],MRFLaborProductivity[[#This Row],[LaborType_ID]])</f>
        <v>1308370.6632550699</v>
      </c>
      <c r="BI30"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110340.66021378172</v>
      </c>
      <c r="BJ30" s="191">
        <f>IFERROR(MRFLaborProductivity[[#This Row],[Scenario_LaborCost]]/MRFLaborProductivity[[#This Row],[Tons_Sorted]],"")</f>
        <v>11.857556957880631</v>
      </c>
    </row>
    <row r="31" spans="2:62" ht="15" x14ac:dyDescent="0.25">
      <c r="O31" s="212" t="s">
        <v>873</v>
      </c>
      <c r="P31" s="212" t="s">
        <v>706</v>
      </c>
      <c r="Q31" s="212" t="str">
        <f>INDEX(MRFs[MRF_Name],MATCH(MRF_Shifts[[#This Row],[MRF_ID]],MRFs[MRF_ID],0))</f>
        <v>1 MRF for SS (Salem)</v>
      </c>
      <c r="R31" s="19">
        <v>1.5</v>
      </c>
      <c r="S31" s="19">
        <v>1</v>
      </c>
      <c r="V31" s="212" t="s">
        <v>873</v>
      </c>
      <c r="W31" s="212">
        <v>1</v>
      </c>
      <c r="X31" s="212" t="str">
        <f>INDEX(MRFLaborCost[MRFLaborType_Name],MATCH(MRFSorterFTEChanges[[#This Row],[LaborType_ID]],MRFLaborCost[MRFLaborType_ID],0))</f>
        <v>Sort Labor</v>
      </c>
      <c r="Y31" s="212" t="s">
        <v>706</v>
      </c>
      <c r="Z31" s="212" t="str">
        <f>INDEX(MRFs[MRF_Name],MATCH(MRFSorterFTEChanges[[#This Row],[MRF_ID]],MRFs[MRF_ID],0))</f>
        <v>1 MRF for SS (Salem)</v>
      </c>
      <c r="AA31" s="235" t="s">
        <v>905</v>
      </c>
      <c r="AB31" s="234">
        <v>0</v>
      </c>
      <c r="AC31" s="218">
        <f>(MRFSorterFTEChanges[[#This Row],[LaborType_ID]]=1)*SUMIFS(NewMRFEquipCounts[Optical_Paper],NewMRFEquipCounts[Scenario_ID],MRFSorterFTEChanges[[#This Row],[Scenario_ID]],NewMRFEquipCounts[MRF_ID],MRFSorterFTEChanges[[#This Row],[MRF_ID]])</f>
        <v>0</v>
      </c>
      <c r="AD31" s="234">
        <v>0</v>
      </c>
      <c r="AE31" s="234">
        <v>-5</v>
      </c>
      <c r="AF31" s="263">
        <f>SUMIFS(MRF_Shifts[MRF_Count],MRF_Shifts[Scenario_ID],MRFSorterFTEChanges[[#This Row],[Scenario_ID]],MRF_Shifts[MRF_ID],MRFSorterFTEChanges[[#This Row],[MRF_ID]])</f>
        <v>1</v>
      </c>
      <c r="AG31" s="225">
        <f>SUMIFS(MRF_Shifts[Average Shifts per Day],MRF_Shifts[Scenario_ID],MRFSorterFTEChanges[[#This Row],[Scenario_ID]],MRF_Shifts[MRF_ID],MRFSorterFTEChanges[[#This Row],[MRF_ID]])</f>
        <v>1.5</v>
      </c>
      <c r="AH31"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-7.5</v>
      </c>
      <c r="AI31" s="264">
        <v>2</v>
      </c>
      <c r="AJ31" s="234"/>
      <c r="AK31" s="617">
        <f>MRFSorterFTEChanges[[#This Row],[MRF_Count]]*MRFSorterFTEChanges[[#This Row],[Change_Per_MRF_OpticalRobot-Maintenance]]</f>
        <v>0</v>
      </c>
      <c r="AN31" s="264" t="s">
        <v>873</v>
      </c>
      <c r="AO31" s="264">
        <v>2</v>
      </c>
      <c r="AP31" s="264" t="str">
        <f>INDEX(MRFLaborCost[MRFLaborType_Name],MATCH(MRFEquipOpFTEChanges[[#This Row],[LaborType_ID]],MRFLaborCost[MRFLaborType_ID],0))</f>
        <v>Equipment Operators / Supervisors / Maintenance / Scalehouse</v>
      </c>
      <c r="AQ31" s="264" t="s">
        <v>706</v>
      </c>
      <c r="AR31" s="264" t="s">
        <v>706</v>
      </c>
      <c r="AS31" s="264" t="str">
        <f>INDEX(MRFs[MRF_Name],MATCH(MRFEquipOpFTEChanges[[#This Row],[MRF_ID]],MRFs[MRF_ID],0))</f>
        <v>1 MRF for SS (Salem)</v>
      </c>
      <c r="AT31"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108640.06929762237</v>
      </c>
      <c r="AU31" s="251">
        <f>(MRFEquipOpFTEChanges[[#This Row],[Total Baled Tons]])-(SUMIFS(MRFEquipOpFTEChanges[Total Baled Tons],MRFEquipOpFTEChanges[Scenario_ID],"S0",MRFEquipOpFTEChanges[MRF_ID],MRFEquipOpFTEChanges[[#This Row],[StartingMRF_ID]]))</f>
        <v>6625.5746528268355</v>
      </c>
      <c r="AV31" s="272">
        <f>MRFEquipOpFTEChanges[[#This Row],[TotalBaledTonsChange]]/$AN$18</f>
        <v>1.6159938177626427</v>
      </c>
      <c r="AY31" s="212" t="s">
        <v>875</v>
      </c>
      <c r="AZ31" s="212" t="s">
        <v>706</v>
      </c>
      <c r="BA31" s="212" t="s">
        <v>706</v>
      </c>
      <c r="BB31" s="212">
        <v>3</v>
      </c>
      <c r="BC31" s="212" t="str">
        <f>INDEX(MRFs[MRF_Name],MATCH(MRFLaborProductivity[[#This Row],[MRF_ID]],MRFs[MRF_ID],0))</f>
        <v>1 MRF for SS (Salem)</v>
      </c>
      <c r="BD31" s="212" t="str">
        <f>INDEX(MRFLaborCost[MRFLaborType_Name],MATCH(MRFLaborProductivity[[#This Row],[LaborType_ID]],MRFLaborCost[MRFLaborType_ID],0))</f>
        <v>Admin / Mgmt / Marketing Expense</v>
      </c>
      <c r="BE31"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11.638328595704884</v>
      </c>
      <c r="BF31"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31" s="261">
        <f>MRFLaborProductivity[[#This Row],[Base_FTE]]+MRFLaborProductivity[[#This Row],[FTE_Change]]</f>
        <v>11.638328595704884</v>
      </c>
      <c r="BH31" s="102">
        <f>MRFLaborProductivity[[#This Row],[Scenario_FTE]]*SUMIFS(MRFLaborCost[Annual_CostPerFTE_2025],MRFLaborCost[MRFLaborType_ID],MRFLaborProductivity[[#This Row],[LaborType_ID]])</f>
        <v>1516736.2934904424</v>
      </c>
      <c r="BI31"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110340.66021378172</v>
      </c>
      <c r="BJ31" s="191">
        <f>IFERROR(MRFLaborProductivity[[#This Row],[Scenario_LaborCost]]/MRFLaborProductivity[[#This Row],[Tons_Sorted]],"")</f>
        <v>13.745941800165156</v>
      </c>
    </row>
    <row r="32" spans="2:62" ht="43.5" x14ac:dyDescent="0.25">
      <c r="O32" s="212" t="s">
        <v>870</v>
      </c>
      <c r="P32" s="212" t="s">
        <v>735</v>
      </c>
      <c r="Q32" s="212" t="str">
        <f>INDEX(MRFs[MRF_Name],MATCH(MRF_Shifts[[#This Row],[MRF_ID]],MRFs[MRF_ID],0))</f>
        <v>5 MRFs for DS fiber (Portland)</v>
      </c>
      <c r="R32" s="19">
        <v>1.5</v>
      </c>
      <c r="S32" s="19">
        <v>5</v>
      </c>
      <c r="V32" s="212" t="s">
        <v>870</v>
      </c>
      <c r="W32" s="212">
        <v>1</v>
      </c>
      <c r="X32" s="212" t="str">
        <f>INDEX(MRFLaborCost[MRFLaborType_Name],MATCH(MRFSorterFTEChanges[[#This Row],[LaborType_ID]],MRFLaborCost[MRFLaborType_ID],0))</f>
        <v>Sort Labor</v>
      </c>
      <c r="Y32" s="212" t="s">
        <v>735</v>
      </c>
      <c r="Z32" s="212" t="str">
        <f>INDEX(MRFs[MRF_Name],MATCH(MRFSorterFTEChanges[[#This Row],[MRF_ID]],MRFs[MRF_ID],0))</f>
        <v>5 MRFs for DS fiber (Portland)</v>
      </c>
      <c r="AA32" s="235" t="s">
        <v>3733</v>
      </c>
      <c r="AB32" s="234">
        <v>-4.3</v>
      </c>
      <c r="AC32" s="218">
        <f>(MRFSorterFTEChanges[[#This Row],[LaborType_ID]]=1)*SUMIFS(NewMRFEquipCounts[Optical_Paper],NewMRFEquipCounts[Scenario_ID],MRFSorterFTEChanges[[#This Row],[Scenario_ID]],NewMRFEquipCounts[MRF_ID],MRFSorterFTEChanges[[#This Row],[MRF_ID]])</f>
        <v>10</v>
      </c>
      <c r="AD32" s="234">
        <v>-2</v>
      </c>
      <c r="AE32" s="234">
        <f>-5</f>
        <v>-5</v>
      </c>
      <c r="AF32" s="263">
        <f>SUMIFS(MRF_Shifts[MRF_Count],MRF_Shifts[Scenario_ID],MRFSorterFTEChanges[[#This Row],[Scenario_ID]],MRF_Shifts[MRF_ID],MRFSorterFTEChanges[[#This Row],[MRF_ID]])</f>
        <v>5</v>
      </c>
      <c r="AG32" s="225">
        <f>SUMIFS(MRF_Shifts[Average Shifts per Day],MRF_Shifts[Scenario_ID],MRFSorterFTEChanges[[#This Row],[Scenario_ID]],MRF_Shifts[MRF_ID],MRFSorterFTEChanges[[#This Row],[MRF_ID]])</f>
        <v>1.5</v>
      </c>
      <c r="AH32"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-117</v>
      </c>
      <c r="AI32" s="264">
        <v>2</v>
      </c>
      <c r="AJ32" s="234">
        <v>0.5</v>
      </c>
      <c r="AK32" s="617">
        <f>MRFSorterFTEChanges[[#This Row],[MRF_Count]]*MRFSorterFTEChanges[[#This Row],[Change_Per_MRF_OpticalRobot-Maintenance]]</f>
        <v>2.5</v>
      </c>
      <c r="AN32" s="264" t="s">
        <v>870</v>
      </c>
      <c r="AO32" s="264">
        <v>2</v>
      </c>
      <c r="AP32" s="264" t="str">
        <f>INDEX(MRFLaborCost[MRFLaborType_Name],MATCH(MRFEquipOpFTEChanges[[#This Row],[LaborType_ID]],MRFLaborCost[MRFLaborType_ID],0))</f>
        <v>Equipment Operators / Supervisors / Maintenance / Scalehouse</v>
      </c>
      <c r="AQ32" s="264" t="s">
        <v>735</v>
      </c>
      <c r="AR32" s="264" t="s">
        <v>712</v>
      </c>
      <c r="AS32" s="264" t="str">
        <f>INDEX(MRFs[MRF_Name],MATCH(MRFEquipOpFTEChanges[[#This Row],[MRF_ID]],MRFs[MRF_ID],0))</f>
        <v>5 MRFs for DS fiber (Portland)</v>
      </c>
      <c r="AT32"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224719.86245082688</v>
      </c>
      <c r="AU32" s="251">
        <f>(MRFEquipOpFTEChanges[[#This Row],[Total Baled Tons]])-(SUMIFS(MRFEquipOpFTEChanges[Total Baled Tons],MRFEquipOpFTEChanges[Scenario_ID],"S0",MRFEquipOpFTEChanges[MRF_ID],MRFEquipOpFTEChanges[[#This Row],[StartingMRF_ID]]))</f>
        <v>47056.223381441378</v>
      </c>
      <c r="AV32" s="272">
        <f>MRFEquipOpFTEChanges[[#This Row],[TotalBaledTonsChange]]/$AN$18</f>
        <v>11.477127654010092</v>
      </c>
      <c r="AY32" s="212" t="s">
        <v>875</v>
      </c>
      <c r="AZ32" s="212" t="s">
        <v>712</v>
      </c>
      <c r="BA32" s="212" t="s">
        <v>712</v>
      </c>
      <c r="BB32" s="212">
        <v>1</v>
      </c>
      <c r="BC32" s="212" t="str">
        <f>INDEX(MRFs[MRF_Name],MATCH(MRFLaborProductivity[[#This Row],[MRF_ID]],MRFs[MRF_ID],0))</f>
        <v>5 MRFs for SS with fiber upgrades (Portland)</v>
      </c>
      <c r="BD32" s="212" t="str">
        <f>INDEX(MRFLaborCost[MRFLaborType_Name],MATCH(MRFLaborProductivity[[#This Row],[LaborType_ID]],MRFLaborCost[MRFLaborType_ID],0))</f>
        <v>Sort Labor</v>
      </c>
      <c r="BE32"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183.92927769206852</v>
      </c>
      <c r="BF32"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-64.5</v>
      </c>
      <c r="BG32" s="261">
        <f>MRFLaborProductivity[[#This Row],[Base_FTE]]+MRFLaborProductivity[[#This Row],[FTE_Change]]</f>
        <v>119.42927769206852</v>
      </c>
      <c r="BH32" s="102">
        <f>MRFLaborProductivity[[#This Row],[Scenario_FTE]]*SUMIFS(MRFLaborCost[Annual_CostPerFTE_2025],MRFLaborCost[MRFLaborType_ID],MRFLaborProductivity[[#This Row],[LaborType_ID]])</f>
        <v>7677072.0480536148</v>
      </c>
      <c r="BI32"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194880.34022933262</v>
      </c>
      <c r="BJ32" s="191">
        <f>IFERROR(MRFLaborProductivity[[#This Row],[Scenario_LaborCost]]/MRFLaborProductivity[[#This Row],[Tons_Sorted]],"")</f>
        <v>39.393773835879685</v>
      </c>
    </row>
    <row r="33" spans="15:62" ht="72" x14ac:dyDescent="0.25">
      <c r="O33" s="212" t="s">
        <v>870</v>
      </c>
      <c r="P33" s="212" t="s">
        <v>739</v>
      </c>
      <c r="Q33" s="212" t="str">
        <f>INDEX(MRFs[MRF_Name],MATCH(MRF_Shifts[[#This Row],[MRF_ID]],MRFs[MRF_ID],0))</f>
        <v>1 MRF for DS with fiber and container lines (Portland)</v>
      </c>
      <c r="R33" s="19">
        <v>3</v>
      </c>
      <c r="S33" s="19">
        <v>1</v>
      </c>
      <c r="V33" s="212" t="s">
        <v>870</v>
      </c>
      <c r="W33" s="212">
        <v>1</v>
      </c>
      <c r="X33" s="212" t="str">
        <f>INDEX(MRFLaborCost[MRFLaborType_Name],MATCH(MRFSorterFTEChanges[[#This Row],[LaborType_ID]],MRFLaborCost[MRFLaborType_ID],0))</f>
        <v>Sort Labor</v>
      </c>
      <c r="Y33" s="212" t="s">
        <v>739</v>
      </c>
      <c r="Z33" s="212" t="str">
        <f>INDEX(MRFs[MRF_Name],MATCH(MRFSorterFTEChanges[[#This Row],[MRF_ID]],MRFs[MRF_ID],0))</f>
        <v>1 MRF for DS with fiber and container lines (Portland)</v>
      </c>
      <c r="AA33" s="235" t="s">
        <v>3742</v>
      </c>
      <c r="AB33" s="234">
        <v>0</v>
      </c>
      <c r="AC33" s="218">
        <f>(MRFSorterFTEChanges[[#This Row],[LaborType_ID]]=1)*SUMIFS(NewMRFEquipCounts[Optical_Paper],NewMRFEquipCounts[Scenario_ID],MRFSorterFTEChanges[[#This Row],[Scenario_ID]],NewMRFEquipCounts[MRF_ID],MRFSorterFTEChanges[[#This Row],[MRF_ID]])</f>
        <v>0</v>
      </c>
      <c r="AD33" s="234">
        <v>-2</v>
      </c>
      <c r="AE33" s="234">
        <f>1+1</f>
        <v>2</v>
      </c>
      <c r="AF33" s="263">
        <f>SUMIFS(MRF_Shifts[MRF_Count],MRF_Shifts[Scenario_ID],MRFSorterFTEChanges[[#This Row],[Scenario_ID]],MRF_Shifts[MRF_ID],MRFSorterFTEChanges[[#This Row],[MRF_ID]])</f>
        <v>1</v>
      </c>
      <c r="AG33" s="225">
        <f>SUMIFS(MRF_Shifts[Average Shifts per Day],MRF_Shifts[Scenario_ID],MRFSorterFTEChanges[[#This Row],[Scenario_ID]],MRF_Shifts[MRF_ID],MRFSorterFTEChanges[[#This Row],[MRF_ID]])</f>
        <v>3</v>
      </c>
      <c r="AH33"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0</v>
      </c>
      <c r="AI33" s="264">
        <v>2</v>
      </c>
      <c r="AJ33" s="234">
        <v>1</v>
      </c>
      <c r="AK33" s="617">
        <f>MRFSorterFTEChanges[[#This Row],[MRF_Count]]*MRFSorterFTEChanges[[#This Row],[Change_Per_MRF_OpticalRobot-Maintenance]]</f>
        <v>1</v>
      </c>
      <c r="AN33" s="264" t="s">
        <v>870</v>
      </c>
      <c r="AO33" s="264">
        <v>2</v>
      </c>
      <c r="AP33" s="264" t="str">
        <f>INDEX(MRFLaborCost[MRFLaborType_Name],MATCH(MRFEquipOpFTEChanges[[#This Row],[LaborType_ID]],MRFLaborCost[MRFLaborType_ID],0))</f>
        <v>Equipment Operators / Supervisors / Maintenance / Scalehouse</v>
      </c>
      <c r="AQ33" s="264" t="s">
        <v>739</v>
      </c>
      <c r="AR33" s="264" t="s">
        <v>719</v>
      </c>
      <c r="AS33" s="264" t="str">
        <f>INDEX(MRFs[MRF_Name],MATCH(MRFEquipOpFTEChanges[[#This Row],[MRF_ID]],MRFs[MRF_ID],0))</f>
        <v>1 MRF for DS with fiber and container lines (Portland)</v>
      </c>
      <c r="AT33"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147291.93835819338</v>
      </c>
      <c r="AU33" s="251">
        <f>(MRFEquipOpFTEChanges[[#This Row],[Total Baled Tons]])-(SUMIFS(MRFEquipOpFTEChanges[Total Baled Tons],MRFEquipOpFTEChanges[Scenario_ID],"S0",MRFEquipOpFTEChanges[MRF_ID],MRFEquipOpFTEChanges[[#This Row],[StartingMRF_ID]]))</f>
        <v>33360.931131178106</v>
      </c>
      <c r="AV33" s="272">
        <f>MRFEquipOpFTEChanges[[#This Row],[TotalBaledTonsChange]]/$AN$18</f>
        <v>8.1368124710190504</v>
      </c>
      <c r="AY33" s="212" t="s">
        <v>875</v>
      </c>
      <c r="AZ33" s="212" t="s">
        <v>712</v>
      </c>
      <c r="BA33" s="212" t="s">
        <v>712</v>
      </c>
      <c r="BB33" s="212">
        <v>2</v>
      </c>
      <c r="BC33" s="212" t="str">
        <f>INDEX(MRFs[MRF_Name],MATCH(MRFLaborProductivity[[#This Row],[MRF_ID]],MRFs[MRF_ID],0))</f>
        <v>5 MRFs for SS with fiber upgrades (Portland)</v>
      </c>
      <c r="BD33" s="212" t="str">
        <f>INDEX(MRFLaborCost[MRFLaborType_Name],MATCH(MRFLaborProductivity[[#This Row],[LaborType_ID]],MRFLaborCost[MRFLaborType_ID],0))</f>
        <v>Equipment Operators / Supervisors / Maintenance / Scalehouse</v>
      </c>
      <c r="BE33"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40.319472203433747</v>
      </c>
      <c r="BF33"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1.7281529886947331</v>
      </c>
      <c r="BG33" s="261">
        <f>MRFLaborProductivity[[#This Row],[Base_FTE]]+MRFLaborProductivity[[#This Row],[FTE_Change]]</f>
        <v>42.047625192128478</v>
      </c>
      <c r="BH33" s="102">
        <f>MRFLaborProductivity[[#This Row],[Scenario_FTE]]*SUMIFS(MRFLaborCost[Annual_CostPerFTE_2025],MRFLaborCost[MRFLaborType_ID],MRFLaborProductivity[[#This Row],[LaborType_ID]])</f>
        <v>2466867.9956266712</v>
      </c>
      <c r="BI33"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194880.34022933262</v>
      </c>
      <c r="BJ33" s="191">
        <f>IFERROR(MRFLaborProductivity[[#This Row],[Scenario_LaborCost]]/MRFLaborProductivity[[#This Row],[Tons_Sorted]],"")</f>
        <v>12.658372787751157</v>
      </c>
    </row>
    <row r="34" spans="15:62" ht="29.25" x14ac:dyDescent="0.25">
      <c r="O34" s="212" t="s">
        <v>870</v>
      </c>
      <c r="P34" s="212" t="s">
        <v>744</v>
      </c>
      <c r="Q34" s="212" t="str">
        <f>INDEX(MRFs[MRF_Name],MATCH(MRF_Shifts[[#This Row],[MRF_ID]],MRFs[MRF_ID],0))</f>
        <v>1 MRF for DS fiber (Salem)</v>
      </c>
      <c r="R34" s="19">
        <v>1.5</v>
      </c>
      <c r="S34" s="19">
        <v>1</v>
      </c>
      <c r="V34" s="212" t="s">
        <v>870</v>
      </c>
      <c r="W34" s="212">
        <v>1</v>
      </c>
      <c r="X34" s="212" t="str">
        <f>INDEX(MRFLaborCost[MRFLaborType_Name],MATCH(MRFSorterFTEChanges[[#This Row],[LaborType_ID]],MRFLaborCost[MRFLaborType_ID],0))</f>
        <v>Sort Labor</v>
      </c>
      <c r="Y34" s="212" t="s">
        <v>744</v>
      </c>
      <c r="Z34" s="212" t="str">
        <f>INDEX(MRFs[MRF_Name],MATCH(MRFSorterFTEChanges[[#This Row],[MRF_ID]],MRFs[MRF_ID],0))</f>
        <v>1 MRF for DS fiber (Salem)</v>
      </c>
      <c r="AA34" s="235" t="s">
        <v>903</v>
      </c>
      <c r="AB34" s="234">
        <v>0</v>
      </c>
      <c r="AC34" s="218">
        <f>(MRFSorterFTEChanges[[#This Row],[LaborType_ID]]=1)*SUMIFS(NewMRFEquipCounts[Optical_Paper],NewMRFEquipCounts[Scenario_ID],MRFSorterFTEChanges[[#This Row],[Scenario_ID]],NewMRFEquipCounts[MRF_ID],MRFSorterFTEChanges[[#This Row],[MRF_ID]])</f>
        <v>0</v>
      </c>
      <c r="AD34" s="234">
        <v>-2</v>
      </c>
      <c r="AE34" s="234">
        <v>-5</v>
      </c>
      <c r="AF34" s="263">
        <f>SUMIFS(MRF_Shifts[MRF_Count],MRF_Shifts[Scenario_ID],MRFSorterFTEChanges[[#This Row],[Scenario_ID]],MRF_Shifts[MRF_ID],MRFSorterFTEChanges[[#This Row],[MRF_ID]])</f>
        <v>1</v>
      </c>
      <c r="AG34" s="225">
        <f>SUMIFS(MRF_Shifts[Average Shifts per Day],MRF_Shifts[Scenario_ID],MRFSorterFTEChanges[[#This Row],[Scenario_ID]],MRF_Shifts[MRF_ID],MRFSorterFTEChanges[[#This Row],[MRF_ID]])</f>
        <v>1.5</v>
      </c>
      <c r="AH34" s="233">
        <f>MRFSorterFTEChanges[[#This Row],[Shifts_Per_MRF]]*
((MRFSorterFTEChanges[[#This Row],[MRF_Count]]*(MRFSorterFTEChanges[[#This Row],[Change_Per_MRF_ContainersGrades]]+MRFSorterFTEChanges[[#This Row],[Change_PerMRF_PerShift_Contamination]]))+(MRFSorterFTEChanges[[#This Row],[Change_Per_Fiber_Optical_Per_Shift]]*MRFSorterFTEChanges[[#This Row],[Fiber Opticals]]))</f>
        <v>-10.5</v>
      </c>
      <c r="AI34" s="264">
        <v>2</v>
      </c>
      <c r="AJ34" s="234"/>
      <c r="AK34" s="617">
        <f>MRFSorterFTEChanges[[#This Row],[MRF_Count]]*MRFSorterFTEChanges[[#This Row],[Change_Per_MRF_OpticalRobot-Maintenance]]</f>
        <v>0</v>
      </c>
      <c r="AN34" s="265" t="s">
        <v>870</v>
      </c>
      <c r="AO34" s="264">
        <v>2</v>
      </c>
      <c r="AP34" s="265" t="str">
        <f>INDEX(MRFLaborCost[MRFLaborType_Name],MATCH(MRFEquipOpFTEChanges[[#This Row],[LaborType_ID]],MRFLaborCost[MRFLaborType_ID],0))</f>
        <v>Equipment Operators / Supervisors / Maintenance / Scalehouse</v>
      </c>
      <c r="AQ34" s="265" t="s">
        <v>744</v>
      </c>
      <c r="AR34" s="264" t="s">
        <v>706</v>
      </c>
      <c r="AS34" s="265" t="str">
        <f>INDEX(MRFs[MRF_Name],MATCH(MRFEquipOpFTEChanges[[#This Row],[MRF_ID]],MRFs[MRF_ID],0))</f>
        <v>1 MRF for DS fiber (Salem)</v>
      </c>
      <c r="AT34" s="270">
        <f>SUMIFS(BaleMover[Total_Baled_tons],BaleMover[Scenario_ID],MRFEquipOpFTEChanges[[#This Row],[Scenario_ID]],BaleMover[MRF_ID],MRFEquipOpFTEChanges[[#This Row],[MRF_ID]])-
(SUMIFS(BaleMover[Total_Baled_tons],BaleMover[Scenario_ID],MRFEquipOpFTEChanges[[#This Row],[Scenario_ID]],BaleMover[MRF_ID],MRFEquipOpFTEChanges[[#This Row],[MRF_ID]],BaleMover[Bale_ID],"9000-01")+
SUMIFS(BaleMover[Total_Baled_tons],BaleMover[Scenario_ID],MRFEquipOpFTEChanges[[#This Row],[Scenario_ID]],BaleMover[MRF_ID],MRFEquipOpFTEChanges[[#This Row],[MRF_ID]],BaleMover[Bale_ID],"3000-01")+
SUMIFS(BaleMover[Total_Baled_tons],BaleMover[Scenario_ID],MRFEquipOpFTEChanges[[#This Row],[Scenario_ID]],BaleMover[MRF_ID],MRFEquipOpFTEChanges[[#This Row],[MRF_ID]],BaleMover[Bale_ID],"5000-01")+
SUMIFS(BaleMover[Total_Baled_tons],BaleMover[Scenario_ID],MRFEquipOpFTEChanges[[#This Row],[Scenario_ID]],BaleMover[MRF_ID],MRFEquipOpFTEChanges[[#This Row],[MRF_ID]],BaleMover[Bale_ID],"5000-02"))</f>
        <v>63958.03293886051</v>
      </c>
      <c r="AU34" s="251">
        <f>(MRFEquipOpFTEChanges[[#This Row],[Total Baled Tons]])-(SUMIFS(MRFEquipOpFTEChanges[Total Baled Tons],MRFEquipOpFTEChanges[Scenario_ID],"S0",MRFEquipOpFTEChanges[MRF_ID],MRFEquipOpFTEChanges[[#This Row],[StartingMRF_ID]]))</f>
        <v>-38056.46170593502</v>
      </c>
      <c r="AV34" s="272">
        <f>MRFEquipOpFTEChanges[[#This Row],[TotalBaledTonsChange]]/$AN$18</f>
        <v>-9.2820638307158578</v>
      </c>
      <c r="AY34" s="212" t="s">
        <v>875</v>
      </c>
      <c r="AZ34" s="212" t="s">
        <v>712</v>
      </c>
      <c r="BA34" s="212" t="s">
        <v>712</v>
      </c>
      <c r="BB34" s="212">
        <v>3</v>
      </c>
      <c r="BC34" s="212" t="str">
        <f>INDEX(MRFs[MRF_Name],MATCH(MRFLaborProductivity[[#This Row],[MRF_ID]],MRFs[MRF_ID],0))</f>
        <v>5 MRFs for SS with fiber upgrades (Portland)</v>
      </c>
      <c r="BD34" s="212" t="str">
        <f>INDEX(MRFLaborCost[MRFLaborType_Name],MATCH(MRFLaborProductivity[[#This Row],[LaborType_ID]],MRFLaborCost[MRFLaborType_ID],0))</f>
        <v>Admin / Mgmt / Marketing Expense</v>
      </c>
      <c r="BE34"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20.386249990500204</v>
      </c>
      <c r="BF34"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34" s="261">
        <f>MRFLaborProductivity[[#This Row],[Base_FTE]]+MRFLaborProductivity[[#This Row],[FTE_Change]]</f>
        <v>20.386249990500204</v>
      </c>
      <c r="BH34" s="102">
        <f>MRFLaborProductivity[[#This Row],[Scenario_FTE]]*SUMIFS(MRFLaborCost[Annual_CostPerFTE_2025],MRFLaborCost[MRFLaborType_ID],MRFLaborProductivity[[#This Row],[LaborType_ID]])</f>
        <v>2656787.4411255284</v>
      </c>
      <c r="BI34"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194880.34022933262</v>
      </c>
      <c r="BJ34" s="191">
        <f>IFERROR(MRFLaborProductivity[[#This Row],[Scenario_LaborCost]]/MRFLaborProductivity[[#This Row],[Tons_Sorted]],"")</f>
        <v>13.632916681072375</v>
      </c>
    </row>
    <row r="35" spans="15:62" ht="15" x14ac:dyDescent="0.25">
      <c r="AY35" s="212" t="s">
        <v>875</v>
      </c>
      <c r="AZ35" s="212" t="s">
        <v>719</v>
      </c>
      <c r="BA35" s="212" t="s">
        <v>719</v>
      </c>
      <c r="BB35" s="212">
        <v>1</v>
      </c>
      <c r="BC35" s="212" t="str">
        <f>INDEX(MRFs[MRF_Name],MATCH(MRFLaborProductivity[[#This Row],[MRF_ID]],MRFs[MRF_ID],0))</f>
        <v>1 MRF for SS with fiber and container upgrades (Portland)</v>
      </c>
      <c r="BD35" s="212" t="str">
        <f>INDEX(MRFLaborCost[MRFLaborType_Name],MATCH(MRFLaborProductivity[[#This Row],[LaborType_ID]],MRFLaborCost[MRFLaborType_ID],0))</f>
        <v>Sort Labor</v>
      </c>
      <c r="BE35"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117.06713542223852</v>
      </c>
      <c r="BF35"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35" s="261">
        <f>MRFLaborProductivity[[#This Row],[Base_FTE]]+MRFLaborProductivity[[#This Row],[FTE_Change]]</f>
        <v>117.06713542223852</v>
      </c>
      <c r="BH35" s="102">
        <f>MRFLaborProductivity[[#This Row],[Scenario_FTE]]*SUMIFS(MRFLaborCost[Annual_CostPerFTE_2025],MRFLaborCost[MRFLaborType_ID],MRFLaborProductivity[[#This Row],[LaborType_ID]])</f>
        <v>7525230.4163894374</v>
      </c>
      <c r="BI35"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123700.40656218091</v>
      </c>
      <c r="BJ35" s="191">
        <f>IFERROR(MRFLaborProductivity[[#This Row],[Scenario_LaborCost]]/MRFLaborProductivity[[#This Row],[Tons_Sorted]],"")</f>
        <v>60.834322420813578</v>
      </c>
    </row>
    <row r="36" spans="15:62" ht="15" x14ac:dyDescent="0.25">
      <c r="AT36" s="251"/>
      <c r="AY36" s="212" t="s">
        <v>875</v>
      </c>
      <c r="AZ36" s="212" t="s">
        <v>719</v>
      </c>
      <c r="BA36" s="212" t="s">
        <v>719</v>
      </c>
      <c r="BB36" s="212">
        <v>2</v>
      </c>
      <c r="BC36" s="212" t="str">
        <f>INDEX(MRFs[MRF_Name],MATCH(MRFLaborProductivity[[#This Row],[MRF_ID]],MRFs[MRF_ID],0))</f>
        <v>1 MRF for SS with fiber and container upgrades (Portland)</v>
      </c>
      <c r="BD36" s="212" t="str">
        <f>INDEX(MRFLaborCost[MRFLaborType_Name],MATCH(MRFLaborProductivity[[#This Row],[LaborType_ID]],MRFLaborCost[MRFLaborType_ID],0))</f>
        <v>Equipment Operators / Supervisors / Maintenance / Scalehouse</v>
      </c>
      <c r="BE36"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25.662500129505489</v>
      </c>
      <c r="BF36"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-0.62600676583645443</v>
      </c>
      <c r="BG36" s="261">
        <f>MRFLaborProductivity[[#This Row],[Base_FTE]]+MRFLaborProductivity[[#This Row],[FTE_Change]]</f>
        <v>25.036493363669035</v>
      </c>
      <c r="BH36" s="102">
        <f>MRFLaborProductivity[[#This Row],[Scenario_FTE]]*SUMIFS(MRFLaborCost[Annual_CostPerFTE_2025],MRFLaborCost[MRFLaborType_ID],MRFLaborProductivity[[#This Row],[LaborType_ID]])</f>
        <v>1468851.6633067017</v>
      </c>
      <c r="BI36"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123700.40656218091</v>
      </c>
      <c r="BJ36" s="191">
        <f>IFERROR(MRFLaborProductivity[[#This Row],[Scenario_LaborCost]]/MRFLaborProductivity[[#This Row],[Tons_Sorted]],"")</f>
        <v>11.8742670628843</v>
      </c>
    </row>
    <row r="37" spans="15:62" ht="15" x14ac:dyDescent="0.25">
      <c r="AY37" s="212" t="s">
        <v>875</v>
      </c>
      <c r="AZ37" s="212" t="s">
        <v>719</v>
      </c>
      <c r="BA37" s="212" t="s">
        <v>719</v>
      </c>
      <c r="BB37" s="212">
        <v>3</v>
      </c>
      <c r="BC37" s="212" t="str">
        <f>INDEX(MRFs[MRF_Name],MATCH(MRFLaborProductivity[[#This Row],[MRF_ID]],MRFs[MRF_ID],0))</f>
        <v>1 MRF for SS with fiber and container upgrades (Portland)</v>
      </c>
      <c r="BD37" s="212" t="str">
        <f>INDEX(MRFLaborCost[MRFLaborType_Name],MATCH(MRFLaborProductivity[[#This Row],[LaborType_ID]],MRFLaborCost[MRFLaborType_ID],0))</f>
        <v>Admin / Mgmt / Marketing Expense</v>
      </c>
      <c r="BE37"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12.97542141379491</v>
      </c>
      <c r="BF37"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37" s="261">
        <f>MRFLaborProductivity[[#This Row],[Base_FTE]]+MRFLaborProductivity[[#This Row],[FTE_Change]]</f>
        <v>12.97542141379491</v>
      </c>
      <c r="BH37" s="102">
        <f>MRFLaborProductivity[[#This Row],[Scenario_FTE]]*SUMIFS(MRFLaborCost[Annual_CostPerFTE_2025],MRFLaborCost[MRFLaborType_ID],MRFLaborProductivity[[#This Row],[LaborType_ID]])</f>
        <v>1690989.5969854987</v>
      </c>
      <c r="BI37"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123700.40656218091</v>
      </c>
      <c r="BJ37" s="191">
        <f>IFERROR(MRFLaborProductivity[[#This Row],[Scenario_LaborCost]]/MRFLaborProductivity[[#This Row],[Tons_Sorted]],"")</f>
        <v>13.670040737784342</v>
      </c>
    </row>
    <row r="38" spans="15:62" ht="15" x14ac:dyDescent="0.25">
      <c r="AY38" s="212" t="s">
        <v>874</v>
      </c>
      <c r="AZ38" s="212" t="s">
        <v>706</v>
      </c>
      <c r="BA38" s="212" t="s">
        <v>706</v>
      </c>
      <c r="BB38" s="212">
        <v>1</v>
      </c>
      <c r="BC38" s="212" t="str">
        <f>INDEX(MRFs[MRF_Name],MATCH(MRFLaborProductivity[[#This Row],[MRF_ID]],MRFs[MRF_ID],0))</f>
        <v>1 MRF for SS (Salem)</v>
      </c>
      <c r="BD38" s="212" t="str">
        <f>INDEX(MRFLaborCost[MRFLaborType_Name],MATCH(MRFLaborProductivity[[#This Row],[LaborType_ID]],MRFLaborCost[MRFLaborType_ID],0))</f>
        <v>Sort Labor</v>
      </c>
      <c r="BE38"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105.00358688569295</v>
      </c>
      <c r="BF38"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-7.5</v>
      </c>
      <c r="BG38" s="261">
        <f>MRFLaborProductivity[[#This Row],[Base_FTE]]+MRFLaborProductivity[[#This Row],[FTE_Change]]</f>
        <v>97.503586885692954</v>
      </c>
      <c r="BH38" s="102">
        <f>MRFLaborProductivity[[#This Row],[Scenario_FTE]]*SUMIFS(MRFLaborCost[Annual_CostPerFTE_2025],MRFLaborCost[MRFLaborType_ID],MRFLaborProductivity[[#This Row],[LaborType_ID]])</f>
        <v>6267659.6219155742</v>
      </c>
      <c r="BI38"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38" s="191">
        <f>IFERROR(MRFLaborProductivity[[#This Row],[Scenario_LaborCost]]/MRFLaborProductivity[[#This Row],[Tons_Sorted]],"")</f>
        <v>48.487935705056387</v>
      </c>
    </row>
    <row r="39" spans="15:62" ht="15" x14ac:dyDescent="0.25">
      <c r="AY39" s="212" t="s">
        <v>874</v>
      </c>
      <c r="AZ39" s="212" t="s">
        <v>706</v>
      </c>
      <c r="BA39" s="212" t="s">
        <v>706</v>
      </c>
      <c r="BB39" s="212">
        <v>2</v>
      </c>
      <c r="BC39" s="212" t="str">
        <f>INDEX(MRFs[MRF_Name],MATCH(MRFLaborProductivity[[#This Row],[MRF_ID]],MRFs[MRF_ID],0))</f>
        <v>1 MRF for SS (Salem)</v>
      </c>
      <c r="BD39" s="212" t="str">
        <f>INDEX(MRFLaborCost[MRFLaborType_Name],MATCH(MRFLaborProductivity[[#This Row],[LaborType_ID]],MRFLaborCost[MRFLaborType_ID],0))</f>
        <v>Equipment Operators / Supervisors / Maintenance / Scalehouse</v>
      </c>
      <c r="BE39"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23.018027667060771</v>
      </c>
      <c r="BF39"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1.6322176391955341</v>
      </c>
      <c r="BG39" s="261">
        <f>MRFLaborProductivity[[#This Row],[Base_FTE]]+MRFLaborProductivity[[#This Row],[FTE_Change]]</f>
        <v>24.650245306256306</v>
      </c>
      <c r="BH39" s="102">
        <f>MRFLaborProductivity[[#This Row],[Scenario_FTE]]*SUMIFS(MRFLaborCost[Annual_CostPerFTE_2025],MRFLaborCost[MRFLaborType_ID],MRFLaborProductivity[[#This Row],[LaborType_ID]])</f>
        <v>1446191.0976540472</v>
      </c>
      <c r="BI39"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39" s="191">
        <f>IFERROR(MRFLaborProductivity[[#This Row],[Scenario_LaborCost]]/MRFLaborProductivity[[#This Row],[Tons_Sorted]],"")</f>
        <v>11.18803910714648</v>
      </c>
    </row>
    <row r="40" spans="15:62" ht="15" x14ac:dyDescent="0.25">
      <c r="AY40" s="212" t="s">
        <v>874</v>
      </c>
      <c r="AZ40" s="212" t="s">
        <v>706</v>
      </c>
      <c r="BA40" s="212" t="s">
        <v>706</v>
      </c>
      <c r="BB40" s="212">
        <v>3</v>
      </c>
      <c r="BC40" s="212" t="str">
        <f>INDEX(MRFs[MRF_Name],MATCH(MRFLaborProductivity[[#This Row],[MRF_ID]],MRFs[MRF_ID],0))</f>
        <v>1 MRF for SS (Salem)</v>
      </c>
      <c r="BD40" s="212" t="str">
        <f>INDEX(MRFLaborCost[MRFLaborType_Name],MATCH(MRFLaborProductivity[[#This Row],[LaborType_ID]],MRFLaborCost[MRFLaborType_ID],0))</f>
        <v>Admin / Mgmt / Marketing Expense</v>
      </c>
      <c r="BE40"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11.638328595704884</v>
      </c>
      <c r="BF40"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40" s="261">
        <f>MRFLaborProductivity[[#This Row],[Base_FTE]]+MRFLaborProductivity[[#This Row],[FTE_Change]]</f>
        <v>11.638328595704884</v>
      </c>
      <c r="BH40" s="102">
        <f>MRFLaborProductivity[[#This Row],[Scenario_FTE]]*SUMIFS(MRFLaborCost[Annual_CostPerFTE_2025],MRFLaborCost[MRFLaborType_ID],MRFLaborProductivity[[#This Row],[LaborType_ID]])</f>
        <v>1516736.2934904424</v>
      </c>
      <c r="BI40"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40" s="191">
        <f>IFERROR(MRFLaborProductivity[[#This Row],[Scenario_LaborCost]]/MRFLaborProductivity[[#This Row],[Tons_Sorted]],"")</f>
        <v>11.733791609093979</v>
      </c>
    </row>
    <row r="41" spans="15:62" ht="15" x14ac:dyDescent="0.25">
      <c r="AY41" s="212" t="s">
        <v>874</v>
      </c>
      <c r="AZ41" s="212" t="s">
        <v>712</v>
      </c>
      <c r="BA41" s="212" t="s">
        <v>712</v>
      </c>
      <c r="BB41" s="212">
        <v>1</v>
      </c>
      <c r="BC41" s="212" t="str">
        <f>INDEX(MRFs[MRF_Name],MATCH(MRFLaborProductivity[[#This Row],[MRF_ID]],MRFs[MRF_ID],0))</f>
        <v>5 MRFs for SS with fiber upgrades (Portland)</v>
      </c>
      <c r="BD41" s="212" t="str">
        <f>INDEX(MRFLaborCost[MRFLaborType_Name],MATCH(MRFLaborProductivity[[#This Row],[LaborType_ID]],MRFLaborCost[MRFLaborType_ID],0))</f>
        <v>Sort Labor</v>
      </c>
      <c r="BE41"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183.92927769206852</v>
      </c>
      <c r="BF41"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-102</v>
      </c>
      <c r="BG41" s="261">
        <f>MRFLaborProductivity[[#This Row],[Base_FTE]]+MRFLaborProductivity[[#This Row],[FTE_Change]]</f>
        <v>81.929277692068524</v>
      </c>
      <c r="BH41" s="102">
        <f>MRFLaborProductivity[[#This Row],[Scenario_FTE]]*SUMIFS(MRFLaborCost[Annual_CostPerFTE_2025],MRFLaborCost[MRFLaborType_ID],MRFLaborProductivity[[#This Row],[LaborType_ID]])</f>
        <v>5266522.4126091581</v>
      </c>
      <c r="BI41"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41" s="191">
        <f>IFERROR(MRFLaborProductivity[[#This Row],[Scenario_LaborCost]]/MRFLaborProductivity[[#This Row],[Tons_Sorted]],"")</f>
        <v>25.038175235440914</v>
      </c>
    </row>
    <row r="42" spans="15:62" ht="15" x14ac:dyDescent="0.25">
      <c r="AD42" s="233"/>
      <c r="AE42" s="233"/>
      <c r="AY42" s="212" t="s">
        <v>874</v>
      </c>
      <c r="AZ42" s="212" t="s">
        <v>712</v>
      </c>
      <c r="BA42" s="212" t="s">
        <v>712</v>
      </c>
      <c r="BB42" s="212">
        <v>2</v>
      </c>
      <c r="BC42" s="212" t="str">
        <f>INDEX(MRFs[MRF_Name],MATCH(MRFLaborProductivity[[#This Row],[MRF_ID]],MRFs[MRF_ID],0))</f>
        <v>5 MRFs for SS with fiber upgrades (Portland)</v>
      </c>
      <c r="BD42" s="212" t="str">
        <f>INDEX(MRFLaborCost[MRFLaborType_Name],MATCH(MRFLaborProductivity[[#This Row],[LaborType_ID]],MRFLaborCost[MRFLaborType_ID],0))</f>
        <v>Equipment Operators / Supervisors / Maintenance / Scalehouse</v>
      </c>
      <c r="BE42"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40.319472203433747</v>
      </c>
      <c r="BF42"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3.0902208239247413</v>
      </c>
      <c r="BG42" s="261">
        <f>MRFLaborProductivity[[#This Row],[Base_FTE]]+MRFLaborProductivity[[#This Row],[FTE_Change]]</f>
        <v>43.409693027358486</v>
      </c>
      <c r="BH42" s="102">
        <f>MRFLaborProductivity[[#This Row],[Scenario_FTE]]*SUMIFS(MRFLaborCost[Annual_CostPerFTE_2025],MRFLaborCost[MRFLaborType_ID],MRFLaborProductivity[[#This Row],[LaborType_ID]])</f>
        <v>2546778.3719023434</v>
      </c>
      <c r="BI42"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42" s="191">
        <f>IFERROR(MRFLaborProductivity[[#This Row],[Scenario_LaborCost]]/MRFLaborProductivity[[#This Row],[Tons_Sorted]],"")</f>
        <v>12.107929704970205</v>
      </c>
    </row>
    <row r="43" spans="15:62" ht="15" x14ac:dyDescent="0.25">
      <c r="AE43" s="233"/>
      <c r="AY43" s="212" t="s">
        <v>874</v>
      </c>
      <c r="AZ43" s="212" t="s">
        <v>712</v>
      </c>
      <c r="BA43" s="212" t="s">
        <v>712</v>
      </c>
      <c r="BB43" s="212">
        <v>3</v>
      </c>
      <c r="BC43" s="212" t="str">
        <f>INDEX(MRFs[MRF_Name],MATCH(MRFLaborProductivity[[#This Row],[MRF_ID]],MRFs[MRF_ID],0))</f>
        <v>5 MRFs for SS with fiber upgrades (Portland)</v>
      </c>
      <c r="BD43" s="212" t="str">
        <f>INDEX(MRFLaborCost[MRFLaborType_Name],MATCH(MRFLaborProductivity[[#This Row],[LaborType_ID]],MRFLaborCost[MRFLaborType_ID],0))</f>
        <v>Admin / Mgmt / Marketing Expense</v>
      </c>
      <c r="BE43"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20.386249990500204</v>
      </c>
      <c r="BF43"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43" s="261">
        <f>MRFLaborProductivity[[#This Row],[Base_FTE]]+MRFLaborProductivity[[#This Row],[FTE_Change]]</f>
        <v>20.386249990500204</v>
      </c>
      <c r="BH43" s="102">
        <f>MRFLaborProductivity[[#This Row],[Scenario_FTE]]*SUMIFS(MRFLaborCost[Annual_CostPerFTE_2025],MRFLaborCost[MRFLaborType_ID],MRFLaborProductivity[[#This Row],[LaborType_ID]])</f>
        <v>2656787.4411255284</v>
      </c>
      <c r="BI43"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43" s="191">
        <f>IFERROR(MRFLaborProductivity[[#This Row],[Scenario_LaborCost]]/MRFLaborProductivity[[#This Row],[Tons_Sorted]],"")</f>
        <v>12.630936375577585</v>
      </c>
    </row>
    <row r="44" spans="15:62" ht="15" x14ac:dyDescent="0.25">
      <c r="AE44" s="280"/>
      <c r="AY44" s="212" t="s">
        <v>874</v>
      </c>
      <c r="AZ44" s="212" t="s">
        <v>719</v>
      </c>
      <c r="BA44" s="212" t="s">
        <v>719</v>
      </c>
      <c r="BB44" s="212">
        <v>1</v>
      </c>
      <c r="BC44" s="212" t="str">
        <f>INDEX(MRFs[MRF_Name],MATCH(MRFLaborProductivity[[#This Row],[MRF_ID]],MRFs[MRF_ID],0))</f>
        <v>1 MRF for SS with fiber and container upgrades (Portland)</v>
      </c>
      <c r="BD44" s="212" t="str">
        <f>INDEX(MRFLaborCost[MRFLaborType_Name],MATCH(MRFLaborProductivity[[#This Row],[LaborType_ID]],MRFLaborCost[MRFLaborType_ID],0))</f>
        <v>Sort Labor</v>
      </c>
      <c r="BE44"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117.06713542223852</v>
      </c>
      <c r="BF44"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3</v>
      </c>
      <c r="BG44" s="261">
        <f>MRFLaborProductivity[[#This Row],[Base_FTE]]+MRFLaborProductivity[[#This Row],[FTE_Change]]</f>
        <v>120.06713542223852</v>
      </c>
      <c r="BH44" s="102">
        <f>MRFLaborProductivity[[#This Row],[Scenario_FTE]]*SUMIFS(MRFLaborCost[Annual_CostPerFTE_2025],MRFLaborCost[MRFLaborType_ID],MRFLaborProductivity[[#This Row],[LaborType_ID]])</f>
        <v>7718074.3872249937</v>
      </c>
      <c r="BI44"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44" s="191">
        <f>IFERROR(MRFLaborProductivity[[#This Row],[Scenario_LaborCost]]/MRFLaborProductivity[[#This Row],[Tons_Sorted]],"")</f>
        <v>56.239963159974337</v>
      </c>
    </row>
    <row r="45" spans="15:62" ht="15" x14ac:dyDescent="0.25">
      <c r="AY45" s="212" t="s">
        <v>874</v>
      </c>
      <c r="AZ45" s="212" t="s">
        <v>719</v>
      </c>
      <c r="BA45" s="212" t="s">
        <v>719</v>
      </c>
      <c r="BB45" s="212">
        <v>2</v>
      </c>
      <c r="BC45" s="212" t="str">
        <f>INDEX(MRFs[MRF_Name],MATCH(MRFLaborProductivity[[#This Row],[MRF_ID]],MRFs[MRF_ID],0))</f>
        <v>1 MRF for SS with fiber and container upgrades (Portland)</v>
      </c>
      <c r="BD45" s="212" t="str">
        <f>INDEX(MRFLaborCost[MRFLaborType_Name],MATCH(MRFLaborProductivity[[#This Row],[LaborType_ID]],MRFLaborCost[MRFLaborType_ID],0))</f>
        <v>Equipment Operators / Supervisors / Maintenance / Scalehouse</v>
      </c>
      <c r="BE45"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25.662500129505489</v>
      </c>
      <c r="BF45"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3.3774991504105856</v>
      </c>
      <c r="BG45" s="261">
        <f>MRFLaborProductivity[[#This Row],[Base_FTE]]+MRFLaborProductivity[[#This Row],[FTE_Change]]</f>
        <v>29.039999279916074</v>
      </c>
      <c r="BH45" s="102">
        <f>MRFLaborProductivity[[#This Row],[Scenario_FTE]]*SUMIFS(MRFLaborCost[Annual_CostPerFTE_2025],MRFLaborCost[MRFLaborType_ID],MRFLaborProductivity[[#This Row],[LaborType_ID]])</f>
        <v>1703731.054710255</v>
      </c>
      <c r="BI45"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45" s="191">
        <f>IFERROR(MRFLaborProductivity[[#This Row],[Scenario_LaborCost]]/MRFLaborProductivity[[#This Row],[Tons_Sorted]],"")</f>
        <v>12.414725091274988</v>
      </c>
    </row>
    <row r="46" spans="15:62" ht="15" x14ac:dyDescent="0.25">
      <c r="AY46" s="212" t="s">
        <v>874</v>
      </c>
      <c r="AZ46" s="212" t="s">
        <v>719</v>
      </c>
      <c r="BA46" s="212" t="s">
        <v>719</v>
      </c>
      <c r="BB46" s="212">
        <v>3</v>
      </c>
      <c r="BC46" s="212" t="str">
        <f>INDEX(MRFs[MRF_Name],MATCH(MRFLaborProductivity[[#This Row],[MRF_ID]],MRFs[MRF_ID],0))</f>
        <v>1 MRF for SS with fiber and container upgrades (Portland)</v>
      </c>
      <c r="BD46" s="212" t="str">
        <f>INDEX(MRFLaborCost[MRFLaborType_Name],MATCH(MRFLaborProductivity[[#This Row],[LaborType_ID]],MRFLaborCost[MRFLaborType_ID],0))</f>
        <v>Admin / Mgmt / Marketing Expense</v>
      </c>
      <c r="BE46"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12.97542141379491</v>
      </c>
      <c r="BF46"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46" s="261">
        <f>MRFLaborProductivity[[#This Row],[Base_FTE]]+MRFLaborProductivity[[#This Row],[FTE_Change]]</f>
        <v>12.97542141379491</v>
      </c>
      <c r="BH46" s="102">
        <f>MRFLaborProductivity[[#This Row],[Scenario_FTE]]*SUMIFS(MRFLaborCost[Annual_CostPerFTE_2025],MRFLaborCost[MRFLaborType_ID],MRFLaborProductivity[[#This Row],[LaborType_ID]])</f>
        <v>1690989.5969854987</v>
      </c>
      <c r="BI46"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46" s="191">
        <f>IFERROR(MRFLaborProductivity[[#This Row],[Scenario_LaborCost]]/MRFLaborProductivity[[#This Row],[Tons_Sorted]],"")</f>
        <v>12.32188080433332</v>
      </c>
    </row>
    <row r="47" spans="15:62" ht="15" x14ac:dyDescent="0.25">
      <c r="AY47" s="212" t="s">
        <v>873</v>
      </c>
      <c r="AZ47" s="212" t="s">
        <v>706</v>
      </c>
      <c r="BA47" s="212" t="s">
        <v>706</v>
      </c>
      <c r="BB47" s="212">
        <v>1</v>
      </c>
      <c r="BC47" s="212" t="str">
        <f>INDEX(MRFs[MRF_Name],MATCH(MRFLaborProductivity[[#This Row],[MRF_ID]],MRFs[MRF_ID],0))</f>
        <v>1 MRF for SS (Salem)</v>
      </c>
      <c r="BD47" s="212" t="str">
        <f>INDEX(MRFLaborCost[MRFLaborType_Name],MATCH(MRFLaborProductivity[[#This Row],[LaborType_ID]],MRFLaborCost[MRFLaborType_ID],0))</f>
        <v>Sort Labor</v>
      </c>
      <c r="BE47"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105.00358688569295</v>
      </c>
      <c r="BF47"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-7.5</v>
      </c>
      <c r="BG47" s="261">
        <f>MRFLaborProductivity[[#This Row],[Base_FTE]]+MRFLaborProductivity[[#This Row],[FTE_Change]]</f>
        <v>97.503586885692954</v>
      </c>
      <c r="BH47" s="102">
        <f>MRFLaborProductivity[[#This Row],[Scenario_FTE]]*SUMIFS(MRFLaborCost[Annual_CostPerFTE_2025],MRFLaborCost[MRFLaborType_ID],MRFLaborProductivity[[#This Row],[LaborType_ID]])</f>
        <v>6267659.6219155742</v>
      </c>
      <c r="BI47"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47" s="191">
        <f>IFERROR(MRFLaborProductivity[[#This Row],[Scenario_LaborCost]]/MRFLaborProductivity[[#This Row],[Tons_Sorted]],"")</f>
        <v>48.487935705056387</v>
      </c>
    </row>
    <row r="48" spans="15:62" ht="15" x14ac:dyDescent="0.25">
      <c r="AY48" s="212" t="s">
        <v>873</v>
      </c>
      <c r="AZ48" s="212" t="s">
        <v>706</v>
      </c>
      <c r="BA48" s="212" t="s">
        <v>706</v>
      </c>
      <c r="BB48" s="212">
        <v>2</v>
      </c>
      <c r="BC48" s="212" t="str">
        <f>INDEX(MRFs[MRF_Name],MATCH(MRFLaborProductivity[[#This Row],[MRF_ID]],MRFs[MRF_ID],0))</f>
        <v>1 MRF for SS (Salem)</v>
      </c>
      <c r="BD48" s="212" t="str">
        <f>INDEX(MRFLaborCost[MRFLaborType_Name],MATCH(MRFLaborProductivity[[#This Row],[LaborType_ID]],MRFLaborCost[MRFLaborType_ID],0))</f>
        <v>Equipment Operators / Supervisors / Maintenance / Scalehouse</v>
      </c>
      <c r="BE48"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23.018027667060771</v>
      </c>
      <c r="BF48"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1.6159938177626427</v>
      </c>
      <c r="BG48" s="261">
        <f>MRFLaborProductivity[[#This Row],[Base_FTE]]+MRFLaborProductivity[[#This Row],[FTE_Change]]</f>
        <v>24.634021484823414</v>
      </c>
      <c r="BH48" s="102">
        <f>MRFLaborProductivity[[#This Row],[Scenario_FTE]]*SUMIFS(MRFLaborCost[Annual_CostPerFTE_2025],MRFLaborCost[MRFLaborType_ID],MRFLaborProductivity[[#This Row],[LaborType_ID]])</f>
        <v>1445239.2715835692</v>
      </c>
      <c r="BI48"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48" s="191">
        <f>IFERROR(MRFLaborProductivity[[#This Row],[Scenario_LaborCost]]/MRFLaborProductivity[[#This Row],[Tons_Sorted]],"")</f>
        <v>11.180675580073894</v>
      </c>
    </row>
    <row r="49" spans="51:62" ht="15" x14ac:dyDescent="0.25">
      <c r="AY49" s="212" t="s">
        <v>873</v>
      </c>
      <c r="AZ49" s="212" t="s">
        <v>706</v>
      </c>
      <c r="BA49" s="212" t="s">
        <v>706</v>
      </c>
      <c r="BB49" s="212">
        <v>3</v>
      </c>
      <c r="BC49" s="212" t="str">
        <f>INDEX(MRFs[MRF_Name],MATCH(MRFLaborProductivity[[#This Row],[MRF_ID]],MRFs[MRF_ID],0))</f>
        <v>1 MRF for SS (Salem)</v>
      </c>
      <c r="BD49" s="212" t="str">
        <f>INDEX(MRFLaborCost[MRFLaborType_Name],MATCH(MRFLaborProductivity[[#This Row],[LaborType_ID]],MRFLaborCost[MRFLaborType_ID],0))</f>
        <v>Admin / Mgmt / Marketing Expense</v>
      </c>
      <c r="BE49"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11.638328595704884</v>
      </c>
      <c r="BF49"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49" s="261">
        <f>MRFLaborProductivity[[#This Row],[Base_FTE]]+MRFLaborProductivity[[#This Row],[FTE_Change]]</f>
        <v>11.638328595704884</v>
      </c>
      <c r="BH49" s="102">
        <f>MRFLaborProductivity[[#This Row],[Scenario_FTE]]*SUMIFS(MRFLaborCost[Annual_CostPerFTE_2025],MRFLaborCost[MRFLaborType_ID],MRFLaborProductivity[[#This Row],[LaborType_ID]])</f>
        <v>1516736.2934904424</v>
      </c>
      <c r="BI49"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129262.24906831772</v>
      </c>
      <c r="BJ49" s="191">
        <f>IFERROR(MRFLaborProductivity[[#This Row],[Scenario_LaborCost]]/MRFLaborProductivity[[#This Row],[Tons_Sorted]],"")</f>
        <v>11.733791609093979</v>
      </c>
    </row>
    <row r="50" spans="51:62" ht="15" x14ac:dyDescent="0.25">
      <c r="AY50" s="212" t="s">
        <v>873</v>
      </c>
      <c r="AZ50" s="212" t="s">
        <v>712</v>
      </c>
      <c r="BA50" s="212" t="s">
        <v>712</v>
      </c>
      <c r="BB50" s="212">
        <v>1</v>
      </c>
      <c r="BC50" s="212" t="str">
        <f>INDEX(MRFs[MRF_Name],MATCH(MRFLaborProductivity[[#This Row],[MRF_ID]],MRFs[MRF_ID],0))</f>
        <v>5 MRFs for SS with fiber upgrades (Portland)</v>
      </c>
      <c r="BD50" s="212" t="str">
        <f>INDEX(MRFLaborCost[MRFLaborType_Name],MATCH(MRFLaborProductivity[[#This Row],[LaborType_ID]],MRFLaborCost[MRFLaborType_ID],0))</f>
        <v>Sort Labor</v>
      </c>
      <c r="BE50"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183.92927769206852</v>
      </c>
      <c r="BF50"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-102</v>
      </c>
      <c r="BG50" s="261">
        <f>MRFLaborProductivity[[#This Row],[Base_FTE]]+MRFLaborProductivity[[#This Row],[FTE_Change]]</f>
        <v>81.929277692068524</v>
      </c>
      <c r="BH50" s="102">
        <f>MRFLaborProductivity[[#This Row],[Scenario_FTE]]*SUMIFS(MRFLaborCost[Annual_CostPerFTE_2025],MRFLaborCost[MRFLaborType_ID],MRFLaborProductivity[[#This Row],[LaborType_ID]])</f>
        <v>5266522.4126091581</v>
      </c>
      <c r="BI50"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50" s="191">
        <f>IFERROR(MRFLaborProductivity[[#This Row],[Scenario_LaborCost]]/MRFLaborProductivity[[#This Row],[Tons_Sorted]],"")</f>
        <v>25.038175235440914</v>
      </c>
    </row>
    <row r="51" spans="51:62" ht="15" x14ac:dyDescent="0.25">
      <c r="AY51" s="212" t="s">
        <v>873</v>
      </c>
      <c r="AZ51" s="212" t="s">
        <v>712</v>
      </c>
      <c r="BA51" s="212" t="s">
        <v>712</v>
      </c>
      <c r="BB51" s="212">
        <v>2</v>
      </c>
      <c r="BC51" s="212" t="str">
        <f>INDEX(MRFs[MRF_Name],MATCH(MRFLaborProductivity[[#This Row],[MRF_ID]],MRFs[MRF_ID],0))</f>
        <v>5 MRFs for SS with fiber upgrades (Portland)</v>
      </c>
      <c r="BD51" s="212" t="str">
        <f>INDEX(MRFLaborCost[MRFLaborType_Name],MATCH(MRFLaborProductivity[[#This Row],[LaborType_ID]],MRFLaborCost[MRFLaborType_ID],0))</f>
        <v>Equipment Operators / Supervisors / Maintenance / Scalehouse</v>
      </c>
      <c r="BE51"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40.319472203433747</v>
      </c>
      <c r="BF51"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3.0953168448131452</v>
      </c>
      <c r="BG51" s="261">
        <f>MRFLaborProductivity[[#This Row],[Base_FTE]]+MRFLaborProductivity[[#This Row],[FTE_Change]]</f>
        <v>43.414789048246895</v>
      </c>
      <c r="BH51" s="102">
        <f>MRFLaborProductivity[[#This Row],[Scenario_FTE]]*SUMIFS(MRFLaborCost[Annual_CostPerFTE_2025],MRFLaborCost[MRFLaborType_ID],MRFLaborProductivity[[#This Row],[LaborType_ID]])</f>
        <v>2547077.3474277677</v>
      </c>
      <c r="BI51"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51" s="191">
        <f>IFERROR(MRFLaborProductivity[[#This Row],[Scenario_LaborCost]]/MRFLaborProductivity[[#This Row],[Tons_Sorted]],"")</f>
        <v>12.109351098635742</v>
      </c>
    </row>
    <row r="52" spans="51:62" ht="15" x14ac:dyDescent="0.25">
      <c r="AY52" s="212" t="s">
        <v>873</v>
      </c>
      <c r="AZ52" s="212" t="s">
        <v>712</v>
      </c>
      <c r="BA52" s="212" t="s">
        <v>712</v>
      </c>
      <c r="BB52" s="212">
        <v>3</v>
      </c>
      <c r="BC52" s="212" t="str">
        <f>INDEX(MRFs[MRF_Name],MATCH(MRFLaborProductivity[[#This Row],[MRF_ID]],MRFs[MRF_ID],0))</f>
        <v>5 MRFs for SS with fiber upgrades (Portland)</v>
      </c>
      <c r="BD52" s="212" t="str">
        <f>INDEX(MRFLaborCost[MRFLaborType_Name],MATCH(MRFLaborProductivity[[#This Row],[LaborType_ID]],MRFLaborCost[MRFLaborType_ID],0))</f>
        <v>Admin / Mgmt / Marketing Expense</v>
      </c>
      <c r="BE52"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20.386249990500204</v>
      </c>
      <c r="BF52"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52" s="261">
        <f>MRFLaborProductivity[[#This Row],[Base_FTE]]+MRFLaborProductivity[[#This Row],[FTE_Change]]</f>
        <v>20.386249990500204</v>
      </c>
      <c r="BH52" s="102">
        <f>MRFLaborProductivity[[#This Row],[Scenario_FTE]]*SUMIFS(MRFLaborCost[Annual_CostPerFTE_2025],MRFLaborCost[MRFLaborType_ID],MRFLaborProductivity[[#This Row],[LaborType_ID]])</f>
        <v>2656787.4411255284</v>
      </c>
      <c r="BI52"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210339.70579271796</v>
      </c>
      <c r="BJ52" s="191">
        <f>IFERROR(MRFLaborProductivity[[#This Row],[Scenario_LaborCost]]/MRFLaborProductivity[[#This Row],[Tons_Sorted]],"")</f>
        <v>12.630936375577585</v>
      </c>
    </row>
    <row r="53" spans="51:62" ht="15" x14ac:dyDescent="0.25">
      <c r="AY53" s="212" t="s">
        <v>873</v>
      </c>
      <c r="AZ53" s="212" t="s">
        <v>719</v>
      </c>
      <c r="BA53" s="212" t="s">
        <v>719</v>
      </c>
      <c r="BB53" s="212">
        <v>1</v>
      </c>
      <c r="BC53" s="212" t="str">
        <f>INDEX(MRFs[MRF_Name],MATCH(MRFLaborProductivity[[#This Row],[MRF_ID]],MRFs[MRF_ID],0))</f>
        <v>1 MRF for SS with fiber and container upgrades (Portland)</v>
      </c>
      <c r="BD53" s="212" t="str">
        <f>INDEX(MRFLaborCost[MRFLaborType_Name],MATCH(MRFLaborProductivity[[#This Row],[LaborType_ID]],MRFLaborCost[MRFLaborType_ID],0))</f>
        <v>Sort Labor</v>
      </c>
      <c r="BE53"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117.06713542223852</v>
      </c>
      <c r="BF53"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-7.5</v>
      </c>
      <c r="BG53" s="261">
        <f>MRFLaborProductivity[[#This Row],[Base_FTE]]+MRFLaborProductivity[[#This Row],[FTE_Change]]</f>
        <v>109.56713542223852</v>
      </c>
      <c r="BH53" s="102">
        <f>MRFLaborProductivity[[#This Row],[Scenario_FTE]]*SUMIFS(MRFLaborCost[Annual_CostPerFTE_2025],MRFLaborCost[MRFLaborType_ID],MRFLaborProductivity[[#This Row],[LaborType_ID]])</f>
        <v>7043120.4893005462</v>
      </c>
      <c r="BI53"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53" s="191">
        <f>IFERROR(MRFLaborProductivity[[#This Row],[Scenario_LaborCost]]/MRFLaborProductivity[[#This Row],[Tons_Sorted]],"")</f>
        <v>51.321717954048019</v>
      </c>
    </row>
    <row r="54" spans="51:62" ht="15" x14ac:dyDescent="0.25">
      <c r="AY54" s="212" t="s">
        <v>873</v>
      </c>
      <c r="AZ54" s="212" t="s">
        <v>719</v>
      </c>
      <c r="BA54" s="212" t="s">
        <v>719</v>
      </c>
      <c r="BB54" s="212">
        <v>2</v>
      </c>
      <c r="BC54" s="212" t="str">
        <f>INDEX(MRFs[MRF_Name],MATCH(MRFLaborProductivity[[#This Row],[MRF_ID]],MRFs[MRF_ID],0))</f>
        <v>1 MRF for SS with fiber and container upgrades (Portland)</v>
      </c>
      <c r="BD54" s="212" t="str">
        <f>INDEX(MRFLaborCost[MRFLaborType_Name],MATCH(MRFLaborProductivity[[#This Row],[LaborType_ID]],MRFLaborCost[MRFLaborType_ID],0))</f>
        <v>Equipment Operators / Supervisors / Maintenance / Scalehouse</v>
      </c>
      <c r="BE54"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25.662500129505489</v>
      </c>
      <c r="BF54"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1.8144119958699469</v>
      </c>
      <c r="BG54" s="261">
        <f>MRFLaborProductivity[[#This Row],[Base_FTE]]+MRFLaborProductivity[[#This Row],[FTE_Change]]</f>
        <v>27.476912125375435</v>
      </c>
      <c r="BH54" s="102">
        <f>MRFLaborProductivity[[#This Row],[Scenario_FTE]]*SUMIFS(MRFLaborCost[Annual_CostPerFTE_2025],MRFLaborCost[MRFLaborType_ID],MRFLaborProductivity[[#This Row],[LaborType_ID]])</f>
        <v>1612027.1913340825</v>
      </c>
      <c r="BI54"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54" s="191">
        <f>IFERROR(MRFLaborProductivity[[#This Row],[Scenario_LaborCost]]/MRFLaborProductivity[[#This Row],[Tons_Sorted]],"")</f>
        <v>11.746498583062026</v>
      </c>
    </row>
    <row r="55" spans="51:62" ht="15" x14ac:dyDescent="0.25">
      <c r="AY55" s="212" t="s">
        <v>873</v>
      </c>
      <c r="AZ55" s="212" t="s">
        <v>719</v>
      </c>
      <c r="BA55" s="212" t="s">
        <v>719</v>
      </c>
      <c r="BB55" s="212">
        <v>3</v>
      </c>
      <c r="BC55" s="212" t="str">
        <f>INDEX(MRFs[MRF_Name],MATCH(MRFLaborProductivity[[#This Row],[MRF_ID]],MRFs[MRF_ID],0))</f>
        <v>1 MRF for SS with fiber and container upgrades (Portland)</v>
      </c>
      <c r="BD55" s="212" t="str">
        <f>INDEX(MRFLaborCost[MRFLaborType_Name],MATCH(MRFLaborProductivity[[#This Row],[LaborType_ID]],MRFLaborCost[MRFLaborType_ID],0))</f>
        <v>Admin / Mgmt / Marketing Expense</v>
      </c>
      <c r="BE55"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12.97542141379491</v>
      </c>
      <c r="BF55"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55" s="261">
        <f>MRFLaborProductivity[[#This Row],[Base_FTE]]+MRFLaborProductivity[[#This Row],[FTE_Change]]</f>
        <v>12.97542141379491</v>
      </c>
      <c r="BH55" s="102">
        <f>MRFLaborProductivity[[#This Row],[Scenario_FTE]]*SUMIFS(MRFLaborCost[Annual_CostPerFTE_2025],MRFLaborCost[MRFLaborType_ID],MRFLaborProductivity[[#This Row],[LaborType_ID]])</f>
        <v>1690989.5969854987</v>
      </c>
      <c r="BI55"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137234.69848781664</v>
      </c>
      <c r="BJ55" s="191">
        <f>IFERROR(MRFLaborProductivity[[#This Row],[Scenario_LaborCost]]/MRFLaborProductivity[[#This Row],[Tons_Sorted]],"")</f>
        <v>12.32188080433332</v>
      </c>
    </row>
    <row r="56" spans="51:62" ht="15" x14ac:dyDescent="0.25">
      <c r="AY56" s="212" t="s">
        <v>870</v>
      </c>
      <c r="AZ56" s="212" t="s">
        <v>735</v>
      </c>
      <c r="BA56" s="212" t="s">
        <v>712</v>
      </c>
      <c r="BB56" s="212">
        <v>1</v>
      </c>
      <c r="BC56" s="212" t="str">
        <f>INDEX(MRFs[MRF_Name],MATCH(MRFLaborProductivity[[#This Row],[MRF_ID]],MRFs[MRF_ID],0))</f>
        <v>5 MRFs for DS fiber (Portland)</v>
      </c>
      <c r="BD56" s="212" t="str">
        <f>INDEX(MRFLaborCost[MRFLaborType_Name],MATCH(MRFLaborProductivity[[#This Row],[LaborType_ID]],MRFLaborCost[MRFLaborType_ID],0))</f>
        <v>Sort Labor</v>
      </c>
      <c r="BE56"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183.92927769206852</v>
      </c>
      <c r="BF56"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-117</v>
      </c>
      <c r="BG56" s="261">
        <f>MRFLaborProductivity[[#This Row],[Base_FTE]]+MRFLaborProductivity[[#This Row],[FTE_Change]]</f>
        <v>66.929277692068524</v>
      </c>
      <c r="BH56" s="102">
        <f>MRFLaborProductivity[[#This Row],[Scenario_FTE]]*SUMIFS(MRFLaborCost[Annual_CostPerFTE_2025],MRFLaborCost[MRFLaborType_ID],MRFLaborProductivity[[#This Row],[LaborType_ID]])</f>
        <v>4302302.5584313758</v>
      </c>
      <c r="BI56"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241090.68266408695</v>
      </c>
      <c r="BJ56" s="191">
        <f>IFERROR(MRFLaborProductivity[[#This Row],[Scenario_LaborCost]]/MRFLaborProductivity[[#This Row],[Tons_Sorted]],"")</f>
        <v>17.84516311825206</v>
      </c>
    </row>
    <row r="57" spans="51:62" ht="15" x14ac:dyDescent="0.25">
      <c r="AY57" s="212" t="s">
        <v>870</v>
      </c>
      <c r="AZ57" s="212" t="s">
        <v>735</v>
      </c>
      <c r="BA57" s="212" t="s">
        <v>712</v>
      </c>
      <c r="BB57" s="212">
        <v>2</v>
      </c>
      <c r="BC57" s="212" t="str">
        <f>INDEX(MRFs[MRF_Name],MATCH(MRFLaborProductivity[[#This Row],[MRF_ID]],MRFs[MRF_ID],0))</f>
        <v>5 MRFs for DS fiber (Portland)</v>
      </c>
      <c r="BD57" s="212" t="str">
        <f>INDEX(MRFLaborCost[MRFLaborType_Name],MATCH(MRFLaborProductivity[[#This Row],[LaborType_ID]],MRFLaborCost[MRFLaborType_ID],0))</f>
        <v>Equipment Operators / Supervisors / Maintenance / Scalehouse</v>
      </c>
      <c r="BE57"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40.319472203433747</v>
      </c>
      <c r="BF57"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13.977127654010092</v>
      </c>
      <c r="BG57" s="261">
        <f>MRFLaborProductivity[[#This Row],[Base_FTE]]+MRFLaborProductivity[[#This Row],[FTE_Change]]</f>
        <v>54.296599857443837</v>
      </c>
      <c r="BH57" s="102">
        <f>MRFLaborProductivity[[#This Row],[Scenario_FTE]]*SUMIFS(MRFLaborCost[Annual_CostPerFTE_2025],MRFLaborCost[MRFLaborType_ID],MRFLaborProductivity[[#This Row],[LaborType_ID]])</f>
        <v>3185496.0618501371</v>
      </c>
      <c r="BI57"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241090.68266408695</v>
      </c>
      <c r="BJ57" s="191">
        <f>IFERROR(MRFLaborProductivity[[#This Row],[Scenario_LaborCost]]/MRFLaborProductivity[[#This Row],[Tons_Sorted]],"")</f>
        <v>13.212854294699174</v>
      </c>
    </row>
    <row r="58" spans="51:62" ht="15" x14ac:dyDescent="0.25">
      <c r="AY58" s="212" t="s">
        <v>870</v>
      </c>
      <c r="AZ58" s="212" t="s">
        <v>735</v>
      </c>
      <c r="BA58" s="212" t="s">
        <v>712</v>
      </c>
      <c r="BB58" s="212">
        <v>3</v>
      </c>
      <c r="BC58" s="212" t="str">
        <f>INDEX(MRFs[MRF_Name],MATCH(MRFLaborProductivity[[#This Row],[MRF_ID]],MRFs[MRF_ID],0))</f>
        <v>5 MRFs for DS fiber (Portland)</v>
      </c>
      <c r="BD58" s="212" t="str">
        <f>INDEX(MRFLaborCost[MRFLaborType_Name],MATCH(MRFLaborProductivity[[#This Row],[LaborType_ID]],MRFLaborCost[MRFLaborType_ID],0))</f>
        <v>Admin / Mgmt / Marketing Expense</v>
      </c>
      <c r="BE58"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20.386249990500204</v>
      </c>
      <c r="BF58"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58" s="261">
        <f>MRFLaborProductivity[[#This Row],[Base_FTE]]+MRFLaborProductivity[[#This Row],[FTE_Change]]</f>
        <v>20.386249990500204</v>
      </c>
      <c r="BH58" s="102">
        <f>MRFLaborProductivity[[#This Row],[Scenario_FTE]]*SUMIFS(MRFLaborCost[Annual_CostPerFTE_2025],MRFLaborCost[MRFLaborType_ID],MRFLaborProductivity[[#This Row],[LaborType_ID]])</f>
        <v>2656787.4411255284</v>
      </c>
      <c r="BI58"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241090.68266408695</v>
      </c>
      <c r="BJ58" s="191">
        <f>IFERROR(MRFLaborProductivity[[#This Row],[Scenario_LaborCost]]/MRFLaborProductivity[[#This Row],[Tons_Sorted]],"")</f>
        <v>11.01986775999654</v>
      </c>
    </row>
    <row r="59" spans="51:62" ht="15" x14ac:dyDescent="0.25">
      <c r="AY59" s="212" t="s">
        <v>870</v>
      </c>
      <c r="AZ59" s="212" t="s">
        <v>739</v>
      </c>
      <c r="BA59" s="212" t="s">
        <v>719</v>
      </c>
      <c r="BB59" s="212">
        <v>1</v>
      </c>
      <c r="BC59" s="212" t="str">
        <f>INDEX(MRFs[MRF_Name],MATCH(MRFLaborProductivity[[#This Row],[MRF_ID]],MRFs[MRF_ID],0))</f>
        <v>1 MRF for DS with fiber and container lines (Portland)</v>
      </c>
      <c r="BD59" s="212" t="str">
        <f>INDEX(MRFLaborCost[MRFLaborType_Name],MATCH(MRFLaborProductivity[[#This Row],[LaborType_ID]],MRFLaborCost[MRFLaborType_ID],0))</f>
        <v>Sort Labor</v>
      </c>
      <c r="BE59"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117.06713542223852</v>
      </c>
      <c r="BF59"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59" s="261">
        <f>MRFLaborProductivity[[#This Row],[Base_FTE]]+MRFLaborProductivity[[#This Row],[FTE_Change]]</f>
        <v>117.06713542223852</v>
      </c>
      <c r="BH59" s="102">
        <f>MRFLaborProductivity[[#This Row],[Scenario_FTE]]*SUMIFS(MRFLaborCost[Annual_CostPerFTE_2025],MRFLaborCost[MRFLaborType_ID],MRFLaborProductivity[[#This Row],[LaborType_ID]])</f>
        <v>7525230.4163894374</v>
      </c>
      <c r="BI59"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167013.76854203845</v>
      </c>
      <c r="BJ59" s="191">
        <f>IFERROR(MRFLaborProductivity[[#This Row],[Scenario_LaborCost]]/MRFLaborProductivity[[#This Row],[Tons_Sorted]],"")</f>
        <v>45.057545147813897</v>
      </c>
    </row>
    <row r="60" spans="51:62" ht="15" x14ac:dyDescent="0.25">
      <c r="AY60" s="212" t="s">
        <v>870</v>
      </c>
      <c r="AZ60" s="212" t="s">
        <v>739</v>
      </c>
      <c r="BA60" s="212" t="s">
        <v>719</v>
      </c>
      <c r="BB60" s="212">
        <v>2</v>
      </c>
      <c r="BC60" s="212" t="str">
        <f>INDEX(MRFs[MRF_Name],MATCH(MRFLaborProductivity[[#This Row],[MRF_ID]],MRFs[MRF_ID],0))</f>
        <v>1 MRF for DS with fiber and container lines (Portland)</v>
      </c>
      <c r="BD60" s="212" t="str">
        <f>INDEX(MRFLaborCost[MRFLaborType_Name],MATCH(MRFLaborProductivity[[#This Row],[LaborType_ID]],MRFLaborCost[MRFLaborType_ID],0))</f>
        <v>Equipment Operators / Supervisors / Maintenance / Scalehouse</v>
      </c>
      <c r="BE60"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25.662500129505489</v>
      </c>
      <c r="BF60"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9.1368124710190504</v>
      </c>
      <c r="BG60" s="261">
        <f>MRFLaborProductivity[[#This Row],[Base_FTE]]+MRFLaborProductivity[[#This Row],[FTE_Change]]</f>
        <v>34.799312600524537</v>
      </c>
      <c r="BH60" s="102">
        <f>MRFLaborProductivity[[#This Row],[Scenario_FTE]]*SUMIFS(MRFLaborCost[Annual_CostPerFTE_2025],MRFLaborCost[MRFLaborType_ID],MRFLaborProductivity[[#This Row],[LaborType_ID]])</f>
        <v>2041620.9032445571</v>
      </c>
      <c r="BI60"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167013.76854203845</v>
      </c>
      <c r="BJ60" s="191">
        <f>IFERROR(MRFLaborProductivity[[#This Row],[Scenario_LaborCost]]/MRFLaborProductivity[[#This Row],[Tons_Sorted]],"")</f>
        <v>12.224267023414107</v>
      </c>
    </row>
    <row r="61" spans="51:62" ht="15" x14ac:dyDescent="0.25">
      <c r="AY61" s="212" t="s">
        <v>870</v>
      </c>
      <c r="AZ61" s="212" t="s">
        <v>739</v>
      </c>
      <c r="BA61" s="212" t="s">
        <v>719</v>
      </c>
      <c r="BB61" s="212">
        <v>3</v>
      </c>
      <c r="BC61" s="212" t="str">
        <f>INDEX(MRFs[MRF_Name],MATCH(MRFLaborProductivity[[#This Row],[MRF_ID]],MRFs[MRF_ID],0))</f>
        <v>1 MRF for DS with fiber and container lines (Portland)</v>
      </c>
      <c r="BD61" s="212" t="str">
        <f>INDEX(MRFLaborCost[MRFLaborType_Name],MATCH(MRFLaborProductivity[[#This Row],[LaborType_ID]],MRFLaborCost[MRFLaborType_ID],0))</f>
        <v>Admin / Mgmt / Marketing Expense</v>
      </c>
      <c r="BE61"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12.97542141379491</v>
      </c>
      <c r="BF61"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61" s="261">
        <f>MRFLaborProductivity[[#This Row],[Base_FTE]]+MRFLaborProductivity[[#This Row],[FTE_Change]]</f>
        <v>12.97542141379491</v>
      </c>
      <c r="BH61" s="102">
        <f>MRFLaborProductivity[[#This Row],[Scenario_FTE]]*SUMIFS(MRFLaborCost[Annual_CostPerFTE_2025],MRFLaborCost[MRFLaborType_ID],MRFLaborProductivity[[#This Row],[LaborType_ID]])</f>
        <v>1690989.5969854987</v>
      </c>
      <c r="BI61"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167013.76854203845</v>
      </c>
      <c r="BJ61" s="191">
        <f>IFERROR(MRFLaborProductivity[[#This Row],[Scenario_LaborCost]]/MRFLaborProductivity[[#This Row],[Tons_Sorted]],"")</f>
        <v>10.124851452351161</v>
      </c>
    </row>
    <row r="62" spans="51:62" ht="15" x14ac:dyDescent="0.25">
      <c r="AY62" s="212" t="s">
        <v>870</v>
      </c>
      <c r="AZ62" s="212" t="s">
        <v>744</v>
      </c>
      <c r="BA62" s="212" t="s">
        <v>706</v>
      </c>
      <c r="BB62" s="212">
        <v>1</v>
      </c>
      <c r="BC62" s="212" t="str">
        <f>INDEX(MRFs[MRF_Name],MATCH(MRFLaborProductivity[[#This Row],[MRF_ID]],MRFs[MRF_ID],0))</f>
        <v>1 MRF for DS fiber (Salem)</v>
      </c>
      <c r="BD62" s="212" t="str">
        <f>INDEX(MRFLaborCost[MRFLaborType_Name],MATCH(MRFLaborProductivity[[#This Row],[LaborType_ID]],MRFLaborCost[MRFLaborType_ID],0))</f>
        <v>Sort Labor</v>
      </c>
      <c r="BE62"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105.00358688569295</v>
      </c>
      <c r="BF62"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-10.5</v>
      </c>
      <c r="BG62" s="261">
        <f>MRFLaborProductivity[[#This Row],[Base_FTE]]+MRFLaborProductivity[[#This Row],[FTE_Change]]</f>
        <v>94.503586885692954</v>
      </c>
      <c r="BH62" s="102">
        <f>MRFLaborProductivity[[#This Row],[Scenario_FTE]]*SUMIFS(MRFLaborCost[Annual_CostPerFTE_2025],MRFLaborCost[MRFLaborType_ID],MRFLaborProductivity[[#This Row],[LaborType_ID]])</f>
        <v>6074815.6510800179</v>
      </c>
      <c r="BI62"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69309.557930468334</v>
      </c>
      <c r="BJ62" s="191">
        <f>IFERROR(MRFLaborProductivity[[#This Row],[Scenario_LaborCost]]/MRFLaborProductivity[[#This Row],[Tons_Sorted]],"")</f>
        <v>87.647589055095409</v>
      </c>
    </row>
    <row r="63" spans="51:62" ht="15" x14ac:dyDescent="0.25">
      <c r="AY63" s="212" t="s">
        <v>870</v>
      </c>
      <c r="AZ63" s="212" t="s">
        <v>744</v>
      </c>
      <c r="BA63" s="212" t="s">
        <v>706</v>
      </c>
      <c r="BB63" s="212">
        <v>2</v>
      </c>
      <c r="BC63" s="212" t="str">
        <f>INDEX(MRFs[MRF_Name],MATCH(MRFLaborProductivity[[#This Row],[MRF_ID]],MRFs[MRF_ID],0))</f>
        <v>1 MRF for DS fiber (Salem)</v>
      </c>
      <c r="BD63" s="212" t="str">
        <f>INDEX(MRFLaborCost[MRFLaborType_Name],MATCH(MRFLaborProductivity[[#This Row],[LaborType_ID]],MRFLaborCost[MRFLaborType_ID],0))</f>
        <v>Equipment Operators / Supervisors / Maintenance / Scalehouse</v>
      </c>
      <c r="BE63"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23.018027667060771</v>
      </c>
      <c r="BF63"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-9.2820638307158578</v>
      </c>
      <c r="BG63" s="261">
        <f>MRFLaborProductivity[[#This Row],[Base_FTE]]+MRFLaborProductivity[[#This Row],[FTE_Change]]</f>
        <v>13.735963836344913</v>
      </c>
      <c r="BH63" s="102">
        <f>MRFLaborProductivity[[#This Row],[Scenario_FTE]]*SUMIFS(MRFLaborCost[Annual_CostPerFTE_2025],MRFLaborCost[MRFLaborType_ID],MRFLaborProductivity[[#This Row],[LaborType_ID]])</f>
        <v>805867.38066976541</v>
      </c>
      <c r="BI63"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69309.557930468334</v>
      </c>
      <c r="BJ63" s="191">
        <f>IFERROR(MRFLaborProductivity[[#This Row],[Scenario_LaborCost]]/MRFLaborProductivity[[#This Row],[Tons_Sorted]],"")</f>
        <v>11.627074313159165</v>
      </c>
    </row>
    <row r="64" spans="51:62" ht="15" x14ac:dyDescent="0.25">
      <c r="AY64" s="212" t="s">
        <v>870</v>
      </c>
      <c r="AZ64" s="212" t="s">
        <v>744</v>
      </c>
      <c r="BA64" s="212" t="s">
        <v>706</v>
      </c>
      <c r="BB64" s="212">
        <v>3</v>
      </c>
      <c r="BC64" s="212" t="str">
        <f>INDEX(MRFs[MRF_Name],MATCH(MRFLaborProductivity[[#This Row],[MRF_ID]],MRFs[MRF_ID],0))</f>
        <v>1 MRF for DS fiber (Salem)</v>
      </c>
      <c r="BD64" s="212" t="str">
        <f>INDEX(MRFLaborCost[MRFLaborType_Name],MATCH(MRFLaborProductivity[[#This Row],[LaborType_ID]],MRFLaborCost[MRFLaborType_ID],0))</f>
        <v>Admin / Mgmt / Marketing Expense</v>
      </c>
      <c r="BE64" s="232">
        <f>SUMIFS(MRFLaborCost[Baseline_FTE],MRFLaborCost[MRFLaborType_ID],MRFLaborProductivity[[#This Row],[LaborType_ID]])*
SUMIFS(MRFefficiency[Incoming Tons (all)],MRFefficiency[Scenario_ID],"S0",MRFefficiency[MRF_ID],MRFLaborProductivity[[#This Row],[StartingMRF_ID]],MRFefficiency[CollectionStream_ID],"01")
/SUMIFS(MRFefficiency[Incoming Tons (all)],MRFefficiency[Scenario_ID],"S0",MRFefficiency[CollectionStream_ID],"01")</f>
        <v>11.638328595704884</v>
      </c>
      <c r="BF64" s="273">
        <f>SUMIFS(MRFSorterFTEChanges[SortFTE_Cumulative],MRFSorterFTEChanges[Scenario_ID],MRFLaborProductivity[[#This Row],[Scenario_ID]],MRFSorterFTEChanges[LaborType_ID],MRFLaborProductivity[[#This Row],[LaborType_ID]],MRFSorterFTEChanges[MRF_ID],MRFLaborProductivity[[#This Row],[MRF_ID]])+
SUMIFS(MRFSorterFTEChanges[MaintenanceFTE_Cumulative],MRFSorterFTEChanges[Scenario_ID],MRFLaborProductivity[[#This Row],[Scenario_ID]],MRFSorterFTEChanges[LaborType_ID2],MRFLaborProductivity[[#This Row],[LaborType_ID]],MRFSorterFTEChanges[MRF_ID],MRFLaborProductivity[[#This Row],[MRF_ID]])+
SUMIFS(MRFEquipOpFTEChanges[FTE_Equipment],MRFEquipOpFTEChanges[Scenario_ID],MRFLaborProductivity[[#This Row],[Scenario_ID]],MRFEquipOpFTEChanges[LaborType_ID],MRFLaborProductivity[[#This Row],[LaborType_ID]],MRFEquipOpFTEChanges[MRF_ID],MRFLaborProductivity[[#This Row],[MRF_ID]])</f>
        <v>0</v>
      </c>
      <c r="BG64" s="261">
        <f>MRFLaborProductivity[[#This Row],[Base_FTE]]+MRFLaborProductivity[[#This Row],[FTE_Change]]</f>
        <v>11.638328595704884</v>
      </c>
      <c r="BH64" s="102">
        <f>MRFLaborProductivity[[#This Row],[Scenario_FTE]]*SUMIFS(MRFLaborCost[Annual_CostPerFTE_2025],MRFLaborCost[MRFLaborType_ID],MRFLaborProductivity[[#This Row],[LaborType_ID]])</f>
        <v>1516736.2934904424</v>
      </c>
      <c r="BI64" s="231">
        <f>SUMIFS(MRFefficiency[Incoming Tons (all)],MRFefficiency[Scenario_ID],MRFLaborProductivity[[#This Row],[Scenario_ID]],MRFefficiency[MRF_ID],MRFLaborProductivity[[#This Row],[MRF_ID]],MRFefficiency[CollectionStream_ID],"01")+
SUMIFS(MRFefficiency[Incoming Tons (all)],MRFefficiency[Scenario_ID],MRFLaborProductivity[[#This Row],[Scenario_ID]],MRFefficiency[MRF_ID],MRFLaborProductivity[[#This Row],[MRF_ID]],MRFefficiency[CollectionStream_ID],"09")+
SUMIFS(MRFefficiency[Incoming Tons (all)],MRFefficiency[Scenario_ID],MRFLaborProductivity[[#This Row],[Scenario_ID]],MRFefficiency[MRF_ID],MRFLaborProductivity[[#This Row],[MRF_ID]],MRFefficiency[CollectionStream_ID],"10")</f>
        <v>69309.557930468334</v>
      </c>
      <c r="BJ64" s="191">
        <f>IFERROR(MRFLaborProductivity[[#This Row],[Scenario_LaborCost]]/MRFLaborProductivity[[#This Row],[Tons_Sorted]],"")</f>
        <v>21.883508404598963</v>
      </c>
    </row>
  </sheetData>
  <sheetProtection algorithmName="SHA-512" hashValue="EptS8wsVrKtqzERgo7cQ2sN8o1x/x6g52Wl9SxRpRBEXgbpeOyZdEfbK8ibNim048ZlBX62hZiscCb5qsyc3+w==" saltValue="pATSshtiTySKeB0qo+MSGg==" spinCount="100000" sheet="1" objects="1" scenarios="1" autoFilter="0"/>
  <phoneticPr fontId="15" type="noConversion"/>
  <pageMargins left="0.7" right="0.7" top="0.75" bottom="0.75" header="0.3" footer="0.3"/>
  <pageSetup orientation="portrait" horizontalDpi="1200" verticalDpi="1200" r:id="rId1"/>
  <tableParts count="5">
    <tablePart r:id="rId2"/>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7E85-3216-4946-B103-6D67F1A09DD6}">
  <sheetPr>
    <tabColor theme="9"/>
  </sheetPr>
  <dimension ref="A1:K48"/>
  <sheetViews>
    <sheetView workbookViewId="0">
      <selection activeCell="I19" sqref="I19"/>
    </sheetView>
  </sheetViews>
  <sheetFormatPr defaultColWidth="9" defaultRowHeight="14.25" x14ac:dyDescent="0.2"/>
  <cols>
    <col min="1" max="1" width="2" style="212" bestFit="1" customWidth="1"/>
    <col min="2" max="3" width="6.625" style="212" customWidth="1"/>
    <col min="4" max="4" width="32.625" style="212" bestFit="1" customWidth="1"/>
    <col min="5" max="5" width="11.875" style="212" customWidth="1"/>
    <col min="6" max="6" width="13.875" style="212" customWidth="1"/>
    <col min="7" max="7" width="48.875" style="212" bestFit="1" customWidth="1"/>
    <col min="8" max="8" width="13.875" style="212" customWidth="1"/>
    <col min="9" max="9" width="22" style="212" bestFit="1" customWidth="1"/>
    <col min="10" max="10" width="24.25" style="212" bestFit="1" customWidth="1"/>
    <col min="11" max="11" width="17.75" style="212" customWidth="1"/>
    <col min="12" max="13" width="5.875" style="212" customWidth="1"/>
    <col min="14" max="16384" width="9" style="212"/>
  </cols>
  <sheetData>
    <row r="1" spans="1:11" ht="20.25" thickBot="1" x14ac:dyDescent="0.25">
      <c r="A1" s="4"/>
      <c r="B1" s="65" t="s">
        <v>958</v>
      </c>
      <c r="C1" s="66"/>
      <c r="D1" s="66"/>
      <c r="E1" s="66"/>
      <c r="F1" s="66"/>
      <c r="G1" s="66"/>
      <c r="H1" s="66"/>
      <c r="I1" s="330"/>
      <c r="J1" s="330"/>
      <c r="K1" s="330"/>
    </row>
    <row r="2" spans="1:11" ht="15" thickTop="1" x14ac:dyDescent="0.2">
      <c r="I2" s="317"/>
      <c r="J2" s="317"/>
      <c r="K2" s="317"/>
    </row>
    <row r="5" spans="1:11" ht="15" x14ac:dyDescent="0.25">
      <c r="B5" s="342" t="s">
        <v>953</v>
      </c>
    </row>
    <row r="7" spans="1:11" x14ac:dyDescent="0.2">
      <c r="C7" s="217" t="s">
        <v>946</v>
      </c>
      <c r="D7" s="217" t="s">
        <v>945</v>
      </c>
      <c r="E7" s="217" t="s">
        <v>944</v>
      </c>
      <c r="F7" s="212" t="s">
        <v>951</v>
      </c>
      <c r="G7" s="212" t="s">
        <v>950</v>
      </c>
      <c r="H7" s="212" t="s">
        <v>949</v>
      </c>
      <c r="I7" s="212" t="s">
        <v>948</v>
      </c>
      <c r="J7" s="212" t="s">
        <v>867</v>
      </c>
      <c r="K7" s="212" t="s">
        <v>947</v>
      </c>
    </row>
    <row r="8" spans="1:11" ht="15" x14ac:dyDescent="0.25">
      <c r="C8" s="212">
        <v>1</v>
      </c>
      <c r="D8" s="212" t="s">
        <v>941</v>
      </c>
      <c r="E8" s="212" t="s">
        <v>865</v>
      </c>
      <c r="F8" s="282">
        <f>2+4.5+4.36</f>
        <v>10.86</v>
      </c>
      <c r="G8" s="19" t="s">
        <v>825</v>
      </c>
      <c r="H8" s="240">
        <f>INDEX(Inflation[Escalator],MATCH(OperatingCosts_Unit[[#This Row],[Escalator_ID]],Inflation[Financial_ID],0))</f>
        <v>1.0752753878683297</v>
      </c>
      <c r="I8" s="115">
        <f>OperatingCosts_Unit[[#This Row],[Cost_Amt_2018]]*OperatingCosts_Unit[[#This Row],[EscalatorPct]]</f>
        <v>11.677490712250059</v>
      </c>
      <c r="J8" s="212" t="s">
        <v>937</v>
      </c>
      <c r="K8" s="55" t="s">
        <v>940</v>
      </c>
    </row>
    <row r="9" spans="1:11" ht="15" x14ac:dyDescent="0.25">
      <c r="C9" s="212">
        <v>2</v>
      </c>
      <c r="D9" s="212" t="s">
        <v>939</v>
      </c>
      <c r="E9" s="212" t="s">
        <v>938</v>
      </c>
      <c r="F9" s="241">
        <f>1*12+0.416</f>
        <v>12.416</v>
      </c>
      <c r="G9" s="19" t="s">
        <v>79</v>
      </c>
      <c r="H9" s="240">
        <f>INDEX(Inflation[Escalator],MATCH(OperatingCosts_Unit[[#This Row],[Escalator_ID]],Inflation[Financial_ID],0))</f>
        <v>1.1188403028848959</v>
      </c>
      <c r="I9" s="115">
        <f>OperatingCosts_Unit[[#This Row],[Cost_Amt_2018]]*OperatingCosts_Unit[[#This Row],[EscalatorPct]]</f>
        <v>13.891521200618868</v>
      </c>
      <c r="J9" s="212" t="s">
        <v>937</v>
      </c>
      <c r="K9" s="55" t="s">
        <v>1096</v>
      </c>
    </row>
    <row r="10" spans="1:11" ht="15" x14ac:dyDescent="0.25">
      <c r="C10" s="212">
        <v>3</v>
      </c>
      <c r="D10" s="212" t="s">
        <v>936</v>
      </c>
      <c r="E10" s="212" t="s">
        <v>865</v>
      </c>
      <c r="F10" s="241">
        <f>-4.5*1.5</f>
        <v>-6.75</v>
      </c>
      <c r="G10" s="19" t="s">
        <v>79</v>
      </c>
      <c r="H10" s="240">
        <f>INDEX(Inflation[Escalator],MATCH(OperatingCosts_Unit[[#This Row],[Escalator_ID]],Inflation[Financial_ID],0))</f>
        <v>1.1188403028848959</v>
      </c>
      <c r="I10" s="115">
        <f>OperatingCosts_Unit[[#This Row],[Cost_Amt_2018]]*OperatingCosts_Unit[[#This Row],[EscalatorPct]]</f>
        <v>-7.5521720444730471</v>
      </c>
      <c r="J10" s="212" t="s">
        <v>935</v>
      </c>
      <c r="K10" s="55" t="s">
        <v>934</v>
      </c>
    </row>
    <row r="11" spans="1:11" x14ac:dyDescent="0.2">
      <c r="B11"/>
      <c r="C11"/>
      <c r="D11"/>
      <c r="E11"/>
      <c r="F11"/>
      <c r="G11"/>
      <c r="H11"/>
      <c r="I11"/>
      <c r="J11" s="55"/>
    </row>
    <row r="12" spans="1:11" x14ac:dyDescent="0.2">
      <c r="B12"/>
      <c r="C12"/>
      <c r="D12"/>
      <c r="E12"/>
      <c r="F12"/>
      <c r="G12"/>
      <c r="H12"/>
      <c r="I12"/>
      <c r="J12" s="55"/>
    </row>
    <row r="13" spans="1:11" x14ac:dyDescent="0.2">
      <c r="B13"/>
      <c r="C13"/>
      <c r="D13"/>
      <c r="E13"/>
      <c r="F13"/>
      <c r="G13"/>
      <c r="H13"/>
      <c r="I13"/>
      <c r="J13" s="55"/>
    </row>
    <row r="14" spans="1:11" ht="15" x14ac:dyDescent="0.25">
      <c r="B14" s="215" t="s">
        <v>952</v>
      </c>
      <c r="G14" s="317"/>
      <c r="H14" s="317"/>
      <c r="I14" s="317"/>
      <c r="J14" s="317"/>
      <c r="K14" s="317"/>
    </row>
    <row r="16" spans="1:11" ht="15" x14ac:dyDescent="0.25">
      <c r="B16" s="215" t="s">
        <v>877</v>
      </c>
      <c r="C16" s="215" t="s">
        <v>946</v>
      </c>
      <c r="D16" s="215" t="s">
        <v>945</v>
      </c>
      <c r="E16" s="215" t="s">
        <v>944</v>
      </c>
      <c r="F16" s="215" t="s">
        <v>869</v>
      </c>
      <c r="G16" s="215" t="s">
        <v>868</v>
      </c>
      <c r="H16" s="215" t="s">
        <v>943</v>
      </c>
      <c r="I16" s="215" t="s">
        <v>942</v>
      </c>
      <c r="J16" s="342" t="s">
        <v>2215</v>
      </c>
      <c r="K16" s="215" t="s">
        <v>1042</v>
      </c>
    </row>
    <row r="17" spans="2:11" ht="15" x14ac:dyDescent="0.25">
      <c r="B17" s="212" t="s">
        <v>876</v>
      </c>
      <c r="C17" s="212">
        <v>1</v>
      </c>
      <c r="D17" s="212" t="str">
        <f>INDEX(OperatingCosts_Unit[OperatingCost_Name],MATCH(OperatingCost_Changes[[#This Row],[OperatingCost_ID]],OperatingCosts_Unit[OperatingCost_ID],0))</f>
        <v>Equipment O&amp;M Costs</v>
      </c>
      <c r="E17" s="212" t="str">
        <f>INDEX(OperatingCosts_Unit[OperatingCost_Type],MATCH(OperatingCost_Changes[[#This Row],[OperatingCost_ID]],OperatingCosts_Unit[OperatingCost_ID],0))</f>
        <v>Equipment</v>
      </c>
      <c r="F17" s="252" t="s">
        <v>712</v>
      </c>
      <c r="G17" s="212" t="str">
        <f>INDEX(MRFs[MRF_Name],MATCH(OperatingCost_Changes[[#This Row],[MRF_ID]],MRFs[MRF_ID],0))</f>
        <v>5 MRFs for SS with fiber upgrades (Portland)</v>
      </c>
      <c r="H17" s="103">
        <f>INDEX(OperatingCosts_Unit[Cost_Amt_2025],MATCH(OperatingCost_Changes[[#This Row],[OperatingCost_ID]],OperatingCosts_Unit[OperatingCost_ID],0))</f>
        <v>11.677490712250059</v>
      </c>
      <c r="I17"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209456.99037383424</v>
      </c>
      <c r="J17" s="239">
        <f>SUMIFS(MRFEquipOpFTEChanges[TotalBaledTonsChange],MRFEquipOpFTEChanges[Scenario_ID],OperatingCost_Changes[[#This Row],[Scenario_ID]],MRFEquipOpFTEChanges[MRF_ID],OperatingCost_Changes[[#This Row],[MRF_ID]])</f>
        <v>0</v>
      </c>
      <c r="K17"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2445932.0597062991</v>
      </c>
    </row>
    <row r="18" spans="2:11" ht="15" x14ac:dyDescent="0.25">
      <c r="B18" s="212" t="s">
        <v>876</v>
      </c>
      <c r="C18" s="212">
        <v>2</v>
      </c>
      <c r="D18" s="212" t="str">
        <f>INDEX(OperatingCosts_Unit[OperatingCost_Name],MATCH(OperatingCost_Changes[[#This Row],[OperatingCost_ID]],OperatingCosts_Unit[OperatingCost_ID],0))</f>
        <v>Facility lease, maintenance, and repair</v>
      </c>
      <c r="E18" s="212" t="str">
        <f>INDEX(OperatingCosts_Unit[OperatingCost_Type],MATCH(OperatingCost_Changes[[#This Row],[OperatingCost_ID]],OperatingCosts_Unit[OperatingCost_ID],0))</f>
        <v>Facility</v>
      </c>
      <c r="F18" s="252" t="s">
        <v>712</v>
      </c>
      <c r="G18" s="212" t="str">
        <f>INDEX(MRFs[MRF_Name],MATCH(OperatingCost_Changes[[#This Row],[MRF_ID]],MRFs[MRF_ID],0))</f>
        <v>5 MRFs for SS with fiber upgrades (Portland)</v>
      </c>
      <c r="H18" s="103">
        <f>INDEX(OperatingCosts_Unit[Cost_Amt_2025],MATCH(OperatingCost_Changes[[#This Row],[OperatingCost_ID]],OperatingCosts_Unit[OperatingCost_ID],0))</f>
        <v>13.891521200618868</v>
      </c>
      <c r="I18"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209456.99037383424</v>
      </c>
      <c r="J18" s="239">
        <f>SUMIFS(MRFEquipOpFTEChanges[TotalBaledTonsChange],MRFEquipOpFTEChanges[Scenario_ID],OperatingCost_Changes[[#This Row],[Scenario_ID]],MRFEquipOpFTEChanges[MRF_ID],OperatingCost_Changes[[#This Row],[MRF_ID]])</f>
        <v>0</v>
      </c>
      <c r="K18"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2909676.2223959407</v>
      </c>
    </row>
    <row r="19" spans="2:11" ht="15" x14ac:dyDescent="0.25">
      <c r="B19" s="212" t="s">
        <v>876</v>
      </c>
      <c r="C19" s="212">
        <v>1</v>
      </c>
      <c r="D19" s="212" t="str">
        <f>INDEX(OperatingCosts_Unit[OperatingCost_Name],MATCH(OperatingCost_Changes[[#This Row],[OperatingCost_ID]],OperatingCosts_Unit[OperatingCost_ID],0))</f>
        <v>Equipment O&amp;M Costs</v>
      </c>
      <c r="E19" s="212" t="str">
        <f>INDEX(OperatingCosts_Unit[OperatingCost_Type],MATCH(OperatingCost_Changes[[#This Row],[OperatingCost_ID]],OperatingCosts_Unit[OperatingCost_ID],0))</f>
        <v>Equipment</v>
      </c>
      <c r="F19" s="212" t="s">
        <v>719</v>
      </c>
      <c r="G19" s="212" t="str">
        <f>INDEX(MRFs[MRF_Name],MATCH(OperatingCost_Changes[[#This Row],[MRF_ID]],MRFs[MRF_ID],0))</f>
        <v>1 MRF for SS with fiber and container upgrades (Portland)</v>
      </c>
      <c r="H19" s="103">
        <f>INDEX(OperatingCosts_Unit[Cost_Amt_2025],MATCH(OperatingCost_Changes[[#This Row],[OperatingCost_ID]],OperatingCosts_Unit[OperatingCost_ID],0))</f>
        <v>11.677490712250059</v>
      </c>
      <c r="I19"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133314.99022292712</v>
      </c>
      <c r="J19" s="239">
        <f>SUMIFS(MRFEquipOpFTEChanges[TotalBaledTonsChange],MRFEquipOpFTEChanges[Scenario_ID],OperatingCost_Changes[[#This Row],[Scenario_ID]],MRFEquipOpFTEChanges[MRF_ID],OperatingCost_Changes[[#This Row],[MRF_ID]])</f>
        <v>0</v>
      </c>
      <c r="K19"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1556784.5601319389</v>
      </c>
    </row>
    <row r="20" spans="2:11" ht="15" x14ac:dyDescent="0.25">
      <c r="B20" s="212" t="s">
        <v>876</v>
      </c>
      <c r="C20" s="212">
        <v>2</v>
      </c>
      <c r="D20" s="212" t="str">
        <f>INDEX(OperatingCosts_Unit[OperatingCost_Name],MATCH(OperatingCost_Changes[[#This Row],[OperatingCost_ID]],OperatingCosts_Unit[OperatingCost_ID],0))</f>
        <v>Facility lease, maintenance, and repair</v>
      </c>
      <c r="E20" s="212" t="str">
        <f>INDEX(OperatingCosts_Unit[OperatingCost_Type],MATCH(OperatingCost_Changes[[#This Row],[OperatingCost_ID]],OperatingCosts_Unit[OperatingCost_ID],0))</f>
        <v>Facility</v>
      </c>
      <c r="F20" s="212" t="s">
        <v>719</v>
      </c>
      <c r="G20" s="212" t="str">
        <f>INDEX(MRFs[MRF_Name],MATCH(OperatingCost_Changes[[#This Row],[MRF_ID]],MRFs[MRF_ID],0))</f>
        <v>1 MRF for SS with fiber and container upgrades (Portland)</v>
      </c>
      <c r="H20" s="103">
        <f>INDEX(OperatingCosts_Unit[Cost_Amt_2025],MATCH(OperatingCost_Changes[[#This Row],[OperatingCost_ID]],OperatingCosts_Unit[OperatingCost_ID],0))</f>
        <v>13.891521200618868</v>
      </c>
      <c r="I20"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133314.99022292712</v>
      </c>
      <c r="J20" s="239">
        <f>SUMIFS(MRFEquipOpFTEChanges[TotalBaledTonsChange],MRFEquipOpFTEChanges[Scenario_ID],OperatingCost_Changes[[#This Row],[Scenario_ID]],MRFEquipOpFTEChanges[MRF_ID],OperatingCost_Changes[[#This Row],[MRF_ID]])</f>
        <v>0</v>
      </c>
      <c r="K20"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1851948.0130420893</v>
      </c>
    </row>
    <row r="21" spans="2:11" ht="15" x14ac:dyDescent="0.25">
      <c r="B21" s="212" t="s">
        <v>876</v>
      </c>
      <c r="C21" s="212">
        <v>1</v>
      </c>
      <c r="D21" s="212" t="str">
        <f>INDEX(OperatingCosts_Unit[OperatingCost_Name],MATCH(OperatingCost_Changes[[#This Row],[OperatingCost_ID]],OperatingCosts_Unit[OperatingCost_ID],0))</f>
        <v>Equipment O&amp;M Costs</v>
      </c>
      <c r="E21" s="212" t="str">
        <f>INDEX(OperatingCosts_Unit[OperatingCost_Type],MATCH(OperatingCost_Changes[[#This Row],[OperatingCost_ID]],OperatingCosts_Unit[OperatingCost_ID],0))</f>
        <v>Equipment</v>
      </c>
      <c r="F21" s="212" t="s">
        <v>706</v>
      </c>
      <c r="G21" s="212" t="str">
        <f>INDEX(MRFs[MRF_Name],MATCH(OperatingCost_Changes[[#This Row],[MRF_ID]],MRFs[MRF_ID],0))</f>
        <v>1 MRF for SS (Salem)</v>
      </c>
      <c r="H21" s="103">
        <f>INDEX(OperatingCosts_Unit[Cost_Amt_2025],MATCH(OperatingCost_Changes[[#This Row],[OperatingCost_ID]],OperatingCosts_Unit[OperatingCost_ID],0))</f>
        <v>11.677490712250059</v>
      </c>
      <c r="I21"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119577.1307510717</v>
      </c>
      <c r="J21" s="239">
        <f>SUMIFS(MRFEquipOpFTEChanges[TotalBaledTonsChange],MRFEquipOpFTEChanges[Scenario_ID],OperatingCost_Changes[[#This Row],[Scenario_ID]],MRFEquipOpFTEChanges[MRF_ID],OperatingCost_Changes[[#This Row],[MRF_ID]])</f>
        <v>0</v>
      </c>
      <c r="K21"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1396360.8337431506</v>
      </c>
    </row>
    <row r="22" spans="2:11" ht="15" x14ac:dyDescent="0.25">
      <c r="B22" s="212" t="s">
        <v>876</v>
      </c>
      <c r="C22" s="212">
        <v>2</v>
      </c>
      <c r="D22" s="212" t="str">
        <f>INDEX(OperatingCosts_Unit[OperatingCost_Name],MATCH(OperatingCost_Changes[[#This Row],[OperatingCost_ID]],OperatingCosts_Unit[OperatingCost_ID],0))</f>
        <v>Facility lease, maintenance, and repair</v>
      </c>
      <c r="E22" s="212" t="str">
        <f>INDEX(OperatingCosts_Unit[OperatingCost_Type],MATCH(OperatingCost_Changes[[#This Row],[OperatingCost_ID]],OperatingCosts_Unit[OperatingCost_ID],0))</f>
        <v>Facility</v>
      </c>
      <c r="F22" s="212" t="s">
        <v>706</v>
      </c>
      <c r="G22" s="212" t="str">
        <f>INDEX(MRFs[MRF_Name],MATCH(OperatingCost_Changes[[#This Row],[MRF_ID]],MRFs[MRF_ID],0))</f>
        <v>1 MRF for SS (Salem)</v>
      </c>
      <c r="H22" s="103">
        <f>INDEX(OperatingCosts_Unit[Cost_Amt_2025],MATCH(OperatingCost_Changes[[#This Row],[OperatingCost_ID]],OperatingCosts_Unit[OperatingCost_ID],0))</f>
        <v>13.891521200618868</v>
      </c>
      <c r="I22"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119577.1307510717</v>
      </c>
      <c r="J22" s="239">
        <f>SUMIFS(MRFEquipOpFTEChanges[TotalBaledTonsChange],MRFEquipOpFTEChanges[Scenario_ID],OperatingCost_Changes[[#This Row],[Scenario_ID]],MRFEquipOpFTEChanges[MRF_ID],OperatingCost_Changes[[#This Row],[MRF_ID]])</f>
        <v>0</v>
      </c>
      <c r="K22"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1661108.246937687</v>
      </c>
    </row>
    <row r="23" spans="2:11" ht="15" x14ac:dyDescent="0.25">
      <c r="B23" s="212" t="s">
        <v>875</v>
      </c>
      <c r="C23" s="212">
        <v>1</v>
      </c>
      <c r="D23" s="212" t="str">
        <f>INDEX(OperatingCosts_Unit[OperatingCost_Name],MATCH(OperatingCost_Changes[[#This Row],[OperatingCost_ID]],OperatingCosts_Unit[OperatingCost_ID],0))</f>
        <v>Equipment O&amp;M Costs</v>
      </c>
      <c r="E23" s="212" t="str">
        <f>INDEX(OperatingCosts_Unit[OperatingCost_Type],MATCH(OperatingCost_Changes[[#This Row],[OperatingCost_ID]],OperatingCosts_Unit[OperatingCost_ID],0))</f>
        <v>Equipment</v>
      </c>
      <c r="F23" s="212" t="s">
        <v>712</v>
      </c>
      <c r="G23" s="212" t="str">
        <f>INDEX(MRFs[MRF_Name],MATCH(OperatingCost_Changes[[#This Row],[MRF_ID]],MRFs[MRF_ID],0))</f>
        <v>5 MRFs for SS with fiber upgrades (Portland)</v>
      </c>
      <c r="H23" s="103">
        <f>INDEX(OperatingCosts_Unit[Cost_Amt_2025],MATCH(OperatingCost_Changes[[#This Row],[OperatingCost_ID]],OperatingCosts_Unit[OperatingCost_ID],0))</f>
        <v>11.677490712250059</v>
      </c>
      <c r="I23"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194880.34022933262</v>
      </c>
      <c r="J23" s="239">
        <f>SUMIFS(MRFEquipOpFTEChanges[TotalBaledTonsChange],MRFEquipOpFTEChanges[Scenario_ID],OperatingCost_Changes[[#This Row],[Scenario_ID]],MRFEquipOpFTEChanges[MRF_ID],OperatingCost_Changes[[#This Row],[MRF_ID]])</f>
        <v>-3164.5727463515941</v>
      </c>
      <c r="K23"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2275713.3630281631</v>
      </c>
    </row>
    <row r="24" spans="2:11" ht="15" x14ac:dyDescent="0.25">
      <c r="B24" s="212" t="s">
        <v>875</v>
      </c>
      <c r="C24" s="212">
        <v>2</v>
      </c>
      <c r="D24" s="212" t="str">
        <f>INDEX(OperatingCosts_Unit[OperatingCost_Name],MATCH(OperatingCost_Changes[[#This Row],[OperatingCost_ID]],OperatingCosts_Unit[OperatingCost_ID],0))</f>
        <v>Facility lease, maintenance, and repair</v>
      </c>
      <c r="E24" s="212" t="str">
        <f>INDEX(OperatingCosts_Unit[OperatingCost_Type],MATCH(OperatingCost_Changes[[#This Row],[OperatingCost_ID]],OperatingCosts_Unit[OperatingCost_ID],0))</f>
        <v>Facility</v>
      </c>
      <c r="F24" s="212" t="s">
        <v>712</v>
      </c>
      <c r="G24" s="212" t="str">
        <f>INDEX(MRFs[MRF_Name],MATCH(OperatingCost_Changes[[#This Row],[MRF_ID]],MRFs[MRF_ID],0))</f>
        <v>5 MRFs for SS with fiber upgrades (Portland)</v>
      </c>
      <c r="H24" s="103">
        <f>INDEX(OperatingCosts_Unit[Cost_Amt_2025],MATCH(OperatingCost_Changes[[#This Row],[OperatingCost_ID]],OperatingCosts_Unit[OperatingCost_ID],0))</f>
        <v>13.891521200618868</v>
      </c>
      <c r="I24"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194880.34022933262</v>
      </c>
      <c r="J24" s="239">
        <f>SUMIFS(MRFEquipOpFTEChanges[TotalBaledTonsChange],MRFEquipOpFTEChanges[Scenario_ID],OperatingCost_Changes[[#This Row],[Scenario_ID]],MRFEquipOpFTEChanges[MRF_ID],OperatingCost_Changes[[#This Row],[MRF_ID]])</f>
        <v>-3164.5727463515941</v>
      </c>
      <c r="K24"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2707184.3778795921</v>
      </c>
    </row>
    <row r="25" spans="2:11" ht="15" x14ac:dyDescent="0.25">
      <c r="B25" s="212" t="s">
        <v>875</v>
      </c>
      <c r="C25" s="212">
        <v>1</v>
      </c>
      <c r="D25" s="212" t="str">
        <f>INDEX(OperatingCosts_Unit[OperatingCost_Name],MATCH(OperatingCost_Changes[[#This Row],[OperatingCost_ID]],OperatingCosts_Unit[OperatingCost_ID],0))</f>
        <v>Equipment O&amp;M Costs</v>
      </c>
      <c r="E25" s="212" t="str">
        <f>INDEX(OperatingCosts_Unit[OperatingCost_Type],MATCH(OperatingCost_Changes[[#This Row],[OperatingCost_ID]],OperatingCosts_Unit[OperatingCost_ID],0))</f>
        <v>Equipment</v>
      </c>
      <c r="F25" s="212" t="s">
        <v>719</v>
      </c>
      <c r="G25" s="212" t="str">
        <f>INDEX(MRFs[MRF_Name],MATCH(OperatingCost_Changes[[#This Row],[MRF_ID]],MRFs[MRF_ID],0))</f>
        <v>1 MRF for SS with fiber and container upgrades (Portland)</v>
      </c>
      <c r="H25" s="103">
        <f>INDEX(OperatingCosts_Unit[Cost_Amt_2025],MATCH(OperatingCost_Changes[[#This Row],[OperatingCost_ID]],OperatingCosts_Unit[OperatingCost_ID],0))</f>
        <v>11.677490712250059</v>
      </c>
      <c r="I25"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123700.40656218091</v>
      </c>
      <c r="J25" s="239">
        <f>SUMIFS(MRFEquipOpFTEChanges[TotalBaledTonsChange],MRFEquipOpFTEChanges[Scenario_ID],OperatingCost_Changes[[#This Row],[Scenario_ID]],MRFEquipOpFTEChanges[MRF_ID],OperatingCost_Changes[[#This Row],[MRF_ID]])</f>
        <v>-2566.6277399294631</v>
      </c>
      <c r="K25"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1444510.3487314237</v>
      </c>
    </row>
    <row r="26" spans="2:11" ht="15" x14ac:dyDescent="0.25">
      <c r="B26" s="212" t="s">
        <v>875</v>
      </c>
      <c r="C26" s="212">
        <v>2</v>
      </c>
      <c r="D26" s="212" t="str">
        <f>INDEX(OperatingCosts_Unit[OperatingCost_Name],MATCH(OperatingCost_Changes[[#This Row],[OperatingCost_ID]],OperatingCosts_Unit[OperatingCost_ID],0))</f>
        <v>Facility lease, maintenance, and repair</v>
      </c>
      <c r="E26" s="212" t="str">
        <f>INDEX(OperatingCosts_Unit[OperatingCost_Type],MATCH(OperatingCost_Changes[[#This Row],[OperatingCost_ID]],OperatingCosts_Unit[OperatingCost_ID],0))</f>
        <v>Facility</v>
      </c>
      <c r="F26" s="212" t="s">
        <v>719</v>
      </c>
      <c r="G26" s="212" t="str">
        <f>INDEX(MRFs[MRF_Name],MATCH(OperatingCost_Changes[[#This Row],[MRF_ID]],MRFs[MRF_ID],0))</f>
        <v>1 MRF for SS with fiber and container upgrades (Portland)</v>
      </c>
      <c r="H26" s="103">
        <f>INDEX(OperatingCosts_Unit[Cost_Amt_2025],MATCH(OperatingCost_Changes[[#This Row],[OperatingCost_ID]],OperatingCosts_Unit[OperatingCost_ID],0))</f>
        <v>13.891521200618868</v>
      </c>
      <c r="I26"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123700.40656218091</v>
      </c>
      <c r="J26" s="239">
        <f>SUMIFS(MRFEquipOpFTEChanges[TotalBaledTonsChange],MRFEquipOpFTEChanges[Scenario_ID],OperatingCost_Changes[[#This Row],[Scenario_ID]],MRFEquipOpFTEChanges[MRF_ID],OperatingCost_Changes[[#This Row],[MRF_ID]])</f>
        <v>-2566.6277399294631</v>
      </c>
      <c r="K26"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1718386.8202837096</v>
      </c>
    </row>
    <row r="27" spans="2:11" ht="15" x14ac:dyDescent="0.25">
      <c r="B27" s="212" t="s">
        <v>875</v>
      </c>
      <c r="C27" s="212">
        <v>1</v>
      </c>
      <c r="D27" s="212" t="str">
        <f>INDEX(OperatingCosts_Unit[OperatingCost_Name],MATCH(OperatingCost_Changes[[#This Row],[OperatingCost_ID]],OperatingCosts_Unit[OperatingCost_ID],0))</f>
        <v>Equipment O&amp;M Costs</v>
      </c>
      <c r="E27" s="212" t="str">
        <f>INDEX(OperatingCosts_Unit[OperatingCost_Type],MATCH(OperatingCost_Changes[[#This Row],[OperatingCost_ID]],OperatingCosts_Unit[OperatingCost_ID],0))</f>
        <v>Equipment</v>
      </c>
      <c r="F27" s="212" t="s">
        <v>706</v>
      </c>
      <c r="G27" s="212" t="str">
        <f>INDEX(MRFs[MRF_Name],MATCH(OperatingCost_Changes[[#This Row],[MRF_ID]],MRFs[MRF_ID],0))</f>
        <v>1 MRF for SS (Salem)</v>
      </c>
      <c r="H27" s="103">
        <f>INDEX(OperatingCosts_Unit[Cost_Amt_2025],MATCH(OperatingCost_Changes[[#This Row],[OperatingCost_ID]],OperatingCosts_Unit[OperatingCost_ID],0))</f>
        <v>11.677490712250059</v>
      </c>
      <c r="I27"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110340.66021378172</v>
      </c>
      <c r="J27" s="239">
        <f>SUMIFS(MRFEquipOpFTEChanges[TotalBaledTonsChange],MRFEquipOpFTEChanges[Scenario_ID],OperatingCost_Changes[[#This Row],[Scenario_ID]],MRFEquipOpFTEChanges[MRF_ID],OperatingCost_Changes[[#This Row],[MRF_ID]])</f>
        <v>-2939.387805824008</v>
      </c>
      <c r="K27"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1288502.0348299756</v>
      </c>
    </row>
    <row r="28" spans="2:11" ht="15" x14ac:dyDescent="0.25">
      <c r="B28" s="212" t="s">
        <v>875</v>
      </c>
      <c r="C28" s="212">
        <v>2</v>
      </c>
      <c r="D28" s="212" t="str">
        <f>INDEX(OperatingCosts_Unit[OperatingCost_Name],MATCH(OperatingCost_Changes[[#This Row],[OperatingCost_ID]],OperatingCosts_Unit[OperatingCost_ID],0))</f>
        <v>Facility lease, maintenance, and repair</v>
      </c>
      <c r="E28" s="212" t="str">
        <f>INDEX(OperatingCosts_Unit[OperatingCost_Type],MATCH(OperatingCost_Changes[[#This Row],[OperatingCost_ID]],OperatingCosts_Unit[OperatingCost_ID],0))</f>
        <v>Facility</v>
      </c>
      <c r="F28" s="212" t="s">
        <v>706</v>
      </c>
      <c r="G28" s="212" t="str">
        <f>INDEX(MRFs[MRF_Name],MATCH(OperatingCost_Changes[[#This Row],[MRF_ID]],MRFs[MRF_ID],0))</f>
        <v>1 MRF for SS (Salem)</v>
      </c>
      <c r="H28" s="103">
        <f>INDEX(OperatingCosts_Unit[Cost_Amt_2025],MATCH(OperatingCost_Changes[[#This Row],[OperatingCost_ID]],OperatingCosts_Unit[OperatingCost_ID],0))</f>
        <v>13.891521200618868</v>
      </c>
      <c r="I28"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110340.66021378172</v>
      </c>
      <c r="J28" s="239">
        <f>SUMIFS(MRFEquipOpFTEChanges[TotalBaledTonsChange],MRFEquipOpFTEChanges[Scenario_ID],OperatingCost_Changes[[#This Row],[Scenario_ID]],MRFEquipOpFTEChanges[MRF_ID],OperatingCost_Changes[[#This Row],[MRF_ID]])</f>
        <v>-2939.387805824008</v>
      </c>
      <c r="K28"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1532799.6206500316</v>
      </c>
    </row>
    <row r="29" spans="2:11" ht="15" x14ac:dyDescent="0.25">
      <c r="B29" s="212" t="s">
        <v>874</v>
      </c>
      <c r="C29" s="212">
        <v>1</v>
      </c>
      <c r="D29" s="212" t="str">
        <f>INDEX(OperatingCosts_Unit[OperatingCost_Name],MATCH(OperatingCost_Changes[[#This Row],[OperatingCost_ID]],OperatingCosts_Unit[OperatingCost_ID],0))</f>
        <v>Equipment O&amp;M Costs</v>
      </c>
      <c r="E29" s="212" t="str">
        <f>INDEX(OperatingCosts_Unit[OperatingCost_Type],MATCH(OperatingCost_Changes[[#This Row],[OperatingCost_ID]],OperatingCosts_Unit[OperatingCost_ID],0))</f>
        <v>Equipment</v>
      </c>
      <c r="F29" s="212" t="s">
        <v>712</v>
      </c>
      <c r="G29" s="212" t="str">
        <f>INDEX(MRFs[MRF_Name],MATCH(OperatingCost_Changes[[#This Row],[MRF_ID]],MRFs[MRF_ID],0))</f>
        <v>5 MRFs for SS with fiber upgrades (Portland)</v>
      </c>
      <c r="H29" s="103">
        <f>INDEX(OperatingCosts_Unit[Cost_Amt_2025],MATCH(OperatingCost_Changes[[#This Row],[OperatingCost_ID]],OperatingCosts_Unit[OperatingCost_ID],0))</f>
        <v>11.677490712250059</v>
      </c>
      <c r="I29"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210339.70579271796</v>
      </c>
      <c r="J29" s="239">
        <f>SUMIFS(MRFEquipOpFTEChanges[TotalBaledTonsChange],MRFEquipOpFTEChanges[Scenario_ID],OperatingCost_Changes[[#This Row],[Scenario_ID]],MRFEquipOpFTEChanges[MRF_ID],OperatingCost_Changes[[#This Row],[MRF_ID]])</f>
        <v>2419.9053780914401</v>
      </c>
      <c r="K29"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2456239.9608118739</v>
      </c>
    </row>
    <row r="30" spans="2:11" ht="15" x14ac:dyDescent="0.25">
      <c r="B30" s="212" t="s">
        <v>874</v>
      </c>
      <c r="C30" s="212">
        <v>2</v>
      </c>
      <c r="D30" s="212" t="str">
        <f>INDEX(OperatingCosts_Unit[OperatingCost_Name],MATCH(OperatingCost_Changes[[#This Row],[OperatingCost_ID]],OperatingCosts_Unit[OperatingCost_ID],0))</f>
        <v>Facility lease, maintenance, and repair</v>
      </c>
      <c r="E30" s="212" t="str">
        <f>INDEX(OperatingCosts_Unit[OperatingCost_Type],MATCH(OperatingCost_Changes[[#This Row],[OperatingCost_ID]],OperatingCosts_Unit[OperatingCost_ID],0))</f>
        <v>Facility</v>
      </c>
      <c r="F30" s="212" t="s">
        <v>712</v>
      </c>
      <c r="G30" s="212" t="str">
        <f>INDEX(MRFs[MRF_Name],MATCH(OperatingCost_Changes[[#This Row],[MRF_ID]],MRFs[MRF_ID],0))</f>
        <v>5 MRFs for SS with fiber upgrades (Portland)</v>
      </c>
      <c r="H30" s="103">
        <f>INDEX(OperatingCosts_Unit[Cost_Amt_2025],MATCH(OperatingCost_Changes[[#This Row],[OperatingCost_ID]],OperatingCosts_Unit[OperatingCost_ID],0))</f>
        <v>13.891521200618868</v>
      </c>
      <c r="I30"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210339.70579271796</v>
      </c>
      <c r="J30" s="239">
        <f>SUMIFS(MRFEquipOpFTEChanges[TotalBaledTonsChange],MRFEquipOpFTEChanges[Scenario_ID],OperatingCost_Changes[[#This Row],[Scenario_ID]],MRFEquipOpFTEChanges[MRF_ID],OperatingCost_Changes[[#This Row],[MRF_ID]])</f>
        <v>2419.9053780914401</v>
      </c>
      <c r="K30"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2921938.4823514768</v>
      </c>
    </row>
    <row r="31" spans="2:11" ht="15" x14ac:dyDescent="0.25">
      <c r="B31" s="212" t="s">
        <v>874</v>
      </c>
      <c r="C31" s="212">
        <v>3</v>
      </c>
      <c r="D31" s="212" t="str">
        <f>INDEX(OperatingCosts_Unit[OperatingCost_Name],MATCH(OperatingCost_Changes[[#This Row],[OperatingCost_ID]],OperatingCosts_Unit[OperatingCost_ID],0))</f>
        <v>Baling wire (containers) savings</v>
      </c>
      <c r="E31" s="212" t="str">
        <f>INDEX(OperatingCosts_Unit[OperatingCost_Type],MATCH(OperatingCost_Changes[[#This Row],[OperatingCost_ID]],OperatingCosts_Unit[OperatingCost_ID],0))</f>
        <v>Equipment</v>
      </c>
      <c r="F31" s="212" t="s">
        <v>712</v>
      </c>
      <c r="G31" s="212" t="str">
        <f>INDEX(MRFs[MRF_Name],MATCH(OperatingCost_Changes[[#This Row],[MRF_ID]],MRFs[MRF_ID],0))</f>
        <v>5 MRFs for SS with fiber upgrades (Portland)</v>
      </c>
      <c r="H31" s="103">
        <f>INDEX(OperatingCosts_Unit[Cost_Amt_2025],MATCH(OperatingCost_Changes[[#This Row],[OperatingCost_ID]],OperatingCosts_Unit[OperatingCost_ID],0))</f>
        <v>-7.5521720444730471</v>
      </c>
      <c r="I31"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210339.70579271796</v>
      </c>
      <c r="J31" s="239">
        <f>SUMIFS(MRFEquipOpFTEChanges[TotalBaledTonsChange],MRFEquipOpFTEChanges[Scenario_ID],OperatingCost_Changes[[#This Row],[Scenario_ID]],MRFEquipOpFTEChanges[MRF_ID],OperatingCost_Changes[[#This Row],[MRF_ID]])</f>
        <v>2419.9053780914401</v>
      </c>
      <c r="K31"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-18275.541746692154</v>
      </c>
    </row>
    <row r="32" spans="2:11" ht="15" x14ac:dyDescent="0.25">
      <c r="B32" s="212" t="s">
        <v>874</v>
      </c>
      <c r="C32" s="212">
        <v>1</v>
      </c>
      <c r="D32" s="212" t="str">
        <f>INDEX(OperatingCosts_Unit[OperatingCost_Name],MATCH(OperatingCost_Changes[[#This Row],[OperatingCost_ID]],OperatingCosts_Unit[OperatingCost_ID],0))</f>
        <v>Equipment O&amp;M Costs</v>
      </c>
      <c r="E32" s="212" t="str">
        <f>INDEX(OperatingCosts_Unit[OperatingCost_Type],MATCH(OperatingCost_Changes[[#This Row],[OperatingCost_ID]],OperatingCosts_Unit[OperatingCost_ID],0))</f>
        <v>Equipment</v>
      </c>
      <c r="F32" s="212" t="s">
        <v>719</v>
      </c>
      <c r="G32" s="212" t="str">
        <f>INDEX(MRFs[MRF_Name],MATCH(OperatingCost_Changes[[#This Row],[MRF_ID]],MRFs[MRF_ID],0))</f>
        <v>1 MRF for SS with fiber and container upgrades (Portland)</v>
      </c>
      <c r="H32" s="103">
        <f>INDEX(OperatingCosts_Unit[Cost_Amt_2025],MATCH(OperatingCost_Changes[[#This Row],[OperatingCost_ID]],OperatingCosts_Unit[OperatingCost_ID],0))</f>
        <v>11.677490712250059</v>
      </c>
      <c r="I32"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137234.69848781664</v>
      </c>
      <c r="J32" s="239">
        <f>SUMIFS(MRFEquipOpFTEChanges[TotalBaledTonsChange],MRFEquipOpFTEChanges[Scenario_ID],OperatingCost_Changes[[#This Row],[Scenario_ID]],MRFEquipOpFTEChanges[MRF_ID],OperatingCost_Changes[[#This Row],[MRF_ID]])</f>
        <v>9747.7465166834008</v>
      </c>
      <c r="K32"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1602556.916989916</v>
      </c>
    </row>
    <row r="33" spans="2:11" ht="15" x14ac:dyDescent="0.25">
      <c r="B33" s="212" t="s">
        <v>874</v>
      </c>
      <c r="C33" s="212">
        <v>2</v>
      </c>
      <c r="D33" s="212" t="str">
        <f>INDEX(OperatingCosts_Unit[OperatingCost_Name],MATCH(OperatingCost_Changes[[#This Row],[OperatingCost_ID]],OperatingCosts_Unit[OperatingCost_ID],0))</f>
        <v>Facility lease, maintenance, and repair</v>
      </c>
      <c r="E33" s="212" t="str">
        <f>INDEX(OperatingCosts_Unit[OperatingCost_Type],MATCH(OperatingCost_Changes[[#This Row],[OperatingCost_ID]],OperatingCosts_Unit[OperatingCost_ID],0))</f>
        <v>Facility</v>
      </c>
      <c r="F33" s="212" t="s">
        <v>719</v>
      </c>
      <c r="G33" s="212" t="str">
        <f>INDEX(MRFs[MRF_Name],MATCH(OperatingCost_Changes[[#This Row],[MRF_ID]],MRFs[MRF_ID],0))</f>
        <v>1 MRF for SS with fiber and container upgrades (Portland)</v>
      </c>
      <c r="H33" s="103">
        <f>INDEX(OperatingCosts_Unit[Cost_Amt_2025],MATCH(OperatingCost_Changes[[#This Row],[OperatingCost_ID]],OperatingCosts_Unit[OperatingCost_ID],0))</f>
        <v>13.891521200618868</v>
      </c>
      <c r="I33"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137234.69848781664</v>
      </c>
      <c r="J33" s="239">
        <f>SUMIFS(MRFEquipOpFTEChanges[TotalBaledTonsChange],MRFEquipOpFTEChanges[Scenario_ID],OperatingCost_Changes[[#This Row],[Scenario_ID]],MRFEquipOpFTEChanges[MRF_ID],OperatingCost_Changes[[#This Row],[MRF_ID]])</f>
        <v>9747.7465166834008</v>
      </c>
      <c r="K33"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1906398.723504043</v>
      </c>
    </row>
    <row r="34" spans="2:11" ht="15" x14ac:dyDescent="0.25">
      <c r="B34" s="212" t="s">
        <v>874</v>
      </c>
      <c r="C34" s="212">
        <v>1</v>
      </c>
      <c r="D34" s="212" t="str">
        <f>INDEX(OperatingCosts_Unit[OperatingCost_Name],MATCH(OperatingCost_Changes[[#This Row],[OperatingCost_ID]],OperatingCosts_Unit[OperatingCost_ID],0))</f>
        <v>Equipment O&amp;M Costs</v>
      </c>
      <c r="E34" s="212" t="str">
        <f>INDEX(OperatingCosts_Unit[OperatingCost_Type],MATCH(OperatingCost_Changes[[#This Row],[OperatingCost_ID]],OperatingCosts_Unit[OperatingCost_ID],0))</f>
        <v>Equipment</v>
      </c>
      <c r="F34" s="212" t="s">
        <v>706</v>
      </c>
      <c r="G34" s="212" t="str">
        <f>INDEX(MRFs[MRF_Name],MATCH(OperatingCost_Changes[[#This Row],[MRF_ID]],MRFs[MRF_ID],0))</f>
        <v>1 MRF for SS (Salem)</v>
      </c>
      <c r="H34" s="103">
        <f>INDEX(OperatingCosts_Unit[Cost_Amt_2025],MATCH(OperatingCost_Changes[[#This Row],[OperatingCost_ID]],OperatingCosts_Unit[OperatingCost_ID],0))</f>
        <v>11.677490712250059</v>
      </c>
      <c r="I34"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129262.24906831772</v>
      </c>
      <c r="J34" s="239">
        <f>SUMIFS(MRFEquipOpFTEChanges[TotalBaledTonsChange],MRFEquipOpFTEChanges[Scenario_ID],OperatingCost_Changes[[#This Row],[Scenario_ID]],MRFEquipOpFTEChanges[MRF_ID],OperatingCost_Changes[[#This Row],[MRF_ID]])</f>
        <v>6692.0923207016895</v>
      </c>
      <c r="K34"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1509458.712939834</v>
      </c>
    </row>
    <row r="35" spans="2:11" ht="15" x14ac:dyDescent="0.25">
      <c r="B35" s="212" t="s">
        <v>874</v>
      </c>
      <c r="C35" s="212">
        <v>2</v>
      </c>
      <c r="D35" s="212" t="str">
        <f>INDEX(OperatingCosts_Unit[OperatingCost_Name],MATCH(OperatingCost_Changes[[#This Row],[OperatingCost_ID]],OperatingCosts_Unit[OperatingCost_ID],0))</f>
        <v>Facility lease, maintenance, and repair</v>
      </c>
      <c r="E35" s="212" t="str">
        <f>INDEX(OperatingCosts_Unit[OperatingCost_Type],MATCH(OperatingCost_Changes[[#This Row],[OperatingCost_ID]],OperatingCosts_Unit[OperatingCost_ID],0))</f>
        <v>Facility</v>
      </c>
      <c r="F35" s="212" t="s">
        <v>706</v>
      </c>
      <c r="G35" s="212" t="str">
        <f>INDEX(MRFs[MRF_Name],MATCH(OperatingCost_Changes[[#This Row],[MRF_ID]],MRFs[MRF_ID],0))</f>
        <v>1 MRF for SS (Salem)</v>
      </c>
      <c r="H35" s="103">
        <f>INDEX(OperatingCosts_Unit[Cost_Amt_2025],MATCH(OperatingCost_Changes[[#This Row],[OperatingCost_ID]],OperatingCosts_Unit[OperatingCost_ID],0))</f>
        <v>13.891521200618868</v>
      </c>
      <c r="I35"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129262.24906831772</v>
      </c>
      <c r="J35" s="239">
        <f>SUMIFS(MRFEquipOpFTEChanges[TotalBaledTonsChange],MRFEquipOpFTEChanges[Scenario_ID],OperatingCost_Changes[[#This Row],[Scenario_ID]],MRFEquipOpFTEChanges[MRF_ID],OperatingCost_Changes[[#This Row],[MRF_ID]])</f>
        <v>6692.0923207016895</v>
      </c>
      <c r="K35"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1795649.2733722122</v>
      </c>
    </row>
    <row r="36" spans="2:11" ht="15" x14ac:dyDescent="0.25">
      <c r="B36" s="212" t="s">
        <v>874</v>
      </c>
      <c r="C36" s="212">
        <v>3</v>
      </c>
      <c r="D36" s="212" t="str">
        <f>INDEX(OperatingCosts_Unit[OperatingCost_Name],MATCH(OperatingCost_Changes[[#This Row],[OperatingCost_ID]],OperatingCosts_Unit[OperatingCost_ID],0))</f>
        <v>Baling wire (containers) savings</v>
      </c>
      <c r="E36" s="212" t="str">
        <f>INDEX(OperatingCosts_Unit[OperatingCost_Type],MATCH(OperatingCost_Changes[[#This Row],[OperatingCost_ID]],OperatingCosts_Unit[OperatingCost_ID],0))</f>
        <v>Equipment</v>
      </c>
      <c r="F36" s="212" t="s">
        <v>706</v>
      </c>
      <c r="G36" s="212" t="str">
        <f>INDEX(MRFs[MRF_Name],MATCH(OperatingCost_Changes[[#This Row],[MRF_ID]],MRFs[MRF_ID],0))</f>
        <v>1 MRF for SS (Salem)</v>
      </c>
      <c r="H36" s="103">
        <f>INDEX(OperatingCosts_Unit[Cost_Amt_2025],MATCH(OperatingCost_Changes[[#This Row],[OperatingCost_ID]],OperatingCosts_Unit[OperatingCost_ID],0))</f>
        <v>-7.5521720444730471</v>
      </c>
      <c r="I36"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129262.24906831772</v>
      </c>
      <c r="J36" s="239">
        <f>SUMIFS(MRFEquipOpFTEChanges[TotalBaledTonsChange],MRFEquipOpFTEChanges[Scenario_ID],OperatingCost_Changes[[#This Row],[Scenario_ID]],MRFEquipOpFTEChanges[MRF_ID],OperatingCost_Changes[[#This Row],[MRF_ID]])</f>
        <v>6692.0923207016895</v>
      </c>
      <c r="K36"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-50539.832543436059</v>
      </c>
    </row>
    <row r="37" spans="2:11" ht="15" x14ac:dyDescent="0.25">
      <c r="B37" s="212" t="s">
        <v>873</v>
      </c>
      <c r="C37" s="212">
        <v>1</v>
      </c>
      <c r="D37" s="212" t="str">
        <f>INDEX(OperatingCosts_Unit[OperatingCost_Name],MATCH(OperatingCost_Changes[[#This Row],[OperatingCost_ID]],OperatingCosts_Unit[OperatingCost_ID],0))</f>
        <v>Equipment O&amp;M Costs</v>
      </c>
      <c r="E37" s="212" t="str">
        <f>INDEX(OperatingCosts_Unit[OperatingCost_Type],MATCH(OperatingCost_Changes[[#This Row],[OperatingCost_ID]],OperatingCosts_Unit[OperatingCost_ID],0))</f>
        <v>Equipment</v>
      </c>
      <c r="F37" s="212" t="s">
        <v>712</v>
      </c>
      <c r="G37" s="212" t="str">
        <f>INDEX(MRFs[MRF_Name],MATCH(OperatingCost_Changes[[#This Row],[MRF_ID]],MRFs[MRF_ID],0))</f>
        <v>5 MRFs for SS with fiber upgrades (Portland)</v>
      </c>
      <c r="H37" s="103">
        <f>INDEX(OperatingCosts_Unit[Cost_Amt_2025],MATCH(OperatingCost_Changes[[#This Row],[OperatingCost_ID]],OperatingCosts_Unit[OperatingCost_ID],0))</f>
        <v>11.677490712250059</v>
      </c>
      <c r="I37"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210339.70579271796</v>
      </c>
      <c r="J37" s="239">
        <f>SUMIFS(MRFEquipOpFTEChanges[TotalBaledTonsChange],MRFEquipOpFTEChanges[Scenario_ID],OperatingCost_Changes[[#This Row],[Scenario_ID]],MRFEquipOpFTEChanges[MRF_ID],OperatingCost_Changes[[#This Row],[MRF_ID]])</f>
        <v>2440.7990637338953</v>
      </c>
      <c r="K37"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2456239.9608118739</v>
      </c>
    </row>
    <row r="38" spans="2:11" ht="15" x14ac:dyDescent="0.25">
      <c r="B38" s="212" t="s">
        <v>873</v>
      </c>
      <c r="C38" s="212">
        <v>2</v>
      </c>
      <c r="D38" s="212" t="str">
        <f>INDEX(OperatingCosts_Unit[OperatingCost_Name],MATCH(OperatingCost_Changes[[#This Row],[OperatingCost_ID]],OperatingCosts_Unit[OperatingCost_ID],0))</f>
        <v>Facility lease, maintenance, and repair</v>
      </c>
      <c r="E38" s="212" t="str">
        <f>INDEX(OperatingCosts_Unit[OperatingCost_Type],MATCH(OperatingCost_Changes[[#This Row],[OperatingCost_ID]],OperatingCosts_Unit[OperatingCost_ID],0))</f>
        <v>Facility</v>
      </c>
      <c r="F38" s="212" t="s">
        <v>712</v>
      </c>
      <c r="G38" s="212" t="str">
        <f>INDEX(MRFs[MRF_Name],MATCH(OperatingCost_Changes[[#This Row],[MRF_ID]],MRFs[MRF_ID],0))</f>
        <v>5 MRFs for SS with fiber upgrades (Portland)</v>
      </c>
      <c r="H38" s="103">
        <f>INDEX(OperatingCosts_Unit[Cost_Amt_2025],MATCH(OperatingCost_Changes[[#This Row],[OperatingCost_ID]],OperatingCosts_Unit[OperatingCost_ID],0))</f>
        <v>13.891521200618868</v>
      </c>
      <c r="I38"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210339.70579271796</v>
      </c>
      <c r="J38" s="239">
        <f>SUMIFS(MRFEquipOpFTEChanges[TotalBaledTonsChange],MRFEquipOpFTEChanges[Scenario_ID],OperatingCost_Changes[[#This Row],[Scenario_ID]],MRFEquipOpFTEChanges[MRF_ID],OperatingCost_Changes[[#This Row],[MRF_ID]])</f>
        <v>2440.7990637338953</v>
      </c>
      <c r="K38"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2921938.4823514768</v>
      </c>
    </row>
    <row r="39" spans="2:11" ht="15" x14ac:dyDescent="0.25">
      <c r="B39" s="212" t="s">
        <v>873</v>
      </c>
      <c r="C39" s="212">
        <v>1</v>
      </c>
      <c r="D39" s="212" t="str">
        <f>INDEX(OperatingCosts_Unit[OperatingCost_Name],MATCH(OperatingCost_Changes[[#This Row],[OperatingCost_ID]],OperatingCosts_Unit[OperatingCost_ID],0))</f>
        <v>Equipment O&amp;M Costs</v>
      </c>
      <c r="E39" s="212" t="str">
        <f>INDEX(OperatingCosts_Unit[OperatingCost_Type],MATCH(OperatingCost_Changes[[#This Row],[OperatingCost_ID]],OperatingCosts_Unit[OperatingCost_ID],0))</f>
        <v>Equipment</v>
      </c>
      <c r="F39" s="212" t="s">
        <v>719</v>
      </c>
      <c r="G39" s="212" t="str">
        <f>INDEX(MRFs[MRF_Name],MATCH(OperatingCost_Changes[[#This Row],[MRF_ID]],MRFs[MRF_ID],0))</f>
        <v>1 MRF for SS with fiber and container upgrades (Portland)</v>
      </c>
      <c r="H39" s="103">
        <f>INDEX(OperatingCosts_Unit[Cost_Amt_2025],MATCH(OperatingCost_Changes[[#This Row],[OperatingCost_ID]],OperatingCosts_Unit[OperatingCost_ID],0))</f>
        <v>11.677490712250059</v>
      </c>
      <c r="I39"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137234.69848781664</v>
      </c>
      <c r="J39" s="239">
        <f>SUMIFS(MRFEquipOpFTEChanges[TotalBaledTonsChange],MRFEquipOpFTEChanges[Scenario_ID],OperatingCost_Changes[[#This Row],[Scenario_ID]],MRFEquipOpFTEChanges[MRF_ID],OperatingCost_Changes[[#This Row],[MRF_ID]])</f>
        <v>7439.0891830667824</v>
      </c>
      <c r="K39"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1602556.916989916</v>
      </c>
    </row>
    <row r="40" spans="2:11" ht="15" x14ac:dyDescent="0.25">
      <c r="B40" s="212" t="s">
        <v>873</v>
      </c>
      <c r="C40" s="212">
        <v>2</v>
      </c>
      <c r="D40" s="212" t="str">
        <f>INDEX(OperatingCosts_Unit[OperatingCost_Name],MATCH(OperatingCost_Changes[[#This Row],[OperatingCost_ID]],OperatingCosts_Unit[OperatingCost_ID],0))</f>
        <v>Facility lease, maintenance, and repair</v>
      </c>
      <c r="E40" s="212" t="str">
        <f>INDEX(OperatingCosts_Unit[OperatingCost_Type],MATCH(OperatingCost_Changes[[#This Row],[OperatingCost_ID]],OperatingCosts_Unit[OperatingCost_ID],0))</f>
        <v>Facility</v>
      </c>
      <c r="F40" s="212" t="s">
        <v>719</v>
      </c>
      <c r="G40" s="212" t="str">
        <f>INDEX(MRFs[MRF_Name],MATCH(OperatingCost_Changes[[#This Row],[MRF_ID]],MRFs[MRF_ID],0))</f>
        <v>1 MRF for SS with fiber and container upgrades (Portland)</v>
      </c>
      <c r="H40" s="103">
        <f>INDEX(OperatingCosts_Unit[Cost_Amt_2025],MATCH(OperatingCost_Changes[[#This Row],[OperatingCost_ID]],OperatingCosts_Unit[OperatingCost_ID],0))</f>
        <v>13.891521200618868</v>
      </c>
      <c r="I40"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137234.69848781664</v>
      </c>
      <c r="J40" s="239">
        <f>SUMIFS(MRFEquipOpFTEChanges[TotalBaledTonsChange],MRFEquipOpFTEChanges[Scenario_ID],OperatingCost_Changes[[#This Row],[Scenario_ID]],MRFEquipOpFTEChanges[MRF_ID],OperatingCost_Changes[[#This Row],[MRF_ID]])</f>
        <v>7439.0891830667824</v>
      </c>
      <c r="K40"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1906398.723504043</v>
      </c>
    </row>
    <row r="41" spans="2:11" ht="15" x14ac:dyDescent="0.25">
      <c r="B41" s="212" t="s">
        <v>873</v>
      </c>
      <c r="C41" s="212">
        <v>1</v>
      </c>
      <c r="D41" s="212" t="str">
        <f>INDEX(OperatingCosts_Unit[OperatingCost_Name],MATCH(OperatingCost_Changes[[#This Row],[OperatingCost_ID]],OperatingCosts_Unit[OperatingCost_ID],0))</f>
        <v>Equipment O&amp;M Costs</v>
      </c>
      <c r="E41" s="212" t="str">
        <f>INDEX(OperatingCosts_Unit[OperatingCost_Type],MATCH(OperatingCost_Changes[[#This Row],[OperatingCost_ID]],OperatingCosts_Unit[OperatingCost_ID],0))</f>
        <v>Equipment</v>
      </c>
      <c r="F41" s="212" t="s">
        <v>706</v>
      </c>
      <c r="G41" s="212" t="str">
        <f>INDEX(MRFs[MRF_Name],MATCH(OperatingCost_Changes[[#This Row],[MRF_ID]],MRFs[MRF_ID],0))</f>
        <v>1 MRF for SS (Salem)</v>
      </c>
      <c r="H41" s="103">
        <f>INDEX(OperatingCosts_Unit[Cost_Amt_2025],MATCH(OperatingCost_Changes[[#This Row],[OperatingCost_ID]],OperatingCosts_Unit[OperatingCost_ID],0))</f>
        <v>11.677490712250059</v>
      </c>
      <c r="I41"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129262.24906831772</v>
      </c>
      <c r="J41" s="239">
        <f>SUMIFS(MRFEquipOpFTEChanges[TotalBaledTonsChange],MRFEquipOpFTEChanges[Scenario_ID],OperatingCost_Changes[[#This Row],[Scenario_ID]],MRFEquipOpFTEChanges[MRF_ID],OperatingCost_Changes[[#This Row],[MRF_ID]])</f>
        <v>6625.5746528268355</v>
      </c>
      <c r="K41"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1509458.712939834</v>
      </c>
    </row>
    <row r="42" spans="2:11" ht="15" x14ac:dyDescent="0.25">
      <c r="B42" s="212" t="s">
        <v>873</v>
      </c>
      <c r="C42" s="212">
        <v>2</v>
      </c>
      <c r="D42" s="212" t="str">
        <f>INDEX(OperatingCosts_Unit[OperatingCost_Name],MATCH(OperatingCost_Changes[[#This Row],[OperatingCost_ID]],OperatingCosts_Unit[OperatingCost_ID],0))</f>
        <v>Facility lease, maintenance, and repair</v>
      </c>
      <c r="E42" s="212" t="str">
        <f>INDEX(OperatingCosts_Unit[OperatingCost_Type],MATCH(OperatingCost_Changes[[#This Row],[OperatingCost_ID]],OperatingCosts_Unit[OperatingCost_ID],0))</f>
        <v>Facility</v>
      </c>
      <c r="F42" s="212" t="s">
        <v>706</v>
      </c>
      <c r="G42" s="212" t="str">
        <f>INDEX(MRFs[MRF_Name],MATCH(OperatingCost_Changes[[#This Row],[MRF_ID]],MRFs[MRF_ID],0))</f>
        <v>1 MRF for SS (Salem)</v>
      </c>
      <c r="H42" s="103">
        <f>INDEX(OperatingCosts_Unit[Cost_Amt_2025],MATCH(OperatingCost_Changes[[#This Row],[OperatingCost_ID]],OperatingCosts_Unit[OperatingCost_ID],0))</f>
        <v>13.891521200618868</v>
      </c>
      <c r="I42"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129262.24906831772</v>
      </c>
      <c r="J42" s="239">
        <f>SUMIFS(MRFEquipOpFTEChanges[TotalBaledTonsChange],MRFEquipOpFTEChanges[Scenario_ID],OperatingCost_Changes[[#This Row],[Scenario_ID]],MRFEquipOpFTEChanges[MRF_ID],OperatingCost_Changes[[#This Row],[MRF_ID]])</f>
        <v>6625.5746528268355</v>
      </c>
      <c r="K42"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1795649.2733722122</v>
      </c>
    </row>
    <row r="43" spans="2:11" ht="15" x14ac:dyDescent="0.25">
      <c r="B43" s="212" t="s">
        <v>870</v>
      </c>
      <c r="C43" s="212">
        <v>1</v>
      </c>
      <c r="D43" s="212" t="str">
        <f>INDEX(OperatingCosts_Unit[OperatingCost_Name],MATCH(OperatingCost_Changes[[#This Row],[OperatingCost_ID]],OperatingCosts_Unit[OperatingCost_ID],0))</f>
        <v>Equipment O&amp;M Costs</v>
      </c>
      <c r="E43" s="212" t="str">
        <f>INDEX(OperatingCosts_Unit[OperatingCost_Type],MATCH(OperatingCost_Changes[[#This Row],[OperatingCost_ID]],OperatingCosts_Unit[OperatingCost_ID],0))</f>
        <v>Equipment</v>
      </c>
      <c r="F43" s="212" t="s">
        <v>735</v>
      </c>
      <c r="G43" s="212" t="str">
        <f>INDEX(MRFs[MRF_Name],MATCH(OperatingCost_Changes[[#This Row],[MRF_ID]],MRFs[MRF_ID],0))</f>
        <v>5 MRFs for DS fiber (Portland)</v>
      </c>
      <c r="H43" s="103">
        <f>INDEX(OperatingCosts_Unit[Cost_Amt_2025],MATCH(OperatingCost_Changes[[#This Row],[OperatingCost_ID]],OperatingCosts_Unit[OperatingCost_ID],0))</f>
        <v>11.677490712250059</v>
      </c>
      <c r="I43"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241090.68266408695</v>
      </c>
      <c r="J43" s="239">
        <f>SUMIFS(MRFEquipOpFTEChanges[TotalBaledTonsChange],MRFEquipOpFTEChanges[Scenario_ID],OperatingCost_Changes[[#This Row],[Scenario_ID]],MRFEquipOpFTEChanges[MRF_ID],OperatingCost_Changes[[#This Row],[MRF_ID]])</f>
        <v>47056.223381441378</v>
      </c>
      <c r="K43"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2815334.2076199017</v>
      </c>
    </row>
    <row r="44" spans="2:11" ht="15" x14ac:dyDescent="0.25">
      <c r="B44" s="212" t="s">
        <v>870</v>
      </c>
      <c r="C44" s="212">
        <v>2</v>
      </c>
      <c r="D44" s="212" t="str">
        <f>INDEX(OperatingCosts_Unit[OperatingCost_Name],MATCH(OperatingCost_Changes[[#This Row],[OperatingCost_ID]],OperatingCosts_Unit[OperatingCost_ID],0))</f>
        <v>Facility lease, maintenance, and repair</v>
      </c>
      <c r="E44" s="212" t="str">
        <f>INDEX(OperatingCosts_Unit[OperatingCost_Type],MATCH(OperatingCost_Changes[[#This Row],[OperatingCost_ID]],OperatingCosts_Unit[OperatingCost_ID],0))</f>
        <v>Facility</v>
      </c>
      <c r="F44" s="212" t="s">
        <v>735</v>
      </c>
      <c r="G44" s="212" t="str">
        <f>INDEX(MRFs[MRF_Name],MATCH(OperatingCost_Changes[[#This Row],[MRF_ID]],MRFs[MRF_ID],0))</f>
        <v>5 MRFs for DS fiber (Portland)</v>
      </c>
      <c r="H44" s="103">
        <f>INDEX(OperatingCosts_Unit[Cost_Amt_2025],MATCH(OperatingCost_Changes[[#This Row],[OperatingCost_ID]],OperatingCosts_Unit[OperatingCost_ID],0))</f>
        <v>13.891521200618868</v>
      </c>
      <c r="I44"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241090.68266408695</v>
      </c>
      <c r="J44" s="239">
        <f>SUMIFS(MRFEquipOpFTEChanges[TotalBaledTonsChange],MRFEquipOpFTEChanges[Scenario_ID],OperatingCost_Changes[[#This Row],[Scenario_ID]],MRFEquipOpFTEChanges[MRF_ID],OperatingCost_Changes[[#This Row],[MRF_ID]])</f>
        <v>47056.223381441378</v>
      </c>
      <c r="K44"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3349116.3294998398</v>
      </c>
    </row>
    <row r="45" spans="2:11" ht="15" x14ac:dyDescent="0.25">
      <c r="B45" s="212" t="s">
        <v>870</v>
      </c>
      <c r="C45" s="212">
        <v>1</v>
      </c>
      <c r="D45" s="212" t="str">
        <f>INDEX(OperatingCosts_Unit[OperatingCost_Name],MATCH(OperatingCost_Changes[[#This Row],[OperatingCost_ID]],OperatingCosts_Unit[OperatingCost_ID],0))</f>
        <v>Equipment O&amp;M Costs</v>
      </c>
      <c r="E45" s="212" t="str">
        <f>INDEX(OperatingCosts_Unit[OperatingCost_Type],MATCH(OperatingCost_Changes[[#This Row],[OperatingCost_ID]],OperatingCosts_Unit[OperatingCost_ID],0))</f>
        <v>Equipment</v>
      </c>
      <c r="F45" s="212" t="s">
        <v>739</v>
      </c>
      <c r="G45" s="212" t="str">
        <f>INDEX(MRFs[MRF_Name],MATCH(OperatingCost_Changes[[#This Row],[MRF_ID]],MRFs[MRF_ID],0))</f>
        <v>1 MRF for DS with fiber and container lines (Portland)</v>
      </c>
      <c r="H45" s="103">
        <f>INDEX(OperatingCosts_Unit[Cost_Amt_2025],MATCH(OperatingCost_Changes[[#This Row],[OperatingCost_ID]],OperatingCosts_Unit[OperatingCost_ID],0))</f>
        <v>11.677490712250059</v>
      </c>
      <c r="I45"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167013.76854203845</v>
      </c>
      <c r="J45" s="239">
        <f>SUMIFS(MRFEquipOpFTEChanges[TotalBaledTonsChange],MRFEquipOpFTEChanges[Scenario_ID],OperatingCost_Changes[[#This Row],[Scenario_ID]],MRFEquipOpFTEChanges[MRF_ID],OperatingCost_Changes[[#This Row],[MRF_ID]])</f>
        <v>33360.931131178106</v>
      </c>
      <c r="K45"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1950301.7309675349</v>
      </c>
    </row>
    <row r="46" spans="2:11" ht="15" x14ac:dyDescent="0.25">
      <c r="B46" s="212" t="s">
        <v>870</v>
      </c>
      <c r="C46" s="212">
        <v>2</v>
      </c>
      <c r="D46" s="212" t="str">
        <f>INDEX(OperatingCosts_Unit[OperatingCost_Name],MATCH(OperatingCost_Changes[[#This Row],[OperatingCost_ID]],OperatingCosts_Unit[OperatingCost_ID],0))</f>
        <v>Facility lease, maintenance, and repair</v>
      </c>
      <c r="E46" s="212" t="str">
        <f>INDEX(OperatingCosts_Unit[OperatingCost_Type],MATCH(OperatingCost_Changes[[#This Row],[OperatingCost_ID]],OperatingCosts_Unit[OperatingCost_ID],0))</f>
        <v>Facility</v>
      </c>
      <c r="F46" s="212" t="s">
        <v>739</v>
      </c>
      <c r="G46" s="212" t="str">
        <f>INDEX(MRFs[MRF_Name],MATCH(OperatingCost_Changes[[#This Row],[MRF_ID]],MRFs[MRF_ID],0))</f>
        <v>1 MRF for DS with fiber and container lines (Portland)</v>
      </c>
      <c r="H46" s="103">
        <f>INDEX(OperatingCosts_Unit[Cost_Amt_2025],MATCH(OperatingCost_Changes[[#This Row],[OperatingCost_ID]],OperatingCosts_Unit[OperatingCost_ID],0))</f>
        <v>13.891521200618868</v>
      </c>
      <c r="I46"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167013.76854203845</v>
      </c>
      <c r="J46" s="239">
        <f>SUMIFS(MRFEquipOpFTEChanges[TotalBaledTonsChange],MRFEquipOpFTEChanges[Scenario_ID],OperatingCost_Changes[[#This Row],[Scenario_ID]],MRFEquipOpFTEChanges[MRF_ID],OperatingCost_Changes[[#This Row],[MRF_ID]])</f>
        <v>33360.931131178106</v>
      </c>
      <c r="K46"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2320075.3064969797</v>
      </c>
    </row>
    <row r="47" spans="2:11" ht="15" x14ac:dyDescent="0.25">
      <c r="B47" s="212" t="s">
        <v>870</v>
      </c>
      <c r="C47" s="212">
        <v>1</v>
      </c>
      <c r="D47" s="212" t="str">
        <f>INDEX(OperatingCosts_Unit[OperatingCost_Name],MATCH(OperatingCost_Changes[[#This Row],[OperatingCost_ID]],OperatingCosts_Unit[OperatingCost_ID],0))</f>
        <v>Equipment O&amp;M Costs</v>
      </c>
      <c r="E47" s="212" t="str">
        <f>INDEX(OperatingCosts_Unit[OperatingCost_Type],MATCH(OperatingCost_Changes[[#This Row],[OperatingCost_ID]],OperatingCosts_Unit[OperatingCost_ID],0))</f>
        <v>Equipment</v>
      </c>
      <c r="F47" s="212" t="s">
        <v>744</v>
      </c>
      <c r="G47" s="212" t="str">
        <f>INDEX(MRFs[MRF_Name],MATCH(OperatingCost_Changes[[#This Row],[MRF_ID]],MRFs[MRF_ID],0))</f>
        <v>1 MRF for DS fiber (Salem)</v>
      </c>
      <c r="H47" s="103">
        <f>INDEX(OperatingCosts_Unit[Cost_Amt_2025],MATCH(OperatingCost_Changes[[#This Row],[OperatingCost_ID]],OperatingCosts_Unit[OperatingCost_ID],0))</f>
        <v>11.677490712250059</v>
      </c>
      <c r="I47"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69309.557930468334</v>
      </c>
      <c r="J47" s="239">
        <f>SUMIFS(MRFEquipOpFTEChanges[TotalBaledTonsChange],MRFEquipOpFTEChanges[Scenario_ID],OperatingCost_Changes[[#This Row],[Scenario_ID]],MRFEquipOpFTEChanges[MRF_ID],OperatingCost_Changes[[#This Row],[MRF_ID]])</f>
        <v>-38056.46170593502</v>
      </c>
      <c r="K47"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809361.71900320135</v>
      </c>
    </row>
    <row r="48" spans="2:11" ht="15" x14ac:dyDescent="0.25">
      <c r="B48" s="212" t="s">
        <v>870</v>
      </c>
      <c r="C48" s="212">
        <v>2</v>
      </c>
      <c r="D48" s="212" t="str">
        <f>INDEX(OperatingCosts_Unit[OperatingCost_Name],MATCH(OperatingCost_Changes[[#This Row],[OperatingCost_ID]],OperatingCosts_Unit[OperatingCost_ID],0))</f>
        <v>Facility lease, maintenance, and repair</v>
      </c>
      <c r="E48" s="212" t="str">
        <f>INDEX(OperatingCosts_Unit[OperatingCost_Type],MATCH(OperatingCost_Changes[[#This Row],[OperatingCost_ID]],OperatingCosts_Unit[OperatingCost_ID],0))</f>
        <v>Facility</v>
      </c>
      <c r="F48" s="212" t="s">
        <v>744</v>
      </c>
      <c r="G48" s="212" t="str">
        <f>INDEX(MRFs[MRF_Name],MATCH(OperatingCost_Changes[[#This Row],[MRF_ID]],MRFs[MRF_ID],0))</f>
        <v>1 MRF for DS fiber (Salem)</v>
      </c>
      <c r="H48" s="103">
        <f>INDEX(OperatingCosts_Unit[Cost_Amt_2025],MATCH(OperatingCost_Changes[[#This Row],[OperatingCost_ID]],OperatingCosts_Unit[OperatingCost_ID],0))</f>
        <v>13.891521200618868</v>
      </c>
      <c r="I48" s="239">
        <f>SUMIFS(MRFefficiency[Incoming Tons (all)],MRFefficiency[Scenario_ID],OperatingCost_Changes[[#This Row],[Scenario_ID]],MRFefficiency[MRF_ID],OperatingCost_Changes[[#This Row],[MRF_ID]],MRFefficiency[CollectionStream_ID],"01")+
SUMIFS(MRFefficiency[Incoming Tons (all)],MRFefficiency[Scenario_ID],OperatingCost_Changes[[#This Row],[Scenario_ID]],MRFefficiency[MRF_ID],OperatingCost_Changes[[#This Row],[MRF_ID]],MRFefficiency[CollectionStream_ID],"09")+
SUMIFS(MRFefficiency[Incoming Tons (all)],MRFefficiency[Scenario_ID],OperatingCost_Changes[[#This Row],[Scenario_ID]],MRFefficiency[MRF_ID],OperatingCost_Changes[[#This Row],[MRF_ID]],MRFefficiency[CollectionStream_ID],"10")</f>
        <v>69309.557930468334</v>
      </c>
      <c r="J48" s="239">
        <f>SUMIFS(MRFEquipOpFTEChanges[TotalBaledTonsChange],MRFEquipOpFTEChanges[Scenario_ID],OperatingCost_Changes[[#This Row],[Scenario_ID]],MRFEquipOpFTEChanges[MRF_ID],OperatingCost_Changes[[#This Row],[MRF_ID]])</f>
        <v>-38056.46170593502</v>
      </c>
      <c r="K48" s="101">
        <f>((OperatingCost_Changes[[#This Row],[OperatingCost_ID]]&lt;&gt;3)*OperatingCost_Changes[[#This Row],[CostPerTon]]*OperatingCost_Changes[[#This Row],[IncomingTons]])+((OperatingCost_Changes[[#This Row],[OperatingCost_ID]]=3)*OperatingCost_Changes[[#This Row],[CostPerTon]]*OperatingCost_Changes[[#This Row],[Containers_Transferred_Loose]])</f>
        <v>962815.19339662243</v>
      </c>
    </row>
  </sheetData>
  <sheetProtection algorithmName="SHA-512" hashValue="TLHV8p9nmOiS7o2LycvgdDdsVPyZIxCI3J+Egl8boyjX1YoouhX5tGygev9TK4+zmAtOECsmWV1mFTpiP3jn/g==" saltValue="wqZNCvlbVVWYEjBA0qX9WA==" spinCount="100000" sheet="1" objects="1" scenarios="1" autoFilter="0"/>
  <pageMargins left="0.7" right="0.7" top="0.75" bottom="0.75" header="0.3" footer="0.3"/>
  <pageSetup orientation="portrait" horizontalDpi="1200" verticalDpi="1200" r:id="rId1"/>
  <legacy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0677-2AC6-4249-BC9F-57A8072DD35A}">
  <sheetPr>
    <tabColor theme="9" tint="-0.249977111117893"/>
  </sheetPr>
  <dimension ref="A1:N33"/>
  <sheetViews>
    <sheetView workbookViewId="0">
      <selection activeCell="F19" sqref="F19"/>
    </sheetView>
  </sheetViews>
  <sheetFormatPr defaultRowHeight="14.25" x14ac:dyDescent="0.2"/>
  <cols>
    <col min="2" max="2" width="13.5" customWidth="1"/>
    <col min="3" max="3" width="9.75" customWidth="1"/>
    <col min="4" max="4" width="53.25" style="212" bestFit="1" customWidth="1"/>
    <col min="5" max="5" width="11.625" style="212" customWidth="1"/>
    <col min="6" max="6" width="13" customWidth="1"/>
    <col min="7" max="7" width="14" customWidth="1"/>
    <col min="8" max="9" width="16.5" customWidth="1"/>
    <col min="10" max="10" width="19.375" customWidth="1"/>
    <col min="11" max="11" width="14" customWidth="1"/>
    <col min="12" max="12" width="14" style="212" customWidth="1"/>
    <col min="13" max="13" width="13.375" customWidth="1"/>
  </cols>
  <sheetData>
    <row r="1" spans="1:12" s="352" customFormat="1" ht="20.25" thickBot="1" x14ac:dyDescent="0.25">
      <c r="A1" s="355"/>
      <c r="B1" s="65" t="s">
        <v>1127</v>
      </c>
      <c r="C1" s="330"/>
      <c r="D1" s="330"/>
      <c r="E1" s="330"/>
      <c r="F1" s="330"/>
      <c r="G1" s="330"/>
      <c r="H1" s="330"/>
      <c r="I1" s="330"/>
      <c r="J1" s="330"/>
      <c r="K1" s="330"/>
    </row>
    <row r="2" spans="1:12" s="352" customFormat="1" ht="15" thickTop="1" x14ac:dyDescent="0.2"/>
    <row r="3" spans="1:12" s="352" customFormat="1" ht="15" x14ac:dyDescent="0.25">
      <c r="B3" s="381" t="s">
        <v>1129</v>
      </c>
    </row>
    <row r="5" spans="1:12" ht="15" x14ac:dyDescent="0.25">
      <c r="B5" s="258" t="s">
        <v>869</v>
      </c>
      <c r="C5" s="378" t="s">
        <v>1043</v>
      </c>
      <c r="D5" s="378" t="s">
        <v>78</v>
      </c>
      <c r="E5" s="378" t="s">
        <v>1868</v>
      </c>
      <c r="F5" s="212" t="s">
        <v>845</v>
      </c>
      <c r="G5" s="212" t="s">
        <v>1128</v>
      </c>
      <c r="H5" t="s">
        <v>56</v>
      </c>
      <c r="K5" s="212"/>
      <c r="L5"/>
    </row>
    <row r="6" spans="1:12" x14ac:dyDescent="0.2">
      <c r="B6" s="275" t="s">
        <v>706</v>
      </c>
      <c r="C6" s="274">
        <v>64.38</v>
      </c>
      <c r="D6" s="276" t="s">
        <v>79</v>
      </c>
      <c r="E6" s="241">
        <f>INDEX(Inflation[Escalator],MATCH(LandfillFees[[#This Row],[Escalator]],Inflation[Financial_ID],0))*LandfillFees[[#This Row],[Landfill Fee 2018]]</f>
        <v>72.030938699729589</v>
      </c>
      <c r="F6" s="384" t="s">
        <v>719</v>
      </c>
      <c r="G6" s="398">
        <f>SUMIFS(TransUnitCost[Cost per Ton Mile],TransUnitCost[Grouping_ID],1,TransUnitCost[Transp_ID],LandfillFees[[#This Row],[Transp_ID]])*(SUMIFS(TransUnitCost[Miles],TransUnitCost[Grouping_ID],1,TransUnitCost[Transp_ID],LandfillFees[[#This Row],[Transp_ID]]))</f>
        <v>38.799999999999997</v>
      </c>
      <c r="H6">
        <v>2</v>
      </c>
      <c r="K6" s="212"/>
      <c r="L6"/>
    </row>
    <row r="7" spans="1:12" x14ac:dyDescent="0.2">
      <c r="B7" s="252" t="s">
        <v>712</v>
      </c>
      <c r="C7" s="274">
        <v>96.2</v>
      </c>
      <c r="D7" s="276" t="s">
        <v>1059</v>
      </c>
      <c r="E7" s="241">
        <f>INDEX(Inflation[Escalator],MATCH(LandfillFees[[#This Row],[Escalator]],Inflation[Financial_ID],0))*LandfillFees[[#This Row],[Landfill Fee 2018]]</f>
        <v>134.68</v>
      </c>
      <c r="F7" s="384" t="s">
        <v>719</v>
      </c>
      <c r="G7" s="398">
        <f>SUMIFS(TransUnitCost[Cost per Ton Mile],TransUnitCost[Grouping_ID],1,TransUnitCost[Transp_ID],LandfillFees[[#This Row],[Transp_ID]])*(SUMIFS(TransUnitCost[Miles],TransUnitCost[Grouping_ID],1,TransUnitCost[Transp_ID],LandfillFees[[#This Row],[Transp_ID]]))</f>
        <v>38.799999999999997</v>
      </c>
      <c r="H7">
        <v>1</v>
      </c>
      <c r="K7" s="212"/>
      <c r="L7"/>
    </row>
    <row r="8" spans="1:12" x14ac:dyDescent="0.2">
      <c r="B8" s="252" t="s">
        <v>719</v>
      </c>
      <c r="C8" s="274">
        <v>96.2</v>
      </c>
      <c r="D8" s="276" t="s">
        <v>1059</v>
      </c>
      <c r="E8" s="241">
        <f>INDEX(Inflation[Escalator],MATCH(LandfillFees[[#This Row],[Escalator]],Inflation[Financial_ID],0))*LandfillFees[[#This Row],[Landfill Fee 2018]]</f>
        <v>134.68</v>
      </c>
      <c r="F8" s="384" t="s">
        <v>719</v>
      </c>
      <c r="G8" s="398">
        <f>SUMIFS(TransUnitCost[Cost per Ton Mile],TransUnitCost[Grouping_ID],1,TransUnitCost[Transp_ID],LandfillFees[[#This Row],[Transp_ID]])*(SUMIFS(TransUnitCost[Miles],TransUnitCost[Grouping_ID],1,TransUnitCost[Transp_ID],LandfillFees[[#This Row],[Transp_ID]]))</f>
        <v>38.799999999999997</v>
      </c>
      <c r="H8">
        <v>1</v>
      </c>
      <c r="K8" s="212"/>
      <c r="L8"/>
    </row>
    <row r="9" spans="1:12" x14ac:dyDescent="0.2">
      <c r="B9" s="252" t="s">
        <v>735</v>
      </c>
      <c r="C9" s="274">
        <v>96.2</v>
      </c>
      <c r="D9" s="276" t="s">
        <v>1059</v>
      </c>
      <c r="E9" s="241">
        <f>INDEX(Inflation[Escalator],MATCH(LandfillFees[[#This Row],[Escalator]],Inflation[Financial_ID],0))*LandfillFees[[#This Row],[Landfill Fee 2018]]</f>
        <v>134.68</v>
      </c>
      <c r="F9" s="384" t="s">
        <v>719</v>
      </c>
      <c r="G9" s="398">
        <f>SUMIFS(TransUnitCost[Cost per Ton Mile],TransUnitCost[Grouping_ID],1,TransUnitCost[Transp_ID],LandfillFees[[#This Row],[Transp_ID]])*(SUMIFS(TransUnitCost[Miles],TransUnitCost[Grouping_ID],1,TransUnitCost[Transp_ID],LandfillFees[[#This Row],[Transp_ID]]))</f>
        <v>38.799999999999997</v>
      </c>
      <c r="H9">
        <v>1</v>
      </c>
      <c r="K9" s="212"/>
      <c r="L9"/>
    </row>
    <row r="10" spans="1:12" x14ac:dyDescent="0.2">
      <c r="B10" s="252" t="s">
        <v>739</v>
      </c>
      <c r="C10" s="274">
        <v>96.2</v>
      </c>
      <c r="D10" s="276" t="s">
        <v>1059</v>
      </c>
      <c r="E10" s="241">
        <f>INDEX(Inflation[Escalator],MATCH(LandfillFees[[#This Row],[Escalator]],Inflation[Financial_ID],0))*LandfillFees[[#This Row],[Landfill Fee 2018]]</f>
        <v>134.68</v>
      </c>
      <c r="F10" s="384" t="s">
        <v>719</v>
      </c>
      <c r="G10" s="398">
        <f>SUMIFS(TransUnitCost[Cost per Ton Mile],TransUnitCost[Grouping_ID],1,TransUnitCost[Transp_ID],LandfillFees[[#This Row],[Transp_ID]])*(SUMIFS(TransUnitCost[Miles],TransUnitCost[Grouping_ID],1,TransUnitCost[Transp_ID],LandfillFees[[#This Row],[Transp_ID]]))</f>
        <v>38.799999999999997</v>
      </c>
      <c r="H10">
        <v>1</v>
      </c>
      <c r="K10" s="212"/>
      <c r="L10"/>
    </row>
    <row r="11" spans="1:12" s="212" customFormat="1" x14ac:dyDescent="0.2">
      <c r="B11" s="252" t="s">
        <v>744</v>
      </c>
      <c r="C11" s="274">
        <v>64.38</v>
      </c>
      <c r="D11" s="276" t="s">
        <v>79</v>
      </c>
      <c r="E11" s="241">
        <f>INDEX(Inflation[Escalator],MATCH(LandfillFees[[#This Row],[Escalator]],Inflation[Financial_ID],0))*LandfillFees[[#This Row],[Landfill Fee 2018]]</f>
        <v>72.030938699729589</v>
      </c>
      <c r="F11" s="384" t="s">
        <v>719</v>
      </c>
      <c r="G11" s="398">
        <f>SUMIFS(TransUnitCost[Cost per Ton Mile],TransUnitCost[Grouping_ID],1,TransUnitCost[Transp_ID],LandfillFees[[#This Row],[Transp_ID]])*(SUMIFS(TransUnitCost[Miles],TransUnitCost[Grouping_ID],1,TransUnitCost[Transp_ID],LandfillFees[[#This Row],[Transp_ID]]))</f>
        <v>38.799999999999997</v>
      </c>
      <c r="H11" s="252">
        <v>2</v>
      </c>
      <c r="I11" s="252"/>
    </row>
    <row r="12" spans="1:12" s="212" customFormat="1" x14ac:dyDescent="0.2">
      <c r="B12" s="417" t="s">
        <v>722</v>
      </c>
      <c r="C12" s="274">
        <v>64.38</v>
      </c>
      <c r="D12" s="276" t="s">
        <v>79</v>
      </c>
      <c r="E12" s="418">
        <f>INDEX(Inflation[Escalator],MATCH(LandfillFees[[#This Row],[Escalator]],Inflation[Financial_ID],0))*LandfillFees[[#This Row],[Landfill Fee 2018]]</f>
        <v>72.030938699729589</v>
      </c>
      <c r="F12" s="417" t="s">
        <v>722</v>
      </c>
      <c r="G12" s="419">
        <f>SUMIFS(TransUnitCost[Cost per Ton Mile],TransUnitCost[Grouping_ID],1,TransUnitCost[Transp_ID],LandfillFees[[#This Row],[Transp_ID]])*(SUMIFS(TransUnitCost[Miles],TransUnitCost[Grouping_ID],1,TransUnitCost[Transp_ID],LandfillFees[[#This Row],[Transp_ID]]))</f>
        <v>0</v>
      </c>
      <c r="H12" s="420">
        <v>3</v>
      </c>
      <c r="I12" s="252"/>
      <c r="J12" s="252"/>
    </row>
    <row r="13" spans="1:12" s="352" customFormat="1" x14ac:dyDescent="0.2">
      <c r="B13" s="417" t="s">
        <v>722</v>
      </c>
      <c r="C13" s="274">
        <v>64.38</v>
      </c>
      <c r="D13" s="276" t="s">
        <v>79</v>
      </c>
      <c r="E13" s="418">
        <f>INDEX(Inflation[Escalator],MATCH(LandfillFees[[#This Row],[Escalator]],Inflation[Financial_ID],0))*LandfillFees[[#This Row],[Landfill Fee 2018]]</f>
        <v>72.030938699729589</v>
      </c>
      <c r="F13" s="417" t="s">
        <v>722</v>
      </c>
      <c r="G13" s="419">
        <f>SUMIFS(TransUnitCost[Cost per Ton Mile],TransUnitCost[Grouping_ID],1,TransUnitCost[Transp_ID],LandfillFees[[#This Row],[Transp_ID]])*(SUMIFS(TransUnitCost[Miles],TransUnitCost[Grouping_ID],1,TransUnitCost[Transp_ID],LandfillFees[[#This Row],[Transp_ID]]))</f>
        <v>0</v>
      </c>
      <c r="H13" s="420">
        <v>4</v>
      </c>
      <c r="I13" s="384"/>
      <c r="J13" s="384"/>
    </row>
    <row r="14" spans="1:12" s="212" customFormat="1" x14ac:dyDescent="0.2">
      <c r="G14" s="252"/>
      <c r="H14" s="252"/>
      <c r="I14" s="252"/>
      <c r="J14" s="252"/>
    </row>
    <row r="15" spans="1:12" s="352" customFormat="1" x14ac:dyDescent="0.2">
      <c r="G15" s="384"/>
      <c r="H15" s="384"/>
      <c r="I15" s="384"/>
      <c r="J15" s="384"/>
    </row>
    <row r="17" spans="2:14" x14ac:dyDescent="0.2">
      <c r="B17" s="67" t="s">
        <v>1034</v>
      </c>
    </row>
    <row r="18" spans="2:14" ht="45" x14ac:dyDescent="0.25">
      <c r="B18" s="260" t="s">
        <v>877</v>
      </c>
      <c r="C18" s="259" t="s">
        <v>869</v>
      </c>
      <c r="D18" s="259" t="s">
        <v>868</v>
      </c>
      <c r="E18" s="259" t="s">
        <v>1175</v>
      </c>
      <c r="F18" s="378" t="s">
        <v>1045</v>
      </c>
      <c r="G18" s="259" t="s">
        <v>1044</v>
      </c>
      <c r="H18" s="259" t="s">
        <v>1030</v>
      </c>
      <c r="I18" s="259" t="s">
        <v>1041</v>
      </c>
      <c r="J18" s="341" t="s">
        <v>1031</v>
      </c>
      <c r="K18" s="259" t="s">
        <v>1032</v>
      </c>
      <c r="L18" s="259" t="s">
        <v>1033</v>
      </c>
      <c r="M18" s="259" t="s">
        <v>25</v>
      </c>
      <c r="N18" s="291" t="s">
        <v>1058</v>
      </c>
    </row>
    <row r="19" spans="2:14" x14ac:dyDescent="0.2">
      <c r="B19" t="s">
        <v>876</v>
      </c>
      <c r="C19" t="s">
        <v>706</v>
      </c>
      <c r="D19" s="212" t="str">
        <f>INDEX(MRFs[MRF_Name],MATCH(MRF1_CostTotal[[#This Row],[MRF_ID]],MRFs[MRF_ID],0))</f>
        <v>1 MRF for SS (Salem)</v>
      </c>
      <c r="E19" s="397">
        <f>SUMIFS(MRFefficiency[Incoming Tons (all)],MRFefficiency[Scenario_ID],MRF1_CostTotal[[#This Row],[Scenario_ID]],MRFefficiency[MRF_ID],MRF1_CostTotal[[#This Row],[MRF_ID]])</f>
        <v>119577.1307510717</v>
      </c>
      <c r="F19" s="397">
        <f>SUMIFS(MRFefficiency[Landfilled Residue],MRFefficiency[Scenario_ID],MRF1_CostTotal[[#This Row],[Scenario_ID]],MRFefficiency[MRF_Cost_ID],MRF1_CostTotal[[#This Row],[MRF_ID]])</f>
        <v>17562.63610627623</v>
      </c>
      <c r="G19" s="262">
        <f>SUMIFS(MRFLaborProductivity[Scenario_LaborCost],MRFLaborProductivity[Scenario_ID],MRF1_CostTotal[[#This Row],[Scenario_ID]],MRFLaborProductivity[MRF_ID],MRF1_CostTotal[[#This Row],[MRF_ID]])-MRF1_CostTotal[[#This Row],[MRF_AdminMarket]]</f>
        <v>8100201.0065449374</v>
      </c>
      <c r="H19" s="262">
        <f>SUMIFS(MRF_CapitalCost[Total_CapitalCost_Annualized],MRF_CapitalCost[Scenario_ID],MRF1_CostTotal[[#This Row],[Scenario_ID]],MRF_CapitalCost[MRF_ID],MRF1_CostTotal[[#This Row],[MRF_ID]])</f>
        <v>278209.3801113356</v>
      </c>
      <c r="I19" s="262">
        <f>SUMIFS(OperatingCost_Changes[Cost_Cumulative],OperatingCost_Changes[Scenario_ID],MRF1_CostTotal[[#This Row],[Scenario_ID]],OperatingCost_Changes[MRF_ID],MRF1_CostTotal[[#This Row],[MRF_ID]])</f>
        <v>3057469.0806808379</v>
      </c>
      <c r="J19" s="262">
        <f>MRF1_CostTotal[[#This Row],[ResidualTons]]*(SUMIFS(LandfillFees[Disposal Tip Fee 2025],LandfillFees[MRF_ID],MRF1_CostTotal[[#This Row],[MRF_ID]])+SUMIFS(LandfillFees[Residual_Transport_Cost_Per_Ton],LandfillFees[MRF_ID],MRF1_CostTotal[[#This Row],[MRF_ID]]))</f>
        <v>1946483.4457003584</v>
      </c>
      <c r="K19" s="262">
        <f>SUMIFS(MRFLaborProductivity[Scenario_LaborCost],MRFLaborProductivity[Scenario_ID],MRF1_CostTotal[[#This Row],[Scenario_ID]],MRFLaborProductivity[MRF_ID],MRF1_CostTotal[[#This Row],[MRF_ID]],MRFLaborProductivity[LaborType_ID],3)</f>
        <v>1516736.2934904424</v>
      </c>
      <c r="L19" s="262">
        <f>(MRF1_CostTotal[[#This Row],[MRF_Sort_Maintenance_Labor]]+MRF1_CostTotal[[#This Row],[MRF_Capital]]+MRF1_CostTotal[[#This Row],[MRF_Facility-Maintenance]]+MRF1_CostTotal[[#This Row],[MRF_Residual]]+MRF1_CostTotal[[#This Row],[MRF_AdminMarket]])*0.08</f>
        <v>1191927.9365222328</v>
      </c>
      <c r="M19" s="262">
        <f>SUM(MRF1_CostTotal[[#This Row],[MRF_Sort_Maintenance_Labor]],MRF1_CostTotal[[#This Row],[MRF_Capital]],MRF1_CostTotal[[#This Row],[MRF_Facility-Maintenance]],MRF1_CostTotal[[#This Row],[MRF_Residual]],MRF1_CostTotal[[#This Row],[MRF_AdminMarket]],MRF1_CostTotal[[#This Row],[MRF_Margin]])</f>
        <v>16091027.143050143</v>
      </c>
      <c r="N19"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134.5660917098559</v>
      </c>
    </row>
    <row r="20" spans="2:14" x14ac:dyDescent="0.2">
      <c r="B20" t="s">
        <v>876</v>
      </c>
      <c r="C20" t="s">
        <v>712</v>
      </c>
      <c r="D20" s="212" t="str">
        <f>INDEX(MRFs[MRF_Name],MATCH(MRF1_CostTotal[[#This Row],[MRF_ID]],MRFs[MRF_ID],0))</f>
        <v>5 MRFs for SS with fiber upgrades (Portland)</v>
      </c>
      <c r="E20" s="397">
        <f>SUMIFS(MRFefficiency[Incoming Tons (all)],MRFefficiency[Scenario_ID],MRF1_CostTotal[[#This Row],[Scenario_ID]],MRFefficiency[MRF_ID],MRF1_CostTotal[[#This Row],[MRF_ID]])</f>
        <v>209456.99037383424</v>
      </c>
      <c r="F20" s="397">
        <f>SUMIFS(MRFefficiency[Landfilled Residue],MRFefficiency[Scenario_ID],MRF1_CostTotal[[#This Row],[Scenario_ID]],MRFefficiency[MRF_Cost_ID],MRF1_CostTotal[[#This Row],[MRF_ID]])</f>
        <v>31793.351304448734</v>
      </c>
      <c r="G20" s="262">
        <f>SUMIFS(MRFLaborProductivity[Scenario_LaborCost],MRFLaborProductivity[Scenario_ID],MRF1_CostTotal[[#This Row],[Scenario_ID]],MRFLaborProductivity[MRF_ID],MRF1_CostTotal[[#This Row],[MRF_ID]])-MRF1_CostTotal[[#This Row],[MRF_AdminMarket]]</f>
        <v>14188697.400558749</v>
      </c>
      <c r="H20" s="262">
        <f>SUMIFS(MRF_CapitalCost[Total_CapitalCost_Annualized],MRF_CapitalCost[Scenario_ID],MRF1_CostTotal[[#This Row],[Scenario_ID]],MRF_CapitalCost[MRF_ID],MRF1_CostTotal[[#This Row],[MRF_ID]])</f>
        <v>1391046.900556678</v>
      </c>
      <c r="I20" s="262">
        <f>SUMIFS(OperatingCost_Changes[Cost_Cumulative],OperatingCost_Changes[Scenario_ID],MRF1_CostTotal[[#This Row],[Scenario_ID]],OperatingCost_Changes[MRF_ID],MRF1_CostTotal[[#This Row],[MRF_ID]])</f>
        <v>5355608.2821022402</v>
      </c>
      <c r="J20" s="262">
        <f>MRF1_CostTotal[[#This Row],[ResidualTons]]*(SUMIFS(LandfillFees[Disposal Tip Fee 2025],LandfillFees[MRF_ID],MRF1_CostTotal[[#This Row],[MRF_ID]])+SUMIFS(LandfillFees[Residual_Transport_Cost_Per_Ton],LandfillFees[MRF_ID],MRF1_CostTotal[[#This Row],[MRF_ID]]))</f>
        <v>5515510.5842957664</v>
      </c>
      <c r="K20" s="262">
        <f>SUMIFS(MRFLaborProductivity[Scenario_LaborCost],MRFLaborProductivity[Scenario_ID],MRF1_CostTotal[[#This Row],[Scenario_ID]],MRFLaborProductivity[MRF_ID],MRF1_CostTotal[[#This Row],[MRF_ID]],MRFLaborProductivity[LaborType_ID],3)</f>
        <v>2656787.4411255284</v>
      </c>
      <c r="L20" s="262">
        <f>(MRF1_CostTotal[[#This Row],[MRF_Sort_Maintenance_Labor]]+MRF1_CostTotal[[#This Row],[MRF_Capital]]+MRF1_CostTotal[[#This Row],[MRF_Facility-Maintenance]]+MRF1_CostTotal[[#This Row],[MRF_Residual]]+MRF1_CostTotal[[#This Row],[MRF_AdminMarket]])*0.08</f>
        <v>2328612.0486911167</v>
      </c>
      <c r="M20" s="262">
        <f>SUM(MRF1_CostTotal[[#This Row],[MRF_Sort_Maintenance_Labor]],MRF1_CostTotal[[#This Row],[MRF_Capital]],MRF1_CostTotal[[#This Row],[MRF_Facility-Maintenance]],MRF1_CostTotal[[#This Row],[MRF_Residual]],MRF1_CostTotal[[#This Row],[MRF_AdminMarket]],MRF1_CostTotal[[#This Row],[MRF_Margin]])</f>
        <v>31436262.657330073</v>
      </c>
      <c r="N20"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150.08457154484708</v>
      </c>
    </row>
    <row r="21" spans="2:14" x14ac:dyDescent="0.2">
      <c r="B21" t="s">
        <v>876</v>
      </c>
      <c r="C21" t="s">
        <v>719</v>
      </c>
      <c r="D21" s="212" t="str">
        <f>INDEX(MRFs[MRF_Name],MATCH(MRF1_CostTotal[[#This Row],[MRF_ID]],MRFs[MRF_ID],0))</f>
        <v>1 MRF for SS with fiber and container upgrades (Portland)</v>
      </c>
      <c r="E21" s="397">
        <f>SUMIFS(MRFefficiency[Incoming Tons (all)],MRFefficiency[Scenario_ID],MRF1_CostTotal[[#This Row],[Scenario_ID]],MRFefficiency[MRF_ID],MRF1_CostTotal[[#This Row],[MRF_ID]])</f>
        <v>156138.2787205037</v>
      </c>
      <c r="F21" s="397">
        <f>SUMIFS(MRFefficiency[Landfilled Residue],MRFefficiency[Scenario_ID],MRF1_CostTotal[[#This Row],[Scenario_ID]],MRFefficiency[MRF_Cost_ID],MRF1_CostTotal[[#This Row],[MRF_ID]])</f>
        <v>19383.982995911792</v>
      </c>
      <c r="G21" s="262">
        <f>SUMIFS(MRFLaborProductivity[Scenario_LaborCost],MRFLaborProductivity[Scenario_ID],MRF1_CostTotal[[#This Row],[Scenario_ID]],MRFLaborProductivity[MRF_ID],MRF1_CostTotal[[#This Row],[MRF_ID]])-MRF1_CostTotal[[#This Row],[MRF_AdminMarket]]</f>
        <v>9030808.9114406537</v>
      </c>
      <c r="H21" s="262">
        <f>SUMIFS(MRF_CapitalCost[Total_CapitalCost_Annualized],MRF_CapitalCost[Scenario_ID],MRF1_CostTotal[[#This Row],[Scenario_ID]],MRF_CapitalCost[MRF_ID],MRF1_CostTotal[[#This Row],[MRF_ID]])</f>
        <v>278209.3801113356</v>
      </c>
      <c r="I21" s="262">
        <f>SUMIFS(OperatingCost_Changes[Cost_Cumulative],OperatingCost_Changes[Scenario_ID],MRF1_CostTotal[[#This Row],[Scenario_ID]],OperatingCost_Changes[MRF_ID],MRF1_CostTotal[[#This Row],[MRF_ID]])</f>
        <v>3408732.5731740282</v>
      </c>
      <c r="J21" s="262">
        <f>MRF1_CostTotal[[#This Row],[ResidualTons]]*(SUMIFS(LandfillFees[Disposal Tip Fee 2025],LandfillFees[MRF_ID],MRF1_CostTotal[[#This Row],[MRF_ID]])+SUMIFS(LandfillFees[Residual_Transport_Cost_Per_Ton],LandfillFees[MRF_ID],MRF1_CostTotal[[#This Row],[MRF_ID]]))</f>
        <v>3362733.3701307783</v>
      </c>
      <c r="K21" s="262">
        <f>SUMIFS(MRFLaborProductivity[Scenario_LaborCost],MRFLaborProductivity[Scenario_ID],MRF1_CostTotal[[#This Row],[Scenario_ID]],MRFLaborProductivity[MRF_ID],MRF1_CostTotal[[#This Row],[MRF_ID]],MRFLaborProductivity[LaborType_ID],3)</f>
        <v>1690989.5969854987</v>
      </c>
      <c r="L21" s="262">
        <f>(MRF1_CostTotal[[#This Row],[MRF_Sort_Maintenance_Labor]]+MRF1_CostTotal[[#This Row],[MRF_Capital]]+MRF1_CostTotal[[#This Row],[MRF_Facility-Maintenance]]+MRF1_CostTotal[[#This Row],[MRF_Residual]]+MRF1_CostTotal[[#This Row],[MRF_AdminMarket]])*0.08</f>
        <v>1421717.9065473836</v>
      </c>
      <c r="M21" s="262">
        <f>SUM(MRF1_CostTotal[[#This Row],[MRF_Sort_Maintenance_Labor]],MRF1_CostTotal[[#This Row],[MRF_Capital]],MRF1_CostTotal[[#This Row],[MRF_Facility-Maintenance]],MRF1_CostTotal[[#This Row],[MRF_Residual]],MRF1_CostTotal[[#This Row],[MRF_AdminMarket]],MRF1_CostTotal[[#This Row],[MRF_Margin]])</f>
        <v>19193191.738389678</v>
      </c>
      <c r="N21"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143.96874429721024</v>
      </c>
    </row>
    <row r="22" spans="2:14" x14ac:dyDescent="0.2">
      <c r="B22" t="s">
        <v>875</v>
      </c>
      <c r="C22" t="s">
        <v>706</v>
      </c>
      <c r="D22" s="212" t="str">
        <f>INDEX(MRFs[MRF_Name],MATCH(MRF1_CostTotal[[#This Row],[MRF_ID]],MRFs[MRF_ID],0))</f>
        <v>1 MRF for SS (Salem)</v>
      </c>
      <c r="E22" s="397">
        <f>SUMIFS(MRFefficiency[Incoming Tons (all)],MRFefficiency[Scenario_ID],MRF1_CostTotal[[#This Row],[Scenario_ID]],MRFefficiency[MRF_ID],MRF1_CostTotal[[#This Row],[MRF_ID]])</f>
        <v>110340.66021378172</v>
      </c>
      <c r="F22" s="397">
        <f>SUMIFS(MRFefficiency[Landfilled Residue],MRFefficiency[Scenario_ID],MRF1_CostTotal[[#This Row],[Scenario_ID]],MRFefficiency[MRF_Cost_ID],MRF1_CostTotal[[#This Row],[MRF_ID]])</f>
        <v>11265.55337481023</v>
      </c>
      <c r="G22" s="262">
        <f>SUMIFS(MRFLaborProductivity[Scenario_LaborCost],MRFLaborProductivity[Scenario_ID],MRF1_CostTotal[[#This Row],[Scenario_ID]],MRFLaborProductivity[MRF_ID],MRF1_CostTotal[[#This Row],[MRF_ID]])-MRF1_CostTotal[[#This Row],[MRF_AdminMarket]]</f>
        <v>8058140.2122595357</v>
      </c>
      <c r="H22" s="262">
        <f>SUMIFS(MRF_CapitalCost[Total_CapitalCost_Annualized],MRF_CapitalCost[Scenario_ID],MRF1_CostTotal[[#This Row],[Scenario_ID]],MRF_CapitalCost[MRF_ID],MRF1_CostTotal[[#This Row],[MRF_ID]])</f>
        <v>381105.11934551306</v>
      </c>
      <c r="I22" s="262">
        <f>SUMIFS(OperatingCost_Changes[Cost_Cumulative],OperatingCost_Changes[Scenario_ID],MRF1_CostTotal[[#This Row],[Scenario_ID]],OperatingCost_Changes[MRF_ID],MRF1_CostTotal[[#This Row],[MRF_ID]])</f>
        <v>2821301.6554800072</v>
      </c>
      <c r="J22" s="262">
        <f>MRF1_CostTotal[[#This Row],[ResidualTons]]*(SUMIFS(LandfillFees[Disposal Tip Fee 2025],LandfillFees[MRF_ID],MRF1_CostTotal[[#This Row],[MRF_ID]])+SUMIFS(LandfillFees[Residual_Transport_Cost_Per_Ton],LandfillFees[MRF_ID],MRF1_CostTotal[[#This Row],[MRF_ID]]))</f>
        <v>1248571.8555021244</v>
      </c>
      <c r="K22" s="262">
        <f>SUMIFS(MRFLaborProductivity[Scenario_LaborCost],MRFLaborProductivity[Scenario_ID],MRF1_CostTotal[[#This Row],[Scenario_ID]],MRFLaborProductivity[MRF_ID],MRF1_CostTotal[[#This Row],[MRF_ID]],MRFLaborProductivity[LaborType_ID],3)</f>
        <v>1516736.2934904424</v>
      </c>
      <c r="L22" s="262">
        <f>(MRF1_CostTotal[[#This Row],[MRF_Sort_Maintenance_Labor]]+MRF1_CostTotal[[#This Row],[MRF_Capital]]+MRF1_CostTotal[[#This Row],[MRF_Facility-Maintenance]]+MRF1_CostTotal[[#This Row],[MRF_Residual]]+MRF1_CostTotal[[#This Row],[MRF_AdminMarket]])*0.08</f>
        <v>1122068.4108862099</v>
      </c>
      <c r="M22" s="262">
        <f>SUM(MRF1_CostTotal[[#This Row],[MRF_Sort_Maintenance_Labor]],MRF1_CostTotal[[#This Row],[MRF_Capital]],MRF1_CostTotal[[#This Row],[MRF_Facility-Maintenance]],MRF1_CostTotal[[#This Row],[MRF_Residual]],MRF1_CostTotal[[#This Row],[MRF_AdminMarket]],MRF1_CostTotal[[#This Row],[MRF_Margin]])</f>
        <v>15147923.546963833</v>
      </c>
      <c r="N22"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137.28324189482993</v>
      </c>
    </row>
    <row r="23" spans="2:14" x14ac:dyDescent="0.2">
      <c r="B23" t="s">
        <v>875</v>
      </c>
      <c r="C23" t="s">
        <v>712</v>
      </c>
      <c r="D23" s="212" t="str">
        <f>INDEX(MRFs[MRF_Name],MATCH(MRF1_CostTotal[[#This Row],[MRF_ID]],MRFs[MRF_ID],0))</f>
        <v>5 MRFs for SS with fiber upgrades (Portland)</v>
      </c>
      <c r="E23" s="397">
        <f>SUMIFS(MRFefficiency[Incoming Tons (all)],MRFefficiency[Scenario_ID],MRF1_CostTotal[[#This Row],[Scenario_ID]],MRFefficiency[MRF_ID],MRF1_CostTotal[[#This Row],[MRF_ID]])</f>
        <v>194880.34022933262</v>
      </c>
      <c r="F23" s="397">
        <f>SUMIFS(MRFefficiency[Landfilled Residue],MRFefficiency[Scenario_ID],MRF1_CostTotal[[#This Row],[Scenario_ID]],MRFefficiency[MRF_Cost_ID],MRF1_CostTotal[[#This Row],[MRF_ID]])</f>
        <v>20381.273906298826</v>
      </c>
      <c r="G23" s="262">
        <f>SUMIFS(MRFLaborProductivity[Scenario_LaborCost],MRFLaborProductivity[Scenario_ID],MRF1_CostTotal[[#This Row],[Scenario_ID]],MRFLaborProductivity[MRF_ID],MRF1_CostTotal[[#This Row],[MRF_ID]])-MRF1_CostTotal[[#This Row],[MRF_AdminMarket]]</f>
        <v>10143940.043680286</v>
      </c>
      <c r="H23" s="262">
        <f>SUMIFS(MRF_CapitalCost[Total_CapitalCost_Annualized],MRF_CapitalCost[Scenario_ID],MRF1_CostTotal[[#This Row],[Scenario_ID]],MRF_CapitalCost[MRF_ID],MRF1_CostTotal[[#This Row],[MRF_ID]])</f>
        <v>4390116.1972188652</v>
      </c>
      <c r="I23" s="262">
        <f>SUMIFS(OperatingCost_Changes[Cost_Cumulative],OperatingCost_Changes[Scenario_ID],MRF1_CostTotal[[#This Row],[Scenario_ID]],OperatingCost_Changes[MRF_ID],MRF1_CostTotal[[#This Row],[MRF_ID]])</f>
        <v>4982897.7409077547</v>
      </c>
      <c r="J23" s="262">
        <f>MRF1_CostTotal[[#This Row],[ResidualTons]]*(SUMIFS(LandfillFees[Disposal Tip Fee 2025],LandfillFees[MRF_ID],MRF1_CostTotal[[#This Row],[MRF_ID]])+SUMIFS(LandfillFees[Residual_Transport_Cost_Per_Ton],LandfillFees[MRF_ID],MRF1_CostTotal[[#This Row],[MRF_ID]]))</f>
        <v>3535743.3972647209</v>
      </c>
      <c r="K23" s="262">
        <f>SUMIFS(MRFLaborProductivity[Scenario_LaborCost],MRFLaborProductivity[Scenario_ID],MRF1_CostTotal[[#This Row],[Scenario_ID]],MRFLaborProductivity[MRF_ID],MRF1_CostTotal[[#This Row],[MRF_ID]],MRFLaborProductivity[LaborType_ID],3)</f>
        <v>2656787.4411255284</v>
      </c>
      <c r="L23" s="262">
        <f>(MRF1_CostTotal[[#This Row],[MRF_Sort_Maintenance_Labor]]+MRF1_CostTotal[[#This Row],[MRF_Capital]]+MRF1_CostTotal[[#This Row],[MRF_Facility-Maintenance]]+MRF1_CostTotal[[#This Row],[MRF_Residual]]+MRF1_CostTotal[[#This Row],[MRF_AdminMarket]])*0.08</f>
        <v>2056758.785615772</v>
      </c>
      <c r="M23" s="262">
        <f>SUM(MRF1_CostTotal[[#This Row],[MRF_Sort_Maintenance_Labor]],MRF1_CostTotal[[#This Row],[MRF_Capital]],MRF1_CostTotal[[#This Row],[MRF_Facility-Maintenance]],MRF1_CostTotal[[#This Row],[MRF_Residual]],MRF1_CostTotal[[#This Row],[MRF_AdminMarket]],MRF1_CostTotal[[#This Row],[MRF_Margin]])</f>
        <v>27766243.605812922</v>
      </c>
      <c r="N23"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142.47842328855734</v>
      </c>
    </row>
    <row r="24" spans="2:14" x14ac:dyDescent="0.2">
      <c r="B24" t="s">
        <v>875</v>
      </c>
      <c r="C24" t="s">
        <v>719</v>
      </c>
      <c r="D24" s="212" t="str">
        <f>INDEX(MRFs[MRF_Name],MATCH(MRF1_CostTotal[[#This Row],[MRF_ID]],MRFs[MRF_ID],0))</f>
        <v>1 MRF for SS with fiber and container upgrades (Portland)</v>
      </c>
      <c r="E24" s="397">
        <f>SUMIFS(MRFefficiency[Incoming Tons (all)],MRFefficiency[Scenario_ID],MRF1_CostTotal[[#This Row],[Scenario_ID]],MRFefficiency[MRF_ID],MRF1_CostTotal[[#This Row],[MRF_ID]])</f>
        <v>123700.40656218091</v>
      </c>
      <c r="F24" s="397">
        <f>SUMIFS(MRFefficiency[Landfilled Residue],MRFefficiency[Scenario_ID],MRF1_CostTotal[[#This Row],[Scenario_ID]],MRFefficiency[MRF_Cost_ID],MRF1_CostTotal[[#This Row],[MRF_ID]])</f>
        <v>12336.027075095051</v>
      </c>
      <c r="G24" s="262">
        <f>SUMIFS(MRFLaborProductivity[Scenario_LaborCost],MRFLaborProductivity[Scenario_ID],MRF1_CostTotal[[#This Row],[Scenario_ID]],MRFLaborProductivity[MRF_ID],MRF1_CostTotal[[#This Row],[MRF_ID]])-MRF1_CostTotal[[#This Row],[MRF_AdminMarket]]</f>
        <v>8994082.0796961393</v>
      </c>
      <c r="H24" s="262">
        <f>SUMIFS(MRF_CapitalCost[Total_CapitalCost_Annualized],MRF_CapitalCost[Scenario_ID],MRF1_CostTotal[[#This Row],[Scenario_ID]],MRF_CapitalCost[MRF_ID],MRF1_CostTotal[[#This Row],[MRF_ID]])</f>
        <v>747840.72420827555</v>
      </c>
      <c r="I24" s="262">
        <f>SUMIFS(OperatingCost_Changes[Cost_Cumulative],OperatingCost_Changes[Scenario_ID],MRF1_CostTotal[[#This Row],[Scenario_ID]],OperatingCost_Changes[MRF_ID],MRF1_CostTotal[[#This Row],[MRF_ID]])</f>
        <v>3162897.1690151333</v>
      </c>
      <c r="J24" s="262">
        <f>MRF1_CostTotal[[#This Row],[ResidualTons]]*(SUMIFS(LandfillFees[Disposal Tip Fee 2025],LandfillFees[MRF_ID],MRF1_CostTotal[[#This Row],[MRF_ID]])+SUMIFS(LandfillFees[Residual_Transport_Cost_Per_Ton],LandfillFees[MRF_ID],MRF1_CostTotal[[#This Row],[MRF_ID]]))</f>
        <v>2140053.9769874895</v>
      </c>
      <c r="K24" s="262">
        <f>SUMIFS(MRFLaborProductivity[Scenario_LaborCost],MRFLaborProductivity[Scenario_ID],MRF1_CostTotal[[#This Row],[Scenario_ID]],MRFLaborProductivity[MRF_ID],MRF1_CostTotal[[#This Row],[MRF_ID]],MRFLaborProductivity[LaborType_ID],3)</f>
        <v>1690989.5969854987</v>
      </c>
      <c r="L24" s="262">
        <f>(MRF1_CostTotal[[#This Row],[MRF_Sort_Maintenance_Labor]]+MRF1_CostTotal[[#This Row],[MRF_Capital]]+MRF1_CostTotal[[#This Row],[MRF_Facility-Maintenance]]+MRF1_CostTotal[[#This Row],[MRF_Residual]]+MRF1_CostTotal[[#This Row],[MRF_AdminMarket]])*0.08</f>
        <v>1338869.083751403</v>
      </c>
      <c r="M24" s="262">
        <f>SUM(MRF1_CostTotal[[#This Row],[MRF_Sort_Maintenance_Labor]],MRF1_CostTotal[[#This Row],[MRF_Capital]],MRF1_CostTotal[[#This Row],[MRF_Facility-Maintenance]],MRF1_CostTotal[[#This Row],[MRF_Residual]],MRF1_CostTotal[[#This Row],[MRF_AdminMarket]],MRF1_CostTotal[[#This Row],[MRF_Margin]])</f>
        <v>18074732.630643941</v>
      </c>
      <c r="N24"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146.11700262729738</v>
      </c>
    </row>
    <row r="25" spans="2:14" x14ac:dyDescent="0.2">
      <c r="B25" t="s">
        <v>874</v>
      </c>
      <c r="C25" t="s">
        <v>706</v>
      </c>
      <c r="D25" s="212" t="str">
        <f>INDEX(MRFs[MRF_Name],MATCH(MRF1_CostTotal[[#This Row],[MRF_ID]],MRFs[MRF_ID],0))</f>
        <v>1 MRF for SS (Salem)</v>
      </c>
      <c r="E25" s="397">
        <f>SUMIFS(MRFefficiency[Incoming Tons (all)],MRFefficiency[Scenario_ID],MRF1_CostTotal[[#This Row],[Scenario_ID]],MRFefficiency[MRF_ID],MRF1_CostTotal[[#This Row],[MRF_ID]])</f>
        <v>129262.24906831772</v>
      </c>
      <c r="F25" s="397">
        <f>SUMIFS(MRFefficiency[Landfilled Residue],MRFefficiency[Scenario_ID],MRF1_CostTotal[[#This Row],[Scenario_ID]],MRFefficiency[MRF_Cost_ID],MRF1_CostTotal[[#This Row],[MRF_ID]])</f>
        <v>12644.889101581899</v>
      </c>
      <c r="G25" s="262">
        <f>SUMIFS(MRFLaborProductivity[Scenario_LaborCost],MRFLaborProductivity[Scenario_ID],MRF1_CostTotal[[#This Row],[Scenario_ID]],MRFLaborProductivity[MRF_ID],MRF1_CostTotal[[#This Row],[MRF_ID]])-MRF1_CostTotal[[#This Row],[MRF_AdminMarket]]</f>
        <v>7713850.7195696207</v>
      </c>
      <c r="H25" s="262">
        <f>SUMIFS(MRF_CapitalCost[Total_CapitalCost_Annualized],MRF_CapitalCost[Scenario_ID],MRF1_CostTotal[[#This Row],[Scenario_ID]],MRF_CapitalCost[MRF_ID],MRF1_CostTotal[[#This Row],[MRF_ID]])</f>
        <v>381105.11934551306</v>
      </c>
      <c r="I25" s="262">
        <f>SUMIFS(OperatingCost_Changes[Cost_Cumulative],OperatingCost_Changes[Scenario_ID],MRF1_CostTotal[[#This Row],[Scenario_ID]],OperatingCost_Changes[MRF_ID],MRF1_CostTotal[[#This Row],[MRF_ID]])</f>
        <v>3254568.1537686102</v>
      </c>
      <c r="J25" s="262">
        <f>MRF1_CostTotal[[#This Row],[ResidualTons]]*(SUMIFS(LandfillFees[Disposal Tip Fee 2025],LandfillFees[MRF_ID],MRF1_CostTotal[[#This Row],[MRF_ID]])+SUMIFS(LandfillFees[Residual_Transport_Cost_Per_Ton],LandfillFees[MRF_ID],MRF1_CostTotal[[#This Row],[MRF_ID]]))</f>
        <v>1401444.9288823023</v>
      </c>
      <c r="K25" s="262">
        <f>SUMIFS(MRFLaborProductivity[Scenario_LaborCost],MRFLaborProductivity[Scenario_ID],MRF1_CostTotal[[#This Row],[Scenario_ID]],MRFLaborProductivity[MRF_ID],MRF1_CostTotal[[#This Row],[MRF_ID]],MRFLaborProductivity[LaborType_ID],3)</f>
        <v>1516736.2934904424</v>
      </c>
      <c r="L25" s="262">
        <f>(MRF1_CostTotal[[#This Row],[MRF_Sort_Maintenance_Labor]]+MRF1_CostTotal[[#This Row],[MRF_Capital]]+MRF1_CostTotal[[#This Row],[MRF_Facility-Maintenance]]+MRF1_CostTotal[[#This Row],[MRF_Residual]]+MRF1_CostTotal[[#This Row],[MRF_AdminMarket]])*0.08</f>
        <v>1141416.4172045193</v>
      </c>
      <c r="M25" s="262">
        <f>SUM(MRF1_CostTotal[[#This Row],[MRF_Sort_Maintenance_Labor]],MRF1_CostTotal[[#This Row],[MRF_Capital]],MRF1_CostTotal[[#This Row],[MRF_Facility-Maintenance]],MRF1_CostTotal[[#This Row],[MRF_Residual]],MRF1_CostTotal[[#This Row],[MRF_AdminMarket]],MRF1_CostTotal[[#This Row],[MRF_Margin]])</f>
        <v>15409121.63226101</v>
      </c>
      <c r="N25"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119.20821232281807</v>
      </c>
    </row>
    <row r="26" spans="2:14" x14ac:dyDescent="0.2">
      <c r="B26" t="s">
        <v>874</v>
      </c>
      <c r="C26" t="s">
        <v>712</v>
      </c>
      <c r="D26" s="212" t="str">
        <f>INDEX(MRFs[MRF_Name],MATCH(MRF1_CostTotal[[#This Row],[MRF_ID]],MRFs[MRF_ID],0))</f>
        <v>5 MRFs for SS with fiber upgrades (Portland)</v>
      </c>
      <c r="E26" s="397">
        <f>SUMIFS(MRFefficiency[Incoming Tons (all)],MRFefficiency[Scenario_ID],MRF1_CostTotal[[#This Row],[Scenario_ID]],MRFefficiency[MRF_ID],MRF1_CostTotal[[#This Row],[MRF_ID]])</f>
        <v>210339.70579271796</v>
      </c>
      <c r="F26" s="397">
        <f>SUMIFS(MRFefficiency[Landfilled Residue],MRFefficiency[Scenario_ID],MRF1_CostTotal[[#This Row],[Scenario_ID]],MRFefficiency[MRF_Cost_ID],MRF1_CostTotal[[#This Row],[MRF_ID]])</f>
        <v>19984.657850404994</v>
      </c>
      <c r="G26" s="262">
        <f>SUMIFS(MRFLaborProductivity[Scenario_LaborCost],MRFLaborProductivity[Scenario_ID],MRF1_CostTotal[[#This Row],[Scenario_ID]],MRFLaborProductivity[MRF_ID],MRF1_CostTotal[[#This Row],[MRF_ID]])-MRF1_CostTotal[[#This Row],[MRF_AdminMarket]]</f>
        <v>7813300.784511501</v>
      </c>
      <c r="H26" s="262">
        <f>SUMIFS(MRF_CapitalCost[Total_CapitalCost_Annualized],MRF_CapitalCost[Scenario_ID],MRF1_CostTotal[[#This Row],[Scenario_ID]],MRF_CapitalCost[MRF_ID],MRF1_CostTotal[[#This Row],[MRF_ID]])</f>
        <v>4390116.1972188652</v>
      </c>
      <c r="I26" s="262">
        <f>SUMIFS(OperatingCost_Changes[Cost_Cumulative],OperatingCost_Changes[Scenario_ID],MRF1_CostTotal[[#This Row],[Scenario_ID]],OperatingCost_Changes[MRF_ID],MRF1_CostTotal[[#This Row],[MRF_ID]])</f>
        <v>5359902.9014166584</v>
      </c>
      <c r="J26" s="262">
        <f>MRF1_CostTotal[[#This Row],[ResidualTons]]*(SUMIFS(LandfillFees[Disposal Tip Fee 2025],LandfillFees[MRF_ID],MRF1_CostTotal[[#This Row],[MRF_ID]])+SUMIFS(LandfillFees[Residual_Transport_Cost_Per_Ton],LandfillFees[MRF_ID],MRF1_CostTotal[[#This Row],[MRF_ID]]))</f>
        <v>3466938.4438882587</v>
      </c>
      <c r="K26" s="262">
        <f>SUMIFS(MRFLaborProductivity[Scenario_LaborCost],MRFLaborProductivity[Scenario_ID],MRF1_CostTotal[[#This Row],[Scenario_ID]],MRFLaborProductivity[MRF_ID],MRF1_CostTotal[[#This Row],[MRF_ID]],MRFLaborProductivity[LaborType_ID],3)</f>
        <v>2656787.4411255284</v>
      </c>
      <c r="L26" s="262">
        <f>(MRF1_CostTotal[[#This Row],[MRF_Sort_Maintenance_Labor]]+MRF1_CostTotal[[#This Row],[MRF_Capital]]+MRF1_CostTotal[[#This Row],[MRF_Facility-Maintenance]]+MRF1_CostTotal[[#This Row],[MRF_Residual]]+MRF1_CostTotal[[#This Row],[MRF_AdminMarket]])*0.08</f>
        <v>1894963.6614528648</v>
      </c>
      <c r="M26" s="262">
        <f>SUM(MRF1_CostTotal[[#This Row],[MRF_Sort_Maintenance_Labor]],MRF1_CostTotal[[#This Row],[MRF_Capital]],MRF1_CostTotal[[#This Row],[MRF_Facility-Maintenance]],MRF1_CostTotal[[#This Row],[MRF_Residual]],MRF1_CostTotal[[#This Row],[MRF_AdminMarket]],MRF1_CostTotal[[#This Row],[MRF_Margin]])</f>
        <v>25582009.429613672</v>
      </c>
      <c r="N26"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121.62235053625017</v>
      </c>
    </row>
    <row r="27" spans="2:14" x14ac:dyDescent="0.2">
      <c r="B27" t="s">
        <v>874</v>
      </c>
      <c r="C27" t="s">
        <v>719</v>
      </c>
      <c r="D27" s="212" t="str">
        <f>INDEX(MRFs[MRF_Name],MATCH(MRF1_CostTotal[[#This Row],[MRF_ID]],MRFs[MRF_ID],0))</f>
        <v>1 MRF for SS with fiber and container upgrades (Portland)</v>
      </c>
      <c r="E27" s="397">
        <f>SUMIFS(MRFefficiency[Incoming Tons (all)],MRFefficiency[Scenario_ID],MRF1_CostTotal[[#This Row],[Scenario_ID]],MRFefficiency[MRF_ID],MRF1_CostTotal[[#This Row],[MRF_ID]])</f>
        <v>137234.69848781664</v>
      </c>
      <c r="F27" s="397">
        <f>SUMIFS(MRFefficiency[Landfilled Residue],MRFefficiency[Scenario_ID],MRF1_CostTotal[[#This Row],[Scenario_ID]],MRFefficiency[MRF_Cost_ID],MRF1_CostTotal[[#This Row],[MRF_ID]])</f>
        <v>15253.325889483693</v>
      </c>
      <c r="G27" s="262">
        <f>SUMIFS(MRFLaborProductivity[Scenario_LaborCost],MRFLaborProductivity[Scenario_ID],MRF1_CostTotal[[#This Row],[Scenario_ID]],MRFLaborProductivity[MRF_ID],MRF1_CostTotal[[#This Row],[MRF_ID]])-MRF1_CostTotal[[#This Row],[MRF_AdminMarket]]</f>
        <v>9421805.4419352487</v>
      </c>
      <c r="H27" s="262">
        <f>SUMIFS(MRF_CapitalCost[Total_CapitalCost_Annualized],MRF_CapitalCost[Scenario_ID],MRF1_CostTotal[[#This Row],[Scenario_ID]],MRF_CapitalCost[MRF_ID],MRF1_CostTotal[[#This Row],[MRF_ID]])</f>
        <v>1117622.7217832573</v>
      </c>
      <c r="I27" s="262">
        <f>SUMIFS(OperatingCost_Changes[Cost_Cumulative],OperatingCost_Changes[Scenario_ID],MRF1_CostTotal[[#This Row],[Scenario_ID]],OperatingCost_Changes[MRF_ID],MRF1_CostTotal[[#This Row],[MRF_ID]])</f>
        <v>3508955.6404939592</v>
      </c>
      <c r="J27" s="262">
        <f>MRF1_CostTotal[[#This Row],[ResidualTons]]*(SUMIFS(LandfillFees[Disposal Tip Fee 2025],LandfillFees[MRF_ID],MRF1_CostTotal[[#This Row],[MRF_ID]])+SUMIFS(LandfillFees[Residual_Transport_Cost_Per_Ton],LandfillFees[MRF_ID],MRF1_CostTotal[[#This Row],[MRF_ID]]))</f>
        <v>2646146.9753076313</v>
      </c>
      <c r="K27" s="262">
        <f>SUMIFS(MRFLaborProductivity[Scenario_LaborCost],MRFLaborProductivity[Scenario_ID],MRF1_CostTotal[[#This Row],[Scenario_ID]],MRFLaborProductivity[MRF_ID],MRF1_CostTotal[[#This Row],[MRF_ID]],MRFLaborProductivity[LaborType_ID],3)</f>
        <v>1690989.5969854987</v>
      </c>
      <c r="L27" s="262">
        <f>(MRF1_CostTotal[[#This Row],[MRF_Sort_Maintenance_Labor]]+MRF1_CostTotal[[#This Row],[MRF_Capital]]+MRF1_CostTotal[[#This Row],[MRF_Facility-Maintenance]]+MRF1_CostTotal[[#This Row],[MRF_Residual]]+MRF1_CostTotal[[#This Row],[MRF_AdminMarket]])*0.08</f>
        <v>1470841.6301204478</v>
      </c>
      <c r="M27" s="262">
        <f>SUM(MRF1_CostTotal[[#This Row],[MRF_Sort_Maintenance_Labor]],MRF1_CostTotal[[#This Row],[MRF_Capital]],MRF1_CostTotal[[#This Row],[MRF_Facility-Maintenance]],MRF1_CostTotal[[#This Row],[MRF_Residual]],MRF1_CostTotal[[#This Row],[MRF_AdminMarket]],MRF1_CostTotal[[#This Row],[MRF_Margin]])</f>
        <v>19856362.006626047</v>
      </c>
      <c r="N27"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144.68907809338646</v>
      </c>
    </row>
    <row r="28" spans="2:14" x14ac:dyDescent="0.2">
      <c r="B28" t="s">
        <v>873</v>
      </c>
      <c r="C28" t="s">
        <v>706</v>
      </c>
      <c r="D28" s="212" t="str">
        <f>INDEX(MRFs[MRF_Name],MATCH(MRF1_CostTotal[[#This Row],[MRF_ID]],MRFs[MRF_ID],0))</f>
        <v>1 MRF for SS (Salem)</v>
      </c>
      <c r="E28" s="397">
        <f>SUMIFS(MRFefficiency[Incoming Tons (all)],MRFefficiency[Scenario_ID],MRF1_CostTotal[[#This Row],[Scenario_ID]],MRFefficiency[MRF_ID],MRF1_CostTotal[[#This Row],[MRF_ID]])</f>
        <v>129262.24906831772</v>
      </c>
      <c r="F28" s="397">
        <f>SUMIFS(MRFefficiency[Landfilled Residue],MRFefficiency[Scenario_ID],MRF1_CostTotal[[#This Row],[Scenario_ID]],MRFefficiency[MRF_Cost_ID],MRF1_CostTotal[[#This Row],[MRF_ID]])</f>
        <v>12644.889101581899</v>
      </c>
      <c r="G28" s="262">
        <f>SUMIFS(MRFLaborProductivity[Scenario_LaborCost],MRFLaborProductivity[Scenario_ID],MRF1_CostTotal[[#This Row],[Scenario_ID]],MRFLaborProductivity[MRF_ID],MRF1_CostTotal[[#This Row],[MRF_ID]])-MRF1_CostTotal[[#This Row],[MRF_AdminMarket]]</f>
        <v>7712898.8934991444</v>
      </c>
      <c r="H28" s="262">
        <f>SUMIFS(MRF_CapitalCost[Total_CapitalCost_Annualized],MRF_CapitalCost[Scenario_ID],MRF1_CostTotal[[#This Row],[Scenario_ID]],MRF_CapitalCost[MRF_ID],MRF1_CostTotal[[#This Row],[MRF_ID]])</f>
        <v>381105.11934551306</v>
      </c>
      <c r="I28" s="262">
        <f>SUMIFS(OperatingCost_Changes[Cost_Cumulative],OperatingCost_Changes[Scenario_ID],MRF1_CostTotal[[#This Row],[Scenario_ID]],OperatingCost_Changes[MRF_ID],MRF1_CostTotal[[#This Row],[MRF_ID]])</f>
        <v>3305107.9863120462</v>
      </c>
      <c r="J28" s="262">
        <f>MRF1_CostTotal[[#This Row],[ResidualTons]]*(SUMIFS(LandfillFees[Disposal Tip Fee 2025],LandfillFees[MRF_ID],MRF1_CostTotal[[#This Row],[MRF_ID]])+SUMIFS(LandfillFees[Residual_Transport_Cost_Per_Ton],LandfillFees[MRF_ID],MRF1_CostTotal[[#This Row],[MRF_ID]]))</f>
        <v>1401444.9288823023</v>
      </c>
      <c r="K28" s="262">
        <f>SUMIFS(MRFLaborProductivity[Scenario_LaborCost],MRFLaborProductivity[Scenario_ID],MRF1_CostTotal[[#This Row],[Scenario_ID]],MRFLaborProductivity[MRF_ID],MRF1_CostTotal[[#This Row],[MRF_ID]],MRFLaborProductivity[LaborType_ID],3)</f>
        <v>1516736.2934904424</v>
      </c>
      <c r="L28" s="262">
        <f>(MRF1_CostTotal[[#This Row],[MRF_Sort_Maintenance_Labor]]+MRF1_CostTotal[[#This Row],[MRF_Capital]]+MRF1_CostTotal[[#This Row],[MRF_Facility-Maintenance]]+MRF1_CostTotal[[#This Row],[MRF_Residual]]+MRF1_CostTotal[[#This Row],[MRF_AdminMarket]])*0.08</f>
        <v>1145383.4577223561</v>
      </c>
      <c r="M28" s="262">
        <f>SUM(MRF1_CostTotal[[#This Row],[MRF_Sort_Maintenance_Labor]],MRF1_CostTotal[[#This Row],[MRF_Capital]],MRF1_CostTotal[[#This Row],[MRF_Facility-Maintenance]],MRF1_CostTotal[[#This Row],[MRF_Residual]],MRF1_CostTotal[[#This Row],[MRF_AdminMarket]],MRF1_CostTotal[[#This Row],[MRF_Margin]])</f>
        <v>15462676.679251807</v>
      </c>
      <c r="N28"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119.62252545272881</v>
      </c>
    </row>
    <row r="29" spans="2:14" x14ac:dyDescent="0.2">
      <c r="B29" t="s">
        <v>873</v>
      </c>
      <c r="C29" t="s">
        <v>712</v>
      </c>
      <c r="D29" s="212" t="str">
        <f>INDEX(MRFs[MRF_Name],MATCH(MRF1_CostTotal[[#This Row],[MRF_ID]],MRFs[MRF_ID],0))</f>
        <v>5 MRFs for SS with fiber upgrades (Portland)</v>
      </c>
      <c r="E29" s="397">
        <f>SUMIFS(MRFefficiency[Incoming Tons (all)],MRFefficiency[Scenario_ID],MRF1_CostTotal[[#This Row],[Scenario_ID]],MRFefficiency[MRF_ID],MRF1_CostTotal[[#This Row],[MRF_ID]])</f>
        <v>210339.70579271796</v>
      </c>
      <c r="F29" s="397">
        <f>SUMIFS(MRFefficiency[Landfilled Residue],MRFefficiency[Scenario_ID],MRF1_CostTotal[[#This Row],[Scenario_ID]],MRFefficiency[MRF_Cost_ID],MRF1_CostTotal[[#This Row],[MRF_ID]])</f>
        <v>20024.26228458924</v>
      </c>
      <c r="G29" s="262">
        <f>SUMIFS(MRFLaborProductivity[Scenario_LaborCost],MRFLaborProductivity[Scenario_ID],MRF1_CostTotal[[#This Row],[Scenario_ID]],MRFLaborProductivity[MRF_ID],MRF1_CostTotal[[#This Row],[MRF_ID]])-MRF1_CostTotal[[#This Row],[MRF_AdminMarket]]</f>
        <v>7813599.7600369249</v>
      </c>
      <c r="H29" s="262">
        <f>SUMIFS(MRF_CapitalCost[Total_CapitalCost_Annualized],MRF_CapitalCost[Scenario_ID],MRF1_CostTotal[[#This Row],[Scenario_ID]],MRF_CapitalCost[MRF_ID],MRF1_CostTotal[[#This Row],[MRF_ID]])</f>
        <v>4446815.2688855547</v>
      </c>
      <c r="I29" s="262">
        <f>SUMIFS(OperatingCost_Changes[Cost_Cumulative],OperatingCost_Changes[Scenario_ID],MRF1_CostTotal[[#This Row],[Scenario_ID]],OperatingCost_Changes[MRF_ID],MRF1_CostTotal[[#This Row],[MRF_ID]])</f>
        <v>5378178.4431633502</v>
      </c>
      <c r="J29" s="262">
        <f>MRF1_CostTotal[[#This Row],[ResidualTons]]*(SUMIFS(LandfillFees[Disposal Tip Fee 2025],LandfillFees[MRF_ID],MRF1_CostTotal[[#This Row],[MRF_ID]])+SUMIFS(LandfillFees[Residual_Transport_Cost_Per_Ton],LandfillFees[MRF_ID],MRF1_CostTotal[[#This Row],[MRF_ID]]))</f>
        <v>3473809.0211305418</v>
      </c>
      <c r="K29" s="262">
        <f>SUMIFS(MRFLaborProductivity[Scenario_LaborCost],MRFLaborProductivity[Scenario_ID],MRF1_CostTotal[[#This Row],[Scenario_ID]],MRFLaborProductivity[MRF_ID],MRF1_CostTotal[[#This Row],[MRF_ID]],MRFLaborProductivity[LaborType_ID],3)</f>
        <v>2656787.4411255284</v>
      </c>
      <c r="L29" s="262">
        <f>(MRF1_CostTotal[[#This Row],[MRF_Sort_Maintenance_Labor]]+MRF1_CostTotal[[#This Row],[MRF_Capital]]+MRF1_CostTotal[[#This Row],[MRF_Facility-Maintenance]]+MRF1_CostTotal[[#This Row],[MRF_Residual]]+MRF1_CostTotal[[#This Row],[MRF_AdminMarket]])*0.08</f>
        <v>1901535.194747352</v>
      </c>
      <c r="M29" s="262">
        <f>SUM(MRF1_CostTotal[[#This Row],[MRF_Sort_Maintenance_Labor]],MRF1_CostTotal[[#This Row],[MRF_Capital]],MRF1_CostTotal[[#This Row],[MRF_Facility-Maintenance]],MRF1_CostTotal[[#This Row],[MRF_Residual]],MRF1_CostTotal[[#This Row],[MRF_AdminMarket]],MRF1_CostTotal[[#This Row],[MRF_Margin]])</f>
        <v>25670725.129089251</v>
      </c>
      <c r="N29"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122.04412396766784</v>
      </c>
    </row>
    <row r="30" spans="2:14" x14ac:dyDescent="0.2">
      <c r="B30" t="s">
        <v>873</v>
      </c>
      <c r="C30" t="s">
        <v>719</v>
      </c>
      <c r="D30" s="212" t="str">
        <f>INDEX(MRFs[MRF_Name],MATCH(MRF1_CostTotal[[#This Row],[MRF_ID]],MRFs[MRF_ID],0))</f>
        <v>1 MRF for SS with fiber and container upgrades (Portland)</v>
      </c>
      <c r="E30" s="397">
        <f>SUMIFS(MRFefficiency[Incoming Tons (all)],MRFefficiency[Scenario_ID],MRF1_CostTotal[[#This Row],[Scenario_ID]],MRFefficiency[MRF_ID],MRF1_CostTotal[[#This Row],[MRF_ID]])</f>
        <v>137234.69848781664</v>
      </c>
      <c r="F30" s="397">
        <f>SUMIFS(MRFefficiency[Landfilled Residue],MRFefficiency[Scenario_ID],MRF1_CostTotal[[#This Row],[Scenario_ID]],MRFefficiency[MRF_Cost_ID],MRF1_CostTotal[[#This Row],[MRF_ID]])</f>
        <v>13163.547705477245</v>
      </c>
      <c r="G30" s="262">
        <f>SUMIFS(MRFLaborProductivity[Scenario_LaborCost],MRFLaborProductivity[Scenario_ID],MRF1_CostTotal[[#This Row],[Scenario_ID]],MRFLaborProductivity[MRF_ID],MRF1_CostTotal[[#This Row],[MRF_ID]])-MRF1_CostTotal[[#This Row],[MRF_AdminMarket]]</f>
        <v>8655147.680634629</v>
      </c>
      <c r="H30" s="262">
        <f>SUMIFS(MRF_CapitalCost[Total_CapitalCost_Annualized],MRF_CapitalCost[Scenario_ID],MRF1_CostTotal[[#This Row],[Scenario_ID]],MRF_CapitalCost[MRF_ID],MRF1_CostTotal[[#This Row],[MRF_ID]])</f>
        <v>584615.28089695505</v>
      </c>
      <c r="I30" s="262">
        <f>SUMIFS(OperatingCost_Changes[Cost_Cumulative],OperatingCost_Changes[Scenario_ID],MRF1_CostTotal[[#This Row],[Scenario_ID]],OperatingCost_Changes[MRF_ID],MRF1_CostTotal[[#This Row],[MRF_ID]])</f>
        <v>3508955.6404939592</v>
      </c>
      <c r="J30" s="262">
        <f>MRF1_CostTotal[[#This Row],[ResidualTons]]*(SUMIFS(LandfillFees[Disposal Tip Fee 2025],LandfillFees[MRF_ID],MRF1_CostTotal[[#This Row],[MRF_ID]])+SUMIFS(LandfillFees[Residual_Transport_Cost_Per_Ton],LandfillFees[MRF_ID],MRF1_CostTotal[[#This Row],[MRF_ID]]))</f>
        <v>2283612.2559461929</v>
      </c>
      <c r="K30" s="262">
        <f>SUMIFS(MRFLaborProductivity[Scenario_LaborCost],MRFLaborProductivity[Scenario_ID],MRF1_CostTotal[[#This Row],[Scenario_ID]],MRFLaborProductivity[MRF_ID],MRF1_CostTotal[[#This Row],[MRF_ID]],MRFLaborProductivity[LaborType_ID],3)</f>
        <v>1690989.5969854987</v>
      </c>
      <c r="L30" s="262">
        <f>(MRF1_CostTotal[[#This Row],[MRF_Sort_Maintenance_Labor]]+MRF1_CostTotal[[#This Row],[MRF_Capital]]+MRF1_CostTotal[[#This Row],[MRF_Facility-Maintenance]]+MRF1_CostTotal[[#This Row],[MRF_Residual]]+MRF1_CostTotal[[#This Row],[MRF_AdminMarket]])*0.08</f>
        <v>1337865.6363965787</v>
      </c>
      <c r="M30" s="262">
        <f>SUM(MRF1_CostTotal[[#This Row],[MRF_Sort_Maintenance_Labor]],MRF1_CostTotal[[#This Row],[MRF_Capital]],MRF1_CostTotal[[#This Row],[MRF_Facility-Maintenance]],MRF1_CostTotal[[#This Row],[MRF_Residual]],MRF1_CostTotal[[#This Row],[MRF_AdminMarket]],MRF1_CostTotal[[#This Row],[MRF_Margin]])</f>
        <v>18061186.091353811</v>
      </c>
      <c r="N30"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131.60801379220604</v>
      </c>
    </row>
    <row r="31" spans="2:14" x14ac:dyDescent="0.2">
      <c r="B31" t="s">
        <v>870</v>
      </c>
      <c r="C31" t="s">
        <v>735</v>
      </c>
      <c r="D31" s="212" t="str">
        <f>INDEX(MRFs[MRF_Name],MATCH(MRF1_CostTotal[[#This Row],[MRF_ID]],MRFs[MRF_ID],0))</f>
        <v>5 MRFs for DS fiber (Portland)</v>
      </c>
      <c r="E31" s="397">
        <f>SUMIFS(MRFefficiency[Incoming Tons (all)],MRFefficiency[Scenario_ID],MRF1_CostTotal[[#This Row],[Scenario_ID]],MRFefficiency[MRF_ID],MRF1_CostTotal[[#This Row],[MRF_ID]])</f>
        <v>241090.68266408695</v>
      </c>
      <c r="F31" s="397">
        <f>SUMIFS(MRFefficiency[Landfilled Residue],MRFefficiency[Scenario_ID],MRF1_CostTotal[[#This Row],[Scenario_ID]],MRFefficiency[MRF_Cost_ID],MRF1_CostTotal[[#This Row],[MRF_ID]])</f>
        <v>16370.820213260104</v>
      </c>
      <c r="G31" s="262">
        <f>SUMIFS(MRFLaborProductivity[Scenario_LaborCost],MRFLaborProductivity[Scenario_ID],MRF1_CostTotal[[#This Row],[Scenario_ID]],MRFLaborProductivity[MRF_ID],MRF1_CostTotal[[#This Row],[MRF_ID]])-MRF1_CostTotal[[#This Row],[MRF_AdminMarket]]</f>
        <v>7487798.6202815119</v>
      </c>
      <c r="H31" s="262">
        <f>SUMIFS(MRF_CapitalCost[Total_CapitalCost_Annualized],MRF_CapitalCost[Scenario_ID],MRF1_CostTotal[[#This Row],[Scenario_ID]],MRF_CapitalCost[MRF_ID],MRF1_CostTotal[[#This Row],[MRF_ID]])</f>
        <v>4146293.4964892897</v>
      </c>
      <c r="I31" s="262">
        <f>SUMIFS(OperatingCost_Changes[Cost_Cumulative],OperatingCost_Changes[Scenario_ID],MRF1_CostTotal[[#This Row],[Scenario_ID]],OperatingCost_Changes[MRF_ID],MRF1_CostTotal[[#This Row],[MRF_ID]])</f>
        <v>6164450.5371197416</v>
      </c>
      <c r="J31" s="262">
        <f>MRF1_CostTotal[[#This Row],[ResidualTons]]*(SUMIFS(LandfillFees[Disposal Tip Fee 2025],LandfillFees[MRF_ID],MRF1_CostTotal[[#This Row],[MRF_ID]])+SUMIFS(LandfillFees[Residual_Transport_Cost_Per_Ton],LandfillFees[MRF_ID],MRF1_CostTotal[[#This Row],[MRF_ID]]))</f>
        <v>2840009.8905963632</v>
      </c>
      <c r="K31" s="262">
        <f>SUMIFS(MRFLaborProductivity[Scenario_LaborCost],MRFLaborProductivity[Scenario_ID],MRF1_CostTotal[[#This Row],[Scenario_ID]],MRFLaborProductivity[MRF_ID],MRF1_CostTotal[[#This Row],[MRF_ID]],MRFLaborProductivity[LaborType_ID],3)</f>
        <v>2656787.4411255284</v>
      </c>
      <c r="L31" s="262">
        <f>(MRF1_CostTotal[[#This Row],[MRF_Sort_Maintenance_Labor]]+MRF1_CostTotal[[#This Row],[MRF_Capital]]+MRF1_CostTotal[[#This Row],[MRF_Facility-Maintenance]]+MRF1_CostTotal[[#This Row],[MRF_Residual]]+MRF1_CostTotal[[#This Row],[MRF_AdminMarket]])*0.08</f>
        <v>1863627.1988489947</v>
      </c>
      <c r="M31" s="262">
        <f>SUM(MRF1_CostTotal[[#This Row],[MRF_Sort_Maintenance_Labor]],MRF1_CostTotal[[#This Row],[MRF_Capital]],MRF1_CostTotal[[#This Row],[MRF_Facility-Maintenance]],MRF1_CostTotal[[#This Row],[MRF_Residual]],MRF1_CostTotal[[#This Row],[MRF_AdminMarket]],MRF1_CostTotal[[#This Row],[MRF_Margin]])</f>
        <v>25158967.18446143</v>
      </c>
      <c r="N31"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104.35478844081074</v>
      </c>
    </row>
    <row r="32" spans="2:14" x14ac:dyDescent="0.2">
      <c r="B32" t="s">
        <v>870</v>
      </c>
      <c r="C32" t="s">
        <v>739</v>
      </c>
      <c r="D32" s="212" t="str">
        <f>INDEX(MRFs[MRF_Name],MATCH(MRF1_CostTotal[[#This Row],[MRF_ID]],MRFs[MRF_ID],0))</f>
        <v>1 MRF for DS with fiber and container lines (Portland)</v>
      </c>
      <c r="E32" s="397">
        <f>SUMIFS(MRFefficiency[Incoming Tons (all)],MRFefficiency[Scenario_ID],MRF1_CostTotal[[#This Row],[Scenario_ID]],MRFefficiency[MRF_ID],MRF1_CostTotal[[#This Row],[MRF_ID]])</f>
        <v>167013.76854203845</v>
      </c>
      <c r="F32" s="397">
        <f>SUMIFS(MRFefficiency[Landfilled Residue],MRFefficiency[Scenario_ID],MRF1_CostTotal[[#This Row],[Scenario_ID]],MRFefficiency[MRF_Cost_ID],MRF1_CostTotal[[#This Row],[MRF_ID]])</f>
        <v>19721.830183845061</v>
      </c>
      <c r="G32" s="262">
        <f>SUMIFS(MRFLaborProductivity[Scenario_LaborCost],MRFLaborProductivity[Scenario_ID],MRF1_CostTotal[[#This Row],[Scenario_ID]],MRFLaborProductivity[MRF_ID],MRF1_CostTotal[[#This Row],[MRF_ID]])-MRF1_CostTotal[[#This Row],[MRF_AdminMarket]]</f>
        <v>9566851.3196339943</v>
      </c>
      <c r="H32" s="262">
        <f>SUMIFS(MRF_CapitalCost[Total_CapitalCost_Annualized],MRF_CapitalCost[Scenario_ID],MRF1_CostTotal[[#This Row],[Scenario_ID]],MRF_CapitalCost[MRF_ID],MRF1_CostTotal[[#This Row],[MRF_ID]])</f>
        <v>1108274.8866115164</v>
      </c>
      <c r="I32" s="262">
        <f>SUMIFS(OperatingCost_Changes[Cost_Cumulative],OperatingCost_Changes[Scenario_ID],MRF1_CostTotal[[#This Row],[Scenario_ID]],OperatingCost_Changes[MRF_ID],MRF1_CostTotal[[#This Row],[MRF_ID]])</f>
        <v>4270377.0374645144</v>
      </c>
      <c r="J32" s="262">
        <f>MRF1_CostTotal[[#This Row],[ResidualTons]]*(SUMIFS(LandfillFees[Disposal Tip Fee 2025],LandfillFees[MRF_ID],MRF1_CostTotal[[#This Row],[MRF_ID]])+SUMIFS(LandfillFees[Residual_Transport_Cost_Per_Ton],LandfillFees[MRF_ID],MRF1_CostTotal[[#This Row],[MRF_ID]]))</f>
        <v>3421343.1002934417</v>
      </c>
      <c r="K32" s="262">
        <f>SUMIFS(MRFLaborProductivity[Scenario_LaborCost],MRFLaborProductivity[Scenario_ID],MRF1_CostTotal[[#This Row],[Scenario_ID]],MRFLaborProductivity[MRF_ID],MRF1_CostTotal[[#This Row],[MRF_ID]],MRFLaborProductivity[LaborType_ID],3)</f>
        <v>1690989.5969854987</v>
      </c>
      <c r="L32" s="262">
        <f>(MRF1_CostTotal[[#This Row],[MRF_Sort_Maintenance_Labor]]+MRF1_CostTotal[[#This Row],[MRF_Capital]]+MRF1_CostTotal[[#This Row],[MRF_Facility-Maintenance]]+MRF1_CostTotal[[#This Row],[MRF_Residual]]+MRF1_CostTotal[[#This Row],[MRF_AdminMarket]])*0.08</f>
        <v>1604626.8752791174</v>
      </c>
      <c r="M32" s="262">
        <f>SUM(MRF1_CostTotal[[#This Row],[MRF_Sort_Maintenance_Labor]],MRF1_CostTotal[[#This Row],[MRF_Capital]],MRF1_CostTotal[[#This Row],[MRF_Facility-Maintenance]],MRF1_CostTotal[[#This Row],[MRF_Residual]],MRF1_CostTotal[[#This Row],[MRF_AdminMarket]],MRF1_CostTotal[[#This Row],[MRF_Margin]])</f>
        <v>21662462.816268083</v>
      </c>
      <c r="N32"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129.70465252878537</v>
      </c>
    </row>
    <row r="33" spans="2:14" x14ac:dyDescent="0.2">
      <c r="B33" t="s">
        <v>870</v>
      </c>
      <c r="C33" t="s">
        <v>744</v>
      </c>
      <c r="D33" s="212" t="str">
        <f>INDEX(MRFs[MRF_Name],MATCH(MRF1_CostTotal[[#This Row],[MRF_ID]],MRFs[MRF_ID],0))</f>
        <v>1 MRF for DS fiber (Salem)</v>
      </c>
      <c r="E33" s="397">
        <f>SUMIFS(MRFefficiency[Incoming Tons (all)],MRFefficiency[Scenario_ID],MRF1_CostTotal[[#This Row],[Scenario_ID]],MRFefficiency[MRF_ID],MRF1_CostTotal[[#This Row],[MRF_ID]])</f>
        <v>69309.557930468334</v>
      </c>
      <c r="F33" s="397">
        <f>SUMIFS(MRFefficiency[Landfilled Residue],MRFefficiency[Scenario_ID],MRF1_CostTotal[[#This Row],[Scenario_ID]],MRFefficiency[MRF_Cost_ID],MRF1_CostTotal[[#This Row],[MRF_ID]])</f>
        <v>5351.524991607841</v>
      </c>
      <c r="G33" s="262">
        <f>SUMIFS(MRFLaborProductivity[Scenario_LaborCost],MRFLaborProductivity[Scenario_ID],MRF1_CostTotal[[#This Row],[Scenario_ID]],MRFLaborProductivity[MRF_ID],MRF1_CostTotal[[#This Row],[MRF_ID]])-MRF1_CostTotal[[#This Row],[MRF_AdminMarket]]</f>
        <v>6880683.0317497822</v>
      </c>
      <c r="H33" s="262">
        <f>SUMIFS(MRF_CapitalCost[Total_CapitalCost_Annualized],MRF_CapitalCost[Scenario_ID],MRF1_CostTotal[[#This Row],[Scenario_ID]],MRF_CapitalCost[MRF_ID],MRF1_CostTotal[[#This Row],[MRF_ID]])</f>
        <v>366360.02219961229</v>
      </c>
      <c r="I33" s="262">
        <f>SUMIFS(OperatingCost_Changes[Cost_Cumulative],OperatingCost_Changes[Scenario_ID],MRF1_CostTotal[[#This Row],[Scenario_ID]],OperatingCost_Changes[MRF_ID],MRF1_CostTotal[[#This Row],[MRF_ID]])</f>
        <v>1772176.9123998238</v>
      </c>
      <c r="J33" s="262">
        <f>MRF1_CostTotal[[#This Row],[ResidualTons]]*(SUMIFS(LandfillFees[Disposal Tip Fee 2025],LandfillFees[MRF_ID],MRF1_CostTotal[[#This Row],[MRF_ID]])+SUMIFS(LandfillFees[Residual_Transport_Cost_Per_Ton],LandfillFees[MRF_ID],MRF1_CostTotal[[#This Row],[MRF_ID]]))</f>
        <v>593114.53829495946</v>
      </c>
      <c r="K33" s="262">
        <f>SUMIFS(MRFLaborProductivity[Scenario_LaborCost],MRFLaborProductivity[Scenario_ID],MRF1_CostTotal[[#This Row],[Scenario_ID]],MRFLaborProductivity[MRF_ID],MRF1_CostTotal[[#This Row],[MRF_ID]],MRFLaborProductivity[LaborType_ID],3)</f>
        <v>1516736.2934904424</v>
      </c>
      <c r="L33" s="262">
        <f>(MRF1_CostTotal[[#This Row],[MRF_Sort_Maintenance_Labor]]+MRF1_CostTotal[[#This Row],[MRF_Capital]]+MRF1_CostTotal[[#This Row],[MRF_Facility-Maintenance]]+MRF1_CostTotal[[#This Row],[MRF_Residual]]+MRF1_CostTotal[[#This Row],[MRF_AdminMarket]])*0.08</f>
        <v>890325.66385076975</v>
      </c>
      <c r="M33" s="262">
        <f>SUM(MRF1_CostTotal[[#This Row],[MRF_Sort_Maintenance_Labor]],MRF1_CostTotal[[#This Row],[MRF_Capital]],MRF1_CostTotal[[#This Row],[MRF_Facility-Maintenance]],MRF1_CostTotal[[#This Row],[MRF_Residual]],MRF1_CostTotal[[#This Row],[MRF_AdminMarket]],MRF1_CostTotal[[#This Row],[MRF_Margin]])</f>
        <v>12019396.461985391</v>
      </c>
      <c r="N33" s="292">
        <f>MRF1_CostTotal[[#This Row],[Total]]/(SUMIFS(MRFefficiency[Incoming Tons (all)],MRFefficiency[Scenario_ID],MRF1_CostTotal[[#This Row],[Scenario_ID]],MRFefficiency[MRF_ID],MRF1_CostTotal[[#This Row],[MRF_ID]],MRFefficiency[CollectionStream_ID],"01")+
SUMIFS(MRFefficiency[Incoming Tons (all)],MRFefficiency[Scenario_ID],MRF1_CostTotal[[#This Row],[Scenario_ID]],MRFefficiency[MRF_ID],MRF1_CostTotal[[#This Row],[MRF_ID]],MRFefficiency[CollectionStream_ID],"09")+
SUMIFS(MRFefficiency[Incoming Tons (all)],MRFefficiency[Scenario_ID],MRF1_CostTotal[[#This Row],[Scenario_ID]],MRFefficiency[MRF_ID],MRF1_CostTotal[[#This Row],[MRF_ID]],MRFefficiency[CollectionStream_ID],"10"))</f>
        <v>173.4161466452189</v>
      </c>
    </row>
  </sheetData>
  <sheetProtection algorithmName="SHA-512" hashValue="YaD7g1pJeg5C5/QRYVuUZ1nMmDNhiQFojezf0rdaUGdekpCjdXyqH5gy0D99ra753pkmjmmxQRsQgoikALx3tA==" saltValue="MwqM1Ps7PUG+Wtb44r489A==" spinCount="100000" sheet="1" objects="1" scenarios="1" autoFilter="0"/>
  <phoneticPr fontId="15" type="noConversion"/>
  <pageMargins left="0.7" right="0.7" top="0.75" bottom="0.75" header="0.3" footer="0.3"/>
  <pageSetup orientation="portrait" horizontalDpi="1200" verticalDpi="1200"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F79B-216A-4C00-A0CB-33AA962C8F13}">
  <sheetPr>
    <tabColor theme="9"/>
  </sheetPr>
  <dimension ref="A1:I42"/>
  <sheetViews>
    <sheetView workbookViewId="0">
      <selection activeCell="A2" sqref="A2"/>
    </sheetView>
  </sheetViews>
  <sheetFormatPr defaultRowHeight="14.25" x14ac:dyDescent="0.2"/>
  <cols>
    <col min="3" max="3" width="9" bestFit="1" customWidth="1"/>
    <col min="4" max="4" width="54.875" bestFit="1" customWidth="1"/>
    <col min="5" max="5" width="16.25" bestFit="1" customWidth="1"/>
    <col min="6" max="7" width="16.25" style="521" customWidth="1"/>
    <col min="8" max="8" width="15.25" customWidth="1"/>
    <col min="10" max="10" width="12.625" customWidth="1"/>
  </cols>
  <sheetData>
    <row r="1" spans="1:9" ht="18" x14ac:dyDescent="0.25">
      <c r="A1" s="529" t="s">
        <v>3703</v>
      </c>
    </row>
    <row r="2" spans="1:9" s="521" customFormat="1" x14ac:dyDescent="0.2"/>
    <row r="3" spans="1:9" s="521" customFormat="1" x14ac:dyDescent="0.2">
      <c r="C3" s="521" t="s">
        <v>3594</v>
      </c>
    </row>
    <row r="4" spans="1:9" s="521" customFormat="1" x14ac:dyDescent="0.2">
      <c r="D4" s="521" t="s">
        <v>3596</v>
      </c>
    </row>
    <row r="5" spans="1:9" s="521" customFormat="1" x14ac:dyDescent="0.2">
      <c r="D5" s="521" t="s">
        <v>3704</v>
      </c>
    </row>
    <row r="6" spans="1:9" s="521" customFormat="1" x14ac:dyDescent="0.2">
      <c r="D6" s="521" t="s">
        <v>3597</v>
      </c>
    </row>
    <row r="7" spans="1:9" s="521" customFormat="1" x14ac:dyDescent="0.2">
      <c r="D7" s="521" t="s">
        <v>3595</v>
      </c>
    </row>
    <row r="8" spans="1:9" s="521" customFormat="1" x14ac:dyDescent="0.2">
      <c r="D8" s="521" t="s">
        <v>3598</v>
      </c>
    </row>
    <row r="9" spans="1:9" s="521" customFormat="1" x14ac:dyDescent="0.2">
      <c r="D9" s="521" t="s">
        <v>3702</v>
      </c>
    </row>
    <row r="11" spans="1:9" x14ac:dyDescent="0.2">
      <c r="C11" s="540" t="s">
        <v>694</v>
      </c>
      <c r="D11" s="378" t="s">
        <v>695</v>
      </c>
      <c r="E11" s="378" t="s">
        <v>3599</v>
      </c>
      <c r="F11" s="378" t="s">
        <v>3592</v>
      </c>
      <c r="G11" s="378" t="s">
        <v>3593</v>
      </c>
      <c r="H11" s="378" t="s">
        <v>3600</v>
      </c>
    </row>
    <row r="12" spans="1:9" x14ac:dyDescent="0.2">
      <c r="C12" s="378" t="s">
        <v>969</v>
      </c>
      <c r="D12" s="378" t="str">
        <f>INDEX(Bales[Bale_Name],MATCH(BalePrices[[#This Row],[Bale_ID]],Bales[Bale_ID],0))</f>
        <v>OCC (corrugated cardboard) </v>
      </c>
      <c r="E12" s="543">
        <f>AVERAGE(BalePrices[[#This Row],[Low]:[High]])</f>
        <v>87.5</v>
      </c>
      <c r="F12" s="543">
        <v>25</v>
      </c>
      <c r="G12" s="543">
        <v>150</v>
      </c>
      <c r="H12" s="544">
        <f>IFERROR((BalePrices[[#This Row],[High]]-BalePrices[[#This Row],[Low]])/BalePrices[[#This Row],[Mid-Point]],"")</f>
        <v>1.4285714285714286</v>
      </c>
    </row>
    <row r="13" spans="1:9" x14ac:dyDescent="0.2">
      <c r="C13" s="378" t="s">
        <v>971</v>
      </c>
      <c r="D13" s="378" t="str">
        <f>INDEX(Bales[Bale_Name],MATCH(BalePrices[[#This Row],[Bale_ID]],Bales[Bale_ID],0))</f>
        <v>Sorted clean newsprint</v>
      </c>
      <c r="E13" s="543">
        <f>AVERAGE(BalePrices[[#This Row],[Low]:[High]])</f>
        <v>50</v>
      </c>
      <c r="F13" s="543">
        <v>-20</v>
      </c>
      <c r="G13" s="543">
        <v>120</v>
      </c>
      <c r="H13" s="544">
        <f>IFERROR((BalePrices[[#This Row],[High]]-BalePrices[[#This Row],[Low]])/BalePrices[[#This Row],[Mid-Point]],"")</f>
        <v>2.8</v>
      </c>
    </row>
    <row r="14" spans="1:9" x14ac:dyDescent="0.2">
      <c r="C14" s="378" t="s">
        <v>973</v>
      </c>
      <c r="D14" s="378" t="str">
        <f>INDEX(Bales[Bale_Name],MATCH(BalePrices[[#This Row],[Bale_ID]],Bales[Bale_ID],0))</f>
        <v>Sorted residential paper and news</v>
      </c>
      <c r="E14" s="543">
        <f>AVERAGE(BalePrices[[#This Row],[Low]:[High]])</f>
        <v>32.5</v>
      </c>
      <c r="F14" s="543">
        <v>5</v>
      </c>
      <c r="G14" s="543">
        <v>60</v>
      </c>
      <c r="H14" s="544">
        <f>IFERROR((BalePrices[[#This Row],[High]]-BalePrices[[#This Row],[Low]])/BalePrices[[#This Row],[Mid-Point]],"")</f>
        <v>1.6923076923076923</v>
      </c>
    </row>
    <row r="15" spans="1:9" x14ac:dyDescent="0.2">
      <c r="C15" s="378" t="s">
        <v>975</v>
      </c>
      <c r="D15" s="378" t="str">
        <f>INDEX(Bales[Bale_Name],MATCH(BalePrices[[#This Row],[Bale_ID]],Bales[Bale_ID],0))</f>
        <v>Sorted office paper and sorted white ledger</v>
      </c>
      <c r="E15" s="543">
        <f>AVERAGE(BalePrices[[#This Row],[Low]:[High]])</f>
        <v>150</v>
      </c>
      <c r="F15" s="543">
        <v>100</v>
      </c>
      <c r="G15" s="543">
        <v>200</v>
      </c>
      <c r="H15" s="544">
        <f>IFERROR((BalePrices[[#This Row],[High]]-BalePrices[[#This Row],[Low]])/BalePrices[[#This Row],[Mid-Point]],"")</f>
        <v>0.66666666666666663</v>
      </c>
      <c r="I15" s="214"/>
    </row>
    <row r="16" spans="1:9" x14ac:dyDescent="0.2">
      <c r="C16" s="378" t="s">
        <v>977</v>
      </c>
      <c r="D16" s="378" t="str">
        <f>INDEX(Bales[Bale_Name],MATCH(BalePrices[[#This Row],[Bale_ID]],Bales[Bale_ID],0))</f>
        <v>Mixed paper</v>
      </c>
      <c r="E16" s="543">
        <f>AVERAGE(BalePrices[[#This Row],[Low]:[High]])</f>
        <v>50</v>
      </c>
      <c r="F16" s="543">
        <v>-20</v>
      </c>
      <c r="G16" s="543">
        <v>120</v>
      </c>
      <c r="H16" s="544">
        <f>IFERROR((BalePrices[[#This Row],[High]]-BalePrices[[#This Row],[Low]])/BalePrices[[#This Row],[Mid-Point]],"")</f>
        <v>2.8</v>
      </c>
      <c r="I16" s="191"/>
    </row>
    <row r="17" spans="3:8" x14ac:dyDescent="0.2">
      <c r="C17" s="378" t="s">
        <v>978</v>
      </c>
      <c r="D17" s="378" t="str">
        <f>INDEX(Bales[Bale_Name],MATCH(BalePrices[[#This Row],[Bale_ID]],Bales[Bale_ID],0))</f>
        <v>Paperboard/old boxboard</v>
      </c>
      <c r="E17" s="543">
        <f>AVERAGE(BalePrices[[#This Row],[Low]:[High]])</f>
        <v>40</v>
      </c>
      <c r="F17" s="543">
        <f>SUMIFS(BalePrices[Low],BalePrices[Bale_ID],"1000-05")</f>
        <v>-20</v>
      </c>
      <c r="G17" s="543">
        <v>100</v>
      </c>
      <c r="H17" s="544">
        <f>IFERROR((BalePrices[[#This Row],[High]]-BalePrices[[#This Row],[Low]])/BalePrices[[#This Row],[Mid-Point]],"")</f>
        <v>3</v>
      </c>
    </row>
    <row r="18" spans="3:8" x14ac:dyDescent="0.2">
      <c r="C18" s="378" t="s">
        <v>979</v>
      </c>
      <c r="D18" s="378" t="str">
        <f>INDEX(Bales[Bale_Name],MATCH(BalePrices[[#This Row],[Bale_ID]],Bales[Bale_ID],0))</f>
        <v>Aseptic and gable-top cartons</v>
      </c>
      <c r="E18" s="543">
        <f>AVERAGE(BalePrices[[#This Row],[Low]:[High]])</f>
        <v>67.5</v>
      </c>
      <c r="F18" s="543">
        <f>0.6*SUMIFS(BalePrices[Low],BalePrices[Bale_ID],"1000-01")</f>
        <v>15</v>
      </c>
      <c r="G18" s="543">
        <f>0.8*SUMIFS(BalePrices[High],BalePrices[Bale_ID],"1000-01")</f>
        <v>120</v>
      </c>
      <c r="H18" s="544">
        <f>IFERROR((BalePrices[[#This Row],[High]]-BalePrices[[#This Row],[Low]])/BalePrices[[#This Row],[Mid-Point]],"")</f>
        <v>1.5555555555555556</v>
      </c>
    </row>
    <row r="19" spans="3:8" x14ac:dyDescent="0.2">
      <c r="C19" s="378" t="s">
        <v>981</v>
      </c>
      <c r="D19" s="378" t="str">
        <f>INDEX(Bales[Bale_Name],MATCH(BalePrices[[#This Row],[Bale_ID]],Bales[Bale_ID],0))</f>
        <v>Polycoated cups and containers</v>
      </c>
      <c r="E19" s="543">
        <f>AVERAGE(BalePrices[[#This Row],[Low]:[High]])</f>
        <v>0</v>
      </c>
      <c r="F19" s="543">
        <v>0</v>
      </c>
      <c r="G19" s="543">
        <v>0</v>
      </c>
      <c r="H19" s="544" t="str">
        <f>IFERROR((BalePrices[[#This Row],[High]]-BalePrices[[#This Row],[Low]])/BalePrices[[#This Row],[Mid-Point]],"")</f>
        <v/>
      </c>
    </row>
    <row r="20" spans="3:8" x14ac:dyDescent="0.2">
      <c r="C20" s="378" t="s">
        <v>982</v>
      </c>
      <c r="D20" s="378" t="str">
        <f>INDEX(Bales[Bale_Name],MATCH(BalePrices[[#This Row],[Bale_ID]],Bales[Bale_ID],0))</f>
        <v>PET #1 bottles and jars </v>
      </c>
      <c r="E20" s="543">
        <f>AVERAGE(BalePrices[[#This Row],[Low]:[High]])</f>
        <v>245</v>
      </c>
      <c r="F20" s="543">
        <v>190</v>
      </c>
      <c r="G20" s="543">
        <v>300</v>
      </c>
      <c r="H20" s="544">
        <f>IFERROR((BalePrices[[#This Row],[High]]-BalePrices[[#This Row],[Low]])/BalePrices[[#This Row],[Mid-Point]],"")</f>
        <v>0.44897959183673469</v>
      </c>
    </row>
    <row r="21" spans="3:8" x14ac:dyDescent="0.2">
      <c r="C21" s="378" t="s">
        <v>984</v>
      </c>
      <c r="D21" s="378" t="str">
        <f>INDEX(Bales[Bale_Name],MATCH(BalePrices[[#This Row],[Bale_ID]],Bales[Bale_ID],0))</f>
        <v>PET #1 thermoforms and tubs</v>
      </c>
      <c r="E21" s="543">
        <f>AVERAGE(BalePrices[[#This Row],[Low]:[High]])</f>
        <v>135</v>
      </c>
      <c r="F21" s="543">
        <v>90</v>
      </c>
      <c r="G21" s="543">
        <v>180</v>
      </c>
      <c r="H21" s="544">
        <f>IFERROR((BalePrices[[#This Row],[High]]-BalePrices[[#This Row],[Low]])/BalePrices[[#This Row],[Mid-Point]],"")</f>
        <v>0.66666666666666663</v>
      </c>
    </row>
    <row r="22" spans="3:8" x14ac:dyDescent="0.2">
      <c r="C22" s="378" t="s">
        <v>986</v>
      </c>
      <c r="D22" s="378" t="str">
        <f>INDEX(Bales[Bale_Name],MATCH(BalePrices[[#This Row],[Bale_ID]],Bales[Bale_ID],0))</f>
        <v>HDPE #2 natural bottles </v>
      </c>
      <c r="E22" s="543">
        <f>AVERAGE(BalePrices[[#This Row],[Low]:[High]])</f>
        <v>720</v>
      </c>
      <c r="F22" s="543">
        <v>400</v>
      </c>
      <c r="G22" s="543">
        <v>1040</v>
      </c>
      <c r="H22" s="544">
        <f>IFERROR((BalePrices[[#This Row],[High]]-BalePrices[[#This Row],[Low]])/BalePrices[[#This Row],[Mid-Point]],"")</f>
        <v>0.88888888888888884</v>
      </c>
    </row>
    <row r="23" spans="3:8" x14ac:dyDescent="0.2">
      <c r="C23" s="378" t="s">
        <v>988</v>
      </c>
      <c r="D23" s="378" t="str">
        <f>INDEX(Bales[Bale_Name],MATCH(BalePrices[[#This Row],[Bale_ID]],Bales[Bale_ID],0))</f>
        <v>HDPE #2 colored bottles </v>
      </c>
      <c r="E23" s="543">
        <f>AVERAGE(BalePrices[[#This Row],[Low]:[High]])</f>
        <v>215</v>
      </c>
      <c r="F23" s="543">
        <v>80</v>
      </c>
      <c r="G23" s="543">
        <v>350</v>
      </c>
      <c r="H23" s="544">
        <f>IFERROR((BalePrices[[#This Row],[High]]-BalePrices[[#This Row],[Low]])/BalePrices[[#This Row],[Mid-Point]],"")</f>
        <v>1.2558139534883721</v>
      </c>
    </row>
    <row r="24" spans="3:8" x14ac:dyDescent="0.2">
      <c r="C24" s="378" t="s">
        <v>990</v>
      </c>
      <c r="D24" s="378" t="str">
        <f>INDEX(Bales[Bale_Name],MATCH(BalePrices[[#This Row],[Bale_ID]],Bales[Bale_ID],0))</f>
        <v>HDPE #2 and PP #5 tubs </v>
      </c>
      <c r="E24" s="543">
        <f>AVERAGE(BalePrices[[#This Row],[Low]:[High]])</f>
        <v>125</v>
      </c>
      <c r="F24" s="543">
        <v>50</v>
      </c>
      <c r="G24" s="543">
        <v>200</v>
      </c>
      <c r="H24" s="544">
        <f>IFERROR((BalePrices[[#This Row],[High]]-BalePrices[[#This Row],[Low]])/BalePrices[[#This Row],[Mid-Point]],"")</f>
        <v>1.2</v>
      </c>
    </row>
    <row r="25" spans="3:8" x14ac:dyDescent="0.2">
      <c r="C25" s="378" t="s">
        <v>992</v>
      </c>
      <c r="D25" s="378" t="str">
        <f>INDEX(Bales[Bale_Name],MATCH(BalePrices[[#This Row],[Bale_ID]],Bales[Bale_ID],0))</f>
        <v>HDPE #2 injection bulky rigid plastic</v>
      </c>
      <c r="E25" s="543">
        <f>AVERAGE(BalePrices[[#This Row],[Low]:[High]])</f>
        <v>140</v>
      </c>
      <c r="F25" s="543">
        <v>70</v>
      </c>
      <c r="G25" s="543">
        <v>210</v>
      </c>
      <c r="H25" s="544">
        <f>IFERROR((BalePrices[[#This Row],[High]]-BalePrices[[#This Row],[Low]])/BalePrices[[#This Row],[Mid-Point]],"")</f>
        <v>1</v>
      </c>
    </row>
    <row r="26" spans="3:8" x14ac:dyDescent="0.2">
      <c r="C26" s="378" t="s">
        <v>994</v>
      </c>
      <c r="D26" s="378" t="str">
        <f>INDEX(Bales[Bale_Name],MATCH(BalePrices[[#This Row],[Bale_ID]],Bales[Bale_ID],0))</f>
        <v>PE clear film</v>
      </c>
      <c r="E26" s="543">
        <f>AVERAGE(BalePrices[[#This Row],[Low]:[High]])</f>
        <v>175</v>
      </c>
      <c r="F26" s="543">
        <v>100</v>
      </c>
      <c r="G26" s="543">
        <v>250</v>
      </c>
      <c r="H26" s="544">
        <f>IFERROR((BalePrices[[#This Row],[High]]-BalePrices[[#This Row],[Low]])/BalePrices[[#This Row],[Mid-Point]],"")</f>
        <v>0.8571428571428571</v>
      </c>
    </row>
    <row r="27" spans="3:8" x14ac:dyDescent="0.2">
      <c r="C27" s="378" t="s">
        <v>996</v>
      </c>
      <c r="D27" s="378" t="str">
        <f>INDEX(Bales[Bale_Name],MATCH(BalePrices[[#This Row],[Bale_ID]],Bales[Bale_ID],0))</f>
        <v>PE colored film</v>
      </c>
      <c r="E27" s="543">
        <f>AVERAGE(BalePrices[[#This Row],[Low]:[High]])</f>
        <v>25</v>
      </c>
      <c r="F27" s="543">
        <v>10</v>
      </c>
      <c r="G27" s="543">
        <v>40</v>
      </c>
      <c r="H27" s="544">
        <f>IFERROR((BalePrices[[#This Row],[High]]-BalePrices[[#This Row],[Low]])/BalePrices[[#This Row],[Mid-Point]],"")</f>
        <v>1.2</v>
      </c>
    </row>
    <row r="28" spans="3:8" x14ac:dyDescent="0.2">
      <c r="C28" s="378" t="s">
        <v>998</v>
      </c>
      <c r="D28" s="378" t="str">
        <f>INDEX(Bales[Bale_Name],MATCH(BalePrices[[#This Row],[Bale_ID]],Bales[Bale_ID],0))</f>
        <v>PE retail mix film</v>
      </c>
      <c r="E28" s="543">
        <f>AVERAGE(BalePrices[[#This Row],[Low]:[High]])</f>
        <v>25</v>
      </c>
      <c r="F28" s="543">
        <v>10</v>
      </c>
      <c r="G28" s="543">
        <v>40</v>
      </c>
      <c r="H28" s="544">
        <f>IFERROR((BalePrices[[#This Row],[High]]-BalePrices[[#This Row],[Low]])/BalePrices[[#This Row],[Mid-Point]],"")</f>
        <v>1.2</v>
      </c>
    </row>
    <row r="29" spans="3:8" x14ac:dyDescent="0.2">
      <c r="C29" s="378" t="s">
        <v>1000</v>
      </c>
      <c r="D29" s="378" t="str">
        <f>INDEX(Bales[Bale_Name],MATCH(BalePrices[[#This Row],[Bale_ID]],Bales[Bale_ID],0))</f>
        <v>Mixed bulky rigid plastics (mainly PE and PP) </v>
      </c>
      <c r="E29" s="543">
        <f>AVERAGE(BalePrices[[#This Row],[Low]:[High]])</f>
        <v>100</v>
      </c>
      <c r="F29" s="543">
        <v>50</v>
      </c>
      <c r="G29" s="543">
        <v>150</v>
      </c>
      <c r="H29" s="544">
        <f>IFERROR((BalePrices[[#This Row],[High]]-BalePrices[[#This Row],[Low]])/BalePrices[[#This Row],[Mid-Point]],"")</f>
        <v>1</v>
      </c>
    </row>
    <row r="30" spans="3:8" x14ac:dyDescent="0.2">
      <c r="C30" s="378" t="s">
        <v>1002</v>
      </c>
      <c r="D30" s="378" t="str">
        <f>INDEX(Bales[Bale_Name],MATCH(BalePrices[[#This Row],[Bale_ID]],Bales[Bale_ID],0))</f>
        <v>PP #5 bottles and jars</v>
      </c>
      <c r="E30" s="543">
        <f>AVERAGE(BalePrices[[#This Row],[Low]:[High]])</f>
        <v>212.5</v>
      </c>
      <c r="F30" s="543">
        <v>175</v>
      </c>
      <c r="G30" s="543">
        <v>250</v>
      </c>
      <c r="H30" s="544">
        <f>IFERROR((BalePrices[[#This Row],[High]]-BalePrices[[#This Row],[Low]])/BalePrices[[#This Row],[Mid-Point]],"")</f>
        <v>0.35294117647058826</v>
      </c>
    </row>
    <row r="31" spans="3:8" x14ac:dyDescent="0.2">
      <c r="C31" s="378" t="s">
        <v>1004</v>
      </c>
      <c r="D31" s="378" t="str">
        <f>INDEX(Bales[Bale_Name],MATCH(BalePrices[[#This Row],[Bale_ID]],Bales[Bale_ID],0))</f>
        <v>PP #5 injection bulky rigid plastic</v>
      </c>
      <c r="E31" s="543">
        <f>AVERAGE(BalePrices[[#This Row],[Low]:[High]])</f>
        <v>212.5</v>
      </c>
      <c r="F31" s="543">
        <v>175</v>
      </c>
      <c r="G31" s="543">
        <v>250</v>
      </c>
      <c r="H31" s="544">
        <f>IFERROR((BalePrices[[#This Row],[High]]-BalePrices[[#This Row],[Low]])/BalePrices[[#This Row],[Mid-Point]],"")</f>
        <v>0.35294117647058826</v>
      </c>
    </row>
    <row r="32" spans="3:8" x14ac:dyDescent="0.2">
      <c r="C32" s="378" t="s">
        <v>1006</v>
      </c>
      <c r="D32" s="378" t="str">
        <f>INDEX(Bales[Bale_Name],MATCH(BalePrices[[#This Row],[Bale_ID]],Bales[Bale_ID],0))</f>
        <v>PP #5 small rigid plastic</v>
      </c>
      <c r="E32" s="543">
        <f>AVERAGE(BalePrices[[#This Row],[Low]:[High]])</f>
        <v>150</v>
      </c>
      <c r="F32" s="543">
        <v>50</v>
      </c>
      <c r="G32" s="543">
        <v>250</v>
      </c>
      <c r="H32" s="544">
        <f>IFERROR((BalePrices[[#This Row],[High]]-BalePrices[[#This Row],[Low]])/BalePrices[[#This Row],[Mid-Point]],"")</f>
        <v>1.3333333333333333</v>
      </c>
    </row>
    <row r="33" spans="3:8" x14ac:dyDescent="0.2">
      <c r="C33" s="378" t="s">
        <v>1008</v>
      </c>
      <c r="D33" s="378" t="str">
        <f>INDEX(Bales[Bale_Name],MATCH(BalePrices[[#This Row],[Bale_ID]],Bales[Bale_ID],0))</f>
        <v>Solid PS #6 (rigid) </v>
      </c>
      <c r="E33" s="543">
        <f>AVERAGE(BalePrices[[#This Row],[Low]:[High]])</f>
        <v>125</v>
      </c>
      <c r="F33" s="543">
        <v>50</v>
      </c>
      <c r="G33" s="543">
        <v>200</v>
      </c>
      <c r="H33" s="544">
        <f>IFERROR((BalePrices[[#This Row],[High]]-BalePrices[[#This Row],[Low]])/BalePrices[[#This Row],[Mid-Point]],"")</f>
        <v>1.2</v>
      </c>
    </row>
    <row r="34" spans="3:8" x14ac:dyDescent="0.2">
      <c r="C34" s="378" t="s">
        <v>1010</v>
      </c>
      <c r="D34" s="378" t="str">
        <f>INDEX(Bales[Bale_Name],MATCH(BalePrices[[#This Row],[Bale_ID]],Bales[Bale_ID],0))</f>
        <v>Foam PS #6 (transport block and shape, densified)</v>
      </c>
      <c r="E34" s="543">
        <f>AVERAGE(BalePrices[[#This Row],[Low]:[High]])</f>
        <v>250</v>
      </c>
      <c r="F34" s="543">
        <v>100</v>
      </c>
      <c r="G34" s="543">
        <v>400</v>
      </c>
      <c r="H34" s="544">
        <f>IFERROR((BalePrices[[#This Row],[High]]-BalePrices[[#This Row],[Low]])/BalePrices[[#This Row],[Mid-Point]],"")</f>
        <v>1.2</v>
      </c>
    </row>
    <row r="35" spans="3:8" x14ac:dyDescent="0.2">
      <c r="C35" s="378" t="s">
        <v>1012</v>
      </c>
      <c r="D35" s="378" t="str">
        <f>INDEX(Bales[Bale_Name],MATCH(BalePrices[[#This Row],[Bale_ID]],Bales[Bale_ID],0))</f>
        <v>Densified MRF Grade Foam PS #6 (food service and packaging) </v>
      </c>
      <c r="E35" s="543">
        <f>AVERAGE(BalePrices[[#This Row],[Low]:[High]])</f>
        <v>75</v>
      </c>
      <c r="F35" s="543">
        <v>25</v>
      </c>
      <c r="G35" s="543">
        <v>125</v>
      </c>
      <c r="H35" s="544">
        <f>IFERROR((BalePrices[[#This Row],[High]]-BalePrices[[#This Row],[Low]])/BalePrices[[#This Row],[Mid-Point]],"")</f>
        <v>1.3333333333333333</v>
      </c>
    </row>
    <row r="36" spans="3:8" x14ac:dyDescent="0.2">
      <c r="C36" s="378" t="s">
        <v>1014</v>
      </c>
      <c r="D36" s="378" t="str">
        <f>INDEX(Bales[Bale_Name],MATCH(BalePrices[[#This Row],[Bale_ID]],Bales[Bale_ID],0))</f>
        <v>#3-7 bottles and small rigid plastics </v>
      </c>
      <c r="E36" s="543">
        <f>AVERAGE(BalePrices[[#This Row],[Low]:[High]])</f>
        <v>0</v>
      </c>
      <c r="F36" s="543">
        <v>-30</v>
      </c>
      <c r="G36" s="543">
        <v>30</v>
      </c>
      <c r="H36" s="544" t="str">
        <f>IFERROR((BalePrices[[#This Row],[High]]-BalePrices[[#This Row],[Low]])/BalePrices[[#This Row],[Mid-Point]],"")</f>
        <v/>
      </c>
    </row>
    <row r="37" spans="3:8" x14ac:dyDescent="0.2">
      <c r="C37" s="378" t="s">
        <v>1015</v>
      </c>
      <c r="D37" s="378" t="str">
        <f>INDEX(Bales[Bale_Name],MATCH(BalePrices[[#This Row],[Bale_ID]],Bales[Bale_ID],0))</f>
        <v>Container glass </v>
      </c>
      <c r="E37" s="543">
        <f>AVERAGE(BalePrices[[#This Row],[Low]:[High]])</f>
        <v>30</v>
      </c>
      <c r="F37" s="543">
        <v>0</v>
      </c>
      <c r="G37" s="543">
        <v>60</v>
      </c>
      <c r="H37" s="544">
        <f>IFERROR((BalePrices[[#This Row],[High]]-BalePrices[[#This Row],[Low]])/BalePrices[[#This Row],[Mid-Point]],"")</f>
        <v>2</v>
      </c>
    </row>
    <row r="38" spans="3:8" x14ac:dyDescent="0.2">
      <c r="C38" s="378" t="s">
        <v>1017</v>
      </c>
      <c r="D38" s="378" t="str">
        <f>INDEX(Bales[Bale_Name],MATCH(BalePrices[[#This Row],[Bale_ID]],Bales[Bale_ID],0))</f>
        <v>Aluminum cans and foil</v>
      </c>
      <c r="E38" s="543">
        <f>AVERAGE(BalePrices[[#This Row],[Low]:[High]])</f>
        <v>1325</v>
      </c>
      <c r="F38" s="543">
        <v>1100</v>
      </c>
      <c r="G38" s="543">
        <v>1550</v>
      </c>
      <c r="H38" s="544">
        <f>IFERROR((BalePrices[[#This Row],[High]]-BalePrices[[#This Row],[Low]])/BalePrices[[#This Row],[Mid-Point]],"")</f>
        <v>0.33962264150943394</v>
      </c>
    </row>
    <row r="39" spans="3:8" x14ac:dyDescent="0.2">
      <c r="C39" s="378" t="s">
        <v>1019</v>
      </c>
      <c r="D39" s="378" t="str">
        <f>INDEX(Bales[Bale_Name],MATCH(BalePrices[[#This Row],[Bale_ID]],Bales[Bale_ID],0))</f>
        <v>Steel cans </v>
      </c>
      <c r="E39" s="543">
        <f>AVERAGE(BalePrices[[#This Row],[Low]:[High]])</f>
        <v>150</v>
      </c>
      <c r="F39" s="543">
        <v>100</v>
      </c>
      <c r="G39" s="543">
        <v>200</v>
      </c>
      <c r="H39" s="544">
        <f>IFERROR((BalePrices[[#This Row],[High]]-BalePrices[[#This Row],[Low]])/BalePrices[[#This Row],[Mid-Point]],"")</f>
        <v>0.66666666666666663</v>
      </c>
    </row>
    <row r="40" spans="3:8" x14ac:dyDescent="0.2">
      <c r="C40" s="378" t="s">
        <v>1021</v>
      </c>
      <c r="D40" s="378" t="str">
        <f>INDEX(Bales[Bale_Name],MATCH(BalePrices[[#This Row],[Bale_ID]],Bales[Bale_ID],0))</f>
        <v>Scrap metal</v>
      </c>
      <c r="E40" s="543">
        <f>AVERAGE(BalePrices[[#This Row],[Low]:[High]])</f>
        <v>120</v>
      </c>
      <c r="F40" s="543">
        <f>0.8*SUMIFS(BalePrices[Low],BalePrices[Bale_ID],"4000-02")</f>
        <v>80</v>
      </c>
      <c r="G40" s="543">
        <f>0.8*SUMIFS(BalePrices[High],BalePrices[Bale_ID],"4000-02")</f>
        <v>160</v>
      </c>
      <c r="H40" s="544">
        <f>IFERROR((BalePrices[[#This Row],[High]]-BalePrices[[#This Row],[Low]])/BalePrices[[#This Row],[Mid-Point]],"")</f>
        <v>0.66666666666666663</v>
      </c>
    </row>
    <row r="41" spans="3:8" x14ac:dyDescent="0.2">
      <c r="C41" s="378" t="s">
        <v>1847</v>
      </c>
      <c r="D41" s="378" t="str">
        <f>INDEX(Bales[Bale_Name],MATCH(BalePrices[[#This Row],[Bale_ID]],Bales[Bale_ID],0))</f>
        <v>Containers transferred for further sorting</v>
      </c>
      <c r="E41" s="543">
        <f>AVERAGE(BalePrices[[#This Row],[Low]:[High]])</f>
        <v>55</v>
      </c>
      <c r="F41" s="543">
        <v>10</v>
      </c>
      <c r="G41" s="543">
        <v>100</v>
      </c>
      <c r="H41" s="544">
        <f>IFERROR((BalePrices[[#This Row],[High]]-BalePrices[[#This Row],[Low]])/BalePrices[[#This Row],[Mid-Point]],"")</f>
        <v>1.6363636363636365</v>
      </c>
    </row>
    <row r="42" spans="3:8" x14ac:dyDescent="0.2">
      <c r="C42" s="541"/>
      <c r="D42" s="542"/>
      <c r="E42" s="518"/>
      <c r="F42" s="518"/>
      <c r="G42" s="518"/>
    </row>
  </sheetData>
  <sheetProtection algorithmName="SHA-512" hashValue="7yOFV0PxuiKv785bWvCyjG8sOv3G7bs4k0jtu7ffF45izHWFOIn+Ze5FcJSq51QP4DbylB3a10LAXK/JdgO8Mw==" saltValue="buhtXGfZzsmhwnmjDoA2Ng==" spinCount="100000" sheet="1" objects="1" scenarios="1" autoFilter="0"/>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578DE-E96A-4651-BB94-5704296317EE}">
  <sheetPr>
    <tabColor theme="9"/>
  </sheetPr>
  <dimension ref="A1:Y680"/>
  <sheetViews>
    <sheetView workbookViewId="0">
      <selection activeCell="I29" sqref="I29"/>
    </sheetView>
  </sheetViews>
  <sheetFormatPr defaultRowHeight="14.25" x14ac:dyDescent="0.2"/>
  <cols>
    <col min="1" max="1" width="9" style="352"/>
    <col min="2" max="2" width="15.5" style="352" customWidth="1"/>
    <col min="3" max="3" width="13" style="352" customWidth="1"/>
    <col min="4" max="5" width="8" style="352" customWidth="1"/>
    <col min="6" max="6" width="29.125" style="352" customWidth="1"/>
    <col min="7" max="8" width="13" style="352" customWidth="1"/>
    <col min="9" max="9" width="8.625" style="352" customWidth="1"/>
    <col min="10" max="10" width="50.25" style="352" bestFit="1" customWidth="1"/>
    <col min="11" max="11" width="16" style="352" customWidth="1"/>
    <col min="12" max="13" width="9" style="352"/>
    <col min="14" max="14" width="19" style="352" bestFit="1" customWidth="1"/>
    <col min="15" max="16" width="11.5" style="352" customWidth="1"/>
    <col min="17" max="18" width="10.625" style="352" customWidth="1"/>
    <col min="19" max="21" width="9" style="352"/>
    <col min="22" max="22" width="12.375" style="352" customWidth="1"/>
    <col min="23" max="25" width="14.875" style="352" customWidth="1"/>
    <col min="26" max="16384" width="9" style="352"/>
  </cols>
  <sheetData>
    <row r="1" spans="1:25" ht="15" x14ac:dyDescent="0.25">
      <c r="A1" s="400" t="s">
        <v>2028</v>
      </c>
      <c r="B1" s="401"/>
      <c r="C1" s="401"/>
      <c r="D1" s="401"/>
      <c r="E1" s="401"/>
      <c r="F1" s="401"/>
      <c r="G1" s="401"/>
      <c r="H1" s="401"/>
      <c r="I1" s="401"/>
      <c r="J1" s="401"/>
      <c r="K1" s="401"/>
      <c r="L1" s="401"/>
      <c r="M1" s="401"/>
      <c r="N1" s="401"/>
      <c r="O1" s="440"/>
      <c r="P1" s="440"/>
      <c r="Q1" s="401"/>
      <c r="R1" s="401"/>
      <c r="S1" s="401"/>
      <c r="T1" s="401"/>
    </row>
    <row r="2" spans="1:25" x14ac:dyDescent="0.2">
      <c r="A2" s="441" t="s">
        <v>2029</v>
      </c>
      <c r="B2" s="401"/>
      <c r="C2" s="401"/>
      <c r="D2" s="401"/>
      <c r="E2" s="401"/>
      <c r="F2" s="401"/>
      <c r="G2" s="401"/>
      <c r="H2" s="401"/>
      <c r="I2" s="401"/>
      <c r="J2" s="401"/>
      <c r="K2" s="401"/>
      <c r="L2" s="401"/>
      <c r="M2" s="401"/>
      <c r="N2" s="401"/>
      <c r="O2" s="440"/>
      <c r="P2" s="440"/>
      <c r="Q2" s="401"/>
      <c r="R2" s="401"/>
      <c r="S2" s="401"/>
      <c r="T2" s="401"/>
    </row>
    <row r="3" spans="1:25" x14ac:dyDescent="0.2">
      <c r="A3" s="441" t="s">
        <v>2030</v>
      </c>
      <c r="B3" s="401"/>
      <c r="C3" s="401"/>
      <c r="D3" s="401"/>
      <c r="E3" s="401"/>
      <c r="F3" s="401"/>
      <c r="G3" s="401"/>
      <c r="H3" s="401"/>
      <c r="I3" s="401"/>
      <c r="J3" s="401"/>
      <c r="K3" s="401"/>
      <c r="L3" s="401"/>
      <c r="M3" s="401"/>
      <c r="N3" s="401"/>
      <c r="O3" s="440"/>
      <c r="P3" s="440"/>
      <c r="Q3" s="401"/>
      <c r="R3" s="401"/>
      <c r="S3" s="401"/>
      <c r="T3" s="401"/>
    </row>
    <row r="4" spans="1:25" x14ac:dyDescent="0.2">
      <c r="A4" s="383"/>
      <c r="O4" s="251"/>
      <c r="P4" s="251"/>
    </row>
    <row r="5" spans="1:25" x14ac:dyDescent="0.2">
      <c r="A5" s="352" t="s">
        <v>138</v>
      </c>
      <c r="B5" s="352" t="s">
        <v>2031</v>
      </c>
      <c r="O5" s="251"/>
      <c r="P5" s="251"/>
    </row>
    <row r="6" spans="1:25" x14ac:dyDescent="0.2">
      <c r="A6" s="352" t="s">
        <v>1133</v>
      </c>
      <c r="B6" s="402">
        <v>43984.837170254628</v>
      </c>
      <c r="O6" s="251"/>
      <c r="P6" s="251"/>
    </row>
    <row r="7" spans="1:25" x14ac:dyDescent="0.2">
      <c r="A7" s="352" t="s">
        <v>1134</v>
      </c>
      <c r="B7" s="352" t="s">
        <v>2032</v>
      </c>
      <c r="O7" s="251"/>
      <c r="P7" s="251"/>
    </row>
    <row r="8" spans="1:25" x14ac:dyDescent="0.2">
      <c r="A8" s="383"/>
      <c r="O8" s="251"/>
      <c r="P8" s="251"/>
    </row>
    <row r="9" spans="1:25" x14ac:dyDescent="0.2">
      <c r="A9" s="383"/>
      <c r="O9" s="251"/>
      <c r="P9" s="251"/>
    </row>
    <row r="10" spans="1:25" x14ac:dyDescent="0.2">
      <c r="A10" s="383"/>
      <c r="O10" s="251"/>
      <c r="P10" s="251"/>
    </row>
    <row r="11" spans="1:25" ht="15" x14ac:dyDescent="0.25">
      <c r="A11" s="383"/>
      <c r="O11" s="251"/>
      <c r="P11" s="381" t="s">
        <v>2033</v>
      </c>
    </row>
    <row r="12" spans="1:25" ht="15" x14ac:dyDescent="0.25">
      <c r="O12" s="251"/>
      <c r="P12" s="381" t="s">
        <v>2034</v>
      </c>
    </row>
    <row r="13" spans="1:25" ht="15" x14ac:dyDescent="0.25">
      <c r="B13" s="352" t="s">
        <v>877</v>
      </c>
      <c r="C13" s="352" t="s">
        <v>869</v>
      </c>
      <c r="D13" s="352" t="s">
        <v>2035</v>
      </c>
      <c r="E13" s="352" t="s">
        <v>2036</v>
      </c>
      <c r="F13" s="352" t="s">
        <v>868</v>
      </c>
      <c r="G13" s="352" t="s">
        <v>2037</v>
      </c>
      <c r="H13" s="352" t="s">
        <v>1177</v>
      </c>
      <c r="I13" s="352" t="s">
        <v>694</v>
      </c>
      <c r="J13" s="352" t="s">
        <v>695</v>
      </c>
      <c r="K13" s="352" t="s">
        <v>2038</v>
      </c>
      <c r="L13" s="352" t="s">
        <v>2039</v>
      </c>
      <c r="M13" s="381" t="s">
        <v>2040</v>
      </c>
      <c r="N13" s="352" t="s">
        <v>2041</v>
      </c>
      <c r="O13" s="352" t="s">
        <v>1178</v>
      </c>
      <c r="P13" s="352" t="s">
        <v>1027</v>
      </c>
      <c r="Q13" s="352" t="s">
        <v>2042</v>
      </c>
      <c r="R13" s="352" t="s">
        <v>2043</v>
      </c>
      <c r="S13" s="352" t="s">
        <v>2044</v>
      </c>
      <c r="T13" s="352" t="s">
        <v>2045</v>
      </c>
      <c r="U13" s="381" t="s">
        <v>2046</v>
      </c>
      <c r="V13" s="352" t="s">
        <v>1179</v>
      </c>
      <c r="W13" s="352" t="s">
        <v>3601</v>
      </c>
      <c r="X13" s="352" t="s">
        <v>3602</v>
      </c>
      <c r="Y13" s="352" t="s">
        <v>3603</v>
      </c>
    </row>
    <row r="14" spans="1:25" x14ac:dyDescent="0.2">
      <c r="B14" s="545" t="s">
        <v>876</v>
      </c>
      <c r="C14" s="499" t="s">
        <v>706</v>
      </c>
      <c r="D14" s="499"/>
      <c r="E14" s="499"/>
      <c r="F14" s="499" t="s">
        <v>1992</v>
      </c>
      <c r="G14" s="499" t="s">
        <v>2047</v>
      </c>
      <c r="H14" s="499" t="s">
        <v>1180</v>
      </c>
      <c r="I14" s="499" t="s">
        <v>969</v>
      </c>
      <c r="J14" s="499" t="s">
        <v>970</v>
      </c>
      <c r="K14" s="499" t="s">
        <v>2048</v>
      </c>
      <c r="L14" s="499">
        <v>6</v>
      </c>
      <c r="M14" s="499" t="s">
        <v>2049</v>
      </c>
      <c r="N14" s="499" t="s">
        <v>2050</v>
      </c>
      <c r="O14" s="525">
        <v>48570.065823907287</v>
      </c>
      <c r="P14" s="499">
        <v>65</v>
      </c>
      <c r="Q14" s="499"/>
      <c r="R14" s="499"/>
      <c r="S14" s="525"/>
      <c r="T14" s="525">
        <v>0</v>
      </c>
      <c r="U14" s="525">
        <v>1</v>
      </c>
      <c r="V14" s="525">
        <v>3157054.2785539739</v>
      </c>
      <c r="W14" s="589">
        <f>IF(AND(BaleMover[[#This Row],[Scenario_ID]]="S3",BaleMover[[#This Row],[MRF_ID]]="05"),0,IFERROR(BaleMover[[#This Row],[Total_Baled_tons]]*(IF(BaleMover[[#This Row],[Scenario_ID]]="S0",-2,0)+INDEX(BalePrices[Low],MATCH(BaleMover[[#This Row],[Bale_ID]],BalePrices[Bale_ID],0))),0))</f>
        <v>1117111.5139498676</v>
      </c>
      <c r="X14" s="589">
        <f>IF(AND(BaleMover[[#This Row],[Scenario_ID]]="S3",BaleMover[[#This Row],[MRF_ID]]="05"),0,IFERROR(BaleMover[[#This Row],[Total_Baled_tons]]*(IF(BaleMover[[#This Row],[Scenario_ID]]="S0",-2,0)+INDEX(BalePrices[Mid-Point],MATCH(BaleMover[[#This Row],[Bale_ID]],BalePrices[Bale_ID],0))),0))</f>
        <v>4152740.6279440732</v>
      </c>
      <c r="Y14" s="589">
        <f>IF(AND(BaleMover[[#This Row],[Scenario_ID]]="S3",BaleMover[[#This Row],[MRF_ID]]="05"),0,IFERROR(BaleMover[[#This Row],[Total_Baled_tons]]*(IF(BaleMover[[#This Row],[Scenario_ID]]="S0",-2,0)+INDEX(BalePrices[High],MATCH(BaleMover[[#This Row],[Bale_ID]],BalePrices[Bale_ID],0))),0))</f>
        <v>7188369.7419382781</v>
      </c>
    </row>
    <row r="15" spans="1:25" x14ac:dyDescent="0.2">
      <c r="B15" s="545" t="s">
        <v>875</v>
      </c>
      <c r="C15" s="499" t="s">
        <v>706</v>
      </c>
      <c r="D15" s="499"/>
      <c r="E15" s="499"/>
      <c r="F15" s="499" t="s">
        <v>1992</v>
      </c>
      <c r="G15" s="499" t="s">
        <v>2051</v>
      </c>
      <c r="H15" s="499" t="s">
        <v>1181</v>
      </c>
      <c r="I15" s="499" t="s">
        <v>969</v>
      </c>
      <c r="J15" s="499" t="s">
        <v>970</v>
      </c>
      <c r="K15" s="499" t="s">
        <v>2048</v>
      </c>
      <c r="L15" s="499">
        <v>6</v>
      </c>
      <c r="M15" s="499" t="s">
        <v>2049</v>
      </c>
      <c r="N15" s="499" t="s">
        <v>2050</v>
      </c>
      <c r="O15" s="525">
        <v>54956.757561472688</v>
      </c>
      <c r="P15" s="499">
        <v>65</v>
      </c>
      <c r="Q15" s="499"/>
      <c r="R15" s="499"/>
      <c r="S15" s="525"/>
      <c r="T15" s="525">
        <v>0</v>
      </c>
      <c r="U15" s="525">
        <v>1</v>
      </c>
      <c r="V15" s="525">
        <v>3572189.2414957248</v>
      </c>
      <c r="W15" s="589">
        <f>IF(AND(BaleMover[[#This Row],[Scenario_ID]]="S3",BaleMover[[#This Row],[MRF_ID]]="05"),0,IFERROR(BaleMover[[#This Row],[Total_Baled_tons]]*(IF(BaleMover[[#This Row],[Scenario_ID]]="S0",-2,0)+INDEX(BalePrices[Low],MATCH(BaleMover[[#This Row],[Bale_ID]],BalePrices[Bale_ID],0))),0))</f>
        <v>1373918.9390368173</v>
      </c>
      <c r="X15" s="397">
        <f>IF(AND(BaleMover[[#This Row],[Scenario_ID]]="S3",BaleMover[[#This Row],[MRF_ID]]="05"),0,IFERROR(BaleMover[[#This Row],[Total_Baled_tons]]*(IF(BaleMover[[#This Row],[Scenario_ID]]="S0",-2,0)+INDEX(BalePrices[Mid-Point],MATCH(BaleMover[[#This Row],[Bale_ID]],BalePrices[Bale_ID],0))),0))</f>
        <v>4808716.28662886</v>
      </c>
      <c r="Y15" s="397">
        <f>IF(AND(BaleMover[[#This Row],[Scenario_ID]]="S3",BaleMover[[#This Row],[MRF_ID]]="05"),0,IFERROR(BaleMover[[#This Row],[Total_Baled_tons]]*(IF(BaleMover[[#This Row],[Scenario_ID]]="S0",-2,0)+INDEX(BalePrices[High],MATCH(BaleMover[[#This Row],[Bale_ID]],BalePrices[Bale_ID],0))),0))</f>
        <v>8243513.6342209028</v>
      </c>
    </row>
    <row r="16" spans="1:25" x14ac:dyDescent="0.2">
      <c r="B16" s="545" t="s">
        <v>874</v>
      </c>
      <c r="C16" s="499" t="s">
        <v>706</v>
      </c>
      <c r="D16" s="499"/>
      <c r="E16" s="499"/>
      <c r="F16" s="499" t="s">
        <v>1992</v>
      </c>
      <c r="G16" s="499" t="s">
        <v>2052</v>
      </c>
      <c r="H16" s="499" t="s">
        <v>1182</v>
      </c>
      <c r="I16" s="499" t="s">
        <v>969</v>
      </c>
      <c r="J16" s="499" t="s">
        <v>970</v>
      </c>
      <c r="K16" s="499" t="s">
        <v>2048</v>
      </c>
      <c r="L16" s="499">
        <v>6</v>
      </c>
      <c r="M16" s="499" t="s">
        <v>2049</v>
      </c>
      <c r="N16" s="499" t="s">
        <v>2050</v>
      </c>
      <c r="O16" s="525">
        <v>55905.934419657031</v>
      </c>
      <c r="P16" s="499">
        <v>65</v>
      </c>
      <c r="Q16" s="499"/>
      <c r="R16" s="499"/>
      <c r="S16" s="525"/>
      <c r="T16" s="525">
        <v>0</v>
      </c>
      <c r="U16" s="525">
        <v>1</v>
      </c>
      <c r="V16" s="525">
        <v>3633885.7372777071</v>
      </c>
      <c r="W16" s="589">
        <f>IF(AND(BaleMover[[#This Row],[Scenario_ID]]="S3",BaleMover[[#This Row],[MRF_ID]]="05"),0,IFERROR(BaleMover[[#This Row],[Total_Baled_tons]]*(IF(BaleMover[[#This Row],[Scenario_ID]]="S0",-2,0)+INDEX(BalePrices[Low],MATCH(BaleMover[[#This Row],[Bale_ID]],BalePrices[Bale_ID],0))),0))</f>
        <v>1397648.3604914257</v>
      </c>
      <c r="X16" s="397">
        <f>IF(AND(BaleMover[[#This Row],[Scenario_ID]]="S3",BaleMover[[#This Row],[MRF_ID]]="05"),0,IFERROR(BaleMover[[#This Row],[Total_Baled_tons]]*(IF(BaleMover[[#This Row],[Scenario_ID]]="S0",-2,0)+INDEX(BalePrices[Mid-Point],MATCH(BaleMover[[#This Row],[Bale_ID]],BalePrices[Bale_ID],0))),0))</f>
        <v>4891769.2617199905</v>
      </c>
      <c r="Y16" s="397">
        <f>IF(AND(BaleMover[[#This Row],[Scenario_ID]]="S3",BaleMover[[#This Row],[MRF_ID]]="05"),0,IFERROR(BaleMover[[#This Row],[Total_Baled_tons]]*(IF(BaleMover[[#This Row],[Scenario_ID]]="S0",-2,0)+INDEX(BalePrices[High],MATCH(BaleMover[[#This Row],[Bale_ID]],BalePrices[Bale_ID],0))),0))</f>
        <v>8385890.1629485544</v>
      </c>
    </row>
    <row r="17" spans="2:25" x14ac:dyDescent="0.2">
      <c r="B17" s="545" t="s">
        <v>873</v>
      </c>
      <c r="C17" s="499" t="s">
        <v>706</v>
      </c>
      <c r="D17" s="499"/>
      <c r="E17" s="499"/>
      <c r="F17" s="499" t="s">
        <v>1992</v>
      </c>
      <c r="G17" s="499" t="s">
        <v>2053</v>
      </c>
      <c r="H17" s="499" t="s">
        <v>1183</v>
      </c>
      <c r="I17" s="499" t="s">
        <v>969</v>
      </c>
      <c r="J17" s="499" t="s">
        <v>970</v>
      </c>
      <c r="K17" s="499" t="s">
        <v>2048</v>
      </c>
      <c r="L17" s="499">
        <v>6</v>
      </c>
      <c r="M17" s="499" t="s">
        <v>2049</v>
      </c>
      <c r="N17" s="499" t="s">
        <v>2050</v>
      </c>
      <c r="O17" s="525">
        <v>55870.9095390531</v>
      </c>
      <c r="P17" s="499">
        <v>65</v>
      </c>
      <c r="Q17" s="499"/>
      <c r="R17" s="499"/>
      <c r="S17" s="525"/>
      <c r="T17" s="525">
        <v>0</v>
      </c>
      <c r="U17" s="525">
        <v>1</v>
      </c>
      <c r="V17" s="525">
        <v>3631609.1200384516</v>
      </c>
      <c r="W17" s="589">
        <f>IF(AND(BaleMover[[#This Row],[Scenario_ID]]="S3",BaleMover[[#This Row],[MRF_ID]]="05"),0,IFERROR(BaleMover[[#This Row],[Total_Baled_tons]]*(IF(BaleMover[[#This Row],[Scenario_ID]]="S0",-2,0)+INDEX(BalePrices[Low],MATCH(BaleMover[[#This Row],[Bale_ID]],BalePrices[Bale_ID],0))),0))</f>
        <v>1396772.7384763276</v>
      </c>
      <c r="X17" s="397">
        <f>IF(AND(BaleMover[[#This Row],[Scenario_ID]]="S3",BaleMover[[#This Row],[MRF_ID]]="05"),0,IFERROR(BaleMover[[#This Row],[Total_Baled_tons]]*(IF(BaleMover[[#This Row],[Scenario_ID]]="S0",-2,0)+INDEX(BalePrices[Mid-Point],MATCH(BaleMover[[#This Row],[Bale_ID]],BalePrices[Bale_ID],0))),0))</f>
        <v>4888704.5846671462</v>
      </c>
      <c r="Y17" s="397">
        <f>IF(AND(BaleMover[[#This Row],[Scenario_ID]]="S3",BaleMover[[#This Row],[MRF_ID]]="05"),0,IFERROR(BaleMover[[#This Row],[Total_Baled_tons]]*(IF(BaleMover[[#This Row],[Scenario_ID]]="S0",-2,0)+INDEX(BalePrices[High],MATCH(BaleMover[[#This Row],[Bale_ID]],BalePrices[Bale_ID],0))),0))</f>
        <v>8380636.4308579648</v>
      </c>
    </row>
    <row r="18" spans="2:25" x14ac:dyDescent="0.2">
      <c r="B18" s="545" t="s">
        <v>876</v>
      </c>
      <c r="C18" s="499" t="s">
        <v>706</v>
      </c>
      <c r="D18" s="499"/>
      <c r="E18" s="499"/>
      <c r="F18" s="499" t="s">
        <v>1992</v>
      </c>
      <c r="G18" s="499" t="s">
        <v>2047</v>
      </c>
      <c r="H18" s="499" t="s">
        <v>1184</v>
      </c>
      <c r="I18" s="499" t="s">
        <v>971</v>
      </c>
      <c r="J18" s="499" t="s">
        <v>972</v>
      </c>
      <c r="K18" s="499" t="s">
        <v>2048</v>
      </c>
      <c r="L18" s="499">
        <v>6</v>
      </c>
      <c r="M18" s="499" t="s">
        <v>2049</v>
      </c>
      <c r="N18" s="499" t="s">
        <v>2050</v>
      </c>
      <c r="O18" s="525">
        <v>0</v>
      </c>
      <c r="P18" s="499" t="s">
        <v>2054</v>
      </c>
      <c r="Q18" s="499"/>
      <c r="R18" s="499"/>
      <c r="S18" s="525"/>
      <c r="T18" s="525">
        <v>0</v>
      </c>
      <c r="U18" s="525">
        <v>1</v>
      </c>
      <c r="V18" s="525" t="s">
        <v>2054</v>
      </c>
      <c r="W18" s="589">
        <f>IF(AND(BaleMover[[#This Row],[Scenario_ID]]="S3",BaleMover[[#This Row],[MRF_ID]]="05"),0,IFERROR(BaleMover[[#This Row],[Total_Baled_tons]]*(IF(BaleMover[[#This Row],[Scenario_ID]]="S0",-2,0)+INDEX(BalePrices[Low],MATCH(BaleMover[[#This Row],[Bale_ID]],BalePrices[Bale_ID],0))),0))</f>
        <v>0</v>
      </c>
      <c r="X18" s="397">
        <f>IF(AND(BaleMover[[#This Row],[Scenario_ID]]="S3",BaleMover[[#This Row],[MRF_ID]]="05"),0,IFERROR(BaleMover[[#This Row],[Total_Baled_tons]]*(IF(BaleMover[[#This Row],[Scenario_ID]]="S0",-2,0)+INDEX(BalePrices[Mid-Point],MATCH(BaleMover[[#This Row],[Bale_ID]],BalePrices[Bale_ID],0))),0))</f>
        <v>0</v>
      </c>
      <c r="Y18" s="397">
        <f>IF(AND(BaleMover[[#This Row],[Scenario_ID]]="S3",BaleMover[[#This Row],[MRF_ID]]="05"),0,IFERROR(BaleMover[[#This Row],[Total_Baled_tons]]*(IF(BaleMover[[#This Row],[Scenario_ID]]="S0",-2,0)+INDEX(BalePrices[High],MATCH(BaleMover[[#This Row],[Bale_ID]],BalePrices[Bale_ID],0))),0))</f>
        <v>0</v>
      </c>
    </row>
    <row r="19" spans="2:25" x14ac:dyDescent="0.2">
      <c r="B19" s="545" t="s">
        <v>875</v>
      </c>
      <c r="C19" s="499" t="s">
        <v>706</v>
      </c>
      <c r="D19" s="499"/>
      <c r="E19" s="499"/>
      <c r="F19" s="499" t="s">
        <v>1992</v>
      </c>
      <c r="G19" s="499" t="s">
        <v>2051</v>
      </c>
      <c r="H19" s="499" t="s">
        <v>1185</v>
      </c>
      <c r="I19" s="499" t="s">
        <v>971</v>
      </c>
      <c r="J19" s="499" t="s">
        <v>972</v>
      </c>
      <c r="K19" s="499" t="s">
        <v>2048</v>
      </c>
      <c r="L19" s="499">
        <v>6</v>
      </c>
      <c r="M19" s="499" t="s">
        <v>2049</v>
      </c>
      <c r="N19" s="499" t="s">
        <v>2050</v>
      </c>
      <c r="O19" s="525">
        <v>0</v>
      </c>
      <c r="P19" s="499" t="s">
        <v>2054</v>
      </c>
      <c r="Q19" s="499"/>
      <c r="R19" s="499"/>
      <c r="S19" s="525"/>
      <c r="T19" s="525">
        <v>0</v>
      </c>
      <c r="U19" s="525">
        <v>1</v>
      </c>
      <c r="V19" s="525" t="s">
        <v>2054</v>
      </c>
      <c r="W19" s="589">
        <f>IF(AND(BaleMover[[#This Row],[Scenario_ID]]="S3",BaleMover[[#This Row],[MRF_ID]]="05"),0,IFERROR(BaleMover[[#This Row],[Total_Baled_tons]]*(IF(BaleMover[[#This Row],[Scenario_ID]]="S0",-2,0)+INDEX(BalePrices[Low],MATCH(BaleMover[[#This Row],[Bale_ID]],BalePrices[Bale_ID],0))),0))</f>
        <v>0</v>
      </c>
      <c r="X19" s="397">
        <f>IF(AND(BaleMover[[#This Row],[Scenario_ID]]="S3",BaleMover[[#This Row],[MRF_ID]]="05"),0,IFERROR(BaleMover[[#This Row],[Total_Baled_tons]]*(IF(BaleMover[[#This Row],[Scenario_ID]]="S0",-2,0)+INDEX(BalePrices[Mid-Point],MATCH(BaleMover[[#This Row],[Bale_ID]],BalePrices[Bale_ID],0))),0))</f>
        <v>0</v>
      </c>
      <c r="Y19" s="397">
        <f>IF(AND(BaleMover[[#This Row],[Scenario_ID]]="S3",BaleMover[[#This Row],[MRF_ID]]="05"),0,IFERROR(BaleMover[[#This Row],[Total_Baled_tons]]*(IF(BaleMover[[#This Row],[Scenario_ID]]="S0",-2,0)+INDEX(BalePrices[High],MATCH(BaleMover[[#This Row],[Bale_ID]],BalePrices[Bale_ID],0))),0))</f>
        <v>0</v>
      </c>
    </row>
    <row r="20" spans="2:25" x14ac:dyDescent="0.2">
      <c r="B20" s="545" t="s">
        <v>874</v>
      </c>
      <c r="C20" s="499" t="s">
        <v>706</v>
      </c>
      <c r="D20" s="499"/>
      <c r="E20" s="499"/>
      <c r="F20" s="499" t="s">
        <v>1992</v>
      </c>
      <c r="G20" s="499" t="s">
        <v>2052</v>
      </c>
      <c r="H20" s="499" t="s">
        <v>1186</v>
      </c>
      <c r="I20" s="499" t="s">
        <v>971</v>
      </c>
      <c r="J20" s="499" t="s">
        <v>972</v>
      </c>
      <c r="K20" s="499" t="s">
        <v>2048</v>
      </c>
      <c r="L20" s="499">
        <v>6</v>
      </c>
      <c r="M20" s="499" t="s">
        <v>2049</v>
      </c>
      <c r="N20" s="499" t="s">
        <v>2050</v>
      </c>
      <c r="O20" s="525">
        <v>0</v>
      </c>
      <c r="P20" s="499" t="s">
        <v>2054</v>
      </c>
      <c r="Q20" s="499"/>
      <c r="R20" s="499"/>
      <c r="S20" s="525"/>
      <c r="T20" s="525">
        <v>0</v>
      </c>
      <c r="U20" s="525">
        <v>1</v>
      </c>
      <c r="V20" s="525" t="s">
        <v>2054</v>
      </c>
      <c r="W20" s="589">
        <f>IF(AND(BaleMover[[#This Row],[Scenario_ID]]="S3",BaleMover[[#This Row],[MRF_ID]]="05"),0,IFERROR(BaleMover[[#This Row],[Total_Baled_tons]]*(IF(BaleMover[[#This Row],[Scenario_ID]]="S0",-2,0)+INDEX(BalePrices[Low],MATCH(BaleMover[[#This Row],[Bale_ID]],BalePrices[Bale_ID],0))),0))</f>
        <v>0</v>
      </c>
      <c r="X20" s="397">
        <f>IF(AND(BaleMover[[#This Row],[Scenario_ID]]="S3",BaleMover[[#This Row],[MRF_ID]]="05"),0,IFERROR(BaleMover[[#This Row],[Total_Baled_tons]]*(IF(BaleMover[[#This Row],[Scenario_ID]]="S0",-2,0)+INDEX(BalePrices[Mid-Point],MATCH(BaleMover[[#This Row],[Bale_ID]],BalePrices[Bale_ID],0))),0))</f>
        <v>0</v>
      </c>
      <c r="Y20" s="397">
        <f>IF(AND(BaleMover[[#This Row],[Scenario_ID]]="S3",BaleMover[[#This Row],[MRF_ID]]="05"),0,IFERROR(BaleMover[[#This Row],[Total_Baled_tons]]*(IF(BaleMover[[#This Row],[Scenario_ID]]="S0",-2,0)+INDEX(BalePrices[High],MATCH(BaleMover[[#This Row],[Bale_ID]],BalePrices[Bale_ID],0))),0))</f>
        <v>0</v>
      </c>
    </row>
    <row r="21" spans="2:25" x14ac:dyDescent="0.2">
      <c r="B21" s="545" t="s">
        <v>873</v>
      </c>
      <c r="C21" s="499" t="s">
        <v>706</v>
      </c>
      <c r="D21" s="499"/>
      <c r="E21" s="499"/>
      <c r="F21" s="499" t="s">
        <v>1992</v>
      </c>
      <c r="G21" s="499" t="s">
        <v>2053</v>
      </c>
      <c r="H21" s="499" t="s">
        <v>1187</v>
      </c>
      <c r="I21" s="499" t="s">
        <v>971</v>
      </c>
      <c r="J21" s="499" t="s">
        <v>972</v>
      </c>
      <c r="K21" s="499" t="s">
        <v>2048</v>
      </c>
      <c r="L21" s="499">
        <v>6</v>
      </c>
      <c r="M21" s="499" t="s">
        <v>2049</v>
      </c>
      <c r="N21" s="499" t="s">
        <v>2050</v>
      </c>
      <c r="O21" s="525">
        <v>0</v>
      </c>
      <c r="P21" s="499" t="s">
        <v>2054</v>
      </c>
      <c r="Q21" s="499"/>
      <c r="R21" s="499"/>
      <c r="S21" s="525"/>
      <c r="T21" s="525">
        <v>0</v>
      </c>
      <c r="U21" s="525">
        <v>1</v>
      </c>
      <c r="V21" s="525" t="s">
        <v>2054</v>
      </c>
      <c r="W21" s="589">
        <f>IF(AND(BaleMover[[#This Row],[Scenario_ID]]="S3",BaleMover[[#This Row],[MRF_ID]]="05"),0,IFERROR(BaleMover[[#This Row],[Total_Baled_tons]]*(IF(BaleMover[[#This Row],[Scenario_ID]]="S0",-2,0)+INDEX(BalePrices[Low],MATCH(BaleMover[[#This Row],[Bale_ID]],BalePrices[Bale_ID],0))),0))</f>
        <v>0</v>
      </c>
      <c r="X21" s="397">
        <f>IF(AND(BaleMover[[#This Row],[Scenario_ID]]="S3",BaleMover[[#This Row],[MRF_ID]]="05"),0,IFERROR(BaleMover[[#This Row],[Total_Baled_tons]]*(IF(BaleMover[[#This Row],[Scenario_ID]]="S0",-2,0)+INDEX(BalePrices[Mid-Point],MATCH(BaleMover[[#This Row],[Bale_ID]],BalePrices[Bale_ID],0))),0))</f>
        <v>0</v>
      </c>
      <c r="Y21" s="397">
        <f>IF(AND(BaleMover[[#This Row],[Scenario_ID]]="S3",BaleMover[[#This Row],[MRF_ID]]="05"),0,IFERROR(BaleMover[[#This Row],[Total_Baled_tons]]*(IF(BaleMover[[#This Row],[Scenario_ID]]="S0",-2,0)+INDEX(BalePrices[High],MATCH(BaleMover[[#This Row],[Bale_ID]],BalePrices[Bale_ID],0))),0))</f>
        <v>0</v>
      </c>
    </row>
    <row r="22" spans="2:25" x14ac:dyDescent="0.2">
      <c r="B22" s="545" t="s">
        <v>876</v>
      </c>
      <c r="C22" s="499" t="s">
        <v>706</v>
      </c>
      <c r="D22" s="499"/>
      <c r="E22" s="499"/>
      <c r="F22" s="499" t="s">
        <v>1992</v>
      </c>
      <c r="G22" s="499" t="s">
        <v>2047</v>
      </c>
      <c r="H22" s="499" t="s">
        <v>1188</v>
      </c>
      <c r="I22" s="499" t="s">
        <v>973</v>
      </c>
      <c r="J22" s="499" t="s">
        <v>974</v>
      </c>
      <c r="K22" s="499" t="s">
        <v>2048</v>
      </c>
      <c r="L22" s="499">
        <v>6</v>
      </c>
      <c r="M22" s="499" t="s">
        <v>2049</v>
      </c>
      <c r="N22" s="499" t="s">
        <v>2050</v>
      </c>
      <c r="O22" s="525">
        <v>10517.134945591815</v>
      </c>
      <c r="P22" s="499">
        <v>65</v>
      </c>
      <c r="Q22" s="499"/>
      <c r="R22" s="499"/>
      <c r="S22" s="525"/>
      <c r="T22" s="525">
        <v>0</v>
      </c>
      <c r="U22" s="525">
        <v>1</v>
      </c>
      <c r="V22" s="525">
        <v>683613.77146346797</v>
      </c>
      <c r="W22" s="589">
        <f>IF(AND(BaleMover[[#This Row],[Scenario_ID]]="S3",BaleMover[[#This Row],[MRF_ID]]="05"),0,IFERROR(BaleMover[[#This Row],[Total_Baled_tons]]*(IF(BaleMover[[#This Row],[Scenario_ID]]="S0",-2,0)+INDEX(BalePrices[Low],MATCH(BaleMover[[#This Row],[Bale_ID]],BalePrices[Bale_ID],0))),0))</f>
        <v>31551.404836775444</v>
      </c>
      <c r="X22" s="397">
        <f>IF(AND(BaleMover[[#This Row],[Scenario_ID]]="S3",BaleMover[[#This Row],[MRF_ID]]="05"),0,IFERROR(BaleMover[[#This Row],[Total_Baled_tons]]*(IF(BaleMover[[#This Row],[Scenario_ID]]="S0",-2,0)+INDEX(BalePrices[Mid-Point],MATCH(BaleMover[[#This Row],[Bale_ID]],BalePrices[Bale_ID],0))),0))</f>
        <v>320772.61584055034</v>
      </c>
      <c r="Y22" s="397">
        <f>IF(AND(BaleMover[[#This Row],[Scenario_ID]]="S3",BaleMover[[#This Row],[MRF_ID]]="05"),0,IFERROR(BaleMover[[#This Row],[Total_Baled_tons]]*(IF(BaleMover[[#This Row],[Scenario_ID]]="S0",-2,0)+INDEX(BalePrices[High],MATCH(BaleMover[[#This Row],[Bale_ID]],BalePrices[Bale_ID],0))),0))</f>
        <v>609993.82684432529</v>
      </c>
    </row>
    <row r="23" spans="2:25" x14ac:dyDescent="0.2">
      <c r="B23" s="545" t="s">
        <v>875</v>
      </c>
      <c r="C23" s="499" t="s">
        <v>706</v>
      </c>
      <c r="D23" s="499"/>
      <c r="E23" s="499"/>
      <c r="F23" s="499" t="s">
        <v>1992</v>
      </c>
      <c r="G23" s="499" t="s">
        <v>2051</v>
      </c>
      <c r="H23" s="499" t="s">
        <v>1189</v>
      </c>
      <c r="I23" s="499" t="s">
        <v>973</v>
      </c>
      <c r="J23" s="499" t="s">
        <v>974</v>
      </c>
      <c r="K23" s="499" t="s">
        <v>2048</v>
      </c>
      <c r="L23" s="499">
        <v>6</v>
      </c>
      <c r="M23" s="499" t="s">
        <v>2049</v>
      </c>
      <c r="N23" s="499" t="s">
        <v>2050</v>
      </c>
      <c r="O23" s="525">
        <v>21416.213276446859</v>
      </c>
      <c r="P23" s="499">
        <v>65</v>
      </c>
      <c r="Q23" s="499"/>
      <c r="R23" s="499"/>
      <c r="S23" s="525"/>
      <c r="T23" s="525">
        <v>0</v>
      </c>
      <c r="U23" s="525">
        <v>1</v>
      </c>
      <c r="V23" s="525">
        <v>1392053.8629690458</v>
      </c>
      <c r="W23" s="589">
        <f>IF(AND(BaleMover[[#This Row],[Scenario_ID]]="S3",BaleMover[[#This Row],[MRF_ID]]="05"),0,IFERROR(BaleMover[[#This Row],[Total_Baled_tons]]*(IF(BaleMover[[#This Row],[Scenario_ID]]="S0",-2,0)+INDEX(BalePrices[Low],MATCH(BaleMover[[#This Row],[Bale_ID]],BalePrices[Bale_ID],0))),0))</f>
        <v>107081.06638223429</v>
      </c>
      <c r="X23" s="397">
        <f>IF(AND(BaleMover[[#This Row],[Scenario_ID]]="S3",BaleMover[[#This Row],[MRF_ID]]="05"),0,IFERROR(BaleMover[[#This Row],[Total_Baled_tons]]*(IF(BaleMover[[#This Row],[Scenario_ID]]="S0",-2,0)+INDEX(BalePrices[Mid-Point],MATCH(BaleMover[[#This Row],[Bale_ID]],BalePrices[Bale_ID],0))),0))</f>
        <v>696026.93148452288</v>
      </c>
      <c r="Y23" s="397">
        <f>IF(AND(BaleMover[[#This Row],[Scenario_ID]]="S3",BaleMover[[#This Row],[MRF_ID]]="05"),0,IFERROR(BaleMover[[#This Row],[Total_Baled_tons]]*(IF(BaleMover[[#This Row],[Scenario_ID]]="S0",-2,0)+INDEX(BalePrices[High],MATCH(BaleMover[[#This Row],[Bale_ID]],BalePrices[Bale_ID],0))),0))</f>
        <v>1284972.7965868115</v>
      </c>
    </row>
    <row r="24" spans="2:25" x14ac:dyDescent="0.2">
      <c r="B24" s="545" t="s">
        <v>874</v>
      </c>
      <c r="C24" s="499" t="s">
        <v>706</v>
      </c>
      <c r="D24" s="499"/>
      <c r="E24" s="499"/>
      <c r="F24" s="499" t="s">
        <v>1992</v>
      </c>
      <c r="G24" s="499" t="s">
        <v>2052</v>
      </c>
      <c r="H24" s="499" t="s">
        <v>1190</v>
      </c>
      <c r="I24" s="499" t="s">
        <v>973</v>
      </c>
      <c r="J24" s="499" t="s">
        <v>974</v>
      </c>
      <c r="K24" s="499" t="s">
        <v>2048</v>
      </c>
      <c r="L24" s="499">
        <v>6</v>
      </c>
      <c r="M24" s="499" t="s">
        <v>2049</v>
      </c>
      <c r="N24" s="499" t="s">
        <v>2050</v>
      </c>
      <c r="O24" s="525">
        <v>25031.31561002582</v>
      </c>
      <c r="P24" s="499">
        <v>65</v>
      </c>
      <c r="Q24" s="499"/>
      <c r="R24" s="499"/>
      <c r="S24" s="525"/>
      <c r="T24" s="525">
        <v>0</v>
      </c>
      <c r="U24" s="525">
        <v>1</v>
      </c>
      <c r="V24" s="525">
        <v>1627035.5146516783</v>
      </c>
      <c r="W24" s="589">
        <f>IF(AND(BaleMover[[#This Row],[Scenario_ID]]="S3",BaleMover[[#This Row],[MRF_ID]]="05"),0,IFERROR(BaleMover[[#This Row],[Total_Baled_tons]]*(IF(BaleMover[[#This Row],[Scenario_ID]]="S0",-2,0)+INDEX(BalePrices[Low],MATCH(BaleMover[[#This Row],[Bale_ID]],BalePrices[Bale_ID],0))),0))</f>
        <v>125156.5780501291</v>
      </c>
      <c r="X24" s="397">
        <f>IF(AND(BaleMover[[#This Row],[Scenario_ID]]="S3",BaleMover[[#This Row],[MRF_ID]]="05"),0,IFERROR(BaleMover[[#This Row],[Total_Baled_tons]]*(IF(BaleMover[[#This Row],[Scenario_ID]]="S0",-2,0)+INDEX(BalePrices[Mid-Point],MATCH(BaleMover[[#This Row],[Bale_ID]],BalePrices[Bale_ID],0))),0))</f>
        <v>813517.75732583913</v>
      </c>
      <c r="Y24" s="397">
        <f>IF(AND(BaleMover[[#This Row],[Scenario_ID]]="S3",BaleMover[[#This Row],[MRF_ID]]="05"),0,IFERROR(BaleMover[[#This Row],[Total_Baled_tons]]*(IF(BaleMover[[#This Row],[Scenario_ID]]="S0",-2,0)+INDEX(BalePrices[High],MATCH(BaleMover[[#This Row],[Bale_ID]],BalePrices[Bale_ID],0))),0))</f>
        <v>1501878.9366015492</v>
      </c>
    </row>
    <row r="25" spans="2:25" x14ac:dyDescent="0.2">
      <c r="B25" s="545" t="s">
        <v>873</v>
      </c>
      <c r="C25" s="499" t="s">
        <v>706</v>
      </c>
      <c r="D25" s="499"/>
      <c r="E25" s="499"/>
      <c r="F25" s="499" t="s">
        <v>1992</v>
      </c>
      <c r="G25" s="499" t="s">
        <v>2053</v>
      </c>
      <c r="H25" s="499" t="s">
        <v>1191</v>
      </c>
      <c r="I25" s="499" t="s">
        <v>973</v>
      </c>
      <c r="J25" s="499" t="s">
        <v>974</v>
      </c>
      <c r="K25" s="499" t="s">
        <v>2048</v>
      </c>
      <c r="L25" s="499">
        <v>6</v>
      </c>
      <c r="M25" s="499" t="s">
        <v>2049</v>
      </c>
      <c r="N25" s="499" t="s">
        <v>2050</v>
      </c>
      <c r="O25" s="525">
        <v>25015.722849974769</v>
      </c>
      <c r="P25" s="499">
        <v>65</v>
      </c>
      <c r="Q25" s="499"/>
      <c r="R25" s="499"/>
      <c r="S25" s="525"/>
      <c r="T25" s="525">
        <v>0</v>
      </c>
      <c r="U25" s="525">
        <v>1</v>
      </c>
      <c r="V25" s="525">
        <v>1626021.9852483601</v>
      </c>
      <c r="W25" s="589">
        <f>IF(AND(BaleMover[[#This Row],[Scenario_ID]]="S3",BaleMover[[#This Row],[MRF_ID]]="05"),0,IFERROR(BaleMover[[#This Row],[Total_Baled_tons]]*(IF(BaleMover[[#This Row],[Scenario_ID]]="S0",-2,0)+INDEX(BalePrices[Low],MATCH(BaleMover[[#This Row],[Bale_ID]],BalePrices[Bale_ID],0))),0))</f>
        <v>125078.61424987385</v>
      </c>
      <c r="X25" s="397">
        <f>IF(AND(BaleMover[[#This Row],[Scenario_ID]]="S3",BaleMover[[#This Row],[MRF_ID]]="05"),0,IFERROR(BaleMover[[#This Row],[Total_Baled_tons]]*(IF(BaleMover[[#This Row],[Scenario_ID]]="S0",-2,0)+INDEX(BalePrices[Mid-Point],MATCH(BaleMover[[#This Row],[Bale_ID]],BalePrices[Bale_ID],0))),0))</f>
        <v>813010.99262418004</v>
      </c>
      <c r="Y25" s="397">
        <f>IF(AND(BaleMover[[#This Row],[Scenario_ID]]="S3",BaleMover[[#This Row],[MRF_ID]]="05"),0,IFERROR(BaleMover[[#This Row],[Total_Baled_tons]]*(IF(BaleMover[[#This Row],[Scenario_ID]]="S0",-2,0)+INDEX(BalePrices[High],MATCH(BaleMover[[#This Row],[Bale_ID]],BalePrices[Bale_ID],0))),0))</f>
        <v>1500943.3709984862</v>
      </c>
    </row>
    <row r="26" spans="2:25" x14ac:dyDescent="0.2">
      <c r="B26" s="545" t="s">
        <v>876</v>
      </c>
      <c r="C26" s="499" t="s">
        <v>706</v>
      </c>
      <c r="D26" s="499"/>
      <c r="E26" s="499"/>
      <c r="F26" s="499" t="s">
        <v>1992</v>
      </c>
      <c r="G26" s="499" t="s">
        <v>2047</v>
      </c>
      <c r="H26" s="499" t="s">
        <v>1192</v>
      </c>
      <c r="I26" s="499" t="s">
        <v>975</v>
      </c>
      <c r="J26" s="499" t="s">
        <v>976</v>
      </c>
      <c r="K26" s="499" t="s">
        <v>2048</v>
      </c>
      <c r="L26" s="499">
        <v>7</v>
      </c>
      <c r="M26" s="499" t="s">
        <v>2055</v>
      </c>
      <c r="N26" s="499" t="s">
        <v>2056</v>
      </c>
      <c r="O26" s="525">
        <v>0</v>
      </c>
      <c r="P26" s="499" t="s">
        <v>2054</v>
      </c>
      <c r="Q26" s="499"/>
      <c r="R26" s="499"/>
      <c r="S26" s="525"/>
      <c r="T26" s="525">
        <v>0</v>
      </c>
      <c r="U26" s="525">
        <v>1</v>
      </c>
      <c r="V26" s="525" t="s">
        <v>2054</v>
      </c>
      <c r="W26" s="589">
        <f>IF(AND(BaleMover[[#This Row],[Scenario_ID]]="S3",BaleMover[[#This Row],[MRF_ID]]="05"),0,IFERROR(BaleMover[[#This Row],[Total_Baled_tons]]*(IF(BaleMover[[#This Row],[Scenario_ID]]="S0",-2,0)+INDEX(BalePrices[Low],MATCH(BaleMover[[#This Row],[Bale_ID]],BalePrices[Bale_ID],0))),0))</f>
        <v>0</v>
      </c>
      <c r="X26" s="397">
        <f>IF(AND(BaleMover[[#This Row],[Scenario_ID]]="S3",BaleMover[[#This Row],[MRF_ID]]="05"),0,IFERROR(BaleMover[[#This Row],[Total_Baled_tons]]*(IF(BaleMover[[#This Row],[Scenario_ID]]="S0",-2,0)+INDEX(BalePrices[Mid-Point],MATCH(BaleMover[[#This Row],[Bale_ID]],BalePrices[Bale_ID],0))),0))</f>
        <v>0</v>
      </c>
      <c r="Y26" s="397">
        <f>IF(AND(BaleMover[[#This Row],[Scenario_ID]]="S3",BaleMover[[#This Row],[MRF_ID]]="05"),0,IFERROR(BaleMover[[#This Row],[Total_Baled_tons]]*(IF(BaleMover[[#This Row],[Scenario_ID]]="S0",-2,0)+INDEX(BalePrices[High],MATCH(BaleMover[[#This Row],[Bale_ID]],BalePrices[Bale_ID],0))),0))</f>
        <v>0</v>
      </c>
    </row>
    <row r="27" spans="2:25" x14ac:dyDescent="0.2">
      <c r="B27" s="545" t="s">
        <v>875</v>
      </c>
      <c r="C27" s="499" t="s">
        <v>706</v>
      </c>
      <c r="D27" s="499"/>
      <c r="E27" s="499"/>
      <c r="F27" s="499" t="s">
        <v>1992</v>
      </c>
      <c r="G27" s="499" t="s">
        <v>2051</v>
      </c>
      <c r="H27" s="499" t="s">
        <v>1193</v>
      </c>
      <c r="I27" s="499" t="s">
        <v>975</v>
      </c>
      <c r="J27" s="499" t="s">
        <v>976</v>
      </c>
      <c r="K27" s="499" t="s">
        <v>2048</v>
      </c>
      <c r="L27" s="499">
        <v>7</v>
      </c>
      <c r="M27" s="499" t="s">
        <v>2055</v>
      </c>
      <c r="N27" s="499" t="s">
        <v>2056</v>
      </c>
      <c r="O27" s="525">
        <v>0</v>
      </c>
      <c r="P27" s="499" t="s">
        <v>2054</v>
      </c>
      <c r="Q27" s="499"/>
      <c r="R27" s="499"/>
      <c r="S27" s="525"/>
      <c r="T27" s="525">
        <v>0</v>
      </c>
      <c r="U27" s="525">
        <v>1</v>
      </c>
      <c r="V27" s="525" t="s">
        <v>2054</v>
      </c>
      <c r="W27" s="589">
        <f>IF(AND(BaleMover[[#This Row],[Scenario_ID]]="S3",BaleMover[[#This Row],[MRF_ID]]="05"),0,IFERROR(BaleMover[[#This Row],[Total_Baled_tons]]*(IF(BaleMover[[#This Row],[Scenario_ID]]="S0",-2,0)+INDEX(BalePrices[Low],MATCH(BaleMover[[#This Row],[Bale_ID]],BalePrices[Bale_ID],0))),0))</f>
        <v>0</v>
      </c>
      <c r="X27" s="397">
        <f>IF(AND(BaleMover[[#This Row],[Scenario_ID]]="S3",BaleMover[[#This Row],[MRF_ID]]="05"),0,IFERROR(BaleMover[[#This Row],[Total_Baled_tons]]*(IF(BaleMover[[#This Row],[Scenario_ID]]="S0",-2,0)+INDEX(BalePrices[Mid-Point],MATCH(BaleMover[[#This Row],[Bale_ID]],BalePrices[Bale_ID],0))),0))</f>
        <v>0</v>
      </c>
      <c r="Y27" s="397">
        <f>IF(AND(BaleMover[[#This Row],[Scenario_ID]]="S3",BaleMover[[#This Row],[MRF_ID]]="05"),0,IFERROR(BaleMover[[#This Row],[Total_Baled_tons]]*(IF(BaleMover[[#This Row],[Scenario_ID]]="S0",-2,0)+INDEX(BalePrices[High],MATCH(BaleMover[[#This Row],[Bale_ID]],BalePrices[Bale_ID],0))),0))</f>
        <v>0</v>
      </c>
    </row>
    <row r="28" spans="2:25" x14ac:dyDescent="0.2">
      <c r="B28" s="545" t="s">
        <v>874</v>
      </c>
      <c r="C28" s="499" t="s">
        <v>706</v>
      </c>
      <c r="D28" s="499"/>
      <c r="E28" s="499"/>
      <c r="F28" s="499" t="s">
        <v>1992</v>
      </c>
      <c r="G28" s="499" t="s">
        <v>2052</v>
      </c>
      <c r="H28" s="499" t="s">
        <v>1194</v>
      </c>
      <c r="I28" s="499" t="s">
        <v>975</v>
      </c>
      <c r="J28" s="499" t="s">
        <v>976</v>
      </c>
      <c r="K28" s="499" t="s">
        <v>2048</v>
      </c>
      <c r="L28" s="499">
        <v>7</v>
      </c>
      <c r="M28" s="499" t="s">
        <v>2055</v>
      </c>
      <c r="N28" s="499" t="s">
        <v>2056</v>
      </c>
      <c r="O28" s="525">
        <v>0</v>
      </c>
      <c r="P28" s="499" t="s">
        <v>2054</v>
      </c>
      <c r="Q28" s="499"/>
      <c r="R28" s="499"/>
      <c r="S28" s="525"/>
      <c r="T28" s="525">
        <v>0</v>
      </c>
      <c r="U28" s="525">
        <v>1</v>
      </c>
      <c r="V28" s="525" t="s">
        <v>2054</v>
      </c>
      <c r="W28" s="589">
        <f>IF(AND(BaleMover[[#This Row],[Scenario_ID]]="S3",BaleMover[[#This Row],[MRF_ID]]="05"),0,IFERROR(BaleMover[[#This Row],[Total_Baled_tons]]*(IF(BaleMover[[#This Row],[Scenario_ID]]="S0",-2,0)+INDEX(BalePrices[Low],MATCH(BaleMover[[#This Row],[Bale_ID]],BalePrices[Bale_ID],0))),0))</f>
        <v>0</v>
      </c>
      <c r="X28" s="397">
        <f>IF(AND(BaleMover[[#This Row],[Scenario_ID]]="S3",BaleMover[[#This Row],[MRF_ID]]="05"),0,IFERROR(BaleMover[[#This Row],[Total_Baled_tons]]*(IF(BaleMover[[#This Row],[Scenario_ID]]="S0",-2,0)+INDEX(BalePrices[Mid-Point],MATCH(BaleMover[[#This Row],[Bale_ID]],BalePrices[Bale_ID],0))),0))</f>
        <v>0</v>
      </c>
      <c r="Y28" s="397">
        <f>IF(AND(BaleMover[[#This Row],[Scenario_ID]]="S3",BaleMover[[#This Row],[MRF_ID]]="05"),0,IFERROR(BaleMover[[#This Row],[Total_Baled_tons]]*(IF(BaleMover[[#This Row],[Scenario_ID]]="S0",-2,0)+INDEX(BalePrices[High],MATCH(BaleMover[[#This Row],[Bale_ID]],BalePrices[Bale_ID],0))),0))</f>
        <v>0</v>
      </c>
    </row>
    <row r="29" spans="2:25" x14ac:dyDescent="0.2">
      <c r="B29" s="545" t="s">
        <v>873</v>
      </c>
      <c r="C29" s="499" t="s">
        <v>706</v>
      </c>
      <c r="D29" s="499"/>
      <c r="E29" s="499"/>
      <c r="F29" s="499" t="s">
        <v>1992</v>
      </c>
      <c r="G29" s="499" t="s">
        <v>2053</v>
      </c>
      <c r="H29" s="499" t="s">
        <v>1195</v>
      </c>
      <c r="I29" s="499" t="s">
        <v>975</v>
      </c>
      <c r="J29" s="499" t="s">
        <v>976</v>
      </c>
      <c r="K29" s="499" t="s">
        <v>2048</v>
      </c>
      <c r="L29" s="499">
        <v>7</v>
      </c>
      <c r="M29" s="499" t="s">
        <v>2055</v>
      </c>
      <c r="N29" s="499" t="s">
        <v>2056</v>
      </c>
      <c r="O29" s="525">
        <v>0</v>
      </c>
      <c r="P29" s="499" t="s">
        <v>2054</v>
      </c>
      <c r="Q29" s="499"/>
      <c r="R29" s="499"/>
      <c r="S29" s="525"/>
      <c r="T29" s="525">
        <v>0</v>
      </c>
      <c r="U29" s="525">
        <v>1</v>
      </c>
      <c r="V29" s="525" t="s">
        <v>2054</v>
      </c>
      <c r="W29" s="589">
        <f>IF(AND(BaleMover[[#This Row],[Scenario_ID]]="S3",BaleMover[[#This Row],[MRF_ID]]="05"),0,IFERROR(BaleMover[[#This Row],[Total_Baled_tons]]*(IF(BaleMover[[#This Row],[Scenario_ID]]="S0",-2,0)+INDEX(BalePrices[Low],MATCH(BaleMover[[#This Row],[Bale_ID]],BalePrices[Bale_ID],0))),0))</f>
        <v>0</v>
      </c>
      <c r="X29" s="397">
        <f>IF(AND(BaleMover[[#This Row],[Scenario_ID]]="S3",BaleMover[[#This Row],[MRF_ID]]="05"),0,IFERROR(BaleMover[[#This Row],[Total_Baled_tons]]*(IF(BaleMover[[#This Row],[Scenario_ID]]="S0",-2,0)+INDEX(BalePrices[Mid-Point],MATCH(BaleMover[[#This Row],[Bale_ID]],BalePrices[Bale_ID],0))),0))</f>
        <v>0</v>
      </c>
      <c r="Y29" s="397">
        <f>IF(AND(BaleMover[[#This Row],[Scenario_ID]]="S3",BaleMover[[#This Row],[MRF_ID]]="05"),0,IFERROR(BaleMover[[#This Row],[Total_Baled_tons]]*(IF(BaleMover[[#This Row],[Scenario_ID]]="S0",-2,0)+INDEX(BalePrices[High],MATCH(BaleMover[[#This Row],[Bale_ID]],BalePrices[Bale_ID],0))),0))</f>
        <v>0</v>
      </c>
    </row>
    <row r="30" spans="2:25" x14ac:dyDescent="0.2">
      <c r="B30" s="545" t="s">
        <v>876</v>
      </c>
      <c r="C30" s="499" t="s">
        <v>706</v>
      </c>
      <c r="D30" s="499"/>
      <c r="E30" s="499"/>
      <c r="F30" s="499" t="s">
        <v>1992</v>
      </c>
      <c r="G30" s="499" t="s">
        <v>2047</v>
      </c>
      <c r="H30" s="499" t="s">
        <v>1196</v>
      </c>
      <c r="I30" s="499" t="s">
        <v>977</v>
      </c>
      <c r="J30" s="499" t="s">
        <v>864</v>
      </c>
      <c r="K30" s="499" t="s">
        <v>2048</v>
      </c>
      <c r="L30" s="499">
        <v>5</v>
      </c>
      <c r="M30" s="499" t="s">
        <v>2057</v>
      </c>
      <c r="N30" s="499" t="s">
        <v>2058</v>
      </c>
      <c r="O30" s="525">
        <v>32826.742002962805</v>
      </c>
      <c r="P30" s="499">
        <v>100</v>
      </c>
      <c r="Q30" s="499"/>
      <c r="R30" s="499"/>
      <c r="S30" s="525"/>
      <c r="T30" s="525">
        <v>0</v>
      </c>
      <c r="U30" s="525">
        <v>1</v>
      </c>
      <c r="V30" s="525">
        <v>3282674.2002962804</v>
      </c>
      <c r="W30" s="589">
        <f>IF(AND(BaleMover[[#This Row],[Scenario_ID]]="S3",BaleMover[[#This Row],[MRF_ID]]="05"),0,IFERROR(BaleMover[[#This Row],[Total_Baled_tons]]*(IF(BaleMover[[#This Row],[Scenario_ID]]="S0",-2,0)+INDEX(BalePrices[Low],MATCH(BaleMover[[#This Row],[Bale_ID]],BalePrices[Bale_ID],0))),0))</f>
        <v>-722188.32406518166</v>
      </c>
      <c r="X30" s="397">
        <f>IF(AND(BaleMover[[#This Row],[Scenario_ID]]="S3",BaleMover[[#This Row],[MRF_ID]]="05"),0,IFERROR(BaleMover[[#This Row],[Total_Baled_tons]]*(IF(BaleMover[[#This Row],[Scenario_ID]]="S0",-2,0)+INDEX(BalePrices[Mid-Point],MATCH(BaleMover[[#This Row],[Bale_ID]],BalePrices[Bale_ID],0))),0))</f>
        <v>1575683.6161422147</v>
      </c>
      <c r="Y30" s="397">
        <f>IF(AND(BaleMover[[#This Row],[Scenario_ID]]="S3",BaleMover[[#This Row],[MRF_ID]]="05"),0,IFERROR(BaleMover[[#This Row],[Total_Baled_tons]]*(IF(BaleMover[[#This Row],[Scenario_ID]]="S0",-2,0)+INDEX(BalePrices[High],MATCH(BaleMover[[#This Row],[Bale_ID]],BalePrices[Bale_ID],0))),0))</f>
        <v>3873555.5563496109</v>
      </c>
    </row>
    <row r="31" spans="2:25" x14ac:dyDescent="0.2">
      <c r="B31" s="545" t="s">
        <v>875</v>
      </c>
      <c r="C31" s="499" t="s">
        <v>706</v>
      </c>
      <c r="D31" s="499"/>
      <c r="E31" s="499"/>
      <c r="F31" s="499" t="s">
        <v>1992</v>
      </c>
      <c r="G31" s="499" t="s">
        <v>2051</v>
      </c>
      <c r="H31" s="499" t="s">
        <v>1197</v>
      </c>
      <c r="I31" s="499" t="s">
        <v>977</v>
      </c>
      <c r="J31" s="499" t="s">
        <v>864</v>
      </c>
      <c r="K31" s="499" t="s">
        <v>2048</v>
      </c>
      <c r="L31" s="499">
        <v>5</v>
      </c>
      <c r="M31" s="499" t="s">
        <v>2057</v>
      </c>
      <c r="N31" s="499" t="s">
        <v>2058</v>
      </c>
      <c r="O31" s="525">
        <v>14636.363225947705</v>
      </c>
      <c r="P31" s="499">
        <v>100</v>
      </c>
      <c r="Q31" s="499"/>
      <c r="R31" s="499"/>
      <c r="S31" s="525"/>
      <c r="T31" s="525">
        <v>0</v>
      </c>
      <c r="U31" s="525">
        <v>1</v>
      </c>
      <c r="V31" s="525">
        <v>1463636.3225947705</v>
      </c>
      <c r="W31" s="589">
        <f>IF(AND(BaleMover[[#This Row],[Scenario_ID]]="S3",BaleMover[[#This Row],[MRF_ID]]="05"),0,IFERROR(BaleMover[[#This Row],[Total_Baled_tons]]*(IF(BaleMover[[#This Row],[Scenario_ID]]="S0",-2,0)+INDEX(BalePrices[Low],MATCH(BaleMover[[#This Row],[Bale_ID]],BalePrices[Bale_ID],0))),0))</f>
        <v>-292727.26451895409</v>
      </c>
      <c r="X31" s="397">
        <f>IF(AND(BaleMover[[#This Row],[Scenario_ID]]="S3",BaleMover[[#This Row],[MRF_ID]]="05"),0,IFERROR(BaleMover[[#This Row],[Total_Baled_tons]]*(IF(BaleMover[[#This Row],[Scenario_ID]]="S0",-2,0)+INDEX(BalePrices[Mid-Point],MATCH(BaleMover[[#This Row],[Bale_ID]],BalePrices[Bale_ID],0))),0))</f>
        <v>731818.16129738523</v>
      </c>
      <c r="Y31" s="397">
        <f>IF(AND(BaleMover[[#This Row],[Scenario_ID]]="S3",BaleMover[[#This Row],[MRF_ID]]="05"),0,IFERROR(BaleMover[[#This Row],[Total_Baled_tons]]*(IF(BaleMover[[#This Row],[Scenario_ID]]="S0",-2,0)+INDEX(BalePrices[High],MATCH(BaleMover[[#This Row],[Bale_ID]],BalePrices[Bale_ID],0))),0))</f>
        <v>1756363.5871137246</v>
      </c>
    </row>
    <row r="32" spans="2:25" x14ac:dyDescent="0.2">
      <c r="B32" s="545" t="s">
        <v>874</v>
      </c>
      <c r="C32" s="499" t="s">
        <v>706</v>
      </c>
      <c r="D32" s="499"/>
      <c r="E32" s="499"/>
      <c r="F32" s="499" t="s">
        <v>1992</v>
      </c>
      <c r="G32" s="499" t="s">
        <v>2052</v>
      </c>
      <c r="H32" s="499" t="s">
        <v>1198</v>
      </c>
      <c r="I32" s="499" t="s">
        <v>977</v>
      </c>
      <c r="J32" s="499" t="s">
        <v>864</v>
      </c>
      <c r="K32" s="499" t="s">
        <v>2048</v>
      </c>
      <c r="L32" s="499">
        <v>5</v>
      </c>
      <c r="M32" s="499" t="s">
        <v>2057</v>
      </c>
      <c r="N32" s="499" t="s">
        <v>2058</v>
      </c>
      <c r="O32" s="525">
        <v>19037.309299380977</v>
      </c>
      <c r="P32" s="499">
        <v>100</v>
      </c>
      <c r="Q32" s="499"/>
      <c r="R32" s="499"/>
      <c r="S32" s="525"/>
      <c r="T32" s="525">
        <v>0</v>
      </c>
      <c r="U32" s="525">
        <v>1</v>
      </c>
      <c r="V32" s="525">
        <v>1903730.9299380977</v>
      </c>
      <c r="W32" s="589">
        <f>IF(AND(BaleMover[[#This Row],[Scenario_ID]]="S3",BaleMover[[#This Row],[MRF_ID]]="05"),0,IFERROR(BaleMover[[#This Row],[Total_Baled_tons]]*(IF(BaleMover[[#This Row],[Scenario_ID]]="S0",-2,0)+INDEX(BalePrices[Low],MATCH(BaleMover[[#This Row],[Bale_ID]],BalePrices[Bale_ID],0))),0))</f>
        <v>-380746.18598761957</v>
      </c>
      <c r="X32" s="397">
        <f>IF(AND(BaleMover[[#This Row],[Scenario_ID]]="S3",BaleMover[[#This Row],[MRF_ID]]="05"),0,IFERROR(BaleMover[[#This Row],[Total_Baled_tons]]*(IF(BaleMover[[#This Row],[Scenario_ID]]="S0",-2,0)+INDEX(BalePrices[Mid-Point],MATCH(BaleMover[[#This Row],[Bale_ID]],BalePrices[Bale_ID],0))),0))</f>
        <v>951865.46496904886</v>
      </c>
      <c r="Y32" s="397">
        <f>IF(AND(BaleMover[[#This Row],[Scenario_ID]]="S3",BaleMover[[#This Row],[MRF_ID]]="05"),0,IFERROR(BaleMover[[#This Row],[Total_Baled_tons]]*(IF(BaleMover[[#This Row],[Scenario_ID]]="S0",-2,0)+INDEX(BalePrices[High],MATCH(BaleMover[[#This Row],[Bale_ID]],BalePrices[Bale_ID],0))),0))</f>
        <v>2284477.1159257172</v>
      </c>
    </row>
    <row r="33" spans="2:25" x14ac:dyDescent="0.2">
      <c r="B33" s="545" t="s">
        <v>873</v>
      </c>
      <c r="C33" s="499" t="s">
        <v>706</v>
      </c>
      <c r="D33" s="499"/>
      <c r="E33" s="499"/>
      <c r="F33" s="499" t="s">
        <v>1992</v>
      </c>
      <c r="G33" s="499" t="s">
        <v>2053</v>
      </c>
      <c r="H33" s="499" t="s">
        <v>1199</v>
      </c>
      <c r="I33" s="499" t="s">
        <v>977</v>
      </c>
      <c r="J33" s="499" t="s">
        <v>864</v>
      </c>
      <c r="K33" s="499" t="s">
        <v>2048</v>
      </c>
      <c r="L33" s="499">
        <v>5</v>
      </c>
      <c r="M33" s="499" t="s">
        <v>2057</v>
      </c>
      <c r="N33" s="499" t="s">
        <v>2058</v>
      </c>
      <c r="O33" s="525">
        <v>19025.445129841257</v>
      </c>
      <c r="P33" s="499">
        <v>100</v>
      </c>
      <c r="Q33" s="499"/>
      <c r="R33" s="499"/>
      <c r="S33" s="525"/>
      <c r="T33" s="525">
        <v>0</v>
      </c>
      <c r="U33" s="525">
        <v>1</v>
      </c>
      <c r="V33" s="525">
        <v>1902544.5129841256</v>
      </c>
      <c r="W33" s="589">
        <f>IF(AND(BaleMover[[#This Row],[Scenario_ID]]="S3",BaleMover[[#This Row],[MRF_ID]]="05"),0,IFERROR(BaleMover[[#This Row],[Total_Baled_tons]]*(IF(BaleMover[[#This Row],[Scenario_ID]]="S0",-2,0)+INDEX(BalePrices[Low],MATCH(BaleMover[[#This Row],[Bale_ID]],BalePrices[Bale_ID],0))),0))</f>
        <v>-380508.90259682515</v>
      </c>
      <c r="X33" s="397">
        <f>IF(AND(BaleMover[[#This Row],[Scenario_ID]]="S3",BaleMover[[#This Row],[MRF_ID]]="05"),0,IFERROR(BaleMover[[#This Row],[Total_Baled_tons]]*(IF(BaleMover[[#This Row],[Scenario_ID]]="S0",-2,0)+INDEX(BalePrices[Mid-Point],MATCH(BaleMover[[#This Row],[Bale_ID]],BalePrices[Bale_ID],0))),0))</f>
        <v>951272.25649206282</v>
      </c>
      <c r="Y33" s="397">
        <f>IF(AND(BaleMover[[#This Row],[Scenario_ID]]="S3",BaleMover[[#This Row],[MRF_ID]]="05"),0,IFERROR(BaleMover[[#This Row],[Total_Baled_tons]]*(IF(BaleMover[[#This Row],[Scenario_ID]]="S0",-2,0)+INDEX(BalePrices[High],MATCH(BaleMover[[#This Row],[Bale_ID]],BalePrices[Bale_ID],0))),0))</f>
        <v>2283053.4155809507</v>
      </c>
    </row>
    <row r="34" spans="2:25" x14ac:dyDescent="0.2">
      <c r="B34" s="545" t="s">
        <v>876</v>
      </c>
      <c r="C34" s="499" t="s">
        <v>706</v>
      </c>
      <c r="D34" s="499"/>
      <c r="E34" s="499"/>
      <c r="F34" s="499" t="s">
        <v>1992</v>
      </c>
      <c r="G34" s="499" t="s">
        <v>2047</v>
      </c>
      <c r="H34" s="499" t="s">
        <v>1200</v>
      </c>
      <c r="I34" s="499" t="s">
        <v>978</v>
      </c>
      <c r="J34" s="499" t="s">
        <v>1892</v>
      </c>
      <c r="K34" s="499" t="s">
        <v>2048</v>
      </c>
      <c r="L34" s="499">
        <v>5</v>
      </c>
      <c r="M34" s="499" t="s">
        <v>2057</v>
      </c>
      <c r="N34" s="499" t="s">
        <v>2058</v>
      </c>
      <c r="O34" s="525">
        <v>0</v>
      </c>
      <c r="P34" s="499" t="s">
        <v>2054</v>
      </c>
      <c r="Q34" s="499"/>
      <c r="R34" s="499"/>
      <c r="S34" s="525"/>
      <c r="T34" s="525">
        <v>0</v>
      </c>
      <c r="U34" s="525">
        <v>1</v>
      </c>
      <c r="V34" s="525" t="s">
        <v>2054</v>
      </c>
      <c r="W34" s="589">
        <f>IF(AND(BaleMover[[#This Row],[Scenario_ID]]="S3",BaleMover[[#This Row],[MRF_ID]]="05"),0,IFERROR(BaleMover[[#This Row],[Total_Baled_tons]]*(IF(BaleMover[[#This Row],[Scenario_ID]]="S0",-2,0)+INDEX(BalePrices[Low],MATCH(BaleMover[[#This Row],[Bale_ID]],BalePrices[Bale_ID],0))),0))</f>
        <v>0</v>
      </c>
      <c r="X34" s="397">
        <f>IF(AND(BaleMover[[#This Row],[Scenario_ID]]="S3",BaleMover[[#This Row],[MRF_ID]]="05"),0,IFERROR(BaleMover[[#This Row],[Total_Baled_tons]]*(IF(BaleMover[[#This Row],[Scenario_ID]]="S0",-2,0)+INDEX(BalePrices[Mid-Point],MATCH(BaleMover[[#This Row],[Bale_ID]],BalePrices[Bale_ID],0))),0))</f>
        <v>0</v>
      </c>
      <c r="Y34" s="397">
        <f>IF(AND(BaleMover[[#This Row],[Scenario_ID]]="S3",BaleMover[[#This Row],[MRF_ID]]="05"),0,IFERROR(BaleMover[[#This Row],[Total_Baled_tons]]*(IF(BaleMover[[#This Row],[Scenario_ID]]="S0",-2,0)+INDEX(BalePrices[High],MATCH(BaleMover[[#This Row],[Bale_ID]],BalePrices[Bale_ID],0))),0))</f>
        <v>0</v>
      </c>
    </row>
    <row r="35" spans="2:25" x14ac:dyDescent="0.2">
      <c r="B35" s="545" t="s">
        <v>875</v>
      </c>
      <c r="C35" s="499" t="s">
        <v>706</v>
      </c>
      <c r="D35" s="499"/>
      <c r="E35" s="499"/>
      <c r="F35" s="499" t="s">
        <v>1992</v>
      </c>
      <c r="G35" s="499" t="s">
        <v>2051</v>
      </c>
      <c r="H35" s="499" t="s">
        <v>1201</v>
      </c>
      <c r="I35" s="499" t="s">
        <v>978</v>
      </c>
      <c r="J35" s="499" t="s">
        <v>1892</v>
      </c>
      <c r="K35" s="499" t="s">
        <v>2048</v>
      </c>
      <c r="L35" s="499">
        <v>5</v>
      </c>
      <c r="M35" s="499" t="s">
        <v>2057</v>
      </c>
      <c r="N35" s="499" t="s">
        <v>2058</v>
      </c>
      <c r="O35" s="525">
        <v>0</v>
      </c>
      <c r="P35" s="499" t="s">
        <v>2054</v>
      </c>
      <c r="Q35" s="499"/>
      <c r="R35" s="499"/>
      <c r="S35" s="525"/>
      <c r="T35" s="525">
        <v>0</v>
      </c>
      <c r="U35" s="525">
        <v>1</v>
      </c>
      <c r="V35" s="525" t="s">
        <v>2054</v>
      </c>
      <c r="W35" s="589">
        <f>IF(AND(BaleMover[[#This Row],[Scenario_ID]]="S3",BaleMover[[#This Row],[MRF_ID]]="05"),0,IFERROR(BaleMover[[#This Row],[Total_Baled_tons]]*(IF(BaleMover[[#This Row],[Scenario_ID]]="S0",-2,0)+INDEX(BalePrices[Low],MATCH(BaleMover[[#This Row],[Bale_ID]],BalePrices[Bale_ID],0))),0))</f>
        <v>0</v>
      </c>
      <c r="X35" s="397">
        <f>IF(AND(BaleMover[[#This Row],[Scenario_ID]]="S3",BaleMover[[#This Row],[MRF_ID]]="05"),0,IFERROR(BaleMover[[#This Row],[Total_Baled_tons]]*(IF(BaleMover[[#This Row],[Scenario_ID]]="S0",-2,0)+INDEX(BalePrices[Mid-Point],MATCH(BaleMover[[#This Row],[Bale_ID]],BalePrices[Bale_ID],0))),0))</f>
        <v>0</v>
      </c>
      <c r="Y35" s="397">
        <f>IF(AND(BaleMover[[#This Row],[Scenario_ID]]="S3",BaleMover[[#This Row],[MRF_ID]]="05"),0,IFERROR(BaleMover[[#This Row],[Total_Baled_tons]]*(IF(BaleMover[[#This Row],[Scenario_ID]]="S0",-2,0)+INDEX(BalePrices[High],MATCH(BaleMover[[#This Row],[Bale_ID]],BalePrices[Bale_ID],0))),0))</f>
        <v>0</v>
      </c>
    </row>
    <row r="36" spans="2:25" x14ac:dyDescent="0.2">
      <c r="B36" s="545" t="s">
        <v>874</v>
      </c>
      <c r="C36" s="499" t="s">
        <v>706</v>
      </c>
      <c r="D36" s="499"/>
      <c r="E36" s="499"/>
      <c r="F36" s="499" t="s">
        <v>1992</v>
      </c>
      <c r="G36" s="499" t="s">
        <v>2052</v>
      </c>
      <c r="H36" s="499" t="s">
        <v>1202</v>
      </c>
      <c r="I36" s="499" t="s">
        <v>978</v>
      </c>
      <c r="J36" s="499" t="s">
        <v>1892</v>
      </c>
      <c r="K36" s="499" t="s">
        <v>2048</v>
      </c>
      <c r="L36" s="499">
        <v>5</v>
      </c>
      <c r="M36" s="499" t="s">
        <v>2057</v>
      </c>
      <c r="N36" s="499" t="s">
        <v>2058</v>
      </c>
      <c r="O36" s="525">
        <v>0</v>
      </c>
      <c r="P36" s="499" t="s">
        <v>2054</v>
      </c>
      <c r="Q36" s="499"/>
      <c r="R36" s="499"/>
      <c r="S36" s="525"/>
      <c r="T36" s="525">
        <v>0</v>
      </c>
      <c r="U36" s="525">
        <v>1</v>
      </c>
      <c r="V36" s="525" t="s">
        <v>2054</v>
      </c>
      <c r="W36" s="589">
        <f>IF(AND(BaleMover[[#This Row],[Scenario_ID]]="S3",BaleMover[[#This Row],[MRF_ID]]="05"),0,IFERROR(BaleMover[[#This Row],[Total_Baled_tons]]*(IF(BaleMover[[#This Row],[Scenario_ID]]="S0",-2,0)+INDEX(BalePrices[Low],MATCH(BaleMover[[#This Row],[Bale_ID]],BalePrices[Bale_ID],0))),0))</f>
        <v>0</v>
      </c>
      <c r="X36" s="397">
        <f>IF(AND(BaleMover[[#This Row],[Scenario_ID]]="S3",BaleMover[[#This Row],[MRF_ID]]="05"),0,IFERROR(BaleMover[[#This Row],[Total_Baled_tons]]*(IF(BaleMover[[#This Row],[Scenario_ID]]="S0",-2,0)+INDEX(BalePrices[Mid-Point],MATCH(BaleMover[[#This Row],[Bale_ID]],BalePrices[Bale_ID],0))),0))</f>
        <v>0</v>
      </c>
      <c r="Y36" s="397">
        <f>IF(AND(BaleMover[[#This Row],[Scenario_ID]]="S3",BaleMover[[#This Row],[MRF_ID]]="05"),0,IFERROR(BaleMover[[#This Row],[Total_Baled_tons]]*(IF(BaleMover[[#This Row],[Scenario_ID]]="S0",-2,0)+INDEX(BalePrices[High],MATCH(BaleMover[[#This Row],[Bale_ID]],BalePrices[Bale_ID],0))),0))</f>
        <v>0</v>
      </c>
    </row>
    <row r="37" spans="2:25" x14ac:dyDescent="0.2">
      <c r="B37" s="545" t="s">
        <v>873</v>
      </c>
      <c r="C37" s="499" t="s">
        <v>706</v>
      </c>
      <c r="D37" s="499"/>
      <c r="E37" s="499"/>
      <c r="F37" s="499" t="s">
        <v>1992</v>
      </c>
      <c r="G37" s="499" t="s">
        <v>2053</v>
      </c>
      <c r="H37" s="499" t="s">
        <v>1203</v>
      </c>
      <c r="I37" s="499" t="s">
        <v>978</v>
      </c>
      <c r="J37" s="499" t="s">
        <v>1892</v>
      </c>
      <c r="K37" s="499" t="s">
        <v>2048</v>
      </c>
      <c r="L37" s="499">
        <v>5</v>
      </c>
      <c r="M37" s="499" t="s">
        <v>2057</v>
      </c>
      <c r="N37" s="499" t="s">
        <v>2058</v>
      </c>
      <c r="O37" s="525">
        <v>0</v>
      </c>
      <c r="P37" s="499" t="s">
        <v>2054</v>
      </c>
      <c r="Q37" s="499"/>
      <c r="R37" s="499"/>
      <c r="S37" s="525"/>
      <c r="T37" s="525">
        <v>0</v>
      </c>
      <c r="U37" s="525">
        <v>1</v>
      </c>
      <c r="V37" s="525" t="s">
        <v>2054</v>
      </c>
      <c r="W37" s="589">
        <f>IF(AND(BaleMover[[#This Row],[Scenario_ID]]="S3",BaleMover[[#This Row],[MRF_ID]]="05"),0,IFERROR(BaleMover[[#This Row],[Total_Baled_tons]]*(IF(BaleMover[[#This Row],[Scenario_ID]]="S0",-2,0)+INDEX(BalePrices[Low],MATCH(BaleMover[[#This Row],[Bale_ID]],BalePrices[Bale_ID],0))),0))</f>
        <v>0</v>
      </c>
      <c r="X37" s="397">
        <f>IF(AND(BaleMover[[#This Row],[Scenario_ID]]="S3",BaleMover[[#This Row],[MRF_ID]]="05"),0,IFERROR(BaleMover[[#This Row],[Total_Baled_tons]]*(IF(BaleMover[[#This Row],[Scenario_ID]]="S0",-2,0)+INDEX(BalePrices[Mid-Point],MATCH(BaleMover[[#This Row],[Bale_ID]],BalePrices[Bale_ID],0))),0))</f>
        <v>0</v>
      </c>
      <c r="Y37" s="397">
        <f>IF(AND(BaleMover[[#This Row],[Scenario_ID]]="S3",BaleMover[[#This Row],[MRF_ID]]="05"),0,IFERROR(BaleMover[[#This Row],[Total_Baled_tons]]*(IF(BaleMover[[#This Row],[Scenario_ID]]="S0",-2,0)+INDEX(BalePrices[High],MATCH(BaleMover[[#This Row],[Bale_ID]],BalePrices[Bale_ID],0))),0))</f>
        <v>0</v>
      </c>
    </row>
    <row r="38" spans="2:25" x14ac:dyDescent="0.2">
      <c r="B38" s="545" t="s">
        <v>876</v>
      </c>
      <c r="C38" s="499" t="s">
        <v>706</v>
      </c>
      <c r="D38" s="499"/>
      <c r="E38" s="499"/>
      <c r="F38" s="499" t="s">
        <v>1992</v>
      </c>
      <c r="G38" s="499" t="s">
        <v>2047</v>
      </c>
      <c r="H38" s="499" t="s">
        <v>1204</v>
      </c>
      <c r="I38" s="499" t="s">
        <v>979</v>
      </c>
      <c r="J38" s="499" t="s">
        <v>980</v>
      </c>
      <c r="K38" s="499" t="s">
        <v>2048</v>
      </c>
      <c r="L38" s="499">
        <v>7</v>
      </c>
      <c r="M38" s="499" t="s">
        <v>2055</v>
      </c>
      <c r="N38" s="499" t="s">
        <v>2056</v>
      </c>
      <c r="O38" s="525">
        <v>278.50670627283205</v>
      </c>
      <c r="P38" s="499">
        <v>195</v>
      </c>
      <c r="Q38" s="499"/>
      <c r="R38" s="499"/>
      <c r="S38" s="525"/>
      <c r="T38" s="525">
        <v>0</v>
      </c>
      <c r="U38" s="525">
        <v>1</v>
      </c>
      <c r="V38" s="525">
        <v>54308.807723202248</v>
      </c>
      <c r="W38" s="589">
        <f>IF(AND(BaleMover[[#This Row],[Scenario_ID]]="S3",BaleMover[[#This Row],[MRF_ID]]="05"),0,IFERROR(BaleMover[[#This Row],[Total_Baled_tons]]*(IF(BaleMover[[#This Row],[Scenario_ID]]="S0",-2,0)+INDEX(BalePrices[Low],MATCH(BaleMover[[#This Row],[Bale_ID]],BalePrices[Bale_ID],0))),0))</f>
        <v>3620.5871815468167</v>
      </c>
      <c r="X38" s="397">
        <f>IF(AND(BaleMover[[#This Row],[Scenario_ID]]="S3",BaleMover[[#This Row],[MRF_ID]]="05"),0,IFERROR(BaleMover[[#This Row],[Total_Baled_tons]]*(IF(BaleMover[[#This Row],[Scenario_ID]]="S0",-2,0)+INDEX(BalePrices[Mid-Point],MATCH(BaleMover[[#This Row],[Bale_ID]],BalePrices[Bale_ID],0))),0))</f>
        <v>18242.189260870498</v>
      </c>
      <c r="Y38" s="397">
        <f>IF(AND(BaleMover[[#This Row],[Scenario_ID]]="S3",BaleMover[[#This Row],[MRF_ID]]="05"),0,IFERROR(BaleMover[[#This Row],[Total_Baled_tons]]*(IF(BaleMover[[#This Row],[Scenario_ID]]="S0",-2,0)+INDEX(BalePrices[High],MATCH(BaleMover[[#This Row],[Bale_ID]],BalePrices[Bale_ID],0))),0))</f>
        <v>32863.791340194184</v>
      </c>
    </row>
    <row r="39" spans="2:25" x14ac:dyDescent="0.2">
      <c r="B39" s="545" t="s">
        <v>875</v>
      </c>
      <c r="C39" s="499" t="s">
        <v>706</v>
      </c>
      <c r="D39" s="499"/>
      <c r="E39" s="499"/>
      <c r="F39" s="499" t="s">
        <v>1992</v>
      </c>
      <c r="G39" s="499" t="s">
        <v>2051</v>
      </c>
      <c r="H39" s="499" t="s">
        <v>1205</v>
      </c>
      <c r="I39" s="499" t="s">
        <v>979</v>
      </c>
      <c r="J39" s="499" t="s">
        <v>980</v>
      </c>
      <c r="K39" s="499" t="s">
        <v>2048</v>
      </c>
      <c r="L39" s="499">
        <v>7</v>
      </c>
      <c r="M39" s="499" t="s">
        <v>2055</v>
      </c>
      <c r="N39" s="499" t="s">
        <v>2056</v>
      </c>
      <c r="O39" s="525">
        <v>221.42912550184988</v>
      </c>
      <c r="P39" s="499">
        <v>195</v>
      </c>
      <c r="Q39" s="499"/>
      <c r="R39" s="499"/>
      <c r="S39" s="525"/>
      <c r="T39" s="525">
        <v>0</v>
      </c>
      <c r="U39" s="525">
        <v>1</v>
      </c>
      <c r="V39" s="525">
        <v>43178.679472860727</v>
      </c>
      <c r="W39" s="589">
        <f>IF(AND(BaleMover[[#This Row],[Scenario_ID]]="S3",BaleMover[[#This Row],[MRF_ID]]="05"),0,IFERROR(BaleMover[[#This Row],[Total_Baled_tons]]*(IF(BaleMover[[#This Row],[Scenario_ID]]="S0",-2,0)+INDEX(BalePrices[Low],MATCH(BaleMover[[#This Row],[Bale_ID]],BalePrices[Bale_ID],0))),0))</f>
        <v>3321.4368825277484</v>
      </c>
      <c r="X39" s="397">
        <f>IF(AND(BaleMover[[#This Row],[Scenario_ID]]="S3",BaleMover[[#This Row],[MRF_ID]]="05"),0,IFERROR(BaleMover[[#This Row],[Total_Baled_tons]]*(IF(BaleMover[[#This Row],[Scenario_ID]]="S0",-2,0)+INDEX(BalePrices[Mid-Point],MATCH(BaleMover[[#This Row],[Bale_ID]],BalePrices[Bale_ID],0))),0))</f>
        <v>14946.465971374868</v>
      </c>
      <c r="Y39" s="397">
        <f>IF(AND(BaleMover[[#This Row],[Scenario_ID]]="S3",BaleMover[[#This Row],[MRF_ID]]="05"),0,IFERROR(BaleMover[[#This Row],[Total_Baled_tons]]*(IF(BaleMover[[#This Row],[Scenario_ID]]="S0",-2,0)+INDEX(BalePrices[High],MATCH(BaleMover[[#This Row],[Bale_ID]],BalePrices[Bale_ID],0))),0))</f>
        <v>26571.495060221987</v>
      </c>
    </row>
    <row r="40" spans="2:25" x14ac:dyDescent="0.2">
      <c r="B40" s="545" t="s">
        <v>874</v>
      </c>
      <c r="C40" s="499" t="s">
        <v>706</v>
      </c>
      <c r="D40" s="499"/>
      <c r="E40" s="499"/>
      <c r="F40" s="499" t="s">
        <v>1992</v>
      </c>
      <c r="G40" s="499" t="s">
        <v>2052</v>
      </c>
      <c r="H40" s="499" t="s">
        <v>1206</v>
      </c>
      <c r="I40" s="499" t="s">
        <v>979</v>
      </c>
      <c r="J40" s="499" t="s">
        <v>980</v>
      </c>
      <c r="K40" s="499" t="s">
        <v>2048</v>
      </c>
      <c r="L40" s="499">
        <v>7</v>
      </c>
      <c r="M40" s="499" t="s">
        <v>2055</v>
      </c>
      <c r="N40" s="499" t="s">
        <v>2056</v>
      </c>
      <c r="O40" s="525">
        <v>0</v>
      </c>
      <c r="P40" s="499" t="s">
        <v>2054</v>
      </c>
      <c r="Q40" s="499"/>
      <c r="R40" s="499"/>
      <c r="S40" s="525"/>
      <c r="T40" s="525">
        <v>0</v>
      </c>
      <c r="U40" s="525">
        <v>1</v>
      </c>
      <c r="V40" s="525" t="s">
        <v>2054</v>
      </c>
      <c r="W40" s="589">
        <f>IF(AND(BaleMover[[#This Row],[Scenario_ID]]="S3",BaleMover[[#This Row],[MRF_ID]]="05"),0,IFERROR(BaleMover[[#This Row],[Total_Baled_tons]]*(IF(BaleMover[[#This Row],[Scenario_ID]]="S0",-2,0)+INDEX(BalePrices[Low],MATCH(BaleMover[[#This Row],[Bale_ID]],BalePrices[Bale_ID],0))),0))</f>
        <v>0</v>
      </c>
      <c r="X40" s="397">
        <f>IF(AND(BaleMover[[#This Row],[Scenario_ID]]="S3",BaleMover[[#This Row],[MRF_ID]]="05"),0,IFERROR(BaleMover[[#This Row],[Total_Baled_tons]]*(IF(BaleMover[[#This Row],[Scenario_ID]]="S0",-2,0)+INDEX(BalePrices[Mid-Point],MATCH(BaleMover[[#This Row],[Bale_ID]],BalePrices[Bale_ID],0))),0))</f>
        <v>0</v>
      </c>
      <c r="Y40" s="397">
        <f>IF(AND(BaleMover[[#This Row],[Scenario_ID]]="S3",BaleMover[[#This Row],[MRF_ID]]="05"),0,IFERROR(BaleMover[[#This Row],[Total_Baled_tons]]*(IF(BaleMover[[#This Row],[Scenario_ID]]="S0",-2,0)+INDEX(BalePrices[High],MATCH(BaleMover[[#This Row],[Bale_ID]],BalePrices[Bale_ID],0))),0))</f>
        <v>0</v>
      </c>
    </row>
    <row r="41" spans="2:25" x14ac:dyDescent="0.2">
      <c r="B41" s="545" t="s">
        <v>873</v>
      </c>
      <c r="C41" s="499" t="s">
        <v>706</v>
      </c>
      <c r="D41" s="499"/>
      <c r="E41" s="499"/>
      <c r="F41" s="499" t="s">
        <v>1992</v>
      </c>
      <c r="G41" s="499" t="s">
        <v>2053</v>
      </c>
      <c r="H41" s="499" t="s">
        <v>1207</v>
      </c>
      <c r="I41" s="499" t="s">
        <v>979</v>
      </c>
      <c r="J41" s="499" t="s">
        <v>980</v>
      </c>
      <c r="K41" s="499" t="s">
        <v>2048</v>
      </c>
      <c r="L41" s="499">
        <v>7</v>
      </c>
      <c r="M41" s="499" t="s">
        <v>2055</v>
      </c>
      <c r="N41" s="499" t="s">
        <v>2056</v>
      </c>
      <c r="O41" s="525">
        <v>0</v>
      </c>
      <c r="P41" s="499" t="s">
        <v>2054</v>
      </c>
      <c r="Q41" s="499"/>
      <c r="R41" s="499"/>
      <c r="S41" s="525"/>
      <c r="T41" s="525">
        <v>0</v>
      </c>
      <c r="U41" s="525">
        <v>1</v>
      </c>
      <c r="V41" s="525" t="s">
        <v>2054</v>
      </c>
      <c r="W41" s="589">
        <f>IF(AND(BaleMover[[#This Row],[Scenario_ID]]="S3",BaleMover[[#This Row],[MRF_ID]]="05"),0,IFERROR(BaleMover[[#This Row],[Total_Baled_tons]]*(IF(BaleMover[[#This Row],[Scenario_ID]]="S0",-2,0)+INDEX(BalePrices[Low],MATCH(BaleMover[[#This Row],[Bale_ID]],BalePrices[Bale_ID],0))),0))</f>
        <v>0</v>
      </c>
      <c r="X41" s="397">
        <f>IF(AND(BaleMover[[#This Row],[Scenario_ID]]="S3",BaleMover[[#This Row],[MRF_ID]]="05"),0,IFERROR(BaleMover[[#This Row],[Total_Baled_tons]]*(IF(BaleMover[[#This Row],[Scenario_ID]]="S0",-2,0)+INDEX(BalePrices[Mid-Point],MATCH(BaleMover[[#This Row],[Bale_ID]],BalePrices[Bale_ID],0))),0))</f>
        <v>0</v>
      </c>
      <c r="Y41" s="397">
        <f>IF(AND(BaleMover[[#This Row],[Scenario_ID]]="S3",BaleMover[[#This Row],[MRF_ID]]="05"),0,IFERROR(BaleMover[[#This Row],[Total_Baled_tons]]*(IF(BaleMover[[#This Row],[Scenario_ID]]="S0",-2,0)+INDEX(BalePrices[High],MATCH(BaleMover[[#This Row],[Bale_ID]],BalePrices[Bale_ID],0))),0))</f>
        <v>0</v>
      </c>
    </row>
    <row r="42" spans="2:25" x14ac:dyDescent="0.2">
      <c r="B42" s="545" t="s">
        <v>876</v>
      </c>
      <c r="C42" s="499" t="s">
        <v>706</v>
      </c>
      <c r="D42" s="499"/>
      <c r="E42" s="499"/>
      <c r="F42" s="499" t="s">
        <v>1992</v>
      </c>
      <c r="G42" s="499" t="s">
        <v>2047</v>
      </c>
      <c r="H42" s="499" t="s">
        <v>1208</v>
      </c>
      <c r="I42" s="499" t="s">
        <v>981</v>
      </c>
      <c r="J42" s="499" t="s">
        <v>3674</v>
      </c>
      <c r="K42" s="499" t="s">
        <v>2048</v>
      </c>
      <c r="L42" s="499">
        <v>13</v>
      </c>
      <c r="M42" s="499" t="s">
        <v>2059</v>
      </c>
      <c r="N42" s="499" t="s">
        <v>2060</v>
      </c>
      <c r="O42" s="525">
        <v>0</v>
      </c>
      <c r="P42" s="499" t="s">
        <v>2054</v>
      </c>
      <c r="Q42" s="499"/>
      <c r="R42" s="499"/>
      <c r="S42" s="525"/>
      <c r="T42" s="525">
        <v>0</v>
      </c>
      <c r="U42" s="525">
        <v>1</v>
      </c>
      <c r="V42" s="525" t="s">
        <v>2054</v>
      </c>
      <c r="W42" s="589">
        <f>IF(AND(BaleMover[[#This Row],[Scenario_ID]]="S3",BaleMover[[#This Row],[MRF_ID]]="05"),0,IFERROR(BaleMover[[#This Row],[Total_Baled_tons]]*(IF(BaleMover[[#This Row],[Scenario_ID]]="S0",-2,0)+INDEX(BalePrices[Low],MATCH(BaleMover[[#This Row],[Bale_ID]],BalePrices[Bale_ID],0))),0))</f>
        <v>0</v>
      </c>
      <c r="X42" s="397">
        <f>IF(AND(BaleMover[[#This Row],[Scenario_ID]]="S3",BaleMover[[#This Row],[MRF_ID]]="05"),0,IFERROR(BaleMover[[#This Row],[Total_Baled_tons]]*(IF(BaleMover[[#This Row],[Scenario_ID]]="S0",-2,0)+INDEX(BalePrices[Mid-Point],MATCH(BaleMover[[#This Row],[Bale_ID]],BalePrices[Bale_ID],0))),0))</f>
        <v>0</v>
      </c>
      <c r="Y42" s="397">
        <f>IF(AND(BaleMover[[#This Row],[Scenario_ID]]="S3",BaleMover[[#This Row],[MRF_ID]]="05"),0,IFERROR(BaleMover[[#This Row],[Total_Baled_tons]]*(IF(BaleMover[[#This Row],[Scenario_ID]]="S0",-2,0)+INDEX(BalePrices[High],MATCH(BaleMover[[#This Row],[Bale_ID]],BalePrices[Bale_ID],0))),0))</f>
        <v>0</v>
      </c>
    </row>
    <row r="43" spans="2:25" x14ac:dyDescent="0.2">
      <c r="B43" s="545" t="s">
        <v>875</v>
      </c>
      <c r="C43" s="499" t="s">
        <v>706</v>
      </c>
      <c r="D43" s="499"/>
      <c r="E43" s="499"/>
      <c r="F43" s="499" t="s">
        <v>1992</v>
      </c>
      <c r="G43" s="499" t="s">
        <v>2051</v>
      </c>
      <c r="H43" s="499" t="s">
        <v>1209</v>
      </c>
      <c r="I43" s="499" t="s">
        <v>981</v>
      </c>
      <c r="J43" s="499" t="s">
        <v>3674</v>
      </c>
      <c r="K43" s="499" t="s">
        <v>2048</v>
      </c>
      <c r="L43" s="499">
        <v>13</v>
      </c>
      <c r="M43" s="499" t="s">
        <v>2059</v>
      </c>
      <c r="N43" s="499" t="s">
        <v>2060</v>
      </c>
      <c r="O43" s="525">
        <v>0</v>
      </c>
      <c r="P43" s="499" t="s">
        <v>2054</v>
      </c>
      <c r="Q43" s="499"/>
      <c r="R43" s="499"/>
      <c r="S43" s="525"/>
      <c r="T43" s="525">
        <v>0</v>
      </c>
      <c r="U43" s="525">
        <v>1</v>
      </c>
      <c r="V43" s="525" t="s">
        <v>2054</v>
      </c>
      <c r="W43" s="589">
        <f>IF(AND(BaleMover[[#This Row],[Scenario_ID]]="S3",BaleMover[[#This Row],[MRF_ID]]="05"),0,IFERROR(BaleMover[[#This Row],[Total_Baled_tons]]*(IF(BaleMover[[#This Row],[Scenario_ID]]="S0",-2,0)+INDEX(BalePrices[Low],MATCH(BaleMover[[#This Row],[Bale_ID]],BalePrices[Bale_ID],0))),0))</f>
        <v>0</v>
      </c>
      <c r="X43" s="397">
        <f>IF(AND(BaleMover[[#This Row],[Scenario_ID]]="S3",BaleMover[[#This Row],[MRF_ID]]="05"),0,IFERROR(BaleMover[[#This Row],[Total_Baled_tons]]*(IF(BaleMover[[#This Row],[Scenario_ID]]="S0",-2,0)+INDEX(BalePrices[Mid-Point],MATCH(BaleMover[[#This Row],[Bale_ID]],BalePrices[Bale_ID],0))),0))</f>
        <v>0</v>
      </c>
      <c r="Y43" s="397">
        <f>IF(AND(BaleMover[[#This Row],[Scenario_ID]]="S3",BaleMover[[#This Row],[MRF_ID]]="05"),0,IFERROR(BaleMover[[#This Row],[Total_Baled_tons]]*(IF(BaleMover[[#This Row],[Scenario_ID]]="S0",-2,0)+INDEX(BalePrices[High],MATCH(BaleMover[[#This Row],[Bale_ID]],BalePrices[Bale_ID],0))),0))</f>
        <v>0</v>
      </c>
    </row>
    <row r="44" spans="2:25" x14ac:dyDescent="0.2">
      <c r="B44" s="545" t="s">
        <v>874</v>
      </c>
      <c r="C44" s="499" t="s">
        <v>706</v>
      </c>
      <c r="D44" s="499"/>
      <c r="E44" s="499"/>
      <c r="F44" s="499" t="s">
        <v>1992</v>
      </c>
      <c r="G44" s="499" t="s">
        <v>2052</v>
      </c>
      <c r="H44" s="499" t="s">
        <v>1210</v>
      </c>
      <c r="I44" s="499" t="s">
        <v>981</v>
      </c>
      <c r="J44" s="499" t="s">
        <v>3674</v>
      </c>
      <c r="K44" s="499" t="s">
        <v>2048</v>
      </c>
      <c r="L44" s="499">
        <v>13</v>
      </c>
      <c r="M44" s="499" t="s">
        <v>2059</v>
      </c>
      <c r="N44" s="499" t="s">
        <v>2060</v>
      </c>
      <c r="O44" s="525">
        <v>0</v>
      </c>
      <c r="P44" s="499" t="s">
        <v>2054</v>
      </c>
      <c r="Q44" s="499"/>
      <c r="R44" s="499"/>
      <c r="S44" s="525"/>
      <c r="T44" s="525">
        <v>0</v>
      </c>
      <c r="U44" s="525">
        <v>1</v>
      </c>
      <c r="V44" s="525" t="s">
        <v>2054</v>
      </c>
      <c r="W44" s="589">
        <f>IF(AND(BaleMover[[#This Row],[Scenario_ID]]="S3",BaleMover[[#This Row],[MRF_ID]]="05"),0,IFERROR(BaleMover[[#This Row],[Total_Baled_tons]]*(IF(BaleMover[[#This Row],[Scenario_ID]]="S0",-2,0)+INDEX(BalePrices[Low],MATCH(BaleMover[[#This Row],[Bale_ID]],BalePrices[Bale_ID],0))),0))</f>
        <v>0</v>
      </c>
      <c r="X44" s="397">
        <f>IF(AND(BaleMover[[#This Row],[Scenario_ID]]="S3",BaleMover[[#This Row],[MRF_ID]]="05"),0,IFERROR(BaleMover[[#This Row],[Total_Baled_tons]]*(IF(BaleMover[[#This Row],[Scenario_ID]]="S0",-2,0)+INDEX(BalePrices[Mid-Point],MATCH(BaleMover[[#This Row],[Bale_ID]],BalePrices[Bale_ID],0))),0))</f>
        <v>0</v>
      </c>
      <c r="Y44" s="397">
        <f>IF(AND(BaleMover[[#This Row],[Scenario_ID]]="S3",BaleMover[[#This Row],[MRF_ID]]="05"),0,IFERROR(BaleMover[[#This Row],[Total_Baled_tons]]*(IF(BaleMover[[#This Row],[Scenario_ID]]="S0",-2,0)+INDEX(BalePrices[High],MATCH(BaleMover[[#This Row],[Bale_ID]],BalePrices[Bale_ID],0))),0))</f>
        <v>0</v>
      </c>
    </row>
    <row r="45" spans="2:25" x14ac:dyDescent="0.2">
      <c r="B45" s="545" t="s">
        <v>873</v>
      </c>
      <c r="C45" s="499" t="s">
        <v>706</v>
      </c>
      <c r="D45" s="499"/>
      <c r="E45" s="499"/>
      <c r="F45" s="499" t="s">
        <v>1992</v>
      </c>
      <c r="G45" s="499" t="s">
        <v>2053</v>
      </c>
      <c r="H45" s="499" t="s">
        <v>1211</v>
      </c>
      <c r="I45" s="499" t="s">
        <v>981</v>
      </c>
      <c r="J45" s="499" t="s">
        <v>3674</v>
      </c>
      <c r="K45" s="499" t="s">
        <v>2048</v>
      </c>
      <c r="L45" s="499">
        <v>13</v>
      </c>
      <c r="M45" s="499" t="s">
        <v>2059</v>
      </c>
      <c r="N45" s="499" t="s">
        <v>2060</v>
      </c>
      <c r="O45" s="525">
        <v>0</v>
      </c>
      <c r="P45" s="499" t="s">
        <v>2054</v>
      </c>
      <c r="Q45" s="499"/>
      <c r="R45" s="499"/>
      <c r="S45" s="525"/>
      <c r="T45" s="525">
        <v>0</v>
      </c>
      <c r="U45" s="525">
        <v>1</v>
      </c>
      <c r="V45" s="525" t="s">
        <v>2054</v>
      </c>
      <c r="W45" s="589">
        <f>IF(AND(BaleMover[[#This Row],[Scenario_ID]]="S3",BaleMover[[#This Row],[MRF_ID]]="05"),0,IFERROR(BaleMover[[#This Row],[Total_Baled_tons]]*(IF(BaleMover[[#This Row],[Scenario_ID]]="S0",-2,0)+INDEX(BalePrices[Low],MATCH(BaleMover[[#This Row],[Bale_ID]],BalePrices[Bale_ID],0))),0))</f>
        <v>0</v>
      </c>
      <c r="X45" s="397">
        <f>IF(AND(BaleMover[[#This Row],[Scenario_ID]]="S3",BaleMover[[#This Row],[MRF_ID]]="05"),0,IFERROR(BaleMover[[#This Row],[Total_Baled_tons]]*(IF(BaleMover[[#This Row],[Scenario_ID]]="S0",-2,0)+INDEX(BalePrices[Mid-Point],MATCH(BaleMover[[#This Row],[Bale_ID]],BalePrices[Bale_ID],0))),0))</f>
        <v>0</v>
      </c>
      <c r="Y45" s="397">
        <f>IF(AND(BaleMover[[#This Row],[Scenario_ID]]="S3",BaleMover[[#This Row],[MRF_ID]]="05"),0,IFERROR(BaleMover[[#This Row],[Total_Baled_tons]]*(IF(BaleMover[[#This Row],[Scenario_ID]]="S0",-2,0)+INDEX(BalePrices[High],MATCH(BaleMover[[#This Row],[Bale_ID]],BalePrices[Bale_ID],0))),0))</f>
        <v>0</v>
      </c>
    </row>
    <row r="46" spans="2:25" x14ac:dyDescent="0.2">
      <c r="B46" s="545" t="s">
        <v>876</v>
      </c>
      <c r="C46" s="499" t="s">
        <v>706</v>
      </c>
      <c r="D46" s="499"/>
      <c r="E46" s="499"/>
      <c r="F46" s="499" t="s">
        <v>1992</v>
      </c>
      <c r="G46" s="499" t="s">
        <v>2047</v>
      </c>
      <c r="H46" s="499" t="s">
        <v>1212</v>
      </c>
      <c r="I46" s="499" t="s">
        <v>982</v>
      </c>
      <c r="J46" s="499" t="s">
        <v>983</v>
      </c>
      <c r="K46" s="499" t="s">
        <v>2048</v>
      </c>
      <c r="L46" s="499">
        <v>10</v>
      </c>
      <c r="M46" s="499" t="s">
        <v>2061</v>
      </c>
      <c r="N46" s="499" t="s">
        <v>2062</v>
      </c>
      <c r="O46" s="525">
        <v>2121.740377011457</v>
      </c>
      <c r="P46" s="499">
        <v>620</v>
      </c>
      <c r="Q46" s="499"/>
      <c r="R46" s="499"/>
      <c r="S46" s="525"/>
      <c r="T46" s="525">
        <v>0</v>
      </c>
      <c r="U46" s="525">
        <v>1</v>
      </c>
      <c r="V46" s="525">
        <v>1315479.0337471033</v>
      </c>
      <c r="W46" s="589">
        <f>IF(AND(BaleMover[[#This Row],[Scenario_ID]]="S3",BaleMover[[#This Row],[MRF_ID]]="05"),0,IFERROR(BaleMover[[#This Row],[Total_Baled_tons]]*(IF(BaleMover[[#This Row],[Scenario_ID]]="S0",-2,0)+INDEX(BalePrices[Low],MATCH(BaleMover[[#This Row],[Bale_ID]],BalePrices[Bale_ID],0))),0))</f>
        <v>398887.1908781539</v>
      </c>
      <c r="X46" s="397">
        <f>IF(AND(BaleMover[[#This Row],[Scenario_ID]]="S3",BaleMover[[#This Row],[MRF_ID]]="05"),0,IFERROR(BaleMover[[#This Row],[Total_Baled_tons]]*(IF(BaleMover[[#This Row],[Scenario_ID]]="S0",-2,0)+INDEX(BalePrices[Mid-Point],MATCH(BaleMover[[#This Row],[Bale_ID]],BalePrices[Bale_ID],0))),0))</f>
        <v>515582.91161378403</v>
      </c>
      <c r="Y46" s="397">
        <f>IF(AND(BaleMover[[#This Row],[Scenario_ID]]="S3",BaleMover[[#This Row],[MRF_ID]]="05"),0,IFERROR(BaleMover[[#This Row],[Total_Baled_tons]]*(IF(BaleMover[[#This Row],[Scenario_ID]]="S0",-2,0)+INDEX(BalePrices[High],MATCH(BaleMover[[#This Row],[Bale_ID]],BalePrices[Bale_ID],0))),0))</f>
        <v>632278.63234941417</v>
      </c>
    </row>
    <row r="47" spans="2:25" x14ac:dyDescent="0.2">
      <c r="B47" s="545" t="s">
        <v>875</v>
      </c>
      <c r="C47" s="499" t="s">
        <v>706</v>
      </c>
      <c r="D47" s="499"/>
      <c r="E47" s="499"/>
      <c r="F47" s="499" t="s">
        <v>1992</v>
      </c>
      <c r="G47" s="499" t="s">
        <v>2051</v>
      </c>
      <c r="H47" s="499" t="s">
        <v>1213</v>
      </c>
      <c r="I47" s="499" t="s">
        <v>982</v>
      </c>
      <c r="J47" s="499" t="s">
        <v>983</v>
      </c>
      <c r="K47" s="499" t="s">
        <v>2048</v>
      </c>
      <c r="L47" s="499">
        <v>10</v>
      </c>
      <c r="M47" s="499" t="s">
        <v>2061</v>
      </c>
      <c r="N47" s="499" t="s">
        <v>2062</v>
      </c>
      <c r="O47" s="525">
        <v>2007.9833614979054</v>
      </c>
      <c r="P47" s="499">
        <v>620</v>
      </c>
      <c r="Q47" s="499"/>
      <c r="R47" s="499"/>
      <c r="S47" s="525"/>
      <c r="T47" s="525">
        <v>0</v>
      </c>
      <c r="U47" s="525">
        <v>1</v>
      </c>
      <c r="V47" s="525">
        <v>1244949.6841287015</v>
      </c>
      <c r="W47" s="589">
        <f>IF(AND(BaleMover[[#This Row],[Scenario_ID]]="S3",BaleMover[[#This Row],[MRF_ID]]="05"),0,IFERROR(BaleMover[[#This Row],[Total_Baled_tons]]*(IF(BaleMover[[#This Row],[Scenario_ID]]="S0",-2,0)+INDEX(BalePrices[Low],MATCH(BaleMover[[#This Row],[Bale_ID]],BalePrices[Bale_ID],0))),0))</f>
        <v>381516.83868460206</v>
      </c>
      <c r="X47" s="397">
        <f>IF(AND(BaleMover[[#This Row],[Scenario_ID]]="S3",BaleMover[[#This Row],[MRF_ID]]="05"),0,IFERROR(BaleMover[[#This Row],[Total_Baled_tons]]*(IF(BaleMover[[#This Row],[Scenario_ID]]="S0",-2,0)+INDEX(BalePrices[Mid-Point],MATCH(BaleMover[[#This Row],[Bale_ID]],BalePrices[Bale_ID],0))),0))</f>
        <v>491955.92356698681</v>
      </c>
      <c r="Y47" s="397">
        <f>IF(AND(BaleMover[[#This Row],[Scenario_ID]]="S3",BaleMover[[#This Row],[MRF_ID]]="05"),0,IFERROR(BaleMover[[#This Row],[Total_Baled_tons]]*(IF(BaleMover[[#This Row],[Scenario_ID]]="S0",-2,0)+INDEX(BalePrices[High],MATCH(BaleMover[[#This Row],[Bale_ID]],BalePrices[Bale_ID],0))),0))</f>
        <v>602395.00844937167</v>
      </c>
    </row>
    <row r="48" spans="2:25" x14ac:dyDescent="0.2">
      <c r="B48" s="545" t="s">
        <v>874</v>
      </c>
      <c r="C48" s="499" t="s">
        <v>706</v>
      </c>
      <c r="D48" s="499"/>
      <c r="E48" s="499"/>
      <c r="F48" s="499" t="s">
        <v>1992</v>
      </c>
      <c r="G48" s="499" t="s">
        <v>2052</v>
      </c>
      <c r="H48" s="499" t="s">
        <v>1214</v>
      </c>
      <c r="I48" s="499" t="s">
        <v>982</v>
      </c>
      <c r="J48" s="499" t="s">
        <v>983</v>
      </c>
      <c r="K48" s="499" t="s">
        <v>2048</v>
      </c>
      <c r="L48" s="499">
        <v>10</v>
      </c>
      <c r="M48" s="499" t="s">
        <v>2061</v>
      </c>
      <c r="N48" s="499" t="s">
        <v>2062</v>
      </c>
      <c r="O48" s="525">
        <v>0</v>
      </c>
      <c r="P48" s="499" t="s">
        <v>2054</v>
      </c>
      <c r="Q48" s="499"/>
      <c r="R48" s="499"/>
      <c r="S48" s="525"/>
      <c r="T48" s="525">
        <v>0</v>
      </c>
      <c r="U48" s="525">
        <v>1</v>
      </c>
      <c r="V48" s="525" t="s">
        <v>2054</v>
      </c>
      <c r="W48" s="589">
        <f>IF(AND(BaleMover[[#This Row],[Scenario_ID]]="S3",BaleMover[[#This Row],[MRF_ID]]="05"),0,IFERROR(BaleMover[[#This Row],[Total_Baled_tons]]*(IF(BaleMover[[#This Row],[Scenario_ID]]="S0",-2,0)+INDEX(BalePrices[Low],MATCH(BaleMover[[#This Row],[Bale_ID]],BalePrices[Bale_ID],0))),0))</f>
        <v>0</v>
      </c>
      <c r="X48" s="397">
        <f>IF(AND(BaleMover[[#This Row],[Scenario_ID]]="S3",BaleMover[[#This Row],[MRF_ID]]="05"),0,IFERROR(BaleMover[[#This Row],[Total_Baled_tons]]*(IF(BaleMover[[#This Row],[Scenario_ID]]="S0",-2,0)+INDEX(BalePrices[Mid-Point],MATCH(BaleMover[[#This Row],[Bale_ID]],BalePrices[Bale_ID],0))),0))</f>
        <v>0</v>
      </c>
      <c r="Y48" s="397">
        <f>IF(AND(BaleMover[[#This Row],[Scenario_ID]]="S3",BaleMover[[#This Row],[MRF_ID]]="05"),0,IFERROR(BaleMover[[#This Row],[Total_Baled_tons]]*(IF(BaleMover[[#This Row],[Scenario_ID]]="S0",-2,0)+INDEX(BalePrices[High],MATCH(BaleMover[[#This Row],[Bale_ID]],BalePrices[Bale_ID],0))),0))</f>
        <v>0</v>
      </c>
    </row>
    <row r="49" spans="2:25" x14ac:dyDescent="0.2">
      <c r="B49" s="545" t="s">
        <v>873</v>
      </c>
      <c r="C49" s="499" t="s">
        <v>706</v>
      </c>
      <c r="D49" s="499"/>
      <c r="E49" s="499"/>
      <c r="F49" s="499" t="s">
        <v>1992</v>
      </c>
      <c r="G49" s="499" t="s">
        <v>2053</v>
      </c>
      <c r="H49" s="499" t="s">
        <v>1215</v>
      </c>
      <c r="I49" s="499" t="s">
        <v>982</v>
      </c>
      <c r="J49" s="499" t="s">
        <v>983</v>
      </c>
      <c r="K49" s="499" t="s">
        <v>2048</v>
      </c>
      <c r="L49" s="499">
        <v>10</v>
      </c>
      <c r="M49" s="499" t="s">
        <v>2061</v>
      </c>
      <c r="N49" s="499" t="s">
        <v>2062</v>
      </c>
      <c r="O49" s="525">
        <v>0</v>
      </c>
      <c r="P49" s="499" t="s">
        <v>2054</v>
      </c>
      <c r="Q49" s="499"/>
      <c r="R49" s="499"/>
      <c r="S49" s="525"/>
      <c r="T49" s="525">
        <v>0</v>
      </c>
      <c r="U49" s="525">
        <v>1</v>
      </c>
      <c r="V49" s="525" t="s">
        <v>2054</v>
      </c>
      <c r="W49" s="589">
        <f>IF(AND(BaleMover[[#This Row],[Scenario_ID]]="S3",BaleMover[[#This Row],[MRF_ID]]="05"),0,IFERROR(BaleMover[[#This Row],[Total_Baled_tons]]*(IF(BaleMover[[#This Row],[Scenario_ID]]="S0",-2,0)+INDEX(BalePrices[Low],MATCH(BaleMover[[#This Row],[Bale_ID]],BalePrices[Bale_ID],0))),0))</f>
        <v>0</v>
      </c>
      <c r="X49" s="397">
        <f>IF(AND(BaleMover[[#This Row],[Scenario_ID]]="S3",BaleMover[[#This Row],[MRF_ID]]="05"),0,IFERROR(BaleMover[[#This Row],[Total_Baled_tons]]*(IF(BaleMover[[#This Row],[Scenario_ID]]="S0",-2,0)+INDEX(BalePrices[Mid-Point],MATCH(BaleMover[[#This Row],[Bale_ID]],BalePrices[Bale_ID],0))),0))</f>
        <v>0</v>
      </c>
      <c r="Y49" s="397">
        <f>IF(AND(BaleMover[[#This Row],[Scenario_ID]]="S3",BaleMover[[#This Row],[MRF_ID]]="05"),0,IFERROR(BaleMover[[#This Row],[Total_Baled_tons]]*(IF(BaleMover[[#This Row],[Scenario_ID]]="S0",-2,0)+INDEX(BalePrices[High],MATCH(BaleMover[[#This Row],[Bale_ID]],BalePrices[Bale_ID],0))),0))</f>
        <v>0</v>
      </c>
    </row>
    <row r="50" spans="2:25" x14ac:dyDescent="0.2">
      <c r="B50" s="545" t="s">
        <v>876</v>
      </c>
      <c r="C50" s="499" t="s">
        <v>706</v>
      </c>
      <c r="D50" s="499"/>
      <c r="E50" s="499"/>
      <c r="F50" s="499" t="s">
        <v>1992</v>
      </c>
      <c r="G50" s="499" t="s">
        <v>2047</v>
      </c>
      <c r="H50" s="499" t="s">
        <v>1216</v>
      </c>
      <c r="I50" s="499" t="s">
        <v>984</v>
      </c>
      <c r="J50" s="499" t="s">
        <v>985</v>
      </c>
      <c r="K50" s="499" t="s">
        <v>2048</v>
      </c>
      <c r="L50" s="499">
        <v>11</v>
      </c>
      <c r="M50" s="499" t="s">
        <v>2063</v>
      </c>
      <c r="N50" s="499" t="s">
        <v>2064</v>
      </c>
      <c r="O50" s="525">
        <v>0</v>
      </c>
      <c r="P50" s="499" t="s">
        <v>2054</v>
      </c>
      <c r="Q50" s="499"/>
      <c r="R50" s="499"/>
      <c r="S50" s="525"/>
      <c r="T50" s="525">
        <v>0</v>
      </c>
      <c r="U50" s="525">
        <v>1</v>
      </c>
      <c r="V50" s="525" t="s">
        <v>2054</v>
      </c>
      <c r="W50" s="589">
        <f>IF(AND(BaleMover[[#This Row],[Scenario_ID]]="S3",BaleMover[[#This Row],[MRF_ID]]="05"),0,IFERROR(BaleMover[[#This Row],[Total_Baled_tons]]*(IF(BaleMover[[#This Row],[Scenario_ID]]="S0",-2,0)+INDEX(BalePrices[Low],MATCH(BaleMover[[#This Row],[Bale_ID]],BalePrices[Bale_ID],0))),0))</f>
        <v>0</v>
      </c>
      <c r="X50" s="397">
        <f>IF(AND(BaleMover[[#This Row],[Scenario_ID]]="S3",BaleMover[[#This Row],[MRF_ID]]="05"),0,IFERROR(BaleMover[[#This Row],[Total_Baled_tons]]*(IF(BaleMover[[#This Row],[Scenario_ID]]="S0",-2,0)+INDEX(BalePrices[Mid-Point],MATCH(BaleMover[[#This Row],[Bale_ID]],BalePrices[Bale_ID],0))),0))</f>
        <v>0</v>
      </c>
      <c r="Y50" s="397">
        <f>IF(AND(BaleMover[[#This Row],[Scenario_ID]]="S3",BaleMover[[#This Row],[MRF_ID]]="05"),0,IFERROR(BaleMover[[#This Row],[Total_Baled_tons]]*(IF(BaleMover[[#This Row],[Scenario_ID]]="S0",-2,0)+INDEX(BalePrices[High],MATCH(BaleMover[[#This Row],[Bale_ID]],BalePrices[Bale_ID],0))),0))</f>
        <v>0</v>
      </c>
    </row>
    <row r="51" spans="2:25" x14ac:dyDescent="0.2">
      <c r="B51" s="545" t="s">
        <v>875</v>
      </c>
      <c r="C51" s="499" t="s">
        <v>706</v>
      </c>
      <c r="D51" s="499"/>
      <c r="E51" s="499"/>
      <c r="F51" s="499" t="s">
        <v>1992</v>
      </c>
      <c r="G51" s="499" t="s">
        <v>2051</v>
      </c>
      <c r="H51" s="499" t="s">
        <v>1217</v>
      </c>
      <c r="I51" s="499" t="s">
        <v>984</v>
      </c>
      <c r="J51" s="499" t="s">
        <v>985</v>
      </c>
      <c r="K51" s="499" t="s">
        <v>2048</v>
      </c>
      <c r="L51" s="499">
        <v>11</v>
      </c>
      <c r="M51" s="499" t="s">
        <v>2063</v>
      </c>
      <c r="N51" s="499" t="s">
        <v>2064</v>
      </c>
      <c r="O51" s="525">
        <v>0</v>
      </c>
      <c r="P51" s="499" t="s">
        <v>2054</v>
      </c>
      <c r="Q51" s="499"/>
      <c r="R51" s="499"/>
      <c r="S51" s="525"/>
      <c r="T51" s="525">
        <v>0</v>
      </c>
      <c r="U51" s="525">
        <v>1</v>
      </c>
      <c r="V51" s="525" t="s">
        <v>2054</v>
      </c>
      <c r="W51" s="589">
        <f>IF(AND(BaleMover[[#This Row],[Scenario_ID]]="S3",BaleMover[[#This Row],[MRF_ID]]="05"),0,IFERROR(BaleMover[[#This Row],[Total_Baled_tons]]*(IF(BaleMover[[#This Row],[Scenario_ID]]="S0",-2,0)+INDEX(BalePrices[Low],MATCH(BaleMover[[#This Row],[Bale_ID]],BalePrices[Bale_ID],0))),0))</f>
        <v>0</v>
      </c>
      <c r="X51" s="397">
        <f>IF(AND(BaleMover[[#This Row],[Scenario_ID]]="S3",BaleMover[[#This Row],[MRF_ID]]="05"),0,IFERROR(BaleMover[[#This Row],[Total_Baled_tons]]*(IF(BaleMover[[#This Row],[Scenario_ID]]="S0",-2,0)+INDEX(BalePrices[Mid-Point],MATCH(BaleMover[[#This Row],[Bale_ID]],BalePrices[Bale_ID],0))),0))</f>
        <v>0</v>
      </c>
      <c r="Y51" s="397">
        <f>IF(AND(BaleMover[[#This Row],[Scenario_ID]]="S3",BaleMover[[#This Row],[MRF_ID]]="05"),0,IFERROR(BaleMover[[#This Row],[Total_Baled_tons]]*(IF(BaleMover[[#This Row],[Scenario_ID]]="S0",-2,0)+INDEX(BalePrices[High],MATCH(BaleMover[[#This Row],[Bale_ID]],BalePrices[Bale_ID],0))),0))</f>
        <v>0</v>
      </c>
    </row>
    <row r="52" spans="2:25" x14ac:dyDescent="0.2">
      <c r="B52" s="545" t="s">
        <v>874</v>
      </c>
      <c r="C52" s="499" t="s">
        <v>706</v>
      </c>
      <c r="D52" s="499"/>
      <c r="E52" s="499"/>
      <c r="F52" s="499" t="s">
        <v>1992</v>
      </c>
      <c r="G52" s="499" t="s">
        <v>2052</v>
      </c>
      <c r="H52" s="499" t="s">
        <v>1218</v>
      </c>
      <c r="I52" s="499" t="s">
        <v>984</v>
      </c>
      <c r="J52" s="499" t="s">
        <v>985</v>
      </c>
      <c r="K52" s="499" t="s">
        <v>2048</v>
      </c>
      <c r="L52" s="499">
        <v>11</v>
      </c>
      <c r="M52" s="499" t="s">
        <v>2063</v>
      </c>
      <c r="N52" s="499" t="s">
        <v>2064</v>
      </c>
      <c r="O52" s="525">
        <v>0</v>
      </c>
      <c r="P52" s="499" t="s">
        <v>2054</v>
      </c>
      <c r="Q52" s="499"/>
      <c r="R52" s="499"/>
      <c r="S52" s="525"/>
      <c r="T52" s="525">
        <v>0</v>
      </c>
      <c r="U52" s="525">
        <v>1</v>
      </c>
      <c r="V52" s="525" t="s">
        <v>2054</v>
      </c>
      <c r="W52" s="589">
        <f>IF(AND(BaleMover[[#This Row],[Scenario_ID]]="S3",BaleMover[[#This Row],[MRF_ID]]="05"),0,IFERROR(BaleMover[[#This Row],[Total_Baled_tons]]*(IF(BaleMover[[#This Row],[Scenario_ID]]="S0",-2,0)+INDEX(BalePrices[Low],MATCH(BaleMover[[#This Row],[Bale_ID]],BalePrices[Bale_ID],0))),0))</f>
        <v>0</v>
      </c>
      <c r="X52" s="397">
        <f>IF(AND(BaleMover[[#This Row],[Scenario_ID]]="S3",BaleMover[[#This Row],[MRF_ID]]="05"),0,IFERROR(BaleMover[[#This Row],[Total_Baled_tons]]*(IF(BaleMover[[#This Row],[Scenario_ID]]="S0",-2,0)+INDEX(BalePrices[Mid-Point],MATCH(BaleMover[[#This Row],[Bale_ID]],BalePrices[Bale_ID],0))),0))</f>
        <v>0</v>
      </c>
      <c r="Y52" s="397">
        <f>IF(AND(BaleMover[[#This Row],[Scenario_ID]]="S3",BaleMover[[#This Row],[MRF_ID]]="05"),0,IFERROR(BaleMover[[#This Row],[Total_Baled_tons]]*(IF(BaleMover[[#This Row],[Scenario_ID]]="S0",-2,0)+INDEX(BalePrices[High],MATCH(BaleMover[[#This Row],[Bale_ID]],BalePrices[Bale_ID],0))),0))</f>
        <v>0</v>
      </c>
    </row>
    <row r="53" spans="2:25" x14ac:dyDescent="0.2">
      <c r="B53" s="545" t="s">
        <v>873</v>
      </c>
      <c r="C53" s="499" t="s">
        <v>706</v>
      </c>
      <c r="D53" s="499"/>
      <c r="E53" s="499"/>
      <c r="F53" s="499" t="s">
        <v>1992</v>
      </c>
      <c r="G53" s="499" t="s">
        <v>2053</v>
      </c>
      <c r="H53" s="499" t="s">
        <v>1219</v>
      </c>
      <c r="I53" s="499" t="s">
        <v>984</v>
      </c>
      <c r="J53" s="499" t="s">
        <v>985</v>
      </c>
      <c r="K53" s="499" t="s">
        <v>2048</v>
      </c>
      <c r="L53" s="499">
        <v>11</v>
      </c>
      <c r="M53" s="499" t="s">
        <v>2063</v>
      </c>
      <c r="N53" s="499" t="s">
        <v>2064</v>
      </c>
      <c r="O53" s="525">
        <v>0</v>
      </c>
      <c r="P53" s="499" t="s">
        <v>2054</v>
      </c>
      <c r="Q53" s="499"/>
      <c r="R53" s="499"/>
      <c r="S53" s="525"/>
      <c r="T53" s="525">
        <v>0</v>
      </c>
      <c r="U53" s="525">
        <v>1</v>
      </c>
      <c r="V53" s="525" t="s">
        <v>2054</v>
      </c>
      <c r="W53" s="589">
        <f>IF(AND(BaleMover[[#This Row],[Scenario_ID]]="S3",BaleMover[[#This Row],[MRF_ID]]="05"),0,IFERROR(BaleMover[[#This Row],[Total_Baled_tons]]*(IF(BaleMover[[#This Row],[Scenario_ID]]="S0",-2,0)+INDEX(BalePrices[Low],MATCH(BaleMover[[#This Row],[Bale_ID]],BalePrices[Bale_ID],0))),0))</f>
        <v>0</v>
      </c>
      <c r="X53" s="397">
        <f>IF(AND(BaleMover[[#This Row],[Scenario_ID]]="S3",BaleMover[[#This Row],[MRF_ID]]="05"),0,IFERROR(BaleMover[[#This Row],[Total_Baled_tons]]*(IF(BaleMover[[#This Row],[Scenario_ID]]="S0",-2,0)+INDEX(BalePrices[Mid-Point],MATCH(BaleMover[[#This Row],[Bale_ID]],BalePrices[Bale_ID],0))),0))</f>
        <v>0</v>
      </c>
      <c r="Y53" s="397">
        <f>IF(AND(BaleMover[[#This Row],[Scenario_ID]]="S3",BaleMover[[#This Row],[MRF_ID]]="05"),0,IFERROR(BaleMover[[#This Row],[Total_Baled_tons]]*(IF(BaleMover[[#This Row],[Scenario_ID]]="S0",-2,0)+INDEX(BalePrices[High],MATCH(BaleMover[[#This Row],[Bale_ID]],BalePrices[Bale_ID],0))),0))</f>
        <v>0</v>
      </c>
    </row>
    <row r="54" spans="2:25" x14ac:dyDescent="0.2">
      <c r="B54" s="545" t="s">
        <v>876</v>
      </c>
      <c r="C54" s="499" t="s">
        <v>706</v>
      </c>
      <c r="D54" s="499"/>
      <c r="E54" s="499"/>
      <c r="F54" s="499" t="s">
        <v>1992</v>
      </c>
      <c r="G54" s="499" t="s">
        <v>2047</v>
      </c>
      <c r="H54" s="499" t="s">
        <v>1220</v>
      </c>
      <c r="I54" s="499" t="s">
        <v>986</v>
      </c>
      <c r="J54" s="499" t="s">
        <v>987</v>
      </c>
      <c r="K54" s="499" t="s">
        <v>2048</v>
      </c>
      <c r="L54" s="499">
        <v>11</v>
      </c>
      <c r="M54" s="499" t="s">
        <v>2063</v>
      </c>
      <c r="N54" s="499" t="s">
        <v>2064</v>
      </c>
      <c r="O54" s="525">
        <v>651.81795741268343</v>
      </c>
      <c r="P54" s="499">
        <v>915</v>
      </c>
      <c r="Q54" s="499"/>
      <c r="R54" s="499"/>
      <c r="S54" s="525"/>
      <c r="T54" s="525">
        <v>0</v>
      </c>
      <c r="U54" s="525">
        <v>1</v>
      </c>
      <c r="V54" s="525">
        <v>596413.43103260535</v>
      </c>
      <c r="W54" s="589">
        <f>IF(AND(BaleMover[[#This Row],[Scenario_ID]]="S3",BaleMover[[#This Row],[MRF_ID]]="05"),0,IFERROR(BaleMover[[#This Row],[Total_Baled_tons]]*(IF(BaleMover[[#This Row],[Scenario_ID]]="S0",-2,0)+INDEX(BalePrices[Low],MATCH(BaleMover[[#This Row],[Bale_ID]],BalePrices[Bale_ID],0))),0))</f>
        <v>259423.54705024802</v>
      </c>
      <c r="X54" s="397">
        <f>IF(AND(BaleMover[[#This Row],[Scenario_ID]]="S3",BaleMover[[#This Row],[MRF_ID]]="05"),0,IFERROR(BaleMover[[#This Row],[Total_Baled_tons]]*(IF(BaleMover[[#This Row],[Scenario_ID]]="S0",-2,0)+INDEX(BalePrices[Mid-Point],MATCH(BaleMover[[#This Row],[Bale_ID]],BalePrices[Bale_ID],0))),0))</f>
        <v>468005.29342230671</v>
      </c>
      <c r="Y54" s="397">
        <f>IF(AND(BaleMover[[#This Row],[Scenario_ID]]="S3",BaleMover[[#This Row],[MRF_ID]]="05"),0,IFERROR(BaleMover[[#This Row],[Total_Baled_tons]]*(IF(BaleMover[[#This Row],[Scenario_ID]]="S0",-2,0)+INDEX(BalePrices[High],MATCH(BaleMover[[#This Row],[Bale_ID]],BalePrices[Bale_ID],0))),0))</f>
        <v>676587.03979436541</v>
      </c>
    </row>
    <row r="55" spans="2:25" x14ac:dyDescent="0.2">
      <c r="B55" s="545" t="s">
        <v>875</v>
      </c>
      <c r="C55" s="499" t="s">
        <v>706</v>
      </c>
      <c r="D55" s="499"/>
      <c r="E55" s="499"/>
      <c r="F55" s="499" t="s">
        <v>1992</v>
      </c>
      <c r="G55" s="499" t="s">
        <v>2051</v>
      </c>
      <c r="H55" s="499" t="s">
        <v>1221</v>
      </c>
      <c r="I55" s="499" t="s">
        <v>986</v>
      </c>
      <c r="J55" s="499" t="s">
        <v>987</v>
      </c>
      <c r="K55" s="499" t="s">
        <v>2048</v>
      </c>
      <c r="L55" s="499">
        <v>11</v>
      </c>
      <c r="M55" s="499" t="s">
        <v>2063</v>
      </c>
      <c r="N55" s="499" t="s">
        <v>2064</v>
      </c>
      <c r="O55" s="525">
        <v>623.34769245303494</v>
      </c>
      <c r="P55" s="499">
        <v>915</v>
      </c>
      <c r="Q55" s="499"/>
      <c r="R55" s="499"/>
      <c r="S55" s="525"/>
      <c r="T55" s="525">
        <v>0</v>
      </c>
      <c r="U55" s="525">
        <v>1</v>
      </c>
      <c r="V55" s="525">
        <v>570363.13859452691</v>
      </c>
      <c r="W55" s="589">
        <f>IF(AND(BaleMover[[#This Row],[Scenario_ID]]="S3",BaleMover[[#This Row],[MRF_ID]]="05"),0,IFERROR(BaleMover[[#This Row],[Total_Baled_tons]]*(IF(BaleMover[[#This Row],[Scenario_ID]]="S0",-2,0)+INDEX(BalePrices[Low],MATCH(BaleMover[[#This Row],[Bale_ID]],BalePrices[Bale_ID],0))),0))</f>
        <v>249339.07698121396</v>
      </c>
      <c r="X55" s="397">
        <f>IF(AND(BaleMover[[#This Row],[Scenario_ID]]="S3",BaleMover[[#This Row],[MRF_ID]]="05"),0,IFERROR(BaleMover[[#This Row],[Total_Baled_tons]]*(IF(BaleMover[[#This Row],[Scenario_ID]]="S0",-2,0)+INDEX(BalePrices[Mid-Point],MATCH(BaleMover[[#This Row],[Bale_ID]],BalePrices[Bale_ID],0))),0))</f>
        <v>448810.33856618515</v>
      </c>
      <c r="Y55" s="397">
        <f>IF(AND(BaleMover[[#This Row],[Scenario_ID]]="S3",BaleMover[[#This Row],[MRF_ID]]="05"),0,IFERROR(BaleMover[[#This Row],[Total_Baled_tons]]*(IF(BaleMover[[#This Row],[Scenario_ID]]="S0",-2,0)+INDEX(BalePrices[High],MATCH(BaleMover[[#This Row],[Bale_ID]],BalePrices[Bale_ID],0))),0))</f>
        <v>648281.60015115631</v>
      </c>
    </row>
    <row r="56" spans="2:25" x14ac:dyDescent="0.2">
      <c r="B56" s="545" t="s">
        <v>874</v>
      </c>
      <c r="C56" s="499" t="s">
        <v>706</v>
      </c>
      <c r="D56" s="499"/>
      <c r="E56" s="499"/>
      <c r="F56" s="499" t="s">
        <v>1992</v>
      </c>
      <c r="G56" s="499" t="s">
        <v>2052</v>
      </c>
      <c r="H56" s="499" t="s">
        <v>1222</v>
      </c>
      <c r="I56" s="499" t="s">
        <v>986</v>
      </c>
      <c r="J56" s="499" t="s">
        <v>987</v>
      </c>
      <c r="K56" s="499" t="s">
        <v>2048</v>
      </c>
      <c r="L56" s="499">
        <v>11</v>
      </c>
      <c r="M56" s="499" t="s">
        <v>2063</v>
      </c>
      <c r="N56" s="499" t="s">
        <v>2064</v>
      </c>
      <c r="O56" s="525">
        <v>0</v>
      </c>
      <c r="P56" s="499" t="s">
        <v>2054</v>
      </c>
      <c r="Q56" s="499"/>
      <c r="R56" s="499"/>
      <c r="S56" s="525"/>
      <c r="T56" s="525">
        <v>0</v>
      </c>
      <c r="U56" s="525">
        <v>1</v>
      </c>
      <c r="V56" s="525" t="s">
        <v>2054</v>
      </c>
      <c r="W56" s="589">
        <f>IF(AND(BaleMover[[#This Row],[Scenario_ID]]="S3",BaleMover[[#This Row],[MRF_ID]]="05"),0,IFERROR(BaleMover[[#This Row],[Total_Baled_tons]]*(IF(BaleMover[[#This Row],[Scenario_ID]]="S0",-2,0)+INDEX(BalePrices[Low],MATCH(BaleMover[[#This Row],[Bale_ID]],BalePrices[Bale_ID],0))),0))</f>
        <v>0</v>
      </c>
      <c r="X56" s="397">
        <f>IF(AND(BaleMover[[#This Row],[Scenario_ID]]="S3",BaleMover[[#This Row],[MRF_ID]]="05"),0,IFERROR(BaleMover[[#This Row],[Total_Baled_tons]]*(IF(BaleMover[[#This Row],[Scenario_ID]]="S0",-2,0)+INDEX(BalePrices[Mid-Point],MATCH(BaleMover[[#This Row],[Bale_ID]],BalePrices[Bale_ID],0))),0))</f>
        <v>0</v>
      </c>
      <c r="Y56" s="397">
        <f>IF(AND(BaleMover[[#This Row],[Scenario_ID]]="S3",BaleMover[[#This Row],[MRF_ID]]="05"),0,IFERROR(BaleMover[[#This Row],[Total_Baled_tons]]*(IF(BaleMover[[#This Row],[Scenario_ID]]="S0",-2,0)+INDEX(BalePrices[High],MATCH(BaleMover[[#This Row],[Bale_ID]],BalePrices[Bale_ID],0))),0))</f>
        <v>0</v>
      </c>
    </row>
    <row r="57" spans="2:25" x14ac:dyDescent="0.2">
      <c r="B57" s="545" t="s">
        <v>873</v>
      </c>
      <c r="C57" s="499" t="s">
        <v>706</v>
      </c>
      <c r="D57" s="499"/>
      <c r="E57" s="499"/>
      <c r="F57" s="499" t="s">
        <v>1992</v>
      </c>
      <c r="G57" s="499" t="s">
        <v>2053</v>
      </c>
      <c r="H57" s="499" t="s">
        <v>1223</v>
      </c>
      <c r="I57" s="499" t="s">
        <v>986</v>
      </c>
      <c r="J57" s="499" t="s">
        <v>987</v>
      </c>
      <c r="K57" s="499" t="s">
        <v>2048</v>
      </c>
      <c r="L57" s="499">
        <v>11</v>
      </c>
      <c r="M57" s="499" t="s">
        <v>2063</v>
      </c>
      <c r="N57" s="499" t="s">
        <v>2064</v>
      </c>
      <c r="O57" s="525">
        <v>0</v>
      </c>
      <c r="P57" s="499" t="s">
        <v>2054</v>
      </c>
      <c r="Q57" s="499"/>
      <c r="R57" s="499"/>
      <c r="S57" s="525"/>
      <c r="T57" s="525">
        <v>0</v>
      </c>
      <c r="U57" s="525">
        <v>1</v>
      </c>
      <c r="V57" s="525" t="s">
        <v>2054</v>
      </c>
      <c r="W57" s="589">
        <f>IF(AND(BaleMover[[#This Row],[Scenario_ID]]="S3",BaleMover[[#This Row],[MRF_ID]]="05"),0,IFERROR(BaleMover[[#This Row],[Total_Baled_tons]]*(IF(BaleMover[[#This Row],[Scenario_ID]]="S0",-2,0)+INDEX(BalePrices[Low],MATCH(BaleMover[[#This Row],[Bale_ID]],BalePrices[Bale_ID],0))),0))</f>
        <v>0</v>
      </c>
      <c r="X57" s="397">
        <f>IF(AND(BaleMover[[#This Row],[Scenario_ID]]="S3",BaleMover[[#This Row],[MRF_ID]]="05"),0,IFERROR(BaleMover[[#This Row],[Total_Baled_tons]]*(IF(BaleMover[[#This Row],[Scenario_ID]]="S0",-2,0)+INDEX(BalePrices[Mid-Point],MATCH(BaleMover[[#This Row],[Bale_ID]],BalePrices[Bale_ID],0))),0))</f>
        <v>0</v>
      </c>
      <c r="Y57" s="397">
        <f>IF(AND(BaleMover[[#This Row],[Scenario_ID]]="S3",BaleMover[[#This Row],[MRF_ID]]="05"),0,IFERROR(BaleMover[[#This Row],[Total_Baled_tons]]*(IF(BaleMover[[#This Row],[Scenario_ID]]="S0",-2,0)+INDEX(BalePrices[High],MATCH(BaleMover[[#This Row],[Bale_ID]],BalePrices[Bale_ID],0))),0))</f>
        <v>0</v>
      </c>
    </row>
    <row r="58" spans="2:25" x14ac:dyDescent="0.2">
      <c r="B58" s="545" t="s">
        <v>876</v>
      </c>
      <c r="C58" s="499" t="s">
        <v>706</v>
      </c>
      <c r="D58" s="499"/>
      <c r="E58" s="499"/>
      <c r="F58" s="499" t="s">
        <v>1992</v>
      </c>
      <c r="G58" s="499" t="s">
        <v>2047</v>
      </c>
      <c r="H58" s="499" t="s">
        <v>1224</v>
      </c>
      <c r="I58" s="499" t="s">
        <v>988</v>
      </c>
      <c r="J58" s="499" t="s">
        <v>989</v>
      </c>
      <c r="K58" s="499" t="s">
        <v>2048</v>
      </c>
      <c r="L58" s="499">
        <v>11</v>
      </c>
      <c r="M58" s="499" t="s">
        <v>2063</v>
      </c>
      <c r="N58" s="499" t="s">
        <v>2064</v>
      </c>
      <c r="O58" s="525">
        <v>896.24969144243937</v>
      </c>
      <c r="P58" s="499">
        <v>915</v>
      </c>
      <c r="Q58" s="499"/>
      <c r="R58" s="499"/>
      <c r="S58" s="525"/>
      <c r="T58" s="525">
        <v>0</v>
      </c>
      <c r="U58" s="525">
        <v>1</v>
      </c>
      <c r="V58" s="525">
        <v>820068.46766983205</v>
      </c>
      <c r="W58" s="589">
        <f>IF(AND(BaleMover[[#This Row],[Scenario_ID]]="S3",BaleMover[[#This Row],[MRF_ID]]="05"),0,IFERROR(BaleMover[[#This Row],[Total_Baled_tons]]*(IF(BaleMover[[#This Row],[Scenario_ID]]="S0",-2,0)+INDEX(BalePrices[Low],MATCH(BaleMover[[#This Row],[Bale_ID]],BalePrices[Bale_ID],0))),0))</f>
        <v>69907.475932510264</v>
      </c>
      <c r="X58" s="397">
        <f>IF(AND(BaleMover[[#This Row],[Scenario_ID]]="S3",BaleMover[[#This Row],[MRF_ID]]="05"),0,IFERROR(BaleMover[[#This Row],[Total_Baled_tons]]*(IF(BaleMover[[#This Row],[Scenario_ID]]="S0",-2,0)+INDEX(BalePrices[Mid-Point],MATCH(BaleMover[[#This Row],[Bale_ID]],BalePrices[Bale_ID],0))),0))</f>
        <v>190901.18427723958</v>
      </c>
      <c r="Y58" s="397">
        <f>IF(AND(BaleMover[[#This Row],[Scenario_ID]]="S3",BaleMover[[#This Row],[MRF_ID]]="05"),0,IFERROR(BaleMover[[#This Row],[Total_Baled_tons]]*(IF(BaleMover[[#This Row],[Scenario_ID]]="S0",-2,0)+INDEX(BalePrices[High],MATCH(BaleMover[[#This Row],[Bale_ID]],BalePrices[Bale_ID],0))),0))</f>
        <v>311894.89262196887</v>
      </c>
    </row>
    <row r="59" spans="2:25" x14ac:dyDescent="0.2">
      <c r="B59" s="545" t="s">
        <v>875</v>
      </c>
      <c r="C59" s="499" t="s">
        <v>706</v>
      </c>
      <c r="D59" s="499"/>
      <c r="E59" s="499"/>
      <c r="F59" s="499" t="s">
        <v>1992</v>
      </c>
      <c r="G59" s="499" t="s">
        <v>2051</v>
      </c>
      <c r="H59" s="499" t="s">
        <v>1225</v>
      </c>
      <c r="I59" s="499" t="s">
        <v>988</v>
      </c>
      <c r="J59" s="499" t="s">
        <v>989</v>
      </c>
      <c r="K59" s="499" t="s">
        <v>2048</v>
      </c>
      <c r="L59" s="499">
        <v>11</v>
      </c>
      <c r="M59" s="499" t="s">
        <v>2063</v>
      </c>
      <c r="N59" s="499" t="s">
        <v>2064</v>
      </c>
      <c r="O59" s="525">
        <v>857.10307712292308</v>
      </c>
      <c r="P59" s="499">
        <v>915</v>
      </c>
      <c r="Q59" s="499"/>
      <c r="R59" s="499"/>
      <c r="S59" s="525"/>
      <c r="T59" s="525">
        <v>0</v>
      </c>
      <c r="U59" s="525">
        <v>1</v>
      </c>
      <c r="V59" s="525">
        <v>784249.31556747458</v>
      </c>
      <c r="W59" s="589">
        <f>IF(AND(BaleMover[[#This Row],[Scenario_ID]]="S3",BaleMover[[#This Row],[MRF_ID]]="05"),0,IFERROR(BaleMover[[#This Row],[Total_Baled_tons]]*(IF(BaleMover[[#This Row],[Scenario_ID]]="S0",-2,0)+INDEX(BalePrices[Low],MATCH(BaleMover[[#This Row],[Bale_ID]],BalePrices[Bale_ID],0))),0))</f>
        <v>68568.246169833845</v>
      </c>
      <c r="X59" s="397">
        <f>IF(AND(BaleMover[[#This Row],[Scenario_ID]]="S3",BaleMover[[#This Row],[MRF_ID]]="05"),0,IFERROR(BaleMover[[#This Row],[Total_Baled_tons]]*(IF(BaleMover[[#This Row],[Scenario_ID]]="S0",-2,0)+INDEX(BalePrices[Mid-Point],MATCH(BaleMover[[#This Row],[Bale_ID]],BalePrices[Bale_ID],0))),0))</f>
        <v>184277.16158142846</v>
      </c>
      <c r="Y59" s="397">
        <f>IF(AND(BaleMover[[#This Row],[Scenario_ID]]="S3",BaleMover[[#This Row],[MRF_ID]]="05"),0,IFERROR(BaleMover[[#This Row],[Total_Baled_tons]]*(IF(BaleMover[[#This Row],[Scenario_ID]]="S0",-2,0)+INDEX(BalePrices[High],MATCH(BaleMover[[#This Row],[Bale_ID]],BalePrices[Bale_ID],0))),0))</f>
        <v>299986.0769930231</v>
      </c>
    </row>
    <row r="60" spans="2:25" x14ac:dyDescent="0.2">
      <c r="B60" s="545" t="s">
        <v>874</v>
      </c>
      <c r="C60" s="499" t="s">
        <v>706</v>
      </c>
      <c r="D60" s="499"/>
      <c r="E60" s="499"/>
      <c r="F60" s="499" t="s">
        <v>1992</v>
      </c>
      <c r="G60" s="499" t="s">
        <v>2052</v>
      </c>
      <c r="H60" s="499" t="s">
        <v>1226</v>
      </c>
      <c r="I60" s="499" t="s">
        <v>988</v>
      </c>
      <c r="J60" s="499" t="s">
        <v>989</v>
      </c>
      <c r="K60" s="499" t="s">
        <v>2048</v>
      </c>
      <c r="L60" s="499">
        <v>11</v>
      </c>
      <c r="M60" s="499" t="s">
        <v>2063</v>
      </c>
      <c r="N60" s="499" t="s">
        <v>2064</v>
      </c>
      <c r="O60" s="525">
        <v>0</v>
      </c>
      <c r="P60" s="499" t="s">
        <v>2054</v>
      </c>
      <c r="Q60" s="499"/>
      <c r="R60" s="499"/>
      <c r="S60" s="525"/>
      <c r="T60" s="525">
        <v>0</v>
      </c>
      <c r="U60" s="525">
        <v>1</v>
      </c>
      <c r="V60" s="525" t="s">
        <v>2054</v>
      </c>
      <c r="W60" s="589">
        <f>IF(AND(BaleMover[[#This Row],[Scenario_ID]]="S3",BaleMover[[#This Row],[MRF_ID]]="05"),0,IFERROR(BaleMover[[#This Row],[Total_Baled_tons]]*(IF(BaleMover[[#This Row],[Scenario_ID]]="S0",-2,0)+INDEX(BalePrices[Low],MATCH(BaleMover[[#This Row],[Bale_ID]],BalePrices[Bale_ID],0))),0))</f>
        <v>0</v>
      </c>
      <c r="X60" s="397">
        <f>IF(AND(BaleMover[[#This Row],[Scenario_ID]]="S3",BaleMover[[#This Row],[MRF_ID]]="05"),0,IFERROR(BaleMover[[#This Row],[Total_Baled_tons]]*(IF(BaleMover[[#This Row],[Scenario_ID]]="S0",-2,0)+INDEX(BalePrices[Mid-Point],MATCH(BaleMover[[#This Row],[Bale_ID]],BalePrices[Bale_ID],0))),0))</f>
        <v>0</v>
      </c>
      <c r="Y60" s="397">
        <f>IF(AND(BaleMover[[#This Row],[Scenario_ID]]="S3",BaleMover[[#This Row],[MRF_ID]]="05"),0,IFERROR(BaleMover[[#This Row],[Total_Baled_tons]]*(IF(BaleMover[[#This Row],[Scenario_ID]]="S0",-2,0)+INDEX(BalePrices[High],MATCH(BaleMover[[#This Row],[Bale_ID]],BalePrices[Bale_ID],0))),0))</f>
        <v>0</v>
      </c>
    </row>
    <row r="61" spans="2:25" x14ac:dyDescent="0.2">
      <c r="B61" s="545" t="s">
        <v>873</v>
      </c>
      <c r="C61" s="499" t="s">
        <v>706</v>
      </c>
      <c r="D61" s="499"/>
      <c r="E61" s="499"/>
      <c r="F61" s="499" t="s">
        <v>1992</v>
      </c>
      <c r="G61" s="499" t="s">
        <v>2053</v>
      </c>
      <c r="H61" s="499" t="s">
        <v>1227</v>
      </c>
      <c r="I61" s="499" t="s">
        <v>988</v>
      </c>
      <c r="J61" s="499" t="s">
        <v>989</v>
      </c>
      <c r="K61" s="499" t="s">
        <v>2048</v>
      </c>
      <c r="L61" s="499">
        <v>11</v>
      </c>
      <c r="M61" s="499" t="s">
        <v>2063</v>
      </c>
      <c r="N61" s="499" t="s">
        <v>2064</v>
      </c>
      <c r="O61" s="525">
        <v>0</v>
      </c>
      <c r="P61" s="499" t="s">
        <v>2054</v>
      </c>
      <c r="Q61" s="499"/>
      <c r="R61" s="499"/>
      <c r="S61" s="525"/>
      <c r="T61" s="525">
        <v>0</v>
      </c>
      <c r="U61" s="525">
        <v>1</v>
      </c>
      <c r="V61" s="525" t="s">
        <v>2054</v>
      </c>
      <c r="W61" s="589">
        <f>IF(AND(BaleMover[[#This Row],[Scenario_ID]]="S3",BaleMover[[#This Row],[MRF_ID]]="05"),0,IFERROR(BaleMover[[#This Row],[Total_Baled_tons]]*(IF(BaleMover[[#This Row],[Scenario_ID]]="S0",-2,0)+INDEX(BalePrices[Low],MATCH(BaleMover[[#This Row],[Bale_ID]],BalePrices[Bale_ID],0))),0))</f>
        <v>0</v>
      </c>
      <c r="X61" s="397">
        <f>IF(AND(BaleMover[[#This Row],[Scenario_ID]]="S3",BaleMover[[#This Row],[MRF_ID]]="05"),0,IFERROR(BaleMover[[#This Row],[Total_Baled_tons]]*(IF(BaleMover[[#This Row],[Scenario_ID]]="S0",-2,0)+INDEX(BalePrices[Mid-Point],MATCH(BaleMover[[#This Row],[Bale_ID]],BalePrices[Bale_ID],0))),0))</f>
        <v>0</v>
      </c>
      <c r="Y61" s="397">
        <f>IF(AND(BaleMover[[#This Row],[Scenario_ID]]="S3",BaleMover[[#This Row],[MRF_ID]]="05"),0,IFERROR(BaleMover[[#This Row],[Total_Baled_tons]]*(IF(BaleMover[[#This Row],[Scenario_ID]]="S0",-2,0)+INDEX(BalePrices[High],MATCH(BaleMover[[#This Row],[Bale_ID]],BalePrices[Bale_ID],0))),0))</f>
        <v>0</v>
      </c>
    </row>
    <row r="62" spans="2:25" x14ac:dyDescent="0.2">
      <c r="B62" s="545" t="s">
        <v>876</v>
      </c>
      <c r="C62" s="499" t="s">
        <v>706</v>
      </c>
      <c r="D62" s="499"/>
      <c r="E62" s="499"/>
      <c r="F62" s="499" t="s">
        <v>1992</v>
      </c>
      <c r="G62" s="499" t="s">
        <v>2047</v>
      </c>
      <c r="H62" s="499" t="s">
        <v>1228</v>
      </c>
      <c r="I62" s="499" t="s">
        <v>990</v>
      </c>
      <c r="J62" s="499" t="s">
        <v>991</v>
      </c>
      <c r="K62" s="499" t="s">
        <v>2048</v>
      </c>
      <c r="L62" s="499">
        <v>1</v>
      </c>
      <c r="M62" s="499" t="s">
        <v>2065</v>
      </c>
      <c r="N62" s="499" t="s">
        <v>2066</v>
      </c>
      <c r="O62" s="525">
        <v>0</v>
      </c>
      <c r="P62" s="499" t="s">
        <v>2054</v>
      </c>
      <c r="Q62" s="499"/>
      <c r="R62" s="499"/>
      <c r="S62" s="525"/>
      <c r="T62" s="525">
        <v>0</v>
      </c>
      <c r="U62" s="525">
        <v>1</v>
      </c>
      <c r="V62" s="525" t="s">
        <v>2054</v>
      </c>
      <c r="W62" s="589">
        <f>IF(AND(BaleMover[[#This Row],[Scenario_ID]]="S3",BaleMover[[#This Row],[MRF_ID]]="05"),0,IFERROR(BaleMover[[#This Row],[Total_Baled_tons]]*(IF(BaleMover[[#This Row],[Scenario_ID]]="S0",-2,0)+INDEX(BalePrices[Low],MATCH(BaleMover[[#This Row],[Bale_ID]],BalePrices[Bale_ID],0))),0))</f>
        <v>0</v>
      </c>
      <c r="X62" s="397">
        <f>IF(AND(BaleMover[[#This Row],[Scenario_ID]]="S3",BaleMover[[#This Row],[MRF_ID]]="05"),0,IFERROR(BaleMover[[#This Row],[Total_Baled_tons]]*(IF(BaleMover[[#This Row],[Scenario_ID]]="S0",-2,0)+INDEX(BalePrices[Mid-Point],MATCH(BaleMover[[#This Row],[Bale_ID]],BalePrices[Bale_ID],0))),0))</f>
        <v>0</v>
      </c>
      <c r="Y62" s="397">
        <f>IF(AND(BaleMover[[#This Row],[Scenario_ID]]="S3",BaleMover[[#This Row],[MRF_ID]]="05"),0,IFERROR(BaleMover[[#This Row],[Total_Baled_tons]]*(IF(BaleMover[[#This Row],[Scenario_ID]]="S0",-2,0)+INDEX(BalePrices[High],MATCH(BaleMover[[#This Row],[Bale_ID]],BalePrices[Bale_ID],0))),0))</f>
        <v>0</v>
      </c>
    </row>
    <row r="63" spans="2:25" x14ac:dyDescent="0.2">
      <c r="B63" s="545" t="s">
        <v>875</v>
      </c>
      <c r="C63" s="499" t="s">
        <v>706</v>
      </c>
      <c r="D63" s="499"/>
      <c r="E63" s="499"/>
      <c r="F63" s="499" t="s">
        <v>1992</v>
      </c>
      <c r="G63" s="499" t="s">
        <v>2051</v>
      </c>
      <c r="H63" s="499" t="s">
        <v>1229</v>
      </c>
      <c r="I63" s="499" t="s">
        <v>990</v>
      </c>
      <c r="J63" s="499" t="s">
        <v>991</v>
      </c>
      <c r="K63" s="499" t="s">
        <v>2048</v>
      </c>
      <c r="L63" s="499">
        <v>1</v>
      </c>
      <c r="M63" s="499" t="s">
        <v>2065</v>
      </c>
      <c r="N63" s="499" t="s">
        <v>2066</v>
      </c>
      <c r="O63" s="525">
        <v>0</v>
      </c>
      <c r="P63" s="499" t="s">
        <v>2054</v>
      </c>
      <c r="Q63" s="499"/>
      <c r="R63" s="499"/>
      <c r="S63" s="525"/>
      <c r="T63" s="525">
        <v>0</v>
      </c>
      <c r="U63" s="525">
        <v>1</v>
      </c>
      <c r="V63" s="525" t="s">
        <v>2054</v>
      </c>
      <c r="W63" s="589">
        <f>IF(AND(BaleMover[[#This Row],[Scenario_ID]]="S3",BaleMover[[#This Row],[MRF_ID]]="05"),0,IFERROR(BaleMover[[#This Row],[Total_Baled_tons]]*(IF(BaleMover[[#This Row],[Scenario_ID]]="S0",-2,0)+INDEX(BalePrices[Low],MATCH(BaleMover[[#This Row],[Bale_ID]],BalePrices[Bale_ID],0))),0))</f>
        <v>0</v>
      </c>
      <c r="X63" s="397">
        <f>IF(AND(BaleMover[[#This Row],[Scenario_ID]]="S3",BaleMover[[#This Row],[MRF_ID]]="05"),0,IFERROR(BaleMover[[#This Row],[Total_Baled_tons]]*(IF(BaleMover[[#This Row],[Scenario_ID]]="S0",-2,0)+INDEX(BalePrices[Mid-Point],MATCH(BaleMover[[#This Row],[Bale_ID]],BalePrices[Bale_ID],0))),0))</f>
        <v>0</v>
      </c>
      <c r="Y63" s="397">
        <f>IF(AND(BaleMover[[#This Row],[Scenario_ID]]="S3",BaleMover[[#This Row],[MRF_ID]]="05"),0,IFERROR(BaleMover[[#This Row],[Total_Baled_tons]]*(IF(BaleMover[[#This Row],[Scenario_ID]]="S0",-2,0)+INDEX(BalePrices[High],MATCH(BaleMover[[#This Row],[Bale_ID]],BalePrices[Bale_ID],0))),0))</f>
        <v>0</v>
      </c>
    </row>
    <row r="64" spans="2:25" x14ac:dyDescent="0.2">
      <c r="B64" s="545" t="s">
        <v>874</v>
      </c>
      <c r="C64" s="499" t="s">
        <v>706</v>
      </c>
      <c r="D64" s="499"/>
      <c r="E64" s="499"/>
      <c r="F64" s="499" t="s">
        <v>1992</v>
      </c>
      <c r="G64" s="499" t="s">
        <v>2052</v>
      </c>
      <c r="H64" s="499" t="s">
        <v>1230</v>
      </c>
      <c r="I64" s="499" t="s">
        <v>990</v>
      </c>
      <c r="J64" s="499" t="s">
        <v>991</v>
      </c>
      <c r="K64" s="499" t="s">
        <v>2048</v>
      </c>
      <c r="L64" s="499">
        <v>1</v>
      </c>
      <c r="M64" s="499" t="s">
        <v>2065</v>
      </c>
      <c r="N64" s="499" t="s">
        <v>2066</v>
      </c>
      <c r="O64" s="525">
        <v>0</v>
      </c>
      <c r="P64" s="499" t="s">
        <v>2054</v>
      </c>
      <c r="Q64" s="499"/>
      <c r="R64" s="499"/>
      <c r="S64" s="525"/>
      <c r="T64" s="525">
        <v>0</v>
      </c>
      <c r="U64" s="525">
        <v>1</v>
      </c>
      <c r="V64" s="525" t="s">
        <v>2054</v>
      </c>
      <c r="W64" s="589">
        <f>IF(AND(BaleMover[[#This Row],[Scenario_ID]]="S3",BaleMover[[#This Row],[MRF_ID]]="05"),0,IFERROR(BaleMover[[#This Row],[Total_Baled_tons]]*(IF(BaleMover[[#This Row],[Scenario_ID]]="S0",-2,0)+INDEX(BalePrices[Low],MATCH(BaleMover[[#This Row],[Bale_ID]],BalePrices[Bale_ID],0))),0))</f>
        <v>0</v>
      </c>
      <c r="X64" s="397">
        <f>IF(AND(BaleMover[[#This Row],[Scenario_ID]]="S3",BaleMover[[#This Row],[MRF_ID]]="05"),0,IFERROR(BaleMover[[#This Row],[Total_Baled_tons]]*(IF(BaleMover[[#This Row],[Scenario_ID]]="S0",-2,0)+INDEX(BalePrices[Mid-Point],MATCH(BaleMover[[#This Row],[Bale_ID]],BalePrices[Bale_ID],0))),0))</f>
        <v>0</v>
      </c>
      <c r="Y64" s="397">
        <f>IF(AND(BaleMover[[#This Row],[Scenario_ID]]="S3",BaleMover[[#This Row],[MRF_ID]]="05"),0,IFERROR(BaleMover[[#This Row],[Total_Baled_tons]]*(IF(BaleMover[[#This Row],[Scenario_ID]]="S0",-2,0)+INDEX(BalePrices[High],MATCH(BaleMover[[#This Row],[Bale_ID]],BalePrices[Bale_ID],0))),0))</f>
        <v>0</v>
      </c>
    </row>
    <row r="65" spans="2:25" x14ac:dyDescent="0.2">
      <c r="B65" s="545" t="s">
        <v>873</v>
      </c>
      <c r="C65" s="499" t="s">
        <v>706</v>
      </c>
      <c r="D65" s="499"/>
      <c r="E65" s="499"/>
      <c r="F65" s="499" t="s">
        <v>1992</v>
      </c>
      <c r="G65" s="499" t="s">
        <v>2053</v>
      </c>
      <c r="H65" s="499" t="s">
        <v>1231</v>
      </c>
      <c r="I65" s="499" t="s">
        <v>990</v>
      </c>
      <c r="J65" s="499" t="s">
        <v>991</v>
      </c>
      <c r="K65" s="499" t="s">
        <v>2048</v>
      </c>
      <c r="L65" s="499">
        <v>1</v>
      </c>
      <c r="M65" s="499" t="s">
        <v>2065</v>
      </c>
      <c r="N65" s="499" t="s">
        <v>2066</v>
      </c>
      <c r="O65" s="525">
        <v>0</v>
      </c>
      <c r="P65" s="499" t="s">
        <v>2054</v>
      </c>
      <c r="Q65" s="499"/>
      <c r="R65" s="499"/>
      <c r="S65" s="525"/>
      <c r="T65" s="525">
        <v>0</v>
      </c>
      <c r="U65" s="525">
        <v>1</v>
      </c>
      <c r="V65" s="525" t="s">
        <v>2054</v>
      </c>
      <c r="W65" s="589">
        <f>IF(AND(BaleMover[[#This Row],[Scenario_ID]]="S3",BaleMover[[#This Row],[MRF_ID]]="05"),0,IFERROR(BaleMover[[#This Row],[Total_Baled_tons]]*(IF(BaleMover[[#This Row],[Scenario_ID]]="S0",-2,0)+INDEX(BalePrices[Low],MATCH(BaleMover[[#This Row],[Bale_ID]],BalePrices[Bale_ID],0))),0))</f>
        <v>0</v>
      </c>
      <c r="X65" s="397">
        <f>IF(AND(BaleMover[[#This Row],[Scenario_ID]]="S3",BaleMover[[#This Row],[MRF_ID]]="05"),0,IFERROR(BaleMover[[#This Row],[Total_Baled_tons]]*(IF(BaleMover[[#This Row],[Scenario_ID]]="S0",-2,0)+INDEX(BalePrices[Mid-Point],MATCH(BaleMover[[#This Row],[Bale_ID]],BalePrices[Bale_ID],0))),0))</f>
        <v>0</v>
      </c>
      <c r="Y65" s="397">
        <f>IF(AND(BaleMover[[#This Row],[Scenario_ID]]="S3",BaleMover[[#This Row],[MRF_ID]]="05"),0,IFERROR(BaleMover[[#This Row],[Total_Baled_tons]]*(IF(BaleMover[[#This Row],[Scenario_ID]]="S0",-2,0)+INDEX(BalePrices[High],MATCH(BaleMover[[#This Row],[Bale_ID]],BalePrices[Bale_ID],0))),0))</f>
        <v>0</v>
      </c>
    </row>
    <row r="66" spans="2:25" x14ac:dyDescent="0.2">
      <c r="B66" s="545" t="s">
        <v>876</v>
      </c>
      <c r="C66" s="499" t="s">
        <v>706</v>
      </c>
      <c r="D66" s="499"/>
      <c r="E66" s="499"/>
      <c r="F66" s="499" t="s">
        <v>1992</v>
      </c>
      <c r="G66" s="499" t="s">
        <v>2047</v>
      </c>
      <c r="H66" s="499" t="s">
        <v>1232</v>
      </c>
      <c r="I66" s="499" t="s">
        <v>994</v>
      </c>
      <c r="J66" s="499" t="s">
        <v>995</v>
      </c>
      <c r="K66" s="499" t="s">
        <v>2048</v>
      </c>
      <c r="L66" s="499">
        <v>8</v>
      </c>
      <c r="M66" s="499" t="s">
        <v>2067</v>
      </c>
      <c r="N66" s="499" t="s">
        <v>2068</v>
      </c>
      <c r="O66" s="525">
        <v>0</v>
      </c>
      <c r="P66" s="499" t="s">
        <v>2054</v>
      </c>
      <c r="Q66" s="499"/>
      <c r="R66" s="499"/>
      <c r="S66" s="525"/>
      <c r="T66" s="525">
        <v>0</v>
      </c>
      <c r="U66" s="525">
        <v>1</v>
      </c>
      <c r="V66" s="525" t="s">
        <v>2054</v>
      </c>
      <c r="W66" s="589">
        <f>IF(AND(BaleMover[[#This Row],[Scenario_ID]]="S3",BaleMover[[#This Row],[MRF_ID]]="05"),0,IFERROR(BaleMover[[#This Row],[Total_Baled_tons]]*(IF(BaleMover[[#This Row],[Scenario_ID]]="S0",-2,0)+INDEX(BalePrices[Low],MATCH(BaleMover[[#This Row],[Bale_ID]],BalePrices[Bale_ID],0))),0))</f>
        <v>0</v>
      </c>
      <c r="X66" s="397">
        <f>IF(AND(BaleMover[[#This Row],[Scenario_ID]]="S3",BaleMover[[#This Row],[MRF_ID]]="05"),0,IFERROR(BaleMover[[#This Row],[Total_Baled_tons]]*(IF(BaleMover[[#This Row],[Scenario_ID]]="S0",-2,0)+INDEX(BalePrices[Mid-Point],MATCH(BaleMover[[#This Row],[Bale_ID]],BalePrices[Bale_ID],0))),0))</f>
        <v>0</v>
      </c>
      <c r="Y66" s="397">
        <f>IF(AND(BaleMover[[#This Row],[Scenario_ID]]="S3",BaleMover[[#This Row],[MRF_ID]]="05"),0,IFERROR(BaleMover[[#This Row],[Total_Baled_tons]]*(IF(BaleMover[[#This Row],[Scenario_ID]]="S0",-2,0)+INDEX(BalePrices[High],MATCH(BaleMover[[#This Row],[Bale_ID]],BalePrices[Bale_ID],0))),0))</f>
        <v>0</v>
      </c>
    </row>
    <row r="67" spans="2:25" x14ac:dyDescent="0.2">
      <c r="B67" s="545" t="s">
        <v>875</v>
      </c>
      <c r="C67" s="499" t="s">
        <v>706</v>
      </c>
      <c r="D67" s="499"/>
      <c r="E67" s="499"/>
      <c r="F67" s="499" t="s">
        <v>1992</v>
      </c>
      <c r="G67" s="499" t="s">
        <v>2051</v>
      </c>
      <c r="H67" s="499" t="s">
        <v>1233</v>
      </c>
      <c r="I67" s="499" t="s">
        <v>994</v>
      </c>
      <c r="J67" s="499" t="s">
        <v>995</v>
      </c>
      <c r="K67" s="499" t="s">
        <v>2048</v>
      </c>
      <c r="L67" s="499">
        <v>8</v>
      </c>
      <c r="M67" s="499" t="s">
        <v>2067</v>
      </c>
      <c r="N67" s="499" t="s">
        <v>2068</v>
      </c>
      <c r="O67" s="525">
        <v>0</v>
      </c>
      <c r="P67" s="499" t="s">
        <v>2054</v>
      </c>
      <c r="Q67" s="499"/>
      <c r="R67" s="499"/>
      <c r="S67" s="525"/>
      <c r="T67" s="525">
        <v>0</v>
      </c>
      <c r="U67" s="525">
        <v>1</v>
      </c>
      <c r="V67" s="525" t="s">
        <v>2054</v>
      </c>
      <c r="W67" s="589">
        <f>IF(AND(BaleMover[[#This Row],[Scenario_ID]]="S3",BaleMover[[#This Row],[MRF_ID]]="05"),0,IFERROR(BaleMover[[#This Row],[Total_Baled_tons]]*(IF(BaleMover[[#This Row],[Scenario_ID]]="S0",-2,0)+INDEX(BalePrices[Low],MATCH(BaleMover[[#This Row],[Bale_ID]],BalePrices[Bale_ID],0))),0))</f>
        <v>0</v>
      </c>
      <c r="X67" s="397">
        <f>IF(AND(BaleMover[[#This Row],[Scenario_ID]]="S3",BaleMover[[#This Row],[MRF_ID]]="05"),0,IFERROR(BaleMover[[#This Row],[Total_Baled_tons]]*(IF(BaleMover[[#This Row],[Scenario_ID]]="S0",-2,0)+INDEX(BalePrices[Mid-Point],MATCH(BaleMover[[#This Row],[Bale_ID]],BalePrices[Bale_ID],0))),0))</f>
        <v>0</v>
      </c>
      <c r="Y67" s="397">
        <f>IF(AND(BaleMover[[#This Row],[Scenario_ID]]="S3",BaleMover[[#This Row],[MRF_ID]]="05"),0,IFERROR(BaleMover[[#This Row],[Total_Baled_tons]]*(IF(BaleMover[[#This Row],[Scenario_ID]]="S0",-2,0)+INDEX(BalePrices[High],MATCH(BaleMover[[#This Row],[Bale_ID]],BalePrices[Bale_ID],0))),0))</f>
        <v>0</v>
      </c>
    </row>
    <row r="68" spans="2:25" x14ac:dyDescent="0.2">
      <c r="B68" s="545" t="s">
        <v>874</v>
      </c>
      <c r="C68" s="499" t="s">
        <v>706</v>
      </c>
      <c r="D68" s="499"/>
      <c r="E68" s="499"/>
      <c r="F68" s="499" t="s">
        <v>1992</v>
      </c>
      <c r="G68" s="499" t="s">
        <v>2052</v>
      </c>
      <c r="H68" s="499" t="s">
        <v>1234</v>
      </c>
      <c r="I68" s="499" t="s">
        <v>994</v>
      </c>
      <c r="J68" s="499" t="s">
        <v>995</v>
      </c>
      <c r="K68" s="499" t="s">
        <v>2048</v>
      </c>
      <c r="L68" s="499">
        <v>8</v>
      </c>
      <c r="M68" s="499" t="s">
        <v>2067</v>
      </c>
      <c r="N68" s="499" t="s">
        <v>2068</v>
      </c>
      <c r="O68" s="525">
        <v>0</v>
      </c>
      <c r="P68" s="499" t="s">
        <v>2054</v>
      </c>
      <c r="Q68" s="499"/>
      <c r="R68" s="499"/>
      <c r="S68" s="525"/>
      <c r="T68" s="525">
        <v>0</v>
      </c>
      <c r="U68" s="525">
        <v>1</v>
      </c>
      <c r="V68" s="525" t="s">
        <v>2054</v>
      </c>
      <c r="W68" s="589">
        <f>IF(AND(BaleMover[[#This Row],[Scenario_ID]]="S3",BaleMover[[#This Row],[MRF_ID]]="05"),0,IFERROR(BaleMover[[#This Row],[Total_Baled_tons]]*(IF(BaleMover[[#This Row],[Scenario_ID]]="S0",-2,0)+INDEX(BalePrices[Low],MATCH(BaleMover[[#This Row],[Bale_ID]],BalePrices[Bale_ID],0))),0))</f>
        <v>0</v>
      </c>
      <c r="X68" s="397">
        <f>IF(AND(BaleMover[[#This Row],[Scenario_ID]]="S3",BaleMover[[#This Row],[MRF_ID]]="05"),0,IFERROR(BaleMover[[#This Row],[Total_Baled_tons]]*(IF(BaleMover[[#This Row],[Scenario_ID]]="S0",-2,0)+INDEX(BalePrices[Mid-Point],MATCH(BaleMover[[#This Row],[Bale_ID]],BalePrices[Bale_ID],0))),0))</f>
        <v>0</v>
      </c>
      <c r="Y68" s="397">
        <f>IF(AND(BaleMover[[#This Row],[Scenario_ID]]="S3",BaleMover[[#This Row],[MRF_ID]]="05"),0,IFERROR(BaleMover[[#This Row],[Total_Baled_tons]]*(IF(BaleMover[[#This Row],[Scenario_ID]]="S0",-2,0)+INDEX(BalePrices[High],MATCH(BaleMover[[#This Row],[Bale_ID]],BalePrices[Bale_ID],0))),0))</f>
        <v>0</v>
      </c>
    </row>
    <row r="69" spans="2:25" x14ac:dyDescent="0.2">
      <c r="B69" s="545" t="s">
        <v>873</v>
      </c>
      <c r="C69" s="499" t="s">
        <v>706</v>
      </c>
      <c r="D69" s="499"/>
      <c r="E69" s="499"/>
      <c r="F69" s="499" t="s">
        <v>1992</v>
      </c>
      <c r="G69" s="499" t="s">
        <v>2053</v>
      </c>
      <c r="H69" s="499" t="s">
        <v>1235</v>
      </c>
      <c r="I69" s="499" t="s">
        <v>994</v>
      </c>
      <c r="J69" s="499" t="s">
        <v>995</v>
      </c>
      <c r="K69" s="499" t="s">
        <v>2048</v>
      </c>
      <c r="L69" s="499">
        <v>8</v>
      </c>
      <c r="M69" s="499" t="s">
        <v>2067</v>
      </c>
      <c r="N69" s="499" t="s">
        <v>2068</v>
      </c>
      <c r="O69" s="525">
        <v>0</v>
      </c>
      <c r="P69" s="499" t="s">
        <v>2054</v>
      </c>
      <c r="Q69" s="499"/>
      <c r="R69" s="499"/>
      <c r="S69" s="525"/>
      <c r="T69" s="525">
        <v>0</v>
      </c>
      <c r="U69" s="525">
        <v>1</v>
      </c>
      <c r="V69" s="525" t="s">
        <v>2054</v>
      </c>
      <c r="W69" s="589">
        <f>IF(AND(BaleMover[[#This Row],[Scenario_ID]]="S3",BaleMover[[#This Row],[MRF_ID]]="05"),0,IFERROR(BaleMover[[#This Row],[Total_Baled_tons]]*(IF(BaleMover[[#This Row],[Scenario_ID]]="S0",-2,0)+INDEX(BalePrices[Low],MATCH(BaleMover[[#This Row],[Bale_ID]],BalePrices[Bale_ID],0))),0))</f>
        <v>0</v>
      </c>
      <c r="X69" s="397">
        <f>IF(AND(BaleMover[[#This Row],[Scenario_ID]]="S3",BaleMover[[#This Row],[MRF_ID]]="05"),0,IFERROR(BaleMover[[#This Row],[Total_Baled_tons]]*(IF(BaleMover[[#This Row],[Scenario_ID]]="S0",-2,0)+INDEX(BalePrices[Mid-Point],MATCH(BaleMover[[#This Row],[Bale_ID]],BalePrices[Bale_ID],0))),0))</f>
        <v>0</v>
      </c>
      <c r="Y69" s="397">
        <f>IF(AND(BaleMover[[#This Row],[Scenario_ID]]="S3",BaleMover[[#This Row],[MRF_ID]]="05"),0,IFERROR(BaleMover[[#This Row],[Total_Baled_tons]]*(IF(BaleMover[[#This Row],[Scenario_ID]]="S0",-2,0)+INDEX(BalePrices[High],MATCH(BaleMover[[#This Row],[Bale_ID]],BalePrices[Bale_ID],0))),0))</f>
        <v>0</v>
      </c>
    </row>
    <row r="70" spans="2:25" x14ac:dyDescent="0.2">
      <c r="B70" s="545" t="s">
        <v>876</v>
      </c>
      <c r="C70" s="499" t="s">
        <v>706</v>
      </c>
      <c r="D70" s="499"/>
      <c r="E70" s="499"/>
      <c r="F70" s="499" t="s">
        <v>1992</v>
      </c>
      <c r="G70" s="499" t="s">
        <v>2047</v>
      </c>
      <c r="H70" s="499" t="s">
        <v>1236</v>
      </c>
      <c r="I70" s="499" t="s">
        <v>996</v>
      </c>
      <c r="J70" s="499" t="s">
        <v>997</v>
      </c>
      <c r="K70" s="499" t="s">
        <v>2048</v>
      </c>
      <c r="L70" s="499">
        <v>8</v>
      </c>
      <c r="M70" s="499" t="s">
        <v>2067</v>
      </c>
      <c r="N70" s="499" t="s">
        <v>2068</v>
      </c>
      <c r="O70" s="525">
        <v>0</v>
      </c>
      <c r="P70" s="499" t="s">
        <v>2054</v>
      </c>
      <c r="Q70" s="499"/>
      <c r="R70" s="499"/>
      <c r="S70" s="525"/>
      <c r="T70" s="525">
        <v>0</v>
      </c>
      <c r="U70" s="525">
        <v>1</v>
      </c>
      <c r="V70" s="525" t="s">
        <v>2054</v>
      </c>
      <c r="W70" s="589">
        <f>IF(AND(BaleMover[[#This Row],[Scenario_ID]]="S3",BaleMover[[#This Row],[MRF_ID]]="05"),0,IFERROR(BaleMover[[#This Row],[Total_Baled_tons]]*(IF(BaleMover[[#This Row],[Scenario_ID]]="S0",-2,0)+INDEX(BalePrices[Low],MATCH(BaleMover[[#This Row],[Bale_ID]],BalePrices[Bale_ID],0))),0))</f>
        <v>0</v>
      </c>
      <c r="X70" s="397">
        <f>IF(AND(BaleMover[[#This Row],[Scenario_ID]]="S3",BaleMover[[#This Row],[MRF_ID]]="05"),0,IFERROR(BaleMover[[#This Row],[Total_Baled_tons]]*(IF(BaleMover[[#This Row],[Scenario_ID]]="S0",-2,0)+INDEX(BalePrices[Mid-Point],MATCH(BaleMover[[#This Row],[Bale_ID]],BalePrices[Bale_ID],0))),0))</f>
        <v>0</v>
      </c>
      <c r="Y70" s="397">
        <f>IF(AND(BaleMover[[#This Row],[Scenario_ID]]="S3",BaleMover[[#This Row],[MRF_ID]]="05"),0,IFERROR(BaleMover[[#This Row],[Total_Baled_tons]]*(IF(BaleMover[[#This Row],[Scenario_ID]]="S0",-2,0)+INDEX(BalePrices[High],MATCH(BaleMover[[#This Row],[Bale_ID]],BalePrices[Bale_ID],0))),0))</f>
        <v>0</v>
      </c>
    </row>
    <row r="71" spans="2:25" x14ac:dyDescent="0.2">
      <c r="B71" s="545" t="s">
        <v>875</v>
      </c>
      <c r="C71" s="499" t="s">
        <v>706</v>
      </c>
      <c r="D71" s="499"/>
      <c r="E71" s="499"/>
      <c r="F71" s="499" t="s">
        <v>1992</v>
      </c>
      <c r="G71" s="499" t="s">
        <v>2051</v>
      </c>
      <c r="H71" s="499" t="s">
        <v>1237</v>
      </c>
      <c r="I71" s="499" t="s">
        <v>996</v>
      </c>
      <c r="J71" s="499" t="s">
        <v>997</v>
      </c>
      <c r="K71" s="499" t="s">
        <v>2048</v>
      </c>
      <c r="L71" s="499">
        <v>8</v>
      </c>
      <c r="M71" s="499" t="s">
        <v>2067</v>
      </c>
      <c r="N71" s="499" t="s">
        <v>2068</v>
      </c>
      <c r="O71" s="525">
        <v>0</v>
      </c>
      <c r="P71" s="499" t="s">
        <v>2054</v>
      </c>
      <c r="Q71" s="499"/>
      <c r="R71" s="499"/>
      <c r="S71" s="525"/>
      <c r="T71" s="525">
        <v>0</v>
      </c>
      <c r="U71" s="525">
        <v>1</v>
      </c>
      <c r="V71" s="525" t="s">
        <v>2054</v>
      </c>
      <c r="W71" s="589">
        <f>IF(AND(BaleMover[[#This Row],[Scenario_ID]]="S3",BaleMover[[#This Row],[MRF_ID]]="05"),0,IFERROR(BaleMover[[#This Row],[Total_Baled_tons]]*(IF(BaleMover[[#This Row],[Scenario_ID]]="S0",-2,0)+INDEX(BalePrices[Low],MATCH(BaleMover[[#This Row],[Bale_ID]],BalePrices[Bale_ID],0))),0))</f>
        <v>0</v>
      </c>
      <c r="X71" s="397">
        <f>IF(AND(BaleMover[[#This Row],[Scenario_ID]]="S3",BaleMover[[#This Row],[MRF_ID]]="05"),0,IFERROR(BaleMover[[#This Row],[Total_Baled_tons]]*(IF(BaleMover[[#This Row],[Scenario_ID]]="S0",-2,0)+INDEX(BalePrices[Mid-Point],MATCH(BaleMover[[#This Row],[Bale_ID]],BalePrices[Bale_ID],0))),0))</f>
        <v>0</v>
      </c>
      <c r="Y71" s="397">
        <f>IF(AND(BaleMover[[#This Row],[Scenario_ID]]="S3",BaleMover[[#This Row],[MRF_ID]]="05"),0,IFERROR(BaleMover[[#This Row],[Total_Baled_tons]]*(IF(BaleMover[[#This Row],[Scenario_ID]]="S0",-2,0)+INDEX(BalePrices[High],MATCH(BaleMover[[#This Row],[Bale_ID]],BalePrices[Bale_ID],0))),0))</f>
        <v>0</v>
      </c>
    </row>
    <row r="72" spans="2:25" x14ac:dyDescent="0.2">
      <c r="B72" s="545" t="s">
        <v>874</v>
      </c>
      <c r="C72" s="499" t="s">
        <v>706</v>
      </c>
      <c r="D72" s="499"/>
      <c r="E72" s="499"/>
      <c r="F72" s="499" t="s">
        <v>1992</v>
      </c>
      <c r="G72" s="499" t="s">
        <v>2052</v>
      </c>
      <c r="H72" s="499" t="s">
        <v>1238</v>
      </c>
      <c r="I72" s="499" t="s">
        <v>996</v>
      </c>
      <c r="J72" s="499" t="s">
        <v>997</v>
      </c>
      <c r="K72" s="499" t="s">
        <v>2048</v>
      </c>
      <c r="L72" s="499">
        <v>8</v>
      </c>
      <c r="M72" s="499" t="s">
        <v>2067</v>
      </c>
      <c r="N72" s="499" t="s">
        <v>2068</v>
      </c>
      <c r="O72" s="525">
        <v>0</v>
      </c>
      <c r="P72" s="499" t="s">
        <v>2054</v>
      </c>
      <c r="Q72" s="499"/>
      <c r="R72" s="499"/>
      <c r="S72" s="525"/>
      <c r="T72" s="525">
        <v>0</v>
      </c>
      <c r="U72" s="525">
        <v>1</v>
      </c>
      <c r="V72" s="525" t="s">
        <v>2054</v>
      </c>
      <c r="W72" s="589">
        <f>IF(AND(BaleMover[[#This Row],[Scenario_ID]]="S3",BaleMover[[#This Row],[MRF_ID]]="05"),0,IFERROR(BaleMover[[#This Row],[Total_Baled_tons]]*(IF(BaleMover[[#This Row],[Scenario_ID]]="S0",-2,0)+INDEX(BalePrices[Low],MATCH(BaleMover[[#This Row],[Bale_ID]],BalePrices[Bale_ID],0))),0))</f>
        <v>0</v>
      </c>
      <c r="X72" s="397">
        <f>IF(AND(BaleMover[[#This Row],[Scenario_ID]]="S3",BaleMover[[#This Row],[MRF_ID]]="05"),0,IFERROR(BaleMover[[#This Row],[Total_Baled_tons]]*(IF(BaleMover[[#This Row],[Scenario_ID]]="S0",-2,0)+INDEX(BalePrices[Mid-Point],MATCH(BaleMover[[#This Row],[Bale_ID]],BalePrices[Bale_ID],0))),0))</f>
        <v>0</v>
      </c>
      <c r="Y72" s="397">
        <f>IF(AND(BaleMover[[#This Row],[Scenario_ID]]="S3",BaleMover[[#This Row],[MRF_ID]]="05"),0,IFERROR(BaleMover[[#This Row],[Total_Baled_tons]]*(IF(BaleMover[[#This Row],[Scenario_ID]]="S0",-2,0)+INDEX(BalePrices[High],MATCH(BaleMover[[#This Row],[Bale_ID]],BalePrices[Bale_ID],0))),0))</f>
        <v>0</v>
      </c>
    </row>
    <row r="73" spans="2:25" x14ac:dyDescent="0.2">
      <c r="B73" s="545" t="s">
        <v>873</v>
      </c>
      <c r="C73" s="499" t="s">
        <v>706</v>
      </c>
      <c r="D73" s="499"/>
      <c r="E73" s="499"/>
      <c r="F73" s="499" t="s">
        <v>1992</v>
      </c>
      <c r="G73" s="499" t="s">
        <v>2053</v>
      </c>
      <c r="H73" s="499" t="s">
        <v>1239</v>
      </c>
      <c r="I73" s="499" t="s">
        <v>996</v>
      </c>
      <c r="J73" s="499" t="s">
        <v>997</v>
      </c>
      <c r="K73" s="499" t="s">
        <v>2048</v>
      </c>
      <c r="L73" s="499">
        <v>8</v>
      </c>
      <c r="M73" s="499" t="s">
        <v>2067</v>
      </c>
      <c r="N73" s="499" t="s">
        <v>2068</v>
      </c>
      <c r="O73" s="525">
        <v>0</v>
      </c>
      <c r="P73" s="499" t="s">
        <v>2054</v>
      </c>
      <c r="Q73" s="499"/>
      <c r="R73" s="499"/>
      <c r="S73" s="525"/>
      <c r="T73" s="525">
        <v>0</v>
      </c>
      <c r="U73" s="525">
        <v>1</v>
      </c>
      <c r="V73" s="525" t="s">
        <v>2054</v>
      </c>
      <c r="W73" s="589">
        <f>IF(AND(BaleMover[[#This Row],[Scenario_ID]]="S3",BaleMover[[#This Row],[MRF_ID]]="05"),0,IFERROR(BaleMover[[#This Row],[Total_Baled_tons]]*(IF(BaleMover[[#This Row],[Scenario_ID]]="S0",-2,0)+INDEX(BalePrices[Low],MATCH(BaleMover[[#This Row],[Bale_ID]],BalePrices[Bale_ID],0))),0))</f>
        <v>0</v>
      </c>
      <c r="X73" s="397">
        <f>IF(AND(BaleMover[[#This Row],[Scenario_ID]]="S3",BaleMover[[#This Row],[MRF_ID]]="05"),0,IFERROR(BaleMover[[#This Row],[Total_Baled_tons]]*(IF(BaleMover[[#This Row],[Scenario_ID]]="S0",-2,0)+INDEX(BalePrices[Mid-Point],MATCH(BaleMover[[#This Row],[Bale_ID]],BalePrices[Bale_ID],0))),0))</f>
        <v>0</v>
      </c>
      <c r="Y73" s="397">
        <f>IF(AND(BaleMover[[#This Row],[Scenario_ID]]="S3",BaleMover[[#This Row],[MRF_ID]]="05"),0,IFERROR(BaleMover[[#This Row],[Total_Baled_tons]]*(IF(BaleMover[[#This Row],[Scenario_ID]]="S0",-2,0)+INDEX(BalePrices[High],MATCH(BaleMover[[#This Row],[Bale_ID]],BalePrices[Bale_ID],0))),0))</f>
        <v>0</v>
      </c>
    </row>
    <row r="74" spans="2:25" x14ac:dyDescent="0.2">
      <c r="B74" s="545" t="s">
        <v>876</v>
      </c>
      <c r="C74" s="499" t="s">
        <v>706</v>
      </c>
      <c r="D74" s="499"/>
      <c r="E74" s="499"/>
      <c r="F74" s="499" t="s">
        <v>1992</v>
      </c>
      <c r="G74" s="499" t="s">
        <v>2047</v>
      </c>
      <c r="H74" s="499" t="s">
        <v>1240</v>
      </c>
      <c r="I74" s="499" t="s">
        <v>998</v>
      </c>
      <c r="J74" s="499" t="s">
        <v>999</v>
      </c>
      <c r="K74" s="499" t="s">
        <v>2048</v>
      </c>
      <c r="L74" s="499">
        <v>8</v>
      </c>
      <c r="M74" s="499" t="s">
        <v>2067</v>
      </c>
      <c r="N74" s="499" t="s">
        <v>2068</v>
      </c>
      <c r="O74" s="525">
        <v>0</v>
      </c>
      <c r="P74" s="499" t="s">
        <v>2054</v>
      </c>
      <c r="Q74" s="499"/>
      <c r="R74" s="499"/>
      <c r="S74" s="525"/>
      <c r="T74" s="525">
        <v>0</v>
      </c>
      <c r="U74" s="525">
        <v>1</v>
      </c>
      <c r="V74" s="525" t="s">
        <v>2054</v>
      </c>
      <c r="W74" s="589">
        <f>IF(AND(BaleMover[[#This Row],[Scenario_ID]]="S3",BaleMover[[#This Row],[MRF_ID]]="05"),0,IFERROR(BaleMover[[#This Row],[Total_Baled_tons]]*(IF(BaleMover[[#This Row],[Scenario_ID]]="S0",-2,0)+INDEX(BalePrices[Low],MATCH(BaleMover[[#This Row],[Bale_ID]],BalePrices[Bale_ID],0))),0))</f>
        <v>0</v>
      </c>
      <c r="X74" s="397">
        <f>IF(AND(BaleMover[[#This Row],[Scenario_ID]]="S3",BaleMover[[#This Row],[MRF_ID]]="05"),0,IFERROR(BaleMover[[#This Row],[Total_Baled_tons]]*(IF(BaleMover[[#This Row],[Scenario_ID]]="S0",-2,0)+INDEX(BalePrices[Mid-Point],MATCH(BaleMover[[#This Row],[Bale_ID]],BalePrices[Bale_ID],0))),0))</f>
        <v>0</v>
      </c>
      <c r="Y74" s="397">
        <f>IF(AND(BaleMover[[#This Row],[Scenario_ID]]="S3",BaleMover[[#This Row],[MRF_ID]]="05"),0,IFERROR(BaleMover[[#This Row],[Total_Baled_tons]]*(IF(BaleMover[[#This Row],[Scenario_ID]]="S0",-2,0)+INDEX(BalePrices[High],MATCH(BaleMover[[#This Row],[Bale_ID]],BalePrices[Bale_ID],0))),0))</f>
        <v>0</v>
      </c>
    </row>
    <row r="75" spans="2:25" x14ac:dyDescent="0.2">
      <c r="B75" s="545" t="s">
        <v>875</v>
      </c>
      <c r="C75" s="499" t="s">
        <v>706</v>
      </c>
      <c r="D75" s="499"/>
      <c r="E75" s="499"/>
      <c r="F75" s="499" t="s">
        <v>1992</v>
      </c>
      <c r="G75" s="499" t="s">
        <v>2051</v>
      </c>
      <c r="H75" s="499" t="s">
        <v>1241</v>
      </c>
      <c r="I75" s="499" t="s">
        <v>998</v>
      </c>
      <c r="J75" s="499" t="s">
        <v>999</v>
      </c>
      <c r="K75" s="499" t="s">
        <v>2048</v>
      </c>
      <c r="L75" s="499">
        <v>8</v>
      </c>
      <c r="M75" s="499" t="s">
        <v>2067</v>
      </c>
      <c r="N75" s="499" t="s">
        <v>2068</v>
      </c>
      <c r="O75" s="525">
        <v>0</v>
      </c>
      <c r="P75" s="499" t="s">
        <v>2054</v>
      </c>
      <c r="Q75" s="499"/>
      <c r="R75" s="499"/>
      <c r="S75" s="525"/>
      <c r="T75" s="525">
        <v>0</v>
      </c>
      <c r="U75" s="525">
        <v>1</v>
      </c>
      <c r="V75" s="525" t="s">
        <v>2054</v>
      </c>
      <c r="W75" s="589">
        <f>IF(AND(BaleMover[[#This Row],[Scenario_ID]]="S3",BaleMover[[#This Row],[MRF_ID]]="05"),0,IFERROR(BaleMover[[#This Row],[Total_Baled_tons]]*(IF(BaleMover[[#This Row],[Scenario_ID]]="S0",-2,0)+INDEX(BalePrices[Low],MATCH(BaleMover[[#This Row],[Bale_ID]],BalePrices[Bale_ID],0))),0))</f>
        <v>0</v>
      </c>
      <c r="X75" s="397">
        <f>IF(AND(BaleMover[[#This Row],[Scenario_ID]]="S3",BaleMover[[#This Row],[MRF_ID]]="05"),0,IFERROR(BaleMover[[#This Row],[Total_Baled_tons]]*(IF(BaleMover[[#This Row],[Scenario_ID]]="S0",-2,0)+INDEX(BalePrices[Mid-Point],MATCH(BaleMover[[#This Row],[Bale_ID]],BalePrices[Bale_ID],0))),0))</f>
        <v>0</v>
      </c>
      <c r="Y75" s="397">
        <f>IF(AND(BaleMover[[#This Row],[Scenario_ID]]="S3",BaleMover[[#This Row],[MRF_ID]]="05"),0,IFERROR(BaleMover[[#This Row],[Total_Baled_tons]]*(IF(BaleMover[[#This Row],[Scenario_ID]]="S0",-2,0)+INDEX(BalePrices[High],MATCH(BaleMover[[#This Row],[Bale_ID]],BalePrices[Bale_ID],0))),0))</f>
        <v>0</v>
      </c>
    </row>
    <row r="76" spans="2:25" x14ac:dyDescent="0.2">
      <c r="B76" s="545" t="s">
        <v>874</v>
      </c>
      <c r="C76" s="499" t="s">
        <v>706</v>
      </c>
      <c r="D76" s="499"/>
      <c r="E76" s="499"/>
      <c r="F76" s="499" t="s">
        <v>1992</v>
      </c>
      <c r="G76" s="499" t="s">
        <v>2052</v>
      </c>
      <c r="H76" s="499" t="s">
        <v>1242</v>
      </c>
      <c r="I76" s="499" t="s">
        <v>998</v>
      </c>
      <c r="J76" s="499" t="s">
        <v>999</v>
      </c>
      <c r="K76" s="499" t="s">
        <v>2048</v>
      </c>
      <c r="L76" s="499">
        <v>8</v>
      </c>
      <c r="M76" s="499" t="s">
        <v>2067</v>
      </c>
      <c r="N76" s="499" t="s">
        <v>2068</v>
      </c>
      <c r="O76" s="525">
        <v>0</v>
      </c>
      <c r="P76" s="499" t="s">
        <v>2054</v>
      </c>
      <c r="Q76" s="499"/>
      <c r="R76" s="499"/>
      <c r="S76" s="525"/>
      <c r="T76" s="525">
        <v>0</v>
      </c>
      <c r="U76" s="525">
        <v>1</v>
      </c>
      <c r="V76" s="525" t="s">
        <v>2054</v>
      </c>
      <c r="W76" s="589">
        <f>IF(AND(BaleMover[[#This Row],[Scenario_ID]]="S3",BaleMover[[#This Row],[MRF_ID]]="05"),0,IFERROR(BaleMover[[#This Row],[Total_Baled_tons]]*(IF(BaleMover[[#This Row],[Scenario_ID]]="S0",-2,0)+INDEX(BalePrices[Low],MATCH(BaleMover[[#This Row],[Bale_ID]],BalePrices[Bale_ID],0))),0))</f>
        <v>0</v>
      </c>
      <c r="X76" s="397">
        <f>IF(AND(BaleMover[[#This Row],[Scenario_ID]]="S3",BaleMover[[#This Row],[MRF_ID]]="05"),0,IFERROR(BaleMover[[#This Row],[Total_Baled_tons]]*(IF(BaleMover[[#This Row],[Scenario_ID]]="S0",-2,0)+INDEX(BalePrices[Mid-Point],MATCH(BaleMover[[#This Row],[Bale_ID]],BalePrices[Bale_ID],0))),0))</f>
        <v>0</v>
      </c>
      <c r="Y76" s="397">
        <f>IF(AND(BaleMover[[#This Row],[Scenario_ID]]="S3",BaleMover[[#This Row],[MRF_ID]]="05"),0,IFERROR(BaleMover[[#This Row],[Total_Baled_tons]]*(IF(BaleMover[[#This Row],[Scenario_ID]]="S0",-2,0)+INDEX(BalePrices[High],MATCH(BaleMover[[#This Row],[Bale_ID]],BalePrices[Bale_ID],0))),0))</f>
        <v>0</v>
      </c>
    </row>
    <row r="77" spans="2:25" x14ac:dyDescent="0.2">
      <c r="B77" s="545" t="s">
        <v>873</v>
      </c>
      <c r="C77" s="499" t="s">
        <v>706</v>
      </c>
      <c r="D77" s="499"/>
      <c r="E77" s="499"/>
      <c r="F77" s="499" t="s">
        <v>1992</v>
      </c>
      <c r="G77" s="499" t="s">
        <v>2053</v>
      </c>
      <c r="H77" s="499" t="s">
        <v>1243</v>
      </c>
      <c r="I77" s="499" t="s">
        <v>998</v>
      </c>
      <c r="J77" s="499" t="s">
        <v>999</v>
      </c>
      <c r="K77" s="499" t="s">
        <v>2048</v>
      </c>
      <c r="L77" s="499">
        <v>8</v>
      </c>
      <c r="M77" s="499" t="s">
        <v>2067</v>
      </c>
      <c r="N77" s="499" t="s">
        <v>2068</v>
      </c>
      <c r="O77" s="525">
        <v>0</v>
      </c>
      <c r="P77" s="499" t="s">
        <v>2054</v>
      </c>
      <c r="Q77" s="499"/>
      <c r="R77" s="499"/>
      <c r="S77" s="525"/>
      <c r="T77" s="525">
        <v>0</v>
      </c>
      <c r="U77" s="525">
        <v>1</v>
      </c>
      <c r="V77" s="525" t="s">
        <v>2054</v>
      </c>
      <c r="W77" s="589">
        <f>IF(AND(BaleMover[[#This Row],[Scenario_ID]]="S3",BaleMover[[#This Row],[MRF_ID]]="05"),0,IFERROR(BaleMover[[#This Row],[Total_Baled_tons]]*(IF(BaleMover[[#This Row],[Scenario_ID]]="S0",-2,0)+INDEX(BalePrices[Low],MATCH(BaleMover[[#This Row],[Bale_ID]],BalePrices[Bale_ID],0))),0))</f>
        <v>0</v>
      </c>
      <c r="X77" s="397">
        <f>IF(AND(BaleMover[[#This Row],[Scenario_ID]]="S3",BaleMover[[#This Row],[MRF_ID]]="05"),0,IFERROR(BaleMover[[#This Row],[Total_Baled_tons]]*(IF(BaleMover[[#This Row],[Scenario_ID]]="S0",-2,0)+INDEX(BalePrices[Mid-Point],MATCH(BaleMover[[#This Row],[Bale_ID]],BalePrices[Bale_ID],0))),0))</f>
        <v>0</v>
      </c>
      <c r="Y77" s="397">
        <f>IF(AND(BaleMover[[#This Row],[Scenario_ID]]="S3",BaleMover[[#This Row],[MRF_ID]]="05"),0,IFERROR(BaleMover[[#This Row],[Total_Baled_tons]]*(IF(BaleMover[[#This Row],[Scenario_ID]]="S0",-2,0)+INDEX(BalePrices[High],MATCH(BaleMover[[#This Row],[Bale_ID]],BalePrices[Bale_ID],0))),0))</f>
        <v>0</v>
      </c>
    </row>
    <row r="78" spans="2:25" x14ac:dyDescent="0.2">
      <c r="B78" s="545" t="s">
        <v>876</v>
      </c>
      <c r="C78" s="499" t="s">
        <v>706</v>
      </c>
      <c r="D78" s="499"/>
      <c r="E78" s="499"/>
      <c r="F78" s="499" t="s">
        <v>1992</v>
      </c>
      <c r="G78" s="499" t="s">
        <v>2047</v>
      </c>
      <c r="H78" s="499" t="s">
        <v>1244</v>
      </c>
      <c r="I78" s="499" t="s">
        <v>1000</v>
      </c>
      <c r="J78" s="499" t="s">
        <v>1001</v>
      </c>
      <c r="K78" s="499" t="s">
        <v>2048</v>
      </c>
      <c r="L78" s="499">
        <v>12</v>
      </c>
      <c r="M78" s="499" t="s">
        <v>2069</v>
      </c>
      <c r="N78" s="499" t="s">
        <v>2070</v>
      </c>
      <c r="O78" s="525">
        <v>679.21994758898074</v>
      </c>
      <c r="P78" s="499">
        <v>2680</v>
      </c>
      <c r="Q78" s="499"/>
      <c r="R78" s="499"/>
      <c r="S78" s="525"/>
      <c r="T78" s="525">
        <v>0</v>
      </c>
      <c r="U78" s="525">
        <v>1</v>
      </c>
      <c r="V78" s="525">
        <v>1820309.4595384684</v>
      </c>
      <c r="W78" s="589">
        <f>IF(AND(BaleMover[[#This Row],[Scenario_ID]]="S3",BaleMover[[#This Row],[MRF_ID]]="05"),0,IFERROR(BaleMover[[#This Row],[Total_Baled_tons]]*(IF(BaleMover[[#This Row],[Scenario_ID]]="S0",-2,0)+INDEX(BalePrices[Low],MATCH(BaleMover[[#This Row],[Bale_ID]],BalePrices[Bale_ID],0))),0))</f>
        <v>32602.557484271078</v>
      </c>
      <c r="X78" s="397">
        <f>IF(AND(BaleMover[[#This Row],[Scenario_ID]]="S3",BaleMover[[#This Row],[MRF_ID]]="05"),0,IFERROR(BaleMover[[#This Row],[Total_Baled_tons]]*(IF(BaleMover[[#This Row],[Scenario_ID]]="S0",-2,0)+INDEX(BalePrices[Mid-Point],MATCH(BaleMover[[#This Row],[Bale_ID]],BalePrices[Bale_ID],0))),0))</f>
        <v>66563.554863720114</v>
      </c>
      <c r="Y78" s="397">
        <f>IF(AND(BaleMover[[#This Row],[Scenario_ID]]="S3",BaleMover[[#This Row],[MRF_ID]]="05"),0,IFERROR(BaleMover[[#This Row],[Total_Baled_tons]]*(IF(BaleMover[[#This Row],[Scenario_ID]]="S0",-2,0)+INDEX(BalePrices[High],MATCH(BaleMover[[#This Row],[Bale_ID]],BalePrices[Bale_ID],0))),0))</f>
        <v>100524.55224316915</v>
      </c>
    </row>
    <row r="79" spans="2:25" x14ac:dyDescent="0.2">
      <c r="B79" s="545" t="s">
        <v>875</v>
      </c>
      <c r="C79" s="499" t="s">
        <v>706</v>
      </c>
      <c r="D79" s="499"/>
      <c r="E79" s="499"/>
      <c r="F79" s="499" t="s">
        <v>1992</v>
      </c>
      <c r="G79" s="499" t="s">
        <v>2051</v>
      </c>
      <c r="H79" s="499" t="s">
        <v>1245</v>
      </c>
      <c r="I79" s="499" t="s">
        <v>1000</v>
      </c>
      <c r="J79" s="499" t="s">
        <v>1001</v>
      </c>
      <c r="K79" s="499" t="s">
        <v>2048</v>
      </c>
      <c r="L79" s="499">
        <v>12</v>
      </c>
      <c r="M79" s="499" t="s">
        <v>2069</v>
      </c>
      <c r="N79" s="499" t="s">
        <v>2070</v>
      </c>
      <c r="O79" s="525">
        <v>389.73806547155027</v>
      </c>
      <c r="P79" s="499">
        <v>2680</v>
      </c>
      <c r="Q79" s="499"/>
      <c r="R79" s="499"/>
      <c r="S79" s="525"/>
      <c r="T79" s="525">
        <v>0</v>
      </c>
      <c r="U79" s="525">
        <v>1</v>
      </c>
      <c r="V79" s="525">
        <v>1044498.0154637548</v>
      </c>
      <c r="W79" s="589">
        <f>IF(AND(BaleMover[[#This Row],[Scenario_ID]]="S3",BaleMover[[#This Row],[MRF_ID]]="05"),0,IFERROR(BaleMover[[#This Row],[Total_Baled_tons]]*(IF(BaleMover[[#This Row],[Scenario_ID]]="S0",-2,0)+INDEX(BalePrices[Low],MATCH(BaleMover[[#This Row],[Bale_ID]],BalePrices[Bale_ID],0))),0))</f>
        <v>19486.903273577514</v>
      </c>
      <c r="X79" s="397">
        <f>IF(AND(BaleMover[[#This Row],[Scenario_ID]]="S3",BaleMover[[#This Row],[MRF_ID]]="05"),0,IFERROR(BaleMover[[#This Row],[Total_Baled_tons]]*(IF(BaleMover[[#This Row],[Scenario_ID]]="S0",-2,0)+INDEX(BalePrices[Mid-Point],MATCH(BaleMover[[#This Row],[Bale_ID]],BalePrices[Bale_ID],0))),0))</f>
        <v>38973.806547155029</v>
      </c>
      <c r="Y79" s="397">
        <f>IF(AND(BaleMover[[#This Row],[Scenario_ID]]="S3",BaleMover[[#This Row],[MRF_ID]]="05"),0,IFERROR(BaleMover[[#This Row],[Total_Baled_tons]]*(IF(BaleMover[[#This Row],[Scenario_ID]]="S0",-2,0)+INDEX(BalePrices[High],MATCH(BaleMover[[#This Row],[Bale_ID]],BalePrices[Bale_ID],0))),0))</f>
        <v>58460.70982073254</v>
      </c>
    </row>
    <row r="80" spans="2:25" x14ac:dyDescent="0.2">
      <c r="B80" s="545" t="s">
        <v>874</v>
      </c>
      <c r="C80" s="499" t="s">
        <v>706</v>
      </c>
      <c r="D80" s="499"/>
      <c r="E80" s="499"/>
      <c r="F80" s="499" t="s">
        <v>1992</v>
      </c>
      <c r="G80" s="499" t="s">
        <v>2052</v>
      </c>
      <c r="H80" s="499" t="s">
        <v>1246</v>
      </c>
      <c r="I80" s="499" t="s">
        <v>1000</v>
      </c>
      <c r="J80" s="499" t="s">
        <v>1001</v>
      </c>
      <c r="K80" s="499" t="s">
        <v>2048</v>
      </c>
      <c r="L80" s="499">
        <v>12</v>
      </c>
      <c r="M80" s="499" t="s">
        <v>2069</v>
      </c>
      <c r="N80" s="499" t="s">
        <v>2070</v>
      </c>
      <c r="O80" s="525">
        <v>3183.4967427556176</v>
      </c>
      <c r="P80" s="499">
        <v>2680</v>
      </c>
      <c r="Q80" s="499"/>
      <c r="R80" s="499"/>
      <c r="S80" s="525"/>
      <c r="T80" s="525">
        <v>0</v>
      </c>
      <c r="U80" s="525">
        <v>1</v>
      </c>
      <c r="V80" s="525">
        <v>8531771.2705850545</v>
      </c>
      <c r="W80" s="589">
        <f>IF(AND(BaleMover[[#This Row],[Scenario_ID]]="S3",BaleMover[[#This Row],[MRF_ID]]="05"),0,IFERROR(BaleMover[[#This Row],[Total_Baled_tons]]*(IF(BaleMover[[#This Row],[Scenario_ID]]="S0",-2,0)+INDEX(BalePrices[Low],MATCH(BaleMover[[#This Row],[Bale_ID]],BalePrices[Bale_ID],0))),0))</f>
        <v>159174.83713778088</v>
      </c>
      <c r="X80" s="397">
        <f>IF(AND(BaleMover[[#This Row],[Scenario_ID]]="S3",BaleMover[[#This Row],[MRF_ID]]="05"),0,IFERROR(BaleMover[[#This Row],[Total_Baled_tons]]*(IF(BaleMover[[#This Row],[Scenario_ID]]="S0",-2,0)+INDEX(BalePrices[Mid-Point],MATCH(BaleMover[[#This Row],[Bale_ID]],BalePrices[Bale_ID],0))),0))</f>
        <v>318349.67427556176</v>
      </c>
      <c r="Y80" s="397">
        <f>IF(AND(BaleMover[[#This Row],[Scenario_ID]]="S3",BaleMover[[#This Row],[MRF_ID]]="05"),0,IFERROR(BaleMover[[#This Row],[Total_Baled_tons]]*(IF(BaleMover[[#This Row],[Scenario_ID]]="S0",-2,0)+INDEX(BalePrices[High],MATCH(BaleMover[[#This Row],[Bale_ID]],BalePrices[Bale_ID],0))),0))</f>
        <v>477524.51141334261</v>
      </c>
    </row>
    <row r="81" spans="2:25" x14ac:dyDescent="0.2">
      <c r="B81" s="545" t="s">
        <v>873</v>
      </c>
      <c r="C81" s="499" t="s">
        <v>706</v>
      </c>
      <c r="D81" s="499"/>
      <c r="E81" s="499"/>
      <c r="F81" s="499" t="s">
        <v>1992</v>
      </c>
      <c r="G81" s="499" t="s">
        <v>2053</v>
      </c>
      <c r="H81" s="499" t="s">
        <v>1247</v>
      </c>
      <c r="I81" s="499" t="s">
        <v>1000</v>
      </c>
      <c r="J81" s="499" t="s">
        <v>1001</v>
      </c>
      <c r="K81" s="499" t="s">
        <v>2048</v>
      </c>
      <c r="L81" s="499">
        <v>12</v>
      </c>
      <c r="M81" s="499" t="s">
        <v>2069</v>
      </c>
      <c r="N81" s="499" t="s">
        <v>2070</v>
      </c>
      <c r="O81" s="525">
        <v>3181.3793325681795</v>
      </c>
      <c r="P81" s="499">
        <v>2680</v>
      </c>
      <c r="Q81" s="499"/>
      <c r="R81" s="499"/>
      <c r="S81" s="525"/>
      <c r="T81" s="525">
        <v>0</v>
      </c>
      <c r="U81" s="525">
        <v>1</v>
      </c>
      <c r="V81" s="525">
        <v>8526096.6112827212</v>
      </c>
      <c r="W81" s="589">
        <f>IF(AND(BaleMover[[#This Row],[Scenario_ID]]="S3",BaleMover[[#This Row],[MRF_ID]]="05"),0,IFERROR(BaleMover[[#This Row],[Total_Baled_tons]]*(IF(BaleMover[[#This Row],[Scenario_ID]]="S0",-2,0)+INDEX(BalePrices[Low],MATCH(BaleMover[[#This Row],[Bale_ID]],BalePrices[Bale_ID],0))),0))</f>
        <v>159068.96662840896</v>
      </c>
      <c r="X81" s="397">
        <f>IF(AND(BaleMover[[#This Row],[Scenario_ID]]="S3",BaleMover[[#This Row],[MRF_ID]]="05"),0,IFERROR(BaleMover[[#This Row],[Total_Baled_tons]]*(IF(BaleMover[[#This Row],[Scenario_ID]]="S0",-2,0)+INDEX(BalePrices[Mid-Point],MATCH(BaleMover[[#This Row],[Bale_ID]],BalePrices[Bale_ID],0))),0))</f>
        <v>318137.93325681792</v>
      </c>
      <c r="Y81" s="397">
        <f>IF(AND(BaleMover[[#This Row],[Scenario_ID]]="S3",BaleMover[[#This Row],[MRF_ID]]="05"),0,IFERROR(BaleMover[[#This Row],[Total_Baled_tons]]*(IF(BaleMover[[#This Row],[Scenario_ID]]="S0",-2,0)+INDEX(BalePrices[High],MATCH(BaleMover[[#This Row],[Bale_ID]],BalePrices[Bale_ID],0))),0))</f>
        <v>477206.89988522691</v>
      </c>
    </row>
    <row r="82" spans="2:25" x14ac:dyDescent="0.2">
      <c r="B82" s="545" t="s">
        <v>876</v>
      </c>
      <c r="C82" s="499" t="s">
        <v>706</v>
      </c>
      <c r="D82" s="499"/>
      <c r="E82" s="499"/>
      <c r="F82" s="499" t="s">
        <v>1992</v>
      </c>
      <c r="G82" s="499" t="s">
        <v>2047</v>
      </c>
      <c r="H82" s="499" t="s">
        <v>1248</v>
      </c>
      <c r="I82" s="499" t="s">
        <v>1002</v>
      </c>
      <c r="J82" s="499" t="s">
        <v>1003</v>
      </c>
      <c r="K82" s="499" t="s">
        <v>2048</v>
      </c>
      <c r="L82" s="499">
        <v>1</v>
      </c>
      <c r="M82" s="499" t="s">
        <v>2065</v>
      </c>
      <c r="N82" s="499" t="s">
        <v>2066</v>
      </c>
      <c r="O82" s="525">
        <v>0</v>
      </c>
      <c r="P82" s="499" t="s">
        <v>2054</v>
      </c>
      <c r="Q82" s="499"/>
      <c r="R82" s="499"/>
      <c r="S82" s="525"/>
      <c r="T82" s="525">
        <v>0</v>
      </c>
      <c r="U82" s="525">
        <v>1</v>
      </c>
      <c r="V82" s="525" t="s">
        <v>2054</v>
      </c>
      <c r="W82" s="589">
        <f>IF(AND(BaleMover[[#This Row],[Scenario_ID]]="S3",BaleMover[[#This Row],[MRF_ID]]="05"),0,IFERROR(BaleMover[[#This Row],[Total_Baled_tons]]*(IF(BaleMover[[#This Row],[Scenario_ID]]="S0",-2,0)+INDEX(BalePrices[Low],MATCH(BaleMover[[#This Row],[Bale_ID]],BalePrices[Bale_ID],0))),0))</f>
        <v>0</v>
      </c>
      <c r="X82" s="397">
        <f>IF(AND(BaleMover[[#This Row],[Scenario_ID]]="S3",BaleMover[[#This Row],[MRF_ID]]="05"),0,IFERROR(BaleMover[[#This Row],[Total_Baled_tons]]*(IF(BaleMover[[#This Row],[Scenario_ID]]="S0",-2,0)+INDEX(BalePrices[Mid-Point],MATCH(BaleMover[[#This Row],[Bale_ID]],BalePrices[Bale_ID],0))),0))</f>
        <v>0</v>
      </c>
      <c r="Y82" s="397">
        <f>IF(AND(BaleMover[[#This Row],[Scenario_ID]]="S3",BaleMover[[#This Row],[MRF_ID]]="05"),0,IFERROR(BaleMover[[#This Row],[Total_Baled_tons]]*(IF(BaleMover[[#This Row],[Scenario_ID]]="S0",-2,0)+INDEX(BalePrices[High],MATCH(BaleMover[[#This Row],[Bale_ID]],BalePrices[Bale_ID],0))),0))</f>
        <v>0</v>
      </c>
    </row>
    <row r="83" spans="2:25" x14ac:dyDescent="0.2">
      <c r="B83" s="545" t="s">
        <v>875</v>
      </c>
      <c r="C83" s="499" t="s">
        <v>706</v>
      </c>
      <c r="D83" s="499"/>
      <c r="E83" s="499"/>
      <c r="F83" s="499" t="s">
        <v>1992</v>
      </c>
      <c r="G83" s="499" t="s">
        <v>2051</v>
      </c>
      <c r="H83" s="499" t="s">
        <v>1249</v>
      </c>
      <c r="I83" s="499" t="s">
        <v>1002</v>
      </c>
      <c r="J83" s="499" t="s">
        <v>1003</v>
      </c>
      <c r="K83" s="499" t="s">
        <v>2048</v>
      </c>
      <c r="L83" s="499">
        <v>1</v>
      </c>
      <c r="M83" s="499" t="s">
        <v>2065</v>
      </c>
      <c r="N83" s="499" t="s">
        <v>2066</v>
      </c>
      <c r="O83" s="525">
        <v>0</v>
      </c>
      <c r="P83" s="499" t="s">
        <v>2054</v>
      </c>
      <c r="Q83" s="499"/>
      <c r="R83" s="499"/>
      <c r="S83" s="525"/>
      <c r="T83" s="525">
        <v>0</v>
      </c>
      <c r="U83" s="525">
        <v>1</v>
      </c>
      <c r="V83" s="525" t="s">
        <v>2054</v>
      </c>
      <c r="W83" s="589">
        <f>IF(AND(BaleMover[[#This Row],[Scenario_ID]]="S3",BaleMover[[#This Row],[MRF_ID]]="05"),0,IFERROR(BaleMover[[#This Row],[Total_Baled_tons]]*(IF(BaleMover[[#This Row],[Scenario_ID]]="S0",-2,0)+INDEX(BalePrices[Low],MATCH(BaleMover[[#This Row],[Bale_ID]],BalePrices[Bale_ID],0))),0))</f>
        <v>0</v>
      </c>
      <c r="X83" s="397">
        <f>IF(AND(BaleMover[[#This Row],[Scenario_ID]]="S3",BaleMover[[#This Row],[MRF_ID]]="05"),0,IFERROR(BaleMover[[#This Row],[Total_Baled_tons]]*(IF(BaleMover[[#This Row],[Scenario_ID]]="S0",-2,0)+INDEX(BalePrices[Mid-Point],MATCH(BaleMover[[#This Row],[Bale_ID]],BalePrices[Bale_ID],0))),0))</f>
        <v>0</v>
      </c>
      <c r="Y83" s="397">
        <f>IF(AND(BaleMover[[#This Row],[Scenario_ID]]="S3",BaleMover[[#This Row],[MRF_ID]]="05"),0,IFERROR(BaleMover[[#This Row],[Total_Baled_tons]]*(IF(BaleMover[[#This Row],[Scenario_ID]]="S0",-2,0)+INDEX(BalePrices[High],MATCH(BaleMover[[#This Row],[Bale_ID]],BalePrices[Bale_ID],0))),0))</f>
        <v>0</v>
      </c>
    </row>
    <row r="84" spans="2:25" x14ac:dyDescent="0.2">
      <c r="B84" s="545" t="s">
        <v>874</v>
      </c>
      <c r="C84" s="499" t="s">
        <v>706</v>
      </c>
      <c r="D84" s="499"/>
      <c r="E84" s="499"/>
      <c r="F84" s="499" t="s">
        <v>1992</v>
      </c>
      <c r="G84" s="499" t="s">
        <v>2052</v>
      </c>
      <c r="H84" s="499" t="s">
        <v>1250</v>
      </c>
      <c r="I84" s="499" t="s">
        <v>1002</v>
      </c>
      <c r="J84" s="499" t="s">
        <v>1003</v>
      </c>
      <c r="K84" s="499" t="s">
        <v>2048</v>
      </c>
      <c r="L84" s="499">
        <v>1</v>
      </c>
      <c r="M84" s="499" t="s">
        <v>2065</v>
      </c>
      <c r="N84" s="499" t="s">
        <v>2066</v>
      </c>
      <c r="O84" s="525">
        <v>0</v>
      </c>
      <c r="P84" s="499" t="s">
        <v>2054</v>
      </c>
      <c r="Q84" s="499"/>
      <c r="R84" s="499"/>
      <c r="S84" s="525"/>
      <c r="T84" s="525">
        <v>0</v>
      </c>
      <c r="U84" s="525">
        <v>1</v>
      </c>
      <c r="V84" s="525" t="s">
        <v>2054</v>
      </c>
      <c r="W84" s="589">
        <f>IF(AND(BaleMover[[#This Row],[Scenario_ID]]="S3",BaleMover[[#This Row],[MRF_ID]]="05"),0,IFERROR(BaleMover[[#This Row],[Total_Baled_tons]]*(IF(BaleMover[[#This Row],[Scenario_ID]]="S0",-2,0)+INDEX(BalePrices[Low],MATCH(BaleMover[[#This Row],[Bale_ID]],BalePrices[Bale_ID],0))),0))</f>
        <v>0</v>
      </c>
      <c r="X84" s="397">
        <f>IF(AND(BaleMover[[#This Row],[Scenario_ID]]="S3",BaleMover[[#This Row],[MRF_ID]]="05"),0,IFERROR(BaleMover[[#This Row],[Total_Baled_tons]]*(IF(BaleMover[[#This Row],[Scenario_ID]]="S0",-2,0)+INDEX(BalePrices[Mid-Point],MATCH(BaleMover[[#This Row],[Bale_ID]],BalePrices[Bale_ID],0))),0))</f>
        <v>0</v>
      </c>
      <c r="Y84" s="397">
        <f>IF(AND(BaleMover[[#This Row],[Scenario_ID]]="S3",BaleMover[[#This Row],[MRF_ID]]="05"),0,IFERROR(BaleMover[[#This Row],[Total_Baled_tons]]*(IF(BaleMover[[#This Row],[Scenario_ID]]="S0",-2,0)+INDEX(BalePrices[High],MATCH(BaleMover[[#This Row],[Bale_ID]],BalePrices[Bale_ID],0))),0))</f>
        <v>0</v>
      </c>
    </row>
    <row r="85" spans="2:25" x14ac:dyDescent="0.2">
      <c r="B85" s="545" t="s">
        <v>873</v>
      </c>
      <c r="C85" s="499" t="s">
        <v>706</v>
      </c>
      <c r="D85" s="499"/>
      <c r="E85" s="499"/>
      <c r="F85" s="499" t="s">
        <v>1992</v>
      </c>
      <c r="G85" s="499" t="s">
        <v>2053</v>
      </c>
      <c r="H85" s="499" t="s">
        <v>1251</v>
      </c>
      <c r="I85" s="499" t="s">
        <v>1002</v>
      </c>
      <c r="J85" s="499" t="s">
        <v>1003</v>
      </c>
      <c r="K85" s="499" t="s">
        <v>2048</v>
      </c>
      <c r="L85" s="499">
        <v>1</v>
      </c>
      <c r="M85" s="499" t="s">
        <v>2065</v>
      </c>
      <c r="N85" s="499" t="s">
        <v>2066</v>
      </c>
      <c r="O85" s="525">
        <v>0</v>
      </c>
      <c r="P85" s="499" t="s">
        <v>2054</v>
      </c>
      <c r="Q85" s="499"/>
      <c r="R85" s="499"/>
      <c r="S85" s="525"/>
      <c r="T85" s="525">
        <v>0</v>
      </c>
      <c r="U85" s="525">
        <v>1</v>
      </c>
      <c r="V85" s="525" t="s">
        <v>2054</v>
      </c>
      <c r="W85" s="589">
        <f>IF(AND(BaleMover[[#This Row],[Scenario_ID]]="S3",BaleMover[[#This Row],[MRF_ID]]="05"),0,IFERROR(BaleMover[[#This Row],[Total_Baled_tons]]*(IF(BaleMover[[#This Row],[Scenario_ID]]="S0",-2,0)+INDEX(BalePrices[Low],MATCH(BaleMover[[#This Row],[Bale_ID]],BalePrices[Bale_ID],0))),0))</f>
        <v>0</v>
      </c>
      <c r="X85" s="397">
        <f>IF(AND(BaleMover[[#This Row],[Scenario_ID]]="S3",BaleMover[[#This Row],[MRF_ID]]="05"),0,IFERROR(BaleMover[[#This Row],[Total_Baled_tons]]*(IF(BaleMover[[#This Row],[Scenario_ID]]="S0",-2,0)+INDEX(BalePrices[Mid-Point],MATCH(BaleMover[[#This Row],[Bale_ID]],BalePrices[Bale_ID],0))),0))</f>
        <v>0</v>
      </c>
      <c r="Y85" s="397">
        <f>IF(AND(BaleMover[[#This Row],[Scenario_ID]]="S3",BaleMover[[#This Row],[MRF_ID]]="05"),0,IFERROR(BaleMover[[#This Row],[Total_Baled_tons]]*(IF(BaleMover[[#This Row],[Scenario_ID]]="S0",-2,0)+INDEX(BalePrices[High],MATCH(BaleMover[[#This Row],[Bale_ID]],BalePrices[Bale_ID],0))),0))</f>
        <v>0</v>
      </c>
    </row>
    <row r="86" spans="2:25" x14ac:dyDescent="0.2">
      <c r="B86" s="545" t="s">
        <v>876</v>
      </c>
      <c r="C86" s="499" t="s">
        <v>706</v>
      </c>
      <c r="D86" s="499"/>
      <c r="E86" s="499"/>
      <c r="F86" s="499" t="s">
        <v>1992</v>
      </c>
      <c r="G86" s="499" t="s">
        <v>2047</v>
      </c>
      <c r="H86" s="499" t="s">
        <v>1252</v>
      </c>
      <c r="I86" s="499" t="s">
        <v>1006</v>
      </c>
      <c r="J86" s="499" t="s">
        <v>1007</v>
      </c>
      <c r="K86" s="499" t="s">
        <v>2048</v>
      </c>
      <c r="L86" s="499">
        <v>1</v>
      </c>
      <c r="M86" s="499" t="s">
        <v>2065</v>
      </c>
      <c r="N86" s="499" t="s">
        <v>2066</v>
      </c>
      <c r="O86" s="525">
        <v>0</v>
      </c>
      <c r="P86" s="499" t="s">
        <v>2054</v>
      </c>
      <c r="Q86" s="499"/>
      <c r="R86" s="499"/>
      <c r="S86" s="525"/>
      <c r="T86" s="525">
        <v>0</v>
      </c>
      <c r="U86" s="525">
        <v>1</v>
      </c>
      <c r="V86" s="525" t="s">
        <v>2054</v>
      </c>
      <c r="W86" s="589">
        <f>IF(AND(BaleMover[[#This Row],[Scenario_ID]]="S3",BaleMover[[#This Row],[MRF_ID]]="05"),0,IFERROR(BaleMover[[#This Row],[Total_Baled_tons]]*(IF(BaleMover[[#This Row],[Scenario_ID]]="S0",-2,0)+INDEX(BalePrices[Low],MATCH(BaleMover[[#This Row],[Bale_ID]],BalePrices[Bale_ID],0))),0))</f>
        <v>0</v>
      </c>
      <c r="X86" s="397">
        <f>IF(AND(BaleMover[[#This Row],[Scenario_ID]]="S3",BaleMover[[#This Row],[MRF_ID]]="05"),0,IFERROR(BaleMover[[#This Row],[Total_Baled_tons]]*(IF(BaleMover[[#This Row],[Scenario_ID]]="S0",-2,0)+INDEX(BalePrices[Mid-Point],MATCH(BaleMover[[#This Row],[Bale_ID]],BalePrices[Bale_ID],0))),0))</f>
        <v>0</v>
      </c>
      <c r="Y86" s="397">
        <f>IF(AND(BaleMover[[#This Row],[Scenario_ID]]="S3",BaleMover[[#This Row],[MRF_ID]]="05"),0,IFERROR(BaleMover[[#This Row],[Total_Baled_tons]]*(IF(BaleMover[[#This Row],[Scenario_ID]]="S0",-2,0)+INDEX(BalePrices[High],MATCH(BaleMover[[#This Row],[Bale_ID]],BalePrices[Bale_ID],0))),0))</f>
        <v>0</v>
      </c>
    </row>
    <row r="87" spans="2:25" x14ac:dyDescent="0.2">
      <c r="B87" s="545" t="s">
        <v>875</v>
      </c>
      <c r="C87" s="499" t="s">
        <v>706</v>
      </c>
      <c r="D87" s="499"/>
      <c r="E87" s="499"/>
      <c r="F87" s="499" t="s">
        <v>1992</v>
      </c>
      <c r="G87" s="499" t="s">
        <v>2051</v>
      </c>
      <c r="H87" s="499" t="s">
        <v>1253</v>
      </c>
      <c r="I87" s="499" t="s">
        <v>1006</v>
      </c>
      <c r="J87" s="499" t="s">
        <v>1007</v>
      </c>
      <c r="K87" s="499" t="s">
        <v>2048</v>
      </c>
      <c r="L87" s="499">
        <v>1</v>
      </c>
      <c r="M87" s="499" t="s">
        <v>2065</v>
      </c>
      <c r="N87" s="499" t="s">
        <v>2066</v>
      </c>
      <c r="O87" s="525">
        <v>0</v>
      </c>
      <c r="P87" s="499" t="s">
        <v>2054</v>
      </c>
      <c r="Q87" s="499"/>
      <c r="R87" s="499"/>
      <c r="S87" s="525"/>
      <c r="T87" s="525">
        <v>0</v>
      </c>
      <c r="U87" s="525">
        <v>1</v>
      </c>
      <c r="V87" s="525" t="s">
        <v>2054</v>
      </c>
      <c r="W87" s="589">
        <f>IF(AND(BaleMover[[#This Row],[Scenario_ID]]="S3",BaleMover[[#This Row],[MRF_ID]]="05"),0,IFERROR(BaleMover[[#This Row],[Total_Baled_tons]]*(IF(BaleMover[[#This Row],[Scenario_ID]]="S0",-2,0)+INDEX(BalePrices[Low],MATCH(BaleMover[[#This Row],[Bale_ID]],BalePrices[Bale_ID],0))),0))</f>
        <v>0</v>
      </c>
      <c r="X87" s="397">
        <f>IF(AND(BaleMover[[#This Row],[Scenario_ID]]="S3",BaleMover[[#This Row],[MRF_ID]]="05"),0,IFERROR(BaleMover[[#This Row],[Total_Baled_tons]]*(IF(BaleMover[[#This Row],[Scenario_ID]]="S0",-2,0)+INDEX(BalePrices[Mid-Point],MATCH(BaleMover[[#This Row],[Bale_ID]],BalePrices[Bale_ID],0))),0))</f>
        <v>0</v>
      </c>
      <c r="Y87" s="397">
        <f>IF(AND(BaleMover[[#This Row],[Scenario_ID]]="S3",BaleMover[[#This Row],[MRF_ID]]="05"),0,IFERROR(BaleMover[[#This Row],[Total_Baled_tons]]*(IF(BaleMover[[#This Row],[Scenario_ID]]="S0",-2,0)+INDEX(BalePrices[High],MATCH(BaleMover[[#This Row],[Bale_ID]],BalePrices[Bale_ID],0))),0))</f>
        <v>0</v>
      </c>
    </row>
    <row r="88" spans="2:25" x14ac:dyDescent="0.2">
      <c r="B88" s="545" t="s">
        <v>874</v>
      </c>
      <c r="C88" s="499" t="s">
        <v>706</v>
      </c>
      <c r="D88" s="499"/>
      <c r="E88" s="499"/>
      <c r="F88" s="499" t="s">
        <v>1992</v>
      </c>
      <c r="G88" s="499" t="s">
        <v>2052</v>
      </c>
      <c r="H88" s="499" t="s">
        <v>1254</v>
      </c>
      <c r="I88" s="499" t="s">
        <v>1006</v>
      </c>
      <c r="J88" s="499" t="s">
        <v>1007</v>
      </c>
      <c r="K88" s="499" t="s">
        <v>2048</v>
      </c>
      <c r="L88" s="499">
        <v>1</v>
      </c>
      <c r="M88" s="499" t="s">
        <v>2065</v>
      </c>
      <c r="N88" s="499" t="s">
        <v>2066</v>
      </c>
      <c r="O88" s="525">
        <v>0</v>
      </c>
      <c r="P88" s="499" t="s">
        <v>2054</v>
      </c>
      <c r="Q88" s="499"/>
      <c r="R88" s="499"/>
      <c r="S88" s="525"/>
      <c r="T88" s="525">
        <v>0</v>
      </c>
      <c r="U88" s="525">
        <v>1</v>
      </c>
      <c r="V88" s="525" t="s">
        <v>2054</v>
      </c>
      <c r="W88" s="589">
        <f>IF(AND(BaleMover[[#This Row],[Scenario_ID]]="S3",BaleMover[[#This Row],[MRF_ID]]="05"),0,IFERROR(BaleMover[[#This Row],[Total_Baled_tons]]*(IF(BaleMover[[#This Row],[Scenario_ID]]="S0",-2,0)+INDEX(BalePrices[Low],MATCH(BaleMover[[#This Row],[Bale_ID]],BalePrices[Bale_ID],0))),0))</f>
        <v>0</v>
      </c>
      <c r="X88" s="397">
        <f>IF(AND(BaleMover[[#This Row],[Scenario_ID]]="S3",BaleMover[[#This Row],[MRF_ID]]="05"),0,IFERROR(BaleMover[[#This Row],[Total_Baled_tons]]*(IF(BaleMover[[#This Row],[Scenario_ID]]="S0",-2,0)+INDEX(BalePrices[Mid-Point],MATCH(BaleMover[[#This Row],[Bale_ID]],BalePrices[Bale_ID],0))),0))</f>
        <v>0</v>
      </c>
      <c r="Y88" s="397">
        <f>IF(AND(BaleMover[[#This Row],[Scenario_ID]]="S3",BaleMover[[#This Row],[MRF_ID]]="05"),0,IFERROR(BaleMover[[#This Row],[Total_Baled_tons]]*(IF(BaleMover[[#This Row],[Scenario_ID]]="S0",-2,0)+INDEX(BalePrices[High],MATCH(BaleMover[[#This Row],[Bale_ID]],BalePrices[Bale_ID],0))),0))</f>
        <v>0</v>
      </c>
    </row>
    <row r="89" spans="2:25" x14ac:dyDescent="0.2">
      <c r="B89" s="545" t="s">
        <v>873</v>
      </c>
      <c r="C89" s="499" t="s">
        <v>706</v>
      </c>
      <c r="D89" s="499"/>
      <c r="E89" s="499"/>
      <c r="F89" s="499" t="s">
        <v>1992</v>
      </c>
      <c r="G89" s="499" t="s">
        <v>2053</v>
      </c>
      <c r="H89" s="499" t="s">
        <v>1255</v>
      </c>
      <c r="I89" s="499" t="s">
        <v>1006</v>
      </c>
      <c r="J89" s="499" t="s">
        <v>1007</v>
      </c>
      <c r="K89" s="499" t="s">
        <v>2048</v>
      </c>
      <c r="L89" s="499">
        <v>1</v>
      </c>
      <c r="M89" s="499" t="s">
        <v>2065</v>
      </c>
      <c r="N89" s="499" t="s">
        <v>2066</v>
      </c>
      <c r="O89" s="525">
        <v>0</v>
      </c>
      <c r="P89" s="499" t="s">
        <v>2054</v>
      </c>
      <c r="Q89" s="499"/>
      <c r="R89" s="499"/>
      <c r="S89" s="525"/>
      <c r="T89" s="525">
        <v>0</v>
      </c>
      <c r="U89" s="525">
        <v>1</v>
      </c>
      <c r="V89" s="525" t="s">
        <v>2054</v>
      </c>
      <c r="W89" s="589">
        <f>IF(AND(BaleMover[[#This Row],[Scenario_ID]]="S3",BaleMover[[#This Row],[MRF_ID]]="05"),0,IFERROR(BaleMover[[#This Row],[Total_Baled_tons]]*(IF(BaleMover[[#This Row],[Scenario_ID]]="S0",-2,0)+INDEX(BalePrices[Low],MATCH(BaleMover[[#This Row],[Bale_ID]],BalePrices[Bale_ID],0))),0))</f>
        <v>0</v>
      </c>
      <c r="X89" s="397">
        <f>IF(AND(BaleMover[[#This Row],[Scenario_ID]]="S3",BaleMover[[#This Row],[MRF_ID]]="05"),0,IFERROR(BaleMover[[#This Row],[Total_Baled_tons]]*(IF(BaleMover[[#This Row],[Scenario_ID]]="S0",-2,0)+INDEX(BalePrices[Mid-Point],MATCH(BaleMover[[#This Row],[Bale_ID]],BalePrices[Bale_ID],0))),0))</f>
        <v>0</v>
      </c>
      <c r="Y89" s="397">
        <f>IF(AND(BaleMover[[#This Row],[Scenario_ID]]="S3",BaleMover[[#This Row],[MRF_ID]]="05"),0,IFERROR(BaleMover[[#This Row],[Total_Baled_tons]]*(IF(BaleMover[[#This Row],[Scenario_ID]]="S0",-2,0)+INDEX(BalePrices[High],MATCH(BaleMover[[#This Row],[Bale_ID]],BalePrices[Bale_ID],0))),0))</f>
        <v>0</v>
      </c>
    </row>
    <row r="90" spans="2:25" x14ac:dyDescent="0.2">
      <c r="B90" s="545" t="s">
        <v>876</v>
      </c>
      <c r="C90" s="499" t="s">
        <v>706</v>
      </c>
      <c r="D90" s="499"/>
      <c r="E90" s="499"/>
      <c r="F90" s="499" t="s">
        <v>1992</v>
      </c>
      <c r="G90" s="499" t="s">
        <v>2047</v>
      </c>
      <c r="H90" s="499" t="s">
        <v>1256</v>
      </c>
      <c r="I90" s="499" t="s">
        <v>1008</v>
      </c>
      <c r="J90" s="499" t="s">
        <v>1009</v>
      </c>
      <c r="K90" s="499" t="s">
        <v>2048</v>
      </c>
      <c r="L90" s="499">
        <v>2</v>
      </c>
      <c r="M90" s="499" t="s">
        <v>2071</v>
      </c>
      <c r="N90" s="499" t="s">
        <v>2072</v>
      </c>
      <c r="O90" s="525">
        <v>0</v>
      </c>
      <c r="P90" s="499" t="s">
        <v>2054</v>
      </c>
      <c r="Q90" s="499"/>
      <c r="R90" s="499"/>
      <c r="S90" s="525"/>
      <c r="T90" s="525">
        <v>0</v>
      </c>
      <c r="U90" s="525">
        <v>1</v>
      </c>
      <c r="V90" s="525" t="s">
        <v>2054</v>
      </c>
      <c r="W90" s="589">
        <f>IF(AND(BaleMover[[#This Row],[Scenario_ID]]="S3",BaleMover[[#This Row],[MRF_ID]]="05"),0,IFERROR(BaleMover[[#This Row],[Total_Baled_tons]]*(IF(BaleMover[[#This Row],[Scenario_ID]]="S0",-2,0)+INDEX(BalePrices[Low],MATCH(BaleMover[[#This Row],[Bale_ID]],BalePrices[Bale_ID],0))),0))</f>
        <v>0</v>
      </c>
      <c r="X90" s="397">
        <f>IF(AND(BaleMover[[#This Row],[Scenario_ID]]="S3",BaleMover[[#This Row],[MRF_ID]]="05"),0,IFERROR(BaleMover[[#This Row],[Total_Baled_tons]]*(IF(BaleMover[[#This Row],[Scenario_ID]]="S0",-2,0)+INDEX(BalePrices[Mid-Point],MATCH(BaleMover[[#This Row],[Bale_ID]],BalePrices[Bale_ID],0))),0))</f>
        <v>0</v>
      </c>
      <c r="Y90" s="397">
        <f>IF(AND(BaleMover[[#This Row],[Scenario_ID]]="S3",BaleMover[[#This Row],[MRF_ID]]="05"),0,IFERROR(BaleMover[[#This Row],[Total_Baled_tons]]*(IF(BaleMover[[#This Row],[Scenario_ID]]="S0",-2,0)+INDEX(BalePrices[High],MATCH(BaleMover[[#This Row],[Bale_ID]],BalePrices[Bale_ID],0))),0))</f>
        <v>0</v>
      </c>
    </row>
    <row r="91" spans="2:25" x14ac:dyDescent="0.2">
      <c r="B91" s="545" t="s">
        <v>875</v>
      </c>
      <c r="C91" s="499" t="s">
        <v>706</v>
      </c>
      <c r="D91" s="499"/>
      <c r="E91" s="499"/>
      <c r="F91" s="499" t="s">
        <v>1992</v>
      </c>
      <c r="G91" s="499" t="s">
        <v>2051</v>
      </c>
      <c r="H91" s="499" t="s">
        <v>1257</v>
      </c>
      <c r="I91" s="499" t="s">
        <v>1008</v>
      </c>
      <c r="J91" s="499" t="s">
        <v>1009</v>
      </c>
      <c r="K91" s="499" t="s">
        <v>2048</v>
      </c>
      <c r="L91" s="499">
        <v>2</v>
      </c>
      <c r="M91" s="499" t="s">
        <v>2071</v>
      </c>
      <c r="N91" s="499" t="s">
        <v>2072</v>
      </c>
      <c r="O91" s="525">
        <v>0</v>
      </c>
      <c r="P91" s="499" t="s">
        <v>2054</v>
      </c>
      <c r="Q91" s="499"/>
      <c r="R91" s="499"/>
      <c r="S91" s="525"/>
      <c r="T91" s="525">
        <v>0</v>
      </c>
      <c r="U91" s="525">
        <v>1</v>
      </c>
      <c r="V91" s="525" t="s">
        <v>2054</v>
      </c>
      <c r="W91" s="589">
        <f>IF(AND(BaleMover[[#This Row],[Scenario_ID]]="S3",BaleMover[[#This Row],[MRF_ID]]="05"),0,IFERROR(BaleMover[[#This Row],[Total_Baled_tons]]*(IF(BaleMover[[#This Row],[Scenario_ID]]="S0",-2,0)+INDEX(BalePrices[Low],MATCH(BaleMover[[#This Row],[Bale_ID]],BalePrices[Bale_ID],0))),0))</f>
        <v>0</v>
      </c>
      <c r="X91" s="397">
        <f>IF(AND(BaleMover[[#This Row],[Scenario_ID]]="S3",BaleMover[[#This Row],[MRF_ID]]="05"),0,IFERROR(BaleMover[[#This Row],[Total_Baled_tons]]*(IF(BaleMover[[#This Row],[Scenario_ID]]="S0",-2,0)+INDEX(BalePrices[Mid-Point],MATCH(BaleMover[[#This Row],[Bale_ID]],BalePrices[Bale_ID],0))),0))</f>
        <v>0</v>
      </c>
      <c r="Y91" s="397">
        <f>IF(AND(BaleMover[[#This Row],[Scenario_ID]]="S3",BaleMover[[#This Row],[MRF_ID]]="05"),0,IFERROR(BaleMover[[#This Row],[Total_Baled_tons]]*(IF(BaleMover[[#This Row],[Scenario_ID]]="S0",-2,0)+INDEX(BalePrices[High],MATCH(BaleMover[[#This Row],[Bale_ID]],BalePrices[Bale_ID],0))),0))</f>
        <v>0</v>
      </c>
    </row>
    <row r="92" spans="2:25" x14ac:dyDescent="0.2">
      <c r="B92" s="545" t="s">
        <v>874</v>
      </c>
      <c r="C92" s="499" t="s">
        <v>706</v>
      </c>
      <c r="D92" s="499"/>
      <c r="E92" s="499"/>
      <c r="F92" s="499" t="s">
        <v>1992</v>
      </c>
      <c r="G92" s="499" t="s">
        <v>2052</v>
      </c>
      <c r="H92" s="499" t="s">
        <v>1258</v>
      </c>
      <c r="I92" s="499" t="s">
        <v>1008</v>
      </c>
      <c r="J92" s="499" t="s">
        <v>1009</v>
      </c>
      <c r="K92" s="499" t="s">
        <v>2048</v>
      </c>
      <c r="L92" s="499">
        <v>2</v>
      </c>
      <c r="M92" s="499" t="s">
        <v>2071</v>
      </c>
      <c r="N92" s="499" t="s">
        <v>2072</v>
      </c>
      <c r="O92" s="525">
        <v>0</v>
      </c>
      <c r="P92" s="499" t="s">
        <v>2054</v>
      </c>
      <c r="Q92" s="499"/>
      <c r="R92" s="499"/>
      <c r="S92" s="525"/>
      <c r="T92" s="525">
        <v>0</v>
      </c>
      <c r="U92" s="525">
        <v>1</v>
      </c>
      <c r="V92" s="525" t="s">
        <v>2054</v>
      </c>
      <c r="W92" s="589">
        <f>IF(AND(BaleMover[[#This Row],[Scenario_ID]]="S3",BaleMover[[#This Row],[MRF_ID]]="05"),0,IFERROR(BaleMover[[#This Row],[Total_Baled_tons]]*(IF(BaleMover[[#This Row],[Scenario_ID]]="S0",-2,0)+INDEX(BalePrices[Low],MATCH(BaleMover[[#This Row],[Bale_ID]],BalePrices[Bale_ID],0))),0))</f>
        <v>0</v>
      </c>
      <c r="X92" s="397">
        <f>IF(AND(BaleMover[[#This Row],[Scenario_ID]]="S3",BaleMover[[#This Row],[MRF_ID]]="05"),0,IFERROR(BaleMover[[#This Row],[Total_Baled_tons]]*(IF(BaleMover[[#This Row],[Scenario_ID]]="S0",-2,0)+INDEX(BalePrices[Mid-Point],MATCH(BaleMover[[#This Row],[Bale_ID]],BalePrices[Bale_ID],0))),0))</f>
        <v>0</v>
      </c>
      <c r="Y92" s="397">
        <f>IF(AND(BaleMover[[#This Row],[Scenario_ID]]="S3",BaleMover[[#This Row],[MRF_ID]]="05"),0,IFERROR(BaleMover[[#This Row],[Total_Baled_tons]]*(IF(BaleMover[[#This Row],[Scenario_ID]]="S0",-2,0)+INDEX(BalePrices[High],MATCH(BaleMover[[#This Row],[Bale_ID]],BalePrices[Bale_ID],0))),0))</f>
        <v>0</v>
      </c>
    </row>
    <row r="93" spans="2:25" x14ac:dyDescent="0.2">
      <c r="B93" s="545" t="s">
        <v>873</v>
      </c>
      <c r="C93" s="499" t="s">
        <v>706</v>
      </c>
      <c r="D93" s="499"/>
      <c r="E93" s="499"/>
      <c r="F93" s="499" t="s">
        <v>1992</v>
      </c>
      <c r="G93" s="499" t="s">
        <v>2053</v>
      </c>
      <c r="H93" s="499" t="s">
        <v>1259</v>
      </c>
      <c r="I93" s="499" t="s">
        <v>1008</v>
      </c>
      <c r="J93" s="499" t="s">
        <v>1009</v>
      </c>
      <c r="K93" s="499" t="s">
        <v>2048</v>
      </c>
      <c r="L93" s="499">
        <v>2</v>
      </c>
      <c r="M93" s="499" t="s">
        <v>2071</v>
      </c>
      <c r="N93" s="499" t="s">
        <v>2072</v>
      </c>
      <c r="O93" s="525">
        <v>0</v>
      </c>
      <c r="P93" s="499" t="s">
        <v>2054</v>
      </c>
      <c r="Q93" s="499"/>
      <c r="R93" s="499"/>
      <c r="S93" s="525"/>
      <c r="T93" s="525">
        <v>0</v>
      </c>
      <c r="U93" s="525">
        <v>1</v>
      </c>
      <c r="V93" s="525" t="s">
        <v>2054</v>
      </c>
      <c r="W93" s="589">
        <f>IF(AND(BaleMover[[#This Row],[Scenario_ID]]="S3",BaleMover[[#This Row],[MRF_ID]]="05"),0,IFERROR(BaleMover[[#This Row],[Total_Baled_tons]]*(IF(BaleMover[[#This Row],[Scenario_ID]]="S0",-2,0)+INDEX(BalePrices[Low],MATCH(BaleMover[[#This Row],[Bale_ID]],BalePrices[Bale_ID],0))),0))</f>
        <v>0</v>
      </c>
      <c r="X93" s="397">
        <f>IF(AND(BaleMover[[#This Row],[Scenario_ID]]="S3",BaleMover[[#This Row],[MRF_ID]]="05"),0,IFERROR(BaleMover[[#This Row],[Total_Baled_tons]]*(IF(BaleMover[[#This Row],[Scenario_ID]]="S0",-2,0)+INDEX(BalePrices[Mid-Point],MATCH(BaleMover[[#This Row],[Bale_ID]],BalePrices[Bale_ID],0))),0))</f>
        <v>0</v>
      </c>
      <c r="Y93" s="397">
        <f>IF(AND(BaleMover[[#This Row],[Scenario_ID]]="S3",BaleMover[[#This Row],[MRF_ID]]="05"),0,IFERROR(BaleMover[[#This Row],[Total_Baled_tons]]*(IF(BaleMover[[#This Row],[Scenario_ID]]="S0",-2,0)+INDEX(BalePrices[High],MATCH(BaleMover[[#This Row],[Bale_ID]],BalePrices[Bale_ID],0))),0))</f>
        <v>0</v>
      </c>
    </row>
    <row r="94" spans="2:25" x14ac:dyDescent="0.2">
      <c r="B94" s="545" t="s">
        <v>876</v>
      </c>
      <c r="C94" s="499" t="s">
        <v>706</v>
      </c>
      <c r="D94" s="499"/>
      <c r="E94" s="499"/>
      <c r="F94" s="499" t="s">
        <v>1992</v>
      </c>
      <c r="G94" s="499" t="s">
        <v>2047</v>
      </c>
      <c r="H94" s="499" t="s">
        <v>1260</v>
      </c>
      <c r="I94" s="499" t="s">
        <v>1010</v>
      </c>
      <c r="J94" s="499" t="s">
        <v>1011</v>
      </c>
      <c r="K94" s="499" t="s">
        <v>2048</v>
      </c>
      <c r="L94" s="499">
        <v>2</v>
      </c>
      <c r="M94" s="499" t="s">
        <v>2071</v>
      </c>
      <c r="N94" s="499" t="s">
        <v>2072</v>
      </c>
      <c r="O94" s="525">
        <v>0</v>
      </c>
      <c r="P94" s="499" t="s">
        <v>2054</v>
      </c>
      <c r="Q94" s="499"/>
      <c r="R94" s="499"/>
      <c r="S94" s="525"/>
      <c r="T94" s="525">
        <v>0</v>
      </c>
      <c r="U94" s="525">
        <v>1</v>
      </c>
      <c r="V94" s="525" t="s">
        <v>2054</v>
      </c>
      <c r="W94" s="589">
        <f>IF(AND(BaleMover[[#This Row],[Scenario_ID]]="S3",BaleMover[[#This Row],[MRF_ID]]="05"),0,IFERROR(BaleMover[[#This Row],[Total_Baled_tons]]*(IF(BaleMover[[#This Row],[Scenario_ID]]="S0",-2,0)+INDEX(BalePrices[Low],MATCH(BaleMover[[#This Row],[Bale_ID]],BalePrices[Bale_ID],0))),0))</f>
        <v>0</v>
      </c>
      <c r="X94" s="397">
        <f>IF(AND(BaleMover[[#This Row],[Scenario_ID]]="S3",BaleMover[[#This Row],[MRF_ID]]="05"),0,IFERROR(BaleMover[[#This Row],[Total_Baled_tons]]*(IF(BaleMover[[#This Row],[Scenario_ID]]="S0",-2,0)+INDEX(BalePrices[Mid-Point],MATCH(BaleMover[[#This Row],[Bale_ID]],BalePrices[Bale_ID],0))),0))</f>
        <v>0</v>
      </c>
      <c r="Y94" s="397">
        <f>IF(AND(BaleMover[[#This Row],[Scenario_ID]]="S3",BaleMover[[#This Row],[MRF_ID]]="05"),0,IFERROR(BaleMover[[#This Row],[Total_Baled_tons]]*(IF(BaleMover[[#This Row],[Scenario_ID]]="S0",-2,0)+INDEX(BalePrices[High],MATCH(BaleMover[[#This Row],[Bale_ID]],BalePrices[Bale_ID],0))),0))</f>
        <v>0</v>
      </c>
    </row>
    <row r="95" spans="2:25" x14ac:dyDescent="0.2">
      <c r="B95" s="545" t="s">
        <v>875</v>
      </c>
      <c r="C95" s="499" t="s">
        <v>706</v>
      </c>
      <c r="D95" s="499"/>
      <c r="E95" s="499"/>
      <c r="F95" s="499" t="s">
        <v>1992</v>
      </c>
      <c r="G95" s="499" t="s">
        <v>2051</v>
      </c>
      <c r="H95" s="499" t="s">
        <v>1261</v>
      </c>
      <c r="I95" s="499" t="s">
        <v>1010</v>
      </c>
      <c r="J95" s="499" t="s">
        <v>1011</v>
      </c>
      <c r="K95" s="499" t="s">
        <v>2048</v>
      </c>
      <c r="L95" s="499">
        <v>2</v>
      </c>
      <c r="M95" s="499" t="s">
        <v>2071</v>
      </c>
      <c r="N95" s="499" t="s">
        <v>2072</v>
      </c>
      <c r="O95" s="525">
        <v>0</v>
      </c>
      <c r="P95" s="499" t="s">
        <v>2054</v>
      </c>
      <c r="Q95" s="499"/>
      <c r="R95" s="499"/>
      <c r="S95" s="525"/>
      <c r="T95" s="525">
        <v>0</v>
      </c>
      <c r="U95" s="525">
        <v>1</v>
      </c>
      <c r="V95" s="525" t="s">
        <v>2054</v>
      </c>
      <c r="W95" s="589">
        <f>IF(AND(BaleMover[[#This Row],[Scenario_ID]]="S3",BaleMover[[#This Row],[MRF_ID]]="05"),0,IFERROR(BaleMover[[#This Row],[Total_Baled_tons]]*(IF(BaleMover[[#This Row],[Scenario_ID]]="S0",-2,0)+INDEX(BalePrices[Low],MATCH(BaleMover[[#This Row],[Bale_ID]],BalePrices[Bale_ID],0))),0))</f>
        <v>0</v>
      </c>
      <c r="X95" s="397">
        <f>IF(AND(BaleMover[[#This Row],[Scenario_ID]]="S3",BaleMover[[#This Row],[MRF_ID]]="05"),0,IFERROR(BaleMover[[#This Row],[Total_Baled_tons]]*(IF(BaleMover[[#This Row],[Scenario_ID]]="S0",-2,0)+INDEX(BalePrices[Mid-Point],MATCH(BaleMover[[#This Row],[Bale_ID]],BalePrices[Bale_ID],0))),0))</f>
        <v>0</v>
      </c>
      <c r="Y95" s="397">
        <f>IF(AND(BaleMover[[#This Row],[Scenario_ID]]="S3",BaleMover[[#This Row],[MRF_ID]]="05"),0,IFERROR(BaleMover[[#This Row],[Total_Baled_tons]]*(IF(BaleMover[[#This Row],[Scenario_ID]]="S0",-2,0)+INDEX(BalePrices[High],MATCH(BaleMover[[#This Row],[Bale_ID]],BalePrices[Bale_ID],0))),0))</f>
        <v>0</v>
      </c>
    </row>
    <row r="96" spans="2:25" x14ac:dyDescent="0.2">
      <c r="B96" s="545" t="s">
        <v>874</v>
      </c>
      <c r="C96" s="499" t="s">
        <v>706</v>
      </c>
      <c r="D96" s="499"/>
      <c r="E96" s="499"/>
      <c r="F96" s="499" t="s">
        <v>1992</v>
      </c>
      <c r="G96" s="499" t="s">
        <v>2052</v>
      </c>
      <c r="H96" s="499" t="s">
        <v>1262</v>
      </c>
      <c r="I96" s="499" t="s">
        <v>1010</v>
      </c>
      <c r="J96" s="499" t="s">
        <v>1011</v>
      </c>
      <c r="K96" s="499" t="s">
        <v>2048</v>
      </c>
      <c r="L96" s="499">
        <v>2</v>
      </c>
      <c r="M96" s="499" t="s">
        <v>2071</v>
      </c>
      <c r="N96" s="499" t="s">
        <v>2072</v>
      </c>
      <c r="O96" s="525">
        <v>0</v>
      </c>
      <c r="P96" s="499" t="s">
        <v>2054</v>
      </c>
      <c r="Q96" s="499"/>
      <c r="R96" s="499"/>
      <c r="S96" s="525"/>
      <c r="T96" s="525">
        <v>0</v>
      </c>
      <c r="U96" s="525">
        <v>1</v>
      </c>
      <c r="V96" s="525" t="s">
        <v>2054</v>
      </c>
      <c r="W96" s="589">
        <f>IF(AND(BaleMover[[#This Row],[Scenario_ID]]="S3",BaleMover[[#This Row],[MRF_ID]]="05"),0,IFERROR(BaleMover[[#This Row],[Total_Baled_tons]]*(IF(BaleMover[[#This Row],[Scenario_ID]]="S0",-2,0)+INDEX(BalePrices[Low],MATCH(BaleMover[[#This Row],[Bale_ID]],BalePrices[Bale_ID],0))),0))</f>
        <v>0</v>
      </c>
      <c r="X96" s="397">
        <f>IF(AND(BaleMover[[#This Row],[Scenario_ID]]="S3",BaleMover[[#This Row],[MRF_ID]]="05"),0,IFERROR(BaleMover[[#This Row],[Total_Baled_tons]]*(IF(BaleMover[[#This Row],[Scenario_ID]]="S0",-2,0)+INDEX(BalePrices[Mid-Point],MATCH(BaleMover[[#This Row],[Bale_ID]],BalePrices[Bale_ID],0))),0))</f>
        <v>0</v>
      </c>
      <c r="Y96" s="397">
        <f>IF(AND(BaleMover[[#This Row],[Scenario_ID]]="S3",BaleMover[[#This Row],[MRF_ID]]="05"),0,IFERROR(BaleMover[[#This Row],[Total_Baled_tons]]*(IF(BaleMover[[#This Row],[Scenario_ID]]="S0",-2,0)+INDEX(BalePrices[High],MATCH(BaleMover[[#This Row],[Bale_ID]],BalePrices[Bale_ID],0))),0))</f>
        <v>0</v>
      </c>
    </row>
    <row r="97" spans="2:25" x14ac:dyDescent="0.2">
      <c r="B97" s="545" t="s">
        <v>873</v>
      </c>
      <c r="C97" s="499" t="s">
        <v>706</v>
      </c>
      <c r="D97" s="499"/>
      <c r="E97" s="499"/>
      <c r="F97" s="499" t="s">
        <v>1992</v>
      </c>
      <c r="G97" s="499" t="s">
        <v>2053</v>
      </c>
      <c r="H97" s="499" t="s">
        <v>1263</v>
      </c>
      <c r="I97" s="499" t="s">
        <v>1010</v>
      </c>
      <c r="J97" s="499" t="s">
        <v>1011</v>
      </c>
      <c r="K97" s="499" t="s">
        <v>2048</v>
      </c>
      <c r="L97" s="499">
        <v>2</v>
      </c>
      <c r="M97" s="499" t="s">
        <v>2071</v>
      </c>
      <c r="N97" s="499" t="s">
        <v>2072</v>
      </c>
      <c r="O97" s="525">
        <v>0</v>
      </c>
      <c r="P97" s="499" t="s">
        <v>2054</v>
      </c>
      <c r="Q97" s="499"/>
      <c r="R97" s="499"/>
      <c r="S97" s="525"/>
      <c r="T97" s="525">
        <v>0</v>
      </c>
      <c r="U97" s="525">
        <v>1</v>
      </c>
      <c r="V97" s="525" t="s">
        <v>2054</v>
      </c>
      <c r="W97" s="589">
        <f>IF(AND(BaleMover[[#This Row],[Scenario_ID]]="S3",BaleMover[[#This Row],[MRF_ID]]="05"),0,IFERROR(BaleMover[[#This Row],[Total_Baled_tons]]*(IF(BaleMover[[#This Row],[Scenario_ID]]="S0",-2,0)+INDEX(BalePrices[Low],MATCH(BaleMover[[#This Row],[Bale_ID]],BalePrices[Bale_ID],0))),0))</f>
        <v>0</v>
      </c>
      <c r="X97" s="397">
        <f>IF(AND(BaleMover[[#This Row],[Scenario_ID]]="S3",BaleMover[[#This Row],[MRF_ID]]="05"),0,IFERROR(BaleMover[[#This Row],[Total_Baled_tons]]*(IF(BaleMover[[#This Row],[Scenario_ID]]="S0",-2,0)+INDEX(BalePrices[Mid-Point],MATCH(BaleMover[[#This Row],[Bale_ID]],BalePrices[Bale_ID],0))),0))</f>
        <v>0</v>
      </c>
      <c r="Y97" s="397">
        <f>IF(AND(BaleMover[[#This Row],[Scenario_ID]]="S3",BaleMover[[#This Row],[MRF_ID]]="05"),0,IFERROR(BaleMover[[#This Row],[Total_Baled_tons]]*(IF(BaleMover[[#This Row],[Scenario_ID]]="S0",-2,0)+INDEX(BalePrices[High],MATCH(BaleMover[[#This Row],[Bale_ID]],BalePrices[Bale_ID],0))),0))</f>
        <v>0</v>
      </c>
    </row>
    <row r="98" spans="2:25" x14ac:dyDescent="0.2">
      <c r="B98" s="545" t="s">
        <v>876</v>
      </c>
      <c r="C98" s="499" t="s">
        <v>706</v>
      </c>
      <c r="D98" s="499"/>
      <c r="E98" s="499"/>
      <c r="F98" s="499" t="s">
        <v>1992</v>
      </c>
      <c r="G98" s="499" t="s">
        <v>2047</v>
      </c>
      <c r="H98" s="499" t="s">
        <v>1264</v>
      </c>
      <c r="I98" s="499" t="s">
        <v>1012</v>
      </c>
      <c r="J98" s="499" t="s">
        <v>1013</v>
      </c>
      <c r="K98" s="499" t="s">
        <v>2048</v>
      </c>
      <c r="L98" s="499">
        <v>2</v>
      </c>
      <c r="M98" s="499" t="s">
        <v>2071</v>
      </c>
      <c r="N98" s="499" t="s">
        <v>2072</v>
      </c>
      <c r="O98" s="525">
        <v>0</v>
      </c>
      <c r="P98" s="499" t="s">
        <v>2054</v>
      </c>
      <c r="Q98" s="499"/>
      <c r="R98" s="499"/>
      <c r="S98" s="525"/>
      <c r="T98" s="525">
        <v>0</v>
      </c>
      <c r="U98" s="525">
        <v>1</v>
      </c>
      <c r="V98" s="525" t="s">
        <v>2054</v>
      </c>
      <c r="W98" s="589">
        <f>IF(AND(BaleMover[[#This Row],[Scenario_ID]]="S3",BaleMover[[#This Row],[MRF_ID]]="05"),0,IFERROR(BaleMover[[#This Row],[Total_Baled_tons]]*(IF(BaleMover[[#This Row],[Scenario_ID]]="S0",-2,0)+INDEX(BalePrices[Low],MATCH(BaleMover[[#This Row],[Bale_ID]],BalePrices[Bale_ID],0))),0))</f>
        <v>0</v>
      </c>
      <c r="X98" s="397">
        <f>IF(AND(BaleMover[[#This Row],[Scenario_ID]]="S3",BaleMover[[#This Row],[MRF_ID]]="05"),0,IFERROR(BaleMover[[#This Row],[Total_Baled_tons]]*(IF(BaleMover[[#This Row],[Scenario_ID]]="S0",-2,0)+INDEX(BalePrices[Mid-Point],MATCH(BaleMover[[#This Row],[Bale_ID]],BalePrices[Bale_ID],0))),0))</f>
        <v>0</v>
      </c>
      <c r="Y98" s="397">
        <f>IF(AND(BaleMover[[#This Row],[Scenario_ID]]="S3",BaleMover[[#This Row],[MRF_ID]]="05"),0,IFERROR(BaleMover[[#This Row],[Total_Baled_tons]]*(IF(BaleMover[[#This Row],[Scenario_ID]]="S0",-2,0)+INDEX(BalePrices[High],MATCH(BaleMover[[#This Row],[Bale_ID]],BalePrices[Bale_ID],0))),0))</f>
        <v>0</v>
      </c>
    </row>
    <row r="99" spans="2:25" x14ac:dyDescent="0.2">
      <c r="B99" s="545" t="s">
        <v>875</v>
      </c>
      <c r="C99" s="499" t="s">
        <v>706</v>
      </c>
      <c r="D99" s="499"/>
      <c r="E99" s="499"/>
      <c r="F99" s="499" t="s">
        <v>1992</v>
      </c>
      <c r="G99" s="499" t="s">
        <v>2051</v>
      </c>
      <c r="H99" s="499" t="s">
        <v>1265</v>
      </c>
      <c r="I99" s="499" t="s">
        <v>1012</v>
      </c>
      <c r="J99" s="499" t="s">
        <v>1013</v>
      </c>
      <c r="K99" s="499" t="s">
        <v>2048</v>
      </c>
      <c r="L99" s="499">
        <v>2</v>
      </c>
      <c r="M99" s="499" t="s">
        <v>2071</v>
      </c>
      <c r="N99" s="499" t="s">
        <v>2072</v>
      </c>
      <c r="O99" s="525">
        <v>0</v>
      </c>
      <c r="P99" s="499" t="s">
        <v>2054</v>
      </c>
      <c r="Q99" s="499"/>
      <c r="R99" s="499"/>
      <c r="S99" s="525"/>
      <c r="T99" s="525">
        <v>0</v>
      </c>
      <c r="U99" s="525">
        <v>1</v>
      </c>
      <c r="V99" s="525" t="s">
        <v>2054</v>
      </c>
      <c r="W99" s="589">
        <f>IF(AND(BaleMover[[#This Row],[Scenario_ID]]="S3",BaleMover[[#This Row],[MRF_ID]]="05"),0,IFERROR(BaleMover[[#This Row],[Total_Baled_tons]]*(IF(BaleMover[[#This Row],[Scenario_ID]]="S0",-2,0)+INDEX(BalePrices[Low],MATCH(BaleMover[[#This Row],[Bale_ID]],BalePrices[Bale_ID],0))),0))</f>
        <v>0</v>
      </c>
      <c r="X99" s="397">
        <f>IF(AND(BaleMover[[#This Row],[Scenario_ID]]="S3",BaleMover[[#This Row],[MRF_ID]]="05"),0,IFERROR(BaleMover[[#This Row],[Total_Baled_tons]]*(IF(BaleMover[[#This Row],[Scenario_ID]]="S0",-2,0)+INDEX(BalePrices[Mid-Point],MATCH(BaleMover[[#This Row],[Bale_ID]],BalePrices[Bale_ID],0))),0))</f>
        <v>0</v>
      </c>
      <c r="Y99" s="397">
        <f>IF(AND(BaleMover[[#This Row],[Scenario_ID]]="S3",BaleMover[[#This Row],[MRF_ID]]="05"),0,IFERROR(BaleMover[[#This Row],[Total_Baled_tons]]*(IF(BaleMover[[#This Row],[Scenario_ID]]="S0",-2,0)+INDEX(BalePrices[High],MATCH(BaleMover[[#This Row],[Bale_ID]],BalePrices[Bale_ID],0))),0))</f>
        <v>0</v>
      </c>
    </row>
    <row r="100" spans="2:25" x14ac:dyDescent="0.2">
      <c r="B100" s="545" t="s">
        <v>874</v>
      </c>
      <c r="C100" s="499" t="s">
        <v>706</v>
      </c>
      <c r="D100" s="499"/>
      <c r="E100" s="499"/>
      <c r="F100" s="499" t="s">
        <v>1992</v>
      </c>
      <c r="G100" s="499" t="s">
        <v>2052</v>
      </c>
      <c r="H100" s="499" t="s">
        <v>1266</v>
      </c>
      <c r="I100" s="499" t="s">
        <v>1012</v>
      </c>
      <c r="J100" s="499" t="s">
        <v>1013</v>
      </c>
      <c r="K100" s="499" t="s">
        <v>2048</v>
      </c>
      <c r="L100" s="499">
        <v>2</v>
      </c>
      <c r="M100" s="499" t="s">
        <v>2071</v>
      </c>
      <c r="N100" s="499" t="s">
        <v>2072</v>
      </c>
      <c r="O100" s="525">
        <v>0</v>
      </c>
      <c r="P100" s="499" t="s">
        <v>2054</v>
      </c>
      <c r="Q100" s="499"/>
      <c r="R100" s="499"/>
      <c r="S100" s="525"/>
      <c r="T100" s="525">
        <v>0</v>
      </c>
      <c r="U100" s="525">
        <v>1</v>
      </c>
      <c r="V100" s="525" t="s">
        <v>2054</v>
      </c>
      <c r="W100" s="589">
        <f>IF(AND(BaleMover[[#This Row],[Scenario_ID]]="S3",BaleMover[[#This Row],[MRF_ID]]="05"),0,IFERROR(BaleMover[[#This Row],[Total_Baled_tons]]*(IF(BaleMover[[#This Row],[Scenario_ID]]="S0",-2,0)+INDEX(BalePrices[Low],MATCH(BaleMover[[#This Row],[Bale_ID]],BalePrices[Bale_ID],0))),0))</f>
        <v>0</v>
      </c>
      <c r="X100" s="397">
        <f>IF(AND(BaleMover[[#This Row],[Scenario_ID]]="S3",BaleMover[[#This Row],[MRF_ID]]="05"),0,IFERROR(BaleMover[[#This Row],[Total_Baled_tons]]*(IF(BaleMover[[#This Row],[Scenario_ID]]="S0",-2,0)+INDEX(BalePrices[Mid-Point],MATCH(BaleMover[[#This Row],[Bale_ID]],BalePrices[Bale_ID],0))),0))</f>
        <v>0</v>
      </c>
      <c r="Y100" s="397">
        <f>IF(AND(BaleMover[[#This Row],[Scenario_ID]]="S3",BaleMover[[#This Row],[MRF_ID]]="05"),0,IFERROR(BaleMover[[#This Row],[Total_Baled_tons]]*(IF(BaleMover[[#This Row],[Scenario_ID]]="S0",-2,0)+INDEX(BalePrices[High],MATCH(BaleMover[[#This Row],[Bale_ID]],BalePrices[Bale_ID],0))),0))</f>
        <v>0</v>
      </c>
    </row>
    <row r="101" spans="2:25" x14ac:dyDescent="0.2">
      <c r="B101" s="545" t="s">
        <v>873</v>
      </c>
      <c r="C101" s="499" t="s">
        <v>706</v>
      </c>
      <c r="D101" s="499"/>
      <c r="E101" s="499"/>
      <c r="F101" s="499" t="s">
        <v>1992</v>
      </c>
      <c r="G101" s="499" t="s">
        <v>2053</v>
      </c>
      <c r="H101" s="499" t="s">
        <v>1267</v>
      </c>
      <c r="I101" s="499" t="s">
        <v>1012</v>
      </c>
      <c r="J101" s="499" t="s">
        <v>1013</v>
      </c>
      <c r="K101" s="499" t="s">
        <v>2048</v>
      </c>
      <c r="L101" s="499">
        <v>2</v>
      </c>
      <c r="M101" s="499" t="s">
        <v>2071</v>
      </c>
      <c r="N101" s="499" t="s">
        <v>2072</v>
      </c>
      <c r="O101" s="525">
        <v>0</v>
      </c>
      <c r="P101" s="499" t="s">
        <v>2054</v>
      </c>
      <c r="Q101" s="499"/>
      <c r="R101" s="499"/>
      <c r="S101" s="525"/>
      <c r="T101" s="525">
        <v>0</v>
      </c>
      <c r="U101" s="525">
        <v>1</v>
      </c>
      <c r="V101" s="525" t="s">
        <v>2054</v>
      </c>
      <c r="W101" s="589">
        <f>IF(AND(BaleMover[[#This Row],[Scenario_ID]]="S3",BaleMover[[#This Row],[MRF_ID]]="05"),0,IFERROR(BaleMover[[#This Row],[Total_Baled_tons]]*(IF(BaleMover[[#This Row],[Scenario_ID]]="S0",-2,0)+INDEX(BalePrices[Low],MATCH(BaleMover[[#This Row],[Bale_ID]],BalePrices[Bale_ID],0))),0))</f>
        <v>0</v>
      </c>
      <c r="X101" s="397">
        <f>IF(AND(BaleMover[[#This Row],[Scenario_ID]]="S3",BaleMover[[#This Row],[MRF_ID]]="05"),0,IFERROR(BaleMover[[#This Row],[Total_Baled_tons]]*(IF(BaleMover[[#This Row],[Scenario_ID]]="S0",-2,0)+INDEX(BalePrices[Mid-Point],MATCH(BaleMover[[#This Row],[Bale_ID]],BalePrices[Bale_ID],0))),0))</f>
        <v>0</v>
      </c>
      <c r="Y101" s="397">
        <f>IF(AND(BaleMover[[#This Row],[Scenario_ID]]="S3",BaleMover[[#This Row],[MRF_ID]]="05"),0,IFERROR(BaleMover[[#This Row],[Total_Baled_tons]]*(IF(BaleMover[[#This Row],[Scenario_ID]]="S0",-2,0)+INDEX(BalePrices[High],MATCH(BaleMover[[#This Row],[Bale_ID]],BalePrices[Bale_ID],0))),0))</f>
        <v>0</v>
      </c>
    </row>
    <row r="102" spans="2:25" x14ac:dyDescent="0.2">
      <c r="B102" s="545" t="s">
        <v>876</v>
      </c>
      <c r="C102" s="499" t="s">
        <v>706</v>
      </c>
      <c r="D102" s="499"/>
      <c r="E102" s="499"/>
      <c r="F102" s="499" t="s">
        <v>1992</v>
      </c>
      <c r="G102" s="499" t="s">
        <v>2047</v>
      </c>
      <c r="H102" s="499" t="s">
        <v>1268</v>
      </c>
      <c r="I102" s="499" t="s">
        <v>1014</v>
      </c>
      <c r="J102" s="499" t="s">
        <v>1893</v>
      </c>
      <c r="K102" s="499" t="s">
        <v>2048</v>
      </c>
      <c r="L102" s="499">
        <v>8</v>
      </c>
      <c r="M102" s="499" t="s">
        <v>2067</v>
      </c>
      <c r="N102" s="499" t="s">
        <v>2068</v>
      </c>
      <c r="O102" s="525">
        <v>1252.6977404419315</v>
      </c>
      <c r="P102" s="499">
        <v>355</v>
      </c>
      <c r="Q102" s="499"/>
      <c r="R102" s="499"/>
      <c r="S102" s="525"/>
      <c r="T102" s="525">
        <v>0</v>
      </c>
      <c r="U102" s="525">
        <v>1</v>
      </c>
      <c r="V102" s="525">
        <v>444707.69785688567</v>
      </c>
      <c r="W102" s="589">
        <f>IF(AND(BaleMover[[#This Row],[Scenario_ID]]="S3",BaleMover[[#This Row],[MRF_ID]]="05"),0,IFERROR(BaleMover[[#This Row],[Total_Baled_tons]]*(IF(BaleMover[[#This Row],[Scenario_ID]]="S0",-2,0)+INDEX(BalePrices[Low],MATCH(BaleMover[[#This Row],[Bale_ID]],BalePrices[Bale_ID],0))),0))</f>
        <v>-40086.327694141808</v>
      </c>
      <c r="X102" s="397">
        <f>IF(AND(BaleMover[[#This Row],[Scenario_ID]]="S3",BaleMover[[#This Row],[MRF_ID]]="05"),0,IFERROR(BaleMover[[#This Row],[Total_Baled_tons]]*(IF(BaleMover[[#This Row],[Scenario_ID]]="S0",-2,0)+INDEX(BalePrices[Mid-Point],MATCH(BaleMover[[#This Row],[Bale_ID]],BalePrices[Bale_ID],0))),0))</f>
        <v>-2505.395480883863</v>
      </c>
      <c r="Y102" s="397">
        <f>IF(AND(BaleMover[[#This Row],[Scenario_ID]]="S3",BaleMover[[#This Row],[MRF_ID]]="05"),0,IFERROR(BaleMover[[#This Row],[Total_Baled_tons]]*(IF(BaleMover[[#This Row],[Scenario_ID]]="S0",-2,0)+INDEX(BalePrices[High],MATCH(BaleMover[[#This Row],[Bale_ID]],BalePrices[Bale_ID],0))),0))</f>
        <v>35075.536732374079</v>
      </c>
    </row>
    <row r="103" spans="2:25" x14ac:dyDescent="0.2">
      <c r="B103" s="545" t="s">
        <v>875</v>
      </c>
      <c r="C103" s="499" t="s">
        <v>706</v>
      </c>
      <c r="D103" s="499"/>
      <c r="E103" s="499"/>
      <c r="F103" s="499" t="s">
        <v>1992</v>
      </c>
      <c r="G103" s="499" t="s">
        <v>2051</v>
      </c>
      <c r="H103" s="499" t="s">
        <v>1269</v>
      </c>
      <c r="I103" s="499" t="s">
        <v>1014</v>
      </c>
      <c r="J103" s="499" t="s">
        <v>1893</v>
      </c>
      <c r="K103" s="499" t="s">
        <v>2048</v>
      </c>
      <c r="L103" s="499">
        <v>8</v>
      </c>
      <c r="M103" s="499" t="s">
        <v>2067</v>
      </c>
      <c r="N103" s="499" t="s">
        <v>2068</v>
      </c>
      <c r="O103" s="525">
        <v>725.64563555291909</v>
      </c>
      <c r="P103" s="499">
        <v>355</v>
      </c>
      <c r="Q103" s="499"/>
      <c r="R103" s="499"/>
      <c r="S103" s="525"/>
      <c r="T103" s="525">
        <v>0</v>
      </c>
      <c r="U103" s="525">
        <v>1</v>
      </c>
      <c r="V103" s="525">
        <v>257604.20062128629</v>
      </c>
      <c r="W103" s="589">
        <f>IF(AND(BaleMover[[#This Row],[Scenario_ID]]="S3",BaleMover[[#This Row],[MRF_ID]]="05"),0,IFERROR(BaleMover[[#This Row],[Total_Baled_tons]]*(IF(BaleMover[[#This Row],[Scenario_ID]]="S0",-2,0)+INDEX(BalePrices[Low],MATCH(BaleMover[[#This Row],[Bale_ID]],BalePrices[Bale_ID],0))),0))</f>
        <v>-21769.369066587573</v>
      </c>
      <c r="X103" s="397">
        <f>IF(AND(BaleMover[[#This Row],[Scenario_ID]]="S3",BaleMover[[#This Row],[MRF_ID]]="05"),0,IFERROR(BaleMover[[#This Row],[Total_Baled_tons]]*(IF(BaleMover[[#This Row],[Scenario_ID]]="S0",-2,0)+INDEX(BalePrices[Mid-Point],MATCH(BaleMover[[#This Row],[Bale_ID]],BalePrices[Bale_ID],0))),0))</f>
        <v>0</v>
      </c>
      <c r="Y103" s="397">
        <f>IF(AND(BaleMover[[#This Row],[Scenario_ID]]="S3",BaleMover[[#This Row],[MRF_ID]]="05"),0,IFERROR(BaleMover[[#This Row],[Total_Baled_tons]]*(IF(BaleMover[[#This Row],[Scenario_ID]]="S0",-2,0)+INDEX(BalePrices[High],MATCH(BaleMover[[#This Row],[Bale_ID]],BalePrices[Bale_ID],0))),0))</f>
        <v>21769.369066587573</v>
      </c>
    </row>
    <row r="104" spans="2:25" x14ac:dyDescent="0.2">
      <c r="B104" s="545" t="s">
        <v>874</v>
      </c>
      <c r="C104" s="499" t="s">
        <v>706</v>
      </c>
      <c r="D104" s="499"/>
      <c r="E104" s="499"/>
      <c r="F104" s="499" t="s">
        <v>1992</v>
      </c>
      <c r="G104" s="499" t="s">
        <v>2052</v>
      </c>
      <c r="H104" s="499" t="s">
        <v>1270</v>
      </c>
      <c r="I104" s="499" t="s">
        <v>1014</v>
      </c>
      <c r="J104" s="499" t="s">
        <v>1893</v>
      </c>
      <c r="K104" s="499" t="s">
        <v>2048</v>
      </c>
      <c r="L104" s="499">
        <v>8</v>
      </c>
      <c r="M104" s="499" t="s">
        <v>2067</v>
      </c>
      <c r="N104" s="499" t="s">
        <v>2068</v>
      </c>
      <c r="O104" s="525">
        <v>0</v>
      </c>
      <c r="P104" s="499" t="s">
        <v>2054</v>
      </c>
      <c r="Q104" s="499"/>
      <c r="R104" s="499"/>
      <c r="S104" s="525"/>
      <c r="T104" s="525">
        <v>0</v>
      </c>
      <c r="U104" s="525">
        <v>1</v>
      </c>
      <c r="V104" s="525" t="s">
        <v>2054</v>
      </c>
      <c r="W104" s="589">
        <f>IF(AND(BaleMover[[#This Row],[Scenario_ID]]="S3",BaleMover[[#This Row],[MRF_ID]]="05"),0,IFERROR(BaleMover[[#This Row],[Total_Baled_tons]]*(IF(BaleMover[[#This Row],[Scenario_ID]]="S0",-2,0)+INDEX(BalePrices[Low],MATCH(BaleMover[[#This Row],[Bale_ID]],BalePrices[Bale_ID],0))),0))</f>
        <v>0</v>
      </c>
      <c r="X104" s="397">
        <f>IF(AND(BaleMover[[#This Row],[Scenario_ID]]="S3",BaleMover[[#This Row],[MRF_ID]]="05"),0,IFERROR(BaleMover[[#This Row],[Total_Baled_tons]]*(IF(BaleMover[[#This Row],[Scenario_ID]]="S0",-2,0)+INDEX(BalePrices[Mid-Point],MATCH(BaleMover[[#This Row],[Bale_ID]],BalePrices[Bale_ID],0))),0))</f>
        <v>0</v>
      </c>
      <c r="Y104" s="397">
        <f>IF(AND(BaleMover[[#This Row],[Scenario_ID]]="S3",BaleMover[[#This Row],[MRF_ID]]="05"),0,IFERROR(BaleMover[[#This Row],[Total_Baled_tons]]*(IF(BaleMover[[#This Row],[Scenario_ID]]="S0",-2,0)+INDEX(BalePrices[High],MATCH(BaleMover[[#This Row],[Bale_ID]],BalePrices[Bale_ID],0))),0))</f>
        <v>0</v>
      </c>
    </row>
    <row r="105" spans="2:25" x14ac:dyDescent="0.2">
      <c r="B105" s="545" t="s">
        <v>873</v>
      </c>
      <c r="C105" s="499" t="s">
        <v>706</v>
      </c>
      <c r="D105" s="499"/>
      <c r="E105" s="499"/>
      <c r="F105" s="499" t="s">
        <v>1992</v>
      </c>
      <c r="G105" s="499" t="s">
        <v>2053</v>
      </c>
      <c r="H105" s="499" t="s">
        <v>1271</v>
      </c>
      <c r="I105" s="499" t="s">
        <v>1014</v>
      </c>
      <c r="J105" s="499" t="s">
        <v>1893</v>
      </c>
      <c r="K105" s="499" t="s">
        <v>2048</v>
      </c>
      <c r="L105" s="499">
        <v>8</v>
      </c>
      <c r="M105" s="499" t="s">
        <v>2067</v>
      </c>
      <c r="N105" s="499" t="s">
        <v>2068</v>
      </c>
      <c r="O105" s="525">
        <v>0</v>
      </c>
      <c r="P105" s="499" t="s">
        <v>2054</v>
      </c>
      <c r="Q105" s="499"/>
      <c r="R105" s="499"/>
      <c r="S105" s="525"/>
      <c r="T105" s="525">
        <v>0</v>
      </c>
      <c r="U105" s="525">
        <v>1</v>
      </c>
      <c r="V105" s="525" t="s">
        <v>2054</v>
      </c>
      <c r="W105" s="589">
        <f>IF(AND(BaleMover[[#This Row],[Scenario_ID]]="S3",BaleMover[[#This Row],[MRF_ID]]="05"),0,IFERROR(BaleMover[[#This Row],[Total_Baled_tons]]*(IF(BaleMover[[#This Row],[Scenario_ID]]="S0",-2,0)+INDEX(BalePrices[Low],MATCH(BaleMover[[#This Row],[Bale_ID]],BalePrices[Bale_ID],0))),0))</f>
        <v>0</v>
      </c>
      <c r="X105" s="397">
        <f>IF(AND(BaleMover[[#This Row],[Scenario_ID]]="S3",BaleMover[[#This Row],[MRF_ID]]="05"),0,IFERROR(BaleMover[[#This Row],[Total_Baled_tons]]*(IF(BaleMover[[#This Row],[Scenario_ID]]="S0",-2,0)+INDEX(BalePrices[Mid-Point],MATCH(BaleMover[[#This Row],[Bale_ID]],BalePrices[Bale_ID],0))),0))</f>
        <v>0</v>
      </c>
      <c r="Y105" s="397">
        <f>IF(AND(BaleMover[[#This Row],[Scenario_ID]]="S3",BaleMover[[#This Row],[MRF_ID]]="05"),0,IFERROR(BaleMover[[#This Row],[Total_Baled_tons]]*(IF(BaleMover[[#This Row],[Scenario_ID]]="S0",-2,0)+INDEX(BalePrices[High],MATCH(BaleMover[[#This Row],[Bale_ID]],BalePrices[Bale_ID],0))),0))</f>
        <v>0</v>
      </c>
    </row>
    <row r="106" spans="2:25" x14ac:dyDescent="0.2">
      <c r="B106" s="545" t="s">
        <v>876</v>
      </c>
      <c r="C106" s="499" t="s">
        <v>706</v>
      </c>
      <c r="D106" s="499"/>
      <c r="E106" s="499"/>
      <c r="F106" s="499" t="s">
        <v>1992</v>
      </c>
      <c r="G106" s="499" t="s">
        <v>2047</v>
      </c>
      <c r="H106" s="499" t="s">
        <v>1272</v>
      </c>
      <c r="I106" s="499" t="s">
        <v>1015</v>
      </c>
      <c r="J106" s="499" t="s">
        <v>1016</v>
      </c>
      <c r="K106" s="499" t="s">
        <v>2048</v>
      </c>
      <c r="L106" s="499">
        <v>1</v>
      </c>
      <c r="M106" s="499" t="s">
        <v>2065</v>
      </c>
      <c r="N106" s="499" t="s">
        <v>2066</v>
      </c>
      <c r="O106" s="525">
        <v>0</v>
      </c>
      <c r="P106" s="499" t="s">
        <v>2054</v>
      </c>
      <c r="Q106" s="499"/>
      <c r="R106" s="499"/>
      <c r="S106" s="525"/>
      <c r="T106" s="525">
        <v>0</v>
      </c>
      <c r="U106" s="525">
        <v>1</v>
      </c>
      <c r="V106" s="525" t="s">
        <v>2054</v>
      </c>
      <c r="W106" s="589">
        <f>IF(AND(BaleMover[[#This Row],[Scenario_ID]]="S3",BaleMover[[#This Row],[MRF_ID]]="05"),0,IFERROR(BaleMover[[#This Row],[Total_Baled_tons]]*(IF(BaleMover[[#This Row],[Scenario_ID]]="S0",-2,0)+INDEX(BalePrices[Low],MATCH(BaleMover[[#This Row],[Bale_ID]],BalePrices[Bale_ID],0))),0))</f>
        <v>0</v>
      </c>
      <c r="X106" s="397">
        <f>IF(AND(BaleMover[[#This Row],[Scenario_ID]]="S3",BaleMover[[#This Row],[MRF_ID]]="05"),0,IFERROR(BaleMover[[#This Row],[Total_Baled_tons]]*(IF(BaleMover[[#This Row],[Scenario_ID]]="S0",-2,0)+INDEX(BalePrices[Mid-Point],MATCH(BaleMover[[#This Row],[Bale_ID]],BalePrices[Bale_ID],0))),0))</f>
        <v>0</v>
      </c>
      <c r="Y106" s="397">
        <f>IF(AND(BaleMover[[#This Row],[Scenario_ID]]="S3",BaleMover[[#This Row],[MRF_ID]]="05"),0,IFERROR(BaleMover[[#This Row],[Total_Baled_tons]]*(IF(BaleMover[[#This Row],[Scenario_ID]]="S0",-2,0)+INDEX(BalePrices[High],MATCH(BaleMover[[#This Row],[Bale_ID]],BalePrices[Bale_ID],0))),0))</f>
        <v>0</v>
      </c>
    </row>
    <row r="107" spans="2:25" x14ac:dyDescent="0.2">
      <c r="B107" s="545" t="s">
        <v>875</v>
      </c>
      <c r="C107" s="499" t="s">
        <v>706</v>
      </c>
      <c r="D107" s="499"/>
      <c r="E107" s="499"/>
      <c r="F107" s="499" t="s">
        <v>1992</v>
      </c>
      <c r="G107" s="499" t="s">
        <v>2051</v>
      </c>
      <c r="H107" s="499" t="s">
        <v>1273</v>
      </c>
      <c r="I107" s="499" t="s">
        <v>1015</v>
      </c>
      <c r="J107" s="499" t="s">
        <v>1016</v>
      </c>
      <c r="K107" s="499" t="s">
        <v>2048</v>
      </c>
      <c r="L107" s="499">
        <v>1</v>
      </c>
      <c r="M107" s="499" t="s">
        <v>2065</v>
      </c>
      <c r="N107" s="499" t="s">
        <v>2066</v>
      </c>
      <c r="O107" s="525">
        <v>0</v>
      </c>
      <c r="P107" s="499" t="s">
        <v>2054</v>
      </c>
      <c r="Q107" s="499"/>
      <c r="R107" s="499"/>
      <c r="S107" s="525"/>
      <c r="T107" s="525">
        <v>0</v>
      </c>
      <c r="U107" s="525">
        <v>1</v>
      </c>
      <c r="V107" s="525" t="s">
        <v>2054</v>
      </c>
      <c r="W107" s="589">
        <f>IF(AND(BaleMover[[#This Row],[Scenario_ID]]="S3",BaleMover[[#This Row],[MRF_ID]]="05"),0,IFERROR(BaleMover[[#This Row],[Total_Baled_tons]]*(IF(BaleMover[[#This Row],[Scenario_ID]]="S0",-2,0)+INDEX(BalePrices[Low],MATCH(BaleMover[[#This Row],[Bale_ID]],BalePrices[Bale_ID],0))),0))</f>
        <v>0</v>
      </c>
      <c r="X107" s="397">
        <f>IF(AND(BaleMover[[#This Row],[Scenario_ID]]="S3",BaleMover[[#This Row],[MRF_ID]]="05"),0,IFERROR(BaleMover[[#This Row],[Total_Baled_tons]]*(IF(BaleMover[[#This Row],[Scenario_ID]]="S0",-2,0)+INDEX(BalePrices[Mid-Point],MATCH(BaleMover[[#This Row],[Bale_ID]],BalePrices[Bale_ID],0))),0))</f>
        <v>0</v>
      </c>
      <c r="Y107" s="397">
        <f>IF(AND(BaleMover[[#This Row],[Scenario_ID]]="S3",BaleMover[[#This Row],[MRF_ID]]="05"),0,IFERROR(BaleMover[[#This Row],[Total_Baled_tons]]*(IF(BaleMover[[#This Row],[Scenario_ID]]="S0",-2,0)+INDEX(BalePrices[High],MATCH(BaleMover[[#This Row],[Bale_ID]],BalePrices[Bale_ID],0))),0))</f>
        <v>0</v>
      </c>
    </row>
    <row r="108" spans="2:25" x14ac:dyDescent="0.2">
      <c r="B108" s="545" t="s">
        <v>874</v>
      </c>
      <c r="C108" s="499" t="s">
        <v>706</v>
      </c>
      <c r="D108" s="499"/>
      <c r="E108" s="499"/>
      <c r="F108" s="499" t="s">
        <v>1992</v>
      </c>
      <c r="G108" s="499" t="s">
        <v>2052</v>
      </c>
      <c r="H108" s="499" t="s">
        <v>1274</v>
      </c>
      <c r="I108" s="499" t="s">
        <v>1015</v>
      </c>
      <c r="J108" s="499" t="s">
        <v>1016</v>
      </c>
      <c r="K108" s="499" t="s">
        <v>2048</v>
      </c>
      <c r="L108" s="499">
        <v>1</v>
      </c>
      <c r="M108" s="499" t="s">
        <v>2065</v>
      </c>
      <c r="N108" s="499" t="s">
        <v>2066</v>
      </c>
      <c r="O108" s="525">
        <v>0</v>
      </c>
      <c r="P108" s="499" t="s">
        <v>2054</v>
      </c>
      <c r="Q108" s="499"/>
      <c r="R108" s="499"/>
      <c r="S108" s="525"/>
      <c r="T108" s="525">
        <v>0</v>
      </c>
      <c r="U108" s="525">
        <v>1</v>
      </c>
      <c r="V108" s="525" t="s">
        <v>2054</v>
      </c>
      <c r="W108" s="589">
        <f>IF(AND(BaleMover[[#This Row],[Scenario_ID]]="S3",BaleMover[[#This Row],[MRF_ID]]="05"),0,IFERROR(BaleMover[[#This Row],[Total_Baled_tons]]*(IF(BaleMover[[#This Row],[Scenario_ID]]="S0",-2,0)+INDEX(BalePrices[Low],MATCH(BaleMover[[#This Row],[Bale_ID]],BalePrices[Bale_ID],0))),0))</f>
        <v>0</v>
      </c>
      <c r="X108" s="397">
        <f>IF(AND(BaleMover[[#This Row],[Scenario_ID]]="S3",BaleMover[[#This Row],[MRF_ID]]="05"),0,IFERROR(BaleMover[[#This Row],[Total_Baled_tons]]*(IF(BaleMover[[#This Row],[Scenario_ID]]="S0",-2,0)+INDEX(BalePrices[Mid-Point],MATCH(BaleMover[[#This Row],[Bale_ID]],BalePrices[Bale_ID],0))),0))</f>
        <v>0</v>
      </c>
      <c r="Y108" s="397">
        <f>IF(AND(BaleMover[[#This Row],[Scenario_ID]]="S3",BaleMover[[#This Row],[MRF_ID]]="05"),0,IFERROR(BaleMover[[#This Row],[Total_Baled_tons]]*(IF(BaleMover[[#This Row],[Scenario_ID]]="S0",-2,0)+INDEX(BalePrices[High],MATCH(BaleMover[[#This Row],[Bale_ID]],BalePrices[Bale_ID],0))),0))</f>
        <v>0</v>
      </c>
    </row>
    <row r="109" spans="2:25" x14ac:dyDescent="0.2">
      <c r="B109" s="545" t="s">
        <v>873</v>
      </c>
      <c r="C109" s="499" t="s">
        <v>706</v>
      </c>
      <c r="D109" s="499"/>
      <c r="E109" s="499"/>
      <c r="F109" s="499" t="s">
        <v>1992</v>
      </c>
      <c r="G109" s="499" t="s">
        <v>2053</v>
      </c>
      <c r="H109" s="499" t="s">
        <v>1275</v>
      </c>
      <c r="I109" s="499" t="s">
        <v>1015</v>
      </c>
      <c r="J109" s="499" t="s">
        <v>1016</v>
      </c>
      <c r="K109" s="499" t="s">
        <v>2048</v>
      </c>
      <c r="L109" s="499">
        <v>1</v>
      </c>
      <c r="M109" s="499" t="s">
        <v>2065</v>
      </c>
      <c r="N109" s="499" t="s">
        <v>2066</v>
      </c>
      <c r="O109" s="525">
        <v>0</v>
      </c>
      <c r="P109" s="499" t="s">
        <v>2054</v>
      </c>
      <c r="Q109" s="499"/>
      <c r="R109" s="499"/>
      <c r="S109" s="525"/>
      <c r="T109" s="525">
        <v>0</v>
      </c>
      <c r="U109" s="525">
        <v>1</v>
      </c>
      <c r="V109" s="525" t="s">
        <v>2054</v>
      </c>
      <c r="W109" s="589">
        <f>IF(AND(BaleMover[[#This Row],[Scenario_ID]]="S3",BaleMover[[#This Row],[MRF_ID]]="05"),0,IFERROR(BaleMover[[#This Row],[Total_Baled_tons]]*(IF(BaleMover[[#This Row],[Scenario_ID]]="S0",-2,0)+INDEX(BalePrices[Low],MATCH(BaleMover[[#This Row],[Bale_ID]],BalePrices[Bale_ID],0))),0))</f>
        <v>0</v>
      </c>
      <c r="X109" s="397">
        <f>IF(AND(BaleMover[[#This Row],[Scenario_ID]]="S3",BaleMover[[#This Row],[MRF_ID]]="05"),0,IFERROR(BaleMover[[#This Row],[Total_Baled_tons]]*(IF(BaleMover[[#This Row],[Scenario_ID]]="S0",-2,0)+INDEX(BalePrices[Mid-Point],MATCH(BaleMover[[#This Row],[Bale_ID]],BalePrices[Bale_ID],0))),0))</f>
        <v>0</v>
      </c>
      <c r="Y109" s="397">
        <f>IF(AND(BaleMover[[#This Row],[Scenario_ID]]="S3",BaleMover[[#This Row],[MRF_ID]]="05"),0,IFERROR(BaleMover[[#This Row],[Total_Baled_tons]]*(IF(BaleMover[[#This Row],[Scenario_ID]]="S0",-2,0)+INDEX(BalePrices[High],MATCH(BaleMover[[#This Row],[Bale_ID]],BalePrices[Bale_ID],0))),0))</f>
        <v>0</v>
      </c>
    </row>
    <row r="110" spans="2:25" x14ac:dyDescent="0.2">
      <c r="B110" s="545" t="s">
        <v>876</v>
      </c>
      <c r="C110" s="499" t="s">
        <v>706</v>
      </c>
      <c r="D110" s="499"/>
      <c r="E110" s="499"/>
      <c r="F110" s="499" t="s">
        <v>1992</v>
      </c>
      <c r="G110" s="499" t="s">
        <v>2047</v>
      </c>
      <c r="H110" s="499" t="s">
        <v>1276</v>
      </c>
      <c r="I110" s="499" t="s">
        <v>1017</v>
      </c>
      <c r="J110" s="499" t="s">
        <v>1018</v>
      </c>
      <c r="K110" s="499" t="s">
        <v>2048</v>
      </c>
      <c r="L110" s="499">
        <v>11</v>
      </c>
      <c r="M110" s="499" t="s">
        <v>2063</v>
      </c>
      <c r="N110" s="499" t="s">
        <v>2064</v>
      </c>
      <c r="O110" s="525">
        <v>241.87271373296713</v>
      </c>
      <c r="P110" s="499">
        <v>915</v>
      </c>
      <c r="Q110" s="499"/>
      <c r="R110" s="499"/>
      <c r="S110" s="525"/>
      <c r="T110" s="525">
        <v>0</v>
      </c>
      <c r="U110" s="525">
        <v>1</v>
      </c>
      <c r="V110" s="525">
        <v>221313.53306566493</v>
      </c>
      <c r="W110" s="589">
        <f>IF(AND(BaleMover[[#This Row],[Scenario_ID]]="S3",BaleMover[[#This Row],[MRF_ID]]="05"),0,IFERROR(BaleMover[[#This Row],[Total_Baled_tons]]*(IF(BaleMover[[#This Row],[Scenario_ID]]="S0",-2,0)+INDEX(BalePrices[Low],MATCH(BaleMover[[#This Row],[Bale_ID]],BalePrices[Bale_ID],0))),0))</f>
        <v>265576.23967879789</v>
      </c>
      <c r="X110" s="397">
        <f>IF(AND(BaleMover[[#This Row],[Scenario_ID]]="S3",BaleMover[[#This Row],[MRF_ID]]="05"),0,IFERROR(BaleMover[[#This Row],[Total_Baled_tons]]*(IF(BaleMover[[#This Row],[Scenario_ID]]="S0",-2,0)+INDEX(BalePrices[Mid-Point],MATCH(BaleMover[[#This Row],[Bale_ID]],BalePrices[Bale_ID],0))),0))</f>
        <v>319997.60026871553</v>
      </c>
      <c r="Y110" s="397">
        <f>IF(AND(BaleMover[[#This Row],[Scenario_ID]]="S3",BaleMover[[#This Row],[MRF_ID]]="05"),0,IFERROR(BaleMover[[#This Row],[Total_Baled_tons]]*(IF(BaleMover[[#This Row],[Scenario_ID]]="S0",-2,0)+INDEX(BalePrices[High],MATCH(BaleMover[[#This Row],[Bale_ID]],BalePrices[Bale_ID],0))),0))</f>
        <v>374418.9608586331</v>
      </c>
    </row>
    <row r="111" spans="2:25" x14ac:dyDescent="0.2">
      <c r="B111" s="545" t="s">
        <v>875</v>
      </c>
      <c r="C111" s="499" t="s">
        <v>706</v>
      </c>
      <c r="D111" s="499"/>
      <c r="E111" s="499"/>
      <c r="F111" s="499" t="s">
        <v>1992</v>
      </c>
      <c r="G111" s="499" t="s">
        <v>2051</v>
      </c>
      <c r="H111" s="499" t="s">
        <v>1277</v>
      </c>
      <c r="I111" s="499" t="s">
        <v>1017</v>
      </c>
      <c r="J111" s="499" t="s">
        <v>1018</v>
      </c>
      <c r="K111" s="499" t="s">
        <v>2048</v>
      </c>
      <c r="L111" s="499">
        <v>11</v>
      </c>
      <c r="M111" s="499" t="s">
        <v>2063</v>
      </c>
      <c r="N111" s="499" t="s">
        <v>2064</v>
      </c>
      <c r="O111" s="525">
        <v>202.00252039743836</v>
      </c>
      <c r="P111" s="499">
        <v>915</v>
      </c>
      <c r="Q111" s="499"/>
      <c r="R111" s="499"/>
      <c r="S111" s="525"/>
      <c r="T111" s="525">
        <v>0</v>
      </c>
      <c r="U111" s="525">
        <v>1</v>
      </c>
      <c r="V111" s="525">
        <v>184832.30616365609</v>
      </c>
      <c r="W111" s="589">
        <f>IF(AND(BaleMover[[#This Row],[Scenario_ID]]="S3",BaleMover[[#This Row],[MRF_ID]]="05"),0,IFERROR(BaleMover[[#This Row],[Total_Baled_tons]]*(IF(BaleMover[[#This Row],[Scenario_ID]]="S0",-2,0)+INDEX(BalePrices[Low],MATCH(BaleMover[[#This Row],[Bale_ID]],BalePrices[Bale_ID],0))),0))</f>
        <v>222202.7724371822</v>
      </c>
      <c r="X111" s="397">
        <f>IF(AND(BaleMover[[#This Row],[Scenario_ID]]="S3",BaleMover[[#This Row],[MRF_ID]]="05"),0,IFERROR(BaleMover[[#This Row],[Total_Baled_tons]]*(IF(BaleMover[[#This Row],[Scenario_ID]]="S0",-2,0)+INDEX(BalePrices[Mid-Point],MATCH(BaleMover[[#This Row],[Bale_ID]],BalePrices[Bale_ID],0))),0))</f>
        <v>267653.33952660585</v>
      </c>
      <c r="Y111" s="397">
        <f>IF(AND(BaleMover[[#This Row],[Scenario_ID]]="S3",BaleMover[[#This Row],[MRF_ID]]="05"),0,IFERROR(BaleMover[[#This Row],[Total_Baled_tons]]*(IF(BaleMover[[#This Row],[Scenario_ID]]="S0",-2,0)+INDEX(BalePrices[High],MATCH(BaleMover[[#This Row],[Bale_ID]],BalePrices[Bale_ID],0))),0))</f>
        <v>313103.90661602945</v>
      </c>
    </row>
    <row r="112" spans="2:25" x14ac:dyDescent="0.2">
      <c r="B112" s="545" t="s">
        <v>874</v>
      </c>
      <c r="C112" s="499" t="s">
        <v>706</v>
      </c>
      <c r="D112" s="499"/>
      <c r="E112" s="499"/>
      <c r="F112" s="499" t="s">
        <v>1992</v>
      </c>
      <c r="G112" s="499" t="s">
        <v>2052</v>
      </c>
      <c r="H112" s="499" t="s">
        <v>1278</v>
      </c>
      <c r="I112" s="499" t="s">
        <v>1017</v>
      </c>
      <c r="J112" s="499" t="s">
        <v>1018</v>
      </c>
      <c r="K112" s="499" t="s">
        <v>2048</v>
      </c>
      <c r="L112" s="499">
        <v>11</v>
      </c>
      <c r="M112" s="499" t="s">
        <v>2063</v>
      </c>
      <c r="N112" s="499" t="s">
        <v>2064</v>
      </c>
      <c r="O112" s="525">
        <v>256.09984797278958</v>
      </c>
      <c r="P112" s="499">
        <v>915</v>
      </c>
      <c r="Q112" s="499"/>
      <c r="R112" s="499"/>
      <c r="S112" s="525"/>
      <c r="T112" s="525">
        <v>0</v>
      </c>
      <c r="U112" s="525">
        <v>1</v>
      </c>
      <c r="V112" s="525">
        <v>234331.36089510247</v>
      </c>
      <c r="W112" s="589">
        <f>IF(AND(BaleMover[[#This Row],[Scenario_ID]]="S3",BaleMover[[#This Row],[MRF_ID]]="05"),0,IFERROR(BaleMover[[#This Row],[Total_Baled_tons]]*(IF(BaleMover[[#This Row],[Scenario_ID]]="S0",-2,0)+INDEX(BalePrices[Low],MATCH(BaleMover[[#This Row],[Bale_ID]],BalePrices[Bale_ID],0))),0))</f>
        <v>281709.83277006855</v>
      </c>
      <c r="X112" s="397">
        <f>IF(AND(BaleMover[[#This Row],[Scenario_ID]]="S3",BaleMover[[#This Row],[MRF_ID]]="05"),0,IFERROR(BaleMover[[#This Row],[Total_Baled_tons]]*(IF(BaleMover[[#This Row],[Scenario_ID]]="S0",-2,0)+INDEX(BalePrices[Mid-Point],MATCH(BaleMover[[#This Row],[Bale_ID]],BalePrices[Bale_ID],0))),0))</f>
        <v>339332.29856394621</v>
      </c>
      <c r="Y112" s="397">
        <f>IF(AND(BaleMover[[#This Row],[Scenario_ID]]="S3",BaleMover[[#This Row],[MRF_ID]]="05"),0,IFERROR(BaleMover[[#This Row],[Total_Baled_tons]]*(IF(BaleMover[[#This Row],[Scenario_ID]]="S0",-2,0)+INDEX(BalePrices[High],MATCH(BaleMover[[#This Row],[Bale_ID]],BalePrices[Bale_ID],0))),0))</f>
        <v>396954.76435782382</v>
      </c>
    </row>
    <row r="113" spans="2:25" x14ac:dyDescent="0.2">
      <c r="B113" s="545" t="s">
        <v>873</v>
      </c>
      <c r="C113" s="499" t="s">
        <v>706</v>
      </c>
      <c r="D113" s="499"/>
      <c r="E113" s="499"/>
      <c r="F113" s="499" t="s">
        <v>1992</v>
      </c>
      <c r="G113" s="499" t="s">
        <v>2053</v>
      </c>
      <c r="H113" s="499" t="s">
        <v>1279</v>
      </c>
      <c r="I113" s="499" t="s">
        <v>1017</v>
      </c>
      <c r="J113" s="499" t="s">
        <v>1018</v>
      </c>
      <c r="K113" s="499" t="s">
        <v>2048</v>
      </c>
      <c r="L113" s="499">
        <v>11</v>
      </c>
      <c r="M113" s="499" t="s">
        <v>2063</v>
      </c>
      <c r="N113" s="499" t="s">
        <v>2064</v>
      </c>
      <c r="O113" s="525">
        <v>256.09984797278958</v>
      </c>
      <c r="P113" s="499">
        <v>915</v>
      </c>
      <c r="Q113" s="499"/>
      <c r="R113" s="499"/>
      <c r="S113" s="525"/>
      <c r="T113" s="525">
        <v>0</v>
      </c>
      <c r="U113" s="525">
        <v>1</v>
      </c>
      <c r="V113" s="525">
        <v>234331.36089510247</v>
      </c>
      <c r="W113" s="589">
        <f>IF(AND(BaleMover[[#This Row],[Scenario_ID]]="S3",BaleMover[[#This Row],[MRF_ID]]="05"),0,IFERROR(BaleMover[[#This Row],[Total_Baled_tons]]*(IF(BaleMover[[#This Row],[Scenario_ID]]="S0",-2,0)+INDEX(BalePrices[Low],MATCH(BaleMover[[#This Row],[Bale_ID]],BalePrices[Bale_ID],0))),0))</f>
        <v>281709.83277006855</v>
      </c>
      <c r="X113" s="397">
        <f>IF(AND(BaleMover[[#This Row],[Scenario_ID]]="S3",BaleMover[[#This Row],[MRF_ID]]="05"),0,IFERROR(BaleMover[[#This Row],[Total_Baled_tons]]*(IF(BaleMover[[#This Row],[Scenario_ID]]="S0",-2,0)+INDEX(BalePrices[Mid-Point],MATCH(BaleMover[[#This Row],[Bale_ID]],BalePrices[Bale_ID],0))),0))</f>
        <v>339332.29856394621</v>
      </c>
      <c r="Y113" s="397">
        <f>IF(AND(BaleMover[[#This Row],[Scenario_ID]]="S3",BaleMover[[#This Row],[MRF_ID]]="05"),0,IFERROR(BaleMover[[#This Row],[Total_Baled_tons]]*(IF(BaleMover[[#This Row],[Scenario_ID]]="S0",-2,0)+INDEX(BalePrices[High],MATCH(BaleMover[[#This Row],[Bale_ID]],BalePrices[Bale_ID],0))),0))</f>
        <v>396954.76435782382</v>
      </c>
    </row>
    <row r="114" spans="2:25" x14ac:dyDescent="0.2">
      <c r="B114" s="545" t="s">
        <v>876</v>
      </c>
      <c r="C114" s="499" t="s">
        <v>706</v>
      </c>
      <c r="D114" s="499"/>
      <c r="E114" s="499"/>
      <c r="F114" s="499" t="s">
        <v>1992</v>
      </c>
      <c r="G114" s="499" t="s">
        <v>2047</v>
      </c>
      <c r="H114" s="499" t="s">
        <v>1280</v>
      </c>
      <c r="I114" s="499" t="s">
        <v>1019</v>
      </c>
      <c r="J114" s="499" t="s">
        <v>1020</v>
      </c>
      <c r="K114" s="499" t="s">
        <v>2048</v>
      </c>
      <c r="L114" s="499">
        <v>1</v>
      </c>
      <c r="M114" s="499" t="s">
        <v>2065</v>
      </c>
      <c r="N114" s="499" t="s">
        <v>2066</v>
      </c>
      <c r="O114" s="525">
        <v>1837.4199965633272</v>
      </c>
      <c r="P114" s="499">
        <v>50</v>
      </c>
      <c r="Q114" s="499"/>
      <c r="R114" s="499"/>
      <c r="S114" s="525"/>
      <c r="T114" s="525">
        <v>0</v>
      </c>
      <c r="U114" s="525">
        <v>1</v>
      </c>
      <c r="V114" s="525">
        <v>91870.999828166357</v>
      </c>
      <c r="W114" s="589">
        <f>IF(AND(BaleMover[[#This Row],[Scenario_ID]]="S3",BaleMover[[#This Row],[MRF_ID]]="05"),0,IFERROR(BaleMover[[#This Row],[Total_Baled_tons]]*(IF(BaleMover[[#This Row],[Scenario_ID]]="S0",-2,0)+INDEX(BalePrices[Low],MATCH(BaleMover[[#This Row],[Bale_ID]],BalePrices[Bale_ID],0))),0))</f>
        <v>180067.15966320608</v>
      </c>
      <c r="X114" s="397">
        <f>IF(AND(BaleMover[[#This Row],[Scenario_ID]]="S3",BaleMover[[#This Row],[MRF_ID]]="05"),0,IFERROR(BaleMover[[#This Row],[Total_Baled_tons]]*(IF(BaleMover[[#This Row],[Scenario_ID]]="S0",-2,0)+INDEX(BalePrices[Mid-Point],MATCH(BaleMover[[#This Row],[Bale_ID]],BalePrices[Bale_ID],0))),0))</f>
        <v>271938.15949137241</v>
      </c>
      <c r="Y114" s="397">
        <f>IF(AND(BaleMover[[#This Row],[Scenario_ID]]="S3",BaleMover[[#This Row],[MRF_ID]]="05"),0,IFERROR(BaleMover[[#This Row],[Total_Baled_tons]]*(IF(BaleMover[[#This Row],[Scenario_ID]]="S0",-2,0)+INDEX(BalePrices[High],MATCH(BaleMover[[#This Row],[Bale_ID]],BalePrices[Bale_ID],0))),0))</f>
        <v>363809.1593195388</v>
      </c>
    </row>
    <row r="115" spans="2:25" x14ac:dyDescent="0.2">
      <c r="B115" s="545" t="s">
        <v>875</v>
      </c>
      <c r="C115" s="499" t="s">
        <v>706</v>
      </c>
      <c r="D115" s="499"/>
      <c r="E115" s="499"/>
      <c r="F115" s="499" t="s">
        <v>1992</v>
      </c>
      <c r="G115" s="499" t="s">
        <v>2051</v>
      </c>
      <c r="H115" s="499" t="s">
        <v>1281</v>
      </c>
      <c r="I115" s="499" t="s">
        <v>1019</v>
      </c>
      <c r="J115" s="499" t="s">
        <v>1020</v>
      </c>
      <c r="K115" s="499" t="s">
        <v>2048</v>
      </c>
      <c r="L115" s="499">
        <v>1</v>
      </c>
      <c r="M115" s="499" t="s">
        <v>2065</v>
      </c>
      <c r="N115" s="499" t="s">
        <v>2066</v>
      </c>
      <c r="O115" s="525">
        <v>1733.4602490695374</v>
      </c>
      <c r="P115" s="499">
        <v>50</v>
      </c>
      <c r="Q115" s="499"/>
      <c r="R115" s="499"/>
      <c r="S115" s="525"/>
      <c r="T115" s="525">
        <v>0</v>
      </c>
      <c r="U115" s="525">
        <v>1</v>
      </c>
      <c r="V115" s="525">
        <v>86673.012453476869</v>
      </c>
      <c r="W115" s="589">
        <f>IF(AND(BaleMover[[#This Row],[Scenario_ID]]="S3",BaleMover[[#This Row],[MRF_ID]]="05"),0,IFERROR(BaleMover[[#This Row],[Total_Baled_tons]]*(IF(BaleMover[[#This Row],[Scenario_ID]]="S0",-2,0)+INDEX(BalePrices[Low],MATCH(BaleMover[[#This Row],[Bale_ID]],BalePrices[Bale_ID],0))),0))</f>
        <v>173346.02490695374</v>
      </c>
      <c r="X115" s="397">
        <f>IF(AND(BaleMover[[#This Row],[Scenario_ID]]="S3",BaleMover[[#This Row],[MRF_ID]]="05"),0,IFERROR(BaleMover[[#This Row],[Total_Baled_tons]]*(IF(BaleMover[[#This Row],[Scenario_ID]]="S0",-2,0)+INDEX(BalePrices[Mid-Point],MATCH(BaleMover[[#This Row],[Bale_ID]],BalePrices[Bale_ID],0))),0))</f>
        <v>260019.03736043061</v>
      </c>
      <c r="Y115" s="397">
        <f>IF(AND(BaleMover[[#This Row],[Scenario_ID]]="S3",BaleMover[[#This Row],[MRF_ID]]="05"),0,IFERROR(BaleMover[[#This Row],[Total_Baled_tons]]*(IF(BaleMover[[#This Row],[Scenario_ID]]="S0",-2,0)+INDEX(BalePrices[High],MATCH(BaleMover[[#This Row],[Bale_ID]],BalePrices[Bale_ID],0))),0))</f>
        <v>346692.04981390748</v>
      </c>
    </row>
    <row r="116" spans="2:25" x14ac:dyDescent="0.2">
      <c r="B116" s="545" t="s">
        <v>874</v>
      </c>
      <c r="C116" s="499" t="s">
        <v>706</v>
      </c>
      <c r="D116" s="499"/>
      <c r="E116" s="499"/>
      <c r="F116" s="499" t="s">
        <v>1992</v>
      </c>
      <c r="G116" s="499" t="s">
        <v>2052</v>
      </c>
      <c r="H116" s="499" t="s">
        <v>1282</v>
      </c>
      <c r="I116" s="499" t="s">
        <v>1019</v>
      </c>
      <c r="J116" s="499" t="s">
        <v>1020</v>
      </c>
      <c r="K116" s="499" t="s">
        <v>2048</v>
      </c>
      <c r="L116" s="499">
        <v>1</v>
      </c>
      <c r="M116" s="499" t="s">
        <v>2065</v>
      </c>
      <c r="N116" s="499" t="s">
        <v>2066</v>
      </c>
      <c r="O116" s="525">
        <v>2871.5417546969547</v>
      </c>
      <c r="P116" s="499">
        <v>50</v>
      </c>
      <c r="Q116" s="499"/>
      <c r="R116" s="499"/>
      <c r="S116" s="525"/>
      <c r="T116" s="525">
        <v>0</v>
      </c>
      <c r="U116" s="525">
        <v>1</v>
      </c>
      <c r="V116" s="525">
        <v>143577.08773484774</v>
      </c>
      <c r="W116" s="589">
        <f>IF(AND(BaleMover[[#This Row],[Scenario_ID]]="S3",BaleMover[[#This Row],[MRF_ID]]="05"),0,IFERROR(BaleMover[[#This Row],[Total_Baled_tons]]*(IF(BaleMover[[#This Row],[Scenario_ID]]="S0",-2,0)+INDEX(BalePrices[Low],MATCH(BaleMover[[#This Row],[Bale_ID]],BalePrices[Bale_ID],0))),0))</f>
        <v>287154.17546969547</v>
      </c>
      <c r="X116" s="397">
        <f>IF(AND(BaleMover[[#This Row],[Scenario_ID]]="S3",BaleMover[[#This Row],[MRF_ID]]="05"),0,IFERROR(BaleMover[[#This Row],[Total_Baled_tons]]*(IF(BaleMover[[#This Row],[Scenario_ID]]="S0",-2,0)+INDEX(BalePrices[Mid-Point],MATCH(BaleMover[[#This Row],[Bale_ID]],BalePrices[Bale_ID],0))),0))</f>
        <v>430731.26320454321</v>
      </c>
      <c r="Y116" s="397">
        <f>IF(AND(BaleMover[[#This Row],[Scenario_ID]]="S3",BaleMover[[#This Row],[MRF_ID]]="05"),0,IFERROR(BaleMover[[#This Row],[Total_Baled_tons]]*(IF(BaleMover[[#This Row],[Scenario_ID]]="S0",-2,0)+INDEX(BalePrices[High],MATCH(BaleMover[[#This Row],[Bale_ID]],BalePrices[Bale_ID],0))),0))</f>
        <v>574308.35093939095</v>
      </c>
    </row>
    <row r="117" spans="2:25" x14ac:dyDescent="0.2">
      <c r="B117" s="545" t="s">
        <v>873</v>
      </c>
      <c r="C117" s="499" t="s">
        <v>706</v>
      </c>
      <c r="D117" s="499"/>
      <c r="E117" s="499"/>
      <c r="F117" s="499" t="s">
        <v>1992</v>
      </c>
      <c r="G117" s="499" t="s">
        <v>2053</v>
      </c>
      <c r="H117" s="499" t="s">
        <v>1283</v>
      </c>
      <c r="I117" s="499" t="s">
        <v>1019</v>
      </c>
      <c r="J117" s="499" t="s">
        <v>1020</v>
      </c>
      <c r="K117" s="499" t="s">
        <v>2048</v>
      </c>
      <c r="L117" s="499">
        <v>1</v>
      </c>
      <c r="M117" s="499" t="s">
        <v>2065</v>
      </c>
      <c r="N117" s="499" t="s">
        <v>2066</v>
      </c>
      <c r="O117" s="525">
        <v>2869.6237301853721</v>
      </c>
      <c r="P117" s="499">
        <v>50</v>
      </c>
      <c r="Q117" s="499"/>
      <c r="R117" s="499"/>
      <c r="S117" s="525"/>
      <c r="T117" s="525">
        <v>0</v>
      </c>
      <c r="U117" s="525">
        <v>1</v>
      </c>
      <c r="V117" s="525">
        <v>143481.18650926859</v>
      </c>
      <c r="W117" s="589">
        <f>IF(AND(BaleMover[[#This Row],[Scenario_ID]]="S3",BaleMover[[#This Row],[MRF_ID]]="05"),0,IFERROR(BaleMover[[#This Row],[Total_Baled_tons]]*(IF(BaleMover[[#This Row],[Scenario_ID]]="S0",-2,0)+INDEX(BalePrices[Low],MATCH(BaleMover[[#This Row],[Bale_ID]],BalePrices[Bale_ID],0))),0))</f>
        <v>286962.37301853718</v>
      </c>
      <c r="X117" s="397">
        <f>IF(AND(BaleMover[[#This Row],[Scenario_ID]]="S3",BaleMover[[#This Row],[MRF_ID]]="05"),0,IFERROR(BaleMover[[#This Row],[Total_Baled_tons]]*(IF(BaleMover[[#This Row],[Scenario_ID]]="S0",-2,0)+INDEX(BalePrices[Mid-Point],MATCH(BaleMover[[#This Row],[Bale_ID]],BalePrices[Bale_ID],0))),0))</f>
        <v>430443.55952780583</v>
      </c>
      <c r="Y117" s="397">
        <f>IF(AND(BaleMover[[#This Row],[Scenario_ID]]="S3",BaleMover[[#This Row],[MRF_ID]]="05"),0,IFERROR(BaleMover[[#This Row],[Total_Baled_tons]]*(IF(BaleMover[[#This Row],[Scenario_ID]]="S0",-2,0)+INDEX(BalePrices[High],MATCH(BaleMover[[#This Row],[Bale_ID]],BalePrices[Bale_ID],0))),0))</f>
        <v>573924.74603707436</v>
      </c>
    </row>
    <row r="118" spans="2:25" x14ac:dyDescent="0.2">
      <c r="B118" s="545" t="s">
        <v>876</v>
      </c>
      <c r="C118" s="499" t="s">
        <v>706</v>
      </c>
      <c r="D118" s="499"/>
      <c r="E118" s="499"/>
      <c r="F118" s="499" t="s">
        <v>1992</v>
      </c>
      <c r="G118" s="499" t="s">
        <v>2047</v>
      </c>
      <c r="H118" s="499" t="s">
        <v>1284</v>
      </c>
      <c r="I118" s="499" t="s">
        <v>1021</v>
      </c>
      <c r="J118" s="499" t="s">
        <v>751</v>
      </c>
      <c r="K118" s="499" t="s">
        <v>2048</v>
      </c>
      <c r="L118" s="499">
        <v>20</v>
      </c>
      <c r="M118" s="499" t="s">
        <v>2073</v>
      </c>
      <c r="N118" s="499" t="s">
        <v>2074</v>
      </c>
      <c r="O118" s="525">
        <v>2141.0267418669778</v>
      </c>
      <c r="P118" s="499">
        <v>25</v>
      </c>
      <c r="Q118" s="499"/>
      <c r="R118" s="499"/>
      <c r="S118" s="525"/>
      <c r="T118" s="525">
        <v>0</v>
      </c>
      <c r="U118" s="525">
        <v>1</v>
      </c>
      <c r="V118" s="525">
        <v>53525.668546674446</v>
      </c>
      <c r="W118" s="589">
        <f>IF(AND(BaleMover[[#This Row],[Scenario_ID]]="S3",BaleMover[[#This Row],[MRF_ID]]="05"),0,IFERROR(BaleMover[[#This Row],[Total_Baled_tons]]*(IF(BaleMover[[#This Row],[Scenario_ID]]="S0",-2,0)+INDEX(BalePrices[Low],MATCH(BaleMover[[#This Row],[Bale_ID]],BalePrices[Bale_ID],0))),0))</f>
        <v>167000.08586562428</v>
      </c>
      <c r="X118" s="397">
        <f>IF(AND(BaleMover[[#This Row],[Scenario_ID]]="S3",BaleMover[[#This Row],[MRF_ID]]="05"),0,IFERROR(BaleMover[[#This Row],[Total_Baled_tons]]*(IF(BaleMover[[#This Row],[Scenario_ID]]="S0",-2,0)+INDEX(BalePrices[Mid-Point],MATCH(BaleMover[[#This Row],[Bale_ID]],BalePrices[Bale_ID],0))),0))</f>
        <v>252641.15554030339</v>
      </c>
      <c r="Y118" s="397">
        <f>IF(AND(BaleMover[[#This Row],[Scenario_ID]]="S3",BaleMover[[#This Row],[MRF_ID]]="05"),0,IFERROR(BaleMover[[#This Row],[Total_Baled_tons]]*(IF(BaleMover[[#This Row],[Scenario_ID]]="S0",-2,0)+INDEX(BalePrices[High],MATCH(BaleMover[[#This Row],[Bale_ID]],BalePrices[Bale_ID],0))),0))</f>
        <v>338282.22521498246</v>
      </c>
    </row>
    <row r="119" spans="2:25" x14ac:dyDescent="0.2">
      <c r="B119" s="545" t="s">
        <v>875</v>
      </c>
      <c r="C119" s="499" t="s">
        <v>706</v>
      </c>
      <c r="D119" s="499"/>
      <c r="E119" s="499"/>
      <c r="F119" s="499" t="s">
        <v>1992</v>
      </c>
      <c r="G119" s="499" t="s">
        <v>2051</v>
      </c>
      <c r="H119" s="499" t="s">
        <v>1285</v>
      </c>
      <c r="I119" s="499" t="s">
        <v>1021</v>
      </c>
      <c r="J119" s="499" t="s">
        <v>751</v>
      </c>
      <c r="K119" s="499" t="s">
        <v>2048</v>
      </c>
      <c r="L119" s="499">
        <v>20</v>
      </c>
      <c r="M119" s="499" t="s">
        <v>2073</v>
      </c>
      <c r="N119" s="499" t="s">
        <v>2074</v>
      </c>
      <c r="O119" s="525">
        <v>1305.0630480371096</v>
      </c>
      <c r="P119" s="499">
        <v>25</v>
      </c>
      <c r="Q119" s="499"/>
      <c r="R119" s="499"/>
      <c r="S119" s="525"/>
      <c r="T119" s="525">
        <v>0</v>
      </c>
      <c r="U119" s="525">
        <v>1</v>
      </c>
      <c r="V119" s="525">
        <v>32626.576200927742</v>
      </c>
      <c r="W119" s="589">
        <f>IF(AND(BaleMover[[#This Row],[Scenario_ID]]="S3",BaleMover[[#This Row],[MRF_ID]]="05"),0,IFERROR(BaleMover[[#This Row],[Total_Baled_tons]]*(IF(BaleMover[[#This Row],[Scenario_ID]]="S0",-2,0)+INDEX(BalePrices[Low],MATCH(BaleMover[[#This Row],[Bale_ID]],BalePrices[Bale_ID],0))),0))</f>
        <v>104405.04384296876</v>
      </c>
      <c r="X119" s="397">
        <f>IF(AND(BaleMover[[#This Row],[Scenario_ID]]="S3",BaleMover[[#This Row],[MRF_ID]]="05"),0,IFERROR(BaleMover[[#This Row],[Total_Baled_tons]]*(IF(BaleMover[[#This Row],[Scenario_ID]]="S0",-2,0)+INDEX(BalePrices[Mid-Point],MATCH(BaleMover[[#This Row],[Bale_ID]],BalePrices[Bale_ID],0))),0))</f>
        <v>156607.56576445315</v>
      </c>
      <c r="Y119" s="397">
        <f>IF(AND(BaleMover[[#This Row],[Scenario_ID]]="S3",BaleMover[[#This Row],[MRF_ID]]="05"),0,IFERROR(BaleMover[[#This Row],[Total_Baled_tons]]*(IF(BaleMover[[#This Row],[Scenario_ID]]="S0",-2,0)+INDEX(BalePrices[High],MATCH(BaleMover[[#This Row],[Bale_ID]],BalePrices[Bale_ID],0))),0))</f>
        <v>208810.08768593753</v>
      </c>
    </row>
    <row r="120" spans="2:25" x14ac:dyDescent="0.2">
      <c r="B120" s="545" t="s">
        <v>874</v>
      </c>
      <c r="C120" s="499" t="s">
        <v>706</v>
      </c>
      <c r="D120" s="499"/>
      <c r="E120" s="499"/>
      <c r="F120" s="499" t="s">
        <v>1992</v>
      </c>
      <c r="G120" s="499" t="s">
        <v>2052</v>
      </c>
      <c r="H120" s="499" t="s">
        <v>1286</v>
      </c>
      <c r="I120" s="499" t="s">
        <v>1021</v>
      </c>
      <c r="J120" s="499" t="s">
        <v>751</v>
      </c>
      <c r="K120" s="499" t="s">
        <v>2048</v>
      </c>
      <c r="L120" s="499">
        <v>20</v>
      </c>
      <c r="M120" s="499" t="s">
        <v>2073</v>
      </c>
      <c r="N120" s="499" t="s">
        <v>2074</v>
      </c>
      <c r="O120" s="525">
        <v>2420.8892910080276</v>
      </c>
      <c r="P120" s="499">
        <v>25</v>
      </c>
      <c r="Q120" s="499"/>
      <c r="R120" s="499"/>
      <c r="S120" s="525"/>
      <c r="T120" s="525">
        <v>0</v>
      </c>
      <c r="U120" s="525">
        <v>1</v>
      </c>
      <c r="V120" s="525">
        <v>60522.232275200688</v>
      </c>
      <c r="W120" s="589">
        <f>IF(AND(BaleMover[[#This Row],[Scenario_ID]]="S3",BaleMover[[#This Row],[MRF_ID]]="05"),0,IFERROR(BaleMover[[#This Row],[Total_Baled_tons]]*(IF(BaleMover[[#This Row],[Scenario_ID]]="S0",-2,0)+INDEX(BalePrices[Low],MATCH(BaleMover[[#This Row],[Bale_ID]],BalePrices[Bale_ID],0))),0))</f>
        <v>193671.14328064222</v>
      </c>
      <c r="X120" s="397">
        <f>IF(AND(BaleMover[[#This Row],[Scenario_ID]]="S3",BaleMover[[#This Row],[MRF_ID]]="05"),0,IFERROR(BaleMover[[#This Row],[Total_Baled_tons]]*(IF(BaleMover[[#This Row],[Scenario_ID]]="S0",-2,0)+INDEX(BalePrices[Mid-Point],MATCH(BaleMover[[#This Row],[Bale_ID]],BalePrices[Bale_ID],0))),0))</f>
        <v>290506.71492096334</v>
      </c>
      <c r="Y120" s="397">
        <f>IF(AND(BaleMover[[#This Row],[Scenario_ID]]="S3",BaleMover[[#This Row],[MRF_ID]]="05"),0,IFERROR(BaleMover[[#This Row],[Total_Baled_tons]]*(IF(BaleMover[[#This Row],[Scenario_ID]]="S0",-2,0)+INDEX(BalePrices[High],MATCH(BaleMover[[#This Row],[Bale_ID]],BalePrices[Bale_ID],0))),0))</f>
        <v>387342.28656128445</v>
      </c>
    </row>
    <row r="121" spans="2:25" x14ac:dyDescent="0.2">
      <c r="B121" s="545" t="s">
        <v>873</v>
      </c>
      <c r="C121" s="499" t="s">
        <v>706</v>
      </c>
      <c r="D121" s="499"/>
      <c r="E121" s="499"/>
      <c r="F121" s="499" t="s">
        <v>1992</v>
      </c>
      <c r="G121" s="499" t="s">
        <v>2053</v>
      </c>
      <c r="H121" s="499" t="s">
        <v>1287</v>
      </c>
      <c r="I121" s="499" t="s">
        <v>1021</v>
      </c>
      <c r="J121" s="499" t="s">
        <v>751</v>
      </c>
      <c r="K121" s="499" t="s">
        <v>2048</v>
      </c>
      <c r="L121" s="499">
        <v>20</v>
      </c>
      <c r="M121" s="499" t="s">
        <v>2073</v>
      </c>
      <c r="N121" s="499" t="s">
        <v>2074</v>
      </c>
      <c r="O121" s="525">
        <v>2420.888868026916</v>
      </c>
      <c r="P121" s="499">
        <v>25</v>
      </c>
      <c r="Q121" s="499"/>
      <c r="R121" s="499"/>
      <c r="S121" s="525"/>
      <c r="T121" s="525">
        <v>0</v>
      </c>
      <c r="U121" s="525">
        <v>1</v>
      </c>
      <c r="V121" s="525">
        <v>60522.221700672904</v>
      </c>
      <c r="W121" s="589">
        <f>IF(AND(BaleMover[[#This Row],[Scenario_ID]]="S3",BaleMover[[#This Row],[MRF_ID]]="05"),0,IFERROR(BaleMover[[#This Row],[Total_Baled_tons]]*(IF(BaleMover[[#This Row],[Scenario_ID]]="S0",-2,0)+INDEX(BalePrices[Low],MATCH(BaleMover[[#This Row],[Bale_ID]],BalePrices[Bale_ID],0))),0))</f>
        <v>193671.10944215328</v>
      </c>
      <c r="X121" s="397">
        <f>IF(AND(BaleMover[[#This Row],[Scenario_ID]]="S3",BaleMover[[#This Row],[MRF_ID]]="05"),0,IFERROR(BaleMover[[#This Row],[Total_Baled_tons]]*(IF(BaleMover[[#This Row],[Scenario_ID]]="S0",-2,0)+INDEX(BalePrices[Mid-Point],MATCH(BaleMover[[#This Row],[Bale_ID]],BalePrices[Bale_ID],0))),0))</f>
        <v>290506.66416322993</v>
      </c>
      <c r="Y121" s="397">
        <f>IF(AND(BaleMover[[#This Row],[Scenario_ID]]="S3",BaleMover[[#This Row],[MRF_ID]]="05"),0,IFERROR(BaleMover[[#This Row],[Total_Baled_tons]]*(IF(BaleMover[[#This Row],[Scenario_ID]]="S0",-2,0)+INDEX(BalePrices[High],MATCH(BaleMover[[#This Row],[Bale_ID]],BalePrices[Bale_ID],0))),0))</f>
        <v>387342.21888430655</v>
      </c>
    </row>
    <row r="122" spans="2:25" x14ac:dyDescent="0.2">
      <c r="B122" s="545" t="s">
        <v>876</v>
      </c>
      <c r="C122" s="499" t="s">
        <v>712</v>
      </c>
      <c r="D122" s="499"/>
      <c r="E122" s="499"/>
      <c r="F122" s="499" t="s">
        <v>1993</v>
      </c>
      <c r="G122" s="499" t="s">
        <v>2075</v>
      </c>
      <c r="H122" s="499" t="s">
        <v>1288</v>
      </c>
      <c r="I122" s="499" t="s">
        <v>969</v>
      </c>
      <c r="J122" s="499" t="s">
        <v>970</v>
      </c>
      <c r="K122" s="499" t="s">
        <v>2076</v>
      </c>
      <c r="L122" s="499">
        <v>5</v>
      </c>
      <c r="M122" s="499" t="s">
        <v>2077</v>
      </c>
      <c r="N122" s="499" t="s">
        <v>2058</v>
      </c>
      <c r="O122" s="525">
        <v>83832.937839204184</v>
      </c>
      <c r="P122" s="499">
        <v>50</v>
      </c>
      <c r="Q122" s="499"/>
      <c r="R122" s="499"/>
      <c r="S122" s="525"/>
      <c r="T122" s="525">
        <v>0</v>
      </c>
      <c r="U122" s="525">
        <v>1</v>
      </c>
      <c r="V122" s="525">
        <v>4191646.8919602092</v>
      </c>
      <c r="W122" s="589">
        <f>IF(AND(BaleMover[[#This Row],[Scenario_ID]]="S3",BaleMover[[#This Row],[MRF_ID]]="05"),0,IFERROR(BaleMover[[#This Row],[Total_Baled_tons]]*(IF(BaleMover[[#This Row],[Scenario_ID]]="S0",-2,0)+INDEX(BalePrices[Low],MATCH(BaleMover[[#This Row],[Bale_ID]],BalePrices[Bale_ID],0))),0))</f>
        <v>1928157.5703016962</v>
      </c>
      <c r="X122" s="397">
        <f>IF(AND(BaleMover[[#This Row],[Scenario_ID]]="S3",BaleMover[[#This Row],[MRF_ID]]="05"),0,IFERROR(BaleMover[[#This Row],[Total_Baled_tons]]*(IF(BaleMover[[#This Row],[Scenario_ID]]="S0",-2,0)+INDEX(BalePrices[Mid-Point],MATCH(BaleMover[[#This Row],[Bale_ID]],BalePrices[Bale_ID],0))),0))</f>
        <v>7167716.1852519577</v>
      </c>
      <c r="Y122" s="397">
        <f>IF(AND(BaleMover[[#This Row],[Scenario_ID]]="S3",BaleMover[[#This Row],[MRF_ID]]="05"),0,IFERROR(BaleMover[[#This Row],[Total_Baled_tons]]*(IF(BaleMover[[#This Row],[Scenario_ID]]="S0",-2,0)+INDEX(BalePrices[High],MATCH(BaleMover[[#This Row],[Bale_ID]],BalePrices[Bale_ID],0))),0))</f>
        <v>12407274.800202219</v>
      </c>
    </row>
    <row r="123" spans="2:25" x14ac:dyDescent="0.2">
      <c r="B123" s="545" t="s">
        <v>875</v>
      </c>
      <c r="C123" s="499" t="s">
        <v>712</v>
      </c>
      <c r="D123" s="499"/>
      <c r="E123" s="499"/>
      <c r="F123" s="499" t="s">
        <v>1993</v>
      </c>
      <c r="G123" s="499" t="s">
        <v>2078</v>
      </c>
      <c r="H123" s="499" t="s">
        <v>1289</v>
      </c>
      <c r="I123" s="499" t="s">
        <v>969</v>
      </c>
      <c r="J123" s="499" t="s">
        <v>970</v>
      </c>
      <c r="K123" s="499" t="s">
        <v>2076</v>
      </c>
      <c r="L123" s="499">
        <v>5</v>
      </c>
      <c r="M123" s="499" t="s">
        <v>2077</v>
      </c>
      <c r="N123" s="499" t="s">
        <v>2058</v>
      </c>
      <c r="O123" s="525">
        <v>95094.926174471082</v>
      </c>
      <c r="P123" s="499">
        <v>50</v>
      </c>
      <c r="Q123" s="499"/>
      <c r="R123" s="499"/>
      <c r="S123" s="525"/>
      <c r="T123" s="525">
        <v>0</v>
      </c>
      <c r="U123" s="525">
        <v>1</v>
      </c>
      <c r="V123" s="525">
        <v>4754746.308723554</v>
      </c>
      <c r="W123" s="589">
        <f>IF(AND(BaleMover[[#This Row],[Scenario_ID]]="S3",BaleMover[[#This Row],[MRF_ID]]="05"),0,IFERROR(BaleMover[[#This Row],[Total_Baled_tons]]*(IF(BaleMover[[#This Row],[Scenario_ID]]="S0",-2,0)+INDEX(BalePrices[Low],MATCH(BaleMover[[#This Row],[Bale_ID]],BalePrices[Bale_ID],0))),0))</f>
        <v>2377373.154361777</v>
      </c>
      <c r="X123" s="397">
        <f>IF(AND(BaleMover[[#This Row],[Scenario_ID]]="S3",BaleMover[[#This Row],[MRF_ID]]="05"),0,IFERROR(BaleMover[[#This Row],[Total_Baled_tons]]*(IF(BaleMover[[#This Row],[Scenario_ID]]="S0",-2,0)+INDEX(BalePrices[Mid-Point],MATCH(BaleMover[[#This Row],[Bale_ID]],BalePrices[Bale_ID],0))),0))</f>
        <v>8320806.0402662195</v>
      </c>
      <c r="Y123" s="397">
        <f>IF(AND(BaleMover[[#This Row],[Scenario_ID]]="S3",BaleMover[[#This Row],[MRF_ID]]="05"),0,IFERROR(BaleMover[[#This Row],[Total_Baled_tons]]*(IF(BaleMover[[#This Row],[Scenario_ID]]="S0",-2,0)+INDEX(BalePrices[High],MATCH(BaleMover[[#This Row],[Bale_ID]],BalePrices[Bale_ID],0))),0))</f>
        <v>14264238.926170662</v>
      </c>
    </row>
    <row r="124" spans="2:25" x14ac:dyDescent="0.2">
      <c r="B124" s="545" t="s">
        <v>874</v>
      </c>
      <c r="C124" s="499" t="s">
        <v>712</v>
      </c>
      <c r="D124" s="499"/>
      <c r="E124" s="499"/>
      <c r="F124" s="499" t="s">
        <v>1993</v>
      </c>
      <c r="G124" s="499" t="s">
        <v>2079</v>
      </c>
      <c r="H124" s="499" t="s">
        <v>1290</v>
      </c>
      <c r="I124" s="499" t="s">
        <v>969</v>
      </c>
      <c r="J124" s="499" t="s">
        <v>970</v>
      </c>
      <c r="K124" s="499" t="s">
        <v>2076</v>
      </c>
      <c r="L124" s="499">
        <v>5</v>
      </c>
      <c r="M124" s="499" t="s">
        <v>2077</v>
      </c>
      <c r="N124" s="499" t="s">
        <v>2058</v>
      </c>
      <c r="O124" s="525">
        <v>95875.724684872373</v>
      </c>
      <c r="P124" s="499">
        <v>50</v>
      </c>
      <c r="Q124" s="499"/>
      <c r="R124" s="499"/>
      <c r="S124" s="525"/>
      <c r="T124" s="525">
        <v>0</v>
      </c>
      <c r="U124" s="525">
        <v>1</v>
      </c>
      <c r="V124" s="525">
        <v>4793786.2342436183</v>
      </c>
      <c r="W124" s="589">
        <f>IF(AND(BaleMover[[#This Row],[Scenario_ID]]="S3",BaleMover[[#This Row],[MRF_ID]]="05"),0,IFERROR(BaleMover[[#This Row],[Total_Baled_tons]]*(IF(BaleMover[[#This Row],[Scenario_ID]]="S0",-2,0)+INDEX(BalePrices[Low],MATCH(BaleMover[[#This Row],[Bale_ID]],BalePrices[Bale_ID],0))),0))</f>
        <v>2396893.1171218092</v>
      </c>
      <c r="X124" s="397">
        <f>IF(AND(BaleMover[[#This Row],[Scenario_ID]]="S3",BaleMover[[#This Row],[MRF_ID]]="05"),0,IFERROR(BaleMover[[#This Row],[Total_Baled_tons]]*(IF(BaleMover[[#This Row],[Scenario_ID]]="S0",-2,0)+INDEX(BalePrices[Mid-Point],MATCH(BaleMover[[#This Row],[Bale_ID]],BalePrices[Bale_ID],0))),0))</f>
        <v>8389125.9099263325</v>
      </c>
      <c r="Y124" s="397">
        <f>IF(AND(BaleMover[[#This Row],[Scenario_ID]]="S3",BaleMover[[#This Row],[MRF_ID]]="05"),0,IFERROR(BaleMover[[#This Row],[Total_Baled_tons]]*(IF(BaleMover[[#This Row],[Scenario_ID]]="S0",-2,0)+INDEX(BalePrices[High],MATCH(BaleMover[[#This Row],[Bale_ID]],BalePrices[Bale_ID],0))),0))</f>
        <v>14381358.702730857</v>
      </c>
    </row>
    <row r="125" spans="2:25" x14ac:dyDescent="0.2">
      <c r="B125" s="545" t="s">
        <v>873</v>
      </c>
      <c r="C125" s="499" t="s">
        <v>712</v>
      </c>
      <c r="D125" s="499"/>
      <c r="E125" s="499"/>
      <c r="F125" s="499" t="s">
        <v>1993</v>
      </c>
      <c r="G125" s="499" t="s">
        <v>2080</v>
      </c>
      <c r="H125" s="499" t="s">
        <v>1291</v>
      </c>
      <c r="I125" s="499" t="s">
        <v>969</v>
      </c>
      <c r="J125" s="499" t="s">
        <v>970</v>
      </c>
      <c r="K125" s="499" t="s">
        <v>2076</v>
      </c>
      <c r="L125" s="499">
        <v>5</v>
      </c>
      <c r="M125" s="499" t="s">
        <v>2077</v>
      </c>
      <c r="N125" s="499" t="s">
        <v>2058</v>
      </c>
      <c r="O125" s="525">
        <v>95887.278403669203</v>
      </c>
      <c r="P125" s="499">
        <v>50</v>
      </c>
      <c r="Q125" s="499"/>
      <c r="R125" s="499"/>
      <c r="S125" s="525"/>
      <c r="T125" s="525">
        <v>0</v>
      </c>
      <c r="U125" s="525">
        <v>1</v>
      </c>
      <c r="V125" s="525">
        <v>4794363.9201834602</v>
      </c>
      <c r="W125" s="589">
        <f>IF(AND(BaleMover[[#This Row],[Scenario_ID]]="S3",BaleMover[[#This Row],[MRF_ID]]="05"),0,IFERROR(BaleMover[[#This Row],[Total_Baled_tons]]*(IF(BaleMover[[#This Row],[Scenario_ID]]="S0",-2,0)+INDEX(BalePrices[Low],MATCH(BaleMover[[#This Row],[Bale_ID]],BalePrices[Bale_ID],0))),0))</f>
        <v>2397181.9600917301</v>
      </c>
      <c r="X125" s="397">
        <f>IF(AND(BaleMover[[#This Row],[Scenario_ID]]="S3",BaleMover[[#This Row],[MRF_ID]]="05"),0,IFERROR(BaleMover[[#This Row],[Total_Baled_tons]]*(IF(BaleMover[[#This Row],[Scenario_ID]]="S0",-2,0)+INDEX(BalePrices[Mid-Point],MATCH(BaleMover[[#This Row],[Bale_ID]],BalePrices[Bale_ID],0))),0))</f>
        <v>8390136.8603210561</v>
      </c>
      <c r="Y125" s="397">
        <f>IF(AND(BaleMover[[#This Row],[Scenario_ID]]="S3",BaleMover[[#This Row],[MRF_ID]]="05"),0,IFERROR(BaleMover[[#This Row],[Total_Baled_tons]]*(IF(BaleMover[[#This Row],[Scenario_ID]]="S0",-2,0)+INDEX(BalePrices[High],MATCH(BaleMover[[#This Row],[Bale_ID]],BalePrices[Bale_ID],0))),0))</f>
        <v>14383091.76055038</v>
      </c>
    </row>
    <row r="126" spans="2:25" x14ac:dyDescent="0.2">
      <c r="B126" s="545" t="s">
        <v>876</v>
      </c>
      <c r="C126" s="499" t="s">
        <v>712</v>
      </c>
      <c r="D126" s="499"/>
      <c r="E126" s="499"/>
      <c r="F126" s="499" t="s">
        <v>1993</v>
      </c>
      <c r="G126" s="499" t="s">
        <v>2075</v>
      </c>
      <c r="H126" s="499" t="s">
        <v>1292</v>
      </c>
      <c r="I126" s="499" t="s">
        <v>971</v>
      </c>
      <c r="J126" s="499" t="s">
        <v>972</v>
      </c>
      <c r="K126" s="499" t="s">
        <v>2076</v>
      </c>
      <c r="L126" s="499">
        <v>5</v>
      </c>
      <c r="M126" s="499" t="s">
        <v>2077</v>
      </c>
      <c r="N126" s="499" t="s">
        <v>2058</v>
      </c>
      <c r="O126" s="525">
        <v>0</v>
      </c>
      <c r="P126" s="499" t="s">
        <v>2054</v>
      </c>
      <c r="Q126" s="499"/>
      <c r="R126" s="499"/>
      <c r="S126" s="525"/>
      <c r="T126" s="525">
        <v>0</v>
      </c>
      <c r="U126" s="525">
        <v>1</v>
      </c>
      <c r="V126" s="525" t="s">
        <v>2054</v>
      </c>
      <c r="W126" s="589">
        <f>IF(AND(BaleMover[[#This Row],[Scenario_ID]]="S3",BaleMover[[#This Row],[MRF_ID]]="05"),0,IFERROR(BaleMover[[#This Row],[Total_Baled_tons]]*(IF(BaleMover[[#This Row],[Scenario_ID]]="S0",-2,0)+INDEX(BalePrices[Low],MATCH(BaleMover[[#This Row],[Bale_ID]],BalePrices[Bale_ID],0))),0))</f>
        <v>0</v>
      </c>
      <c r="X126" s="397">
        <f>IF(AND(BaleMover[[#This Row],[Scenario_ID]]="S3",BaleMover[[#This Row],[MRF_ID]]="05"),0,IFERROR(BaleMover[[#This Row],[Total_Baled_tons]]*(IF(BaleMover[[#This Row],[Scenario_ID]]="S0",-2,0)+INDEX(BalePrices[Mid-Point],MATCH(BaleMover[[#This Row],[Bale_ID]],BalePrices[Bale_ID],0))),0))</f>
        <v>0</v>
      </c>
      <c r="Y126" s="397">
        <f>IF(AND(BaleMover[[#This Row],[Scenario_ID]]="S3",BaleMover[[#This Row],[MRF_ID]]="05"),0,IFERROR(BaleMover[[#This Row],[Total_Baled_tons]]*(IF(BaleMover[[#This Row],[Scenario_ID]]="S0",-2,0)+INDEX(BalePrices[High],MATCH(BaleMover[[#This Row],[Bale_ID]],BalePrices[Bale_ID],0))),0))</f>
        <v>0</v>
      </c>
    </row>
    <row r="127" spans="2:25" x14ac:dyDescent="0.2">
      <c r="B127" s="545" t="s">
        <v>875</v>
      </c>
      <c r="C127" s="499" t="s">
        <v>712</v>
      </c>
      <c r="D127" s="499"/>
      <c r="E127" s="499"/>
      <c r="F127" s="499" t="s">
        <v>1993</v>
      </c>
      <c r="G127" s="499" t="s">
        <v>2078</v>
      </c>
      <c r="H127" s="499" t="s">
        <v>1293</v>
      </c>
      <c r="I127" s="499" t="s">
        <v>971</v>
      </c>
      <c r="J127" s="499" t="s">
        <v>972</v>
      </c>
      <c r="K127" s="499" t="s">
        <v>2076</v>
      </c>
      <c r="L127" s="499">
        <v>5</v>
      </c>
      <c r="M127" s="499" t="s">
        <v>2077</v>
      </c>
      <c r="N127" s="499" t="s">
        <v>2058</v>
      </c>
      <c r="O127" s="525">
        <v>0</v>
      </c>
      <c r="P127" s="499" t="s">
        <v>2054</v>
      </c>
      <c r="Q127" s="499"/>
      <c r="R127" s="499"/>
      <c r="S127" s="525"/>
      <c r="T127" s="525">
        <v>0</v>
      </c>
      <c r="U127" s="525">
        <v>1</v>
      </c>
      <c r="V127" s="525" t="s">
        <v>2054</v>
      </c>
      <c r="W127" s="589">
        <f>IF(AND(BaleMover[[#This Row],[Scenario_ID]]="S3",BaleMover[[#This Row],[MRF_ID]]="05"),0,IFERROR(BaleMover[[#This Row],[Total_Baled_tons]]*(IF(BaleMover[[#This Row],[Scenario_ID]]="S0",-2,0)+INDEX(BalePrices[Low],MATCH(BaleMover[[#This Row],[Bale_ID]],BalePrices[Bale_ID],0))),0))</f>
        <v>0</v>
      </c>
      <c r="X127" s="397">
        <f>IF(AND(BaleMover[[#This Row],[Scenario_ID]]="S3",BaleMover[[#This Row],[MRF_ID]]="05"),0,IFERROR(BaleMover[[#This Row],[Total_Baled_tons]]*(IF(BaleMover[[#This Row],[Scenario_ID]]="S0",-2,0)+INDEX(BalePrices[Mid-Point],MATCH(BaleMover[[#This Row],[Bale_ID]],BalePrices[Bale_ID],0))),0))</f>
        <v>0</v>
      </c>
      <c r="Y127" s="397">
        <f>IF(AND(BaleMover[[#This Row],[Scenario_ID]]="S3",BaleMover[[#This Row],[MRF_ID]]="05"),0,IFERROR(BaleMover[[#This Row],[Total_Baled_tons]]*(IF(BaleMover[[#This Row],[Scenario_ID]]="S0",-2,0)+INDEX(BalePrices[High],MATCH(BaleMover[[#This Row],[Bale_ID]],BalePrices[Bale_ID],0))),0))</f>
        <v>0</v>
      </c>
    </row>
    <row r="128" spans="2:25" x14ac:dyDescent="0.2">
      <c r="B128" s="545" t="s">
        <v>874</v>
      </c>
      <c r="C128" s="499" t="s">
        <v>712</v>
      </c>
      <c r="D128" s="499"/>
      <c r="E128" s="499"/>
      <c r="F128" s="499" t="s">
        <v>1993</v>
      </c>
      <c r="G128" s="499" t="s">
        <v>2079</v>
      </c>
      <c r="H128" s="499" t="s">
        <v>1294</v>
      </c>
      <c r="I128" s="499" t="s">
        <v>971</v>
      </c>
      <c r="J128" s="499" t="s">
        <v>972</v>
      </c>
      <c r="K128" s="499" t="s">
        <v>2076</v>
      </c>
      <c r="L128" s="499">
        <v>5</v>
      </c>
      <c r="M128" s="499" t="s">
        <v>2077</v>
      </c>
      <c r="N128" s="499" t="s">
        <v>2058</v>
      </c>
      <c r="O128" s="525">
        <v>0</v>
      </c>
      <c r="P128" s="499" t="s">
        <v>2054</v>
      </c>
      <c r="Q128" s="499"/>
      <c r="R128" s="499"/>
      <c r="S128" s="525"/>
      <c r="T128" s="525">
        <v>0</v>
      </c>
      <c r="U128" s="525">
        <v>1</v>
      </c>
      <c r="V128" s="525" t="s">
        <v>2054</v>
      </c>
      <c r="W128" s="589">
        <f>IF(AND(BaleMover[[#This Row],[Scenario_ID]]="S3",BaleMover[[#This Row],[MRF_ID]]="05"),0,IFERROR(BaleMover[[#This Row],[Total_Baled_tons]]*(IF(BaleMover[[#This Row],[Scenario_ID]]="S0",-2,0)+INDEX(BalePrices[Low],MATCH(BaleMover[[#This Row],[Bale_ID]],BalePrices[Bale_ID],0))),0))</f>
        <v>0</v>
      </c>
      <c r="X128" s="397">
        <f>IF(AND(BaleMover[[#This Row],[Scenario_ID]]="S3",BaleMover[[#This Row],[MRF_ID]]="05"),0,IFERROR(BaleMover[[#This Row],[Total_Baled_tons]]*(IF(BaleMover[[#This Row],[Scenario_ID]]="S0",-2,0)+INDEX(BalePrices[Mid-Point],MATCH(BaleMover[[#This Row],[Bale_ID]],BalePrices[Bale_ID],0))),0))</f>
        <v>0</v>
      </c>
      <c r="Y128" s="397">
        <f>IF(AND(BaleMover[[#This Row],[Scenario_ID]]="S3",BaleMover[[#This Row],[MRF_ID]]="05"),0,IFERROR(BaleMover[[#This Row],[Total_Baled_tons]]*(IF(BaleMover[[#This Row],[Scenario_ID]]="S0",-2,0)+INDEX(BalePrices[High],MATCH(BaleMover[[#This Row],[Bale_ID]],BalePrices[Bale_ID],0))),0))</f>
        <v>0</v>
      </c>
    </row>
    <row r="129" spans="2:25" x14ac:dyDescent="0.2">
      <c r="B129" s="545" t="s">
        <v>873</v>
      </c>
      <c r="C129" s="499" t="s">
        <v>712</v>
      </c>
      <c r="D129" s="499"/>
      <c r="E129" s="499"/>
      <c r="F129" s="499" t="s">
        <v>1993</v>
      </c>
      <c r="G129" s="499" t="s">
        <v>2080</v>
      </c>
      <c r="H129" s="499" t="s">
        <v>1295</v>
      </c>
      <c r="I129" s="499" t="s">
        <v>971</v>
      </c>
      <c r="J129" s="499" t="s">
        <v>972</v>
      </c>
      <c r="K129" s="499" t="s">
        <v>2076</v>
      </c>
      <c r="L129" s="499">
        <v>5</v>
      </c>
      <c r="M129" s="499" t="s">
        <v>2077</v>
      </c>
      <c r="N129" s="499" t="s">
        <v>2058</v>
      </c>
      <c r="O129" s="525">
        <v>0</v>
      </c>
      <c r="P129" s="499" t="s">
        <v>2054</v>
      </c>
      <c r="Q129" s="499"/>
      <c r="R129" s="499"/>
      <c r="S129" s="525"/>
      <c r="T129" s="525">
        <v>0</v>
      </c>
      <c r="U129" s="525">
        <v>1</v>
      </c>
      <c r="V129" s="525" t="s">
        <v>2054</v>
      </c>
      <c r="W129" s="589">
        <f>IF(AND(BaleMover[[#This Row],[Scenario_ID]]="S3",BaleMover[[#This Row],[MRF_ID]]="05"),0,IFERROR(BaleMover[[#This Row],[Total_Baled_tons]]*(IF(BaleMover[[#This Row],[Scenario_ID]]="S0",-2,0)+INDEX(BalePrices[Low],MATCH(BaleMover[[#This Row],[Bale_ID]],BalePrices[Bale_ID],0))),0))</f>
        <v>0</v>
      </c>
      <c r="X129" s="397">
        <f>IF(AND(BaleMover[[#This Row],[Scenario_ID]]="S3",BaleMover[[#This Row],[MRF_ID]]="05"),0,IFERROR(BaleMover[[#This Row],[Total_Baled_tons]]*(IF(BaleMover[[#This Row],[Scenario_ID]]="S0",-2,0)+INDEX(BalePrices[Mid-Point],MATCH(BaleMover[[#This Row],[Bale_ID]],BalePrices[Bale_ID],0))),0))</f>
        <v>0</v>
      </c>
      <c r="Y129" s="397">
        <f>IF(AND(BaleMover[[#This Row],[Scenario_ID]]="S3",BaleMover[[#This Row],[MRF_ID]]="05"),0,IFERROR(BaleMover[[#This Row],[Total_Baled_tons]]*(IF(BaleMover[[#This Row],[Scenario_ID]]="S0",-2,0)+INDEX(BalePrices[High],MATCH(BaleMover[[#This Row],[Bale_ID]],BalePrices[Bale_ID],0))),0))</f>
        <v>0</v>
      </c>
    </row>
    <row r="130" spans="2:25" x14ac:dyDescent="0.2">
      <c r="B130" s="545" t="s">
        <v>876</v>
      </c>
      <c r="C130" s="499" t="s">
        <v>712</v>
      </c>
      <c r="D130" s="499"/>
      <c r="E130" s="499"/>
      <c r="F130" s="499" t="s">
        <v>1993</v>
      </c>
      <c r="G130" s="499" t="s">
        <v>2075</v>
      </c>
      <c r="H130" s="499" t="s">
        <v>1296</v>
      </c>
      <c r="I130" s="499" t="s">
        <v>973</v>
      </c>
      <c r="J130" s="499" t="s">
        <v>974</v>
      </c>
      <c r="K130" s="499" t="s">
        <v>2076</v>
      </c>
      <c r="L130" s="499">
        <v>5</v>
      </c>
      <c r="M130" s="499" t="s">
        <v>2077</v>
      </c>
      <c r="N130" s="499" t="s">
        <v>2058</v>
      </c>
      <c r="O130" s="525">
        <v>524.99596609835976</v>
      </c>
      <c r="P130" s="499">
        <v>50</v>
      </c>
      <c r="Q130" s="499"/>
      <c r="R130" s="499"/>
      <c r="S130" s="525"/>
      <c r="T130" s="525">
        <v>0</v>
      </c>
      <c r="U130" s="525">
        <v>1</v>
      </c>
      <c r="V130" s="525">
        <v>26249.798304917989</v>
      </c>
      <c r="W130" s="589">
        <f>IF(AND(BaleMover[[#This Row],[Scenario_ID]]="S3",BaleMover[[#This Row],[MRF_ID]]="05"),0,IFERROR(BaleMover[[#This Row],[Total_Baled_tons]]*(IF(BaleMover[[#This Row],[Scenario_ID]]="S0",-2,0)+INDEX(BalePrices[Low],MATCH(BaleMover[[#This Row],[Bale_ID]],BalePrices[Bale_ID],0))),0))</f>
        <v>1574.9878982950793</v>
      </c>
      <c r="X130" s="397">
        <f>IF(AND(BaleMover[[#This Row],[Scenario_ID]]="S3",BaleMover[[#This Row],[MRF_ID]]="05"),0,IFERROR(BaleMover[[#This Row],[Total_Baled_tons]]*(IF(BaleMover[[#This Row],[Scenario_ID]]="S0",-2,0)+INDEX(BalePrices[Mid-Point],MATCH(BaleMover[[#This Row],[Bale_ID]],BalePrices[Bale_ID],0))),0))</f>
        <v>16012.376965999973</v>
      </c>
      <c r="Y130" s="397">
        <f>IF(AND(BaleMover[[#This Row],[Scenario_ID]]="S3",BaleMover[[#This Row],[MRF_ID]]="05"),0,IFERROR(BaleMover[[#This Row],[Total_Baled_tons]]*(IF(BaleMover[[#This Row],[Scenario_ID]]="S0",-2,0)+INDEX(BalePrices[High],MATCH(BaleMover[[#This Row],[Bale_ID]],BalePrices[Bale_ID],0))),0))</f>
        <v>30449.766033704866</v>
      </c>
    </row>
    <row r="131" spans="2:25" x14ac:dyDescent="0.2">
      <c r="B131" s="545" t="s">
        <v>875</v>
      </c>
      <c r="C131" s="499" t="s">
        <v>712</v>
      </c>
      <c r="D131" s="499"/>
      <c r="E131" s="499"/>
      <c r="F131" s="499" t="s">
        <v>1993</v>
      </c>
      <c r="G131" s="499" t="s">
        <v>2078</v>
      </c>
      <c r="H131" s="499" t="s">
        <v>1297</v>
      </c>
      <c r="I131" s="499" t="s">
        <v>973</v>
      </c>
      <c r="J131" s="499" t="s">
        <v>974</v>
      </c>
      <c r="K131" s="499" t="s">
        <v>2076</v>
      </c>
      <c r="L131" s="499">
        <v>5</v>
      </c>
      <c r="M131" s="499" t="s">
        <v>2077</v>
      </c>
      <c r="N131" s="499" t="s">
        <v>2058</v>
      </c>
      <c r="O131" s="525">
        <v>37142.199936910984</v>
      </c>
      <c r="P131" s="499">
        <v>50</v>
      </c>
      <c r="Q131" s="499"/>
      <c r="R131" s="499"/>
      <c r="S131" s="525"/>
      <c r="T131" s="525">
        <v>0</v>
      </c>
      <c r="U131" s="525">
        <v>1</v>
      </c>
      <c r="V131" s="525">
        <v>1857109.9968455492</v>
      </c>
      <c r="W131" s="589">
        <f>IF(AND(BaleMover[[#This Row],[Scenario_ID]]="S3",BaleMover[[#This Row],[MRF_ID]]="05"),0,IFERROR(BaleMover[[#This Row],[Total_Baled_tons]]*(IF(BaleMover[[#This Row],[Scenario_ID]]="S0",-2,0)+INDEX(BalePrices[Low],MATCH(BaleMover[[#This Row],[Bale_ID]],BalePrices[Bale_ID],0))),0))</f>
        <v>185710.99968455493</v>
      </c>
      <c r="X131" s="397">
        <f>IF(AND(BaleMover[[#This Row],[Scenario_ID]]="S3",BaleMover[[#This Row],[MRF_ID]]="05"),0,IFERROR(BaleMover[[#This Row],[Total_Baled_tons]]*(IF(BaleMover[[#This Row],[Scenario_ID]]="S0",-2,0)+INDEX(BalePrices[Mid-Point],MATCH(BaleMover[[#This Row],[Bale_ID]],BalePrices[Bale_ID],0))),0))</f>
        <v>1207121.497949607</v>
      </c>
      <c r="Y131" s="397">
        <f>IF(AND(BaleMover[[#This Row],[Scenario_ID]]="S3",BaleMover[[#This Row],[MRF_ID]]="05"),0,IFERROR(BaleMover[[#This Row],[Total_Baled_tons]]*(IF(BaleMover[[#This Row],[Scenario_ID]]="S0",-2,0)+INDEX(BalePrices[High],MATCH(BaleMover[[#This Row],[Bale_ID]],BalePrices[Bale_ID],0))),0))</f>
        <v>2228531.996214659</v>
      </c>
    </row>
    <row r="132" spans="2:25" x14ac:dyDescent="0.2">
      <c r="B132" s="545" t="s">
        <v>874</v>
      </c>
      <c r="C132" s="499" t="s">
        <v>712</v>
      </c>
      <c r="D132" s="499"/>
      <c r="E132" s="499"/>
      <c r="F132" s="499" t="s">
        <v>1993</v>
      </c>
      <c r="G132" s="499" t="s">
        <v>2079</v>
      </c>
      <c r="H132" s="499" t="s">
        <v>1298</v>
      </c>
      <c r="I132" s="499" t="s">
        <v>973</v>
      </c>
      <c r="J132" s="499" t="s">
        <v>974</v>
      </c>
      <c r="K132" s="499" t="s">
        <v>2076</v>
      </c>
      <c r="L132" s="499">
        <v>5</v>
      </c>
      <c r="M132" s="499" t="s">
        <v>2077</v>
      </c>
      <c r="N132" s="499" t="s">
        <v>2058</v>
      </c>
      <c r="O132" s="525">
        <v>38788.286555179679</v>
      </c>
      <c r="P132" s="499">
        <v>50</v>
      </c>
      <c r="Q132" s="499"/>
      <c r="R132" s="499"/>
      <c r="S132" s="525"/>
      <c r="T132" s="525">
        <v>0</v>
      </c>
      <c r="U132" s="525">
        <v>1</v>
      </c>
      <c r="V132" s="525">
        <v>1939414.3277589839</v>
      </c>
      <c r="W132" s="589">
        <f>IF(AND(BaleMover[[#This Row],[Scenario_ID]]="S3",BaleMover[[#This Row],[MRF_ID]]="05"),0,IFERROR(BaleMover[[#This Row],[Total_Baled_tons]]*(IF(BaleMover[[#This Row],[Scenario_ID]]="S0",-2,0)+INDEX(BalePrices[Low],MATCH(BaleMover[[#This Row],[Bale_ID]],BalePrices[Bale_ID],0))),0))</f>
        <v>193941.4327758984</v>
      </c>
      <c r="X132" s="397">
        <f>IF(AND(BaleMover[[#This Row],[Scenario_ID]]="S3",BaleMover[[#This Row],[MRF_ID]]="05"),0,IFERROR(BaleMover[[#This Row],[Total_Baled_tons]]*(IF(BaleMover[[#This Row],[Scenario_ID]]="S0",-2,0)+INDEX(BalePrices[Mid-Point],MATCH(BaleMover[[#This Row],[Bale_ID]],BalePrices[Bale_ID],0))),0))</f>
        <v>1260619.3130433396</v>
      </c>
      <c r="Y132" s="397">
        <f>IF(AND(BaleMover[[#This Row],[Scenario_ID]]="S3",BaleMover[[#This Row],[MRF_ID]]="05"),0,IFERROR(BaleMover[[#This Row],[Total_Baled_tons]]*(IF(BaleMover[[#This Row],[Scenario_ID]]="S0",-2,0)+INDEX(BalePrices[High],MATCH(BaleMover[[#This Row],[Bale_ID]],BalePrices[Bale_ID],0))),0))</f>
        <v>2327297.1933107809</v>
      </c>
    </row>
    <row r="133" spans="2:25" x14ac:dyDescent="0.2">
      <c r="B133" s="545" t="s">
        <v>873</v>
      </c>
      <c r="C133" s="499" t="s">
        <v>712</v>
      </c>
      <c r="D133" s="499"/>
      <c r="E133" s="499"/>
      <c r="F133" s="499" t="s">
        <v>1993</v>
      </c>
      <c r="G133" s="499" t="s">
        <v>2080</v>
      </c>
      <c r="H133" s="499" t="s">
        <v>1299</v>
      </c>
      <c r="I133" s="499" t="s">
        <v>973</v>
      </c>
      <c r="J133" s="499" t="s">
        <v>974</v>
      </c>
      <c r="K133" s="499" t="s">
        <v>2076</v>
      </c>
      <c r="L133" s="499">
        <v>5</v>
      </c>
      <c r="M133" s="499" t="s">
        <v>2077</v>
      </c>
      <c r="N133" s="499" t="s">
        <v>2058</v>
      </c>
      <c r="O133" s="525">
        <v>38792.790118570025</v>
      </c>
      <c r="P133" s="499">
        <v>50</v>
      </c>
      <c r="Q133" s="499"/>
      <c r="R133" s="499"/>
      <c r="S133" s="525"/>
      <c r="T133" s="525">
        <v>0</v>
      </c>
      <c r="U133" s="525">
        <v>1</v>
      </c>
      <c r="V133" s="525">
        <v>1939639.5059285013</v>
      </c>
      <c r="W133" s="589">
        <f>IF(AND(BaleMover[[#This Row],[Scenario_ID]]="S3",BaleMover[[#This Row],[MRF_ID]]="05"),0,IFERROR(BaleMover[[#This Row],[Total_Baled_tons]]*(IF(BaleMover[[#This Row],[Scenario_ID]]="S0",-2,0)+INDEX(BalePrices[Low],MATCH(BaleMover[[#This Row],[Bale_ID]],BalePrices[Bale_ID],0))),0))</f>
        <v>193963.95059285013</v>
      </c>
      <c r="X133" s="397">
        <f>IF(AND(BaleMover[[#This Row],[Scenario_ID]]="S3",BaleMover[[#This Row],[MRF_ID]]="05"),0,IFERROR(BaleMover[[#This Row],[Total_Baled_tons]]*(IF(BaleMover[[#This Row],[Scenario_ID]]="S0",-2,0)+INDEX(BalePrices[Mid-Point],MATCH(BaleMover[[#This Row],[Bale_ID]],BalePrices[Bale_ID],0))),0))</f>
        <v>1260765.6788535258</v>
      </c>
      <c r="Y133" s="397">
        <f>IF(AND(BaleMover[[#This Row],[Scenario_ID]]="S3",BaleMover[[#This Row],[MRF_ID]]="05"),0,IFERROR(BaleMover[[#This Row],[Total_Baled_tons]]*(IF(BaleMover[[#This Row],[Scenario_ID]]="S0",-2,0)+INDEX(BalePrices[High],MATCH(BaleMover[[#This Row],[Bale_ID]],BalePrices[Bale_ID],0))),0))</f>
        <v>2327567.4071142017</v>
      </c>
    </row>
    <row r="134" spans="2:25" x14ac:dyDescent="0.2">
      <c r="B134" s="545" t="s">
        <v>876</v>
      </c>
      <c r="C134" s="499" t="s">
        <v>712</v>
      </c>
      <c r="D134" s="499"/>
      <c r="E134" s="499"/>
      <c r="F134" s="499" t="s">
        <v>1993</v>
      </c>
      <c r="G134" s="499" t="s">
        <v>2075</v>
      </c>
      <c r="H134" s="499" t="s">
        <v>1300</v>
      </c>
      <c r="I134" s="499" t="s">
        <v>975</v>
      </c>
      <c r="J134" s="499" t="s">
        <v>976</v>
      </c>
      <c r="K134" s="499" t="s">
        <v>2076</v>
      </c>
      <c r="L134" s="499">
        <v>7</v>
      </c>
      <c r="M134" s="499" t="s">
        <v>2081</v>
      </c>
      <c r="N134" s="499" t="s">
        <v>2056</v>
      </c>
      <c r="O134" s="525">
        <v>0</v>
      </c>
      <c r="P134" s="499" t="s">
        <v>2054</v>
      </c>
      <c r="Q134" s="499"/>
      <c r="R134" s="499"/>
      <c r="S134" s="525"/>
      <c r="T134" s="525">
        <v>0</v>
      </c>
      <c r="U134" s="525">
        <v>1</v>
      </c>
      <c r="V134" s="525" t="s">
        <v>2054</v>
      </c>
      <c r="W134" s="589">
        <f>IF(AND(BaleMover[[#This Row],[Scenario_ID]]="S3",BaleMover[[#This Row],[MRF_ID]]="05"),0,IFERROR(BaleMover[[#This Row],[Total_Baled_tons]]*(IF(BaleMover[[#This Row],[Scenario_ID]]="S0",-2,0)+INDEX(BalePrices[Low],MATCH(BaleMover[[#This Row],[Bale_ID]],BalePrices[Bale_ID],0))),0))</f>
        <v>0</v>
      </c>
      <c r="X134" s="397">
        <f>IF(AND(BaleMover[[#This Row],[Scenario_ID]]="S3",BaleMover[[#This Row],[MRF_ID]]="05"),0,IFERROR(BaleMover[[#This Row],[Total_Baled_tons]]*(IF(BaleMover[[#This Row],[Scenario_ID]]="S0",-2,0)+INDEX(BalePrices[Mid-Point],MATCH(BaleMover[[#This Row],[Bale_ID]],BalePrices[Bale_ID],0))),0))</f>
        <v>0</v>
      </c>
      <c r="Y134" s="397">
        <f>IF(AND(BaleMover[[#This Row],[Scenario_ID]]="S3",BaleMover[[#This Row],[MRF_ID]]="05"),0,IFERROR(BaleMover[[#This Row],[Total_Baled_tons]]*(IF(BaleMover[[#This Row],[Scenario_ID]]="S0",-2,0)+INDEX(BalePrices[High],MATCH(BaleMover[[#This Row],[Bale_ID]],BalePrices[Bale_ID],0))),0))</f>
        <v>0</v>
      </c>
    </row>
    <row r="135" spans="2:25" x14ac:dyDescent="0.2">
      <c r="B135" s="545" t="s">
        <v>875</v>
      </c>
      <c r="C135" s="499" t="s">
        <v>712</v>
      </c>
      <c r="D135" s="499"/>
      <c r="E135" s="499"/>
      <c r="F135" s="499" t="s">
        <v>1993</v>
      </c>
      <c r="G135" s="499" t="s">
        <v>2078</v>
      </c>
      <c r="H135" s="499" t="s">
        <v>1301</v>
      </c>
      <c r="I135" s="499" t="s">
        <v>975</v>
      </c>
      <c r="J135" s="499" t="s">
        <v>976</v>
      </c>
      <c r="K135" s="499" t="s">
        <v>2076</v>
      </c>
      <c r="L135" s="499">
        <v>7</v>
      </c>
      <c r="M135" s="499" t="s">
        <v>2081</v>
      </c>
      <c r="N135" s="499" t="s">
        <v>2056</v>
      </c>
      <c r="O135" s="525">
        <v>0</v>
      </c>
      <c r="P135" s="499" t="s">
        <v>2054</v>
      </c>
      <c r="Q135" s="499"/>
      <c r="R135" s="499"/>
      <c r="S135" s="525"/>
      <c r="T135" s="525">
        <v>0</v>
      </c>
      <c r="U135" s="525">
        <v>1</v>
      </c>
      <c r="V135" s="525" t="s">
        <v>2054</v>
      </c>
      <c r="W135" s="589">
        <f>IF(AND(BaleMover[[#This Row],[Scenario_ID]]="S3",BaleMover[[#This Row],[MRF_ID]]="05"),0,IFERROR(BaleMover[[#This Row],[Total_Baled_tons]]*(IF(BaleMover[[#This Row],[Scenario_ID]]="S0",-2,0)+INDEX(BalePrices[Low],MATCH(BaleMover[[#This Row],[Bale_ID]],BalePrices[Bale_ID],0))),0))</f>
        <v>0</v>
      </c>
      <c r="X135" s="397">
        <f>IF(AND(BaleMover[[#This Row],[Scenario_ID]]="S3",BaleMover[[#This Row],[MRF_ID]]="05"),0,IFERROR(BaleMover[[#This Row],[Total_Baled_tons]]*(IF(BaleMover[[#This Row],[Scenario_ID]]="S0",-2,0)+INDEX(BalePrices[Mid-Point],MATCH(BaleMover[[#This Row],[Bale_ID]],BalePrices[Bale_ID],0))),0))</f>
        <v>0</v>
      </c>
      <c r="Y135" s="397">
        <f>IF(AND(BaleMover[[#This Row],[Scenario_ID]]="S3",BaleMover[[#This Row],[MRF_ID]]="05"),0,IFERROR(BaleMover[[#This Row],[Total_Baled_tons]]*(IF(BaleMover[[#This Row],[Scenario_ID]]="S0",-2,0)+INDEX(BalePrices[High],MATCH(BaleMover[[#This Row],[Bale_ID]],BalePrices[Bale_ID],0))),0))</f>
        <v>0</v>
      </c>
    </row>
    <row r="136" spans="2:25" x14ac:dyDescent="0.2">
      <c r="B136" s="545" t="s">
        <v>874</v>
      </c>
      <c r="C136" s="499" t="s">
        <v>712</v>
      </c>
      <c r="D136" s="499"/>
      <c r="E136" s="499"/>
      <c r="F136" s="499" t="s">
        <v>1993</v>
      </c>
      <c r="G136" s="499" t="s">
        <v>2079</v>
      </c>
      <c r="H136" s="499" t="s">
        <v>1302</v>
      </c>
      <c r="I136" s="499" t="s">
        <v>975</v>
      </c>
      <c r="J136" s="499" t="s">
        <v>976</v>
      </c>
      <c r="K136" s="499" t="s">
        <v>2076</v>
      </c>
      <c r="L136" s="499">
        <v>7</v>
      </c>
      <c r="M136" s="499" t="s">
        <v>2081</v>
      </c>
      <c r="N136" s="499" t="s">
        <v>2056</v>
      </c>
      <c r="O136" s="525">
        <v>0</v>
      </c>
      <c r="P136" s="499" t="s">
        <v>2054</v>
      </c>
      <c r="Q136" s="499"/>
      <c r="R136" s="499"/>
      <c r="S136" s="525"/>
      <c r="T136" s="525">
        <v>0</v>
      </c>
      <c r="U136" s="525">
        <v>1</v>
      </c>
      <c r="V136" s="525" t="s">
        <v>2054</v>
      </c>
      <c r="W136" s="589">
        <f>IF(AND(BaleMover[[#This Row],[Scenario_ID]]="S3",BaleMover[[#This Row],[MRF_ID]]="05"),0,IFERROR(BaleMover[[#This Row],[Total_Baled_tons]]*(IF(BaleMover[[#This Row],[Scenario_ID]]="S0",-2,0)+INDEX(BalePrices[Low],MATCH(BaleMover[[#This Row],[Bale_ID]],BalePrices[Bale_ID],0))),0))</f>
        <v>0</v>
      </c>
      <c r="X136" s="397">
        <f>IF(AND(BaleMover[[#This Row],[Scenario_ID]]="S3",BaleMover[[#This Row],[MRF_ID]]="05"),0,IFERROR(BaleMover[[#This Row],[Total_Baled_tons]]*(IF(BaleMover[[#This Row],[Scenario_ID]]="S0",-2,0)+INDEX(BalePrices[Mid-Point],MATCH(BaleMover[[#This Row],[Bale_ID]],BalePrices[Bale_ID],0))),0))</f>
        <v>0</v>
      </c>
      <c r="Y136" s="397">
        <f>IF(AND(BaleMover[[#This Row],[Scenario_ID]]="S3",BaleMover[[#This Row],[MRF_ID]]="05"),0,IFERROR(BaleMover[[#This Row],[Total_Baled_tons]]*(IF(BaleMover[[#This Row],[Scenario_ID]]="S0",-2,0)+INDEX(BalePrices[High],MATCH(BaleMover[[#This Row],[Bale_ID]],BalePrices[Bale_ID],0))),0))</f>
        <v>0</v>
      </c>
    </row>
    <row r="137" spans="2:25" x14ac:dyDescent="0.2">
      <c r="B137" s="545" t="s">
        <v>873</v>
      </c>
      <c r="C137" s="499" t="s">
        <v>712</v>
      </c>
      <c r="D137" s="499"/>
      <c r="E137" s="499"/>
      <c r="F137" s="499" t="s">
        <v>1993</v>
      </c>
      <c r="G137" s="499" t="s">
        <v>2080</v>
      </c>
      <c r="H137" s="499" t="s">
        <v>1303</v>
      </c>
      <c r="I137" s="499" t="s">
        <v>975</v>
      </c>
      <c r="J137" s="499" t="s">
        <v>976</v>
      </c>
      <c r="K137" s="499" t="s">
        <v>2076</v>
      </c>
      <c r="L137" s="499">
        <v>7</v>
      </c>
      <c r="M137" s="499" t="s">
        <v>2081</v>
      </c>
      <c r="N137" s="499" t="s">
        <v>2056</v>
      </c>
      <c r="O137" s="525">
        <v>0</v>
      </c>
      <c r="P137" s="499" t="s">
        <v>2054</v>
      </c>
      <c r="Q137" s="499"/>
      <c r="R137" s="499"/>
      <c r="S137" s="525"/>
      <c r="T137" s="525">
        <v>0</v>
      </c>
      <c r="U137" s="525">
        <v>1</v>
      </c>
      <c r="V137" s="525" t="s">
        <v>2054</v>
      </c>
      <c r="W137" s="589">
        <f>IF(AND(BaleMover[[#This Row],[Scenario_ID]]="S3",BaleMover[[#This Row],[MRF_ID]]="05"),0,IFERROR(BaleMover[[#This Row],[Total_Baled_tons]]*(IF(BaleMover[[#This Row],[Scenario_ID]]="S0",-2,0)+INDEX(BalePrices[Low],MATCH(BaleMover[[#This Row],[Bale_ID]],BalePrices[Bale_ID],0))),0))</f>
        <v>0</v>
      </c>
      <c r="X137" s="397">
        <f>IF(AND(BaleMover[[#This Row],[Scenario_ID]]="S3",BaleMover[[#This Row],[MRF_ID]]="05"),0,IFERROR(BaleMover[[#This Row],[Total_Baled_tons]]*(IF(BaleMover[[#This Row],[Scenario_ID]]="S0",-2,0)+INDEX(BalePrices[Mid-Point],MATCH(BaleMover[[#This Row],[Bale_ID]],BalePrices[Bale_ID],0))),0))</f>
        <v>0</v>
      </c>
      <c r="Y137" s="397">
        <f>IF(AND(BaleMover[[#This Row],[Scenario_ID]]="S3",BaleMover[[#This Row],[MRF_ID]]="05"),0,IFERROR(BaleMover[[#This Row],[Total_Baled_tons]]*(IF(BaleMover[[#This Row],[Scenario_ID]]="S0",-2,0)+INDEX(BalePrices[High],MATCH(BaleMover[[#This Row],[Bale_ID]],BalePrices[Bale_ID],0))),0))</f>
        <v>0</v>
      </c>
    </row>
    <row r="138" spans="2:25" x14ac:dyDescent="0.2">
      <c r="B138" s="545" t="s">
        <v>876</v>
      </c>
      <c r="C138" s="499" t="s">
        <v>712</v>
      </c>
      <c r="D138" s="499"/>
      <c r="E138" s="499"/>
      <c r="F138" s="499" t="s">
        <v>1993</v>
      </c>
      <c r="G138" s="499" t="s">
        <v>2075</v>
      </c>
      <c r="H138" s="499" t="s">
        <v>1304</v>
      </c>
      <c r="I138" s="499" t="s">
        <v>977</v>
      </c>
      <c r="J138" s="499" t="s">
        <v>864</v>
      </c>
      <c r="K138" s="499" t="s">
        <v>2076</v>
      </c>
      <c r="L138" s="499">
        <v>5</v>
      </c>
      <c r="M138" s="499" t="s">
        <v>2077</v>
      </c>
      <c r="N138" s="499" t="s">
        <v>2058</v>
      </c>
      <c r="O138" s="525">
        <v>74960.041534030344</v>
      </c>
      <c r="P138" s="499">
        <v>50</v>
      </c>
      <c r="Q138" s="499"/>
      <c r="R138" s="499"/>
      <c r="S138" s="525"/>
      <c r="T138" s="525">
        <v>0</v>
      </c>
      <c r="U138" s="525">
        <v>1</v>
      </c>
      <c r="V138" s="525">
        <v>3748002.0767015172</v>
      </c>
      <c r="W138" s="589">
        <f>IF(AND(BaleMover[[#This Row],[Scenario_ID]]="S3",BaleMover[[#This Row],[MRF_ID]]="05"),0,IFERROR(BaleMover[[#This Row],[Total_Baled_tons]]*(IF(BaleMover[[#This Row],[Scenario_ID]]="S0",-2,0)+INDEX(BalePrices[Low],MATCH(BaleMover[[#This Row],[Bale_ID]],BalePrices[Bale_ID],0))),0))</f>
        <v>-1649120.9137486676</v>
      </c>
      <c r="X138" s="397">
        <f>IF(AND(BaleMover[[#This Row],[Scenario_ID]]="S3",BaleMover[[#This Row],[MRF_ID]]="05"),0,IFERROR(BaleMover[[#This Row],[Total_Baled_tons]]*(IF(BaleMover[[#This Row],[Scenario_ID]]="S0",-2,0)+INDEX(BalePrices[Mid-Point],MATCH(BaleMover[[#This Row],[Bale_ID]],BalePrices[Bale_ID],0))),0))</f>
        <v>3598081.9936334565</v>
      </c>
      <c r="Y138" s="397">
        <f>IF(AND(BaleMover[[#This Row],[Scenario_ID]]="S3",BaleMover[[#This Row],[MRF_ID]]="05"),0,IFERROR(BaleMover[[#This Row],[Total_Baled_tons]]*(IF(BaleMover[[#This Row],[Scenario_ID]]="S0",-2,0)+INDEX(BalePrices[High],MATCH(BaleMover[[#This Row],[Bale_ID]],BalePrices[Bale_ID],0))),0))</f>
        <v>8845284.9010155797</v>
      </c>
    </row>
    <row r="139" spans="2:25" x14ac:dyDescent="0.2">
      <c r="B139" s="545" t="s">
        <v>875</v>
      </c>
      <c r="C139" s="499" t="s">
        <v>712</v>
      </c>
      <c r="D139" s="499"/>
      <c r="E139" s="499"/>
      <c r="F139" s="499" t="s">
        <v>1993</v>
      </c>
      <c r="G139" s="499" t="s">
        <v>2078</v>
      </c>
      <c r="H139" s="499" t="s">
        <v>1305</v>
      </c>
      <c r="I139" s="499" t="s">
        <v>977</v>
      </c>
      <c r="J139" s="499" t="s">
        <v>864</v>
      </c>
      <c r="K139" s="499" t="s">
        <v>2076</v>
      </c>
      <c r="L139" s="499">
        <v>5</v>
      </c>
      <c r="M139" s="499" t="s">
        <v>2077</v>
      </c>
      <c r="N139" s="499" t="s">
        <v>2058</v>
      </c>
      <c r="O139" s="525">
        <v>25790.430077801535</v>
      </c>
      <c r="P139" s="499">
        <v>50</v>
      </c>
      <c r="Q139" s="499"/>
      <c r="R139" s="499"/>
      <c r="S139" s="525"/>
      <c r="T139" s="525">
        <v>0</v>
      </c>
      <c r="U139" s="525">
        <v>1</v>
      </c>
      <c r="V139" s="525">
        <v>1289521.5038900767</v>
      </c>
      <c r="W139" s="589">
        <f>IF(AND(BaleMover[[#This Row],[Scenario_ID]]="S3",BaleMover[[#This Row],[MRF_ID]]="05"),0,IFERROR(BaleMover[[#This Row],[Total_Baled_tons]]*(IF(BaleMover[[#This Row],[Scenario_ID]]="S0",-2,0)+INDEX(BalePrices[Low],MATCH(BaleMover[[#This Row],[Bale_ID]],BalePrices[Bale_ID],0))),0))</f>
        <v>-515808.60155603068</v>
      </c>
      <c r="X139" s="397">
        <f>IF(AND(BaleMover[[#This Row],[Scenario_ID]]="S3",BaleMover[[#This Row],[MRF_ID]]="05"),0,IFERROR(BaleMover[[#This Row],[Total_Baled_tons]]*(IF(BaleMover[[#This Row],[Scenario_ID]]="S0",-2,0)+INDEX(BalePrices[Mid-Point],MATCH(BaleMover[[#This Row],[Bale_ID]],BalePrices[Bale_ID],0))),0))</f>
        <v>1289521.5038900767</v>
      </c>
      <c r="Y139" s="397">
        <f>IF(AND(BaleMover[[#This Row],[Scenario_ID]]="S3",BaleMover[[#This Row],[MRF_ID]]="05"),0,IFERROR(BaleMover[[#This Row],[Total_Baled_tons]]*(IF(BaleMover[[#This Row],[Scenario_ID]]="S0",-2,0)+INDEX(BalePrices[High],MATCH(BaleMover[[#This Row],[Bale_ID]],BalePrices[Bale_ID],0))),0))</f>
        <v>3094851.6093361843</v>
      </c>
    </row>
    <row r="140" spans="2:25" x14ac:dyDescent="0.2">
      <c r="B140" s="545" t="s">
        <v>874</v>
      </c>
      <c r="C140" s="499" t="s">
        <v>712</v>
      </c>
      <c r="D140" s="499"/>
      <c r="E140" s="499"/>
      <c r="F140" s="499" t="s">
        <v>1993</v>
      </c>
      <c r="G140" s="499" t="s">
        <v>2079</v>
      </c>
      <c r="H140" s="499" t="s">
        <v>1306</v>
      </c>
      <c r="I140" s="499" t="s">
        <v>977</v>
      </c>
      <c r="J140" s="499" t="s">
        <v>864</v>
      </c>
      <c r="K140" s="499" t="s">
        <v>2076</v>
      </c>
      <c r="L140" s="499">
        <v>5</v>
      </c>
      <c r="M140" s="499" t="s">
        <v>2077</v>
      </c>
      <c r="N140" s="499" t="s">
        <v>2058</v>
      </c>
      <c r="O140" s="525">
        <v>29003.531230337234</v>
      </c>
      <c r="P140" s="499">
        <v>50</v>
      </c>
      <c r="Q140" s="499"/>
      <c r="R140" s="499"/>
      <c r="S140" s="525"/>
      <c r="T140" s="525">
        <v>0</v>
      </c>
      <c r="U140" s="525">
        <v>1</v>
      </c>
      <c r="V140" s="525">
        <v>1450176.5615168617</v>
      </c>
      <c r="W140" s="589">
        <f>IF(AND(BaleMover[[#This Row],[Scenario_ID]]="S3",BaleMover[[#This Row],[MRF_ID]]="05"),0,IFERROR(BaleMover[[#This Row],[Total_Baled_tons]]*(IF(BaleMover[[#This Row],[Scenario_ID]]="S0",-2,0)+INDEX(BalePrices[Low],MATCH(BaleMover[[#This Row],[Bale_ID]],BalePrices[Bale_ID],0))),0))</f>
        <v>-580070.62460674462</v>
      </c>
      <c r="X140" s="397">
        <f>IF(AND(BaleMover[[#This Row],[Scenario_ID]]="S3",BaleMover[[#This Row],[MRF_ID]]="05"),0,IFERROR(BaleMover[[#This Row],[Total_Baled_tons]]*(IF(BaleMover[[#This Row],[Scenario_ID]]="S0",-2,0)+INDEX(BalePrices[Mid-Point],MATCH(BaleMover[[#This Row],[Bale_ID]],BalePrices[Bale_ID],0))),0))</f>
        <v>1450176.5615168617</v>
      </c>
      <c r="Y140" s="397">
        <f>IF(AND(BaleMover[[#This Row],[Scenario_ID]]="S3",BaleMover[[#This Row],[MRF_ID]]="05"),0,IFERROR(BaleMover[[#This Row],[Total_Baled_tons]]*(IF(BaleMover[[#This Row],[Scenario_ID]]="S0",-2,0)+INDEX(BalePrices[High],MATCH(BaleMover[[#This Row],[Bale_ID]],BalePrices[Bale_ID],0))),0))</f>
        <v>3480423.7476404682</v>
      </c>
    </row>
    <row r="141" spans="2:25" x14ac:dyDescent="0.2">
      <c r="B141" s="545" t="s">
        <v>873</v>
      </c>
      <c r="C141" s="499" t="s">
        <v>712</v>
      </c>
      <c r="D141" s="499"/>
      <c r="E141" s="499"/>
      <c r="F141" s="499" t="s">
        <v>1993</v>
      </c>
      <c r="G141" s="499" t="s">
        <v>2080</v>
      </c>
      <c r="H141" s="499" t="s">
        <v>1307</v>
      </c>
      <c r="I141" s="499" t="s">
        <v>977</v>
      </c>
      <c r="J141" s="499" t="s">
        <v>864</v>
      </c>
      <c r="K141" s="499" t="s">
        <v>2076</v>
      </c>
      <c r="L141" s="499">
        <v>5</v>
      </c>
      <c r="M141" s="499" t="s">
        <v>2077</v>
      </c>
      <c r="N141" s="499" t="s">
        <v>2058</v>
      </c>
      <c r="O141" s="525">
        <v>29006.916526256755</v>
      </c>
      <c r="P141" s="499">
        <v>50</v>
      </c>
      <c r="Q141" s="499"/>
      <c r="R141" s="499"/>
      <c r="S141" s="525"/>
      <c r="T141" s="525">
        <v>0</v>
      </c>
      <c r="U141" s="525">
        <v>1</v>
      </c>
      <c r="V141" s="525">
        <v>1450345.8263128377</v>
      </c>
      <c r="W141" s="589">
        <f>IF(AND(BaleMover[[#This Row],[Scenario_ID]]="S3",BaleMover[[#This Row],[MRF_ID]]="05"),0,IFERROR(BaleMover[[#This Row],[Total_Baled_tons]]*(IF(BaleMover[[#This Row],[Scenario_ID]]="S0",-2,0)+INDEX(BalePrices[Low],MATCH(BaleMover[[#This Row],[Bale_ID]],BalePrices[Bale_ID],0))),0))</f>
        <v>-580138.33052513516</v>
      </c>
      <c r="X141" s="397">
        <f>IF(AND(BaleMover[[#This Row],[Scenario_ID]]="S3",BaleMover[[#This Row],[MRF_ID]]="05"),0,IFERROR(BaleMover[[#This Row],[Total_Baled_tons]]*(IF(BaleMover[[#This Row],[Scenario_ID]]="S0",-2,0)+INDEX(BalePrices[Mid-Point],MATCH(BaleMover[[#This Row],[Bale_ID]],BalePrices[Bale_ID],0))),0))</f>
        <v>1450345.8263128377</v>
      </c>
      <c r="Y141" s="397">
        <f>IF(AND(BaleMover[[#This Row],[Scenario_ID]]="S3",BaleMover[[#This Row],[MRF_ID]]="05"),0,IFERROR(BaleMover[[#This Row],[Total_Baled_tons]]*(IF(BaleMover[[#This Row],[Scenario_ID]]="S0",-2,0)+INDEX(BalePrices[High],MATCH(BaleMover[[#This Row],[Bale_ID]],BalePrices[Bale_ID],0))),0))</f>
        <v>3480829.9831508105</v>
      </c>
    </row>
    <row r="142" spans="2:25" x14ac:dyDescent="0.2">
      <c r="B142" s="545" t="s">
        <v>876</v>
      </c>
      <c r="C142" s="499" t="s">
        <v>712</v>
      </c>
      <c r="D142" s="499"/>
      <c r="E142" s="499"/>
      <c r="F142" s="499" t="s">
        <v>1993</v>
      </c>
      <c r="G142" s="499" t="s">
        <v>2075</v>
      </c>
      <c r="H142" s="499" t="s">
        <v>1308</v>
      </c>
      <c r="I142" s="499" t="s">
        <v>978</v>
      </c>
      <c r="J142" s="499" t="s">
        <v>1892</v>
      </c>
      <c r="K142" s="499" t="s">
        <v>2076</v>
      </c>
      <c r="L142" s="499">
        <v>5</v>
      </c>
      <c r="M142" s="499" t="s">
        <v>2077</v>
      </c>
      <c r="N142" s="499" t="s">
        <v>2058</v>
      </c>
      <c r="O142" s="525">
        <v>0</v>
      </c>
      <c r="P142" s="499" t="s">
        <v>2054</v>
      </c>
      <c r="Q142" s="499"/>
      <c r="R142" s="499"/>
      <c r="S142" s="525"/>
      <c r="T142" s="525">
        <v>0</v>
      </c>
      <c r="U142" s="525">
        <v>1</v>
      </c>
      <c r="V142" s="525" t="s">
        <v>2054</v>
      </c>
      <c r="W142" s="589">
        <f>IF(AND(BaleMover[[#This Row],[Scenario_ID]]="S3",BaleMover[[#This Row],[MRF_ID]]="05"),0,IFERROR(BaleMover[[#This Row],[Total_Baled_tons]]*(IF(BaleMover[[#This Row],[Scenario_ID]]="S0",-2,0)+INDEX(BalePrices[Low],MATCH(BaleMover[[#This Row],[Bale_ID]],BalePrices[Bale_ID],0))),0))</f>
        <v>0</v>
      </c>
      <c r="X142" s="397">
        <f>IF(AND(BaleMover[[#This Row],[Scenario_ID]]="S3",BaleMover[[#This Row],[MRF_ID]]="05"),0,IFERROR(BaleMover[[#This Row],[Total_Baled_tons]]*(IF(BaleMover[[#This Row],[Scenario_ID]]="S0",-2,0)+INDEX(BalePrices[Mid-Point],MATCH(BaleMover[[#This Row],[Bale_ID]],BalePrices[Bale_ID],0))),0))</f>
        <v>0</v>
      </c>
      <c r="Y142" s="397">
        <f>IF(AND(BaleMover[[#This Row],[Scenario_ID]]="S3",BaleMover[[#This Row],[MRF_ID]]="05"),0,IFERROR(BaleMover[[#This Row],[Total_Baled_tons]]*(IF(BaleMover[[#This Row],[Scenario_ID]]="S0",-2,0)+INDEX(BalePrices[High],MATCH(BaleMover[[#This Row],[Bale_ID]],BalePrices[Bale_ID],0))),0))</f>
        <v>0</v>
      </c>
    </row>
    <row r="143" spans="2:25" x14ac:dyDescent="0.2">
      <c r="B143" s="545" t="s">
        <v>875</v>
      </c>
      <c r="C143" s="499" t="s">
        <v>712</v>
      </c>
      <c r="D143" s="499"/>
      <c r="E143" s="499"/>
      <c r="F143" s="499" t="s">
        <v>1993</v>
      </c>
      <c r="G143" s="499" t="s">
        <v>2078</v>
      </c>
      <c r="H143" s="499" t="s">
        <v>1309</v>
      </c>
      <c r="I143" s="499" t="s">
        <v>978</v>
      </c>
      <c r="J143" s="499" t="s">
        <v>1892</v>
      </c>
      <c r="K143" s="499" t="s">
        <v>2076</v>
      </c>
      <c r="L143" s="499">
        <v>5</v>
      </c>
      <c r="M143" s="499" t="s">
        <v>2077</v>
      </c>
      <c r="N143" s="499" t="s">
        <v>2058</v>
      </c>
      <c r="O143" s="525">
        <v>0</v>
      </c>
      <c r="P143" s="499" t="s">
        <v>2054</v>
      </c>
      <c r="Q143" s="499"/>
      <c r="R143" s="499"/>
      <c r="S143" s="525"/>
      <c r="T143" s="525">
        <v>0</v>
      </c>
      <c r="U143" s="525">
        <v>1</v>
      </c>
      <c r="V143" s="525" t="s">
        <v>2054</v>
      </c>
      <c r="W143" s="589">
        <f>IF(AND(BaleMover[[#This Row],[Scenario_ID]]="S3",BaleMover[[#This Row],[MRF_ID]]="05"),0,IFERROR(BaleMover[[#This Row],[Total_Baled_tons]]*(IF(BaleMover[[#This Row],[Scenario_ID]]="S0",-2,0)+INDEX(BalePrices[Low],MATCH(BaleMover[[#This Row],[Bale_ID]],BalePrices[Bale_ID],0))),0))</f>
        <v>0</v>
      </c>
      <c r="X143" s="397">
        <f>IF(AND(BaleMover[[#This Row],[Scenario_ID]]="S3",BaleMover[[#This Row],[MRF_ID]]="05"),0,IFERROR(BaleMover[[#This Row],[Total_Baled_tons]]*(IF(BaleMover[[#This Row],[Scenario_ID]]="S0",-2,0)+INDEX(BalePrices[Mid-Point],MATCH(BaleMover[[#This Row],[Bale_ID]],BalePrices[Bale_ID],0))),0))</f>
        <v>0</v>
      </c>
      <c r="Y143" s="397">
        <f>IF(AND(BaleMover[[#This Row],[Scenario_ID]]="S3",BaleMover[[#This Row],[MRF_ID]]="05"),0,IFERROR(BaleMover[[#This Row],[Total_Baled_tons]]*(IF(BaleMover[[#This Row],[Scenario_ID]]="S0",-2,0)+INDEX(BalePrices[High],MATCH(BaleMover[[#This Row],[Bale_ID]],BalePrices[Bale_ID],0))),0))</f>
        <v>0</v>
      </c>
    </row>
    <row r="144" spans="2:25" x14ac:dyDescent="0.2">
      <c r="B144" s="545" t="s">
        <v>874</v>
      </c>
      <c r="C144" s="499" t="s">
        <v>712</v>
      </c>
      <c r="D144" s="499"/>
      <c r="E144" s="499"/>
      <c r="F144" s="499" t="s">
        <v>1993</v>
      </c>
      <c r="G144" s="499" t="s">
        <v>2079</v>
      </c>
      <c r="H144" s="499" t="s">
        <v>1310</v>
      </c>
      <c r="I144" s="499" t="s">
        <v>978</v>
      </c>
      <c r="J144" s="499" t="s">
        <v>1892</v>
      </c>
      <c r="K144" s="499" t="s">
        <v>2076</v>
      </c>
      <c r="L144" s="499">
        <v>5</v>
      </c>
      <c r="M144" s="499" t="s">
        <v>2077</v>
      </c>
      <c r="N144" s="499" t="s">
        <v>2058</v>
      </c>
      <c r="O144" s="525">
        <v>0</v>
      </c>
      <c r="P144" s="499" t="s">
        <v>2054</v>
      </c>
      <c r="Q144" s="499"/>
      <c r="R144" s="499"/>
      <c r="S144" s="525"/>
      <c r="T144" s="525">
        <v>0</v>
      </c>
      <c r="U144" s="525">
        <v>1</v>
      </c>
      <c r="V144" s="525" t="s">
        <v>2054</v>
      </c>
      <c r="W144" s="589">
        <f>IF(AND(BaleMover[[#This Row],[Scenario_ID]]="S3",BaleMover[[#This Row],[MRF_ID]]="05"),0,IFERROR(BaleMover[[#This Row],[Total_Baled_tons]]*(IF(BaleMover[[#This Row],[Scenario_ID]]="S0",-2,0)+INDEX(BalePrices[Low],MATCH(BaleMover[[#This Row],[Bale_ID]],BalePrices[Bale_ID],0))),0))</f>
        <v>0</v>
      </c>
      <c r="X144" s="397">
        <f>IF(AND(BaleMover[[#This Row],[Scenario_ID]]="S3",BaleMover[[#This Row],[MRF_ID]]="05"),0,IFERROR(BaleMover[[#This Row],[Total_Baled_tons]]*(IF(BaleMover[[#This Row],[Scenario_ID]]="S0",-2,0)+INDEX(BalePrices[Mid-Point],MATCH(BaleMover[[#This Row],[Bale_ID]],BalePrices[Bale_ID],0))),0))</f>
        <v>0</v>
      </c>
      <c r="Y144" s="397">
        <f>IF(AND(BaleMover[[#This Row],[Scenario_ID]]="S3",BaleMover[[#This Row],[MRF_ID]]="05"),0,IFERROR(BaleMover[[#This Row],[Total_Baled_tons]]*(IF(BaleMover[[#This Row],[Scenario_ID]]="S0",-2,0)+INDEX(BalePrices[High],MATCH(BaleMover[[#This Row],[Bale_ID]],BalePrices[Bale_ID],0))),0))</f>
        <v>0</v>
      </c>
    </row>
    <row r="145" spans="2:25" x14ac:dyDescent="0.2">
      <c r="B145" s="545" t="s">
        <v>873</v>
      </c>
      <c r="C145" s="499" t="s">
        <v>712</v>
      </c>
      <c r="D145" s="499"/>
      <c r="E145" s="499"/>
      <c r="F145" s="499" t="s">
        <v>1993</v>
      </c>
      <c r="G145" s="499" t="s">
        <v>2080</v>
      </c>
      <c r="H145" s="499" t="s">
        <v>1311</v>
      </c>
      <c r="I145" s="499" t="s">
        <v>978</v>
      </c>
      <c r="J145" s="499" t="s">
        <v>1892</v>
      </c>
      <c r="K145" s="499" t="s">
        <v>2076</v>
      </c>
      <c r="L145" s="499">
        <v>5</v>
      </c>
      <c r="M145" s="499" t="s">
        <v>2077</v>
      </c>
      <c r="N145" s="499" t="s">
        <v>2058</v>
      </c>
      <c r="O145" s="525">
        <v>0</v>
      </c>
      <c r="P145" s="499" t="s">
        <v>2054</v>
      </c>
      <c r="Q145" s="499"/>
      <c r="R145" s="499"/>
      <c r="S145" s="525"/>
      <c r="T145" s="525">
        <v>0</v>
      </c>
      <c r="U145" s="525">
        <v>1</v>
      </c>
      <c r="V145" s="525" t="s">
        <v>2054</v>
      </c>
      <c r="W145" s="589">
        <f>IF(AND(BaleMover[[#This Row],[Scenario_ID]]="S3",BaleMover[[#This Row],[MRF_ID]]="05"),0,IFERROR(BaleMover[[#This Row],[Total_Baled_tons]]*(IF(BaleMover[[#This Row],[Scenario_ID]]="S0",-2,0)+INDEX(BalePrices[Low],MATCH(BaleMover[[#This Row],[Bale_ID]],BalePrices[Bale_ID],0))),0))</f>
        <v>0</v>
      </c>
      <c r="X145" s="397">
        <f>IF(AND(BaleMover[[#This Row],[Scenario_ID]]="S3",BaleMover[[#This Row],[MRF_ID]]="05"),0,IFERROR(BaleMover[[#This Row],[Total_Baled_tons]]*(IF(BaleMover[[#This Row],[Scenario_ID]]="S0",-2,0)+INDEX(BalePrices[Mid-Point],MATCH(BaleMover[[#This Row],[Bale_ID]],BalePrices[Bale_ID],0))),0))</f>
        <v>0</v>
      </c>
      <c r="Y145" s="397">
        <f>IF(AND(BaleMover[[#This Row],[Scenario_ID]]="S3",BaleMover[[#This Row],[MRF_ID]]="05"),0,IFERROR(BaleMover[[#This Row],[Total_Baled_tons]]*(IF(BaleMover[[#This Row],[Scenario_ID]]="S0",-2,0)+INDEX(BalePrices[High],MATCH(BaleMover[[#This Row],[Bale_ID]],BalePrices[Bale_ID],0))),0))</f>
        <v>0</v>
      </c>
    </row>
    <row r="146" spans="2:25" x14ac:dyDescent="0.2">
      <c r="B146" s="545" t="s">
        <v>876</v>
      </c>
      <c r="C146" s="499" t="s">
        <v>712</v>
      </c>
      <c r="D146" s="499"/>
      <c r="E146" s="499"/>
      <c r="F146" s="499" t="s">
        <v>1993</v>
      </c>
      <c r="G146" s="499" t="s">
        <v>2075</v>
      </c>
      <c r="H146" s="499" t="s">
        <v>1312</v>
      </c>
      <c r="I146" s="499" t="s">
        <v>979</v>
      </c>
      <c r="J146" s="499" t="s">
        <v>980</v>
      </c>
      <c r="K146" s="499" t="s">
        <v>2076</v>
      </c>
      <c r="L146" s="499">
        <v>7</v>
      </c>
      <c r="M146" s="499" t="s">
        <v>2081</v>
      </c>
      <c r="N146" s="499" t="s">
        <v>2056</v>
      </c>
      <c r="O146" s="525">
        <v>0</v>
      </c>
      <c r="P146" s="499" t="s">
        <v>2054</v>
      </c>
      <c r="Q146" s="499"/>
      <c r="R146" s="499"/>
      <c r="S146" s="525"/>
      <c r="T146" s="525">
        <v>0</v>
      </c>
      <c r="U146" s="525">
        <v>1</v>
      </c>
      <c r="V146" s="525" t="s">
        <v>2054</v>
      </c>
      <c r="W146" s="589">
        <f>IF(AND(BaleMover[[#This Row],[Scenario_ID]]="S3",BaleMover[[#This Row],[MRF_ID]]="05"),0,IFERROR(BaleMover[[#This Row],[Total_Baled_tons]]*(IF(BaleMover[[#This Row],[Scenario_ID]]="S0",-2,0)+INDEX(BalePrices[Low],MATCH(BaleMover[[#This Row],[Bale_ID]],BalePrices[Bale_ID],0))),0))</f>
        <v>0</v>
      </c>
      <c r="X146" s="397">
        <f>IF(AND(BaleMover[[#This Row],[Scenario_ID]]="S3",BaleMover[[#This Row],[MRF_ID]]="05"),0,IFERROR(BaleMover[[#This Row],[Total_Baled_tons]]*(IF(BaleMover[[#This Row],[Scenario_ID]]="S0",-2,0)+INDEX(BalePrices[Mid-Point],MATCH(BaleMover[[#This Row],[Bale_ID]],BalePrices[Bale_ID],0))),0))</f>
        <v>0</v>
      </c>
      <c r="Y146" s="397">
        <f>IF(AND(BaleMover[[#This Row],[Scenario_ID]]="S3",BaleMover[[#This Row],[MRF_ID]]="05"),0,IFERROR(BaleMover[[#This Row],[Total_Baled_tons]]*(IF(BaleMover[[#This Row],[Scenario_ID]]="S0",-2,0)+INDEX(BalePrices[High],MATCH(BaleMover[[#This Row],[Bale_ID]],BalePrices[Bale_ID],0))),0))</f>
        <v>0</v>
      </c>
    </row>
    <row r="147" spans="2:25" x14ac:dyDescent="0.2">
      <c r="B147" s="545" t="s">
        <v>875</v>
      </c>
      <c r="C147" s="499" t="s">
        <v>712</v>
      </c>
      <c r="D147" s="499"/>
      <c r="E147" s="499"/>
      <c r="F147" s="499" t="s">
        <v>1993</v>
      </c>
      <c r="G147" s="499" t="s">
        <v>2078</v>
      </c>
      <c r="H147" s="499" t="s">
        <v>1313</v>
      </c>
      <c r="I147" s="499" t="s">
        <v>979</v>
      </c>
      <c r="J147" s="499" t="s">
        <v>980</v>
      </c>
      <c r="K147" s="499" t="s">
        <v>2076</v>
      </c>
      <c r="L147" s="499">
        <v>7</v>
      </c>
      <c r="M147" s="499" t="s">
        <v>2081</v>
      </c>
      <c r="N147" s="499" t="s">
        <v>2056</v>
      </c>
      <c r="O147" s="525">
        <v>0</v>
      </c>
      <c r="P147" s="499" t="s">
        <v>2054</v>
      </c>
      <c r="Q147" s="499"/>
      <c r="R147" s="499"/>
      <c r="S147" s="525"/>
      <c r="T147" s="525">
        <v>0</v>
      </c>
      <c r="U147" s="525">
        <v>1</v>
      </c>
      <c r="V147" s="525" t="s">
        <v>2054</v>
      </c>
      <c r="W147" s="589">
        <f>IF(AND(BaleMover[[#This Row],[Scenario_ID]]="S3",BaleMover[[#This Row],[MRF_ID]]="05"),0,IFERROR(BaleMover[[#This Row],[Total_Baled_tons]]*(IF(BaleMover[[#This Row],[Scenario_ID]]="S0",-2,0)+INDEX(BalePrices[Low],MATCH(BaleMover[[#This Row],[Bale_ID]],BalePrices[Bale_ID],0))),0))</f>
        <v>0</v>
      </c>
      <c r="X147" s="397">
        <f>IF(AND(BaleMover[[#This Row],[Scenario_ID]]="S3",BaleMover[[#This Row],[MRF_ID]]="05"),0,IFERROR(BaleMover[[#This Row],[Total_Baled_tons]]*(IF(BaleMover[[#This Row],[Scenario_ID]]="S0",-2,0)+INDEX(BalePrices[Mid-Point],MATCH(BaleMover[[#This Row],[Bale_ID]],BalePrices[Bale_ID],0))),0))</f>
        <v>0</v>
      </c>
      <c r="Y147" s="397">
        <f>IF(AND(BaleMover[[#This Row],[Scenario_ID]]="S3",BaleMover[[#This Row],[MRF_ID]]="05"),0,IFERROR(BaleMover[[#This Row],[Total_Baled_tons]]*(IF(BaleMover[[#This Row],[Scenario_ID]]="S0",-2,0)+INDEX(BalePrices[High],MATCH(BaleMover[[#This Row],[Bale_ID]],BalePrices[Bale_ID],0))),0))</f>
        <v>0</v>
      </c>
    </row>
    <row r="148" spans="2:25" x14ac:dyDescent="0.2">
      <c r="B148" s="545" t="s">
        <v>874</v>
      </c>
      <c r="C148" s="499" t="s">
        <v>712</v>
      </c>
      <c r="D148" s="499"/>
      <c r="E148" s="499"/>
      <c r="F148" s="499" t="s">
        <v>1993</v>
      </c>
      <c r="G148" s="499" t="s">
        <v>2079</v>
      </c>
      <c r="H148" s="499" t="s">
        <v>1314</v>
      </c>
      <c r="I148" s="499" t="s">
        <v>979</v>
      </c>
      <c r="J148" s="499" t="s">
        <v>980</v>
      </c>
      <c r="K148" s="499" t="s">
        <v>2076</v>
      </c>
      <c r="L148" s="499">
        <v>7</v>
      </c>
      <c r="M148" s="499" t="s">
        <v>2081</v>
      </c>
      <c r="N148" s="499" t="s">
        <v>2056</v>
      </c>
      <c r="O148" s="525">
        <v>0</v>
      </c>
      <c r="P148" s="499" t="s">
        <v>2054</v>
      </c>
      <c r="Q148" s="499"/>
      <c r="R148" s="499"/>
      <c r="S148" s="525"/>
      <c r="T148" s="525">
        <v>0</v>
      </c>
      <c r="U148" s="525">
        <v>1</v>
      </c>
      <c r="V148" s="525" t="s">
        <v>2054</v>
      </c>
      <c r="W148" s="589">
        <f>IF(AND(BaleMover[[#This Row],[Scenario_ID]]="S3",BaleMover[[#This Row],[MRF_ID]]="05"),0,IFERROR(BaleMover[[#This Row],[Total_Baled_tons]]*(IF(BaleMover[[#This Row],[Scenario_ID]]="S0",-2,0)+INDEX(BalePrices[Low],MATCH(BaleMover[[#This Row],[Bale_ID]],BalePrices[Bale_ID],0))),0))</f>
        <v>0</v>
      </c>
      <c r="X148" s="397">
        <f>IF(AND(BaleMover[[#This Row],[Scenario_ID]]="S3",BaleMover[[#This Row],[MRF_ID]]="05"),0,IFERROR(BaleMover[[#This Row],[Total_Baled_tons]]*(IF(BaleMover[[#This Row],[Scenario_ID]]="S0",-2,0)+INDEX(BalePrices[Mid-Point],MATCH(BaleMover[[#This Row],[Bale_ID]],BalePrices[Bale_ID],0))),0))</f>
        <v>0</v>
      </c>
      <c r="Y148" s="397">
        <f>IF(AND(BaleMover[[#This Row],[Scenario_ID]]="S3",BaleMover[[#This Row],[MRF_ID]]="05"),0,IFERROR(BaleMover[[#This Row],[Total_Baled_tons]]*(IF(BaleMover[[#This Row],[Scenario_ID]]="S0",-2,0)+INDEX(BalePrices[High],MATCH(BaleMover[[#This Row],[Bale_ID]],BalePrices[Bale_ID],0))),0))</f>
        <v>0</v>
      </c>
    </row>
    <row r="149" spans="2:25" x14ac:dyDescent="0.2">
      <c r="B149" s="545" t="s">
        <v>873</v>
      </c>
      <c r="C149" s="499" t="s">
        <v>712</v>
      </c>
      <c r="D149" s="499"/>
      <c r="E149" s="499"/>
      <c r="F149" s="499" t="s">
        <v>1993</v>
      </c>
      <c r="G149" s="499" t="s">
        <v>2080</v>
      </c>
      <c r="H149" s="499" t="s">
        <v>1315</v>
      </c>
      <c r="I149" s="499" t="s">
        <v>979</v>
      </c>
      <c r="J149" s="499" t="s">
        <v>980</v>
      </c>
      <c r="K149" s="499" t="s">
        <v>2076</v>
      </c>
      <c r="L149" s="499">
        <v>7</v>
      </c>
      <c r="M149" s="499" t="s">
        <v>2081</v>
      </c>
      <c r="N149" s="499" t="s">
        <v>2056</v>
      </c>
      <c r="O149" s="525">
        <v>0</v>
      </c>
      <c r="P149" s="499" t="s">
        <v>2054</v>
      </c>
      <c r="Q149" s="499"/>
      <c r="R149" s="499"/>
      <c r="S149" s="525"/>
      <c r="T149" s="525">
        <v>0</v>
      </c>
      <c r="U149" s="525">
        <v>1</v>
      </c>
      <c r="V149" s="525" t="s">
        <v>2054</v>
      </c>
      <c r="W149" s="589">
        <f>IF(AND(BaleMover[[#This Row],[Scenario_ID]]="S3",BaleMover[[#This Row],[MRF_ID]]="05"),0,IFERROR(BaleMover[[#This Row],[Total_Baled_tons]]*(IF(BaleMover[[#This Row],[Scenario_ID]]="S0",-2,0)+INDEX(BalePrices[Low],MATCH(BaleMover[[#This Row],[Bale_ID]],BalePrices[Bale_ID],0))),0))</f>
        <v>0</v>
      </c>
      <c r="X149" s="397">
        <f>IF(AND(BaleMover[[#This Row],[Scenario_ID]]="S3",BaleMover[[#This Row],[MRF_ID]]="05"),0,IFERROR(BaleMover[[#This Row],[Total_Baled_tons]]*(IF(BaleMover[[#This Row],[Scenario_ID]]="S0",-2,0)+INDEX(BalePrices[Mid-Point],MATCH(BaleMover[[#This Row],[Bale_ID]],BalePrices[Bale_ID],0))),0))</f>
        <v>0</v>
      </c>
      <c r="Y149" s="397">
        <f>IF(AND(BaleMover[[#This Row],[Scenario_ID]]="S3",BaleMover[[#This Row],[MRF_ID]]="05"),0,IFERROR(BaleMover[[#This Row],[Total_Baled_tons]]*(IF(BaleMover[[#This Row],[Scenario_ID]]="S0",-2,0)+INDEX(BalePrices[High],MATCH(BaleMover[[#This Row],[Bale_ID]],BalePrices[Bale_ID],0))),0))</f>
        <v>0</v>
      </c>
    </row>
    <row r="150" spans="2:25" x14ac:dyDescent="0.2">
      <c r="B150" s="545" t="s">
        <v>876</v>
      </c>
      <c r="C150" s="499" t="s">
        <v>712</v>
      </c>
      <c r="D150" s="499"/>
      <c r="E150" s="499"/>
      <c r="F150" s="499" t="s">
        <v>1993</v>
      </c>
      <c r="G150" s="499" t="s">
        <v>2075</v>
      </c>
      <c r="H150" s="499" t="s">
        <v>1316</v>
      </c>
      <c r="I150" s="499" t="s">
        <v>981</v>
      </c>
      <c r="J150" s="499" t="s">
        <v>3674</v>
      </c>
      <c r="K150" s="499" t="s">
        <v>2076</v>
      </c>
      <c r="L150" s="499">
        <v>13</v>
      </c>
      <c r="M150" s="499" t="s">
        <v>2082</v>
      </c>
      <c r="N150" s="499" t="s">
        <v>2060</v>
      </c>
      <c r="O150" s="525">
        <v>0</v>
      </c>
      <c r="P150" s="499" t="s">
        <v>2054</v>
      </c>
      <c r="Q150" s="499"/>
      <c r="R150" s="499"/>
      <c r="S150" s="525"/>
      <c r="T150" s="525">
        <v>0</v>
      </c>
      <c r="U150" s="525">
        <v>1</v>
      </c>
      <c r="V150" s="525" t="s">
        <v>2054</v>
      </c>
      <c r="W150" s="589">
        <f>IF(AND(BaleMover[[#This Row],[Scenario_ID]]="S3",BaleMover[[#This Row],[MRF_ID]]="05"),0,IFERROR(BaleMover[[#This Row],[Total_Baled_tons]]*(IF(BaleMover[[#This Row],[Scenario_ID]]="S0",-2,0)+INDEX(BalePrices[Low],MATCH(BaleMover[[#This Row],[Bale_ID]],BalePrices[Bale_ID],0))),0))</f>
        <v>0</v>
      </c>
      <c r="X150" s="397">
        <f>IF(AND(BaleMover[[#This Row],[Scenario_ID]]="S3",BaleMover[[#This Row],[MRF_ID]]="05"),0,IFERROR(BaleMover[[#This Row],[Total_Baled_tons]]*(IF(BaleMover[[#This Row],[Scenario_ID]]="S0",-2,0)+INDEX(BalePrices[Mid-Point],MATCH(BaleMover[[#This Row],[Bale_ID]],BalePrices[Bale_ID],0))),0))</f>
        <v>0</v>
      </c>
      <c r="Y150" s="397">
        <f>IF(AND(BaleMover[[#This Row],[Scenario_ID]]="S3",BaleMover[[#This Row],[MRF_ID]]="05"),0,IFERROR(BaleMover[[#This Row],[Total_Baled_tons]]*(IF(BaleMover[[#This Row],[Scenario_ID]]="S0",-2,0)+INDEX(BalePrices[High],MATCH(BaleMover[[#This Row],[Bale_ID]],BalePrices[Bale_ID],0))),0))</f>
        <v>0</v>
      </c>
    </row>
    <row r="151" spans="2:25" x14ac:dyDescent="0.2">
      <c r="B151" s="545" t="s">
        <v>875</v>
      </c>
      <c r="C151" s="499" t="s">
        <v>712</v>
      </c>
      <c r="D151" s="499"/>
      <c r="E151" s="499"/>
      <c r="F151" s="499" t="s">
        <v>1993</v>
      </c>
      <c r="G151" s="499" t="s">
        <v>2078</v>
      </c>
      <c r="H151" s="499" t="s">
        <v>1317</v>
      </c>
      <c r="I151" s="499" t="s">
        <v>981</v>
      </c>
      <c r="J151" s="499" t="s">
        <v>3674</v>
      </c>
      <c r="K151" s="499" t="s">
        <v>2076</v>
      </c>
      <c r="L151" s="499">
        <v>13</v>
      </c>
      <c r="M151" s="499" t="s">
        <v>2082</v>
      </c>
      <c r="N151" s="499" t="s">
        <v>2060</v>
      </c>
      <c r="O151" s="525">
        <v>0</v>
      </c>
      <c r="P151" s="499" t="s">
        <v>2054</v>
      </c>
      <c r="Q151" s="499"/>
      <c r="R151" s="499"/>
      <c r="S151" s="525"/>
      <c r="T151" s="525">
        <v>0</v>
      </c>
      <c r="U151" s="525">
        <v>1</v>
      </c>
      <c r="V151" s="525" t="s">
        <v>2054</v>
      </c>
      <c r="W151" s="589">
        <f>IF(AND(BaleMover[[#This Row],[Scenario_ID]]="S3",BaleMover[[#This Row],[MRF_ID]]="05"),0,IFERROR(BaleMover[[#This Row],[Total_Baled_tons]]*(IF(BaleMover[[#This Row],[Scenario_ID]]="S0",-2,0)+INDEX(BalePrices[Low],MATCH(BaleMover[[#This Row],[Bale_ID]],BalePrices[Bale_ID],0))),0))</f>
        <v>0</v>
      </c>
      <c r="X151" s="397">
        <f>IF(AND(BaleMover[[#This Row],[Scenario_ID]]="S3",BaleMover[[#This Row],[MRF_ID]]="05"),0,IFERROR(BaleMover[[#This Row],[Total_Baled_tons]]*(IF(BaleMover[[#This Row],[Scenario_ID]]="S0",-2,0)+INDEX(BalePrices[Mid-Point],MATCH(BaleMover[[#This Row],[Bale_ID]],BalePrices[Bale_ID],0))),0))</f>
        <v>0</v>
      </c>
      <c r="Y151" s="397">
        <f>IF(AND(BaleMover[[#This Row],[Scenario_ID]]="S3",BaleMover[[#This Row],[MRF_ID]]="05"),0,IFERROR(BaleMover[[#This Row],[Total_Baled_tons]]*(IF(BaleMover[[#This Row],[Scenario_ID]]="S0",-2,0)+INDEX(BalePrices[High],MATCH(BaleMover[[#This Row],[Bale_ID]],BalePrices[Bale_ID],0))),0))</f>
        <v>0</v>
      </c>
    </row>
    <row r="152" spans="2:25" x14ac:dyDescent="0.2">
      <c r="B152" s="545" t="s">
        <v>874</v>
      </c>
      <c r="C152" s="499" t="s">
        <v>712</v>
      </c>
      <c r="D152" s="499"/>
      <c r="E152" s="499"/>
      <c r="F152" s="499" t="s">
        <v>1993</v>
      </c>
      <c r="G152" s="499" t="s">
        <v>2079</v>
      </c>
      <c r="H152" s="499" t="s">
        <v>1318</v>
      </c>
      <c r="I152" s="499" t="s">
        <v>981</v>
      </c>
      <c r="J152" s="499" t="s">
        <v>3674</v>
      </c>
      <c r="K152" s="499" t="s">
        <v>2076</v>
      </c>
      <c r="L152" s="499">
        <v>13</v>
      </c>
      <c r="M152" s="499" t="s">
        <v>2082</v>
      </c>
      <c r="N152" s="499" t="s">
        <v>2060</v>
      </c>
      <c r="O152" s="525">
        <v>0</v>
      </c>
      <c r="P152" s="499" t="s">
        <v>2054</v>
      </c>
      <c r="Q152" s="499"/>
      <c r="R152" s="499"/>
      <c r="S152" s="525"/>
      <c r="T152" s="525">
        <v>0</v>
      </c>
      <c r="U152" s="525">
        <v>1</v>
      </c>
      <c r="V152" s="525" t="s">
        <v>2054</v>
      </c>
      <c r="W152" s="589">
        <f>IF(AND(BaleMover[[#This Row],[Scenario_ID]]="S3",BaleMover[[#This Row],[MRF_ID]]="05"),0,IFERROR(BaleMover[[#This Row],[Total_Baled_tons]]*(IF(BaleMover[[#This Row],[Scenario_ID]]="S0",-2,0)+INDEX(BalePrices[Low],MATCH(BaleMover[[#This Row],[Bale_ID]],BalePrices[Bale_ID],0))),0))</f>
        <v>0</v>
      </c>
      <c r="X152" s="397">
        <f>IF(AND(BaleMover[[#This Row],[Scenario_ID]]="S3",BaleMover[[#This Row],[MRF_ID]]="05"),0,IFERROR(BaleMover[[#This Row],[Total_Baled_tons]]*(IF(BaleMover[[#This Row],[Scenario_ID]]="S0",-2,0)+INDEX(BalePrices[Mid-Point],MATCH(BaleMover[[#This Row],[Bale_ID]],BalePrices[Bale_ID],0))),0))</f>
        <v>0</v>
      </c>
      <c r="Y152" s="397">
        <f>IF(AND(BaleMover[[#This Row],[Scenario_ID]]="S3",BaleMover[[#This Row],[MRF_ID]]="05"),0,IFERROR(BaleMover[[#This Row],[Total_Baled_tons]]*(IF(BaleMover[[#This Row],[Scenario_ID]]="S0",-2,0)+INDEX(BalePrices[High],MATCH(BaleMover[[#This Row],[Bale_ID]],BalePrices[Bale_ID],0))),0))</f>
        <v>0</v>
      </c>
    </row>
    <row r="153" spans="2:25" x14ac:dyDescent="0.2">
      <c r="B153" s="545" t="s">
        <v>873</v>
      </c>
      <c r="C153" s="499" t="s">
        <v>712</v>
      </c>
      <c r="D153" s="499"/>
      <c r="E153" s="499"/>
      <c r="F153" s="499" t="s">
        <v>1993</v>
      </c>
      <c r="G153" s="499" t="s">
        <v>2080</v>
      </c>
      <c r="H153" s="499" t="s">
        <v>1319</v>
      </c>
      <c r="I153" s="499" t="s">
        <v>981</v>
      </c>
      <c r="J153" s="499" t="s">
        <v>3674</v>
      </c>
      <c r="K153" s="499" t="s">
        <v>2076</v>
      </c>
      <c r="L153" s="499">
        <v>13</v>
      </c>
      <c r="M153" s="499" t="s">
        <v>2082</v>
      </c>
      <c r="N153" s="499" t="s">
        <v>2060</v>
      </c>
      <c r="O153" s="525">
        <v>0</v>
      </c>
      <c r="P153" s="499" t="s">
        <v>2054</v>
      </c>
      <c r="Q153" s="499"/>
      <c r="R153" s="499"/>
      <c r="S153" s="525"/>
      <c r="T153" s="525">
        <v>0</v>
      </c>
      <c r="U153" s="525">
        <v>1</v>
      </c>
      <c r="V153" s="525" t="s">
        <v>2054</v>
      </c>
      <c r="W153" s="589">
        <f>IF(AND(BaleMover[[#This Row],[Scenario_ID]]="S3",BaleMover[[#This Row],[MRF_ID]]="05"),0,IFERROR(BaleMover[[#This Row],[Total_Baled_tons]]*(IF(BaleMover[[#This Row],[Scenario_ID]]="S0",-2,0)+INDEX(BalePrices[Low],MATCH(BaleMover[[#This Row],[Bale_ID]],BalePrices[Bale_ID],0))),0))</f>
        <v>0</v>
      </c>
      <c r="X153" s="397">
        <f>IF(AND(BaleMover[[#This Row],[Scenario_ID]]="S3",BaleMover[[#This Row],[MRF_ID]]="05"),0,IFERROR(BaleMover[[#This Row],[Total_Baled_tons]]*(IF(BaleMover[[#This Row],[Scenario_ID]]="S0",-2,0)+INDEX(BalePrices[Mid-Point],MATCH(BaleMover[[#This Row],[Bale_ID]],BalePrices[Bale_ID],0))),0))</f>
        <v>0</v>
      </c>
      <c r="Y153" s="397">
        <f>IF(AND(BaleMover[[#This Row],[Scenario_ID]]="S3",BaleMover[[#This Row],[MRF_ID]]="05"),0,IFERROR(BaleMover[[#This Row],[Total_Baled_tons]]*(IF(BaleMover[[#This Row],[Scenario_ID]]="S0",-2,0)+INDEX(BalePrices[High],MATCH(BaleMover[[#This Row],[Bale_ID]],BalePrices[Bale_ID],0))),0))</f>
        <v>0</v>
      </c>
    </row>
    <row r="154" spans="2:25" x14ac:dyDescent="0.2">
      <c r="B154" s="545" t="s">
        <v>876</v>
      </c>
      <c r="C154" s="499" t="s">
        <v>712</v>
      </c>
      <c r="D154" s="499"/>
      <c r="E154" s="499"/>
      <c r="F154" s="499" t="s">
        <v>1993</v>
      </c>
      <c r="G154" s="499" t="s">
        <v>2075</v>
      </c>
      <c r="H154" s="499" t="s">
        <v>1320</v>
      </c>
      <c r="I154" s="499" t="s">
        <v>982</v>
      </c>
      <c r="J154" s="499" t="s">
        <v>983</v>
      </c>
      <c r="K154" s="499" t="s">
        <v>2076</v>
      </c>
      <c r="L154" s="499">
        <v>10</v>
      </c>
      <c r="M154" s="499" t="s">
        <v>2083</v>
      </c>
      <c r="N154" s="499" t="s">
        <v>2062</v>
      </c>
      <c r="O154" s="525">
        <v>2663.7484371571404</v>
      </c>
      <c r="P154" s="499">
        <v>670</v>
      </c>
      <c r="Q154" s="499"/>
      <c r="R154" s="499"/>
      <c r="S154" s="525"/>
      <c r="T154" s="525">
        <v>0</v>
      </c>
      <c r="U154" s="525">
        <v>1</v>
      </c>
      <c r="V154" s="525">
        <v>1784711.4528952842</v>
      </c>
      <c r="W154" s="589">
        <f>IF(AND(BaleMover[[#This Row],[Scenario_ID]]="S3",BaleMover[[#This Row],[MRF_ID]]="05"),0,IFERROR(BaleMover[[#This Row],[Total_Baled_tons]]*(IF(BaleMover[[#This Row],[Scenario_ID]]="S0",-2,0)+INDEX(BalePrices[Low],MATCH(BaleMover[[#This Row],[Bale_ID]],BalePrices[Bale_ID],0))),0))</f>
        <v>500784.7061855424</v>
      </c>
      <c r="X154" s="397">
        <f>IF(AND(BaleMover[[#This Row],[Scenario_ID]]="S3",BaleMover[[#This Row],[MRF_ID]]="05"),0,IFERROR(BaleMover[[#This Row],[Total_Baled_tons]]*(IF(BaleMover[[#This Row],[Scenario_ID]]="S0",-2,0)+INDEX(BalePrices[Mid-Point],MATCH(BaleMover[[#This Row],[Bale_ID]],BalePrices[Bale_ID],0))),0))</f>
        <v>647290.87022918509</v>
      </c>
      <c r="Y154" s="397">
        <f>IF(AND(BaleMover[[#This Row],[Scenario_ID]]="S3",BaleMover[[#This Row],[MRF_ID]]="05"),0,IFERROR(BaleMover[[#This Row],[Total_Baled_tons]]*(IF(BaleMover[[#This Row],[Scenario_ID]]="S0",-2,0)+INDEX(BalePrices[High],MATCH(BaleMover[[#This Row],[Bale_ID]],BalePrices[Bale_ID],0))),0))</f>
        <v>793797.03427282779</v>
      </c>
    </row>
    <row r="155" spans="2:25" x14ac:dyDescent="0.2">
      <c r="B155" s="545" t="s">
        <v>875</v>
      </c>
      <c r="C155" s="499" t="s">
        <v>712</v>
      </c>
      <c r="D155" s="499"/>
      <c r="E155" s="499"/>
      <c r="F155" s="499" t="s">
        <v>1993</v>
      </c>
      <c r="G155" s="499" t="s">
        <v>2078</v>
      </c>
      <c r="H155" s="499" t="s">
        <v>1321</v>
      </c>
      <c r="I155" s="499" t="s">
        <v>982</v>
      </c>
      <c r="J155" s="499" t="s">
        <v>983</v>
      </c>
      <c r="K155" s="499" t="s">
        <v>2076</v>
      </c>
      <c r="L155" s="499">
        <v>10</v>
      </c>
      <c r="M155" s="499" t="s">
        <v>2083</v>
      </c>
      <c r="N155" s="499" t="s">
        <v>2062</v>
      </c>
      <c r="O155" s="525">
        <v>2458.9204460564401</v>
      </c>
      <c r="P155" s="499">
        <v>670</v>
      </c>
      <c r="Q155" s="499"/>
      <c r="R155" s="499"/>
      <c r="S155" s="525"/>
      <c r="T155" s="525">
        <v>0</v>
      </c>
      <c r="U155" s="525">
        <v>1</v>
      </c>
      <c r="V155" s="525">
        <v>1647476.698857815</v>
      </c>
      <c r="W155" s="589">
        <f>IF(AND(BaleMover[[#This Row],[Scenario_ID]]="S3",BaleMover[[#This Row],[MRF_ID]]="05"),0,IFERROR(BaleMover[[#This Row],[Total_Baled_tons]]*(IF(BaleMover[[#This Row],[Scenario_ID]]="S0",-2,0)+INDEX(BalePrices[Low],MATCH(BaleMover[[#This Row],[Bale_ID]],BalePrices[Bale_ID],0))),0))</f>
        <v>467194.88475072361</v>
      </c>
      <c r="X155" s="397">
        <f>IF(AND(BaleMover[[#This Row],[Scenario_ID]]="S3",BaleMover[[#This Row],[MRF_ID]]="05"),0,IFERROR(BaleMover[[#This Row],[Total_Baled_tons]]*(IF(BaleMover[[#This Row],[Scenario_ID]]="S0",-2,0)+INDEX(BalePrices[Mid-Point],MATCH(BaleMover[[#This Row],[Bale_ID]],BalePrices[Bale_ID],0))),0))</f>
        <v>602435.50928382785</v>
      </c>
      <c r="Y155" s="397">
        <f>IF(AND(BaleMover[[#This Row],[Scenario_ID]]="S3",BaleMover[[#This Row],[MRF_ID]]="05"),0,IFERROR(BaleMover[[#This Row],[Total_Baled_tons]]*(IF(BaleMover[[#This Row],[Scenario_ID]]="S0",-2,0)+INDEX(BalePrices[High],MATCH(BaleMover[[#This Row],[Bale_ID]],BalePrices[Bale_ID],0))),0))</f>
        <v>737676.1338169321</v>
      </c>
    </row>
    <row r="156" spans="2:25" x14ac:dyDescent="0.2">
      <c r="B156" s="545" t="s">
        <v>874</v>
      </c>
      <c r="C156" s="499" t="s">
        <v>712</v>
      </c>
      <c r="D156" s="499"/>
      <c r="E156" s="499"/>
      <c r="F156" s="499" t="s">
        <v>1993</v>
      </c>
      <c r="G156" s="499" t="s">
        <v>2079</v>
      </c>
      <c r="H156" s="499" t="s">
        <v>1322</v>
      </c>
      <c r="I156" s="499" t="s">
        <v>982</v>
      </c>
      <c r="J156" s="499" t="s">
        <v>983</v>
      </c>
      <c r="K156" s="499" t="s">
        <v>2076</v>
      </c>
      <c r="L156" s="499">
        <v>10</v>
      </c>
      <c r="M156" s="499" t="s">
        <v>2083</v>
      </c>
      <c r="N156" s="499" t="s">
        <v>2062</v>
      </c>
      <c r="O156" s="525">
        <v>0</v>
      </c>
      <c r="P156" s="499" t="s">
        <v>2054</v>
      </c>
      <c r="Q156" s="499"/>
      <c r="R156" s="499"/>
      <c r="S156" s="525"/>
      <c r="T156" s="525">
        <v>0</v>
      </c>
      <c r="U156" s="525">
        <v>1</v>
      </c>
      <c r="V156" s="525" t="s">
        <v>2054</v>
      </c>
      <c r="W156" s="589">
        <f>IF(AND(BaleMover[[#This Row],[Scenario_ID]]="S3",BaleMover[[#This Row],[MRF_ID]]="05"),0,IFERROR(BaleMover[[#This Row],[Total_Baled_tons]]*(IF(BaleMover[[#This Row],[Scenario_ID]]="S0",-2,0)+INDEX(BalePrices[Low],MATCH(BaleMover[[#This Row],[Bale_ID]],BalePrices[Bale_ID],0))),0))</f>
        <v>0</v>
      </c>
      <c r="X156" s="397">
        <f>IF(AND(BaleMover[[#This Row],[Scenario_ID]]="S3",BaleMover[[#This Row],[MRF_ID]]="05"),0,IFERROR(BaleMover[[#This Row],[Total_Baled_tons]]*(IF(BaleMover[[#This Row],[Scenario_ID]]="S0",-2,0)+INDEX(BalePrices[Mid-Point],MATCH(BaleMover[[#This Row],[Bale_ID]],BalePrices[Bale_ID],0))),0))</f>
        <v>0</v>
      </c>
      <c r="Y156" s="397">
        <f>IF(AND(BaleMover[[#This Row],[Scenario_ID]]="S3",BaleMover[[#This Row],[MRF_ID]]="05"),0,IFERROR(BaleMover[[#This Row],[Total_Baled_tons]]*(IF(BaleMover[[#This Row],[Scenario_ID]]="S0",-2,0)+INDEX(BalePrices[High],MATCH(BaleMover[[#This Row],[Bale_ID]],BalePrices[Bale_ID],0))),0))</f>
        <v>0</v>
      </c>
    </row>
    <row r="157" spans="2:25" x14ac:dyDescent="0.2">
      <c r="B157" s="545" t="s">
        <v>873</v>
      </c>
      <c r="C157" s="499" t="s">
        <v>712</v>
      </c>
      <c r="D157" s="499"/>
      <c r="E157" s="499"/>
      <c r="F157" s="499" t="s">
        <v>1993</v>
      </c>
      <c r="G157" s="499" t="s">
        <v>2080</v>
      </c>
      <c r="H157" s="499" t="s">
        <v>1323</v>
      </c>
      <c r="I157" s="499" t="s">
        <v>982</v>
      </c>
      <c r="J157" s="499" t="s">
        <v>983</v>
      </c>
      <c r="K157" s="499" t="s">
        <v>2076</v>
      </c>
      <c r="L157" s="499">
        <v>10</v>
      </c>
      <c r="M157" s="499" t="s">
        <v>2083</v>
      </c>
      <c r="N157" s="499" t="s">
        <v>2062</v>
      </c>
      <c r="O157" s="525">
        <v>0</v>
      </c>
      <c r="P157" s="499" t="s">
        <v>2054</v>
      </c>
      <c r="Q157" s="499"/>
      <c r="R157" s="499"/>
      <c r="S157" s="525"/>
      <c r="T157" s="525">
        <v>0</v>
      </c>
      <c r="U157" s="525">
        <v>1</v>
      </c>
      <c r="V157" s="525" t="s">
        <v>2054</v>
      </c>
      <c r="W157" s="589">
        <f>IF(AND(BaleMover[[#This Row],[Scenario_ID]]="S3",BaleMover[[#This Row],[MRF_ID]]="05"),0,IFERROR(BaleMover[[#This Row],[Total_Baled_tons]]*(IF(BaleMover[[#This Row],[Scenario_ID]]="S0",-2,0)+INDEX(BalePrices[Low],MATCH(BaleMover[[#This Row],[Bale_ID]],BalePrices[Bale_ID],0))),0))</f>
        <v>0</v>
      </c>
      <c r="X157" s="397">
        <f>IF(AND(BaleMover[[#This Row],[Scenario_ID]]="S3",BaleMover[[#This Row],[MRF_ID]]="05"),0,IFERROR(BaleMover[[#This Row],[Total_Baled_tons]]*(IF(BaleMover[[#This Row],[Scenario_ID]]="S0",-2,0)+INDEX(BalePrices[Mid-Point],MATCH(BaleMover[[#This Row],[Bale_ID]],BalePrices[Bale_ID],0))),0))</f>
        <v>0</v>
      </c>
      <c r="Y157" s="397">
        <f>IF(AND(BaleMover[[#This Row],[Scenario_ID]]="S3",BaleMover[[#This Row],[MRF_ID]]="05"),0,IFERROR(BaleMover[[#This Row],[Total_Baled_tons]]*(IF(BaleMover[[#This Row],[Scenario_ID]]="S0",-2,0)+INDEX(BalePrices[High],MATCH(BaleMover[[#This Row],[Bale_ID]],BalePrices[Bale_ID],0))),0))</f>
        <v>0</v>
      </c>
    </row>
    <row r="158" spans="2:25" x14ac:dyDescent="0.2">
      <c r="B158" s="545" t="s">
        <v>876</v>
      </c>
      <c r="C158" s="499" t="s">
        <v>712</v>
      </c>
      <c r="D158" s="499"/>
      <c r="E158" s="499"/>
      <c r="F158" s="499" t="s">
        <v>1993</v>
      </c>
      <c r="G158" s="499" t="s">
        <v>2075</v>
      </c>
      <c r="H158" s="499" t="s">
        <v>1324</v>
      </c>
      <c r="I158" s="499" t="s">
        <v>984</v>
      </c>
      <c r="J158" s="499" t="s">
        <v>985</v>
      </c>
      <c r="K158" s="499" t="s">
        <v>2076</v>
      </c>
      <c r="L158" s="499">
        <v>11</v>
      </c>
      <c r="M158" s="499" t="s">
        <v>2084</v>
      </c>
      <c r="N158" s="499" t="s">
        <v>2064</v>
      </c>
      <c r="O158" s="525">
        <v>0</v>
      </c>
      <c r="P158" s="499" t="s">
        <v>2054</v>
      </c>
      <c r="Q158" s="499"/>
      <c r="R158" s="499"/>
      <c r="S158" s="525"/>
      <c r="T158" s="525">
        <v>0</v>
      </c>
      <c r="U158" s="525">
        <v>1</v>
      </c>
      <c r="V158" s="525" t="s">
        <v>2054</v>
      </c>
      <c r="W158" s="589">
        <f>IF(AND(BaleMover[[#This Row],[Scenario_ID]]="S3",BaleMover[[#This Row],[MRF_ID]]="05"),0,IFERROR(BaleMover[[#This Row],[Total_Baled_tons]]*(IF(BaleMover[[#This Row],[Scenario_ID]]="S0",-2,0)+INDEX(BalePrices[Low],MATCH(BaleMover[[#This Row],[Bale_ID]],BalePrices[Bale_ID],0))),0))</f>
        <v>0</v>
      </c>
      <c r="X158" s="397">
        <f>IF(AND(BaleMover[[#This Row],[Scenario_ID]]="S3",BaleMover[[#This Row],[MRF_ID]]="05"),0,IFERROR(BaleMover[[#This Row],[Total_Baled_tons]]*(IF(BaleMover[[#This Row],[Scenario_ID]]="S0",-2,0)+INDEX(BalePrices[Mid-Point],MATCH(BaleMover[[#This Row],[Bale_ID]],BalePrices[Bale_ID],0))),0))</f>
        <v>0</v>
      </c>
      <c r="Y158" s="397">
        <f>IF(AND(BaleMover[[#This Row],[Scenario_ID]]="S3",BaleMover[[#This Row],[MRF_ID]]="05"),0,IFERROR(BaleMover[[#This Row],[Total_Baled_tons]]*(IF(BaleMover[[#This Row],[Scenario_ID]]="S0",-2,0)+INDEX(BalePrices[High],MATCH(BaleMover[[#This Row],[Bale_ID]],BalePrices[Bale_ID],0))),0))</f>
        <v>0</v>
      </c>
    </row>
    <row r="159" spans="2:25" x14ac:dyDescent="0.2">
      <c r="B159" s="545" t="s">
        <v>875</v>
      </c>
      <c r="C159" s="499" t="s">
        <v>712</v>
      </c>
      <c r="D159" s="499"/>
      <c r="E159" s="499"/>
      <c r="F159" s="499" t="s">
        <v>1993</v>
      </c>
      <c r="G159" s="499" t="s">
        <v>2078</v>
      </c>
      <c r="H159" s="499" t="s">
        <v>1325</v>
      </c>
      <c r="I159" s="499" t="s">
        <v>984</v>
      </c>
      <c r="J159" s="499" t="s">
        <v>985</v>
      </c>
      <c r="K159" s="499" t="s">
        <v>2076</v>
      </c>
      <c r="L159" s="499">
        <v>11</v>
      </c>
      <c r="M159" s="499" t="s">
        <v>2084</v>
      </c>
      <c r="N159" s="499" t="s">
        <v>2064</v>
      </c>
      <c r="O159" s="525">
        <v>0</v>
      </c>
      <c r="P159" s="499" t="s">
        <v>2054</v>
      </c>
      <c r="Q159" s="499"/>
      <c r="R159" s="499"/>
      <c r="S159" s="525"/>
      <c r="T159" s="525">
        <v>0</v>
      </c>
      <c r="U159" s="525">
        <v>1</v>
      </c>
      <c r="V159" s="525" t="s">
        <v>2054</v>
      </c>
      <c r="W159" s="589">
        <f>IF(AND(BaleMover[[#This Row],[Scenario_ID]]="S3",BaleMover[[#This Row],[MRF_ID]]="05"),0,IFERROR(BaleMover[[#This Row],[Total_Baled_tons]]*(IF(BaleMover[[#This Row],[Scenario_ID]]="S0",-2,0)+INDEX(BalePrices[Low],MATCH(BaleMover[[#This Row],[Bale_ID]],BalePrices[Bale_ID],0))),0))</f>
        <v>0</v>
      </c>
      <c r="X159" s="397">
        <f>IF(AND(BaleMover[[#This Row],[Scenario_ID]]="S3",BaleMover[[#This Row],[MRF_ID]]="05"),0,IFERROR(BaleMover[[#This Row],[Total_Baled_tons]]*(IF(BaleMover[[#This Row],[Scenario_ID]]="S0",-2,0)+INDEX(BalePrices[Mid-Point],MATCH(BaleMover[[#This Row],[Bale_ID]],BalePrices[Bale_ID],0))),0))</f>
        <v>0</v>
      </c>
      <c r="Y159" s="397">
        <f>IF(AND(BaleMover[[#This Row],[Scenario_ID]]="S3",BaleMover[[#This Row],[MRF_ID]]="05"),0,IFERROR(BaleMover[[#This Row],[Total_Baled_tons]]*(IF(BaleMover[[#This Row],[Scenario_ID]]="S0",-2,0)+INDEX(BalePrices[High],MATCH(BaleMover[[#This Row],[Bale_ID]],BalePrices[Bale_ID],0))),0))</f>
        <v>0</v>
      </c>
    </row>
    <row r="160" spans="2:25" x14ac:dyDescent="0.2">
      <c r="B160" s="545" t="s">
        <v>874</v>
      </c>
      <c r="C160" s="499" t="s">
        <v>712</v>
      </c>
      <c r="D160" s="499"/>
      <c r="E160" s="499"/>
      <c r="F160" s="499" t="s">
        <v>1993</v>
      </c>
      <c r="G160" s="499" t="s">
        <v>2079</v>
      </c>
      <c r="H160" s="499" t="s">
        <v>1326</v>
      </c>
      <c r="I160" s="499" t="s">
        <v>984</v>
      </c>
      <c r="J160" s="499" t="s">
        <v>985</v>
      </c>
      <c r="K160" s="499" t="s">
        <v>2076</v>
      </c>
      <c r="L160" s="499">
        <v>11</v>
      </c>
      <c r="M160" s="499" t="s">
        <v>2084</v>
      </c>
      <c r="N160" s="499" t="s">
        <v>2064</v>
      </c>
      <c r="O160" s="525">
        <v>0</v>
      </c>
      <c r="P160" s="499" t="s">
        <v>2054</v>
      </c>
      <c r="Q160" s="499"/>
      <c r="R160" s="499"/>
      <c r="S160" s="525"/>
      <c r="T160" s="525">
        <v>0</v>
      </c>
      <c r="U160" s="525">
        <v>1</v>
      </c>
      <c r="V160" s="525" t="s">
        <v>2054</v>
      </c>
      <c r="W160" s="589">
        <f>IF(AND(BaleMover[[#This Row],[Scenario_ID]]="S3",BaleMover[[#This Row],[MRF_ID]]="05"),0,IFERROR(BaleMover[[#This Row],[Total_Baled_tons]]*(IF(BaleMover[[#This Row],[Scenario_ID]]="S0",-2,0)+INDEX(BalePrices[Low],MATCH(BaleMover[[#This Row],[Bale_ID]],BalePrices[Bale_ID],0))),0))</f>
        <v>0</v>
      </c>
      <c r="X160" s="397">
        <f>IF(AND(BaleMover[[#This Row],[Scenario_ID]]="S3",BaleMover[[#This Row],[MRF_ID]]="05"),0,IFERROR(BaleMover[[#This Row],[Total_Baled_tons]]*(IF(BaleMover[[#This Row],[Scenario_ID]]="S0",-2,0)+INDEX(BalePrices[Mid-Point],MATCH(BaleMover[[#This Row],[Bale_ID]],BalePrices[Bale_ID],0))),0))</f>
        <v>0</v>
      </c>
      <c r="Y160" s="397">
        <f>IF(AND(BaleMover[[#This Row],[Scenario_ID]]="S3",BaleMover[[#This Row],[MRF_ID]]="05"),0,IFERROR(BaleMover[[#This Row],[Total_Baled_tons]]*(IF(BaleMover[[#This Row],[Scenario_ID]]="S0",-2,0)+INDEX(BalePrices[High],MATCH(BaleMover[[#This Row],[Bale_ID]],BalePrices[Bale_ID],0))),0))</f>
        <v>0</v>
      </c>
    </row>
    <row r="161" spans="2:25" x14ac:dyDescent="0.2">
      <c r="B161" s="545" t="s">
        <v>873</v>
      </c>
      <c r="C161" s="499" t="s">
        <v>712</v>
      </c>
      <c r="D161" s="499"/>
      <c r="E161" s="499"/>
      <c r="F161" s="499" t="s">
        <v>1993</v>
      </c>
      <c r="G161" s="499" t="s">
        <v>2080</v>
      </c>
      <c r="H161" s="499" t="s">
        <v>1327</v>
      </c>
      <c r="I161" s="499" t="s">
        <v>984</v>
      </c>
      <c r="J161" s="499" t="s">
        <v>985</v>
      </c>
      <c r="K161" s="499" t="s">
        <v>2076</v>
      </c>
      <c r="L161" s="499">
        <v>11</v>
      </c>
      <c r="M161" s="499" t="s">
        <v>2084</v>
      </c>
      <c r="N161" s="499" t="s">
        <v>2064</v>
      </c>
      <c r="O161" s="525">
        <v>0</v>
      </c>
      <c r="P161" s="499" t="s">
        <v>2054</v>
      </c>
      <c r="Q161" s="499"/>
      <c r="R161" s="499"/>
      <c r="S161" s="525"/>
      <c r="T161" s="525">
        <v>0</v>
      </c>
      <c r="U161" s="525">
        <v>1</v>
      </c>
      <c r="V161" s="525" t="s">
        <v>2054</v>
      </c>
      <c r="W161" s="589">
        <f>IF(AND(BaleMover[[#This Row],[Scenario_ID]]="S3",BaleMover[[#This Row],[MRF_ID]]="05"),0,IFERROR(BaleMover[[#This Row],[Total_Baled_tons]]*(IF(BaleMover[[#This Row],[Scenario_ID]]="S0",-2,0)+INDEX(BalePrices[Low],MATCH(BaleMover[[#This Row],[Bale_ID]],BalePrices[Bale_ID],0))),0))</f>
        <v>0</v>
      </c>
      <c r="X161" s="397">
        <f>IF(AND(BaleMover[[#This Row],[Scenario_ID]]="S3",BaleMover[[#This Row],[MRF_ID]]="05"),0,IFERROR(BaleMover[[#This Row],[Total_Baled_tons]]*(IF(BaleMover[[#This Row],[Scenario_ID]]="S0",-2,0)+INDEX(BalePrices[Mid-Point],MATCH(BaleMover[[#This Row],[Bale_ID]],BalePrices[Bale_ID],0))),0))</f>
        <v>0</v>
      </c>
      <c r="Y161" s="397">
        <f>IF(AND(BaleMover[[#This Row],[Scenario_ID]]="S3",BaleMover[[#This Row],[MRF_ID]]="05"),0,IFERROR(BaleMover[[#This Row],[Total_Baled_tons]]*(IF(BaleMover[[#This Row],[Scenario_ID]]="S0",-2,0)+INDEX(BalePrices[High],MATCH(BaleMover[[#This Row],[Bale_ID]],BalePrices[Bale_ID],0))),0))</f>
        <v>0</v>
      </c>
    </row>
    <row r="162" spans="2:25" x14ac:dyDescent="0.2">
      <c r="B162" s="545" t="s">
        <v>876</v>
      </c>
      <c r="C162" s="499" t="s">
        <v>712</v>
      </c>
      <c r="D162" s="499"/>
      <c r="E162" s="499"/>
      <c r="F162" s="499" t="s">
        <v>1993</v>
      </c>
      <c r="G162" s="499" t="s">
        <v>2075</v>
      </c>
      <c r="H162" s="499" t="s">
        <v>1328</v>
      </c>
      <c r="I162" s="499" t="s">
        <v>986</v>
      </c>
      <c r="J162" s="499" t="s">
        <v>987</v>
      </c>
      <c r="K162" s="499" t="s">
        <v>2076</v>
      </c>
      <c r="L162" s="499">
        <v>8</v>
      </c>
      <c r="M162" s="499" t="s">
        <v>2085</v>
      </c>
      <c r="N162" s="499" t="s">
        <v>2068</v>
      </c>
      <c r="O162" s="525">
        <v>821.43492226863987</v>
      </c>
      <c r="P162" s="499">
        <v>315</v>
      </c>
      <c r="Q162" s="499"/>
      <c r="R162" s="499"/>
      <c r="S162" s="525"/>
      <c r="T162" s="525">
        <v>0</v>
      </c>
      <c r="U162" s="525">
        <v>1</v>
      </c>
      <c r="V162" s="525">
        <v>258752.00051462156</v>
      </c>
      <c r="W162" s="589">
        <f>IF(AND(BaleMover[[#This Row],[Scenario_ID]]="S3",BaleMover[[#This Row],[MRF_ID]]="05"),0,IFERROR(BaleMover[[#This Row],[Total_Baled_tons]]*(IF(BaleMover[[#This Row],[Scenario_ID]]="S0",-2,0)+INDEX(BalePrices[Low],MATCH(BaleMover[[#This Row],[Bale_ID]],BalePrices[Bale_ID],0))),0))</f>
        <v>326931.09906291869</v>
      </c>
      <c r="X162" s="397">
        <f>IF(AND(BaleMover[[#This Row],[Scenario_ID]]="S3",BaleMover[[#This Row],[MRF_ID]]="05"),0,IFERROR(BaleMover[[#This Row],[Total_Baled_tons]]*(IF(BaleMover[[#This Row],[Scenario_ID]]="S0",-2,0)+INDEX(BalePrices[Mid-Point],MATCH(BaleMover[[#This Row],[Bale_ID]],BalePrices[Bale_ID],0))),0))</f>
        <v>589790.27418888337</v>
      </c>
      <c r="Y162" s="397">
        <f>IF(AND(BaleMover[[#This Row],[Scenario_ID]]="S3",BaleMover[[#This Row],[MRF_ID]]="05"),0,IFERROR(BaleMover[[#This Row],[Total_Baled_tons]]*(IF(BaleMover[[#This Row],[Scenario_ID]]="S0",-2,0)+INDEX(BalePrices[High],MATCH(BaleMover[[#This Row],[Bale_ID]],BalePrices[Bale_ID],0))),0))</f>
        <v>852649.44931484817</v>
      </c>
    </row>
    <row r="163" spans="2:25" x14ac:dyDescent="0.2">
      <c r="B163" s="545" t="s">
        <v>875</v>
      </c>
      <c r="C163" s="499" t="s">
        <v>712</v>
      </c>
      <c r="D163" s="499"/>
      <c r="E163" s="499"/>
      <c r="F163" s="499" t="s">
        <v>1993</v>
      </c>
      <c r="G163" s="499" t="s">
        <v>2078</v>
      </c>
      <c r="H163" s="499" t="s">
        <v>1329</v>
      </c>
      <c r="I163" s="499" t="s">
        <v>986</v>
      </c>
      <c r="J163" s="499" t="s">
        <v>987</v>
      </c>
      <c r="K163" s="499" t="s">
        <v>2076</v>
      </c>
      <c r="L163" s="499">
        <v>8</v>
      </c>
      <c r="M163" s="499" t="s">
        <v>2085</v>
      </c>
      <c r="N163" s="499" t="s">
        <v>2068</v>
      </c>
      <c r="O163" s="525">
        <v>768.5985606682832</v>
      </c>
      <c r="P163" s="499">
        <v>315</v>
      </c>
      <c r="Q163" s="499"/>
      <c r="R163" s="499"/>
      <c r="S163" s="525"/>
      <c r="T163" s="525">
        <v>0</v>
      </c>
      <c r="U163" s="525">
        <v>1</v>
      </c>
      <c r="V163" s="525">
        <v>242108.54661050922</v>
      </c>
      <c r="W163" s="589">
        <f>IF(AND(BaleMover[[#This Row],[Scenario_ID]]="S3",BaleMover[[#This Row],[MRF_ID]]="05"),0,IFERROR(BaleMover[[#This Row],[Total_Baled_tons]]*(IF(BaleMover[[#This Row],[Scenario_ID]]="S0",-2,0)+INDEX(BalePrices[Low],MATCH(BaleMover[[#This Row],[Bale_ID]],BalePrices[Bale_ID],0))),0))</f>
        <v>307439.42426731327</v>
      </c>
      <c r="X163" s="397">
        <f>IF(AND(BaleMover[[#This Row],[Scenario_ID]]="S3",BaleMover[[#This Row],[MRF_ID]]="05"),0,IFERROR(BaleMover[[#This Row],[Total_Baled_tons]]*(IF(BaleMover[[#This Row],[Scenario_ID]]="S0",-2,0)+INDEX(BalePrices[Mid-Point],MATCH(BaleMover[[#This Row],[Bale_ID]],BalePrices[Bale_ID],0))),0))</f>
        <v>553390.96368116385</v>
      </c>
      <c r="Y163" s="397">
        <f>IF(AND(BaleMover[[#This Row],[Scenario_ID]]="S3",BaleMover[[#This Row],[MRF_ID]]="05"),0,IFERROR(BaleMover[[#This Row],[Total_Baled_tons]]*(IF(BaleMover[[#This Row],[Scenario_ID]]="S0",-2,0)+INDEX(BalePrices[High],MATCH(BaleMover[[#This Row],[Bale_ID]],BalePrices[Bale_ID],0))),0))</f>
        <v>799342.50309501449</v>
      </c>
    </row>
    <row r="164" spans="2:25" x14ac:dyDescent="0.2">
      <c r="B164" s="545" t="s">
        <v>874</v>
      </c>
      <c r="C164" s="499" t="s">
        <v>712</v>
      </c>
      <c r="D164" s="499"/>
      <c r="E164" s="499"/>
      <c r="F164" s="499" t="s">
        <v>1993</v>
      </c>
      <c r="G164" s="499" t="s">
        <v>2079</v>
      </c>
      <c r="H164" s="499" t="s">
        <v>1330</v>
      </c>
      <c r="I164" s="499" t="s">
        <v>986</v>
      </c>
      <c r="J164" s="499" t="s">
        <v>987</v>
      </c>
      <c r="K164" s="499" t="s">
        <v>2076</v>
      </c>
      <c r="L164" s="499">
        <v>8</v>
      </c>
      <c r="M164" s="499" t="s">
        <v>2085</v>
      </c>
      <c r="N164" s="499" t="s">
        <v>2068</v>
      </c>
      <c r="O164" s="525">
        <v>0</v>
      </c>
      <c r="P164" s="499" t="s">
        <v>2054</v>
      </c>
      <c r="Q164" s="499"/>
      <c r="R164" s="499"/>
      <c r="S164" s="525"/>
      <c r="T164" s="525">
        <v>0</v>
      </c>
      <c r="U164" s="525">
        <v>1</v>
      </c>
      <c r="V164" s="525" t="s">
        <v>2054</v>
      </c>
      <c r="W164" s="589">
        <f>IF(AND(BaleMover[[#This Row],[Scenario_ID]]="S3",BaleMover[[#This Row],[MRF_ID]]="05"),0,IFERROR(BaleMover[[#This Row],[Total_Baled_tons]]*(IF(BaleMover[[#This Row],[Scenario_ID]]="S0",-2,0)+INDEX(BalePrices[Low],MATCH(BaleMover[[#This Row],[Bale_ID]],BalePrices[Bale_ID],0))),0))</f>
        <v>0</v>
      </c>
      <c r="X164" s="397">
        <f>IF(AND(BaleMover[[#This Row],[Scenario_ID]]="S3",BaleMover[[#This Row],[MRF_ID]]="05"),0,IFERROR(BaleMover[[#This Row],[Total_Baled_tons]]*(IF(BaleMover[[#This Row],[Scenario_ID]]="S0",-2,0)+INDEX(BalePrices[Mid-Point],MATCH(BaleMover[[#This Row],[Bale_ID]],BalePrices[Bale_ID],0))),0))</f>
        <v>0</v>
      </c>
      <c r="Y164" s="397">
        <f>IF(AND(BaleMover[[#This Row],[Scenario_ID]]="S3",BaleMover[[#This Row],[MRF_ID]]="05"),0,IFERROR(BaleMover[[#This Row],[Total_Baled_tons]]*(IF(BaleMover[[#This Row],[Scenario_ID]]="S0",-2,0)+INDEX(BalePrices[High],MATCH(BaleMover[[#This Row],[Bale_ID]],BalePrices[Bale_ID],0))),0))</f>
        <v>0</v>
      </c>
    </row>
    <row r="165" spans="2:25" x14ac:dyDescent="0.2">
      <c r="B165" s="545" t="s">
        <v>873</v>
      </c>
      <c r="C165" s="499" t="s">
        <v>712</v>
      </c>
      <c r="D165" s="499"/>
      <c r="E165" s="499"/>
      <c r="F165" s="499" t="s">
        <v>1993</v>
      </c>
      <c r="G165" s="499" t="s">
        <v>2080</v>
      </c>
      <c r="H165" s="499" t="s">
        <v>1331</v>
      </c>
      <c r="I165" s="499" t="s">
        <v>986</v>
      </c>
      <c r="J165" s="499" t="s">
        <v>987</v>
      </c>
      <c r="K165" s="499" t="s">
        <v>2076</v>
      </c>
      <c r="L165" s="499">
        <v>8</v>
      </c>
      <c r="M165" s="499" t="s">
        <v>2085</v>
      </c>
      <c r="N165" s="499" t="s">
        <v>2068</v>
      </c>
      <c r="O165" s="525">
        <v>0</v>
      </c>
      <c r="P165" s="499" t="s">
        <v>2054</v>
      </c>
      <c r="Q165" s="499"/>
      <c r="R165" s="499"/>
      <c r="S165" s="525"/>
      <c r="T165" s="525">
        <v>0</v>
      </c>
      <c r="U165" s="525">
        <v>1</v>
      </c>
      <c r="V165" s="525" t="s">
        <v>2054</v>
      </c>
      <c r="W165" s="589">
        <f>IF(AND(BaleMover[[#This Row],[Scenario_ID]]="S3",BaleMover[[#This Row],[MRF_ID]]="05"),0,IFERROR(BaleMover[[#This Row],[Total_Baled_tons]]*(IF(BaleMover[[#This Row],[Scenario_ID]]="S0",-2,0)+INDEX(BalePrices[Low],MATCH(BaleMover[[#This Row],[Bale_ID]],BalePrices[Bale_ID],0))),0))</f>
        <v>0</v>
      </c>
      <c r="X165" s="397">
        <f>IF(AND(BaleMover[[#This Row],[Scenario_ID]]="S3",BaleMover[[#This Row],[MRF_ID]]="05"),0,IFERROR(BaleMover[[#This Row],[Total_Baled_tons]]*(IF(BaleMover[[#This Row],[Scenario_ID]]="S0",-2,0)+INDEX(BalePrices[Mid-Point],MATCH(BaleMover[[#This Row],[Bale_ID]],BalePrices[Bale_ID],0))),0))</f>
        <v>0</v>
      </c>
      <c r="Y165" s="397">
        <f>IF(AND(BaleMover[[#This Row],[Scenario_ID]]="S3",BaleMover[[#This Row],[MRF_ID]]="05"),0,IFERROR(BaleMover[[#This Row],[Total_Baled_tons]]*(IF(BaleMover[[#This Row],[Scenario_ID]]="S0",-2,0)+INDEX(BalePrices[High],MATCH(BaleMover[[#This Row],[Bale_ID]],BalePrices[Bale_ID],0))),0))</f>
        <v>0</v>
      </c>
    </row>
    <row r="166" spans="2:25" x14ac:dyDescent="0.2">
      <c r="B166" s="545" t="s">
        <v>876</v>
      </c>
      <c r="C166" s="499" t="s">
        <v>712</v>
      </c>
      <c r="D166" s="499"/>
      <c r="E166" s="499"/>
      <c r="F166" s="499" t="s">
        <v>1993</v>
      </c>
      <c r="G166" s="499" t="s">
        <v>2075</v>
      </c>
      <c r="H166" s="499" t="s">
        <v>1332</v>
      </c>
      <c r="I166" s="499" t="s">
        <v>988</v>
      </c>
      <c r="J166" s="499" t="s">
        <v>989</v>
      </c>
      <c r="K166" s="499" t="s">
        <v>2076</v>
      </c>
      <c r="L166" s="499">
        <v>8</v>
      </c>
      <c r="M166" s="499" t="s">
        <v>2085</v>
      </c>
      <c r="N166" s="499" t="s">
        <v>2068</v>
      </c>
      <c r="O166" s="525">
        <v>1129.4730181193795</v>
      </c>
      <c r="P166" s="499">
        <v>315</v>
      </c>
      <c r="Q166" s="499"/>
      <c r="R166" s="499"/>
      <c r="S166" s="525"/>
      <c r="T166" s="525">
        <v>0</v>
      </c>
      <c r="U166" s="525">
        <v>1</v>
      </c>
      <c r="V166" s="525">
        <v>355784.00070760451</v>
      </c>
      <c r="W166" s="589">
        <f>IF(AND(BaleMover[[#This Row],[Scenario_ID]]="S3",BaleMover[[#This Row],[MRF_ID]]="05"),0,IFERROR(BaleMover[[#This Row],[Total_Baled_tons]]*(IF(BaleMover[[#This Row],[Scenario_ID]]="S0",-2,0)+INDEX(BalePrices[Low],MATCH(BaleMover[[#This Row],[Bale_ID]],BalePrices[Bale_ID],0))),0))</f>
        <v>88098.895413311606</v>
      </c>
      <c r="X166" s="397">
        <f>IF(AND(BaleMover[[#This Row],[Scenario_ID]]="S3",BaleMover[[#This Row],[MRF_ID]]="05"),0,IFERROR(BaleMover[[#This Row],[Total_Baled_tons]]*(IF(BaleMover[[#This Row],[Scenario_ID]]="S0",-2,0)+INDEX(BalePrices[Mid-Point],MATCH(BaleMover[[#This Row],[Bale_ID]],BalePrices[Bale_ID],0))),0))</f>
        <v>240577.75285942783</v>
      </c>
      <c r="Y166" s="397">
        <f>IF(AND(BaleMover[[#This Row],[Scenario_ID]]="S3",BaleMover[[#This Row],[MRF_ID]]="05"),0,IFERROR(BaleMover[[#This Row],[Total_Baled_tons]]*(IF(BaleMover[[#This Row],[Scenario_ID]]="S0",-2,0)+INDEX(BalePrices[High],MATCH(BaleMover[[#This Row],[Bale_ID]],BalePrices[Bale_ID],0))),0))</f>
        <v>393056.61030554405</v>
      </c>
    </row>
    <row r="167" spans="2:25" x14ac:dyDescent="0.2">
      <c r="B167" s="545" t="s">
        <v>875</v>
      </c>
      <c r="C167" s="499" t="s">
        <v>712</v>
      </c>
      <c r="D167" s="499"/>
      <c r="E167" s="499"/>
      <c r="F167" s="499" t="s">
        <v>1993</v>
      </c>
      <c r="G167" s="499" t="s">
        <v>2078</v>
      </c>
      <c r="H167" s="499" t="s">
        <v>1333</v>
      </c>
      <c r="I167" s="499" t="s">
        <v>988</v>
      </c>
      <c r="J167" s="499" t="s">
        <v>989</v>
      </c>
      <c r="K167" s="499" t="s">
        <v>2076</v>
      </c>
      <c r="L167" s="499">
        <v>8</v>
      </c>
      <c r="M167" s="499" t="s">
        <v>2085</v>
      </c>
      <c r="N167" s="499" t="s">
        <v>2068</v>
      </c>
      <c r="O167" s="525">
        <v>1056.8230209188894</v>
      </c>
      <c r="P167" s="499">
        <v>315</v>
      </c>
      <c r="Q167" s="499"/>
      <c r="R167" s="499"/>
      <c r="S167" s="525"/>
      <c r="T167" s="525">
        <v>0</v>
      </c>
      <c r="U167" s="525">
        <v>1</v>
      </c>
      <c r="V167" s="525">
        <v>332899.25158945017</v>
      </c>
      <c r="W167" s="589">
        <f>IF(AND(BaleMover[[#This Row],[Scenario_ID]]="S3",BaleMover[[#This Row],[MRF_ID]]="05"),0,IFERROR(BaleMover[[#This Row],[Total_Baled_tons]]*(IF(BaleMover[[#This Row],[Scenario_ID]]="S0",-2,0)+INDEX(BalePrices[Low],MATCH(BaleMover[[#This Row],[Bale_ID]],BalePrices[Bale_ID],0))),0))</f>
        <v>84545.841673511153</v>
      </c>
      <c r="X167" s="397">
        <f>IF(AND(BaleMover[[#This Row],[Scenario_ID]]="S3",BaleMover[[#This Row],[MRF_ID]]="05"),0,IFERROR(BaleMover[[#This Row],[Total_Baled_tons]]*(IF(BaleMover[[#This Row],[Scenario_ID]]="S0",-2,0)+INDEX(BalePrices[Mid-Point],MATCH(BaleMover[[#This Row],[Bale_ID]],BalePrices[Bale_ID],0))),0))</f>
        <v>227216.9494975612</v>
      </c>
      <c r="Y167" s="397">
        <f>IF(AND(BaleMover[[#This Row],[Scenario_ID]]="S3",BaleMover[[#This Row],[MRF_ID]]="05"),0,IFERROR(BaleMover[[#This Row],[Total_Baled_tons]]*(IF(BaleMover[[#This Row],[Scenario_ID]]="S0",-2,0)+INDEX(BalePrices[High],MATCH(BaleMover[[#This Row],[Bale_ID]],BalePrices[Bale_ID],0))),0))</f>
        <v>369888.05732161127</v>
      </c>
    </row>
    <row r="168" spans="2:25" x14ac:dyDescent="0.2">
      <c r="B168" s="545" t="s">
        <v>874</v>
      </c>
      <c r="C168" s="499" t="s">
        <v>712</v>
      </c>
      <c r="D168" s="499"/>
      <c r="E168" s="499"/>
      <c r="F168" s="499" t="s">
        <v>1993</v>
      </c>
      <c r="G168" s="499" t="s">
        <v>2079</v>
      </c>
      <c r="H168" s="499" t="s">
        <v>1334</v>
      </c>
      <c r="I168" s="499" t="s">
        <v>988</v>
      </c>
      <c r="J168" s="499" t="s">
        <v>989</v>
      </c>
      <c r="K168" s="499" t="s">
        <v>2076</v>
      </c>
      <c r="L168" s="499">
        <v>8</v>
      </c>
      <c r="M168" s="499" t="s">
        <v>2085</v>
      </c>
      <c r="N168" s="499" t="s">
        <v>2068</v>
      </c>
      <c r="O168" s="525">
        <v>0</v>
      </c>
      <c r="P168" s="499" t="s">
        <v>2054</v>
      </c>
      <c r="Q168" s="499"/>
      <c r="R168" s="499"/>
      <c r="S168" s="525"/>
      <c r="T168" s="525">
        <v>0</v>
      </c>
      <c r="U168" s="525">
        <v>1</v>
      </c>
      <c r="V168" s="525" t="s">
        <v>2054</v>
      </c>
      <c r="W168" s="589">
        <f>IF(AND(BaleMover[[#This Row],[Scenario_ID]]="S3",BaleMover[[#This Row],[MRF_ID]]="05"),0,IFERROR(BaleMover[[#This Row],[Total_Baled_tons]]*(IF(BaleMover[[#This Row],[Scenario_ID]]="S0",-2,0)+INDEX(BalePrices[Low],MATCH(BaleMover[[#This Row],[Bale_ID]],BalePrices[Bale_ID],0))),0))</f>
        <v>0</v>
      </c>
      <c r="X168" s="397">
        <f>IF(AND(BaleMover[[#This Row],[Scenario_ID]]="S3",BaleMover[[#This Row],[MRF_ID]]="05"),0,IFERROR(BaleMover[[#This Row],[Total_Baled_tons]]*(IF(BaleMover[[#This Row],[Scenario_ID]]="S0",-2,0)+INDEX(BalePrices[Mid-Point],MATCH(BaleMover[[#This Row],[Bale_ID]],BalePrices[Bale_ID],0))),0))</f>
        <v>0</v>
      </c>
      <c r="Y168" s="397">
        <f>IF(AND(BaleMover[[#This Row],[Scenario_ID]]="S3",BaleMover[[#This Row],[MRF_ID]]="05"),0,IFERROR(BaleMover[[#This Row],[Total_Baled_tons]]*(IF(BaleMover[[#This Row],[Scenario_ID]]="S0",-2,0)+INDEX(BalePrices[High],MATCH(BaleMover[[#This Row],[Bale_ID]],BalePrices[Bale_ID],0))),0))</f>
        <v>0</v>
      </c>
    </row>
    <row r="169" spans="2:25" x14ac:dyDescent="0.2">
      <c r="B169" s="545" t="s">
        <v>873</v>
      </c>
      <c r="C169" s="499" t="s">
        <v>712</v>
      </c>
      <c r="D169" s="499"/>
      <c r="E169" s="499"/>
      <c r="F169" s="499" t="s">
        <v>1993</v>
      </c>
      <c r="G169" s="499" t="s">
        <v>2080</v>
      </c>
      <c r="H169" s="499" t="s">
        <v>1335</v>
      </c>
      <c r="I169" s="499" t="s">
        <v>988</v>
      </c>
      <c r="J169" s="499" t="s">
        <v>989</v>
      </c>
      <c r="K169" s="499" t="s">
        <v>2076</v>
      </c>
      <c r="L169" s="499">
        <v>8</v>
      </c>
      <c r="M169" s="499" t="s">
        <v>2085</v>
      </c>
      <c r="N169" s="499" t="s">
        <v>2068</v>
      </c>
      <c r="O169" s="525">
        <v>0</v>
      </c>
      <c r="P169" s="499" t="s">
        <v>2054</v>
      </c>
      <c r="Q169" s="499"/>
      <c r="R169" s="499"/>
      <c r="S169" s="525"/>
      <c r="T169" s="525">
        <v>0</v>
      </c>
      <c r="U169" s="525">
        <v>1</v>
      </c>
      <c r="V169" s="525" t="s">
        <v>2054</v>
      </c>
      <c r="W169" s="589">
        <f>IF(AND(BaleMover[[#This Row],[Scenario_ID]]="S3",BaleMover[[#This Row],[MRF_ID]]="05"),0,IFERROR(BaleMover[[#This Row],[Total_Baled_tons]]*(IF(BaleMover[[#This Row],[Scenario_ID]]="S0",-2,0)+INDEX(BalePrices[Low],MATCH(BaleMover[[#This Row],[Bale_ID]],BalePrices[Bale_ID],0))),0))</f>
        <v>0</v>
      </c>
      <c r="X169" s="397">
        <f>IF(AND(BaleMover[[#This Row],[Scenario_ID]]="S3",BaleMover[[#This Row],[MRF_ID]]="05"),0,IFERROR(BaleMover[[#This Row],[Total_Baled_tons]]*(IF(BaleMover[[#This Row],[Scenario_ID]]="S0",-2,0)+INDEX(BalePrices[Mid-Point],MATCH(BaleMover[[#This Row],[Bale_ID]],BalePrices[Bale_ID],0))),0))</f>
        <v>0</v>
      </c>
      <c r="Y169" s="397">
        <f>IF(AND(BaleMover[[#This Row],[Scenario_ID]]="S3",BaleMover[[#This Row],[MRF_ID]]="05"),0,IFERROR(BaleMover[[#This Row],[Total_Baled_tons]]*(IF(BaleMover[[#This Row],[Scenario_ID]]="S0",-2,0)+INDEX(BalePrices[High],MATCH(BaleMover[[#This Row],[Bale_ID]],BalePrices[Bale_ID],0))),0))</f>
        <v>0</v>
      </c>
    </row>
    <row r="170" spans="2:25" x14ac:dyDescent="0.2">
      <c r="B170" s="545" t="s">
        <v>876</v>
      </c>
      <c r="C170" s="499" t="s">
        <v>712</v>
      </c>
      <c r="D170" s="499"/>
      <c r="E170" s="499"/>
      <c r="F170" s="499" t="s">
        <v>1993</v>
      </c>
      <c r="G170" s="499" t="s">
        <v>2075</v>
      </c>
      <c r="H170" s="499" t="s">
        <v>1336</v>
      </c>
      <c r="I170" s="499" t="s">
        <v>990</v>
      </c>
      <c r="J170" s="499" t="s">
        <v>991</v>
      </c>
      <c r="K170" s="499" t="s">
        <v>2076</v>
      </c>
      <c r="L170" s="499">
        <v>1</v>
      </c>
      <c r="M170" s="499" t="s">
        <v>2086</v>
      </c>
      <c r="N170" s="499" t="s">
        <v>2066</v>
      </c>
      <c r="O170" s="525">
        <v>0</v>
      </c>
      <c r="P170" s="499" t="s">
        <v>2054</v>
      </c>
      <c r="Q170" s="499"/>
      <c r="R170" s="499"/>
      <c r="S170" s="525"/>
      <c r="T170" s="525">
        <v>0</v>
      </c>
      <c r="U170" s="525">
        <v>1</v>
      </c>
      <c r="V170" s="525" t="s">
        <v>2054</v>
      </c>
      <c r="W170" s="589">
        <f>IF(AND(BaleMover[[#This Row],[Scenario_ID]]="S3",BaleMover[[#This Row],[MRF_ID]]="05"),0,IFERROR(BaleMover[[#This Row],[Total_Baled_tons]]*(IF(BaleMover[[#This Row],[Scenario_ID]]="S0",-2,0)+INDEX(BalePrices[Low],MATCH(BaleMover[[#This Row],[Bale_ID]],BalePrices[Bale_ID],0))),0))</f>
        <v>0</v>
      </c>
      <c r="X170" s="397">
        <f>IF(AND(BaleMover[[#This Row],[Scenario_ID]]="S3",BaleMover[[#This Row],[MRF_ID]]="05"),0,IFERROR(BaleMover[[#This Row],[Total_Baled_tons]]*(IF(BaleMover[[#This Row],[Scenario_ID]]="S0",-2,0)+INDEX(BalePrices[Mid-Point],MATCH(BaleMover[[#This Row],[Bale_ID]],BalePrices[Bale_ID],0))),0))</f>
        <v>0</v>
      </c>
      <c r="Y170" s="397">
        <f>IF(AND(BaleMover[[#This Row],[Scenario_ID]]="S3",BaleMover[[#This Row],[MRF_ID]]="05"),0,IFERROR(BaleMover[[#This Row],[Total_Baled_tons]]*(IF(BaleMover[[#This Row],[Scenario_ID]]="S0",-2,0)+INDEX(BalePrices[High],MATCH(BaleMover[[#This Row],[Bale_ID]],BalePrices[Bale_ID],0))),0))</f>
        <v>0</v>
      </c>
    </row>
    <row r="171" spans="2:25" x14ac:dyDescent="0.2">
      <c r="B171" s="545" t="s">
        <v>875</v>
      </c>
      <c r="C171" s="499" t="s">
        <v>712</v>
      </c>
      <c r="D171" s="499"/>
      <c r="E171" s="499"/>
      <c r="F171" s="499" t="s">
        <v>1993</v>
      </c>
      <c r="G171" s="499" t="s">
        <v>2078</v>
      </c>
      <c r="H171" s="499" t="s">
        <v>1337</v>
      </c>
      <c r="I171" s="499" t="s">
        <v>990</v>
      </c>
      <c r="J171" s="499" t="s">
        <v>991</v>
      </c>
      <c r="K171" s="499" t="s">
        <v>2076</v>
      </c>
      <c r="L171" s="499">
        <v>1</v>
      </c>
      <c r="M171" s="499" t="s">
        <v>2086</v>
      </c>
      <c r="N171" s="499" t="s">
        <v>2066</v>
      </c>
      <c r="O171" s="525">
        <v>0</v>
      </c>
      <c r="P171" s="499" t="s">
        <v>2054</v>
      </c>
      <c r="Q171" s="499"/>
      <c r="R171" s="499"/>
      <c r="S171" s="525"/>
      <c r="T171" s="525">
        <v>0</v>
      </c>
      <c r="U171" s="525">
        <v>1</v>
      </c>
      <c r="V171" s="525" t="s">
        <v>2054</v>
      </c>
      <c r="W171" s="589">
        <f>IF(AND(BaleMover[[#This Row],[Scenario_ID]]="S3",BaleMover[[#This Row],[MRF_ID]]="05"),0,IFERROR(BaleMover[[#This Row],[Total_Baled_tons]]*(IF(BaleMover[[#This Row],[Scenario_ID]]="S0",-2,0)+INDEX(BalePrices[Low],MATCH(BaleMover[[#This Row],[Bale_ID]],BalePrices[Bale_ID],0))),0))</f>
        <v>0</v>
      </c>
      <c r="X171" s="397">
        <f>IF(AND(BaleMover[[#This Row],[Scenario_ID]]="S3",BaleMover[[#This Row],[MRF_ID]]="05"),0,IFERROR(BaleMover[[#This Row],[Total_Baled_tons]]*(IF(BaleMover[[#This Row],[Scenario_ID]]="S0",-2,0)+INDEX(BalePrices[Mid-Point],MATCH(BaleMover[[#This Row],[Bale_ID]],BalePrices[Bale_ID],0))),0))</f>
        <v>0</v>
      </c>
      <c r="Y171" s="397">
        <f>IF(AND(BaleMover[[#This Row],[Scenario_ID]]="S3",BaleMover[[#This Row],[MRF_ID]]="05"),0,IFERROR(BaleMover[[#This Row],[Total_Baled_tons]]*(IF(BaleMover[[#This Row],[Scenario_ID]]="S0",-2,0)+INDEX(BalePrices[High],MATCH(BaleMover[[#This Row],[Bale_ID]],BalePrices[Bale_ID],0))),0))</f>
        <v>0</v>
      </c>
    </row>
    <row r="172" spans="2:25" x14ac:dyDescent="0.2">
      <c r="B172" s="545" t="s">
        <v>874</v>
      </c>
      <c r="C172" s="499" t="s">
        <v>712</v>
      </c>
      <c r="D172" s="499"/>
      <c r="E172" s="499"/>
      <c r="F172" s="499" t="s">
        <v>1993</v>
      </c>
      <c r="G172" s="499" t="s">
        <v>2079</v>
      </c>
      <c r="H172" s="499" t="s">
        <v>1338</v>
      </c>
      <c r="I172" s="499" t="s">
        <v>990</v>
      </c>
      <c r="J172" s="499" t="s">
        <v>991</v>
      </c>
      <c r="K172" s="499" t="s">
        <v>2076</v>
      </c>
      <c r="L172" s="499">
        <v>1</v>
      </c>
      <c r="M172" s="499" t="s">
        <v>2086</v>
      </c>
      <c r="N172" s="499" t="s">
        <v>2066</v>
      </c>
      <c r="O172" s="525">
        <v>0</v>
      </c>
      <c r="P172" s="499" t="s">
        <v>2054</v>
      </c>
      <c r="Q172" s="499"/>
      <c r="R172" s="499"/>
      <c r="S172" s="525"/>
      <c r="T172" s="525">
        <v>0</v>
      </c>
      <c r="U172" s="525">
        <v>1</v>
      </c>
      <c r="V172" s="525" t="s">
        <v>2054</v>
      </c>
      <c r="W172" s="589">
        <f>IF(AND(BaleMover[[#This Row],[Scenario_ID]]="S3",BaleMover[[#This Row],[MRF_ID]]="05"),0,IFERROR(BaleMover[[#This Row],[Total_Baled_tons]]*(IF(BaleMover[[#This Row],[Scenario_ID]]="S0",-2,0)+INDEX(BalePrices[Low],MATCH(BaleMover[[#This Row],[Bale_ID]],BalePrices[Bale_ID],0))),0))</f>
        <v>0</v>
      </c>
      <c r="X172" s="397">
        <f>IF(AND(BaleMover[[#This Row],[Scenario_ID]]="S3",BaleMover[[#This Row],[MRF_ID]]="05"),0,IFERROR(BaleMover[[#This Row],[Total_Baled_tons]]*(IF(BaleMover[[#This Row],[Scenario_ID]]="S0",-2,0)+INDEX(BalePrices[Mid-Point],MATCH(BaleMover[[#This Row],[Bale_ID]],BalePrices[Bale_ID],0))),0))</f>
        <v>0</v>
      </c>
      <c r="Y172" s="397">
        <f>IF(AND(BaleMover[[#This Row],[Scenario_ID]]="S3",BaleMover[[#This Row],[MRF_ID]]="05"),0,IFERROR(BaleMover[[#This Row],[Total_Baled_tons]]*(IF(BaleMover[[#This Row],[Scenario_ID]]="S0",-2,0)+INDEX(BalePrices[High],MATCH(BaleMover[[#This Row],[Bale_ID]],BalePrices[Bale_ID],0))),0))</f>
        <v>0</v>
      </c>
    </row>
    <row r="173" spans="2:25" x14ac:dyDescent="0.2">
      <c r="B173" s="545" t="s">
        <v>873</v>
      </c>
      <c r="C173" s="499" t="s">
        <v>712</v>
      </c>
      <c r="D173" s="499"/>
      <c r="E173" s="499"/>
      <c r="F173" s="499" t="s">
        <v>1993</v>
      </c>
      <c r="G173" s="499" t="s">
        <v>2080</v>
      </c>
      <c r="H173" s="499" t="s">
        <v>1339</v>
      </c>
      <c r="I173" s="499" t="s">
        <v>990</v>
      </c>
      <c r="J173" s="499" t="s">
        <v>991</v>
      </c>
      <c r="K173" s="499" t="s">
        <v>2076</v>
      </c>
      <c r="L173" s="499">
        <v>1</v>
      </c>
      <c r="M173" s="499" t="s">
        <v>2086</v>
      </c>
      <c r="N173" s="499" t="s">
        <v>2066</v>
      </c>
      <c r="O173" s="525">
        <v>0</v>
      </c>
      <c r="P173" s="499" t="s">
        <v>2054</v>
      </c>
      <c r="Q173" s="499"/>
      <c r="R173" s="499"/>
      <c r="S173" s="525"/>
      <c r="T173" s="525">
        <v>0</v>
      </c>
      <c r="U173" s="525">
        <v>1</v>
      </c>
      <c r="V173" s="525" t="s">
        <v>2054</v>
      </c>
      <c r="W173" s="589">
        <f>IF(AND(BaleMover[[#This Row],[Scenario_ID]]="S3",BaleMover[[#This Row],[MRF_ID]]="05"),0,IFERROR(BaleMover[[#This Row],[Total_Baled_tons]]*(IF(BaleMover[[#This Row],[Scenario_ID]]="S0",-2,0)+INDEX(BalePrices[Low],MATCH(BaleMover[[#This Row],[Bale_ID]],BalePrices[Bale_ID],0))),0))</f>
        <v>0</v>
      </c>
      <c r="X173" s="397">
        <f>IF(AND(BaleMover[[#This Row],[Scenario_ID]]="S3",BaleMover[[#This Row],[MRF_ID]]="05"),0,IFERROR(BaleMover[[#This Row],[Total_Baled_tons]]*(IF(BaleMover[[#This Row],[Scenario_ID]]="S0",-2,0)+INDEX(BalePrices[Mid-Point],MATCH(BaleMover[[#This Row],[Bale_ID]],BalePrices[Bale_ID],0))),0))</f>
        <v>0</v>
      </c>
      <c r="Y173" s="397">
        <f>IF(AND(BaleMover[[#This Row],[Scenario_ID]]="S3",BaleMover[[#This Row],[MRF_ID]]="05"),0,IFERROR(BaleMover[[#This Row],[Total_Baled_tons]]*(IF(BaleMover[[#This Row],[Scenario_ID]]="S0",-2,0)+INDEX(BalePrices[High],MATCH(BaleMover[[#This Row],[Bale_ID]],BalePrices[Bale_ID],0))),0))</f>
        <v>0</v>
      </c>
    </row>
    <row r="174" spans="2:25" x14ac:dyDescent="0.2">
      <c r="B174" s="545" t="s">
        <v>876</v>
      </c>
      <c r="C174" s="499" t="s">
        <v>712</v>
      </c>
      <c r="D174" s="499"/>
      <c r="E174" s="499"/>
      <c r="F174" s="499" t="s">
        <v>1993</v>
      </c>
      <c r="G174" s="499" t="s">
        <v>2075</v>
      </c>
      <c r="H174" s="499" t="s">
        <v>1340</v>
      </c>
      <c r="I174" s="499" t="s">
        <v>994</v>
      </c>
      <c r="J174" s="499" t="s">
        <v>995</v>
      </c>
      <c r="K174" s="499" t="s">
        <v>2076</v>
      </c>
      <c r="L174" s="499">
        <v>8</v>
      </c>
      <c r="M174" s="499" t="s">
        <v>2085</v>
      </c>
      <c r="N174" s="499" t="s">
        <v>2068</v>
      </c>
      <c r="O174" s="525">
        <v>0</v>
      </c>
      <c r="P174" s="499" t="s">
        <v>2054</v>
      </c>
      <c r="Q174" s="499"/>
      <c r="R174" s="499"/>
      <c r="S174" s="525"/>
      <c r="T174" s="525">
        <v>0</v>
      </c>
      <c r="U174" s="525">
        <v>1</v>
      </c>
      <c r="V174" s="525" t="s">
        <v>2054</v>
      </c>
      <c r="W174" s="589">
        <f>IF(AND(BaleMover[[#This Row],[Scenario_ID]]="S3",BaleMover[[#This Row],[MRF_ID]]="05"),0,IFERROR(BaleMover[[#This Row],[Total_Baled_tons]]*(IF(BaleMover[[#This Row],[Scenario_ID]]="S0",-2,0)+INDEX(BalePrices[Low],MATCH(BaleMover[[#This Row],[Bale_ID]],BalePrices[Bale_ID],0))),0))</f>
        <v>0</v>
      </c>
      <c r="X174" s="397">
        <f>IF(AND(BaleMover[[#This Row],[Scenario_ID]]="S3",BaleMover[[#This Row],[MRF_ID]]="05"),0,IFERROR(BaleMover[[#This Row],[Total_Baled_tons]]*(IF(BaleMover[[#This Row],[Scenario_ID]]="S0",-2,0)+INDEX(BalePrices[Mid-Point],MATCH(BaleMover[[#This Row],[Bale_ID]],BalePrices[Bale_ID],0))),0))</f>
        <v>0</v>
      </c>
      <c r="Y174" s="397">
        <f>IF(AND(BaleMover[[#This Row],[Scenario_ID]]="S3",BaleMover[[#This Row],[MRF_ID]]="05"),0,IFERROR(BaleMover[[#This Row],[Total_Baled_tons]]*(IF(BaleMover[[#This Row],[Scenario_ID]]="S0",-2,0)+INDEX(BalePrices[High],MATCH(BaleMover[[#This Row],[Bale_ID]],BalePrices[Bale_ID],0))),0))</f>
        <v>0</v>
      </c>
    </row>
    <row r="175" spans="2:25" x14ac:dyDescent="0.2">
      <c r="B175" s="545" t="s">
        <v>875</v>
      </c>
      <c r="C175" s="499" t="s">
        <v>712</v>
      </c>
      <c r="D175" s="499"/>
      <c r="E175" s="499"/>
      <c r="F175" s="499" t="s">
        <v>1993</v>
      </c>
      <c r="G175" s="499" t="s">
        <v>2078</v>
      </c>
      <c r="H175" s="499" t="s">
        <v>1341</v>
      </c>
      <c r="I175" s="499" t="s">
        <v>994</v>
      </c>
      <c r="J175" s="499" t="s">
        <v>995</v>
      </c>
      <c r="K175" s="499" t="s">
        <v>2076</v>
      </c>
      <c r="L175" s="499">
        <v>8</v>
      </c>
      <c r="M175" s="499" t="s">
        <v>2085</v>
      </c>
      <c r="N175" s="499" t="s">
        <v>2068</v>
      </c>
      <c r="O175" s="525">
        <v>0</v>
      </c>
      <c r="P175" s="499" t="s">
        <v>2054</v>
      </c>
      <c r="Q175" s="499"/>
      <c r="R175" s="499"/>
      <c r="S175" s="525"/>
      <c r="T175" s="525">
        <v>0</v>
      </c>
      <c r="U175" s="525">
        <v>1</v>
      </c>
      <c r="V175" s="525" t="s">
        <v>2054</v>
      </c>
      <c r="W175" s="589">
        <f>IF(AND(BaleMover[[#This Row],[Scenario_ID]]="S3",BaleMover[[#This Row],[MRF_ID]]="05"),0,IFERROR(BaleMover[[#This Row],[Total_Baled_tons]]*(IF(BaleMover[[#This Row],[Scenario_ID]]="S0",-2,0)+INDEX(BalePrices[Low],MATCH(BaleMover[[#This Row],[Bale_ID]],BalePrices[Bale_ID],0))),0))</f>
        <v>0</v>
      </c>
      <c r="X175" s="397">
        <f>IF(AND(BaleMover[[#This Row],[Scenario_ID]]="S3",BaleMover[[#This Row],[MRF_ID]]="05"),0,IFERROR(BaleMover[[#This Row],[Total_Baled_tons]]*(IF(BaleMover[[#This Row],[Scenario_ID]]="S0",-2,0)+INDEX(BalePrices[Mid-Point],MATCH(BaleMover[[#This Row],[Bale_ID]],BalePrices[Bale_ID],0))),0))</f>
        <v>0</v>
      </c>
      <c r="Y175" s="397">
        <f>IF(AND(BaleMover[[#This Row],[Scenario_ID]]="S3",BaleMover[[#This Row],[MRF_ID]]="05"),0,IFERROR(BaleMover[[#This Row],[Total_Baled_tons]]*(IF(BaleMover[[#This Row],[Scenario_ID]]="S0",-2,0)+INDEX(BalePrices[High],MATCH(BaleMover[[#This Row],[Bale_ID]],BalePrices[Bale_ID],0))),0))</f>
        <v>0</v>
      </c>
    </row>
    <row r="176" spans="2:25" x14ac:dyDescent="0.2">
      <c r="B176" s="545" t="s">
        <v>874</v>
      </c>
      <c r="C176" s="499" t="s">
        <v>712</v>
      </c>
      <c r="D176" s="499"/>
      <c r="E176" s="499"/>
      <c r="F176" s="499" t="s">
        <v>1993</v>
      </c>
      <c r="G176" s="499" t="s">
        <v>2079</v>
      </c>
      <c r="H176" s="499" t="s">
        <v>1342</v>
      </c>
      <c r="I176" s="499" t="s">
        <v>994</v>
      </c>
      <c r="J176" s="499" t="s">
        <v>995</v>
      </c>
      <c r="K176" s="499" t="s">
        <v>2076</v>
      </c>
      <c r="L176" s="499">
        <v>8</v>
      </c>
      <c r="M176" s="499" t="s">
        <v>2085</v>
      </c>
      <c r="N176" s="499" t="s">
        <v>2068</v>
      </c>
      <c r="O176" s="525">
        <v>0</v>
      </c>
      <c r="P176" s="499" t="s">
        <v>2054</v>
      </c>
      <c r="Q176" s="499"/>
      <c r="R176" s="499"/>
      <c r="S176" s="525"/>
      <c r="T176" s="525">
        <v>0</v>
      </c>
      <c r="U176" s="525">
        <v>1</v>
      </c>
      <c r="V176" s="525" t="s">
        <v>2054</v>
      </c>
      <c r="W176" s="589">
        <f>IF(AND(BaleMover[[#This Row],[Scenario_ID]]="S3",BaleMover[[#This Row],[MRF_ID]]="05"),0,IFERROR(BaleMover[[#This Row],[Total_Baled_tons]]*(IF(BaleMover[[#This Row],[Scenario_ID]]="S0",-2,0)+INDEX(BalePrices[Low],MATCH(BaleMover[[#This Row],[Bale_ID]],BalePrices[Bale_ID],0))),0))</f>
        <v>0</v>
      </c>
      <c r="X176" s="397">
        <f>IF(AND(BaleMover[[#This Row],[Scenario_ID]]="S3",BaleMover[[#This Row],[MRF_ID]]="05"),0,IFERROR(BaleMover[[#This Row],[Total_Baled_tons]]*(IF(BaleMover[[#This Row],[Scenario_ID]]="S0",-2,0)+INDEX(BalePrices[Mid-Point],MATCH(BaleMover[[#This Row],[Bale_ID]],BalePrices[Bale_ID],0))),0))</f>
        <v>0</v>
      </c>
      <c r="Y176" s="397">
        <f>IF(AND(BaleMover[[#This Row],[Scenario_ID]]="S3",BaleMover[[#This Row],[MRF_ID]]="05"),0,IFERROR(BaleMover[[#This Row],[Total_Baled_tons]]*(IF(BaleMover[[#This Row],[Scenario_ID]]="S0",-2,0)+INDEX(BalePrices[High],MATCH(BaleMover[[#This Row],[Bale_ID]],BalePrices[Bale_ID],0))),0))</f>
        <v>0</v>
      </c>
    </row>
    <row r="177" spans="2:25" x14ac:dyDescent="0.2">
      <c r="B177" s="545" t="s">
        <v>873</v>
      </c>
      <c r="C177" s="499" t="s">
        <v>712</v>
      </c>
      <c r="D177" s="499"/>
      <c r="E177" s="499"/>
      <c r="F177" s="499" t="s">
        <v>1993</v>
      </c>
      <c r="G177" s="499" t="s">
        <v>2080</v>
      </c>
      <c r="H177" s="499" t="s">
        <v>1343</v>
      </c>
      <c r="I177" s="499" t="s">
        <v>994</v>
      </c>
      <c r="J177" s="499" t="s">
        <v>995</v>
      </c>
      <c r="K177" s="499" t="s">
        <v>2076</v>
      </c>
      <c r="L177" s="499">
        <v>8</v>
      </c>
      <c r="M177" s="499" t="s">
        <v>2085</v>
      </c>
      <c r="N177" s="499" t="s">
        <v>2068</v>
      </c>
      <c r="O177" s="525">
        <v>0</v>
      </c>
      <c r="P177" s="499" t="s">
        <v>2054</v>
      </c>
      <c r="Q177" s="499"/>
      <c r="R177" s="499"/>
      <c r="S177" s="525"/>
      <c r="T177" s="525">
        <v>0</v>
      </c>
      <c r="U177" s="525">
        <v>1</v>
      </c>
      <c r="V177" s="525" t="s">
        <v>2054</v>
      </c>
      <c r="W177" s="589">
        <f>IF(AND(BaleMover[[#This Row],[Scenario_ID]]="S3",BaleMover[[#This Row],[MRF_ID]]="05"),0,IFERROR(BaleMover[[#This Row],[Total_Baled_tons]]*(IF(BaleMover[[#This Row],[Scenario_ID]]="S0",-2,0)+INDEX(BalePrices[Low],MATCH(BaleMover[[#This Row],[Bale_ID]],BalePrices[Bale_ID],0))),0))</f>
        <v>0</v>
      </c>
      <c r="X177" s="397">
        <f>IF(AND(BaleMover[[#This Row],[Scenario_ID]]="S3",BaleMover[[#This Row],[MRF_ID]]="05"),0,IFERROR(BaleMover[[#This Row],[Total_Baled_tons]]*(IF(BaleMover[[#This Row],[Scenario_ID]]="S0",-2,0)+INDEX(BalePrices[Mid-Point],MATCH(BaleMover[[#This Row],[Bale_ID]],BalePrices[Bale_ID],0))),0))</f>
        <v>0</v>
      </c>
      <c r="Y177" s="397">
        <f>IF(AND(BaleMover[[#This Row],[Scenario_ID]]="S3",BaleMover[[#This Row],[MRF_ID]]="05"),0,IFERROR(BaleMover[[#This Row],[Total_Baled_tons]]*(IF(BaleMover[[#This Row],[Scenario_ID]]="S0",-2,0)+INDEX(BalePrices[High],MATCH(BaleMover[[#This Row],[Bale_ID]],BalePrices[Bale_ID],0))),0))</f>
        <v>0</v>
      </c>
    </row>
    <row r="178" spans="2:25" x14ac:dyDescent="0.2">
      <c r="B178" s="545" t="s">
        <v>876</v>
      </c>
      <c r="C178" s="499" t="s">
        <v>712</v>
      </c>
      <c r="D178" s="499"/>
      <c r="E178" s="499"/>
      <c r="F178" s="499" t="s">
        <v>1993</v>
      </c>
      <c r="G178" s="499" t="s">
        <v>2075</v>
      </c>
      <c r="H178" s="499" t="s">
        <v>1344</v>
      </c>
      <c r="I178" s="499" t="s">
        <v>996</v>
      </c>
      <c r="J178" s="499" t="s">
        <v>997</v>
      </c>
      <c r="K178" s="499" t="s">
        <v>2076</v>
      </c>
      <c r="L178" s="499">
        <v>8</v>
      </c>
      <c r="M178" s="499" t="s">
        <v>2085</v>
      </c>
      <c r="N178" s="499" t="s">
        <v>2068</v>
      </c>
      <c r="O178" s="525">
        <v>0</v>
      </c>
      <c r="P178" s="499" t="s">
        <v>2054</v>
      </c>
      <c r="Q178" s="499"/>
      <c r="R178" s="499"/>
      <c r="S178" s="525"/>
      <c r="T178" s="525">
        <v>0</v>
      </c>
      <c r="U178" s="525">
        <v>1</v>
      </c>
      <c r="V178" s="525" t="s">
        <v>2054</v>
      </c>
      <c r="W178" s="589">
        <f>IF(AND(BaleMover[[#This Row],[Scenario_ID]]="S3",BaleMover[[#This Row],[MRF_ID]]="05"),0,IFERROR(BaleMover[[#This Row],[Total_Baled_tons]]*(IF(BaleMover[[#This Row],[Scenario_ID]]="S0",-2,0)+INDEX(BalePrices[Low],MATCH(BaleMover[[#This Row],[Bale_ID]],BalePrices[Bale_ID],0))),0))</f>
        <v>0</v>
      </c>
      <c r="X178" s="397">
        <f>IF(AND(BaleMover[[#This Row],[Scenario_ID]]="S3",BaleMover[[#This Row],[MRF_ID]]="05"),0,IFERROR(BaleMover[[#This Row],[Total_Baled_tons]]*(IF(BaleMover[[#This Row],[Scenario_ID]]="S0",-2,0)+INDEX(BalePrices[Mid-Point],MATCH(BaleMover[[#This Row],[Bale_ID]],BalePrices[Bale_ID],0))),0))</f>
        <v>0</v>
      </c>
      <c r="Y178" s="397">
        <f>IF(AND(BaleMover[[#This Row],[Scenario_ID]]="S3",BaleMover[[#This Row],[MRF_ID]]="05"),0,IFERROR(BaleMover[[#This Row],[Total_Baled_tons]]*(IF(BaleMover[[#This Row],[Scenario_ID]]="S0",-2,0)+INDEX(BalePrices[High],MATCH(BaleMover[[#This Row],[Bale_ID]],BalePrices[Bale_ID],0))),0))</f>
        <v>0</v>
      </c>
    </row>
    <row r="179" spans="2:25" x14ac:dyDescent="0.2">
      <c r="B179" s="545" t="s">
        <v>875</v>
      </c>
      <c r="C179" s="499" t="s">
        <v>712</v>
      </c>
      <c r="D179" s="499"/>
      <c r="E179" s="499"/>
      <c r="F179" s="499" t="s">
        <v>1993</v>
      </c>
      <c r="G179" s="499" t="s">
        <v>2078</v>
      </c>
      <c r="H179" s="499" t="s">
        <v>1345</v>
      </c>
      <c r="I179" s="499" t="s">
        <v>996</v>
      </c>
      <c r="J179" s="499" t="s">
        <v>997</v>
      </c>
      <c r="K179" s="499" t="s">
        <v>2076</v>
      </c>
      <c r="L179" s="499">
        <v>8</v>
      </c>
      <c r="M179" s="499" t="s">
        <v>2085</v>
      </c>
      <c r="N179" s="499" t="s">
        <v>2068</v>
      </c>
      <c r="O179" s="525">
        <v>0</v>
      </c>
      <c r="P179" s="499" t="s">
        <v>2054</v>
      </c>
      <c r="Q179" s="499"/>
      <c r="R179" s="499"/>
      <c r="S179" s="525"/>
      <c r="T179" s="525">
        <v>0</v>
      </c>
      <c r="U179" s="525">
        <v>1</v>
      </c>
      <c r="V179" s="525" t="s">
        <v>2054</v>
      </c>
      <c r="W179" s="589">
        <f>IF(AND(BaleMover[[#This Row],[Scenario_ID]]="S3",BaleMover[[#This Row],[MRF_ID]]="05"),0,IFERROR(BaleMover[[#This Row],[Total_Baled_tons]]*(IF(BaleMover[[#This Row],[Scenario_ID]]="S0",-2,0)+INDEX(BalePrices[Low],MATCH(BaleMover[[#This Row],[Bale_ID]],BalePrices[Bale_ID],0))),0))</f>
        <v>0</v>
      </c>
      <c r="X179" s="397">
        <f>IF(AND(BaleMover[[#This Row],[Scenario_ID]]="S3",BaleMover[[#This Row],[MRF_ID]]="05"),0,IFERROR(BaleMover[[#This Row],[Total_Baled_tons]]*(IF(BaleMover[[#This Row],[Scenario_ID]]="S0",-2,0)+INDEX(BalePrices[Mid-Point],MATCH(BaleMover[[#This Row],[Bale_ID]],BalePrices[Bale_ID],0))),0))</f>
        <v>0</v>
      </c>
      <c r="Y179" s="397">
        <f>IF(AND(BaleMover[[#This Row],[Scenario_ID]]="S3",BaleMover[[#This Row],[MRF_ID]]="05"),0,IFERROR(BaleMover[[#This Row],[Total_Baled_tons]]*(IF(BaleMover[[#This Row],[Scenario_ID]]="S0",-2,0)+INDEX(BalePrices[High],MATCH(BaleMover[[#This Row],[Bale_ID]],BalePrices[Bale_ID],0))),0))</f>
        <v>0</v>
      </c>
    </row>
    <row r="180" spans="2:25" x14ac:dyDescent="0.2">
      <c r="B180" s="545" t="s">
        <v>874</v>
      </c>
      <c r="C180" s="499" t="s">
        <v>712</v>
      </c>
      <c r="D180" s="499"/>
      <c r="E180" s="499"/>
      <c r="F180" s="499" t="s">
        <v>1993</v>
      </c>
      <c r="G180" s="499" t="s">
        <v>2079</v>
      </c>
      <c r="H180" s="499" t="s">
        <v>1346</v>
      </c>
      <c r="I180" s="499" t="s">
        <v>996</v>
      </c>
      <c r="J180" s="499" t="s">
        <v>997</v>
      </c>
      <c r="K180" s="499" t="s">
        <v>2076</v>
      </c>
      <c r="L180" s="499">
        <v>8</v>
      </c>
      <c r="M180" s="499" t="s">
        <v>2085</v>
      </c>
      <c r="N180" s="499" t="s">
        <v>2068</v>
      </c>
      <c r="O180" s="525">
        <v>0</v>
      </c>
      <c r="P180" s="499" t="s">
        <v>2054</v>
      </c>
      <c r="Q180" s="499"/>
      <c r="R180" s="499"/>
      <c r="S180" s="525"/>
      <c r="T180" s="525">
        <v>0</v>
      </c>
      <c r="U180" s="525">
        <v>1</v>
      </c>
      <c r="V180" s="525" t="s">
        <v>2054</v>
      </c>
      <c r="W180" s="589">
        <f>IF(AND(BaleMover[[#This Row],[Scenario_ID]]="S3",BaleMover[[#This Row],[MRF_ID]]="05"),0,IFERROR(BaleMover[[#This Row],[Total_Baled_tons]]*(IF(BaleMover[[#This Row],[Scenario_ID]]="S0",-2,0)+INDEX(BalePrices[Low],MATCH(BaleMover[[#This Row],[Bale_ID]],BalePrices[Bale_ID],0))),0))</f>
        <v>0</v>
      </c>
      <c r="X180" s="397">
        <f>IF(AND(BaleMover[[#This Row],[Scenario_ID]]="S3",BaleMover[[#This Row],[MRF_ID]]="05"),0,IFERROR(BaleMover[[#This Row],[Total_Baled_tons]]*(IF(BaleMover[[#This Row],[Scenario_ID]]="S0",-2,0)+INDEX(BalePrices[Mid-Point],MATCH(BaleMover[[#This Row],[Bale_ID]],BalePrices[Bale_ID],0))),0))</f>
        <v>0</v>
      </c>
      <c r="Y180" s="397">
        <f>IF(AND(BaleMover[[#This Row],[Scenario_ID]]="S3",BaleMover[[#This Row],[MRF_ID]]="05"),0,IFERROR(BaleMover[[#This Row],[Total_Baled_tons]]*(IF(BaleMover[[#This Row],[Scenario_ID]]="S0",-2,0)+INDEX(BalePrices[High],MATCH(BaleMover[[#This Row],[Bale_ID]],BalePrices[Bale_ID],0))),0))</f>
        <v>0</v>
      </c>
    </row>
    <row r="181" spans="2:25" x14ac:dyDescent="0.2">
      <c r="B181" s="545" t="s">
        <v>873</v>
      </c>
      <c r="C181" s="499" t="s">
        <v>712</v>
      </c>
      <c r="D181" s="499"/>
      <c r="E181" s="499"/>
      <c r="F181" s="499" t="s">
        <v>1993</v>
      </c>
      <c r="G181" s="499" t="s">
        <v>2080</v>
      </c>
      <c r="H181" s="499" t="s">
        <v>1347</v>
      </c>
      <c r="I181" s="499" t="s">
        <v>996</v>
      </c>
      <c r="J181" s="499" t="s">
        <v>997</v>
      </c>
      <c r="K181" s="499" t="s">
        <v>2076</v>
      </c>
      <c r="L181" s="499">
        <v>8</v>
      </c>
      <c r="M181" s="499" t="s">
        <v>2085</v>
      </c>
      <c r="N181" s="499" t="s">
        <v>2068</v>
      </c>
      <c r="O181" s="525">
        <v>0</v>
      </c>
      <c r="P181" s="499" t="s">
        <v>2054</v>
      </c>
      <c r="Q181" s="499"/>
      <c r="R181" s="499"/>
      <c r="S181" s="525"/>
      <c r="T181" s="525">
        <v>0</v>
      </c>
      <c r="U181" s="525">
        <v>1</v>
      </c>
      <c r="V181" s="525" t="s">
        <v>2054</v>
      </c>
      <c r="W181" s="589">
        <f>IF(AND(BaleMover[[#This Row],[Scenario_ID]]="S3",BaleMover[[#This Row],[MRF_ID]]="05"),0,IFERROR(BaleMover[[#This Row],[Total_Baled_tons]]*(IF(BaleMover[[#This Row],[Scenario_ID]]="S0",-2,0)+INDEX(BalePrices[Low],MATCH(BaleMover[[#This Row],[Bale_ID]],BalePrices[Bale_ID],0))),0))</f>
        <v>0</v>
      </c>
      <c r="X181" s="397">
        <f>IF(AND(BaleMover[[#This Row],[Scenario_ID]]="S3",BaleMover[[#This Row],[MRF_ID]]="05"),0,IFERROR(BaleMover[[#This Row],[Total_Baled_tons]]*(IF(BaleMover[[#This Row],[Scenario_ID]]="S0",-2,0)+INDEX(BalePrices[Mid-Point],MATCH(BaleMover[[#This Row],[Bale_ID]],BalePrices[Bale_ID],0))),0))</f>
        <v>0</v>
      </c>
      <c r="Y181" s="397">
        <f>IF(AND(BaleMover[[#This Row],[Scenario_ID]]="S3",BaleMover[[#This Row],[MRF_ID]]="05"),0,IFERROR(BaleMover[[#This Row],[Total_Baled_tons]]*(IF(BaleMover[[#This Row],[Scenario_ID]]="S0",-2,0)+INDEX(BalePrices[High],MATCH(BaleMover[[#This Row],[Bale_ID]],BalePrices[Bale_ID],0))),0))</f>
        <v>0</v>
      </c>
    </row>
    <row r="182" spans="2:25" x14ac:dyDescent="0.2">
      <c r="B182" s="545" t="s">
        <v>876</v>
      </c>
      <c r="C182" s="499" t="s">
        <v>712</v>
      </c>
      <c r="D182" s="499"/>
      <c r="E182" s="499"/>
      <c r="F182" s="499" t="s">
        <v>1993</v>
      </c>
      <c r="G182" s="499" t="s">
        <v>2075</v>
      </c>
      <c r="H182" s="499" t="s">
        <v>1348</v>
      </c>
      <c r="I182" s="499" t="s">
        <v>998</v>
      </c>
      <c r="J182" s="499" t="s">
        <v>999</v>
      </c>
      <c r="K182" s="499" t="s">
        <v>2076</v>
      </c>
      <c r="L182" s="499">
        <v>8</v>
      </c>
      <c r="M182" s="499" t="s">
        <v>2085</v>
      </c>
      <c r="N182" s="499" t="s">
        <v>2068</v>
      </c>
      <c r="O182" s="525">
        <v>0</v>
      </c>
      <c r="P182" s="499" t="s">
        <v>2054</v>
      </c>
      <c r="Q182" s="499"/>
      <c r="R182" s="499"/>
      <c r="S182" s="525"/>
      <c r="T182" s="525">
        <v>0</v>
      </c>
      <c r="U182" s="525">
        <v>1</v>
      </c>
      <c r="V182" s="525" t="s">
        <v>2054</v>
      </c>
      <c r="W182" s="589">
        <f>IF(AND(BaleMover[[#This Row],[Scenario_ID]]="S3",BaleMover[[#This Row],[MRF_ID]]="05"),0,IFERROR(BaleMover[[#This Row],[Total_Baled_tons]]*(IF(BaleMover[[#This Row],[Scenario_ID]]="S0",-2,0)+INDEX(BalePrices[Low],MATCH(BaleMover[[#This Row],[Bale_ID]],BalePrices[Bale_ID],0))),0))</f>
        <v>0</v>
      </c>
      <c r="X182" s="397">
        <f>IF(AND(BaleMover[[#This Row],[Scenario_ID]]="S3",BaleMover[[#This Row],[MRF_ID]]="05"),0,IFERROR(BaleMover[[#This Row],[Total_Baled_tons]]*(IF(BaleMover[[#This Row],[Scenario_ID]]="S0",-2,0)+INDEX(BalePrices[Mid-Point],MATCH(BaleMover[[#This Row],[Bale_ID]],BalePrices[Bale_ID],0))),0))</f>
        <v>0</v>
      </c>
      <c r="Y182" s="397">
        <f>IF(AND(BaleMover[[#This Row],[Scenario_ID]]="S3",BaleMover[[#This Row],[MRF_ID]]="05"),0,IFERROR(BaleMover[[#This Row],[Total_Baled_tons]]*(IF(BaleMover[[#This Row],[Scenario_ID]]="S0",-2,0)+INDEX(BalePrices[High],MATCH(BaleMover[[#This Row],[Bale_ID]],BalePrices[Bale_ID],0))),0))</f>
        <v>0</v>
      </c>
    </row>
    <row r="183" spans="2:25" x14ac:dyDescent="0.2">
      <c r="B183" s="545" t="s">
        <v>875</v>
      </c>
      <c r="C183" s="499" t="s">
        <v>712</v>
      </c>
      <c r="D183" s="499"/>
      <c r="E183" s="499"/>
      <c r="F183" s="499" t="s">
        <v>1993</v>
      </c>
      <c r="G183" s="499" t="s">
        <v>2078</v>
      </c>
      <c r="H183" s="499" t="s">
        <v>1349</v>
      </c>
      <c r="I183" s="499" t="s">
        <v>998</v>
      </c>
      <c r="J183" s="499" t="s">
        <v>999</v>
      </c>
      <c r="K183" s="499" t="s">
        <v>2076</v>
      </c>
      <c r="L183" s="499">
        <v>8</v>
      </c>
      <c r="M183" s="499" t="s">
        <v>2085</v>
      </c>
      <c r="N183" s="499" t="s">
        <v>2068</v>
      </c>
      <c r="O183" s="525">
        <v>0</v>
      </c>
      <c r="P183" s="499" t="s">
        <v>2054</v>
      </c>
      <c r="Q183" s="499"/>
      <c r="R183" s="499"/>
      <c r="S183" s="525"/>
      <c r="T183" s="525">
        <v>0</v>
      </c>
      <c r="U183" s="525">
        <v>1</v>
      </c>
      <c r="V183" s="525" t="s">
        <v>2054</v>
      </c>
      <c r="W183" s="589">
        <f>IF(AND(BaleMover[[#This Row],[Scenario_ID]]="S3",BaleMover[[#This Row],[MRF_ID]]="05"),0,IFERROR(BaleMover[[#This Row],[Total_Baled_tons]]*(IF(BaleMover[[#This Row],[Scenario_ID]]="S0",-2,0)+INDEX(BalePrices[Low],MATCH(BaleMover[[#This Row],[Bale_ID]],BalePrices[Bale_ID],0))),0))</f>
        <v>0</v>
      </c>
      <c r="X183" s="397">
        <f>IF(AND(BaleMover[[#This Row],[Scenario_ID]]="S3",BaleMover[[#This Row],[MRF_ID]]="05"),0,IFERROR(BaleMover[[#This Row],[Total_Baled_tons]]*(IF(BaleMover[[#This Row],[Scenario_ID]]="S0",-2,0)+INDEX(BalePrices[Mid-Point],MATCH(BaleMover[[#This Row],[Bale_ID]],BalePrices[Bale_ID],0))),0))</f>
        <v>0</v>
      </c>
      <c r="Y183" s="397">
        <f>IF(AND(BaleMover[[#This Row],[Scenario_ID]]="S3",BaleMover[[#This Row],[MRF_ID]]="05"),0,IFERROR(BaleMover[[#This Row],[Total_Baled_tons]]*(IF(BaleMover[[#This Row],[Scenario_ID]]="S0",-2,0)+INDEX(BalePrices[High],MATCH(BaleMover[[#This Row],[Bale_ID]],BalePrices[Bale_ID],0))),0))</f>
        <v>0</v>
      </c>
    </row>
    <row r="184" spans="2:25" x14ac:dyDescent="0.2">
      <c r="B184" s="545" t="s">
        <v>874</v>
      </c>
      <c r="C184" s="499" t="s">
        <v>712</v>
      </c>
      <c r="D184" s="499"/>
      <c r="E184" s="499"/>
      <c r="F184" s="499" t="s">
        <v>1993</v>
      </c>
      <c r="G184" s="499" t="s">
        <v>2079</v>
      </c>
      <c r="H184" s="499" t="s">
        <v>1350</v>
      </c>
      <c r="I184" s="499" t="s">
        <v>998</v>
      </c>
      <c r="J184" s="499" t="s">
        <v>999</v>
      </c>
      <c r="K184" s="499" t="s">
        <v>2076</v>
      </c>
      <c r="L184" s="499">
        <v>8</v>
      </c>
      <c r="M184" s="499" t="s">
        <v>2085</v>
      </c>
      <c r="N184" s="499" t="s">
        <v>2068</v>
      </c>
      <c r="O184" s="525">
        <v>0</v>
      </c>
      <c r="P184" s="499" t="s">
        <v>2054</v>
      </c>
      <c r="Q184" s="499"/>
      <c r="R184" s="499"/>
      <c r="S184" s="525"/>
      <c r="T184" s="525">
        <v>0</v>
      </c>
      <c r="U184" s="525">
        <v>1</v>
      </c>
      <c r="V184" s="525" t="s">
        <v>2054</v>
      </c>
      <c r="W184" s="589">
        <f>IF(AND(BaleMover[[#This Row],[Scenario_ID]]="S3",BaleMover[[#This Row],[MRF_ID]]="05"),0,IFERROR(BaleMover[[#This Row],[Total_Baled_tons]]*(IF(BaleMover[[#This Row],[Scenario_ID]]="S0",-2,0)+INDEX(BalePrices[Low],MATCH(BaleMover[[#This Row],[Bale_ID]],BalePrices[Bale_ID],0))),0))</f>
        <v>0</v>
      </c>
      <c r="X184" s="397">
        <f>IF(AND(BaleMover[[#This Row],[Scenario_ID]]="S3",BaleMover[[#This Row],[MRF_ID]]="05"),0,IFERROR(BaleMover[[#This Row],[Total_Baled_tons]]*(IF(BaleMover[[#This Row],[Scenario_ID]]="S0",-2,0)+INDEX(BalePrices[Mid-Point],MATCH(BaleMover[[#This Row],[Bale_ID]],BalePrices[Bale_ID],0))),0))</f>
        <v>0</v>
      </c>
      <c r="Y184" s="397">
        <f>IF(AND(BaleMover[[#This Row],[Scenario_ID]]="S3",BaleMover[[#This Row],[MRF_ID]]="05"),0,IFERROR(BaleMover[[#This Row],[Total_Baled_tons]]*(IF(BaleMover[[#This Row],[Scenario_ID]]="S0",-2,0)+INDEX(BalePrices[High],MATCH(BaleMover[[#This Row],[Bale_ID]],BalePrices[Bale_ID],0))),0))</f>
        <v>0</v>
      </c>
    </row>
    <row r="185" spans="2:25" x14ac:dyDescent="0.2">
      <c r="B185" s="545" t="s">
        <v>873</v>
      </c>
      <c r="C185" s="499" t="s">
        <v>712</v>
      </c>
      <c r="D185" s="499"/>
      <c r="E185" s="499"/>
      <c r="F185" s="499" t="s">
        <v>1993</v>
      </c>
      <c r="G185" s="499" t="s">
        <v>2080</v>
      </c>
      <c r="H185" s="499" t="s">
        <v>1351</v>
      </c>
      <c r="I185" s="499" t="s">
        <v>998</v>
      </c>
      <c r="J185" s="499" t="s">
        <v>999</v>
      </c>
      <c r="K185" s="499" t="s">
        <v>2076</v>
      </c>
      <c r="L185" s="499">
        <v>8</v>
      </c>
      <c r="M185" s="499" t="s">
        <v>2085</v>
      </c>
      <c r="N185" s="499" t="s">
        <v>2068</v>
      </c>
      <c r="O185" s="525">
        <v>0</v>
      </c>
      <c r="P185" s="499" t="s">
        <v>2054</v>
      </c>
      <c r="Q185" s="499"/>
      <c r="R185" s="499"/>
      <c r="S185" s="525"/>
      <c r="T185" s="525">
        <v>0</v>
      </c>
      <c r="U185" s="525">
        <v>1</v>
      </c>
      <c r="V185" s="525" t="s">
        <v>2054</v>
      </c>
      <c r="W185" s="589">
        <f>IF(AND(BaleMover[[#This Row],[Scenario_ID]]="S3",BaleMover[[#This Row],[MRF_ID]]="05"),0,IFERROR(BaleMover[[#This Row],[Total_Baled_tons]]*(IF(BaleMover[[#This Row],[Scenario_ID]]="S0",-2,0)+INDEX(BalePrices[Low],MATCH(BaleMover[[#This Row],[Bale_ID]],BalePrices[Bale_ID],0))),0))</f>
        <v>0</v>
      </c>
      <c r="X185" s="397">
        <f>IF(AND(BaleMover[[#This Row],[Scenario_ID]]="S3",BaleMover[[#This Row],[MRF_ID]]="05"),0,IFERROR(BaleMover[[#This Row],[Total_Baled_tons]]*(IF(BaleMover[[#This Row],[Scenario_ID]]="S0",-2,0)+INDEX(BalePrices[Mid-Point],MATCH(BaleMover[[#This Row],[Bale_ID]],BalePrices[Bale_ID],0))),0))</f>
        <v>0</v>
      </c>
      <c r="Y185" s="397">
        <f>IF(AND(BaleMover[[#This Row],[Scenario_ID]]="S3",BaleMover[[#This Row],[MRF_ID]]="05"),0,IFERROR(BaleMover[[#This Row],[Total_Baled_tons]]*(IF(BaleMover[[#This Row],[Scenario_ID]]="S0",-2,0)+INDEX(BalePrices[High],MATCH(BaleMover[[#This Row],[Bale_ID]],BalePrices[Bale_ID],0))),0))</f>
        <v>0</v>
      </c>
    </row>
    <row r="186" spans="2:25" x14ac:dyDescent="0.2">
      <c r="B186" s="545" t="s">
        <v>876</v>
      </c>
      <c r="C186" s="499" t="s">
        <v>712</v>
      </c>
      <c r="D186" s="499"/>
      <c r="E186" s="499"/>
      <c r="F186" s="499" t="s">
        <v>1993</v>
      </c>
      <c r="G186" s="499" t="s">
        <v>2075</v>
      </c>
      <c r="H186" s="499" t="s">
        <v>1352</v>
      </c>
      <c r="I186" s="499" t="s">
        <v>1000</v>
      </c>
      <c r="J186" s="499" t="s">
        <v>1001</v>
      </c>
      <c r="K186" s="499" t="s">
        <v>2076</v>
      </c>
      <c r="L186" s="499">
        <v>12</v>
      </c>
      <c r="M186" s="499" t="s">
        <v>2087</v>
      </c>
      <c r="N186" s="499" t="s">
        <v>2070</v>
      </c>
      <c r="O186" s="525">
        <v>1306.2849200075364</v>
      </c>
      <c r="P186" s="499">
        <v>2630</v>
      </c>
      <c r="Q186" s="499"/>
      <c r="R186" s="499"/>
      <c r="S186" s="525"/>
      <c r="T186" s="525">
        <v>0</v>
      </c>
      <c r="U186" s="525">
        <v>1</v>
      </c>
      <c r="V186" s="525">
        <v>3435529.3396198205</v>
      </c>
      <c r="W186" s="589">
        <f>IF(AND(BaleMover[[#This Row],[Scenario_ID]]="S3",BaleMover[[#This Row],[MRF_ID]]="05"),0,IFERROR(BaleMover[[#This Row],[Total_Baled_tons]]*(IF(BaleMover[[#This Row],[Scenario_ID]]="S0",-2,0)+INDEX(BalePrices[Low],MATCH(BaleMover[[#This Row],[Bale_ID]],BalePrices[Bale_ID],0))),0))</f>
        <v>62701.676160361749</v>
      </c>
      <c r="X186" s="397">
        <f>IF(AND(BaleMover[[#This Row],[Scenario_ID]]="S3",BaleMover[[#This Row],[MRF_ID]]="05"),0,IFERROR(BaleMover[[#This Row],[Total_Baled_tons]]*(IF(BaleMover[[#This Row],[Scenario_ID]]="S0",-2,0)+INDEX(BalePrices[Mid-Point],MATCH(BaleMover[[#This Row],[Bale_ID]],BalePrices[Bale_ID],0))),0))</f>
        <v>128015.92216073857</v>
      </c>
      <c r="Y186" s="397">
        <f>IF(AND(BaleMover[[#This Row],[Scenario_ID]]="S3",BaleMover[[#This Row],[MRF_ID]]="05"),0,IFERROR(BaleMover[[#This Row],[Total_Baled_tons]]*(IF(BaleMover[[#This Row],[Scenario_ID]]="S0",-2,0)+INDEX(BalePrices[High],MATCH(BaleMover[[#This Row],[Bale_ID]],BalePrices[Bale_ID],0))),0))</f>
        <v>193330.16816111538</v>
      </c>
    </row>
    <row r="187" spans="2:25" x14ac:dyDescent="0.2">
      <c r="B187" s="545" t="s">
        <v>875</v>
      </c>
      <c r="C187" s="499" t="s">
        <v>712</v>
      </c>
      <c r="D187" s="499"/>
      <c r="E187" s="499"/>
      <c r="F187" s="499" t="s">
        <v>1993</v>
      </c>
      <c r="G187" s="499" t="s">
        <v>2078</v>
      </c>
      <c r="H187" s="499" t="s">
        <v>1353</v>
      </c>
      <c r="I187" s="499" t="s">
        <v>1000</v>
      </c>
      <c r="J187" s="499" t="s">
        <v>1001</v>
      </c>
      <c r="K187" s="499" t="s">
        <v>2076</v>
      </c>
      <c r="L187" s="499">
        <v>12</v>
      </c>
      <c r="M187" s="499" t="s">
        <v>2087</v>
      </c>
      <c r="N187" s="499" t="s">
        <v>2070</v>
      </c>
      <c r="O187" s="525">
        <v>856.65220940150039</v>
      </c>
      <c r="P187" s="499">
        <v>2630</v>
      </c>
      <c r="Q187" s="499"/>
      <c r="R187" s="499"/>
      <c r="S187" s="525"/>
      <c r="T187" s="525">
        <v>0</v>
      </c>
      <c r="U187" s="525">
        <v>1</v>
      </c>
      <c r="V187" s="525">
        <v>2252995.310725946</v>
      </c>
      <c r="W187" s="589">
        <f>IF(AND(BaleMover[[#This Row],[Scenario_ID]]="S3",BaleMover[[#This Row],[MRF_ID]]="05"),0,IFERROR(BaleMover[[#This Row],[Total_Baled_tons]]*(IF(BaleMover[[#This Row],[Scenario_ID]]="S0",-2,0)+INDEX(BalePrices[Low],MATCH(BaleMover[[#This Row],[Bale_ID]],BalePrices[Bale_ID],0))),0))</f>
        <v>42832.610470075022</v>
      </c>
      <c r="X187" s="397">
        <f>IF(AND(BaleMover[[#This Row],[Scenario_ID]]="S3",BaleMover[[#This Row],[MRF_ID]]="05"),0,IFERROR(BaleMover[[#This Row],[Total_Baled_tons]]*(IF(BaleMover[[#This Row],[Scenario_ID]]="S0",-2,0)+INDEX(BalePrices[Mid-Point],MATCH(BaleMover[[#This Row],[Bale_ID]],BalePrices[Bale_ID],0))),0))</f>
        <v>85665.220940150044</v>
      </c>
      <c r="Y187" s="397">
        <f>IF(AND(BaleMover[[#This Row],[Scenario_ID]]="S3",BaleMover[[#This Row],[MRF_ID]]="05"),0,IFERROR(BaleMover[[#This Row],[Total_Baled_tons]]*(IF(BaleMover[[#This Row],[Scenario_ID]]="S0",-2,0)+INDEX(BalePrices[High],MATCH(BaleMover[[#This Row],[Bale_ID]],BalePrices[Bale_ID],0))),0))</f>
        <v>128497.83141022506</v>
      </c>
    </row>
    <row r="188" spans="2:25" x14ac:dyDescent="0.2">
      <c r="B188" s="545" t="s">
        <v>874</v>
      </c>
      <c r="C188" s="499" t="s">
        <v>712</v>
      </c>
      <c r="D188" s="499"/>
      <c r="E188" s="499"/>
      <c r="F188" s="499" t="s">
        <v>1993</v>
      </c>
      <c r="G188" s="499" t="s">
        <v>2079</v>
      </c>
      <c r="H188" s="499" t="s">
        <v>1354</v>
      </c>
      <c r="I188" s="499" t="s">
        <v>1000</v>
      </c>
      <c r="J188" s="499" t="s">
        <v>1001</v>
      </c>
      <c r="K188" s="499" t="s">
        <v>2076</v>
      </c>
      <c r="L188" s="499">
        <v>12</v>
      </c>
      <c r="M188" s="499" t="s">
        <v>2087</v>
      </c>
      <c r="N188" s="499" t="s">
        <v>2070</v>
      </c>
      <c r="O188" s="525">
        <v>5443.4298623514724</v>
      </c>
      <c r="P188" s="499">
        <v>2630</v>
      </c>
      <c r="Q188" s="499"/>
      <c r="R188" s="499"/>
      <c r="S188" s="525"/>
      <c r="T188" s="525">
        <v>0</v>
      </c>
      <c r="U188" s="525">
        <v>1</v>
      </c>
      <c r="V188" s="525">
        <v>14316220.537984373</v>
      </c>
      <c r="W188" s="589">
        <f>IF(AND(BaleMover[[#This Row],[Scenario_ID]]="S3",BaleMover[[#This Row],[MRF_ID]]="05"),0,IFERROR(BaleMover[[#This Row],[Total_Baled_tons]]*(IF(BaleMover[[#This Row],[Scenario_ID]]="S0",-2,0)+INDEX(BalePrices[Low],MATCH(BaleMover[[#This Row],[Bale_ID]],BalePrices[Bale_ID],0))),0))</f>
        <v>272171.49311757361</v>
      </c>
      <c r="X188" s="397">
        <f>IF(AND(BaleMover[[#This Row],[Scenario_ID]]="S3",BaleMover[[#This Row],[MRF_ID]]="05"),0,IFERROR(BaleMover[[#This Row],[Total_Baled_tons]]*(IF(BaleMover[[#This Row],[Scenario_ID]]="S0",-2,0)+INDEX(BalePrices[Mid-Point],MATCH(BaleMover[[#This Row],[Bale_ID]],BalePrices[Bale_ID],0))),0))</f>
        <v>544342.98623514723</v>
      </c>
      <c r="Y188" s="397">
        <f>IF(AND(BaleMover[[#This Row],[Scenario_ID]]="S3",BaleMover[[#This Row],[MRF_ID]]="05"),0,IFERROR(BaleMover[[#This Row],[Total_Baled_tons]]*(IF(BaleMover[[#This Row],[Scenario_ID]]="S0",-2,0)+INDEX(BalePrices[High],MATCH(BaleMover[[#This Row],[Bale_ID]],BalePrices[Bale_ID],0))),0))</f>
        <v>816514.4793527209</v>
      </c>
    </row>
    <row r="189" spans="2:25" x14ac:dyDescent="0.2">
      <c r="B189" s="545" t="s">
        <v>873</v>
      </c>
      <c r="C189" s="499" t="s">
        <v>712</v>
      </c>
      <c r="D189" s="499"/>
      <c r="E189" s="499"/>
      <c r="F189" s="499" t="s">
        <v>1993</v>
      </c>
      <c r="G189" s="499" t="s">
        <v>2080</v>
      </c>
      <c r="H189" s="499" t="s">
        <v>1355</v>
      </c>
      <c r="I189" s="499" t="s">
        <v>1000</v>
      </c>
      <c r="J189" s="499" t="s">
        <v>1001</v>
      </c>
      <c r="K189" s="499" t="s">
        <v>2076</v>
      </c>
      <c r="L189" s="499">
        <v>12</v>
      </c>
      <c r="M189" s="499" t="s">
        <v>2087</v>
      </c>
      <c r="N189" s="499" t="s">
        <v>2070</v>
      </c>
      <c r="O189" s="525">
        <v>5444.2745042400138</v>
      </c>
      <c r="P189" s="499">
        <v>2630</v>
      </c>
      <c r="Q189" s="499"/>
      <c r="R189" s="499"/>
      <c r="S189" s="525"/>
      <c r="T189" s="525">
        <v>0</v>
      </c>
      <c r="U189" s="525">
        <v>1</v>
      </c>
      <c r="V189" s="525">
        <v>14318441.946151236</v>
      </c>
      <c r="W189" s="589">
        <f>IF(AND(BaleMover[[#This Row],[Scenario_ID]]="S3",BaleMover[[#This Row],[MRF_ID]]="05"),0,IFERROR(BaleMover[[#This Row],[Total_Baled_tons]]*(IF(BaleMover[[#This Row],[Scenario_ID]]="S0",-2,0)+INDEX(BalePrices[Low],MATCH(BaleMover[[#This Row],[Bale_ID]],BalePrices[Bale_ID],0))),0))</f>
        <v>272213.72521200072</v>
      </c>
      <c r="X189" s="397">
        <f>IF(AND(BaleMover[[#This Row],[Scenario_ID]]="S3",BaleMover[[#This Row],[MRF_ID]]="05"),0,IFERROR(BaleMover[[#This Row],[Total_Baled_tons]]*(IF(BaleMover[[#This Row],[Scenario_ID]]="S0",-2,0)+INDEX(BalePrices[Mid-Point],MATCH(BaleMover[[#This Row],[Bale_ID]],BalePrices[Bale_ID],0))),0))</f>
        <v>544427.45042400144</v>
      </c>
      <c r="Y189" s="397">
        <f>IF(AND(BaleMover[[#This Row],[Scenario_ID]]="S3",BaleMover[[#This Row],[MRF_ID]]="05"),0,IFERROR(BaleMover[[#This Row],[Total_Baled_tons]]*(IF(BaleMover[[#This Row],[Scenario_ID]]="S0",-2,0)+INDEX(BalePrices[High],MATCH(BaleMover[[#This Row],[Bale_ID]],BalePrices[Bale_ID],0))),0))</f>
        <v>816641.1756360021</v>
      </c>
    </row>
    <row r="190" spans="2:25" x14ac:dyDescent="0.2">
      <c r="B190" s="545" t="s">
        <v>876</v>
      </c>
      <c r="C190" s="499" t="s">
        <v>712</v>
      </c>
      <c r="D190" s="499"/>
      <c r="E190" s="499"/>
      <c r="F190" s="499" t="s">
        <v>1993</v>
      </c>
      <c r="G190" s="499" t="s">
        <v>2075</v>
      </c>
      <c r="H190" s="499" t="s">
        <v>1356</v>
      </c>
      <c r="I190" s="499" t="s">
        <v>1002</v>
      </c>
      <c r="J190" s="499" t="s">
        <v>1003</v>
      </c>
      <c r="K190" s="499" t="s">
        <v>2076</v>
      </c>
      <c r="L190" s="499">
        <v>1</v>
      </c>
      <c r="M190" s="499" t="s">
        <v>2086</v>
      </c>
      <c r="N190" s="499" t="s">
        <v>2066</v>
      </c>
      <c r="O190" s="525">
        <v>0</v>
      </c>
      <c r="P190" s="499" t="s">
        <v>2054</v>
      </c>
      <c r="Q190" s="499"/>
      <c r="R190" s="499"/>
      <c r="S190" s="525"/>
      <c r="T190" s="525">
        <v>0</v>
      </c>
      <c r="U190" s="525">
        <v>1</v>
      </c>
      <c r="V190" s="525" t="s">
        <v>2054</v>
      </c>
      <c r="W190" s="589">
        <f>IF(AND(BaleMover[[#This Row],[Scenario_ID]]="S3",BaleMover[[#This Row],[MRF_ID]]="05"),0,IFERROR(BaleMover[[#This Row],[Total_Baled_tons]]*(IF(BaleMover[[#This Row],[Scenario_ID]]="S0",-2,0)+INDEX(BalePrices[Low],MATCH(BaleMover[[#This Row],[Bale_ID]],BalePrices[Bale_ID],0))),0))</f>
        <v>0</v>
      </c>
      <c r="X190" s="397">
        <f>IF(AND(BaleMover[[#This Row],[Scenario_ID]]="S3",BaleMover[[#This Row],[MRF_ID]]="05"),0,IFERROR(BaleMover[[#This Row],[Total_Baled_tons]]*(IF(BaleMover[[#This Row],[Scenario_ID]]="S0",-2,0)+INDEX(BalePrices[Mid-Point],MATCH(BaleMover[[#This Row],[Bale_ID]],BalePrices[Bale_ID],0))),0))</f>
        <v>0</v>
      </c>
      <c r="Y190" s="397">
        <f>IF(AND(BaleMover[[#This Row],[Scenario_ID]]="S3",BaleMover[[#This Row],[MRF_ID]]="05"),0,IFERROR(BaleMover[[#This Row],[Total_Baled_tons]]*(IF(BaleMover[[#This Row],[Scenario_ID]]="S0",-2,0)+INDEX(BalePrices[High],MATCH(BaleMover[[#This Row],[Bale_ID]],BalePrices[Bale_ID],0))),0))</f>
        <v>0</v>
      </c>
    </row>
    <row r="191" spans="2:25" x14ac:dyDescent="0.2">
      <c r="B191" s="545" t="s">
        <v>875</v>
      </c>
      <c r="C191" s="499" t="s">
        <v>712</v>
      </c>
      <c r="D191" s="499"/>
      <c r="E191" s="499"/>
      <c r="F191" s="499" t="s">
        <v>1993</v>
      </c>
      <c r="G191" s="499" t="s">
        <v>2078</v>
      </c>
      <c r="H191" s="499" t="s">
        <v>1357</v>
      </c>
      <c r="I191" s="499" t="s">
        <v>1002</v>
      </c>
      <c r="J191" s="499" t="s">
        <v>1003</v>
      </c>
      <c r="K191" s="499" t="s">
        <v>2076</v>
      </c>
      <c r="L191" s="499">
        <v>1</v>
      </c>
      <c r="M191" s="499" t="s">
        <v>2086</v>
      </c>
      <c r="N191" s="499" t="s">
        <v>2066</v>
      </c>
      <c r="O191" s="525">
        <v>0</v>
      </c>
      <c r="P191" s="499" t="s">
        <v>2054</v>
      </c>
      <c r="Q191" s="499"/>
      <c r="R191" s="499"/>
      <c r="S191" s="525"/>
      <c r="T191" s="525">
        <v>0</v>
      </c>
      <c r="U191" s="525">
        <v>1</v>
      </c>
      <c r="V191" s="525" t="s">
        <v>2054</v>
      </c>
      <c r="W191" s="589">
        <f>IF(AND(BaleMover[[#This Row],[Scenario_ID]]="S3",BaleMover[[#This Row],[MRF_ID]]="05"),0,IFERROR(BaleMover[[#This Row],[Total_Baled_tons]]*(IF(BaleMover[[#This Row],[Scenario_ID]]="S0",-2,0)+INDEX(BalePrices[Low],MATCH(BaleMover[[#This Row],[Bale_ID]],BalePrices[Bale_ID],0))),0))</f>
        <v>0</v>
      </c>
      <c r="X191" s="397">
        <f>IF(AND(BaleMover[[#This Row],[Scenario_ID]]="S3",BaleMover[[#This Row],[MRF_ID]]="05"),0,IFERROR(BaleMover[[#This Row],[Total_Baled_tons]]*(IF(BaleMover[[#This Row],[Scenario_ID]]="S0",-2,0)+INDEX(BalePrices[Mid-Point],MATCH(BaleMover[[#This Row],[Bale_ID]],BalePrices[Bale_ID],0))),0))</f>
        <v>0</v>
      </c>
      <c r="Y191" s="397">
        <f>IF(AND(BaleMover[[#This Row],[Scenario_ID]]="S3",BaleMover[[#This Row],[MRF_ID]]="05"),0,IFERROR(BaleMover[[#This Row],[Total_Baled_tons]]*(IF(BaleMover[[#This Row],[Scenario_ID]]="S0",-2,0)+INDEX(BalePrices[High],MATCH(BaleMover[[#This Row],[Bale_ID]],BalePrices[Bale_ID],0))),0))</f>
        <v>0</v>
      </c>
    </row>
    <row r="192" spans="2:25" x14ac:dyDescent="0.2">
      <c r="B192" s="545" t="s">
        <v>874</v>
      </c>
      <c r="C192" s="499" t="s">
        <v>712</v>
      </c>
      <c r="D192" s="499"/>
      <c r="E192" s="499"/>
      <c r="F192" s="499" t="s">
        <v>1993</v>
      </c>
      <c r="G192" s="499" t="s">
        <v>2079</v>
      </c>
      <c r="H192" s="499" t="s">
        <v>1358</v>
      </c>
      <c r="I192" s="499" t="s">
        <v>1002</v>
      </c>
      <c r="J192" s="499" t="s">
        <v>1003</v>
      </c>
      <c r="K192" s="499" t="s">
        <v>2076</v>
      </c>
      <c r="L192" s="499">
        <v>1</v>
      </c>
      <c r="M192" s="499" t="s">
        <v>2086</v>
      </c>
      <c r="N192" s="499" t="s">
        <v>2066</v>
      </c>
      <c r="O192" s="525">
        <v>0</v>
      </c>
      <c r="P192" s="499" t="s">
        <v>2054</v>
      </c>
      <c r="Q192" s="499"/>
      <c r="R192" s="499"/>
      <c r="S192" s="525"/>
      <c r="T192" s="525">
        <v>0</v>
      </c>
      <c r="U192" s="525">
        <v>1</v>
      </c>
      <c r="V192" s="525" t="s">
        <v>2054</v>
      </c>
      <c r="W192" s="589">
        <f>IF(AND(BaleMover[[#This Row],[Scenario_ID]]="S3",BaleMover[[#This Row],[MRF_ID]]="05"),0,IFERROR(BaleMover[[#This Row],[Total_Baled_tons]]*(IF(BaleMover[[#This Row],[Scenario_ID]]="S0",-2,0)+INDEX(BalePrices[Low],MATCH(BaleMover[[#This Row],[Bale_ID]],BalePrices[Bale_ID],0))),0))</f>
        <v>0</v>
      </c>
      <c r="X192" s="397">
        <f>IF(AND(BaleMover[[#This Row],[Scenario_ID]]="S3",BaleMover[[#This Row],[MRF_ID]]="05"),0,IFERROR(BaleMover[[#This Row],[Total_Baled_tons]]*(IF(BaleMover[[#This Row],[Scenario_ID]]="S0",-2,0)+INDEX(BalePrices[Mid-Point],MATCH(BaleMover[[#This Row],[Bale_ID]],BalePrices[Bale_ID],0))),0))</f>
        <v>0</v>
      </c>
      <c r="Y192" s="397">
        <f>IF(AND(BaleMover[[#This Row],[Scenario_ID]]="S3",BaleMover[[#This Row],[MRF_ID]]="05"),0,IFERROR(BaleMover[[#This Row],[Total_Baled_tons]]*(IF(BaleMover[[#This Row],[Scenario_ID]]="S0",-2,0)+INDEX(BalePrices[High],MATCH(BaleMover[[#This Row],[Bale_ID]],BalePrices[Bale_ID],0))),0))</f>
        <v>0</v>
      </c>
    </row>
    <row r="193" spans="2:25" x14ac:dyDescent="0.2">
      <c r="B193" s="545" t="s">
        <v>873</v>
      </c>
      <c r="C193" s="499" t="s">
        <v>712</v>
      </c>
      <c r="D193" s="499"/>
      <c r="E193" s="499"/>
      <c r="F193" s="499" t="s">
        <v>1993</v>
      </c>
      <c r="G193" s="499" t="s">
        <v>2080</v>
      </c>
      <c r="H193" s="499" t="s">
        <v>1359</v>
      </c>
      <c r="I193" s="499" t="s">
        <v>1002</v>
      </c>
      <c r="J193" s="499" t="s">
        <v>1003</v>
      </c>
      <c r="K193" s="499" t="s">
        <v>2076</v>
      </c>
      <c r="L193" s="499">
        <v>1</v>
      </c>
      <c r="M193" s="499" t="s">
        <v>2086</v>
      </c>
      <c r="N193" s="499" t="s">
        <v>2066</v>
      </c>
      <c r="O193" s="525">
        <v>0</v>
      </c>
      <c r="P193" s="499" t="s">
        <v>2054</v>
      </c>
      <c r="Q193" s="499"/>
      <c r="R193" s="499"/>
      <c r="S193" s="525"/>
      <c r="T193" s="525">
        <v>0</v>
      </c>
      <c r="U193" s="525">
        <v>1</v>
      </c>
      <c r="V193" s="525" t="s">
        <v>2054</v>
      </c>
      <c r="W193" s="589">
        <f>IF(AND(BaleMover[[#This Row],[Scenario_ID]]="S3",BaleMover[[#This Row],[MRF_ID]]="05"),0,IFERROR(BaleMover[[#This Row],[Total_Baled_tons]]*(IF(BaleMover[[#This Row],[Scenario_ID]]="S0",-2,0)+INDEX(BalePrices[Low],MATCH(BaleMover[[#This Row],[Bale_ID]],BalePrices[Bale_ID],0))),0))</f>
        <v>0</v>
      </c>
      <c r="X193" s="397">
        <f>IF(AND(BaleMover[[#This Row],[Scenario_ID]]="S3",BaleMover[[#This Row],[MRF_ID]]="05"),0,IFERROR(BaleMover[[#This Row],[Total_Baled_tons]]*(IF(BaleMover[[#This Row],[Scenario_ID]]="S0",-2,0)+INDEX(BalePrices[Mid-Point],MATCH(BaleMover[[#This Row],[Bale_ID]],BalePrices[Bale_ID],0))),0))</f>
        <v>0</v>
      </c>
      <c r="Y193" s="397">
        <f>IF(AND(BaleMover[[#This Row],[Scenario_ID]]="S3",BaleMover[[#This Row],[MRF_ID]]="05"),0,IFERROR(BaleMover[[#This Row],[Total_Baled_tons]]*(IF(BaleMover[[#This Row],[Scenario_ID]]="S0",-2,0)+INDEX(BalePrices[High],MATCH(BaleMover[[#This Row],[Bale_ID]],BalePrices[Bale_ID],0))),0))</f>
        <v>0</v>
      </c>
    </row>
    <row r="194" spans="2:25" x14ac:dyDescent="0.2">
      <c r="B194" s="545" t="s">
        <v>876</v>
      </c>
      <c r="C194" s="499" t="s">
        <v>712</v>
      </c>
      <c r="D194" s="499"/>
      <c r="E194" s="499"/>
      <c r="F194" s="499" t="s">
        <v>1993</v>
      </c>
      <c r="G194" s="499" t="s">
        <v>2075</v>
      </c>
      <c r="H194" s="499" t="s">
        <v>1360</v>
      </c>
      <c r="I194" s="499" t="s">
        <v>1006</v>
      </c>
      <c r="J194" s="499" t="s">
        <v>1007</v>
      </c>
      <c r="K194" s="499" t="s">
        <v>2076</v>
      </c>
      <c r="L194" s="499">
        <v>1</v>
      </c>
      <c r="M194" s="499" t="s">
        <v>2086</v>
      </c>
      <c r="N194" s="499" t="s">
        <v>2066</v>
      </c>
      <c r="O194" s="525">
        <v>24.799942660244739</v>
      </c>
      <c r="P194" s="499">
        <v>20</v>
      </c>
      <c r="Q194" s="499"/>
      <c r="R194" s="499"/>
      <c r="S194" s="525"/>
      <c r="T194" s="525">
        <v>0</v>
      </c>
      <c r="U194" s="525">
        <v>1</v>
      </c>
      <c r="V194" s="525">
        <v>495.99885320489477</v>
      </c>
      <c r="W194" s="589">
        <f>IF(AND(BaleMover[[#This Row],[Scenario_ID]]="S3",BaleMover[[#This Row],[MRF_ID]]="05"),0,IFERROR(BaleMover[[#This Row],[Total_Baled_tons]]*(IF(BaleMover[[#This Row],[Scenario_ID]]="S0",-2,0)+INDEX(BalePrices[Low],MATCH(BaleMover[[#This Row],[Bale_ID]],BalePrices[Bale_ID],0))),0))</f>
        <v>1190.3972476917475</v>
      </c>
      <c r="X194" s="397">
        <f>IF(AND(BaleMover[[#This Row],[Scenario_ID]]="S3",BaleMover[[#This Row],[MRF_ID]]="05"),0,IFERROR(BaleMover[[#This Row],[Total_Baled_tons]]*(IF(BaleMover[[#This Row],[Scenario_ID]]="S0",-2,0)+INDEX(BalePrices[Mid-Point],MATCH(BaleMover[[#This Row],[Bale_ID]],BalePrices[Bale_ID],0))),0))</f>
        <v>3670.3915137162212</v>
      </c>
      <c r="Y194" s="397">
        <f>IF(AND(BaleMover[[#This Row],[Scenario_ID]]="S3",BaleMover[[#This Row],[MRF_ID]]="05"),0,IFERROR(BaleMover[[#This Row],[Total_Baled_tons]]*(IF(BaleMover[[#This Row],[Scenario_ID]]="S0",-2,0)+INDEX(BalePrices[High],MATCH(BaleMover[[#This Row],[Bale_ID]],BalePrices[Bale_ID],0))),0))</f>
        <v>6150.3857797406954</v>
      </c>
    </row>
    <row r="195" spans="2:25" x14ac:dyDescent="0.2">
      <c r="B195" s="545" t="s">
        <v>875</v>
      </c>
      <c r="C195" s="499" t="s">
        <v>712</v>
      </c>
      <c r="D195" s="499"/>
      <c r="E195" s="499"/>
      <c r="F195" s="499" t="s">
        <v>1993</v>
      </c>
      <c r="G195" s="499" t="s">
        <v>2078</v>
      </c>
      <c r="H195" s="499" t="s">
        <v>1361</v>
      </c>
      <c r="I195" s="499" t="s">
        <v>1006</v>
      </c>
      <c r="J195" s="499" t="s">
        <v>1007</v>
      </c>
      <c r="K195" s="499" t="s">
        <v>2076</v>
      </c>
      <c r="L195" s="499">
        <v>1</v>
      </c>
      <c r="M195" s="499" t="s">
        <v>2086</v>
      </c>
      <c r="N195" s="499" t="s">
        <v>2066</v>
      </c>
      <c r="O195" s="525">
        <v>13.918811744066472</v>
      </c>
      <c r="P195" s="499">
        <v>20</v>
      </c>
      <c r="Q195" s="499"/>
      <c r="R195" s="499"/>
      <c r="S195" s="525"/>
      <c r="T195" s="525">
        <v>0</v>
      </c>
      <c r="U195" s="525">
        <v>1</v>
      </c>
      <c r="V195" s="525">
        <v>278.37623488132942</v>
      </c>
      <c r="W195" s="589">
        <f>IF(AND(BaleMover[[#This Row],[Scenario_ID]]="S3",BaleMover[[#This Row],[MRF_ID]]="05"),0,IFERROR(BaleMover[[#This Row],[Total_Baled_tons]]*(IF(BaleMover[[#This Row],[Scenario_ID]]="S0",-2,0)+INDEX(BalePrices[Low],MATCH(BaleMover[[#This Row],[Bale_ID]],BalePrices[Bale_ID],0))),0))</f>
        <v>695.94058720332362</v>
      </c>
      <c r="X195" s="397">
        <f>IF(AND(BaleMover[[#This Row],[Scenario_ID]]="S3",BaleMover[[#This Row],[MRF_ID]]="05"),0,IFERROR(BaleMover[[#This Row],[Total_Baled_tons]]*(IF(BaleMover[[#This Row],[Scenario_ID]]="S0",-2,0)+INDEX(BalePrices[Mid-Point],MATCH(BaleMover[[#This Row],[Bale_ID]],BalePrices[Bale_ID],0))),0))</f>
        <v>2087.821761609971</v>
      </c>
      <c r="Y195" s="397">
        <f>IF(AND(BaleMover[[#This Row],[Scenario_ID]]="S3",BaleMover[[#This Row],[MRF_ID]]="05"),0,IFERROR(BaleMover[[#This Row],[Total_Baled_tons]]*(IF(BaleMover[[#This Row],[Scenario_ID]]="S0",-2,0)+INDEX(BalePrices[High],MATCH(BaleMover[[#This Row],[Bale_ID]],BalePrices[Bale_ID],0))),0))</f>
        <v>3479.702936016618</v>
      </c>
    </row>
    <row r="196" spans="2:25" x14ac:dyDescent="0.2">
      <c r="B196" s="545" t="s">
        <v>874</v>
      </c>
      <c r="C196" s="499" t="s">
        <v>712</v>
      </c>
      <c r="D196" s="499"/>
      <c r="E196" s="499"/>
      <c r="F196" s="499" t="s">
        <v>1993</v>
      </c>
      <c r="G196" s="499" t="s">
        <v>2079</v>
      </c>
      <c r="H196" s="499" t="s">
        <v>1362</v>
      </c>
      <c r="I196" s="499" t="s">
        <v>1006</v>
      </c>
      <c r="J196" s="499" t="s">
        <v>1007</v>
      </c>
      <c r="K196" s="499" t="s">
        <v>2076</v>
      </c>
      <c r="L196" s="499">
        <v>1</v>
      </c>
      <c r="M196" s="499" t="s">
        <v>2086</v>
      </c>
      <c r="N196" s="499" t="s">
        <v>2066</v>
      </c>
      <c r="O196" s="525">
        <v>0</v>
      </c>
      <c r="P196" s="499" t="s">
        <v>2054</v>
      </c>
      <c r="Q196" s="499"/>
      <c r="R196" s="499"/>
      <c r="S196" s="525"/>
      <c r="T196" s="525">
        <v>0</v>
      </c>
      <c r="U196" s="525">
        <v>1</v>
      </c>
      <c r="V196" s="525" t="s">
        <v>2054</v>
      </c>
      <c r="W196" s="589">
        <f>IF(AND(BaleMover[[#This Row],[Scenario_ID]]="S3",BaleMover[[#This Row],[MRF_ID]]="05"),0,IFERROR(BaleMover[[#This Row],[Total_Baled_tons]]*(IF(BaleMover[[#This Row],[Scenario_ID]]="S0",-2,0)+INDEX(BalePrices[Low],MATCH(BaleMover[[#This Row],[Bale_ID]],BalePrices[Bale_ID],0))),0))</f>
        <v>0</v>
      </c>
      <c r="X196" s="397">
        <f>IF(AND(BaleMover[[#This Row],[Scenario_ID]]="S3",BaleMover[[#This Row],[MRF_ID]]="05"),0,IFERROR(BaleMover[[#This Row],[Total_Baled_tons]]*(IF(BaleMover[[#This Row],[Scenario_ID]]="S0",-2,0)+INDEX(BalePrices[Mid-Point],MATCH(BaleMover[[#This Row],[Bale_ID]],BalePrices[Bale_ID],0))),0))</f>
        <v>0</v>
      </c>
      <c r="Y196" s="397">
        <f>IF(AND(BaleMover[[#This Row],[Scenario_ID]]="S3",BaleMover[[#This Row],[MRF_ID]]="05"),0,IFERROR(BaleMover[[#This Row],[Total_Baled_tons]]*(IF(BaleMover[[#This Row],[Scenario_ID]]="S0",-2,0)+INDEX(BalePrices[High],MATCH(BaleMover[[#This Row],[Bale_ID]],BalePrices[Bale_ID],0))),0))</f>
        <v>0</v>
      </c>
    </row>
    <row r="197" spans="2:25" x14ac:dyDescent="0.2">
      <c r="B197" s="545" t="s">
        <v>873</v>
      </c>
      <c r="C197" s="499" t="s">
        <v>712</v>
      </c>
      <c r="D197" s="499"/>
      <c r="E197" s="499"/>
      <c r="F197" s="499" t="s">
        <v>1993</v>
      </c>
      <c r="G197" s="499" t="s">
        <v>2080</v>
      </c>
      <c r="H197" s="499" t="s">
        <v>1363</v>
      </c>
      <c r="I197" s="499" t="s">
        <v>1006</v>
      </c>
      <c r="J197" s="499" t="s">
        <v>1007</v>
      </c>
      <c r="K197" s="499" t="s">
        <v>2076</v>
      </c>
      <c r="L197" s="499">
        <v>1</v>
      </c>
      <c r="M197" s="499" t="s">
        <v>2086</v>
      </c>
      <c r="N197" s="499" t="s">
        <v>2066</v>
      </c>
      <c r="O197" s="525">
        <v>0</v>
      </c>
      <c r="P197" s="499" t="s">
        <v>2054</v>
      </c>
      <c r="Q197" s="499"/>
      <c r="R197" s="499"/>
      <c r="S197" s="525"/>
      <c r="T197" s="525">
        <v>0</v>
      </c>
      <c r="U197" s="525">
        <v>1</v>
      </c>
      <c r="V197" s="525" t="s">
        <v>2054</v>
      </c>
      <c r="W197" s="589">
        <f>IF(AND(BaleMover[[#This Row],[Scenario_ID]]="S3",BaleMover[[#This Row],[MRF_ID]]="05"),0,IFERROR(BaleMover[[#This Row],[Total_Baled_tons]]*(IF(BaleMover[[#This Row],[Scenario_ID]]="S0",-2,0)+INDEX(BalePrices[Low],MATCH(BaleMover[[#This Row],[Bale_ID]],BalePrices[Bale_ID],0))),0))</f>
        <v>0</v>
      </c>
      <c r="X197" s="397">
        <f>IF(AND(BaleMover[[#This Row],[Scenario_ID]]="S3",BaleMover[[#This Row],[MRF_ID]]="05"),0,IFERROR(BaleMover[[#This Row],[Total_Baled_tons]]*(IF(BaleMover[[#This Row],[Scenario_ID]]="S0",-2,0)+INDEX(BalePrices[Mid-Point],MATCH(BaleMover[[#This Row],[Bale_ID]],BalePrices[Bale_ID],0))),0))</f>
        <v>0</v>
      </c>
      <c r="Y197" s="397">
        <f>IF(AND(BaleMover[[#This Row],[Scenario_ID]]="S3",BaleMover[[#This Row],[MRF_ID]]="05"),0,IFERROR(BaleMover[[#This Row],[Total_Baled_tons]]*(IF(BaleMover[[#This Row],[Scenario_ID]]="S0",-2,0)+INDEX(BalePrices[High],MATCH(BaleMover[[#This Row],[Bale_ID]],BalePrices[Bale_ID],0))),0))</f>
        <v>0</v>
      </c>
    </row>
    <row r="198" spans="2:25" x14ac:dyDescent="0.2">
      <c r="B198" s="545" t="s">
        <v>876</v>
      </c>
      <c r="C198" s="499" t="s">
        <v>712</v>
      </c>
      <c r="D198" s="499"/>
      <c r="E198" s="499"/>
      <c r="F198" s="499" t="s">
        <v>1993</v>
      </c>
      <c r="G198" s="499" t="s">
        <v>2075</v>
      </c>
      <c r="H198" s="499" t="s">
        <v>1364</v>
      </c>
      <c r="I198" s="499" t="s">
        <v>1008</v>
      </c>
      <c r="J198" s="499" t="s">
        <v>1009</v>
      </c>
      <c r="K198" s="499" t="s">
        <v>2076</v>
      </c>
      <c r="L198" s="499">
        <v>2</v>
      </c>
      <c r="M198" s="499" t="s">
        <v>2088</v>
      </c>
      <c r="N198" s="499" t="s">
        <v>2072</v>
      </c>
      <c r="O198" s="525">
        <v>0</v>
      </c>
      <c r="P198" s="499" t="s">
        <v>2054</v>
      </c>
      <c r="Q198" s="499"/>
      <c r="R198" s="499"/>
      <c r="S198" s="525"/>
      <c r="T198" s="525">
        <v>0</v>
      </c>
      <c r="U198" s="525">
        <v>1</v>
      </c>
      <c r="V198" s="525" t="s">
        <v>2054</v>
      </c>
      <c r="W198" s="589">
        <f>IF(AND(BaleMover[[#This Row],[Scenario_ID]]="S3",BaleMover[[#This Row],[MRF_ID]]="05"),0,IFERROR(BaleMover[[#This Row],[Total_Baled_tons]]*(IF(BaleMover[[#This Row],[Scenario_ID]]="S0",-2,0)+INDEX(BalePrices[Low],MATCH(BaleMover[[#This Row],[Bale_ID]],BalePrices[Bale_ID],0))),0))</f>
        <v>0</v>
      </c>
      <c r="X198" s="397">
        <f>IF(AND(BaleMover[[#This Row],[Scenario_ID]]="S3",BaleMover[[#This Row],[MRF_ID]]="05"),0,IFERROR(BaleMover[[#This Row],[Total_Baled_tons]]*(IF(BaleMover[[#This Row],[Scenario_ID]]="S0",-2,0)+INDEX(BalePrices[Mid-Point],MATCH(BaleMover[[#This Row],[Bale_ID]],BalePrices[Bale_ID],0))),0))</f>
        <v>0</v>
      </c>
      <c r="Y198" s="397">
        <f>IF(AND(BaleMover[[#This Row],[Scenario_ID]]="S3",BaleMover[[#This Row],[MRF_ID]]="05"),0,IFERROR(BaleMover[[#This Row],[Total_Baled_tons]]*(IF(BaleMover[[#This Row],[Scenario_ID]]="S0",-2,0)+INDEX(BalePrices[High],MATCH(BaleMover[[#This Row],[Bale_ID]],BalePrices[Bale_ID],0))),0))</f>
        <v>0</v>
      </c>
    </row>
    <row r="199" spans="2:25" x14ac:dyDescent="0.2">
      <c r="B199" s="545" t="s">
        <v>875</v>
      </c>
      <c r="C199" s="499" t="s">
        <v>712</v>
      </c>
      <c r="D199" s="499"/>
      <c r="E199" s="499"/>
      <c r="F199" s="499" t="s">
        <v>1993</v>
      </c>
      <c r="G199" s="499" t="s">
        <v>2078</v>
      </c>
      <c r="H199" s="499" t="s">
        <v>1365</v>
      </c>
      <c r="I199" s="499" t="s">
        <v>1008</v>
      </c>
      <c r="J199" s="499" t="s">
        <v>1009</v>
      </c>
      <c r="K199" s="499" t="s">
        <v>2076</v>
      </c>
      <c r="L199" s="499">
        <v>2</v>
      </c>
      <c r="M199" s="499" t="s">
        <v>2088</v>
      </c>
      <c r="N199" s="499" t="s">
        <v>2072</v>
      </c>
      <c r="O199" s="525">
        <v>0</v>
      </c>
      <c r="P199" s="499" t="s">
        <v>2054</v>
      </c>
      <c r="Q199" s="499"/>
      <c r="R199" s="499"/>
      <c r="S199" s="525"/>
      <c r="T199" s="525">
        <v>0</v>
      </c>
      <c r="U199" s="525">
        <v>1</v>
      </c>
      <c r="V199" s="525" t="s">
        <v>2054</v>
      </c>
      <c r="W199" s="589">
        <f>IF(AND(BaleMover[[#This Row],[Scenario_ID]]="S3",BaleMover[[#This Row],[MRF_ID]]="05"),0,IFERROR(BaleMover[[#This Row],[Total_Baled_tons]]*(IF(BaleMover[[#This Row],[Scenario_ID]]="S0",-2,0)+INDEX(BalePrices[Low],MATCH(BaleMover[[#This Row],[Bale_ID]],BalePrices[Bale_ID],0))),0))</f>
        <v>0</v>
      </c>
      <c r="X199" s="397">
        <f>IF(AND(BaleMover[[#This Row],[Scenario_ID]]="S3",BaleMover[[#This Row],[MRF_ID]]="05"),0,IFERROR(BaleMover[[#This Row],[Total_Baled_tons]]*(IF(BaleMover[[#This Row],[Scenario_ID]]="S0",-2,0)+INDEX(BalePrices[Mid-Point],MATCH(BaleMover[[#This Row],[Bale_ID]],BalePrices[Bale_ID],0))),0))</f>
        <v>0</v>
      </c>
      <c r="Y199" s="397">
        <f>IF(AND(BaleMover[[#This Row],[Scenario_ID]]="S3",BaleMover[[#This Row],[MRF_ID]]="05"),0,IFERROR(BaleMover[[#This Row],[Total_Baled_tons]]*(IF(BaleMover[[#This Row],[Scenario_ID]]="S0",-2,0)+INDEX(BalePrices[High],MATCH(BaleMover[[#This Row],[Bale_ID]],BalePrices[Bale_ID],0))),0))</f>
        <v>0</v>
      </c>
    </row>
    <row r="200" spans="2:25" x14ac:dyDescent="0.2">
      <c r="B200" s="545" t="s">
        <v>874</v>
      </c>
      <c r="C200" s="499" t="s">
        <v>712</v>
      </c>
      <c r="D200" s="499"/>
      <c r="E200" s="499"/>
      <c r="F200" s="499" t="s">
        <v>1993</v>
      </c>
      <c r="G200" s="499" t="s">
        <v>2079</v>
      </c>
      <c r="H200" s="499" t="s">
        <v>1366</v>
      </c>
      <c r="I200" s="499" t="s">
        <v>1008</v>
      </c>
      <c r="J200" s="499" t="s">
        <v>1009</v>
      </c>
      <c r="K200" s="499" t="s">
        <v>2076</v>
      </c>
      <c r="L200" s="499">
        <v>2</v>
      </c>
      <c r="M200" s="499" t="s">
        <v>2088</v>
      </c>
      <c r="N200" s="499" t="s">
        <v>2072</v>
      </c>
      <c r="O200" s="525">
        <v>0</v>
      </c>
      <c r="P200" s="499" t="s">
        <v>2054</v>
      </c>
      <c r="Q200" s="499"/>
      <c r="R200" s="499"/>
      <c r="S200" s="525"/>
      <c r="T200" s="525">
        <v>0</v>
      </c>
      <c r="U200" s="525">
        <v>1</v>
      </c>
      <c r="V200" s="525" t="s">
        <v>2054</v>
      </c>
      <c r="W200" s="589">
        <f>IF(AND(BaleMover[[#This Row],[Scenario_ID]]="S3",BaleMover[[#This Row],[MRF_ID]]="05"),0,IFERROR(BaleMover[[#This Row],[Total_Baled_tons]]*(IF(BaleMover[[#This Row],[Scenario_ID]]="S0",-2,0)+INDEX(BalePrices[Low],MATCH(BaleMover[[#This Row],[Bale_ID]],BalePrices[Bale_ID],0))),0))</f>
        <v>0</v>
      </c>
      <c r="X200" s="397">
        <f>IF(AND(BaleMover[[#This Row],[Scenario_ID]]="S3",BaleMover[[#This Row],[MRF_ID]]="05"),0,IFERROR(BaleMover[[#This Row],[Total_Baled_tons]]*(IF(BaleMover[[#This Row],[Scenario_ID]]="S0",-2,0)+INDEX(BalePrices[Mid-Point],MATCH(BaleMover[[#This Row],[Bale_ID]],BalePrices[Bale_ID],0))),0))</f>
        <v>0</v>
      </c>
      <c r="Y200" s="397">
        <f>IF(AND(BaleMover[[#This Row],[Scenario_ID]]="S3",BaleMover[[#This Row],[MRF_ID]]="05"),0,IFERROR(BaleMover[[#This Row],[Total_Baled_tons]]*(IF(BaleMover[[#This Row],[Scenario_ID]]="S0",-2,0)+INDEX(BalePrices[High],MATCH(BaleMover[[#This Row],[Bale_ID]],BalePrices[Bale_ID],0))),0))</f>
        <v>0</v>
      </c>
    </row>
    <row r="201" spans="2:25" x14ac:dyDescent="0.2">
      <c r="B201" s="545" t="s">
        <v>873</v>
      </c>
      <c r="C201" s="499" t="s">
        <v>712</v>
      </c>
      <c r="D201" s="499"/>
      <c r="E201" s="499"/>
      <c r="F201" s="499" t="s">
        <v>1993</v>
      </c>
      <c r="G201" s="499" t="s">
        <v>2080</v>
      </c>
      <c r="H201" s="499" t="s">
        <v>1367</v>
      </c>
      <c r="I201" s="499" t="s">
        <v>1008</v>
      </c>
      <c r="J201" s="499" t="s">
        <v>1009</v>
      </c>
      <c r="K201" s="499" t="s">
        <v>2076</v>
      </c>
      <c r="L201" s="499">
        <v>2</v>
      </c>
      <c r="M201" s="499" t="s">
        <v>2088</v>
      </c>
      <c r="N201" s="499" t="s">
        <v>2072</v>
      </c>
      <c r="O201" s="525">
        <v>0</v>
      </c>
      <c r="P201" s="499" t="s">
        <v>2054</v>
      </c>
      <c r="Q201" s="499"/>
      <c r="R201" s="499"/>
      <c r="S201" s="525"/>
      <c r="T201" s="525">
        <v>0</v>
      </c>
      <c r="U201" s="525">
        <v>1</v>
      </c>
      <c r="V201" s="525" t="s">
        <v>2054</v>
      </c>
      <c r="W201" s="589">
        <f>IF(AND(BaleMover[[#This Row],[Scenario_ID]]="S3",BaleMover[[#This Row],[MRF_ID]]="05"),0,IFERROR(BaleMover[[#This Row],[Total_Baled_tons]]*(IF(BaleMover[[#This Row],[Scenario_ID]]="S0",-2,0)+INDEX(BalePrices[Low],MATCH(BaleMover[[#This Row],[Bale_ID]],BalePrices[Bale_ID],0))),0))</f>
        <v>0</v>
      </c>
      <c r="X201" s="397">
        <f>IF(AND(BaleMover[[#This Row],[Scenario_ID]]="S3",BaleMover[[#This Row],[MRF_ID]]="05"),0,IFERROR(BaleMover[[#This Row],[Total_Baled_tons]]*(IF(BaleMover[[#This Row],[Scenario_ID]]="S0",-2,0)+INDEX(BalePrices[Mid-Point],MATCH(BaleMover[[#This Row],[Bale_ID]],BalePrices[Bale_ID],0))),0))</f>
        <v>0</v>
      </c>
      <c r="Y201" s="397">
        <f>IF(AND(BaleMover[[#This Row],[Scenario_ID]]="S3",BaleMover[[#This Row],[MRF_ID]]="05"),0,IFERROR(BaleMover[[#This Row],[Total_Baled_tons]]*(IF(BaleMover[[#This Row],[Scenario_ID]]="S0",-2,0)+INDEX(BalePrices[High],MATCH(BaleMover[[#This Row],[Bale_ID]],BalePrices[Bale_ID],0))),0))</f>
        <v>0</v>
      </c>
    </row>
    <row r="202" spans="2:25" x14ac:dyDescent="0.2">
      <c r="B202" s="545" t="s">
        <v>876</v>
      </c>
      <c r="C202" s="499" t="s">
        <v>712</v>
      </c>
      <c r="D202" s="499"/>
      <c r="E202" s="499"/>
      <c r="F202" s="499" t="s">
        <v>1993</v>
      </c>
      <c r="G202" s="499" t="s">
        <v>2075</v>
      </c>
      <c r="H202" s="499" t="s">
        <v>1368</v>
      </c>
      <c r="I202" s="499" t="s">
        <v>1010</v>
      </c>
      <c r="J202" s="499" t="s">
        <v>1011</v>
      </c>
      <c r="K202" s="499" t="s">
        <v>2076</v>
      </c>
      <c r="L202" s="499">
        <v>2</v>
      </c>
      <c r="M202" s="499" t="s">
        <v>2088</v>
      </c>
      <c r="N202" s="499" t="s">
        <v>2072</v>
      </c>
      <c r="O202" s="525">
        <v>0</v>
      </c>
      <c r="P202" s="499" t="s">
        <v>2054</v>
      </c>
      <c r="Q202" s="499"/>
      <c r="R202" s="499"/>
      <c r="S202" s="525"/>
      <c r="T202" s="525">
        <v>0</v>
      </c>
      <c r="U202" s="525">
        <v>1</v>
      </c>
      <c r="V202" s="525" t="s">
        <v>2054</v>
      </c>
      <c r="W202" s="589">
        <f>IF(AND(BaleMover[[#This Row],[Scenario_ID]]="S3",BaleMover[[#This Row],[MRF_ID]]="05"),0,IFERROR(BaleMover[[#This Row],[Total_Baled_tons]]*(IF(BaleMover[[#This Row],[Scenario_ID]]="S0",-2,0)+INDEX(BalePrices[Low],MATCH(BaleMover[[#This Row],[Bale_ID]],BalePrices[Bale_ID],0))),0))</f>
        <v>0</v>
      </c>
      <c r="X202" s="397">
        <f>IF(AND(BaleMover[[#This Row],[Scenario_ID]]="S3",BaleMover[[#This Row],[MRF_ID]]="05"),0,IFERROR(BaleMover[[#This Row],[Total_Baled_tons]]*(IF(BaleMover[[#This Row],[Scenario_ID]]="S0",-2,0)+INDEX(BalePrices[Mid-Point],MATCH(BaleMover[[#This Row],[Bale_ID]],BalePrices[Bale_ID],0))),0))</f>
        <v>0</v>
      </c>
      <c r="Y202" s="397">
        <f>IF(AND(BaleMover[[#This Row],[Scenario_ID]]="S3",BaleMover[[#This Row],[MRF_ID]]="05"),0,IFERROR(BaleMover[[#This Row],[Total_Baled_tons]]*(IF(BaleMover[[#This Row],[Scenario_ID]]="S0",-2,0)+INDEX(BalePrices[High],MATCH(BaleMover[[#This Row],[Bale_ID]],BalePrices[Bale_ID],0))),0))</f>
        <v>0</v>
      </c>
    </row>
    <row r="203" spans="2:25" x14ac:dyDescent="0.2">
      <c r="B203" s="545" t="s">
        <v>875</v>
      </c>
      <c r="C203" s="499" t="s">
        <v>712</v>
      </c>
      <c r="D203" s="499"/>
      <c r="E203" s="499"/>
      <c r="F203" s="499" t="s">
        <v>1993</v>
      </c>
      <c r="G203" s="499" t="s">
        <v>2078</v>
      </c>
      <c r="H203" s="499" t="s">
        <v>1369</v>
      </c>
      <c r="I203" s="499" t="s">
        <v>1010</v>
      </c>
      <c r="J203" s="499" t="s">
        <v>1011</v>
      </c>
      <c r="K203" s="499" t="s">
        <v>2076</v>
      </c>
      <c r="L203" s="499">
        <v>2</v>
      </c>
      <c r="M203" s="499" t="s">
        <v>2088</v>
      </c>
      <c r="N203" s="499" t="s">
        <v>2072</v>
      </c>
      <c r="O203" s="525">
        <v>0</v>
      </c>
      <c r="P203" s="499" t="s">
        <v>2054</v>
      </c>
      <c r="Q203" s="499"/>
      <c r="R203" s="499"/>
      <c r="S203" s="525"/>
      <c r="T203" s="525">
        <v>0</v>
      </c>
      <c r="U203" s="525">
        <v>1</v>
      </c>
      <c r="V203" s="525" t="s">
        <v>2054</v>
      </c>
      <c r="W203" s="589">
        <f>IF(AND(BaleMover[[#This Row],[Scenario_ID]]="S3",BaleMover[[#This Row],[MRF_ID]]="05"),0,IFERROR(BaleMover[[#This Row],[Total_Baled_tons]]*(IF(BaleMover[[#This Row],[Scenario_ID]]="S0",-2,0)+INDEX(BalePrices[Low],MATCH(BaleMover[[#This Row],[Bale_ID]],BalePrices[Bale_ID],0))),0))</f>
        <v>0</v>
      </c>
      <c r="X203" s="397">
        <f>IF(AND(BaleMover[[#This Row],[Scenario_ID]]="S3",BaleMover[[#This Row],[MRF_ID]]="05"),0,IFERROR(BaleMover[[#This Row],[Total_Baled_tons]]*(IF(BaleMover[[#This Row],[Scenario_ID]]="S0",-2,0)+INDEX(BalePrices[Mid-Point],MATCH(BaleMover[[#This Row],[Bale_ID]],BalePrices[Bale_ID],0))),0))</f>
        <v>0</v>
      </c>
      <c r="Y203" s="397">
        <f>IF(AND(BaleMover[[#This Row],[Scenario_ID]]="S3",BaleMover[[#This Row],[MRF_ID]]="05"),0,IFERROR(BaleMover[[#This Row],[Total_Baled_tons]]*(IF(BaleMover[[#This Row],[Scenario_ID]]="S0",-2,0)+INDEX(BalePrices[High],MATCH(BaleMover[[#This Row],[Bale_ID]],BalePrices[Bale_ID],0))),0))</f>
        <v>0</v>
      </c>
    </row>
    <row r="204" spans="2:25" x14ac:dyDescent="0.2">
      <c r="B204" s="545" t="s">
        <v>874</v>
      </c>
      <c r="C204" s="499" t="s">
        <v>712</v>
      </c>
      <c r="D204" s="499"/>
      <c r="E204" s="499"/>
      <c r="F204" s="499" t="s">
        <v>1993</v>
      </c>
      <c r="G204" s="499" t="s">
        <v>2079</v>
      </c>
      <c r="H204" s="499" t="s">
        <v>1370</v>
      </c>
      <c r="I204" s="499" t="s">
        <v>1010</v>
      </c>
      <c r="J204" s="499" t="s">
        <v>1011</v>
      </c>
      <c r="K204" s="499" t="s">
        <v>2076</v>
      </c>
      <c r="L204" s="499">
        <v>2</v>
      </c>
      <c r="M204" s="499" t="s">
        <v>2088</v>
      </c>
      <c r="N204" s="499" t="s">
        <v>2072</v>
      </c>
      <c r="O204" s="525">
        <v>0</v>
      </c>
      <c r="P204" s="499" t="s">
        <v>2054</v>
      </c>
      <c r="Q204" s="499"/>
      <c r="R204" s="499"/>
      <c r="S204" s="525"/>
      <c r="T204" s="525">
        <v>0</v>
      </c>
      <c r="U204" s="525">
        <v>1</v>
      </c>
      <c r="V204" s="525" t="s">
        <v>2054</v>
      </c>
      <c r="W204" s="589">
        <f>IF(AND(BaleMover[[#This Row],[Scenario_ID]]="S3",BaleMover[[#This Row],[MRF_ID]]="05"),0,IFERROR(BaleMover[[#This Row],[Total_Baled_tons]]*(IF(BaleMover[[#This Row],[Scenario_ID]]="S0",-2,0)+INDEX(BalePrices[Low],MATCH(BaleMover[[#This Row],[Bale_ID]],BalePrices[Bale_ID],0))),0))</f>
        <v>0</v>
      </c>
      <c r="X204" s="397">
        <f>IF(AND(BaleMover[[#This Row],[Scenario_ID]]="S3",BaleMover[[#This Row],[MRF_ID]]="05"),0,IFERROR(BaleMover[[#This Row],[Total_Baled_tons]]*(IF(BaleMover[[#This Row],[Scenario_ID]]="S0",-2,0)+INDEX(BalePrices[Mid-Point],MATCH(BaleMover[[#This Row],[Bale_ID]],BalePrices[Bale_ID],0))),0))</f>
        <v>0</v>
      </c>
      <c r="Y204" s="397">
        <f>IF(AND(BaleMover[[#This Row],[Scenario_ID]]="S3",BaleMover[[#This Row],[MRF_ID]]="05"),0,IFERROR(BaleMover[[#This Row],[Total_Baled_tons]]*(IF(BaleMover[[#This Row],[Scenario_ID]]="S0",-2,0)+INDEX(BalePrices[High],MATCH(BaleMover[[#This Row],[Bale_ID]],BalePrices[Bale_ID],0))),0))</f>
        <v>0</v>
      </c>
    </row>
    <row r="205" spans="2:25" x14ac:dyDescent="0.2">
      <c r="B205" s="545" t="s">
        <v>873</v>
      </c>
      <c r="C205" s="499" t="s">
        <v>712</v>
      </c>
      <c r="D205" s="499"/>
      <c r="E205" s="499"/>
      <c r="F205" s="499" t="s">
        <v>1993</v>
      </c>
      <c r="G205" s="499" t="s">
        <v>2080</v>
      </c>
      <c r="H205" s="499" t="s">
        <v>1371</v>
      </c>
      <c r="I205" s="499" t="s">
        <v>1010</v>
      </c>
      <c r="J205" s="499" t="s">
        <v>1011</v>
      </c>
      <c r="K205" s="499" t="s">
        <v>2076</v>
      </c>
      <c r="L205" s="499">
        <v>2</v>
      </c>
      <c r="M205" s="499" t="s">
        <v>2088</v>
      </c>
      <c r="N205" s="499" t="s">
        <v>2072</v>
      </c>
      <c r="O205" s="525">
        <v>0</v>
      </c>
      <c r="P205" s="499" t="s">
        <v>2054</v>
      </c>
      <c r="Q205" s="499"/>
      <c r="R205" s="499"/>
      <c r="S205" s="525"/>
      <c r="T205" s="525">
        <v>0</v>
      </c>
      <c r="U205" s="525">
        <v>1</v>
      </c>
      <c r="V205" s="525" t="s">
        <v>2054</v>
      </c>
      <c r="W205" s="589">
        <f>IF(AND(BaleMover[[#This Row],[Scenario_ID]]="S3",BaleMover[[#This Row],[MRF_ID]]="05"),0,IFERROR(BaleMover[[#This Row],[Total_Baled_tons]]*(IF(BaleMover[[#This Row],[Scenario_ID]]="S0",-2,0)+INDEX(BalePrices[Low],MATCH(BaleMover[[#This Row],[Bale_ID]],BalePrices[Bale_ID],0))),0))</f>
        <v>0</v>
      </c>
      <c r="X205" s="397">
        <f>IF(AND(BaleMover[[#This Row],[Scenario_ID]]="S3",BaleMover[[#This Row],[MRF_ID]]="05"),0,IFERROR(BaleMover[[#This Row],[Total_Baled_tons]]*(IF(BaleMover[[#This Row],[Scenario_ID]]="S0",-2,0)+INDEX(BalePrices[Mid-Point],MATCH(BaleMover[[#This Row],[Bale_ID]],BalePrices[Bale_ID],0))),0))</f>
        <v>0</v>
      </c>
      <c r="Y205" s="397">
        <f>IF(AND(BaleMover[[#This Row],[Scenario_ID]]="S3",BaleMover[[#This Row],[MRF_ID]]="05"),0,IFERROR(BaleMover[[#This Row],[Total_Baled_tons]]*(IF(BaleMover[[#This Row],[Scenario_ID]]="S0",-2,0)+INDEX(BalePrices[High],MATCH(BaleMover[[#This Row],[Bale_ID]],BalePrices[Bale_ID],0))),0))</f>
        <v>0</v>
      </c>
    </row>
    <row r="206" spans="2:25" x14ac:dyDescent="0.2">
      <c r="B206" s="545" t="s">
        <v>876</v>
      </c>
      <c r="C206" s="499" t="s">
        <v>712</v>
      </c>
      <c r="D206" s="499"/>
      <c r="E206" s="499"/>
      <c r="F206" s="499" t="s">
        <v>1993</v>
      </c>
      <c r="G206" s="499" t="s">
        <v>2075</v>
      </c>
      <c r="H206" s="499" t="s">
        <v>1372</v>
      </c>
      <c r="I206" s="499" t="s">
        <v>1012</v>
      </c>
      <c r="J206" s="499" t="s">
        <v>1013</v>
      </c>
      <c r="K206" s="499" t="s">
        <v>2076</v>
      </c>
      <c r="L206" s="499">
        <v>2</v>
      </c>
      <c r="M206" s="499" t="s">
        <v>2088</v>
      </c>
      <c r="N206" s="499" t="s">
        <v>2072</v>
      </c>
      <c r="O206" s="525">
        <v>0</v>
      </c>
      <c r="P206" s="499" t="s">
        <v>2054</v>
      </c>
      <c r="Q206" s="499"/>
      <c r="R206" s="499"/>
      <c r="S206" s="525"/>
      <c r="T206" s="525">
        <v>0</v>
      </c>
      <c r="U206" s="525">
        <v>1</v>
      </c>
      <c r="V206" s="525" t="s">
        <v>2054</v>
      </c>
      <c r="W206" s="589">
        <f>IF(AND(BaleMover[[#This Row],[Scenario_ID]]="S3",BaleMover[[#This Row],[MRF_ID]]="05"),0,IFERROR(BaleMover[[#This Row],[Total_Baled_tons]]*(IF(BaleMover[[#This Row],[Scenario_ID]]="S0",-2,0)+INDEX(BalePrices[Low],MATCH(BaleMover[[#This Row],[Bale_ID]],BalePrices[Bale_ID],0))),0))</f>
        <v>0</v>
      </c>
      <c r="X206" s="397">
        <f>IF(AND(BaleMover[[#This Row],[Scenario_ID]]="S3",BaleMover[[#This Row],[MRF_ID]]="05"),0,IFERROR(BaleMover[[#This Row],[Total_Baled_tons]]*(IF(BaleMover[[#This Row],[Scenario_ID]]="S0",-2,0)+INDEX(BalePrices[Mid-Point],MATCH(BaleMover[[#This Row],[Bale_ID]],BalePrices[Bale_ID],0))),0))</f>
        <v>0</v>
      </c>
      <c r="Y206" s="397">
        <f>IF(AND(BaleMover[[#This Row],[Scenario_ID]]="S3",BaleMover[[#This Row],[MRF_ID]]="05"),0,IFERROR(BaleMover[[#This Row],[Total_Baled_tons]]*(IF(BaleMover[[#This Row],[Scenario_ID]]="S0",-2,0)+INDEX(BalePrices[High],MATCH(BaleMover[[#This Row],[Bale_ID]],BalePrices[Bale_ID],0))),0))</f>
        <v>0</v>
      </c>
    </row>
    <row r="207" spans="2:25" x14ac:dyDescent="0.2">
      <c r="B207" s="545" t="s">
        <v>875</v>
      </c>
      <c r="C207" s="499" t="s">
        <v>712</v>
      </c>
      <c r="D207" s="499"/>
      <c r="E207" s="499"/>
      <c r="F207" s="499" t="s">
        <v>1993</v>
      </c>
      <c r="G207" s="499" t="s">
        <v>2078</v>
      </c>
      <c r="H207" s="499" t="s">
        <v>1373</v>
      </c>
      <c r="I207" s="499" t="s">
        <v>1012</v>
      </c>
      <c r="J207" s="499" t="s">
        <v>1013</v>
      </c>
      <c r="K207" s="499" t="s">
        <v>2076</v>
      </c>
      <c r="L207" s="499">
        <v>2</v>
      </c>
      <c r="M207" s="499" t="s">
        <v>2088</v>
      </c>
      <c r="N207" s="499" t="s">
        <v>2072</v>
      </c>
      <c r="O207" s="525">
        <v>0</v>
      </c>
      <c r="P207" s="499" t="s">
        <v>2054</v>
      </c>
      <c r="Q207" s="499"/>
      <c r="R207" s="499"/>
      <c r="S207" s="525"/>
      <c r="T207" s="525">
        <v>0</v>
      </c>
      <c r="U207" s="525">
        <v>1</v>
      </c>
      <c r="V207" s="525" t="s">
        <v>2054</v>
      </c>
      <c r="W207" s="589">
        <f>IF(AND(BaleMover[[#This Row],[Scenario_ID]]="S3",BaleMover[[#This Row],[MRF_ID]]="05"),0,IFERROR(BaleMover[[#This Row],[Total_Baled_tons]]*(IF(BaleMover[[#This Row],[Scenario_ID]]="S0",-2,0)+INDEX(BalePrices[Low],MATCH(BaleMover[[#This Row],[Bale_ID]],BalePrices[Bale_ID],0))),0))</f>
        <v>0</v>
      </c>
      <c r="X207" s="397">
        <f>IF(AND(BaleMover[[#This Row],[Scenario_ID]]="S3",BaleMover[[#This Row],[MRF_ID]]="05"),0,IFERROR(BaleMover[[#This Row],[Total_Baled_tons]]*(IF(BaleMover[[#This Row],[Scenario_ID]]="S0",-2,0)+INDEX(BalePrices[Mid-Point],MATCH(BaleMover[[#This Row],[Bale_ID]],BalePrices[Bale_ID],0))),0))</f>
        <v>0</v>
      </c>
      <c r="Y207" s="397">
        <f>IF(AND(BaleMover[[#This Row],[Scenario_ID]]="S3",BaleMover[[#This Row],[MRF_ID]]="05"),0,IFERROR(BaleMover[[#This Row],[Total_Baled_tons]]*(IF(BaleMover[[#This Row],[Scenario_ID]]="S0",-2,0)+INDEX(BalePrices[High],MATCH(BaleMover[[#This Row],[Bale_ID]],BalePrices[Bale_ID],0))),0))</f>
        <v>0</v>
      </c>
    </row>
    <row r="208" spans="2:25" x14ac:dyDescent="0.2">
      <c r="B208" s="545" t="s">
        <v>874</v>
      </c>
      <c r="C208" s="499" t="s">
        <v>712</v>
      </c>
      <c r="D208" s="499"/>
      <c r="E208" s="499"/>
      <c r="F208" s="499" t="s">
        <v>1993</v>
      </c>
      <c r="G208" s="499" t="s">
        <v>2079</v>
      </c>
      <c r="H208" s="499" t="s">
        <v>1374</v>
      </c>
      <c r="I208" s="499" t="s">
        <v>1012</v>
      </c>
      <c r="J208" s="499" t="s">
        <v>1013</v>
      </c>
      <c r="K208" s="499" t="s">
        <v>2076</v>
      </c>
      <c r="L208" s="499">
        <v>2</v>
      </c>
      <c r="M208" s="499" t="s">
        <v>2088</v>
      </c>
      <c r="N208" s="499" t="s">
        <v>2072</v>
      </c>
      <c r="O208" s="525">
        <v>0</v>
      </c>
      <c r="P208" s="499" t="s">
        <v>2054</v>
      </c>
      <c r="Q208" s="499"/>
      <c r="R208" s="499"/>
      <c r="S208" s="525"/>
      <c r="T208" s="525">
        <v>0</v>
      </c>
      <c r="U208" s="525">
        <v>1</v>
      </c>
      <c r="V208" s="525" t="s">
        <v>2054</v>
      </c>
      <c r="W208" s="589">
        <f>IF(AND(BaleMover[[#This Row],[Scenario_ID]]="S3",BaleMover[[#This Row],[MRF_ID]]="05"),0,IFERROR(BaleMover[[#This Row],[Total_Baled_tons]]*(IF(BaleMover[[#This Row],[Scenario_ID]]="S0",-2,0)+INDEX(BalePrices[Low],MATCH(BaleMover[[#This Row],[Bale_ID]],BalePrices[Bale_ID],0))),0))</f>
        <v>0</v>
      </c>
      <c r="X208" s="397">
        <f>IF(AND(BaleMover[[#This Row],[Scenario_ID]]="S3",BaleMover[[#This Row],[MRF_ID]]="05"),0,IFERROR(BaleMover[[#This Row],[Total_Baled_tons]]*(IF(BaleMover[[#This Row],[Scenario_ID]]="S0",-2,0)+INDEX(BalePrices[Mid-Point],MATCH(BaleMover[[#This Row],[Bale_ID]],BalePrices[Bale_ID],0))),0))</f>
        <v>0</v>
      </c>
      <c r="Y208" s="397">
        <f>IF(AND(BaleMover[[#This Row],[Scenario_ID]]="S3",BaleMover[[#This Row],[MRF_ID]]="05"),0,IFERROR(BaleMover[[#This Row],[Total_Baled_tons]]*(IF(BaleMover[[#This Row],[Scenario_ID]]="S0",-2,0)+INDEX(BalePrices[High],MATCH(BaleMover[[#This Row],[Bale_ID]],BalePrices[Bale_ID],0))),0))</f>
        <v>0</v>
      </c>
    </row>
    <row r="209" spans="2:25" x14ac:dyDescent="0.2">
      <c r="B209" s="545" t="s">
        <v>873</v>
      </c>
      <c r="C209" s="499" t="s">
        <v>712</v>
      </c>
      <c r="D209" s="499"/>
      <c r="E209" s="499"/>
      <c r="F209" s="499" t="s">
        <v>1993</v>
      </c>
      <c r="G209" s="499" t="s">
        <v>2080</v>
      </c>
      <c r="H209" s="499" t="s">
        <v>1375</v>
      </c>
      <c r="I209" s="499" t="s">
        <v>1012</v>
      </c>
      <c r="J209" s="499" t="s">
        <v>1013</v>
      </c>
      <c r="K209" s="499" t="s">
        <v>2076</v>
      </c>
      <c r="L209" s="499">
        <v>2</v>
      </c>
      <c r="M209" s="499" t="s">
        <v>2088</v>
      </c>
      <c r="N209" s="499" t="s">
        <v>2072</v>
      </c>
      <c r="O209" s="525">
        <v>0</v>
      </c>
      <c r="P209" s="499" t="s">
        <v>2054</v>
      </c>
      <c r="Q209" s="499"/>
      <c r="R209" s="499"/>
      <c r="S209" s="525"/>
      <c r="T209" s="525">
        <v>0</v>
      </c>
      <c r="U209" s="525">
        <v>1</v>
      </c>
      <c r="V209" s="525" t="s">
        <v>2054</v>
      </c>
      <c r="W209" s="589">
        <f>IF(AND(BaleMover[[#This Row],[Scenario_ID]]="S3",BaleMover[[#This Row],[MRF_ID]]="05"),0,IFERROR(BaleMover[[#This Row],[Total_Baled_tons]]*(IF(BaleMover[[#This Row],[Scenario_ID]]="S0",-2,0)+INDEX(BalePrices[Low],MATCH(BaleMover[[#This Row],[Bale_ID]],BalePrices[Bale_ID],0))),0))</f>
        <v>0</v>
      </c>
      <c r="X209" s="397">
        <f>IF(AND(BaleMover[[#This Row],[Scenario_ID]]="S3",BaleMover[[#This Row],[MRF_ID]]="05"),0,IFERROR(BaleMover[[#This Row],[Total_Baled_tons]]*(IF(BaleMover[[#This Row],[Scenario_ID]]="S0",-2,0)+INDEX(BalePrices[Mid-Point],MATCH(BaleMover[[#This Row],[Bale_ID]],BalePrices[Bale_ID],0))),0))</f>
        <v>0</v>
      </c>
      <c r="Y209" s="397">
        <f>IF(AND(BaleMover[[#This Row],[Scenario_ID]]="S3",BaleMover[[#This Row],[MRF_ID]]="05"),0,IFERROR(BaleMover[[#This Row],[Total_Baled_tons]]*(IF(BaleMover[[#This Row],[Scenario_ID]]="S0",-2,0)+INDEX(BalePrices[High],MATCH(BaleMover[[#This Row],[Bale_ID]],BalePrices[Bale_ID],0))),0))</f>
        <v>0</v>
      </c>
    </row>
    <row r="210" spans="2:25" x14ac:dyDescent="0.2">
      <c r="B210" s="545" t="s">
        <v>876</v>
      </c>
      <c r="C210" s="499" t="s">
        <v>712</v>
      </c>
      <c r="D210" s="499"/>
      <c r="E210" s="499"/>
      <c r="F210" s="499" t="s">
        <v>1993</v>
      </c>
      <c r="G210" s="499" t="s">
        <v>2075</v>
      </c>
      <c r="H210" s="499" t="s">
        <v>1376</v>
      </c>
      <c r="I210" s="499" t="s">
        <v>1014</v>
      </c>
      <c r="J210" s="499" t="s">
        <v>1893</v>
      </c>
      <c r="K210" s="499" t="s">
        <v>2076</v>
      </c>
      <c r="L210" s="499">
        <v>8</v>
      </c>
      <c r="M210" s="499" t="s">
        <v>2085</v>
      </c>
      <c r="N210" s="499" t="s">
        <v>2068</v>
      </c>
      <c r="O210" s="525">
        <v>1895.4441336839075</v>
      </c>
      <c r="P210" s="499">
        <v>315</v>
      </c>
      <c r="Q210" s="499"/>
      <c r="R210" s="499"/>
      <c r="S210" s="525"/>
      <c r="T210" s="525">
        <v>0</v>
      </c>
      <c r="U210" s="525">
        <v>1</v>
      </c>
      <c r="V210" s="525">
        <v>597064.90211043088</v>
      </c>
      <c r="W210" s="589">
        <f>IF(AND(BaleMover[[#This Row],[Scenario_ID]]="S3",BaleMover[[#This Row],[MRF_ID]]="05"),0,IFERROR(BaleMover[[#This Row],[Total_Baled_tons]]*(IF(BaleMover[[#This Row],[Scenario_ID]]="S0",-2,0)+INDEX(BalePrices[Low],MATCH(BaleMover[[#This Row],[Bale_ID]],BalePrices[Bale_ID],0))),0))</f>
        <v>-60654.212277885039</v>
      </c>
      <c r="X210" s="397">
        <f>IF(AND(BaleMover[[#This Row],[Scenario_ID]]="S3",BaleMover[[#This Row],[MRF_ID]]="05"),0,IFERROR(BaleMover[[#This Row],[Total_Baled_tons]]*(IF(BaleMover[[#This Row],[Scenario_ID]]="S0",-2,0)+INDEX(BalePrices[Mid-Point],MATCH(BaleMover[[#This Row],[Bale_ID]],BalePrices[Bale_ID],0))),0))</f>
        <v>-3790.8882673678149</v>
      </c>
      <c r="Y210" s="397">
        <f>IF(AND(BaleMover[[#This Row],[Scenario_ID]]="S3",BaleMover[[#This Row],[MRF_ID]]="05"),0,IFERROR(BaleMover[[#This Row],[Total_Baled_tons]]*(IF(BaleMover[[#This Row],[Scenario_ID]]="S0",-2,0)+INDEX(BalePrices[High],MATCH(BaleMover[[#This Row],[Bale_ID]],BalePrices[Bale_ID],0))),0))</f>
        <v>53072.435743149406</v>
      </c>
    </row>
    <row r="211" spans="2:25" x14ac:dyDescent="0.2">
      <c r="B211" s="545" t="s">
        <v>875</v>
      </c>
      <c r="C211" s="499" t="s">
        <v>712</v>
      </c>
      <c r="D211" s="499"/>
      <c r="E211" s="499"/>
      <c r="F211" s="499" t="s">
        <v>1993</v>
      </c>
      <c r="G211" s="499" t="s">
        <v>2078</v>
      </c>
      <c r="H211" s="499" t="s">
        <v>1377</v>
      </c>
      <c r="I211" s="499" t="s">
        <v>1014</v>
      </c>
      <c r="J211" s="499" t="s">
        <v>1893</v>
      </c>
      <c r="K211" s="499" t="s">
        <v>2076</v>
      </c>
      <c r="L211" s="499">
        <v>8</v>
      </c>
      <c r="M211" s="499" t="s">
        <v>2085</v>
      </c>
      <c r="N211" s="499" t="s">
        <v>2068</v>
      </c>
      <c r="O211" s="525">
        <v>1477.9436378875314</v>
      </c>
      <c r="P211" s="499">
        <v>315</v>
      </c>
      <c r="Q211" s="499"/>
      <c r="R211" s="499"/>
      <c r="S211" s="525"/>
      <c r="T211" s="525">
        <v>0</v>
      </c>
      <c r="U211" s="525">
        <v>1</v>
      </c>
      <c r="V211" s="525">
        <v>465552.24593457236</v>
      </c>
      <c r="W211" s="589">
        <f>IF(AND(BaleMover[[#This Row],[Scenario_ID]]="S3",BaleMover[[#This Row],[MRF_ID]]="05"),0,IFERROR(BaleMover[[#This Row],[Total_Baled_tons]]*(IF(BaleMover[[#This Row],[Scenario_ID]]="S0",-2,0)+INDEX(BalePrices[Low],MATCH(BaleMover[[#This Row],[Bale_ID]],BalePrices[Bale_ID],0))),0))</f>
        <v>-44338.30913662594</v>
      </c>
      <c r="X211" s="397">
        <f>IF(AND(BaleMover[[#This Row],[Scenario_ID]]="S3",BaleMover[[#This Row],[MRF_ID]]="05"),0,IFERROR(BaleMover[[#This Row],[Total_Baled_tons]]*(IF(BaleMover[[#This Row],[Scenario_ID]]="S0",-2,0)+INDEX(BalePrices[Mid-Point],MATCH(BaleMover[[#This Row],[Bale_ID]],BalePrices[Bale_ID],0))),0))</f>
        <v>0</v>
      </c>
      <c r="Y211" s="397">
        <f>IF(AND(BaleMover[[#This Row],[Scenario_ID]]="S3",BaleMover[[#This Row],[MRF_ID]]="05"),0,IFERROR(BaleMover[[#This Row],[Total_Baled_tons]]*(IF(BaleMover[[#This Row],[Scenario_ID]]="S0",-2,0)+INDEX(BalePrices[High],MATCH(BaleMover[[#This Row],[Bale_ID]],BalePrices[Bale_ID],0))),0))</f>
        <v>44338.30913662594</v>
      </c>
    </row>
    <row r="212" spans="2:25" x14ac:dyDescent="0.2">
      <c r="B212" s="545" t="s">
        <v>874</v>
      </c>
      <c r="C212" s="499" t="s">
        <v>712</v>
      </c>
      <c r="D212" s="499"/>
      <c r="E212" s="499"/>
      <c r="F212" s="499" t="s">
        <v>1993</v>
      </c>
      <c r="G212" s="499" t="s">
        <v>2079</v>
      </c>
      <c r="H212" s="499" t="s">
        <v>1378</v>
      </c>
      <c r="I212" s="499" t="s">
        <v>1014</v>
      </c>
      <c r="J212" s="499" t="s">
        <v>1893</v>
      </c>
      <c r="K212" s="499" t="s">
        <v>2076</v>
      </c>
      <c r="L212" s="499">
        <v>8</v>
      </c>
      <c r="M212" s="499" t="s">
        <v>2085</v>
      </c>
      <c r="N212" s="499" t="s">
        <v>2068</v>
      </c>
      <c r="O212" s="525">
        <v>0</v>
      </c>
      <c r="P212" s="499" t="s">
        <v>2054</v>
      </c>
      <c r="Q212" s="499"/>
      <c r="R212" s="499"/>
      <c r="S212" s="525"/>
      <c r="T212" s="525">
        <v>0</v>
      </c>
      <c r="U212" s="525">
        <v>1</v>
      </c>
      <c r="V212" s="525" t="s">
        <v>2054</v>
      </c>
      <c r="W212" s="589">
        <f>IF(AND(BaleMover[[#This Row],[Scenario_ID]]="S3",BaleMover[[#This Row],[MRF_ID]]="05"),0,IFERROR(BaleMover[[#This Row],[Total_Baled_tons]]*(IF(BaleMover[[#This Row],[Scenario_ID]]="S0",-2,0)+INDEX(BalePrices[Low],MATCH(BaleMover[[#This Row],[Bale_ID]],BalePrices[Bale_ID],0))),0))</f>
        <v>0</v>
      </c>
      <c r="X212" s="397">
        <f>IF(AND(BaleMover[[#This Row],[Scenario_ID]]="S3",BaleMover[[#This Row],[MRF_ID]]="05"),0,IFERROR(BaleMover[[#This Row],[Total_Baled_tons]]*(IF(BaleMover[[#This Row],[Scenario_ID]]="S0",-2,0)+INDEX(BalePrices[Mid-Point],MATCH(BaleMover[[#This Row],[Bale_ID]],BalePrices[Bale_ID],0))),0))</f>
        <v>0</v>
      </c>
      <c r="Y212" s="397">
        <f>IF(AND(BaleMover[[#This Row],[Scenario_ID]]="S3",BaleMover[[#This Row],[MRF_ID]]="05"),0,IFERROR(BaleMover[[#This Row],[Total_Baled_tons]]*(IF(BaleMover[[#This Row],[Scenario_ID]]="S0",-2,0)+INDEX(BalePrices[High],MATCH(BaleMover[[#This Row],[Bale_ID]],BalePrices[Bale_ID],0))),0))</f>
        <v>0</v>
      </c>
    </row>
    <row r="213" spans="2:25" x14ac:dyDescent="0.2">
      <c r="B213" s="545" t="s">
        <v>873</v>
      </c>
      <c r="C213" s="499" t="s">
        <v>712</v>
      </c>
      <c r="D213" s="499"/>
      <c r="E213" s="499"/>
      <c r="F213" s="499" t="s">
        <v>1993</v>
      </c>
      <c r="G213" s="499" t="s">
        <v>2080</v>
      </c>
      <c r="H213" s="499" t="s">
        <v>1379</v>
      </c>
      <c r="I213" s="499" t="s">
        <v>1014</v>
      </c>
      <c r="J213" s="499" t="s">
        <v>1893</v>
      </c>
      <c r="K213" s="499" t="s">
        <v>2076</v>
      </c>
      <c r="L213" s="499">
        <v>8</v>
      </c>
      <c r="M213" s="499" t="s">
        <v>2085</v>
      </c>
      <c r="N213" s="499" t="s">
        <v>2068</v>
      </c>
      <c r="O213" s="525">
        <v>0</v>
      </c>
      <c r="P213" s="499" t="s">
        <v>2054</v>
      </c>
      <c r="Q213" s="499"/>
      <c r="R213" s="499"/>
      <c r="S213" s="525"/>
      <c r="T213" s="525">
        <v>0</v>
      </c>
      <c r="U213" s="525">
        <v>1</v>
      </c>
      <c r="V213" s="525" t="s">
        <v>2054</v>
      </c>
      <c r="W213" s="589">
        <f>IF(AND(BaleMover[[#This Row],[Scenario_ID]]="S3",BaleMover[[#This Row],[MRF_ID]]="05"),0,IFERROR(BaleMover[[#This Row],[Total_Baled_tons]]*(IF(BaleMover[[#This Row],[Scenario_ID]]="S0",-2,0)+INDEX(BalePrices[Low],MATCH(BaleMover[[#This Row],[Bale_ID]],BalePrices[Bale_ID],0))),0))</f>
        <v>0</v>
      </c>
      <c r="X213" s="397">
        <f>IF(AND(BaleMover[[#This Row],[Scenario_ID]]="S3",BaleMover[[#This Row],[MRF_ID]]="05"),0,IFERROR(BaleMover[[#This Row],[Total_Baled_tons]]*(IF(BaleMover[[#This Row],[Scenario_ID]]="S0",-2,0)+INDEX(BalePrices[Mid-Point],MATCH(BaleMover[[#This Row],[Bale_ID]],BalePrices[Bale_ID],0))),0))</f>
        <v>0</v>
      </c>
      <c r="Y213" s="397">
        <f>IF(AND(BaleMover[[#This Row],[Scenario_ID]]="S3",BaleMover[[#This Row],[MRF_ID]]="05"),0,IFERROR(BaleMover[[#This Row],[Total_Baled_tons]]*(IF(BaleMover[[#This Row],[Scenario_ID]]="S0",-2,0)+INDEX(BalePrices[High],MATCH(BaleMover[[#This Row],[Bale_ID]],BalePrices[Bale_ID],0))),0))</f>
        <v>0</v>
      </c>
    </row>
    <row r="214" spans="2:25" x14ac:dyDescent="0.2">
      <c r="B214" s="545" t="s">
        <v>876</v>
      </c>
      <c r="C214" s="499" t="s">
        <v>712</v>
      </c>
      <c r="D214" s="499"/>
      <c r="E214" s="499"/>
      <c r="F214" s="499" t="s">
        <v>1993</v>
      </c>
      <c r="G214" s="499" t="s">
        <v>2075</v>
      </c>
      <c r="H214" s="499" t="s">
        <v>1380</v>
      </c>
      <c r="I214" s="499" t="s">
        <v>1015</v>
      </c>
      <c r="J214" s="499" t="s">
        <v>1016</v>
      </c>
      <c r="K214" s="499" t="s">
        <v>2076</v>
      </c>
      <c r="L214" s="499">
        <v>1</v>
      </c>
      <c r="M214" s="499" t="s">
        <v>2086</v>
      </c>
      <c r="N214" s="499" t="s">
        <v>2066</v>
      </c>
      <c r="O214" s="525">
        <v>0</v>
      </c>
      <c r="P214" s="499" t="s">
        <v>2054</v>
      </c>
      <c r="Q214" s="499"/>
      <c r="R214" s="499"/>
      <c r="S214" s="525"/>
      <c r="T214" s="525">
        <v>0</v>
      </c>
      <c r="U214" s="525">
        <v>1</v>
      </c>
      <c r="V214" s="525" t="s">
        <v>2054</v>
      </c>
      <c r="W214" s="589">
        <f>IF(AND(BaleMover[[#This Row],[Scenario_ID]]="S3",BaleMover[[#This Row],[MRF_ID]]="05"),0,IFERROR(BaleMover[[#This Row],[Total_Baled_tons]]*(IF(BaleMover[[#This Row],[Scenario_ID]]="S0",-2,0)+INDEX(BalePrices[Low],MATCH(BaleMover[[#This Row],[Bale_ID]],BalePrices[Bale_ID],0))),0))</f>
        <v>0</v>
      </c>
      <c r="X214" s="397">
        <f>IF(AND(BaleMover[[#This Row],[Scenario_ID]]="S3",BaleMover[[#This Row],[MRF_ID]]="05"),0,IFERROR(BaleMover[[#This Row],[Total_Baled_tons]]*(IF(BaleMover[[#This Row],[Scenario_ID]]="S0",-2,0)+INDEX(BalePrices[Mid-Point],MATCH(BaleMover[[#This Row],[Bale_ID]],BalePrices[Bale_ID],0))),0))</f>
        <v>0</v>
      </c>
      <c r="Y214" s="397">
        <f>IF(AND(BaleMover[[#This Row],[Scenario_ID]]="S3",BaleMover[[#This Row],[MRF_ID]]="05"),0,IFERROR(BaleMover[[#This Row],[Total_Baled_tons]]*(IF(BaleMover[[#This Row],[Scenario_ID]]="S0",-2,0)+INDEX(BalePrices[High],MATCH(BaleMover[[#This Row],[Bale_ID]],BalePrices[Bale_ID],0))),0))</f>
        <v>0</v>
      </c>
    </row>
    <row r="215" spans="2:25" x14ac:dyDescent="0.2">
      <c r="B215" s="545" t="s">
        <v>875</v>
      </c>
      <c r="C215" s="499" t="s">
        <v>712</v>
      </c>
      <c r="D215" s="499"/>
      <c r="E215" s="499"/>
      <c r="F215" s="499" t="s">
        <v>1993</v>
      </c>
      <c r="G215" s="499" t="s">
        <v>2078</v>
      </c>
      <c r="H215" s="499" t="s">
        <v>1381</v>
      </c>
      <c r="I215" s="499" t="s">
        <v>1015</v>
      </c>
      <c r="J215" s="499" t="s">
        <v>1016</v>
      </c>
      <c r="K215" s="499" t="s">
        <v>2076</v>
      </c>
      <c r="L215" s="499">
        <v>1</v>
      </c>
      <c r="M215" s="499" t="s">
        <v>2086</v>
      </c>
      <c r="N215" s="499" t="s">
        <v>2066</v>
      </c>
      <c r="O215" s="525">
        <v>0</v>
      </c>
      <c r="P215" s="499" t="s">
        <v>2054</v>
      </c>
      <c r="Q215" s="499"/>
      <c r="R215" s="499"/>
      <c r="S215" s="525"/>
      <c r="T215" s="525">
        <v>0</v>
      </c>
      <c r="U215" s="525">
        <v>1</v>
      </c>
      <c r="V215" s="525" t="s">
        <v>2054</v>
      </c>
      <c r="W215" s="589">
        <f>IF(AND(BaleMover[[#This Row],[Scenario_ID]]="S3",BaleMover[[#This Row],[MRF_ID]]="05"),0,IFERROR(BaleMover[[#This Row],[Total_Baled_tons]]*(IF(BaleMover[[#This Row],[Scenario_ID]]="S0",-2,0)+INDEX(BalePrices[Low],MATCH(BaleMover[[#This Row],[Bale_ID]],BalePrices[Bale_ID],0))),0))</f>
        <v>0</v>
      </c>
      <c r="X215" s="397">
        <f>IF(AND(BaleMover[[#This Row],[Scenario_ID]]="S3",BaleMover[[#This Row],[MRF_ID]]="05"),0,IFERROR(BaleMover[[#This Row],[Total_Baled_tons]]*(IF(BaleMover[[#This Row],[Scenario_ID]]="S0",-2,0)+INDEX(BalePrices[Mid-Point],MATCH(BaleMover[[#This Row],[Bale_ID]],BalePrices[Bale_ID],0))),0))</f>
        <v>0</v>
      </c>
      <c r="Y215" s="397">
        <f>IF(AND(BaleMover[[#This Row],[Scenario_ID]]="S3",BaleMover[[#This Row],[MRF_ID]]="05"),0,IFERROR(BaleMover[[#This Row],[Total_Baled_tons]]*(IF(BaleMover[[#This Row],[Scenario_ID]]="S0",-2,0)+INDEX(BalePrices[High],MATCH(BaleMover[[#This Row],[Bale_ID]],BalePrices[Bale_ID],0))),0))</f>
        <v>0</v>
      </c>
    </row>
    <row r="216" spans="2:25" x14ac:dyDescent="0.2">
      <c r="B216" s="545" t="s">
        <v>874</v>
      </c>
      <c r="C216" s="499" t="s">
        <v>712</v>
      </c>
      <c r="D216" s="499"/>
      <c r="E216" s="499"/>
      <c r="F216" s="499" t="s">
        <v>1993</v>
      </c>
      <c r="G216" s="499" t="s">
        <v>2079</v>
      </c>
      <c r="H216" s="499" t="s">
        <v>1382</v>
      </c>
      <c r="I216" s="499" t="s">
        <v>1015</v>
      </c>
      <c r="J216" s="499" t="s">
        <v>1016</v>
      </c>
      <c r="K216" s="499" t="s">
        <v>2076</v>
      </c>
      <c r="L216" s="499">
        <v>1</v>
      </c>
      <c r="M216" s="499" t="s">
        <v>2086</v>
      </c>
      <c r="N216" s="499" t="s">
        <v>2066</v>
      </c>
      <c r="O216" s="525">
        <v>0</v>
      </c>
      <c r="P216" s="499" t="s">
        <v>2054</v>
      </c>
      <c r="Q216" s="499"/>
      <c r="R216" s="499"/>
      <c r="S216" s="525"/>
      <c r="T216" s="525">
        <v>0</v>
      </c>
      <c r="U216" s="525">
        <v>1</v>
      </c>
      <c r="V216" s="525" t="s">
        <v>2054</v>
      </c>
      <c r="W216" s="589">
        <f>IF(AND(BaleMover[[#This Row],[Scenario_ID]]="S3",BaleMover[[#This Row],[MRF_ID]]="05"),0,IFERROR(BaleMover[[#This Row],[Total_Baled_tons]]*(IF(BaleMover[[#This Row],[Scenario_ID]]="S0",-2,0)+INDEX(BalePrices[Low],MATCH(BaleMover[[#This Row],[Bale_ID]],BalePrices[Bale_ID],0))),0))</f>
        <v>0</v>
      </c>
      <c r="X216" s="397">
        <f>IF(AND(BaleMover[[#This Row],[Scenario_ID]]="S3",BaleMover[[#This Row],[MRF_ID]]="05"),0,IFERROR(BaleMover[[#This Row],[Total_Baled_tons]]*(IF(BaleMover[[#This Row],[Scenario_ID]]="S0",-2,0)+INDEX(BalePrices[Mid-Point],MATCH(BaleMover[[#This Row],[Bale_ID]],BalePrices[Bale_ID],0))),0))</f>
        <v>0</v>
      </c>
      <c r="Y216" s="397">
        <f>IF(AND(BaleMover[[#This Row],[Scenario_ID]]="S3",BaleMover[[#This Row],[MRF_ID]]="05"),0,IFERROR(BaleMover[[#This Row],[Total_Baled_tons]]*(IF(BaleMover[[#This Row],[Scenario_ID]]="S0",-2,0)+INDEX(BalePrices[High],MATCH(BaleMover[[#This Row],[Bale_ID]],BalePrices[Bale_ID],0))),0))</f>
        <v>0</v>
      </c>
    </row>
    <row r="217" spans="2:25" x14ac:dyDescent="0.2">
      <c r="B217" s="545" t="s">
        <v>873</v>
      </c>
      <c r="C217" s="499" t="s">
        <v>712</v>
      </c>
      <c r="D217" s="499"/>
      <c r="E217" s="499"/>
      <c r="F217" s="499" t="s">
        <v>1993</v>
      </c>
      <c r="G217" s="499" t="s">
        <v>2080</v>
      </c>
      <c r="H217" s="499" t="s">
        <v>1383</v>
      </c>
      <c r="I217" s="499" t="s">
        <v>1015</v>
      </c>
      <c r="J217" s="499" t="s">
        <v>1016</v>
      </c>
      <c r="K217" s="499" t="s">
        <v>2076</v>
      </c>
      <c r="L217" s="499">
        <v>1</v>
      </c>
      <c r="M217" s="499" t="s">
        <v>2086</v>
      </c>
      <c r="N217" s="499" t="s">
        <v>2066</v>
      </c>
      <c r="O217" s="525">
        <v>0</v>
      </c>
      <c r="P217" s="499" t="s">
        <v>2054</v>
      </c>
      <c r="Q217" s="499"/>
      <c r="R217" s="499"/>
      <c r="S217" s="525"/>
      <c r="T217" s="525">
        <v>0</v>
      </c>
      <c r="U217" s="525">
        <v>1</v>
      </c>
      <c r="V217" s="525" t="s">
        <v>2054</v>
      </c>
      <c r="W217" s="589">
        <f>IF(AND(BaleMover[[#This Row],[Scenario_ID]]="S3",BaleMover[[#This Row],[MRF_ID]]="05"),0,IFERROR(BaleMover[[#This Row],[Total_Baled_tons]]*(IF(BaleMover[[#This Row],[Scenario_ID]]="S0",-2,0)+INDEX(BalePrices[Low],MATCH(BaleMover[[#This Row],[Bale_ID]],BalePrices[Bale_ID],0))),0))</f>
        <v>0</v>
      </c>
      <c r="X217" s="397">
        <f>IF(AND(BaleMover[[#This Row],[Scenario_ID]]="S3",BaleMover[[#This Row],[MRF_ID]]="05"),0,IFERROR(BaleMover[[#This Row],[Total_Baled_tons]]*(IF(BaleMover[[#This Row],[Scenario_ID]]="S0",-2,0)+INDEX(BalePrices[Mid-Point],MATCH(BaleMover[[#This Row],[Bale_ID]],BalePrices[Bale_ID],0))),0))</f>
        <v>0</v>
      </c>
      <c r="Y217" s="397">
        <f>IF(AND(BaleMover[[#This Row],[Scenario_ID]]="S3",BaleMover[[#This Row],[MRF_ID]]="05"),0,IFERROR(BaleMover[[#This Row],[Total_Baled_tons]]*(IF(BaleMover[[#This Row],[Scenario_ID]]="S0",-2,0)+INDEX(BalePrices[High],MATCH(BaleMover[[#This Row],[Bale_ID]],BalePrices[Bale_ID],0))),0))</f>
        <v>0</v>
      </c>
    </row>
    <row r="218" spans="2:25" x14ac:dyDescent="0.2">
      <c r="B218" s="545" t="s">
        <v>876</v>
      </c>
      <c r="C218" s="499" t="s">
        <v>712</v>
      </c>
      <c r="D218" s="499"/>
      <c r="E218" s="499"/>
      <c r="F218" s="499" t="s">
        <v>1993</v>
      </c>
      <c r="G218" s="499" t="s">
        <v>2075</v>
      </c>
      <c r="H218" s="499" t="s">
        <v>1384</v>
      </c>
      <c r="I218" s="499" t="s">
        <v>1017</v>
      </c>
      <c r="J218" s="499" t="s">
        <v>1018</v>
      </c>
      <c r="K218" s="499" t="s">
        <v>2076</v>
      </c>
      <c r="L218" s="499">
        <v>11</v>
      </c>
      <c r="M218" s="499" t="s">
        <v>2084</v>
      </c>
      <c r="N218" s="499" t="s">
        <v>2064</v>
      </c>
      <c r="O218" s="525">
        <v>660.22280383022792</v>
      </c>
      <c r="P218" s="499">
        <v>960</v>
      </c>
      <c r="Q218" s="499"/>
      <c r="R218" s="499"/>
      <c r="S218" s="525"/>
      <c r="T218" s="525">
        <v>0</v>
      </c>
      <c r="U218" s="525">
        <v>1</v>
      </c>
      <c r="V218" s="525">
        <v>633813.89167701884</v>
      </c>
      <c r="W218" s="589">
        <f>IF(AND(BaleMover[[#This Row],[Scenario_ID]]="S3",BaleMover[[#This Row],[MRF_ID]]="05"),0,IFERROR(BaleMover[[#This Row],[Total_Baled_tons]]*(IF(BaleMover[[#This Row],[Scenario_ID]]="S0",-2,0)+INDEX(BalePrices[Low],MATCH(BaleMover[[#This Row],[Bale_ID]],BalePrices[Bale_ID],0))),0))</f>
        <v>724924.63860559021</v>
      </c>
      <c r="X218" s="397">
        <f>IF(AND(BaleMover[[#This Row],[Scenario_ID]]="S3",BaleMover[[#This Row],[MRF_ID]]="05"),0,IFERROR(BaleMover[[#This Row],[Total_Baled_tons]]*(IF(BaleMover[[#This Row],[Scenario_ID]]="S0",-2,0)+INDEX(BalePrices[Mid-Point],MATCH(BaleMover[[#This Row],[Bale_ID]],BalePrices[Bale_ID],0))),0))</f>
        <v>873474.76946739154</v>
      </c>
      <c r="Y218" s="397">
        <f>IF(AND(BaleMover[[#This Row],[Scenario_ID]]="S3",BaleMover[[#This Row],[MRF_ID]]="05"),0,IFERROR(BaleMover[[#This Row],[Total_Baled_tons]]*(IF(BaleMover[[#This Row],[Scenario_ID]]="S0",-2,0)+INDEX(BalePrices[High],MATCH(BaleMover[[#This Row],[Bale_ID]],BalePrices[Bale_ID],0))),0))</f>
        <v>1022024.9003291929</v>
      </c>
    </row>
    <row r="219" spans="2:25" x14ac:dyDescent="0.2">
      <c r="B219" s="545" t="s">
        <v>875</v>
      </c>
      <c r="C219" s="499" t="s">
        <v>712</v>
      </c>
      <c r="D219" s="499"/>
      <c r="E219" s="499"/>
      <c r="F219" s="499" t="s">
        <v>1993</v>
      </c>
      <c r="G219" s="499" t="s">
        <v>2078</v>
      </c>
      <c r="H219" s="499" t="s">
        <v>1385</v>
      </c>
      <c r="I219" s="499" t="s">
        <v>1017</v>
      </c>
      <c r="J219" s="499" t="s">
        <v>1018</v>
      </c>
      <c r="K219" s="499" t="s">
        <v>2076</v>
      </c>
      <c r="L219" s="499">
        <v>11</v>
      </c>
      <c r="M219" s="499" t="s">
        <v>2084</v>
      </c>
      <c r="N219" s="499" t="s">
        <v>2064</v>
      </c>
      <c r="O219" s="525">
        <v>514.60819883873216</v>
      </c>
      <c r="P219" s="499">
        <v>960</v>
      </c>
      <c r="Q219" s="499"/>
      <c r="R219" s="499"/>
      <c r="S219" s="525"/>
      <c r="T219" s="525">
        <v>0</v>
      </c>
      <c r="U219" s="525">
        <v>1</v>
      </c>
      <c r="V219" s="525">
        <v>494023.87088518287</v>
      </c>
      <c r="W219" s="589">
        <f>IF(AND(BaleMover[[#This Row],[Scenario_ID]]="S3",BaleMover[[#This Row],[MRF_ID]]="05"),0,IFERROR(BaleMover[[#This Row],[Total_Baled_tons]]*(IF(BaleMover[[#This Row],[Scenario_ID]]="S0",-2,0)+INDEX(BalePrices[Low],MATCH(BaleMover[[#This Row],[Bale_ID]],BalePrices[Bale_ID],0))),0))</f>
        <v>566069.01872260543</v>
      </c>
      <c r="X219" s="397">
        <f>IF(AND(BaleMover[[#This Row],[Scenario_ID]]="S3",BaleMover[[#This Row],[MRF_ID]]="05"),0,IFERROR(BaleMover[[#This Row],[Total_Baled_tons]]*(IF(BaleMover[[#This Row],[Scenario_ID]]="S0",-2,0)+INDEX(BalePrices[Mid-Point],MATCH(BaleMover[[#This Row],[Bale_ID]],BalePrices[Bale_ID],0))),0))</f>
        <v>681855.86346132017</v>
      </c>
      <c r="Y219" s="397">
        <f>IF(AND(BaleMover[[#This Row],[Scenario_ID]]="S3",BaleMover[[#This Row],[MRF_ID]]="05"),0,IFERROR(BaleMover[[#This Row],[Total_Baled_tons]]*(IF(BaleMover[[#This Row],[Scenario_ID]]="S0",-2,0)+INDEX(BalePrices[High],MATCH(BaleMover[[#This Row],[Bale_ID]],BalePrices[Bale_ID],0))),0))</f>
        <v>797642.7082000348</v>
      </c>
    </row>
    <row r="220" spans="2:25" x14ac:dyDescent="0.2">
      <c r="B220" s="545" t="s">
        <v>874</v>
      </c>
      <c r="C220" s="499" t="s">
        <v>712</v>
      </c>
      <c r="D220" s="499"/>
      <c r="E220" s="499"/>
      <c r="F220" s="499" t="s">
        <v>1993</v>
      </c>
      <c r="G220" s="499" t="s">
        <v>2079</v>
      </c>
      <c r="H220" s="499" t="s">
        <v>1386</v>
      </c>
      <c r="I220" s="499" t="s">
        <v>1017</v>
      </c>
      <c r="J220" s="499" t="s">
        <v>1018</v>
      </c>
      <c r="K220" s="499" t="s">
        <v>2076</v>
      </c>
      <c r="L220" s="499">
        <v>11</v>
      </c>
      <c r="M220" s="499" t="s">
        <v>2084</v>
      </c>
      <c r="N220" s="499" t="s">
        <v>2064</v>
      </c>
      <c r="O220" s="525">
        <v>681.4853315029726</v>
      </c>
      <c r="P220" s="499">
        <v>960</v>
      </c>
      <c r="Q220" s="499"/>
      <c r="R220" s="499"/>
      <c r="S220" s="525"/>
      <c r="T220" s="525">
        <v>0</v>
      </c>
      <c r="U220" s="525">
        <v>1</v>
      </c>
      <c r="V220" s="525">
        <v>654225.91824285372</v>
      </c>
      <c r="W220" s="589">
        <f>IF(AND(BaleMover[[#This Row],[Scenario_ID]]="S3",BaleMover[[#This Row],[MRF_ID]]="05"),0,IFERROR(BaleMover[[#This Row],[Total_Baled_tons]]*(IF(BaleMover[[#This Row],[Scenario_ID]]="S0",-2,0)+INDEX(BalePrices[Low],MATCH(BaleMover[[#This Row],[Bale_ID]],BalePrices[Bale_ID],0))),0))</f>
        <v>749633.86465326988</v>
      </c>
      <c r="X220" s="397">
        <f>IF(AND(BaleMover[[#This Row],[Scenario_ID]]="S3",BaleMover[[#This Row],[MRF_ID]]="05"),0,IFERROR(BaleMover[[#This Row],[Total_Baled_tons]]*(IF(BaleMover[[#This Row],[Scenario_ID]]="S0",-2,0)+INDEX(BalePrices[Mid-Point],MATCH(BaleMover[[#This Row],[Bale_ID]],BalePrices[Bale_ID],0))),0))</f>
        <v>902968.06424143864</v>
      </c>
      <c r="Y220" s="397">
        <f>IF(AND(BaleMover[[#This Row],[Scenario_ID]]="S3",BaleMover[[#This Row],[MRF_ID]]="05"),0,IFERROR(BaleMover[[#This Row],[Total_Baled_tons]]*(IF(BaleMover[[#This Row],[Scenario_ID]]="S0",-2,0)+INDEX(BalePrices[High],MATCH(BaleMover[[#This Row],[Bale_ID]],BalePrices[Bale_ID],0))),0))</f>
        <v>1056302.2638296075</v>
      </c>
    </row>
    <row r="221" spans="2:25" x14ac:dyDescent="0.2">
      <c r="B221" s="545" t="s">
        <v>873</v>
      </c>
      <c r="C221" s="499" t="s">
        <v>712</v>
      </c>
      <c r="D221" s="499"/>
      <c r="E221" s="499"/>
      <c r="F221" s="499" t="s">
        <v>1993</v>
      </c>
      <c r="G221" s="499" t="s">
        <v>2080</v>
      </c>
      <c r="H221" s="499" t="s">
        <v>1387</v>
      </c>
      <c r="I221" s="499" t="s">
        <v>1017</v>
      </c>
      <c r="J221" s="499" t="s">
        <v>1018</v>
      </c>
      <c r="K221" s="499" t="s">
        <v>2076</v>
      </c>
      <c r="L221" s="499">
        <v>11</v>
      </c>
      <c r="M221" s="499" t="s">
        <v>2084</v>
      </c>
      <c r="N221" s="499" t="s">
        <v>2064</v>
      </c>
      <c r="O221" s="525">
        <v>681.4853315029726</v>
      </c>
      <c r="P221" s="499">
        <v>960</v>
      </c>
      <c r="Q221" s="499"/>
      <c r="R221" s="499"/>
      <c r="S221" s="525"/>
      <c r="T221" s="525">
        <v>0</v>
      </c>
      <c r="U221" s="525">
        <v>1</v>
      </c>
      <c r="V221" s="525">
        <v>654225.91824285372</v>
      </c>
      <c r="W221" s="589">
        <f>IF(AND(BaleMover[[#This Row],[Scenario_ID]]="S3",BaleMover[[#This Row],[MRF_ID]]="05"),0,IFERROR(BaleMover[[#This Row],[Total_Baled_tons]]*(IF(BaleMover[[#This Row],[Scenario_ID]]="S0",-2,0)+INDEX(BalePrices[Low],MATCH(BaleMover[[#This Row],[Bale_ID]],BalePrices[Bale_ID],0))),0))</f>
        <v>749633.86465326988</v>
      </c>
      <c r="X221" s="397">
        <f>IF(AND(BaleMover[[#This Row],[Scenario_ID]]="S3",BaleMover[[#This Row],[MRF_ID]]="05"),0,IFERROR(BaleMover[[#This Row],[Total_Baled_tons]]*(IF(BaleMover[[#This Row],[Scenario_ID]]="S0",-2,0)+INDEX(BalePrices[Mid-Point],MATCH(BaleMover[[#This Row],[Bale_ID]],BalePrices[Bale_ID],0))),0))</f>
        <v>902968.06424143864</v>
      </c>
      <c r="Y221" s="397">
        <f>IF(AND(BaleMover[[#This Row],[Scenario_ID]]="S3",BaleMover[[#This Row],[MRF_ID]]="05"),0,IFERROR(BaleMover[[#This Row],[Total_Baled_tons]]*(IF(BaleMover[[#This Row],[Scenario_ID]]="S0",-2,0)+INDEX(BalePrices[High],MATCH(BaleMover[[#This Row],[Bale_ID]],BalePrices[Bale_ID],0))),0))</f>
        <v>1056302.2638296075</v>
      </c>
    </row>
    <row r="222" spans="2:25" x14ac:dyDescent="0.2">
      <c r="B222" s="545" t="s">
        <v>876</v>
      </c>
      <c r="C222" s="499" t="s">
        <v>712</v>
      </c>
      <c r="D222" s="499"/>
      <c r="E222" s="499"/>
      <c r="F222" s="499" t="s">
        <v>1993</v>
      </c>
      <c r="G222" s="499" t="s">
        <v>2075</v>
      </c>
      <c r="H222" s="499" t="s">
        <v>1388</v>
      </c>
      <c r="I222" s="499" t="s">
        <v>1019</v>
      </c>
      <c r="J222" s="499" t="s">
        <v>1020</v>
      </c>
      <c r="K222" s="499" t="s">
        <v>2076</v>
      </c>
      <c r="L222" s="499">
        <v>1</v>
      </c>
      <c r="M222" s="499" t="s">
        <v>2086</v>
      </c>
      <c r="N222" s="499" t="s">
        <v>2066</v>
      </c>
      <c r="O222" s="525">
        <v>3857.3375657687488</v>
      </c>
      <c r="P222" s="499">
        <v>20</v>
      </c>
      <c r="Q222" s="499"/>
      <c r="R222" s="499"/>
      <c r="S222" s="525"/>
      <c r="T222" s="525">
        <v>0</v>
      </c>
      <c r="U222" s="525">
        <v>1</v>
      </c>
      <c r="V222" s="525">
        <v>77146.751315374975</v>
      </c>
      <c r="W222" s="589">
        <f>IF(AND(BaleMover[[#This Row],[Scenario_ID]]="S3",BaleMover[[#This Row],[MRF_ID]]="05"),0,IFERROR(BaleMover[[#This Row],[Total_Baled_tons]]*(IF(BaleMover[[#This Row],[Scenario_ID]]="S0",-2,0)+INDEX(BalePrices[Low],MATCH(BaleMover[[#This Row],[Bale_ID]],BalePrices[Bale_ID],0))),0))</f>
        <v>378019.08144533739</v>
      </c>
      <c r="X222" s="397">
        <f>IF(AND(BaleMover[[#This Row],[Scenario_ID]]="S3",BaleMover[[#This Row],[MRF_ID]]="05"),0,IFERROR(BaleMover[[#This Row],[Total_Baled_tons]]*(IF(BaleMover[[#This Row],[Scenario_ID]]="S0",-2,0)+INDEX(BalePrices[Mid-Point],MATCH(BaleMover[[#This Row],[Bale_ID]],BalePrices[Bale_ID],0))),0))</f>
        <v>570885.95973377489</v>
      </c>
      <c r="Y222" s="397">
        <f>IF(AND(BaleMover[[#This Row],[Scenario_ID]]="S3",BaleMover[[#This Row],[MRF_ID]]="05"),0,IFERROR(BaleMover[[#This Row],[Total_Baled_tons]]*(IF(BaleMover[[#This Row],[Scenario_ID]]="S0",-2,0)+INDEX(BalePrices[High],MATCH(BaleMover[[#This Row],[Bale_ID]],BalePrices[Bale_ID],0))),0))</f>
        <v>763752.83802221227</v>
      </c>
    </row>
    <row r="223" spans="2:25" x14ac:dyDescent="0.2">
      <c r="B223" s="545" t="s">
        <v>875</v>
      </c>
      <c r="C223" s="499" t="s">
        <v>712</v>
      </c>
      <c r="D223" s="499"/>
      <c r="E223" s="499"/>
      <c r="F223" s="499" t="s">
        <v>1993</v>
      </c>
      <c r="G223" s="499" t="s">
        <v>2078</v>
      </c>
      <c r="H223" s="499" t="s">
        <v>1389</v>
      </c>
      <c r="I223" s="499" t="s">
        <v>1019</v>
      </c>
      <c r="J223" s="499" t="s">
        <v>1020</v>
      </c>
      <c r="K223" s="499" t="s">
        <v>2076</v>
      </c>
      <c r="L223" s="499">
        <v>1</v>
      </c>
      <c r="M223" s="499" t="s">
        <v>2086</v>
      </c>
      <c r="N223" s="499" t="s">
        <v>2066</v>
      </c>
      <c r="O223" s="525">
        <v>3608.0666106817348</v>
      </c>
      <c r="P223" s="499">
        <v>20</v>
      </c>
      <c r="Q223" s="499"/>
      <c r="R223" s="499"/>
      <c r="S223" s="525"/>
      <c r="T223" s="525">
        <v>0</v>
      </c>
      <c r="U223" s="525">
        <v>1</v>
      </c>
      <c r="V223" s="525">
        <v>72161.332213634698</v>
      </c>
      <c r="W223" s="589">
        <f>IF(AND(BaleMover[[#This Row],[Scenario_ID]]="S3",BaleMover[[#This Row],[MRF_ID]]="05"),0,IFERROR(BaleMover[[#This Row],[Total_Baled_tons]]*(IF(BaleMover[[#This Row],[Scenario_ID]]="S0",-2,0)+INDEX(BalePrices[Low],MATCH(BaleMover[[#This Row],[Bale_ID]],BalePrices[Bale_ID],0))),0))</f>
        <v>360806.66106817347</v>
      </c>
      <c r="X223" s="397">
        <f>IF(AND(BaleMover[[#This Row],[Scenario_ID]]="S3",BaleMover[[#This Row],[MRF_ID]]="05"),0,IFERROR(BaleMover[[#This Row],[Total_Baled_tons]]*(IF(BaleMover[[#This Row],[Scenario_ID]]="S0",-2,0)+INDEX(BalePrices[Mid-Point],MATCH(BaleMover[[#This Row],[Bale_ID]],BalePrices[Bale_ID],0))),0))</f>
        <v>541209.99160226027</v>
      </c>
      <c r="Y223" s="397">
        <f>IF(AND(BaleMover[[#This Row],[Scenario_ID]]="S3",BaleMover[[#This Row],[MRF_ID]]="05"),0,IFERROR(BaleMover[[#This Row],[Total_Baled_tons]]*(IF(BaleMover[[#This Row],[Scenario_ID]]="S0",-2,0)+INDEX(BalePrices[High],MATCH(BaleMover[[#This Row],[Bale_ID]],BalePrices[Bale_ID],0))),0))</f>
        <v>721613.32213634695</v>
      </c>
    </row>
    <row r="224" spans="2:25" x14ac:dyDescent="0.2">
      <c r="B224" s="545" t="s">
        <v>874</v>
      </c>
      <c r="C224" s="499" t="s">
        <v>712</v>
      </c>
      <c r="D224" s="499"/>
      <c r="E224" s="499"/>
      <c r="F224" s="499" t="s">
        <v>1993</v>
      </c>
      <c r="G224" s="499" t="s">
        <v>2079</v>
      </c>
      <c r="H224" s="499" t="s">
        <v>1390</v>
      </c>
      <c r="I224" s="499" t="s">
        <v>1019</v>
      </c>
      <c r="J224" s="499" t="s">
        <v>1020</v>
      </c>
      <c r="K224" s="499" t="s">
        <v>2076</v>
      </c>
      <c r="L224" s="499">
        <v>1</v>
      </c>
      <c r="M224" s="499" t="s">
        <v>2086</v>
      </c>
      <c r="N224" s="499" t="s">
        <v>2066</v>
      </c>
      <c r="O224" s="525">
        <v>3888.4105403037884</v>
      </c>
      <c r="P224" s="499">
        <v>20</v>
      </c>
      <c r="Q224" s="499"/>
      <c r="R224" s="499"/>
      <c r="S224" s="525"/>
      <c r="T224" s="525">
        <v>0</v>
      </c>
      <c r="U224" s="525">
        <v>1</v>
      </c>
      <c r="V224" s="525">
        <v>77768.210806075775</v>
      </c>
      <c r="W224" s="589">
        <f>IF(AND(BaleMover[[#This Row],[Scenario_ID]]="S3",BaleMover[[#This Row],[MRF_ID]]="05"),0,IFERROR(BaleMover[[#This Row],[Total_Baled_tons]]*(IF(BaleMover[[#This Row],[Scenario_ID]]="S0",-2,0)+INDEX(BalePrices[Low],MATCH(BaleMover[[#This Row],[Bale_ID]],BalePrices[Bale_ID],0))),0))</f>
        <v>388841.05403037881</v>
      </c>
      <c r="X224" s="397">
        <f>IF(AND(BaleMover[[#This Row],[Scenario_ID]]="S3",BaleMover[[#This Row],[MRF_ID]]="05"),0,IFERROR(BaleMover[[#This Row],[Total_Baled_tons]]*(IF(BaleMover[[#This Row],[Scenario_ID]]="S0",-2,0)+INDEX(BalePrices[Mid-Point],MATCH(BaleMover[[#This Row],[Bale_ID]],BalePrices[Bale_ID],0))),0))</f>
        <v>583261.58104556822</v>
      </c>
      <c r="Y224" s="397">
        <f>IF(AND(BaleMover[[#This Row],[Scenario_ID]]="S3",BaleMover[[#This Row],[MRF_ID]]="05"),0,IFERROR(BaleMover[[#This Row],[Total_Baled_tons]]*(IF(BaleMover[[#This Row],[Scenario_ID]]="S0",-2,0)+INDEX(BalePrices[High],MATCH(BaleMover[[#This Row],[Bale_ID]],BalePrices[Bale_ID],0))),0))</f>
        <v>777682.10806075763</v>
      </c>
    </row>
    <row r="225" spans="2:25" x14ac:dyDescent="0.2">
      <c r="B225" s="545" t="s">
        <v>873</v>
      </c>
      <c r="C225" s="499" t="s">
        <v>712</v>
      </c>
      <c r="D225" s="499"/>
      <c r="E225" s="499"/>
      <c r="F225" s="499" t="s">
        <v>1993</v>
      </c>
      <c r="G225" s="499" t="s">
        <v>2080</v>
      </c>
      <c r="H225" s="499" t="s">
        <v>1391</v>
      </c>
      <c r="I225" s="499" t="s">
        <v>1019</v>
      </c>
      <c r="J225" s="499" t="s">
        <v>1020</v>
      </c>
      <c r="K225" s="499" t="s">
        <v>2076</v>
      </c>
      <c r="L225" s="499">
        <v>1</v>
      </c>
      <c r="M225" s="499" t="s">
        <v>2086</v>
      </c>
      <c r="N225" s="499" t="s">
        <v>2066</v>
      </c>
      <c r="O225" s="525">
        <v>3889.0161825945188</v>
      </c>
      <c r="P225" s="499">
        <v>20</v>
      </c>
      <c r="Q225" s="499"/>
      <c r="R225" s="499"/>
      <c r="S225" s="525"/>
      <c r="T225" s="525">
        <v>0</v>
      </c>
      <c r="U225" s="525">
        <v>1</v>
      </c>
      <c r="V225" s="525">
        <v>77780.323651890372</v>
      </c>
      <c r="W225" s="589">
        <f>IF(AND(BaleMover[[#This Row],[Scenario_ID]]="S3",BaleMover[[#This Row],[MRF_ID]]="05"),0,IFERROR(BaleMover[[#This Row],[Total_Baled_tons]]*(IF(BaleMover[[#This Row],[Scenario_ID]]="S0",-2,0)+INDEX(BalePrices[Low],MATCH(BaleMover[[#This Row],[Bale_ID]],BalePrices[Bale_ID],0))),0))</f>
        <v>388901.61825945188</v>
      </c>
      <c r="X225" s="397">
        <f>IF(AND(BaleMover[[#This Row],[Scenario_ID]]="S3",BaleMover[[#This Row],[MRF_ID]]="05"),0,IFERROR(BaleMover[[#This Row],[Total_Baled_tons]]*(IF(BaleMover[[#This Row],[Scenario_ID]]="S0",-2,0)+INDEX(BalePrices[Mid-Point],MATCH(BaleMover[[#This Row],[Bale_ID]],BalePrices[Bale_ID],0))),0))</f>
        <v>583352.42738917784</v>
      </c>
      <c r="Y225" s="397">
        <f>IF(AND(BaleMover[[#This Row],[Scenario_ID]]="S3",BaleMover[[#This Row],[MRF_ID]]="05"),0,IFERROR(BaleMover[[#This Row],[Total_Baled_tons]]*(IF(BaleMover[[#This Row],[Scenario_ID]]="S0",-2,0)+INDEX(BalePrices[High],MATCH(BaleMover[[#This Row],[Bale_ID]],BalePrices[Bale_ID],0))),0))</f>
        <v>777803.23651890375</v>
      </c>
    </row>
    <row r="226" spans="2:25" x14ac:dyDescent="0.2">
      <c r="B226" s="545" t="s">
        <v>876</v>
      </c>
      <c r="C226" s="499" t="s">
        <v>712</v>
      </c>
      <c r="D226" s="499"/>
      <c r="E226" s="499"/>
      <c r="F226" s="499" t="s">
        <v>1993</v>
      </c>
      <c r="G226" s="499" t="s">
        <v>2075</v>
      </c>
      <c r="H226" s="499" t="s">
        <v>1392</v>
      </c>
      <c r="I226" s="499" t="s">
        <v>1021</v>
      </c>
      <c r="J226" s="499" t="s">
        <v>751</v>
      </c>
      <c r="K226" s="499" t="s">
        <v>2076</v>
      </c>
      <c r="L226" s="499">
        <v>20</v>
      </c>
      <c r="M226" s="499" t="s">
        <v>2089</v>
      </c>
      <c r="N226" s="499" t="s">
        <v>2074</v>
      </c>
      <c r="O226" s="525">
        <v>5986.9179865568267</v>
      </c>
      <c r="P226" s="499">
        <v>45</v>
      </c>
      <c r="Q226" s="499"/>
      <c r="R226" s="499"/>
      <c r="S226" s="525"/>
      <c r="T226" s="525">
        <v>0</v>
      </c>
      <c r="U226" s="525">
        <v>1</v>
      </c>
      <c r="V226" s="525">
        <v>269411.30939505721</v>
      </c>
      <c r="W226" s="589">
        <f>IF(AND(BaleMover[[#This Row],[Scenario_ID]]="S3",BaleMover[[#This Row],[MRF_ID]]="05"),0,IFERROR(BaleMover[[#This Row],[Total_Baled_tons]]*(IF(BaleMover[[#This Row],[Scenario_ID]]="S0",-2,0)+INDEX(BalePrices[Low],MATCH(BaleMover[[#This Row],[Bale_ID]],BalePrices[Bale_ID],0))),0))</f>
        <v>466979.60295143246</v>
      </c>
      <c r="X226" s="397">
        <f>IF(AND(BaleMover[[#This Row],[Scenario_ID]]="S3",BaleMover[[#This Row],[MRF_ID]]="05"),0,IFERROR(BaleMover[[#This Row],[Total_Baled_tons]]*(IF(BaleMover[[#This Row],[Scenario_ID]]="S0",-2,0)+INDEX(BalePrices[Mid-Point],MATCH(BaleMover[[#This Row],[Bale_ID]],BalePrices[Bale_ID],0))),0))</f>
        <v>706456.32241370552</v>
      </c>
      <c r="Y226" s="397">
        <f>IF(AND(BaleMover[[#This Row],[Scenario_ID]]="S3",BaleMover[[#This Row],[MRF_ID]]="05"),0,IFERROR(BaleMover[[#This Row],[Total_Baled_tons]]*(IF(BaleMover[[#This Row],[Scenario_ID]]="S0",-2,0)+INDEX(BalePrices[High],MATCH(BaleMover[[#This Row],[Bale_ID]],BalePrices[Bale_ID],0))),0))</f>
        <v>945933.04187597858</v>
      </c>
    </row>
    <row r="227" spans="2:25" x14ac:dyDescent="0.2">
      <c r="B227" s="545" t="s">
        <v>875</v>
      </c>
      <c r="C227" s="499" t="s">
        <v>712</v>
      </c>
      <c r="D227" s="499"/>
      <c r="E227" s="499"/>
      <c r="F227" s="499" t="s">
        <v>1993</v>
      </c>
      <c r="G227" s="499" t="s">
        <v>2078</v>
      </c>
      <c r="H227" s="499" t="s">
        <v>1393</v>
      </c>
      <c r="I227" s="499" t="s">
        <v>1021</v>
      </c>
      <c r="J227" s="499" t="s">
        <v>751</v>
      </c>
      <c r="K227" s="499" t="s">
        <v>2076</v>
      </c>
      <c r="L227" s="499">
        <v>20</v>
      </c>
      <c r="M227" s="499" t="s">
        <v>2089</v>
      </c>
      <c r="N227" s="499" t="s">
        <v>2074</v>
      </c>
      <c r="O227" s="525">
        <v>5715.9786376530737</v>
      </c>
      <c r="P227" s="499">
        <v>45</v>
      </c>
      <c r="Q227" s="499"/>
      <c r="R227" s="499"/>
      <c r="S227" s="525"/>
      <c r="T227" s="525">
        <v>0</v>
      </c>
      <c r="U227" s="525">
        <v>1</v>
      </c>
      <c r="V227" s="525">
        <v>257219.03869438832</v>
      </c>
      <c r="W227" s="589">
        <f>IF(AND(BaleMover[[#This Row],[Scenario_ID]]="S3",BaleMover[[#This Row],[MRF_ID]]="05"),0,IFERROR(BaleMover[[#This Row],[Total_Baled_tons]]*(IF(BaleMover[[#This Row],[Scenario_ID]]="S0",-2,0)+INDEX(BalePrices[Low],MATCH(BaleMover[[#This Row],[Bale_ID]],BalePrices[Bale_ID],0))),0))</f>
        <v>457278.29101224593</v>
      </c>
      <c r="X227" s="397">
        <f>IF(AND(BaleMover[[#This Row],[Scenario_ID]]="S3",BaleMover[[#This Row],[MRF_ID]]="05"),0,IFERROR(BaleMover[[#This Row],[Total_Baled_tons]]*(IF(BaleMover[[#This Row],[Scenario_ID]]="S0",-2,0)+INDEX(BalePrices[Mid-Point],MATCH(BaleMover[[#This Row],[Bale_ID]],BalePrices[Bale_ID],0))),0))</f>
        <v>685917.43651836889</v>
      </c>
      <c r="Y227" s="397">
        <f>IF(AND(BaleMover[[#This Row],[Scenario_ID]]="S3",BaleMover[[#This Row],[MRF_ID]]="05"),0,IFERROR(BaleMover[[#This Row],[Total_Baled_tons]]*(IF(BaleMover[[#This Row],[Scenario_ID]]="S0",-2,0)+INDEX(BalePrices[High],MATCH(BaleMover[[#This Row],[Bale_ID]],BalePrices[Bale_ID],0))),0))</f>
        <v>914556.58202449186</v>
      </c>
    </row>
    <row r="228" spans="2:25" x14ac:dyDescent="0.2">
      <c r="B228" s="545" t="s">
        <v>874</v>
      </c>
      <c r="C228" s="499" t="s">
        <v>712</v>
      </c>
      <c r="D228" s="499"/>
      <c r="E228" s="499"/>
      <c r="F228" s="499" t="s">
        <v>1993</v>
      </c>
      <c r="G228" s="499" t="s">
        <v>2079</v>
      </c>
      <c r="H228" s="499" t="s">
        <v>1394</v>
      </c>
      <c r="I228" s="499" t="s">
        <v>1021</v>
      </c>
      <c r="J228" s="499" t="s">
        <v>751</v>
      </c>
      <c r="K228" s="499" t="s">
        <v>2076</v>
      </c>
      <c r="L228" s="499">
        <v>20</v>
      </c>
      <c r="M228" s="499" t="s">
        <v>2089</v>
      </c>
      <c r="N228" s="499" t="s">
        <v>2074</v>
      </c>
      <c r="O228" s="525">
        <v>6402.6762429294304</v>
      </c>
      <c r="P228" s="499">
        <v>45</v>
      </c>
      <c r="Q228" s="499"/>
      <c r="R228" s="499"/>
      <c r="S228" s="525"/>
      <c r="T228" s="525">
        <v>0</v>
      </c>
      <c r="U228" s="525">
        <v>1</v>
      </c>
      <c r="V228" s="525">
        <v>288120.43093182438</v>
      </c>
      <c r="W228" s="589">
        <f>IF(AND(BaleMover[[#This Row],[Scenario_ID]]="S3",BaleMover[[#This Row],[MRF_ID]]="05"),0,IFERROR(BaleMover[[#This Row],[Total_Baled_tons]]*(IF(BaleMover[[#This Row],[Scenario_ID]]="S0",-2,0)+INDEX(BalePrices[Low],MATCH(BaleMover[[#This Row],[Bale_ID]],BalePrices[Bale_ID],0))),0))</f>
        <v>512214.09943435446</v>
      </c>
      <c r="X228" s="397">
        <f>IF(AND(BaleMover[[#This Row],[Scenario_ID]]="S3",BaleMover[[#This Row],[MRF_ID]]="05"),0,IFERROR(BaleMover[[#This Row],[Total_Baled_tons]]*(IF(BaleMover[[#This Row],[Scenario_ID]]="S0",-2,0)+INDEX(BalePrices[Mid-Point],MATCH(BaleMover[[#This Row],[Bale_ID]],BalePrices[Bale_ID],0))),0))</f>
        <v>768321.14915153163</v>
      </c>
      <c r="Y228" s="397">
        <f>IF(AND(BaleMover[[#This Row],[Scenario_ID]]="S3",BaleMover[[#This Row],[MRF_ID]]="05"),0,IFERROR(BaleMover[[#This Row],[Total_Baled_tons]]*(IF(BaleMover[[#This Row],[Scenario_ID]]="S0",-2,0)+INDEX(BalePrices[High],MATCH(BaleMover[[#This Row],[Bale_ID]],BalePrices[Bale_ID],0))),0))</f>
        <v>1024428.1988687089</v>
      </c>
    </row>
    <row r="229" spans="2:25" x14ac:dyDescent="0.2">
      <c r="B229" s="545" t="s">
        <v>873</v>
      </c>
      <c r="C229" s="499" t="s">
        <v>712</v>
      </c>
      <c r="D229" s="499"/>
      <c r="E229" s="499"/>
      <c r="F229" s="499" t="s">
        <v>1993</v>
      </c>
      <c r="G229" s="499" t="s">
        <v>2080</v>
      </c>
      <c r="H229" s="499" t="s">
        <v>1395</v>
      </c>
      <c r="I229" s="499" t="s">
        <v>1021</v>
      </c>
      <c r="J229" s="499" t="s">
        <v>751</v>
      </c>
      <c r="K229" s="499" t="s">
        <v>2076</v>
      </c>
      <c r="L229" s="499">
        <v>20</v>
      </c>
      <c r="M229" s="499" t="s">
        <v>2089</v>
      </c>
      <c r="N229" s="499" t="s">
        <v>2074</v>
      </c>
      <c r="O229" s="525">
        <v>6402.677066285928</v>
      </c>
      <c r="P229" s="499">
        <v>45</v>
      </c>
      <c r="Q229" s="499"/>
      <c r="R229" s="499"/>
      <c r="S229" s="525"/>
      <c r="T229" s="525">
        <v>0</v>
      </c>
      <c r="U229" s="525">
        <v>1</v>
      </c>
      <c r="V229" s="525">
        <v>288120.46798286674</v>
      </c>
      <c r="W229" s="589">
        <f>IF(AND(BaleMover[[#This Row],[Scenario_ID]]="S3",BaleMover[[#This Row],[MRF_ID]]="05"),0,IFERROR(BaleMover[[#This Row],[Total_Baled_tons]]*(IF(BaleMover[[#This Row],[Scenario_ID]]="S0",-2,0)+INDEX(BalePrices[Low],MATCH(BaleMover[[#This Row],[Bale_ID]],BalePrices[Bale_ID],0))),0))</f>
        <v>512214.16530287423</v>
      </c>
      <c r="X229" s="397">
        <f>IF(AND(BaleMover[[#This Row],[Scenario_ID]]="S3",BaleMover[[#This Row],[MRF_ID]]="05"),0,IFERROR(BaleMover[[#This Row],[Total_Baled_tons]]*(IF(BaleMover[[#This Row],[Scenario_ID]]="S0",-2,0)+INDEX(BalePrices[Mid-Point],MATCH(BaleMover[[#This Row],[Bale_ID]],BalePrices[Bale_ID],0))),0))</f>
        <v>768321.24795431131</v>
      </c>
      <c r="Y229" s="397">
        <f>IF(AND(BaleMover[[#This Row],[Scenario_ID]]="S3",BaleMover[[#This Row],[MRF_ID]]="05"),0,IFERROR(BaleMover[[#This Row],[Total_Baled_tons]]*(IF(BaleMover[[#This Row],[Scenario_ID]]="S0",-2,0)+INDEX(BalePrices[High],MATCH(BaleMover[[#This Row],[Bale_ID]],BalePrices[Bale_ID],0))),0))</f>
        <v>1024428.3306057485</v>
      </c>
    </row>
    <row r="230" spans="2:25" x14ac:dyDescent="0.2">
      <c r="B230" s="545" t="s">
        <v>876</v>
      </c>
      <c r="C230" s="499" t="s">
        <v>719</v>
      </c>
      <c r="D230" s="499"/>
      <c r="E230" s="499"/>
      <c r="F230" s="499" t="s">
        <v>1994</v>
      </c>
      <c r="G230" s="499" t="s">
        <v>2090</v>
      </c>
      <c r="H230" s="499" t="s">
        <v>1396</v>
      </c>
      <c r="I230" s="499" t="s">
        <v>969</v>
      </c>
      <c r="J230" s="499" t="s">
        <v>970</v>
      </c>
      <c r="K230" s="499" t="s">
        <v>2076</v>
      </c>
      <c r="L230" s="499">
        <v>5</v>
      </c>
      <c r="M230" s="499" t="s">
        <v>2077</v>
      </c>
      <c r="N230" s="499" t="s">
        <v>2058</v>
      </c>
      <c r="O230" s="525">
        <v>53712.004141814861</v>
      </c>
      <c r="P230" s="499">
        <v>50</v>
      </c>
      <c r="Q230" s="499"/>
      <c r="R230" s="499"/>
      <c r="S230" s="525"/>
      <c r="T230" s="525">
        <v>0</v>
      </c>
      <c r="U230" s="525">
        <v>1</v>
      </c>
      <c r="V230" s="525">
        <v>2685600.2070907429</v>
      </c>
      <c r="W230" s="589">
        <f>IF(AND(BaleMover[[#This Row],[Scenario_ID]]="S3",BaleMover[[#This Row],[MRF_ID]]="05"),0,IFERROR(BaleMover[[#This Row],[Total_Baled_tons]]*(IF(BaleMover[[#This Row],[Scenario_ID]]="S0",-2,0)+INDEX(BalePrices[Low],MATCH(BaleMover[[#This Row],[Bale_ID]],BalePrices[Bale_ID],0))),0))</f>
        <v>1235376.0952617419</v>
      </c>
      <c r="X230" s="397">
        <f>IF(AND(BaleMover[[#This Row],[Scenario_ID]]="S3",BaleMover[[#This Row],[MRF_ID]]="05"),0,IFERROR(BaleMover[[#This Row],[Total_Baled_tons]]*(IF(BaleMover[[#This Row],[Scenario_ID]]="S0",-2,0)+INDEX(BalePrices[Mid-Point],MATCH(BaleMover[[#This Row],[Bale_ID]],BalePrices[Bale_ID],0))),0))</f>
        <v>4592376.354125171</v>
      </c>
      <c r="Y230" s="397">
        <f>IF(AND(BaleMover[[#This Row],[Scenario_ID]]="S3",BaleMover[[#This Row],[MRF_ID]]="05"),0,IFERROR(BaleMover[[#This Row],[Total_Baled_tons]]*(IF(BaleMover[[#This Row],[Scenario_ID]]="S0",-2,0)+INDEX(BalePrices[High],MATCH(BaleMover[[#This Row],[Bale_ID]],BalePrices[Bale_ID],0))),0))</f>
        <v>7949376.6129885996</v>
      </c>
    </row>
    <row r="231" spans="2:25" x14ac:dyDescent="0.2">
      <c r="B231" s="545" t="s">
        <v>875</v>
      </c>
      <c r="C231" s="499" t="s">
        <v>719</v>
      </c>
      <c r="D231" s="499"/>
      <c r="E231" s="499"/>
      <c r="F231" s="499" t="s">
        <v>1994</v>
      </c>
      <c r="G231" s="499" t="s">
        <v>2091</v>
      </c>
      <c r="H231" s="499" t="s">
        <v>1397</v>
      </c>
      <c r="I231" s="499" t="s">
        <v>969</v>
      </c>
      <c r="J231" s="499" t="s">
        <v>970</v>
      </c>
      <c r="K231" s="499" t="s">
        <v>2076</v>
      </c>
      <c r="L231" s="499">
        <v>5</v>
      </c>
      <c r="M231" s="499" t="s">
        <v>2077</v>
      </c>
      <c r="N231" s="499" t="s">
        <v>2058</v>
      </c>
      <c r="O231" s="525">
        <v>60906.769053312157</v>
      </c>
      <c r="P231" s="499">
        <v>50</v>
      </c>
      <c r="Q231" s="499"/>
      <c r="R231" s="499"/>
      <c r="S231" s="525"/>
      <c r="T231" s="525">
        <v>0</v>
      </c>
      <c r="U231" s="525">
        <v>1</v>
      </c>
      <c r="V231" s="525">
        <v>3045338.4526656079</v>
      </c>
      <c r="W231" s="589">
        <f>IF(AND(BaleMover[[#This Row],[Scenario_ID]]="S3",BaleMover[[#This Row],[MRF_ID]]="05"),0,IFERROR(BaleMover[[#This Row],[Total_Baled_tons]]*(IF(BaleMover[[#This Row],[Scenario_ID]]="S0",-2,0)+INDEX(BalePrices[Low],MATCH(BaleMover[[#This Row],[Bale_ID]],BalePrices[Bale_ID],0))),0))</f>
        <v>1522669.226332804</v>
      </c>
      <c r="X231" s="397">
        <f>IF(AND(BaleMover[[#This Row],[Scenario_ID]]="S3",BaleMover[[#This Row],[MRF_ID]]="05"),0,IFERROR(BaleMover[[#This Row],[Total_Baled_tons]]*(IF(BaleMover[[#This Row],[Scenario_ID]]="S0",-2,0)+INDEX(BalePrices[Mid-Point],MATCH(BaleMover[[#This Row],[Bale_ID]],BalePrices[Bale_ID],0))),0))</f>
        <v>5329342.2921648137</v>
      </c>
      <c r="Y231" s="397">
        <f>IF(AND(BaleMover[[#This Row],[Scenario_ID]]="S3",BaleMover[[#This Row],[MRF_ID]]="05"),0,IFERROR(BaleMover[[#This Row],[Total_Baled_tons]]*(IF(BaleMover[[#This Row],[Scenario_ID]]="S0",-2,0)+INDEX(BalePrices[High],MATCH(BaleMover[[#This Row],[Bale_ID]],BalePrices[Bale_ID],0))),0))</f>
        <v>9136015.3579968233</v>
      </c>
    </row>
    <row r="232" spans="2:25" x14ac:dyDescent="0.2">
      <c r="B232" s="545" t="s">
        <v>874</v>
      </c>
      <c r="C232" s="499" t="s">
        <v>719</v>
      </c>
      <c r="D232" s="499"/>
      <c r="E232" s="499"/>
      <c r="F232" s="499" t="s">
        <v>1994</v>
      </c>
      <c r="G232" s="499" t="s">
        <v>2092</v>
      </c>
      <c r="H232" s="499" t="s">
        <v>1398</v>
      </c>
      <c r="I232" s="499" t="s">
        <v>969</v>
      </c>
      <c r="J232" s="499" t="s">
        <v>970</v>
      </c>
      <c r="K232" s="499" t="s">
        <v>2076</v>
      </c>
      <c r="L232" s="499">
        <v>5</v>
      </c>
      <c r="M232" s="499" t="s">
        <v>2077</v>
      </c>
      <c r="N232" s="499" t="s">
        <v>2058</v>
      </c>
      <c r="O232" s="525">
        <v>61652.351651813595</v>
      </c>
      <c r="P232" s="499">
        <v>50</v>
      </c>
      <c r="Q232" s="499"/>
      <c r="R232" s="499"/>
      <c r="S232" s="525"/>
      <c r="T232" s="525">
        <v>0</v>
      </c>
      <c r="U232" s="525">
        <v>1</v>
      </c>
      <c r="V232" s="525">
        <v>3082617.5825906796</v>
      </c>
      <c r="W232" s="589">
        <f>IF(AND(BaleMover[[#This Row],[Scenario_ID]]="S3",BaleMover[[#This Row],[MRF_ID]]="05"),0,IFERROR(BaleMover[[#This Row],[Total_Baled_tons]]*(IF(BaleMover[[#This Row],[Scenario_ID]]="S0",-2,0)+INDEX(BalePrices[Low],MATCH(BaleMover[[#This Row],[Bale_ID]],BalePrices[Bale_ID],0))),0))</f>
        <v>1541308.7912953398</v>
      </c>
      <c r="X232" s="397">
        <f>IF(AND(BaleMover[[#This Row],[Scenario_ID]]="S3",BaleMover[[#This Row],[MRF_ID]]="05"),0,IFERROR(BaleMover[[#This Row],[Total_Baled_tons]]*(IF(BaleMover[[#This Row],[Scenario_ID]]="S0",-2,0)+INDEX(BalePrices[Mid-Point],MATCH(BaleMover[[#This Row],[Bale_ID]],BalePrices[Bale_ID],0))),0))</f>
        <v>5394580.7695336891</v>
      </c>
      <c r="Y232" s="397">
        <f>IF(AND(BaleMover[[#This Row],[Scenario_ID]]="S3",BaleMover[[#This Row],[MRF_ID]]="05"),0,IFERROR(BaleMover[[#This Row],[Total_Baled_tons]]*(IF(BaleMover[[#This Row],[Scenario_ID]]="S0",-2,0)+INDEX(BalePrices[High],MATCH(BaleMover[[#This Row],[Bale_ID]],BalePrices[Bale_ID],0))),0))</f>
        <v>9247852.7477720398</v>
      </c>
    </row>
    <row r="233" spans="2:25" x14ac:dyDescent="0.2">
      <c r="B233" s="545" t="s">
        <v>873</v>
      </c>
      <c r="C233" s="499" t="s">
        <v>719</v>
      </c>
      <c r="D233" s="499"/>
      <c r="E233" s="499"/>
      <c r="F233" s="499" t="s">
        <v>1994</v>
      </c>
      <c r="G233" s="499" t="s">
        <v>2093</v>
      </c>
      <c r="H233" s="499" t="s">
        <v>1399</v>
      </c>
      <c r="I233" s="499" t="s">
        <v>969</v>
      </c>
      <c r="J233" s="499" t="s">
        <v>970</v>
      </c>
      <c r="K233" s="499" t="s">
        <v>2076</v>
      </c>
      <c r="L233" s="499">
        <v>5</v>
      </c>
      <c r="M233" s="499" t="s">
        <v>2077</v>
      </c>
      <c r="N233" s="499" t="s">
        <v>2058</v>
      </c>
      <c r="O233" s="525">
        <v>61636.709351471516</v>
      </c>
      <c r="P233" s="499">
        <v>50</v>
      </c>
      <c r="Q233" s="499"/>
      <c r="R233" s="499"/>
      <c r="S233" s="525"/>
      <c r="T233" s="525">
        <v>0</v>
      </c>
      <c r="U233" s="525">
        <v>1</v>
      </c>
      <c r="V233" s="525">
        <v>3081835.4675735757</v>
      </c>
      <c r="W233" s="589">
        <f>IF(AND(BaleMover[[#This Row],[Scenario_ID]]="S3",BaleMover[[#This Row],[MRF_ID]]="05"),0,IFERROR(BaleMover[[#This Row],[Total_Baled_tons]]*(IF(BaleMover[[#This Row],[Scenario_ID]]="S0",-2,0)+INDEX(BalePrices[Low],MATCH(BaleMover[[#This Row],[Bale_ID]],BalePrices[Bale_ID],0))),0))</f>
        <v>1540917.7337867878</v>
      </c>
      <c r="X233" s="397">
        <f>IF(AND(BaleMover[[#This Row],[Scenario_ID]]="S3",BaleMover[[#This Row],[MRF_ID]]="05"),0,IFERROR(BaleMover[[#This Row],[Total_Baled_tons]]*(IF(BaleMover[[#This Row],[Scenario_ID]]="S0",-2,0)+INDEX(BalePrices[Mid-Point],MATCH(BaleMover[[#This Row],[Bale_ID]],BalePrices[Bale_ID],0))),0))</f>
        <v>5393212.0682537574</v>
      </c>
      <c r="Y233" s="397">
        <f>IF(AND(BaleMover[[#This Row],[Scenario_ID]]="S3",BaleMover[[#This Row],[MRF_ID]]="05"),0,IFERROR(BaleMover[[#This Row],[Total_Baled_tons]]*(IF(BaleMover[[#This Row],[Scenario_ID]]="S0",-2,0)+INDEX(BalePrices[High],MATCH(BaleMover[[#This Row],[Bale_ID]],BalePrices[Bale_ID],0))),0))</f>
        <v>9245506.402720727</v>
      </c>
    </row>
    <row r="234" spans="2:25" x14ac:dyDescent="0.2">
      <c r="B234" s="545" t="s">
        <v>876</v>
      </c>
      <c r="C234" s="499" t="s">
        <v>719</v>
      </c>
      <c r="D234" s="499"/>
      <c r="E234" s="499"/>
      <c r="F234" s="499" t="s">
        <v>1994</v>
      </c>
      <c r="G234" s="499" t="s">
        <v>2090</v>
      </c>
      <c r="H234" s="499" t="s">
        <v>1400</v>
      </c>
      <c r="I234" s="499" t="s">
        <v>971</v>
      </c>
      <c r="J234" s="499" t="s">
        <v>972</v>
      </c>
      <c r="K234" s="499" t="s">
        <v>2076</v>
      </c>
      <c r="L234" s="499">
        <v>5</v>
      </c>
      <c r="M234" s="499" t="s">
        <v>2077</v>
      </c>
      <c r="N234" s="499" t="s">
        <v>2058</v>
      </c>
      <c r="O234" s="525">
        <v>0</v>
      </c>
      <c r="P234" s="499" t="s">
        <v>2054</v>
      </c>
      <c r="Q234" s="499"/>
      <c r="R234" s="499"/>
      <c r="S234" s="525"/>
      <c r="T234" s="525">
        <v>0</v>
      </c>
      <c r="U234" s="525">
        <v>1</v>
      </c>
      <c r="V234" s="525" t="s">
        <v>2054</v>
      </c>
      <c r="W234" s="589">
        <f>IF(AND(BaleMover[[#This Row],[Scenario_ID]]="S3",BaleMover[[#This Row],[MRF_ID]]="05"),0,IFERROR(BaleMover[[#This Row],[Total_Baled_tons]]*(IF(BaleMover[[#This Row],[Scenario_ID]]="S0",-2,0)+INDEX(BalePrices[Low],MATCH(BaleMover[[#This Row],[Bale_ID]],BalePrices[Bale_ID],0))),0))</f>
        <v>0</v>
      </c>
      <c r="X234" s="397">
        <f>IF(AND(BaleMover[[#This Row],[Scenario_ID]]="S3",BaleMover[[#This Row],[MRF_ID]]="05"),0,IFERROR(BaleMover[[#This Row],[Total_Baled_tons]]*(IF(BaleMover[[#This Row],[Scenario_ID]]="S0",-2,0)+INDEX(BalePrices[Mid-Point],MATCH(BaleMover[[#This Row],[Bale_ID]],BalePrices[Bale_ID],0))),0))</f>
        <v>0</v>
      </c>
      <c r="Y234" s="397">
        <f>IF(AND(BaleMover[[#This Row],[Scenario_ID]]="S3",BaleMover[[#This Row],[MRF_ID]]="05"),0,IFERROR(BaleMover[[#This Row],[Total_Baled_tons]]*(IF(BaleMover[[#This Row],[Scenario_ID]]="S0",-2,0)+INDEX(BalePrices[High],MATCH(BaleMover[[#This Row],[Bale_ID]],BalePrices[Bale_ID],0))),0))</f>
        <v>0</v>
      </c>
    </row>
    <row r="235" spans="2:25" x14ac:dyDescent="0.2">
      <c r="B235" s="545" t="s">
        <v>875</v>
      </c>
      <c r="C235" s="499" t="s">
        <v>719</v>
      </c>
      <c r="D235" s="499"/>
      <c r="E235" s="499"/>
      <c r="F235" s="499" t="s">
        <v>1994</v>
      </c>
      <c r="G235" s="499" t="s">
        <v>2091</v>
      </c>
      <c r="H235" s="499" t="s">
        <v>1401</v>
      </c>
      <c r="I235" s="499" t="s">
        <v>971</v>
      </c>
      <c r="J235" s="499" t="s">
        <v>972</v>
      </c>
      <c r="K235" s="499" t="s">
        <v>2076</v>
      </c>
      <c r="L235" s="499">
        <v>5</v>
      </c>
      <c r="M235" s="499" t="s">
        <v>2077</v>
      </c>
      <c r="N235" s="499" t="s">
        <v>2058</v>
      </c>
      <c r="O235" s="525">
        <v>0</v>
      </c>
      <c r="P235" s="499" t="s">
        <v>2054</v>
      </c>
      <c r="Q235" s="499"/>
      <c r="R235" s="499"/>
      <c r="S235" s="525"/>
      <c r="T235" s="525">
        <v>0</v>
      </c>
      <c r="U235" s="525">
        <v>1</v>
      </c>
      <c r="V235" s="525" t="s">
        <v>2054</v>
      </c>
      <c r="W235" s="589">
        <f>IF(AND(BaleMover[[#This Row],[Scenario_ID]]="S3",BaleMover[[#This Row],[MRF_ID]]="05"),0,IFERROR(BaleMover[[#This Row],[Total_Baled_tons]]*(IF(BaleMover[[#This Row],[Scenario_ID]]="S0",-2,0)+INDEX(BalePrices[Low],MATCH(BaleMover[[#This Row],[Bale_ID]],BalePrices[Bale_ID],0))),0))</f>
        <v>0</v>
      </c>
      <c r="X235" s="397">
        <f>IF(AND(BaleMover[[#This Row],[Scenario_ID]]="S3",BaleMover[[#This Row],[MRF_ID]]="05"),0,IFERROR(BaleMover[[#This Row],[Total_Baled_tons]]*(IF(BaleMover[[#This Row],[Scenario_ID]]="S0",-2,0)+INDEX(BalePrices[Mid-Point],MATCH(BaleMover[[#This Row],[Bale_ID]],BalePrices[Bale_ID],0))),0))</f>
        <v>0</v>
      </c>
      <c r="Y235" s="397">
        <f>IF(AND(BaleMover[[#This Row],[Scenario_ID]]="S3",BaleMover[[#This Row],[MRF_ID]]="05"),0,IFERROR(BaleMover[[#This Row],[Total_Baled_tons]]*(IF(BaleMover[[#This Row],[Scenario_ID]]="S0",-2,0)+INDEX(BalePrices[High],MATCH(BaleMover[[#This Row],[Bale_ID]],BalePrices[Bale_ID],0))),0))</f>
        <v>0</v>
      </c>
    </row>
    <row r="236" spans="2:25" x14ac:dyDescent="0.2">
      <c r="B236" s="545" t="s">
        <v>874</v>
      </c>
      <c r="C236" s="499" t="s">
        <v>719</v>
      </c>
      <c r="D236" s="499"/>
      <c r="E236" s="499"/>
      <c r="F236" s="499" t="s">
        <v>1994</v>
      </c>
      <c r="G236" s="499" t="s">
        <v>2092</v>
      </c>
      <c r="H236" s="499" t="s">
        <v>1402</v>
      </c>
      <c r="I236" s="499" t="s">
        <v>971</v>
      </c>
      <c r="J236" s="499" t="s">
        <v>972</v>
      </c>
      <c r="K236" s="499" t="s">
        <v>2076</v>
      </c>
      <c r="L236" s="499">
        <v>5</v>
      </c>
      <c r="M236" s="499" t="s">
        <v>2077</v>
      </c>
      <c r="N236" s="499" t="s">
        <v>2058</v>
      </c>
      <c r="O236" s="525">
        <v>0</v>
      </c>
      <c r="P236" s="499" t="s">
        <v>2054</v>
      </c>
      <c r="Q236" s="499"/>
      <c r="R236" s="499"/>
      <c r="S236" s="525"/>
      <c r="T236" s="525">
        <v>0</v>
      </c>
      <c r="U236" s="525">
        <v>1</v>
      </c>
      <c r="V236" s="525" t="s">
        <v>2054</v>
      </c>
      <c r="W236" s="589">
        <f>IF(AND(BaleMover[[#This Row],[Scenario_ID]]="S3",BaleMover[[#This Row],[MRF_ID]]="05"),0,IFERROR(BaleMover[[#This Row],[Total_Baled_tons]]*(IF(BaleMover[[#This Row],[Scenario_ID]]="S0",-2,0)+INDEX(BalePrices[Low],MATCH(BaleMover[[#This Row],[Bale_ID]],BalePrices[Bale_ID],0))),0))</f>
        <v>0</v>
      </c>
      <c r="X236" s="397">
        <f>IF(AND(BaleMover[[#This Row],[Scenario_ID]]="S3",BaleMover[[#This Row],[MRF_ID]]="05"),0,IFERROR(BaleMover[[#This Row],[Total_Baled_tons]]*(IF(BaleMover[[#This Row],[Scenario_ID]]="S0",-2,0)+INDEX(BalePrices[Mid-Point],MATCH(BaleMover[[#This Row],[Bale_ID]],BalePrices[Bale_ID],0))),0))</f>
        <v>0</v>
      </c>
      <c r="Y236" s="397">
        <f>IF(AND(BaleMover[[#This Row],[Scenario_ID]]="S3",BaleMover[[#This Row],[MRF_ID]]="05"),0,IFERROR(BaleMover[[#This Row],[Total_Baled_tons]]*(IF(BaleMover[[#This Row],[Scenario_ID]]="S0",-2,0)+INDEX(BalePrices[High],MATCH(BaleMover[[#This Row],[Bale_ID]],BalePrices[Bale_ID],0))),0))</f>
        <v>0</v>
      </c>
    </row>
    <row r="237" spans="2:25" x14ac:dyDescent="0.2">
      <c r="B237" s="545" t="s">
        <v>873</v>
      </c>
      <c r="C237" s="499" t="s">
        <v>719</v>
      </c>
      <c r="D237" s="499"/>
      <c r="E237" s="499"/>
      <c r="F237" s="499" t="s">
        <v>1994</v>
      </c>
      <c r="G237" s="499" t="s">
        <v>2093</v>
      </c>
      <c r="H237" s="499" t="s">
        <v>1403</v>
      </c>
      <c r="I237" s="499" t="s">
        <v>971</v>
      </c>
      <c r="J237" s="499" t="s">
        <v>972</v>
      </c>
      <c r="K237" s="499" t="s">
        <v>2076</v>
      </c>
      <c r="L237" s="499">
        <v>5</v>
      </c>
      <c r="M237" s="499" t="s">
        <v>2077</v>
      </c>
      <c r="N237" s="499" t="s">
        <v>2058</v>
      </c>
      <c r="O237" s="525">
        <v>0</v>
      </c>
      <c r="P237" s="499" t="s">
        <v>2054</v>
      </c>
      <c r="Q237" s="499"/>
      <c r="R237" s="499"/>
      <c r="S237" s="525"/>
      <c r="T237" s="525">
        <v>0</v>
      </c>
      <c r="U237" s="525">
        <v>1</v>
      </c>
      <c r="V237" s="525" t="s">
        <v>2054</v>
      </c>
      <c r="W237" s="589">
        <f>IF(AND(BaleMover[[#This Row],[Scenario_ID]]="S3",BaleMover[[#This Row],[MRF_ID]]="05"),0,IFERROR(BaleMover[[#This Row],[Total_Baled_tons]]*(IF(BaleMover[[#This Row],[Scenario_ID]]="S0",-2,0)+INDEX(BalePrices[Low],MATCH(BaleMover[[#This Row],[Bale_ID]],BalePrices[Bale_ID],0))),0))</f>
        <v>0</v>
      </c>
      <c r="X237" s="397">
        <f>IF(AND(BaleMover[[#This Row],[Scenario_ID]]="S3",BaleMover[[#This Row],[MRF_ID]]="05"),0,IFERROR(BaleMover[[#This Row],[Total_Baled_tons]]*(IF(BaleMover[[#This Row],[Scenario_ID]]="S0",-2,0)+INDEX(BalePrices[Mid-Point],MATCH(BaleMover[[#This Row],[Bale_ID]],BalePrices[Bale_ID],0))),0))</f>
        <v>0</v>
      </c>
      <c r="Y237" s="397">
        <f>IF(AND(BaleMover[[#This Row],[Scenario_ID]]="S3",BaleMover[[#This Row],[MRF_ID]]="05"),0,IFERROR(BaleMover[[#This Row],[Total_Baled_tons]]*(IF(BaleMover[[#This Row],[Scenario_ID]]="S0",-2,0)+INDEX(BalePrices[High],MATCH(BaleMover[[#This Row],[Bale_ID]],BalePrices[Bale_ID],0))),0))</f>
        <v>0</v>
      </c>
    </row>
    <row r="238" spans="2:25" x14ac:dyDescent="0.2">
      <c r="B238" s="545" t="s">
        <v>876</v>
      </c>
      <c r="C238" s="499" t="s">
        <v>719</v>
      </c>
      <c r="D238" s="499"/>
      <c r="E238" s="499"/>
      <c r="F238" s="499" t="s">
        <v>1994</v>
      </c>
      <c r="G238" s="499" t="s">
        <v>2090</v>
      </c>
      <c r="H238" s="499" t="s">
        <v>1404</v>
      </c>
      <c r="I238" s="499" t="s">
        <v>973</v>
      </c>
      <c r="J238" s="499" t="s">
        <v>974</v>
      </c>
      <c r="K238" s="499" t="s">
        <v>2076</v>
      </c>
      <c r="L238" s="499">
        <v>5</v>
      </c>
      <c r="M238" s="499" t="s">
        <v>2077</v>
      </c>
      <c r="N238" s="499" t="s">
        <v>2058</v>
      </c>
      <c r="O238" s="525">
        <v>333.1830304065528</v>
      </c>
      <c r="P238" s="499">
        <v>50</v>
      </c>
      <c r="Q238" s="499"/>
      <c r="R238" s="499"/>
      <c r="S238" s="525"/>
      <c r="T238" s="525">
        <v>0</v>
      </c>
      <c r="U238" s="525">
        <v>1</v>
      </c>
      <c r="V238" s="525">
        <v>16659.151520327639</v>
      </c>
      <c r="W238" s="589">
        <f>IF(AND(BaleMover[[#This Row],[Scenario_ID]]="S3",BaleMover[[#This Row],[MRF_ID]]="05"),0,IFERROR(BaleMover[[#This Row],[Total_Baled_tons]]*(IF(BaleMover[[#This Row],[Scenario_ID]]="S0",-2,0)+INDEX(BalePrices[Low],MATCH(BaleMover[[#This Row],[Bale_ID]],BalePrices[Bale_ID],0))),0))</f>
        <v>999.54909121965841</v>
      </c>
      <c r="X238" s="397">
        <f>IF(AND(BaleMover[[#This Row],[Scenario_ID]]="S3",BaleMover[[#This Row],[MRF_ID]]="05"),0,IFERROR(BaleMover[[#This Row],[Total_Baled_tons]]*(IF(BaleMover[[#This Row],[Scenario_ID]]="S0",-2,0)+INDEX(BalePrices[Mid-Point],MATCH(BaleMover[[#This Row],[Bale_ID]],BalePrices[Bale_ID],0))),0))</f>
        <v>10162.082427399861</v>
      </c>
      <c r="Y238" s="397">
        <f>IF(AND(BaleMover[[#This Row],[Scenario_ID]]="S3",BaleMover[[#This Row],[MRF_ID]]="05"),0,IFERROR(BaleMover[[#This Row],[Total_Baled_tons]]*(IF(BaleMover[[#This Row],[Scenario_ID]]="S0",-2,0)+INDEX(BalePrices[High],MATCH(BaleMover[[#This Row],[Bale_ID]],BalePrices[Bale_ID],0))),0))</f>
        <v>19324.615763580063</v>
      </c>
    </row>
    <row r="239" spans="2:25" x14ac:dyDescent="0.2">
      <c r="B239" s="545" t="s">
        <v>875</v>
      </c>
      <c r="C239" s="499" t="s">
        <v>719</v>
      </c>
      <c r="D239" s="499"/>
      <c r="E239" s="499"/>
      <c r="F239" s="499" t="s">
        <v>1994</v>
      </c>
      <c r="G239" s="499" t="s">
        <v>2091</v>
      </c>
      <c r="H239" s="499" t="s">
        <v>1405</v>
      </c>
      <c r="I239" s="499" t="s">
        <v>973</v>
      </c>
      <c r="J239" s="499" t="s">
        <v>974</v>
      </c>
      <c r="K239" s="499" t="s">
        <v>2076</v>
      </c>
      <c r="L239" s="499">
        <v>5</v>
      </c>
      <c r="M239" s="499" t="s">
        <v>2077</v>
      </c>
      <c r="N239" s="499" t="s">
        <v>2058</v>
      </c>
      <c r="O239" s="525">
        <v>23597.126517648267</v>
      </c>
      <c r="P239" s="499">
        <v>50</v>
      </c>
      <c r="Q239" s="499"/>
      <c r="R239" s="499"/>
      <c r="S239" s="525"/>
      <c r="T239" s="525">
        <v>0</v>
      </c>
      <c r="U239" s="525">
        <v>1</v>
      </c>
      <c r="V239" s="525">
        <v>1179856.3258824134</v>
      </c>
      <c r="W239" s="589">
        <f>IF(AND(BaleMover[[#This Row],[Scenario_ID]]="S3",BaleMover[[#This Row],[MRF_ID]]="05"),0,IFERROR(BaleMover[[#This Row],[Total_Baled_tons]]*(IF(BaleMover[[#This Row],[Scenario_ID]]="S0",-2,0)+INDEX(BalePrices[Low],MATCH(BaleMover[[#This Row],[Bale_ID]],BalePrices[Bale_ID],0))),0))</f>
        <v>117985.63258824134</v>
      </c>
      <c r="X239" s="397">
        <f>IF(AND(BaleMover[[#This Row],[Scenario_ID]]="S3",BaleMover[[#This Row],[MRF_ID]]="05"),0,IFERROR(BaleMover[[#This Row],[Total_Baled_tons]]*(IF(BaleMover[[#This Row],[Scenario_ID]]="S0",-2,0)+INDEX(BalePrices[Mid-Point],MATCH(BaleMover[[#This Row],[Bale_ID]],BalePrices[Bale_ID],0))),0))</f>
        <v>766906.6118235687</v>
      </c>
      <c r="Y239" s="397">
        <f>IF(AND(BaleMover[[#This Row],[Scenario_ID]]="S3",BaleMover[[#This Row],[MRF_ID]]="05"),0,IFERROR(BaleMover[[#This Row],[Total_Baled_tons]]*(IF(BaleMover[[#This Row],[Scenario_ID]]="S0",-2,0)+INDEX(BalePrices[High],MATCH(BaleMover[[#This Row],[Bale_ID]],BalePrices[Bale_ID],0))),0))</f>
        <v>1415827.5910588959</v>
      </c>
    </row>
    <row r="240" spans="2:25" x14ac:dyDescent="0.2">
      <c r="B240" s="545" t="s">
        <v>874</v>
      </c>
      <c r="C240" s="499" t="s">
        <v>719</v>
      </c>
      <c r="D240" s="499"/>
      <c r="E240" s="499"/>
      <c r="F240" s="499" t="s">
        <v>1994</v>
      </c>
      <c r="G240" s="499" t="s">
        <v>2092</v>
      </c>
      <c r="H240" s="499" t="s">
        <v>1406</v>
      </c>
      <c r="I240" s="499" t="s">
        <v>973</v>
      </c>
      <c r="J240" s="499" t="s">
        <v>974</v>
      </c>
      <c r="K240" s="499" t="s">
        <v>2076</v>
      </c>
      <c r="L240" s="499">
        <v>5</v>
      </c>
      <c r="M240" s="499" t="s">
        <v>2077</v>
      </c>
      <c r="N240" s="499" t="s">
        <v>2058</v>
      </c>
      <c r="O240" s="525">
        <v>25653.009153488427</v>
      </c>
      <c r="P240" s="499">
        <v>50</v>
      </c>
      <c r="Q240" s="499"/>
      <c r="R240" s="499"/>
      <c r="S240" s="525"/>
      <c r="T240" s="525">
        <v>0</v>
      </c>
      <c r="U240" s="525">
        <v>1</v>
      </c>
      <c r="V240" s="525">
        <v>1282650.4576744214</v>
      </c>
      <c r="W240" s="589">
        <f>IF(AND(BaleMover[[#This Row],[Scenario_ID]]="S3",BaleMover[[#This Row],[MRF_ID]]="05"),0,IFERROR(BaleMover[[#This Row],[Total_Baled_tons]]*(IF(BaleMover[[#This Row],[Scenario_ID]]="S0",-2,0)+INDEX(BalePrices[Low],MATCH(BaleMover[[#This Row],[Bale_ID]],BalePrices[Bale_ID],0))),0))</f>
        <v>128265.04576744213</v>
      </c>
      <c r="X240" s="397">
        <f>IF(AND(BaleMover[[#This Row],[Scenario_ID]]="S3",BaleMover[[#This Row],[MRF_ID]]="05"),0,IFERROR(BaleMover[[#This Row],[Total_Baled_tons]]*(IF(BaleMover[[#This Row],[Scenario_ID]]="S0",-2,0)+INDEX(BalePrices[Mid-Point],MATCH(BaleMover[[#This Row],[Bale_ID]],BalePrices[Bale_ID],0))),0))</f>
        <v>833722.79748837382</v>
      </c>
      <c r="Y240" s="397">
        <f>IF(AND(BaleMover[[#This Row],[Scenario_ID]]="S3",BaleMover[[#This Row],[MRF_ID]]="05"),0,IFERROR(BaleMover[[#This Row],[Total_Baled_tons]]*(IF(BaleMover[[#This Row],[Scenario_ID]]="S0",-2,0)+INDEX(BalePrices[High],MATCH(BaleMover[[#This Row],[Bale_ID]],BalePrices[Bale_ID],0))),0))</f>
        <v>1539180.5492093056</v>
      </c>
    </row>
    <row r="241" spans="2:25" x14ac:dyDescent="0.2">
      <c r="B241" s="545" t="s">
        <v>873</v>
      </c>
      <c r="C241" s="499" t="s">
        <v>719</v>
      </c>
      <c r="D241" s="499"/>
      <c r="E241" s="499"/>
      <c r="F241" s="499" t="s">
        <v>1994</v>
      </c>
      <c r="G241" s="499" t="s">
        <v>2093</v>
      </c>
      <c r="H241" s="499" t="s">
        <v>1407</v>
      </c>
      <c r="I241" s="499" t="s">
        <v>973</v>
      </c>
      <c r="J241" s="499" t="s">
        <v>974</v>
      </c>
      <c r="K241" s="499" t="s">
        <v>2076</v>
      </c>
      <c r="L241" s="499">
        <v>5</v>
      </c>
      <c r="M241" s="499" t="s">
        <v>2077</v>
      </c>
      <c r="N241" s="499" t="s">
        <v>2058</v>
      </c>
      <c r="O241" s="525">
        <v>25647.662131041132</v>
      </c>
      <c r="P241" s="499">
        <v>50</v>
      </c>
      <c r="Q241" s="499"/>
      <c r="R241" s="499"/>
      <c r="S241" s="525"/>
      <c r="T241" s="525">
        <v>0</v>
      </c>
      <c r="U241" s="525">
        <v>1</v>
      </c>
      <c r="V241" s="525">
        <v>1282383.1065520565</v>
      </c>
      <c r="W241" s="589">
        <f>IF(AND(BaleMover[[#This Row],[Scenario_ID]]="S3",BaleMover[[#This Row],[MRF_ID]]="05"),0,IFERROR(BaleMover[[#This Row],[Total_Baled_tons]]*(IF(BaleMover[[#This Row],[Scenario_ID]]="S0",-2,0)+INDEX(BalePrices[Low],MATCH(BaleMover[[#This Row],[Bale_ID]],BalePrices[Bale_ID],0))),0))</f>
        <v>128238.31065520566</v>
      </c>
      <c r="X241" s="397">
        <f>IF(AND(BaleMover[[#This Row],[Scenario_ID]]="S3",BaleMover[[#This Row],[MRF_ID]]="05"),0,IFERROR(BaleMover[[#This Row],[Total_Baled_tons]]*(IF(BaleMover[[#This Row],[Scenario_ID]]="S0",-2,0)+INDEX(BalePrices[Mid-Point],MATCH(BaleMover[[#This Row],[Bale_ID]],BalePrices[Bale_ID],0))),0))</f>
        <v>833549.01925883675</v>
      </c>
      <c r="Y241" s="397">
        <f>IF(AND(BaleMover[[#This Row],[Scenario_ID]]="S3",BaleMover[[#This Row],[MRF_ID]]="05"),0,IFERROR(BaleMover[[#This Row],[Total_Baled_tons]]*(IF(BaleMover[[#This Row],[Scenario_ID]]="S0",-2,0)+INDEX(BalePrices[High],MATCH(BaleMover[[#This Row],[Bale_ID]],BalePrices[Bale_ID],0))),0))</f>
        <v>1538859.727862468</v>
      </c>
    </row>
    <row r="242" spans="2:25" x14ac:dyDescent="0.2">
      <c r="B242" s="545" t="s">
        <v>876</v>
      </c>
      <c r="C242" s="499" t="s">
        <v>719</v>
      </c>
      <c r="D242" s="499"/>
      <c r="E242" s="499"/>
      <c r="F242" s="499" t="s">
        <v>1994</v>
      </c>
      <c r="G242" s="499" t="s">
        <v>2090</v>
      </c>
      <c r="H242" s="499" t="s">
        <v>1408</v>
      </c>
      <c r="I242" s="499" t="s">
        <v>975</v>
      </c>
      <c r="J242" s="499" t="s">
        <v>976</v>
      </c>
      <c r="K242" s="499" t="s">
        <v>2076</v>
      </c>
      <c r="L242" s="499">
        <v>7</v>
      </c>
      <c r="M242" s="499" t="s">
        <v>2081</v>
      </c>
      <c r="N242" s="499" t="s">
        <v>2056</v>
      </c>
      <c r="O242" s="525">
        <v>0</v>
      </c>
      <c r="P242" s="499" t="s">
        <v>2054</v>
      </c>
      <c r="Q242" s="499"/>
      <c r="R242" s="499"/>
      <c r="S242" s="525"/>
      <c r="T242" s="525">
        <v>0</v>
      </c>
      <c r="U242" s="525">
        <v>1</v>
      </c>
      <c r="V242" s="525" t="s">
        <v>2054</v>
      </c>
      <c r="W242" s="589">
        <f>IF(AND(BaleMover[[#This Row],[Scenario_ID]]="S3",BaleMover[[#This Row],[MRF_ID]]="05"),0,IFERROR(BaleMover[[#This Row],[Total_Baled_tons]]*(IF(BaleMover[[#This Row],[Scenario_ID]]="S0",-2,0)+INDEX(BalePrices[Low],MATCH(BaleMover[[#This Row],[Bale_ID]],BalePrices[Bale_ID],0))),0))</f>
        <v>0</v>
      </c>
      <c r="X242" s="397">
        <f>IF(AND(BaleMover[[#This Row],[Scenario_ID]]="S3",BaleMover[[#This Row],[MRF_ID]]="05"),0,IFERROR(BaleMover[[#This Row],[Total_Baled_tons]]*(IF(BaleMover[[#This Row],[Scenario_ID]]="S0",-2,0)+INDEX(BalePrices[Mid-Point],MATCH(BaleMover[[#This Row],[Bale_ID]],BalePrices[Bale_ID],0))),0))</f>
        <v>0</v>
      </c>
      <c r="Y242" s="397">
        <f>IF(AND(BaleMover[[#This Row],[Scenario_ID]]="S3",BaleMover[[#This Row],[MRF_ID]]="05"),0,IFERROR(BaleMover[[#This Row],[Total_Baled_tons]]*(IF(BaleMover[[#This Row],[Scenario_ID]]="S0",-2,0)+INDEX(BalePrices[High],MATCH(BaleMover[[#This Row],[Bale_ID]],BalePrices[Bale_ID],0))),0))</f>
        <v>0</v>
      </c>
    </row>
    <row r="243" spans="2:25" x14ac:dyDescent="0.2">
      <c r="B243" s="545" t="s">
        <v>875</v>
      </c>
      <c r="C243" s="499" t="s">
        <v>719</v>
      </c>
      <c r="D243" s="499"/>
      <c r="E243" s="499"/>
      <c r="F243" s="499" t="s">
        <v>1994</v>
      </c>
      <c r="G243" s="499" t="s">
        <v>2091</v>
      </c>
      <c r="H243" s="499" t="s">
        <v>1409</v>
      </c>
      <c r="I243" s="499" t="s">
        <v>975</v>
      </c>
      <c r="J243" s="499" t="s">
        <v>976</v>
      </c>
      <c r="K243" s="499" t="s">
        <v>2076</v>
      </c>
      <c r="L243" s="499">
        <v>7</v>
      </c>
      <c r="M243" s="499" t="s">
        <v>2081</v>
      </c>
      <c r="N243" s="499" t="s">
        <v>2056</v>
      </c>
      <c r="O243" s="525">
        <v>0</v>
      </c>
      <c r="P243" s="499" t="s">
        <v>2054</v>
      </c>
      <c r="Q243" s="499"/>
      <c r="R243" s="499"/>
      <c r="S243" s="525"/>
      <c r="T243" s="525">
        <v>0</v>
      </c>
      <c r="U243" s="525">
        <v>1</v>
      </c>
      <c r="V243" s="525" t="s">
        <v>2054</v>
      </c>
      <c r="W243" s="589">
        <f>IF(AND(BaleMover[[#This Row],[Scenario_ID]]="S3",BaleMover[[#This Row],[MRF_ID]]="05"),0,IFERROR(BaleMover[[#This Row],[Total_Baled_tons]]*(IF(BaleMover[[#This Row],[Scenario_ID]]="S0",-2,0)+INDEX(BalePrices[Low],MATCH(BaleMover[[#This Row],[Bale_ID]],BalePrices[Bale_ID],0))),0))</f>
        <v>0</v>
      </c>
      <c r="X243" s="397">
        <f>IF(AND(BaleMover[[#This Row],[Scenario_ID]]="S3",BaleMover[[#This Row],[MRF_ID]]="05"),0,IFERROR(BaleMover[[#This Row],[Total_Baled_tons]]*(IF(BaleMover[[#This Row],[Scenario_ID]]="S0",-2,0)+INDEX(BalePrices[Mid-Point],MATCH(BaleMover[[#This Row],[Bale_ID]],BalePrices[Bale_ID],0))),0))</f>
        <v>0</v>
      </c>
      <c r="Y243" s="397">
        <f>IF(AND(BaleMover[[#This Row],[Scenario_ID]]="S3",BaleMover[[#This Row],[MRF_ID]]="05"),0,IFERROR(BaleMover[[#This Row],[Total_Baled_tons]]*(IF(BaleMover[[#This Row],[Scenario_ID]]="S0",-2,0)+INDEX(BalePrices[High],MATCH(BaleMover[[#This Row],[Bale_ID]],BalePrices[Bale_ID],0))),0))</f>
        <v>0</v>
      </c>
    </row>
    <row r="244" spans="2:25" x14ac:dyDescent="0.2">
      <c r="B244" s="545" t="s">
        <v>874</v>
      </c>
      <c r="C244" s="499" t="s">
        <v>719</v>
      </c>
      <c r="D244" s="499"/>
      <c r="E244" s="499"/>
      <c r="F244" s="499" t="s">
        <v>1994</v>
      </c>
      <c r="G244" s="499" t="s">
        <v>2092</v>
      </c>
      <c r="H244" s="499" t="s">
        <v>1410</v>
      </c>
      <c r="I244" s="499" t="s">
        <v>975</v>
      </c>
      <c r="J244" s="499" t="s">
        <v>976</v>
      </c>
      <c r="K244" s="499" t="s">
        <v>2076</v>
      </c>
      <c r="L244" s="499">
        <v>7</v>
      </c>
      <c r="M244" s="499" t="s">
        <v>2081</v>
      </c>
      <c r="N244" s="499" t="s">
        <v>2056</v>
      </c>
      <c r="O244" s="525">
        <v>0</v>
      </c>
      <c r="P244" s="499" t="s">
        <v>2054</v>
      </c>
      <c r="Q244" s="499"/>
      <c r="R244" s="499"/>
      <c r="S244" s="525"/>
      <c r="T244" s="525">
        <v>0</v>
      </c>
      <c r="U244" s="525">
        <v>1</v>
      </c>
      <c r="V244" s="525" t="s">
        <v>2054</v>
      </c>
      <c r="W244" s="589">
        <f>IF(AND(BaleMover[[#This Row],[Scenario_ID]]="S3",BaleMover[[#This Row],[MRF_ID]]="05"),0,IFERROR(BaleMover[[#This Row],[Total_Baled_tons]]*(IF(BaleMover[[#This Row],[Scenario_ID]]="S0",-2,0)+INDEX(BalePrices[Low],MATCH(BaleMover[[#This Row],[Bale_ID]],BalePrices[Bale_ID],0))),0))</f>
        <v>0</v>
      </c>
      <c r="X244" s="397">
        <f>IF(AND(BaleMover[[#This Row],[Scenario_ID]]="S3",BaleMover[[#This Row],[MRF_ID]]="05"),0,IFERROR(BaleMover[[#This Row],[Total_Baled_tons]]*(IF(BaleMover[[#This Row],[Scenario_ID]]="S0",-2,0)+INDEX(BalePrices[Mid-Point],MATCH(BaleMover[[#This Row],[Bale_ID]],BalePrices[Bale_ID],0))),0))</f>
        <v>0</v>
      </c>
      <c r="Y244" s="397">
        <f>IF(AND(BaleMover[[#This Row],[Scenario_ID]]="S3",BaleMover[[#This Row],[MRF_ID]]="05"),0,IFERROR(BaleMover[[#This Row],[Total_Baled_tons]]*(IF(BaleMover[[#This Row],[Scenario_ID]]="S0",-2,0)+INDEX(BalePrices[High],MATCH(BaleMover[[#This Row],[Bale_ID]],BalePrices[Bale_ID],0))),0))</f>
        <v>0</v>
      </c>
    </row>
    <row r="245" spans="2:25" x14ac:dyDescent="0.2">
      <c r="B245" s="545" t="s">
        <v>873</v>
      </c>
      <c r="C245" s="499" t="s">
        <v>719</v>
      </c>
      <c r="D245" s="499"/>
      <c r="E245" s="499"/>
      <c r="F245" s="499" t="s">
        <v>1994</v>
      </c>
      <c r="G245" s="499" t="s">
        <v>2093</v>
      </c>
      <c r="H245" s="499" t="s">
        <v>1411</v>
      </c>
      <c r="I245" s="499" t="s">
        <v>975</v>
      </c>
      <c r="J245" s="499" t="s">
        <v>976</v>
      </c>
      <c r="K245" s="499" t="s">
        <v>2076</v>
      </c>
      <c r="L245" s="499">
        <v>7</v>
      </c>
      <c r="M245" s="499" t="s">
        <v>2081</v>
      </c>
      <c r="N245" s="499" t="s">
        <v>2056</v>
      </c>
      <c r="O245" s="525">
        <v>0</v>
      </c>
      <c r="P245" s="499" t="s">
        <v>2054</v>
      </c>
      <c r="Q245" s="499"/>
      <c r="R245" s="499"/>
      <c r="S245" s="525"/>
      <c r="T245" s="525">
        <v>0</v>
      </c>
      <c r="U245" s="525">
        <v>1</v>
      </c>
      <c r="V245" s="525" t="s">
        <v>2054</v>
      </c>
      <c r="W245" s="589">
        <f>IF(AND(BaleMover[[#This Row],[Scenario_ID]]="S3",BaleMover[[#This Row],[MRF_ID]]="05"),0,IFERROR(BaleMover[[#This Row],[Total_Baled_tons]]*(IF(BaleMover[[#This Row],[Scenario_ID]]="S0",-2,0)+INDEX(BalePrices[Low],MATCH(BaleMover[[#This Row],[Bale_ID]],BalePrices[Bale_ID],0))),0))</f>
        <v>0</v>
      </c>
      <c r="X245" s="397">
        <f>IF(AND(BaleMover[[#This Row],[Scenario_ID]]="S3",BaleMover[[#This Row],[MRF_ID]]="05"),0,IFERROR(BaleMover[[#This Row],[Total_Baled_tons]]*(IF(BaleMover[[#This Row],[Scenario_ID]]="S0",-2,0)+INDEX(BalePrices[Mid-Point],MATCH(BaleMover[[#This Row],[Bale_ID]],BalePrices[Bale_ID],0))),0))</f>
        <v>0</v>
      </c>
      <c r="Y245" s="397">
        <f>IF(AND(BaleMover[[#This Row],[Scenario_ID]]="S3",BaleMover[[#This Row],[MRF_ID]]="05"),0,IFERROR(BaleMover[[#This Row],[Total_Baled_tons]]*(IF(BaleMover[[#This Row],[Scenario_ID]]="S0",-2,0)+INDEX(BalePrices[High],MATCH(BaleMover[[#This Row],[Bale_ID]],BalePrices[Bale_ID],0))),0))</f>
        <v>0</v>
      </c>
    </row>
    <row r="246" spans="2:25" x14ac:dyDescent="0.2">
      <c r="B246" s="545" t="s">
        <v>876</v>
      </c>
      <c r="C246" s="499" t="s">
        <v>719</v>
      </c>
      <c r="D246" s="499"/>
      <c r="E246" s="499"/>
      <c r="F246" s="499" t="s">
        <v>1994</v>
      </c>
      <c r="G246" s="499" t="s">
        <v>2090</v>
      </c>
      <c r="H246" s="499" t="s">
        <v>1412</v>
      </c>
      <c r="I246" s="499" t="s">
        <v>977</v>
      </c>
      <c r="J246" s="499" t="s">
        <v>864</v>
      </c>
      <c r="K246" s="499" t="s">
        <v>2076</v>
      </c>
      <c r="L246" s="499">
        <v>5</v>
      </c>
      <c r="M246" s="499" t="s">
        <v>2077</v>
      </c>
      <c r="N246" s="499" t="s">
        <v>2058</v>
      </c>
      <c r="O246" s="525">
        <v>47643.937824034962</v>
      </c>
      <c r="P246" s="499">
        <v>50</v>
      </c>
      <c r="Q246" s="499"/>
      <c r="R246" s="499"/>
      <c r="S246" s="525"/>
      <c r="T246" s="525">
        <v>0</v>
      </c>
      <c r="U246" s="525">
        <v>1</v>
      </c>
      <c r="V246" s="525">
        <v>2382196.891201748</v>
      </c>
      <c r="W246" s="589">
        <f>IF(AND(BaleMover[[#This Row],[Scenario_ID]]="S3",BaleMover[[#This Row],[MRF_ID]]="05"),0,IFERROR(BaleMover[[#This Row],[Total_Baled_tons]]*(IF(BaleMover[[#This Row],[Scenario_ID]]="S0",-2,0)+INDEX(BalePrices[Low],MATCH(BaleMover[[#This Row],[Bale_ID]],BalePrices[Bale_ID],0))),0))</f>
        <v>-1048166.6321287692</v>
      </c>
      <c r="X246" s="397">
        <f>IF(AND(BaleMover[[#This Row],[Scenario_ID]]="S3",BaleMover[[#This Row],[MRF_ID]]="05"),0,IFERROR(BaleMover[[#This Row],[Total_Baled_tons]]*(IF(BaleMover[[#This Row],[Scenario_ID]]="S0",-2,0)+INDEX(BalePrices[Mid-Point],MATCH(BaleMover[[#This Row],[Bale_ID]],BalePrices[Bale_ID],0))),0))</f>
        <v>2286909.0155536784</v>
      </c>
      <c r="Y246" s="397">
        <f>IF(AND(BaleMover[[#This Row],[Scenario_ID]]="S3",BaleMover[[#This Row],[MRF_ID]]="05"),0,IFERROR(BaleMover[[#This Row],[Total_Baled_tons]]*(IF(BaleMover[[#This Row],[Scenario_ID]]="S0",-2,0)+INDEX(BalePrices[High],MATCH(BaleMover[[#This Row],[Bale_ID]],BalePrices[Bale_ID],0))),0))</f>
        <v>5621984.6632361254</v>
      </c>
    </row>
    <row r="247" spans="2:25" x14ac:dyDescent="0.2">
      <c r="B247" s="545" t="s">
        <v>875</v>
      </c>
      <c r="C247" s="499" t="s">
        <v>719</v>
      </c>
      <c r="D247" s="499"/>
      <c r="E247" s="499"/>
      <c r="F247" s="499" t="s">
        <v>1994</v>
      </c>
      <c r="G247" s="499" t="s">
        <v>2091</v>
      </c>
      <c r="H247" s="499" t="s">
        <v>1413</v>
      </c>
      <c r="I247" s="499" t="s">
        <v>977</v>
      </c>
      <c r="J247" s="499" t="s">
        <v>864</v>
      </c>
      <c r="K247" s="499" t="s">
        <v>2076</v>
      </c>
      <c r="L247" s="499">
        <v>5</v>
      </c>
      <c r="M247" s="499" t="s">
        <v>2077</v>
      </c>
      <c r="N247" s="499" t="s">
        <v>2058</v>
      </c>
      <c r="O247" s="525">
        <v>16300.899585066343</v>
      </c>
      <c r="P247" s="499">
        <v>50</v>
      </c>
      <c r="Q247" s="499"/>
      <c r="R247" s="499"/>
      <c r="S247" s="525"/>
      <c r="T247" s="525">
        <v>0</v>
      </c>
      <c r="U247" s="525">
        <v>1</v>
      </c>
      <c r="V247" s="525">
        <v>815044.97925331711</v>
      </c>
      <c r="W247" s="589">
        <f>IF(AND(BaleMover[[#This Row],[Scenario_ID]]="S3",BaleMover[[#This Row],[MRF_ID]]="05"),0,IFERROR(BaleMover[[#This Row],[Total_Baled_tons]]*(IF(BaleMover[[#This Row],[Scenario_ID]]="S0",-2,0)+INDEX(BalePrices[Low],MATCH(BaleMover[[#This Row],[Bale_ID]],BalePrices[Bale_ID],0))),0))</f>
        <v>-326017.99170132686</v>
      </c>
      <c r="X247" s="397">
        <f>IF(AND(BaleMover[[#This Row],[Scenario_ID]]="S3",BaleMover[[#This Row],[MRF_ID]]="05"),0,IFERROR(BaleMover[[#This Row],[Total_Baled_tons]]*(IF(BaleMover[[#This Row],[Scenario_ID]]="S0",-2,0)+INDEX(BalePrices[Mid-Point],MATCH(BaleMover[[#This Row],[Bale_ID]],BalePrices[Bale_ID],0))),0))</f>
        <v>815044.97925331711</v>
      </c>
      <c r="Y247" s="397">
        <f>IF(AND(BaleMover[[#This Row],[Scenario_ID]]="S3",BaleMover[[#This Row],[MRF_ID]]="05"),0,IFERROR(BaleMover[[#This Row],[Total_Baled_tons]]*(IF(BaleMover[[#This Row],[Scenario_ID]]="S0",-2,0)+INDEX(BalePrices[High],MATCH(BaleMover[[#This Row],[Bale_ID]],BalePrices[Bale_ID],0))),0))</f>
        <v>1956107.9502079613</v>
      </c>
    </row>
    <row r="248" spans="2:25" x14ac:dyDescent="0.2">
      <c r="B248" s="545" t="s">
        <v>874</v>
      </c>
      <c r="C248" s="499" t="s">
        <v>719</v>
      </c>
      <c r="D248" s="499"/>
      <c r="E248" s="499"/>
      <c r="F248" s="499" t="s">
        <v>1994</v>
      </c>
      <c r="G248" s="499" t="s">
        <v>2092</v>
      </c>
      <c r="H248" s="499" t="s">
        <v>1414</v>
      </c>
      <c r="I248" s="499" t="s">
        <v>977</v>
      </c>
      <c r="J248" s="499" t="s">
        <v>864</v>
      </c>
      <c r="K248" s="499" t="s">
        <v>2076</v>
      </c>
      <c r="L248" s="499">
        <v>5</v>
      </c>
      <c r="M248" s="499" t="s">
        <v>2077</v>
      </c>
      <c r="N248" s="499" t="s">
        <v>2058</v>
      </c>
      <c r="O248" s="525">
        <v>19342.261293734187</v>
      </c>
      <c r="P248" s="499">
        <v>50</v>
      </c>
      <c r="Q248" s="499"/>
      <c r="R248" s="499"/>
      <c r="S248" s="525"/>
      <c r="T248" s="525">
        <v>0</v>
      </c>
      <c r="U248" s="525">
        <v>1</v>
      </c>
      <c r="V248" s="525">
        <v>967113.06468670932</v>
      </c>
      <c r="W248" s="589">
        <f>IF(AND(BaleMover[[#This Row],[Scenario_ID]]="S3",BaleMover[[#This Row],[MRF_ID]]="05"),0,IFERROR(BaleMover[[#This Row],[Total_Baled_tons]]*(IF(BaleMover[[#This Row],[Scenario_ID]]="S0",-2,0)+INDEX(BalePrices[Low],MATCH(BaleMover[[#This Row],[Bale_ID]],BalePrices[Bale_ID],0))),0))</f>
        <v>-386845.22587468376</v>
      </c>
      <c r="X248" s="397">
        <f>IF(AND(BaleMover[[#This Row],[Scenario_ID]]="S3",BaleMover[[#This Row],[MRF_ID]]="05"),0,IFERROR(BaleMover[[#This Row],[Total_Baled_tons]]*(IF(BaleMover[[#This Row],[Scenario_ID]]="S0",-2,0)+INDEX(BalePrices[Mid-Point],MATCH(BaleMover[[#This Row],[Bale_ID]],BalePrices[Bale_ID],0))),0))</f>
        <v>967113.06468670932</v>
      </c>
      <c r="Y248" s="397">
        <f>IF(AND(BaleMover[[#This Row],[Scenario_ID]]="S3",BaleMover[[#This Row],[MRF_ID]]="05"),0,IFERROR(BaleMover[[#This Row],[Total_Baled_tons]]*(IF(BaleMover[[#This Row],[Scenario_ID]]="S0",-2,0)+INDEX(BalePrices[High],MATCH(BaleMover[[#This Row],[Bale_ID]],BalePrices[Bale_ID],0))),0))</f>
        <v>2321071.3552481025</v>
      </c>
    </row>
    <row r="249" spans="2:25" x14ac:dyDescent="0.2">
      <c r="B249" s="545" t="s">
        <v>873</v>
      </c>
      <c r="C249" s="499" t="s">
        <v>719</v>
      </c>
      <c r="D249" s="499"/>
      <c r="E249" s="499"/>
      <c r="F249" s="499" t="s">
        <v>1994</v>
      </c>
      <c r="G249" s="499" t="s">
        <v>2093</v>
      </c>
      <c r="H249" s="499" t="s">
        <v>1415</v>
      </c>
      <c r="I249" s="499" t="s">
        <v>977</v>
      </c>
      <c r="J249" s="499" t="s">
        <v>864</v>
      </c>
      <c r="K249" s="499" t="s">
        <v>2076</v>
      </c>
      <c r="L249" s="499">
        <v>5</v>
      </c>
      <c r="M249" s="499" t="s">
        <v>2077</v>
      </c>
      <c r="N249" s="499" t="s">
        <v>2058</v>
      </c>
      <c r="O249" s="525">
        <v>19338.051438545594</v>
      </c>
      <c r="P249" s="499">
        <v>50</v>
      </c>
      <c r="Q249" s="499"/>
      <c r="R249" s="499"/>
      <c r="S249" s="525"/>
      <c r="T249" s="525">
        <v>0</v>
      </c>
      <c r="U249" s="525">
        <v>1</v>
      </c>
      <c r="V249" s="525">
        <v>966902.5719272797</v>
      </c>
      <c r="W249" s="589">
        <f>IF(AND(BaleMover[[#This Row],[Scenario_ID]]="S3",BaleMover[[#This Row],[MRF_ID]]="05"),0,IFERROR(BaleMover[[#This Row],[Total_Baled_tons]]*(IF(BaleMover[[#This Row],[Scenario_ID]]="S0",-2,0)+INDEX(BalePrices[Low],MATCH(BaleMover[[#This Row],[Bale_ID]],BalePrices[Bale_ID],0))),0))</f>
        <v>-386761.02877091186</v>
      </c>
      <c r="X249" s="397">
        <f>IF(AND(BaleMover[[#This Row],[Scenario_ID]]="S3",BaleMover[[#This Row],[MRF_ID]]="05"),0,IFERROR(BaleMover[[#This Row],[Total_Baled_tons]]*(IF(BaleMover[[#This Row],[Scenario_ID]]="S0",-2,0)+INDEX(BalePrices[Mid-Point],MATCH(BaleMover[[#This Row],[Bale_ID]],BalePrices[Bale_ID],0))),0))</f>
        <v>966902.5719272797</v>
      </c>
      <c r="Y249" s="397">
        <f>IF(AND(BaleMover[[#This Row],[Scenario_ID]]="S3",BaleMover[[#This Row],[MRF_ID]]="05"),0,IFERROR(BaleMover[[#This Row],[Total_Baled_tons]]*(IF(BaleMover[[#This Row],[Scenario_ID]]="S0",-2,0)+INDEX(BalePrices[High],MATCH(BaleMover[[#This Row],[Bale_ID]],BalePrices[Bale_ID],0))),0))</f>
        <v>2320566.1726254714</v>
      </c>
    </row>
    <row r="250" spans="2:25" x14ac:dyDescent="0.2">
      <c r="B250" s="545" t="s">
        <v>876</v>
      </c>
      <c r="C250" s="499" t="s">
        <v>719</v>
      </c>
      <c r="D250" s="499"/>
      <c r="E250" s="499"/>
      <c r="F250" s="499" t="s">
        <v>1994</v>
      </c>
      <c r="G250" s="499" t="s">
        <v>2090</v>
      </c>
      <c r="H250" s="499" t="s">
        <v>1416</v>
      </c>
      <c r="I250" s="499" t="s">
        <v>978</v>
      </c>
      <c r="J250" s="499" t="s">
        <v>1892</v>
      </c>
      <c r="K250" s="499" t="s">
        <v>2076</v>
      </c>
      <c r="L250" s="499">
        <v>5</v>
      </c>
      <c r="M250" s="499" t="s">
        <v>2077</v>
      </c>
      <c r="N250" s="499" t="s">
        <v>2058</v>
      </c>
      <c r="O250" s="525">
        <v>0</v>
      </c>
      <c r="P250" s="499" t="s">
        <v>2054</v>
      </c>
      <c r="Q250" s="499"/>
      <c r="R250" s="499"/>
      <c r="S250" s="525"/>
      <c r="T250" s="525">
        <v>0</v>
      </c>
      <c r="U250" s="525">
        <v>1</v>
      </c>
      <c r="V250" s="525" t="s">
        <v>2054</v>
      </c>
      <c r="W250" s="589">
        <f>IF(AND(BaleMover[[#This Row],[Scenario_ID]]="S3",BaleMover[[#This Row],[MRF_ID]]="05"),0,IFERROR(BaleMover[[#This Row],[Total_Baled_tons]]*(IF(BaleMover[[#This Row],[Scenario_ID]]="S0",-2,0)+INDEX(BalePrices[Low],MATCH(BaleMover[[#This Row],[Bale_ID]],BalePrices[Bale_ID],0))),0))</f>
        <v>0</v>
      </c>
      <c r="X250" s="397">
        <f>IF(AND(BaleMover[[#This Row],[Scenario_ID]]="S3",BaleMover[[#This Row],[MRF_ID]]="05"),0,IFERROR(BaleMover[[#This Row],[Total_Baled_tons]]*(IF(BaleMover[[#This Row],[Scenario_ID]]="S0",-2,0)+INDEX(BalePrices[Mid-Point],MATCH(BaleMover[[#This Row],[Bale_ID]],BalePrices[Bale_ID],0))),0))</f>
        <v>0</v>
      </c>
      <c r="Y250" s="397">
        <f>IF(AND(BaleMover[[#This Row],[Scenario_ID]]="S3",BaleMover[[#This Row],[MRF_ID]]="05"),0,IFERROR(BaleMover[[#This Row],[Total_Baled_tons]]*(IF(BaleMover[[#This Row],[Scenario_ID]]="S0",-2,0)+INDEX(BalePrices[High],MATCH(BaleMover[[#This Row],[Bale_ID]],BalePrices[Bale_ID],0))),0))</f>
        <v>0</v>
      </c>
    </row>
    <row r="251" spans="2:25" x14ac:dyDescent="0.2">
      <c r="B251" s="545" t="s">
        <v>875</v>
      </c>
      <c r="C251" s="499" t="s">
        <v>719</v>
      </c>
      <c r="D251" s="499"/>
      <c r="E251" s="499"/>
      <c r="F251" s="499" t="s">
        <v>1994</v>
      </c>
      <c r="G251" s="499" t="s">
        <v>2091</v>
      </c>
      <c r="H251" s="499" t="s">
        <v>1417</v>
      </c>
      <c r="I251" s="499" t="s">
        <v>978</v>
      </c>
      <c r="J251" s="499" t="s">
        <v>1892</v>
      </c>
      <c r="K251" s="499" t="s">
        <v>2076</v>
      </c>
      <c r="L251" s="499">
        <v>5</v>
      </c>
      <c r="M251" s="499" t="s">
        <v>2077</v>
      </c>
      <c r="N251" s="499" t="s">
        <v>2058</v>
      </c>
      <c r="O251" s="525">
        <v>0</v>
      </c>
      <c r="P251" s="499" t="s">
        <v>2054</v>
      </c>
      <c r="Q251" s="499"/>
      <c r="R251" s="499"/>
      <c r="S251" s="525"/>
      <c r="T251" s="525">
        <v>0</v>
      </c>
      <c r="U251" s="525">
        <v>1</v>
      </c>
      <c r="V251" s="525" t="s">
        <v>2054</v>
      </c>
      <c r="W251" s="589">
        <f>IF(AND(BaleMover[[#This Row],[Scenario_ID]]="S3",BaleMover[[#This Row],[MRF_ID]]="05"),0,IFERROR(BaleMover[[#This Row],[Total_Baled_tons]]*(IF(BaleMover[[#This Row],[Scenario_ID]]="S0",-2,0)+INDEX(BalePrices[Low],MATCH(BaleMover[[#This Row],[Bale_ID]],BalePrices[Bale_ID],0))),0))</f>
        <v>0</v>
      </c>
      <c r="X251" s="397">
        <f>IF(AND(BaleMover[[#This Row],[Scenario_ID]]="S3",BaleMover[[#This Row],[MRF_ID]]="05"),0,IFERROR(BaleMover[[#This Row],[Total_Baled_tons]]*(IF(BaleMover[[#This Row],[Scenario_ID]]="S0",-2,0)+INDEX(BalePrices[Mid-Point],MATCH(BaleMover[[#This Row],[Bale_ID]],BalePrices[Bale_ID],0))),0))</f>
        <v>0</v>
      </c>
      <c r="Y251" s="397">
        <f>IF(AND(BaleMover[[#This Row],[Scenario_ID]]="S3",BaleMover[[#This Row],[MRF_ID]]="05"),0,IFERROR(BaleMover[[#This Row],[Total_Baled_tons]]*(IF(BaleMover[[#This Row],[Scenario_ID]]="S0",-2,0)+INDEX(BalePrices[High],MATCH(BaleMover[[#This Row],[Bale_ID]],BalePrices[Bale_ID],0))),0))</f>
        <v>0</v>
      </c>
    </row>
    <row r="252" spans="2:25" x14ac:dyDescent="0.2">
      <c r="B252" s="545" t="s">
        <v>874</v>
      </c>
      <c r="C252" s="499" t="s">
        <v>719</v>
      </c>
      <c r="D252" s="499"/>
      <c r="E252" s="499"/>
      <c r="F252" s="499" t="s">
        <v>1994</v>
      </c>
      <c r="G252" s="499" t="s">
        <v>2092</v>
      </c>
      <c r="H252" s="499" t="s">
        <v>1418</v>
      </c>
      <c r="I252" s="499" t="s">
        <v>978</v>
      </c>
      <c r="J252" s="499" t="s">
        <v>1892</v>
      </c>
      <c r="K252" s="499" t="s">
        <v>2076</v>
      </c>
      <c r="L252" s="499">
        <v>5</v>
      </c>
      <c r="M252" s="499" t="s">
        <v>2077</v>
      </c>
      <c r="N252" s="499" t="s">
        <v>2058</v>
      </c>
      <c r="O252" s="525">
        <v>0</v>
      </c>
      <c r="P252" s="499" t="s">
        <v>2054</v>
      </c>
      <c r="Q252" s="499"/>
      <c r="R252" s="499"/>
      <c r="S252" s="525"/>
      <c r="T252" s="525">
        <v>0</v>
      </c>
      <c r="U252" s="525">
        <v>1</v>
      </c>
      <c r="V252" s="525" t="s">
        <v>2054</v>
      </c>
      <c r="W252" s="589">
        <f>IF(AND(BaleMover[[#This Row],[Scenario_ID]]="S3",BaleMover[[#This Row],[MRF_ID]]="05"),0,IFERROR(BaleMover[[#This Row],[Total_Baled_tons]]*(IF(BaleMover[[#This Row],[Scenario_ID]]="S0",-2,0)+INDEX(BalePrices[Low],MATCH(BaleMover[[#This Row],[Bale_ID]],BalePrices[Bale_ID],0))),0))</f>
        <v>0</v>
      </c>
      <c r="X252" s="397">
        <f>IF(AND(BaleMover[[#This Row],[Scenario_ID]]="S3",BaleMover[[#This Row],[MRF_ID]]="05"),0,IFERROR(BaleMover[[#This Row],[Total_Baled_tons]]*(IF(BaleMover[[#This Row],[Scenario_ID]]="S0",-2,0)+INDEX(BalePrices[Mid-Point],MATCH(BaleMover[[#This Row],[Bale_ID]],BalePrices[Bale_ID],0))),0))</f>
        <v>0</v>
      </c>
      <c r="Y252" s="397">
        <f>IF(AND(BaleMover[[#This Row],[Scenario_ID]]="S3",BaleMover[[#This Row],[MRF_ID]]="05"),0,IFERROR(BaleMover[[#This Row],[Total_Baled_tons]]*(IF(BaleMover[[#This Row],[Scenario_ID]]="S0",-2,0)+INDEX(BalePrices[High],MATCH(BaleMover[[#This Row],[Bale_ID]],BalePrices[Bale_ID],0))),0))</f>
        <v>0</v>
      </c>
    </row>
    <row r="253" spans="2:25" x14ac:dyDescent="0.2">
      <c r="B253" s="545" t="s">
        <v>873</v>
      </c>
      <c r="C253" s="499" t="s">
        <v>719</v>
      </c>
      <c r="D253" s="499"/>
      <c r="E253" s="499"/>
      <c r="F253" s="499" t="s">
        <v>1994</v>
      </c>
      <c r="G253" s="499" t="s">
        <v>2093</v>
      </c>
      <c r="H253" s="499" t="s">
        <v>1419</v>
      </c>
      <c r="I253" s="499" t="s">
        <v>978</v>
      </c>
      <c r="J253" s="499" t="s">
        <v>1892</v>
      </c>
      <c r="K253" s="499" t="s">
        <v>2076</v>
      </c>
      <c r="L253" s="499">
        <v>5</v>
      </c>
      <c r="M253" s="499" t="s">
        <v>2077</v>
      </c>
      <c r="N253" s="499" t="s">
        <v>2058</v>
      </c>
      <c r="O253" s="525">
        <v>0</v>
      </c>
      <c r="P253" s="499" t="s">
        <v>2054</v>
      </c>
      <c r="Q253" s="499"/>
      <c r="R253" s="499"/>
      <c r="S253" s="525"/>
      <c r="T253" s="525">
        <v>0</v>
      </c>
      <c r="U253" s="525">
        <v>1</v>
      </c>
      <c r="V253" s="525" t="s">
        <v>2054</v>
      </c>
      <c r="W253" s="589">
        <f>IF(AND(BaleMover[[#This Row],[Scenario_ID]]="S3",BaleMover[[#This Row],[MRF_ID]]="05"),0,IFERROR(BaleMover[[#This Row],[Total_Baled_tons]]*(IF(BaleMover[[#This Row],[Scenario_ID]]="S0",-2,0)+INDEX(BalePrices[Low],MATCH(BaleMover[[#This Row],[Bale_ID]],BalePrices[Bale_ID],0))),0))</f>
        <v>0</v>
      </c>
      <c r="X253" s="397">
        <f>IF(AND(BaleMover[[#This Row],[Scenario_ID]]="S3",BaleMover[[#This Row],[MRF_ID]]="05"),0,IFERROR(BaleMover[[#This Row],[Total_Baled_tons]]*(IF(BaleMover[[#This Row],[Scenario_ID]]="S0",-2,0)+INDEX(BalePrices[Mid-Point],MATCH(BaleMover[[#This Row],[Bale_ID]],BalePrices[Bale_ID],0))),0))</f>
        <v>0</v>
      </c>
      <c r="Y253" s="397">
        <f>IF(AND(BaleMover[[#This Row],[Scenario_ID]]="S3",BaleMover[[#This Row],[MRF_ID]]="05"),0,IFERROR(BaleMover[[#This Row],[Total_Baled_tons]]*(IF(BaleMover[[#This Row],[Scenario_ID]]="S0",-2,0)+INDEX(BalePrices[High],MATCH(BaleMover[[#This Row],[Bale_ID]],BalePrices[Bale_ID],0))),0))</f>
        <v>0</v>
      </c>
    </row>
    <row r="254" spans="2:25" x14ac:dyDescent="0.2">
      <c r="B254" s="545" t="s">
        <v>876</v>
      </c>
      <c r="C254" s="499" t="s">
        <v>719</v>
      </c>
      <c r="D254" s="499"/>
      <c r="E254" s="499"/>
      <c r="F254" s="499" t="s">
        <v>1994</v>
      </c>
      <c r="G254" s="499" t="s">
        <v>2090</v>
      </c>
      <c r="H254" s="499" t="s">
        <v>1420</v>
      </c>
      <c r="I254" s="499" t="s">
        <v>979</v>
      </c>
      <c r="J254" s="499" t="s">
        <v>980</v>
      </c>
      <c r="K254" s="499" t="s">
        <v>2076</v>
      </c>
      <c r="L254" s="499">
        <v>7</v>
      </c>
      <c r="M254" s="499" t="s">
        <v>2081</v>
      </c>
      <c r="N254" s="499" t="s">
        <v>2056</v>
      </c>
      <c r="O254" s="525">
        <v>339.25389192649311</v>
      </c>
      <c r="P254" s="499">
        <v>145</v>
      </c>
      <c r="Q254" s="499"/>
      <c r="R254" s="499"/>
      <c r="S254" s="525"/>
      <c r="T254" s="525">
        <v>0</v>
      </c>
      <c r="U254" s="525">
        <v>1</v>
      </c>
      <c r="V254" s="525">
        <v>49191.814329341498</v>
      </c>
      <c r="W254" s="589">
        <f>IF(AND(BaleMover[[#This Row],[Scenario_ID]]="S3",BaleMover[[#This Row],[MRF_ID]]="05"),0,IFERROR(BaleMover[[#This Row],[Total_Baled_tons]]*(IF(BaleMover[[#This Row],[Scenario_ID]]="S0",-2,0)+INDEX(BalePrices[Low],MATCH(BaleMover[[#This Row],[Bale_ID]],BalePrices[Bale_ID],0))),0))</f>
        <v>4410.3005950444103</v>
      </c>
      <c r="X254" s="397">
        <f>IF(AND(BaleMover[[#This Row],[Scenario_ID]]="S3",BaleMover[[#This Row],[MRF_ID]]="05"),0,IFERROR(BaleMover[[#This Row],[Total_Baled_tons]]*(IF(BaleMover[[#This Row],[Scenario_ID]]="S0",-2,0)+INDEX(BalePrices[Mid-Point],MATCH(BaleMover[[#This Row],[Bale_ID]],BalePrices[Bale_ID],0))),0))</f>
        <v>22221.1299211853</v>
      </c>
      <c r="Y254" s="397">
        <f>IF(AND(BaleMover[[#This Row],[Scenario_ID]]="S3",BaleMover[[#This Row],[MRF_ID]]="05"),0,IFERROR(BaleMover[[#This Row],[Total_Baled_tons]]*(IF(BaleMover[[#This Row],[Scenario_ID]]="S0",-2,0)+INDEX(BalePrices[High],MATCH(BaleMover[[#This Row],[Bale_ID]],BalePrices[Bale_ID],0))),0))</f>
        <v>40031.959247326187</v>
      </c>
    </row>
    <row r="255" spans="2:25" x14ac:dyDescent="0.2">
      <c r="B255" s="545" t="s">
        <v>875</v>
      </c>
      <c r="C255" s="499" t="s">
        <v>719</v>
      </c>
      <c r="D255" s="499"/>
      <c r="E255" s="499"/>
      <c r="F255" s="499" t="s">
        <v>1994</v>
      </c>
      <c r="G255" s="499" t="s">
        <v>2091</v>
      </c>
      <c r="H255" s="499" t="s">
        <v>1421</v>
      </c>
      <c r="I255" s="499" t="s">
        <v>979</v>
      </c>
      <c r="J255" s="499" t="s">
        <v>980</v>
      </c>
      <c r="K255" s="499" t="s">
        <v>2076</v>
      </c>
      <c r="L255" s="499">
        <v>7</v>
      </c>
      <c r="M255" s="499" t="s">
        <v>2081</v>
      </c>
      <c r="N255" s="499" t="s">
        <v>2056</v>
      </c>
      <c r="O255" s="525">
        <v>367.06880676786102</v>
      </c>
      <c r="P255" s="499">
        <v>145</v>
      </c>
      <c r="Q255" s="499"/>
      <c r="R255" s="499"/>
      <c r="S255" s="525"/>
      <c r="T255" s="525">
        <v>0</v>
      </c>
      <c r="U255" s="525">
        <v>1</v>
      </c>
      <c r="V255" s="525">
        <v>53224.976981339845</v>
      </c>
      <c r="W255" s="589">
        <f>IF(AND(BaleMover[[#This Row],[Scenario_ID]]="S3",BaleMover[[#This Row],[MRF_ID]]="05"),0,IFERROR(BaleMover[[#This Row],[Total_Baled_tons]]*(IF(BaleMover[[#This Row],[Scenario_ID]]="S0",-2,0)+INDEX(BalePrices[Low],MATCH(BaleMover[[#This Row],[Bale_ID]],BalePrices[Bale_ID],0))),0))</f>
        <v>5506.0321015179152</v>
      </c>
      <c r="X255" s="397">
        <f>IF(AND(BaleMover[[#This Row],[Scenario_ID]]="S3",BaleMover[[#This Row],[MRF_ID]]="05"),0,IFERROR(BaleMover[[#This Row],[Total_Baled_tons]]*(IF(BaleMover[[#This Row],[Scenario_ID]]="S0",-2,0)+INDEX(BalePrices[Mid-Point],MATCH(BaleMover[[#This Row],[Bale_ID]],BalePrices[Bale_ID],0))),0))</f>
        <v>24777.144456830618</v>
      </c>
      <c r="Y255" s="397">
        <f>IF(AND(BaleMover[[#This Row],[Scenario_ID]]="S3",BaleMover[[#This Row],[MRF_ID]]="05"),0,IFERROR(BaleMover[[#This Row],[Total_Baled_tons]]*(IF(BaleMover[[#This Row],[Scenario_ID]]="S0",-2,0)+INDEX(BalePrices[High],MATCH(BaleMover[[#This Row],[Bale_ID]],BalePrices[Bale_ID],0))),0))</f>
        <v>44048.256812143321</v>
      </c>
    </row>
    <row r="256" spans="2:25" x14ac:dyDescent="0.2">
      <c r="B256" s="545" t="s">
        <v>874</v>
      </c>
      <c r="C256" s="499" t="s">
        <v>719</v>
      </c>
      <c r="D256" s="499"/>
      <c r="E256" s="499"/>
      <c r="F256" s="499" t="s">
        <v>1994</v>
      </c>
      <c r="G256" s="499" t="s">
        <v>2092</v>
      </c>
      <c r="H256" s="499" t="s">
        <v>1422</v>
      </c>
      <c r="I256" s="499" t="s">
        <v>979</v>
      </c>
      <c r="J256" s="499" t="s">
        <v>980</v>
      </c>
      <c r="K256" s="499" t="s">
        <v>2076</v>
      </c>
      <c r="L256" s="499">
        <v>7</v>
      </c>
      <c r="M256" s="499" t="s">
        <v>2081</v>
      </c>
      <c r="N256" s="499" t="s">
        <v>2056</v>
      </c>
      <c r="O256" s="525">
        <v>465.02682876920665</v>
      </c>
      <c r="P256" s="499">
        <v>145</v>
      </c>
      <c r="Q256" s="499"/>
      <c r="R256" s="499"/>
      <c r="S256" s="525"/>
      <c r="T256" s="525">
        <v>0</v>
      </c>
      <c r="U256" s="525">
        <v>1</v>
      </c>
      <c r="V256" s="525">
        <v>67428.890171534964</v>
      </c>
      <c r="W256" s="589">
        <f>IF(AND(BaleMover[[#This Row],[Scenario_ID]]="S3",BaleMover[[#This Row],[MRF_ID]]="05"),0,IFERROR(BaleMover[[#This Row],[Total_Baled_tons]]*(IF(BaleMover[[#This Row],[Scenario_ID]]="S0",-2,0)+INDEX(BalePrices[Low],MATCH(BaleMover[[#This Row],[Bale_ID]],BalePrices[Bale_ID],0))),0))</f>
        <v>6975.4024315380993</v>
      </c>
      <c r="X256" s="397">
        <f>IF(AND(BaleMover[[#This Row],[Scenario_ID]]="S3",BaleMover[[#This Row],[MRF_ID]]="05"),0,IFERROR(BaleMover[[#This Row],[Total_Baled_tons]]*(IF(BaleMover[[#This Row],[Scenario_ID]]="S0",-2,0)+INDEX(BalePrices[Mid-Point],MATCH(BaleMover[[#This Row],[Bale_ID]],BalePrices[Bale_ID],0))),0))</f>
        <v>31389.310941921449</v>
      </c>
      <c r="Y256" s="397">
        <f>IF(AND(BaleMover[[#This Row],[Scenario_ID]]="S3",BaleMover[[#This Row],[MRF_ID]]="05"),0,IFERROR(BaleMover[[#This Row],[Total_Baled_tons]]*(IF(BaleMover[[#This Row],[Scenario_ID]]="S0",-2,0)+INDEX(BalePrices[High],MATCH(BaleMover[[#This Row],[Bale_ID]],BalePrices[Bale_ID],0))),0))</f>
        <v>55803.219452304795</v>
      </c>
    </row>
    <row r="257" spans="2:25" x14ac:dyDescent="0.2">
      <c r="B257" s="545" t="s">
        <v>873</v>
      </c>
      <c r="C257" s="499" t="s">
        <v>719</v>
      </c>
      <c r="D257" s="499"/>
      <c r="E257" s="499"/>
      <c r="F257" s="499" t="s">
        <v>1994</v>
      </c>
      <c r="G257" s="499" t="s">
        <v>2093</v>
      </c>
      <c r="H257" s="499" t="s">
        <v>1423</v>
      </c>
      <c r="I257" s="499" t="s">
        <v>979</v>
      </c>
      <c r="J257" s="499" t="s">
        <v>980</v>
      </c>
      <c r="K257" s="499" t="s">
        <v>2076</v>
      </c>
      <c r="L257" s="499">
        <v>7</v>
      </c>
      <c r="M257" s="499" t="s">
        <v>2081</v>
      </c>
      <c r="N257" s="499" t="s">
        <v>2056</v>
      </c>
      <c r="O257" s="525">
        <v>464.90011793968762</v>
      </c>
      <c r="P257" s="499">
        <v>145</v>
      </c>
      <c r="Q257" s="499"/>
      <c r="R257" s="499"/>
      <c r="S257" s="525"/>
      <c r="T257" s="525">
        <v>0</v>
      </c>
      <c r="U257" s="525">
        <v>1</v>
      </c>
      <c r="V257" s="525">
        <v>67410.517101254707</v>
      </c>
      <c r="W257" s="589">
        <f>IF(AND(BaleMover[[#This Row],[Scenario_ID]]="S3",BaleMover[[#This Row],[MRF_ID]]="05"),0,IFERROR(BaleMover[[#This Row],[Total_Baled_tons]]*(IF(BaleMover[[#This Row],[Scenario_ID]]="S0",-2,0)+INDEX(BalePrices[Low],MATCH(BaleMover[[#This Row],[Bale_ID]],BalePrices[Bale_ID],0))),0))</f>
        <v>6973.5017690953146</v>
      </c>
      <c r="X257" s="397">
        <f>IF(AND(BaleMover[[#This Row],[Scenario_ID]]="S3",BaleMover[[#This Row],[MRF_ID]]="05"),0,IFERROR(BaleMover[[#This Row],[Total_Baled_tons]]*(IF(BaleMover[[#This Row],[Scenario_ID]]="S0",-2,0)+INDEX(BalePrices[Mid-Point],MATCH(BaleMover[[#This Row],[Bale_ID]],BalePrices[Bale_ID],0))),0))</f>
        <v>31380.757960928913</v>
      </c>
      <c r="Y257" s="397">
        <f>IF(AND(BaleMover[[#This Row],[Scenario_ID]]="S3",BaleMover[[#This Row],[MRF_ID]]="05"),0,IFERROR(BaleMover[[#This Row],[Total_Baled_tons]]*(IF(BaleMover[[#This Row],[Scenario_ID]]="S0",-2,0)+INDEX(BalePrices[High],MATCH(BaleMover[[#This Row],[Bale_ID]],BalePrices[Bale_ID],0))),0))</f>
        <v>55788.014152762516</v>
      </c>
    </row>
    <row r="258" spans="2:25" x14ac:dyDescent="0.2">
      <c r="B258" s="545" t="s">
        <v>876</v>
      </c>
      <c r="C258" s="499" t="s">
        <v>719</v>
      </c>
      <c r="D258" s="499"/>
      <c r="E258" s="499"/>
      <c r="F258" s="499" t="s">
        <v>1994</v>
      </c>
      <c r="G258" s="499" t="s">
        <v>2090</v>
      </c>
      <c r="H258" s="499" t="s">
        <v>1424</v>
      </c>
      <c r="I258" s="499" t="s">
        <v>981</v>
      </c>
      <c r="J258" s="499" t="s">
        <v>3674</v>
      </c>
      <c r="K258" s="499" t="s">
        <v>2076</v>
      </c>
      <c r="L258" s="499">
        <v>13</v>
      </c>
      <c r="M258" s="499" t="s">
        <v>2082</v>
      </c>
      <c r="N258" s="499" t="s">
        <v>2060</v>
      </c>
      <c r="O258" s="525">
        <v>0</v>
      </c>
      <c r="P258" s="499" t="s">
        <v>2054</v>
      </c>
      <c r="Q258" s="499"/>
      <c r="R258" s="499"/>
      <c r="S258" s="525"/>
      <c r="T258" s="525">
        <v>0</v>
      </c>
      <c r="U258" s="525">
        <v>1</v>
      </c>
      <c r="V258" s="525" t="s">
        <v>2054</v>
      </c>
      <c r="W258" s="589">
        <f>IF(AND(BaleMover[[#This Row],[Scenario_ID]]="S3",BaleMover[[#This Row],[MRF_ID]]="05"),0,IFERROR(BaleMover[[#This Row],[Total_Baled_tons]]*(IF(BaleMover[[#This Row],[Scenario_ID]]="S0",-2,0)+INDEX(BalePrices[Low],MATCH(BaleMover[[#This Row],[Bale_ID]],BalePrices[Bale_ID],0))),0))</f>
        <v>0</v>
      </c>
      <c r="X258" s="397">
        <f>IF(AND(BaleMover[[#This Row],[Scenario_ID]]="S3",BaleMover[[#This Row],[MRF_ID]]="05"),0,IFERROR(BaleMover[[#This Row],[Total_Baled_tons]]*(IF(BaleMover[[#This Row],[Scenario_ID]]="S0",-2,0)+INDEX(BalePrices[Mid-Point],MATCH(BaleMover[[#This Row],[Bale_ID]],BalePrices[Bale_ID],0))),0))</f>
        <v>0</v>
      </c>
      <c r="Y258" s="397">
        <f>IF(AND(BaleMover[[#This Row],[Scenario_ID]]="S3",BaleMover[[#This Row],[MRF_ID]]="05"),0,IFERROR(BaleMover[[#This Row],[Total_Baled_tons]]*(IF(BaleMover[[#This Row],[Scenario_ID]]="S0",-2,0)+INDEX(BalePrices[High],MATCH(BaleMover[[#This Row],[Bale_ID]],BalePrices[Bale_ID],0))),0))</f>
        <v>0</v>
      </c>
    </row>
    <row r="259" spans="2:25" x14ac:dyDescent="0.2">
      <c r="B259" s="545" t="s">
        <v>875</v>
      </c>
      <c r="C259" s="499" t="s">
        <v>719</v>
      </c>
      <c r="D259" s="499"/>
      <c r="E259" s="499"/>
      <c r="F259" s="499" t="s">
        <v>1994</v>
      </c>
      <c r="G259" s="499" t="s">
        <v>2091</v>
      </c>
      <c r="H259" s="499" t="s">
        <v>1425</v>
      </c>
      <c r="I259" s="499" t="s">
        <v>981</v>
      </c>
      <c r="J259" s="499" t="s">
        <v>3674</v>
      </c>
      <c r="K259" s="499" t="s">
        <v>2076</v>
      </c>
      <c r="L259" s="499">
        <v>13</v>
      </c>
      <c r="M259" s="499" t="s">
        <v>2082</v>
      </c>
      <c r="N259" s="499" t="s">
        <v>2060</v>
      </c>
      <c r="O259" s="525">
        <v>0</v>
      </c>
      <c r="P259" s="499" t="s">
        <v>2054</v>
      </c>
      <c r="Q259" s="499"/>
      <c r="R259" s="499"/>
      <c r="S259" s="525"/>
      <c r="T259" s="525">
        <v>0</v>
      </c>
      <c r="U259" s="525">
        <v>1</v>
      </c>
      <c r="V259" s="525" t="s">
        <v>2054</v>
      </c>
      <c r="W259" s="589">
        <f>IF(AND(BaleMover[[#This Row],[Scenario_ID]]="S3",BaleMover[[#This Row],[MRF_ID]]="05"),0,IFERROR(BaleMover[[#This Row],[Total_Baled_tons]]*(IF(BaleMover[[#This Row],[Scenario_ID]]="S0",-2,0)+INDEX(BalePrices[Low],MATCH(BaleMover[[#This Row],[Bale_ID]],BalePrices[Bale_ID],0))),0))</f>
        <v>0</v>
      </c>
      <c r="X259" s="397">
        <f>IF(AND(BaleMover[[#This Row],[Scenario_ID]]="S3",BaleMover[[#This Row],[MRF_ID]]="05"),0,IFERROR(BaleMover[[#This Row],[Total_Baled_tons]]*(IF(BaleMover[[#This Row],[Scenario_ID]]="S0",-2,0)+INDEX(BalePrices[Mid-Point],MATCH(BaleMover[[#This Row],[Bale_ID]],BalePrices[Bale_ID],0))),0))</f>
        <v>0</v>
      </c>
      <c r="Y259" s="397">
        <f>IF(AND(BaleMover[[#This Row],[Scenario_ID]]="S3",BaleMover[[#This Row],[MRF_ID]]="05"),0,IFERROR(BaleMover[[#This Row],[Total_Baled_tons]]*(IF(BaleMover[[#This Row],[Scenario_ID]]="S0",-2,0)+INDEX(BalePrices[High],MATCH(BaleMover[[#This Row],[Bale_ID]],BalePrices[Bale_ID],0))),0))</f>
        <v>0</v>
      </c>
    </row>
    <row r="260" spans="2:25" x14ac:dyDescent="0.2">
      <c r="B260" s="545" t="s">
        <v>874</v>
      </c>
      <c r="C260" s="499" t="s">
        <v>719</v>
      </c>
      <c r="D260" s="499"/>
      <c r="E260" s="499"/>
      <c r="F260" s="499" t="s">
        <v>1994</v>
      </c>
      <c r="G260" s="499" t="s">
        <v>2092</v>
      </c>
      <c r="H260" s="499" t="s">
        <v>1426</v>
      </c>
      <c r="I260" s="499" t="s">
        <v>981</v>
      </c>
      <c r="J260" s="499" t="s">
        <v>3674</v>
      </c>
      <c r="K260" s="499" t="s">
        <v>2076</v>
      </c>
      <c r="L260" s="499">
        <v>13</v>
      </c>
      <c r="M260" s="499" t="s">
        <v>2082</v>
      </c>
      <c r="N260" s="499" t="s">
        <v>2060</v>
      </c>
      <c r="O260" s="525">
        <v>0</v>
      </c>
      <c r="P260" s="499" t="s">
        <v>2054</v>
      </c>
      <c r="Q260" s="499"/>
      <c r="R260" s="499"/>
      <c r="S260" s="525"/>
      <c r="T260" s="525">
        <v>0</v>
      </c>
      <c r="U260" s="525">
        <v>1</v>
      </c>
      <c r="V260" s="525" t="s">
        <v>2054</v>
      </c>
      <c r="W260" s="589">
        <f>IF(AND(BaleMover[[#This Row],[Scenario_ID]]="S3",BaleMover[[#This Row],[MRF_ID]]="05"),0,IFERROR(BaleMover[[#This Row],[Total_Baled_tons]]*(IF(BaleMover[[#This Row],[Scenario_ID]]="S0",-2,0)+INDEX(BalePrices[Low],MATCH(BaleMover[[#This Row],[Bale_ID]],BalePrices[Bale_ID],0))),0))</f>
        <v>0</v>
      </c>
      <c r="X260" s="397">
        <f>IF(AND(BaleMover[[#This Row],[Scenario_ID]]="S3",BaleMover[[#This Row],[MRF_ID]]="05"),0,IFERROR(BaleMover[[#This Row],[Total_Baled_tons]]*(IF(BaleMover[[#This Row],[Scenario_ID]]="S0",-2,0)+INDEX(BalePrices[Mid-Point],MATCH(BaleMover[[#This Row],[Bale_ID]],BalePrices[Bale_ID],0))),0))</f>
        <v>0</v>
      </c>
      <c r="Y260" s="397">
        <f>IF(AND(BaleMover[[#This Row],[Scenario_ID]]="S3",BaleMover[[#This Row],[MRF_ID]]="05"),0,IFERROR(BaleMover[[#This Row],[Total_Baled_tons]]*(IF(BaleMover[[#This Row],[Scenario_ID]]="S0",-2,0)+INDEX(BalePrices[High],MATCH(BaleMover[[#This Row],[Bale_ID]],BalePrices[Bale_ID],0))),0))</f>
        <v>0</v>
      </c>
    </row>
    <row r="261" spans="2:25" x14ac:dyDescent="0.2">
      <c r="B261" s="545" t="s">
        <v>873</v>
      </c>
      <c r="C261" s="499" t="s">
        <v>719</v>
      </c>
      <c r="D261" s="499"/>
      <c r="E261" s="499"/>
      <c r="F261" s="499" t="s">
        <v>1994</v>
      </c>
      <c r="G261" s="499" t="s">
        <v>2093</v>
      </c>
      <c r="H261" s="499" t="s">
        <v>1427</v>
      </c>
      <c r="I261" s="499" t="s">
        <v>981</v>
      </c>
      <c r="J261" s="499" t="s">
        <v>3674</v>
      </c>
      <c r="K261" s="499" t="s">
        <v>2076</v>
      </c>
      <c r="L261" s="499">
        <v>13</v>
      </c>
      <c r="M261" s="499" t="s">
        <v>2082</v>
      </c>
      <c r="N261" s="499" t="s">
        <v>2060</v>
      </c>
      <c r="O261" s="525">
        <v>0</v>
      </c>
      <c r="P261" s="499" t="s">
        <v>2054</v>
      </c>
      <c r="Q261" s="499"/>
      <c r="R261" s="499"/>
      <c r="S261" s="525"/>
      <c r="T261" s="525">
        <v>0</v>
      </c>
      <c r="U261" s="525">
        <v>1</v>
      </c>
      <c r="V261" s="525" t="s">
        <v>2054</v>
      </c>
      <c r="W261" s="589">
        <f>IF(AND(BaleMover[[#This Row],[Scenario_ID]]="S3",BaleMover[[#This Row],[MRF_ID]]="05"),0,IFERROR(BaleMover[[#This Row],[Total_Baled_tons]]*(IF(BaleMover[[#This Row],[Scenario_ID]]="S0",-2,0)+INDEX(BalePrices[Low],MATCH(BaleMover[[#This Row],[Bale_ID]],BalePrices[Bale_ID],0))),0))</f>
        <v>0</v>
      </c>
      <c r="X261" s="397">
        <f>IF(AND(BaleMover[[#This Row],[Scenario_ID]]="S3",BaleMover[[#This Row],[MRF_ID]]="05"),0,IFERROR(BaleMover[[#This Row],[Total_Baled_tons]]*(IF(BaleMover[[#This Row],[Scenario_ID]]="S0",-2,0)+INDEX(BalePrices[Mid-Point],MATCH(BaleMover[[#This Row],[Bale_ID]],BalePrices[Bale_ID],0))),0))</f>
        <v>0</v>
      </c>
      <c r="Y261" s="397">
        <f>IF(AND(BaleMover[[#This Row],[Scenario_ID]]="S3",BaleMover[[#This Row],[MRF_ID]]="05"),0,IFERROR(BaleMover[[#This Row],[Total_Baled_tons]]*(IF(BaleMover[[#This Row],[Scenario_ID]]="S0",-2,0)+INDEX(BalePrices[High],MATCH(BaleMover[[#This Row],[Bale_ID]],BalePrices[Bale_ID],0))),0))</f>
        <v>0</v>
      </c>
    </row>
    <row r="262" spans="2:25" x14ac:dyDescent="0.2">
      <c r="B262" s="545" t="s">
        <v>876</v>
      </c>
      <c r="C262" s="499" t="s">
        <v>719</v>
      </c>
      <c r="D262" s="499"/>
      <c r="E262" s="499"/>
      <c r="F262" s="499" t="s">
        <v>1994</v>
      </c>
      <c r="G262" s="499" t="s">
        <v>2090</v>
      </c>
      <c r="H262" s="499" t="s">
        <v>1428</v>
      </c>
      <c r="I262" s="499" t="s">
        <v>982</v>
      </c>
      <c r="J262" s="499" t="s">
        <v>983</v>
      </c>
      <c r="K262" s="499" t="s">
        <v>2076</v>
      </c>
      <c r="L262" s="499">
        <v>10</v>
      </c>
      <c r="M262" s="499" t="s">
        <v>2083</v>
      </c>
      <c r="N262" s="499" t="s">
        <v>2062</v>
      </c>
      <c r="O262" s="525">
        <v>2365.5040239775299</v>
      </c>
      <c r="P262" s="499">
        <v>670</v>
      </c>
      <c r="Q262" s="499"/>
      <c r="R262" s="499"/>
      <c r="S262" s="525"/>
      <c r="T262" s="525">
        <v>0</v>
      </c>
      <c r="U262" s="525">
        <v>1</v>
      </c>
      <c r="V262" s="525">
        <v>1584887.6960649451</v>
      </c>
      <c r="W262" s="589">
        <f>IF(AND(BaleMover[[#This Row],[Scenario_ID]]="S3",BaleMover[[#This Row],[MRF_ID]]="05"),0,IFERROR(BaleMover[[#This Row],[Total_Baled_tons]]*(IF(BaleMover[[#This Row],[Scenario_ID]]="S0",-2,0)+INDEX(BalePrices[Low],MATCH(BaleMover[[#This Row],[Bale_ID]],BalePrices[Bale_ID],0))),0))</f>
        <v>444714.75650777563</v>
      </c>
      <c r="X262" s="397">
        <f>IF(AND(BaleMover[[#This Row],[Scenario_ID]]="S3",BaleMover[[#This Row],[MRF_ID]]="05"),0,IFERROR(BaleMover[[#This Row],[Total_Baled_tons]]*(IF(BaleMover[[#This Row],[Scenario_ID]]="S0",-2,0)+INDEX(BalePrices[Mid-Point],MATCH(BaleMover[[#This Row],[Bale_ID]],BalePrices[Bale_ID],0))),0))</f>
        <v>574817.47782653978</v>
      </c>
      <c r="Y262" s="397">
        <f>IF(AND(BaleMover[[#This Row],[Scenario_ID]]="S3",BaleMover[[#This Row],[MRF_ID]]="05"),0,IFERROR(BaleMover[[#This Row],[Total_Baled_tons]]*(IF(BaleMover[[#This Row],[Scenario_ID]]="S0",-2,0)+INDEX(BalePrices[High],MATCH(BaleMover[[#This Row],[Bale_ID]],BalePrices[Bale_ID],0))),0))</f>
        <v>704920.19914530392</v>
      </c>
    </row>
    <row r="263" spans="2:25" x14ac:dyDescent="0.2">
      <c r="B263" s="545" t="s">
        <v>875</v>
      </c>
      <c r="C263" s="499" t="s">
        <v>719</v>
      </c>
      <c r="D263" s="499"/>
      <c r="E263" s="499"/>
      <c r="F263" s="499" t="s">
        <v>1994</v>
      </c>
      <c r="G263" s="499" t="s">
        <v>2091</v>
      </c>
      <c r="H263" s="499" t="s">
        <v>1429</v>
      </c>
      <c r="I263" s="499" t="s">
        <v>982</v>
      </c>
      <c r="J263" s="499" t="s">
        <v>983</v>
      </c>
      <c r="K263" s="499" t="s">
        <v>2076</v>
      </c>
      <c r="L263" s="499">
        <v>10</v>
      </c>
      <c r="M263" s="499" t="s">
        <v>2083</v>
      </c>
      <c r="N263" s="499" t="s">
        <v>2062</v>
      </c>
      <c r="O263" s="525">
        <v>2034.9764742782452</v>
      </c>
      <c r="P263" s="499">
        <v>670</v>
      </c>
      <c r="Q263" s="499"/>
      <c r="R263" s="499"/>
      <c r="S263" s="525"/>
      <c r="T263" s="525">
        <v>0</v>
      </c>
      <c r="U263" s="525">
        <v>1</v>
      </c>
      <c r="V263" s="525">
        <v>1363434.2377664242</v>
      </c>
      <c r="W263" s="589">
        <f>IF(AND(BaleMover[[#This Row],[Scenario_ID]]="S3",BaleMover[[#This Row],[MRF_ID]]="05"),0,IFERROR(BaleMover[[#This Row],[Total_Baled_tons]]*(IF(BaleMover[[#This Row],[Scenario_ID]]="S0",-2,0)+INDEX(BalePrices[Low],MATCH(BaleMover[[#This Row],[Bale_ID]],BalePrices[Bale_ID],0))),0))</f>
        <v>386645.5301128666</v>
      </c>
      <c r="X263" s="397">
        <f>IF(AND(BaleMover[[#This Row],[Scenario_ID]]="S3",BaleMover[[#This Row],[MRF_ID]]="05"),0,IFERROR(BaleMover[[#This Row],[Total_Baled_tons]]*(IF(BaleMover[[#This Row],[Scenario_ID]]="S0",-2,0)+INDEX(BalePrices[Mid-Point],MATCH(BaleMover[[#This Row],[Bale_ID]],BalePrices[Bale_ID],0))),0))</f>
        <v>498569.23619817005</v>
      </c>
      <c r="Y263" s="397">
        <f>IF(AND(BaleMover[[#This Row],[Scenario_ID]]="S3",BaleMover[[#This Row],[MRF_ID]]="05"),0,IFERROR(BaleMover[[#This Row],[Total_Baled_tons]]*(IF(BaleMover[[#This Row],[Scenario_ID]]="S0",-2,0)+INDEX(BalePrices[High],MATCH(BaleMover[[#This Row],[Bale_ID]],BalePrices[Bale_ID],0))),0))</f>
        <v>610492.94228347356</v>
      </c>
    </row>
    <row r="264" spans="2:25" x14ac:dyDescent="0.2">
      <c r="B264" s="545" t="s">
        <v>874</v>
      </c>
      <c r="C264" s="499" t="s">
        <v>719</v>
      </c>
      <c r="D264" s="499"/>
      <c r="E264" s="499"/>
      <c r="F264" s="499" t="s">
        <v>1994</v>
      </c>
      <c r="G264" s="499" t="s">
        <v>2092</v>
      </c>
      <c r="H264" s="499" t="s">
        <v>1430</v>
      </c>
      <c r="I264" s="499" t="s">
        <v>982</v>
      </c>
      <c r="J264" s="499" t="s">
        <v>983</v>
      </c>
      <c r="K264" s="499" t="s">
        <v>2076</v>
      </c>
      <c r="L264" s="499">
        <v>10</v>
      </c>
      <c r="M264" s="499" t="s">
        <v>2083</v>
      </c>
      <c r="N264" s="499" t="s">
        <v>2062</v>
      </c>
      <c r="O264" s="525">
        <v>1966.572484547454</v>
      </c>
      <c r="P264" s="499">
        <v>670</v>
      </c>
      <c r="Q264" s="499"/>
      <c r="R264" s="499"/>
      <c r="S264" s="525"/>
      <c r="T264" s="525">
        <v>0</v>
      </c>
      <c r="U264" s="525">
        <v>1</v>
      </c>
      <c r="V264" s="525">
        <v>1317603.5646467942</v>
      </c>
      <c r="W264" s="589">
        <f>IF(AND(BaleMover[[#This Row],[Scenario_ID]]="S3",BaleMover[[#This Row],[MRF_ID]]="05"),0,IFERROR(BaleMover[[#This Row],[Total_Baled_tons]]*(IF(BaleMover[[#This Row],[Scenario_ID]]="S0",-2,0)+INDEX(BalePrices[Low],MATCH(BaleMover[[#This Row],[Bale_ID]],BalePrices[Bale_ID],0))),0))</f>
        <v>373648.77206401626</v>
      </c>
      <c r="X264" s="397">
        <f>IF(AND(BaleMover[[#This Row],[Scenario_ID]]="S3",BaleMover[[#This Row],[MRF_ID]]="05"),0,IFERROR(BaleMover[[#This Row],[Total_Baled_tons]]*(IF(BaleMover[[#This Row],[Scenario_ID]]="S0",-2,0)+INDEX(BalePrices[Mid-Point],MATCH(BaleMover[[#This Row],[Bale_ID]],BalePrices[Bale_ID],0))),0))</f>
        <v>481810.25871412625</v>
      </c>
      <c r="Y264" s="397">
        <f>IF(AND(BaleMover[[#This Row],[Scenario_ID]]="S3",BaleMover[[#This Row],[MRF_ID]]="05"),0,IFERROR(BaleMover[[#This Row],[Total_Baled_tons]]*(IF(BaleMover[[#This Row],[Scenario_ID]]="S0",-2,0)+INDEX(BalePrices[High],MATCH(BaleMover[[#This Row],[Bale_ID]],BalePrices[Bale_ID],0))),0))</f>
        <v>589971.74536423618</v>
      </c>
    </row>
    <row r="265" spans="2:25" x14ac:dyDescent="0.2">
      <c r="B265" s="545" t="s">
        <v>873</v>
      </c>
      <c r="C265" s="499" t="s">
        <v>719</v>
      </c>
      <c r="D265" s="499"/>
      <c r="E265" s="499"/>
      <c r="F265" s="499" t="s">
        <v>1994</v>
      </c>
      <c r="G265" s="499" t="s">
        <v>2093</v>
      </c>
      <c r="H265" s="499" t="s">
        <v>1431</v>
      </c>
      <c r="I265" s="499" t="s">
        <v>982</v>
      </c>
      <c r="J265" s="499" t="s">
        <v>983</v>
      </c>
      <c r="K265" s="499" t="s">
        <v>2076</v>
      </c>
      <c r="L265" s="499">
        <v>10</v>
      </c>
      <c r="M265" s="499" t="s">
        <v>2083</v>
      </c>
      <c r="N265" s="499" t="s">
        <v>2062</v>
      </c>
      <c r="O265" s="525">
        <v>2726.1628031367763</v>
      </c>
      <c r="P265" s="499">
        <v>670</v>
      </c>
      <c r="Q265" s="499"/>
      <c r="R265" s="499"/>
      <c r="S265" s="525"/>
      <c r="T265" s="525">
        <v>0</v>
      </c>
      <c r="U265" s="525">
        <v>1</v>
      </c>
      <c r="V265" s="525">
        <v>1826529.0781016401</v>
      </c>
      <c r="W265" s="589">
        <f>IF(AND(BaleMover[[#This Row],[Scenario_ID]]="S3",BaleMover[[#This Row],[MRF_ID]]="05"),0,IFERROR(BaleMover[[#This Row],[Total_Baled_tons]]*(IF(BaleMover[[#This Row],[Scenario_ID]]="S0",-2,0)+INDEX(BalePrices[Low],MATCH(BaleMover[[#This Row],[Bale_ID]],BalePrices[Bale_ID],0))),0))</f>
        <v>517970.93259598751</v>
      </c>
      <c r="X265" s="397">
        <f>IF(AND(BaleMover[[#This Row],[Scenario_ID]]="S3",BaleMover[[#This Row],[MRF_ID]]="05"),0,IFERROR(BaleMover[[#This Row],[Total_Baled_tons]]*(IF(BaleMover[[#This Row],[Scenario_ID]]="S0",-2,0)+INDEX(BalePrices[Mid-Point],MATCH(BaleMover[[#This Row],[Bale_ID]],BalePrices[Bale_ID],0))),0))</f>
        <v>667909.88676851022</v>
      </c>
      <c r="Y265" s="397">
        <f>IF(AND(BaleMover[[#This Row],[Scenario_ID]]="S3",BaleMover[[#This Row],[MRF_ID]]="05"),0,IFERROR(BaleMover[[#This Row],[Total_Baled_tons]]*(IF(BaleMover[[#This Row],[Scenario_ID]]="S0",-2,0)+INDEX(BalePrices[High],MATCH(BaleMover[[#This Row],[Bale_ID]],BalePrices[Bale_ID],0))),0))</f>
        <v>817848.84094103286</v>
      </c>
    </row>
    <row r="266" spans="2:25" x14ac:dyDescent="0.2">
      <c r="B266" s="545" t="s">
        <v>876</v>
      </c>
      <c r="C266" s="499" t="s">
        <v>719</v>
      </c>
      <c r="D266" s="499"/>
      <c r="E266" s="499"/>
      <c r="F266" s="499" t="s">
        <v>1994</v>
      </c>
      <c r="G266" s="499" t="s">
        <v>2090</v>
      </c>
      <c r="H266" s="499" t="s">
        <v>1432</v>
      </c>
      <c r="I266" s="499" t="s">
        <v>984</v>
      </c>
      <c r="J266" s="499" t="s">
        <v>985</v>
      </c>
      <c r="K266" s="499" t="s">
        <v>2076</v>
      </c>
      <c r="L266" s="499">
        <v>11</v>
      </c>
      <c r="M266" s="499" t="s">
        <v>2084</v>
      </c>
      <c r="N266" s="499" t="s">
        <v>2064</v>
      </c>
      <c r="O266" s="525">
        <v>0</v>
      </c>
      <c r="P266" s="499" t="s">
        <v>2054</v>
      </c>
      <c r="Q266" s="499"/>
      <c r="R266" s="499"/>
      <c r="S266" s="525"/>
      <c r="T266" s="525">
        <v>0</v>
      </c>
      <c r="U266" s="525">
        <v>1</v>
      </c>
      <c r="V266" s="525" t="s">
        <v>2054</v>
      </c>
      <c r="W266" s="589">
        <f>IF(AND(BaleMover[[#This Row],[Scenario_ID]]="S3",BaleMover[[#This Row],[MRF_ID]]="05"),0,IFERROR(BaleMover[[#This Row],[Total_Baled_tons]]*(IF(BaleMover[[#This Row],[Scenario_ID]]="S0",-2,0)+INDEX(BalePrices[Low],MATCH(BaleMover[[#This Row],[Bale_ID]],BalePrices[Bale_ID],0))),0))</f>
        <v>0</v>
      </c>
      <c r="X266" s="397">
        <f>IF(AND(BaleMover[[#This Row],[Scenario_ID]]="S3",BaleMover[[#This Row],[MRF_ID]]="05"),0,IFERROR(BaleMover[[#This Row],[Total_Baled_tons]]*(IF(BaleMover[[#This Row],[Scenario_ID]]="S0",-2,0)+INDEX(BalePrices[Mid-Point],MATCH(BaleMover[[#This Row],[Bale_ID]],BalePrices[Bale_ID],0))),0))</f>
        <v>0</v>
      </c>
      <c r="Y266" s="397">
        <f>IF(AND(BaleMover[[#This Row],[Scenario_ID]]="S3",BaleMover[[#This Row],[MRF_ID]]="05"),0,IFERROR(BaleMover[[#This Row],[Total_Baled_tons]]*(IF(BaleMover[[#This Row],[Scenario_ID]]="S0",-2,0)+INDEX(BalePrices[High],MATCH(BaleMover[[#This Row],[Bale_ID]],BalePrices[Bale_ID],0))),0))</f>
        <v>0</v>
      </c>
    </row>
    <row r="267" spans="2:25" x14ac:dyDescent="0.2">
      <c r="B267" s="545" t="s">
        <v>875</v>
      </c>
      <c r="C267" s="499" t="s">
        <v>719</v>
      </c>
      <c r="D267" s="499"/>
      <c r="E267" s="499"/>
      <c r="F267" s="499" t="s">
        <v>1994</v>
      </c>
      <c r="G267" s="499" t="s">
        <v>2091</v>
      </c>
      <c r="H267" s="499" t="s">
        <v>1433</v>
      </c>
      <c r="I267" s="499" t="s">
        <v>984</v>
      </c>
      <c r="J267" s="499" t="s">
        <v>985</v>
      </c>
      <c r="K267" s="499" t="s">
        <v>2076</v>
      </c>
      <c r="L267" s="499">
        <v>11</v>
      </c>
      <c r="M267" s="499" t="s">
        <v>2084</v>
      </c>
      <c r="N267" s="499" t="s">
        <v>2064</v>
      </c>
      <c r="O267" s="525">
        <v>0</v>
      </c>
      <c r="P267" s="499" t="s">
        <v>2054</v>
      </c>
      <c r="Q267" s="499"/>
      <c r="R267" s="499"/>
      <c r="S267" s="525"/>
      <c r="T267" s="525">
        <v>0</v>
      </c>
      <c r="U267" s="525">
        <v>1</v>
      </c>
      <c r="V267" s="525" t="s">
        <v>2054</v>
      </c>
      <c r="W267" s="589">
        <f>IF(AND(BaleMover[[#This Row],[Scenario_ID]]="S3",BaleMover[[#This Row],[MRF_ID]]="05"),0,IFERROR(BaleMover[[#This Row],[Total_Baled_tons]]*(IF(BaleMover[[#This Row],[Scenario_ID]]="S0",-2,0)+INDEX(BalePrices[Low],MATCH(BaleMover[[#This Row],[Bale_ID]],BalePrices[Bale_ID],0))),0))</f>
        <v>0</v>
      </c>
      <c r="X267" s="397">
        <f>IF(AND(BaleMover[[#This Row],[Scenario_ID]]="S3",BaleMover[[#This Row],[MRF_ID]]="05"),0,IFERROR(BaleMover[[#This Row],[Total_Baled_tons]]*(IF(BaleMover[[#This Row],[Scenario_ID]]="S0",-2,0)+INDEX(BalePrices[Mid-Point],MATCH(BaleMover[[#This Row],[Bale_ID]],BalePrices[Bale_ID],0))),0))</f>
        <v>0</v>
      </c>
      <c r="Y267" s="397">
        <f>IF(AND(BaleMover[[#This Row],[Scenario_ID]]="S3",BaleMover[[#This Row],[MRF_ID]]="05"),0,IFERROR(BaleMover[[#This Row],[Total_Baled_tons]]*(IF(BaleMover[[#This Row],[Scenario_ID]]="S0",-2,0)+INDEX(BalePrices[High],MATCH(BaleMover[[#This Row],[Bale_ID]],BalePrices[Bale_ID],0))),0))</f>
        <v>0</v>
      </c>
    </row>
    <row r="268" spans="2:25" x14ac:dyDescent="0.2">
      <c r="B268" s="545" t="s">
        <v>874</v>
      </c>
      <c r="C268" s="499" t="s">
        <v>719</v>
      </c>
      <c r="D268" s="499"/>
      <c r="E268" s="499"/>
      <c r="F268" s="499" t="s">
        <v>1994</v>
      </c>
      <c r="G268" s="499" t="s">
        <v>2092</v>
      </c>
      <c r="H268" s="499" t="s">
        <v>1434</v>
      </c>
      <c r="I268" s="499" t="s">
        <v>984</v>
      </c>
      <c r="J268" s="499" t="s">
        <v>985</v>
      </c>
      <c r="K268" s="499" t="s">
        <v>2076</v>
      </c>
      <c r="L268" s="499">
        <v>11</v>
      </c>
      <c r="M268" s="499" t="s">
        <v>2084</v>
      </c>
      <c r="N268" s="499" t="s">
        <v>2064</v>
      </c>
      <c r="O268" s="525">
        <v>760.49977337338817</v>
      </c>
      <c r="P268" s="499">
        <v>960</v>
      </c>
      <c r="Q268" s="499"/>
      <c r="R268" s="499"/>
      <c r="S268" s="525"/>
      <c r="T268" s="525">
        <v>0</v>
      </c>
      <c r="U268" s="525">
        <v>1</v>
      </c>
      <c r="V268" s="525">
        <v>730079.78243845259</v>
      </c>
      <c r="W268" s="589">
        <f>IF(AND(BaleMover[[#This Row],[Scenario_ID]]="S3",BaleMover[[#This Row],[MRF_ID]]="05"),0,IFERROR(BaleMover[[#This Row],[Total_Baled_tons]]*(IF(BaleMover[[#This Row],[Scenario_ID]]="S0",-2,0)+INDEX(BalePrices[Low],MATCH(BaleMover[[#This Row],[Bale_ID]],BalePrices[Bale_ID],0))),0))</f>
        <v>68444.979603604937</v>
      </c>
      <c r="X268" s="397">
        <f>IF(AND(BaleMover[[#This Row],[Scenario_ID]]="S3",BaleMover[[#This Row],[MRF_ID]]="05"),0,IFERROR(BaleMover[[#This Row],[Total_Baled_tons]]*(IF(BaleMover[[#This Row],[Scenario_ID]]="S0",-2,0)+INDEX(BalePrices[Mid-Point],MATCH(BaleMover[[#This Row],[Bale_ID]],BalePrices[Bale_ID],0))),0))</f>
        <v>102667.46940540741</v>
      </c>
      <c r="Y268" s="397">
        <f>IF(AND(BaleMover[[#This Row],[Scenario_ID]]="S3",BaleMover[[#This Row],[MRF_ID]]="05"),0,IFERROR(BaleMover[[#This Row],[Total_Baled_tons]]*(IF(BaleMover[[#This Row],[Scenario_ID]]="S0",-2,0)+INDEX(BalePrices[High],MATCH(BaleMover[[#This Row],[Bale_ID]],BalePrices[Bale_ID],0))),0))</f>
        <v>136889.95920720987</v>
      </c>
    </row>
    <row r="269" spans="2:25" x14ac:dyDescent="0.2">
      <c r="B269" s="545" t="s">
        <v>873</v>
      </c>
      <c r="C269" s="499" t="s">
        <v>719</v>
      </c>
      <c r="D269" s="499"/>
      <c r="E269" s="499"/>
      <c r="F269" s="499" t="s">
        <v>1994</v>
      </c>
      <c r="G269" s="499" t="s">
        <v>2093</v>
      </c>
      <c r="H269" s="499" t="s">
        <v>1435</v>
      </c>
      <c r="I269" s="499" t="s">
        <v>984</v>
      </c>
      <c r="J269" s="499" t="s">
        <v>985</v>
      </c>
      <c r="K269" s="499" t="s">
        <v>2076</v>
      </c>
      <c r="L269" s="499">
        <v>11</v>
      </c>
      <c r="M269" s="499" t="s">
        <v>2084</v>
      </c>
      <c r="N269" s="499" t="s">
        <v>2064</v>
      </c>
      <c r="O269" s="525">
        <v>0</v>
      </c>
      <c r="P269" s="499" t="s">
        <v>2054</v>
      </c>
      <c r="Q269" s="499"/>
      <c r="R269" s="499"/>
      <c r="S269" s="525"/>
      <c r="T269" s="525">
        <v>0</v>
      </c>
      <c r="U269" s="525">
        <v>1</v>
      </c>
      <c r="V269" s="525" t="s">
        <v>2054</v>
      </c>
      <c r="W269" s="589">
        <f>IF(AND(BaleMover[[#This Row],[Scenario_ID]]="S3",BaleMover[[#This Row],[MRF_ID]]="05"),0,IFERROR(BaleMover[[#This Row],[Total_Baled_tons]]*(IF(BaleMover[[#This Row],[Scenario_ID]]="S0",-2,0)+INDEX(BalePrices[Low],MATCH(BaleMover[[#This Row],[Bale_ID]],BalePrices[Bale_ID],0))),0))</f>
        <v>0</v>
      </c>
      <c r="X269" s="397">
        <f>IF(AND(BaleMover[[#This Row],[Scenario_ID]]="S3",BaleMover[[#This Row],[MRF_ID]]="05"),0,IFERROR(BaleMover[[#This Row],[Total_Baled_tons]]*(IF(BaleMover[[#This Row],[Scenario_ID]]="S0",-2,0)+INDEX(BalePrices[Mid-Point],MATCH(BaleMover[[#This Row],[Bale_ID]],BalePrices[Bale_ID],0))),0))</f>
        <v>0</v>
      </c>
      <c r="Y269" s="397">
        <f>IF(AND(BaleMover[[#This Row],[Scenario_ID]]="S3",BaleMover[[#This Row],[MRF_ID]]="05"),0,IFERROR(BaleMover[[#This Row],[Total_Baled_tons]]*(IF(BaleMover[[#This Row],[Scenario_ID]]="S0",-2,0)+INDEX(BalePrices[High],MATCH(BaleMover[[#This Row],[Bale_ID]],BalePrices[Bale_ID],0))),0))</f>
        <v>0</v>
      </c>
    </row>
    <row r="270" spans="2:25" x14ac:dyDescent="0.2">
      <c r="B270" s="545" t="s">
        <v>876</v>
      </c>
      <c r="C270" s="499" t="s">
        <v>719</v>
      </c>
      <c r="D270" s="499"/>
      <c r="E270" s="499"/>
      <c r="F270" s="499" t="s">
        <v>1994</v>
      </c>
      <c r="G270" s="499" t="s">
        <v>2090</v>
      </c>
      <c r="H270" s="499" t="s">
        <v>1436</v>
      </c>
      <c r="I270" s="499" t="s">
        <v>986</v>
      </c>
      <c r="J270" s="499" t="s">
        <v>987</v>
      </c>
      <c r="K270" s="499" t="s">
        <v>2076</v>
      </c>
      <c r="L270" s="499">
        <v>8</v>
      </c>
      <c r="M270" s="499" t="s">
        <v>2085</v>
      </c>
      <c r="N270" s="499" t="s">
        <v>2068</v>
      </c>
      <c r="O270" s="525">
        <v>588.53547712940565</v>
      </c>
      <c r="P270" s="499">
        <v>315</v>
      </c>
      <c r="Q270" s="499"/>
      <c r="R270" s="499"/>
      <c r="S270" s="525"/>
      <c r="T270" s="525">
        <v>0</v>
      </c>
      <c r="U270" s="525">
        <v>1</v>
      </c>
      <c r="V270" s="525">
        <v>185388.67529576278</v>
      </c>
      <c r="W270" s="589">
        <f>IF(AND(BaleMover[[#This Row],[Scenario_ID]]="S3",BaleMover[[#This Row],[MRF_ID]]="05"),0,IFERROR(BaleMover[[#This Row],[Total_Baled_tons]]*(IF(BaleMover[[#This Row],[Scenario_ID]]="S0",-2,0)+INDEX(BalePrices[Low],MATCH(BaleMover[[#This Row],[Bale_ID]],BalePrices[Bale_ID],0))),0))</f>
        <v>234237.11989750343</v>
      </c>
      <c r="X270" s="397">
        <f>IF(AND(BaleMover[[#This Row],[Scenario_ID]]="S3",BaleMover[[#This Row],[MRF_ID]]="05"),0,IFERROR(BaleMover[[#This Row],[Total_Baled_tons]]*(IF(BaleMover[[#This Row],[Scenario_ID]]="S0",-2,0)+INDEX(BalePrices[Mid-Point],MATCH(BaleMover[[#This Row],[Bale_ID]],BalePrices[Bale_ID],0))),0))</f>
        <v>422568.47257891326</v>
      </c>
      <c r="Y270" s="397">
        <f>IF(AND(BaleMover[[#This Row],[Scenario_ID]]="S3",BaleMover[[#This Row],[MRF_ID]]="05"),0,IFERROR(BaleMover[[#This Row],[Total_Baled_tons]]*(IF(BaleMover[[#This Row],[Scenario_ID]]="S0",-2,0)+INDEX(BalePrices[High],MATCH(BaleMover[[#This Row],[Bale_ID]],BalePrices[Bale_ID],0))),0))</f>
        <v>610899.82526032301</v>
      </c>
    </row>
    <row r="271" spans="2:25" x14ac:dyDescent="0.2">
      <c r="B271" s="545" t="s">
        <v>875</v>
      </c>
      <c r="C271" s="499" t="s">
        <v>719</v>
      </c>
      <c r="D271" s="499"/>
      <c r="E271" s="499"/>
      <c r="F271" s="499" t="s">
        <v>1994</v>
      </c>
      <c r="G271" s="499" t="s">
        <v>2091</v>
      </c>
      <c r="H271" s="499" t="s">
        <v>1437</v>
      </c>
      <c r="I271" s="499" t="s">
        <v>986</v>
      </c>
      <c r="J271" s="499" t="s">
        <v>987</v>
      </c>
      <c r="K271" s="499" t="s">
        <v>2076</v>
      </c>
      <c r="L271" s="499">
        <v>8</v>
      </c>
      <c r="M271" s="499" t="s">
        <v>2085</v>
      </c>
      <c r="N271" s="499" t="s">
        <v>2068</v>
      </c>
      <c r="O271" s="525">
        <v>554.29025509330188</v>
      </c>
      <c r="P271" s="499">
        <v>315</v>
      </c>
      <c r="Q271" s="499"/>
      <c r="R271" s="499"/>
      <c r="S271" s="525"/>
      <c r="T271" s="525">
        <v>0</v>
      </c>
      <c r="U271" s="525">
        <v>1</v>
      </c>
      <c r="V271" s="525">
        <v>174601.43035439009</v>
      </c>
      <c r="W271" s="589">
        <f>IF(AND(BaleMover[[#This Row],[Scenario_ID]]="S3",BaleMover[[#This Row],[MRF_ID]]="05"),0,IFERROR(BaleMover[[#This Row],[Total_Baled_tons]]*(IF(BaleMover[[#This Row],[Scenario_ID]]="S0",-2,0)+INDEX(BalePrices[Low],MATCH(BaleMover[[#This Row],[Bale_ID]],BalePrices[Bale_ID],0))),0))</f>
        <v>221716.10203732076</v>
      </c>
      <c r="X271" s="397">
        <f>IF(AND(BaleMover[[#This Row],[Scenario_ID]]="S3",BaleMover[[#This Row],[MRF_ID]]="05"),0,IFERROR(BaleMover[[#This Row],[Total_Baled_tons]]*(IF(BaleMover[[#This Row],[Scenario_ID]]="S0",-2,0)+INDEX(BalePrices[Mid-Point],MATCH(BaleMover[[#This Row],[Bale_ID]],BalePrices[Bale_ID],0))),0))</f>
        <v>399088.98366717738</v>
      </c>
      <c r="Y271" s="397">
        <f>IF(AND(BaleMover[[#This Row],[Scenario_ID]]="S3",BaleMover[[#This Row],[MRF_ID]]="05"),0,IFERROR(BaleMover[[#This Row],[Total_Baled_tons]]*(IF(BaleMover[[#This Row],[Scenario_ID]]="S0",-2,0)+INDEX(BalePrices[High],MATCH(BaleMover[[#This Row],[Bale_ID]],BalePrices[Bale_ID],0))),0))</f>
        <v>576461.86529703392</v>
      </c>
    </row>
    <row r="272" spans="2:25" x14ac:dyDescent="0.2">
      <c r="B272" s="545" t="s">
        <v>874</v>
      </c>
      <c r="C272" s="499" t="s">
        <v>719</v>
      </c>
      <c r="D272" s="499"/>
      <c r="E272" s="499"/>
      <c r="F272" s="499" t="s">
        <v>1994</v>
      </c>
      <c r="G272" s="499" t="s">
        <v>2092</v>
      </c>
      <c r="H272" s="499" t="s">
        <v>1438</v>
      </c>
      <c r="I272" s="499" t="s">
        <v>986</v>
      </c>
      <c r="J272" s="499" t="s">
        <v>987</v>
      </c>
      <c r="K272" s="499" t="s">
        <v>2076</v>
      </c>
      <c r="L272" s="499">
        <v>8</v>
      </c>
      <c r="M272" s="499" t="s">
        <v>2085</v>
      </c>
      <c r="N272" s="499" t="s">
        <v>2068</v>
      </c>
      <c r="O272" s="525">
        <v>591.85195084164275</v>
      </c>
      <c r="P272" s="499">
        <v>315</v>
      </c>
      <c r="Q272" s="499"/>
      <c r="R272" s="499"/>
      <c r="S272" s="525"/>
      <c r="T272" s="525">
        <v>0</v>
      </c>
      <c r="U272" s="525">
        <v>1</v>
      </c>
      <c r="V272" s="525">
        <v>186433.36451511746</v>
      </c>
      <c r="W272" s="589">
        <f>IF(AND(BaleMover[[#This Row],[Scenario_ID]]="S3",BaleMover[[#This Row],[MRF_ID]]="05"),0,IFERROR(BaleMover[[#This Row],[Total_Baled_tons]]*(IF(BaleMover[[#This Row],[Scenario_ID]]="S0",-2,0)+INDEX(BalePrices[Low],MATCH(BaleMover[[#This Row],[Bale_ID]],BalePrices[Bale_ID],0))),0))</f>
        <v>236740.7803366571</v>
      </c>
      <c r="X272" s="397">
        <f>IF(AND(BaleMover[[#This Row],[Scenario_ID]]="S3",BaleMover[[#This Row],[MRF_ID]]="05"),0,IFERROR(BaleMover[[#This Row],[Total_Baled_tons]]*(IF(BaleMover[[#This Row],[Scenario_ID]]="S0",-2,0)+INDEX(BalePrices[Mid-Point],MATCH(BaleMover[[#This Row],[Bale_ID]],BalePrices[Bale_ID],0))),0))</f>
        <v>426133.40460598277</v>
      </c>
      <c r="Y272" s="397">
        <f>IF(AND(BaleMover[[#This Row],[Scenario_ID]]="S3",BaleMover[[#This Row],[MRF_ID]]="05"),0,IFERROR(BaleMover[[#This Row],[Total_Baled_tons]]*(IF(BaleMover[[#This Row],[Scenario_ID]]="S0",-2,0)+INDEX(BalePrices[High],MATCH(BaleMover[[#This Row],[Bale_ID]],BalePrices[Bale_ID],0))),0))</f>
        <v>615526.02887530846</v>
      </c>
    </row>
    <row r="273" spans="2:25" x14ac:dyDescent="0.2">
      <c r="B273" s="545" t="s">
        <v>873</v>
      </c>
      <c r="C273" s="499" t="s">
        <v>719</v>
      </c>
      <c r="D273" s="499"/>
      <c r="E273" s="499"/>
      <c r="F273" s="499" t="s">
        <v>1994</v>
      </c>
      <c r="G273" s="499" t="s">
        <v>2093</v>
      </c>
      <c r="H273" s="499" t="s">
        <v>1439</v>
      </c>
      <c r="I273" s="499" t="s">
        <v>986</v>
      </c>
      <c r="J273" s="499" t="s">
        <v>987</v>
      </c>
      <c r="K273" s="499" t="s">
        <v>2076</v>
      </c>
      <c r="L273" s="499">
        <v>8</v>
      </c>
      <c r="M273" s="499" t="s">
        <v>2085</v>
      </c>
      <c r="N273" s="499" t="s">
        <v>2068</v>
      </c>
      <c r="O273" s="525">
        <v>589.63078376476335</v>
      </c>
      <c r="P273" s="499">
        <v>315</v>
      </c>
      <c r="Q273" s="499"/>
      <c r="R273" s="499"/>
      <c r="S273" s="525"/>
      <c r="T273" s="525">
        <v>0</v>
      </c>
      <c r="U273" s="525">
        <v>1</v>
      </c>
      <c r="V273" s="525">
        <v>185733.69688590046</v>
      </c>
      <c r="W273" s="589">
        <f>IF(AND(BaleMover[[#This Row],[Scenario_ID]]="S3",BaleMover[[#This Row],[MRF_ID]]="05"),0,IFERROR(BaleMover[[#This Row],[Total_Baled_tons]]*(IF(BaleMover[[#This Row],[Scenario_ID]]="S0",-2,0)+INDEX(BalePrices[Low],MATCH(BaleMover[[#This Row],[Bale_ID]],BalePrices[Bale_ID],0))),0))</f>
        <v>235852.31350590533</v>
      </c>
      <c r="X273" s="397">
        <f>IF(AND(BaleMover[[#This Row],[Scenario_ID]]="S3",BaleMover[[#This Row],[MRF_ID]]="05"),0,IFERROR(BaleMover[[#This Row],[Total_Baled_tons]]*(IF(BaleMover[[#This Row],[Scenario_ID]]="S0",-2,0)+INDEX(BalePrices[Mid-Point],MATCH(BaleMover[[#This Row],[Bale_ID]],BalePrices[Bale_ID],0))),0))</f>
        <v>424534.1643106296</v>
      </c>
      <c r="Y273" s="397">
        <f>IF(AND(BaleMover[[#This Row],[Scenario_ID]]="S3",BaleMover[[#This Row],[MRF_ID]]="05"),0,IFERROR(BaleMover[[#This Row],[Total_Baled_tons]]*(IF(BaleMover[[#This Row],[Scenario_ID]]="S0",-2,0)+INDEX(BalePrices[High],MATCH(BaleMover[[#This Row],[Bale_ID]],BalePrices[Bale_ID],0))),0))</f>
        <v>613216.01511535386</v>
      </c>
    </row>
    <row r="274" spans="2:25" x14ac:dyDescent="0.2">
      <c r="B274" s="545" t="s">
        <v>876</v>
      </c>
      <c r="C274" s="499" t="s">
        <v>719</v>
      </c>
      <c r="D274" s="499"/>
      <c r="E274" s="499"/>
      <c r="F274" s="499" t="s">
        <v>1994</v>
      </c>
      <c r="G274" s="499" t="s">
        <v>2090</v>
      </c>
      <c r="H274" s="499" t="s">
        <v>1440</v>
      </c>
      <c r="I274" s="499" t="s">
        <v>988</v>
      </c>
      <c r="J274" s="499" t="s">
        <v>989</v>
      </c>
      <c r="K274" s="499" t="s">
        <v>2076</v>
      </c>
      <c r="L274" s="499">
        <v>8</v>
      </c>
      <c r="M274" s="499" t="s">
        <v>2085</v>
      </c>
      <c r="N274" s="499" t="s">
        <v>2068</v>
      </c>
      <c r="O274" s="525">
        <v>809.23628105293278</v>
      </c>
      <c r="P274" s="499">
        <v>315</v>
      </c>
      <c r="Q274" s="499"/>
      <c r="R274" s="499"/>
      <c r="S274" s="525"/>
      <c r="T274" s="525">
        <v>0</v>
      </c>
      <c r="U274" s="525">
        <v>1</v>
      </c>
      <c r="V274" s="525">
        <v>254909.42853167382</v>
      </c>
      <c r="W274" s="589">
        <f>IF(AND(BaleMover[[#This Row],[Scenario_ID]]="S3",BaleMover[[#This Row],[MRF_ID]]="05"),0,IFERROR(BaleMover[[#This Row],[Total_Baled_tons]]*(IF(BaleMover[[#This Row],[Scenario_ID]]="S0",-2,0)+INDEX(BalePrices[Low],MATCH(BaleMover[[#This Row],[Bale_ID]],BalePrices[Bale_ID],0))),0))</f>
        <v>63120.429922128758</v>
      </c>
      <c r="X274" s="397">
        <f>IF(AND(BaleMover[[#This Row],[Scenario_ID]]="S3",BaleMover[[#This Row],[MRF_ID]]="05"),0,IFERROR(BaleMover[[#This Row],[Total_Baled_tons]]*(IF(BaleMover[[#This Row],[Scenario_ID]]="S0",-2,0)+INDEX(BalePrices[Mid-Point],MATCH(BaleMover[[#This Row],[Bale_ID]],BalePrices[Bale_ID],0))),0))</f>
        <v>172367.32786427467</v>
      </c>
      <c r="Y274" s="397">
        <f>IF(AND(BaleMover[[#This Row],[Scenario_ID]]="S3",BaleMover[[#This Row],[MRF_ID]]="05"),0,IFERROR(BaleMover[[#This Row],[Total_Baled_tons]]*(IF(BaleMover[[#This Row],[Scenario_ID]]="S0",-2,0)+INDEX(BalePrices[High],MATCH(BaleMover[[#This Row],[Bale_ID]],BalePrices[Bale_ID],0))),0))</f>
        <v>281614.22580642061</v>
      </c>
    </row>
    <row r="275" spans="2:25" x14ac:dyDescent="0.2">
      <c r="B275" s="545" t="s">
        <v>875</v>
      </c>
      <c r="C275" s="499" t="s">
        <v>719</v>
      </c>
      <c r="D275" s="499"/>
      <c r="E275" s="499"/>
      <c r="F275" s="499" t="s">
        <v>1994</v>
      </c>
      <c r="G275" s="499" t="s">
        <v>2091</v>
      </c>
      <c r="H275" s="499" t="s">
        <v>1441</v>
      </c>
      <c r="I275" s="499" t="s">
        <v>988</v>
      </c>
      <c r="J275" s="499" t="s">
        <v>989</v>
      </c>
      <c r="K275" s="499" t="s">
        <v>2076</v>
      </c>
      <c r="L275" s="499">
        <v>8</v>
      </c>
      <c r="M275" s="499" t="s">
        <v>2085</v>
      </c>
      <c r="N275" s="499" t="s">
        <v>2068</v>
      </c>
      <c r="O275" s="525">
        <v>762.14910075329078</v>
      </c>
      <c r="P275" s="499">
        <v>315</v>
      </c>
      <c r="Q275" s="499"/>
      <c r="R275" s="499"/>
      <c r="S275" s="525"/>
      <c r="T275" s="525">
        <v>0</v>
      </c>
      <c r="U275" s="525">
        <v>1</v>
      </c>
      <c r="V275" s="525">
        <v>240076.9667372866</v>
      </c>
      <c r="W275" s="589">
        <f>IF(AND(BaleMover[[#This Row],[Scenario_ID]]="S3",BaleMover[[#This Row],[MRF_ID]]="05"),0,IFERROR(BaleMover[[#This Row],[Total_Baled_tons]]*(IF(BaleMover[[#This Row],[Scenario_ID]]="S0",-2,0)+INDEX(BalePrices[Low],MATCH(BaleMover[[#This Row],[Bale_ID]],BalePrices[Bale_ID],0))),0))</f>
        <v>60971.928060263264</v>
      </c>
      <c r="X275" s="397">
        <f>IF(AND(BaleMover[[#This Row],[Scenario_ID]]="S3",BaleMover[[#This Row],[MRF_ID]]="05"),0,IFERROR(BaleMover[[#This Row],[Total_Baled_tons]]*(IF(BaleMover[[#This Row],[Scenario_ID]]="S0",-2,0)+INDEX(BalePrices[Mid-Point],MATCH(BaleMover[[#This Row],[Bale_ID]],BalePrices[Bale_ID],0))),0))</f>
        <v>163862.05666195753</v>
      </c>
      <c r="Y275" s="397">
        <f>IF(AND(BaleMover[[#This Row],[Scenario_ID]]="S3",BaleMover[[#This Row],[MRF_ID]]="05"),0,IFERROR(BaleMover[[#This Row],[Total_Baled_tons]]*(IF(BaleMover[[#This Row],[Scenario_ID]]="S0",-2,0)+INDEX(BalePrices[High],MATCH(BaleMover[[#This Row],[Bale_ID]],BalePrices[Bale_ID],0))),0))</f>
        <v>266752.18526365177</v>
      </c>
    </row>
    <row r="276" spans="2:25" x14ac:dyDescent="0.2">
      <c r="B276" s="545" t="s">
        <v>874</v>
      </c>
      <c r="C276" s="499" t="s">
        <v>719</v>
      </c>
      <c r="D276" s="499"/>
      <c r="E276" s="499"/>
      <c r="F276" s="499" t="s">
        <v>1994</v>
      </c>
      <c r="G276" s="499" t="s">
        <v>2092</v>
      </c>
      <c r="H276" s="499" t="s">
        <v>1442</v>
      </c>
      <c r="I276" s="499" t="s">
        <v>988</v>
      </c>
      <c r="J276" s="499" t="s">
        <v>989</v>
      </c>
      <c r="K276" s="499" t="s">
        <v>2076</v>
      </c>
      <c r="L276" s="499">
        <v>8</v>
      </c>
      <c r="M276" s="499" t="s">
        <v>2085</v>
      </c>
      <c r="N276" s="499" t="s">
        <v>2068</v>
      </c>
      <c r="O276" s="525">
        <v>813.79643240725909</v>
      </c>
      <c r="P276" s="499">
        <v>315</v>
      </c>
      <c r="Q276" s="499"/>
      <c r="R276" s="499"/>
      <c r="S276" s="525"/>
      <c r="T276" s="525">
        <v>0</v>
      </c>
      <c r="U276" s="525">
        <v>1</v>
      </c>
      <c r="V276" s="525">
        <v>256345.87620828662</v>
      </c>
      <c r="W276" s="589">
        <f>IF(AND(BaleMover[[#This Row],[Scenario_ID]]="S3",BaleMover[[#This Row],[MRF_ID]]="05"),0,IFERROR(BaleMover[[#This Row],[Total_Baled_tons]]*(IF(BaleMover[[#This Row],[Scenario_ID]]="S0",-2,0)+INDEX(BalePrices[Low],MATCH(BaleMover[[#This Row],[Bale_ID]],BalePrices[Bale_ID],0))),0))</f>
        <v>65103.714592580727</v>
      </c>
      <c r="X276" s="397">
        <f>IF(AND(BaleMover[[#This Row],[Scenario_ID]]="S3",BaleMover[[#This Row],[MRF_ID]]="05"),0,IFERROR(BaleMover[[#This Row],[Total_Baled_tons]]*(IF(BaleMover[[#This Row],[Scenario_ID]]="S0",-2,0)+INDEX(BalePrices[Mid-Point],MATCH(BaleMover[[#This Row],[Bale_ID]],BalePrices[Bale_ID],0))),0))</f>
        <v>174966.2329675607</v>
      </c>
      <c r="Y276" s="397">
        <f>IF(AND(BaleMover[[#This Row],[Scenario_ID]]="S3",BaleMover[[#This Row],[MRF_ID]]="05"),0,IFERROR(BaleMover[[#This Row],[Total_Baled_tons]]*(IF(BaleMover[[#This Row],[Scenario_ID]]="S0",-2,0)+INDEX(BalePrices[High],MATCH(BaleMover[[#This Row],[Bale_ID]],BalePrices[Bale_ID],0))),0))</f>
        <v>284828.75134254067</v>
      </c>
    </row>
    <row r="277" spans="2:25" x14ac:dyDescent="0.2">
      <c r="B277" s="545" t="s">
        <v>873</v>
      </c>
      <c r="C277" s="499" t="s">
        <v>719</v>
      </c>
      <c r="D277" s="499"/>
      <c r="E277" s="499"/>
      <c r="F277" s="499" t="s">
        <v>1994</v>
      </c>
      <c r="G277" s="499" t="s">
        <v>2093</v>
      </c>
      <c r="H277" s="499" t="s">
        <v>1443</v>
      </c>
      <c r="I277" s="499" t="s">
        <v>988</v>
      </c>
      <c r="J277" s="499" t="s">
        <v>989</v>
      </c>
      <c r="K277" s="499" t="s">
        <v>2076</v>
      </c>
      <c r="L277" s="499">
        <v>8</v>
      </c>
      <c r="M277" s="499" t="s">
        <v>2085</v>
      </c>
      <c r="N277" s="499" t="s">
        <v>2068</v>
      </c>
      <c r="O277" s="525">
        <v>810.74232767654951</v>
      </c>
      <c r="P277" s="499">
        <v>315</v>
      </c>
      <c r="Q277" s="499"/>
      <c r="R277" s="499"/>
      <c r="S277" s="525"/>
      <c r="T277" s="525">
        <v>0</v>
      </c>
      <c r="U277" s="525">
        <v>1</v>
      </c>
      <c r="V277" s="525">
        <v>255383.83321811308</v>
      </c>
      <c r="W277" s="589">
        <f>IF(AND(BaleMover[[#This Row],[Scenario_ID]]="S3",BaleMover[[#This Row],[MRF_ID]]="05"),0,IFERROR(BaleMover[[#This Row],[Total_Baled_tons]]*(IF(BaleMover[[#This Row],[Scenario_ID]]="S0",-2,0)+INDEX(BalePrices[Low],MATCH(BaleMover[[#This Row],[Bale_ID]],BalePrices[Bale_ID],0))),0))</f>
        <v>64859.386214123959</v>
      </c>
      <c r="X277" s="397">
        <f>IF(AND(BaleMover[[#This Row],[Scenario_ID]]="S3",BaleMover[[#This Row],[MRF_ID]]="05"),0,IFERROR(BaleMover[[#This Row],[Total_Baled_tons]]*(IF(BaleMover[[#This Row],[Scenario_ID]]="S0",-2,0)+INDEX(BalePrices[Mid-Point],MATCH(BaleMover[[#This Row],[Bale_ID]],BalePrices[Bale_ID],0))),0))</f>
        <v>174309.60045045815</v>
      </c>
      <c r="Y277" s="397">
        <f>IF(AND(BaleMover[[#This Row],[Scenario_ID]]="S3",BaleMover[[#This Row],[MRF_ID]]="05"),0,IFERROR(BaleMover[[#This Row],[Total_Baled_tons]]*(IF(BaleMover[[#This Row],[Scenario_ID]]="S0",-2,0)+INDEX(BalePrices[High],MATCH(BaleMover[[#This Row],[Bale_ID]],BalePrices[Bale_ID],0))),0))</f>
        <v>283759.81468679232</v>
      </c>
    </row>
    <row r="278" spans="2:25" x14ac:dyDescent="0.2">
      <c r="B278" s="545" t="s">
        <v>876</v>
      </c>
      <c r="C278" s="499" t="s">
        <v>719</v>
      </c>
      <c r="D278" s="499"/>
      <c r="E278" s="499"/>
      <c r="F278" s="499" t="s">
        <v>1994</v>
      </c>
      <c r="G278" s="499" t="s">
        <v>2090</v>
      </c>
      <c r="H278" s="499" t="s">
        <v>1444</v>
      </c>
      <c r="I278" s="499" t="s">
        <v>990</v>
      </c>
      <c r="J278" s="499" t="s">
        <v>991</v>
      </c>
      <c r="K278" s="499" t="s">
        <v>2076</v>
      </c>
      <c r="L278" s="499">
        <v>1</v>
      </c>
      <c r="M278" s="499" t="s">
        <v>2086</v>
      </c>
      <c r="N278" s="499" t="s">
        <v>2066</v>
      </c>
      <c r="O278" s="525">
        <v>336.04014274985116</v>
      </c>
      <c r="P278" s="499">
        <v>20</v>
      </c>
      <c r="Q278" s="499"/>
      <c r="R278" s="499"/>
      <c r="S278" s="525"/>
      <c r="T278" s="525">
        <v>0</v>
      </c>
      <c r="U278" s="525">
        <v>1</v>
      </c>
      <c r="V278" s="525">
        <v>6720.8028549970231</v>
      </c>
      <c r="W278" s="589">
        <f>IF(AND(BaleMover[[#This Row],[Scenario_ID]]="S3",BaleMover[[#This Row],[MRF_ID]]="05"),0,IFERROR(BaleMover[[#This Row],[Total_Baled_tons]]*(IF(BaleMover[[#This Row],[Scenario_ID]]="S0",-2,0)+INDEX(BalePrices[Low],MATCH(BaleMover[[#This Row],[Bale_ID]],BalePrices[Bale_ID],0))),0))</f>
        <v>16129.926851992856</v>
      </c>
      <c r="X278" s="397">
        <f>IF(AND(BaleMover[[#This Row],[Scenario_ID]]="S3",BaleMover[[#This Row],[MRF_ID]]="05"),0,IFERROR(BaleMover[[#This Row],[Total_Baled_tons]]*(IF(BaleMover[[#This Row],[Scenario_ID]]="S0",-2,0)+INDEX(BalePrices[Mid-Point],MATCH(BaleMover[[#This Row],[Bale_ID]],BalePrices[Bale_ID],0))),0))</f>
        <v>41332.937558231693</v>
      </c>
      <c r="Y278" s="397">
        <f>IF(AND(BaleMover[[#This Row],[Scenario_ID]]="S3",BaleMover[[#This Row],[MRF_ID]]="05"),0,IFERROR(BaleMover[[#This Row],[Total_Baled_tons]]*(IF(BaleMover[[#This Row],[Scenario_ID]]="S0",-2,0)+INDEX(BalePrices[High],MATCH(BaleMover[[#This Row],[Bale_ID]],BalePrices[Bale_ID],0))),0))</f>
        <v>66535.948264470528</v>
      </c>
    </row>
    <row r="279" spans="2:25" x14ac:dyDescent="0.2">
      <c r="B279" s="545" t="s">
        <v>875</v>
      </c>
      <c r="C279" s="499" t="s">
        <v>719</v>
      </c>
      <c r="D279" s="499"/>
      <c r="E279" s="499"/>
      <c r="F279" s="499" t="s">
        <v>1994</v>
      </c>
      <c r="G279" s="499" t="s">
        <v>2091</v>
      </c>
      <c r="H279" s="499" t="s">
        <v>1445</v>
      </c>
      <c r="I279" s="499" t="s">
        <v>990</v>
      </c>
      <c r="J279" s="499" t="s">
        <v>991</v>
      </c>
      <c r="K279" s="499" t="s">
        <v>2076</v>
      </c>
      <c r="L279" s="499">
        <v>1</v>
      </c>
      <c r="M279" s="499" t="s">
        <v>2086</v>
      </c>
      <c r="N279" s="499" t="s">
        <v>2066</v>
      </c>
      <c r="O279" s="525">
        <v>258.39467034726459</v>
      </c>
      <c r="P279" s="499">
        <v>20</v>
      </c>
      <c r="Q279" s="499"/>
      <c r="R279" s="499"/>
      <c r="S279" s="525"/>
      <c r="T279" s="525">
        <v>0</v>
      </c>
      <c r="U279" s="525">
        <v>1</v>
      </c>
      <c r="V279" s="525">
        <v>5167.8934069452916</v>
      </c>
      <c r="W279" s="589">
        <f>IF(AND(BaleMover[[#This Row],[Scenario_ID]]="S3",BaleMover[[#This Row],[MRF_ID]]="05"),0,IFERROR(BaleMover[[#This Row],[Total_Baled_tons]]*(IF(BaleMover[[#This Row],[Scenario_ID]]="S0",-2,0)+INDEX(BalePrices[Low],MATCH(BaleMover[[#This Row],[Bale_ID]],BalePrices[Bale_ID],0))),0))</f>
        <v>12919.733517363229</v>
      </c>
      <c r="X279" s="397">
        <f>IF(AND(BaleMover[[#This Row],[Scenario_ID]]="S3",BaleMover[[#This Row],[MRF_ID]]="05"),0,IFERROR(BaleMover[[#This Row],[Total_Baled_tons]]*(IF(BaleMover[[#This Row],[Scenario_ID]]="S0",-2,0)+INDEX(BalePrices[Mid-Point],MATCH(BaleMover[[#This Row],[Bale_ID]],BalePrices[Bale_ID],0))),0))</f>
        <v>32299.333793408074</v>
      </c>
      <c r="Y279" s="397">
        <f>IF(AND(BaleMover[[#This Row],[Scenario_ID]]="S3",BaleMover[[#This Row],[MRF_ID]]="05"),0,IFERROR(BaleMover[[#This Row],[Total_Baled_tons]]*(IF(BaleMover[[#This Row],[Scenario_ID]]="S0",-2,0)+INDEX(BalePrices[High],MATCH(BaleMover[[#This Row],[Bale_ID]],BalePrices[Bale_ID],0))),0))</f>
        <v>51678.934069452916</v>
      </c>
    </row>
    <row r="280" spans="2:25" x14ac:dyDescent="0.2">
      <c r="B280" s="545" t="s">
        <v>874</v>
      </c>
      <c r="C280" s="499" t="s">
        <v>719</v>
      </c>
      <c r="D280" s="499"/>
      <c r="E280" s="499"/>
      <c r="F280" s="499" t="s">
        <v>1994</v>
      </c>
      <c r="G280" s="499" t="s">
        <v>2092</v>
      </c>
      <c r="H280" s="499" t="s">
        <v>1446</v>
      </c>
      <c r="I280" s="499" t="s">
        <v>990</v>
      </c>
      <c r="J280" s="499" t="s">
        <v>991</v>
      </c>
      <c r="K280" s="499" t="s">
        <v>2076</v>
      </c>
      <c r="L280" s="499">
        <v>1</v>
      </c>
      <c r="M280" s="499" t="s">
        <v>2086</v>
      </c>
      <c r="N280" s="499" t="s">
        <v>2066</v>
      </c>
      <c r="O280" s="525">
        <v>393.39769495551576</v>
      </c>
      <c r="P280" s="499">
        <v>20</v>
      </c>
      <c r="Q280" s="499"/>
      <c r="R280" s="499"/>
      <c r="S280" s="525"/>
      <c r="T280" s="525">
        <v>0</v>
      </c>
      <c r="U280" s="525">
        <v>1</v>
      </c>
      <c r="V280" s="525">
        <v>7867.9538991103154</v>
      </c>
      <c r="W280" s="589">
        <f>IF(AND(BaleMover[[#This Row],[Scenario_ID]]="S3",BaleMover[[#This Row],[MRF_ID]]="05"),0,IFERROR(BaleMover[[#This Row],[Total_Baled_tons]]*(IF(BaleMover[[#This Row],[Scenario_ID]]="S0",-2,0)+INDEX(BalePrices[Low],MATCH(BaleMover[[#This Row],[Bale_ID]],BalePrices[Bale_ID],0))),0))</f>
        <v>19669.884747775788</v>
      </c>
      <c r="X280" s="397">
        <f>IF(AND(BaleMover[[#This Row],[Scenario_ID]]="S3",BaleMover[[#This Row],[MRF_ID]]="05"),0,IFERROR(BaleMover[[#This Row],[Total_Baled_tons]]*(IF(BaleMover[[#This Row],[Scenario_ID]]="S0",-2,0)+INDEX(BalePrices[Mid-Point],MATCH(BaleMover[[#This Row],[Bale_ID]],BalePrices[Bale_ID],0))),0))</f>
        <v>49174.711869439467</v>
      </c>
      <c r="Y280" s="397">
        <f>IF(AND(BaleMover[[#This Row],[Scenario_ID]]="S3",BaleMover[[#This Row],[MRF_ID]]="05"),0,IFERROR(BaleMover[[#This Row],[Total_Baled_tons]]*(IF(BaleMover[[#This Row],[Scenario_ID]]="S0",-2,0)+INDEX(BalePrices[High],MATCH(BaleMover[[#This Row],[Bale_ID]],BalePrices[Bale_ID],0))),0))</f>
        <v>78679.538991103153</v>
      </c>
    </row>
    <row r="281" spans="2:25" x14ac:dyDescent="0.2">
      <c r="B281" s="545" t="s">
        <v>873</v>
      </c>
      <c r="C281" s="499" t="s">
        <v>719</v>
      </c>
      <c r="D281" s="499"/>
      <c r="E281" s="499"/>
      <c r="F281" s="499" t="s">
        <v>1994</v>
      </c>
      <c r="G281" s="499" t="s">
        <v>2093</v>
      </c>
      <c r="H281" s="499" t="s">
        <v>1447</v>
      </c>
      <c r="I281" s="499" t="s">
        <v>990</v>
      </c>
      <c r="J281" s="499" t="s">
        <v>991</v>
      </c>
      <c r="K281" s="499" t="s">
        <v>2076</v>
      </c>
      <c r="L281" s="499">
        <v>1</v>
      </c>
      <c r="M281" s="499" t="s">
        <v>2086</v>
      </c>
      <c r="N281" s="499" t="s">
        <v>2066</v>
      </c>
      <c r="O281" s="525">
        <v>0</v>
      </c>
      <c r="P281" s="499" t="s">
        <v>2054</v>
      </c>
      <c r="Q281" s="499"/>
      <c r="R281" s="499"/>
      <c r="S281" s="525"/>
      <c r="T281" s="525">
        <v>0</v>
      </c>
      <c r="U281" s="525">
        <v>1</v>
      </c>
      <c r="V281" s="525" t="s">
        <v>2054</v>
      </c>
      <c r="W281" s="589">
        <f>IF(AND(BaleMover[[#This Row],[Scenario_ID]]="S3",BaleMover[[#This Row],[MRF_ID]]="05"),0,IFERROR(BaleMover[[#This Row],[Total_Baled_tons]]*(IF(BaleMover[[#This Row],[Scenario_ID]]="S0",-2,0)+INDEX(BalePrices[Low],MATCH(BaleMover[[#This Row],[Bale_ID]],BalePrices[Bale_ID],0))),0))</f>
        <v>0</v>
      </c>
      <c r="X281" s="397">
        <f>IF(AND(BaleMover[[#This Row],[Scenario_ID]]="S3",BaleMover[[#This Row],[MRF_ID]]="05"),0,IFERROR(BaleMover[[#This Row],[Total_Baled_tons]]*(IF(BaleMover[[#This Row],[Scenario_ID]]="S0",-2,0)+INDEX(BalePrices[Mid-Point],MATCH(BaleMover[[#This Row],[Bale_ID]],BalePrices[Bale_ID],0))),0))</f>
        <v>0</v>
      </c>
      <c r="Y281" s="397">
        <f>IF(AND(BaleMover[[#This Row],[Scenario_ID]]="S3",BaleMover[[#This Row],[MRF_ID]]="05"),0,IFERROR(BaleMover[[#This Row],[Total_Baled_tons]]*(IF(BaleMover[[#This Row],[Scenario_ID]]="S0",-2,0)+INDEX(BalePrices[High],MATCH(BaleMover[[#This Row],[Bale_ID]],BalePrices[Bale_ID],0))),0))</f>
        <v>0</v>
      </c>
    </row>
    <row r="282" spans="2:25" x14ac:dyDescent="0.2">
      <c r="B282" s="545" t="s">
        <v>876</v>
      </c>
      <c r="C282" s="499" t="s">
        <v>719</v>
      </c>
      <c r="D282" s="499"/>
      <c r="E282" s="499"/>
      <c r="F282" s="499" t="s">
        <v>1994</v>
      </c>
      <c r="G282" s="499" t="s">
        <v>2090</v>
      </c>
      <c r="H282" s="499" t="s">
        <v>1448</v>
      </c>
      <c r="I282" s="499" t="s">
        <v>994</v>
      </c>
      <c r="J282" s="499" t="s">
        <v>995</v>
      </c>
      <c r="K282" s="499" t="s">
        <v>2076</v>
      </c>
      <c r="L282" s="499">
        <v>8</v>
      </c>
      <c r="M282" s="499" t="s">
        <v>2085</v>
      </c>
      <c r="N282" s="499" t="s">
        <v>2068</v>
      </c>
      <c r="O282" s="525">
        <v>0</v>
      </c>
      <c r="P282" s="499" t="s">
        <v>2054</v>
      </c>
      <c r="Q282" s="499"/>
      <c r="R282" s="499"/>
      <c r="S282" s="525"/>
      <c r="T282" s="525">
        <v>0</v>
      </c>
      <c r="U282" s="525">
        <v>1</v>
      </c>
      <c r="V282" s="525" t="s">
        <v>2054</v>
      </c>
      <c r="W282" s="589">
        <f>IF(AND(BaleMover[[#This Row],[Scenario_ID]]="S3",BaleMover[[#This Row],[MRF_ID]]="05"),0,IFERROR(BaleMover[[#This Row],[Total_Baled_tons]]*(IF(BaleMover[[#This Row],[Scenario_ID]]="S0",-2,0)+INDEX(BalePrices[Low],MATCH(BaleMover[[#This Row],[Bale_ID]],BalePrices[Bale_ID],0))),0))</f>
        <v>0</v>
      </c>
      <c r="X282" s="397">
        <f>IF(AND(BaleMover[[#This Row],[Scenario_ID]]="S3",BaleMover[[#This Row],[MRF_ID]]="05"),0,IFERROR(BaleMover[[#This Row],[Total_Baled_tons]]*(IF(BaleMover[[#This Row],[Scenario_ID]]="S0",-2,0)+INDEX(BalePrices[Mid-Point],MATCH(BaleMover[[#This Row],[Bale_ID]],BalePrices[Bale_ID],0))),0))</f>
        <v>0</v>
      </c>
      <c r="Y282" s="397">
        <f>IF(AND(BaleMover[[#This Row],[Scenario_ID]]="S3",BaleMover[[#This Row],[MRF_ID]]="05"),0,IFERROR(BaleMover[[#This Row],[Total_Baled_tons]]*(IF(BaleMover[[#This Row],[Scenario_ID]]="S0",-2,0)+INDEX(BalePrices[High],MATCH(BaleMover[[#This Row],[Bale_ID]],BalePrices[Bale_ID],0))),0))</f>
        <v>0</v>
      </c>
    </row>
    <row r="283" spans="2:25" x14ac:dyDescent="0.2">
      <c r="B283" s="545" t="s">
        <v>875</v>
      </c>
      <c r="C283" s="499" t="s">
        <v>719</v>
      </c>
      <c r="D283" s="499"/>
      <c r="E283" s="499"/>
      <c r="F283" s="499" t="s">
        <v>1994</v>
      </c>
      <c r="G283" s="499" t="s">
        <v>2091</v>
      </c>
      <c r="H283" s="499" t="s">
        <v>1449</v>
      </c>
      <c r="I283" s="499" t="s">
        <v>994</v>
      </c>
      <c r="J283" s="499" t="s">
        <v>995</v>
      </c>
      <c r="K283" s="499" t="s">
        <v>2076</v>
      </c>
      <c r="L283" s="499">
        <v>8</v>
      </c>
      <c r="M283" s="499" t="s">
        <v>2085</v>
      </c>
      <c r="N283" s="499" t="s">
        <v>2068</v>
      </c>
      <c r="O283" s="525">
        <v>0</v>
      </c>
      <c r="P283" s="499" t="s">
        <v>2054</v>
      </c>
      <c r="Q283" s="499"/>
      <c r="R283" s="499"/>
      <c r="S283" s="525"/>
      <c r="T283" s="525">
        <v>0</v>
      </c>
      <c r="U283" s="525">
        <v>1</v>
      </c>
      <c r="V283" s="525" t="s">
        <v>2054</v>
      </c>
      <c r="W283" s="589">
        <f>IF(AND(BaleMover[[#This Row],[Scenario_ID]]="S3",BaleMover[[#This Row],[MRF_ID]]="05"),0,IFERROR(BaleMover[[#This Row],[Total_Baled_tons]]*(IF(BaleMover[[#This Row],[Scenario_ID]]="S0",-2,0)+INDEX(BalePrices[Low],MATCH(BaleMover[[#This Row],[Bale_ID]],BalePrices[Bale_ID],0))),0))</f>
        <v>0</v>
      </c>
      <c r="X283" s="397">
        <f>IF(AND(BaleMover[[#This Row],[Scenario_ID]]="S3",BaleMover[[#This Row],[MRF_ID]]="05"),0,IFERROR(BaleMover[[#This Row],[Total_Baled_tons]]*(IF(BaleMover[[#This Row],[Scenario_ID]]="S0",-2,0)+INDEX(BalePrices[Mid-Point],MATCH(BaleMover[[#This Row],[Bale_ID]],BalePrices[Bale_ID],0))),0))</f>
        <v>0</v>
      </c>
      <c r="Y283" s="397">
        <f>IF(AND(BaleMover[[#This Row],[Scenario_ID]]="S3",BaleMover[[#This Row],[MRF_ID]]="05"),0,IFERROR(BaleMover[[#This Row],[Total_Baled_tons]]*(IF(BaleMover[[#This Row],[Scenario_ID]]="S0",-2,0)+INDEX(BalePrices[High],MATCH(BaleMover[[#This Row],[Bale_ID]],BalePrices[Bale_ID],0))),0))</f>
        <v>0</v>
      </c>
    </row>
    <row r="284" spans="2:25" x14ac:dyDescent="0.2">
      <c r="B284" s="545" t="s">
        <v>874</v>
      </c>
      <c r="C284" s="499" t="s">
        <v>719</v>
      </c>
      <c r="D284" s="499"/>
      <c r="E284" s="499"/>
      <c r="F284" s="499" t="s">
        <v>1994</v>
      </c>
      <c r="G284" s="499" t="s">
        <v>2092</v>
      </c>
      <c r="H284" s="499" t="s">
        <v>1450</v>
      </c>
      <c r="I284" s="499" t="s">
        <v>994</v>
      </c>
      <c r="J284" s="499" t="s">
        <v>995</v>
      </c>
      <c r="K284" s="499" t="s">
        <v>2076</v>
      </c>
      <c r="L284" s="499">
        <v>8</v>
      </c>
      <c r="M284" s="499" t="s">
        <v>2085</v>
      </c>
      <c r="N284" s="499" t="s">
        <v>2068</v>
      </c>
      <c r="O284" s="525">
        <v>0</v>
      </c>
      <c r="P284" s="499" t="s">
        <v>2054</v>
      </c>
      <c r="Q284" s="499"/>
      <c r="R284" s="499"/>
      <c r="S284" s="525"/>
      <c r="T284" s="525">
        <v>0</v>
      </c>
      <c r="U284" s="525">
        <v>1</v>
      </c>
      <c r="V284" s="525" t="s">
        <v>2054</v>
      </c>
      <c r="W284" s="589">
        <f>IF(AND(BaleMover[[#This Row],[Scenario_ID]]="S3",BaleMover[[#This Row],[MRF_ID]]="05"),0,IFERROR(BaleMover[[#This Row],[Total_Baled_tons]]*(IF(BaleMover[[#This Row],[Scenario_ID]]="S0",-2,0)+INDEX(BalePrices[Low],MATCH(BaleMover[[#This Row],[Bale_ID]],BalePrices[Bale_ID],0))),0))</f>
        <v>0</v>
      </c>
      <c r="X284" s="397">
        <f>IF(AND(BaleMover[[#This Row],[Scenario_ID]]="S3",BaleMover[[#This Row],[MRF_ID]]="05"),0,IFERROR(BaleMover[[#This Row],[Total_Baled_tons]]*(IF(BaleMover[[#This Row],[Scenario_ID]]="S0",-2,0)+INDEX(BalePrices[Mid-Point],MATCH(BaleMover[[#This Row],[Bale_ID]],BalePrices[Bale_ID],0))),0))</f>
        <v>0</v>
      </c>
      <c r="Y284" s="397">
        <f>IF(AND(BaleMover[[#This Row],[Scenario_ID]]="S3",BaleMover[[#This Row],[MRF_ID]]="05"),0,IFERROR(BaleMover[[#This Row],[Total_Baled_tons]]*(IF(BaleMover[[#This Row],[Scenario_ID]]="S0",-2,0)+INDEX(BalePrices[High],MATCH(BaleMover[[#This Row],[Bale_ID]],BalePrices[Bale_ID],0))),0))</f>
        <v>0</v>
      </c>
    </row>
    <row r="285" spans="2:25" x14ac:dyDescent="0.2">
      <c r="B285" s="545" t="s">
        <v>873</v>
      </c>
      <c r="C285" s="499" t="s">
        <v>719</v>
      </c>
      <c r="D285" s="499"/>
      <c r="E285" s="499"/>
      <c r="F285" s="499" t="s">
        <v>1994</v>
      </c>
      <c r="G285" s="499" t="s">
        <v>2093</v>
      </c>
      <c r="H285" s="499" t="s">
        <v>1451</v>
      </c>
      <c r="I285" s="499" t="s">
        <v>994</v>
      </c>
      <c r="J285" s="499" t="s">
        <v>995</v>
      </c>
      <c r="K285" s="499" t="s">
        <v>2076</v>
      </c>
      <c r="L285" s="499">
        <v>8</v>
      </c>
      <c r="M285" s="499" t="s">
        <v>2085</v>
      </c>
      <c r="N285" s="499" t="s">
        <v>2068</v>
      </c>
      <c r="O285" s="525">
        <v>0</v>
      </c>
      <c r="P285" s="499" t="s">
        <v>2054</v>
      </c>
      <c r="Q285" s="499"/>
      <c r="R285" s="499"/>
      <c r="S285" s="525"/>
      <c r="T285" s="525">
        <v>0</v>
      </c>
      <c r="U285" s="525">
        <v>1</v>
      </c>
      <c r="V285" s="525" t="s">
        <v>2054</v>
      </c>
      <c r="W285" s="589">
        <f>IF(AND(BaleMover[[#This Row],[Scenario_ID]]="S3",BaleMover[[#This Row],[MRF_ID]]="05"),0,IFERROR(BaleMover[[#This Row],[Total_Baled_tons]]*(IF(BaleMover[[#This Row],[Scenario_ID]]="S0",-2,0)+INDEX(BalePrices[Low],MATCH(BaleMover[[#This Row],[Bale_ID]],BalePrices[Bale_ID],0))),0))</f>
        <v>0</v>
      </c>
      <c r="X285" s="397">
        <f>IF(AND(BaleMover[[#This Row],[Scenario_ID]]="S3",BaleMover[[#This Row],[MRF_ID]]="05"),0,IFERROR(BaleMover[[#This Row],[Total_Baled_tons]]*(IF(BaleMover[[#This Row],[Scenario_ID]]="S0",-2,0)+INDEX(BalePrices[Mid-Point],MATCH(BaleMover[[#This Row],[Bale_ID]],BalePrices[Bale_ID],0))),0))</f>
        <v>0</v>
      </c>
      <c r="Y285" s="397">
        <f>IF(AND(BaleMover[[#This Row],[Scenario_ID]]="S3",BaleMover[[#This Row],[MRF_ID]]="05"),0,IFERROR(BaleMover[[#This Row],[Total_Baled_tons]]*(IF(BaleMover[[#This Row],[Scenario_ID]]="S0",-2,0)+INDEX(BalePrices[High],MATCH(BaleMover[[#This Row],[Bale_ID]],BalePrices[Bale_ID],0))),0))</f>
        <v>0</v>
      </c>
    </row>
    <row r="286" spans="2:25" x14ac:dyDescent="0.2">
      <c r="B286" s="545" t="s">
        <v>876</v>
      </c>
      <c r="C286" s="499" t="s">
        <v>719</v>
      </c>
      <c r="D286" s="499"/>
      <c r="E286" s="499"/>
      <c r="F286" s="499" t="s">
        <v>1994</v>
      </c>
      <c r="G286" s="499" t="s">
        <v>2090</v>
      </c>
      <c r="H286" s="499" t="s">
        <v>1452</v>
      </c>
      <c r="I286" s="499" t="s">
        <v>996</v>
      </c>
      <c r="J286" s="499" t="s">
        <v>997</v>
      </c>
      <c r="K286" s="499" t="s">
        <v>2076</v>
      </c>
      <c r="L286" s="499">
        <v>8</v>
      </c>
      <c r="M286" s="499" t="s">
        <v>2085</v>
      </c>
      <c r="N286" s="499" t="s">
        <v>2068</v>
      </c>
      <c r="O286" s="525">
        <v>0</v>
      </c>
      <c r="P286" s="499" t="s">
        <v>2054</v>
      </c>
      <c r="Q286" s="499"/>
      <c r="R286" s="499"/>
      <c r="S286" s="525"/>
      <c r="T286" s="525">
        <v>0</v>
      </c>
      <c r="U286" s="525">
        <v>1</v>
      </c>
      <c r="V286" s="525" t="s">
        <v>2054</v>
      </c>
      <c r="W286" s="589">
        <f>IF(AND(BaleMover[[#This Row],[Scenario_ID]]="S3",BaleMover[[#This Row],[MRF_ID]]="05"),0,IFERROR(BaleMover[[#This Row],[Total_Baled_tons]]*(IF(BaleMover[[#This Row],[Scenario_ID]]="S0",-2,0)+INDEX(BalePrices[Low],MATCH(BaleMover[[#This Row],[Bale_ID]],BalePrices[Bale_ID],0))),0))</f>
        <v>0</v>
      </c>
      <c r="X286" s="397">
        <f>IF(AND(BaleMover[[#This Row],[Scenario_ID]]="S3",BaleMover[[#This Row],[MRF_ID]]="05"),0,IFERROR(BaleMover[[#This Row],[Total_Baled_tons]]*(IF(BaleMover[[#This Row],[Scenario_ID]]="S0",-2,0)+INDEX(BalePrices[Mid-Point],MATCH(BaleMover[[#This Row],[Bale_ID]],BalePrices[Bale_ID],0))),0))</f>
        <v>0</v>
      </c>
      <c r="Y286" s="397">
        <f>IF(AND(BaleMover[[#This Row],[Scenario_ID]]="S3",BaleMover[[#This Row],[MRF_ID]]="05"),0,IFERROR(BaleMover[[#This Row],[Total_Baled_tons]]*(IF(BaleMover[[#This Row],[Scenario_ID]]="S0",-2,0)+INDEX(BalePrices[High],MATCH(BaleMover[[#This Row],[Bale_ID]],BalePrices[Bale_ID],0))),0))</f>
        <v>0</v>
      </c>
    </row>
    <row r="287" spans="2:25" x14ac:dyDescent="0.2">
      <c r="B287" s="545" t="s">
        <v>875</v>
      </c>
      <c r="C287" s="499" t="s">
        <v>719</v>
      </c>
      <c r="D287" s="499"/>
      <c r="E287" s="499"/>
      <c r="F287" s="499" t="s">
        <v>1994</v>
      </c>
      <c r="G287" s="499" t="s">
        <v>2091</v>
      </c>
      <c r="H287" s="499" t="s">
        <v>1453</v>
      </c>
      <c r="I287" s="499" t="s">
        <v>996</v>
      </c>
      <c r="J287" s="499" t="s">
        <v>997</v>
      </c>
      <c r="K287" s="499" t="s">
        <v>2076</v>
      </c>
      <c r="L287" s="499">
        <v>8</v>
      </c>
      <c r="M287" s="499" t="s">
        <v>2085</v>
      </c>
      <c r="N287" s="499" t="s">
        <v>2068</v>
      </c>
      <c r="O287" s="525">
        <v>0</v>
      </c>
      <c r="P287" s="499" t="s">
        <v>2054</v>
      </c>
      <c r="Q287" s="499"/>
      <c r="R287" s="499"/>
      <c r="S287" s="525"/>
      <c r="T287" s="525">
        <v>0</v>
      </c>
      <c r="U287" s="525">
        <v>1</v>
      </c>
      <c r="V287" s="525" t="s">
        <v>2054</v>
      </c>
      <c r="W287" s="589">
        <f>IF(AND(BaleMover[[#This Row],[Scenario_ID]]="S3",BaleMover[[#This Row],[MRF_ID]]="05"),0,IFERROR(BaleMover[[#This Row],[Total_Baled_tons]]*(IF(BaleMover[[#This Row],[Scenario_ID]]="S0",-2,0)+INDEX(BalePrices[Low],MATCH(BaleMover[[#This Row],[Bale_ID]],BalePrices[Bale_ID],0))),0))</f>
        <v>0</v>
      </c>
      <c r="X287" s="397">
        <f>IF(AND(BaleMover[[#This Row],[Scenario_ID]]="S3",BaleMover[[#This Row],[MRF_ID]]="05"),0,IFERROR(BaleMover[[#This Row],[Total_Baled_tons]]*(IF(BaleMover[[#This Row],[Scenario_ID]]="S0",-2,0)+INDEX(BalePrices[Mid-Point],MATCH(BaleMover[[#This Row],[Bale_ID]],BalePrices[Bale_ID],0))),0))</f>
        <v>0</v>
      </c>
      <c r="Y287" s="397">
        <f>IF(AND(BaleMover[[#This Row],[Scenario_ID]]="S3",BaleMover[[#This Row],[MRF_ID]]="05"),0,IFERROR(BaleMover[[#This Row],[Total_Baled_tons]]*(IF(BaleMover[[#This Row],[Scenario_ID]]="S0",-2,0)+INDEX(BalePrices[High],MATCH(BaleMover[[#This Row],[Bale_ID]],BalePrices[Bale_ID],0))),0))</f>
        <v>0</v>
      </c>
    </row>
    <row r="288" spans="2:25" x14ac:dyDescent="0.2">
      <c r="B288" s="545" t="s">
        <v>874</v>
      </c>
      <c r="C288" s="499" t="s">
        <v>719</v>
      </c>
      <c r="D288" s="499"/>
      <c r="E288" s="499"/>
      <c r="F288" s="499" t="s">
        <v>1994</v>
      </c>
      <c r="G288" s="499" t="s">
        <v>2092</v>
      </c>
      <c r="H288" s="499" t="s">
        <v>1454</v>
      </c>
      <c r="I288" s="499" t="s">
        <v>996</v>
      </c>
      <c r="J288" s="499" t="s">
        <v>997</v>
      </c>
      <c r="K288" s="499" t="s">
        <v>2076</v>
      </c>
      <c r="L288" s="499">
        <v>8</v>
      </c>
      <c r="M288" s="499" t="s">
        <v>2085</v>
      </c>
      <c r="N288" s="499" t="s">
        <v>2068</v>
      </c>
      <c r="O288" s="525">
        <v>0</v>
      </c>
      <c r="P288" s="499" t="s">
        <v>2054</v>
      </c>
      <c r="Q288" s="499"/>
      <c r="R288" s="499"/>
      <c r="S288" s="525"/>
      <c r="T288" s="525">
        <v>0</v>
      </c>
      <c r="U288" s="525">
        <v>1</v>
      </c>
      <c r="V288" s="525" t="s">
        <v>2054</v>
      </c>
      <c r="W288" s="589">
        <f>IF(AND(BaleMover[[#This Row],[Scenario_ID]]="S3",BaleMover[[#This Row],[MRF_ID]]="05"),0,IFERROR(BaleMover[[#This Row],[Total_Baled_tons]]*(IF(BaleMover[[#This Row],[Scenario_ID]]="S0",-2,0)+INDEX(BalePrices[Low],MATCH(BaleMover[[#This Row],[Bale_ID]],BalePrices[Bale_ID],0))),0))</f>
        <v>0</v>
      </c>
      <c r="X288" s="397">
        <f>IF(AND(BaleMover[[#This Row],[Scenario_ID]]="S3",BaleMover[[#This Row],[MRF_ID]]="05"),0,IFERROR(BaleMover[[#This Row],[Total_Baled_tons]]*(IF(BaleMover[[#This Row],[Scenario_ID]]="S0",-2,0)+INDEX(BalePrices[Mid-Point],MATCH(BaleMover[[#This Row],[Bale_ID]],BalePrices[Bale_ID],0))),0))</f>
        <v>0</v>
      </c>
      <c r="Y288" s="397">
        <f>IF(AND(BaleMover[[#This Row],[Scenario_ID]]="S3",BaleMover[[#This Row],[MRF_ID]]="05"),0,IFERROR(BaleMover[[#This Row],[Total_Baled_tons]]*(IF(BaleMover[[#This Row],[Scenario_ID]]="S0",-2,0)+INDEX(BalePrices[High],MATCH(BaleMover[[#This Row],[Bale_ID]],BalePrices[Bale_ID],0))),0))</f>
        <v>0</v>
      </c>
    </row>
    <row r="289" spans="2:25" x14ac:dyDescent="0.2">
      <c r="B289" s="545" t="s">
        <v>873</v>
      </c>
      <c r="C289" s="499" t="s">
        <v>719</v>
      </c>
      <c r="D289" s="499"/>
      <c r="E289" s="499"/>
      <c r="F289" s="499" t="s">
        <v>1994</v>
      </c>
      <c r="G289" s="499" t="s">
        <v>2093</v>
      </c>
      <c r="H289" s="499" t="s">
        <v>1455</v>
      </c>
      <c r="I289" s="499" t="s">
        <v>996</v>
      </c>
      <c r="J289" s="499" t="s">
        <v>997</v>
      </c>
      <c r="K289" s="499" t="s">
        <v>2076</v>
      </c>
      <c r="L289" s="499">
        <v>8</v>
      </c>
      <c r="M289" s="499" t="s">
        <v>2085</v>
      </c>
      <c r="N289" s="499" t="s">
        <v>2068</v>
      </c>
      <c r="O289" s="525">
        <v>0</v>
      </c>
      <c r="P289" s="499" t="s">
        <v>2054</v>
      </c>
      <c r="Q289" s="499"/>
      <c r="R289" s="499"/>
      <c r="S289" s="525"/>
      <c r="T289" s="525">
        <v>0</v>
      </c>
      <c r="U289" s="525">
        <v>1</v>
      </c>
      <c r="V289" s="525" t="s">
        <v>2054</v>
      </c>
      <c r="W289" s="589">
        <f>IF(AND(BaleMover[[#This Row],[Scenario_ID]]="S3",BaleMover[[#This Row],[MRF_ID]]="05"),0,IFERROR(BaleMover[[#This Row],[Total_Baled_tons]]*(IF(BaleMover[[#This Row],[Scenario_ID]]="S0",-2,0)+INDEX(BalePrices[Low],MATCH(BaleMover[[#This Row],[Bale_ID]],BalePrices[Bale_ID],0))),0))</f>
        <v>0</v>
      </c>
      <c r="X289" s="397">
        <f>IF(AND(BaleMover[[#This Row],[Scenario_ID]]="S3",BaleMover[[#This Row],[MRF_ID]]="05"),0,IFERROR(BaleMover[[#This Row],[Total_Baled_tons]]*(IF(BaleMover[[#This Row],[Scenario_ID]]="S0",-2,0)+INDEX(BalePrices[Mid-Point],MATCH(BaleMover[[#This Row],[Bale_ID]],BalePrices[Bale_ID],0))),0))</f>
        <v>0</v>
      </c>
      <c r="Y289" s="397">
        <f>IF(AND(BaleMover[[#This Row],[Scenario_ID]]="S3",BaleMover[[#This Row],[MRF_ID]]="05"),0,IFERROR(BaleMover[[#This Row],[Total_Baled_tons]]*(IF(BaleMover[[#This Row],[Scenario_ID]]="S0",-2,0)+INDEX(BalePrices[High],MATCH(BaleMover[[#This Row],[Bale_ID]],BalePrices[Bale_ID],0))),0))</f>
        <v>0</v>
      </c>
    </row>
    <row r="290" spans="2:25" x14ac:dyDescent="0.2">
      <c r="B290" s="545" t="s">
        <v>876</v>
      </c>
      <c r="C290" s="499" t="s">
        <v>719</v>
      </c>
      <c r="D290" s="499"/>
      <c r="E290" s="499"/>
      <c r="F290" s="499" t="s">
        <v>1994</v>
      </c>
      <c r="G290" s="499" t="s">
        <v>2090</v>
      </c>
      <c r="H290" s="499" t="s">
        <v>1456</v>
      </c>
      <c r="I290" s="499" t="s">
        <v>998</v>
      </c>
      <c r="J290" s="499" t="s">
        <v>999</v>
      </c>
      <c r="K290" s="499" t="s">
        <v>2076</v>
      </c>
      <c r="L290" s="499">
        <v>8</v>
      </c>
      <c r="M290" s="499" t="s">
        <v>2085</v>
      </c>
      <c r="N290" s="499" t="s">
        <v>2068</v>
      </c>
      <c r="O290" s="525">
        <v>0</v>
      </c>
      <c r="P290" s="499" t="s">
        <v>2054</v>
      </c>
      <c r="Q290" s="499"/>
      <c r="R290" s="499"/>
      <c r="S290" s="525"/>
      <c r="T290" s="525">
        <v>0</v>
      </c>
      <c r="U290" s="525">
        <v>1</v>
      </c>
      <c r="V290" s="525" t="s">
        <v>2054</v>
      </c>
      <c r="W290" s="589">
        <f>IF(AND(BaleMover[[#This Row],[Scenario_ID]]="S3",BaleMover[[#This Row],[MRF_ID]]="05"),0,IFERROR(BaleMover[[#This Row],[Total_Baled_tons]]*(IF(BaleMover[[#This Row],[Scenario_ID]]="S0",-2,0)+INDEX(BalePrices[Low],MATCH(BaleMover[[#This Row],[Bale_ID]],BalePrices[Bale_ID],0))),0))</f>
        <v>0</v>
      </c>
      <c r="X290" s="397">
        <f>IF(AND(BaleMover[[#This Row],[Scenario_ID]]="S3",BaleMover[[#This Row],[MRF_ID]]="05"),0,IFERROR(BaleMover[[#This Row],[Total_Baled_tons]]*(IF(BaleMover[[#This Row],[Scenario_ID]]="S0",-2,0)+INDEX(BalePrices[Mid-Point],MATCH(BaleMover[[#This Row],[Bale_ID]],BalePrices[Bale_ID],0))),0))</f>
        <v>0</v>
      </c>
      <c r="Y290" s="397">
        <f>IF(AND(BaleMover[[#This Row],[Scenario_ID]]="S3",BaleMover[[#This Row],[MRF_ID]]="05"),0,IFERROR(BaleMover[[#This Row],[Total_Baled_tons]]*(IF(BaleMover[[#This Row],[Scenario_ID]]="S0",-2,0)+INDEX(BalePrices[High],MATCH(BaleMover[[#This Row],[Bale_ID]],BalePrices[Bale_ID],0))),0))</f>
        <v>0</v>
      </c>
    </row>
    <row r="291" spans="2:25" x14ac:dyDescent="0.2">
      <c r="B291" s="545" t="s">
        <v>875</v>
      </c>
      <c r="C291" s="499" t="s">
        <v>719</v>
      </c>
      <c r="D291" s="499"/>
      <c r="E291" s="499"/>
      <c r="F291" s="499" t="s">
        <v>1994</v>
      </c>
      <c r="G291" s="499" t="s">
        <v>2091</v>
      </c>
      <c r="H291" s="499" t="s">
        <v>1457</v>
      </c>
      <c r="I291" s="499" t="s">
        <v>998</v>
      </c>
      <c r="J291" s="499" t="s">
        <v>999</v>
      </c>
      <c r="K291" s="499" t="s">
        <v>2076</v>
      </c>
      <c r="L291" s="499">
        <v>8</v>
      </c>
      <c r="M291" s="499" t="s">
        <v>2085</v>
      </c>
      <c r="N291" s="499" t="s">
        <v>2068</v>
      </c>
      <c r="O291" s="525">
        <v>0</v>
      </c>
      <c r="P291" s="499" t="s">
        <v>2054</v>
      </c>
      <c r="Q291" s="499"/>
      <c r="R291" s="499"/>
      <c r="S291" s="525"/>
      <c r="T291" s="525">
        <v>0</v>
      </c>
      <c r="U291" s="525">
        <v>1</v>
      </c>
      <c r="V291" s="525" t="s">
        <v>2054</v>
      </c>
      <c r="W291" s="589">
        <f>IF(AND(BaleMover[[#This Row],[Scenario_ID]]="S3",BaleMover[[#This Row],[MRF_ID]]="05"),0,IFERROR(BaleMover[[#This Row],[Total_Baled_tons]]*(IF(BaleMover[[#This Row],[Scenario_ID]]="S0",-2,0)+INDEX(BalePrices[Low],MATCH(BaleMover[[#This Row],[Bale_ID]],BalePrices[Bale_ID],0))),0))</f>
        <v>0</v>
      </c>
      <c r="X291" s="397">
        <f>IF(AND(BaleMover[[#This Row],[Scenario_ID]]="S3",BaleMover[[#This Row],[MRF_ID]]="05"),0,IFERROR(BaleMover[[#This Row],[Total_Baled_tons]]*(IF(BaleMover[[#This Row],[Scenario_ID]]="S0",-2,0)+INDEX(BalePrices[Mid-Point],MATCH(BaleMover[[#This Row],[Bale_ID]],BalePrices[Bale_ID],0))),0))</f>
        <v>0</v>
      </c>
      <c r="Y291" s="397">
        <f>IF(AND(BaleMover[[#This Row],[Scenario_ID]]="S3",BaleMover[[#This Row],[MRF_ID]]="05"),0,IFERROR(BaleMover[[#This Row],[Total_Baled_tons]]*(IF(BaleMover[[#This Row],[Scenario_ID]]="S0",-2,0)+INDEX(BalePrices[High],MATCH(BaleMover[[#This Row],[Bale_ID]],BalePrices[Bale_ID],0))),0))</f>
        <v>0</v>
      </c>
    </row>
    <row r="292" spans="2:25" x14ac:dyDescent="0.2">
      <c r="B292" s="545" t="s">
        <v>874</v>
      </c>
      <c r="C292" s="499" t="s">
        <v>719</v>
      </c>
      <c r="D292" s="499"/>
      <c r="E292" s="499"/>
      <c r="F292" s="499" t="s">
        <v>1994</v>
      </c>
      <c r="G292" s="499" t="s">
        <v>2092</v>
      </c>
      <c r="H292" s="499" t="s">
        <v>1458</v>
      </c>
      <c r="I292" s="499" t="s">
        <v>998</v>
      </c>
      <c r="J292" s="499" t="s">
        <v>999</v>
      </c>
      <c r="K292" s="499" t="s">
        <v>2076</v>
      </c>
      <c r="L292" s="499">
        <v>8</v>
      </c>
      <c r="M292" s="499" t="s">
        <v>2085</v>
      </c>
      <c r="N292" s="499" t="s">
        <v>2068</v>
      </c>
      <c r="O292" s="525">
        <v>0</v>
      </c>
      <c r="P292" s="499" t="s">
        <v>2054</v>
      </c>
      <c r="Q292" s="499"/>
      <c r="R292" s="499"/>
      <c r="S292" s="525"/>
      <c r="T292" s="525">
        <v>0</v>
      </c>
      <c r="U292" s="525">
        <v>1</v>
      </c>
      <c r="V292" s="525" t="s">
        <v>2054</v>
      </c>
      <c r="W292" s="589">
        <f>IF(AND(BaleMover[[#This Row],[Scenario_ID]]="S3",BaleMover[[#This Row],[MRF_ID]]="05"),0,IFERROR(BaleMover[[#This Row],[Total_Baled_tons]]*(IF(BaleMover[[#This Row],[Scenario_ID]]="S0",-2,0)+INDEX(BalePrices[Low],MATCH(BaleMover[[#This Row],[Bale_ID]],BalePrices[Bale_ID],0))),0))</f>
        <v>0</v>
      </c>
      <c r="X292" s="397">
        <f>IF(AND(BaleMover[[#This Row],[Scenario_ID]]="S3",BaleMover[[#This Row],[MRF_ID]]="05"),0,IFERROR(BaleMover[[#This Row],[Total_Baled_tons]]*(IF(BaleMover[[#This Row],[Scenario_ID]]="S0",-2,0)+INDEX(BalePrices[Mid-Point],MATCH(BaleMover[[#This Row],[Bale_ID]],BalePrices[Bale_ID],0))),0))</f>
        <v>0</v>
      </c>
      <c r="Y292" s="397">
        <f>IF(AND(BaleMover[[#This Row],[Scenario_ID]]="S3",BaleMover[[#This Row],[MRF_ID]]="05"),0,IFERROR(BaleMover[[#This Row],[Total_Baled_tons]]*(IF(BaleMover[[#This Row],[Scenario_ID]]="S0",-2,0)+INDEX(BalePrices[High],MATCH(BaleMover[[#This Row],[Bale_ID]],BalePrices[Bale_ID],0))),0))</f>
        <v>0</v>
      </c>
    </row>
    <row r="293" spans="2:25" x14ac:dyDescent="0.2">
      <c r="B293" s="545" t="s">
        <v>873</v>
      </c>
      <c r="C293" s="499" t="s">
        <v>719</v>
      </c>
      <c r="D293" s="499"/>
      <c r="E293" s="499"/>
      <c r="F293" s="499" t="s">
        <v>1994</v>
      </c>
      <c r="G293" s="499" t="s">
        <v>2093</v>
      </c>
      <c r="H293" s="499" t="s">
        <v>1459</v>
      </c>
      <c r="I293" s="499" t="s">
        <v>998</v>
      </c>
      <c r="J293" s="499" t="s">
        <v>999</v>
      </c>
      <c r="K293" s="499" t="s">
        <v>2076</v>
      </c>
      <c r="L293" s="499">
        <v>8</v>
      </c>
      <c r="M293" s="499" t="s">
        <v>2085</v>
      </c>
      <c r="N293" s="499" t="s">
        <v>2068</v>
      </c>
      <c r="O293" s="525">
        <v>0</v>
      </c>
      <c r="P293" s="499" t="s">
        <v>2054</v>
      </c>
      <c r="Q293" s="499"/>
      <c r="R293" s="499"/>
      <c r="S293" s="525"/>
      <c r="T293" s="525">
        <v>0</v>
      </c>
      <c r="U293" s="525">
        <v>1</v>
      </c>
      <c r="V293" s="525" t="s">
        <v>2054</v>
      </c>
      <c r="W293" s="589">
        <f>IF(AND(BaleMover[[#This Row],[Scenario_ID]]="S3",BaleMover[[#This Row],[MRF_ID]]="05"),0,IFERROR(BaleMover[[#This Row],[Total_Baled_tons]]*(IF(BaleMover[[#This Row],[Scenario_ID]]="S0",-2,0)+INDEX(BalePrices[Low],MATCH(BaleMover[[#This Row],[Bale_ID]],BalePrices[Bale_ID],0))),0))</f>
        <v>0</v>
      </c>
      <c r="X293" s="397">
        <f>IF(AND(BaleMover[[#This Row],[Scenario_ID]]="S3",BaleMover[[#This Row],[MRF_ID]]="05"),0,IFERROR(BaleMover[[#This Row],[Total_Baled_tons]]*(IF(BaleMover[[#This Row],[Scenario_ID]]="S0",-2,0)+INDEX(BalePrices[Mid-Point],MATCH(BaleMover[[#This Row],[Bale_ID]],BalePrices[Bale_ID],0))),0))</f>
        <v>0</v>
      </c>
      <c r="Y293" s="397">
        <f>IF(AND(BaleMover[[#This Row],[Scenario_ID]]="S3",BaleMover[[#This Row],[MRF_ID]]="05"),0,IFERROR(BaleMover[[#This Row],[Total_Baled_tons]]*(IF(BaleMover[[#This Row],[Scenario_ID]]="S0",-2,0)+INDEX(BalePrices[High],MATCH(BaleMover[[#This Row],[Bale_ID]],BalePrices[Bale_ID],0))),0))</f>
        <v>0</v>
      </c>
    </row>
    <row r="294" spans="2:25" x14ac:dyDescent="0.2">
      <c r="B294" s="545" t="s">
        <v>876</v>
      </c>
      <c r="C294" s="499" t="s">
        <v>719</v>
      </c>
      <c r="D294" s="499"/>
      <c r="E294" s="499"/>
      <c r="F294" s="499" t="s">
        <v>1994</v>
      </c>
      <c r="G294" s="499" t="s">
        <v>2090</v>
      </c>
      <c r="H294" s="499" t="s">
        <v>1460</v>
      </c>
      <c r="I294" s="499" t="s">
        <v>1000</v>
      </c>
      <c r="J294" s="499" t="s">
        <v>1001</v>
      </c>
      <c r="K294" s="499" t="s">
        <v>2076</v>
      </c>
      <c r="L294" s="499">
        <v>12</v>
      </c>
      <c r="M294" s="499" t="s">
        <v>2087</v>
      </c>
      <c r="N294" s="499" t="s">
        <v>2070</v>
      </c>
      <c r="O294" s="525">
        <v>814.28136762946701</v>
      </c>
      <c r="P294" s="499">
        <v>2630</v>
      </c>
      <c r="Q294" s="499"/>
      <c r="R294" s="499"/>
      <c r="S294" s="525"/>
      <c r="T294" s="525">
        <v>0</v>
      </c>
      <c r="U294" s="525">
        <v>1</v>
      </c>
      <c r="V294" s="525">
        <v>2141559.9968654984</v>
      </c>
      <c r="W294" s="589">
        <f>IF(AND(BaleMover[[#This Row],[Scenario_ID]]="S3",BaleMover[[#This Row],[MRF_ID]]="05"),0,IFERROR(BaleMover[[#This Row],[Total_Baled_tons]]*(IF(BaleMover[[#This Row],[Scenario_ID]]="S0",-2,0)+INDEX(BalePrices[Low],MATCH(BaleMover[[#This Row],[Bale_ID]],BalePrices[Bale_ID],0))),0))</f>
        <v>39085.505646214413</v>
      </c>
      <c r="X294" s="397">
        <f>IF(AND(BaleMover[[#This Row],[Scenario_ID]]="S3",BaleMover[[#This Row],[MRF_ID]]="05"),0,IFERROR(BaleMover[[#This Row],[Total_Baled_tons]]*(IF(BaleMover[[#This Row],[Scenario_ID]]="S0",-2,0)+INDEX(BalePrices[Mid-Point],MATCH(BaleMover[[#This Row],[Bale_ID]],BalePrices[Bale_ID],0))),0))</f>
        <v>79799.574027687762</v>
      </c>
      <c r="Y294" s="397">
        <f>IF(AND(BaleMover[[#This Row],[Scenario_ID]]="S3",BaleMover[[#This Row],[MRF_ID]]="05"),0,IFERROR(BaleMover[[#This Row],[Total_Baled_tons]]*(IF(BaleMover[[#This Row],[Scenario_ID]]="S0",-2,0)+INDEX(BalePrices[High],MATCH(BaleMover[[#This Row],[Bale_ID]],BalePrices[Bale_ID],0))),0))</f>
        <v>120513.64240916111</v>
      </c>
    </row>
    <row r="295" spans="2:25" x14ac:dyDescent="0.2">
      <c r="B295" s="545" t="s">
        <v>875</v>
      </c>
      <c r="C295" s="499" t="s">
        <v>719</v>
      </c>
      <c r="D295" s="499"/>
      <c r="E295" s="499"/>
      <c r="F295" s="499" t="s">
        <v>1994</v>
      </c>
      <c r="G295" s="499" t="s">
        <v>2091</v>
      </c>
      <c r="H295" s="499" t="s">
        <v>1461</v>
      </c>
      <c r="I295" s="499" t="s">
        <v>1000</v>
      </c>
      <c r="J295" s="499" t="s">
        <v>1001</v>
      </c>
      <c r="K295" s="499" t="s">
        <v>2076</v>
      </c>
      <c r="L295" s="499">
        <v>12</v>
      </c>
      <c r="M295" s="499" t="s">
        <v>2087</v>
      </c>
      <c r="N295" s="499" t="s">
        <v>2070</v>
      </c>
      <c r="O295" s="525">
        <v>512.83017606444923</v>
      </c>
      <c r="P295" s="499">
        <v>2630</v>
      </c>
      <c r="Q295" s="499"/>
      <c r="R295" s="499"/>
      <c r="S295" s="525"/>
      <c r="T295" s="525">
        <v>0</v>
      </c>
      <c r="U295" s="525">
        <v>1</v>
      </c>
      <c r="V295" s="525">
        <v>1348743.3630495016</v>
      </c>
      <c r="W295" s="589">
        <f>IF(AND(BaleMover[[#This Row],[Scenario_ID]]="S3",BaleMover[[#This Row],[MRF_ID]]="05"),0,IFERROR(BaleMover[[#This Row],[Total_Baled_tons]]*(IF(BaleMover[[#This Row],[Scenario_ID]]="S0",-2,0)+INDEX(BalePrices[Low],MATCH(BaleMover[[#This Row],[Bale_ID]],BalePrices[Bale_ID],0))),0))</f>
        <v>25641.508803222463</v>
      </c>
      <c r="X295" s="397">
        <f>IF(AND(BaleMover[[#This Row],[Scenario_ID]]="S3",BaleMover[[#This Row],[MRF_ID]]="05"),0,IFERROR(BaleMover[[#This Row],[Total_Baled_tons]]*(IF(BaleMover[[#This Row],[Scenario_ID]]="S0",-2,0)+INDEX(BalePrices[Mid-Point],MATCH(BaleMover[[#This Row],[Bale_ID]],BalePrices[Bale_ID],0))),0))</f>
        <v>51283.017606444926</v>
      </c>
      <c r="Y295" s="397">
        <f>IF(AND(BaleMover[[#This Row],[Scenario_ID]]="S3",BaleMover[[#This Row],[MRF_ID]]="05"),0,IFERROR(BaleMover[[#This Row],[Total_Baled_tons]]*(IF(BaleMover[[#This Row],[Scenario_ID]]="S0",-2,0)+INDEX(BalePrices[High],MATCH(BaleMover[[#This Row],[Bale_ID]],BalePrices[Bale_ID],0))),0))</f>
        <v>76924.526409667378</v>
      </c>
    </row>
    <row r="296" spans="2:25" x14ac:dyDescent="0.2">
      <c r="B296" s="545" t="s">
        <v>874</v>
      </c>
      <c r="C296" s="499" t="s">
        <v>719</v>
      </c>
      <c r="D296" s="499"/>
      <c r="E296" s="499"/>
      <c r="F296" s="499" t="s">
        <v>1994</v>
      </c>
      <c r="G296" s="499" t="s">
        <v>2092</v>
      </c>
      <c r="H296" s="499" t="s">
        <v>1462</v>
      </c>
      <c r="I296" s="499" t="s">
        <v>1000</v>
      </c>
      <c r="J296" s="499" t="s">
        <v>1001</v>
      </c>
      <c r="K296" s="499" t="s">
        <v>2076</v>
      </c>
      <c r="L296" s="499">
        <v>12</v>
      </c>
      <c r="M296" s="499" t="s">
        <v>2087</v>
      </c>
      <c r="N296" s="499" t="s">
        <v>2070</v>
      </c>
      <c r="O296" s="525">
        <v>3381.4686248769544</v>
      </c>
      <c r="P296" s="499">
        <v>2630</v>
      </c>
      <c r="Q296" s="499"/>
      <c r="R296" s="499"/>
      <c r="S296" s="525"/>
      <c r="T296" s="525">
        <v>0</v>
      </c>
      <c r="U296" s="525">
        <v>1</v>
      </c>
      <c r="V296" s="525">
        <v>8893262.4834263902</v>
      </c>
      <c r="W296" s="589">
        <f>IF(AND(BaleMover[[#This Row],[Scenario_ID]]="S3",BaleMover[[#This Row],[MRF_ID]]="05"),0,IFERROR(BaleMover[[#This Row],[Total_Baled_tons]]*(IF(BaleMover[[#This Row],[Scenario_ID]]="S0",-2,0)+INDEX(BalePrices[Low],MATCH(BaleMover[[#This Row],[Bale_ID]],BalePrices[Bale_ID],0))),0))</f>
        <v>169073.43124384774</v>
      </c>
      <c r="X296" s="397">
        <f>IF(AND(BaleMover[[#This Row],[Scenario_ID]]="S3",BaleMover[[#This Row],[MRF_ID]]="05"),0,IFERROR(BaleMover[[#This Row],[Total_Baled_tons]]*(IF(BaleMover[[#This Row],[Scenario_ID]]="S0",-2,0)+INDEX(BalePrices[Mid-Point],MATCH(BaleMover[[#This Row],[Bale_ID]],BalePrices[Bale_ID],0))),0))</f>
        <v>338146.86248769547</v>
      </c>
      <c r="Y296" s="397">
        <f>IF(AND(BaleMover[[#This Row],[Scenario_ID]]="S3",BaleMover[[#This Row],[MRF_ID]]="05"),0,IFERROR(BaleMover[[#This Row],[Total_Baled_tons]]*(IF(BaleMover[[#This Row],[Scenario_ID]]="S0",-2,0)+INDEX(BalePrices[High],MATCH(BaleMover[[#This Row],[Bale_ID]],BalePrices[Bale_ID],0))),0))</f>
        <v>507220.29373154318</v>
      </c>
    </row>
    <row r="297" spans="2:25" x14ac:dyDescent="0.2">
      <c r="B297" s="545" t="s">
        <v>873</v>
      </c>
      <c r="C297" s="499" t="s">
        <v>719</v>
      </c>
      <c r="D297" s="499"/>
      <c r="E297" s="499"/>
      <c r="F297" s="499" t="s">
        <v>1994</v>
      </c>
      <c r="G297" s="499" t="s">
        <v>2093</v>
      </c>
      <c r="H297" s="499" t="s">
        <v>1463</v>
      </c>
      <c r="I297" s="499" t="s">
        <v>1000</v>
      </c>
      <c r="J297" s="499" t="s">
        <v>1001</v>
      </c>
      <c r="K297" s="499" t="s">
        <v>2076</v>
      </c>
      <c r="L297" s="499">
        <v>12</v>
      </c>
      <c r="M297" s="499" t="s">
        <v>2087</v>
      </c>
      <c r="N297" s="499" t="s">
        <v>2070</v>
      </c>
      <c r="O297" s="525">
        <v>3410.6899832815989</v>
      </c>
      <c r="P297" s="499">
        <v>2630</v>
      </c>
      <c r="Q297" s="499"/>
      <c r="R297" s="499"/>
      <c r="S297" s="525"/>
      <c r="T297" s="525">
        <v>0</v>
      </c>
      <c r="U297" s="525">
        <v>1</v>
      </c>
      <c r="V297" s="525">
        <v>8970114.6560306046</v>
      </c>
      <c r="W297" s="589">
        <f>IF(AND(BaleMover[[#This Row],[Scenario_ID]]="S3",BaleMover[[#This Row],[MRF_ID]]="05"),0,IFERROR(BaleMover[[#This Row],[Total_Baled_tons]]*(IF(BaleMover[[#This Row],[Scenario_ID]]="S0",-2,0)+INDEX(BalePrices[Low],MATCH(BaleMover[[#This Row],[Bale_ID]],BalePrices[Bale_ID],0))),0))</f>
        <v>170534.49916407996</v>
      </c>
      <c r="X297" s="397">
        <f>IF(AND(BaleMover[[#This Row],[Scenario_ID]]="S3",BaleMover[[#This Row],[MRF_ID]]="05"),0,IFERROR(BaleMover[[#This Row],[Total_Baled_tons]]*(IF(BaleMover[[#This Row],[Scenario_ID]]="S0",-2,0)+INDEX(BalePrices[Mid-Point],MATCH(BaleMover[[#This Row],[Bale_ID]],BalePrices[Bale_ID],0))),0))</f>
        <v>341068.99832815991</v>
      </c>
      <c r="Y297" s="397">
        <f>IF(AND(BaleMover[[#This Row],[Scenario_ID]]="S3",BaleMover[[#This Row],[MRF_ID]]="05"),0,IFERROR(BaleMover[[#This Row],[Total_Baled_tons]]*(IF(BaleMover[[#This Row],[Scenario_ID]]="S0",-2,0)+INDEX(BalePrices[High],MATCH(BaleMover[[#This Row],[Bale_ID]],BalePrices[Bale_ID],0))),0))</f>
        <v>511603.49749223981</v>
      </c>
    </row>
    <row r="298" spans="2:25" x14ac:dyDescent="0.2">
      <c r="B298" s="545" t="s">
        <v>876</v>
      </c>
      <c r="C298" s="499" t="s">
        <v>719</v>
      </c>
      <c r="D298" s="499"/>
      <c r="E298" s="499"/>
      <c r="F298" s="499" t="s">
        <v>1994</v>
      </c>
      <c r="G298" s="499" t="s">
        <v>2090</v>
      </c>
      <c r="H298" s="499" t="s">
        <v>1464</v>
      </c>
      <c r="I298" s="499" t="s">
        <v>1002</v>
      </c>
      <c r="J298" s="499" t="s">
        <v>1003</v>
      </c>
      <c r="K298" s="499" t="s">
        <v>2076</v>
      </c>
      <c r="L298" s="499">
        <v>1</v>
      </c>
      <c r="M298" s="499" t="s">
        <v>2086</v>
      </c>
      <c r="N298" s="499" t="s">
        <v>2066</v>
      </c>
      <c r="O298" s="525">
        <v>54.482900498905508</v>
      </c>
      <c r="P298" s="499">
        <v>20</v>
      </c>
      <c r="Q298" s="499"/>
      <c r="R298" s="499"/>
      <c r="S298" s="525"/>
      <c r="T298" s="525">
        <v>0</v>
      </c>
      <c r="U298" s="525">
        <v>1</v>
      </c>
      <c r="V298" s="525">
        <v>1089.6580099781102</v>
      </c>
      <c r="W298" s="589">
        <f>IF(AND(BaleMover[[#This Row],[Scenario_ID]]="S3",BaleMover[[#This Row],[MRF_ID]]="05"),0,IFERROR(BaleMover[[#This Row],[Total_Baled_tons]]*(IF(BaleMover[[#This Row],[Scenario_ID]]="S0",-2,0)+INDEX(BalePrices[Low],MATCH(BaleMover[[#This Row],[Bale_ID]],BalePrices[Bale_ID],0))),0))</f>
        <v>9425.5417863106522</v>
      </c>
      <c r="X298" s="397">
        <f>IF(AND(BaleMover[[#This Row],[Scenario_ID]]="S3",BaleMover[[#This Row],[MRF_ID]]="05"),0,IFERROR(BaleMover[[#This Row],[Total_Baled_tons]]*(IF(BaleMover[[#This Row],[Scenario_ID]]="S0",-2,0)+INDEX(BalePrices[Mid-Point],MATCH(BaleMover[[#This Row],[Bale_ID]],BalePrices[Bale_ID],0))),0))</f>
        <v>11468.650555019609</v>
      </c>
      <c r="Y298" s="397">
        <f>IF(AND(BaleMover[[#This Row],[Scenario_ID]]="S3",BaleMover[[#This Row],[MRF_ID]]="05"),0,IFERROR(BaleMover[[#This Row],[Total_Baled_tons]]*(IF(BaleMover[[#This Row],[Scenario_ID]]="S0",-2,0)+INDEX(BalePrices[High],MATCH(BaleMover[[#This Row],[Bale_ID]],BalePrices[Bale_ID],0))),0))</f>
        <v>13511.759323728566</v>
      </c>
    </row>
    <row r="299" spans="2:25" x14ac:dyDescent="0.2">
      <c r="B299" s="545" t="s">
        <v>875</v>
      </c>
      <c r="C299" s="499" t="s">
        <v>719</v>
      </c>
      <c r="D299" s="499"/>
      <c r="E299" s="499"/>
      <c r="F299" s="499" t="s">
        <v>1994</v>
      </c>
      <c r="G299" s="499" t="s">
        <v>2091</v>
      </c>
      <c r="H299" s="499" t="s">
        <v>1465</v>
      </c>
      <c r="I299" s="499" t="s">
        <v>1002</v>
      </c>
      <c r="J299" s="499" t="s">
        <v>1003</v>
      </c>
      <c r="K299" s="499" t="s">
        <v>2076</v>
      </c>
      <c r="L299" s="499">
        <v>1</v>
      </c>
      <c r="M299" s="499" t="s">
        <v>2086</v>
      </c>
      <c r="N299" s="499" t="s">
        <v>2066</v>
      </c>
      <c r="O299" s="525">
        <v>51.313421200872213</v>
      </c>
      <c r="P299" s="499">
        <v>20</v>
      </c>
      <c r="Q299" s="499"/>
      <c r="R299" s="499"/>
      <c r="S299" s="525"/>
      <c r="T299" s="525">
        <v>0</v>
      </c>
      <c r="U299" s="525">
        <v>1</v>
      </c>
      <c r="V299" s="525">
        <v>1026.2684240174442</v>
      </c>
      <c r="W299" s="589">
        <f>IF(AND(BaleMover[[#This Row],[Scenario_ID]]="S3",BaleMover[[#This Row],[MRF_ID]]="05"),0,IFERROR(BaleMover[[#This Row],[Total_Baled_tons]]*(IF(BaleMover[[#This Row],[Scenario_ID]]="S0",-2,0)+INDEX(BalePrices[Low],MATCH(BaleMover[[#This Row],[Bale_ID]],BalePrices[Bale_ID],0))),0))</f>
        <v>8979.8487101526371</v>
      </c>
      <c r="X299" s="397">
        <f>IF(AND(BaleMover[[#This Row],[Scenario_ID]]="S3",BaleMover[[#This Row],[MRF_ID]]="05"),0,IFERROR(BaleMover[[#This Row],[Total_Baled_tons]]*(IF(BaleMover[[#This Row],[Scenario_ID]]="S0",-2,0)+INDEX(BalePrices[Mid-Point],MATCH(BaleMover[[#This Row],[Bale_ID]],BalePrices[Bale_ID],0))),0))</f>
        <v>10904.102005185345</v>
      </c>
      <c r="Y299" s="397">
        <f>IF(AND(BaleMover[[#This Row],[Scenario_ID]]="S3",BaleMover[[#This Row],[MRF_ID]]="05"),0,IFERROR(BaleMover[[#This Row],[Total_Baled_tons]]*(IF(BaleMover[[#This Row],[Scenario_ID]]="S0",-2,0)+INDEX(BalePrices[High],MATCH(BaleMover[[#This Row],[Bale_ID]],BalePrices[Bale_ID],0))),0))</f>
        <v>12828.355300218052</v>
      </c>
    </row>
    <row r="300" spans="2:25" x14ac:dyDescent="0.2">
      <c r="B300" s="545" t="s">
        <v>874</v>
      </c>
      <c r="C300" s="499" t="s">
        <v>719</v>
      </c>
      <c r="D300" s="499"/>
      <c r="E300" s="499"/>
      <c r="F300" s="499" t="s">
        <v>1994</v>
      </c>
      <c r="G300" s="499" t="s">
        <v>2092</v>
      </c>
      <c r="H300" s="499" t="s">
        <v>1466</v>
      </c>
      <c r="I300" s="499" t="s">
        <v>1002</v>
      </c>
      <c r="J300" s="499" t="s">
        <v>1003</v>
      </c>
      <c r="K300" s="499" t="s">
        <v>2076</v>
      </c>
      <c r="L300" s="499">
        <v>1</v>
      </c>
      <c r="M300" s="499" t="s">
        <v>2086</v>
      </c>
      <c r="N300" s="499" t="s">
        <v>2066</v>
      </c>
      <c r="O300" s="525">
        <v>55.325978148101825</v>
      </c>
      <c r="P300" s="499">
        <v>20</v>
      </c>
      <c r="Q300" s="499"/>
      <c r="R300" s="499"/>
      <c r="S300" s="525"/>
      <c r="T300" s="525">
        <v>0</v>
      </c>
      <c r="U300" s="525">
        <v>1</v>
      </c>
      <c r="V300" s="525">
        <v>1106.5195629620366</v>
      </c>
      <c r="W300" s="589">
        <f>IF(AND(BaleMover[[#This Row],[Scenario_ID]]="S3",BaleMover[[#This Row],[MRF_ID]]="05"),0,IFERROR(BaleMover[[#This Row],[Total_Baled_tons]]*(IF(BaleMover[[#This Row],[Scenario_ID]]="S0",-2,0)+INDEX(BalePrices[Low],MATCH(BaleMover[[#This Row],[Bale_ID]],BalePrices[Bale_ID],0))),0))</f>
        <v>9682.0461759178197</v>
      </c>
      <c r="X300" s="397">
        <f>IF(AND(BaleMover[[#This Row],[Scenario_ID]]="S3",BaleMover[[#This Row],[MRF_ID]]="05"),0,IFERROR(BaleMover[[#This Row],[Total_Baled_tons]]*(IF(BaleMover[[#This Row],[Scenario_ID]]="S0",-2,0)+INDEX(BalePrices[Mid-Point],MATCH(BaleMover[[#This Row],[Bale_ID]],BalePrices[Bale_ID],0))),0))</f>
        <v>11756.770356471638</v>
      </c>
      <c r="Y300" s="397">
        <f>IF(AND(BaleMover[[#This Row],[Scenario_ID]]="S3",BaleMover[[#This Row],[MRF_ID]]="05"),0,IFERROR(BaleMover[[#This Row],[Total_Baled_tons]]*(IF(BaleMover[[#This Row],[Scenario_ID]]="S0",-2,0)+INDEX(BalePrices[High],MATCH(BaleMover[[#This Row],[Bale_ID]],BalePrices[Bale_ID],0))),0))</f>
        <v>13831.494537025455</v>
      </c>
    </row>
    <row r="301" spans="2:25" x14ac:dyDescent="0.2">
      <c r="B301" s="545" t="s">
        <v>873</v>
      </c>
      <c r="C301" s="499" t="s">
        <v>719</v>
      </c>
      <c r="D301" s="499"/>
      <c r="E301" s="499"/>
      <c r="F301" s="499" t="s">
        <v>1994</v>
      </c>
      <c r="G301" s="499" t="s">
        <v>2093</v>
      </c>
      <c r="H301" s="499" t="s">
        <v>1467</v>
      </c>
      <c r="I301" s="499" t="s">
        <v>1002</v>
      </c>
      <c r="J301" s="499" t="s">
        <v>1003</v>
      </c>
      <c r="K301" s="499" t="s">
        <v>2076</v>
      </c>
      <c r="L301" s="499">
        <v>1</v>
      </c>
      <c r="M301" s="499" t="s">
        <v>2086</v>
      </c>
      <c r="N301" s="499" t="s">
        <v>2066</v>
      </c>
      <c r="O301" s="525">
        <v>0</v>
      </c>
      <c r="P301" s="499" t="s">
        <v>2054</v>
      </c>
      <c r="Q301" s="499"/>
      <c r="R301" s="499"/>
      <c r="S301" s="525"/>
      <c r="T301" s="525">
        <v>0</v>
      </c>
      <c r="U301" s="525">
        <v>1</v>
      </c>
      <c r="V301" s="525" t="s">
        <v>2054</v>
      </c>
      <c r="W301" s="589">
        <f>IF(AND(BaleMover[[#This Row],[Scenario_ID]]="S3",BaleMover[[#This Row],[MRF_ID]]="05"),0,IFERROR(BaleMover[[#This Row],[Total_Baled_tons]]*(IF(BaleMover[[#This Row],[Scenario_ID]]="S0",-2,0)+INDEX(BalePrices[Low],MATCH(BaleMover[[#This Row],[Bale_ID]],BalePrices[Bale_ID],0))),0))</f>
        <v>0</v>
      </c>
      <c r="X301" s="397">
        <f>IF(AND(BaleMover[[#This Row],[Scenario_ID]]="S3",BaleMover[[#This Row],[MRF_ID]]="05"),0,IFERROR(BaleMover[[#This Row],[Total_Baled_tons]]*(IF(BaleMover[[#This Row],[Scenario_ID]]="S0",-2,0)+INDEX(BalePrices[Mid-Point],MATCH(BaleMover[[#This Row],[Bale_ID]],BalePrices[Bale_ID],0))),0))</f>
        <v>0</v>
      </c>
      <c r="Y301" s="397">
        <f>IF(AND(BaleMover[[#This Row],[Scenario_ID]]="S3",BaleMover[[#This Row],[MRF_ID]]="05"),0,IFERROR(BaleMover[[#This Row],[Total_Baled_tons]]*(IF(BaleMover[[#This Row],[Scenario_ID]]="S0",-2,0)+INDEX(BalePrices[High],MATCH(BaleMover[[#This Row],[Bale_ID]],BalePrices[Bale_ID],0))),0))</f>
        <v>0</v>
      </c>
    </row>
    <row r="302" spans="2:25" x14ac:dyDescent="0.2">
      <c r="B302" s="545" t="s">
        <v>876</v>
      </c>
      <c r="C302" s="499" t="s">
        <v>719</v>
      </c>
      <c r="D302" s="499"/>
      <c r="E302" s="499"/>
      <c r="F302" s="499" t="s">
        <v>1994</v>
      </c>
      <c r="G302" s="499" t="s">
        <v>2090</v>
      </c>
      <c r="H302" s="499" t="s">
        <v>1468</v>
      </c>
      <c r="I302" s="499" t="s">
        <v>1006</v>
      </c>
      <c r="J302" s="499" t="s">
        <v>1007</v>
      </c>
      <c r="K302" s="499" t="s">
        <v>2076</v>
      </c>
      <c r="L302" s="499">
        <v>1</v>
      </c>
      <c r="M302" s="499" t="s">
        <v>2086</v>
      </c>
      <c r="N302" s="499" t="s">
        <v>2066</v>
      </c>
      <c r="O302" s="525">
        <v>894.24925521701266</v>
      </c>
      <c r="P302" s="499">
        <v>20</v>
      </c>
      <c r="Q302" s="499"/>
      <c r="R302" s="499"/>
      <c r="S302" s="525"/>
      <c r="T302" s="525">
        <v>0</v>
      </c>
      <c r="U302" s="525">
        <v>1</v>
      </c>
      <c r="V302" s="525">
        <v>17884.985104340252</v>
      </c>
      <c r="W302" s="589">
        <f>IF(AND(BaleMover[[#This Row],[Scenario_ID]]="S3",BaleMover[[#This Row],[MRF_ID]]="05"),0,IFERROR(BaleMover[[#This Row],[Total_Baled_tons]]*(IF(BaleMover[[#This Row],[Scenario_ID]]="S0",-2,0)+INDEX(BalePrices[Low],MATCH(BaleMover[[#This Row],[Bale_ID]],BalePrices[Bale_ID],0))),0))</f>
        <v>42923.964250416611</v>
      </c>
      <c r="X302" s="397">
        <f>IF(AND(BaleMover[[#This Row],[Scenario_ID]]="S3",BaleMover[[#This Row],[MRF_ID]]="05"),0,IFERROR(BaleMover[[#This Row],[Total_Baled_tons]]*(IF(BaleMover[[#This Row],[Scenario_ID]]="S0",-2,0)+INDEX(BalePrices[Mid-Point],MATCH(BaleMover[[#This Row],[Bale_ID]],BalePrices[Bale_ID],0))),0))</f>
        <v>132348.88977211787</v>
      </c>
      <c r="Y302" s="397">
        <f>IF(AND(BaleMover[[#This Row],[Scenario_ID]]="S3",BaleMover[[#This Row],[MRF_ID]]="05"),0,IFERROR(BaleMover[[#This Row],[Total_Baled_tons]]*(IF(BaleMover[[#This Row],[Scenario_ID]]="S0",-2,0)+INDEX(BalePrices[High],MATCH(BaleMover[[#This Row],[Bale_ID]],BalePrices[Bale_ID],0))),0))</f>
        <v>221773.81529381915</v>
      </c>
    </row>
    <row r="303" spans="2:25" x14ac:dyDescent="0.2">
      <c r="B303" s="545" t="s">
        <v>875</v>
      </c>
      <c r="C303" s="499" t="s">
        <v>719</v>
      </c>
      <c r="D303" s="499"/>
      <c r="E303" s="499"/>
      <c r="F303" s="499" t="s">
        <v>1994</v>
      </c>
      <c r="G303" s="499" t="s">
        <v>2091</v>
      </c>
      <c r="H303" s="499" t="s">
        <v>1469</v>
      </c>
      <c r="I303" s="499" t="s">
        <v>1006</v>
      </c>
      <c r="J303" s="499" t="s">
        <v>1007</v>
      </c>
      <c r="K303" s="499" t="s">
        <v>2076</v>
      </c>
      <c r="L303" s="499">
        <v>1</v>
      </c>
      <c r="M303" s="499" t="s">
        <v>2086</v>
      </c>
      <c r="N303" s="499" t="s">
        <v>2066</v>
      </c>
      <c r="O303" s="525">
        <v>603.82614450013523</v>
      </c>
      <c r="P303" s="499">
        <v>20</v>
      </c>
      <c r="Q303" s="499"/>
      <c r="R303" s="499"/>
      <c r="S303" s="525"/>
      <c r="T303" s="525">
        <v>0</v>
      </c>
      <c r="U303" s="525">
        <v>1</v>
      </c>
      <c r="V303" s="525">
        <v>12076.522890002705</v>
      </c>
      <c r="W303" s="589">
        <f>IF(AND(BaleMover[[#This Row],[Scenario_ID]]="S3",BaleMover[[#This Row],[MRF_ID]]="05"),0,IFERROR(BaleMover[[#This Row],[Total_Baled_tons]]*(IF(BaleMover[[#This Row],[Scenario_ID]]="S0",-2,0)+INDEX(BalePrices[Low],MATCH(BaleMover[[#This Row],[Bale_ID]],BalePrices[Bale_ID],0))),0))</f>
        <v>30191.30722500676</v>
      </c>
      <c r="X303" s="397">
        <f>IF(AND(BaleMover[[#This Row],[Scenario_ID]]="S3",BaleMover[[#This Row],[MRF_ID]]="05"),0,IFERROR(BaleMover[[#This Row],[Total_Baled_tons]]*(IF(BaleMover[[#This Row],[Scenario_ID]]="S0",-2,0)+INDEX(BalePrices[Mid-Point],MATCH(BaleMover[[#This Row],[Bale_ID]],BalePrices[Bale_ID],0))),0))</f>
        <v>90573.92167502029</v>
      </c>
      <c r="Y303" s="397">
        <f>IF(AND(BaleMover[[#This Row],[Scenario_ID]]="S3",BaleMover[[#This Row],[MRF_ID]]="05"),0,IFERROR(BaleMover[[#This Row],[Total_Baled_tons]]*(IF(BaleMover[[#This Row],[Scenario_ID]]="S0",-2,0)+INDEX(BalePrices[High],MATCH(BaleMover[[#This Row],[Bale_ID]],BalePrices[Bale_ID],0))),0))</f>
        <v>150956.5361250338</v>
      </c>
    </row>
    <row r="304" spans="2:25" x14ac:dyDescent="0.2">
      <c r="B304" s="545" t="s">
        <v>874</v>
      </c>
      <c r="C304" s="499" t="s">
        <v>719</v>
      </c>
      <c r="D304" s="499"/>
      <c r="E304" s="499"/>
      <c r="F304" s="499" t="s">
        <v>1994</v>
      </c>
      <c r="G304" s="499" t="s">
        <v>2092</v>
      </c>
      <c r="H304" s="499" t="s">
        <v>1470</v>
      </c>
      <c r="I304" s="499" t="s">
        <v>1006</v>
      </c>
      <c r="J304" s="499" t="s">
        <v>1007</v>
      </c>
      <c r="K304" s="499" t="s">
        <v>2076</v>
      </c>
      <c r="L304" s="499">
        <v>1</v>
      </c>
      <c r="M304" s="499" t="s">
        <v>2086</v>
      </c>
      <c r="N304" s="499" t="s">
        <v>2066</v>
      </c>
      <c r="O304" s="525">
        <v>1684.0047074401964</v>
      </c>
      <c r="P304" s="499">
        <v>20</v>
      </c>
      <c r="Q304" s="499"/>
      <c r="R304" s="499"/>
      <c r="S304" s="525"/>
      <c r="T304" s="525">
        <v>0</v>
      </c>
      <c r="U304" s="525">
        <v>1</v>
      </c>
      <c r="V304" s="525">
        <v>33680.094148803924</v>
      </c>
      <c r="W304" s="589">
        <f>IF(AND(BaleMover[[#This Row],[Scenario_ID]]="S3",BaleMover[[#This Row],[MRF_ID]]="05"),0,IFERROR(BaleMover[[#This Row],[Total_Baled_tons]]*(IF(BaleMover[[#This Row],[Scenario_ID]]="S0",-2,0)+INDEX(BalePrices[Low],MATCH(BaleMover[[#This Row],[Bale_ID]],BalePrices[Bale_ID],0))),0))</f>
        <v>84200.235372009818</v>
      </c>
      <c r="X304" s="397">
        <f>IF(AND(BaleMover[[#This Row],[Scenario_ID]]="S3",BaleMover[[#This Row],[MRF_ID]]="05"),0,IFERROR(BaleMover[[#This Row],[Total_Baled_tons]]*(IF(BaleMover[[#This Row],[Scenario_ID]]="S0",-2,0)+INDEX(BalePrices[Mid-Point],MATCH(BaleMover[[#This Row],[Bale_ID]],BalePrices[Bale_ID],0))),0))</f>
        <v>252600.70611602947</v>
      </c>
      <c r="Y304" s="397">
        <f>IF(AND(BaleMover[[#This Row],[Scenario_ID]]="S3",BaleMover[[#This Row],[MRF_ID]]="05"),0,IFERROR(BaleMover[[#This Row],[Total_Baled_tons]]*(IF(BaleMover[[#This Row],[Scenario_ID]]="S0",-2,0)+INDEX(BalePrices[High],MATCH(BaleMover[[#This Row],[Bale_ID]],BalePrices[Bale_ID],0))),0))</f>
        <v>421001.17686004908</v>
      </c>
    </row>
    <row r="305" spans="2:25" x14ac:dyDescent="0.2">
      <c r="B305" s="545" t="s">
        <v>873</v>
      </c>
      <c r="C305" s="499" t="s">
        <v>719</v>
      </c>
      <c r="D305" s="499"/>
      <c r="E305" s="499"/>
      <c r="F305" s="499" t="s">
        <v>1994</v>
      </c>
      <c r="G305" s="499" t="s">
        <v>2093</v>
      </c>
      <c r="H305" s="499" t="s">
        <v>1471</v>
      </c>
      <c r="I305" s="499" t="s">
        <v>1006</v>
      </c>
      <c r="J305" s="499" t="s">
        <v>1007</v>
      </c>
      <c r="K305" s="499" t="s">
        <v>2076</v>
      </c>
      <c r="L305" s="499">
        <v>1</v>
      </c>
      <c r="M305" s="499" t="s">
        <v>2086</v>
      </c>
      <c r="N305" s="499" t="s">
        <v>2066</v>
      </c>
      <c r="O305" s="525">
        <v>0</v>
      </c>
      <c r="P305" s="499" t="s">
        <v>2054</v>
      </c>
      <c r="Q305" s="499"/>
      <c r="R305" s="499"/>
      <c r="S305" s="525"/>
      <c r="T305" s="525">
        <v>0</v>
      </c>
      <c r="U305" s="525">
        <v>1</v>
      </c>
      <c r="V305" s="525" t="s">
        <v>2054</v>
      </c>
      <c r="W305" s="589">
        <f>IF(AND(BaleMover[[#This Row],[Scenario_ID]]="S3",BaleMover[[#This Row],[MRF_ID]]="05"),0,IFERROR(BaleMover[[#This Row],[Total_Baled_tons]]*(IF(BaleMover[[#This Row],[Scenario_ID]]="S0",-2,0)+INDEX(BalePrices[Low],MATCH(BaleMover[[#This Row],[Bale_ID]],BalePrices[Bale_ID],0))),0))</f>
        <v>0</v>
      </c>
      <c r="X305" s="397">
        <f>IF(AND(BaleMover[[#This Row],[Scenario_ID]]="S3",BaleMover[[#This Row],[MRF_ID]]="05"),0,IFERROR(BaleMover[[#This Row],[Total_Baled_tons]]*(IF(BaleMover[[#This Row],[Scenario_ID]]="S0",-2,0)+INDEX(BalePrices[Mid-Point],MATCH(BaleMover[[#This Row],[Bale_ID]],BalePrices[Bale_ID],0))),0))</f>
        <v>0</v>
      </c>
      <c r="Y305" s="397">
        <f>IF(AND(BaleMover[[#This Row],[Scenario_ID]]="S3",BaleMover[[#This Row],[MRF_ID]]="05"),0,IFERROR(BaleMover[[#This Row],[Total_Baled_tons]]*(IF(BaleMover[[#This Row],[Scenario_ID]]="S0",-2,0)+INDEX(BalePrices[High],MATCH(BaleMover[[#This Row],[Bale_ID]],BalePrices[Bale_ID],0))),0))</f>
        <v>0</v>
      </c>
    </row>
    <row r="306" spans="2:25" x14ac:dyDescent="0.2">
      <c r="B306" s="545" t="s">
        <v>876</v>
      </c>
      <c r="C306" s="499" t="s">
        <v>719</v>
      </c>
      <c r="D306" s="499"/>
      <c r="E306" s="499"/>
      <c r="F306" s="499" t="s">
        <v>1994</v>
      </c>
      <c r="G306" s="499" t="s">
        <v>2090</v>
      </c>
      <c r="H306" s="499" t="s">
        <v>1472</v>
      </c>
      <c r="I306" s="499" t="s">
        <v>1008</v>
      </c>
      <c r="J306" s="499" t="s">
        <v>1009</v>
      </c>
      <c r="K306" s="499" t="s">
        <v>2076</v>
      </c>
      <c r="L306" s="499">
        <v>2</v>
      </c>
      <c r="M306" s="499" t="s">
        <v>2088</v>
      </c>
      <c r="N306" s="499" t="s">
        <v>2072</v>
      </c>
      <c r="O306" s="525">
        <v>0</v>
      </c>
      <c r="P306" s="499" t="s">
        <v>2054</v>
      </c>
      <c r="Q306" s="499"/>
      <c r="R306" s="499"/>
      <c r="S306" s="525"/>
      <c r="T306" s="525">
        <v>0</v>
      </c>
      <c r="U306" s="525">
        <v>1</v>
      </c>
      <c r="V306" s="525" t="s">
        <v>2054</v>
      </c>
      <c r="W306" s="589">
        <f>IF(AND(BaleMover[[#This Row],[Scenario_ID]]="S3",BaleMover[[#This Row],[MRF_ID]]="05"),0,IFERROR(BaleMover[[#This Row],[Total_Baled_tons]]*(IF(BaleMover[[#This Row],[Scenario_ID]]="S0",-2,0)+INDEX(BalePrices[Low],MATCH(BaleMover[[#This Row],[Bale_ID]],BalePrices[Bale_ID],0))),0))</f>
        <v>0</v>
      </c>
      <c r="X306" s="397">
        <f>IF(AND(BaleMover[[#This Row],[Scenario_ID]]="S3",BaleMover[[#This Row],[MRF_ID]]="05"),0,IFERROR(BaleMover[[#This Row],[Total_Baled_tons]]*(IF(BaleMover[[#This Row],[Scenario_ID]]="S0",-2,0)+INDEX(BalePrices[Mid-Point],MATCH(BaleMover[[#This Row],[Bale_ID]],BalePrices[Bale_ID],0))),0))</f>
        <v>0</v>
      </c>
      <c r="Y306" s="397">
        <f>IF(AND(BaleMover[[#This Row],[Scenario_ID]]="S3",BaleMover[[#This Row],[MRF_ID]]="05"),0,IFERROR(BaleMover[[#This Row],[Total_Baled_tons]]*(IF(BaleMover[[#This Row],[Scenario_ID]]="S0",-2,0)+INDEX(BalePrices[High],MATCH(BaleMover[[#This Row],[Bale_ID]],BalePrices[Bale_ID],0))),0))</f>
        <v>0</v>
      </c>
    </row>
    <row r="307" spans="2:25" x14ac:dyDescent="0.2">
      <c r="B307" s="545" t="s">
        <v>875</v>
      </c>
      <c r="C307" s="499" t="s">
        <v>719</v>
      </c>
      <c r="D307" s="499"/>
      <c r="E307" s="499"/>
      <c r="F307" s="499" t="s">
        <v>1994</v>
      </c>
      <c r="G307" s="499" t="s">
        <v>2091</v>
      </c>
      <c r="H307" s="499" t="s">
        <v>1473</v>
      </c>
      <c r="I307" s="499" t="s">
        <v>1008</v>
      </c>
      <c r="J307" s="499" t="s">
        <v>1009</v>
      </c>
      <c r="K307" s="499" t="s">
        <v>2076</v>
      </c>
      <c r="L307" s="499">
        <v>2</v>
      </c>
      <c r="M307" s="499" t="s">
        <v>2088</v>
      </c>
      <c r="N307" s="499" t="s">
        <v>2072</v>
      </c>
      <c r="O307" s="525">
        <v>18.827524460448263</v>
      </c>
      <c r="P307" s="499">
        <v>20</v>
      </c>
      <c r="Q307" s="499"/>
      <c r="R307" s="499"/>
      <c r="S307" s="525"/>
      <c r="T307" s="525">
        <v>0</v>
      </c>
      <c r="U307" s="525">
        <v>1</v>
      </c>
      <c r="V307" s="525">
        <v>376.55048920896525</v>
      </c>
      <c r="W307" s="589">
        <f>IF(AND(BaleMover[[#This Row],[Scenario_ID]]="S3",BaleMover[[#This Row],[MRF_ID]]="05"),0,IFERROR(BaleMover[[#This Row],[Total_Baled_tons]]*(IF(BaleMover[[#This Row],[Scenario_ID]]="S0",-2,0)+INDEX(BalePrices[Low],MATCH(BaleMover[[#This Row],[Bale_ID]],BalePrices[Bale_ID],0))),0))</f>
        <v>941.37622302241311</v>
      </c>
      <c r="X307" s="397">
        <f>IF(AND(BaleMover[[#This Row],[Scenario_ID]]="S3",BaleMover[[#This Row],[MRF_ID]]="05"),0,IFERROR(BaleMover[[#This Row],[Total_Baled_tons]]*(IF(BaleMover[[#This Row],[Scenario_ID]]="S0",-2,0)+INDEX(BalePrices[Mid-Point],MATCH(BaleMover[[#This Row],[Bale_ID]],BalePrices[Bale_ID],0))),0))</f>
        <v>2353.4405575560327</v>
      </c>
      <c r="Y307" s="397">
        <f>IF(AND(BaleMover[[#This Row],[Scenario_ID]]="S3",BaleMover[[#This Row],[MRF_ID]]="05"),0,IFERROR(BaleMover[[#This Row],[Total_Baled_tons]]*(IF(BaleMover[[#This Row],[Scenario_ID]]="S0",-2,0)+INDEX(BalePrices[High],MATCH(BaleMover[[#This Row],[Bale_ID]],BalePrices[Bale_ID],0))),0))</f>
        <v>3765.5048920896525</v>
      </c>
    </row>
    <row r="308" spans="2:25" x14ac:dyDescent="0.2">
      <c r="B308" s="545" t="s">
        <v>874</v>
      </c>
      <c r="C308" s="499" t="s">
        <v>719</v>
      </c>
      <c r="D308" s="499"/>
      <c r="E308" s="499"/>
      <c r="F308" s="499" t="s">
        <v>1994</v>
      </c>
      <c r="G308" s="499" t="s">
        <v>2092</v>
      </c>
      <c r="H308" s="499" t="s">
        <v>1474</v>
      </c>
      <c r="I308" s="499" t="s">
        <v>1008</v>
      </c>
      <c r="J308" s="499" t="s">
        <v>1009</v>
      </c>
      <c r="K308" s="499" t="s">
        <v>2076</v>
      </c>
      <c r="L308" s="499">
        <v>2</v>
      </c>
      <c r="M308" s="499" t="s">
        <v>2088</v>
      </c>
      <c r="N308" s="499" t="s">
        <v>2072</v>
      </c>
      <c r="O308" s="525">
        <v>172.66804471126727</v>
      </c>
      <c r="P308" s="499">
        <v>20</v>
      </c>
      <c r="Q308" s="499"/>
      <c r="R308" s="499"/>
      <c r="S308" s="525"/>
      <c r="T308" s="525">
        <v>0</v>
      </c>
      <c r="U308" s="525">
        <v>1</v>
      </c>
      <c r="V308" s="525">
        <v>3453.3608942253454</v>
      </c>
      <c r="W308" s="589">
        <f>IF(AND(BaleMover[[#This Row],[Scenario_ID]]="S3",BaleMover[[#This Row],[MRF_ID]]="05"),0,IFERROR(BaleMover[[#This Row],[Total_Baled_tons]]*(IF(BaleMover[[#This Row],[Scenario_ID]]="S0",-2,0)+INDEX(BalePrices[Low],MATCH(BaleMover[[#This Row],[Bale_ID]],BalePrices[Bale_ID],0))),0))</f>
        <v>8633.4022355633642</v>
      </c>
      <c r="X308" s="397">
        <f>IF(AND(BaleMover[[#This Row],[Scenario_ID]]="S3",BaleMover[[#This Row],[MRF_ID]]="05"),0,IFERROR(BaleMover[[#This Row],[Total_Baled_tons]]*(IF(BaleMover[[#This Row],[Scenario_ID]]="S0",-2,0)+INDEX(BalePrices[Mid-Point],MATCH(BaleMover[[#This Row],[Bale_ID]],BalePrices[Bale_ID],0))),0))</f>
        <v>21583.505588908411</v>
      </c>
      <c r="Y308" s="397">
        <f>IF(AND(BaleMover[[#This Row],[Scenario_ID]]="S3",BaleMover[[#This Row],[MRF_ID]]="05"),0,IFERROR(BaleMover[[#This Row],[Total_Baled_tons]]*(IF(BaleMover[[#This Row],[Scenario_ID]]="S0",-2,0)+INDEX(BalePrices[High],MATCH(BaleMover[[#This Row],[Bale_ID]],BalePrices[Bale_ID],0))),0))</f>
        <v>34533.608942253457</v>
      </c>
    </row>
    <row r="309" spans="2:25" x14ac:dyDescent="0.2">
      <c r="B309" s="545" t="s">
        <v>873</v>
      </c>
      <c r="C309" s="499" t="s">
        <v>719</v>
      </c>
      <c r="D309" s="499"/>
      <c r="E309" s="499"/>
      <c r="F309" s="499" t="s">
        <v>1994</v>
      </c>
      <c r="G309" s="499" t="s">
        <v>2093</v>
      </c>
      <c r="H309" s="499" t="s">
        <v>1475</v>
      </c>
      <c r="I309" s="499" t="s">
        <v>1008</v>
      </c>
      <c r="J309" s="499" t="s">
        <v>1009</v>
      </c>
      <c r="K309" s="499" t="s">
        <v>2076</v>
      </c>
      <c r="L309" s="499">
        <v>2</v>
      </c>
      <c r="M309" s="499" t="s">
        <v>2088</v>
      </c>
      <c r="N309" s="499" t="s">
        <v>2072</v>
      </c>
      <c r="O309" s="525">
        <v>0</v>
      </c>
      <c r="P309" s="499" t="s">
        <v>2054</v>
      </c>
      <c r="Q309" s="499"/>
      <c r="R309" s="499"/>
      <c r="S309" s="525"/>
      <c r="T309" s="525">
        <v>0</v>
      </c>
      <c r="U309" s="525">
        <v>1</v>
      </c>
      <c r="V309" s="525" t="s">
        <v>2054</v>
      </c>
      <c r="W309" s="589">
        <f>IF(AND(BaleMover[[#This Row],[Scenario_ID]]="S3",BaleMover[[#This Row],[MRF_ID]]="05"),0,IFERROR(BaleMover[[#This Row],[Total_Baled_tons]]*(IF(BaleMover[[#This Row],[Scenario_ID]]="S0",-2,0)+INDEX(BalePrices[Low],MATCH(BaleMover[[#This Row],[Bale_ID]],BalePrices[Bale_ID],0))),0))</f>
        <v>0</v>
      </c>
      <c r="X309" s="397">
        <f>IF(AND(BaleMover[[#This Row],[Scenario_ID]]="S3",BaleMover[[#This Row],[MRF_ID]]="05"),0,IFERROR(BaleMover[[#This Row],[Total_Baled_tons]]*(IF(BaleMover[[#This Row],[Scenario_ID]]="S0",-2,0)+INDEX(BalePrices[Mid-Point],MATCH(BaleMover[[#This Row],[Bale_ID]],BalePrices[Bale_ID],0))),0))</f>
        <v>0</v>
      </c>
      <c r="Y309" s="397">
        <f>IF(AND(BaleMover[[#This Row],[Scenario_ID]]="S3",BaleMover[[#This Row],[MRF_ID]]="05"),0,IFERROR(BaleMover[[#This Row],[Total_Baled_tons]]*(IF(BaleMover[[#This Row],[Scenario_ID]]="S0",-2,0)+INDEX(BalePrices[High],MATCH(BaleMover[[#This Row],[Bale_ID]],BalePrices[Bale_ID],0))),0))</f>
        <v>0</v>
      </c>
    </row>
    <row r="310" spans="2:25" x14ac:dyDescent="0.2">
      <c r="B310" s="545" t="s">
        <v>876</v>
      </c>
      <c r="C310" s="499" t="s">
        <v>719</v>
      </c>
      <c r="D310" s="499"/>
      <c r="E310" s="499"/>
      <c r="F310" s="499" t="s">
        <v>1994</v>
      </c>
      <c r="G310" s="499" t="s">
        <v>2090</v>
      </c>
      <c r="H310" s="499" t="s">
        <v>1476</v>
      </c>
      <c r="I310" s="499" t="s">
        <v>1010</v>
      </c>
      <c r="J310" s="499" t="s">
        <v>1011</v>
      </c>
      <c r="K310" s="499" t="s">
        <v>2076</v>
      </c>
      <c r="L310" s="499">
        <v>2</v>
      </c>
      <c r="M310" s="499" t="s">
        <v>2088</v>
      </c>
      <c r="N310" s="499" t="s">
        <v>2072</v>
      </c>
      <c r="O310" s="525">
        <v>0</v>
      </c>
      <c r="P310" s="499" t="s">
        <v>2054</v>
      </c>
      <c r="Q310" s="499"/>
      <c r="R310" s="499"/>
      <c r="S310" s="525"/>
      <c r="T310" s="525">
        <v>0</v>
      </c>
      <c r="U310" s="525">
        <v>1</v>
      </c>
      <c r="V310" s="525" t="s">
        <v>2054</v>
      </c>
      <c r="W310" s="589">
        <f>IF(AND(BaleMover[[#This Row],[Scenario_ID]]="S3",BaleMover[[#This Row],[MRF_ID]]="05"),0,IFERROR(BaleMover[[#This Row],[Total_Baled_tons]]*(IF(BaleMover[[#This Row],[Scenario_ID]]="S0",-2,0)+INDEX(BalePrices[Low],MATCH(BaleMover[[#This Row],[Bale_ID]],BalePrices[Bale_ID],0))),0))</f>
        <v>0</v>
      </c>
      <c r="X310" s="397">
        <f>IF(AND(BaleMover[[#This Row],[Scenario_ID]]="S3",BaleMover[[#This Row],[MRF_ID]]="05"),0,IFERROR(BaleMover[[#This Row],[Total_Baled_tons]]*(IF(BaleMover[[#This Row],[Scenario_ID]]="S0",-2,0)+INDEX(BalePrices[Mid-Point],MATCH(BaleMover[[#This Row],[Bale_ID]],BalePrices[Bale_ID],0))),0))</f>
        <v>0</v>
      </c>
      <c r="Y310" s="397">
        <f>IF(AND(BaleMover[[#This Row],[Scenario_ID]]="S3",BaleMover[[#This Row],[MRF_ID]]="05"),0,IFERROR(BaleMover[[#This Row],[Total_Baled_tons]]*(IF(BaleMover[[#This Row],[Scenario_ID]]="S0",-2,0)+INDEX(BalePrices[High],MATCH(BaleMover[[#This Row],[Bale_ID]],BalePrices[Bale_ID],0))),0))</f>
        <v>0</v>
      </c>
    </row>
    <row r="311" spans="2:25" x14ac:dyDescent="0.2">
      <c r="B311" s="545" t="s">
        <v>875</v>
      </c>
      <c r="C311" s="499" t="s">
        <v>719</v>
      </c>
      <c r="D311" s="499"/>
      <c r="E311" s="499"/>
      <c r="F311" s="499" t="s">
        <v>1994</v>
      </c>
      <c r="G311" s="499" t="s">
        <v>2091</v>
      </c>
      <c r="H311" s="499" t="s">
        <v>1477</v>
      </c>
      <c r="I311" s="499" t="s">
        <v>1010</v>
      </c>
      <c r="J311" s="499" t="s">
        <v>1011</v>
      </c>
      <c r="K311" s="499" t="s">
        <v>2076</v>
      </c>
      <c r="L311" s="499">
        <v>2</v>
      </c>
      <c r="M311" s="499" t="s">
        <v>2088</v>
      </c>
      <c r="N311" s="499" t="s">
        <v>2072</v>
      </c>
      <c r="O311" s="525">
        <v>0</v>
      </c>
      <c r="P311" s="499" t="s">
        <v>2054</v>
      </c>
      <c r="Q311" s="499"/>
      <c r="R311" s="499"/>
      <c r="S311" s="525"/>
      <c r="T311" s="525">
        <v>0</v>
      </c>
      <c r="U311" s="525">
        <v>1</v>
      </c>
      <c r="V311" s="525" t="s">
        <v>2054</v>
      </c>
      <c r="W311" s="589">
        <f>IF(AND(BaleMover[[#This Row],[Scenario_ID]]="S3",BaleMover[[#This Row],[MRF_ID]]="05"),0,IFERROR(BaleMover[[#This Row],[Total_Baled_tons]]*(IF(BaleMover[[#This Row],[Scenario_ID]]="S0",-2,0)+INDEX(BalePrices[Low],MATCH(BaleMover[[#This Row],[Bale_ID]],BalePrices[Bale_ID],0))),0))</f>
        <v>0</v>
      </c>
      <c r="X311" s="397">
        <f>IF(AND(BaleMover[[#This Row],[Scenario_ID]]="S3",BaleMover[[#This Row],[MRF_ID]]="05"),0,IFERROR(BaleMover[[#This Row],[Total_Baled_tons]]*(IF(BaleMover[[#This Row],[Scenario_ID]]="S0",-2,0)+INDEX(BalePrices[Mid-Point],MATCH(BaleMover[[#This Row],[Bale_ID]],BalePrices[Bale_ID],0))),0))</f>
        <v>0</v>
      </c>
      <c r="Y311" s="397">
        <f>IF(AND(BaleMover[[#This Row],[Scenario_ID]]="S3",BaleMover[[#This Row],[MRF_ID]]="05"),0,IFERROR(BaleMover[[#This Row],[Total_Baled_tons]]*(IF(BaleMover[[#This Row],[Scenario_ID]]="S0",-2,0)+INDEX(BalePrices[High],MATCH(BaleMover[[#This Row],[Bale_ID]],BalePrices[Bale_ID],0))),0))</f>
        <v>0</v>
      </c>
    </row>
    <row r="312" spans="2:25" x14ac:dyDescent="0.2">
      <c r="B312" s="545" t="s">
        <v>874</v>
      </c>
      <c r="C312" s="499" t="s">
        <v>719</v>
      </c>
      <c r="D312" s="499"/>
      <c r="E312" s="499"/>
      <c r="F312" s="499" t="s">
        <v>1994</v>
      </c>
      <c r="G312" s="499" t="s">
        <v>2092</v>
      </c>
      <c r="H312" s="499" t="s">
        <v>1478</v>
      </c>
      <c r="I312" s="499" t="s">
        <v>1010</v>
      </c>
      <c r="J312" s="499" t="s">
        <v>1011</v>
      </c>
      <c r="K312" s="499" t="s">
        <v>2076</v>
      </c>
      <c r="L312" s="499">
        <v>2</v>
      </c>
      <c r="M312" s="499" t="s">
        <v>2088</v>
      </c>
      <c r="N312" s="499" t="s">
        <v>2072</v>
      </c>
      <c r="O312" s="525">
        <v>0</v>
      </c>
      <c r="P312" s="499" t="s">
        <v>2054</v>
      </c>
      <c r="Q312" s="499"/>
      <c r="R312" s="499"/>
      <c r="S312" s="525"/>
      <c r="T312" s="525">
        <v>0</v>
      </c>
      <c r="U312" s="525">
        <v>1</v>
      </c>
      <c r="V312" s="525" t="s">
        <v>2054</v>
      </c>
      <c r="W312" s="589">
        <f>IF(AND(BaleMover[[#This Row],[Scenario_ID]]="S3",BaleMover[[#This Row],[MRF_ID]]="05"),0,IFERROR(BaleMover[[#This Row],[Total_Baled_tons]]*(IF(BaleMover[[#This Row],[Scenario_ID]]="S0",-2,0)+INDEX(BalePrices[Low],MATCH(BaleMover[[#This Row],[Bale_ID]],BalePrices[Bale_ID],0))),0))</f>
        <v>0</v>
      </c>
      <c r="X312" s="397">
        <f>IF(AND(BaleMover[[#This Row],[Scenario_ID]]="S3",BaleMover[[#This Row],[MRF_ID]]="05"),0,IFERROR(BaleMover[[#This Row],[Total_Baled_tons]]*(IF(BaleMover[[#This Row],[Scenario_ID]]="S0",-2,0)+INDEX(BalePrices[Mid-Point],MATCH(BaleMover[[#This Row],[Bale_ID]],BalePrices[Bale_ID],0))),0))</f>
        <v>0</v>
      </c>
      <c r="Y312" s="397">
        <f>IF(AND(BaleMover[[#This Row],[Scenario_ID]]="S3",BaleMover[[#This Row],[MRF_ID]]="05"),0,IFERROR(BaleMover[[#This Row],[Total_Baled_tons]]*(IF(BaleMover[[#This Row],[Scenario_ID]]="S0",-2,0)+INDEX(BalePrices[High],MATCH(BaleMover[[#This Row],[Bale_ID]],BalePrices[Bale_ID],0))),0))</f>
        <v>0</v>
      </c>
    </row>
    <row r="313" spans="2:25" x14ac:dyDescent="0.2">
      <c r="B313" s="545" t="s">
        <v>873</v>
      </c>
      <c r="C313" s="499" t="s">
        <v>719</v>
      </c>
      <c r="D313" s="499"/>
      <c r="E313" s="499"/>
      <c r="F313" s="499" t="s">
        <v>1994</v>
      </c>
      <c r="G313" s="499" t="s">
        <v>2093</v>
      </c>
      <c r="H313" s="499" t="s">
        <v>1479</v>
      </c>
      <c r="I313" s="499" t="s">
        <v>1010</v>
      </c>
      <c r="J313" s="499" t="s">
        <v>1011</v>
      </c>
      <c r="K313" s="499" t="s">
        <v>2076</v>
      </c>
      <c r="L313" s="499">
        <v>2</v>
      </c>
      <c r="M313" s="499" t="s">
        <v>2088</v>
      </c>
      <c r="N313" s="499" t="s">
        <v>2072</v>
      </c>
      <c r="O313" s="525">
        <v>0</v>
      </c>
      <c r="P313" s="499" t="s">
        <v>2054</v>
      </c>
      <c r="Q313" s="499"/>
      <c r="R313" s="499"/>
      <c r="S313" s="525"/>
      <c r="T313" s="525">
        <v>0</v>
      </c>
      <c r="U313" s="525">
        <v>1</v>
      </c>
      <c r="V313" s="525" t="s">
        <v>2054</v>
      </c>
      <c r="W313" s="589">
        <f>IF(AND(BaleMover[[#This Row],[Scenario_ID]]="S3",BaleMover[[#This Row],[MRF_ID]]="05"),0,IFERROR(BaleMover[[#This Row],[Total_Baled_tons]]*(IF(BaleMover[[#This Row],[Scenario_ID]]="S0",-2,0)+INDEX(BalePrices[Low],MATCH(BaleMover[[#This Row],[Bale_ID]],BalePrices[Bale_ID],0))),0))</f>
        <v>0</v>
      </c>
      <c r="X313" s="397">
        <f>IF(AND(BaleMover[[#This Row],[Scenario_ID]]="S3",BaleMover[[#This Row],[MRF_ID]]="05"),0,IFERROR(BaleMover[[#This Row],[Total_Baled_tons]]*(IF(BaleMover[[#This Row],[Scenario_ID]]="S0",-2,0)+INDEX(BalePrices[Mid-Point],MATCH(BaleMover[[#This Row],[Bale_ID]],BalePrices[Bale_ID],0))),0))</f>
        <v>0</v>
      </c>
      <c r="Y313" s="397">
        <f>IF(AND(BaleMover[[#This Row],[Scenario_ID]]="S3",BaleMover[[#This Row],[MRF_ID]]="05"),0,IFERROR(BaleMover[[#This Row],[Total_Baled_tons]]*(IF(BaleMover[[#This Row],[Scenario_ID]]="S0",-2,0)+INDEX(BalePrices[High],MATCH(BaleMover[[#This Row],[Bale_ID]],BalePrices[Bale_ID],0))),0))</f>
        <v>0</v>
      </c>
    </row>
    <row r="314" spans="2:25" x14ac:dyDescent="0.2">
      <c r="B314" s="545" t="s">
        <v>876</v>
      </c>
      <c r="C314" s="499" t="s">
        <v>719</v>
      </c>
      <c r="D314" s="499"/>
      <c r="E314" s="499"/>
      <c r="F314" s="499" t="s">
        <v>1994</v>
      </c>
      <c r="G314" s="499" t="s">
        <v>2090</v>
      </c>
      <c r="H314" s="499" t="s">
        <v>1480</v>
      </c>
      <c r="I314" s="499" t="s">
        <v>1012</v>
      </c>
      <c r="J314" s="499" t="s">
        <v>1013</v>
      </c>
      <c r="K314" s="499" t="s">
        <v>2076</v>
      </c>
      <c r="L314" s="499">
        <v>2</v>
      </c>
      <c r="M314" s="499" t="s">
        <v>2088</v>
      </c>
      <c r="N314" s="499" t="s">
        <v>2072</v>
      </c>
      <c r="O314" s="525">
        <v>0</v>
      </c>
      <c r="P314" s="499" t="s">
        <v>2054</v>
      </c>
      <c r="Q314" s="499"/>
      <c r="R314" s="499"/>
      <c r="S314" s="525"/>
      <c r="T314" s="525">
        <v>0</v>
      </c>
      <c r="U314" s="525">
        <v>1</v>
      </c>
      <c r="V314" s="525" t="s">
        <v>2054</v>
      </c>
      <c r="W314" s="589">
        <f>IF(AND(BaleMover[[#This Row],[Scenario_ID]]="S3",BaleMover[[#This Row],[MRF_ID]]="05"),0,IFERROR(BaleMover[[#This Row],[Total_Baled_tons]]*(IF(BaleMover[[#This Row],[Scenario_ID]]="S0",-2,0)+INDEX(BalePrices[Low],MATCH(BaleMover[[#This Row],[Bale_ID]],BalePrices[Bale_ID],0))),0))</f>
        <v>0</v>
      </c>
      <c r="X314" s="397">
        <f>IF(AND(BaleMover[[#This Row],[Scenario_ID]]="S3",BaleMover[[#This Row],[MRF_ID]]="05"),0,IFERROR(BaleMover[[#This Row],[Total_Baled_tons]]*(IF(BaleMover[[#This Row],[Scenario_ID]]="S0",-2,0)+INDEX(BalePrices[Mid-Point],MATCH(BaleMover[[#This Row],[Bale_ID]],BalePrices[Bale_ID],0))),0))</f>
        <v>0</v>
      </c>
      <c r="Y314" s="397">
        <f>IF(AND(BaleMover[[#This Row],[Scenario_ID]]="S3",BaleMover[[#This Row],[MRF_ID]]="05"),0,IFERROR(BaleMover[[#This Row],[Total_Baled_tons]]*(IF(BaleMover[[#This Row],[Scenario_ID]]="S0",-2,0)+INDEX(BalePrices[High],MATCH(BaleMover[[#This Row],[Bale_ID]],BalePrices[Bale_ID],0))),0))</f>
        <v>0</v>
      </c>
    </row>
    <row r="315" spans="2:25" x14ac:dyDescent="0.2">
      <c r="B315" s="545" t="s">
        <v>875</v>
      </c>
      <c r="C315" s="499" t="s">
        <v>719</v>
      </c>
      <c r="D315" s="499"/>
      <c r="E315" s="499"/>
      <c r="F315" s="499" t="s">
        <v>1994</v>
      </c>
      <c r="G315" s="499" t="s">
        <v>2091</v>
      </c>
      <c r="H315" s="499" t="s">
        <v>1481</v>
      </c>
      <c r="I315" s="499" t="s">
        <v>1012</v>
      </c>
      <c r="J315" s="499" t="s">
        <v>1013</v>
      </c>
      <c r="K315" s="499" t="s">
        <v>2076</v>
      </c>
      <c r="L315" s="499">
        <v>2</v>
      </c>
      <c r="M315" s="499" t="s">
        <v>2088</v>
      </c>
      <c r="N315" s="499" t="s">
        <v>2072</v>
      </c>
      <c r="O315" s="525">
        <v>0</v>
      </c>
      <c r="P315" s="499" t="s">
        <v>2054</v>
      </c>
      <c r="Q315" s="499"/>
      <c r="R315" s="499"/>
      <c r="S315" s="525"/>
      <c r="T315" s="525">
        <v>0</v>
      </c>
      <c r="U315" s="525">
        <v>1</v>
      </c>
      <c r="V315" s="525" t="s">
        <v>2054</v>
      </c>
      <c r="W315" s="589">
        <f>IF(AND(BaleMover[[#This Row],[Scenario_ID]]="S3",BaleMover[[#This Row],[MRF_ID]]="05"),0,IFERROR(BaleMover[[#This Row],[Total_Baled_tons]]*(IF(BaleMover[[#This Row],[Scenario_ID]]="S0",-2,0)+INDEX(BalePrices[Low],MATCH(BaleMover[[#This Row],[Bale_ID]],BalePrices[Bale_ID],0))),0))</f>
        <v>0</v>
      </c>
      <c r="X315" s="397">
        <f>IF(AND(BaleMover[[#This Row],[Scenario_ID]]="S3",BaleMover[[#This Row],[MRF_ID]]="05"),0,IFERROR(BaleMover[[#This Row],[Total_Baled_tons]]*(IF(BaleMover[[#This Row],[Scenario_ID]]="S0",-2,0)+INDEX(BalePrices[Mid-Point],MATCH(BaleMover[[#This Row],[Bale_ID]],BalePrices[Bale_ID],0))),0))</f>
        <v>0</v>
      </c>
      <c r="Y315" s="397">
        <f>IF(AND(BaleMover[[#This Row],[Scenario_ID]]="S3",BaleMover[[#This Row],[MRF_ID]]="05"),0,IFERROR(BaleMover[[#This Row],[Total_Baled_tons]]*(IF(BaleMover[[#This Row],[Scenario_ID]]="S0",-2,0)+INDEX(BalePrices[High],MATCH(BaleMover[[#This Row],[Bale_ID]],BalePrices[Bale_ID],0))),0))</f>
        <v>0</v>
      </c>
    </row>
    <row r="316" spans="2:25" x14ac:dyDescent="0.2">
      <c r="B316" s="545" t="s">
        <v>874</v>
      </c>
      <c r="C316" s="499" t="s">
        <v>719</v>
      </c>
      <c r="D316" s="499"/>
      <c r="E316" s="499"/>
      <c r="F316" s="499" t="s">
        <v>1994</v>
      </c>
      <c r="G316" s="499" t="s">
        <v>2092</v>
      </c>
      <c r="H316" s="499" t="s">
        <v>1482</v>
      </c>
      <c r="I316" s="499" t="s">
        <v>1012</v>
      </c>
      <c r="J316" s="499" t="s">
        <v>1013</v>
      </c>
      <c r="K316" s="499" t="s">
        <v>2076</v>
      </c>
      <c r="L316" s="499">
        <v>2</v>
      </c>
      <c r="M316" s="499" t="s">
        <v>2088</v>
      </c>
      <c r="N316" s="499" t="s">
        <v>2072</v>
      </c>
      <c r="O316" s="525">
        <v>0</v>
      </c>
      <c r="P316" s="499" t="s">
        <v>2054</v>
      </c>
      <c r="Q316" s="499"/>
      <c r="R316" s="499"/>
      <c r="S316" s="525"/>
      <c r="T316" s="525">
        <v>0</v>
      </c>
      <c r="U316" s="525">
        <v>1</v>
      </c>
      <c r="V316" s="525" t="s">
        <v>2054</v>
      </c>
      <c r="W316" s="589">
        <f>IF(AND(BaleMover[[#This Row],[Scenario_ID]]="S3",BaleMover[[#This Row],[MRF_ID]]="05"),0,IFERROR(BaleMover[[#This Row],[Total_Baled_tons]]*(IF(BaleMover[[#This Row],[Scenario_ID]]="S0",-2,0)+INDEX(BalePrices[Low],MATCH(BaleMover[[#This Row],[Bale_ID]],BalePrices[Bale_ID],0))),0))</f>
        <v>0</v>
      </c>
      <c r="X316" s="397">
        <f>IF(AND(BaleMover[[#This Row],[Scenario_ID]]="S3",BaleMover[[#This Row],[MRF_ID]]="05"),0,IFERROR(BaleMover[[#This Row],[Total_Baled_tons]]*(IF(BaleMover[[#This Row],[Scenario_ID]]="S0",-2,0)+INDEX(BalePrices[Mid-Point],MATCH(BaleMover[[#This Row],[Bale_ID]],BalePrices[Bale_ID],0))),0))</f>
        <v>0</v>
      </c>
      <c r="Y316" s="397">
        <f>IF(AND(BaleMover[[#This Row],[Scenario_ID]]="S3",BaleMover[[#This Row],[MRF_ID]]="05"),0,IFERROR(BaleMover[[#This Row],[Total_Baled_tons]]*(IF(BaleMover[[#This Row],[Scenario_ID]]="S0",-2,0)+INDEX(BalePrices[High],MATCH(BaleMover[[#This Row],[Bale_ID]],BalePrices[Bale_ID],0))),0))</f>
        <v>0</v>
      </c>
    </row>
    <row r="317" spans="2:25" x14ac:dyDescent="0.2">
      <c r="B317" s="545" t="s">
        <v>873</v>
      </c>
      <c r="C317" s="499" t="s">
        <v>719</v>
      </c>
      <c r="D317" s="499"/>
      <c r="E317" s="499"/>
      <c r="F317" s="499" t="s">
        <v>1994</v>
      </c>
      <c r="G317" s="499" t="s">
        <v>2093</v>
      </c>
      <c r="H317" s="499" t="s">
        <v>1483</v>
      </c>
      <c r="I317" s="499" t="s">
        <v>1012</v>
      </c>
      <c r="J317" s="499" t="s">
        <v>1013</v>
      </c>
      <c r="K317" s="499" t="s">
        <v>2076</v>
      </c>
      <c r="L317" s="499">
        <v>2</v>
      </c>
      <c r="M317" s="499" t="s">
        <v>2088</v>
      </c>
      <c r="N317" s="499" t="s">
        <v>2072</v>
      </c>
      <c r="O317" s="525">
        <v>0</v>
      </c>
      <c r="P317" s="499" t="s">
        <v>2054</v>
      </c>
      <c r="Q317" s="499"/>
      <c r="R317" s="499"/>
      <c r="S317" s="525"/>
      <c r="T317" s="525">
        <v>0</v>
      </c>
      <c r="U317" s="525">
        <v>1</v>
      </c>
      <c r="V317" s="525" t="s">
        <v>2054</v>
      </c>
      <c r="W317" s="589">
        <f>IF(AND(BaleMover[[#This Row],[Scenario_ID]]="S3",BaleMover[[#This Row],[MRF_ID]]="05"),0,IFERROR(BaleMover[[#This Row],[Total_Baled_tons]]*(IF(BaleMover[[#This Row],[Scenario_ID]]="S0",-2,0)+INDEX(BalePrices[Low],MATCH(BaleMover[[#This Row],[Bale_ID]],BalePrices[Bale_ID],0))),0))</f>
        <v>0</v>
      </c>
      <c r="X317" s="397">
        <f>IF(AND(BaleMover[[#This Row],[Scenario_ID]]="S3",BaleMover[[#This Row],[MRF_ID]]="05"),0,IFERROR(BaleMover[[#This Row],[Total_Baled_tons]]*(IF(BaleMover[[#This Row],[Scenario_ID]]="S0",-2,0)+INDEX(BalePrices[Mid-Point],MATCH(BaleMover[[#This Row],[Bale_ID]],BalePrices[Bale_ID],0))),0))</f>
        <v>0</v>
      </c>
      <c r="Y317" s="397">
        <f>IF(AND(BaleMover[[#This Row],[Scenario_ID]]="S3",BaleMover[[#This Row],[MRF_ID]]="05"),0,IFERROR(BaleMover[[#This Row],[Total_Baled_tons]]*(IF(BaleMover[[#This Row],[Scenario_ID]]="S0",-2,0)+INDEX(BalePrices[High],MATCH(BaleMover[[#This Row],[Bale_ID]],BalePrices[Bale_ID],0))),0))</f>
        <v>0</v>
      </c>
    </row>
    <row r="318" spans="2:25" x14ac:dyDescent="0.2">
      <c r="B318" s="545" t="s">
        <v>876</v>
      </c>
      <c r="C318" s="499" t="s">
        <v>719</v>
      </c>
      <c r="D318" s="499"/>
      <c r="E318" s="499"/>
      <c r="F318" s="499" t="s">
        <v>1994</v>
      </c>
      <c r="G318" s="499" t="s">
        <v>2090</v>
      </c>
      <c r="H318" s="499" t="s">
        <v>1484</v>
      </c>
      <c r="I318" s="499" t="s">
        <v>1014</v>
      </c>
      <c r="J318" s="499" t="s">
        <v>1893</v>
      </c>
      <c r="K318" s="499" t="s">
        <v>2076</v>
      </c>
      <c r="L318" s="499">
        <v>8</v>
      </c>
      <c r="M318" s="499" t="s">
        <v>2085</v>
      </c>
      <c r="N318" s="499" t="s">
        <v>2068</v>
      </c>
      <c r="O318" s="525">
        <v>0</v>
      </c>
      <c r="P318" s="499" t="s">
        <v>2054</v>
      </c>
      <c r="Q318" s="499"/>
      <c r="R318" s="499"/>
      <c r="S318" s="525"/>
      <c r="T318" s="525">
        <v>0</v>
      </c>
      <c r="U318" s="525">
        <v>1</v>
      </c>
      <c r="V318" s="525" t="s">
        <v>2054</v>
      </c>
      <c r="W318" s="589">
        <f>IF(AND(BaleMover[[#This Row],[Scenario_ID]]="S3",BaleMover[[#This Row],[MRF_ID]]="05"),0,IFERROR(BaleMover[[#This Row],[Total_Baled_tons]]*(IF(BaleMover[[#This Row],[Scenario_ID]]="S0",-2,0)+INDEX(BalePrices[Low],MATCH(BaleMover[[#This Row],[Bale_ID]],BalePrices[Bale_ID],0))),0))</f>
        <v>0</v>
      </c>
      <c r="X318" s="397">
        <f>IF(AND(BaleMover[[#This Row],[Scenario_ID]]="S3",BaleMover[[#This Row],[MRF_ID]]="05"),0,IFERROR(BaleMover[[#This Row],[Total_Baled_tons]]*(IF(BaleMover[[#This Row],[Scenario_ID]]="S0",-2,0)+INDEX(BalePrices[Mid-Point],MATCH(BaleMover[[#This Row],[Bale_ID]],BalePrices[Bale_ID],0))),0))</f>
        <v>0</v>
      </c>
      <c r="Y318" s="397">
        <f>IF(AND(BaleMover[[#This Row],[Scenario_ID]]="S3",BaleMover[[#This Row],[MRF_ID]]="05"),0,IFERROR(BaleMover[[#This Row],[Total_Baled_tons]]*(IF(BaleMover[[#This Row],[Scenario_ID]]="S0",-2,0)+INDEX(BalePrices[High],MATCH(BaleMover[[#This Row],[Bale_ID]],BalePrices[Bale_ID],0))),0))</f>
        <v>0</v>
      </c>
    </row>
    <row r="319" spans="2:25" x14ac:dyDescent="0.2">
      <c r="B319" s="545" t="s">
        <v>875</v>
      </c>
      <c r="C319" s="499" t="s">
        <v>719</v>
      </c>
      <c r="D319" s="499"/>
      <c r="E319" s="499"/>
      <c r="F319" s="499" t="s">
        <v>1994</v>
      </c>
      <c r="G319" s="499" t="s">
        <v>2091</v>
      </c>
      <c r="H319" s="499" t="s">
        <v>1485</v>
      </c>
      <c r="I319" s="499" t="s">
        <v>1014</v>
      </c>
      <c r="J319" s="499" t="s">
        <v>1893</v>
      </c>
      <c r="K319" s="499" t="s">
        <v>2076</v>
      </c>
      <c r="L319" s="499">
        <v>8</v>
      </c>
      <c r="M319" s="499" t="s">
        <v>2085</v>
      </c>
      <c r="N319" s="499" t="s">
        <v>2068</v>
      </c>
      <c r="O319" s="525">
        <v>0</v>
      </c>
      <c r="P319" s="499" t="s">
        <v>2054</v>
      </c>
      <c r="Q319" s="499"/>
      <c r="R319" s="499"/>
      <c r="S319" s="525"/>
      <c r="T319" s="525">
        <v>0</v>
      </c>
      <c r="U319" s="525">
        <v>1</v>
      </c>
      <c r="V319" s="525" t="s">
        <v>2054</v>
      </c>
      <c r="W319" s="589">
        <f>IF(AND(BaleMover[[#This Row],[Scenario_ID]]="S3",BaleMover[[#This Row],[MRF_ID]]="05"),0,IFERROR(BaleMover[[#This Row],[Total_Baled_tons]]*(IF(BaleMover[[#This Row],[Scenario_ID]]="S0",-2,0)+INDEX(BalePrices[Low],MATCH(BaleMover[[#This Row],[Bale_ID]],BalePrices[Bale_ID],0))),0))</f>
        <v>0</v>
      </c>
      <c r="X319" s="397">
        <f>IF(AND(BaleMover[[#This Row],[Scenario_ID]]="S3",BaleMover[[#This Row],[MRF_ID]]="05"),0,IFERROR(BaleMover[[#This Row],[Total_Baled_tons]]*(IF(BaleMover[[#This Row],[Scenario_ID]]="S0",-2,0)+INDEX(BalePrices[Mid-Point],MATCH(BaleMover[[#This Row],[Bale_ID]],BalePrices[Bale_ID],0))),0))</f>
        <v>0</v>
      </c>
      <c r="Y319" s="397">
        <f>IF(AND(BaleMover[[#This Row],[Scenario_ID]]="S3",BaleMover[[#This Row],[MRF_ID]]="05"),0,IFERROR(BaleMover[[#This Row],[Total_Baled_tons]]*(IF(BaleMover[[#This Row],[Scenario_ID]]="S0",-2,0)+INDEX(BalePrices[High],MATCH(BaleMover[[#This Row],[Bale_ID]],BalePrices[Bale_ID],0))),0))</f>
        <v>0</v>
      </c>
    </row>
    <row r="320" spans="2:25" x14ac:dyDescent="0.2">
      <c r="B320" s="545" t="s">
        <v>874</v>
      </c>
      <c r="C320" s="499" t="s">
        <v>719</v>
      </c>
      <c r="D320" s="499"/>
      <c r="E320" s="499"/>
      <c r="F320" s="499" t="s">
        <v>1994</v>
      </c>
      <c r="G320" s="499" t="s">
        <v>2092</v>
      </c>
      <c r="H320" s="499" t="s">
        <v>1486</v>
      </c>
      <c r="I320" s="499" t="s">
        <v>1014</v>
      </c>
      <c r="J320" s="499" t="s">
        <v>1893</v>
      </c>
      <c r="K320" s="499" t="s">
        <v>2076</v>
      </c>
      <c r="L320" s="499">
        <v>8</v>
      </c>
      <c r="M320" s="499" t="s">
        <v>2085</v>
      </c>
      <c r="N320" s="499" t="s">
        <v>2068</v>
      </c>
      <c r="O320" s="525">
        <v>0</v>
      </c>
      <c r="P320" s="499" t="s">
        <v>2054</v>
      </c>
      <c r="Q320" s="499"/>
      <c r="R320" s="499"/>
      <c r="S320" s="525"/>
      <c r="T320" s="525">
        <v>0</v>
      </c>
      <c r="U320" s="525">
        <v>1</v>
      </c>
      <c r="V320" s="525" t="s">
        <v>2054</v>
      </c>
      <c r="W320" s="589">
        <f>IF(AND(BaleMover[[#This Row],[Scenario_ID]]="S3",BaleMover[[#This Row],[MRF_ID]]="05"),0,IFERROR(BaleMover[[#This Row],[Total_Baled_tons]]*(IF(BaleMover[[#This Row],[Scenario_ID]]="S0",-2,0)+INDEX(BalePrices[Low],MATCH(BaleMover[[#This Row],[Bale_ID]],BalePrices[Bale_ID],0))),0))</f>
        <v>0</v>
      </c>
      <c r="X320" s="397">
        <f>IF(AND(BaleMover[[#This Row],[Scenario_ID]]="S3",BaleMover[[#This Row],[MRF_ID]]="05"),0,IFERROR(BaleMover[[#This Row],[Total_Baled_tons]]*(IF(BaleMover[[#This Row],[Scenario_ID]]="S0",-2,0)+INDEX(BalePrices[Mid-Point],MATCH(BaleMover[[#This Row],[Bale_ID]],BalePrices[Bale_ID],0))),0))</f>
        <v>0</v>
      </c>
      <c r="Y320" s="397">
        <f>IF(AND(BaleMover[[#This Row],[Scenario_ID]]="S3",BaleMover[[#This Row],[MRF_ID]]="05"),0,IFERROR(BaleMover[[#This Row],[Total_Baled_tons]]*(IF(BaleMover[[#This Row],[Scenario_ID]]="S0",-2,0)+INDEX(BalePrices[High],MATCH(BaleMover[[#This Row],[Bale_ID]],BalePrices[Bale_ID],0))),0))</f>
        <v>0</v>
      </c>
    </row>
    <row r="321" spans="2:25" x14ac:dyDescent="0.2">
      <c r="B321" s="545" t="s">
        <v>873</v>
      </c>
      <c r="C321" s="499" t="s">
        <v>719</v>
      </c>
      <c r="D321" s="499"/>
      <c r="E321" s="499"/>
      <c r="F321" s="499" t="s">
        <v>1994</v>
      </c>
      <c r="G321" s="499" t="s">
        <v>2093</v>
      </c>
      <c r="H321" s="499" t="s">
        <v>1487</v>
      </c>
      <c r="I321" s="499" t="s">
        <v>1014</v>
      </c>
      <c r="J321" s="499" t="s">
        <v>1893</v>
      </c>
      <c r="K321" s="499" t="s">
        <v>2076</v>
      </c>
      <c r="L321" s="499">
        <v>8</v>
      </c>
      <c r="M321" s="499" t="s">
        <v>2085</v>
      </c>
      <c r="N321" s="499" t="s">
        <v>2068</v>
      </c>
      <c r="O321" s="525">
        <v>0</v>
      </c>
      <c r="P321" s="499" t="s">
        <v>2054</v>
      </c>
      <c r="Q321" s="499"/>
      <c r="R321" s="499"/>
      <c r="S321" s="525"/>
      <c r="T321" s="525">
        <v>0</v>
      </c>
      <c r="U321" s="525">
        <v>1</v>
      </c>
      <c r="V321" s="525" t="s">
        <v>2054</v>
      </c>
      <c r="W321" s="589">
        <f>IF(AND(BaleMover[[#This Row],[Scenario_ID]]="S3",BaleMover[[#This Row],[MRF_ID]]="05"),0,IFERROR(BaleMover[[#This Row],[Total_Baled_tons]]*(IF(BaleMover[[#This Row],[Scenario_ID]]="S0",-2,0)+INDEX(BalePrices[Low],MATCH(BaleMover[[#This Row],[Bale_ID]],BalePrices[Bale_ID],0))),0))</f>
        <v>0</v>
      </c>
      <c r="X321" s="397">
        <f>IF(AND(BaleMover[[#This Row],[Scenario_ID]]="S3",BaleMover[[#This Row],[MRF_ID]]="05"),0,IFERROR(BaleMover[[#This Row],[Total_Baled_tons]]*(IF(BaleMover[[#This Row],[Scenario_ID]]="S0",-2,0)+INDEX(BalePrices[Mid-Point],MATCH(BaleMover[[#This Row],[Bale_ID]],BalePrices[Bale_ID],0))),0))</f>
        <v>0</v>
      </c>
      <c r="Y321" s="397">
        <f>IF(AND(BaleMover[[#This Row],[Scenario_ID]]="S3",BaleMover[[#This Row],[MRF_ID]]="05"),0,IFERROR(BaleMover[[#This Row],[Total_Baled_tons]]*(IF(BaleMover[[#This Row],[Scenario_ID]]="S0",-2,0)+INDEX(BalePrices[High],MATCH(BaleMover[[#This Row],[Bale_ID]],BalePrices[Bale_ID],0))),0))</f>
        <v>0</v>
      </c>
    </row>
    <row r="322" spans="2:25" x14ac:dyDescent="0.2">
      <c r="B322" s="545" t="s">
        <v>876</v>
      </c>
      <c r="C322" s="499" t="s">
        <v>719</v>
      </c>
      <c r="D322" s="499"/>
      <c r="E322" s="499"/>
      <c r="F322" s="499" t="s">
        <v>1994</v>
      </c>
      <c r="G322" s="499" t="s">
        <v>2090</v>
      </c>
      <c r="H322" s="499" t="s">
        <v>1488</v>
      </c>
      <c r="I322" s="499" t="s">
        <v>1015</v>
      </c>
      <c r="J322" s="499" t="s">
        <v>1016</v>
      </c>
      <c r="K322" s="499" t="s">
        <v>2076</v>
      </c>
      <c r="L322" s="499">
        <v>1</v>
      </c>
      <c r="M322" s="499" t="s">
        <v>2086</v>
      </c>
      <c r="N322" s="499" t="s">
        <v>2066</v>
      </c>
      <c r="O322" s="525">
        <v>0</v>
      </c>
      <c r="P322" s="499" t="s">
        <v>2054</v>
      </c>
      <c r="Q322" s="499"/>
      <c r="R322" s="499"/>
      <c r="S322" s="525"/>
      <c r="T322" s="525">
        <v>0</v>
      </c>
      <c r="U322" s="525">
        <v>1</v>
      </c>
      <c r="V322" s="525" t="s">
        <v>2054</v>
      </c>
      <c r="W322" s="589">
        <f>IF(AND(BaleMover[[#This Row],[Scenario_ID]]="S3",BaleMover[[#This Row],[MRF_ID]]="05"),0,IFERROR(BaleMover[[#This Row],[Total_Baled_tons]]*(IF(BaleMover[[#This Row],[Scenario_ID]]="S0",-2,0)+INDEX(BalePrices[Low],MATCH(BaleMover[[#This Row],[Bale_ID]],BalePrices[Bale_ID],0))),0))</f>
        <v>0</v>
      </c>
      <c r="X322" s="397">
        <f>IF(AND(BaleMover[[#This Row],[Scenario_ID]]="S3",BaleMover[[#This Row],[MRF_ID]]="05"),0,IFERROR(BaleMover[[#This Row],[Total_Baled_tons]]*(IF(BaleMover[[#This Row],[Scenario_ID]]="S0",-2,0)+INDEX(BalePrices[Mid-Point],MATCH(BaleMover[[#This Row],[Bale_ID]],BalePrices[Bale_ID],0))),0))</f>
        <v>0</v>
      </c>
      <c r="Y322" s="397">
        <f>IF(AND(BaleMover[[#This Row],[Scenario_ID]]="S3",BaleMover[[#This Row],[MRF_ID]]="05"),0,IFERROR(BaleMover[[#This Row],[Total_Baled_tons]]*(IF(BaleMover[[#This Row],[Scenario_ID]]="S0",-2,0)+INDEX(BalePrices[High],MATCH(BaleMover[[#This Row],[Bale_ID]],BalePrices[Bale_ID],0))),0))</f>
        <v>0</v>
      </c>
    </row>
    <row r="323" spans="2:25" x14ac:dyDescent="0.2">
      <c r="B323" s="545" t="s">
        <v>875</v>
      </c>
      <c r="C323" s="499" t="s">
        <v>719</v>
      </c>
      <c r="D323" s="499"/>
      <c r="E323" s="499"/>
      <c r="F323" s="499" t="s">
        <v>1994</v>
      </c>
      <c r="G323" s="499" t="s">
        <v>2091</v>
      </c>
      <c r="H323" s="499" t="s">
        <v>1489</v>
      </c>
      <c r="I323" s="499" t="s">
        <v>1015</v>
      </c>
      <c r="J323" s="499" t="s">
        <v>1016</v>
      </c>
      <c r="K323" s="499" t="s">
        <v>2076</v>
      </c>
      <c r="L323" s="499">
        <v>1</v>
      </c>
      <c r="M323" s="499" t="s">
        <v>2086</v>
      </c>
      <c r="N323" s="499" t="s">
        <v>2066</v>
      </c>
      <c r="O323" s="525">
        <v>0</v>
      </c>
      <c r="P323" s="499" t="s">
        <v>2054</v>
      </c>
      <c r="Q323" s="499"/>
      <c r="R323" s="499"/>
      <c r="S323" s="525"/>
      <c r="T323" s="525">
        <v>0</v>
      </c>
      <c r="U323" s="525">
        <v>1</v>
      </c>
      <c r="V323" s="525" t="s">
        <v>2054</v>
      </c>
      <c r="W323" s="589">
        <f>IF(AND(BaleMover[[#This Row],[Scenario_ID]]="S3",BaleMover[[#This Row],[MRF_ID]]="05"),0,IFERROR(BaleMover[[#This Row],[Total_Baled_tons]]*(IF(BaleMover[[#This Row],[Scenario_ID]]="S0",-2,0)+INDEX(BalePrices[Low],MATCH(BaleMover[[#This Row],[Bale_ID]],BalePrices[Bale_ID],0))),0))</f>
        <v>0</v>
      </c>
      <c r="X323" s="397">
        <f>IF(AND(BaleMover[[#This Row],[Scenario_ID]]="S3",BaleMover[[#This Row],[MRF_ID]]="05"),0,IFERROR(BaleMover[[#This Row],[Total_Baled_tons]]*(IF(BaleMover[[#This Row],[Scenario_ID]]="S0",-2,0)+INDEX(BalePrices[Mid-Point],MATCH(BaleMover[[#This Row],[Bale_ID]],BalePrices[Bale_ID],0))),0))</f>
        <v>0</v>
      </c>
      <c r="Y323" s="397">
        <f>IF(AND(BaleMover[[#This Row],[Scenario_ID]]="S3",BaleMover[[#This Row],[MRF_ID]]="05"),0,IFERROR(BaleMover[[#This Row],[Total_Baled_tons]]*(IF(BaleMover[[#This Row],[Scenario_ID]]="S0",-2,0)+INDEX(BalePrices[High],MATCH(BaleMover[[#This Row],[Bale_ID]],BalePrices[Bale_ID],0))),0))</f>
        <v>0</v>
      </c>
    </row>
    <row r="324" spans="2:25" x14ac:dyDescent="0.2">
      <c r="B324" s="545" t="s">
        <v>874</v>
      </c>
      <c r="C324" s="499" t="s">
        <v>719</v>
      </c>
      <c r="D324" s="499"/>
      <c r="E324" s="499"/>
      <c r="F324" s="499" t="s">
        <v>1994</v>
      </c>
      <c r="G324" s="499" t="s">
        <v>2092</v>
      </c>
      <c r="H324" s="499" t="s">
        <v>1490</v>
      </c>
      <c r="I324" s="499" t="s">
        <v>1015</v>
      </c>
      <c r="J324" s="499" t="s">
        <v>1016</v>
      </c>
      <c r="K324" s="499" t="s">
        <v>2076</v>
      </c>
      <c r="L324" s="499">
        <v>1</v>
      </c>
      <c r="M324" s="499" t="s">
        <v>2086</v>
      </c>
      <c r="N324" s="499" t="s">
        <v>2066</v>
      </c>
      <c r="O324" s="525">
        <v>0</v>
      </c>
      <c r="P324" s="499" t="s">
        <v>2054</v>
      </c>
      <c r="Q324" s="499"/>
      <c r="R324" s="499"/>
      <c r="S324" s="525"/>
      <c r="T324" s="525">
        <v>0</v>
      </c>
      <c r="U324" s="525">
        <v>1</v>
      </c>
      <c r="V324" s="525" t="s">
        <v>2054</v>
      </c>
      <c r="W324" s="589">
        <f>IF(AND(BaleMover[[#This Row],[Scenario_ID]]="S3",BaleMover[[#This Row],[MRF_ID]]="05"),0,IFERROR(BaleMover[[#This Row],[Total_Baled_tons]]*(IF(BaleMover[[#This Row],[Scenario_ID]]="S0",-2,0)+INDEX(BalePrices[Low],MATCH(BaleMover[[#This Row],[Bale_ID]],BalePrices[Bale_ID],0))),0))</f>
        <v>0</v>
      </c>
      <c r="X324" s="397">
        <f>IF(AND(BaleMover[[#This Row],[Scenario_ID]]="S3",BaleMover[[#This Row],[MRF_ID]]="05"),0,IFERROR(BaleMover[[#This Row],[Total_Baled_tons]]*(IF(BaleMover[[#This Row],[Scenario_ID]]="S0",-2,0)+INDEX(BalePrices[Mid-Point],MATCH(BaleMover[[#This Row],[Bale_ID]],BalePrices[Bale_ID],0))),0))</f>
        <v>0</v>
      </c>
      <c r="Y324" s="397">
        <f>IF(AND(BaleMover[[#This Row],[Scenario_ID]]="S3",BaleMover[[#This Row],[MRF_ID]]="05"),0,IFERROR(BaleMover[[#This Row],[Total_Baled_tons]]*(IF(BaleMover[[#This Row],[Scenario_ID]]="S0",-2,0)+INDEX(BalePrices[High],MATCH(BaleMover[[#This Row],[Bale_ID]],BalePrices[Bale_ID],0))),0))</f>
        <v>0</v>
      </c>
    </row>
    <row r="325" spans="2:25" x14ac:dyDescent="0.2">
      <c r="B325" s="545" t="s">
        <v>873</v>
      </c>
      <c r="C325" s="499" t="s">
        <v>719</v>
      </c>
      <c r="D325" s="499"/>
      <c r="E325" s="499"/>
      <c r="F325" s="499" t="s">
        <v>1994</v>
      </c>
      <c r="G325" s="499" t="s">
        <v>2093</v>
      </c>
      <c r="H325" s="499" t="s">
        <v>1491</v>
      </c>
      <c r="I325" s="499" t="s">
        <v>1015</v>
      </c>
      <c r="J325" s="499" t="s">
        <v>1016</v>
      </c>
      <c r="K325" s="499" t="s">
        <v>2076</v>
      </c>
      <c r="L325" s="499">
        <v>1</v>
      </c>
      <c r="M325" s="499" t="s">
        <v>2086</v>
      </c>
      <c r="N325" s="499" t="s">
        <v>2066</v>
      </c>
      <c r="O325" s="525">
        <v>0</v>
      </c>
      <c r="P325" s="499" t="s">
        <v>2054</v>
      </c>
      <c r="Q325" s="499"/>
      <c r="R325" s="499"/>
      <c r="S325" s="525"/>
      <c r="T325" s="525">
        <v>0</v>
      </c>
      <c r="U325" s="525">
        <v>1</v>
      </c>
      <c r="V325" s="525" t="s">
        <v>2054</v>
      </c>
      <c r="W325" s="589">
        <f>IF(AND(BaleMover[[#This Row],[Scenario_ID]]="S3",BaleMover[[#This Row],[MRF_ID]]="05"),0,IFERROR(BaleMover[[#This Row],[Total_Baled_tons]]*(IF(BaleMover[[#This Row],[Scenario_ID]]="S0",-2,0)+INDEX(BalePrices[Low],MATCH(BaleMover[[#This Row],[Bale_ID]],BalePrices[Bale_ID],0))),0))</f>
        <v>0</v>
      </c>
      <c r="X325" s="397">
        <f>IF(AND(BaleMover[[#This Row],[Scenario_ID]]="S3",BaleMover[[#This Row],[MRF_ID]]="05"),0,IFERROR(BaleMover[[#This Row],[Total_Baled_tons]]*(IF(BaleMover[[#This Row],[Scenario_ID]]="S0",-2,0)+INDEX(BalePrices[Mid-Point],MATCH(BaleMover[[#This Row],[Bale_ID]],BalePrices[Bale_ID],0))),0))</f>
        <v>0</v>
      </c>
      <c r="Y325" s="397">
        <f>IF(AND(BaleMover[[#This Row],[Scenario_ID]]="S3",BaleMover[[#This Row],[MRF_ID]]="05"),0,IFERROR(BaleMover[[#This Row],[Total_Baled_tons]]*(IF(BaleMover[[#This Row],[Scenario_ID]]="S0",-2,0)+INDEX(BalePrices[High],MATCH(BaleMover[[#This Row],[Bale_ID]],BalePrices[Bale_ID],0))),0))</f>
        <v>0</v>
      </c>
    </row>
    <row r="326" spans="2:25" x14ac:dyDescent="0.2">
      <c r="B326" s="545" t="s">
        <v>876</v>
      </c>
      <c r="C326" s="499" t="s">
        <v>719</v>
      </c>
      <c r="D326" s="499"/>
      <c r="E326" s="499"/>
      <c r="F326" s="499" t="s">
        <v>1994</v>
      </c>
      <c r="G326" s="499" t="s">
        <v>2090</v>
      </c>
      <c r="H326" s="499" t="s">
        <v>1492</v>
      </c>
      <c r="I326" s="499" t="s">
        <v>1017</v>
      </c>
      <c r="J326" s="499" t="s">
        <v>1018</v>
      </c>
      <c r="K326" s="499" t="s">
        <v>2076</v>
      </c>
      <c r="L326" s="499">
        <v>11</v>
      </c>
      <c r="M326" s="499" t="s">
        <v>2084</v>
      </c>
      <c r="N326" s="499" t="s">
        <v>2064</v>
      </c>
      <c r="O326" s="525">
        <v>370.75211142942561</v>
      </c>
      <c r="P326" s="499">
        <v>960</v>
      </c>
      <c r="Q326" s="499"/>
      <c r="R326" s="499"/>
      <c r="S326" s="525"/>
      <c r="T326" s="525">
        <v>0</v>
      </c>
      <c r="U326" s="525">
        <v>1</v>
      </c>
      <c r="V326" s="525">
        <v>355922.02697224857</v>
      </c>
      <c r="W326" s="589">
        <f>IF(AND(BaleMover[[#This Row],[Scenario_ID]]="S3",BaleMover[[#This Row],[MRF_ID]]="05"),0,IFERROR(BaleMover[[#This Row],[Total_Baled_tons]]*(IF(BaleMover[[#This Row],[Scenario_ID]]="S0",-2,0)+INDEX(BalePrices[Low],MATCH(BaleMover[[#This Row],[Bale_ID]],BalePrices[Bale_ID],0))),0))</f>
        <v>407085.81834950933</v>
      </c>
      <c r="X326" s="397">
        <f>IF(AND(BaleMover[[#This Row],[Scenario_ID]]="S3",BaleMover[[#This Row],[MRF_ID]]="05"),0,IFERROR(BaleMover[[#This Row],[Total_Baled_tons]]*(IF(BaleMover[[#This Row],[Scenario_ID]]="S0",-2,0)+INDEX(BalePrices[Mid-Point],MATCH(BaleMover[[#This Row],[Bale_ID]],BalePrices[Bale_ID],0))),0))</f>
        <v>490505.0434211301</v>
      </c>
      <c r="Y326" s="397">
        <f>IF(AND(BaleMover[[#This Row],[Scenario_ID]]="S3",BaleMover[[#This Row],[MRF_ID]]="05"),0,IFERROR(BaleMover[[#This Row],[Total_Baled_tons]]*(IF(BaleMover[[#This Row],[Scenario_ID]]="S0",-2,0)+INDEX(BalePrices[High],MATCH(BaleMover[[#This Row],[Bale_ID]],BalePrices[Bale_ID],0))),0))</f>
        <v>573924.26849275082</v>
      </c>
    </row>
    <row r="327" spans="2:25" x14ac:dyDescent="0.2">
      <c r="B327" s="545" t="s">
        <v>875</v>
      </c>
      <c r="C327" s="499" t="s">
        <v>719</v>
      </c>
      <c r="D327" s="499"/>
      <c r="E327" s="499"/>
      <c r="F327" s="499" t="s">
        <v>1994</v>
      </c>
      <c r="G327" s="499" t="s">
        <v>2091</v>
      </c>
      <c r="H327" s="499" t="s">
        <v>1493</v>
      </c>
      <c r="I327" s="499" t="s">
        <v>1017</v>
      </c>
      <c r="J327" s="499" t="s">
        <v>1018</v>
      </c>
      <c r="K327" s="499" t="s">
        <v>2076</v>
      </c>
      <c r="L327" s="499">
        <v>11</v>
      </c>
      <c r="M327" s="499" t="s">
        <v>2084</v>
      </c>
      <c r="N327" s="499" t="s">
        <v>2064</v>
      </c>
      <c r="O327" s="525">
        <v>294.49410674517907</v>
      </c>
      <c r="P327" s="499">
        <v>960</v>
      </c>
      <c r="Q327" s="499"/>
      <c r="R327" s="499"/>
      <c r="S327" s="525"/>
      <c r="T327" s="525">
        <v>0</v>
      </c>
      <c r="U327" s="525">
        <v>1</v>
      </c>
      <c r="V327" s="525">
        <v>282714.3424753719</v>
      </c>
      <c r="W327" s="589">
        <f>IF(AND(BaleMover[[#This Row],[Scenario_ID]]="S3",BaleMover[[#This Row],[MRF_ID]]="05"),0,IFERROR(BaleMover[[#This Row],[Total_Baled_tons]]*(IF(BaleMover[[#This Row],[Scenario_ID]]="S0",-2,0)+INDEX(BalePrices[Low],MATCH(BaleMover[[#This Row],[Bale_ID]],BalePrices[Bale_ID],0))),0))</f>
        <v>323943.51741969696</v>
      </c>
      <c r="X327" s="397">
        <f>IF(AND(BaleMover[[#This Row],[Scenario_ID]]="S3",BaleMover[[#This Row],[MRF_ID]]="05"),0,IFERROR(BaleMover[[#This Row],[Total_Baled_tons]]*(IF(BaleMover[[#This Row],[Scenario_ID]]="S0",-2,0)+INDEX(BalePrices[Mid-Point],MATCH(BaleMover[[#This Row],[Bale_ID]],BalePrices[Bale_ID],0))),0))</f>
        <v>390204.69143736229</v>
      </c>
      <c r="Y327" s="397">
        <f>IF(AND(BaleMover[[#This Row],[Scenario_ID]]="S3",BaleMover[[#This Row],[MRF_ID]]="05"),0,IFERROR(BaleMover[[#This Row],[Total_Baled_tons]]*(IF(BaleMover[[#This Row],[Scenario_ID]]="S0",-2,0)+INDEX(BalePrices[High],MATCH(BaleMover[[#This Row],[Bale_ID]],BalePrices[Bale_ID],0))),0))</f>
        <v>456465.86545502755</v>
      </c>
    </row>
    <row r="328" spans="2:25" x14ac:dyDescent="0.2">
      <c r="B328" s="545" t="s">
        <v>874</v>
      </c>
      <c r="C328" s="499" t="s">
        <v>719</v>
      </c>
      <c r="D328" s="499"/>
      <c r="E328" s="499"/>
      <c r="F328" s="499" t="s">
        <v>1994</v>
      </c>
      <c r="G328" s="499" t="s">
        <v>2092</v>
      </c>
      <c r="H328" s="499" t="s">
        <v>1494</v>
      </c>
      <c r="I328" s="499" t="s">
        <v>1017</v>
      </c>
      <c r="J328" s="499" t="s">
        <v>1018</v>
      </c>
      <c r="K328" s="499" t="s">
        <v>2076</v>
      </c>
      <c r="L328" s="499">
        <v>11</v>
      </c>
      <c r="M328" s="499" t="s">
        <v>2084</v>
      </c>
      <c r="N328" s="499" t="s">
        <v>2064</v>
      </c>
      <c r="O328" s="525">
        <v>385.61045884172415</v>
      </c>
      <c r="P328" s="499">
        <v>960</v>
      </c>
      <c r="Q328" s="499"/>
      <c r="R328" s="499"/>
      <c r="S328" s="525"/>
      <c r="T328" s="525">
        <v>0</v>
      </c>
      <c r="U328" s="525">
        <v>1</v>
      </c>
      <c r="V328" s="525">
        <v>370186.04048805521</v>
      </c>
      <c r="W328" s="589">
        <f>IF(AND(BaleMover[[#This Row],[Scenario_ID]]="S3",BaleMover[[#This Row],[MRF_ID]]="05"),0,IFERROR(BaleMover[[#This Row],[Total_Baled_tons]]*(IF(BaleMover[[#This Row],[Scenario_ID]]="S0",-2,0)+INDEX(BalePrices[Low],MATCH(BaleMover[[#This Row],[Bale_ID]],BalePrices[Bale_ID],0))),0))</f>
        <v>424171.50472589658</v>
      </c>
      <c r="X328" s="397">
        <f>IF(AND(BaleMover[[#This Row],[Scenario_ID]]="S3",BaleMover[[#This Row],[MRF_ID]]="05"),0,IFERROR(BaleMover[[#This Row],[Total_Baled_tons]]*(IF(BaleMover[[#This Row],[Scenario_ID]]="S0",-2,0)+INDEX(BalePrices[Mid-Point],MATCH(BaleMover[[#This Row],[Bale_ID]],BalePrices[Bale_ID],0))),0))</f>
        <v>510933.85796528449</v>
      </c>
      <c r="Y328" s="397">
        <f>IF(AND(BaleMover[[#This Row],[Scenario_ID]]="S3",BaleMover[[#This Row],[MRF_ID]]="05"),0,IFERROR(BaleMover[[#This Row],[Total_Baled_tons]]*(IF(BaleMover[[#This Row],[Scenario_ID]]="S0",-2,0)+INDEX(BalePrices[High],MATCH(BaleMover[[#This Row],[Bale_ID]],BalePrices[Bale_ID],0))),0))</f>
        <v>597696.21120467247</v>
      </c>
    </row>
    <row r="329" spans="2:25" x14ac:dyDescent="0.2">
      <c r="B329" s="545" t="s">
        <v>873</v>
      </c>
      <c r="C329" s="499" t="s">
        <v>719</v>
      </c>
      <c r="D329" s="499"/>
      <c r="E329" s="499"/>
      <c r="F329" s="499" t="s">
        <v>1994</v>
      </c>
      <c r="G329" s="499" t="s">
        <v>2093</v>
      </c>
      <c r="H329" s="499" t="s">
        <v>1495</v>
      </c>
      <c r="I329" s="499" t="s">
        <v>1017</v>
      </c>
      <c r="J329" s="499" t="s">
        <v>1018</v>
      </c>
      <c r="K329" s="499" t="s">
        <v>2076</v>
      </c>
      <c r="L329" s="499">
        <v>11</v>
      </c>
      <c r="M329" s="499" t="s">
        <v>2084</v>
      </c>
      <c r="N329" s="499" t="s">
        <v>2064</v>
      </c>
      <c r="O329" s="525">
        <v>385.73653583118278</v>
      </c>
      <c r="P329" s="499">
        <v>960</v>
      </c>
      <c r="Q329" s="499"/>
      <c r="R329" s="499"/>
      <c r="S329" s="525"/>
      <c r="T329" s="525">
        <v>0</v>
      </c>
      <c r="U329" s="525">
        <v>1</v>
      </c>
      <c r="V329" s="525">
        <v>370307.07439793547</v>
      </c>
      <c r="W329" s="589">
        <f>IF(AND(BaleMover[[#This Row],[Scenario_ID]]="S3",BaleMover[[#This Row],[MRF_ID]]="05"),0,IFERROR(BaleMover[[#This Row],[Total_Baled_tons]]*(IF(BaleMover[[#This Row],[Scenario_ID]]="S0",-2,0)+INDEX(BalePrices[Low],MATCH(BaleMover[[#This Row],[Bale_ID]],BalePrices[Bale_ID],0))),0))</f>
        <v>424310.18941430107</v>
      </c>
      <c r="X329" s="397">
        <f>IF(AND(BaleMover[[#This Row],[Scenario_ID]]="S3",BaleMover[[#This Row],[MRF_ID]]="05"),0,IFERROR(BaleMover[[#This Row],[Total_Baled_tons]]*(IF(BaleMover[[#This Row],[Scenario_ID]]="S0",-2,0)+INDEX(BalePrices[Mid-Point],MATCH(BaleMover[[#This Row],[Bale_ID]],BalePrices[Bale_ID],0))),0))</f>
        <v>511100.9099763172</v>
      </c>
      <c r="Y329" s="397">
        <f>IF(AND(BaleMover[[#This Row],[Scenario_ID]]="S3",BaleMover[[#This Row],[MRF_ID]]="05"),0,IFERROR(BaleMover[[#This Row],[Total_Baled_tons]]*(IF(BaleMover[[#This Row],[Scenario_ID]]="S0",-2,0)+INDEX(BalePrices[High],MATCH(BaleMover[[#This Row],[Bale_ID]],BalePrices[Bale_ID],0))),0))</f>
        <v>597891.63053833332</v>
      </c>
    </row>
    <row r="330" spans="2:25" x14ac:dyDescent="0.2">
      <c r="B330" s="545" t="s">
        <v>876</v>
      </c>
      <c r="C330" s="499" t="s">
        <v>719</v>
      </c>
      <c r="D330" s="499"/>
      <c r="E330" s="499"/>
      <c r="F330" s="499" t="s">
        <v>1994</v>
      </c>
      <c r="G330" s="499" t="s">
        <v>2090</v>
      </c>
      <c r="H330" s="499" t="s">
        <v>1496</v>
      </c>
      <c r="I330" s="499" t="s">
        <v>1019</v>
      </c>
      <c r="J330" s="499" t="s">
        <v>1020</v>
      </c>
      <c r="K330" s="499" t="s">
        <v>2076</v>
      </c>
      <c r="L330" s="499">
        <v>1</v>
      </c>
      <c r="M330" s="499" t="s">
        <v>2086</v>
      </c>
      <c r="N330" s="499" t="s">
        <v>2066</v>
      </c>
      <c r="O330" s="525">
        <v>2315.3227380338126</v>
      </c>
      <c r="P330" s="499">
        <v>20</v>
      </c>
      <c r="Q330" s="499"/>
      <c r="R330" s="499"/>
      <c r="S330" s="525"/>
      <c r="T330" s="525">
        <v>0</v>
      </c>
      <c r="U330" s="525">
        <v>1</v>
      </c>
      <c r="V330" s="525">
        <v>46306.45476067625</v>
      </c>
      <c r="W330" s="589">
        <f>IF(AND(BaleMover[[#This Row],[Scenario_ID]]="S3",BaleMover[[#This Row],[MRF_ID]]="05"),0,IFERROR(BaleMover[[#This Row],[Total_Baled_tons]]*(IF(BaleMover[[#This Row],[Scenario_ID]]="S0",-2,0)+INDEX(BalePrices[Low],MATCH(BaleMover[[#This Row],[Bale_ID]],BalePrices[Bale_ID],0))),0))</f>
        <v>226901.62832731364</v>
      </c>
      <c r="X330" s="397">
        <f>IF(AND(BaleMover[[#This Row],[Scenario_ID]]="S3",BaleMover[[#This Row],[MRF_ID]]="05"),0,IFERROR(BaleMover[[#This Row],[Total_Baled_tons]]*(IF(BaleMover[[#This Row],[Scenario_ID]]="S0",-2,0)+INDEX(BalePrices[Mid-Point],MATCH(BaleMover[[#This Row],[Bale_ID]],BalePrices[Bale_ID],0))),0))</f>
        <v>342667.76522900426</v>
      </c>
      <c r="Y330" s="397">
        <f>IF(AND(BaleMover[[#This Row],[Scenario_ID]]="S3",BaleMover[[#This Row],[MRF_ID]]="05"),0,IFERROR(BaleMover[[#This Row],[Total_Baled_tons]]*(IF(BaleMover[[#This Row],[Scenario_ID]]="S0",-2,0)+INDEX(BalePrices[High],MATCH(BaleMover[[#This Row],[Bale_ID]],BalePrices[Bale_ID],0))),0))</f>
        <v>458433.90213069489</v>
      </c>
    </row>
    <row r="331" spans="2:25" x14ac:dyDescent="0.2">
      <c r="B331" s="545" t="s">
        <v>875</v>
      </c>
      <c r="C331" s="499" t="s">
        <v>719</v>
      </c>
      <c r="D331" s="499"/>
      <c r="E331" s="499"/>
      <c r="F331" s="499" t="s">
        <v>1994</v>
      </c>
      <c r="G331" s="499" t="s">
        <v>2091</v>
      </c>
      <c r="H331" s="499" t="s">
        <v>1497</v>
      </c>
      <c r="I331" s="499" t="s">
        <v>1019</v>
      </c>
      <c r="J331" s="499" t="s">
        <v>1020</v>
      </c>
      <c r="K331" s="499" t="s">
        <v>2076</v>
      </c>
      <c r="L331" s="499">
        <v>1</v>
      </c>
      <c r="M331" s="499" t="s">
        <v>2086</v>
      </c>
      <c r="N331" s="499" t="s">
        <v>2066</v>
      </c>
      <c r="O331" s="525">
        <v>2171.2602985632202</v>
      </c>
      <c r="P331" s="499">
        <v>20</v>
      </c>
      <c r="Q331" s="499"/>
      <c r="R331" s="499"/>
      <c r="S331" s="525"/>
      <c r="T331" s="525">
        <v>0</v>
      </c>
      <c r="U331" s="525">
        <v>1</v>
      </c>
      <c r="V331" s="525">
        <v>43425.205971264404</v>
      </c>
      <c r="W331" s="589">
        <f>IF(AND(BaleMover[[#This Row],[Scenario_ID]]="S3",BaleMover[[#This Row],[MRF_ID]]="05"),0,IFERROR(BaleMover[[#This Row],[Total_Baled_tons]]*(IF(BaleMover[[#This Row],[Scenario_ID]]="S0",-2,0)+INDEX(BalePrices[Low],MATCH(BaleMover[[#This Row],[Bale_ID]],BalePrices[Bale_ID],0))),0))</f>
        <v>217126.02985632201</v>
      </c>
      <c r="X331" s="397">
        <f>IF(AND(BaleMover[[#This Row],[Scenario_ID]]="S3",BaleMover[[#This Row],[MRF_ID]]="05"),0,IFERROR(BaleMover[[#This Row],[Total_Baled_tons]]*(IF(BaleMover[[#This Row],[Scenario_ID]]="S0",-2,0)+INDEX(BalePrices[Mid-Point],MATCH(BaleMover[[#This Row],[Bale_ID]],BalePrices[Bale_ID],0))),0))</f>
        <v>325689.04478448303</v>
      </c>
      <c r="Y331" s="397">
        <f>IF(AND(BaleMover[[#This Row],[Scenario_ID]]="S3",BaleMover[[#This Row],[MRF_ID]]="05"),0,IFERROR(BaleMover[[#This Row],[Total_Baled_tons]]*(IF(BaleMover[[#This Row],[Scenario_ID]]="S0",-2,0)+INDEX(BalePrices[High],MATCH(BaleMover[[#This Row],[Bale_ID]],BalePrices[Bale_ID],0))),0))</f>
        <v>434252.05971264403</v>
      </c>
    </row>
    <row r="332" spans="2:25" x14ac:dyDescent="0.2">
      <c r="B332" s="545" t="s">
        <v>874</v>
      </c>
      <c r="C332" s="499" t="s">
        <v>719</v>
      </c>
      <c r="D332" s="499"/>
      <c r="E332" s="499"/>
      <c r="F332" s="499" t="s">
        <v>1994</v>
      </c>
      <c r="G332" s="499" t="s">
        <v>2092</v>
      </c>
      <c r="H332" s="499" t="s">
        <v>1498</v>
      </c>
      <c r="I332" s="499" t="s">
        <v>1019</v>
      </c>
      <c r="J332" s="499" t="s">
        <v>1020</v>
      </c>
      <c r="K332" s="499" t="s">
        <v>2076</v>
      </c>
      <c r="L332" s="499">
        <v>1</v>
      </c>
      <c r="M332" s="499" t="s">
        <v>2086</v>
      </c>
      <c r="N332" s="499" t="s">
        <v>2066</v>
      </c>
      <c r="O332" s="525">
        <v>2719.1065221813742</v>
      </c>
      <c r="P332" s="499">
        <v>20</v>
      </c>
      <c r="Q332" s="499"/>
      <c r="R332" s="499"/>
      <c r="S332" s="525"/>
      <c r="T332" s="525">
        <v>0</v>
      </c>
      <c r="U332" s="525">
        <v>1</v>
      </c>
      <c r="V332" s="525">
        <v>54382.13044362748</v>
      </c>
      <c r="W332" s="589">
        <f>IF(AND(BaleMover[[#This Row],[Scenario_ID]]="S3",BaleMover[[#This Row],[MRF_ID]]="05"),0,IFERROR(BaleMover[[#This Row],[Total_Baled_tons]]*(IF(BaleMover[[#This Row],[Scenario_ID]]="S0",-2,0)+INDEX(BalePrices[Low],MATCH(BaleMover[[#This Row],[Bale_ID]],BalePrices[Bale_ID],0))),0))</f>
        <v>271910.6522181374</v>
      </c>
      <c r="X332" s="397">
        <f>IF(AND(BaleMover[[#This Row],[Scenario_ID]]="S3",BaleMover[[#This Row],[MRF_ID]]="05"),0,IFERROR(BaleMover[[#This Row],[Total_Baled_tons]]*(IF(BaleMover[[#This Row],[Scenario_ID]]="S0",-2,0)+INDEX(BalePrices[Mid-Point],MATCH(BaleMover[[#This Row],[Bale_ID]],BalePrices[Bale_ID],0))),0))</f>
        <v>407865.9783272061</v>
      </c>
      <c r="Y332" s="397">
        <f>IF(AND(BaleMover[[#This Row],[Scenario_ID]]="S3",BaleMover[[#This Row],[MRF_ID]]="05"),0,IFERROR(BaleMover[[#This Row],[Total_Baled_tons]]*(IF(BaleMover[[#This Row],[Scenario_ID]]="S0",-2,0)+INDEX(BalePrices[High],MATCH(BaleMover[[#This Row],[Bale_ID]],BalePrices[Bale_ID],0))),0))</f>
        <v>543821.3044362748</v>
      </c>
    </row>
    <row r="333" spans="2:25" x14ac:dyDescent="0.2">
      <c r="B333" s="545" t="s">
        <v>873</v>
      </c>
      <c r="C333" s="499" t="s">
        <v>719</v>
      </c>
      <c r="D333" s="499"/>
      <c r="E333" s="499"/>
      <c r="F333" s="499" t="s">
        <v>1994</v>
      </c>
      <c r="G333" s="499" t="s">
        <v>2093</v>
      </c>
      <c r="H333" s="499" t="s">
        <v>1499</v>
      </c>
      <c r="I333" s="499" t="s">
        <v>1019</v>
      </c>
      <c r="J333" s="499" t="s">
        <v>1020</v>
      </c>
      <c r="K333" s="499" t="s">
        <v>2076</v>
      </c>
      <c r="L333" s="499">
        <v>1</v>
      </c>
      <c r="M333" s="499" t="s">
        <v>2086</v>
      </c>
      <c r="N333" s="499" t="s">
        <v>2066</v>
      </c>
      <c r="O333" s="525">
        <v>2718.024090526912</v>
      </c>
      <c r="P333" s="499">
        <v>20</v>
      </c>
      <c r="Q333" s="499"/>
      <c r="R333" s="499"/>
      <c r="S333" s="525"/>
      <c r="T333" s="525">
        <v>0</v>
      </c>
      <c r="U333" s="525">
        <v>1</v>
      </c>
      <c r="V333" s="525">
        <v>54360.481810538244</v>
      </c>
      <c r="W333" s="589">
        <f>IF(AND(BaleMover[[#This Row],[Scenario_ID]]="S3",BaleMover[[#This Row],[MRF_ID]]="05"),0,IFERROR(BaleMover[[#This Row],[Total_Baled_tons]]*(IF(BaleMover[[#This Row],[Scenario_ID]]="S0",-2,0)+INDEX(BalePrices[Low],MATCH(BaleMover[[#This Row],[Bale_ID]],BalePrices[Bale_ID],0))),0))</f>
        <v>271802.40905269119</v>
      </c>
      <c r="X333" s="397">
        <f>IF(AND(BaleMover[[#This Row],[Scenario_ID]]="S3",BaleMover[[#This Row],[MRF_ID]]="05"),0,IFERROR(BaleMover[[#This Row],[Total_Baled_tons]]*(IF(BaleMover[[#This Row],[Scenario_ID]]="S0",-2,0)+INDEX(BalePrices[Mid-Point],MATCH(BaleMover[[#This Row],[Bale_ID]],BalePrices[Bale_ID],0))),0))</f>
        <v>407703.61357903678</v>
      </c>
      <c r="Y333" s="397">
        <f>IF(AND(BaleMover[[#This Row],[Scenario_ID]]="S3",BaleMover[[#This Row],[MRF_ID]]="05"),0,IFERROR(BaleMover[[#This Row],[Total_Baled_tons]]*(IF(BaleMover[[#This Row],[Scenario_ID]]="S0",-2,0)+INDEX(BalePrices[High],MATCH(BaleMover[[#This Row],[Bale_ID]],BalePrices[Bale_ID],0))),0))</f>
        <v>543604.81810538238</v>
      </c>
    </row>
    <row r="334" spans="2:25" x14ac:dyDescent="0.2">
      <c r="B334" s="545" t="s">
        <v>876</v>
      </c>
      <c r="C334" s="499" t="s">
        <v>719</v>
      </c>
      <c r="D334" s="499"/>
      <c r="E334" s="499"/>
      <c r="F334" s="499" t="s">
        <v>1994</v>
      </c>
      <c r="G334" s="499" t="s">
        <v>2090</v>
      </c>
      <c r="H334" s="499" t="s">
        <v>1500</v>
      </c>
      <c r="I334" s="499" t="s">
        <v>1021</v>
      </c>
      <c r="J334" s="499" t="s">
        <v>751</v>
      </c>
      <c r="K334" s="499" t="s">
        <v>2076</v>
      </c>
      <c r="L334" s="499">
        <v>20</v>
      </c>
      <c r="M334" s="499" t="s">
        <v>2089</v>
      </c>
      <c r="N334" s="499" t="s">
        <v>2074</v>
      </c>
      <c r="O334" s="525">
        <v>3354.224041114072</v>
      </c>
      <c r="P334" s="499">
        <v>45</v>
      </c>
      <c r="Q334" s="499"/>
      <c r="R334" s="499"/>
      <c r="S334" s="525"/>
      <c r="T334" s="525">
        <v>0</v>
      </c>
      <c r="U334" s="525">
        <v>1</v>
      </c>
      <c r="V334" s="525">
        <v>150940.08185013323</v>
      </c>
      <c r="W334" s="589">
        <f>IF(AND(BaleMover[[#This Row],[Scenario_ID]]="S3",BaleMover[[#This Row],[MRF_ID]]="05"),0,IFERROR(BaleMover[[#This Row],[Total_Baled_tons]]*(IF(BaleMover[[#This Row],[Scenario_ID]]="S0",-2,0)+INDEX(BalePrices[Low],MATCH(BaleMover[[#This Row],[Bale_ID]],BalePrices[Bale_ID],0))),0))</f>
        <v>261629.47520689762</v>
      </c>
      <c r="X334" s="397">
        <f>IF(AND(BaleMover[[#This Row],[Scenario_ID]]="S3",BaleMover[[#This Row],[MRF_ID]]="05"),0,IFERROR(BaleMover[[#This Row],[Total_Baled_tons]]*(IF(BaleMover[[#This Row],[Scenario_ID]]="S0",-2,0)+INDEX(BalePrices[Mid-Point],MATCH(BaleMover[[#This Row],[Bale_ID]],BalePrices[Bale_ID],0))),0))</f>
        <v>395798.43685146049</v>
      </c>
      <c r="Y334" s="397">
        <f>IF(AND(BaleMover[[#This Row],[Scenario_ID]]="S3",BaleMover[[#This Row],[MRF_ID]]="05"),0,IFERROR(BaleMover[[#This Row],[Total_Baled_tons]]*(IF(BaleMover[[#This Row],[Scenario_ID]]="S0",-2,0)+INDEX(BalePrices[High],MATCH(BaleMover[[#This Row],[Bale_ID]],BalePrices[Bale_ID],0))),0))</f>
        <v>529967.39849602338</v>
      </c>
    </row>
    <row r="335" spans="2:25" x14ac:dyDescent="0.2">
      <c r="B335" s="545" t="s">
        <v>875</v>
      </c>
      <c r="C335" s="499" t="s">
        <v>719</v>
      </c>
      <c r="D335" s="499"/>
      <c r="E335" s="499"/>
      <c r="F335" s="499" t="s">
        <v>1994</v>
      </c>
      <c r="G335" s="499" t="s">
        <v>2091</v>
      </c>
      <c r="H335" s="499" t="s">
        <v>1501</v>
      </c>
      <c r="I335" s="499" t="s">
        <v>1021</v>
      </c>
      <c r="J335" s="499" t="s">
        <v>751</v>
      </c>
      <c r="K335" s="499" t="s">
        <v>2076</v>
      </c>
      <c r="L335" s="499">
        <v>20</v>
      </c>
      <c r="M335" s="499" t="s">
        <v>2089</v>
      </c>
      <c r="N335" s="499" t="s">
        <v>2074</v>
      </c>
      <c r="O335" s="525">
        <v>2930.1533522847963</v>
      </c>
      <c r="P335" s="499">
        <v>45</v>
      </c>
      <c r="Q335" s="499"/>
      <c r="R335" s="499"/>
      <c r="S335" s="525"/>
      <c r="T335" s="525">
        <v>0</v>
      </c>
      <c r="U335" s="525">
        <v>1</v>
      </c>
      <c r="V335" s="525">
        <v>131856.90085281583</v>
      </c>
      <c r="W335" s="589">
        <f>IF(AND(BaleMover[[#This Row],[Scenario_ID]]="S3",BaleMover[[#This Row],[MRF_ID]]="05"),0,IFERROR(BaleMover[[#This Row],[Total_Baled_tons]]*(IF(BaleMover[[#This Row],[Scenario_ID]]="S0",-2,0)+INDEX(BalePrices[Low],MATCH(BaleMover[[#This Row],[Bale_ID]],BalePrices[Bale_ID],0))),0))</f>
        <v>234412.26818278371</v>
      </c>
      <c r="X335" s="397">
        <f>IF(AND(BaleMover[[#This Row],[Scenario_ID]]="S3",BaleMover[[#This Row],[MRF_ID]]="05"),0,IFERROR(BaleMover[[#This Row],[Total_Baled_tons]]*(IF(BaleMover[[#This Row],[Scenario_ID]]="S0",-2,0)+INDEX(BalePrices[Mid-Point],MATCH(BaleMover[[#This Row],[Bale_ID]],BalePrices[Bale_ID],0))),0))</f>
        <v>351618.40227417555</v>
      </c>
      <c r="Y335" s="397">
        <f>IF(AND(BaleMover[[#This Row],[Scenario_ID]]="S3",BaleMover[[#This Row],[MRF_ID]]="05"),0,IFERROR(BaleMover[[#This Row],[Total_Baled_tons]]*(IF(BaleMover[[#This Row],[Scenario_ID]]="S0",-2,0)+INDEX(BalePrices[High],MATCH(BaleMover[[#This Row],[Bale_ID]],BalePrices[Bale_ID],0))),0))</f>
        <v>468824.53636556742</v>
      </c>
    </row>
    <row r="336" spans="2:25" x14ac:dyDescent="0.2">
      <c r="B336" s="545" t="s">
        <v>874</v>
      </c>
      <c r="C336" s="499" t="s">
        <v>719</v>
      </c>
      <c r="D336" s="499"/>
      <c r="E336" s="499"/>
      <c r="F336" s="499" t="s">
        <v>1994</v>
      </c>
      <c r="G336" s="499" t="s">
        <v>2092</v>
      </c>
      <c r="H336" s="499" t="s">
        <v>1502</v>
      </c>
      <c r="I336" s="499" t="s">
        <v>1021</v>
      </c>
      <c r="J336" s="499" t="s">
        <v>751</v>
      </c>
      <c r="K336" s="499" t="s">
        <v>2076</v>
      </c>
      <c r="L336" s="499">
        <v>20</v>
      </c>
      <c r="M336" s="499" t="s">
        <v>2089</v>
      </c>
      <c r="N336" s="499" t="s">
        <v>2074</v>
      </c>
      <c r="O336" s="525">
        <v>3641.8021435683904</v>
      </c>
      <c r="P336" s="499">
        <v>45</v>
      </c>
      <c r="Q336" s="499"/>
      <c r="R336" s="499"/>
      <c r="S336" s="525"/>
      <c r="T336" s="525">
        <v>0</v>
      </c>
      <c r="U336" s="525">
        <v>1</v>
      </c>
      <c r="V336" s="525">
        <v>163881.09646057757</v>
      </c>
      <c r="W336" s="589">
        <f>IF(AND(BaleMover[[#This Row],[Scenario_ID]]="S3",BaleMover[[#This Row],[MRF_ID]]="05"),0,IFERROR(BaleMover[[#This Row],[Total_Baled_tons]]*(IF(BaleMover[[#This Row],[Scenario_ID]]="S0",-2,0)+INDEX(BalePrices[Low],MATCH(BaleMover[[#This Row],[Bale_ID]],BalePrices[Bale_ID],0))),0))</f>
        <v>291344.17148547125</v>
      </c>
      <c r="X336" s="397">
        <f>IF(AND(BaleMover[[#This Row],[Scenario_ID]]="S3",BaleMover[[#This Row],[MRF_ID]]="05"),0,IFERROR(BaleMover[[#This Row],[Total_Baled_tons]]*(IF(BaleMover[[#This Row],[Scenario_ID]]="S0",-2,0)+INDEX(BalePrices[Mid-Point],MATCH(BaleMover[[#This Row],[Bale_ID]],BalePrices[Bale_ID],0))),0))</f>
        <v>437016.25722820684</v>
      </c>
      <c r="Y336" s="397">
        <f>IF(AND(BaleMover[[#This Row],[Scenario_ID]]="S3",BaleMover[[#This Row],[MRF_ID]]="05"),0,IFERROR(BaleMover[[#This Row],[Total_Baled_tons]]*(IF(BaleMover[[#This Row],[Scenario_ID]]="S0",-2,0)+INDEX(BalePrices[High],MATCH(BaleMover[[#This Row],[Bale_ID]],BalePrices[Bale_ID],0))),0))</f>
        <v>582688.3429709425</v>
      </c>
    </row>
    <row r="337" spans="2:25" x14ac:dyDescent="0.2">
      <c r="B337" s="545" t="s">
        <v>873</v>
      </c>
      <c r="C337" s="499" t="s">
        <v>719</v>
      </c>
      <c r="D337" s="499"/>
      <c r="E337" s="499"/>
      <c r="F337" s="499" t="s">
        <v>1994</v>
      </c>
      <c r="G337" s="499" t="s">
        <v>2093</v>
      </c>
      <c r="H337" s="499" t="s">
        <v>1503</v>
      </c>
      <c r="I337" s="499" t="s">
        <v>1021</v>
      </c>
      <c r="J337" s="499" t="s">
        <v>751</v>
      </c>
      <c r="K337" s="499" t="s">
        <v>2076</v>
      </c>
      <c r="L337" s="499">
        <v>20</v>
      </c>
      <c r="M337" s="499" t="s">
        <v>2089</v>
      </c>
      <c r="N337" s="499" t="s">
        <v>2074</v>
      </c>
      <c r="O337" s="525">
        <v>3641.7868468663523</v>
      </c>
      <c r="P337" s="499">
        <v>45</v>
      </c>
      <c r="Q337" s="499"/>
      <c r="R337" s="499"/>
      <c r="S337" s="525"/>
      <c r="T337" s="525">
        <v>0</v>
      </c>
      <c r="U337" s="525">
        <v>1</v>
      </c>
      <c r="V337" s="525">
        <v>163880.40810898587</v>
      </c>
      <c r="W337" s="589">
        <f>IF(AND(BaleMover[[#This Row],[Scenario_ID]]="S3",BaleMover[[#This Row],[MRF_ID]]="05"),0,IFERROR(BaleMover[[#This Row],[Total_Baled_tons]]*(IF(BaleMover[[#This Row],[Scenario_ID]]="S0",-2,0)+INDEX(BalePrices[Low],MATCH(BaleMover[[#This Row],[Bale_ID]],BalePrices[Bale_ID],0))),0))</f>
        <v>291342.94774930819</v>
      </c>
      <c r="X337" s="397">
        <f>IF(AND(BaleMover[[#This Row],[Scenario_ID]]="S3",BaleMover[[#This Row],[MRF_ID]]="05"),0,IFERROR(BaleMover[[#This Row],[Total_Baled_tons]]*(IF(BaleMover[[#This Row],[Scenario_ID]]="S0",-2,0)+INDEX(BalePrices[Mid-Point],MATCH(BaleMover[[#This Row],[Bale_ID]],BalePrices[Bale_ID],0))),0))</f>
        <v>437014.42162396229</v>
      </c>
      <c r="Y337" s="397">
        <f>IF(AND(BaleMover[[#This Row],[Scenario_ID]]="S3",BaleMover[[#This Row],[MRF_ID]]="05"),0,IFERROR(BaleMover[[#This Row],[Total_Baled_tons]]*(IF(BaleMover[[#This Row],[Scenario_ID]]="S0",-2,0)+INDEX(BalePrices[High],MATCH(BaleMover[[#This Row],[Bale_ID]],BalePrices[Bale_ID],0))),0))</f>
        <v>582685.89549861639</v>
      </c>
    </row>
    <row r="338" spans="2:25" x14ac:dyDescent="0.2">
      <c r="B338" s="545" t="s">
        <v>874</v>
      </c>
      <c r="C338" s="499" t="s">
        <v>727</v>
      </c>
      <c r="D338" s="499"/>
      <c r="E338" s="499"/>
      <c r="F338" s="499" t="s">
        <v>1995</v>
      </c>
      <c r="G338" s="499" t="s">
        <v>2094</v>
      </c>
      <c r="H338" s="499" t="s">
        <v>1504</v>
      </c>
      <c r="I338" s="499" t="s">
        <v>969</v>
      </c>
      <c r="J338" s="499" t="s">
        <v>970</v>
      </c>
      <c r="K338" s="499" t="s">
        <v>2076</v>
      </c>
      <c r="L338" s="499">
        <v>5</v>
      </c>
      <c r="M338" s="499" t="s">
        <v>2077</v>
      </c>
      <c r="N338" s="499" t="s">
        <v>2058</v>
      </c>
      <c r="O338" s="525">
        <v>0</v>
      </c>
      <c r="P338" s="499" t="s">
        <v>2054</v>
      </c>
      <c r="Q338" s="499"/>
      <c r="R338" s="499"/>
      <c r="S338" s="525"/>
      <c r="T338" s="525">
        <v>0</v>
      </c>
      <c r="U338" s="525">
        <v>1</v>
      </c>
      <c r="V338" s="525" t="s">
        <v>2054</v>
      </c>
      <c r="W338" s="589">
        <f>IF(AND(BaleMover[[#This Row],[Scenario_ID]]="S3",BaleMover[[#This Row],[MRF_ID]]="05"),0,IFERROR(BaleMover[[#This Row],[Total_Baled_tons]]*(IF(BaleMover[[#This Row],[Scenario_ID]]="S0",-2,0)+INDEX(BalePrices[Low],MATCH(BaleMover[[#This Row],[Bale_ID]],BalePrices[Bale_ID],0))),0))</f>
        <v>0</v>
      </c>
      <c r="X338" s="397">
        <f>IF(AND(BaleMover[[#This Row],[Scenario_ID]]="S3",BaleMover[[#This Row],[MRF_ID]]="05"),0,IFERROR(BaleMover[[#This Row],[Total_Baled_tons]]*(IF(BaleMover[[#This Row],[Scenario_ID]]="S0",-2,0)+INDEX(BalePrices[Mid-Point],MATCH(BaleMover[[#This Row],[Bale_ID]],BalePrices[Bale_ID],0))),0))</f>
        <v>0</v>
      </c>
      <c r="Y338" s="397">
        <f>IF(AND(BaleMover[[#This Row],[Scenario_ID]]="S3",BaleMover[[#This Row],[MRF_ID]]="05"),0,IFERROR(BaleMover[[#This Row],[Total_Baled_tons]]*(IF(BaleMover[[#This Row],[Scenario_ID]]="S0",-2,0)+INDEX(BalePrices[High],MATCH(BaleMover[[#This Row],[Bale_ID]],BalePrices[Bale_ID],0))),0))</f>
        <v>0</v>
      </c>
    </row>
    <row r="339" spans="2:25" x14ac:dyDescent="0.2">
      <c r="B339" s="545" t="s">
        <v>873</v>
      </c>
      <c r="C339" s="499" t="s">
        <v>727</v>
      </c>
      <c r="D339" s="499"/>
      <c r="E339" s="499"/>
      <c r="F339" s="499" t="s">
        <v>1995</v>
      </c>
      <c r="G339" s="499" t="s">
        <v>2095</v>
      </c>
      <c r="H339" s="499" t="s">
        <v>1505</v>
      </c>
      <c r="I339" s="499" t="s">
        <v>969</v>
      </c>
      <c r="J339" s="499" t="s">
        <v>970</v>
      </c>
      <c r="K339" s="499" t="s">
        <v>2096</v>
      </c>
      <c r="L339" s="499">
        <v>14</v>
      </c>
      <c r="M339" s="499" t="s">
        <v>2097</v>
      </c>
      <c r="N339" s="499" t="s">
        <v>2098</v>
      </c>
      <c r="O339" s="525">
        <v>0</v>
      </c>
      <c r="P339" s="499" t="s">
        <v>2054</v>
      </c>
      <c r="Q339" s="499"/>
      <c r="R339" s="499"/>
      <c r="S339" s="525"/>
      <c r="T339" s="525">
        <v>0</v>
      </c>
      <c r="U339" s="525">
        <v>1</v>
      </c>
      <c r="V339" s="525" t="s">
        <v>2054</v>
      </c>
      <c r="W339" s="589">
        <f>IF(AND(BaleMover[[#This Row],[Scenario_ID]]="S3",BaleMover[[#This Row],[MRF_ID]]="05"),0,IFERROR(BaleMover[[#This Row],[Total_Baled_tons]]*(IF(BaleMover[[#This Row],[Scenario_ID]]="S0",-2,0)+INDEX(BalePrices[Low],MATCH(BaleMover[[#This Row],[Bale_ID]],BalePrices[Bale_ID],0))),0))</f>
        <v>0</v>
      </c>
      <c r="X339" s="397">
        <f>IF(AND(BaleMover[[#This Row],[Scenario_ID]]="S3",BaleMover[[#This Row],[MRF_ID]]="05"),0,IFERROR(BaleMover[[#This Row],[Total_Baled_tons]]*(IF(BaleMover[[#This Row],[Scenario_ID]]="S0",-2,0)+INDEX(BalePrices[Mid-Point],MATCH(BaleMover[[#This Row],[Bale_ID]],BalePrices[Bale_ID],0))),0))</f>
        <v>0</v>
      </c>
      <c r="Y339" s="397">
        <f>IF(AND(BaleMover[[#This Row],[Scenario_ID]]="S3",BaleMover[[#This Row],[MRF_ID]]="05"),0,IFERROR(BaleMover[[#This Row],[Total_Baled_tons]]*(IF(BaleMover[[#This Row],[Scenario_ID]]="S0",-2,0)+INDEX(BalePrices[High],MATCH(BaleMover[[#This Row],[Bale_ID]],BalePrices[Bale_ID],0))),0))</f>
        <v>0</v>
      </c>
    </row>
    <row r="340" spans="2:25" x14ac:dyDescent="0.2">
      <c r="B340" s="545" t="s">
        <v>874</v>
      </c>
      <c r="C340" s="499" t="s">
        <v>727</v>
      </c>
      <c r="D340" s="499"/>
      <c r="E340" s="499"/>
      <c r="F340" s="499" t="s">
        <v>1995</v>
      </c>
      <c r="G340" s="499" t="s">
        <v>2094</v>
      </c>
      <c r="H340" s="499" t="s">
        <v>1506</v>
      </c>
      <c r="I340" s="499" t="s">
        <v>971</v>
      </c>
      <c r="J340" s="499" t="s">
        <v>972</v>
      </c>
      <c r="K340" s="499" t="s">
        <v>2076</v>
      </c>
      <c r="L340" s="499">
        <v>5</v>
      </c>
      <c r="M340" s="499" t="s">
        <v>2077</v>
      </c>
      <c r="N340" s="499" t="s">
        <v>2058</v>
      </c>
      <c r="O340" s="525">
        <v>0</v>
      </c>
      <c r="P340" s="499" t="s">
        <v>2054</v>
      </c>
      <c r="Q340" s="499"/>
      <c r="R340" s="499"/>
      <c r="S340" s="525"/>
      <c r="T340" s="525">
        <v>0</v>
      </c>
      <c r="U340" s="525">
        <v>1</v>
      </c>
      <c r="V340" s="525" t="s">
        <v>2054</v>
      </c>
      <c r="W340" s="589">
        <f>IF(AND(BaleMover[[#This Row],[Scenario_ID]]="S3",BaleMover[[#This Row],[MRF_ID]]="05"),0,IFERROR(BaleMover[[#This Row],[Total_Baled_tons]]*(IF(BaleMover[[#This Row],[Scenario_ID]]="S0",-2,0)+INDEX(BalePrices[Low],MATCH(BaleMover[[#This Row],[Bale_ID]],BalePrices[Bale_ID],0))),0))</f>
        <v>0</v>
      </c>
      <c r="X340" s="397">
        <f>IF(AND(BaleMover[[#This Row],[Scenario_ID]]="S3",BaleMover[[#This Row],[MRF_ID]]="05"),0,IFERROR(BaleMover[[#This Row],[Total_Baled_tons]]*(IF(BaleMover[[#This Row],[Scenario_ID]]="S0",-2,0)+INDEX(BalePrices[Mid-Point],MATCH(BaleMover[[#This Row],[Bale_ID]],BalePrices[Bale_ID],0))),0))</f>
        <v>0</v>
      </c>
      <c r="Y340" s="397">
        <f>IF(AND(BaleMover[[#This Row],[Scenario_ID]]="S3",BaleMover[[#This Row],[MRF_ID]]="05"),0,IFERROR(BaleMover[[#This Row],[Total_Baled_tons]]*(IF(BaleMover[[#This Row],[Scenario_ID]]="S0",-2,0)+INDEX(BalePrices[High],MATCH(BaleMover[[#This Row],[Bale_ID]],BalePrices[Bale_ID],0))),0))</f>
        <v>0</v>
      </c>
    </row>
    <row r="341" spans="2:25" x14ac:dyDescent="0.2">
      <c r="B341" s="545" t="s">
        <v>873</v>
      </c>
      <c r="C341" s="499" t="s">
        <v>727</v>
      </c>
      <c r="D341" s="499"/>
      <c r="E341" s="499"/>
      <c r="F341" s="499" t="s">
        <v>1995</v>
      </c>
      <c r="G341" s="499" t="s">
        <v>2095</v>
      </c>
      <c r="H341" s="499" t="s">
        <v>1507</v>
      </c>
      <c r="I341" s="499" t="s">
        <v>971</v>
      </c>
      <c r="J341" s="499" t="s">
        <v>972</v>
      </c>
      <c r="K341" s="499" t="s">
        <v>2096</v>
      </c>
      <c r="L341" s="499">
        <v>14</v>
      </c>
      <c r="M341" s="499" t="s">
        <v>2097</v>
      </c>
      <c r="N341" s="499" t="s">
        <v>2098</v>
      </c>
      <c r="O341" s="525">
        <v>0</v>
      </c>
      <c r="P341" s="499" t="s">
        <v>2054</v>
      </c>
      <c r="Q341" s="499"/>
      <c r="R341" s="499"/>
      <c r="S341" s="525"/>
      <c r="T341" s="525">
        <v>0</v>
      </c>
      <c r="U341" s="525">
        <v>1</v>
      </c>
      <c r="V341" s="525" t="s">
        <v>2054</v>
      </c>
      <c r="W341" s="589">
        <f>IF(AND(BaleMover[[#This Row],[Scenario_ID]]="S3",BaleMover[[#This Row],[MRF_ID]]="05"),0,IFERROR(BaleMover[[#This Row],[Total_Baled_tons]]*(IF(BaleMover[[#This Row],[Scenario_ID]]="S0",-2,0)+INDEX(BalePrices[Low],MATCH(BaleMover[[#This Row],[Bale_ID]],BalePrices[Bale_ID],0))),0))</f>
        <v>0</v>
      </c>
      <c r="X341" s="397">
        <f>IF(AND(BaleMover[[#This Row],[Scenario_ID]]="S3",BaleMover[[#This Row],[MRF_ID]]="05"),0,IFERROR(BaleMover[[#This Row],[Total_Baled_tons]]*(IF(BaleMover[[#This Row],[Scenario_ID]]="S0",-2,0)+INDEX(BalePrices[Mid-Point],MATCH(BaleMover[[#This Row],[Bale_ID]],BalePrices[Bale_ID],0))),0))</f>
        <v>0</v>
      </c>
      <c r="Y341" s="397">
        <f>IF(AND(BaleMover[[#This Row],[Scenario_ID]]="S3",BaleMover[[#This Row],[MRF_ID]]="05"),0,IFERROR(BaleMover[[#This Row],[Total_Baled_tons]]*(IF(BaleMover[[#This Row],[Scenario_ID]]="S0",-2,0)+INDEX(BalePrices[High],MATCH(BaleMover[[#This Row],[Bale_ID]],BalePrices[Bale_ID],0))),0))</f>
        <v>0</v>
      </c>
    </row>
    <row r="342" spans="2:25" x14ac:dyDescent="0.2">
      <c r="B342" s="545" t="s">
        <v>874</v>
      </c>
      <c r="C342" s="499" t="s">
        <v>727</v>
      </c>
      <c r="D342" s="499"/>
      <c r="E342" s="499"/>
      <c r="F342" s="499" t="s">
        <v>1995</v>
      </c>
      <c r="G342" s="499" t="s">
        <v>2094</v>
      </c>
      <c r="H342" s="499" t="s">
        <v>1508</v>
      </c>
      <c r="I342" s="499" t="s">
        <v>973</v>
      </c>
      <c r="J342" s="499" t="s">
        <v>974</v>
      </c>
      <c r="K342" s="499" t="s">
        <v>2076</v>
      </c>
      <c r="L342" s="499">
        <v>5</v>
      </c>
      <c r="M342" s="499" t="s">
        <v>2077</v>
      </c>
      <c r="N342" s="499" t="s">
        <v>2058</v>
      </c>
      <c r="O342" s="525">
        <v>0</v>
      </c>
      <c r="P342" s="499" t="s">
        <v>2054</v>
      </c>
      <c r="Q342" s="499"/>
      <c r="R342" s="499"/>
      <c r="S342" s="525"/>
      <c r="T342" s="525">
        <v>0</v>
      </c>
      <c r="U342" s="525">
        <v>1</v>
      </c>
      <c r="V342" s="525" t="s">
        <v>2054</v>
      </c>
      <c r="W342" s="589">
        <f>IF(AND(BaleMover[[#This Row],[Scenario_ID]]="S3",BaleMover[[#This Row],[MRF_ID]]="05"),0,IFERROR(BaleMover[[#This Row],[Total_Baled_tons]]*(IF(BaleMover[[#This Row],[Scenario_ID]]="S0",-2,0)+INDEX(BalePrices[Low],MATCH(BaleMover[[#This Row],[Bale_ID]],BalePrices[Bale_ID],0))),0))</f>
        <v>0</v>
      </c>
      <c r="X342" s="397">
        <f>IF(AND(BaleMover[[#This Row],[Scenario_ID]]="S3",BaleMover[[#This Row],[MRF_ID]]="05"),0,IFERROR(BaleMover[[#This Row],[Total_Baled_tons]]*(IF(BaleMover[[#This Row],[Scenario_ID]]="S0",-2,0)+INDEX(BalePrices[Mid-Point],MATCH(BaleMover[[#This Row],[Bale_ID]],BalePrices[Bale_ID],0))),0))</f>
        <v>0</v>
      </c>
      <c r="Y342" s="397">
        <f>IF(AND(BaleMover[[#This Row],[Scenario_ID]]="S3",BaleMover[[#This Row],[MRF_ID]]="05"),0,IFERROR(BaleMover[[#This Row],[Total_Baled_tons]]*(IF(BaleMover[[#This Row],[Scenario_ID]]="S0",-2,0)+INDEX(BalePrices[High],MATCH(BaleMover[[#This Row],[Bale_ID]],BalePrices[Bale_ID],0))),0))</f>
        <v>0</v>
      </c>
    </row>
    <row r="343" spans="2:25" x14ac:dyDescent="0.2">
      <c r="B343" s="545" t="s">
        <v>873</v>
      </c>
      <c r="C343" s="499" t="s">
        <v>727</v>
      </c>
      <c r="D343" s="499"/>
      <c r="E343" s="499"/>
      <c r="F343" s="499" t="s">
        <v>1995</v>
      </c>
      <c r="G343" s="499" t="s">
        <v>2095</v>
      </c>
      <c r="H343" s="499" t="s">
        <v>1509</v>
      </c>
      <c r="I343" s="499" t="s">
        <v>973</v>
      </c>
      <c r="J343" s="499" t="s">
        <v>974</v>
      </c>
      <c r="K343" s="499" t="s">
        <v>2096</v>
      </c>
      <c r="L343" s="499">
        <v>14</v>
      </c>
      <c r="M343" s="499" t="s">
        <v>2097</v>
      </c>
      <c r="N343" s="499" t="s">
        <v>2098</v>
      </c>
      <c r="O343" s="525">
        <v>0</v>
      </c>
      <c r="P343" s="499" t="s">
        <v>2054</v>
      </c>
      <c r="Q343" s="499"/>
      <c r="R343" s="499"/>
      <c r="S343" s="525"/>
      <c r="T343" s="525">
        <v>0</v>
      </c>
      <c r="U343" s="525">
        <v>1</v>
      </c>
      <c r="V343" s="525" t="s">
        <v>2054</v>
      </c>
      <c r="W343" s="589">
        <f>IF(AND(BaleMover[[#This Row],[Scenario_ID]]="S3",BaleMover[[#This Row],[MRF_ID]]="05"),0,IFERROR(BaleMover[[#This Row],[Total_Baled_tons]]*(IF(BaleMover[[#This Row],[Scenario_ID]]="S0",-2,0)+INDEX(BalePrices[Low],MATCH(BaleMover[[#This Row],[Bale_ID]],BalePrices[Bale_ID],0))),0))</f>
        <v>0</v>
      </c>
      <c r="X343" s="397">
        <f>IF(AND(BaleMover[[#This Row],[Scenario_ID]]="S3",BaleMover[[#This Row],[MRF_ID]]="05"),0,IFERROR(BaleMover[[#This Row],[Total_Baled_tons]]*(IF(BaleMover[[#This Row],[Scenario_ID]]="S0",-2,0)+INDEX(BalePrices[Mid-Point],MATCH(BaleMover[[#This Row],[Bale_ID]],BalePrices[Bale_ID],0))),0))</f>
        <v>0</v>
      </c>
      <c r="Y343" s="397">
        <f>IF(AND(BaleMover[[#This Row],[Scenario_ID]]="S3",BaleMover[[#This Row],[MRF_ID]]="05"),0,IFERROR(BaleMover[[#This Row],[Total_Baled_tons]]*(IF(BaleMover[[#This Row],[Scenario_ID]]="S0",-2,0)+INDEX(BalePrices[High],MATCH(BaleMover[[#This Row],[Bale_ID]],BalePrices[Bale_ID],0))),0))</f>
        <v>0</v>
      </c>
    </row>
    <row r="344" spans="2:25" x14ac:dyDescent="0.2">
      <c r="B344" s="545" t="s">
        <v>874</v>
      </c>
      <c r="C344" s="499" t="s">
        <v>727</v>
      </c>
      <c r="D344" s="499"/>
      <c r="E344" s="499"/>
      <c r="F344" s="499" t="s">
        <v>1995</v>
      </c>
      <c r="G344" s="499" t="s">
        <v>2094</v>
      </c>
      <c r="H344" s="499" t="s">
        <v>1510</v>
      </c>
      <c r="I344" s="499" t="s">
        <v>975</v>
      </c>
      <c r="J344" s="499" t="s">
        <v>976</v>
      </c>
      <c r="K344" s="499" t="s">
        <v>2076</v>
      </c>
      <c r="L344" s="499">
        <v>7</v>
      </c>
      <c r="M344" s="499" t="s">
        <v>2081</v>
      </c>
      <c r="N344" s="499" t="s">
        <v>2056</v>
      </c>
      <c r="O344" s="525">
        <v>0</v>
      </c>
      <c r="P344" s="499" t="s">
        <v>2054</v>
      </c>
      <c r="Q344" s="499"/>
      <c r="R344" s="499"/>
      <c r="S344" s="525"/>
      <c r="T344" s="525">
        <v>0</v>
      </c>
      <c r="U344" s="525">
        <v>1</v>
      </c>
      <c r="V344" s="525" t="s">
        <v>2054</v>
      </c>
      <c r="W344" s="589">
        <f>IF(AND(BaleMover[[#This Row],[Scenario_ID]]="S3",BaleMover[[#This Row],[MRF_ID]]="05"),0,IFERROR(BaleMover[[#This Row],[Total_Baled_tons]]*(IF(BaleMover[[#This Row],[Scenario_ID]]="S0",-2,0)+INDEX(BalePrices[Low],MATCH(BaleMover[[#This Row],[Bale_ID]],BalePrices[Bale_ID],0))),0))</f>
        <v>0</v>
      </c>
      <c r="X344" s="397">
        <f>IF(AND(BaleMover[[#This Row],[Scenario_ID]]="S3",BaleMover[[#This Row],[MRF_ID]]="05"),0,IFERROR(BaleMover[[#This Row],[Total_Baled_tons]]*(IF(BaleMover[[#This Row],[Scenario_ID]]="S0",-2,0)+INDEX(BalePrices[Mid-Point],MATCH(BaleMover[[#This Row],[Bale_ID]],BalePrices[Bale_ID],0))),0))</f>
        <v>0</v>
      </c>
      <c r="Y344" s="397">
        <f>IF(AND(BaleMover[[#This Row],[Scenario_ID]]="S3",BaleMover[[#This Row],[MRF_ID]]="05"),0,IFERROR(BaleMover[[#This Row],[Total_Baled_tons]]*(IF(BaleMover[[#This Row],[Scenario_ID]]="S0",-2,0)+INDEX(BalePrices[High],MATCH(BaleMover[[#This Row],[Bale_ID]],BalePrices[Bale_ID],0))),0))</f>
        <v>0</v>
      </c>
    </row>
    <row r="345" spans="2:25" x14ac:dyDescent="0.2">
      <c r="B345" s="545" t="s">
        <v>873</v>
      </c>
      <c r="C345" s="499" t="s">
        <v>727</v>
      </c>
      <c r="D345" s="499"/>
      <c r="E345" s="499"/>
      <c r="F345" s="499" t="s">
        <v>1995</v>
      </c>
      <c r="G345" s="499" t="s">
        <v>2095</v>
      </c>
      <c r="H345" s="499" t="s">
        <v>1511</v>
      </c>
      <c r="I345" s="499" t="s">
        <v>975</v>
      </c>
      <c r="J345" s="499" t="s">
        <v>976</v>
      </c>
      <c r="K345" s="499" t="s">
        <v>2096</v>
      </c>
      <c r="L345" s="499">
        <v>18</v>
      </c>
      <c r="M345" s="499" t="s">
        <v>2099</v>
      </c>
      <c r="N345" s="499" t="s">
        <v>2100</v>
      </c>
      <c r="O345" s="525">
        <v>0</v>
      </c>
      <c r="P345" s="499" t="s">
        <v>2054</v>
      </c>
      <c r="Q345" s="499"/>
      <c r="R345" s="499"/>
      <c r="S345" s="525"/>
      <c r="T345" s="525">
        <v>0</v>
      </c>
      <c r="U345" s="525">
        <v>1</v>
      </c>
      <c r="V345" s="525" t="s">
        <v>2054</v>
      </c>
      <c r="W345" s="589">
        <f>IF(AND(BaleMover[[#This Row],[Scenario_ID]]="S3",BaleMover[[#This Row],[MRF_ID]]="05"),0,IFERROR(BaleMover[[#This Row],[Total_Baled_tons]]*(IF(BaleMover[[#This Row],[Scenario_ID]]="S0",-2,0)+INDEX(BalePrices[Low],MATCH(BaleMover[[#This Row],[Bale_ID]],BalePrices[Bale_ID],0))),0))</f>
        <v>0</v>
      </c>
      <c r="X345" s="397">
        <f>IF(AND(BaleMover[[#This Row],[Scenario_ID]]="S3",BaleMover[[#This Row],[MRF_ID]]="05"),0,IFERROR(BaleMover[[#This Row],[Total_Baled_tons]]*(IF(BaleMover[[#This Row],[Scenario_ID]]="S0",-2,0)+INDEX(BalePrices[Mid-Point],MATCH(BaleMover[[#This Row],[Bale_ID]],BalePrices[Bale_ID],0))),0))</f>
        <v>0</v>
      </c>
      <c r="Y345" s="397">
        <f>IF(AND(BaleMover[[#This Row],[Scenario_ID]]="S3",BaleMover[[#This Row],[MRF_ID]]="05"),0,IFERROR(BaleMover[[#This Row],[Total_Baled_tons]]*(IF(BaleMover[[#This Row],[Scenario_ID]]="S0",-2,0)+INDEX(BalePrices[High],MATCH(BaleMover[[#This Row],[Bale_ID]],BalePrices[Bale_ID],0))),0))</f>
        <v>0</v>
      </c>
    </row>
    <row r="346" spans="2:25" x14ac:dyDescent="0.2">
      <c r="B346" s="545" t="s">
        <v>874</v>
      </c>
      <c r="C346" s="499" t="s">
        <v>727</v>
      </c>
      <c r="D346" s="499"/>
      <c r="E346" s="499"/>
      <c r="F346" s="499" t="s">
        <v>1995</v>
      </c>
      <c r="G346" s="499" t="s">
        <v>2094</v>
      </c>
      <c r="H346" s="499" t="s">
        <v>1512</v>
      </c>
      <c r="I346" s="499" t="s">
        <v>977</v>
      </c>
      <c r="J346" s="499" t="s">
        <v>864</v>
      </c>
      <c r="K346" s="499" t="s">
        <v>2076</v>
      </c>
      <c r="L346" s="499">
        <v>5</v>
      </c>
      <c r="M346" s="499" t="s">
        <v>2077</v>
      </c>
      <c r="N346" s="499" t="s">
        <v>2058</v>
      </c>
      <c r="O346" s="525">
        <v>363.60761738619794</v>
      </c>
      <c r="P346" s="499">
        <v>50</v>
      </c>
      <c r="Q346" s="499"/>
      <c r="R346" s="499"/>
      <c r="S346" s="525"/>
      <c r="T346" s="525">
        <v>0</v>
      </c>
      <c r="U346" s="525">
        <v>1</v>
      </c>
      <c r="V346" s="525">
        <v>18180.380869309898</v>
      </c>
      <c r="W346" s="589">
        <f>IF(AND(BaleMover[[#This Row],[Scenario_ID]]="S3",BaleMover[[#This Row],[MRF_ID]]="05"),0,IFERROR(BaleMover[[#This Row],[Total_Baled_tons]]*(IF(BaleMover[[#This Row],[Scenario_ID]]="S0",-2,0)+INDEX(BalePrices[Low],MATCH(BaleMover[[#This Row],[Bale_ID]],BalePrices[Bale_ID],0))),0))</f>
        <v>-7272.1523477239589</v>
      </c>
      <c r="X346" s="397">
        <f>IF(AND(BaleMover[[#This Row],[Scenario_ID]]="S3",BaleMover[[#This Row],[MRF_ID]]="05"),0,IFERROR(BaleMover[[#This Row],[Total_Baled_tons]]*(IF(BaleMover[[#This Row],[Scenario_ID]]="S0",-2,0)+INDEX(BalePrices[Mid-Point],MATCH(BaleMover[[#This Row],[Bale_ID]],BalePrices[Bale_ID],0))),0))</f>
        <v>18180.380869309898</v>
      </c>
      <c r="Y346" s="397">
        <f>IF(AND(BaleMover[[#This Row],[Scenario_ID]]="S3",BaleMover[[#This Row],[MRF_ID]]="05"),0,IFERROR(BaleMover[[#This Row],[Total_Baled_tons]]*(IF(BaleMover[[#This Row],[Scenario_ID]]="S0",-2,0)+INDEX(BalePrices[High],MATCH(BaleMover[[#This Row],[Bale_ID]],BalePrices[Bale_ID],0))),0))</f>
        <v>43632.91408634375</v>
      </c>
    </row>
    <row r="347" spans="2:25" x14ac:dyDescent="0.2">
      <c r="B347" s="545" t="s">
        <v>873</v>
      </c>
      <c r="C347" s="499" t="s">
        <v>727</v>
      </c>
      <c r="D347" s="499"/>
      <c r="E347" s="499"/>
      <c r="F347" s="499" t="s">
        <v>1995</v>
      </c>
      <c r="G347" s="499" t="s">
        <v>2095</v>
      </c>
      <c r="H347" s="499" t="s">
        <v>1513</v>
      </c>
      <c r="I347" s="499" t="s">
        <v>977</v>
      </c>
      <c r="J347" s="499" t="s">
        <v>864</v>
      </c>
      <c r="K347" s="499" t="s">
        <v>2096</v>
      </c>
      <c r="L347" s="499">
        <v>14</v>
      </c>
      <c r="M347" s="499" t="s">
        <v>2097</v>
      </c>
      <c r="N347" s="499" t="s">
        <v>2098</v>
      </c>
      <c r="O347" s="525">
        <v>419.00213248687459</v>
      </c>
      <c r="P347" s="499">
        <v>15</v>
      </c>
      <c r="Q347" s="499"/>
      <c r="R347" s="499"/>
      <c r="S347" s="525"/>
      <c r="T347" s="525">
        <v>0</v>
      </c>
      <c r="U347" s="525">
        <v>1</v>
      </c>
      <c r="V347" s="525">
        <v>6285.0319873031185</v>
      </c>
      <c r="W347" s="589">
        <f>IF(AND(BaleMover[[#This Row],[Scenario_ID]]="S3",BaleMover[[#This Row],[MRF_ID]]="05"),0,IFERROR(BaleMover[[#This Row],[Total_Baled_tons]]*(IF(BaleMover[[#This Row],[Scenario_ID]]="S0",-2,0)+INDEX(BalePrices[Low],MATCH(BaleMover[[#This Row],[Bale_ID]],BalePrices[Bale_ID],0))),0))</f>
        <v>0</v>
      </c>
      <c r="X347" s="397">
        <f>IF(AND(BaleMover[[#This Row],[Scenario_ID]]="S3",BaleMover[[#This Row],[MRF_ID]]="05"),0,IFERROR(BaleMover[[#This Row],[Total_Baled_tons]]*(IF(BaleMover[[#This Row],[Scenario_ID]]="S0",-2,0)+INDEX(BalePrices[Mid-Point],MATCH(BaleMover[[#This Row],[Bale_ID]],BalePrices[Bale_ID],0))),0))</f>
        <v>0</v>
      </c>
      <c r="Y347" s="397">
        <f>IF(AND(BaleMover[[#This Row],[Scenario_ID]]="S3",BaleMover[[#This Row],[MRF_ID]]="05"),0,IFERROR(BaleMover[[#This Row],[Total_Baled_tons]]*(IF(BaleMover[[#This Row],[Scenario_ID]]="S0",-2,0)+INDEX(BalePrices[High],MATCH(BaleMover[[#This Row],[Bale_ID]],BalePrices[Bale_ID],0))),0))</f>
        <v>0</v>
      </c>
    </row>
    <row r="348" spans="2:25" x14ac:dyDescent="0.2">
      <c r="B348" s="545" t="s">
        <v>874</v>
      </c>
      <c r="C348" s="499" t="s">
        <v>727</v>
      </c>
      <c r="D348" s="499"/>
      <c r="E348" s="499"/>
      <c r="F348" s="499" t="s">
        <v>1995</v>
      </c>
      <c r="G348" s="499" t="s">
        <v>2094</v>
      </c>
      <c r="H348" s="499" t="s">
        <v>1514</v>
      </c>
      <c r="I348" s="499" t="s">
        <v>978</v>
      </c>
      <c r="J348" s="499" t="s">
        <v>1892</v>
      </c>
      <c r="K348" s="499" t="s">
        <v>2076</v>
      </c>
      <c r="L348" s="499">
        <v>5</v>
      </c>
      <c r="M348" s="499" t="s">
        <v>2077</v>
      </c>
      <c r="N348" s="499" t="s">
        <v>2058</v>
      </c>
      <c r="O348" s="525">
        <v>0</v>
      </c>
      <c r="P348" s="499" t="s">
        <v>2054</v>
      </c>
      <c r="Q348" s="499"/>
      <c r="R348" s="499"/>
      <c r="S348" s="525"/>
      <c r="T348" s="525">
        <v>0</v>
      </c>
      <c r="U348" s="525">
        <v>1</v>
      </c>
      <c r="V348" s="525" t="s">
        <v>2054</v>
      </c>
      <c r="W348" s="589">
        <f>IF(AND(BaleMover[[#This Row],[Scenario_ID]]="S3",BaleMover[[#This Row],[MRF_ID]]="05"),0,IFERROR(BaleMover[[#This Row],[Total_Baled_tons]]*(IF(BaleMover[[#This Row],[Scenario_ID]]="S0",-2,0)+INDEX(BalePrices[Low],MATCH(BaleMover[[#This Row],[Bale_ID]],BalePrices[Bale_ID],0))),0))</f>
        <v>0</v>
      </c>
      <c r="X348" s="397">
        <f>IF(AND(BaleMover[[#This Row],[Scenario_ID]]="S3",BaleMover[[#This Row],[MRF_ID]]="05"),0,IFERROR(BaleMover[[#This Row],[Total_Baled_tons]]*(IF(BaleMover[[#This Row],[Scenario_ID]]="S0",-2,0)+INDEX(BalePrices[Mid-Point],MATCH(BaleMover[[#This Row],[Bale_ID]],BalePrices[Bale_ID],0))),0))</f>
        <v>0</v>
      </c>
      <c r="Y348" s="397">
        <f>IF(AND(BaleMover[[#This Row],[Scenario_ID]]="S3",BaleMover[[#This Row],[MRF_ID]]="05"),0,IFERROR(BaleMover[[#This Row],[Total_Baled_tons]]*(IF(BaleMover[[#This Row],[Scenario_ID]]="S0",-2,0)+INDEX(BalePrices[High],MATCH(BaleMover[[#This Row],[Bale_ID]],BalePrices[Bale_ID],0))),0))</f>
        <v>0</v>
      </c>
    </row>
    <row r="349" spans="2:25" x14ac:dyDescent="0.2">
      <c r="B349" s="545" t="s">
        <v>873</v>
      </c>
      <c r="C349" s="499" t="s">
        <v>727</v>
      </c>
      <c r="D349" s="499"/>
      <c r="E349" s="499"/>
      <c r="F349" s="499" t="s">
        <v>1995</v>
      </c>
      <c r="G349" s="499" t="s">
        <v>2095</v>
      </c>
      <c r="H349" s="499" t="s">
        <v>1515</v>
      </c>
      <c r="I349" s="499" t="s">
        <v>978</v>
      </c>
      <c r="J349" s="499" t="s">
        <v>1892</v>
      </c>
      <c r="K349" s="499" t="s">
        <v>2096</v>
      </c>
      <c r="L349" s="499">
        <v>14</v>
      </c>
      <c r="M349" s="499" t="s">
        <v>2097</v>
      </c>
      <c r="N349" s="499" t="s">
        <v>2098</v>
      </c>
      <c r="O349" s="525">
        <v>0</v>
      </c>
      <c r="P349" s="499" t="s">
        <v>2054</v>
      </c>
      <c r="Q349" s="499"/>
      <c r="R349" s="499"/>
      <c r="S349" s="525"/>
      <c r="T349" s="525">
        <v>0</v>
      </c>
      <c r="U349" s="525">
        <v>1</v>
      </c>
      <c r="V349" s="525" t="s">
        <v>2054</v>
      </c>
      <c r="W349" s="589">
        <f>IF(AND(BaleMover[[#This Row],[Scenario_ID]]="S3",BaleMover[[#This Row],[MRF_ID]]="05"),0,IFERROR(BaleMover[[#This Row],[Total_Baled_tons]]*(IF(BaleMover[[#This Row],[Scenario_ID]]="S0",-2,0)+INDEX(BalePrices[Low],MATCH(BaleMover[[#This Row],[Bale_ID]],BalePrices[Bale_ID],0))),0))</f>
        <v>0</v>
      </c>
      <c r="X349" s="397">
        <f>IF(AND(BaleMover[[#This Row],[Scenario_ID]]="S3",BaleMover[[#This Row],[MRF_ID]]="05"),0,IFERROR(BaleMover[[#This Row],[Total_Baled_tons]]*(IF(BaleMover[[#This Row],[Scenario_ID]]="S0",-2,0)+INDEX(BalePrices[Mid-Point],MATCH(BaleMover[[#This Row],[Bale_ID]],BalePrices[Bale_ID],0))),0))</f>
        <v>0</v>
      </c>
      <c r="Y349" s="397">
        <f>IF(AND(BaleMover[[#This Row],[Scenario_ID]]="S3",BaleMover[[#This Row],[MRF_ID]]="05"),0,IFERROR(BaleMover[[#This Row],[Total_Baled_tons]]*(IF(BaleMover[[#This Row],[Scenario_ID]]="S0",-2,0)+INDEX(BalePrices[High],MATCH(BaleMover[[#This Row],[Bale_ID]],BalePrices[Bale_ID],0))),0))</f>
        <v>0</v>
      </c>
    </row>
    <row r="350" spans="2:25" x14ac:dyDescent="0.2">
      <c r="B350" s="545" t="s">
        <v>874</v>
      </c>
      <c r="C350" s="499" t="s">
        <v>727</v>
      </c>
      <c r="D350" s="499"/>
      <c r="E350" s="499"/>
      <c r="F350" s="499" t="s">
        <v>1995</v>
      </c>
      <c r="G350" s="499" t="s">
        <v>2094</v>
      </c>
      <c r="H350" s="499" t="s">
        <v>1516</v>
      </c>
      <c r="I350" s="499" t="s">
        <v>979</v>
      </c>
      <c r="J350" s="499" t="s">
        <v>980</v>
      </c>
      <c r="K350" s="499" t="s">
        <v>2076</v>
      </c>
      <c r="L350" s="499">
        <v>7</v>
      </c>
      <c r="M350" s="499" t="s">
        <v>2081</v>
      </c>
      <c r="N350" s="499" t="s">
        <v>2056</v>
      </c>
      <c r="O350" s="525">
        <v>1117.2642140912565</v>
      </c>
      <c r="P350" s="499">
        <v>145</v>
      </c>
      <c r="Q350" s="499"/>
      <c r="R350" s="499"/>
      <c r="S350" s="525"/>
      <c r="T350" s="525">
        <v>0</v>
      </c>
      <c r="U350" s="525">
        <v>1</v>
      </c>
      <c r="V350" s="525">
        <v>162003.31104323218</v>
      </c>
      <c r="W350" s="589">
        <f>IF(AND(BaleMover[[#This Row],[Scenario_ID]]="S3",BaleMover[[#This Row],[MRF_ID]]="05"),0,IFERROR(BaleMover[[#This Row],[Total_Baled_tons]]*(IF(BaleMover[[#This Row],[Scenario_ID]]="S0",-2,0)+INDEX(BalePrices[Low],MATCH(BaleMover[[#This Row],[Bale_ID]],BalePrices[Bale_ID],0))),0))</f>
        <v>16758.963211368846</v>
      </c>
      <c r="X350" s="397">
        <f>IF(AND(BaleMover[[#This Row],[Scenario_ID]]="S3",BaleMover[[#This Row],[MRF_ID]]="05"),0,IFERROR(BaleMover[[#This Row],[Total_Baled_tons]]*(IF(BaleMover[[#This Row],[Scenario_ID]]="S0",-2,0)+INDEX(BalePrices[Mid-Point],MATCH(BaleMover[[#This Row],[Bale_ID]],BalePrices[Bale_ID],0))),0))</f>
        <v>75415.334451159812</v>
      </c>
      <c r="Y350" s="397">
        <f>IF(AND(BaleMover[[#This Row],[Scenario_ID]]="S3",BaleMover[[#This Row],[MRF_ID]]="05"),0,IFERROR(BaleMover[[#This Row],[Total_Baled_tons]]*(IF(BaleMover[[#This Row],[Scenario_ID]]="S0",-2,0)+INDEX(BalePrices[High],MATCH(BaleMover[[#This Row],[Bale_ID]],BalePrices[Bale_ID],0))),0))</f>
        <v>134071.70569095077</v>
      </c>
    </row>
    <row r="351" spans="2:25" x14ac:dyDescent="0.2">
      <c r="B351" s="545" t="s">
        <v>873</v>
      </c>
      <c r="C351" s="499" t="s">
        <v>727</v>
      </c>
      <c r="D351" s="499"/>
      <c r="E351" s="499"/>
      <c r="F351" s="499" t="s">
        <v>1995</v>
      </c>
      <c r="G351" s="499" t="s">
        <v>2095</v>
      </c>
      <c r="H351" s="499" t="s">
        <v>1517</v>
      </c>
      <c r="I351" s="499" t="s">
        <v>979</v>
      </c>
      <c r="J351" s="499" t="s">
        <v>980</v>
      </c>
      <c r="K351" s="499" t="s">
        <v>2096</v>
      </c>
      <c r="L351" s="499">
        <v>18</v>
      </c>
      <c r="M351" s="499" t="s">
        <v>2099</v>
      </c>
      <c r="N351" s="499" t="s">
        <v>2100</v>
      </c>
      <c r="O351" s="525">
        <v>1117.511505274789</v>
      </c>
      <c r="P351" s="499">
        <v>15</v>
      </c>
      <c r="Q351" s="499"/>
      <c r="R351" s="499"/>
      <c r="S351" s="525"/>
      <c r="T351" s="525">
        <v>0</v>
      </c>
      <c r="U351" s="525">
        <v>1</v>
      </c>
      <c r="V351" s="525">
        <v>16762.672579121834</v>
      </c>
      <c r="W351" s="589">
        <f>IF(AND(BaleMover[[#This Row],[Scenario_ID]]="S3",BaleMover[[#This Row],[MRF_ID]]="05"),0,IFERROR(BaleMover[[#This Row],[Total_Baled_tons]]*(IF(BaleMover[[#This Row],[Scenario_ID]]="S0",-2,0)+INDEX(BalePrices[Low],MATCH(BaleMover[[#This Row],[Bale_ID]],BalePrices[Bale_ID],0))),0))</f>
        <v>0</v>
      </c>
      <c r="X351" s="397">
        <f>IF(AND(BaleMover[[#This Row],[Scenario_ID]]="S3",BaleMover[[#This Row],[MRF_ID]]="05"),0,IFERROR(BaleMover[[#This Row],[Total_Baled_tons]]*(IF(BaleMover[[#This Row],[Scenario_ID]]="S0",-2,0)+INDEX(BalePrices[Mid-Point],MATCH(BaleMover[[#This Row],[Bale_ID]],BalePrices[Bale_ID],0))),0))</f>
        <v>0</v>
      </c>
      <c r="Y351" s="397">
        <f>IF(AND(BaleMover[[#This Row],[Scenario_ID]]="S3",BaleMover[[#This Row],[MRF_ID]]="05"),0,IFERROR(BaleMover[[#This Row],[Total_Baled_tons]]*(IF(BaleMover[[#This Row],[Scenario_ID]]="S0",-2,0)+INDEX(BalePrices[High],MATCH(BaleMover[[#This Row],[Bale_ID]],BalePrices[Bale_ID],0))),0))</f>
        <v>0</v>
      </c>
    </row>
    <row r="352" spans="2:25" x14ac:dyDescent="0.2">
      <c r="B352" s="545" t="s">
        <v>874</v>
      </c>
      <c r="C352" s="499" t="s">
        <v>727</v>
      </c>
      <c r="D352" s="499"/>
      <c r="E352" s="499"/>
      <c r="F352" s="499" t="s">
        <v>1995</v>
      </c>
      <c r="G352" s="499" t="s">
        <v>2094</v>
      </c>
      <c r="H352" s="499" t="s">
        <v>1518</v>
      </c>
      <c r="I352" s="499" t="s">
        <v>981</v>
      </c>
      <c r="J352" s="499" t="s">
        <v>3674</v>
      </c>
      <c r="K352" s="499" t="s">
        <v>2076</v>
      </c>
      <c r="L352" s="499">
        <v>13</v>
      </c>
      <c r="M352" s="499" t="s">
        <v>2082</v>
      </c>
      <c r="N352" s="499" t="s">
        <v>2060</v>
      </c>
      <c r="O352" s="525">
        <v>0</v>
      </c>
      <c r="P352" s="499" t="s">
        <v>2054</v>
      </c>
      <c r="Q352" s="499"/>
      <c r="R352" s="499"/>
      <c r="S352" s="525"/>
      <c r="T352" s="525">
        <v>0</v>
      </c>
      <c r="U352" s="525">
        <v>1</v>
      </c>
      <c r="V352" s="525" t="s">
        <v>2054</v>
      </c>
      <c r="W352" s="589">
        <f>IF(AND(BaleMover[[#This Row],[Scenario_ID]]="S3",BaleMover[[#This Row],[MRF_ID]]="05"),0,IFERROR(BaleMover[[#This Row],[Total_Baled_tons]]*(IF(BaleMover[[#This Row],[Scenario_ID]]="S0",-2,0)+INDEX(BalePrices[Low],MATCH(BaleMover[[#This Row],[Bale_ID]],BalePrices[Bale_ID],0))),0))</f>
        <v>0</v>
      </c>
      <c r="X352" s="397">
        <f>IF(AND(BaleMover[[#This Row],[Scenario_ID]]="S3",BaleMover[[#This Row],[MRF_ID]]="05"),0,IFERROR(BaleMover[[#This Row],[Total_Baled_tons]]*(IF(BaleMover[[#This Row],[Scenario_ID]]="S0",-2,0)+INDEX(BalePrices[Mid-Point],MATCH(BaleMover[[#This Row],[Bale_ID]],BalePrices[Bale_ID],0))),0))</f>
        <v>0</v>
      </c>
      <c r="Y352" s="397">
        <f>IF(AND(BaleMover[[#This Row],[Scenario_ID]]="S3",BaleMover[[#This Row],[MRF_ID]]="05"),0,IFERROR(BaleMover[[#This Row],[Total_Baled_tons]]*(IF(BaleMover[[#This Row],[Scenario_ID]]="S0",-2,0)+INDEX(BalePrices[High],MATCH(BaleMover[[#This Row],[Bale_ID]],BalePrices[Bale_ID],0))),0))</f>
        <v>0</v>
      </c>
    </row>
    <row r="353" spans="2:25" x14ac:dyDescent="0.2">
      <c r="B353" s="545" t="s">
        <v>873</v>
      </c>
      <c r="C353" s="499" t="s">
        <v>727</v>
      </c>
      <c r="D353" s="499"/>
      <c r="E353" s="499"/>
      <c r="F353" s="499" t="s">
        <v>1995</v>
      </c>
      <c r="G353" s="499" t="s">
        <v>2095</v>
      </c>
      <c r="H353" s="499" t="s">
        <v>1519</v>
      </c>
      <c r="I353" s="499" t="s">
        <v>981</v>
      </c>
      <c r="J353" s="499" t="s">
        <v>3674</v>
      </c>
      <c r="K353" s="499" t="s">
        <v>2096</v>
      </c>
      <c r="L353" s="499">
        <v>13</v>
      </c>
      <c r="M353" s="499" t="s">
        <v>2101</v>
      </c>
      <c r="N353" s="499" t="s">
        <v>2060</v>
      </c>
      <c r="O353" s="525">
        <v>0</v>
      </c>
      <c r="P353" s="499" t="s">
        <v>2054</v>
      </c>
      <c r="Q353" s="499"/>
      <c r="R353" s="499"/>
      <c r="S353" s="525"/>
      <c r="T353" s="525">
        <v>0</v>
      </c>
      <c r="U353" s="525">
        <v>1</v>
      </c>
      <c r="V353" s="525" t="s">
        <v>2054</v>
      </c>
      <c r="W353" s="589">
        <f>IF(AND(BaleMover[[#This Row],[Scenario_ID]]="S3",BaleMover[[#This Row],[MRF_ID]]="05"),0,IFERROR(BaleMover[[#This Row],[Total_Baled_tons]]*(IF(BaleMover[[#This Row],[Scenario_ID]]="S0",-2,0)+INDEX(BalePrices[Low],MATCH(BaleMover[[#This Row],[Bale_ID]],BalePrices[Bale_ID],0))),0))</f>
        <v>0</v>
      </c>
      <c r="X353" s="397">
        <f>IF(AND(BaleMover[[#This Row],[Scenario_ID]]="S3",BaleMover[[#This Row],[MRF_ID]]="05"),0,IFERROR(BaleMover[[#This Row],[Total_Baled_tons]]*(IF(BaleMover[[#This Row],[Scenario_ID]]="S0",-2,0)+INDEX(BalePrices[Mid-Point],MATCH(BaleMover[[#This Row],[Bale_ID]],BalePrices[Bale_ID],0))),0))</f>
        <v>0</v>
      </c>
      <c r="Y353" s="397">
        <f>IF(AND(BaleMover[[#This Row],[Scenario_ID]]="S3",BaleMover[[#This Row],[MRF_ID]]="05"),0,IFERROR(BaleMover[[#This Row],[Total_Baled_tons]]*(IF(BaleMover[[#This Row],[Scenario_ID]]="S0",-2,0)+INDEX(BalePrices[High],MATCH(BaleMover[[#This Row],[Bale_ID]],BalePrices[Bale_ID],0))),0))</f>
        <v>0</v>
      </c>
    </row>
    <row r="354" spans="2:25" x14ac:dyDescent="0.2">
      <c r="B354" s="545" t="s">
        <v>874</v>
      </c>
      <c r="C354" s="499" t="s">
        <v>727</v>
      </c>
      <c r="D354" s="499"/>
      <c r="E354" s="499"/>
      <c r="F354" s="499" t="s">
        <v>1995</v>
      </c>
      <c r="G354" s="499" t="s">
        <v>2094</v>
      </c>
      <c r="H354" s="499" t="s">
        <v>1520</v>
      </c>
      <c r="I354" s="499" t="s">
        <v>982</v>
      </c>
      <c r="J354" s="499" t="s">
        <v>983</v>
      </c>
      <c r="K354" s="499" t="s">
        <v>2076</v>
      </c>
      <c r="L354" s="499">
        <v>10</v>
      </c>
      <c r="M354" s="499" t="s">
        <v>2083</v>
      </c>
      <c r="N354" s="499" t="s">
        <v>2062</v>
      </c>
      <c r="O354" s="525">
        <v>4474.2616910268334</v>
      </c>
      <c r="P354" s="499">
        <v>670</v>
      </c>
      <c r="Q354" s="499"/>
      <c r="R354" s="499"/>
      <c r="S354" s="525"/>
      <c r="T354" s="525">
        <v>0</v>
      </c>
      <c r="U354" s="525">
        <v>1</v>
      </c>
      <c r="V354" s="525">
        <v>2997755.3329879786</v>
      </c>
      <c r="W354" s="589">
        <f>IF(AND(BaleMover[[#This Row],[Scenario_ID]]="S3",BaleMover[[#This Row],[MRF_ID]]="05"),0,IFERROR(BaleMover[[#This Row],[Total_Baled_tons]]*(IF(BaleMover[[#This Row],[Scenario_ID]]="S0",-2,0)+INDEX(BalePrices[Low],MATCH(BaleMover[[#This Row],[Bale_ID]],BalePrices[Bale_ID],0))),0))</f>
        <v>850109.72129509831</v>
      </c>
      <c r="X354" s="397">
        <f>IF(AND(BaleMover[[#This Row],[Scenario_ID]]="S3",BaleMover[[#This Row],[MRF_ID]]="05"),0,IFERROR(BaleMover[[#This Row],[Total_Baled_tons]]*(IF(BaleMover[[#This Row],[Scenario_ID]]="S0",-2,0)+INDEX(BalePrices[Mid-Point],MATCH(BaleMover[[#This Row],[Bale_ID]],BalePrices[Bale_ID],0))),0))</f>
        <v>1096194.1143015742</v>
      </c>
      <c r="Y354" s="397">
        <f>IF(AND(BaleMover[[#This Row],[Scenario_ID]]="S3",BaleMover[[#This Row],[MRF_ID]]="05"),0,IFERROR(BaleMover[[#This Row],[Total_Baled_tons]]*(IF(BaleMover[[#This Row],[Scenario_ID]]="S0",-2,0)+INDEX(BalePrices[High],MATCH(BaleMover[[#This Row],[Bale_ID]],BalePrices[Bale_ID],0))),0))</f>
        <v>1342278.5073080501</v>
      </c>
    </row>
    <row r="355" spans="2:25" x14ac:dyDescent="0.2">
      <c r="B355" s="545" t="s">
        <v>873</v>
      </c>
      <c r="C355" s="499" t="s">
        <v>727</v>
      </c>
      <c r="D355" s="499"/>
      <c r="E355" s="499"/>
      <c r="F355" s="499" t="s">
        <v>1995</v>
      </c>
      <c r="G355" s="499" t="s">
        <v>2095</v>
      </c>
      <c r="H355" s="499" t="s">
        <v>1521</v>
      </c>
      <c r="I355" s="499" t="s">
        <v>982</v>
      </c>
      <c r="J355" s="499" t="s">
        <v>983</v>
      </c>
      <c r="K355" s="499" t="s">
        <v>2096</v>
      </c>
      <c r="L355" s="499">
        <v>15</v>
      </c>
      <c r="M355" s="499" t="s">
        <v>2102</v>
      </c>
      <c r="N355" s="499" t="s">
        <v>2103</v>
      </c>
      <c r="O355" s="525">
        <v>4520.4279762957931</v>
      </c>
      <c r="P355" s="499">
        <v>595</v>
      </c>
      <c r="Q355" s="499"/>
      <c r="R355" s="499"/>
      <c r="S355" s="525"/>
      <c r="T355" s="525">
        <v>0</v>
      </c>
      <c r="U355" s="525">
        <v>1</v>
      </c>
      <c r="V355" s="525">
        <v>2689654.6458959971</v>
      </c>
      <c r="W355" s="589">
        <f>IF(AND(BaleMover[[#This Row],[Scenario_ID]]="S3",BaleMover[[#This Row],[MRF_ID]]="05"),0,IFERROR(BaleMover[[#This Row],[Total_Baled_tons]]*(IF(BaleMover[[#This Row],[Scenario_ID]]="S0",-2,0)+INDEX(BalePrices[Low],MATCH(BaleMover[[#This Row],[Bale_ID]],BalePrices[Bale_ID],0))),0))</f>
        <v>0</v>
      </c>
      <c r="X355" s="397">
        <f>IF(AND(BaleMover[[#This Row],[Scenario_ID]]="S3",BaleMover[[#This Row],[MRF_ID]]="05"),0,IFERROR(BaleMover[[#This Row],[Total_Baled_tons]]*(IF(BaleMover[[#This Row],[Scenario_ID]]="S0",-2,0)+INDEX(BalePrices[Mid-Point],MATCH(BaleMover[[#This Row],[Bale_ID]],BalePrices[Bale_ID],0))),0))</f>
        <v>0</v>
      </c>
      <c r="Y355" s="397">
        <f>IF(AND(BaleMover[[#This Row],[Scenario_ID]]="S3",BaleMover[[#This Row],[MRF_ID]]="05"),0,IFERROR(BaleMover[[#This Row],[Total_Baled_tons]]*(IF(BaleMover[[#This Row],[Scenario_ID]]="S0",-2,0)+INDEX(BalePrices[High],MATCH(BaleMover[[#This Row],[Bale_ID]],BalePrices[Bale_ID],0))),0))</f>
        <v>0</v>
      </c>
    </row>
    <row r="356" spans="2:25" x14ac:dyDescent="0.2">
      <c r="B356" s="545" t="s">
        <v>874</v>
      </c>
      <c r="C356" s="499" t="s">
        <v>727</v>
      </c>
      <c r="D356" s="499"/>
      <c r="E356" s="499"/>
      <c r="F356" s="499" t="s">
        <v>1995</v>
      </c>
      <c r="G356" s="499" t="s">
        <v>2094</v>
      </c>
      <c r="H356" s="499" t="s">
        <v>1522</v>
      </c>
      <c r="I356" s="499" t="s">
        <v>984</v>
      </c>
      <c r="J356" s="499" t="s">
        <v>985</v>
      </c>
      <c r="K356" s="499" t="s">
        <v>2076</v>
      </c>
      <c r="L356" s="499">
        <v>11</v>
      </c>
      <c r="M356" s="499" t="s">
        <v>2084</v>
      </c>
      <c r="N356" s="499" t="s">
        <v>2064</v>
      </c>
      <c r="O356" s="525">
        <v>1741.9832618694188</v>
      </c>
      <c r="P356" s="499">
        <v>960</v>
      </c>
      <c r="Q356" s="499"/>
      <c r="R356" s="499"/>
      <c r="S356" s="525"/>
      <c r="T356" s="525">
        <v>0</v>
      </c>
      <c r="U356" s="525">
        <v>1</v>
      </c>
      <c r="V356" s="525">
        <v>1672303.931394642</v>
      </c>
      <c r="W356" s="589">
        <f>IF(AND(BaleMover[[#This Row],[Scenario_ID]]="S3",BaleMover[[#This Row],[MRF_ID]]="05"),0,IFERROR(BaleMover[[#This Row],[Total_Baled_tons]]*(IF(BaleMover[[#This Row],[Scenario_ID]]="S0",-2,0)+INDEX(BalePrices[Low],MATCH(BaleMover[[#This Row],[Bale_ID]],BalePrices[Bale_ID],0))),0))</f>
        <v>156778.49356824768</v>
      </c>
      <c r="X356" s="397">
        <f>IF(AND(BaleMover[[#This Row],[Scenario_ID]]="S3",BaleMover[[#This Row],[MRF_ID]]="05"),0,IFERROR(BaleMover[[#This Row],[Total_Baled_tons]]*(IF(BaleMover[[#This Row],[Scenario_ID]]="S0",-2,0)+INDEX(BalePrices[Mid-Point],MATCH(BaleMover[[#This Row],[Bale_ID]],BalePrices[Bale_ID],0))),0))</f>
        <v>235167.74035237153</v>
      </c>
      <c r="Y356" s="397">
        <f>IF(AND(BaleMover[[#This Row],[Scenario_ID]]="S3",BaleMover[[#This Row],[MRF_ID]]="05"),0,IFERROR(BaleMover[[#This Row],[Total_Baled_tons]]*(IF(BaleMover[[#This Row],[Scenario_ID]]="S0",-2,0)+INDEX(BalePrices[High],MATCH(BaleMover[[#This Row],[Bale_ID]],BalePrices[Bale_ID],0))),0))</f>
        <v>313556.98713649536</v>
      </c>
    </row>
    <row r="357" spans="2:25" x14ac:dyDescent="0.2">
      <c r="B357" s="545" t="s">
        <v>873</v>
      </c>
      <c r="C357" s="499" t="s">
        <v>727</v>
      </c>
      <c r="D357" s="499"/>
      <c r="E357" s="499"/>
      <c r="F357" s="499" t="s">
        <v>1995</v>
      </c>
      <c r="G357" s="499" t="s">
        <v>2095</v>
      </c>
      <c r="H357" s="499" t="s">
        <v>1523</v>
      </c>
      <c r="I357" s="499" t="s">
        <v>984</v>
      </c>
      <c r="J357" s="499" t="s">
        <v>985</v>
      </c>
      <c r="K357" s="499" t="s">
        <v>2096</v>
      </c>
      <c r="L357" s="499">
        <v>15</v>
      </c>
      <c r="M357" s="499" t="s">
        <v>2102</v>
      </c>
      <c r="N357" s="499" t="s">
        <v>2103</v>
      </c>
      <c r="O357" s="525">
        <v>1748.5167785183635</v>
      </c>
      <c r="P357" s="499">
        <v>595</v>
      </c>
      <c r="Q357" s="499"/>
      <c r="R357" s="499"/>
      <c r="S357" s="525"/>
      <c r="T357" s="525">
        <v>0</v>
      </c>
      <c r="U357" s="525">
        <v>1</v>
      </c>
      <c r="V357" s="525">
        <v>1040367.4832184262</v>
      </c>
      <c r="W357" s="589">
        <f>IF(AND(BaleMover[[#This Row],[Scenario_ID]]="S3",BaleMover[[#This Row],[MRF_ID]]="05"),0,IFERROR(BaleMover[[#This Row],[Total_Baled_tons]]*(IF(BaleMover[[#This Row],[Scenario_ID]]="S0",-2,0)+INDEX(BalePrices[Low],MATCH(BaleMover[[#This Row],[Bale_ID]],BalePrices[Bale_ID],0))),0))</f>
        <v>0</v>
      </c>
      <c r="X357" s="397">
        <f>IF(AND(BaleMover[[#This Row],[Scenario_ID]]="S3",BaleMover[[#This Row],[MRF_ID]]="05"),0,IFERROR(BaleMover[[#This Row],[Total_Baled_tons]]*(IF(BaleMover[[#This Row],[Scenario_ID]]="S0",-2,0)+INDEX(BalePrices[Mid-Point],MATCH(BaleMover[[#This Row],[Bale_ID]],BalePrices[Bale_ID],0))),0))</f>
        <v>0</v>
      </c>
      <c r="Y357" s="397">
        <f>IF(AND(BaleMover[[#This Row],[Scenario_ID]]="S3",BaleMover[[#This Row],[MRF_ID]]="05"),0,IFERROR(BaleMover[[#This Row],[Total_Baled_tons]]*(IF(BaleMover[[#This Row],[Scenario_ID]]="S0",-2,0)+INDEX(BalePrices[High],MATCH(BaleMover[[#This Row],[Bale_ID]],BalePrices[Bale_ID],0))),0))</f>
        <v>0</v>
      </c>
    </row>
    <row r="358" spans="2:25" x14ac:dyDescent="0.2">
      <c r="B358" s="545" t="s">
        <v>874</v>
      </c>
      <c r="C358" s="499" t="s">
        <v>727</v>
      </c>
      <c r="D358" s="499"/>
      <c r="E358" s="499"/>
      <c r="F358" s="499" t="s">
        <v>1995</v>
      </c>
      <c r="G358" s="499" t="s">
        <v>2094</v>
      </c>
      <c r="H358" s="499" t="s">
        <v>1524</v>
      </c>
      <c r="I358" s="499" t="s">
        <v>986</v>
      </c>
      <c r="J358" s="499" t="s">
        <v>987</v>
      </c>
      <c r="K358" s="499" t="s">
        <v>2076</v>
      </c>
      <c r="L358" s="499">
        <v>8</v>
      </c>
      <c r="M358" s="499" t="s">
        <v>2085</v>
      </c>
      <c r="N358" s="499" t="s">
        <v>2068</v>
      </c>
      <c r="O358" s="525">
        <v>1390.458770008687</v>
      </c>
      <c r="P358" s="499">
        <v>315</v>
      </c>
      <c r="Q358" s="499"/>
      <c r="R358" s="499"/>
      <c r="S358" s="525"/>
      <c r="T358" s="525">
        <v>0</v>
      </c>
      <c r="U358" s="525">
        <v>1</v>
      </c>
      <c r="V358" s="525">
        <v>437994.51255273639</v>
      </c>
      <c r="W358" s="589">
        <f>IF(AND(BaleMover[[#This Row],[Scenario_ID]]="S3",BaleMover[[#This Row],[MRF_ID]]="05"),0,IFERROR(BaleMover[[#This Row],[Total_Baled_tons]]*(IF(BaleMover[[#This Row],[Scenario_ID]]="S0",-2,0)+INDEX(BalePrices[Low],MATCH(BaleMover[[#This Row],[Bale_ID]],BalePrices[Bale_ID],0))),0))</f>
        <v>556183.5080034748</v>
      </c>
      <c r="X358" s="397">
        <f>IF(AND(BaleMover[[#This Row],[Scenario_ID]]="S3",BaleMover[[#This Row],[MRF_ID]]="05"),0,IFERROR(BaleMover[[#This Row],[Total_Baled_tons]]*(IF(BaleMover[[#This Row],[Scenario_ID]]="S0",-2,0)+INDEX(BalePrices[Mid-Point],MATCH(BaleMover[[#This Row],[Bale_ID]],BalePrices[Bale_ID],0))),0))</f>
        <v>1001130.3144062547</v>
      </c>
      <c r="Y358" s="397">
        <f>IF(AND(BaleMover[[#This Row],[Scenario_ID]]="S3",BaleMover[[#This Row],[MRF_ID]]="05"),0,IFERROR(BaleMover[[#This Row],[Total_Baled_tons]]*(IF(BaleMover[[#This Row],[Scenario_ID]]="S0",-2,0)+INDEX(BalePrices[High],MATCH(BaleMover[[#This Row],[Bale_ID]],BalePrices[Bale_ID],0))),0))</f>
        <v>1446077.1208090344</v>
      </c>
    </row>
    <row r="359" spans="2:25" x14ac:dyDescent="0.2">
      <c r="B359" s="545" t="s">
        <v>873</v>
      </c>
      <c r="C359" s="499" t="s">
        <v>727</v>
      </c>
      <c r="D359" s="499"/>
      <c r="E359" s="499"/>
      <c r="F359" s="499" t="s">
        <v>1995</v>
      </c>
      <c r="G359" s="499" t="s">
        <v>2095</v>
      </c>
      <c r="H359" s="499" t="s">
        <v>1525</v>
      </c>
      <c r="I359" s="499" t="s">
        <v>986</v>
      </c>
      <c r="J359" s="499" t="s">
        <v>987</v>
      </c>
      <c r="K359" s="499" t="s">
        <v>2096</v>
      </c>
      <c r="L359" s="499">
        <v>8</v>
      </c>
      <c r="M359" s="499" t="s">
        <v>2104</v>
      </c>
      <c r="N359" s="499" t="s">
        <v>2068</v>
      </c>
      <c r="O359" s="525">
        <v>1381.3527162667228</v>
      </c>
      <c r="P359" s="499">
        <v>5</v>
      </c>
      <c r="Q359" s="499"/>
      <c r="R359" s="499"/>
      <c r="S359" s="525"/>
      <c r="T359" s="525">
        <v>0</v>
      </c>
      <c r="U359" s="525">
        <v>1</v>
      </c>
      <c r="V359" s="525">
        <v>6906.7635813336146</v>
      </c>
      <c r="W359" s="589">
        <f>IF(AND(BaleMover[[#This Row],[Scenario_ID]]="S3",BaleMover[[#This Row],[MRF_ID]]="05"),0,IFERROR(BaleMover[[#This Row],[Total_Baled_tons]]*(IF(BaleMover[[#This Row],[Scenario_ID]]="S0",-2,0)+INDEX(BalePrices[Low],MATCH(BaleMover[[#This Row],[Bale_ID]],BalePrices[Bale_ID],0))),0))</f>
        <v>0</v>
      </c>
      <c r="X359" s="397">
        <f>IF(AND(BaleMover[[#This Row],[Scenario_ID]]="S3",BaleMover[[#This Row],[MRF_ID]]="05"),0,IFERROR(BaleMover[[#This Row],[Total_Baled_tons]]*(IF(BaleMover[[#This Row],[Scenario_ID]]="S0",-2,0)+INDEX(BalePrices[Mid-Point],MATCH(BaleMover[[#This Row],[Bale_ID]],BalePrices[Bale_ID],0))),0))</f>
        <v>0</v>
      </c>
      <c r="Y359" s="397">
        <f>IF(AND(BaleMover[[#This Row],[Scenario_ID]]="S3",BaleMover[[#This Row],[MRF_ID]]="05"),0,IFERROR(BaleMover[[#This Row],[Total_Baled_tons]]*(IF(BaleMover[[#This Row],[Scenario_ID]]="S0",-2,0)+INDEX(BalePrices[High],MATCH(BaleMover[[#This Row],[Bale_ID]],BalePrices[Bale_ID],0))),0))</f>
        <v>0</v>
      </c>
    </row>
    <row r="360" spans="2:25" x14ac:dyDescent="0.2">
      <c r="B360" s="545" t="s">
        <v>874</v>
      </c>
      <c r="C360" s="499" t="s">
        <v>727</v>
      </c>
      <c r="D360" s="499"/>
      <c r="E360" s="499"/>
      <c r="F360" s="499" t="s">
        <v>1995</v>
      </c>
      <c r="G360" s="499" t="s">
        <v>2094</v>
      </c>
      <c r="H360" s="499" t="s">
        <v>1526</v>
      </c>
      <c r="I360" s="499" t="s">
        <v>988</v>
      </c>
      <c r="J360" s="499" t="s">
        <v>989</v>
      </c>
      <c r="K360" s="499" t="s">
        <v>2076</v>
      </c>
      <c r="L360" s="499">
        <v>8</v>
      </c>
      <c r="M360" s="499" t="s">
        <v>2085</v>
      </c>
      <c r="N360" s="499" t="s">
        <v>2068</v>
      </c>
      <c r="O360" s="525">
        <v>1911.8808087619443</v>
      </c>
      <c r="P360" s="499">
        <v>315</v>
      </c>
      <c r="Q360" s="499"/>
      <c r="R360" s="499"/>
      <c r="S360" s="525"/>
      <c r="T360" s="525">
        <v>0</v>
      </c>
      <c r="U360" s="525">
        <v>1</v>
      </c>
      <c r="V360" s="525">
        <v>602242.45476001245</v>
      </c>
      <c r="W360" s="589">
        <f>IF(AND(BaleMover[[#This Row],[Scenario_ID]]="S3",BaleMover[[#This Row],[MRF_ID]]="05"),0,IFERROR(BaleMover[[#This Row],[Total_Baled_tons]]*(IF(BaleMover[[#This Row],[Scenario_ID]]="S0",-2,0)+INDEX(BalePrices[Low],MATCH(BaleMover[[#This Row],[Bale_ID]],BalePrices[Bale_ID],0))),0))</f>
        <v>152950.46470095555</v>
      </c>
      <c r="X360" s="397">
        <f>IF(AND(BaleMover[[#This Row],[Scenario_ID]]="S3",BaleMover[[#This Row],[MRF_ID]]="05"),0,IFERROR(BaleMover[[#This Row],[Total_Baled_tons]]*(IF(BaleMover[[#This Row],[Scenario_ID]]="S0",-2,0)+INDEX(BalePrices[Mid-Point],MATCH(BaleMover[[#This Row],[Bale_ID]],BalePrices[Bale_ID],0))),0))</f>
        <v>411054.37388381804</v>
      </c>
      <c r="Y360" s="397">
        <f>IF(AND(BaleMover[[#This Row],[Scenario_ID]]="S3",BaleMover[[#This Row],[MRF_ID]]="05"),0,IFERROR(BaleMover[[#This Row],[Total_Baled_tons]]*(IF(BaleMover[[#This Row],[Scenario_ID]]="S0",-2,0)+INDEX(BalePrices[High],MATCH(BaleMover[[#This Row],[Bale_ID]],BalePrices[Bale_ID],0))),0))</f>
        <v>669158.28306668054</v>
      </c>
    </row>
    <row r="361" spans="2:25" x14ac:dyDescent="0.2">
      <c r="B361" s="545" t="s">
        <v>873</v>
      </c>
      <c r="C361" s="499" t="s">
        <v>727</v>
      </c>
      <c r="D361" s="499"/>
      <c r="E361" s="499"/>
      <c r="F361" s="499" t="s">
        <v>1995</v>
      </c>
      <c r="G361" s="499" t="s">
        <v>2095</v>
      </c>
      <c r="H361" s="499" t="s">
        <v>1527</v>
      </c>
      <c r="I361" s="499" t="s">
        <v>988</v>
      </c>
      <c r="J361" s="499" t="s">
        <v>989</v>
      </c>
      <c r="K361" s="499" t="s">
        <v>2096</v>
      </c>
      <c r="L361" s="499">
        <v>8</v>
      </c>
      <c r="M361" s="499" t="s">
        <v>2104</v>
      </c>
      <c r="N361" s="499" t="s">
        <v>2068</v>
      </c>
      <c r="O361" s="525">
        <v>1899.3599848667441</v>
      </c>
      <c r="P361" s="499">
        <v>5</v>
      </c>
      <c r="Q361" s="499"/>
      <c r="R361" s="499"/>
      <c r="S361" s="525"/>
      <c r="T361" s="525">
        <v>0</v>
      </c>
      <c r="U361" s="525">
        <v>1</v>
      </c>
      <c r="V361" s="525">
        <v>9496.7999243337199</v>
      </c>
      <c r="W361" s="589">
        <f>IF(AND(BaleMover[[#This Row],[Scenario_ID]]="S3",BaleMover[[#This Row],[MRF_ID]]="05"),0,IFERROR(BaleMover[[#This Row],[Total_Baled_tons]]*(IF(BaleMover[[#This Row],[Scenario_ID]]="S0",-2,0)+INDEX(BalePrices[Low],MATCH(BaleMover[[#This Row],[Bale_ID]],BalePrices[Bale_ID],0))),0))</f>
        <v>0</v>
      </c>
      <c r="X361" s="397">
        <f>IF(AND(BaleMover[[#This Row],[Scenario_ID]]="S3",BaleMover[[#This Row],[MRF_ID]]="05"),0,IFERROR(BaleMover[[#This Row],[Total_Baled_tons]]*(IF(BaleMover[[#This Row],[Scenario_ID]]="S0",-2,0)+INDEX(BalePrices[Mid-Point],MATCH(BaleMover[[#This Row],[Bale_ID]],BalePrices[Bale_ID],0))),0))</f>
        <v>0</v>
      </c>
      <c r="Y361" s="397">
        <f>IF(AND(BaleMover[[#This Row],[Scenario_ID]]="S3",BaleMover[[#This Row],[MRF_ID]]="05"),0,IFERROR(BaleMover[[#This Row],[Total_Baled_tons]]*(IF(BaleMover[[#This Row],[Scenario_ID]]="S0",-2,0)+INDEX(BalePrices[High],MATCH(BaleMover[[#This Row],[Bale_ID]],BalePrices[Bale_ID],0))),0))</f>
        <v>0</v>
      </c>
    </row>
    <row r="362" spans="2:25" x14ac:dyDescent="0.2">
      <c r="B362" s="545" t="s">
        <v>874</v>
      </c>
      <c r="C362" s="499" t="s">
        <v>727</v>
      </c>
      <c r="D362" s="499"/>
      <c r="E362" s="499"/>
      <c r="F362" s="499" t="s">
        <v>1995</v>
      </c>
      <c r="G362" s="499" t="s">
        <v>2094</v>
      </c>
      <c r="H362" s="499" t="s">
        <v>1528</v>
      </c>
      <c r="I362" s="499" t="s">
        <v>990</v>
      </c>
      <c r="J362" s="499" t="s">
        <v>991</v>
      </c>
      <c r="K362" s="499" t="s">
        <v>2076</v>
      </c>
      <c r="L362" s="499">
        <v>1</v>
      </c>
      <c r="M362" s="499" t="s">
        <v>2086</v>
      </c>
      <c r="N362" s="499" t="s">
        <v>2066</v>
      </c>
      <c r="O362" s="525">
        <v>951.14774460892829</v>
      </c>
      <c r="P362" s="499">
        <v>20</v>
      </c>
      <c r="Q362" s="499"/>
      <c r="R362" s="499"/>
      <c r="S362" s="525"/>
      <c r="T362" s="525">
        <v>0</v>
      </c>
      <c r="U362" s="525">
        <v>1</v>
      </c>
      <c r="V362" s="525">
        <v>19022.954892178564</v>
      </c>
      <c r="W362" s="589">
        <f>IF(AND(BaleMover[[#This Row],[Scenario_ID]]="S3",BaleMover[[#This Row],[MRF_ID]]="05"),0,IFERROR(BaleMover[[#This Row],[Total_Baled_tons]]*(IF(BaleMover[[#This Row],[Scenario_ID]]="S0",-2,0)+INDEX(BalePrices[Low],MATCH(BaleMover[[#This Row],[Bale_ID]],BalePrices[Bale_ID],0))),0))</f>
        <v>47557.387230446417</v>
      </c>
      <c r="X362" s="397">
        <f>IF(AND(BaleMover[[#This Row],[Scenario_ID]]="S3",BaleMover[[#This Row],[MRF_ID]]="05"),0,IFERROR(BaleMover[[#This Row],[Total_Baled_tons]]*(IF(BaleMover[[#This Row],[Scenario_ID]]="S0",-2,0)+INDEX(BalePrices[Mid-Point],MATCH(BaleMover[[#This Row],[Bale_ID]],BalePrices[Bale_ID],0))),0))</f>
        <v>118893.46807611604</v>
      </c>
      <c r="Y362" s="397">
        <f>IF(AND(BaleMover[[#This Row],[Scenario_ID]]="S3",BaleMover[[#This Row],[MRF_ID]]="05"),0,IFERROR(BaleMover[[#This Row],[Total_Baled_tons]]*(IF(BaleMover[[#This Row],[Scenario_ID]]="S0",-2,0)+INDEX(BalePrices[High],MATCH(BaleMover[[#This Row],[Bale_ID]],BalePrices[Bale_ID],0))),0))</f>
        <v>190229.54892178567</v>
      </c>
    </row>
    <row r="363" spans="2:25" x14ac:dyDescent="0.2">
      <c r="B363" s="545" t="s">
        <v>873</v>
      </c>
      <c r="C363" s="499" t="s">
        <v>727</v>
      </c>
      <c r="D363" s="499"/>
      <c r="E363" s="499"/>
      <c r="F363" s="499" t="s">
        <v>1995</v>
      </c>
      <c r="G363" s="499" t="s">
        <v>2095</v>
      </c>
      <c r="H363" s="499" t="s">
        <v>1529</v>
      </c>
      <c r="I363" s="499" t="s">
        <v>990</v>
      </c>
      <c r="J363" s="499" t="s">
        <v>991</v>
      </c>
      <c r="K363" s="499" t="s">
        <v>2096</v>
      </c>
      <c r="L363" s="499">
        <v>8</v>
      </c>
      <c r="M363" s="499" t="s">
        <v>2104</v>
      </c>
      <c r="N363" s="499" t="s">
        <v>2068</v>
      </c>
      <c r="O363" s="525">
        <v>1329.7590264755124</v>
      </c>
      <c r="P363" s="499">
        <v>5</v>
      </c>
      <c r="Q363" s="499"/>
      <c r="R363" s="499"/>
      <c r="S363" s="525"/>
      <c r="T363" s="525">
        <v>0</v>
      </c>
      <c r="U363" s="525">
        <v>1</v>
      </c>
      <c r="V363" s="525">
        <v>6648.7951323775624</v>
      </c>
      <c r="W363" s="589">
        <f>IF(AND(BaleMover[[#This Row],[Scenario_ID]]="S3",BaleMover[[#This Row],[MRF_ID]]="05"),0,IFERROR(BaleMover[[#This Row],[Total_Baled_tons]]*(IF(BaleMover[[#This Row],[Scenario_ID]]="S0",-2,0)+INDEX(BalePrices[Low],MATCH(BaleMover[[#This Row],[Bale_ID]],BalePrices[Bale_ID],0))),0))</f>
        <v>0</v>
      </c>
      <c r="X363" s="397">
        <f>IF(AND(BaleMover[[#This Row],[Scenario_ID]]="S3",BaleMover[[#This Row],[MRF_ID]]="05"),0,IFERROR(BaleMover[[#This Row],[Total_Baled_tons]]*(IF(BaleMover[[#This Row],[Scenario_ID]]="S0",-2,0)+INDEX(BalePrices[Mid-Point],MATCH(BaleMover[[#This Row],[Bale_ID]],BalePrices[Bale_ID],0))),0))</f>
        <v>0</v>
      </c>
      <c r="Y363" s="397">
        <f>IF(AND(BaleMover[[#This Row],[Scenario_ID]]="S3",BaleMover[[#This Row],[MRF_ID]]="05"),0,IFERROR(BaleMover[[#This Row],[Total_Baled_tons]]*(IF(BaleMover[[#This Row],[Scenario_ID]]="S0",-2,0)+INDEX(BalePrices[High],MATCH(BaleMover[[#This Row],[Bale_ID]],BalePrices[Bale_ID],0))),0))</f>
        <v>0</v>
      </c>
    </row>
    <row r="364" spans="2:25" x14ac:dyDescent="0.2">
      <c r="B364" s="545" t="s">
        <v>874</v>
      </c>
      <c r="C364" s="499" t="s">
        <v>727</v>
      </c>
      <c r="D364" s="499"/>
      <c r="E364" s="499"/>
      <c r="F364" s="499" t="s">
        <v>1995</v>
      </c>
      <c r="G364" s="499" t="s">
        <v>2094</v>
      </c>
      <c r="H364" s="499" t="s">
        <v>1530</v>
      </c>
      <c r="I364" s="499" t="s">
        <v>994</v>
      </c>
      <c r="J364" s="499" t="s">
        <v>995</v>
      </c>
      <c r="K364" s="499" t="s">
        <v>2076</v>
      </c>
      <c r="L364" s="499">
        <v>8</v>
      </c>
      <c r="M364" s="499" t="s">
        <v>2085</v>
      </c>
      <c r="N364" s="499" t="s">
        <v>2068</v>
      </c>
      <c r="O364" s="525">
        <v>0</v>
      </c>
      <c r="P364" s="499" t="s">
        <v>2054</v>
      </c>
      <c r="Q364" s="499"/>
      <c r="R364" s="499"/>
      <c r="S364" s="525"/>
      <c r="T364" s="525">
        <v>0</v>
      </c>
      <c r="U364" s="525">
        <v>1</v>
      </c>
      <c r="V364" s="525" t="s">
        <v>2054</v>
      </c>
      <c r="W364" s="589">
        <f>IF(AND(BaleMover[[#This Row],[Scenario_ID]]="S3",BaleMover[[#This Row],[MRF_ID]]="05"),0,IFERROR(BaleMover[[#This Row],[Total_Baled_tons]]*(IF(BaleMover[[#This Row],[Scenario_ID]]="S0",-2,0)+INDEX(BalePrices[Low],MATCH(BaleMover[[#This Row],[Bale_ID]],BalePrices[Bale_ID],0))),0))</f>
        <v>0</v>
      </c>
      <c r="X364" s="397">
        <f>IF(AND(BaleMover[[#This Row],[Scenario_ID]]="S3",BaleMover[[#This Row],[MRF_ID]]="05"),0,IFERROR(BaleMover[[#This Row],[Total_Baled_tons]]*(IF(BaleMover[[#This Row],[Scenario_ID]]="S0",-2,0)+INDEX(BalePrices[Mid-Point],MATCH(BaleMover[[#This Row],[Bale_ID]],BalePrices[Bale_ID],0))),0))</f>
        <v>0</v>
      </c>
      <c r="Y364" s="397">
        <f>IF(AND(BaleMover[[#This Row],[Scenario_ID]]="S3",BaleMover[[#This Row],[MRF_ID]]="05"),0,IFERROR(BaleMover[[#This Row],[Total_Baled_tons]]*(IF(BaleMover[[#This Row],[Scenario_ID]]="S0",-2,0)+INDEX(BalePrices[High],MATCH(BaleMover[[#This Row],[Bale_ID]],BalePrices[Bale_ID],0))),0))</f>
        <v>0</v>
      </c>
    </row>
    <row r="365" spans="2:25" x14ac:dyDescent="0.2">
      <c r="B365" s="545" t="s">
        <v>873</v>
      </c>
      <c r="C365" s="499" t="s">
        <v>727</v>
      </c>
      <c r="D365" s="499"/>
      <c r="E365" s="499"/>
      <c r="F365" s="499" t="s">
        <v>1995</v>
      </c>
      <c r="G365" s="499" t="s">
        <v>2095</v>
      </c>
      <c r="H365" s="499" t="s">
        <v>1531</v>
      </c>
      <c r="I365" s="499" t="s">
        <v>994</v>
      </c>
      <c r="J365" s="499" t="s">
        <v>995</v>
      </c>
      <c r="K365" s="499" t="s">
        <v>2096</v>
      </c>
      <c r="L365" s="499">
        <v>8</v>
      </c>
      <c r="M365" s="499" t="s">
        <v>2104</v>
      </c>
      <c r="N365" s="499" t="s">
        <v>2068</v>
      </c>
      <c r="O365" s="525">
        <v>0</v>
      </c>
      <c r="P365" s="499" t="s">
        <v>2054</v>
      </c>
      <c r="Q365" s="499"/>
      <c r="R365" s="499"/>
      <c r="S365" s="525"/>
      <c r="T365" s="525">
        <v>0</v>
      </c>
      <c r="U365" s="525">
        <v>1</v>
      </c>
      <c r="V365" s="525" t="s">
        <v>2054</v>
      </c>
      <c r="W365" s="589">
        <f>IF(AND(BaleMover[[#This Row],[Scenario_ID]]="S3",BaleMover[[#This Row],[MRF_ID]]="05"),0,IFERROR(BaleMover[[#This Row],[Total_Baled_tons]]*(IF(BaleMover[[#This Row],[Scenario_ID]]="S0",-2,0)+INDEX(BalePrices[Low],MATCH(BaleMover[[#This Row],[Bale_ID]],BalePrices[Bale_ID],0))),0))</f>
        <v>0</v>
      </c>
      <c r="X365" s="397">
        <f>IF(AND(BaleMover[[#This Row],[Scenario_ID]]="S3",BaleMover[[#This Row],[MRF_ID]]="05"),0,IFERROR(BaleMover[[#This Row],[Total_Baled_tons]]*(IF(BaleMover[[#This Row],[Scenario_ID]]="S0",-2,0)+INDEX(BalePrices[Mid-Point],MATCH(BaleMover[[#This Row],[Bale_ID]],BalePrices[Bale_ID],0))),0))</f>
        <v>0</v>
      </c>
      <c r="Y365" s="397">
        <f>IF(AND(BaleMover[[#This Row],[Scenario_ID]]="S3",BaleMover[[#This Row],[MRF_ID]]="05"),0,IFERROR(BaleMover[[#This Row],[Total_Baled_tons]]*(IF(BaleMover[[#This Row],[Scenario_ID]]="S0",-2,0)+INDEX(BalePrices[High],MATCH(BaleMover[[#This Row],[Bale_ID]],BalePrices[Bale_ID],0))),0))</f>
        <v>0</v>
      </c>
    </row>
    <row r="366" spans="2:25" x14ac:dyDescent="0.2">
      <c r="B366" s="545" t="s">
        <v>874</v>
      </c>
      <c r="C366" s="499" t="s">
        <v>727</v>
      </c>
      <c r="D366" s="499"/>
      <c r="E366" s="499"/>
      <c r="F366" s="499" t="s">
        <v>1995</v>
      </c>
      <c r="G366" s="499" t="s">
        <v>2094</v>
      </c>
      <c r="H366" s="499" t="s">
        <v>1532</v>
      </c>
      <c r="I366" s="499" t="s">
        <v>996</v>
      </c>
      <c r="J366" s="499" t="s">
        <v>997</v>
      </c>
      <c r="K366" s="499" t="s">
        <v>2076</v>
      </c>
      <c r="L366" s="499">
        <v>8</v>
      </c>
      <c r="M366" s="499" t="s">
        <v>2085</v>
      </c>
      <c r="N366" s="499" t="s">
        <v>2068</v>
      </c>
      <c r="O366" s="525">
        <v>0</v>
      </c>
      <c r="P366" s="499" t="s">
        <v>2054</v>
      </c>
      <c r="Q366" s="499"/>
      <c r="R366" s="499"/>
      <c r="S366" s="525"/>
      <c r="T366" s="525">
        <v>0</v>
      </c>
      <c r="U366" s="525">
        <v>1</v>
      </c>
      <c r="V366" s="525" t="s">
        <v>2054</v>
      </c>
      <c r="W366" s="589">
        <f>IF(AND(BaleMover[[#This Row],[Scenario_ID]]="S3",BaleMover[[#This Row],[MRF_ID]]="05"),0,IFERROR(BaleMover[[#This Row],[Total_Baled_tons]]*(IF(BaleMover[[#This Row],[Scenario_ID]]="S0",-2,0)+INDEX(BalePrices[Low],MATCH(BaleMover[[#This Row],[Bale_ID]],BalePrices[Bale_ID],0))),0))</f>
        <v>0</v>
      </c>
      <c r="X366" s="397">
        <f>IF(AND(BaleMover[[#This Row],[Scenario_ID]]="S3",BaleMover[[#This Row],[MRF_ID]]="05"),0,IFERROR(BaleMover[[#This Row],[Total_Baled_tons]]*(IF(BaleMover[[#This Row],[Scenario_ID]]="S0",-2,0)+INDEX(BalePrices[Mid-Point],MATCH(BaleMover[[#This Row],[Bale_ID]],BalePrices[Bale_ID],0))),0))</f>
        <v>0</v>
      </c>
      <c r="Y366" s="397">
        <f>IF(AND(BaleMover[[#This Row],[Scenario_ID]]="S3",BaleMover[[#This Row],[MRF_ID]]="05"),0,IFERROR(BaleMover[[#This Row],[Total_Baled_tons]]*(IF(BaleMover[[#This Row],[Scenario_ID]]="S0",-2,0)+INDEX(BalePrices[High],MATCH(BaleMover[[#This Row],[Bale_ID]],BalePrices[Bale_ID],0))),0))</f>
        <v>0</v>
      </c>
    </row>
    <row r="367" spans="2:25" x14ac:dyDescent="0.2">
      <c r="B367" s="545" t="s">
        <v>873</v>
      </c>
      <c r="C367" s="499" t="s">
        <v>727</v>
      </c>
      <c r="D367" s="499"/>
      <c r="E367" s="499"/>
      <c r="F367" s="499" t="s">
        <v>1995</v>
      </c>
      <c r="G367" s="499" t="s">
        <v>2095</v>
      </c>
      <c r="H367" s="499" t="s">
        <v>1533</v>
      </c>
      <c r="I367" s="499" t="s">
        <v>996</v>
      </c>
      <c r="J367" s="499" t="s">
        <v>997</v>
      </c>
      <c r="K367" s="499" t="s">
        <v>2096</v>
      </c>
      <c r="L367" s="499">
        <v>8</v>
      </c>
      <c r="M367" s="499" t="s">
        <v>2104</v>
      </c>
      <c r="N367" s="499" t="s">
        <v>2068</v>
      </c>
      <c r="O367" s="525">
        <v>0</v>
      </c>
      <c r="P367" s="499" t="s">
        <v>2054</v>
      </c>
      <c r="Q367" s="499"/>
      <c r="R367" s="499"/>
      <c r="S367" s="525"/>
      <c r="T367" s="525">
        <v>0</v>
      </c>
      <c r="U367" s="525">
        <v>1</v>
      </c>
      <c r="V367" s="525" t="s">
        <v>2054</v>
      </c>
      <c r="W367" s="589">
        <f>IF(AND(BaleMover[[#This Row],[Scenario_ID]]="S3",BaleMover[[#This Row],[MRF_ID]]="05"),0,IFERROR(BaleMover[[#This Row],[Total_Baled_tons]]*(IF(BaleMover[[#This Row],[Scenario_ID]]="S0",-2,0)+INDEX(BalePrices[Low],MATCH(BaleMover[[#This Row],[Bale_ID]],BalePrices[Bale_ID],0))),0))</f>
        <v>0</v>
      </c>
      <c r="X367" s="397">
        <f>IF(AND(BaleMover[[#This Row],[Scenario_ID]]="S3",BaleMover[[#This Row],[MRF_ID]]="05"),0,IFERROR(BaleMover[[#This Row],[Total_Baled_tons]]*(IF(BaleMover[[#This Row],[Scenario_ID]]="S0",-2,0)+INDEX(BalePrices[Mid-Point],MATCH(BaleMover[[#This Row],[Bale_ID]],BalePrices[Bale_ID],0))),0))</f>
        <v>0</v>
      </c>
      <c r="Y367" s="397">
        <f>IF(AND(BaleMover[[#This Row],[Scenario_ID]]="S3",BaleMover[[#This Row],[MRF_ID]]="05"),0,IFERROR(BaleMover[[#This Row],[Total_Baled_tons]]*(IF(BaleMover[[#This Row],[Scenario_ID]]="S0",-2,0)+INDEX(BalePrices[High],MATCH(BaleMover[[#This Row],[Bale_ID]],BalePrices[Bale_ID],0))),0))</f>
        <v>0</v>
      </c>
    </row>
    <row r="368" spans="2:25" x14ac:dyDescent="0.2">
      <c r="B368" s="545" t="s">
        <v>874</v>
      </c>
      <c r="C368" s="499" t="s">
        <v>727</v>
      </c>
      <c r="D368" s="499"/>
      <c r="E368" s="499"/>
      <c r="F368" s="499" t="s">
        <v>1995</v>
      </c>
      <c r="G368" s="499" t="s">
        <v>2094</v>
      </c>
      <c r="H368" s="499" t="s">
        <v>1534</v>
      </c>
      <c r="I368" s="499" t="s">
        <v>998</v>
      </c>
      <c r="J368" s="499" t="s">
        <v>999</v>
      </c>
      <c r="K368" s="499" t="s">
        <v>2076</v>
      </c>
      <c r="L368" s="499">
        <v>8</v>
      </c>
      <c r="M368" s="499" t="s">
        <v>2085</v>
      </c>
      <c r="N368" s="499" t="s">
        <v>2068</v>
      </c>
      <c r="O368" s="525">
        <v>0</v>
      </c>
      <c r="P368" s="499" t="s">
        <v>2054</v>
      </c>
      <c r="Q368" s="499"/>
      <c r="R368" s="499"/>
      <c r="S368" s="525"/>
      <c r="T368" s="525">
        <v>0</v>
      </c>
      <c r="U368" s="525">
        <v>1</v>
      </c>
      <c r="V368" s="525" t="s">
        <v>2054</v>
      </c>
      <c r="W368" s="589">
        <f>IF(AND(BaleMover[[#This Row],[Scenario_ID]]="S3",BaleMover[[#This Row],[MRF_ID]]="05"),0,IFERROR(BaleMover[[#This Row],[Total_Baled_tons]]*(IF(BaleMover[[#This Row],[Scenario_ID]]="S0",-2,0)+INDEX(BalePrices[Low],MATCH(BaleMover[[#This Row],[Bale_ID]],BalePrices[Bale_ID],0))),0))</f>
        <v>0</v>
      </c>
      <c r="X368" s="397">
        <f>IF(AND(BaleMover[[#This Row],[Scenario_ID]]="S3",BaleMover[[#This Row],[MRF_ID]]="05"),0,IFERROR(BaleMover[[#This Row],[Total_Baled_tons]]*(IF(BaleMover[[#This Row],[Scenario_ID]]="S0",-2,0)+INDEX(BalePrices[Mid-Point],MATCH(BaleMover[[#This Row],[Bale_ID]],BalePrices[Bale_ID],0))),0))</f>
        <v>0</v>
      </c>
      <c r="Y368" s="397">
        <f>IF(AND(BaleMover[[#This Row],[Scenario_ID]]="S3",BaleMover[[#This Row],[MRF_ID]]="05"),0,IFERROR(BaleMover[[#This Row],[Total_Baled_tons]]*(IF(BaleMover[[#This Row],[Scenario_ID]]="S0",-2,0)+INDEX(BalePrices[High],MATCH(BaleMover[[#This Row],[Bale_ID]],BalePrices[Bale_ID],0))),0))</f>
        <v>0</v>
      </c>
    </row>
    <row r="369" spans="2:25" x14ac:dyDescent="0.2">
      <c r="B369" s="545" t="s">
        <v>873</v>
      </c>
      <c r="C369" s="499" t="s">
        <v>727</v>
      </c>
      <c r="D369" s="499"/>
      <c r="E369" s="499"/>
      <c r="F369" s="499" t="s">
        <v>1995</v>
      </c>
      <c r="G369" s="499" t="s">
        <v>2095</v>
      </c>
      <c r="H369" s="499" t="s">
        <v>1535</v>
      </c>
      <c r="I369" s="499" t="s">
        <v>998</v>
      </c>
      <c r="J369" s="499" t="s">
        <v>999</v>
      </c>
      <c r="K369" s="499" t="s">
        <v>2096</v>
      </c>
      <c r="L369" s="499">
        <v>8</v>
      </c>
      <c r="M369" s="499" t="s">
        <v>2104</v>
      </c>
      <c r="N369" s="499" t="s">
        <v>2068</v>
      </c>
      <c r="O369" s="525">
        <v>0</v>
      </c>
      <c r="P369" s="499" t="s">
        <v>2054</v>
      </c>
      <c r="Q369" s="499"/>
      <c r="R369" s="499"/>
      <c r="S369" s="525"/>
      <c r="T369" s="525">
        <v>0</v>
      </c>
      <c r="U369" s="525">
        <v>1</v>
      </c>
      <c r="V369" s="525" t="s">
        <v>2054</v>
      </c>
      <c r="W369" s="589">
        <f>IF(AND(BaleMover[[#This Row],[Scenario_ID]]="S3",BaleMover[[#This Row],[MRF_ID]]="05"),0,IFERROR(BaleMover[[#This Row],[Total_Baled_tons]]*(IF(BaleMover[[#This Row],[Scenario_ID]]="S0",-2,0)+INDEX(BalePrices[Low],MATCH(BaleMover[[#This Row],[Bale_ID]],BalePrices[Bale_ID],0))),0))</f>
        <v>0</v>
      </c>
      <c r="X369" s="397">
        <f>IF(AND(BaleMover[[#This Row],[Scenario_ID]]="S3",BaleMover[[#This Row],[MRF_ID]]="05"),0,IFERROR(BaleMover[[#This Row],[Total_Baled_tons]]*(IF(BaleMover[[#This Row],[Scenario_ID]]="S0",-2,0)+INDEX(BalePrices[Mid-Point],MATCH(BaleMover[[#This Row],[Bale_ID]],BalePrices[Bale_ID],0))),0))</f>
        <v>0</v>
      </c>
      <c r="Y369" s="397">
        <f>IF(AND(BaleMover[[#This Row],[Scenario_ID]]="S3",BaleMover[[#This Row],[MRF_ID]]="05"),0,IFERROR(BaleMover[[#This Row],[Total_Baled_tons]]*(IF(BaleMover[[#This Row],[Scenario_ID]]="S0",-2,0)+INDEX(BalePrices[High],MATCH(BaleMover[[#This Row],[Bale_ID]],BalePrices[Bale_ID],0))),0))</f>
        <v>0</v>
      </c>
    </row>
    <row r="370" spans="2:25" x14ac:dyDescent="0.2">
      <c r="B370" s="545" t="s">
        <v>874</v>
      </c>
      <c r="C370" s="499" t="s">
        <v>727</v>
      </c>
      <c r="D370" s="499"/>
      <c r="E370" s="499"/>
      <c r="F370" s="499" t="s">
        <v>1995</v>
      </c>
      <c r="G370" s="499" t="s">
        <v>2094</v>
      </c>
      <c r="H370" s="499" t="s">
        <v>1536</v>
      </c>
      <c r="I370" s="499" t="s">
        <v>1000</v>
      </c>
      <c r="J370" s="499" t="s">
        <v>1001</v>
      </c>
      <c r="K370" s="499" t="s">
        <v>2076</v>
      </c>
      <c r="L370" s="499">
        <v>12</v>
      </c>
      <c r="M370" s="499" t="s">
        <v>2087</v>
      </c>
      <c r="N370" s="499" t="s">
        <v>2070</v>
      </c>
      <c r="O370" s="525">
        <v>0</v>
      </c>
      <c r="P370" s="499" t="s">
        <v>2054</v>
      </c>
      <c r="Q370" s="499"/>
      <c r="R370" s="499"/>
      <c r="S370" s="525"/>
      <c r="T370" s="525">
        <v>0</v>
      </c>
      <c r="U370" s="525">
        <v>1</v>
      </c>
      <c r="V370" s="525" t="s">
        <v>2054</v>
      </c>
      <c r="W370" s="589">
        <f>IF(AND(BaleMover[[#This Row],[Scenario_ID]]="S3",BaleMover[[#This Row],[MRF_ID]]="05"),0,IFERROR(BaleMover[[#This Row],[Total_Baled_tons]]*(IF(BaleMover[[#This Row],[Scenario_ID]]="S0",-2,0)+INDEX(BalePrices[Low],MATCH(BaleMover[[#This Row],[Bale_ID]],BalePrices[Bale_ID],0))),0))</f>
        <v>0</v>
      </c>
      <c r="X370" s="397">
        <f>IF(AND(BaleMover[[#This Row],[Scenario_ID]]="S3",BaleMover[[#This Row],[MRF_ID]]="05"),0,IFERROR(BaleMover[[#This Row],[Total_Baled_tons]]*(IF(BaleMover[[#This Row],[Scenario_ID]]="S0",-2,0)+INDEX(BalePrices[Mid-Point],MATCH(BaleMover[[#This Row],[Bale_ID]],BalePrices[Bale_ID],0))),0))</f>
        <v>0</v>
      </c>
      <c r="Y370" s="397">
        <f>IF(AND(BaleMover[[#This Row],[Scenario_ID]]="S3",BaleMover[[#This Row],[MRF_ID]]="05"),0,IFERROR(BaleMover[[#This Row],[Total_Baled_tons]]*(IF(BaleMover[[#This Row],[Scenario_ID]]="S0",-2,0)+INDEX(BalePrices[High],MATCH(BaleMover[[#This Row],[Bale_ID]],BalePrices[Bale_ID],0))),0))</f>
        <v>0</v>
      </c>
    </row>
    <row r="371" spans="2:25" x14ac:dyDescent="0.2">
      <c r="B371" s="545" t="s">
        <v>873</v>
      </c>
      <c r="C371" s="499" t="s">
        <v>727</v>
      </c>
      <c r="D371" s="499"/>
      <c r="E371" s="499"/>
      <c r="F371" s="499" t="s">
        <v>1995</v>
      </c>
      <c r="G371" s="499" t="s">
        <v>2095</v>
      </c>
      <c r="H371" s="499" t="s">
        <v>1537</v>
      </c>
      <c r="I371" s="499" t="s">
        <v>1000</v>
      </c>
      <c r="J371" s="499" t="s">
        <v>1001</v>
      </c>
      <c r="K371" s="499" t="s">
        <v>2096</v>
      </c>
      <c r="L371" s="499">
        <v>12</v>
      </c>
      <c r="M371" s="499" t="s">
        <v>2105</v>
      </c>
      <c r="N371" s="499" t="s">
        <v>2070</v>
      </c>
      <c r="O371" s="525">
        <v>0</v>
      </c>
      <c r="P371" s="499" t="s">
        <v>2054</v>
      </c>
      <c r="Q371" s="499"/>
      <c r="R371" s="499"/>
      <c r="S371" s="525"/>
      <c r="T371" s="525">
        <v>0</v>
      </c>
      <c r="U371" s="525">
        <v>1</v>
      </c>
      <c r="V371" s="525" t="s">
        <v>2054</v>
      </c>
      <c r="W371" s="589">
        <f>IF(AND(BaleMover[[#This Row],[Scenario_ID]]="S3",BaleMover[[#This Row],[MRF_ID]]="05"),0,IFERROR(BaleMover[[#This Row],[Total_Baled_tons]]*(IF(BaleMover[[#This Row],[Scenario_ID]]="S0",-2,0)+INDEX(BalePrices[Low],MATCH(BaleMover[[#This Row],[Bale_ID]],BalePrices[Bale_ID],0))),0))</f>
        <v>0</v>
      </c>
      <c r="X371" s="397">
        <f>IF(AND(BaleMover[[#This Row],[Scenario_ID]]="S3",BaleMover[[#This Row],[MRF_ID]]="05"),0,IFERROR(BaleMover[[#This Row],[Total_Baled_tons]]*(IF(BaleMover[[#This Row],[Scenario_ID]]="S0",-2,0)+INDEX(BalePrices[Mid-Point],MATCH(BaleMover[[#This Row],[Bale_ID]],BalePrices[Bale_ID],0))),0))</f>
        <v>0</v>
      </c>
      <c r="Y371" s="397">
        <f>IF(AND(BaleMover[[#This Row],[Scenario_ID]]="S3",BaleMover[[#This Row],[MRF_ID]]="05"),0,IFERROR(BaleMover[[#This Row],[Total_Baled_tons]]*(IF(BaleMover[[#This Row],[Scenario_ID]]="S0",-2,0)+INDEX(BalePrices[High],MATCH(BaleMover[[#This Row],[Bale_ID]],BalePrices[Bale_ID],0))),0))</f>
        <v>0</v>
      </c>
    </row>
    <row r="372" spans="2:25" x14ac:dyDescent="0.2">
      <c r="B372" s="545" t="s">
        <v>874</v>
      </c>
      <c r="C372" s="499" t="s">
        <v>727</v>
      </c>
      <c r="D372" s="499"/>
      <c r="E372" s="499"/>
      <c r="F372" s="499" t="s">
        <v>1995</v>
      </c>
      <c r="G372" s="499" t="s">
        <v>2094</v>
      </c>
      <c r="H372" s="499" t="s">
        <v>1538</v>
      </c>
      <c r="I372" s="499" t="s">
        <v>1002</v>
      </c>
      <c r="J372" s="499" t="s">
        <v>1003</v>
      </c>
      <c r="K372" s="499" t="s">
        <v>2076</v>
      </c>
      <c r="L372" s="499">
        <v>1</v>
      </c>
      <c r="M372" s="499" t="s">
        <v>2086</v>
      </c>
      <c r="N372" s="499" t="s">
        <v>2066</v>
      </c>
      <c r="O372" s="525">
        <v>129.70722303979406</v>
      </c>
      <c r="P372" s="499">
        <v>20</v>
      </c>
      <c r="Q372" s="499"/>
      <c r="R372" s="499"/>
      <c r="S372" s="525"/>
      <c r="T372" s="525">
        <v>0</v>
      </c>
      <c r="U372" s="525">
        <v>1</v>
      </c>
      <c r="V372" s="525">
        <v>2594.1444607958811</v>
      </c>
      <c r="W372" s="589">
        <f>IF(AND(BaleMover[[#This Row],[Scenario_ID]]="S3",BaleMover[[#This Row],[MRF_ID]]="05"),0,IFERROR(BaleMover[[#This Row],[Total_Baled_tons]]*(IF(BaleMover[[#This Row],[Scenario_ID]]="S0",-2,0)+INDEX(BalePrices[Low],MATCH(BaleMover[[#This Row],[Bale_ID]],BalePrices[Bale_ID],0))),0))</f>
        <v>22698.764031963961</v>
      </c>
      <c r="X372" s="397">
        <f>IF(AND(BaleMover[[#This Row],[Scenario_ID]]="S3",BaleMover[[#This Row],[MRF_ID]]="05"),0,IFERROR(BaleMover[[#This Row],[Total_Baled_tons]]*(IF(BaleMover[[#This Row],[Scenario_ID]]="S0",-2,0)+INDEX(BalePrices[Mid-Point],MATCH(BaleMover[[#This Row],[Bale_ID]],BalePrices[Bale_ID],0))),0))</f>
        <v>27562.784895956236</v>
      </c>
      <c r="Y372" s="397">
        <f>IF(AND(BaleMover[[#This Row],[Scenario_ID]]="S3",BaleMover[[#This Row],[MRF_ID]]="05"),0,IFERROR(BaleMover[[#This Row],[Total_Baled_tons]]*(IF(BaleMover[[#This Row],[Scenario_ID]]="S0",-2,0)+INDEX(BalePrices[High],MATCH(BaleMover[[#This Row],[Bale_ID]],BalePrices[Bale_ID],0))),0))</f>
        <v>32426.805759948515</v>
      </c>
    </row>
    <row r="373" spans="2:25" x14ac:dyDescent="0.2">
      <c r="B373" s="545" t="s">
        <v>873</v>
      </c>
      <c r="C373" s="499" t="s">
        <v>727</v>
      </c>
      <c r="D373" s="499"/>
      <c r="E373" s="499"/>
      <c r="F373" s="499" t="s">
        <v>1995</v>
      </c>
      <c r="G373" s="499" t="s">
        <v>2095</v>
      </c>
      <c r="H373" s="499" t="s">
        <v>1539</v>
      </c>
      <c r="I373" s="499" t="s">
        <v>1002</v>
      </c>
      <c r="J373" s="499" t="s">
        <v>1003</v>
      </c>
      <c r="K373" s="499" t="s">
        <v>2096</v>
      </c>
      <c r="L373" s="499">
        <v>8</v>
      </c>
      <c r="M373" s="499" t="s">
        <v>2104</v>
      </c>
      <c r="N373" s="499" t="s">
        <v>2068</v>
      </c>
      <c r="O373" s="525">
        <v>180.22550999285727</v>
      </c>
      <c r="P373" s="499">
        <v>5</v>
      </c>
      <c r="Q373" s="499"/>
      <c r="R373" s="499"/>
      <c r="S373" s="525"/>
      <c r="T373" s="525">
        <v>0</v>
      </c>
      <c r="U373" s="525">
        <v>1</v>
      </c>
      <c r="V373" s="525">
        <v>901.12754996428635</v>
      </c>
      <c r="W373" s="589">
        <f>IF(AND(BaleMover[[#This Row],[Scenario_ID]]="S3",BaleMover[[#This Row],[MRF_ID]]="05"),0,IFERROR(BaleMover[[#This Row],[Total_Baled_tons]]*(IF(BaleMover[[#This Row],[Scenario_ID]]="S0",-2,0)+INDEX(BalePrices[Low],MATCH(BaleMover[[#This Row],[Bale_ID]],BalePrices[Bale_ID],0))),0))</f>
        <v>0</v>
      </c>
      <c r="X373" s="397">
        <f>IF(AND(BaleMover[[#This Row],[Scenario_ID]]="S3",BaleMover[[#This Row],[MRF_ID]]="05"),0,IFERROR(BaleMover[[#This Row],[Total_Baled_tons]]*(IF(BaleMover[[#This Row],[Scenario_ID]]="S0",-2,0)+INDEX(BalePrices[Mid-Point],MATCH(BaleMover[[#This Row],[Bale_ID]],BalePrices[Bale_ID],0))),0))</f>
        <v>0</v>
      </c>
      <c r="Y373" s="397">
        <f>IF(AND(BaleMover[[#This Row],[Scenario_ID]]="S3",BaleMover[[#This Row],[MRF_ID]]="05"),0,IFERROR(BaleMover[[#This Row],[Total_Baled_tons]]*(IF(BaleMover[[#This Row],[Scenario_ID]]="S0",-2,0)+INDEX(BalePrices[High],MATCH(BaleMover[[#This Row],[Bale_ID]],BalePrices[Bale_ID],0))),0))</f>
        <v>0</v>
      </c>
    </row>
    <row r="374" spans="2:25" x14ac:dyDescent="0.2">
      <c r="B374" s="545" t="s">
        <v>874</v>
      </c>
      <c r="C374" s="499" t="s">
        <v>727</v>
      </c>
      <c r="D374" s="499"/>
      <c r="E374" s="499"/>
      <c r="F374" s="499" t="s">
        <v>1995</v>
      </c>
      <c r="G374" s="499" t="s">
        <v>2094</v>
      </c>
      <c r="H374" s="499" t="s">
        <v>1540</v>
      </c>
      <c r="I374" s="499" t="s">
        <v>1006</v>
      </c>
      <c r="J374" s="499" t="s">
        <v>1007</v>
      </c>
      <c r="K374" s="499" t="s">
        <v>2076</v>
      </c>
      <c r="L374" s="499">
        <v>1</v>
      </c>
      <c r="M374" s="499" t="s">
        <v>2086</v>
      </c>
      <c r="N374" s="499" t="s">
        <v>2066</v>
      </c>
      <c r="O374" s="525">
        <v>4009.3502654095842</v>
      </c>
      <c r="P374" s="499">
        <v>20</v>
      </c>
      <c r="Q374" s="499"/>
      <c r="R374" s="499"/>
      <c r="S374" s="525"/>
      <c r="T374" s="525">
        <v>0</v>
      </c>
      <c r="U374" s="525">
        <v>1</v>
      </c>
      <c r="V374" s="525">
        <v>80187.005308191685</v>
      </c>
      <c r="W374" s="589">
        <f>IF(AND(BaleMover[[#This Row],[Scenario_ID]]="S3",BaleMover[[#This Row],[MRF_ID]]="05"),0,IFERROR(BaleMover[[#This Row],[Total_Baled_tons]]*(IF(BaleMover[[#This Row],[Scenario_ID]]="S0",-2,0)+INDEX(BalePrices[Low],MATCH(BaleMover[[#This Row],[Bale_ID]],BalePrices[Bale_ID],0))),0))</f>
        <v>200467.51327047922</v>
      </c>
      <c r="X374" s="397">
        <f>IF(AND(BaleMover[[#This Row],[Scenario_ID]]="S3",BaleMover[[#This Row],[MRF_ID]]="05"),0,IFERROR(BaleMover[[#This Row],[Total_Baled_tons]]*(IF(BaleMover[[#This Row],[Scenario_ID]]="S0",-2,0)+INDEX(BalePrices[Mid-Point],MATCH(BaleMover[[#This Row],[Bale_ID]],BalePrices[Bale_ID],0))),0))</f>
        <v>601402.5398114376</v>
      </c>
      <c r="Y374" s="397">
        <f>IF(AND(BaleMover[[#This Row],[Scenario_ID]]="S3",BaleMover[[#This Row],[MRF_ID]]="05"),0,IFERROR(BaleMover[[#This Row],[Total_Baled_tons]]*(IF(BaleMover[[#This Row],[Scenario_ID]]="S0",-2,0)+INDEX(BalePrices[High],MATCH(BaleMover[[#This Row],[Bale_ID]],BalePrices[Bale_ID],0))),0))</f>
        <v>1002337.566352396</v>
      </c>
    </row>
    <row r="375" spans="2:25" x14ac:dyDescent="0.2">
      <c r="B375" s="545" t="s">
        <v>873</v>
      </c>
      <c r="C375" s="499" t="s">
        <v>727</v>
      </c>
      <c r="D375" s="499"/>
      <c r="E375" s="499"/>
      <c r="F375" s="499" t="s">
        <v>1995</v>
      </c>
      <c r="G375" s="499" t="s">
        <v>2095</v>
      </c>
      <c r="H375" s="499" t="s">
        <v>1541</v>
      </c>
      <c r="I375" s="499" t="s">
        <v>1006</v>
      </c>
      <c r="J375" s="499" t="s">
        <v>1007</v>
      </c>
      <c r="K375" s="499" t="s">
        <v>2096</v>
      </c>
      <c r="L375" s="499">
        <v>8</v>
      </c>
      <c r="M375" s="499" t="s">
        <v>2104</v>
      </c>
      <c r="N375" s="499" t="s">
        <v>2068</v>
      </c>
      <c r="O375" s="525">
        <v>5582.0053660862277</v>
      </c>
      <c r="P375" s="499">
        <v>5</v>
      </c>
      <c r="Q375" s="499"/>
      <c r="R375" s="499"/>
      <c r="S375" s="525"/>
      <c r="T375" s="525">
        <v>0</v>
      </c>
      <c r="U375" s="525">
        <v>1</v>
      </c>
      <c r="V375" s="525">
        <v>27910.026830431139</v>
      </c>
      <c r="W375" s="589">
        <f>IF(AND(BaleMover[[#This Row],[Scenario_ID]]="S3",BaleMover[[#This Row],[MRF_ID]]="05"),0,IFERROR(BaleMover[[#This Row],[Total_Baled_tons]]*(IF(BaleMover[[#This Row],[Scenario_ID]]="S0",-2,0)+INDEX(BalePrices[Low],MATCH(BaleMover[[#This Row],[Bale_ID]],BalePrices[Bale_ID],0))),0))</f>
        <v>0</v>
      </c>
      <c r="X375" s="397">
        <f>IF(AND(BaleMover[[#This Row],[Scenario_ID]]="S3",BaleMover[[#This Row],[MRF_ID]]="05"),0,IFERROR(BaleMover[[#This Row],[Total_Baled_tons]]*(IF(BaleMover[[#This Row],[Scenario_ID]]="S0",-2,0)+INDEX(BalePrices[Mid-Point],MATCH(BaleMover[[#This Row],[Bale_ID]],BalePrices[Bale_ID],0))),0))</f>
        <v>0</v>
      </c>
      <c r="Y375" s="397">
        <f>IF(AND(BaleMover[[#This Row],[Scenario_ID]]="S3",BaleMover[[#This Row],[MRF_ID]]="05"),0,IFERROR(BaleMover[[#This Row],[Total_Baled_tons]]*(IF(BaleMover[[#This Row],[Scenario_ID]]="S0",-2,0)+INDEX(BalePrices[High],MATCH(BaleMover[[#This Row],[Bale_ID]],BalePrices[Bale_ID],0))),0))</f>
        <v>0</v>
      </c>
    </row>
    <row r="376" spans="2:25" x14ac:dyDescent="0.2">
      <c r="B376" s="545" t="s">
        <v>874</v>
      </c>
      <c r="C376" s="499" t="s">
        <v>727</v>
      </c>
      <c r="D376" s="499"/>
      <c r="E376" s="499"/>
      <c r="F376" s="499" t="s">
        <v>1995</v>
      </c>
      <c r="G376" s="499" t="s">
        <v>2094</v>
      </c>
      <c r="H376" s="499" t="s">
        <v>1542</v>
      </c>
      <c r="I376" s="499" t="s">
        <v>1008</v>
      </c>
      <c r="J376" s="499" t="s">
        <v>1009</v>
      </c>
      <c r="K376" s="499" t="s">
        <v>2076</v>
      </c>
      <c r="L376" s="499">
        <v>2</v>
      </c>
      <c r="M376" s="499" t="s">
        <v>2088</v>
      </c>
      <c r="N376" s="499" t="s">
        <v>2072</v>
      </c>
      <c r="O376" s="525">
        <v>382.32323392526212</v>
      </c>
      <c r="P376" s="499">
        <v>20</v>
      </c>
      <c r="Q376" s="499"/>
      <c r="R376" s="499"/>
      <c r="S376" s="525"/>
      <c r="T376" s="525">
        <v>0</v>
      </c>
      <c r="U376" s="525">
        <v>1</v>
      </c>
      <c r="V376" s="525">
        <v>7646.4646785052428</v>
      </c>
      <c r="W376" s="589">
        <f>IF(AND(BaleMover[[#This Row],[Scenario_ID]]="S3",BaleMover[[#This Row],[MRF_ID]]="05"),0,IFERROR(BaleMover[[#This Row],[Total_Baled_tons]]*(IF(BaleMover[[#This Row],[Scenario_ID]]="S0",-2,0)+INDEX(BalePrices[Low],MATCH(BaleMover[[#This Row],[Bale_ID]],BalePrices[Bale_ID],0))),0))</f>
        <v>19116.161696263105</v>
      </c>
      <c r="X376" s="397">
        <f>IF(AND(BaleMover[[#This Row],[Scenario_ID]]="S3",BaleMover[[#This Row],[MRF_ID]]="05"),0,IFERROR(BaleMover[[#This Row],[Total_Baled_tons]]*(IF(BaleMover[[#This Row],[Scenario_ID]]="S0",-2,0)+INDEX(BalePrices[Mid-Point],MATCH(BaleMover[[#This Row],[Bale_ID]],BalePrices[Bale_ID],0))),0))</f>
        <v>47790.404240657765</v>
      </c>
      <c r="Y376" s="397">
        <f>IF(AND(BaleMover[[#This Row],[Scenario_ID]]="S3",BaleMover[[#This Row],[MRF_ID]]="05"),0,IFERROR(BaleMover[[#This Row],[Total_Baled_tons]]*(IF(BaleMover[[#This Row],[Scenario_ID]]="S0",-2,0)+INDEX(BalePrices[High],MATCH(BaleMover[[#This Row],[Bale_ID]],BalePrices[Bale_ID],0))),0))</f>
        <v>76464.64678505242</v>
      </c>
    </row>
    <row r="377" spans="2:25" x14ac:dyDescent="0.2">
      <c r="B377" s="545" t="s">
        <v>873</v>
      </c>
      <c r="C377" s="499" t="s">
        <v>727</v>
      </c>
      <c r="D377" s="499"/>
      <c r="E377" s="499"/>
      <c r="F377" s="499" t="s">
        <v>1995</v>
      </c>
      <c r="G377" s="499" t="s">
        <v>2095</v>
      </c>
      <c r="H377" s="499" t="s">
        <v>1543</v>
      </c>
      <c r="I377" s="499" t="s">
        <v>1008</v>
      </c>
      <c r="J377" s="499" t="s">
        <v>1009</v>
      </c>
      <c r="K377" s="499" t="s">
        <v>2096</v>
      </c>
      <c r="L377" s="499">
        <v>2</v>
      </c>
      <c r="M377" s="499" t="s">
        <v>2106</v>
      </c>
      <c r="N377" s="499" t="s">
        <v>2072</v>
      </c>
      <c r="O377" s="525">
        <v>530.64198037180893</v>
      </c>
      <c r="P377" s="499">
        <v>315</v>
      </c>
      <c r="Q377" s="499"/>
      <c r="R377" s="499"/>
      <c r="S377" s="525"/>
      <c r="T377" s="525">
        <v>0</v>
      </c>
      <c r="U377" s="525">
        <v>1</v>
      </c>
      <c r="V377" s="525">
        <v>167152.22381711981</v>
      </c>
      <c r="W377" s="589">
        <f>IF(AND(BaleMover[[#This Row],[Scenario_ID]]="S3",BaleMover[[#This Row],[MRF_ID]]="05"),0,IFERROR(BaleMover[[#This Row],[Total_Baled_tons]]*(IF(BaleMover[[#This Row],[Scenario_ID]]="S0",-2,0)+INDEX(BalePrices[Low],MATCH(BaleMover[[#This Row],[Bale_ID]],BalePrices[Bale_ID],0))),0))</f>
        <v>0</v>
      </c>
      <c r="X377" s="397">
        <f>IF(AND(BaleMover[[#This Row],[Scenario_ID]]="S3",BaleMover[[#This Row],[MRF_ID]]="05"),0,IFERROR(BaleMover[[#This Row],[Total_Baled_tons]]*(IF(BaleMover[[#This Row],[Scenario_ID]]="S0",-2,0)+INDEX(BalePrices[Mid-Point],MATCH(BaleMover[[#This Row],[Bale_ID]],BalePrices[Bale_ID],0))),0))</f>
        <v>0</v>
      </c>
      <c r="Y377" s="397">
        <f>IF(AND(BaleMover[[#This Row],[Scenario_ID]]="S3",BaleMover[[#This Row],[MRF_ID]]="05"),0,IFERROR(BaleMover[[#This Row],[Total_Baled_tons]]*(IF(BaleMover[[#This Row],[Scenario_ID]]="S0",-2,0)+INDEX(BalePrices[High],MATCH(BaleMover[[#This Row],[Bale_ID]],BalePrices[Bale_ID],0))),0))</f>
        <v>0</v>
      </c>
    </row>
    <row r="378" spans="2:25" x14ac:dyDescent="0.2">
      <c r="B378" s="545" t="s">
        <v>874</v>
      </c>
      <c r="C378" s="499" t="s">
        <v>727</v>
      </c>
      <c r="D378" s="499"/>
      <c r="E378" s="499"/>
      <c r="F378" s="499" t="s">
        <v>1995</v>
      </c>
      <c r="G378" s="499" t="s">
        <v>2094</v>
      </c>
      <c r="H378" s="499" t="s">
        <v>1544</v>
      </c>
      <c r="I378" s="499" t="s">
        <v>1010</v>
      </c>
      <c r="J378" s="499" t="s">
        <v>1011</v>
      </c>
      <c r="K378" s="499" t="s">
        <v>2076</v>
      </c>
      <c r="L378" s="499">
        <v>2</v>
      </c>
      <c r="M378" s="499" t="s">
        <v>2088</v>
      </c>
      <c r="N378" s="499" t="s">
        <v>2072</v>
      </c>
      <c r="O378" s="525">
        <v>0</v>
      </c>
      <c r="P378" s="499" t="s">
        <v>2054</v>
      </c>
      <c r="Q378" s="499"/>
      <c r="R378" s="499"/>
      <c r="S378" s="525"/>
      <c r="T378" s="525">
        <v>0</v>
      </c>
      <c r="U378" s="525">
        <v>1</v>
      </c>
      <c r="V378" s="525" t="s">
        <v>2054</v>
      </c>
      <c r="W378" s="589">
        <f>IF(AND(BaleMover[[#This Row],[Scenario_ID]]="S3",BaleMover[[#This Row],[MRF_ID]]="05"),0,IFERROR(BaleMover[[#This Row],[Total_Baled_tons]]*(IF(BaleMover[[#This Row],[Scenario_ID]]="S0",-2,0)+INDEX(BalePrices[Low],MATCH(BaleMover[[#This Row],[Bale_ID]],BalePrices[Bale_ID],0))),0))</f>
        <v>0</v>
      </c>
      <c r="X378" s="397">
        <f>IF(AND(BaleMover[[#This Row],[Scenario_ID]]="S3",BaleMover[[#This Row],[MRF_ID]]="05"),0,IFERROR(BaleMover[[#This Row],[Total_Baled_tons]]*(IF(BaleMover[[#This Row],[Scenario_ID]]="S0",-2,0)+INDEX(BalePrices[Mid-Point],MATCH(BaleMover[[#This Row],[Bale_ID]],BalePrices[Bale_ID],0))),0))</f>
        <v>0</v>
      </c>
      <c r="Y378" s="397">
        <f>IF(AND(BaleMover[[#This Row],[Scenario_ID]]="S3",BaleMover[[#This Row],[MRF_ID]]="05"),0,IFERROR(BaleMover[[#This Row],[Total_Baled_tons]]*(IF(BaleMover[[#This Row],[Scenario_ID]]="S0",-2,0)+INDEX(BalePrices[High],MATCH(BaleMover[[#This Row],[Bale_ID]],BalePrices[Bale_ID],0))),0))</f>
        <v>0</v>
      </c>
    </row>
    <row r="379" spans="2:25" x14ac:dyDescent="0.2">
      <c r="B379" s="545" t="s">
        <v>873</v>
      </c>
      <c r="C379" s="499" t="s">
        <v>727</v>
      </c>
      <c r="D379" s="499"/>
      <c r="E379" s="499"/>
      <c r="F379" s="499" t="s">
        <v>1995</v>
      </c>
      <c r="G379" s="499" t="s">
        <v>2095</v>
      </c>
      <c r="H379" s="499" t="s">
        <v>1545</v>
      </c>
      <c r="I379" s="499" t="s">
        <v>1010</v>
      </c>
      <c r="J379" s="499" t="s">
        <v>1011</v>
      </c>
      <c r="K379" s="499" t="s">
        <v>2096</v>
      </c>
      <c r="L379" s="499">
        <v>2</v>
      </c>
      <c r="M379" s="499" t="s">
        <v>2106</v>
      </c>
      <c r="N379" s="499" t="s">
        <v>2072</v>
      </c>
      <c r="O379" s="525">
        <v>0</v>
      </c>
      <c r="P379" s="499" t="s">
        <v>2054</v>
      </c>
      <c r="Q379" s="499"/>
      <c r="R379" s="499"/>
      <c r="S379" s="525"/>
      <c r="T379" s="525">
        <v>0</v>
      </c>
      <c r="U379" s="525">
        <v>1</v>
      </c>
      <c r="V379" s="525" t="s">
        <v>2054</v>
      </c>
      <c r="W379" s="589">
        <f>IF(AND(BaleMover[[#This Row],[Scenario_ID]]="S3",BaleMover[[#This Row],[MRF_ID]]="05"),0,IFERROR(BaleMover[[#This Row],[Total_Baled_tons]]*(IF(BaleMover[[#This Row],[Scenario_ID]]="S0",-2,0)+INDEX(BalePrices[Low],MATCH(BaleMover[[#This Row],[Bale_ID]],BalePrices[Bale_ID],0))),0))</f>
        <v>0</v>
      </c>
      <c r="X379" s="397">
        <f>IF(AND(BaleMover[[#This Row],[Scenario_ID]]="S3",BaleMover[[#This Row],[MRF_ID]]="05"),0,IFERROR(BaleMover[[#This Row],[Total_Baled_tons]]*(IF(BaleMover[[#This Row],[Scenario_ID]]="S0",-2,0)+INDEX(BalePrices[Mid-Point],MATCH(BaleMover[[#This Row],[Bale_ID]],BalePrices[Bale_ID],0))),0))</f>
        <v>0</v>
      </c>
      <c r="Y379" s="397">
        <f>IF(AND(BaleMover[[#This Row],[Scenario_ID]]="S3",BaleMover[[#This Row],[MRF_ID]]="05"),0,IFERROR(BaleMover[[#This Row],[Total_Baled_tons]]*(IF(BaleMover[[#This Row],[Scenario_ID]]="S0",-2,0)+INDEX(BalePrices[High],MATCH(BaleMover[[#This Row],[Bale_ID]],BalePrices[Bale_ID],0))),0))</f>
        <v>0</v>
      </c>
    </row>
    <row r="380" spans="2:25" x14ac:dyDescent="0.2">
      <c r="B380" s="545" t="s">
        <v>874</v>
      </c>
      <c r="C380" s="499" t="s">
        <v>727</v>
      </c>
      <c r="D380" s="499"/>
      <c r="E380" s="499"/>
      <c r="F380" s="499" t="s">
        <v>1995</v>
      </c>
      <c r="G380" s="499" t="s">
        <v>2094</v>
      </c>
      <c r="H380" s="499" t="s">
        <v>1546</v>
      </c>
      <c r="I380" s="499" t="s">
        <v>1012</v>
      </c>
      <c r="J380" s="499" t="s">
        <v>1013</v>
      </c>
      <c r="K380" s="499" t="s">
        <v>2076</v>
      </c>
      <c r="L380" s="499">
        <v>2</v>
      </c>
      <c r="M380" s="499" t="s">
        <v>2088</v>
      </c>
      <c r="N380" s="499" t="s">
        <v>2072</v>
      </c>
      <c r="O380" s="525">
        <v>0</v>
      </c>
      <c r="P380" s="499" t="s">
        <v>2054</v>
      </c>
      <c r="Q380" s="499"/>
      <c r="R380" s="499"/>
      <c r="S380" s="525"/>
      <c r="T380" s="525">
        <v>0</v>
      </c>
      <c r="U380" s="525">
        <v>1</v>
      </c>
      <c r="V380" s="525" t="s">
        <v>2054</v>
      </c>
      <c r="W380" s="589">
        <f>IF(AND(BaleMover[[#This Row],[Scenario_ID]]="S3",BaleMover[[#This Row],[MRF_ID]]="05"),0,IFERROR(BaleMover[[#This Row],[Total_Baled_tons]]*(IF(BaleMover[[#This Row],[Scenario_ID]]="S0",-2,0)+INDEX(BalePrices[Low],MATCH(BaleMover[[#This Row],[Bale_ID]],BalePrices[Bale_ID],0))),0))</f>
        <v>0</v>
      </c>
      <c r="X380" s="397">
        <f>IF(AND(BaleMover[[#This Row],[Scenario_ID]]="S3",BaleMover[[#This Row],[MRF_ID]]="05"),0,IFERROR(BaleMover[[#This Row],[Total_Baled_tons]]*(IF(BaleMover[[#This Row],[Scenario_ID]]="S0",-2,0)+INDEX(BalePrices[Mid-Point],MATCH(BaleMover[[#This Row],[Bale_ID]],BalePrices[Bale_ID],0))),0))</f>
        <v>0</v>
      </c>
      <c r="Y380" s="397">
        <f>IF(AND(BaleMover[[#This Row],[Scenario_ID]]="S3",BaleMover[[#This Row],[MRF_ID]]="05"),0,IFERROR(BaleMover[[#This Row],[Total_Baled_tons]]*(IF(BaleMover[[#This Row],[Scenario_ID]]="S0",-2,0)+INDEX(BalePrices[High],MATCH(BaleMover[[#This Row],[Bale_ID]],BalePrices[Bale_ID],0))),0))</f>
        <v>0</v>
      </c>
    </row>
    <row r="381" spans="2:25" x14ac:dyDescent="0.2">
      <c r="B381" s="545" t="s">
        <v>873</v>
      </c>
      <c r="C381" s="499" t="s">
        <v>727</v>
      </c>
      <c r="D381" s="499"/>
      <c r="E381" s="499"/>
      <c r="F381" s="499" t="s">
        <v>1995</v>
      </c>
      <c r="G381" s="499" t="s">
        <v>2095</v>
      </c>
      <c r="H381" s="499" t="s">
        <v>1547</v>
      </c>
      <c r="I381" s="499" t="s">
        <v>1012</v>
      </c>
      <c r="J381" s="499" t="s">
        <v>1013</v>
      </c>
      <c r="K381" s="499" t="s">
        <v>2096</v>
      </c>
      <c r="L381" s="499">
        <v>2</v>
      </c>
      <c r="M381" s="499" t="s">
        <v>2106</v>
      </c>
      <c r="N381" s="499" t="s">
        <v>2072</v>
      </c>
      <c r="O381" s="525">
        <v>0</v>
      </c>
      <c r="P381" s="499" t="s">
        <v>2054</v>
      </c>
      <c r="Q381" s="499"/>
      <c r="R381" s="499"/>
      <c r="S381" s="525"/>
      <c r="T381" s="525">
        <v>0</v>
      </c>
      <c r="U381" s="525">
        <v>1</v>
      </c>
      <c r="V381" s="525" t="s">
        <v>2054</v>
      </c>
      <c r="W381" s="589">
        <f>IF(AND(BaleMover[[#This Row],[Scenario_ID]]="S3",BaleMover[[#This Row],[MRF_ID]]="05"),0,IFERROR(BaleMover[[#This Row],[Total_Baled_tons]]*(IF(BaleMover[[#This Row],[Scenario_ID]]="S0",-2,0)+INDEX(BalePrices[Low],MATCH(BaleMover[[#This Row],[Bale_ID]],BalePrices[Bale_ID],0))),0))</f>
        <v>0</v>
      </c>
      <c r="X381" s="397">
        <f>IF(AND(BaleMover[[#This Row],[Scenario_ID]]="S3",BaleMover[[#This Row],[MRF_ID]]="05"),0,IFERROR(BaleMover[[#This Row],[Total_Baled_tons]]*(IF(BaleMover[[#This Row],[Scenario_ID]]="S0",-2,0)+INDEX(BalePrices[Mid-Point],MATCH(BaleMover[[#This Row],[Bale_ID]],BalePrices[Bale_ID],0))),0))</f>
        <v>0</v>
      </c>
      <c r="Y381" s="397">
        <f>IF(AND(BaleMover[[#This Row],[Scenario_ID]]="S3",BaleMover[[#This Row],[MRF_ID]]="05"),0,IFERROR(BaleMover[[#This Row],[Total_Baled_tons]]*(IF(BaleMover[[#This Row],[Scenario_ID]]="S0",-2,0)+INDEX(BalePrices[High],MATCH(BaleMover[[#This Row],[Bale_ID]],BalePrices[Bale_ID],0))),0))</f>
        <v>0</v>
      </c>
    </row>
    <row r="382" spans="2:25" x14ac:dyDescent="0.2">
      <c r="B382" s="545" t="s">
        <v>874</v>
      </c>
      <c r="C382" s="499" t="s">
        <v>727</v>
      </c>
      <c r="D382" s="499"/>
      <c r="E382" s="499"/>
      <c r="F382" s="499" t="s">
        <v>1995</v>
      </c>
      <c r="G382" s="499" t="s">
        <v>2094</v>
      </c>
      <c r="H382" s="499" t="s">
        <v>1548</v>
      </c>
      <c r="I382" s="499" t="s">
        <v>1014</v>
      </c>
      <c r="J382" s="499" t="s">
        <v>1893</v>
      </c>
      <c r="K382" s="499" t="s">
        <v>2076</v>
      </c>
      <c r="L382" s="499">
        <v>8</v>
      </c>
      <c r="M382" s="499" t="s">
        <v>2085</v>
      </c>
      <c r="N382" s="499" t="s">
        <v>2068</v>
      </c>
      <c r="O382" s="525">
        <v>0</v>
      </c>
      <c r="P382" s="499" t="s">
        <v>2054</v>
      </c>
      <c r="Q382" s="499"/>
      <c r="R382" s="499"/>
      <c r="S382" s="525"/>
      <c r="T382" s="525">
        <v>0</v>
      </c>
      <c r="U382" s="525">
        <v>1</v>
      </c>
      <c r="V382" s="525" t="s">
        <v>2054</v>
      </c>
      <c r="W382" s="589">
        <f>IF(AND(BaleMover[[#This Row],[Scenario_ID]]="S3",BaleMover[[#This Row],[MRF_ID]]="05"),0,IFERROR(BaleMover[[#This Row],[Total_Baled_tons]]*(IF(BaleMover[[#This Row],[Scenario_ID]]="S0",-2,0)+INDEX(BalePrices[Low],MATCH(BaleMover[[#This Row],[Bale_ID]],BalePrices[Bale_ID],0))),0))</f>
        <v>0</v>
      </c>
      <c r="X382" s="397">
        <f>IF(AND(BaleMover[[#This Row],[Scenario_ID]]="S3",BaleMover[[#This Row],[MRF_ID]]="05"),0,IFERROR(BaleMover[[#This Row],[Total_Baled_tons]]*(IF(BaleMover[[#This Row],[Scenario_ID]]="S0",-2,0)+INDEX(BalePrices[Mid-Point],MATCH(BaleMover[[#This Row],[Bale_ID]],BalePrices[Bale_ID],0))),0))</f>
        <v>0</v>
      </c>
      <c r="Y382" s="397">
        <f>IF(AND(BaleMover[[#This Row],[Scenario_ID]]="S3",BaleMover[[#This Row],[MRF_ID]]="05"),0,IFERROR(BaleMover[[#This Row],[Total_Baled_tons]]*(IF(BaleMover[[#This Row],[Scenario_ID]]="S0",-2,0)+INDEX(BalePrices[High],MATCH(BaleMover[[#This Row],[Bale_ID]],BalePrices[Bale_ID],0))),0))</f>
        <v>0</v>
      </c>
    </row>
    <row r="383" spans="2:25" x14ac:dyDescent="0.2">
      <c r="B383" s="545" t="s">
        <v>873</v>
      </c>
      <c r="C383" s="499" t="s">
        <v>727</v>
      </c>
      <c r="D383" s="499"/>
      <c r="E383" s="499"/>
      <c r="F383" s="499" t="s">
        <v>1995</v>
      </c>
      <c r="G383" s="499" t="s">
        <v>2095</v>
      </c>
      <c r="H383" s="499" t="s">
        <v>1549</v>
      </c>
      <c r="I383" s="499" t="s">
        <v>1014</v>
      </c>
      <c r="J383" s="499" t="s">
        <v>1893</v>
      </c>
      <c r="K383" s="499" t="s">
        <v>2096</v>
      </c>
      <c r="L383" s="499">
        <v>8</v>
      </c>
      <c r="M383" s="499" t="s">
        <v>2104</v>
      </c>
      <c r="N383" s="499" t="s">
        <v>2068</v>
      </c>
      <c r="O383" s="525">
        <v>0</v>
      </c>
      <c r="P383" s="499" t="s">
        <v>2054</v>
      </c>
      <c r="Q383" s="499"/>
      <c r="R383" s="499"/>
      <c r="S383" s="525"/>
      <c r="T383" s="525">
        <v>0</v>
      </c>
      <c r="U383" s="525">
        <v>1</v>
      </c>
      <c r="V383" s="525" t="s">
        <v>2054</v>
      </c>
      <c r="W383" s="589">
        <f>IF(AND(BaleMover[[#This Row],[Scenario_ID]]="S3",BaleMover[[#This Row],[MRF_ID]]="05"),0,IFERROR(BaleMover[[#This Row],[Total_Baled_tons]]*(IF(BaleMover[[#This Row],[Scenario_ID]]="S0",-2,0)+INDEX(BalePrices[Low],MATCH(BaleMover[[#This Row],[Bale_ID]],BalePrices[Bale_ID],0))),0))</f>
        <v>0</v>
      </c>
      <c r="X383" s="397">
        <f>IF(AND(BaleMover[[#This Row],[Scenario_ID]]="S3",BaleMover[[#This Row],[MRF_ID]]="05"),0,IFERROR(BaleMover[[#This Row],[Total_Baled_tons]]*(IF(BaleMover[[#This Row],[Scenario_ID]]="S0",-2,0)+INDEX(BalePrices[Mid-Point],MATCH(BaleMover[[#This Row],[Bale_ID]],BalePrices[Bale_ID],0))),0))</f>
        <v>0</v>
      </c>
      <c r="Y383" s="397">
        <f>IF(AND(BaleMover[[#This Row],[Scenario_ID]]="S3",BaleMover[[#This Row],[MRF_ID]]="05"),0,IFERROR(BaleMover[[#This Row],[Total_Baled_tons]]*(IF(BaleMover[[#This Row],[Scenario_ID]]="S0",-2,0)+INDEX(BalePrices[High],MATCH(BaleMover[[#This Row],[Bale_ID]],BalePrices[Bale_ID],0))),0))</f>
        <v>0</v>
      </c>
    </row>
    <row r="384" spans="2:25" x14ac:dyDescent="0.2">
      <c r="B384" s="545" t="s">
        <v>874</v>
      </c>
      <c r="C384" s="499" t="s">
        <v>727</v>
      </c>
      <c r="D384" s="499"/>
      <c r="E384" s="499"/>
      <c r="F384" s="499" t="s">
        <v>1995</v>
      </c>
      <c r="G384" s="499" t="s">
        <v>2094</v>
      </c>
      <c r="H384" s="499" t="s">
        <v>1550</v>
      </c>
      <c r="I384" s="499" t="s">
        <v>1015</v>
      </c>
      <c r="J384" s="499" t="s">
        <v>1016</v>
      </c>
      <c r="K384" s="499" t="s">
        <v>2076</v>
      </c>
      <c r="L384" s="499">
        <v>1</v>
      </c>
      <c r="M384" s="499" t="s">
        <v>2086</v>
      </c>
      <c r="N384" s="499" t="s">
        <v>2066</v>
      </c>
      <c r="O384" s="525">
        <v>0</v>
      </c>
      <c r="P384" s="499" t="s">
        <v>2054</v>
      </c>
      <c r="Q384" s="499"/>
      <c r="R384" s="499"/>
      <c r="S384" s="525"/>
      <c r="T384" s="525">
        <v>0</v>
      </c>
      <c r="U384" s="525">
        <v>1</v>
      </c>
      <c r="V384" s="525" t="s">
        <v>2054</v>
      </c>
      <c r="W384" s="589">
        <f>IF(AND(BaleMover[[#This Row],[Scenario_ID]]="S3",BaleMover[[#This Row],[MRF_ID]]="05"),0,IFERROR(BaleMover[[#This Row],[Total_Baled_tons]]*(IF(BaleMover[[#This Row],[Scenario_ID]]="S0",-2,0)+INDEX(BalePrices[Low],MATCH(BaleMover[[#This Row],[Bale_ID]],BalePrices[Bale_ID],0))),0))</f>
        <v>0</v>
      </c>
      <c r="X384" s="397">
        <f>IF(AND(BaleMover[[#This Row],[Scenario_ID]]="S3",BaleMover[[#This Row],[MRF_ID]]="05"),0,IFERROR(BaleMover[[#This Row],[Total_Baled_tons]]*(IF(BaleMover[[#This Row],[Scenario_ID]]="S0",-2,0)+INDEX(BalePrices[Mid-Point],MATCH(BaleMover[[#This Row],[Bale_ID]],BalePrices[Bale_ID],0))),0))</f>
        <v>0</v>
      </c>
      <c r="Y384" s="397">
        <f>IF(AND(BaleMover[[#This Row],[Scenario_ID]]="S3",BaleMover[[#This Row],[MRF_ID]]="05"),0,IFERROR(BaleMover[[#This Row],[Total_Baled_tons]]*(IF(BaleMover[[#This Row],[Scenario_ID]]="S0",-2,0)+INDEX(BalePrices[High],MATCH(BaleMover[[#This Row],[Bale_ID]],BalePrices[Bale_ID],0))),0))</f>
        <v>0</v>
      </c>
    </row>
    <row r="385" spans="2:25" x14ac:dyDescent="0.2">
      <c r="B385" s="545" t="s">
        <v>873</v>
      </c>
      <c r="C385" s="499" t="s">
        <v>727</v>
      </c>
      <c r="D385" s="499"/>
      <c r="E385" s="499"/>
      <c r="F385" s="499" t="s">
        <v>1995</v>
      </c>
      <c r="G385" s="499" t="s">
        <v>2095</v>
      </c>
      <c r="H385" s="499" t="s">
        <v>1551</v>
      </c>
      <c r="I385" s="499" t="s">
        <v>1015</v>
      </c>
      <c r="J385" s="499" t="s">
        <v>1016</v>
      </c>
      <c r="K385" s="499" t="s">
        <v>2096</v>
      </c>
      <c r="L385" s="499">
        <v>19</v>
      </c>
      <c r="M385" s="499" t="s">
        <v>2107</v>
      </c>
      <c r="N385" s="499" t="s">
        <v>2108</v>
      </c>
      <c r="O385" s="525">
        <v>0</v>
      </c>
      <c r="P385" s="499" t="s">
        <v>2054</v>
      </c>
      <c r="Q385" s="499"/>
      <c r="R385" s="499"/>
      <c r="S385" s="525"/>
      <c r="T385" s="525">
        <v>0</v>
      </c>
      <c r="U385" s="525">
        <v>1</v>
      </c>
      <c r="V385" s="525" t="s">
        <v>2054</v>
      </c>
      <c r="W385" s="589">
        <f>IF(AND(BaleMover[[#This Row],[Scenario_ID]]="S3",BaleMover[[#This Row],[MRF_ID]]="05"),0,IFERROR(BaleMover[[#This Row],[Total_Baled_tons]]*(IF(BaleMover[[#This Row],[Scenario_ID]]="S0",-2,0)+INDEX(BalePrices[Low],MATCH(BaleMover[[#This Row],[Bale_ID]],BalePrices[Bale_ID],0))),0))</f>
        <v>0</v>
      </c>
      <c r="X385" s="397">
        <f>IF(AND(BaleMover[[#This Row],[Scenario_ID]]="S3",BaleMover[[#This Row],[MRF_ID]]="05"),0,IFERROR(BaleMover[[#This Row],[Total_Baled_tons]]*(IF(BaleMover[[#This Row],[Scenario_ID]]="S0",-2,0)+INDEX(BalePrices[Mid-Point],MATCH(BaleMover[[#This Row],[Bale_ID]],BalePrices[Bale_ID],0))),0))</f>
        <v>0</v>
      </c>
      <c r="Y385" s="397">
        <f>IF(AND(BaleMover[[#This Row],[Scenario_ID]]="S3",BaleMover[[#This Row],[MRF_ID]]="05"),0,IFERROR(BaleMover[[#This Row],[Total_Baled_tons]]*(IF(BaleMover[[#This Row],[Scenario_ID]]="S0",-2,0)+INDEX(BalePrices[High],MATCH(BaleMover[[#This Row],[Bale_ID]],BalePrices[Bale_ID],0))),0))</f>
        <v>0</v>
      </c>
    </row>
    <row r="386" spans="2:25" x14ac:dyDescent="0.2">
      <c r="B386" s="545" t="s">
        <v>874</v>
      </c>
      <c r="C386" s="499" t="s">
        <v>727</v>
      </c>
      <c r="D386" s="499"/>
      <c r="E386" s="499"/>
      <c r="F386" s="499" t="s">
        <v>1995</v>
      </c>
      <c r="G386" s="499" t="s">
        <v>2094</v>
      </c>
      <c r="H386" s="499" t="s">
        <v>1552</v>
      </c>
      <c r="I386" s="499" t="s">
        <v>1017</v>
      </c>
      <c r="J386" s="499" t="s">
        <v>1018</v>
      </c>
      <c r="K386" s="499" t="s">
        <v>2076</v>
      </c>
      <c r="L386" s="499">
        <v>11</v>
      </c>
      <c r="M386" s="499" t="s">
        <v>2084</v>
      </c>
      <c r="N386" s="499" t="s">
        <v>2064</v>
      </c>
      <c r="O386" s="525">
        <v>3.4491239163346901</v>
      </c>
      <c r="P386" s="499">
        <v>960</v>
      </c>
      <c r="Q386" s="499"/>
      <c r="R386" s="499"/>
      <c r="S386" s="525"/>
      <c r="T386" s="525">
        <v>0</v>
      </c>
      <c r="U386" s="525">
        <v>1</v>
      </c>
      <c r="V386" s="525">
        <v>3311.1589596813023</v>
      </c>
      <c r="W386" s="589">
        <f>IF(AND(BaleMover[[#This Row],[Scenario_ID]]="S3",BaleMover[[#This Row],[MRF_ID]]="05"),0,IFERROR(BaleMover[[#This Row],[Total_Baled_tons]]*(IF(BaleMover[[#This Row],[Scenario_ID]]="S0",-2,0)+INDEX(BalePrices[Low],MATCH(BaleMover[[#This Row],[Bale_ID]],BalePrices[Bale_ID],0))),0))</f>
        <v>3794.0363079681592</v>
      </c>
      <c r="X386" s="397">
        <f>IF(AND(BaleMover[[#This Row],[Scenario_ID]]="S3",BaleMover[[#This Row],[MRF_ID]]="05"),0,IFERROR(BaleMover[[#This Row],[Total_Baled_tons]]*(IF(BaleMover[[#This Row],[Scenario_ID]]="S0",-2,0)+INDEX(BalePrices[Mid-Point],MATCH(BaleMover[[#This Row],[Bale_ID]],BalePrices[Bale_ID],0))),0))</f>
        <v>4570.089189143464</v>
      </c>
      <c r="Y386" s="397">
        <f>IF(AND(BaleMover[[#This Row],[Scenario_ID]]="S3",BaleMover[[#This Row],[MRF_ID]]="05"),0,IFERROR(BaleMover[[#This Row],[Total_Baled_tons]]*(IF(BaleMover[[#This Row],[Scenario_ID]]="S0",-2,0)+INDEX(BalePrices[High],MATCH(BaleMover[[#This Row],[Bale_ID]],BalePrices[Bale_ID],0))),0))</f>
        <v>5346.1420703187696</v>
      </c>
    </row>
    <row r="387" spans="2:25" x14ac:dyDescent="0.2">
      <c r="B387" s="545" t="s">
        <v>873</v>
      </c>
      <c r="C387" s="499" t="s">
        <v>727</v>
      </c>
      <c r="D387" s="499"/>
      <c r="E387" s="499"/>
      <c r="F387" s="499" t="s">
        <v>1995</v>
      </c>
      <c r="G387" s="499" t="s">
        <v>2095</v>
      </c>
      <c r="H387" s="499" t="s">
        <v>1553</v>
      </c>
      <c r="I387" s="499" t="s">
        <v>1017</v>
      </c>
      <c r="J387" s="499" t="s">
        <v>1018</v>
      </c>
      <c r="K387" s="499" t="s">
        <v>2096</v>
      </c>
      <c r="L387" s="499">
        <v>11</v>
      </c>
      <c r="M387" s="499" t="s">
        <v>2109</v>
      </c>
      <c r="N387" s="499" t="s">
        <v>2064</v>
      </c>
      <c r="O387" s="525">
        <v>3.9336219287667697</v>
      </c>
      <c r="P387" s="499">
        <v>1270</v>
      </c>
      <c r="Q387" s="499"/>
      <c r="R387" s="499"/>
      <c r="S387" s="525"/>
      <c r="T387" s="525">
        <v>0</v>
      </c>
      <c r="U387" s="525">
        <v>1</v>
      </c>
      <c r="V387" s="525">
        <v>4995.6998495337975</v>
      </c>
      <c r="W387" s="589">
        <f>IF(AND(BaleMover[[#This Row],[Scenario_ID]]="S3",BaleMover[[#This Row],[MRF_ID]]="05"),0,IFERROR(BaleMover[[#This Row],[Total_Baled_tons]]*(IF(BaleMover[[#This Row],[Scenario_ID]]="S0",-2,0)+INDEX(BalePrices[Low],MATCH(BaleMover[[#This Row],[Bale_ID]],BalePrices[Bale_ID],0))),0))</f>
        <v>0</v>
      </c>
      <c r="X387" s="397">
        <f>IF(AND(BaleMover[[#This Row],[Scenario_ID]]="S3",BaleMover[[#This Row],[MRF_ID]]="05"),0,IFERROR(BaleMover[[#This Row],[Total_Baled_tons]]*(IF(BaleMover[[#This Row],[Scenario_ID]]="S0",-2,0)+INDEX(BalePrices[Mid-Point],MATCH(BaleMover[[#This Row],[Bale_ID]],BalePrices[Bale_ID],0))),0))</f>
        <v>0</v>
      </c>
      <c r="Y387" s="397">
        <f>IF(AND(BaleMover[[#This Row],[Scenario_ID]]="S3",BaleMover[[#This Row],[MRF_ID]]="05"),0,IFERROR(BaleMover[[#This Row],[Total_Baled_tons]]*(IF(BaleMover[[#This Row],[Scenario_ID]]="S0",-2,0)+INDEX(BalePrices[High],MATCH(BaleMover[[#This Row],[Bale_ID]],BalePrices[Bale_ID],0))),0))</f>
        <v>0</v>
      </c>
    </row>
    <row r="388" spans="2:25" x14ac:dyDescent="0.2">
      <c r="B388" s="545" t="s">
        <v>874</v>
      </c>
      <c r="C388" s="499" t="s">
        <v>727</v>
      </c>
      <c r="D388" s="499"/>
      <c r="E388" s="499"/>
      <c r="F388" s="499" t="s">
        <v>1995</v>
      </c>
      <c r="G388" s="499" t="s">
        <v>2094</v>
      </c>
      <c r="H388" s="499" t="s">
        <v>1554</v>
      </c>
      <c r="I388" s="499" t="s">
        <v>1019</v>
      </c>
      <c r="J388" s="499" t="s">
        <v>1020</v>
      </c>
      <c r="K388" s="499" t="s">
        <v>2076</v>
      </c>
      <c r="L388" s="499">
        <v>1</v>
      </c>
      <c r="M388" s="499" t="s">
        <v>2086</v>
      </c>
      <c r="N388" s="499" t="s">
        <v>2066</v>
      </c>
      <c r="O388" s="525">
        <v>0</v>
      </c>
      <c r="P388" s="499" t="s">
        <v>2054</v>
      </c>
      <c r="Q388" s="499"/>
      <c r="R388" s="499"/>
      <c r="S388" s="525"/>
      <c r="T388" s="525">
        <v>0</v>
      </c>
      <c r="U388" s="525">
        <v>1</v>
      </c>
      <c r="V388" s="525" t="s">
        <v>2054</v>
      </c>
      <c r="W388" s="589">
        <f>IF(AND(BaleMover[[#This Row],[Scenario_ID]]="S3",BaleMover[[#This Row],[MRF_ID]]="05"),0,IFERROR(BaleMover[[#This Row],[Total_Baled_tons]]*(IF(BaleMover[[#This Row],[Scenario_ID]]="S0",-2,0)+INDEX(BalePrices[Low],MATCH(BaleMover[[#This Row],[Bale_ID]],BalePrices[Bale_ID],0))),0))</f>
        <v>0</v>
      </c>
      <c r="X388" s="397">
        <f>IF(AND(BaleMover[[#This Row],[Scenario_ID]]="S3",BaleMover[[#This Row],[MRF_ID]]="05"),0,IFERROR(BaleMover[[#This Row],[Total_Baled_tons]]*(IF(BaleMover[[#This Row],[Scenario_ID]]="S0",-2,0)+INDEX(BalePrices[Mid-Point],MATCH(BaleMover[[#This Row],[Bale_ID]],BalePrices[Bale_ID],0))),0))</f>
        <v>0</v>
      </c>
      <c r="Y388" s="397">
        <f>IF(AND(BaleMover[[#This Row],[Scenario_ID]]="S3",BaleMover[[#This Row],[MRF_ID]]="05"),0,IFERROR(BaleMover[[#This Row],[Total_Baled_tons]]*(IF(BaleMover[[#This Row],[Scenario_ID]]="S0",-2,0)+INDEX(BalePrices[High],MATCH(BaleMover[[#This Row],[Bale_ID]],BalePrices[Bale_ID],0))),0))</f>
        <v>0</v>
      </c>
    </row>
    <row r="389" spans="2:25" x14ac:dyDescent="0.2">
      <c r="B389" s="545" t="s">
        <v>873</v>
      </c>
      <c r="C389" s="499" t="s">
        <v>727</v>
      </c>
      <c r="D389" s="499"/>
      <c r="E389" s="499"/>
      <c r="F389" s="499" t="s">
        <v>1995</v>
      </c>
      <c r="G389" s="499" t="s">
        <v>2095</v>
      </c>
      <c r="H389" s="499" t="s">
        <v>1555</v>
      </c>
      <c r="I389" s="499" t="s">
        <v>1019</v>
      </c>
      <c r="J389" s="499" t="s">
        <v>1020</v>
      </c>
      <c r="K389" s="499" t="s">
        <v>2096</v>
      </c>
      <c r="L389" s="499">
        <v>17</v>
      </c>
      <c r="M389" s="499" t="s">
        <v>2110</v>
      </c>
      <c r="N389" s="499" t="s">
        <v>2111</v>
      </c>
      <c r="O389" s="525">
        <v>0</v>
      </c>
      <c r="P389" s="499" t="s">
        <v>2054</v>
      </c>
      <c r="Q389" s="499"/>
      <c r="R389" s="499"/>
      <c r="S389" s="525"/>
      <c r="T389" s="525">
        <v>0</v>
      </c>
      <c r="U389" s="525">
        <v>1</v>
      </c>
      <c r="V389" s="525" t="s">
        <v>2054</v>
      </c>
      <c r="W389" s="589">
        <f>IF(AND(BaleMover[[#This Row],[Scenario_ID]]="S3",BaleMover[[#This Row],[MRF_ID]]="05"),0,IFERROR(BaleMover[[#This Row],[Total_Baled_tons]]*(IF(BaleMover[[#This Row],[Scenario_ID]]="S0",-2,0)+INDEX(BalePrices[Low],MATCH(BaleMover[[#This Row],[Bale_ID]],BalePrices[Bale_ID],0))),0))</f>
        <v>0</v>
      </c>
      <c r="X389" s="397">
        <f>IF(AND(BaleMover[[#This Row],[Scenario_ID]]="S3",BaleMover[[#This Row],[MRF_ID]]="05"),0,IFERROR(BaleMover[[#This Row],[Total_Baled_tons]]*(IF(BaleMover[[#This Row],[Scenario_ID]]="S0",-2,0)+INDEX(BalePrices[Mid-Point],MATCH(BaleMover[[#This Row],[Bale_ID]],BalePrices[Bale_ID],0))),0))</f>
        <v>0</v>
      </c>
      <c r="Y389" s="397">
        <f>IF(AND(BaleMover[[#This Row],[Scenario_ID]]="S3",BaleMover[[#This Row],[MRF_ID]]="05"),0,IFERROR(BaleMover[[#This Row],[Total_Baled_tons]]*(IF(BaleMover[[#This Row],[Scenario_ID]]="S0",-2,0)+INDEX(BalePrices[High],MATCH(BaleMover[[#This Row],[Bale_ID]],BalePrices[Bale_ID],0))),0))</f>
        <v>0</v>
      </c>
    </row>
    <row r="390" spans="2:25" x14ac:dyDescent="0.2">
      <c r="B390" s="545" t="s">
        <v>874</v>
      </c>
      <c r="C390" s="499" t="s">
        <v>727</v>
      </c>
      <c r="D390" s="499"/>
      <c r="E390" s="499"/>
      <c r="F390" s="499" t="s">
        <v>1995</v>
      </c>
      <c r="G390" s="499" t="s">
        <v>2094</v>
      </c>
      <c r="H390" s="499" t="s">
        <v>1556</v>
      </c>
      <c r="I390" s="499" t="s">
        <v>1021</v>
      </c>
      <c r="J390" s="499" t="s">
        <v>751</v>
      </c>
      <c r="K390" s="499" t="s">
        <v>2076</v>
      </c>
      <c r="L390" s="499">
        <v>20</v>
      </c>
      <c r="M390" s="499" t="s">
        <v>2089</v>
      </c>
      <c r="N390" s="499" t="s">
        <v>2074</v>
      </c>
      <c r="O390" s="525">
        <v>9.4613966647283156</v>
      </c>
      <c r="P390" s="499">
        <v>45</v>
      </c>
      <c r="Q390" s="499"/>
      <c r="R390" s="499"/>
      <c r="S390" s="525"/>
      <c r="T390" s="525">
        <v>0</v>
      </c>
      <c r="U390" s="525">
        <v>1</v>
      </c>
      <c r="V390" s="525">
        <v>425.76284991277419</v>
      </c>
      <c r="W390" s="589">
        <f>IF(AND(BaleMover[[#This Row],[Scenario_ID]]="S3",BaleMover[[#This Row],[MRF_ID]]="05"),0,IFERROR(BaleMover[[#This Row],[Total_Baled_tons]]*(IF(BaleMover[[#This Row],[Scenario_ID]]="S0",-2,0)+INDEX(BalePrices[Low],MATCH(BaleMover[[#This Row],[Bale_ID]],BalePrices[Bale_ID],0))),0))</f>
        <v>756.91173317826519</v>
      </c>
      <c r="X390" s="397">
        <f>IF(AND(BaleMover[[#This Row],[Scenario_ID]]="S3",BaleMover[[#This Row],[MRF_ID]]="05"),0,IFERROR(BaleMover[[#This Row],[Total_Baled_tons]]*(IF(BaleMover[[#This Row],[Scenario_ID]]="S0",-2,0)+INDEX(BalePrices[Mid-Point],MATCH(BaleMover[[#This Row],[Bale_ID]],BalePrices[Bale_ID],0))),0))</f>
        <v>1135.3675997673979</v>
      </c>
      <c r="Y390" s="397">
        <f>IF(AND(BaleMover[[#This Row],[Scenario_ID]]="S3",BaleMover[[#This Row],[MRF_ID]]="05"),0,IFERROR(BaleMover[[#This Row],[Total_Baled_tons]]*(IF(BaleMover[[#This Row],[Scenario_ID]]="S0",-2,0)+INDEX(BalePrices[High],MATCH(BaleMover[[#This Row],[Bale_ID]],BalePrices[Bale_ID],0))),0))</f>
        <v>1513.8234663565304</v>
      </c>
    </row>
    <row r="391" spans="2:25" x14ac:dyDescent="0.2">
      <c r="B391" s="545" t="s">
        <v>873</v>
      </c>
      <c r="C391" s="499" t="s">
        <v>727</v>
      </c>
      <c r="D391" s="499"/>
      <c r="E391" s="499"/>
      <c r="F391" s="499" t="s">
        <v>1995</v>
      </c>
      <c r="G391" s="499" t="s">
        <v>2095</v>
      </c>
      <c r="H391" s="499" t="s">
        <v>1557</v>
      </c>
      <c r="I391" s="499" t="s">
        <v>1021</v>
      </c>
      <c r="J391" s="499" t="s">
        <v>751</v>
      </c>
      <c r="K391" s="499" t="s">
        <v>2096</v>
      </c>
      <c r="L391" s="499">
        <v>17</v>
      </c>
      <c r="M391" s="499" t="s">
        <v>2110</v>
      </c>
      <c r="N391" s="499" t="s">
        <v>2111</v>
      </c>
      <c r="O391" s="525">
        <v>10.892189614625305</v>
      </c>
      <c r="P391" s="499">
        <v>20</v>
      </c>
      <c r="Q391" s="499"/>
      <c r="R391" s="499"/>
      <c r="S391" s="525"/>
      <c r="T391" s="525">
        <v>0</v>
      </c>
      <c r="U391" s="525">
        <v>1</v>
      </c>
      <c r="V391" s="525">
        <v>217.84379229250612</v>
      </c>
      <c r="W391" s="589">
        <f>IF(AND(BaleMover[[#This Row],[Scenario_ID]]="S3",BaleMover[[#This Row],[MRF_ID]]="05"),0,IFERROR(BaleMover[[#This Row],[Total_Baled_tons]]*(IF(BaleMover[[#This Row],[Scenario_ID]]="S0",-2,0)+INDEX(BalePrices[Low],MATCH(BaleMover[[#This Row],[Bale_ID]],BalePrices[Bale_ID],0))),0))</f>
        <v>0</v>
      </c>
      <c r="X391" s="397">
        <f>IF(AND(BaleMover[[#This Row],[Scenario_ID]]="S3",BaleMover[[#This Row],[MRF_ID]]="05"),0,IFERROR(BaleMover[[#This Row],[Total_Baled_tons]]*(IF(BaleMover[[#This Row],[Scenario_ID]]="S0",-2,0)+INDEX(BalePrices[Mid-Point],MATCH(BaleMover[[#This Row],[Bale_ID]],BalePrices[Bale_ID],0))),0))</f>
        <v>0</v>
      </c>
      <c r="Y391" s="397">
        <f>IF(AND(BaleMover[[#This Row],[Scenario_ID]]="S3",BaleMover[[#This Row],[MRF_ID]]="05"),0,IFERROR(BaleMover[[#This Row],[Total_Baled_tons]]*(IF(BaleMover[[#This Row],[Scenario_ID]]="S0",-2,0)+INDEX(BalePrices[High],MATCH(BaleMover[[#This Row],[Bale_ID]],BalePrices[Bale_ID],0))),0))</f>
        <v>0</v>
      </c>
    </row>
    <row r="392" spans="2:25" x14ac:dyDescent="0.2">
      <c r="B392" s="545" t="s">
        <v>870</v>
      </c>
      <c r="C392" s="499" t="s">
        <v>735</v>
      </c>
      <c r="D392" s="499"/>
      <c r="E392" s="499"/>
      <c r="F392" s="499" t="s">
        <v>1996</v>
      </c>
      <c r="G392" s="499" t="s">
        <v>2112</v>
      </c>
      <c r="H392" s="499" t="s">
        <v>1558</v>
      </c>
      <c r="I392" s="499" t="s">
        <v>969</v>
      </c>
      <c r="J392" s="499" t="s">
        <v>970</v>
      </c>
      <c r="K392" s="499" t="s">
        <v>2076</v>
      </c>
      <c r="L392" s="499">
        <v>5</v>
      </c>
      <c r="M392" s="499" t="s">
        <v>2077</v>
      </c>
      <c r="N392" s="499" t="s">
        <v>2058</v>
      </c>
      <c r="O392" s="525">
        <v>132475.3476600821</v>
      </c>
      <c r="P392" s="499">
        <v>50</v>
      </c>
      <c r="Q392" s="499"/>
      <c r="R392" s="499"/>
      <c r="S392" s="525"/>
      <c r="T392" s="525">
        <v>0</v>
      </c>
      <c r="U392" s="525">
        <v>1</v>
      </c>
      <c r="V392" s="525">
        <v>6623767.3830041047</v>
      </c>
      <c r="W392" s="589">
        <f>IF(AND(BaleMover[[#This Row],[Scenario_ID]]="S3",BaleMover[[#This Row],[MRF_ID]]="05"),0,IFERROR(BaleMover[[#This Row],[Total_Baled_tons]]*(IF(BaleMover[[#This Row],[Scenario_ID]]="S0",-2,0)+INDEX(BalePrices[Low],MATCH(BaleMover[[#This Row],[Bale_ID]],BalePrices[Bale_ID],0))),0))</f>
        <v>3311883.6915020524</v>
      </c>
      <c r="X392" s="397">
        <f>IF(AND(BaleMover[[#This Row],[Scenario_ID]]="S3",BaleMover[[#This Row],[MRF_ID]]="05"),0,IFERROR(BaleMover[[#This Row],[Total_Baled_tons]]*(IF(BaleMover[[#This Row],[Scenario_ID]]="S0",-2,0)+INDEX(BalePrices[Mid-Point],MATCH(BaleMover[[#This Row],[Bale_ID]],BalePrices[Bale_ID],0))),0))</f>
        <v>11591592.920257185</v>
      </c>
      <c r="Y392" s="397">
        <f>IF(AND(BaleMover[[#This Row],[Scenario_ID]]="S3",BaleMover[[#This Row],[MRF_ID]]="05"),0,IFERROR(BaleMover[[#This Row],[Total_Baled_tons]]*(IF(BaleMover[[#This Row],[Scenario_ID]]="S0",-2,0)+INDEX(BalePrices[High],MATCH(BaleMover[[#This Row],[Bale_ID]],BalePrices[Bale_ID],0))),0))</f>
        <v>19871302.149012316</v>
      </c>
    </row>
    <row r="393" spans="2:25" x14ac:dyDescent="0.2">
      <c r="B393" s="545" t="s">
        <v>870</v>
      </c>
      <c r="C393" s="499" t="s">
        <v>735</v>
      </c>
      <c r="D393" s="499"/>
      <c r="E393" s="499"/>
      <c r="F393" s="499" t="s">
        <v>1996</v>
      </c>
      <c r="G393" s="499" t="s">
        <v>2112</v>
      </c>
      <c r="H393" s="499" t="s">
        <v>1559</v>
      </c>
      <c r="I393" s="499" t="s">
        <v>971</v>
      </c>
      <c r="J393" s="499" t="s">
        <v>972</v>
      </c>
      <c r="K393" s="499" t="s">
        <v>2076</v>
      </c>
      <c r="L393" s="499">
        <v>5</v>
      </c>
      <c r="M393" s="499" t="s">
        <v>2077</v>
      </c>
      <c r="N393" s="499" t="s">
        <v>2058</v>
      </c>
      <c r="O393" s="525">
        <v>0</v>
      </c>
      <c r="P393" s="499" t="s">
        <v>2054</v>
      </c>
      <c r="Q393" s="499"/>
      <c r="R393" s="499"/>
      <c r="S393" s="525"/>
      <c r="T393" s="525">
        <v>0</v>
      </c>
      <c r="U393" s="525">
        <v>1</v>
      </c>
      <c r="V393" s="525" t="s">
        <v>2054</v>
      </c>
      <c r="W393" s="589">
        <f>IF(AND(BaleMover[[#This Row],[Scenario_ID]]="S3",BaleMover[[#This Row],[MRF_ID]]="05"),0,IFERROR(BaleMover[[#This Row],[Total_Baled_tons]]*(IF(BaleMover[[#This Row],[Scenario_ID]]="S0",-2,0)+INDEX(BalePrices[Low],MATCH(BaleMover[[#This Row],[Bale_ID]],BalePrices[Bale_ID],0))),0))</f>
        <v>0</v>
      </c>
      <c r="X393" s="397">
        <f>IF(AND(BaleMover[[#This Row],[Scenario_ID]]="S3",BaleMover[[#This Row],[MRF_ID]]="05"),0,IFERROR(BaleMover[[#This Row],[Total_Baled_tons]]*(IF(BaleMover[[#This Row],[Scenario_ID]]="S0",-2,0)+INDEX(BalePrices[Mid-Point],MATCH(BaleMover[[#This Row],[Bale_ID]],BalePrices[Bale_ID],0))),0))</f>
        <v>0</v>
      </c>
      <c r="Y393" s="397">
        <f>IF(AND(BaleMover[[#This Row],[Scenario_ID]]="S3",BaleMover[[#This Row],[MRF_ID]]="05"),0,IFERROR(BaleMover[[#This Row],[Total_Baled_tons]]*(IF(BaleMover[[#This Row],[Scenario_ID]]="S0",-2,0)+INDEX(BalePrices[High],MATCH(BaleMover[[#This Row],[Bale_ID]],BalePrices[Bale_ID],0))),0))</f>
        <v>0</v>
      </c>
    </row>
    <row r="394" spans="2:25" x14ac:dyDescent="0.2">
      <c r="B394" s="545" t="s">
        <v>870</v>
      </c>
      <c r="C394" s="499" t="s">
        <v>735</v>
      </c>
      <c r="D394" s="499"/>
      <c r="E394" s="499"/>
      <c r="F394" s="499" t="s">
        <v>1996</v>
      </c>
      <c r="G394" s="499" t="s">
        <v>2112</v>
      </c>
      <c r="H394" s="499" t="s">
        <v>1560</v>
      </c>
      <c r="I394" s="499" t="s">
        <v>973</v>
      </c>
      <c r="J394" s="499" t="s">
        <v>974</v>
      </c>
      <c r="K394" s="499" t="s">
        <v>2076</v>
      </c>
      <c r="L394" s="499">
        <v>5</v>
      </c>
      <c r="M394" s="499" t="s">
        <v>2077</v>
      </c>
      <c r="N394" s="499" t="s">
        <v>2058</v>
      </c>
      <c r="O394" s="525">
        <v>55967.103243378508</v>
      </c>
      <c r="P394" s="499">
        <v>50</v>
      </c>
      <c r="Q394" s="499"/>
      <c r="R394" s="499"/>
      <c r="S394" s="525"/>
      <c r="T394" s="525">
        <v>0</v>
      </c>
      <c r="U394" s="525">
        <v>1</v>
      </c>
      <c r="V394" s="525">
        <v>2798355.1621689252</v>
      </c>
      <c r="W394" s="589">
        <f>IF(AND(BaleMover[[#This Row],[Scenario_ID]]="S3",BaleMover[[#This Row],[MRF_ID]]="05"),0,IFERROR(BaleMover[[#This Row],[Total_Baled_tons]]*(IF(BaleMover[[#This Row],[Scenario_ID]]="S0",-2,0)+INDEX(BalePrices[Low],MATCH(BaleMover[[#This Row],[Bale_ID]],BalePrices[Bale_ID],0))),0))</f>
        <v>279835.51621689252</v>
      </c>
      <c r="X394" s="397">
        <f>IF(AND(BaleMover[[#This Row],[Scenario_ID]]="S3",BaleMover[[#This Row],[MRF_ID]]="05"),0,IFERROR(BaleMover[[#This Row],[Total_Baled_tons]]*(IF(BaleMover[[#This Row],[Scenario_ID]]="S0",-2,0)+INDEX(BalePrices[Mid-Point],MATCH(BaleMover[[#This Row],[Bale_ID]],BalePrices[Bale_ID],0))),0))</f>
        <v>1818930.8554098015</v>
      </c>
      <c r="Y394" s="397">
        <f>IF(AND(BaleMover[[#This Row],[Scenario_ID]]="S3",BaleMover[[#This Row],[MRF_ID]]="05"),0,IFERROR(BaleMover[[#This Row],[Total_Baled_tons]]*(IF(BaleMover[[#This Row],[Scenario_ID]]="S0",-2,0)+INDEX(BalePrices[High],MATCH(BaleMover[[#This Row],[Bale_ID]],BalePrices[Bale_ID],0))),0))</f>
        <v>3358026.1946027107</v>
      </c>
    </row>
    <row r="395" spans="2:25" x14ac:dyDescent="0.2">
      <c r="B395" s="545" t="s">
        <v>870</v>
      </c>
      <c r="C395" s="499" t="s">
        <v>735</v>
      </c>
      <c r="D395" s="499"/>
      <c r="E395" s="499"/>
      <c r="F395" s="499" t="s">
        <v>1996</v>
      </c>
      <c r="G395" s="499" t="s">
        <v>2112</v>
      </c>
      <c r="H395" s="499" t="s">
        <v>1561</v>
      </c>
      <c r="I395" s="499" t="s">
        <v>975</v>
      </c>
      <c r="J395" s="499" t="s">
        <v>976</v>
      </c>
      <c r="K395" s="499" t="s">
        <v>2076</v>
      </c>
      <c r="L395" s="499">
        <v>7</v>
      </c>
      <c r="M395" s="499" t="s">
        <v>2081</v>
      </c>
      <c r="N395" s="499" t="s">
        <v>2056</v>
      </c>
      <c r="O395" s="525">
        <v>0</v>
      </c>
      <c r="P395" s="499" t="s">
        <v>2054</v>
      </c>
      <c r="Q395" s="499"/>
      <c r="R395" s="499"/>
      <c r="S395" s="525"/>
      <c r="T395" s="525">
        <v>0</v>
      </c>
      <c r="U395" s="525">
        <v>1</v>
      </c>
      <c r="V395" s="525" t="s">
        <v>2054</v>
      </c>
      <c r="W395" s="589">
        <f>IF(AND(BaleMover[[#This Row],[Scenario_ID]]="S3",BaleMover[[#This Row],[MRF_ID]]="05"),0,IFERROR(BaleMover[[#This Row],[Total_Baled_tons]]*(IF(BaleMover[[#This Row],[Scenario_ID]]="S0",-2,0)+INDEX(BalePrices[Low],MATCH(BaleMover[[#This Row],[Bale_ID]],BalePrices[Bale_ID],0))),0))</f>
        <v>0</v>
      </c>
      <c r="X395" s="397">
        <f>IF(AND(BaleMover[[#This Row],[Scenario_ID]]="S3",BaleMover[[#This Row],[MRF_ID]]="05"),0,IFERROR(BaleMover[[#This Row],[Total_Baled_tons]]*(IF(BaleMover[[#This Row],[Scenario_ID]]="S0",-2,0)+INDEX(BalePrices[Mid-Point],MATCH(BaleMover[[#This Row],[Bale_ID]],BalePrices[Bale_ID],0))),0))</f>
        <v>0</v>
      </c>
      <c r="Y395" s="397">
        <f>IF(AND(BaleMover[[#This Row],[Scenario_ID]]="S3",BaleMover[[#This Row],[MRF_ID]]="05"),0,IFERROR(BaleMover[[#This Row],[Total_Baled_tons]]*(IF(BaleMover[[#This Row],[Scenario_ID]]="S0",-2,0)+INDEX(BalePrices[High],MATCH(BaleMover[[#This Row],[Bale_ID]],BalePrices[Bale_ID],0))),0))</f>
        <v>0</v>
      </c>
    </row>
    <row r="396" spans="2:25" x14ac:dyDescent="0.2">
      <c r="B396" s="545" t="s">
        <v>870</v>
      </c>
      <c r="C396" s="499" t="s">
        <v>735</v>
      </c>
      <c r="D396" s="499"/>
      <c r="E396" s="499"/>
      <c r="F396" s="499" t="s">
        <v>1996</v>
      </c>
      <c r="G396" s="499" t="s">
        <v>2112</v>
      </c>
      <c r="H396" s="499" t="s">
        <v>1562</v>
      </c>
      <c r="I396" s="499" t="s">
        <v>977</v>
      </c>
      <c r="J396" s="499" t="s">
        <v>864</v>
      </c>
      <c r="K396" s="499" t="s">
        <v>2076</v>
      </c>
      <c r="L396" s="499">
        <v>5</v>
      </c>
      <c r="M396" s="499" t="s">
        <v>2077</v>
      </c>
      <c r="N396" s="499" t="s">
        <v>2058</v>
      </c>
      <c r="O396" s="525">
        <v>36277.41154736626</v>
      </c>
      <c r="P396" s="499">
        <v>50</v>
      </c>
      <c r="Q396" s="499"/>
      <c r="R396" s="499"/>
      <c r="S396" s="525"/>
      <c r="T396" s="525">
        <v>0</v>
      </c>
      <c r="U396" s="525">
        <v>1</v>
      </c>
      <c r="V396" s="525">
        <v>1813870.577368313</v>
      </c>
      <c r="W396" s="589">
        <f>IF(AND(BaleMover[[#This Row],[Scenario_ID]]="S3",BaleMover[[#This Row],[MRF_ID]]="05"),0,IFERROR(BaleMover[[#This Row],[Total_Baled_tons]]*(IF(BaleMover[[#This Row],[Scenario_ID]]="S0",-2,0)+INDEX(BalePrices[Low],MATCH(BaleMover[[#This Row],[Bale_ID]],BalePrices[Bale_ID],0))),0))</f>
        <v>-725548.23094732524</v>
      </c>
      <c r="X396" s="397">
        <f>IF(AND(BaleMover[[#This Row],[Scenario_ID]]="S3",BaleMover[[#This Row],[MRF_ID]]="05"),0,IFERROR(BaleMover[[#This Row],[Total_Baled_tons]]*(IF(BaleMover[[#This Row],[Scenario_ID]]="S0",-2,0)+INDEX(BalePrices[Mid-Point],MATCH(BaleMover[[#This Row],[Bale_ID]],BalePrices[Bale_ID],0))),0))</f>
        <v>1813870.577368313</v>
      </c>
      <c r="Y396" s="397">
        <f>IF(AND(BaleMover[[#This Row],[Scenario_ID]]="S3",BaleMover[[#This Row],[MRF_ID]]="05"),0,IFERROR(BaleMover[[#This Row],[Total_Baled_tons]]*(IF(BaleMover[[#This Row],[Scenario_ID]]="S0",-2,0)+INDEX(BalePrices[High],MATCH(BaleMover[[#This Row],[Bale_ID]],BalePrices[Bale_ID],0))),0))</f>
        <v>4353289.385683951</v>
      </c>
    </row>
    <row r="397" spans="2:25" x14ac:dyDescent="0.2">
      <c r="B397" s="545" t="s">
        <v>870</v>
      </c>
      <c r="C397" s="499" t="s">
        <v>735</v>
      </c>
      <c r="D397" s="499"/>
      <c r="E397" s="499"/>
      <c r="F397" s="499" t="s">
        <v>1996</v>
      </c>
      <c r="G397" s="499" t="s">
        <v>2112</v>
      </c>
      <c r="H397" s="499" t="s">
        <v>1563</v>
      </c>
      <c r="I397" s="499" t="s">
        <v>978</v>
      </c>
      <c r="J397" s="499" t="s">
        <v>1892</v>
      </c>
      <c r="K397" s="499" t="s">
        <v>2076</v>
      </c>
      <c r="L397" s="499">
        <v>5</v>
      </c>
      <c r="M397" s="499" t="s">
        <v>2077</v>
      </c>
      <c r="N397" s="499" t="s">
        <v>2058</v>
      </c>
      <c r="O397" s="525">
        <v>0</v>
      </c>
      <c r="P397" s="499" t="s">
        <v>2054</v>
      </c>
      <c r="Q397" s="499"/>
      <c r="R397" s="499"/>
      <c r="S397" s="525"/>
      <c r="T397" s="525">
        <v>0</v>
      </c>
      <c r="U397" s="525">
        <v>1</v>
      </c>
      <c r="V397" s="525" t="s">
        <v>2054</v>
      </c>
      <c r="W397" s="589">
        <f>IF(AND(BaleMover[[#This Row],[Scenario_ID]]="S3",BaleMover[[#This Row],[MRF_ID]]="05"),0,IFERROR(BaleMover[[#This Row],[Total_Baled_tons]]*(IF(BaleMover[[#This Row],[Scenario_ID]]="S0",-2,0)+INDEX(BalePrices[Low],MATCH(BaleMover[[#This Row],[Bale_ID]],BalePrices[Bale_ID],0))),0))</f>
        <v>0</v>
      </c>
      <c r="X397" s="397">
        <f>IF(AND(BaleMover[[#This Row],[Scenario_ID]]="S3",BaleMover[[#This Row],[MRF_ID]]="05"),0,IFERROR(BaleMover[[#This Row],[Total_Baled_tons]]*(IF(BaleMover[[#This Row],[Scenario_ID]]="S0",-2,0)+INDEX(BalePrices[Mid-Point],MATCH(BaleMover[[#This Row],[Bale_ID]],BalePrices[Bale_ID],0))),0))</f>
        <v>0</v>
      </c>
      <c r="Y397" s="397">
        <f>IF(AND(BaleMover[[#This Row],[Scenario_ID]]="S3",BaleMover[[#This Row],[MRF_ID]]="05"),0,IFERROR(BaleMover[[#This Row],[Total_Baled_tons]]*(IF(BaleMover[[#This Row],[Scenario_ID]]="S0",-2,0)+INDEX(BalePrices[High],MATCH(BaleMover[[#This Row],[Bale_ID]],BalePrices[Bale_ID],0))),0))</f>
        <v>0</v>
      </c>
    </row>
    <row r="398" spans="2:25" x14ac:dyDescent="0.2">
      <c r="B398" s="545" t="s">
        <v>870</v>
      </c>
      <c r="C398" s="499" t="s">
        <v>735</v>
      </c>
      <c r="D398" s="499"/>
      <c r="E398" s="499"/>
      <c r="F398" s="499" t="s">
        <v>1996</v>
      </c>
      <c r="G398" s="499" t="s">
        <v>2112</v>
      </c>
      <c r="H398" s="499" t="s">
        <v>1564</v>
      </c>
      <c r="I398" s="499" t="s">
        <v>979</v>
      </c>
      <c r="J398" s="499" t="s">
        <v>980</v>
      </c>
      <c r="K398" s="499" t="s">
        <v>2076</v>
      </c>
      <c r="L398" s="499">
        <v>7</v>
      </c>
      <c r="M398" s="499" t="s">
        <v>2081</v>
      </c>
      <c r="N398" s="499" t="s">
        <v>2056</v>
      </c>
      <c r="O398" s="525">
        <v>0</v>
      </c>
      <c r="P398" s="499" t="s">
        <v>2054</v>
      </c>
      <c r="Q398" s="499"/>
      <c r="R398" s="499"/>
      <c r="S398" s="525"/>
      <c r="T398" s="525">
        <v>0</v>
      </c>
      <c r="U398" s="525">
        <v>1</v>
      </c>
      <c r="V398" s="525" t="s">
        <v>2054</v>
      </c>
      <c r="W398" s="589">
        <f>IF(AND(BaleMover[[#This Row],[Scenario_ID]]="S3",BaleMover[[#This Row],[MRF_ID]]="05"),0,IFERROR(BaleMover[[#This Row],[Total_Baled_tons]]*(IF(BaleMover[[#This Row],[Scenario_ID]]="S0",-2,0)+INDEX(BalePrices[Low],MATCH(BaleMover[[#This Row],[Bale_ID]],BalePrices[Bale_ID],0))),0))</f>
        <v>0</v>
      </c>
      <c r="X398" s="397">
        <f>IF(AND(BaleMover[[#This Row],[Scenario_ID]]="S3",BaleMover[[#This Row],[MRF_ID]]="05"),0,IFERROR(BaleMover[[#This Row],[Total_Baled_tons]]*(IF(BaleMover[[#This Row],[Scenario_ID]]="S0",-2,0)+INDEX(BalePrices[Mid-Point],MATCH(BaleMover[[#This Row],[Bale_ID]],BalePrices[Bale_ID],0))),0))</f>
        <v>0</v>
      </c>
      <c r="Y398" s="397">
        <f>IF(AND(BaleMover[[#This Row],[Scenario_ID]]="S3",BaleMover[[#This Row],[MRF_ID]]="05"),0,IFERROR(BaleMover[[#This Row],[Total_Baled_tons]]*(IF(BaleMover[[#This Row],[Scenario_ID]]="S0",-2,0)+INDEX(BalePrices[High],MATCH(BaleMover[[#This Row],[Bale_ID]],BalePrices[Bale_ID],0))),0))</f>
        <v>0</v>
      </c>
    </row>
    <row r="399" spans="2:25" x14ac:dyDescent="0.2">
      <c r="B399" s="545" t="s">
        <v>870</v>
      </c>
      <c r="C399" s="499" t="s">
        <v>735</v>
      </c>
      <c r="D399" s="499"/>
      <c r="E399" s="499"/>
      <c r="F399" s="499" t="s">
        <v>1996</v>
      </c>
      <c r="G399" s="499" t="s">
        <v>2112</v>
      </c>
      <c r="H399" s="499" t="s">
        <v>1565</v>
      </c>
      <c r="I399" s="499" t="s">
        <v>981</v>
      </c>
      <c r="J399" s="499" t="s">
        <v>3674</v>
      </c>
      <c r="K399" s="499" t="s">
        <v>2076</v>
      </c>
      <c r="L399" s="499">
        <v>13</v>
      </c>
      <c r="M399" s="499" t="s">
        <v>2082</v>
      </c>
      <c r="N399" s="499" t="s">
        <v>2060</v>
      </c>
      <c r="O399" s="525">
        <v>0</v>
      </c>
      <c r="P399" s="499" t="s">
        <v>2054</v>
      </c>
      <c r="Q399" s="499"/>
      <c r="R399" s="499"/>
      <c r="S399" s="525"/>
      <c r="T399" s="525">
        <v>0</v>
      </c>
      <c r="U399" s="525">
        <v>1</v>
      </c>
      <c r="V399" s="525" t="s">
        <v>2054</v>
      </c>
      <c r="W399" s="589">
        <f>IF(AND(BaleMover[[#This Row],[Scenario_ID]]="S3",BaleMover[[#This Row],[MRF_ID]]="05"),0,IFERROR(BaleMover[[#This Row],[Total_Baled_tons]]*(IF(BaleMover[[#This Row],[Scenario_ID]]="S0",-2,0)+INDEX(BalePrices[Low],MATCH(BaleMover[[#This Row],[Bale_ID]],BalePrices[Bale_ID],0))),0))</f>
        <v>0</v>
      </c>
      <c r="X399" s="397">
        <f>IF(AND(BaleMover[[#This Row],[Scenario_ID]]="S3",BaleMover[[#This Row],[MRF_ID]]="05"),0,IFERROR(BaleMover[[#This Row],[Total_Baled_tons]]*(IF(BaleMover[[#This Row],[Scenario_ID]]="S0",-2,0)+INDEX(BalePrices[Mid-Point],MATCH(BaleMover[[#This Row],[Bale_ID]],BalePrices[Bale_ID],0))),0))</f>
        <v>0</v>
      </c>
      <c r="Y399" s="397">
        <f>IF(AND(BaleMover[[#This Row],[Scenario_ID]]="S3",BaleMover[[#This Row],[MRF_ID]]="05"),0,IFERROR(BaleMover[[#This Row],[Total_Baled_tons]]*(IF(BaleMover[[#This Row],[Scenario_ID]]="S0",-2,0)+INDEX(BalePrices[High],MATCH(BaleMover[[#This Row],[Bale_ID]],BalePrices[Bale_ID],0))),0))</f>
        <v>0</v>
      </c>
    </row>
    <row r="400" spans="2:25" x14ac:dyDescent="0.2">
      <c r="B400" s="545" t="s">
        <v>870</v>
      </c>
      <c r="C400" s="499" t="s">
        <v>735</v>
      </c>
      <c r="D400" s="499"/>
      <c r="E400" s="499"/>
      <c r="F400" s="499" t="s">
        <v>1996</v>
      </c>
      <c r="G400" s="499" t="s">
        <v>2112</v>
      </c>
      <c r="H400" s="499" t="s">
        <v>1566</v>
      </c>
      <c r="I400" s="499" t="s">
        <v>982</v>
      </c>
      <c r="J400" s="499" t="s">
        <v>983</v>
      </c>
      <c r="K400" s="499" t="s">
        <v>2076</v>
      </c>
      <c r="L400" s="499">
        <v>3</v>
      </c>
      <c r="M400" s="499" t="s">
        <v>2113</v>
      </c>
      <c r="N400" s="499" t="s">
        <v>2114</v>
      </c>
      <c r="O400" s="525">
        <v>0</v>
      </c>
      <c r="P400" s="499" t="s">
        <v>2054</v>
      </c>
      <c r="Q400" s="499"/>
      <c r="R400" s="499"/>
      <c r="S400" s="525"/>
      <c r="T400" s="525">
        <v>0</v>
      </c>
      <c r="U400" s="525">
        <v>1</v>
      </c>
      <c r="V400" s="525" t="s">
        <v>2054</v>
      </c>
      <c r="W400" s="589">
        <f>IF(AND(BaleMover[[#This Row],[Scenario_ID]]="S3",BaleMover[[#This Row],[MRF_ID]]="05"),0,IFERROR(BaleMover[[#This Row],[Total_Baled_tons]]*(IF(BaleMover[[#This Row],[Scenario_ID]]="S0",-2,0)+INDEX(BalePrices[Low],MATCH(BaleMover[[#This Row],[Bale_ID]],BalePrices[Bale_ID],0))),0))</f>
        <v>0</v>
      </c>
      <c r="X400" s="397">
        <f>IF(AND(BaleMover[[#This Row],[Scenario_ID]]="S3",BaleMover[[#This Row],[MRF_ID]]="05"),0,IFERROR(BaleMover[[#This Row],[Total_Baled_tons]]*(IF(BaleMover[[#This Row],[Scenario_ID]]="S0",-2,0)+INDEX(BalePrices[Mid-Point],MATCH(BaleMover[[#This Row],[Bale_ID]],BalePrices[Bale_ID],0))),0))</f>
        <v>0</v>
      </c>
      <c r="Y400" s="397">
        <f>IF(AND(BaleMover[[#This Row],[Scenario_ID]]="S3",BaleMover[[#This Row],[MRF_ID]]="05"),0,IFERROR(BaleMover[[#This Row],[Total_Baled_tons]]*(IF(BaleMover[[#This Row],[Scenario_ID]]="S0",-2,0)+INDEX(BalePrices[High],MATCH(BaleMover[[#This Row],[Bale_ID]],BalePrices[Bale_ID],0))),0))</f>
        <v>0</v>
      </c>
    </row>
    <row r="401" spans="2:25" x14ac:dyDescent="0.2">
      <c r="B401" s="545" t="s">
        <v>870</v>
      </c>
      <c r="C401" s="499" t="s">
        <v>735</v>
      </c>
      <c r="D401" s="499"/>
      <c r="E401" s="499"/>
      <c r="F401" s="499" t="s">
        <v>1996</v>
      </c>
      <c r="G401" s="499" t="s">
        <v>2112</v>
      </c>
      <c r="H401" s="499" t="s">
        <v>1567</v>
      </c>
      <c r="I401" s="499" t="s">
        <v>984</v>
      </c>
      <c r="J401" s="499" t="s">
        <v>985</v>
      </c>
      <c r="K401" s="499" t="s">
        <v>2076</v>
      </c>
      <c r="L401" s="499">
        <v>11</v>
      </c>
      <c r="M401" s="499" t="s">
        <v>2084</v>
      </c>
      <c r="N401" s="499" t="s">
        <v>2064</v>
      </c>
      <c r="O401" s="525">
        <v>0</v>
      </c>
      <c r="P401" s="499" t="s">
        <v>2054</v>
      </c>
      <c r="Q401" s="499"/>
      <c r="R401" s="499"/>
      <c r="S401" s="525"/>
      <c r="T401" s="525">
        <v>0</v>
      </c>
      <c r="U401" s="525">
        <v>1</v>
      </c>
      <c r="V401" s="525" t="s">
        <v>2054</v>
      </c>
      <c r="W401" s="589">
        <f>IF(AND(BaleMover[[#This Row],[Scenario_ID]]="S3",BaleMover[[#This Row],[MRF_ID]]="05"),0,IFERROR(BaleMover[[#This Row],[Total_Baled_tons]]*(IF(BaleMover[[#This Row],[Scenario_ID]]="S0",-2,0)+INDEX(BalePrices[Low],MATCH(BaleMover[[#This Row],[Bale_ID]],BalePrices[Bale_ID],0))),0))</f>
        <v>0</v>
      </c>
      <c r="X401" s="397">
        <f>IF(AND(BaleMover[[#This Row],[Scenario_ID]]="S3",BaleMover[[#This Row],[MRF_ID]]="05"),0,IFERROR(BaleMover[[#This Row],[Total_Baled_tons]]*(IF(BaleMover[[#This Row],[Scenario_ID]]="S0",-2,0)+INDEX(BalePrices[Mid-Point],MATCH(BaleMover[[#This Row],[Bale_ID]],BalePrices[Bale_ID],0))),0))</f>
        <v>0</v>
      </c>
      <c r="Y401" s="397">
        <f>IF(AND(BaleMover[[#This Row],[Scenario_ID]]="S3",BaleMover[[#This Row],[MRF_ID]]="05"),0,IFERROR(BaleMover[[#This Row],[Total_Baled_tons]]*(IF(BaleMover[[#This Row],[Scenario_ID]]="S0",-2,0)+INDEX(BalePrices[High],MATCH(BaleMover[[#This Row],[Bale_ID]],BalePrices[Bale_ID],0))),0))</f>
        <v>0</v>
      </c>
    </row>
    <row r="402" spans="2:25" x14ac:dyDescent="0.2">
      <c r="B402" s="545" t="s">
        <v>870</v>
      </c>
      <c r="C402" s="499" t="s">
        <v>735</v>
      </c>
      <c r="D402" s="499"/>
      <c r="E402" s="499"/>
      <c r="F402" s="499" t="s">
        <v>1996</v>
      </c>
      <c r="G402" s="499" t="s">
        <v>2112</v>
      </c>
      <c r="H402" s="499" t="s">
        <v>1568</v>
      </c>
      <c r="I402" s="499" t="s">
        <v>986</v>
      </c>
      <c r="J402" s="499" t="s">
        <v>987</v>
      </c>
      <c r="K402" s="499" t="s">
        <v>2076</v>
      </c>
      <c r="L402" s="499">
        <v>8</v>
      </c>
      <c r="M402" s="499" t="s">
        <v>2085</v>
      </c>
      <c r="N402" s="499" t="s">
        <v>2068</v>
      </c>
      <c r="O402" s="525">
        <v>0</v>
      </c>
      <c r="P402" s="499" t="s">
        <v>2054</v>
      </c>
      <c r="Q402" s="499"/>
      <c r="R402" s="499"/>
      <c r="S402" s="525"/>
      <c r="T402" s="525">
        <v>0</v>
      </c>
      <c r="U402" s="525">
        <v>1</v>
      </c>
      <c r="V402" s="525" t="s">
        <v>2054</v>
      </c>
      <c r="W402" s="589">
        <f>IF(AND(BaleMover[[#This Row],[Scenario_ID]]="S3",BaleMover[[#This Row],[MRF_ID]]="05"),0,IFERROR(BaleMover[[#This Row],[Total_Baled_tons]]*(IF(BaleMover[[#This Row],[Scenario_ID]]="S0",-2,0)+INDEX(BalePrices[Low],MATCH(BaleMover[[#This Row],[Bale_ID]],BalePrices[Bale_ID],0))),0))</f>
        <v>0</v>
      </c>
      <c r="X402" s="397">
        <f>IF(AND(BaleMover[[#This Row],[Scenario_ID]]="S3",BaleMover[[#This Row],[MRF_ID]]="05"),0,IFERROR(BaleMover[[#This Row],[Total_Baled_tons]]*(IF(BaleMover[[#This Row],[Scenario_ID]]="S0",-2,0)+INDEX(BalePrices[Mid-Point],MATCH(BaleMover[[#This Row],[Bale_ID]],BalePrices[Bale_ID],0))),0))</f>
        <v>0</v>
      </c>
      <c r="Y402" s="397">
        <f>IF(AND(BaleMover[[#This Row],[Scenario_ID]]="S3",BaleMover[[#This Row],[MRF_ID]]="05"),0,IFERROR(BaleMover[[#This Row],[Total_Baled_tons]]*(IF(BaleMover[[#This Row],[Scenario_ID]]="S0",-2,0)+INDEX(BalePrices[High],MATCH(BaleMover[[#This Row],[Bale_ID]],BalePrices[Bale_ID],0))),0))</f>
        <v>0</v>
      </c>
    </row>
    <row r="403" spans="2:25" x14ac:dyDescent="0.2">
      <c r="B403" s="545" t="s">
        <v>870</v>
      </c>
      <c r="C403" s="499" t="s">
        <v>735</v>
      </c>
      <c r="D403" s="499"/>
      <c r="E403" s="499"/>
      <c r="F403" s="499" t="s">
        <v>1996</v>
      </c>
      <c r="G403" s="499" t="s">
        <v>2112</v>
      </c>
      <c r="H403" s="499" t="s">
        <v>1569</v>
      </c>
      <c r="I403" s="499" t="s">
        <v>988</v>
      </c>
      <c r="J403" s="499" t="s">
        <v>989</v>
      </c>
      <c r="K403" s="499" t="s">
        <v>2076</v>
      </c>
      <c r="L403" s="499">
        <v>8</v>
      </c>
      <c r="M403" s="499" t="s">
        <v>2085</v>
      </c>
      <c r="N403" s="499" t="s">
        <v>2068</v>
      </c>
      <c r="O403" s="525">
        <v>0</v>
      </c>
      <c r="P403" s="499" t="s">
        <v>2054</v>
      </c>
      <c r="Q403" s="499"/>
      <c r="R403" s="499"/>
      <c r="S403" s="525"/>
      <c r="T403" s="525">
        <v>0</v>
      </c>
      <c r="U403" s="525">
        <v>1</v>
      </c>
      <c r="V403" s="525" t="s">
        <v>2054</v>
      </c>
      <c r="W403" s="589">
        <f>IF(AND(BaleMover[[#This Row],[Scenario_ID]]="S3",BaleMover[[#This Row],[MRF_ID]]="05"),0,IFERROR(BaleMover[[#This Row],[Total_Baled_tons]]*(IF(BaleMover[[#This Row],[Scenario_ID]]="S0",-2,0)+INDEX(BalePrices[Low],MATCH(BaleMover[[#This Row],[Bale_ID]],BalePrices[Bale_ID],0))),0))</f>
        <v>0</v>
      </c>
      <c r="X403" s="397">
        <f>IF(AND(BaleMover[[#This Row],[Scenario_ID]]="S3",BaleMover[[#This Row],[MRF_ID]]="05"),0,IFERROR(BaleMover[[#This Row],[Total_Baled_tons]]*(IF(BaleMover[[#This Row],[Scenario_ID]]="S0",-2,0)+INDEX(BalePrices[Mid-Point],MATCH(BaleMover[[#This Row],[Bale_ID]],BalePrices[Bale_ID],0))),0))</f>
        <v>0</v>
      </c>
      <c r="Y403" s="397">
        <f>IF(AND(BaleMover[[#This Row],[Scenario_ID]]="S3",BaleMover[[#This Row],[MRF_ID]]="05"),0,IFERROR(BaleMover[[#This Row],[Total_Baled_tons]]*(IF(BaleMover[[#This Row],[Scenario_ID]]="S0",-2,0)+INDEX(BalePrices[High],MATCH(BaleMover[[#This Row],[Bale_ID]],BalePrices[Bale_ID],0))),0))</f>
        <v>0</v>
      </c>
    </row>
    <row r="404" spans="2:25" x14ac:dyDescent="0.2">
      <c r="B404" s="545" t="s">
        <v>870</v>
      </c>
      <c r="C404" s="499" t="s">
        <v>735</v>
      </c>
      <c r="D404" s="499"/>
      <c r="E404" s="499"/>
      <c r="F404" s="499" t="s">
        <v>1996</v>
      </c>
      <c r="G404" s="499" t="s">
        <v>2112</v>
      </c>
      <c r="H404" s="499" t="s">
        <v>1570</v>
      </c>
      <c r="I404" s="499" t="s">
        <v>990</v>
      </c>
      <c r="J404" s="499" t="s">
        <v>991</v>
      </c>
      <c r="K404" s="499" t="s">
        <v>2076</v>
      </c>
      <c r="L404" s="499">
        <v>1</v>
      </c>
      <c r="M404" s="499" t="s">
        <v>2086</v>
      </c>
      <c r="N404" s="499" t="s">
        <v>2066</v>
      </c>
      <c r="O404" s="525">
        <v>0</v>
      </c>
      <c r="P404" s="499" t="s">
        <v>2054</v>
      </c>
      <c r="Q404" s="499"/>
      <c r="R404" s="499"/>
      <c r="S404" s="525"/>
      <c r="T404" s="525">
        <v>0</v>
      </c>
      <c r="U404" s="525">
        <v>1</v>
      </c>
      <c r="V404" s="525" t="s">
        <v>2054</v>
      </c>
      <c r="W404" s="589">
        <f>IF(AND(BaleMover[[#This Row],[Scenario_ID]]="S3",BaleMover[[#This Row],[MRF_ID]]="05"),0,IFERROR(BaleMover[[#This Row],[Total_Baled_tons]]*(IF(BaleMover[[#This Row],[Scenario_ID]]="S0",-2,0)+INDEX(BalePrices[Low],MATCH(BaleMover[[#This Row],[Bale_ID]],BalePrices[Bale_ID],0))),0))</f>
        <v>0</v>
      </c>
      <c r="X404" s="397">
        <f>IF(AND(BaleMover[[#This Row],[Scenario_ID]]="S3",BaleMover[[#This Row],[MRF_ID]]="05"),0,IFERROR(BaleMover[[#This Row],[Total_Baled_tons]]*(IF(BaleMover[[#This Row],[Scenario_ID]]="S0",-2,0)+INDEX(BalePrices[Mid-Point],MATCH(BaleMover[[#This Row],[Bale_ID]],BalePrices[Bale_ID],0))),0))</f>
        <v>0</v>
      </c>
      <c r="Y404" s="397">
        <f>IF(AND(BaleMover[[#This Row],[Scenario_ID]]="S3",BaleMover[[#This Row],[MRF_ID]]="05"),0,IFERROR(BaleMover[[#This Row],[Total_Baled_tons]]*(IF(BaleMover[[#This Row],[Scenario_ID]]="S0",-2,0)+INDEX(BalePrices[High],MATCH(BaleMover[[#This Row],[Bale_ID]],BalePrices[Bale_ID],0))),0))</f>
        <v>0</v>
      </c>
    </row>
    <row r="405" spans="2:25" x14ac:dyDescent="0.2">
      <c r="B405" s="545" t="s">
        <v>870</v>
      </c>
      <c r="C405" s="499" t="s">
        <v>735</v>
      </c>
      <c r="D405" s="499"/>
      <c r="E405" s="499"/>
      <c r="F405" s="499" t="s">
        <v>1996</v>
      </c>
      <c r="G405" s="499" t="s">
        <v>2112</v>
      </c>
      <c r="H405" s="499" t="s">
        <v>1571</v>
      </c>
      <c r="I405" s="499" t="s">
        <v>994</v>
      </c>
      <c r="J405" s="499" t="s">
        <v>995</v>
      </c>
      <c r="K405" s="499" t="s">
        <v>2076</v>
      </c>
      <c r="L405" s="499">
        <v>8</v>
      </c>
      <c r="M405" s="499" t="s">
        <v>2085</v>
      </c>
      <c r="N405" s="499" t="s">
        <v>2068</v>
      </c>
      <c r="O405" s="525">
        <v>0</v>
      </c>
      <c r="P405" s="499" t="s">
        <v>2054</v>
      </c>
      <c r="Q405" s="499"/>
      <c r="R405" s="499"/>
      <c r="S405" s="525"/>
      <c r="T405" s="525">
        <v>0</v>
      </c>
      <c r="U405" s="525">
        <v>1</v>
      </c>
      <c r="V405" s="525" t="s">
        <v>2054</v>
      </c>
      <c r="W405" s="589">
        <f>IF(AND(BaleMover[[#This Row],[Scenario_ID]]="S3",BaleMover[[#This Row],[MRF_ID]]="05"),0,IFERROR(BaleMover[[#This Row],[Total_Baled_tons]]*(IF(BaleMover[[#This Row],[Scenario_ID]]="S0",-2,0)+INDEX(BalePrices[Low],MATCH(BaleMover[[#This Row],[Bale_ID]],BalePrices[Bale_ID],0))),0))</f>
        <v>0</v>
      </c>
      <c r="X405" s="397">
        <f>IF(AND(BaleMover[[#This Row],[Scenario_ID]]="S3",BaleMover[[#This Row],[MRF_ID]]="05"),0,IFERROR(BaleMover[[#This Row],[Total_Baled_tons]]*(IF(BaleMover[[#This Row],[Scenario_ID]]="S0",-2,0)+INDEX(BalePrices[Mid-Point],MATCH(BaleMover[[#This Row],[Bale_ID]],BalePrices[Bale_ID],0))),0))</f>
        <v>0</v>
      </c>
      <c r="Y405" s="397">
        <f>IF(AND(BaleMover[[#This Row],[Scenario_ID]]="S3",BaleMover[[#This Row],[MRF_ID]]="05"),0,IFERROR(BaleMover[[#This Row],[Total_Baled_tons]]*(IF(BaleMover[[#This Row],[Scenario_ID]]="S0",-2,0)+INDEX(BalePrices[High],MATCH(BaleMover[[#This Row],[Bale_ID]],BalePrices[Bale_ID],0))),0))</f>
        <v>0</v>
      </c>
    </row>
    <row r="406" spans="2:25" x14ac:dyDescent="0.2">
      <c r="B406" s="545" t="s">
        <v>870</v>
      </c>
      <c r="C406" s="499" t="s">
        <v>735</v>
      </c>
      <c r="D406" s="499"/>
      <c r="E406" s="499"/>
      <c r="F406" s="499" t="s">
        <v>1996</v>
      </c>
      <c r="G406" s="499" t="s">
        <v>2112</v>
      </c>
      <c r="H406" s="499" t="s">
        <v>1572</v>
      </c>
      <c r="I406" s="499" t="s">
        <v>996</v>
      </c>
      <c r="J406" s="499" t="s">
        <v>997</v>
      </c>
      <c r="K406" s="499" t="s">
        <v>2076</v>
      </c>
      <c r="L406" s="499">
        <v>8</v>
      </c>
      <c r="M406" s="499" t="s">
        <v>2085</v>
      </c>
      <c r="N406" s="499" t="s">
        <v>2068</v>
      </c>
      <c r="O406" s="525">
        <v>0</v>
      </c>
      <c r="P406" s="499" t="s">
        <v>2054</v>
      </c>
      <c r="Q406" s="499"/>
      <c r="R406" s="499"/>
      <c r="S406" s="525"/>
      <c r="T406" s="525">
        <v>0</v>
      </c>
      <c r="U406" s="525">
        <v>1</v>
      </c>
      <c r="V406" s="525" t="s">
        <v>2054</v>
      </c>
      <c r="W406" s="589">
        <f>IF(AND(BaleMover[[#This Row],[Scenario_ID]]="S3",BaleMover[[#This Row],[MRF_ID]]="05"),0,IFERROR(BaleMover[[#This Row],[Total_Baled_tons]]*(IF(BaleMover[[#This Row],[Scenario_ID]]="S0",-2,0)+INDEX(BalePrices[Low],MATCH(BaleMover[[#This Row],[Bale_ID]],BalePrices[Bale_ID],0))),0))</f>
        <v>0</v>
      </c>
      <c r="X406" s="397">
        <f>IF(AND(BaleMover[[#This Row],[Scenario_ID]]="S3",BaleMover[[#This Row],[MRF_ID]]="05"),0,IFERROR(BaleMover[[#This Row],[Total_Baled_tons]]*(IF(BaleMover[[#This Row],[Scenario_ID]]="S0",-2,0)+INDEX(BalePrices[Mid-Point],MATCH(BaleMover[[#This Row],[Bale_ID]],BalePrices[Bale_ID],0))),0))</f>
        <v>0</v>
      </c>
      <c r="Y406" s="397">
        <f>IF(AND(BaleMover[[#This Row],[Scenario_ID]]="S3",BaleMover[[#This Row],[MRF_ID]]="05"),0,IFERROR(BaleMover[[#This Row],[Total_Baled_tons]]*(IF(BaleMover[[#This Row],[Scenario_ID]]="S0",-2,0)+INDEX(BalePrices[High],MATCH(BaleMover[[#This Row],[Bale_ID]],BalePrices[Bale_ID],0))),0))</f>
        <v>0</v>
      </c>
    </row>
    <row r="407" spans="2:25" x14ac:dyDescent="0.2">
      <c r="B407" s="545" t="s">
        <v>870</v>
      </c>
      <c r="C407" s="499" t="s">
        <v>735</v>
      </c>
      <c r="D407" s="499"/>
      <c r="E407" s="499"/>
      <c r="F407" s="499" t="s">
        <v>1996</v>
      </c>
      <c r="G407" s="499" t="s">
        <v>2112</v>
      </c>
      <c r="H407" s="499" t="s">
        <v>1573</v>
      </c>
      <c r="I407" s="499" t="s">
        <v>998</v>
      </c>
      <c r="J407" s="499" t="s">
        <v>999</v>
      </c>
      <c r="K407" s="499" t="s">
        <v>2076</v>
      </c>
      <c r="L407" s="499">
        <v>8</v>
      </c>
      <c r="M407" s="499" t="s">
        <v>2085</v>
      </c>
      <c r="N407" s="499" t="s">
        <v>2068</v>
      </c>
      <c r="O407" s="525">
        <v>0</v>
      </c>
      <c r="P407" s="499" t="s">
        <v>2054</v>
      </c>
      <c r="Q407" s="499"/>
      <c r="R407" s="499"/>
      <c r="S407" s="525"/>
      <c r="T407" s="525">
        <v>0</v>
      </c>
      <c r="U407" s="525">
        <v>1</v>
      </c>
      <c r="V407" s="525" t="s">
        <v>2054</v>
      </c>
      <c r="W407" s="589">
        <f>IF(AND(BaleMover[[#This Row],[Scenario_ID]]="S3",BaleMover[[#This Row],[MRF_ID]]="05"),0,IFERROR(BaleMover[[#This Row],[Total_Baled_tons]]*(IF(BaleMover[[#This Row],[Scenario_ID]]="S0",-2,0)+INDEX(BalePrices[Low],MATCH(BaleMover[[#This Row],[Bale_ID]],BalePrices[Bale_ID],0))),0))</f>
        <v>0</v>
      </c>
      <c r="X407" s="397">
        <f>IF(AND(BaleMover[[#This Row],[Scenario_ID]]="S3",BaleMover[[#This Row],[MRF_ID]]="05"),0,IFERROR(BaleMover[[#This Row],[Total_Baled_tons]]*(IF(BaleMover[[#This Row],[Scenario_ID]]="S0",-2,0)+INDEX(BalePrices[Mid-Point],MATCH(BaleMover[[#This Row],[Bale_ID]],BalePrices[Bale_ID],0))),0))</f>
        <v>0</v>
      </c>
      <c r="Y407" s="397">
        <f>IF(AND(BaleMover[[#This Row],[Scenario_ID]]="S3",BaleMover[[#This Row],[MRF_ID]]="05"),0,IFERROR(BaleMover[[#This Row],[Total_Baled_tons]]*(IF(BaleMover[[#This Row],[Scenario_ID]]="S0",-2,0)+INDEX(BalePrices[High],MATCH(BaleMover[[#This Row],[Bale_ID]],BalePrices[Bale_ID],0))),0))</f>
        <v>0</v>
      </c>
    </row>
    <row r="408" spans="2:25" x14ac:dyDescent="0.2">
      <c r="B408" s="545" t="s">
        <v>870</v>
      </c>
      <c r="C408" s="499" t="s">
        <v>735</v>
      </c>
      <c r="D408" s="499"/>
      <c r="E408" s="499"/>
      <c r="F408" s="499" t="s">
        <v>1996</v>
      </c>
      <c r="G408" s="499" t="s">
        <v>2112</v>
      </c>
      <c r="H408" s="499" t="s">
        <v>1574</v>
      </c>
      <c r="I408" s="499" t="s">
        <v>1000</v>
      </c>
      <c r="J408" s="499" t="s">
        <v>1001</v>
      </c>
      <c r="K408" s="499" t="s">
        <v>2076</v>
      </c>
      <c r="L408" s="499">
        <v>12</v>
      </c>
      <c r="M408" s="499" t="s">
        <v>2087</v>
      </c>
      <c r="N408" s="499" t="s">
        <v>2070</v>
      </c>
      <c r="O408" s="525">
        <v>0</v>
      </c>
      <c r="P408" s="499" t="s">
        <v>2054</v>
      </c>
      <c r="Q408" s="499"/>
      <c r="R408" s="499"/>
      <c r="S408" s="525"/>
      <c r="T408" s="525">
        <v>0</v>
      </c>
      <c r="U408" s="525">
        <v>1</v>
      </c>
      <c r="V408" s="525" t="s">
        <v>2054</v>
      </c>
      <c r="W408" s="589">
        <f>IF(AND(BaleMover[[#This Row],[Scenario_ID]]="S3",BaleMover[[#This Row],[MRF_ID]]="05"),0,IFERROR(BaleMover[[#This Row],[Total_Baled_tons]]*(IF(BaleMover[[#This Row],[Scenario_ID]]="S0",-2,0)+INDEX(BalePrices[Low],MATCH(BaleMover[[#This Row],[Bale_ID]],BalePrices[Bale_ID],0))),0))</f>
        <v>0</v>
      </c>
      <c r="X408" s="397">
        <f>IF(AND(BaleMover[[#This Row],[Scenario_ID]]="S3",BaleMover[[#This Row],[MRF_ID]]="05"),0,IFERROR(BaleMover[[#This Row],[Total_Baled_tons]]*(IF(BaleMover[[#This Row],[Scenario_ID]]="S0",-2,0)+INDEX(BalePrices[Mid-Point],MATCH(BaleMover[[#This Row],[Bale_ID]],BalePrices[Bale_ID],0))),0))</f>
        <v>0</v>
      </c>
      <c r="Y408" s="397">
        <f>IF(AND(BaleMover[[#This Row],[Scenario_ID]]="S3",BaleMover[[#This Row],[MRF_ID]]="05"),0,IFERROR(BaleMover[[#This Row],[Total_Baled_tons]]*(IF(BaleMover[[#This Row],[Scenario_ID]]="S0",-2,0)+INDEX(BalePrices[High],MATCH(BaleMover[[#This Row],[Bale_ID]],BalePrices[Bale_ID],0))),0))</f>
        <v>0</v>
      </c>
    </row>
    <row r="409" spans="2:25" x14ac:dyDescent="0.2">
      <c r="B409" s="545" t="s">
        <v>870</v>
      </c>
      <c r="C409" s="499" t="s">
        <v>735</v>
      </c>
      <c r="D409" s="499"/>
      <c r="E409" s="499"/>
      <c r="F409" s="499" t="s">
        <v>1996</v>
      </c>
      <c r="G409" s="499" t="s">
        <v>2112</v>
      </c>
      <c r="H409" s="499" t="s">
        <v>1575</v>
      </c>
      <c r="I409" s="499" t="s">
        <v>1002</v>
      </c>
      <c r="J409" s="499" t="s">
        <v>1003</v>
      </c>
      <c r="K409" s="499" t="s">
        <v>2076</v>
      </c>
      <c r="L409" s="499">
        <v>1</v>
      </c>
      <c r="M409" s="499" t="s">
        <v>2086</v>
      </c>
      <c r="N409" s="499" t="s">
        <v>2066</v>
      </c>
      <c r="O409" s="525">
        <v>0</v>
      </c>
      <c r="P409" s="499" t="s">
        <v>2054</v>
      </c>
      <c r="Q409" s="499"/>
      <c r="R409" s="499"/>
      <c r="S409" s="525"/>
      <c r="T409" s="525">
        <v>0</v>
      </c>
      <c r="U409" s="525">
        <v>1</v>
      </c>
      <c r="V409" s="525" t="s">
        <v>2054</v>
      </c>
      <c r="W409" s="589">
        <f>IF(AND(BaleMover[[#This Row],[Scenario_ID]]="S3",BaleMover[[#This Row],[MRF_ID]]="05"),0,IFERROR(BaleMover[[#This Row],[Total_Baled_tons]]*(IF(BaleMover[[#This Row],[Scenario_ID]]="S0",-2,0)+INDEX(BalePrices[Low],MATCH(BaleMover[[#This Row],[Bale_ID]],BalePrices[Bale_ID],0))),0))</f>
        <v>0</v>
      </c>
      <c r="X409" s="397">
        <f>IF(AND(BaleMover[[#This Row],[Scenario_ID]]="S3",BaleMover[[#This Row],[MRF_ID]]="05"),0,IFERROR(BaleMover[[#This Row],[Total_Baled_tons]]*(IF(BaleMover[[#This Row],[Scenario_ID]]="S0",-2,0)+INDEX(BalePrices[Mid-Point],MATCH(BaleMover[[#This Row],[Bale_ID]],BalePrices[Bale_ID],0))),0))</f>
        <v>0</v>
      </c>
      <c r="Y409" s="397">
        <f>IF(AND(BaleMover[[#This Row],[Scenario_ID]]="S3",BaleMover[[#This Row],[MRF_ID]]="05"),0,IFERROR(BaleMover[[#This Row],[Total_Baled_tons]]*(IF(BaleMover[[#This Row],[Scenario_ID]]="S0",-2,0)+INDEX(BalePrices[High],MATCH(BaleMover[[#This Row],[Bale_ID]],BalePrices[Bale_ID],0))),0))</f>
        <v>0</v>
      </c>
    </row>
    <row r="410" spans="2:25" x14ac:dyDescent="0.2">
      <c r="B410" s="545" t="s">
        <v>870</v>
      </c>
      <c r="C410" s="499" t="s">
        <v>735</v>
      </c>
      <c r="D410" s="499"/>
      <c r="E410" s="499"/>
      <c r="F410" s="499" t="s">
        <v>1996</v>
      </c>
      <c r="G410" s="499" t="s">
        <v>2112</v>
      </c>
      <c r="H410" s="499" t="s">
        <v>1576</v>
      </c>
      <c r="I410" s="499" t="s">
        <v>1006</v>
      </c>
      <c r="J410" s="499" t="s">
        <v>1007</v>
      </c>
      <c r="K410" s="499" t="s">
        <v>2076</v>
      </c>
      <c r="L410" s="499">
        <v>1</v>
      </c>
      <c r="M410" s="499" t="s">
        <v>2086</v>
      </c>
      <c r="N410" s="499" t="s">
        <v>2066</v>
      </c>
      <c r="O410" s="525">
        <v>0</v>
      </c>
      <c r="P410" s="499" t="s">
        <v>2054</v>
      </c>
      <c r="Q410" s="499"/>
      <c r="R410" s="499"/>
      <c r="S410" s="525"/>
      <c r="T410" s="525">
        <v>0</v>
      </c>
      <c r="U410" s="525">
        <v>1</v>
      </c>
      <c r="V410" s="525" t="s">
        <v>2054</v>
      </c>
      <c r="W410" s="589">
        <f>IF(AND(BaleMover[[#This Row],[Scenario_ID]]="S3",BaleMover[[#This Row],[MRF_ID]]="05"),0,IFERROR(BaleMover[[#This Row],[Total_Baled_tons]]*(IF(BaleMover[[#This Row],[Scenario_ID]]="S0",-2,0)+INDEX(BalePrices[Low],MATCH(BaleMover[[#This Row],[Bale_ID]],BalePrices[Bale_ID],0))),0))</f>
        <v>0</v>
      </c>
      <c r="X410" s="397">
        <f>IF(AND(BaleMover[[#This Row],[Scenario_ID]]="S3",BaleMover[[#This Row],[MRF_ID]]="05"),0,IFERROR(BaleMover[[#This Row],[Total_Baled_tons]]*(IF(BaleMover[[#This Row],[Scenario_ID]]="S0",-2,0)+INDEX(BalePrices[Mid-Point],MATCH(BaleMover[[#This Row],[Bale_ID]],BalePrices[Bale_ID],0))),0))</f>
        <v>0</v>
      </c>
      <c r="Y410" s="397">
        <f>IF(AND(BaleMover[[#This Row],[Scenario_ID]]="S3",BaleMover[[#This Row],[MRF_ID]]="05"),0,IFERROR(BaleMover[[#This Row],[Total_Baled_tons]]*(IF(BaleMover[[#This Row],[Scenario_ID]]="S0",-2,0)+INDEX(BalePrices[High],MATCH(BaleMover[[#This Row],[Bale_ID]],BalePrices[Bale_ID],0))),0))</f>
        <v>0</v>
      </c>
    </row>
    <row r="411" spans="2:25" x14ac:dyDescent="0.2">
      <c r="B411" s="545" t="s">
        <v>870</v>
      </c>
      <c r="C411" s="499" t="s">
        <v>735</v>
      </c>
      <c r="D411" s="499"/>
      <c r="E411" s="499"/>
      <c r="F411" s="499" t="s">
        <v>1996</v>
      </c>
      <c r="G411" s="499" t="s">
        <v>2112</v>
      </c>
      <c r="H411" s="499" t="s">
        <v>1577</v>
      </c>
      <c r="I411" s="499" t="s">
        <v>1008</v>
      </c>
      <c r="J411" s="499" t="s">
        <v>1009</v>
      </c>
      <c r="K411" s="499" t="s">
        <v>2076</v>
      </c>
      <c r="L411" s="499">
        <v>2</v>
      </c>
      <c r="M411" s="499" t="s">
        <v>2088</v>
      </c>
      <c r="N411" s="499" t="s">
        <v>2072</v>
      </c>
      <c r="O411" s="525">
        <v>0</v>
      </c>
      <c r="P411" s="499" t="s">
        <v>2054</v>
      </c>
      <c r="Q411" s="499"/>
      <c r="R411" s="499"/>
      <c r="S411" s="525"/>
      <c r="T411" s="525">
        <v>0</v>
      </c>
      <c r="U411" s="525">
        <v>1</v>
      </c>
      <c r="V411" s="525" t="s">
        <v>2054</v>
      </c>
      <c r="W411" s="589">
        <f>IF(AND(BaleMover[[#This Row],[Scenario_ID]]="S3",BaleMover[[#This Row],[MRF_ID]]="05"),0,IFERROR(BaleMover[[#This Row],[Total_Baled_tons]]*(IF(BaleMover[[#This Row],[Scenario_ID]]="S0",-2,0)+INDEX(BalePrices[Low],MATCH(BaleMover[[#This Row],[Bale_ID]],BalePrices[Bale_ID],0))),0))</f>
        <v>0</v>
      </c>
      <c r="X411" s="397">
        <f>IF(AND(BaleMover[[#This Row],[Scenario_ID]]="S3",BaleMover[[#This Row],[MRF_ID]]="05"),0,IFERROR(BaleMover[[#This Row],[Total_Baled_tons]]*(IF(BaleMover[[#This Row],[Scenario_ID]]="S0",-2,0)+INDEX(BalePrices[Mid-Point],MATCH(BaleMover[[#This Row],[Bale_ID]],BalePrices[Bale_ID],0))),0))</f>
        <v>0</v>
      </c>
      <c r="Y411" s="397">
        <f>IF(AND(BaleMover[[#This Row],[Scenario_ID]]="S3",BaleMover[[#This Row],[MRF_ID]]="05"),0,IFERROR(BaleMover[[#This Row],[Total_Baled_tons]]*(IF(BaleMover[[#This Row],[Scenario_ID]]="S0",-2,0)+INDEX(BalePrices[High],MATCH(BaleMover[[#This Row],[Bale_ID]],BalePrices[Bale_ID],0))),0))</f>
        <v>0</v>
      </c>
    </row>
    <row r="412" spans="2:25" x14ac:dyDescent="0.2">
      <c r="B412" s="545" t="s">
        <v>870</v>
      </c>
      <c r="C412" s="499" t="s">
        <v>735</v>
      </c>
      <c r="D412" s="499"/>
      <c r="E412" s="499"/>
      <c r="F412" s="499" t="s">
        <v>1996</v>
      </c>
      <c r="G412" s="499" t="s">
        <v>2112</v>
      </c>
      <c r="H412" s="499" t="s">
        <v>1578</v>
      </c>
      <c r="I412" s="499" t="s">
        <v>1010</v>
      </c>
      <c r="J412" s="499" t="s">
        <v>1011</v>
      </c>
      <c r="K412" s="499" t="s">
        <v>2076</v>
      </c>
      <c r="L412" s="499">
        <v>2</v>
      </c>
      <c r="M412" s="499" t="s">
        <v>2088</v>
      </c>
      <c r="N412" s="499" t="s">
        <v>2072</v>
      </c>
      <c r="O412" s="525">
        <v>0</v>
      </c>
      <c r="P412" s="499" t="s">
        <v>2054</v>
      </c>
      <c r="Q412" s="499"/>
      <c r="R412" s="499"/>
      <c r="S412" s="525"/>
      <c r="T412" s="525">
        <v>0</v>
      </c>
      <c r="U412" s="525">
        <v>1</v>
      </c>
      <c r="V412" s="525" t="s">
        <v>2054</v>
      </c>
      <c r="W412" s="589">
        <f>IF(AND(BaleMover[[#This Row],[Scenario_ID]]="S3",BaleMover[[#This Row],[MRF_ID]]="05"),0,IFERROR(BaleMover[[#This Row],[Total_Baled_tons]]*(IF(BaleMover[[#This Row],[Scenario_ID]]="S0",-2,0)+INDEX(BalePrices[Low],MATCH(BaleMover[[#This Row],[Bale_ID]],BalePrices[Bale_ID],0))),0))</f>
        <v>0</v>
      </c>
      <c r="X412" s="397">
        <f>IF(AND(BaleMover[[#This Row],[Scenario_ID]]="S3",BaleMover[[#This Row],[MRF_ID]]="05"),0,IFERROR(BaleMover[[#This Row],[Total_Baled_tons]]*(IF(BaleMover[[#This Row],[Scenario_ID]]="S0",-2,0)+INDEX(BalePrices[Mid-Point],MATCH(BaleMover[[#This Row],[Bale_ID]],BalePrices[Bale_ID],0))),0))</f>
        <v>0</v>
      </c>
      <c r="Y412" s="397">
        <f>IF(AND(BaleMover[[#This Row],[Scenario_ID]]="S3",BaleMover[[#This Row],[MRF_ID]]="05"),0,IFERROR(BaleMover[[#This Row],[Total_Baled_tons]]*(IF(BaleMover[[#This Row],[Scenario_ID]]="S0",-2,0)+INDEX(BalePrices[High],MATCH(BaleMover[[#This Row],[Bale_ID]],BalePrices[Bale_ID],0))),0))</f>
        <v>0</v>
      </c>
    </row>
    <row r="413" spans="2:25" x14ac:dyDescent="0.2">
      <c r="B413" s="545" t="s">
        <v>870</v>
      </c>
      <c r="C413" s="499" t="s">
        <v>735</v>
      </c>
      <c r="D413" s="499"/>
      <c r="E413" s="499"/>
      <c r="F413" s="499" t="s">
        <v>1996</v>
      </c>
      <c r="G413" s="499" t="s">
        <v>2112</v>
      </c>
      <c r="H413" s="499" t="s">
        <v>1579</v>
      </c>
      <c r="I413" s="499" t="s">
        <v>1012</v>
      </c>
      <c r="J413" s="499" t="s">
        <v>1013</v>
      </c>
      <c r="K413" s="499" t="s">
        <v>2076</v>
      </c>
      <c r="L413" s="499">
        <v>2</v>
      </c>
      <c r="M413" s="499" t="s">
        <v>2088</v>
      </c>
      <c r="N413" s="499" t="s">
        <v>2072</v>
      </c>
      <c r="O413" s="525">
        <v>0</v>
      </c>
      <c r="P413" s="499" t="s">
        <v>2054</v>
      </c>
      <c r="Q413" s="499"/>
      <c r="R413" s="499"/>
      <c r="S413" s="525"/>
      <c r="T413" s="525">
        <v>0</v>
      </c>
      <c r="U413" s="525">
        <v>1</v>
      </c>
      <c r="V413" s="525" t="s">
        <v>2054</v>
      </c>
      <c r="W413" s="589">
        <f>IF(AND(BaleMover[[#This Row],[Scenario_ID]]="S3",BaleMover[[#This Row],[MRF_ID]]="05"),0,IFERROR(BaleMover[[#This Row],[Total_Baled_tons]]*(IF(BaleMover[[#This Row],[Scenario_ID]]="S0",-2,0)+INDEX(BalePrices[Low],MATCH(BaleMover[[#This Row],[Bale_ID]],BalePrices[Bale_ID],0))),0))</f>
        <v>0</v>
      </c>
      <c r="X413" s="397">
        <f>IF(AND(BaleMover[[#This Row],[Scenario_ID]]="S3",BaleMover[[#This Row],[MRF_ID]]="05"),0,IFERROR(BaleMover[[#This Row],[Total_Baled_tons]]*(IF(BaleMover[[#This Row],[Scenario_ID]]="S0",-2,0)+INDEX(BalePrices[Mid-Point],MATCH(BaleMover[[#This Row],[Bale_ID]],BalePrices[Bale_ID],0))),0))</f>
        <v>0</v>
      </c>
      <c r="Y413" s="397">
        <f>IF(AND(BaleMover[[#This Row],[Scenario_ID]]="S3",BaleMover[[#This Row],[MRF_ID]]="05"),0,IFERROR(BaleMover[[#This Row],[Total_Baled_tons]]*(IF(BaleMover[[#This Row],[Scenario_ID]]="S0",-2,0)+INDEX(BalePrices[High],MATCH(BaleMover[[#This Row],[Bale_ID]],BalePrices[Bale_ID],0))),0))</f>
        <v>0</v>
      </c>
    </row>
    <row r="414" spans="2:25" x14ac:dyDescent="0.2">
      <c r="B414" s="545" t="s">
        <v>870</v>
      </c>
      <c r="C414" s="499" t="s">
        <v>735</v>
      </c>
      <c r="D414" s="499"/>
      <c r="E414" s="499"/>
      <c r="F414" s="499" t="s">
        <v>1996</v>
      </c>
      <c r="G414" s="499" t="s">
        <v>2112</v>
      </c>
      <c r="H414" s="499" t="s">
        <v>1580</v>
      </c>
      <c r="I414" s="499" t="s">
        <v>1014</v>
      </c>
      <c r="J414" s="499" t="s">
        <v>1893</v>
      </c>
      <c r="K414" s="499" t="s">
        <v>2076</v>
      </c>
      <c r="L414" s="499">
        <v>8</v>
      </c>
      <c r="M414" s="499" t="s">
        <v>2085</v>
      </c>
      <c r="N414" s="499" t="s">
        <v>2068</v>
      </c>
      <c r="O414" s="525">
        <v>0</v>
      </c>
      <c r="P414" s="499" t="s">
        <v>2054</v>
      </c>
      <c r="Q414" s="499"/>
      <c r="R414" s="499"/>
      <c r="S414" s="525"/>
      <c r="T414" s="525">
        <v>0</v>
      </c>
      <c r="U414" s="525">
        <v>1</v>
      </c>
      <c r="V414" s="525" t="s">
        <v>2054</v>
      </c>
      <c r="W414" s="589">
        <f>IF(AND(BaleMover[[#This Row],[Scenario_ID]]="S3",BaleMover[[#This Row],[MRF_ID]]="05"),0,IFERROR(BaleMover[[#This Row],[Total_Baled_tons]]*(IF(BaleMover[[#This Row],[Scenario_ID]]="S0",-2,0)+INDEX(BalePrices[Low],MATCH(BaleMover[[#This Row],[Bale_ID]],BalePrices[Bale_ID],0))),0))</f>
        <v>0</v>
      </c>
      <c r="X414" s="397">
        <f>IF(AND(BaleMover[[#This Row],[Scenario_ID]]="S3",BaleMover[[#This Row],[MRF_ID]]="05"),0,IFERROR(BaleMover[[#This Row],[Total_Baled_tons]]*(IF(BaleMover[[#This Row],[Scenario_ID]]="S0",-2,0)+INDEX(BalePrices[Mid-Point],MATCH(BaleMover[[#This Row],[Bale_ID]],BalePrices[Bale_ID],0))),0))</f>
        <v>0</v>
      </c>
      <c r="Y414" s="397">
        <f>IF(AND(BaleMover[[#This Row],[Scenario_ID]]="S3",BaleMover[[#This Row],[MRF_ID]]="05"),0,IFERROR(BaleMover[[#This Row],[Total_Baled_tons]]*(IF(BaleMover[[#This Row],[Scenario_ID]]="S0",-2,0)+INDEX(BalePrices[High],MATCH(BaleMover[[#This Row],[Bale_ID]],BalePrices[Bale_ID],0))),0))</f>
        <v>0</v>
      </c>
    </row>
    <row r="415" spans="2:25" x14ac:dyDescent="0.2">
      <c r="B415" s="545" t="s">
        <v>870</v>
      </c>
      <c r="C415" s="499" t="s">
        <v>735</v>
      </c>
      <c r="D415" s="499"/>
      <c r="E415" s="499"/>
      <c r="F415" s="499" t="s">
        <v>1996</v>
      </c>
      <c r="G415" s="499" t="s">
        <v>2112</v>
      </c>
      <c r="H415" s="499" t="s">
        <v>1581</v>
      </c>
      <c r="I415" s="499" t="s">
        <v>1015</v>
      </c>
      <c r="J415" s="499" t="s">
        <v>1016</v>
      </c>
      <c r="K415" s="499" t="s">
        <v>2076</v>
      </c>
      <c r="L415" s="499">
        <v>1</v>
      </c>
      <c r="M415" s="499" t="s">
        <v>2086</v>
      </c>
      <c r="N415" s="499" t="s">
        <v>2066</v>
      </c>
      <c r="O415" s="525">
        <v>0</v>
      </c>
      <c r="P415" s="499" t="s">
        <v>2054</v>
      </c>
      <c r="Q415" s="499"/>
      <c r="R415" s="499"/>
      <c r="S415" s="525"/>
      <c r="T415" s="525">
        <v>0</v>
      </c>
      <c r="U415" s="525">
        <v>1</v>
      </c>
      <c r="V415" s="525" t="s">
        <v>2054</v>
      </c>
      <c r="W415" s="589">
        <f>IF(AND(BaleMover[[#This Row],[Scenario_ID]]="S3",BaleMover[[#This Row],[MRF_ID]]="05"),0,IFERROR(BaleMover[[#This Row],[Total_Baled_tons]]*(IF(BaleMover[[#This Row],[Scenario_ID]]="S0",-2,0)+INDEX(BalePrices[Low],MATCH(BaleMover[[#This Row],[Bale_ID]],BalePrices[Bale_ID],0))),0))</f>
        <v>0</v>
      </c>
      <c r="X415" s="397">
        <f>IF(AND(BaleMover[[#This Row],[Scenario_ID]]="S3",BaleMover[[#This Row],[MRF_ID]]="05"),0,IFERROR(BaleMover[[#This Row],[Total_Baled_tons]]*(IF(BaleMover[[#This Row],[Scenario_ID]]="S0",-2,0)+INDEX(BalePrices[Mid-Point],MATCH(BaleMover[[#This Row],[Bale_ID]],BalePrices[Bale_ID],0))),0))</f>
        <v>0</v>
      </c>
      <c r="Y415" s="397">
        <f>IF(AND(BaleMover[[#This Row],[Scenario_ID]]="S3",BaleMover[[#This Row],[MRF_ID]]="05"),0,IFERROR(BaleMover[[#This Row],[Total_Baled_tons]]*(IF(BaleMover[[#This Row],[Scenario_ID]]="S0",-2,0)+INDEX(BalePrices[High],MATCH(BaleMover[[#This Row],[Bale_ID]],BalePrices[Bale_ID],0))),0))</f>
        <v>0</v>
      </c>
    </row>
    <row r="416" spans="2:25" x14ac:dyDescent="0.2">
      <c r="B416" s="545" t="s">
        <v>870</v>
      </c>
      <c r="C416" s="499" t="s">
        <v>735</v>
      </c>
      <c r="D416" s="499"/>
      <c r="E416" s="499"/>
      <c r="F416" s="499" t="s">
        <v>1996</v>
      </c>
      <c r="G416" s="499" t="s">
        <v>2112</v>
      </c>
      <c r="H416" s="499" t="s">
        <v>1582</v>
      </c>
      <c r="I416" s="499" t="s">
        <v>1017</v>
      </c>
      <c r="J416" s="499" t="s">
        <v>1018</v>
      </c>
      <c r="K416" s="499" t="s">
        <v>2076</v>
      </c>
      <c r="L416" s="499">
        <v>11</v>
      </c>
      <c r="M416" s="499" t="s">
        <v>2084</v>
      </c>
      <c r="N416" s="499" t="s">
        <v>2064</v>
      </c>
      <c r="O416" s="525">
        <v>0</v>
      </c>
      <c r="P416" s="499" t="s">
        <v>2054</v>
      </c>
      <c r="Q416" s="499"/>
      <c r="R416" s="499"/>
      <c r="S416" s="525"/>
      <c r="T416" s="525">
        <v>0</v>
      </c>
      <c r="U416" s="525">
        <v>1</v>
      </c>
      <c r="V416" s="525" t="s">
        <v>2054</v>
      </c>
      <c r="W416" s="589">
        <f>IF(AND(BaleMover[[#This Row],[Scenario_ID]]="S3",BaleMover[[#This Row],[MRF_ID]]="05"),0,IFERROR(BaleMover[[#This Row],[Total_Baled_tons]]*(IF(BaleMover[[#This Row],[Scenario_ID]]="S0",-2,0)+INDEX(BalePrices[Low],MATCH(BaleMover[[#This Row],[Bale_ID]],BalePrices[Bale_ID],0))),0))</f>
        <v>0</v>
      </c>
      <c r="X416" s="397">
        <f>IF(AND(BaleMover[[#This Row],[Scenario_ID]]="S3",BaleMover[[#This Row],[MRF_ID]]="05"),0,IFERROR(BaleMover[[#This Row],[Total_Baled_tons]]*(IF(BaleMover[[#This Row],[Scenario_ID]]="S0",-2,0)+INDEX(BalePrices[Mid-Point],MATCH(BaleMover[[#This Row],[Bale_ID]],BalePrices[Bale_ID],0))),0))</f>
        <v>0</v>
      </c>
      <c r="Y416" s="397">
        <f>IF(AND(BaleMover[[#This Row],[Scenario_ID]]="S3",BaleMover[[#This Row],[MRF_ID]]="05"),0,IFERROR(BaleMover[[#This Row],[Total_Baled_tons]]*(IF(BaleMover[[#This Row],[Scenario_ID]]="S0",-2,0)+INDEX(BalePrices[High],MATCH(BaleMover[[#This Row],[Bale_ID]],BalePrices[Bale_ID],0))),0))</f>
        <v>0</v>
      </c>
    </row>
    <row r="417" spans="2:25" x14ac:dyDescent="0.2">
      <c r="B417" s="545" t="s">
        <v>870</v>
      </c>
      <c r="C417" s="499" t="s">
        <v>735</v>
      </c>
      <c r="D417" s="499"/>
      <c r="E417" s="499"/>
      <c r="F417" s="499" t="s">
        <v>1996</v>
      </c>
      <c r="G417" s="499" t="s">
        <v>2112</v>
      </c>
      <c r="H417" s="499" t="s">
        <v>1583</v>
      </c>
      <c r="I417" s="499" t="s">
        <v>1019</v>
      </c>
      <c r="J417" s="499" t="s">
        <v>1020</v>
      </c>
      <c r="K417" s="499" t="s">
        <v>2076</v>
      </c>
      <c r="L417" s="499">
        <v>1</v>
      </c>
      <c r="M417" s="499" t="s">
        <v>2086</v>
      </c>
      <c r="N417" s="499" t="s">
        <v>2066</v>
      </c>
      <c r="O417" s="525">
        <v>0</v>
      </c>
      <c r="P417" s="499" t="s">
        <v>2054</v>
      </c>
      <c r="Q417" s="499"/>
      <c r="R417" s="499"/>
      <c r="S417" s="525"/>
      <c r="T417" s="525">
        <v>0</v>
      </c>
      <c r="U417" s="525">
        <v>1</v>
      </c>
      <c r="V417" s="525" t="s">
        <v>2054</v>
      </c>
      <c r="W417" s="589">
        <f>IF(AND(BaleMover[[#This Row],[Scenario_ID]]="S3",BaleMover[[#This Row],[MRF_ID]]="05"),0,IFERROR(BaleMover[[#This Row],[Total_Baled_tons]]*(IF(BaleMover[[#This Row],[Scenario_ID]]="S0",-2,0)+INDEX(BalePrices[Low],MATCH(BaleMover[[#This Row],[Bale_ID]],BalePrices[Bale_ID],0))),0))</f>
        <v>0</v>
      </c>
      <c r="X417" s="397">
        <f>IF(AND(BaleMover[[#This Row],[Scenario_ID]]="S3",BaleMover[[#This Row],[MRF_ID]]="05"),0,IFERROR(BaleMover[[#This Row],[Total_Baled_tons]]*(IF(BaleMover[[#This Row],[Scenario_ID]]="S0",-2,0)+INDEX(BalePrices[Mid-Point],MATCH(BaleMover[[#This Row],[Bale_ID]],BalePrices[Bale_ID],0))),0))</f>
        <v>0</v>
      </c>
      <c r="Y417" s="397">
        <f>IF(AND(BaleMover[[#This Row],[Scenario_ID]]="S3",BaleMover[[#This Row],[MRF_ID]]="05"),0,IFERROR(BaleMover[[#This Row],[Total_Baled_tons]]*(IF(BaleMover[[#This Row],[Scenario_ID]]="S0",-2,0)+INDEX(BalePrices[High],MATCH(BaleMover[[#This Row],[Bale_ID]],BalePrices[Bale_ID],0))),0))</f>
        <v>0</v>
      </c>
    </row>
    <row r="418" spans="2:25" x14ac:dyDescent="0.2">
      <c r="B418" s="545" t="s">
        <v>870</v>
      </c>
      <c r="C418" s="499" t="s">
        <v>735</v>
      </c>
      <c r="D418" s="499"/>
      <c r="E418" s="499"/>
      <c r="F418" s="499" t="s">
        <v>1996</v>
      </c>
      <c r="G418" s="499" t="s">
        <v>2112</v>
      </c>
      <c r="H418" s="499" t="s">
        <v>1584</v>
      </c>
      <c r="I418" s="499" t="s">
        <v>1021</v>
      </c>
      <c r="J418" s="499" t="s">
        <v>751</v>
      </c>
      <c r="K418" s="499" t="s">
        <v>2076</v>
      </c>
      <c r="L418" s="499">
        <v>20</v>
      </c>
      <c r="M418" s="499" t="s">
        <v>2089</v>
      </c>
      <c r="N418" s="499" t="s">
        <v>2074</v>
      </c>
      <c r="O418" s="525">
        <v>0</v>
      </c>
      <c r="P418" s="499" t="s">
        <v>2054</v>
      </c>
      <c r="Q418" s="499"/>
      <c r="R418" s="499"/>
      <c r="S418" s="525"/>
      <c r="T418" s="525">
        <v>0</v>
      </c>
      <c r="U418" s="525">
        <v>1</v>
      </c>
      <c r="V418" s="525" t="s">
        <v>2054</v>
      </c>
      <c r="W418" s="589">
        <f>IF(AND(BaleMover[[#This Row],[Scenario_ID]]="S3",BaleMover[[#This Row],[MRF_ID]]="05"),0,IFERROR(BaleMover[[#This Row],[Total_Baled_tons]]*(IF(BaleMover[[#This Row],[Scenario_ID]]="S0",-2,0)+INDEX(BalePrices[Low],MATCH(BaleMover[[#This Row],[Bale_ID]],BalePrices[Bale_ID],0))),0))</f>
        <v>0</v>
      </c>
      <c r="X418" s="397">
        <f>IF(AND(BaleMover[[#This Row],[Scenario_ID]]="S3",BaleMover[[#This Row],[MRF_ID]]="05"),0,IFERROR(BaleMover[[#This Row],[Total_Baled_tons]]*(IF(BaleMover[[#This Row],[Scenario_ID]]="S0",-2,0)+INDEX(BalePrices[Mid-Point],MATCH(BaleMover[[#This Row],[Bale_ID]],BalePrices[Bale_ID],0))),0))</f>
        <v>0</v>
      </c>
      <c r="Y418" s="397">
        <f>IF(AND(BaleMover[[#This Row],[Scenario_ID]]="S3",BaleMover[[#This Row],[MRF_ID]]="05"),0,IFERROR(BaleMover[[#This Row],[Total_Baled_tons]]*(IF(BaleMover[[#This Row],[Scenario_ID]]="S0",-2,0)+INDEX(BalePrices[High],MATCH(BaleMover[[#This Row],[Bale_ID]],BalePrices[Bale_ID],0))),0))</f>
        <v>0</v>
      </c>
    </row>
    <row r="419" spans="2:25" x14ac:dyDescent="0.2">
      <c r="B419" s="545" t="s">
        <v>870</v>
      </c>
      <c r="C419" s="499" t="s">
        <v>739</v>
      </c>
      <c r="D419" s="499"/>
      <c r="E419" s="499"/>
      <c r="F419" s="499" t="s">
        <v>1997</v>
      </c>
      <c r="G419" s="499" t="s">
        <v>2115</v>
      </c>
      <c r="H419" s="499" t="s">
        <v>1585</v>
      </c>
      <c r="I419" s="499" t="s">
        <v>969</v>
      </c>
      <c r="J419" s="499" t="s">
        <v>970</v>
      </c>
      <c r="K419" s="499" t="s">
        <v>2076</v>
      </c>
      <c r="L419" s="499">
        <v>5</v>
      </c>
      <c r="M419" s="499" t="s">
        <v>2077</v>
      </c>
      <c r="N419" s="499" t="s">
        <v>2058</v>
      </c>
      <c r="O419" s="525">
        <v>47278.990509762509</v>
      </c>
      <c r="P419" s="499">
        <v>50</v>
      </c>
      <c r="Q419" s="499"/>
      <c r="R419" s="499"/>
      <c r="S419" s="525"/>
      <c r="T419" s="525">
        <v>0</v>
      </c>
      <c r="U419" s="525">
        <v>1</v>
      </c>
      <c r="V419" s="525">
        <v>2363949.5254881256</v>
      </c>
      <c r="W419" s="589">
        <f>IF(AND(BaleMover[[#This Row],[Scenario_ID]]="S3",BaleMover[[#This Row],[MRF_ID]]="05"),0,IFERROR(BaleMover[[#This Row],[Total_Baled_tons]]*(IF(BaleMover[[#This Row],[Scenario_ID]]="S0",-2,0)+INDEX(BalePrices[Low],MATCH(BaleMover[[#This Row],[Bale_ID]],BalePrices[Bale_ID],0))),0))</f>
        <v>1181974.7627440628</v>
      </c>
      <c r="X419" s="397">
        <f>IF(AND(BaleMover[[#This Row],[Scenario_ID]]="S3",BaleMover[[#This Row],[MRF_ID]]="05"),0,IFERROR(BaleMover[[#This Row],[Total_Baled_tons]]*(IF(BaleMover[[#This Row],[Scenario_ID]]="S0",-2,0)+INDEX(BalePrices[Mid-Point],MATCH(BaleMover[[#This Row],[Bale_ID]],BalePrices[Bale_ID],0))),0))</f>
        <v>4136911.6696042195</v>
      </c>
      <c r="Y419" s="397">
        <f>IF(AND(BaleMover[[#This Row],[Scenario_ID]]="S3",BaleMover[[#This Row],[MRF_ID]]="05"),0,IFERROR(BaleMover[[#This Row],[Total_Baled_tons]]*(IF(BaleMover[[#This Row],[Scenario_ID]]="S0",-2,0)+INDEX(BalePrices[High],MATCH(BaleMover[[#This Row],[Bale_ID]],BalePrices[Bale_ID],0))),0))</f>
        <v>7091848.5764643764</v>
      </c>
    </row>
    <row r="420" spans="2:25" x14ac:dyDescent="0.2">
      <c r="B420" s="545" t="s">
        <v>870</v>
      </c>
      <c r="C420" s="499" t="s">
        <v>739</v>
      </c>
      <c r="D420" s="499"/>
      <c r="E420" s="499"/>
      <c r="F420" s="499" t="s">
        <v>1997</v>
      </c>
      <c r="G420" s="499" t="s">
        <v>2115</v>
      </c>
      <c r="H420" s="499" t="s">
        <v>1586</v>
      </c>
      <c r="I420" s="499" t="s">
        <v>971</v>
      </c>
      <c r="J420" s="499" t="s">
        <v>972</v>
      </c>
      <c r="K420" s="499" t="s">
        <v>2076</v>
      </c>
      <c r="L420" s="499">
        <v>5</v>
      </c>
      <c r="M420" s="499" t="s">
        <v>2077</v>
      </c>
      <c r="N420" s="499" t="s">
        <v>2058</v>
      </c>
      <c r="O420" s="525">
        <v>0</v>
      </c>
      <c r="P420" s="499" t="s">
        <v>2054</v>
      </c>
      <c r="Q420" s="499"/>
      <c r="R420" s="499"/>
      <c r="S420" s="525"/>
      <c r="T420" s="525">
        <v>0</v>
      </c>
      <c r="U420" s="525">
        <v>1</v>
      </c>
      <c r="V420" s="525" t="s">
        <v>2054</v>
      </c>
      <c r="W420" s="589">
        <f>IF(AND(BaleMover[[#This Row],[Scenario_ID]]="S3",BaleMover[[#This Row],[MRF_ID]]="05"),0,IFERROR(BaleMover[[#This Row],[Total_Baled_tons]]*(IF(BaleMover[[#This Row],[Scenario_ID]]="S0",-2,0)+INDEX(BalePrices[Low],MATCH(BaleMover[[#This Row],[Bale_ID]],BalePrices[Bale_ID],0))),0))</f>
        <v>0</v>
      </c>
      <c r="X420" s="397">
        <f>IF(AND(BaleMover[[#This Row],[Scenario_ID]]="S3",BaleMover[[#This Row],[MRF_ID]]="05"),0,IFERROR(BaleMover[[#This Row],[Total_Baled_tons]]*(IF(BaleMover[[#This Row],[Scenario_ID]]="S0",-2,0)+INDEX(BalePrices[Mid-Point],MATCH(BaleMover[[#This Row],[Bale_ID]],BalePrices[Bale_ID],0))),0))</f>
        <v>0</v>
      </c>
      <c r="Y420" s="397">
        <f>IF(AND(BaleMover[[#This Row],[Scenario_ID]]="S3",BaleMover[[#This Row],[MRF_ID]]="05"),0,IFERROR(BaleMover[[#This Row],[Total_Baled_tons]]*(IF(BaleMover[[#This Row],[Scenario_ID]]="S0",-2,0)+INDEX(BalePrices[High],MATCH(BaleMover[[#This Row],[Bale_ID]],BalePrices[Bale_ID],0))),0))</f>
        <v>0</v>
      </c>
    </row>
    <row r="421" spans="2:25" x14ac:dyDescent="0.2">
      <c r="B421" s="545" t="s">
        <v>870</v>
      </c>
      <c r="C421" s="499" t="s">
        <v>739</v>
      </c>
      <c r="D421" s="499"/>
      <c r="E421" s="499"/>
      <c r="F421" s="499" t="s">
        <v>1997</v>
      </c>
      <c r="G421" s="499" t="s">
        <v>2115</v>
      </c>
      <c r="H421" s="499" t="s">
        <v>1587</v>
      </c>
      <c r="I421" s="499" t="s">
        <v>973</v>
      </c>
      <c r="J421" s="499" t="s">
        <v>974</v>
      </c>
      <c r="K421" s="499" t="s">
        <v>2076</v>
      </c>
      <c r="L421" s="499">
        <v>5</v>
      </c>
      <c r="M421" s="499" t="s">
        <v>2077</v>
      </c>
      <c r="N421" s="499" t="s">
        <v>2058</v>
      </c>
      <c r="O421" s="525">
        <v>19774.80761314492</v>
      </c>
      <c r="P421" s="499">
        <v>50</v>
      </c>
      <c r="Q421" s="499"/>
      <c r="R421" s="499"/>
      <c r="S421" s="525"/>
      <c r="T421" s="525">
        <v>0</v>
      </c>
      <c r="U421" s="525">
        <v>1</v>
      </c>
      <c r="V421" s="525">
        <v>988740.38065724599</v>
      </c>
      <c r="W421" s="589">
        <f>IF(AND(BaleMover[[#This Row],[Scenario_ID]]="S3",BaleMover[[#This Row],[MRF_ID]]="05"),0,IFERROR(BaleMover[[#This Row],[Total_Baled_tons]]*(IF(BaleMover[[#This Row],[Scenario_ID]]="S0",-2,0)+INDEX(BalePrices[Low],MATCH(BaleMover[[#This Row],[Bale_ID]],BalePrices[Bale_ID],0))),0))</f>
        <v>98874.038065724599</v>
      </c>
      <c r="X421" s="397">
        <f>IF(AND(BaleMover[[#This Row],[Scenario_ID]]="S3",BaleMover[[#This Row],[MRF_ID]]="05"),0,IFERROR(BaleMover[[#This Row],[Total_Baled_tons]]*(IF(BaleMover[[#This Row],[Scenario_ID]]="S0",-2,0)+INDEX(BalePrices[Mid-Point],MATCH(BaleMover[[#This Row],[Bale_ID]],BalePrices[Bale_ID],0))),0))</f>
        <v>642681.24742720986</v>
      </c>
      <c r="Y421" s="397">
        <f>IF(AND(BaleMover[[#This Row],[Scenario_ID]]="S3",BaleMover[[#This Row],[MRF_ID]]="05"),0,IFERROR(BaleMover[[#This Row],[Total_Baled_tons]]*(IF(BaleMover[[#This Row],[Scenario_ID]]="S0",-2,0)+INDEX(BalePrices[High],MATCH(BaleMover[[#This Row],[Bale_ID]],BalePrices[Bale_ID],0))),0))</f>
        <v>1186488.4567886952</v>
      </c>
    </row>
    <row r="422" spans="2:25" x14ac:dyDescent="0.2">
      <c r="B422" s="545" t="s">
        <v>870</v>
      </c>
      <c r="C422" s="499" t="s">
        <v>739</v>
      </c>
      <c r="D422" s="499"/>
      <c r="E422" s="499"/>
      <c r="F422" s="499" t="s">
        <v>1997</v>
      </c>
      <c r="G422" s="499" t="s">
        <v>2115</v>
      </c>
      <c r="H422" s="499" t="s">
        <v>1588</v>
      </c>
      <c r="I422" s="499" t="s">
        <v>975</v>
      </c>
      <c r="J422" s="499" t="s">
        <v>976</v>
      </c>
      <c r="K422" s="499" t="s">
        <v>2076</v>
      </c>
      <c r="L422" s="499">
        <v>7</v>
      </c>
      <c r="M422" s="499" t="s">
        <v>2081</v>
      </c>
      <c r="N422" s="499" t="s">
        <v>2056</v>
      </c>
      <c r="O422" s="525">
        <v>0</v>
      </c>
      <c r="P422" s="499" t="s">
        <v>2054</v>
      </c>
      <c r="Q422" s="499"/>
      <c r="R422" s="499"/>
      <c r="S422" s="525"/>
      <c r="T422" s="525">
        <v>0</v>
      </c>
      <c r="U422" s="525">
        <v>1</v>
      </c>
      <c r="V422" s="525" t="s">
        <v>2054</v>
      </c>
      <c r="W422" s="589">
        <f>IF(AND(BaleMover[[#This Row],[Scenario_ID]]="S3",BaleMover[[#This Row],[MRF_ID]]="05"),0,IFERROR(BaleMover[[#This Row],[Total_Baled_tons]]*(IF(BaleMover[[#This Row],[Scenario_ID]]="S0",-2,0)+INDEX(BalePrices[Low],MATCH(BaleMover[[#This Row],[Bale_ID]],BalePrices[Bale_ID],0))),0))</f>
        <v>0</v>
      </c>
      <c r="X422" s="397">
        <f>IF(AND(BaleMover[[#This Row],[Scenario_ID]]="S3",BaleMover[[#This Row],[MRF_ID]]="05"),0,IFERROR(BaleMover[[#This Row],[Total_Baled_tons]]*(IF(BaleMover[[#This Row],[Scenario_ID]]="S0",-2,0)+INDEX(BalePrices[Mid-Point],MATCH(BaleMover[[#This Row],[Bale_ID]],BalePrices[Bale_ID],0))),0))</f>
        <v>0</v>
      </c>
      <c r="Y422" s="397">
        <f>IF(AND(BaleMover[[#This Row],[Scenario_ID]]="S3",BaleMover[[#This Row],[MRF_ID]]="05"),0,IFERROR(BaleMover[[#This Row],[Total_Baled_tons]]*(IF(BaleMover[[#This Row],[Scenario_ID]]="S0",-2,0)+INDEX(BalePrices[High],MATCH(BaleMover[[#This Row],[Bale_ID]],BalePrices[Bale_ID],0))),0))</f>
        <v>0</v>
      </c>
    </row>
    <row r="423" spans="2:25" x14ac:dyDescent="0.2">
      <c r="B423" s="545" t="s">
        <v>870</v>
      </c>
      <c r="C423" s="499" t="s">
        <v>739</v>
      </c>
      <c r="D423" s="499"/>
      <c r="E423" s="499"/>
      <c r="F423" s="499" t="s">
        <v>1997</v>
      </c>
      <c r="G423" s="499" t="s">
        <v>2115</v>
      </c>
      <c r="H423" s="499" t="s">
        <v>1589</v>
      </c>
      <c r="I423" s="499" t="s">
        <v>977</v>
      </c>
      <c r="J423" s="499" t="s">
        <v>864</v>
      </c>
      <c r="K423" s="499" t="s">
        <v>2076</v>
      </c>
      <c r="L423" s="499">
        <v>5</v>
      </c>
      <c r="M423" s="499" t="s">
        <v>2077</v>
      </c>
      <c r="N423" s="499" t="s">
        <v>2058</v>
      </c>
      <c r="O423" s="525">
        <v>20724.187568733865</v>
      </c>
      <c r="P423" s="499">
        <v>50</v>
      </c>
      <c r="Q423" s="499"/>
      <c r="R423" s="499"/>
      <c r="S423" s="525"/>
      <c r="T423" s="525">
        <v>0</v>
      </c>
      <c r="U423" s="525">
        <v>1</v>
      </c>
      <c r="V423" s="525">
        <v>1036209.3784366932</v>
      </c>
      <c r="W423" s="589">
        <f>IF(AND(BaleMover[[#This Row],[Scenario_ID]]="S3",BaleMover[[#This Row],[MRF_ID]]="05"),0,IFERROR(BaleMover[[#This Row],[Total_Baled_tons]]*(IF(BaleMover[[#This Row],[Scenario_ID]]="S0",-2,0)+INDEX(BalePrices[Low],MATCH(BaleMover[[#This Row],[Bale_ID]],BalePrices[Bale_ID],0))),0))</f>
        <v>-414483.75137467729</v>
      </c>
      <c r="X423" s="397">
        <f>IF(AND(BaleMover[[#This Row],[Scenario_ID]]="S3",BaleMover[[#This Row],[MRF_ID]]="05"),0,IFERROR(BaleMover[[#This Row],[Total_Baled_tons]]*(IF(BaleMover[[#This Row],[Scenario_ID]]="S0",-2,0)+INDEX(BalePrices[Mid-Point],MATCH(BaleMover[[#This Row],[Bale_ID]],BalePrices[Bale_ID],0))),0))</f>
        <v>1036209.3784366932</v>
      </c>
      <c r="Y423" s="397">
        <f>IF(AND(BaleMover[[#This Row],[Scenario_ID]]="S3",BaleMover[[#This Row],[MRF_ID]]="05"),0,IFERROR(BaleMover[[#This Row],[Total_Baled_tons]]*(IF(BaleMover[[#This Row],[Scenario_ID]]="S0",-2,0)+INDEX(BalePrices[High],MATCH(BaleMover[[#This Row],[Bale_ID]],BalePrices[Bale_ID],0))),0))</f>
        <v>2486902.5082480637</v>
      </c>
    </row>
    <row r="424" spans="2:25" x14ac:dyDescent="0.2">
      <c r="B424" s="545" t="s">
        <v>870</v>
      </c>
      <c r="C424" s="499" t="s">
        <v>739</v>
      </c>
      <c r="D424" s="499"/>
      <c r="E424" s="499"/>
      <c r="F424" s="499" t="s">
        <v>1997</v>
      </c>
      <c r="G424" s="499" t="s">
        <v>2115</v>
      </c>
      <c r="H424" s="499" t="s">
        <v>1590</v>
      </c>
      <c r="I424" s="499" t="s">
        <v>978</v>
      </c>
      <c r="J424" s="499" t="s">
        <v>1892</v>
      </c>
      <c r="K424" s="499" t="s">
        <v>2076</v>
      </c>
      <c r="L424" s="499">
        <v>5</v>
      </c>
      <c r="M424" s="499" t="s">
        <v>2077</v>
      </c>
      <c r="N424" s="499" t="s">
        <v>2058</v>
      </c>
      <c r="O424" s="525">
        <v>0</v>
      </c>
      <c r="P424" s="499" t="s">
        <v>2054</v>
      </c>
      <c r="Q424" s="499"/>
      <c r="R424" s="499"/>
      <c r="S424" s="525"/>
      <c r="T424" s="525">
        <v>0</v>
      </c>
      <c r="U424" s="525">
        <v>1</v>
      </c>
      <c r="V424" s="525" t="s">
        <v>2054</v>
      </c>
      <c r="W424" s="589">
        <f>IF(AND(BaleMover[[#This Row],[Scenario_ID]]="S3",BaleMover[[#This Row],[MRF_ID]]="05"),0,IFERROR(BaleMover[[#This Row],[Total_Baled_tons]]*(IF(BaleMover[[#This Row],[Scenario_ID]]="S0",-2,0)+INDEX(BalePrices[Low],MATCH(BaleMover[[#This Row],[Bale_ID]],BalePrices[Bale_ID],0))),0))</f>
        <v>0</v>
      </c>
      <c r="X424" s="397">
        <f>IF(AND(BaleMover[[#This Row],[Scenario_ID]]="S3",BaleMover[[#This Row],[MRF_ID]]="05"),0,IFERROR(BaleMover[[#This Row],[Total_Baled_tons]]*(IF(BaleMover[[#This Row],[Scenario_ID]]="S0",-2,0)+INDEX(BalePrices[Mid-Point],MATCH(BaleMover[[#This Row],[Bale_ID]],BalePrices[Bale_ID],0))),0))</f>
        <v>0</v>
      </c>
      <c r="Y424" s="397">
        <f>IF(AND(BaleMover[[#This Row],[Scenario_ID]]="S3",BaleMover[[#This Row],[MRF_ID]]="05"),0,IFERROR(BaleMover[[#This Row],[Total_Baled_tons]]*(IF(BaleMover[[#This Row],[Scenario_ID]]="S0",-2,0)+INDEX(BalePrices[High],MATCH(BaleMover[[#This Row],[Bale_ID]],BalePrices[Bale_ID],0))),0))</f>
        <v>0</v>
      </c>
    </row>
    <row r="425" spans="2:25" x14ac:dyDescent="0.2">
      <c r="B425" s="545" t="s">
        <v>870</v>
      </c>
      <c r="C425" s="499" t="s">
        <v>739</v>
      </c>
      <c r="D425" s="499"/>
      <c r="E425" s="499"/>
      <c r="F425" s="499" t="s">
        <v>1997</v>
      </c>
      <c r="G425" s="499" t="s">
        <v>2115</v>
      </c>
      <c r="H425" s="499" t="s">
        <v>1591</v>
      </c>
      <c r="I425" s="499" t="s">
        <v>979</v>
      </c>
      <c r="J425" s="499" t="s">
        <v>980</v>
      </c>
      <c r="K425" s="499" t="s">
        <v>2076</v>
      </c>
      <c r="L425" s="499">
        <v>7</v>
      </c>
      <c r="M425" s="499" t="s">
        <v>2081</v>
      </c>
      <c r="N425" s="499" t="s">
        <v>2056</v>
      </c>
      <c r="O425" s="525">
        <v>1793.3214892142551</v>
      </c>
      <c r="P425" s="499">
        <v>145</v>
      </c>
      <c r="Q425" s="499"/>
      <c r="R425" s="499"/>
      <c r="S425" s="525"/>
      <c r="T425" s="525">
        <v>0</v>
      </c>
      <c r="U425" s="525">
        <v>1</v>
      </c>
      <c r="V425" s="525">
        <v>260031.61593606698</v>
      </c>
      <c r="W425" s="589">
        <f>IF(AND(BaleMover[[#This Row],[Scenario_ID]]="S3",BaleMover[[#This Row],[MRF_ID]]="05"),0,IFERROR(BaleMover[[#This Row],[Total_Baled_tons]]*(IF(BaleMover[[#This Row],[Scenario_ID]]="S0",-2,0)+INDEX(BalePrices[Low],MATCH(BaleMover[[#This Row],[Bale_ID]],BalePrices[Bale_ID],0))),0))</f>
        <v>26899.822338213824</v>
      </c>
      <c r="X425" s="397">
        <f>IF(AND(BaleMover[[#This Row],[Scenario_ID]]="S3",BaleMover[[#This Row],[MRF_ID]]="05"),0,IFERROR(BaleMover[[#This Row],[Total_Baled_tons]]*(IF(BaleMover[[#This Row],[Scenario_ID]]="S0",-2,0)+INDEX(BalePrices[Mid-Point],MATCH(BaleMover[[#This Row],[Bale_ID]],BalePrices[Bale_ID],0))),0))</f>
        <v>121049.20052196222</v>
      </c>
      <c r="Y425" s="397">
        <f>IF(AND(BaleMover[[#This Row],[Scenario_ID]]="S3",BaleMover[[#This Row],[MRF_ID]]="05"),0,IFERROR(BaleMover[[#This Row],[Total_Baled_tons]]*(IF(BaleMover[[#This Row],[Scenario_ID]]="S0",-2,0)+INDEX(BalePrices[High],MATCH(BaleMover[[#This Row],[Bale_ID]],BalePrices[Bale_ID],0))),0))</f>
        <v>215198.57870571059</v>
      </c>
    </row>
    <row r="426" spans="2:25" x14ac:dyDescent="0.2">
      <c r="B426" s="545" t="s">
        <v>870</v>
      </c>
      <c r="C426" s="499" t="s">
        <v>739</v>
      </c>
      <c r="D426" s="499"/>
      <c r="E426" s="499"/>
      <c r="F426" s="499" t="s">
        <v>1997</v>
      </c>
      <c r="G426" s="499" t="s">
        <v>2115</v>
      </c>
      <c r="H426" s="499" t="s">
        <v>1592</v>
      </c>
      <c r="I426" s="499" t="s">
        <v>981</v>
      </c>
      <c r="J426" s="499" t="s">
        <v>3674</v>
      </c>
      <c r="K426" s="499" t="s">
        <v>2076</v>
      </c>
      <c r="L426" s="499">
        <v>13</v>
      </c>
      <c r="M426" s="499" t="s">
        <v>2082</v>
      </c>
      <c r="N426" s="499" t="s">
        <v>2060</v>
      </c>
      <c r="O426" s="525">
        <v>0</v>
      </c>
      <c r="P426" s="499" t="s">
        <v>2054</v>
      </c>
      <c r="Q426" s="499"/>
      <c r="R426" s="499"/>
      <c r="S426" s="525"/>
      <c r="T426" s="525">
        <v>0</v>
      </c>
      <c r="U426" s="525">
        <v>1</v>
      </c>
      <c r="V426" s="525" t="s">
        <v>2054</v>
      </c>
      <c r="W426" s="589">
        <f>IF(AND(BaleMover[[#This Row],[Scenario_ID]]="S3",BaleMover[[#This Row],[MRF_ID]]="05"),0,IFERROR(BaleMover[[#This Row],[Total_Baled_tons]]*(IF(BaleMover[[#This Row],[Scenario_ID]]="S0",-2,0)+INDEX(BalePrices[Low],MATCH(BaleMover[[#This Row],[Bale_ID]],BalePrices[Bale_ID],0))),0))</f>
        <v>0</v>
      </c>
      <c r="X426" s="397">
        <f>IF(AND(BaleMover[[#This Row],[Scenario_ID]]="S3",BaleMover[[#This Row],[MRF_ID]]="05"),0,IFERROR(BaleMover[[#This Row],[Total_Baled_tons]]*(IF(BaleMover[[#This Row],[Scenario_ID]]="S0",-2,0)+INDEX(BalePrices[Mid-Point],MATCH(BaleMover[[#This Row],[Bale_ID]],BalePrices[Bale_ID],0))),0))</f>
        <v>0</v>
      </c>
      <c r="Y426" s="397">
        <f>IF(AND(BaleMover[[#This Row],[Scenario_ID]]="S3",BaleMover[[#This Row],[MRF_ID]]="05"),0,IFERROR(BaleMover[[#This Row],[Total_Baled_tons]]*(IF(BaleMover[[#This Row],[Scenario_ID]]="S0",-2,0)+INDEX(BalePrices[High],MATCH(BaleMover[[#This Row],[Bale_ID]],BalePrices[Bale_ID],0))),0))</f>
        <v>0</v>
      </c>
    </row>
    <row r="427" spans="2:25" x14ac:dyDescent="0.2">
      <c r="B427" s="545" t="s">
        <v>870</v>
      </c>
      <c r="C427" s="499" t="s">
        <v>739</v>
      </c>
      <c r="D427" s="499"/>
      <c r="E427" s="499"/>
      <c r="F427" s="499" t="s">
        <v>1997</v>
      </c>
      <c r="G427" s="499" t="s">
        <v>2115</v>
      </c>
      <c r="H427" s="499" t="s">
        <v>1593</v>
      </c>
      <c r="I427" s="499" t="s">
        <v>982</v>
      </c>
      <c r="J427" s="499" t="s">
        <v>983</v>
      </c>
      <c r="K427" s="499" t="s">
        <v>2076</v>
      </c>
      <c r="L427" s="499">
        <v>3</v>
      </c>
      <c r="M427" s="499" t="s">
        <v>2113</v>
      </c>
      <c r="N427" s="499" t="s">
        <v>2114</v>
      </c>
      <c r="O427" s="525">
        <v>7006.9514924857158</v>
      </c>
      <c r="P427" s="499">
        <v>30</v>
      </c>
      <c r="Q427" s="499"/>
      <c r="R427" s="499"/>
      <c r="S427" s="525"/>
      <c r="T427" s="525">
        <v>0</v>
      </c>
      <c r="U427" s="525">
        <v>1</v>
      </c>
      <c r="V427" s="525">
        <v>210208.54477457146</v>
      </c>
      <c r="W427" s="589">
        <f>IF(AND(BaleMover[[#This Row],[Scenario_ID]]="S3",BaleMover[[#This Row],[MRF_ID]]="05"),0,IFERROR(BaleMover[[#This Row],[Total_Baled_tons]]*(IF(BaleMover[[#This Row],[Scenario_ID]]="S0",-2,0)+INDEX(BalePrices[Low],MATCH(BaleMover[[#This Row],[Bale_ID]],BalePrices[Bale_ID],0))),0))</f>
        <v>1331320.7835722859</v>
      </c>
      <c r="X427" s="397">
        <f>IF(AND(BaleMover[[#This Row],[Scenario_ID]]="S3",BaleMover[[#This Row],[MRF_ID]]="05"),0,IFERROR(BaleMover[[#This Row],[Total_Baled_tons]]*(IF(BaleMover[[#This Row],[Scenario_ID]]="S0",-2,0)+INDEX(BalePrices[Mid-Point],MATCH(BaleMover[[#This Row],[Bale_ID]],BalePrices[Bale_ID],0))),0))</f>
        <v>1716703.1156590004</v>
      </c>
      <c r="Y427" s="397">
        <f>IF(AND(BaleMover[[#This Row],[Scenario_ID]]="S3",BaleMover[[#This Row],[MRF_ID]]="05"),0,IFERROR(BaleMover[[#This Row],[Total_Baled_tons]]*(IF(BaleMover[[#This Row],[Scenario_ID]]="S0",-2,0)+INDEX(BalePrices[High],MATCH(BaleMover[[#This Row],[Bale_ID]],BalePrices[Bale_ID],0))),0))</f>
        <v>2102085.4477457148</v>
      </c>
    </row>
    <row r="428" spans="2:25" x14ac:dyDescent="0.2">
      <c r="B428" s="545" t="s">
        <v>870</v>
      </c>
      <c r="C428" s="499" t="s">
        <v>739</v>
      </c>
      <c r="D428" s="499"/>
      <c r="E428" s="499"/>
      <c r="F428" s="499" t="s">
        <v>1997</v>
      </c>
      <c r="G428" s="499" t="s">
        <v>2115</v>
      </c>
      <c r="H428" s="499" t="s">
        <v>1594</v>
      </c>
      <c r="I428" s="499" t="s">
        <v>984</v>
      </c>
      <c r="J428" s="499" t="s">
        <v>985</v>
      </c>
      <c r="K428" s="499" t="s">
        <v>2076</v>
      </c>
      <c r="L428" s="499">
        <v>11</v>
      </c>
      <c r="M428" s="499" t="s">
        <v>2084</v>
      </c>
      <c r="N428" s="499" t="s">
        <v>2064</v>
      </c>
      <c r="O428" s="525">
        <v>2778.6647108559764</v>
      </c>
      <c r="P428" s="499">
        <v>960</v>
      </c>
      <c r="Q428" s="499"/>
      <c r="R428" s="499"/>
      <c r="S428" s="525"/>
      <c r="T428" s="525">
        <v>0</v>
      </c>
      <c r="U428" s="525">
        <v>1</v>
      </c>
      <c r="V428" s="525">
        <v>2667518.1224217373</v>
      </c>
      <c r="W428" s="589">
        <f>IF(AND(BaleMover[[#This Row],[Scenario_ID]]="S3",BaleMover[[#This Row],[MRF_ID]]="05"),0,IFERROR(BaleMover[[#This Row],[Total_Baled_tons]]*(IF(BaleMover[[#This Row],[Scenario_ID]]="S0",-2,0)+INDEX(BalePrices[Low],MATCH(BaleMover[[#This Row],[Bale_ID]],BalePrices[Bale_ID],0))),0))</f>
        <v>250079.82397703789</v>
      </c>
      <c r="X428" s="397">
        <f>IF(AND(BaleMover[[#This Row],[Scenario_ID]]="S3",BaleMover[[#This Row],[MRF_ID]]="05"),0,IFERROR(BaleMover[[#This Row],[Total_Baled_tons]]*(IF(BaleMover[[#This Row],[Scenario_ID]]="S0",-2,0)+INDEX(BalePrices[Mid-Point],MATCH(BaleMover[[#This Row],[Bale_ID]],BalePrices[Bale_ID],0))),0))</f>
        <v>375119.73596555681</v>
      </c>
      <c r="Y428" s="397">
        <f>IF(AND(BaleMover[[#This Row],[Scenario_ID]]="S3",BaleMover[[#This Row],[MRF_ID]]="05"),0,IFERROR(BaleMover[[#This Row],[Total_Baled_tons]]*(IF(BaleMover[[#This Row],[Scenario_ID]]="S0",-2,0)+INDEX(BalePrices[High],MATCH(BaleMover[[#This Row],[Bale_ID]],BalePrices[Bale_ID],0))),0))</f>
        <v>500159.64795407577</v>
      </c>
    </row>
    <row r="429" spans="2:25" x14ac:dyDescent="0.2">
      <c r="B429" s="545" t="s">
        <v>870</v>
      </c>
      <c r="C429" s="499" t="s">
        <v>739</v>
      </c>
      <c r="D429" s="499"/>
      <c r="E429" s="499"/>
      <c r="F429" s="499" t="s">
        <v>1997</v>
      </c>
      <c r="G429" s="499" t="s">
        <v>2115</v>
      </c>
      <c r="H429" s="499" t="s">
        <v>1595</v>
      </c>
      <c r="I429" s="499" t="s">
        <v>986</v>
      </c>
      <c r="J429" s="499" t="s">
        <v>987</v>
      </c>
      <c r="K429" s="499" t="s">
        <v>2076</v>
      </c>
      <c r="L429" s="499">
        <v>8</v>
      </c>
      <c r="M429" s="499" t="s">
        <v>2085</v>
      </c>
      <c r="N429" s="499" t="s">
        <v>2068</v>
      </c>
      <c r="O429" s="525">
        <v>2080.5836831490396</v>
      </c>
      <c r="P429" s="499">
        <v>315</v>
      </c>
      <c r="Q429" s="499"/>
      <c r="R429" s="499"/>
      <c r="S429" s="525"/>
      <c r="T429" s="525">
        <v>0</v>
      </c>
      <c r="U429" s="525">
        <v>1</v>
      </c>
      <c r="V429" s="525">
        <v>655383.86019194743</v>
      </c>
      <c r="W429" s="589">
        <f>IF(AND(BaleMover[[#This Row],[Scenario_ID]]="S3",BaleMover[[#This Row],[MRF_ID]]="05"),0,IFERROR(BaleMover[[#This Row],[Total_Baled_tons]]*(IF(BaleMover[[#This Row],[Scenario_ID]]="S0",-2,0)+INDEX(BalePrices[Low],MATCH(BaleMover[[#This Row],[Bale_ID]],BalePrices[Bale_ID],0))),0))</f>
        <v>832233.47325961583</v>
      </c>
      <c r="X429" s="397">
        <f>IF(AND(BaleMover[[#This Row],[Scenario_ID]]="S3",BaleMover[[#This Row],[MRF_ID]]="05"),0,IFERROR(BaleMover[[#This Row],[Total_Baled_tons]]*(IF(BaleMover[[#This Row],[Scenario_ID]]="S0",-2,0)+INDEX(BalePrices[Mid-Point],MATCH(BaleMover[[#This Row],[Bale_ID]],BalePrices[Bale_ID],0))),0))</f>
        <v>1498020.2518673085</v>
      </c>
      <c r="Y429" s="397">
        <f>IF(AND(BaleMover[[#This Row],[Scenario_ID]]="S3",BaleMover[[#This Row],[MRF_ID]]="05"),0,IFERROR(BaleMover[[#This Row],[Total_Baled_tons]]*(IF(BaleMover[[#This Row],[Scenario_ID]]="S0",-2,0)+INDEX(BalePrices[High],MATCH(BaleMover[[#This Row],[Bale_ID]],BalePrices[Bale_ID],0))),0))</f>
        <v>2163807.0304750013</v>
      </c>
    </row>
    <row r="430" spans="2:25" x14ac:dyDescent="0.2">
      <c r="B430" s="545" t="s">
        <v>870</v>
      </c>
      <c r="C430" s="499" t="s">
        <v>739</v>
      </c>
      <c r="D430" s="499"/>
      <c r="E430" s="499"/>
      <c r="F430" s="499" t="s">
        <v>1997</v>
      </c>
      <c r="G430" s="499" t="s">
        <v>2115</v>
      </c>
      <c r="H430" s="499" t="s">
        <v>1596</v>
      </c>
      <c r="I430" s="499" t="s">
        <v>988</v>
      </c>
      <c r="J430" s="499" t="s">
        <v>989</v>
      </c>
      <c r="K430" s="499" t="s">
        <v>2076</v>
      </c>
      <c r="L430" s="499">
        <v>8</v>
      </c>
      <c r="M430" s="499" t="s">
        <v>2085</v>
      </c>
      <c r="N430" s="499" t="s">
        <v>2068</v>
      </c>
      <c r="O430" s="525">
        <v>2860.8025643299288</v>
      </c>
      <c r="P430" s="499">
        <v>315</v>
      </c>
      <c r="Q430" s="499"/>
      <c r="R430" s="499"/>
      <c r="S430" s="525"/>
      <c r="T430" s="525">
        <v>0</v>
      </c>
      <c r="U430" s="525">
        <v>1</v>
      </c>
      <c r="V430" s="525">
        <v>901152.80776392762</v>
      </c>
      <c r="W430" s="589">
        <f>IF(AND(BaleMover[[#This Row],[Scenario_ID]]="S3",BaleMover[[#This Row],[MRF_ID]]="05"),0,IFERROR(BaleMover[[#This Row],[Total_Baled_tons]]*(IF(BaleMover[[#This Row],[Scenario_ID]]="S0",-2,0)+INDEX(BalePrices[Low],MATCH(BaleMover[[#This Row],[Bale_ID]],BalePrices[Bale_ID],0))),0))</f>
        <v>228864.20514639432</v>
      </c>
      <c r="X430" s="397">
        <f>IF(AND(BaleMover[[#This Row],[Scenario_ID]]="S3",BaleMover[[#This Row],[MRF_ID]]="05"),0,IFERROR(BaleMover[[#This Row],[Total_Baled_tons]]*(IF(BaleMover[[#This Row],[Scenario_ID]]="S0",-2,0)+INDEX(BalePrices[Mid-Point],MATCH(BaleMover[[#This Row],[Bale_ID]],BalePrices[Bale_ID],0))),0))</f>
        <v>615072.55133093474</v>
      </c>
      <c r="Y430" s="397">
        <f>IF(AND(BaleMover[[#This Row],[Scenario_ID]]="S3",BaleMover[[#This Row],[MRF_ID]]="05"),0,IFERROR(BaleMover[[#This Row],[Total_Baled_tons]]*(IF(BaleMover[[#This Row],[Scenario_ID]]="S0",-2,0)+INDEX(BalePrices[High],MATCH(BaleMover[[#This Row],[Bale_ID]],BalePrices[Bale_ID],0))),0))</f>
        <v>1001280.8975154751</v>
      </c>
    </row>
    <row r="431" spans="2:25" x14ac:dyDescent="0.2">
      <c r="B431" s="545" t="s">
        <v>870</v>
      </c>
      <c r="C431" s="499" t="s">
        <v>739</v>
      </c>
      <c r="D431" s="499"/>
      <c r="E431" s="499"/>
      <c r="F431" s="499" t="s">
        <v>1997</v>
      </c>
      <c r="G431" s="499" t="s">
        <v>2115</v>
      </c>
      <c r="H431" s="499" t="s">
        <v>1597</v>
      </c>
      <c r="I431" s="499" t="s">
        <v>990</v>
      </c>
      <c r="J431" s="499" t="s">
        <v>991</v>
      </c>
      <c r="K431" s="499" t="s">
        <v>2076</v>
      </c>
      <c r="L431" s="499">
        <v>1</v>
      </c>
      <c r="M431" s="499" t="s">
        <v>2086</v>
      </c>
      <c r="N431" s="499" t="s">
        <v>2066</v>
      </c>
      <c r="O431" s="525">
        <v>1386.2208327467258</v>
      </c>
      <c r="P431" s="499">
        <v>20</v>
      </c>
      <c r="Q431" s="499"/>
      <c r="R431" s="499"/>
      <c r="S431" s="525"/>
      <c r="T431" s="525">
        <v>0</v>
      </c>
      <c r="U431" s="525">
        <v>1</v>
      </c>
      <c r="V431" s="525">
        <v>27724.416654934517</v>
      </c>
      <c r="W431" s="589">
        <f>IF(AND(BaleMover[[#This Row],[Scenario_ID]]="S3",BaleMover[[#This Row],[MRF_ID]]="05"),0,IFERROR(BaleMover[[#This Row],[Total_Baled_tons]]*(IF(BaleMover[[#This Row],[Scenario_ID]]="S0",-2,0)+INDEX(BalePrices[Low],MATCH(BaleMover[[#This Row],[Bale_ID]],BalePrices[Bale_ID],0))),0))</f>
        <v>69311.041637336297</v>
      </c>
      <c r="X431" s="397">
        <f>IF(AND(BaleMover[[#This Row],[Scenario_ID]]="S3",BaleMover[[#This Row],[MRF_ID]]="05"),0,IFERROR(BaleMover[[#This Row],[Total_Baled_tons]]*(IF(BaleMover[[#This Row],[Scenario_ID]]="S0",-2,0)+INDEX(BalePrices[Mid-Point],MATCH(BaleMover[[#This Row],[Bale_ID]],BalePrices[Bale_ID],0))),0))</f>
        <v>173277.60409334072</v>
      </c>
      <c r="Y431" s="397">
        <f>IF(AND(BaleMover[[#This Row],[Scenario_ID]]="S3",BaleMover[[#This Row],[MRF_ID]]="05"),0,IFERROR(BaleMover[[#This Row],[Total_Baled_tons]]*(IF(BaleMover[[#This Row],[Scenario_ID]]="S0",-2,0)+INDEX(BalePrices[High],MATCH(BaleMover[[#This Row],[Bale_ID]],BalePrices[Bale_ID],0))),0))</f>
        <v>277244.16654934519</v>
      </c>
    </row>
    <row r="432" spans="2:25" x14ac:dyDescent="0.2">
      <c r="B432" s="545" t="s">
        <v>870</v>
      </c>
      <c r="C432" s="499" t="s">
        <v>739</v>
      </c>
      <c r="D432" s="499"/>
      <c r="E432" s="499"/>
      <c r="F432" s="499" t="s">
        <v>1997</v>
      </c>
      <c r="G432" s="499" t="s">
        <v>2115</v>
      </c>
      <c r="H432" s="499" t="s">
        <v>1598</v>
      </c>
      <c r="I432" s="499" t="s">
        <v>994</v>
      </c>
      <c r="J432" s="499" t="s">
        <v>995</v>
      </c>
      <c r="K432" s="499" t="s">
        <v>2076</v>
      </c>
      <c r="L432" s="499">
        <v>8</v>
      </c>
      <c r="M432" s="499" t="s">
        <v>2085</v>
      </c>
      <c r="N432" s="499" t="s">
        <v>2068</v>
      </c>
      <c r="O432" s="525">
        <v>0</v>
      </c>
      <c r="P432" s="499" t="s">
        <v>2054</v>
      </c>
      <c r="Q432" s="499"/>
      <c r="R432" s="499"/>
      <c r="S432" s="525"/>
      <c r="T432" s="525">
        <v>0</v>
      </c>
      <c r="U432" s="525">
        <v>1</v>
      </c>
      <c r="V432" s="525" t="s">
        <v>2054</v>
      </c>
      <c r="W432" s="589">
        <f>IF(AND(BaleMover[[#This Row],[Scenario_ID]]="S3",BaleMover[[#This Row],[MRF_ID]]="05"),0,IFERROR(BaleMover[[#This Row],[Total_Baled_tons]]*(IF(BaleMover[[#This Row],[Scenario_ID]]="S0",-2,0)+INDEX(BalePrices[Low],MATCH(BaleMover[[#This Row],[Bale_ID]],BalePrices[Bale_ID],0))),0))</f>
        <v>0</v>
      </c>
      <c r="X432" s="397">
        <f>IF(AND(BaleMover[[#This Row],[Scenario_ID]]="S3",BaleMover[[#This Row],[MRF_ID]]="05"),0,IFERROR(BaleMover[[#This Row],[Total_Baled_tons]]*(IF(BaleMover[[#This Row],[Scenario_ID]]="S0",-2,0)+INDEX(BalePrices[Mid-Point],MATCH(BaleMover[[#This Row],[Bale_ID]],BalePrices[Bale_ID],0))),0))</f>
        <v>0</v>
      </c>
      <c r="Y432" s="397">
        <f>IF(AND(BaleMover[[#This Row],[Scenario_ID]]="S3",BaleMover[[#This Row],[MRF_ID]]="05"),0,IFERROR(BaleMover[[#This Row],[Total_Baled_tons]]*(IF(BaleMover[[#This Row],[Scenario_ID]]="S0",-2,0)+INDEX(BalePrices[High],MATCH(BaleMover[[#This Row],[Bale_ID]],BalePrices[Bale_ID],0))),0))</f>
        <v>0</v>
      </c>
    </row>
    <row r="433" spans="2:25" x14ac:dyDescent="0.2">
      <c r="B433" s="545" t="s">
        <v>870</v>
      </c>
      <c r="C433" s="499" t="s">
        <v>739</v>
      </c>
      <c r="D433" s="499"/>
      <c r="E433" s="499"/>
      <c r="F433" s="499" t="s">
        <v>1997</v>
      </c>
      <c r="G433" s="499" t="s">
        <v>2115</v>
      </c>
      <c r="H433" s="499" t="s">
        <v>1599</v>
      </c>
      <c r="I433" s="499" t="s">
        <v>996</v>
      </c>
      <c r="J433" s="499" t="s">
        <v>997</v>
      </c>
      <c r="K433" s="499" t="s">
        <v>2076</v>
      </c>
      <c r="L433" s="499">
        <v>8</v>
      </c>
      <c r="M433" s="499" t="s">
        <v>2085</v>
      </c>
      <c r="N433" s="499" t="s">
        <v>2068</v>
      </c>
      <c r="O433" s="525">
        <v>0</v>
      </c>
      <c r="P433" s="499" t="s">
        <v>2054</v>
      </c>
      <c r="Q433" s="499"/>
      <c r="R433" s="499"/>
      <c r="S433" s="525"/>
      <c r="T433" s="525">
        <v>0</v>
      </c>
      <c r="U433" s="525">
        <v>1</v>
      </c>
      <c r="V433" s="525" t="s">
        <v>2054</v>
      </c>
      <c r="W433" s="589">
        <f>IF(AND(BaleMover[[#This Row],[Scenario_ID]]="S3",BaleMover[[#This Row],[MRF_ID]]="05"),0,IFERROR(BaleMover[[#This Row],[Total_Baled_tons]]*(IF(BaleMover[[#This Row],[Scenario_ID]]="S0",-2,0)+INDEX(BalePrices[Low],MATCH(BaleMover[[#This Row],[Bale_ID]],BalePrices[Bale_ID],0))),0))</f>
        <v>0</v>
      </c>
      <c r="X433" s="397">
        <f>IF(AND(BaleMover[[#This Row],[Scenario_ID]]="S3",BaleMover[[#This Row],[MRF_ID]]="05"),0,IFERROR(BaleMover[[#This Row],[Total_Baled_tons]]*(IF(BaleMover[[#This Row],[Scenario_ID]]="S0",-2,0)+INDEX(BalePrices[Mid-Point],MATCH(BaleMover[[#This Row],[Bale_ID]],BalePrices[Bale_ID],0))),0))</f>
        <v>0</v>
      </c>
      <c r="Y433" s="397">
        <f>IF(AND(BaleMover[[#This Row],[Scenario_ID]]="S3",BaleMover[[#This Row],[MRF_ID]]="05"),0,IFERROR(BaleMover[[#This Row],[Total_Baled_tons]]*(IF(BaleMover[[#This Row],[Scenario_ID]]="S0",-2,0)+INDEX(BalePrices[High],MATCH(BaleMover[[#This Row],[Bale_ID]],BalePrices[Bale_ID],0))),0))</f>
        <v>0</v>
      </c>
    </row>
    <row r="434" spans="2:25" x14ac:dyDescent="0.2">
      <c r="B434" s="545" t="s">
        <v>870</v>
      </c>
      <c r="C434" s="499" t="s">
        <v>739</v>
      </c>
      <c r="D434" s="499"/>
      <c r="E434" s="499"/>
      <c r="F434" s="499" t="s">
        <v>1997</v>
      </c>
      <c r="G434" s="499" t="s">
        <v>2115</v>
      </c>
      <c r="H434" s="499" t="s">
        <v>1600</v>
      </c>
      <c r="I434" s="499" t="s">
        <v>998</v>
      </c>
      <c r="J434" s="499" t="s">
        <v>999</v>
      </c>
      <c r="K434" s="499" t="s">
        <v>2076</v>
      </c>
      <c r="L434" s="499">
        <v>8</v>
      </c>
      <c r="M434" s="499" t="s">
        <v>2085</v>
      </c>
      <c r="N434" s="499" t="s">
        <v>2068</v>
      </c>
      <c r="O434" s="525">
        <v>0</v>
      </c>
      <c r="P434" s="499" t="s">
        <v>2054</v>
      </c>
      <c r="Q434" s="499"/>
      <c r="R434" s="499"/>
      <c r="S434" s="525"/>
      <c r="T434" s="525">
        <v>0</v>
      </c>
      <c r="U434" s="525">
        <v>1</v>
      </c>
      <c r="V434" s="525" t="s">
        <v>2054</v>
      </c>
      <c r="W434" s="589">
        <f>IF(AND(BaleMover[[#This Row],[Scenario_ID]]="S3",BaleMover[[#This Row],[MRF_ID]]="05"),0,IFERROR(BaleMover[[#This Row],[Total_Baled_tons]]*(IF(BaleMover[[#This Row],[Scenario_ID]]="S0",-2,0)+INDEX(BalePrices[Low],MATCH(BaleMover[[#This Row],[Bale_ID]],BalePrices[Bale_ID],0))),0))</f>
        <v>0</v>
      </c>
      <c r="X434" s="397">
        <f>IF(AND(BaleMover[[#This Row],[Scenario_ID]]="S3",BaleMover[[#This Row],[MRF_ID]]="05"),0,IFERROR(BaleMover[[#This Row],[Total_Baled_tons]]*(IF(BaleMover[[#This Row],[Scenario_ID]]="S0",-2,0)+INDEX(BalePrices[Mid-Point],MATCH(BaleMover[[#This Row],[Bale_ID]],BalePrices[Bale_ID],0))),0))</f>
        <v>0</v>
      </c>
      <c r="Y434" s="397">
        <f>IF(AND(BaleMover[[#This Row],[Scenario_ID]]="S3",BaleMover[[#This Row],[MRF_ID]]="05"),0,IFERROR(BaleMover[[#This Row],[Total_Baled_tons]]*(IF(BaleMover[[#This Row],[Scenario_ID]]="S0",-2,0)+INDEX(BalePrices[High],MATCH(BaleMover[[#This Row],[Bale_ID]],BalePrices[Bale_ID],0))),0))</f>
        <v>0</v>
      </c>
    </row>
    <row r="435" spans="2:25" x14ac:dyDescent="0.2">
      <c r="B435" s="545" t="s">
        <v>870</v>
      </c>
      <c r="C435" s="499" t="s">
        <v>739</v>
      </c>
      <c r="D435" s="499"/>
      <c r="E435" s="499"/>
      <c r="F435" s="499" t="s">
        <v>1997</v>
      </c>
      <c r="G435" s="499" t="s">
        <v>2115</v>
      </c>
      <c r="H435" s="499" t="s">
        <v>1601</v>
      </c>
      <c r="I435" s="499" t="s">
        <v>1000</v>
      </c>
      <c r="J435" s="499" t="s">
        <v>1001</v>
      </c>
      <c r="K435" s="499" t="s">
        <v>2076</v>
      </c>
      <c r="L435" s="499">
        <v>12</v>
      </c>
      <c r="M435" s="499" t="s">
        <v>2087</v>
      </c>
      <c r="N435" s="499" t="s">
        <v>2070</v>
      </c>
      <c r="O435" s="525">
        <v>11600.523288498216</v>
      </c>
      <c r="P435" s="499">
        <v>2630</v>
      </c>
      <c r="Q435" s="499"/>
      <c r="R435" s="499"/>
      <c r="S435" s="525"/>
      <c r="T435" s="525">
        <v>0</v>
      </c>
      <c r="U435" s="525">
        <v>1</v>
      </c>
      <c r="V435" s="525">
        <v>30509376.248750307</v>
      </c>
      <c r="W435" s="589">
        <f>IF(AND(BaleMover[[#This Row],[Scenario_ID]]="S3",BaleMover[[#This Row],[MRF_ID]]="05"),0,IFERROR(BaleMover[[#This Row],[Total_Baled_tons]]*(IF(BaleMover[[#This Row],[Scenario_ID]]="S0",-2,0)+INDEX(BalePrices[Low],MATCH(BaleMover[[#This Row],[Bale_ID]],BalePrices[Bale_ID],0))),0))</f>
        <v>580026.16442491079</v>
      </c>
      <c r="X435" s="397">
        <f>IF(AND(BaleMover[[#This Row],[Scenario_ID]]="S3",BaleMover[[#This Row],[MRF_ID]]="05"),0,IFERROR(BaleMover[[#This Row],[Total_Baled_tons]]*(IF(BaleMover[[#This Row],[Scenario_ID]]="S0",-2,0)+INDEX(BalePrices[Mid-Point],MATCH(BaleMover[[#This Row],[Bale_ID]],BalePrices[Bale_ID],0))),0))</f>
        <v>1160052.3288498216</v>
      </c>
      <c r="Y435" s="397">
        <f>IF(AND(BaleMover[[#This Row],[Scenario_ID]]="S3",BaleMover[[#This Row],[MRF_ID]]="05"),0,IFERROR(BaleMover[[#This Row],[Total_Baled_tons]]*(IF(BaleMover[[#This Row],[Scenario_ID]]="S0",-2,0)+INDEX(BalePrices[High],MATCH(BaleMover[[#This Row],[Bale_ID]],BalePrices[Bale_ID],0))),0))</f>
        <v>1740078.4932747325</v>
      </c>
    </row>
    <row r="436" spans="2:25" x14ac:dyDescent="0.2">
      <c r="B436" s="545" t="s">
        <v>870</v>
      </c>
      <c r="C436" s="499" t="s">
        <v>739</v>
      </c>
      <c r="D436" s="499"/>
      <c r="E436" s="499"/>
      <c r="F436" s="499" t="s">
        <v>1997</v>
      </c>
      <c r="G436" s="499" t="s">
        <v>2115</v>
      </c>
      <c r="H436" s="499" t="s">
        <v>1602</v>
      </c>
      <c r="I436" s="499" t="s">
        <v>1002</v>
      </c>
      <c r="J436" s="499" t="s">
        <v>1003</v>
      </c>
      <c r="K436" s="499" t="s">
        <v>2076</v>
      </c>
      <c r="L436" s="499">
        <v>1</v>
      </c>
      <c r="M436" s="499" t="s">
        <v>2086</v>
      </c>
      <c r="N436" s="499" t="s">
        <v>2066</v>
      </c>
      <c r="O436" s="525">
        <v>205.59153827544975</v>
      </c>
      <c r="P436" s="499">
        <v>20</v>
      </c>
      <c r="Q436" s="499"/>
      <c r="R436" s="499"/>
      <c r="S436" s="525"/>
      <c r="T436" s="525">
        <v>0</v>
      </c>
      <c r="U436" s="525">
        <v>1</v>
      </c>
      <c r="V436" s="525">
        <v>4111.8307655089948</v>
      </c>
      <c r="W436" s="589">
        <f>IF(AND(BaleMover[[#This Row],[Scenario_ID]]="S3",BaleMover[[#This Row],[MRF_ID]]="05"),0,IFERROR(BaleMover[[#This Row],[Total_Baled_tons]]*(IF(BaleMover[[#This Row],[Scenario_ID]]="S0",-2,0)+INDEX(BalePrices[Low],MATCH(BaleMover[[#This Row],[Bale_ID]],BalePrices[Bale_ID],0))),0))</f>
        <v>35978.519198203707</v>
      </c>
      <c r="X436" s="397">
        <f>IF(AND(BaleMover[[#This Row],[Scenario_ID]]="S3",BaleMover[[#This Row],[MRF_ID]]="05"),0,IFERROR(BaleMover[[#This Row],[Total_Baled_tons]]*(IF(BaleMover[[#This Row],[Scenario_ID]]="S0",-2,0)+INDEX(BalePrices[Mid-Point],MATCH(BaleMover[[#This Row],[Bale_ID]],BalePrices[Bale_ID],0))),0))</f>
        <v>43688.201883533075</v>
      </c>
      <c r="Y436" s="397">
        <f>IF(AND(BaleMover[[#This Row],[Scenario_ID]]="S3",BaleMover[[#This Row],[MRF_ID]]="05"),0,IFERROR(BaleMover[[#This Row],[Total_Baled_tons]]*(IF(BaleMover[[#This Row],[Scenario_ID]]="S0",-2,0)+INDEX(BalePrices[High],MATCH(BaleMover[[#This Row],[Bale_ID]],BalePrices[Bale_ID],0))),0))</f>
        <v>51397.884568862435</v>
      </c>
    </row>
    <row r="437" spans="2:25" x14ac:dyDescent="0.2">
      <c r="B437" s="545" t="s">
        <v>870</v>
      </c>
      <c r="C437" s="499" t="s">
        <v>739</v>
      </c>
      <c r="D437" s="499"/>
      <c r="E437" s="499"/>
      <c r="F437" s="499" t="s">
        <v>1997</v>
      </c>
      <c r="G437" s="499" t="s">
        <v>2115</v>
      </c>
      <c r="H437" s="499" t="s">
        <v>1603</v>
      </c>
      <c r="I437" s="499" t="s">
        <v>1006</v>
      </c>
      <c r="J437" s="499" t="s">
        <v>1007</v>
      </c>
      <c r="K437" s="499" t="s">
        <v>2076</v>
      </c>
      <c r="L437" s="499">
        <v>1</v>
      </c>
      <c r="M437" s="499" t="s">
        <v>2086</v>
      </c>
      <c r="N437" s="499" t="s">
        <v>2066</v>
      </c>
      <c r="O437" s="525">
        <v>5946.7164921813155</v>
      </c>
      <c r="P437" s="499">
        <v>20</v>
      </c>
      <c r="Q437" s="499"/>
      <c r="R437" s="499"/>
      <c r="S437" s="525"/>
      <c r="T437" s="525">
        <v>0</v>
      </c>
      <c r="U437" s="525">
        <v>1</v>
      </c>
      <c r="V437" s="525">
        <v>118934.32984362631</v>
      </c>
      <c r="W437" s="589">
        <f>IF(AND(BaleMover[[#This Row],[Scenario_ID]]="S3",BaleMover[[#This Row],[MRF_ID]]="05"),0,IFERROR(BaleMover[[#This Row],[Total_Baled_tons]]*(IF(BaleMover[[#This Row],[Scenario_ID]]="S0",-2,0)+INDEX(BalePrices[Low],MATCH(BaleMover[[#This Row],[Bale_ID]],BalePrices[Bale_ID],0))),0))</f>
        <v>297335.82460906578</v>
      </c>
      <c r="X437" s="397">
        <f>IF(AND(BaleMover[[#This Row],[Scenario_ID]]="S3",BaleMover[[#This Row],[MRF_ID]]="05"),0,IFERROR(BaleMover[[#This Row],[Total_Baled_tons]]*(IF(BaleMover[[#This Row],[Scenario_ID]]="S0",-2,0)+INDEX(BalePrices[Mid-Point],MATCH(BaleMover[[#This Row],[Bale_ID]],BalePrices[Bale_ID],0))),0))</f>
        <v>892007.47382719733</v>
      </c>
      <c r="Y437" s="397">
        <f>IF(AND(BaleMover[[#This Row],[Scenario_ID]]="S3",BaleMover[[#This Row],[MRF_ID]]="05"),0,IFERROR(BaleMover[[#This Row],[Total_Baled_tons]]*(IF(BaleMover[[#This Row],[Scenario_ID]]="S0",-2,0)+INDEX(BalePrices[High],MATCH(BaleMover[[#This Row],[Bale_ID]],BalePrices[Bale_ID],0))),0))</f>
        <v>1486679.1230453288</v>
      </c>
    </row>
    <row r="438" spans="2:25" x14ac:dyDescent="0.2">
      <c r="B438" s="545" t="s">
        <v>870</v>
      </c>
      <c r="C438" s="499" t="s">
        <v>739</v>
      </c>
      <c r="D438" s="499"/>
      <c r="E438" s="499"/>
      <c r="F438" s="499" t="s">
        <v>1997</v>
      </c>
      <c r="G438" s="499" t="s">
        <v>2115</v>
      </c>
      <c r="H438" s="499" t="s">
        <v>1604</v>
      </c>
      <c r="I438" s="499" t="s">
        <v>1008</v>
      </c>
      <c r="J438" s="499" t="s">
        <v>1009</v>
      </c>
      <c r="K438" s="499" t="s">
        <v>2076</v>
      </c>
      <c r="L438" s="499">
        <v>2</v>
      </c>
      <c r="M438" s="499" t="s">
        <v>2088</v>
      </c>
      <c r="N438" s="499" t="s">
        <v>2072</v>
      </c>
      <c r="O438" s="525">
        <v>701.05664920405093</v>
      </c>
      <c r="P438" s="499">
        <v>20</v>
      </c>
      <c r="Q438" s="499"/>
      <c r="R438" s="499"/>
      <c r="S438" s="525"/>
      <c r="T438" s="525">
        <v>0</v>
      </c>
      <c r="U438" s="525">
        <v>1</v>
      </c>
      <c r="V438" s="525">
        <v>14021.132984081018</v>
      </c>
      <c r="W438" s="589">
        <f>IF(AND(BaleMover[[#This Row],[Scenario_ID]]="S3",BaleMover[[#This Row],[MRF_ID]]="05"),0,IFERROR(BaleMover[[#This Row],[Total_Baled_tons]]*(IF(BaleMover[[#This Row],[Scenario_ID]]="S0",-2,0)+INDEX(BalePrices[Low],MATCH(BaleMover[[#This Row],[Bale_ID]],BalePrices[Bale_ID],0))),0))</f>
        <v>35052.832460202546</v>
      </c>
      <c r="X438" s="397">
        <f>IF(AND(BaleMover[[#This Row],[Scenario_ID]]="S3",BaleMover[[#This Row],[MRF_ID]]="05"),0,IFERROR(BaleMover[[#This Row],[Total_Baled_tons]]*(IF(BaleMover[[#This Row],[Scenario_ID]]="S0",-2,0)+INDEX(BalePrices[Mid-Point],MATCH(BaleMover[[#This Row],[Bale_ID]],BalePrices[Bale_ID],0))),0))</f>
        <v>87632.081150506361</v>
      </c>
      <c r="Y438" s="397">
        <f>IF(AND(BaleMover[[#This Row],[Scenario_ID]]="S3",BaleMover[[#This Row],[MRF_ID]]="05"),0,IFERROR(BaleMover[[#This Row],[Total_Baled_tons]]*(IF(BaleMover[[#This Row],[Scenario_ID]]="S0",-2,0)+INDEX(BalePrices[High],MATCH(BaleMover[[#This Row],[Bale_ID]],BalePrices[Bale_ID],0))),0))</f>
        <v>140211.32984081018</v>
      </c>
    </row>
    <row r="439" spans="2:25" x14ac:dyDescent="0.2">
      <c r="B439" s="545" t="s">
        <v>870</v>
      </c>
      <c r="C439" s="499" t="s">
        <v>739</v>
      </c>
      <c r="D439" s="499"/>
      <c r="E439" s="499"/>
      <c r="F439" s="499" t="s">
        <v>1997</v>
      </c>
      <c r="G439" s="499" t="s">
        <v>2115</v>
      </c>
      <c r="H439" s="499" t="s">
        <v>1605</v>
      </c>
      <c r="I439" s="499" t="s">
        <v>1010</v>
      </c>
      <c r="J439" s="499" t="s">
        <v>1011</v>
      </c>
      <c r="K439" s="499" t="s">
        <v>2076</v>
      </c>
      <c r="L439" s="499">
        <v>2</v>
      </c>
      <c r="M439" s="499" t="s">
        <v>2088</v>
      </c>
      <c r="N439" s="499" t="s">
        <v>2072</v>
      </c>
      <c r="O439" s="525">
        <v>0</v>
      </c>
      <c r="P439" s="499" t="s">
        <v>2054</v>
      </c>
      <c r="Q439" s="499"/>
      <c r="R439" s="499"/>
      <c r="S439" s="525"/>
      <c r="T439" s="525">
        <v>0</v>
      </c>
      <c r="U439" s="525">
        <v>1</v>
      </c>
      <c r="V439" s="525" t="s">
        <v>2054</v>
      </c>
      <c r="W439" s="589">
        <f>IF(AND(BaleMover[[#This Row],[Scenario_ID]]="S3",BaleMover[[#This Row],[MRF_ID]]="05"),0,IFERROR(BaleMover[[#This Row],[Total_Baled_tons]]*(IF(BaleMover[[#This Row],[Scenario_ID]]="S0",-2,0)+INDEX(BalePrices[Low],MATCH(BaleMover[[#This Row],[Bale_ID]],BalePrices[Bale_ID],0))),0))</f>
        <v>0</v>
      </c>
      <c r="X439" s="397">
        <f>IF(AND(BaleMover[[#This Row],[Scenario_ID]]="S3",BaleMover[[#This Row],[MRF_ID]]="05"),0,IFERROR(BaleMover[[#This Row],[Total_Baled_tons]]*(IF(BaleMover[[#This Row],[Scenario_ID]]="S0",-2,0)+INDEX(BalePrices[Mid-Point],MATCH(BaleMover[[#This Row],[Bale_ID]],BalePrices[Bale_ID],0))),0))</f>
        <v>0</v>
      </c>
      <c r="Y439" s="397">
        <f>IF(AND(BaleMover[[#This Row],[Scenario_ID]]="S3",BaleMover[[#This Row],[MRF_ID]]="05"),0,IFERROR(BaleMover[[#This Row],[Total_Baled_tons]]*(IF(BaleMover[[#This Row],[Scenario_ID]]="S0",-2,0)+INDEX(BalePrices[High],MATCH(BaleMover[[#This Row],[Bale_ID]],BalePrices[Bale_ID],0))),0))</f>
        <v>0</v>
      </c>
    </row>
    <row r="440" spans="2:25" x14ac:dyDescent="0.2">
      <c r="B440" s="545" t="s">
        <v>870</v>
      </c>
      <c r="C440" s="499" t="s">
        <v>739</v>
      </c>
      <c r="D440" s="499"/>
      <c r="E440" s="499"/>
      <c r="F440" s="499" t="s">
        <v>1997</v>
      </c>
      <c r="G440" s="499" t="s">
        <v>2115</v>
      </c>
      <c r="H440" s="499" t="s">
        <v>1606</v>
      </c>
      <c r="I440" s="499" t="s">
        <v>1012</v>
      </c>
      <c r="J440" s="499" t="s">
        <v>1013</v>
      </c>
      <c r="K440" s="499" t="s">
        <v>2076</v>
      </c>
      <c r="L440" s="499">
        <v>2</v>
      </c>
      <c r="M440" s="499" t="s">
        <v>2088</v>
      </c>
      <c r="N440" s="499" t="s">
        <v>2072</v>
      </c>
      <c r="O440" s="525">
        <v>0</v>
      </c>
      <c r="P440" s="499" t="s">
        <v>2054</v>
      </c>
      <c r="Q440" s="499"/>
      <c r="R440" s="499"/>
      <c r="S440" s="525"/>
      <c r="T440" s="525">
        <v>0</v>
      </c>
      <c r="U440" s="525">
        <v>1</v>
      </c>
      <c r="V440" s="525" t="s">
        <v>2054</v>
      </c>
      <c r="W440" s="589">
        <f>IF(AND(BaleMover[[#This Row],[Scenario_ID]]="S3",BaleMover[[#This Row],[MRF_ID]]="05"),0,IFERROR(BaleMover[[#This Row],[Total_Baled_tons]]*(IF(BaleMover[[#This Row],[Scenario_ID]]="S0",-2,0)+INDEX(BalePrices[Low],MATCH(BaleMover[[#This Row],[Bale_ID]],BalePrices[Bale_ID],0))),0))</f>
        <v>0</v>
      </c>
      <c r="X440" s="397">
        <f>IF(AND(BaleMover[[#This Row],[Scenario_ID]]="S3",BaleMover[[#This Row],[MRF_ID]]="05"),0,IFERROR(BaleMover[[#This Row],[Total_Baled_tons]]*(IF(BaleMover[[#This Row],[Scenario_ID]]="S0",-2,0)+INDEX(BalePrices[Mid-Point],MATCH(BaleMover[[#This Row],[Bale_ID]],BalePrices[Bale_ID],0))),0))</f>
        <v>0</v>
      </c>
      <c r="Y440" s="397">
        <f>IF(AND(BaleMover[[#This Row],[Scenario_ID]]="S3",BaleMover[[#This Row],[MRF_ID]]="05"),0,IFERROR(BaleMover[[#This Row],[Total_Baled_tons]]*(IF(BaleMover[[#This Row],[Scenario_ID]]="S0",-2,0)+INDEX(BalePrices[High],MATCH(BaleMover[[#This Row],[Bale_ID]],BalePrices[Bale_ID],0))),0))</f>
        <v>0</v>
      </c>
    </row>
    <row r="441" spans="2:25" x14ac:dyDescent="0.2">
      <c r="B441" s="545" t="s">
        <v>870</v>
      </c>
      <c r="C441" s="499" t="s">
        <v>739</v>
      </c>
      <c r="D441" s="499"/>
      <c r="E441" s="499"/>
      <c r="F441" s="499" t="s">
        <v>1997</v>
      </c>
      <c r="G441" s="499" t="s">
        <v>2115</v>
      </c>
      <c r="H441" s="499" t="s">
        <v>1607</v>
      </c>
      <c r="I441" s="499" t="s">
        <v>1014</v>
      </c>
      <c r="J441" s="499" t="s">
        <v>1893</v>
      </c>
      <c r="K441" s="499" t="s">
        <v>2076</v>
      </c>
      <c r="L441" s="499">
        <v>8</v>
      </c>
      <c r="M441" s="499" t="s">
        <v>2085</v>
      </c>
      <c r="N441" s="499" t="s">
        <v>2068</v>
      </c>
      <c r="O441" s="525">
        <v>0</v>
      </c>
      <c r="P441" s="499" t="s">
        <v>2054</v>
      </c>
      <c r="Q441" s="499"/>
      <c r="R441" s="499"/>
      <c r="S441" s="525"/>
      <c r="T441" s="525">
        <v>0</v>
      </c>
      <c r="U441" s="525">
        <v>1</v>
      </c>
      <c r="V441" s="525" t="s">
        <v>2054</v>
      </c>
      <c r="W441" s="589">
        <f>IF(AND(BaleMover[[#This Row],[Scenario_ID]]="S3",BaleMover[[#This Row],[MRF_ID]]="05"),0,IFERROR(BaleMover[[#This Row],[Total_Baled_tons]]*(IF(BaleMover[[#This Row],[Scenario_ID]]="S0",-2,0)+INDEX(BalePrices[Low],MATCH(BaleMover[[#This Row],[Bale_ID]],BalePrices[Bale_ID],0))),0))</f>
        <v>0</v>
      </c>
      <c r="X441" s="397">
        <f>IF(AND(BaleMover[[#This Row],[Scenario_ID]]="S3",BaleMover[[#This Row],[MRF_ID]]="05"),0,IFERROR(BaleMover[[#This Row],[Total_Baled_tons]]*(IF(BaleMover[[#This Row],[Scenario_ID]]="S0",-2,0)+INDEX(BalePrices[Mid-Point],MATCH(BaleMover[[#This Row],[Bale_ID]],BalePrices[Bale_ID],0))),0))</f>
        <v>0</v>
      </c>
      <c r="Y441" s="397">
        <f>IF(AND(BaleMover[[#This Row],[Scenario_ID]]="S3",BaleMover[[#This Row],[MRF_ID]]="05"),0,IFERROR(BaleMover[[#This Row],[Total_Baled_tons]]*(IF(BaleMover[[#This Row],[Scenario_ID]]="S0",-2,0)+INDEX(BalePrices[High],MATCH(BaleMover[[#This Row],[Bale_ID]],BalePrices[Bale_ID],0))),0))</f>
        <v>0</v>
      </c>
    </row>
    <row r="442" spans="2:25" x14ac:dyDescent="0.2">
      <c r="B442" s="545" t="s">
        <v>870</v>
      </c>
      <c r="C442" s="499" t="s">
        <v>739</v>
      </c>
      <c r="D442" s="499"/>
      <c r="E442" s="499"/>
      <c r="F442" s="499" t="s">
        <v>1997</v>
      </c>
      <c r="G442" s="499" t="s">
        <v>2115</v>
      </c>
      <c r="H442" s="499" t="s">
        <v>1608</v>
      </c>
      <c r="I442" s="499" t="s">
        <v>1015</v>
      </c>
      <c r="J442" s="499" t="s">
        <v>1016</v>
      </c>
      <c r="K442" s="499" t="s">
        <v>2076</v>
      </c>
      <c r="L442" s="499">
        <v>1</v>
      </c>
      <c r="M442" s="499" t="s">
        <v>2086</v>
      </c>
      <c r="N442" s="499" t="s">
        <v>2066</v>
      </c>
      <c r="O442" s="525">
        <v>0</v>
      </c>
      <c r="P442" s="499" t="s">
        <v>2054</v>
      </c>
      <c r="Q442" s="499"/>
      <c r="R442" s="499"/>
      <c r="S442" s="525"/>
      <c r="T442" s="525">
        <v>0</v>
      </c>
      <c r="U442" s="525">
        <v>1</v>
      </c>
      <c r="V442" s="525" t="s">
        <v>2054</v>
      </c>
      <c r="W442" s="589">
        <f>IF(AND(BaleMover[[#This Row],[Scenario_ID]]="S3",BaleMover[[#This Row],[MRF_ID]]="05"),0,IFERROR(BaleMover[[#This Row],[Total_Baled_tons]]*(IF(BaleMover[[#This Row],[Scenario_ID]]="S0",-2,0)+INDEX(BalePrices[Low],MATCH(BaleMover[[#This Row],[Bale_ID]],BalePrices[Bale_ID],0))),0))</f>
        <v>0</v>
      </c>
      <c r="X442" s="397">
        <f>IF(AND(BaleMover[[#This Row],[Scenario_ID]]="S3",BaleMover[[#This Row],[MRF_ID]]="05"),0,IFERROR(BaleMover[[#This Row],[Total_Baled_tons]]*(IF(BaleMover[[#This Row],[Scenario_ID]]="S0",-2,0)+INDEX(BalePrices[Mid-Point],MATCH(BaleMover[[#This Row],[Bale_ID]],BalePrices[Bale_ID],0))),0))</f>
        <v>0</v>
      </c>
      <c r="Y442" s="397">
        <f>IF(AND(BaleMover[[#This Row],[Scenario_ID]]="S3",BaleMover[[#This Row],[MRF_ID]]="05"),0,IFERROR(BaleMover[[#This Row],[Total_Baled_tons]]*(IF(BaleMover[[#This Row],[Scenario_ID]]="S0",-2,0)+INDEX(BalePrices[High],MATCH(BaleMover[[#This Row],[Bale_ID]],BalePrices[Bale_ID],0))),0))</f>
        <v>0</v>
      </c>
    </row>
    <row r="443" spans="2:25" x14ac:dyDescent="0.2">
      <c r="B443" s="545" t="s">
        <v>870</v>
      </c>
      <c r="C443" s="499" t="s">
        <v>739</v>
      </c>
      <c r="D443" s="499"/>
      <c r="E443" s="499"/>
      <c r="F443" s="499" t="s">
        <v>1997</v>
      </c>
      <c r="G443" s="499" t="s">
        <v>2115</v>
      </c>
      <c r="H443" s="499" t="s">
        <v>1609</v>
      </c>
      <c r="I443" s="499" t="s">
        <v>1017</v>
      </c>
      <c r="J443" s="499" t="s">
        <v>1018</v>
      </c>
      <c r="K443" s="499" t="s">
        <v>2076</v>
      </c>
      <c r="L443" s="499">
        <v>11</v>
      </c>
      <c r="M443" s="499" t="s">
        <v>2084</v>
      </c>
      <c r="N443" s="499" t="s">
        <v>2064</v>
      </c>
      <c r="O443" s="525">
        <v>1367.15908625833</v>
      </c>
      <c r="P443" s="499">
        <v>960</v>
      </c>
      <c r="Q443" s="499"/>
      <c r="R443" s="499"/>
      <c r="S443" s="525"/>
      <c r="T443" s="525">
        <v>0</v>
      </c>
      <c r="U443" s="525">
        <v>1</v>
      </c>
      <c r="V443" s="525">
        <v>1312472.7228079969</v>
      </c>
      <c r="W443" s="589">
        <f>IF(AND(BaleMover[[#This Row],[Scenario_ID]]="S3",BaleMover[[#This Row],[MRF_ID]]="05"),0,IFERROR(BaleMover[[#This Row],[Total_Baled_tons]]*(IF(BaleMover[[#This Row],[Scenario_ID]]="S0",-2,0)+INDEX(BalePrices[Low],MATCH(BaleMover[[#This Row],[Bale_ID]],BalePrices[Bale_ID],0))),0))</f>
        <v>1503874.9948841631</v>
      </c>
      <c r="X443" s="397">
        <f>IF(AND(BaleMover[[#This Row],[Scenario_ID]]="S3",BaleMover[[#This Row],[MRF_ID]]="05"),0,IFERROR(BaleMover[[#This Row],[Total_Baled_tons]]*(IF(BaleMover[[#This Row],[Scenario_ID]]="S0",-2,0)+INDEX(BalePrices[Mid-Point],MATCH(BaleMover[[#This Row],[Bale_ID]],BalePrices[Bale_ID],0))),0))</f>
        <v>1811485.7892922873</v>
      </c>
      <c r="Y443" s="397">
        <f>IF(AND(BaleMover[[#This Row],[Scenario_ID]]="S3",BaleMover[[#This Row],[MRF_ID]]="05"),0,IFERROR(BaleMover[[#This Row],[Total_Baled_tons]]*(IF(BaleMover[[#This Row],[Scenario_ID]]="S0",-2,0)+INDEX(BalePrices[High],MATCH(BaleMover[[#This Row],[Bale_ID]],BalePrices[Bale_ID],0))),0))</f>
        <v>2119096.5837004115</v>
      </c>
    </row>
    <row r="444" spans="2:25" x14ac:dyDescent="0.2">
      <c r="B444" s="545" t="s">
        <v>870</v>
      </c>
      <c r="C444" s="499" t="s">
        <v>739</v>
      </c>
      <c r="D444" s="499"/>
      <c r="E444" s="499"/>
      <c r="F444" s="499" t="s">
        <v>1997</v>
      </c>
      <c r="G444" s="499" t="s">
        <v>2115</v>
      </c>
      <c r="H444" s="499" t="s">
        <v>1610</v>
      </c>
      <c r="I444" s="499" t="s">
        <v>1019</v>
      </c>
      <c r="J444" s="499" t="s">
        <v>1020</v>
      </c>
      <c r="K444" s="499" t="s">
        <v>2076</v>
      </c>
      <c r="L444" s="499">
        <v>1</v>
      </c>
      <c r="M444" s="499" t="s">
        <v>2086</v>
      </c>
      <c r="N444" s="499" t="s">
        <v>2066</v>
      </c>
      <c r="O444" s="525">
        <v>9509.7137943520902</v>
      </c>
      <c r="P444" s="499">
        <v>20</v>
      </c>
      <c r="Q444" s="499"/>
      <c r="R444" s="499"/>
      <c r="S444" s="525"/>
      <c r="T444" s="525">
        <v>0</v>
      </c>
      <c r="U444" s="525">
        <v>1</v>
      </c>
      <c r="V444" s="525">
        <v>190194.27588704182</v>
      </c>
      <c r="W444" s="589">
        <f>IF(AND(BaleMover[[#This Row],[Scenario_ID]]="S3",BaleMover[[#This Row],[MRF_ID]]="05"),0,IFERROR(BaleMover[[#This Row],[Total_Baled_tons]]*(IF(BaleMover[[#This Row],[Scenario_ID]]="S0",-2,0)+INDEX(BalePrices[Low],MATCH(BaleMover[[#This Row],[Bale_ID]],BalePrices[Bale_ID],0))),0))</f>
        <v>950971.37943520898</v>
      </c>
      <c r="X444" s="397">
        <f>IF(AND(BaleMover[[#This Row],[Scenario_ID]]="S3",BaleMover[[#This Row],[MRF_ID]]="05"),0,IFERROR(BaleMover[[#This Row],[Total_Baled_tons]]*(IF(BaleMover[[#This Row],[Scenario_ID]]="S0",-2,0)+INDEX(BalePrices[Mid-Point],MATCH(BaleMover[[#This Row],[Bale_ID]],BalePrices[Bale_ID],0))),0))</f>
        <v>1426457.0691528136</v>
      </c>
      <c r="Y444" s="397">
        <f>IF(AND(BaleMover[[#This Row],[Scenario_ID]]="S3",BaleMover[[#This Row],[MRF_ID]]="05"),0,IFERROR(BaleMover[[#This Row],[Total_Baled_tons]]*(IF(BaleMover[[#This Row],[Scenario_ID]]="S0",-2,0)+INDEX(BalePrices[High],MATCH(BaleMover[[#This Row],[Bale_ID]],BalePrices[Bale_ID],0))),0))</f>
        <v>1901942.758870418</v>
      </c>
    </row>
    <row r="445" spans="2:25" x14ac:dyDescent="0.2">
      <c r="B445" s="545" t="s">
        <v>870</v>
      </c>
      <c r="C445" s="499" t="s">
        <v>739</v>
      </c>
      <c r="D445" s="499"/>
      <c r="E445" s="499"/>
      <c r="F445" s="499" t="s">
        <v>1997</v>
      </c>
      <c r="G445" s="499" t="s">
        <v>2115</v>
      </c>
      <c r="H445" s="499" t="s">
        <v>1611</v>
      </c>
      <c r="I445" s="499" t="s">
        <v>1021</v>
      </c>
      <c r="J445" s="499" t="s">
        <v>751</v>
      </c>
      <c r="K445" s="499" t="s">
        <v>2076</v>
      </c>
      <c r="L445" s="499">
        <v>20</v>
      </c>
      <c r="M445" s="499" t="s">
        <v>2089</v>
      </c>
      <c r="N445" s="499" t="s">
        <v>2074</v>
      </c>
      <c r="O445" s="525">
        <v>12276.647045001022</v>
      </c>
      <c r="P445" s="499">
        <v>45</v>
      </c>
      <c r="Q445" s="499"/>
      <c r="R445" s="499"/>
      <c r="S445" s="525"/>
      <c r="T445" s="525">
        <v>0</v>
      </c>
      <c r="U445" s="525">
        <v>1</v>
      </c>
      <c r="V445" s="525">
        <v>552449.11702504603</v>
      </c>
      <c r="W445" s="589">
        <f>IF(AND(BaleMover[[#This Row],[Scenario_ID]]="S3",BaleMover[[#This Row],[MRF_ID]]="05"),0,IFERROR(BaleMover[[#This Row],[Total_Baled_tons]]*(IF(BaleMover[[#This Row],[Scenario_ID]]="S0",-2,0)+INDEX(BalePrices[Low],MATCH(BaleMover[[#This Row],[Bale_ID]],BalePrices[Bale_ID],0))),0))</f>
        <v>982131.76360008179</v>
      </c>
      <c r="X445" s="397">
        <f>IF(AND(BaleMover[[#This Row],[Scenario_ID]]="S3",BaleMover[[#This Row],[MRF_ID]]="05"),0,IFERROR(BaleMover[[#This Row],[Total_Baled_tons]]*(IF(BaleMover[[#This Row],[Scenario_ID]]="S0",-2,0)+INDEX(BalePrices[Mid-Point],MATCH(BaleMover[[#This Row],[Bale_ID]],BalePrices[Bale_ID],0))),0))</f>
        <v>1473197.6454001227</v>
      </c>
      <c r="Y445" s="397">
        <f>IF(AND(BaleMover[[#This Row],[Scenario_ID]]="S3",BaleMover[[#This Row],[MRF_ID]]="05"),0,IFERROR(BaleMover[[#This Row],[Total_Baled_tons]]*(IF(BaleMover[[#This Row],[Scenario_ID]]="S0",-2,0)+INDEX(BalePrices[High],MATCH(BaleMover[[#This Row],[Bale_ID]],BalePrices[Bale_ID],0))),0))</f>
        <v>1964263.5272001636</v>
      </c>
    </row>
    <row r="446" spans="2:25" x14ac:dyDescent="0.2">
      <c r="B446" s="545" t="s">
        <v>870</v>
      </c>
      <c r="C446" s="499" t="s">
        <v>744</v>
      </c>
      <c r="D446" s="499"/>
      <c r="E446" s="499"/>
      <c r="F446" s="499" t="s">
        <v>1998</v>
      </c>
      <c r="G446" s="499" t="s">
        <v>2116</v>
      </c>
      <c r="H446" s="499" t="s">
        <v>1612</v>
      </c>
      <c r="I446" s="499" t="s">
        <v>969</v>
      </c>
      <c r="J446" s="499" t="s">
        <v>970</v>
      </c>
      <c r="K446" s="499" t="s">
        <v>2048</v>
      </c>
      <c r="L446" s="499">
        <v>6</v>
      </c>
      <c r="M446" s="499" t="s">
        <v>2049</v>
      </c>
      <c r="N446" s="499" t="s">
        <v>2050</v>
      </c>
      <c r="O446" s="525">
        <v>36864.038443259618</v>
      </c>
      <c r="P446" s="499">
        <v>65</v>
      </c>
      <c r="Q446" s="499"/>
      <c r="R446" s="499"/>
      <c r="S446" s="525"/>
      <c r="T446" s="525">
        <v>0</v>
      </c>
      <c r="U446" s="525">
        <v>1</v>
      </c>
      <c r="V446" s="525">
        <v>2396162.498811875</v>
      </c>
      <c r="W446" s="589">
        <f>IF(AND(BaleMover[[#This Row],[Scenario_ID]]="S3",BaleMover[[#This Row],[MRF_ID]]="05"),0,IFERROR(BaleMover[[#This Row],[Total_Baled_tons]]*(IF(BaleMover[[#This Row],[Scenario_ID]]="S0",-2,0)+INDEX(BalePrices[Low],MATCH(BaleMover[[#This Row],[Bale_ID]],BalePrices[Bale_ID],0))),0))</f>
        <v>921600.9610814905</v>
      </c>
      <c r="X446" s="397">
        <f>IF(AND(BaleMover[[#This Row],[Scenario_ID]]="S3",BaleMover[[#This Row],[MRF_ID]]="05"),0,IFERROR(BaleMover[[#This Row],[Total_Baled_tons]]*(IF(BaleMover[[#This Row],[Scenario_ID]]="S0",-2,0)+INDEX(BalePrices[Mid-Point],MATCH(BaleMover[[#This Row],[Bale_ID]],BalePrices[Bale_ID],0))),0))</f>
        <v>3225603.3637852166</v>
      </c>
      <c r="Y446" s="397">
        <f>IF(AND(BaleMover[[#This Row],[Scenario_ID]]="S3",BaleMover[[#This Row],[MRF_ID]]="05"),0,IFERROR(BaleMover[[#This Row],[Total_Baled_tons]]*(IF(BaleMover[[#This Row],[Scenario_ID]]="S0",-2,0)+INDEX(BalePrices[High],MATCH(BaleMover[[#This Row],[Bale_ID]],BalePrices[Bale_ID],0))),0))</f>
        <v>5529605.7664889423</v>
      </c>
    </row>
    <row r="447" spans="2:25" x14ac:dyDescent="0.2">
      <c r="B447" s="545" t="s">
        <v>870</v>
      </c>
      <c r="C447" s="499" t="s">
        <v>744</v>
      </c>
      <c r="D447" s="499"/>
      <c r="E447" s="499"/>
      <c r="F447" s="499" t="s">
        <v>1998</v>
      </c>
      <c r="G447" s="499" t="s">
        <v>2116</v>
      </c>
      <c r="H447" s="499" t="s">
        <v>1613</v>
      </c>
      <c r="I447" s="499" t="s">
        <v>971</v>
      </c>
      <c r="J447" s="499" t="s">
        <v>972</v>
      </c>
      <c r="K447" s="499" t="s">
        <v>2048</v>
      </c>
      <c r="L447" s="499">
        <v>6</v>
      </c>
      <c r="M447" s="499" t="s">
        <v>2049</v>
      </c>
      <c r="N447" s="499" t="s">
        <v>2050</v>
      </c>
      <c r="O447" s="525">
        <v>0</v>
      </c>
      <c r="P447" s="499" t="s">
        <v>2054</v>
      </c>
      <c r="Q447" s="499"/>
      <c r="R447" s="499"/>
      <c r="S447" s="525"/>
      <c r="T447" s="525">
        <v>0</v>
      </c>
      <c r="U447" s="525">
        <v>1</v>
      </c>
      <c r="V447" s="525" t="s">
        <v>2054</v>
      </c>
      <c r="W447" s="589">
        <f>IF(AND(BaleMover[[#This Row],[Scenario_ID]]="S3",BaleMover[[#This Row],[MRF_ID]]="05"),0,IFERROR(BaleMover[[#This Row],[Total_Baled_tons]]*(IF(BaleMover[[#This Row],[Scenario_ID]]="S0",-2,0)+INDEX(BalePrices[Low],MATCH(BaleMover[[#This Row],[Bale_ID]],BalePrices[Bale_ID],0))),0))</f>
        <v>0</v>
      </c>
      <c r="X447" s="397">
        <f>IF(AND(BaleMover[[#This Row],[Scenario_ID]]="S3",BaleMover[[#This Row],[MRF_ID]]="05"),0,IFERROR(BaleMover[[#This Row],[Total_Baled_tons]]*(IF(BaleMover[[#This Row],[Scenario_ID]]="S0",-2,0)+INDEX(BalePrices[Mid-Point],MATCH(BaleMover[[#This Row],[Bale_ID]],BalePrices[Bale_ID],0))),0))</f>
        <v>0</v>
      </c>
      <c r="Y447" s="397">
        <f>IF(AND(BaleMover[[#This Row],[Scenario_ID]]="S3",BaleMover[[#This Row],[MRF_ID]]="05"),0,IFERROR(BaleMover[[#This Row],[Total_Baled_tons]]*(IF(BaleMover[[#This Row],[Scenario_ID]]="S0",-2,0)+INDEX(BalePrices[High],MATCH(BaleMover[[#This Row],[Bale_ID]],BalePrices[Bale_ID],0))),0))</f>
        <v>0</v>
      </c>
    </row>
    <row r="448" spans="2:25" x14ac:dyDescent="0.2">
      <c r="B448" s="545" t="s">
        <v>870</v>
      </c>
      <c r="C448" s="499" t="s">
        <v>744</v>
      </c>
      <c r="D448" s="499"/>
      <c r="E448" s="499"/>
      <c r="F448" s="499" t="s">
        <v>1998</v>
      </c>
      <c r="G448" s="499" t="s">
        <v>2116</v>
      </c>
      <c r="H448" s="499" t="s">
        <v>1614</v>
      </c>
      <c r="I448" s="499" t="s">
        <v>973</v>
      </c>
      <c r="J448" s="499" t="s">
        <v>974</v>
      </c>
      <c r="K448" s="499" t="s">
        <v>2048</v>
      </c>
      <c r="L448" s="499">
        <v>6</v>
      </c>
      <c r="M448" s="499" t="s">
        <v>2049</v>
      </c>
      <c r="N448" s="499" t="s">
        <v>2050</v>
      </c>
      <c r="O448" s="525">
        <v>16230.349714906968</v>
      </c>
      <c r="P448" s="499">
        <v>65</v>
      </c>
      <c r="Q448" s="499"/>
      <c r="R448" s="499"/>
      <c r="S448" s="525"/>
      <c r="T448" s="525">
        <v>0</v>
      </c>
      <c r="U448" s="525">
        <v>1</v>
      </c>
      <c r="V448" s="525">
        <v>1054972.731468953</v>
      </c>
      <c r="W448" s="589">
        <f>IF(AND(BaleMover[[#This Row],[Scenario_ID]]="S3",BaleMover[[#This Row],[MRF_ID]]="05"),0,IFERROR(BaleMover[[#This Row],[Total_Baled_tons]]*(IF(BaleMover[[#This Row],[Scenario_ID]]="S0",-2,0)+INDEX(BalePrices[Low],MATCH(BaleMover[[#This Row],[Bale_ID]],BalePrices[Bale_ID],0))),0))</f>
        <v>81151.748574534839</v>
      </c>
      <c r="X448" s="397">
        <f>IF(AND(BaleMover[[#This Row],[Scenario_ID]]="S3",BaleMover[[#This Row],[MRF_ID]]="05"),0,IFERROR(BaleMover[[#This Row],[Total_Baled_tons]]*(IF(BaleMover[[#This Row],[Scenario_ID]]="S0",-2,0)+INDEX(BalePrices[Mid-Point],MATCH(BaleMover[[#This Row],[Bale_ID]],BalePrices[Bale_ID],0))),0))</f>
        <v>527486.36573447648</v>
      </c>
      <c r="Y448" s="397">
        <f>IF(AND(BaleMover[[#This Row],[Scenario_ID]]="S3",BaleMover[[#This Row],[MRF_ID]]="05"),0,IFERROR(BaleMover[[#This Row],[Total_Baled_tons]]*(IF(BaleMover[[#This Row],[Scenario_ID]]="S0",-2,0)+INDEX(BalePrices[High],MATCH(BaleMover[[#This Row],[Bale_ID]],BalePrices[Bale_ID],0))),0))</f>
        <v>973820.98289441806</v>
      </c>
    </row>
    <row r="449" spans="2:25" x14ac:dyDescent="0.2">
      <c r="B449" s="545" t="s">
        <v>870</v>
      </c>
      <c r="C449" s="499" t="s">
        <v>744</v>
      </c>
      <c r="D449" s="499"/>
      <c r="E449" s="499"/>
      <c r="F449" s="499" t="s">
        <v>1998</v>
      </c>
      <c r="G449" s="499" t="s">
        <v>2116</v>
      </c>
      <c r="H449" s="499" t="s">
        <v>1615</v>
      </c>
      <c r="I449" s="499" t="s">
        <v>975</v>
      </c>
      <c r="J449" s="499" t="s">
        <v>976</v>
      </c>
      <c r="K449" s="499" t="s">
        <v>2048</v>
      </c>
      <c r="L449" s="499">
        <v>7</v>
      </c>
      <c r="M449" s="499" t="s">
        <v>2055</v>
      </c>
      <c r="N449" s="499" t="s">
        <v>2056</v>
      </c>
      <c r="O449" s="525">
        <v>0</v>
      </c>
      <c r="P449" s="499" t="s">
        <v>2054</v>
      </c>
      <c r="Q449" s="499"/>
      <c r="R449" s="499"/>
      <c r="S449" s="525"/>
      <c r="T449" s="525">
        <v>0</v>
      </c>
      <c r="U449" s="525">
        <v>1</v>
      </c>
      <c r="V449" s="525" t="s">
        <v>2054</v>
      </c>
      <c r="W449" s="589">
        <f>IF(AND(BaleMover[[#This Row],[Scenario_ID]]="S3",BaleMover[[#This Row],[MRF_ID]]="05"),0,IFERROR(BaleMover[[#This Row],[Total_Baled_tons]]*(IF(BaleMover[[#This Row],[Scenario_ID]]="S0",-2,0)+INDEX(BalePrices[Low],MATCH(BaleMover[[#This Row],[Bale_ID]],BalePrices[Bale_ID],0))),0))</f>
        <v>0</v>
      </c>
      <c r="X449" s="397">
        <f>IF(AND(BaleMover[[#This Row],[Scenario_ID]]="S3",BaleMover[[#This Row],[MRF_ID]]="05"),0,IFERROR(BaleMover[[#This Row],[Total_Baled_tons]]*(IF(BaleMover[[#This Row],[Scenario_ID]]="S0",-2,0)+INDEX(BalePrices[Mid-Point],MATCH(BaleMover[[#This Row],[Bale_ID]],BalePrices[Bale_ID],0))),0))</f>
        <v>0</v>
      </c>
      <c r="Y449" s="397">
        <f>IF(AND(BaleMover[[#This Row],[Scenario_ID]]="S3",BaleMover[[#This Row],[MRF_ID]]="05"),0,IFERROR(BaleMover[[#This Row],[Total_Baled_tons]]*(IF(BaleMover[[#This Row],[Scenario_ID]]="S0",-2,0)+INDEX(BalePrices[High],MATCH(BaleMover[[#This Row],[Bale_ID]],BalePrices[Bale_ID],0))),0))</f>
        <v>0</v>
      </c>
    </row>
    <row r="450" spans="2:25" x14ac:dyDescent="0.2">
      <c r="B450" s="545" t="s">
        <v>870</v>
      </c>
      <c r="C450" s="499" t="s">
        <v>744</v>
      </c>
      <c r="D450" s="499"/>
      <c r="E450" s="499"/>
      <c r="F450" s="499" t="s">
        <v>1998</v>
      </c>
      <c r="G450" s="499" t="s">
        <v>2116</v>
      </c>
      <c r="H450" s="499" t="s">
        <v>1616</v>
      </c>
      <c r="I450" s="499" t="s">
        <v>977</v>
      </c>
      <c r="J450" s="499" t="s">
        <v>864</v>
      </c>
      <c r="K450" s="499" t="s">
        <v>2048</v>
      </c>
      <c r="L450" s="499">
        <v>5</v>
      </c>
      <c r="M450" s="499" t="s">
        <v>2057</v>
      </c>
      <c r="N450" s="499" t="s">
        <v>2058</v>
      </c>
      <c r="O450" s="525">
        <v>10863.644780693921</v>
      </c>
      <c r="P450" s="499">
        <v>100</v>
      </c>
      <c r="Q450" s="499"/>
      <c r="R450" s="499"/>
      <c r="S450" s="525"/>
      <c r="T450" s="525">
        <v>0</v>
      </c>
      <c r="U450" s="525">
        <v>1</v>
      </c>
      <c r="V450" s="525">
        <v>1086364.478069392</v>
      </c>
      <c r="W450" s="589">
        <f>IF(AND(BaleMover[[#This Row],[Scenario_ID]]="S3",BaleMover[[#This Row],[MRF_ID]]="05"),0,IFERROR(BaleMover[[#This Row],[Total_Baled_tons]]*(IF(BaleMover[[#This Row],[Scenario_ID]]="S0",-2,0)+INDEX(BalePrices[Low],MATCH(BaleMover[[#This Row],[Bale_ID]],BalePrices[Bale_ID],0))),0))</f>
        <v>-217272.89561387844</v>
      </c>
      <c r="X450" s="397">
        <f>IF(AND(BaleMover[[#This Row],[Scenario_ID]]="S3",BaleMover[[#This Row],[MRF_ID]]="05"),0,IFERROR(BaleMover[[#This Row],[Total_Baled_tons]]*(IF(BaleMover[[#This Row],[Scenario_ID]]="S0",-2,0)+INDEX(BalePrices[Mid-Point],MATCH(BaleMover[[#This Row],[Bale_ID]],BalePrices[Bale_ID],0))),0))</f>
        <v>543182.23903469602</v>
      </c>
      <c r="Y450" s="397">
        <f>IF(AND(BaleMover[[#This Row],[Scenario_ID]]="S3",BaleMover[[#This Row],[MRF_ID]]="05"),0,IFERROR(BaleMover[[#This Row],[Total_Baled_tons]]*(IF(BaleMover[[#This Row],[Scenario_ID]]="S0",-2,0)+INDEX(BalePrices[High],MATCH(BaleMover[[#This Row],[Bale_ID]],BalePrices[Bale_ID],0))),0))</f>
        <v>1303637.3736832705</v>
      </c>
    </row>
    <row r="451" spans="2:25" x14ac:dyDescent="0.2">
      <c r="B451" s="545" t="s">
        <v>870</v>
      </c>
      <c r="C451" s="499" t="s">
        <v>744</v>
      </c>
      <c r="D451" s="499"/>
      <c r="E451" s="499"/>
      <c r="F451" s="499" t="s">
        <v>1998</v>
      </c>
      <c r="G451" s="499" t="s">
        <v>2116</v>
      </c>
      <c r="H451" s="499" t="s">
        <v>1617</v>
      </c>
      <c r="I451" s="499" t="s">
        <v>978</v>
      </c>
      <c r="J451" s="499" t="s">
        <v>1892</v>
      </c>
      <c r="K451" s="499" t="s">
        <v>2048</v>
      </c>
      <c r="L451" s="499">
        <v>5</v>
      </c>
      <c r="M451" s="499" t="s">
        <v>2057</v>
      </c>
      <c r="N451" s="499" t="s">
        <v>2058</v>
      </c>
      <c r="O451" s="525">
        <v>0</v>
      </c>
      <c r="P451" s="499" t="s">
        <v>2054</v>
      </c>
      <c r="Q451" s="499"/>
      <c r="R451" s="499"/>
      <c r="S451" s="525"/>
      <c r="T451" s="525">
        <v>0</v>
      </c>
      <c r="U451" s="525">
        <v>1</v>
      </c>
      <c r="V451" s="525" t="s">
        <v>2054</v>
      </c>
      <c r="W451" s="589">
        <f>IF(AND(BaleMover[[#This Row],[Scenario_ID]]="S3",BaleMover[[#This Row],[MRF_ID]]="05"),0,IFERROR(BaleMover[[#This Row],[Total_Baled_tons]]*(IF(BaleMover[[#This Row],[Scenario_ID]]="S0",-2,0)+INDEX(BalePrices[Low],MATCH(BaleMover[[#This Row],[Bale_ID]],BalePrices[Bale_ID],0))),0))</f>
        <v>0</v>
      </c>
      <c r="X451" s="397">
        <f>IF(AND(BaleMover[[#This Row],[Scenario_ID]]="S3",BaleMover[[#This Row],[MRF_ID]]="05"),0,IFERROR(BaleMover[[#This Row],[Total_Baled_tons]]*(IF(BaleMover[[#This Row],[Scenario_ID]]="S0",-2,0)+INDEX(BalePrices[Mid-Point],MATCH(BaleMover[[#This Row],[Bale_ID]],BalePrices[Bale_ID],0))),0))</f>
        <v>0</v>
      </c>
      <c r="Y451" s="397">
        <f>IF(AND(BaleMover[[#This Row],[Scenario_ID]]="S3",BaleMover[[#This Row],[MRF_ID]]="05"),0,IFERROR(BaleMover[[#This Row],[Total_Baled_tons]]*(IF(BaleMover[[#This Row],[Scenario_ID]]="S0",-2,0)+INDEX(BalePrices[High],MATCH(BaleMover[[#This Row],[Bale_ID]],BalePrices[Bale_ID],0))),0))</f>
        <v>0</v>
      </c>
    </row>
    <row r="452" spans="2:25" x14ac:dyDescent="0.2">
      <c r="B452" s="545" t="s">
        <v>870</v>
      </c>
      <c r="C452" s="499" t="s">
        <v>744</v>
      </c>
      <c r="D452" s="499"/>
      <c r="E452" s="499"/>
      <c r="F452" s="499" t="s">
        <v>1998</v>
      </c>
      <c r="G452" s="499" t="s">
        <v>2116</v>
      </c>
      <c r="H452" s="499" t="s">
        <v>1618</v>
      </c>
      <c r="I452" s="499" t="s">
        <v>979</v>
      </c>
      <c r="J452" s="499" t="s">
        <v>980</v>
      </c>
      <c r="K452" s="499" t="s">
        <v>2048</v>
      </c>
      <c r="L452" s="499">
        <v>7</v>
      </c>
      <c r="M452" s="499" t="s">
        <v>2055</v>
      </c>
      <c r="N452" s="499" t="s">
        <v>2056</v>
      </c>
      <c r="O452" s="525">
        <v>0</v>
      </c>
      <c r="P452" s="499" t="s">
        <v>2054</v>
      </c>
      <c r="Q452" s="499"/>
      <c r="R452" s="499"/>
      <c r="S452" s="525"/>
      <c r="T452" s="525">
        <v>0</v>
      </c>
      <c r="U452" s="525">
        <v>1</v>
      </c>
      <c r="V452" s="525" t="s">
        <v>2054</v>
      </c>
      <c r="W452" s="589">
        <f>IF(AND(BaleMover[[#This Row],[Scenario_ID]]="S3",BaleMover[[#This Row],[MRF_ID]]="05"),0,IFERROR(BaleMover[[#This Row],[Total_Baled_tons]]*(IF(BaleMover[[#This Row],[Scenario_ID]]="S0",-2,0)+INDEX(BalePrices[Low],MATCH(BaleMover[[#This Row],[Bale_ID]],BalePrices[Bale_ID],0))),0))</f>
        <v>0</v>
      </c>
      <c r="X452" s="397">
        <f>IF(AND(BaleMover[[#This Row],[Scenario_ID]]="S3",BaleMover[[#This Row],[MRF_ID]]="05"),0,IFERROR(BaleMover[[#This Row],[Total_Baled_tons]]*(IF(BaleMover[[#This Row],[Scenario_ID]]="S0",-2,0)+INDEX(BalePrices[Mid-Point],MATCH(BaleMover[[#This Row],[Bale_ID]],BalePrices[Bale_ID],0))),0))</f>
        <v>0</v>
      </c>
      <c r="Y452" s="397">
        <f>IF(AND(BaleMover[[#This Row],[Scenario_ID]]="S3",BaleMover[[#This Row],[MRF_ID]]="05"),0,IFERROR(BaleMover[[#This Row],[Total_Baled_tons]]*(IF(BaleMover[[#This Row],[Scenario_ID]]="S0",-2,0)+INDEX(BalePrices[High],MATCH(BaleMover[[#This Row],[Bale_ID]],BalePrices[Bale_ID],0))),0))</f>
        <v>0</v>
      </c>
    </row>
    <row r="453" spans="2:25" x14ac:dyDescent="0.2">
      <c r="B453" s="545" t="s">
        <v>870</v>
      </c>
      <c r="C453" s="499" t="s">
        <v>744</v>
      </c>
      <c r="D453" s="499"/>
      <c r="E453" s="499"/>
      <c r="F453" s="499" t="s">
        <v>1998</v>
      </c>
      <c r="G453" s="499" t="s">
        <v>2116</v>
      </c>
      <c r="H453" s="499" t="s">
        <v>1619</v>
      </c>
      <c r="I453" s="499" t="s">
        <v>981</v>
      </c>
      <c r="J453" s="499" t="s">
        <v>3674</v>
      </c>
      <c r="K453" s="499" t="s">
        <v>2048</v>
      </c>
      <c r="L453" s="499">
        <v>13</v>
      </c>
      <c r="M453" s="499" t="s">
        <v>2059</v>
      </c>
      <c r="N453" s="499" t="s">
        <v>2060</v>
      </c>
      <c r="O453" s="525">
        <v>0</v>
      </c>
      <c r="P453" s="499" t="s">
        <v>2054</v>
      </c>
      <c r="Q453" s="499"/>
      <c r="R453" s="499"/>
      <c r="S453" s="525"/>
      <c r="T453" s="525">
        <v>0</v>
      </c>
      <c r="U453" s="525">
        <v>1</v>
      </c>
      <c r="V453" s="525" t="s">
        <v>2054</v>
      </c>
      <c r="W453" s="589">
        <f>IF(AND(BaleMover[[#This Row],[Scenario_ID]]="S3",BaleMover[[#This Row],[MRF_ID]]="05"),0,IFERROR(BaleMover[[#This Row],[Total_Baled_tons]]*(IF(BaleMover[[#This Row],[Scenario_ID]]="S0",-2,0)+INDEX(BalePrices[Low],MATCH(BaleMover[[#This Row],[Bale_ID]],BalePrices[Bale_ID],0))),0))</f>
        <v>0</v>
      </c>
      <c r="X453" s="397">
        <f>IF(AND(BaleMover[[#This Row],[Scenario_ID]]="S3",BaleMover[[#This Row],[MRF_ID]]="05"),0,IFERROR(BaleMover[[#This Row],[Total_Baled_tons]]*(IF(BaleMover[[#This Row],[Scenario_ID]]="S0",-2,0)+INDEX(BalePrices[Mid-Point],MATCH(BaleMover[[#This Row],[Bale_ID]],BalePrices[Bale_ID],0))),0))</f>
        <v>0</v>
      </c>
      <c r="Y453" s="397">
        <f>IF(AND(BaleMover[[#This Row],[Scenario_ID]]="S3",BaleMover[[#This Row],[MRF_ID]]="05"),0,IFERROR(BaleMover[[#This Row],[Total_Baled_tons]]*(IF(BaleMover[[#This Row],[Scenario_ID]]="S0",-2,0)+INDEX(BalePrices[High],MATCH(BaleMover[[#This Row],[Bale_ID]],BalePrices[Bale_ID],0))),0))</f>
        <v>0</v>
      </c>
    </row>
    <row r="454" spans="2:25" x14ac:dyDescent="0.2">
      <c r="B454" s="545" t="s">
        <v>870</v>
      </c>
      <c r="C454" s="499" t="s">
        <v>744</v>
      </c>
      <c r="D454" s="499"/>
      <c r="E454" s="499"/>
      <c r="F454" s="499" t="s">
        <v>1998</v>
      </c>
      <c r="G454" s="499" t="s">
        <v>2116</v>
      </c>
      <c r="H454" s="499" t="s">
        <v>1620</v>
      </c>
      <c r="I454" s="499" t="s">
        <v>982</v>
      </c>
      <c r="J454" s="499" t="s">
        <v>983</v>
      </c>
      <c r="K454" s="499" t="s">
        <v>2048</v>
      </c>
      <c r="L454" s="499">
        <v>3</v>
      </c>
      <c r="M454" s="499" t="s">
        <v>2117</v>
      </c>
      <c r="N454" s="499" t="s">
        <v>2114</v>
      </c>
      <c r="O454" s="525">
        <v>0</v>
      </c>
      <c r="P454" s="499" t="s">
        <v>2054</v>
      </c>
      <c r="Q454" s="499"/>
      <c r="R454" s="499"/>
      <c r="S454" s="525"/>
      <c r="T454" s="525">
        <v>0</v>
      </c>
      <c r="U454" s="525">
        <v>1</v>
      </c>
      <c r="V454" s="525" t="s">
        <v>2054</v>
      </c>
      <c r="W454" s="589">
        <f>IF(AND(BaleMover[[#This Row],[Scenario_ID]]="S3",BaleMover[[#This Row],[MRF_ID]]="05"),0,IFERROR(BaleMover[[#This Row],[Total_Baled_tons]]*(IF(BaleMover[[#This Row],[Scenario_ID]]="S0",-2,0)+INDEX(BalePrices[Low],MATCH(BaleMover[[#This Row],[Bale_ID]],BalePrices[Bale_ID],0))),0))</f>
        <v>0</v>
      </c>
      <c r="X454" s="397">
        <f>IF(AND(BaleMover[[#This Row],[Scenario_ID]]="S3",BaleMover[[#This Row],[MRF_ID]]="05"),0,IFERROR(BaleMover[[#This Row],[Total_Baled_tons]]*(IF(BaleMover[[#This Row],[Scenario_ID]]="S0",-2,0)+INDEX(BalePrices[Mid-Point],MATCH(BaleMover[[#This Row],[Bale_ID]],BalePrices[Bale_ID],0))),0))</f>
        <v>0</v>
      </c>
      <c r="Y454" s="397">
        <f>IF(AND(BaleMover[[#This Row],[Scenario_ID]]="S3",BaleMover[[#This Row],[MRF_ID]]="05"),0,IFERROR(BaleMover[[#This Row],[Total_Baled_tons]]*(IF(BaleMover[[#This Row],[Scenario_ID]]="S0",-2,0)+INDEX(BalePrices[High],MATCH(BaleMover[[#This Row],[Bale_ID]],BalePrices[Bale_ID],0))),0))</f>
        <v>0</v>
      </c>
    </row>
    <row r="455" spans="2:25" x14ac:dyDescent="0.2">
      <c r="B455" s="545" t="s">
        <v>870</v>
      </c>
      <c r="C455" s="499" t="s">
        <v>744</v>
      </c>
      <c r="D455" s="499"/>
      <c r="E455" s="499"/>
      <c r="F455" s="499" t="s">
        <v>1998</v>
      </c>
      <c r="G455" s="499" t="s">
        <v>2116</v>
      </c>
      <c r="H455" s="499" t="s">
        <v>1621</v>
      </c>
      <c r="I455" s="499" t="s">
        <v>984</v>
      </c>
      <c r="J455" s="499" t="s">
        <v>985</v>
      </c>
      <c r="K455" s="499" t="s">
        <v>2048</v>
      </c>
      <c r="L455" s="499">
        <v>11</v>
      </c>
      <c r="M455" s="499" t="s">
        <v>2063</v>
      </c>
      <c r="N455" s="499" t="s">
        <v>2064</v>
      </c>
      <c r="O455" s="525">
        <v>0</v>
      </c>
      <c r="P455" s="499" t="s">
        <v>2054</v>
      </c>
      <c r="Q455" s="499"/>
      <c r="R455" s="499"/>
      <c r="S455" s="525"/>
      <c r="T455" s="525">
        <v>0</v>
      </c>
      <c r="U455" s="525">
        <v>1</v>
      </c>
      <c r="V455" s="525" t="s">
        <v>2054</v>
      </c>
      <c r="W455" s="589">
        <f>IF(AND(BaleMover[[#This Row],[Scenario_ID]]="S3",BaleMover[[#This Row],[MRF_ID]]="05"),0,IFERROR(BaleMover[[#This Row],[Total_Baled_tons]]*(IF(BaleMover[[#This Row],[Scenario_ID]]="S0",-2,0)+INDEX(BalePrices[Low],MATCH(BaleMover[[#This Row],[Bale_ID]],BalePrices[Bale_ID],0))),0))</f>
        <v>0</v>
      </c>
      <c r="X455" s="397">
        <f>IF(AND(BaleMover[[#This Row],[Scenario_ID]]="S3",BaleMover[[#This Row],[MRF_ID]]="05"),0,IFERROR(BaleMover[[#This Row],[Total_Baled_tons]]*(IF(BaleMover[[#This Row],[Scenario_ID]]="S0",-2,0)+INDEX(BalePrices[Mid-Point],MATCH(BaleMover[[#This Row],[Bale_ID]],BalePrices[Bale_ID],0))),0))</f>
        <v>0</v>
      </c>
      <c r="Y455" s="397">
        <f>IF(AND(BaleMover[[#This Row],[Scenario_ID]]="S3",BaleMover[[#This Row],[MRF_ID]]="05"),0,IFERROR(BaleMover[[#This Row],[Total_Baled_tons]]*(IF(BaleMover[[#This Row],[Scenario_ID]]="S0",-2,0)+INDEX(BalePrices[High],MATCH(BaleMover[[#This Row],[Bale_ID]],BalePrices[Bale_ID],0))),0))</f>
        <v>0</v>
      </c>
    </row>
    <row r="456" spans="2:25" x14ac:dyDescent="0.2">
      <c r="B456" s="545" t="s">
        <v>870</v>
      </c>
      <c r="C456" s="499" t="s">
        <v>744</v>
      </c>
      <c r="D456" s="499"/>
      <c r="E456" s="499"/>
      <c r="F456" s="499" t="s">
        <v>1998</v>
      </c>
      <c r="G456" s="499" t="s">
        <v>2116</v>
      </c>
      <c r="H456" s="499" t="s">
        <v>1622</v>
      </c>
      <c r="I456" s="499" t="s">
        <v>986</v>
      </c>
      <c r="J456" s="499" t="s">
        <v>987</v>
      </c>
      <c r="K456" s="499" t="s">
        <v>2048</v>
      </c>
      <c r="L456" s="499">
        <v>11</v>
      </c>
      <c r="M456" s="499" t="s">
        <v>2063</v>
      </c>
      <c r="N456" s="499" t="s">
        <v>2064</v>
      </c>
      <c r="O456" s="525">
        <v>0</v>
      </c>
      <c r="P456" s="499" t="s">
        <v>2054</v>
      </c>
      <c r="Q456" s="499"/>
      <c r="R456" s="499"/>
      <c r="S456" s="525"/>
      <c r="T456" s="525">
        <v>0</v>
      </c>
      <c r="U456" s="525">
        <v>1</v>
      </c>
      <c r="V456" s="525" t="s">
        <v>2054</v>
      </c>
      <c r="W456" s="589">
        <f>IF(AND(BaleMover[[#This Row],[Scenario_ID]]="S3",BaleMover[[#This Row],[MRF_ID]]="05"),0,IFERROR(BaleMover[[#This Row],[Total_Baled_tons]]*(IF(BaleMover[[#This Row],[Scenario_ID]]="S0",-2,0)+INDEX(BalePrices[Low],MATCH(BaleMover[[#This Row],[Bale_ID]],BalePrices[Bale_ID],0))),0))</f>
        <v>0</v>
      </c>
      <c r="X456" s="397">
        <f>IF(AND(BaleMover[[#This Row],[Scenario_ID]]="S3",BaleMover[[#This Row],[MRF_ID]]="05"),0,IFERROR(BaleMover[[#This Row],[Total_Baled_tons]]*(IF(BaleMover[[#This Row],[Scenario_ID]]="S0",-2,0)+INDEX(BalePrices[Mid-Point],MATCH(BaleMover[[#This Row],[Bale_ID]],BalePrices[Bale_ID],0))),0))</f>
        <v>0</v>
      </c>
      <c r="Y456" s="397">
        <f>IF(AND(BaleMover[[#This Row],[Scenario_ID]]="S3",BaleMover[[#This Row],[MRF_ID]]="05"),0,IFERROR(BaleMover[[#This Row],[Total_Baled_tons]]*(IF(BaleMover[[#This Row],[Scenario_ID]]="S0",-2,0)+INDEX(BalePrices[High],MATCH(BaleMover[[#This Row],[Bale_ID]],BalePrices[Bale_ID],0))),0))</f>
        <v>0</v>
      </c>
    </row>
    <row r="457" spans="2:25" x14ac:dyDescent="0.2">
      <c r="B457" s="545" t="s">
        <v>870</v>
      </c>
      <c r="C457" s="499" t="s">
        <v>744</v>
      </c>
      <c r="D457" s="499"/>
      <c r="E457" s="499"/>
      <c r="F457" s="499" t="s">
        <v>1998</v>
      </c>
      <c r="G457" s="499" t="s">
        <v>2116</v>
      </c>
      <c r="H457" s="499" t="s">
        <v>1623</v>
      </c>
      <c r="I457" s="499" t="s">
        <v>988</v>
      </c>
      <c r="J457" s="499" t="s">
        <v>989</v>
      </c>
      <c r="K457" s="499" t="s">
        <v>2048</v>
      </c>
      <c r="L457" s="499">
        <v>11</v>
      </c>
      <c r="M457" s="499" t="s">
        <v>2063</v>
      </c>
      <c r="N457" s="499" t="s">
        <v>2064</v>
      </c>
      <c r="O457" s="525">
        <v>0</v>
      </c>
      <c r="P457" s="499" t="s">
        <v>2054</v>
      </c>
      <c r="Q457" s="499"/>
      <c r="R457" s="499"/>
      <c r="S457" s="525"/>
      <c r="T457" s="525">
        <v>0</v>
      </c>
      <c r="U457" s="525">
        <v>1</v>
      </c>
      <c r="V457" s="525" t="s">
        <v>2054</v>
      </c>
      <c r="W457" s="589">
        <f>IF(AND(BaleMover[[#This Row],[Scenario_ID]]="S3",BaleMover[[#This Row],[MRF_ID]]="05"),0,IFERROR(BaleMover[[#This Row],[Total_Baled_tons]]*(IF(BaleMover[[#This Row],[Scenario_ID]]="S0",-2,0)+INDEX(BalePrices[Low],MATCH(BaleMover[[#This Row],[Bale_ID]],BalePrices[Bale_ID],0))),0))</f>
        <v>0</v>
      </c>
      <c r="X457" s="397">
        <f>IF(AND(BaleMover[[#This Row],[Scenario_ID]]="S3",BaleMover[[#This Row],[MRF_ID]]="05"),0,IFERROR(BaleMover[[#This Row],[Total_Baled_tons]]*(IF(BaleMover[[#This Row],[Scenario_ID]]="S0",-2,0)+INDEX(BalePrices[Mid-Point],MATCH(BaleMover[[#This Row],[Bale_ID]],BalePrices[Bale_ID],0))),0))</f>
        <v>0</v>
      </c>
      <c r="Y457" s="397">
        <f>IF(AND(BaleMover[[#This Row],[Scenario_ID]]="S3",BaleMover[[#This Row],[MRF_ID]]="05"),0,IFERROR(BaleMover[[#This Row],[Total_Baled_tons]]*(IF(BaleMover[[#This Row],[Scenario_ID]]="S0",-2,0)+INDEX(BalePrices[High],MATCH(BaleMover[[#This Row],[Bale_ID]],BalePrices[Bale_ID],0))),0))</f>
        <v>0</v>
      </c>
    </row>
    <row r="458" spans="2:25" x14ac:dyDescent="0.2">
      <c r="B458" s="545" t="s">
        <v>870</v>
      </c>
      <c r="C458" s="499" t="s">
        <v>744</v>
      </c>
      <c r="D458" s="499"/>
      <c r="E458" s="499"/>
      <c r="F458" s="499" t="s">
        <v>1998</v>
      </c>
      <c r="G458" s="499" t="s">
        <v>2116</v>
      </c>
      <c r="H458" s="499" t="s">
        <v>1624</v>
      </c>
      <c r="I458" s="499" t="s">
        <v>990</v>
      </c>
      <c r="J458" s="499" t="s">
        <v>991</v>
      </c>
      <c r="K458" s="499" t="s">
        <v>2048</v>
      </c>
      <c r="L458" s="499">
        <v>1</v>
      </c>
      <c r="M458" s="499" t="s">
        <v>2065</v>
      </c>
      <c r="N458" s="499" t="s">
        <v>2066</v>
      </c>
      <c r="O458" s="525">
        <v>0</v>
      </c>
      <c r="P458" s="499" t="s">
        <v>2054</v>
      </c>
      <c r="Q458" s="499"/>
      <c r="R458" s="499"/>
      <c r="S458" s="525"/>
      <c r="T458" s="525">
        <v>0</v>
      </c>
      <c r="U458" s="525">
        <v>1</v>
      </c>
      <c r="V458" s="525" t="s">
        <v>2054</v>
      </c>
      <c r="W458" s="589">
        <f>IF(AND(BaleMover[[#This Row],[Scenario_ID]]="S3",BaleMover[[#This Row],[MRF_ID]]="05"),0,IFERROR(BaleMover[[#This Row],[Total_Baled_tons]]*(IF(BaleMover[[#This Row],[Scenario_ID]]="S0",-2,0)+INDEX(BalePrices[Low],MATCH(BaleMover[[#This Row],[Bale_ID]],BalePrices[Bale_ID],0))),0))</f>
        <v>0</v>
      </c>
      <c r="X458" s="397">
        <f>IF(AND(BaleMover[[#This Row],[Scenario_ID]]="S3",BaleMover[[#This Row],[MRF_ID]]="05"),0,IFERROR(BaleMover[[#This Row],[Total_Baled_tons]]*(IF(BaleMover[[#This Row],[Scenario_ID]]="S0",-2,0)+INDEX(BalePrices[Mid-Point],MATCH(BaleMover[[#This Row],[Bale_ID]],BalePrices[Bale_ID],0))),0))</f>
        <v>0</v>
      </c>
      <c r="Y458" s="397">
        <f>IF(AND(BaleMover[[#This Row],[Scenario_ID]]="S3",BaleMover[[#This Row],[MRF_ID]]="05"),0,IFERROR(BaleMover[[#This Row],[Total_Baled_tons]]*(IF(BaleMover[[#This Row],[Scenario_ID]]="S0",-2,0)+INDEX(BalePrices[High],MATCH(BaleMover[[#This Row],[Bale_ID]],BalePrices[Bale_ID],0))),0))</f>
        <v>0</v>
      </c>
    </row>
    <row r="459" spans="2:25" x14ac:dyDescent="0.2">
      <c r="B459" s="545" t="s">
        <v>870</v>
      </c>
      <c r="C459" s="499" t="s">
        <v>744</v>
      </c>
      <c r="D459" s="499"/>
      <c r="E459" s="499"/>
      <c r="F459" s="499" t="s">
        <v>1998</v>
      </c>
      <c r="G459" s="499" t="s">
        <v>2116</v>
      </c>
      <c r="H459" s="499" t="s">
        <v>1625</v>
      </c>
      <c r="I459" s="499" t="s">
        <v>994</v>
      </c>
      <c r="J459" s="499" t="s">
        <v>995</v>
      </c>
      <c r="K459" s="499" t="s">
        <v>2048</v>
      </c>
      <c r="L459" s="499">
        <v>8</v>
      </c>
      <c r="M459" s="499" t="s">
        <v>2067</v>
      </c>
      <c r="N459" s="499" t="s">
        <v>2068</v>
      </c>
      <c r="O459" s="525">
        <v>0</v>
      </c>
      <c r="P459" s="499" t="s">
        <v>2054</v>
      </c>
      <c r="Q459" s="499"/>
      <c r="R459" s="499"/>
      <c r="S459" s="525"/>
      <c r="T459" s="525">
        <v>0</v>
      </c>
      <c r="U459" s="525">
        <v>1</v>
      </c>
      <c r="V459" s="525" t="s">
        <v>2054</v>
      </c>
      <c r="W459" s="589">
        <f>IF(AND(BaleMover[[#This Row],[Scenario_ID]]="S3",BaleMover[[#This Row],[MRF_ID]]="05"),0,IFERROR(BaleMover[[#This Row],[Total_Baled_tons]]*(IF(BaleMover[[#This Row],[Scenario_ID]]="S0",-2,0)+INDEX(BalePrices[Low],MATCH(BaleMover[[#This Row],[Bale_ID]],BalePrices[Bale_ID],0))),0))</f>
        <v>0</v>
      </c>
      <c r="X459" s="397">
        <f>IF(AND(BaleMover[[#This Row],[Scenario_ID]]="S3",BaleMover[[#This Row],[MRF_ID]]="05"),0,IFERROR(BaleMover[[#This Row],[Total_Baled_tons]]*(IF(BaleMover[[#This Row],[Scenario_ID]]="S0",-2,0)+INDEX(BalePrices[Mid-Point],MATCH(BaleMover[[#This Row],[Bale_ID]],BalePrices[Bale_ID],0))),0))</f>
        <v>0</v>
      </c>
      <c r="Y459" s="397">
        <f>IF(AND(BaleMover[[#This Row],[Scenario_ID]]="S3",BaleMover[[#This Row],[MRF_ID]]="05"),0,IFERROR(BaleMover[[#This Row],[Total_Baled_tons]]*(IF(BaleMover[[#This Row],[Scenario_ID]]="S0",-2,0)+INDEX(BalePrices[High],MATCH(BaleMover[[#This Row],[Bale_ID]],BalePrices[Bale_ID],0))),0))</f>
        <v>0</v>
      </c>
    </row>
    <row r="460" spans="2:25" x14ac:dyDescent="0.2">
      <c r="B460" s="545" t="s">
        <v>870</v>
      </c>
      <c r="C460" s="499" t="s">
        <v>744</v>
      </c>
      <c r="D460" s="499"/>
      <c r="E460" s="499"/>
      <c r="F460" s="499" t="s">
        <v>1998</v>
      </c>
      <c r="G460" s="499" t="s">
        <v>2116</v>
      </c>
      <c r="H460" s="499" t="s">
        <v>1626</v>
      </c>
      <c r="I460" s="499" t="s">
        <v>996</v>
      </c>
      <c r="J460" s="499" t="s">
        <v>997</v>
      </c>
      <c r="K460" s="499" t="s">
        <v>2048</v>
      </c>
      <c r="L460" s="499">
        <v>8</v>
      </c>
      <c r="M460" s="499" t="s">
        <v>2067</v>
      </c>
      <c r="N460" s="499" t="s">
        <v>2068</v>
      </c>
      <c r="O460" s="525">
        <v>0</v>
      </c>
      <c r="P460" s="499" t="s">
        <v>2054</v>
      </c>
      <c r="Q460" s="499"/>
      <c r="R460" s="499"/>
      <c r="S460" s="525"/>
      <c r="T460" s="525">
        <v>0</v>
      </c>
      <c r="U460" s="525">
        <v>1</v>
      </c>
      <c r="V460" s="525" t="s">
        <v>2054</v>
      </c>
      <c r="W460" s="589">
        <f>IF(AND(BaleMover[[#This Row],[Scenario_ID]]="S3",BaleMover[[#This Row],[MRF_ID]]="05"),0,IFERROR(BaleMover[[#This Row],[Total_Baled_tons]]*(IF(BaleMover[[#This Row],[Scenario_ID]]="S0",-2,0)+INDEX(BalePrices[Low],MATCH(BaleMover[[#This Row],[Bale_ID]],BalePrices[Bale_ID],0))),0))</f>
        <v>0</v>
      </c>
      <c r="X460" s="397">
        <f>IF(AND(BaleMover[[#This Row],[Scenario_ID]]="S3",BaleMover[[#This Row],[MRF_ID]]="05"),0,IFERROR(BaleMover[[#This Row],[Total_Baled_tons]]*(IF(BaleMover[[#This Row],[Scenario_ID]]="S0",-2,0)+INDEX(BalePrices[Mid-Point],MATCH(BaleMover[[#This Row],[Bale_ID]],BalePrices[Bale_ID],0))),0))</f>
        <v>0</v>
      </c>
      <c r="Y460" s="397">
        <f>IF(AND(BaleMover[[#This Row],[Scenario_ID]]="S3",BaleMover[[#This Row],[MRF_ID]]="05"),0,IFERROR(BaleMover[[#This Row],[Total_Baled_tons]]*(IF(BaleMover[[#This Row],[Scenario_ID]]="S0",-2,0)+INDEX(BalePrices[High],MATCH(BaleMover[[#This Row],[Bale_ID]],BalePrices[Bale_ID],0))),0))</f>
        <v>0</v>
      </c>
    </row>
    <row r="461" spans="2:25" x14ac:dyDescent="0.2">
      <c r="B461" s="545" t="s">
        <v>870</v>
      </c>
      <c r="C461" s="499" t="s">
        <v>744</v>
      </c>
      <c r="D461" s="499"/>
      <c r="E461" s="499"/>
      <c r="F461" s="499" t="s">
        <v>1998</v>
      </c>
      <c r="G461" s="499" t="s">
        <v>2116</v>
      </c>
      <c r="H461" s="499" t="s">
        <v>1627</v>
      </c>
      <c r="I461" s="499" t="s">
        <v>998</v>
      </c>
      <c r="J461" s="499" t="s">
        <v>999</v>
      </c>
      <c r="K461" s="499" t="s">
        <v>2048</v>
      </c>
      <c r="L461" s="499">
        <v>8</v>
      </c>
      <c r="M461" s="499" t="s">
        <v>2067</v>
      </c>
      <c r="N461" s="499" t="s">
        <v>2068</v>
      </c>
      <c r="O461" s="525">
        <v>0</v>
      </c>
      <c r="P461" s="499" t="s">
        <v>2054</v>
      </c>
      <c r="Q461" s="499"/>
      <c r="R461" s="499"/>
      <c r="S461" s="525"/>
      <c r="T461" s="525">
        <v>0</v>
      </c>
      <c r="U461" s="525">
        <v>1</v>
      </c>
      <c r="V461" s="525" t="s">
        <v>2054</v>
      </c>
      <c r="W461" s="589">
        <f>IF(AND(BaleMover[[#This Row],[Scenario_ID]]="S3",BaleMover[[#This Row],[MRF_ID]]="05"),0,IFERROR(BaleMover[[#This Row],[Total_Baled_tons]]*(IF(BaleMover[[#This Row],[Scenario_ID]]="S0",-2,0)+INDEX(BalePrices[Low],MATCH(BaleMover[[#This Row],[Bale_ID]],BalePrices[Bale_ID],0))),0))</f>
        <v>0</v>
      </c>
      <c r="X461" s="397">
        <f>IF(AND(BaleMover[[#This Row],[Scenario_ID]]="S3",BaleMover[[#This Row],[MRF_ID]]="05"),0,IFERROR(BaleMover[[#This Row],[Total_Baled_tons]]*(IF(BaleMover[[#This Row],[Scenario_ID]]="S0",-2,0)+INDEX(BalePrices[Mid-Point],MATCH(BaleMover[[#This Row],[Bale_ID]],BalePrices[Bale_ID],0))),0))</f>
        <v>0</v>
      </c>
      <c r="Y461" s="397">
        <f>IF(AND(BaleMover[[#This Row],[Scenario_ID]]="S3",BaleMover[[#This Row],[MRF_ID]]="05"),0,IFERROR(BaleMover[[#This Row],[Total_Baled_tons]]*(IF(BaleMover[[#This Row],[Scenario_ID]]="S0",-2,0)+INDEX(BalePrices[High],MATCH(BaleMover[[#This Row],[Bale_ID]],BalePrices[Bale_ID],0))),0))</f>
        <v>0</v>
      </c>
    </row>
    <row r="462" spans="2:25" x14ac:dyDescent="0.2">
      <c r="B462" s="545" t="s">
        <v>870</v>
      </c>
      <c r="C462" s="499" t="s">
        <v>744</v>
      </c>
      <c r="D462" s="499"/>
      <c r="E462" s="499"/>
      <c r="F462" s="499" t="s">
        <v>1998</v>
      </c>
      <c r="G462" s="499" t="s">
        <v>2116</v>
      </c>
      <c r="H462" s="499" t="s">
        <v>1628</v>
      </c>
      <c r="I462" s="499" t="s">
        <v>1000</v>
      </c>
      <c r="J462" s="499" t="s">
        <v>1001</v>
      </c>
      <c r="K462" s="499" t="s">
        <v>2048</v>
      </c>
      <c r="L462" s="499">
        <v>12</v>
      </c>
      <c r="M462" s="499" t="s">
        <v>2069</v>
      </c>
      <c r="N462" s="499" t="s">
        <v>2070</v>
      </c>
      <c r="O462" s="525">
        <v>0</v>
      </c>
      <c r="P462" s="499" t="s">
        <v>2054</v>
      </c>
      <c r="Q462" s="499"/>
      <c r="R462" s="499"/>
      <c r="S462" s="525"/>
      <c r="T462" s="525">
        <v>0</v>
      </c>
      <c r="U462" s="525">
        <v>1</v>
      </c>
      <c r="V462" s="525" t="s">
        <v>2054</v>
      </c>
      <c r="W462" s="589">
        <f>IF(AND(BaleMover[[#This Row],[Scenario_ID]]="S3",BaleMover[[#This Row],[MRF_ID]]="05"),0,IFERROR(BaleMover[[#This Row],[Total_Baled_tons]]*(IF(BaleMover[[#This Row],[Scenario_ID]]="S0",-2,0)+INDEX(BalePrices[Low],MATCH(BaleMover[[#This Row],[Bale_ID]],BalePrices[Bale_ID],0))),0))</f>
        <v>0</v>
      </c>
      <c r="X462" s="397">
        <f>IF(AND(BaleMover[[#This Row],[Scenario_ID]]="S3",BaleMover[[#This Row],[MRF_ID]]="05"),0,IFERROR(BaleMover[[#This Row],[Total_Baled_tons]]*(IF(BaleMover[[#This Row],[Scenario_ID]]="S0",-2,0)+INDEX(BalePrices[Mid-Point],MATCH(BaleMover[[#This Row],[Bale_ID]],BalePrices[Bale_ID],0))),0))</f>
        <v>0</v>
      </c>
      <c r="Y462" s="397">
        <f>IF(AND(BaleMover[[#This Row],[Scenario_ID]]="S3",BaleMover[[#This Row],[MRF_ID]]="05"),0,IFERROR(BaleMover[[#This Row],[Total_Baled_tons]]*(IF(BaleMover[[#This Row],[Scenario_ID]]="S0",-2,0)+INDEX(BalePrices[High],MATCH(BaleMover[[#This Row],[Bale_ID]],BalePrices[Bale_ID],0))),0))</f>
        <v>0</v>
      </c>
    </row>
    <row r="463" spans="2:25" x14ac:dyDescent="0.2">
      <c r="B463" s="545" t="s">
        <v>870</v>
      </c>
      <c r="C463" s="499" t="s">
        <v>744</v>
      </c>
      <c r="D463" s="499"/>
      <c r="E463" s="499"/>
      <c r="F463" s="499" t="s">
        <v>1998</v>
      </c>
      <c r="G463" s="499" t="s">
        <v>2116</v>
      </c>
      <c r="H463" s="499" t="s">
        <v>1629</v>
      </c>
      <c r="I463" s="499" t="s">
        <v>1002</v>
      </c>
      <c r="J463" s="499" t="s">
        <v>1003</v>
      </c>
      <c r="K463" s="499" t="s">
        <v>2048</v>
      </c>
      <c r="L463" s="499">
        <v>1</v>
      </c>
      <c r="M463" s="499" t="s">
        <v>2065</v>
      </c>
      <c r="N463" s="499" t="s">
        <v>2066</v>
      </c>
      <c r="O463" s="525">
        <v>0</v>
      </c>
      <c r="P463" s="499" t="s">
        <v>2054</v>
      </c>
      <c r="Q463" s="499"/>
      <c r="R463" s="499"/>
      <c r="S463" s="525"/>
      <c r="T463" s="525">
        <v>0</v>
      </c>
      <c r="U463" s="525">
        <v>1</v>
      </c>
      <c r="V463" s="525" t="s">
        <v>2054</v>
      </c>
      <c r="W463" s="589">
        <f>IF(AND(BaleMover[[#This Row],[Scenario_ID]]="S3",BaleMover[[#This Row],[MRF_ID]]="05"),0,IFERROR(BaleMover[[#This Row],[Total_Baled_tons]]*(IF(BaleMover[[#This Row],[Scenario_ID]]="S0",-2,0)+INDEX(BalePrices[Low],MATCH(BaleMover[[#This Row],[Bale_ID]],BalePrices[Bale_ID],0))),0))</f>
        <v>0</v>
      </c>
      <c r="X463" s="397">
        <f>IF(AND(BaleMover[[#This Row],[Scenario_ID]]="S3",BaleMover[[#This Row],[MRF_ID]]="05"),0,IFERROR(BaleMover[[#This Row],[Total_Baled_tons]]*(IF(BaleMover[[#This Row],[Scenario_ID]]="S0",-2,0)+INDEX(BalePrices[Mid-Point],MATCH(BaleMover[[#This Row],[Bale_ID]],BalePrices[Bale_ID],0))),0))</f>
        <v>0</v>
      </c>
      <c r="Y463" s="397">
        <f>IF(AND(BaleMover[[#This Row],[Scenario_ID]]="S3",BaleMover[[#This Row],[MRF_ID]]="05"),0,IFERROR(BaleMover[[#This Row],[Total_Baled_tons]]*(IF(BaleMover[[#This Row],[Scenario_ID]]="S0",-2,0)+INDEX(BalePrices[High],MATCH(BaleMover[[#This Row],[Bale_ID]],BalePrices[Bale_ID],0))),0))</f>
        <v>0</v>
      </c>
    </row>
    <row r="464" spans="2:25" x14ac:dyDescent="0.2">
      <c r="B464" s="545" t="s">
        <v>870</v>
      </c>
      <c r="C464" s="499" t="s">
        <v>744</v>
      </c>
      <c r="D464" s="499"/>
      <c r="E464" s="499"/>
      <c r="F464" s="499" t="s">
        <v>1998</v>
      </c>
      <c r="G464" s="499" t="s">
        <v>2116</v>
      </c>
      <c r="H464" s="499" t="s">
        <v>1630</v>
      </c>
      <c r="I464" s="499" t="s">
        <v>1006</v>
      </c>
      <c r="J464" s="499" t="s">
        <v>1007</v>
      </c>
      <c r="K464" s="499" t="s">
        <v>2048</v>
      </c>
      <c r="L464" s="499">
        <v>1</v>
      </c>
      <c r="M464" s="499" t="s">
        <v>2065</v>
      </c>
      <c r="N464" s="499" t="s">
        <v>2066</v>
      </c>
      <c r="O464" s="525">
        <v>0</v>
      </c>
      <c r="P464" s="499" t="s">
        <v>2054</v>
      </c>
      <c r="Q464" s="499"/>
      <c r="R464" s="499"/>
      <c r="S464" s="525"/>
      <c r="T464" s="525">
        <v>0</v>
      </c>
      <c r="U464" s="525">
        <v>1</v>
      </c>
      <c r="V464" s="525" t="s">
        <v>2054</v>
      </c>
      <c r="W464" s="589">
        <f>IF(AND(BaleMover[[#This Row],[Scenario_ID]]="S3",BaleMover[[#This Row],[MRF_ID]]="05"),0,IFERROR(BaleMover[[#This Row],[Total_Baled_tons]]*(IF(BaleMover[[#This Row],[Scenario_ID]]="S0",-2,0)+INDEX(BalePrices[Low],MATCH(BaleMover[[#This Row],[Bale_ID]],BalePrices[Bale_ID],0))),0))</f>
        <v>0</v>
      </c>
      <c r="X464" s="397">
        <f>IF(AND(BaleMover[[#This Row],[Scenario_ID]]="S3",BaleMover[[#This Row],[MRF_ID]]="05"),0,IFERROR(BaleMover[[#This Row],[Total_Baled_tons]]*(IF(BaleMover[[#This Row],[Scenario_ID]]="S0",-2,0)+INDEX(BalePrices[Mid-Point],MATCH(BaleMover[[#This Row],[Bale_ID]],BalePrices[Bale_ID],0))),0))</f>
        <v>0</v>
      </c>
      <c r="Y464" s="397">
        <f>IF(AND(BaleMover[[#This Row],[Scenario_ID]]="S3",BaleMover[[#This Row],[MRF_ID]]="05"),0,IFERROR(BaleMover[[#This Row],[Total_Baled_tons]]*(IF(BaleMover[[#This Row],[Scenario_ID]]="S0",-2,0)+INDEX(BalePrices[High],MATCH(BaleMover[[#This Row],[Bale_ID]],BalePrices[Bale_ID],0))),0))</f>
        <v>0</v>
      </c>
    </row>
    <row r="465" spans="2:25" x14ac:dyDescent="0.2">
      <c r="B465" s="545" t="s">
        <v>870</v>
      </c>
      <c r="C465" s="499" t="s">
        <v>744</v>
      </c>
      <c r="D465" s="499"/>
      <c r="E465" s="499"/>
      <c r="F465" s="499" t="s">
        <v>1998</v>
      </c>
      <c r="G465" s="499" t="s">
        <v>2116</v>
      </c>
      <c r="H465" s="499" t="s">
        <v>1631</v>
      </c>
      <c r="I465" s="499" t="s">
        <v>1008</v>
      </c>
      <c r="J465" s="499" t="s">
        <v>1009</v>
      </c>
      <c r="K465" s="499" t="s">
        <v>2048</v>
      </c>
      <c r="L465" s="499">
        <v>2</v>
      </c>
      <c r="M465" s="499" t="s">
        <v>2071</v>
      </c>
      <c r="N465" s="499" t="s">
        <v>2072</v>
      </c>
      <c r="O465" s="525">
        <v>0</v>
      </c>
      <c r="P465" s="499" t="s">
        <v>2054</v>
      </c>
      <c r="Q465" s="499"/>
      <c r="R465" s="499"/>
      <c r="S465" s="525"/>
      <c r="T465" s="525">
        <v>0</v>
      </c>
      <c r="U465" s="525">
        <v>1</v>
      </c>
      <c r="V465" s="525" t="s">
        <v>2054</v>
      </c>
      <c r="W465" s="589">
        <f>IF(AND(BaleMover[[#This Row],[Scenario_ID]]="S3",BaleMover[[#This Row],[MRF_ID]]="05"),0,IFERROR(BaleMover[[#This Row],[Total_Baled_tons]]*(IF(BaleMover[[#This Row],[Scenario_ID]]="S0",-2,0)+INDEX(BalePrices[Low],MATCH(BaleMover[[#This Row],[Bale_ID]],BalePrices[Bale_ID],0))),0))</f>
        <v>0</v>
      </c>
      <c r="X465" s="397">
        <f>IF(AND(BaleMover[[#This Row],[Scenario_ID]]="S3",BaleMover[[#This Row],[MRF_ID]]="05"),0,IFERROR(BaleMover[[#This Row],[Total_Baled_tons]]*(IF(BaleMover[[#This Row],[Scenario_ID]]="S0",-2,0)+INDEX(BalePrices[Mid-Point],MATCH(BaleMover[[#This Row],[Bale_ID]],BalePrices[Bale_ID],0))),0))</f>
        <v>0</v>
      </c>
      <c r="Y465" s="397">
        <f>IF(AND(BaleMover[[#This Row],[Scenario_ID]]="S3",BaleMover[[#This Row],[MRF_ID]]="05"),0,IFERROR(BaleMover[[#This Row],[Total_Baled_tons]]*(IF(BaleMover[[#This Row],[Scenario_ID]]="S0",-2,0)+INDEX(BalePrices[High],MATCH(BaleMover[[#This Row],[Bale_ID]],BalePrices[Bale_ID],0))),0))</f>
        <v>0</v>
      </c>
    </row>
    <row r="466" spans="2:25" x14ac:dyDescent="0.2">
      <c r="B466" s="545" t="s">
        <v>870</v>
      </c>
      <c r="C466" s="499" t="s">
        <v>744</v>
      </c>
      <c r="D466" s="499"/>
      <c r="E466" s="499"/>
      <c r="F466" s="499" t="s">
        <v>1998</v>
      </c>
      <c r="G466" s="499" t="s">
        <v>2116</v>
      </c>
      <c r="H466" s="499" t="s">
        <v>1632</v>
      </c>
      <c r="I466" s="499" t="s">
        <v>1010</v>
      </c>
      <c r="J466" s="499" t="s">
        <v>1011</v>
      </c>
      <c r="K466" s="499" t="s">
        <v>2048</v>
      </c>
      <c r="L466" s="499">
        <v>2</v>
      </c>
      <c r="M466" s="499" t="s">
        <v>2071</v>
      </c>
      <c r="N466" s="499" t="s">
        <v>2072</v>
      </c>
      <c r="O466" s="525">
        <v>0</v>
      </c>
      <c r="P466" s="499" t="s">
        <v>2054</v>
      </c>
      <c r="Q466" s="499"/>
      <c r="R466" s="499"/>
      <c r="S466" s="525"/>
      <c r="T466" s="525">
        <v>0</v>
      </c>
      <c r="U466" s="525">
        <v>1</v>
      </c>
      <c r="V466" s="525" t="s">
        <v>2054</v>
      </c>
      <c r="W466" s="589">
        <f>IF(AND(BaleMover[[#This Row],[Scenario_ID]]="S3",BaleMover[[#This Row],[MRF_ID]]="05"),0,IFERROR(BaleMover[[#This Row],[Total_Baled_tons]]*(IF(BaleMover[[#This Row],[Scenario_ID]]="S0",-2,0)+INDEX(BalePrices[Low],MATCH(BaleMover[[#This Row],[Bale_ID]],BalePrices[Bale_ID],0))),0))</f>
        <v>0</v>
      </c>
      <c r="X466" s="397">
        <f>IF(AND(BaleMover[[#This Row],[Scenario_ID]]="S3",BaleMover[[#This Row],[MRF_ID]]="05"),0,IFERROR(BaleMover[[#This Row],[Total_Baled_tons]]*(IF(BaleMover[[#This Row],[Scenario_ID]]="S0",-2,0)+INDEX(BalePrices[Mid-Point],MATCH(BaleMover[[#This Row],[Bale_ID]],BalePrices[Bale_ID],0))),0))</f>
        <v>0</v>
      </c>
      <c r="Y466" s="397">
        <f>IF(AND(BaleMover[[#This Row],[Scenario_ID]]="S3",BaleMover[[#This Row],[MRF_ID]]="05"),0,IFERROR(BaleMover[[#This Row],[Total_Baled_tons]]*(IF(BaleMover[[#This Row],[Scenario_ID]]="S0",-2,0)+INDEX(BalePrices[High],MATCH(BaleMover[[#This Row],[Bale_ID]],BalePrices[Bale_ID],0))),0))</f>
        <v>0</v>
      </c>
    </row>
    <row r="467" spans="2:25" x14ac:dyDescent="0.2">
      <c r="B467" s="545" t="s">
        <v>870</v>
      </c>
      <c r="C467" s="499" t="s">
        <v>744</v>
      </c>
      <c r="D467" s="499"/>
      <c r="E467" s="499"/>
      <c r="F467" s="499" t="s">
        <v>1998</v>
      </c>
      <c r="G467" s="499" t="s">
        <v>2116</v>
      </c>
      <c r="H467" s="499" t="s">
        <v>1633</v>
      </c>
      <c r="I467" s="499" t="s">
        <v>1012</v>
      </c>
      <c r="J467" s="499" t="s">
        <v>1013</v>
      </c>
      <c r="K467" s="499" t="s">
        <v>2048</v>
      </c>
      <c r="L467" s="499">
        <v>2</v>
      </c>
      <c r="M467" s="499" t="s">
        <v>2071</v>
      </c>
      <c r="N467" s="499" t="s">
        <v>2072</v>
      </c>
      <c r="O467" s="525">
        <v>0</v>
      </c>
      <c r="P467" s="499" t="s">
        <v>2054</v>
      </c>
      <c r="Q467" s="499"/>
      <c r="R467" s="499"/>
      <c r="S467" s="525"/>
      <c r="T467" s="525">
        <v>0</v>
      </c>
      <c r="U467" s="525">
        <v>1</v>
      </c>
      <c r="V467" s="525" t="s">
        <v>2054</v>
      </c>
      <c r="W467" s="589">
        <f>IF(AND(BaleMover[[#This Row],[Scenario_ID]]="S3",BaleMover[[#This Row],[MRF_ID]]="05"),0,IFERROR(BaleMover[[#This Row],[Total_Baled_tons]]*(IF(BaleMover[[#This Row],[Scenario_ID]]="S0",-2,0)+INDEX(BalePrices[Low],MATCH(BaleMover[[#This Row],[Bale_ID]],BalePrices[Bale_ID],0))),0))</f>
        <v>0</v>
      </c>
      <c r="X467" s="397">
        <f>IF(AND(BaleMover[[#This Row],[Scenario_ID]]="S3",BaleMover[[#This Row],[MRF_ID]]="05"),0,IFERROR(BaleMover[[#This Row],[Total_Baled_tons]]*(IF(BaleMover[[#This Row],[Scenario_ID]]="S0",-2,0)+INDEX(BalePrices[Mid-Point],MATCH(BaleMover[[#This Row],[Bale_ID]],BalePrices[Bale_ID],0))),0))</f>
        <v>0</v>
      </c>
      <c r="Y467" s="397">
        <f>IF(AND(BaleMover[[#This Row],[Scenario_ID]]="S3",BaleMover[[#This Row],[MRF_ID]]="05"),0,IFERROR(BaleMover[[#This Row],[Total_Baled_tons]]*(IF(BaleMover[[#This Row],[Scenario_ID]]="S0",-2,0)+INDEX(BalePrices[High],MATCH(BaleMover[[#This Row],[Bale_ID]],BalePrices[Bale_ID],0))),0))</f>
        <v>0</v>
      </c>
    </row>
    <row r="468" spans="2:25" x14ac:dyDescent="0.2">
      <c r="B468" s="545" t="s">
        <v>870</v>
      </c>
      <c r="C468" s="499" t="s">
        <v>744</v>
      </c>
      <c r="D468" s="499"/>
      <c r="E468" s="499"/>
      <c r="F468" s="499" t="s">
        <v>1998</v>
      </c>
      <c r="G468" s="499" t="s">
        <v>2116</v>
      </c>
      <c r="H468" s="499" t="s">
        <v>1634</v>
      </c>
      <c r="I468" s="499" t="s">
        <v>1014</v>
      </c>
      <c r="J468" s="499" t="s">
        <v>1893</v>
      </c>
      <c r="K468" s="499" t="s">
        <v>2048</v>
      </c>
      <c r="L468" s="499">
        <v>8</v>
      </c>
      <c r="M468" s="499" t="s">
        <v>2067</v>
      </c>
      <c r="N468" s="499" t="s">
        <v>2068</v>
      </c>
      <c r="O468" s="525">
        <v>0</v>
      </c>
      <c r="P468" s="499" t="s">
        <v>2054</v>
      </c>
      <c r="Q468" s="499"/>
      <c r="R468" s="499"/>
      <c r="S468" s="525"/>
      <c r="T468" s="525">
        <v>0</v>
      </c>
      <c r="U468" s="525">
        <v>1</v>
      </c>
      <c r="V468" s="525" t="s">
        <v>2054</v>
      </c>
      <c r="W468" s="589">
        <f>IF(AND(BaleMover[[#This Row],[Scenario_ID]]="S3",BaleMover[[#This Row],[MRF_ID]]="05"),0,IFERROR(BaleMover[[#This Row],[Total_Baled_tons]]*(IF(BaleMover[[#This Row],[Scenario_ID]]="S0",-2,0)+INDEX(BalePrices[Low],MATCH(BaleMover[[#This Row],[Bale_ID]],BalePrices[Bale_ID],0))),0))</f>
        <v>0</v>
      </c>
      <c r="X468" s="397">
        <f>IF(AND(BaleMover[[#This Row],[Scenario_ID]]="S3",BaleMover[[#This Row],[MRF_ID]]="05"),0,IFERROR(BaleMover[[#This Row],[Total_Baled_tons]]*(IF(BaleMover[[#This Row],[Scenario_ID]]="S0",-2,0)+INDEX(BalePrices[Mid-Point],MATCH(BaleMover[[#This Row],[Bale_ID]],BalePrices[Bale_ID],0))),0))</f>
        <v>0</v>
      </c>
      <c r="Y468" s="397">
        <f>IF(AND(BaleMover[[#This Row],[Scenario_ID]]="S3",BaleMover[[#This Row],[MRF_ID]]="05"),0,IFERROR(BaleMover[[#This Row],[Total_Baled_tons]]*(IF(BaleMover[[#This Row],[Scenario_ID]]="S0",-2,0)+INDEX(BalePrices[High],MATCH(BaleMover[[#This Row],[Bale_ID]],BalePrices[Bale_ID],0))),0))</f>
        <v>0</v>
      </c>
    </row>
    <row r="469" spans="2:25" x14ac:dyDescent="0.2">
      <c r="B469" s="545" t="s">
        <v>870</v>
      </c>
      <c r="C469" s="499" t="s">
        <v>744</v>
      </c>
      <c r="D469" s="499"/>
      <c r="E469" s="499"/>
      <c r="F469" s="499" t="s">
        <v>1998</v>
      </c>
      <c r="G469" s="499" t="s">
        <v>2116</v>
      </c>
      <c r="H469" s="499" t="s">
        <v>1635</v>
      </c>
      <c r="I469" s="499" t="s">
        <v>1015</v>
      </c>
      <c r="J469" s="499" t="s">
        <v>1016</v>
      </c>
      <c r="K469" s="499" t="s">
        <v>2048</v>
      </c>
      <c r="L469" s="499">
        <v>1</v>
      </c>
      <c r="M469" s="499" t="s">
        <v>2065</v>
      </c>
      <c r="N469" s="499" t="s">
        <v>2066</v>
      </c>
      <c r="O469" s="525">
        <v>0</v>
      </c>
      <c r="P469" s="499" t="s">
        <v>2054</v>
      </c>
      <c r="Q469" s="499"/>
      <c r="R469" s="499"/>
      <c r="S469" s="525"/>
      <c r="T469" s="525">
        <v>0</v>
      </c>
      <c r="U469" s="525">
        <v>1</v>
      </c>
      <c r="V469" s="525" t="s">
        <v>2054</v>
      </c>
      <c r="W469" s="589">
        <f>IF(AND(BaleMover[[#This Row],[Scenario_ID]]="S3",BaleMover[[#This Row],[MRF_ID]]="05"),0,IFERROR(BaleMover[[#This Row],[Total_Baled_tons]]*(IF(BaleMover[[#This Row],[Scenario_ID]]="S0",-2,0)+INDEX(BalePrices[Low],MATCH(BaleMover[[#This Row],[Bale_ID]],BalePrices[Bale_ID],0))),0))</f>
        <v>0</v>
      </c>
      <c r="X469" s="397">
        <f>IF(AND(BaleMover[[#This Row],[Scenario_ID]]="S3",BaleMover[[#This Row],[MRF_ID]]="05"),0,IFERROR(BaleMover[[#This Row],[Total_Baled_tons]]*(IF(BaleMover[[#This Row],[Scenario_ID]]="S0",-2,0)+INDEX(BalePrices[Mid-Point],MATCH(BaleMover[[#This Row],[Bale_ID]],BalePrices[Bale_ID],0))),0))</f>
        <v>0</v>
      </c>
      <c r="Y469" s="397">
        <f>IF(AND(BaleMover[[#This Row],[Scenario_ID]]="S3",BaleMover[[#This Row],[MRF_ID]]="05"),0,IFERROR(BaleMover[[#This Row],[Total_Baled_tons]]*(IF(BaleMover[[#This Row],[Scenario_ID]]="S0",-2,0)+INDEX(BalePrices[High],MATCH(BaleMover[[#This Row],[Bale_ID]],BalePrices[Bale_ID],0))),0))</f>
        <v>0</v>
      </c>
    </row>
    <row r="470" spans="2:25" x14ac:dyDescent="0.2">
      <c r="B470" s="545" t="s">
        <v>870</v>
      </c>
      <c r="C470" s="499" t="s">
        <v>744</v>
      </c>
      <c r="D470" s="499"/>
      <c r="E470" s="499"/>
      <c r="F470" s="499" t="s">
        <v>1998</v>
      </c>
      <c r="G470" s="499" t="s">
        <v>2116</v>
      </c>
      <c r="H470" s="499" t="s">
        <v>1636</v>
      </c>
      <c r="I470" s="499" t="s">
        <v>1017</v>
      </c>
      <c r="J470" s="499" t="s">
        <v>1018</v>
      </c>
      <c r="K470" s="499" t="s">
        <v>2048</v>
      </c>
      <c r="L470" s="499">
        <v>11</v>
      </c>
      <c r="M470" s="499" t="s">
        <v>2063</v>
      </c>
      <c r="N470" s="499" t="s">
        <v>2064</v>
      </c>
      <c r="O470" s="525">
        <v>0</v>
      </c>
      <c r="P470" s="499" t="s">
        <v>2054</v>
      </c>
      <c r="Q470" s="499"/>
      <c r="R470" s="499"/>
      <c r="S470" s="525"/>
      <c r="T470" s="525">
        <v>0</v>
      </c>
      <c r="U470" s="525">
        <v>1</v>
      </c>
      <c r="V470" s="525" t="s">
        <v>2054</v>
      </c>
      <c r="W470" s="589">
        <f>IF(AND(BaleMover[[#This Row],[Scenario_ID]]="S3",BaleMover[[#This Row],[MRF_ID]]="05"),0,IFERROR(BaleMover[[#This Row],[Total_Baled_tons]]*(IF(BaleMover[[#This Row],[Scenario_ID]]="S0",-2,0)+INDEX(BalePrices[Low],MATCH(BaleMover[[#This Row],[Bale_ID]],BalePrices[Bale_ID],0))),0))</f>
        <v>0</v>
      </c>
      <c r="X470" s="397">
        <f>IF(AND(BaleMover[[#This Row],[Scenario_ID]]="S3",BaleMover[[#This Row],[MRF_ID]]="05"),0,IFERROR(BaleMover[[#This Row],[Total_Baled_tons]]*(IF(BaleMover[[#This Row],[Scenario_ID]]="S0",-2,0)+INDEX(BalePrices[Mid-Point],MATCH(BaleMover[[#This Row],[Bale_ID]],BalePrices[Bale_ID],0))),0))</f>
        <v>0</v>
      </c>
      <c r="Y470" s="397">
        <f>IF(AND(BaleMover[[#This Row],[Scenario_ID]]="S3",BaleMover[[#This Row],[MRF_ID]]="05"),0,IFERROR(BaleMover[[#This Row],[Total_Baled_tons]]*(IF(BaleMover[[#This Row],[Scenario_ID]]="S0",-2,0)+INDEX(BalePrices[High],MATCH(BaleMover[[#This Row],[Bale_ID]],BalePrices[Bale_ID],0))),0))</f>
        <v>0</v>
      </c>
    </row>
    <row r="471" spans="2:25" x14ac:dyDescent="0.2">
      <c r="B471" s="545" t="s">
        <v>870</v>
      </c>
      <c r="C471" s="499" t="s">
        <v>744</v>
      </c>
      <c r="D471" s="499"/>
      <c r="E471" s="499"/>
      <c r="F471" s="499" t="s">
        <v>1998</v>
      </c>
      <c r="G471" s="499" t="s">
        <v>2116</v>
      </c>
      <c r="H471" s="499" t="s">
        <v>1637</v>
      </c>
      <c r="I471" s="499" t="s">
        <v>1019</v>
      </c>
      <c r="J471" s="499" t="s">
        <v>1020</v>
      </c>
      <c r="K471" s="499" t="s">
        <v>2048</v>
      </c>
      <c r="L471" s="499">
        <v>1</v>
      </c>
      <c r="M471" s="499" t="s">
        <v>2065</v>
      </c>
      <c r="N471" s="499" t="s">
        <v>2066</v>
      </c>
      <c r="O471" s="525">
        <v>0</v>
      </c>
      <c r="P471" s="499" t="s">
        <v>2054</v>
      </c>
      <c r="Q471" s="499"/>
      <c r="R471" s="499"/>
      <c r="S471" s="525"/>
      <c r="T471" s="525">
        <v>0</v>
      </c>
      <c r="U471" s="525">
        <v>1</v>
      </c>
      <c r="V471" s="525" t="s">
        <v>2054</v>
      </c>
      <c r="W471" s="589">
        <f>IF(AND(BaleMover[[#This Row],[Scenario_ID]]="S3",BaleMover[[#This Row],[MRF_ID]]="05"),0,IFERROR(BaleMover[[#This Row],[Total_Baled_tons]]*(IF(BaleMover[[#This Row],[Scenario_ID]]="S0",-2,0)+INDEX(BalePrices[Low],MATCH(BaleMover[[#This Row],[Bale_ID]],BalePrices[Bale_ID],0))),0))</f>
        <v>0</v>
      </c>
      <c r="X471" s="397">
        <f>IF(AND(BaleMover[[#This Row],[Scenario_ID]]="S3",BaleMover[[#This Row],[MRF_ID]]="05"),0,IFERROR(BaleMover[[#This Row],[Total_Baled_tons]]*(IF(BaleMover[[#This Row],[Scenario_ID]]="S0",-2,0)+INDEX(BalePrices[Mid-Point],MATCH(BaleMover[[#This Row],[Bale_ID]],BalePrices[Bale_ID],0))),0))</f>
        <v>0</v>
      </c>
      <c r="Y471" s="397">
        <f>IF(AND(BaleMover[[#This Row],[Scenario_ID]]="S3",BaleMover[[#This Row],[MRF_ID]]="05"),0,IFERROR(BaleMover[[#This Row],[Total_Baled_tons]]*(IF(BaleMover[[#This Row],[Scenario_ID]]="S0",-2,0)+INDEX(BalePrices[High],MATCH(BaleMover[[#This Row],[Bale_ID]],BalePrices[Bale_ID],0))),0))</f>
        <v>0</v>
      </c>
    </row>
    <row r="472" spans="2:25" x14ac:dyDescent="0.2">
      <c r="B472" s="545" t="s">
        <v>870</v>
      </c>
      <c r="C472" s="499" t="s">
        <v>744</v>
      </c>
      <c r="D472" s="499"/>
      <c r="E472" s="499"/>
      <c r="F472" s="499" t="s">
        <v>1998</v>
      </c>
      <c r="G472" s="499" t="s">
        <v>2116</v>
      </c>
      <c r="H472" s="499" t="s">
        <v>1638</v>
      </c>
      <c r="I472" s="499" t="s">
        <v>1021</v>
      </c>
      <c r="J472" s="499" t="s">
        <v>751</v>
      </c>
      <c r="K472" s="499" t="s">
        <v>2048</v>
      </c>
      <c r="L472" s="499">
        <v>20</v>
      </c>
      <c r="M472" s="499" t="s">
        <v>2073</v>
      </c>
      <c r="N472" s="499" t="s">
        <v>2074</v>
      </c>
      <c r="O472" s="525">
        <v>0</v>
      </c>
      <c r="P472" s="499" t="s">
        <v>2054</v>
      </c>
      <c r="Q472" s="499"/>
      <c r="R472" s="499"/>
      <c r="S472" s="525"/>
      <c r="T472" s="525">
        <v>0</v>
      </c>
      <c r="U472" s="525">
        <v>1</v>
      </c>
      <c r="V472" s="525" t="s">
        <v>2054</v>
      </c>
      <c r="W472" s="589">
        <f>IF(AND(BaleMover[[#This Row],[Scenario_ID]]="S3",BaleMover[[#This Row],[MRF_ID]]="05"),0,IFERROR(BaleMover[[#This Row],[Total_Baled_tons]]*(IF(BaleMover[[#This Row],[Scenario_ID]]="S0",-2,0)+INDEX(BalePrices[Low],MATCH(BaleMover[[#This Row],[Bale_ID]],BalePrices[Bale_ID],0))),0))</f>
        <v>0</v>
      </c>
      <c r="X472" s="397">
        <f>IF(AND(BaleMover[[#This Row],[Scenario_ID]]="S3",BaleMover[[#This Row],[MRF_ID]]="05"),0,IFERROR(BaleMover[[#This Row],[Total_Baled_tons]]*(IF(BaleMover[[#This Row],[Scenario_ID]]="S0",-2,0)+INDEX(BalePrices[Mid-Point],MATCH(BaleMover[[#This Row],[Bale_ID]],BalePrices[Bale_ID],0))),0))</f>
        <v>0</v>
      </c>
      <c r="Y472" s="397">
        <f>IF(AND(BaleMover[[#This Row],[Scenario_ID]]="S3",BaleMover[[#This Row],[MRF_ID]]="05"),0,IFERROR(BaleMover[[#This Row],[Total_Baled_tons]]*(IF(BaleMover[[#This Row],[Scenario_ID]]="S0",-2,0)+INDEX(BalePrices[High],MATCH(BaleMover[[#This Row],[Bale_ID]],BalePrices[Bale_ID],0))),0))</f>
        <v>0</v>
      </c>
    </row>
    <row r="473" spans="2:25" x14ac:dyDescent="0.2">
      <c r="B473" s="545" t="s">
        <v>876</v>
      </c>
      <c r="C473" s="499" t="s">
        <v>754</v>
      </c>
      <c r="D473" s="499"/>
      <c r="E473" s="499"/>
      <c r="F473" s="499" t="s">
        <v>1999</v>
      </c>
      <c r="G473" s="499" t="s">
        <v>2118</v>
      </c>
      <c r="H473" s="499" t="s">
        <v>1639</v>
      </c>
      <c r="I473" s="499" t="s">
        <v>969</v>
      </c>
      <c r="J473" s="499" t="s">
        <v>970</v>
      </c>
      <c r="K473" s="499" t="s">
        <v>2048</v>
      </c>
      <c r="L473" s="499">
        <v>6</v>
      </c>
      <c r="M473" s="499" t="s">
        <v>2049</v>
      </c>
      <c r="N473" s="499" t="s">
        <v>2050</v>
      </c>
      <c r="O473" s="525">
        <v>18809.189368531246</v>
      </c>
      <c r="P473" s="499">
        <v>65</v>
      </c>
      <c r="Q473" s="499"/>
      <c r="R473" s="499"/>
      <c r="S473" s="525"/>
      <c r="T473" s="525">
        <v>0</v>
      </c>
      <c r="U473" s="525">
        <v>1</v>
      </c>
      <c r="V473" s="525">
        <v>1222597.3089545311</v>
      </c>
      <c r="W473" s="589">
        <f>IF(AND(BaleMover[[#This Row],[Scenario_ID]]="S3",BaleMover[[#This Row],[MRF_ID]]="05"),0,IFERROR(BaleMover[[#This Row],[Total_Baled_tons]]*(IF(BaleMover[[#This Row],[Scenario_ID]]="S0",-2,0)+INDEX(BalePrices[Low],MATCH(BaleMover[[#This Row],[Bale_ID]],BalePrices[Bale_ID],0))),0))</f>
        <v>432611.35547621868</v>
      </c>
      <c r="X473" s="397">
        <f>IF(AND(BaleMover[[#This Row],[Scenario_ID]]="S3",BaleMover[[#This Row],[MRF_ID]]="05"),0,IFERROR(BaleMover[[#This Row],[Total_Baled_tons]]*(IF(BaleMover[[#This Row],[Scenario_ID]]="S0",-2,0)+INDEX(BalePrices[Mid-Point],MATCH(BaleMover[[#This Row],[Bale_ID]],BalePrices[Bale_ID],0))),0))</f>
        <v>1608185.6910094216</v>
      </c>
      <c r="Y473" s="397">
        <f>IF(AND(BaleMover[[#This Row],[Scenario_ID]]="S3",BaleMover[[#This Row],[MRF_ID]]="05"),0,IFERROR(BaleMover[[#This Row],[Total_Baled_tons]]*(IF(BaleMover[[#This Row],[Scenario_ID]]="S0",-2,0)+INDEX(BalePrices[High],MATCH(BaleMover[[#This Row],[Bale_ID]],BalePrices[Bale_ID],0))),0))</f>
        <v>2783760.0265426245</v>
      </c>
    </row>
    <row r="474" spans="2:25" x14ac:dyDescent="0.2">
      <c r="B474" s="545" t="s">
        <v>875</v>
      </c>
      <c r="C474" s="499" t="s">
        <v>754</v>
      </c>
      <c r="D474" s="499"/>
      <c r="E474" s="499"/>
      <c r="F474" s="499" t="s">
        <v>1999</v>
      </c>
      <c r="G474" s="499" t="s">
        <v>2119</v>
      </c>
      <c r="H474" s="499" t="s">
        <v>1640</v>
      </c>
      <c r="I474" s="499" t="s">
        <v>969</v>
      </c>
      <c r="J474" s="499" t="s">
        <v>970</v>
      </c>
      <c r="K474" s="499" t="s">
        <v>2048</v>
      </c>
      <c r="L474" s="499">
        <v>6</v>
      </c>
      <c r="M474" s="499" t="s">
        <v>2049</v>
      </c>
      <c r="N474" s="499" t="s">
        <v>2050</v>
      </c>
      <c r="O474" s="525">
        <v>18809.189368531246</v>
      </c>
      <c r="P474" s="499">
        <v>65</v>
      </c>
      <c r="Q474" s="499"/>
      <c r="R474" s="499"/>
      <c r="S474" s="525"/>
      <c r="T474" s="525">
        <v>0</v>
      </c>
      <c r="U474" s="525">
        <v>1</v>
      </c>
      <c r="V474" s="525">
        <v>1222597.3089545311</v>
      </c>
      <c r="W474" s="589">
        <f>IF(AND(BaleMover[[#This Row],[Scenario_ID]]="S3",BaleMover[[#This Row],[MRF_ID]]="05"),0,IFERROR(BaleMover[[#This Row],[Total_Baled_tons]]*(IF(BaleMover[[#This Row],[Scenario_ID]]="S0",-2,0)+INDEX(BalePrices[Low],MATCH(BaleMover[[#This Row],[Bale_ID]],BalePrices[Bale_ID],0))),0))</f>
        <v>470229.73421328113</v>
      </c>
      <c r="X474" s="397">
        <f>IF(AND(BaleMover[[#This Row],[Scenario_ID]]="S3",BaleMover[[#This Row],[MRF_ID]]="05"),0,IFERROR(BaleMover[[#This Row],[Total_Baled_tons]]*(IF(BaleMover[[#This Row],[Scenario_ID]]="S0",-2,0)+INDEX(BalePrices[Mid-Point],MATCH(BaleMover[[#This Row],[Bale_ID]],BalePrices[Bale_ID],0))),0))</f>
        <v>1645804.069746484</v>
      </c>
      <c r="Y474" s="397">
        <f>IF(AND(BaleMover[[#This Row],[Scenario_ID]]="S3",BaleMover[[#This Row],[MRF_ID]]="05"),0,IFERROR(BaleMover[[#This Row],[Total_Baled_tons]]*(IF(BaleMover[[#This Row],[Scenario_ID]]="S0",-2,0)+INDEX(BalePrices[High],MATCH(BaleMover[[#This Row],[Bale_ID]],BalePrices[Bale_ID],0))),0))</f>
        <v>2821378.4052796871</v>
      </c>
    </row>
    <row r="475" spans="2:25" x14ac:dyDescent="0.2">
      <c r="B475" s="545" t="s">
        <v>874</v>
      </c>
      <c r="C475" s="499" t="s">
        <v>754</v>
      </c>
      <c r="D475" s="499"/>
      <c r="E475" s="499"/>
      <c r="F475" s="499" t="s">
        <v>1999</v>
      </c>
      <c r="G475" s="499" t="s">
        <v>2120</v>
      </c>
      <c r="H475" s="499" t="s">
        <v>1641</v>
      </c>
      <c r="I475" s="499" t="s">
        <v>969</v>
      </c>
      <c r="J475" s="499" t="s">
        <v>970</v>
      </c>
      <c r="K475" s="499" t="s">
        <v>2048</v>
      </c>
      <c r="L475" s="499">
        <v>6</v>
      </c>
      <c r="M475" s="499" t="s">
        <v>2049</v>
      </c>
      <c r="N475" s="499" t="s">
        <v>2050</v>
      </c>
      <c r="O475" s="525">
        <v>18809.189368531246</v>
      </c>
      <c r="P475" s="499">
        <v>65</v>
      </c>
      <c r="Q475" s="499"/>
      <c r="R475" s="499"/>
      <c r="S475" s="525"/>
      <c r="T475" s="525">
        <v>0</v>
      </c>
      <c r="U475" s="525">
        <v>1</v>
      </c>
      <c r="V475" s="525">
        <v>1222597.3089545311</v>
      </c>
      <c r="W475" s="589">
        <f>IF(AND(BaleMover[[#This Row],[Scenario_ID]]="S3",BaleMover[[#This Row],[MRF_ID]]="05"),0,IFERROR(BaleMover[[#This Row],[Total_Baled_tons]]*(IF(BaleMover[[#This Row],[Scenario_ID]]="S0",-2,0)+INDEX(BalePrices[Low],MATCH(BaleMover[[#This Row],[Bale_ID]],BalePrices[Bale_ID],0))),0))</f>
        <v>470229.73421328113</v>
      </c>
      <c r="X475" s="397">
        <f>IF(AND(BaleMover[[#This Row],[Scenario_ID]]="S3",BaleMover[[#This Row],[MRF_ID]]="05"),0,IFERROR(BaleMover[[#This Row],[Total_Baled_tons]]*(IF(BaleMover[[#This Row],[Scenario_ID]]="S0",-2,0)+INDEX(BalePrices[Mid-Point],MATCH(BaleMover[[#This Row],[Bale_ID]],BalePrices[Bale_ID],0))),0))</f>
        <v>1645804.069746484</v>
      </c>
      <c r="Y475" s="397">
        <f>IF(AND(BaleMover[[#This Row],[Scenario_ID]]="S3",BaleMover[[#This Row],[MRF_ID]]="05"),0,IFERROR(BaleMover[[#This Row],[Total_Baled_tons]]*(IF(BaleMover[[#This Row],[Scenario_ID]]="S0",-2,0)+INDEX(BalePrices[High],MATCH(BaleMover[[#This Row],[Bale_ID]],BalePrices[Bale_ID],0))),0))</f>
        <v>2821378.4052796871</v>
      </c>
    </row>
    <row r="476" spans="2:25" x14ac:dyDescent="0.2">
      <c r="B476" s="545" t="s">
        <v>873</v>
      </c>
      <c r="C476" s="499" t="s">
        <v>754</v>
      </c>
      <c r="D476" s="499"/>
      <c r="E476" s="499"/>
      <c r="F476" s="499" t="s">
        <v>1999</v>
      </c>
      <c r="G476" s="499" t="s">
        <v>2121</v>
      </c>
      <c r="H476" s="499" t="s">
        <v>1642</v>
      </c>
      <c r="I476" s="499" t="s">
        <v>969</v>
      </c>
      <c r="J476" s="499" t="s">
        <v>970</v>
      </c>
      <c r="K476" s="499" t="s">
        <v>2048</v>
      </c>
      <c r="L476" s="499">
        <v>6</v>
      </c>
      <c r="M476" s="499" t="s">
        <v>2049</v>
      </c>
      <c r="N476" s="499" t="s">
        <v>2050</v>
      </c>
      <c r="O476" s="525">
        <v>18809.189368531246</v>
      </c>
      <c r="P476" s="499">
        <v>65</v>
      </c>
      <c r="Q476" s="499"/>
      <c r="R476" s="499"/>
      <c r="S476" s="525"/>
      <c r="T476" s="525">
        <v>0</v>
      </c>
      <c r="U476" s="525">
        <v>1</v>
      </c>
      <c r="V476" s="525">
        <v>1222597.3089545311</v>
      </c>
      <c r="W476" s="589">
        <f>IF(AND(BaleMover[[#This Row],[Scenario_ID]]="S3",BaleMover[[#This Row],[MRF_ID]]="05"),0,IFERROR(BaleMover[[#This Row],[Total_Baled_tons]]*(IF(BaleMover[[#This Row],[Scenario_ID]]="S0",-2,0)+INDEX(BalePrices[Low],MATCH(BaleMover[[#This Row],[Bale_ID]],BalePrices[Bale_ID],0))),0))</f>
        <v>470229.73421328113</v>
      </c>
      <c r="X476" s="397">
        <f>IF(AND(BaleMover[[#This Row],[Scenario_ID]]="S3",BaleMover[[#This Row],[MRF_ID]]="05"),0,IFERROR(BaleMover[[#This Row],[Total_Baled_tons]]*(IF(BaleMover[[#This Row],[Scenario_ID]]="S0",-2,0)+INDEX(BalePrices[Mid-Point],MATCH(BaleMover[[#This Row],[Bale_ID]],BalePrices[Bale_ID],0))),0))</f>
        <v>1645804.069746484</v>
      </c>
      <c r="Y476" s="397">
        <f>IF(AND(BaleMover[[#This Row],[Scenario_ID]]="S3",BaleMover[[#This Row],[MRF_ID]]="05"),0,IFERROR(BaleMover[[#This Row],[Total_Baled_tons]]*(IF(BaleMover[[#This Row],[Scenario_ID]]="S0",-2,0)+INDEX(BalePrices[High],MATCH(BaleMover[[#This Row],[Bale_ID]],BalePrices[Bale_ID],0))),0))</f>
        <v>2821378.4052796871</v>
      </c>
    </row>
    <row r="477" spans="2:25" x14ac:dyDescent="0.2">
      <c r="B477" s="545" t="s">
        <v>870</v>
      </c>
      <c r="C477" s="499" t="s">
        <v>754</v>
      </c>
      <c r="D477" s="499"/>
      <c r="E477" s="499"/>
      <c r="F477" s="499" t="s">
        <v>1999</v>
      </c>
      <c r="G477" s="499" t="s">
        <v>2122</v>
      </c>
      <c r="H477" s="499" t="s">
        <v>1643</v>
      </c>
      <c r="I477" s="499" t="s">
        <v>969</v>
      </c>
      <c r="J477" s="499" t="s">
        <v>970</v>
      </c>
      <c r="K477" s="499" t="s">
        <v>2048</v>
      </c>
      <c r="L477" s="499">
        <v>6</v>
      </c>
      <c r="M477" s="499" t="s">
        <v>2049</v>
      </c>
      <c r="N477" s="499" t="s">
        <v>2050</v>
      </c>
      <c r="O477" s="525">
        <v>18809.189368531246</v>
      </c>
      <c r="P477" s="499">
        <v>65</v>
      </c>
      <c r="Q477" s="499"/>
      <c r="R477" s="499"/>
      <c r="S477" s="525"/>
      <c r="T477" s="525">
        <v>0</v>
      </c>
      <c r="U477" s="525">
        <v>1</v>
      </c>
      <c r="V477" s="525">
        <v>1222597.3089545311</v>
      </c>
      <c r="W477" s="589">
        <f>IF(AND(BaleMover[[#This Row],[Scenario_ID]]="S3",BaleMover[[#This Row],[MRF_ID]]="05"),0,IFERROR(BaleMover[[#This Row],[Total_Baled_tons]]*(IF(BaleMover[[#This Row],[Scenario_ID]]="S0",-2,0)+INDEX(BalePrices[Low],MATCH(BaleMover[[#This Row],[Bale_ID]],BalePrices[Bale_ID],0))),0))</f>
        <v>470229.73421328113</v>
      </c>
      <c r="X477" s="397">
        <f>IF(AND(BaleMover[[#This Row],[Scenario_ID]]="S3",BaleMover[[#This Row],[MRF_ID]]="05"),0,IFERROR(BaleMover[[#This Row],[Total_Baled_tons]]*(IF(BaleMover[[#This Row],[Scenario_ID]]="S0",-2,0)+INDEX(BalePrices[Mid-Point],MATCH(BaleMover[[#This Row],[Bale_ID]],BalePrices[Bale_ID],0))),0))</f>
        <v>1645804.069746484</v>
      </c>
      <c r="Y477" s="397">
        <f>IF(AND(BaleMover[[#This Row],[Scenario_ID]]="S3",BaleMover[[#This Row],[MRF_ID]]="05"),0,IFERROR(BaleMover[[#This Row],[Total_Baled_tons]]*(IF(BaleMover[[#This Row],[Scenario_ID]]="S0",-2,0)+INDEX(BalePrices[High],MATCH(BaleMover[[#This Row],[Bale_ID]],BalePrices[Bale_ID],0))),0))</f>
        <v>2821378.4052796871</v>
      </c>
    </row>
    <row r="478" spans="2:25" x14ac:dyDescent="0.2">
      <c r="B478" s="545" t="s">
        <v>876</v>
      </c>
      <c r="C478" s="499" t="s">
        <v>754</v>
      </c>
      <c r="D478" s="499"/>
      <c r="E478" s="499"/>
      <c r="F478" s="499" t="s">
        <v>1999</v>
      </c>
      <c r="G478" s="499" t="s">
        <v>2118</v>
      </c>
      <c r="H478" s="499" t="s">
        <v>1644</v>
      </c>
      <c r="I478" s="499" t="s">
        <v>971</v>
      </c>
      <c r="J478" s="499" t="s">
        <v>972</v>
      </c>
      <c r="K478" s="499" t="s">
        <v>2048</v>
      </c>
      <c r="L478" s="499">
        <v>6</v>
      </c>
      <c r="M478" s="499" t="s">
        <v>2049</v>
      </c>
      <c r="N478" s="499" t="s">
        <v>2050</v>
      </c>
      <c r="O478" s="525">
        <v>1121.1440925045511</v>
      </c>
      <c r="P478" s="499">
        <v>65</v>
      </c>
      <c r="Q478" s="499"/>
      <c r="R478" s="499"/>
      <c r="S478" s="525"/>
      <c r="T478" s="525">
        <v>0</v>
      </c>
      <c r="U478" s="525">
        <v>1</v>
      </c>
      <c r="V478" s="525">
        <v>72874.366012795814</v>
      </c>
      <c r="W478" s="589">
        <f>IF(AND(BaleMover[[#This Row],[Scenario_ID]]="S3",BaleMover[[#This Row],[MRF_ID]]="05"),0,IFERROR(BaleMover[[#This Row],[Total_Baled_tons]]*(IF(BaleMover[[#This Row],[Scenario_ID]]="S0",-2,0)+INDEX(BalePrices[Low],MATCH(BaleMover[[#This Row],[Bale_ID]],BalePrices[Bale_ID],0))),0))</f>
        <v>-24665.170035100124</v>
      </c>
      <c r="X478" s="397">
        <f>IF(AND(BaleMover[[#This Row],[Scenario_ID]]="S3",BaleMover[[#This Row],[MRF_ID]]="05"),0,IFERROR(BaleMover[[#This Row],[Total_Baled_tons]]*(IF(BaleMover[[#This Row],[Scenario_ID]]="S0",-2,0)+INDEX(BalePrices[Mid-Point],MATCH(BaleMover[[#This Row],[Bale_ID]],BalePrices[Bale_ID],0))),0))</f>
        <v>53814.916440218454</v>
      </c>
      <c r="Y478" s="397">
        <f>IF(AND(BaleMover[[#This Row],[Scenario_ID]]="S3",BaleMover[[#This Row],[MRF_ID]]="05"),0,IFERROR(BaleMover[[#This Row],[Total_Baled_tons]]*(IF(BaleMover[[#This Row],[Scenario_ID]]="S0",-2,0)+INDEX(BalePrices[High],MATCH(BaleMover[[#This Row],[Bale_ID]],BalePrices[Bale_ID],0))),0))</f>
        <v>132295.00291553701</v>
      </c>
    </row>
    <row r="479" spans="2:25" x14ac:dyDescent="0.2">
      <c r="B479" s="545" t="s">
        <v>875</v>
      </c>
      <c r="C479" s="499" t="s">
        <v>754</v>
      </c>
      <c r="D479" s="499"/>
      <c r="E479" s="499"/>
      <c r="F479" s="499" t="s">
        <v>1999</v>
      </c>
      <c r="G479" s="499" t="s">
        <v>2119</v>
      </c>
      <c r="H479" s="499" t="s">
        <v>1645</v>
      </c>
      <c r="I479" s="499" t="s">
        <v>971</v>
      </c>
      <c r="J479" s="499" t="s">
        <v>972</v>
      </c>
      <c r="K479" s="499" t="s">
        <v>2048</v>
      </c>
      <c r="L479" s="499">
        <v>6</v>
      </c>
      <c r="M479" s="499" t="s">
        <v>2049</v>
      </c>
      <c r="N479" s="499" t="s">
        <v>2050</v>
      </c>
      <c r="O479" s="525">
        <v>1121.1440925045511</v>
      </c>
      <c r="P479" s="499">
        <v>65</v>
      </c>
      <c r="Q479" s="499"/>
      <c r="R479" s="499"/>
      <c r="S479" s="525"/>
      <c r="T479" s="525">
        <v>0</v>
      </c>
      <c r="U479" s="525">
        <v>1</v>
      </c>
      <c r="V479" s="525">
        <v>72874.366012795814</v>
      </c>
      <c r="W479" s="589">
        <f>IF(AND(BaleMover[[#This Row],[Scenario_ID]]="S3",BaleMover[[#This Row],[MRF_ID]]="05"),0,IFERROR(BaleMover[[#This Row],[Total_Baled_tons]]*(IF(BaleMover[[#This Row],[Scenario_ID]]="S0",-2,0)+INDEX(BalePrices[Low],MATCH(BaleMover[[#This Row],[Bale_ID]],BalePrices[Bale_ID],0))),0))</f>
        <v>-22422.88185009102</v>
      </c>
      <c r="X479" s="397">
        <f>IF(AND(BaleMover[[#This Row],[Scenario_ID]]="S3",BaleMover[[#This Row],[MRF_ID]]="05"),0,IFERROR(BaleMover[[#This Row],[Total_Baled_tons]]*(IF(BaleMover[[#This Row],[Scenario_ID]]="S0",-2,0)+INDEX(BalePrices[Mid-Point],MATCH(BaleMover[[#This Row],[Bale_ID]],BalePrices[Bale_ID],0))),0))</f>
        <v>56057.204625227554</v>
      </c>
      <c r="Y479" s="397">
        <f>IF(AND(BaleMover[[#This Row],[Scenario_ID]]="S3",BaleMover[[#This Row],[MRF_ID]]="05"),0,IFERROR(BaleMover[[#This Row],[Total_Baled_tons]]*(IF(BaleMover[[#This Row],[Scenario_ID]]="S0",-2,0)+INDEX(BalePrices[High],MATCH(BaleMover[[#This Row],[Bale_ID]],BalePrices[Bale_ID],0))),0))</f>
        <v>134537.29110054614</v>
      </c>
    </row>
    <row r="480" spans="2:25" x14ac:dyDescent="0.2">
      <c r="B480" s="545" t="s">
        <v>874</v>
      </c>
      <c r="C480" s="499" t="s">
        <v>754</v>
      </c>
      <c r="D480" s="499"/>
      <c r="E480" s="499"/>
      <c r="F480" s="499" t="s">
        <v>1999</v>
      </c>
      <c r="G480" s="499" t="s">
        <v>2120</v>
      </c>
      <c r="H480" s="499" t="s">
        <v>1646</v>
      </c>
      <c r="I480" s="499" t="s">
        <v>971</v>
      </c>
      <c r="J480" s="499" t="s">
        <v>972</v>
      </c>
      <c r="K480" s="499" t="s">
        <v>2048</v>
      </c>
      <c r="L480" s="499">
        <v>6</v>
      </c>
      <c r="M480" s="499" t="s">
        <v>2049</v>
      </c>
      <c r="N480" s="499" t="s">
        <v>2050</v>
      </c>
      <c r="O480" s="525">
        <v>1121.1440925045508</v>
      </c>
      <c r="P480" s="499">
        <v>65</v>
      </c>
      <c r="Q480" s="499"/>
      <c r="R480" s="499"/>
      <c r="S480" s="525"/>
      <c r="T480" s="525">
        <v>0</v>
      </c>
      <c r="U480" s="525">
        <v>1</v>
      </c>
      <c r="V480" s="525">
        <v>72874.366012795799</v>
      </c>
      <c r="W480" s="589">
        <f>IF(AND(BaleMover[[#This Row],[Scenario_ID]]="S3",BaleMover[[#This Row],[MRF_ID]]="05"),0,IFERROR(BaleMover[[#This Row],[Total_Baled_tons]]*(IF(BaleMover[[#This Row],[Scenario_ID]]="S0",-2,0)+INDEX(BalePrices[Low],MATCH(BaleMover[[#This Row],[Bale_ID]],BalePrices[Bale_ID],0))),0))</f>
        <v>-22422.881850091017</v>
      </c>
      <c r="X480" s="397">
        <f>IF(AND(BaleMover[[#This Row],[Scenario_ID]]="S3",BaleMover[[#This Row],[MRF_ID]]="05"),0,IFERROR(BaleMover[[#This Row],[Total_Baled_tons]]*(IF(BaleMover[[#This Row],[Scenario_ID]]="S0",-2,0)+INDEX(BalePrices[Mid-Point],MATCH(BaleMover[[#This Row],[Bale_ID]],BalePrices[Bale_ID],0))),0))</f>
        <v>56057.20462522754</v>
      </c>
      <c r="Y480" s="397">
        <f>IF(AND(BaleMover[[#This Row],[Scenario_ID]]="S3",BaleMover[[#This Row],[MRF_ID]]="05"),0,IFERROR(BaleMover[[#This Row],[Total_Baled_tons]]*(IF(BaleMover[[#This Row],[Scenario_ID]]="S0",-2,0)+INDEX(BalePrices[High],MATCH(BaleMover[[#This Row],[Bale_ID]],BalePrices[Bale_ID],0))),0))</f>
        <v>134537.29110054611</v>
      </c>
    </row>
    <row r="481" spans="2:25" x14ac:dyDescent="0.2">
      <c r="B481" s="545" t="s">
        <v>873</v>
      </c>
      <c r="C481" s="499" t="s">
        <v>754</v>
      </c>
      <c r="D481" s="499"/>
      <c r="E481" s="499"/>
      <c r="F481" s="499" t="s">
        <v>1999</v>
      </c>
      <c r="G481" s="499" t="s">
        <v>2121</v>
      </c>
      <c r="H481" s="499" t="s">
        <v>1647</v>
      </c>
      <c r="I481" s="499" t="s">
        <v>971</v>
      </c>
      <c r="J481" s="499" t="s">
        <v>972</v>
      </c>
      <c r="K481" s="499" t="s">
        <v>2048</v>
      </c>
      <c r="L481" s="499">
        <v>6</v>
      </c>
      <c r="M481" s="499" t="s">
        <v>2049</v>
      </c>
      <c r="N481" s="499" t="s">
        <v>2050</v>
      </c>
      <c r="O481" s="525">
        <v>1121.1440925045508</v>
      </c>
      <c r="P481" s="499">
        <v>65</v>
      </c>
      <c r="Q481" s="499"/>
      <c r="R481" s="499"/>
      <c r="S481" s="525"/>
      <c r="T481" s="525">
        <v>0</v>
      </c>
      <c r="U481" s="525">
        <v>1</v>
      </c>
      <c r="V481" s="525">
        <v>72874.366012795799</v>
      </c>
      <c r="W481" s="589">
        <f>IF(AND(BaleMover[[#This Row],[Scenario_ID]]="S3",BaleMover[[#This Row],[MRF_ID]]="05"),0,IFERROR(BaleMover[[#This Row],[Total_Baled_tons]]*(IF(BaleMover[[#This Row],[Scenario_ID]]="S0",-2,0)+INDEX(BalePrices[Low],MATCH(BaleMover[[#This Row],[Bale_ID]],BalePrices[Bale_ID],0))),0))</f>
        <v>-22422.881850091017</v>
      </c>
      <c r="X481" s="397">
        <f>IF(AND(BaleMover[[#This Row],[Scenario_ID]]="S3",BaleMover[[#This Row],[MRF_ID]]="05"),0,IFERROR(BaleMover[[#This Row],[Total_Baled_tons]]*(IF(BaleMover[[#This Row],[Scenario_ID]]="S0",-2,0)+INDEX(BalePrices[Mid-Point],MATCH(BaleMover[[#This Row],[Bale_ID]],BalePrices[Bale_ID],0))),0))</f>
        <v>56057.20462522754</v>
      </c>
      <c r="Y481" s="397">
        <f>IF(AND(BaleMover[[#This Row],[Scenario_ID]]="S3",BaleMover[[#This Row],[MRF_ID]]="05"),0,IFERROR(BaleMover[[#This Row],[Total_Baled_tons]]*(IF(BaleMover[[#This Row],[Scenario_ID]]="S0",-2,0)+INDEX(BalePrices[High],MATCH(BaleMover[[#This Row],[Bale_ID]],BalePrices[Bale_ID],0))),0))</f>
        <v>134537.29110054611</v>
      </c>
    </row>
    <row r="482" spans="2:25" x14ac:dyDescent="0.2">
      <c r="B482" s="545" t="s">
        <v>870</v>
      </c>
      <c r="C482" s="499" t="s">
        <v>754</v>
      </c>
      <c r="D482" s="499"/>
      <c r="E482" s="499"/>
      <c r="F482" s="499" t="s">
        <v>1999</v>
      </c>
      <c r="G482" s="499" t="s">
        <v>2122</v>
      </c>
      <c r="H482" s="499" t="s">
        <v>1648</v>
      </c>
      <c r="I482" s="499" t="s">
        <v>971</v>
      </c>
      <c r="J482" s="499" t="s">
        <v>972</v>
      </c>
      <c r="K482" s="499" t="s">
        <v>2048</v>
      </c>
      <c r="L482" s="499">
        <v>6</v>
      </c>
      <c r="M482" s="499" t="s">
        <v>2049</v>
      </c>
      <c r="N482" s="499" t="s">
        <v>2050</v>
      </c>
      <c r="O482" s="525">
        <v>1121.1440925045508</v>
      </c>
      <c r="P482" s="499">
        <v>65</v>
      </c>
      <c r="Q482" s="499"/>
      <c r="R482" s="499"/>
      <c r="S482" s="525"/>
      <c r="T482" s="525">
        <v>0</v>
      </c>
      <c r="U482" s="525">
        <v>1</v>
      </c>
      <c r="V482" s="525">
        <v>72874.366012795799</v>
      </c>
      <c r="W482" s="589">
        <f>IF(AND(BaleMover[[#This Row],[Scenario_ID]]="S3",BaleMover[[#This Row],[MRF_ID]]="05"),0,IFERROR(BaleMover[[#This Row],[Total_Baled_tons]]*(IF(BaleMover[[#This Row],[Scenario_ID]]="S0",-2,0)+INDEX(BalePrices[Low],MATCH(BaleMover[[#This Row],[Bale_ID]],BalePrices[Bale_ID],0))),0))</f>
        <v>-22422.881850091017</v>
      </c>
      <c r="X482" s="397">
        <f>IF(AND(BaleMover[[#This Row],[Scenario_ID]]="S3",BaleMover[[#This Row],[MRF_ID]]="05"),0,IFERROR(BaleMover[[#This Row],[Total_Baled_tons]]*(IF(BaleMover[[#This Row],[Scenario_ID]]="S0",-2,0)+INDEX(BalePrices[Mid-Point],MATCH(BaleMover[[#This Row],[Bale_ID]],BalePrices[Bale_ID],0))),0))</f>
        <v>56057.20462522754</v>
      </c>
      <c r="Y482" s="397">
        <f>IF(AND(BaleMover[[#This Row],[Scenario_ID]]="S3",BaleMover[[#This Row],[MRF_ID]]="05"),0,IFERROR(BaleMover[[#This Row],[Total_Baled_tons]]*(IF(BaleMover[[#This Row],[Scenario_ID]]="S0",-2,0)+INDEX(BalePrices[High],MATCH(BaleMover[[#This Row],[Bale_ID]],BalePrices[Bale_ID],0))),0))</f>
        <v>134537.29110054611</v>
      </c>
    </row>
    <row r="483" spans="2:25" x14ac:dyDescent="0.2">
      <c r="B483" s="545" t="s">
        <v>876</v>
      </c>
      <c r="C483" s="499" t="s">
        <v>754</v>
      </c>
      <c r="D483" s="499"/>
      <c r="E483" s="499"/>
      <c r="F483" s="499" t="s">
        <v>1999</v>
      </c>
      <c r="G483" s="499" t="s">
        <v>2118</v>
      </c>
      <c r="H483" s="499" t="s">
        <v>1649</v>
      </c>
      <c r="I483" s="499" t="s">
        <v>973</v>
      </c>
      <c r="J483" s="499" t="s">
        <v>974</v>
      </c>
      <c r="K483" s="499" t="s">
        <v>2048</v>
      </c>
      <c r="L483" s="499">
        <v>6</v>
      </c>
      <c r="M483" s="499" t="s">
        <v>2049</v>
      </c>
      <c r="N483" s="499" t="s">
        <v>2050</v>
      </c>
      <c r="O483" s="525">
        <v>1486.4617114438606</v>
      </c>
      <c r="P483" s="499">
        <v>65</v>
      </c>
      <c r="Q483" s="499"/>
      <c r="R483" s="499"/>
      <c r="S483" s="525"/>
      <c r="T483" s="525">
        <v>0</v>
      </c>
      <c r="U483" s="525">
        <v>1</v>
      </c>
      <c r="V483" s="525">
        <v>96620.011243850939</v>
      </c>
      <c r="W483" s="589">
        <f>IF(AND(BaleMover[[#This Row],[Scenario_ID]]="S3",BaleMover[[#This Row],[MRF_ID]]="05"),0,IFERROR(BaleMover[[#This Row],[Total_Baled_tons]]*(IF(BaleMover[[#This Row],[Scenario_ID]]="S0",-2,0)+INDEX(BalePrices[Low],MATCH(BaleMover[[#This Row],[Bale_ID]],BalePrices[Bale_ID],0))),0))</f>
        <v>4459.3851343315819</v>
      </c>
      <c r="X483" s="397">
        <f>IF(AND(BaleMover[[#This Row],[Scenario_ID]]="S3",BaleMover[[#This Row],[MRF_ID]]="05"),0,IFERROR(BaleMover[[#This Row],[Total_Baled_tons]]*(IF(BaleMover[[#This Row],[Scenario_ID]]="S0",-2,0)+INDEX(BalePrices[Mid-Point],MATCH(BaleMover[[#This Row],[Bale_ID]],BalePrices[Bale_ID],0))),0))</f>
        <v>45337.082199037752</v>
      </c>
      <c r="Y483" s="397">
        <f>IF(AND(BaleMover[[#This Row],[Scenario_ID]]="S3",BaleMover[[#This Row],[MRF_ID]]="05"),0,IFERROR(BaleMover[[#This Row],[Total_Baled_tons]]*(IF(BaleMover[[#This Row],[Scenario_ID]]="S0",-2,0)+INDEX(BalePrices[High],MATCH(BaleMover[[#This Row],[Bale_ID]],BalePrices[Bale_ID],0))),0))</f>
        <v>86214.779263743912</v>
      </c>
    </row>
    <row r="484" spans="2:25" x14ac:dyDescent="0.2">
      <c r="B484" s="545" t="s">
        <v>875</v>
      </c>
      <c r="C484" s="499" t="s">
        <v>754</v>
      </c>
      <c r="D484" s="499"/>
      <c r="E484" s="499"/>
      <c r="F484" s="499" t="s">
        <v>1999</v>
      </c>
      <c r="G484" s="499" t="s">
        <v>2119</v>
      </c>
      <c r="H484" s="499" t="s">
        <v>1650</v>
      </c>
      <c r="I484" s="499" t="s">
        <v>973</v>
      </c>
      <c r="J484" s="499" t="s">
        <v>974</v>
      </c>
      <c r="K484" s="499" t="s">
        <v>2048</v>
      </c>
      <c r="L484" s="499">
        <v>6</v>
      </c>
      <c r="M484" s="499" t="s">
        <v>2049</v>
      </c>
      <c r="N484" s="499" t="s">
        <v>2050</v>
      </c>
      <c r="O484" s="525">
        <v>1486.4617114438606</v>
      </c>
      <c r="P484" s="499">
        <v>65</v>
      </c>
      <c r="Q484" s="499"/>
      <c r="R484" s="499"/>
      <c r="S484" s="525"/>
      <c r="T484" s="525">
        <v>0</v>
      </c>
      <c r="U484" s="525">
        <v>1</v>
      </c>
      <c r="V484" s="525">
        <v>96620.011243850939</v>
      </c>
      <c r="W484" s="589">
        <f>IF(AND(BaleMover[[#This Row],[Scenario_ID]]="S3",BaleMover[[#This Row],[MRF_ID]]="05"),0,IFERROR(BaleMover[[#This Row],[Total_Baled_tons]]*(IF(BaleMover[[#This Row],[Scenario_ID]]="S0",-2,0)+INDEX(BalePrices[Low],MATCH(BaleMover[[#This Row],[Bale_ID]],BalePrices[Bale_ID],0))),0))</f>
        <v>7432.3085572193031</v>
      </c>
      <c r="X484" s="397">
        <f>IF(AND(BaleMover[[#This Row],[Scenario_ID]]="S3",BaleMover[[#This Row],[MRF_ID]]="05"),0,IFERROR(BaleMover[[#This Row],[Total_Baled_tons]]*(IF(BaleMover[[#This Row],[Scenario_ID]]="S0",-2,0)+INDEX(BalePrices[Mid-Point],MATCH(BaleMover[[#This Row],[Bale_ID]],BalePrices[Bale_ID],0))),0))</f>
        <v>48310.005621925469</v>
      </c>
      <c r="Y484" s="397">
        <f>IF(AND(BaleMover[[#This Row],[Scenario_ID]]="S3",BaleMover[[#This Row],[MRF_ID]]="05"),0,IFERROR(BaleMover[[#This Row],[Total_Baled_tons]]*(IF(BaleMover[[#This Row],[Scenario_ID]]="S0",-2,0)+INDEX(BalePrices[High],MATCH(BaleMover[[#This Row],[Bale_ID]],BalePrices[Bale_ID],0))),0))</f>
        <v>89187.702686631645</v>
      </c>
    </row>
    <row r="485" spans="2:25" x14ac:dyDescent="0.2">
      <c r="B485" s="545" t="s">
        <v>874</v>
      </c>
      <c r="C485" s="499" t="s">
        <v>754</v>
      </c>
      <c r="D485" s="499"/>
      <c r="E485" s="499"/>
      <c r="F485" s="499" t="s">
        <v>1999</v>
      </c>
      <c r="G485" s="499" t="s">
        <v>2120</v>
      </c>
      <c r="H485" s="499" t="s">
        <v>1651</v>
      </c>
      <c r="I485" s="499" t="s">
        <v>973</v>
      </c>
      <c r="J485" s="499" t="s">
        <v>974</v>
      </c>
      <c r="K485" s="499" t="s">
        <v>2048</v>
      </c>
      <c r="L485" s="499">
        <v>6</v>
      </c>
      <c r="M485" s="499" t="s">
        <v>2049</v>
      </c>
      <c r="N485" s="499" t="s">
        <v>2050</v>
      </c>
      <c r="O485" s="525">
        <v>1536.3827546255011</v>
      </c>
      <c r="P485" s="499">
        <v>65</v>
      </c>
      <c r="Q485" s="499"/>
      <c r="R485" s="499"/>
      <c r="S485" s="525"/>
      <c r="T485" s="525">
        <v>0</v>
      </c>
      <c r="U485" s="525">
        <v>1</v>
      </c>
      <c r="V485" s="525">
        <v>99864.879050657575</v>
      </c>
      <c r="W485" s="589">
        <f>IF(AND(BaleMover[[#This Row],[Scenario_ID]]="S3",BaleMover[[#This Row],[MRF_ID]]="05"),0,IFERROR(BaleMover[[#This Row],[Total_Baled_tons]]*(IF(BaleMover[[#This Row],[Scenario_ID]]="S0",-2,0)+INDEX(BalePrices[Low],MATCH(BaleMover[[#This Row],[Bale_ID]],BalePrices[Bale_ID],0))),0))</f>
        <v>7681.9137731275059</v>
      </c>
      <c r="X485" s="397">
        <f>IF(AND(BaleMover[[#This Row],[Scenario_ID]]="S3",BaleMover[[#This Row],[MRF_ID]]="05"),0,IFERROR(BaleMover[[#This Row],[Total_Baled_tons]]*(IF(BaleMover[[#This Row],[Scenario_ID]]="S0",-2,0)+INDEX(BalePrices[Mid-Point],MATCH(BaleMover[[#This Row],[Bale_ID]],BalePrices[Bale_ID],0))),0))</f>
        <v>49932.439525328788</v>
      </c>
      <c r="Y485" s="397">
        <f>IF(AND(BaleMover[[#This Row],[Scenario_ID]]="S3",BaleMover[[#This Row],[MRF_ID]]="05"),0,IFERROR(BaleMover[[#This Row],[Total_Baled_tons]]*(IF(BaleMover[[#This Row],[Scenario_ID]]="S0",-2,0)+INDEX(BalePrices[High],MATCH(BaleMover[[#This Row],[Bale_ID]],BalePrices[Bale_ID],0))),0))</f>
        <v>92182.965277530064</v>
      </c>
    </row>
    <row r="486" spans="2:25" x14ac:dyDescent="0.2">
      <c r="B486" s="545" t="s">
        <v>873</v>
      </c>
      <c r="C486" s="499" t="s">
        <v>754</v>
      </c>
      <c r="D486" s="499"/>
      <c r="E486" s="499"/>
      <c r="F486" s="499" t="s">
        <v>1999</v>
      </c>
      <c r="G486" s="499" t="s">
        <v>2121</v>
      </c>
      <c r="H486" s="499" t="s">
        <v>1652</v>
      </c>
      <c r="I486" s="499" t="s">
        <v>973</v>
      </c>
      <c r="J486" s="499" t="s">
        <v>974</v>
      </c>
      <c r="K486" s="499" t="s">
        <v>2048</v>
      </c>
      <c r="L486" s="499">
        <v>6</v>
      </c>
      <c r="M486" s="499" t="s">
        <v>2049</v>
      </c>
      <c r="N486" s="499" t="s">
        <v>2050</v>
      </c>
      <c r="O486" s="525">
        <v>1536.3827546255011</v>
      </c>
      <c r="P486" s="499">
        <v>65</v>
      </c>
      <c r="Q486" s="499"/>
      <c r="R486" s="499"/>
      <c r="S486" s="525"/>
      <c r="T486" s="525">
        <v>0</v>
      </c>
      <c r="U486" s="525">
        <v>1</v>
      </c>
      <c r="V486" s="525">
        <v>99864.879050657575</v>
      </c>
      <c r="W486" s="589">
        <f>IF(AND(BaleMover[[#This Row],[Scenario_ID]]="S3",BaleMover[[#This Row],[MRF_ID]]="05"),0,IFERROR(BaleMover[[#This Row],[Total_Baled_tons]]*(IF(BaleMover[[#This Row],[Scenario_ID]]="S0",-2,0)+INDEX(BalePrices[Low],MATCH(BaleMover[[#This Row],[Bale_ID]],BalePrices[Bale_ID],0))),0))</f>
        <v>7681.9137731275059</v>
      </c>
      <c r="X486" s="397">
        <f>IF(AND(BaleMover[[#This Row],[Scenario_ID]]="S3",BaleMover[[#This Row],[MRF_ID]]="05"),0,IFERROR(BaleMover[[#This Row],[Total_Baled_tons]]*(IF(BaleMover[[#This Row],[Scenario_ID]]="S0",-2,0)+INDEX(BalePrices[Mid-Point],MATCH(BaleMover[[#This Row],[Bale_ID]],BalePrices[Bale_ID],0))),0))</f>
        <v>49932.439525328788</v>
      </c>
      <c r="Y486" s="397">
        <f>IF(AND(BaleMover[[#This Row],[Scenario_ID]]="S3",BaleMover[[#This Row],[MRF_ID]]="05"),0,IFERROR(BaleMover[[#This Row],[Total_Baled_tons]]*(IF(BaleMover[[#This Row],[Scenario_ID]]="S0",-2,0)+INDEX(BalePrices[High],MATCH(BaleMover[[#This Row],[Bale_ID]],BalePrices[Bale_ID],0))),0))</f>
        <v>92182.965277530064</v>
      </c>
    </row>
    <row r="487" spans="2:25" x14ac:dyDescent="0.2">
      <c r="B487" s="545" t="s">
        <v>870</v>
      </c>
      <c r="C487" s="499" t="s">
        <v>754</v>
      </c>
      <c r="D487" s="499"/>
      <c r="E487" s="499"/>
      <c r="F487" s="499" t="s">
        <v>1999</v>
      </c>
      <c r="G487" s="499" t="s">
        <v>2122</v>
      </c>
      <c r="H487" s="499" t="s">
        <v>1653</v>
      </c>
      <c r="I487" s="499" t="s">
        <v>973</v>
      </c>
      <c r="J487" s="499" t="s">
        <v>974</v>
      </c>
      <c r="K487" s="499" t="s">
        <v>2048</v>
      </c>
      <c r="L487" s="499">
        <v>6</v>
      </c>
      <c r="M487" s="499" t="s">
        <v>2049</v>
      </c>
      <c r="N487" s="499" t="s">
        <v>2050</v>
      </c>
      <c r="O487" s="525">
        <v>1536.3827546255011</v>
      </c>
      <c r="P487" s="499">
        <v>65</v>
      </c>
      <c r="Q487" s="499"/>
      <c r="R487" s="499"/>
      <c r="S487" s="525"/>
      <c r="T487" s="525">
        <v>0</v>
      </c>
      <c r="U487" s="525">
        <v>1</v>
      </c>
      <c r="V487" s="525">
        <v>99864.879050657575</v>
      </c>
      <c r="W487" s="589">
        <f>IF(AND(BaleMover[[#This Row],[Scenario_ID]]="S3",BaleMover[[#This Row],[MRF_ID]]="05"),0,IFERROR(BaleMover[[#This Row],[Total_Baled_tons]]*(IF(BaleMover[[#This Row],[Scenario_ID]]="S0",-2,0)+INDEX(BalePrices[Low],MATCH(BaleMover[[#This Row],[Bale_ID]],BalePrices[Bale_ID],0))),0))</f>
        <v>7681.9137731275059</v>
      </c>
      <c r="X487" s="397">
        <f>IF(AND(BaleMover[[#This Row],[Scenario_ID]]="S3",BaleMover[[#This Row],[MRF_ID]]="05"),0,IFERROR(BaleMover[[#This Row],[Total_Baled_tons]]*(IF(BaleMover[[#This Row],[Scenario_ID]]="S0",-2,0)+INDEX(BalePrices[Mid-Point],MATCH(BaleMover[[#This Row],[Bale_ID]],BalePrices[Bale_ID],0))),0))</f>
        <v>49932.439525328788</v>
      </c>
      <c r="Y487" s="397">
        <f>IF(AND(BaleMover[[#This Row],[Scenario_ID]]="S3",BaleMover[[#This Row],[MRF_ID]]="05"),0,IFERROR(BaleMover[[#This Row],[Total_Baled_tons]]*(IF(BaleMover[[#This Row],[Scenario_ID]]="S0",-2,0)+INDEX(BalePrices[High],MATCH(BaleMover[[#This Row],[Bale_ID]],BalePrices[Bale_ID],0))),0))</f>
        <v>92182.965277530064</v>
      </c>
    </row>
    <row r="488" spans="2:25" x14ac:dyDescent="0.2">
      <c r="B488" s="545" t="s">
        <v>876</v>
      </c>
      <c r="C488" s="499" t="s">
        <v>754</v>
      </c>
      <c r="D488" s="499"/>
      <c r="E488" s="499"/>
      <c r="F488" s="499" t="s">
        <v>1999</v>
      </c>
      <c r="G488" s="499" t="s">
        <v>2118</v>
      </c>
      <c r="H488" s="499" t="s">
        <v>1654</v>
      </c>
      <c r="I488" s="499" t="s">
        <v>975</v>
      </c>
      <c r="J488" s="499" t="s">
        <v>976</v>
      </c>
      <c r="K488" s="499" t="s">
        <v>2048</v>
      </c>
      <c r="L488" s="499">
        <v>7</v>
      </c>
      <c r="M488" s="499" t="s">
        <v>2055</v>
      </c>
      <c r="N488" s="499" t="s">
        <v>2056</v>
      </c>
      <c r="O488" s="525">
        <v>0</v>
      </c>
      <c r="P488" s="499" t="s">
        <v>2054</v>
      </c>
      <c r="Q488" s="499"/>
      <c r="R488" s="499"/>
      <c r="S488" s="525"/>
      <c r="T488" s="525">
        <v>0</v>
      </c>
      <c r="U488" s="525">
        <v>1</v>
      </c>
      <c r="V488" s="525" t="s">
        <v>2054</v>
      </c>
      <c r="W488" s="589">
        <f>IF(AND(BaleMover[[#This Row],[Scenario_ID]]="S3",BaleMover[[#This Row],[MRF_ID]]="05"),0,IFERROR(BaleMover[[#This Row],[Total_Baled_tons]]*(IF(BaleMover[[#This Row],[Scenario_ID]]="S0",-2,0)+INDEX(BalePrices[Low],MATCH(BaleMover[[#This Row],[Bale_ID]],BalePrices[Bale_ID],0))),0))</f>
        <v>0</v>
      </c>
      <c r="X488" s="397">
        <f>IF(AND(BaleMover[[#This Row],[Scenario_ID]]="S3",BaleMover[[#This Row],[MRF_ID]]="05"),0,IFERROR(BaleMover[[#This Row],[Total_Baled_tons]]*(IF(BaleMover[[#This Row],[Scenario_ID]]="S0",-2,0)+INDEX(BalePrices[Mid-Point],MATCH(BaleMover[[#This Row],[Bale_ID]],BalePrices[Bale_ID],0))),0))</f>
        <v>0</v>
      </c>
      <c r="Y488" s="397">
        <f>IF(AND(BaleMover[[#This Row],[Scenario_ID]]="S3",BaleMover[[#This Row],[MRF_ID]]="05"),0,IFERROR(BaleMover[[#This Row],[Total_Baled_tons]]*(IF(BaleMover[[#This Row],[Scenario_ID]]="S0",-2,0)+INDEX(BalePrices[High],MATCH(BaleMover[[#This Row],[Bale_ID]],BalePrices[Bale_ID],0))),0))</f>
        <v>0</v>
      </c>
    </row>
    <row r="489" spans="2:25" x14ac:dyDescent="0.2">
      <c r="B489" s="545" t="s">
        <v>875</v>
      </c>
      <c r="C489" s="499" t="s">
        <v>754</v>
      </c>
      <c r="D489" s="499"/>
      <c r="E489" s="499"/>
      <c r="F489" s="499" t="s">
        <v>1999</v>
      </c>
      <c r="G489" s="499" t="s">
        <v>2119</v>
      </c>
      <c r="H489" s="499" t="s">
        <v>1655</v>
      </c>
      <c r="I489" s="499" t="s">
        <v>975</v>
      </c>
      <c r="J489" s="499" t="s">
        <v>976</v>
      </c>
      <c r="K489" s="499" t="s">
        <v>2048</v>
      </c>
      <c r="L489" s="499">
        <v>7</v>
      </c>
      <c r="M489" s="499" t="s">
        <v>2055</v>
      </c>
      <c r="N489" s="499" t="s">
        <v>2056</v>
      </c>
      <c r="O489" s="525">
        <v>0</v>
      </c>
      <c r="P489" s="499" t="s">
        <v>2054</v>
      </c>
      <c r="Q489" s="499"/>
      <c r="R489" s="499"/>
      <c r="S489" s="525"/>
      <c r="T489" s="525">
        <v>0</v>
      </c>
      <c r="U489" s="525">
        <v>1</v>
      </c>
      <c r="V489" s="525" t="s">
        <v>2054</v>
      </c>
      <c r="W489" s="589">
        <f>IF(AND(BaleMover[[#This Row],[Scenario_ID]]="S3",BaleMover[[#This Row],[MRF_ID]]="05"),0,IFERROR(BaleMover[[#This Row],[Total_Baled_tons]]*(IF(BaleMover[[#This Row],[Scenario_ID]]="S0",-2,0)+INDEX(BalePrices[Low],MATCH(BaleMover[[#This Row],[Bale_ID]],BalePrices[Bale_ID],0))),0))</f>
        <v>0</v>
      </c>
      <c r="X489" s="397">
        <f>IF(AND(BaleMover[[#This Row],[Scenario_ID]]="S3",BaleMover[[#This Row],[MRF_ID]]="05"),0,IFERROR(BaleMover[[#This Row],[Total_Baled_tons]]*(IF(BaleMover[[#This Row],[Scenario_ID]]="S0",-2,0)+INDEX(BalePrices[Mid-Point],MATCH(BaleMover[[#This Row],[Bale_ID]],BalePrices[Bale_ID],0))),0))</f>
        <v>0</v>
      </c>
      <c r="Y489" s="397">
        <f>IF(AND(BaleMover[[#This Row],[Scenario_ID]]="S3",BaleMover[[#This Row],[MRF_ID]]="05"),0,IFERROR(BaleMover[[#This Row],[Total_Baled_tons]]*(IF(BaleMover[[#This Row],[Scenario_ID]]="S0",-2,0)+INDEX(BalePrices[High],MATCH(BaleMover[[#This Row],[Bale_ID]],BalePrices[Bale_ID],0))),0))</f>
        <v>0</v>
      </c>
    </row>
    <row r="490" spans="2:25" x14ac:dyDescent="0.2">
      <c r="B490" s="545" t="s">
        <v>874</v>
      </c>
      <c r="C490" s="499" t="s">
        <v>754</v>
      </c>
      <c r="D490" s="499"/>
      <c r="E490" s="499"/>
      <c r="F490" s="499" t="s">
        <v>1999</v>
      </c>
      <c r="G490" s="499" t="s">
        <v>2120</v>
      </c>
      <c r="H490" s="499" t="s">
        <v>1656</v>
      </c>
      <c r="I490" s="499" t="s">
        <v>975</v>
      </c>
      <c r="J490" s="499" t="s">
        <v>976</v>
      </c>
      <c r="K490" s="499" t="s">
        <v>2048</v>
      </c>
      <c r="L490" s="499">
        <v>7</v>
      </c>
      <c r="M490" s="499" t="s">
        <v>2055</v>
      </c>
      <c r="N490" s="499" t="s">
        <v>2056</v>
      </c>
      <c r="O490" s="525">
        <v>0</v>
      </c>
      <c r="P490" s="499" t="s">
        <v>2054</v>
      </c>
      <c r="Q490" s="499"/>
      <c r="R490" s="499"/>
      <c r="S490" s="525"/>
      <c r="T490" s="525">
        <v>0</v>
      </c>
      <c r="U490" s="525">
        <v>1</v>
      </c>
      <c r="V490" s="525" t="s">
        <v>2054</v>
      </c>
      <c r="W490" s="589">
        <f>IF(AND(BaleMover[[#This Row],[Scenario_ID]]="S3",BaleMover[[#This Row],[MRF_ID]]="05"),0,IFERROR(BaleMover[[#This Row],[Total_Baled_tons]]*(IF(BaleMover[[#This Row],[Scenario_ID]]="S0",-2,0)+INDEX(BalePrices[Low],MATCH(BaleMover[[#This Row],[Bale_ID]],BalePrices[Bale_ID],0))),0))</f>
        <v>0</v>
      </c>
      <c r="X490" s="397">
        <f>IF(AND(BaleMover[[#This Row],[Scenario_ID]]="S3",BaleMover[[#This Row],[MRF_ID]]="05"),0,IFERROR(BaleMover[[#This Row],[Total_Baled_tons]]*(IF(BaleMover[[#This Row],[Scenario_ID]]="S0",-2,0)+INDEX(BalePrices[Mid-Point],MATCH(BaleMover[[#This Row],[Bale_ID]],BalePrices[Bale_ID],0))),0))</f>
        <v>0</v>
      </c>
      <c r="Y490" s="397">
        <f>IF(AND(BaleMover[[#This Row],[Scenario_ID]]="S3",BaleMover[[#This Row],[MRF_ID]]="05"),0,IFERROR(BaleMover[[#This Row],[Total_Baled_tons]]*(IF(BaleMover[[#This Row],[Scenario_ID]]="S0",-2,0)+INDEX(BalePrices[High],MATCH(BaleMover[[#This Row],[Bale_ID]],BalePrices[Bale_ID],0))),0))</f>
        <v>0</v>
      </c>
    </row>
    <row r="491" spans="2:25" x14ac:dyDescent="0.2">
      <c r="B491" s="545" t="s">
        <v>873</v>
      </c>
      <c r="C491" s="499" t="s">
        <v>754</v>
      </c>
      <c r="D491" s="499"/>
      <c r="E491" s="499"/>
      <c r="F491" s="499" t="s">
        <v>1999</v>
      </c>
      <c r="G491" s="499" t="s">
        <v>2121</v>
      </c>
      <c r="H491" s="499" t="s">
        <v>1657</v>
      </c>
      <c r="I491" s="499" t="s">
        <v>975</v>
      </c>
      <c r="J491" s="499" t="s">
        <v>976</v>
      </c>
      <c r="K491" s="499" t="s">
        <v>2048</v>
      </c>
      <c r="L491" s="499">
        <v>7</v>
      </c>
      <c r="M491" s="499" t="s">
        <v>2055</v>
      </c>
      <c r="N491" s="499" t="s">
        <v>2056</v>
      </c>
      <c r="O491" s="525">
        <v>0</v>
      </c>
      <c r="P491" s="499" t="s">
        <v>2054</v>
      </c>
      <c r="Q491" s="499"/>
      <c r="R491" s="499"/>
      <c r="S491" s="525"/>
      <c r="T491" s="525">
        <v>0</v>
      </c>
      <c r="U491" s="525">
        <v>1</v>
      </c>
      <c r="V491" s="525" t="s">
        <v>2054</v>
      </c>
      <c r="W491" s="589">
        <f>IF(AND(BaleMover[[#This Row],[Scenario_ID]]="S3",BaleMover[[#This Row],[MRF_ID]]="05"),0,IFERROR(BaleMover[[#This Row],[Total_Baled_tons]]*(IF(BaleMover[[#This Row],[Scenario_ID]]="S0",-2,0)+INDEX(BalePrices[Low],MATCH(BaleMover[[#This Row],[Bale_ID]],BalePrices[Bale_ID],0))),0))</f>
        <v>0</v>
      </c>
      <c r="X491" s="397">
        <f>IF(AND(BaleMover[[#This Row],[Scenario_ID]]="S3",BaleMover[[#This Row],[MRF_ID]]="05"),0,IFERROR(BaleMover[[#This Row],[Total_Baled_tons]]*(IF(BaleMover[[#This Row],[Scenario_ID]]="S0",-2,0)+INDEX(BalePrices[Mid-Point],MATCH(BaleMover[[#This Row],[Bale_ID]],BalePrices[Bale_ID],0))),0))</f>
        <v>0</v>
      </c>
      <c r="Y491" s="397">
        <f>IF(AND(BaleMover[[#This Row],[Scenario_ID]]="S3",BaleMover[[#This Row],[MRF_ID]]="05"),0,IFERROR(BaleMover[[#This Row],[Total_Baled_tons]]*(IF(BaleMover[[#This Row],[Scenario_ID]]="S0",-2,0)+INDEX(BalePrices[High],MATCH(BaleMover[[#This Row],[Bale_ID]],BalePrices[Bale_ID],0))),0))</f>
        <v>0</v>
      </c>
    </row>
    <row r="492" spans="2:25" x14ac:dyDescent="0.2">
      <c r="B492" s="545" t="s">
        <v>870</v>
      </c>
      <c r="C492" s="499" t="s">
        <v>754</v>
      </c>
      <c r="D492" s="499"/>
      <c r="E492" s="499"/>
      <c r="F492" s="499" t="s">
        <v>1999</v>
      </c>
      <c r="G492" s="499" t="s">
        <v>2122</v>
      </c>
      <c r="H492" s="499" t="s">
        <v>1658</v>
      </c>
      <c r="I492" s="499" t="s">
        <v>975</v>
      </c>
      <c r="J492" s="499" t="s">
        <v>976</v>
      </c>
      <c r="K492" s="499" t="s">
        <v>2048</v>
      </c>
      <c r="L492" s="499">
        <v>7</v>
      </c>
      <c r="M492" s="499" t="s">
        <v>2055</v>
      </c>
      <c r="N492" s="499" t="s">
        <v>2056</v>
      </c>
      <c r="O492" s="525">
        <v>0</v>
      </c>
      <c r="P492" s="499" t="s">
        <v>2054</v>
      </c>
      <c r="Q492" s="499"/>
      <c r="R492" s="499"/>
      <c r="S492" s="525"/>
      <c r="T492" s="525">
        <v>0</v>
      </c>
      <c r="U492" s="525">
        <v>1</v>
      </c>
      <c r="V492" s="525" t="s">
        <v>2054</v>
      </c>
      <c r="W492" s="589">
        <f>IF(AND(BaleMover[[#This Row],[Scenario_ID]]="S3",BaleMover[[#This Row],[MRF_ID]]="05"),0,IFERROR(BaleMover[[#This Row],[Total_Baled_tons]]*(IF(BaleMover[[#This Row],[Scenario_ID]]="S0",-2,0)+INDEX(BalePrices[Low],MATCH(BaleMover[[#This Row],[Bale_ID]],BalePrices[Bale_ID],0))),0))</f>
        <v>0</v>
      </c>
      <c r="X492" s="397">
        <f>IF(AND(BaleMover[[#This Row],[Scenario_ID]]="S3",BaleMover[[#This Row],[MRF_ID]]="05"),0,IFERROR(BaleMover[[#This Row],[Total_Baled_tons]]*(IF(BaleMover[[#This Row],[Scenario_ID]]="S0",-2,0)+INDEX(BalePrices[Mid-Point],MATCH(BaleMover[[#This Row],[Bale_ID]],BalePrices[Bale_ID],0))),0))</f>
        <v>0</v>
      </c>
      <c r="Y492" s="397">
        <f>IF(AND(BaleMover[[#This Row],[Scenario_ID]]="S3",BaleMover[[#This Row],[MRF_ID]]="05"),0,IFERROR(BaleMover[[#This Row],[Total_Baled_tons]]*(IF(BaleMover[[#This Row],[Scenario_ID]]="S0",-2,0)+INDEX(BalePrices[High],MATCH(BaleMover[[#This Row],[Bale_ID]],BalePrices[Bale_ID],0))),0))</f>
        <v>0</v>
      </c>
    </row>
    <row r="493" spans="2:25" x14ac:dyDescent="0.2">
      <c r="B493" s="545" t="s">
        <v>876</v>
      </c>
      <c r="C493" s="499" t="s">
        <v>754</v>
      </c>
      <c r="D493" s="499"/>
      <c r="E493" s="499"/>
      <c r="F493" s="499" t="s">
        <v>1999</v>
      </c>
      <c r="G493" s="499" t="s">
        <v>2118</v>
      </c>
      <c r="H493" s="499" t="s">
        <v>1659</v>
      </c>
      <c r="I493" s="499" t="s">
        <v>977</v>
      </c>
      <c r="J493" s="499" t="s">
        <v>864</v>
      </c>
      <c r="K493" s="499" t="s">
        <v>2048</v>
      </c>
      <c r="L493" s="499">
        <v>5</v>
      </c>
      <c r="M493" s="499" t="s">
        <v>2057</v>
      </c>
      <c r="N493" s="499" t="s">
        <v>2058</v>
      </c>
      <c r="O493" s="525">
        <v>148.82901907019368</v>
      </c>
      <c r="P493" s="499">
        <v>100</v>
      </c>
      <c r="Q493" s="499"/>
      <c r="R493" s="499"/>
      <c r="S493" s="525"/>
      <c r="T493" s="525">
        <v>0</v>
      </c>
      <c r="U493" s="525">
        <v>1</v>
      </c>
      <c r="V493" s="525">
        <v>14882.901907019368</v>
      </c>
      <c r="W493" s="589">
        <f>IF(AND(BaleMover[[#This Row],[Scenario_ID]]="S3",BaleMover[[#This Row],[MRF_ID]]="05"),0,IFERROR(BaleMover[[#This Row],[Total_Baled_tons]]*(IF(BaleMover[[#This Row],[Scenario_ID]]="S0",-2,0)+INDEX(BalePrices[Low],MATCH(BaleMover[[#This Row],[Bale_ID]],BalePrices[Bale_ID],0))),0))</f>
        <v>-3274.238419544261</v>
      </c>
      <c r="X493" s="397">
        <f>IF(AND(BaleMover[[#This Row],[Scenario_ID]]="S3",BaleMover[[#This Row],[MRF_ID]]="05"),0,IFERROR(BaleMover[[#This Row],[Total_Baled_tons]]*(IF(BaleMover[[#This Row],[Scenario_ID]]="S0",-2,0)+INDEX(BalePrices[Mid-Point],MATCH(BaleMover[[#This Row],[Bale_ID]],BalePrices[Bale_ID],0))),0))</f>
        <v>7143.7929153692967</v>
      </c>
      <c r="Y493" s="397">
        <f>IF(AND(BaleMover[[#This Row],[Scenario_ID]]="S3",BaleMover[[#This Row],[MRF_ID]]="05"),0,IFERROR(BaleMover[[#This Row],[Total_Baled_tons]]*(IF(BaleMover[[#This Row],[Scenario_ID]]="S0",-2,0)+INDEX(BalePrices[High],MATCH(BaleMover[[#This Row],[Bale_ID]],BalePrices[Bale_ID],0))),0))</f>
        <v>17561.824250282854</v>
      </c>
    </row>
    <row r="494" spans="2:25" x14ac:dyDescent="0.2">
      <c r="B494" s="545" t="s">
        <v>875</v>
      </c>
      <c r="C494" s="499" t="s">
        <v>754</v>
      </c>
      <c r="D494" s="499"/>
      <c r="E494" s="499"/>
      <c r="F494" s="499" t="s">
        <v>1999</v>
      </c>
      <c r="G494" s="499" t="s">
        <v>2119</v>
      </c>
      <c r="H494" s="499" t="s">
        <v>1660</v>
      </c>
      <c r="I494" s="499" t="s">
        <v>977</v>
      </c>
      <c r="J494" s="499" t="s">
        <v>864</v>
      </c>
      <c r="K494" s="499" t="s">
        <v>2048</v>
      </c>
      <c r="L494" s="499">
        <v>5</v>
      </c>
      <c r="M494" s="499" t="s">
        <v>2057</v>
      </c>
      <c r="N494" s="499" t="s">
        <v>2058</v>
      </c>
      <c r="O494" s="525">
        <v>148.82901907019368</v>
      </c>
      <c r="P494" s="499">
        <v>100</v>
      </c>
      <c r="Q494" s="499"/>
      <c r="R494" s="499"/>
      <c r="S494" s="525"/>
      <c r="T494" s="525">
        <v>0</v>
      </c>
      <c r="U494" s="525">
        <v>1</v>
      </c>
      <c r="V494" s="525">
        <v>14882.901907019368</v>
      </c>
      <c r="W494" s="589">
        <f>IF(AND(BaleMover[[#This Row],[Scenario_ID]]="S3",BaleMover[[#This Row],[MRF_ID]]="05"),0,IFERROR(BaleMover[[#This Row],[Total_Baled_tons]]*(IF(BaleMover[[#This Row],[Scenario_ID]]="S0",-2,0)+INDEX(BalePrices[Low],MATCH(BaleMover[[#This Row],[Bale_ID]],BalePrices[Bale_ID],0))),0))</f>
        <v>-2976.5803814038736</v>
      </c>
      <c r="X494" s="397">
        <f>IF(AND(BaleMover[[#This Row],[Scenario_ID]]="S3",BaleMover[[#This Row],[MRF_ID]]="05"),0,IFERROR(BaleMover[[#This Row],[Total_Baled_tons]]*(IF(BaleMover[[#This Row],[Scenario_ID]]="S0",-2,0)+INDEX(BalePrices[Mid-Point],MATCH(BaleMover[[#This Row],[Bale_ID]],BalePrices[Bale_ID],0))),0))</f>
        <v>7441.450953509684</v>
      </c>
      <c r="Y494" s="397">
        <f>IF(AND(BaleMover[[#This Row],[Scenario_ID]]="S3",BaleMover[[#This Row],[MRF_ID]]="05"),0,IFERROR(BaleMover[[#This Row],[Total_Baled_tons]]*(IF(BaleMover[[#This Row],[Scenario_ID]]="S0",-2,0)+INDEX(BalePrices[High],MATCH(BaleMover[[#This Row],[Bale_ID]],BalePrices[Bale_ID],0))),0))</f>
        <v>17859.482288423242</v>
      </c>
    </row>
    <row r="495" spans="2:25" x14ac:dyDescent="0.2">
      <c r="B495" s="545" t="s">
        <v>874</v>
      </c>
      <c r="C495" s="499" t="s">
        <v>754</v>
      </c>
      <c r="D495" s="499"/>
      <c r="E495" s="499"/>
      <c r="F495" s="499" t="s">
        <v>1999</v>
      </c>
      <c r="G495" s="499" t="s">
        <v>2120</v>
      </c>
      <c r="H495" s="499" t="s">
        <v>1661</v>
      </c>
      <c r="I495" s="499" t="s">
        <v>977</v>
      </c>
      <c r="J495" s="499" t="s">
        <v>864</v>
      </c>
      <c r="K495" s="499" t="s">
        <v>2048</v>
      </c>
      <c r="L495" s="499">
        <v>5</v>
      </c>
      <c r="M495" s="499" t="s">
        <v>2057</v>
      </c>
      <c r="N495" s="499" t="s">
        <v>2058</v>
      </c>
      <c r="O495" s="525">
        <v>219.41310090799618</v>
      </c>
      <c r="P495" s="499">
        <v>100</v>
      </c>
      <c r="Q495" s="499"/>
      <c r="R495" s="499"/>
      <c r="S495" s="525"/>
      <c r="T495" s="525">
        <v>0</v>
      </c>
      <c r="U495" s="525">
        <v>1</v>
      </c>
      <c r="V495" s="525">
        <v>21941.31009079962</v>
      </c>
      <c r="W495" s="589">
        <f>IF(AND(BaleMover[[#This Row],[Scenario_ID]]="S3",BaleMover[[#This Row],[MRF_ID]]="05"),0,IFERROR(BaleMover[[#This Row],[Total_Baled_tons]]*(IF(BaleMover[[#This Row],[Scenario_ID]]="S0",-2,0)+INDEX(BalePrices[Low],MATCH(BaleMover[[#This Row],[Bale_ID]],BalePrices[Bale_ID],0))),0))</f>
        <v>-4388.2620181599232</v>
      </c>
      <c r="X495" s="397">
        <f>IF(AND(BaleMover[[#This Row],[Scenario_ID]]="S3",BaleMover[[#This Row],[MRF_ID]]="05"),0,IFERROR(BaleMover[[#This Row],[Total_Baled_tons]]*(IF(BaleMover[[#This Row],[Scenario_ID]]="S0",-2,0)+INDEX(BalePrices[Mid-Point],MATCH(BaleMover[[#This Row],[Bale_ID]],BalePrices[Bale_ID],0))),0))</f>
        <v>10970.65504539981</v>
      </c>
      <c r="Y495" s="397">
        <f>IF(AND(BaleMover[[#This Row],[Scenario_ID]]="S3",BaleMover[[#This Row],[MRF_ID]]="05"),0,IFERROR(BaleMover[[#This Row],[Total_Baled_tons]]*(IF(BaleMover[[#This Row],[Scenario_ID]]="S0",-2,0)+INDEX(BalePrices[High],MATCH(BaleMover[[#This Row],[Bale_ID]],BalePrices[Bale_ID],0))),0))</f>
        <v>26329.572108959543</v>
      </c>
    </row>
    <row r="496" spans="2:25" x14ac:dyDescent="0.2">
      <c r="B496" s="545" t="s">
        <v>873</v>
      </c>
      <c r="C496" s="499" t="s">
        <v>754</v>
      </c>
      <c r="D496" s="499"/>
      <c r="E496" s="499"/>
      <c r="F496" s="499" t="s">
        <v>1999</v>
      </c>
      <c r="G496" s="499" t="s">
        <v>2121</v>
      </c>
      <c r="H496" s="499" t="s">
        <v>1662</v>
      </c>
      <c r="I496" s="499" t="s">
        <v>977</v>
      </c>
      <c r="J496" s="499" t="s">
        <v>864</v>
      </c>
      <c r="K496" s="499" t="s">
        <v>2048</v>
      </c>
      <c r="L496" s="499">
        <v>5</v>
      </c>
      <c r="M496" s="499" t="s">
        <v>2057</v>
      </c>
      <c r="N496" s="499" t="s">
        <v>2058</v>
      </c>
      <c r="O496" s="525">
        <v>219.41310090799618</v>
      </c>
      <c r="P496" s="499">
        <v>100</v>
      </c>
      <c r="Q496" s="499"/>
      <c r="R496" s="499"/>
      <c r="S496" s="525"/>
      <c r="T496" s="525">
        <v>0</v>
      </c>
      <c r="U496" s="525">
        <v>1</v>
      </c>
      <c r="V496" s="525">
        <v>21941.31009079962</v>
      </c>
      <c r="W496" s="589">
        <f>IF(AND(BaleMover[[#This Row],[Scenario_ID]]="S3",BaleMover[[#This Row],[MRF_ID]]="05"),0,IFERROR(BaleMover[[#This Row],[Total_Baled_tons]]*(IF(BaleMover[[#This Row],[Scenario_ID]]="S0",-2,0)+INDEX(BalePrices[Low],MATCH(BaleMover[[#This Row],[Bale_ID]],BalePrices[Bale_ID],0))),0))</f>
        <v>-4388.2620181599232</v>
      </c>
      <c r="X496" s="397">
        <f>IF(AND(BaleMover[[#This Row],[Scenario_ID]]="S3",BaleMover[[#This Row],[MRF_ID]]="05"),0,IFERROR(BaleMover[[#This Row],[Total_Baled_tons]]*(IF(BaleMover[[#This Row],[Scenario_ID]]="S0",-2,0)+INDEX(BalePrices[Mid-Point],MATCH(BaleMover[[#This Row],[Bale_ID]],BalePrices[Bale_ID],0))),0))</f>
        <v>10970.65504539981</v>
      </c>
      <c r="Y496" s="397">
        <f>IF(AND(BaleMover[[#This Row],[Scenario_ID]]="S3",BaleMover[[#This Row],[MRF_ID]]="05"),0,IFERROR(BaleMover[[#This Row],[Total_Baled_tons]]*(IF(BaleMover[[#This Row],[Scenario_ID]]="S0",-2,0)+INDEX(BalePrices[High],MATCH(BaleMover[[#This Row],[Bale_ID]],BalePrices[Bale_ID],0))),0))</f>
        <v>26329.572108959543</v>
      </c>
    </row>
    <row r="497" spans="2:25" x14ac:dyDescent="0.2">
      <c r="B497" s="545" t="s">
        <v>870</v>
      </c>
      <c r="C497" s="499" t="s">
        <v>754</v>
      </c>
      <c r="D497" s="499"/>
      <c r="E497" s="499"/>
      <c r="F497" s="499" t="s">
        <v>1999</v>
      </c>
      <c r="G497" s="499" t="s">
        <v>2122</v>
      </c>
      <c r="H497" s="499" t="s">
        <v>1663</v>
      </c>
      <c r="I497" s="499" t="s">
        <v>977</v>
      </c>
      <c r="J497" s="499" t="s">
        <v>864</v>
      </c>
      <c r="K497" s="499" t="s">
        <v>2048</v>
      </c>
      <c r="L497" s="499">
        <v>5</v>
      </c>
      <c r="M497" s="499" t="s">
        <v>2057</v>
      </c>
      <c r="N497" s="499" t="s">
        <v>2058</v>
      </c>
      <c r="O497" s="525">
        <v>219.41310090799618</v>
      </c>
      <c r="P497" s="499">
        <v>100</v>
      </c>
      <c r="Q497" s="499"/>
      <c r="R497" s="499"/>
      <c r="S497" s="525"/>
      <c r="T497" s="525">
        <v>0</v>
      </c>
      <c r="U497" s="525">
        <v>1</v>
      </c>
      <c r="V497" s="525">
        <v>21941.31009079962</v>
      </c>
      <c r="W497" s="589">
        <f>IF(AND(BaleMover[[#This Row],[Scenario_ID]]="S3",BaleMover[[#This Row],[MRF_ID]]="05"),0,IFERROR(BaleMover[[#This Row],[Total_Baled_tons]]*(IF(BaleMover[[#This Row],[Scenario_ID]]="S0",-2,0)+INDEX(BalePrices[Low],MATCH(BaleMover[[#This Row],[Bale_ID]],BalePrices[Bale_ID],0))),0))</f>
        <v>-4388.2620181599232</v>
      </c>
      <c r="X497" s="397">
        <f>IF(AND(BaleMover[[#This Row],[Scenario_ID]]="S3",BaleMover[[#This Row],[MRF_ID]]="05"),0,IFERROR(BaleMover[[#This Row],[Total_Baled_tons]]*(IF(BaleMover[[#This Row],[Scenario_ID]]="S0",-2,0)+INDEX(BalePrices[Mid-Point],MATCH(BaleMover[[#This Row],[Bale_ID]],BalePrices[Bale_ID],0))),0))</f>
        <v>10970.65504539981</v>
      </c>
      <c r="Y497" s="397">
        <f>IF(AND(BaleMover[[#This Row],[Scenario_ID]]="S3",BaleMover[[#This Row],[MRF_ID]]="05"),0,IFERROR(BaleMover[[#This Row],[Total_Baled_tons]]*(IF(BaleMover[[#This Row],[Scenario_ID]]="S0",-2,0)+INDEX(BalePrices[High],MATCH(BaleMover[[#This Row],[Bale_ID]],BalePrices[Bale_ID],0))),0))</f>
        <v>26329.572108959543</v>
      </c>
    </row>
    <row r="498" spans="2:25" x14ac:dyDescent="0.2">
      <c r="B498" s="545" t="s">
        <v>876</v>
      </c>
      <c r="C498" s="499" t="s">
        <v>754</v>
      </c>
      <c r="D498" s="499"/>
      <c r="E498" s="499"/>
      <c r="F498" s="499" t="s">
        <v>1999</v>
      </c>
      <c r="G498" s="499" t="s">
        <v>2118</v>
      </c>
      <c r="H498" s="499" t="s">
        <v>1664</v>
      </c>
      <c r="I498" s="499" t="s">
        <v>978</v>
      </c>
      <c r="J498" s="499" t="s">
        <v>1892</v>
      </c>
      <c r="K498" s="499" t="s">
        <v>2048</v>
      </c>
      <c r="L498" s="499">
        <v>5</v>
      </c>
      <c r="M498" s="499" t="s">
        <v>2057</v>
      </c>
      <c r="N498" s="499" t="s">
        <v>2058</v>
      </c>
      <c r="O498" s="525">
        <v>940.10711159800303</v>
      </c>
      <c r="P498" s="499">
        <v>100</v>
      </c>
      <c r="Q498" s="499"/>
      <c r="R498" s="499"/>
      <c r="S498" s="525"/>
      <c r="T498" s="525">
        <v>0</v>
      </c>
      <c r="U498" s="525">
        <v>1</v>
      </c>
      <c r="V498" s="525">
        <v>94010.711159800296</v>
      </c>
      <c r="W498" s="589">
        <f>IF(AND(BaleMover[[#This Row],[Scenario_ID]]="S3",BaleMover[[#This Row],[MRF_ID]]="05"),0,IFERROR(BaleMover[[#This Row],[Total_Baled_tons]]*(IF(BaleMover[[#This Row],[Scenario_ID]]="S0",-2,0)+INDEX(BalePrices[Low],MATCH(BaleMover[[#This Row],[Bale_ID]],BalePrices[Bale_ID],0))),0))</f>
        <v>-20682.356455156067</v>
      </c>
      <c r="X498" s="397">
        <f>IF(AND(BaleMover[[#This Row],[Scenario_ID]]="S3",BaleMover[[#This Row],[MRF_ID]]="05"),0,IFERROR(BaleMover[[#This Row],[Total_Baled_tons]]*(IF(BaleMover[[#This Row],[Scenario_ID]]="S0",-2,0)+INDEX(BalePrices[Mid-Point],MATCH(BaleMover[[#This Row],[Bale_ID]],BalePrices[Bale_ID],0))),0))</f>
        <v>35724.070240724119</v>
      </c>
      <c r="Y498" s="397">
        <f>IF(AND(BaleMover[[#This Row],[Scenario_ID]]="S3",BaleMover[[#This Row],[MRF_ID]]="05"),0,IFERROR(BaleMover[[#This Row],[Total_Baled_tons]]*(IF(BaleMover[[#This Row],[Scenario_ID]]="S0",-2,0)+INDEX(BalePrices[High],MATCH(BaleMover[[#This Row],[Bale_ID]],BalePrices[Bale_ID],0))),0))</f>
        <v>92130.496936604293</v>
      </c>
    </row>
    <row r="499" spans="2:25" x14ac:dyDescent="0.2">
      <c r="B499" s="545" t="s">
        <v>875</v>
      </c>
      <c r="C499" s="499" t="s">
        <v>754</v>
      </c>
      <c r="D499" s="499"/>
      <c r="E499" s="499"/>
      <c r="F499" s="499" t="s">
        <v>1999</v>
      </c>
      <c r="G499" s="499" t="s">
        <v>2119</v>
      </c>
      <c r="H499" s="499" t="s">
        <v>1665</v>
      </c>
      <c r="I499" s="499" t="s">
        <v>978</v>
      </c>
      <c r="J499" s="499" t="s">
        <v>1892</v>
      </c>
      <c r="K499" s="499" t="s">
        <v>2048</v>
      </c>
      <c r="L499" s="499">
        <v>5</v>
      </c>
      <c r="M499" s="499" t="s">
        <v>2057</v>
      </c>
      <c r="N499" s="499" t="s">
        <v>2058</v>
      </c>
      <c r="O499" s="525">
        <v>940.10711159800303</v>
      </c>
      <c r="P499" s="499">
        <v>100</v>
      </c>
      <c r="Q499" s="499"/>
      <c r="R499" s="499"/>
      <c r="S499" s="525"/>
      <c r="T499" s="525">
        <v>0</v>
      </c>
      <c r="U499" s="525">
        <v>1</v>
      </c>
      <c r="V499" s="525">
        <v>94010.711159800296</v>
      </c>
      <c r="W499" s="589">
        <f>IF(AND(BaleMover[[#This Row],[Scenario_ID]]="S3",BaleMover[[#This Row],[MRF_ID]]="05"),0,IFERROR(BaleMover[[#This Row],[Total_Baled_tons]]*(IF(BaleMover[[#This Row],[Scenario_ID]]="S0",-2,0)+INDEX(BalePrices[Low],MATCH(BaleMover[[#This Row],[Bale_ID]],BalePrices[Bale_ID],0))),0))</f>
        <v>-18802.142231960061</v>
      </c>
      <c r="X499" s="397">
        <f>IF(AND(BaleMover[[#This Row],[Scenario_ID]]="S3",BaleMover[[#This Row],[MRF_ID]]="05"),0,IFERROR(BaleMover[[#This Row],[Total_Baled_tons]]*(IF(BaleMover[[#This Row],[Scenario_ID]]="S0",-2,0)+INDEX(BalePrices[Mid-Point],MATCH(BaleMover[[#This Row],[Bale_ID]],BalePrices[Bale_ID],0))),0))</f>
        <v>37604.284463920121</v>
      </c>
      <c r="Y499" s="397">
        <f>IF(AND(BaleMover[[#This Row],[Scenario_ID]]="S3",BaleMover[[#This Row],[MRF_ID]]="05"),0,IFERROR(BaleMover[[#This Row],[Total_Baled_tons]]*(IF(BaleMover[[#This Row],[Scenario_ID]]="S0",-2,0)+INDEX(BalePrices[High],MATCH(BaleMover[[#This Row],[Bale_ID]],BalePrices[Bale_ID],0))),0))</f>
        <v>94010.711159800296</v>
      </c>
    </row>
    <row r="500" spans="2:25" x14ac:dyDescent="0.2">
      <c r="B500" s="545" t="s">
        <v>874</v>
      </c>
      <c r="C500" s="499" t="s">
        <v>754</v>
      </c>
      <c r="D500" s="499"/>
      <c r="E500" s="499"/>
      <c r="F500" s="499" t="s">
        <v>1999</v>
      </c>
      <c r="G500" s="499" t="s">
        <v>2120</v>
      </c>
      <c r="H500" s="499" t="s">
        <v>1666</v>
      </c>
      <c r="I500" s="499" t="s">
        <v>978</v>
      </c>
      <c r="J500" s="499" t="s">
        <v>1892</v>
      </c>
      <c r="K500" s="499" t="s">
        <v>2048</v>
      </c>
      <c r="L500" s="499">
        <v>5</v>
      </c>
      <c r="M500" s="499" t="s">
        <v>2057</v>
      </c>
      <c r="N500" s="499" t="s">
        <v>2058</v>
      </c>
      <c r="O500" s="525">
        <v>940.10711159800303</v>
      </c>
      <c r="P500" s="499">
        <v>100</v>
      </c>
      <c r="Q500" s="499"/>
      <c r="R500" s="499"/>
      <c r="S500" s="525"/>
      <c r="T500" s="525">
        <v>0</v>
      </c>
      <c r="U500" s="525">
        <v>1</v>
      </c>
      <c r="V500" s="525">
        <v>94010.711159800296</v>
      </c>
      <c r="W500" s="589">
        <f>IF(AND(BaleMover[[#This Row],[Scenario_ID]]="S3",BaleMover[[#This Row],[MRF_ID]]="05"),0,IFERROR(BaleMover[[#This Row],[Total_Baled_tons]]*(IF(BaleMover[[#This Row],[Scenario_ID]]="S0",-2,0)+INDEX(BalePrices[Low],MATCH(BaleMover[[#This Row],[Bale_ID]],BalePrices[Bale_ID],0))),0))</f>
        <v>-18802.142231960061</v>
      </c>
      <c r="X500" s="397">
        <f>IF(AND(BaleMover[[#This Row],[Scenario_ID]]="S3",BaleMover[[#This Row],[MRF_ID]]="05"),0,IFERROR(BaleMover[[#This Row],[Total_Baled_tons]]*(IF(BaleMover[[#This Row],[Scenario_ID]]="S0",-2,0)+INDEX(BalePrices[Mid-Point],MATCH(BaleMover[[#This Row],[Bale_ID]],BalePrices[Bale_ID],0))),0))</f>
        <v>37604.284463920121</v>
      </c>
      <c r="Y500" s="397">
        <f>IF(AND(BaleMover[[#This Row],[Scenario_ID]]="S3",BaleMover[[#This Row],[MRF_ID]]="05"),0,IFERROR(BaleMover[[#This Row],[Total_Baled_tons]]*(IF(BaleMover[[#This Row],[Scenario_ID]]="S0",-2,0)+INDEX(BalePrices[High],MATCH(BaleMover[[#This Row],[Bale_ID]],BalePrices[Bale_ID],0))),0))</f>
        <v>94010.711159800296</v>
      </c>
    </row>
    <row r="501" spans="2:25" x14ac:dyDescent="0.2">
      <c r="B501" s="545" t="s">
        <v>873</v>
      </c>
      <c r="C501" s="499" t="s">
        <v>754</v>
      </c>
      <c r="D501" s="499"/>
      <c r="E501" s="499"/>
      <c r="F501" s="499" t="s">
        <v>1999</v>
      </c>
      <c r="G501" s="499" t="s">
        <v>2121</v>
      </c>
      <c r="H501" s="499" t="s">
        <v>1667</v>
      </c>
      <c r="I501" s="499" t="s">
        <v>978</v>
      </c>
      <c r="J501" s="499" t="s">
        <v>1892</v>
      </c>
      <c r="K501" s="499" t="s">
        <v>2048</v>
      </c>
      <c r="L501" s="499">
        <v>5</v>
      </c>
      <c r="M501" s="499" t="s">
        <v>2057</v>
      </c>
      <c r="N501" s="499" t="s">
        <v>2058</v>
      </c>
      <c r="O501" s="525">
        <v>940.10711159800303</v>
      </c>
      <c r="P501" s="499">
        <v>100</v>
      </c>
      <c r="Q501" s="499"/>
      <c r="R501" s="499"/>
      <c r="S501" s="525"/>
      <c r="T501" s="525">
        <v>0</v>
      </c>
      <c r="U501" s="525">
        <v>1</v>
      </c>
      <c r="V501" s="525">
        <v>94010.711159800296</v>
      </c>
      <c r="W501" s="589">
        <f>IF(AND(BaleMover[[#This Row],[Scenario_ID]]="S3",BaleMover[[#This Row],[MRF_ID]]="05"),0,IFERROR(BaleMover[[#This Row],[Total_Baled_tons]]*(IF(BaleMover[[#This Row],[Scenario_ID]]="S0",-2,0)+INDEX(BalePrices[Low],MATCH(BaleMover[[#This Row],[Bale_ID]],BalePrices[Bale_ID],0))),0))</f>
        <v>-18802.142231960061</v>
      </c>
      <c r="X501" s="397">
        <f>IF(AND(BaleMover[[#This Row],[Scenario_ID]]="S3",BaleMover[[#This Row],[MRF_ID]]="05"),0,IFERROR(BaleMover[[#This Row],[Total_Baled_tons]]*(IF(BaleMover[[#This Row],[Scenario_ID]]="S0",-2,0)+INDEX(BalePrices[Mid-Point],MATCH(BaleMover[[#This Row],[Bale_ID]],BalePrices[Bale_ID],0))),0))</f>
        <v>37604.284463920121</v>
      </c>
      <c r="Y501" s="397">
        <f>IF(AND(BaleMover[[#This Row],[Scenario_ID]]="S3",BaleMover[[#This Row],[MRF_ID]]="05"),0,IFERROR(BaleMover[[#This Row],[Total_Baled_tons]]*(IF(BaleMover[[#This Row],[Scenario_ID]]="S0",-2,0)+INDEX(BalePrices[High],MATCH(BaleMover[[#This Row],[Bale_ID]],BalePrices[Bale_ID],0))),0))</f>
        <v>94010.711159800296</v>
      </c>
    </row>
    <row r="502" spans="2:25" x14ac:dyDescent="0.2">
      <c r="B502" s="545" t="s">
        <v>870</v>
      </c>
      <c r="C502" s="499" t="s">
        <v>754</v>
      </c>
      <c r="D502" s="499"/>
      <c r="E502" s="499"/>
      <c r="F502" s="499" t="s">
        <v>1999</v>
      </c>
      <c r="G502" s="499" t="s">
        <v>2122</v>
      </c>
      <c r="H502" s="499" t="s">
        <v>1668</v>
      </c>
      <c r="I502" s="499" t="s">
        <v>978</v>
      </c>
      <c r="J502" s="499" t="s">
        <v>1892</v>
      </c>
      <c r="K502" s="499" t="s">
        <v>2048</v>
      </c>
      <c r="L502" s="499">
        <v>5</v>
      </c>
      <c r="M502" s="499" t="s">
        <v>2057</v>
      </c>
      <c r="N502" s="499" t="s">
        <v>2058</v>
      </c>
      <c r="O502" s="525">
        <v>940.10711159800303</v>
      </c>
      <c r="P502" s="499">
        <v>100</v>
      </c>
      <c r="Q502" s="499"/>
      <c r="R502" s="499"/>
      <c r="S502" s="525"/>
      <c r="T502" s="525">
        <v>0</v>
      </c>
      <c r="U502" s="525">
        <v>1</v>
      </c>
      <c r="V502" s="525">
        <v>94010.711159800296</v>
      </c>
      <c r="W502" s="589">
        <f>IF(AND(BaleMover[[#This Row],[Scenario_ID]]="S3",BaleMover[[#This Row],[MRF_ID]]="05"),0,IFERROR(BaleMover[[#This Row],[Total_Baled_tons]]*(IF(BaleMover[[#This Row],[Scenario_ID]]="S0",-2,0)+INDEX(BalePrices[Low],MATCH(BaleMover[[#This Row],[Bale_ID]],BalePrices[Bale_ID],0))),0))</f>
        <v>-18802.142231960061</v>
      </c>
      <c r="X502" s="397">
        <f>IF(AND(BaleMover[[#This Row],[Scenario_ID]]="S3",BaleMover[[#This Row],[MRF_ID]]="05"),0,IFERROR(BaleMover[[#This Row],[Total_Baled_tons]]*(IF(BaleMover[[#This Row],[Scenario_ID]]="S0",-2,0)+INDEX(BalePrices[Mid-Point],MATCH(BaleMover[[#This Row],[Bale_ID]],BalePrices[Bale_ID],0))),0))</f>
        <v>37604.284463920121</v>
      </c>
      <c r="Y502" s="397">
        <f>IF(AND(BaleMover[[#This Row],[Scenario_ID]]="S3",BaleMover[[#This Row],[MRF_ID]]="05"),0,IFERROR(BaleMover[[#This Row],[Total_Baled_tons]]*(IF(BaleMover[[#This Row],[Scenario_ID]]="S0",-2,0)+INDEX(BalePrices[High],MATCH(BaleMover[[#This Row],[Bale_ID]],BalePrices[Bale_ID],0))),0))</f>
        <v>94010.711159800296</v>
      </c>
    </row>
    <row r="503" spans="2:25" x14ac:dyDescent="0.2">
      <c r="B503" s="545" t="s">
        <v>876</v>
      </c>
      <c r="C503" s="499" t="s">
        <v>754</v>
      </c>
      <c r="D503" s="499"/>
      <c r="E503" s="499"/>
      <c r="F503" s="499" t="s">
        <v>1999</v>
      </c>
      <c r="G503" s="499" t="s">
        <v>2118</v>
      </c>
      <c r="H503" s="499" t="s">
        <v>1669</v>
      </c>
      <c r="I503" s="499" t="s">
        <v>979</v>
      </c>
      <c r="J503" s="499" t="s">
        <v>980</v>
      </c>
      <c r="K503" s="499" t="s">
        <v>2048</v>
      </c>
      <c r="L503" s="499">
        <v>7</v>
      </c>
      <c r="M503" s="499" t="s">
        <v>2055</v>
      </c>
      <c r="N503" s="499" t="s">
        <v>2056</v>
      </c>
      <c r="O503" s="525">
        <v>45.767290188694304</v>
      </c>
      <c r="P503" s="499">
        <v>195</v>
      </c>
      <c r="Q503" s="499"/>
      <c r="R503" s="499"/>
      <c r="S503" s="525"/>
      <c r="T503" s="525">
        <v>0</v>
      </c>
      <c r="U503" s="525">
        <v>1</v>
      </c>
      <c r="V503" s="525">
        <v>8924.6215867953888</v>
      </c>
      <c r="W503" s="589">
        <f>IF(AND(BaleMover[[#This Row],[Scenario_ID]]="S3",BaleMover[[#This Row],[MRF_ID]]="05"),0,IFERROR(BaleMover[[#This Row],[Total_Baled_tons]]*(IF(BaleMover[[#This Row],[Scenario_ID]]="S0",-2,0)+INDEX(BalePrices[Low],MATCH(BaleMover[[#This Row],[Bale_ID]],BalePrices[Bale_ID],0))),0))</f>
        <v>594.97477245302593</v>
      </c>
      <c r="X503" s="397">
        <f>IF(AND(BaleMover[[#This Row],[Scenario_ID]]="S3",BaleMover[[#This Row],[MRF_ID]]="05"),0,IFERROR(BaleMover[[#This Row],[Total_Baled_tons]]*(IF(BaleMover[[#This Row],[Scenario_ID]]="S0",-2,0)+INDEX(BalePrices[Mid-Point],MATCH(BaleMover[[#This Row],[Bale_ID]],BalePrices[Bale_ID],0))),0))</f>
        <v>2997.7575073594767</v>
      </c>
      <c r="Y503" s="397">
        <f>IF(AND(BaleMover[[#This Row],[Scenario_ID]]="S3",BaleMover[[#This Row],[MRF_ID]]="05"),0,IFERROR(BaleMover[[#This Row],[Total_Baled_tons]]*(IF(BaleMover[[#This Row],[Scenario_ID]]="S0",-2,0)+INDEX(BalePrices[High],MATCH(BaleMover[[#This Row],[Bale_ID]],BalePrices[Bale_ID],0))),0))</f>
        <v>5400.5402422659281</v>
      </c>
    </row>
    <row r="504" spans="2:25" x14ac:dyDescent="0.2">
      <c r="B504" s="545" t="s">
        <v>875</v>
      </c>
      <c r="C504" s="499" t="s">
        <v>754</v>
      </c>
      <c r="D504" s="499"/>
      <c r="E504" s="499"/>
      <c r="F504" s="499" t="s">
        <v>1999</v>
      </c>
      <c r="G504" s="499" t="s">
        <v>2119</v>
      </c>
      <c r="H504" s="499" t="s">
        <v>1670</v>
      </c>
      <c r="I504" s="499" t="s">
        <v>979</v>
      </c>
      <c r="J504" s="499" t="s">
        <v>980</v>
      </c>
      <c r="K504" s="499" t="s">
        <v>2048</v>
      </c>
      <c r="L504" s="499">
        <v>7</v>
      </c>
      <c r="M504" s="499" t="s">
        <v>2055</v>
      </c>
      <c r="N504" s="499" t="s">
        <v>2056</v>
      </c>
      <c r="O504" s="525">
        <v>45.767290188694304</v>
      </c>
      <c r="P504" s="499">
        <v>195</v>
      </c>
      <c r="Q504" s="499"/>
      <c r="R504" s="499"/>
      <c r="S504" s="525"/>
      <c r="T504" s="525">
        <v>0</v>
      </c>
      <c r="U504" s="525">
        <v>1</v>
      </c>
      <c r="V504" s="525">
        <v>8924.6215867953888</v>
      </c>
      <c r="W504" s="589">
        <f>IF(AND(BaleMover[[#This Row],[Scenario_ID]]="S3",BaleMover[[#This Row],[MRF_ID]]="05"),0,IFERROR(BaleMover[[#This Row],[Total_Baled_tons]]*(IF(BaleMover[[#This Row],[Scenario_ID]]="S0",-2,0)+INDEX(BalePrices[Low],MATCH(BaleMover[[#This Row],[Bale_ID]],BalePrices[Bale_ID],0))),0))</f>
        <v>686.50935283041451</v>
      </c>
      <c r="X504" s="397">
        <f>IF(AND(BaleMover[[#This Row],[Scenario_ID]]="S3",BaleMover[[#This Row],[MRF_ID]]="05"),0,IFERROR(BaleMover[[#This Row],[Total_Baled_tons]]*(IF(BaleMover[[#This Row],[Scenario_ID]]="S0",-2,0)+INDEX(BalePrices[Mid-Point],MATCH(BaleMover[[#This Row],[Bale_ID]],BalePrices[Bale_ID],0))),0))</f>
        <v>3089.2920877368656</v>
      </c>
      <c r="Y504" s="397">
        <f>IF(AND(BaleMover[[#This Row],[Scenario_ID]]="S3",BaleMover[[#This Row],[MRF_ID]]="05"),0,IFERROR(BaleMover[[#This Row],[Total_Baled_tons]]*(IF(BaleMover[[#This Row],[Scenario_ID]]="S0",-2,0)+INDEX(BalePrices[High],MATCH(BaleMover[[#This Row],[Bale_ID]],BalePrices[Bale_ID],0))),0))</f>
        <v>5492.0748226433161</v>
      </c>
    </row>
    <row r="505" spans="2:25" x14ac:dyDescent="0.2">
      <c r="B505" s="545" t="s">
        <v>874</v>
      </c>
      <c r="C505" s="499" t="s">
        <v>754</v>
      </c>
      <c r="D505" s="499"/>
      <c r="E505" s="499"/>
      <c r="F505" s="499" t="s">
        <v>1999</v>
      </c>
      <c r="G505" s="499" t="s">
        <v>2120</v>
      </c>
      <c r="H505" s="499" t="s">
        <v>1671</v>
      </c>
      <c r="I505" s="499" t="s">
        <v>979</v>
      </c>
      <c r="J505" s="499" t="s">
        <v>980</v>
      </c>
      <c r="K505" s="499" t="s">
        <v>2048</v>
      </c>
      <c r="L505" s="499">
        <v>7</v>
      </c>
      <c r="M505" s="499" t="s">
        <v>2055</v>
      </c>
      <c r="N505" s="499" t="s">
        <v>2056</v>
      </c>
      <c r="O505" s="525">
        <v>45.767290188694297</v>
      </c>
      <c r="P505" s="499">
        <v>195</v>
      </c>
      <c r="Q505" s="499"/>
      <c r="R505" s="499"/>
      <c r="S505" s="525"/>
      <c r="T505" s="525">
        <v>0</v>
      </c>
      <c r="U505" s="525">
        <v>1</v>
      </c>
      <c r="V505" s="525">
        <v>8924.621586795387</v>
      </c>
      <c r="W505" s="589">
        <f>IF(AND(BaleMover[[#This Row],[Scenario_ID]]="S3",BaleMover[[#This Row],[MRF_ID]]="05"),0,IFERROR(BaleMover[[#This Row],[Total_Baled_tons]]*(IF(BaleMover[[#This Row],[Scenario_ID]]="S0",-2,0)+INDEX(BalePrices[Low],MATCH(BaleMover[[#This Row],[Bale_ID]],BalePrices[Bale_ID],0))),0))</f>
        <v>686.5093528304144</v>
      </c>
      <c r="X505" s="397">
        <f>IF(AND(BaleMover[[#This Row],[Scenario_ID]]="S3",BaleMover[[#This Row],[MRF_ID]]="05"),0,IFERROR(BaleMover[[#This Row],[Total_Baled_tons]]*(IF(BaleMover[[#This Row],[Scenario_ID]]="S0",-2,0)+INDEX(BalePrices[Mid-Point],MATCH(BaleMover[[#This Row],[Bale_ID]],BalePrices[Bale_ID],0))),0))</f>
        <v>3089.2920877368651</v>
      </c>
      <c r="Y505" s="397">
        <f>IF(AND(BaleMover[[#This Row],[Scenario_ID]]="S3",BaleMover[[#This Row],[MRF_ID]]="05"),0,IFERROR(BaleMover[[#This Row],[Total_Baled_tons]]*(IF(BaleMover[[#This Row],[Scenario_ID]]="S0",-2,0)+INDEX(BalePrices[High],MATCH(BaleMover[[#This Row],[Bale_ID]],BalePrices[Bale_ID],0))),0))</f>
        <v>5492.0748226433152</v>
      </c>
    </row>
    <row r="506" spans="2:25" x14ac:dyDescent="0.2">
      <c r="B506" s="545" t="s">
        <v>873</v>
      </c>
      <c r="C506" s="499" t="s">
        <v>754</v>
      </c>
      <c r="D506" s="499"/>
      <c r="E506" s="499"/>
      <c r="F506" s="499" t="s">
        <v>1999</v>
      </c>
      <c r="G506" s="499" t="s">
        <v>2121</v>
      </c>
      <c r="H506" s="499" t="s">
        <v>1672</v>
      </c>
      <c r="I506" s="499" t="s">
        <v>979</v>
      </c>
      <c r="J506" s="499" t="s">
        <v>980</v>
      </c>
      <c r="K506" s="499" t="s">
        <v>2048</v>
      </c>
      <c r="L506" s="499">
        <v>7</v>
      </c>
      <c r="M506" s="499" t="s">
        <v>2055</v>
      </c>
      <c r="N506" s="499" t="s">
        <v>2056</v>
      </c>
      <c r="O506" s="525">
        <v>45.767290188694297</v>
      </c>
      <c r="P506" s="499">
        <v>195</v>
      </c>
      <c r="Q506" s="499"/>
      <c r="R506" s="499"/>
      <c r="S506" s="525"/>
      <c r="T506" s="525">
        <v>0</v>
      </c>
      <c r="U506" s="525">
        <v>1</v>
      </c>
      <c r="V506" s="525">
        <v>8924.621586795387</v>
      </c>
      <c r="W506" s="589">
        <f>IF(AND(BaleMover[[#This Row],[Scenario_ID]]="S3",BaleMover[[#This Row],[MRF_ID]]="05"),0,IFERROR(BaleMover[[#This Row],[Total_Baled_tons]]*(IF(BaleMover[[#This Row],[Scenario_ID]]="S0",-2,0)+INDEX(BalePrices[Low],MATCH(BaleMover[[#This Row],[Bale_ID]],BalePrices[Bale_ID],0))),0))</f>
        <v>686.5093528304144</v>
      </c>
      <c r="X506" s="397">
        <f>IF(AND(BaleMover[[#This Row],[Scenario_ID]]="S3",BaleMover[[#This Row],[MRF_ID]]="05"),0,IFERROR(BaleMover[[#This Row],[Total_Baled_tons]]*(IF(BaleMover[[#This Row],[Scenario_ID]]="S0",-2,0)+INDEX(BalePrices[Mid-Point],MATCH(BaleMover[[#This Row],[Bale_ID]],BalePrices[Bale_ID],0))),0))</f>
        <v>3089.2920877368651</v>
      </c>
      <c r="Y506" s="397">
        <f>IF(AND(BaleMover[[#This Row],[Scenario_ID]]="S3",BaleMover[[#This Row],[MRF_ID]]="05"),0,IFERROR(BaleMover[[#This Row],[Total_Baled_tons]]*(IF(BaleMover[[#This Row],[Scenario_ID]]="S0",-2,0)+INDEX(BalePrices[High],MATCH(BaleMover[[#This Row],[Bale_ID]],BalePrices[Bale_ID],0))),0))</f>
        <v>5492.0748226433152</v>
      </c>
    </row>
    <row r="507" spans="2:25" x14ac:dyDescent="0.2">
      <c r="B507" s="545" t="s">
        <v>870</v>
      </c>
      <c r="C507" s="499" t="s">
        <v>754</v>
      </c>
      <c r="D507" s="499"/>
      <c r="E507" s="499"/>
      <c r="F507" s="499" t="s">
        <v>1999</v>
      </c>
      <c r="G507" s="499" t="s">
        <v>2122</v>
      </c>
      <c r="H507" s="499" t="s">
        <v>1673</v>
      </c>
      <c r="I507" s="499" t="s">
        <v>979</v>
      </c>
      <c r="J507" s="499" t="s">
        <v>980</v>
      </c>
      <c r="K507" s="499" t="s">
        <v>2048</v>
      </c>
      <c r="L507" s="499">
        <v>7</v>
      </c>
      <c r="M507" s="499" t="s">
        <v>2055</v>
      </c>
      <c r="N507" s="499" t="s">
        <v>2056</v>
      </c>
      <c r="O507" s="525">
        <v>45.767290188694297</v>
      </c>
      <c r="P507" s="499">
        <v>195</v>
      </c>
      <c r="Q507" s="499"/>
      <c r="R507" s="499"/>
      <c r="S507" s="525"/>
      <c r="T507" s="525">
        <v>0</v>
      </c>
      <c r="U507" s="525">
        <v>1</v>
      </c>
      <c r="V507" s="525">
        <v>8924.621586795387</v>
      </c>
      <c r="W507" s="589">
        <f>IF(AND(BaleMover[[#This Row],[Scenario_ID]]="S3",BaleMover[[#This Row],[MRF_ID]]="05"),0,IFERROR(BaleMover[[#This Row],[Total_Baled_tons]]*(IF(BaleMover[[#This Row],[Scenario_ID]]="S0",-2,0)+INDEX(BalePrices[Low],MATCH(BaleMover[[#This Row],[Bale_ID]],BalePrices[Bale_ID],0))),0))</f>
        <v>686.5093528304144</v>
      </c>
      <c r="X507" s="397">
        <f>IF(AND(BaleMover[[#This Row],[Scenario_ID]]="S3",BaleMover[[#This Row],[MRF_ID]]="05"),0,IFERROR(BaleMover[[#This Row],[Total_Baled_tons]]*(IF(BaleMover[[#This Row],[Scenario_ID]]="S0",-2,0)+INDEX(BalePrices[Mid-Point],MATCH(BaleMover[[#This Row],[Bale_ID]],BalePrices[Bale_ID],0))),0))</f>
        <v>3089.2920877368651</v>
      </c>
      <c r="Y507" s="397">
        <f>IF(AND(BaleMover[[#This Row],[Scenario_ID]]="S3",BaleMover[[#This Row],[MRF_ID]]="05"),0,IFERROR(BaleMover[[#This Row],[Total_Baled_tons]]*(IF(BaleMover[[#This Row],[Scenario_ID]]="S0",-2,0)+INDEX(BalePrices[High],MATCH(BaleMover[[#This Row],[Bale_ID]],BalePrices[Bale_ID],0))),0))</f>
        <v>5492.0748226433152</v>
      </c>
    </row>
    <row r="508" spans="2:25" x14ac:dyDescent="0.2">
      <c r="B508" s="545" t="s">
        <v>876</v>
      </c>
      <c r="C508" s="499" t="s">
        <v>754</v>
      </c>
      <c r="D508" s="499"/>
      <c r="E508" s="499"/>
      <c r="F508" s="499" t="s">
        <v>1999</v>
      </c>
      <c r="G508" s="499" t="s">
        <v>2118</v>
      </c>
      <c r="H508" s="499" t="s">
        <v>1674</v>
      </c>
      <c r="I508" s="499" t="s">
        <v>981</v>
      </c>
      <c r="J508" s="499" t="s">
        <v>3674</v>
      </c>
      <c r="K508" s="499" t="s">
        <v>2048</v>
      </c>
      <c r="L508" s="499">
        <v>13</v>
      </c>
      <c r="M508" s="499" t="s">
        <v>2059</v>
      </c>
      <c r="N508" s="499" t="s">
        <v>2060</v>
      </c>
      <c r="O508" s="525">
        <v>0</v>
      </c>
      <c r="P508" s="499" t="s">
        <v>2054</v>
      </c>
      <c r="Q508" s="499"/>
      <c r="R508" s="499"/>
      <c r="S508" s="525"/>
      <c r="T508" s="525">
        <v>0</v>
      </c>
      <c r="U508" s="525">
        <v>1</v>
      </c>
      <c r="V508" s="525" t="s">
        <v>2054</v>
      </c>
      <c r="W508" s="589">
        <f>IF(AND(BaleMover[[#This Row],[Scenario_ID]]="S3",BaleMover[[#This Row],[MRF_ID]]="05"),0,IFERROR(BaleMover[[#This Row],[Total_Baled_tons]]*(IF(BaleMover[[#This Row],[Scenario_ID]]="S0",-2,0)+INDEX(BalePrices[Low],MATCH(BaleMover[[#This Row],[Bale_ID]],BalePrices[Bale_ID],0))),0))</f>
        <v>0</v>
      </c>
      <c r="X508" s="397">
        <f>IF(AND(BaleMover[[#This Row],[Scenario_ID]]="S3",BaleMover[[#This Row],[MRF_ID]]="05"),0,IFERROR(BaleMover[[#This Row],[Total_Baled_tons]]*(IF(BaleMover[[#This Row],[Scenario_ID]]="S0",-2,0)+INDEX(BalePrices[Mid-Point],MATCH(BaleMover[[#This Row],[Bale_ID]],BalePrices[Bale_ID],0))),0))</f>
        <v>0</v>
      </c>
      <c r="Y508" s="397">
        <f>IF(AND(BaleMover[[#This Row],[Scenario_ID]]="S3",BaleMover[[#This Row],[MRF_ID]]="05"),0,IFERROR(BaleMover[[#This Row],[Total_Baled_tons]]*(IF(BaleMover[[#This Row],[Scenario_ID]]="S0",-2,0)+INDEX(BalePrices[High],MATCH(BaleMover[[#This Row],[Bale_ID]],BalePrices[Bale_ID],0))),0))</f>
        <v>0</v>
      </c>
    </row>
    <row r="509" spans="2:25" x14ac:dyDescent="0.2">
      <c r="B509" s="545" t="s">
        <v>875</v>
      </c>
      <c r="C509" s="499" t="s">
        <v>754</v>
      </c>
      <c r="D509" s="499"/>
      <c r="E509" s="499"/>
      <c r="F509" s="499" t="s">
        <v>1999</v>
      </c>
      <c r="G509" s="499" t="s">
        <v>2119</v>
      </c>
      <c r="H509" s="499" t="s">
        <v>1675</v>
      </c>
      <c r="I509" s="499" t="s">
        <v>981</v>
      </c>
      <c r="J509" s="499" t="s">
        <v>3674</v>
      </c>
      <c r="K509" s="499" t="s">
        <v>2048</v>
      </c>
      <c r="L509" s="499">
        <v>13</v>
      </c>
      <c r="M509" s="499" t="s">
        <v>2059</v>
      </c>
      <c r="N509" s="499" t="s">
        <v>2060</v>
      </c>
      <c r="O509" s="525">
        <v>0</v>
      </c>
      <c r="P509" s="499" t="s">
        <v>2054</v>
      </c>
      <c r="Q509" s="499"/>
      <c r="R509" s="499"/>
      <c r="S509" s="525"/>
      <c r="T509" s="525">
        <v>0</v>
      </c>
      <c r="U509" s="525">
        <v>1</v>
      </c>
      <c r="V509" s="525" t="s">
        <v>2054</v>
      </c>
      <c r="W509" s="589">
        <f>IF(AND(BaleMover[[#This Row],[Scenario_ID]]="S3",BaleMover[[#This Row],[MRF_ID]]="05"),0,IFERROR(BaleMover[[#This Row],[Total_Baled_tons]]*(IF(BaleMover[[#This Row],[Scenario_ID]]="S0",-2,0)+INDEX(BalePrices[Low],MATCH(BaleMover[[#This Row],[Bale_ID]],BalePrices[Bale_ID],0))),0))</f>
        <v>0</v>
      </c>
      <c r="X509" s="397">
        <f>IF(AND(BaleMover[[#This Row],[Scenario_ID]]="S3",BaleMover[[#This Row],[MRF_ID]]="05"),0,IFERROR(BaleMover[[#This Row],[Total_Baled_tons]]*(IF(BaleMover[[#This Row],[Scenario_ID]]="S0",-2,0)+INDEX(BalePrices[Mid-Point],MATCH(BaleMover[[#This Row],[Bale_ID]],BalePrices[Bale_ID],0))),0))</f>
        <v>0</v>
      </c>
      <c r="Y509" s="397">
        <f>IF(AND(BaleMover[[#This Row],[Scenario_ID]]="S3",BaleMover[[#This Row],[MRF_ID]]="05"),0,IFERROR(BaleMover[[#This Row],[Total_Baled_tons]]*(IF(BaleMover[[#This Row],[Scenario_ID]]="S0",-2,0)+INDEX(BalePrices[High],MATCH(BaleMover[[#This Row],[Bale_ID]],BalePrices[Bale_ID],0))),0))</f>
        <v>0</v>
      </c>
    </row>
    <row r="510" spans="2:25" x14ac:dyDescent="0.2">
      <c r="B510" s="545" t="s">
        <v>874</v>
      </c>
      <c r="C510" s="499" t="s">
        <v>754</v>
      </c>
      <c r="D510" s="499"/>
      <c r="E510" s="499"/>
      <c r="F510" s="499" t="s">
        <v>1999</v>
      </c>
      <c r="G510" s="499" t="s">
        <v>2120</v>
      </c>
      <c r="H510" s="499" t="s">
        <v>1676</v>
      </c>
      <c r="I510" s="499" t="s">
        <v>981</v>
      </c>
      <c r="J510" s="499" t="s">
        <v>3674</v>
      </c>
      <c r="K510" s="499" t="s">
        <v>2048</v>
      </c>
      <c r="L510" s="499">
        <v>13</v>
      </c>
      <c r="M510" s="499" t="s">
        <v>2059</v>
      </c>
      <c r="N510" s="499" t="s">
        <v>2060</v>
      </c>
      <c r="O510" s="525">
        <v>0</v>
      </c>
      <c r="P510" s="499" t="s">
        <v>2054</v>
      </c>
      <c r="Q510" s="499"/>
      <c r="R510" s="499"/>
      <c r="S510" s="525"/>
      <c r="T510" s="525">
        <v>0</v>
      </c>
      <c r="U510" s="525">
        <v>1</v>
      </c>
      <c r="V510" s="525" t="s">
        <v>2054</v>
      </c>
      <c r="W510" s="589">
        <f>IF(AND(BaleMover[[#This Row],[Scenario_ID]]="S3",BaleMover[[#This Row],[MRF_ID]]="05"),0,IFERROR(BaleMover[[#This Row],[Total_Baled_tons]]*(IF(BaleMover[[#This Row],[Scenario_ID]]="S0",-2,0)+INDEX(BalePrices[Low],MATCH(BaleMover[[#This Row],[Bale_ID]],BalePrices[Bale_ID],0))),0))</f>
        <v>0</v>
      </c>
      <c r="X510" s="397">
        <f>IF(AND(BaleMover[[#This Row],[Scenario_ID]]="S3",BaleMover[[#This Row],[MRF_ID]]="05"),0,IFERROR(BaleMover[[#This Row],[Total_Baled_tons]]*(IF(BaleMover[[#This Row],[Scenario_ID]]="S0",-2,0)+INDEX(BalePrices[Mid-Point],MATCH(BaleMover[[#This Row],[Bale_ID]],BalePrices[Bale_ID],0))),0))</f>
        <v>0</v>
      </c>
      <c r="Y510" s="397">
        <f>IF(AND(BaleMover[[#This Row],[Scenario_ID]]="S3",BaleMover[[#This Row],[MRF_ID]]="05"),0,IFERROR(BaleMover[[#This Row],[Total_Baled_tons]]*(IF(BaleMover[[#This Row],[Scenario_ID]]="S0",-2,0)+INDEX(BalePrices[High],MATCH(BaleMover[[#This Row],[Bale_ID]],BalePrices[Bale_ID],0))),0))</f>
        <v>0</v>
      </c>
    </row>
    <row r="511" spans="2:25" x14ac:dyDescent="0.2">
      <c r="B511" s="545" t="s">
        <v>873</v>
      </c>
      <c r="C511" s="499" t="s">
        <v>754</v>
      </c>
      <c r="D511" s="499"/>
      <c r="E511" s="499"/>
      <c r="F511" s="499" t="s">
        <v>1999</v>
      </c>
      <c r="G511" s="499" t="s">
        <v>2121</v>
      </c>
      <c r="H511" s="499" t="s">
        <v>1677</v>
      </c>
      <c r="I511" s="499" t="s">
        <v>981</v>
      </c>
      <c r="J511" s="499" t="s">
        <v>3674</v>
      </c>
      <c r="K511" s="499" t="s">
        <v>2048</v>
      </c>
      <c r="L511" s="499">
        <v>13</v>
      </c>
      <c r="M511" s="499" t="s">
        <v>2059</v>
      </c>
      <c r="N511" s="499" t="s">
        <v>2060</v>
      </c>
      <c r="O511" s="525">
        <v>0</v>
      </c>
      <c r="P511" s="499" t="s">
        <v>2054</v>
      </c>
      <c r="Q511" s="499"/>
      <c r="R511" s="499"/>
      <c r="S511" s="525"/>
      <c r="T511" s="525">
        <v>0</v>
      </c>
      <c r="U511" s="525">
        <v>1</v>
      </c>
      <c r="V511" s="525" t="s">
        <v>2054</v>
      </c>
      <c r="W511" s="589">
        <f>IF(AND(BaleMover[[#This Row],[Scenario_ID]]="S3",BaleMover[[#This Row],[MRF_ID]]="05"),0,IFERROR(BaleMover[[#This Row],[Total_Baled_tons]]*(IF(BaleMover[[#This Row],[Scenario_ID]]="S0",-2,0)+INDEX(BalePrices[Low],MATCH(BaleMover[[#This Row],[Bale_ID]],BalePrices[Bale_ID],0))),0))</f>
        <v>0</v>
      </c>
      <c r="X511" s="397">
        <f>IF(AND(BaleMover[[#This Row],[Scenario_ID]]="S3",BaleMover[[#This Row],[MRF_ID]]="05"),0,IFERROR(BaleMover[[#This Row],[Total_Baled_tons]]*(IF(BaleMover[[#This Row],[Scenario_ID]]="S0",-2,0)+INDEX(BalePrices[Mid-Point],MATCH(BaleMover[[#This Row],[Bale_ID]],BalePrices[Bale_ID],0))),0))</f>
        <v>0</v>
      </c>
      <c r="Y511" s="397">
        <f>IF(AND(BaleMover[[#This Row],[Scenario_ID]]="S3",BaleMover[[#This Row],[MRF_ID]]="05"),0,IFERROR(BaleMover[[#This Row],[Total_Baled_tons]]*(IF(BaleMover[[#This Row],[Scenario_ID]]="S0",-2,0)+INDEX(BalePrices[High],MATCH(BaleMover[[#This Row],[Bale_ID]],BalePrices[Bale_ID],0))),0))</f>
        <v>0</v>
      </c>
    </row>
    <row r="512" spans="2:25" x14ac:dyDescent="0.2">
      <c r="B512" s="545" t="s">
        <v>870</v>
      </c>
      <c r="C512" s="499" t="s">
        <v>754</v>
      </c>
      <c r="D512" s="499"/>
      <c r="E512" s="499"/>
      <c r="F512" s="499" t="s">
        <v>1999</v>
      </c>
      <c r="G512" s="499" t="s">
        <v>2122</v>
      </c>
      <c r="H512" s="499" t="s">
        <v>1678</v>
      </c>
      <c r="I512" s="499" t="s">
        <v>981</v>
      </c>
      <c r="J512" s="499" t="s">
        <v>3674</v>
      </c>
      <c r="K512" s="499" t="s">
        <v>2048</v>
      </c>
      <c r="L512" s="499">
        <v>13</v>
      </c>
      <c r="M512" s="499" t="s">
        <v>2059</v>
      </c>
      <c r="N512" s="499" t="s">
        <v>2060</v>
      </c>
      <c r="O512" s="525">
        <v>0</v>
      </c>
      <c r="P512" s="499" t="s">
        <v>2054</v>
      </c>
      <c r="Q512" s="499"/>
      <c r="R512" s="499"/>
      <c r="S512" s="525"/>
      <c r="T512" s="525">
        <v>0</v>
      </c>
      <c r="U512" s="525">
        <v>1</v>
      </c>
      <c r="V512" s="525" t="s">
        <v>2054</v>
      </c>
      <c r="W512" s="589">
        <f>IF(AND(BaleMover[[#This Row],[Scenario_ID]]="S3",BaleMover[[#This Row],[MRF_ID]]="05"),0,IFERROR(BaleMover[[#This Row],[Total_Baled_tons]]*(IF(BaleMover[[#This Row],[Scenario_ID]]="S0",-2,0)+INDEX(BalePrices[Low],MATCH(BaleMover[[#This Row],[Bale_ID]],BalePrices[Bale_ID],0))),0))</f>
        <v>0</v>
      </c>
      <c r="X512" s="397">
        <f>IF(AND(BaleMover[[#This Row],[Scenario_ID]]="S3",BaleMover[[#This Row],[MRF_ID]]="05"),0,IFERROR(BaleMover[[#This Row],[Total_Baled_tons]]*(IF(BaleMover[[#This Row],[Scenario_ID]]="S0",-2,0)+INDEX(BalePrices[Mid-Point],MATCH(BaleMover[[#This Row],[Bale_ID]],BalePrices[Bale_ID],0))),0))</f>
        <v>0</v>
      </c>
      <c r="Y512" s="397">
        <f>IF(AND(BaleMover[[#This Row],[Scenario_ID]]="S3",BaleMover[[#This Row],[MRF_ID]]="05"),0,IFERROR(BaleMover[[#This Row],[Total_Baled_tons]]*(IF(BaleMover[[#This Row],[Scenario_ID]]="S0",-2,0)+INDEX(BalePrices[High],MATCH(BaleMover[[#This Row],[Bale_ID]],BalePrices[Bale_ID],0))),0))</f>
        <v>0</v>
      </c>
    </row>
    <row r="513" spans="2:25" x14ac:dyDescent="0.2">
      <c r="B513" s="545" t="s">
        <v>876</v>
      </c>
      <c r="C513" s="499" t="s">
        <v>754</v>
      </c>
      <c r="D513" s="499"/>
      <c r="E513" s="499"/>
      <c r="F513" s="499" t="s">
        <v>1999</v>
      </c>
      <c r="G513" s="499" t="s">
        <v>2118</v>
      </c>
      <c r="H513" s="499" t="s">
        <v>1679</v>
      </c>
      <c r="I513" s="499" t="s">
        <v>982</v>
      </c>
      <c r="J513" s="499" t="s">
        <v>983</v>
      </c>
      <c r="K513" s="499" t="s">
        <v>2048</v>
      </c>
      <c r="L513" s="499">
        <v>3</v>
      </c>
      <c r="M513" s="499" t="s">
        <v>2117</v>
      </c>
      <c r="N513" s="499" t="s">
        <v>2114</v>
      </c>
      <c r="O513" s="525">
        <v>344.71253017972879</v>
      </c>
      <c r="P513" s="499">
        <v>80</v>
      </c>
      <c r="Q513" s="499"/>
      <c r="R513" s="499"/>
      <c r="S513" s="525"/>
      <c r="T513" s="525">
        <v>0</v>
      </c>
      <c r="U513" s="525">
        <v>1</v>
      </c>
      <c r="V513" s="525">
        <v>27577.002414378301</v>
      </c>
      <c r="W513" s="589">
        <f>IF(AND(BaleMover[[#This Row],[Scenario_ID]]="S3",BaleMover[[#This Row],[MRF_ID]]="05"),0,IFERROR(BaleMover[[#This Row],[Total_Baled_tons]]*(IF(BaleMover[[#This Row],[Scenario_ID]]="S0",-2,0)+INDEX(BalePrices[Low],MATCH(BaleMover[[#This Row],[Bale_ID]],BalePrices[Bale_ID],0))),0))</f>
        <v>64805.955673789009</v>
      </c>
      <c r="X513" s="397">
        <f>IF(AND(BaleMover[[#This Row],[Scenario_ID]]="S3",BaleMover[[#This Row],[MRF_ID]]="05"),0,IFERROR(BaleMover[[#This Row],[Total_Baled_tons]]*(IF(BaleMover[[#This Row],[Scenario_ID]]="S0",-2,0)+INDEX(BalePrices[Mid-Point],MATCH(BaleMover[[#This Row],[Bale_ID]],BalePrices[Bale_ID],0))),0))</f>
        <v>83765.144833674101</v>
      </c>
      <c r="Y513" s="397">
        <f>IF(AND(BaleMover[[#This Row],[Scenario_ID]]="S3",BaleMover[[#This Row],[MRF_ID]]="05"),0,IFERROR(BaleMover[[#This Row],[Total_Baled_tons]]*(IF(BaleMover[[#This Row],[Scenario_ID]]="S0",-2,0)+INDEX(BalePrices[High],MATCH(BaleMover[[#This Row],[Bale_ID]],BalePrices[Bale_ID],0))),0))</f>
        <v>102724.33399355918</v>
      </c>
    </row>
    <row r="514" spans="2:25" x14ac:dyDescent="0.2">
      <c r="B514" s="545" t="s">
        <v>875</v>
      </c>
      <c r="C514" s="499" t="s">
        <v>754</v>
      </c>
      <c r="D514" s="499"/>
      <c r="E514" s="499"/>
      <c r="F514" s="499" t="s">
        <v>1999</v>
      </c>
      <c r="G514" s="499" t="s">
        <v>2119</v>
      </c>
      <c r="H514" s="499" t="s">
        <v>1680</v>
      </c>
      <c r="I514" s="499" t="s">
        <v>982</v>
      </c>
      <c r="J514" s="499" t="s">
        <v>983</v>
      </c>
      <c r="K514" s="499" t="s">
        <v>2048</v>
      </c>
      <c r="L514" s="499">
        <v>3</v>
      </c>
      <c r="M514" s="499" t="s">
        <v>2117</v>
      </c>
      <c r="N514" s="499" t="s">
        <v>2114</v>
      </c>
      <c r="O514" s="525">
        <v>344.71253017972879</v>
      </c>
      <c r="P514" s="499">
        <v>80</v>
      </c>
      <c r="Q514" s="499"/>
      <c r="R514" s="499"/>
      <c r="S514" s="525"/>
      <c r="T514" s="525">
        <v>0</v>
      </c>
      <c r="U514" s="525">
        <v>1</v>
      </c>
      <c r="V514" s="525">
        <v>27577.002414378301</v>
      </c>
      <c r="W514" s="589">
        <f>IF(AND(BaleMover[[#This Row],[Scenario_ID]]="S3",BaleMover[[#This Row],[MRF_ID]]="05"),0,IFERROR(BaleMover[[#This Row],[Total_Baled_tons]]*(IF(BaleMover[[#This Row],[Scenario_ID]]="S0",-2,0)+INDEX(BalePrices[Low],MATCH(BaleMover[[#This Row],[Bale_ID]],BalePrices[Bale_ID],0))),0))</f>
        <v>65495.380734148472</v>
      </c>
      <c r="X514" s="397">
        <f>IF(AND(BaleMover[[#This Row],[Scenario_ID]]="S3",BaleMover[[#This Row],[MRF_ID]]="05"),0,IFERROR(BaleMover[[#This Row],[Total_Baled_tons]]*(IF(BaleMover[[#This Row],[Scenario_ID]]="S0",-2,0)+INDEX(BalePrices[Mid-Point],MATCH(BaleMover[[#This Row],[Bale_ID]],BalePrices[Bale_ID],0))),0))</f>
        <v>84454.569894033557</v>
      </c>
      <c r="Y514" s="397">
        <f>IF(AND(BaleMover[[#This Row],[Scenario_ID]]="S3",BaleMover[[#This Row],[MRF_ID]]="05"),0,IFERROR(BaleMover[[#This Row],[Total_Baled_tons]]*(IF(BaleMover[[#This Row],[Scenario_ID]]="S0",-2,0)+INDEX(BalePrices[High],MATCH(BaleMover[[#This Row],[Bale_ID]],BalePrices[Bale_ID],0))),0))</f>
        <v>103413.75905391863</v>
      </c>
    </row>
    <row r="515" spans="2:25" x14ac:dyDescent="0.2">
      <c r="B515" s="545" t="s">
        <v>874</v>
      </c>
      <c r="C515" s="499" t="s">
        <v>754</v>
      </c>
      <c r="D515" s="499"/>
      <c r="E515" s="499"/>
      <c r="F515" s="499" t="s">
        <v>1999</v>
      </c>
      <c r="G515" s="499" t="s">
        <v>2120</v>
      </c>
      <c r="H515" s="499" t="s">
        <v>1681</v>
      </c>
      <c r="I515" s="499" t="s">
        <v>982</v>
      </c>
      <c r="J515" s="499" t="s">
        <v>983</v>
      </c>
      <c r="K515" s="499" t="s">
        <v>2048</v>
      </c>
      <c r="L515" s="499">
        <v>3</v>
      </c>
      <c r="M515" s="499" t="s">
        <v>2117</v>
      </c>
      <c r="N515" s="499" t="s">
        <v>2114</v>
      </c>
      <c r="O515" s="525">
        <v>344.71253017972879</v>
      </c>
      <c r="P515" s="499">
        <v>80</v>
      </c>
      <c r="Q515" s="499"/>
      <c r="R515" s="499"/>
      <c r="S515" s="525"/>
      <c r="T515" s="525">
        <v>0</v>
      </c>
      <c r="U515" s="525">
        <v>1</v>
      </c>
      <c r="V515" s="525">
        <v>27577.002414378301</v>
      </c>
      <c r="W515" s="589">
        <f>IF(AND(BaleMover[[#This Row],[Scenario_ID]]="S3",BaleMover[[#This Row],[MRF_ID]]="05"),0,IFERROR(BaleMover[[#This Row],[Total_Baled_tons]]*(IF(BaleMover[[#This Row],[Scenario_ID]]="S0",-2,0)+INDEX(BalePrices[Low],MATCH(BaleMover[[#This Row],[Bale_ID]],BalePrices[Bale_ID],0))),0))</f>
        <v>65495.380734148472</v>
      </c>
      <c r="X515" s="397">
        <f>IF(AND(BaleMover[[#This Row],[Scenario_ID]]="S3",BaleMover[[#This Row],[MRF_ID]]="05"),0,IFERROR(BaleMover[[#This Row],[Total_Baled_tons]]*(IF(BaleMover[[#This Row],[Scenario_ID]]="S0",-2,0)+INDEX(BalePrices[Mid-Point],MATCH(BaleMover[[#This Row],[Bale_ID]],BalePrices[Bale_ID],0))),0))</f>
        <v>84454.569894033557</v>
      </c>
      <c r="Y515" s="397">
        <f>IF(AND(BaleMover[[#This Row],[Scenario_ID]]="S3",BaleMover[[#This Row],[MRF_ID]]="05"),0,IFERROR(BaleMover[[#This Row],[Total_Baled_tons]]*(IF(BaleMover[[#This Row],[Scenario_ID]]="S0",-2,0)+INDEX(BalePrices[High],MATCH(BaleMover[[#This Row],[Bale_ID]],BalePrices[Bale_ID],0))),0))</f>
        <v>103413.75905391863</v>
      </c>
    </row>
    <row r="516" spans="2:25" x14ac:dyDescent="0.2">
      <c r="B516" s="545" t="s">
        <v>873</v>
      </c>
      <c r="C516" s="499" t="s">
        <v>754</v>
      </c>
      <c r="D516" s="499"/>
      <c r="E516" s="499"/>
      <c r="F516" s="499" t="s">
        <v>1999</v>
      </c>
      <c r="G516" s="499" t="s">
        <v>2121</v>
      </c>
      <c r="H516" s="499" t="s">
        <v>1682</v>
      </c>
      <c r="I516" s="499" t="s">
        <v>982</v>
      </c>
      <c r="J516" s="499" t="s">
        <v>983</v>
      </c>
      <c r="K516" s="499" t="s">
        <v>2048</v>
      </c>
      <c r="L516" s="499">
        <v>3</v>
      </c>
      <c r="M516" s="499" t="s">
        <v>2117</v>
      </c>
      <c r="N516" s="499" t="s">
        <v>2114</v>
      </c>
      <c r="O516" s="525">
        <v>344.71253017972879</v>
      </c>
      <c r="P516" s="499">
        <v>80</v>
      </c>
      <c r="Q516" s="499"/>
      <c r="R516" s="499"/>
      <c r="S516" s="525"/>
      <c r="T516" s="525">
        <v>0</v>
      </c>
      <c r="U516" s="525">
        <v>1</v>
      </c>
      <c r="V516" s="525">
        <v>27577.002414378301</v>
      </c>
      <c r="W516" s="589">
        <f>IF(AND(BaleMover[[#This Row],[Scenario_ID]]="S3",BaleMover[[#This Row],[MRF_ID]]="05"),0,IFERROR(BaleMover[[#This Row],[Total_Baled_tons]]*(IF(BaleMover[[#This Row],[Scenario_ID]]="S0",-2,0)+INDEX(BalePrices[Low],MATCH(BaleMover[[#This Row],[Bale_ID]],BalePrices[Bale_ID],0))),0))</f>
        <v>65495.380734148472</v>
      </c>
      <c r="X516" s="397">
        <f>IF(AND(BaleMover[[#This Row],[Scenario_ID]]="S3",BaleMover[[#This Row],[MRF_ID]]="05"),0,IFERROR(BaleMover[[#This Row],[Total_Baled_tons]]*(IF(BaleMover[[#This Row],[Scenario_ID]]="S0",-2,0)+INDEX(BalePrices[Mid-Point],MATCH(BaleMover[[#This Row],[Bale_ID]],BalePrices[Bale_ID],0))),0))</f>
        <v>84454.569894033557</v>
      </c>
      <c r="Y516" s="397">
        <f>IF(AND(BaleMover[[#This Row],[Scenario_ID]]="S3",BaleMover[[#This Row],[MRF_ID]]="05"),0,IFERROR(BaleMover[[#This Row],[Total_Baled_tons]]*(IF(BaleMover[[#This Row],[Scenario_ID]]="S0",-2,0)+INDEX(BalePrices[High],MATCH(BaleMover[[#This Row],[Bale_ID]],BalePrices[Bale_ID],0))),0))</f>
        <v>103413.75905391863</v>
      </c>
    </row>
    <row r="517" spans="2:25" x14ac:dyDescent="0.2">
      <c r="B517" s="545" t="s">
        <v>870</v>
      </c>
      <c r="C517" s="499" t="s">
        <v>754</v>
      </c>
      <c r="D517" s="499"/>
      <c r="E517" s="499"/>
      <c r="F517" s="499" t="s">
        <v>1999</v>
      </c>
      <c r="G517" s="499" t="s">
        <v>2122</v>
      </c>
      <c r="H517" s="499" t="s">
        <v>1683</v>
      </c>
      <c r="I517" s="499" t="s">
        <v>982</v>
      </c>
      <c r="J517" s="499" t="s">
        <v>983</v>
      </c>
      <c r="K517" s="499" t="s">
        <v>2048</v>
      </c>
      <c r="L517" s="499">
        <v>3</v>
      </c>
      <c r="M517" s="499" t="s">
        <v>2117</v>
      </c>
      <c r="N517" s="499" t="s">
        <v>2114</v>
      </c>
      <c r="O517" s="525">
        <v>344.71253017972879</v>
      </c>
      <c r="P517" s="499">
        <v>80</v>
      </c>
      <c r="Q517" s="499"/>
      <c r="R517" s="499"/>
      <c r="S517" s="525"/>
      <c r="T517" s="525">
        <v>0</v>
      </c>
      <c r="U517" s="525">
        <v>1</v>
      </c>
      <c r="V517" s="525">
        <v>27577.002414378301</v>
      </c>
      <c r="W517" s="589">
        <f>IF(AND(BaleMover[[#This Row],[Scenario_ID]]="S3",BaleMover[[#This Row],[MRF_ID]]="05"),0,IFERROR(BaleMover[[#This Row],[Total_Baled_tons]]*(IF(BaleMover[[#This Row],[Scenario_ID]]="S0",-2,0)+INDEX(BalePrices[Low],MATCH(BaleMover[[#This Row],[Bale_ID]],BalePrices[Bale_ID],0))),0))</f>
        <v>65495.380734148472</v>
      </c>
      <c r="X517" s="397">
        <f>IF(AND(BaleMover[[#This Row],[Scenario_ID]]="S3",BaleMover[[#This Row],[MRF_ID]]="05"),0,IFERROR(BaleMover[[#This Row],[Total_Baled_tons]]*(IF(BaleMover[[#This Row],[Scenario_ID]]="S0",-2,0)+INDEX(BalePrices[Mid-Point],MATCH(BaleMover[[#This Row],[Bale_ID]],BalePrices[Bale_ID],0))),0))</f>
        <v>84454.569894033557</v>
      </c>
      <c r="Y517" s="397">
        <f>IF(AND(BaleMover[[#This Row],[Scenario_ID]]="S3",BaleMover[[#This Row],[MRF_ID]]="05"),0,IFERROR(BaleMover[[#This Row],[Total_Baled_tons]]*(IF(BaleMover[[#This Row],[Scenario_ID]]="S0",-2,0)+INDEX(BalePrices[High],MATCH(BaleMover[[#This Row],[Bale_ID]],BalePrices[Bale_ID],0))),0))</f>
        <v>103413.75905391863</v>
      </c>
    </row>
    <row r="518" spans="2:25" x14ac:dyDescent="0.2">
      <c r="B518" s="545" t="s">
        <v>876</v>
      </c>
      <c r="C518" s="499" t="s">
        <v>754</v>
      </c>
      <c r="D518" s="499"/>
      <c r="E518" s="499"/>
      <c r="F518" s="499" t="s">
        <v>1999</v>
      </c>
      <c r="G518" s="499" t="s">
        <v>2118</v>
      </c>
      <c r="H518" s="499" t="s">
        <v>1684</v>
      </c>
      <c r="I518" s="499" t="s">
        <v>984</v>
      </c>
      <c r="J518" s="499" t="s">
        <v>985</v>
      </c>
      <c r="K518" s="499" t="s">
        <v>2048</v>
      </c>
      <c r="L518" s="499">
        <v>11</v>
      </c>
      <c r="M518" s="499" t="s">
        <v>2063</v>
      </c>
      <c r="N518" s="499" t="s">
        <v>2064</v>
      </c>
      <c r="O518" s="525">
        <v>24.295138204122495</v>
      </c>
      <c r="P518" s="499">
        <v>915</v>
      </c>
      <c r="Q518" s="499"/>
      <c r="R518" s="499"/>
      <c r="S518" s="525"/>
      <c r="T518" s="525">
        <v>0</v>
      </c>
      <c r="U518" s="525">
        <v>1</v>
      </c>
      <c r="V518" s="525">
        <v>22230.051456772082</v>
      </c>
      <c r="W518" s="589">
        <f>IF(AND(BaleMover[[#This Row],[Scenario_ID]]="S3",BaleMover[[#This Row],[MRF_ID]]="05"),0,IFERROR(BaleMover[[#This Row],[Total_Baled_tons]]*(IF(BaleMover[[#This Row],[Scenario_ID]]="S0",-2,0)+INDEX(BalePrices[Low],MATCH(BaleMover[[#This Row],[Bale_ID]],BalePrices[Bale_ID],0))),0))</f>
        <v>2137.9721619627794</v>
      </c>
      <c r="X518" s="397">
        <f>IF(AND(BaleMover[[#This Row],[Scenario_ID]]="S3",BaleMover[[#This Row],[MRF_ID]]="05"),0,IFERROR(BaleMover[[#This Row],[Total_Baled_tons]]*(IF(BaleMover[[#This Row],[Scenario_ID]]="S0",-2,0)+INDEX(BalePrices[Mid-Point],MATCH(BaleMover[[#This Row],[Bale_ID]],BalePrices[Bale_ID],0))),0))</f>
        <v>3231.2533811482917</v>
      </c>
      <c r="Y518" s="397">
        <f>IF(AND(BaleMover[[#This Row],[Scenario_ID]]="S3",BaleMover[[#This Row],[MRF_ID]]="05"),0,IFERROR(BaleMover[[#This Row],[Total_Baled_tons]]*(IF(BaleMover[[#This Row],[Scenario_ID]]="S0",-2,0)+INDEX(BalePrices[High],MATCH(BaleMover[[#This Row],[Bale_ID]],BalePrices[Bale_ID],0))),0))</f>
        <v>4324.5346003338036</v>
      </c>
    </row>
    <row r="519" spans="2:25" x14ac:dyDescent="0.2">
      <c r="B519" s="545" t="s">
        <v>875</v>
      </c>
      <c r="C519" s="499" t="s">
        <v>754</v>
      </c>
      <c r="D519" s="499"/>
      <c r="E519" s="499"/>
      <c r="F519" s="499" t="s">
        <v>1999</v>
      </c>
      <c r="G519" s="499" t="s">
        <v>2119</v>
      </c>
      <c r="H519" s="499" t="s">
        <v>1685</v>
      </c>
      <c r="I519" s="499" t="s">
        <v>984</v>
      </c>
      <c r="J519" s="499" t="s">
        <v>985</v>
      </c>
      <c r="K519" s="499" t="s">
        <v>2048</v>
      </c>
      <c r="L519" s="499">
        <v>11</v>
      </c>
      <c r="M519" s="499" t="s">
        <v>2063</v>
      </c>
      <c r="N519" s="499" t="s">
        <v>2064</v>
      </c>
      <c r="O519" s="525">
        <v>24.295138204122495</v>
      </c>
      <c r="P519" s="499">
        <v>915</v>
      </c>
      <c r="Q519" s="499"/>
      <c r="R519" s="499"/>
      <c r="S519" s="525"/>
      <c r="T519" s="525">
        <v>0</v>
      </c>
      <c r="U519" s="525">
        <v>1</v>
      </c>
      <c r="V519" s="525">
        <v>22230.051456772082</v>
      </c>
      <c r="W519" s="589">
        <f>IF(AND(BaleMover[[#This Row],[Scenario_ID]]="S3",BaleMover[[#This Row],[MRF_ID]]="05"),0,IFERROR(BaleMover[[#This Row],[Total_Baled_tons]]*(IF(BaleMover[[#This Row],[Scenario_ID]]="S0",-2,0)+INDEX(BalePrices[Low],MATCH(BaleMover[[#This Row],[Bale_ID]],BalePrices[Bale_ID],0))),0))</f>
        <v>2186.5624383710247</v>
      </c>
      <c r="X519" s="397">
        <f>IF(AND(BaleMover[[#This Row],[Scenario_ID]]="S3",BaleMover[[#This Row],[MRF_ID]]="05"),0,IFERROR(BaleMover[[#This Row],[Total_Baled_tons]]*(IF(BaleMover[[#This Row],[Scenario_ID]]="S0",-2,0)+INDEX(BalePrices[Mid-Point],MATCH(BaleMover[[#This Row],[Bale_ID]],BalePrices[Bale_ID],0))),0))</f>
        <v>3279.843657556537</v>
      </c>
      <c r="Y519" s="397">
        <f>IF(AND(BaleMover[[#This Row],[Scenario_ID]]="S3",BaleMover[[#This Row],[MRF_ID]]="05"),0,IFERROR(BaleMover[[#This Row],[Total_Baled_tons]]*(IF(BaleMover[[#This Row],[Scenario_ID]]="S0",-2,0)+INDEX(BalePrices[High],MATCH(BaleMover[[#This Row],[Bale_ID]],BalePrices[Bale_ID],0))),0))</f>
        <v>4373.1248767420493</v>
      </c>
    </row>
    <row r="520" spans="2:25" x14ac:dyDescent="0.2">
      <c r="B520" s="545" t="s">
        <v>874</v>
      </c>
      <c r="C520" s="499" t="s">
        <v>754</v>
      </c>
      <c r="D520" s="499"/>
      <c r="E520" s="499"/>
      <c r="F520" s="499" t="s">
        <v>1999</v>
      </c>
      <c r="G520" s="499" t="s">
        <v>2120</v>
      </c>
      <c r="H520" s="499" t="s">
        <v>1686</v>
      </c>
      <c r="I520" s="499" t="s">
        <v>984</v>
      </c>
      <c r="J520" s="499" t="s">
        <v>985</v>
      </c>
      <c r="K520" s="499" t="s">
        <v>2048</v>
      </c>
      <c r="L520" s="499">
        <v>11</v>
      </c>
      <c r="M520" s="499" t="s">
        <v>2063</v>
      </c>
      <c r="N520" s="499" t="s">
        <v>2064</v>
      </c>
      <c r="O520" s="525">
        <v>27.252940384489456</v>
      </c>
      <c r="P520" s="499">
        <v>915</v>
      </c>
      <c r="Q520" s="499"/>
      <c r="R520" s="499"/>
      <c r="S520" s="525"/>
      <c r="T520" s="525">
        <v>0</v>
      </c>
      <c r="U520" s="525">
        <v>1</v>
      </c>
      <c r="V520" s="525">
        <v>24936.440451807852</v>
      </c>
      <c r="W520" s="589">
        <f>IF(AND(BaleMover[[#This Row],[Scenario_ID]]="S3",BaleMover[[#This Row],[MRF_ID]]="05"),0,IFERROR(BaleMover[[#This Row],[Total_Baled_tons]]*(IF(BaleMover[[#This Row],[Scenario_ID]]="S0",-2,0)+INDEX(BalePrices[Low],MATCH(BaleMover[[#This Row],[Bale_ID]],BalePrices[Bale_ID],0))),0))</f>
        <v>2452.764634604051</v>
      </c>
      <c r="X520" s="397">
        <f>IF(AND(BaleMover[[#This Row],[Scenario_ID]]="S3",BaleMover[[#This Row],[MRF_ID]]="05"),0,IFERROR(BaleMover[[#This Row],[Total_Baled_tons]]*(IF(BaleMover[[#This Row],[Scenario_ID]]="S0",-2,0)+INDEX(BalePrices[Mid-Point],MATCH(BaleMover[[#This Row],[Bale_ID]],BalePrices[Bale_ID],0))),0))</f>
        <v>3679.1469519060765</v>
      </c>
      <c r="Y520" s="397">
        <f>IF(AND(BaleMover[[#This Row],[Scenario_ID]]="S3",BaleMover[[#This Row],[MRF_ID]]="05"),0,IFERROR(BaleMover[[#This Row],[Total_Baled_tons]]*(IF(BaleMover[[#This Row],[Scenario_ID]]="S0",-2,0)+INDEX(BalePrices[High],MATCH(BaleMover[[#This Row],[Bale_ID]],BalePrices[Bale_ID],0))),0))</f>
        <v>4905.5292692081021</v>
      </c>
    </row>
    <row r="521" spans="2:25" x14ac:dyDescent="0.2">
      <c r="B521" s="545" t="s">
        <v>873</v>
      </c>
      <c r="C521" s="499" t="s">
        <v>754</v>
      </c>
      <c r="D521" s="499"/>
      <c r="E521" s="499"/>
      <c r="F521" s="499" t="s">
        <v>1999</v>
      </c>
      <c r="G521" s="499" t="s">
        <v>2121</v>
      </c>
      <c r="H521" s="499" t="s">
        <v>1687</v>
      </c>
      <c r="I521" s="499" t="s">
        <v>984</v>
      </c>
      <c r="J521" s="499" t="s">
        <v>985</v>
      </c>
      <c r="K521" s="499" t="s">
        <v>2048</v>
      </c>
      <c r="L521" s="499">
        <v>11</v>
      </c>
      <c r="M521" s="499" t="s">
        <v>2063</v>
      </c>
      <c r="N521" s="499" t="s">
        <v>2064</v>
      </c>
      <c r="O521" s="525">
        <v>27.252940384489456</v>
      </c>
      <c r="P521" s="499">
        <v>915</v>
      </c>
      <c r="Q521" s="499"/>
      <c r="R521" s="499"/>
      <c r="S521" s="525"/>
      <c r="T521" s="525">
        <v>0</v>
      </c>
      <c r="U521" s="525">
        <v>1</v>
      </c>
      <c r="V521" s="525">
        <v>24936.440451807852</v>
      </c>
      <c r="W521" s="589">
        <f>IF(AND(BaleMover[[#This Row],[Scenario_ID]]="S3",BaleMover[[#This Row],[MRF_ID]]="05"),0,IFERROR(BaleMover[[#This Row],[Total_Baled_tons]]*(IF(BaleMover[[#This Row],[Scenario_ID]]="S0",-2,0)+INDEX(BalePrices[Low],MATCH(BaleMover[[#This Row],[Bale_ID]],BalePrices[Bale_ID],0))),0))</f>
        <v>2452.764634604051</v>
      </c>
      <c r="X521" s="397">
        <f>IF(AND(BaleMover[[#This Row],[Scenario_ID]]="S3",BaleMover[[#This Row],[MRF_ID]]="05"),0,IFERROR(BaleMover[[#This Row],[Total_Baled_tons]]*(IF(BaleMover[[#This Row],[Scenario_ID]]="S0",-2,0)+INDEX(BalePrices[Mid-Point],MATCH(BaleMover[[#This Row],[Bale_ID]],BalePrices[Bale_ID],0))),0))</f>
        <v>3679.1469519060765</v>
      </c>
      <c r="Y521" s="397">
        <f>IF(AND(BaleMover[[#This Row],[Scenario_ID]]="S3",BaleMover[[#This Row],[MRF_ID]]="05"),0,IFERROR(BaleMover[[#This Row],[Total_Baled_tons]]*(IF(BaleMover[[#This Row],[Scenario_ID]]="S0",-2,0)+INDEX(BalePrices[High],MATCH(BaleMover[[#This Row],[Bale_ID]],BalePrices[Bale_ID],0))),0))</f>
        <v>4905.5292692081021</v>
      </c>
    </row>
    <row r="522" spans="2:25" x14ac:dyDescent="0.2">
      <c r="B522" s="545" t="s">
        <v>870</v>
      </c>
      <c r="C522" s="499" t="s">
        <v>754</v>
      </c>
      <c r="D522" s="499"/>
      <c r="E522" s="499"/>
      <c r="F522" s="499" t="s">
        <v>1999</v>
      </c>
      <c r="G522" s="499" t="s">
        <v>2122</v>
      </c>
      <c r="H522" s="499" t="s">
        <v>1688</v>
      </c>
      <c r="I522" s="499" t="s">
        <v>984</v>
      </c>
      <c r="J522" s="499" t="s">
        <v>985</v>
      </c>
      <c r="K522" s="499" t="s">
        <v>2048</v>
      </c>
      <c r="L522" s="499">
        <v>11</v>
      </c>
      <c r="M522" s="499" t="s">
        <v>2063</v>
      </c>
      <c r="N522" s="499" t="s">
        <v>2064</v>
      </c>
      <c r="O522" s="525">
        <v>27.252940384489456</v>
      </c>
      <c r="P522" s="499">
        <v>915</v>
      </c>
      <c r="Q522" s="499"/>
      <c r="R522" s="499"/>
      <c r="S522" s="525"/>
      <c r="T522" s="525">
        <v>0</v>
      </c>
      <c r="U522" s="525">
        <v>1</v>
      </c>
      <c r="V522" s="525">
        <v>24936.440451807852</v>
      </c>
      <c r="W522" s="589">
        <f>IF(AND(BaleMover[[#This Row],[Scenario_ID]]="S3",BaleMover[[#This Row],[MRF_ID]]="05"),0,IFERROR(BaleMover[[#This Row],[Total_Baled_tons]]*(IF(BaleMover[[#This Row],[Scenario_ID]]="S0",-2,0)+INDEX(BalePrices[Low],MATCH(BaleMover[[#This Row],[Bale_ID]],BalePrices[Bale_ID],0))),0))</f>
        <v>2452.764634604051</v>
      </c>
      <c r="X522" s="397">
        <f>IF(AND(BaleMover[[#This Row],[Scenario_ID]]="S3",BaleMover[[#This Row],[MRF_ID]]="05"),0,IFERROR(BaleMover[[#This Row],[Total_Baled_tons]]*(IF(BaleMover[[#This Row],[Scenario_ID]]="S0",-2,0)+INDEX(BalePrices[Mid-Point],MATCH(BaleMover[[#This Row],[Bale_ID]],BalePrices[Bale_ID],0))),0))</f>
        <v>3679.1469519060765</v>
      </c>
      <c r="Y522" s="397">
        <f>IF(AND(BaleMover[[#This Row],[Scenario_ID]]="S3",BaleMover[[#This Row],[MRF_ID]]="05"),0,IFERROR(BaleMover[[#This Row],[Total_Baled_tons]]*(IF(BaleMover[[#This Row],[Scenario_ID]]="S0",-2,0)+INDEX(BalePrices[High],MATCH(BaleMover[[#This Row],[Bale_ID]],BalePrices[Bale_ID],0))),0))</f>
        <v>4905.5292692081021</v>
      </c>
    </row>
    <row r="523" spans="2:25" x14ac:dyDescent="0.2">
      <c r="B523" s="545" t="s">
        <v>876</v>
      </c>
      <c r="C523" s="499" t="s">
        <v>754</v>
      </c>
      <c r="D523" s="499"/>
      <c r="E523" s="499"/>
      <c r="F523" s="499" t="s">
        <v>1999</v>
      </c>
      <c r="G523" s="499" t="s">
        <v>2118</v>
      </c>
      <c r="H523" s="499" t="s">
        <v>1689</v>
      </c>
      <c r="I523" s="499" t="s">
        <v>986</v>
      </c>
      <c r="J523" s="499" t="s">
        <v>987</v>
      </c>
      <c r="K523" s="499" t="s">
        <v>2048</v>
      </c>
      <c r="L523" s="499">
        <v>11</v>
      </c>
      <c r="M523" s="499" t="s">
        <v>2063</v>
      </c>
      <c r="N523" s="499" t="s">
        <v>2064</v>
      </c>
      <c r="O523" s="525">
        <v>100.78724107062199</v>
      </c>
      <c r="P523" s="499">
        <v>915</v>
      </c>
      <c r="Q523" s="499"/>
      <c r="R523" s="499"/>
      <c r="S523" s="525"/>
      <c r="T523" s="525">
        <v>0</v>
      </c>
      <c r="U523" s="525">
        <v>1</v>
      </c>
      <c r="V523" s="525">
        <v>92220.325579619122</v>
      </c>
      <c r="W523" s="589">
        <f>IF(AND(BaleMover[[#This Row],[Scenario_ID]]="S3",BaleMover[[#This Row],[MRF_ID]]="05"),0,IFERROR(BaleMover[[#This Row],[Total_Baled_tons]]*(IF(BaleMover[[#This Row],[Scenario_ID]]="S0",-2,0)+INDEX(BalePrices[Low],MATCH(BaleMover[[#This Row],[Bale_ID]],BalePrices[Bale_ID],0))),0))</f>
        <v>40113.32194610755</v>
      </c>
      <c r="X523" s="397">
        <f>IF(AND(BaleMover[[#This Row],[Scenario_ID]]="S3",BaleMover[[#This Row],[MRF_ID]]="05"),0,IFERROR(BaleMover[[#This Row],[Total_Baled_tons]]*(IF(BaleMover[[#This Row],[Scenario_ID]]="S0",-2,0)+INDEX(BalePrices[Mid-Point],MATCH(BaleMover[[#This Row],[Bale_ID]],BalePrices[Bale_ID],0))),0))</f>
        <v>72365.239088706585</v>
      </c>
      <c r="Y523" s="397">
        <f>IF(AND(BaleMover[[#This Row],[Scenario_ID]]="S3",BaleMover[[#This Row],[MRF_ID]]="05"),0,IFERROR(BaleMover[[#This Row],[Total_Baled_tons]]*(IF(BaleMover[[#This Row],[Scenario_ID]]="S0",-2,0)+INDEX(BalePrices[High],MATCH(BaleMover[[#This Row],[Bale_ID]],BalePrices[Bale_ID],0))),0))</f>
        <v>104617.15623130562</v>
      </c>
    </row>
    <row r="524" spans="2:25" x14ac:dyDescent="0.2">
      <c r="B524" s="545" t="s">
        <v>875</v>
      </c>
      <c r="C524" s="499" t="s">
        <v>754</v>
      </c>
      <c r="D524" s="499"/>
      <c r="E524" s="499"/>
      <c r="F524" s="499" t="s">
        <v>1999</v>
      </c>
      <c r="G524" s="499" t="s">
        <v>2119</v>
      </c>
      <c r="H524" s="499" t="s">
        <v>1690</v>
      </c>
      <c r="I524" s="499" t="s">
        <v>986</v>
      </c>
      <c r="J524" s="499" t="s">
        <v>987</v>
      </c>
      <c r="K524" s="499" t="s">
        <v>2048</v>
      </c>
      <c r="L524" s="499">
        <v>11</v>
      </c>
      <c r="M524" s="499" t="s">
        <v>2063</v>
      </c>
      <c r="N524" s="499" t="s">
        <v>2064</v>
      </c>
      <c r="O524" s="525">
        <v>100.78724107062199</v>
      </c>
      <c r="P524" s="499">
        <v>915</v>
      </c>
      <c r="Q524" s="499"/>
      <c r="R524" s="499"/>
      <c r="S524" s="525"/>
      <c r="T524" s="525">
        <v>0</v>
      </c>
      <c r="U524" s="525">
        <v>1</v>
      </c>
      <c r="V524" s="525">
        <v>92220.325579619122</v>
      </c>
      <c r="W524" s="589">
        <f>IF(AND(BaleMover[[#This Row],[Scenario_ID]]="S3",BaleMover[[#This Row],[MRF_ID]]="05"),0,IFERROR(BaleMover[[#This Row],[Total_Baled_tons]]*(IF(BaleMover[[#This Row],[Scenario_ID]]="S0",-2,0)+INDEX(BalePrices[Low],MATCH(BaleMover[[#This Row],[Bale_ID]],BalePrices[Bale_ID],0))),0))</f>
        <v>40314.896428248794</v>
      </c>
      <c r="X524" s="397">
        <f>IF(AND(BaleMover[[#This Row],[Scenario_ID]]="S3",BaleMover[[#This Row],[MRF_ID]]="05"),0,IFERROR(BaleMover[[#This Row],[Total_Baled_tons]]*(IF(BaleMover[[#This Row],[Scenario_ID]]="S0",-2,0)+INDEX(BalePrices[Mid-Point],MATCH(BaleMover[[#This Row],[Bale_ID]],BalePrices[Bale_ID],0))),0))</f>
        <v>72566.813570847837</v>
      </c>
      <c r="Y524" s="397">
        <f>IF(AND(BaleMover[[#This Row],[Scenario_ID]]="S3",BaleMover[[#This Row],[MRF_ID]]="05"),0,IFERROR(BaleMover[[#This Row],[Total_Baled_tons]]*(IF(BaleMover[[#This Row],[Scenario_ID]]="S0",-2,0)+INDEX(BalePrices[High],MATCH(BaleMover[[#This Row],[Bale_ID]],BalePrices[Bale_ID],0))),0))</f>
        <v>104818.73071344687</v>
      </c>
    </row>
    <row r="525" spans="2:25" x14ac:dyDescent="0.2">
      <c r="B525" s="545" t="s">
        <v>874</v>
      </c>
      <c r="C525" s="499" t="s">
        <v>754</v>
      </c>
      <c r="D525" s="499"/>
      <c r="E525" s="499"/>
      <c r="F525" s="499" t="s">
        <v>1999</v>
      </c>
      <c r="G525" s="499" t="s">
        <v>2120</v>
      </c>
      <c r="H525" s="499" t="s">
        <v>1691</v>
      </c>
      <c r="I525" s="499" t="s">
        <v>986</v>
      </c>
      <c r="J525" s="499" t="s">
        <v>987</v>
      </c>
      <c r="K525" s="499" t="s">
        <v>2048</v>
      </c>
      <c r="L525" s="499">
        <v>11</v>
      </c>
      <c r="M525" s="499" t="s">
        <v>2063</v>
      </c>
      <c r="N525" s="499" t="s">
        <v>2064</v>
      </c>
      <c r="O525" s="525">
        <v>100.78724107062199</v>
      </c>
      <c r="P525" s="499">
        <v>915</v>
      </c>
      <c r="Q525" s="499"/>
      <c r="R525" s="499"/>
      <c r="S525" s="525"/>
      <c r="T525" s="525">
        <v>0</v>
      </c>
      <c r="U525" s="525">
        <v>1</v>
      </c>
      <c r="V525" s="525">
        <v>92220.325579619122</v>
      </c>
      <c r="W525" s="589">
        <f>IF(AND(BaleMover[[#This Row],[Scenario_ID]]="S3",BaleMover[[#This Row],[MRF_ID]]="05"),0,IFERROR(BaleMover[[#This Row],[Total_Baled_tons]]*(IF(BaleMover[[#This Row],[Scenario_ID]]="S0",-2,0)+INDEX(BalePrices[Low],MATCH(BaleMover[[#This Row],[Bale_ID]],BalePrices[Bale_ID],0))),0))</f>
        <v>40314.896428248794</v>
      </c>
      <c r="X525" s="397">
        <f>IF(AND(BaleMover[[#This Row],[Scenario_ID]]="S3",BaleMover[[#This Row],[MRF_ID]]="05"),0,IFERROR(BaleMover[[#This Row],[Total_Baled_tons]]*(IF(BaleMover[[#This Row],[Scenario_ID]]="S0",-2,0)+INDEX(BalePrices[Mid-Point],MATCH(BaleMover[[#This Row],[Bale_ID]],BalePrices[Bale_ID],0))),0))</f>
        <v>72566.813570847837</v>
      </c>
      <c r="Y525" s="397">
        <f>IF(AND(BaleMover[[#This Row],[Scenario_ID]]="S3",BaleMover[[#This Row],[MRF_ID]]="05"),0,IFERROR(BaleMover[[#This Row],[Total_Baled_tons]]*(IF(BaleMover[[#This Row],[Scenario_ID]]="S0",-2,0)+INDEX(BalePrices[High],MATCH(BaleMover[[#This Row],[Bale_ID]],BalePrices[Bale_ID],0))),0))</f>
        <v>104818.73071344687</v>
      </c>
    </row>
    <row r="526" spans="2:25" x14ac:dyDescent="0.2">
      <c r="B526" s="545" t="s">
        <v>873</v>
      </c>
      <c r="C526" s="499" t="s">
        <v>754</v>
      </c>
      <c r="D526" s="499"/>
      <c r="E526" s="499"/>
      <c r="F526" s="499" t="s">
        <v>1999</v>
      </c>
      <c r="G526" s="499" t="s">
        <v>2121</v>
      </c>
      <c r="H526" s="499" t="s">
        <v>1692</v>
      </c>
      <c r="I526" s="499" t="s">
        <v>986</v>
      </c>
      <c r="J526" s="499" t="s">
        <v>987</v>
      </c>
      <c r="K526" s="499" t="s">
        <v>2048</v>
      </c>
      <c r="L526" s="499">
        <v>11</v>
      </c>
      <c r="M526" s="499" t="s">
        <v>2063</v>
      </c>
      <c r="N526" s="499" t="s">
        <v>2064</v>
      </c>
      <c r="O526" s="525">
        <v>100.78724107062199</v>
      </c>
      <c r="P526" s="499">
        <v>915</v>
      </c>
      <c r="Q526" s="499"/>
      <c r="R526" s="499"/>
      <c r="S526" s="525"/>
      <c r="T526" s="525">
        <v>0</v>
      </c>
      <c r="U526" s="525">
        <v>1</v>
      </c>
      <c r="V526" s="525">
        <v>92220.325579619122</v>
      </c>
      <c r="W526" s="589">
        <f>IF(AND(BaleMover[[#This Row],[Scenario_ID]]="S3",BaleMover[[#This Row],[MRF_ID]]="05"),0,IFERROR(BaleMover[[#This Row],[Total_Baled_tons]]*(IF(BaleMover[[#This Row],[Scenario_ID]]="S0",-2,0)+INDEX(BalePrices[Low],MATCH(BaleMover[[#This Row],[Bale_ID]],BalePrices[Bale_ID],0))),0))</f>
        <v>40314.896428248794</v>
      </c>
      <c r="X526" s="397">
        <f>IF(AND(BaleMover[[#This Row],[Scenario_ID]]="S3",BaleMover[[#This Row],[MRF_ID]]="05"),0,IFERROR(BaleMover[[#This Row],[Total_Baled_tons]]*(IF(BaleMover[[#This Row],[Scenario_ID]]="S0",-2,0)+INDEX(BalePrices[Mid-Point],MATCH(BaleMover[[#This Row],[Bale_ID]],BalePrices[Bale_ID],0))),0))</f>
        <v>72566.813570847837</v>
      </c>
      <c r="Y526" s="397">
        <f>IF(AND(BaleMover[[#This Row],[Scenario_ID]]="S3",BaleMover[[#This Row],[MRF_ID]]="05"),0,IFERROR(BaleMover[[#This Row],[Total_Baled_tons]]*(IF(BaleMover[[#This Row],[Scenario_ID]]="S0",-2,0)+INDEX(BalePrices[High],MATCH(BaleMover[[#This Row],[Bale_ID]],BalePrices[Bale_ID],0))),0))</f>
        <v>104818.73071344687</v>
      </c>
    </row>
    <row r="527" spans="2:25" x14ac:dyDescent="0.2">
      <c r="B527" s="545" t="s">
        <v>870</v>
      </c>
      <c r="C527" s="499" t="s">
        <v>754</v>
      </c>
      <c r="D527" s="499"/>
      <c r="E527" s="499"/>
      <c r="F527" s="499" t="s">
        <v>1999</v>
      </c>
      <c r="G527" s="499" t="s">
        <v>2122</v>
      </c>
      <c r="H527" s="499" t="s">
        <v>1693</v>
      </c>
      <c r="I527" s="499" t="s">
        <v>986</v>
      </c>
      <c r="J527" s="499" t="s">
        <v>987</v>
      </c>
      <c r="K527" s="499" t="s">
        <v>2048</v>
      </c>
      <c r="L527" s="499">
        <v>11</v>
      </c>
      <c r="M527" s="499" t="s">
        <v>2063</v>
      </c>
      <c r="N527" s="499" t="s">
        <v>2064</v>
      </c>
      <c r="O527" s="525">
        <v>100.78724107062199</v>
      </c>
      <c r="P527" s="499">
        <v>915</v>
      </c>
      <c r="Q527" s="499"/>
      <c r="R527" s="499"/>
      <c r="S527" s="525"/>
      <c r="T527" s="525">
        <v>0</v>
      </c>
      <c r="U527" s="525">
        <v>1</v>
      </c>
      <c r="V527" s="525">
        <v>92220.325579619122</v>
      </c>
      <c r="W527" s="589">
        <f>IF(AND(BaleMover[[#This Row],[Scenario_ID]]="S3",BaleMover[[#This Row],[MRF_ID]]="05"),0,IFERROR(BaleMover[[#This Row],[Total_Baled_tons]]*(IF(BaleMover[[#This Row],[Scenario_ID]]="S0",-2,0)+INDEX(BalePrices[Low],MATCH(BaleMover[[#This Row],[Bale_ID]],BalePrices[Bale_ID],0))),0))</f>
        <v>40314.896428248794</v>
      </c>
      <c r="X527" s="397">
        <f>IF(AND(BaleMover[[#This Row],[Scenario_ID]]="S3",BaleMover[[#This Row],[MRF_ID]]="05"),0,IFERROR(BaleMover[[#This Row],[Total_Baled_tons]]*(IF(BaleMover[[#This Row],[Scenario_ID]]="S0",-2,0)+INDEX(BalePrices[Mid-Point],MATCH(BaleMover[[#This Row],[Bale_ID]],BalePrices[Bale_ID],0))),0))</f>
        <v>72566.813570847837</v>
      </c>
      <c r="Y527" s="397">
        <f>IF(AND(BaleMover[[#This Row],[Scenario_ID]]="S3",BaleMover[[#This Row],[MRF_ID]]="05"),0,IFERROR(BaleMover[[#This Row],[Total_Baled_tons]]*(IF(BaleMover[[#This Row],[Scenario_ID]]="S0",-2,0)+INDEX(BalePrices[High],MATCH(BaleMover[[#This Row],[Bale_ID]],BalePrices[Bale_ID],0))),0))</f>
        <v>104818.73071344687</v>
      </c>
    </row>
    <row r="528" spans="2:25" x14ac:dyDescent="0.2">
      <c r="B528" s="545" t="s">
        <v>876</v>
      </c>
      <c r="C528" s="499" t="s">
        <v>754</v>
      </c>
      <c r="D528" s="499"/>
      <c r="E528" s="499"/>
      <c r="F528" s="499" t="s">
        <v>1999</v>
      </c>
      <c r="G528" s="499" t="s">
        <v>2118</v>
      </c>
      <c r="H528" s="499" t="s">
        <v>1694</v>
      </c>
      <c r="I528" s="499" t="s">
        <v>988</v>
      </c>
      <c r="J528" s="499" t="s">
        <v>989</v>
      </c>
      <c r="K528" s="499" t="s">
        <v>2048</v>
      </c>
      <c r="L528" s="499">
        <v>11</v>
      </c>
      <c r="M528" s="499" t="s">
        <v>2063</v>
      </c>
      <c r="N528" s="499" t="s">
        <v>2064</v>
      </c>
      <c r="O528" s="525">
        <v>151.18086160593299</v>
      </c>
      <c r="P528" s="499">
        <v>915</v>
      </c>
      <c r="Q528" s="499"/>
      <c r="R528" s="499"/>
      <c r="S528" s="525"/>
      <c r="T528" s="525">
        <v>0</v>
      </c>
      <c r="U528" s="525">
        <v>1</v>
      </c>
      <c r="V528" s="525">
        <v>138330.4883694287</v>
      </c>
      <c r="W528" s="589">
        <f>IF(AND(BaleMover[[#This Row],[Scenario_ID]]="S3",BaleMover[[#This Row],[MRF_ID]]="05"),0,IFERROR(BaleMover[[#This Row],[Total_Baled_tons]]*(IF(BaleMover[[#This Row],[Scenario_ID]]="S0",-2,0)+INDEX(BalePrices[Low],MATCH(BaleMover[[#This Row],[Bale_ID]],BalePrices[Bale_ID],0))),0))</f>
        <v>11792.107205262773</v>
      </c>
      <c r="X528" s="397">
        <f>IF(AND(BaleMover[[#This Row],[Scenario_ID]]="S3",BaleMover[[#This Row],[MRF_ID]]="05"),0,IFERROR(BaleMover[[#This Row],[Total_Baled_tons]]*(IF(BaleMover[[#This Row],[Scenario_ID]]="S0",-2,0)+INDEX(BalePrices[Mid-Point],MATCH(BaleMover[[#This Row],[Bale_ID]],BalePrices[Bale_ID],0))),0))</f>
        <v>32201.523522063726</v>
      </c>
      <c r="Y528" s="397">
        <f>IF(AND(BaleMover[[#This Row],[Scenario_ID]]="S3",BaleMover[[#This Row],[MRF_ID]]="05"),0,IFERROR(BaleMover[[#This Row],[Total_Baled_tons]]*(IF(BaleMover[[#This Row],[Scenario_ID]]="S0",-2,0)+INDEX(BalePrices[High],MATCH(BaleMover[[#This Row],[Bale_ID]],BalePrices[Bale_ID],0))),0))</f>
        <v>52610.93983886468</v>
      </c>
    </row>
    <row r="529" spans="2:25" x14ac:dyDescent="0.2">
      <c r="B529" s="545" t="s">
        <v>875</v>
      </c>
      <c r="C529" s="499" t="s">
        <v>754</v>
      </c>
      <c r="D529" s="499"/>
      <c r="E529" s="499"/>
      <c r="F529" s="499" t="s">
        <v>1999</v>
      </c>
      <c r="G529" s="499" t="s">
        <v>2119</v>
      </c>
      <c r="H529" s="499" t="s">
        <v>1695</v>
      </c>
      <c r="I529" s="499" t="s">
        <v>988</v>
      </c>
      <c r="J529" s="499" t="s">
        <v>989</v>
      </c>
      <c r="K529" s="499" t="s">
        <v>2048</v>
      </c>
      <c r="L529" s="499">
        <v>11</v>
      </c>
      <c r="M529" s="499" t="s">
        <v>2063</v>
      </c>
      <c r="N529" s="499" t="s">
        <v>2064</v>
      </c>
      <c r="O529" s="525">
        <v>151.18086160593299</v>
      </c>
      <c r="P529" s="499">
        <v>915</v>
      </c>
      <c r="Q529" s="499"/>
      <c r="R529" s="499"/>
      <c r="S529" s="525"/>
      <c r="T529" s="525">
        <v>0</v>
      </c>
      <c r="U529" s="525">
        <v>1</v>
      </c>
      <c r="V529" s="525">
        <v>138330.4883694287</v>
      </c>
      <c r="W529" s="589">
        <f>IF(AND(BaleMover[[#This Row],[Scenario_ID]]="S3",BaleMover[[#This Row],[MRF_ID]]="05"),0,IFERROR(BaleMover[[#This Row],[Total_Baled_tons]]*(IF(BaleMover[[#This Row],[Scenario_ID]]="S0",-2,0)+INDEX(BalePrices[Low],MATCH(BaleMover[[#This Row],[Bale_ID]],BalePrices[Bale_ID],0))),0))</f>
        <v>12094.468928474638</v>
      </c>
      <c r="X529" s="397">
        <f>IF(AND(BaleMover[[#This Row],[Scenario_ID]]="S3",BaleMover[[#This Row],[MRF_ID]]="05"),0,IFERROR(BaleMover[[#This Row],[Total_Baled_tons]]*(IF(BaleMover[[#This Row],[Scenario_ID]]="S0",-2,0)+INDEX(BalePrices[Mid-Point],MATCH(BaleMover[[#This Row],[Bale_ID]],BalePrices[Bale_ID],0))),0))</f>
        <v>32503.885245275593</v>
      </c>
      <c r="Y529" s="397">
        <f>IF(AND(BaleMover[[#This Row],[Scenario_ID]]="S3",BaleMover[[#This Row],[MRF_ID]]="05"),0,IFERROR(BaleMover[[#This Row],[Total_Baled_tons]]*(IF(BaleMover[[#This Row],[Scenario_ID]]="S0",-2,0)+INDEX(BalePrices[High],MATCH(BaleMover[[#This Row],[Bale_ID]],BalePrices[Bale_ID],0))),0))</f>
        <v>52913.301562076544</v>
      </c>
    </row>
    <row r="530" spans="2:25" x14ac:dyDescent="0.2">
      <c r="B530" s="545" t="s">
        <v>874</v>
      </c>
      <c r="C530" s="499" t="s">
        <v>754</v>
      </c>
      <c r="D530" s="499"/>
      <c r="E530" s="499"/>
      <c r="F530" s="499" t="s">
        <v>1999</v>
      </c>
      <c r="G530" s="499" t="s">
        <v>2120</v>
      </c>
      <c r="H530" s="499" t="s">
        <v>1696</v>
      </c>
      <c r="I530" s="499" t="s">
        <v>988</v>
      </c>
      <c r="J530" s="499" t="s">
        <v>989</v>
      </c>
      <c r="K530" s="499" t="s">
        <v>2048</v>
      </c>
      <c r="L530" s="499">
        <v>11</v>
      </c>
      <c r="M530" s="499" t="s">
        <v>2063</v>
      </c>
      <c r="N530" s="499" t="s">
        <v>2064</v>
      </c>
      <c r="O530" s="525">
        <v>151.18086160593296</v>
      </c>
      <c r="P530" s="499">
        <v>915</v>
      </c>
      <c r="Q530" s="499"/>
      <c r="R530" s="499"/>
      <c r="S530" s="525"/>
      <c r="T530" s="525">
        <v>0</v>
      </c>
      <c r="U530" s="525">
        <v>1</v>
      </c>
      <c r="V530" s="525">
        <v>138330.48836942867</v>
      </c>
      <c r="W530" s="589">
        <f>IF(AND(BaleMover[[#This Row],[Scenario_ID]]="S3",BaleMover[[#This Row],[MRF_ID]]="05"),0,IFERROR(BaleMover[[#This Row],[Total_Baled_tons]]*(IF(BaleMover[[#This Row],[Scenario_ID]]="S0",-2,0)+INDEX(BalePrices[Low],MATCH(BaleMover[[#This Row],[Bale_ID]],BalePrices[Bale_ID],0))),0))</f>
        <v>12094.468928474636</v>
      </c>
      <c r="X530" s="397">
        <f>IF(AND(BaleMover[[#This Row],[Scenario_ID]]="S3",BaleMover[[#This Row],[MRF_ID]]="05"),0,IFERROR(BaleMover[[#This Row],[Total_Baled_tons]]*(IF(BaleMover[[#This Row],[Scenario_ID]]="S0",-2,0)+INDEX(BalePrices[Mid-Point],MATCH(BaleMover[[#This Row],[Bale_ID]],BalePrices[Bale_ID],0))),0))</f>
        <v>32503.885245275585</v>
      </c>
      <c r="Y530" s="397">
        <f>IF(AND(BaleMover[[#This Row],[Scenario_ID]]="S3",BaleMover[[#This Row],[MRF_ID]]="05"),0,IFERROR(BaleMover[[#This Row],[Total_Baled_tons]]*(IF(BaleMover[[#This Row],[Scenario_ID]]="S0",-2,0)+INDEX(BalePrices[High],MATCH(BaleMover[[#This Row],[Bale_ID]],BalePrices[Bale_ID],0))),0))</f>
        <v>52913.301562076536</v>
      </c>
    </row>
    <row r="531" spans="2:25" x14ac:dyDescent="0.2">
      <c r="B531" s="545" t="s">
        <v>873</v>
      </c>
      <c r="C531" s="499" t="s">
        <v>754</v>
      </c>
      <c r="D531" s="499"/>
      <c r="E531" s="499"/>
      <c r="F531" s="499" t="s">
        <v>1999</v>
      </c>
      <c r="G531" s="499" t="s">
        <v>2121</v>
      </c>
      <c r="H531" s="499" t="s">
        <v>1697</v>
      </c>
      <c r="I531" s="499" t="s">
        <v>988</v>
      </c>
      <c r="J531" s="499" t="s">
        <v>989</v>
      </c>
      <c r="K531" s="499" t="s">
        <v>2048</v>
      </c>
      <c r="L531" s="499">
        <v>11</v>
      </c>
      <c r="M531" s="499" t="s">
        <v>2063</v>
      </c>
      <c r="N531" s="499" t="s">
        <v>2064</v>
      </c>
      <c r="O531" s="525">
        <v>151.18086160593296</v>
      </c>
      <c r="P531" s="499">
        <v>915</v>
      </c>
      <c r="Q531" s="499"/>
      <c r="R531" s="499"/>
      <c r="S531" s="525"/>
      <c r="T531" s="525">
        <v>0</v>
      </c>
      <c r="U531" s="525">
        <v>1</v>
      </c>
      <c r="V531" s="525">
        <v>138330.48836942867</v>
      </c>
      <c r="W531" s="589">
        <f>IF(AND(BaleMover[[#This Row],[Scenario_ID]]="S3",BaleMover[[#This Row],[MRF_ID]]="05"),0,IFERROR(BaleMover[[#This Row],[Total_Baled_tons]]*(IF(BaleMover[[#This Row],[Scenario_ID]]="S0",-2,0)+INDEX(BalePrices[Low],MATCH(BaleMover[[#This Row],[Bale_ID]],BalePrices[Bale_ID],0))),0))</f>
        <v>12094.468928474636</v>
      </c>
      <c r="X531" s="397">
        <f>IF(AND(BaleMover[[#This Row],[Scenario_ID]]="S3",BaleMover[[#This Row],[MRF_ID]]="05"),0,IFERROR(BaleMover[[#This Row],[Total_Baled_tons]]*(IF(BaleMover[[#This Row],[Scenario_ID]]="S0",-2,0)+INDEX(BalePrices[Mid-Point],MATCH(BaleMover[[#This Row],[Bale_ID]],BalePrices[Bale_ID],0))),0))</f>
        <v>32503.885245275585</v>
      </c>
      <c r="Y531" s="397">
        <f>IF(AND(BaleMover[[#This Row],[Scenario_ID]]="S3",BaleMover[[#This Row],[MRF_ID]]="05"),0,IFERROR(BaleMover[[#This Row],[Total_Baled_tons]]*(IF(BaleMover[[#This Row],[Scenario_ID]]="S0",-2,0)+INDEX(BalePrices[High],MATCH(BaleMover[[#This Row],[Bale_ID]],BalePrices[Bale_ID],0))),0))</f>
        <v>52913.301562076536</v>
      </c>
    </row>
    <row r="532" spans="2:25" x14ac:dyDescent="0.2">
      <c r="B532" s="545" t="s">
        <v>870</v>
      </c>
      <c r="C532" s="499" t="s">
        <v>754</v>
      </c>
      <c r="D532" s="499"/>
      <c r="E532" s="499"/>
      <c r="F532" s="499" t="s">
        <v>1999</v>
      </c>
      <c r="G532" s="499" t="s">
        <v>2122</v>
      </c>
      <c r="H532" s="499" t="s">
        <v>1698</v>
      </c>
      <c r="I532" s="499" t="s">
        <v>988</v>
      </c>
      <c r="J532" s="499" t="s">
        <v>989</v>
      </c>
      <c r="K532" s="499" t="s">
        <v>2048</v>
      </c>
      <c r="L532" s="499">
        <v>11</v>
      </c>
      <c r="M532" s="499" t="s">
        <v>2063</v>
      </c>
      <c r="N532" s="499" t="s">
        <v>2064</v>
      </c>
      <c r="O532" s="525">
        <v>151.18086160593296</v>
      </c>
      <c r="P532" s="499">
        <v>915</v>
      </c>
      <c r="Q532" s="499"/>
      <c r="R532" s="499"/>
      <c r="S532" s="525"/>
      <c r="T532" s="525">
        <v>0</v>
      </c>
      <c r="U532" s="525">
        <v>1</v>
      </c>
      <c r="V532" s="525">
        <v>138330.48836942867</v>
      </c>
      <c r="W532" s="589">
        <f>IF(AND(BaleMover[[#This Row],[Scenario_ID]]="S3",BaleMover[[#This Row],[MRF_ID]]="05"),0,IFERROR(BaleMover[[#This Row],[Total_Baled_tons]]*(IF(BaleMover[[#This Row],[Scenario_ID]]="S0",-2,0)+INDEX(BalePrices[Low],MATCH(BaleMover[[#This Row],[Bale_ID]],BalePrices[Bale_ID],0))),0))</f>
        <v>12094.468928474636</v>
      </c>
      <c r="X532" s="397">
        <f>IF(AND(BaleMover[[#This Row],[Scenario_ID]]="S3",BaleMover[[#This Row],[MRF_ID]]="05"),0,IFERROR(BaleMover[[#This Row],[Total_Baled_tons]]*(IF(BaleMover[[#This Row],[Scenario_ID]]="S0",-2,0)+INDEX(BalePrices[Mid-Point],MATCH(BaleMover[[#This Row],[Bale_ID]],BalePrices[Bale_ID],0))),0))</f>
        <v>32503.885245275585</v>
      </c>
      <c r="Y532" s="397">
        <f>IF(AND(BaleMover[[#This Row],[Scenario_ID]]="S3",BaleMover[[#This Row],[MRF_ID]]="05"),0,IFERROR(BaleMover[[#This Row],[Total_Baled_tons]]*(IF(BaleMover[[#This Row],[Scenario_ID]]="S0",-2,0)+INDEX(BalePrices[High],MATCH(BaleMover[[#This Row],[Bale_ID]],BalePrices[Bale_ID],0))),0))</f>
        <v>52913.301562076536</v>
      </c>
    </row>
    <row r="533" spans="2:25" x14ac:dyDescent="0.2">
      <c r="B533" s="545" t="s">
        <v>876</v>
      </c>
      <c r="C533" s="499" t="s">
        <v>754</v>
      </c>
      <c r="D533" s="499"/>
      <c r="E533" s="499"/>
      <c r="F533" s="499" t="s">
        <v>1999</v>
      </c>
      <c r="G533" s="499" t="s">
        <v>2118</v>
      </c>
      <c r="H533" s="499" t="s">
        <v>1699</v>
      </c>
      <c r="I533" s="499" t="s">
        <v>990</v>
      </c>
      <c r="J533" s="499" t="s">
        <v>991</v>
      </c>
      <c r="K533" s="499" t="s">
        <v>2048</v>
      </c>
      <c r="L533" s="499">
        <v>1</v>
      </c>
      <c r="M533" s="499" t="s">
        <v>2065</v>
      </c>
      <c r="N533" s="499" t="s">
        <v>2066</v>
      </c>
      <c r="O533" s="525">
        <v>61.120595602605142</v>
      </c>
      <c r="P533" s="499">
        <v>50</v>
      </c>
      <c r="Q533" s="499"/>
      <c r="R533" s="499"/>
      <c r="S533" s="525"/>
      <c r="T533" s="525">
        <v>0</v>
      </c>
      <c r="U533" s="525">
        <v>1</v>
      </c>
      <c r="V533" s="525">
        <v>3056.0297801302572</v>
      </c>
      <c r="W533" s="589">
        <f>IF(AND(BaleMover[[#This Row],[Scenario_ID]]="S3",BaleMover[[#This Row],[MRF_ID]]="05"),0,IFERROR(BaleMover[[#This Row],[Total_Baled_tons]]*(IF(BaleMover[[#This Row],[Scenario_ID]]="S0",-2,0)+INDEX(BalePrices[Low],MATCH(BaleMover[[#This Row],[Bale_ID]],BalePrices[Bale_ID],0))),0))</f>
        <v>2933.788588925047</v>
      </c>
      <c r="X533" s="397">
        <f>IF(AND(BaleMover[[#This Row],[Scenario_ID]]="S3",BaleMover[[#This Row],[MRF_ID]]="05"),0,IFERROR(BaleMover[[#This Row],[Total_Baled_tons]]*(IF(BaleMover[[#This Row],[Scenario_ID]]="S0",-2,0)+INDEX(BalePrices[Mid-Point],MATCH(BaleMover[[#This Row],[Bale_ID]],BalePrices[Bale_ID],0))),0))</f>
        <v>7517.8332591204326</v>
      </c>
      <c r="Y533" s="397">
        <f>IF(AND(BaleMover[[#This Row],[Scenario_ID]]="S3",BaleMover[[#This Row],[MRF_ID]]="05"),0,IFERROR(BaleMover[[#This Row],[Total_Baled_tons]]*(IF(BaleMover[[#This Row],[Scenario_ID]]="S0",-2,0)+INDEX(BalePrices[High],MATCH(BaleMover[[#This Row],[Bale_ID]],BalePrices[Bale_ID],0))),0))</f>
        <v>12101.877929315819</v>
      </c>
    </row>
    <row r="534" spans="2:25" x14ac:dyDescent="0.2">
      <c r="B534" s="545" t="s">
        <v>875</v>
      </c>
      <c r="C534" s="499" t="s">
        <v>754</v>
      </c>
      <c r="D534" s="499"/>
      <c r="E534" s="499"/>
      <c r="F534" s="499" t="s">
        <v>1999</v>
      </c>
      <c r="G534" s="499" t="s">
        <v>2119</v>
      </c>
      <c r="H534" s="499" t="s">
        <v>1700</v>
      </c>
      <c r="I534" s="499" t="s">
        <v>990</v>
      </c>
      <c r="J534" s="499" t="s">
        <v>991</v>
      </c>
      <c r="K534" s="499" t="s">
        <v>2048</v>
      </c>
      <c r="L534" s="499">
        <v>1</v>
      </c>
      <c r="M534" s="499" t="s">
        <v>2065</v>
      </c>
      <c r="N534" s="499" t="s">
        <v>2066</v>
      </c>
      <c r="O534" s="525">
        <v>61.120595602605142</v>
      </c>
      <c r="P534" s="499">
        <v>50</v>
      </c>
      <c r="Q534" s="499"/>
      <c r="R534" s="499"/>
      <c r="S534" s="525"/>
      <c r="T534" s="525">
        <v>0</v>
      </c>
      <c r="U534" s="525">
        <v>1</v>
      </c>
      <c r="V534" s="525">
        <v>3056.0297801302572</v>
      </c>
      <c r="W534" s="589">
        <f>IF(AND(BaleMover[[#This Row],[Scenario_ID]]="S3",BaleMover[[#This Row],[MRF_ID]]="05"),0,IFERROR(BaleMover[[#This Row],[Total_Baled_tons]]*(IF(BaleMover[[#This Row],[Scenario_ID]]="S0",-2,0)+INDEX(BalePrices[Low],MATCH(BaleMover[[#This Row],[Bale_ID]],BalePrices[Bale_ID],0))),0))</f>
        <v>3056.0297801302572</v>
      </c>
      <c r="X534" s="397">
        <f>IF(AND(BaleMover[[#This Row],[Scenario_ID]]="S3",BaleMover[[#This Row],[MRF_ID]]="05"),0,IFERROR(BaleMover[[#This Row],[Total_Baled_tons]]*(IF(BaleMover[[#This Row],[Scenario_ID]]="S0",-2,0)+INDEX(BalePrices[Mid-Point],MATCH(BaleMover[[#This Row],[Bale_ID]],BalePrices[Bale_ID],0))),0))</f>
        <v>7640.0744503256428</v>
      </c>
      <c r="Y534" s="397">
        <f>IF(AND(BaleMover[[#This Row],[Scenario_ID]]="S3",BaleMover[[#This Row],[MRF_ID]]="05"),0,IFERROR(BaleMover[[#This Row],[Total_Baled_tons]]*(IF(BaleMover[[#This Row],[Scenario_ID]]="S0",-2,0)+INDEX(BalePrices[High],MATCH(BaleMover[[#This Row],[Bale_ID]],BalePrices[Bale_ID],0))),0))</f>
        <v>12224.119120521029</v>
      </c>
    </row>
    <row r="535" spans="2:25" x14ac:dyDescent="0.2">
      <c r="B535" s="545" t="s">
        <v>874</v>
      </c>
      <c r="C535" s="499" t="s">
        <v>754</v>
      </c>
      <c r="D535" s="499"/>
      <c r="E535" s="499"/>
      <c r="F535" s="499" t="s">
        <v>1999</v>
      </c>
      <c r="G535" s="499" t="s">
        <v>2120</v>
      </c>
      <c r="H535" s="499" t="s">
        <v>1701</v>
      </c>
      <c r="I535" s="499" t="s">
        <v>990</v>
      </c>
      <c r="J535" s="499" t="s">
        <v>991</v>
      </c>
      <c r="K535" s="499" t="s">
        <v>2048</v>
      </c>
      <c r="L535" s="499">
        <v>1</v>
      </c>
      <c r="M535" s="499" t="s">
        <v>2065</v>
      </c>
      <c r="N535" s="499" t="s">
        <v>2066</v>
      </c>
      <c r="O535" s="525">
        <v>61.120595602605142</v>
      </c>
      <c r="P535" s="499">
        <v>50</v>
      </c>
      <c r="Q535" s="499"/>
      <c r="R535" s="499"/>
      <c r="S535" s="525"/>
      <c r="T535" s="525">
        <v>0</v>
      </c>
      <c r="U535" s="525">
        <v>1</v>
      </c>
      <c r="V535" s="525">
        <v>3056.0297801302572</v>
      </c>
      <c r="W535" s="589">
        <f>IF(AND(BaleMover[[#This Row],[Scenario_ID]]="S3",BaleMover[[#This Row],[MRF_ID]]="05"),0,IFERROR(BaleMover[[#This Row],[Total_Baled_tons]]*(IF(BaleMover[[#This Row],[Scenario_ID]]="S0",-2,0)+INDEX(BalePrices[Low],MATCH(BaleMover[[#This Row],[Bale_ID]],BalePrices[Bale_ID],0))),0))</f>
        <v>3056.0297801302572</v>
      </c>
      <c r="X535" s="397">
        <f>IF(AND(BaleMover[[#This Row],[Scenario_ID]]="S3",BaleMover[[#This Row],[MRF_ID]]="05"),0,IFERROR(BaleMover[[#This Row],[Total_Baled_tons]]*(IF(BaleMover[[#This Row],[Scenario_ID]]="S0",-2,0)+INDEX(BalePrices[Mid-Point],MATCH(BaleMover[[#This Row],[Bale_ID]],BalePrices[Bale_ID],0))),0))</f>
        <v>7640.0744503256428</v>
      </c>
      <c r="Y535" s="397">
        <f>IF(AND(BaleMover[[#This Row],[Scenario_ID]]="S3",BaleMover[[#This Row],[MRF_ID]]="05"),0,IFERROR(BaleMover[[#This Row],[Total_Baled_tons]]*(IF(BaleMover[[#This Row],[Scenario_ID]]="S0",-2,0)+INDEX(BalePrices[High],MATCH(BaleMover[[#This Row],[Bale_ID]],BalePrices[Bale_ID],0))),0))</f>
        <v>12224.119120521029</v>
      </c>
    </row>
    <row r="536" spans="2:25" x14ac:dyDescent="0.2">
      <c r="B536" s="545" t="s">
        <v>873</v>
      </c>
      <c r="C536" s="499" t="s">
        <v>754</v>
      </c>
      <c r="D536" s="499"/>
      <c r="E536" s="499"/>
      <c r="F536" s="499" t="s">
        <v>1999</v>
      </c>
      <c r="G536" s="499" t="s">
        <v>2121</v>
      </c>
      <c r="H536" s="499" t="s">
        <v>1702</v>
      </c>
      <c r="I536" s="499" t="s">
        <v>990</v>
      </c>
      <c r="J536" s="499" t="s">
        <v>991</v>
      </c>
      <c r="K536" s="499" t="s">
        <v>2048</v>
      </c>
      <c r="L536" s="499">
        <v>1</v>
      </c>
      <c r="M536" s="499" t="s">
        <v>2065</v>
      </c>
      <c r="N536" s="499" t="s">
        <v>2066</v>
      </c>
      <c r="O536" s="525">
        <v>61.120595602605142</v>
      </c>
      <c r="P536" s="499">
        <v>50</v>
      </c>
      <c r="Q536" s="499"/>
      <c r="R536" s="499"/>
      <c r="S536" s="525"/>
      <c r="T536" s="525">
        <v>0</v>
      </c>
      <c r="U536" s="525">
        <v>1</v>
      </c>
      <c r="V536" s="525">
        <v>3056.0297801302572</v>
      </c>
      <c r="W536" s="589">
        <f>IF(AND(BaleMover[[#This Row],[Scenario_ID]]="S3",BaleMover[[#This Row],[MRF_ID]]="05"),0,IFERROR(BaleMover[[#This Row],[Total_Baled_tons]]*(IF(BaleMover[[#This Row],[Scenario_ID]]="S0",-2,0)+INDEX(BalePrices[Low],MATCH(BaleMover[[#This Row],[Bale_ID]],BalePrices[Bale_ID],0))),0))</f>
        <v>3056.0297801302572</v>
      </c>
      <c r="X536" s="397">
        <f>IF(AND(BaleMover[[#This Row],[Scenario_ID]]="S3",BaleMover[[#This Row],[MRF_ID]]="05"),0,IFERROR(BaleMover[[#This Row],[Total_Baled_tons]]*(IF(BaleMover[[#This Row],[Scenario_ID]]="S0",-2,0)+INDEX(BalePrices[Mid-Point],MATCH(BaleMover[[#This Row],[Bale_ID]],BalePrices[Bale_ID],0))),0))</f>
        <v>7640.0744503256428</v>
      </c>
      <c r="Y536" s="397">
        <f>IF(AND(BaleMover[[#This Row],[Scenario_ID]]="S3",BaleMover[[#This Row],[MRF_ID]]="05"),0,IFERROR(BaleMover[[#This Row],[Total_Baled_tons]]*(IF(BaleMover[[#This Row],[Scenario_ID]]="S0",-2,0)+INDEX(BalePrices[High],MATCH(BaleMover[[#This Row],[Bale_ID]],BalePrices[Bale_ID],0))),0))</f>
        <v>12224.119120521029</v>
      </c>
    </row>
    <row r="537" spans="2:25" x14ac:dyDescent="0.2">
      <c r="B537" s="545" t="s">
        <v>870</v>
      </c>
      <c r="C537" s="499" t="s">
        <v>754</v>
      </c>
      <c r="D537" s="499"/>
      <c r="E537" s="499"/>
      <c r="F537" s="499" t="s">
        <v>1999</v>
      </c>
      <c r="G537" s="499" t="s">
        <v>2122</v>
      </c>
      <c r="H537" s="499" t="s">
        <v>1703</v>
      </c>
      <c r="I537" s="499" t="s">
        <v>990</v>
      </c>
      <c r="J537" s="499" t="s">
        <v>991</v>
      </c>
      <c r="K537" s="499" t="s">
        <v>2048</v>
      </c>
      <c r="L537" s="499">
        <v>1</v>
      </c>
      <c r="M537" s="499" t="s">
        <v>2065</v>
      </c>
      <c r="N537" s="499" t="s">
        <v>2066</v>
      </c>
      <c r="O537" s="525">
        <v>61.120595602605142</v>
      </c>
      <c r="P537" s="499">
        <v>50</v>
      </c>
      <c r="Q537" s="499"/>
      <c r="R537" s="499"/>
      <c r="S537" s="525"/>
      <c r="T537" s="525">
        <v>0</v>
      </c>
      <c r="U537" s="525">
        <v>1</v>
      </c>
      <c r="V537" s="525">
        <v>3056.0297801302572</v>
      </c>
      <c r="W537" s="589">
        <f>IF(AND(BaleMover[[#This Row],[Scenario_ID]]="S3",BaleMover[[#This Row],[MRF_ID]]="05"),0,IFERROR(BaleMover[[#This Row],[Total_Baled_tons]]*(IF(BaleMover[[#This Row],[Scenario_ID]]="S0",-2,0)+INDEX(BalePrices[Low],MATCH(BaleMover[[#This Row],[Bale_ID]],BalePrices[Bale_ID],0))),0))</f>
        <v>3056.0297801302572</v>
      </c>
      <c r="X537" s="397">
        <f>IF(AND(BaleMover[[#This Row],[Scenario_ID]]="S3",BaleMover[[#This Row],[MRF_ID]]="05"),0,IFERROR(BaleMover[[#This Row],[Total_Baled_tons]]*(IF(BaleMover[[#This Row],[Scenario_ID]]="S0",-2,0)+INDEX(BalePrices[Mid-Point],MATCH(BaleMover[[#This Row],[Bale_ID]],BalePrices[Bale_ID],0))),0))</f>
        <v>7640.0744503256428</v>
      </c>
      <c r="Y537" s="397">
        <f>IF(AND(BaleMover[[#This Row],[Scenario_ID]]="S3",BaleMover[[#This Row],[MRF_ID]]="05"),0,IFERROR(BaleMover[[#This Row],[Total_Baled_tons]]*(IF(BaleMover[[#This Row],[Scenario_ID]]="S0",-2,0)+INDEX(BalePrices[High],MATCH(BaleMover[[#This Row],[Bale_ID]],BalePrices[Bale_ID],0))),0))</f>
        <v>12224.119120521029</v>
      </c>
    </row>
    <row r="538" spans="2:25" x14ac:dyDescent="0.2">
      <c r="B538" s="545" t="s">
        <v>876</v>
      </c>
      <c r="C538" s="499" t="s">
        <v>754</v>
      </c>
      <c r="D538" s="499"/>
      <c r="E538" s="499"/>
      <c r="F538" s="499" t="s">
        <v>1999</v>
      </c>
      <c r="G538" s="499" t="s">
        <v>2118</v>
      </c>
      <c r="H538" s="499" t="s">
        <v>1704</v>
      </c>
      <c r="I538" s="499" t="s">
        <v>994</v>
      </c>
      <c r="J538" s="499" t="s">
        <v>995</v>
      </c>
      <c r="K538" s="499" t="s">
        <v>2048</v>
      </c>
      <c r="L538" s="499">
        <v>8</v>
      </c>
      <c r="M538" s="499" t="s">
        <v>2067</v>
      </c>
      <c r="N538" s="499" t="s">
        <v>2068</v>
      </c>
      <c r="O538" s="525">
        <v>3684.2974687214764</v>
      </c>
      <c r="P538" s="499">
        <v>355</v>
      </c>
      <c r="Q538" s="499"/>
      <c r="R538" s="499"/>
      <c r="S538" s="525"/>
      <c r="T538" s="525">
        <v>0</v>
      </c>
      <c r="U538" s="525">
        <v>1</v>
      </c>
      <c r="V538" s="525">
        <v>1307925.6013961241</v>
      </c>
      <c r="W538" s="589">
        <f>IF(AND(BaleMover[[#This Row],[Scenario_ID]]="S3",BaleMover[[#This Row],[MRF_ID]]="05"),0,IFERROR(BaleMover[[#This Row],[Total_Baled_tons]]*(IF(BaleMover[[#This Row],[Scenario_ID]]="S0",-2,0)+INDEX(BalePrices[Low],MATCH(BaleMover[[#This Row],[Bale_ID]],BalePrices[Bale_ID],0))),0))</f>
        <v>361061.15193470469</v>
      </c>
      <c r="X538" s="397">
        <f>IF(AND(BaleMover[[#This Row],[Scenario_ID]]="S3",BaleMover[[#This Row],[MRF_ID]]="05"),0,IFERROR(BaleMover[[#This Row],[Total_Baled_tons]]*(IF(BaleMover[[#This Row],[Scenario_ID]]="S0",-2,0)+INDEX(BalePrices[Mid-Point],MATCH(BaleMover[[#This Row],[Bale_ID]],BalePrices[Bale_ID],0))),0))</f>
        <v>637383.4620888154</v>
      </c>
      <c r="Y538" s="397">
        <f>IF(AND(BaleMover[[#This Row],[Scenario_ID]]="S3",BaleMover[[#This Row],[MRF_ID]]="05"),0,IFERROR(BaleMover[[#This Row],[Total_Baled_tons]]*(IF(BaleMover[[#This Row],[Scenario_ID]]="S0",-2,0)+INDEX(BalePrices[High],MATCH(BaleMover[[#This Row],[Bale_ID]],BalePrices[Bale_ID],0))),0))</f>
        <v>913705.77224292618</v>
      </c>
    </row>
    <row r="539" spans="2:25" x14ac:dyDescent="0.2">
      <c r="B539" s="545" t="s">
        <v>875</v>
      </c>
      <c r="C539" s="499" t="s">
        <v>754</v>
      </c>
      <c r="D539" s="499"/>
      <c r="E539" s="499"/>
      <c r="F539" s="499" t="s">
        <v>1999</v>
      </c>
      <c r="G539" s="499" t="s">
        <v>2119</v>
      </c>
      <c r="H539" s="499" t="s">
        <v>1705</v>
      </c>
      <c r="I539" s="499" t="s">
        <v>994</v>
      </c>
      <c r="J539" s="499" t="s">
        <v>995</v>
      </c>
      <c r="K539" s="499" t="s">
        <v>2048</v>
      </c>
      <c r="L539" s="499">
        <v>8</v>
      </c>
      <c r="M539" s="499" t="s">
        <v>2067</v>
      </c>
      <c r="N539" s="499" t="s">
        <v>2068</v>
      </c>
      <c r="O539" s="525">
        <v>3684.2974687214764</v>
      </c>
      <c r="P539" s="499">
        <v>355</v>
      </c>
      <c r="Q539" s="499"/>
      <c r="R539" s="499"/>
      <c r="S539" s="525"/>
      <c r="T539" s="525">
        <v>0</v>
      </c>
      <c r="U539" s="525">
        <v>1</v>
      </c>
      <c r="V539" s="525">
        <v>1307925.6013961241</v>
      </c>
      <c r="W539" s="589">
        <f>IF(AND(BaleMover[[#This Row],[Scenario_ID]]="S3",BaleMover[[#This Row],[MRF_ID]]="05"),0,IFERROR(BaleMover[[#This Row],[Total_Baled_tons]]*(IF(BaleMover[[#This Row],[Scenario_ID]]="S0",-2,0)+INDEX(BalePrices[Low],MATCH(BaleMover[[#This Row],[Bale_ID]],BalePrices[Bale_ID],0))),0))</f>
        <v>368429.74687214766</v>
      </c>
      <c r="X539" s="397">
        <f>IF(AND(BaleMover[[#This Row],[Scenario_ID]]="S3",BaleMover[[#This Row],[MRF_ID]]="05"),0,IFERROR(BaleMover[[#This Row],[Total_Baled_tons]]*(IF(BaleMover[[#This Row],[Scenario_ID]]="S0",-2,0)+INDEX(BalePrices[Mid-Point],MATCH(BaleMover[[#This Row],[Bale_ID]],BalePrices[Bale_ID],0))),0))</f>
        <v>644752.05702625832</v>
      </c>
      <c r="Y539" s="397">
        <f>IF(AND(BaleMover[[#This Row],[Scenario_ID]]="S3",BaleMover[[#This Row],[MRF_ID]]="05"),0,IFERROR(BaleMover[[#This Row],[Total_Baled_tons]]*(IF(BaleMover[[#This Row],[Scenario_ID]]="S0",-2,0)+INDEX(BalePrices[High],MATCH(BaleMover[[#This Row],[Bale_ID]],BalePrices[Bale_ID],0))),0))</f>
        <v>921074.3671803691</v>
      </c>
    </row>
    <row r="540" spans="2:25" x14ac:dyDescent="0.2">
      <c r="B540" s="545" t="s">
        <v>874</v>
      </c>
      <c r="C540" s="499" t="s">
        <v>754</v>
      </c>
      <c r="D540" s="499"/>
      <c r="E540" s="499"/>
      <c r="F540" s="499" t="s">
        <v>1999</v>
      </c>
      <c r="G540" s="499" t="s">
        <v>2120</v>
      </c>
      <c r="H540" s="499" t="s">
        <v>1706</v>
      </c>
      <c r="I540" s="499" t="s">
        <v>994</v>
      </c>
      <c r="J540" s="499" t="s">
        <v>995</v>
      </c>
      <c r="K540" s="499" t="s">
        <v>2048</v>
      </c>
      <c r="L540" s="499">
        <v>8</v>
      </c>
      <c r="M540" s="499" t="s">
        <v>2067</v>
      </c>
      <c r="N540" s="499" t="s">
        <v>2068</v>
      </c>
      <c r="O540" s="525">
        <v>3817.2040075646578</v>
      </c>
      <c r="P540" s="499">
        <v>355</v>
      </c>
      <c r="Q540" s="499"/>
      <c r="R540" s="499"/>
      <c r="S540" s="525"/>
      <c r="T540" s="525">
        <v>0</v>
      </c>
      <c r="U540" s="525">
        <v>1</v>
      </c>
      <c r="V540" s="525">
        <v>1355107.4226854534</v>
      </c>
      <c r="W540" s="589">
        <f>IF(AND(BaleMover[[#This Row],[Scenario_ID]]="S3",BaleMover[[#This Row],[MRF_ID]]="05"),0,IFERROR(BaleMover[[#This Row],[Total_Baled_tons]]*(IF(BaleMover[[#This Row],[Scenario_ID]]="S0",-2,0)+INDEX(BalePrices[Low],MATCH(BaleMover[[#This Row],[Bale_ID]],BalePrices[Bale_ID],0))),0))</f>
        <v>381720.40075646579</v>
      </c>
      <c r="X540" s="397">
        <f>IF(AND(BaleMover[[#This Row],[Scenario_ID]]="S3",BaleMover[[#This Row],[MRF_ID]]="05"),0,IFERROR(BaleMover[[#This Row],[Total_Baled_tons]]*(IF(BaleMover[[#This Row],[Scenario_ID]]="S0",-2,0)+INDEX(BalePrices[Mid-Point],MATCH(BaleMover[[#This Row],[Bale_ID]],BalePrices[Bale_ID],0))),0))</f>
        <v>668010.70132381516</v>
      </c>
      <c r="Y540" s="397">
        <f>IF(AND(BaleMover[[#This Row],[Scenario_ID]]="S3",BaleMover[[#This Row],[MRF_ID]]="05"),0,IFERROR(BaleMover[[#This Row],[Total_Baled_tons]]*(IF(BaleMover[[#This Row],[Scenario_ID]]="S0",-2,0)+INDEX(BalePrices[High],MATCH(BaleMover[[#This Row],[Bale_ID]],BalePrices[Bale_ID],0))),0))</f>
        <v>954301.00189116446</v>
      </c>
    </row>
    <row r="541" spans="2:25" x14ac:dyDescent="0.2">
      <c r="B541" s="545" t="s">
        <v>873</v>
      </c>
      <c r="C541" s="499" t="s">
        <v>754</v>
      </c>
      <c r="D541" s="499"/>
      <c r="E541" s="499"/>
      <c r="F541" s="499" t="s">
        <v>1999</v>
      </c>
      <c r="G541" s="499" t="s">
        <v>2121</v>
      </c>
      <c r="H541" s="499" t="s">
        <v>1707</v>
      </c>
      <c r="I541" s="499" t="s">
        <v>994</v>
      </c>
      <c r="J541" s="499" t="s">
        <v>995</v>
      </c>
      <c r="K541" s="499" t="s">
        <v>2048</v>
      </c>
      <c r="L541" s="499">
        <v>8</v>
      </c>
      <c r="M541" s="499" t="s">
        <v>2067</v>
      </c>
      <c r="N541" s="499" t="s">
        <v>2068</v>
      </c>
      <c r="O541" s="525">
        <v>3817.2040075646578</v>
      </c>
      <c r="P541" s="499">
        <v>355</v>
      </c>
      <c r="Q541" s="499"/>
      <c r="R541" s="499"/>
      <c r="S541" s="525"/>
      <c r="T541" s="525">
        <v>0</v>
      </c>
      <c r="U541" s="525">
        <v>1</v>
      </c>
      <c r="V541" s="525">
        <v>1355107.4226854534</v>
      </c>
      <c r="W541" s="589">
        <f>IF(AND(BaleMover[[#This Row],[Scenario_ID]]="S3",BaleMover[[#This Row],[MRF_ID]]="05"),0,IFERROR(BaleMover[[#This Row],[Total_Baled_tons]]*(IF(BaleMover[[#This Row],[Scenario_ID]]="S0",-2,0)+INDEX(BalePrices[Low],MATCH(BaleMover[[#This Row],[Bale_ID]],BalePrices[Bale_ID],0))),0))</f>
        <v>381720.40075646579</v>
      </c>
      <c r="X541" s="397">
        <f>IF(AND(BaleMover[[#This Row],[Scenario_ID]]="S3",BaleMover[[#This Row],[MRF_ID]]="05"),0,IFERROR(BaleMover[[#This Row],[Total_Baled_tons]]*(IF(BaleMover[[#This Row],[Scenario_ID]]="S0",-2,0)+INDEX(BalePrices[Mid-Point],MATCH(BaleMover[[#This Row],[Bale_ID]],BalePrices[Bale_ID],0))),0))</f>
        <v>668010.70132381516</v>
      </c>
      <c r="Y541" s="397">
        <f>IF(AND(BaleMover[[#This Row],[Scenario_ID]]="S3",BaleMover[[#This Row],[MRF_ID]]="05"),0,IFERROR(BaleMover[[#This Row],[Total_Baled_tons]]*(IF(BaleMover[[#This Row],[Scenario_ID]]="S0",-2,0)+INDEX(BalePrices[High],MATCH(BaleMover[[#This Row],[Bale_ID]],BalePrices[Bale_ID],0))),0))</f>
        <v>954301.00189116446</v>
      </c>
    </row>
    <row r="542" spans="2:25" x14ac:dyDescent="0.2">
      <c r="B542" s="545" t="s">
        <v>870</v>
      </c>
      <c r="C542" s="499" t="s">
        <v>754</v>
      </c>
      <c r="D542" s="499"/>
      <c r="E542" s="499"/>
      <c r="F542" s="499" t="s">
        <v>1999</v>
      </c>
      <c r="G542" s="499" t="s">
        <v>2122</v>
      </c>
      <c r="H542" s="499" t="s">
        <v>1708</v>
      </c>
      <c r="I542" s="499" t="s">
        <v>994</v>
      </c>
      <c r="J542" s="499" t="s">
        <v>995</v>
      </c>
      <c r="K542" s="499" t="s">
        <v>2048</v>
      </c>
      <c r="L542" s="499">
        <v>8</v>
      </c>
      <c r="M542" s="499" t="s">
        <v>2067</v>
      </c>
      <c r="N542" s="499" t="s">
        <v>2068</v>
      </c>
      <c r="O542" s="525">
        <v>3817.2040075646578</v>
      </c>
      <c r="P542" s="499">
        <v>355</v>
      </c>
      <c r="Q542" s="499"/>
      <c r="R542" s="499"/>
      <c r="S542" s="525"/>
      <c r="T542" s="525">
        <v>0</v>
      </c>
      <c r="U542" s="525">
        <v>1</v>
      </c>
      <c r="V542" s="525">
        <v>1355107.4226854534</v>
      </c>
      <c r="W542" s="589">
        <f>IF(AND(BaleMover[[#This Row],[Scenario_ID]]="S3",BaleMover[[#This Row],[MRF_ID]]="05"),0,IFERROR(BaleMover[[#This Row],[Total_Baled_tons]]*(IF(BaleMover[[#This Row],[Scenario_ID]]="S0",-2,0)+INDEX(BalePrices[Low],MATCH(BaleMover[[#This Row],[Bale_ID]],BalePrices[Bale_ID],0))),0))</f>
        <v>381720.40075646579</v>
      </c>
      <c r="X542" s="397">
        <f>IF(AND(BaleMover[[#This Row],[Scenario_ID]]="S3",BaleMover[[#This Row],[MRF_ID]]="05"),0,IFERROR(BaleMover[[#This Row],[Total_Baled_tons]]*(IF(BaleMover[[#This Row],[Scenario_ID]]="S0",-2,0)+INDEX(BalePrices[Mid-Point],MATCH(BaleMover[[#This Row],[Bale_ID]],BalePrices[Bale_ID],0))),0))</f>
        <v>668010.70132381516</v>
      </c>
      <c r="Y542" s="397">
        <f>IF(AND(BaleMover[[#This Row],[Scenario_ID]]="S3",BaleMover[[#This Row],[MRF_ID]]="05"),0,IFERROR(BaleMover[[#This Row],[Total_Baled_tons]]*(IF(BaleMover[[#This Row],[Scenario_ID]]="S0",-2,0)+INDEX(BalePrices[High],MATCH(BaleMover[[#This Row],[Bale_ID]],BalePrices[Bale_ID],0))),0))</f>
        <v>954301.00189116446</v>
      </c>
    </row>
    <row r="543" spans="2:25" x14ac:dyDescent="0.2">
      <c r="B543" s="545" t="s">
        <v>876</v>
      </c>
      <c r="C543" s="499" t="s">
        <v>754</v>
      </c>
      <c r="D543" s="499"/>
      <c r="E543" s="499"/>
      <c r="F543" s="499" t="s">
        <v>1999</v>
      </c>
      <c r="G543" s="499" t="s">
        <v>2118</v>
      </c>
      <c r="H543" s="499" t="s">
        <v>1709</v>
      </c>
      <c r="I543" s="499" t="s">
        <v>996</v>
      </c>
      <c r="J543" s="499" t="s">
        <v>997</v>
      </c>
      <c r="K543" s="499" t="s">
        <v>2048</v>
      </c>
      <c r="L543" s="499">
        <v>8</v>
      </c>
      <c r="M543" s="499" t="s">
        <v>2067</v>
      </c>
      <c r="N543" s="499" t="s">
        <v>2068</v>
      </c>
      <c r="O543" s="525">
        <v>0</v>
      </c>
      <c r="P543" s="499" t="s">
        <v>2054</v>
      </c>
      <c r="Q543" s="499"/>
      <c r="R543" s="499"/>
      <c r="S543" s="525"/>
      <c r="T543" s="525">
        <v>0</v>
      </c>
      <c r="U543" s="525">
        <v>1</v>
      </c>
      <c r="V543" s="525" t="s">
        <v>2054</v>
      </c>
      <c r="W543" s="589">
        <f>IF(AND(BaleMover[[#This Row],[Scenario_ID]]="S3",BaleMover[[#This Row],[MRF_ID]]="05"),0,IFERROR(BaleMover[[#This Row],[Total_Baled_tons]]*(IF(BaleMover[[#This Row],[Scenario_ID]]="S0",-2,0)+INDEX(BalePrices[Low],MATCH(BaleMover[[#This Row],[Bale_ID]],BalePrices[Bale_ID],0))),0))</f>
        <v>0</v>
      </c>
      <c r="X543" s="397">
        <f>IF(AND(BaleMover[[#This Row],[Scenario_ID]]="S3",BaleMover[[#This Row],[MRF_ID]]="05"),0,IFERROR(BaleMover[[#This Row],[Total_Baled_tons]]*(IF(BaleMover[[#This Row],[Scenario_ID]]="S0",-2,0)+INDEX(BalePrices[Mid-Point],MATCH(BaleMover[[#This Row],[Bale_ID]],BalePrices[Bale_ID],0))),0))</f>
        <v>0</v>
      </c>
      <c r="Y543" s="397">
        <f>IF(AND(BaleMover[[#This Row],[Scenario_ID]]="S3",BaleMover[[#This Row],[MRF_ID]]="05"),0,IFERROR(BaleMover[[#This Row],[Total_Baled_tons]]*(IF(BaleMover[[#This Row],[Scenario_ID]]="S0",-2,0)+INDEX(BalePrices[High],MATCH(BaleMover[[#This Row],[Bale_ID]],BalePrices[Bale_ID],0))),0))</f>
        <v>0</v>
      </c>
    </row>
    <row r="544" spans="2:25" x14ac:dyDescent="0.2">
      <c r="B544" s="545" t="s">
        <v>875</v>
      </c>
      <c r="C544" s="499" t="s">
        <v>754</v>
      </c>
      <c r="D544" s="499"/>
      <c r="E544" s="499"/>
      <c r="F544" s="499" t="s">
        <v>1999</v>
      </c>
      <c r="G544" s="499" t="s">
        <v>2119</v>
      </c>
      <c r="H544" s="499" t="s">
        <v>1710</v>
      </c>
      <c r="I544" s="499" t="s">
        <v>996</v>
      </c>
      <c r="J544" s="499" t="s">
        <v>997</v>
      </c>
      <c r="K544" s="499" t="s">
        <v>2048</v>
      </c>
      <c r="L544" s="499">
        <v>8</v>
      </c>
      <c r="M544" s="499" t="s">
        <v>2067</v>
      </c>
      <c r="N544" s="499" t="s">
        <v>2068</v>
      </c>
      <c r="O544" s="525">
        <v>0</v>
      </c>
      <c r="P544" s="499" t="s">
        <v>2054</v>
      </c>
      <c r="Q544" s="499"/>
      <c r="R544" s="499"/>
      <c r="S544" s="525"/>
      <c r="T544" s="525">
        <v>0</v>
      </c>
      <c r="U544" s="525">
        <v>1</v>
      </c>
      <c r="V544" s="525" t="s">
        <v>2054</v>
      </c>
      <c r="W544" s="589">
        <f>IF(AND(BaleMover[[#This Row],[Scenario_ID]]="S3",BaleMover[[#This Row],[MRF_ID]]="05"),0,IFERROR(BaleMover[[#This Row],[Total_Baled_tons]]*(IF(BaleMover[[#This Row],[Scenario_ID]]="S0",-2,0)+INDEX(BalePrices[Low],MATCH(BaleMover[[#This Row],[Bale_ID]],BalePrices[Bale_ID],0))),0))</f>
        <v>0</v>
      </c>
      <c r="X544" s="397">
        <f>IF(AND(BaleMover[[#This Row],[Scenario_ID]]="S3",BaleMover[[#This Row],[MRF_ID]]="05"),0,IFERROR(BaleMover[[#This Row],[Total_Baled_tons]]*(IF(BaleMover[[#This Row],[Scenario_ID]]="S0",-2,0)+INDEX(BalePrices[Mid-Point],MATCH(BaleMover[[#This Row],[Bale_ID]],BalePrices[Bale_ID],0))),0))</f>
        <v>0</v>
      </c>
      <c r="Y544" s="397">
        <f>IF(AND(BaleMover[[#This Row],[Scenario_ID]]="S3",BaleMover[[#This Row],[MRF_ID]]="05"),0,IFERROR(BaleMover[[#This Row],[Total_Baled_tons]]*(IF(BaleMover[[#This Row],[Scenario_ID]]="S0",-2,0)+INDEX(BalePrices[High],MATCH(BaleMover[[#This Row],[Bale_ID]],BalePrices[Bale_ID],0))),0))</f>
        <v>0</v>
      </c>
    </row>
    <row r="545" spans="2:25" x14ac:dyDescent="0.2">
      <c r="B545" s="545" t="s">
        <v>874</v>
      </c>
      <c r="C545" s="499" t="s">
        <v>754</v>
      </c>
      <c r="D545" s="499"/>
      <c r="E545" s="499"/>
      <c r="F545" s="499" t="s">
        <v>1999</v>
      </c>
      <c r="G545" s="499" t="s">
        <v>2120</v>
      </c>
      <c r="H545" s="499" t="s">
        <v>1711</v>
      </c>
      <c r="I545" s="499" t="s">
        <v>996</v>
      </c>
      <c r="J545" s="499" t="s">
        <v>997</v>
      </c>
      <c r="K545" s="499" t="s">
        <v>2048</v>
      </c>
      <c r="L545" s="499">
        <v>8</v>
      </c>
      <c r="M545" s="499" t="s">
        <v>2067</v>
      </c>
      <c r="N545" s="499" t="s">
        <v>2068</v>
      </c>
      <c r="O545" s="525">
        <v>0</v>
      </c>
      <c r="P545" s="499" t="s">
        <v>2054</v>
      </c>
      <c r="Q545" s="499"/>
      <c r="R545" s="499"/>
      <c r="S545" s="525"/>
      <c r="T545" s="525">
        <v>0</v>
      </c>
      <c r="U545" s="525">
        <v>1</v>
      </c>
      <c r="V545" s="525" t="s">
        <v>2054</v>
      </c>
      <c r="W545" s="589">
        <f>IF(AND(BaleMover[[#This Row],[Scenario_ID]]="S3",BaleMover[[#This Row],[MRF_ID]]="05"),0,IFERROR(BaleMover[[#This Row],[Total_Baled_tons]]*(IF(BaleMover[[#This Row],[Scenario_ID]]="S0",-2,0)+INDEX(BalePrices[Low],MATCH(BaleMover[[#This Row],[Bale_ID]],BalePrices[Bale_ID],0))),0))</f>
        <v>0</v>
      </c>
      <c r="X545" s="397">
        <f>IF(AND(BaleMover[[#This Row],[Scenario_ID]]="S3",BaleMover[[#This Row],[MRF_ID]]="05"),0,IFERROR(BaleMover[[#This Row],[Total_Baled_tons]]*(IF(BaleMover[[#This Row],[Scenario_ID]]="S0",-2,0)+INDEX(BalePrices[Mid-Point],MATCH(BaleMover[[#This Row],[Bale_ID]],BalePrices[Bale_ID],0))),0))</f>
        <v>0</v>
      </c>
      <c r="Y545" s="397">
        <f>IF(AND(BaleMover[[#This Row],[Scenario_ID]]="S3",BaleMover[[#This Row],[MRF_ID]]="05"),0,IFERROR(BaleMover[[#This Row],[Total_Baled_tons]]*(IF(BaleMover[[#This Row],[Scenario_ID]]="S0",-2,0)+INDEX(BalePrices[High],MATCH(BaleMover[[#This Row],[Bale_ID]],BalePrices[Bale_ID],0))),0))</f>
        <v>0</v>
      </c>
    </row>
    <row r="546" spans="2:25" x14ac:dyDescent="0.2">
      <c r="B546" s="545" t="s">
        <v>873</v>
      </c>
      <c r="C546" s="499" t="s">
        <v>754</v>
      </c>
      <c r="D546" s="499"/>
      <c r="E546" s="499"/>
      <c r="F546" s="499" t="s">
        <v>1999</v>
      </c>
      <c r="G546" s="499" t="s">
        <v>2121</v>
      </c>
      <c r="H546" s="499" t="s">
        <v>1712</v>
      </c>
      <c r="I546" s="499" t="s">
        <v>996</v>
      </c>
      <c r="J546" s="499" t="s">
        <v>997</v>
      </c>
      <c r="K546" s="499" t="s">
        <v>2048</v>
      </c>
      <c r="L546" s="499">
        <v>8</v>
      </c>
      <c r="M546" s="499" t="s">
        <v>2067</v>
      </c>
      <c r="N546" s="499" t="s">
        <v>2068</v>
      </c>
      <c r="O546" s="525">
        <v>0</v>
      </c>
      <c r="P546" s="499" t="s">
        <v>2054</v>
      </c>
      <c r="Q546" s="499"/>
      <c r="R546" s="499"/>
      <c r="S546" s="525"/>
      <c r="T546" s="525">
        <v>0</v>
      </c>
      <c r="U546" s="525">
        <v>1</v>
      </c>
      <c r="V546" s="525" t="s">
        <v>2054</v>
      </c>
      <c r="W546" s="589">
        <f>IF(AND(BaleMover[[#This Row],[Scenario_ID]]="S3",BaleMover[[#This Row],[MRF_ID]]="05"),0,IFERROR(BaleMover[[#This Row],[Total_Baled_tons]]*(IF(BaleMover[[#This Row],[Scenario_ID]]="S0",-2,0)+INDEX(BalePrices[Low],MATCH(BaleMover[[#This Row],[Bale_ID]],BalePrices[Bale_ID],0))),0))</f>
        <v>0</v>
      </c>
      <c r="X546" s="397">
        <f>IF(AND(BaleMover[[#This Row],[Scenario_ID]]="S3",BaleMover[[#This Row],[MRF_ID]]="05"),0,IFERROR(BaleMover[[#This Row],[Total_Baled_tons]]*(IF(BaleMover[[#This Row],[Scenario_ID]]="S0",-2,0)+INDEX(BalePrices[Mid-Point],MATCH(BaleMover[[#This Row],[Bale_ID]],BalePrices[Bale_ID],0))),0))</f>
        <v>0</v>
      </c>
      <c r="Y546" s="397">
        <f>IF(AND(BaleMover[[#This Row],[Scenario_ID]]="S3",BaleMover[[#This Row],[MRF_ID]]="05"),0,IFERROR(BaleMover[[#This Row],[Total_Baled_tons]]*(IF(BaleMover[[#This Row],[Scenario_ID]]="S0",-2,0)+INDEX(BalePrices[High],MATCH(BaleMover[[#This Row],[Bale_ID]],BalePrices[Bale_ID],0))),0))</f>
        <v>0</v>
      </c>
    </row>
    <row r="547" spans="2:25" x14ac:dyDescent="0.2">
      <c r="B547" s="545" t="s">
        <v>870</v>
      </c>
      <c r="C547" s="499" t="s">
        <v>754</v>
      </c>
      <c r="D547" s="499"/>
      <c r="E547" s="499"/>
      <c r="F547" s="499" t="s">
        <v>1999</v>
      </c>
      <c r="G547" s="499" t="s">
        <v>2122</v>
      </c>
      <c r="H547" s="499" t="s">
        <v>1713</v>
      </c>
      <c r="I547" s="499" t="s">
        <v>996</v>
      </c>
      <c r="J547" s="499" t="s">
        <v>997</v>
      </c>
      <c r="K547" s="499" t="s">
        <v>2048</v>
      </c>
      <c r="L547" s="499">
        <v>8</v>
      </c>
      <c r="M547" s="499" t="s">
        <v>2067</v>
      </c>
      <c r="N547" s="499" t="s">
        <v>2068</v>
      </c>
      <c r="O547" s="525">
        <v>0</v>
      </c>
      <c r="P547" s="499" t="s">
        <v>2054</v>
      </c>
      <c r="Q547" s="499"/>
      <c r="R547" s="499"/>
      <c r="S547" s="525"/>
      <c r="T547" s="525">
        <v>0</v>
      </c>
      <c r="U547" s="525">
        <v>1</v>
      </c>
      <c r="V547" s="525" t="s">
        <v>2054</v>
      </c>
      <c r="W547" s="589">
        <f>IF(AND(BaleMover[[#This Row],[Scenario_ID]]="S3",BaleMover[[#This Row],[MRF_ID]]="05"),0,IFERROR(BaleMover[[#This Row],[Total_Baled_tons]]*(IF(BaleMover[[#This Row],[Scenario_ID]]="S0",-2,0)+INDEX(BalePrices[Low],MATCH(BaleMover[[#This Row],[Bale_ID]],BalePrices[Bale_ID],0))),0))</f>
        <v>0</v>
      </c>
      <c r="X547" s="397">
        <f>IF(AND(BaleMover[[#This Row],[Scenario_ID]]="S3",BaleMover[[#This Row],[MRF_ID]]="05"),0,IFERROR(BaleMover[[#This Row],[Total_Baled_tons]]*(IF(BaleMover[[#This Row],[Scenario_ID]]="S0",-2,0)+INDEX(BalePrices[Mid-Point],MATCH(BaleMover[[#This Row],[Bale_ID]],BalePrices[Bale_ID],0))),0))</f>
        <v>0</v>
      </c>
      <c r="Y547" s="397">
        <f>IF(AND(BaleMover[[#This Row],[Scenario_ID]]="S3",BaleMover[[#This Row],[MRF_ID]]="05"),0,IFERROR(BaleMover[[#This Row],[Total_Baled_tons]]*(IF(BaleMover[[#This Row],[Scenario_ID]]="S0",-2,0)+INDEX(BalePrices[High],MATCH(BaleMover[[#This Row],[Bale_ID]],BalePrices[Bale_ID],0))),0))</f>
        <v>0</v>
      </c>
    </row>
    <row r="548" spans="2:25" x14ac:dyDescent="0.2">
      <c r="B548" s="545" t="s">
        <v>876</v>
      </c>
      <c r="C548" s="499" t="s">
        <v>754</v>
      </c>
      <c r="D548" s="499"/>
      <c r="E548" s="499"/>
      <c r="F548" s="499" t="s">
        <v>1999</v>
      </c>
      <c r="G548" s="499" t="s">
        <v>2118</v>
      </c>
      <c r="H548" s="499" t="s">
        <v>1714</v>
      </c>
      <c r="I548" s="499" t="s">
        <v>998</v>
      </c>
      <c r="J548" s="499" t="s">
        <v>999</v>
      </c>
      <c r="K548" s="499" t="s">
        <v>2048</v>
      </c>
      <c r="L548" s="499">
        <v>8</v>
      </c>
      <c r="M548" s="499" t="s">
        <v>2067</v>
      </c>
      <c r="N548" s="499" t="s">
        <v>2068</v>
      </c>
      <c r="O548" s="525">
        <v>0</v>
      </c>
      <c r="P548" s="499" t="s">
        <v>2054</v>
      </c>
      <c r="Q548" s="499"/>
      <c r="R548" s="499"/>
      <c r="S548" s="525"/>
      <c r="T548" s="525">
        <v>0</v>
      </c>
      <c r="U548" s="525">
        <v>1</v>
      </c>
      <c r="V548" s="525" t="s">
        <v>2054</v>
      </c>
      <c r="W548" s="589">
        <f>IF(AND(BaleMover[[#This Row],[Scenario_ID]]="S3",BaleMover[[#This Row],[MRF_ID]]="05"),0,IFERROR(BaleMover[[#This Row],[Total_Baled_tons]]*(IF(BaleMover[[#This Row],[Scenario_ID]]="S0",-2,0)+INDEX(BalePrices[Low],MATCH(BaleMover[[#This Row],[Bale_ID]],BalePrices[Bale_ID],0))),0))</f>
        <v>0</v>
      </c>
      <c r="X548" s="397">
        <f>IF(AND(BaleMover[[#This Row],[Scenario_ID]]="S3",BaleMover[[#This Row],[MRF_ID]]="05"),0,IFERROR(BaleMover[[#This Row],[Total_Baled_tons]]*(IF(BaleMover[[#This Row],[Scenario_ID]]="S0",-2,0)+INDEX(BalePrices[Mid-Point],MATCH(BaleMover[[#This Row],[Bale_ID]],BalePrices[Bale_ID],0))),0))</f>
        <v>0</v>
      </c>
      <c r="Y548" s="397">
        <f>IF(AND(BaleMover[[#This Row],[Scenario_ID]]="S3",BaleMover[[#This Row],[MRF_ID]]="05"),0,IFERROR(BaleMover[[#This Row],[Total_Baled_tons]]*(IF(BaleMover[[#This Row],[Scenario_ID]]="S0",-2,0)+INDEX(BalePrices[High],MATCH(BaleMover[[#This Row],[Bale_ID]],BalePrices[Bale_ID],0))),0))</f>
        <v>0</v>
      </c>
    </row>
    <row r="549" spans="2:25" x14ac:dyDescent="0.2">
      <c r="B549" s="545" t="s">
        <v>875</v>
      </c>
      <c r="C549" s="499" t="s">
        <v>754</v>
      </c>
      <c r="D549" s="499"/>
      <c r="E549" s="499"/>
      <c r="F549" s="499" t="s">
        <v>1999</v>
      </c>
      <c r="G549" s="499" t="s">
        <v>2119</v>
      </c>
      <c r="H549" s="499" t="s">
        <v>1715</v>
      </c>
      <c r="I549" s="499" t="s">
        <v>998</v>
      </c>
      <c r="J549" s="499" t="s">
        <v>999</v>
      </c>
      <c r="K549" s="499" t="s">
        <v>2048</v>
      </c>
      <c r="L549" s="499">
        <v>8</v>
      </c>
      <c r="M549" s="499" t="s">
        <v>2067</v>
      </c>
      <c r="N549" s="499" t="s">
        <v>2068</v>
      </c>
      <c r="O549" s="525">
        <v>0</v>
      </c>
      <c r="P549" s="499" t="s">
        <v>2054</v>
      </c>
      <c r="Q549" s="499"/>
      <c r="R549" s="499"/>
      <c r="S549" s="525"/>
      <c r="T549" s="525">
        <v>0</v>
      </c>
      <c r="U549" s="525">
        <v>1</v>
      </c>
      <c r="V549" s="525" t="s">
        <v>2054</v>
      </c>
      <c r="W549" s="589">
        <f>IF(AND(BaleMover[[#This Row],[Scenario_ID]]="S3",BaleMover[[#This Row],[MRF_ID]]="05"),0,IFERROR(BaleMover[[#This Row],[Total_Baled_tons]]*(IF(BaleMover[[#This Row],[Scenario_ID]]="S0",-2,0)+INDEX(BalePrices[Low],MATCH(BaleMover[[#This Row],[Bale_ID]],BalePrices[Bale_ID],0))),0))</f>
        <v>0</v>
      </c>
      <c r="X549" s="397">
        <f>IF(AND(BaleMover[[#This Row],[Scenario_ID]]="S3",BaleMover[[#This Row],[MRF_ID]]="05"),0,IFERROR(BaleMover[[#This Row],[Total_Baled_tons]]*(IF(BaleMover[[#This Row],[Scenario_ID]]="S0",-2,0)+INDEX(BalePrices[Mid-Point],MATCH(BaleMover[[#This Row],[Bale_ID]],BalePrices[Bale_ID],0))),0))</f>
        <v>0</v>
      </c>
      <c r="Y549" s="397">
        <f>IF(AND(BaleMover[[#This Row],[Scenario_ID]]="S3",BaleMover[[#This Row],[MRF_ID]]="05"),0,IFERROR(BaleMover[[#This Row],[Total_Baled_tons]]*(IF(BaleMover[[#This Row],[Scenario_ID]]="S0",-2,0)+INDEX(BalePrices[High],MATCH(BaleMover[[#This Row],[Bale_ID]],BalePrices[Bale_ID],0))),0))</f>
        <v>0</v>
      </c>
    </row>
    <row r="550" spans="2:25" x14ac:dyDescent="0.2">
      <c r="B550" s="545" t="s">
        <v>874</v>
      </c>
      <c r="C550" s="499" t="s">
        <v>754</v>
      </c>
      <c r="D550" s="499"/>
      <c r="E550" s="499"/>
      <c r="F550" s="499" t="s">
        <v>1999</v>
      </c>
      <c r="G550" s="499" t="s">
        <v>2120</v>
      </c>
      <c r="H550" s="499" t="s">
        <v>1716</v>
      </c>
      <c r="I550" s="499" t="s">
        <v>998</v>
      </c>
      <c r="J550" s="499" t="s">
        <v>999</v>
      </c>
      <c r="K550" s="499" t="s">
        <v>2048</v>
      </c>
      <c r="L550" s="499">
        <v>8</v>
      </c>
      <c r="M550" s="499" t="s">
        <v>2067</v>
      </c>
      <c r="N550" s="499" t="s">
        <v>2068</v>
      </c>
      <c r="O550" s="525">
        <v>0</v>
      </c>
      <c r="P550" s="499" t="s">
        <v>2054</v>
      </c>
      <c r="Q550" s="499"/>
      <c r="R550" s="499"/>
      <c r="S550" s="525"/>
      <c r="T550" s="525">
        <v>0</v>
      </c>
      <c r="U550" s="525">
        <v>1</v>
      </c>
      <c r="V550" s="525" t="s">
        <v>2054</v>
      </c>
      <c r="W550" s="589">
        <f>IF(AND(BaleMover[[#This Row],[Scenario_ID]]="S3",BaleMover[[#This Row],[MRF_ID]]="05"),0,IFERROR(BaleMover[[#This Row],[Total_Baled_tons]]*(IF(BaleMover[[#This Row],[Scenario_ID]]="S0",-2,0)+INDEX(BalePrices[Low],MATCH(BaleMover[[#This Row],[Bale_ID]],BalePrices[Bale_ID],0))),0))</f>
        <v>0</v>
      </c>
      <c r="X550" s="397">
        <f>IF(AND(BaleMover[[#This Row],[Scenario_ID]]="S3",BaleMover[[#This Row],[MRF_ID]]="05"),0,IFERROR(BaleMover[[#This Row],[Total_Baled_tons]]*(IF(BaleMover[[#This Row],[Scenario_ID]]="S0",-2,0)+INDEX(BalePrices[Mid-Point],MATCH(BaleMover[[#This Row],[Bale_ID]],BalePrices[Bale_ID],0))),0))</f>
        <v>0</v>
      </c>
      <c r="Y550" s="397">
        <f>IF(AND(BaleMover[[#This Row],[Scenario_ID]]="S3",BaleMover[[#This Row],[MRF_ID]]="05"),0,IFERROR(BaleMover[[#This Row],[Total_Baled_tons]]*(IF(BaleMover[[#This Row],[Scenario_ID]]="S0",-2,0)+INDEX(BalePrices[High],MATCH(BaleMover[[#This Row],[Bale_ID]],BalePrices[Bale_ID],0))),0))</f>
        <v>0</v>
      </c>
    </row>
    <row r="551" spans="2:25" x14ac:dyDescent="0.2">
      <c r="B551" s="545" t="s">
        <v>873</v>
      </c>
      <c r="C551" s="499" t="s">
        <v>754</v>
      </c>
      <c r="D551" s="499"/>
      <c r="E551" s="499"/>
      <c r="F551" s="499" t="s">
        <v>1999</v>
      </c>
      <c r="G551" s="499" t="s">
        <v>2121</v>
      </c>
      <c r="H551" s="499" t="s">
        <v>1717</v>
      </c>
      <c r="I551" s="499" t="s">
        <v>998</v>
      </c>
      <c r="J551" s="499" t="s">
        <v>999</v>
      </c>
      <c r="K551" s="499" t="s">
        <v>2048</v>
      </c>
      <c r="L551" s="499">
        <v>8</v>
      </c>
      <c r="M551" s="499" t="s">
        <v>2067</v>
      </c>
      <c r="N551" s="499" t="s">
        <v>2068</v>
      </c>
      <c r="O551" s="525">
        <v>0</v>
      </c>
      <c r="P551" s="499" t="s">
        <v>2054</v>
      </c>
      <c r="Q551" s="499"/>
      <c r="R551" s="499"/>
      <c r="S551" s="525"/>
      <c r="T551" s="525">
        <v>0</v>
      </c>
      <c r="U551" s="525">
        <v>1</v>
      </c>
      <c r="V551" s="525" t="s">
        <v>2054</v>
      </c>
      <c r="W551" s="589">
        <f>IF(AND(BaleMover[[#This Row],[Scenario_ID]]="S3",BaleMover[[#This Row],[MRF_ID]]="05"),0,IFERROR(BaleMover[[#This Row],[Total_Baled_tons]]*(IF(BaleMover[[#This Row],[Scenario_ID]]="S0",-2,0)+INDEX(BalePrices[Low],MATCH(BaleMover[[#This Row],[Bale_ID]],BalePrices[Bale_ID],0))),0))</f>
        <v>0</v>
      </c>
      <c r="X551" s="397">
        <f>IF(AND(BaleMover[[#This Row],[Scenario_ID]]="S3",BaleMover[[#This Row],[MRF_ID]]="05"),0,IFERROR(BaleMover[[#This Row],[Total_Baled_tons]]*(IF(BaleMover[[#This Row],[Scenario_ID]]="S0",-2,0)+INDEX(BalePrices[Mid-Point],MATCH(BaleMover[[#This Row],[Bale_ID]],BalePrices[Bale_ID],0))),0))</f>
        <v>0</v>
      </c>
      <c r="Y551" s="397">
        <f>IF(AND(BaleMover[[#This Row],[Scenario_ID]]="S3",BaleMover[[#This Row],[MRF_ID]]="05"),0,IFERROR(BaleMover[[#This Row],[Total_Baled_tons]]*(IF(BaleMover[[#This Row],[Scenario_ID]]="S0",-2,0)+INDEX(BalePrices[High],MATCH(BaleMover[[#This Row],[Bale_ID]],BalePrices[Bale_ID],0))),0))</f>
        <v>0</v>
      </c>
    </row>
    <row r="552" spans="2:25" x14ac:dyDescent="0.2">
      <c r="B552" s="545" t="s">
        <v>870</v>
      </c>
      <c r="C552" s="499" t="s">
        <v>754</v>
      </c>
      <c r="D552" s="499"/>
      <c r="E552" s="499"/>
      <c r="F552" s="499" t="s">
        <v>1999</v>
      </c>
      <c r="G552" s="499" t="s">
        <v>2122</v>
      </c>
      <c r="H552" s="499" t="s">
        <v>1718</v>
      </c>
      <c r="I552" s="499" t="s">
        <v>998</v>
      </c>
      <c r="J552" s="499" t="s">
        <v>999</v>
      </c>
      <c r="K552" s="499" t="s">
        <v>2048</v>
      </c>
      <c r="L552" s="499">
        <v>8</v>
      </c>
      <c r="M552" s="499" t="s">
        <v>2067</v>
      </c>
      <c r="N552" s="499" t="s">
        <v>2068</v>
      </c>
      <c r="O552" s="525">
        <v>0</v>
      </c>
      <c r="P552" s="499" t="s">
        <v>2054</v>
      </c>
      <c r="Q552" s="499"/>
      <c r="R552" s="499"/>
      <c r="S552" s="525"/>
      <c r="T552" s="525">
        <v>0</v>
      </c>
      <c r="U552" s="525">
        <v>1</v>
      </c>
      <c r="V552" s="525" t="s">
        <v>2054</v>
      </c>
      <c r="W552" s="589">
        <f>IF(AND(BaleMover[[#This Row],[Scenario_ID]]="S3",BaleMover[[#This Row],[MRF_ID]]="05"),0,IFERROR(BaleMover[[#This Row],[Total_Baled_tons]]*(IF(BaleMover[[#This Row],[Scenario_ID]]="S0",-2,0)+INDEX(BalePrices[Low],MATCH(BaleMover[[#This Row],[Bale_ID]],BalePrices[Bale_ID],0))),0))</f>
        <v>0</v>
      </c>
      <c r="X552" s="397">
        <f>IF(AND(BaleMover[[#This Row],[Scenario_ID]]="S3",BaleMover[[#This Row],[MRF_ID]]="05"),0,IFERROR(BaleMover[[#This Row],[Total_Baled_tons]]*(IF(BaleMover[[#This Row],[Scenario_ID]]="S0",-2,0)+INDEX(BalePrices[Mid-Point],MATCH(BaleMover[[#This Row],[Bale_ID]],BalePrices[Bale_ID],0))),0))</f>
        <v>0</v>
      </c>
      <c r="Y552" s="397">
        <f>IF(AND(BaleMover[[#This Row],[Scenario_ID]]="S3",BaleMover[[#This Row],[MRF_ID]]="05"),0,IFERROR(BaleMover[[#This Row],[Total_Baled_tons]]*(IF(BaleMover[[#This Row],[Scenario_ID]]="S0",-2,0)+INDEX(BalePrices[High],MATCH(BaleMover[[#This Row],[Bale_ID]],BalePrices[Bale_ID],0))),0))</f>
        <v>0</v>
      </c>
    </row>
    <row r="553" spans="2:25" x14ac:dyDescent="0.2">
      <c r="B553" s="545" t="s">
        <v>876</v>
      </c>
      <c r="C553" s="499" t="s">
        <v>754</v>
      </c>
      <c r="D553" s="499"/>
      <c r="E553" s="499"/>
      <c r="F553" s="499" t="s">
        <v>1999</v>
      </c>
      <c r="G553" s="499" t="s">
        <v>2118</v>
      </c>
      <c r="H553" s="499" t="s">
        <v>1719</v>
      </c>
      <c r="I553" s="499" t="s">
        <v>1000</v>
      </c>
      <c r="J553" s="499" t="s">
        <v>1001</v>
      </c>
      <c r="K553" s="499" t="s">
        <v>2048</v>
      </c>
      <c r="L553" s="499">
        <v>12</v>
      </c>
      <c r="M553" s="499" t="s">
        <v>2069</v>
      </c>
      <c r="N553" s="499" t="s">
        <v>2070</v>
      </c>
      <c r="O553" s="525">
        <v>40.228254440081649</v>
      </c>
      <c r="P553" s="499">
        <v>2680</v>
      </c>
      <c r="Q553" s="499"/>
      <c r="R553" s="499"/>
      <c r="S553" s="525"/>
      <c r="T553" s="525">
        <v>0</v>
      </c>
      <c r="U553" s="525">
        <v>1</v>
      </c>
      <c r="V553" s="525">
        <v>107811.72189941882</v>
      </c>
      <c r="W553" s="589">
        <f>IF(AND(BaleMover[[#This Row],[Scenario_ID]]="S3",BaleMover[[#This Row],[MRF_ID]]="05"),0,IFERROR(BaleMover[[#This Row],[Total_Baled_tons]]*(IF(BaleMover[[#This Row],[Scenario_ID]]="S0",-2,0)+INDEX(BalePrices[Low],MATCH(BaleMover[[#This Row],[Bale_ID]],BalePrices[Bale_ID],0))),0))</f>
        <v>1930.956213123919</v>
      </c>
      <c r="X553" s="397">
        <f>IF(AND(BaleMover[[#This Row],[Scenario_ID]]="S3",BaleMover[[#This Row],[MRF_ID]]="05"),0,IFERROR(BaleMover[[#This Row],[Total_Baled_tons]]*(IF(BaleMover[[#This Row],[Scenario_ID]]="S0",-2,0)+INDEX(BalePrices[Mid-Point],MATCH(BaleMover[[#This Row],[Bale_ID]],BalePrices[Bale_ID],0))),0))</f>
        <v>3942.3689351280018</v>
      </c>
      <c r="Y553" s="397">
        <f>IF(AND(BaleMover[[#This Row],[Scenario_ID]]="S3",BaleMover[[#This Row],[MRF_ID]]="05"),0,IFERROR(BaleMover[[#This Row],[Total_Baled_tons]]*(IF(BaleMover[[#This Row],[Scenario_ID]]="S0",-2,0)+INDEX(BalePrices[High],MATCH(BaleMover[[#This Row],[Bale_ID]],BalePrices[Bale_ID],0))),0))</f>
        <v>5953.7816571320836</v>
      </c>
    </row>
    <row r="554" spans="2:25" x14ac:dyDescent="0.2">
      <c r="B554" s="545" t="s">
        <v>875</v>
      </c>
      <c r="C554" s="499" t="s">
        <v>754</v>
      </c>
      <c r="D554" s="499"/>
      <c r="E554" s="499"/>
      <c r="F554" s="499" t="s">
        <v>1999</v>
      </c>
      <c r="G554" s="499" t="s">
        <v>2119</v>
      </c>
      <c r="H554" s="499" t="s">
        <v>1720</v>
      </c>
      <c r="I554" s="499" t="s">
        <v>1000</v>
      </c>
      <c r="J554" s="499" t="s">
        <v>1001</v>
      </c>
      <c r="K554" s="499" t="s">
        <v>2048</v>
      </c>
      <c r="L554" s="499">
        <v>12</v>
      </c>
      <c r="M554" s="499" t="s">
        <v>2069</v>
      </c>
      <c r="N554" s="499" t="s">
        <v>2070</v>
      </c>
      <c r="O554" s="525">
        <v>40.228254440081649</v>
      </c>
      <c r="P554" s="499">
        <v>2680</v>
      </c>
      <c r="Q554" s="499"/>
      <c r="R554" s="499"/>
      <c r="S554" s="525"/>
      <c r="T554" s="525">
        <v>0</v>
      </c>
      <c r="U554" s="525">
        <v>1</v>
      </c>
      <c r="V554" s="525">
        <v>107811.72189941882</v>
      </c>
      <c r="W554" s="589">
        <f>IF(AND(BaleMover[[#This Row],[Scenario_ID]]="S3",BaleMover[[#This Row],[MRF_ID]]="05"),0,IFERROR(BaleMover[[#This Row],[Total_Baled_tons]]*(IF(BaleMover[[#This Row],[Scenario_ID]]="S0",-2,0)+INDEX(BalePrices[Low],MATCH(BaleMover[[#This Row],[Bale_ID]],BalePrices[Bale_ID],0))),0))</f>
        <v>2011.4127220040825</v>
      </c>
      <c r="X554" s="397">
        <f>IF(AND(BaleMover[[#This Row],[Scenario_ID]]="S3",BaleMover[[#This Row],[MRF_ID]]="05"),0,IFERROR(BaleMover[[#This Row],[Total_Baled_tons]]*(IF(BaleMover[[#This Row],[Scenario_ID]]="S0",-2,0)+INDEX(BalePrices[Mid-Point],MATCH(BaleMover[[#This Row],[Bale_ID]],BalePrices[Bale_ID],0))),0))</f>
        <v>4022.8254440081651</v>
      </c>
      <c r="Y554" s="397">
        <f>IF(AND(BaleMover[[#This Row],[Scenario_ID]]="S3",BaleMover[[#This Row],[MRF_ID]]="05"),0,IFERROR(BaleMover[[#This Row],[Total_Baled_tons]]*(IF(BaleMover[[#This Row],[Scenario_ID]]="S0",-2,0)+INDEX(BalePrices[High],MATCH(BaleMover[[#This Row],[Bale_ID]],BalePrices[Bale_ID],0))),0))</f>
        <v>6034.2381660122473</v>
      </c>
    </row>
    <row r="555" spans="2:25" x14ac:dyDescent="0.2">
      <c r="B555" s="545" t="s">
        <v>874</v>
      </c>
      <c r="C555" s="499" t="s">
        <v>754</v>
      </c>
      <c r="D555" s="499"/>
      <c r="E555" s="499"/>
      <c r="F555" s="499" t="s">
        <v>1999</v>
      </c>
      <c r="G555" s="499" t="s">
        <v>2120</v>
      </c>
      <c r="H555" s="499" t="s">
        <v>1721</v>
      </c>
      <c r="I555" s="499" t="s">
        <v>1000</v>
      </c>
      <c r="J555" s="499" t="s">
        <v>1001</v>
      </c>
      <c r="K555" s="499" t="s">
        <v>2048</v>
      </c>
      <c r="L555" s="499">
        <v>12</v>
      </c>
      <c r="M555" s="499" t="s">
        <v>2069</v>
      </c>
      <c r="N555" s="499" t="s">
        <v>2070</v>
      </c>
      <c r="O555" s="525">
        <v>2129.0751915226092</v>
      </c>
      <c r="P555" s="499">
        <v>2680</v>
      </c>
      <c r="Q555" s="499"/>
      <c r="R555" s="499"/>
      <c r="S555" s="525"/>
      <c r="T555" s="525">
        <v>0</v>
      </c>
      <c r="U555" s="525">
        <v>1</v>
      </c>
      <c r="V555" s="525">
        <v>5705921.5132805929</v>
      </c>
      <c r="W555" s="589">
        <f>IF(AND(BaleMover[[#This Row],[Scenario_ID]]="S3",BaleMover[[#This Row],[MRF_ID]]="05"),0,IFERROR(BaleMover[[#This Row],[Total_Baled_tons]]*(IF(BaleMover[[#This Row],[Scenario_ID]]="S0",-2,0)+INDEX(BalePrices[Low],MATCH(BaleMover[[#This Row],[Bale_ID]],BalePrices[Bale_ID],0))),0))</f>
        <v>106453.75957613045</v>
      </c>
      <c r="X555" s="397">
        <f>IF(AND(BaleMover[[#This Row],[Scenario_ID]]="S3",BaleMover[[#This Row],[MRF_ID]]="05"),0,IFERROR(BaleMover[[#This Row],[Total_Baled_tons]]*(IF(BaleMover[[#This Row],[Scenario_ID]]="S0",-2,0)+INDEX(BalePrices[Mid-Point],MATCH(BaleMover[[#This Row],[Bale_ID]],BalePrices[Bale_ID],0))),0))</f>
        <v>212907.51915226091</v>
      </c>
      <c r="Y555" s="397">
        <f>IF(AND(BaleMover[[#This Row],[Scenario_ID]]="S3",BaleMover[[#This Row],[MRF_ID]]="05"),0,IFERROR(BaleMover[[#This Row],[Total_Baled_tons]]*(IF(BaleMover[[#This Row],[Scenario_ID]]="S0",-2,0)+INDEX(BalePrices[High],MATCH(BaleMover[[#This Row],[Bale_ID]],BalePrices[Bale_ID],0))),0))</f>
        <v>319361.27872839139</v>
      </c>
    </row>
    <row r="556" spans="2:25" x14ac:dyDescent="0.2">
      <c r="B556" s="545" t="s">
        <v>873</v>
      </c>
      <c r="C556" s="499" t="s">
        <v>754</v>
      </c>
      <c r="D556" s="499"/>
      <c r="E556" s="499"/>
      <c r="F556" s="499" t="s">
        <v>1999</v>
      </c>
      <c r="G556" s="499" t="s">
        <v>2121</v>
      </c>
      <c r="H556" s="499" t="s">
        <v>1722</v>
      </c>
      <c r="I556" s="499" t="s">
        <v>1000</v>
      </c>
      <c r="J556" s="499" t="s">
        <v>1001</v>
      </c>
      <c r="K556" s="499" t="s">
        <v>2048</v>
      </c>
      <c r="L556" s="499">
        <v>12</v>
      </c>
      <c r="M556" s="499" t="s">
        <v>2069</v>
      </c>
      <c r="N556" s="499" t="s">
        <v>2070</v>
      </c>
      <c r="O556" s="525">
        <v>2129.0751915226092</v>
      </c>
      <c r="P556" s="499">
        <v>2680</v>
      </c>
      <c r="Q556" s="499"/>
      <c r="R556" s="499"/>
      <c r="S556" s="525"/>
      <c r="T556" s="525">
        <v>0</v>
      </c>
      <c r="U556" s="525">
        <v>1</v>
      </c>
      <c r="V556" s="525">
        <v>5705921.5132805929</v>
      </c>
      <c r="W556" s="589">
        <f>IF(AND(BaleMover[[#This Row],[Scenario_ID]]="S3",BaleMover[[#This Row],[MRF_ID]]="05"),0,IFERROR(BaleMover[[#This Row],[Total_Baled_tons]]*(IF(BaleMover[[#This Row],[Scenario_ID]]="S0",-2,0)+INDEX(BalePrices[Low],MATCH(BaleMover[[#This Row],[Bale_ID]],BalePrices[Bale_ID],0))),0))</f>
        <v>106453.75957613045</v>
      </c>
      <c r="X556" s="397">
        <f>IF(AND(BaleMover[[#This Row],[Scenario_ID]]="S3",BaleMover[[#This Row],[MRF_ID]]="05"),0,IFERROR(BaleMover[[#This Row],[Total_Baled_tons]]*(IF(BaleMover[[#This Row],[Scenario_ID]]="S0",-2,0)+INDEX(BalePrices[Mid-Point],MATCH(BaleMover[[#This Row],[Bale_ID]],BalePrices[Bale_ID],0))),0))</f>
        <v>212907.51915226091</v>
      </c>
      <c r="Y556" s="397">
        <f>IF(AND(BaleMover[[#This Row],[Scenario_ID]]="S3",BaleMover[[#This Row],[MRF_ID]]="05"),0,IFERROR(BaleMover[[#This Row],[Total_Baled_tons]]*(IF(BaleMover[[#This Row],[Scenario_ID]]="S0",-2,0)+INDEX(BalePrices[High],MATCH(BaleMover[[#This Row],[Bale_ID]],BalePrices[Bale_ID],0))),0))</f>
        <v>319361.27872839139</v>
      </c>
    </row>
    <row r="557" spans="2:25" x14ac:dyDescent="0.2">
      <c r="B557" s="545" t="s">
        <v>870</v>
      </c>
      <c r="C557" s="499" t="s">
        <v>754</v>
      </c>
      <c r="D557" s="499"/>
      <c r="E557" s="499"/>
      <c r="F557" s="499" t="s">
        <v>1999</v>
      </c>
      <c r="G557" s="499" t="s">
        <v>2122</v>
      </c>
      <c r="H557" s="499" t="s">
        <v>1723</v>
      </c>
      <c r="I557" s="499" t="s">
        <v>1000</v>
      </c>
      <c r="J557" s="499" t="s">
        <v>1001</v>
      </c>
      <c r="K557" s="499" t="s">
        <v>2048</v>
      </c>
      <c r="L557" s="499">
        <v>12</v>
      </c>
      <c r="M557" s="499" t="s">
        <v>2069</v>
      </c>
      <c r="N557" s="499" t="s">
        <v>2070</v>
      </c>
      <c r="O557" s="525">
        <v>2129.0751915226092</v>
      </c>
      <c r="P557" s="499">
        <v>2680</v>
      </c>
      <c r="Q557" s="499"/>
      <c r="R557" s="499"/>
      <c r="S557" s="525"/>
      <c r="T557" s="525">
        <v>0</v>
      </c>
      <c r="U557" s="525">
        <v>1</v>
      </c>
      <c r="V557" s="525">
        <v>5705921.5132805929</v>
      </c>
      <c r="W557" s="589">
        <f>IF(AND(BaleMover[[#This Row],[Scenario_ID]]="S3",BaleMover[[#This Row],[MRF_ID]]="05"),0,IFERROR(BaleMover[[#This Row],[Total_Baled_tons]]*(IF(BaleMover[[#This Row],[Scenario_ID]]="S0",-2,0)+INDEX(BalePrices[Low],MATCH(BaleMover[[#This Row],[Bale_ID]],BalePrices[Bale_ID],0))),0))</f>
        <v>106453.75957613045</v>
      </c>
      <c r="X557" s="397">
        <f>IF(AND(BaleMover[[#This Row],[Scenario_ID]]="S3",BaleMover[[#This Row],[MRF_ID]]="05"),0,IFERROR(BaleMover[[#This Row],[Total_Baled_tons]]*(IF(BaleMover[[#This Row],[Scenario_ID]]="S0",-2,0)+INDEX(BalePrices[Mid-Point],MATCH(BaleMover[[#This Row],[Bale_ID]],BalePrices[Bale_ID],0))),0))</f>
        <v>212907.51915226091</v>
      </c>
      <c r="Y557" s="397">
        <f>IF(AND(BaleMover[[#This Row],[Scenario_ID]]="S3",BaleMover[[#This Row],[MRF_ID]]="05"),0,IFERROR(BaleMover[[#This Row],[Total_Baled_tons]]*(IF(BaleMover[[#This Row],[Scenario_ID]]="S0",-2,0)+INDEX(BalePrices[High],MATCH(BaleMover[[#This Row],[Bale_ID]],BalePrices[Bale_ID],0))),0))</f>
        <v>319361.27872839139</v>
      </c>
    </row>
    <row r="558" spans="2:25" x14ac:dyDescent="0.2">
      <c r="B558" s="545" t="s">
        <v>876</v>
      </c>
      <c r="C558" s="499" t="s">
        <v>754</v>
      </c>
      <c r="D558" s="499"/>
      <c r="E558" s="499"/>
      <c r="F558" s="499" t="s">
        <v>1999</v>
      </c>
      <c r="G558" s="499" t="s">
        <v>2118</v>
      </c>
      <c r="H558" s="499" t="s">
        <v>1724</v>
      </c>
      <c r="I558" s="499" t="s">
        <v>1002</v>
      </c>
      <c r="J558" s="499" t="s">
        <v>1003</v>
      </c>
      <c r="K558" s="499" t="s">
        <v>2048</v>
      </c>
      <c r="L558" s="499">
        <v>1</v>
      </c>
      <c r="M558" s="499" t="s">
        <v>2065</v>
      </c>
      <c r="N558" s="499" t="s">
        <v>2066</v>
      </c>
      <c r="O558" s="525">
        <v>10.373004533108652</v>
      </c>
      <c r="P558" s="499">
        <v>50</v>
      </c>
      <c r="Q558" s="499"/>
      <c r="R558" s="499"/>
      <c r="S558" s="525"/>
      <c r="T558" s="525">
        <v>0</v>
      </c>
      <c r="U558" s="525">
        <v>1</v>
      </c>
      <c r="V558" s="525">
        <v>518.65022665543256</v>
      </c>
      <c r="W558" s="589">
        <f>IF(AND(BaleMover[[#This Row],[Scenario_ID]]="S3",BaleMover[[#This Row],[MRF_ID]]="05"),0,IFERROR(BaleMover[[#This Row],[Total_Baled_tons]]*(IF(BaleMover[[#This Row],[Scenario_ID]]="S0",-2,0)+INDEX(BalePrices[Low],MATCH(BaleMover[[#This Row],[Bale_ID]],BalePrices[Bale_ID],0))),0))</f>
        <v>1794.5297842277969</v>
      </c>
      <c r="X558" s="397">
        <f>IF(AND(BaleMover[[#This Row],[Scenario_ID]]="S3",BaleMover[[#This Row],[MRF_ID]]="05"),0,IFERROR(BaleMover[[#This Row],[Total_Baled_tons]]*(IF(BaleMover[[#This Row],[Scenario_ID]]="S0",-2,0)+INDEX(BalePrices[Mid-Point],MATCH(BaleMover[[#This Row],[Bale_ID]],BalePrices[Bale_ID],0))),0))</f>
        <v>2183.5174542193713</v>
      </c>
      <c r="Y558" s="397">
        <f>IF(AND(BaleMover[[#This Row],[Scenario_ID]]="S3",BaleMover[[#This Row],[MRF_ID]]="05"),0,IFERROR(BaleMover[[#This Row],[Total_Baled_tons]]*(IF(BaleMover[[#This Row],[Scenario_ID]]="S0",-2,0)+INDEX(BalePrices[High],MATCH(BaleMover[[#This Row],[Bale_ID]],BalePrices[Bale_ID],0))),0))</f>
        <v>2572.5051242109457</v>
      </c>
    </row>
    <row r="559" spans="2:25" x14ac:dyDescent="0.2">
      <c r="B559" s="545" t="s">
        <v>875</v>
      </c>
      <c r="C559" s="499" t="s">
        <v>754</v>
      </c>
      <c r="D559" s="499"/>
      <c r="E559" s="499"/>
      <c r="F559" s="499" t="s">
        <v>1999</v>
      </c>
      <c r="G559" s="499" t="s">
        <v>2119</v>
      </c>
      <c r="H559" s="499" t="s">
        <v>1725</v>
      </c>
      <c r="I559" s="499" t="s">
        <v>1002</v>
      </c>
      <c r="J559" s="499" t="s">
        <v>1003</v>
      </c>
      <c r="K559" s="499" t="s">
        <v>2048</v>
      </c>
      <c r="L559" s="499">
        <v>1</v>
      </c>
      <c r="M559" s="499" t="s">
        <v>2065</v>
      </c>
      <c r="N559" s="499" t="s">
        <v>2066</v>
      </c>
      <c r="O559" s="525">
        <v>10.373004533108652</v>
      </c>
      <c r="P559" s="499">
        <v>50</v>
      </c>
      <c r="Q559" s="499"/>
      <c r="R559" s="499"/>
      <c r="S559" s="525"/>
      <c r="T559" s="525">
        <v>0</v>
      </c>
      <c r="U559" s="525">
        <v>1</v>
      </c>
      <c r="V559" s="525">
        <v>518.65022665543256</v>
      </c>
      <c r="W559" s="589">
        <f>IF(AND(BaleMover[[#This Row],[Scenario_ID]]="S3",BaleMover[[#This Row],[MRF_ID]]="05"),0,IFERROR(BaleMover[[#This Row],[Total_Baled_tons]]*(IF(BaleMover[[#This Row],[Scenario_ID]]="S0",-2,0)+INDEX(BalePrices[Low],MATCH(BaleMover[[#This Row],[Bale_ID]],BalePrices[Bale_ID],0))),0))</f>
        <v>1815.2757932940142</v>
      </c>
      <c r="X559" s="397">
        <f>IF(AND(BaleMover[[#This Row],[Scenario_ID]]="S3",BaleMover[[#This Row],[MRF_ID]]="05"),0,IFERROR(BaleMover[[#This Row],[Total_Baled_tons]]*(IF(BaleMover[[#This Row],[Scenario_ID]]="S0",-2,0)+INDEX(BalePrices[Mid-Point],MATCH(BaleMover[[#This Row],[Bale_ID]],BalePrices[Bale_ID],0))),0))</f>
        <v>2204.2634632855884</v>
      </c>
      <c r="Y559" s="397">
        <f>IF(AND(BaleMover[[#This Row],[Scenario_ID]]="S3",BaleMover[[#This Row],[MRF_ID]]="05"),0,IFERROR(BaleMover[[#This Row],[Total_Baled_tons]]*(IF(BaleMover[[#This Row],[Scenario_ID]]="S0",-2,0)+INDEX(BalePrices[High],MATCH(BaleMover[[#This Row],[Bale_ID]],BalePrices[Bale_ID],0))),0))</f>
        <v>2593.2511332771633</v>
      </c>
    </row>
    <row r="560" spans="2:25" x14ac:dyDescent="0.2">
      <c r="B560" s="545" t="s">
        <v>874</v>
      </c>
      <c r="C560" s="499" t="s">
        <v>754</v>
      </c>
      <c r="D560" s="499"/>
      <c r="E560" s="499"/>
      <c r="F560" s="499" t="s">
        <v>1999</v>
      </c>
      <c r="G560" s="499" t="s">
        <v>2120</v>
      </c>
      <c r="H560" s="499" t="s">
        <v>1726</v>
      </c>
      <c r="I560" s="499" t="s">
        <v>1002</v>
      </c>
      <c r="J560" s="499" t="s">
        <v>1003</v>
      </c>
      <c r="K560" s="499" t="s">
        <v>2048</v>
      </c>
      <c r="L560" s="499">
        <v>1</v>
      </c>
      <c r="M560" s="499" t="s">
        <v>2065</v>
      </c>
      <c r="N560" s="499" t="s">
        <v>2066</v>
      </c>
      <c r="O560" s="525">
        <v>10.373004533108652</v>
      </c>
      <c r="P560" s="499">
        <v>50</v>
      </c>
      <c r="Q560" s="499"/>
      <c r="R560" s="499"/>
      <c r="S560" s="525"/>
      <c r="T560" s="525">
        <v>0</v>
      </c>
      <c r="U560" s="525">
        <v>1</v>
      </c>
      <c r="V560" s="525">
        <v>518.65022665543256</v>
      </c>
      <c r="W560" s="589">
        <f>IF(AND(BaleMover[[#This Row],[Scenario_ID]]="S3",BaleMover[[#This Row],[MRF_ID]]="05"),0,IFERROR(BaleMover[[#This Row],[Total_Baled_tons]]*(IF(BaleMover[[#This Row],[Scenario_ID]]="S0",-2,0)+INDEX(BalePrices[Low],MATCH(BaleMover[[#This Row],[Bale_ID]],BalePrices[Bale_ID],0))),0))</f>
        <v>1815.2757932940142</v>
      </c>
      <c r="X560" s="397">
        <f>IF(AND(BaleMover[[#This Row],[Scenario_ID]]="S3",BaleMover[[#This Row],[MRF_ID]]="05"),0,IFERROR(BaleMover[[#This Row],[Total_Baled_tons]]*(IF(BaleMover[[#This Row],[Scenario_ID]]="S0",-2,0)+INDEX(BalePrices[Mid-Point],MATCH(BaleMover[[#This Row],[Bale_ID]],BalePrices[Bale_ID],0))),0))</f>
        <v>2204.2634632855884</v>
      </c>
      <c r="Y560" s="397">
        <f>IF(AND(BaleMover[[#This Row],[Scenario_ID]]="S3",BaleMover[[#This Row],[MRF_ID]]="05"),0,IFERROR(BaleMover[[#This Row],[Total_Baled_tons]]*(IF(BaleMover[[#This Row],[Scenario_ID]]="S0",-2,0)+INDEX(BalePrices[High],MATCH(BaleMover[[#This Row],[Bale_ID]],BalePrices[Bale_ID],0))),0))</f>
        <v>2593.2511332771633</v>
      </c>
    </row>
    <row r="561" spans="2:25" x14ac:dyDescent="0.2">
      <c r="B561" s="545" t="s">
        <v>873</v>
      </c>
      <c r="C561" s="499" t="s">
        <v>754</v>
      </c>
      <c r="D561" s="499"/>
      <c r="E561" s="499"/>
      <c r="F561" s="499" t="s">
        <v>1999</v>
      </c>
      <c r="G561" s="499" t="s">
        <v>2121</v>
      </c>
      <c r="H561" s="499" t="s">
        <v>1727</v>
      </c>
      <c r="I561" s="499" t="s">
        <v>1002</v>
      </c>
      <c r="J561" s="499" t="s">
        <v>1003</v>
      </c>
      <c r="K561" s="499" t="s">
        <v>2048</v>
      </c>
      <c r="L561" s="499">
        <v>1</v>
      </c>
      <c r="M561" s="499" t="s">
        <v>2065</v>
      </c>
      <c r="N561" s="499" t="s">
        <v>2066</v>
      </c>
      <c r="O561" s="525">
        <v>10.373004533108652</v>
      </c>
      <c r="P561" s="499">
        <v>50</v>
      </c>
      <c r="Q561" s="499"/>
      <c r="R561" s="499"/>
      <c r="S561" s="525"/>
      <c r="T561" s="525">
        <v>0</v>
      </c>
      <c r="U561" s="525">
        <v>1</v>
      </c>
      <c r="V561" s="525">
        <v>518.65022665543256</v>
      </c>
      <c r="W561" s="589">
        <f>IF(AND(BaleMover[[#This Row],[Scenario_ID]]="S3",BaleMover[[#This Row],[MRF_ID]]="05"),0,IFERROR(BaleMover[[#This Row],[Total_Baled_tons]]*(IF(BaleMover[[#This Row],[Scenario_ID]]="S0",-2,0)+INDEX(BalePrices[Low],MATCH(BaleMover[[#This Row],[Bale_ID]],BalePrices[Bale_ID],0))),0))</f>
        <v>1815.2757932940142</v>
      </c>
      <c r="X561" s="397">
        <f>IF(AND(BaleMover[[#This Row],[Scenario_ID]]="S3",BaleMover[[#This Row],[MRF_ID]]="05"),0,IFERROR(BaleMover[[#This Row],[Total_Baled_tons]]*(IF(BaleMover[[#This Row],[Scenario_ID]]="S0",-2,0)+INDEX(BalePrices[Mid-Point],MATCH(BaleMover[[#This Row],[Bale_ID]],BalePrices[Bale_ID],0))),0))</f>
        <v>2204.2634632855884</v>
      </c>
      <c r="Y561" s="397">
        <f>IF(AND(BaleMover[[#This Row],[Scenario_ID]]="S3",BaleMover[[#This Row],[MRF_ID]]="05"),0,IFERROR(BaleMover[[#This Row],[Total_Baled_tons]]*(IF(BaleMover[[#This Row],[Scenario_ID]]="S0",-2,0)+INDEX(BalePrices[High],MATCH(BaleMover[[#This Row],[Bale_ID]],BalePrices[Bale_ID],0))),0))</f>
        <v>2593.2511332771633</v>
      </c>
    </row>
    <row r="562" spans="2:25" x14ac:dyDescent="0.2">
      <c r="B562" s="545" t="s">
        <v>870</v>
      </c>
      <c r="C562" s="499" t="s">
        <v>754</v>
      </c>
      <c r="D562" s="499"/>
      <c r="E562" s="499"/>
      <c r="F562" s="499" t="s">
        <v>1999</v>
      </c>
      <c r="G562" s="499" t="s">
        <v>2122</v>
      </c>
      <c r="H562" s="499" t="s">
        <v>1728</v>
      </c>
      <c r="I562" s="499" t="s">
        <v>1002</v>
      </c>
      <c r="J562" s="499" t="s">
        <v>1003</v>
      </c>
      <c r="K562" s="499" t="s">
        <v>2048</v>
      </c>
      <c r="L562" s="499">
        <v>1</v>
      </c>
      <c r="M562" s="499" t="s">
        <v>2065</v>
      </c>
      <c r="N562" s="499" t="s">
        <v>2066</v>
      </c>
      <c r="O562" s="525">
        <v>10.373004533108652</v>
      </c>
      <c r="P562" s="499">
        <v>50</v>
      </c>
      <c r="Q562" s="499"/>
      <c r="R562" s="499"/>
      <c r="S562" s="525"/>
      <c r="T562" s="525">
        <v>0</v>
      </c>
      <c r="U562" s="525">
        <v>1</v>
      </c>
      <c r="V562" s="525">
        <v>518.65022665543256</v>
      </c>
      <c r="W562" s="589">
        <f>IF(AND(BaleMover[[#This Row],[Scenario_ID]]="S3",BaleMover[[#This Row],[MRF_ID]]="05"),0,IFERROR(BaleMover[[#This Row],[Total_Baled_tons]]*(IF(BaleMover[[#This Row],[Scenario_ID]]="S0",-2,0)+INDEX(BalePrices[Low],MATCH(BaleMover[[#This Row],[Bale_ID]],BalePrices[Bale_ID],0))),0))</f>
        <v>1815.2757932940142</v>
      </c>
      <c r="X562" s="397">
        <f>IF(AND(BaleMover[[#This Row],[Scenario_ID]]="S3",BaleMover[[#This Row],[MRF_ID]]="05"),0,IFERROR(BaleMover[[#This Row],[Total_Baled_tons]]*(IF(BaleMover[[#This Row],[Scenario_ID]]="S0",-2,0)+INDEX(BalePrices[Mid-Point],MATCH(BaleMover[[#This Row],[Bale_ID]],BalePrices[Bale_ID],0))),0))</f>
        <v>2204.2634632855884</v>
      </c>
      <c r="Y562" s="397">
        <f>IF(AND(BaleMover[[#This Row],[Scenario_ID]]="S3",BaleMover[[#This Row],[MRF_ID]]="05"),0,IFERROR(BaleMover[[#This Row],[Total_Baled_tons]]*(IF(BaleMover[[#This Row],[Scenario_ID]]="S0",-2,0)+INDEX(BalePrices[High],MATCH(BaleMover[[#This Row],[Bale_ID]],BalePrices[Bale_ID],0))),0))</f>
        <v>2593.2511332771633</v>
      </c>
    </row>
    <row r="563" spans="2:25" x14ac:dyDescent="0.2">
      <c r="B563" s="545" t="s">
        <v>876</v>
      </c>
      <c r="C563" s="499" t="s">
        <v>754</v>
      </c>
      <c r="D563" s="499"/>
      <c r="E563" s="499"/>
      <c r="F563" s="499" t="s">
        <v>1999</v>
      </c>
      <c r="G563" s="499" t="s">
        <v>2118</v>
      </c>
      <c r="H563" s="499" t="s">
        <v>1729</v>
      </c>
      <c r="I563" s="499" t="s">
        <v>1006</v>
      </c>
      <c r="J563" s="499" t="s">
        <v>1007</v>
      </c>
      <c r="K563" s="499" t="s">
        <v>2048</v>
      </c>
      <c r="L563" s="499">
        <v>1</v>
      </c>
      <c r="M563" s="499" t="s">
        <v>2065</v>
      </c>
      <c r="N563" s="499" t="s">
        <v>2066</v>
      </c>
      <c r="O563" s="525">
        <v>79.374709770251187</v>
      </c>
      <c r="P563" s="499">
        <v>50</v>
      </c>
      <c r="Q563" s="499"/>
      <c r="R563" s="499"/>
      <c r="S563" s="525"/>
      <c r="T563" s="525">
        <v>0</v>
      </c>
      <c r="U563" s="525">
        <v>1</v>
      </c>
      <c r="V563" s="525">
        <v>3968.7354885125592</v>
      </c>
      <c r="W563" s="589">
        <f>IF(AND(BaleMover[[#This Row],[Scenario_ID]]="S3",BaleMover[[#This Row],[MRF_ID]]="05"),0,IFERROR(BaleMover[[#This Row],[Total_Baled_tons]]*(IF(BaleMover[[#This Row],[Scenario_ID]]="S0",-2,0)+INDEX(BalePrices[Low],MATCH(BaleMover[[#This Row],[Bale_ID]],BalePrices[Bale_ID],0))),0))</f>
        <v>3809.9860689720572</v>
      </c>
      <c r="X563" s="397">
        <f>IF(AND(BaleMover[[#This Row],[Scenario_ID]]="S3",BaleMover[[#This Row],[MRF_ID]]="05"),0,IFERROR(BaleMover[[#This Row],[Total_Baled_tons]]*(IF(BaleMover[[#This Row],[Scenario_ID]]="S0",-2,0)+INDEX(BalePrices[Mid-Point],MATCH(BaleMover[[#This Row],[Bale_ID]],BalePrices[Bale_ID],0))),0))</f>
        <v>11747.457045997176</v>
      </c>
      <c r="Y563" s="397">
        <f>IF(AND(BaleMover[[#This Row],[Scenario_ID]]="S3",BaleMover[[#This Row],[MRF_ID]]="05"),0,IFERROR(BaleMover[[#This Row],[Total_Baled_tons]]*(IF(BaleMover[[#This Row],[Scenario_ID]]="S0",-2,0)+INDEX(BalePrices[High],MATCH(BaleMover[[#This Row],[Bale_ID]],BalePrices[Bale_ID],0))),0))</f>
        <v>19684.928023022294</v>
      </c>
    </row>
    <row r="564" spans="2:25" x14ac:dyDescent="0.2">
      <c r="B564" s="545" t="s">
        <v>875</v>
      </c>
      <c r="C564" s="499" t="s">
        <v>754</v>
      </c>
      <c r="D564" s="499"/>
      <c r="E564" s="499"/>
      <c r="F564" s="499" t="s">
        <v>1999</v>
      </c>
      <c r="G564" s="499" t="s">
        <v>2119</v>
      </c>
      <c r="H564" s="499" t="s">
        <v>1730</v>
      </c>
      <c r="I564" s="499" t="s">
        <v>1006</v>
      </c>
      <c r="J564" s="499" t="s">
        <v>1007</v>
      </c>
      <c r="K564" s="499" t="s">
        <v>2048</v>
      </c>
      <c r="L564" s="499">
        <v>1</v>
      </c>
      <c r="M564" s="499" t="s">
        <v>2065</v>
      </c>
      <c r="N564" s="499" t="s">
        <v>2066</v>
      </c>
      <c r="O564" s="525">
        <v>79.374709770251187</v>
      </c>
      <c r="P564" s="499">
        <v>50</v>
      </c>
      <c r="Q564" s="499"/>
      <c r="R564" s="499"/>
      <c r="S564" s="525"/>
      <c r="T564" s="525">
        <v>0</v>
      </c>
      <c r="U564" s="525">
        <v>1</v>
      </c>
      <c r="V564" s="525">
        <v>3968.7354885125592</v>
      </c>
      <c r="W564" s="589">
        <f>IF(AND(BaleMover[[#This Row],[Scenario_ID]]="S3",BaleMover[[#This Row],[MRF_ID]]="05"),0,IFERROR(BaleMover[[#This Row],[Total_Baled_tons]]*(IF(BaleMover[[#This Row],[Scenario_ID]]="S0",-2,0)+INDEX(BalePrices[Low],MATCH(BaleMover[[#This Row],[Bale_ID]],BalePrices[Bale_ID],0))),0))</f>
        <v>3968.7354885125592</v>
      </c>
      <c r="X564" s="397">
        <f>IF(AND(BaleMover[[#This Row],[Scenario_ID]]="S3",BaleMover[[#This Row],[MRF_ID]]="05"),0,IFERROR(BaleMover[[#This Row],[Total_Baled_tons]]*(IF(BaleMover[[#This Row],[Scenario_ID]]="S0",-2,0)+INDEX(BalePrices[Mid-Point],MATCH(BaleMover[[#This Row],[Bale_ID]],BalePrices[Bale_ID],0))),0))</f>
        <v>11906.206465537678</v>
      </c>
      <c r="Y564" s="397">
        <f>IF(AND(BaleMover[[#This Row],[Scenario_ID]]="S3",BaleMover[[#This Row],[MRF_ID]]="05"),0,IFERROR(BaleMover[[#This Row],[Total_Baled_tons]]*(IF(BaleMover[[#This Row],[Scenario_ID]]="S0",-2,0)+INDEX(BalePrices[High],MATCH(BaleMover[[#This Row],[Bale_ID]],BalePrices[Bale_ID],0))),0))</f>
        <v>19843.677442562795</v>
      </c>
    </row>
    <row r="565" spans="2:25" x14ac:dyDescent="0.2">
      <c r="B565" s="545" t="s">
        <v>874</v>
      </c>
      <c r="C565" s="499" t="s">
        <v>754</v>
      </c>
      <c r="D565" s="499"/>
      <c r="E565" s="499"/>
      <c r="F565" s="499" t="s">
        <v>1999</v>
      </c>
      <c r="G565" s="499" t="s">
        <v>2120</v>
      </c>
      <c r="H565" s="499" t="s">
        <v>1731</v>
      </c>
      <c r="I565" s="499" t="s">
        <v>1006</v>
      </c>
      <c r="J565" s="499" t="s">
        <v>1007</v>
      </c>
      <c r="K565" s="499" t="s">
        <v>2048</v>
      </c>
      <c r="L565" s="499">
        <v>1</v>
      </c>
      <c r="M565" s="499" t="s">
        <v>2065</v>
      </c>
      <c r="N565" s="499" t="s">
        <v>2066</v>
      </c>
      <c r="O565" s="525">
        <v>367.00036827220504</v>
      </c>
      <c r="P565" s="499">
        <v>50</v>
      </c>
      <c r="Q565" s="499"/>
      <c r="R565" s="499"/>
      <c r="S565" s="525"/>
      <c r="T565" s="525">
        <v>0</v>
      </c>
      <c r="U565" s="525">
        <v>1</v>
      </c>
      <c r="V565" s="525">
        <v>18350.018413610251</v>
      </c>
      <c r="W565" s="589">
        <f>IF(AND(BaleMover[[#This Row],[Scenario_ID]]="S3",BaleMover[[#This Row],[MRF_ID]]="05"),0,IFERROR(BaleMover[[#This Row],[Total_Baled_tons]]*(IF(BaleMover[[#This Row],[Scenario_ID]]="S0",-2,0)+INDEX(BalePrices[Low],MATCH(BaleMover[[#This Row],[Bale_ID]],BalePrices[Bale_ID],0))),0))</f>
        <v>18350.018413610251</v>
      </c>
      <c r="X565" s="397">
        <f>IF(AND(BaleMover[[#This Row],[Scenario_ID]]="S3",BaleMover[[#This Row],[MRF_ID]]="05"),0,IFERROR(BaleMover[[#This Row],[Total_Baled_tons]]*(IF(BaleMover[[#This Row],[Scenario_ID]]="S0",-2,0)+INDEX(BalePrices[Mid-Point],MATCH(BaleMover[[#This Row],[Bale_ID]],BalePrices[Bale_ID],0))),0))</f>
        <v>55050.055240830756</v>
      </c>
      <c r="Y565" s="397">
        <f>IF(AND(BaleMover[[#This Row],[Scenario_ID]]="S3",BaleMover[[#This Row],[MRF_ID]]="05"),0,IFERROR(BaleMover[[#This Row],[Total_Baled_tons]]*(IF(BaleMover[[#This Row],[Scenario_ID]]="S0",-2,0)+INDEX(BalePrices[High],MATCH(BaleMover[[#This Row],[Bale_ID]],BalePrices[Bale_ID],0))),0))</f>
        <v>91750.092068051265</v>
      </c>
    </row>
    <row r="566" spans="2:25" x14ac:dyDescent="0.2">
      <c r="B566" s="545" t="s">
        <v>873</v>
      </c>
      <c r="C566" s="499" t="s">
        <v>754</v>
      </c>
      <c r="D566" s="499"/>
      <c r="E566" s="499"/>
      <c r="F566" s="499" t="s">
        <v>1999</v>
      </c>
      <c r="G566" s="499" t="s">
        <v>2121</v>
      </c>
      <c r="H566" s="499" t="s">
        <v>1732</v>
      </c>
      <c r="I566" s="499" t="s">
        <v>1006</v>
      </c>
      <c r="J566" s="499" t="s">
        <v>1007</v>
      </c>
      <c r="K566" s="499" t="s">
        <v>2048</v>
      </c>
      <c r="L566" s="499">
        <v>1</v>
      </c>
      <c r="M566" s="499" t="s">
        <v>2065</v>
      </c>
      <c r="N566" s="499" t="s">
        <v>2066</v>
      </c>
      <c r="O566" s="525">
        <v>367.00036827220504</v>
      </c>
      <c r="P566" s="499">
        <v>50</v>
      </c>
      <c r="Q566" s="499"/>
      <c r="R566" s="499"/>
      <c r="S566" s="525"/>
      <c r="T566" s="525">
        <v>0</v>
      </c>
      <c r="U566" s="525">
        <v>1</v>
      </c>
      <c r="V566" s="525">
        <v>18350.018413610251</v>
      </c>
      <c r="W566" s="589">
        <f>IF(AND(BaleMover[[#This Row],[Scenario_ID]]="S3",BaleMover[[#This Row],[MRF_ID]]="05"),0,IFERROR(BaleMover[[#This Row],[Total_Baled_tons]]*(IF(BaleMover[[#This Row],[Scenario_ID]]="S0",-2,0)+INDEX(BalePrices[Low],MATCH(BaleMover[[#This Row],[Bale_ID]],BalePrices[Bale_ID],0))),0))</f>
        <v>18350.018413610251</v>
      </c>
      <c r="X566" s="397">
        <f>IF(AND(BaleMover[[#This Row],[Scenario_ID]]="S3",BaleMover[[#This Row],[MRF_ID]]="05"),0,IFERROR(BaleMover[[#This Row],[Total_Baled_tons]]*(IF(BaleMover[[#This Row],[Scenario_ID]]="S0",-2,0)+INDEX(BalePrices[Mid-Point],MATCH(BaleMover[[#This Row],[Bale_ID]],BalePrices[Bale_ID],0))),0))</f>
        <v>55050.055240830756</v>
      </c>
      <c r="Y566" s="397">
        <f>IF(AND(BaleMover[[#This Row],[Scenario_ID]]="S3",BaleMover[[#This Row],[MRF_ID]]="05"),0,IFERROR(BaleMover[[#This Row],[Total_Baled_tons]]*(IF(BaleMover[[#This Row],[Scenario_ID]]="S0",-2,0)+INDEX(BalePrices[High],MATCH(BaleMover[[#This Row],[Bale_ID]],BalePrices[Bale_ID],0))),0))</f>
        <v>91750.092068051265</v>
      </c>
    </row>
    <row r="567" spans="2:25" x14ac:dyDescent="0.2">
      <c r="B567" s="545" t="s">
        <v>870</v>
      </c>
      <c r="C567" s="499" t="s">
        <v>754</v>
      </c>
      <c r="D567" s="499"/>
      <c r="E567" s="499"/>
      <c r="F567" s="499" t="s">
        <v>1999</v>
      </c>
      <c r="G567" s="499" t="s">
        <v>2122</v>
      </c>
      <c r="H567" s="499" t="s">
        <v>1733</v>
      </c>
      <c r="I567" s="499" t="s">
        <v>1006</v>
      </c>
      <c r="J567" s="499" t="s">
        <v>1007</v>
      </c>
      <c r="K567" s="499" t="s">
        <v>2048</v>
      </c>
      <c r="L567" s="499">
        <v>1</v>
      </c>
      <c r="M567" s="499" t="s">
        <v>2065</v>
      </c>
      <c r="N567" s="499" t="s">
        <v>2066</v>
      </c>
      <c r="O567" s="525">
        <v>367.00036827220504</v>
      </c>
      <c r="P567" s="499">
        <v>50</v>
      </c>
      <c r="Q567" s="499"/>
      <c r="R567" s="499"/>
      <c r="S567" s="525"/>
      <c r="T567" s="525">
        <v>0</v>
      </c>
      <c r="U567" s="525">
        <v>1</v>
      </c>
      <c r="V567" s="525">
        <v>18350.018413610251</v>
      </c>
      <c r="W567" s="589">
        <f>IF(AND(BaleMover[[#This Row],[Scenario_ID]]="S3",BaleMover[[#This Row],[MRF_ID]]="05"),0,IFERROR(BaleMover[[#This Row],[Total_Baled_tons]]*(IF(BaleMover[[#This Row],[Scenario_ID]]="S0",-2,0)+INDEX(BalePrices[Low],MATCH(BaleMover[[#This Row],[Bale_ID]],BalePrices[Bale_ID],0))),0))</f>
        <v>18350.018413610251</v>
      </c>
      <c r="X567" s="397">
        <f>IF(AND(BaleMover[[#This Row],[Scenario_ID]]="S3",BaleMover[[#This Row],[MRF_ID]]="05"),0,IFERROR(BaleMover[[#This Row],[Total_Baled_tons]]*(IF(BaleMover[[#This Row],[Scenario_ID]]="S0",-2,0)+INDEX(BalePrices[Mid-Point],MATCH(BaleMover[[#This Row],[Bale_ID]],BalePrices[Bale_ID],0))),0))</f>
        <v>55050.055240830756</v>
      </c>
      <c r="Y567" s="397">
        <f>IF(AND(BaleMover[[#This Row],[Scenario_ID]]="S3",BaleMover[[#This Row],[MRF_ID]]="05"),0,IFERROR(BaleMover[[#This Row],[Total_Baled_tons]]*(IF(BaleMover[[#This Row],[Scenario_ID]]="S0",-2,0)+INDEX(BalePrices[High],MATCH(BaleMover[[#This Row],[Bale_ID]],BalePrices[Bale_ID],0))),0))</f>
        <v>91750.092068051265</v>
      </c>
    </row>
    <row r="568" spans="2:25" x14ac:dyDescent="0.2">
      <c r="B568" s="545" t="s">
        <v>876</v>
      </c>
      <c r="C568" s="499" t="s">
        <v>754</v>
      </c>
      <c r="D568" s="499"/>
      <c r="E568" s="499"/>
      <c r="F568" s="499" t="s">
        <v>1999</v>
      </c>
      <c r="G568" s="499" t="s">
        <v>2118</v>
      </c>
      <c r="H568" s="499" t="s">
        <v>1734</v>
      </c>
      <c r="I568" s="499" t="s">
        <v>1008</v>
      </c>
      <c r="J568" s="499" t="s">
        <v>1009</v>
      </c>
      <c r="K568" s="499" t="s">
        <v>2048</v>
      </c>
      <c r="L568" s="499">
        <v>2</v>
      </c>
      <c r="M568" s="499" t="s">
        <v>2071</v>
      </c>
      <c r="N568" s="499" t="s">
        <v>2072</v>
      </c>
      <c r="O568" s="525">
        <v>0.27666363481483458</v>
      </c>
      <c r="P568" s="499">
        <v>45</v>
      </c>
      <c r="Q568" s="499"/>
      <c r="R568" s="499"/>
      <c r="S568" s="525"/>
      <c r="T568" s="525">
        <v>0</v>
      </c>
      <c r="U568" s="525">
        <v>1</v>
      </c>
      <c r="V568" s="525">
        <v>12.449863566667556</v>
      </c>
      <c r="W568" s="589">
        <f>IF(AND(BaleMover[[#This Row],[Scenario_ID]]="S3",BaleMover[[#This Row],[MRF_ID]]="05"),0,IFERROR(BaleMover[[#This Row],[Total_Baled_tons]]*(IF(BaleMover[[#This Row],[Scenario_ID]]="S0",-2,0)+INDEX(BalePrices[Low],MATCH(BaleMover[[#This Row],[Bale_ID]],BalePrices[Bale_ID],0))),0))</f>
        <v>13.27985447111206</v>
      </c>
      <c r="X568" s="397">
        <f>IF(AND(BaleMover[[#This Row],[Scenario_ID]]="S3",BaleMover[[#This Row],[MRF_ID]]="05"),0,IFERROR(BaleMover[[#This Row],[Total_Baled_tons]]*(IF(BaleMover[[#This Row],[Scenario_ID]]="S0",-2,0)+INDEX(BalePrices[Mid-Point],MATCH(BaleMover[[#This Row],[Bale_ID]],BalePrices[Bale_ID],0))),0))</f>
        <v>34.02962708222465</v>
      </c>
      <c r="Y568" s="397">
        <f>IF(AND(BaleMover[[#This Row],[Scenario_ID]]="S3",BaleMover[[#This Row],[MRF_ID]]="05"),0,IFERROR(BaleMover[[#This Row],[Total_Baled_tons]]*(IF(BaleMover[[#This Row],[Scenario_ID]]="S0",-2,0)+INDEX(BalePrices[High],MATCH(BaleMover[[#This Row],[Bale_ID]],BalePrices[Bale_ID],0))),0))</f>
        <v>54.779399693337247</v>
      </c>
    </row>
    <row r="569" spans="2:25" x14ac:dyDescent="0.2">
      <c r="B569" s="545" t="s">
        <v>875</v>
      </c>
      <c r="C569" s="499" t="s">
        <v>754</v>
      </c>
      <c r="D569" s="499"/>
      <c r="E569" s="499"/>
      <c r="F569" s="499" t="s">
        <v>1999</v>
      </c>
      <c r="G569" s="499" t="s">
        <v>2119</v>
      </c>
      <c r="H569" s="499" t="s">
        <v>1735</v>
      </c>
      <c r="I569" s="499" t="s">
        <v>1008</v>
      </c>
      <c r="J569" s="499" t="s">
        <v>1009</v>
      </c>
      <c r="K569" s="499" t="s">
        <v>2048</v>
      </c>
      <c r="L569" s="499">
        <v>2</v>
      </c>
      <c r="M569" s="499" t="s">
        <v>2071</v>
      </c>
      <c r="N569" s="499" t="s">
        <v>2072</v>
      </c>
      <c r="O569" s="525">
        <v>0.27666363481483458</v>
      </c>
      <c r="P569" s="499">
        <v>45</v>
      </c>
      <c r="Q569" s="499"/>
      <c r="R569" s="499"/>
      <c r="S569" s="525"/>
      <c r="T569" s="525">
        <v>0</v>
      </c>
      <c r="U569" s="525">
        <v>1</v>
      </c>
      <c r="V569" s="525">
        <v>12.449863566667556</v>
      </c>
      <c r="W569" s="589">
        <f>IF(AND(BaleMover[[#This Row],[Scenario_ID]]="S3",BaleMover[[#This Row],[MRF_ID]]="05"),0,IFERROR(BaleMover[[#This Row],[Total_Baled_tons]]*(IF(BaleMover[[#This Row],[Scenario_ID]]="S0",-2,0)+INDEX(BalePrices[Low],MATCH(BaleMover[[#This Row],[Bale_ID]],BalePrices[Bale_ID],0))),0))</f>
        <v>13.833181740741729</v>
      </c>
      <c r="X569" s="397">
        <f>IF(AND(BaleMover[[#This Row],[Scenario_ID]]="S3",BaleMover[[#This Row],[MRF_ID]]="05"),0,IFERROR(BaleMover[[#This Row],[Total_Baled_tons]]*(IF(BaleMover[[#This Row],[Scenario_ID]]="S0",-2,0)+INDEX(BalePrices[Mid-Point],MATCH(BaleMover[[#This Row],[Bale_ID]],BalePrices[Bale_ID],0))),0))</f>
        <v>34.582954351854326</v>
      </c>
      <c r="Y569" s="397">
        <f>IF(AND(BaleMover[[#This Row],[Scenario_ID]]="S3",BaleMover[[#This Row],[MRF_ID]]="05"),0,IFERROR(BaleMover[[#This Row],[Total_Baled_tons]]*(IF(BaleMover[[#This Row],[Scenario_ID]]="S0",-2,0)+INDEX(BalePrices[High],MATCH(BaleMover[[#This Row],[Bale_ID]],BalePrices[Bale_ID],0))),0))</f>
        <v>55.332726962966916</v>
      </c>
    </row>
    <row r="570" spans="2:25" x14ac:dyDescent="0.2">
      <c r="B570" s="545" t="s">
        <v>874</v>
      </c>
      <c r="C570" s="499" t="s">
        <v>754</v>
      </c>
      <c r="D570" s="499"/>
      <c r="E570" s="499"/>
      <c r="F570" s="499" t="s">
        <v>1999</v>
      </c>
      <c r="G570" s="499" t="s">
        <v>2120</v>
      </c>
      <c r="H570" s="499" t="s">
        <v>1736</v>
      </c>
      <c r="I570" s="499" t="s">
        <v>1008</v>
      </c>
      <c r="J570" s="499" t="s">
        <v>1009</v>
      </c>
      <c r="K570" s="499" t="s">
        <v>2048</v>
      </c>
      <c r="L570" s="499">
        <v>2</v>
      </c>
      <c r="M570" s="499" t="s">
        <v>2071</v>
      </c>
      <c r="N570" s="499" t="s">
        <v>2072</v>
      </c>
      <c r="O570" s="525">
        <v>10.380408510097872</v>
      </c>
      <c r="P570" s="499">
        <v>45</v>
      </c>
      <c r="Q570" s="499"/>
      <c r="R570" s="499"/>
      <c r="S570" s="525"/>
      <c r="T570" s="525">
        <v>0</v>
      </c>
      <c r="U570" s="525">
        <v>1</v>
      </c>
      <c r="V570" s="525">
        <v>467.11838295440424</v>
      </c>
      <c r="W570" s="589">
        <f>IF(AND(BaleMover[[#This Row],[Scenario_ID]]="S3",BaleMover[[#This Row],[MRF_ID]]="05"),0,IFERROR(BaleMover[[#This Row],[Total_Baled_tons]]*(IF(BaleMover[[#This Row],[Scenario_ID]]="S0",-2,0)+INDEX(BalePrices[Low],MATCH(BaleMover[[#This Row],[Bale_ID]],BalePrices[Bale_ID],0))),0))</f>
        <v>519.02042550489364</v>
      </c>
      <c r="X570" s="397">
        <f>IF(AND(BaleMover[[#This Row],[Scenario_ID]]="S3",BaleMover[[#This Row],[MRF_ID]]="05"),0,IFERROR(BaleMover[[#This Row],[Total_Baled_tons]]*(IF(BaleMover[[#This Row],[Scenario_ID]]="S0",-2,0)+INDEX(BalePrices[Mid-Point],MATCH(BaleMover[[#This Row],[Bale_ID]],BalePrices[Bale_ID],0))),0))</f>
        <v>1297.551063762234</v>
      </c>
      <c r="Y570" s="397">
        <f>IF(AND(BaleMover[[#This Row],[Scenario_ID]]="S3",BaleMover[[#This Row],[MRF_ID]]="05"),0,IFERROR(BaleMover[[#This Row],[Total_Baled_tons]]*(IF(BaleMover[[#This Row],[Scenario_ID]]="S0",-2,0)+INDEX(BalePrices[High],MATCH(BaleMover[[#This Row],[Bale_ID]],BalePrices[Bale_ID],0))),0))</f>
        <v>2076.0817020195745</v>
      </c>
    </row>
    <row r="571" spans="2:25" x14ac:dyDescent="0.2">
      <c r="B571" s="545" t="s">
        <v>873</v>
      </c>
      <c r="C571" s="499" t="s">
        <v>754</v>
      </c>
      <c r="D571" s="499"/>
      <c r="E571" s="499"/>
      <c r="F571" s="499" t="s">
        <v>1999</v>
      </c>
      <c r="G571" s="499" t="s">
        <v>2121</v>
      </c>
      <c r="H571" s="499" t="s">
        <v>1737</v>
      </c>
      <c r="I571" s="499" t="s">
        <v>1008</v>
      </c>
      <c r="J571" s="499" t="s">
        <v>1009</v>
      </c>
      <c r="K571" s="499" t="s">
        <v>2048</v>
      </c>
      <c r="L571" s="499">
        <v>2</v>
      </c>
      <c r="M571" s="499" t="s">
        <v>2071</v>
      </c>
      <c r="N571" s="499" t="s">
        <v>2072</v>
      </c>
      <c r="O571" s="525">
        <v>10.380408510097872</v>
      </c>
      <c r="P571" s="499">
        <v>45</v>
      </c>
      <c r="Q571" s="499"/>
      <c r="R571" s="499"/>
      <c r="S571" s="525"/>
      <c r="T571" s="525">
        <v>0</v>
      </c>
      <c r="U571" s="525">
        <v>1</v>
      </c>
      <c r="V571" s="525">
        <v>467.11838295440424</v>
      </c>
      <c r="W571" s="589">
        <f>IF(AND(BaleMover[[#This Row],[Scenario_ID]]="S3",BaleMover[[#This Row],[MRF_ID]]="05"),0,IFERROR(BaleMover[[#This Row],[Total_Baled_tons]]*(IF(BaleMover[[#This Row],[Scenario_ID]]="S0",-2,0)+INDEX(BalePrices[Low],MATCH(BaleMover[[#This Row],[Bale_ID]],BalePrices[Bale_ID],0))),0))</f>
        <v>519.02042550489364</v>
      </c>
      <c r="X571" s="397">
        <f>IF(AND(BaleMover[[#This Row],[Scenario_ID]]="S3",BaleMover[[#This Row],[MRF_ID]]="05"),0,IFERROR(BaleMover[[#This Row],[Total_Baled_tons]]*(IF(BaleMover[[#This Row],[Scenario_ID]]="S0",-2,0)+INDEX(BalePrices[Mid-Point],MATCH(BaleMover[[#This Row],[Bale_ID]],BalePrices[Bale_ID],0))),0))</f>
        <v>1297.551063762234</v>
      </c>
      <c r="Y571" s="397">
        <f>IF(AND(BaleMover[[#This Row],[Scenario_ID]]="S3",BaleMover[[#This Row],[MRF_ID]]="05"),0,IFERROR(BaleMover[[#This Row],[Total_Baled_tons]]*(IF(BaleMover[[#This Row],[Scenario_ID]]="S0",-2,0)+INDEX(BalePrices[High],MATCH(BaleMover[[#This Row],[Bale_ID]],BalePrices[Bale_ID],0))),0))</f>
        <v>2076.0817020195745</v>
      </c>
    </row>
    <row r="572" spans="2:25" x14ac:dyDescent="0.2">
      <c r="B572" s="545" t="s">
        <v>870</v>
      </c>
      <c r="C572" s="499" t="s">
        <v>754</v>
      </c>
      <c r="D572" s="499"/>
      <c r="E572" s="499"/>
      <c r="F572" s="499" t="s">
        <v>1999</v>
      </c>
      <c r="G572" s="499" t="s">
        <v>2122</v>
      </c>
      <c r="H572" s="499" t="s">
        <v>1738</v>
      </c>
      <c r="I572" s="499" t="s">
        <v>1008</v>
      </c>
      <c r="J572" s="499" t="s">
        <v>1009</v>
      </c>
      <c r="K572" s="499" t="s">
        <v>2048</v>
      </c>
      <c r="L572" s="499">
        <v>2</v>
      </c>
      <c r="M572" s="499" t="s">
        <v>2071</v>
      </c>
      <c r="N572" s="499" t="s">
        <v>2072</v>
      </c>
      <c r="O572" s="525">
        <v>10.380408510097872</v>
      </c>
      <c r="P572" s="499">
        <v>45</v>
      </c>
      <c r="Q572" s="499"/>
      <c r="R572" s="499"/>
      <c r="S572" s="525"/>
      <c r="T572" s="525">
        <v>0</v>
      </c>
      <c r="U572" s="525">
        <v>1</v>
      </c>
      <c r="V572" s="525">
        <v>467.11838295440424</v>
      </c>
      <c r="W572" s="589">
        <f>IF(AND(BaleMover[[#This Row],[Scenario_ID]]="S3",BaleMover[[#This Row],[MRF_ID]]="05"),0,IFERROR(BaleMover[[#This Row],[Total_Baled_tons]]*(IF(BaleMover[[#This Row],[Scenario_ID]]="S0",-2,0)+INDEX(BalePrices[Low],MATCH(BaleMover[[#This Row],[Bale_ID]],BalePrices[Bale_ID],0))),0))</f>
        <v>519.02042550489364</v>
      </c>
      <c r="X572" s="397">
        <f>IF(AND(BaleMover[[#This Row],[Scenario_ID]]="S3",BaleMover[[#This Row],[MRF_ID]]="05"),0,IFERROR(BaleMover[[#This Row],[Total_Baled_tons]]*(IF(BaleMover[[#This Row],[Scenario_ID]]="S0",-2,0)+INDEX(BalePrices[Mid-Point],MATCH(BaleMover[[#This Row],[Bale_ID]],BalePrices[Bale_ID],0))),0))</f>
        <v>1297.551063762234</v>
      </c>
      <c r="Y572" s="397">
        <f>IF(AND(BaleMover[[#This Row],[Scenario_ID]]="S3",BaleMover[[#This Row],[MRF_ID]]="05"),0,IFERROR(BaleMover[[#This Row],[Total_Baled_tons]]*(IF(BaleMover[[#This Row],[Scenario_ID]]="S0",-2,0)+INDEX(BalePrices[High],MATCH(BaleMover[[#This Row],[Bale_ID]],BalePrices[Bale_ID],0))),0))</f>
        <v>2076.0817020195745</v>
      </c>
    </row>
    <row r="573" spans="2:25" x14ac:dyDescent="0.2">
      <c r="B573" s="545" t="s">
        <v>876</v>
      </c>
      <c r="C573" s="499" t="s">
        <v>754</v>
      </c>
      <c r="D573" s="499"/>
      <c r="E573" s="499"/>
      <c r="F573" s="499" t="s">
        <v>1999</v>
      </c>
      <c r="G573" s="499" t="s">
        <v>2118</v>
      </c>
      <c r="H573" s="499" t="s">
        <v>1739</v>
      </c>
      <c r="I573" s="499" t="s">
        <v>1010</v>
      </c>
      <c r="J573" s="499" t="s">
        <v>1011</v>
      </c>
      <c r="K573" s="499" t="s">
        <v>2048</v>
      </c>
      <c r="L573" s="499">
        <v>2</v>
      </c>
      <c r="M573" s="499" t="s">
        <v>2071</v>
      </c>
      <c r="N573" s="499" t="s">
        <v>2072</v>
      </c>
      <c r="O573" s="525">
        <v>1.3862672329687287</v>
      </c>
      <c r="P573" s="499">
        <v>45</v>
      </c>
      <c r="Q573" s="499"/>
      <c r="R573" s="499"/>
      <c r="S573" s="525"/>
      <c r="T573" s="525">
        <v>0</v>
      </c>
      <c r="U573" s="525">
        <v>1</v>
      </c>
      <c r="V573" s="525">
        <v>62.382025483592791</v>
      </c>
      <c r="W573" s="589">
        <f>IF(AND(BaleMover[[#This Row],[Scenario_ID]]="S3",BaleMover[[#This Row],[MRF_ID]]="05"),0,IFERROR(BaleMover[[#This Row],[Total_Baled_tons]]*(IF(BaleMover[[#This Row],[Scenario_ID]]="S0",-2,0)+INDEX(BalePrices[Low],MATCH(BaleMover[[#This Row],[Bale_ID]],BalePrices[Bale_ID],0))),0))</f>
        <v>135.85418883093541</v>
      </c>
      <c r="X573" s="397">
        <f>IF(AND(BaleMover[[#This Row],[Scenario_ID]]="S3",BaleMover[[#This Row],[MRF_ID]]="05"),0,IFERROR(BaleMover[[#This Row],[Total_Baled_tons]]*(IF(BaleMover[[#This Row],[Scenario_ID]]="S0",-2,0)+INDEX(BalePrices[Mid-Point],MATCH(BaleMover[[#This Row],[Bale_ID]],BalePrices[Bale_ID],0))),0))</f>
        <v>343.79427377624472</v>
      </c>
      <c r="Y573" s="397">
        <f>IF(AND(BaleMover[[#This Row],[Scenario_ID]]="S3",BaleMover[[#This Row],[MRF_ID]]="05"),0,IFERROR(BaleMover[[#This Row],[Total_Baled_tons]]*(IF(BaleMover[[#This Row],[Scenario_ID]]="S0",-2,0)+INDEX(BalePrices[High],MATCH(BaleMover[[#This Row],[Bale_ID]],BalePrices[Bale_ID],0))),0))</f>
        <v>551.73435872155403</v>
      </c>
    </row>
    <row r="574" spans="2:25" x14ac:dyDescent="0.2">
      <c r="B574" s="545" t="s">
        <v>875</v>
      </c>
      <c r="C574" s="499" t="s">
        <v>754</v>
      </c>
      <c r="D574" s="499"/>
      <c r="E574" s="499"/>
      <c r="F574" s="499" t="s">
        <v>1999</v>
      </c>
      <c r="G574" s="499" t="s">
        <v>2119</v>
      </c>
      <c r="H574" s="499" t="s">
        <v>1740</v>
      </c>
      <c r="I574" s="499" t="s">
        <v>1010</v>
      </c>
      <c r="J574" s="499" t="s">
        <v>1011</v>
      </c>
      <c r="K574" s="499" t="s">
        <v>2048</v>
      </c>
      <c r="L574" s="499">
        <v>2</v>
      </c>
      <c r="M574" s="499" t="s">
        <v>2071</v>
      </c>
      <c r="N574" s="499" t="s">
        <v>2072</v>
      </c>
      <c r="O574" s="525">
        <v>1.3862672329687287</v>
      </c>
      <c r="P574" s="499">
        <v>45</v>
      </c>
      <c r="Q574" s="499"/>
      <c r="R574" s="499"/>
      <c r="S574" s="525"/>
      <c r="T574" s="525">
        <v>0</v>
      </c>
      <c r="U574" s="525">
        <v>1</v>
      </c>
      <c r="V574" s="525">
        <v>62.382025483592791</v>
      </c>
      <c r="W574" s="589">
        <f>IF(AND(BaleMover[[#This Row],[Scenario_ID]]="S3",BaleMover[[#This Row],[MRF_ID]]="05"),0,IFERROR(BaleMover[[#This Row],[Total_Baled_tons]]*(IF(BaleMover[[#This Row],[Scenario_ID]]="S0",-2,0)+INDEX(BalePrices[Low],MATCH(BaleMover[[#This Row],[Bale_ID]],BalePrices[Bale_ID],0))),0))</f>
        <v>138.62672329687285</v>
      </c>
      <c r="X574" s="397">
        <f>IF(AND(BaleMover[[#This Row],[Scenario_ID]]="S3",BaleMover[[#This Row],[MRF_ID]]="05"),0,IFERROR(BaleMover[[#This Row],[Total_Baled_tons]]*(IF(BaleMover[[#This Row],[Scenario_ID]]="S0",-2,0)+INDEX(BalePrices[Mid-Point],MATCH(BaleMover[[#This Row],[Bale_ID]],BalePrices[Bale_ID],0))),0))</f>
        <v>346.56680824218216</v>
      </c>
      <c r="Y574" s="397">
        <f>IF(AND(BaleMover[[#This Row],[Scenario_ID]]="S3",BaleMover[[#This Row],[MRF_ID]]="05"),0,IFERROR(BaleMover[[#This Row],[Total_Baled_tons]]*(IF(BaleMover[[#This Row],[Scenario_ID]]="S0",-2,0)+INDEX(BalePrices[High],MATCH(BaleMover[[#This Row],[Bale_ID]],BalePrices[Bale_ID],0))),0))</f>
        <v>554.50689318749141</v>
      </c>
    </row>
    <row r="575" spans="2:25" x14ac:dyDescent="0.2">
      <c r="B575" s="545" t="s">
        <v>874</v>
      </c>
      <c r="C575" s="499" t="s">
        <v>754</v>
      </c>
      <c r="D575" s="499"/>
      <c r="E575" s="499"/>
      <c r="F575" s="499" t="s">
        <v>1999</v>
      </c>
      <c r="G575" s="499" t="s">
        <v>2120</v>
      </c>
      <c r="H575" s="499" t="s">
        <v>1741</v>
      </c>
      <c r="I575" s="499" t="s">
        <v>1010</v>
      </c>
      <c r="J575" s="499" t="s">
        <v>1011</v>
      </c>
      <c r="K575" s="499" t="s">
        <v>2048</v>
      </c>
      <c r="L575" s="499">
        <v>2</v>
      </c>
      <c r="M575" s="499" t="s">
        <v>2071</v>
      </c>
      <c r="N575" s="499" t="s">
        <v>2072</v>
      </c>
      <c r="O575" s="525">
        <v>134.07979500328059</v>
      </c>
      <c r="P575" s="499">
        <v>45</v>
      </c>
      <c r="Q575" s="499"/>
      <c r="R575" s="499"/>
      <c r="S575" s="525"/>
      <c r="T575" s="525">
        <v>0</v>
      </c>
      <c r="U575" s="525">
        <v>1</v>
      </c>
      <c r="V575" s="525">
        <v>6033.590775147627</v>
      </c>
      <c r="W575" s="589">
        <f>IF(AND(BaleMover[[#This Row],[Scenario_ID]]="S3",BaleMover[[#This Row],[MRF_ID]]="05"),0,IFERROR(BaleMover[[#This Row],[Total_Baled_tons]]*(IF(BaleMover[[#This Row],[Scenario_ID]]="S0",-2,0)+INDEX(BalePrices[Low],MATCH(BaleMover[[#This Row],[Bale_ID]],BalePrices[Bale_ID],0))),0))</f>
        <v>13407.97950032806</v>
      </c>
      <c r="X575" s="397">
        <f>IF(AND(BaleMover[[#This Row],[Scenario_ID]]="S3",BaleMover[[#This Row],[MRF_ID]]="05"),0,IFERROR(BaleMover[[#This Row],[Total_Baled_tons]]*(IF(BaleMover[[#This Row],[Scenario_ID]]="S0",-2,0)+INDEX(BalePrices[Mid-Point],MATCH(BaleMover[[#This Row],[Bale_ID]],BalePrices[Bale_ID],0))),0))</f>
        <v>33519.948750820149</v>
      </c>
      <c r="Y575" s="397">
        <f>IF(AND(BaleMover[[#This Row],[Scenario_ID]]="S3",BaleMover[[#This Row],[MRF_ID]]="05"),0,IFERROR(BaleMover[[#This Row],[Total_Baled_tons]]*(IF(BaleMover[[#This Row],[Scenario_ID]]="S0",-2,0)+INDEX(BalePrices[High],MATCH(BaleMover[[#This Row],[Bale_ID]],BalePrices[Bale_ID],0))),0))</f>
        <v>53631.918001312239</v>
      </c>
    </row>
    <row r="576" spans="2:25" x14ac:dyDescent="0.2">
      <c r="B576" s="545" t="s">
        <v>873</v>
      </c>
      <c r="C576" s="499" t="s">
        <v>754</v>
      </c>
      <c r="D576" s="499"/>
      <c r="E576" s="499"/>
      <c r="F576" s="499" t="s">
        <v>1999</v>
      </c>
      <c r="G576" s="499" t="s">
        <v>2121</v>
      </c>
      <c r="H576" s="499" t="s">
        <v>1742</v>
      </c>
      <c r="I576" s="499" t="s">
        <v>1010</v>
      </c>
      <c r="J576" s="499" t="s">
        <v>1011</v>
      </c>
      <c r="K576" s="499" t="s">
        <v>2048</v>
      </c>
      <c r="L576" s="499">
        <v>2</v>
      </c>
      <c r="M576" s="499" t="s">
        <v>2071</v>
      </c>
      <c r="N576" s="499" t="s">
        <v>2072</v>
      </c>
      <c r="O576" s="525">
        <v>134.07979500328059</v>
      </c>
      <c r="P576" s="499">
        <v>45</v>
      </c>
      <c r="Q576" s="499"/>
      <c r="R576" s="499"/>
      <c r="S576" s="525"/>
      <c r="T576" s="525">
        <v>0</v>
      </c>
      <c r="U576" s="525">
        <v>1</v>
      </c>
      <c r="V576" s="525">
        <v>6033.590775147627</v>
      </c>
      <c r="W576" s="589">
        <f>IF(AND(BaleMover[[#This Row],[Scenario_ID]]="S3",BaleMover[[#This Row],[MRF_ID]]="05"),0,IFERROR(BaleMover[[#This Row],[Total_Baled_tons]]*(IF(BaleMover[[#This Row],[Scenario_ID]]="S0",-2,0)+INDEX(BalePrices[Low],MATCH(BaleMover[[#This Row],[Bale_ID]],BalePrices[Bale_ID],0))),0))</f>
        <v>13407.97950032806</v>
      </c>
      <c r="X576" s="397">
        <f>IF(AND(BaleMover[[#This Row],[Scenario_ID]]="S3",BaleMover[[#This Row],[MRF_ID]]="05"),0,IFERROR(BaleMover[[#This Row],[Total_Baled_tons]]*(IF(BaleMover[[#This Row],[Scenario_ID]]="S0",-2,0)+INDEX(BalePrices[Mid-Point],MATCH(BaleMover[[#This Row],[Bale_ID]],BalePrices[Bale_ID],0))),0))</f>
        <v>33519.948750820149</v>
      </c>
      <c r="Y576" s="397">
        <f>IF(AND(BaleMover[[#This Row],[Scenario_ID]]="S3",BaleMover[[#This Row],[MRF_ID]]="05"),0,IFERROR(BaleMover[[#This Row],[Total_Baled_tons]]*(IF(BaleMover[[#This Row],[Scenario_ID]]="S0",-2,0)+INDEX(BalePrices[High],MATCH(BaleMover[[#This Row],[Bale_ID]],BalePrices[Bale_ID],0))),0))</f>
        <v>53631.918001312239</v>
      </c>
    </row>
    <row r="577" spans="2:25" x14ac:dyDescent="0.2">
      <c r="B577" s="545" t="s">
        <v>870</v>
      </c>
      <c r="C577" s="499" t="s">
        <v>754</v>
      </c>
      <c r="D577" s="499"/>
      <c r="E577" s="499"/>
      <c r="F577" s="499" t="s">
        <v>1999</v>
      </c>
      <c r="G577" s="499" t="s">
        <v>2122</v>
      </c>
      <c r="H577" s="499" t="s">
        <v>1743</v>
      </c>
      <c r="I577" s="499" t="s">
        <v>1010</v>
      </c>
      <c r="J577" s="499" t="s">
        <v>1011</v>
      </c>
      <c r="K577" s="499" t="s">
        <v>2048</v>
      </c>
      <c r="L577" s="499">
        <v>2</v>
      </c>
      <c r="M577" s="499" t="s">
        <v>2071</v>
      </c>
      <c r="N577" s="499" t="s">
        <v>2072</v>
      </c>
      <c r="O577" s="525">
        <v>134.07979500328059</v>
      </c>
      <c r="P577" s="499">
        <v>45</v>
      </c>
      <c r="Q577" s="499"/>
      <c r="R577" s="499"/>
      <c r="S577" s="525"/>
      <c r="T577" s="525">
        <v>0</v>
      </c>
      <c r="U577" s="525">
        <v>1</v>
      </c>
      <c r="V577" s="525">
        <v>6033.590775147627</v>
      </c>
      <c r="W577" s="589">
        <f>IF(AND(BaleMover[[#This Row],[Scenario_ID]]="S3",BaleMover[[#This Row],[MRF_ID]]="05"),0,IFERROR(BaleMover[[#This Row],[Total_Baled_tons]]*(IF(BaleMover[[#This Row],[Scenario_ID]]="S0",-2,0)+INDEX(BalePrices[Low],MATCH(BaleMover[[#This Row],[Bale_ID]],BalePrices[Bale_ID],0))),0))</f>
        <v>13407.97950032806</v>
      </c>
      <c r="X577" s="397">
        <f>IF(AND(BaleMover[[#This Row],[Scenario_ID]]="S3",BaleMover[[#This Row],[MRF_ID]]="05"),0,IFERROR(BaleMover[[#This Row],[Total_Baled_tons]]*(IF(BaleMover[[#This Row],[Scenario_ID]]="S0",-2,0)+INDEX(BalePrices[Mid-Point],MATCH(BaleMover[[#This Row],[Bale_ID]],BalePrices[Bale_ID],0))),0))</f>
        <v>33519.948750820149</v>
      </c>
      <c r="Y577" s="397">
        <f>IF(AND(BaleMover[[#This Row],[Scenario_ID]]="S3",BaleMover[[#This Row],[MRF_ID]]="05"),0,IFERROR(BaleMover[[#This Row],[Total_Baled_tons]]*(IF(BaleMover[[#This Row],[Scenario_ID]]="S0",-2,0)+INDEX(BalePrices[High],MATCH(BaleMover[[#This Row],[Bale_ID]],BalePrices[Bale_ID],0))),0))</f>
        <v>53631.918001312239</v>
      </c>
    </row>
    <row r="578" spans="2:25" x14ac:dyDescent="0.2">
      <c r="B578" s="545" t="s">
        <v>876</v>
      </c>
      <c r="C578" s="499" t="s">
        <v>754</v>
      </c>
      <c r="D578" s="499"/>
      <c r="E578" s="499"/>
      <c r="F578" s="499" t="s">
        <v>1999</v>
      </c>
      <c r="G578" s="499" t="s">
        <v>2118</v>
      </c>
      <c r="H578" s="499" t="s">
        <v>1744</v>
      </c>
      <c r="I578" s="499" t="s">
        <v>1012</v>
      </c>
      <c r="J578" s="499" t="s">
        <v>1013</v>
      </c>
      <c r="K578" s="499" t="s">
        <v>2048</v>
      </c>
      <c r="L578" s="499">
        <v>2</v>
      </c>
      <c r="M578" s="499" t="s">
        <v>2071</v>
      </c>
      <c r="N578" s="499" t="s">
        <v>2072</v>
      </c>
      <c r="O578" s="525">
        <v>0</v>
      </c>
      <c r="P578" s="499" t="s">
        <v>2054</v>
      </c>
      <c r="Q578" s="499"/>
      <c r="R578" s="499"/>
      <c r="S578" s="525"/>
      <c r="T578" s="525">
        <v>0</v>
      </c>
      <c r="U578" s="525">
        <v>1</v>
      </c>
      <c r="V578" s="525" t="s">
        <v>2054</v>
      </c>
      <c r="W578" s="589">
        <f>IF(AND(BaleMover[[#This Row],[Scenario_ID]]="S3",BaleMover[[#This Row],[MRF_ID]]="05"),0,IFERROR(BaleMover[[#This Row],[Total_Baled_tons]]*(IF(BaleMover[[#This Row],[Scenario_ID]]="S0",-2,0)+INDEX(BalePrices[Low],MATCH(BaleMover[[#This Row],[Bale_ID]],BalePrices[Bale_ID],0))),0))</f>
        <v>0</v>
      </c>
      <c r="X578" s="397">
        <f>IF(AND(BaleMover[[#This Row],[Scenario_ID]]="S3",BaleMover[[#This Row],[MRF_ID]]="05"),0,IFERROR(BaleMover[[#This Row],[Total_Baled_tons]]*(IF(BaleMover[[#This Row],[Scenario_ID]]="S0",-2,0)+INDEX(BalePrices[Mid-Point],MATCH(BaleMover[[#This Row],[Bale_ID]],BalePrices[Bale_ID],0))),0))</f>
        <v>0</v>
      </c>
      <c r="Y578" s="397">
        <f>IF(AND(BaleMover[[#This Row],[Scenario_ID]]="S3",BaleMover[[#This Row],[MRF_ID]]="05"),0,IFERROR(BaleMover[[#This Row],[Total_Baled_tons]]*(IF(BaleMover[[#This Row],[Scenario_ID]]="S0",-2,0)+INDEX(BalePrices[High],MATCH(BaleMover[[#This Row],[Bale_ID]],BalePrices[Bale_ID],0))),0))</f>
        <v>0</v>
      </c>
    </row>
    <row r="579" spans="2:25" x14ac:dyDescent="0.2">
      <c r="B579" s="545" t="s">
        <v>875</v>
      </c>
      <c r="C579" s="499" t="s">
        <v>754</v>
      </c>
      <c r="D579" s="499"/>
      <c r="E579" s="499"/>
      <c r="F579" s="499" t="s">
        <v>1999</v>
      </c>
      <c r="G579" s="499" t="s">
        <v>2119</v>
      </c>
      <c r="H579" s="499" t="s">
        <v>1745</v>
      </c>
      <c r="I579" s="499" t="s">
        <v>1012</v>
      </c>
      <c r="J579" s="499" t="s">
        <v>1013</v>
      </c>
      <c r="K579" s="499" t="s">
        <v>2048</v>
      </c>
      <c r="L579" s="499">
        <v>2</v>
      </c>
      <c r="M579" s="499" t="s">
        <v>2071</v>
      </c>
      <c r="N579" s="499" t="s">
        <v>2072</v>
      </c>
      <c r="O579" s="525">
        <v>0</v>
      </c>
      <c r="P579" s="499" t="s">
        <v>2054</v>
      </c>
      <c r="Q579" s="499"/>
      <c r="R579" s="499"/>
      <c r="S579" s="525"/>
      <c r="T579" s="525">
        <v>0</v>
      </c>
      <c r="U579" s="525">
        <v>1</v>
      </c>
      <c r="V579" s="525" t="s">
        <v>2054</v>
      </c>
      <c r="W579" s="589">
        <f>IF(AND(BaleMover[[#This Row],[Scenario_ID]]="S3",BaleMover[[#This Row],[MRF_ID]]="05"),0,IFERROR(BaleMover[[#This Row],[Total_Baled_tons]]*(IF(BaleMover[[#This Row],[Scenario_ID]]="S0",-2,0)+INDEX(BalePrices[Low],MATCH(BaleMover[[#This Row],[Bale_ID]],BalePrices[Bale_ID],0))),0))</f>
        <v>0</v>
      </c>
      <c r="X579" s="397">
        <f>IF(AND(BaleMover[[#This Row],[Scenario_ID]]="S3",BaleMover[[#This Row],[MRF_ID]]="05"),0,IFERROR(BaleMover[[#This Row],[Total_Baled_tons]]*(IF(BaleMover[[#This Row],[Scenario_ID]]="S0",-2,0)+INDEX(BalePrices[Mid-Point],MATCH(BaleMover[[#This Row],[Bale_ID]],BalePrices[Bale_ID],0))),0))</f>
        <v>0</v>
      </c>
      <c r="Y579" s="397">
        <f>IF(AND(BaleMover[[#This Row],[Scenario_ID]]="S3",BaleMover[[#This Row],[MRF_ID]]="05"),0,IFERROR(BaleMover[[#This Row],[Total_Baled_tons]]*(IF(BaleMover[[#This Row],[Scenario_ID]]="S0",-2,0)+INDEX(BalePrices[High],MATCH(BaleMover[[#This Row],[Bale_ID]],BalePrices[Bale_ID],0))),0))</f>
        <v>0</v>
      </c>
    </row>
    <row r="580" spans="2:25" x14ac:dyDescent="0.2">
      <c r="B580" s="545" t="s">
        <v>874</v>
      </c>
      <c r="C580" s="499" t="s">
        <v>754</v>
      </c>
      <c r="D580" s="499"/>
      <c r="E580" s="499"/>
      <c r="F580" s="499" t="s">
        <v>1999</v>
      </c>
      <c r="G580" s="499" t="s">
        <v>2120</v>
      </c>
      <c r="H580" s="499" t="s">
        <v>1746</v>
      </c>
      <c r="I580" s="499" t="s">
        <v>1012</v>
      </c>
      <c r="J580" s="499" t="s">
        <v>1013</v>
      </c>
      <c r="K580" s="499" t="s">
        <v>2048</v>
      </c>
      <c r="L580" s="499">
        <v>2</v>
      </c>
      <c r="M580" s="499" t="s">
        <v>2071</v>
      </c>
      <c r="N580" s="499" t="s">
        <v>2072</v>
      </c>
      <c r="O580" s="525">
        <v>0</v>
      </c>
      <c r="P580" s="499" t="s">
        <v>2054</v>
      </c>
      <c r="Q580" s="499"/>
      <c r="R580" s="499"/>
      <c r="S580" s="525"/>
      <c r="T580" s="525">
        <v>0</v>
      </c>
      <c r="U580" s="525">
        <v>1</v>
      </c>
      <c r="V580" s="525" t="s">
        <v>2054</v>
      </c>
      <c r="W580" s="589">
        <f>IF(AND(BaleMover[[#This Row],[Scenario_ID]]="S3",BaleMover[[#This Row],[MRF_ID]]="05"),0,IFERROR(BaleMover[[#This Row],[Total_Baled_tons]]*(IF(BaleMover[[#This Row],[Scenario_ID]]="S0",-2,0)+INDEX(BalePrices[Low],MATCH(BaleMover[[#This Row],[Bale_ID]],BalePrices[Bale_ID],0))),0))</f>
        <v>0</v>
      </c>
      <c r="X580" s="397">
        <f>IF(AND(BaleMover[[#This Row],[Scenario_ID]]="S3",BaleMover[[#This Row],[MRF_ID]]="05"),0,IFERROR(BaleMover[[#This Row],[Total_Baled_tons]]*(IF(BaleMover[[#This Row],[Scenario_ID]]="S0",-2,0)+INDEX(BalePrices[Mid-Point],MATCH(BaleMover[[#This Row],[Bale_ID]],BalePrices[Bale_ID],0))),0))</f>
        <v>0</v>
      </c>
      <c r="Y580" s="397">
        <f>IF(AND(BaleMover[[#This Row],[Scenario_ID]]="S3",BaleMover[[#This Row],[MRF_ID]]="05"),0,IFERROR(BaleMover[[#This Row],[Total_Baled_tons]]*(IF(BaleMover[[#This Row],[Scenario_ID]]="S0",-2,0)+INDEX(BalePrices[High],MATCH(BaleMover[[#This Row],[Bale_ID]],BalePrices[Bale_ID],0))),0))</f>
        <v>0</v>
      </c>
    </row>
    <row r="581" spans="2:25" x14ac:dyDescent="0.2">
      <c r="B581" s="545" t="s">
        <v>873</v>
      </c>
      <c r="C581" s="499" t="s">
        <v>754</v>
      </c>
      <c r="D581" s="499"/>
      <c r="E581" s="499"/>
      <c r="F581" s="499" t="s">
        <v>1999</v>
      </c>
      <c r="G581" s="499" t="s">
        <v>2121</v>
      </c>
      <c r="H581" s="499" t="s">
        <v>1747</v>
      </c>
      <c r="I581" s="499" t="s">
        <v>1012</v>
      </c>
      <c r="J581" s="499" t="s">
        <v>1013</v>
      </c>
      <c r="K581" s="499" t="s">
        <v>2048</v>
      </c>
      <c r="L581" s="499">
        <v>2</v>
      </c>
      <c r="M581" s="499" t="s">
        <v>2071</v>
      </c>
      <c r="N581" s="499" t="s">
        <v>2072</v>
      </c>
      <c r="O581" s="525">
        <v>0</v>
      </c>
      <c r="P581" s="499" t="s">
        <v>2054</v>
      </c>
      <c r="Q581" s="499"/>
      <c r="R581" s="499"/>
      <c r="S581" s="525"/>
      <c r="T581" s="525">
        <v>0</v>
      </c>
      <c r="U581" s="525">
        <v>1</v>
      </c>
      <c r="V581" s="525" t="s">
        <v>2054</v>
      </c>
      <c r="W581" s="589">
        <f>IF(AND(BaleMover[[#This Row],[Scenario_ID]]="S3",BaleMover[[#This Row],[MRF_ID]]="05"),0,IFERROR(BaleMover[[#This Row],[Total_Baled_tons]]*(IF(BaleMover[[#This Row],[Scenario_ID]]="S0",-2,0)+INDEX(BalePrices[Low],MATCH(BaleMover[[#This Row],[Bale_ID]],BalePrices[Bale_ID],0))),0))</f>
        <v>0</v>
      </c>
      <c r="X581" s="397">
        <f>IF(AND(BaleMover[[#This Row],[Scenario_ID]]="S3",BaleMover[[#This Row],[MRF_ID]]="05"),0,IFERROR(BaleMover[[#This Row],[Total_Baled_tons]]*(IF(BaleMover[[#This Row],[Scenario_ID]]="S0",-2,0)+INDEX(BalePrices[Mid-Point],MATCH(BaleMover[[#This Row],[Bale_ID]],BalePrices[Bale_ID],0))),0))</f>
        <v>0</v>
      </c>
      <c r="Y581" s="397">
        <f>IF(AND(BaleMover[[#This Row],[Scenario_ID]]="S3",BaleMover[[#This Row],[MRF_ID]]="05"),0,IFERROR(BaleMover[[#This Row],[Total_Baled_tons]]*(IF(BaleMover[[#This Row],[Scenario_ID]]="S0",-2,0)+INDEX(BalePrices[High],MATCH(BaleMover[[#This Row],[Bale_ID]],BalePrices[Bale_ID],0))),0))</f>
        <v>0</v>
      </c>
    </row>
    <row r="582" spans="2:25" x14ac:dyDescent="0.2">
      <c r="B582" s="545" t="s">
        <v>870</v>
      </c>
      <c r="C582" s="499" t="s">
        <v>754</v>
      </c>
      <c r="D582" s="499"/>
      <c r="E582" s="499"/>
      <c r="F582" s="499" t="s">
        <v>1999</v>
      </c>
      <c r="G582" s="499" t="s">
        <v>2122</v>
      </c>
      <c r="H582" s="499" t="s">
        <v>1748</v>
      </c>
      <c r="I582" s="499" t="s">
        <v>1012</v>
      </c>
      <c r="J582" s="499" t="s">
        <v>1013</v>
      </c>
      <c r="K582" s="499" t="s">
        <v>2048</v>
      </c>
      <c r="L582" s="499">
        <v>2</v>
      </c>
      <c r="M582" s="499" t="s">
        <v>2071</v>
      </c>
      <c r="N582" s="499" t="s">
        <v>2072</v>
      </c>
      <c r="O582" s="525">
        <v>0</v>
      </c>
      <c r="P582" s="499" t="s">
        <v>2054</v>
      </c>
      <c r="Q582" s="499"/>
      <c r="R582" s="499"/>
      <c r="S582" s="525"/>
      <c r="T582" s="525">
        <v>0</v>
      </c>
      <c r="U582" s="525">
        <v>1</v>
      </c>
      <c r="V582" s="525" t="s">
        <v>2054</v>
      </c>
      <c r="W582" s="589">
        <f>IF(AND(BaleMover[[#This Row],[Scenario_ID]]="S3",BaleMover[[#This Row],[MRF_ID]]="05"),0,IFERROR(BaleMover[[#This Row],[Total_Baled_tons]]*(IF(BaleMover[[#This Row],[Scenario_ID]]="S0",-2,0)+INDEX(BalePrices[Low],MATCH(BaleMover[[#This Row],[Bale_ID]],BalePrices[Bale_ID],0))),0))</f>
        <v>0</v>
      </c>
      <c r="X582" s="397">
        <f>IF(AND(BaleMover[[#This Row],[Scenario_ID]]="S3",BaleMover[[#This Row],[MRF_ID]]="05"),0,IFERROR(BaleMover[[#This Row],[Total_Baled_tons]]*(IF(BaleMover[[#This Row],[Scenario_ID]]="S0",-2,0)+INDEX(BalePrices[Mid-Point],MATCH(BaleMover[[#This Row],[Bale_ID]],BalePrices[Bale_ID],0))),0))</f>
        <v>0</v>
      </c>
      <c r="Y582" s="397">
        <f>IF(AND(BaleMover[[#This Row],[Scenario_ID]]="S3",BaleMover[[#This Row],[MRF_ID]]="05"),0,IFERROR(BaleMover[[#This Row],[Total_Baled_tons]]*(IF(BaleMover[[#This Row],[Scenario_ID]]="S0",-2,0)+INDEX(BalePrices[High],MATCH(BaleMover[[#This Row],[Bale_ID]],BalePrices[Bale_ID],0))),0))</f>
        <v>0</v>
      </c>
    </row>
    <row r="583" spans="2:25" x14ac:dyDescent="0.2">
      <c r="B583" s="545" t="s">
        <v>876</v>
      </c>
      <c r="C583" s="499" t="s">
        <v>754</v>
      </c>
      <c r="D583" s="499"/>
      <c r="E583" s="499"/>
      <c r="F583" s="499" t="s">
        <v>1999</v>
      </c>
      <c r="G583" s="499" t="s">
        <v>2118</v>
      </c>
      <c r="H583" s="499" t="s">
        <v>1749</v>
      </c>
      <c r="I583" s="499" t="s">
        <v>1014</v>
      </c>
      <c r="J583" s="499" t="s">
        <v>1893</v>
      </c>
      <c r="K583" s="499" t="s">
        <v>2048</v>
      </c>
      <c r="L583" s="499">
        <v>8</v>
      </c>
      <c r="M583" s="499" t="s">
        <v>2067</v>
      </c>
      <c r="N583" s="499" t="s">
        <v>2068</v>
      </c>
      <c r="O583" s="525">
        <v>6.1332606170817305</v>
      </c>
      <c r="P583" s="499">
        <v>355</v>
      </c>
      <c r="Q583" s="499"/>
      <c r="R583" s="499"/>
      <c r="S583" s="525"/>
      <c r="T583" s="525">
        <v>0</v>
      </c>
      <c r="U583" s="525">
        <v>1</v>
      </c>
      <c r="V583" s="525">
        <v>2177.3075190640143</v>
      </c>
      <c r="W583" s="589">
        <f>IF(AND(BaleMover[[#This Row],[Scenario_ID]]="S3",BaleMover[[#This Row],[MRF_ID]]="05"),0,IFERROR(BaleMover[[#This Row],[Total_Baled_tons]]*(IF(BaleMover[[#This Row],[Scenario_ID]]="S0",-2,0)+INDEX(BalePrices[Low],MATCH(BaleMover[[#This Row],[Bale_ID]],BalePrices[Bale_ID],0))),0))</f>
        <v>-196.26433974661538</v>
      </c>
      <c r="X583" s="397">
        <f>IF(AND(BaleMover[[#This Row],[Scenario_ID]]="S3",BaleMover[[#This Row],[MRF_ID]]="05"),0,IFERROR(BaleMover[[#This Row],[Total_Baled_tons]]*(IF(BaleMover[[#This Row],[Scenario_ID]]="S0",-2,0)+INDEX(BalePrices[Mid-Point],MATCH(BaleMover[[#This Row],[Bale_ID]],BalePrices[Bale_ID],0))),0))</f>
        <v>-12.266521234163461</v>
      </c>
      <c r="Y583" s="397">
        <f>IF(AND(BaleMover[[#This Row],[Scenario_ID]]="S3",BaleMover[[#This Row],[MRF_ID]]="05"),0,IFERROR(BaleMover[[#This Row],[Total_Baled_tons]]*(IF(BaleMover[[#This Row],[Scenario_ID]]="S0",-2,0)+INDEX(BalePrices[High],MATCH(BaleMover[[#This Row],[Bale_ID]],BalePrices[Bale_ID],0))),0))</f>
        <v>171.73129727828845</v>
      </c>
    </row>
    <row r="584" spans="2:25" x14ac:dyDescent="0.2">
      <c r="B584" s="545" t="s">
        <v>875</v>
      </c>
      <c r="C584" s="499" t="s">
        <v>754</v>
      </c>
      <c r="D584" s="499"/>
      <c r="E584" s="499"/>
      <c r="F584" s="499" t="s">
        <v>1999</v>
      </c>
      <c r="G584" s="499" t="s">
        <v>2119</v>
      </c>
      <c r="H584" s="499" t="s">
        <v>1750</v>
      </c>
      <c r="I584" s="499" t="s">
        <v>1014</v>
      </c>
      <c r="J584" s="499" t="s">
        <v>1893</v>
      </c>
      <c r="K584" s="499" t="s">
        <v>2048</v>
      </c>
      <c r="L584" s="499">
        <v>8</v>
      </c>
      <c r="M584" s="499" t="s">
        <v>2067</v>
      </c>
      <c r="N584" s="499" t="s">
        <v>2068</v>
      </c>
      <c r="O584" s="525">
        <v>6.1332606170817305</v>
      </c>
      <c r="P584" s="499">
        <v>355</v>
      </c>
      <c r="Q584" s="499"/>
      <c r="R584" s="499"/>
      <c r="S584" s="525"/>
      <c r="T584" s="525">
        <v>0</v>
      </c>
      <c r="U584" s="525">
        <v>1</v>
      </c>
      <c r="V584" s="525">
        <v>2177.3075190640143</v>
      </c>
      <c r="W584" s="589">
        <f>IF(AND(BaleMover[[#This Row],[Scenario_ID]]="S3",BaleMover[[#This Row],[MRF_ID]]="05"),0,IFERROR(BaleMover[[#This Row],[Total_Baled_tons]]*(IF(BaleMover[[#This Row],[Scenario_ID]]="S0",-2,0)+INDEX(BalePrices[Low],MATCH(BaleMover[[#This Row],[Bale_ID]],BalePrices[Bale_ID],0))),0))</f>
        <v>-183.99781851245191</v>
      </c>
      <c r="X584" s="397">
        <f>IF(AND(BaleMover[[#This Row],[Scenario_ID]]="S3",BaleMover[[#This Row],[MRF_ID]]="05"),0,IFERROR(BaleMover[[#This Row],[Total_Baled_tons]]*(IF(BaleMover[[#This Row],[Scenario_ID]]="S0",-2,0)+INDEX(BalePrices[Mid-Point],MATCH(BaleMover[[#This Row],[Bale_ID]],BalePrices[Bale_ID],0))),0))</f>
        <v>0</v>
      </c>
      <c r="Y584" s="397">
        <f>IF(AND(BaleMover[[#This Row],[Scenario_ID]]="S3",BaleMover[[#This Row],[MRF_ID]]="05"),0,IFERROR(BaleMover[[#This Row],[Total_Baled_tons]]*(IF(BaleMover[[#This Row],[Scenario_ID]]="S0",-2,0)+INDEX(BalePrices[High],MATCH(BaleMover[[#This Row],[Bale_ID]],BalePrices[Bale_ID],0))),0))</f>
        <v>183.99781851245191</v>
      </c>
    </row>
    <row r="585" spans="2:25" x14ac:dyDescent="0.2">
      <c r="B585" s="545" t="s">
        <v>874</v>
      </c>
      <c r="C585" s="499" t="s">
        <v>754</v>
      </c>
      <c r="D585" s="499"/>
      <c r="E585" s="499"/>
      <c r="F585" s="499" t="s">
        <v>1999</v>
      </c>
      <c r="G585" s="499" t="s">
        <v>2120</v>
      </c>
      <c r="H585" s="499" t="s">
        <v>1751</v>
      </c>
      <c r="I585" s="499" t="s">
        <v>1014</v>
      </c>
      <c r="J585" s="499" t="s">
        <v>1893</v>
      </c>
      <c r="K585" s="499" t="s">
        <v>2048</v>
      </c>
      <c r="L585" s="499">
        <v>8</v>
      </c>
      <c r="M585" s="499" t="s">
        <v>2067</v>
      </c>
      <c r="N585" s="499" t="s">
        <v>2068</v>
      </c>
      <c r="O585" s="525">
        <v>24.657049296529493</v>
      </c>
      <c r="P585" s="499">
        <v>355</v>
      </c>
      <c r="Q585" s="499"/>
      <c r="R585" s="499"/>
      <c r="S585" s="525"/>
      <c r="T585" s="525">
        <v>0</v>
      </c>
      <c r="U585" s="525">
        <v>1</v>
      </c>
      <c r="V585" s="525">
        <v>8753.2525002679704</v>
      </c>
      <c r="W585" s="589">
        <f>IF(AND(BaleMover[[#This Row],[Scenario_ID]]="S3",BaleMover[[#This Row],[MRF_ID]]="05"),0,IFERROR(BaleMover[[#This Row],[Total_Baled_tons]]*(IF(BaleMover[[#This Row],[Scenario_ID]]="S0",-2,0)+INDEX(BalePrices[Low],MATCH(BaleMover[[#This Row],[Bale_ID]],BalePrices[Bale_ID],0))),0))</f>
        <v>-739.71147889588474</v>
      </c>
      <c r="X585" s="397">
        <f>IF(AND(BaleMover[[#This Row],[Scenario_ID]]="S3",BaleMover[[#This Row],[MRF_ID]]="05"),0,IFERROR(BaleMover[[#This Row],[Total_Baled_tons]]*(IF(BaleMover[[#This Row],[Scenario_ID]]="S0",-2,0)+INDEX(BalePrices[Mid-Point],MATCH(BaleMover[[#This Row],[Bale_ID]],BalePrices[Bale_ID],0))),0))</f>
        <v>0</v>
      </c>
      <c r="Y585" s="397">
        <f>IF(AND(BaleMover[[#This Row],[Scenario_ID]]="S3",BaleMover[[#This Row],[MRF_ID]]="05"),0,IFERROR(BaleMover[[#This Row],[Total_Baled_tons]]*(IF(BaleMover[[#This Row],[Scenario_ID]]="S0",-2,0)+INDEX(BalePrices[High],MATCH(BaleMover[[#This Row],[Bale_ID]],BalePrices[Bale_ID],0))),0))</f>
        <v>739.71147889588474</v>
      </c>
    </row>
    <row r="586" spans="2:25" x14ac:dyDescent="0.2">
      <c r="B586" s="545" t="s">
        <v>873</v>
      </c>
      <c r="C586" s="499" t="s">
        <v>754</v>
      </c>
      <c r="D586" s="499"/>
      <c r="E586" s="499"/>
      <c r="F586" s="499" t="s">
        <v>1999</v>
      </c>
      <c r="G586" s="499" t="s">
        <v>2121</v>
      </c>
      <c r="H586" s="499" t="s">
        <v>1752</v>
      </c>
      <c r="I586" s="499" t="s">
        <v>1014</v>
      </c>
      <c r="J586" s="499" t="s">
        <v>1893</v>
      </c>
      <c r="K586" s="499" t="s">
        <v>2048</v>
      </c>
      <c r="L586" s="499">
        <v>8</v>
      </c>
      <c r="M586" s="499" t="s">
        <v>2067</v>
      </c>
      <c r="N586" s="499" t="s">
        <v>2068</v>
      </c>
      <c r="O586" s="525">
        <v>24.657049296529493</v>
      </c>
      <c r="P586" s="499">
        <v>355</v>
      </c>
      <c r="Q586" s="499"/>
      <c r="R586" s="499"/>
      <c r="S586" s="525"/>
      <c r="T586" s="525">
        <v>0</v>
      </c>
      <c r="U586" s="525">
        <v>1</v>
      </c>
      <c r="V586" s="525">
        <v>8753.2525002679704</v>
      </c>
      <c r="W586" s="589">
        <f>IF(AND(BaleMover[[#This Row],[Scenario_ID]]="S3",BaleMover[[#This Row],[MRF_ID]]="05"),0,IFERROR(BaleMover[[#This Row],[Total_Baled_tons]]*(IF(BaleMover[[#This Row],[Scenario_ID]]="S0",-2,0)+INDEX(BalePrices[Low],MATCH(BaleMover[[#This Row],[Bale_ID]],BalePrices[Bale_ID],0))),0))</f>
        <v>-739.71147889588474</v>
      </c>
      <c r="X586" s="397">
        <f>IF(AND(BaleMover[[#This Row],[Scenario_ID]]="S3",BaleMover[[#This Row],[MRF_ID]]="05"),0,IFERROR(BaleMover[[#This Row],[Total_Baled_tons]]*(IF(BaleMover[[#This Row],[Scenario_ID]]="S0",-2,0)+INDEX(BalePrices[Mid-Point],MATCH(BaleMover[[#This Row],[Bale_ID]],BalePrices[Bale_ID],0))),0))</f>
        <v>0</v>
      </c>
      <c r="Y586" s="397">
        <f>IF(AND(BaleMover[[#This Row],[Scenario_ID]]="S3",BaleMover[[#This Row],[MRF_ID]]="05"),0,IFERROR(BaleMover[[#This Row],[Total_Baled_tons]]*(IF(BaleMover[[#This Row],[Scenario_ID]]="S0",-2,0)+INDEX(BalePrices[High],MATCH(BaleMover[[#This Row],[Bale_ID]],BalePrices[Bale_ID],0))),0))</f>
        <v>739.71147889588474</v>
      </c>
    </row>
    <row r="587" spans="2:25" x14ac:dyDescent="0.2">
      <c r="B587" s="545" t="s">
        <v>870</v>
      </c>
      <c r="C587" s="499" t="s">
        <v>754</v>
      </c>
      <c r="D587" s="499"/>
      <c r="E587" s="499"/>
      <c r="F587" s="499" t="s">
        <v>1999</v>
      </c>
      <c r="G587" s="499" t="s">
        <v>2122</v>
      </c>
      <c r="H587" s="499" t="s">
        <v>1753</v>
      </c>
      <c r="I587" s="499" t="s">
        <v>1014</v>
      </c>
      <c r="J587" s="499" t="s">
        <v>1893</v>
      </c>
      <c r="K587" s="499" t="s">
        <v>2048</v>
      </c>
      <c r="L587" s="499">
        <v>8</v>
      </c>
      <c r="M587" s="499" t="s">
        <v>2067</v>
      </c>
      <c r="N587" s="499" t="s">
        <v>2068</v>
      </c>
      <c r="O587" s="525">
        <v>24.657049296529493</v>
      </c>
      <c r="P587" s="499">
        <v>355</v>
      </c>
      <c r="Q587" s="499"/>
      <c r="R587" s="499"/>
      <c r="S587" s="525"/>
      <c r="T587" s="525">
        <v>0</v>
      </c>
      <c r="U587" s="525">
        <v>1</v>
      </c>
      <c r="V587" s="525">
        <v>8753.2525002679704</v>
      </c>
      <c r="W587" s="589">
        <f>IF(AND(BaleMover[[#This Row],[Scenario_ID]]="S3",BaleMover[[#This Row],[MRF_ID]]="05"),0,IFERROR(BaleMover[[#This Row],[Total_Baled_tons]]*(IF(BaleMover[[#This Row],[Scenario_ID]]="S0",-2,0)+INDEX(BalePrices[Low],MATCH(BaleMover[[#This Row],[Bale_ID]],BalePrices[Bale_ID],0))),0))</f>
        <v>-739.71147889588474</v>
      </c>
      <c r="X587" s="397">
        <f>IF(AND(BaleMover[[#This Row],[Scenario_ID]]="S3",BaleMover[[#This Row],[MRF_ID]]="05"),0,IFERROR(BaleMover[[#This Row],[Total_Baled_tons]]*(IF(BaleMover[[#This Row],[Scenario_ID]]="S0",-2,0)+INDEX(BalePrices[Mid-Point],MATCH(BaleMover[[#This Row],[Bale_ID]],BalePrices[Bale_ID],0))),0))</f>
        <v>0</v>
      </c>
      <c r="Y587" s="397">
        <f>IF(AND(BaleMover[[#This Row],[Scenario_ID]]="S3",BaleMover[[#This Row],[MRF_ID]]="05"),0,IFERROR(BaleMover[[#This Row],[Total_Baled_tons]]*(IF(BaleMover[[#This Row],[Scenario_ID]]="S0",-2,0)+INDEX(BalePrices[High],MATCH(BaleMover[[#This Row],[Bale_ID]],BalePrices[Bale_ID],0))),0))</f>
        <v>739.71147889588474</v>
      </c>
    </row>
    <row r="588" spans="2:25" x14ac:dyDescent="0.2">
      <c r="B588" s="545" t="s">
        <v>876</v>
      </c>
      <c r="C588" s="499" t="s">
        <v>754</v>
      </c>
      <c r="D588" s="499"/>
      <c r="E588" s="499"/>
      <c r="F588" s="499" t="s">
        <v>1999</v>
      </c>
      <c r="G588" s="499" t="s">
        <v>2118</v>
      </c>
      <c r="H588" s="499" t="s">
        <v>1754</v>
      </c>
      <c r="I588" s="499" t="s">
        <v>1015</v>
      </c>
      <c r="J588" s="499" t="s">
        <v>1016</v>
      </c>
      <c r="K588" s="499" t="s">
        <v>2048</v>
      </c>
      <c r="L588" s="499">
        <v>1</v>
      </c>
      <c r="M588" s="499" t="s">
        <v>2065</v>
      </c>
      <c r="N588" s="499" t="s">
        <v>2066</v>
      </c>
      <c r="O588" s="525">
        <v>0</v>
      </c>
      <c r="P588" s="499" t="s">
        <v>2054</v>
      </c>
      <c r="Q588" s="499"/>
      <c r="R588" s="499"/>
      <c r="S588" s="525"/>
      <c r="T588" s="525">
        <v>0</v>
      </c>
      <c r="U588" s="525">
        <v>1</v>
      </c>
      <c r="V588" s="525" t="s">
        <v>2054</v>
      </c>
      <c r="W588" s="589">
        <f>IF(AND(BaleMover[[#This Row],[Scenario_ID]]="S3",BaleMover[[#This Row],[MRF_ID]]="05"),0,IFERROR(BaleMover[[#This Row],[Total_Baled_tons]]*(IF(BaleMover[[#This Row],[Scenario_ID]]="S0",-2,0)+INDEX(BalePrices[Low],MATCH(BaleMover[[#This Row],[Bale_ID]],BalePrices[Bale_ID],0))),0))</f>
        <v>0</v>
      </c>
      <c r="X588" s="397">
        <f>IF(AND(BaleMover[[#This Row],[Scenario_ID]]="S3",BaleMover[[#This Row],[MRF_ID]]="05"),0,IFERROR(BaleMover[[#This Row],[Total_Baled_tons]]*(IF(BaleMover[[#This Row],[Scenario_ID]]="S0",-2,0)+INDEX(BalePrices[Mid-Point],MATCH(BaleMover[[#This Row],[Bale_ID]],BalePrices[Bale_ID],0))),0))</f>
        <v>0</v>
      </c>
      <c r="Y588" s="397">
        <f>IF(AND(BaleMover[[#This Row],[Scenario_ID]]="S3",BaleMover[[#This Row],[MRF_ID]]="05"),0,IFERROR(BaleMover[[#This Row],[Total_Baled_tons]]*(IF(BaleMover[[#This Row],[Scenario_ID]]="S0",-2,0)+INDEX(BalePrices[High],MATCH(BaleMover[[#This Row],[Bale_ID]],BalePrices[Bale_ID],0))),0))</f>
        <v>0</v>
      </c>
    </row>
    <row r="589" spans="2:25" x14ac:dyDescent="0.2">
      <c r="B589" s="545" t="s">
        <v>875</v>
      </c>
      <c r="C589" s="499" t="s">
        <v>754</v>
      </c>
      <c r="D589" s="499"/>
      <c r="E589" s="499"/>
      <c r="F589" s="499" t="s">
        <v>1999</v>
      </c>
      <c r="G589" s="499" t="s">
        <v>2119</v>
      </c>
      <c r="H589" s="499" t="s">
        <v>1755</v>
      </c>
      <c r="I589" s="499" t="s">
        <v>1015</v>
      </c>
      <c r="J589" s="499" t="s">
        <v>1016</v>
      </c>
      <c r="K589" s="499" t="s">
        <v>2048</v>
      </c>
      <c r="L589" s="499">
        <v>1</v>
      </c>
      <c r="M589" s="499" t="s">
        <v>2065</v>
      </c>
      <c r="N589" s="499" t="s">
        <v>2066</v>
      </c>
      <c r="O589" s="525">
        <v>0</v>
      </c>
      <c r="P589" s="499" t="s">
        <v>2054</v>
      </c>
      <c r="Q589" s="499"/>
      <c r="R589" s="499"/>
      <c r="S589" s="525"/>
      <c r="T589" s="525">
        <v>0</v>
      </c>
      <c r="U589" s="525">
        <v>1</v>
      </c>
      <c r="V589" s="525" t="s">
        <v>2054</v>
      </c>
      <c r="W589" s="589">
        <f>IF(AND(BaleMover[[#This Row],[Scenario_ID]]="S3",BaleMover[[#This Row],[MRF_ID]]="05"),0,IFERROR(BaleMover[[#This Row],[Total_Baled_tons]]*(IF(BaleMover[[#This Row],[Scenario_ID]]="S0",-2,0)+INDEX(BalePrices[Low],MATCH(BaleMover[[#This Row],[Bale_ID]],BalePrices[Bale_ID],0))),0))</f>
        <v>0</v>
      </c>
      <c r="X589" s="397">
        <f>IF(AND(BaleMover[[#This Row],[Scenario_ID]]="S3",BaleMover[[#This Row],[MRF_ID]]="05"),0,IFERROR(BaleMover[[#This Row],[Total_Baled_tons]]*(IF(BaleMover[[#This Row],[Scenario_ID]]="S0",-2,0)+INDEX(BalePrices[Mid-Point],MATCH(BaleMover[[#This Row],[Bale_ID]],BalePrices[Bale_ID],0))),0))</f>
        <v>0</v>
      </c>
      <c r="Y589" s="397">
        <f>IF(AND(BaleMover[[#This Row],[Scenario_ID]]="S3",BaleMover[[#This Row],[MRF_ID]]="05"),0,IFERROR(BaleMover[[#This Row],[Total_Baled_tons]]*(IF(BaleMover[[#This Row],[Scenario_ID]]="S0",-2,0)+INDEX(BalePrices[High],MATCH(BaleMover[[#This Row],[Bale_ID]],BalePrices[Bale_ID],0))),0))</f>
        <v>0</v>
      </c>
    </row>
    <row r="590" spans="2:25" x14ac:dyDescent="0.2">
      <c r="B590" s="545" t="s">
        <v>874</v>
      </c>
      <c r="C590" s="499" t="s">
        <v>754</v>
      </c>
      <c r="D590" s="499"/>
      <c r="E590" s="499"/>
      <c r="F590" s="499" t="s">
        <v>1999</v>
      </c>
      <c r="G590" s="499" t="s">
        <v>2120</v>
      </c>
      <c r="H590" s="499" t="s">
        <v>1756</v>
      </c>
      <c r="I590" s="499" t="s">
        <v>1015</v>
      </c>
      <c r="J590" s="499" t="s">
        <v>1016</v>
      </c>
      <c r="K590" s="499" t="s">
        <v>2048</v>
      </c>
      <c r="L590" s="499">
        <v>1</v>
      </c>
      <c r="M590" s="499" t="s">
        <v>2065</v>
      </c>
      <c r="N590" s="499" t="s">
        <v>2066</v>
      </c>
      <c r="O590" s="525">
        <v>0</v>
      </c>
      <c r="P590" s="499" t="s">
        <v>2054</v>
      </c>
      <c r="Q590" s="499"/>
      <c r="R590" s="499"/>
      <c r="S590" s="525"/>
      <c r="T590" s="525">
        <v>0</v>
      </c>
      <c r="U590" s="525">
        <v>1</v>
      </c>
      <c r="V590" s="525" t="s">
        <v>2054</v>
      </c>
      <c r="W590" s="589">
        <f>IF(AND(BaleMover[[#This Row],[Scenario_ID]]="S3",BaleMover[[#This Row],[MRF_ID]]="05"),0,IFERROR(BaleMover[[#This Row],[Total_Baled_tons]]*(IF(BaleMover[[#This Row],[Scenario_ID]]="S0",-2,0)+INDEX(BalePrices[Low],MATCH(BaleMover[[#This Row],[Bale_ID]],BalePrices[Bale_ID],0))),0))</f>
        <v>0</v>
      </c>
      <c r="X590" s="397">
        <f>IF(AND(BaleMover[[#This Row],[Scenario_ID]]="S3",BaleMover[[#This Row],[MRF_ID]]="05"),0,IFERROR(BaleMover[[#This Row],[Total_Baled_tons]]*(IF(BaleMover[[#This Row],[Scenario_ID]]="S0",-2,0)+INDEX(BalePrices[Mid-Point],MATCH(BaleMover[[#This Row],[Bale_ID]],BalePrices[Bale_ID],0))),0))</f>
        <v>0</v>
      </c>
      <c r="Y590" s="397">
        <f>IF(AND(BaleMover[[#This Row],[Scenario_ID]]="S3",BaleMover[[#This Row],[MRF_ID]]="05"),0,IFERROR(BaleMover[[#This Row],[Total_Baled_tons]]*(IF(BaleMover[[#This Row],[Scenario_ID]]="S0",-2,0)+INDEX(BalePrices[High],MATCH(BaleMover[[#This Row],[Bale_ID]],BalePrices[Bale_ID],0))),0))</f>
        <v>0</v>
      </c>
    </row>
    <row r="591" spans="2:25" x14ac:dyDescent="0.2">
      <c r="B591" s="545" t="s">
        <v>873</v>
      </c>
      <c r="C591" s="499" t="s">
        <v>754</v>
      </c>
      <c r="D591" s="499"/>
      <c r="E591" s="499"/>
      <c r="F591" s="499" t="s">
        <v>1999</v>
      </c>
      <c r="G591" s="499" t="s">
        <v>2121</v>
      </c>
      <c r="H591" s="499" t="s">
        <v>1757</v>
      </c>
      <c r="I591" s="499" t="s">
        <v>1015</v>
      </c>
      <c r="J591" s="499" t="s">
        <v>1016</v>
      </c>
      <c r="K591" s="499" t="s">
        <v>2048</v>
      </c>
      <c r="L591" s="499">
        <v>1</v>
      </c>
      <c r="M591" s="499" t="s">
        <v>2065</v>
      </c>
      <c r="N591" s="499" t="s">
        <v>2066</v>
      </c>
      <c r="O591" s="525">
        <v>0</v>
      </c>
      <c r="P591" s="499" t="s">
        <v>2054</v>
      </c>
      <c r="Q591" s="499"/>
      <c r="R591" s="499"/>
      <c r="S591" s="525"/>
      <c r="T591" s="525">
        <v>0</v>
      </c>
      <c r="U591" s="525">
        <v>1</v>
      </c>
      <c r="V591" s="525" t="s">
        <v>2054</v>
      </c>
      <c r="W591" s="589">
        <f>IF(AND(BaleMover[[#This Row],[Scenario_ID]]="S3",BaleMover[[#This Row],[MRF_ID]]="05"),0,IFERROR(BaleMover[[#This Row],[Total_Baled_tons]]*(IF(BaleMover[[#This Row],[Scenario_ID]]="S0",-2,0)+INDEX(BalePrices[Low],MATCH(BaleMover[[#This Row],[Bale_ID]],BalePrices[Bale_ID],0))),0))</f>
        <v>0</v>
      </c>
      <c r="X591" s="397">
        <f>IF(AND(BaleMover[[#This Row],[Scenario_ID]]="S3",BaleMover[[#This Row],[MRF_ID]]="05"),0,IFERROR(BaleMover[[#This Row],[Total_Baled_tons]]*(IF(BaleMover[[#This Row],[Scenario_ID]]="S0",-2,0)+INDEX(BalePrices[Mid-Point],MATCH(BaleMover[[#This Row],[Bale_ID]],BalePrices[Bale_ID],0))),0))</f>
        <v>0</v>
      </c>
      <c r="Y591" s="397">
        <f>IF(AND(BaleMover[[#This Row],[Scenario_ID]]="S3",BaleMover[[#This Row],[MRF_ID]]="05"),0,IFERROR(BaleMover[[#This Row],[Total_Baled_tons]]*(IF(BaleMover[[#This Row],[Scenario_ID]]="S0",-2,0)+INDEX(BalePrices[High],MATCH(BaleMover[[#This Row],[Bale_ID]],BalePrices[Bale_ID],0))),0))</f>
        <v>0</v>
      </c>
    </row>
    <row r="592" spans="2:25" x14ac:dyDescent="0.2">
      <c r="B592" s="545" t="s">
        <v>870</v>
      </c>
      <c r="C592" s="499" t="s">
        <v>754</v>
      </c>
      <c r="D592" s="499"/>
      <c r="E592" s="499"/>
      <c r="F592" s="499" t="s">
        <v>1999</v>
      </c>
      <c r="G592" s="499" t="s">
        <v>2122</v>
      </c>
      <c r="H592" s="499" t="s">
        <v>1758</v>
      </c>
      <c r="I592" s="499" t="s">
        <v>1015</v>
      </c>
      <c r="J592" s="499" t="s">
        <v>1016</v>
      </c>
      <c r="K592" s="499" t="s">
        <v>2048</v>
      </c>
      <c r="L592" s="499">
        <v>1</v>
      </c>
      <c r="M592" s="499" t="s">
        <v>2065</v>
      </c>
      <c r="N592" s="499" t="s">
        <v>2066</v>
      </c>
      <c r="O592" s="525">
        <v>0</v>
      </c>
      <c r="P592" s="499" t="s">
        <v>2054</v>
      </c>
      <c r="Q592" s="499"/>
      <c r="R592" s="499"/>
      <c r="S592" s="525"/>
      <c r="T592" s="525">
        <v>0</v>
      </c>
      <c r="U592" s="525">
        <v>1</v>
      </c>
      <c r="V592" s="525" t="s">
        <v>2054</v>
      </c>
      <c r="W592" s="589">
        <f>IF(AND(BaleMover[[#This Row],[Scenario_ID]]="S3",BaleMover[[#This Row],[MRF_ID]]="05"),0,IFERROR(BaleMover[[#This Row],[Total_Baled_tons]]*(IF(BaleMover[[#This Row],[Scenario_ID]]="S0",-2,0)+INDEX(BalePrices[Low],MATCH(BaleMover[[#This Row],[Bale_ID]],BalePrices[Bale_ID],0))),0))</f>
        <v>0</v>
      </c>
      <c r="X592" s="397">
        <f>IF(AND(BaleMover[[#This Row],[Scenario_ID]]="S3",BaleMover[[#This Row],[MRF_ID]]="05"),0,IFERROR(BaleMover[[#This Row],[Total_Baled_tons]]*(IF(BaleMover[[#This Row],[Scenario_ID]]="S0",-2,0)+INDEX(BalePrices[Mid-Point],MATCH(BaleMover[[#This Row],[Bale_ID]],BalePrices[Bale_ID],0))),0))</f>
        <v>0</v>
      </c>
      <c r="Y592" s="397">
        <f>IF(AND(BaleMover[[#This Row],[Scenario_ID]]="S3",BaleMover[[#This Row],[MRF_ID]]="05"),0,IFERROR(BaleMover[[#This Row],[Total_Baled_tons]]*(IF(BaleMover[[#This Row],[Scenario_ID]]="S0",-2,0)+INDEX(BalePrices[High],MATCH(BaleMover[[#This Row],[Bale_ID]],BalePrices[Bale_ID],0))),0))</f>
        <v>0</v>
      </c>
    </row>
    <row r="593" spans="2:25" x14ac:dyDescent="0.2">
      <c r="B593" s="545" t="s">
        <v>876</v>
      </c>
      <c r="C593" s="499" t="s">
        <v>754</v>
      </c>
      <c r="D593" s="499"/>
      <c r="E593" s="499"/>
      <c r="F593" s="499" t="s">
        <v>1999</v>
      </c>
      <c r="G593" s="499" t="s">
        <v>2118</v>
      </c>
      <c r="H593" s="499" t="s">
        <v>1759</v>
      </c>
      <c r="I593" s="499" t="s">
        <v>1017</v>
      </c>
      <c r="J593" s="499" t="s">
        <v>1018</v>
      </c>
      <c r="K593" s="499" t="s">
        <v>2048</v>
      </c>
      <c r="L593" s="499">
        <v>11</v>
      </c>
      <c r="M593" s="499" t="s">
        <v>2063</v>
      </c>
      <c r="N593" s="499" t="s">
        <v>2064</v>
      </c>
      <c r="O593" s="525">
        <v>141.44241879542824</v>
      </c>
      <c r="P593" s="499">
        <v>915</v>
      </c>
      <c r="Q593" s="499"/>
      <c r="R593" s="499"/>
      <c r="S593" s="525"/>
      <c r="T593" s="525">
        <v>0</v>
      </c>
      <c r="U593" s="525">
        <v>1</v>
      </c>
      <c r="V593" s="525">
        <v>129419.81319781684</v>
      </c>
      <c r="W593" s="589">
        <f>IF(AND(BaleMover[[#This Row],[Scenario_ID]]="S3",BaleMover[[#This Row],[MRF_ID]]="05"),0,IFERROR(BaleMover[[#This Row],[Total_Baled_tons]]*(IF(BaleMover[[#This Row],[Scenario_ID]]="S0",-2,0)+INDEX(BalePrices[Low],MATCH(BaleMover[[#This Row],[Bale_ID]],BalePrices[Bale_ID],0))),0))</f>
        <v>155303.77583738021</v>
      </c>
      <c r="X593" s="397">
        <f>IF(AND(BaleMover[[#This Row],[Scenario_ID]]="S3",BaleMover[[#This Row],[MRF_ID]]="05"),0,IFERROR(BaleMover[[#This Row],[Total_Baled_tons]]*(IF(BaleMover[[#This Row],[Scenario_ID]]="S0",-2,0)+INDEX(BalePrices[Mid-Point],MATCH(BaleMover[[#This Row],[Bale_ID]],BalePrices[Bale_ID],0))),0))</f>
        <v>187128.32006635156</v>
      </c>
      <c r="Y593" s="397">
        <f>IF(AND(BaleMover[[#This Row],[Scenario_ID]]="S3",BaleMover[[#This Row],[MRF_ID]]="05"),0,IFERROR(BaleMover[[#This Row],[Total_Baled_tons]]*(IF(BaleMover[[#This Row],[Scenario_ID]]="S0",-2,0)+INDEX(BalePrices[High],MATCH(BaleMover[[#This Row],[Bale_ID]],BalePrices[Bale_ID],0))),0))</f>
        <v>218952.86429532291</v>
      </c>
    </row>
    <row r="594" spans="2:25" x14ac:dyDescent="0.2">
      <c r="B594" s="545" t="s">
        <v>875</v>
      </c>
      <c r="C594" s="499" t="s">
        <v>754</v>
      </c>
      <c r="D594" s="499"/>
      <c r="E594" s="499"/>
      <c r="F594" s="499" t="s">
        <v>1999</v>
      </c>
      <c r="G594" s="499" t="s">
        <v>2119</v>
      </c>
      <c r="H594" s="499" t="s">
        <v>1760</v>
      </c>
      <c r="I594" s="499" t="s">
        <v>1017</v>
      </c>
      <c r="J594" s="499" t="s">
        <v>1018</v>
      </c>
      <c r="K594" s="499" t="s">
        <v>2048</v>
      </c>
      <c r="L594" s="499">
        <v>11</v>
      </c>
      <c r="M594" s="499" t="s">
        <v>2063</v>
      </c>
      <c r="N594" s="499" t="s">
        <v>2064</v>
      </c>
      <c r="O594" s="525">
        <v>141.44241879542824</v>
      </c>
      <c r="P594" s="499">
        <v>915</v>
      </c>
      <c r="Q594" s="499"/>
      <c r="R594" s="499"/>
      <c r="S594" s="525"/>
      <c r="T594" s="525">
        <v>0</v>
      </c>
      <c r="U594" s="525">
        <v>1</v>
      </c>
      <c r="V594" s="525">
        <v>129419.81319781684</v>
      </c>
      <c r="W594" s="589">
        <f>IF(AND(BaleMover[[#This Row],[Scenario_ID]]="S3",BaleMover[[#This Row],[MRF_ID]]="05"),0,IFERROR(BaleMover[[#This Row],[Total_Baled_tons]]*(IF(BaleMover[[#This Row],[Scenario_ID]]="S0",-2,0)+INDEX(BalePrices[Low],MATCH(BaleMover[[#This Row],[Bale_ID]],BalePrices[Bale_ID],0))),0))</f>
        <v>155586.66067497106</v>
      </c>
      <c r="X594" s="397">
        <f>IF(AND(BaleMover[[#This Row],[Scenario_ID]]="S3",BaleMover[[#This Row],[MRF_ID]]="05"),0,IFERROR(BaleMover[[#This Row],[Total_Baled_tons]]*(IF(BaleMover[[#This Row],[Scenario_ID]]="S0",-2,0)+INDEX(BalePrices[Mid-Point],MATCH(BaleMover[[#This Row],[Bale_ID]],BalePrices[Bale_ID],0))),0))</f>
        <v>187411.20490394242</v>
      </c>
      <c r="Y594" s="397">
        <f>IF(AND(BaleMover[[#This Row],[Scenario_ID]]="S3",BaleMover[[#This Row],[MRF_ID]]="05"),0,IFERROR(BaleMover[[#This Row],[Total_Baled_tons]]*(IF(BaleMover[[#This Row],[Scenario_ID]]="S0",-2,0)+INDEX(BalePrices[High],MATCH(BaleMover[[#This Row],[Bale_ID]],BalePrices[Bale_ID],0))),0))</f>
        <v>219235.74913291377</v>
      </c>
    </row>
    <row r="595" spans="2:25" x14ac:dyDescent="0.2">
      <c r="B595" s="545" t="s">
        <v>874</v>
      </c>
      <c r="C595" s="499" t="s">
        <v>754</v>
      </c>
      <c r="D595" s="499"/>
      <c r="E595" s="499"/>
      <c r="F595" s="499" t="s">
        <v>1999</v>
      </c>
      <c r="G595" s="499" t="s">
        <v>2120</v>
      </c>
      <c r="H595" s="499" t="s">
        <v>1761</v>
      </c>
      <c r="I595" s="499" t="s">
        <v>1017</v>
      </c>
      <c r="J595" s="499" t="s">
        <v>1018</v>
      </c>
      <c r="K595" s="499" t="s">
        <v>2048</v>
      </c>
      <c r="L595" s="499">
        <v>11</v>
      </c>
      <c r="M595" s="499" t="s">
        <v>2063</v>
      </c>
      <c r="N595" s="499" t="s">
        <v>2064</v>
      </c>
      <c r="O595" s="525">
        <v>141.44241879542824</v>
      </c>
      <c r="P595" s="499">
        <v>915</v>
      </c>
      <c r="Q595" s="499"/>
      <c r="R595" s="499"/>
      <c r="S595" s="525"/>
      <c r="T595" s="525">
        <v>0</v>
      </c>
      <c r="U595" s="525">
        <v>1</v>
      </c>
      <c r="V595" s="525">
        <v>129419.81319781684</v>
      </c>
      <c r="W595" s="589">
        <f>IF(AND(BaleMover[[#This Row],[Scenario_ID]]="S3",BaleMover[[#This Row],[MRF_ID]]="05"),0,IFERROR(BaleMover[[#This Row],[Total_Baled_tons]]*(IF(BaleMover[[#This Row],[Scenario_ID]]="S0",-2,0)+INDEX(BalePrices[Low],MATCH(BaleMover[[#This Row],[Bale_ID]],BalePrices[Bale_ID],0))),0))</f>
        <v>155586.66067497106</v>
      </c>
      <c r="X595" s="397">
        <f>IF(AND(BaleMover[[#This Row],[Scenario_ID]]="S3",BaleMover[[#This Row],[MRF_ID]]="05"),0,IFERROR(BaleMover[[#This Row],[Total_Baled_tons]]*(IF(BaleMover[[#This Row],[Scenario_ID]]="S0",-2,0)+INDEX(BalePrices[Mid-Point],MATCH(BaleMover[[#This Row],[Bale_ID]],BalePrices[Bale_ID],0))),0))</f>
        <v>187411.20490394242</v>
      </c>
      <c r="Y595" s="397">
        <f>IF(AND(BaleMover[[#This Row],[Scenario_ID]]="S3",BaleMover[[#This Row],[MRF_ID]]="05"),0,IFERROR(BaleMover[[#This Row],[Total_Baled_tons]]*(IF(BaleMover[[#This Row],[Scenario_ID]]="S0",-2,0)+INDEX(BalePrices[High],MATCH(BaleMover[[#This Row],[Bale_ID]],BalePrices[Bale_ID],0))),0))</f>
        <v>219235.74913291377</v>
      </c>
    </row>
    <row r="596" spans="2:25" x14ac:dyDescent="0.2">
      <c r="B596" s="545" t="s">
        <v>873</v>
      </c>
      <c r="C596" s="499" t="s">
        <v>754</v>
      </c>
      <c r="D596" s="499"/>
      <c r="E596" s="499"/>
      <c r="F596" s="499" t="s">
        <v>1999</v>
      </c>
      <c r="G596" s="499" t="s">
        <v>2121</v>
      </c>
      <c r="H596" s="499" t="s">
        <v>1762</v>
      </c>
      <c r="I596" s="499" t="s">
        <v>1017</v>
      </c>
      <c r="J596" s="499" t="s">
        <v>1018</v>
      </c>
      <c r="K596" s="499" t="s">
        <v>2048</v>
      </c>
      <c r="L596" s="499">
        <v>11</v>
      </c>
      <c r="M596" s="499" t="s">
        <v>2063</v>
      </c>
      <c r="N596" s="499" t="s">
        <v>2064</v>
      </c>
      <c r="O596" s="525">
        <v>141.44241879542824</v>
      </c>
      <c r="P596" s="499">
        <v>915</v>
      </c>
      <c r="Q596" s="499"/>
      <c r="R596" s="499"/>
      <c r="S596" s="525"/>
      <c r="T596" s="525">
        <v>0</v>
      </c>
      <c r="U596" s="525">
        <v>1</v>
      </c>
      <c r="V596" s="525">
        <v>129419.81319781684</v>
      </c>
      <c r="W596" s="589">
        <f>IF(AND(BaleMover[[#This Row],[Scenario_ID]]="S3",BaleMover[[#This Row],[MRF_ID]]="05"),0,IFERROR(BaleMover[[#This Row],[Total_Baled_tons]]*(IF(BaleMover[[#This Row],[Scenario_ID]]="S0",-2,0)+INDEX(BalePrices[Low],MATCH(BaleMover[[#This Row],[Bale_ID]],BalePrices[Bale_ID],0))),0))</f>
        <v>155586.66067497106</v>
      </c>
      <c r="X596" s="397">
        <f>IF(AND(BaleMover[[#This Row],[Scenario_ID]]="S3",BaleMover[[#This Row],[MRF_ID]]="05"),0,IFERROR(BaleMover[[#This Row],[Total_Baled_tons]]*(IF(BaleMover[[#This Row],[Scenario_ID]]="S0",-2,0)+INDEX(BalePrices[Mid-Point],MATCH(BaleMover[[#This Row],[Bale_ID]],BalePrices[Bale_ID],0))),0))</f>
        <v>187411.20490394242</v>
      </c>
      <c r="Y596" s="397">
        <f>IF(AND(BaleMover[[#This Row],[Scenario_ID]]="S3",BaleMover[[#This Row],[MRF_ID]]="05"),0,IFERROR(BaleMover[[#This Row],[Total_Baled_tons]]*(IF(BaleMover[[#This Row],[Scenario_ID]]="S0",-2,0)+INDEX(BalePrices[High],MATCH(BaleMover[[#This Row],[Bale_ID]],BalePrices[Bale_ID],0))),0))</f>
        <v>219235.74913291377</v>
      </c>
    </row>
    <row r="597" spans="2:25" x14ac:dyDescent="0.2">
      <c r="B597" s="545" t="s">
        <v>870</v>
      </c>
      <c r="C597" s="499" t="s">
        <v>754</v>
      </c>
      <c r="D597" s="499"/>
      <c r="E597" s="499"/>
      <c r="F597" s="499" t="s">
        <v>1999</v>
      </c>
      <c r="G597" s="499" t="s">
        <v>2122</v>
      </c>
      <c r="H597" s="499" t="s">
        <v>1763</v>
      </c>
      <c r="I597" s="499" t="s">
        <v>1017</v>
      </c>
      <c r="J597" s="499" t="s">
        <v>1018</v>
      </c>
      <c r="K597" s="499" t="s">
        <v>2048</v>
      </c>
      <c r="L597" s="499">
        <v>11</v>
      </c>
      <c r="M597" s="499" t="s">
        <v>2063</v>
      </c>
      <c r="N597" s="499" t="s">
        <v>2064</v>
      </c>
      <c r="O597" s="525">
        <v>141.44241879542824</v>
      </c>
      <c r="P597" s="499">
        <v>915</v>
      </c>
      <c r="Q597" s="499"/>
      <c r="R597" s="499"/>
      <c r="S597" s="525"/>
      <c r="T597" s="525">
        <v>0</v>
      </c>
      <c r="U597" s="525">
        <v>1</v>
      </c>
      <c r="V597" s="525">
        <v>129419.81319781684</v>
      </c>
      <c r="W597" s="589">
        <f>IF(AND(BaleMover[[#This Row],[Scenario_ID]]="S3",BaleMover[[#This Row],[MRF_ID]]="05"),0,IFERROR(BaleMover[[#This Row],[Total_Baled_tons]]*(IF(BaleMover[[#This Row],[Scenario_ID]]="S0",-2,0)+INDEX(BalePrices[Low],MATCH(BaleMover[[#This Row],[Bale_ID]],BalePrices[Bale_ID],0))),0))</f>
        <v>155586.66067497106</v>
      </c>
      <c r="X597" s="397">
        <f>IF(AND(BaleMover[[#This Row],[Scenario_ID]]="S3",BaleMover[[#This Row],[MRF_ID]]="05"),0,IFERROR(BaleMover[[#This Row],[Total_Baled_tons]]*(IF(BaleMover[[#This Row],[Scenario_ID]]="S0",-2,0)+INDEX(BalePrices[Mid-Point],MATCH(BaleMover[[#This Row],[Bale_ID]],BalePrices[Bale_ID],0))),0))</f>
        <v>187411.20490394242</v>
      </c>
      <c r="Y597" s="397">
        <f>IF(AND(BaleMover[[#This Row],[Scenario_ID]]="S3",BaleMover[[#This Row],[MRF_ID]]="05"),0,IFERROR(BaleMover[[#This Row],[Total_Baled_tons]]*(IF(BaleMover[[#This Row],[Scenario_ID]]="S0",-2,0)+INDEX(BalePrices[High],MATCH(BaleMover[[#This Row],[Bale_ID]],BalePrices[Bale_ID],0))),0))</f>
        <v>219235.74913291377</v>
      </c>
    </row>
    <row r="598" spans="2:25" x14ac:dyDescent="0.2">
      <c r="B598" s="545" t="s">
        <v>876</v>
      </c>
      <c r="C598" s="499" t="s">
        <v>754</v>
      </c>
      <c r="D598" s="499"/>
      <c r="E598" s="499"/>
      <c r="F598" s="499" t="s">
        <v>1999</v>
      </c>
      <c r="G598" s="499" t="s">
        <v>2118</v>
      </c>
      <c r="H598" s="499" t="s">
        <v>1764</v>
      </c>
      <c r="I598" s="499" t="s">
        <v>1019</v>
      </c>
      <c r="J598" s="499" t="s">
        <v>1020</v>
      </c>
      <c r="K598" s="499" t="s">
        <v>2048</v>
      </c>
      <c r="L598" s="499">
        <v>1</v>
      </c>
      <c r="M598" s="499" t="s">
        <v>2065</v>
      </c>
      <c r="N598" s="499" t="s">
        <v>2066</v>
      </c>
      <c r="O598" s="525">
        <v>20435.677002269349</v>
      </c>
      <c r="P598" s="499">
        <v>50</v>
      </c>
      <c r="Q598" s="499"/>
      <c r="R598" s="499"/>
      <c r="S598" s="525"/>
      <c r="T598" s="525">
        <v>0</v>
      </c>
      <c r="U598" s="525">
        <v>1</v>
      </c>
      <c r="V598" s="525">
        <v>1021783.8501134674</v>
      </c>
      <c r="W598" s="589">
        <f>IF(AND(BaleMover[[#This Row],[Scenario_ID]]="S3",BaleMover[[#This Row],[MRF_ID]]="05"),0,IFERROR(BaleMover[[#This Row],[Total_Baled_tons]]*(IF(BaleMover[[#This Row],[Scenario_ID]]="S0",-2,0)+INDEX(BalePrices[Low],MATCH(BaleMover[[#This Row],[Bale_ID]],BalePrices[Bale_ID],0))),0))</f>
        <v>2002696.3462223962</v>
      </c>
      <c r="X598" s="397">
        <f>IF(AND(BaleMover[[#This Row],[Scenario_ID]]="S3",BaleMover[[#This Row],[MRF_ID]]="05"),0,IFERROR(BaleMover[[#This Row],[Total_Baled_tons]]*(IF(BaleMover[[#This Row],[Scenario_ID]]="S0",-2,0)+INDEX(BalePrices[Mid-Point],MATCH(BaleMover[[#This Row],[Bale_ID]],BalePrices[Bale_ID],0))),0))</f>
        <v>3024480.1963358638</v>
      </c>
      <c r="Y598" s="397">
        <f>IF(AND(BaleMover[[#This Row],[Scenario_ID]]="S3",BaleMover[[#This Row],[MRF_ID]]="05"),0,IFERROR(BaleMover[[#This Row],[Total_Baled_tons]]*(IF(BaleMover[[#This Row],[Scenario_ID]]="S0",-2,0)+INDEX(BalePrices[High],MATCH(BaleMover[[#This Row],[Bale_ID]],BalePrices[Bale_ID],0))),0))</f>
        <v>4046264.0464493311</v>
      </c>
    </row>
    <row r="599" spans="2:25" x14ac:dyDescent="0.2">
      <c r="B599" s="545" t="s">
        <v>875</v>
      </c>
      <c r="C599" s="499" t="s">
        <v>754</v>
      </c>
      <c r="D599" s="499"/>
      <c r="E599" s="499"/>
      <c r="F599" s="499" t="s">
        <v>1999</v>
      </c>
      <c r="G599" s="499" t="s">
        <v>2119</v>
      </c>
      <c r="H599" s="499" t="s">
        <v>1765</v>
      </c>
      <c r="I599" s="499" t="s">
        <v>1019</v>
      </c>
      <c r="J599" s="499" t="s">
        <v>1020</v>
      </c>
      <c r="K599" s="499" t="s">
        <v>2048</v>
      </c>
      <c r="L599" s="499">
        <v>1</v>
      </c>
      <c r="M599" s="499" t="s">
        <v>2065</v>
      </c>
      <c r="N599" s="499" t="s">
        <v>2066</v>
      </c>
      <c r="O599" s="525">
        <v>20435.677002269349</v>
      </c>
      <c r="P599" s="499">
        <v>50</v>
      </c>
      <c r="Q599" s="499"/>
      <c r="R599" s="499"/>
      <c r="S599" s="525"/>
      <c r="T599" s="525">
        <v>0</v>
      </c>
      <c r="U599" s="525">
        <v>1</v>
      </c>
      <c r="V599" s="525">
        <v>1021783.8501134674</v>
      </c>
      <c r="W599" s="589">
        <f>IF(AND(BaleMover[[#This Row],[Scenario_ID]]="S3",BaleMover[[#This Row],[MRF_ID]]="05"),0,IFERROR(BaleMover[[#This Row],[Total_Baled_tons]]*(IF(BaleMover[[#This Row],[Scenario_ID]]="S0",-2,0)+INDEX(BalePrices[Low],MATCH(BaleMover[[#This Row],[Bale_ID]],BalePrices[Bale_ID],0))),0))</f>
        <v>2043567.7002269349</v>
      </c>
      <c r="X599" s="397">
        <f>IF(AND(BaleMover[[#This Row],[Scenario_ID]]="S3",BaleMover[[#This Row],[MRF_ID]]="05"),0,IFERROR(BaleMover[[#This Row],[Total_Baled_tons]]*(IF(BaleMover[[#This Row],[Scenario_ID]]="S0",-2,0)+INDEX(BalePrices[Mid-Point],MATCH(BaleMover[[#This Row],[Bale_ID]],BalePrices[Bale_ID],0))),0))</f>
        <v>3065351.5503404024</v>
      </c>
      <c r="Y599" s="397">
        <f>IF(AND(BaleMover[[#This Row],[Scenario_ID]]="S3",BaleMover[[#This Row],[MRF_ID]]="05"),0,IFERROR(BaleMover[[#This Row],[Total_Baled_tons]]*(IF(BaleMover[[#This Row],[Scenario_ID]]="S0",-2,0)+INDEX(BalePrices[High],MATCH(BaleMover[[#This Row],[Bale_ID]],BalePrices[Bale_ID],0))),0))</f>
        <v>4087135.4004538697</v>
      </c>
    </row>
    <row r="600" spans="2:25" x14ac:dyDescent="0.2">
      <c r="B600" s="545" t="s">
        <v>874</v>
      </c>
      <c r="C600" s="499" t="s">
        <v>754</v>
      </c>
      <c r="D600" s="499"/>
      <c r="E600" s="499"/>
      <c r="F600" s="499" t="s">
        <v>1999</v>
      </c>
      <c r="G600" s="499" t="s">
        <v>2120</v>
      </c>
      <c r="H600" s="499" t="s">
        <v>1766</v>
      </c>
      <c r="I600" s="499" t="s">
        <v>1019</v>
      </c>
      <c r="J600" s="499" t="s">
        <v>1020</v>
      </c>
      <c r="K600" s="499" t="s">
        <v>2048</v>
      </c>
      <c r="L600" s="499">
        <v>1</v>
      </c>
      <c r="M600" s="499" t="s">
        <v>2065</v>
      </c>
      <c r="N600" s="499" t="s">
        <v>2066</v>
      </c>
      <c r="O600" s="525">
        <v>20435.677002269349</v>
      </c>
      <c r="P600" s="499">
        <v>50</v>
      </c>
      <c r="Q600" s="499"/>
      <c r="R600" s="499"/>
      <c r="S600" s="525"/>
      <c r="T600" s="525">
        <v>0</v>
      </c>
      <c r="U600" s="525">
        <v>1</v>
      </c>
      <c r="V600" s="525">
        <v>1021783.8501134674</v>
      </c>
      <c r="W600" s="589">
        <f>IF(AND(BaleMover[[#This Row],[Scenario_ID]]="S3",BaleMover[[#This Row],[MRF_ID]]="05"),0,IFERROR(BaleMover[[#This Row],[Total_Baled_tons]]*(IF(BaleMover[[#This Row],[Scenario_ID]]="S0",-2,0)+INDEX(BalePrices[Low],MATCH(BaleMover[[#This Row],[Bale_ID]],BalePrices[Bale_ID],0))),0))</f>
        <v>2043567.7002269349</v>
      </c>
      <c r="X600" s="397">
        <f>IF(AND(BaleMover[[#This Row],[Scenario_ID]]="S3",BaleMover[[#This Row],[MRF_ID]]="05"),0,IFERROR(BaleMover[[#This Row],[Total_Baled_tons]]*(IF(BaleMover[[#This Row],[Scenario_ID]]="S0",-2,0)+INDEX(BalePrices[Mid-Point],MATCH(BaleMover[[#This Row],[Bale_ID]],BalePrices[Bale_ID],0))),0))</f>
        <v>3065351.5503404024</v>
      </c>
      <c r="Y600" s="397">
        <f>IF(AND(BaleMover[[#This Row],[Scenario_ID]]="S3",BaleMover[[#This Row],[MRF_ID]]="05"),0,IFERROR(BaleMover[[#This Row],[Total_Baled_tons]]*(IF(BaleMover[[#This Row],[Scenario_ID]]="S0",-2,0)+INDEX(BalePrices[High],MATCH(BaleMover[[#This Row],[Bale_ID]],BalePrices[Bale_ID],0))),0))</f>
        <v>4087135.4004538697</v>
      </c>
    </row>
    <row r="601" spans="2:25" x14ac:dyDescent="0.2">
      <c r="B601" s="545" t="s">
        <v>873</v>
      </c>
      <c r="C601" s="499" t="s">
        <v>754</v>
      </c>
      <c r="D601" s="499"/>
      <c r="E601" s="499"/>
      <c r="F601" s="499" t="s">
        <v>1999</v>
      </c>
      <c r="G601" s="499" t="s">
        <v>2121</v>
      </c>
      <c r="H601" s="499" t="s">
        <v>1767</v>
      </c>
      <c r="I601" s="499" t="s">
        <v>1019</v>
      </c>
      <c r="J601" s="499" t="s">
        <v>1020</v>
      </c>
      <c r="K601" s="499" t="s">
        <v>2048</v>
      </c>
      <c r="L601" s="499">
        <v>1</v>
      </c>
      <c r="M601" s="499" t="s">
        <v>2065</v>
      </c>
      <c r="N601" s="499" t="s">
        <v>2066</v>
      </c>
      <c r="O601" s="525">
        <v>20435.677002269349</v>
      </c>
      <c r="P601" s="499">
        <v>50</v>
      </c>
      <c r="Q601" s="499"/>
      <c r="R601" s="499"/>
      <c r="S601" s="525"/>
      <c r="T601" s="525">
        <v>0</v>
      </c>
      <c r="U601" s="525">
        <v>1</v>
      </c>
      <c r="V601" s="525">
        <v>1021783.8501134674</v>
      </c>
      <c r="W601" s="589">
        <f>IF(AND(BaleMover[[#This Row],[Scenario_ID]]="S3",BaleMover[[#This Row],[MRF_ID]]="05"),0,IFERROR(BaleMover[[#This Row],[Total_Baled_tons]]*(IF(BaleMover[[#This Row],[Scenario_ID]]="S0",-2,0)+INDEX(BalePrices[Low],MATCH(BaleMover[[#This Row],[Bale_ID]],BalePrices[Bale_ID],0))),0))</f>
        <v>2043567.7002269349</v>
      </c>
      <c r="X601" s="397">
        <f>IF(AND(BaleMover[[#This Row],[Scenario_ID]]="S3",BaleMover[[#This Row],[MRF_ID]]="05"),0,IFERROR(BaleMover[[#This Row],[Total_Baled_tons]]*(IF(BaleMover[[#This Row],[Scenario_ID]]="S0",-2,0)+INDEX(BalePrices[Mid-Point],MATCH(BaleMover[[#This Row],[Bale_ID]],BalePrices[Bale_ID],0))),0))</f>
        <v>3065351.5503404024</v>
      </c>
      <c r="Y601" s="397">
        <f>IF(AND(BaleMover[[#This Row],[Scenario_ID]]="S3",BaleMover[[#This Row],[MRF_ID]]="05"),0,IFERROR(BaleMover[[#This Row],[Total_Baled_tons]]*(IF(BaleMover[[#This Row],[Scenario_ID]]="S0",-2,0)+INDEX(BalePrices[High],MATCH(BaleMover[[#This Row],[Bale_ID]],BalePrices[Bale_ID],0))),0))</f>
        <v>4087135.4004538697</v>
      </c>
    </row>
    <row r="602" spans="2:25" x14ac:dyDescent="0.2">
      <c r="B602" s="545" t="s">
        <v>870</v>
      </c>
      <c r="C602" s="499" t="s">
        <v>754</v>
      </c>
      <c r="D602" s="499"/>
      <c r="E602" s="499"/>
      <c r="F602" s="499" t="s">
        <v>1999</v>
      </c>
      <c r="G602" s="499" t="s">
        <v>2122</v>
      </c>
      <c r="H602" s="499" t="s">
        <v>1768</v>
      </c>
      <c r="I602" s="499" t="s">
        <v>1019</v>
      </c>
      <c r="J602" s="499" t="s">
        <v>1020</v>
      </c>
      <c r="K602" s="499" t="s">
        <v>2048</v>
      </c>
      <c r="L602" s="499">
        <v>1</v>
      </c>
      <c r="M602" s="499" t="s">
        <v>2065</v>
      </c>
      <c r="N602" s="499" t="s">
        <v>2066</v>
      </c>
      <c r="O602" s="525">
        <v>20435.677002269349</v>
      </c>
      <c r="P602" s="499">
        <v>50</v>
      </c>
      <c r="Q602" s="499"/>
      <c r="R602" s="499"/>
      <c r="S602" s="525"/>
      <c r="T602" s="525">
        <v>0</v>
      </c>
      <c r="U602" s="525">
        <v>1</v>
      </c>
      <c r="V602" s="525">
        <v>1021783.8501134674</v>
      </c>
      <c r="W602" s="589">
        <f>IF(AND(BaleMover[[#This Row],[Scenario_ID]]="S3",BaleMover[[#This Row],[MRF_ID]]="05"),0,IFERROR(BaleMover[[#This Row],[Total_Baled_tons]]*(IF(BaleMover[[#This Row],[Scenario_ID]]="S0",-2,0)+INDEX(BalePrices[Low],MATCH(BaleMover[[#This Row],[Bale_ID]],BalePrices[Bale_ID],0))),0))</f>
        <v>2043567.7002269349</v>
      </c>
      <c r="X602" s="397">
        <f>IF(AND(BaleMover[[#This Row],[Scenario_ID]]="S3",BaleMover[[#This Row],[MRF_ID]]="05"),0,IFERROR(BaleMover[[#This Row],[Total_Baled_tons]]*(IF(BaleMover[[#This Row],[Scenario_ID]]="S0",-2,0)+INDEX(BalePrices[Mid-Point],MATCH(BaleMover[[#This Row],[Bale_ID]],BalePrices[Bale_ID],0))),0))</f>
        <v>3065351.5503404024</v>
      </c>
      <c r="Y602" s="397">
        <f>IF(AND(BaleMover[[#This Row],[Scenario_ID]]="S3",BaleMover[[#This Row],[MRF_ID]]="05"),0,IFERROR(BaleMover[[#This Row],[Total_Baled_tons]]*(IF(BaleMover[[#This Row],[Scenario_ID]]="S0",-2,0)+INDEX(BalePrices[High],MATCH(BaleMover[[#This Row],[Bale_ID]],BalePrices[Bale_ID],0))),0))</f>
        <v>4087135.4004538697</v>
      </c>
    </row>
    <row r="603" spans="2:25" x14ac:dyDescent="0.2">
      <c r="B603" s="545" t="s">
        <v>876</v>
      </c>
      <c r="C603" s="499" t="s">
        <v>754</v>
      </c>
      <c r="D603" s="499"/>
      <c r="E603" s="499"/>
      <c r="F603" s="499" t="s">
        <v>1999</v>
      </c>
      <c r="G603" s="499" t="s">
        <v>2118</v>
      </c>
      <c r="H603" s="499" t="s">
        <v>1769</v>
      </c>
      <c r="I603" s="499" t="s">
        <v>1021</v>
      </c>
      <c r="J603" s="499" t="s">
        <v>751</v>
      </c>
      <c r="K603" s="499" t="s">
        <v>2048</v>
      </c>
      <c r="L603" s="499">
        <v>20</v>
      </c>
      <c r="M603" s="499" t="s">
        <v>2073</v>
      </c>
      <c r="N603" s="499" t="s">
        <v>2074</v>
      </c>
      <c r="O603" s="525">
        <v>24050.323138516822</v>
      </c>
      <c r="P603" s="499">
        <v>25</v>
      </c>
      <c r="Q603" s="499"/>
      <c r="R603" s="499"/>
      <c r="S603" s="525"/>
      <c r="T603" s="525">
        <v>0</v>
      </c>
      <c r="U603" s="525">
        <v>1</v>
      </c>
      <c r="V603" s="525">
        <v>601258.0784629205</v>
      </c>
      <c r="W603" s="589">
        <f>IF(AND(BaleMover[[#This Row],[Scenario_ID]]="S3",BaleMover[[#This Row],[MRF_ID]]="05"),0,IFERROR(BaleMover[[#This Row],[Total_Baled_tons]]*(IF(BaleMover[[#This Row],[Scenario_ID]]="S0",-2,0)+INDEX(BalePrices[Low],MATCH(BaleMover[[#This Row],[Bale_ID]],BalePrices[Bale_ID],0))),0))</f>
        <v>1875925.2048043122</v>
      </c>
      <c r="X603" s="397">
        <f>IF(AND(BaleMover[[#This Row],[Scenario_ID]]="S3",BaleMover[[#This Row],[MRF_ID]]="05"),0,IFERROR(BaleMover[[#This Row],[Total_Baled_tons]]*(IF(BaleMover[[#This Row],[Scenario_ID]]="S0",-2,0)+INDEX(BalePrices[Mid-Point],MATCH(BaleMover[[#This Row],[Bale_ID]],BalePrices[Bale_ID],0))),0))</f>
        <v>2837938.1303449851</v>
      </c>
      <c r="Y603" s="397">
        <f>IF(AND(BaleMover[[#This Row],[Scenario_ID]]="S3",BaleMover[[#This Row],[MRF_ID]]="05"),0,IFERROR(BaleMover[[#This Row],[Total_Baled_tons]]*(IF(BaleMover[[#This Row],[Scenario_ID]]="S0",-2,0)+INDEX(BalePrices[High],MATCH(BaleMover[[#This Row],[Bale_ID]],BalePrices[Bale_ID],0))),0))</f>
        <v>3799951.0558856577</v>
      </c>
    </row>
    <row r="604" spans="2:25" x14ac:dyDescent="0.2">
      <c r="B604" s="545" t="s">
        <v>875</v>
      </c>
      <c r="C604" s="499" t="s">
        <v>754</v>
      </c>
      <c r="D604" s="499"/>
      <c r="E604" s="499"/>
      <c r="F604" s="499" t="s">
        <v>1999</v>
      </c>
      <c r="G604" s="499" t="s">
        <v>2119</v>
      </c>
      <c r="H604" s="499" t="s">
        <v>1770</v>
      </c>
      <c r="I604" s="499" t="s">
        <v>1021</v>
      </c>
      <c r="J604" s="499" t="s">
        <v>751</v>
      </c>
      <c r="K604" s="499" t="s">
        <v>2048</v>
      </c>
      <c r="L604" s="499">
        <v>20</v>
      </c>
      <c r="M604" s="499" t="s">
        <v>2073</v>
      </c>
      <c r="N604" s="499" t="s">
        <v>2074</v>
      </c>
      <c r="O604" s="525">
        <v>24050.323138516822</v>
      </c>
      <c r="P604" s="499">
        <v>25</v>
      </c>
      <c r="Q604" s="499"/>
      <c r="R604" s="499"/>
      <c r="S604" s="525"/>
      <c r="T604" s="525">
        <v>0</v>
      </c>
      <c r="U604" s="525">
        <v>1</v>
      </c>
      <c r="V604" s="525">
        <v>601258.0784629205</v>
      </c>
      <c r="W604" s="589">
        <f>IF(AND(BaleMover[[#This Row],[Scenario_ID]]="S3",BaleMover[[#This Row],[MRF_ID]]="05"),0,IFERROR(BaleMover[[#This Row],[Total_Baled_tons]]*(IF(BaleMover[[#This Row],[Scenario_ID]]="S0",-2,0)+INDEX(BalePrices[Low],MATCH(BaleMover[[#This Row],[Bale_ID]],BalePrices[Bale_ID],0))),0))</f>
        <v>1924025.8510813457</v>
      </c>
      <c r="X604" s="397">
        <f>IF(AND(BaleMover[[#This Row],[Scenario_ID]]="S3",BaleMover[[#This Row],[MRF_ID]]="05"),0,IFERROR(BaleMover[[#This Row],[Total_Baled_tons]]*(IF(BaleMover[[#This Row],[Scenario_ID]]="S0",-2,0)+INDEX(BalePrices[Mid-Point],MATCH(BaleMover[[#This Row],[Bale_ID]],BalePrices[Bale_ID],0))),0))</f>
        <v>2886038.7766220188</v>
      </c>
      <c r="Y604" s="397">
        <f>IF(AND(BaleMover[[#This Row],[Scenario_ID]]="S3",BaleMover[[#This Row],[MRF_ID]]="05"),0,IFERROR(BaleMover[[#This Row],[Total_Baled_tons]]*(IF(BaleMover[[#This Row],[Scenario_ID]]="S0",-2,0)+INDEX(BalePrices[High],MATCH(BaleMover[[#This Row],[Bale_ID]],BalePrices[Bale_ID],0))),0))</f>
        <v>3848051.7021626914</v>
      </c>
    </row>
    <row r="605" spans="2:25" x14ac:dyDescent="0.2">
      <c r="B605" s="545" t="s">
        <v>874</v>
      </c>
      <c r="C605" s="499" t="s">
        <v>754</v>
      </c>
      <c r="D605" s="499"/>
      <c r="E605" s="499"/>
      <c r="F605" s="499" t="s">
        <v>1999</v>
      </c>
      <c r="G605" s="499" t="s">
        <v>2120</v>
      </c>
      <c r="H605" s="499" t="s">
        <v>1771</v>
      </c>
      <c r="I605" s="499" t="s">
        <v>1021</v>
      </c>
      <c r="J605" s="499" t="s">
        <v>751</v>
      </c>
      <c r="K605" s="499" t="s">
        <v>2048</v>
      </c>
      <c r="L605" s="499">
        <v>20</v>
      </c>
      <c r="M605" s="499" t="s">
        <v>2073</v>
      </c>
      <c r="N605" s="499" t="s">
        <v>2074</v>
      </c>
      <c r="O605" s="525">
        <v>24050.323138516822</v>
      </c>
      <c r="P605" s="499">
        <v>25</v>
      </c>
      <c r="Q605" s="499"/>
      <c r="R605" s="499"/>
      <c r="S605" s="525"/>
      <c r="T605" s="525">
        <v>0</v>
      </c>
      <c r="U605" s="525">
        <v>1</v>
      </c>
      <c r="V605" s="525">
        <v>601258.0784629205</v>
      </c>
      <c r="W605" s="589">
        <f>IF(AND(BaleMover[[#This Row],[Scenario_ID]]="S3",BaleMover[[#This Row],[MRF_ID]]="05"),0,IFERROR(BaleMover[[#This Row],[Total_Baled_tons]]*(IF(BaleMover[[#This Row],[Scenario_ID]]="S0",-2,0)+INDEX(BalePrices[Low],MATCH(BaleMover[[#This Row],[Bale_ID]],BalePrices[Bale_ID],0))),0))</f>
        <v>1924025.8510813457</v>
      </c>
      <c r="X605" s="397">
        <f>IF(AND(BaleMover[[#This Row],[Scenario_ID]]="S3",BaleMover[[#This Row],[MRF_ID]]="05"),0,IFERROR(BaleMover[[#This Row],[Total_Baled_tons]]*(IF(BaleMover[[#This Row],[Scenario_ID]]="S0",-2,0)+INDEX(BalePrices[Mid-Point],MATCH(BaleMover[[#This Row],[Bale_ID]],BalePrices[Bale_ID],0))),0))</f>
        <v>2886038.7766220188</v>
      </c>
      <c r="Y605" s="397">
        <f>IF(AND(BaleMover[[#This Row],[Scenario_ID]]="S3",BaleMover[[#This Row],[MRF_ID]]="05"),0,IFERROR(BaleMover[[#This Row],[Total_Baled_tons]]*(IF(BaleMover[[#This Row],[Scenario_ID]]="S0",-2,0)+INDEX(BalePrices[High],MATCH(BaleMover[[#This Row],[Bale_ID]],BalePrices[Bale_ID],0))),0))</f>
        <v>3848051.7021626914</v>
      </c>
    </row>
    <row r="606" spans="2:25" x14ac:dyDescent="0.2">
      <c r="B606" s="545" t="s">
        <v>873</v>
      </c>
      <c r="C606" s="499" t="s">
        <v>754</v>
      </c>
      <c r="D606" s="499"/>
      <c r="E606" s="499"/>
      <c r="F606" s="499" t="s">
        <v>1999</v>
      </c>
      <c r="G606" s="499" t="s">
        <v>2121</v>
      </c>
      <c r="H606" s="499" t="s">
        <v>1772</v>
      </c>
      <c r="I606" s="499" t="s">
        <v>1021</v>
      </c>
      <c r="J606" s="499" t="s">
        <v>751</v>
      </c>
      <c r="K606" s="499" t="s">
        <v>2048</v>
      </c>
      <c r="L606" s="499">
        <v>20</v>
      </c>
      <c r="M606" s="499" t="s">
        <v>2073</v>
      </c>
      <c r="N606" s="499" t="s">
        <v>2074</v>
      </c>
      <c r="O606" s="525">
        <v>24050.323138516822</v>
      </c>
      <c r="P606" s="499">
        <v>25</v>
      </c>
      <c r="Q606" s="499"/>
      <c r="R606" s="499"/>
      <c r="S606" s="525"/>
      <c r="T606" s="525">
        <v>0</v>
      </c>
      <c r="U606" s="525">
        <v>1</v>
      </c>
      <c r="V606" s="525">
        <v>601258.0784629205</v>
      </c>
      <c r="W606" s="589">
        <f>IF(AND(BaleMover[[#This Row],[Scenario_ID]]="S3",BaleMover[[#This Row],[MRF_ID]]="05"),0,IFERROR(BaleMover[[#This Row],[Total_Baled_tons]]*(IF(BaleMover[[#This Row],[Scenario_ID]]="S0",-2,0)+INDEX(BalePrices[Low],MATCH(BaleMover[[#This Row],[Bale_ID]],BalePrices[Bale_ID],0))),0))</f>
        <v>1924025.8510813457</v>
      </c>
      <c r="X606" s="397">
        <f>IF(AND(BaleMover[[#This Row],[Scenario_ID]]="S3",BaleMover[[#This Row],[MRF_ID]]="05"),0,IFERROR(BaleMover[[#This Row],[Total_Baled_tons]]*(IF(BaleMover[[#This Row],[Scenario_ID]]="S0",-2,0)+INDEX(BalePrices[Mid-Point],MATCH(BaleMover[[#This Row],[Bale_ID]],BalePrices[Bale_ID],0))),0))</f>
        <v>2886038.7766220188</v>
      </c>
      <c r="Y606" s="397">
        <f>IF(AND(BaleMover[[#This Row],[Scenario_ID]]="S3",BaleMover[[#This Row],[MRF_ID]]="05"),0,IFERROR(BaleMover[[#This Row],[Total_Baled_tons]]*(IF(BaleMover[[#This Row],[Scenario_ID]]="S0",-2,0)+INDEX(BalePrices[High],MATCH(BaleMover[[#This Row],[Bale_ID]],BalePrices[Bale_ID],0))),0))</f>
        <v>3848051.7021626914</v>
      </c>
    </row>
    <row r="607" spans="2:25" x14ac:dyDescent="0.2">
      <c r="B607" s="545" t="s">
        <v>870</v>
      </c>
      <c r="C607" s="499" t="s">
        <v>754</v>
      </c>
      <c r="D607" s="499"/>
      <c r="E607" s="499"/>
      <c r="F607" s="499" t="s">
        <v>1999</v>
      </c>
      <c r="G607" s="499" t="s">
        <v>2122</v>
      </c>
      <c r="H607" s="499" t="s">
        <v>1773</v>
      </c>
      <c r="I607" s="499" t="s">
        <v>1021</v>
      </c>
      <c r="J607" s="499" t="s">
        <v>751</v>
      </c>
      <c r="K607" s="499" t="s">
        <v>2048</v>
      </c>
      <c r="L607" s="499">
        <v>20</v>
      </c>
      <c r="M607" s="499" t="s">
        <v>2073</v>
      </c>
      <c r="N607" s="499" t="s">
        <v>2074</v>
      </c>
      <c r="O607" s="525">
        <v>24050.323138516822</v>
      </c>
      <c r="P607" s="499">
        <v>25</v>
      </c>
      <c r="Q607" s="499"/>
      <c r="R607" s="499"/>
      <c r="S607" s="525"/>
      <c r="T607" s="525">
        <v>0</v>
      </c>
      <c r="U607" s="525">
        <v>1</v>
      </c>
      <c r="V607" s="525">
        <v>601258.0784629205</v>
      </c>
      <c r="W607" s="589">
        <f>IF(AND(BaleMover[[#This Row],[Scenario_ID]]="S3",BaleMover[[#This Row],[MRF_ID]]="05"),0,IFERROR(BaleMover[[#This Row],[Total_Baled_tons]]*(IF(BaleMover[[#This Row],[Scenario_ID]]="S0",-2,0)+INDEX(BalePrices[Low],MATCH(BaleMover[[#This Row],[Bale_ID]],BalePrices[Bale_ID],0))),0))</f>
        <v>1924025.8510813457</v>
      </c>
      <c r="X607" s="397">
        <f>IF(AND(BaleMover[[#This Row],[Scenario_ID]]="S3",BaleMover[[#This Row],[MRF_ID]]="05"),0,IFERROR(BaleMover[[#This Row],[Total_Baled_tons]]*(IF(BaleMover[[#This Row],[Scenario_ID]]="S0",-2,0)+INDEX(BalePrices[Mid-Point],MATCH(BaleMover[[#This Row],[Bale_ID]],BalePrices[Bale_ID],0))),0))</f>
        <v>2886038.7766220188</v>
      </c>
      <c r="Y607" s="397">
        <f>IF(AND(BaleMover[[#This Row],[Scenario_ID]]="S3",BaleMover[[#This Row],[MRF_ID]]="05"),0,IFERROR(BaleMover[[#This Row],[Total_Baled_tons]]*(IF(BaleMover[[#This Row],[Scenario_ID]]="S0",-2,0)+INDEX(BalePrices[High],MATCH(BaleMover[[#This Row],[Bale_ID]],BalePrices[Bale_ID],0))),0))</f>
        <v>3848051.7021626914</v>
      </c>
    </row>
    <row r="608" spans="2:25" x14ac:dyDescent="0.2">
      <c r="B608" s="545" t="s">
        <v>876</v>
      </c>
      <c r="C608" s="499" t="s">
        <v>757</v>
      </c>
      <c r="D608" s="499"/>
      <c r="E608" s="499"/>
      <c r="F608" s="499" t="s">
        <v>2000</v>
      </c>
      <c r="G608" s="499" t="s">
        <v>2123</v>
      </c>
      <c r="H608" s="499" t="s">
        <v>1774</v>
      </c>
      <c r="I608" s="499" t="s">
        <v>1015</v>
      </c>
      <c r="J608" s="499" t="s">
        <v>1016</v>
      </c>
      <c r="K608" s="499" t="s">
        <v>2076</v>
      </c>
      <c r="L608" s="499">
        <v>99</v>
      </c>
      <c r="M608" s="499" t="s">
        <v>2124</v>
      </c>
      <c r="N608" s="499" t="s">
        <v>2125</v>
      </c>
      <c r="O608" s="525">
        <v>58420.519861067107</v>
      </c>
      <c r="P608" s="499">
        <v>0</v>
      </c>
      <c r="Q608" s="499"/>
      <c r="R608" s="499"/>
      <c r="S608" s="525"/>
      <c r="T608" s="525">
        <v>0</v>
      </c>
      <c r="U608" s="525">
        <v>1</v>
      </c>
      <c r="V608" s="525">
        <v>0</v>
      </c>
      <c r="W608" s="589">
        <f>IF(AND(BaleMover[[#This Row],[Scenario_ID]]="S3",BaleMover[[#This Row],[MRF_ID]]="05"),0,IFERROR(BaleMover[[#This Row],[Total_Baled_tons]]*(IF(BaleMover[[#This Row],[Scenario_ID]]="S0",-2,0)+INDEX(BalePrices[Low],MATCH(BaleMover[[#This Row],[Bale_ID]],BalePrices[Bale_ID],0))),0))</f>
        <v>-116841.03972213421</v>
      </c>
      <c r="X608" s="397">
        <f>IF(AND(BaleMover[[#This Row],[Scenario_ID]]="S3",BaleMover[[#This Row],[MRF_ID]]="05"),0,IFERROR(BaleMover[[#This Row],[Total_Baled_tons]]*(IF(BaleMover[[#This Row],[Scenario_ID]]="S0",-2,0)+INDEX(BalePrices[Mid-Point],MATCH(BaleMover[[#This Row],[Bale_ID]],BalePrices[Bale_ID],0))),0))</f>
        <v>1635774.5561098789</v>
      </c>
      <c r="Y608" s="397">
        <f>IF(AND(BaleMover[[#This Row],[Scenario_ID]]="S3",BaleMover[[#This Row],[MRF_ID]]="05"),0,IFERROR(BaleMover[[#This Row],[Total_Baled_tons]]*(IF(BaleMover[[#This Row],[Scenario_ID]]="S0",-2,0)+INDEX(BalePrices[High],MATCH(BaleMover[[#This Row],[Bale_ID]],BalePrices[Bale_ID],0))),0))</f>
        <v>3388390.1519418922</v>
      </c>
    </row>
    <row r="609" spans="2:25" x14ac:dyDescent="0.2">
      <c r="B609" s="545" t="s">
        <v>875</v>
      </c>
      <c r="C609" s="499" t="s">
        <v>757</v>
      </c>
      <c r="D609" s="499"/>
      <c r="E609" s="499"/>
      <c r="F609" s="499" t="s">
        <v>2000</v>
      </c>
      <c r="G609" s="499" t="s">
        <v>2126</v>
      </c>
      <c r="H609" s="499" t="s">
        <v>1775</v>
      </c>
      <c r="I609" s="499" t="s">
        <v>1015</v>
      </c>
      <c r="J609" s="499" t="s">
        <v>1016</v>
      </c>
      <c r="K609" s="499" t="s">
        <v>2076</v>
      </c>
      <c r="L609" s="499">
        <v>99</v>
      </c>
      <c r="M609" s="499" t="s">
        <v>2124</v>
      </c>
      <c r="N609" s="499" t="s">
        <v>2125</v>
      </c>
      <c r="O609" s="525">
        <v>58420.519861067107</v>
      </c>
      <c r="P609" s="499">
        <v>0</v>
      </c>
      <c r="Q609" s="499"/>
      <c r="R609" s="499"/>
      <c r="S609" s="525"/>
      <c r="T609" s="525">
        <v>0</v>
      </c>
      <c r="U609" s="525">
        <v>1</v>
      </c>
      <c r="V609" s="525">
        <v>0</v>
      </c>
      <c r="W609" s="589">
        <f>IF(AND(BaleMover[[#This Row],[Scenario_ID]]="S3",BaleMover[[#This Row],[MRF_ID]]="05"),0,IFERROR(BaleMover[[#This Row],[Total_Baled_tons]]*(IF(BaleMover[[#This Row],[Scenario_ID]]="S0",-2,0)+INDEX(BalePrices[Low],MATCH(BaleMover[[#This Row],[Bale_ID]],BalePrices[Bale_ID],0))),0))</f>
        <v>0</v>
      </c>
      <c r="X609" s="397">
        <f>IF(AND(BaleMover[[#This Row],[Scenario_ID]]="S3",BaleMover[[#This Row],[MRF_ID]]="05"),0,IFERROR(BaleMover[[#This Row],[Total_Baled_tons]]*(IF(BaleMover[[#This Row],[Scenario_ID]]="S0",-2,0)+INDEX(BalePrices[Mid-Point],MATCH(BaleMover[[#This Row],[Bale_ID]],BalePrices[Bale_ID],0))),0))</f>
        <v>1752615.5958320133</v>
      </c>
      <c r="Y609" s="397">
        <f>IF(AND(BaleMover[[#This Row],[Scenario_ID]]="S3",BaleMover[[#This Row],[MRF_ID]]="05"),0,IFERROR(BaleMover[[#This Row],[Total_Baled_tons]]*(IF(BaleMover[[#This Row],[Scenario_ID]]="S0",-2,0)+INDEX(BalePrices[High],MATCH(BaleMover[[#This Row],[Bale_ID]],BalePrices[Bale_ID],0))),0))</f>
        <v>3505231.1916640266</v>
      </c>
    </row>
    <row r="610" spans="2:25" x14ac:dyDescent="0.2">
      <c r="B610" s="545" t="s">
        <v>874</v>
      </c>
      <c r="C610" s="499" t="s">
        <v>757</v>
      </c>
      <c r="D610" s="499"/>
      <c r="E610" s="499"/>
      <c r="F610" s="499" t="s">
        <v>2000</v>
      </c>
      <c r="G610" s="499" t="s">
        <v>2127</v>
      </c>
      <c r="H610" s="499" t="s">
        <v>1776</v>
      </c>
      <c r="I610" s="499" t="s">
        <v>1015</v>
      </c>
      <c r="J610" s="499" t="s">
        <v>1016</v>
      </c>
      <c r="K610" s="499" t="s">
        <v>2076</v>
      </c>
      <c r="L610" s="499">
        <v>99</v>
      </c>
      <c r="M610" s="499" t="s">
        <v>2124</v>
      </c>
      <c r="N610" s="499" t="s">
        <v>2125</v>
      </c>
      <c r="O610" s="525">
        <v>64551.841763634853</v>
      </c>
      <c r="P610" s="499">
        <v>0</v>
      </c>
      <c r="Q610" s="499"/>
      <c r="R610" s="499"/>
      <c r="S610" s="525"/>
      <c r="T610" s="525">
        <v>0</v>
      </c>
      <c r="U610" s="525">
        <v>1</v>
      </c>
      <c r="V610" s="525">
        <v>0</v>
      </c>
      <c r="W610" s="589">
        <f>IF(AND(BaleMover[[#This Row],[Scenario_ID]]="S3",BaleMover[[#This Row],[MRF_ID]]="05"),0,IFERROR(BaleMover[[#This Row],[Total_Baled_tons]]*(IF(BaleMover[[#This Row],[Scenario_ID]]="S0",-2,0)+INDEX(BalePrices[Low],MATCH(BaleMover[[#This Row],[Bale_ID]],BalePrices[Bale_ID],0))),0))</f>
        <v>0</v>
      </c>
      <c r="X610" s="397">
        <f>IF(AND(BaleMover[[#This Row],[Scenario_ID]]="S3",BaleMover[[#This Row],[MRF_ID]]="05"),0,IFERROR(BaleMover[[#This Row],[Total_Baled_tons]]*(IF(BaleMover[[#This Row],[Scenario_ID]]="S0",-2,0)+INDEX(BalePrices[Mid-Point],MATCH(BaleMover[[#This Row],[Bale_ID]],BalePrices[Bale_ID],0))),0))</f>
        <v>1936555.2529090457</v>
      </c>
      <c r="Y610" s="397">
        <f>IF(AND(BaleMover[[#This Row],[Scenario_ID]]="S3",BaleMover[[#This Row],[MRF_ID]]="05"),0,IFERROR(BaleMover[[#This Row],[Total_Baled_tons]]*(IF(BaleMover[[#This Row],[Scenario_ID]]="S0",-2,0)+INDEX(BalePrices[High],MATCH(BaleMover[[#This Row],[Bale_ID]],BalePrices[Bale_ID],0))),0))</f>
        <v>3873110.5058180913</v>
      </c>
    </row>
    <row r="611" spans="2:25" x14ac:dyDescent="0.2">
      <c r="B611" s="545" t="s">
        <v>873</v>
      </c>
      <c r="C611" s="499" t="s">
        <v>757</v>
      </c>
      <c r="D611" s="499"/>
      <c r="E611" s="499"/>
      <c r="F611" s="499" t="s">
        <v>2000</v>
      </c>
      <c r="G611" s="499" t="s">
        <v>2128</v>
      </c>
      <c r="H611" s="499" t="s">
        <v>1777</v>
      </c>
      <c r="I611" s="499" t="s">
        <v>1015</v>
      </c>
      <c r="J611" s="499" t="s">
        <v>1016</v>
      </c>
      <c r="K611" s="499" t="s">
        <v>2076</v>
      </c>
      <c r="L611" s="499">
        <v>99</v>
      </c>
      <c r="M611" s="499" t="s">
        <v>2124</v>
      </c>
      <c r="N611" s="499" t="s">
        <v>2125</v>
      </c>
      <c r="O611" s="525">
        <v>64551.841763634853</v>
      </c>
      <c r="P611" s="499">
        <v>0</v>
      </c>
      <c r="Q611" s="499"/>
      <c r="R611" s="499"/>
      <c r="S611" s="525"/>
      <c r="T611" s="525">
        <v>0</v>
      </c>
      <c r="U611" s="525">
        <v>1</v>
      </c>
      <c r="V611" s="525">
        <v>0</v>
      </c>
      <c r="W611" s="589">
        <f>IF(AND(BaleMover[[#This Row],[Scenario_ID]]="S3",BaleMover[[#This Row],[MRF_ID]]="05"),0,IFERROR(BaleMover[[#This Row],[Total_Baled_tons]]*(IF(BaleMover[[#This Row],[Scenario_ID]]="S0",-2,0)+INDEX(BalePrices[Low],MATCH(BaleMover[[#This Row],[Bale_ID]],BalePrices[Bale_ID],0))),0))</f>
        <v>0</v>
      </c>
      <c r="X611" s="397">
        <f>IF(AND(BaleMover[[#This Row],[Scenario_ID]]="S3",BaleMover[[#This Row],[MRF_ID]]="05"),0,IFERROR(BaleMover[[#This Row],[Total_Baled_tons]]*(IF(BaleMover[[#This Row],[Scenario_ID]]="S0",-2,0)+INDEX(BalePrices[Mid-Point],MATCH(BaleMover[[#This Row],[Bale_ID]],BalePrices[Bale_ID],0))),0))</f>
        <v>1936555.2529090457</v>
      </c>
      <c r="Y611" s="397">
        <f>IF(AND(BaleMover[[#This Row],[Scenario_ID]]="S3",BaleMover[[#This Row],[MRF_ID]]="05"),0,IFERROR(BaleMover[[#This Row],[Total_Baled_tons]]*(IF(BaleMover[[#This Row],[Scenario_ID]]="S0",-2,0)+INDEX(BalePrices[High],MATCH(BaleMover[[#This Row],[Bale_ID]],BalePrices[Bale_ID],0))),0))</f>
        <v>3873110.5058180913</v>
      </c>
    </row>
    <row r="612" spans="2:25" x14ac:dyDescent="0.2">
      <c r="B612" s="545" t="s">
        <v>870</v>
      </c>
      <c r="C612" s="499" t="s">
        <v>757</v>
      </c>
      <c r="D612" s="499"/>
      <c r="E612" s="499"/>
      <c r="F612" s="499" t="s">
        <v>2000</v>
      </c>
      <c r="G612" s="499" t="s">
        <v>2129</v>
      </c>
      <c r="H612" s="499" t="s">
        <v>1778</v>
      </c>
      <c r="I612" s="499" t="s">
        <v>1015</v>
      </c>
      <c r="J612" s="499" t="s">
        <v>1016</v>
      </c>
      <c r="K612" s="499" t="s">
        <v>2076</v>
      </c>
      <c r="L612" s="499">
        <v>99</v>
      </c>
      <c r="M612" s="499" t="s">
        <v>2124</v>
      </c>
      <c r="N612" s="499" t="s">
        <v>2125</v>
      </c>
      <c r="O612" s="525">
        <v>64551.841763634853</v>
      </c>
      <c r="P612" s="499">
        <v>0</v>
      </c>
      <c r="Q612" s="499"/>
      <c r="R612" s="499"/>
      <c r="S612" s="525"/>
      <c r="T612" s="525">
        <v>0</v>
      </c>
      <c r="U612" s="525">
        <v>1</v>
      </c>
      <c r="V612" s="525">
        <v>0</v>
      </c>
      <c r="W612" s="589">
        <f>IF(AND(BaleMover[[#This Row],[Scenario_ID]]="S3",BaleMover[[#This Row],[MRF_ID]]="05"),0,IFERROR(BaleMover[[#This Row],[Total_Baled_tons]]*(IF(BaleMover[[#This Row],[Scenario_ID]]="S0",-2,0)+INDEX(BalePrices[Low],MATCH(BaleMover[[#This Row],[Bale_ID]],BalePrices[Bale_ID],0))),0))</f>
        <v>0</v>
      </c>
      <c r="X612" s="397">
        <f>IF(AND(BaleMover[[#This Row],[Scenario_ID]]="S3",BaleMover[[#This Row],[MRF_ID]]="05"),0,IFERROR(BaleMover[[#This Row],[Total_Baled_tons]]*(IF(BaleMover[[#This Row],[Scenario_ID]]="S0",-2,0)+INDEX(BalePrices[Mid-Point],MATCH(BaleMover[[#This Row],[Bale_ID]],BalePrices[Bale_ID],0))),0))</f>
        <v>1936555.2529090457</v>
      </c>
      <c r="Y612" s="397">
        <f>IF(AND(BaleMover[[#This Row],[Scenario_ID]]="S3",BaleMover[[#This Row],[MRF_ID]]="05"),0,IFERROR(BaleMover[[#This Row],[Total_Baled_tons]]*(IF(BaleMover[[#This Row],[Scenario_ID]]="S0",-2,0)+INDEX(BalePrices[High],MATCH(BaleMover[[#This Row],[Bale_ID]],BalePrices[Bale_ID],0))),0))</f>
        <v>3873110.5058180913</v>
      </c>
    </row>
    <row r="613" spans="2:25" x14ac:dyDescent="0.2">
      <c r="B613" s="545" t="s">
        <v>876</v>
      </c>
      <c r="C613" s="499" t="s">
        <v>754</v>
      </c>
      <c r="D613" s="499"/>
      <c r="E613" s="499"/>
      <c r="F613" s="499" t="s">
        <v>1999</v>
      </c>
      <c r="G613" s="499" t="s">
        <v>2118</v>
      </c>
      <c r="H613" s="499" t="s">
        <v>1779</v>
      </c>
      <c r="I613" s="499" t="s">
        <v>992</v>
      </c>
      <c r="J613" s="499" t="s">
        <v>993</v>
      </c>
      <c r="K613" s="499" t="s">
        <v>2048</v>
      </c>
      <c r="L613" s="499">
        <v>1</v>
      </c>
      <c r="M613" s="499" t="s">
        <v>2065</v>
      </c>
      <c r="N613" s="499" t="s">
        <v>2066</v>
      </c>
      <c r="O613" s="525">
        <v>0</v>
      </c>
      <c r="P613" s="499" t="s">
        <v>2054</v>
      </c>
      <c r="Q613" s="499"/>
      <c r="R613" s="499"/>
      <c r="S613" s="525"/>
      <c r="T613" s="525">
        <v>0</v>
      </c>
      <c r="U613" s="525">
        <v>1</v>
      </c>
      <c r="V613" s="525" t="s">
        <v>2054</v>
      </c>
      <c r="W613" s="589">
        <f>IF(AND(BaleMover[[#This Row],[Scenario_ID]]="S3",BaleMover[[#This Row],[MRF_ID]]="05"),0,IFERROR(BaleMover[[#This Row],[Total_Baled_tons]]*(IF(BaleMover[[#This Row],[Scenario_ID]]="S0",-2,0)+INDEX(BalePrices[Low],MATCH(BaleMover[[#This Row],[Bale_ID]],BalePrices[Bale_ID],0))),0))</f>
        <v>0</v>
      </c>
      <c r="X613" s="397">
        <f>IF(AND(BaleMover[[#This Row],[Scenario_ID]]="S3",BaleMover[[#This Row],[MRF_ID]]="05"),0,IFERROR(BaleMover[[#This Row],[Total_Baled_tons]]*(IF(BaleMover[[#This Row],[Scenario_ID]]="S0",-2,0)+INDEX(BalePrices[Mid-Point],MATCH(BaleMover[[#This Row],[Bale_ID]],BalePrices[Bale_ID],0))),0))</f>
        <v>0</v>
      </c>
      <c r="Y613" s="397">
        <f>IF(AND(BaleMover[[#This Row],[Scenario_ID]]="S3",BaleMover[[#This Row],[MRF_ID]]="05"),0,IFERROR(BaleMover[[#This Row],[Total_Baled_tons]]*(IF(BaleMover[[#This Row],[Scenario_ID]]="S0",-2,0)+INDEX(BalePrices[High],MATCH(BaleMover[[#This Row],[Bale_ID]],BalePrices[Bale_ID],0))),0))</f>
        <v>0</v>
      </c>
    </row>
    <row r="614" spans="2:25" x14ac:dyDescent="0.2">
      <c r="B614" s="545" t="s">
        <v>875</v>
      </c>
      <c r="C614" s="499" t="s">
        <v>754</v>
      </c>
      <c r="D614" s="499"/>
      <c r="E614" s="499"/>
      <c r="F614" s="499" t="s">
        <v>1999</v>
      </c>
      <c r="G614" s="499" t="s">
        <v>2119</v>
      </c>
      <c r="H614" s="499" t="s">
        <v>1780</v>
      </c>
      <c r="I614" s="499" t="s">
        <v>992</v>
      </c>
      <c r="J614" s="499" t="s">
        <v>993</v>
      </c>
      <c r="K614" s="499" t="s">
        <v>2048</v>
      </c>
      <c r="L614" s="499">
        <v>1</v>
      </c>
      <c r="M614" s="499" t="s">
        <v>2065</v>
      </c>
      <c r="N614" s="499" t="s">
        <v>2066</v>
      </c>
      <c r="O614" s="525">
        <v>0</v>
      </c>
      <c r="P614" s="499" t="s">
        <v>2054</v>
      </c>
      <c r="Q614" s="499"/>
      <c r="R614" s="499"/>
      <c r="S614" s="525"/>
      <c r="T614" s="525">
        <v>0</v>
      </c>
      <c r="U614" s="525">
        <v>1</v>
      </c>
      <c r="V614" s="525" t="s">
        <v>2054</v>
      </c>
      <c r="W614" s="589">
        <f>IF(AND(BaleMover[[#This Row],[Scenario_ID]]="S3",BaleMover[[#This Row],[MRF_ID]]="05"),0,IFERROR(BaleMover[[#This Row],[Total_Baled_tons]]*(IF(BaleMover[[#This Row],[Scenario_ID]]="S0",-2,0)+INDEX(BalePrices[Low],MATCH(BaleMover[[#This Row],[Bale_ID]],BalePrices[Bale_ID],0))),0))</f>
        <v>0</v>
      </c>
      <c r="X614" s="397">
        <f>IF(AND(BaleMover[[#This Row],[Scenario_ID]]="S3",BaleMover[[#This Row],[MRF_ID]]="05"),0,IFERROR(BaleMover[[#This Row],[Total_Baled_tons]]*(IF(BaleMover[[#This Row],[Scenario_ID]]="S0",-2,0)+INDEX(BalePrices[Mid-Point],MATCH(BaleMover[[#This Row],[Bale_ID]],BalePrices[Bale_ID],0))),0))</f>
        <v>0</v>
      </c>
      <c r="Y614" s="397">
        <f>IF(AND(BaleMover[[#This Row],[Scenario_ID]]="S3",BaleMover[[#This Row],[MRF_ID]]="05"),0,IFERROR(BaleMover[[#This Row],[Total_Baled_tons]]*(IF(BaleMover[[#This Row],[Scenario_ID]]="S0",-2,0)+INDEX(BalePrices[High],MATCH(BaleMover[[#This Row],[Bale_ID]],BalePrices[Bale_ID],0))),0))</f>
        <v>0</v>
      </c>
    </row>
    <row r="615" spans="2:25" x14ac:dyDescent="0.2">
      <c r="B615" s="545" t="s">
        <v>874</v>
      </c>
      <c r="C615" s="499" t="s">
        <v>754</v>
      </c>
      <c r="D615" s="499"/>
      <c r="E615" s="499"/>
      <c r="F615" s="499" t="s">
        <v>1999</v>
      </c>
      <c r="G615" s="499" t="s">
        <v>2120</v>
      </c>
      <c r="H615" s="499" t="s">
        <v>1781</v>
      </c>
      <c r="I615" s="499" t="s">
        <v>992</v>
      </c>
      <c r="J615" s="499" t="s">
        <v>993</v>
      </c>
      <c r="K615" s="499" t="s">
        <v>2048</v>
      </c>
      <c r="L615" s="499">
        <v>1</v>
      </c>
      <c r="M615" s="499" t="s">
        <v>2065</v>
      </c>
      <c r="N615" s="499" t="s">
        <v>2066</v>
      </c>
      <c r="O615" s="525">
        <v>0</v>
      </c>
      <c r="P615" s="499" t="s">
        <v>2054</v>
      </c>
      <c r="Q615" s="499"/>
      <c r="R615" s="499"/>
      <c r="S615" s="525"/>
      <c r="T615" s="525">
        <v>0</v>
      </c>
      <c r="U615" s="525">
        <v>1</v>
      </c>
      <c r="V615" s="525" t="s">
        <v>2054</v>
      </c>
      <c r="W615" s="589">
        <f>IF(AND(BaleMover[[#This Row],[Scenario_ID]]="S3",BaleMover[[#This Row],[MRF_ID]]="05"),0,IFERROR(BaleMover[[#This Row],[Total_Baled_tons]]*(IF(BaleMover[[#This Row],[Scenario_ID]]="S0",-2,0)+INDEX(BalePrices[Low],MATCH(BaleMover[[#This Row],[Bale_ID]],BalePrices[Bale_ID],0))),0))</f>
        <v>0</v>
      </c>
      <c r="X615" s="397">
        <f>IF(AND(BaleMover[[#This Row],[Scenario_ID]]="S3",BaleMover[[#This Row],[MRF_ID]]="05"),0,IFERROR(BaleMover[[#This Row],[Total_Baled_tons]]*(IF(BaleMover[[#This Row],[Scenario_ID]]="S0",-2,0)+INDEX(BalePrices[Mid-Point],MATCH(BaleMover[[#This Row],[Bale_ID]],BalePrices[Bale_ID],0))),0))</f>
        <v>0</v>
      </c>
      <c r="Y615" s="397">
        <f>IF(AND(BaleMover[[#This Row],[Scenario_ID]]="S3",BaleMover[[#This Row],[MRF_ID]]="05"),0,IFERROR(BaleMover[[#This Row],[Total_Baled_tons]]*(IF(BaleMover[[#This Row],[Scenario_ID]]="S0",-2,0)+INDEX(BalePrices[High],MATCH(BaleMover[[#This Row],[Bale_ID]],BalePrices[Bale_ID],0))),0))</f>
        <v>0</v>
      </c>
    </row>
    <row r="616" spans="2:25" x14ac:dyDescent="0.2">
      <c r="B616" s="545" t="s">
        <v>873</v>
      </c>
      <c r="C616" s="499" t="s">
        <v>754</v>
      </c>
      <c r="D616" s="499"/>
      <c r="E616" s="499"/>
      <c r="F616" s="499" t="s">
        <v>1999</v>
      </c>
      <c r="G616" s="499" t="s">
        <v>2121</v>
      </c>
      <c r="H616" s="499" t="s">
        <v>1782</v>
      </c>
      <c r="I616" s="499" t="s">
        <v>992</v>
      </c>
      <c r="J616" s="499" t="s">
        <v>993</v>
      </c>
      <c r="K616" s="499" t="s">
        <v>2048</v>
      </c>
      <c r="L616" s="499">
        <v>1</v>
      </c>
      <c r="M616" s="499" t="s">
        <v>2065</v>
      </c>
      <c r="N616" s="499" t="s">
        <v>2066</v>
      </c>
      <c r="O616" s="525">
        <v>0</v>
      </c>
      <c r="P616" s="499" t="s">
        <v>2054</v>
      </c>
      <c r="Q616" s="499"/>
      <c r="R616" s="499"/>
      <c r="S616" s="525"/>
      <c r="T616" s="525">
        <v>0</v>
      </c>
      <c r="U616" s="525">
        <v>1</v>
      </c>
      <c r="V616" s="525" t="s">
        <v>2054</v>
      </c>
      <c r="W616" s="589">
        <f>IF(AND(BaleMover[[#This Row],[Scenario_ID]]="S3",BaleMover[[#This Row],[MRF_ID]]="05"),0,IFERROR(BaleMover[[#This Row],[Total_Baled_tons]]*(IF(BaleMover[[#This Row],[Scenario_ID]]="S0",-2,0)+INDEX(BalePrices[Low],MATCH(BaleMover[[#This Row],[Bale_ID]],BalePrices[Bale_ID],0))),0))</f>
        <v>0</v>
      </c>
      <c r="X616" s="397">
        <f>IF(AND(BaleMover[[#This Row],[Scenario_ID]]="S3",BaleMover[[#This Row],[MRF_ID]]="05"),0,IFERROR(BaleMover[[#This Row],[Total_Baled_tons]]*(IF(BaleMover[[#This Row],[Scenario_ID]]="S0",-2,0)+INDEX(BalePrices[Mid-Point],MATCH(BaleMover[[#This Row],[Bale_ID]],BalePrices[Bale_ID],0))),0))</f>
        <v>0</v>
      </c>
      <c r="Y616" s="397">
        <f>IF(AND(BaleMover[[#This Row],[Scenario_ID]]="S3",BaleMover[[#This Row],[MRF_ID]]="05"),0,IFERROR(BaleMover[[#This Row],[Total_Baled_tons]]*(IF(BaleMover[[#This Row],[Scenario_ID]]="S0",-2,0)+INDEX(BalePrices[High],MATCH(BaleMover[[#This Row],[Bale_ID]],BalePrices[Bale_ID],0))),0))</f>
        <v>0</v>
      </c>
    </row>
    <row r="617" spans="2:25" x14ac:dyDescent="0.2">
      <c r="B617" s="545" t="s">
        <v>870</v>
      </c>
      <c r="C617" s="499" t="s">
        <v>754</v>
      </c>
      <c r="D617" s="499"/>
      <c r="E617" s="499"/>
      <c r="F617" s="499" t="s">
        <v>1999</v>
      </c>
      <c r="G617" s="499" t="s">
        <v>2122</v>
      </c>
      <c r="H617" s="499" t="s">
        <v>1783</v>
      </c>
      <c r="I617" s="499" t="s">
        <v>992</v>
      </c>
      <c r="J617" s="499" t="s">
        <v>993</v>
      </c>
      <c r="K617" s="499" t="s">
        <v>2048</v>
      </c>
      <c r="L617" s="499">
        <v>1</v>
      </c>
      <c r="M617" s="499" t="s">
        <v>2065</v>
      </c>
      <c r="N617" s="499" t="s">
        <v>2066</v>
      </c>
      <c r="O617" s="525">
        <v>0</v>
      </c>
      <c r="P617" s="499" t="s">
        <v>2054</v>
      </c>
      <c r="Q617" s="499"/>
      <c r="R617" s="499"/>
      <c r="S617" s="525"/>
      <c r="T617" s="525">
        <v>0</v>
      </c>
      <c r="U617" s="525">
        <v>1</v>
      </c>
      <c r="V617" s="525" t="s">
        <v>2054</v>
      </c>
      <c r="W617" s="589">
        <f>IF(AND(BaleMover[[#This Row],[Scenario_ID]]="S3",BaleMover[[#This Row],[MRF_ID]]="05"),0,IFERROR(BaleMover[[#This Row],[Total_Baled_tons]]*(IF(BaleMover[[#This Row],[Scenario_ID]]="S0",-2,0)+INDEX(BalePrices[Low],MATCH(BaleMover[[#This Row],[Bale_ID]],BalePrices[Bale_ID],0))),0))</f>
        <v>0</v>
      </c>
      <c r="X617" s="397">
        <f>IF(AND(BaleMover[[#This Row],[Scenario_ID]]="S3",BaleMover[[#This Row],[MRF_ID]]="05"),0,IFERROR(BaleMover[[#This Row],[Total_Baled_tons]]*(IF(BaleMover[[#This Row],[Scenario_ID]]="S0",-2,0)+INDEX(BalePrices[Mid-Point],MATCH(BaleMover[[#This Row],[Bale_ID]],BalePrices[Bale_ID],0))),0))</f>
        <v>0</v>
      </c>
      <c r="Y617" s="397">
        <f>IF(AND(BaleMover[[#This Row],[Scenario_ID]]="S3",BaleMover[[#This Row],[MRF_ID]]="05"),0,IFERROR(BaleMover[[#This Row],[Total_Baled_tons]]*(IF(BaleMover[[#This Row],[Scenario_ID]]="S0",-2,0)+INDEX(BalePrices[High],MATCH(BaleMover[[#This Row],[Bale_ID]],BalePrices[Bale_ID],0))),0))</f>
        <v>0</v>
      </c>
    </row>
    <row r="618" spans="2:25" x14ac:dyDescent="0.2">
      <c r="B618" s="545" t="s">
        <v>876</v>
      </c>
      <c r="C618" s="499" t="s">
        <v>754</v>
      </c>
      <c r="D618" s="499"/>
      <c r="E618" s="499"/>
      <c r="F618" s="499" t="s">
        <v>1999</v>
      </c>
      <c r="G618" s="499" t="s">
        <v>2118</v>
      </c>
      <c r="H618" s="499" t="s">
        <v>1784</v>
      </c>
      <c r="I618" s="499" t="s">
        <v>1004</v>
      </c>
      <c r="J618" s="499" t="s">
        <v>1005</v>
      </c>
      <c r="K618" s="499" t="s">
        <v>2048</v>
      </c>
      <c r="L618" s="499">
        <v>1</v>
      </c>
      <c r="M618" s="499" t="s">
        <v>2065</v>
      </c>
      <c r="N618" s="499" t="s">
        <v>2066</v>
      </c>
      <c r="O618" s="525">
        <v>0</v>
      </c>
      <c r="P618" s="499" t="s">
        <v>2054</v>
      </c>
      <c r="Q618" s="499"/>
      <c r="R618" s="499"/>
      <c r="S618" s="525"/>
      <c r="T618" s="525">
        <v>0</v>
      </c>
      <c r="U618" s="525">
        <v>1</v>
      </c>
      <c r="V618" s="525" t="s">
        <v>2054</v>
      </c>
      <c r="W618" s="589">
        <f>IF(AND(BaleMover[[#This Row],[Scenario_ID]]="S3",BaleMover[[#This Row],[MRF_ID]]="05"),0,IFERROR(BaleMover[[#This Row],[Total_Baled_tons]]*(IF(BaleMover[[#This Row],[Scenario_ID]]="S0",-2,0)+INDEX(BalePrices[Low],MATCH(BaleMover[[#This Row],[Bale_ID]],BalePrices[Bale_ID],0))),0))</f>
        <v>0</v>
      </c>
      <c r="X618" s="397">
        <f>IF(AND(BaleMover[[#This Row],[Scenario_ID]]="S3",BaleMover[[#This Row],[MRF_ID]]="05"),0,IFERROR(BaleMover[[#This Row],[Total_Baled_tons]]*(IF(BaleMover[[#This Row],[Scenario_ID]]="S0",-2,0)+INDEX(BalePrices[Mid-Point],MATCH(BaleMover[[#This Row],[Bale_ID]],BalePrices[Bale_ID],0))),0))</f>
        <v>0</v>
      </c>
      <c r="Y618" s="397">
        <f>IF(AND(BaleMover[[#This Row],[Scenario_ID]]="S3",BaleMover[[#This Row],[MRF_ID]]="05"),0,IFERROR(BaleMover[[#This Row],[Total_Baled_tons]]*(IF(BaleMover[[#This Row],[Scenario_ID]]="S0",-2,0)+INDEX(BalePrices[High],MATCH(BaleMover[[#This Row],[Bale_ID]],BalePrices[Bale_ID],0))),0))</f>
        <v>0</v>
      </c>
    </row>
    <row r="619" spans="2:25" x14ac:dyDescent="0.2">
      <c r="B619" s="545" t="s">
        <v>875</v>
      </c>
      <c r="C619" s="499" t="s">
        <v>754</v>
      </c>
      <c r="D619" s="499"/>
      <c r="E619" s="499"/>
      <c r="F619" s="499" t="s">
        <v>1999</v>
      </c>
      <c r="G619" s="499" t="s">
        <v>2119</v>
      </c>
      <c r="H619" s="499" t="s">
        <v>1785</v>
      </c>
      <c r="I619" s="499" t="s">
        <v>1004</v>
      </c>
      <c r="J619" s="499" t="s">
        <v>1005</v>
      </c>
      <c r="K619" s="499" t="s">
        <v>2048</v>
      </c>
      <c r="L619" s="499">
        <v>1</v>
      </c>
      <c r="M619" s="499" t="s">
        <v>2065</v>
      </c>
      <c r="N619" s="499" t="s">
        <v>2066</v>
      </c>
      <c r="O619" s="525">
        <v>0</v>
      </c>
      <c r="P619" s="499" t="s">
        <v>2054</v>
      </c>
      <c r="Q619" s="499"/>
      <c r="R619" s="499"/>
      <c r="S619" s="525"/>
      <c r="T619" s="525">
        <v>0</v>
      </c>
      <c r="U619" s="525">
        <v>1</v>
      </c>
      <c r="V619" s="525" t="s">
        <v>2054</v>
      </c>
      <c r="W619" s="589">
        <f>IF(AND(BaleMover[[#This Row],[Scenario_ID]]="S3",BaleMover[[#This Row],[MRF_ID]]="05"),0,IFERROR(BaleMover[[#This Row],[Total_Baled_tons]]*(IF(BaleMover[[#This Row],[Scenario_ID]]="S0",-2,0)+INDEX(BalePrices[Low],MATCH(BaleMover[[#This Row],[Bale_ID]],BalePrices[Bale_ID],0))),0))</f>
        <v>0</v>
      </c>
      <c r="X619" s="397">
        <f>IF(AND(BaleMover[[#This Row],[Scenario_ID]]="S3",BaleMover[[#This Row],[MRF_ID]]="05"),0,IFERROR(BaleMover[[#This Row],[Total_Baled_tons]]*(IF(BaleMover[[#This Row],[Scenario_ID]]="S0",-2,0)+INDEX(BalePrices[Mid-Point],MATCH(BaleMover[[#This Row],[Bale_ID]],BalePrices[Bale_ID],0))),0))</f>
        <v>0</v>
      </c>
      <c r="Y619" s="397">
        <f>IF(AND(BaleMover[[#This Row],[Scenario_ID]]="S3",BaleMover[[#This Row],[MRF_ID]]="05"),0,IFERROR(BaleMover[[#This Row],[Total_Baled_tons]]*(IF(BaleMover[[#This Row],[Scenario_ID]]="S0",-2,0)+INDEX(BalePrices[High],MATCH(BaleMover[[#This Row],[Bale_ID]],BalePrices[Bale_ID],0))),0))</f>
        <v>0</v>
      </c>
    </row>
    <row r="620" spans="2:25" x14ac:dyDescent="0.2">
      <c r="B620" s="545" t="s">
        <v>874</v>
      </c>
      <c r="C620" s="499" t="s">
        <v>754</v>
      </c>
      <c r="D620" s="499"/>
      <c r="E620" s="499"/>
      <c r="F620" s="499" t="s">
        <v>1999</v>
      </c>
      <c r="G620" s="499" t="s">
        <v>2120</v>
      </c>
      <c r="H620" s="499" t="s">
        <v>1786</v>
      </c>
      <c r="I620" s="499" t="s">
        <v>1004</v>
      </c>
      <c r="J620" s="499" t="s">
        <v>1005</v>
      </c>
      <c r="K620" s="499" t="s">
        <v>2048</v>
      </c>
      <c r="L620" s="499">
        <v>1</v>
      </c>
      <c r="M620" s="499" t="s">
        <v>2065</v>
      </c>
      <c r="N620" s="499" t="s">
        <v>2066</v>
      </c>
      <c r="O620" s="525">
        <v>0</v>
      </c>
      <c r="P620" s="499" t="s">
        <v>2054</v>
      </c>
      <c r="Q620" s="499"/>
      <c r="R620" s="499"/>
      <c r="S620" s="525"/>
      <c r="T620" s="525">
        <v>0</v>
      </c>
      <c r="U620" s="525">
        <v>1</v>
      </c>
      <c r="V620" s="525" t="s">
        <v>2054</v>
      </c>
      <c r="W620" s="589">
        <f>IF(AND(BaleMover[[#This Row],[Scenario_ID]]="S3",BaleMover[[#This Row],[MRF_ID]]="05"),0,IFERROR(BaleMover[[#This Row],[Total_Baled_tons]]*(IF(BaleMover[[#This Row],[Scenario_ID]]="S0",-2,0)+INDEX(BalePrices[Low],MATCH(BaleMover[[#This Row],[Bale_ID]],BalePrices[Bale_ID],0))),0))</f>
        <v>0</v>
      </c>
      <c r="X620" s="397">
        <f>IF(AND(BaleMover[[#This Row],[Scenario_ID]]="S3",BaleMover[[#This Row],[MRF_ID]]="05"),0,IFERROR(BaleMover[[#This Row],[Total_Baled_tons]]*(IF(BaleMover[[#This Row],[Scenario_ID]]="S0",-2,0)+INDEX(BalePrices[Mid-Point],MATCH(BaleMover[[#This Row],[Bale_ID]],BalePrices[Bale_ID],0))),0))</f>
        <v>0</v>
      </c>
      <c r="Y620" s="397">
        <f>IF(AND(BaleMover[[#This Row],[Scenario_ID]]="S3",BaleMover[[#This Row],[MRF_ID]]="05"),0,IFERROR(BaleMover[[#This Row],[Total_Baled_tons]]*(IF(BaleMover[[#This Row],[Scenario_ID]]="S0",-2,0)+INDEX(BalePrices[High],MATCH(BaleMover[[#This Row],[Bale_ID]],BalePrices[Bale_ID],0))),0))</f>
        <v>0</v>
      </c>
    </row>
    <row r="621" spans="2:25" x14ac:dyDescent="0.2">
      <c r="B621" s="545" t="s">
        <v>873</v>
      </c>
      <c r="C621" s="499" t="s">
        <v>754</v>
      </c>
      <c r="D621" s="499"/>
      <c r="E621" s="499"/>
      <c r="F621" s="499" t="s">
        <v>1999</v>
      </c>
      <c r="G621" s="499" t="s">
        <v>2121</v>
      </c>
      <c r="H621" s="499" t="s">
        <v>1787</v>
      </c>
      <c r="I621" s="499" t="s">
        <v>1004</v>
      </c>
      <c r="J621" s="499" t="s">
        <v>1005</v>
      </c>
      <c r="K621" s="499" t="s">
        <v>2048</v>
      </c>
      <c r="L621" s="499">
        <v>1</v>
      </c>
      <c r="M621" s="499" t="s">
        <v>2065</v>
      </c>
      <c r="N621" s="499" t="s">
        <v>2066</v>
      </c>
      <c r="O621" s="525">
        <v>0</v>
      </c>
      <c r="P621" s="499" t="s">
        <v>2054</v>
      </c>
      <c r="Q621" s="499"/>
      <c r="R621" s="499"/>
      <c r="S621" s="525"/>
      <c r="T621" s="525">
        <v>0</v>
      </c>
      <c r="U621" s="525">
        <v>1</v>
      </c>
      <c r="V621" s="525" t="s">
        <v>2054</v>
      </c>
      <c r="W621" s="589">
        <f>IF(AND(BaleMover[[#This Row],[Scenario_ID]]="S3",BaleMover[[#This Row],[MRF_ID]]="05"),0,IFERROR(BaleMover[[#This Row],[Total_Baled_tons]]*(IF(BaleMover[[#This Row],[Scenario_ID]]="S0",-2,0)+INDEX(BalePrices[Low],MATCH(BaleMover[[#This Row],[Bale_ID]],BalePrices[Bale_ID],0))),0))</f>
        <v>0</v>
      </c>
      <c r="X621" s="397">
        <f>IF(AND(BaleMover[[#This Row],[Scenario_ID]]="S3",BaleMover[[#This Row],[MRF_ID]]="05"),0,IFERROR(BaleMover[[#This Row],[Total_Baled_tons]]*(IF(BaleMover[[#This Row],[Scenario_ID]]="S0",-2,0)+INDEX(BalePrices[Mid-Point],MATCH(BaleMover[[#This Row],[Bale_ID]],BalePrices[Bale_ID],0))),0))</f>
        <v>0</v>
      </c>
      <c r="Y621" s="397">
        <f>IF(AND(BaleMover[[#This Row],[Scenario_ID]]="S3",BaleMover[[#This Row],[MRF_ID]]="05"),0,IFERROR(BaleMover[[#This Row],[Total_Baled_tons]]*(IF(BaleMover[[#This Row],[Scenario_ID]]="S0",-2,0)+INDEX(BalePrices[High],MATCH(BaleMover[[#This Row],[Bale_ID]],BalePrices[Bale_ID],0))),0))</f>
        <v>0</v>
      </c>
    </row>
    <row r="622" spans="2:25" x14ac:dyDescent="0.2">
      <c r="B622" s="545" t="s">
        <v>870</v>
      </c>
      <c r="C622" s="499" t="s">
        <v>754</v>
      </c>
      <c r="D622" s="499"/>
      <c r="E622" s="499"/>
      <c r="F622" s="499" t="s">
        <v>1999</v>
      </c>
      <c r="G622" s="499" t="s">
        <v>2122</v>
      </c>
      <c r="H622" s="499" t="s">
        <v>1788</v>
      </c>
      <c r="I622" s="499" t="s">
        <v>1004</v>
      </c>
      <c r="J622" s="499" t="s">
        <v>1005</v>
      </c>
      <c r="K622" s="499" t="s">
        <v>2048</v>
      </c>
      <c r="L622" s="499">
        <v>1</v>
      </c>
      <c r="M622" s="499" t="s">
        <v>2065</v>
      </c>
      <c r="N622" s="499" t="s">
        <v>2066</v>
      </c>
      <c r="O622" s="525">
        <v>0</v>
      </c>
      <c r="P622" s="499" t="s">
        <v>2054</v>
      </c>
      <c r="Q622" s="499"/>
      <c r="R622" s="499"/>
      <c r="S622" s="525"/>
      <c r="T622" s="525">
        <v>0</v>
      </c>
      <c r="U622" s="525">
        <v>1</v>
      </c>
      <c r="V622" s="525" t="s">
        <v>2054</v>
      </c>
      <c r="W622" s="589">
        <f>IF(AND(BaleMover[[#This Row],[Scenario_ID]]="S3",BaleMover[[#This Row],[MRF_ID]]="05"),0,IFERROR(BaleMover[[#This Row],[Total_Baled_tons]]*(IF(BaleMover[[#This Row],[Scenario_ID]]="S0",-2,0)+INDEX(BalePrices[Low],MATCH(BaleMover[[#This Row],[Bale_ID]],BalePrices[Bale_ID],0))),0))</f>
        <v>0</v>
      </c>
      <c r="X622" s="397">
        <f>IF(AND(BaleMover[[#This Row],[Scenario_ID]]="S3",BaleMover[[#This Row],[MRF_ID]]="05"),0,IFERROR(BaleMover[[#This Row],[Total_Baled_tons]]*(IF(BaleMover[[#This Row],[Scenario_ID]]="S0",-2,0)+INDEX(BalePrices[Mid-Point],MATCH(BaleMover[[#This Row],[Bale_ID]],BalePrices[Bale_ID],0))),0))</f>
        <v>0</v>
      </c>
      <c r="Y622" s="397">
        <f>IF(AND(BaleMover[[#This Row],[Scenario_ID]]="S3",BaleMover[[#This Row],[MRF_ID]]="05"),0,IFERROR(BaleMover[[#This Row],[Total_Baled_tons]]*(IF(BaleMover[[#This Row],[Scenario_ID]]="S0",-2,0)+INDEX(BalePrices[High],MATCH(BaleMover[[#This Row],[Bale_ID]],BalePrices[Bale_ID],0))),0))</f>
        <v>0</v>
      </c>
    </row>
    <row r="623" spans="2:25" x14ac:dyDescent="0.2">
      <c r="B623" s="499" t="s">
        <v>876</v>
      </c>
      <c r="C623" s="499" t="s">
        <v>706</v>
      </c>
      <c r="D623" s="499"/>
      <c r="E623" s="499"/>
      <c r="F623" s="499" t="s">
        <v>1992</v>
      </c>
      <c r="G623" s="499" t="s">
        <v>2047</v>
      </c>
      <c r="H623" s="499" t="s">
        <v>1789</v>
      </c>
      <c r="I623" s="499" t="s">
        <v>1846</v>
      </c>
      <c r="J623" s="499" t="s">
        <v>1895</v>
      </c>
      <c r="K623" s="499" t="s">
        <v>2048</v>
      </c>
      <c r="L623" s="499">
        <v>4</v>
      </c>
      <c r="M623" s="499" t="s">
        <v>2130</v>
      </c>
      <c r="N623" s="499" t="s">
        <v>2131</v>
      </c>
      <c r="O623" s="525">
        <v>17562.63610627623</v>
      </c>
      <c r="P623" s="499">
        <v>20</v>
      </c>
      <c r="Q623" s="499"/>
      <c r="R623" s="499"/>
      <c r="S623" s="525"/>
      <c r="T623" s="525">
        <v>0</v>
      </c>
      <c r="U623" s="525">
        <v>1</v>
      </c>
      <c r="V623" s="525">
        <v>351252.7221255246</v>
      </c>
      <c r="W623" s="589">
        <f>IF(AND(BaleMover[[#This Row],[Scenario_ID]]="S3",BaleMover[[#This Row],[MRF_ID]]="05"),0,IFERROR(BaleMover[[#This Row],[Total_Baled_tons]]*(IF(BaleMover[[#This Row],[Scenario_ID]]="S0",-2,0)+INDEX(BalePrices[Low],MATCH(BaleMover[[#This Row],[Bale_ID]],BalePrices[Bale_ID],0))),0))</f>
        <v>0</v>
      </c>
      <c r="X623" s="397">
        <f>IF(AND(BaleMover[[#This Row],[Scenario_ID]]="S3",BaleMover[[#This Row],[MRF_ID]]="05"),0,IFERROR(BaleMover[[#This Row],[Total_Baled_tons]]*(IF(BaleMover[[#This Row],[Scenario_ID]]="S0",-2,0)+INDEX(BalePrices[Mid-Point],MATCH(BaleMover[[#This Row],[Bale_ID]],BalePrices[Bale_ID],0))),0))</f>
        <v>0</v>
      </c>
      <c r="Y623" s="397">
        <f>IF(AND(BaleMover[[#This Row],[Scenario_ID]]="S3",BaleMover[[#This Row],[MRF_ID]]="05"),0,IFERROR(BaleMover[[#This Row],[Total_Baled_tons]]*(IF(BaleMover[[#This Row],[Scenario_ID]]="S0",-2,0)+INDEX(BalePrices[High],MATCH(BaleMover[[#This Row],[Bale_ID]],BalePrices[Bale_ID],0))),0))</f>
        <v>0</v>
      </c>
    </row>
    <row r="624" spans="2:25" x14ac:dyDescent="0.2">
      <c r="B624" s="499" t="s">
        <v>875</v>
      </c>
      <c r="C624" s="499" t="s">
        <v>706</v>
      </c>
      <c r="D624" s="499"/>
      <c r="E624" s="499"/>
      <c r="F624" s="499" t="s">
        <v>1992</v>
      </c>
      <c r="G624" s="499" t="s">
        <v>2051</v>
      </c>
      <c r="H624" s="499" t="s">
        <v>1790</v>
      </c>
      <c r="I624" s="499" t="s">
        <v>1846</v>
      </c>
      <c r="J624" s="499" t="s">
        <v>1895</v>
      </c>
      <c r="K624" s="499" t="s">
        <v>2048</v>
      </c>
      <c r="L624" s="499">
        <v>4</v>
      </c>
      <c r="M624" s="499" t="s">
        <v>2130</v>
      </c>
      <c r="N624" s="499" t="s">
        <v>2131</v>
      </c>
      <c r="O624" s="525">
        <v>11265.55337481023</v>
      </c>
      <c r="P624" s="499">
        <v>20</v>
      </c>
      <c r="Q624" s="499"/>
      <c r="R624" s="499"/>
      <c r="S624" s="525"/>
      <c r="T624" s="525">
        <v>0</v>
      </c>
      <c r="U624" s="525">
        <v>1</v>
      </c>
      <c r="V624" s="525">
        <v>225311.0674962046</v>
      </c>
      <c r="W624" s="589">
        <f>IF(AND(BaleMover[[#This Row],[Scenario_ID]]="S3",BaleMover[[#This Row],[MRF_ID]]="05"),0,IFERROR(BaleMover[[#This Row],[Total_Baled_tons]]*(IF(BaleMover[[#This Row],[Scenario_ID]]="S0",-2,0)+INDEX(BalePrices[Low],MATCH(BaleMover[[#This Row],[Bale_ID]],BalePrices[Bale_ID],0))),0))</f>
        <v>0</v>
      </c>
      <c r="X624" s="397">
        <f>IF(AND(BaleMover[[#This Row],[Scenario_ID]]="S3",BaleMover[[#This Row],[MRF_ID]]="05"),0,IFERROR(BaleMover[[#This Row],[Total_Baled_tons]]*(IF(BaleMover[[#This Row],[Scenario_ID]]="S0",-2,0)+INDEX(BalePrices[Mid-Point],MATCH(BaleMover[[#This Row],[Bale_ID]],BalePrices[Bale_ID],0))),0))</f>
        <v>0</v>
      </c>
      <c r="Y624" s="397">
        <f>IF(AND(BaleMover[[#This Row],[Scenario_ID]]="S3",BaleMover[[#This Row],[MRF_ID]]="05"),0,IFERROR(BaleMover[[#This Row],[Total_Baled_tons]]*(IF(BaleMover[[#This Row],[Scenario_ID]]="S0",-2,0)+INDEX(BalePrices[High],MATCH(BaleMover[[#This Row],[Bale_ID]],BalePrices[Bale_ID],0))),0))</f>
        <v>0</v>
      </c>
    </row>
    <row r="625" spans="2:25" x14ac:dyDescent="0.2">
      <c r="B625" s="499" t="s">
        <v>874</v>
      </c>
      <c r="C625" s="499" t="s">
        <v>706</v>
      </c>
      <c r="D625" s="499"/>
      <c r="E625" s="499"/>
      <c r="F625" s="499" t="s">
        <v>1992</v>
      </c>
      <c r="G625" s="499" t="s">
        <v>2052</v>
      </c>
      <c r="H625" s="499" t="s">
        <v>1791</v>
      </c>
      <c r="I625" s="499" t="s">
        <v>1846</v>
      </c>
      <c r="J625" s="499" t="s">
        <v>1895</v>
      </c>
      <c r="K625" s="499" t="s">
        <v>2048</v>
      </c>
      <c r="L625" s="499">
        <v>4</v>
      </c>
      <c r="M625" s="499" t="s">
        <v>2130</v>
      </c>
      <c r="N625" s="499" t="s">
        <v>2131</v>
      </c>
      <c r="O625" s="525">
        <v>12644.889101581899</v>
      </c>
      <c r="P625" s="499">
        <v>20</v>
      </c>
      <c r="Q625" s="499"/>
      <c r="R625" s="499"/>
      <c r="S625" s="525"/>
      <c r="T625" s="525">
        <v>0</v>
      </c>
      <c r="U625" s="525">
        <v>1</v>
      </c>
      <c r="V625" s="525">
        <v>252897.78203163797</v>
      </c>
      <c r="W625" s="589">
        <f>IF(AND(BaleMover[[#This Row],[Scenario_ID]]="S3",BaleMover[[#This Row],[MRF_ID]]="05"),0,IFERROR(BaleMover[[#This Row],[Total_Baled_tons]]*(IF(BaleMover[[#This Row],[Scenario_ID]]="S0",-2,0)+INDEX(BalePrices[Low],MATCH(BaleMover[[#This Row],[Bale_ID]],BalePrices[Bale_ID],0))),0))</f>
        <v>0</v>
      </c>
      <c r="X625" s="397">
        <f>IF(AND(BaleMover[[#This Row],[Scenario_ID]]="S3",BaleMover[[#This Row],[MRF_ID]]="05"),0,IFERROR(BaleMover[[#This Row],[Total_Baled_tons]]*(IF(BaleMover[[#This Row],[Scenario_ID]]="S0",-2,0)+INDEX(BalePrices[Mid-Point],MATCH(BaleMover[[#This Row],[Bale_ID]],BalePrices[Bale_ID],0))),0))</f>
        <v>0</v>
      </c>
      <c r="Y625" s="397">
        <f>IF(AND(BaleMover[[#This Row],[Scenario_ID]]="S3",BaleMover[[#This Row],[MRF_ID]]="05"),0,IFERROR(BaleMover[[#This Row],[Total_Baled_tons]]*(IF(BaleMover[[#This Row],[Scenario_ID]]="S0",-2,0)+INDEX(BalePrices[High],MATCH(BaleMover[[#This Row],[Bale_ID]],BalePrices[Bale_ID],0))),0))</f>
        <v>0</v>
      </c>
    </row>
    <row r="626" spans="2:25" x14ac:dyDescent="0.2">
      <c r="B626" s="499" t="s">
        <v>873</v>
      </c>
      <c r="C626" s="499" t="s">
        <v>706</v>
      </c>
      <c r="D626" s="499"/>
      <c r="E626" s="499"/>
      <c r="F626" s="499" t="s">
        <v>1992</v>
      </c>
      <c r="G626" s="499" t="s">
        <v>2053</v>
      </c>
      <c r="H626" s="499" t="s">
        <v>1792</v>
      </c>
      <c r="I626" s="499" t="s">
        <v>1846</v>
      </c>
      <c r="J626" s="499" t="s">
        <v>1895</v>
      </c>
      <c r="K626" s="499" t="s">
        <v>2048</v>
      </c>
      <c r="L626" s="499">
        <v>4</v>
      </c>
      <c r="M626" s="499" t="s">
        <v>2130</v>
      </c>
      <c r="N626" s="499" t="s">
        <v>2131</v>
      </c>
      <c r="O626" s="525">
        <v>12644.889101581899</v>
      </c>
      <c r="P626" s="499">
        <v>20</v>
      </c>
      <c r="Q626" s="499"/>
      <c r="R626" s="499"/>
      <c r="S626" s="525"/>
      <c r="T626" s="525">
        <v>0</v>
      </c>
      <c r="U626" s="525">
        <v>1</v>
      </c>
      <c r="V626" s="525">
        <v>252897.78203163797</v>
      </c>
      <c r="W626" s="589">
        <f>IF(AND(BaleMover[[#This Row],[Scenario_ID]]="S3",BaleMover[[#This Row],[MRF_ID]]="05"),0,IFERROR(BaleMover[[#This Row],[Total_Baled_tons]]*(IF(BaleMover[[#This Row],[Scenario_ID]]="S0",-2,0)+INDEX(BalePrices[Low],MATCH(BaleMover[[#This Row],[Bale_ID]],BalePrices[Bale_ID],0))),0))</f>
        <v>0</v>
      </c>
      <c r="X626" s="397">
        <f>IF(AND(BaleMover[[#This Row],[Scenario_ID]]="S3",BaleMover[[#This Row],[MRF_ID]]="05"),0,IFERROR(BaleMover[[#This Row],[Total_Baled_tons]]*(IF(BaleMover[[#This Row],[Scenario_ID]]="S0",-2,0)+INDEX(BalePrices[Mid-Point],MATCH(BaleMover[[#This Row],[Bale_ID]],BalePrices[Bale_ID],0))),0))</f>
        <v>0</v>
      </c>
      <c r="Y626" s="397">
        <f>IF(AND(BaleMover[[#This Row],[Scenario_ID]]="S3",BaleMover[[#This Row],[MRF_ID]]="05"),0,IFERROR(BaleMover[[#This Row],[Total_Baled_tons]]*(IF(BaleMover[[#This Row],[Scenario_ID]]="S0",-2,0)+INDEX(BalePrices[High],MATCH(BaleMover[[#This Row],[Bale_ID]],BalePrices[Bale_ID],0))),0))</f>
        <v>0</v>
      </c>
    </row>
    <row r="627" spans="2:25" x14ac:dyDescent="0.2">
      <c r="B627" s="499" t="s">
        <v>876</v>
      </c>
      <c r="C627" s="499" t="s">
        <v>712</v>
      </c>
      <c r="D627" s="499"/>
      <c r="E627" s="499"/>
      <c r="F627" s="499" t="s">
        <v>1993</v>
      </c>
      <c r="G627" s="499" t="s">
        <v>2075</v>
      </c>
      <c r="H627" s="499" t="s">
        <v>1793</v>
      </c>
      <c r="I627" s="499" t="s">
        <v>1846</v>
      </c>
      <c r="J627" s="499" t="s">
        <v>1895</v>
      </c>
      <c r="K627" s="499" t="s">
        <v>2076</v>
      </c>
      <c r="L627" s="499">
        <v>1</v>
      </c>
      <c r="M627" s="499" t="s">
        <v>2086</v>
      </c>
      <c r="N627" s="499" t="s">
        <v>2066</v>
      </c>
      <c r="O627" s="525">
        <v>31793.351304448734</v>
      </c>
      <c r="P627" s="499">
        <v>20</v>
      </c>
      <c r="Q627" s="499"/>
      <c r="R627" s="499"/>
      <c r="S627" s="525"/>
      <c r="T627" s="525">
        <v>0</v>
      </c>
      <c r="U627" s="525">
        <v>1</v>
      </c>
      <c r="V627" s="525">
        <v>635867.02608897467</v>
      </c>
      <c r="W627" s="589">
        <f>IF(AND(BaleMover[[#This Row],[Scenario_ID]]="S3",BaleMover[[#This Row],[MRF_ID]]="05"),0,IFERROR(BaleMover[[#This Row],[Total_Baled_tons]]*(IF(BaleMover[[#This Row],[Scenario_ID]]="S0",-2,0)+INDEX(BalePrices[Low],MATCH(BaleMover[[#This Row],[Bale_ID]],BalePrices[Bale_ID],0))),0))</f>
        <v>0</v>
      </c>
      <c r="X627" s="397">
        <f>IF(AND(BaleMover[[#This Row],[Scenario_ID]]="S3",BaleMover[[#This Row],[MRF_ID]]="05"),0,IFERROR(BaleMover[[#This Row],[Total_Baled_tons]]*(IF(BaleMover[[#This Row],[Scenario_ID]]="S0",-2,0)+INDEX(BalePrices[Mid-Point],MATCH(BaleMover[[#This Row],[Bale_ID]],BalePrices[Bale_ID],0))),0))</f>
        <v>0</v>
      </c>
      <c r="Y627" s="397">
        <f>IF(AND(BaleMover[[#This Row],[Scenario_ID]]="S3",BaleMover[[#This Row],[MRF_ID]]="05"),0,IFERROR(BaleMover[[#This Row],[Total_Baled_tons]]*(IF(BaleMover[[#This Row],[Scenario_ID]]="S0",-2,0)+INDEX(BalePrices[High],MATCH(BaleMover[[#This Row],[Bale_ID]],BalePrices[Bale_ID],0))),0))</f>
        <v>0</v>
      </c>
    </row>
    <row r="628" spans="2:25" x14ac:dyDescent="0.2">
      <c r="B628" s="499" t="s">
        <v>875</v>
      </c>
      <c r="C628" s="499" t="s">
        <v>712</v>
      </c>
      <c r="D628" s="499"/>
      <c r="E628" s="499"/>
      <c r="F628" s="499" t="s">
        <v>1993</v>
      </c>
      <c r="G628" s="499" t="s">
        <v>2078</v>
      </c>
      <c r="H628" s="499" t="s">
        <v>1794</v>
      </c>
      <c r="I628" s="499" t="s">
        <v>1846</v>
      </c>
      <c r="J628" s="499" t="s">
        <v>1895</v>
      </c>
      <c r="K628" s="499" t="s">
        <v>2076</v>
      </c>
      <c r="L628" s="499">
        <v>1</v>
      </c>
      <c r="M628" s="499" t="s">
        <v>2086</v>
      </c>
      <c r="N628" s="499" t="s">
        <v>2066</v>
      </c>
      <c r="O628" s="525">
        <v>20381.273906298826</v>
      </c>
      <c r="P628" s="499">
        <v>20</v>
      </c>
      <c r="Q628" s="499"/>
      <c r="R628" s="499"/>
      <c r="S628" s="525"/>
      <c r="T628" s="525">
        <v>0</v>
      </c>
      <c r="U628" s="525">
        <v>1</v>
      </c>
      <c r="V628" s="525">
        <v>407625.47812597652</v>
      </c>
      <c r="W628" s="589">
        <f>IF(AND(BaleMover[[#This Row],[Scenario_ID]]="S3",BaleMover[[#This Row],[MRF_ID]]="05"),0,IFERROR(BaleMover[[#This Row],[Total_Baled_tons]]*(IF(BaleMover[[#This Row],[Scenario_ID]]="S0",-2,0)+INDEX(BalePrices[Low],MATCH(BaleMover[[#This Row],[Bale_ID]],BalePrices[Bale_ID],0))),0))</f>
        <v>0</v>
      </c>
      <c r="X628" s="397">
        <f>IF(AND(BaleMover[[#This Row],[Scenario_ID]]="S3",BaleMover[[#This Row],[MRF_ID]]="05"),0,IFERROR(BaleMover[[#This Row],[Total_Baled_tons]]*(IF(BaleMover[[#This Row],[Scenario_ID]]="S0",-2,0)+INDEX(BalePrices[Mid-Point],MATCH(BaleMover[[#This Row],[Bale_ID]],BalePrices[Bale_ID],0))),0))</f>
        <v>0</v>
      </c>
      <c r="Y628" s="397">
        <f>IF(AND(BaleMover[[#This Row],[Scenario_ID]]="S3",BaleMover[[#This Row],[MRF_ID]]="05"),0,IFERROR(BaleMover[[#This Row],[Total_Baled_tons]]*(IF(BaleMover[[#This Row],[Scenario_ID]]="S0",-2,0)+INDEX(BalePrices[High],MATCH(BaleMover[[#This Row],[Bale_ID]],BalePrices[Bale_ID],0))),0))</f>
        <v>0</v>
      </c>
    </row>
    <row r="629" spans="2:25" x14ac:dyDescent="0.2">
      <c r="B629" s="499" t="s">
        <v>874</v>
      </c>
      <c r="C629" s="499" t="s">
        <v>712</v>
      </c>
      <c r="D629" s="499"/>
      <c r="E629" s="499"/>
      <c r="F629" s="499" t="s">
        <v>1993</v>
      </c>
      <c r="G629" s="499" t="s">
        <v>2079</v>
      </c>
      <c r="H629" s="499" t="s">
        <v>1795</v>
      </c>
      <c r="I629" s="499" t="s">
        <v>1846</v>
      </c>
      <c r="J629" s="499" t="s">
        <v>1895</v>
      </c>
      <c r="K629" s="499" t="s">
        <v>2076</v>
      </c>
      <c r="L629" s="499">
        <v>1</v>
      </c>
      <c r="M629" s="499" t="s">
        <v>2086</v>
      </c>
      <c r="N629" s="499" t="s">
        <v>2066</v>
      </c>
      <c r="O629" s="525">
        <v>19984.657850404994</v>
      </c>
      <c r="P629" s="499">
        <v>20</v>
      </c>
      <c r="Q629" s="499"/>
      <c r="R629" s="499"/>
      <c r="S629" s="525"/>
      <c r="T629" s="525">
        <v>0</v>
      </c>
      <c r="U629" s="525">
        <v>1</v>
      </c>
      <c r="V629" s="525">
        <v>399693.15700809989</v>
      </c>
      <c r="W629" s="589">
        <f>IF(AND(BaleMover[[#This Row],[Scenario_ID]]="S3",BaleMover[[#This Row],[MRF_ID]]="05"),0,IFERROR(BaleMover[[#This Row],[Total_Baled_tons]]*(IF(BaleMover[[#This Row],[Scenario_ID]]="S0",-2,0)+INDEX(BalePrices[Low],MATCH(BaleMover[[#This Row],[Bale_ID]],BalePrices[Bale_ID],0))),0))</f>
        <v>0</v>
      </c>
      <c r="X629" s="397">
        <f>IF(AND(BaleMover[[#This Row],[Scenario_ID]]="S3",BaleMover[[#This Row],[MRF_ID]]="05"),0,IFERROR(BaleMover[[#This Row],[Total_Baled_tons]]*(IF(BaleMover[[#This Row],[Scenario_ID]]="S0",-2,0)+INDEX(BalePrices[Mid-Point],MATCH(BaleMover[[#This Row],[Bale_ID]],BalePrices[Bale_ID],0))),0))</f>
        <v>0</v>
      </c>
      <c r="Y629" s="397">
        <f>IF(AND(BaleMover[[#This Row],[Scenario_ID]]="S3",BaleMover[[#This Row],[MRF_ID]]="05"),0,IFERROR(BaleMover[[#This Row],[Total_Baled_tons]]*(IF(BaleMover[[#This Row],[Scenario_ID]]="S0",-2,0)+INDEX(BalePrices[High],MATCH(BaleMover[[#This Row],[Bale_ID]],BalePrices[Bale_ID],0))),0))</f>
        <v>0</v>
      </c>
    </row>
    <row r="630" spans="2:25" x14ac:dyDescent="0.2">
      <c r="B630" s="499" t="s">
        <v>873</v>
      </c>
      <c r="C630" s="499" t="s">
        <v>712</v>
      </c>
      <c r="D630" s="499"/>
      <c r="E630" s="499"/>
      <c r="F630" s="499" t="s">
        <v>1993</v>
      </c>
      <c r="G630" s="499" t="s">
        <v>2080</v>
      </c>
      <c r="H630" s="499" t="s">
        <v>1796</v>
      </c>
      <c r="I630" s="499" t="s">
        <v>1846</v>
      </c>
      <c r="J630" s="499" t="s">
        <v>1895</v>
      </c>
      <c r="K630" s="499" t="s">
        <v>2076</v>
      </c>
      <c r="L630" s="499">
        <v>1</v>
      </c>
      <c r="M630" s="499" t="s">
        <v>2086</v>
      </c>
      <c r="N630" s="499" t="s">
        <v>2066</v>
      </c>
      <c r="O630" s="525">
        <v>20024.26228458924</v>
      </c>
      <c r="P630" s="499">
        <v>20</v>
      </c>
      <c r="Q630" s="499"/>
      <c r="R630" s="499"/>
      <c r="S630" s="525"/>
      <c r="T630" s="525">
        <v>0</v>
      </c>
      <c r="U630" s="525">
        <v>1</v>
      </c>
      <c r="V630" s="525">
        <v>400485.24569178477</v>
      </c>
      <c r="W630" s="589">
        <f>IF(AND(BaleMover[[#This Row],[Scenario_ID]]="S3",BaleMover[[#This Row],[MRF_ID]]="05"),0,IFERROR(BaleMover[[#This Row],[Total_Baled_tons]]*(IF(BaleMover[[#This Row],[Scenario_ID]]="S0",-2,0)+INDEX(BalePrices[Low],MATCH(BaleMover[[#This Row],[Bale_ID]],BalePrices[Bale_ID],0))),0))</f>
        <v>0</v>
      </c>
      <c r="X630" s="397">
        <f>IF(AND(BaleMover[[#This Row],[Scenario_ID]]="S3",BaleMover[[#This Row],[MRF_ID]]="05"),0,IFERROR(BaleMover[[#This Row],[Total_Baled_tons]]*(IF(BaleMover[[#This Row],[Scenario_ID]]="S0",-2,0)+INDEX(BalePrices[Mid-Point],MATCH(BaleMover[[#This Row],[Bale_ID]],BalePrices[Bale_ID],0))),0))</f>
        <v>0</v>
      </c>
      <c r="Y630" s="397">
        <f>IF(AND(BaleMover[[#This Row],[Scenario_ID]]="S3",BaleMover[[#This Row],[MRF_ID]]="05"),0,IFERROR(BaleMover[[#This Row],[Total_Baled_tons]]*(IF(BaleMover[[#This Row],[Scenario_ID]]="S0",-2,0)+INDEX(BalePrices[High],MATCH(BaleMover[[#This Row],[Bale_ID]],BalePrices[Bale_ID],0))),0))</f>
        <v>0</v>
      </c>
    </row>
    <row r="631" spans="2:25" x14ac:dyDescent="0.2">
      <c r="B631" s="499" t="s">
        <v>876</v>
      </c>
      <c r="C631" s="499" t="s">
        <v>719</v>
      </c>
      <c r="D631" s="499"/>
      <c r="E631" s="499"/>
      <c r="F631" s="499" t="s">
        <v>1994</v>
      </c>
      <c r="G631" s="499" t="s">
        <v>2090</v>
      </c>
      <c r="H631" s="499" t="s">
        <v>1797</v>
      </c>
      <c r="I631" s="499" t="s">
        <v>1846</v>
      </c>
      <c r="J631" s="499" t="s">
        <v>1895</v>
      </c>
      <c r="K631" s="499" t="s">
        <v>2076</v>
      </c>
      <c r="L631" s="499">
        <v>1</v>
      </c>
      <c r="M631" s="499" t="s">
        <v>2086</v>
      </c>
      <c r="N631" s="499" t="s">
        <v>2066</v>
      </c>
      <c r="O631" s="525">
        <v>19383.982995911792</v>
      </c>
      <c r="P631" s="499">
        <v>20</v>
      </c>
      <c r="Q631" s="499"/>
      <c r="R631" s="499"/>
      <c r="S631" s="525"/>
      <c r="T631" s="525">
        <v>0</v>
      </c>
      <c r="U631" s="525">
        <v>1</v>
      </c>
      <c r="V631" s="525">
        <v>387679.65991823585</v>
      </c>
      <c r="W631" s="589">
        <f>IF(AND(BaleMover[[#This Row],[Scenario_ID]]="S3",BaleMover[[#This Row],[MRF_ID]]="05"),0,IFERROR(BaleMover[[#This Row],[Total_Baled_tons]]*(IF(BaleMover[[#This Row],[Scenario_ID]]="S0",-2,0)+INDEX(BalePrices[Low],MATCH(BaleMover[[#This Row],[Bale_ID]],BalePrices[Bale_ID],0))),0))</f>
        <v>0</v>
      </c>
      <c r="X631" s="397">
        <f>IF(AND(BaleMover[[#This Row],[Scenario_ID]]="S3",BaleMover[[#This Row],[MRF_ID]]="05"),0,IFERROR(BaleMover[[#This Row],[Total_Baled_tons]]*(IF(BaleMover[[#This Row],[Scenario_ID]]="S0",-2,0)+INDEX(BalePrices[Mid-Point],MATCH(BaleMover[[#This Row],[Bale_ID]],BalePrices[Bale_ID],0))),0))</f>
        <v>0</v>
      </c>
      <c r="Y631" s="397">
        <f>IF(AND(BaleMover[[#This Row],[Scenario_ID]]="S3",BaleMover[[#This Row],[MRF_ID]]="05"),0,IFERROR(BaleMover[[#This Row],[Total_Baled_tons]]*(IF(BaleMover[[#This Row],[Scenario_ID]]="S0",-2,0)+INDEX(BalePrices[High],MATCH(BaleMover[[#This Row],[Bale_ID]],BalePrices[Bale_ID],0))),0))</f>
        <v>0</v>
      </c>
    </row>
    <row r="632" spans="2:25" x14ac:dyDescent="0.2">
      <c r="B632" s="499" t="s">
        <v>875</v>
      </c>
      <c r="C632" s="499" t="s">
        <v>719</v>
      </c>
      <c r="D632" s="499"/>
      <c r="E632" s="499"/>
      <c r="F632" s="499" t="s">
        <v>1994</v>
      </c>
      <c r="G632" s="499" t="s">
        <v>2091</v>
      </c>
      <c r="H632" s="499" t="s">
        <v>1798</v>
      </c>
      <c r="I632" s="499" t="s">
        <v>1846</v>
      </c>
      <c r="J632" s="499" t="s">
        <v>1895</v>
      </c>
      <c r="K632" s="499" t="s">
        <v>2076</v>
      </c>
      <c r="L632" s="499">
        <v>1</v>
      </c>
      <c r="M632" s="499" t="s">
        <v>2086</v>
      </c>
      <c r="N632" s="499" t="s">
        <v>2066</v>
      </c>
      <c r="O632" s="525">
        <v>12336.027075095051</v>
      </c>
      <c r="P632" s="499">
        <v>20</v>
      </c>
      <c r="Q632" s="499"/>
      <c r="R632" s="499"/>
      <c r="S632" s="525"/>
      <c r="T632" s="525">
        <v>0</v>
      </c>
      <c r="U632" s="525">
        <v>1</v>
      </c>
      <c r="V632" s="525">
        <v>246720.54150190103</v>
      </c>
      <c r="W632" s="589">
        <f>IF(AND(BaleMover[[#This Row],[Scenario_ID]]="S3",BaleMover[[#This Row],[MRF_ID]]="05"),0,IFERROR(BaleMover[[#This Row],[Total_Baled_tons]]*(IF(BaleMover[[#This Row],[Scenario_ID]]="S0",-2,0)+INDEX(BalePrices[Low],MATCH(BaleMover[[#This Row],[Bale_ID]],BalePrices[Bale_ID],0))),0))</f>
        <v>0</v>
      </c>
      <c r="X632" s="397">
        <f>IF(AND(BaleMover[[#This Row],[Scenario_ID]]="S3",BaleMover[[#This Row],[MRF_ID]]="05"),0,IFERROR(BaleMover[[#This Row],[Total_Baled_tons]]*(IF(BaleMover[[#This Row],[Scenario_ID]]="S0",-2,0)+INDEX(BalePrices[Mid-Point],MATCH(BaleMover[[#This Row],[Bale_ID]],BalePrices[Bale_ID],0))),0))</f>
        <v>0</v>
      </c>
      <c r="Y632" s="397">
        <f>IF(AND(BaleMover[[#This Row],[Scenario_ID]]="S3",BaleMover[[#This Row],[MRF_ID]]="05"),0,IFERROR(BaleMover[[#This Row],[Total_Baled_tons]]*(IF(BaleMover[[#This Row],[Scenario_ID]]="S0",-2,0)+INDEX(BalePrices[High],MATCH(BaleMover[[#This Row],[Bale_ID]],BalePrices[Bale_ID],0))),0))</f>
        <v>0</v>
      </c>
    </row>
    <row r="633" spans="2:25" x14ac:dyDescent="0.2">
      <c r="B633" s="499" t="s">
        <v>874</v>
      </c>
      <c r="C633" s="499" t="s">
        <v>719</v>
      </c>
      <c r="D633" s="499"/>
      <c r="E633" s="499"/>
      <c r="F633" s="499" t="s">
        <v>1994</v>
      </c>
      <c r="G633" s="499" t="s">
        <v>2092</v>
      </c>
      <c r="H633" s="499" t="s">
        <v>1799</v>
      </c>
      <c r="I633" s="499" t="s">
        <v>1846</v>
      </c>
      <c r="J633" s="499" t="s">
        <v>1895</v>
      </c>
      <c r="K633" s="499" t="s">
        <v>2076</v>
      </c>
      <c r="L633" s="499">
        <v>1</v>
      </c>
      <c r="M633" s="499" t="s">
        <v>2086</v>
      </c>
      <c r="N633" s="499" t="s">
        <v>2066</v>
      </c>
      <c r="O633" s="525">
        <v>13555.944744117973</v>
      </c>
      <c r="P633" s="499">
        <v>20</v>
      </c>
      <c r="Q633" s="499"/>
      <c r="R633" s="499"/>
      <c r="S633" s="525"/>
      <c r="T633" s="525">
        <v>0</v>
      </c>
      <c r="U633" s="525">
        <v>1</v>
      </c>
      <c r="V633" s="525">
        <v>271118.89488235943</v>
      </c>
      <c r="W633" s="589">
        <f>IF(AND(BaleMover[[#This Row],[Scenario_ID]]="S3",BaleMover[[#This Row],[MRF_ID]]="05"),0,IFERROR(BaleMover[[#This Row],[Total_Baled_tons]]*(IF(BaleMover[[#This Row],[Scenario_ID]]="S0",-2,0)+INDEX(BalePrices[Low],MATCH(BaleMover[[#This Row],[Bale_ID]],BalePrices[Bale_ID],0))),0))</f>
        <v>0</v>
      </c>
      <c r="X633" s="397">
        <f>IF(AND(BaleMover[[#This Row],[Scenario_ID]]="S3",BaleMover[[#This Row],[MRF_ID]]="05"),0,IFERROR(BaleMover[[#This Row],[Total_Baled_tons]]*(IF(BaleMover[[#This Row],[Scenario_ID]]="S0",-2,0)+INDEX(BalePrices[Mid-Point],MATCH(BaleMover[[#This Row],[Bale_ID]],BalePrices[Bale_ID],0))),0))</f>
        <v>0</v>
      </c>
      <c r="Y633" s="397">
        <f>IF(AND(BaleMover[[#This Row],[Scenario_ID]]="S3",BaleMover[[#This Row],[MRF_ID]]="05"),0,IFERROR(BaleMover[[#This Row],[Total_Baled_tons]]*(IF(BaleMover[[#This Row],[Scenario_ID]]="S0",-2,0)+INDEX(BalePrices[High],MATCH(BaleMover[[#This Row],[Bale_ID]],BalePrices[Bale_ID],0))),0))</f>
        <v>0</v>
      </c>
    </row>
    <row r="634" spans="2:25" x14ac:dyDescent="0.2">
      <c r="B634" s="499" t="s">
        <v>873</v>
      </c>
      <c r="C634" s="499" t="s">
        <v>719</v>
      </c>
      <c r="D634" s="499"/>
      <c r="E634" s="499"/>
      <c r="F634" s="499" t="s">
        <v>1994</v>
      </c>
      <c r="G634" s="499" t="s">
        <v>2093</v>
      </c>
      <c r="H634" s="499" t="s">
        <v>1800</v>
      </c>
      <c r="I634" s="499" t="s">
        <v>1846</v>
      </c>
      <c r="J634" s="499" t="s">
        <v>1895</v>
      </c>
      <c r="K634" s="499" t="s">
        <v>2076</v>
      </c>
      <c r="L634" s="499">
        <v>1</v>
      </c>
      <c r="M634" s="499" t="s">
        <v>2086</v>
      </c>
      <c r="N634" s="499" t="s">
        <v>2066</v>
      </c>
      <c r="O634" s="525">
        <v>13163.547705477245</v>
      </c>
      <c r="P634" s="499">
        <v>20</v>
      </c>
      <c r="Q634" s="499"/>
      <c r="R634" s="499"/>
      <c r="S634" s="525"/>
      <c r="T634" s="525">
        <v>0</v>
      </c>
      <c r="U634" s="525">
        <v>1</v>
      </c>
      <c r="V634" s="525">
        <v>263270.95410954492</v>
      </c>
      <c r="W634" s="589">
        <f>IF(AND(BaleMover[[#This Row],[Scenario_ID]]="S3",BaleMover[[#This Row],[MRF_ID]]="05"),0,IFERROR(BaleMover[[#This Row],[Total_Baled_tons]]*(IF(BaleMover[[#This Row],[Scenario_ID]]="S0",-2,0)+INDEX(BalePrices[Low],MATCH(BaleMover[[#This Row],[Bale_ID]],BalePrices[Bale_ID],0))),0))</f>
        <v>0</v>
      </c>
      <c r="X634" s="397">
        <f>IF(AND(BaleMover[[#This Row],[Scenario_ID]]="S3",BaleMover[[#This Row],[MRF_ID]]="05"),0,IFERROR(BaleMover[[#This Row],[Total_Baled_tons]]*(IF(BaleMover[[#This Row],[Scenario_ID]]="S0",-2,0)+INDEX(BalePrices[Mid-Point],MATCH(BaleMover[[#This Row],[Bale_ID]],BalePrices[Bale_ID],0))),0))</f>
        <v>0</v>
      </c>
      <c r="Y634" s="397">
        <f>IF(AND(BaleMover[[#This Row],[Scenario_ID]]="S3",BaleMover[[#This Row],[MRF_ID]]="05"),0,IFERROR(BaleMover[[#This Row],[Total_Baled_tons]]*(IF(BaleMover[[#This Row],[Scenario_ID]]="S0",-2,0)+INDEX(BalePrices[High],MATCH(BaleMover[[#This Row],[Bale_ID]],BalePrices[Bale_ID],0))),0))</f>
        <v>0</v>
      </c>
    </row>
    <row r="635" spans="2:25" x14ac:dyDescent="0.2">
      <c r="B635" s="499" t="s">
        <v>874</v>
      </c>
      <c r="C635" s="499" t="s">
        <v>727</v>
      </c>
      <c r="D635" s="499"/>
      <c r="E635" s="499"/>
      <c r="F635" s="499" t="s">
        <v>1995</v>
      </c>
      <c r="G635" s="499" t="s">
        <v>2094</v>
      </c>
      <c r="H635" s="499" t="s">
        <v>1801</v>
      </c>
      <c r="I635" s="499" t="s">
        <v>1846</v>
      </c>
      <c r="J635" s="499" t="s">
        <v>1895</v>
      </c>
      <c r="K635" s="499" t="s">
        <v>2076</v>
      </c>
      <c r="L635" s="499">
        <v>1</v>
      </c>
      <c r="M635" s="499" t="s">
        <v>2086</v>
      </c>
      <c r="N635" s="499" t="s">
        <v>2066</v>
      </c>
      <c r="O635" s="525">
        <v>1697.3811453657199</v>
      </c>
      <c r="P635" s="499">
        <v>20</v>
      </c>
      <c r="Q635" s="499"/>
      <c r="R635" s="499"/>
      <c r="S635" s="525"/>
      <c r="T635" s="525">
        <v>0</v>
      </c>
      <c r="U635" s="525">
        <v>1</v>
      </c>
      <c r="V635" s="525">
        <v>33947.622907314399</v>
      </c>
      <c r="W635" s="589">
        <f>IF(AND(BaleMover[[#This Row],[Scenario_ID]]="S3",BaleMover[[#This Row],[MRF_ID]]="05"),0,IFERROR(BaleMover[[#This Row],[Total_Baled_tons]]*(IF(BaleMover[[#This Row],[Scenario_ID]]="S0",-2,0)+INDEX(BalePrices[Low],MATCH(BaleMover[[#This Row],[Bale_ID]],BalePrices[Bale_ID],0))),0))</f>
        <v>0</v>
      </c>
      <c r="X635" s="397">
        <f>IF(AND(BaleMover[[#This Row],[Scenario_ID]]="S3",BaleMover[[#This Row],[MRF_ID]]="05"),0,IFERROR(BaleMover[[#This Row],[Total_Baled_tons]]*(IF(BaleMover[[#This Row],[Scenario_ID]]="S0",-2,0)+INDEX(BalePrices[Mid-Point],MATCH(BaleMover[[#This Row],[Bale_ID]],BalePrices[Bale_ID],0))),0))</f>
        <v>0</v>
      </c>
      <c r="Y635" s="397">
        <f>IF(AND(BaleMover[[#This Row],[Scenario_ID]]="S3",BaleMover[[#This Row],[MRF_ID]]="05"),0,IFERROR(BaleMover[[#This Row],[Total_Baled_tons]]*(IF(BaleMover[[#This Row],[Scenario_ID]]="S0",-2,0)+INDEX(BalePrices[High],MATCH(BaleMover[[#This Row],[Bale_ID]],BalePrices[Bale_ID],0))),0))</f>
        <v>0</v>
      </c>
    </row>
    <row r="636" spans="2:25" x14ac:dyDescent="0.2">
      <c r="B636" s="499" t="s">
        <v>873</v>
      </c>
      <c r="C636" s="499" t="s">
        <v>727</v>
      </c>
      <c r="D636" s="499"/>
      <c r="E636" s="499"/>
      <c r="F636" s="499" t="s">
        <v>1995</v>
      </c>
      <c r="G636" s="499" t="s">
        <v>2095</v>
      </c>
      <c r="H636" s="499" t="s">
        <v>1802</v>
      </c>
      <c r="I636" s="499" t="s">
        <v>1846</v>
      </c>
      <c r="J636" s="499" t="s">
        <v>1895</v>
      </c>
      <c r="K636" s="499" t="s">
        <v>2096</v>
      </c>
      <c r="L636" s="499">
        <v>18</v>
      </c>
      <c r="M636" s="499" t="s">
        <v>2099</v>
      </c>
      <c r="N636" s="499" t="s">
        <v>2100</v>
      </c>
      <c r="O636" s="525">
        <v>2165.7216282010659</v>
      </c>
      <c r="P636" s="499">
        <v>15</v>
      </c>
      <c r="Q636" s="499"/>
      <c r="R636" s="499"/>
      <c r="S636" s="525"/>
      <c r="T636" s="525">
        <v>0</v>
      </c>
      <c r="U636" s="525">
        <v>1</v>
      </c>
      <c r="V636" s="525">
        <v>32485.824423015987</v>
      </c>
      <c r="W636" s="589">
        <f>IF(AND(BaleMover[[#This Row],[Scenario_ID]]="S3",BaleMover[[#This Row],[MRF_ID]]="05"),0,IFERROR(BaleMover[[#This Row],[Total_Baled_tons]]*(IF(BaleMover[[#This Row],[Scenario_ID]]="S0",-2,0)+INDEX(BalePrices[Low],MATCH(BaleMover[[#This Row],[Bale_ID]],BalePrices[Bale_ID],0))),0))</f>
        <v>0</v>
      </c>
      <c r="X636" s="397">
        <f>IF(AND(BaleMover[[#This Row],[Scenario_ID]]="S3",BaleMover[[#This Row],[MRF_ID]]="05"),0,IFERROR(BaleMover[[#This Row],[Total_Baled_tons]]*(IF(BaleMover[[#This Row],[Scenario_ID]]="S0",-2,0)+INDEX(BalePrices[Mid-Point],MATCH(BaleMover[[#This Row],[Bale_ID]],BalePrices[Bale_ID],0))),0))</f>
        <v>0</v>
      </c>
      <c r="Y636" s="397">
        <f>IF(AND(BaleMover[[#This Row],[Scenario_ID]]="S3",BaleMover[[#This Row],[MRF_ID]]="05"),0,IFERROR(BaleMover[[#This Row],[Total_Baled_tons]]*(IF(BaleMover[[#This Row],[Scenario_ID]]="S0",-2,0)+INDEX(BalePrices[High],MATCH(BaleMover[[#This Row],[Bale_ID]],BalePrices[Bale_ID],0))),0))</f>
        <v>0</v>
      </c>
    </row>
    <row r="637" spans="2:25" x14ac:dyDescent="0.2">
      <c r="B637" s="499" t="s">
        <v>870</v>
      </c>
      <c r="C637" s="499" t="s">
        <v>735</v>
      </c>
      <c r="D637" s="499"/>
      <c r="E637" s="499"/>
      <c r="F637" s="499" t="s">
        <v>1996</v>
      </c>
      <c r="G637" s="499" t="s">
        <v>2112</v>
      </c>
      <c r="H637" s="499" t="s">
        <v>1803</v>
      </c>
      <c r="I637" s="499" t="s">
        <v>1846</v>
      </c>
      <c r="J637" s="499" t="s">
        <v>1895</v>
      </c>
      <c r="K637" s="499" t="s">
        <v>2076</v>
      </c>
      <c r="L637" s="499">
        <v>1</v>
      </c>
      <c r="M637" s="499" t="s">
        <v>2086</v>
      </c>
      <c r="N637" s="499" t="s">
        <v>2066</v>
      </c>
      <c r="O637" s="525">
        <v>16370.820213260104</v>
      </c>
      <c r="P637" s="499">
        <v>20</v>
      </c>
      <c r="Q637" s="499"/>
      <c r="R637" s="499"/>
      <c r="S637" s="525"/>
      <c r="T637" s="525">
        <v>0</v>
      </c>
      <c r="U637" s="525">
        <v>1</v>
      </c>
      <c r="V637" s="525">
        <v>327416.40426520206</v>
      </c>
      <c r="W637" s="589">
        <f>IF(AND(BaleMover[[#This Row],[Scenario_ID]]="S3",BaleMover[[#This Row],[MRF_ID]]="05"),0,IFERROR(BaleMover[[#This Row],[Total_Baled_tons]]*(IF(BaleMover[[#This Row],[Scenario_ID]]="S0",-2,0)+INDEX(BalePrices[Low],MATCH(BaleMover[[#This Row],[Bale_ID]],BalePrices[Bale_ID],0))),0))</f>
        <v>0</v>
      </c>
      <c r="X637" s="397">
        <f>IF(AND(BaleMover[[#This Row],[Scenario_ID]]="S3",BaleMover[[#This Row],[MRF_ID]]="05"),0,IFERROR(BaleMover[[#This Row],[Total_Baled_tons]]*(IF(BaleMover[[#This Row],[Scenario_ID]]="S0",-2,0)+INDEX(BalePrices[Mid-Point],MATCH(BaleMover[[#This Row],[Bale_ID]],BalePrices[Bale_ID],0))),0))</f>
        <v>0</v>
      </c>
      <c r="Y637" s="397">
        <f>IF(AND(BaleMover[[#This Row],[Scenario_ID]]="S3",BaleMover[[#This Row],[MRF_ID]]="05"),0,IFERROR(BaleMover[[#This Row],[Total_Baled_tons]]*(IF(BaleMover[[#This Row],[Scenario_ID]]="S0",-2,0)+INDEX(BalePrices[High],MATCH(BaleMover[[#This Row],[Bale_ID]],BalePrices[Bale_ID],0))),0))</f>
        <v>0</v>
      </c>
    </row>
    <row r="638" spans="2:25" x14ac:dyDescent="0.2">
      <c r="B638" s="499" t="s">
        <v>870</v>
      </c>
      <c r="C638" s="499" t="s">
        <v>739</v>
      </c>
      <c r="D638" s="499"/>
      <c r="E638" s="499"/>
      <c r="F638" s="499" t="s">
        <v>1997</v>
      </c>
      <c r="G638" s="499" t="s">
        <v>2115</v>
      </c>
      <c r="H638" s="499" t="s">
        <v>1804</v>
      </c>
      <c r="I638" s="499" t="s">
        <v>1846</v>
      </c>
      <c r="J638" s="499" t="s">
        <v>1895</v>
      </c>
      <c r="K638" s="499" t="s">
        <v>2076</v>
      </c>
      <c r="L638" s="499">
        <v>1</v>
      </c>
      <c r="M638" s="499" t="s">
        <v>2086</v>
      </c>
      <c r="N638" s="499" t="s">
        <v>2066</v>
      </c>
      <c r="O638" s="525">
        <v>19721.830183845057</v>
      </c>
      <c r="P638" s="499">
        <v>20</v>
      </c>
      <c r="Q638" s="499"/>
      <c r="R638" s="499"/>
      <c r="S638" s="525"/>
      <c r="T638" s="525">
        <v>0</v>
      </c>
      <c r="U638" s="525">
        <v>1</v>
      </c>
      <c r="V638" s="525">
        <v>394436.60367690114</v>
      </c>
      <c r="W638" s="589">
        <f>IF(AND(BaleMover[[#This Row],[Scenario_ID]]="S3",BaleMover[[#This Row],[MRF_ID]]="05"),0,IFERROR(BaleMover[[#This Row],[Total_Baled_tons]]*(IF(BaleMover[[#This Row],[Scenario_ID]]="S0",-2,0)+INDEX(BalePrices[Low],MATCH(BaleMover[[#This Row],[Bale_ID]],BalePrices[Bale_ID],0))),0))</f>
        <v>0</v>
      </c>
      <c r="X638" s="397">
        <f>IF(AND(BaleMover[[#This Row],[Scenario_ID]]="S3",BaleMover[[#This Row],[MRF_ID]]="05"),0,IFERROR(BaleMover[[#This Row],[Total_Baled_tons]]*(IF(BaleMover[[#This Row],[Scenario_ID]]="S0",-2,0)+INDEX(BalePrices[Mid-Point],MATCH(BaleMover[[#This Row],[Bale_ID]],BalePrices[Bale_ID],0))),0))</f>
        <v>0</v>
      </c>
      <c r="Y638" s="397">
        <f>IF(AND(BaleMover[[#This Row],[Scenario_ID]]="S3",BaleMover[[#This Row],[MRF_ID]]="05"),0,IFERROR(BaleMover[[#This Row],[Total_Baled_tons]]*(IF(BaleMover[[#This Row],[Scenario_ID]]="S0",-2,0)+INDEX(BalePrices[High],MATCH(BaleMover[[#This Row],[Bale_ID]],BalePrices[Bale_ID],0))),0))</f>
        <v>0</v>
      </c>
    </row>
    <row r="639" spans="2:25" x14ac:dyDescent="0.2">
      <c r="B639" s="499" t="s">
        <v>870</v>
      </c>
      <c r="C639" s="499" t="s">
        <v>744</v>
      </c>
      <c r="D639" s="499"/>
      <c r="E639" s="499"/>
      <c r="F639" s="499" t="s">
        <v>1998</v>
      </c>
      <c r="G639" s="499" t="s">
        <v>2116</v>
      </c>
      <c r="H639" s="499" t="s">
        <v>1805</v>
      </c>
      <c r="I639" s="499" t="s">
        <v>1846</v>
      </c>
      <c r="J639" s="499" t="s">
        <v>1895</v>
      </c>
      <c r="K639" s="499" t="s">
        <v>2048</v>
      </c>
      <c r="L639" s="499">
        <v>4</v>
      </c>
      <c r="M639" s="499" t="s">
        <v>2130</v>
      </c>
      <c r="N639" s="499" t="s">
        <v>2131</v>
      </c>
      <c r="O639" s="525">
        <v>5351.524991607841</v>
      </c>
      <c r="P639" s="499">
        <v>20</v>
      </c>
      <c r="Q639" s="499"/>
      <c r="R639" s="499"/>
      <c r="S639" s="525"/>
      <c r="T639" s="525">
        <v>0</v>
      </c>
      <c r="U639" s="525">
        <v>1</v>
      </c>
      <c r="V639" s="525">
        <v>107030.49983215681</v>
      </c>
      <c r="W639" s="589">
        <f>IF(AND(BaleMover[[#This Row],[Scenario_ID]]="S3",BaleMover[[#This Row],[MRF_ID]]="05"),0,IFERROR(BaleMover[[#This Row],[Total_Baled_tons]]*(IF(BaleMover[[#This Row],[Scenario_ID]]="S0",-2,0)+INDEX(BalePrices[Low],MATCH(BaleMover[[#This Row],[Bale_ID]],BalePrices[Bale_ID],0))),0))</f>
        <v>0</v>
      </c>
      <c r="X639" s="397">
        <f>IF(AND(BaleMover[[#This Row],[Scenario_ID]]="S3",BaleMover[[#This Row],[MRF_ID]]="05"),0,IFERROR(BaleMover[[#This Row],[Total_Baled_tons]]*(IF(BaleMover[[#This Row],[Scenario_ID]]="S0",-2,0)+INDEX(BalePrices[Mid-Point],MATCH(BaleMover[[#This Row],[Bale_ID]],BalePrices[Bale_ID],0))),0))</f>
        <v>0</v>
      </c>
      <c r="Y639" s="397">
        <f>IF(AND(BaleMover[[#This Row],[Scenario_ID]]="S3",BaleMover[[#This Row],[MRF_ID]]="05"),0,IFERROR(BaleMover[[#This Row],[Total_Baled_tons]]*(IF(BaleMover[[#This Row],[Scenario_ID]]="S0",-2,0)+INDEX(BalePrices[High],MATCH(BaleMover[[#This Row],[Bale_ID]],BalePrices[Bale_ID],0))),0))</f>
        <v>0</v>
      </c>
    </row>
    <row r="640" spans="2:25" x14ac:dyDescent="0.2">
      <c r="B640" s="499" t="s">
        <v>876</v>
      </c>
      <c r="C640" s="499" t="s">
        <v>754</v>
      </c>
      <c r="D640" s="499"/>
      <c r="E640" s="499"/>
      <c r="F640" s="499" t="s">
        <v>1999</v>
      </c>
      <c r="G640" s="499" t="s">
        <v>2118</v>
      </c>
      <c r="H640" s="499" t="s">
        <v>1806</v>
      </c>
      <c r="I640" s="499" t="s">
        <v>1846</v>
      </c>
      <c r="J640" s="499" t="s">
        <v>1895</v>
      </c>
      <c r="K640" s="499" t="s">
        <v>2048</v>
      </c>
      <c r="L640" s="499">
        <v>4</v>
      </c>
      <c r="M640" s="499" t="s">
        <v>2130</v>
      </c>
      <c r="N640" s="499" t="s">
        <v>2131</v>
      </c>
      <c r="O640" s="525">
        <v>41.226744182189847</v>
      </c>
      <c r="P640" s="499">
        <v>20</v>
      </c>
      <c r="Q640" s="499"/>
      <c r="R640" s="499"/>
      <c r="S640" s="525"/>
      <c r="T640" s="525">
        <v>0</v>
      </c>
      <c r="U640" s="525">
        <v>1</v>
      </c>
      <c r="V640" s="525">
        <v>824.534883643797</v>
      </c>
      <c r="W640" s="589">
        <f>IF(AND(BaleMover[[#This Row],[Scenario_ID]]="S3",BaleMover[[#This Row],[MRF_ID]]="05"),0,IFERROR(BaleMover[[#This Row],[Total_Baled_tons]]*(IF(BaleMover[[#This Row],[Scenario_ID]]="S0",-2,0)+INDEX(BalePrices[Low],MATCH(BaleMover[[#This Row],[Bale_ID]],BalePrices[Bale_ID],0))),0))</f>
        <v>0</v>
      </c>
      <c r="X640" s="397">
        <f>IF(AND(BaleMover[[#This Row],[Scenario_ID]]="S3",BaleMover[[#This Row],[MRF_ID]]="05"),0,IFERROR(BaleMover[[#This Row],[Total_Baled_tons]]*(IF(BaleMover[[#This Row],[Scenario_ID]]="S0",-2,0)+INDEX(BalePrices[Mid-Point],MATCH(BaleMover[[#This Row],[Bale_ID]],BalePrices[Bale_ID],0))),0))</f>
        <v>0</v>
      </c>
      <c r="Y640" s="397">
        <f>IF(AND(BaleMover[[#This Row],[Scenario_ID]]="S3",BaleMover[[#This Row],[MRF_ID]]="05"),0,IFERROR(BaleMover[[#This Row],[Total_Baled_tons]]*(IF(BaleMover[[#This Row],[Scenario_ID]]="S0",-2,0)+INDEX(BalePrices[High],MATCH(BaleMover[[#This Row],[Bale_ID]],BalePrices[Bale_ID],0))),0))</f>
        <v>0</v>
      </c>
    </row>
    <row r="641" spans="2:25" x14ac:dyDescent="0.2">
      <c r="B641" s="499" t="s">
        <v>875</v>
      </c>
      <c r="C641" s="499" t="s">
        <v>754</v>
      </c>
      <c r="D641" s="499"/>
      <c r="E641" s="499"/>
      <c r="F641" s="499" t="s">
        <v>1999</v>
      </c>
      <c r="G641" s="499" t="s">
        <v>2119</v>
      </c>
      <c r="H641" s="499" t="s">
        <v>1807</v>
      </c>
      <c r="I641" s="499" t="s">
        <v>1846</v>
      </c>
      <c r="J641" s="499" t="s">
        <v>1895</v>
      </c>
      <c r="K641" s="499" t="s">
        <v>2048</v>
      </c>
      <c r="L641" s="499">
        <v>4</v>
      </c>
      <c r="M641" s="499" t="s">
        <v>2130</v>
      </c>
      <c r="N641" s="499" t="s">
        <v>2131</v>
      </c>
      <c r="O641" s="525">
        <v>41.226744182189847</v>
      </c>
      <c r="P641" s="499">
        <v>20</v>
      </c>
      <c r="Q641" s="499"/>
      <c r="R641" s="499"/>
      <c r="S641" s="525"/>
      <c r="T641" s="525">
        <v>0</v>
      </c>
      <c r="U641" s="525">
        <v>1</v>
      </c>
      <c r="V641" s="525">
        <v>824.534883643797</v>
      </c>
      <c r="W641" s="589">
        <f>IF(AND(BaleMover[[#This Row],[Scenario_ID]]="S3",BaleMover[[#This Row],[MRF_ID]]="05"),0,IFERROR(BaleMover[[#This Row],[Total_Baled_tons]]*(IF(BaleMover[[#This Row],[Scenario_ID]]="S0",-2,0)+INDEX(BalePrices[Low],MATCH(BaleMover[[#This Row],[Bale_ID]],BalePrices[Bale_ID],0))),0))</f>
        <v>0</v>
      </c>
      <c r="X641" s="397">
        <f>IF(AND(BaleMover[[#This Row],[Scenario_ID]]="S3",BaleMover[[#This Row],[MRF_ID]]="05"),0,IFERROR(BaleMover[[#This Row],[Total_Baled_tons]]*(IF(BaleMover[[#This Row],[Scenario_ID]]="S0",-2,0)+INDEX(BalePrices[Mid-Point],MATCH(BaleMover[[#This Row],[Bale_ID]],BalePrices[Bale_ID],0))),0))</f>
        <v>0</v>
      </c>
      <c r="Y641" s="397">
        <f>IF(AND(BaleMover[[#This Row],[Scenario_ID]]="S3",BaleMover[[#This Row],[MRF_ID]]="05"),0,IFERROR(BaleMover[[#This Row],[Total_Baled_tons]]*(IF(BaleMover[[#This Row],[Scenario_ID]]="S0",-2,0)+INDEX(BalePrices[High],MATCH(BaleMover[[#This Row],[Bale_ID]],BalePrices[Bale_ID],0))),0))</f>
        <v>0</v>
      </c>
    </row>
    <row r="642" spans="2:25" x14ac:dyDescent="0.2">
      <c r="B642" s="499" t="s">
        <v>874</v>
      </c>
      <c r="C642" s="499" t="s">
        <v>754</v>
      </c>
      <c r="D642" s="499"/>
      <c r="E642" s="499"/>
      <c r="F642" s="499" t="s">
        <v>1999</v>
      </c>
      <c r="G642" s="499" t="s">
        <v>2120</v>
      </c>
      <c r="H642" s="499" t="s">
        <v>1808</v>
      </c>
      <c r="I642" s="499" t="s">
        <v>1846</v>
      </c>
      <c r="J642" s="499" t="s">
        <v>1895</v>
      </c>
      <c r="K642" s="499" t="s">
        <v>2048</v>
      </c>
      <c r="L642" s="499">
        <v>4</v>
      </c>
      <c r="M642" s="499" t="s">
        <v>2130</v>
      </c>
      <c r="N642" s="499" t="s">
        <v>2131</v>
      </c>
      <c r="O642" s="525">
        <v>45.067144792918867</v>
      </c>
      <c r="P642" s="499">
        <v>20</v>
      </c>
      <c r="Q642" s="499"/>
      <c r="R642" s="499"/>
      <c r="S642" s="525"/>
      <c r="T642" s="525">
        <v>0</v>
      </c>
      <c r="U642" s="525">
        <v>1</v>
      </c>
      <c r="V642" s="525">
        <v>901.34289585837735</v>
      </c>
      <c r="W642" s="589">
        <f>IF(AND(BaleMover[[#This Row],[Scenario_ID]]="S3",BaleMover[[#This Row],[MRF_ID]]="05"),0,IFERROR(BaleMover[[#This Row],[Total_Baled_tons]]*(IF(BaleMover[[#This Row],[Scenario_ID]]="S0",-2,0)+INDEX(BalePrices[Low],MATCH(BaleMover[[#This Row],[Bale_ID]],BalePrices[Bale_ID],0))),0))</f>
        <v>0</v>
      </c>
      <c r="X642" s="397">
        <f>IF(AND(BaleMover[[#This Row],[Scenario_ID]]="S3",BaleMover[[#This Row],[MRF_ID]]="05"),0,IFERROR(BaleMover[[#This Row],[Total_Baled_tons]]*(IF(BaleMover[[#This Row],[Scenario_ID]]="S0",-2,0)+INDEX(BalePrices[Mid-Point],MATCH(BaleMover[[#This Row],[Bale_ID]],BalePrices[Bale_ID],0))),0))</f>
        <v>0</v>
      </c>
      <c r="Y642" s="397">
        <f>IF(AND(BaleMover[[#This Row],[Scenario_ID]]="S3",BaleMover[[#This Row],[MRF_ID]]="05"),0,IFERROR(BaleMover[[#This Row],[Total_Baled_tons]]*(IF(BaleMover[[#This Row],[Scenario_ID]]="S0",-2,0)+INDEX(BalePrices[High],MATCH(BaleMover[[#This Row],[Bale_ID]],BalePrices[Bale_ID],0))),0))</f>
        <v>0</v>
      </c>
    </row>
    <row r="643" spans="2:25" x14ac:dyDescent="0.2">
      <c r="B643" s="499" t="s">
        <v>873</v>
      </c>
      <c r="C643" s="499" t="s">
        <v>754</v>
      </c>
      <c r="D643" s="499"/>
      <c r="E643" s="499"/>
      <c r="F643" s="499" t="s">
        <v>1999</v>
      </c>
      <c r="G643" s="499" t="s">
        <v>2121</v>
      </c>
      <c r="H643" s="499" t="s">
        <v>1809</v>
      </c>
      <c r="I643" s="499" t="s">
        <v>1846</v>
      </c>
      <c r="J643" s="499" t="s">
        <v>1895</v>
      </c>
      <c r="K643" s="499" t="s">
        <v>2048</v>
      </c>
      <c r="L643" s="499">
        <v>4</v>
      </c>
      <c r="M643" s="499" t="s">
        <v>2130</v>
      </c>
      <c r="N643" s="499" t="s">
        <v>2131</v>
      </c>
      <c r="O643" s="525">
        <v>45.067144792918867</v>
      </c>
      <c r="P643" s="499">
        <v>20</v>
      </c>
      <c r="Q643" s="499"/>
      <c r="R643" s="499"/>
      <c r="S643" s="525"/>
      <c r="T643" s="525">
        <v>0</v>
      </c>
      <c r="U643" s="525">
        <v>1</v>
      </c>
      <c r="V643" s="525">
        <v>901.34289585837735</v>
      </c>
      <c r="W643" s="589">
        <f>IF(AND(BaleMover[[#This Row],[Scenario_ID]]="S3",BaleMover[[#This Row],[MRF_ID]]="05"),0,IFERROR(BaleMover[[#This Row],[Total_Baled_tons]]*(IF(BaleMover[[#This Row],[Scenario_ID]]="S0",-2,0)+INDEX(BalePrices[Low],MATCH(BaleMover[[#This Row],[Bale_ID]],BalePrices[Bale_ID],0))),0))</f>
        <v>0</v>
      </c>
      <c r="X643" s="397">
        <f>IF(AND(BaleMover[[#This Row],[Scenario_ID]]="S3",BaleMover[[#This Row],[MRF_ID]]="05"),0,IFERROR(BaleMover[[#This Row],[Total_Baled_tons]]*(IF(BaleMover[[#This Row],[Scenario_ID]]="S0",-2,0)+INDEX(BalePrices[Mid-Point],MATCH(BaleMover[[#This Row],[Bale_ID]],BalePrices[Bale_ID],0))),0))</f>
        <v>0</v>
      </c>
      <c r="Y643" s="397">
        <f>IF(AND(BaleMover[[#This Row],[Scenario_ID]]="S3",BaleMover[[#This Row],[MRF_ID]]="05"),0,IFERROR(BaleMover[[#This Row],[Total_Baled_tons]]*(IF(BaleMover[[#This Row],[Scenario_ID]]="S0",-2,0)+INDEX(BalePrices[High],MATCH(BaleMover[[#This Row],[Bale_ID]],BalePrices[Bale_ID],0))),0))</f>
        <v>0</v>
      </c>
    </row>
    <row r="644" spans="2:25" x14ac:dyDescent="0.2">
      <c r="B644" s="499" t="s">
        <v>870</v>
      </c>
      <c r="C644" s="499" t="s">
        <v>754</v>
      </c>
      <c r="D644" s="499"/>
      <c r="E644" s="499"/>
      <c r="F644" s="499" t="s">
        <v>1999</v>
      </c>
      <c r="G644" s="499" t="s">
        <v>2122</v>
      </c>
      <c r="H644" s="499" t="s">
        <v>1810</v>
      </c>
      <c r="I644" s="499" t="s">
        <v>1846</v>
      </c>
      <c r="J644" s="499" t="s">
        <v>1895</v>
      </c>
      <c r="K644" s="499" t="s">
        <v>2048</v>
      </c>
      <c r="L644" s="499">
        <v>4</v>
      </c>
      <c r="M644" s="499" t="s">
        <v>2130</v>
      </c>
      <c r="N644" s="499" t="s">
        <v>2131</v>
      </c>
      <c r="O644" s="525">
        <v>45.067144792918867</v>
      </c>
      <c r="P644" s="499">
        <v>20</v>
      </c>
      <c r="Q644" s="499"/>
      <c r="R644" s="499"/>
      <c r="S644" s="525"/>
      <c r="T644" s="525">
        <v>0</v>
      </c>
      <c r="U644" s="525">
        <v>1</v>
      </c>
      <c r="V644" s="525">
        <v>901.34289585837735</v>
      </c>
      <c r="W644" s="589">
        <f>IF(AND(BaleMover[[#This Row],[Scenario_ID]]="S3",BaleMover[[#This Row],[MRF_ID]]="05"),0,IFERROR(BaleMover[[#This Row],[Total_Baled_tons]]*(IF(BaleMover[[#This Row],[Scenario_ID]]="S0",-2,0)+INDEX(BalePrices[Low],MATCH(BaleMover[[#This Row],[Bale_ID]],BalePrices[Bale_ID],0))),0))</f>
        <v>0</v>
      </c>
      <c r="X644" s="397">
        <f>IF(AND(BaleMover[[#This Row],[Scenario_ID]]="S3",BaleMover[[#This Row],[MRF_ID]]="05"),0,IFERROR(BaleMover[[#This Row],[Total_Baled_tons]]*(IF(BaleMover[[#This Row],[Scenario_ID]]="S0",-2,0)+INDEX(BalePrices[Mid-Point],MATCH(BaleMover[[#This Row],[Bale_ID]],BalePrices[Bale_ID],0))),0))</f>
        <v>0</v>
      </c>
      <c r="Y644" s="397">
        <f>IF(AND(BaleMover[[#This Row],[Scenario_ID]]="S3",BaleMover[[#This Row],[MRF_ID]]="05"),0,IFERROR(BaleMover[[#This Row],[Total_Baled_tons]]*(IF(BaleMover[[#This Row],[Scenario_ID]]="S0",-2,0)+INDEX(BalePrices[High],MATCH(BaleMover[[#This Row],[Bale_ID]],BalePrices[Bale_ID],0))),0))</f>
        <v>0</v>
      </c>
    </row>
    <row r="645" spans="2:25" x14ac:dyDescent="0.2">
      <c r="B645" s="499" t="s">
        <v>876</v>
      </c>
      <c r="C645" s="499" t="s">
        <v>757</v>
      </c>
      <c r="D645" s="499"/>
      <c r="E645" s="499"/>
      <c r="F645" s="499" t="s">
        <v>2000</v>
      </c>
      <c r="G645" s="499" t="s">
        <v>2123</v>
      </c>
      <c r="H645" s="499" t="s">
        <v>1811</v>
      </c>
      <c r="I645" s="499" t="s">
        <v>1846</v>
      </c>
      <c r="J645" s="499" t="s">
        <v>1895</v>
      </c>
      <c r="K645" s="499" t="s">
        <v>2076</v>
      </c>
      <c r="L645" s="499">
        <v>1</v>
      </c>
      <c r="M645" s="499" t="s">
        <v>2086</v>
      </c>
      <c r="N645" s="499" t="s">
        <v>2066</v>
      </c>
      <c r="O645" s="525">
        <v>127.29495858283477</v>
      </c>
      <c r="P645" s="499">
        <v>20</v>
      </c>
      <c r="Q645" s="499"/>
      <c r="R645" s="499"/>
      <c r="S645" s="525"/>
      <c r="T645" s="525">
        <v>0</v>
      </c>
      <c r="U645" s="525">
        <v>1</v>
      </c>
      <c r="V645" s="525">
        <v>2545.8991716566952</v>
      </c>
      <c r="W645" s="589">
        <f>IF(AND(BaleMover[[#This Row],[Scenario_ID]]="S3",BaleMover[[#This Row],[MRF_ID]]="05"),0,IFERROR(BaleMover[[#This Row],[Total_Baled_tons]]*(IF(BaleMover[[#This Row],[Scenario_ID]]="S0",-2,0)+INDEX(BalePrices[Low],MATCH(BaleMover[[#This Row],[Bale_ID]],BalePrices[Bale_ID],0))),0))</f>
        <v>0</v>
      </c>
      <c r="X645" s="397">
        <f>IF(AND(BaleMover[[#This Row],[Scenario_ID]]="S3",BaleMover[[#This Row],[MRF_ID]]="05"),0,IFERROR(BaleMover[[#This Row],[Total_Baled_tons]]*(IF(BaleMover[[#This Row],[Scenario_ID]]="S0",-2,0)+INDEX(BalePrices[Mid-Point],MATCH(BaleMover[[#This Row],[Bale_ID]],BalePrices[Bale_ID],0))),0))</f>
        <v>0</v>
      </c>
      <c r="Y645" s="397">
        <f>IF(AND(BaleMover[[#This Row],[Scenario_ID]]="S3",BaleMover[[#This Row],[MRF_ID]]="05"),0,IFERROR(BaleMover[[#This Row],[Total_Baled_tons]]*(IF(BaleMover[[#This Row],[Scenario_ID]]="S0",-2,0)+INDEX(BalePrices[High],MATCH(BaleMover[[#This Row],[Bale_ID]],BalePrices[Bale_ID],0))),0))</f>
        <v>0</v>
      </c>
    </row>
    <row r="646" spans="2:25" x14ac:dyDescent="0.2">
      <c r="B646" s="499" t="s">
        <v>875</v>
      </c>
      <c r="C646" s="499" t="s">
        <v>757</v>
      </c>
      <c r="D646" s="499"/>
      <c r="E646" s="499"/>
      <c r="F646" s="499" t="s">
        <v>2000</v>
      </c>
      <c r="G646" s="499" t="s">
        <v>2126</v>
      </c>
      <c r="H646" s="499" t="s">
        <v>1812</v>
      </c>
      <c r="I646" s="499" t="s">
        <v>1846</v>
      </c>
      <c r="J646" s="499" t="s">
        <v>1895</v>
      </c>
      <c r="K646" s="499" t="s">
        <v>2076</v>
      </c>
      <c r="L646" s="499">
        <v>1</v>
      </c>
      <c r="M646" s="499" t="s">
        <v>2086</v>
      </c>
      <c r="N646" s="499" t="s">
        <v>2066</v>
      </c>
      <c r="O646" s="525">
        <v>127.29495858283477</v>
      </c>
      <c r="P646" s="499">
        <v>20</v>
      </c>
      <c r="Q646" s="499"/>
      <c r="R646" s="499"/>
      <c r="S646" s="525"/>
      <c r="T646" s="525">
        <v>0</v>
      </c>
      <c r="U646" s="525">
        <v>1</v>
      </c>
      <c r="V646" s="525">
        <v>2545.8991716566952</v>
      </c>
      <c r="W646" s="589">
        <f>IF(AND(BaleMover[[#This Row],[Scenario_ID]]="S3",BaleMover[[#This Row],[MRF_ID]]="05"),0,IFERROR(BaleMover[[#This Row],[Total_Baled_tons]]*(IF(BaleMover[[#This Row],[Scenario_ID]]="S0",-2,0)+INDEX(BalePrices[Low],MATCH(BaleMover[[#This Row],[Bale_ID]],BalePrices[Bale_ID],0))),0))</f>
        <v>0</v>
      </c>
      <c r="X646" s="397">
        <f>IF(AND(BaleMover[[#This Row],[Scenario_ID]]="S3",BaleMover[[#This Row],[MRF_ID]]="05"),0,IFERROR(BaleMover[[#This Row],[Total_Baled_tons]]*(IF(BaleMover[[#This Row],[Scenario_ID]]="S0",-2,0)+INDEX(BalePrices[Mid-Point],MATCH(BaleMover[[#This Row],[Bale_ID]],BalePrices[Bale_ID],0))),0))</f>
        <v>0</v>
      </c>
      <c r="Y646" s="397">
        <f>IF(AND(BaleMover[[#This Row],[Scenario_ID]]="S3",BaleMover[[#This Row],[MRF_ID]]="05"),0,IFERROR(BaleMover[[#This Row],[Total_Baled_tons]]*(IF(BaleMover[[#This Row],[Scenario_ID]]="S0",-2,0)+INDEX(BalePrices[High],MATCH(BaleMover[[#This Row],[Bale_ID]],BalePrices[Bale_ID],0))),0))</f>
        <v>0</v>
      </c>
    </row>
    <row r="647" spans="2:25" x14ac:dyDescent="0.2">
      <c r="B647" s="499" t="s">
        <v>874</v>
      </c>
      <c r="C647" s="499" t="s">
        <v>757</v>
      </c>
      <c r="D647" s="499"/>
      <c r="E647" s="499"/>
      <c r="F647" s="499" t="s">
        <v>2000</v>
      </c>
      <c r="G647" s="499" t="s">
        <v>2127</v>
      </c>
      <c r="H647" s="499" t="s">
        <v>1813</v>
      </c>
      <c r="I647" s="499" t="s">
        <v>1846</v>
      </c>
      <c r="J647" s="499" t="s">
        <v>1895</v>
      </c>
      <c r="K647" s="499" t="s">
        <v>2076</v>
      </c>
      <c r="L647" s="499">
        <v>1</v>
      </c>
      <c r="M647" s="499" t="s">
        <v>2086</v>
      </c>
      <c r="N647" s="499" t="s">
        <v>2066</v>
      </c>
      <c r="O647" s="525">
        <v>127.29495858283477</v>
      </c>
      <c r="P647" s="499">
        <v>20</v>
      </c>
      <c r="Q647" s="499"/>
      <c r="R647" s="499"/>
      <c r="S647" s="525"/>
      <c r="T647" s="525">
        <v>0</v>
      </c>
      <c r="U647" s="525">
        <v>1</v>
      </c>
      <c r="V647" s="525">
        <v>2545.8991716566952</v>
      </c>
      <c r="W647" s="589">
        <f>IF(AND(BaleMover[[#This Row],[Scenario_ID]]="S3",BaleMover[[#This Row],[MRF_ID]]="05"),0,IFERROR(BaleMover[[#This Row],[Total_Baled_tons]]*(IF(BaleMover[[#This Row],[Scenario_ID]]="S0",-2,0)+INDEX(BalePrices[Low],MATCH(BaleMover[[#This Row],[Bale_ID]],BalePrices[Bale_ID],0))),0))</f>
        <v>0</v>
      </c>
      <c r="X647" s="397">
        <f>IF(AND(BaleMover[[#This Row],[Scenario_ID]]="S3",BaleMover[[#This Row],[MRF_ID]]="05"),0,IFERROR(BaleMover[[#This Row],[Total_Baled_tons]]*(IF(BaleMover[[#This Row],[Scenario_ID]]="S0",-2,0)+INDEX(BalePrices[Mid-Point],MATCH(BaleMover[[#This Row],[Bale_ID]],BalePrices[Bale_ID],0))),0))</f>
        <v>0</v>
      </c>
      <c r="Y647" s="397">
        <f>IF(AND(BaleMover[[#This Row],[Scenario_ID]]="S3",BaleMover[[#This Row],[MRF_ID]]="05"),0,IFERROR(BaleMover[[#This Row],[Total_Baled_tons]]*(IF(BaleMover[[#This Row],[Scenario_ID]]="S0",-2,0)+INDEX(BalePrices[High],MATCH(BaleMover[[#This Row],[Bale_ID]],BalePrices[Bale_ID],0))),0))</f>
        <v>0</v>
      </c>
    </row>
    <row r="648" spans="2:25" x14ac:dyDescent="0.2">
      <c r="B648" s="499" t="s">
        <v>873</v>
      </c>
      <c r="C648" s="499" t="s">
        <v>757</v>
      </c>
      <c r="D648" s="499"/>
      <c r="E648" s="499"/>
      <c r="F648" s="499" t="s">
        <v>2000</v>
      </c>
      <c r="G648" s="499" t="s">
        <v>2128</v>
      </c>
      <c r="H648" s="499" t="s">
        <v>1814</v>
      </c>
      <c r="I648" s="499" t="s">
        <v>1846</v>
      </c>
      <c r="J648" s="499" t="s">
        <v>1895</v>
      </c>
      <c r="K648" s="499" t="s">
        <v>2076</v>
      </c>
      <c r="L648" s="499">
        <v>1</v>
      </c>
      <c r="M648" s="499" t="s">
        <v>2086</v>
      </c>
      <c r="N648" s="499" t="s">
        <v>2066</v>
      </c>
      <c r="O648" s="525">
        <v>127.29495858283477</v>
      </c>
      <c r="P648" s="499">
        <v>20</v>
      </c>
      <c r="Q648" s="499"/>
      <c r="R648" s="499"/>
      <c r="S648" s="525"/>
      <c r="T648" s="525">
        <v>0</v>
      </c>
      <c r="U648" s="525">
        <v>1</v>
      </c>
      <c r="V648" s="525">
        <v>2545.8991716566952</v>
      </c>
      <c r="W648" s="589">
        <f>IF(AND(BaleMover[[#This Row],[Scenario_ID]]="S3",BaleMover[[#This Row],[MRF_ID]]="05"),0,IFERROR(BaleMover[[#This Row],[Total_Baled_tons]]*(IF(BaleMover[[#This Row],[Scenario_ID]]="S0",-2,0)+INDEX(BalePrices[Low],MATCH(BaleMover[[#This Row],[Bale_ID]],BalePrices[Bale_ID],0))),0))</f>
        <v>0</v>
      </c>
      <c r="X648" s="397">
        <f>IF(AND(BaleMover[[#This Row],[Scenario_ID]]="S3",BaleMover[[#This Row],[MRF_ID]]="05"),0,IFERROR(BaleMover[[#This Row],[Total_Baled_tons]]*(IF(BaleMover[[#This Row],[Scenario_ID]]="S0",-2,0)+INDEX(BalePrices[Mid-Point],MATCH(BaleMover[[#This Row],[Bale_ID]],BalePrices[Bale_ID],0))),0))</f>
        <v>0</v>
      </c>
      <c r="Y648" s="397">
        <f>IF(AND(BaleMover[[#This Row],[Scenario_ID]]="S3",BaleMover[[#This Row],[MRF_ID]]="05"),0,IFERROR(BaleMover[[#This Row],[Total_Baled_tons]]*(IF(BaleMover[[#This Row],[Scenario_ID]]="S0",-2,0)+INDEX(BalePrices[High],MATCH(BaleMover[[#This Row],[Bale_ID]],BalePrices[Bale_ID],0))),0))</f>
        <v>0</v>
      </c>
    </row>
    <row r="649" spans="2:25" x14ac:dyDescent="0.2">
      <c r="B649" s="499" t="s">
        <v>870</v>
      </c>
      <c r="C649" s="499" t="s">
        <v>757</v>
      </c>
      <c r="D649" s="499"/>
      <c r="E649" s="499"/>
      <c r="F649" s="499" t="s">
        <v>2000</v>
      </c>
      <c r="G649" s="499" t="s">
        <v>2129</v>
      </c>
      <c r="H649" s="499" t="s">
        <v>1815</v>
      </c>
      <c r="I649" s="499" t="s">
        <v>1846</v>
      </c>
      <c r="J649" s="499" t="s">
        <v>1895</v>
      </c>
      <c r="K649" s="499" t="s">
        <v>2076</v>
      </c>
      <c r="L649" s="499">
        <v>1</v>
      </c>
      <c r="M649" s="499" t="s">
        <v>2086</v>
      </c>
      <c r="N649" s="499" t="s">
        <v>2066</v>
      </c>
      <c r="O649" s="525">
        <v>127.29495858283477</v>
      </c>
      <c r="P649" s="499">
        <v>20</v>
      </c>
      <c r="Q649" s="499"/>
      <c r="R649" s="499"/>
      <c r="S649" s="525"/>
      <c r="T649" s="525">
        <v>0</v>
      </c>
      <c r="U649" s="525">
        <v>1</v>
      </c>
      <c r="V649" s="525">
        <v>2545.8991716566952</v>
      </c>
      <c r="W649" s="589">
        <f>IF(AND(BaleMover[[#This Row],[Scenario_ID]]="S3",BaleMover[[#This Row],[MRF_ID]]="05"),0,IFERROR(BaleMover[[#This Row],[Total_Baled_tons]]*(IF(BaleMover[[#This Row],[Scenario_ID]]="S0",-2,0)+INDEX(BalePrices[Low],MATCH(BaleMover[[#This Row],[Bale_ID]],BalePrices[Bale_ID],0))),0))</f>
        <v>0</v>
      </c>
      <c r="X649" s="397">
        <f>IF(AND(BaleMover[[#This Row],[Scenario_ID]]="S3",BaleMover[[#This Row],[MRF_ID]]="05"),0,IFERROR(BaleMover[[#This Row],[Total_Baled_tons]]*(IF(BaleMover[[#This Row],[Scenario_ID]]="S0",-2,0)+INDEX(BalePrices[Mid-Point],MATCH(BaleMover[[#This Row],[Bale_ID]],BalePrices[Bale_ID],0))),0))</f>
        <v>0</v>
      </c>
      <c r="Y649" s="397">
        <f>IF(AND(BaleMover[[#This Row],[Scenario_ID]]="S3",BaleMover[[#This Row],[MRF_ID]]="05"),0,IFERROR(BaleMover[[#This Row],[Total_Baled_tons]]*(IF(BaleMover[[#This Row],[Scenario_ID]]="S0",-2,0)+INDEX(BalePrices[High],MATCH(BaleMover[[#This Row],[Bale_ID]],BalePrices[Bale_ID],0))),0))</f>
        <v>0</v>
      </c>
    </row>
    <row r="650" spans="2:25" x14ac:dyDescent="0.2">
      <c r="B650" s="499" t="s">
        <v>874</v>
      </c>
      <c r="C650" s="499" t="s">
        <v>706</v>
      </c>
      <c r="D650" s="499"/>
      <c r="E650" s="499"/>
      <c r="F650" s="499" t="s">
        <v>1992</v>
      </c>
      <c r="G650" s="499" t="s">
        <v>2052</v>
      </c>
      <c r="H650" s="499" t="s">
        <v>1816</v>
      </c>
      <c r="I650" s="499" t="s">
        <v>1847</v>
      </c>
      <c r="J650" s="499" t="s">
        <v>1894</v>
      </c>
      <c r="K650" s="499" t="s">
        <v>2048</v>
      </c>
      <c r="L650" s="499">
        <v>1</v>
      </c>
      <c r="M650" s="499" t="s">
        <v>2065</v>
      </c>
      <c r="N650" s="499" t="s">
        <v>2066</v>
      </c>
      <c r="O650" s="525">
        <v>7910.7730012386173</v>
      </c>
      <c r="P650" s="499">
        <v>50</v>
      </c>
      <c r="Q650" s="499"/>
      <c r="R650" s="499"/>
      <c r="S650" s="525"/>
      <c r="T650" s="525">
        <v>0</v>
      </c>
      <c r="U650" s="525">
        <v>1</v>
      </c>
      <c r="V650" s="525">
        <v>395538.65006193088</v>
      </c>
      <c r="W650" s="589">
        <f>IF(AND(BaleMover[[#This Row],[Scenario_ID]]="S3",BaleMover[[#This Row],[MRF_ID]]="05"),0,IFERROR(BaleMover[[#This Row],[Total_Baled_tons]]*(IF(BaleMover[[#This Row],[Scenario_ID]]="S0",-2,0)+INDEX(BalePrices[Low],MATCH(BaleMover[[#This Row],[Bale_ID]],BalePrices[Bale_ID],0))),0))</f>
        <v>79107.730012386179</v>
      </c>
      <c r="X650" s="397">
        <f>IF(AND(BaleMover[[#This Row],[Scenario_ID]]="S3",BaleMover[[#This Row],[MRF_ID]]="05"),0,IFERROR(BaleMover[[#This Row],[Total_Baled_tons]]*(IF(BaleMover[[#This Row],[Scenario_ID]]="S0",-2,0)+INDEX(BalePrices[Mid-Point],MATCH(BaleMover[[#This Row],[Bale_ID]],BalePrices[Bale_ID],0))),0))</f>
        <v>435092.51506812393</v>
      </c>
      <c r="Y650" s="397">
        <f>IF(AND(BaleMover[[#This Row],[Scenario_ID]]="S3",BaleMover[[#This Row],[MRF_ID]]="05"),0,IFERROR(BaleMover[[#This Row],[Total_Baled_tons]]*(IF(BaleMover[[#This Row],[Scenario_ID]]="S0",-2,0)+INDEX(BalePrices[High],MATCH(BaleMover[[#This Row],[Bale_ID]],BalePrices[Bale_ID],0))),0))</f>
        <v>791077.30012386176</v>
      </c>
    </row>
    <row r="651" spans="2:25" x14ac:dyDescent="0.2">
      <c r="B651" s="499" t="s">
        <v>873</v>
      </c>
      <c r="C651" s="499" t="s">
        <v>706</v>
      </c>
      <c r="D651" s="499"/>
      <c r="E651" s="499"/>
      <c r="F651" s="499" t="s">
        <v>1992</v>
      </c>
      <c r="G651" s="499" t="s">
        <v>2053</v>
      </c>
      <c r="H651" s="499" t="s">
        <v>1817</v>
      </c>
      <c r="I651" s="499" t="s">
        <v>1847</v>
      </c>
      <c r="J651" s="499" t="s">
        <v>1894</v>
      </c>
      <c r="K651" s="499" t="s">
        <v>2048</v>
      </c>
      <c r="L651" s="499">
        <v>9</v>
      </c>
      <c r="M651" s="499" t="s">
        <v>2132</v>
      </c>
      <c r="N651" s="499" t="s">
        <v>2133</v>
      </c>
      <c r="O651" s="525">
        <v>7977.2906691134467</v>
      </c>
      <c r="P651" s="499">
        <v>360</v>
      </c>
      <c r="Q651" s="499"/>
      <c r="R651" s="499"/>
      <c r="S651" s="525"/>
      <c r="T651" s="525">
        <v>0</v>
      </c>
      <c r="U651" s="525">
        <v>1</v>
      </c>
      <c r="V651" s="525">
        <v>2871824.6408808408</v>
      </c>
      <c r="W651" s="589">
        <f>IF(AND(BaleMover[[#This Row],[Scenario_ID]]="S3",BaleMover[[#This Row],[MRF_ID]]="05"),0,IFERROR(BaleMover[[#This Row],[Total_Baled_tons]]*(IF(BaleMover[[#This Row],[Scenario_ID]]="S0",-2,0)+INDEX(BalePrices[Low],MATCH(BaleMover[[#This Row],[Bale_ID]],BalePrices[Bale_ID],0))),0))</f>
        <v>79772.906691134471</v>
      </c>
      <c r="X651" s="397">
        <f>IF(AND(BaleMover[[#This Row],[Scenario_ID]]="S3",BaleMover[[#This Row],[MRF_ID]]="05"),0,IFERROR(BaleMover[[#This Row],[Total_Baled_tons]]*(IF(BaleMover[[#This Row],[Scenario_ID]]="S0",-2,0)+INDEX(BalePrices[Mid-Point],MATCH(BaleMover[[#This Row],[Bale_ID]],BalePrices[Bale_ID],0))),0))</f>
        <v>438750.98680123955</v>
      </c>
      <c r="Y651" s="397">
        <f>IF(AND(BaleMover[[#This Row],[Scenario_ID]]="S3",BaleMover[[#This Row],[MRF_ID]]="05"),0,IFERROR(BaleMover[[#This Row],[Total_Baled_tons]]*(IF(BaleMover[[#This Row],[Scenario_ID]]="S0",-2,0)+INDEX(BalePrices[High],MATCH(BaleMover[[#This Row],[Bale_ID]],BalePrices[Bale_ID],0))),0))</f>
        <v>797729.06691134465</v>
      </c>
    </row>
    <row r="652" spans="2:25" x14ac:dyDescent="0.2">
      <c r="B652" s="499" t="s">
        <v>874</v>
      </c>
      <c r="C652" s="499" t="s">
        <v>712</v>
      </c>
      <c r="D652" s="499"/>
      <c r="E652" s="499"/>
      <c r="F652" s="499" t="s">
        <v>1993</v>
      </c>
      <c r="G652" s="499" t="s">
        <v>2079</v>
      </c>
      <c r="H652" s="499" t="s">
        <v>1818</v>
      </c>
      <c r="I652" s="499" t="s">
        <v>1847</v>
      </c>
      <c r="J652" s="499" t="s">
        <v>1894</v>
      </c>
      <c r="K652" s="499" t="s">
        <v>2076</v>
      </c>
      <c r="L652" s="499">
        <v>1</v>
      </c>
      <c r="M652" s="499" t="s">
        <v>2086</v>
      </c>
      <c r="N652" s="499" t="s">
        <v>2066</v>
      </c>
      <c r="O652" s="525">
        <v>10271.503494836072</v>
      </c>
      <c r="P652" s="499">
        <v>20</v>
      </c>
      <c r="Q652" s="499"/>
      <c r="R652" s="499"/>
      <c r="S652" s="525"/>
      <c r="T652" s="525">
        <v>0</v>
      </c>
      <c r="U652" s="525">
        <v>1</v>
      </c>
      <c r="V652" s="525">
        <v>205430.06989672143</v>
      </c>
      <c r="W652" s="589">
        <f>IF(AND(BaleMover[[#This Row],[Scenario_ID]]="S3",BaleMover[[#This Row],[MRF_ID]]="05"),0,IFERROR(BaleMover[[#This Row],[Total_Baled_tons]]*(IF(BaleMover[[#This Row],[Scenario_ID]]="S0",-2,0)+INDEX(BalePrices[Low],MATCH(BaleMover[[#This Row],[Bale_ID]],BalePrices[Bale_ID],0))),0))</f>
        <v>102715.03494836071</v>
      </c>
      <c r="X652" s="397">
        <f>IF(AND(BaleMover[[#This Row],[Scenario_ID]]="S3",BaleMover[[#This Row],[MRF_ID]]="05"),0,IFERROR(BaleMover[[#This Row],[Total_Baled_tons]]*(IF(BaleMover[[#This Row],[Scenario_ID]]="S0",-2,0)+INDEX(BalePrices[Mid-Point],MATCH(BaleMover[[#This Row],[Bale_ID]],BalePrices[Bale_ID],0))),0))</f>
        <v>564932.69221598399</v>
      </c>
      <c r="Y652" s="397">
        <f>IF(AND(BaleMover[[#This Row],[Scenario_ID]]="S3",BaleMover[[#This Row],[MRF_ID]]="05"),0,IFERROR(BaleMover[[#This Row],[Total_Baled_tons]]*(IF(BaleMover[[#This Row],[Scenario_ID]]="S0",-2,0)+INDEX(BalePrices[High],MATCH(BaleMover[[#This Row],[Bale_ID]],BalePrices[Bale_ID],0))),0))</f>
        <v>1027150.3494836072</v>
      </c>
    </row>
    <row r="653" spans="2:25" x14ac:dyDescent="0.2">
      <c r="B653" s="499" t="s">
        <v>873</v>
      </c>
      <c r="C653" s="499" t="s">
        <v>712</v>
      </c>
      <c r="D653" s="499"/>
      <c r="E653" s="499"/>
      <c r="F653" s="499" t="s">
        <v>1993</v>
      </c>
      <c r="G653" s="499" t="s">
        <v>2080</v>
      </c>
      <c r="H653" s="499" t="s">
        <v>1819</v>
      </c>
      <c r="I653" s="499" t="s">
        <v>1847</v>
      </c>
      <c r="J653" s="499" t="s">
        <v>1894</v>
      </c>
      <c r="K653" s="499" t="s">
        <v>2076</v>
      </c>
      <c r="L653" s="499">
        <v>9</v>
      </c>
      <c r="M653" s="499" t="s">
        <v>2134</v>
      </c>
      <c r="N653" s="499" t="s">
        <v>2133</v>
      </c>
      <c r="O653" s="525">
        <v>10211.005375009363</v>
      </c>
      <c r="P653" s="499">
        <v>305</v>
      </c>
      <c r="Q653" s="499"/>
      <c r="R653" s="499"/>
      <c r="S653" s="525"/>
      <c r="T653" s="525">
        <v>0</v>
      </c>
      <c r="U653" s="525">
        <v>1</v>
      </c>
      <c r="V653" s="525">
        <v>3114356.6393778557</v>
      </c>
      <c r="W653" s="589">
        <f>IF(AND(BaleMover[[#This Row],[Scenario_ID]]="S3",BaleMover[[#This Row],[MRF_ID]]="05"),0,IFERROR(BaleMover[[#This Row],[Total_Baled_tons]]*(IF(BaleMover[[#This Row],[Scenario_ID]]="S0",-2,0)+INDEX(BalePrices[Low],MATCH(BaleMover[[#This Row],[Bale_ID]],BalePrices[Bale_ID],0))),0))</f>
        <v>102110.05375009363</v>
      </c>
      <c r="X653" s="397">
        <f>IF(AND(BaleMover[[#This Row],[Scenario_ID]]="S3",BaleMover[[#This Row],[MRF_ID]]="05"),0,IFERROR(BaleMover[[#This Row],[Total_Baled_tons]]*(IF(BaleMover[[#This Row],[Scenario_ID]]="S0",-2,0)+INDEX(BalePrices[Mid-Point],MATCH(BaleMover[[#This Row],[Bale_ID]],BalePrices[Bale_ID],0))),0))</f>
        <v>561605.29562551493</v>
      </c>
      <c r="Y653" s="397">
        <f>IF(AND(BaleMover[[#This Row],[Scenario_ID]]="S3",BaleMover[[#This Row],[MRF_ID]]="05"),0,IFERROR(BaleMover[[#This Row],[Total_Baled_tons]]*(IF(BaleMover[[#This Row],[Scenario_ID]]="S0",-2,0)+INDEX(BalePrices[High],MATCH(BaleMover[[#This Row],[Bale_ID]],BalePrices[Bale_ID],0))),0))</f>
        <v>1021100.5375009363</v>
      </c>
    </row>
    <row r="654" spans="2:25" x14ac:dyDescent="0.2">
      <c r="B654" s="499" t="s">
        <v>874</v>
      </c>
      <c r="C654" s="499" t="s">
        <v>719</v>
      </c>
      <c r="D654" s="499"/>
      <c r="E654" s="499"/>
      <c r="F654" s="499" t="s">
        <v>1994</v>
      </c>
      <c r="G654" s="499" t="s">
        <v>2092</v>
      </c>
      <c r="H654" s="499" t="s">
        <v>1820</v>
      </c>
      <c r="I654" s="499" t="s">
        <v>1847</v>
      </c>
      <c r="J654" s="499" t="s">
        <v>1894</v>
      </c>
      <c r="K654" s="499" t="s">
        <v>2076</v>
      </c>
      <c r="L654" s="499">
        <v>1</v>
      </c>
      <c r="M654" s="499" t="s">
        <v>2086</v>
      </c>
      <c r="N654" s="499" t="s">
        <v>2066</v>
      </c>
      <c r="O654" s="525">
        <v>0</v>
      </c>
      <c r="P654" s="499" t="s">
        <v>2054</v>
      </c>
      <c r="Q654" s="499"/>
      <c r="R654" s="499"/>
      <c r="S654" s="525"/>
      <c r="T654" s="525">
        <v>0</v>
      </c>
      <c r="U654" s="525">
        <v>1</v>
      </c>
      <c r="V654" s="525" t="s">
        <v>2054</v>
      </c>
      <c r="W654" s="589">
        <f>IF(AND(BaleMover[[#This Row],[Scenario_ID]]="S3",BaleMover[[#This Row],[MRF_ID]]="05"),0,IFERROR(BaleMover[[#This Row],[Total_Baled_tons]]*(IF(BaleMover[[#This Row],[Scenario_ID]]="S0",-2,0)+INDEX(BalePrices[Low],MATCH(BaleMover[[#This Row],[Bale_ID]],BalePrices[Bale_ID],0))),0))</f>
        <v>0</v>
      </c>
      <c r="X654" s="397">
        <f>IF(AND(BaleMover[[#This Row],[Scenario_ID]]="S3",BaleMover[[#This Row],[MRF_ID]]="05"),0,IFERROR(BaleMover[[#This Row],[Total_Baled_tons]]*(IF(BaleMover[[#This Row],[Scenario_ID]]="S0",-2,0)+INDEX(BalePrices[Mid-Point],MATCH(BaleMover[[#This Row],[Bale_ID]],BalePrices[Bale_ID],0))),0))</f>
        <v>0</v>
      </c>
      <c r="Y654" s="397">
        <f>IF(AND(BaleMover[[#This Row],[Scenario_ID]]="S3",BaleMover[[#This Row],[MRF_ID]]="05"),0,IFERROR(BaleMover[[#This Row],[Total_Baled_tons]]*(IF(BaleMover[[#This Row],[Scenario_ID]]="S0",-2,0)+INDEX(BalePrices[High],MATCH(BaleMover[[#This Row],[Bale_ID]],BalePrices[Bale_ID],0))),0))</f>
        <v>0</v>
      </c>
    </row>
    <row r="655" spans="2:25" x14ac:dyDescent="0.2">
      <c r="B655" s="499" t="s">
        <v>873</v>
      </c>
      <c r="C655" s="499" t="s">
        <v>719</v>
      </c>
      <c r="D655" s="499"/>
      <c r="E655" s="499"/>
      <c r="F655" s="499" t="s">
        <v>1994</v>
      </c>
      <c r="G655" s="499" t="s">
        <v>2093</v>
      </c>
      <c r="H655" s="499" t="s">
        <v>1821</v>
      </c>
      <c r="I655" s="499" t="s">
        <v>1847</v>
      </c>
      <c r="J655" s="499" t="s">
        <v>1894</v>
      </c>
      <c r="K655" s="499" t="s">
        <v>2076</v>
      </c>
      <c r="L655" s="499">
        <v>9</v>
      </c>
      <c r="M655" s="499" t="s">
        <v>2134</v>
      </c>
      <c r="N655" s="499" t="s">
        <v>2133</v>
      </c>
      <c r="O655" s="525">
        <v>2701.0543722573448</v>
      </c>
      <c r="P655" s="499">
        <v>305</v>
      </c>
      <c r="Q655" s="499"/>
      <c r="R655" s="499"/>
      <c r="S655" s="525"/>
      <c r="T655" s="525">
        <v>0</v>
      </c>
      <c r="U655" s="525">
        <v>1</v>
      </c>
      <c r="V655" s="525">
        <v>823821.58353849011</v>
      </c>
      <c r="W655" s="589">
        <f>IF(AND(BaleMover[[#This Row],[Scenario_ID]]="S3",BaleMover[[#This Row],[MRF_ID]]="05"),0,IFERROR(BaleMover[[#This Row],[Total_Baled_tons]]*(IF(BaleMover[[#This Row],[Scenario_ID]]="S0",-2,0)+INDEX(BalePrices[Low],MATCH(BaleMover[[#This Row],[Bale_ID]],BalePrices[Bale_ID],0))),0))</f>
        <v>27010.543722573449</v>
      </c>
      <c r="X655" s="397">
        <f>IF(AND(BaleMover[[#This Row],[Scenario_ID]]="S3",BaleMover[[#This Row],[MRF_ID]]="05"),0,IFERROR(BaleMover[[#This Row],[Total_Baled_tons]]*(IF(BaleMover[[#This Row],[Scenario_ID]]="S0",-2,0)+INDEX(BalePrices[Mid-Point],MATCH(BaleMover[[#This Row],[Bale_ID]],BalePrices[Bale_ID],0))),0))</f>
        <v>148557.99047415395</v>
      </c>
      <c r="Y655" s="397">
        <f>IF(AND(BaleMover[[#This Row],[Scenario_ID]]="S3",BaleMover[[#This Row],[MRF_ID]]="05"),0,IFERROR(BaleMover[[#This Row],[Total_Baled_tons]]*(IF(BaleMover[[#This Row],[Scenario_ID]]="S0",-2,0)+INDEX(BalePrices[High],MATCH(BaleMover[[#This Row],[Bale_ID]],BalePrices[Bale_ID],0))),0))</f>
        <v>270105.43722573447</v>
      </c>
    </row>
    <row r="656" spans="2:25" x14ac:dyDescent="0.2">
      <c r="B656" s="499" t="s">
        <v>874</v>
      </c>
      <c r="C656" s="499" t="s">
        <v>754</v>
      </c>
      <c r="D656" s="499"/>
      <c r="E656" s="499"/>
      <c r="F656" s="499" t="s">
        <v>1999</v>
      </c>
      <c r="G656" s="499" t="s">
        <v>2120</v>
      </c>
      <c r="H656" s="499" t="s">
        <v>1822</v>
      </c>
      <c r="I656" s="499" t="s">
        <v>1847</v>
      </c>
      <c r="J656" s="499" t="s">
        <v>1894</v>
      </c>
      <c r="K656" s="499" t="s">
        <v>2048</v>
      </c>
      <c r="L656" s="499">
        <v>1</v>
      </c>
      <c r="M656" s="499" t="s">
        <v>2065</v>
      </c>
      <c r="N656" s="499" t="s">
        <v>2066</v>
      </c>
      <c r="O656" s="525">
        <v>0</v>
      </c>
      <c r="P656" s="499" t="s">
        <v>2054</v>
      </c>
      <c r="Q656" s="499"/>
      <c r="R656" s="499"/>
      <c r="S656" s="525"/>
      <c r="T656" s="525">
        <v>0</v>
      </c>
      <c r="U656" s="525">
        <v>1</v>
      </c>
      <c r="V656" s="525" t="s">
        <v>2054</v>
      </c>
      <c r="W656" s="589">
        <f>IF(AND(BaleMover[[#This Row],[Scenario_ID]]="S3",BaleMover[[#This Row],[MRF_ID]]="05"),0,IFERROR(BaleMover[[#This Row],[Total_Baled_tons]]*(IF(BaleMover[[#This Row],[Scenario_ID]]="S0",-2,0)+INDEX(BalePrices[Low],MATCH(BaleMover[[#This Row],[Bale_ID]],BalePrices[Bale_ID],0))),0))</f>
        <v>0</v>
      </c>
      <c r="X656" s="397">
        <f>IF(AND(BaleMover[[#This Row],[Scenario_ID]]="S3",BaleMover[[#This Row],[MRF_ID]]="05"),0,IFERROR(BaleMover[[#This Row],[Total_Baled_tons]]*(IF(BaleMover[[#This Row],[Scenario_ID]]="S0",-2,0)+INDEX(BalePrices[Mid-Point],MATCH(BaleMover[[#This Row],[Bale_ID]],BalePrices[Bale_ID],0))),0))</f>
        <v>0</v>
      </c>
      <c r="Y656" s="397">
        <f>IF(AND(BaleMover[[#This Row],[Scenario_ID]]="S3",BaleMover[[#This Row],[MRF_ID]]="05"),0,IFERROR(BaleMover[[#This Row],[Total_Baled_tons]]*(IF(BaleMover[[#This Row],[Scenario_ID]]="S0",-2,0)+INDEX(BalePrices[High],MATCH(BaleMover[[#This Row],[Bale_ID]],BalePrices[Bale_ID],0))),0))</f>
        <v>0</v>
      </c>
    </row>
    <row r="657" spans="2:25" x14ac:dyDescent="0.2">
      <c r="B657" s="499" t="s">
        <v>873</v>
      </c>
      <c r="C657" s="499" t="s">
        <v>754</v>
      </c>
      <c r="D657" s="499"/>
      <c r="E657" s="499"/>
      <c r="F657" s="499" t="s">
        <v>1999</v>
      </c>
      <c r="G657" s="499" t="s">
        <v>2121</v>
      </c>
      <c r="H657" s="499" t="s">
        <v>1823</v>
      </c>
      <c r="I657" s="499" t="s">
        <v>1847</v>
      </c>
      <c r="J657" s="499" t="s">
        <v>1894</v>
      </c>
      <c r="K657" s="499" t="s">
        <v>2048</v>
      </c>
      <c r="L657" s="499">
        <v>9</v>
      </c>
      <c r="M657" s="499" t="s">
        <v>2132</v>
      </c>
      <c r="N657" s="499" t="s">
        <v>2133</v>
      </c>
      <c r="O657" s="525">
        <v>0</v>
      </c>
      <c r="P657" s="499" t="s">
        <v>2054</v>
      </c>
      <c r="Q657" s="499"/>
      <c r="R657" s="499"/>
      <c r="S657" s="525"/>
      <c r="T657" s="525">
        <v>0</v>
      </c>
      <c r="U657" s="525">
        <v>1</v>
      </c>
      <c r="V657" s="525" t="s">
        <v>2054</v>
      </c>
      <c r="W657" s="589">
        <f>IF(AND(BaleMover[[#This Row],[Scenario_ID]]="S3",BaleMover[[#This Row],[MRF_ID]]="05"),0,IFERROR(BaleMover[[#This Row],[Total_Baled_tons]]*(IF(BaleMover[[#This Row],[Scenario_ID]]="S0",-2,0)+INDEX(BalePrices[Low],MATCH(BaleMover[[#This Row],[Bale_ID]],BalePrices[Bale_ID],0))),0))</f>
        <v>0</v>
      </c>
      <c r="X657" s="397">
        <f>IF(AND(BaleMover[[#This Row],[Scenario_ID]]="S3",BaleMover[[#This Row],[MRF_ID]]="05"),0,IFERROR(BaleMover[[#This Row],[Total_Baled_tons]]*(IF(BaleMover[[#This Row],[Scenario_ID]]="S0",-2,0)+INDEX(BalePrices[Mid-Point],MATCH(BaleMover[[#This Row],[Bale_ID]],BalePrices[Bale_ID],0))),0))</f>
        <v>0</v>
      </c>
      <c r="Y657" s="397">
        <f>IF(AND(BaleMover[[#This Row],[Scenario_ID]]="S3",BaleMover[[#This Row],[MRF_ID]]="05"),0,IFERROR(BaleMover[[#This Row],[Total_Baled_tons]]*(IF(BaleMover[[#This Row],[Scenario_ID]]="S0",-2,0)+INDEX(BalePrices[High],MATCH(BaleMover[[#This Row],[Bale_ID]],BalePrices[Bale_ID],0))),0))</f>
        <v>0</v>
      </c>
    </row>
    <row r="658" spans="2:25" x14ac:dyDescent="0.2">
      <c r="B658" s="499" t="s">
        <v>876</v>
      </c>
      <c r="C658" s="499" t="s">
        <v>706</v>
      </c>
      <c r="D658" s="499"/>
      <c r="E658" s="499"/>
      <c r="F658" s="499" t="s">
        <v>1992</v>
      </c>
      <c r="G658" s="499" t="s">
        <v>2047</v>
      </c>
      <c r="H658" s="499" t="s">
        <v>1824</v>
      </c>
      <c r="I658" s="499" t="s">
        <v>1848</v>
      </c>
      <c r="J658" s="499" t="s">
        <v>1849</v>
      </c>
      <c r="K658" s="499" t="s">
        <v>2048</v>
      </c>
      <c r="L658" s="499">
        <v>1</v>
      </c>
      <c r="M658" s="499" t="s">
        <v>2065</v>
      </c>
      <c r="N658" s="499" t="s">
        <v>2066</v>
      </c>
      <c r="O658" s="525">
        <v>0</v>
      </c>
      <c r="P658" s="499" t="s">
        <v>2054</v>
      </c>
      <c r="Q658" s="499"/>
      <c r="R658" s="499"/>
      <c r="S658" s="525"/>
      <c r="T658" s="525">
        <v>0</v>
      </c>
      <c r="U658" s="525">
        <v>1</v>
      </c>
      <c r="V658" s="525" t="s">
        <v>2054</v>
      </c>
      <c r="W658" s="589">
        <f>IF(AND(BaleMover[[#This Row],[Scenario_ID]]="S3",BaleMover[[#This Row],[MRF_ID]]="05"),0,IFERROR(BaleMover[[#This Row],[Total_Baled_tons]]*(IF(BaleMover[[#This Row],[Scenario_ID]]="S0",-2,0)+INDEX(BalePrices[Low],MATCH(BaleMover[[#This Row],[Bale_ID]],BalePrices[Bale_ID],0))),0))</f>
        <v>0</v>
      </c>
      <c r="X658" s="397">
        <f>IF(AND(BaleMover[[#This Row],[Scenario_ID]]="S3",BaleMover[[#This Row],[MRF_ID]]="05"),0,IFERROR(BaleMover[[#This Row],[Total_Baled_tons]]*(IF(BaleMover[[#This Row],[Scenario_ID]]="S0",-2,0)+INDEX(BalePrices[Mid-Point],MATCH(BaleMover[[#This Row],[Bale_ID]],BalePrices[Bale_ID],0))),0))</f>
        <v>0</v>
      </c>
      <c r="Y658" s="397">
        <f>IF(AND(BaleMover[[#This Row],[Scenario_ID]]="S3",BaleMover[[#This Row],[MRF_ID]]="05"),0,IFERROR(BaleMover[[#This Row],[Total_Baled_tons]]*(IF(BaleMover[[#This Row],[Scenario_ID]]="S0",-2,0)+INDEX(BalePrices[High],MATCH(BaleMover[[#This Row],[Bale_ID]],BalePrices[Bale_ID],0))),0))</f>
        <v>0</v>
      </c>
    </row>
    <row r="659" spans="2:25" x14ac:dyDescent="0.2">
      <c r="B659" s="499" t="s">
        <v>875</v>
      </c>
      <c r="C659" s="499" t="s">
        <v>706</v>
      </c>
      <c r="D659" s="499"/>
      <c r="E659" s="499"/>
      <c r="F659" s="499" t="s">
        <v>1992</v>
      </c>
      <c r="G659" s="499" t="s">
        <v>2051</v>
      </c>
      <c r="H659" s="499" t="s">
        <v>1825</v>
      </c>
      <c r="I659" s="499" t="s">
        <v>1848</v>
      </c>
      <c r="J659" s="499" t="s">
        <v>1849</v>
      </c>
      <c r="K659" s="499" t="s">
        <v>2048</v>
      </c>
      <c r="L659" s="499">
        <v>1</v>
      </c>
      <c r="M659" s="499" t="s">
        <v>2065</v>
      </c>
      <c r="N659" s="499" t="s">
        <v>2066</v>
      </c>
      <c r="O659" s="525">
        <v>0</v>
      </c>
      <c r="P659" s="499" t="s">
        <v>2054</v>
      </c>
      <c r="Q659" s="499"/>
      <c r="R659" s="499"/>
      <c r="S659" s="525"/>
      <c r="T659" s="525">
        <v>0</v>
      </c>
      <c r="U659" s="525">
        <v>1</v>
      </c>
      <c r="V659" s="525" t="s">
        <v>2054</v>
      </c>
      <c r="W659" s="589">
        <f>IF(AND(BaleMover[[#This Row],[Scenario_ID]]="S3",BaleMover[[#This Row],[MRF_ID]]="05"),0,IFERROR(BaleMover[[#This Row],[Total_Baled_tons]]*(IF(BaleMover[[#This Row],[Scenario_ID]]="S0",-2,0)+INDEX(BalePrices[Low],MATCH(BaleMover[[#This Row],[Bale_ID]],BalePrices[Bale_ID],0))),0))</f>
        <v>0</v>
      </c>
      <c r="X659" s="397">
        <f>IF(AND(BaleMover[[#This Row],[Scenario_ID]]="S3",BaleMover[[#This Row],[MRF_ID]]="05"),0,IFERROR(BaleMover[[#This Row],[Total_Baled_tons]]*(IF(BaleMover[[#This Row],[Scenario_ID]]="S0",-2,0)+INDEX(BalePrices[Mid-Point],MATCH(BaleMover[[#This Row],[Bale_ID]],BalePrices[Bale_ID],0))),0))</f>
        <v>0</v>
      </c>
      <c r="Y659" s="397">
        <f>IF(AND(BaleMover[[#This Row],[Scenario_ID]]="S3",BaleMover[[#This Row],[MRF_ID]]="05"),0,IFERROR(BaleMover[[#This Row],[Total_Baled_tons]]*(IF(BaleMover[[#This Row],[Scenario_ID]]="S0",-2,0)+INDEX(BalePrices[High],MATCH(BaleMover[[#This Row],[Bale_ID]],BalePrices[Bale_ID],0))),0))</f>
        <v>0</v>
      </c>
    </row>
    <row r="660" spans="2:25" x14ac:dyDescent="0.2">
      <c r="B660" s="499" t="s">
        <v>874</v>
      </c>
      <c r="C660" s="499" t="s">
        <v>706</v>
      </c>
      <c r="D660" s="499"/>
      <c r="E660" s="499"/>
      <c r="F660" s="499" t="s">
        <v>1992</v>
      </c>
      <c r="G660" s="499" t="s">
        <v>2052</v>
      </c>
      <c r="H660" s="499" t="s">
        <v>1826</v>
      </c>
      <c r="I660" s="499" t="s">
        <v>1848</v>
      </c>
      <c r="J660" s="499" t="s">
        <v>1849</v>
      </c>
      <c r="K660" s="499" t="s">
        <v>2048</v>
      </c>
      <c r="L660" s="499">
        <v>1</v>
      </c>
      <c r="M660" s="499" t="s">
        <v>2065</v>
      </c>
      <c r="N660" s="499" t="s">
        <v>2066</v>
      </c>
      <c r="O660" s="525">
        <v>0</v>
      </c>
      <c r="P660" s="499" t="s">
        <v>2054</v>
      </c>
      <c r="Q660" s="499"/>
      <c r="R660" s="499"/>
      <c r="S660" s="525"/>
      <c r="T660" s="525">
        <v>0</v>
      </c>
      <c r="U660" s="525">
        <v>1</v>
      </c>
      <c r="V660" s="525" t="s">
        <v>2054</v>
      </c>
      <c r="W660" s="589">
        <f>IF(AND(BaleMover[[#This Row],[Scenario_ID]]="S3",BaleMover[[#This Row],[MRF_ID]]="05"),0,IFERROR(BaleMover[[#This Row],[Total_Baled_tons]]*(IF(BaleMover[[#This Row],[Scenario_ID]]="S0",-2,0)+INDEX(BalePrices[Low],MATCH(BaleMover[[#This Row],[Bale_ID]],BalePrices[Bale_ID],0))),0))</f>
        <v>0</v>
      </c>
      <c r="X660" s="397">
        <f>IF(AND(BaleMover[[#This Row],[Scenario_ID]]="S3",BaleMover[[#This Row],[MRF_ID]]="05"),0,IFERROR(BaleMover[[#This Row],[Total_Baled_tons]]*(IF(BaleMover[[#This Row],[Scenario_ID]]="S0",-2,0)+INDEX(BalePrices[Mid-Point],MATCH(BaleMover[[#This Row],[Bale_ID]],BalePrices[Bale_ID],0))),0))</f>
        <v>0</v>
      </c>
      <c r="Y660" s="397">
        <f>IF(AND(BaleMover[[#This Row],[Scenario_ID]]="S3",BaleMover[[#This Row],[MRF_ID]]="05"),0,IFERROR(BaleMover[[#This Row],[Total_Baled_tons]]*(IF(BaleMover[[#This Row],[Scenario_ID]]="S0",-2,0)+INDEX(BalePrices[High],MATCH(BaleMover[[#This Row],[Bale_ID]],BalePrices[Bale_ID],0))),0))</f>
        <v>0</v>
      </c>
    </row>
    <row r="661" spans="2:25" x14ac:dyDescent="0.2">
      <c r="B661" s="499" t="s">
        <v>873</v>
      </c>
      <c r="C661" s="499" t="s">
        <v>706</v>
      </c>
      <c r="D661" s="499"/>
      <c r="E661" s="499"/>
      <c r="F661" s="499" t="s">
        <v>1992</v>
      </c>
      <c r="G661" s="499" t="s">
        <v>2053</v>
      </c>
      <c r="H661" s="499" t="s">
        <v>1827</v>
      </c>
      <c r="I661" s="499" t="s">
        <v>1848</v>
      </c>
      <c r="J661" s="499" t="s">
        <v>1849</v>
      </c>
      <c r="K661" s="499" t="s">
        <v>2048</v>
      </c>
      <c r="L661" s="499">
        <v>1</v>
      </c>
      <c r="M661" s="499" t="s">
        <v>2065</v>
      </c>
      <c r="N661" s="499" t="s">
        <v>2066</v>
      </c>
      <c r="O661" s="525">
        <v>0</v>
      </c>
      <c r="P661" s="499" t="s">
        <v>2054</v>
      </c>
      <c r="Q661" s="499"/>
      <c r="R661" s="499"/>
      <c r="S661" s="525"/>
      <c r="T661" s="525">
        <v>0</v>
      </c>
      <c r="U661" s="525">
        <v>1</v>
      </c>
      <c r="V661" s="525" t="s">
        <v>2054</v>
      </c>
      <c r="W661" s="589">
        <f>IF(AND(BaleMover[[#This Row],[Scenario_ID]]="S3",BaleMover[[#This Row],[MRF_ID]]="05"),0,IFERROR(BaleMover[[#This Row],[Total_Baled_tons]]*(IF(BaleMover[[#This Row],[Scenario_ID]]="S0",-2,0)+INDEX(BalePrices[Low],MATCH(BaleMover[[#This Row],[Bale_ID]],BalePrices[Bale_ID],0))),0))</f>
        <v>0</v>
      </c>
      <c r="X661" s="397">
        <f>IF(AND(BaleMover[[#This Row],[Scenario_ID]]="S3",BaleMover[[#This Row],[MRF_ID]]="05"),0,IFERROR(BaleMover[[#This Row],[Total_Baled_tons]]*(IF(BaleMover[[#This Row],[Scenario_ID]]="S0",-2,0)+INDEX(BalePrices[Mid-Point],MATCH(BaleMover[[#This Row],[Bale_ID]],BalePrices[Bale_ID],0))),0))</f>
        <v>0</v>
      </c>
      <c r="Y661" s="397">
        <f>IF(AND(BaleMover[[#This Row],[Scenario_ID]]="S3",BaleMover[[#This Row],[MRF_ID]]="05"),0,IFERROR(BaleMover[[#This Row],[Total_Baled_tons]]*(IF(BaleMover[[#This Row],[Scenario_ID]]="S0",-2,0)+INDEX(BalePrices[High],MATCH(BaleMover[[#This Row],[Bale_ID]],BalePrices[Bale_ID],0))),0))</f>
        <v>0</v>
      </c>
    </row>
    <row r="662" spans="2:25" x14ac:dyDescent="0.2">
      <c r="B662" s="499" t="s">
        <v>876</v>
      </c>
      <c r="C662" s="499" t="s">
        <v>712</v>
      </c>
      <c r="D662" s="499"/>
      <c r="E662" s="499"/>
      <c r="F662" s="499" t="s">
        <v>1993</v>
      </c>
      <c r="G662" s="499" t="s">
        <v>2075</v>
      </c>
      <c r="H662" s="499" t="s">
        <v>1828</v>
      </c>
      <c r="I662" s="499" t="s">
        <v>1848</v>
      </c>
      <c r="J662" s="499" t="s">
        <v>1849</v>
      </c>
      <c r="K662" s="499" t="s">
        <v>2076</v>
      </c>
      <c r="L662" s="499">
        <v>1</v>
      </c>
      <c r="M662" s="499" t="s">
        <v>2086</v>
      </c>
      <c r="N662" s="499" t="s">
        <v>2066</v>
      </c>
      <c r="O662" s="525">
        <v>0</v>
      </c>
      <c r="P662" s="499" t="s">
        <v>2054</v>
      </c>
      <c r="Q662" s="499"/>
      <c r="R662" s="499"/>
      <c r="S662" s="525"/>
      <c r="T662" s="525">
        <v>0</v>
      </c>
      <c r="U662" s="525">
        <v>1</v>
      </c>
      <c r="V662" s="525" t="s">
        <v>2054</v>
      </c>
      <c r="W662" s="589">
        <f>IF(AND(BaleMover[[#This Row],[Scenario_ID]]="S3",BaleMover[[#This Row],[MRF_ID]]="05"),0,IFERROR(BaleMover[[#This Row],[Total_Baled_tons]]*(IF(BaleMover[[#This Row],[Scenario_ID]]="S0",-2,0)+INDEX(BalePrices[Low],MATCH(BaleMover[[#This Row],[Bale_ID]],BalePrices[Bale_ID],0))),0))</f>
        <v>0</v>
      </c>
      <c r="X662" s="397">
        <f>IF(AND(BaleMover[[#This Row],[Scenario_ID]]="S3",BaleMover[[#This Row],[MRF_ID]]="05"),0,IFERROR(BaleMover[[#This Row],[Total_Baled_tons]]*(IF(BaleMover[[#This Row],[Scenario_ID]]="S0",-2,0)+INDEX(BalePrices[Mid-Point],MATCH(BaleMover[[#This Row],[Bale_ID]],BalePrices[Bale_ID],0))),0))</f>
        <v>0</v>
      </c>
      <c r="Y662" s="397">
        <f>IF(AND(BaleMover[[#This Row],[Scenario_ID]]="S3",BaleMover[[#This Row],[MRF_ID]]="05"),0,IFERROR(BaleMover[[#This Row],[Total_Baled_tons]]*(IF(BaleMover[[#This Row],[Scenario_ID]]="S0",-2,0)+INDEX(BalePrices[High],MATCH(BaleMover[[#This Row],[Bale_ID]],BalePrices[Bale_ID],0))),0))</f>
        <v>0</v>
      </c>
    </row>
    <row r="663" spans="2:25" x14ac:dyDescent="0.2">
      <c r="B663" s="499" t="s">
        <v>875</v>
      </c>
      <c r="C663" s="499" t="s">
        <v>712</v>
      </c>
      <c r="D663" s="499"/>
      <c r="E663" s="499"/>
      <c r="F663" s="499" t="s">
        <v>1993</v>
      </c>
      <c r="G663" s="499" t="s">
        <v>2078</v>
      </c>
      <c r="H663" s="499" t="s">
        <v>1829</v>
      </c>
      <c r="I663" s="499" t="s">
        <v>1848</v>
      </c>
      <c r="J663" s="499" t="s">
        <v>1849</v>
      </c>
      <c r="K663" s="499" t="s">
        <v>2076</v>
      </c>
      <c r="L663" s="499">
        <v>1</v>
      </c>
      <c r="M663" s="499" t="s">
        <v>2086</v>
      </c>
      <c r="N663" s="499" t="s">
        <v>2066</v>
      </c>
      <c r="O663" s="525">
        <v>0</v>
      </c>
      <c r="P663" s="499" t="s">
        <v>2054</v>
      </c>
      <c r="Q663" s="499"/>
      <c r="R663" s="499"/>
      <c r="S663" s="525"/>
      <c r="T663" s="525">
        <v>0</v>
      </c>
      <c r="U663" s="525">
        <v>1</v>
      </c>
      <c r="V663" s="525" t="s">
        <v>2054</v>
      </c>
      <c r="W663" s="589">
        <f>IF(AND(BaleMover[[#This Row],[Scenario_ID]]="S3",BaleMover[[#This Row],[MRF_ID]]="05"),0,IFERROR(BaleMover[[#This Row],[Total_Baled_tons]]*(IF(BaleMover[[#This Row],[Scenario_ID]]="S0",-2,0)+INDEX(BalePrices[Low],MATCH(BaleMover[[#This Row],[Bale_ID]],BalePrices[Bale_ID],0))),0))</f>
        <v>0</v>
      </c>
      <c r="X663" s="397">
        <f>IF(AND(BaleMover[[#This Row],[Scenario_ID]]="S3",BaleMover[[#This Row],[MRF_ID]]="05"),0,IFERROR(BaleMover[[#This Row],[Total_Baled_tons]]*(IF(BaleMover[[#This Row],[Scenario_ID]]="S0",-2,0)+INDEX(BalePrices[Mid-Point],MATCH(BaleMover[[#This Row],[Bale_ID]],BalePrices[Bale_ID],0))),0))</f>
        <v>0</v>
      </c>
      <c r="Y663" s="397">
        <f>IF(AND(BaleMover[[#This Row],[Scenario_ID]]="S3",BaleMover[[#This Row],[MRF_ID]]="05"),0,IFERROR(BaleMover[[#This Row],[Total_Baled_tons]]*(IF(BaleMover[[#This Row],[Scenario_ID]]="S0",-2,0)+INDEX(BalePrices[High],MATCH(BaleMover[[#This Row],[Bale_ID]],BalePrices[Bale_ID],0))),0))</f>
        <v>0</v>
      </c>
    </row>
    <row r="664" spans="2:25" x14ac:dyDescent="0.2">
      <c r="B664" s="499" t="s">
        <v>874</v>
      </c>
      <c r="C664" s="499" t="s">
        <v>712</v>
      </c>
      <c r="D664" s="499"/>
      <c r="E664" s="499"/>
      <c r="F664" s="499" t="s">
        <v>1993</v>
      </c>
      <c r="G664" s="499" t="s">
        <v>2079</v>
      </c>
      <c r="H664" s="499" t="s">
        <v>1830</v>
      </c>
      <c r="I664" s="499" t="s">
        <v>1848</v>
      </c>
      <c r="J664" s="499" t="s">
        <v>1849</v>
      </c>
      <c r="K664" s="499" t="s">
        <v>2076</v>
      </c>
      <c r="L664" s="499">
        <v>1</v>
      </c>
      <c r="M664" s="499" t="s">
        <v>2086</v>
      </c>
      <c r="N664" s="499" t="s">
        <v>2066</v>
      </c>
      <c r="O664" s="525">
        <v>0</v>
      </c>
      <c r="P664" s="499" t="s">
        <v>2054</v>
      </c>
      <c r="Q664" s="499"/>
      <c r="R664" s="499"/>
      <c r="S664" s="525"/>
      <c r="T664" s="525">
        <v>0</v>
      </c>
      <c r="U664" s="525">
        <v>1</v>
      </c>
      <c r="V664" s="525" t="s">
        <v>2054</v>
      </c>
      <c r="W664" s="589">
        <f>IF(AND(BaleMover[[#This Row],[Scenario_ID]]="S3",BaleMover[[#This Row],[MRF_ID]]="05"),0,IFERROR(BaleMover[[#This Row],[Total_Baled_tons]]*(IF(BaleMover[[#This Row],[Scenario_ID]]="S0",-2,0)+INDEX(BalePrices[Low],MATCH(BaleMover[[#This Row],[Bale_ID]],BalePrices[Bale_ID],0))),0))</f>
        <v>0</v>
      </c>
      <c r="X664" s="397">
        <f>IF(AND(BaleMover[[#This Row],[Scenario_ID]]="S3",BaleMover[[#This Row],[MRF_ID]]="05"),0,IFERROR(BaleMover[[#This Row],[Total_Baled_tons]]*(IF(BaleMover[[#This Row],[Scenario_ID]]="S0",-2,0)+INDEX(BalePrices[Mid-Point],MATCH(BaleMover[[#This Row],[Bale_ID]],BalePrices[Bale_ID],0))),0))</f>
        <v>0</v>
      </c>
      <c r="Y664" s="397">
        <f>IF(AND(BaleMover[[#This Row],[Scenario_ID]]="S3",BaleMover[[#This Row],[MRF_ID]]="05"),0,IFERROR(BaleMover[[#This Row],[Total_Baled_tons]]*(IF(BaleMover[[#This Row],[Scenario_ID]]="S0",-2,0)+INDEX(BalePrices[High],MATCH(BaleMover[[#This Row],[Bale_ID]],BalePrices[Bale_ID],0))),0))</f>
        <v>0</v>
      </c>
    </row>
    <row r="665" spans="2:25" x14ac:dyDescent="0.2">
      <c r="B665" s="499" t="s">
        <v>873</v>
      </c>
      <c r="C665" s="499" t="s">
        <v>712</v>
      </c>
      <c r="D665" s="499"/>
      <c r="E665" s="499"/>
      <c r="F665" s="499" t="s">
        <v>1993</v>
      </c>
      <c r="G665" s="499" t="s">
        <v>2080</v>
      </c>
      <c r="H665" s="499" t="s">
        <v>1831</v>
      </c>
      <c r="I665" s="499" t="s">
        <v>1848</v>
      </c>
      <c r="J665" s="499" t="s">
        <v>1849</v>
      </c>
      <c r="K665" s="499" t="s">
        <v>2076</v>
      </c>
      <c r="L665" s="499">
        <v>1</v>
      </c>
      <c r="M665" s="499" t="s">
        <v>2086</v>
      </c>
      <c r="N665" s="499" t="s">
        <v>2066</v>
      </c>
      <c r="O665" s="525">
        <v>0</v>
      </c>
      <c r="P665" s="499" t="s">
        <v>2054</v>
      </c>
      <c r="Q665" s="499"/>
      <c r="R665" s="499"/>
      <c r="S665" s="525"/>
      <c r="T665" s="525">
        <v>0</v>
      </c>
      <c r="U665" s="525">
        <v>1</v>
      </c>
      <c r="V665" s="525" t="s">
        <v>2054</v>
      </c>
      <c r="W665" s="589">
        <f>IF(AND(BaleMover[[#This Row],[Scenario_ID]]="S3",BaleMover[[#This Row],[MRF_ID]]="05"),0,IFERROR(BaleMover[[#This Row],[Total_Baled_tons]]*(IF(BaleMover[[#This Row],[Scenario_ID]]="S0",-2,0)+INDEX(BalePrices[Low],MATCH(BaleMover[[#This Row],[Bale_ID]],BalePrices[Bale_ID],0))),0))</f>
        <v>0</v>
      </c>
      <c r="X665" s="397">
        <f>IF(AND(BaleMover[[#This Row],[Scenario_ID]]="S3",BaleMover[[#This Row],[MRF_ID]]="05"),0,IFERROR(BaleMover[[#This Row],[Total_Baled_tons]]*(IF(BaleMover[[#This Row],[Scenario_ID]]="S0",-2,0)+INDEX(BalePrices[Mid-Point],MATCH(BaleMover[[#This Row],[Bale_ID]],BalePrices[Bale_ID],0))),0))</f>
        <v>0</v>
      </c>
      <c r="Y665" s="397">
        <f>IF(AND(BaleMover[[#This Row],[Scenario_ID]]="S3",BaleMover[[#This Row],[MRF_ID]]="05"),0,IFERROR(BaleMover[[#This Row],[Total_Baled_tons]]*(IF(BaleMover[[#This Row],[Scenario_ID]]="S0",-2,0)+INDEX(BalePrices[High],MATCH(BaleMover[[#This Row],[Bale_ID]],BalePrices[Bale_ID],0))),0))</f>
        <v>0</v>
      </c>
    </row>
    <row r="666" spans="2:25" x14ac:dyDescent="0.2">
      <c r="B666" s="499" t="s">
        <v>876</v>
      </c>
      <c r="C666" s="499" t="s">
        <v>719</v>
      </c>
      <c r="D666" s="499"/>
      <c r="E666" s="499"/>
      <c r="F666" s="499" t="s">
        <v>1994</v>
      </c>
      <c r="G666" s="499" t="s">
        <v>2090</v>
      </c>
      <c r="H666" s="499" t="s">
        <v>1832</v>
      </c>
      <c r="I666" s="499" t="s">
        <v>1848</v>
      </c>
      <c r="J666" s="499" t="s">
        <v>1849</v>
      </c>
      <c r="K666" s="499" t="s">
        <v>2076</v>
      </c>
      <c r="L666" s="499">
        <v>1</v>
      </c>
      <c r="M666" s="499" t="s">
        <v>2086</v>
      </c>
      <c r="N666" s="499" t="s">
        <v>2066</v>
      </c>
      <c r="O666" s="525">
        <v>22823.288497576581</v>
      </c>
      <c r="P666" s="499">
        <v>20</v>
      </c>
      <c r="Q666" s="499"/>
      <c r="R666" s="499"/>
      <c r="S666" s="525"/>
      <c r="T666" s="525">
        <v>0</v>
      </c>
      <c r="U666" s="525">
        <v>1</v>
      </c>
      <c r="V666" s="525">
        <v>456465.76995153161</v>
      </c>
      <c r="W666" s="589">
        <f>IF(AND(BaleMover[[#This Row],[Scenario_ID]]="S3",BaleMover[[#This Row],[MRF_ID]]="05"),0,IFERROR(BaleMover[[#This Row],[Total_Baled_tons]]*(IF(BaleMover[[#This Row],[Scenario_ID]]="S0",-2,0)+INDEX(BalePrices[Low],MATCH(BaleMover[[#This Row],[Bale_ID]],BalePrices[Bale_ID],0))),0))</f>
        <v>0</v>
      </c>
      <c r="X666" s="397">
        <f>IF(AND(BaleMover[[#This Row],[Scenario_ID]]="S3",BaleMover[[#This Row],[MRF_ID]]="05"),0,IFERROR(BaleMover[[#This Row],[Total_Baled_tons]]*(IF(BaleMover[[#This Row],[Scenario_ID]]="S0",-2,0)+INDEX(BalePrices[Mid-Point],MATCH(BaleMover[[#This Row],[Bale_ID]],BalePrices[Bale_ID],0))),0))</f>
        <v>0</v>
      </c>
      <c r="Y666" s="397">
        <f>IF(AND(BaleMover[[#This Row],[Scenario_ID]]="S3",BaleMover[[#This Row],[MRF_ID]]="05"),0,IFERROR(BaleMover[[#This Row],[Total_Baled_tons]]*(IF(BaleMover[[#This Row],[Scenario_ID]]="S0",-2,0)+INDEX(BalePrices[High],MATCH(BaleMover[[#This Row],[Bale_ID]],BalePrices[Bale_ID],0))),0))</f>
        <v>0</v>
      </c>
    </row>
    <row r="667" spans="2:25" x14ac:dyDescent="0.2">
      <c r="B667" s="499" t="s">
        <v>875</v>
      </c>
      <c r="C667" s="499" t="s">
        <v>719</v>
      </c>
      <c r="D667" s="499"/>
      <c r="E667" s="499"/>
      <c r="F667" s="499" t="s">
        <v>1994</v>
      </c>
      <c r="G667" s="499" t="s">
        <v>2091</v>
      </c>
      <c r="H667" s="499" t="s">
        <v>1833</v>
      </c>
      <c r="I667" s="499" t="s">
        <v>1848</v>
      </c>
      <c r="J667" s="499" t="s">
        <v>1849</v>
      </c>
      <c r="K667" s="499" t="s">
        <v>2076</v>
      </c>
      <c r="L667" s="499">
        <v>1</v>
      </c>
      <c r="M667" s="499" t="s">
        <v>2086</v>
      </c>
      <c r="N667" s="499" t="s">
        <v>2066</v>
      </c>
      <c r="O667" s="525">
        <v>22823.288497576581</v>
      </c>
      <c r="P667" s="499">
        <v>20</v>
      </c>
      <c r="Q667" s="499"/>
      <c r="R667" s="499"/>
      <c r="S667" s="525"/>
      <c r="T667" s="525">
        <v>0</v>
      </c>
      <c r="U667" s="525">
        <v>1</v>
      </c>
      <c r="V667" s="525">
        <v>456465.76995153161</v>
      </c>
      <c r="W667" s="589">
        <f>IF(AND(BaleMover[[#This Row],[Scenario_ID]]="S3",BaleMover[[#This Row],[MRF_ID]]="05"),0,IFERROR(BaleMover[[#This Row],[Total_Baled_tons]]*(IF(BaleMover[[#This Row],[Scenario_ID]]="S0",-2,0)+INDEX(BalePrices[Low],MATCH(BaleMover[[#This Row],[Bale_ID]],BalePrices[Bale_ID],0))),0))</f>
        <v>0</v>
      </c>
      <c r="X667" s="397">
        <f>IF(AND(BaleMover[[#This Row],[Scenario_ID]]="S3",BaleMover[[#This Row],[MRF_ID]]="05"),0,IFERROR(BaleMover[[#This Row],[Total_Baled_tons]]*(IF(BaleMover[[#This Row],[Scenario_ID]]="S0",-2,0)+INDEX(BalePrices[Mid-Point],MATCH(BaleMover[[#This Row],[Bale_ID]],BalePrices[Bale_ID],0))),0))</f>
        <v>0</v>
      </c>
      <c r="Y667" s="397">
        <f>IF(AND(BaleMover[[#This Row],[Scenario_ID]]="S3",BaleMover[[#This Row],[MRF_ID]]="05"),0,IFERROR(BaleMover[[#This Row],[Total_Baled_tons]]*(IF(BaleMover[[#This Row],[Scenario_ID]]="S0",-2,0)+INDEX(BalePrices[High],MATCH(BaleMover[[#This Row],[Bale_ID]],BalePrices[Bale_ID],0))),0))</f>
        <v>0</v>
      </c>
    </row>
    <row r="668" spans="2:25" x14ac:dyDescent="0.2">
      <c r="B668" s="499" t="s">
        <v>874</v>
      </c>
      <c r="C668" s="499" t="s">
        <v>719</v>
      </c>
      <c r="D668" s="499"/>
      <c r="E668" s="499"/>
      <c r="F668" s="499" t="s">
        <v>1994</v>
      </c>
      <c r="G668" s="499" t="s">
        <v>2092</v>
      </c>
      <c r="H668" s="499" t="s">
        <v>1834</v>
      </c>
      <c r="I668" s="499" t="s">
        <v>1848</v>
      </c>
      <c r="J668" s="499" t="s">
        <v>1849</v>
      </c>
      <c r="K668" s="499" t="s">
        <v>2076</v>
      </c>
      <c r="L668" s="499">
        <v>1</v>
      </c>
      <c r="M668" s="499" t="s">
        <v>2086</v>
      </c>
      <c r="N668" s="499" t="s">
        <v>2066</v>
      </c>
      <c r="O668" s="525">
        <v>24767.180771452891</v>
      </c>
      <c r="P668" s="499">
        <v>20</v>
      </c>
      <c r="Q668" s="499"/>
      <c r="R668" s="499"/>
      <c r="S668" s="525"/>
      <c r="T668" s="525">
        <v>0</v>
      </c>
      <c r="U668" s="525">
        <v>1</v>
      </c>
      <c r="V668" s="525">
        <v>495343.61542905786</v>
      </c>
      <c r="W668" s="589">
        <f>IF(AND(BaleMover[[#This Row],[Scenario_ID]]="S3",BaleMover[[#This Row],[MRF_ID]]="05"),0,IFERROR(BaleMover[[#This Row],[Total_Baled_tons]]*(IF(BaleMover[[#This Row],[Scenario_ID]]="S0",-2,0)+INDEX(BalePrices[Low],MATCH(BaleMover[[#This Row],[Bale_ID]],BalePrices[Bale_ID],0))),0))</f>
        <v>0</v>
      </c>
      <c r="X668" s="397">
        <f>IF(AND(BaleMover[[#This Row],[Scenario_ID]]="S3",BaleMover[[#This Row],[MRF_ID]]="05"),0,IFERROR(BaleMover[[#This Row],[Total_Baled_tons]]*(IF(BaleMover[[#This Row],[Scenario_ID]]="S0",-2,0)+INDEX(BalePrices[Mid-Point],MATCH(BaleMover[[#This Row],[Bale_ID]],BalePrices[Bale_ID],0))),0))</f>
        <v>0</v>
      </c>
      <c r="Y668" s="397">
        <f>IF(AND(BaleMover[[#This Row],[Scenario_ID]]="S3",BaleMover[[#This Row],[MRF_ID]]="05"),0,IFERROR(BaleMover[[#This Row],[Total_Baled_tons]]*(IF(BaleMover[[#This Row],[Scenario_ID]]="S0",-2,0)+INDEX(BalePrices[High],MATCH(BaleMover[[#This Row],[Bale_ID]],BalePrices[Bale_ID],0))),0))</f>
        <v>0</v>
      </c>
    </row>
    <row r="669" spans="2:25" x14ac:dyDescent="0.2">
      <c r="B669" s="499" t="s">
        <v>873</v>
      </c>
      <c r="C669" s="499" t="s">
        <v>719</v>
      </c>
      <c r="D669" s="499"/>
      <c r="E669" s="499"/>
      <c r="F669" s="499" t="s">
        <v>1994</v>
      </c>
      <c r="G669" s="499" t="s">
        <v>2093</v>
      </c>
      <c r="H669" s="499" t="s">
        <v>1835</v>
      </c>
      <c r="I669" s="499" t="s">
        <v>1848</v>
      </c>
      <c r="J669" s="499" t="s">
        <v>1849</v>
      </c>
      <c r="K669" s="499" t="s">
        <v>2076</v>
      </c>
      <c r="L669" s="499">
        <v>1</v>
      </c>
      <c r="M669" s="499" t="s">
        <v>2086</v>
      </c>
      <c r="N669" s="499" t="s">
        <v>2066</v>
      </c>
      <c r="O669" s="525">
        <v>24767.180771452891</v>
      </c>
      <c r="P669" s="499">
        <v>20</v>
      </c>
      <c r="Q669" s="499"/>
      <c r="R669" s="499"/>
      <c r="S669" s="525"/>
      <c r="T669" s="525">
        <v>0</v>
      </c>
      <c r="U669" s="525">
        <v>1</v>
      </c>
      <c r="V669" s="525">
        <v>495343.61542905786</v>
      </c>
      <c r="W669" s="589">
        <f>IF(AND(BaleMover[[#This Row],[Scenario_ID]]="S3",BaleMover[[#This Row],[MRF_ID]]="05"),0,IFERROR(BaleMover[[#This Row],[Total_Baled_tons]]*(IF(BaleMover[[#This Row],[Scenario_ID]]="S0",-2,0)+INDEX(BalePrices[Low],MATCH(BaleMover[[#This Row],[Bale_ID]],BalePrices[Bale_ID],0))),0))</f>
        <v>0</v>
      </c>
      <c r="X669" s="397">
        <f>IF(AND(BaleMover[[#This Row],[Scenario_ID]]="S3",BaleMover[[#This Row],[MRF_ID]]="05"),0,IFERROR(BaleMover[[#This Row],[Total_Baled_tons]]*(IF(BaleMover[[#This Row],[Scenario_ID]]="S0",-2,0)+INDEX(BalePrices[Mid-Point],MATCH(BaleMover[[#This Row],[Bale_ID]],BalePrices[Bale_ID],0))),0))</f>
        <v>0</v>
      </c>
      <c r="Y669" s="397">
        <f>IF(AND(BaleMover[[#This Row],[Scenario_ID]]="S3",BaleMover[[#This Row],[MRF_ID]]="05"),0,IFERROR(BaleMover[[#This Row],[Total_Baled_tons]]*(IF(BaleMover[[#This Row],[Scenario_ID]]="S0",-2,0)+INDEX(BalePrices[High],MATCH(BaleMover[[#This Row],[Bale_ID]],BalePrices[Bale_ID],0))),0))</f>
        <v>0</v>
      </c>
    </row>
    <row r="670" spans="2:25" x14ac:dyDescent="0.2">
      <c r="B670" s="499" t="s">
        <v>870</v>
      </c>
      <c r="C670" s="499" t="s">
        <v>719</v>
      </c>
      <c r="D670" s="499"/>
      <c r="E670" s="499"/>
      <c r="F670" s="499" t="s">
        <v>1994</v>
      </c>
      <c r="G670" s="499" t="s">
        <v>2135</v>
      </c>
      <c r="H670" s="499" t="s">
        <v>1860</v>
      </c>
      <c r="I670" s="499" t="s">
        <v>1848</v>
      </c>
      <c r="J670" s="499" t="s">
        <v>1849</v>
      </c>
      <c r="K670" s="499" t="s">
        <v>2076</v>
      </c>
      <c r="L670" s="499">
        <v>1</v>
      </c>
      <c r="M670" s="499" t="s">
        <v>2086</v>
      </c>
      <c r="N670" s="499" t="s">
        <v>2066</v>
      </c>
      <c r="O670" s="525">
        <v>24767.180771452891</v>
      </c>
      <c r="P670" s="499">
        <v>20</v>
      </c>
      <c r="Q670" s="499"/>
      <c r="R670" s="499"/>
      <c r="S670" s="525"/>
      <c r="T670" s="525">
        <v>0</v>
      </c>
      <c r="U670" s="525">
        <v>1</v>
      </c>
      <c r="V670" s="525">
        <v>495343.61542905786</v>
      </c>
      <c r="W670" s="589">
        <f>IF(AND(BaleMover[[#This Row],[Scenario_ID]]="S3",BaleMover[[#This Row],[MRF_ID]]="05"),0,IFERROR(BaleMover[[#This Row],[Total_Baled_tons]]*(IF(BaleMover[[#This Row],[Scenario_ID]]="S0",-2,0)+INDEX(BalePrices[Low],MATCH(BaleMover[[#This Row],[Bale_ID]],BalePrices[Bale_ID],0))),0))</f>
        <v>0</v>
      </c>
      <c r="X670" s="397">
        <f>IF(AND(BaleMover[[#This Row],[Scenario_ID]]="S3",BaleMover[[#This Row],[MRF_ID]]="05"),0,IFERROR(BaleMover[[#This Row],[Total_Baled_tons]]*(IF(BaleMover[[#This Row],[Scenario_ID]]="S0",-2,0)+INDEX(BalePrices[Mid-Point],MATCH(BaleMover[[#This Row],[Bale_ID]],BalePrices[Bale_ID],0))),0))</f>
        <v>0</v>
      </c>
      <c r="Y670" s="397">
        <f>IF(AND(BaleMover[[#This Row],[Scenario_ID]]="S3",BaleMover[[#This Row],[MRF_ID]]="05"),0,IFERROR(BaleMover[[#This Row],[Total_Baled_tons]]*(IF(BaleMover[[#This Row],[Scenario_ID]]="S0",-2,0)+INDEX(BalePrices[High],MATCH(BaleMover[[#This Row],[Bale_ID]],BalePrices[Bale_ID],0))),0))</f>
        <v>0</v>
      </c>
    </row>
    <row r="671" spans="2:25" x14ac:dyDescent="0.2">
      <c r="B671" s="499" t="s">
        <v>874</v>
      </c>
      <c r="C671" s="499" t="s">
        <v>727</v>
      </c>
      <c r="D671" s="499"/>
      <c r="E671" s="499"/>
      <c r="F671" s="499" t="s">
        <v>1995</v>
      </c>
      <c r="G671" s="499" t="s">
        <v>2094</v>
      </c>
      <c r="H671" s="499" t="s">
        <v>1836</v>
      </c>
      <c r="I671" s="499" t="s">
        <v>1848</v>
      </c>
      <c r="J671" s="499" t="s">
        <v>1849</v>
      </c>
      <c r="K671" s="499" t="s">
        <v>2076</v>
      </c>
      <c r="L671" s="499">
        <v>1</v>
      </c>
      <c r="M671" s="499" t="s">
        <v>2086</v>
      </c>
      <c r="N671" s="499" t="s">
        <v>2066</v>
      </c>
      <c r="O671" s="525">
        <v>0</v>
      </c>
      <c r="P671" s="499" t="s">
        <v>2054</v>
      </c>
      <c r="Q671" s="499"/>
      <c r="R671" s="499"/>
      <c r="S671" s="525"/>
      <c r="T671" s="525">
        <v>0</v>
      </c>
      <c r="U671" s="525">
        <v>1</v>
      </c>
      <c r="V671" s="525" t="s">
        <v>2054</v>
      </c>
      <c r="W671" s="589">
        <f>IF(AND(BaleMover[[#This Row],[Scenario_ID]]="S3",BaleMover[[#This Row],[MRF_ID]]="05"),0,IFERROR(BaleMover[[#This Row],[Total_Baled_tons]]*(IF(BaleMover[[#This Row],[Scenario_ID]]="S0",-2,0)+INDEX(BalePrices[Low],MATCH(BaleMover[[#This Row],[Bale_ID]],BalePrices[Bale_ID],0))),0))</f>
        <v>0</v>
      </c>
      <c r="X671" s="397">
        <f>IF(AND(BaleMover[[#This Row],[Scenario_ID]]="S3",BaleMover[[#This Row],[MRF_ID]]="05"),0,IFERROR(BaleMover[[#This Row],[Total_Baled_tons]]*(IF(BaleMover[[#This Row],[Scenario_ID]]="S0",-2,0)+INDEX(BalePrices[Mid-Point],MATCH(BaleMover[[#This Row],[Bale_ID]],BalePrices[Bale_ID],0))),0))</f>
        <v>0</v>
      </c>
      <c r="Y671" s="397">
        <f>IF(AND(BaleMover[[#This Row],[Scenario_ID]]="S3",BaleMover[[#This Row],[MRF_ID]]="05"),0,IFERROR(BaleMover[[#This Row],[Total_Baled_tons]]*(IF(BaleMover[[#This Row],[Scenario_ID]]="S0",-2,0)+INDEX(BalePrices[High],MATCH(BaleMover[[#This Row],[Bale_ID]],BalePrices[Bale_ID],0))),0))</f>
        <v>0</v>
      </c>
    </row>
    <row r="672" spans="2:25" x14ac:dyDescent="0.2">
      <c r="B672" s="499" t="s">
        <v>873</v>
      </c>
      <c r="C672" s="499" t="s">
        <v>727</v>
      </c>
      <c r="D672" s="499"/>
      <c r="E672" s="499"/>
      <c r="F672" s="499" t="s">
        <v>1995</v>
      </c>
      <c r="G672" s="499" t="s">
        <v>2095</v>
      </c>
      <c r="H672" s="499" t="s">
        <v>1837</v>
      </c>
      <c r="I672" s="499" t="s">
        <v>1848</v>
      </c>
      <c r="J672" s="499" t="s">
        <v>1849</v>
      </c>
      <c r="K672" s="499" t="s">
        <v>2096</v>
      </c>
      <c r="L672" s="499">
        <v>19</v>
      </c>
      <c r="M672" s="499" t="s">
        <v>2107</v>
      </c>
      <c r="N672" s="499" t="s">
        <v>2108</v>
      </c>
      <c r="O672" s="525">
        <v>0</v>
      </c>
      <c r="P672" s="499" t="s">
        <v>2054</v>
      </c>
      <c r="Q672" s="499"/>
      <c r="R672" s="499"/>
      <c r="S672" s="525"/>
      <c r="T672" s="525">
        <v>0</v>
      </c>
      <c r="U672" s="525">
        <v>1</v>
      </c>
      <c r="V672" s="525" t="s">
        <v>2054</v>
      </c>
      <c r="W672" s="589">
        <f>IF(AND(BaleMover[[#This Row],[Scenario_ID]]="S3",BaleMover[[#This Row],[MRF_ID]]="05"),0,IFERROR(BaleMover[[#This Row],[Total_Baled_tons]]*(IF(BaleMover[[#This Row],[Scenario_ID]]="S0",-2,0)+INDEX(BalePrices[Low],MATCH(BaleMover[[#This Row],[Bale_ID]],BalePrices[Bale_ID],0))),0))</f>
        <v>0</v>
      </c>
      <c r="X672" s="397">
        <f>IF(AND(BaleMover[[#This Row],[Scenario_ID]]="S3",BaleMover[[#This Row],[MRF_ID]]="05"),0,IFERROR(BaleMover[[#This Row],[Total_Baled_tons]]*(IF(BaleMover[[#This Row],[Scenario_ID]]="S0",-2,0)+INDEX(BalePrices[Mid-Point],MATCH(BaleMover[[#This Row],[Bale_ID]],BalePrices[Bale_ID],0))),0))</f>
        <v>0</v>
      </c>
      <c r="Y672" s="397">
        <f>IF(AND(BaleMover[[#This Row],[Scenario_ID]]="S3",BaleMover[[#This Row],[MRF_ID]]="05"),0,IFERROR(BaleMover[[#This Row],[Total_Baled_tons]]*(IF(BaleMover[[#This Row],[Scenario_ID]]="S0",-2,0)+INDEX(BalePrices[High],MATCH(BaleMover[[#This Row],[Bale_ID]],BalePrices[Bale_ID],0))),0))</f>
        <v>0</v>
      </c>
    </row>
    <row r="673" spans="2:25" x14ac:dyDescent="0.2">
      <c r="B673" s="499" t="s">
        <v>870</v>
      </c>
      <c r="C673" s="499" t="s">
        <v>735</v>
      </c>
      <c r="D673" s="499"/>
      <c r="E673" s="499"/>
      <c r="F673" s="499" t="s">
        <v>1996</v>
      </c>
      <c r="G673" s="499" t="s">
        <v>2112</v>
      </c>
      <c r="H673" s="499" t="s">
        <v>1838</v>
      </c>
      <c r="I673" s="499" t="s">
        <v>1848</v>
      </c>
      <c r="J673" s="499" t="s">
        <v>1849</v>
      </c>
      <c r="K673" s="499" t="s">
        <v>2076</v>
      </c>
      <c r="L673" s="499">
        <v>1</v>
      </c>
      <c r="M673" s="499" t="s">
        <v>2086</v>
      </c>
      <c r="N673" s="499" t="s">
        <v>2066</v>
      </c>
      <c r="O673" s="525">
        <v>0</v>
      </c>
      <c r="P673" s="499" t="s">
        <v>2054</v>
      </c>
      <c r="Q673" s="499"/>
      <c r="R673" s="499"/>
      <c r="S673" s="525"/>
      <c r="T673" s="525">
        <v>0</v>
      </c>
      <c r="U673" s="525">
        <v>1</v>
      </c>
      <c r="V673" s="525" t="s">
        <v>2054</v>
      </c>
      <c r="W673" s="589">
        <f>IF(AND(BaleMover[[#This Row],[Scenario_ID]]="S3",BaleMover[[#This Row],[MRF_ID]]="05"),0,IFERROR(BaleMover[[#This Row],[Total_Baled_tons]]*(IF(BaleMover[[#This Row],[Scenario_ID]]="S0",-2,0)+INDEX(BalePrices[Low],MATCH(BaleMover[[#This Row],[Bale_ID]],BalePrices[Bale_ID],0))),0))</f>
        <v>0</v>
      </c>
      <c r="X673" s="397">
        <f>IF(AND(BaleMover[[#This Row],[Scenario_ID]]="S3",BaleMover[[#This Row],[MRF_ID]]="05"),0,IFERROR(BaleMover[[#This Row],[Total_Baled_tons]]*(IF(BaleMover[[#This Row],[Scenario_ID]]="S0",-2,0)+INDEX(BalePrices[Mid-Point],MATCH(BaleMover[[#This Row],[Bale_ID]],BalePrices[Bale_ID],0))),0))</f>
        <v>0</v>
      </c>
      <c r="Y673" s="397">
        <f>IF(AND(BaleMover[[#This Row],[Scenario_ID]]="S3",BaleMover[[#This Row],[MRF_ID]]="05"),0,IFERROR(BaleMover[[#This Row],[Total_Baled_tons]]*(IF(BaleMover[[#This Row],[Scenario_ID]]="S0",-2,0)+INDEX(BalePrices[High],MATCH(BaleMover[[#This Row],[Bale_ID]],BalePrices[Bale_ID],0))),0))</f>
        <v>0</v>
      </c>
    </row>
    <row r="674" spans="2:25" x14ac:dyDescent="0.2">
      <c r="B674" s="499" t="s">
        <v>870</v>
      </c>
      <c r="C674" s="499" t="s">
        <v>739</v>
      </c>
      <c r="D674" s="499"/>
      <c r="E674" s="499"/>
      <c r="F674" s="499" t="s">
        <v>1997</v>
      </c>
      <c r="G674" s="499" t="s">
        <v>2115</v>
      </c>
      <c r="H674" s="499" t="s">
        <v>1839</v>
      </c>
      <c r="I674" s="499" t="s">
        <v>1848</v>
      </c>
      <c r="J674" s="499" t="s">
        <v>1849</v>
      </c>
      <c r="K674" s="499" t="s">
        <v>2076</v>
      </c>
      <c r="L674" s="499">
        <v>1</v>
      </c>
      <c r="M674" s="499" t="s">
        <v>2086</v>
      </c>
      <c r="N674" s="499" t="s">
        <v>2066</v>
      </c>
      <c r="O674" s="525">
        <v>0</v>
      </c>
      <c r="P674" s="499" t="s">
        <v>2054</v>
      </c>
      <c r="Q674" s="499"/>
      <c r="R674" s="499"/>
      <c r="S674" s="525"/>
      <c r="T674" s="525">
        <v>0</v>
      </c>
      <c r="U674" s="525">
        <v>1</v>
      </c>
      <c r="V674" s="525" t="s">
        <v>2054</v>
      </c>
      <c r="W674" s="589">
        <f>IF(AND(BaleMover[[#This Row],[Scenario_ID]]="S3",BaleMover[[#This Row],[MRF_ID]]="05"),0,IFERROR(BaleMover[[#This Row],[Total_Baled_tons]]*(IF(BaleMover[[#This Row],[Scenario_ID]]="S0",-2,0)+INDEX(BalePrices[Low],MATCH(BaleMover[[#This Row],[Bale_ID]],BalePrices[Bale_ID],0))),0))</f>
        <v>0</v>
      </c>
      <c r="X674" s="397">
        <f>IF(AND(BaleMover[[#This Row],[Scenario_ID]]="S3",BaleMover[[#This Row],[MRF_ID]]="05"),0,IFERROR(BaleMover[[#This Row],[Total_Baled_tons]]*(IF(BaleMover[[#This Row],[Scenario_ID]]="S0",-2,0)+INDEX(BalePrices[Mid-Point],MATCH(BaleMover[[#This Row],[Bale_ID]],BalePrices[Bale_ID],0))),0))</f>
        <v>0</v>
      </c>
      <c r="Y674" s="397">
        <f>IF(AND(BaleMover[[#This Row],[Scenario_ID]]="S3",BaleMover[[#This Row],[MRF_ID]]="05"),0,IFERROR(BaleMover[[#This Row],[Total_Baled_tons]]*(IF(BaleMover[[#This Row],[Scenario_ID]]="S0",-2,0)+INDEX(BalePrices[High],MATCH(BaleMover[[#This Row],[Bale_ID]],BalePrices[Bale_ID],0))),0))</f>
        <v>0</v>
      </c>
    </row>
    <row r="675" spans="2:25" x14ac:dyDescent="0.2">
      <c r="B675" s="499" t="s">
        <v>870</v>
      </c>
      <c r="C675" s="499" t="s">
        <v>744</v>
      </c>
      <c r="D675" s="499"/>
      <c r="E675" s="499"/>
      <c r="F675" s="499" t="s">
        <v>1998</v>
      </c>
      <c r="G675" s="499" t="s">
        <v>2116</v>
      </c>
      <c r="H675" s="499" t="s">
        <v>1840</v>
      </c>
      <c r="I675" s="499" t="s">
        <v>1848</v>
      </c>
      <c r="J675" s="499" t="s">
        <v>1849</v>
      </c>
      <c r="K675" s="499" t="s">
        <v>2048</v>
      </c>
      <c r="L675" s="499">
        <v>1</v>
      </c>
      <c r="M675" s="499" t="s">
        <v>2065</v>
      </c>
      <c r="N675" s="499" t="s">
        <v>2066</v>
      </c>
      <c r="O675" s="525">
        <v>0</v>
      </c>
      <c r="P675" s="499" t="s">
        <v>2054</v>
      </c>
      <c r="Q675" s="499"/>
      <c r="R675" s="499"/>
      <c r="S675" s="525"/>
      <c r="T675" s="525">
        <v>0</v>
      </c>
      <c r="U675" s="525">
        <v>1</v>
      </c>
      <c r="V675" s="525" t="s">
        <v>2054</v>
      </c>
      <c r="W675" s="589">
        <f>IF(AND(BaleMover[[#This Row],[Scenario_ID]]="S3",BaleMover[[#This Row],[MRF_ID]]="05"),0,IFERROR(BaleMover[[#This Row],[Total_Baled_tons]]*(IF(BaleMover[[#This Row],[Scenario_ID]]="S0",-2,0)+INDEX(BalePrices[Low],MATCH(BaleMover[[#This Row],[Bale_ID]],BalePrices[Bale_ID],0))),0))</f>
        <v>0</v>
      </c>
      <c r="X675" s="397">
        <f>IF(AND(BaleMover[[#This Row],[Scenario_ID]]="S3",BaleMover[[#This Row],[MRF_ID]]="05"),0,IFERROR(BaleMover[[#This Row],[Total_Baled_tons]]*(IF(BaleMover[[#This Row],[Scenario_ID]]="S0",-2,0)+INDEX(BalePrices[Mid-Point],MATCH(BaleMover[[#This Row],[Bale_ID]],BalePrices[Bale_ID],0))),0))</f>
        <v>0</v>
      </c>
      <c r="Y675" s="397">
        <f>IF(AND(BaleMover[[#This Row],[Scenario_ID]]="S3",BaleMover[[#This Row],[MRF_ID]]="05"),0,IFERROR(BaleMover[[#This Row],[Total_Baled_tons]]*(IF(BaleMover[[#This Row],[Scenario_ID]]="S0",-2,0)+INDEX(BalePrices[High],MATCH(BaleMover[[#This Row],[Bale_ID]],BalePrices[Bale_ID],0))),0))</f>
        <v>0</v>
      </c>
    </row>
    <row r="676" spans="2:25" x14ac:dyDescent="0.2">
      <c r="B676" s="499" t="s">
        <v>876</v>
      </c>
      <c r="C676" s="499" t="s">
        <v>754</v>
      </c>
      <c r="D676" s="499"/>
      <c r="E676" s="499"/>
      <c r="F676" s="499" t="s">
        <v>1999</v>
      </c>
      <c r="G676" s="499" t="s">
        <v>2118</v>
      </c>
      <c r="H676" s="499" t="s">
        <v>1841</v>
      </c>
      <c r="I676" s="499" t="s">
        <v>1848</v>
      </c>
      <c r="J676" s="499" t="s">
        <v>1849</v>
      </c>
      <c r="K676" s="499" t="s">
        <v>2048</v>
      </c>
      <c r="L676" s="499">
        <v>1</v>
      </c>
      <c r="M676" s="499" t="s">
        <v>2065</v>
      </c>
      <c r="N676" s="499" t="s">
        <v>2066</v>
      </c>
      <c r="O676" s="525">
        <v>0</v>
      </c>
      <c r="P676" s="499" t="s">
        <v>2054</v>
      </c>
      <c r="Q676" s="499"/>
      <c r="R676" s="499"/>
      <c r="S676" s="525"/>
      <c r="T676" s="525">
        <v>0</v>
      </c>
      <c r="U676" s="525">
        <v>1</v>
      </c>
      <c r="V676" s="525" t="s">
        <v>2054</v>
      </c>
      <c r="W676" s="589">
        <f>IF(AND(BaleMover[[#This Row],[Scenario_ID]]="S3",BaleMover[[#This Row],[MRF_ID]]="05"),0,IFERROR(BaleMover[[#This Row],[Total_Baled_tons]]*(IF(BaleMover[[#This Row],[Scenario_ID]]="S0",-2,0)+INDEX(BalePrices[Low],MATCH(BaleMover[[#This Row],[Bale_ID]],BalePrices[Bale_ID],0))),0))</f>
        <v>0</v>
      </c>
      <c r="X676" s="397">
        <f>IF(AND(BaleMover[[#This Row],[Scenario_ID]]="S3",BaleMover[[#This Row],[MRF_ID]]="05"),0,IFERROR(BaleMover[[#This Row],[Total_Baled_tons]]*(IF(BaleMover[[#This Row],[Scenario_ID]]="S0",-2,0)+INDEX(BalePrices[Mid-Point],MATCH(BaleMover[[#This Row],[Bale_ID]],BalePrices[Bale_ID],0))),0))</f>
        <v>0</v>
      </c>
      <c r="Y676" s="397">
        <f>IF(AND(BaleMover[[#This Row],[Scenario_ID]]="S3",BaleMover[[#This Row],[MRF_ID]]="05"),0,IFERROR(BaleMover[[#This Row],[Total_Baled_tons]]*(IF(BaleMover[[#This Row],[Scenario_ID]]="S0",-2,0)+INDEX(BalePrices[High],MATCH(BaleMover[[#This Row],[Bale_ID]],BalePrices[Bale_ID],0))),0))</f>
        <v>0</v>
      </c>
    </row>
    <row r="677" spans="2:25" x14ac:dyDescent="0.2">
      <c r="B677" s="499" t="s">
        <v>875</v>
      </c>
      <c r="C677" s="499" t="s">
        <v>754</v>
      </c>
      <c r="D677" s="499"/>
      <c r="E677" s="499"/>
      <c r="F677" s="499" t="s">
        <v>1999</v>
      </c>
      <c r="G677" s="499" t="s">
        <v>2119</v>
      </c>
      <c r="H677" s="499" t="s">
        <v>1842</v>
      </c>
      <c r="I677" s="499" t="s">
        <v>1848</v>
      </c>
      <c r="J677" s="499" t="s">
        <v>1849</v>
      </c>
      <c r="K677" s="499" t="s">
        <v>2048</v>
      </c>
      <c r="L677" s="499">
        <v>1</v>
      </c>
      <c r="M677" s="499" t="s">
        <v>2065</v>
      </c>
      <c r="N677" s="499" t="s">
        <v>2066</v>
      </c>
      <c r="O677" s="525">
        <v>0</v>
      </c>
      <c r="P677" s="499" t="s">
        <v>2054</v>
      </c>
      <c r="Q677" s="499"/>
      <c r="R677" s="499"/>
      <c r="S677" s="525"/>
      <c r="T677" s="525">
        <v>0</v>
      </c>
      <c r="U677" s="525">
        <v>1</v>
      </c>
      <c r="V677" s="525" t="s">
        <v>2054</v>
      </c>
      <c r="W677" s="589">
        <f>IF(AND(BaleMover[[#This Row],[Scenario_ID]]="S3",BaleMover[[#This Row],[MRF_ID]]="05"),0,IFERROR(BaleMover[[#This Row],[Total_Baled_tons]]*(IF(BaleMover[[#This Row],[Scenario_ID]]="S0",-2,0)+INDEX(BalePrices[Low],MATCH(BaleMover[[#This Row],[Bale_ID]],BalePrices[Bale_ID],0))),0))</f>
        <v>0</v>
      </c>
      <c r="X677" s="397">
        <f>IF(AND(BaleMover[[#This Row],[Scenario_ID]]="S3",BaleMover[[#This Row],[MRF_ID]]="05"),0,IFERROR(BaleMover[[#This Row],[Total_Baled_tons]]*(IF(BaleMover[[#This Row],[Scenario_ID]]="S0",-2,0)+INDEX(BalePrices[Mid-Point],MATCH(BaleMover[[#This Row],[Bale_ID]],BalePrices[Bale_ID],0))),0))</f>
        <v>0</v>
      </c>
      <c r="Y677" s="397">
        <f>IF(AND(BaleMover[[#This Row],[Scenario_ID]]="S3",BaleMover[[#This Row],[MRF_ID]]="05"),0,IFERROR(BaleMover[[#This Row],[Total_Baled_tons]]*(IF(BaleMover[[#This Row],[Scenario_ID]]="S0",-2,0)+INDEX(BalePrices[High],MATCH(BaleMover[[#This Row],[Bale_ID]],BalePrices[Bale_ID],0))),0))</f>
        <v>0</v>
      </c>
    </row>
    <row r="678" spans="2:25" x14ac:dyDescent="0.2">
      <c r="B678" s="499" t="s">
        <v>874</v>
      </c>
      <c r="C678" s="499" t="s">
        <v>754</v>
      </c>
      <c r="D678" s="499"/>
      <c r="E678" s="499"/>
      <c r="F678" s="499" t="s">
        <v>1999</v>
      </c>
      <c r="G678" s="499" t="s">
        <v>2120</v>
      </c>
      <c r="H678" s="499" t="s">
        <v>1843</v>
      </c>
      <c r="I678" s="499" t="s">
        <v>1848</v>
      </c>
      <c r="J678" s="499" t="s">
        <v>1849</v>
      </c>
      <c r="K678" s="499" t="s">
        <v>2048</v>
      </c>
      <c r="L678" s="499">
        <v>1</v>
      </c>
      <c r="M678" s="499" t="s">
        <v>2065</v>
      </c>
      <c r="N678" s="499" t="s">
        <v>2066</v>
      </c>
      <c r="O678" s="525">
        <v>0</v>
      </c>
      <c r="P678" s="499" t="s">
        <v>2054</v>
      </c>
      <c r="Q678" s="499"/>
      <c r="R678" s="499"/>
      <c r="S678" s="525"/>
      <c r="T678" s="525">
        <v>0</v>
      </c>
      <c r="U678" s="525">
        <v>1</v>
      </c>
      <c r="V678" s="525" t="s">
        <v>2054</v>
      </c>
      <c r="W678" s="589">
        <f>IF(AND(BaleMover[[#This Row],[Scenario_ID]]="S3",BaleMover[[#This Row],[MRF_ID]]="05"),0,IFERROR(BaleMover[[#This Row],[Total_Baled_tons]]*(IF(BaleMover[[#This Row],[Scenario_ID]]="S0",-2,0)+INDEX(BalePrices[Low],MATCH(BaleMover[[#This Row],[Bale_ID]],BalePrices[Bale_ID],0))),0))</f>
        <v>0</v>
      </c>
      <c r="X678" s="397">
        <f>IF(AND(BaleMover[[#This Row],[Scenario_ID]]="S3",BaleMover[[#This Row],[MRF_ID]]="05"),0,IFERROR(BaleMover[[#This Row],[Total_Baled_tons]]*(IF(BaleMover[[#This Row],[Scenario_ID]]="S0",-2,0)+INDEX(BalePrices[Mid-Point],MATCH(BaleMover[[#This Row],[Bale_ID]],BalePrices[Bale_ID],0))),0))</f>
        <v>0</v>
      </c>
      <c r="Y678" s="397">
        <f>IF(AND(BaleMover[[#This Row],[Scenario_ID]]="S3",BaleMover[[#This Row],[MRF_ID]]="05"),0,IFERROR(BaleMover[[#This Row],[Total_Baled_tons]]*(IF(BaleMover[[#This Row],[Scenario_ID]]="S0",-2,0)+INDEX(BalePrices[High],MATCH(BaleMover[[#This Row],[Bale_ID]],BalePrices[Bale_ID],0))),0))</f>
        <v>0</v>
      </c>
    </row>
    <row r="679" spans="2:25" x14ac:dyDescent="0.2">
      <c r="B679" s="499" t="s">
        <v>873</v>
      </c>
      <c r="C679" s="499" t="s">
        <v>754</v>
      </c>
      <c r="D679" s="499"/>
      <c r="E679" s="499"/>
      <c r="F679" s="499" t="s">
        <v>1999</v>
      </c>
      <c r="G679" s="499" t="s">
        <v>2121</v>
      </c>
      <c r="H679" s="499" t="s">
        <v>1844</v>
      </c>
      <c r="I679" s="499" t="s">
        <v>1848</v>
      </c>
      <c r="J679" s="499" t="s">
        <v>1849</v>
      </c>
      <c r="K679" s="499" t="s">
        <v>2048</v>
      </c>
      <c r="L679" s="499">
        <v>1</v>
      </c>
      <c r="M679" s="499" t="s">
        <v>2065</v>
      </c>
      <c r="N679" s="499" t="s">
        <v>2066</v>
      </c>
      <c r="O679" s="525">
        <v>0</v>
      </c>
      <c r="P679" s="499" t="s">
        <v>2054</v>
      </c>
      <c r="Q679" s="499"/>
      <c r="R679" s="499"/>
      <c r="S679" s="525"/>
      <c r="T679" s="525">
        <v>0</v>
      </c>
      <c r="U679" s="525">
        <v>1</v>
      </c>
      <c r="V679" s="525" t="s">
        <v>2054</v>
      </c>
      <c r="W679" s="589">
        <f>IF(AND(BaleMover[[#This Row],[Scenario_ID]]="S3",BaleMover[[#This Row],[MRF_ID]]="05"),0,IFERROR(BaleMover[[#This Row],[Total_Baled_tons]]*(IF(BaleMover[[#This Row],[Scenario_ID]]="S0",-2,0)+INDEX(BalePrices[Low],MATCH(BaleMover[[#This Row],[Bale_ID]],BalePrices[Bale_ID],0))),0))</f>
        <v>0</v>
      </c>
      <c r="X679" s="397">
        <f>IF(AND(BaleMover[[#This Row],[Scenario_ID]]="S3",BaleMover[[#This Row],[MRF_ID]]="05"),0,IFERROR(BaleMover[[#This Row],[Total_Baled_tons]]*(IF(BaleMover[[#This Row],[Scenario_ID]]="S0",-2,0)+INDEX(BalePrices[Mid-Point],MATCH(BaleMover[[#This Row],[Bale_ID]],BalePrices[Bale_ID],0))),0))</f>
        <v>0</v>
      </c>
      <c r="Y679" s="397">
        <f>IF(AND(BaleMover[[#This Row],[Scenario_ID]]="S3",BaleMover[[#This Row],[MRF_ID]]="05"),0,IFERROR(BaleMover[[#This Row],[Total_Baled_tons]]*(IF(BaleMover[[#This Row],[Scenario_ID]]="S0",-2,0)+INDEX(BalePrices[High],MATCH(BaleMover[[#This Row],[Bale_ID]],BalePrices[Bale_ID],0))),0))</f>
        <v>0</v>
      </c>
    </row>
    <row r="680" spans="2:25" x14ac:dyDescent="0.2">
      <c r="B680" s="545" t="s">
        <v>870</v>
      </c>
      <c r="C680" s="499" t="s">
        <v>754</v>
      </c>
      <c r="D680" s="499"/>
      <c r="E680" s="499"/>
      <c r="F680" s="499" t="s">
        <v>1999</v>
      </c>
      <c r="G680" s="499" t="s">
        <v>2122</v>
      </c>
      <c r="H680" s="499" t="s">
        <v>1845</v>
      </c>
      <c r="I680" s="499" t="s">
        <v>1848</v>
      </c>
      <c r="J680" s="499" t="s">
        <v>1849</v>
      </c>
      <c r="K680" s="499" t="s">
        <v>2048</v>
      </c>
      <c r="L680" s="499">
        <v>1</v>
      </c>
      <c r="M680" s="499" t="s">
        <v>2065</v>
      </c>
      <c r="N680" s="499" t="s">
        <v>2066</v>
      </c>
      <c r="O680" s="525">
        <v>0</v>
      </c>
      <c r="P680" s="499" t="s">
        <v>2054</v>
      </c>
      <c r="Q680" s="499"/>
      <c r="R680" s="499"/>
      <c r="S680" s="525"/>
      <c r="T680" s="525">
        <v>0</v>
      </c>
      <c r="U680" s="525">
        <v>1</v>
      </c>
      <c r="V680" s="525" t="s">
        <v>2054</v>
      </c>
      <c r="W680" s="589">
        <f>IF(AND(BaleMover[[#This Row],[Scenario_ID]]="S3",BaleMover[[#This Row],[MRF_ID]]="05"),0,IFERROR(BaleMover[[#This Row],[Total_Baled_tons]]*(IF(BaleMover[[#This Row],[Scenario_ID]]="S0",-2,0)+INDEX(BalePrices[Low],MATCH(BaleMover[[#This Row],[Bale_ID]],BalePrices[Bale_ID],0))),0))</f>
        <v>0</v>
      </c>
      <c r="X680" s="397">
        <f>IF(AND(BaleMover[[#This Row],[Scenario_ID]]="S3",BaleMover[[#This Row],[MRF_ID]]="05"),0,IFERROR(BaleMover[[#This Row],[Total_Baled_tons]]*(IF(BaleMover[[#This Row],[Scenario_ID]]="S0",-2,0)+INDEX(BalePrices[Mid-Point],MATCH(BaleMover[[#This Row],[Bale_ID]],BalePrices[Bale_ID],0))),0))</f>
        <v>0</v>
      </c>
      <c r="Y680" s="397">
        <f>IF(AND(BaleMover[[#This Row],[Scenario_ID]]="S3",BaleMover[[#This Row],[MRF_ID]]="05"),0,IFERROR(BaleMover[[#This Row],[Total_Baled_tons]]*(IF(BaleMover[[#This Row],[Scenario_ID]]="S0",-2,0)+INDEX(BalePrices[High],MATCH(BaleMover[[#This Row],[Bale_ID]],BalePrices[Bale_ID],0))),0))</f>
        <v>0</v>
      </c>
    </row>
  </sheetData>
  <sheetProtection algorithmName="SHA-512" hashValue="RUB2SVV8yEOCi5xxvRhem6jvzECP9TW4qjuVfaWW/bVbHY/nlwUrQdjBF5RUc5xdeII5eCfb5DBDFVzKAo/aEw==" saltValue="YF+589tYVwy+jI5m7TlNww==" spinCount="100000" sheet="1" objects="1" scenarios="1"/>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D02D-1E4B-4A28-9620-78529C265EA5}">
  <sheetPr>
    <tabColor theme="6"/>
  </sheetPr>
  <dimension ref="A1:H14"/>
  <sheetViews>
    <sheetView workbookViewId="0"/>
  </sheetViews>
  <sheetFormatPr defaultRowHeight="14.25" x14ac:dyDescent="0.2"/>
  <cols>
    <col min="2" max="2" width="6.875" customWidth="1"/>
    <col min="3" max="3" width="17.25" bestFit="1" customWidth="1"/>
    <col min="4" max="4" width="11.125" bestFit="1" customWidth="1"/>
    <col min="5" max="5" width="15.25" bestFit="1" customWidth="1"/>
    <col min="6" max="6" width="65.25" bestFit="1" customWidth="1"/>
    <col min="7" max="7" width="24.5" bestFit="1" customWidth="1"/>
  </cols>
  <sheetData>
    <row r="1" spans="1:8" x14ac:dyDescent="0.2">
      <c r="A1" s="378"/>
      <c r="B1" s="378"/>
      <c r="C1" s="377"/>
      <c r="D1" s="377"/>
    </row>
    <row r="2" spans="1:8" x14ac:dyDescent="0.2">
      <c r="A2" s="378"/>
      <c r="B2" s="377" t="s">
        <v>140</v>
      </c>
      <c r="C2" s="377"/>
      <c r="D2" s="377"/>
      <c r="E2" s="35"/>
      <c r="F2" s="35"/>
    </row>
    <row r="3" spans="1:8" x14ac:dyDescent="0.2">
      <c r="B3" s="34" t="s">
        <v>817</v>
      </c>
      <c r="C3" s="34" t="s">
        <v>141</v>
      </c>
      <c r="D3" s="34" t="s">
        <v>78</v>
      </c>
      <c r="E3" s="34" t="s">
        <v>138</v>
      </c>
      <c r="F3" s="34" t="s">
        <v>2</v>
      </c>
      <c r="G3" s="35" t="s">
        <v>853</v>
      </c>
      <c r="H3" s="35"/>
    </row>
    <row r="4" spans="1:8" x14ac:dyDescent="0.2">
      <c r="B4" s="108">
        <v>2025</v>
      </c>
      <c r="C4" s="4" t="s">
        <v>79</v>
      </c>
      <c r="D4" s="104">
        <v>1.1188403028848959</v>
      </c>
      <c r="E4" s="4" t="s">
        <v>819</v>
      </c>
      <c r="F4" s="4" t="s">
        <v>827</v>
      </c>
      <c r="G4" s="35" t="s">
        <v>856</v>
      </c>
      <c r="H4" s="35"/>
    </row>
    <row r="5" spans="1:8" x14ac:dyDescent="0.2">
      <c r="B5" s="108">
        <v>2025</v>
      </c>
      <c r="C5" s="4" t="s">
        <v>820</v>
      </c>
      <c r="D5" s="104">
        <v>1.4653074227460987</v>
      </c>
      <c r="E5" s="4" t="s">
        <v>821</v>
      </c>
      <c r="F5" s="4" t="s">
        <v>828</v>
      </c>
      <c r="G5" s="35"/>
      <c r="H5" s="35"/>
    </row>
    <row r="6" spans="1:8" x14ac:dyDescent="0.2">
      <c r="B6" s="108">
        <v>2025</v>
      </c>
      <c r="C6" s="4" t="s">
        <v>822</v>
      </c>
      <c r="D6" s="104">
        <v>1.108096601756394</v>
      </c>
      <c r="E6" s="4" t="s">
        <v>819</v>
      </c>
      <c r="F6" s="4" t="s">
        <v>829</v>
      </c>
      <c r="G6" s="35"/>
      <c r="H6" s="35"/>
    </row>
    <row r="7" spans="1:8" x14ac:dyDescent="0.2">
      <c r="B7" s="108">
        <v>2025</v>
      </c>
      <c r="C7" s="4" t="s">
        <v>823</v>
      </c>
      <c r="D7" s="104">
        <v>1.1688610976319873</v>
      </c>
      <c r="E7" s="4" t="s">
        <v>824</v>
      </c>
      <c r="F7" s="4" t="s">
        <v>830</v>
      </c>
      <c r="G7" s="35" t="s">
        <v>854</v>
      </c>
      <c r="H7" s="35"/>
    </row>
    <row r="8" spans="1:8" x14ac:dyDescent="0.2">
      <c r="B8" s="108">
        <v>2025</v>
      </c>
      <c r="C8" s="108" t="s">
        <v>142</v>
      </c>
      <c r="D8" s="104">
        <v>1.1266501658872368</v>
      </c>
      <c r="E8" s="108" t="s">
        <v>819</v>
      </c>
      <c r="F8" s="108" t="s">
        <v>831</v>
      </c>
      <c r="G8" s="35"/>
      <c r="H8" s="35"/>
    </row>
    <row r="9" spans="1:8" x14ac:dyDescent="0.2">
      <c r="B9" s="108">
        <v>2025</v>
      </c>
      <c r="C9" s="108" t="s">
        <v>149</v>
      </c>
      <c r="D9" s="104">
        <v>1.0994771324844705</v>
      </c>
      <c r="E9" s="4" t="s">
        <v>819</v>
      </c>
      <c r="F9" s="4" t="s">
        <v>832</v>
      </c>
      <c r="G9" s="35" t="s">
        <v>855</v>
      </c>
    </row>
    <row r="10" spans="1:8" x14ac:dyDescent="0.2">
      <c r="B10" s="108">
        <v>2025</v>
      </c>
      <c r="C10" s="108" t="s">
        <v>80</v>
      </c>
      <c r="D10" s="104">
        <v>1.1841614448188498</v>
      </c>
      <c r="E10" s="4" t="s">
        <v>819</v>
      </c>
      <c r="F10" s="4" t="s">
        <v>833</v>
      </c>
      <c r="G10" s="35" t="s">
        <v>857</v>
      </c>
    </row>
    <row r="11" spans="1:8" x14ac:dyDescent="0.2">
      <c r="B11" s="108">
        <v>2025</v>
      </c>
      <c r="C11" s="108" t="s">
        <v>825</v>
      </c>
      <c r="D11" s="104">
        <v>1.0752753878683297</v>
      </c>
      <c r="E11" s="4" t="s">
        <v>819</v>
      </c>
      <c r="F11" s="4" t="s">
        <v>834</v>
      </c>
      <c r="G11" s="35"/>
    </row>
    <row r="12" spans="1:8" x14ac:dyDescent="0.2">
      <c r="B12" s="108">
        <v>2025</v>
      </c>
      <c r="C12" s="108" t="s">
        <v>826</v>
      </c>
      <c r="D12" s="104">
        <v>1.1175177213702641</v>
      </c>
      <c r="E12" s="4" t="s">
        <v>819</v>
      </c>
      <c r="F12" s="4" t="s">
        <v>835</v>
      </c>
      <c r="G12" s="35"/>
    </row>
    <row r="13" spans="1:8" x14ac:dyDescent="0.2">
      <c r="B13" s="293">
        <v>2025</v>
      </c>
      <c r="C13" s="195" t="s">
        <v>1059</v>
      </c>
      <c r="D13" s="104">
        <v>1.4</v>
      </c>
      <c r="E13" s="163" t="s">
        <v>283</v>
      </c>
      <c r="F13" s="163" t="s">
        <v>1060</v>
      </c>
      <c r="G13" s="126"/>
    </row>
    <row r="14" spans="1:8" x14ac:dyDescent="0.2">
      <c r="B14" s="195"/>
      <c r="F14" s="4"/>
    </row>
  </sheetData>
  <sheetProtection algorithmName="SHA-512" hashValue="cu3nIvaAC5aNMO+DJZnW77LcMcS0FvetpvYwWihJ2vX9ATU6SWQxNPBqTUsgs/SKbP5HmQeEeRnv9o5semDrxg==" saltValue="7qyA4GegqwTCkqQmzOmZhg==" spinCount="100000" sheet="1" objects="1" scenarios="1" autoFilter="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F3D4-89DA-4B58-AC0D-2478F9529E5B}">
  <sheetPr>
    <tabColor theme="9"/>
    <pageSetUpPr fitToPage="1"/>
  </sheetPr>
  <dimension ref="A1:Z311"/>
  <sheetViews>
    <sheetView showGridLines="0" zoomScale="85" zoomScaleNormal="85" zoomScaleSheetLayoutView="100" workbookViewId="0">
      <selection activeCell="H17" sqref="H17"/>
    </sheetView>
  </sheetViews>
  <sheetFormatPr defaultRowHeight="14.25" x14ac:dyDescent="0.2"/>
  <cols>
    <col min="1" max="1" width="1.25" style="521" customWidth="1"/>
    <col min="2" max="3" width="10.625" style="352" hidden="1" customWidth="1"/>
    <col min="4" max="4" width="1.625" customWidth="1"/>
    <col min="5" max="5" width="3.75" customWidth="1"/>
    <col min="6" max="6" width="5" customWidth="1"/>
    <col min="7" max="7" width="4.25" customWidth="1"/>
    <col min="8" max="8" width="45.375" customWidth="1"/>
    <col min="9" max="13" width="16" style="551" customWidth="1"/>
    <col min="14" max="14" width="1.25" customWidth="1"/>
    <col min="15" max="15" width="4.875" customWidth="1"/>
    <col min="16" max="16" width="2.75" hidden="1" customWidth="1"/>
    <col min="17" max="18" width="9" hidden="1" customWidth="1"/>
    <col min="19" max="19" width="26.75" hidden="1" customWidth="1"/>
    <col min="20" max="25" width="10.25" hidden="1" customWidth="1"/>
    <col min="26" max="26" width="1.875" style="600" hidden="1" customWidth="1"/>
  </cols>
  <sheetData>
    <row r="1" spans="1:26" s="521" customFormat="1" x14ac:dyDescent="0.2">
      <c r="I1" s="551"/>
      <c r="J1" s="551"/>
      <c r="K1" s="551"/>
      <c r="L1" s="551"/>
      <c r="M1" s="551"/>
      <c r="P1" s="596"/>
      <c r="Z1" s="596"/>
    </row>
    <row r="2" spans="1:26" hidden="1" x14ac:dyDescent="0.2">
      <c r="A2" s="499"/>
      <c r="B2" s="499"/>
      <c r="C2" s="499"/>
      <c r="D2" s="499"/>
      <c r="E2" s="499"/>
      <c r="F2" s="499"/>
      <c r="G2" s="499"/>
      <c r="H2" s="499" t="s">
        <v>877</v>
      </c>
      <c r="I2" s="552" t="s">
        <v>876</v>
      </c>
      <c r="J2" s="552" t="s">
        <v>875</v>
      </c>
      <c r="K2" s="552" t="s">
        <v>874</v>
      </c>
      <c r="L2" s="552" t="s">
        <v>873</v>
      </c>
      <c r="M2" s="552" t="s">
        <v>870</v>
      </c>
      <c r="P2" s="596"/>
      <c r="Z2" s="596"/>
    </row>
    <row r="3" spans="1:26" s="352" customFormat="1" hidden="1" x14ac:dyDescent="0.2">
      <c r="A3" s="499"/>
      <c r="B3" s="499"/>
      <c r="C3" s="499"/>
      <c r="D3" s="499"/>
      <c r="E3" s="499"/>
      <c r="F3" s="499"/>
      <c r="G3" s="499"/>
      <c r="H3" s="499" t="s">
        <v>3543</v>
      </c>
      <c r="I3" s="552" t="s">
        <v>1135</v>
      </c>
      <c r="J3" s="552" t="s">
        <v>1140</v>
      </c>
      <c r="K3" s="552" t="s">
        <v>1141</v>
      </c>
      <c r="L3" s="552" t="s">
        <v>1142</v>
      </c>
      <c r="M3" s="552" t="s">
        <v>1143</v>
      </c>
      <c r="P3" s="596"/>
      <c r="Z3" s="596"/>
    </row>
    <row r="4" spans="1:26" hidden="1" x14ac:dyDescent="0.2">
      <c r="A4" s="499"/>
      <c r="B4" s="499"/>
      <c r="C4" s="499"/>
      <c r="D4" s="499"/>
      <c r="E4" s="499"/>
      <c r="F4" s="499"/>
      <c r="G4" s="499"/>
      <c r="H4" s="499" t="s">
        <v>3544</v>
      </c>
      <c r="I4" s="552" t="s">
        <v>2241</v>
      </c>
      <c r="J4" s="552" t="s">
        <v>2241</v>
      </c>
      <c r="K4" s="552" t="s">
        <v>2242</v>
      </c>
      <c r="L4" s="552" t="s">
        <v>2242</v>
      </c>
      <c r="M4" s="552" t="s">
        <v>2243</v>
      </c>
      <c r="P4" s="596"/>
      <c r="Z4" s="596"/>
    </row>
    <row r="5" spans="1:26" s="352" customFormat="1" hidden="1" x14ac:dyDescent="0.2">
      <c r="A5" s="499"/>
      <c r="B5" s="499"/>
      <c r="C5" s="499"/>
      <c r="D5" s="499"/>
      <c r="E5" s="499"/>
      <c r="F5" s="499"/>
      <c r="G5" s="499"/>
      <c r="H5" s="499" t="s">
        <v>794</v>
      </c>
      <c r="I5" s="552" t="s">
        <v>24</v>
      </c>
      <c r="J5" s="552" t="s">
        <v>24</v>
      </c>
      <c r="K5" s="552" t="s">
        <v>24</v>
      </c>
      <c r="L5" s="552" t="s">
        <v>24</v>
      </c>
      <c r="M5" s="552" t="s">
        <v>24</v>
      </c>
      <c r="P5" s="596"/>
      <c r="Z5" s="596"/>
    </row>
    <row r="6" spans="1:26" s="352" customFormat="1" hidden="1" x14ac:dyDescent="0.2">
      <c r="A6" s="499"/>
      <c r="B6" s="499"/>
      <c r="C6" s="499"/>
      <c r="D6" s="499"/>
      <c r="E6" s="499"/>
      <c r="F6" s="499"/>
      <c r="G6" s="499"/>
      <c r="H6" s="499" t="s">
        <v>1101</v>
      </c>
      <c r="I6" s="552" t="s">
        <v>3546</v>
      </c>
      <c r="J6" s="552" t="s">
        <v>3546</v>
      </c>
      <c r="K6" s="552" t="s">
        <v>3546</v>
      </c>
      <c r="L6" s="552" t="s">
        <v>3546</v>
      </c>
      <c r="M6" s="552" t="s">
        <v>3546</v>
      </c>
      <c r="P6" s="596"/>
      <c r="Z6" s="596"/>
    </row>
    <row r="7" spans="1:26" s="352" customFormat="1" hidden="1" x14ac:dyDescent="0.2">
      <c r="A7" s="499"/>
      <c r="B7" s="499"/>
      <c r="C7" s="499"/>
      <c r="D7" s="499"/>
      <c r="E7" s="499"/>
      <c r="F7" s="499"/>
      <c r="G7" s="499"/>
      <c r="H7" s="499" t="s">
        <v>3580</v>
      </c>
      <c r="I7" s="552" t="s">
        <v>806</v>
      </c>
      <c r="J7" s="552" t="s">
        <v>806</v>
      </c>
      <c r="K7" s="552" t="s">
        <v>806</v>
      </c>
      <c r="L7" s="552" t="s">
        <v>806</v>
      </c>
      <c r="M7" s="552" t="s">
        <v>808</v>
      </c>
      <c r="P7" s="596"/>
      <c r="Z7" s="596"/>
    </row>
    <row r="8" spans="1:26" s="352" customFormat="1" hidden="1" x14ac:dyDescent="0.2">
      <c r="A8" s="499"/>
      <c r="B8" s="499"/>
      <c r="C8" s="499"/>
      <c r="D8" s="499"/>
      <c r="E8" s="499"/>
      <c r="F8" s="499"/>
      <c r="G8" s="499"/>
      <c r="H8" s="499" t="s">
        <v>3577</v>
      </c>
      <c r="I8" s="552" t="s">
        <v>3555</v>
      </c>
      <c r="J8" s="552" t="s">
        <v>3556</v>
      </c>
      <c r="K8" s="552" t="s">
        <v>3557</v>
      </c>
      <c r="L8" s="552" t="s">
        <v>3558</v>
      </c>
      <c r="M8" s="552" t="s">
        <v>3559</v>
      </c>
      <c r="P8" s="596"/>
      <c r="Z8" s="596"/>
    </row>
    <row r="9" spans="1:26" s="352" customFormat="1" hidden="1" x14ac:dyDescent="0.2">
      <c r="A9" s="499"/>
      <c r="B9" s="499"/>
      <c r="C9" s="499"/>
      <c r="D9" s="499"/>
      <c r="E9" s="499"/>
      <c r="F9" s="499"/>
      <c r="G9" s="499"/>
      <c r="H9" s="528" t="s">
        <v>3578</v>
      </c>
      <c r="I9" s="552" t="s">
        <v>3562</v>
      </c>
      <c r="J9" s="552" t="s">
        <v>3563</v>
      </c>
      <c r="K9" s="552" t="s">
        <v>3564</v>
      </c>
      <c r="L9" s="552" t="s">
        <v>3565</v>
      </c>
      <c r="M9" s="552" t="s">
        <v>3566</v>
      </c>
      <c r="P9" s="596"/>
      <c r="Z9" s="596"/>
    </row>
    <row r="10" spans="1:26" s="352" customFormat="1" hidden="1" x14ac:dyDescent="0.2">
      <c r="A10" s="499"/>
      <c r="B10" s="499"/>
      <c r="C10" s="499"/>
      <c r="D10" s="499"/>
      <c r="E10" s="499"/>
      <c r="F10" s="499"/>
      <c r="G10" s="499"/>
      <c r="H10" s="528" t="s">
        <v>817</v>
      </c>
      <c r="I10" s="552">
        <v>2025</v>
      </c>
      <c r="J10" s="552">
        <v>2025</v>
      </c>
      <c r="K10" s="552">
        <v>2025</v>
      </c>
      <c r="L10" s="552">
        <v>2025</v>
      </c>
      <c r="M10" s="552">
        <v>2025</v>
      </c>
      <c r="P10" s="596"/>
      <c r="Z10" s="596"/>
    </row>
    <row r="11" spans="1:26" s="352" customFormat="1" hidden="1" x14ac:dyDescent="0.2">
      <c r="A11" s="499"/>
      <c r="B11" s="499"/>
      <c r="C11" s="499"/>
      <c r="D11" s="499"/>
      <c r="E11" s="499"/>
      <c r="F11" s="499"/>
      <c r="G11" s="499"/>
      <c r="H11" s="528"/>
      <c r="I11" s="553"/>
      <c r="J11" s="553"/>
      <c r="K11" s="553"/>
      <c r="L11" s="553"/>
      <c r="M11" s="553"/>
      <c r="P11" s="596"/>
      <c r="Z11" s="596"/>
    </row>
    <row r="12" spans="1:26" s="530" customFormat="1" ht="6" x14ac:dyDescent="0.15">
      <c r="B12" s="530" t="s">
        <v>3581</v>
      </c>
      <c r="I12" s="555"/>
      <c r="J12" s="555"/>
      <c r="K12" s="555"/>
      <c r="L12" s="555"/>
      <c r="M12" s="555"/>
      <c r="P12" s="597"/>
      <c r="Z12" s="597"/>
    </row>
    <row r="13" spans="1:26" ht="18" x14ac:dyDescent="0.25">
      <c r="E13" s="580" t="s">
        <v>3628</v>
      </c>
      <c r="P13" s="596"/>
      <c r="Z13" s="596"/>
    </row>
    <row r="14" spans="1:26" s="530" customFormat="1" ht="6" x14ac:dyDescent="0.15">
      <c r="B14" s="530" t="s">
        <v>3581</v>
      </c>
      <c r="I14" s="555"/>
      <c r="J14" s="555"/>
      <c r="K14" s="555"/>
      <c r="L14" s="555"/>
      <c r="M14" s="555"/>
      <c r="P14" s="597"/>
      <c r="Z14" s="597"/>
    </row>
    <row r="15" spans="1:26" s="521" customFormat="1" ht="20.25" x14ac:dyDescent="0.3">
      <c r="E15" s="529"/>
      <c r="F15" s="578" t="s">
        <v>3642</v>
      </c>
      <c r="I15" s="551"/>
      <c r="J15" s="551"/>
      <c r="K15" s="551"/>
      <c r="L15" s="551"/>
      <c r="M15" s="551"/>
      <c r="P15" s="596"/>
      <c r="S15" s="600"/>
      <c r="Z15" s="596"/>
    </row>
    <row r="16" spans="1:26" s="521" customFormat="1" ht="18" x14ac:dyDescent="0.25">
      <c r="E16" s="529"/>
      <c r="F16" s="579" t="s">
        <v>3731</v>
      </c>
      <c r="I16" s="551"/>
      <c r="J16" s="551"/>
      <c r="K16" s="551"/>
      <c r="L16" s="551"/>
      <c r="M16" s="551"/>
      <c r="P16" s="596"/>
      <c r="S16" s="600"/>
      <c r="Z16" s="596"/>
    </row>
    <row r="17" spans="1:26" x14ac:dyDescent="0.2">
      <c r="P17" s="596"/>
      <c r="S17" s="600"/>
      <c r="Z17" s="596"/>
    </row>
    <row r="18" spans="1:26" s="521" customFormat="1" ht="15" x14ac:dyDescent="0.25">
      <c r="E18" s="381" t="s">
        <v>3627</v>
      </c>
      <c r="I18" s="551"/>
      <c r="J18" s="551"/>
      <c r="K18" s="551"/>
      <c r="L18" s="551"/>
      <c r="M18" s="551"/>
      <c r="P18" s="596"/>
      <c r="S18" s="600"/>
      <c r="Z18" s="596"/>
    </row>
    <row r="19" spans="1:26" s="521" customFormat="1" x14ac:dyDescent="0.2">
      <c r="F19" s="521" t="s">
        <v>3624</v>
      </c>
      <c r="I19" s="551"/>
      <c r="J19" s="551"/>
      <c r="K19" s="551"/>
      <c r="L19" s="551"/>
      <c r="M19" s="551"/>
      <c r="P19" s="596"/>
      <c r="S19" s="600"/>
      <c r="Z19" s="596"/>
    </row>
    <row r="20" spans="1:26" s="521" customFormat="1" x14ac:dyDescent="0.2">
      <c r="F20" s="521" t="s">
        <v>3625</v>
      </c>
      <c r="I20" s="551"/>
      <c r="J20" s="551"/>
      <c r="K20" s="551"/>
      <c r="L20" s="551"/>
      <c r="M20" s="551"/>
      <c r="P20" s="596"/>
      <c r="S20" s="600"/>
      <c r="T20" s="600"/>
      <c r="U20" s="600"/>
      <c r="V20" s="600"/>
      <c r="W20" s="600"/>
      <c r="Z20" s="596"/>
    </row>
    <row r="21" spans="1:26" s="521" customFormat="1" x14ac:dyDescent="0.2">
      <c r="F21" s="521" t="s">
        <v>3626</v>
      </c>
      <c r="I21" s="551"/>
      <c r="J21" s="551"/>
      <c r="K21" s="551"/>
      <c r="L21" s="551"/>
      <c r="M21" s="551"/>
      <c r="P21" s="596"/>
      <c r="Z21" s="596"/>
    </row>
    <row r="22" spans="1:26" s="521" customFormat="1" x14ac:dyDescent="0.2">
      <c r="F22" s="521" t="s">
        <v>3672</v>
      </c>
      <c r="I22" s="551"/>
      <c r="J22" s="551"/>
      <c r="K22" s="551"/>
      <c r="L22" s="551"/>
      <c r="M22" s="551"/>
      <c r="P22" s="596"/>
      <c r="Z22" s="596"/>
    </row>
    <row r="23" spans="1:26" s="521" customFormat="1" x14ac:dyDescent="0.2">
      <c r="I23" s="551"/>
      <c r="J23" s="551"/>
      <c r="K23" s="551"/>
      <c r="L23" s="551"/>
      <c r="M23" s="551"/>
      <c r="P23" s="596"/>
      <c r="Z23" s="596"/>
    </row>
    <row r="24" spans="1:26" ht="45" x14ac:dyDescent="0.25">
      <c r="E24" s="535" t="s">
        <v>1162</v>
      </c>
      <c r="F24" s="535"/>
      <c r="G24" s="535"/>
      <c r="H24" s="535"/>
      <c r="I24" s="554" t="s">
        <v>3614</v>
      </c>
      <c r="J24" s="575" t="s">
        <v>3645</v>
      </c>
      <c r="K24" s="575" t="s">
        <v>3646</v>
      </c>
      <c r="L24" s="575" t="s">
        <v>3647</v>
      </c>
      <c r="M24" s="575" t="s">
        <v>3644</v>
      </c>
      <c r="P24" s="596"/>
      <c r="Z24" s="596"/>
    </row>
    <row r="25" spans="1:26" s="530" customFormat="1" ht="6" x14ac:dyDescent="0.15">
      <c r="B25" s="530" t="s">
        <v>3581</v>
      </c>
      <c r="I25" s="555"/>
      <c r="J25" s="555"/>
      <c r="K25" s="555"/>
      <c r="L25" s="555"/>
      <c r="M25" s="555"/>
      <c r="P25" s="597"/>
      <c r="Z25" s="597"/>
    </row>
    <row r="26" spans="1:26" s="521" customFormat="1" x14ac:dyDescent="0.2">
      <c r="E26" s="549" t="s">
        <v>3707</v>
      </c>
      <c r="I26" s="551"/>
      <c r="J26" s="551"/>
      <c r="K26" s="551"/>
      <c r="L26" s="551"/>
      <c r="M26" s="551"/>
      <c r="P26" s="596"/>
      <c r="Z26" s="596"/>
    </row>
    <row r="27" spans="1:26" s="352" customFormat="1" x14ac:dyDescent="0.2">
      <c r="A27" s="521"/>
      <c r="E27" s="549" t="s">
        <v>3708</v>
      </c>
      <c r="I27" s="551"/>
      <c r="J27" s="551"/>
      <c r="K27" s="551"/>
      <c r="L27" s="551"/>
      <c r="M27" s="551"/>
      <c r="P27" s="596"/>
      <c r="Z27" s="596"/>
    </row>
    <row r="28" spans="1:26" s="530" customFormat="1" ht="6" x14ac:dyDescent="0.15">
      <c r="B28" s="530" t="s">
        <v>3581</v>
      </c>
      <c r="I28" s="555"/>
      <c r="J28" s="555"/>
      <c r="K28" s="555"/>
      <c r="L28" s="555"/>
      <c r="M28" s="555"/>
      <c r="P28" s="597"/>
      <c r="Z28" s="597"/>
    </row>
    <row r="29" spans="1:26" ht="15" x14ac:dyDescent="0.25">
      <c r="B29" s="352" t="s">
        <v>1101</v>
      </c>
      <c r="C29" s="352" t="s">
        <v>2219</v>
      </c>
      <c r="E29" s="181"/>
      <c r="F29" s="539" t="s">
        <v>1172</v>
      </c>
      <c r="G29" s="536"/>
      <c r="H29" s="536"/>
      <c r="I29" s="550"/>
      <c r="J29" s="550"/>
      <c r="K29" s="550"/>
      <c r="L29" s="550"/>
      <c r="M29" s="550"/>
      <c r="P29" s="596"/>
      <c r="Z29" s="596"/>
    </row>
    <row r="30" spans="1:26" x14ac:dyDescent="0.2">
      <c r="B30" s="352">
        <v>1</v>
      </c>
      <c r="C30" s="352" t="s">
        <v>64</v>
      </c>
      <c r="G30" t="s">
        <v>2220</v>
      </c>
      <c r="I30" s="556">
        <f>SUMIFS(CollectionCostTotal[Customers],CollectionCostTotal[Scenario_ID],I$2,CollectionCostTotal[Sector_ID],$B30,CollectionCostTotal[Frequency_ID],"W")</f>
        <v>993281.45128334791</v>
      </c>
      <c r="J30" s="558" t="s">
        <v>3706</v>
      </c>
      <c r="K30" s="558" t="s">
        <v>3706</v>
      </c>
      <c r="L30" s="558" t="s">
        <v>3706</v>
      </c>
      <c r="M30" s="561">
        <f>SUMIFS(CollectionCostTotal[Customers],CollectionCostTotal[Scenario_ID],M$2,CollectionCostTotal[Sector_ID],$B30)</f>
        <v>1920897.4866103553</v>
      </c>
      <c r="P30" s="596"/>
      <c r="Q30" s="408">
        <f>I30/M30</f>
        <v>0.51709237906084582</v>
      </c>
      <c r="Z30" s="596"/>
    </row>
    <row r="31" spans="1:26" x14ac:dyDescent="0.2">
      <c r="B31" s="352">
        <v>1</v>
      </c>
      <c r="G31" s="352" t="s">
        <v>2221</v>
      </c>
      <c r="I31" s="556">
        <f>SUMIFS(CollectionCostTotal[Customers],CollectionCostTotal[Scenario_ID],I$2,CollectionCostTotal[Sector_ID],$B31)-SUMIFS(CollectionCostTotal[Customers],CollectionCostTotal[Scenario_ID],I$2,CollectionCostTotal[Sector_ID],$B31,CollectionCostTotal[Frequency_ID],"W")</f>
        <v>927616.03532700741</v>
      </c>
      <c r="J31" s="558" t="s">
        <v>3706</v>
      </c>
      <c r="K31" s="558" t="s">
        <v>3706</v>
      </c>
      <c r="L31" s="558" t="s">
        <v>3706</v>
      </c>
      <c r="M31" s="561">
        <v>0</v>
      </c>
      <c r="P31" s="596"/>
      <c r="Z31" s="596"/>
    </row>
    <row r="32" spans="1:26" x14ac:dyDescent="0.2">
      <c r="B32" s="352">
        <v>2</v>
      </c>
      <c r="G32" t="s">
        <v>2222</v>
      </c>
      <c r="I32" s="556">
        <f>SUMIFS(CollectionCostTotal[Customers],CollectionCostTotal[Scenario_ID],I$2,CollectionCostTotal[Sector_ID],$B32)</f>
        <v>34229.534611498653</v>
      </c>
      <c r="J32" s="558" t="s">
        <v>3706</v>
      </c>
      <c r="K32" s="558" t="s">
        <v>3706</v>
      </c>
      <c r="L32" s="558" t="s">
        <v>3706</v>
      </c>
      <c r="M32" s="558" t="s">
        <v>3706</v>
      </c>
      <c r="P32" s="596"/>
      <c r="Z32" s="596"/>
    </row>
    <row r="33" spans="1:26" x14ac:dyDescent="0.2">
      <c r="B33" s="352">
        <v>3</v>
      </c>
      <c r="G33" t="s">
        <v>2223</v>
      </c>
      <c r="I33" s="556">
        <f>SUMIFS(CollectionCostTotal[Customers],CollectionCostTotal[Scenario_ID],I$2,CollectionCostTotal[Sector_ID],$B33)</f>
        <v>131934.0697239523</v>
      </c>
      <c r="J33" s="558" t="s">
        <v>3706</v>
      </c>
      <c r="K33" s="558" t="s">
        <v>3706</v>
      </c>
      <c r="L33" s="558" t="s">
        <v>3706</v>
      </c>
      <c r="M33" s="558" t="s">
        <v>3706</v>
      </c>
      <c r="P33" s="596"/>
      <c r="Z33" s="596"/>
    </row>
    <row r="34" spans="1:26" x14ac:dyDescent="0.2">
      <c r="B34" s="352">
        <v>1</v>
      </c>
      <c r="G34" t="s">
        <v>1167</v>
      </c>
      <c r="I34" s="556" t="s">
        <v>3682</v>
      </c>
      <c r="J34" s="558" t="s">
        <v>3706</v>
      </c>
      <c r="K34" s="558" t="s">
        <v>3706</v>
      </c>
      <c r="L34" s="558" t="s">
        <v>3706</v>
      </c>
      <c r="M34" s="558" t="s">
        <v>3706</v>
      </c>
      <c r="P34" s="596"/>
      <c r="Z34" s="596"/>
    </row>
    <row r="35" spans="1:26" s="530" customFormat="1" ht="6" x14ac:dyDescent="0.15">
      <c r="B35" s="530" t="s">
        <v>3581</v>
      </c>
      <c r="I35" s="555"/>
      <c r="J35" s="555"/>
      <c r="K35" s="555"/>
      <c r="L35" s="555"/>
      <c r="M35" s="555"/>
      <c r="P35" s="597"/>
      <c r="Z35" s="597"/>
    </row>
    <row r="36" spans="1:26" ht="15" x14ac:dyDescent="0.25">
      <c r="E36" s="181"/>
      <c r="F36" s="539" t="s">
        <v>1166</v>
      </c>
      <c r="G36" s="536"/>
      <c r="H36" s="536"/>
      <c r="I36" s="550"/>
      <c r="J36" s="550"/>
      <c r="K36" s="550"/>
      <c r="L36" s="550"/>
      <c r="M36" s="550"/>
      <c r="P36" s="596"/>
      <c r="Z36" s="596"/>
    </row>
    <row r="37" spans="1:26" x14ac:dyDescent="0.2">
      <c r="B37" s="352" t="s">
        <v>3681</v>
      </c>
      <c r="G37" s="352" t="s">
        <v>3679</v>
      </c>
      <c r="I37" s="556">
        <f>SUMIFS(GroupPop2018[Pop2025],GroupPop2018[Group],$B37)</f>
        <v>3856630.6385495043</v>
      </c>
      <c r="J37" s="558" t="s">
        <v>3668</v>
      </c>
      <c r="K37" s="558"/>
      <c r="L37" s="557"/>
      <c r="M37" s="557"/>
      <c r="P37" s="596"/>
      <c r="Z37" s="596"/>
    </row>
    <row r="38" spans="1:26" x14ac:dyDescent="0.2">
      <c r="B38" s="352">
        <v>4</v>
      </c>
      <c r="G38" s="352" t="s">
        <v>3680</v>
      </c>
      <c r="I38" s="556">
        <f>SUMIFS(GroupPop2018[Pop2025],GroupPop2018[Group],$B38)</f>
        <v>654847.430032862</v>
      </c>
      <c r="J38" s="557"/>
      <c r="K38" s="557"/>
      <c r="L38" s="557"/>
      <c r="M38" s="557"/>
      <c r="P38" s="596"/>
      <c r="Z38" s="596"/>
    </row>
    <row r="39" spans="1:26" s="549" customFormat="1" x14ac:dyDescent="0.2">
      <c r="B39" s="549" t="s">
        <v>3581</v>
      </c>
      <c r="I39" s="585"/>
      <c r="J39" s="585"/>
      <c r="K39" s="585"/>
      <c r="L39" s="585"/>
      <c r="M39" s="585"/>
      <c r="P39" s="598"/>
      <c r="Z39" s="598"/>
    </row>
    <row r="40" spans="1:26" s="352" customFormat="1" ht="45" x14ac:dyDescent="0.25">
      <c r="A40" s="521"/>
      <c r="E40" s="535" t="s">
        <v>3665</v>
      </c>
      <c r="F40" s="535"/>
      <c r="G40" s="535"/>
      <c r="H40" s="535"/>
      <c r="I40" s="554" t="str">
        <f>I$24</f>
        <v>Baseline</v>
      </c>
      <c r="J40" s="575" t="str">
        <f t="shared" ref="J40:M40" si="0">J$24</f>
        <v>Scenario A  
Modern MRFs</v>
      </c>
      <c r="K40" s="575" t="str">
        <f t="shared" si="0"/>
        <v>Scenario A+  
Modern MRFs &amp; Longer List</v>
      </c>
      <c r="L40" s="575" t="str">
        <f t="shared" si="0"/>
        <v>Scenario B  
Out-of-State CRF</v>
      </c>
      <c r="M40" s="575" t="str">
        <f t="shared" si="0"/>
        <v>Scenario  C  
Dual-Stream</v>
      </c>
      <c r="P40" s="596"/>
      <c r="Z40" s="596"/>
    </row>
    <row r="41" spans="1:26" s="530" customFormat="1" ht="6" x14ac:dyDescent="0.15">
      <c r="B41" s="530" t="s">
        <v>3581</v>
      </c>
      <c r="I41" s="555"/>
      <c r="J41" s="555"/>
      <c r="K41" s="555"/>
      <c r="L41" s="555"/>
      <c r="M41" s="555"/>
      <c r="P41" s="597"/>
      <c r="Z41" s="597"/>
    </row>
    <row r="42" spans="1:26" s="352" customFormat="1" x14ac:dyDescent="0.2">
      <c r="A42" s="521"/>
      <c r="E42" s="584" t="s">
        <v>3666</v>
      </c>
      <c r="I42" s="551"/>
      <c r="J42" s="551"/>
      <c r="K42" s="551"/>
      <c r="L42" s="551"/>
      <c r="M42" s="551"/>
      <c r="P42" s="596"/>
      <c r="Q42" s="530"/>
      <c r="R42" s="530"/>
      <c r="S42" s="530"/>
      <c r="T42" s="530"/>
      <c r="U42" s="530"/>
      <c r="V42" s="530"/>
      <c r="W42" s="530"/>
      <c r="X42" s="530"/>
      <c r="Y42" s="530"/>
      <c r="Z42" s="596"/>
    </row>
    <row r="43" spans="1:26" s="521" customFormat="1" x14ac:dyDescent="0.2">
      <c r="E43" s="549" t="s">
        <v>3667</v>
      </c>
      <c r="I43" s="551"/>
      <c r="J43" s="551"/>
      <c r="K43" s="551"/>
      <c r="L43" s="551"/>
      <c r="M43" s="551"/>
      <c r="P43" s="596"/>
      <c r="Q43" s="530"/>
      <c r="R43" s="530"/>
      <c r="S43" s="530"/>
      <c r="T43" s="530"/>
      <c r="U43" s="530"/>
      <c r="V43" s="530"/>
      <c r="W43" s="530"/>
      <c r="X43" s="530"/>
      <c r="Y43" s="530"/>
      <c r="Z43" s="596"/>
    </row>
    <row r="44" spans="1:26" s="530" customFormat="1" ht="6" x14ac:dyDescent="0.15">
      <c r="B44" s="530" t="s">
        <v>3581</v>
      </c>
      <c r="I44" s="555"/>
      <c r="J44" s="555"/>
      <c r="K44" s="555"/>
      <c r="L44" s="555"/>
      <c r="M44" s="555"/>
      <c r="P44" s="597"/>
      <c r="Z44" s="597"/>
    </row>
    <row r="45" spans="1:26" s="352" customFormat="1" ht="15" x14ac:dyDescent="0.25">
      <c r="A45" s="521"/>
      <c r="B45" s="352" t="s">
        <v>3546</v>
      </c>
      <c r="E45" s="181"/>
      <c r="F45" s="539" t="s">
        <v>3590</v>
      </c>
      <c r="G45" s="536"/>
      <c r="H45" s="536"/>
      <c r="I45" s="550">
        <f>SUMIFS(INDEX(CaptureRate[#Data],,MATCH(I$3,CaptureRate[#Headers],0)),CaptureRate[StartingStream_ID],"01",CaptureRate[Sector_ID],$B45)+
SUMIFS(INDEX(CaptureRate[#Data],,MATCH(I$3,CaptureRate[#Headers],0)),CaptureRate[StartingStream_ID],"02",CaptureRate[Sector_ID],$B45)+
SUMIFS(INDEX(CaptureRate[#Data],,MATCH(I$3,CaptureRate[#Headers],0)),CaptureRate[StartingStream_ID],"11",CaptureRate[Sector_ID],$B45)+
SUMIFS(INDEX(CaptureRate[#Data],,MATCH(I$3,CaptureRate[#Headers],0)),CaptureRate[StartingStream_ID],"12",CaptureRate[Sector_ID],$B45)</f>
        <v>592621.26006019604</v>
      </c>
      <c r="J45" s="550">
        <f>SUMIFS(INDEX(CaptureRate[#Data],,MATCH(J$3,CaptureRate[#Headers],0)),CaptureRate[StartingStream_ID],"01",CaptureRate[Sector_ID],$B45)+
SUMIFS(INDEX(CaptureRate[#Data],,MATCH(J$3,CaptureRate[#Headers],0)),CaptureRate[StartingStream_ID],"02",CaptureRate[Sector_ID],$B45)+
SUMIFS(INDEX(CaptureRate[#Data],,MATCH(J$3,CaptureRate[#Headers],0)),CaptureRate[StartingStream_ID],"11",CaptureRate[Sector_ID],$B45)+
SUMIFS(INDEX(CaptureRate[#Data],,MATCH(J$3,CaptureRate[#Headers],0)),CaptureRate[StartingStream_ID],"12",CaptureRate[Sector_ID],$B45)</f>
        <v>559193.55571765802</v>
      </c>
      <c r="K45" s="550">
        <f>SUMIFS(INDEX(CaptureRate[#Data],,MATCH(K$3,CaptureRate[#Headers],0)),CaptureRate[StartingStream_ID],"01",CaptureRate[Sector_ID],$B45)+
SUMIFS(INDEX(CaptureRate[#Data],,MATCH(K$3,CaptureRate[#Headers],0)),CaptureRate[StartingStream_ID],"02",CaptureRate[Sector_ID],$B45)+
SUMIFS(INDEX(CaptureRate[#Data],,MATCH(K$3,CaptureRate[#Headers],0)),CaptureRate[StartingStream_ID],"11",CaptureRate[Sector_ID],$B45)+
SUMIFS(INDEX(CaptureRate[#Data],,MATCH(K$3,CaptureRate[#Headers],0)),CaptureRate[StartingStream_ID],"12",CaptureRate[Sector_ID],$B45)</f>
        <v>616038.12748734618</v>
      </c>
      <c r="L45" s="550">
        <f>SUMIFS(INDEX(CaptureRate[#Data],,MATCH(L$3,CaptureRate[#Headers],0)),CaptureRate[StartingStream_ID],"01",CaptureRate[Sector_ID],$B45)+
SUMIFS(INDEX(CaptureRate[#Data],,MATCH(L$3,CaptureRate[#Headers],0)),CaptureRate[StartingStream_ID],"02",CaptureRate[Sector_ID],$B45)+
SUMIFS(INDEX(CaptureRate[#Data],,MATCH(L$3,CaptureRate[#Headers],0)),CaptureRate[StartingStream_ID],"11",CaptureRate[Sector_ID],$B45)+
SUMIFS(INDEX(CaptureRate[#Data],,MATCH(L$3,CaptureRate[#Headers],0)),CaptureRate[StartingStream_ID],"12",CaptureRate[Sector_ID],$B45)</f>
        <v>616038.12748734618</v>
      </c>
      <c r="M45" s="550">
        <f>SUMIFS(INDEX(CaptureRate[#Data],,MATCH(M$3,CaptureRate[#Headers],0)),CaptureRate[StartingStream_ID],"01",CaptureRate[Sector_ID],$B45)+
SUMIFS(INDEX(CaptureRate[#Data],,MATCH(M$3,CaptureRate[#Headers],0)),CaptureRate[StartingStream_ID],"02",CaptureRate[Sector_ID],$B45)+
SUMIFS(INDEX(CaptureRate[#Data],,MATCH(M$3,CaptureRate[#Headers],0)),CaptureRate[StartingStream_ID],"11",CaptureRate[Sector_ID],$B45)+
SUMIFS(INDEX(CaptureRate[#Data],,MATCH(M$3,CaptureRate[#Headers],0)),CaptureRate[StartingStream_ID],"12",CaptureRate[Sector_ID],$B45)</f>
        <v>616615.4832750872</v>
      </c>
      <c r="P45" s="596"/>
      <c r="Q45" s="530"/>
      <c r="R45" s="530"/>
      <c r="S45" s="530"/>
      <c r="T45" s="530"/>
      <c r="U45" s="530"/>
      <c r="V45" s="530"/>
      <c r="W45" s="530"/>
      <c r="X45" s="530"/>
      <c r="Y45" s="530"/>
      <c r="Z45" s="596"/>
    </row>
    <row r="46" spans="1:26" s="352" customFormat="1" x14ac:dyDescent="0.2">
      <c r="A46" s="521"/>
      <c r="B46" s="352">
        <v>1</v>
      </c>
      <c r="G46" s="352" t="s">
        <v>1163</v>
      </c>
      <c r="I46" s="561">
        <f>SUMIFS(INDEX(CaptureRate[#Data],,MATCH(I$3,CaptureRate[#Headers],0)),CaptureRate[StartingStream_ID],"01",CaptureRate[Sector_ID],$B46)+
SUMIFS(INDEX(CaptureRate[#Data],,MATCH(I$3,CaptureRate[#Headers],0)),CaptureRate[StartingStream_ID],"02",CaptureRate[Sector_ID],$B46)+
SUMIFS(INDEX(CaptureRate[#Data],,MATCH(I$3,CaptureRate[#Headers],0)),CaptureRate[StartingStream_ID],"11",CaptureRate[Sector_ID],$B46)+
SUMIFS(INDEX(CaptureRate[#Data],,MATCH(I$3,CaptureRate[#Headers],0)),CaptureRate[StartingStream_ID],"12",CaptureRate[Sector_ID],$B46)</f>
        <v>243031.51323889577</v>
      </c>
      <c r="J46" s="561">
        <f>SUMIFS(INDEX(CaptureRate[#Data],,MATCH(J$3,CaptureRate[#Headers],0)),CaptureRate[StartingStream_ID],"01",CaptureRate[Sector_ID],$B46)+
SUMIFS(INDEX(CaptureRate[#Data],,MATCH(J$3,CaptureRate[#Headers],0)),CaptureRate[StartingStream_ID],"02",CaptureRate[Sector_ID],$B46)+
SUMIFS(INDEX(CaptureRate[#Data],,MATCH(J$3,CaptureRate[#Headers],0)),CaptureRate[StartingStream_ID],"11",CaptureRate[Sector_ID],$B46)+
SUMIFS(INDEX(CaptureRate[#Data],,MATCH(J$3,CaptureRate[#Headers],0)),CaptureRate[StartingStream_ID],"12",CaptureRate[Sector_ID],$B46)</f>
        <v>228344.89667114717</v>
      </c>
      <c r="K46" s="561">
        <f>SUMIFS(INDEX(CaptureRate[#Data],,MATCH(K$3,CaptureRate[#Headers],0)),CaptureRate[StartingStream_ID],"01",CaptureRate[Sector_ID],$B46)+
SUMIFS(INDEX(CaptureRate[#Data],,MATCH(K$3,CaptureRate[#Headers],0)),CaptureRate[StartingStream_ID],"02",CaptureRate[Sector_ID],$B46)+
SUMIFS(INDEX(CaptureRate[#Data],,MATCH(K$3,CaptureRate[#Headers],0)),CaptureRate[StartingStream_ID],"11",CaptureRate[Sector_ID],$B46)+
SUMIFS(INDEX(CaptureRate[#Data],,MATCH(K$3,CaptureRate[#Headers],0)),CaptureRate[StartingStream_ID],"12",CaptureRate[Sector_ID],$B46)</f>
        <v>254702.93807939917</v>
      </c>
      <c r="L46" s="561">
        <f>SUMIFS(INDEX(CaptureRate[#Data],,MATCH(L$3,CaptureRate[#Headers],0)),CaptureRate[StartingStream_ID],"01",CaptureRate[Sector_ID],$B46)+
SUMIFS(INDEX(CaptureRate[#Data],,MATCH(L$3,CaptureRate[#Headers],0)),CaptureRate[StartingStream_ID],"02",CaptureRate[Sector_ID],$B46)+
SUMIFS(INDEX(CaptureRate[#Data],,MATCH(L$3,CaptureRate[#Headers],0)),CaptureRate[StartingStream_ID],"11",CaptureRate[Sector_ID],$B46)+
SUMIFS(INDEX(CaptureRate[#Data],,MATCH(L$3,CaptureRate[#Headers],0)),CaptureRate[StartingStream_ID],"12",CaptureRate[Sector_ID],$B46)</f>
        <v>254702.93807939917</v>
      </c>
      <c r="M46" s="561">
        <f>SUMIFS(INDEX(CaptureRate[#Data],,MATCH(M$3,CaptureRate[#Headers],0)),CaptureRate[StartingStream_ID],"01",CaptureRate[Sector_ID],$B46)+
SUMIFS(INDEX(CaptureRate[#Data],,MATCH(M$3,CaptureRate[#Headers],0)),CaptureRate[StartingStream_ID],"02",CaptureRate[Sector_ID],$B46)+
SUMIFS(INDEX(CaptureRate[#Data],,MATCH(M$3,CaptureRate[#Headers],0)),CaptureRate[StartingStream_ID],"11",CaptureRate[Sector_ID],$B46)+
SUMIFS(INDEX(CaptureRate[#Data],,MATCH(M$3,CaptureRate[#Headers],0)),CaptureRate[StartingStream_ID],"12",CaptureRate[Sector_ID],$B46)</f>
        <v>255672.68072798938</v>
      </c>
      <c r="P46" s="596"/>
      <c r="Q46" s="530"/>
      <c r="R46" s="530"/>
      <c r="S46" s="530"/>
      <c r="T46" s="530"/>
      <c r="U46" s="530"/>
      <c r="V46" s="530"/>
      <c r="W46" s="530"/>
      <c r="X46" s="530"/>
      <c r="Y46" s="530"/>
      <c r="Z46" s="596"/>
    </row>
    <row r="47" spans="1:26" s="352" customFormat="1" x14ac:dyDescent="0.2">
      <c r="A47" s="521"/>
      <c r="B47" s="352">
        <v>2</v>
      </c>
      <c r="G47" s="352" t="s">
        <v>1164</v>
      </c>
      <c r="I47" s="561">
        <f>SUMIFS(INDEX(CaptureRate[#Data],,MATCH(I$3,CaptureRate[#Headers],0)),CaptureRate[StartingStream_ID],"01",CaptureRate[Sector_ID],$B47)+
SUMIFS(INDEX(CaptureRate[#Data],,MATCH(I$3,CaptureRate[#Headers],0)),CaptureRate[StartingStream_ID],"02",CaptureRate[Sector_ID],$B47)+
SUMIFS(INDEX(CaptureRate[#Data],,MATCH(I$3,CaptureRate[#Headers],0)),CaptureRate[StartingStream_ID],"11",CaptureRate[Sector_ID],$B47)+
SUMIFS(INDEX(CaptureRate[#Data],,MATCH(I$3,CaptureRate[#Headers],0)),CaptureRate[StartingStream_ID],"12",CaptureRate[Sector_ID],$B47)</f>
        <v>23983.694942766906</v>
      </c>
      <c r="J47" s="561">
        <f>SUMIFS(INDEX(CaptureRate[#Data],,MATCH(J$3,CaptureRate[#Headers],0)),CaptureRate[StartingStream_ID],"01",CaptureRate[Sector_ID],$B47)+
SUMIFS(INDEX(CaptureRate[#Data],,MATCH(J$3,CaptureRate[#Headers],0)),CaptureRate[StartingStream_ID],"02",CaptureRate[Sector_ID],$B47)+
SUMIFS(INDEX(CaptureRate[#Data],,MATCH(J$3,CaptureRate[#Headers],0)),CaptureRate[StartingStream_ID],"11",CaptureRate[Sector_ID],$B47)+
SUMIFS(INDEX(CaptureRate[#Data],,MATCH(J$3,CaptureRate[#Headers],0)),CaptureRate[StartingStream_ID],"12",CaptureRate[Sector_ID],$B47)</f>
        <v>21845.987255067193</v>
      </c>
      <c r="K47" s="561">
        <f>SUMIFS(INDEX(CaptureRate[#Data],,MATCH(K$3,CaptureRate[#Headers],0)),CaptureRate[StartingStream_ID],"01",CaptureRate[Sector_ID],$B47)+
SUMIFS(INDEX(CaptureRate[#Data],,MATCH(K$3,CaptureRate[#Headers],0)),CaptureRate[StartingStream_ID],"02",CaptureRate[Sector_ID],$B47)+
SUMIFS(INDEX(CaptureRate[#Data],,MATCH(K$3,CaptureRate[#Headers],0)),CaptureRate[StartingStream_ID],"11",CaptureRate[Sector_ID],$B47)+
SUMIFS(INDEX(CaptureRate[#Data],,MATCH(K$3,CaptureRate[#Headers],0)),CaptureRate[StartingStream_ID],"12",CaptureRate[Sector_ID],$B47)</f>
        <v>25176.527887628836</v>
      </c>
      <c r="L47" s="561">
        <f>SUMIFS(INDEX(CaptureRate[#Data],,MATCH(L$3,CaptureRate[#Headers],0)),CaptureRate[StartingStream_ID],"01",CaptureRate[Sector_ID],$B47)+
SUMIFS(INDEX(CaptureRate[#Data],,MATCH(L$3,CaptureRate[#Headers],0)),CaptureRate[StartingStream_ID],"02",CaptureRate[Sector_ID],$B47)+
SUMIFS(INDEX(CaptureRate[#Data],,MATCH(L$3,CaptureRate[#Headers],0)),CaptureRate[StartingStream_ID],"11",CaptureRate[Sector_ID],$B47)+
SUMIFS(INDEX(CaptureRate[#Data],,MATCH(L$3,CaptureRate[#Headers],0)),CaptureRate[StartingStream_ID],"12",CaptureRate[Sector_ID],$B47)</f>
        <v>25176.527887628836</v>
      </c>
      <c r="M47" s="561">
        <f>SUMIFS(INDEX(CaptureRate[#Data],,MATCH(M$3,CaptureRate[#Headers],0)),CaptureRate[StartingStream_ID],"01",CaptureRate[Sector_ID],$B47)+
SUMIFS(INDEX(CaptureRate[#Data],,MATCH(M$3,CaptureRate[#Headers],0)),CaptureRate[StartingStream_ID],"02",CaptureRate[Sector_ID],$B47)+
SUMIFS(INDEX(CaptureRate[#Data],,MATCH(M$3,CaptureRate[#Headers],0)),CaptureRate[StartingStream_ID],"11",CaptureRate[Sector_ID],$B47)+
SUMIFS(INDEX(CaptureRate[#Data],,MATCH(M$3,CaptureRate[#Headers],0)),CaptureRate[StartingStream_ID],"12",CaptureRate[Sector_ID],$B47)</f>
        <v>25166.808849179375</v>
      </c>
      <c r="P47" s="596"/>
      <c r="Q47" s="530"/>
      <c r="R47" s="530"/>
      <c r="S47" s="530"/>
      <c r="T47" s="530"/>
      <c r="U47" s="530"/>
      <c r="V47" s="530"/>
      <c r="W47" s="530"/>
      <c r="X47" s="530"/>
      <c r="Y47" s="530"/>
      <c r="Z47" s="596"/>
    </row>
    <row r="48" spans="1:26" s="352" customFormat="1" x14ac:dyDescent="0.2">
      <c r="A48" s="521"/>
      <c r="B48" s="352">
        <v>3</v>
      </c>
      <c r="G48" s="352" t="s">
        <v>1165</v>
      </c>
      <c r="I48" s="561">
        <f>SUMIFS(INDEX(CaptureRate[#Data],,MATCH(I$3,CaptureRate[#Headers],0)),CaptureRate[StartingStream_ID],"01",CaptureRate[Sector_ID],$B48)+
SUMIFS(INDEX(CaptureRate[#Data],,MATCH(I$3,CaptureRate[#Headers],0)),CaptureRate[StartingStream_ID],"02",CaptureRate[Sector_ID],$B48)+
SUMIFS(INDEX(CaptureRate[#Data],,MATCH(I$3,CaptureRate[#Headers],0)),CaptureRate[StartingStream_ID],"11",CaptureRate[Sector_ID],$B48)+
SUMIFS(INDEX(CaptureRate[#Data],,MATCH(I$3,CaptureRate[#Headers],0)),CaptureRate[StartingStream_ID],"12",CaptureRate[Sector_ID],$B48)</f>
        <v>246985.2682801178</v>
      </c>
      <c r="J48" s="561">
        <f>SUMIFS(INDEX(CaptureRate[#Data],,MATCH(J$3,CaptureRate[#Headers],0)),CaptureRate[StartingStream_ID],"01",CaptureRate[Sector_ID],$B48)+
SUMIFS(INDEX(CaptureRate[#Data],,MATCH(J$3,CaptureRate[#Headers],0)),CaptureRate[StartingStream_ID],"02",CaptureRate[Sector_ID],$B48)+
SUMIFS(INDEX(CaptureRate[#Data],,MATCH(J$3,CaptureRate[#Headers],0)),CaptureRate[StartingStream_ID],"11",CaptureRate[Sector_ID],$B48)+
SUMIFS(INDEX(CaptureRate[#Data],,MATCH(J$3,CaptureRate[#Headers],0)),CaptureRate[StartingStream_ID],"12",CaptureRate[Sector_ID],$B48)</f>
        <v>230902.13337279632</v>
      </c>
      <c r="K48" s="561">
        <f>SUMIFS(INDEX(CaptureRate[#Data],,MATCH(K$3,CaptureRate[#Headers],0)),CaptureRate[StartingStream_ID],"01",CaptureRate[Sector_ID],$B48)+
SUMIFS(INDEX(CaptureRate[#Data],,MATCH(K$3,CaptureRate[#Headers],0)),CaptureRate[StartingStream_ID],"02",CaptureRate[Sector_ID],$B48)+
SUMIFS(INDEX(CaptureRate[#Data],,MATCH(K$3,CaptureRate[#Headers],0)),CaptureRate[StartingStream_ID],"11",CaptureRate[Sector_ID],$B48)+
SUMIFS(INDEX(CaptureRate[#Data],,MATCH(K$3,CaptureRate[#Headers],0)),CaptureRate[StartingStream_ID],"12",CaptureRate[Sector_ID],$B48)</f>
        <v>252880.76880896118</v>
      </c>
      <c r="L48" s="561">
        <f>SUMIFS(INDEX(CaptureRate[#Data],,MATCH(L$3,CaptureRate[#Headers],0)),CaptureRate[StartingStream_ID],"01",CaptureRate[Sector_ID],$B48)+
SUMIFS(INDEX(CaptureRate[#Data],,MATCH(L$3,CaptureRate[#Headers],0)),CaptureRate[StartingStream_ID],"02",CaptureRate[Sector_ID],$B48)+
SUMIFS(INDEX(CaptureRate[#Data],,MATCH(L$3,CaptureRate[#Headers],0)),CaptureRate[StartingStream_ID],"11",CaptureRate[Sector_ID],$B48)+
SUMIFS(INDEX(CaptureRate[#Data],,MATCH(L$3,CaptureRate[#Headers],0)),CaptureRate[StartingStream_ID],"12",CaptureRate[Sector_ID],$B48)</f>
        <v>252880.76880896118</v>
      </c>
      <c r="M48" s="561">
        <f>SUMIFS(INDEX(CaptureRate[#Data],,MATCH(M$3,CaptureRate[#Headers],0)),CaptureRate[StartingStream_ID],"01",CaptureRate[Sector_ID],$B48)+
SUMIFS(INDEX(CaptureRate[#Data],,MATCH(M$3,CaptureRate[#Headers],0)),CaptureRate[StartingStream_ID],"02",CaptureRate[Sector_ID],$B48)+
SUMIFS(INDEX(CaptureRate[#Data],,MATCH(M$3,CaptureRate[#Headers],0)),CaptureRate[StartingStream_ID],"11",CaptureRate[Sector_ID],$B48)+
SUMIFS(INDEX(CaptureRate[#Data],,MATCH(M$3,CaptureRate[#Headers],0)),CaptureRate[StartingStream_ID],"12",CaptureRate[Sector_ID],$B48)</f>
        <v>252891.32531709611</v>
      </c>
      <c r="P48" s="596"/>
      <c r="Q48" s="530"/>
      <c r="R48" s="530"/>
      <c r="S48" s="530"/>
      <c r="T48" s="530"/>
      <c r="U48" s="530"/>
      <c r="V48" s="530"/>
      <c r="W48" s="530"/>
      <c r="X48" s="530"/>
      <c r="Y48" s="530"/>
      <c r="Z48" s="596"/>
    </row>
    <row r="49" spans="1:26" s="352" customFormat="1" x14ac:dyDescent="0.2">
      <c r="A49" s="521"/>
      <c r="B49" s="352">
        <v>4</v>
      </c>
      <c r="G49" s="352" t="s">
        <v>1167</v>
      </c>
      <c r="I49" s="561">
        <f>SUMIFS(INDEX(CaptureRate[#Data],,MATCH(I$3,CaptureRate[#Headers],0)),CaptureRate[StartingStream_ID],"01",CaptureRate[Sector_ID],$B49)+
SUMIFS(INDEX(CaptureRate[#Data],,MATCH(I$3,CaptureRate[#Headers],0)),CaptureRate[StartingStream_ID],"02",CaptureRate[Sector_ID],$B49)+
SUMIFS(INDEX(CaptureRate[#Data],,MATCH(I$3,CaptureRate[#Headers],0)),CaptureRate[StartingStream_ID],"11",CaptureRate[Sector_ID],$B49)+
SUMIFS(INDEX(CaptureRate[#Data],,MATCH(I$3,CaptureRate[#Headers],0)),CaptureRate[StartingStream_ID],"12",CaptureRate[Sector_ID],$B49)</f>
        <v>78620.783598415757</v>
      </c>
      <c r="J49" s="561">
        <f>SUMIFS(INDEX(CaptureRate[#Data],,MATCH(J$3,CaptureRate[#Headers],0)),CaptureRate[StartingStream_ID],"01",CaptureRate[Sector_ID],$B49)+
SUMIFS(INDEX(CaptureRate[#Data],,MATCH(J$3,CaptureRate[#Headers],0)),CaptureRate[StartingStream_ID],"02",CaptureRate[Sector_ID],$B49)+
SUMIFS(INDEX(CaptureRate[#Data],,MATCH(J$3,CaptureRate[#Headers],0)),CaptureRate[StartingStream_ID],"11",CaptureRate[Sector_ID],$B49)+
SUMIFS(INDEX(CaptureRate[#Data],,MATCH(J$3,CaptureRate[#Headers],0)),CaptureRate[StartingStream_ID],"12",CaptureRate[Sector_ID],$B49)</f>
        <v>78100.538418647731</v>
      </c>
      <c r="K49" s="561">
        <f>SUMIFS(INDEX(CaptureRate[#Data],,MATCH(K$3,CaptureRate[#Headers],0)),CaptureRate[StartingStream_ID],"01",CaptureRate[Sector_ID],$B49)+
SUMIFS(INDEX(CaptureRate[#Data],,MATCH(K$3,CaptureRate[#Headers],0)),CaptureRate[StartingStream_ID],"02",CaptureRate[Sector_ID],$B49)+
SUMIFS(INDEX(CaptureRate[#Data],,MATCH(K$3,CaptureRate[#Headers],0)),CaptureRate[StartingStream_ID],"11",CaptureRate[Sector_ID],$B49)+
SUMIFS(INDEX(CaptureRate[#Data],,MATCH(K$3,CaptureRate[#Headers],0)),CaptureRate[StartingStream_ID],"12",CaptureRate[Sector_ID],$B49)</f>
        <v>83277.892711357534</v>
      </c>
      <c r="L49" s="561">
        <f>SUMIFS(INDEX(CaptureRate[#Data],,MATCH(L$3,CaptureRate[#Headers],0)),CaptureRate[StartingStream_ID],"01",CaptureRate[Sector_ID],$B49)+
SUMIFS(INDEX(CaptureRate[#Data],,MATCH(L$3,CaptureRate[#Headers],0)),CaptureRate[StartingStream_ID],"02",CaptureRate[Sector_ID],$B49)+
SUMIFS(INDEX(CaptureRate[#Data],,MATCH(L$3,CaptureRate[#Headers],0)),CaptureRate[StartingStream_ID],"11",CaptureRate[Sector_ID],$B49)+
SUMIFS(INDEX(CaptureRate[#Data],,MATCH(L$3,CaptureRate[#Headers],0)),CaptureRate[StartingStream_ID],"12",CaptureRate[Sector_ID],$B49)</f>
        <v>83277.892711357534</v>
      </c>
      <c r="M49" s="561">
        <f>SUMIFS(INDEX(CaptureRate[#Data],,MATCH(M$3,CaptureRate[#Headers],0)),CaptureRate[StartingStream_ID],"01",CaptureRate[Sector_ID],$B49)+
SUMIFS(INDEX(CaptureRate[#Data],,MATCH(M$3,CaptureRate[#Headers],0)),CaptureRate[StartingStream_ID],"02",CaptureRate[Sector_ID],$B49)+
SUMIFS(INDEX(CaptureRate[#Data],,MATCH(M$3,CaptureRate[#Headers],0)),CaptureRate[StartingStream_ID],"11",CaptureRate[Sector_ID],$B49)+
SUMIFS(INDEX(CaptureRate[#Data],,MATCH(M$3,CaptureRate[#Headers],0)),CaptureRate[StartingStream_ID],"12",CaptureRate[Sector_ID],$B49)</f>
        <v>82884.668380823321</v>
      </c>
      <c r="P49" s="596"/>
      <c r="Q49" s="530"/>
      <c r="R49" s="530"/>
      <c r="S49" s="530"/>
      <c r="T49" s="530"/>
      <c r="U49" s="530"/>
      <c r="V49" s="530"/>
      <c r="W49" s="530"/>
      <c r="X49" s="530"/>
      <c r="Y49" s="530"/>
      <c r="Z49" s="596"/>
    </row>
    <row r="50" spans="1:26" s="530" customFormat="1" ht="6" x14ac:dyDescent="0.15">
      <c r="B50" s="530" t="s">
        <v>3581</v>
      </c>
      <c r="I50" s="555"/>
      <c r="J50" s="555"/>
      <c r="K50" s="555"/>
      <c r="L50" s="555"/>
      <c r="M50" s="555"/>
      <c r="P50" s="597"/>
      <c r="Z50" s="597"/>
    </row>
    <row r="51" spans="1:26" s="521" customFormat="1" x14ac:dyDescent="0.2">
      <c r="E51" s="549" t="s">
        <v>3612</v>
      </c>
      <c r="I51" s="551"/>
      <c r="J51" s="551"/>
      <c r="K51" s="551"/>
      <c r="L51" s="551"/>
      <c r="M51" s="551"/>
      <c r="P51" s="596"/>
      <c r="Q51" s="530"/>
      <c r="R51" s="530"/>
      <c r="S51" s="530"/>
      <c r="T51" s="530"/>
      <c r="U51" s="530"/>
      <c r="V51" s="530"/>
      <c r="W51" s="530"/>
      <c r="X51" s="530"/>
      <c r="Y51" s="530"/>
      <c r="Z51" s="596"/>
    </row>
    <row r="52" spans="1:26" s="521" customFormat="1" x14ac:dyDescent="0.2">
      <c r="E52" s="549" t="s">
        <v>3613</v>
      </c>
      <c r="I52" s="551"/>
      <c r="J52" s="551"/>
      <c r="K52" s="551"/>
      <c r="L52" s="551"/>
      <c r="M52" s="551"/>
      <c r="P52" s="596"/>
      <c r="Q52" s="530"/>
      <c r="R52" s="530"/>
      <c r="S52" s="530"/>
      <c r="T52" s="530"/>
      <c r="U52" s="530"/>
      <c r="V52" s="530"/>
      <c r="W52" s="530"/>
      <c r="X52" s="530"/>
      <c r="Y52" s="530"/>
      <c r="Z52" s="596"/>
    </row>
    <row r="53" spans="1:26" s="530" customFormat="1" ht="6" x14ac:dyDescent="0.15">
      <c r="B53" s="530" t="s">
        <v>3581</v>
      </c>
      <c r="I53" s="555"/>
      <c r="J53" s="555"/>
      <c r="K53" s="555"/>
      <c r="L53" s="555"/>
      <c r="M53" s="555"/>
      <c r="P53" s="597"/>
      <c r="Z53" s="597"/>
    </row>
    <row r="54" spans="1:26" s="352" customFormat="1" ht="15" x14ac:dyDescent="0.25">
      <c r="A54" s="521"/>
      <c r="B54" s="352" t="s">
        <v>3546</v>
      </c>
      <c r="E54" s="181"/>
      <c r="F54" s="539" t="s">
        <v>3545</v>
      </c>
      <c r="G54" s="536"/>
      <c r="H54" s="536"/>
      <c r="I54" s="559"/>
      <c r="J54" s="559"/>
      <c r="K54" s="559"/>
      <c r="L54" s="559"/>
      <c r="M54" s="559"/>
      <c r="P54" s="596"/>
      <c r="Q54" s="530"/>
      <c r="R54" s="530"/>
      <c r="S54" s="530"/>
      <c r="T54" s="530"/>
      <c r="U54" s="530"/>
      <c r="V54" s="530"/>
      <c r="W54" s="530"/>
      <c r="X54" s="530"/>
      <c r="Y54" s="530"/>
      <c r="Z54" s="596"/>
    </row>
    <row r="55" spans="1:26" s="352" customFormat="1" x14ac:dyDescent="0.2">
      <c r="A55" s="521"/>
      <c r="B55" s="352">
        <v>1</v>
      </c>
      <c r="G55" s="352" t="s">
        <v>1163</v>
      </c>
      <c r="I55" s="560">
        <f>IFERROR(IF((SUMIFS(INDEX(CaptureRate[#Data],,MATCH(I$3,CaptureRate[#Headers],0)),INDEX(CaptureRate[#Data],,MATCH(I$4,CaptureRate[#Headers],0)),"No",CaptureRate[StartingStream_ID],"01",CaptureRate[Sector_ID],$B55,CaptureRate[Grouping_ID],I$5)+SUMIFS(INDEX(CaptureRate[#Data],,MATCH(I$3,CaptureRate[#Headers],0)),INDEX(CaptureRate[#Data],,MATCH(I$4,CaptureRate[#Headers],0)),"No - Never",CaptureRate[StartingStream_ID],"01",CaptureRate[Sector_ID],$B55,CaptureRate[Grouping_ID],I$5))=0,
(SUMIFS(INDEX(CaptureRate[#Data],,MATCH(I$3,CaptureRate[#Headers],0)),INDEX(CaptureRate[#Data],,MATCH(I$4,CaptureRate[#Headers],0)),"No",CaptureRate[StartingStream_ID],"01",CaptureRate[Sector_ID],$B55)+SUMIFS(INDEX(CaptureRate[#Data],,MATCH(I$3,CaptureRate[#Headers],0)),INDEX(CaptureRate[#Data],,MATCH(I$4,CaptureRate[#Headers],0)),"No - Never",CaptureRate[StartingStream_ID],"01",CaptureRate[Sector_ID],$B55)),
(SUMIFS(INDEX(CaptureRate[#Data],,MATCH(I$3,CaptureRate[#Headers],0)),INDEX(CaptureRate[#Data],,MATCH(I$4,CaptureRate[#Headers],0)),"No",CaptureRate[StartingStream_ID],"01",CaptureRate[Sector_ID],$B55,CaptureRate[Grouping_ID],I$5)+SUMIFS(INDEX(CaptureRate[#Data],,MATCH(I$3,CaptureRate[#Headers],0)),INDEX(CaptureRate[#Data],,MATCH(I$4,CaptureRate[#Headers],0)),"No - Never",CaptureRate[StartingStream_ID],"01",CaptureRate[Sector_ID],$B55,CaptureRate[Grouping_ID],I$5)))
/
IF((SUMIFS(INDEX(CaptureRate[#Data],,MATCH(I$3,CaptureRate[#Headers],0)),CaptureRate[StartingStream_ID],"01",CaptureRate[Sector_ID],$B55,CaptureRate[Grouping_ID],I$5))=0,
(SUMIFS(INDEX(CaptureRate[#Data],,MATCH(I$3,CaptureRate[#Headers],0)),CaptureRate[StartingStream_ID],"01",CaptureRate[Sector_ID],$B55)),
(SUMIFS(INDEX(CaptureRate[#Data],,MATCH(I$3,CaptureRate[#Headers],0)),CaptureRate[StartingStream_ID],"01",CaptureRate[Sector_ID],$B55,CaptureRate[Grouping_ID],I$5))),"")</f>
        <v>0.15445301876937817</v>
      </c>
      <c r="J55" s="560">
        <f>IFERROR(IF((SUMIFS(INDEX(CaptureRate[#Data],,MATCH(J$3,CaptureRate[#Headers],0)),INDEX(CaptureRate[#Data],,MATCH(J$4,CaptureRate[#Headers],0)),"No",CaptureRate[StartingStream_ID],"01",CaptureRate[Sector_ID],$B55,CaptureRate[Grouping_ID],J$5)+SUMIFS(INDEX(CaptureRate[#Data],,MATCH(J$3,CaptureRate[#Headers],0)),INDEX(CaptureRate[#Data],,MATCH(J$4,CaptureRate[#Headers],0)),"No - Never",CaptureRate[StartingStream_ID],"01",CaptureRate[Sector_ID],$B55,CaptureRate[Grouping_ID],J$5))=0,
(SUMIFS(INDEX(CaptureRate[#Data],,MATCH(J$3,CaptureRate[#Headers],0)),INDEX(CaptureRate[#Data],,MATCH(J$4,CaptureRate[#Headers],0)),"No",CaptureRate[StartingStream_ID],"01",CaptureRate[Sector_ID],$B55)+SUMIFS(INDEX(CaptureRate[#Data],,MATCH(J$3,CaptureRate[#Headers],0)),INDEX(CaptureRate[#Data],,MATCH(J$4,CaptureRate[#Headers],0)),"No - Never",CaptureRate[StartingStream_ID],"01",CaptureRate[Sector_ID],$B55)),
(SUMIFS(INDEX(CaptureRate[#Data],,MATCH(J$3,CaptureRate[#Headers],0)),INDEX(CaptureRate[#Data],,MATCH(J$4,CaptureRate[#Headers],0)),"No",CaptureRate[StartingStream_ID],"01",CaptureRate[Sector_ID],$B55,CaptureRate[Grouping_ID],J$5)+SUMIFS(INDEX(CaptureRate[#Data],,MATCH(J$3,CaptureRate[#Headers],0)),INDEX(CaptureRate[#Data],,MATCH(J$4,CaptureRate[#Headers],0)),"No - Never",CaptureRate[StartingStream_ID],"01",CaptureRate[Sector_ID],$B55,CaptureRate[Grouping_ID],J$5)))
/
IF((SUMIFS(INDEX(CaptureRate[#Data],,MATCH(J$3,CaptureRate[#Headers],0)),CaptureRate[StartingStream_ID],"01",CaptureRate[Sector_ID],$B55,CaptureRate[Grouping_ID],J$5))=0,
(SUMIFS(INDEX(CaptureRate[#Data],,MATCH(J$3,CaptureRate[#Headers],0)),CaptureRate[StartingStream_ID],"01",CaptureRate[Sector_ID],$B55)),
(SUMIFS(INDEX(CaptureRate[#Data],,MATCH(J$3,CaptureRate[#Headers],0)),CaptureRate[StartingStream_ID],"01",CaptureRate[Sector_ID],$B55,CaptureRate[Grouping_ID],J$5))),"")</f>
        <v>9.0511250795494685E-2</v>
      </c>
      <c r="K55" s="560">
        <f>IFERROR(IF((SUMIFS(INDEX(CaptureRate[#Data],,MATCH(K$3,CaptureRate[#Headers],0)),INDEX(CaptureRate[#Data],,MATCH(K$4,CaptureRate[#Headers],0)),"No",CaptureRate[StartingStream_ID],"01",CaptureRate[Sector_ID],$B55,CaptureRate[Grouping_ID],K$5)+SUMIFS(INDEX(CaptureRate[#Data],,MATCH(K$3,CaptureRate[#Headers],0)),INDEX(CaptureRate[#Data],,MATCH(K$4,CaptureRate[#Headers],0)),"No - Never",CaptureRate[StartingStream_ID],"01",CaptureRate[Sector_ID],$B55,CaptureRate[Grouping_ID],K$5))=0,
(SUMIFS(INDEX(CaptureRate[#Data],,MATCH(K$3,CaptureRate[#Headers],0)),INDEX(CaptureRate[#Data],,MATCH(K$4,CaptureRate[#Headers],0)),"No",CaptureRate[StartingStream_ID],"01",CaptureRate[Sector_ID],$B55)+SUMIFS(INDEX(CaptureRate[#Data],,MATCH(K$3,CaptureRate[#Headers],0)),INDEX(CaptureRate[#Data],,MATCH(K$4,CaptureRate[#Headers],0)),"No - Never",CaptureRate[StartingStream_ID],"01",CaptureRate[Sector_ID],$B55)),
(SUMIFS(INDEX(CaptureRate[#Data],,MATCH(K$3,CaptureRate[#Headers],0)),INDEX(CaptureRate[#Data],,MATCH(K$4,CaptureRate[#Headers],0)),"No",CaptureRate[StartingStream_ID],"01",CaptureRate[Sector_ID],$B55,CaptureRate[Grouping_ID],K$5)+SUMIFS(INDEX(CaptureRate[#Data],,MATCH(K$3,CaptureRate[#Headers],0)),INDEX(CaptureRate[#Data],,MATCH(K$4,CaptureRate[#Headers],0)),"No - Never",CaptureRate[StartingStream_ID],"01",CaptureRate[Sector_ID],$B55,CaptureRate[Grouping_ID],K$5)))
/
IF((SUMIFS(INDEX(CaptureRate[#Data],,MATCH(K$3,CaptureRate[#Headers],0)),CaptureRate[StartingStream_ID],"01",CaptureRate[Sector_ID],$B55,CaptureRate[Grouping_ID],K$5))=0,
(SUMIFS(INDEX(CaptureRate[#Data],,MATCH(K$3,CaptureRate[#Headers],0)),CaptureRate[StartingStream_ID],"01",CaptureRate[Sector_ID],$B55)),
(SUMIFS(INDEX(CaptureRate[#Data],,MATCH(K$3,CaptureRate[#Headers],0)),CaptureRate[StartingStream_ID],"01",CaptureRate[Sector_ID],$B55,CaptureRate[Grouping_ID],K$5))),"")</f>
        <v>7.5988861541131505E-2</v>
      </c>
      <c r="L55" s="560">
        <f>IFERROR(IF((SUMIFS(INDEX(CaptureRate[#Data],,MATCH(L$3,CaptureRate[#Headers],0)),INDEX(CaptureRate[#Data],,MATCH(L$4,CaptureRate[#Headers],0)),"No",CaptureRate[StartingStream_ID],"01",CaptureRate[Sector_ID],$B55,CaptureRate[Grouping_ID],L$5)+SUMIFS(INDEX(CaptureRate[#Data],,MATCH(L$3,CaptureRate[#Headers],0)),INDEX(CaptureRate[#Data],,MATCH(L$4,CaptureRate[#Headers],0)),"No - Never",CaptureRate[StartingStream_ID],"01",CaptureRate[Sector_ID],$B55,CaptureRate[Grouping_ID],L$5))=0,
(SUMIFS(INDEX(CaptureRate[#Data],,MATCH(L$3,CaptureRate[#Headers],0)),INDEX(CaptureRate[#Data],,MATCH(L$4,CaptureRate[#Headers],0)),"No",CaptureRate[StartingStream_ID],"01",CaptureRate[Sector_ID],$B55)+SUMIFS(INDEX(CaptureRate[#Data],,MATCH(L$3,CaptureRate[#Headers],0)),INDEX(CaptureRate[#Data],,MATCH(L$4,CaptureRate[#Headers],0)),"No - Never",CaptureRate[StartingStream_ID],"01",CaptureRate[Sector_ID],$B55)),
(SUMIFS(INDEX(CaptureRate[#Data],,MATCH(L$3,CaptureRate[#Headers],0)),INDEX(CaptureRate[#Data],,MATCH(L$4,CaptureRate[#Headers],0)),"No",CaptureRate[StartingStream_ID],"01",CaptureRate[Sector_ID],$B55,CaptureRate[Grouping_ID],L$5)+SUMIFS(INDEX(CaptureRate[#Data],,MATCH(L$3,CaptureRate[#Headers],0)),INDEX(CaptureRate[#Data],,MATCH(L$4,CaptureRate[#Headers],0)),"No - Never",CaptureRate[StartingStream_ID],"01",CaptureRate[Sector_ID],$B55,CaptureRate[Grouping_ID],L$5)))
/
IF((SUMIFS(INDEX(CaptureRate[#Data],,MATCH(L$3,CaptureRate[#Headers],0)),CaptureRate[StartingStream_ID],"01",CaptureRate[Sector_ID],$B55,CaptureRate[Grouping_ID],L$5))=0,
(SUMIFS(INDEX(CaptureRate[#Data],,MATCH(L$3,CaptureRate[#Headers],0)),CaptureRate[StartingStream_ID],"01",CaptureRate[Sector_ID],$B55)),
(SUMIFS(INDEX(CaptureRate[#Data],,MATCH(L$3,CaptureRate[#Headers],0)),CaptureRate[StartingStream_ID],"01",CaptureRate[Sector_ID],$B55,CaptureRate[Grouping_ID],L$5))),"")</f>
        <v>7.5988861541131505E-2</v>
      </c>
      <c r="M55" s="560">
        <f>IFERROR(IF((SUMIFS(INDEX(CaptureRate[#Data],,MATCH(M$3,CaptureRate[#Headers],0)),INDEX(CaptureRate[#Data],,MATCH(M$4,CaptureRate[#Headers],0)),"No",CaptureRate[StartingStream_ID],"01",CaptureRate[Sector_ID],$B55,CaptureRate[Grouping_ID],M$5)+SUMIFS(INDEX(CaptureRate[#Data],,MATCH(M$3,CaptureRate[#Headers],0)),INDEX(CaptureRate[#Data],,MATCH(M$4,CaptureRate[#Headers],0)),"No - Never",CaptureRate[StartingStream_ID],"01",CaptureRate[Sector_ID],$B55,CaptureRate[Grouping_ID],M$5))=0,
(SUMIFS(INDEX(CaptureRate[#Data],,MATCH(M$3,CaptureRate[#Headers],0)),INDEX(CaptureRate[#Data],,MATCH(M$4,CaptureRate[#Headers],0)),"No",CaptureRate[StartingStream_ID],"01",CaptureRate[Sector_ID],$B55)+SUMIFS(INDEX(CaptureRate[#Data],,MATCH(M$3,CaptureRate[#Headers],0)),INDEX(CaptureRate[#Data],,MATCH(M$4,CaptureRate[#Headers],0)),"No - Never",CaptureRate[StartingStream_ID],"01",CaptureRate[Sector_ID],$B55)),
(SUMIFS(INDEX(CaptureRate[#Data],,MATCH(M$3,CaptureRate[#Headers],0)),INDEX(CaptureRate[#Data],,MATCH(M$4,CaptureRate[#Headers],0)),"No",CaptureRate[StartingStream_ID],"01",CaptureRate[Sector_ID],$B55,CaptureRate[Grouping_ID],M$5)+SUMIFS(INDEX(CaptureRate[#Data],,MATCH(M$3,CaptureRate[#Headers],0)),INDEX(CaptureRate[#Data],,MATCH(M$4,CaptureRate[#Headers],0)),"No - Never",CaptureRate[StartingStream_ID],"01",CaptureRate[Sector_ID],$B55,CaptureRate[Grouping_ID],M$5)))
/
IF((SUMIFS(INDEX(CaptureRate[#Data],,MATCH(M$3,CaptureRate[#Headers],0)),CaptureRate[StartingStream_ID],"01",CaptureRate[Sector_ID],$B55,CaptureRate[Grouping_ID],M$5))=0,
(SUMIFS(INDEX(CaptureRate[#Data],,MATCH(M$3,CaptureRate[#Headers],0)),CaptureRate[StartingStream_ID],"01",CaptureRate[Sector_ID],$B55)),
(SUMIFS(INDEX(CaptureRate[#Data],,MATCH(M$3,CaptureRate[#Headers],0)),CaptureRate[StartingStream_ID],"01",CaptureRate[Sector_ID],$B55,CaptureRate[Grouping_ID],M$5))),"")</f>
        <v>7.3653329541311069E-2</v>
      </c>
      <c r="P55" s="596"/>
      <c r="Z55" s="596"/>
    </row>
    <row r="56" spans="1:26" s="352" customFormat="1" x14ac:dyDescent="0.2">
      <c r="A56" s="521"/>
      <c r="B56" s="352">
        <v>2</v>
      </c>
      <c r="G56" s="352" t="s">
        <v>1164</v>
      </c>
      <c r="I56" s="560">
        <f>IFERROR(IF((SUMIFS(INDEX(CaptureRate[#Data],,MATCH(I$3,CaptureRate[#Headers],0)),INDEX(CaptureRate[#Data],,MATCH(I$4,CaptureRate[#Headers],0)),"No",CaptureRate[StartingStream_ID],"01",CaptureRate[Sector_ID],$B56,CaptureRate[Grouping_ID],I$5)+SUMIFS(INDEX(CaptureRate[#Data],,MATCH(I$3,CaptureRate[#Headers],0)),INDEX(CaptureRate[#Data],,MATCH(I$4,CaptureRate[#Headers],0)),"No - Never",CaptureRate[StartingStream_ID],"01",CaptureRate[Sector_ID],$B56,CaptureRate[Grouping_ID],I$5))=0,
(SUMIFS(INDEX(CaptureRate[#Data],,MATCH(I$3,CaptureRate[#Headers],0)),INDEX(CaptureRate[#Data],,MATCH(I$4,CaptureRate[#Headers],0)),"No",CaptureRate[StartingStream_ID],"01",CaptureRate[Sector_ID],$B56)+SUMIFS(INDEX(CaptureRate[#Data],,MATCH(I$3,CaptureRate[#Headers],0)),INDEX(CaptureRate[#Data],,MATCH(I$4,CaptureRate[#Headers],0)),"No - Never",CaptureRate[StartingStream_ID],"01",CaptureRate[Sector_ID],$B56)),
(SUMIFS(INDEX(CaptureRate[#Data],,MATCH(I$3,CaptureRate[#Headers],0)),INDEX(CaptureRate[#Data],,MATCH(I$4,CaptureRate[#Headers],0)),"No",CaptureRate[StartingStream_ID],"01",CaptureRate[Sector_ID],$B56,CaptureRate[Grouping_ID],I$5)+SUMIFS(INDEX(CaptureRate[#Data],,MATCH(I$3,CaptureRate[#Headers],0)),INDEX(CaptureRate[#Data],,MATCH(I$4,CaptureRate[#Headers],0)),"No - Never",CaptureRate[StartingStream_ID],"01",CaptureRate[Sector_ID],$B56,CaptureRate[Grouping_ID],I$5)))
/
IF((SUMIFS(INDEX(CaptureRate[#Data],,MATCH(I$3,CaptureRate[#Headers],0)),CaptureRate[StartingStream_ID],"01",CaptureRate[Sector_ID],$B56,CaptureRate[Grouping_ID],I$5))=0,
(SUMIFS(INDEX(CaptureRate[#Data],,MATCH(I$3,CaptureRate[#Headers],0)),CaptureRate[StartingStream_ID],"01",CaptureRate[Sector_ID],$B56)),
(SUMIFS(INDEX(CaptureRate[#Data],,MATCH(I$3,CaptureRate[#Headers],0)),CaptureRate[StartingStream_ID],"01",CaptureRate[Sector_ID],$B56,CaptureRate[Grouping_ID],I$5))),"")</f>
        <v>0.22383593071993835</v>
      </c>
      <c r="J56" s="560">
        <f>IFERROR(IF((SUMIFS(INDEX(CaptureRate[#Data],,MATCH(J$3,CaptureRate[#Headers],0)),INDEX(CaptureRate[#Data],,MATCH(J$4,CaptureRate[#Headers],0)),"No",CaptureRate[StartingStream_ID],"01",CaptureRate[Sector_ID],$B56,CaptureRate[Grouping_ID],J$5)+SUMIFS(INDEX(CaptureRate[#Data],,MATCH(J$3,CaptureRate[#Headers],0)),INDEX(CaptureRate[#Data],,MATCH(J$4,CaptureRate[#Headers],0)),"No - Never",CaptureRate[StartingStream_ID],"01",CaptureRate[Sector_ID],$B56,CaptureRate[Grouping_ID],J$5))=0,
(SUMIFS(INDEX(CaptureRate[#Data],,MATCH(J$3,CaptureRate[#Headers],0)),INDEX(CaptureRate[#Data],,MATCH(J$4,CaptureRate[#Headers],0)),"No",CaptureRate[StartingStream_ID],"01",CaptureRate[Sector_ID],$B56)+SUMIFS(INDEX(CaptureRate[#Data],,MATCH(J$3,CaptureRate[#Headers],0)),INDEX(CaptureRate[#Data],,MATCH(J$4,CaptureRate[#Headers],0)),"No - Never",CaptureRate[StartingStream_ID],"01",CaptureRate[Sector_ID],$B56)),
(SUMIFS(INDEX(CaptureRate[#Data],,MATCH(J$3,CaptureRate[#Headers],0)),INDEX(CaptureRate[#Data],,MATCH(J$4,CaptureRate[#Headers],0)),"No",CaptureRate[StartingStream_ID],"01",CaptureRate[Sector_ID],$B56,CaptureRate[Grouping_ID],J$5)+SUMIFS(INDEX(CaptureRate[#Data],,MATCH(J$3,CaptureRate[#Headers],0)),INDEX(CaptureRate[#Data],,MATCH(J$4,CaptureRate[#Headers],0)),"No - Never",CaptureRate[StartingStream_ID],"01",CaptureRate[Sector_ID],$B56,CaptureRate[Grouping_ID],J$5)))
/
IF((SUMIFS(INDEX(CaptureRate[#Data],,MATCH(J$3,CaptureRate[#Headers],0)),CaptureRate[StartingStream_ID],"01",CaptureRate[Sector_ID],$B56,CaptureRate[Grouping_ID],J$5))=0,
(SUMIFS(INDEX(CaptureRate[#Data],,MATCH(J$3,CaptureRate[#Headers],0)),CaptureRate[StartingStream_ID],"01",CaptureRate[Sector_ID],$B56)),
(SUMIFS(INDEX(CaptureRate[#Data],,MATCH(J$3,CaptureRate[#Headers],0)),CaptureRate[StartingStream_ID],"01",CaptureRate[Sector_ID],$B56,CaptureRate[Grouping_ID],J$5))),"")</f>
        <v>0.13564193275259745</v>
      </c>
      <c r="K56" s="560">
        <f>IFERROR(IF((SUMIFS(INDEX(CaptureRate[#Data],,MATCH(K$3,CaptureRate[#Headers],0)),INDEX(CaptureRate[#Data],,MATCH(K$4,CaptureRate[#Headers],0)),"No",CaptureRate[StartingStream_ID],"01",CaptureRate[Sector_ID],$B56,CaptureRate[Grouping_ID],K$5)+SUMIFS(INDEX(CaptureRate[#Data],,MATCH(K$3,CaptureRate[#Headers],0)),INDEX(CaptureRate[#Data],,MATCH(K$4,CaptureRate[#Headers],0)),"No - Never",CaptureRate[StartingStream_ID],"01",CaptureRate[Sector_ID],$B56,CaptureRate[Grouping_ID],K$5))=0,
(SUMIFS(INDEX(CaptureRate[#Data],,MATCH(K$3,CaptureRate[#Headers],0)),INDEX(CaptureRate[#Data],,MATCH(K$4,CaptureRate[#Headers],0)),"No",CaptureRate[StartingStream_ID],"01",CaptureRate[Sector_ID],$B56)+SUMIFS(INDEX(CaptureRate[#Data],,MATCH(K$3,CaptureRate[#Headers],0)),INDEX(CaptureRate[#Data],,MATCH(K$4,CaptureRate[#Headers],0)),"No - Never",CaptureRate[StartingStream_ID],"01",CaptureRate[Sector_ID],$B56)),
(SUMIFS(INDEX(CaptureRate[#Data],,MATCH(K$3,CaptureRate[#Headers],0)),INDEX(CaptureRate[#Data],,MATCH(K$4,CaptureRate[#Headers],0)),"No",CaptureRate[StartingStream_ID],"01",CaptureRate[Sector_ID],$B56,CaptureRate[Grouping_ID],K$5)+SUMIFS(INDEX(CaptureRate[#Data],,MATCH(K$3,CaptureRate[#Headers],0)),INDEX(CaptureRate[#Data],,MATCH(K$4,CaptureRate[#Headers],0)),"No - Never",CaptureRate[StartingStream_ID],"01",CaptureRate[Sector_ID],$B56,CaptureRate[Grouping_ID],K$5)))
/
IF((SUMIFS(INDEX(CaptureRate[#Data],,MATCH(K$3,CaptureRate[#Headers],0)),CaptureRate[StartingStream_ID],"01",CaptureRate[Sector_ID],$B56,CaptureRate[Grouping_ID],K$5))=0,
(SUMIFS(INDEX(CaptureRate[#Data],,MATCH(K$3,CaptureRate[#Headers],0)),CaptureRate[StartingStream_ID],"01",CaptureRate[Sector_ID],$B56)),
(SUMIFS(INDEX(CaptureRate[#Data],,MATCH(K$3,CaptureRate[#Headers],0)),CaptureRate[StartingStream_ID],"01",CaptureRate[Sector_ID],$B56,CaptureRate[Grouping_ID],K$5))),"")</f>
        <v>0.11979015158762127</v>
      </c>
      <c r="L56" s="560">
        <f>IFERROR(IF((SUMIFS(INDEX(CaptureRate[#Data],,MATCH(L$3,CaptureRate[#Headers],0)),INDEX(CaptureRate[#Data],,MATCH(L$4,CaptureRate[#Headers],0)),"No",CaptureRate[StartingStream_ID],"01",CaptureRate[Sector_ID],$B56,CaptureRate[Grouping_ID],L$5)+SUMIFS(INDEX(CaptureRate[#Data],,MATCH(L$3,CaptureRate[#Headers],0)),INDEX(CaptureRate[#Data],,MATCH(L$4,CaptureRate[#Headers],0)),"No - Never",CaptureRate[StartingStream_ID],"01",CaptureRate[Sector_ID],$B56,CaptureRate[Grouping_ID],L$5))=0,
(SUMIFS(INDEX(CaptureRate[#Data],,MATCH(L$3,CaptureRate[#Headers],0)),INDEX(CaptureRate[#Data],,MATCH(L$4,CaptureRate[#Headers],0)),"No",CaptureRate[StartingStream_ID],"01",CaptureRate[Sector_ID],$B56)+SUMIFS(INDEX(CaptureRate[#Data],,MATCH(L$3,CaptureRate[#Headers],0)),INDEX(CaptureRate[#Data],,MATCH(L$4,CaptureRate[#Headers],0)),"No - Never",CaptureRate[StartingStream_ID],"01",CaptureRate[Sector_ID],$B56)),
(SUMIFS(INDEX(CaptureRate[#Data],,MATCH(L$3,CaptureRate[#Headers],0)),INDEX(CaptureRate[#Data],,MATCH(L$4,CaptureRate[#Headers],0)),"No",CaptureRate[StartingStream_ID],"01",CaptureRate[Sector_ID],$B56,CaptureRate[Grouping_ID],L$5)+SUMIFS(INDEX(CaptureRate[#Data],,MATCH(L$3,CaptureRate[#Headers],0)),INDEX(CaptureRate[#Data],,MATCH(L$4,CaptureRate[#Headers],0)),"No - Never",CaptureRate[StartingStream_ID],"01",CaptureRate[Sector_ID],$B56,CaptureRate[Grouping_ID],L$5)))
/
IF((SUMIFS(INDEX(CaptureRate[#Data],,MATCH(L$3,CaptureRate[#Headers],0)),CaptureRate[StartingStream_ID],"01",CaptureRate[Sector_ID],$B56,CaptureRate[Grouping_ID],L$5))=0,
(SUMIFS(INDEX(CaptureRate[#Data],,MATCH(L$3,CaptureRate[#Headers],0)),CaptureRate[StartingStream_ID],"01",CaptureRate[Sector_ID],$B56)),
(SUMIFS(INDEX(CaptureRate[#Data],,MATCH(L$3,CaptureRate[#Headers],0)),CaptureRate[StartingStream_ID],"01",CaptureRate[Sector_ID],$B56,CaptureRate[Grouping_ID],L$5))),"")</f>
        <v>0.11979015158762127</v>
      </c>
      <c r="M56" s="560">
        <f>IFERROR(IF((SUMIFS(INDEX(CaptureRate[#Data],,MATCH(M$3,CaptureRate[#Headers],0)),INDEX(CaptureRate[#Data],,MATCH(M$4,CaptureRate[#Headers],0)),"No",CaptureRate[StartingStream_ID],"01",CaptureRate[Sector_ID],$B56,CaptureRate[Grouping_ID],M$5)+SUMIFS(INDEX(CaptureRate[#Data],,MATCH(M$3,CaptureRate[#Headers],0)),INDEX(CaptureRate[#Data],,MATCH(M$4,CaptureRate[#Headers],0)),"No - Never",CaptureRate[StartingStream_ID],"01",CaptureRate[Sector_ID],$B56,CaptureRate[Grouping_ID],M$5))=0,
(SUMIFS(INDEX(CaptureRate[#Data],,MATCH(M$3,CaptureRate[#Headers],0)),INDEX(CaptureRate[#Data],,MATCH(M$4,CaptureRate[#Headers],0)),"No",CaptureRate[StartingStream_ID],"01",CaptureRate[Sector_ID],$B56)+SUMIFS(INDEX(CaptureRate[#Data],,MATCH(M$3,CaptureRate[#Headers],0)),INDEX(CaptureRate[#Data],,MATCH(M$4,CaptureRate[#Headers],0)),"No - Never",CaptureRate[StartingStream_ID],"01",CaptureRate[Sector_ID],$B56)),
(SUMIFS(INDEX(CaptureRate[#Data],,MATCH(M$3,CaptureRate[#Headers],0)),INDEX(CaptureRate[#Data],,MATCH(M$4,CaptureRate[#Headers],0)),"No",CaptureRate[StartingStream_ID],"01",CaptureRate[Sector_ID],$B56,CaptureRate[Grouping_ID],M$5)+SUMIFS(INDEX(CaptureRate[#Data],,MATCH(M$3,CaptureRate[#Headers],0)),INDEX(CaptureRate[#Data],,MATCH(M$4,CaptureRate[#Headers],0)),"No - Never",CaptureRate[StartingStream_ID],"01",CaptureRate[Sector_ID],$B56,CaptureRate[Grouping_ID],M$5)))
/
IF((SUMIFS(INDEX(CaptureRate[#Data],,MATCH(M$3,CaptureRate[#Headers],0)),CaptureRate[StartingStream_ID],"01",CaptureRate[Sector_ID],$B56,CaptureRate[Grouping_ID],M$5))=0,
(SUMIFS(INDEX(CaptureRate[#Data],,MATCH(M$3,CaptureRate[#Headers],0)),CaptureRate[StartingStream_ID],"01",CaptureRate[Sector_ID],$B56)),
(SUMIFS(INDEX(CaptureRate[#Data],,MATCH(M$3,CaptureRate[#Headers],0)),CaptureRate[StartingStream_ID],"01",CaptureRate[Sector_ID],$B56,CaptureRate[Grouping_ID],M$5))),"")</f>
        <v>0.11762252585502372</v>
      </c>
      <c r="P56" s="596"/>
      <c r="Z56" s="596"/>
    </row>
    <row r="57" spans="1:26" s="352" customFormat="1" x14ac:dyDescent="0.2">
      <c r="A57" s="521"/>
      <c r="B57" s="352">
        <v>3</v>
      </c>
      <c r="G57" s="352" t="s">
        <v>1165</v>
      </c>
      <c r="I57" s="560">
        <f>IFERROR(IF((SUMIFS(INDEX(CaptureRate[#Data],,MATCH(I$3,CaptureRate[#Headers],0)),INDEX(CaptureRate[#Data],,MATCH(I$4,CaptureRate[#Headers],0)),"No",CaptureRate[StartingStream_ID],"01",CaptureRate[Sector_ID],$B57,CaptureRate[Grouping_ID],I$5)+SUMIFS(INDEX(CaptureRate[#Data],,MATCH(I$3,CaptureRate[#Headers],0)),INDEX(CaptureRate[#Data],,MATCH(I$4,CaptureRate[#Headers],0)),"No - Never",CaptureRate[StartingStream_ID],"01",CaptureRate[Sector_ID],$B57,CaptureRate[Grouping_ID],I$5))=0,
(SUMIFS(INDEX(CaptureRate[#Data],,MATCH(I$3,CaptureRate[#Headers],0)),INDEX(CaptureRate[#Data],,MATCH(I$4,CaptureRate[#Headers],0)),"No",CaptureRate[StartingStream_ID],"01",CaptureRate[Sector_ID],$B57)+SUMIFS(INDEX(CaptureRate[#Data],,MATCH(I$3,CaptureRate[#Headers],0)),INDEX(CaptureRate[#Data],,MATCH(I$4,CaptureRate[#Headers],0)),"No - Never",CaptureRate[StartingStream_ID],"01",CaptureRate[Sector_ID],$B57)),
(SUMIFS(INDEX(CaptureRate[#Data],,MATCH(I$3,CaptureRate[#Headers],0)),INDEX(CaptureRate[#Data],,MATCH(I$4,CaptureRate[#Headers],0)),"No",CaptureRate[StartingStream_ID],"01",CaptureRate[Sector_ID],$B57,CaptureRate[Grouping_ID],I$5)+SUMIFS(INDEX(CaptureRate[#Data],,MATCH(I$3,CaptureRate[#Headers],0)),INDEX(CaptureRate[#Data],,MATCH(I$4,CaptureRate[#Headers],0)),"No - Never",CaptureRate[StartingStream_ID],"01",CaptureRate[Sector_ID],$B57,CaptureRate[Grouping_ID],I$5)))
/
IF((SUMIFS(INDEX(CaptureRate[#Data],,MATCH(I$3,CaptureRate[#Headers],0)),CaptureRate[StartingStream_ID],"01",CaptureRate[Sector_ID],$B57,CaptureRate[Grouping_ID],I$5))=0,
(SUMIFS(INDEX(CaptureRate[#Data],,MATCH(I$3,CaptureRate[#Headers],0)),CaptureRate[StartingStream_ID],"01",CaptureRate[Sector_ID],$B57)),
(SUMIFS(INDEX(CaptureRate[#Data],,MATCH(I$3,CaptureRate[#Headers],0)),CaptureRate[StartingStream_ID],"01",CaptureRate[Sector_ID],$B57,CaptureRate[Grouping_ID],I$5))),"")</f>
        <v>0.15008436669300451</v>
      </c>
      <c r="J57" s="560">
        <f>IFERROR(IF((SUMIFS(INDEX(CaptureRate[#Data],,MATCH(J$3,CaptureRate[#Headers],0)),INDEX(CaptureRate[#Data],,MATCH(J$4,CaptureRate[#Headers],0)),"No",CaptureRate[StartingStream_ID],"01",CaptureRate[Sector_ID],$B57,CaptureRate[Grouping_ID],J$5)+SUMIFS(INDEX(CaptureRate[#Data],,MATCH(J$3,CaptureRate[#Headers],0)),INDEX(CaptureRate[#Data],,MATCH(J$4,CaptureRate[#Headers],0)),"No - Never",CaptureRate[StartingStream_ID],"01",CaptureRate[Sector_ID],$B57,CaptureRate[Grouping_ID],J$5))=0,
(SUMIFS(INDEX(CaptureRate[#Data],,MATCH(J$3,CaptureRate[#Headers],0)),INDEX(CaptureRate[#Data],,MATCH(J$4,CaptureRate[#Headers],0)),"No",CaptureRate[StartingStream_ID],"01",CaptureRate[Sector_ID],$B57)+SUMIFS(INDEX(CaptureRate[#Data],,MATCH(J$3,CaptureRate[#Headers],0)),INDEX(CaptureRate[#Data],,MATCH(J$4,CaptureRate[#Headers],0)),"No - Never",CaptureRate[StartingStream_ID],"01",CaptureRate[Sector_ID],$B57)),
(SUMIFS(INDEX(CaptureRate[#Data],,MATCH(J$3,CaptureRate[#Headers],0)),INDEX(CaptureRate[#Data],,MATCH(J$4,CaptureRate[#Headers],0)),"No",CaptureRate[StartingStream_ID],"01",CaptureRate[Sector_ID],$B57,CaptureRate[Grouping_ID],J$5)+SUMIFS(INDEX(CaptureRate[#Data],,MATCH(J$3,CaptureRate[#Headers],0)),INDEX(CaptureRate[#Data],,MATCH(J$4,CaptureRate[#Headers],0)),"No - Never",CaptureRate[StartingStream_ID],"01",CaptureRate[Sector_ID],$B57,CaptureRate[Grouping_ID],J$5)))
/
IF((SUMIFS(INDEX(CaptureRate[#Data],,MATCH(J$3,CaptureRate[#Headers],0)),CaptureRate[StartingStream_ID],"01",CaptureRate[Sector_ID],$B57,CaptureRate[Grouping_ID],J$5))=0,
(SUMIFS(INDEX(CaptureRate[#Data],,MATCH(J$3,CaptureRate[#Headers],0)),CaptureRate[StartingStream_ID],"01",CaptureRate[Sector_ID],$B57)),
(SUMIFS(INDEX(CaptureRate[#Data],,MATCH(J$3,CaptureRate[#Headers],0)),CaptureRate[StartingStream_ID],"01",CaptureRate[Sector_ID],$B57,CaptureRate[Grouping_ID],J$5))),"")</f>
        <v>8.4760278674182801E-2</v>
      </c>
      <c r="K57" s="560">
        <f>IFERROR(IF((SUMIFS(INDEX(CaptureRate[#Data],,MATCH(K$3,CaptureRate[#Headers],0)),INDEX(CaptureRate[#Data],,MATCH(K$4,CaptureRate[#Headers],0)),"No",CaptureRate[StartingStream_ID],"01",CaptureRate[Sector_ID],$B57,CaptureRate[Grouping_ID],K$5)+SUMIFS(INDEX(CaptureRate[#Data],,MATCH(K$3,CaptureRate[#Headers],0)),INDEX(CaptureRate[#Data],,MATCH(K$4,CaptureRate[#Headers],0)),"No - Never",CaptureRate[StartingStream_ID],"01",CaptureRate[Sector_ID],$B57,CaptureRate[Grouping_ID],K$5))=0,
(SUMIFS(INDEX(CaptureRate[#Data],,MATCH(K$3,CaptureRate[#Headers],0)),INDEX(CaptureRate[#Data],,MATCH(K$4,CaptureRate[#Headers],0)),"No",CaptureRate[StartingStream_ID],"01",CaptureRate[Sector_ID],$B57)+SUMIFS(INDEX(CaptureRate[#Data],,MATCH(K$3,CaptureRate[#Headers],0)),INDEX(CaptureRate[#Data],,MATCH(K$4,CaptureRate[#Headers],0)),"No - Never",CaptureRate[StartingStream_ID],"01",CaptureRate[Sector_ID],$B57)),
(SUMIFS(INDEX(CaptureRate[#Data],,MATCH(K$3,CaptureRate[#Headers],0)),INDEX(CaptureRate[#Data],,MATCH(K$4,CaptureRate[#Headers],0)),"No",CaptureRate[StartingStream_ID],"01",CaptureRate[Sector_ID],$B57,CaptureRate[Grouping_ID],K$5)+SUMIFS(INDEX(CaptureRate[#Data],,MATCH(K$3,CaptureRate[#Headers],0)),INDEX(CaptureRate[#Data],,MATCH(K$4,CaptureRate[#Headers],0)),"No - Never",CaptureRate[StartingStream_ID],"01",CaptureRate[Sector_ID],$B57,CaptureRate[Grouping_ID],K$5)))
/
IF((SUMIFS(INDEX(CaptureRate[#Data],,MATCH(K$3,CaptureRate[#Headers],0)),CaptureRate[StartingStream_ID],"01",CaptureRate[Sector_ID],$B57,CaptureRate[Grouping_ID],K$5))=0,
(SUMIFS(INDEX(CaptureRate[#Data],,MATCH(K$3,CaptureRate[#Headers],0)),CaptureRate[StartingStream_ID],"01",CaptureRate[Sector_ID],$B57)),
(SUMIFS(INDEX(CaptureRate[#Data],,MATCH(K$3,CaptureRate[#Headers],0)),CaptureRate[StartingStream_ID],"01",CaptureRate[Sector_ID],$B57,CaptureRate[Grouping_ID],K$5))),"")</f>
        <v>6.5282664133012758E-2</v>
      </c>
      <c r="L57" s="560">
        <f>IFERROR(IF((SUMIFS(INDEX(CaptureRate[#Data],,MATCH(L$3,CaptureRate[#Headers],0)),INDEX(CaptureRate[#Data],,MATCH(L$4,CaptureRate[#Headers],0)),"No",CaptureRate[StartingStream_ID],"01",CaptureRate[Sector_ID],$B57,CaptureRate[Grouping_ID],L$5)+SUMIFS(INDEX(CaptureRate[#Data],,MATCH(L$3,CaptureRate[#Headers],0)),INDEX(CaptureRate[#Data],,MATCH(L$4,CaptureRate[#Headers],0)),"No - Never",CaptureRate[StartingStream_ID],"01",CaptureRate[Sector_ID],$B57,CaptureRate[Grouping_ID],L$5))=0,
(SUMIFS(INDEX(CaptureRate[#Data],,MATCH(L$3,CaptureRate[#Headers],0)),INDEX(CaptureRate[#Data],,MATCH(L$4,CaptureRate[#Headers],0)),"No",CaptureRate[StartingStream_ID],"01",CaptureRate[Sector_ID],$B57)+SUMIFS(INDEX(CaptureRate[#Data],,MATCH(L$3,CaptureRate[#Headers],0)),INDEX(CaptureRate[#Data],,MATCH(L$4,CaptureRate[#Headers],0)),"No - Never",CaptureRate[StartingStream_ID],"01",CaptureRate[Sector_ID],$B57)),
(SUMIFS(INDEX(CaptureRate[#Data],,MATCH(L$3,CaptureRate[#Headers],0)),INDEX(CaptureRate[#Data],,MATCH(L$4,CaptureRate[#Headers],0)),"No",CaptureRate[StartingStream_ID],"01",CaptureRate[Sector_ID],$B57,CaptureRate[Grouping_ID],L$5)+SUMIFS(INDEX(CaptureRate[#Data],,MATCH(L$3,CaptureRate[#Headers],0)),INDEX(CaptureRate[#Data],,MATCH(L$4,CaptureRate[#Headers],0)),"No - Never",CaptureRate[StartingStream_ID],"01",CaptureRate[Sector_ID],$B57,CaptureRate[Grouping_ID],L$5)))
/
IF((SUMIFS(INDEX(CaptureRate[#Data],,MATCH(L$3,CaptureRate[#Headers],0)),CaptureRate[StartingStream_ID],"01",CaptureRate[Sector_ID],$B57,CaptureRate[Grouping_ID],L$5))=0,
(SUMIFS(INDEX(CaptureRate[#Data],,MATCH(L$3,CaptureRate[#Headers],0)),CaptureRate[StartingStream_ID],"01",CaptureRate[Sector_ID],$B57)),
(SUMIFS(INDEX(CaptureRate[#Data],,MATCH(L$3,CaptureRate[#Headers],0)),CaptureRate[StartingStream_ID],"01",CaptureRate[Sector_ID],$B57,CaptureRate[Grouping_ID],L$5))),"")</f>
        <v>6.5282664133012758E-2</v>
      </c>
      <c r="M57" s="560">
        <f>IFERROR(IF((SUMIFS(INDEX(CaptureRate[#Data],,MATCH(M$3,CaptureRate[#Headers],0)),INDEX(CaptureRate[#Data],,MATCH(M$4,CaptureRate[#Headers],0)),"No",CaptureRate[StartingStream_ID],"01",CaptureRate[Sector_ID],$B57,CaptureRate[Grouping_ID],M$5)+SUMIFS(INDEX(CaptureRate[#Data],,MATCH(M$3,CaptureRate[#Headers],0)),INDEX(CaptureRate[#Data],,MATCH(M$4,CaptureRate[#Headers],0)),"No - Never",CaptureRate[StartingStream_ID],"01",CaptureRate[Sector_ID],$B57,CaptureRate[Grouping_ID],M$5))=0,
(SUMIFS(INDEX(CaptureRate[#Data],,MATCH(M$3,CaptureRate[#Headers],0)),INDEX(CaptureRate[#Data],,MATCH(M$4,CaptureRate[#Headers],0)),"No",CaptureRate[StartingStream_ID],"01",CaptureRate[Sector_ID],$B57)+SUMIFS(INDEX(CaptureRate[#Data],,MATCH(M$3,CaptureRate[#Headers],0)),INDEX(CaptureRate[#Data],,MATCH(M$4,CaptureRate[#Headers],0)),"No - Never",CaptureRate[StartingStream_ID],"01",CaptureRate[Sector_ID],$B57)),
(SUMIFS(INDEX(CaptureRate[#Data],,MATCH(M$3,CaptureRate[#Headers],0)),INDEX(CaptureRate[#Data],,MATCH(M$4,CaptureRate[#Headers],0)),"No",CaptureRate[StartingStream_ID],"01",CaptureRate[Sector_ID],$B57,CaptureRate[Grouping_ID],M$5)+SUMIFS(INDEX(CaptureRate[#Data],,MATCH(M$3,CaptureRate[#Headers],0)),INDEX(CaptureRate[#Data],,MATCH(M$4,CaptureRate[#Headers],0)),"No - Never",CaptureRate[StartingStream_ID],"01",CaptureRate[Sector_ID],$B57,CaptureRate[Grouping_ID],M$5)))
/
IF((SUMIFS(INDEX(CaptureRate[#Data],,MATCH(M$3,CaptureRate[#Headers],0)),CaptureRate[StartingStream_ID],"01",CaptureRate[Sector_ID],$B57,CaptureRate[Grouping_ID],M$5))=0,
(SUMIFS(INDEX(CaptureRate[#Data],,MATCH(M$3,CaptureRate[#Headers],0)),CaptureRate[StartingStream_ID],"01",CaptureRate[Sector_ID],$B57)),
(SUMIFS(INDEX(CaptureRate[#Data],,MATCH(M$3,CaptureRate[#Headers],0)),CaptureRate[StartingStream_ID],"01",CaptureRate[Sector_ID],$B57,CaptureRate[Grouping_ID],M$5))),"")</f>
        <v>6.2363121426687679E-2</v>
      </c>
      <c r="P57" s="596"/>
      <c r="Z57" s="596"/>
    </row>
    <row r="58" spans="1:26" s="352" customFormat="1" x14ac:dyDescent="0.2">
      <c r="A58" s="521"/>
      <c r="B58" s="352">
        <v>4</v>
      </c>
      <c r="G58" s="352" t="s">
        <v>1167</v>
      </c>
      <c r="I58" s="560">
        <f>IFERROR(IF((SUMIFS(INDEX(CaptureRate[#Data],,MATCH(I$3,CaptureRate[#Headers],0)),INDEX(CaptureRate[#Data],,MATCH(I$4,CaptureRate[#Headers],0)),"No",CaptureRate[StartingStream_ID],"01",CaptureRate[Sector_ID],$B58,CaptureRate[Grouping_ID],I$5)+SUMIFS(INDEX(CaptureRate[#Data],,MATCH(I$3,CaptureRate[#Headers],0)),INDEX(CaptureRate[#Data],,MATCH(I$4,CaptureRate[#Headers],0)),"No - Never",CaptureRate[StartingStream_ID],"01",CaptureRate[Sector_ID],$B58,CaptureRate[Grouping_ID],I$5))=0,
(SUMIFS(INDEX(CaptureRate[#Data],,MATCH(I$3,CaptureRate[#Headers],0)),INDEX(CaptureRate[#Data],,MATCH(I$4,CaptureRate[#Headers],0)),"No",CaptureRate[StartingStream_ID],"01",CaptureRate[Sector_ID],$B58)+SUMIFS(INDEX(CaptureRate[#Data],,MATCH(I$3,CaptureRate[#Headers],0)),INDEX(CaptureRate[#Data],,MATCH(I$4,CaptureRate[#Headers],0)),"No - Never",CaptureRate[StartingStream_ID],"01",CaptureRate[Sector_ID],$B58)),
(SUMIFS(INDEX(CaptureRate[#Data],,MATCH(I$3,CaptureRate[#Headers],0)),INDEX(CaptureRate[#Data],,MATCH(I$4,CaptureRate[#Headers],0)),"No",CaptureRate[StartingStream_ID],"01",CaptureRate[Sector_ID],$B58,CaptureRate[Grouping_ID],I$5)+SUMIFS(INDEX(CaptureRate[#Data],,MATCH(I$3,CaptureRate[#Headers],0)),INDEX(CaptureRate[#Data],,MATCH(I$4,CaptureRate[#Headers],0)),"No - Never",CaptureRate[StartingStream_ID],"01",CaptureRate[Sector_ID],$B58,CaptureRate[Grouping_ID],I$5)))
/
IF((SUMIFS(INDEX(CaptureRate[#Data],,MATCH(I$3,CaptureRate[#Headers],0)),CaptureRate[StartingStream_ID],"01",CaptureRate[Sector_ID],$B58,CaptureRate[Grouping_ID],I$5))=0,
(SUMIFS(INDEX(CaptureRate[#Data],,MATCH(I$3,CaptureRate[#Headers],0)),CaptureRate[StartingStream_ID],"01",CaptureRate[Sector_ID],$B58)),
(SUMIFS(INDEX(CaptureRate[#Data],,MATCH(I$3,CaptureRate[#Headers],0)),CaptureRate[StartingStream_ID],"01",CaptureRate[Sector_ID],$B58,CaptureRate[Grouping_ID],I$5))),"")</f>
        <v>0.16119226994482078</v>
      </c>
      <c r="J58" s="560">
        <f>IFERROR(IF((SUMIFS(INDEX(CaptureRate[#Data],,MATCH(J$3,CaptureRate[#Headers],0)),INDEX(CaptureRate[#Data],,MATCH(J$4,CaptureRate[#Headers],0)),"No",CaptureRate[StartingStream_ID],"01",CaptureRate[Sector_ID],$B58,CaptureRate[Grouping_ID],J$5)+SUMIFS(INDEX(CaptureRate[#Data],,MATCH(J$3,CaptureRate[#Headers],0)),INDEX(CaptureRate[#Data],,MATCH(J$4,CaptureRate[#Headers],0)),"No - Never",CaptureRate[StartingStream_ID],"01",CaptureRate[Sector_ID],$B58,CaptureRate[Grouping_ID],J$5))=0,
(SUMIFS(INDEX(CaptureRate[#Data],,MATCH(J$3,CaptureRate[#Headers],0)),INDEX(CaptureRate[#Data],,MATCH(J$4,CaptureRate[#Headers],0)),"No",CaptureRate[StartingStream_ID],"01",CaptureRate[Sector_ID],$B58)+SUMIFS(INDEX(CaptureRate[#Data],,MATCH(J$3,CaptureRate[#Headers],0)),INDEX(CaptureRate[#Data],,MATCH(J$4,CaptureRate[#Headers],0)),"No - Never",CaptureRate[StartingStream_ID],"01",CaptureRate[Sector_ID],$B58)),
(SUMIFS(INDEX(CaptureRate[#Data],,MATCH(J$3,CaptureRate[#Headers],0)),INDEX(CaptureRate[#Data],,MATCH(J$4,CaptureRate[#Headers],0)),"No",CaptureRate[StartingStream_ID],"01",CaptureRate[Sector_ID],$B58,CaptureRate[Grouping_ID],J$5)+SUMIFS(INDEX(CaptureRate[#Data],,MATCH(J$3,CaptureRate[#Headers],0)),INDEX(CaptureRate[#Data],,MATCH(J$4,CaptureRate[#Headers],0)),"No - Never",CaptureRate[StartingStream_ID],"01",CaptureRate[Sector_ID],$B58,CaptureRate[Grouping_ID],J$5)))
/
IF((SUMIFS(INDEX(CaptureRate[#Data],,MATCH(J$3,CaptureRate[#Headers],0)),CaptureRate[StartingStream_ID],"01",CaptureRate[Sector_ID],$B58,CaptureRate[Grouping_ID],J$5))=0,
(SUMIFS(INDEX(CaptureRate[#Data],,MATCH(J$3,CaptureRate[#Headers],0)),CaptureRate[StartingStream_ID],"01",CaptureRate[Sector_ID],$B58)),
(SUMIFS(INDEX(CaptureRate[#Data],,MATCH(J$3,CaptureRate[#Headers],0)),CaptureRate[StartingStream_ID],"01",CaptureRate[Sector_ID],$B58,CaptureRate[Grouping_ID],J$5))),"")</f>
        <v>9.5501483948655527E-2</v>
      </c>
      <c r="K58" s="560">
        <f>IFERROR(IF((SUMIFS(INDEX(CaptureRate[#Data],,MATCH(K$3,CaptureRate[#Headers],0)),INDEX(CaptureRate[#Data],,MATCH(K$4,CaptureRate[#Headers],0)),"No",CaptureRate[StartingStream_ID],"01",CaptureRate[Sector_ID],$B58,CaptureRate[Grouping_ID],K$5)+SUMIFS(INDEX(CaptureRate[#Data],,MATCH(K$3,CaptureRate[#Headers],0)),INDEX(CaptureRate[#Data],,MATCH(K$4,CaptureRate[#Headers],0)),"No - Never",CaptureRate[StartingStream_ID],"01",CaptureRate[Sector_ID],$B58,CaptureRate[Grouping_ID],K$5))=0,
(SUMIFS(INDEX(CaptureRate[#Data],,MATCH(K$3,CaptureRate[#Headers],0)),INDEX(CaptureRate[#Data],,MATCH(K$4,CaptureRate[#Headers],0)),"No",CaptureRate[StartingStream_ID],"01",CaptureRate[Sector_ID],$B58)+SUMIFS(INDEX(CaptureRate[#Data],,MATCH(K$3,CaptureRate[#Headers],0)),INDEX(CaptureRate[#Data],,MATCH(K$4,CaptureRate[#Headers],0)),"No - Never",CaptureRate[StartingStream_ID],"01",CaptureRate[Sector_ID],$B58)),
(SUMIFS(INDEX(CaptureRate[#Data],,MATCH(K$3,CaptureRate[#Headers],0)),INDEX(CaptureRate[#Data],,MATCH(K$4,CaptureRate[#Headers],0)),"No",CaptureRate[StartingStream_ID],"01",CaptureRate[Sector_ID],$B58,CaptureRate[Grouping_ID],K$5)+SUMIFS(INDEX(CaptureRate[#Data],,MATCH(K$3,CaptureRate[#Headers],0)),INDEX(CaptureRate[#Data],,MATCH(K$4,CaptureRate[#Headers],0)),"No - Never",CaptureRate[StartingStream_ID],"01",CaptureRate[Sector_ID],$B58,CaptureRate[Grouping_ID],K$5)))
/
IF((SUMIFS(INDEX(CaptureRate[#Data],,MATCH(K$3,CaptureRate[#Headers],0)),CaptureRate[StartingStream_ID],"01",CaptureRate[Sector_ID],$B58,CaptureRate[Grouping_ID],K$5))=0,
(SUMIFS(INDEX(CaptureRate[#Data],,MATCH(K$3,CaptureRate[#Headers],0)),CaptureRate[StartingStream_ID],"01",CaptureRate[Sector_ID],$B58)),
(SUMIFS(INDEX(CaptureRate[#Data],,MATCH(K$3,CaptureRate[#Headers],0)),CaptureRate[StartingStream_ID],"01",CaptureRate[Sector_ID],$B58,CaptureRate[Grouping_ID],K$5))),"")</f>
        <v>5.328013994993254E-2</v>
      </c>
      <c r="L58" s="560">
        <f>IFERROR(IF((SUMIFS(INDEX(CaptureRate[#Data],,MATCH(L$3,CaptureRate[#Headers],0)),INDEX(CaptureRate[#Data],,MATCH(L$4,CaptureRate[#Headers],0)),"No",CaptureRate[StartingStream_ID],"01",CaptureRate[Sector_ID],$B58,CaptureRate[Grouping_ID],L$5)+SUMIFS(INDEX(CaptureRate[#Data],,MATCH(L$3,CaptureRate[#Headers],0)),INDEX(CaptureRate[#Data],,MATCH(L$4,CaptureRate[#Headers],0)),"No - Never",CaptureRate[StartingStream_ID],"01",CaptureRate[Sector_ID],$B58,CaptureRate[Grouping_ID],L$5))=0,
(SUMIFS(INDEX(CaptureRate[#Data],,MATCH(L$3,CaptureRate[#Headers],0)),INDEX(CaptureRate[#Data],,MATCH(L$4,CaptureRate[#Headers],0)),"No",CaptureRate[StartingStream_ID],"01",CaptureRate[Sector_ID],$B58)+SUMIFS(INDEX(CaptureRate[#Data],,MATCH(L$3,CaptureRate[#Headers],0)),INDEX(CaptureRate[#Data],,MATCH(L$4,CaptureRate[#Headers],0)),"No - Never",CaptureRate[StartingStream_ID],"01",CaptureRate[Sector_ID],$B58)),
(SUMIFS(INDEX(CaptureRate[#Data],,MATCH(L$3,CaptureRate[#Headers],0)),INDEX(CaptureRate[#Data],,MATCH(L$4,CaptureRate[#Headers],0)),"No",CaptureRate[StartingStream_ID],"01",CaptureRate[Sector_ID],$B58,CaptureRate[Grouping_ID],L$5)+SUMIFS(INDEX(CaptureRate[#Data],,MATCH(L$3,CaptureRate[#Headers],0)),INDEX(CaptureRate[#Data],,MATCH(L$4,CaptureRate[#Headers],0)),"No - Never",CaptureRate[StartingStream_ID],"01",CaptureRate[Sector_ID],$B58,CaptureRate[Grouping_ID],L$5)))
/
IF((SUMIFS(INDEX(CaptureRate[#Data],,MATCH(L$3,CaptureRate[#Headers],0)),CaptureRate[StartingStream_ID],"01",CaptureRate[Sector_ID],$B58,CaptureRate[Grouping_ID],L$5))=0,
(SUMIFS(INDEX(CaptureRate[#Data],,MATCH(L$3,CaptureRate[#Headers],0)),CaptureRate[StartingStream_ID],"01",CaptureRate[Sector_ID],$B58)),
(SUMIFS(INDEX(CaptureRate[#Data],,MATCH(L$3,CaptureRate[#Headers],0)),CaptureRate[StartingStream_ID],"01",CaptureRate[Sector_ID],$B58,CaptureRate[Grouping_ID],L$5))),"")</f>
        <v>5.328013994993254E-2</v>
      </c>
      <c r="M58" s="560">
        <f>IFERROR(IF((SUMIFS(INDEX(CaptureRate[#Data],,MATCH(M$3,CaptureRate[#Headers],0)),INDEX(CaptureRate[#Data],,MATCH(M$4,CaptureRate[#Headers],0)),"No",CaptureRate[StartingStream_ID],"01",CaptureRate[Sector_ID],$B58,CaptureRate[Grouping_ID],M$5)+SUMIFS(INDEX(CaptureRate[#Data],,MATCH(M$3,CaptureRate[#Headers],0)),INDEX(CaptureRate[#Data],,MATCH(M$4,CaptureRate[#Headers],0)),"No - Never",CaptureRate[StartingStream_ID],"01",CaptureRate[Sector_ID],$B58,CaptureRate[Grouping_ID],M$5))=0,
(SUMIFS(INDEX(CaptureRate[#Data],,MATCH(M$3,CaptureRate[#Headers],0)),INDEX(CaptureRate[#Data],,MATCH(M$4,CaptureRate[#Headers],0)),"No",CaptureRate[StartingStream_ID],"01",CaptureRate[Sector_ID],$B58)+SUMIFS(INDEX(CaptureRate[#Data],,MATCH(M$3,CaptureRate[#Headers],0)),INDEX(CaptureRate[#Data],,MATCH(M$4,CaptureRate[#Headers],0)),"No - Never",CaptureRate[StartingStream_ID],"01",CaptureRate[Sector_ID],$B58)),
(SUMIFS(INDEX(CaptureRate[#Data],,MATCH(M$3,CaptureRate[#Headers],0)),INDEX(CaptureRate[#Data],,MATCH(M$4,CaptureRate[#Headers],0)),"No",CaptureRate[StartingStream_ID],"01",CaptureRate[Sector_ID],$B58,CaptureRate[Grouping_ID],M$5)+SUMIFS(INDEX(CaptureRate[#Data],,MATCH(M$3,CaptureRate[#Headers],0)),INDEX(CaptureRate[#Data],,MATCH(M$4,CaptureRate[#Headers],0)),"No - Never",CaptureRate[StartingStream_ID],"01",CaptureRate[Sector_ID],$B58,CaptureRate[Grouping_ID],M$5)))
/
IF((SUMIFS(INDEX(CaptureRate[#Data],,MATCH(M$3,CaptureRate[#Headers],0)),CaptureRate[StartingStream_ID],"01",CaptureRate[Sector_ID],$B58,CaptureRate[Grouping_ID],M$5))=0,
(SUMIFS(INDEX(CaptureRate[#Data],,MATCH(M$3,CaptureRate[#Headers],0)),CaptureRate[StartingStream_ID],"01",CaptureRate[Sector_ID],$B58)),
(SUMIFS(INDEX(CaptureRate[#Data],,MATCH(M$3,CaptureRate[#Headers],0)),CaptureRate[StartingStream_ID],"01",CaptureRate[Sector_ID],$B58,CaptureRate[Grouping_ID],M$5))),"")</f>
        <v>5.5271976329706804E-2</v>
      </c>
      <c r="P58" s="596"/>
      <c r="Z58" s="596"/>
    </row>
    <row r="59" spans="1:26" s="549" customFormat="1" x14ac:dyDescent="0.2">
      <c r="B59" s="549" t="s">
        <v>3581</v>
      </c>
      <c r="I59" s="585"/>
      <c r="J59" s="585"/>
      <c r="K59" s="585"/>
      <c r="L59" s="585"/>
      <c r="M59" s="585"/>
      <c r="P59" s="598"/>
      <c r="Z59" s="598"/>
    </row>
    <row r="60" spans="1:26" s="521" customFormat="1" ht="45" x14ac:dyDescent="0.25">
      <c r="E60" s="535" t="s">
        <v>3617</v>
      </c>
      <c r="F60" s="535"/>
      <c r="G60" s="534"/>
      <c r="H60" s="534"/>
      <c r="I60" s="554" t="str">
        <f>I$24</f>
        <v>Baseline</v>
      </c>
      <c r="J60" s="575" t="str">
        <f t="shared" ref="J60:M60" si="1">J$24</f>
        <v>Scenario A  
Modern MRFs</v>
      </c>
      <c r="K60" s="575" t="str">
        <f t="shared" si="1"/>
        <v>Scenario A+  
Modern MRFs &amp; Longer List</v>
      </c>
      <c r="L60" s="575" t="str">
        <f t="shared" si="1"/>
        <v>Scenario B  
Out-of-State CRF</v>
      </c>
      <c r="M60" s="575" t="str">
        <f t="shared" si="1"/>
        <v>Scenario  C  
Dual-Stream</v>
      </c>
      <c r="P60" s="596"/>
      <c r="Z60" s="596"/>
    </row>
    <row r="61" spans="1:26" s="530" customFormat="1" ht="6" x14ac:dyDescent="0.15">
      <c r="B61" s="530" t="s">
        <v>3581</v>
      </c>
      <c r="I61" s="555"/>
      <c r="J61" s="555"/>
      <c r="K61" s="555"/>
      <c r="L61" s="555"/>
      <c r="M61" s="555"/>
      <c r="P61" s="597"/>
      <c r="Z61" s="597"/>
    </row>
    <row r="62" spans="1:26" s="521" customFormat="1" x14ac:dyDescent="0.2">
      <c r="E62" s="521" t="s">
        <v>3618</v>
      </c>
      <c r="P62" s="596"/>
      <c r="Z62" s="596"/>
    </row>
    <row r="63" spans="1:26" s="521" customFormat="1" x14ac:dyDescent="0.2">
      <c r="E63" s="521" t="s">
        <v>3619</v>
      </c>
      <c r="P63" s="596"/>
      <c r="Z63" s="596"/>
    </row>
    <row r="64" spans="1:26" s="521" customFormat="1" x14ac:dyDescent="0.2">
      <c r="E64" s="521" t="s">
        <v>3686</v>
      </c>
      <c r="P64" s="596"/>
      <c r="Z64" s="596"/>
    </row>
    <row r="65" spans="1:26" s="530" customFormat="1" ht="6" x14ac:dyDescent="0.15">
      <c r="B65" s="530" t="s">
        <v>3581</v>
      </c>
      <c r="I65" s="555"/>
      <c r="J65" s="555"/>
      <c r="K65" s="555"/>
      <c r="L65" s="555"/>
      <c r="M65" s="555"/>
      <c r="P65" s="597"/>
      <c r="Z65" s="597"/>
    </row>
    <row r="66" spans="1:26" s="521" customFormat="1" ht="15" x14ac:dyDescent="0.25">
      <c r="E66" s="181"/>
      <c r="F66" s="576" t="s">
        <v>3683</v>
      </c>
      <c r="G66" s="576"/>
      <c r="H66" s="576"/>
      <c r="I66" s="577">
        <f>SUM(I68,I77,I91,I94)</f>
        <v>523712.76795079437</v>
      </c>
      <c r="J66" s="577">
        <f t="shared" ref="J66:M66" si="2">SUM(J68,J77,J91,J94)</f>
        <v>515042.1796586893</v>
      </c>
      <c r="K66" s="577">
        <f t="shared" si="2"/>
        <v>567982.89254250017</v>
      </c>
      <c r="L66" s="577">
        <f t="shared" si="2"/>
        <v>567867.34466412128</v>
      </c>
      <c r="M66" s="577">
        <f t="shared" si="2"/>
        <v>574998.94578299916</v>
      </c>
      <c r="P66" s="596"/>
      <c r="Z66" s="596"/>
    </row>
    <row r="67" spans="1:26" s="530" customFormat="1" ht="6" x14ac:dyDescent="0.15">
      <c r="B67" s="530" t="s">
        <v>3581</v>
      </c>
      <c r="I67" s="555"/>
      <c r="J67" s="555"/>
      <c r="K67" s="555"/>
      <c r="L67" s="555"/>
      <c r="M67" s="555"/>
      <c r="P67" s="597"/>
      <c r="Z67" s="597"/>
    </row>
    <row r="68" spans="1:26" s="521" customFormat="1" ht="15" x14ac:dyDescent="0.25">
      <c r="E68" s="181"/>
      <c r="F68" s="539" t="s">
        <v>3630</v>
      </c>
      <c r="G68" s="536"/>
      <c r="H68" s="536"/>
      <c r="I68" s="550">
        <f>SUM(I69:I75)</f>
        <v>376090.30229958706</v>
      </c>
      <c r="J68" s="550">
        <f>SUM(J69:J75)</f>
        <v>372981.68193468393</v>
      </c>
      <c r="K68" s="550">
        <f t="shared" ref="K68:M68" si="3">SUM(K69:K75)</f>
        <v>394907.62627709203</v>
      </c>
      <c r="L68" s="550">
        <f t="shared" si="3"/>
        <v>394894.90296248067</v>
      </c>
      <c r="M68" s="550">
        <f t="shared" si="3"/>
        <v>400921.206288899</v>
      </c>
      <c r="P68" s="596"/>
      <c r="S68" s="604" t="s">
        <v>3726</v>
      </c>
      <c r="T68" s="521" t="s">
        <v>876</v>
      </c>
      <c r="U68" s="521" t="s">
        <v>875</v>
      </c>
      <c r="V68" s="600" t="s">
        <v>874</v>
      </c>
      <c r="W68" s="521" t="s">
        <v>873</v>
      </c>
      <c r="X68" s="521" t="s">
        <v>870</v>
      </c>
      <c r="Z68" s="596"/>
    </row>
    <row r="69" spans="1:26" s="521" customFormat="1" x14ac:dyDescent="0.2">
      <c r="A69" s="378"/>
      <c r="B69" s="378" t="s">
        <v>969</v>
      </c>
      <c r="C69" s="378"/>
      <c r="D69" s="378"/>
      <c r="E69" s="378"/>
      <c r="F69" s="378"/>
      <c r="G69" s="378" t="str">
        <f>INDEX(Bales[Bale_Name],MATCH(B69,Bales[Bale_ID],0))</f>
        <v>OCC (corrugated cardboard) </v>
      </c>
      <c r="H69" s="378"/>
      <c r="I69" s="562">
        <f>IFERROR((SUMIFS(INDEX(BaleQuality[#Data],,MATCH(I$8,BaleQuality[#Headers],0)),BaleQuality[Bale_ID],$B69)),"")</f>
        <v>204924.19717345759</v>
      </c>
      <c r="J69" s="562">
        <f>IFERROR((SUMIFS(INDEX(BaleQuality[#Data],,MATCH(J$8,BaleQuality[#Headers],0)),BaleQuality[Bale_ID],$B69)),"")</f>
        <v>229767.6421577872</v>
      </c>
      <c r="K69" s="562">
        <f>IFERROR((SUMIFS(INDEX(BaleQuality[#Data],,MATCH(K$8,BaleQuality[#Headers],0)),BaleQuality[Bale_ID],$B69)),"")</f>
        <v>232243.20012487427</v>
      </c>
      <c r="L69" s="562">
        <f>IFERROR((SUMIFS(INDEX(BaleQuality[#Data],,MATCH(L$8,BaleQuality[#Headers],0)),BaleQuality[Bale_ID],$B69)),"")</f>
        <v>232204.08666272505</v>
      </c>
      <c r="M69" s="562">
        <f>IFERROR((SUMIFS(INDEX(BaleQuality[#Data],,MATCH(M$8,BaleQuality[#Headers],0)),BaleQuality[Bale_ID],$B69)),"")</f>
        <v>235427.5659816355</v>
      </c>
      <c r="P69" s="596"/>
      <c r="S69" s="521" t="s">
        <v>3630</v>
      </c>
      <c r="T69" s="601">
        <f>I68</f>
        <v>376090.30229958706</v>
      </c>
      <c r="U69" s="601">
        <f>J68</f>
        <v>372981.68193468393</v>
      </c>
      <c r="V69" s="601">
        <f>K68</f>
        <v>394907.62627709203</v>
      </c>
      <c r="W69" s="601">
        <f>L68</f>
        <v>394894.90296248067</v>
      </c>
      <c r="X69" s="601">
        <f>M68</f>
        <v>400921.206288899</v>
      </c>
      <c r="Z69" s="596"/>
    </row>
    <row r="70" spans="1:26" s="521" customFormat="1" x14ac:dyDescent="0.2">
      <c r="A70" s="378"/>
      <c r="B70" s="378" t="s">
        <v>971</v>
      </c>
      <c r="C70" s="378"/>
      <c r="D70" s="378"/>
      <c r="E70" s="378"/>
      <c r="F70" s="378"/>
      <c r="G70" s="378" t="str">
        <f>INDEX(Bales[Bale_Name],MATCH(B70,Bales[Bale_ID],0))</f>
        <v>Sorted clean newsprint</v>
      </c>
      <c r="H70" s="378"/>
      <c r="I70" s="562">
        <f>IFERROR((SUMIFS(INDEX(BaleQuality[#Data],,MATCH(I$8,BaleQuality[#Headers],0)),BaleQuality[Bale_ID],$B70)),"")</f>
        <v>1121.1440925045511</v>
      </c>
      <c r="J70" s="562">
        <f>IFERROR((SUMIFS(INDEX(BaleQuality[#Data],,MATCH(J$8,BaleQuality[#Headers],0)),BaleQuality[Bale_ID],$B70)),"")</f>
        <v>1121.1440925045511</v>
      </c>
      <c r="K70" s="562">
        <f>IFERROR((SUMIFS(INDEX(BaleQuality[#Data],,MATCH(K$8,BaleQuality[#Headers],0)),BaleQuality[Bale_ID],$B70)),"")</f>
        <v>1121.1440925045508</v>
      </c>
      <c r="L70" s="562">
        <f>IFERROR((SUMIFS(INDEX(BaleQuality[#Data],,MATCH(L$8,BaleQuality[#Headers],0)),BaleQuality[Bale_ID],$B70)),"")</f>
        <v>1121.1440925045508</v>
      </c>
      <c r="M70" s="562">
        <f>IFERROR((SUMIFS(INDEX(BaleQuality[#Data],,MATCH(M$8,BaleQuality[#Headers],0)),BaleQuality[Bale_ID],$B70)),"")</f>
        <v>1121.1440925045508</v>
      </c>
      <c r="P70" s="596"/>
      <c r="S70" s="521" t="s">
        <v>3631</v>
      </c>
      <c r="T70" s="601">
        <f>I77</f>
        <v>23809.406531662244</v>
      </c>
      <c r="U70" s="601">
        <f>J77</f>
        <v>20537.448281085839</v>
      </c>
      <c r="V70" s="601">
        <f>K77</f>
        <v>40615.449288605181</v>
      </c>
      <c r="W70" s="601">
        <f>L77</f>
        <v>40512.99306708778</v>
      </c>
      <c r="X70" s="601">
        <f>M77</f>
        <v>41744.935245272274</v>
      </c>
      <c r="Z70" s="596"/>
    </row>
    <row r="71" spans="1:26" s="521" customFormat="1" x14ac:dyDescent="0.2">
      <c r="A71" s="378"/>
      <c r="B71" s="378" t="s">
        <v>973</v>
      </c>
      <c r="C71" s="378"/>
      <c r="D71" s="378"/>
      <c r="E71" s="378"/>
      <c r="F71" s="378"/>
      <c r="G71" s="378" t="str">
        <f>INDEX(Bales[Bale_Name],MATCH(B71,Bales[Bale_ID],0))</f>
        <v>Sorted residential paper and news</v>
      </c>
      <c r="H71" s="378"/>
      <c r="I71" s="562">
        <f>IFERROR((SUMIFS(INDEX(BaleQuality[#Data],,MATCH(I$8,BaleQuality[#Headers],0)),BaleQuality[Bale_ID],$B71)),"")</f>
        <v>12861.77565354059</v>
      </c>
      <c r="J71" s="562">
        <f>IFERROR((SUMIFS(INDEX(BaleQuality[#Data],,MATCH(J$8,BaleQuality[#Headers],0)),BaleQuality[Bale_ID],$B71)),"")</f>
        <v>83642.001442449968</v>
      </c>
      <c r="K71" s="562">
        <f>IFERROR((SUMIFS(INDEX(BaleQuality[#Data],,MATCH(K$8,BaleQuality[#Headers],0)),BaleQuality[Bale_ID],$B71)),"")</f>
        <v>91008.994073319438</v>
      </c>
      <c r="L71" s="562">
        <f>IFERROR((SUMIFS(INDEX(BaleQuality[#Data],,MATCH(L$8,BaleQuality[#Headers],0)),BaleQuality[Bale_ID],$B71)),"")</f>
        <v>90992.557854211424</v>
      </c>
      <c r="M71" s="562">
        <f>IFERROR((SUMIFS(INDEX(BaleQuality[#Data],,MATCH(M$8,BaleQuality[#Headers],0)),BaleQuality[Bale_ID],$B71)),"")</f>
        <v>93508.643326055913</v>
      </c>
      <c r="P71" s="596"/>
      <c r="S71" s="521" t="s">
        <v>709</v>
      </c>
      <c r="T71" s="601">
        <f>I91</f>
        <v>58420.519861067107</v>
      </c>
      <c r="U71" s="601">
        <f>J91</f>
        <v>58420.519861067107</v>
      </c>
      <c r="V71" s="601">
        <f>K91</f>
        <v>64551.841763634846</v>
      </c>
      <c r="W71" s="601">
        <f>L91</f>
        <v>64551.841763634846</v>
      </c>
      <c r="X71" s="601">
        <f>M91</f>
        <v>64551.841763634846</v>
      </c>
      <c r="Z71" s="596"/>
    </row>
    <row r="72" spans="1:26" s="521" customFormat="1" x14ac:dyDescent="0.2">
      <c r="A72" s="378"/>
      <c r="B72" s="378" t="s">
        <v>977</v>
      </c>
      <c r="C72" s="378"/>
      <c r="D72" s="378"/>
      <c r="E72" s="378"/>
      <c r="F72" s="378"/>
      <c r="G72" s="378" t="str">
        <f>INDEX(Bales[Bale_Name],MATCH(B72,Bales[Bale_ID],0))</f>
        <v>Mixed paper</v>
      </c>
      <c r="H72" s="378"/>
      <c r="I72" s="562">
        <f>IFERROR((SUMIFS(INDEX(BaleQuality[#Data],,MATCH(I$8,BaleQuality[#Headers],0)),BaleQuality[Bale_ID],$B72)),"")</f>
        <v>155579.55038009828</v>
      </c>
      <c r="J72" s="562">
        <f>IFERROR((SUMIFS(INDEX(BaleQuality[#Data],,MATCH(J$8,BaleQuality[#Headers],0)),BaleQuality[Bale_ID],$B72)),"")</f>
        <v>56876.521907885777</v>
      </c>
      <c r="K72" s="562">
        <f>IFERROR((SUMIFS(INDEX(BaleQuality[#Data],,MATCH(K$8,BaleQuality[#Headers],0)),BaleQuality[Bale_ID],$B72)),"")</f>
        <v>67966.12254174659</v>
      </c>
      <c r="L72" s="562">
        <f>IFERROR((SUMIFS(INDEX(BaleQuality[#Data],,MATCH(L$8,BaleQuality[#Headers],0)),BaleQuality[Bale_ID],$B72)),"")</f>
        <v>68008.828328038479</v>
      </c>
      <c r="M72" s="562">
        <f>IFERROR((SUMIFS(INDEX(BaleQuality[#Data],,MATCH(M$8,BaleQuality[#Headers],0)),BaleQuality[Bale_ID],$B72)),"")</f>
        <v>68084.656997702055</v>
      </c>
      <c r="P72" s="596"/>
      <c r="S72" s="521" t="s">
        <v>3684</v>
      </c>
      <c r="T72" s="601">
        <f>I94</f>
        <v>65392.539258477991</v>
      </c>
      <c r="U72" s="601">
        <f>J94</f>
        <v>63102.529581852417</v>
      </c>
      <c r="V72" s="601">
        <f>K94</f>
        <v>67907.975213168116</v>
      </c>
      <c r="W72" s="601">
        <f>L94</f>
        <v>67907.606870917938</v>
      </c>
      <c r="X72" s="601">
        <f>M94</f>
        <v>67780.962485193042</v>
      </c>
      <c r="Z72" s="596"/>
    </row>
    <row r="73" spans="1:26" s="521" customFormat="1" x14ac:dyDescent="0.2">
      <c r="A73" s="378"/>
      <c r="B73" s="378" t="s">
        <v>978</v>
      </c>
      <c r="C73" s="378"/>
      <c r="D73" s="378"/>
      <c r="E73" s="378"/>
      <c r="F73" s="378"/>
      <c r="G73" s="378" t="str">
        <f>INDEX(Bales[Bale_Name],MATCH(B73,Bales[Bale_ID],0))</f>
        <v>Paperboard/old boxboard</v>
      </c>
      <c r="H73" s="378"/>
      <c r="I73" s="562">
        <f>IFERROR((SUMIFS(INDEX(BaleQuality[#Data],,MATCH(I$8,BaleQuality[#Headers],0)),BaleQuality[Bale_ID],$B73)),"")</f>
        <v>940.10711159800303</v>
      </c>
      <c r="J73" s="562">
        <f>IFERROR((SUMIFS(INDEX(BaleQuality[#Data],,MATCH(J$8,BaleQuality[#Headers],0)),BaleQuality[Bale_ID],$B73)),"")</f>
        <v>940.10711159800303</v>
      </c>
      <c r="K73" s="562">
        <f>IFERROR((SUMIFS(INDEX(BaleQuality[#Data],,MATCH(K$8,BaleQuality[#Headers],0)),BaleQuality[Bale_ID],$B73)),"")</f>
        <v>940.10711159800303</v>
      </c>
      <c r="L73" s="562">
        <f>IFERROR((SUMIFS(INDEX(BaleQuality[#Data],,MATCH(L$8,BaleQuality[#Headers],0)),BaleQuality[Bale_ID],$B73)),"")</f>
        <v>940.10711159800303</v>
      </c>
      <c r="M73" s="562">
        <f>IFERROR((SUMIFS(INDEX(BaleQuality[#Data],,MATCH(M$8,BaleQuality[#Headers],0)),BaleQuality[Bale_ID],$B73)),"")</f>
        <v>940.10711159800303</v>
      </c>
      <c r="P73" s="596"/>
      <c r="S73" s="521" t="s">
        <v>25</v>
      </c>
      <c r="T73" s="601">
        <f>SUM(T69:T72)</f>
        <v>523712.76795079437</v>
      </c>
      <c r="U73" s="601">
        <f t="shared" ref="U73:X73" si="4">SUM(U69:U72)</f>
        <v>515042.1796586893</v>
      </c>
      <c r="V73" s="601">
        <f t="shared" si="4"/>
        <v>567982.89254250017</v>
      </c>
      <c r="W73" s="601">
        <f t="shared" si="4"/>
        <v>567867.34466412128</v>
      </c>
      <c r="X73" s="601">
        <f t="shared" si="4"/>
        <v>574998.94578299916</v>
      </c>
      <c r="Z73" s="596"/>
    </row>
    <row r="74" spans="1:26" s="521" customFormat="1" x14ac:dyDescent="0.2">
      <c r="A74" s="378"/>
      <c r="B74" s="378" t="s">
        <v>979</v>
      </c>
      <c r="C74" s="378"/>
      <c r="D74" s="378"/>
      <c r="E74" s="378"/>
      <c r="F74" s="378"/>
      <c r="G74" s="378" t="str">
        <f>INDEX(Bales[Bale_Name],MATCH(B74,Bales[Bale_ID],0))</f>
        <v>Aseptic and gable-top cartons</v>
      </c>
      <c r="H74" s="378"/>
      <c r="I74" s="562">
        <f>IFERROR((SUMIFS(INDEX(BaleQuality[#Data],,MATCH(I$8,BaleQuality[#Headers],0)),BaleQuality[Bale_ID],$B74)),"")</f>
        <v>663.52788838801951</v>
      </c>
      <c r="J74" s="562">
        <f>IFERROR((SUMIFS(INDEX(BaleQuality[#Data],,MATCH(J$8,BaleQuality[#Headers],0)),BaleQuality[Bale_ID],$B74)),"")</f>
        <v>634.26522245840522</v>
      </c>
      <c r="K74" s="562">
        <f>IFERROR((SUMIFS(INDEX(BaleQuality[#Data],,MATCH(K$8,BaleQuality[#Headers],0)),BaleQuality[Bale_ID],$B74)),"")</f>
        <v>1628.0583330491575</v>
      </c>
      <c r="L74" s="562">
        <f>IFERROR((SUMIFS(INDEX(BaleQuality[#Data],,MATCH(L$8,BaleQuality[#Headers],0)),BaleQuality[Bale_ID],$B74)),"")</f>
        <v>1628.1789134031708</v>
      </c>
      <c r="M74" s="562">
        <f>IFERROR((SUMIFS(INDEX(BaleQuality[#Data],,MATCH(M$8,BaleQuality[#Headers],0)),BaleQuality[Bale_ID],$B74)),"")</f>
        <v>1839.0887794029493</v>
      </c>
      <c r="P74" s="596"/>
      <c r="Z74" s="596"/>
    </row>
    <row r="75" spans="1:26" s="521" customFormat="1" hidden="1" x14ac:dyDescent="0.2">
      <c r="A75" s="378"/>
      <c r="B75" s="378" t="s">
        <v>981</v>
      </c>
      <c r="C75" s="378" t="s">
        <v>3685</v>
      </c>
      <c r="D75" s="378"/>
      <c r="E75" s="378"/>
      <c r="F75" s="378"/>
      <c r="G75" s="378" t="str">
        <f>INDEX(Bales[Bale_Name],MATCH(B75,Bales[Bale_ID],0))</f>
        <v>Polycoated cups and containers</v>
      </c>
      <c r="H75" s="378"/>
      <c r="I75" s="562">
        <f>IFERROR((SUMIFS(INDEX(BaleQuality[#Data],,MATCH(I$8,BaleQuality[#Headers],0)),BaleQuality[Bale_ID],$B75)),"")</f>
        <v>0</v>
      </c>
      <c r="J75" s="562">
        <f>IFERROR((SUMIFS(INDEX(BaleQuality[#Data],,MATCH(J$8,BaleQuality[#Headers],0)),BaleQuality[Bale_ID],$B75)),"")</f>
        <v>0</v>
      </c>
      <c r="K75" s="562">
        <f>IFERROR((SUMIFS(INDEX(BaleQuality[#Data],,MATCH(K$8,BaleQuality[#Headers],0)),BaleQuality[Bale_ID],$B75)),"")</f>
        <v>0</v>
      </c>
      <c r="L75" s="562">
        <f>IFERROR((SUMIFS(INDEX(BaleQuality[#Data],,MATCH(L$8,BaleQuality[#Headers],0)),BaleQuality[Bale_ID],$B75)),"")</f>
        <v>0</v>
      </c>
      <c r="M75" s="562">
        <f>IFERROR((SUMIFS(INDEX(BaleQuality[#Data],,MATCH(M$8,BaleQuality[#Headers],0)),BaleQuality[Bale_ID],$B75)),"")</f>
        <v>0</v>
      </c>
      <c r="P75" s="596"/>
      <c r="Z75" s="596"/>
    </row>
    <row r="76" spans="1:26" s="530" customFormat="1" ht="6" x14ac:dyDescent="0.15">
      <c r="A76" s="533"/>
      <c r="B76" s="533" t="s">
        <v>3581</v>
      </c>
      <c r="C76" s="533"/>
      <c r="D76" s="533"/>
      <c r="E76" s="533"/>
      <c r="F76" s="533"/>
      <c r="G76" s="533"/>
      <c r="H76" s="533"/>
      <c r="I76" s="563"/>
      <c r="J76" s="563"/>
      <c r="K76" s="563"/>
      <c r="L76" s="563"/>
      <c r="M76" s="563"/>
      <c r="P76" s="597"/>
      <c r="Z76" s="597"/>
    </row>
    <row r="77" spans="1:26" s="521" customFormat="1" ht="15" x14ac:dyDescent="0.25">
      <c r="A77" s="378"/>
      <c r="B77" s="378"/>
      <c r="C77" s="378"/>
      <c r="D77" s="378"/>
      <c r="E77" s="181"/>
      <c r="F77" s="539" t="s">
        <v>3631</v>
      </c>
      <c r="G77" s="536"/>
      <c r="H77" s="536"/>
      <c r="I77" s="550">
        <f>SUM(I78:I89)</f>
        <v>23809.406531662244</v>
      </c>
      <c r="J77" s="550">
        <f t="shared" ref="J77:M77" si="5">SUM(J78:J89)</f>
        <v>20537.448281085839</v>
      </c>
      <c r="K77" s="550">
        <f t="shared" si="5"/>
        <v>40615.449288605181</v>
      </c>
      <c r="L77" s="550">
        <f t="shared" si="5"/>
        <v>40512.99306708778</v>
      </c>
      <c r="M77" s="550">
        <f t="shared" si="5"/>
        <v>41744.935245272274</v>
      </c>
      <c r="P77" s="596"/>
      <c r="Z77" s="596"/>
    </row>
    <row r="78" spans="1:26" s="521" customFormat="1" x14ac:dyDescent="0.2">
      <c r="A78" s="378"/>
      <c r="B78" s="378" t="s">
        <v>982</v>
      </c>
      <c r="C78" s="378"/>
      <c r="D78" s="378"/>
      <c r="E78" s="378"/>
      <c r="F78" s="378"/>
      <c r="G78" s="378" t="str">
        <f>INDEX(Bales[Bale_Name],MATCH(B78,Bales[Bale_ID],0))</f>
        <v>PET #1 bottles and jars </v>
      </c>
      <c r="H78" s="378"/>
      <c r="I78" s="562">
        <f>IFERROR((SUMIFS(INDEX(BaleQuality[#Data],,MATCH(I$8,BaleQuality[#Headers],0)),BaleQuality[Bale_ID],$B78)),"")</f>
        <v>7495.7053683258555</v>
      </c>
      <c r="J78" s="562">
        <f>IFERROR((SUMIFS(INDEX(BaleQuality[#Data],,MATCH(J$8,BaleQuality[#Headers],0)),BaleQuality[Bale_ID],$B78)),"")</f>
        <v>6846.5928120123199</v>
      </c>
      <c r="K78" s="562">
        <f>IFERROR((SUMIFS(INDEX(BaleQuality[#Data],,MATCH(K$8,BaleQuality[#Headers],0)),BaleQuality[Bale_ID],$B78)),"")</f>
        <v>6785.5467057540163</v>
      </c>
      <c r="L78" s="562">
        <f>IFERROR((SUMIFS(INDEX(BaleQuality[#Data],,MATCH(L$8,BaleQuality[#Headers],0)),BaleQuality[Bale_ID],$B78)),"")</f>
        <v>7591.3033096122981</v>
      </c>
      <c r="M78" s="562">
        <f>IFERROR((SUMIFS(INDEX(BaleQuality[#Data],,MATCH(M$8,BaleQuality[#Headers],0)),BaleQuality[Bale_ID],$B78)),"")</f>
        <v>7351.6640226654445</v>
      </c>
      <c r="P78" s="596"/>
      <c r="Z78" s="596"/>
    </row>
    <row r="79" spans="1:26" s="521" customFormat="1" x14ac:dyDescent="0.2">
      <c r="A79" s="378"/>
      <c r="B79" s="378" t="s">
        <v>984</v>
      </c>
      <c r="C79" s="378"/>
      <c r="D79" s="378"/>
      <c r="E79" s="378"/>
      <c r="F79" s="378"/>
      <c r="G79" s="378" t="str">
        <f>INDEX(Bales[Bale_Name],MATCH(B79,Bales[Bale_ID],0))</f>
        <v>PET #1 thermoforms and tubs</v>
      </c>
      <c r="H79" s="378"/>
      <c r="I79" s="562">
        <f>IFERROR((SUMIFS(INDEX(BaleQuality[#Data],,MATCH(I$8,BaleQuality[#Headers],0)),BaleQuality[Bale_ID],$B79)),"")</f>
        <v>24.295138204122495</v>
      </c>
      <c r="J79" s="562">
        <f>IFERROR((SUMIFS(INDEX(BaleQuality[#Data],,MATCH(J$8,BaleQuality[#Headers],0)),BaleQuality[Bale_ID],$B79)),"")</f>
        <v>24.295138204122495</v>
      </c>
      <c r="K79" s="562">
        <f>IFERROR((SUMIFS(INDEX(BaleQuality[#Data],,MATCH(K$8,BaleQuality[#Headers],0)),BaleQuality[Bale_ID],$B79)),"")</f>
        <v>2529.7359756272967</v>
      </c>
      <c r="L79" s="562">
        <f>IFERROR((SUMIFS(INDEX(BaleQuality[#Data],,MATCH(L$8,BaleQuality[#Headers],0)),BaleQuality[Bale_ID],$B79)),"")</f>
        <v>1775.7697189028529</v>
      </c>
      <c r="M79" s="562">
        <f>IFERROR((SUMIFS(INDEX(BaleQuality[#Data],,MATCH(M$8,BaleQuality[#Headers],0)),BaleQuality[Bale_ID],$B79)),"")</f>
        <v>2805.9176512404661</v>
      </c>
      <c r="P79" s="596"/>
      <c r="Z79" s="596"/>
    </row>
    <row r="80" spans="1:26" s="521" customFormat="1" x14ac:dyDescent="0.2">
      <c r="A80" s="378"/>
      <c r="B80" s="378" t="s">
        <v>986</v>
      </c>
      <c r="C80" s="378"/>
      <c r="D80" s="378"/>
      <c r="E80" s="378"/>
      <c r="F80" s="378"/>
      <c r="G80" s="378" t="str">
        <f>INDEX(Bales[Bale_Name],MATCH(B80,Bales[Bale_ID],0))</f>
        <v>HDPE #2 natural bottles </v>
      </c>
      <c r="H80" s="378"/>
      <c r="I80" s="562">
        <f>IFERROR((SUMIFS(INDEX(BaleQuality[#Data],,MATCH(I$8,BaleQuality[#Headers],0)),BaleQuality[Bale_ID],$B80)),"")</f>
        <v>2162.5755978813509</v>
      </c>
      <c r="J80" s="562">
        <f>IFERROR((SUMIFS(INDEX(BaleQuality[#Data],,MATCH(J$8,BaleQuality[#Headers],0)),BaleQuality[Bale_ID],$B80)),"")</f>
        <v>2047.0237492852418</v>
      </c>
      <c r="K80" s="562">
        <f>IFERROR((SUMIFS(INDEX(BaleQuality[#Data],,MATCH(K$8,BaleQuality[#Headers],0)),BaleQuality[Bale_ID],$B80)),"")</f>
        <v>2083.0979619209515</v>
      </c>
      <c r="L80" s="562">
        <f>IFERROR((SUMIFS(INDEX(BaleQuality[#Data],,MATCH(L$8,BaleQuality[#Headers],0)),BaleQuality[Bale_ID],$B80)),"")</f>
        <v>2071.7707411021079</v>
      </c>
      <c r="M80" s="562">
        <f>IFERROR((SUMIFS(INDEX(BaleQuality[#Data],,MATCH(M$8,BaleQuality[#Headers],0)),BaleQuality[Bale_ID],$B80)),"")</f>
        <v>2181.3709242196614</v>
      </c>
      <c r="P80" s="596"/>
      <c r="Z80" s="596"/>
    </row>
    <row r="81" spans="1:26" s="521" customFormat="1" x14ac:dyDescent="0.2">
      <c r="A81" s="378"/>
      <c r="B81" s="378" t="s">
        <v>988</v>
      </c>
      <c r="C81" s="378"/>
      <c r="D81" s="378"/>
      <c r="E81" s="378"/>
      <c r="F81" s="378"/>
      <c r="G81" s="378" t="str">
        <f>INDEX(Bales[Bale_Name],MATCH(B81,Bales[Bale_ID],0))</f>
        <v>HDPE #2 colored bottles </v>
      </c>
      <c r="H81" s="378"/>
      <c r="I81" s="562">
        <f>IFERROR((SUMIFS(INDEX(BaleQuality[#Data],,MATCH(I$8,BaleQuality[#Headers],0)),BaleQuality[Bale_ID],$B81)),"")</f>
        <v>2986.1398522206846</v>
      </c>
      <c r="J81" s="562">
        <f>IFERROR((SUMIFS(INDEX(BaleQuality[#Data],,MATCH(J$8,BaleQuality[#Headers],0)),BaleQuality[Bale_ID],$B81)),"")</f>
        <v>2827.2560604010364</v>
      </c>
      <c r="K81" s="562">
        <f>IFERROR((SUMIFS(INDEX(BaleQuality[#Data],,MATCH(K$8,BaleQuality[#Headers],0)),BaleQuality[Bale_ID],$B81)),"")</f>
        <v>2876.8581027751366</v>
      </c>
      <c r="L81" s="562">
        <f>IFERROR((SUMIFS(INDEX(BaleQuality[#Data],,MATCH(L$8,BaleQuality[#Headers],0)),BaleQuality[Bale_ID],$B81)),"")</f>
        <v>2861.2831741492264</v>
      </c>
      <c r="M81" s="562">
        <f>IFERROR((SUMIFS(INDEX(BaleQuality[#Data],,MATCH(M$8,BaleQuality[#Headers],0)),BaleQuality[Bale_ID],$B81)),"")</f>
        <v>3011.9834259358618</v>
      </c>
      <c r="P81" s="596"/>
      <c r="Z81" s="596"/>
    </row>
    <row r="82" spans="1:26" s="521" customFormat="1" x14ac:dyDescent="0.2">
      <c r="A82" s="378"/>
      <c r="B82" s="378" t="s">
        <v>990</v>
      </c>
      <c r="C82" s="378"/>
      <c r="D82" s="378"/>
      <c r="E82" s="378"/>
      <c r="F82" s="378"/>
      <c r="G82" s="378" t="str">
        <f>INDEX(Bales[Bale_Name],MATCH(B82,Bales[Bale_ID],0))</f>
        <v>HDPE #2 and PP #5 tubs </v>
      </c>
      <c r="H82" s="378"/>
      <c r="I82" s="562">
        <f>IFERROR((SUMIFS(INDEX(BaleQuality[#Data],,MATCH(I$8,BaleQuality[#Headers],0)),BaleQuality[Bale_ID],$B82)),"")</f>
        <v>397.16073835245629</v>
      </c>
      <c r="J82" s="562">
        <f>IFERROR((SUMIFS(INDEX(BaleQuality[#Data],,MATCH(J$8,BaleQuality[#Headers],0)),BaleQuality[Bale_ID],$B82)),"")</f>
        <v>319.51526594986973</v>
      </c>
      <c r="K82" s="562">
        <f>IFERROR((SUMIFS(INDEX(BaleQuality[#Data],,MATCH(K$8,BaleQuality[#Headers],0)),BaleQuality[Bale_ID],$B82)),"")</f>
        <v>1405.6660351670491</v>
      </c>
      <c r="L82" s="562">
        <f>IFERROR((SUMIFS(INDEX(BaleQuality[#Data],,MATCH(L$8,BaleQuality[#Headers],0)),BaleQuality[Bale_ID],$B82)),"")</f>
        <v>1390.8796220781176</v>
      </c>
      <c r="M82" s="562">
        <f>IFERROR((SUMIFS(INDEX(BaleQuality[#Data],,MATCH(M$8,BaleQuality[#Headers],0)),BaleQuality[Bale_ID],$B82)),"")</f>
        <v>1447.341428349331</v>
      </c>
      <c r="P82" s="596"/>
      <c r="Z82" s="596"/>
    </row>
    <row r="83" spans="1:26" s="521" customFormat="1" x14ac:dyDescent="0.2">
      <c r="A83" s="378"/>
      <c r="B83" s="378" t="s">
        <v>994</v>
      </c>
      <c r="C83" s="378"/>
      <c r="D83" s="378"/>
      <c r="E83" s="378"/>
      <c r="F83" s="378"/>
      <c r="G83" s="378" t="str">
        <f>INDEX(Bales[Bale_Name],MATCH(B83,Bales[Bale_ID],0))</f>
        <v>PE clear film</v>
      </c>
      <c r="H83" s="378"/>
      <c r="I83" s="562">
        <f>IFERROR((SUMIFS(INDEX(BaleQuality[#Data],,MATCH(I$8,BaleQuality[#Headers],0)),BaleQuality[Bale_ID],$B83)),"")</f>
        <v>3684.2974687214764</v>
      </c>
      <c r="J83" s="562">
        <f>IFERROR((SUMIFS(INDEX(BaleQuality[#Data],,MATCH(J$8,BaleQuality[#Headers],0)),BaleQuality[Bale_ID],$B83)),"")</f>
        <v>3684.2974687214764</v>
      </c>
      <c r="K83" s="562">
        <f>IFERROR((SUMIFS(INDEX(BaleQuality[#Data],,MATCH(K$8,BaleQuality[#Headers],0)),BaleQuality[Bale_ID],$B83)),"")</f>
        <v>3817.2040075646578</v>
      </c>
      <c r="L83" s="562">
        <f>IFERROR((SUMIFS(INDEX(BaleQuality[#Data],,MATCH(L$8,BaleQuality[#Headers],0)),BaleQuality[Bale_ID],$B83)),"")</f>
        <v>3817.2040075646578</v>
      </c>
      <c r="M83" s="562">
        <f>IFERROR((SUMIFS(INDEX(BaleQuality[#Data],,MATCH(M$8,BaleQuality[#Headers],0)),BaleQuality[Bale_ID],$B83)),"")</f>
        <v>3817.2040075646578</v>
      </c>
      <c r="P83" s="596"/>
      <c r="Z83" s="596"/>
    </row>
    <row r="84" spans="1:26" s="521" customFormat="1" x14ac:dyDescent="0.2">
      <c r="A84" s="378"/>
      <c r="B84" s="378" t="s">
        <v>1000</v>
      </c>
      <c r="C84" s="378"/>
      <c r="D84" s="378"/>
      <c r="E84" s="378"/>
      <c r="F84" s="378"/>
      <c r="G84" s="378" t="str">
        <f>INDEX(Bales[Bale_Name],MATCH(B84,Bales[Bale_ID],0))</f>
        <v>Mixed bulky rigid plastics (mainly PE and PP) </v>
      </c>
      <c r="H84" s="378"/>
      <c r="I84" s="562">
        <f>IFERROR((SUMIFS(INDEX(BaleQuality[#Data],,MATCH(I$8,BaleQuality[#Headers],0)),BaleQuality[Bale_ID],$B84)),"")</f>
        <v>2840.0144896660663</v>
      </c>
      <c r="J84" s="562">
        <f>IFERROR((SUMIFS(INDEX(BaleQuality[#Data],,MATCH(J$8,BaleQuality[#Headers],0)),BaleQuality[Bale_ID],$B84)),"")</f>
        <v>1799.4487053775815</v>
      </c>
      <c r="K84" s="562">
        <f>IFERROR((SUMIFS(INDEX(BaleQuality[#Data],,MATCH(K$8,BaleQuality[#Headers],0)),BaleQuality[Bale_ID],$B84)),"")</f>
        <v>14137.470421506652</v>
      </c>
      <c r="L84" s="562">
        <f>IFERROR((SUMIFS(INDEX(BaleQuality[#Data],,MATCH(L$8,BaleQuality[#Headers],0)),BaleQuality[Bale_ID],$B84)),"")</f>
        <v>14165.419011612401</v>
      </c>
      <c r="M84" s="562">
        <f>IFERROR((SUMIFS(INDEX(BaleQuality[#Data],,MATCH(M$8,BaleQuality[#Headers],0)),BaleQuality[Bale_ID],$B84)),"")</f>
        <v>13729.598480020824</v>
      </c>
      <c r="P84" s="596"/>
      <c r="Z84" s="596"/>
    </row>
    <row r="85" spans="1:26" s="521" customFormat="1" x14ac:dyDescent="0.2">
      <c r="A85" s="378"/>
      <c r="B85" s="378" t="s">
        <v>1002</v>
      </c>
      <c r="C85" s="378"/>
      <c r="D85" s="378"/>
      <c r="E85" s="378"/>
      <c r="F85" s="378"/>
      <c r="G85" s="378" t="str">
        <f>INDEX(Bales[Bale_Name],MATCH(B85,Bales[Bale_ID],0))</f>
        <v>PP #5 bottles and jars</v>
      </c>
      <c r="H85" s="378"/>
      <c r="I85" s="562">
        <f>IFERROR((SUMIFS(INDEX(BaleQuality[#Data],,MATCH(I$8,BaleQuality[#Headers],0)),BaleQuality[Bale_ID],$B85)),"")</f>
        <v>64.855905032014164</v>
      </c>
      <c r="J85" s="562">
        <f>IFERROR((SUMIFS(INDEX(BaleQuality[#Data],,MATCH(J$8,BaleQuality[#Headers],0)),BaleQuality[Bale_ID],$B85)),"")</f>
        <v>61.686425733980869</v>
      </c>
      <c r="K85" s="562">
        <f>IFERROR((SUMIFS(INDEX(BaleQuality[#Data],,MATCH(K$8,BaleQuality[#Headers],0)),BaleQuality[Bale_ID],$B85)),"")</f>
        <v>195.40620572100454</v>
      </c>
      <c r="L85" s="562">
        <f>IFERROR((SUMIFS(INDEX(BaleQuality[#Data],,MATCH(L$8,BaleQuality[#Headers],0)),BaleQuality[Bale_ID],$B85)),"")</f>
        <v>190.59851452596592</v>
      </c>
      <c r="M85" s="562">
        <f>IFERROR((SUMIFS(INDEX(BaleQuality[#Data],,MATCH(M$8,BaleQuality[#Headers],0)),BaleQuality[Bale_ID],$B85)),"")</f>
        <v>215.96454280855841</v>
      </c>
      <c r="P85" s="596"/>
      <c r="Z85" s="596"/>
    </row>
    <row r="86" spans="1:26" s="521" customFormat="1" x14ac:dyDescent="0.2">
      <c r="A86" s="378"/>
      <c r="B86" s="378" t="s">
        <v>1006</v>
      </c>
      <c r="C86" s="378"/>
      <c r="D86" s="378"/>
      <c r="E86" s="378"/>
      <c r="F86" s="378"/>
      <c r="G86" s="378" t="str">
        <f>INDEX(Bales[Bale_Name],MATCH(B86,Bales[Bale_ID],0))</f>
        <v>PP #5 small rigid plastic</v>
      </c>
      <c r="H86" s="378"/>
      <c r="I86" s="562">
        <f>IFERROR((SUMIFS(INDEX(BaleQuality[#Data],,MATCH(I$8,BaleQuality[#Headers],0)),BaleQuality[Bale_ID],$B86)),"")</f>
        <v>998.4239076475086</v>
      </c>
      <c r="J86" s="562">
        <f>IFERROR((SUMIFS(INDEX(BaleQuality[#Data],,MATCH(J$8,BaleQuality[#Headers],0)),BaleQuality[Bale_ID],$B86)),"")</f>
        <v>697.11966601445295</v>
      </c>
      <c r="K86" s="562">
        <f>IFERROR((SUMIFS(INDEX(BaleQuality[#Data],,MATCH(K$8,BaleQuality[#Headers],0)),BaleQuality[Bale_ID],$B86)),"")</f>
        <v>6060.3553411219855</v>
      </c>
      <c r="L86" s="562">
        <f>IFERROR((SUMIFS(INDEX(BaleQuality[#Data],,MATCH(L$8,BaleQuality[#Headers],0)),BaleQuality[Bale_ID],$B86)),"")</f>
        <v>5949.0057343584331</v>
      </c>
      <c r="M86" s="562">
        <f>IFERROR((SUMIFS(INDEX(BaleQuality[#Data],,MATCH(M$8,BaleQuality[#Headers],0)),BaleQuality[Bale_ID],$B86)),"")</f>
        <v>6313.7168604535209</v>
      </c>
      <c r="P86" s="596"/>
      <c r="Z86" s="596"/>
    </row>
    <row r="87" spans="1:26" s="521" customFormat="1" x14ac:dyDescent="0.2">
      <c r="A87" s="378"/>
      <c r="B87" s="378" t="s">
        <v>1008</v>
      </c>
      <c r="C87" s="378"/>
      <c r="D87" s="378"/>
      <c r="E87" s="378"/>
      <c r="F87" s="378"/>
      <c r="G87" s="378" t="str">
        <f>INDEX(Bales[Bale_Name],MATCH(B87,Bales[Bale_ID],0))</f>
        <v>Solid PS #6 (rigid) </v>
      </c>
      <c r="H87" s="378"/>
      <c r="I87" s="562">
        <f>IFERROR((SUMIFS(INDEX(BaleQuality[#Data],,MATCH(I$8,BaleQuality[#Headers],0)),BaleQuality[Bale_ID],$B87)),"")</f>
        <v>0.27666363481483458</v>
      </c>
      <c r="J87" s="562">
        <f>IFERROR((SUMIFS(INDEX(BaleQuality[#Data],,MATCH(J$8,BaleQuality[#Headers],0)),BaleQuality[Bale_ID],$B87)),"")</f>
        <v>19.104188095263098</v>
      </c>
      <c r="K87" s="562">
        <f>IFERROR((SUMIFS(INDEX(BaleQuality[#Data],,MATCH(K$8,BaleQuality[#Headers],0)),BaleQuality[Bale_ID],$B87)),"")</f>
        <v>565.37168714662721</v>
      </c>
      <c r="L87" s="562">
        <f>IFERROR((SUMIFS(INDEX(BaleQuality[#Data],,MATCH(L$8,BaleQuality[#Headers],0)),BaleQuality[Bale_ID],$B87)),"")</f>
        <v>541.02238888190675</v>
      </c>
      <c r="M87" s="562">
        <f>IFERROR((SUMIFS(INDEX(BaleQuality[#Data],,MATCH(M$8,BaleQuality[#Headers],0)),BaleQuality[Bale_ID],$B87)),"")</f>
        <v>711.43705771414875</v>
      </c>
      <c r="P87" s="596"/>
      <c r="Z87" s="596"/>
    </row>
    <row r="88" spans="1:26" s="521" customFormat="1" x14ac:dyDescent="0.2">
      <c r="A88" s="378"/>
      <c r="B88" s="378" t="s">
        <v>1010</v>
      </c>
      <c r="C88" s="378"/>
      <c r="D88" s="378"/>
      <c r="E88" s="378"/>
      <c r="F88" s="378"/>
      <c r="G88" s="378" t="str">
        <f>INDEX(Bales[Bale_Name],MATCH(B88,Bales[Bale_ID],0))</f>
        <v>Foam PS #6 (transport block and shape, densified)</v>
      </c>
      <c r="H88" s="378"/>
      <c r="I88" s="562">
        <f>IFERROR((SUMIFS(INDEX(BaleQuality[#Data],,MATCH(I$8,BaleQuality[#Headers],0)),BaleQuality[Bale_ID],$B88)),"")</f>
        <v>1.3862672329687287</v>
      </c>
      <c r="J88" s="562">
        <f>IFERROR((SUMIFS(INDEX(BaleQuality[#Data],,MATCH(J$8,BaleQuality[#Headers],0)),BaleQuality[Bale_ID],$B88)),"")</f>
        <v>1.3862672329687287</v>
      </c>
      <c r="K88" s="562">
        <f>IFERROR((SUMIFS(INDEX(BaleQuality[#Data],,MATCH(K$8,BaleQuality[#Headers],0)),BaleQuality[Bale_ID],$B88)),"")</f>
        <v>134.07979500328059</v>
      </c>
      <c r="L88" s="562">
        <f>IFERROR((SUMIFS(INDEX(BaleQuality[#Data],,MATCH(L$8,BaleQuality[#Headers],0)),BaleQuality[Bale_ID],$B88)),"")</f>
        <v>134.07979500328059</v>
      </c>
      <c r="M88" s="562">
        <f>IFERROR((SUMIFS(INDEX(BaleQuality[#Data],,MATCH(M$8,BaleQuality[#Headers],0)),BaleQuality[Bale_ID],$B88)),"")</f>
        <v>134.07979500328059</v>
      </c>
      <c r="P88" s="596"/>
      <c r="Z88" s="596"/>
    </row>
    <row r="89" spans="1:26" s="521" customFormat="1" x14ac:dyDescent="0.2">
      <c r="A89" s="378"/>
      <c r="B89" s="378" t="s">
        <v>1014</v>
      </c>
      <c r="C89" s="378"/>
      <c r="D89" s="378"/>
      <c r="E89" s="378"/>
      <c r="F89" s="378"/>
      <c r="G89" s="378" t="str">
        <f>INDEX(Bales[Bale_Name],MATCH(B89,Bales[Bale_ID],0))</f>
        <v>#3-7 bottles and small rigid plastics </v>
      </c>
      <c r="H89" s="378"/>
      <c r="I89" s="562">
        <f>IFERROR((SUMIFS(INDEX(BaleQuality[#Data],,MATCH(I$8,BaleQuality[#Headers],0)),BaleQuality[Bale_ID],$B89)),"")</f>
        <v>3154.2751347429207</v>
      </c>
      <c r="J89" s="562">
        <f>IFERROR((SUMIFS(INDEX(BaleQuality[#Data],,MATCH(J$8,BaleQuality[#Headers],0)),BaleQuality[Bale_ID],$B89)),"")</f>
        <v>2209.7225340575324</v>
      </c>
      <c r="K89" s="562">
        <f>IFERROR((SUMIFS(INDEX(BaleQuality[#Data],,MATCH(K$8,BaleQuality[#Headers],0)),BaleQuality[Bale_ID],$B89)),"")</f>
        <v>24.657049296529493</v>
      </c>
      <c r="L89" s="562">
        <f>IFERROR((SUMIFS(INDEX(BaleQuality[#Data],,MATCH(L$8,BaleQuality[#Headers],0)),BaleQuality[Bale_ID],$B89)),"")</f>
        <v>24.657049296529493</v>
      </c>
      <c r="M89" s="562">
        <f>IFERROR((SUMIFS(INDEX(BaleQuality[#Data],,MATCH(M$8,BaleQuality[#Headers],0)),BaleQuality[Bale_ID],$B89)),"")</f>
        <v>24.657049296529493</v>
      </c>
      <c r="P89" s="596"/>
      <c r="Z89" s="596"/>
    </row>
    <row r="90" spans="1:26" s="530" customFormat="1" ht="6" x14ac:dyDescent="0.15">
      <c r="A90" s="533"/>
      <c r="B90" s="533" t="s">
        <v>3581</v>
      </c>
      <c r="C90" s="533"/>
      <c r="D90" s="533"/>
      <c r="E90" s="533"/>
      <c r="F90" s="533"/>
      <c r="G90" s="533"/>
      <c r="H90" s="533"/>
      <c r="I90" s="563"/>
      <c r="J90" s="563"/>
      <c r="K90" s="563"/>
      <c r="L90" s="563"/>
      <c r="M90" s="563"/>
      <c r="P90" s="597"/>
      <c r="Z90" s="597"/>
    </row>
    <row r="91" spans="1:26" s="521" customFormat="1" ht="15" x14ac:dyDescent="0.25">
      <c r="A91" s="378"/>
      <c r="B91" s="378"/>
      <c r="C91" s="378"/>
      <c r="D91" s="378"/>
      <c r="E91" s="181"/>
      <c r="F91" s="539" t="s">
        <v>709</v>
      </c>
      <c r="G91" s="536"/>
      <c r="H91" s="536"/>
      <c r="I91" s="550">
        <f>SUM(I92)</f>
        <v>58420.519861067107</v>
      </c>
      <c r="J91" s="550">
        <f t="shared" ref="J91:M91" si="6">SUM(J92)</f>
        <v>58420.519861067107</v>
      </c>
      <c r="K91" s="550">
        <f t="shared" si="6"/>
        <v>64551.841763634846</v>
      </c>
      <c r="L91" s="550">
        <f t="shared" si="6"/>
        <v>64551.841763634846</v>
      </c>
      <c r="M91" s="550">
        <f t="shared" si="6"/>
        <v>64551.841763634846</v>
      </c>
      <c r="P91" s="596"/>
      <c r="Z91" s="596"/>
    </row>
    <row r="92" spans="1:26" s="521" customFormat="1" x14ac:dyDescent="0.2">
      <c r="A92" s="378"/>
      <c r="B92" s="378" t="s">
        <v>1015</v>
      </c>
      <c r="C92" s="378"/>
      <c r="D92" s="378"/>
      <c r="E92" s="378"/>
      <c r="F92" s="378"/>
      <c r="G92" s="378" t="str">
        <f>INDEX(Bales[Bale_Name],MATCH(B92,Bales[Bale_ID],0))</f>
        <v>Container glass </v>
      </c>
      <c r="H92" s="378"/>
      <c r="I92" s="562">
        <f>IFERROR((SUMIFS(INDEX(BaleQuality[#Data],,MATCH(I$8,BaleQuality[#Headers],0)),BaleQuality[Bale_ID],$B92)),"")</f>
        <v>58420.519861067107</v>
      </c>
      <c r="J92" s="562">
        <f>IFERROR((SUMIFS(INDEX(BaleQuality[#Data],,MATCH(J$8,BaleQuality[#Headers],0)),BaleQuality[Bale_ID],$B92)),"")</f>
        <v>58420.519861067107</v>
      </c>
      <c r="K92" s="562">
        <f>IFERROR((SUMIFS(INDEX(BaleQuality[#Data],,MATCH(K$8,BaleQuality[#Headers],0)),BaleQuality[Bale_ID],$B92)),"")</f>
        <v>64551.841763634846</v>
      </c>
      <c r="L92" s="562">
        <f>IFERROR((SUMIFS(INDEX(BaleQuality[#Data],,MATCH(L$8,BaleQuality[#Headers],0)),BaleQuality[Bale_ID],$B92)),"")</f>
        <v>64551.841763634846</v>
      </c>
      <c r="M92" s="562">
        <f>IFERROR((SUMIFS(INDEX(BaleQuality[#Data],,MATCH(M$8,BaleQuality[#Headers],0)),BaleQuality[Bale_ID],$B92)),"")</f>
        <v>64551.841763634846</v>
      </c>
      <c r="P92" s="596"/>
      <c r="Z92" s="596"/>
    </row>
    <row r="93" spans="1:26" s="530" customFormat="1" ht="6" x14ac:dyDescent="0.15">
      <c r="A93" s="533"/>
      <c r="B93" s="533" t="s">
        <v>3581</v>
      </c>
      <c r="C93" s="533"/>
      <c r="D93" s="533"/>
      <c r="E93" s="533"/>
      <c r="F93" s="533"/>
      <c r="G93" s="533"/>
      <c r="H93" s="533"/>
      <c r="I93" s="563"/>
      <c r="J93" s="563"/>
      <c r="K93" s="563"/>
      <c r="L93" s="563"/>
      <c r="M93" s="563"/>
      <c r="P93" s="597"/>
      <c r="Z93" s="597"/>
    </row>
    <row r="94" spans="1:26" s="521" customFormat="1" ht="15" x14ac:dyDescent="0.25">
      <c r="A94" s="378"/>
      <c r="B94" s="378"/>
      <c r="C94" s="378"/>
      <c r="D94" s="378"/>
      <c r="E94" s="181"/>
      <c r="F94" s="539" t="s">
        <v>3684</v>
      </c>
      <c r="G94" s="536"/>
      <c r="H94" s="536"/>
      <c r="I94" s="550">
        <f>SUM(I95:I97)</f>
        <v>65392.539258477991</v>
      </c>
      <c r="J94" s="550">
        <f t="shared" ref="J94:M94" si="7">SUM(J95:J97)</f>
        <v>63102.529581852417</v>
      </c>
      <c r="K94" s="550">
        <f t="shared" si="7"/>
        <v>67907.975213168116</v>
      </c>
      <c r="L94" s="550">
        <f t="shared" si="7"/>
        <v>67907.606870917938</v>
      </c>
      <c r="M94" s="550">
        <f t="shared" si="7"/>
        <v>67780.962485193042</v>
      </c>
      <c r="P94" s="596"/>
      <c r="Z94" s="596"/>
    </row>
    <row r="95" spans="1:26" s="521" customFormat="1" x14ac:dyDescent="0.2">
      <c r="A95" s="378"/>
      <c r="B95" s="378" t="s">
        <v>1017</v>
      </c>
      <c r="C95" s="378"/>
      <c r="D95" s="378"/>
      <c r="E95" s="378"/>
      <c r="F95" s="378"/>
      <c r="G95" s="378" t="str">
        <f>INDEX(Bales[Bale_Name],MATCH(B95,Bales[Bale_ID],0))</f>
        <v>Aluminum cans and foil</v>
      </c>
      <c r="H95" s="378"/>
      <c r="I95" s="562">
        <f>IFERROR((SUMIFS(INDEX(BaleQuality[#Data],,MATCH(I$8,BaleQuality[#Headers],0)),BaleQuality[Bale_ID],$B95)),"")</f>
        <v>1414.2900477880489</v>
      </c>
      <c r="J95" s="562">
        <f>IFERROR((SUMIFS(INDEX(BaleQuality[#Data],,MATCH(J$8,BaleQuality[#Headers],0)),BaleQuality[Bale_ID],$B95)),"")</f>
        <v>1152.5472447767779</v>
      </c>
      <c r="K95" s="562">
        <f>IFERROR((SUMIFS(INDEX(BaleQuality[#Data],,MATCH(K$8,BaleQuality[#Headers],0)),BaleQuality[Bale_ID],$B95)),"")</f>
        <v>1468.0871810292492</v>
      </c>
      <c r="L95" s="562">
        <f>IFERROR((SUMIFS(INDEX(BaleQuality[#Data],,MATCH(L$8,BaleQuality[#Headers],0)),BaleQuality[Bale_ID],$B95)),"")</f>
        <v>1468.69775603114</v>
      </c>
      <c r="M95" s="562">
        <f>IFERROR((SUMIFS(INDEX(BaleQuality[#Data],,MATCH(M$8,BaleQuality[#Headers],0)),BaleQuality[Bale_ID],$B95)),"")</f>
        <v>1508.6015050537583</v>
      </c>
      <c r="P95" s="596"/>
      <c r="Z95" s="596"/>
    </row>
    <row r="96" spans="1:26" s="521" customFormat="1" x14ac:dyDescent="0.2">
      <c r="A96" s="378"/>
      <c r="B96" s="378" t="s">
        <v>1019</v>
      </c>
      <c r="C96" s="378"/>
      <c r="D96" s="378"/>
      <c r="E96" s="378"/>
      <c r="F96" s="378"/>
      <c r="G96" s="378" t="str">
        <f>INDEX(Bales[Bale_Name],MATCH(B96,Bales[Bale_ID],0))</f>
        <v>Steel cans </v>
      </c>
      <c r="H96" s="378"/>
      <c r="I96" s="562">
        <f>IFERROR((SUMIFS(INDEX(BaleQuality[#Data],,MATCH(I$8,BaleQuality[#Headers],0)),BaleQuality[Bale_ID],$B96)),"")</f>
        <v>28445.75730263524</v>
      </c>
      <c r="J96" s="562">
        <f>IFERROR((SUMIFS(INDEX(BaleQuality[#Data],,MATCH(J$8,BaleQuality[#Headers],0)),BaleQuality[Bale_ID],$B96)),"")</f>
        <v>27948.464160583841</v>
      </c>
      <c r="K96" s="562">
        <f>IFERROR((SUMIFS(INDEX(BaleQuality[#Data],,MATCH(K$8,BaleQuality[#Headers],0)),BaleQuality[Bale_ID],$B96)),"")</f>
        <v>29914.735819451467</v>
      </c>
      <c r="L96" s="562">
        <f>IFERROR((SUMIFS(INDEX(BaleQuality[#Data],,MATCH(L$8,BaleQuality[#Headers],0)),BaleQuality[Bale_ID],$B96)),"")</f>
        <v>29912.341005576152</v>
      </c>
      <c r="M96" s="562">
        <f>IFERROR((SUMIFS(INDEX(BaleQuality[#Data],,MATCH(M$8,BaleQuality[#Headers],0)),BaleQuality[Bale_ID],$B96)),"")</f>
        <v>29945.390796621439</v>
      </c>
      <c r="P96" s="596"/>
      <c r="Z96" s="596"/>
    </row>
    <row r="97" spans="1:26" s="521" customFormat="1" x14ac:dyDescent="0.2">
      <c r="A97" s="378"/>
      <c r="B97" s="378" t="s">
        <v>1021</v>
      </c>
      <c r="C97" s="378"/>
      <c r="D97" s="378"/>
      <c r="E97" s="378"/>
      <c r="F97" s="378"/>
      <c r="G97" s="378" t="str">
        <f>INDEX(Bales[Bale_Name],MATCH(B97,Bales[Bale_ID],0))</f>
        <v>Scrap metal</v>
      </c>
      <c r="H97" s="378"/>
      <c r="I97" s="562">
        <f>IFERROR((SUMIFS(INDEX(BaleQuality[#Data],,MATCH(I$8,BaleQuality[#Headers],0)),BaleQuality[Bale_ID],$B97)),"")</f>
        <v>35532.491908054697</v>
      </c>
      <c r="J97" s="562">
        <f>IFERROR((SUMIFS(INDEX(BaleQuality[#Data],,MATCH(J$8,BaleQuality[#Headers],0)),BaleQuality[Bale_ID],$B97)),"")</f>
        <v>34001.518176491802</v>
      </c>
      <c r="K97" s="562">
        <f>IFERROR((SUMIFS(INDEX(BaleQuality[#Data],,MATCH(K$8,BaleQuality[#Headers],0)),BaleQuality[Bale_ID],$B97)),"")</f>
        <v>36525.152212687397</v>
      </c>
      <c r="L97" s="562">
        <f>IFERROR((SUMIFS(INDEX(BaleQuality[#Data],,MATCH(L$8,BaleQuality[#Headers],0)),BaleQuality[Bale_ID],$B97)),"")</f>
        <v>36526.568109310647</v>
      </c>
      <c r="M97" s="562">
        <f>IFERROR((SUMIFS(INDEX(BaleQuality[#Data],,MATCH(M$8,BaleQuality[#Headers],0)),BaleQuality[Bale_ID],$B97)),"")</f>
        <v>36326.970183517842</v>
      </c>
      <c r="P97" s="596"/>
      <c r="Z97" s="596"/>
    </row>
    <row r="98" spans="1:26" s="549" customFormat="1" x14ac:dyDescent="0.2">
      <c r="B98" s="549" t="s">
        <v>3581</v>
      </c>
      <c r="I98" s="585"/>
      <c r="J98" s="585"/>
      <c r="K98" s="585"/>
      <c r="L98" s="585"/>
      <c r="M98" s="585"/>
      <c r="P98" s="598"/>
      <c r="Z98" s="598"/>
    </row>
    <row r="99" spans="1:26" s="352" customFormat="1" ht="45" x14ac:dyDescent="0.25">
      <c r="A99" s="521"/>
      <c r="E99" s="535" t="s">
        <v>3616</v>
      </c>
      <c r="F99" s="535"/>
      <c r="G99" s="534"/>
      <c r="H99" s="534"/>
      <c r="I99" s="554" t="str">
        <f>I$24</f>
        <v>Baseline</v>
      </c>
      <c r="J99" s="575" t="str">
        <f t="shared" ref="J99:M99" si="8">J$24</f>
        <v>Scenario A  
Modern MRFs</v>
      </c>
      <c r="K99" s="575" t="str">
        <f t="shared" si="8"/>
        <v>Scenario A+  
Modern MRFs &amp; Longer List</v>
      </c>
      <c r="L99" s="575" t="str">
        <f t="shared" si="8"/>
        <v>Scenario B  
Out-of-State CRF</v>
      </c>
      <c r="M99" s="575" t="str">
        <f t="shared" si="8"/>
        <v>Scenario  C  
Dual-Stream</v>
      </c>
      <c r="P99" s="596"/>
      <c r="Z99" s="596"/>
    </row>
    <row r="100" spans="1:26" s="530" customFormat="1" ht="6" x14ac:dyDescent="0.15">
      <c r="B100" s="530" t="s">
        <v>3581</v>
      </c>
      <c r="I100" s="555"/>
      <c r="J100" s="555"/>
      <c r="K100" s="555"/>
      <c r="L100" s="555"/>
      <c r="M100" s="555"/>
      <c r="P100" s="597"/>
      <c r="Z100" s="597"/>
    </row>
    <row r="101" spans="1:26" x14ac:dyDescent="0.2">
      <c r="B101"/>
      <c r="C101"/>
      <c r="E101" t="s">
        <v>3623</v>
      </c>
      <c r="I101"/>
      <c r="J101"/>
      <c r="K101"/>
      <c r="L101"/>
      <c r="M101"/>
      <c r="P101" s="596"/>
      <c r="Z101" s="596"/>
    </row>
    <row r="102" spans="1:26" s="530" customFormat="1" ht="6" x14ac:dyDescent="0.15">
      <c r="B102" s="530" t="s">
        <v>3581</v>
      </c>
      <c r="I102" s="555"/>
      <c r="J102" s="555"/>
      <c r="K102" s="555"/>
      <c r="L102" s="555"/>
      <c r="M102" s="555"/>
      <c r="P102" s="597"/>
      <c r="Z102" s="597"/>
    </row>
    <row r="103" spans="1:26" s="352" customFormat="1" ht="15" x14ac:dyDescent="0.25">
      <c r="A103" s="521"/>
      <c r="B103" s="381" t="s">
        <v>762</v>
      </c>
      <c r="E103" s="181"/>
      <c r="F103" s="539" t="s">
        <v>3630</v>
      </c>
      <c r="G103" s="536"/>
      <c r="H103" s="536"/>
      <c r="I103" s="606">
        <f>IFERROR(1-((SUMIFS(INDEX(BaleQuality[#Data],,MATCH(I$9,BaleQuality[#Headers],0)),BaleQuality[BaleType],$B103,BaleQuality[CollectionStream_ID],"01")+
SUMIFS(INDEX(BaleQuality[#Data],,MATCH(I$9,BaleQuality[#Headers],0)),BaleQuality[BaleType],$B103,BaleQuality[CollectionStream_ID],"09")+
SUMIFS(INDEX(BaleQuality[#Data],,MATCH(I$9,BaleQuality[#Headers],0)),BaleQuality[BaleType],$B103,BaleQuality[CollectionStream_ID],"10")+
SUMIFS(INDEX(BaleQuality[#Data],,MATCH(I$9,BaleQuality[#Headers],0)),BaleQuality[BaleType],$B103,BaleQuality[CollectionStream_ID],"14"))
/
(SUMIFS(INDEX(BaleQuality[#Data],,MATCH(I$8,BaleQuality[#Headers],0)),BaleQuality[BaleType],$B103,BaleQuality[CollectionStream_ID],"01")+
SUMIFS(INDEX(BaleQuality[#Data],,MATCH(I$8,BaleQuality[#Headers],0)),BaleQuality[BaleType],$B103,BaleQuality[CollectionStream_ID],"09")+
SUMIFS(INDEX(BaleQuality[#Data],,MATCH(I$8,BaleQuality[#Headers],0)),BaleQuality[BaleType],$B103,BaleQuality[CollectionStream_ID],"10")+
SUMIFS(INDEX(BaleQuality[#Data],,MATCH(I$8,BaleQuality[#Headers],0)),BaleQuality[BaleType],$B103,BaleQuality[CollectionStream_ID],"14"))),"")</f>
        <v>1.9669382493660681E-2</v>
      </c>
      <c r="J103" s="606">
        <f>IFERROR(1-((SUMIFS(INDEX(BaleQuality[#Data],,MATCH(J$9,BaleQuality[#Headers],0)),BaleQuality[BaleType],$B103,BaleQuality[CollectionStream_ID],"01")+
SUMIFS(INDEX(BaleQuality[#Data],,MATCH(J$9,BaleQuality[#Headers],0)),BaleQuality[BaleType],$B103,BaleQuality[CollectionStream_ID],"09")+
SUMIFS(INDEX(BaleQuality[#Data],,MATCH(J$9,BaleQuality[#Headers],0)),BaleQuality[BaleType],$B103,BaleQuality[CollectionStream_ID],"10")+
SUMIFS(INDEX(BaleQuality[#Data],,MATCH(J$9,BaleQuality[#Headers],0)),BaleQuality[BaleType],$B103,BaleQuality[CollectionStream_ID],"14"))
/
(SUMIFS(INDEX(BaleQuality[#Data],,MATCH(J$8,BaleQuality[#Headers],0)),BaleQuality[BaleType],$B103,BaleQuality[CollectionStream_ID],"01")+
SUMIFS(INDEX(BaleQuality[#Data],,MATCH(J$8,BaleQuality[#Headers],0)),BaleQuality[BaleType],$B103,BaleQuality[CollectionStream_ID],"09")+
SUMIFS(INDEX(BaleQuality[#Data],,MATCH(J$8,BaleQuality[#Headers],0)),BaleQuality[BaleType],$B103,BaleQuality[CollectionStream_ID],"10")+
SUMIFS(INDEX(BaleQuality[#Data],,MATCH(J$8,BaleQuality[#Headers],0)),BaleQuality[BaleType],$B103,BaleQuality[CollectionStream_ID],"14"))),"")</f>
        <v>1.1468243725599625E-2</v>
      </c>
      <c r="K103" s="606">
        <f>IFERROR(1-((SUMIFS(INDEX(BaleQuality[#Data],,MATCH(K$9,BaleQuality[#Headers],0)),BaleQuality[BaleType],$B103,BaleQuality[CollectionStream_ID],"01")+
SUMIFS(INDEX(BaleQuality[#Data],,MATCH(K$9,BaleQuality[#Headers],0)),BaleQuality[BaleType],$B103,BaleQuality[CollectionStream_ID],"09")+
SUMIFS(INDEX(BaleQuality[#Data],,MATCH(K$9,BaleQuality[#Headers],0)),BaleQuality[BaleType],$B103,BaleQuality[CollectionStream_ID],"10")+
SUMIFS(INDEX(BaleQuality[#Data],,MATCH(K$9,BaleQuality[#Headers],0)),BaleQuality[BaleType],$B103,BaleQuality[CollectionStream_ID],"14"))
/
(SUMIFS(INDEX(BaleQuality[#Data],,MATCH(K$8,BaleQuality[#Headers],0)),BaleQuality[BaleType],$B103,BaleQuality[CollectionStream_ID],"01")+
SUMIFS(INDEX(BaleQuality[#Data],,MATCH(K$8,BaleQuality[#Headers],0)),BaleQuality[BaleType],$B103,BaleQuality[CollectionStream_ID],"09")+
SUMIFS(INDEX(BaleQuality[#Data],,MATCH(K$8,BaleQuality[#Headers],0)),BaleQuality[BaleType],$B103,BaleQuality[CollectionStream_ID],"10")+
SUMIFS(INDEX(BaleQuality[#Data],,MATCH(K$8,BaleQuality[#Headers],0)),BaleQuality[BaleType],$B103,BaleQuality[CollectionStream_ID],"14"))),"")</f>
        <v>1.5875883407155844E-2</v>
      </c>
      <c r="L103" s="606">
        <f>IFERROR(1-((SUMIFS(INDEX(BaleQuality[#Data],,MATCH(L$9,BaleQuality[#Headers],0)),BaleQuality[BaleType],$B103,BaleQuality[CollectionStream_ID],"01")+
SUMIFS(INDEX(BaleQuality[#Data],,MATCH(L$9,BaleQuality[#Headers],0)),BaleQuality[BaleType],$B103,BaleQuality[CollectionStream_ID],"09")+
SUMIFS(INDEX(BaleQuality[#Data],,MATCH(L$9,BaleQuality[#Headers],0)),BaleQuality[BaleType],$B103,BaleQuality[CollectionStream_ID],"10")+
SUMIFS(INDEX(BaleQuality[#Data],,MATCH(L$9,BaleQuality[#Headers],0)),BaleQuality[BaleType],$B103,BaleQuality[CollectionStream_ID],"14"))
/
(SUMIFS(INDEX(BaleQuality[#Data],,MATCH(L$8,BaleQuality[#Headers],0)),BaleQuality[BaleType],$B103,BaleQuality[CollectionStream_ID],"01")+
SUMIFS(INDEX(BaleQuality[#Data],,MATCH(L$8,BaleQuality[#Headers],0)),BaleQuality[BaleType],$B103,BaleQuality[CollectionStream_ID],"09")+
SUMIFS(INDEX(BaleQuality[#Data],,MATCH(L$8,BaleQuality[#Headers],0)),BaleQuality[BaleType],$B103,BaleQuality[CollectionStream_ID],"10")+
SUMIFS(INDEX(BaleQuality[#Data],,MATCH(L$8,BaleQuality[#Headers],0)),BaleQuality[BaleType],$B103,BaleQuality[CollectionStream_ID],"14"))),"")</f>
        <v>1.5700299778564908E-2</v>
      </c>
      <c r="M103" s="606">
        <f>IFERROR(1-((SUMIFS(INDEX(BaleQuality[#Data],,MATCH(M$9,BaleQuality[#Headers],0)),BaleQuality[BaleType],$B103,BaleQuality[CollectionStream_ID],"01")+
SUMIFS(INDEX(BaleQuality[#Data],,MATCH(M$9,BaleQuality[#Headers],0)),BaleQuality[BaleType],$B103,BaleQuality[CollectionStream_ID],"09")+
SUMIFS(INDEX(BaleQuality[#Data],,MATCH(M$9,BaleQuality[#Headers],0)),BaleQuality[BaleType],$B103,BaleQuality[CollectionStream_ID],"10")+
SUMIFS(INDEX(BaleQuality[#Data],,MATCH(M$9,BaleQuality[#Headers],0)),BaleQuality[BaleType],$B103,BaleQuality[CollectionStream_ID],"14"))
/
(SUMIFS(INDEX(BaleQuality[#Data],,MATCH(M$8,BaleQuality[#Headers],0)),BaleQuality[BaleType],$B103,BaleQuality[CollectionStream_ID],"01")+
SUMIFS(INDEX(BaleQuality[#Data],,MATCH(M$8,BaleQuality[#Headers],0)),BaleQuality[BaleType],$B103,BaleQuality[CollectionStream_ID],"09")+
SUMIFS(INDEX(BaleQuality[#Data],,MATCH(M$8,BaleQuality[#Headers],0)),BaleQuality[BaleType],$B103,BaleQuality[CollectionStream_ID],"10")+
SUMIFS(INDEX(BaleQuality[#Data],,MATCH(M$8,BaleQuality[#Headers],0)),BaleQuality[BaleType],$B103,BaleQuality[CollectionStream_ID],"14"))),"")</f>
        <v>1.1122950221498895E-2</v>
      </c>
      <c r="P103" s="596"/>
      <c r="Z103" s="596"/>
    </row>
    <row r="104" spans="1:26" s="352" customFormat="1" x14ac:dyDescent="0.2">
      <c r="A104" s="521"/>
      <c r="B104" s="352" t="s">
        <v>969</v>
      </c>
      <c r="G104" s="352" t="str">
        <f>INDEX(Bales[Bale_Name],MATCH(B104,Bales[Bale_ID],0))</f>
        <v>OCC (corrugated cardboard) </v>
      </c>
      <c r="I104" s="564">
        <f>IFERROR(1-((SUMIFS(INDEX(BaleQuality[#Data],,MATCH(I$9,BaleQuality[#Headers],0)),BaleQuality[Bale_ID],$B104,BaleQuality[CollectionStream_ID],"01")+
SUMIFS(INDEX(BaleQuality[#Data],,MATCH(I$9,BaleQuality[#Headers],0)),BaleQuality[Bale_ID],$B104,BaleQuality[CollectionStream_ID],"09")+
SUMIFS(INDEX(BaleQuality[#Data],,MATCH(I$9,BaleQuality[#Headers],0)),BaleQuality[Bale_ID],$B104,BaleQuality[CollectionStream_ID],"10")+
SUMIFS(INDEX(BaleQuality[#Data],,MATCH(I$9,BaleQuality[#Headers],0)),BaleQuality[Bale_ID],$B104,BaleQuality[CollectionStream_ID],"14"))
/
(SUMIFS(INDEX(BaleQuality[#Data],,MATCH(I$8,BaleQuality[#Headers],0)),BaleQuality[Bale_ID],$B104,BaleQuality[CollectionStream_ID],"01")+
SUMIFS(INDEX(BaleQuality[#Data],,MATCH(I$8,BaleQuality[#Headers],0)),BaleQuality[Bale_ID],$B104,BaleQuality[CollectionStream_ID],"09")+
SUMIFS(INDEX(BaleQuality[#Data],,MATCH(I$8,BaleQuality[#Headers],0)),BaleQuality[Bale_ID],$B104,BaleQuality[CollectionStream_ID],"10")+
SUMIFS(INDEX(BaleQuality[#Data],,MATCH(I$8,BaleQuality[#Headers],0)),BaleQuality[Bale_ID],$B104,BaleQuality[CollectionStream_ID],"14"))),"")</f>
        <v>2.4069494981344586E-2</v>
      </c>
      <c r="J104" s="564">
        <f>IFERROR(1-((SUMIFS(INDEX(BaleQuality[#Data],,MATCH(J$9,BaleQuality[#Headers],0)),BaleQuality[Bale_ID],$B104,BaleQuality[CollectionStream_ID],"01")+
SUMIFS(INDEX(BaleQuality[#Data],,MATCH(J$9,BaleQuality[#Headers],0)),BaleQuality[Bale_ID],$B104,BaleQuality[CollectionStream_ID],"09")+
SUMIFS(INDEX(BaleQuality[#Data],,MATCH(J$9,BaleQuality[#Headers],0)),BaleQuality[Bale_ID],$B104,BaleQuality[CollectionStream_ID],"10")+
SUMIFS(INDEX(BaleQuality[#Data],,MATCH(J$9,BaleQuality[#Headers],0)),BaleQuality[Bale_ID],$B104,BaleQuality[CollectionStream_ID],"14"))
/
(SUMIFS(INDEX(BaleQuality[#Data],,MATCH(J$8,BaleQuality[#Headers],0)),BaleQuality[Bale_ID],$B104,BaleQuality[CollectionStream_ID],"01")+
SUMIFS(INDEX(BaleQuality[#Data],,MATCH(J$8,BaleQuality[#Headers],0)),BaleQuality[Bale_ID],$B104,BaleQuality[CollectionStream_ID],"09")+
SUMIFS(INDEX(BaleQuality[#Data],,MATCH(J$8,BaleQuality[#Headers],0)),BaleQuality[Bale_ID],$B104,BaleQuality[CollectionStream_ID],"10")+
SUMIFS(INDEX(BaleQuality[#Data],,MATCH(J$8,BaleQuality[#Headers],0)),BaleQuality[Bale_ID],$B104,BaleQuality[CollectionStream_ID],"14"))),"")</f>
        <v>1.3634192619817576E-2</v>
      </c>
      <c r="K104" s="564">
        <f>IFERROR(1-((SUMIFS(INDEX(BaleQuality[#Data],,MATCH(K$9,BaleQuality[#Headers],0)),BaleQuality[Bale_ID],$B104,BaleQuality[CollectionStream_ID],"01")+
SUMIFS(INDEX(BaleQuality[#Data],,MATCH(K$9,BaleQuality[#Headers],0)),BaleQuality[Bale_ID],$B104,BaleQuality[CollectionStream_ID],"09")+
SUMIFS(INDEX(BaleQuality[#Data],,MATCH(K$9,BaleQuality[#Headers],0)),BaleQuality[Bale_ID],$B104,BaleQuality[CollectionStream_ID],"10")+
SUMIFS(INDEX(BaleQuality[#Data],,MATCH(K$9,BaleQuality[#Headers],0)),BaleQuality[Bale_ID],$B104,BaleQuality[CollectionStream_ID],"14"))
/
(SUMIFS(INDEX(BaleQuality[#Data],,MATCH(K$8,BaleQuality[#Headers],0)),BaleQuality[Bale_ID],$B104,BaleQuality[CollectionStream_ID],"01")+
SUMIFS(INDEX(BaleQuality[#Data],,MATCH(K$8,BaleQuality[#Headers],0)),BaleQuality[Bale_ID],$B104,BaleQuality[CollectionStream_ID],"09")+
SUMIFS(INDEX(BaleQuality[#Data],,MATCH(K$8,BaleQuality[#Headers],0)),BaleQuality[Bale_ID],$B104,BaleQuality[CollectionStream_ID],"10")+
SUMIFS(INDEX(BaleQuality[#Data],,MATCH(K$8,BaleQuality[#Headers],0)),BaleQuality[Bale_ID],$B104,BaleQuality[CollectionStream_ID],"14"))),"")</f>
        <v>2.051481954647405E-2</v>
      </c>
      <c r="L104" s="564">
        <f>IFERROR(1-((SUMIFS(INDEX(BaleQuality[#Data],,MATCH(L$9,BaleQuality[#Headers],0)),BaleQuality[Bale_ID],$B104,BaleQuality[CollectionStream_ID],"01")+
SUMIFS(INDEX(BaleQuality[#Data],,MATCH(L$9,BaleQuality[#Headers],0)),BaleQuality[Bale_ID],$B104,BaleQuality[CollectionStream_ID],"09")+
SUMIFS(INDEX(BaleQuality[#Data],,MATCH(L$9,BaleQuality[#Headers],0)),BaleQuality[Bale_ID],$B104,BaleQuality[CollectionStream_ID],"10")+
SUMIFS(INDEX(BaleQuality[#Data],,MATCH(L$9,BaleQuality[#Headers],0)),BaleQuality[Bale_ID],$B104,BaleQuality[CollectionStream_ID],"14"))
/
(SUMIFS(INDEX(BaleQuality[#Data],,MATCH(L$8,BaleQuality[#Headers],0)),BaleQuality[Bale_ID],$B104,BaleQuality[CollectionStream_ID],"01")+
SUMIFS(INDEX(BaleQuality[#Data],,MATCH(L$8,BaleQuality[#Headers],0)),BaleQuality[Bale_ID],$B104,BaleQuality[CollectionStream_ID],"09")+
SUMIFS(INDEX(BaleQuality[#Data],,MATCH(L$8,BaleQuality[#Headers],0)),BaleQuality[Bale_ID],$B104,BaleQuality[CollectionStream_ID],"10")+
SUMIFS(INDEX(BaleQuality[#Data],,MATCH(L$8,BaleQuality[#Headers],0)),BaleQuality[Bale_ID],$B104,BaleQuality[CollectionStream_ID],"14"))),"")</f>
        <v>2.0335288278307995E-2</v>
      </c>
      <c r="M104" s="564">
        <f>IFERROR(1-((SUMIFS(INDEX(BaleQuality[#Data],,MATCH(M$9,BaleQuality[#Headers],0)),BaleQuality[Bale_ID],$B104,BaleQuality[CollectionStream_ID],"01")+
SUMIFS(INDEX(BaleQuality[#Data],,MATCH(M$9,BaleQuality[#Headers],0)),BaleQuality[Bale_ID],$B104,BaleQuality[CollectionStream_ID],"09")+
SUMIFS(INDEX(BaleQuality[#Data],,MATCH(M$9,BaleQuality[#Headers],0)),BaleQuality[Bale_ID],$B104,BaleQuality[CollectionStream_ID],"10")+
SUMIFS(INDEX(BaleQuality[#Data],,MATCH(M$9,BaleQuality[#Headers],0)),BaleQuality[Bale_ID],$B104,BaleQuality[CollectionStream_ID],"14"))
/
(SUMIFS(INDEX(BaleQuality[#Data],,MATCH(M$8,BaleQuality[#Headers],0)),BaleQuality[Bale_ID],$B104,BaleQuality[CollectionStream_ID],"01")+
SUMIFS(INDEX(BaleQuality[#Data],,MATCH(M$8,BaleQuality[#Headers],0)),BaleQuality[Bale_ID],$B104,BaleQuality[CollectionStream_ID],"09")+
SUMIFS(INDEX(BaleQuality[#Data],,MATCH(M$8,BaleQuality[#Headers],0)),BaleQuality[Bale_ID],$B104,BaleQuality[CollectionStream_ID],"10")+
SUMIFS(INDEX(BaleQuality[#Data],,MATCH(M$8,BaleQuality[#Headers],0)),BaleQuality[Bale_ID],$B104,BaleQuality[CollectionStream_ID],"14"))),"")</f>
        <v>1.4737298636156582E-2</v>
      </c>
      <c r="O104" s="218"/>
      <c r="P104" s="596"/>
      <c r="Z104" s="596"/>
    </row>
    <row r="105" spans="1:26" s="352" customFormat="1" hidden="1" x14ac:dyDescent="0.2">
      <c r="A105" s="378"/>
      <c r="B105" s="378" t="s">
        <v>971</v>
      </c>
      <c r="C105" s="378" t="s">
        <v>3579</v>
      </c>
      <c r="D105" s="378"/>
      <c r="E105" s="378"/>
      <c r="F105" s="378"/>
      <c r="G105" s="378" t="str">
        <f>INDEX(Bales[Bale_Name],MATCH(B105,Bales[Bale_ID],0))</f>
        <v>Sorted clean newsprint</v>
      </c>
      <c r="H105" s="378"/>
      <c r="I105" s="565" t="str">
        <f>IFERROR(1-((SUMIFS(INDEX(BaleQuality[#Data],,MATCH(I$9,BaleQuality[#Headers],0)),BaleQuality[Bale_ID],$B105,BaleQuality[CollectionStream_ID],"01")+
SUMIFS(INDEX(BaleQuality[#Data],,MATCH(I$9,BaleQuality[#Headers],0)),BaleQuality[Bale_ID],$B105,BaleQuality[CollectionStream_ID],"09")+
SUMIFS(INDEX(BaleQuality[#Data],,MATCH(I$9,BaleQuality[#Headers],0)),BaleQuality[Bale_ID],$B105,BaleQuality[CollectionStream_ID],"10")+
SUMIFS(INDEX(BaleQuality[#Data],,MATCH(I$9,BaleQuality[#Headers],0)),BaleQuality[Bale_ID],$B105,BaleQuality[CollectionStream_ID],"14"))
/
(SUMIFS(INDEX(BaleQuality[#Data],,MATCH(I$8,BaleQuality[#Headers],0)),BaleQuality[Bale_ID],$B105,BaleQuality[CollectionStream_ID],"01")+
SUMIFS(INDEX(BaleQuality[#Data],,MATCH(I$8,BaleQuality[#Headers],0)),BaleQuality[Bale_ID],$B105,BaleQuality[CollectionStream_ID],"09")+
SUMIFS(INDEX(BaleQuality[#Data],,MATCH(I$8,BaleQuality[#Headers],0)),BaleQuality[Bale_ID],$B105,BaleQuality[CollectionStream_ID],"10")+
SUMIFS(INDEX(BaleQuality[#Data],,MATCH(I$8,BaleQuality[#Headers],0)),BaleQuality[Bale_ID],$B105,BaleQuality[CollectionStream_ID],"14"))),"")</f>
        <v/>
      </c>
      <c r="J105" s="565" t="str">
        <f>IFERROR(1-((SUMIFS(INDEX(BaleQuality[#Data],,MATCH(J$9,BaleQuality[#Headers],0)),BaleQuality[Bale_ID],$B105,BaleQuality[CollectionStream_ID],"01")+
SUMIFS(INDEX(BaleQuality[#Data],,MATCH(J$9,BaleQuality[#Headers],0)),BaleQuality[Bale_ID],$B105,BaleQuality[CollectionStream_ID],"09")+
SUMIFS(INDEX(BaleQuality[#Data],,MATCH(J$9,BaleQuality[#Headers],0)),BaleQuality[Bale_ID],$B105,BaleQuality[CollectionStream_ID],"10")+
SUMIFS(INDEX(BaleQuality[#Data],,MATCH(J$9,BaleQuality[#Headers],0)),BaleQuality[Bale_ID],$B105,BaleQuality[CollectionStream_ID],"14"))
/
(SUMIFS(INDEX(BaleQuality[#Data],,MATCH(J$8,BaleQuality[#Headers],0)),BaleQuality[Bale_ID],$B105,BaleQuality[CollectionStream_ID],"01")+
SUMIFS(INDEX(BaleQuality[#Data],,MATCH(J$8,BaleQuality[#Headers],0)),BaleQuality[Bale_ID],$B105,BaleQuality[CollectionStream_ID],"09")+
SUMIFS(INDEX(BaleQuality[#Data],,MATCH(J$8,BaleQuality[#Headers],0)),BaleQuality[Bale_ID],$B105,BaleQuality[CollectionStream_ID],"10")+
SUMIFS(INDEX(BaleQuality[#Data],,MATCH(J$8,BaleQuality[#Headers],0)),BaleQuality[Bale_ID],$B105,BaleQuality[CollectionStream_ID],"14"))),"")</f>
        <v/>
      </c>
      <c r="K105" s="565" t="str">
        <f>IFERROR(1-((SUMIFS(INDEX(BaleQuality[#Data],,MATCH(K$9,BaleQuality[#Headers],0)),BaleQuality[Bale_ID],$B105,BaleQuality[CollectionStream_ID],"01")+
SUMIFS(INDEX(BaleQuality[#Data],,MATCH(K$9,BaleQuality[#Headers],0)),BaleQuality[Bale_ID],$B105,BaleQuality[CollectionStream_ID],"09")+
SUMIFS(INDEX(BaleQuality[#Data],,MATCH(K$9,BaleQuality[#Headers],0)),BaleQuality[Bale_ID],$B105,BaleQuality[CollectionStream_ID],"10")+
SUMIFS(INDEX(BaleQuality[#Data],,MATCH(K$9,BaleQuality[#Headers],0)),BaleQuality[Bale_ID],$B105,BaleQuality[CollectionStream_ID],"14"))
/
(SUMIFS(INDEX(BaleQuality[#Data],,MATCH(K$8,BaleQuality[#Headers],0)),BaleQuality[Bale_ID],$B105,BaleQuality[CollectionStream_ID],"01")+
SUMIFS(INDEX(BaleQuality[#Data],,MATCH(K$8,BaleQuality[#Headers],0)),BaleQuality[Bale_ID],$B105,BaleQuality[CollectionStream_ID],"09")+
SUMIFS(INDEX(BaleQuality[#Data],,MATCH(K$8,BaleQuality[#Headers],0)),BaleQuality[Bale_ID],$B105,BaleQuality[CollectionStream_ID],"10")+
SUMIFS(INDEX(BaleQuality[#Data],,MATCH(K$8,BaleQuality[#Headers],0)),BaleQuality[Bale_ID],$B105,BaleQuality[CollectionStream_ID],"14"))),"")</f>
        <v/>
      </c>
      <c r="L105" s="565" t="str">
        <f>IFERROR(1-((SUMIFS(INDEX(BaleQuality[#Data],,MATCH(L$9,BaleQuality[#Headers],0)),BaleQuality[Bale_ID],$B105,BaleQuality[CollectionStream_ID],"01")+
SUMIFS(INDEX(BaleQuality[#Data],,MATCH(L$9,BaleQuality[#Headers],0)),BaleQuality[Bale_ID],$B105,BaleQuality[CollectionStream_ID],"09")+
SUMIFS(INDEX(BaleQuality[#Data],,MATCH(L$9,BaleQuality[#Headers],0)),BaleQuality[Bale_ID],$B105,BaleQuality[CollectionStream_ID],"10")+
SUMIFS(INDEX(BaleQuality[#Data],,MATCH(L$9,BaleQuality[#Headers],0)),BaleQuality[Bale_ID],$B105,BaleQuality[CollectionStream_ID],"14"))
/
(SUMIFS(INDEX(BaleQuality[#Data],,MATCH(L$8,BaleQuality[#Headers],0)),BaleQuality[Bale_ID],$B105,BaleQuality[CollectionStream_ID],"01")+
SUMIFS(INDEX(BaleQuality[#Data],,MATCH(L$8,BaleQuality[#Headers],0)),BaleQuality[Bale_ID],$B105,BaleQuality[CollectionStream_ID],"09")+
SUMIFS(INDEX(BaleQuality[#Data],,MATCH(L$8,BaleQuality[#Headers],0)),BaleQuality[Bale_ID],$B105,BaleQuality[CollectionStream_ID],"10")+
SUMIFS(INDEX(BaleQuality[#Data],,MATCH(L$8,BaleQuality[#Headers],0)),BaleQuality[Bale_ID],$B105,BaleQuality[CollectionStream_ID],"14"))),"")</f>
        <v/>
      </c>
      <c r="M105" s="565" t="str">
        <f>IFERROR(1-((SUMIFS(INDEX(BaleQuality[#Data],,MATCH(M$9,BaleQuality[#Headers],0)),BaleQuality[Bale_ID],$B105,BaleQuality[CollectionStream_ID],"01")+
SUMIFS(INDEX(BaleQuality[#Data],,MATCH(M$9,BaleQuality[#Headers],0)),BaleQuality[Bale_ID],$B105,BaleQuality[CollectionStream_ID],"09")+
SUMIFS(INDEX(BaleQuality[#Data],,MATCH(M$9,BaleQuality[#Headers],0)),BaleQuality[Bale_ID],$B105,BaleQuality[CollectionStream_ID],"10")+
SUMIFS(INDEX(BaleQuality[#Data],,MATCH(M$9,BaleQuality[#Headers],0)),BaleQuality[Bale_ID],$B105,BaleQuality[CollectionStream_ID],"14"))
/
(SUMIFS(INDEX(BaleQuality[#Data],,MATCH(M$8,BaleQuality[#Headers],0)),BaleQuality[Bale_ID],$B105,BaleQuality[CollectionStream_ID],"01")+
SUMIFS(INDEX(BaleQuality[#Data],,MATCH(M$8,BaleQuality[#Headers],0)),BaleQuality[Bale_ID],$B105,BaleQuality[CollectionStream_ID],"09")+
SUMIFS(INDEX(BaleQuality[#Data],,MATCH(M$8,BaleQuality[#Headers],0)),BaleQuality[Bale_ID],$B105,BaleQuality[CollectionStream_ID],"10")+
SUMIFS(INDEX(BaleQuality[#Data],,MATCH(M$8,BaleQuality[#Headers],0)),BaleQuality[Bale_ID],$B105,BaleQuality[CollectionStream_ID],"14"))),"")</f>
        <v/>
      </c>
      <c r="O105" s="218"/>
      <c r="P105" s="596"/>
      <c r="Z105" s="596"/>
    </row>
    <row r="106" spans="1:26" s="352" customFormat="1" x14ac:dyDescent="0.2">
      <c r="A106" s="378"/>
      <c r="B106" s="378" t="s">
        <v>973</v>
      </c>
      <c r="C106" s="378"/>
      <c r="D106" s="378"/>
      <c r="E106" s="378"/>
      <c r="F106" s="378"/>
      <c r="G106" s="378" t="str">
        <f>INDEX(Bales[Bale_Name],MATCH(B106,Bales[Bale_ID],0))</f>
        <v>Sorted residential paper and news</v>
      </c>
      <c r="H106" s="378"/>
      <c r="I106" s="565">
        <f>IFERROR(1-((SUMIFS(INDEX(BaleQuality[#Data],,MATCH(I$9,BaleQuality[#Headers],0)),BaleQuality[Bale_ID],$B106,BaleQuality[CollectionStream_ID],"01")+
SUMIFS(INDEX(BaleQuality[#Data],,MATCH(I$9,BaleQuality[#Headers],0)),BaleQuality[Bale_ID],$B106,BaleQuality[CollectionStream_ID],"09")+
SUMIFS(INDEX(BaleQuality[#Data],,MATCH(I$9,BaleQuality[#Headers],0)),BaleQuality[Bale_ID],$B106,BaleQuality[CollectionStream_ID],"10")+
SUMIFS(INDEX(BaleQuality[#Data],,MATCH(I$9,BaleQuality[#Headers],0)),BaleQuality[Bale_ID],$B106,BaleQuality[CollectionStream_ID],"14"))
/
(SUMIFS(INDEX(BaleQuality[#Data],,MATCH(I$8,BaleQuality[#Headers],0)),BaleQuality[Bale_ID],$B106,BaleQuality[CollectionStream_ID],"01")+
SUMIFS(INDEX(BaleQuality[#Data],,MATCH(I$8,BaleQuality[#Headers],0)),BaleQuality[Bale_ID],$B106,BaleQuality[CollectionStream_ID],"09")+
SUMIFS(INDEX(BaleQuality[#Data],,MATCH(I$8,BaleQuality[#Headers],0)),BaleQuality[Bale_ID],$B106,BaleQuality[CollectionStream_ID],"10")+
SUMIFS(INDEX(BaleQuality[#Data],,MATCH(I$8,BaleQuality[#Headers],0)),BaleQuality[Bale_ID],$B106,BaleQuality[CollectionStream_ID],"14"))),"")</f>
        <v>1.1768350530137028E-2</v>
      </c>
      <c r="J106" s="565">
        <f>IFERROR(1-((SUMIFS(INDEX(BaleQuality[#Data],,MATCH(J$9,BaleQuality[#Headers],0)),BaleQuality[Bale_ID],$B106,BaleQuality[CollectionStream_ID],"01")+
SUMIFS(INDEX(BaleQuality[#Data],,MATCH(J$9,BaleQuality[#Headers],0)),BaleQuality[Bale_ID],$B106,BaleQuality[CollectionStream_ID],"09")+
SUMIFS(INDEX(BaleQuality[#Data],,MATCH(J$9,BaleQuality[#Headers],0)),BaleQuality[Bale_ID],$B106,BaleQuality[CollectionStream_ID],"10")+
SUMIFS(INDEX(BaleQuality[#Data],,MATCH(J$9,BaleQuality[#Headers],0)),BaleQuality[Bale_ID],$B106,BaleQuality[CollectionStream_ID],"14"))
/
(SUMIFS(INDEX(BaleQuality[#Data],,MATCH(J$8,BaleQuality[#Headers],0)),BaleQuality[Bale_ID],$B106,BaleQuality[CollectionStream_ID],"01")+
SUMIFS(INDEX(BaleQuality[#Data],,MATCH(J$8,BaleQuality[#Headers],0)),BaleQuality[Bale_ID],$B106,BaleQuality[CollectionStream_ID],"09")+
SUMIFS(INDEX(BaleQuality[#Data],,MATCH(J$8,BaleQuality[#Headers],0)),BaleQuality[Bale_ID],$B106,BaleQuality[CollectionStream_ID],"10")+
SUMIFS(INDEX(BaleQuality[#Data],,MATCH(J$8,BaleQuality[#Headers],0)),BaleQuality[Bale_ID],$B106,BaleQuality[CollectionStream_ID],"14"))),"")</f>
        <v>7.3253779640742867E-3</v>
      </c>
      <c r="K106" s="565">
        <f>IFERROR(1-((SUMIFS(INDEX(BaleQuality[#Data],,MATCH(K$9,BaleQuality[#Headers],0)),BaleQuality[Bale_ID],$B106,BaleQuality[CollectionStream_ID],"01")+
SUMIFS(INDEX(BaleQuality[#Data],,MATCH(K$9,BaleQuality[#Headers],0)),BaleQuality[Bale_ID],$B106,BaleQuality[CollectionStream_ID],"09")+
SUMIFS(INDEX(BaleQuality[#Data],,MATCH(K$9,BaleQuality[#Headers],0)),BaleQuality[Bale_ID],$B106,BaleQuality[CollectionStream_ID],"10")+
SUMIFS(INDEX(BaleQuality[#Data],,MATCH(K$9,BaleQuality[#Headers],0)),BaleQuality[Bale_ID],$B106,BaleQuality[CollectionStream_ID],"14"))
/
(SUMIFS(INDEX(BaleQuality[#Data],,MATCH(K$8,BaleQuality[#Headers],0)),BaleQuality[Bale_ID],$B106,BaleQuality[CollectionStream_ID],"01")+
SUMIFS(INDEX(BaleQuality[#Data],,MATCH(K$8,BaleQuality[#Headers],0)),BaleQuality[Bale_ID],$B106,BaleQuality[CollectionStream_ID],"09")+
SUMIFS(INDEX(BaleQuality[#Data],,MATCH(K$8,BaleQuality[#Headers],0)),BaleQuality[Bale_ID],$B106,BaleQuality[CollectionStream_ID],"10")+
SUMIFS(INDEX(BaleQuality[#Data],,MATCH(K$8,BaleQuality[#Headers],0)),BaleQuality[Bale_ID],$B106,BaleQuality[CollectionStream_ID],"14"))),"")</f>
        <v>8.3895572170464838E-3</v>
      </c>
      <c r="L106" s="565">
        <f>IFERROR(1-((SUMIFS(INDEX(BaleQuality[#Data],,MATCH(L$9,BaleQuality[#Headers],0)),BaleQuality[Bale_ID],$B106,BaleQuality[CollectionStream_ID],"01")+
SUMIFS(INDEX(BaleQuality[#Data],,MATCH(L$9,BaleQuality[#Headers],0)),BaleQuality[Bale_ID],$B106,BaleQuality[CollectionStream_ID],"09")+
SUMIFS(INDEX(BaleQuality[#Data],,MATCH(L$9,BaleQuality[#Headers],0)),BaleQuality[Bale_ID],$B106,BaleQuality[CollectionStream_ID],"10")+
SUMIFS(INDEX(BaleQuality[#Data],,MATCH(L$9,BaleQuality[#Headers],0)),BaleQuality[Bale_ID],$B106,BaleQuality[CollectionStream_ID],"14"))
/
(SUMIFS(INDEX(BaleQuality[#Data],,MATCH(L$8,BaleQuality[#Headers],0)),BaleQuality[Bale_ID],$B106,BaleQuality[CollectionStream_ID],"01")+
SUMIFS(INDEX(BaleQuality[#Data],,MATCH(L$8,BaleQuality[#Headers],0)),BaleQuality[Bale_ID],$B106,BaleQuality[CollectionStream_ID],"09")+
SUMIFS(INDEX(BaleQuality[#Data],,MATCH(L$8,BaleQuality[#Headers],0)),BaleQuality[Bale_ID],$B106,BaleQuality[CollectionStream_ID],"10")+
SUMIFS(INDEX(BaleQuality[#Data],,MATCH(L$8,BaleQuality[#Headers],0)),BaleQuality[Bale_ID],$B106,BaleQuality[CollectionStream_ID],"14"))),"")</f>
        <v>8.2073637967573498E-3</v>
      </c>
      <c r="M106" s="565">
        <f>IFERROR(1-((SUMIFS(INDEX(BaleQuality[#Data],,MATCH(M$9,BaleQuality[#Headers],0)),BaleQuality[Bale_ID],$B106,BaleQuality[CollectionStream_ID],"01")+
SUMIFS(INDEX(BaleQuality[#Data],,MATCH(M$9,BaleQuality[#Headers],0)),BaleQuality[Bale_ID],$B106,BaleQuality[CollectionStream_ID],"09")+
SUMIFS(INDEX(BaleQuality[#Data],,MATCH(M$9,BaleQuality[#Headers],0)),BaleQuality[Bale_ID],$B106,BaleQuality[CollectionStream_ID],"10")+
SUMIFS(INDEX(BaleQuality[#Data],,MATCH(M$9,BaleQuality[#Headers],0)),BaleQuality[Bale_ID],$B106,BaleQuality[CollectionStream_ID],"14"))
/
(SUMIFS(INDEX(BaleQuality[#Data],,MATCH(M$8,BaleQuality[#Headers],0)),BaleQuality[Bale_ID],$B106,BaleQuality[CollectionStream_ID],"01")+
SUMIFS(INDEX(BaleQuality[#Data],,MATCH(M$8,BaleQuality[#Headers],0)),BaleQuality[Bale_ID],$B106,BaleQuality[CollectionStream_ID],"09")+
SUMIFS(INDEX(BaleQuality[#Data],,MATCH(M$8,BaleQuality[#Headers],0)),BaleQuality[Bale_ID],$B106,BaleQuality[CollectionStream_ID],"10")+
SUMIFS(INDEX(BaleQuality[#Data],,MATCH(M$8,BaleQuality[#Headers],0)),BaleQuality[Bale_ID],$B106,BaleQuality[CollectionStream_ID],"14"))),"")</f>
        <v>3.5593682630711276E-3</v>
      </c>
      <c r="O106" s="218"/>
      <c r="P106" s="596"/>
      <c r="Z106" s="596"/>
    </row>
    <row r="107" spans="1:26" s="352" customFormat="1" x14ac:dyDescent="0.2">
      <c r="A107" s="378"/>
      <c r="B107" s="378" t="s">
        <v>977</v>
      </c>
      <c r="C107" s="378"/>
      <c r="D107" s="378"/>
      <c r="E107" s="378"/>
      <c r="F107" s="378"/>
      <c r="G107" s="378" t="str">
        <f>INDEX(Bales[Bale_Name],MATCH(B107,Bales[Bale_ID],0))</f>
        <v>Mixed paper</v>
      </c>
      <c r="H107" s="378"/>
      <c r="I107" s="565">
        <f>IFERROR(1-((SUMIFS(INDEX(BaleQuality[#Data],,MATCH(I$9,BaleQuality[#Headers],0)),BaleQuality[Bale_ID],$B107,BaleQuality[CollectionStream_ID],"01")+
SUMIFS(INDEX(BaleQuality[#Data],,MATCH(I$9,BaleQuality[#Headers],0)),BaleQuality[Bale_ID],$B107,BaleQuality[CollectionStream_ID],"09")+
SUMIFS(INDEX(BaleQuality[#Data],,MATCH(I$9,BaleQuality[#Headers],0)),BaleQuality[Bale_ID],$B107,BaleQuality[CollectionStream_ID],"10")+
SUMIFS(INDEX(BaleQuality[#Data],,MATCH(I$9,BaleQuality[#Headers],0)),BaleQuality[Bale_ID],$B107,BaleQuality[CollectionStream_ID],"14"))
/
(SUMIFS(INDEX(BaleQuality[#Data],,MATCH(I$8,BaleQuality[#Headers],0)),BaleQuality[Bale_ID],$B107,BaleQuality[CollectionStream_ID],"01")+
SUMIFS(INDEX(BaleQuality[#Data],,MATCH(I$8,BaleQuality[#Headers],0)),BaleQuality[Bale_ID],$B107,BaleQuality[CollectionStream_ID],"09")+
SUMIFS(INDEX(BaleQuality[#Data],,MATCH(I$8,BaleQuality[#Headers],0)),BaleQuality[Bale_ID],$B107,BaleQuality[CollectionStream_ID],"10")+
SUMIFS(INDEX(BaleQuality[#Data],,MATCH(I$8,BaleQuality[#Headers],0)),BaleQuality[Bale_ID],$B107,BaleQuality[CollectionStream_ID],"14"))),"")</f>
        <v>1.4964433116889886E-2</v>
      </c>
      <c r="J107" s="565">
        <f>IFERROR(1-((SUMIFS(INDEX(BaleQuality[#Data],,MATCH(J$9,BaleQuality[#Headers],0)),BaleQuality[Bale_ID],$B107,BaleQuality[CollectionStream_ID],"01")+
SUMIFS(INDEX(BaleQuality[#Data],,MATCH(J$9,BaleQuality[#Headers],0)),BaleQuality[Bale_ID],$B107,BaleQuality[CollectionStream_ID],"09")+
SUMIFS(INDEX(BaleQuality[#Data],,MATCH(J$9,BaleQuality[#Headers],0)),BaleQuality[Bale_ID],$B107,BaleQuality[CollectionStream_ID],"10")+
SUMIFS(INDEX(BaleQuality[#Data],,MATCH(J$9,BaleQuality[#Headers],0)),BaleQuality[Bale_ID],$B107,BaleQuality[CollectionStream_ID],"14"))
/
(SUMIFS(INDEX(BaleQuality[#Data],,MATCH(J$8,BaleQuality[#Headers],0)),BaleQuality[Bale_ID],$B107,BaleQuality[CollectionStream_ID],"01")+
SUMIFS(INDEX(BaleQuality[#Data],,MATCH(J$8,BaleQuality[#Headers],0)),BaleQuality[Bale_ID],$B107,BaleQuality[CollectionStream_ID],"09")+
SUMIFS(INDEX(BaleQuality[#Data],,MATCH(J$8,BaleQuality[#Headers],0)),BaleQuality[Bale_ID],$B107,BaleQuality[CollectionStream_ID],"10")+
SUMIFS(INDEX(BaleQuality[#Data],,MATCH(J$8,BaleQuality[#Headers],0)),BaleQuality[Bale_ID],$B107,BaleQuality[CollectionStream_ID],"14"))),"")</f>
        <v>9.3982955804724488E-3</v>
      </c>
      <c r="K107" s="565">
        <f>IFERROR(1-((SUMIFS(INDEX(BaleQuality[#Data],,MATCH(K$9,BaleQuality[#Headers],0)),BaleQuality[Bale_ID],$B107,BaleQuality[CollectionStream_ID],"01")+
SUMIFS(INDEX(BaleQuality[#Data],,MATCH(K$9,BaleQuality[#Headers],0)),BaleQuality[Bale_ID],$B107,BaleQuality[CollectionStream_ID],"09")+
SUMIFS(INDEX(BaleQuality[#Data],,MATCH(K$9,BaleQuality[#Headers],0)),BaleQuality[Bale_ID],$B107,BaleQuality[CollectionStream_ID],"10")+
SUMIFS(INDEX(BaleQuality[#Data],,MATCH(K$9,BaleQuality[#Headers],0)),BaleQuality[Bale_ID],$B107,BaleQuality[CollectionStream_ID],"14"))
/
(SUMIFS(INDEX(BaleQuality[#Data],,MATCH(K$8,BaleQuality[#Headers],0)),BaleQuality[Bale_ID],$B107,BaleQuality[CollectionStream_ID],"01")+
SUMIFS(INDEX(BaleQuality[#Data],,MATCH(K$8,BaleQuality[#Headers],0)),BaleQuality[Bale_ID],$B107,BaleQuality[CollectionStream_ID],"09")+
SUMIFS(INDEX(BaleQuality[#Data],,MATCH(K$8,BaleQuality[#Headers],0)),BaleQuality[Bale_ID],$B107,BaleQuality[CollectionStream_ID],"10")+
SUMIFS(INDEX(BaleQuality[#Data],,MATCH(K$8,BaleQuality[#Headers],0)),BaleQuality[Bale_ID],$B107,BaleQuality[CollectionStream_ID],"14"))),"")</f>
        <v>1.064367045017478E-2</v>
      </c>
      <c r="L107" s="565">
        <f>IFERROR(1-((SUMIFS(INDEX(BaleQuality[#Data],,MATCH(L$9,BaleQuality[#Headers],0)),BaleQuality[Bale_ID],$B107,BaleQuality[CollectionStream_ID],"01")+
SUMIFS(INDEX(BaleQuality[#Data],,MATCH(L$9,BaleQuality[#Headers],0)),BaleQuality[Bale_ID],$B107,BaleQuality[CollectionStream_ID],"09")+
SUMIFS(INDEX(BaleQuality[#Data],,MATCH(L$9,BaleQuality[#Headers],0)),BaleQuality[Bale_ID],$B107,BaleQuality[CollectionStream_ID],"10")+
SUMIFS(INDEX(BaleQuality[#Data],,MATCH(L$9,BaleQuality[#Headers],0)),BaleQuality[Bale_ID],$B107,BaleQuality[CollectionStream_ID],"14"))
/
(SUMIFS(INDEX(BaleQuality[#Data],,MATCH(L$8,BaleQuality[#Headers],0)),BaleQuality[Bale_ID],$B107,BaleQuality[CollectionStream_ID],"01")+
SUMIFS(INDEX(BaleQuality[#Data],,MATCH(L$8,BaleQuality[#Headers],0)),BaleQuality[Bale_ID],$B107,BaleQuality[CollectionStream_ID],"09")+
SUMIFS(INDEX(BaleQuality[#Data],,MATCH(L$8,BaleQuality[#Headers],0)),BaleQuality[Bale_ID],$B107,BaleQuality[CollectionStream_ID],"10")+
SUMIFS(INDEX(BaleQuality[#Data],,MATCH(L$8,BaleQuality[#Headers],0)),BaleQuality[Bale_ID],$B107,BaleQuality[CollectionStream_ID],"14"))),"")</f>
        <v>1.0487544504404256E-2</v>
      </c>
      <c r="M107" s="565">
        <f>IFERROR(1-((SUMIFS(INDEX(BaleQuality[#Data],,MATCH(M$9,BaleQuality[#Headers],0)),BaleQuality[Bale_ID],$B107,BaleQuality[CollectionStream_ID],"01")+
SUMIFS(INDEX(BaleQuality[#Data],,MATCH(M$9,BaleQuality[#Headers],0)),BaleQuality[Bale_ID],$B107,BaleQuality[CollectionStream_ID],"09")+
SUMIFS(INDEX(BaleQuality[#Data],,MATCH(M$9,BaleQuality[#Headers],0)),BaleQuality[Bale_ID],$B107,BaleQuality[CollectionStream_ID],"10")+
SUMIFS(INDEX(BaleQuality[#Data],,MATCH(M$9,BaleQuality[#Headers],0)),BaleQuality[Bale_ID],$B107,BaleQuality[CollectionStream_ID],"14"))
/
(SUMIFS(INDEX(BaleQuality[#Data],,MATCH(M$8,BaleQuality[#Headers],0)),BaleQuality[Bale_ID],$B107,BaleQuality[CollectionStream_ID],"01")+
SUMIFS(INDEX(BaleQuality[#Data],,MATCH(M$8,BaleQuality[#Headers],0)),BaleQuality[Bale_ID],$B107,BaleQuality[CollectionStream_ID],"09")+
SUMIFS(INDEX(BaleQuality[#Data],,MATCH(M$8,BaleQuality[#Headers],0)),BaleQuality[Bale_ID],$B107,BaleQuality[CollectionStream_ID],"10")+
SUMIFS(INDEX(BaleQuality[#Data],,MATCH(M$8,BaleQuality[#Headers],0)),BaleQuality[Bale_ID],$B107,BaleQuality[CollectionStream_ID],"14"))),"")</f>
        <v>9.0866239293425632E-3</v>
      </c>
      <c r="O107" s="218"/>
      <c r="P107" s="596"/>
      <c r="Z107" s="596"/>
    </row>
    <row r="108" spans="1:26" s="352" customFormat="1" hidden="1" x14ac:dyDescent="0.2">
      <c r="A108" s="378"/>
      <c r="B108" s="378" t="s">
        <v>978</v>
      </c>
      <c r="C108" s="378" t="s">
        <v>3579</v>
      </c>
      <c r="D108" s="378"/>
      <c r="E108" s="378"/>
      <c r="F108" s="378"/>
      <c r="G108" s="378" t="str">
        <f>INDEX(Bales[Bale_Name],MATCH(B108,Bales[Bale_ID],0))</f>
        <v>Paperboard/old boxboard</v>
      </c>
      <c r="H108" s="378"/>
      <c r="I108" s="565" t="str">
        <f>IFERROR(1-((SUMIFS(INDEX(BaleQuality[#Data],,MATCH(I$9,BaleQuality[#Headers],0)),BaleQuality[Bale_ID],$B108,BaleQuality[CollectionStream_ID],"01")+
SUMIFS(INDEX(BaleQuality[#Data],,MATCH(I$9,BaleQuality[#Headers],0)),BaleQuality[Bale_ID],$B108,BaleQuality[CollectionStream_ID],"09")+
SUMIFS(INDEX(BaleQuality[#Data],,MATCH(I$9,BaleQuality[#Headers],0)),BaleQuality[Bale_ID],$B108,BaleQuality[CollectionStream_ID],"10")+
SUMIFS(INDEX(BaleQuality[#Data],,MATCH(I$9,BaleQuality[#Headers],0)),BaleQuality[Bale_ID],$B108,BaleQuality[CollectionStream_ID],"14"))
/
(SUMIFS(INDEX(BaleQuality[#Data],,MATCH(I$8,BaleQuality[#Headers],0)),BaleQuality[Bale_ID],$B108,BaleQuality[CollectionStream_ID],"01")+
SUMIFS(INDEX(BaleQuality[#Data],,MATCH(I$8,BaleQuality[#Headers],0)),BaleQuality[Bale_ID],$B108,BaleQuality[CollectionStream_ID],"09")+
SUMIFS(INDEX(BaleQuality[#Data],,MATCH(I$8,BaleQuality[#Headers],0)),BaleQuality[Bale_ID],$B108,BaleQuality[CollectionStream_ID],"10")+
SUMIFS(INDEX(BaleQuality[#Data],,MATCH(I$8,BaleQuality[#Headers],0)),BaleQuality[Bale_ID],$B108,BaleQuality[CollectionStream_ID],"14"))),"")</f>
        <v/>
      </c>
      <c r="J108" s="565" t="str">
        <f>IFERROR(1-((SUMIFS(INDEX(BaleQuality[#Data],,MATCH(J$9,BaleQuality[#Headers],0)),BaleQuality[Bale_ID],$B108,BaleQuality[CollectionStream_ID],"01")+
SUMIFS(INDEX(BaleQuality[#Data],,MATCH(J$9,BaleQuality[#Headers],0)),BaleQuality[Bale_ID],$B108,BaleQuality[CollectionStream_ID],"09")+
SUMIFS(INDEX(BaleQuality[#Data],,MATCH(J$9,BaleQuality[#Headers],0)),BaleQuality[Bale_ID],$B108,BaleQuality[CollectionStream_ID],"10")+
SUMIFS(INDEX(BaleQuality[#Data],,MATCH(J$9,BaleQuality[#Headers],0)),BaleQuality[Bale_ID],$B108,BaleQuality[CollectionStream_ID],"14"))
/
(SUMIFS(INDEX(BaleQuality[#Data],,MATCH(J$8,BaleQuality[#Headers],0)),BaleQuality[Bale_ID],$B108,BaleQuality[CollectionStream_ID],"01")+
SUMIFS(INDEX(BaleQuality[#Data],,MATCH(J$8,BaleQuality[#Headers],0)),BaleQuality[Bale_ID],$B108,BaleQuality[CollectionStream_ID],"09")+
SUMIFS(INDEX(BaleQuality[#Data],,MATCH(J$8,BaleQuality[#Headers],0)),BaleQuality[Bale_ID],$B108,BaleQuality[CollectionStream_ID],"10")+
SUMIFS(INDEX(BaleQuality[#Data],,MATCH(J$8,BaleQuality[#Headers],0)),BaleQuality[Bale_ID],$B108,BaleQuality[CollectionStream_ID],"14"))),"")</f>
        <v/>
      </c>
      <c r="K108" s="565" t="str">
        <f>IFERROR(1-((SUMIFS(INDEX(BaleQuality[#Data],,MATCH(K$9,BaleQuality[#Headers],0)),BaleQuality[Bale_ID],$B108,BaleQuality[CollectionStream_ID],"01")+
SUMIFS(INDEX(BaleQuality[#Data],,MATCH(K$9,BaleQuality[#Headers],0)),BaleQuality[Bale_ID],$B108,BaleQuality[CollectionStream_ID],"09")+
SUMIFS(INDEX(BaleQuality[#Data],,MATCH(K$9,BaleQuality[#Headers],0)),BaleQuality[Bale_ID],$B108,BaleQuality[CollectionStream_ID],"10")+
SUMIFS(INDEX(BaleQuality[#Data],,MATCH(K$9,BaleQuality[#Headers],0)),BaleQuality[Bale_ID],$B108,BaleQuality[CollectionStream_ID],"14"))
/
(SUMIFS(INDEX(BaleQuality[#Data],,MATCH(K$8,BaleQuality[#Headers],0)),BaleQuality[Bale_ID],$B108,BaleQuality[CollectionStream_ID],"01")+
SUMIFS(INDEX(BaleQuality[#Data],,MATCH(K$8,BaleQuality[#Headers],0)),BaleQuality[Bale_ID],$B108,BaleQuality[CollectionStream_ID],"09")+
SUMIFS(INDEX(BaleQuality[#Data],,MATCH(K$8,BaleQuality[#Headers],0)),BaleQuality[Bale_ID],$B108,BaleQuality[CollectionStream_ID],"10")+
SUMIFS(INDEX(BaleQuality[#Data],,MATCH(K$8,BaleQuality[#Headers],0)),BaleQuality[Bale_ID],$B108,BaleQuality[CollectionStream_ID],"14"))),"")</f>
        <v/>
      </c>
      <c r="L108" s="565" t="str">
        <f>IFERROR(1-((SUMIFS(INDEX(BaleQuality[#Data],,MATCH(L$9,BaleQuality[#Headers],0)),BaleQuality[Bale_ID],$B108,BaleQuality[CollectionStream_ID],"01")+
SUMIFS(INDEX(BaleQuality[#Data],,MATCH(L$9,BaleQuality[#Headers],0)),BaleQuality[Bale_ID],$B108,BaleQuality[CollectionStream_ID],"09")+
SUMIFS(INDEX(BaleQuality[#Data],,MATCH(L$9,BaleQuality[#Headers],0)),BaleQuality[Bale_ID],$B108,BaleQuality[CollectionStream_ID],"10")+
SUMIFS(INDEX(BaleQuality[#Data],,MATCH(L$9,BaleQuality[#Headers],0)),BaleQuality[Bale_ID],$B108,BaleQuality[CollectionStream_ID],"14"))
/
(SUMIFS(INDEX(BaleQuality[#Data],,MATCH(L$8,BaleQuality[#Headers],0)),BaleQuality[Bale_ID],$B108,BaleQuality[CollectionStream_ID],"01")+
SUMIFS(INDEX(BaleQuality[#Data],,MATCH(L$8,BaleQuality[#Headers],0)),BaleQuality[Bale_ID],$B108,BaleQuality[CollectionStream_ID],"09")+
SUMIFS(INDEX(BaleQuality[#Data],,MATCH(L$8,BaleQuality[#Headers],0)),BaleQuality[Bale_ID],$B108,BaleQuality[CollectionStream_ID],"10")+
SUMIFS(INDEX(BaleQuality[#Data],,MATCH(L$8,BaleQuality[#Headers],0)),BaleQuality[Bale_ID],$B108,BaleQuality[CollectionStream_ID],"14"))),"")</f>
        <v/>
      </c>
      <c r="M108" s="565" t="str">
        <f>IFERROR(1-((SUMIFS(INDEX(BaleQuality[#Data],,MATCH(M$9,BaleQuality[#Headers],0)),BaleQuality[Bale_ID],$B108,BaleQuality[CollectionStream_ID],"01")+
SUMIFS(INDEX(BaleQuality[#Data],,MATCH(M$9,BaleQuality[#Headers],0)),BaleQuality[Bale_ID],$B108,BaleQuality[CollectionStream_ID],"09")+
SUMIFS(INDEX(BaleQuality[#Data],,MATCH(M$9,BaleQuality[#Headers],0)),BaleQuality[Bale_ID],$B108,BaleQuality[CollectionStream_ID],"10")+
SUMIFS(INDEX(BaleQuality[#Data],,MATCH(M$9,BaleQuality[#Headers],0)),BaleQuality[Bale_ID],$B108,BaleQuality[CollectionStream_ID],"14"))
/
(SUMIFS(INDEX(BaleQuality[#Data],,MATCH(M$8,BaleQuality[#Headers],0)),BaleQuality[Bale_ID],$B108,BaleQuality[CollectionStream_ID],"01")+
SUMIFS(INDEX(BaleQuality[#Data],,MATCH(M$8,BaleQuality[#Headers],0)),BaleQuality[Bale_ID],$B108,BaleQuality[CollectionStream_ID],"09")+
SUMIFS(INDEX(BaleQuality[#Data],,MATCH(M$8,BaleQuality[#Headers],0)),BaleQuality[Bale_ID],$B108,BaleQuality[CollectionStream_ID],"10")+
SUMIFS(INDEX(BaleQuality[#Data],,MATCH(M$8,BaleQuality[#Headers],0)),BaleQuality[Bale_ID],$B108,BaleQuality[CollectionStream_ID],"14"))),"")</f>
        <v/>
      </c>
      <c r="O108" s="218"/>
      <c r="P108" s="596"/>
      <c r="Z108" s="596"/>
    </row>
    <row r="109" spans="1:26" s="352" customFormat="1" x14ac:dyDescent="0.2">
      <c r="A109" s="378"/>
      <c r="B109" s="378" t="s">
        <v>979</v>
      </c>
      <c r="C109" s="378"/>
      <c r="D109" s="378"/>
      <c r="E109" s="378"/>
      <c r="F109" s="378"/>
      <c r="G109" s="378" t="str">
        <f>INDEX(Bales[Bale_Name],MATCH(B109,Bales[Bale_ID],0))</f>
        <v>Aseptic and gable-top cartons</v>
      </c>
      <c r="H109" s="378"/>
      <c r="I109" s="565">
        <f>IFERROR(1-((SUMIFS(INDEX(BaleQuality[#Data],,MATCH(I$9,BaleQuality[#Headers],0)),BaleQuality[Bale_ID],$B109,BaleQuality[CollectionStream_ID],"01")+
SUMIFS(INDEX(BaleQuality[#Data],,MATCH(I$9,BaleQuality[#Headers],0)),BaleQuality[Bale_ID],$B109,BaleQuality[CollectionStream_ID],"09")+
SUMIFS(INDEX(BaleQuality[#Data],,MATCH(I$9,BaleQuality[#Headers],0)),BaleQuality[Bale_ID],$B109,BaleQuality[CollectionStream_ID],"10")+
SUMIFS(INDEX(BaleQuality[#Data],,MATCH(I$9,BaleQuality[#Headers],0)),BaleQuality[Bale_ID],$B109,BaleQuality[CollectionStream_ID],"14"))
/
(SUMIFS(INDEX(BaleQuality[#Data],,MATCH(I$8,BaleQuality[#Headers],0)),BaleQuality[Bale_ID],$B109,BaleQuality[CollectionStream_ID],"01")+
SUMIFS(INDEX(BaleQuality[#Data],,MATCH(I$8,BaleQuality[#Headers],0)),BaleQuality[Bale_ID],$B109,BaleQuality[CollectionStream_ID],"09")+
SUMIFS(INDEX(BaleQuality[#Data],,MATCH(I$8,BaleQuality[#Headers],0)),BaleQuality[Bale_ID],$B109,BaleQuality[CollectionStream_ID],"10")+
SUMIFS(INDEX(BaleQuality[#Data],,MATCH(I$8,BaleQuality[#Headers],0)),BaleQuality[Bale_ID],$B109,BaleQuality[CollectionStream_ID],"14"))),"")</f>
        <v>2.3300926280961476E-2</v>
      </c>
      <c r="J109" s="565">
        <f>IFERROR(1-((SUMIFS(INDEX(BaleQuality[#Data],,MATCH(J$9,BaleQuality[#Headers],0)),BaleQuality[Bale_ID],$B109,BaleQuality[CollectionStream_ID],"01")+
SUMIFS(INDEX(BaleQuality[#Data],,MATCH(J$9,BaleQuality[#Headers],0)),BaleQuality[Bale_ID],$B109,BaleQuality[CollectionStream_ID],"09")+
SUMIFS(INDEX(BaleQuality[#Data],,MATCH(J$9,BaleQuality[#Headers],0)),BaleQuality[Bale_ID],$B109,BaleQuality[CollectionStream_ID],"10")+
SUMIFS(INDEX(BaleQuality[#Data],,MATCH(J$9,BaleQuality[#Headers],0)),BaleQuality[Bale_ID],$B109,BaleQuality[CollectionStream_ID],"14"))
/
(SUMIFS(INDEX(BaleQuality[#Data],,MATCH(J$8,BaleQuality[#Headers],0)),BaleQuality[Bale_ID],$B109,BaleQuality[CollectionStream_ID],"01")+
SUMIFS(INDEX(BaleQuality[#Data],,MATCH(J$8,BaleQuality[#Headers],0)),BaleQuality[Bale_ID],$B109,BaleQuality[CollectionStream_ID],"09")+
SUMIFS(INDEX(BaleQuality[#Data],,MATCH(J$8,BaleQuality[#Headers],0)),BaleQuality[Bale_ID],$B109,BaleQuality[CollectionStream_ID],"10")+
SUMIFS(INDEX(BaleQuality[#Data],,MATCH(J$8,BaleQuality[#Headers],0)),BaleQuality[Bale_ID],$B109,BaleQuality[CollectionStream_ID],"14"))),"")</f>
        <v>1.2925390389645353E-2</v>
      </c>
      <c r="K109" s="565">
        <f>IFERROR(1-((SUMIFS(INDEX(BaleQuality[#Data],,MATCH(K$9,BaleQuality[#Headers],0)),BaleQuality[Bale_ID],$B109,BaleQuality[CollectionStream_ID],"01")+
SUMIFS(INDEX(BaleQuality[#Data],,MATCH(K$9,BaleQuality[#Headers],0)),BaleQuality[Bale_ID],$B109,BaleQuality[CollectionStream_ID],"09")+
SUMIFS(INDEX(BaleQuality[#Data],,MATCH(K$9,BaleQuality[#Headers],0)),BaleQuality[Bale_ID],$B109,BaleQuality[CollectionStream_ID],"10")+
SUMIFS(INDEX(BaleQuality[#Data],,MATCH(K$9,BaleQuality[#Headers],0)),BaleQuality[Bale_ID],$B109,BaleQuality[CollectionStream_ID],"14"))
/
(SUMIFS(INDEX(BaleQuality[#Data],,MATCH(K$8,BaleQuality[#Headers],0)),BaleQuality[Bale_ID],$B109,BaleQuality[CollectionStream_ID],"01")+
SUMIFS(INDEX(BaleQuality[#Data],,MATCH(K$8,BaleQuality[#Headers],0)),BaleQuality[Bale_ID],$B109,BaleQuality[CollectionStream_ID],"09")+
SUMIFS(INDEX(BaleQuality[#Data],,MATCH(K$8,BaleQuality[#Headers],0)),BaleQuality[Bale_ID],$B109,BaleQuality[CollectionStream_ID],"10")+
SUMIFS(INDEX(BaleQuality[#Data],,MATCH(K$8,BaleQuality[#Headers],0)),BaleQuality[Bale_ID],$B109,BaleQuality[CollectionStream_ID],"14"))),"")</f>
        <v>3.7477230794363825E-2</v>
      </c>
      <c r="L109" s="565">
        <f>IFERROR(1-((SUMIFS(INDEX(BaleQuality[#Data],,MATCH(L$9,BaleQuality[#Headers],0)),BaleQuality[Bale_ID],$B109,BaleQuality[CollectionStream_ID],"01")+
SUMIFS(INDEX(BaleQuality[#Data],,MATCH(L$9,BaleQuality[#Headers],0)),BaleQuality[Bale_ID],$B109,BaleQuality[CollectionStream_ID],"09")+
SUMIFS(INDEX(BaleQuality[#Data],,MATCH(L$9,BaleQuality[#Headers],0)),BaleQuality[Bale_ID],$B109,BaleQuality[CollectionStream_ID],"10")+
SUMIFS(INDEX(BaleQuality[#Data],,MATCH(L$9,BaleQuality[#Headers],0)),BaleQuality[Bale_ID],$B109,BaleQuality[CollectionStream_ID],"14"))
/
(SUMIFS(INDEX(BaleQuality[#Data],,MATCH(L$8,BaleQuality[#Headers],0)),BaleQuality[Bale_ID],$B109,BaleQuality[CollectionStream_ID],"01")+
SUMIFS(INDEX(BaleQuality[#Data],,MATCH(L$8,BaleQuality[#Headers],0)),BaleQuality[Bale_ID],$B109,BaleQuality[CollectionStream_ID],"09")+
SUMIFS(INDEX(BaleQuality[#Data],,MATCH(L$8,BaleQuality[#Headers],0)),BaleQuality[Bale_ID],$B109,BaleQuality[CollectionStream_ID],"10")+
SUMIFS(INDEX(BaleQuality[#Data],,MATCH(L$8,BaleQuality[#Headers],0)),BaleQuality[Bale_ID],$B109,BaleQuality[CollectionStream_ID],"14"))),"")</f>
        <v>3.7550575387233387E-2</v>
      </c>
      <c r="M109" s="565">
        <f>IFERROR(1-((SUMIFS(INDEX(BaleQuality[#Data],,MATCH(M$9,BaleQuality[#Headers],0)),BaleQuality[Bale_ID],$B109,BaleQuality[CollectionStream_ID],"01")+
SUMIFS(INDEX(BaleQuality[#Data],,MATCH(M$9,BaleQuality[#Headers],0)),BaleQuality[Bale_ID],$B109,BaleQuality[CollectionStream_ID],"09")+
SUMIFS(INDEX(BaleQuality[#Data],,MATCH(M$9,BaleQuality[#Headers],0)),BaleQuality[Bale_ID],$B109,BaleQuality[CollectionStream_ID],"10")+
SUMIFS(INDEX(BaleQuality[#Data],,MATCH(M$9,BaleQuality[#Headers],0)),BaleQuality[Bale_ID],$B109,BaleQuality[CollectionStream_ID],"14"))
/
(SUMIFS(INDEX(BaleQuality[#Data],,MATCH(M$8,BaleQuality[#Headers],0)),BaleQuality[Bale_ID],$B109,BaleQuality[CollectionStream_ID],"01")+
SUMIFS(INDEX(BaleQuality[#Data],,MATCH(M$8,BaleQuality[#Headers],0)),BaleQuality[Bale_ID],$B109,BaleQuality[CollectionStream_ID],"09")+
SUMIFS(INDEX(BaleQuality[#Data],,MATCH(M$8,BaleQuality[#Headers],0)),BaleQuality[Bale_ID],$B109,BaleQuality[CollectionStream_ID],"10")+
SUMIFS(INDEX(BaleQuality[#Data],,MATCH(M$8,BaleQuality[#Headers],0)),BaleQuality[Bale_ID],$B109,BaleQuality[CollectionStream_ID],"14"))),"")</f>
        <v>3.9506720456448541E-2</v>
      </c>
      <c r="O109" s="218"/>
      <c r="P109" s="596"/>
      <c r="Z109" s="596"/>
    </row>
    <row r="110" spans="1:26" s="352" customFormat="1" hidden="1" x14ac:dyDescent="0.2">
      <c r="A110" s="378"/>
      <c r="B110" s="378" t="s">
        <v>981</v>
      </c>
      <c r="C110" s="378" t="s">
        <v>3579</v>
      </c>
      <c r="D110" s="378"/>
      <c r="E110" s="378"/>
      <c r="F110" s="378"/>
      <c r="G110" s="378" t="str">
        <f>INDEX(Bales[Bale_Name],MATCH(B110,Bales[Bale_ID],0))</f>
        <v>Polycoated cups and containers</v>
      </c>
      <c r="H110" s="378"/>
      <c r="I110" s="565" t="str">
        <f>IFERROR(1-((SUMIFS(INDEX(BaleQuality[#Data],,MATCH(I$9,BaleQuality[#Headers],0)),BaleQuality[Bale_ID],$B110,BaleQuality[CollectionStream_ID],"01")+
SUMIFS(INDEX(BaleQuality[#Data],,MATCH(I$9,BaleQuality[#Headers],0)),BaleQuality[Bale_ID],$B110,BaleQuality[CollectionStream_ID],"09")+
SUMIFS(INDEX(BaleQuality[#Data],,MATCH(I$9,BaleQuality[#Headers],0)),BaleQuality[Bale_ID],$B110,BaleQuality[CollectionStream_ID],"10")+
SUMIFS(INDEX(BaleQuality[#Data],,MATCH(I$9,BaleQuality[#Headers],0)),BaleQuality[Bale_ID],$B110,BaleQuality[CollectionStream_ID],"14"))
/
(SUMIFS(INDEX(BaleQuality[#Data],,MATCH(I$8,BaleQuality[#Headers],0)),BaleQuality[Bale_ID],$B110,BaleQuality[CollectionStream_ID],"01")+
SUMIFS(INDEX(BaleQuality[#Data],,MATCH(I$8,BaleQuality[#Headers],0)),BaleQuality[Bale_ID],$B110,BaleQuality[CollectionStream_ID],"09")+
SUMIFS(INDEX(BaleQuality[#Data],,MATCH(I$8,BaleQuality[#Headers],0)),BaleQuality[Bale_ID],$B110,BaleQuality[CollectionStream_ID],"10")+
SUMIFS(INDEX(BaleQuality[#Data],,MATCH(I$8,BaleQuality[#Headers],0)),BaleQuality[Bale_ID],$B110,BaleQuality[CollectionStream_ID],"14"))),"")</f>
        <v/>
      </c>
      <c r="J110" s="565" t="str">
        <f>IFERROR(1-((SUMIFS(INDEX(BaleQuality[#Data],,MATCH(J$9,BaleQuality[#Headers],0)),BaleQuality[Bale_ID],$B110,BaleQuality[CollectionStream_ID],"01")+
SUMIFS(INDEX(BaleQuality[#Data],,MATCH(J$9,BaleQuality[#Headers],0)),BaleQuality[Bale_ID],$B110,BaleQuality[CollectionStream_ID],"09")+
SUMIFS(INDEX(BaleQuality[#Data],,MATCH(J$9,BaleQuality[#Headers],0)),BaleQuality[Bale_ID],$B110,BaleQuality[CollectionStream_ID],"10")+
SUMIFS(INDEX(BaleQuality[#Data],,MATCH(J$9,BaleQuality[#Headers],0)),BaleQuality[Bale_ID],$B110,BaleQuality[CollectionStream_ID],"14"))
/
(SUMIFS(INDEX(BaleQuality[#Data],,MATCH(J$8,BaleQuality[#Headers],0)),BaleQuality[Bale_ID],$B110,BaleQuality[CollectionStream_ID],"01")+
SUMIFS(INDEX(BaleQuality[#Data],,MATCH(J$8,BaleQuality[#Headers],0)),BaleQuality[Bale_ID],$B110,BaleQuality[CollectionStream_ID],"09")+
SUMIFS(INDEX(BaleQuality[#Data],,MATCH(J$8,BaleQuality[#Headers],0)),BaleQuality[Bale_ID],$B110,BaleQuality[CollectionStream_ID],"10")+
SUMIFS(INDEX(BaleQuality[#Data],,MATCH(J$8,BaleQuality[#Headers],0)),BaleQuality[Bale_ID],$B110,BaleQuality[CollectionStream_ID],"14"))),"")</f>
        <v/>
      </c>
      <c r="K110" s="565" t="str">
        <f>IFERROR(1-((SUMIFS(INDEX(BaleQuality[#Data],,MATCH(K$9,BaleQuality[#Headers],0)),BaleQuality[Bale_ID],$B110,BaleQuality[CollectionStream_ID],"01")+
SUMIFS(INDEX(BaleQuality[#Data],,MATCH(K$9,BaleQuality[#Headers],0)),BaleQuality[Bale_ID],$B110,BaleQuality[CollectionStream_ID],"09")+
SUMIFS(INDEX(BaleQuality[#Data],,MATCH(K$9,BaleQuality[#Headers],0)),BaleQuality[Bale_ID],$B110,BaleQuality[CollectionStream_ID],"10")+
SUMIFS(INDEX(BaleQuality[#Data],,MATCH(K$9,BaleQuality[#Headers],0)),BaleQuality[Bale_ID],$B110,BaleQuality[CollectionStream_ID],"14"))
/
(SUMIFS(INDEX(BaleQuality[#Data],,MATCH(K$8,BaleQuality[#Headers],0)),BaleQuality[Bale_ID],$B110,BaleQuality[CollectionStream_ID],"01")+
SUMIFS(INDEX(BaleQuality[#Data],,MATCH(K$8,BaleQuality[#Headers],0)),BaleQuality[Bale_ID],$B110,BaleQuality[CollectionStream_ID],"09")+
SUMIFS(INDEX(BaleQuality[#Data],,MATCH(K$8,BaleQuality[#Headers],0)),BaleQuality[Bale_ID],$B110,BaleQuality[CollectionStream_ID],"10")+
SUMIFS(INDEX(BaleQuality[#Data],,MATCH(K$8,BaleQuality[#Headers],0)),BaleQuality[Bale_ID],$B110,BaleQuality[CollectionStream_ID],"14"))),"")</f>
        <v/>
      </c>
      <c r="L110" s="565" t="str">
        <f>IFERROR(1-((SUMIFS(INDEX(BaleQuality[#Data],,MATCH(L$9,BaleQuality[#Headers],0)),BaleQuality[Bale_ID],$B110,BaleQuality[CollectionStream_ID],"01")+
SUMIFS(INDEX(BaleQuality[#Data],,MATCH(L$9,BaleQuality[#Headers],0)),BaleQuality[Bale_ID],$B110,BaleQuality[CollectionStream_ID],"09")+
SUMIFS(INDEX(BaleQuality[#Data],,MATCH(L$9,BaleQuality[#Headers],0)),BaleQuality[Bale_ID],$B110,BaleQuality[CollectionStream_ID],"10")+
SUMIFS(INDEX(BaleQuality[#Data],,MATCH(L$9,BaleQuality[#Headers],0)),BaleQuality[Bale_ID],$B110,BaleQuality[CollectionStream_ID],"14"))
/
(SUMIFS(INDEX(BaleQuality[#Data],,MATCH(L$8,BaleQuality[#Headers],0)),BaleQuality[Bale_ID],$B110,BaleQuality[CollectionStream_ID],"01")+
SUMIFS(INDEX(BaleQuality[#Data],,MATCH(L$8,BaleQuality[#Headers],0)),BaleQuality[Bale_ID],$B110,BaleQuality[CollectionStream_ID],"09")+
SUMIFS(INDEX(BaleQuality[#Data],,MATCH(L$8,BaleQuality[#Headers],0)),BaleQuality[Bale_ID],$B110,BaleQuality[CollectionStream_ID],"10")+
SUMIFS(INDEX(BaleQuality[#Data],,MATCH(L$8,BaleQuality[#Headers],0)),BaleQuality[Bale_ID],$B110,BaleQuality[CollectionStream_ID],"14"))),"")</f>
        <v/>
      </c>
      <c r="M110" s="565" t="str">
        <f>IFERROR(1-((SUMIFS(INDEX(BaleQuality[#Data],,MATCH(M$9,BaleQuality[#Headers],0)),BaleQuality[Bale_ID],$B110,BaleQuality[CollectionStream_ID],"01")+
SUMIFS(INDEX(BaleQuality[#Data],,MATCH(M$9,BaleQuality[#Headers],0)),BaleQuality[Bale_ID],$B110,BaleQuality[CollectionStream_ID],"09")+
SUMIFS(INDEX(BaleQuality[#Data],,MATCH(M$9,BaleQuality[#Headers],0)),BaleQuality[Bale_ID],$B110,BaleQuality[CollectionStream_ID],"10")+
SUMIFS(INDEX(BaleQuality[#Data],,MATCH(M$9,BaleQuality[#Headers],0)),BaleQuality[Bale_ID],$B110,BaleQuality[CollectionStream_ID],"14"))
/
(SUMIFS(INDEX(BaleQuality[#Data],,MATCH(M$8,BaleQuality[#Headers],0)),BaleQuality[Bale_ID],$B110,BaleQuality[CollectionStream_ID],"01")+
SUMIFS(INDEX(BaleQuality[#Data],,MATCH(M$8,BaleQuality[#Headers],0)),BaleQuality[Bale_ID],$B110,BaleQuality[CollectionStream_ID],"09")+
SUMIFS(INDEX(BaleQuality[#Data],,MATCH(M$8,BaleQuality[#Headers],0)),BaleQuality[Bale_ID],$B110,BaleQuality[CollectionStream_ID],"10")+
SUMIFS(INDEX(BaleQuality[#Data],,MATCH(M$8,BaleQuality[#Headers],0)),BaleQuality[Bale_ID],$B110,BaleQuality[CollectionStream_ID],"14"))),"")</f>
        <v/>
      </c>
      <c r="P110" s="596"/>
      <c r="Z110" s="596"/>
    </row>
    <row r="111" spans="1:26" s="530" customFormat="1" ht="6" x14ac:dyDescent="0.15">
      <c r="B111" s="530" t="s">
        <v>3581</v>
      </c>
      <c r="I111" s="555"/>
      <c r="J111" s="555"/>
      <c r="K111" s="555"/>
      <c r="L111" s="555"/>
      <c r="M111" s="555"/>
      <c r="P111" s="597"/>
      <c r="Z111" s="597"/>
    </row>
    <row r="112" spans="1:26" s="352" customFormat="1" ht="15" x14ac:dyDescent="0.25">
      <c r="A112" s="521"/>
      <c r="B112" s="342" t="s">
        <v>1903</v>
      </c>
      <c r="E112" s="181"/>
      <c r="F112" s="539" t="s">
        <v>3631</v>
      </c>
      <c r="G112" s="536"/>
      <c r="H112" s="536"/>
      <c r="I112" s="606">
        <f>IFERROR(1-((SUMIFS(INDEX(BaleQuality[#Data],,MATCH(I$9,BaleQuality[#Headers],0)),BaleQuality[BaleType],$B112,BaleQuality[CollectionStream_ID],"01")+
SUMIFS(INDEX(BaleQuality[#Data],,MATCH(I$9,BaleQuality[#Headers],0)),BaleQuality[BaleType],$B112,BaleQuality[CollectionStream_ID],"09")+
SUMIFS(INDEX(BaleQuality[#Data],,MATCH(I$9,BaleQuality[#Headers],0)),BaleQuality[BaleType],$B112,BaleQuality[CollectionStream_ID],"10")+
SUMIFS(INDEX(BaleQuality[#Data],,MATCH(I$9,BaleQuality[#Headers],0)),BaleQuality[BaleType],$B112,BaleQuality[CollectionStream_ID],"14"))
/
(SUMIFS(INDEX(BaleQuality[#Data],,MATCH(I$8,BaleQuality[#Headers],0)),BaleQuality[BaleType],$B112,BaleQuality[CollectionStream_ID],"01")+
SUMIFS(INDEX(BaleQuality[#Data],,MATCH(I$8,BaleQuality[#Headers],0)),BaleQuality[BaleType],$B112,BaleQuality[CollectionStream_ID],"09")+
SUMIFS(INDEX(BaleQuality[#Data],,MATCH(I$8,BaleQuality[#Headers],0)),BaleQuality[BaleType],$B112,BaleQuality[CollectionStream_ID],"10")+
SUMIFS(INDEX(BaleQuality[#Data],,MATCH(I$8,BaleQuality[#Headers],0)),BaleQuality[BaleType],$B112,BaleQuality[CollectionStream_ID],"14"))),"")</f>
        <v>8.792303714715477E-2</v>
      </c>
      <c r="J112" s="606">
        <f>IFERROR(1-((SUMIFS(INDEX(BaleQuality[#Data],,MATCH(J$9,BaleQuality[#Headers],0)),BaleQuality[BaleType],$B112,BaleQuality[CollectionStream_ID],"01")+
SUMIFS(INDEX(BaleQuality[#Data],,MATCH(J$9,BaleQuality[#Headers],0)),BaleQuality[BaleType],$B112,BaleQuality[CollectionStream_ID],"09")+
SUMIFS(INDEX(BaleQuality[#Data],,MATCH(J$9,BaleQuality[#Headers],0)),BaleQuality[BaleType],$B112,BaleQuality[CollectionStream_ID],"10")+
SUMIFS(INDEX(BaleQuality[#Data],,MATCH(J$9,BaleQuality[#Headers],0)),BaleQuality[BaleType],$B112,BaleQuality[CollectionStream_ID],"14"))
/
(SUMIFS(INDEX(BaleQuality[#Data],,MATCH(J$8,BaleQuality[#Headers],0)),BaleQuality[BaleType],$B112,BaleQuality[CollectionStream_ID],"01")+
SUMIFS(INDEX(BaleQuality[#Data],,MATCH(J$8,BaleQuality[#Headers],0)),BaleQuality[BaleType],$B112,BaleQuality[CollectionStream_ID],"09")+
SUMIFS(INDEX(BaleQuality[#Data],,MATCH(J$8,BaleQuality[#Headers],0)),BaleQuality[BaleType],$B112,BaleQuality[CollectionStream_ID],"10")+
SUMIFS(INDEX(BaleQuality[#Data],,MATCH(J$8,BaleQuality[#Headers],0)),BaleQuality[BaleType],$B112,BaleQuality[CollectionStream_ID],"14"))),"")</f>
        <v>3.5025387272213271E-2</v>
      </c>
      <c r="K112" s="606">
        <f>IFERROR(1-((SUMIFS(INDEX(BaleQuality[#Data],,MATCH(K$9,BaleQuality[#Headers],0)),BaleQuality[BaleType],$B112,BaleQuality[CollectionStream_ID],"01")+
SUMIFS(INDEX(BaleQuality[#Data],,MATCH(K$9,BaleQuality[#Headers],0)),BaleQuality[BaleType],$B112,BaleQuality[CollectionStream_ID],"09")+
SUMIFS(INDEX(BaleQuality[#Data],,MATCH(K$9,BaleQuality[#Headers],0)),BaleQuality[BaleType],$B112,BaleQuality[CollectionStream_ID],"10")+
SUMIFS(INDEX(BaleQuality[#Data],,MATCH(K$9,BaleQuality[#Headers],0)),BaleQuality[BaleType],$B112,BaleQuality[CollectionStream_ID],"14"))
/
(SUMIFS(INDEX(BaleQuality[#Data],,MATCH(K$8,BaleQuality[#Headers],0)),BaleQuality[BaleType],$B112,BaleQuality[CollectionStream_ID],"01")+
SUMIFS(INDEX(BaleQuality[#Data],,MATCH(K$8,BaleQuality[#Headers],0)),BaleQuality[BaleType],$B112,BaleQuality[CollectionStream_ID],"09")+
SUMIFS(INDEX(BaleQuality[#Data],,MATCH(K$8,BaleQuality[#Headers],0)),BaleQuality[BaleType],$B112,BaleQuality[CollectionStream_ID],"10")+
SUMIFS(INDEX(BaleQuality[#Data],,MATCH(K$8,BaleQuality[#Headers],0)),BaleQuality[BaleType],$B112,BaleQuality[CollectionStream_ID],"14"))),"")</f>
        <v>3.4571100117855025E-2</v>
      </c>
      <c r="L112" s="606">
        <f>IFERROR(1-((SUMIFS(INDEX(BaleQuality[#Data],,MATCH(L$9,BaleQuality[#Headers],0)),BaleQuality[BaleType],$B112,BaleQuality[CollectionStream_ID],"01")+
SUMIFS(INDEX(BaleQuality[#Data],,MATCH(L$9,BaleQuality[#Headers],0)),BaleQuality[BaleType],$B112,BaleQuality[CollectionStream_ID],"09")+
SUMIFS(INDEX(BaleQuality[#Data],,MATCH(L$9,BaleQuality[#Headers],0)),BaleQuality[BaleType],$B112,BaleQuality[CollectionStream_ID],"10")+
SUMIFS(INDEX(BaleQuality[#Data],,MATCH(L$9,BaleQuality[#Headers],0)),BaleQuality[BaleType],$B112,BaleQuality[CollectionStream_ID],"14"))
/
(SUMIFS(INDEX(BaleQuality[#Data],,MATCH(L$8,BaleQuality[#Headers],0)),BaleQuality[BaleType],$B112,BaleQuality[CollectionStream_ID],"01")+
SUMIFS(INDEX(BaleQuality[#Data],,MATCH(L$8,BaleQuality[#Headers],0)),BaleQuality[BaleType],$B112,BaleQuality[CollectionStream_ID],"09")+
SUMIFS(INDEX(BaleQuality[#Data],,MATCH(L$8,BaleQuality[#Headers],0)),BaleQuality[BaleType],$B112,BaleQuality[CollectionStream_ID],"10")+
SUMIFS(INDEX(BaleQuality[#Data],,MATCH(L$8,BaleQuality[#Headers],0)),BaleQuality[BaleType],$B112,BaleQuality[CollectionStream_ID],"14"))),"")</f>
        <v>3.5353563765016638E-2</v>
      </c>
      <c r="M112" s="606">
        <f>IFERROR(1-((SUMIFS(INDEX(BaleQuality[#Data],,MATCH(M$9,BaleQuality[#Headers],0)),BaleQuality[BaleType],$B112,BaleQuality[CollectionStream_ID],"01")+
SUMIFS(INDEX(BaleQuality[#Data],,MATCH(M$9,BaleQuality[#Headers],0)),BaleQuality[BaleType],$B112,BaleQuality[CollectionStream_ID],"09")+
SUMIFS(INDEX(BaleQuality[#Data],,MATCH(M$9,BaleQuality[#Headers],0)),BaleQuality[BaleType],$B112,BaleQuality[CollectionStream_ID],"10")+
SUMIFS(INDEX(BaleQuality[#Data],,MATCH(M$9,BaleQuality[#Headers],0)),BaleQuality[BaleType],$B112,BaleQuality[CollectionStream_ID],"14"))
/
(SUMIFS(INDEX(BaleQuality[#Data],,MATCH(M$8,BaleQuality[#Headers],0)),BaleQuality[BaleType],$B112,BaleQuality[CollectionStream_ID],"01")+
SUMIFS(INDEX(BaleQuality[#Data],,MATCH(M$8,BaleQuality[#Headers],0)),BaleQuality[BaleType],$B112,BaleQuality[CollectionStream_ID],"09")+
SUMIFS(INDEX(BaleQuality[#Data],,MATCH(M$8,BaleQuality[#Headers],0)),BaleQuality[BaleType],$B112,BaleQuality[CollectionStream_ID],"10")+
SUMIFS(INDEX(BaleQuality[#Data],,MATCH(M$8,BaleQuality[#Headers],0)),BaleQuality[BaleType],$B112,BaleQuality[CollectionStream_ID],"14"))),"")</f>
        <v>3.5081785710095681E-2</v>
      </c>
      <c r="P112" s="596"/>
      <c r="S112" s="604" t="s">
        <v>3728</v>
      </c>
      <c r="T112" s="600" t="s">
        <v>876</v>
      </c>
      <c r="U112" s="600" t="s">
        <v>875</v>
      </c>
      <c r="V112" s="600" t="s">
        <v>874</v>
      </c>
      <c r="W112" s="600" t="s">
        <v>873</v>
      </c>
      <c r="X112" s="600" t="s">
        <v>870</v>
      </c>
      <c r="Z112" s="596"/>
    </row>
    <row r="113" spans="1:26" s="352" customFormat="1" x14ac:dyDescent="0.2">
      <c r="A113" s="521"/>
      <c r="B113" s="352" t="s">
        <v>982</v>
      </c>
      <c r="G113" s="352" t="str">
        <f>INDEX(Bales[Bale_Name],MATCH(B113,Bales[Bale_ID],0))</f>
        <v>PET #1 bottles and jars </v>
      </c>
      <c r="I113" s="564">
        <f>IFERROR(1-((SUMIFS(INDEX(BaleQuality[#Data],,MATCH(I$9,BaleQuality[#Headers],0)),BaleQuality[Bale_ID],$B113,BaleQuality[CollectionStream_ID],"01")+
SUMIFS(INDEX(BaleQuality[#Data],,MATCH(I$9,BaleQuality[#Headers],0)),BaleQuality[Bale_ID],$B113,BaleQuality[CollectionStream_ID],"09")+
SUMIFS(INDEX(BaleQuality[#Data],,MATCH(I$9,BaleQuality[#Headers],0)),BaleQuality[Bale_ID],$B113,BaleQuality[CollectionStream_ID],"10")+
SUMIFS(INDEX(BaleQuality[#Data],,MATCH(I$9,BaleQuality[#Headers],0)),BaleQuality[Bale_ID],$B113,BaleQuality[CollectionStream_ID],"14"))
/
(SUMIFS(INDEX(BaleQuality[#Data],,MATCH(I$8,BaleQuality[#Headers],0)),BaleQuality[Bale_ID],$B113,BaleQuality[CollectionStream_ID],"01")+
SUMIFS(INDEX(BaleQuality[#Data],,MATCH(I$8,BaleQuality[#Headers],0)),BaleQuality[Bale_ID],$B113,BaleQuality[CollectionStream_ID],"09")+
SUMIFS(INDEX(BaleQuality[#Data],,MATCH(I$8,BaleQuality[#Headers],0)),BaleQuality[Bale_ID],$B113,BaleQuality[CollectionStream_ID],"10")+
SUMIFS(INDEX(BaleQuality[#Data],,MATCH(I$8,BaleQuality[#Headers],0)),BaleQuality[Bale_ID],$B113,BaleQuality[CollectionStream_ID],"14"))),"")</f>
        <v>8.9636505489938956E-2</v>
      </c>
      <c r="J113" s="564">
        <f>IFERROR(1-((SUMIFS(INDEX(BaleQuality[#Data],,MATCH(J$9,BaleQuality[#Headers],0)),BaleQuality[Bale_ID],$B113,BaleQuality[CollectionStream_ID],"01")+
SUMIFS(INDEX(BaleQuality[#Data],,MATCH(J$9,BaleQuality[#Headers],0)),BaleQuality[Bale_ID],$B113,BaleQuality[CollectionStream_ID],"09")+
SUMIFS(INDEX(BaleQuality[#Data],,MATCH(J$9,BaleQuality[#Headers],0)),BaleQuality[Bale_ID],$B113,BaleQuality[CollectionStream_ID],"10")+
SUMIFS(INDEX(BaleQuality[#Data],,MATCH(J$9,BaleQuality[#Headers],0)),BaleQuality[Bale_ID],$B113,BaleQuality[CollectionStream_ID],"14"))
/
(SUMIFS(INDEX(BaleQuality[#Data],,MATCH(J$8,BaleQuality[#Headers],0)),BaleQuality[Bale_ID],$B113,BaleQuality[CollectionStream_ID],"01")+
SUMIFS(INDEX(BaleQuality[#Data],,MATCH(J$8,BaleQuality[#Headers],0)),BaleQuality[Bale_ID],$B113,BaleQuality[CollectionStream_ID],"09")+
SUMIFS(INDEX(BaleQuality[#Data],,MATCH(J$8,BaleQuality[#Headers],0)),BaleQuality[Bale_ID],$B113,BaleQuality[CollectionStream_ID],"10")+
SUMIFS(INDEX(BaleQuality[#Data],,MATCH(J$8,BaleQuality[#Headers],0)),BaleQuality[Bale_ID],$B113,BaleQuality[CollectionStream_ID],"14"))),"")</f>
        <v>3.5521029010314731E-2</v>
      </c>
      <c r="K113" s="564">
        <f>IFERROR(1-((SUMIFS(INDEX(BaleQuality[#Data],,MATCH(K$9,BaleQuality[#Headers],0)),BaleQuality[Bale_ID],$B113,BaleQuality[CollectionStream_ID],"01")+
SUMIFS(INDEX(BaleQuality[#Data],,MATCH(K$9,BaleQuality[#Headers],0)),BaleQuality[Bale_ID],$B113,BaleQuality[CollectionStream_ID],"09")+
SUMIFS(INDEX(BaleQuality[#Data],,MATCH(K$9,BaleQuality[#Headers],0)),BaleQuality[Bale_ID],$B113,BaleQuality[CollectionStream_ID],"10")+
SUMIFS(INDEX(BaleQuality[#Data],,MATCH(K$9,BaleQuality[#Headers],0)),BaleQuality[Bale_ID],$B113,BaleQuality[CollectionStream_ID],"14"))
/
(SUMIFS(INDEX(BaleQuality[#Data],,MATCH(K$8,BaleQuality[#Headers],0)),BaleQuality[Bale_ID],$B113,BaleQuality[CollectionStream_ID],"01")+
SUMIFS(INDEX(BaleQuality[#Data],,MATCH(K$8,BaleQuality[#Headers],0)),BaleQuality[Bale_ID],$B113,BaleQuality[CollectionStream_ID],"09")+
SUMIFS(INDEX(BaleQuality[#Data],,MATCH(K$8,BaleQuality[#Headers],0)),BaleQuality[Bale_ID],$B113,BaleQuality[CollectionStream_ID],"10")+
SUMIFS(INDEX(BaleQuality[#Data],,MATCH(K$8,BaleQuality[#Headers],0)),BaleQuality[Bale_ID],$B113,BaleQuality[CollectionStream_ID],"14"))),"")</f>
        <v>2.8894317762378829E-2</v>
      </c>
      <c r="L113" s="564">
        <f>IFERROR(1-((SUMIFS(INDEX(BaleQuality[#Data],,MATCH(L$9,BaleQuality[#Headers],0)),BaleQuality[Bale_ID],$B113,BaleQuality[CollectionStream_ID],"01")+
SUMIFS(INDEX(BaleQuality[#Data],,MATCH(L$9,BaleQuality[#Headers],0)),BaleQuality[Bale_ID],$B113,BaleQuality[CollectionStream_ID],"09")+
SUMIFS(INDEX(BaleQuality[#Data],,MATCH(L$9,BaleQuality[#Headers],0)),BaleQuality[Bale_ID],$B113,BaleQuality[CollectionStream_ID],"10")+
SUMIFS(INDEX(BaleQuality[#Data],,MATCH(L$9,BaleQuality[#Headers],0)),BaleQuality[Bale_ID],$B113,BaleQuality[CollectionStream_ID],"14"))
/
(SUMIFS(INDEX(BaleQuality[#Data],,MATCH(L$8,BaleQuality[#Headers],0)),BaleQuality[Bale_ID],$B113,BaleQuality[CollectionStream_ID],"01")+
SUMIFS(INDEX(BaleQuality[#Data],,MATCH(L$8,BaleQuality[#Headers],0)),BaleQuality[Bale_ID],$B113,BaleQuality[CollectionStream_ID],"09")+
SUMIFS(INDEX(BaleQuality[#Data],,MATCH(L$8,BaleQuality[#Headers],0)),BaleQuality[Bale_ID],$B113,BaleQuality[CollectionStream_ID],"10")+
SUMIFS(INDEX(BaleQuality[#Data],,MATCH(L$8,BaleQuality[#Headers],0)),BaleQuality[Bale_ID],$B113,BaleQuality[CollectionStream_ID],"14"))),"")</f>
        <v>3.1079356767099053E-2</v>
      </c>
      <c r="M113" s="564">
        <f>IFERROR(1-((SUMIFS(INDEX(BaleQuality[#Data],,MATCH(M$9,BaleQuality[#Headers],0)),BaleQuality[Bale_ID],$B113,BaleQuality[CollectionStream_ID],"01")+
SUMIFS(INDEX(BaleQuality[#Data],,MATCH(M$9,BaleQuality[#Headers],0)),BaleQuality[Bale_ID],$B113,BaleQuality[CollectionStream_ID],"09")+
SUMIFS(INDEX(BaleQuality[#Data],,MATCH(M$9,BaleQuality[#Headers],0)),BaleQuality[Bale_ID],$B113,BaleQuality[CollectionStream_ID],"10")+
SUMIFS(INDEX(BaleQuality[#Data],,MATCH(M$9,BaleQuality[#Headers],0)),BaleQuality[Bale_ID],$B113,BaleQuality[CollectionStream_ID],"14"))
/
(SUMIFS(INDEX(BaleQuality[#Data],,MATCH(M$8,BaleQuality[#Headers],0)),BaleQuality[Bale_ID],$B113,BaleQuality[CollectionStream_ID],"01")+
SUMIFS(INDEX(BaleQuality[#Data],,MATCH(M$8,BaleQuality[#Headers],0)),BaleQuality[Bale_ID],$B113,BaleQuality[CollectionStream_ID],"09")+
SUMIFS(INDEX(BaleQuality[#Data],,MATCH(M$8,BaleQuality[#Headers],0)),BaleQuality[Bale_ID],$B113,BaleQuality[CollectionStream_ID],"10")+
SUMIFS(INDEX(BaleQuality[#Data],,MATCH(M$8,BaleQuality[#Headers],0)),BaleQuality[Bale_ID],$B113,BaleQuality[CollectionStream_ID],"14"))),"")</f>
        <v>2.9604567075942279E-2</v>
      </c>
      <c r="P113" s="596"/>
      <c r="S113" s="600" t="s">
        <v>3630</v>
      </c>
      <c r="T113" s="407">
        <f>I103</f>
        <v>1.9669382493660681E-2</v>
      </c>
      <c r="U113" s="407">
        <f t="shared" ref="U113:X113" si="9">J103</f>
        <v>1.1468243725599625E-2</v>
      </c>
      <c r="V113" s="407">
        <f t="shared" si="9"/>
        <v>1.5875883407155844E-2</v>
      </c>
      <c r="W113" s="407">
        <f t="shared" si="9"/>
        <v>1.5700299778564908E-2</v>
      </c>
      <c r="X113" s="407">
        <f t="shared" si="9"/>
        <v>1.1122950221498895E-2</v>
      </c>
      <c r="Z113" s="596"/>
    </row>
    <row r="114" spans="1:26" s="352" customFormat="1" x14ac:dyDescent="0.2">
      <c r="A114" s="521"/>
      <c r="B114" s="352" t="s">
        <v>984</v>
      </c>
      <c r="G114" s="352" t="str">
        <f>INDEX(Bales[Bale_Name],MATCH(B114,Bales[Bale_ID],0))</f>
        <v>PET #1 thermoforms and tubs</v>
      </c>
      <c r="I114" s="564" t="str">
        <f>IFERROR(1-((SUMIFS(INDEX(BaleQuality[#Data],,MATCH(I$9,BaleQuality[#Headers],0)),BaleQuality[Bale_ID],$B114,BaleQuality[CollectionStream_ID],"01")+
SUMIFS(INDEX(BaleQuality[#Data],,MATCH(I$9,BaleQuality[#Headers],0)),BaleQuality[Bale_ID],$B114,BaleQuality[CollectionStream_ID],"09")+
SUMIFS(INDEX(BaleQuality[#Data],,MATCH(I$9,BaleQuality[#Headers],0)),BaleQuality[Bale_ID],$B114,BaleQuality[CollectionStream_ID],"10")+
SUMIFS(INDEX(BaleQuality[#Data],,MATCH(I$9,BaleQuality[#Headers],0)),BaleQuality[Bale_ID],$B114,BaleQuality[CollectionStream_ID],"14"))
/
(SUMIFS(INDEX(BaleQuality[#Data],,MATCH(I$8,BaleQuality[#Headers],0)),BaleQuality[Bale_ID],$B114,BaleQuality[CollectionStream_ID],"01")+
SUMIFS(INDEX(BaleQuality[#Data],,MATCH(I$8,BaleQuality[#Headers],0)),BaleQuality[Bale_ID],$B114,BaleQuality[CollectionStream_ID],"09")+
SUMIFS(INDEX(BaleQuality[#Data],,MATCH(I$8,BaleQuality[#Headers],0)),BaleQuality[Bale_ID],$B114,BaleQuality[CollectionStream_ID],"10")+
SUMIFS(INDEX(BaleQuality[#Data],,MATCH(I$8,BaleQuality[#Headers],0)),BaleQuality[Bale_ID],$B114,BaleQuality[CollectionStream_ID],"14"))),"")</f>
        <v/>
      </c>
      <c r="J114" s="564" t="str">
        <f>IFERROR(1-((SUMIFS(INDEX(BaleQuality[#Data],,MATCH(J$9,BaleQuality[#Headers],0)),BaleQuality[Bale_ID],$B114,BaleQuality[CollectionStream_ID],"01")+
SUMIFS(INDEX(BaleQuality[#Data],,MATCH(J$9,BaleQuality[#Headers],0)),BaleQuality[Bale_ID],$B114,BaleQuality[CollectionStream_ID],"09")+
SUMIFS(INDEX(BaleQuality[#Data],,MATCH(J$9,BaleQuality[#Headers],0)),BaleQuality[Bale_ID],$B114,BaleQuality[CollectionStream_ID],"10")+
SUMIFS(INDEX(BaleQuality[#Data],,MATCH(J$9,BaleQuality[#Headers],0)),BaleQuality[Bale_ID],$B114,BaleQuality[CollectionStream_ID],"14"))
/
(SUMIFS(INDEX(BaleQuality[#Data],,MATCH(J$8,BaleQuality[#Headers],0)),BaleQuality[Bale_ID],$B114,BaleQuality[CollectionStream_ID],"01")+
SUMIFS(INDEX(BaleQuality[#Data],,MATCH(J$8,BaleQuality[#Headers],0)),BaleQuality[Bale_ID],$B114,BaleQuality[CollectionStream_ID],"09")+
SUMIFS(INDEX(BaleQuality[#Data],,MATCH(J$8,BaleQuality[#Headers],0)),BaleQuality[Bale_ID],$B114,BaleQuality[CollectionStream_ID],"10")+
SUMIFS(INDEX(BaleQuality[#Data],,MATCH(J$8,BaleQuality[#Headers],0)),BaleQuality[Bale_ID],$B114,BaleQuality[CollectionStream_ID],"14"))),"")</f>
        <v/>
      </c>
      <c r="K114" s="564">
        <f>IFERROR(1-((SUMIFS(INDEX(BaleQuality[#Data],,MATCH(K$9,BaleQuality[#Headers],0)),BaleQuality[Bale_ID],$B114,BaleQuality[CollectionStream_ID],"01")+
SUMIFS(INDEX(BaleQuality[#Data],,MATCH(K$9,BaleQuality[#Headers],0)),BaleQuality[Bale_ID],$B114,BaleQuality[CollectionStream_ID],"09")+
SUMIFS(INDEX(BaleQuality[#Data],,MATCH(K$9,BaleQuality[#Headers],0)),BaleQuality[Bale_ID],$B114,BaleQuality[CollectionStream_ID],"10")+
SUMIFS(INDEX(BaleQuality[#Data],,MATCH(K$9,BaleQuality[#Headers],0)),BaleQuality[Bale_ID],$B114,BaleQuality[CollectionStream_ID],"14"))
/
(SUMIFS(INDEX(BaleQuality[#Data],,MATCH(K$8,BaleQuality[#Headers],0)),BaleQuality[Bale_ID],$B114,BaleQuality[CollectionStream_ID],"01")+
SUMIFS(INDEX(BaleQuality[#Data],,MATCH(K$8,BaleQuality[#Headers],0)),BaleQuality[Bale_ID],$B114,BaleQuality[CollectionStream_ID],"09")+
SUMIFS(INDEX(BaleQuality[#Data],,MATCH(K$8,BaleQuality[#Headers],0)),BaleQuality[Bale_ID],$B114,BaleQuality[CollectionStream_ID],"10")+
SUMIFS(INDEX(BaleQuality[#Data],,MATCH(K$8,BaleQuality[#Headers],0)),BaleQuality[Bale_ID],$B114,BaleQuality[CollectionStream_ID],"14"))),"")</f>
        <v>2.8888672284806183E-2</v>
      </c>
      <c r="L114" s="564">
        <f>IFERROR(1-((SUMIFS(INDEX(BaleQuality[#Data],,MATCH(L$9,BaleQuality[#Headers],0)),BaleQuality[Bale_ID],$B114,BaleQuality[CollectionStream_ID],"01")+
SUMIFS(INDEX(BaleQuality[#Data],,MATCH(L$9,BaleQuality[#Headers],0)),BaleQuality[Bale_ID],$B114,BaleQuality[CollectionStream_ID],"09")+
SUMIFS(INDEX(BaleQuality[#Data],,MATCH(L$9,BaleQuality[#Headers],0)),BaleQuality[Bale_ID],$B114,BaleQuality[CollectionStream_ID],"10")+
SUMIFS(INDEX(BaleQuality[#Data],,MATCH(L$9,BaleQuality[#Headers],0)),BaleQuality[Bale_ID],$B114,BaleQuality[CollectionStream_ID],"14"))
/
(SUMIFS(INDEX(BaleQuality[#Data],,MATCH(L$8,BaleQuality[#Headers],0)),BaleQuality[Bale_ID],$B114,BaleQuality[CollectionStream_ID],"01")+
SUMIFS(INDEX(BaleQuality[#Data],,MATCH(L$8,BaleQuality[#Headers],0)),BaleQuality[Bale_ID],$B114,BaleQuality[CollectionStream_ID],"09")+
SUMIFS(INDEX(BaleQuality[#Data],,MATCH(L$8,BaleQuality[#Headers],0)),BaleQuality[Bale_ID],$B114,BaleQuality[CollectionStream_ID],"10")+
SUMIFS(INDEX(BaleQuality[#Data],,MATCH(L$8,BaleQuality[#Headers],0)),BaleQuality[Bale_ID],$B114,BaleQuality[CollectionStream_ID],"14"))),"")</f>
        <v>3.0938895064625438E-2</v>
      </c>
      <c r="M114" s="564">
        <f>IFERROR(1-((SUMIFS(INDEX(BaleQuality[#Data],,MATCH(M$9,BaleQuality[#Headers],0)),BaleQuality[Bale_ID],$B114,BaleQuality[CollectionStream_ID],"01")+
SUMIFS(INDEX(BaleQuality[#Data],,MATCH(M$9,BaleQuality[#Headers],0)),BaleQuality[Bale_ID],$B114,BaleQuality[CollectionStream_ID],"09")+
SUMIFS(INDEX(BaleQuality[#Data],,MATCH(M$9,BaleQuality[#Headers],0)),BaleQuality[Bale_ID],$B114,BaleQuality[CollectionStream_ID],"10")+
SUMIFS(INDEX(BaleQuality[#Data],,MATCH(M$9,BaleQuality[#Headers],0)),BaleQuality[Bale_ID],$B114,BaleQuality[CollectionStream_ID],"14"))
/
(SUMIFS(INDEX(BaleQuality[#Data],,MATCH(M$8,BaleQuality[#Headers],0)),BaleQuality[Bale_ID],$B114,BaleQuality[CollectionStream_ID],"01")+
SUMIFS(INDEX(BaleQuality[#Data],,MATCH(M$8,BaleQuality[#Headers],0)),BaleQuality[Bale_ID],$B114,BaleQuality[CollectionStream_ID],"09")+
SUMIFS(INDEX(BaleQuality[#Data],,MATCH(M$8,BaleQuality[#Headers],0)),BaleQuality[Bale_ID],$B114,BaleQuality[CollectionStream_ID],"10")+
SUMIFS(INDEX(BaleQuality[#Data],,MATCH(M$8,BaleQuality[#Headers],0)),BaleQuality[Bale_ID],$B114,BaleQuality[CollectionStream_ID],"14"))),"")</f>
        <v>2.9604567075942168E-2</v>
      </c>
      <c r="P114" s="596"/>
      <c r="S114" s="600" t="s">
        <v>3631</v>
      </c>
      <c r="T114" s="407">
        <f>I112</f>
        <v>8.792303714715477E-2</v>
      </c>
      <c r="U114" s="407">
        <f t="shared" ref="U114:X114" si="10">J112</f>
        <v>3.5025387272213271E-2</v>
      </c>
      <c r="V114" s="407">
        <f t="shared" si="10"/>
        <v>3.4571100117855025E-2</v>
      </c>
      <c r="W114" s="407">
        <f t="shared" si="10"/>
        <v>3.5353563765016638E-2</v>
      </c>
      <c r="X114" s="407">
        <f t="shared" si="10"/>
        <v>3.5081785710095681E-2</v>
      </c>
      <c r="Z114" s="596"/>
    </row>
    <row r="115" spans="1:26" s="352" customFormat="1" x14ac:dyDescent="0.2">
      <c r="A115" s="521"/>
      <c r="B115" s="352" t="s">
        <v>986</v>
      </c>
      <c r="G115" s="352" t="str">
        <f>INDEX(Bales[Bale_Name],MATCH(B115,Bales[Bale_ID],0))</f>
        <v>HDPE #2 natural bottles </v>
      </c>
      <c r="I115" s="564">
        <f>IFERROR(1-((SUMIFS(INDEX(BaleQuality[#Data],,MATCH(I$9,BaleQuality[#Headers],0)),BaleQuality[Bale_ID],$B115,BaleQuality[CollectionStream_ID],"01")+
SUMIFS(INDEX(BaleQuality[#Data],,MATCH(I$9,BaleQuality[#Headers],0)),BaleQuality[Bale_ID],$B115,BaleQuality[CollectionStream_ID],"09")+
SUMIFS(INDEX(BaleQuality[#Data],,MATCH(I$9,BaleQuality[#Headers],0)),BaleQuality[Bale_ID],$B115,BaleQuality[CollectionStream_ID],"10")+
SUMIFS(INDEX(BaleQuality[#Data],,MATCH(I$9,BaleQuality[#Headers],0)),BaleQuality[Bale_ID],$B115,BaleQuality[CollectionStream_ID],"14"))
/
(SUMIFS(INDEX(BaleQuality[#Data],,MATCH(I$8,BaleQuality[#Headers],0)),BaleQuality[Bale_ID],$B115,BaleQuality[CollectionStream_ID],"01")+
SUMIFS(INDEX(BaleQuality[#Data],,MATCH(I$8,BaleQuality[#Headers],0)),BaleQuality[Bale_ID],$B115,BaleQuality[CollectionStream_ID],"09")+
SUMIFS(INDEX(BaleQuality[#Data],,MATCH(I$8,BaleQuality[#Headers],0)),BaleQuality[Bale_ID],$B115,BaleQuality[CollectionStream_ID],"10")+
SUMIFS(INDEX(BaleQuality[#Data],,MATCH(I$8,BaleQuality[#Headers],0)),BaleQuality[Bale_ID],$B115,BaleQuality[CollectionStream_ID],"14"))),"")</f>
        <v>8.9993067881464439E-2</v>
      </c>
      <c r="J115" s="564">
        <f>IFERROR(1-((SUMIFS(INDEX(BaleQuality[#Data],,MATCH(J$9,BaleQuality[#Headers],0)),BaleQuality[Bale_ID],$B115,BaleQuality[CollectionStream_ID],"01")+
SUMIFS(INDEX(BaleQuality[#Data],,MATCH(J$9,BaleQuality[#Headers],0)),BaleQuality[Bale_ID],$B115,BaleQuality[CollectionStream_ID],"09")+
SUMIFS(INDEX(BaleQuality[#Data],,MATCH(J$9,BaleQuality[#Headers],0)),BaleQuality[Bale_ID],$B115,BaleQuality[CollectionStream_ID],"10")+
SUMIFS(INDEX(BaleQuality[#Data],,MATCH(J$9,BaleQuality[#Headers],0)),BaleQuality[Bale_ID],$B115,BaleQuality[CollectionStream_ID],"14"))
/
(SUMIFS(INDEX(BaleQuality[#Data],,MATCH(J$8,BaleQuality[#Headers],0)),BaleQuality[Bale_ID],$B115,BaleQuality[CollectionStream_ID],"01")+
SUMIFS(INDEX(BaleQuality[#Data],,MATCH(J$8,BaleQuality[#Headers],0)),BaleQuality[Bale_ID],$B115,BaleQuality[CollectionStream_ID],"09")+
SUMIFS(INDEX(BaleQuality[#Data],,MATCH(J$8,BaleQuality[#Headers],0)),BaleQuality[Bale_ID],$B115,BaleQuality[CollectionStream_ID],"10")+
SUMIFS(INDEX(BaleQuality[#Data],,MATCH(J$8,BaleQuality[#Headers],0)),BaleQuality[Bale_ID],$B115,BaleQuality[CollectionStream_ID],"14"))),"")</f>
        <v>3.5964185575668384E-2</v>
      </c>
      <c r="K115" s="564">
        <f>IFERROR(1-((SUMIFS(INDEX(BaleQuality[#Data],,MATCH(K$9,BaleQuality[#Headers],0)),BaleQuality[Bale_ID],$B115,BaleQuality[CollectionStream_ID],"01")+
SUMIFS(INDEX(BaleQuality[#Data],,MATCH(K$9,BaleQuality[#Headers],0)),BaleQuality[Bale_ID],$B115,BaleQuality[CollectionStream_ID],"09")+
SUMIFS(INDEX(BaleQuality[#Data],,MATCH(K$9,BaleQuality[#Headers],0)),BaleQuality[Bale_ID],$B115,BaleQuality[CollectionStream_ID],"10")+
SUMIFS(INDEX(BaleQuality[#Data],,MATCH(K$9,BaleQuality[#Headers],0)),BaleQuality[Bale_ID],$B115,BaleQuality[CollectionStream_ID],"14"))
/
(SUMIFS(INDEX(BaleQuality[#Data],,MATCH(K$8,BaleQuality[#Headers],0)),BaleQuality[Bale_ID],$B115,BaleQuality[CollectionStream_ID],"01")+
SUMIFS(INDEX(BaleQuality[#Data],,MATCH(K$8,BaleQuality[#Headers],0)),BaleQuality[Bale_ID],$B115,BaleQuality[CollectionStream_ID],"09")+
SUMIFS(INDEX(BaleQuality[#Data],,MATCH(K$8,BaleQuality[#Headers],0)),BaleQuality[Bale_ID],$B115,BaleQuality[CollectionStream_ID],"10")+
SUMIFS(INDEX(BaleQuality[#Data],,MATCH(K$8,BaleQuality[#Headers],0)),BaleQuality[Bale_ID],$B115,BaleQuality[CollectionStream_ID],"14"))),"")</f>
        <v>4.0260821536030278E-2</v>
      </c>
      <c r="L115" s="564">
        <f>IFERROR(1-((SUMIFS(INDEX(BaleQuality[#Data],,MATCH(L$9,BaleQuality[#Headers],0)),BaleQuality[Bale_ID],$B115,BaleQuality[CollectionStream_ID],"01")+
SUMIFS(INDEX(BaleQuality[#Data],,MATCH(L$9,BaleQuality[#Headers],0)),BaleQuality[Bale_ID],$B115,BaleQuality[CollectionStream_ID],"09")+
SUMIFS(INDEX(BaleQuality[#Data],,MATCH(L$9,BaleQuality[#Headers],0)),BaleQuality[Bale_ID],$B115,BaleQuality[CollectionStream_ID],"10")+
SUMIFS(INDEX(BaleQuality[#Data],,MATCH(L$9,BaleQuality[#Headers],0)),BaleQuality[Bale_ID],$B115,BaleQuality[CollectionStream_ID],"14"))
/
(SUMIFS(INDEX(BaleQuality[#Data],,MATCH(L$8,BaleQuality[#Headers],0)),BaleQuality[Bale_ID],$B115,BaleQuality[CollectionStream_ID],"01")+
SUMIFS(INDEX(BaleQuality[#Data],,MATCH(L$8,BaleQuality[#Headers],0)),BaleQuality[Bale_ID],$B115,BaleQuality[CollectionStream_ID],"09")+
SUMIFS(INDEX(BaleQuality[#Data],,MATCH(L$8,BaleQuality[#Headers],0)),BaleQuality[Bale_ID],$B115,BaleQuality[CollectionStream_ID],"10")+
SUMIFS(INDEX(BaleQuality[#Data],,MATCH(L$8,BaleQuality[#Headers],0)),BaleQuality[Bale_ID],$B115,BaleQuality[CollectionStream_ID],"14"))),"")</f>
        <v>4.0395492888783413E-2</v>
      </c>
      <c r="M115" s="564">
        <f>IFERROR(1-((SUMIFS(INDEX(BaleQuality[#Data],,MATCH(M$9,BaleQuality[#Headers],0)),BaleQuality[Bale_ID],$B115,BaleQuality[CollectionStream_ID],"01")+
SUMIFS(INDEX(BaleQuality[#Data],,MATCH(M$9,BaleQuality[#Headers],0)),BaleQuality[Bale_ID],$B115,BaleQuality[CollectionStream_ID],"09")+
SUMIFS(INDEX(BaleQuality[#Data],,MATCH(M$9,BaleQuality[#Headers],0)),BaleQuality[Bale_ID],$B115,BaleQuality[CollectionStream_ID],"10")+
SUMIFS(INDEX(BaleQuality[#Data],,MATCH(M$9,BaleQuality[#Headers],0)),BaleQuality[Bale_ID],$B115,BaleQuality[CollectionStream_ID],"14"))
/
(SUMIFS(INDEX(BaleQuality[#Data],,MATCH(M$8,BaleQuality[#Headers],0)),BaleQuality[Bale_ID],$B115,BaleQuality[CollectionStream_ID],"01")+
SUMIFS(INDEX(BaleQuality[#Data],,MATCH(M$8,BaleQuality[#Headers],0)),BaleQuality[Bale_ID],$B115,BaleQuality[CollectionStream_ID],"09")+
SUMIFS(INDEX(BaleQuality[#Data],,MATCH(M$8,BaleQuality[#Headers],0)),BaleQuality[Bale_ID],$B115,BaleQuality[CollectionStream_ID],"10")+
SUMIFS(INDEX(BaleQuality[#Data],,MATCH(M$8,BaleQuality[#Headers],0)),BaleQuality[Bale_ID],$B115,BaleQuality[CollectionStream_ID],"14"))),"")</f>
        <v>3.5860612130824143E-2</v>
      </c>
      <c r="P115" s="596"/>
      <c r="S115" s="600" t="s">
        <v>3684</v>
      </c>
      <c r="T115" s="407">
        <f>I129</f>
        <v>3.4312281993050142E-2</v>
      </c>
      <c r="U115" s="407">
        <f t="shared" ref="U115:X115" si="11">J129</f>
        <v>1.354763713651963E-2</v>
      </c>
      <c r="V115" s="407">
        <f t="shared" si="11"/>
        <v>1.1879189634383835E-2</v>
      </c>
      <c r="W115" s="407">
        <f t="shared" si="11"/>
        <v>1.1781290330200256E-2</v>
      </c>
      <c r="X115" s="407">
        <f t="shared" si="11"/>
        <v>1.4425536568486108E-2</v>
      </c>
      <c r="Z115" s="596"/>
    </row>
    <row r="116" spans="1:26" s="352" customFormat="1" x14ac:dyDescent="0.2">
      <c r="A116" s="521"/>
      <c r="B116" s="352" t="s">
        <v>988</v>
      </c>
      <c r="G116" s="352" t="str">
        <f>INDEX(Bales[Bale_Name],MATCH(B116,Bales[Bale_ID],0))</f>
        <v>HDPE #2 colored bottles </v>
      </c>
      <c r="I116" s="564">
        <f>IFERROR(1-((SUMIFS(INDEX(BaleQuality[#Data],,MATCH(I$9,BaleQuality[#Headers],0)),BaleQuality[Bale_ID],$B116,BaleQuality[CollectionStream_ID],"01")+
SUMIFS(INDEX(BaleQuality[#Data],,MATCH(I$9,BaleQuality[#Headers],0)),BaleQuality[Bale_ID],$B116,BaleQuality[CollectionStream_ID],"09")+
SUMIFS(INDEX(BaleQuality[#Data],,MATCH(I$9,BaleQuality[#Headers],0)),BaleQuality[Bale_ID],$B116,BaleQuality[CollectionStream_ID],"10")+
SUMIFS(INDEX(BaleQuality[#Data],,MATCH(I$9,BaleQuality[#Headers],0)),BaleQuality[Bale_ID],$B116,BaleQuality[CollectionStream_ID],"14"))
/
(SUMIFS(INDEX(BaleQuality[#Data],,MATCH(I$8,BaleQuality[#Headers],0)),BaleQuality[Bale_ID],$B116,BaleQuality[CollectionStream_ID],"01")+
SUMIFS(INDEX(BaleQuality[#Data],,MATCH(I$8,BaleQuality[#Headers],0)),BaleQuality[Bale_ID],$B116,BaleQuality[CollectionStream_ID],"09")+
SUMIFS(INDEX(BaleQuality[#Data],,MATCH(I$8,BaleQuality[#Headers],0)),BaleQuality[Bale_ID],$B116,BaleQuality[CollectionStream_ID],"10")+
SUMIFS(INDEX(BaleQuality[#Data],,MATCH(I$8,BaleQuality[#Headers],0)),BaleQuality[Bale_ID],$B116,BaleQuality[CollectionStream_ID],"14"))),"")</f>
        <v>8.9993067881464106E-2</v>
      </c>
      <c r="J116" s="564">
        <f>IFERROR(1-((SUMIFS(INDEX(BaleQuality[#Data],,MATCH(J$9,BaleQuality[#Headers],0)),BaleQuality[Bale_ID],$B116,BaleQuality[CollectionStream_ID],"01")+
SUMIFS(INDEX(BaleQuality[#Data],,MATCH(J$9,BaleQuality[#Headers],0)),BaleQuality[Bale_ID],$B116,BaleQuality[CollectionStream_ID],"09")+
SUMIFS(INDEX(BaleQuality[#Data],,MATCH(J$9,BaleQuality[#Headers],0)),BaleQuality[Bale_ID],$B116,BaleQuality[CollectionStream_ID],"10")+
SUMIFS(INDEX(BaleQuality[#Data],,MATCH(J$9,BaleQuality[#Headers],0)),BaleQuality[Bale_ID],$B116,BaleQuality[CollectionStream_ID],"14"))
/
(SUMIFS(INDEX(BaleQuality[#Data],,MATCH(J$8,BaleQuality[#Headers],0)),BaleQuality[Bale_ID],$B116,BaleQuality[CollectionStream_ID],"01")+
SUMIFS(INDEX(BaleQuality[#Data],,MATCH(J$8,BaleQuality[#Headers],0)),BaleQuality[Bale_ID],$B116,BaleQuality[CollectionStream_ID],"09")+
SUMIFS(INDEX(BaleQuality[#Data],,MATCH(J$8,BaleQuality[#Headers],0)),BaleQuality[Bale_ID],$B116,BaleQuality[CollectionStream_ID],"10")+
SUMIFS(INDEX(BaleQuality[#Data],,MATCH(J$8,BaleQuality[#Headers],0)),BaleQuality[Bale_ID],$B116,BaleQuality[CollectionStream_ID],"14"))),"")</f>
        <v>3.5964185575668939E-2</v>
      </c>
      <c r="K116" s="564">
        <f>IFERROR(1-((SUMIFS(INDEX(BaleQuality[#Data],,MATCH(K$9,BaleQuality[#Headers],0)),BaleQuality[Bale_ID],$B116,BaleQuality[CollectionStream_ID],"01")+
SUMIFS(INDEX(BaleQuality[#Data],,MATCH(K$9,BaleQuality[#Headers],0)),BaleQuality[Bale_ID],$B116,BaleQuality[CollectionStream_ID],"09")+
SUMIFS(INDEX(BaleQuality[#Data],,MATCH(K$9,BaleQuality[#Headers],0)),BaleQuality[Bale_ID],$B116,BaleQuality[CollectionStream_ID],"10")+
SUMIFS(INDEX(BaleQuality[#Data],,MATCH(K$9,BaleQuality[#Headers],0)),BaleQuality[Bale_ID],$B116,BaleQuality[CollectionStream_ID],"14"))
/
(SUMIFS(INDEX(BaleQuality[#Data],,MATCH(K$8,BaleQuality[#Headers],0)),BaleQuality[Bale_ID],$B116,BaleQuality[CollectionStream_ID],"01")+
SUMIFS(INDEX(BaleQuality[#Data],,MATCH(K$8,BaleQuality[#Headers],0)),BaleQuality[Bale_ID],$B116,BaleQuality[CollectionStream_ID],"09")+
SUMIFS(INDEX(BaleQuality[#Data],,MATCH(K$8,BaleQuality[#Headers],0)),BaleQuality[Bale_ID],$B116,BaleQuality[CollectionStream_ID],"10")+
SUMIFS(INDEX(BaleQuality[#Data],,MATCH(K$8,BaleQuality[#Headers],0)),BaleQuality[Bale_ID],$B116,BaleQuality[CollectionStream_ID],"14"))),"")</f>
        <v>4.0260821536030389E-2</v>
      </c>
      <c r="L116" s="564">
        <f>IFERROR(1-((SUMIFS(INDEX(BaleQuality[#Data],,MATCH(L$9,BaleQuality[#Headers],0)),BaleQuality[Bale_ID],$B116,BaleQuality[CollectionStream_ID],"01")+
SUMIFS(INDEX(BaleQuality[#Data],,MATCH(L$9,BaleQuality[#Headers],0)),BaleQuality[Bale_ID],$B116,BaleQuality[CollectionStream_ID],"09")+
SUMIFS(INDEX(BaleQuality[#Data],,MATCH(L$9,BaleQuality[#Headers],0)),BaleQuality[Bale_ID],$B116,BaleQuality[CollectionStream_ID],"10")+
SUMIFS(INDEX(BaleQuality[#Data],,MATCH(L$9,BaleQuality[#Headers],0)),BaleQuality[Bale_ID],$B116,BaleQuality[CollectionStream_ID],"14"))
/
(SUMIFS(INDEX(BaleQuality[#Data],,MATCH(L$8,BaleQuality[#Headers],0)),BaleQuality[Bale_ID],$B116,BaleQuality[CollectionStream_ID],"01")+
SUMIFS(INDEX(BaleQuality[#Data],,MATCH(L$8,BaleQuality[#Headers],0)),BaleQuality[Bale_ID],$B116,BaleQuality[CollectionStream_ID],"09")+
SUMIFS(INDEX(BaleQuality[#Data],,MATCH(L$8,BaleQuality[#Headers],0)),BaleQuality[Bale_ID],$B116,BaleQuality[CollectionStream_ID],"10")+
SUMIFS(INDEX(BaleQuality[#Data],,MATCH(L$8,BaleQuality[#Headers],0)),BaleQuality[Bale_ID],$B116,BaleQuality[CollectionStream_ID],"14"))),"")</f>
        <v>4.0395492888783302E-2</v>
      </c>
      <c r="M116" s="564">
        <f>IFERROR(1-((SUMIFS(INDEX(BaleQuality[#Data],,MATCH(M$9,BaleQuality[#Headers],0)),BaleQuality[Bale_ID],$B116,BaleQuality[CollectionStream_ID],"01")+
SUMIFS(INDEX(BaleQuality[#Data],,MATCH(M$9,BaleQuality[#Headers],0)),BaleQuality[Bale_ID],$B116,BaleQuality[CollectionStream_ID],"09")+
SUMIFS(INDEX(BaleQuality[#Data],,MATCH(M$9,BaleQuality[#Headers],0)),BaleQuality[Bale_ID],$B116,BaleQuality[CollectionStream_ID],"10")+
SUMIFS(INDEX(BaleQuality[#Data],,MATCH(M$9,BaleQuality[#Headers],0)),BaleQuality[Bale_ID],$B116,BaleQuality[CollectionStream_ID],"14"))
/
(SUMIFS(INDEX(BaleQuality[#Data],,MATCH(M$8,BaleQuality[#Headers],0)),BaleQuality[Bale_ID],$B116,BaleQuality[CollectionStream_ID],"01")+
SUMIFS(INDEX(BaleQuality[#Data],,MATCH(M$8,BaleQuality[#Headers],0)),BaleQuality[Bale_ID],$B116,BaleQuality[CollectionStream_ID],"09")+
SUMIFS(INDEX(BaleQuality[#Data],,MATCH(M$8,BaleQuality[#Headers],0)),BaleQuality[Bale_ID],$B116,BaleQuality[CollectionStream_ID],"10")+
SUMIFS(INDEX(BaleQuality[#Data],,MATCH(M$8,BaleQuality[#Headers],0)),BaleQuality[Bale_ID],$B116,BaleQuality[CollectionStream_ID],"14"))),"")</f>
        <v>3.5860612130824032E-2</v>
      </c>
      <c r="P116" s="596"/>
      <c r="S116" s="600"/>
      <c r="T116" s="407"/>
      <c r="U116" s="407"/>
      <c r="V116" s="407"/>
      <c r="W116" s="407"/>
      <c r="X116" s="407"/>
      <c r="Z116" s="596"/>
    </row>
    <row r="117" spans="1:26" s="352" customFormat="1" x14ac:dyDescent="0.2">
      <c r="A117" s="521"/>
      <c r="B117" s="352" t="s">
        <v>990</v>
      </c>
      <c r="G117" s="352" t="str">
        <f>INDEX(Bales[Bale_Name],MATCH(B117,Bales[Bale_ID],0))</f>
        <v>HDPE #2 and PP #5 tubs </v>
      </c>
      <c r="I117" s="564">
        <f>IFERROR(1-((SUMIFS(INDEX(BaleQuality[#Data],,MATCH(I$9,BaleQuality[#Headers],0)),BaleQuality[Bale_ID],$B117,BaleQuality[CollectionStream_ID],"01")+
SUMIFS(INDEX(BaleQuality[#Data],,MATCH(I$9,BaleQuality[#Headers],0)),BaleQuality[Bale_ID],$B117,BaleQuality[CollectionStream_ID],"09")+
SUMIFS(INDEX(BaleQuality[#Data],,MATCH(I$9,BaleQuality[#Headers],0)),BaleQuality[Bale_ID],$B117,BaleQuality[CollectionStream_ID],"10")+
SUMIFS(INDEX(BaleQuality[#Data],,MATCH(I$9,BaleQuality[#Headers],0)),BaleQuality[Bale_ID],$B117,BaleQuality[CollectionStream_ID],"14"))
/
(SUMIFS(INDEX(BaleQuality[#Data],,MATCH(I$8,BaleQuality[#Headers],0)),BaleQuality[Bale_ID],$B117,BaleQuality[CollectionStream_ID],"01")+
SUMIFS(INDEX(BaleQuality[#Data],,MATCH(I$8,BaleQuality[#Headers],0)),BaleQuality[Bale_ID],$B117,BaleQuality[CollectionStream_ID],"09")+
SUMIFS(INDEX(BaleQuality[#Data],,MATCH(I$8,BaleQuality[#Headers],0)),BaleQuality[Bale_ID],$B117,BaleQuality[CollectionStream_ID],"10")+
SUMIFS(INDEX(BaleQuality[#Data],,MATCH(I$8,BaleQuality[#Headers],0)),BaleQuality[Bale_ID],$B117,BaleQuality[CollectionStream_ID],"14"))),"")</f>
        <v>9.1166241092486722E-2</v>
      </c>
      <c r="J117" s="564">
        <f>IFERROR(1-((SUMIFS(INDEX(BaleQuality[#Data],,MATCH(J$9,BaleQuality[#Headers],0)),BaleQuality[Bale_ID],$B117,BaleQuality[CollectionStream_ID],"01")+
SUMIFS(INDEX(BaleQuality[#Data],,MATCH(J$9,BaleQuality[#Headers],0)),BaleQuality[Bale_ID],$B117,BaleQuality[CollectionStream_ID],"09")+
SUMIFS(INDEX(BaleQuality[#Data],,MATCH(J$9,BaleQuality[#Headers],0)),BaleQuality[Bale_ID],$B117,BaleQuality[CollectionStream_ID],"10")+
SUMIFS(INDEX(BaleQuality[#Data],,MATCH(J$9,BaleQuality[#Headers],0)),BaleQuality[Bale_ID],$B117,BaleQuality[CollectionStream_ID],"14"))
/
(SUMIFS(INDEX(BaleQuality[#Data],,MATCH(J$8,BaleQuality[#Headers],0)),BaleQuality[Bale_ID],$B117,BaleQuality[CollectionStream_ID],"01")+
SUMIFS(INDEX(BaleQuality[#Data],,MATCH(J$8,BaleQuality[#Headers],0)),BaleQuality[Bale_ID],$B117,BaleQuality[CollectionStream_ID],"09")+
SUMIFS(INDEX(BaleQuality[#Data],,MATCH(J$8,BaleQuality[#Headers],0)),BaleQuality[Bale_ID],$B117,BaleQuality[CollectionStream_ID],"10")+
SUMIFS(INDEX(BaleQuality[#Data],,MATCH(J$8,BaleQuality[#Headers],0)),BaleQuality[Bale_ID],$B117,BaleQuality[CollectionStream_ID],"14"))),"")</f>
        <v>3.5038519737415452E-2</v>
      </c>
      <c r="K117" s="564">
        <f>IFERROR(1-((SUMIFS(INDEX(BaleQuality[#Data],,MATCH(K$9,BaleQuality[#Headers],0)),BaleQuality[Bale_ID],$B117,BaleQuality[CollectionStream_ID],"01")+
SUMIFS(INDEX(BaleQuality[#Data],,MATCH(K$9,BaleQuality[#Headers],0)),BaleQuality[Bale_ID],$B117,BaleQuality[CollectionStream_ID],"09")+
SUMIFS(INDEX(BaleQuality[#Data],,MATCH(K$9,BaleQuality[#Headers],0)),BaleQuality[Bale_ID],$B117,BaleQuality[CollectionStream_ID],"10")+
SUMIFS(INDEX(BaleQuality[#Data],,MATCH(K$9,BaleQuality[#Headers],0)),BaleQuality[Bale_ID],$B117,BaleQuality[CollectionStream_ID],"14"))
/
(SUMIFS(INDEX(BaleQuality[#Data],,MATCH(K$8,BaleQuality[#Headers],0)),BaleQuality[Bale_ID],$B117,BaleQuality[CollectionStream_ID],"01")+
SUMIFS(INDEX(BaleQuality[#Data],,MATCH(K$8,BaleQuality[#Headers],0)),BaleQuality[Bale_ID],$B117,BaleQuality[CollectionStream_ID],"09")+
SUMIFS(INDEX(BaleQuality[#Data],,MATCH(K$8,BaleQuality[#Headers],0)),BaleQuality[Bale_ID],$B117,BaleQuality[CollectionStream_ID],"10")+
SUMIFS(INDEX(BaleQuality[#Data],,MATCH(K$8,BaleQuality[#Headers],0)),BaleQuality[Bale_ID],$B117,BaleQuality[CollectionStream_ID],"14"))),"")</f>
        <v>4.2931399412798665E-2</v>
      </c>
      <c r="L117" s="564">
        <f>IFERROR(1-((SUMIFS(INDEX(BaleQuality[#Data],,MATCH(L$9,BaleQuality[#Headers],0)),BaleQuality[Bale_ID],$B117,BaleQuality[CollectionStream_ID],"01")+
SUMIFS(INDEX(BaleQuality[#Data],,MATCH(L$9,BaleQuality[#Headers],0)),BaleQuality[Bale_ID],$B117,BaleQuality[CollectionStream_ID],"09")+
SUMIFS(INDEX(BaleQuality[#Data],,MATCH(L$9,BaleQuality[#Headers],0)),BaleQuality[Bale_ID],$B117,BaleQuality[CollectionStream_ID],"10")+
SUMIFS(INDEX(BaleQuality[#Data],,MATCH(L$9,BaleQuality[#Headers],0)),BaleQuality[Bale_ID],$B117,BaleQuality[CollectionStream_ID],"14"))
/
(SUMIFS(INDEX(BaleQuality[#Data],,MATCH(L$8,BaleQuality[#Headers],0)),BaleQuality[Bale_ID],$B117,BaleQuality[CollectionStream_ID],"01")+
SUMIFS(INDEX(BaleQuality[#Data],,MATCH(L$8,BaleQuality[#Headers],0)),BaleQuality[Bale_ID],$B117,BaleQuality[CollectionStream_ID],"09")+
SUMIFS(INDEX(BaleQuality[#Data],,MATCH(L$8,BaleQuality[#Headers],0)),BaleQuality[Bale_ID],$B117,BaleQuality[CollectionStream_ID],"10")+
SUMIFS(INDEX(BaleQuality[#Data],,MATCH(L$8,BaleQuality[#Headers],0)),BaleQuality[Bale_ID],$B117,BaleQuality[CollectionStream_ID],"14"))),"")</f>
        <v>4.6601672304990127E-2</v>
      </c>
      <c r="M117" s="564">
        <f>IFERROR(1-((SUMIFS(INDEX(BaleQuality[#Data],,MATCH(M$9,BaleQuality[#Headers],0)),BaleQuality[Bale_ID],$B117,BaleQuality[CollectionStream_ID],"01")+
SUMIFS(INDEX(BaleQuality[#Data],,MATCH(M$9,BaleQuality[#Headers],0)),BaleQuality[Bale_ID],$B117,BaleQuality[CollectionStream_ID],"09")+
SUMIFS(INDEX(BaleQuality[#Data],,MATCH(M$9,BaleQuality[#Headers],0)),BaleQuality[Bale_ID],$B117,BaleQuality[CollectionStream_ID],"10")+
SUMIFS(INDEX(BaleQuality[#Data],,MATCH(M$9,BaleQuality[#Headers],0)),BaleQuality[Bale_ID],$B117,BaleQuality[CollectionStream_ID],"14"))
/
(SUMIFS(INDEX(BaleQuality[#Data],,MATCH(M$8,BaleQuality[#Headers],0)),BaleQuality[Bale_ID],$B117,BaleQuality[CollectionStream_ID],"01")+
SUMIFS(INDEX(BaleQuality[#Data],,MATCH(M$8,BaleQuality[#Headers],0)),BaleQuality[Bale_ID],$B117,BaleQuality[CollectionStream_ID],"09")+
SUMIFS(INDEX(BaleQuality[#Data],,MATCH(M$8,BaleQuality[#Headers],0)),BaleQuality[Bale_ID],$B117,BaleQuality[CollectionStream_ID],"10")+
SUMIFS(INDEX(BaleQuality[#Data],,MATCH(M$8,BaleQuality[#Headers],0)),BaleQuality[Bale_ID],$B117,BaleQuality[CollectionStream_ID],"14"))),"")</f>
        <v>3.7299258735795426E-2</v>
      </c>
      <c r="P117" s="596"/>
      <c r="S117" s="600"/>
      <c r="T117" s="407"/>
      <c r="U117" s="407"/>
      <c r="V117" s="407"/>
      <c r="W117" s="407"/>
      <c r="X117" s="407"/>
      <c r="Z117" s="596"/>
    </row>
    <row r="118" spans="1:26" s="352" customFormat="1" hidden="1" x14ac:dyDescent="0.2">
      <c r="A118" s="378"/>
      <c r="B118" s="378" t="s">
        <v>994</v>
      </c>
      <c r="C118" s="378" t="s">
        <v>3579</v>
      </c>
      <c r="D118" s="378"/>
      <c r="E118" s="378"/>
      <c r="F118" s="378"/>
      <c r="G118" s="378" t="str">
        <f>INDEX(Bales[Bale_Name],MATCH(B118,Bales[Bale_ID],0))</f>
        <v>PE clear film</v>
      </c>
      <c r="H118" s="378"/>
      <c r="I118" s="565" t="str">
        <f>IFERROR(1-((SUMIFS(INDEX(BaleQuality[#Data],,MATCH(I$9,BaleQuality[#Headers],0)),BaleQuality[Bale_ID],$B118,BaleQuality[CollectionStream_ID],"01")+
SUMIFS(INDEX(BaleQuality[#Data],,MATCH(I$9,BaleQuality[#Headers],0)),BaleQuality[Bale_ID],$B118,BaleQuality[CollectionStream_ID],"09")+
SUMIFS(INDEX(BaleQuality[#Data],,MATCH(I$9,BaleQuality[#Headers],0)),BaleQuality[Bale_ID],$B118,BaleQuality[CollectionStream_ID],"10")+
SUMIFS(INDEX(BaleQuality[#Data],,MATCH(I$9,BaleQuality[#Headers],0)),BaleQuality[Bale_ID],$B118,BaleQuality[CollectionStream_ID],"14"))
/
(SUMIFS(INDEX(BaleQuality[#Data],,MATCH(I$8,BaleQuality[#Headers],0)),BaleQuality[Bale_ID],$B118,BaleQuality[CollectionStream_ID],"01")+
SUMIFS(INDEX(BaleQuality[#Data],,MATCH(I$8,BaleQuality[#Headers],0)),BaleQuality[Bale_ID],$B118,BaleQuality[CollectionStream_ID],"09")+
SUMIFS(INDEX(BaleQuality[#Data],,MATCH(I$8,BaleQuality[#Headers],0)),BaleQuality[Bale_ID],$B118,BaleQuality[CollectionStream_ID],"10")+
SUMIFS(INDEX(BaleQuality[#Data],,MATCH(I$8,BaleQuality[#Headers],0)),BaleQuality[Bale_ID],$B118,BaleQuality[CollectionStream_ID],"14"))),"")</f>
        <v/>
      </c>
      <c r="J118" s="565" t="str">
        <f>IFERROR(1-((SUMIFS(INDEX(BaleQuality[#Data],,MATCH(J$9,BaleQuality[#Headers],0)),BaleQuality[Bale_ID],$B118,BaleQuality[CollectionStream_ID],"01")+
SUMIFS(INDEX(BaleQuality[#Data],,MATCH(J$9,BaleQuality[#Headers],0)),BaleQuality[Bale_ID],$B118,BaleQuality[CollectionStream_ID],"09")+
SUMIFS(INDEX(BaleQuality[#Data],,MATCH(J$9,BaleQuality[#Headers],0)),BaleQuality[Bale_ID],$B118,BaleQuality[CollectionStream_ID],"10")+
SUMIFS(INDEX(BaleQuality[#Data],,MATCH(J$9,BaleQuality[#Headers],0)),BaleQuality[Bale_ID],$B118,BaleQuality[CollectionStream_ID],"14"))
/
(SUMIFS(INDEX(BaleQuality[#Data],,MATCH(J$8,BaleQuality[#Headers],0)),BaleQuality[Bale_ID],$B118,BaleQuality[CollectionStream_ID],"01")+
SUMIFS(INDEX(BaleQuality[#Data],,MATCH(J$8,BaleQuality[#Headers],0)),BaleQuality[Bale_ID],$B118,BaleQuality[CollectionStream_ID],"09")+
SUMIFS(INDEX(BaleQuality[#Data],,MATCH(J$8,BaleQuality[#Headers],0)),BaleQuality[Bale_ID],$B118,BaleQuality[CollectionStream_ID],"10")+
SUMIFS(INDEX(BaleQuality[#Data],,MATCH(J$8,BaleQuality[#Headers],0)),BaleQuality[Bale_ID],$B118,BaleQuality[CollectionStream_ID],"14"))),"")</f>
        <v/>
      </c>
      <c r="K118" s="565" t="str">
        <f>IFERROR(1-((SUMIFS(INDEX(BaleQuality[#Data],,MATCH(K$9,BaleQuality[#Headers],0)),BaleQuality[Bale_ID],$B118,BaleQuality[CollectionStream_ID],"01")+
SUMIFS(INDEX(BaleQuality[#Data],,MATCH(K$9,BaleQuality[#Headers],0)),BaleQuality[Bale_ID],$B118,BaleQuality[CollectionStream_ID],"09")+
SUMIFS(INDEX(BaleQuality[#Data],,MATCH(K$9,BaleQuality[#Headers],0)),BaleQuality[Bale_ID],$B118,BaleQuality[CollectionStream_ID],"10")+
SUMIFS(INDEX(BaleQuality[#Data],,MATCH(K$9,BaleQuality[#Headers],0)),BaleQuality[Bale_ID],$B118,BaleQuality[CollectionStream_ID],"14"))
/
(SUMIFS(INDEX(BaleQuality[#Data],,MATCH(K$8,BaleQuality[#Headers],0)),BaleQuality[Bale_ID],$B118,BaleQuality[CollectionStream_ID],"01")+
SUMIFS(INDEX(BaleQuality[#Data],,MATCH(K$8,BaleQuality[#Headers],0)),BaleQuality[Bale_ID],$B118,BaleQuality[CollectionStream_ID],"09")+
SUMIFS(INDEX(BaleQuality[#Data],,MATCH(K$8,BaleQuality[#Headers],0)),BaleQuality[Bale_ID],$B118,BaleQuality[CollectionStream_ID],"10")+
SUMIFS(INDEX(BaleQuality[#Data],,MATCH(K$8,BaleQuality[#Headers],0)),BaleQuality[Bale_ID],$B118,BaleQuality[CollectionStream_ID],"14"))),"")</f>
        <v/>
      </c>
      <c r="L118" s="565" t="str">
        <f>IFERROR(1-((SUMIFS(INDEX(BaleQuality[#Data],,MATCH(L$9,BaleQuality[#Headers],0)),BaleQuality[Bale_ID],$B118,BaleQuality[CollectionStream_ID],"01")+
SUMIFS(INDEX(BaleQuality[#Data],,MATCH(L$9,BaleQuality[#Headers],0)),BaleQuality[Bale_ID],$B118,BaleQuality[CollectionStream_ID],"09")+
SUMIFS(INDEX(BaleQuality[#Data],,MATCH(L$9,BaleQuality[#Headers],0)),BaleQuality[Bale_ID],$B118,BaleQuality[CollectionStream_ID],"10")+
SUMIFS(INDEX(BaleQuality[#Data],,MATCH(L$9,BaleQuality[#Headers],0)),BaleQuality[Bale_ID],$B118,BaleQuality[CollectionStream_ID],"14"))
/
(SUMIFS(INDEX(BaleQuality[#Data],,MATCH(L$8,BaleQuality[#Headers],0)),BaleQuality[Bale_ID],$B118,BaleQuality[CollectionStream_ID],"01")+
SUMIFS(INDEX(BaleQuality[#Data],,MATCH(L$8,BaleQuality[#Headers],0)),BaleQuality[Bale_ID],$B118,BaleQuality[CollectionStream_ID],"09")+
SUMIFS(INDEX(BaleQuality[#Data],,MATCH(L$8,BaleQuality[#Headers],0)),BaleQuality[Bale_ID],$B118,BaleQuality[CollectionStream_ID],"10")+
SUMIFS(INDEX(BaleQuality[#Data],,MATCH(L$8,BaleQuality[#Headers],0)),BaleQuality[Bale_ID],$B118,BaleQuality[CollectionStream_ID],"14"))),"")</f>
        <v/>
      </c>
      <c r="M118" s="565" t="str">
        <f>IFERROR(1-((SUMIFS(INDEX(BaleQuality[#Data],,MATCH(M$9,BaleQuality[#Headers],0)),BaleQuality[Bale_ID],$B118,BaleQuality[CollectionStream_ID],"01")+
SUMIFS(INDEX(BaleQuality[#Data],,MATCH(M$9,BaleQuality[#Headers],0)),BaleQuality[Bale_ID],$B118,BaleQuality[CollectionStream_ID],"09")+
SUMIFS(INDEX(BaleQuality[#Data],,MATCH(M$9,BaleQuality[#Headers],0)),BaleQuality[Bale_ID],$B118,BaleQuality[CollectionStream_ID],"10")+
SUMIFS(INDEX(BaleQuality[#Data],,MATCH(M$9,BaleQuality[#Headers],0)),BaleQuality[Bale_ID],$B118,BaleQuality[CollectionStream_ID],"14"))
/
(SUMIFS(INDEX(BaleQuality[#Data],,MATCH(M$8,BaleQuality[#Headers],0)),BaleQuality[Bale_ID],$B118,BaleQuality[CollectionStream_ID],"01")+
SUMIFS(INDEX(BaleQuality[#Data],,MATCH(M$8,BaleQuality[#Headers],0)),BaleQuality[Bale_ID],$B118,BaleQuality[CollectionStream_ID],"09")+
SUMIFS(INDEX(BaleQuality[#Data],,MATCH(M$8,BaleQuality[#Headers],0)),BaleQuality[Bale_ID],$B118,BaleQuality[CollectionStream_ID],"10")+
SUMIFS(INDEX(BaleQuality[#Data],,MATCH(M$8,BaleQuality[#Headers],0)),BaleQuality[Bale_ID],$B118,BaleQuality[CollectionStream_ID],"14"))),"")</f>
        <v/>
      </c>
      <c r="P118" s="596"/>
      <c r="Z118" s="596"/>
    </row>
    <row r="119" spans="1:26" s="352" customFormat="1" x14ac:dyDescent="0.2">
      <c r="A119" s="378"/>
      <c r="B119" s="378" t="s">
        <v>1000</v>
      </c>
      <c r="C119" s="378"/>
      <c r="D119" s="378"/>
      <c r="E119" s="378"/>
      <c r="F119" s="378"/>
      <c r="G119" s="378" t="str">
        <f>INDEX(Bales[Bale_Name],MATCH(B119,Bales[Bale_ID],0))</f>
        <v>Mixed bulky rigid plastics (mainly PE and PP) </v>
      </c>
      <c r="H119" s="378"/>
      <c r="I119" s="565">
        <f>IFERROR(1-((SUMIFS(INDEX(BaleQuality[#Data],,MATCH(I$9,BaleQuality[#Headers],0)),BaleQuality[Bale_ID],$B119,BaleQuality[CollectionStream_ID],"01")+
SUMIFS(INDEX(BaleQuality[#Data],,MATCH(I$9,BaleQuality[#Headers],0)),BaleQuality[Bale_ID],$B119,BaleQuality[CollectionStream_ID],"09")+
SUMIFS(INDEX(BaleQuality[#Data],,MATCH(I$9,BaleQuality[#Headers],0)),BaleQuality[Bale_ID],$B119,BaleQuality[CollectionStream_ID],"10")+
SUMIFS(INDEX(BaleQuality[#Data],,MATCH(I$9,BaleQuality[#Headers],0)),BaleQuality[Bale_ID],$B119,BaleQuality[CollectionStream_ID],"14"))
/
(SUMIFS(INDEX(BaleQuality[#Data],,MATCH(I$8,BaleQuality[#Headers],0)),BaleQuality[Bale_ID],$B119,BaleQuality[CollectionStream_ID],"01")+
SUMIFS(INDEX(BaleQuality[#Data],,MATCH(I$8,BaleQuality[#Headers],0)),BaleQuality[Bale_ID],$B119,BaleQuality[CollectionStream_ID],"09")+
SUMIFS(INDEX(BaleQuality[#Data],,MATCH(I$8,BaleQuality[#Headers],0)),BaleQuality[Bale_ID],$B119,BaleQuality[CollectionStream_ID],"10")+
SUMIFS(INDEX(BaleQuality[#Data],,MATCH(I$8,BaleQuality[#Headers],0)),BaleQuality[Bale_ID],$B119,BaleQuality[CollectionStream_ID],"14"))),"")</f>
        <v>9.1817715998546712E-2</v>
      </c>
      <c r="J119" s="565">
        <f>IFERROR(1-((SUMIFS(INDEX(BaleQuality[#Data],,MATCH(J$9,BaleQuality[#Headers],0)),BaleQuality[Bale_ID],$B119,BaleQuality[CollectionStream_ID],"01")+
SUMIFS(INDEX(BaleQuality[#Data],,MATCH(J$9,BaleQuality[#Headers],0)),BaleQuality[Bale_ID],$B119,BaleQuality[CollectionStream_ID],"09")+
SUMIFS(INDEX(BaleQuality[#Data],,MATCH(J$9,BaleQuality[#Headers],0)),BaleQuality[Bale_ID],$B119,BaleQuality[CollectionStream_ID],"10")+
SUMIFS(INDEX(BaleQuality[#Data],,MATCH(J$9,BaleQuality[#Headers],0)),BaleQuality[Bale_ID],$B119,BaleQuality[CollectionStream_ID],"14"))
/
(SUMIFS(INDEX(BaleQuality[#Data],,MATCH(J$8,BaleQuality[#Headers],0)),BaleQuality[Bale_ID],$B119,BaleQuality[CollectionStream_ID],"01")+
SUMIFS(INDEX(BaleQuality[#Data],,MATCH(J$8,BaleQuality[#Headers],0)),BaleQuality[Bale_ID],$B119,BaleQuality[CollectionStream_ID],"09")+
SUMIFS(INDEX(BaleQuality[#Data],,MATCH(J$8,BaleQuality[#Headers],0)),BaleQuality[Bale_ID],$B119,BaleQuality[CollectionStream_ID],"10")+
SUMIFS(INDEX(BaleQuality[#Data],,MATCH(J$8,BaleQuality[#Headers],0)),BaleQuality[Bale_ID],$B119,BaleQuality[CollectionStream_ID],"14"))),"")</f>
        <v>3.6461232014441847E-2</v>
      </c>
      <c r="K119" s="565">
        <f>IFERROR(1-((SUMIFS(INDEX(BaleQuality[#Data],,MATCH(K$9,BaleQuality[#Headers],0)),BaleQuality[Bale_ID],$B119,BaleQuality[CollectionStream_ID],"01")+
SUMIFS(INDEX(BaleQuality[#Data],,MATCH(K$9,BaleQuality[#Headers],0)),BaleQuality[Bale_ID],$B119,BaleQuality[CollectionStream_ID],"09")+
SUMIFS(INDEX(BaleQuality[#Data],,MATCH(K$9,BaleQuality[#Headers],0)),BaleQuality[Bale_ID],$B119,BaleQuality[CollectionStream_ID],"10")+
SUMIFS(INDEX(BaleQuality[#Data],,MATCH(K$9,BaleQuality[#Headers],0)),BaleQuality[Bale_ID],$B119,BaleQuality[CollectionStream_ID],"14"))
/
(SUMIFS(INDEX(BaleQuality[#Data],,MATCH(K$8,BaleQuality[#Headers],0)),BaleQuality[Bale_ID],$B119,BaleQuality[CollectionStream_ID],"01")+
SUMIFS(INDEX(BaleQuality[#Data],,MATCH(K$8,BaleQuality[#Headers],0)),BaleQuality[Bale_ID],$B119,BaleQuality[CollectionStream_ID],"09")+
SUMIFS(INDEX(BaleQuality[#Data],,MATCH(K$8,BaleQuality[#Headers],0)),BaleQuality[Bale_ID],$B119,BaleQuality[CollectionStream_ID],"10")+
SUMIFS(INDEX(BaleQuality[#Data],,MATCH(K$8,BaleQuality[#Headers],0)),BaleQuality[Bale_ID],$B119,BaleQuality[CollectionStream_ID],"14"))),"")</f>
        <v>3.2767223041358373E-2</v>
      </c>
      <c r="L119" s="565">
        <f>IFERROR(1-((SUMIFS(INDEX(BaleQuality[#Data],,MATCH(L$9,BaleQuality[#Headers],0)),BaleQuality[Bale_ID],$B119,BaleQuality[CollectionStream_ID],"01")+
SUMIFS(INDEX(BaleQuality[#Data],,MATCH(L$9,BaleQuality[#Headers],0)),BaleQuality[Bale_ID],$B119,BaleQuality[CollectionStream_ID],"09")+
SUMIFS(INDEX(BaleQuality[#Data],,MATCH(L$9,BaleQuality[#Headers],0)),BaleQuality[Bale_ID],$B119,BaleQuality[CollectionStream_ID],"10")+
SUMIFS(INDEX(BaleQuality[#Data],,MATCH(L$9,BaleQuality[#Headers],0)),BaleQuality[Bale_ID],$B119,BaleQuality[CollectionStream_ID],"14"))
/
(SUMIFS(INDEX(BaleQuality[#Data],,MATCH(L$8,BaleQuality[#Headers],0)),BaleQuality[Bale_ID],$B119,BaleQuality[CollectionStream_ID],"01")+
SUMIFS(INDEX(BaleQuality[#Data],,MATCH(L$8,BaleQuality[#Headers],0)),BaleQuality[Bale_ID],$B119,BaleQuality[CollectionStream_ID],"09")+
SUMIFS(INDEX(BaleQuality[#Data],,MATCH(L$8,BaleQuality[#Headers],0)),BaleQuality[Bale_ID],$B119,BaleQuality[CollectionStream_ID],"10")+
SUMIFS(INDEX(BaleQuality[#Data],,MATCH(L$8,BaleQuality[#Headers],0)),BaleQuality[Bale_ID],$B119,BaleQuality[CollectionStream_ID],"14"))),"")</f>
        <v>3.2577579106743082E-2</v>
      </c>
      <c r="M119" s="565">
        <f>IFERROR(1-((SUMIFS(INDEX(BaleQuality[#Data],,MATCH(M$9,BaleQuality[#Headers],0)),BaleQuality[Bale_ID],$B119,BaleQuality[CollectionStream_ID],"01")+
SUMIFS(INDEX(BaleQuality[#Data],,MATCH(M$9,BaleQuality[#Headers],0)),BaleQuality[Bale_ID],$B119,BaleQuality[CollectionStream_ID],"09")+
SUMIFS(INDEX(BaleQuality[#Data],,MATCH(M$9,BaleQuality[#Headers],0)),BaleQuality[Bale_ID],$B119,BaleQuality[CollectionStream_ID],"10")+
SUMIFS(INDEX(BaleQuality[#Data],,MATCH(M$9,BaleQuality[#Headers],0)),BaleQuality[Bale_ID],$B119,BaleQuality[CollectionStream_ID],"14"))
/
(SUMIFS(INDEX(BaleQuality[#Data],,MATCH(M$8,BaleQuality[#Headers],0)),BaleQuality[Bale_ID],$B119,BaleQuality[CollectionStream_ID],"01")+
SUMIFS(INDEX(BaleQuality[#Data],,MATCH(M$8,BaleQuality[#Headers],0)),BaleQuality[Bale_ID],$B119,BaleQuality[CollectionStream_ID],"09")+
SUMIFS(INDEX(BaleQuality[#Data],,MATCH(M$8,BaleQuality[#Headers],0)),BaleQuality[Bale_ID],$B119,BaleQuality[CollectionStream_ID],"10")+
SUMIFS(INDEX(BaleQuality[#Data],,MATCH(M$8,BaleQuality[#Headers],0)),BaleQuality[Bale_ID],$B119,BaleQuality[CollectionStream_ID],"14"))),"")</f>
        <v>3.7807282110952189E-2</v>
      </c>
      <c r="P119" s="596"/>
      <c r="Z119" s="596"/>
    </row>
    <row r="120" spans="1:26" s="352" customFormat="1" x14ac:dyDescent="0.2">
      <c r="A120" s="378"/>
      <c r="B120" s="378" t="s">
        <v>1002</v>
      </c>
      <c r="C120" s="378"/>
      <c r="D120" s="378"/>
      <c r="E120" s="378"/>
      <c r="F120" s="378"/>
      <c r="G120" s="378" t="str">
        <f>INDEX(Bales[Bale_Name],MATCH(B120,Bales[Bale_ID],0))</f>
        <v>PP #5 bottles and jars</v>
      </c>
      <c r="H120" s="378"/>
      <c r="I120" s="565">
        <f>IFERROR(1-((SUMIFS(INDEX(BaleQuality[#Data],,MATCH(I$9,BaleQuality[#Headers],0)),BaleQuality[Bale_ID],$B120,BaleQuality[CollectionStream_ID],"01")+
SUMIFS(INDEX(BaleQuality[#Data],,MATCH(I$9,BaleQuality[#Headers],0)),BaleQuality[Bale_ID],$B120,BaleQuality[CollectionStream_ID],"09")+
SUMIFS(INDEX(BaleQuality[#Data],,MATCH(I$9,BaleQuality[#Headers],0)),BaleQuality[Bale_ID],$B120,BaleQuality[CollectionStream_ID],"10")+
SUMIFS(INDEX(BaleQuality[#Data],,MATCH(I$9,BaleQuality[#Headers],0)),BaleQuality[Bale_ID],$B120,BaleQuality[CollectionStream_ID],"14"))
/
(SUMIFS(INDEX(BaleQuality[#Data],,MATCH(I$8,BaleQuality[#Headers],0)),BaleQuality[Bale_ID],$B120,BaleQuality[CollectionStream_ID],"01")+
SUMIFS(INDEX(BaleQuality[#Data],,MATCH(I$8,BaleQuality[#Headers],0)),BaleQuality[Bale_ID],$B120,BaleQuality[CollectionStream_ID],"09")+
SUMIFS(INDEX(BaleQuality[#Data],,MATCH(I$8,BaleQuality[#Headers],0)),BaleQuality[Bale_ID],$B120,BaleQuality[CollectionStream_ID],"10")+
SUMIFS(INDEX(BaleQuality[#Data],,MATCH(I$8,BaleQuality[#Headers],0)),BaleQuality[Bale_ID],$B120,BaleQuality[CollectionStream_ID],"14"))),"")</f>
        <v>9.1194641201543081E-2</v>
      </c>
      <c r="J120" s="565">
        <f>IFERROR(1-((SUMIFS(INDEX(BaleQuality[#Data],,MATCH(J$9,BaleQuality[#Headers],0)),BaleQuality[Bale_ID],$B120,BaleQuality[CollectionStream_ID],"01")+
SUMIFS(INDEX(BaleQuality[#Data],,MATCH(J$9,BaleQuality[#Headers],0)),BaleQuality[Bale_ID],$B120,BaleQuality[CollectionStream_ID],"09")+
SUMIFS(INDEX(BaleQuality[#Data],,MATCH(J$9,BaleQuality[#Headers],0)),BaleQuality[Bale_ID],$B120,BaleQuality[CollectionStream_ID],"10")+
SUMIFS(INDEX(BaleQuality[#Data],,MATCH(J$9,BaleQuality[#Headers],0)),BaleQuality[Bale_ID],$B120,BaleQuality[CollectionStream_ID],"14"))
/
(SUMIFS(INDEX(BaleQuality[#Data],,MATCH(J$8,BaleQuality[#Headers],0)),BaleQuality[Bale_ID],$B120,BaleQuality[CollectionStream_ID],"01")+
SUMIFS(INDEX(BaleQuality[#Data],,MATCH(J$8,BaleQuality[#Headers],0)),BaleQuality[Bale_ID],$B120,BaleQuality[CollectionStream_ID],"09")+
SUMIFS(INDEX(BaleQuality[#Data],,MATCH(J$8,BaleQuality[#Headers],0)),BaleQuality[Bale_ID],$B120,BaleQuality[CollectionStream_ID],"10")+
SUMIFS(INDEX(BaleQuality[#Data],,MATCH(J$8,BaleQuality[#Headers],0)),BaleQuality[Bale_ID],$B120,BaleQuality[CollectionStream_ID],"14"))),"")</f>
        <v>3.506040374000996E-2</v>
      </c>
      <c r="K120" s="565">
        <f>IFERROR(1-((SUMIFS(INDEX(BaleQuality[#Data],,MATCH(K$9,BaleQuality[#Headers],0)),BaleQuality[Bale_ID],$B120,BaleQuality[CollectionStream_ID],"01")+
SUMIFS(INDEX(BaleQuality[#Data],,MATCH(K$9,BaleQuality[#Headers],0)),BaleQuality[Bale_ID],$B120,BaleQuality[CollectionStream_ID],"09")+
SUMIFS(INDEX(BaleQuality[#Data],,MATCH(K$9,BaleQuality[#Headers],0)),BaleQuality[Bale_ID],$B120,BaleQuality[CollectionStream_ID],"10")+
SUMIFS(INDEX(BaleQuality[#Data],,MATCH(K$9,BaleQuality[#Headers],0)),BaleQuality[Bale_ID],$B120,BaleQuality[CollectionStream_ID],"14"))
/
(SUMIFS(INDEX(BaleQuality[#Data],,MATCH(K$8,BaleQuality[#Headers],0)),BaleQuality[Bale_ID],$B120,BaleQuality[CollectionStream_ID],"01")+
SUMIFS(INDEX(BaleQuality[#Data],,MATCH(K$8,BaleQuality[#Headers],0)),BaleQuality[Bale_ID],$B120,BaleQuality[CollectionStream_ID],"09")+
SUMIFS(INDEX(BaleQuality[#Data],,MATCH(K$8,BaleQuality[#Headers],0)),BaleQuality[Bale_ID],$B120,BaleQuality[CollectionStream_ID],"10")+
SUMIFS(INDEX(BaleQuality[#Data],,MATCH(K$8,BaleQuality[#Headers],0)),BaleQuality[Bale_ID],$B120,BaleQuality[CollectionStream_ID],"14"))),"")</f>
        <v>4.3382394467447294E-2</v>
      </c>
      <c r="L120" s="565">
        <f>IFERROR(1-((SUMIFS(INDEX(BaleQuality[#Data],,MATCH(L$9,BaleQuality[#Headers],0)),BaleQuality[Bale_ID],$B120,BaleQuality[CollectionStream_ID],"01")+
SUMIFS(INDEX(BaleQuality[#Data],,MATCH(L$9,BaleQuality[#Headers],0)),BaleQuality[Bale_ID],$B120,BaleQuality[CollectionStream_ID],"09")+
SUMIFS(INDEX(BaleQuality[#Data],,MATCH(L$9,BaleQuality[#Headers],0)),BaleQuality[Bale_ID],$B120,BaleQuality[CollectionStream_ID],"10")+
SUMIFS(INDEX(BaleQuality[#Data],,MATCH(L$9,BaleQuality[#Headers],0)),BaleQuality[Bale_ID],$B120,BaleQuality[CollectionStream_ID],"14"))
/
(SUMIFS(INDEX(BaleQuality[#Data],,MATCH(L$8,BaleQuality[#Headers],0)),BaleQuality[Bale_ID],$B120,BaleQuality[CollectionStream_ID],"01")+
SUMIFS(INDEX(BaleQuality[#Data],,MATCH(L$8,BaleQuality[#Headers],0)),BaleQuality[Bale_ID],$B120,BaleQuality[CollectionStream_ID],"09")+
SUMIFS(INDEX(BaleQuality[#Data],,MATCH(L$8,BaleQuality[#Headers],0)),BaleQuality[Bale_ID],$B120,BaleQuality[CollectionStream_ID],"10")+
SUMIFS(INDEX(BaleQuality[#Data],,MATCH(L$8,BaleQuality[#Headers],0)),BaleQuality[Bale_ID],$B120,BaleQuality[CollectionStream_ID],"14"))),"")</f>
        <v>4.7565413315523108E-2</v>
      </c>
      <c r="M120" s="565">
        <f>IFERROR(1-((SUMIFS(INDEX(BaleQuality[#Data],,MATCH(M$9,BaleQuality[#Headers],0)),BaleQuality[Bale_ID],$B120,BaleQuality[CollectionStream_ID],"01")+
SUMIFS(INDEX(BaleQuality[#Data],,MATCH(M$9,BaleQuality[#Headers],0)),BaleQuality[Bale_ID],$B120,BaleQuality[CollectionStream_ID],"09")+
SUMIFS(INDEX(BaleQuality[#Data],,MATCH(M$9,BaleQuality[#Headers],0)),BaleQuality[Bale_ID],$B120,BaleQuality[CollectionStream_ID],"10")+
SUMIFS(INDEX(BaleQuality[#Data],,MATCH(M$9,BaleQuality[#Headers],0)),BaleQuality[Bale_ID],$B120,BaleQuality[CollectionStream_ID],"14"))
/
(SUMIFS(INDEX(BaleQuality[#Data],,MATCH(M$8,BaleQuality[#Headers],0)),BaleQuality[Bale_ID],$B120,BaleQuality[CollectionStream_ID],"01")+
SUMIFS(INDEX(BaleQuality[#Data],,MATCH(M$8,BaleQuality[#Headers],0)),BaleQuality[Bale_ID],$B120,BaleQuality[CollectionStream_ID],"09")+
SUMIFS(INDEX(BaleQuality[#Data],,MATCH(M$8,BaleQuality[#Headers],0)),BaleQuality[Bale_ID],$B120,BaleQuality[CollectionStream_ID],"10")+
SUMIFS(INDEX(BaleQuality[#Data],,MATCH(M$8,BaleQuality[#Headers],0)),BaleQuality[Bale_ID],$B120,BaleQuality[CollectionStream_ID],"14"))),"")</f>
        <v>3.7733638805900971E-2</v>
      </c>
      <c r="P120" s="596"/>
      <c r="Z120" s="596"/>
    </row>
    <row r="121" spans="1:26" s="352" customFormat="1" x14ac:dyDescent="0.2">
      <c r="A121" s="378"/>
      <c r="B121" s="378" t="s">
        <v>1006</v>
      </c>
      <c r="C121" s="378"/>
      <c r="D121" s="378"/>
      <c r="E121" s="378"/>
      <c r="F121" s="378"/>
      <c r="G121" s="378" t="str">
        <f>INDEX(Bales[Bale_Name],MATCH(B121,Bales[Bale_ID],0))</f>
        <v>PP #5 small rigid plastic</v>
      </c>
      <c r="H121" s="378"/>
      <c r="I121" s="565">
        <f>IFERROR(1-((SUMIFS(INDEX(BaleQuality[#Data],,MATCH(I$9,BaleQuality[#Headers],0)),BaleQuality[Bale_ID],$B121,BaleQuality[CollectionStream_ID],"01")+
SUMIFS(INDEX(BaleQuality[#Data],,MATCH(I$9,BaleQuality[#Headers],0)),BaleQuality[Bale_ID],$B121,BaleQuality[CollectionStream_ID],"09")+
SUMIFS(INDEX(BaleQuality[#Data],,MATCH(I$9,BaleQuality[#Headers],0)),BaleQuality[Bale_ID],$B121,BaleQuality[CollectionStream_ID],"10")+
SUMIFS(INDEX(BaleQuality[#Data],,MATCH(I$9,BaleQuality[#Headers],0)),BaleQuality[Bale_ID],$B121,BaleQuality[CollectionStream_ID],"14"))
/
(SUMIFS(INDEX(BaleQuality[#Data],,MATCH(I$8,BaleQuality[#Headers],0)),BaleQuality[Bale_ID],$B121,BaleQuality[CollectionStream_ID],"01")+
SUMIFS(INDEX(BaleQuality[#Data],,MATCH(I$8,BaleQuality[#Headers],0)),BaleQuality[Bale_ID],$B121,BaleQuality[CollectionStream_ID],"09")+
SUMIFS(INDEX(BaleQuality[#Data],,MATCH(I$8,BaleQuality[#Headers],0)),BaleQuality[Bale_ID],$B121,BaleQuality[CollectionStream_ID],"10")+
SUMIFS(INDEX(BaleQuality[#Data],,MATCH(I$8,BaleQuality[#Headers],0)),BaleQuality[Bale_ID],$B121,BaleQuality[CollectionStream_ID],"14"))),"")</f>
        <v>9.2162052066210753E-2</v>
      </c>
      <c r="J121" s="565">
        <f>IFERROR(1-((SUMIFS(INDEX(BaleQuality[#Data],,MATCH(J$9,BaleQuality[#Headers],0)),BaleQuality[Bale_ID],$B121,BaleQuality[CollectionStream_ID],"01")+
SUMIFS(INDEX(BaleQuality[#Data],,MATCH(J$9,BaleQuality[#Headers],0)),BaleQuality[Bale_ID],$B121,BaleQuality[CollectionStream_ID],"09")+
SUMIFS(INDEX(BaleQuality[#Data],,MATCH(J$9,BaleQuality[#Headers],0)),BaleQuality[Bale_ID],$B121,BaleQuality[CollectionStream_ID],"10")+
SUMIFS(INDEX(BaleQuality[#Data],,MATCH(J$9,BaleQuality[#Headers],0)),BaleQuality[Bale_ID],$B121,BaleQuality[CollectionStream_ID],"14"))
/
(SUMIFS(INDEX(BaleQuality[#Data],,MATCH(J$8,BaleQuality[#Headers],0)),BaleQuality[Bale_ID],$B121,BaleQuality[CollectionStream_ID],"01")+
SUMIFS(INDEX(BaleQuality[#Data],,MATCH(J$8,BaleQuality[#Headers],0)),BaleQuality[Bale_ID],$B121,BaleQuality[CollectionStream_ID],"09")+
SUMIFS(INDEX(BaleQuality[#Data],,MATCH(J$8,BaleQuality[#Headers],0)),BaleQuality[Bale_ID],$B121,BaleQuality[CollectionStream_ID],"10")+
SUMIFS(INDEX(BaleQuality[#Data],,MATCH(J$8,BaleQuality[#Headers],0)),BaleQuality[Bale_ID],$B121,BaleQuality[CollectionStream_ID],"14"))),"")</f>
        <v>3.5615150973868803E-2</v>
      </c>
      <c r="K121" s="565">
        <f>IFERROR(1-((SUMIFS(INDEX(BaleQuality[#Data],,MATCH(K$9,BaleQuality[#Headers],0)),BaleQuality[Bale_ID],$B121,BaleQuality[CollectionStream_ID],"01")+
SUMIFS(INDEX(BaleQuality[#Data],,MATCH(K$9,BaleQuality[#Headers],0)),BaleQuality[Bale_ID],$B121,BaleQuality[CollectionStream_ID],"09")+
SUMIFS(INDEX(BaleQuality[#Data],,MATCH(K$9,BaleQuality[#Headers],0)),BaleQuality[Bale_ID],$B121,BaleQuality[CollectionStream_ID],"10")+
SUMIFS(INDEX(BaleQuality[#Data],,MATCH(K$9,BaleQuality[#Headers],0)),BaleQuality[Bale_ID],$B121,BaleQuality[CollectionStream_ID],"14"))
/
(SUMIFS(INDEX(BaleQuality[#Data],,MATCH(K$8,BaleQuality[#Headers],0)),BaleQuality[Bale_ID],$B121,BaleQuality[CollectionStream_ID],"01")+
SUMIFS(INDEX(BaleQuality[#Data],,MATCH(K$8,BaleQuality[#Headers],0)),BaleQuality[Bale_ID],$B121,BaleQuality[CollectionStream_ID],"09")+
SUMIFS(INDEX(BaleQuality[#Data],,MATCH(K$8,BaleQuality[#Headers],0)),BaleQuality[Bale_ID],$B121,BaleQuality[CollectionStream_ID],"10")+
SUMIFS(INDEX(BaleQuality[#Data],,MATCH(K$8,BaleQuality[#Headers],0)),BaleQuality[Bale_ID],$B121,BaleQuality[CollectionStream_ID],"14"))),"")</f>
        <v>3.9635792363127198E-2</v>
      </c>
      <c r="L121" s="565">
        <f>IFERROR(1-((SUMIFS(INDEX(BaleQuality[#Data],,MATCH(L$9,BaleQuality[#Headers],0)),BaleQuality[Bale_ID],$B121,BaleQuality[CollectionStream_ID],"01")+
SUMIFS(INDEX(BaleQuality[#Data],,MATCH(L$9,BaleQuality[#Headers],0)),BaleQuality[Bale_ID],$B121,BaleQuality[CollectionStream_ID],"09")+
SUMIFS(INDEX(BaleQuality[#Data],,MATCH(L$9,BaleQuality[#Headers],0)),BaleQuality[Bale_ID],$B121,BaleQuality[CollectionStream_ID],"10")+
SUMIFS(INDEX(BaleQuality[#Data],,MATCH(L$9,BaleQuality[#Headers],0)),BaleQuality[Bale_ID],$B121,BaleQuality[CollectionStream_ID],"14"))
/
(SUMIFS(INDEX(BaleQuality[#Data],,MATCH(L$8,BaleQuality[#Headers],0)),BaleQuality[Bale_ID],$B121,BaleQuality[CollectionStream_ID],"01")+
SUMIFS(INDEX(BaleQuality[#Data],,MATCH(L$8,BaleQuality[#Headers],0)),BaleQuality[Bale_ID],$B121,BaleQuality[CollectionStream_ID],"09")+
SUMIFS(INDEX(BaleQuality[#Data],,MATCH(L$8,BaleQuality[#Headers],0)),BaleQuality[Bale_ID],$B121,BaleQuality[CollectionStream_ID],"10")+
SUMIFS(INDEX(BaleQuality[#Data],,MATCH(L$8,BaleQuality[#Headers],0)),BaleQuality[Bale_ID],$B121,BaleQuality[CollectionStream_ID],"14"))),"")</f>
        <v>4.0056809435724539E-2</v>
      </c>
      <c r="M121" s="565">
        <f>IFERROR(1-((SUMIFS(INDEX(BaleQuality[#Data],,MATCH(M$9,BaleQuality[#Headers],0)),BaleQuality[Bale_ID],$B121,BaleQuality[CollectionStream_ID],"01")+
SUMIFS(INDEX(BaleQuality[#Data],,MATCH(M$9,BaleQuality[#Headers],0)),BaleQuality[Bale_ID],$B121,BaleQuality[CollectionStream_ID],"09")+
SUMIFS(INDEX(BaleQuality[#Data],,MATCH(M$9,BaleQuality[#Headers],0)),BaleQuality[Bale_ID],$B121,BaleQuality[CollectionStream_ID],"10")+
SUMIFS(INDEX(BaleQuality[#Data],,MATCH(M$9,BaleQuality[#Headers],0)),BaleQuality[Bale_ID],$B121,BaleQuality[CollectionStream_ID],"14"))
/
(SUMIFS(INDEX(BaleQuality[#Data],,MATCH(M$8,BaleQuality[#Headers],0)),BaleQuality[Bale_ID],$B121,BaleQuality[CollectionStream_ID],"01")+
SUMIFS(INDEX(BaleQuality[#Data],,MATCH(M$8,BaleQuality[#Headers],0)),BaleQuality[Bale_ID],$B121,BaleQuality[CollectionStream_ID],"09")+
SUMIFS(INDEX(BaleQuality[#Data],,MATCH(M$8,BaleQuality[#Headers],0)),BaleQuality[Bale_ID],$B121,BaleQuality[CollectionStream_ID],"10")+
SUMIFS(INDEX(BaleQuality[#Data],,MATCH(M$8,BaleQuality[#Headers],0)),BaleQuality[Bale_ID],$B121,BaleQuality[CollectionStream_ID],"14"))),"")</f>
        <v>3.7368443050315614E-2</v>
      </c>
      <c r="P121" s="596"/>
      <c r="Z121" s="596"/>
    </row>
    <row r="122" spans="1:26" s="352" customFormat="1" x14ac:dyDescent="0.2">
      <c r="A122" s="378"/>
      <c r="B122" s="378" t="s">
        <v>1008</v>
      </c>
      <c r="C122" s="378"/>
      <c r="D122" s="378"/>
      <c r="E122" s="378"/>
      <c r="F122" s="378"/>
      <c r="G122" s="378" t="str">
        <f>INDEX(Bales[Bale_Name],MATCH(B122,Bales[Bale_ID],0))</f>
        <v>Solid PS #6 (rigid) </v>
      </c>
      <c r="H122" s="378"/>
      <c r="I122" s="565" t="str">
        <f>IFERROR(1-((SUMIFS(INDEX(BaleQuality[#Data],,MATCH(I$9,BaleQuality[#Headers],0)),BaleQuality[Bale_ID],$B122,BaleQuality[CollectionStream_ID],"01")+
SUMIFS(INDEX(BaleQuality[#Data],,MATCH(I$9,BaleQuality[#Headers],0)),BaleQuality[Bale_ID],$B122,BaleQuality[CollectionStream_ID],"09")+
SUMIFS(INDEX(BaleQuality[#Data],,MATCH(I$9,BaleQuality[#Headers],0)),BaleQuality[Bale_ID],$B122,BaleQuality[CollectionStream_ID],"10")+
SUMIFS(INDEX(BaleQuality[#Data],,MATCH(I$9,BaleQuality[#Headers],0)),BaleQuality[Bale_ID],$B122,BaleQuality[CollectionStream_ID],"14"))
/
(SUMIFS(INDEX(BaleQuality[#Data],,MATCH(I$8,BaleQuality[#Headers],0)),BaleQuality[Bale_ID],$B122,BaleQuality[CollectionStream_ID],"01")+
SUMIFS(INDEX(BaleQuality[#Data],,MATCH(I$8,BaleQuality[#Headers],0)),BaleQuality[Bale_ID],$B122,BaleQuality[CollectionStream_ID],"09")+
SUMIFS(INDEX(BaleQuality[#Data],,MATCH(I$8,BaleQuality[#Headers],0)),BaleQuality[Bale_ID],$B122,BaleQuality[CollectionStream_ID],"10")+
SUMIFS(INDEX(BaleQuality[#Data],,MATCH(I$8,BaleQuality[#Headers],0)),BaleQuality[Bale_ID],$B122,BaleQuality[CollectionStream_ID],"14"))),"")</f>
        <v/>
      </c>
      <c r="J122" s="565">
        <f>IFERROR(1-((SUMIFS(INDEX(BaleQuality[#Data],,MATCH(J$9,BaleQuality[#Headers],0)),BaleQuality[Bale_ID],$B122,BaleQuality[CollectionStream_ID],"01")+
SUMIFS(INDEX(BaleQuality[#Data],,MATCH(J$9,BaleQuality[#Headers],0)),BaleQuality[Bale_ID],$B122,BaleQuality[CollectionStream_ID],"09")+
SUMIFS(INDEX(BaleQuality[#Data],,MATCH(J$9,BaleQuality[#Headers],0)),BaleQuality[Bale_ID],$B122,BaleQuality[CollectionStream_ID],"10")+
SUMIFS(INDEX(BaleQuality[#Data],,MATCH(J$9,BaleQuality[#Headers],0)),BaleQuality[Bale_ID],$B122,BaleQuality[CollectionStream_ID],"14"))
/
(SUMIFS(INDEX(BaleQuality[#Data],,MATCH(J$8,BaleQuality[#Headers],0)),BaleQuality[Bale_ID],$B122,BaleQuality[CollectionStream_ID],"01")+
SUMIFS(INDEX(BaleQuality[#Data],,MATCH(J$8,BaleQuality[#Headers],0)),BaleQuality[Bale_ID],$B122,BaleQuality[CollectionStream_ID],"09")+
SUMIFS(INDEX(BaleQuality[#Data],,MATCH(J$8,BaleQuality[#Headers],0)),BaleQuality[Bale_ID],$B122,BaleQuality[CollectionStream_ID],"10")+
SUMIFS(INDEX(BaleQuality[#Data],,MATCH(J$8,BaleQuality[#Headers],0)),BaleQuality[Bale_ID],$B122,BaleQuality[CollectionStream_ID],"14"))),"")</f>
        <v>3.5065761256661054E-2</v>
      </c>
      <c r="K122" s="565">
        <f>IFERROR(1-((SUMIFS(INDEX(BaleQuality[#Data],,MATCH(K$9,BaleQuality[#Headers],0)),BaleQuality[Bale_ID],$B122,BaleQuality[CollectionStream_ID],"01")+
SUMIFS(INDEX(BaleQuality[#Data],,MATCH(K$9,BaleQuality[#Headers],0)),BaleQuality[Bale_ID],$B122,BaleQuality[CollectionStream_ID],"09")+
SUMIFS(INDEX(BaleQuality[#Data],,MATCH(K$9,BaleQuality[#Headers],0)),BaleQuality[Bale_ID],$B122,BaleQuality[CollectionStream_ID],"10")+
SUMIFS(INDEX(BaleQuality[#Data],,MATCH(K$9,BaleQuality[#Headers],0)),BaleQuality[Bale_ID],$B122,BaleQuality[CollectionStream_ID],"14"))
/
(SUMIFS(INDEX(BaleQuality[#Data],,MATCH(K$8,BaleQuality[#Headers],0)),BaleQuality[Bale_ID],$B122,BaleQuality[CollectionStream_ID],"01")+
SUMIFS(INDEX(BaleQuality[#Data],,MATCH(K$8,BaleQuality[#Headers],0)),BaleQuality[Bale_ID],$B122,BaleQuality[CollectionStream_ID],"09")+
SUMIFS(INDEX(BaleQuality[#Data],,MATCH(K$8,BaleQuality[#Headers],0)),BaleQuality[Bale_ID],$B122,BaleQuality[CollectionStream_ID],"10")+
SUMIFS(INDEX(BaleQuality[#Data],,MATCH(K$8,BaleQuality[#Headers],0)),BaleQuality[Bale_ID],$B122,BaleQuality[CollectionStream_ID],"14"))),"")</f>
        <v>4.1691296545289025E-2</v>
      </c>
      <c r="L122" s="565">
        <f>IFERROR(1-((SUMIFS(INDEX(BaleQuality[#Data],,MATCH(L$9,BaleQuality[#Headers],0)),BaleQuality[Bale_ID],$B122,BaleQuality[CollectionStream_ID],"01")+
SUMIFS(INDEX(BaleQuality[#Data],,MATCH(L$9,BaleQuality[#Headers],0)),BaleQuality[Bale_ID],$B122,BaleQuality[CollectionStream_ID],"09")+
SUMIFS(INDEX(BaleQuality[#Data],,MATCH(L$9,BaleQuality[#Headers],0)),BaleQuality[Bale_ID],$B122,BaleQuality[CollectionStream_ID],"10")+
SUMIFS(INDEX(BaleQuality[#Data],,MATCH(L$9,BaleQuality[#Headers],0)),BaleQuality[Bale_ID],$B122,BaleQuality[CollectionStream_ID],"14"))
/
(SUMIFS(INDEX(BaleQuality[#Data],,MATCH(L$8,BaleQuality[#Headers],0)),BaleQuality[Bale_ID],$B122,BaleQuality[CollectionStream_ID],"01")+
SUMIFS(INDEX(BaleQuality[#Data],,MATCH(L$8,BaleQuality[#Headers],0)),BaleQuality[Bale_ID],$B122,BaleQuality[CollectionStream_ID],"09")+
SUMIFS(INDEX(BaleQuality[#Data],,MATCH(L$8,BaleQuality[#Headers],0)),BaleQuality[Bale_ID],$B122,BaleQuality[CollectionStream_ID],"10")+
SUMIFS(INDEX(BaleQuality[#Data],,MATCH(L$8,BaleQuality[#Headers],0)),BaleQuality[Bale_ID],$B122,BaleQuality[CollectionStream_ID],"14"))),"")</f>
        <v>4.4949206690307331E-2</v>
      </c>
      <c r="M122" s="565">
        <f>IFERROR(1-((SUMIFS(INDEX(BaleQuality[#Data],,MATCH(M$9,BaleQuality[#Headers],0)),BaleQuality[Bale_ID],$B122,BaleQuality[CollectionStream_ID],"01")+
SUMIFS(INDEX(BaleQuality[#Data],,MATCH(M$9,BaleQuality[#Headers],0)),BaleQuality[Bale_ID],$B122,BaleQuality[CollectionStream_ID],"09")+
SUMIFS(INDEX(BaleQuality[#Data],,MATCH(M$9,BaleQuality[#Headers],0)),BaleQuality[Bale_ID],$B122,BaleQuality[CollectionStream_ID],"10")+
SUMIFS(INDEX(BaleQuality[#Data],,MATCH(M$9,BaleQuality[#Headers],0)),BaleQuality[Bale_ID],$B122,BaleQuality[CollectionStream_ID],"14"))
/
(SUMIFS(INDEX(BaleQuality[#Data],,MATCH(M$8,BaleQuality[#Headers],0)),BaleQuality[Bale_ID],$B122,BaleQuality[CollectionStream_ID],"01")+
SUMIFS(INDEX(BaleQuality[#Data],,MATCH(M$8,BaleQuality[#Headers],0)),BaleQuality[Bale_ID],$B122,BaleQuality[CollectionStream_ID],"09")+
SUMIFS(INDEX(BaleQuality[#Data],,MATCH(M$8,BaleQuality[#Headers],0)),BaleQuality[Bale_ID],$B122,BaleQuality[CollectionStream_ID],"10")+
SUMIFS(INDEX(BaleQuality[#Data],,MATCH(M$8,BaleQuality[#Headers],0)),BaleQuality[Bale_ID],$B122,BaleQuality[CollectionStream_ID],"14"))),"")</f>
        <v>3.6387078231974068E-2</v>
      </c>
      <c r="P122" s="596"/>
      <c r="Z122" s="596"/>
    </row>
    <row r="123" spans="1:26" s="352" customFormat="1" hidden="1" x14ac:dyDescent="0.2">
      <c r="A123" s="378"/>
      <c r="B123" s="378" t="s">
        <v>1010</v>
      </c>
      <c r="C123" s="378" t="s">
        <v>3579</v>
      </c>
      <c r="D123" s="378"/>
      <c r="E123" s="378"/>
      <c r="F123" s="378"/>
      <c r="G123" s="378" t="str">
        <f>INDEX(Bales[Bale_Name],MATCH(B123,Bales[Bale_ID],0))</f>
        <v>Foam PS #6 (transport block and shape, densified)</v>
      </c>
      <c r="H123" s="378"/>
      <c r="I123" s="565" t="str">
        <f>IFERROR(1-((SUMIFS(INDEX(BaleQuality[#Data],,MATCH(I$9,BaleQuality[#Headers],0)),BaleQuality[Bale_ID],$B123,BaleQuality[CollectionStream_ID],"01")+
SUMIFS(INDEX(BaleQuality[#Data],,MATCH(I$9,BaleQuality[#Headers],0)),BaleQuality[Bale_ID],$B123,BaleQuality[CollectionStream_ID],"09")+
SUMIFS(INDEX(BaleQuality[#Data],,MATCH(I$9,BaleQuality[#Headers],0)),BaleQuality[Bale_ID],$B123,BaleQuality[CollectionStream_ID],"10")+
SUMIFS(INDEX(BaleQuality[#Data],,MATCH(I$9,BaleQuality[#Headers],0)),BaleQuality[Bale_ID],$B123,BaleQuality[CollectionStream_ID],"14"))
/
(SUMIFS(INDEX(BaleQuality[#Data],,MATCH(I$8,BaleQuality[#Headers],0)),BaleQuality[Bale_ID],$B123,BaleQuality[CollectionStream_ID],"01")+
SUMIFS(INDEX(BaleQuality[#Data],,MATCH(I$8,BaleQuality[#Headers],0)),BaleQuality[Bale_ID],$B123,BaleQuality[CollectionStream_ID],"09")+
SUMIFS(INDEX(BaleQuality[#Data],,MATCH(I$8,BaleQuality[#Headers],0)),BaleQuality[Bale_ID],$B123,BaleQuality[CollectionStream_ID],"10")+
SUMIFS(INDEX(BaleQuality[#Data],,MATCH(I$8,BaleQuality[#Headers],0)),BaleQuality[Bale_ID],$B123,BaleQuality[CollectionStream_ID],"14"))),"")</f>
        <v/>
      </c>
      <c r="J123" s="565" t="str">
        <f>IFERROR(1-((SUMIFS(INDEX(BaleQuality[#Data],,MATCH(J$9,BaleQuality[#Headers],0)),BaleQuality[Bale_ID],$B123,BaleQuality[CollectionStream_ID],"01")+
SUMIFS(INDEX(BaleQuality[#Data],,MATCH(J$9,BaleQuality[#Headers],0)),BaleQuality[Bale_ID],$B123,BaleQuality[CollectionStream_ID],"09")+
SUMIFS(INDEX(BaleQuality[#Data],,MATCH(J$9,BaleQuality[#Headers],0)),BaleQuality[Bale_ID],$B123,BaleQuality[CollectionStream_ID],"10")+
SUMIFS(INDEX(BaleQuality[#Data],,MATCH(J$9,BaleQuality[#Headers],0)),BaleQuality[Bale_ID],$B123,BaleQuality[CollectionStream_ID],"14"))
/
(SUMIFS(INDEX(BaleQuality[#Data],,MATCH(J$8,BaleQuality[#Headers],0)),BaleQuality[Bale_ID],$B123,BaleQuality[CollectionStream_ID],"01")+
SUMIFS(INDEX(BaleQuality[#Data],,MATCH(J$8,BaleQuality[#Headers],0)),BaleQuality[Bale_ID],$B123,BaleQuality[CollectionStream_ID],"09")+
SUMIFS(INDEX(BaleQuality[#Data],,MATCH(J$8,BaleQuality[#Headers],0)),BaleQuality[Bale_ID],$B123,BaleQuality[CollectionStream_ID],"10")+
SUMIFS(INDEX(BaleQuality[#Data],,MATCH(J$8,BaleQuality[#Headers],0)),BaleQuality[Bale_ID],$B123,BaleQuality[CollectionStream_ID],"14"))),"")</f>
        <v/>
      </c>
      <c r="K123" s="565" t="str">
        <f>IFERROR(1-((SUMIFS(INDEX(BaleQuality[#Data],,MATCH(K$9,BaleQuality[#Headers],0)),BaleQuality[Bale_ID],$B123,BaleQuality[CollectionStream_ID],"01")+
SUMIFS(INDEX(BaleQuality[#Data],,MATCH(K$9,BaleQuality[#Headers],0)),BaleQuality[Bale_ID],$B123,BaleQuality[CollectionStream_ID],"09")+
SUMIFS(INDEX(BaleQuality[#Data],,MATCH(K$9,BaleQuality[#Headers],0)),BaleQuality[Bale_ID],$B123,BaleQuality[CollectionStream_ID],"10")+
SUMIFS(INDEX(BaleQuality[#Data],,MATCH(K$9,BaleQuality[#Headers],0)),BaleQuality[Bale_ID],$B123,BaleQuality[CollectionStream_ID],"14"))
/
(SUMIFS(INDEX(BaleQuality[#Data],,MATCH(K$8,BaleQuality[#Headers],0)),BaleQuality[Bale_ID],$B123,BaleQuality[CollectionStream_ID],"01")+
SUMIFS(INDEX(BaleQuality[#Data],,MATCH(K$8,BaleQuality[#Headers],0)),BaleQuality[Bale_ID],$B123,BaleQuality[CollectionStream_ID],"09")+
SUMIFS(INDEX(BaleQuality[#Data],,MATCH(K$8,BaleQuality[#Headers],0)),BaleQuality[Bale_ID],$B123,BaleQuality[CollectionStream_ID],"10")+
SUMIFS(INDEX(BaleQuality[#Data],,MATCH(K$8,BaleQuality[#Headers],0)),BaleQuality[Bale_ID],$B123,BaleQuality[CollectionStream_ID],"14"))),"")</f>
        <v/>
      </c>
      <c r="L123" s="565" t="str">
        <f>IFERROR(1-((SUMIFS(INDEX(BaleQuality[#Data],,MATCH(L$9,BaleQuality[#Headers],0)),BaleQuality[Bale_ID],$B123,BaleQuality[CollectionStream_ID],"01")+
SUMIFS(INDEX(BaleQuality[#Data],,MATCH(L$9,BaleQuality[#Headers],0)),BaleQuality[Bale_ID],$B123,BaleQuality[CollectionStream_ID],"09")+
SUMIFS(INDEX(BaleQuality[#Data],,MATCH(L$9,BaleQuality[#Headers],0)),BaleQuality[Bale_ID],$B123,BaleQuality[CollectionStream_ID],"10")+
SUMIFS(INDEX(BaleQuality[#Data],,MATCH(L$9,BaleQuality[#Headers],0)),BaleQuality[Bale_ID],$B123,BaleQuality[CollectionStream_ID],"14"))
/
(SUMIFS(INDEX(BaleQuality[#Data],,MATCH(L$8,BaleQuality[#Headers],0)),BaleQuality[Bale_ID],$B123,BaleQuality[CollectionStream_ID],"01")+
SUMIFS(INDEX(BaleQuality[#Data],,MATCH(L$8,BaleQuality[#Headers],0)),BaleQuality[Bale_ID],$B123,BaleQuality[CollectionStream_ID],"09")+
SUMIFS(INDEX(BaleQuality[#Data],,MATCH(L$8,BaleQuality[#Headers],0)),BaleQuality[Bale_ID],$B123,BaleQuality[CollectionStream_ID],"10")+
SUMIFS(INDEX(BaleQuality[#Data],,MATCH(L$8,BaleQuality[#Headers],0)),BaleQuality[Bale_ID],$B123,BaleQuality[CollectionStream_ID],"14"))),"")</f>
        <v/>
      </c>
      <c r="M123" s="565" t="str">
        <f>IFERROR(1-((SUMIFS(INDEX(BaleQuality[#Data],,MATCH(M$9,BaleQuality[#Headers],0)),BaleQuality[Bale_ID],$B123,BaleQuality[CollectionStream_ID],"01")+
SUMIFS(INDEX(BaleQuality[#Data],,MATCH(M$9,BaleQuality[#Headers],0)),BaleQuality[Bale_ID],$B123,BaleQuality[CollectionStream_ID],"09")+
SUMIFS(INDEX(BaleQuality[#Data],,MATCH(M$9,BaleQuality[#Headers],0)),BaleQuality[Bale_ID],$B123,BaleQuality[CollectionStream_ID],"10")+
SUMIFS(INDEX(BaleQuality[#Data],,MATCH(M$9,BaleQuality[#Headers],0)),BaleQuality[Bale_ID],$B123,BaleQuality[CollectionStream_ID],"14"))
/
(SUMIFS(INDEX(BaleQuality[#Data],,MATCH(M$8,BaleQuality[#Headers],0)),BaleQuality[Bale_ID],$B123,BaleQuality[CollectionStream_ID],"01")+
SUMIFS(INDEX(BaleQuality[#Data],,MATCH(M$8,BaleQuality[#Headers],0)),BaleQuality[Bale_ID],$B123,BaleQuality[CollectionStream_ID],"09")+
SUMIFS(INDEX(BaleQuality[#Data],,MATCH(M$8,BaleQuality[#Headers],0)),BaleQuality[Bale_ID],$B123,BaleQuality[CollectionStream_ID],"10")+
SUMIFS(INDEX(BaleQuality[#Data],,MATCH(M$8,BaleQuality[#Headers],0)),BaleQuality[Bale_ID],$B123,BaleQuality[CollectionStream_ID],"14"))),"")</f>
        <v/>
      </c>
      <c r="P123" s="596"/>
      <c r="Z123" s="596"/>
    </row>
    <row r="124" spans="1:26" s="352" customFormat="1" x14ac:dyDescent="0.2">
      <c r="A124" s="378"/>
      <c r="B124" s="378" t="s">
        <v>1014</v>
      </c>
      <c r="C124" s="378"/>
      <c r="D124" s="378"/>
      <c r="E124" s="378"/>
      <c r="F124" s="378"/>
      <c r="G124" s="378" t="str">
        <f>INDEX(Bales[Bale_Name],MATCH(B124,Bales[Bale_ID],0))</f>
        <v>#3-7 bottles and small rigid plastics </v>
      </c>
      <c r="H124" s="378"/>
      <c r="I124" s="565">
        <f>IFERROR(1-((SUMIFS(INDEX(BaleQuality[#Data],,MATCH(I$9,BaleQuality[#Headers],0)),BaleQuality[Bale_ID],$B124,BaleQuality[CollectionStream_ID],"01")+
SUMIFS(INDEX(BaleQuality[#Data],,MATCH(I$9,BaleQuality[#Headers],0)),BaleQuality[Bale_ID],$B124,BaleQuality[CollectionStream_ID],"09")+
SUMIFS(INDEX(BaleQuality[#Data],,MATCH(I$9,BaleQuality[#Headers],0)),BaleQuality[Bale_ID],$B124,BaleQuality[CollectionStream_ID],"10")+
SUMIFS(INDEX(BaleQuality[#Data],,MATCH(I$9,BaleQuality[#Headers],0)),BaleQuality[Bale_ID],$B124,BaleQuality[CollectionStream_ID],"14"))
/
(SUMIFS(INDEX(BaleQuality[#Data],,MATCH(I$8,BaleQuality[#Headers],0)),BaleQuality[Bale_ID],$B124,BaleQuality[CollectionStream_ID],"01")+
SUMIFS(INDEX(BaleQuality[#Data],,MATCH(I$8,BaleQuality[#Headers],0)),BaleQuality[Bale_ID],$B124,BaleQuality[CollectionStream_ID],"09")+
SUMIFS(INDEX(BaleQuality[#Data],,MATCH(I$8,BaleQuality[#Headers],0)),BaleQuality[Bale_ID],$B124,BaleQuality[CollectionStream_ID],"10")+
SUMIFS(INDEX(BaleQuality[#Data],,MATCH(I$8,BaleQuality[#Headers],0)),BaleQuality[Bale_ID],$B124,BaleQuality[CollectionStream_ID],"14"))),"")</f>
        <v>7.570705591522231E-2</v>
      </c>
      <c r="J124" s="565">
        <f>IFERROR(1-((SUMIFS(INDEX(BaleQuality[#Data],,MATCH(J$9,BaleQuality[#Headers],0)),BaleQuality[Bale_ID],$B124,BaleQuality[CollectionStream_ID],"01")+
SUMIFS(INDEX(BaleQuality[#Data],,MATCH(J$9,BaleQuality[#Headers],0)),BaleQuality[Bale_ID],$B124,BaleQuality[CollectionStream_ID],"09")+
SUMIFS(INDEX(BaleQuality[#Data],,MATCH(J$9,BaleQuality[#Headers],0)),BaleQuality[Bale_ID],$B124,BaleQuality[CollectionStream_ID],"10")+
SUMIFS(INDEX(BaleQuality[#Data],,MATCH(J$9,BaleQuality[#Headers],0)),BaleQuality[Bale_ID],$B124,BaleQuality[CollectionStream_ID],"14"))
/
(SUMIFS(INDEX(BaleQuality[#Data],,MATCH(J$8,BaleQuality[#Headers],0)),BaleQuality[Bale_ID],$B124,BaleQuality[CollectionStream_ID],"01")+
SUMIFS(INDEX(BaleQuality[#Data],,MATCH(J$8,BaleQuality[#Headers],0)),BaleQuality[Bale_ID],$B124,BaleQuality[CollectionStream_ID],"09")+
SUMIFS(INDEX(BaleQuality[#Data],,MATCH(J$8,BaleQuality[#Headers],0)),BaleQuality[Bale_ID],$B124,BaleQuality[CollectionStream_ID],"10")+
SUMIFS(INDEX(BaleQuality[#Data],,MATCH(J$8,BaleQuality[#Headers],0)),BaleQuality[Bale_ID],$B124,BaleQuality[CollectionStream_ID],"14"))),"")</f>
        <v>3.0279374455134844E-2</v>
      </c>
      <c r="K124" s="565" t="str">
        <f>IFERROR(1-((SUMIFS(INDEX(BaleQuality[#Data],,MATCH(K$9,BaleQuality[#Headers],0)),BaleQuality[Bale_ID],$B124,BaleQuality[CollectionStream_ID],"01")+
SUMIFS(INDEX(BaleQuality[#Data],,MATCH(K$9,BaleQuality[#Headers],0)),BaleQuality[Bale_ID],$B124,BaleQuality[CollectionStream_ID],"09")+
SUMIFS(INDEX(BaleQuality[#Data],,MATCH(K$9,BaleQuality[#Headers],0)),BaleQuality[Bale_ID],$B124,BaleQuality[CollectionStream_ID],"10")+
SUMIFS(INDEX(BaleQuality[#Data],,MATCH(K$9,BaleQuality[#Headers],0)),BaleQuality[Bale_ID],$B124,BaleQuality[CollectionStream_ID],"14"))
/
(SUMIFS(INDEX(BaleQuality[#Data],,MATCH(K$8,BaleQuality[#Headers],0)),BaleQuality[Bale_ID],$B124,BaleQuality[CollectionStream_ID],"01")+
SUMIFS(INDEX(BaleQuality[#Data],,MATCH(K$8,BaleQuality[#Headers],0)),BaleQuality[Bale_ID],$B124,BaleQuality[CollectionStream_ID],"09")+
SUMIFS(INDEX(BaleQuality[#Data],,MATCH(K$8,BaleQuality[#Headers],0)),BaleQuality[Bale_ID],$B124,BaleQuality[CollectionStream_ID],"10")+
SUMIFS(INDEX(BaleQuality[#Data],,MATCH(K$8,BaleQuality[#Headers],0)),BaleQuality[Bale_ID],$B124,BaleQuality[CollectionStream_ID],"14"))),"")</f>
        <v/>
      </c>
      <c r="L124" s="565" t="str">
        <f>IFERROR(1-((SUMIFS(INDEX(BaleQuality[#Data],,MATCH(L$9,BaleQuality[#Headers],0)),BaleQuality[Bale_ID],$B124,BaleQuality[CollectionStream_ID],"01")+
SUMIFS(INDEX(BaleQuality[#Data],,MATCH(L$9,BaleQuality[#Headers],0)),BaleQuality[Bale_ID],$B124,BaleQuality[CollectionStream_ID],"09")+
SUMIFS(INDEX(BaleQuality[#Data],,MATCH(L$9,BaleQuality[#Headers],0)),BaleQuality[Bale_ID],$B124,BaleQuality[CollectionStream_ID],"10")+
SUMIFS(INDEX(BaleQuality[#Data],,MATCH(L$9,BaleQuality[#Headers],0)),BaleQuality[Bale_ID],$B124,BaleQuality[CollectionStream_ID],"14"))
/
(SUMIFS(INDEX(BaleQuality[#Data],,MATCH(L$8,BaleQuality[#Headers],0)),BaleQuality[Bale_ID],$B124,BaleQuality[CollectionStream_ID],"01")+
SUMIFS(INDEX(BaleQuality[#Data],,MATCH(L$8,BaleQuality[#Headers],0)),BaleQuality[Bale_ID],$B124,BaleQuality[CollectionStream_ID],"09")+
SUMIFS(INDEX(BaleQuality[#Data],,MATCH(L$8,BaleQuality[#Headers],0)),BaleQuality[Bale_ID],$B124,BaleQuality[CollectionStream_ID],"10")+
SUMIFS(INDEX(BaleQuality[#Data],,MATCH(L$8,BaleQuality[#Headers],0)),BaleQuality[Bale_ID],$B124,BaleQuality[CollectionStream_ID],"14"))),"")</f>
        <v/>
      </c>
      <c r="M124" s="565" t="str">
        <f>IFERROR(1-((SUMIFS(INDEX(BaleQuality[#Data],,MATCH(M$9,BaleQuality[#Headers],0)),BaleQuality[Bale_ID],$B124,BaleQuality[CollectionStream_ID],"01")+
SUMIFS(INDEX(BaleQuality[#Data],,MATCH(M$9,BaleQuality[#Headers],0)),BaleQuality[Bale_ID],$B124,BaleQuality[CollectionStream_ID],"09")+
SUMIFS(INDEX(BaleQuality[#Data],,MATCH(M$9,BaleQuality[#Headers],0)),BaleQuality[Bale_ID],$B124,BaleQuality[CollectionStream_ID],"10")+
SUMIFS(INDEX(BaleQuality[#Data],,MATCH(M$9,BaleQuality[#Headers],0)),BaleQuality[Bale_ID],$B124,BaleQuality[CollectionStream_ID],"14"))
/
(SUMIFS(INDEX(BaleQuality[#Data],,MATCH(M$8,BaleQuality[#Headers],0)),BaleQuality[Bale_ID],$B124,BaleQuality[CollectionStream_ID],"01")+
SUMIFS(INDEX(BaleQuality[#Data],,MATCH(M$8,BaleQuality[#Headers],0)),BaleQuality[Bale_ID],$B124,BaleQuality[CollectionStream_ID],"09")+
SUMIFS(INDEX(BaleQuality[#Data],,MATCH(M$8,BaleQuality[#Headers],0)),BaleQuality[Bale_ID],$B124,BaleQuality[CollectionStream_ID],"10")+
SUMIFS(INDEX(BaleQuality[#Data],,MATCH(M$8,BaleQuality[#Headers],0)),BaleQuality[Bale_ID],$B124,BaleQuality[CollectionStream_ID],"14"))),"")</f>
        <v/>
      </c>
      <c r="P124" s="596"/>
      <c r="Z124" s="596"/>
    </row>
    <row r="125" spans="1:26" s="530" customFormat="1" ht="6" hidden="1" x14ac:dyDescent="0.15">
      <c r="A125" s="533"/>
      <c r="B125" s="533" t="s">
        <v>3581</v>
      </c>
      <c r="C125" s="533" t="s">
        <v>3579</v>
      </c>
      <c r="D125" s="533"/>
      <c r="E125" s="533"/>
      <c r="F125" s="533"/>
      <c r="G125" s="533"/>
      <c r="H125" s="533"/>
      <c r="I125" s="563"/>
      <c r="J125" s="563"/>
      <c r="K125" s="563"/>
      <c r="L125" s="563"/>
      <c r="M125" s="563"/>
      <c r="P125" s="597"/>
      <c r="Z125" s="597"/>
    </row>
    <row r="126" spans="1:26" s="352" customFormat="1" ht="15" hidden="1" x14ac:dyDescent="0.25">
      <c r="A126" s="378"/>
      <c r="B126" s="378"/>
      <c r="C126" s="378" t="s">
        <v>3579</v>
      </c>
      <c r="D126" s="378"/>
      <c r="E126" s="378"/>
      <c r="F126" s="342" t="s">
        <v>709</v>
      </c>
      <c r="G126" s="378"/>
      <c r="H126" s="378"/>
      <c r="I126" s="566"/>
      <c r="J126" s="566"/>
      <c r="K126" s="566"/>
      <c r="L126" s="566"/>
      <c r="M126" s="566"/>
      <c r="P126" s="596"/>
      <c r="Z126" s="596"/>
    </row>
    <row r="127" spans="1:26" s="352" customFormat="1" hidden="1" x14ac:dyDescent="0.2">
      <c r="A127" s="378"/>
      <c r="B127" s="378" t="s">
        <v>1015</v>
      </c>
      <c r="C127" s="378" t="s">
        <v>3579</v>
      </c>
      <c r="D127" s="378"/>
      <c r="E127" s="378"/>
      <c r="F127" s="378"/>
      <c r="G127" s="378" t="str">
        <f>INDEX(Bales[Bale_Name],MATCH(B127,Bales[Bale_ID],0))</f>
        <v>Container glass </v>
      </c>
      <c r="H127" s="378"/>
      <c r="I127" s="565" t="str">
        <f>IFERROR(1-((SUMIFS(INDEX(BaleQuality[#Data],,MATCH(I$9,BaleQuality[#Headers],0)),BaleQuality[Bale_ID],$B127,BaleQuality[CollectionStream_ID],"01")+
SUMIFS(INDEX(BaleQuality[#Data],,MATCH(I$9,BaleQuality[#Headers],0)),BaleQuality[Bale_ID],$B127,BaleQuality[CollectionStream_ID],"09")+
SUMIFS(INDEX(BaleQuality[#Data],,MATCH(I$9,BaleQuality[#Headers],0)),BaleQuality[Bale_ID],$B127,BaleQuality[CollectionStream_ID],"10")+
SUMIFS(INDEX(BaleQuality[#Data],,MATCH(I$9,BaleQuality[#Headers],0)),BaleQuality[Bale_ID],$B127,BaleQuality[CollectionStream_ID],"14"))
/
(SUMIFS(INDEX(BaleQuality[#Data],,MATCH(I$8,BaleQuality[#Headers],0)),BaleQuality[Bale_ID],$B127,BaleQuality[CollectionStream_ID],"01")+
SUMIFS(INDEX(BaleQuality[#Data],,MATCH(I$8,BaleQuality[#Headers],0)),BaleQuality[Bale_ID],$B127,BaleQuality[CollectionStream_ID],"09")+
SUMIFS(INDEX(BaleQuality[#Data],,MATCH(I$8,BaleQuality[#Headers],0)),BaleQuality[Bale_ID],$B127,BaleQuality[CollectionStream_ID],"10")+
SUMIFS(INDEX(BaleQuality[#Data],,MATCH(I$8,BaleQuality[#Headers],0)),BaleQuality[Bale_ID],$B127,BaleQuality[CollectionStream_ID],"14"))),"")</f>
        <v/>
      </c>
      <c r="J127" s="565" t="str">
        <f>IFERROR(1-((SUMIFS(INDEX(BaleQuality[#Data],,MATCH(J$9,BaleQuality[#Headers],0)),BaleQuality[Bale_ID],$B127,BaleQuality[CollectionStream_ID],"01")+
SUMIFS(INDEX(BaleQuality[#Data],,MATCH(J$9,BaleQuality[#Headers],0)),BaleQuality[Bale_ID],$B127,BaleQuality[CollectionStream_ID],"09")+
SUMIFS(INDEX(BaleQuality[#Data],,MATCH(J$9,BaleQuality[#Headers],0)),BaleQuality[Bale_ID],$B127,BaleQuality[CollectionStream_ID],"10")+
SUMIFS(INDEX(BaleQuality[#Data],,MATCH(J$9,BaleQuality[#Headers],0)),BaleQuality[Bale_ID],$B127,BaleQuality[CollectionStream_ID],"14"))
/
(SUMIFS(INDEX(BaleQuality[#Data],,MATCH(J$8,BaleQuality[#Headers],0)),BaleQuality[Bale_ID],$B127,BaleQuality[CollectionStream_ID],"01")+
SUMIFS(INDEX(BaleQuality[#Data],,MATCH(J$8,BaleQuality[#Headers],0)),BaleQuality[Bale_ID],$B127,BaleQuality[CollectionStream_ID],"09")+
SUMIFS(INDEX(BaleQuality[#Data],,MATCH(J$8,BaleQuality[#Headers],0)),BaleQuality[Bale_ID],$B127,BaleQuality[CollectionStream_ID],"10")+
SUMIFS(INDEX(BaleQuality[#Data],,MATCH(J$8,BaleQuality[#Headers],0)),BaleQuality[Bale_ID],$B127,BaleQuality[CollectionStream_ID],"14"))),"")</f>
        <v/>
      </c>
      <c r="K127" s="565" t="str">
        <f>IFERROR(1-((SUMIFS(INDEX(BaleQuality[#Data],,MATCH(K$9,BaleQuality[#Headers],0)),BaleQuality[Bale_ID],$B127,BaleQuality[CollectionStream_ID],"01")+
SUMIFS(INDEX(BaleQuality[#Data],,MATCH(K$9,BaleQuality[#Headers],0)),BaleQuality[Bale_ID],$B127,BaleQuality[CollectionStream_ID],"09")+
SUMIFS(INDEX(BaleQuality[#Data],,MATCH(K$9,BaleQuality[#Headers],0)),BaleQuality[Bale_ID],$B127,BaleQuality[CollectionStream_ID],"10")+
SUMIFS(INDEX(BaleQuality[#Data],,MATCH(K$9,BaleQuality[#Headers],0)),BaleQuality[Bale_ID],$B127,BaleQuality[CollectionStream_ID],"14"))
/
(SUMIFS(INDEX(BaleQuality[#Data],,MATCH(K$8,BaleQuality[#Headers],0)),BaleQuality[Bale_ID],$B127,BaleQuality[CollectionStream_ID],"01")+
SUMIFS(INDEX(BaleQuality[#Data],,MATCH(K$8,BaleQuality[#Headers],0)),BaleQuality[Bale_ID],$B127,BaleQuality[CollectionStream_ID],"09")+
SUMIFS(INDEX(BaleQuality[#Data],,MATCH(K$8,BaleQuality[#Headers],0)),BaleQuality[Bale_ID],$B127,BaleQuality[CollectionStream_ID],"10")+
SUMIFS(INDEX(BaleQuality[#Data],,MATCH(K$8,BaleQuality[#Headers],0)),BaleQuality[Bale_ID],$B127,BaleQuality[CollectionStream_ID],"14"))),"")</f>
        <v/>
      </c>
      <c r="L127" s="565" t="str">
        <f>IFERROR(1-((SUMIFS(INDEX(BaleQuality[#Data],,MATCH(L$9,BaleQuality[#Headers],0)),BaleQuality[Bale_ID],$B127,BaleQuality[CollectionStream_ID],"01")+
SUMIFS(INDEX(BaleQuality[#Data],,MATCH(L$9,BaleQuality[#Headers],0)),BaleQuality[Bale_ID],$B127,BaleQuality[CollectionStream_ID],"09")+
SUMIFS(INDEX(BaleQuality[#Data],,MATCH(L$9,BaleQuality[#Headers],0)),BaleQuality[Bale_ID],$B127,BaleQuality[CollectionStream_ID],"10")+
SUMIFS(INDEX(BaleQuality[#Data],,MATCH(L$9,BaleQuality[#Headers],0)),BaleQuality[Bale_ID],$B127,BaleQuality[CollectionStream_ID],"14"))
/
(SUMIFS(INDEX(BaleQuality[#Data],,MATCH(L$8,BaleQuality[#Headers],0)),BaleQuality[Bale_ID],$B127,BaleQuality[CollectionStream_ID],"01")+
SUMIFS(INDEX(BaleQuality[#Data],,MATCH(L$8,BaleQuality[#Headers],0)),BaleQuality[Bale_ID],$B127,BaleQuality[CollectionStream_ID],"09")+
SUMIFS(INDEX(BaleQuality[#Data],,MATCH(L$8,BaleQuality[#Headers],0)),BaleQuality[Bale_ID],$B127,BaleQuality[CollectionStream_ID],"10")+
SUMIFS(INDEX(BaleQuality[#Data],,MATCH(L$8,BaleQuality[#Headers],0)),BaleQuality[Bale_ID],$B127,BaleQuality[CollectionStream_ID],"14"))),"")</f>
        <v/>
      </c>
      <c r="M127" s="565" t="str">
        <f>IFERROR(1-((SUMIFS(INDEX(BaleQuality[#Data],,MATCH(M$9,BaleQuality[#Headers],0)),BaleQuality[Bale_ID],$B127,BaleQuality[CollectionStream_ID],"01")+
SUMIFS(INDEX(BaleQuality[#Data],,MATCH(M$9,BaleQuality[#Headers],0)),BaleQuality[Bale_ID],$B127,BaleQuality[CollectionStream_ID],"09")+
SUMIFS(INDEX(BaleQuality[#Data],,MATCH(M$9,BaleQuality[#Headers],0)),BaleQuality[Bale_ID],$B127,BaleQuality[CollectionStream_ID],"10")+
SUMIFS(INDEX(BaleQuality[#Data],,MATCH(M$9,BaleQuality[#Headers],0)),BaleQuality[Bale_ID],$B127,BaleQuality[CollectionStream_ID],"14"))
/
(SUMIFS(INDEX(BaleQuality[#Data],,MATCH(M$8,BaleQuality[#Headers],0)),BaleQuality[Bale_ID],$B127,BaleQuality[CollectionStream_ID],"01")+
SUMIFS(INDEX(BaleQuality[#Data],,MATCH(M$8,BaleQuality[#Headers],0)),BaleQuality[Bale_ID],$B127,BaleQuality[CollectionStream_ID],"09")+
SUMIFS(INDEX(BaleQuality[#Data],,MATCH(M$8,BaleQuality[#Headers],0)),BaleQuality[Bale_ID],$B127,BaleQuality[CollectionStream_ID],"10")+
SUMIFS(INDEX(BaleQuality[#Data],,MATCH(M$8,BaleQuality[#Headers],0)),BaleQuality[Bale_ID],$B127,BaleQuality[CollectionStream_ID],"14"))),"")</f>
        <v/>
      </c>
      <c r="P127" s="596"/>
      <c r="Z127" s="596"/>
    </row>
    <row r="128" spans="1:26" s="530" customFormat="1" ht="6" collapsed="1" x14ac:dyDescent="0.15">
      <c r="B128" s="530" t="s">
        <v>3581</v>
      </c>
      <c r="I128" s="555"/>
      <c r="J128" s="555"/>
      <c r="K128" s="555"/>
      <c r="L128" s="555"/>
      <c r="M128" s="555"/>
      <c r="P128" s="597"/>
      <c r="Z128" s="597"/>
    </row>
    <row r="129" spans="1:26" s="352" customFormat="1" ht="15" x14ac:dyDescent="0.25">
      <c r="A129" s="521"/>
      <c r="B129" s="342" t="s">
        <v>716</v>
      </c>
      <c r="E129" s="181"/>
      <c r="F129" s="539" t="s">
        <v>3684</v>
      </c>
      <c r="G129" s="536"/>
      <c r="H129" s="536"/>
      <c r="I129" s="606">
        <f>IFERROR(1-((SUMIFS(INDEX(BaleQuality[#Data],,MATCH(I$9,BaleQuality[#Headers],0)),BaleQuality[BaleType],$B129,BaleQuality[CollectionStream_ID],"01")+
SUMIFS(INDEX(BaleQuality[#Data],,MATCH(I$9,BaleQuality[#Headers],0)),BaleQuality[BaleType],$B129,BaleQuality[CollectionStream_ID],"09")+
SUMIFS(INDEX(BaleQuality[#Data],,MATCH(I$9,BaleQuality[#Headers],0)),BaleQuality[BaleType],$B129,BaleQuality[CollectionStream_ID],"10")+
SUMIFS(INDEX(BaleQuality[#Data],,MATCH(I$9,BaleQuality[#Headers],0)),BaleQuality[BaleType],$B129,BaleQuality[CollectionStream_ID],"14"))
/
(SUMIFS(INDEX(BaleQuality[#Data],,MATCH(I$8,BaleQuality[#Headers],0)),BaleQuality[BaleType],$B129,BaleQuality[CollectionStream_ID],"01")+
SUMIFS(INDEX(BaleQuality[#Data],,MATCH(I$8,BaleQuality[#Headers],0)),BaleQuality[BaleType],$B129,BaleQuality[CollectionStream_ID],"09")+
SUMIFS(INDEX(BaleQuality[#Data],,MATCH(I$8,BaleQuality[#Headers],0)),BaleQuality[BaleType],$B129,BaleQuality[CollectionStream_ID],"10")+
SUMIFS(INDEX(BaleQuality[#Data],,MATCH(I$8,BaleQuality[#Headers],0)),BaleQuality[BaleType],$B129,BaleQuality[CollectionStream_ID],"14"))),"")</f>
        <v>3.4312281993050142E-2</v>
      </c>
      <c r="J129" s="606">
        <f>IFERROR(1-((SUMIFS(INDEX(BaleQuality[#Data],,MATCH(J$9,BaleQuality[#Headers],0)),BaleQuality[BaleType],$B129,BaleQuality[CollectionStream_ID],"01")+
SUMIFS(INDEX(BaleQuality[#Data],,MATCH(J$9,BaleQuality[#Headers],0)),BaleQuality[BaleType],$B129,BaleQuality[CollectionStream_ID],"09")+
SUMIFS(INDEX(BaleQuality[#Data],,MATCH(J$9,BaleQuality[#Headers],0)),BaleQuality[BaleType],$B129,BaleQuality[CollectionStream_ID],"10")+
SUMIFS(INDEX(BaleQuality[#Data],,MATCH(J$9,BaleQuality[#Headers],0)),BaleQuality[BaleType],$B129,BaleQuality[CollectionStream_ID],"14"))
/
(SUMIFS(INDEX(BaleQuality[#Data],,MATCH(J$8,BaleQuality[#Headers],0)),BaleQuality[BaleType],$B129,BaleQuality[CollectionStream_ID],"01")+
SUMIFS(INDEX(BaleQuality[#Data],,MATCH(J$8,BaleQuality[#Headers],0)),BaleQuality[BaleType],$B129,BaleQuality[CollectionStream_ID],"09")+
SUMIFS(INDEX(BaleQuality[#Data],,MATCH(J$8,BaleQuality[#Headers],0)),BaleQuality[BaleType],$B129,BaleQuality[CollectionStream_ID],"10")+
SUMIFS(INDEX(BaleQuality[#Data],,MATCH(J$8,BaleQuality[#Headers],0)),BaleQuality[BaleType],$B129,BaleQuality[CollectionStream_ID],"14"))),"")</f>
        <v>1.354763713651963E-2</v>
      </c>
      <c r="K129" s="606">
        <f>IFERROR(1-((SUMIFS(INDEX(BaleQuality[#Data],,MATCH(K$9,BaleQuality[#Headers],0)),BaleQuality[BaleType],$B129,BaleQuality[CollectionStream_ID],"01")+
SUMIFS(INDEX(BaleQuality[#Data],,MATCH(K$9,BaleQuality[#Headers],0)),BaleQuality[BaleType],$B129,BaleQuality[CollectionStream_ID],"09")+
SUMIFS(INDEX(BaleQuality[#Data],,MATCH(K$9,BaleQuality[#Headers],0)),BaleQuality[BaleType],$B129,BaleQuality[CollectionStream_ID],"10")+
SUMIFS(INDEX(BaleQuality[#Data],,MATCH(K$9,BaleQuality[#Headers],0)),BaleQuality[BaleType],$B129,BaleQuality[CollectionStream_ID],"14"))
/
(SUMIFS(INDEX(BaleQuality[#Data],,MATCH(K$8,BaleQuality[#Headers],0)),BaleQuality[BaleType],$B129,BaleQuality[CollectionStream_ID],"01")+
SUMIFS(INDEX(BaleQuality[#Data],,MATCH(K$8,BaleQuality[#Headers],0)),BaleQuality[BaleType],$B129,BaleQuality[CollectionStream_ID],"09")+
SUMIFS(INDEX(BaleQuality[#Data],,MATCH(K$8,BaleQuality[#Headers],0)),BaleQuality[BaleType],$B129,BaleQuality[CollectionStream_ID],"10")+
SUMIFS(INDEX(BaleQuality[#Data],,MATCH(K$8,BaleQuality[#Headers],0)),BaleQuality[BaleType],$B129,BaleQuality[CollectionStream_ID],"14"))),"")</f>
        <v>1.1879189634383835E-2</v>
      </c>
      <c r="L129" s="606">
        <f>IFERROR(1-((SUMIFS(INDEX(BaleQuality[#Data],,MATCH(L$9,BaleQuality[#Headers],0)),BaleQuality[BaleType],$B129,BaleQuality[CollectionStream_ID],"01")+
SUMIFS(INDEX(BaleQuality[#Data],,MATCH(L$9,BaleQuality[#Headers],0)),BaleQuality[BaleType],$B129,BaleQuality[CollectionStream_ID],"09")+
SUMIFS(INDEX(BaleQuality[#Data],,MATCH(L$9,BaleQuality[#Headers],0)),BaleQuality[BaleType],$B129,BaleQuality[CollectionStream_ID],"10")+
SUMIFS(INDEX(BaleQuality[#Data],,MATCH(L$9,BaleQuality[#Headers],0)),BaleQuality[BaleType],$B129,BaleQuality[CollectionStream_ID],"14"))
/
(SUMIFS(INDEX(BaleQuality[#Data],,MATCH(L$8,BaleQuality[#Headers],0)),BaleQuality[BaleType],$B129,BaleQuality[CollectionStream_ID],"01")+
SUMIFS(INDEX(BaleQuality[#Data],,MATCH(L$8,BaleQuality[#Headers],0)),BaleQuality[BaleType],$B129,BaleQuality[CollectionStream_ID],"09")+
SUMIFS(INDEX(BaleQuality[#Data],,MATCH(L$8,BaleQuality[#Headers],0)),BaleQuality[BaleType],$B129,BaleQuality[CollectionStream_ID],"10")+
SUMIFS(INDEX(BaleQuality[#Data],,MATCH(L$8,BaleQuality[#Headers],0)),BaleQuality[BaleType],$B129,BaleQuality[CollectionStream_ID],"14"))),"")</f>
        <v>1.1781290330200256E-2</v>
      </c>
      <c r="M129" s="606">
        <f>IFERROR(1-((SUMIFS(INDEX(BaleQuality[#Data],,MATCH(M$9,BaleQuality[#Headers],0)),BaleQuality[BaleType],$B129,BaleQuality[CollectionStream_ID],"01")+
SUMIFS(INDEX(BaleQuality[#Data],,MATCH(M$9,BaleQuality[#Headers],0)),BaleQuality[BaleType],$B129,BaleQuality[CollectionStream_ID],"09")+
SUMIFS(INDEX(BaleQuality[#Data],,MATCH(M$9,BaleQuality[#Headers],0)),BaleQuality[BaleType],$B129,BaleQuality[CollectionStream_ID],"10")+
SUMIFS(INDEX(BaleQuality[#Data],,MATCH(M$9,BaleQuality[#Headers],0)),BaleQuality[BaleType],$B129,BaleQuality[CollectionStream_ID],"14"))
/
(SUMIFS(INDEX(BaleQuality[#Data],,MATCH(M$8,BaleQuality[#Headers],0)),BaleQuality[BaleType],$B129,BaleQuality[CollectionStream_ID],"01")+
SUMIFS(INDEX(BaleQuality[#Data],,MATCH(M$8,BaleQuality[#Headers],0)),BaleQuality[BaleType],$B129,BaleQuality[CollectionStream_ID],"09")+
SUMIFS(INDEX(BaleQuality[#Data],,MATCH(M$8,BaleQuality[#Headers],0)),BaleQuality[BaleType],$B129,BaleQuality[CollectionStream_ID],"10")+
SUMIFS(INDEX(BaleQuality[#Data],,MATCH(M$8,BaleQuality[#Headers],0)),BaleQuality[BaleType],$B129,BaleQuality[CollectionStream_ID],"14"))),"")</f>
        <v>1.4425536568486108E-2</v>
      </c>
      <c r="P129" s="596"/>
      <c r="Z129" s="596"/>
    </row>
    <row r="130" spans="1:26" s="352" customFormat="1" x14ac:dyDescent="0.2">
      <c r="A130" s="521"/>
      <c r="B130" s="352" t="s">
        <v>1017</v>
      </c>
      <c r="G130" s="352" t="str">
        <f>INDEX(Bales[Bale_Name],MATCH(B130,Bales[Bale_ID],0))</f>
        <v>Aluminum cans and foil</v>
      </c>
      <c r="I130" s="564">
        <f>IFERROR(1-((SUMIFS(INDEX(BaleQuality[#Data],,MATCH(I$9,BaleQuality[#Headers],0)),BaleQuality[Bale_ID],$B130,BaleQuality[CollectionStream_ID],"01")+
SUMIFS(INDEX(BaleQuality[#Data],,MATCH(I$9,BaleQuality[#Headers],0)),BaleQuality[Bale_ID],$B130,BaleQuality[CollectionStream_ID],"09")+
SUMIFS(INDEX(BaleQuality[#Data],,MATCH(I$9,BaleQuality[#Headers],0)),BaleQuality[Bale_ID],$B130,BaleQuality[CollectionStream_ID],"10")+
SUMIFS(INDEX(BaleQuality[#Data],,MATCH(I$9,BaleQuality[#Headers],0)),BaleQuality[Bale_ID],$B130,BaleQuality[CollectionStream_ID],"14"))
/
(SUMIFS(INDEX(BaleQuality[#Data],,MATCH(I$8,BaleQuality[#Headers],0)),BaleQuality[Bale_ID],$B130,BaleQuality[CollectionStream_ID],"01")+
SUMIFS(INDEX(BaleQuality[#Data],,MATCH(I$8,BaleQuality[#Headers],0)),BaleQuality[Bale_ID],$B130,BaleQuality[CollectionStream_ID],"09")+
SUMIFS(INDEX(BaleQuality[#Data],,MATCH(I$8,BaleQuality[#Headers],0)),BaleQuality[Bale_ID],$B130,BaleQuality[CollectionStream_ID],"10")+
SUMIFS(INDEX(BaleQuality[#Data],,MATCH(I$8,BaleQuality[#Headers],0)),BaleQuality[Bale_ID],$B130,BaleQuality[CollectionStream_ID],"14"))),"")</f>
        <v>1.0338680466035477E-2</v>
      </c>
      <c r="J130" s="564">
        <f>IFERROR(1-((SUMIFS(INDEX(BaleQuality[#Data],,MATCH(J$9,BaleQuality[#Headers],0)),BaleQuality[Bale_ID],$B130,BaleQuality[CollectionStream_ID],"01")+
SUMIFS(INDEX(BaleQuality[#Data],,MATCH(J$9,BaleQuality[#Headers],0)),BaleQuality[Bale_ID],$B130,BaleQuality[CollectionStream_ID],"09")+
SUMIFS(INDEX(BaleQuality[#Data],,MATCH(J$9,BaleQuality[#Headers],0)),BaleQuality[Bale_ID],$B130,BaleQuality[CollectionStream_ID],"10")+
SUMIFS(INDEX(BaleQuality[#Data],,MATCH(J$9,BaleQuality[#Headers],0)),BaleQuality[Bale_ID],$B130,BaleQuality[CollectionStream_ID],"14"))
/
(SUMIFS(INDEX(BaleQuality[#Data],,MATCH(J$8,BaleQuality[#Headers],0)),BaleQuality[Bale_ID],$B130,BaleQuality[CollectionStream_ID],"01")+
SUMIFS(INDEX(BaleQuality[#Data],,MATCH(J$8,BaleQuality[#Headers],0)),BaleQuality[Bale_ID],$B130,BaleQuality[CollectionStream_ID],"09")+
SUMIFS(INDEX(BaleQuality[#Data],,MATCH(J$8,BaleQuality[#Headers],0)),BaleQuality[Bale_ID],$B130,BaleQuality[CollectionStream_ID],"10")+
SUMIFS(INDEX(BaleQuality[#Data],,MATCH(J$8,BaleQuality[#Headers],0)),BaleQuality[Bale_ID],$B130,BaleQuality[CollectionStream_ID],"14"))),"")</f>
        <v>2.7932993623756008E-3</v>
      </c>
      <c r="K130" s="564">
        <f>IFERROR(1-((SUMIFS(INDEX(BaleQuality[#Data],,MATCH(K$9,BaleQuality[#Headers],0)),BaleQuality[Bale_ID],$B130,BaleQuality[CollectionStream_ID],"01")+
SUMIFS(INDEX(BaleQuality[#Data],,MATCH(K$9,BaleQuality[#Headers],0)),BaleQuality[Bale_ID],$B130,BaleQuality[CollectionStream_ID],"09")+
SUMIFS(INDEX(BaleQuality[#Data],,MATCH(K$9,BaleQuality[#Headers],0)),BaleQuality[Bale_ID],$B130,BaleQuality[CollectionStream_ID],"10")+
SUMIFS(INDEX(BaleQuality[#Data],,MATCH(K$9,BaleQuality[#Headers],0)),BaleQuality[Bale_ID],$B130,BaleQuality[CollectionStream_ID],"14"))
/
(SUMIFS(INDEX(BaleQuality[#Data],,MATCH(K$8,BaleQuality[#Headers],0)),BaleQuality[Bale_ID],$B130,BaleQuality[CollectionStream_ID],"01")+
SUMIFS(INDEX(BaleQuality[#Data],,MATCH(K$8,BaleQuality[#Headers],0)),BaleQuality[Bale_ID],$B130,BaleQuality[CollectionStream_ID],"09")+
SUMIFS(INDEX(BaleQuality[#Data],,MATCH(K$8,BaleQuality[#Headers],0)),BaleQuality[Bale_ID],$B130,BaleQuality[CollectionStream_ID],"10")+
SUMIFS(INDEX(BaleQuality[#Data],,MATCH(K$8,BaleQuality[#Headers],0)),BaleQuality[Bale_ID],$B130,BaleQuality[CollectionStream_ID],"14"))),"")</f>
        <v>2.5484600078693465E-3</v>
      </c>
      <c r="L130" s="564">
        <f>IFERROR(1-((SUMIFS(INDEX(BaleQuality[#Data],,MATCH(L$9,BaleQuality[#Headers],0)),BaleQuality[Bale_ID],$B130,BaleQuality[CollectionStream_ID],"01")+
SUMIFS(INDEX(BaleQuality[#Data],,MATCH(L$9,BaleQuality[#Headers],0)),BaleQuality[Bale_ID],$B130,BaleQuality[CollectionStream_ID],"09")+
SUMIFS(INDEX(BaleQuality[#Data],,MATCH(L$9,BaleQuality[#Headers],0)),BaleQuality[Bale_ID],$B130,BaleQuality[CollectionStream_ID],"10")+
SUMIFS(INDEX(BaleQuality[#Data],,MATCH(L$9,BaleQuality[#Headers],0)),BaleQuality[Bale_ID],$B130,BaleQuality[CollectionStream_ID],"14"))
/
(SUMIFS(INDEX(BaleQuality[#Data],,MATCH(L$8,BaleQuality[#Headers],0)),BaleQuality[Bale_ID],$B130,BaleQuality[CollectionStream_ID],"01")+
SUMIFS(INDEX(BaleQuality[#Data],,MATCH(L$8,BaleQuality[#Headers],0)),BaleQuality[Bale_ID],$B130,BaleQuality[CollectionStream_ID],"09")+
SUMIFS(INDEX(BaleQuality[#Data],,MATCH(L$8,BaleQuality[#Headers],0)),BaleQuality[Bale_ID],$B130,BaleQuality[CollectionStream_ID],"10")+
SUMIFS(INDEX(BaleQuality[#Data],,MATCH(L$8,BaleQuality[#Headers],0)),BaleQuality[Bale_ID],$B130,BaleQuality[CollectionStream_ID],"14"))),"")</f>
        <v>2.6422784013547806E-3</v>
      </c>
      <c r="M130" s="564">
        <f>IFERROR(1-((SUMIFS(INDEX(BaleQuality[#Data],,MATCH(M$9,BaleQuality[#Headers],0)),BaleQuality[Bale_ID],$B130,BaleQuality[CollectionStream_ID],"01")+
SUMIFS(INDEX(BaleQuality[#Data],,MATCH(M$9,BaleQuality[#Headers],0)),BaleQuality[Bale_ID],$B130,BaleQuality[CollectionStream_ID],"09")+
SUMIFS(INDEX(BaleQuality[#Data],,MATCH(M$9,BaleQuality[#Headers],0)),BaleQuality[Bale_ID],$B130,BaleQuality[CollectionStream_ID],"10")+
SUMIFS(INDEX(BaleQuality[#Data],,MATCH(M$9,BaleQuality[#Headers],0)),BaleQuality[Bale_ID],$B130,BaleQuality[CollectionStream_ID],"14"))
/
(SUMIFS(INDEX(BaleQuality[#Data],,MATCH(M$8,BaleQuality[#Headers],0)),BaleQuality[Bale_ID],$B130,BaleQuality[CollectionStream_ID],"01")+
SUMIFS(INDEX(BaleQuality[#Data],,MATCH(M$8,BaleQuality[#Headers],0)),BaleQuality[Bale_ID],$B130,BaleQuality[CollectionStream_ID],"09")+
SUMIFS(INDEX(BaleQuality[#Data],,MATCH(M$8,BaleQuality[#Headers],0)),BaleQuality[Bale_ID],$B130,BaleQuality[CollectionStream_ID],"10")+
SUMIFS(INDEX(BaleQuality[#Data],,MATCH(M$8,BaleQuality[#Headers],0)),BaleQuality[Bale_ID],$B130,BaleQuality[CollectionStream_ID],"14"))),"")</f>
        <v>3.0456029969527787E-4</v>
      </c>
      <c r="P130" s="596"/>
      <c r="Z130" s="596"/>
    </row>
    <row r="131" spans="1:26" s="352" customFormat="1" x14ac:dyDescent="0.2">
      <c r="A131" s="521"/>
      <c r="B131" s="352" t="s">
        <v>1019</v>
      </c>
      <c r="G131" s="352" t="str">
        <f>INDEX(Bales[Bale_Name],MATCH(B131,Bales[Bale_ID],0))</f>
        <v>Steel cans </v>
      </c>
      <c r="I131" s="564">
        <f>IFERROR(1-((SUMIFS(INDEX(BaleQuality[#Data],,MATCH(I$9,BaleQuality[#Headers],0)),BaleQuality[Bale_ID],$B131,BaleQuality[CollectionStream_ID],"01")+
SUMIFS(INDEX(BaleQuality[#Data],,MATCH(I$9,BaleQuality[#Headers],0)),BaleQuality[Bale_ID],$B131,BaleQuality[CollectionStream_ID],"09")+
SUMIFS(INDEX(BaleQuality[#Data],,MATCH(I$9,BaleQuality[#Headers],0)),BaleQuality[Bale_ID],$B131,BaleQuality[CollectionStream_ID],"10")+
SUMIFS(INDEX(BaleQuality[#Data],,MATCH(I$9,BaleQuality[#Headers],0)),BaleQuality[Bale_ID],$B131,BaleQuality[CollectionStream_ID],"14"))
/
(SUMIFS(INDEX(BaleQuality[#Data],,MATCH(I$8,BaleQuality[#Headers],0)),BaleQuality[Bale_ID],$B131,BaleQuality[CollectionStream_ID],"01")+
SUMIFS(INDEX(BaleQuality[#Data],,MATCH(I$8,BaleQuality[#Headers],0)),BaleQuality[Bale_ID],$B131,BaleQuality[CollectionStream_ID],"09")+
SUMIFS(INDEX(BaleQuality[#Data],,MATCH(I$8,BaleQuality[#Headers],0)),BaleQuality[Bale_ID],$B131,BaleQuality[CollectionStream_ID],"10")+
SUMIFS(INDEX(BaleQuality[#Data],,MATCH(I$8,BaleQuality[#Headers],0)),BaleQuality[Bale_ID],$B131,BaleQuality[CollectionStream_ID],"14"))),"")</f>
        <v>8.6525787448681779E-2</v>
      </c>
      <c r="J131" s="564">
        <f>IFERROR(1-((SUMIFS(INDEX(BaleQuality[#Data],,MATCH(J$9,BaleQuality[#Headers],0)),BaleQuality[Bale_ID],$B131,BaleQuality[CollectionStream_ID],"01")+
SUMIFS(INDEX(BaleQuality[#Data],,MATCH(J$9,BaleQuality[#Headers],0)),BaleQuality[Bale_ID],$B131,BaleQuality[CollectionStream_ID],"09")+
SUMIFS(INDEX(BaleQuality[#Data],,MATCH(J$9,BaleQuality[#Headers],0)),BaleQuality[Bale_ID],$B131,BaleQuality[CollectionStream_ID],"10")+
SUMIFS(INDEX(BaleQuality[#Data],,MATCH(J$9,BaleQuality[#Headers],0)),BaleQuality[Bale_ID],$B131,BaleQuality[CollectionStream_ID],"14"))
/
(SUMIFS(INDEX(BaleQuality[#Data],,MATCH(J$8,BaleQuality[#Headers],0)),BaleQuality[Bale_ID],$B131,BaleQuality[CollectionStream_ID],"01")+
SUMIFS(INDEX(BaleQuality[#Data],,MATCH(J$8,BaleQuality[#Headers],0)),BaleQuality[Bale_ID],$B131,BaleQuality[CollectionStream_ID],"09")+
SUMIFS(INDEX(BaleQuality[#Data],,MATCH(J$8,BaleQuality[#Headers],0)),BaleQuality[Bale_ID],$B131,BaleQuality[CollectionStream_ID],"10")+
SUMIFS(INDEX(BaleQuality[#Data],,MATCH(J$8,BaleQuality[#Headers],0)),BaleQuality[Bale_ID],$B131,BaleQuality[CollectionStream_ID],"14"))),"")</f>
        <v>3.2483609774554556E-2</v>
      </c>
      <c r="K131" s="564">
        <f>IFERROR(1-((SUMIFS(INDEX(BaleQuality[#Data],,MATCH(K$9,BaleQuality[#Headers],0)),BaleQuality[Bale_ID],$B131,BaleQuality[CollectionStream_ID],"01")+
SUMIFS(INDEX(BaleQuality[#Data],,MATCH(K$9,BaleQuality[#Headers],0)),BaleQuality[Bale_ID],$B131,BaleQuality[CollectionStream_ID],"09")+
SUMIFS(INDEX(BaleQuality[#Data],,MATCH(K$9,BaleQuality[#Headers],0)),BaleQuality[Bale_ID],$B131,BaleQuality[CollectionStream_ID],"10")+
SUMIFS(INDEX(BaleQuality[#Data],,MATCH(K$9,BaleQuality[#Headers],0)),BaleQuality[Bale_ID],$B131,BaleQuality[CollectionStream_ID],"14"))
/
(SUMIFS(INDEX(BaleQuality[#Data],,MATCH(K$8,BaleQuality[#Headers],0)),BaleQuality[Bale_ID],$B131,BaleQuality[CollectionStream_ID],"01")+
SUMIFS(INDEX(BaleQuality[#Data],,MATCH(K$8,BaleQuality[#Headers],0)),BaleQuality[Bale_ID],$B131,BaleQuality[CollectionStream_ID],"09")+
SUMIFS(INDEX(BaleQuality[#Data],,MATCH(K$8,BaleQuality[#Headers],0)),BaleQuality[Bale_ID],$B131,BaleQuality[CollectionStream_ID],"10")+
SUMIFS(INDEX(BaleQuality[#Data],,MATCH(K$8,BaleQuality[#Headers],0)),BaleQuality[Bale_ID],$B131,BaleQuality[CollectionStream_ID],"14"))),"")</f>
        <v>2.8327487273563823E-2</v>
      </c>
      <c r="L131" s="564">
        <f>IFERROR(1-((SUMIFS(INDEX(BaleQuality[#Data],,MATCH(L$9,BaleQuality[#Headers],0)),BaleQuality[Bale_ID],$B131,BaleQuality[CollectionStream_ID],"01")+
SUMIFS(INDEX(BaleQuality[#Data],,MATCH(L$9,BaleQuality[#Headers],0)),BaleQuality[Bale_ID],$B131,BaleQuality[CollectionStream_ID],"09")+
SUMIFS(INDEX(BaleQuality[#Data],,MATCH(L$9,BaleQuality[#Headers],0)),BaleQuality[Bale_ID],$B131,BaleQuality[CollectionStream_ID],"10")+
SUMIFS(INDEX(BaleQuality[#Data],,MATCH(L$9,BaleQuality[#Headers],0)),BaleQuality[Bale_ID],$B131,BaleQuality[CollectionStream_ID],"14"))
/
(SUMIFS(INDEX(BaleQuality[#Data],,MATCH(L$8,BaleQuality[#Headers],0)),BaleQuality[Bale_ID],$B131,BaleQuality[CollectionStream_ID],"01")+
SUMIFS(INDEX(BaleQuality[#Data],,MATCH(L$8,BaleQuality[#Headers],0)),BaleQuality[Bale_ID],$B131,BaleQuality[CollectionStream_ID],"09")+
SUMIFS(INDEX(BaleQuality[#Data],,MATCH(L$8,BaleQuality[#Headers],0)),BaleQuality[Bale_ID],$B131,BaleQuality[CollectionStream_ID],"10")+
SUMIFS(INDEX(BaleQuality[#Data],,MATCH(L$8,BaleQuality[#Headers],0)),BaleQuality[Bale_ID],$B131,BaleQuality[CollectionStream_ID],"14"))),"")</f>
        <v>2.808193938720549E-2</v>
      </c>
      <c r="M131" s="564">
        <f>IFERROR(1-((SUMIFS(INDEX(BaleQuality[#Data],,MATCH(M$9,BaleQuality[#Headers],0)),BaleQuality[Bale_ID],$B131,BaleQuality[CollectionStream_ID],"01")+
SUMIFS(INDEX(BaleQuality[#Data],,MATCH(M$9,BaleQuality[#Headers],0)),BaleQuality[Bale_ID],$B131,BaleQuality[CollectionStream_ID],"09")+
SUMIFS(INDEX(BaleQuality[#Data],,MATCH(M$9,BaleQuality[#Headers],0)),BaleQuality[Bale_ID],$B131,BaleQuality[CollectionStream_ID],"10")+
SUMIFS(INDEX(BaleQuality[#Data],,MATCH(M$9,BaleQuality[#Headers],0)),BaleQuality[Bale_ID],$B131,BaleQuality[CollectionStream_ID],"14"))
/
(SUMIFS(INDEX(BaleQuality[#Data],,MATCH(M$8,BaleQuality[#Headers],0)),BaleQuality[Bale_ID],$B131,BaleQuality[CollectionStream_ID],"01")+
SUMIFS(INDEX(BaleQuality[#Data],,MATCH(M$8,BaleQuality[#Headers],0)),BaleQuality[Bale_ID],$B131,BaleQuality[CollectionStream_ID],"09")+
SUMIFS(INDEX(BaleQuality[#Data],,MATCH(M$8,BaleQuality[#Headers],0)),BaleQuality[Bale_ID],$B131,BaleQuality[CollectionStream_ID],"10")+
SUMIFS(INDEX(BaleQuality[#Data],,MATCH(M$8,BaleQuality[#Headers],0)),BaleQuality[Bale_ID],$B131,BaleQuality[CollectionStream_ID],"14"))),"")</f>
        <v>3.2163010060352493E-2</v>
      </c>
      <c r="P131" s="596"/>
      <c r="Z131" s="596"/>
    </row>
    <row r="132" spans="1:26" s="352" customFormat="1" x14ac:dyDescent="0.2">
      <c r="A132" s="521"/>
      <c r="B132" s="352" t="s">
        <v>1021</v>
      </c>
      <c r="G132" s="352" t="str">
        <f>INDEX(Bales[Bale_Name],MATCH(B132,Bales[Bale_ID],0))</f>
        <v>Scrap metal</v>
      </c>
      <c r="I132" s="564">
        <f>IFERROR(1-((SUMIFS(INDEX(BaleQuality[#Data],,MATCH(I$9,BaleQuality[#Headers],0)),BaleQuality[Bale_ID],$B132,BaleQuality[CollectionStream_ID],"01")+
SUMIFS(INDEX(BaleQuality[#Data],,MATCH(I$9,BaleQuality[#Headers],0)),BaleQuality[Bale_ID],$B132,BaleQuality[CollectionStream_ID],"09")+
SUMIFS(INDEX(BaleQuality[#Data],,MATCH(I$9,BaleQuality[#Headers],0)),BaleQuality[Bale_ID],$B132,BaleQuality[CollectionStream_ID],"10")+
SUMIFS(INDEX(BaleQuality[#Data],,MATCH(I$9,BaleQuality[#Headers],0)),BaleQuality[Bale_ID],$B132,BaleQuality[CollectionStream_ID],"14"))
/
(SUMIFS(INDEX(BaleQuality[#Data],,MATCH(I$8,BaleQuality[#Headers],0)),BaleQuality[Bale_ID],$B132,BaleQuality[CollectionStream_ID],"01")+
SUMIFS(INDEX(BaleQuality[#Data],,MATCH(I$8,BaleQuality[#Headers],0)),BaleQuality[Bale_ID],$B132,BaleQuality[CollectionStream_ID],"09")+
SUMIFS(INDEX(BaleQuality[#Data],,MATCH(I$8,BaleQuality[#Headers],0)),BaleQuality[Bale_ID],$B132,BaleQuality[CollectionStream_ID],"10")+
SUMIFS(INDEX(BaleQuality[#Data],,MATCH(I$8,BaleQuality[#Headers],0)),BaleQuality[Bale_ID],$B132,BaleQuality[CollectionStream_ID],"14"))),"")</f>
        <v>5.4517428167943915E-4</v>
      </c>
      <c r="J132" s="564">
        <f>IFERROR(1-((SUMIFS(INDEX(BaleQuality[#Data],,MATCH(J$9,BaleQuality[#Headers],0)),BaleQuality[Bale_ID],$B132,BaleQuality[CollectionStream_ID],"01")+
SUMIFS(INDEX(BaleQuality[#Data],,MATCH(J$9,BaleQuality[#Headers],0)),BaleQuality[Bale_ID],$B132,BaleQuality[CollectionStream_ID],"09")+
SUMIFS(INDEX(BaleQuality[#Data],,MATCH(J$9,BaleQuality[#Headers],0)),BaleQuality[Bale_ID],$B132,BaleQuality[CollectionStream_ID],"10")+
SUMIFS(INDEX(BaleQuality[#Data],,MATCH(J$9,BaleQuality[#Headers],0)),BaleQuality[Bale_ID],$B132,BaleQuality[CollectionStream_ID],"14"))
/
(SUMIFS(INDEX(BaleQuality[#Data],,MATCH(J$8,BaleQuality[#Headers],0)),BaleQuality[Bale_ID],$B132,BaleQuality[CollectionStream_ID],"01")+
SUMIFS(INDEX(BaleQuality[#Data],,MATCH(J$8,BaleQuality[#Headers],0)),BaleQuality[Bale_ID],$B132,BaleQuality[CollectionStream_ID],"09")+
SUMIFS(INDEX(BaleQuality[#Data],,MATCH(J$8,BaleQuality[#Headers],0)),BaleQuality[Bale_ID],$B132,BaleQuality[CollectionStream_ID],"10")+
SUMIFS(INDEX(BaleQuality[#Data],,MATCH(J$8,BaleQuality[#Headers],0)),BaleQuality[Bale_ID],$B132,BaleQuality[CollectionStream_ID],"14"))),"")</f>
        <v>3.4438177471063369E-4</v>
      </c>
      <c r="K132" s="564">
        <f>IFERROR(1-((SUMIFS(INDEX(BaleQuality[#Data],,MATCH(K$9,BaleQuality[#Headers],0)),BaleQuality[Bale_ID],$B132,BaleQuality[CollectionStream_ID],"01")+
SUMIFS(INDEX(BaleQuality[#Data],,MATCH(K$9,BaleQuality[#Headers],0)),BaleQuality[Bale_ID],$B132,BaleQuality[CollectionStream_ID],"09")+
SUMIFS(INDEX(BaleQuality[#Data],,MATCH(K$9,BaleQuality[#Headers],0)),BaleQuality[Bale_ID],$B132,BaleQuality[CollectionStream_ID],"10")+
SUMIFS(INDEX(BaleQuality[#Data],,MATCH(K$9,BaleQuality[#Headers],0)),BaleQuality[Bale_ID],$B132,BaleQuality[CollectionStream_ID],"14"))
/
(SUMIFS(INDEX(BaleQuality[#Data],,MATCH(K$8,BaleQuality[#Headers],0)),BaleQuality[Bale_ID],$B132,BaleQuality[CollectionStream_ID],"01")+
SUMIFS(INDEX(BaleQuality[#Data],,MATCH(K$8,BaleQuality[#Headers],0)),BaleQuality[Bale_ID],$B132,BaleQuality[CollectionStream_ID],"09")+
SUMIFS(INDEX(BaleQuality[#Data],,MATCH(K$8,BaleQuality[#Headers],0)),BaleQuality[Bale_ID],$B132,BaleQuality[CollectionStream_ID],"10")+
SUMIFS(INDEX(BaleQuality[#Data],,MATCH(K$8,BaleQuality[#Headers],0)),BaleQuality[Bale_ID],$B132,BaleQuality[CollectionStream_ID],"14"))),"")</f>
        <v>3.7315485634714651E-4</v>
      </c>
      <c r="L132" s="564">
        <f>IFERROR(1-((SUMIFS(INDEX(BaleQuality[#Data],,MATCH(L$9,BaleQuality[#Headers],0)),BaleQuality[Bale_ID],$B132,BaleQuality[CollectionStream_ID],"01")+
SUMIFS(INDEX(BaleQuality[#Data],,MATCH(L$9,BaleQuality[#Headers],0)),BaleQuality[Bale_ID],$B132,BaleQuality[CollectionStream_ID],"09")+
SUMIFS(INDEX(BaleQuality[#Data],,MATCH(L$9,BaleQuality[#Headers],0)),BaleQuality[Bale_ID],$B132,BaleQuality[CollectionStream_ID],"10")+
SUMIFS(INDEX(BaleQuality[#Data],,MATCH(L$9,BaleQuality[#Headers],0)),BaleQuality[Bale_ID],$B132,BaleQuality[CollectionStream_ID],"14"))
/
(SUMIFS(INDEX(BaleQuality[#Data],,MATCH(L$8,BaleQuality[#Headers],0)),BaleQuality[Bale_ID],$B132,BaleQuality[CollectionStream_ID],"01")+
SUMIFS(INDEX(BaleQuality[#Data],,MATCH(L$8,BaleQuality[#Headers],0)),BaleQuality[Bale_ID],$B132,BaleQuality[CollectionStream_ID],"09")+
SUMIFS(INDEX(BaleQuality[#Data],,MATCH(L$8,BaleQuality[#Headers],0)),BaleQuality[Bale_ID],$B132,BaleQuality[CollectionStream_ID],"10")+
SUMIFS(INDEX(BaleQuality[#Data],,MATCH(L$8,BaleQuality[#Headers],0)),BaleQuality[Bale_ID],$B132,BaleQuality[CollectionStream_ID],"14"))),"")</f>
        <v>3.7193021241976876E-4</v>
      </c>
      <c r="M132" s="564">
        <f>IFERROR(1-((SUMIFS(INDEX(BaleQuality[#Data],,MATCH(M$9,BaleQuality[#Headers],0)),BaleQuality[Bale_ID],$B132,BaleQuality[CollectionStream_ID],"01")+
SUMIFS(INDEX(BaleQuality[#Data],,MATCH(M$9,BaleQuality[#Headers],0)),BaleQuality[Bale_ID],$B132,BaleQuality[CollectionStream_ID],"09")+
SUMIFS(INDEX(BaleQuality[#Data],,MATCH(M$9,BaleQuality[#Headers],0)),BaleQuality[Bale_ID],$B132,BaleQuality[CollectionStream_ID],"10")+
SUMIFS(INDEX(BaleQuality[#Data],,MATCH(M$9,BaleQuality[#Headers],0)),BaleQuality[Bale_ID],$B132,BaleQuality[CollectionStream_ID],"14"))
/
(SUMIFS(INDEX(BaleQuality[#Data],,MATCH(M$8,BaleQuality[#Headers],0)),BaleQuality[Bale_ID],$B132,BaleQuality[CollectionStream_ID],"01")+
SUMIFS(INDEX(BaleQuality[#Data],,MATCH(M$8,BaleQuality[#Headers],0)),BaleQuality[Bale_ID],$B132,BaleQuality[CollectionStream_ID],"09")+
SUMIFS(INDEX(BaleQuality[#Data],,MATCH(M$8,BaleQuality[#Headers],0)),BaleQuality[Bale_ID],$B132,BaleQuality[CollectionStream_ID],"10")+
SUMIFS(INDEX(BaleQuality[#Data],,MATCH(M$8,BaleQuality[#Headers],0)),BaleQuality[Bale_ID],$B132,BaleQuality[CollectionStream_ID],"14"))),"")</f>
        <v>2.2583157644422425E-3</v>
      </c>
      <c r="P132" s="596"/>
      <c r="Z132" s="596"/>
    </row>
    <row r="133" spans="1:26" s="549" customFormat="1" x14ac:dyDescent="0.2">
      <c r="B133" s="549" t="s">
        <v>3729</v>
      </c>
      <c r="I133" s="564"/>
      <c r="J133" s="564"/>
      <c r="K133" s="564"/>
      <c r="L133" s="564"/>
      <c r="M133" s="564"/>
      <c r="P133" s="598"/>
      <c r="Z133" s="598"/>
    </row>
    <row r="134" spans="1:26" s="352" customFormat="1" ht="45" x14ac:dyDescent="0.25">
      <c r="A134" s="521"/>
      <c r="E134" s="535" t="s">
        <v>3591</v>
      </c>
      <c r="F134" s="535"/>
      <c r="G134" s="534"/>
      <c r="H134" s="534"/>
      <c r="I134" s="554" t="str">
        <f>I$24</f>
        <v>Baseline</v>
      </c>
      <c r="J134" s="575" t="str">
        <f t="shared" ref="J134:M134" si="12">J$24</f>
        <v>Scenario A  
Modern MRFs</v>
      </c>
      <c r="K134" s="575" t="str">
        <f t="shared" si="12"/>
        <v>Scenario A+  
Modern MRFs &amp; Longer List</v>
      </c>
      <c r="L134" s="575" t="str">
        <f t="shared" si="12"/>
        <v>Scenario B  
Out-of-State CRF</v>
      </c>
      <c r="M134" s="575" t="str">
        <f t="shared" si="12"/>
        <v>Scenario  C  
Dual-Stream</v>
      </c>
      <c r="P134" s="596"/>
      <c r="Z134" s="596"/>
    </row>
    <row r="135" spans="1:26" s="530" customFormat="1" ht="6" x14ac:dyDescent="0.15">
      <c r="B135" s="530" t="s">
        <v>3581</v>
      </c>
      <c r="I135" s="555"/>
      <c r="J135" s="555"/>
      <c r="K135" s="555"/>
      <c r="L135" s="555"/>
      <c r="M135" s="555"/>
      <c r="P135" s="597"/>
      <c r="Z135" s="597"/>
    </row>
    <row r="136" spans="1:26" s="521" customFormat="1" x14ac:dyDescent="0.2">
      <c r="E136" s="521" t="s">
        <v>3620</v>
      </c>
      <c r="P136" s="596"/>
      <c r="Z136" s="596"/>
    </row>
    <row r="137" spans="1:26" s="521" customFormat="1" x14ac:dyDescent="0.2">
      <c r="E137" s="521" t="s">
        <v>3621</v>
      </c>
      <c r="P137" s="596"/>
      <c r="Z137" s="596"/>
    </row>
    <row r="138" spans="1:26" s="521" customFormat="1" x14ac:dyDescent="0.2">
      <c r="E138" s="521" t="s">
        <v>3622</v>
      </c>
      <c r="P138" s="596"/>
      <c r="Z138" s="596"/>
    </row>
    <row r="139" spans="1:26" s="530" customFormat="1" ht="6" x14ac:dyDescent="0.15">
      <c r="B139" s="530" t="s">
        <v>3581</v>
      </c>
      <c r="I139" s="555"/>
      <c r="J139" s="555"/>
      <c r="K139" s="555"/>
      <c r="L139" s="555"/>
      <c r="M139" s="555"/>
      <c r="P139" s="597"/>
      <c r="Z139" s="597"/>
    </row>
    <row r="140" spans="1:26" s="521" customFormat="1" ht="15" x14ac:dyDescent="0.25">
      <c r="E140" s="181"/>
      <c r="F140" s="576" t="s">
        <v>3615</v>
      </c>
      <c r="G140" s="576"/>
      <c r="H140" s="576"/>
      <c r="I140" s="577">
        <f>SUM(I142,I152,I174,I178)</f>
        <v>510664.70729129203</v>
      </c>
      <c r="J140" s="577">
        <f>SUM(J142,J152,J174,J178)</f>
        <v>506527.19774226611</v>
      </c>
      <c r="K140" s="577">
        <f>SUM(K142,K152,K174,K178)</f>
        <v>556823.58983724285</v>
      </c>
      <c r="L140" s="577">
        <f>SUM(L142,L152,L174,L178)</f>
        <v>556753.34215383162</v>
      </c>
      <c r="M140" s="577">
        <f>SUM(M142,M152,M174,M178)</f>
        <v>565427.81678599468</v>
      </c>
      <c r="P140" s="596"/>
      <c r="Z140" s="596"/>
    </row>
    <row r="141" spans="1:26" s="530" customFormat="1" ht="6" x14ac:dyDescent="0.15">
      <c r="B141" s="530" t="s">
        <v>3581</v>
      </c>
      <c r="I141" s="555"/>
      <c r="J141" s="555"/>
      <c r="K141" s="555"/>
      <c r="L141" s="555"/>
      <c r="M141" s="555"/>
      <c r="P141" s="597"/>
      <c r="Z141" s="597"/>
    </row>
    <row r="142" spans="1:26" s="352" customFormat="1" ht="15" x14ac:dyDescent="0.25">
      <c r="A142" s="521"/>
      <c r="E142" s="181"/>
      <c r="F142" s="539" t="s">
        <v>3694</v>
      </c>
      <c r="G142" s="536"/>
      <c r="H142" s="536"/>
      <c r="I142" s="550">
        <f>SUM(I143:I150)</f>
        <v>369136.41234313749</v>
      </c>
      <c r="J142" s="550">
        <f t="shared" ref="J142:M142" si="13">SUM(J143:J150)</f>
        <v>368962.86318331893</v>
      </c>
      <c r="K142" s="550">
        <f t="shared" si="13"/>
        <v>388998.05693335953</v>
      </c>
      <c r="L142" s="550">
        <f t="shared" si="13"/>
        <v>389050.89185990143</v>
      </c>
      <c r="M142" s="550">
        <f t="shared" si="13"/>
        <v>396713.95923738525</v>
      </c>
      <c r="P142" s="596"/>
      <c r="S142" s="604" t="s">
        <v>3727</v>
      </c>
      <c r="T142" s="600" t="s">
        <v>876</v>
      </c>
      <c r="U142" s="600" t="s">
        <v>875</v>
      </c>
      <c r="V142" s="600" t="s">
        <v>874</v>
      </c>
      <c r="W142" s="600" t="s">
        <v>873</v>
      </c>
      <c r="X142" s="600" t="s">
        <v>870</v>
      </c>
      <c r="Z142" s="596"/>
    </row>
    <row r="143" spans="1:26" s="352" customFormat="1" x14ac:dyDescent="0.2">
      <c r="A143" s="521"/>
      <c r="B143" s="352">
        <v>1111</v>
      </c>
      <c r="G143" s="352" t="str">
        <f>INDEX(SubMaterial[SubMaterial_Name],MATCH(B143,SubMaterial[SubMaterial_ID],0))</f>
        <v>Corrugated cardboard</v>
      </c>
      <c r="I143" s="556">
        <f>SUMIFS(BaleMarketer[Properly_Baled_Tons],BaleMarketer[Scenario_ID],I$2,BaleMarketer[Submaterial_ID],$B143)</f>
        <v>229538.77257259167</v>
      </c>
      <c r="J143" s="556">
        <f>SUMIFS(BaleMarketer[Properly_Baled_Tons],BaleMarketer[Scenario_ID],J$2,BaleMarketer[Submaterial_ID],$B143)</f>
        <v>230516.25623987758</v>
      </c>
      <c r="K143" s="556">
        <f>SUMIFS(BaleMarketer[Properly_Baled_Tons],BaleMarketer[Scenario_ID],K$2,BaleMarketer[Submaterial_ID],$B143)</f>
        <v>230935.87855102509</v>
      </c>
      <c r="L143" s="556">
        <f>SUMIFS(BaleMarketer[Properly_Baled_Tons],BaleMarketer[Scenario_ID],L$2,BaleMarketer[Submaterial_ID],$B143)</f>
        <v>230960.15136370878</v>
      </c>
      <c r="M143" s="556">
        <f>SUMIFS(BaleMarketer[Properly_Baled_Tons],BaleMarketer[Scenario_ID],M$2,BaleMarketer[Submaterial_ID],$B143)</f>
        <v>235151.72949944407</v>
      </c>
      <c r="P143" s="596"/>
      <c r="S143" s="600" t="s">
        <v>3694</v>
      </c>
      <c r="T143" s="601">
        <f>I142</f>
        <v>369136.41234313749</v>
      </c>
      <c r="U143" s="601">
        <f t="shared" ref="U143:X143" si="14">J142</f>
        <v>368962.86318331893</v>
      </c>
      <c r="V143" s="601">
        <f t="shared" si="14"/>
        <v>388998.05693335953</v>
      </c>
      <c r="W143" s="601">
        <f t="shared" si="14"/>
        <v>389050.89185990143</v>
      </c>
      <c r="X143" s="601">
        <f t="shared" si="14"/>
        <v>396713.95923738525</v>
      </c>
      <c r="Z143" s="596"/>
    </row>
    <row r="144" spans="1:26" s="352" customFormat="1" x14ac:dyDescent="0.2">
      <c r="A144" s="521"/>
      <c r="B144" s="352">
        <v>1211</v>
      </c>
      <c r="G144" s="352" t="str">
        <f>INDEX(SubMaterial[SubMaterial_Name],MATCH(B144,SubMaterial[SubMaterial_ID],0))</f>
        <v>Newspaper</v>
      </c>
      <c r="I144" s="556">
        <f>SUMIFS(BaleMarketer[Properly_Baled_Tons],BaleMarketer[Scenario_ID],I$2,BaleMarketer[Submaterial_ID],$B144)</f>
        <v>42229.095906630988</v>
      </c>
      <c r="J144" s="556">
        <f>SUMIFS(BaleMarketer[Properly_Baled_Tons],BaleMarketer[Scenario_ID],J$2,BaleMarketer[Submaterial_ID],$B144)</f>
        <v>42229.095906630995</v>
      </c>
      <c r="K144" s="556">
        <f>SUMIFS(BaleMarketer[Properly_Baled_Tons],BaleMarketer[Scenario_ID],K$2,BaleMarketer[Submaterial_ID],$B144)</f>
        <v>43380.256833965708</v>
      </c>
      <c r="L144" s="556">
        <f>SUMIFS(BaleMarketer[Properly_Baled_Tons],BaleMarketer[Scenario_ID],L$2,BaleMarketer[Submaterial_ID],$B144)</f>
        <v>43381.082883580522</v>
      </c>
      <c r="M144" s="556">
        <f>SUMIFS(BaleMarketer[Properly_Baled_Tons],BaleMarketer[Scenario_ID],M$2,BaleMarketer[Submaterial_ID],$B144)</f>
        <v>43374.659981153651</v>
      </c>
      <c r="P144" s="596"/>
      <c r="S144" s="600" t="s">
        <v>3709</v>
      </c>
      <c r="T144" s="601">
        <f>I152</f>
        <v>18427.733682154925</v>
      </c>
      <c r="U144" s="601">
        <f t="shared" ref="U144:X144" si="15">J152</f>
        <v>16291.578891070954</v>
      </c>
      <c r="V144" s="601">
        <f t="shared" si="15"/>
        <v>35642.269789261722</v>
      </c>
      <c r="W144" s="601">
        <f t="shared" si="15"/>
        <v>35517.272034064037</v>
      </c>
      <c r="X144" s="601">
        <f t="shared" si="15"/>
        <v>36715.055248157529</v>
      </c>
      <c r="Z144" s="596"/>
    </row>
    <row r="145" spans="1:26" s="352" customFormat="1" x14ac:dyDescent="0.2">
      <c r="A145" s="521"/>
      <c r="B145" s="352">
        <v>1221</v>
      </c>
      <c r="G145" s="352" t="str">
        <f>INDEX(SubMaterial[SubMaterial_Name],MATCH(B145,SubMaterial[SubMaterial_ID],0))</f>
        <v>Printing and writing paper</v>
      </c>
      <c r="I145" s="556">
        <f>SUMIFS(BaleMarketer[Properly_Baled_Tons],BaleMarketer[Scenario_ID],I$2,BaleMarketer[Submaterial_ID],$B145)</f>
        <v>50392.349023056871</v>
      </c>
      <c r="J145" s="556">
        <f>SUMIFS(BaleMarketer[Properly_Baled_Tons],BaleMarketer[Scenario_ID],J$2,BaleMarketer[Submaterial_ID],$B145)</f>
        <v>50392.349023056879</v>
      </c>
      <c r="K145" s="556">
        <f>SUMIFS(BaleMarketer[Properly_Baled_Tons],BaleMarketer[Scenario_ID],K$2,BaleMarketer[Submaterial_ID],$B145)</f>
        <v>56581.697535669577</v>
      </c>
      <c r="L145" s="556">
        <f>SUMIFS(BaleMarketer[Properly_Baled_Tons],BaleMarketer[Scenario_ID],L$2,BaleMarketer[Submaterial_ID],$B145)</f>
        <v>56593.318445185898</v>
      </c>
      <c r="M145" s="556">
        <f>SUMIFS(BaleMarketer[Properly_Baled_Tons],BaleMarketer[Scenario_ID],M$2,BaleMarketer[Submaterial_ID],$B145)</f>
        <v>58996.870722047388</v>
      </c>
      <c r="P145" s="596"/>
      <c r="S145" s="600" t="s">
        <v>3697</v>
      </c>
      <c r="T145" s="601">
        <f>I174</f>
        <v>58420.519861067107</v>
      </c>
      <c r="U145" s="601">
        <f t="shared" ref="U145:X145" si="16">J174</f>
        <v>58420.519861067107</v>
      </c>
      <c r="V145" s="601">
        <f t="shared" si="16"/>
        <v>64551.841763634853</v>
      </c>
      <c r="W145" s="601">
        <f t="shared" si="16"/>
        <v>64551.841763634853</v>
      </c>
      <c r="X145" s="601">
        <f t="shared" si="16"/>
        <v>64551.841763634853</v>
      </c>
      <c r="Z145" s="596"/>
    </row>
    <row r="146" spans="1:26" s="352" customFormat="1" x14ac:dyDescent="0.2">
      <c r="A146" s="521"/>
      <c r="B146" s="352">
        <v>1222</v>
      </c>
      <c r="G146" s="352" t="str">
        <f>INDEX(SubMaterial[SubMaterial_Name],MATCH(B146,SubMaterial[SubMaterial_ID],0))</f>
        <v>Other paper recyclable with newspaper</v>
      </c>
      <c r="I146" s="556">
        <f>SUMIFS(BaleMarketer[Properly_Baled_Tons],BaleMarketer[Scenario_ID],I$2,BaleMarketer[Submaterial_ID],$B146)</f>
        <v>2652.2288959503617</v>
      </c>
      <c r="J146" s="556">
        <f>SUMIFS(BaleMarketer[Properly_Baled_Tons],BaleMarketer[Scenario_ID],J$2,BaleMarketer[Submaterial_ID],$B146)</f>
        <v>2652.2288959503621</v>
      </c>
      <c r="K146" s="556">
        <f>SUMIFS(BaleMarketer[Properly_Baled_Tons],BaleMarketer[Scenario_ID],K$2,BaleMarketer[Submaterial_ID],$B146)</f>
        <v>4304.2737063707955</v>
      </c>
      <c r="L146" s="556">
        <f>SUMIFS(BaleMarketer[Properly_Baled_Tons],BaleMarketer[Scenario_ID],L$2,BaleMarketer[Submaterial_ID],$B146)</f>
        <v>4305.1534706321572</v>
      </c>
      <c r="M146" s="556">
        <f>SUMIFS(BaleMarketer[Properly_Baled_Tons],BaleMarketer[Scenario_ID],M$2,BaleMarketer[Submaterial_ID],$B146)</f>
        <v>4345.9010099606239</v>
      </c>
      <c r="P146" s="596"/>
      <c r="S146" s="600" t="s">
        <v>3696</v>
      </c>
      <c r="T146" s="601">
        <f>I178</f>
        <v>64680.04140493249</v>
      </c>
      <c r="U146" s="601">
        <f t="shared" ref="U146:X146" si="17">J178</f>
        <v>62852.235806809069</v>
      </c>
      <c r="V146" s="601">
        <f t="shared" si="17"/>
        <v>67631.421350986697</v>
      </c>
      <c r="W146" s="601">
        <f t="shared" si="17"/>
        <v>67633.336496231321</v>
      </c>
      <c r="X146" s="601">
        <f t="shared" si="17"/>
        <v>67446.960536816972</v>
      </c>
      <c r="Z146" s="596"/>
    </row>
    <row r="147" spans="1:26" s="352" customFormat="1" x14ac:dyDescent="0.2">
      <c r="A147" s="521"/>
      <c r="B147" s="352">
        <v>1231</v>
      </c>
      <c r="G147" s="352" t="str">
        <f>INDEX(SubMaterial[SubMaterial_Name],MATCH(B147,SubMaterial[SubMaterial_ID],0))</f>
        <v>Paperboard</v>
      </c>
      <c r="I147" s="556">
        <f>SUMIFS(BaleMarketer[Properly_Baled_Tons],BaleMarketer[Scenario_ID],I$2,BaleMarketer[Submaterial_ID],$B147)</f>
        <v>35557.504543421019</v>
      </c>
      <c r="J147" s="556">
        <f>SUMIFS(BaleMarketer[Properly_Baled_Tons],BaleMarketer[Scenario_ID],J$2,BaleMarketer[Submaterial_ID],$B147)</f>
        <v>35557.504543421019</v>
      </c>
      <c r="K147" s="556">
        <f>SUMIFS(BaleMarketer[Properly_Baled_Tons],BaleMarketer[Scenario_ID],K$2,BaleMarketer[Submaterial_ID],$B147)</f>
        <v>39015.452698173314</v>
      </c>
      <c r="L147" s="556">
        <f>SUMIFS(BaleMarketer[Properly_Baled_Tons],BaleMarketer[Scenario_ID],L$2,BaleMarketer[Submaterial_ID],$B147)</f>
        <v>39019.871183949464</v>
      </c>
      <c r="M147" s="556">
        <f>SUMIFS(BaleMarketer[Properly_Baled_Tons],BaleMarketer[Scenario_ID],M$2,BaleMarketer[Submaterial_ID],$B147)</f>
        <v>38986.931147017902</v>
      </c>
      <c r="P147" s="596"/>
      <c r="S147" s="600" t="s">
        <v>25</v>
      </c>
      <c r="T147" s="601">
        <f>SUM(T143:T146)</f>
        <v>510664.70729129203</v>
      </c>
      <c r="U147" s="601">
        <f t="shared" ref="U147" si="18">SUM(U143:U146)</f>
        <v>506527.19774226611</v>
      </c>
      <c r="V147" s="601">
        <f t="shared" ref="V147" si="19">SUM(V143:V146)</f>
        <v>556823.58983724285</v>
      </c>
      <c r="W147" s="601">
        <f t="shared" ref="W147" si="20">SUM(W143:W146)</f>
        <v>556753.34215383162</v>
      </c>
      <c r="X147" s="601">
        <f t="shared" ref="X147" si="21">SUM(X143:X146)</f>
        <v>565427.81678599468</v>
      </c>
      <c r="Z147" s="596"/>
    </row>
    <row r="148" spans="1:26" s="352" customFormat="1" x14ac:dyDescent="0.2">
      <c r="A148" s="521"/>
      <c r="B148" s="352">
        <v>1232</v>
      </c>
      <c r="G148" s="352" t="str">
        <f>INDEX(SubMaterial[SubMaterial_Name],MATCH(B148,SubMaterial[SubMaterial_ID],0))</f>
        <v>Other paper not recyclable with newspaper</v>
      </c>
      <c r="I148" s="556">
        <f>SUMIFS(BaleMarketer[Properly_Baled_Tons],BaleMarketer[Scenario_ID],I$2,BaleMarketer[Submaterial_ID],$B148)</f>
        <v>5285.7085079579911</v>
      </c>
      <c r="J148" s="556">
        <f>SUMIFS(BaleMarketer[Properly_Baled_Tons],BaleMarketer[Scenario_ID],J$2,BaleMarketer[Submaterial_ID],$B148)</f>
        <v>5285.7085079579911</v>
      </c>
      <c r="K148" s="556">
        <f>SUMIFS(BaleMarketer[Properly_Baled_Tons],BaleMarketer[Scenario_ID],K$2,BaleMarketer[Submaterial_ID],$B148)</f>
        <v>5770.1140380658353</v>
      </c>
      <c r="L148" s="556">
        <f>SUMIFS(BaleMarketer[Properly_Baled_Tons],BaleMarketer[Scenario_ID],L$2,BaleMarketer[Submaterial_ID],$B148)</f>
        <v>5774.8296098694782</v>
      </c>
      <c r="M148" s="556">
        <f>SUMIFS(BaleMarketer[Properly_Baled_Tons],BaleMarketer[Scenario_ID],M$2,BaleMarketer[Submaterial_ID],$B148)</f>
        <v>5738.1849460150161</v>
      </c>
      <c r="P148" s="596"/>
      <c r="Z148" s="596"/>
    </row>
    <row r="149" spans="1:26" s="352" customFormat="1" x14ac:dyDescent="0.2">
      <c r="A149" s="521"/>
      <c r="B149" s="352">
        <v>1241</v>
      </c>
      <c r="G149" s="352" t="str">
        <f>INDEX(SubMaterial[SubMaterial_Name],MATCH(B149,SubMaterial[SubMaterial_ID],0))</f>
        <v>Gable tops &amp; aseptics</v>
      </c>
      <c r="I149" s="556">
        <f>SUMIFS(BaleMarketer[Properly_Baled_Tons],BaleMarketer[Scenario_ID],I$2,BaleMarketer[Submaterial_ID],$B149)</f>
        <v>1128.1080400242047</v>
      </c>
      <c r="J149" s="556">
        <f>SUMIFS(BaleMarketer[Properly_Baled_Tons],BaleMarketer[Scenario_ID],J$2,BaleMarketer[Submaterial_ID],$B149)</f>
        <v>881.85219647780048</v>
      </c>
      <c r="K149" s="556">
        <f>SUMIFS(BaleMarketer[Properly_Baled_Tons],BaleMarketer[Scenario_ID],K$2,BaleMarketer[Submaterial_ID],$B149)</f>
        <v>1702.7285872204577</v>
      </c>
      <c r="L149" s="556">
        <f>SUMIFS(BaleMarketer[Properly_Baled_Tons],BaleMarketer[Scenario_ID],L$2,BaleMarketer[Submaterial_ID],$B149)</f>
        <v>1702.7285872204577</v>
      </c>
      <c r="M149" s="556">
        <f>SUMIFS(BaleMarketer[Properly_Baled_Tons],BaleMarketer[Scenario_ID],M$2,BaleMarketer[Submaterial_ID],$B149)</f>
        <v>1768.2405286400196</v>
      </c>
      <c r="P149" s="596"/>
      <c r="Z149" s="596"/>
    </row>
    <row r="150" spans="1:26" s="352" customFormat="1" x14ac:dyDescent="0.2">
      <c r="A150" s="521"/>
      <c r="B150" s="352">
        <v>1251</v>
      </c>
      <c r="G150" s="352" t="str">
        <f>INDEX(SubMaterial[SubMaterial_Name],MATCH(B150,SubMaterial[SubMaterial_ID],0))</f>
        <v>Polycoated containers &amp; cups</v>
      </c>
      <c r="I150" s="556">
        <f>SUMIFS(BaleMarketer[Properly_Baled_Tons],BaleMarketer[Scenario_ID],I$2,BaleMarketer[Submaterial_ID],$B150)</f>
        <v>2352.6448535044119</v>
      </c>
      <c r="J150" s="556">
        <f>SUMIFS(BaleMarketer[Properly_Baled_Tons],BaleMarketer[Scenario_ID],J$2,BaleMarketer[Submaterial_ID],$B150)</f>
        <v>1447.8678699462694</v>
      </c>
      <c r="K150" s="556">
        <f>SUMIFS(BaleMarketer[Properly_Baled_Tons],BaleMarketer[Scenario_ID],K$2,BaleMarketer[Submaterial_ID],$B150)</f>
        <v>7307.654982868773</v>
      </c>
      <c r="L150" s="556">
        <f>SUMIFS(BaleMarketer[Properly_Baled_Tons],BaleMarketer[Scenario_ID],L$2,BaleMarketer[Submaterial_ID],$B150)</f>
        <v>7313.756315754652</v>
      </c>
      <c r="M150" s="556">
        <f>SUMIFS(BaleMarketer[Properly_Baled_Tons],BaleMarketer[Scenario_ID],M$2,BaleMarketer[Submaterial_ID],$B150)</f>
        <v>8351.4414031064789</v>
      </c>
      <c r="P150" s="596"/>
      <c r="Z150" s="596"/>
    </row>
    <row r="151" spans="1:26" s="530" customFormat="1" ht="6" x14ac:dyDescent="0.15">
      <c r="B151" s="530" t="s">
        <v>3581</v>
      </c>
      <c r="I151" s="555"/>
      <c r="J151" s="555"/>
      <c r="K151" s="555"/>
      <c r="L151" s="555"/>
      <c r="M151" s="555"/>
      <c r="P151" s="597"/>
      <c r="Z151" s="597"/>
    </row>
    <row r="152" spans="1:26" s="352" customFormat="1" ht="15" x14ac:dyDescent="0.25">
      <c r="A152" s="521"/>
      <c r="E152" s="181"/>
      <c r="F152" s="539" t="s">
        <v>3695</v>
      </c>
      <c r="G152" s="536"/>
      <c r="H152" s="536"/>
      <c r="I152" s="550">
        <f>SUM(I153:I171)</f>
        <v>18427.733682154925</v>
      </c>
      <c r="J152" s="550">
        <f t="shared" ref="J152:M152" si="22">SUM(J153:J171)</f>
        <v>16291.578891070954</v>
      </c>
      <c r="K152" s="550">
        <f t="shared" si="22"/>
        <v>35642.269789261722</v>
      </c>
      <c r="L152" s="550">
        <f t="shared" si="22"/>
        <v>35517.272034064037</v>
      </c>
      <c r="M152" s="550">
        <f t="shared" si="22"/>
        <v>36715.055248157529</v>
      </c>
      <c r="P152" s="596"/>
      <c r="Z152" s="596"/>
    </row>
    <row r="153" spans="1:26" s="352" customFormat="1" ht="15" x14ac:dyDescent="0.25">
      <c r="A153" s="521"/>
      <c r="B153" s="352">
        <v>2111</v>
      </c>
      <c r="F153" s="381"/>
      <c r="G153" s="352" t="str">
        <f>INDEX(SubMaterial[SubMaterial_Name],MATCH(B153,SubMaterial[SubMaterial_ID],0))</f>
        <v>PET bottles (BB)</v>
      </c>
      <c r="I153" s="556">
        <f>SUMIFS(BaleMarketer[Properly_Baled_Tons],BaleMarketer[Scenario_ID],I$2,BaleMarketer[Submaterial_ID],$B153)</f>
        <v>1501.4781584863645</v>
      </c>
      <c r="J153" s="556">
        <f>SUMIFS(BaleMarketer[Properly_Baled_Tons],BaleMarketer[Scenario_ID],J$2,BaleMarketer[Submaterial_ID],$B153)</f>
        <v>1501.4781584863647</v>
      </c>
      <c r="K153" s="556">
        <f>SUMIFS(BaleMarketer[Properly_Baled_Tons],BaleMarketer[Scenario_ID],K$2,BaleMarketer[Submaterial_ID],$B153)</f>
        <v>1629.9719883856383</v>
      </c>
      <c r="L153" s="556">
        <f>SUMIFS(BaleMarketer[Properly_Baled_Tons],BaleMarketer[Scenario_ID],L$2,BaleMarketer[Submaterial_ID],$B153)</f>
        <v>1629.9719883856383</v>
      </c>
      <c r="M153" s="556">
        <f>SUMIFS(BaleMarketer[Properly_Baled_Tons],BaleMarketer[Scenario_ID],M$2,BaleMarketer[Submaterial_ID],$B153)</f>
        <v>1723.7358429439414</v>
      </c>
      <c r="P153" s="596"/>
      <c r="Z153" s="596"/>
    </row>
    <row r="154" spans="1:26" s="352" customFormat="1" ht="15" x14ac:dyDescent="0.25">
      <c r="A154" s="521"/>
      <c r="B154" s="352">
        <v>2112</v>
      </c>
      <c r="E154" s="381"/>
      <c r="G154" s="352" t="str">
        <f>INDEX(SubMaterial[SubMaterial_Name],MATCH(B154,SubMaterial[SubMaterial_ID],0))</f>
        <v>HDPE bottles (BB)</v>
      </c>
      <c r="I154" s="556">
        <f>SUMIFS(BaleMarketer[Properly_Baled_Tons],BaleMarketer[Scenario_ID],I$2,BaleMarketer[Submaterial_ID],$B154)</f>
        <v>14.955332016544061</v>
      </c>
      <c r="J154" s="556">
        <f>SUMIFS(BaleMarketer[Properly_Baled_Tons],BaleMarketer[Scenario_ID],J$2,BaleMarketer[Submaterial_ID],$B154)</f>
        <v>14.955332016544061</v>
      </c>
      <c r="K154" s="556">
        <f>SUMIFS(BaleMarketer[Properly_Baled_Tons],BaleMarketer[Scenario_ID],K$2,BaleMarketer[Submaterial_ID],$B154)</f>
        <v>16.540428080228583</v>
      </c>
      <c r="L154" s="556">
        <f>SUMIFS(BaleMarketer[Properly_Baled_Tons],BaleMarketer[Scenario_ID],L$2,BaleMarketer[Submaterial_ID],$B154)</f>
        <v>16.306911682528689</v>
      </c>
      <c r="M154" s="556">
        <f>SUMIFS(BaleMarketer[Properly_Baled_Tons],BaleMarketer[Scenario_ID],M$2,BaleMarketer[Submaterial_ID],$B154)</f>
        <v>17.122609152831721</v>
      </c>
      <c r="P154" s="596"/>
      <c r="Z154" s="596"/>
    </row>
    <row r="155" spans="1:26" s="352" customFormat="1" x14ac:dyDescent="0.2">
      <c r="A155" s="521"/>
      <c r="B155" s="352">
        <v>2113</v>
      </c>
      <c r="G155" s="378" t="str">
        <f>INDEX(SubMaterial[SubMaterial_Name],MATCH(B155,SubMaterial[SubMaterial_ID],0))</f>
        <v>PP bottles (BB)</v>
      </c>
      <c r="H155" s="378"/>
      <c r="I155" s="561">
        <f>SUMIFS(BaleMarketer[Properly_Baled_Tons],BaleMarketer[Scenario_ID],I$2,BaleMarketer[Submaterial_ID],$B155)</f>
        <v>4.6310572463486208</v>
      </c>
      <c r="J155" s="561">
        <f>SUMIFS(BaleMarketer[Properly_Baled_Tons],BaleMarketer[Scenario_ID],J$2,BaleMarketer[Submaterial_ID],$B155)</f>
        <v>4.6310572463486208</v>
      </c>
      <c r="K155" s="561">
        <f>SUMIFS(BaleMarketer[Properly_Baled_Tons],BaleMarketer[Scenario_ID],K$2,BaleMarketer[Submaterial_ID],$B155)</f>
        <v>15.400156566978289</v>
      </c>
      <c r="L155" s="561">
        <f>SUMIFS(BaleMarketer[Properly_Baled_Tons],BaleMarketer[Scenario_ID],L$2,BaleMarketer[Submaterial_ID],$B155)</f>
        <v>14.957704445020587</v>
      </c>
      <c r="M155" s="561">
        <f>SUMIFS(BaleMarketer[Properly_Baled_Tons],BaleMarketer[Scenario_ID],M$2,BaleMarketer[Submaterial_ID],$B155)</f>
        <v>17.122609152831721</v>
      </c>
      <c r="P155" s="596"/>
      <c r="Z155" s="596"/>
    </row>
    <row r="156" spans="1:26" s="352" customFormat="1" x14ac:dyDescent="0.2">
      <c r="A156" s="521"/>
      <c r="B156" s="352">
        <v>2114</v>
      </c>
      <c r="G156" s="378" t="str">
        <f>INDEX(SubMaterial[SubMaterial_Name],MATCH(B156,SubMaterial[SubMaterial_ID],0))</f>
        <v>Other deposit plastic bottles</v>
      </c>
      <c r="H156" s="378"/>
      <c r="I156" s="561">
        <f>SUMIFS(BaleMarketer[Properly_Baled_Tons],BaleMarketer[Scenario_ID],I$2,BaleMarketer[Submaterial_ID],$B156)</f>
        <v>0</v>
      </c>
      <c r="J156" s="561">
        <f>SUMIFS(BaleMarketer[Properly_Baled_Tons],BaleMarketer[Scenario_ID],J$2,BaleMarketer[Submaterial_ID],$B156)</f>
        <v>0</v>
      </c>
      <c r="K156" s="561">
        <f>SUMIFS(BaleMarketer[Properly_Baled_Tons],BaleMarketer[Scenario_ID],K$2,BaleMarketer[Submaterial_ID],$B156)</f>
        <v>0</v>
      </c>
      <c r="L156" s="561">
        <f>SUMIFS(BaleMarketer[Properly_Baled_Tons],BaleMarketer[Scenario_ID],L$2,BaleMarketer[Submaterial_ID],$B156)</f>
        <v>0</v>
      </c>
      <c r="M156" s="561">
        <f>SUMIFS(BaleMarketer[Properly_Baled_Tons],BaleMarketer[Scenario_ID],M$2,BaleMarketer[Submaterial_ID],$B156)</f>
        <v>0</v>
      </c>
      <c r="P156" s="596"/>
      <c r="Z156" s="596"/>
    </row>
    <row r="157" spans="1:26" s="352" customFormat="1" x14ac:dyDescent="0.2">
      <c r="A157" s="521"/>
      <c r="B157" s="352">
        <v>2121</v>
      </c>
      <c r="G157" s="378" t="str">
        <f>INDEX(SubMaterial[SubMaterial_Name],MATCH(B157,SubMaterial[SubMaterial_ID],0))</f>
        <v>Other PET bottles &amp; jars</v>
      </c>
      <c r="H157" s="378"/>
      <c r="I157" s="561">
        <f>SUMIFS(BaleMarketer[Properly_Baled_Tons],BaleMarketer[Scenario_ID],I$2,BaleMarketer[Submaterial_ID],$B157)</f>
        <v>4755.5471369667302</v>
      </c>
      <c r="J157" s="561">
        <f>SUMIFS(BaleMarketer[Properly_Baled_Tons],BaleMarketer[Scenario_ID],J$2,BaleMarketer[Submaterial_ID],$B157)</f>
        <v>4755.5471369667302</v>
      </c>
      <c r="K157" s="561">
        <f>SUMIFS(BaleMarketer[Properly_Baled_Tons],BaleMarketer[Scenario_ID],K$2,BaleMarketer[Submaterial_ID],$B157)</f>
        <v>4814.8858413065009</v>
      </c>
      <c r="L157" s="561">
        <f>SUMIFS(BaleMarketer[Properly_Baled_Tons],BaleMarketer[Scenario_ID],L$2,BaleMarketer[Submaterial_ID],$B157)</f>
        <v>4845.7565527591169</v>
      </c>
      <c r="M157" s="561">
        <f>SUMIFS(BaleMarketer[Properly_Baled_Tons],BaleMarketer[Scenario_ID],M$2,BaleMarketer[Submaterial_ID],$B157)</f>
        <v>5123.582089114806</v>
      </c>
      <c r="P157" s="596"/>
      <c r="Z157" s="596"/>
    </row>
    <row r="158" spans="1:26" s="352" customFormat="1" x14ac:dyDescent="0.2">
      <c r="A158" s="521"/>
      <c r="B158" s="352">
        <v>2122</v>
      </c>
      <c r="G158" s="378" t="str">
        <f>INDEX(SubMaterial[SubMaterial_Name],MATCH(B158,SubMaterial[SubMaterial_ID],0))</f>
        <v>HDPE bottles &amp; jars</v>
      </c>
      <c r="H158" s="378"/>
      <c r="I158" s="561">
        <f>SUMIFS(BaleMarketer[Properly_Baled_Tons],BaleMarketer[Scenario_ID],I$2,BaleMarketer[Submaterial_ID],$B158)</f>
        <v>4693.08680165025</v>
      </c>
      <c r="J158" s="561">
        <f>SUMIFS(BaleMarketer[Properly_Baled_Tons],BaleMarketer[Scenario_ID],J$2,BaleMarketer[Submaterial_ID],$B158)</f>
        <v>4693.08680165025</v>
      </c>
      <c r="K158" s="561">
        <f>SUMIFS(BaleMarketer[Properly_Baled_Tons],BaleMarketer[Scenario_ID],K$2,BaleMarketer[Submaterial_ID],$B158)</f>
        <v>4753.8681734832116</v>
      </c>
      <c r="L158" s="561">
        <f>SUMIFS(BaleMarketer[Properly_Baled_Tons],BaleMarketer[Scenario_ID],L$2,BaleMarketer[Submaterial_ID],$B158)</f>
        <v>4727.6522349151564</v>
      </c>
      <c r="M158" s="561">
        <f>SUMIFS(BaleMarketer[Properly_Baled_Tons],BaleMarketer[Scenario_ID],M$2,BaleMarketer[Submaterial_ID],$B158)</f>
        <v>4999.03060539326</v>
      </c>
      <c r="P158" s="596"/>
      <c r="Z158" s="596"/>
    </row>
    <row r="159" spans="1:26" s="352" customFormat="1" x14ac:dyDescent="0.2">
      <c r="A159" s="521"/>
      <c r="B159" s="352">
        <v>2123</v>
      </c>
      <c r="G159" s="378" t="str">
        <f>INDEX(SubMaterial[SubMaterial_Name],MATCH(B159,SubMaterial[SubMaterial_ID],0))</f>
        <v>PP bottles &amp; jars</v>
      </c>
      <c r="H159" s="378"/>
      <c r="I159" s="561">
        <f>SUMIFS(BaleMarketer[Properly_Baled_Tons],BaleMarketer[Scenario_ID],I$2,BaleMarketer[Submaterial_ID],$B159)</f>
        <v>55.25629922304848</v>
      </c>
      <c r="J159" s="561">
        <f>SUMIFS(BaleMarketer[Properly_Baled_Tons],BaleMarketer[Scenario_ID],J$2,BaleMarketer[Submaterial_ID],$B159)</f>
        <v>55.25629922304848</v>
      </c>
      <c r="K159" s="561">
        <f>SUMIFS(BaleMarketer[Properly_Baled_Tons],BaleMarketer[Scenario_ID],K$2,BaleMarketer[Submaterial_ID],$B159)</f>
        <v>171.97886583051843</v>
      </c>
      <c r="L159" s="561">
        <f>SUMIFS(BaleMarketer[Properly_Baled_Tons],BaleMarketer[Scenario_ID],L$2,BaleMarketer[Submaterial_ID],$B159)</f>
        <v>167.06830920813417</v>
      </c>
      <c r="M159" s="561">
        <f>SUMIFS(BaleMarketer[Properly_Baled_Tons],BaleMarketer[Scenario_ID],M$2,BaleMarketer[Submaterial_ID],$B159)</f>
        <v>191.08421680889131</v>
      </c>
      <c r="P159" s="596"/>
      <c r="Z159" s="596"/>
    </row>
    <row r="160" spans="1:26" s="352" customFormat="1" x14ac:dyDescent="0.2">
      <c r="A160" s="521"/>
      <c r="B160" s="352">
        <v>2124</v>
      </c>
      <c r="G160" s="378" t="str">
        <f>INDEX(SubMaterial[SubMaterial_Name],MATCH(B160,SubMaterial[SubMaterial_ID],0))</f>
        <v>Other other bottles</v>
      </c>
      <c r="H160" s="378"/>
      <c r="I160" s="561">
        <f>SUMIFS(BaleMarketer[Properly_Baled_Tons],BaleMarketer[Scenario_ID],I$2,BaleMarketer[Submaterial_ID],$B160)</f>
        <v>0</v>
      </c>
      <c r="J160" s="561">
        <f>SUMIFS(BaleMarketer[Properly_Baled_Tons],BaleMarketer[Scenario_ID],J$2,BaleMarketer[Submaterial_ID],$B160)</f>
        <v>0</v>
      </c>
      <c r="K160" s="561">
        <f>SUMIFS(BaleMarketer[Properly_Baled_Tons],BaleMarketer[Scenario_ID],K$2,BaleMarketer[Submaterial_ID],$B160)</f>
        <v>0</v>
      </c>
      <c r="L160" s="561">
        <f>SUMIFS(BaleMarketer[Properly_Baled_Tons],BaleMarketer[Scenario_ID],L$2,BaleMarketer[Submaterial_ID],$B160)</f>
        <v>0</v>
      </c>
      <c r="M160" s="561">
        <f>SUMIFS(BaleMarketer[Properly_Baled_Tons],BaleMarketer[Scenario_ID],M$2,BaleMarketer[Submaterial_ID],$B160)</f>
        <v>0</v>
      </c>
      <c r="P160" s="596"/>
      <c r="Z160" s="596"/>
    </row>
    <row r="161" spans="1:26" s="352" customFormat="1" x14ac:dyDescent="0.2">
      <c r="A161" s="521"/>
      <c r="B161" s="352">
        <v>2131</v>
      </c>
      <c r="G161" s="378" t="str">
        <f>INDEX(SubMaterial[SubMaterial_Name],MATCH(B161,SubMaterial[SubMaterial_ID],0))</f>
        <v>PET tubs</v>
      </c>
      <c r="H161" s="378"/>
      <c r="I161" s="561">
        <f>SUMIFS(BaleMarketer[Properly_Baled_Tons],BaleMarketer[Scenario_ID],I$2,BaleMarketer[Submaterial_ID],$B161)</f>
        <v>76.922679077345137</v>
      </c>
      <c r="J161" s="561">
        <f>SUMIFS(BaleMarketer[Properly_Baled_Tons],BaleMarketer[Scenario_ID],J$2,BaleMarketer[Submaterial_ID],$B161)</f>
        <v>50.139405209558362</v>
      </c>
      <c r="K161" s="561">
        <f>SUMIFS(BaleMarketer[Properly_Baled_Tons],BaleMarketer[Scenario_ID],K$2,BaleMarketer[Submaterial_ID],$B161)</f>
        <v>200.50392165664448</v>
      </c>
      <c r="L161" s="561">
        <f>SUMIFS(BaleMarketer[Properly_Baled_Tons],BaleMarketer[Scenario_ID],L$2,BaleMarketer[Submaterial_ID],$B161)</f>
        <v>200.50392165664448</v>
      </c>
      <c r="M161" s="561">
        <f>SUMIFS(BaleMarketer[Properly_Baled_Tons],BaleMarketer[Scenario_ID],M$2,BaleMarketer[Submaterial_ID],$B161)</f>
        <v>212.05388626541685</v>
      </c>
      <c r="P161" s="596"/>
      <c r="Z161" s="596"/>
    </row>
    <row r="162" spans="1:26" s="352" customFormat="1" x14ac:dyDescent="0.2">
      <c r="A162" s="521"/>
      <c r="B162" s="352">
        <v>2132</v>
      </c>
      <c r="G162" s="378" t="str">
        <f>INDEX(SubMaterial[SubMaterial_Name],MATCH(B162,SubMaterial[SubMaterial_ID],0))</f>
        <v>HDPE tubs</v>
      </c>
      <c r="H162" s="378"/>
      <c r="I162" s="561">
        <f>SUMIFS(BaleMarketer[Properly_Baled_Tons],BaleMarketer[Scenario_ID],I$2,BaleMarketer[Submaterial_ID],$B162)</f>
        <v>1129.0711422544277</v>
      </c>
      <c r="J162" s="561">
        <f>SUMIFS(BaleMarketer[Properly_Baled_Tons],BaleMarketer[Scenario_ID],J$2,BaleMarketer[Submaterial_ID],$B162)</f>
        <v>922.21801673623304</v>
      </c>
      <c r="K162" s="561">
        <f>SUMIFS(BaleMarketer[Properly_Baled_Tons],BaleMarketer[Scenario_ID],K$2,BaleMarketer[Submaterial_ID],$B162)</f>
        <v>1347.9428178724511</v>
      </c>
      <c r="L162" s="561">
        <f>SUMIFS(BaleMarketer[Properly_Baled_Tons],BaleMarketer[Scenario_ID],L$2,BaleMarketer[Submaterial_ID],$B162)</f>
        <v>1328.9106276817031</v>
      </c>
      <c r="M162" s="561">
        <f>SUMIFS(BaleMarketer[Properly_Baled_Tons],BaleMarketer[Scenario_ID],M$2,BaleMarketer[Submaterial_ID],$B162)</f>
        <v>1395.636418843761</v>
      </c>
      <c r="P162" s="596"/>
      <c r="Z162" s="596"/>
    </row>
    <row r="163" spans="1:26" s="352" customFormat="1" x14ac:dyDescent="0.2">
      <c r="A163" s="521"/>
      <c r="B163" s="352">
        <v>2133</v>
      </c>
      <c r="G163" s="378" t="str">
        <f>INDEX(SubMaterial[SubMaterial_Name],MATCH(B163,SubMaterial[SubMaterial_ID],0))</f>
        <v>PP tubs and small rigids</v>
      </c>
      <c r="H163" s="378"/>
      <c r="I163" s="561">
        <f>SUMIFS(BaleMarketer[Properly_Baled_Tons],BaleMarketer[Scenario_ID],I$2,BaleMarketer[Submaterial_ID],$B163)</f>
        <v>1682.5550442908009</v>
      </c>
      <c r="J163" s="561">
        <f>SUMIFS(BaleMarketer[Properly_Baled_Tons],BaleMarketer[Scenario_ID],J$2,BaleMarketer[Submaterial_ID],$B163)</f>
        <v>1358.1608543078005</v>
      </c>
      <c r="K163" s="561">
        <f>SUMIFS(BaleMarketer[Properly_Baled_Tons],BaleMarketer[Scenario_ID],K$2,BaleMarketer[Submaterial_ID],$B163)</f>
        <v>1941.4375173161275</v>
      </c>
      <c r="L163" s="561">
        <f>SUMIFS(BaleMarketer[Properly_Baled_Tons],BaleMarketer[Scenario_ID],L$2,BaleMarketer[Submaterial_ID],$B163)</f>
        <v>1913.9406547031253</v>
      </c>
      <c r="M163" s="561">
        <f>SUMIFS(BaleMarketer[Properly_Baled_Tons],BaleMarketer[Scenario_ID],M$2,BaleMarketer[Submaterial_ID],$B163)</f>
        <v>2010.5282704478391</v>
      </c>
      <c r="P163" s="596"/>
      <c r="Z163" s="596"/>
    </row>
    <row r="164" spans="1:26" s="352" customFormat="1" x14ac:dyDescent="0.2">
      <c r="A164" s="521"/>
      <c r="B164" s="352">
        <v>2134</v>
      </c>
      <c r="G164" s="378" t="str">
        <f>INDEX(SubMaterial[SubMaterial_Name],MATCH(B164,SubMaterial[SubMaterial_ID],0))</f>
        <v>Other accepted tubs &amp; pails</v>
      </c>
      <c r="H164" s="378"/>
      <c r="I164" s="561">
        <f>SUMIFS(BaleMarketer[Properly_Baled_Tons],BaleMarketer[Scenario_ID],I$2,BaleMarketer[Submaterial_ID],$B164)</f>
        <v>76.796158871816687</v>
      </c>
      <c r="J164" s="561">
        <f>SUMIFS(BaleMarketer[Properly_Baled_Tons],BaleMarketer[Scenario_ID],J$2,BaleMarketer[Submaterial_ID],$B164)</f>
        <v>63.159901609143027</v>
      </c>
      <c r="K164" s="561">
        <f>SUMIFS(BaleMarketer[Properly_Baled_Tons],BaleMarketer[Scenario_ID],K$2,BaleMarketer[Submaterial_ID],$B164)</f>
        <v>5.7765184973207138</v>
      </c>
      <c r="L164" s="561">
        <f>SUMIFS(BaleMarketer[Properly_Baled_Tons],BaleMarketer[Scenario_ID],L$2,BaleMarketer[Submaterial_ID],$B164)</f>
        <v>5.7765184973207138</v>
      </c>
      <c r="M164" s="561">
        <f>SUMIFS(BaleMarketer[Properly_Baled_Tons],BaleMarketer[Scenario_ID],M$2,BaleMarketer[Submaterial_ID],$B164)</f>
        <v>5.7765184973207138</v>
      </c>
      <c r="P164" s="596"/>
      <c r="Z164" s="596"/>
    </row>
    <row r="165" spans="1:26" s="352" customFormat="1" x14ac:dyDescent="0.2">
      <c r="A165" s="521"/>
      <c r="B165" s="352">
        <v>2141</v>
      </c>
      <c r="G165" s="378" t="str">
        <f>INDEX(SubMaterial[SubMaterial_Name],MATCH(B165,SubMaterial[SubMaterial_ID],0))</f>
        <v>PP rigid products</v>
      </c>
      <c r="H165" s="378"/>
      <c r="I165" s="561">
        <f>SUMIFS(BaleMarketer[Properly_Baled_Tons],BaleMarketer[Scenario_ID],I$2,BaleMarketer[Submaterial_ID],$B165)</f>
        <v>1615.3244920766856</v>
      </c>
      <c r="J165" s="561">
        <f>SUMIFS(BaleMarketer[Properly_Baled_Tons],BaleMarketer[Scenario_ID],J$2,BaleMarketer[Submaterial_ID],$B165)</f>
        <v>973.95125684282482</v>
      </c>
      <c r="K165" s="561">
        <f>SUMIFS(BaleMarketer[Properly_Baled_Tons],BaleMarketer[Scenario_ID],K$2,BaleMarketer[Submaterial_ID],$B165)</f>
        <v>4074.4591672937509</v>
      </c>
      <c r="L165" s="561">
        <f>SUMIFS(BaleMarketer[Properly_Baled_Tons],BaleMarketer[Scenario_ID],L$2,BaleMarketer[Submaterial_ID],$B165)</f>
        <v>4074.4591672937509</v>
      </c>
      <c r="M165" s="561">
        <f>SUMIFS(BaleMarketer[Properly_Baled_Tons],BaleMarketer[Scenario_ID],M$2,BaleMarketer[Submaterial_ID],$B165)</f>
        <v>3683.8028775824505</v>
      </c>
      <c r="P165" s="596"/>
      <c r="Z165" s="596"/>
    </row>
    <row r="166" spans="1:26" s="352" customFormat="1" x14ac:dyDescent="0.2">
      <c r="A166" s="521"/>
      <c r="B166" s="352">
        <v>2142</v>
      </c>
      <c r="G166" s="378" t="str">
        <f>INDEX(SubMaterial[SubMaterial_Name],MATCH(B166,SubMaterial[SubMaterial_ID],0))</f>
        <v>Other bulky rigids</v>
      </c>
      <c r="H166" s="378"/>
      <c r="I166" s="561">
        <f>SUMIFS(BaleMarketer[Properly_Baled_Tons],BaleMarketer[Scenario_ID],I$2,BaleMarketer[Submaterial_ID],$B166)</f>
        <v>1038.3883783760639</v>
      </c>
      <c r="J166" s="561">
        <f>SUMIFS(BaleMarketer[Properly_Baled_Tons],BaleMarketer[Scenario_ID],J$2,BaleMarketer[Submaterial_ID],$B166)</f>
        <v>803.95781527005965</v>
      </c>
      <c r="K166" s="561">
        <f>SUMIFS(BaleMarketer[Properly_Baled_Tons],BaleMarketer[Scenario_ID],K$2,BaleMarketer[Submaterial_ID],$B166)</f>
        <v>9717.7254321629262</v>
      </c>
      <c r="L166" s="561">
        <f>SUMIFS(BaleMarketer[Properly_Baled_Tons],BaleMarketer[Scenario_ID],L$2,BaleMarketer[Submaterial_ID],$B166)</f>
        <v>9717.7254321629262</v>
      </c>
      <c r="M166" s="561">
        <f>SUMIFS(BaleMarketer[Properly_Baled_Tons],BaleMarketer[Scenario_ID],M$2,BaleMarketer[Submaterial_ID],$B166)</f>
        <v>9717.7254321629262</v>
      </c>
      <c r="P166" s="596"/>
      <c r="Z166" s="596"/>
    </row>
    <row r="167" spans="1:26" s="352" customFormat="1" x14ac:dyDescent="0.2">
      <c r="A167" s="521"/>
      <c r="B167" s="352">
        <v>2211</v>
      </c>
      <c r="G167" s="378" t="str">
        <f>INDEX(SubMaterial[SubMaterial_Name],MATCH(B167,SubMaterial[SubMaterial_ID],0))</f>
        <v>PET thermoforms</v>
      </c>
      <c r="H167" s="378"/>
      <c r="I167" s="561">
        <f>SUMIFS(BaleMarketer[Properly_Baled_Tons],BaleMarketer[Scenario_ID],I$2,BaleMarketer[Submaterial_ID],$B167)</f>
        <v>601.36699327761232</v>
      </c>
      <c r="J167" s="561">
        <f>SUMIFS(BaleMarketer[Properly_Baled_Tons],BaleMarketer[Scenario_ID],J$2,BaleMarketer[Submaterial_ID],$B167)</f>
        <v>366.55245348506514</v>
      </c>
      <c r="K167" s="561">
        <f>SUMIFS(BaleMarketer[Properly_Baled_Tons],BaleMarketer[Scenario_ID],K$2,BaleMarketer[Submaterial_ID],$B167)</f>
        <v>2411.5240084052798</v>
      </c>
      <c r="L167" s="561">
        <f>SUMIFS(BaleMarketer[Properly_Baled_Tons],BaleMarketer[Scenario_ID],L$2,BaleMarketer[Submaterial_ID],$B167)</f>
        <v>2411.5240084052798</v>
      </c>
      <c r="M167" s="561">
        <f>SUMIFS(BaleMarketer[Properly_Baled_Tons],BaleMarketer[Scenario_ID],M$2,BaleMarketer[Submaterial_ID],$B167)</f>
        <v>2808.5109243104898</v>
      </c>
      <c r="P167" s="596"/>
      <c r="Z167" s="596"/>
    </row>
    <row r="168" spans="1:26" s="352" customFormat="1" x14ac:dyDescent="0.2">
      <c r="A168" s="521"/>
      <c r="B168" s="352">
        <v>2212</v>
      </c>
      <c r="G168" s="378" t="str">
        <f>INDEX(SubMaterial[SubMaterial_Name],MATCH(B168,SubMaterial[SubMaterial_ID],0))</f>
        <v>Other other rigid plastic containers</v>
      </c>
      <c r="H168" s="378"/>
      <c r="I168" s="561">
        <f>SUMIFS(BaleMarketer[Properly_Baled_Tons],BaleMarketer[Scenario_ID],I$2,BaleMarketer[Submaterial_ID],$B168)</f>
        <v>0</v>
      </c>
      <c r="J168" s="561">
        <f>SUMIFS(BaleMarketer[Properly_Baled_Tons],BaleMarketer[Scenario_ID],J$2,BaleMarketer[Submaterial_ID],$B168)</f>
        <v>0</v>
      </c>
      <c r="K168" s="561">
        <f>SUMIFS(BaleMarketer[Properly_Baled_Tons],BaleMarketer[Scenario_ID],K$2,BaleMarketer[Submaterial_ID],$B168)</f>
        <v>0</v>
      </c>
      <c r="L168" s="561">
        <f>SUMIFS(BaleMarketer[Properly_Baled_Tons],BaleMarketer[Scenario_ID],L$2,BaleMarketer[Submaterial_ID],$B168)</f>
        <v>0</v>
      </c>
      <c r="M168" s="561">
        <f>SUMIFS(BaleMarketer[Properly_Baled_Tons],BaleMarketer[Scenario_ID],M$2,BaleMarketer[Submaterial_ID],$B168)</f>
        <v>0</v>
      </c>
      <c r="P168" s="596"/>
      <c r="Z168" s="596"/>
    </row>
    <row r="169" spans="1:26" s="352" customFormat="1" x14ac:dyDescent="0.2">
      <c r="A169" s="521"/>
      <c r="B169" s="352">
        <v>2221</v>
      </c>
      <c r="G169" s="378" t="str">
        <f>INDEX(SubMaterial[SubMaterial_Name],MATCH(B169,SubMaterial[SubMaterial_ID],0))</f>
        <v>PP rigid packaging and products</v>
      </c>
      <c r="H169" s="378"/>
      <c r="I169" s="561">
        <f>SUMIFS(BaleMarketer[Properly_Baled_Tons],BaleMarketer[Scenario_ID],I$2,BaleMarketer[Submaterial_ID],$B169)</f>
        <v>1180.6910774731057</v>
      </c>
      <c r="J169" s="561">
        <f>SUMIFS(BaleMarketer[Properly_Baled_Tons],BaleMarketer[Scenario_ID],J$2,BaleMarketer[Submaterial_ID],$B169)</f>
        <v>708.65414817053681</v>
      </c>
      <c r="K169" s="561">
        <f>SUMIFS(BaleMarketer[Properly_Baled_Tons],BaleMarketer[Scenario_ID],K$2,BaleMarketer[Submaterial_ID],$B169)</f>
        <v>3863.9417762319217</v>
      </c>
      <c r="L169" s="561">
        <f>SUMIFS(BaleMarketer[Properly_Baled_Tons],BaleMarketer[Scenario_ID],L$2,BaleMarketer[Submaterial_ID],$B169)</f>
        <v>3811.4677544367996</v>
      </c>
      <c r="M169" s="561">
        <f>SUMIFS(BaleMarketer[Properly_Baled_Tons],BaleMarketer[Scenario_ID],M$2,BaleMarketer[Submaterial_ID],$B169)</f>
        <v>3989.3354979029668</v>
      </c>
      <c r="P169" s="596"/>
      <c r="Z169" s="596"/>
    </row>
    <row r="170" spans="1:26" s="352" customFormat="1" x14ac:dyDescent="0.2">
      <c r="A170" s="521"/>
      <c r="B170" s="352">
        <v>2222</v>
      </c>
      <c r="G170" s="378" t="str">
        <f>INDEX(SubMaterial[SubMaterial_Name],MATCH(B170,SubMaterial[SubMaterial_ID],0))</f>
        <v>Polystyrene foam</v>
      </c>
      <c r="H170" s="378"/>
      <c r="I170" s="561">
        <f>SUMIFS(BaleMarketer[Properly_Baled_Tons],BaleMarketer[Scenario_ID],I$2,BaleMarketer[Submaterial_ID],$B170)</f>
        <v>1.3862672329687287</v>
      </c>
      <c r="J170" s="561">
        <f>SUMIFS(BaleMarketer[Properly_Baled_Tons],BaleMarketer[Scenario_ID],J$2,BaleMarketer[Submaterial_ID],$B170)</f>
        <v>1.3862672329687287</v>
      </c>
      <c r="K170" s="561">
        <f>SUMIFS(BaleMarketer[Properly_Baled_Tons],BaleMarketer[Scenario_ID],K$2,BaleMarketer[Submaterial_ID],$B170)</f>
        <v>134.07979500328059</v>
      </c>
      <c r="L170" s="561">
        <f>SUMIFS(BaleMarketer[Properly_Baled_Tons],BaleMarketer[Scenario_ID],L$2,BaleMarketer[Submaterial_ID],$B170)</f>
        <v>134.07979500328059</v>
      </c>
      <c r="M170" s="561">
        <f>SUMIFS(BaleMarketer[Properly_Baled_Tons],BaleMarketer[Scenario_ID],M$2,BaleMarketer[Submaterial_ID],$B170)</f>
        <v>134.07979500328059</v>
      </c>
      <c r="P170" s="596"/>
      <c r="Z170" s="596"/>
    </row>
    <row r="171" spans="1:26" s="352" customFormat="1" x14ac:dyDescent="0.2">
      <c r="A171" s="521"/>
      <c r="B171" s="352">
        <v>2223</v>
      </c>
      <c r="G171" s="378" t="str">
        <f>INDEX(SubMaterial[SubMaterial_Name],MATCH(B171,SubMaterial[SubMaterial_ID],0))</f>
        <v>Solid polystyrene</v>
      </c>
      <c r="H171" s="378"/>
      <c r="I171" s="561">
        <f>SUMIFS(BaleMarketer[Properly_Baled_Tons],BaleMarketer[Scenario_ID],I$2,BaleMarketer[Submaterial_ID],$B171)</f>
        <v>0.27666363481483458</v>
      </c>
      <c r="J171" s="561">
        <f>SUMIFS(BaleMarketer[Properly_Baled_Tons],BaleMarketer[Scenario_ID],J$2,BaleMarketer[Submaterial_ID],$B171)</f>
        <v>18.443986617479073</v>
      </c>
      <c r="K171" s="561">
        <f>SUMIFS(BaleMarketer[Properly_Baled_Tons],BaleMarketer[Scenario_ID],K$2,BaleMarketer[Submaterial_ID],$B171)</f>
        <v>542.23338116894251</v>
      </c>
      <c r="L171" s="561">
        <f>SUMIFS(BaleMarketer[Properly_Baled_Tons],BaleMarketer[Scenario_ID],L$2,BaleMarketer[Submaterial_ID],$B171)</f>
        <v>517.17045282762035</v>
      </c>
      <c r="M171" s="561">
        <f>SUMIFS(BaleMarketer[Properly_Baled_Tons],BaleMarketer[Scenario_ID],M$2,BaleMarketer[Submaterial_ID],$B171)</f>
        <v>685.92765457451537</v>
      </c>
      <c r="P171" s="596"/>
      <c r="Z171" s="596"/>
    </row>
    <row r="172" spans="1:26" s="352" customFormat="1" x14ac:dyDescent="0.2">
      <c r="A172" s="521"/>
      <c r="B172" s="352">
        <v>2311</v>
      </c>
      <c r="G172" s="352" t="str">
        <f>INDEX(SubMaterial[SubMaterial_Name],MATCH(B172,SubMaterial[SubMaterial_ID],0))</f>
        <v>PE film</v>
      </c>
      <c r="I172" s="556">
        <f>SUMIFS(BaleMarketer[Properly_Baled_Tons],BaleMarketer[Scenario_ID],I$2,BaleMarketer[Submaterial_ID],$B172)</f>
        <v>3684.2974687214764</v>
      </c>
      <c r="J172" s="556">
        <f>SUMIFS(BaleMarketer[Properly_Baled_Tons],BaleMarketer[Scenario_ID],J$2,BaleMarketer[Submaterial_ID],$B172)</f>
        <v>3684.2974687214764</v>
      </c>
      <c r="K172" s="556">
        <f>SUMIFS(BaleMarketer[Properly_Baled_Tons],BaleMarketer[Scenario_ID],K$2,BaleMarketer[Submaterial_ID],$B172)</f>
        <v>3817.2040075646578</v>
      </c>
      <c r="L172" s="556">
        <f>SUMIFS(BaleMarketer[Properly_Baled_Tons],BaleMarketer[Scenario_ID],L$2,BaleMarketer[Submaterial_ID],$B172)</f>
        <v>3817.2040075646578</v>
      </c>
      <c r="M172" s="556">
        <f>SUMIFS(BaleMarketer[Properly_Baled_Tons],BaleMarketer[Scenario_ID],M$2,BaleMarketer[Submaterial_ID],$B172)</f>
        <v>3817.2040075646578</v>
      </c>
      <c r="P172" s="596"/>
      <c r="Z172" s="596"/>
    </row>
    <row r="173" spans="1:26" s="530" customFormat="1" ht="6" x14ac:dyDescent="0.15">
      <c r="B173" s="530" t="s">
        <v>3581</v>
      </c>
      <c r="I173" s="555"/>
      <c r="J173" s="555"/>
      <c r="K173" s="555"/>
      <c r="L173" s="555"/>
      <c r="M173" s="555"/>
      <c r="P173" s="597"/>
      <c r="Z173" s="597"/>
    </row>
    <row r="174" spans="1:26" s="352" customFormat="1" ht="15" x14ac:dyDescent="0.25">
      <c r="A174" s="521"/>
      <c r="E174" s="181"/>
      <c r="F174" s="539" t="s">
        <v>3697</v>
      </c>
      <c r="G174" s="536"/>
      <c r="H174" s="536"/>
      <c r="I174" s="550">
        <f>SUM(I175:I176)</f>
        <v>58420.519861067107</v>
      </c>
      <c r="J174" s="550">
        <f t="shared" ref="J174:M174" si="23">SUM(J175:J176)</f>
        <v>58420.519861067107</v>
      </c>
      <c r="K174" s="550">
        <f t="shared" si="23"/>
        <v>64551.841763634853</v>
      </c>
      <c r="L174" s="550">
        <f t="shared" si="23"/>
        <v>64551.841763634853</v>
      </c>
      <c r="M174" s="550">
        <f t="shared" si="23"/>
        <v>64551.841763634853</v>
      </c>
      <c r="P174" s="596"/>
      <c r="Z174" s="596"/>
    </row>
    <row r="175" spans="1:26" s="352" customFormat="1" x14ac:dyDescent="0.2">
      <c r="A175" s="521"/>
      <c r="B175" s="352">
        <v>3111</v>
      </c>
      <c r="G175" s="352" t="str">
        <f>INDEX(SubMaterial[SubMaterial_Name],MATCH(B175,SubMaterial[SubMaterial_ID],0))</f>
        <v>Deposit glass bottles</v>
      </c>
      <c r="I175" s="561">
        <f>SUMIFS(BaleMarketer[Properly_Baled_Tons],BaleMarketer[Scenario_ID],I$2,BaleMarketer[Submaterial_ID],$B175)</f>
        <v>10515.693574992079</v>
      </c>
      <c r="J175" s="561">
        <f>SUMIFS(BaleMarketer[Properly_Baled_Tons],BaleMarketer[Scenario_ID],J$2,BaleMarketer[Submaterial_ID],$B175)</f>
        <v>10515.693574992079</v>
      </c>
      <c r="K175" s="561">
        <f>SUMIFS(BaleMarketer[Properly_Baled_Tons],BaleMarketer[Scenario_ID],K$2,BaleMarketer[Submaterial_ID],$B175)</f>
        <v>11731.07589475211</v>
      </c>
      <c r="L175" s="561">
        <f>SUMIFS(BaleMarketer[Properly_Baled_Tons],BaleMarketer[Scenario_ID],L$2,BaleMarketer[Submaterial_ID],$B175)</f>
        <v>11731.07589475211</v>
      </c>
      <c r="M175" s="561">
        <f>SUMIFS(BaleMarketer[Properly_Baled_Tons],BaleMarketer[Scenario_ID],M$2,BaleMarketer[Submaterial_ID],$B175)</f>
        <v>11731.07589475211</v>
      </c>
      <c r="P175" s="596"/>
      <c r="Z175" s="596"/>
    </row>
    <row r="176" spans="1:26" s="352" customFormat="1" x14ac:dyDescent="0.2">
      <c r="A176" s="521"/>
      <c r="B176" s="352">
        <v>3121</v>
      </c>
      <c r="G176" s="352" t="str">
        <f>INDEX(SubMaterial[SubMaterial_Name],MATCH(B176,SubMaterial[SubMaterial_ID],0))</f>
        <v>Container glass</v>
      </c>
      <c r="I176" s="561">
        <f>SUMIFS(BaleMarketer[Properly_Baled_Tons],BaleMarketer[Scenario_ID],I$2,BaleMarketer[Submaterial_ID],$B176)</f>
        <v>47904.826286075026</v>
      </c>
      <c r="J176" s="561">
        <f>SUMIFS(BaleMarketer[Properly_Baled_Tons],BaleMarketer[Scenario_ID],J$2,BaleMarketer[Submaterial_ID],$B176)</f>
        <v>47904.826286075026</v>
      </c>
      <c r="K176" s="561">
        <f>SUMIFS(BaleMarketer[Properly_Baled_Tons],BaleMarketer[Scenario_ID],K$2,BaleMarketer[Submaterial_ID],$B176)</f>
        <v>52820.765868882743</v>
      </c>
      <c r="L176" s="561">
        <f>SUMIFS(BaleMarketer[Properly_Baled_Tons],BaleMarketer[Scenario_ID],L$2,BaleMarketer[Submaterial_ID],$B176)</f>
        <v>52820.765868882743</v>
      </c>
      <c r="M176" s="561">
        <f>SUMIFS(BaleMarketer[Properly_Baled_Tons],BaleMarketer[Scenario_ID],M$2,BaleMarketer[Submaterial_ID],$B176)</f>
        <v>52820.765868882743</v>
      </c>
      <c r="P176" s="596"/>
      <c r="Z176" s="596"/>
    </row>
    <row r="177" spans="1:26" s="530" customFormat="1" ht="6" x14ac:dyDescent="0.15">
      <c r="B177" s="530" t="s">
        <v>3581</v>
      </c>
      <c r="I177" s="555"/>
      <c r="J177" s="555"/>
      <c r="K177" s="555"/>
      <c r="L177" s="555"/>
      <c r="M177" s="555"/>
      <c r="P177" s="597"/>
      <c r="Z177" s="597"/>
    </row>
    <row r="178" spans="1:26" s="352" customFormat="1" ht="15" x14ac:dyDescent="0.25">
      <c r="A178" s="521"/>
      <c r="E178" s="181"/>
      <c r="F178" s="539" t="s">
        <v>3696</v>
      </c>
      <c r="G178" s="536"/>
      <c r="H178" s="536"/>
      <c r="I178" s="550">
        <f>SUM(I179:I183)</f>
        <v>64680.04140493249</v>
      </c>
      <c r="J178" s="550">
        <f t="shared" ref="J178:M178" si="24">SUM(J179:J183)</f>
        <v>62852.235806809069</v>
      </c>
      <c r="K178" s="550">
        <f t="shared" si="24"/>
        <v>67631.421350986697</v>
      </c>
      <c r="L178" s="550">
        <f t="shared" si="24"/>
        <v>67633.336496231321</v>
      </c>
      <c r="M178" s="550">
        <f t="shared" si="24"/>
        <v>67446.960536816972</v>
      </c>
      <c r="P178" s="596"/>
      <c r="Z178" s="596"/>
    </row>
    <row r="179" spans="1:26" s="352" customFormat="1" x14ac:dyDescent="0.2">
      <c r="A179" s="521"/>
      <c r="B179" s="352">
        <v>4111</v>
      </c>
      <c r="G179" s="352" t="str">
        <f>INDEX(SubMaterial[SubMaterial_Name],MATCH(B179,SubMaterial[SubMaterial_ID],0))</f>
        <v>Deposit and accepted aluminum cans</v>
      </c>
      <c r="I179" s="556">
        <f>SUMIFS(BaleMarketer[Properly_Baled_Tons],BaleMarketer[Scenario_ID],I$2,BaleMarketer[Submaterial_ID],$B179)</f>
        <v>514.13754517390248</v>
      </c>
      <c r="J179" s="556">
        <f>SUMIFS(BaleMarketer[Properly_Baled_Tons],BaleMarketer[Scenario_ID],J$2,BaleMarketer[Submaterial_ID],$B179)</f>
        <v>528.78338671479059</v>
      </c>
      <c r="K179" s="556">
        <f>SUMIFS(BaleMarketer[Properly_Baled_Tons],BaleMarketer[Scenario_ID],K$2,BaleMarketer[Submaterial_ID],$B179)</f>
        <v>567.32196264769891</v>
      </c>
      <c r="L179" s="556">
        <f>SUMIFS(BaleMarketer[Properly_Baled_Tons],BaleMarketer[Scenario_ID],L$2,BaleMarketer[Submaterial_ID],$B179)</f>
        <v>567.39637863684129</v>
      </c>
      <c r="M179" s="556">
        <f>SUMIFS(BaleMarketer[Properly_Baled_Tons],BaleMarketer[Scenario_ID],M$2,BaleMarketer[Submaterial_ID],$B179)</f>
        <v>577.03324912163089</v>
      </c>
      <c r="P179" s="596"/>
      <c r="Z179" s="596"/>
    </row>
    <row r="180" spans="1:26" s="352" customFormat="1" x14ac:dyDescent="0.2">
      <c r="A180" s="521"/>
      <c r="B180" s="352">
        <v>4121</v>
      </c>
      <c r="G180" s="352" t="str">
        <f>INDEX(SubMaterial[SubMaterial_Name],MATCH(B180,SubMaterial[SubMaterial_ID],0))</f>
        <v>Accepted other aluminum</v>
      </c>
      <c r="I180" s="556">
        <f>SUMIFS(BaleMarketer[Properly_Baled_Tons],BaleMarketer[Scenario_ID],I$2,BaleMarketer[Submaterial_ID],$B180)</f>
        <v>886.99293769604083</v>
      </c>
      <c r="J180" s="556">
        <f>SUMIFS(BaleMarketer[Properly_Baled_Tons],BaleMarketer[Scenario_ID],J$2,BaleMarketer[Submaterial_ID],$B180)</f>
        <v>620.93953959627879</v>
      </c>
      <c r="K180" s="556">
        <f>SUMIFS(BaleMarketer[Properly_Baled_Tons],BaleMarketer[Scenario_ID],K$2,BaleMarketer[Submaterial_ID],$B180)</f>
        <v>897.38431726034798</v>
      </c>
      <c r="L180" s="556">
        <f>SUMIFS(BaleMarketer[Properly_Baled_Tons],BaleMarketer[Scenario_ID],L$2,BaleMarketer[Submaterial_ID],$B180)</f>
        <v>897.79439928363774</v>
      </c>
      <c r="M180" s="556">
        <f>SUMIFS(BaleMarketer[Properly_Baled_Tons],BaleMarketer[Scenario_ID],M$2,BaleMarketer[Submaterial_ID],$B180)</f>
        <v>931.15187355108537</v>
      </c>
      <c r="P180" s="596"/>
      <c r="Z180" s="596"/>
    </row>
    <row r="181" spans="1:26" s="352" customFormat="1" x14ac:dyDescent="0.2">
      <c r="A181" s="521"/>
      <c r="B181" s="352">
        <v>4231</v>
      </c>
      <c r="G181" s="352" t="str">
        <f>INDEX(SubMaterial[SubMaterial_Name],MATCH(B181,SubMaterial[SubMaterial_ID],0))</f>
        <v>Deposit and accepted steel cans</v>
      </c>
      <c r="I181" s="556">
        <f>SUMIFS(BaleMarketer[Properly_Baled_Tons],BaleMarketer[Scenario_ID],I$2,BaleMarketer[Submaterial_ID],$B181)</f>
        <v>7794.5157536449879</v>
      </c>
      <c r="J181" s="556">
        <f>SUMIFS(BaleMarketer[Properly_Baled_Tons],BaleMarketer[Scenario_ID],J$2,BaleMarketer[Submaterial_ID],$B181)</f>
        <v>7794.5157536449879</v>
      </c>
      <c r="K181" s="556">
        <f>SUMIFS(BaleMarketer[Properly_Baled_Tons],BaleMarketer[Scenario_ID],K$2,BaleMarketer[Submaterial_ID],$B181)</f>
        <v>9721.7647822941744</v>
      </c>
      <c r="L181" s="556">
        <f>SUMIFS(BaleMarketer[Properly_Baled_Tons],BaleMarketer[Scenario_ID],L$2,BaleMarketer[Submaterial_ID],$B181)</f>
        <v>9722.3643216029941</v>
      </c>
      <c r="M181" s="556">
        <f>SUMIFS(BaleMarketer[Properly_Baled_Tons],BaleMarketer[Scenario_ID],M$2,BaleMarketer[Submaterial_ID],$B181)</f>
        <v>9717.6875196449764</v>
      </c>
      <c r="P181" s="596"/>
      <c r="Z181" s="596"/>
    </row>
    <row r="182" spans="1:26" s="352" customFormat="1" x14ac:dyDescent="0.2">
      <c r="A182" s="521"/>
      <c r="B182" s="352">
        <v>4241</v>
      </c>
      <c r="G182" s="352" t="str">
        <f>INDEX(SubMaterial[SubMaterial_Name],MATCH(B182,SubMaterial[SubMaterial_ID],0))</f>
        <v>Accepted other steel</v>
      </c>
      <c r="I182" s="556">
        <f>SUMIFS(BaleMarketer[Properly_Baled_Tons],BaleMarketer[Scenario_ID],I$2,BaleMarketer[Submaterial_ID],$B182)</f>
        <v>30933.885681734399</v>
      </c>
      <c r="J182" s="556">
        <f>SUMIFS(BaleMarketer[Properly_Baled_Tons],BaleMarketer[Scenario_ID],J$2,BaleMarketer[Submaterial_ID],$B182)</f>
        <v>29557.562179436383</v>
      </c>
      <c r="K182" s="556">
        <f>SUMIFS(BaleMarketer[Properly_Baled_Tons],BaleMarketer[Scenario_ID],K$2,BaleMarketer[Submaterial_ID],$B182)</f>
        <v>32066.760340548964</v>
      </c>
      <c r="L182" s="556">
        <f>SUMIFS(BaleMarketer[Properly_Baled_Tons],BaleMarketer[Scenario_ID],L$2,BaleMarketer[Submaterial_ID],$B182)</f>
        <v>32067.570070729096</v>
      </c>
      <c r="M182" s="556">
        <f>SUMIFS(BaleMarketer[Properly_Baled_Tons],BaleMarketer[Scenario_ID],M$2,BaleMarketer[Submaterial_ID],$B182)</f>
        <v>32061.525376739701</v>
      </c>
      <c r="P182" s="596"/>
      <c r="Z182" s="596"/>
    </row>
    <row r="183" spans="1:26" s="352" customFormat="1" x14ac:dyDescent="0.2">
      <c r="A183" s="521"/>
      <c r="B183" s="352">
        <v>4311</v>
      </c>
      <c r="G183" s="352" t="str">
        <f>INDEX(SubMaterial[SubMaterial_Name],MATCH(B183,SubMaterial[SubMaterial_ID],0))</f>
        <v>Scrap metals</v>
      </c>
      <c r="I183" s="556">
        <f>SUMIFS(BaleMarketer[Properly_Baled_Tons],BaleMarketer[Scenario_ID],I$2,BaleMarketer[Submaterial_ID],$B183)</f>
        <v>24550.509486683168</v>
      </c>
      <c r="J183" s="556">
        <f>SUMIFS(BaleMarketer[Properly_Baled_Tons],BaleMarketer[Scenario_ID],J$2,BaleMarketer[Submaterial_ID],$B183)</f>
        <v>24350.43494741663</v>
      </c>
      <c r="K183" s="556">
        <f>SUMIFS(BaleMarketer[Properly_Baled_Tons],BaleMarketer[Scenario_ID],K$2,BaleMarketer[Submaterial_ID],$B183)</f>
        <v>24378.189948235511</v>
      </c>
      <c r="L183" s="556">
        <f>SUMIFS(BaleMarketer[Properly_Baled_Tons],BaleMarketer[Scenario_ID],L$2,BaleMarketer[Submaterial_ID],$B183)</f>
        <v>24378.211325978747</v>
      </c>
      <c r="M183" s="556">
        <f>SUMIFS(BaleMarketer[Properly_Baled_Tons],BaleMarketer[Scenario_ID],M$2,BaleMarketer[Submaterial_ID],$B183)</f>
        <v>24159.562517759572</v>
      </c>
      <c r="P183" s="596"/>
      <c r="Z183" s="596"/>
    </row>
    <row r="184" spans="1:26" s="549" customFormat="1" x14ac:dyDescent="0.2">
      <c r="B184" s="549" t="s">
        <v>3581</v>
      </c>
      <c r="I184" s="585"/>
      <c r="J184" s="585"/>
      <c r="K184" s="585"/>
      <c r="L184" s="585"/>
      <c r="M184" s="585"/>
      <c r="P184" s="598"/>
      <c r="Z184" s="598"/>
    </row>
    <row r="185" spans="1:26" ht="45" x14ac:dyDescent="0.25">
      <c r="E185" s="535" t="s">
        <v>1169</v>
      </c>
      <c r="F185" s="534"/>
      <c r="G185" s="534"/>
      <c r="H185" s="534"/>
      <c r="I185" s="554" t="str">
        <f>I$24</f>
        <v>Baseline</v>
      </c>
      <c r="J185" s="575" t="str">
        <f t="shared" ref="J185:M185" si="25">J$24</f>
        <v>Scenario A  
Modern MRFs</v>
      </c>
      <c r="K185" s="575" t="str">
        <f t="shared" si="25"/>
        <v>Scenario A+  
Modern MRFs &amp; Longer List</v>
      </c>
      <c r="L185" s="575" t="str">
        <f t="shared" si="25"/>
        <v>Scenario B  
Out-of-State CRF</v>
      </c>
      <c r="M185" s="575" t="str">
        <f t="shared" si="25"/>
        <v>Scenario  C  
Dual-Stream</v>
      </c>
      <c r="P185" s="596"/>
      <c r="Z185" s="596"/>
    </row>
    <row r="186" spans="1:26" s="530" customFormat="1" ht="6" collapsed="1" x14ac:dyDescent="0.15">
      <c r="B186" s="530" t="s">
        <v>3581</v>
      </c>
      <c r="I186" s="555"/>
      <c r="J186" s="555"/>
      <c r="K186" s="555"/>
      <c r="L186" s="555"/>
      <c r="M186" s="555"/>
      <c r="P186" s="597"/>
      <c r="Z186" s="597"/>
    </row>
    <row r="187" spans="1:26" s="521" customFormat="1" x14ac:dyDescent="0.2">
      <c r="E187" s="549" t="s">
        <v>3629</v>
      </c>
      <c r="I187" s="551"/>
      <c r="J187" s="551"/>
      <c r="K187" s="551"/>
      <c r="L187" s="551"/>
      <c r="M187" s="551"/>
      <c r="P187" s="596"/>
      <c r="S187" s="604" t="s">
        <v>3725</v>
      </c>
      <c r="T187" s="600" t="s">
        <v>876</v>
      </c>
      <c r="U187" s="600" t="s">
        <v>875</v>
      </c>
      <c r="V187" s="600" t="s">
        <v>874</v>
      </c>
      <c r="W187" s="600" t="s">
        <v>873</v>
      </c>
      <c r="X187" s="600" t="s">
        <v>870</v>
      </c>
      <c r="Z187" s="596"/>
    </row>
    <row r="188" spans="1:26" s="521" customFormat="1" x14ac:dyDescent="0.2">
      <c r="E188" s="549" t="s">
        <v>3634</v>
      </c>
      <c r="I188" s="551"/>
      <c r="J188" s="551"/>
      <c r="K188" s="551"/>
      <c r="L188" s="551"/>
      <c r="M188" s="551"/>
      <c r="P188" s="596"/>
      <c r="S188" s="600" t="s">
        <v>27</v>
      </c>
      <c r="T188" s="602">
        <f>I201</f>
        <v>192738884.03779069</v>
      </c>
      <c r="U188" s="602">
        <f t="shared" ref="U188:X188" si="26">J201</f>
        <v>195037351.88600686</v>
      </c>
      <c r="V188" s="602">
        <f t="shared" si="26"/>
        <v>197513607.67895269</v>
      </c>
      <c r="W188" s="602">
        <f t="shared" si="26"/>
        <v>197513607.67895269</v>
      </c>
      <c r="X188" s="602">
        <f t="shared" si="26"/>
        <v>241061400.00534299</v>
      </c>
      <c r="Z188" s="596"/>
    </row>
    <row r="189" spans="1:26" s="521" customFormat="1" x14ac:dyDescent="0.2">
      <c r="E189" s="549" t="s">
        <v>3687</v>
      </c>
      <c r="I189" s="551"/>
      <c r="J189" s="551"/>
      <c r="K189" s="551"/>
      <c r="L189" s="551"/>
      <c r="M189" s="551"/>
      <c r="P189" s="596"/>
      <c r="S189" s="600" t="s">
        <v>34</v>
      </c>
      <c r="T189" s="602">
        <f>I213</f>
        <v>67163253.335622892</v>
      </c>
      <c r="U189" s="602">
        <f t="shared" ref="U189:X189" si="27">J213</f>
        <v>61431671.580273688</v>
      </c>
      <c r="V189" s="602">
        <f t="shared" si="27"/>
        <v>61794705.877165265</v>
      </c>
      <c r="W189" s="602">
        <f t="shared" si="27"/>
        <v>60872153.475735746</v>
      </c>
      <c r="X189" s="602">
        <f t="shared" si="27"/>
        <v>59321309.769681096</v>
      </c>
      <c r="Z189" s="596"/>
    </row>
    <row r="190" spans="1:26" s="521" customFormat="1" x14ac:dyDescent="0.2">
      <c r="E190" s="549" t="s">
        <v>3688</v>
      </c>
      <c r="I190" s="551"/>
      <c r="J190" s="551"/>
      <c r="K190" s="551"/>
      <c r="L190" s="551"/>
      <c r="M190" s="551"/>
      <c r="P190" s="596"/>
      <c r="S190" s="600" t="s">
        <v>3716</v>
      </c>
      <c r="T190" s="602">
        <f>I211</f>
        <v>11077088.901556414</v>
      </c>
      <c r="U190" s="602">
        <f t="shared" ref="U190:X190" si="28">J211</f>
        <v>10630668.151960393</v>
      </c>
      <c r="V190" s="602">
        <f t="shared" si="28"/>
        <v>11946373.371275155</v>
      </c>
      <c r="W190" s="602">
        <f t="shared" si="28"/>
        <v>11946373.371275155</v>
      </c>
      <c r="X190" s="602">
        <f t="shared" si="28"/>
        <v>12875557.035838269</v>
      </c>
      <c r="Z190" s="596"/>
    </row>
    <row r="191" spans="1:26" s="521" customFormat="1" x14ac:dyDescent="0.2">
      <c r="E191" s="549" t="s">
        <v>3635</v>
      </c>
      <c r="I191" s="551"/>
      <c r="J191" s="551"/>
      <c r="K191" s="551"/>
      <c r="L191" s="551"/>
      <c r="M191" s="551"/>
      <c r="P191" s="596"/>
      <c r="S191" s="600" t="s">
        <v>1170</v>
      </c>
      <c r="T191" s="602">
        <f>I197</f>
        <v>6086161.6409327518</v>
      </c>
      <c r="U191" s="602">
        <f t="shared" ref="U191:X191" si="29">J197</f>
        <v>18507838.214172527</v>
      </c>
      <c r="V191" s="602">
        <f t="shared" si="29"/>
        <v>18507838.214172527</v>
      </c>
      <c r="W191" s="602">
        <f t="shared" si="29"/>
        <v>18507838.214172527</v>
      </c>
      <c r="X191" s="602">
        <f t="shared" si="29"/>
        <v>18507838.214172527</v>
      </c>
      <c r="Z191" s="596"/>
    </row>
    <row r="192" spans="1:26" s="521" customFormat="1" x14ac:dyDescent="0.2">
      <c r="E192" s="549" t="s">
        <v>3705</v>
      </c>
      <c r="I192" s="551"/>
      <c r="J192" s="551"/>
      <c r="K192" s="551"/>
      <c r="L192" s="551"/>
      <c r="M192" s="551"/>
      <c r="P192" s="596"/>
      <c r="S192" s="600" t="s">
        <v>3611</v>
      </c>
      <c r="T192" s="602">
        <f>I209</f>
        <v>-60579399.170721859</v>
      </c>
      <c r="U192" s="602">
        <f t="shared" ref="U192:X192" si="30">J209</f>
        <v>-57145058.193293869</v>
      </c>
      <c r="V192" s="602">
        <f t="shared" si="30"/>
        <v>-61988407.818083987</v>
      </c>
      <c r="W192" s="602">
        <f t="shared" si="30"/>
        <v>-61988407.818083987</v>
      </c>
      <c r="X192" s="602">
        <f t="shared" si="30"/>
        <v>-61994987.360636331</v>
      </c>
      <c r="Z192" s="596"/>
    </row>
    <row r="193" spans="1:26" s="530" customFormat="1" collapsed="1" x14ac:dyDescent="0.2">
      <c r="B193" s="530" t="s">
        <v>3581</v>
      </c>
      <c r="I193" s="555"/>
      <c r="J193" s="555"/>
      <c r="K193" s="555"/>
      <c r="L193" s="555"/>
      <c r="M193" s="555"/>
      <c r="P193" s="597"/>
      <c r="S193" s="600" t="s">
        <v>25</v>
      </c>
      <c r="T193" s="602">
        <f>SUM(T188:T192)</f>
        <v>216485988.74518088</v>
      </c>
      <c r="U193" s="602">
        <f t="shared" ref="U193:X193" si="31">SUM(U188:U192)</f>
        <v>228462471.63911963</v>
      </c>
      <c r="V193" s="602">
        <f t="shared" si="31"/>
        <v>227774117.32348162</v>
      </c>
      <c r="W193" s="602">
        <f t="shared" si="31"/>
        <v>226851564.92205215</v>
      </c>
      <c r="X193" s="602">
        <f t="shared" si="31"/>
        <v>269771117.66439849</v>
      </c>
      <c r="Z193" s="597"/>
    </row>
    <row r="194" spans="1:26" ht="15" x14ac:dyDescent="0.25">
      <c r="E194" s="181"/>
      <c r="F194" s="538" t="s">
        <v>3605</v>
      </c>
      <c r="G194" s="537"/>
      <c r="H194" s="537"/>
      <c r="I194" s="568">
        <f>SUM(I197,I201,I209,I211,I213)</f>
        <v>216485988.74518085</v>
      </c>
      <c r="J194" s="568">
        <f t="shared" ref="J194:M194" si="32">SUM(J197,J201,J209,J211,J213)</f>
        <v>228462471.6391196</v>
      </c>
      <c r="K194" s="568">
        <f t="shared" si="32"/>
        <v>227774117.32348165</v>
      </c>
      <c r="L194" s="568">
        <f t="shared" si="32"/>
        <v>226851564.92205215</v>
      </c>
      <c r="M194" s="568">
        <f t="shared" si="32"/>
        <v>269771117.66439855</v>
      </c>
      <c r="O194" s="522"/>
      <c r="P194" s="596"/>
      <c r="Q194" s="521"/>
      <c r="R194" s="521"/>
      <c r="Z194" s="596"/>
    </row>
    <row r="195" spans="1:26" s="521" customFormat="1" ht="15" x14ac:dyDescent="0.25">
      <c r="E195" s="181"/>
      <c r="F195" s="538"/>
      <c r="G195" s="537"/>
      <c r="H195" s="581" t="s">
        <v>3632</v>
      </c>
      <c r="I195" s="568">
        <f>I$194/I$140</f>
        <v>423.92980296892432</v>
      </c>
      <c r="J195" s="568">
        <f>J$194/J$140</f>
        <v>451.03692883114854</v>
      </c>
      <c r="K195" s="568">
        <f>K$194/K$140</f>
        <v>409.05974797163145</v>
      </c>
      <c r="L195" s="568">
        <f>L$194/L$140</f>
        <v>407.45433883605278</v>
      </c>
      <c r="M195" s="568">
        <f>M$194/M$140</f>
        <v>477.10973824710601</v>
      </c>
      <c r="O195" s="522"/>
      <c r="P195" s="596"/>
      <c r="Z195" s="596"/>
    </row>
    <row r="196" spans="1:26" s="530" customFormat="1" ht="6" x14ac:dyDescent="0.15">
      <c r="B196" s="530" t="s">
        <v>3581</v>
      </c>
      <c r="I196" s="571"/>
      <c r="J196" s="571"/>
      <c r="K196" s="571"/>
      <c r="L196" s="571"/>
      <c r="M196" s="571"/>
      <c r="P196" s="597"/>
      <c r="Z196" s="597"/>
    </row>
    <row r="197" spans="1:26" x14ac:dyDescent="0.2">
      <c r="E197" s="181"/>
      <c r="F197" s="181"/>
      <c r="G197" s="499" t="s">
        <v>1170</v>
      </c>
      <c r="H197" s="499"/>
      <c r="I197" s="569">
        <f>SUM(I198:I199)</f>
        <v>6086161.6409327518</v>
      </c>
      <c r="J197" s="569">
        <f t="shared" ref="J197:M197" si="33">SUM(J198:J199)</f>
        <v>18507838.214172527</v>
      </c>
      <c r="K197" s="569">
        <f t="shared" si="33"/>
        <v>18507838.214172527</v>
      </c>
      <c r="L197" s="569">
        <f t="shared" si="33"/>
        <v>18507838.214172527</v>
      </c>
      <c r="M197" s="569">
        <f t="shared" si="33"/>
        <v>18507838.214172527</v>
      </c>
      <c r="O197" s="521"/>
      <c r="P197" s="596"/>
      <c r="Q197" s="521"/>
      <c r="R197" s="521"/>
      <c r="Z197" s="596"/>
    </row>
    <row r="198" spans="1:26" s="352" customFormat="1" x14ac:dyDescent="0.2">
      <c r="A198" s="521"/>
      <c r="H198" s="519" t="s">
        <v>1102</v>
      </c>
      <c r="I198" s="570">
        <f>SUMIFS(CollectionCostTotal[Engagement],CollectionCostTotal[Scenario_ID],I$2,CollectionCostTotal[Year],$I$10,CollectionCostTotal[SS_or_DS],I$7)</f>
        <v>1210255.600960376</v>
      </c>
      <c r="J198" s="570">
        <f>SUMIFS(CollectionCostTotal[Engagement],CollectionCostTotal[Scenario_ID],J$2,CollectionCostTotal[Year],$I$10,CollectionCostTotal[SS_or_DS],J$7)</f>
        <v>13631932.174200153</v>
      </c>
      <c r="K198" s="570">
        <f>SUMIFS(CollectionCostTotal[Engagement],CollectionCostTotal[Scenario_ID],K$2,CollectionCostTotal[Year],$I$10,CollectionCostTotal[SS_or_DS],K$7)</f>
        <v>13631932.174200153</v>
      </c>
      <c r="L198" s="570">
        <f>SUMIFS(CollectionCostTotal[Engagement],CollectionCostTotal[Scenario_ID],L$2,CollectionCostTotal[Year],$I$10,CollectionCostTotal[SS_or_DS],L$7)</f>
        <v>13631932.174200153</v>
      </c>
      <c r="M198" s="570">
        <f>SUMIFS(CollectionCostTotal[Engagement],CollectionCostTotal[Scenario_ID],M$2,CollectionCostTotal[Year],$I$10,CollectionCostTotal[SS_or_DS],M$7)</f>
        <v>13631932.174200153</v>
      </c>
      <c r="O198" s="521"/>
      <c r="P198" s="596"/>
      <c r="Q198" s="521"/>
      <c r="R198" s="521"/>
      <c r="Z198" s="596"/>
    </row>
    <row r="199" spans="1:26" s="352" customFormat="1" x14ac:dyDescent="0.2">
      <c r="A199" s="521"/>
      <c r="H199" s="519" t="s">
        <v>1103</v>
      </c>
      <c r="I199" s="570">
        <f>SUM(LGengagement2025[Expenses_Spending])</f>
        <v>4875906.0399723761</v>
      </c>
      <c r="J199" s="570">
        <f>SUM(LGengagement2025[Expenses_Spending])</f>
        <v>4875906.0399723761</v>
      </c>
      <c r="K199" s="570">
        <f>SUM(LGengagement2025[Expenses_Spending])</f>
        <v>4875906.0399723761</v>
      </c>
      <c r="L199" s="570">
        <f>SUM(LGengagement2025[Expenses_Spending])</f>
        <v>4875906.0399723761</v>
      </c>
      <c r="M199" s="570">
        <f>SUM(LGengagement2025[Expenses_Spending])</f>
        <v>4875906.0399723761</v>
      </c>
      <c r="P199" s="596"/>
      <c r="Z199" s="596"/>
    </row>
    <row r="200" spans="1:26" s="530" customFormat="1" ht="6" x14ac:dyDescent="0.15">
      <c r="B200" s="530" t="s">
        <v>3581</v>
      </c>
      <c r="I200" s="571"/>
      <c r="J200" s="571"/>
      <c r="K200" s="571"/>
      <c r="L200" s="571"/>
      <c r="M200" s="571"/>
      <c r="P200" s="597"/>
      <c r="Z200" s="597"/>
    </row>
    <row r="201" spans="1:26" s="352" customFormat="1" x14ac:dyDescent="0.2">
      <c r="A201" s="521"/>
      <c r="E201" s="181"/>
      <c r="F201" s="181"/>
      <c r="G201" s="499" t="s">
        <v>27</v>
      </c>
      <c r="H201" s="499"/>
      <c r="I201" s="569">
        <f>SUM(I202:I207)</f>
        <v>192738884.03779069</v>
      </c>
      <c r="J201" s="569">
        <f>SUM(J202:J207)</f>
        <v>195037351.88600686</v>
      </c>
      <c r="K201" s="569">
        <f>SUM(K202:K207)</f>
        <v>197513607.67895269</v>
      </c>
      <c r="L201" s="569">
        <f>SUM(L202:L207)</f>
        <v>197513607.67895269</v>
      </c>
      <c r="M201" s="569">
        <f>SUM(M202:M207)</f>
        <v>241061400.00534299</v>
      </c>
      <c r="P201" s="596"/>
      <c r="S201" s="604" t="s">
        <v>27</v>
      </c>
      <c r="T201" s="600" t="s">
        <v>876</v>
      </c>
      <c r="U201" s="600" t="s">
        <v>875</v>
      </c>
      <c r="V201" s="600" t="s">
        <v>874</v>
      </c>
      <c r="W201" s="600" t="s">
        <v>873</v>
      </c>
      <c r="X201" s="600" t="s">
        <v>870</v>
      </c>
      <c r="Z201" s="596"/>
    </row>
    <row r="202" spans="1:26" s="352" customFormat="1" x14ac:dyDescent="0.2">
      <c r="A202" s="521"/>
      <c r="H202" s="365" t="s">
        <v>1053</v>
      </c>
      <c r="I202" s="570">
        <f>SUMIFS(CollectionCostTotal[Annual_Container_Cost],CollectionCostTotal[Scenario_ID],I$2,CollectionCostTotal[Year],I$10,CollectionCostTotal[SS_or_DS],I$7)+
SUMIFS(DepotCostAllocations2025[Total_Depot_Capital_Cost],DepotCostAllocations2025[Scenario_ID],I$2)</f>
        <v>4162867.5779177109</v>
      </c>
      <c r="J202" s="570">
        <f>SUMIFS(CollectionCostTotal[Annual_Container_Cost],CollectionCostTotal[Scenario_ID],J$2,CollectionCostTotal[Year],J$10,CollectionCostTotal[SS_or_DS],J$7)+
SUMIFS(DepotCostAllocations2025[Total_Depot_Capital_Cost],DepotCostAllocations2025[Scenario_ID],J$2)</f>
        <v>4156845.1461798353</v>
      </c>
      <c r="K202" s="570">
        <f>SUMIFS(CollectionCostTotal[Annual_Container_Cost],CollectionCostTotal[Scenario_ID],K$2,CollectionCostTotal[Year],K$10,CollectionCostTotal[SS_or_DS],K$7)+
SUMIFS(DepotCostAllocations2025[Total_Depot_Capital_Cost],DepotCostAllocations2025[Scenario_ID],K$2)</f>
        <v>5007146.0219667405</v>
      </c>
      <c r="L202" s="570">
        <f>SUMIFS(CollectionCostTotal[Annual_Container_Cost],CollectionCostTotal[Scenario_ID],L$2,CollectionCostTotal[Year],L$10,CollectionCostTotal[SS_or_DS],L$7)+
SUMIFS(DepotCostAllocations2025[Total_Depot_Capital_Cost],DepotCostAllocations2025[Scenario_ID],L$2)</f>
        <v>5007146.0219667405</v>
      </c>
      <c r="M202" s="570">
        <f>SUMIFS(CollectionCostTotal[Annual_Container_Cost],CollectionCostTotal[Scenario_ID],M$2,CollectionCostTotal[Year],M$10,CollectionCostTotal[SS_or_DS],M$7)+
SUMIFS(DepotCostAllocations2025[Total_Depot_Capital_Cost],DepotCostAllocations2025[Scenario_ID],M$2)</f>
        <v>17243772.056750651</v>
      </c>
      <c r="P202" s="596"/>
      <c r="S202" s="600" t="s">
        <v>3710</v>
      </c>
      <c r="T202" s="602">
        <f>I204</f>
        <v>81837254.121240377</v>
      </c>
      <c r="U202" s="602">
        <f t="shared" ref="U202:X202" si="34">J204</f>
        <v>84172883.11689806</v>
      </c>
      <c r="V202" s="602">
        <f t="shared" si="34"/>
        <v>85569449.359122306</v>
      </c>
      <c r="W202" s="602">
        <f t="shared" si="34"/>
        <v>85569449.359122306</v>
      </c>
      <c r="X202" s="602">
        <f t="shared" si="34"/>
        <v>96048748.271552339</v>
      </c>
      <c r="Z202" s="596"/>
    </row>
    <row r="203" spans="1:26" s="352" customFormat="1" x14ac:dyDescent="0.2">
      <c r="A203" s="521"/>
      <c r="H203" s="365" t="s">
        <v>1054</v>
      </c>
      <c r="I203" s="570">
        <f>SUMIFS(CollectionCostTotal[Annual_Truck_Cost],CollectionCostTotal[Scenario_ID],I$2,CollectionCostTotal[Year],I$10,CollectionCostTotal[SS_or_DS],I$7)</f>
        <v>14570450.026576109</v>
      </c>
      <c r="J203" s="570">
        <f>SUMIFS(CollectionCostTotal[Annual_Truck_Cost],CollectionCostTotal[Scenario_ID],J$2,CollectionCostTotal[Year],J$10,CollectionCostTotal[SS_or_DS],J$7)</f>
        <v>14570450.026576109</v>
      </c>
      <c r="K203" s="570">
        <f>SUMIFS(CollectionCostTotal[Annual_Truck_Cost],CollectionCostTotal[Scenario_ID],K$2,CollectionCostTotal[Year],K$10,CollectionCostTotal[SS_or_DS],K$7)</f>
        <v>14570450.026576109</v>
      </c>
      <c r="L203" s="570">
        <f>SUMIFS(CollectionCostTotal[Annual_Truck_Cost],CollectionCostTotal[Scenario_ID],L$2,CollectionCostTotal[Year],L$10,CollectionCostTotal[SS_or_DS],L$7)</f>
        <v>14570450.026576109</v>
      </c>
      <c r="M203" s="570">
        <f>SUMIFS(CollectionCostTotal[Annual_Truck_Cost],CollectionCostTotal[Scenario_ID],M$2,CollectionCostTotal[Year],M$10,CollectionCostTotal[SS_or_DS],M$7)</f>
        <v>23465134.533081453</v>
      </c>
      <c r="P203" s="596"/>
      <c r="S203" s="600" t="s">
        <v>3711</v>
      </c>
      <c r="T203" s="602">
        <f>I202+I203</f>
        <v>18733317.604493819</v>
      </c>
      <c r="U203" s="602">
        <f t="shared" ref="U203:X203" si="35">J202+J203</f>
        <v>18727295.172755945</v>
      </c>
      <c r="V203" s="602">
        <f t="shared" si="35"/>
        <v>19577596.04854285</v>
      </c>
      <c r="W203" s="602">
        <f t="shared" si="35"/>
        <v>19577596.04854285</v>
      </c>
      <c r="X203" s="602">
        <f t="shared" si="35"/>
        <v>40708906.589832105</v>
      </c>
      <c r="Z203" s="596"/>
    </row>
    <row r="204" spans="1:26" s="352" customFormat="1" x14ac:dyDescent="0.2">
      <c r="A204" s="521"/>
      <c r="H204" s="365" t="s">
        <v>29</v>
      </c>
      <c r="I204" s="570">
        <f>SUMIFS(CollectionCostTotal[Collection_Labor],CollectionCostTotal[Scenario_ID],I$2,CollectionCostTotal[Year],I$10,CollectionCostTotal[SS_or_DS],I$7)+
SUMIFS(DepotCostAllocations2025[Total_Depot_Labor_Cost],DepotCostAllocations2025[Scenario_ID],I$2)</f>
        <v>81837254.121240377</v>
      </c>
      <c r="J204" s="570">
        <f>SUMIFS(CollectionCostTotal[Collection_Labor],CollectionCostTotal[Scenario_ID],J$2,CollectionCostTotal[Year],J$10,CollectionCostTotal[SS_or_DS],J$7)+
SUMIFS(DepotCostAllocations2025[Total_Depot_Labor_Cost],DepotCostAllocations2025[Scenario_ID],J$2)</f>
        <v>84172883.11689806</v>
      </c>
      <c r="K204" s="570">
        <f>SUMIFS(CollectionCostTotal[Collection_Labor],CollectionCostTotal[Scenario_ID],K$2,CollectionCostTotal[Year],K$10,CollectionCostTotal[SS_or_DS],K$7)+
SUMIFS(DepotCostAllocations2025[Total_Depot_Labor_Cost],DepotCostAllocations2025[Scenario_ID],K$2)</f>
        <v>85569449.359122306</v>
      </c>
      <c r="L204" s="570">
        <f>SUMIFS(CollectionCostTotal[Collection_Labor],CollectionCostTotal[Scenario_ID],L$2,CollectionCostTotal[Year],L$10,CollectionCostTotal[SS_or_DS],L$7)+
SUMIFS(DepotCostAllocations2025[Total_Depot_Labor_Cost],DepotCostAllocations2025[Scenario_ID],L$2)</f>
        <v>85569449.359122306</v>
      </c>
      <c r="M204" s="570">
        <f>SUMIFS(CollectionCostTotal[Collection_Labor],CollectionCostTotal[Scenario_ID],M$2,CollectionCostTotal[Year],M$10,CollectionCostTotal[SS_or_DS],M$7)+
SUMIFS(DepotCostAllocations2025[Total_Depot_Labor_Cost],DepotCostAllocations2025[Scenario_ID],M$2)</f>
        <v>96048748.271552339</v>
      </c>
      <c r="P204" s="596"/>
      <c r="S204" s="600" t="s">
        <v>3712</v>
      </c>
      <c r="T204" s="602">
        <f>I205</f>
        <v>39385249.893028781</v>
      </c>
      <c r="U204" s="602">
        <f t="shared" ref="U204:X206" si="36">J205</f>
        <v>39364306.919232145</v>
      </c>
      <c r="V204" s="602">
        <f t="shared" si="36"/>
        <v>39520037.373443022</v>
      </c>
      <c r="W204" s="602">
        <f t="shared" si="36"/>
        <v>39520037.373443022</v>
      </c>
      <c r="X204" s="602">
        <f t="shared" si="36"/>
        <v>44680916.431471489</v>
      </c>
      <c r="Z204" s="596"/>
    </row>
    <row r="205" spans="1:26" s="352" customFormat="1" x14ac:dyDescent="0.2">
      <c r="A205" s="521"/>
      <c r="H205" s="365" t="s">
        <v>30</v>
      </c>
      <c r="I205" s="570">
        <f>SUMIFS(CollectionCostTotal[Collection_Ops],CollectionCostTotal[Scenario_ID],I$2,CollectionCostTotal[Year],I$10,CollectionCostTotal[SS_or_DS],I$7)+
SUMIFS(DepotCostAllocations2025[Total_Depot_Operations_Cost],DepotCostAllocations2025[Scenario_ID],I$2)</f>
        <v>39385249.893028781</v>
      </c>
      <c r="J205" s="570">
        <f>SUMIFS(CollectionCostTotal[Collection_Ops],CollectionCostTotal[Scenario_ID],J$2,CollectionCostTotal[Year],J$10,CollectionCostTotal[SS_or_DS],J$7)+
SUMIFS(DepotCostAllocations2025[Total_Depot_Operations_Cost],DepotCostAllocations2025[Scenario_ID],J$2)</f>
        <v>39364306.919232145</v>
      </c>
      <c r="K205" s="570">
        <f>SUMIFS(CollectionCostTotal[Collection_Ops],CollectionCostTotal[Scenario_ID],K$2,CollectionCostTotal[Year],K$10,CollectionCostTotal[SS_or_DS],K$7)+
SUMIFS(DepotCostAllocations2025[Total_Depot_Operations_Cost],DepotCostAllocations2025[Scenario_ID],K$2)</f>
        <v>39520037.373443022</v>
      </c>
      <c r="L205" s="570">
        <f>SUMIFS(CollectionCostTotal[Collection_Ops],CollectionCostTotal[Scenario_ID],L$2,CollectionCostTotal[Year],L$10,CollectionCostTotal[SS_or_DS],L$7)+
SUMIFS(DepotCostAllocations2025[Total_Depot_Operations_Cost],DepotCostAllocations2025[Scenario_ID],L$2)</f>
        <v>39520037.373443022</v>
      </c>
      <c r="M205" s="570">
        <f>SUMIFS(CollectionCostTotal[Collection_Ops],CollectionCostTotal[Scenario_ID],M$2,CollectionCostTotal[Year],M$10,CollectionCostTotal[SS_or_DS],M$7)+
SUMIFS(DepotCostAllocations2025[Total_Depot_Operations_Cost],DepotCostAllocations2025[Scenario_ID],M$2)</f>
        <v>44680916.431471489</v>
      </c>
      <c r="P205" s="596"/>
      <c r="S205" s="600" t="s">
        <v>3713</v>
      </c>
      <c r="T205" s="602">
        <f>I206</f>
        <v>32906324.112831376</v>
      </c>
      <c r="U205" s="602">
        <f t="shared" si="36"/>
        <v>32896128.370924395</v>
      </c>
      <c r="V205" s="602">
        <f t="shared" si="36"/>
        <v>32969786.591648161</v>
      </c>
      <c r="W205" s="602">
        <f t="shared" si="36"/>
        <v>32969786.591648161</v>
      </c>
      <c r="X205" s="602">
        <f t="shared" si="36"/>
        <v>34817769.192811728</v>
      </c>
      <c r="Z205" s="596"/>
    </row>
    <row r="206" spans="1:26" s="352" customFormat="1" x14ac:dyDescent="0.2">
      <c r="A206" s="521"/>
      <c r="H206" s="365" t="s">
        <v>32</v>
      </c>
      <c r="I206" s="570">
        <f>SUMIFS(CollectionCostTotal[CollectionAdmin],CollectionCostTotal[Scenario_ID],I$2,CollectionCostTotal[Year],I$10,CollectionCostTotal[SS_or_DS],I$7)+
SUMIFS(DepotCostAllocations2025[Total_Depot_Admin_Cost],DepotCostAllocations2025[Scenario_ID],I$2)</f>
        <v>32906324.112831376</v>
      </c>
      <c r="J206" s="570">
        <f>SUMIFS(CollectionCostTotal[CollectionAdmin],CollectionCostTotal[Scenario_ID],J$2,CollectionCostTotal[Year],J$10,CollectionCostTotal[SS_or_DS],J$7)+
SUMIFS(DepotCostAllocations2025[Total_Depot_Admin_Cost],DepotCostAllocations2025[Scenario_ID],J$2)</f>
        <v>32896128.370924395</v>
      </c>
      <c r="K206" s="570">
        <f>SUMIFS(CollectionCostTotal[CollectionAdmin],CollectionCostTotal[Scenario_ID],K$2,CollectionCostTotal[Year],K$10,CollectionCostTotal[SS_or_DS],K$7)+
SUMIFS(DepotCostAllocations2025[Total_Depot_Admin_Cost],DepotCostAllocations2025[Scenario_ID],K$2)</f>
        <v>32969786.591648161</v>
      </c>
      <c r="L206" s="570">
        <f>SUMIFS(CollectionCostTotal[CollectionAdmin],CollectionCostTotal[Scenario_ID],L$2,CollectionCostTotal[Year],L$10,CollectionCostTotal[SS_or_DS],L$7)+
SUMIFS(DepotCostAllocations2025[Total_Depot_Admin_Cost],DepotCostAllocations2025[Scenario_ID],L$2)</f>
        <v>32969786.591648161</v>
      </c>
      <c r="M206" s="570">
        <f>SUMIFS(CollectionCostTotal[CollectionAdmin],CollectionCostTotal[Scenario_ID],M$2,CollectionCostTotal[Year],M$10,CollectionCostTotal[SS_or_DS],M$7)+
SUMIFS(DepotCostAllocations2025[Total_Depot_Admin_Cost],DepotCostAllocations2025[Scenario_ID],M$2)</f>
        <v>34817769.192811728</v>
      </c>
      <c r="P206" s="596"/>
      <c r="S206" s="600" t="s">
        <v>3721</v>
      </c>
      <c r="T206" s="602">
        <f>I207</f>
        <v>19876738.306196328</v>
      </c>
      <c r="U206" s="602">
        <f t="shared" si="36"/>
        <v>19876738.306196328</v>
      </c>
      <c r="V206" s="602">
        <f t="shared" si="36"/>
        <v>19876738.306196328</v>
      </c>
      <c r="W206" s="602">
        <f t="shared" si="36"/>
        <v>19876738.306196328</v>
      </c>
      <c r="X206" s="602">
        <f t="shared" si="36"/>
        <v>24805059.519675326</v>
      </c>
      <c r="Z206" s="596"/>
    </row>
    <row r="207" spans="1:26" s="352" customFormat="1" x14ac:dyDescent="0.2">
      <c r="A207" s="521"/>
      <c r="H207" s="365" t="s">
        <v>33</v>
      </c>
      <c r="I207" s="570">
        <f>SUMIFS(CollectionCostTotal[Collection_MarginFF],CollectionCostTotal[Scenario_ID],I$2,CollectionCostTotal[Year],I$10,CollectionCostTotal[SS_or_DS],I$7)</f>
        <v>19876738.306196328</v>
      </c>
      <c r="J207" s="570">
        <f>SUMIFS(CollectionCostTotal[Collection_MarginFF],CollectionCostTotal[Scenario_ID],J$2,CollectionCostTotal[Year],J$10,CollectionCostTotal[SS_or_DS],J$7)</f>
        <v>19876738.306196328</v>
      </c>
      <c r="K207" s="570">
        <f>SUMIFS(CollectionCostTotal[Collection_MarginFF],CollectionCostTotal[Scenario_ID],K$2,CollectionCostTotal[Year],K$10,CollectionCostTotal[SS_or_DS],K$7)</f>
        <v>19876738.306196328</v>
      </c>
      <c r="L207" s="570">
        <f>SUMIFS(CollectionCostTotal[Collection_MarginFF],CollectionCostTotal[Scenario_ID],L$2,CollectionCostTotal[Year],L$10,CollectionCostTotal[SS_or_DS],L$7)</f>
        <v>19876738.306196328</v>
      </c>
      <c r="M207" s="570">
        <f>SUMIFS(CollectionCostTotal[Collection_MarginFF],CollectionCostTotal[Scenario_ID],M$2,CollectionCostTotal[Year],M$10,CollectionCostTotal[SS_or_DS],M$7)</f>
        <v>24805059.519675326</v>
      </c>
      <c r="P207" s="596"/>
      <c r="S207" s="600" t="s">
        <v>25</v>
      </c>
      <c r="T207" s="602">
        <f>SUM(T202:T206)</f>
        <v>192738884.03779069</v>
      </c>
      <c r="U207" s="602">
        <f t="shared" ref="U207:X207" si="37">SUM(U202:U206)</f>
        <v>195037351.88600686</v>
      </c>
      <c r="V207" s="602">
        <f t="shared" si="37"/>
        <v>197513607.67895269</v>
      </c>
      <c r="W207" s="602">
        <f t="shared" si="37"/>
        <v>197513607.67895269</v>
      </c>
      <c r="X207" s="602">
        <f t="shared" si="37"/>
        <v>241061400.00534299</v>
      </c>
      <c r="Z207" s="596"/>
    </row>
    <row r="208" spans="1:26" s="530" customFormat="1" ht="6" x14ac:dyDescent="0.15">
      <c r="B208" s="530" t="s">
        <v>3581</v>
      </c>
      <c r="I208" s="571"/>
      <c r="J208" s="571"/>
      <c r="K208" s="571"/>
      <c r="L208" s="571"/>
      <c r="M208" s="571"/>
      <c r="P208" s="597"/>
      <c r="Z208" s="597"/>
    </row>
    <row r="209" spans="1:26" s="352" customFormat="1" x14ac:dyDescent="0.2">
      <c r="A209" s="521"/>
      <c r="E209" s="181"/>
      <c r="F209" s="181"/>
      <c r="G209" s="499" t="s">
        <v>3611</v>
      </c>
      <c r="H209" s="499"/>
      <c r="I209" s="572">
        <f>-SUMIFS(TransTonsShort[Avoided_Disposal2],TransTonsShort[Scenario_ID],I$2)</f>
        <v>-60579399.170721859</v>
      </c>
      <c r="J209" s="572">
        <f>-SUMIFS(TransTonsShort[Avoided_Disposal2],TransTonsShort[Scenario_ID],J$2)</f>
        <v>-57145058.193293869</v>
      </c>
      <c r="K209" s="572">
        <f>-SUMIFS(TransTonsShort[Avoided_Disposal2],TransTonsShort[Scenario_ID],K$2)</f>
        <v>-61988407.818083987</v>
      </c>
      <c r="L209" s="572">
        <f>-SUMIFS(TransTonsShort[Avoided_Disposal2],TransTonsShort[Scenario_ID],L$2)</f>
        <v>-61988407.818083987</v>
      </c>
      <c r="M209" s="572">
        <f>-SUMIFS(TransTonsShort[Avoided_Disposal2],TransTonsShort[Scenario_ID],M$2)</f>
        <v>-61994987.360636331</v>
      </c>
      <c r="P209" s="596"/>
      <c r="Z209" s="596"/>
    </row>
    <row r="210" spans="1:26" s="530" customFormat="1" ht="6" x14ac:dyDescent="0.15">
      <c r="B210" s="530" t="s">
        <v>3581</v>
      </c>
      <c r="I210" s="571"/>
      <c r="J210" s="571"/>
      <c r="K210" s="571"/>
      <c r="L210" s="571"/>
      <c r="M210" s="571"/>
      <c r="P210" s="597"/>
      <c r="Z210" s="597"/>
    </row>
    <row r="211" spans="1:26" x14ac:dyDescent="0.2">
      <c r="E211" s="181"/>
      <c r="F211" s="181"/>
      <c r="G211" s="499" t="s">
        <v>3671</v>
      </c>
      <c r="H211" s="499"/>
      <c r="I211" s="569">
        <f>SUMIFS(TransTonsShort[TransportCost],TransTonsShort[Scenario_ID],I$2,TransTonsShort[Sector_ID],I$6)</f>
        <v>11077088.901556414</v>
      </c>
      <c r="J211" s="569">
        <f>SUMIFS(TransTonsShort[TransportCost],TransTonsShort[Scenario_ID],J$2,TransTonsShort[Sector_ID],J$6)</f>
        <v>10630668.151960393</v>
      </c>
      <c r="K211" s="569">
        <f>SUMIFS(TransTonsShort[TransportCost],TransTonsShort[Scenario_ID],K$2,TransTonsShort[Sector_ID],K$6)</f>
        <v>11946373.371275155</v>
      </c>
      <c r="L211" s="569">
        <f>SUMIFS(TransTonsShort[TransportCost],TransTonsShort[Scenario_ID],L$2,TransTonsShort[Sector_ID],L$6)</f>
        <v>11946373.371275155</v>
      </c>
      <c r="M211" s="569">
        <f>SUMIFS(TransTonsShort[TransportCost],TransTonsShort[Scenario_ID],M$2,TransTonsShort[Sector_ID],M$6)</f>
        <v>12875557.035838269</v>
      </c>
      <c r="P211" s="596"/>
      <c r="Z211" s="596"/>
    </row>
    <row r="212" spans="1:26" s="530" customFormat="1" ht="6" x14ac:dyDescent="0.15">
      <c r="B212" s="530" t="s">
        <v>3581</v>
      </c>
      <c r="I212" s="571"/>
      <c r="J212" s="571"/>
      <c r="K212" s="571"/>
      <c r="L212" s="571"/>
      <c r="M212" s="571"/>
      <c r="P212" s="597"/>
      <c r="Z212" s="597"/>
    </row>
    <row r="213" spans="1:26" x14ac:dyDescent="0.2">
      <c r="E213" s="181"/>
      <c r="F213" s="181"/>
      <c r="G213" s="499" t="s">
        <v>34</v>
      </c>
      <c r="H213" s="499"/>
      <c r="I213" s="569">
        <f>SUM(I214:I220)</f>
        <v>67163253.335622892</v>
      </c>
      <c r="J213" s="569">
        <f t="shared" ref="J213:M213" si="38">SUM(J214:J220)</f>
        <v>61431671.580273688</v>
      </c>
      <c r="K213" s="569">
        <f t="shared" si="38"/>
        <v>61794705.877165265</v>
      </c>
      <c r="L213" s="569">
        <f t="shared" si="38"/>
        <v>60872153.475735746</v>
      </c>
      <c r="M213" s="569">
        <f t="shared" si="38"/>
        <v>59321309.769681096</v>
      </c>
      <c r="P213" s="596"/>
      <c r="S213" s="604" t="s">
        <v>34</v>
      </c>
      <c r="T213" s="600" t="s">
        <v>876</v>
      </c>
      <c r="U213" s="600" t="s">
        <v>875</v>
      </c>
      <c r="V213" s="600" t="s">
        <v>874</v>
      </c>
      <c r="W213" s="600" t="s">
        <v>873</v>
      </c>
      <c r="X213" s="600" t="s">
        <v>870</v>
      </c>
      <c r="Z213" s="596"/>
    </row>
    <row r="214" spans="1:26" s="352" customFormat="1" x14ac:dyDescent="0.2">
      <c r="A214" s="521"/>
      <c r="H214" s="365" t="s">
        <v>35</v>
      </c>
      <c r="I214" s="570">
        <f>SUMIFS(MRF1_CostTotal[MRF_Sort_Maintenance_Labor],MRF1_CostTotal[Scenario_ID],I$2)</f>
        <v>31319707.318544343</v>
      </c>
      <c r="J214" s="570">
        <f>SUMIFS(MRF1_CostTotal[MRF_Sort_Maintenance_Labor],MRF1_CostTotal[Scenario_ID],J$2)</f>
        <v>27196162.33563596</v>
      </c>
      <c r="K214" s="570">
        <f>SUMIFS(MRF1_CostTotal[MRF_Sort_Maintenance_Labor],MRF1_CostTotal[Scenario_ID],K$2)</f>
        <v>24948956.946016371</v>
      </c>
      <c r="L214" s="570">
        <f>SUMIFS(MRF1_CostTotal[MRF_Sort_Maintenance_Labor],MRF1_CostTotal[Scenario_ID],L$2)</f>
        <v>24181646.334170699</v>
      </c>
      <c r="M214" s="570">
        <f>SUMIFS(MRF1_CostTotal[MRF_Sort_Maintenance_Labor],MRF1_CostTotal[Scenario_ID],M$2)</f>
        <v>23935332.971665289</v>
      </c>
      <c r="P214" s="596"/>
      <c r="S214" s="600" t="s">
        <v>3710</v>
      </c>
      <c r="T214" s="602">
        <f>I214</f>
        <v>31319707.318544343</v>
      </c>
      <c r="U214" s="602">
        <f t="shared" ref="U214:X215" si="39">J214</f>
        <v>27196162.33563596</v>
      </c>
      <c r="V214" s="602">
        <f t="shared" si="39"/>
        <v>24948956.946016371</v>
      </c>
      <c r="W214" s="602">
        <f t="shared" si="39"/>
        <v>24181646.334170699</v>
      </c>
      <c r="X214" s="602">
        <f t="shared" si="39"/>
        <v>23935332.971665289</v>
      </c>
      <c r="Z214" s="596"/>
    </row>
    <row r="215" spans="1:26" s="352" customFormat="1" x14ac:dyDescent="0.2">
      <c r="A215" s="521"/>
      <c r="H215" s="365" t="s">
        <v>36</v>
      </c>
      <c r="I215" s="570">
        <f>SUMIFS(MRF1_CostTotal[MRF_Capital],MRF1_CostTotal[Scenario_ID],I$2)</f>
        <v>1947465.660779349</v>
      </c>
      <c r="J215" s="570">
        <f>SUMIFS(MRF1_CostTotal[MRF_Capital],MRF1_CostTotal[Scenario_ID],J$2)</f>
        <v>5519062.0407726541</v>
      </c>
      <c r="K215" s="570">
        <f>SUMIFS(MRF1_CostTotal[MRF_Capital],MRF1_CostTotal[Scenario_ID],K$2)</f>
        <v>5888844.0383476354</v>
      </c>
      <c r="L215" s="570">
        <f>SUMIFS(MRF1_CostTotal[MRF_Capital],MRF1_CostTotal[Scenario_ID],L$2)</f>
        <v>5412535.6691280231</v>
      </c>
      <c r="M215" s="570">
        <f>SUMIFS(MRF1_CostTotal[MRF_Capital],MRF1_CostTotal[Scenario_ID],M$2)</f>
        <v>5620928.4053004179</v>
      </c>
      <c r="P215" s="599"/>
      <c r="S215" s="600" t="s">
        <v>3711</v>
      </c>
      <c r="T215" s="602">
        <f>I215</f>
        <v>1947465.660779349</v>
      </c>
      <c r="U215" s="602">
        <f t="shared" si="39"/>
        <v>5519062.0407726541</v>
      </c>
      <c r="V215" s="602">
        <f t="shared" si="39"/>
        <v>5888844.0383476354</v>
      </c>
      <c r="W215" s="602">
        <f t="shared" si="39"/>
        <v>5412535.6691280231</v>
      </c>
      <c r="X215" s="602">
        <f t="shared" si="39"/>
        <v>5620928.4053004179</v>
      </c>
      <c r="Z215" s="599"/>
    </row>
    <row r="216" spans="1:26" s="352" customFormat="1" x14ac:dyDescent="0.2">
      <c r="A216" s="521"/>
      <c r="H216" s="365" t="s">
        <v>37</v>
      </c>
      <c r="I216" s="570">
        <f>SUMIFS(MRF1_CostTotal[MRF_Facility-Maintenance],MRF1_CostTotal[Scenario_ID],I$2)</f>
        <v>11821809.935957106</v>
      </c>
      <c r="J216" s="570">
        <f>SUMIFS(MRF1_CostTotal[MRF_Facility-Maintenance],MRF1_CostTotal[Scenario_ID],J$2)</f>
        <v>10967096.565402895</v>
      </c>
      <c r="K216" s="570">
        <f>SUMIFS(MRF1_CostTotal[MRF_Facility-Maintenance],MRF1_CostTotal[Scenario_ID],K$2)</f>
        <v>12123426.695679229</v>
      </c>
      <c r="L216" s="570">
        <f>SUMIFS(MRF1_CostTotal[MRF_Facility-Maintenance],MRF1_CostTotal[Scenario_ID],L$2)</f>
        <v>12192242.069969356</v>
      </c>
      <c r="M216" s="570">
        <f>SUMIFS(MRF1_CostTotal[MRF_Facility-Maintenance],MRF1_CostTotal[Scenario_ID],M$2)</f>
        <v>12207004.486984082</v>
      </c>
      <c r="P216" s="596"/>
      <c r="S216" s="600" t="s">
        <v>3714</v>
      </c>
      <c r="T216" s="602">
        <f>I218</f>
        <v>10824727.400126904</v>
      </c>
      <c r="U216" s="602">
        <f t="shared" ref="U216:X216" si="40">J218</f>
        <v>6924369.2297543352</v>
      </c>
      <c r="V216" s="602">
        <f t="shared" si="40"/>
        <v>7514530.3480781922</v>
      </c>
      <c r="W216" s="602">
        <f t="shared" si="40"/>
        <v>7158866.2059590369</v>
      </c>
      <c r="X216" s="602">
        <f t="shared" si="40"/>
        <v>6854467.5291847643</v>
      </c>
      <c r="Z216" s="596"/>
    </row>
    <row r="217" spans="1:26" s="352" customFormat="1" x14ac:dyDescent="0.2">
      <c r="A217" s="521"/>
      <c r="H217" s="365" t="s">
        <v>1861</v>
      </c>
      <c r="I217" s="570">
        <f>SUMIFS(SecondaryTransport[Container_Transfer],SecondaryTransport[Scenario_ID],I$2)</f>
        <v>442771.79685298563</v>
      </c>
      <c r="J217" s="570">
        <f>SUMIFS(SecondaryTransport[Container_Transfer],SecondaryTransport[Scenario_ID],J$2)</f>
        <v>442771.79685298563</v>
      </c>
      <c r="K217" s="570">
        <f>SUMIFS(SecondaryTransport[Container_Transfer],SecondaryTransport[Scenario_ID],K$2)</f>
        <v>947212.80866454146</v>
      </c>
      <c r="L217" s="570">
        <f>SUMIFS(SecondaryTransport[Container_Transfer],SecondaryTransport[Scenario_ID],L$2)</f>
        <v>1677565.5760408712</v>
      </c>
      <c r="M217" s="570">
        <f>SUMIFS(SecondaryTransport[Container_Transfer],SecondaryTransport[Scenario_ID],M$2)</f>
        <v>480483.30696618609</v>
      </c>
      <c r="P217" s="596"/>
      <c r="S217" s="600" t="s">
        <v>3715</v>
      </c>
      <c r="T217" s="602">
        <f>I217</f>
        <v>442771.79685298563</v>
      </c>
      <c r="U217" s="602">
        <f t="shared" ref="U217:X217" si="41">J217</f>
        <v>442771.79685298563</v>
      </c>
      <c r="V217" s="602">
        <f t="shared" si="41"/>
        <v>947212.80866454146</v>
      </c>
      <c r="W217" s="602">
        <f t="shared" si="41"/>
        <v>1677565.5760408712</v>
      </c>
      <c r="X217" s="602">
        <f t="shared" si="41"/>
        <v>480483.30696618609</v>
      </c>
      <c r="Z217" s="596"/>
    </row>
    <row r="218" spans="1:26" s="352" customFormat="1" x14ac:dyDescent="0.2">
      <c r="A218" s="521"/>
      <c r="H218" s="365" t="s">
        <v>38</v>
      </c>
      <c r="I218" s="570">
        <f>SUMIFS(MRF1_CostTotal[MRF_Residual],MRF1_CostTotal[Scenario_ID],I$2)</f>
        <v>10824727.400126904</v>
      </c>
      <c r="J218" s="570">
        <f>SUMIFS(MRF1_CostTotal[MRF_Residual],MRF1_CostTotal[Scenario_ID],J$2)</f>
        <v>6924369.2297543352</v>
      </c>
      <c r="K218" s="570">
        <f>SUMIFS(MRF1_CostTotal[MRF_Residual],MRF1_CostTotal[Scenario_ID],K$2)</f>
        <v>7514530.3480781922</v>
      </c>
      <c r="L218" s="570">
        <f>SUMIFS(MRF1_CostTotal[MRF_Residual],MRF1_CostTotal[Scenario_ID],L$2)</f>
        <v>7158866.2059590369</v>
      </c>
      <c r="M218" s="570">
        <f>SUMIFS(MRF1_CostTotal[MRF_Residual],MRF1_CostTotal[Scenario_ID],M$2)</f>
        <v>6854467.5291847643</v>
      </c>
      <c r="P218" s="596"/>
      <c r="S218" s="600" t="s">
        <v>724</v>
      </c>
      <c r="T218" s="602">
        <f>I216+I219+I220</f>
        <v>22628581.159319308</v>
      </c>
      <c r="U218" s="602">
        <f t="shared" ref="U218:X218" si="42">J216+J219+J220</f>
        <v>21349306.17725775</v>
      </c>
      <c r="V218" s="602">
        <f t="shared" si="42"/>
        <v>22495161.736058533</v>
      </c>
      <c r="W218" s="602">
        <f t="shared" si="42"/>
        <v>22441539.690437116</v>
      </c>
      <c r="X218" s="602">
        <f t="shared" si="42"/>
        <v>22430097.556564435</v>
      </c>
      <c r="Z218" s="596"/>
    </row>
    <row r="219" spans="1:26" s="352" customFormat="1" x14ac:dyDescent="0.2">
      <c r="A219" s="521"/>
      <c r="H219" s="365" t="s">
        <v>39</v>
      </c>
      <c r="I219" s="570">
        <f>SUMIFS(MRF1_CostTotal[MRF_AdminMarket],MRF1_CostTotal[Scenario_ID],I$2)</f>
        <v>5864513.3316014698</v>
      </c>
      <c r="J219" s="570">
        <f>SUMIFS(MRF1_CostTotal[MRF_AdminMarket],MRF1_CostTotal[Scenario_ID],J$2)</f>
        <v>5864513.3316014698</v>
      </c>
      <c r="K219" s="570">
        <f>SUMIFS(MRF1_CostTotal[MRF_AdminMarket],MRF1_CostTotal[Scenario_ID],K$2)</f>
        <v>5864513.3316014698</v>
      </c>
      <c r="L219" s="570">
        <f>SUMIFS(MRF1_CostTotal[MRF_AdminMarket],MRF1_CostTotal[Scenario_ID],L$2)</f>
        <v>5864513.3316014698</v>
      </c>
      <c r="M219" s="570">
        <f>SUMIFS(MRF1_CostTotal[MRF_AdminMarket],MRF1_CostTotal[Scenario_ID],M$2)</f>
        <v>5864513.3316014698</v>
      </c>
      <c r="P219" s="596"/>
      <c r="S219" s="600" t="s">
        <v>25</v>
      </c>
      <c r="T219" s="602">
        <f>SUM(T214:T218)</f>
        <v>67163253.335622892</v>
      </c>
      <c r="U219" s="602">
        <f t="shared" ref="U219:X219" si="43">SUM(U214:U218)</f>
        <v>61431671.580273688</v>
      </c>
      <c r="V219" s="602">
        <f t="shared" si="43"/>
        <v>61794705.877165273</v>
      </c>
      <c r="W219" s="602">
        <f t="shared" si="43"/>
        <v>60872153.475735746</v>
      </c>
      <c r="X219" s="602">
        <f t="shared" si="43"/>
        <v>59321309.769681096</v>
      </c>
      <c r="Z219" s="596"/>
    </row>
    <row r="220" spans="1:26" s="352" customFormat="1" x14ac:dyDescent="0.2">
      <c r="A220" s="521"/>
      <c r="H220" s="365" t="s">
        <v>40</v>
      </c>
      <c r="I220" s="570">
        <f>SUMIFS(MRF1_CostTotal[MRF_Margin],MRF1_CostTotal[Scenario_ID],I$2)</f>
        <v>4942257.891760733</v>
      </c>
      <c r="J220" s="570">
        <f>SUMIFS(MRF1_CostTotal[MRF_Margin],MRF1_CostTotal[Scenario_ID],J$2)</f>
        <v>4517696.2802533852</v>
      </c>
      <c r="K220" s="570">
        <f>SUMIFS(MRF1_CostTotal[MRF_Margin],MRF1_CostTotal[Scenario_ID],K$2)</f>
        <v>4507221.7087778319</v>
      </c>
      <c r="L220" s="570">
        <f>SUMIFS(MRF1_CostTotal[MRF_Margin],MRF1_CostTotal[Scenario_ID],L$2)</f>
        <v>4384784.2888662871</v>
      </c>
      <c r="M220" s="570">
        <f>SUMIFS(MRF1_CostTotal[MRF_Margin],MRF1_CostTotal[Scenario_ID],M$2)</f>
        <v>4358579.7379788812</v>
      </c>
      <c r="P220" s="596"/>
      <c r="Z220" s="596"/>
    </row>
    <row r="221" spans="1:26" s="530" customFormat="1" ht="6" x14ac:dyDescent="0.15">
      <c r="B221" s="530" t="s">
        <v>3581</v>
      </c>
      <c r="I221" s="571"/>
      <c r="J221" s="571"/>
      <c r="K221" s="571"/>
      <c r="L221" s="571"/>
      <c r="M221" s="571"/>
      <c r="P221" s="597"/>
      <c r="Z221" s="597"/>
    </row>
    <row r="222" spans="1:26" s="521" customFormat="1" ht="15" x14ac:dyDescent="0.25">
      <c r="E222" s="181"/>
      <c r="F222" s="538" t="s">
        <v>3606</v>
      </c>
      <c r="G222" s="537"/>
      <c r="H222" s="537"/>
      <c r="I222" s="568"/>
      <c r="J222" s="568"/>
      <c r="K222" s="568"/>
      <c r="L222" s="568"/>
      <c r="M222" s="568"/>
      <c r="P222" s="596"/>
      <c r="Z222" s="596"/>
    </row>
    <row r="223" spans="1:26" s="530" customFormat="1" ht="6" x14ac:dyDescent="0.15">
      <c r="B223" s="530" t="s">
        <v>3581</v>
      </c>
      <c r="I223" s="571"/>
      <c r="J223" s="571"/>
      <c r="K223" s="571"/>
      <c r="L223" s="571"/>
      <c r="M223" s="571"/>
      <c r="P223" s="597"/>
      <c r="Z223" s="597"/>
    </row>
    <row r="224" spans="1:26" s="521" customFormat="1" x14ac:dyDescent="0.2">
      <c r="E224" s="181"/>
      <c r="F224" s="181"/>
      <c r="G224" s="499" t="s">
        <v>3607</v>
      </c>
      <c r="H224" s="499"/>
      <c r="I224" s="569">
        <f>SUM(I225:I229)</f>
        <v>188121064.53710049</v>
      </c>
      <c r="J224" s="569">
        <f t="shared" ref="J224:M224" si="44">SUM(J225:J229)</f>
        <v>199473057.31718028</v>
      </c>
      <c r="K224" s="569">
        <f t="shared" si="44"/>
        <v>198817235.00341699</v>
      </c>
      <c r="L224" s="569">
        <f t="shared" si="44"/>
        <v>198079193.08227336</v>
      </c>
      <c r="M224" s="569">
        <f t="shared" si="44"/>
        <v>236861874.92099059</v>
      </c>
      <c r="P224" s="596"/>
      <c r="S224" s="604" t="s">
        <v>3722</v>
      </c>
      <c r="T224" s="600" t="s">
        <v>876</v>
      </c>
      <c r="U224" s="600" t="s">
        <v>875</v>
      </c>
      <c r="V224" s="600" t="s">
        <v>874</v>
      </c>
      <c r="W224" s="600" t="s">
        <v>873</v>
      </c>
      <c r="X224" s="600" t="s">
        <v>870</v>
      </c>
      <c r="Z224" s="596"/>
    </row>
    <row r="225" spans="1:26" s="521" customFormat="1" x14ac:dyDescent="0.2">
      <c r="E225" s="181"/>
      <c r="F225" s="547">
        <v>-0.1</v>
      </c>
      <c r="G225" s="547"/>
      <c r="H225" s="519" t="str">
        <f>G$197</f>
        <v>Customer Engagement Costs</v>
      </c>
      <c r="I225" s="573">
        <f>(1+$F225)*INDEX(I$197:I$220,MATCH($H225,$G$197:$G$220,0))</f>
        <v>5477545.4768394772</v>
      </c>
      <c r="J225" s="573">
        <f t="shared" ref="J225:M229" si="45">(1+$F225)*INDEX(J$197:J$220,MATCH($H225,$G$197:$G$220,0))</f>
        <v>16657054.392755276</v>
      </c>
      <c r="K225" s="573">
        <f t="shared" si="45"/>
        <v>16657054.392755276</v>
      </c>
      <c r="L225" s="573">
        <f t="shared" si="45"/>
        <v>16657054.392755276</v>
      </c>
      <c r="M225" s="573">
        <f t="shared" si="45"/>
        <v>16657054.392755276</v>
      </c>
      <c r="P225" s="596"/>
      <c r="S225" s="600" t="s">
        <v>3607</v>
      </c>
      <c r="T225" s="602">
        <f>I224</f>
        <v>188121064.53710049</v>
      </c>
      <c r="U225" s="602">
        <f t="shared" ref="U225:X225" si="46">J224</f>
        <v>199473057.31718028</v>
      </c>
      <c r="V225" s="602">
        <f t="shared" si="46"/>
        <v>198817235.00341699</v>
      </c>
      <c r="W225" s="602">
        <f t="shared" si="46"/>
        <v>198079193.08227336</v>
      </c>
      <c r="X225" s="602">
        <f t="shared" si="46"/>
        <v>236861874.92099059</v>
      </c>
      <c r="Z225" s="596"/>
    </row>
    <row r="226" spans="1:26" s="521" customFormat="1" x14ac:dyDescent="0.2">
      <c r="E226" s="181"/>
      <c r="F226" s="547">
        <v>-0.1</v>
      </c>
      <c r="G226" s="547"/>
      <c r="H226" s="519" t="str">
        <f>G$201</f>
        <v>Collection</v>
      </c>
      <c r="I226" s="573">
        <f t="shared" ref="I226:I229" si="47">(1+$F226)*INDEX(I$197:I$220,MATCH($H226,$G$197:$G$220,0))</f>
        <v>173464995.63401163</v>
      </c>
      <c r="J226" s="573">
        <f t="shared" si="45"/>
        <v>175533616.69740617</v>
      </c>
      <c r="K226" s="573">
        <f t="shared" si="45"/>
        <v>177762246.91105744</v>
      </c>
      <c r="L226" s="573">
        <f t="shared" si="45"/>
        <v>177762246.91105744</v>
      </c>
      <c r="M226" s="573">
        <f t="shared" si="45"/>
        <v>216955260.00480869</v>
      </c>
      <c r="P226" s="596"/>
      <c r="S226" s="600" t="s">
        <v>3599</v>
      </c>
      <c r="T226" s="602">
        <f>I194</f>
        <v>216485988.74518085</v>
      </c>
      <c r="U226" s="602">
        <f t="shared" ref="U226:X226" si="48">J194</f>
        <v>228462471.6391196</v>
      </c>
      <c r="V226" s="602">
        <f t="shared" si="48"/>
        <v>227774117.32348165</v>
      </c>
      <c r="W226" s="602">
        <f t="shared" si="48"/>
        <v>226851564.92205215</v>
      </c>
      <c r="X226" s="602">
        <f t="shared" si="48"/>
        <v>269771117.66439855</v>
      </c>
      <c r="Z226" s="596"/>
    </row>
    <row r="227" spans="1:26" s="521" customFormat="1" x14ac:dyDescent="0.2">
      <c r="E227" s="181"/>
      <c r="F227" s="547">
        <v>-0.1</v>
      </c>
      <c r="G227" s="547"/>
      <c r="H227" s="519" t="str">
        <f>G$209</f>
        <v>Cost Savings from Reduced Garbage Disposal</v>
      </c>
      <c r="I227" s="573">
        <f t="shared" si="47"/>
        <v>-54521459.253649674</v>
      </c>
      <c r="J227" s="573">
        <f t="shared" si="45"/>
        <v>-51430552.373964481</v>
      </c>
      <c r="K227" s="573">
        <f t="shared" si="45"/>
        <v>-55789567.036275588</v>
      </c>
      <c r="L227" s="573">
        <f t="shared" si="45"/>
        <v>-55789567.036275588</v>
      </c>
      <c r="M227" s="573">
        <f t="shared" si="45"/>
        <v>-55795488.624572702</v>
      </c>
      <c r="P227" s="596"/>
      <c r="S227" s="600" t="s">
        <v>3608</v>
      </c>
      <c r="T227" s="602">
        <f>I231</f>
        <v>244850912.95326126</v>
      </c>
      <c r="U227" s="602">
        <f t="shared" ref="U227:X227" si="49">J231</f>
        <v>257451885.96105894</v>
      </c>
      <c r="V227" s="602">
        <f t="shared" si="49"/>
        <v>256730999.64354634</v>
      </c>
      <c r="W227" s="602">
        <f t="shared" si="49"/>
        <v>255623936.76183093</v>
      </c>
      <c r="X227" s="602">
        <f t="shared" si="49"/>
        <v>302680360.40780652</v>
      </c>
      <c r="Z227" s="596"/>
    </row>
    <row r="228" spans="1:26" s="521" customFormat="1" x14ac:dyDescent="0.2">
      <c r="E228" s="181"/>
      <c r="F228" s="547">
        <v>-0.1</v>
      </c>
      <c r="G228" s="547"/>
      <c r="H228" s="519" t="str">
        <f>G$211</f>
        <v>Initial Transfer Transport</v>
      </c>
      <c r="I228" s="573">
        <f t="shared" si="47"/>
        <v>9969380.0114007723</v>
      </c>
      <c r="J228" s="573">
        <f t="shared" si="45"/>
        <v>9567601.3367643543</v>
      </c>
      <c r="K228" s="573">
        <f t="shared" si="45"/>
        <v>10751736.034147639</v>
      </c>
      <c r="L228" s="573">
        <f t="shared" si="45"/>
        <v>10751736.034147639</v>
      </c>
      <c r="M228" s="573">
        <f t="shared" si="45"/>
        <v>11588001.332254441</v>
      </c>
      <c r="P228" s="596"/>
      <c r="Z228" s="596"/>
    </row>
    <row r="229" spans="1:26" s="521" customFormat="1" x14ac:dyDescent="0.2">
      <c r="E229" s="181"/>
      <c r="F229" s="547">
        <v>-0.2</v>
      </c>
      <c r="G229" s="547"/>
      <c r="H229" s="519" t="str">
        <f>G$213</f>
        <v>Sortation</v>
      </c>
      <c r="I229" s="573">
        <f t="shared" si="47"/>
        <v>53730602.668498315</v>
      </c>
      <c r="J229" s="573">
        <f t="shared" si="45"/>
        <v>49145337.264218956</v>
      </c>
      <c r="K229" s="573">
        <f t="shared" si="45"/>
        <v>49435764.701732218</v>
      </c>
      <c r="L229" s="573">
        <f t="shared" si="45"/>
        <v>48697722.780588597</v>
      </c>
      <c r="M229" s="573">
        <f t="shared" si="45"/>
        <v>47457047.815744877</v>
      </c>
      <c r="P229" s="596"/>
      <c r="Z229" s="596"/>
    </row>
    <row r="230" spans="1:26" s="530" customFormat="1" ht="6" x14ac:dyDescent="0.15">
      <c r="B230" s="530" t="s">
        <v>3581</v>
      </c>
      <c r="I230" s="571"/>
      <c r="J230" s="571"/>
      <c r="K230" s="571"/>
      <c r="L230" s="571"/>
      <c r="M230" s="571"/>
      <c r="P230" s="597"/>
      <c r="Z230" s="597"/>
    </row>
    <row r="231" spans="1:26" s="521" customFormat="1" x14ac:dyDescent="0.2">
      <c r="E231" s="181"/>
      <c r="F231" s="181"/>
      <c r="G231" s="499" t="s">
        <v>3608</v>
      </c>
      <c r="H231" s="499"/>
      <c r="I231" s="569">
        <f t="shared" ref="I231:M231" si="50">SUM(I232:I236)</f>
        <v>244850912.95326126</v>
      </c>
      <c r="J231" s="569">
        <f t="shared" si="50"/>
        <v>257451885.96105894</v>
      </c>
      <c r="K231" s="569">
        <f t="shared" si="50"/>
        <v>256730999.64354634</v>
      </c>
      <c r="L231" s="569">
        <f t="shared" si="50"/>
        <v>255623936.76183093</v>
      </c>
      <c r="M231" s="569">
        <f t="shared" si="50"/>
        <v>302680360.40780652</v>
      </c>
      <c r="P231" s="596"/>
      <c r="S231" s="605" t="s">
        <v>3723</v>
      </c>
      <c r="T231" s="600" t="s">
        <v>876</v>
      </c>
      <c r="U231" s="600" t="s">
        <v>875</v>
      </c>
      <c r="V231" s="600" t="s">
        <v>874</v>
      </c>
      <c r="W231" s="600" t="s">
        <v>873</v>
      </c>
      <c r="X231" s="600" t="s">
        <v>870</v>
      </c>
      <c r="Z231" s="596"/>
    </row>
    <row r="232" spans="1:26" s="521" customFormat="1" x14ac:dyDescent="0.2">
      <c r="E232" s="181"/>
      <c r="F232" s="547">
        <v>0.1</v>
      </c>
      <c r="G232" s="548"/>
      <c r="H232" s="519" t="str">
        <f>G$197</f>
        <v>Customer Engagement Costs</v>
      </c>
      <c r="I232" s="573">
        <f>(1+$F232)*INDEX(I$197:I$220,MATCH($H232,$G$197:$G$220,0))</f>
        <v>6694777.8050260274</v>
      </c>
      <c r="J232" s="573">
        <f>(1+$F232)*INDEX(J$197:J$220,MATCH($H232,$G$197:$G$220,0))</f>
        <v>20358622.035589781</v>
      </c>
      <c r="K232" s="573">
        <f>(1+$F232)*INDEX(K$197:K$220,MATCH($H232,$G$197:$G$220,0))</f>
        <v>20358622.035589781</v>
      </c>
      <c r="L232" s="573">
        <f>(1+$F232)*INDEX(L$197:L$220,MATCH($H232,$G$197:$G$220,0))</f>
        <v>20358622.035589781</v>
      </c>
      <c r="M232" s="573">
        <f>(1+$F232)*INDEX(M$197:M$220,MATCH($H232,$G$197:$G$220,0))</f>
        <v>20358622.035589781</v>
      </c>
      <c r="P232" s="596"/>
      <c r="S232" s="600" t="s">
        <v>3607</v>
      </c>
      <c r="T232" s="603">
        <f>I224/I$140</f>
        <v>368.38469910119119</v>
      </c>
      <c r="U232" s="603">
        <f t="shared" ref="U232:X232" si="51">J224/J$140</f>
        <v>393.805225477107</v>
      </c>
      <c r="V232" s="603">
        <f t="shared" si="51"/>
        <v>357.05605623053867</v>
      </c>
      <c r="W232" s="603">
        <f t="shared" si="51"/>
        <v>355.77548994316379</v>
      </c>
      <c r="X232" s="603">
        <f t="shared" si="51"/>
        <v>418.90736162815807</v>
      </c>
      <c r="Z232" s="596"/>
    </row>
    <row r="233" spans="1:26" s="521" customFormat="1" x14ac:dyDescent="0.2">
      <c r="E233" s="181"/>
      <c r="F233" s="547">
        <v>0.1</v>
      </c>
      <c r="G233" s="548"/>
      <c r="H233" s="519" t="str">
        <f>G$201</f>
        <v>Collection</v>
      </c>
      <c r="I233" s="573">
        <f t="shared" ref="I233:I236" si="52">(1+$F233)*INDEX(I$197:I$220,MATCH($H233,$G$197:$G$220,0))</f>
        <v>212012772.44156978</v>
      </c>
      <c r="J233" s="573">
        <f t="shared" ref="J233:M236" si="53">(1+$F233)*INDEX(J$197:J$220,MATCH($H233,$G$197:$G$220,0))</f>
        <v>214541087.07460755</v>
      </c>
      <c r="K233" s="573">
        <f t="shared" si="53"/>
        <v>217264968.44684798</v>
      </c>
      <c r="L233" s="573">
        <f t="shared" si="53"/>
        <v>217264968.44684798</v>
      </c>
      <c r="M233" s="573">
        <f t="shared" si="53"/>
        <v>265167540.00587732</v>
      </c>
      <c r="P233" s="596"/>
      <c r="S233" s="600" t="s">
        <v>3599</v>
      </c>
      <c r="T233" s="603">
        <f>I195</f>
        <v>423.92980296892432</v>
      </c>
      <c r="U233" s="603">
        <f t="shared" ref="U233:X233" si="54">J195</f>
        <v>451.03692883114854</v>
      </c>
      <c r="V233" s="603">
        <f t="shared" si="54"/>
        <v>409.05974797163145</v>
      </c>
      <c r="W233" s="603">
        <f t="shared" si="54"/>
        <v>407.45433883605278</v>
      </c>
      <c r="X233" s="603">
        <f t="shared" si="54"/>
        <v>477.10973824710601</v>
      </c>
      <c r="Z233" s="596"/>
    </row>
    <row r="234" spans="1:26" s="521" customFormat="1" x14ac:dyDescent="0.2">
      <c r="E234" s="181"/>
      <c r="F234" s="547">
        <v>0.1</v>
      </c>
      <c r="G234" s="548"/>
      <c r="H234" s="519" t="str">
        <f>G$209</f>
        <v>Cost Savings from Reduced Garbage Disposal</v>
      </c>
      <c r="I234" s="573">
        <f t="shared" si="52"/>
        <v>-66637339.087794051</v>
      </c>
      <c r="J234" s="573">
        <f t="shared" si="53"/>
        <v>-62859564.012623258</v>
      </c>
      <c r="K234" s="573">
        <f t="shared" si="53"/>
        <v>-68187248.599892393</v>
      </c>
      <c r="L234" s="573">
        <f t="shared" si="53"/>
        <v>-68187248.599892393</v>
      </c>
      <c r="M234" s="573">
        <f t="shared" si="53"/>
        <v>-68194486.096699968</v>
      </c>
      <c r="P234" s="596"/>
      <c r="S234" s="600" t="s">
        <v>3608</v>
      </c>
      <c r="T234" s="603">
        <f>I231/I$140</f>
        <v>479.47490683665757</v>
      </c>
      <c r="U234" s="603">
        <f t="shared" ref="U234:X234" si="55">J231/J$140</f>
        <v>508.26863218519014</v>
      </c>
      <c r="V234" s="603">
        <f t="shared" si="55"/>
        <v>461.06343971272429</v>
      </c>
      <c r="W234" s="603">
        <f t="shared" si="55"/>
        <v>459.13318772894178</v>
      </c>
      <c r="X234" s="603">
        <f t="shared" si="55"/>
        <v>535.312114866054</v>
      </c>
      <c r="Z234" s="596"/>
    </row>
    <row r="235" spans="1:26" s="521" customFormat="1" x14ac:dyDescent="0.2">
      <c r="E235" s="181"/>
      <c r="F235" s="547">
        <v>0.1</v>
      </c>
      <c r="G235" s="548"/>
      <c r="H235" s="519" t="str">
        <f>G$211</f>
        <v>Initial Transfer Transport</v>
      </c>
      <c r="I235" s="573">
        <f t="shared" si="52"/>
        <v>12184797.791712057</v>
      </c>
      <c r="J235" s="573">
        <f t="shared" si="53"/>
        <v>11693734.967156434</v>
      </c>
      <c r="K235" s="573">
        <f t="shared" si="53"/>
        <v>13141010.708402671</v>
      </c>
      <c r="L235" s="573">
        <f t="shared" si="53"/>
        <v>13141010.708402671</v>
      </c>
      <c r="M235" s="573">
        <f t="shared" si="53"/>
        <v>14163112.739422096</v>
      </c>
      <c r="P235" s="596"/>
      <c r="Z235" s="596"/>
    </row>
    <row r="236" spans="1:26" s="521" customFormat="1" x14ac:dyDescent="0.2">
      <c r="E236" s="181"/>
      <c r="F236" s="547">
        <v>0.2</v>
      </c>
      <c r="G236" s="548"/>
      <c r="H236" s="519" t="str">
        <f>G$213</f>
        <v>Sortation</v>
      </c>
      <c r="I236" s="573">
        <f t="shared" si="52"/>
        <v>80595904.002747461</v>
      </c>
      <c r="J236" s="573">
        <f t="shared" si="53"/>
        <v>73718005.896328419</v>
      </c>
      <c r="K236" s="573">
        <f t="shared" si="53"/>
        <v>74153647.052598312</v>
      </c>
      <c r="L236" s="573">
        <f t="shared" si="53"/>
        <v>73046584.170882896</v>
      </c>
      <c r="M236" s="573">
        <f t="shared" si="53"/>
        <v>71185571.723617315</v>
      </c>
      <c r="P236" s="596"/>
      <c r="Z236" s="596"/>
    </row>
    <row r="237" spans="1:26" s="530" customFormat="1" ht="6" x14ac:dyDescent="0.15">
      <c r="B237" s="530" t="s">
        <v>3581</v>
      </c>
      <c r="I237" s="571"/>
      <c r="J237" s="571"/>
      <c r="K237" s="571"/>
      <c r="L237" s="571"/>
      <c r="M237" s="571"/>
      <c r="P237" s="597"/>
      <c r="Z237" s="597"/>
    </row>
    <row r="238" spans="1:26" s="352" customFormat="1" ht="15" x14ac:dyDescent="0.25">
      <c r="A238" s="521"/>
      <c r="E238" s="181"/>
      <c r="F238" s="538" t="s">
        <v>3589</v>
      </c>
      <c r="G238" s="537"/>
      <c r="H238" s="537"/>
      <c r="I238" s="568"/>
      <c r="J238" s="568"/>
      <c r="K238" s="568"/>
      <c r="L238" s="568"/>
      <c r="M238" s="568"/>
      <c r="P238" s="596"/>
      <c r="Z238" s="596"/>
    </row>
    <row r="239" spans="1:26" s="530" customFormat="1" ht="6" x14ac:dyDescent="0.15">
      <c r="B239" s="530" t="s">
        <v>3581</v>
      </c>
      <c r="I239" s="571"/>
      <c r="J239" s="571"/>
      <c r="K239" s="571"/>
      <c r="L239" s="571"/>
      <c r="M239" s="571"/>
      <c r="P239" s="597"/>
      <c r="Z239" s="597"/>
    </row>
    <row r="240" spans="1:26" s="352" customFormat="1" x14ac:dyDescent="0.2">
      <c r="A240" s="521"/>
      <c r="E240" s="181"/>
      <c r="F240" s="181"/>
      <c r="G240" s="499" t="s">
        <v>3589</v>
      </c>
      <c r="H240" s="499"/>
      <c r="I240" s="569"/>
      <c r="J240" s="569"/>
      <c r="K240" s="569"/>
      <c r="L240" s="569"/>
      <c r="M240" s="569"/>
      <c r="P240" s="596"/>
      <c r="S240" s="605" t="s">
        <v>3724</v>
      </c>
      <c r="T240" s="600" t="s">
        <v>876</v>
      </c>
      <c r="U240" s="600" t="s">
        <v>875</v>
      </c>
      <c r="V240" s="600" t="s">
        <v>874</v>
      </c>
      <c r="W240" s="600" t="s">
        <v>873</v>
      </c>
      <c r="X240" s="600" t="s">
        <v>870</v>
      </c>
      <c r="Z240" s="596"/>
    </row>
    <row r="241" spans="2:26" s="521" customFormat="1" x14ac:dyDescent="0.2">
      <c r="H241" s="519" t="s">
        <v>3609</v>
      </c>
      <c r="I241" s="346">
        <f>SUMIFS(BaleMover[BalePrice_Low],BaleMover[Scenario_ID],I$2)</f>
        <v>11267394.996468393</v>
      </c>
      <c r="J241" s="346">
        <f>SUMIFS(BaleMover[BalePrice_Low],BaleMover[Scenario_ID],J$2)</f>
        <v>14578789.811302138</v>
      </c>
      <c r="K241" s="346">
        <f>SUMIFS(BaleMover[BalePrice_Low],BaleMover[Scenario_ID],K$2)</f>
        <v>16712548.670536563</v>
      </c>
      <c r="L241" s="346">
        <f>SUMIFS(BaleMover[BalePrice_Low],BaleMover[Scenario_ID],L$2)</f>
        <v>14672765.751590284</v>
      </c>
      <c r="M241" s="346">
        <f>SUMIFS(BaleMover[BalePrice_Low],BaleMover[Scenario_ID],M$2)</f>
        <v>16843201.835505918</v>
      </c>
      <c r="P241" s="596"/>
      <c r="S241" s="600" t="s">
        <v>3607</v>
      </c>
      <c r="T241" s="603">
        <f>(I224-I243)/I$140</f>
        <v>223.77467046293407</v>
      </c>
      <c r="U241" s="603">
        <f t="shared" ref="U241:X241" si="56">(J224-J243)/J$140</f>
        <v>256.34531631840116</v>
      </c>
      <c r="V241" s="603">
        <f t="shared" si="56"/>
        <v>214.42112579053841</v>
      </c>
      <c r="W241" s="603">
        <f t="shared" si="56"/>
        <v>222.91380878780333</v>
      </c>
      <c r="X241" s="603">
        <f t="shared" si="56"/>
        <v>279.68081903811242</v>
      </c>
      <c r="Z241" s="596"/>
    </row>
    <row r="242" spans="2:26" s="521" customFormat="1" x14ac:dyDescent="0.2">
      <c r="H242" s="519" t="s">
        <v>3604</v>
      </c>
      <c r="I242" s="346">
        <f>SUMIFS(BaleMover[BalePrice_Mid],BaleMover[Scenario_ID],I$2)</f>
        <v>42557316.471204661</v>
      </c>
      <c r="J242" s="346">
        <f>SUMIFS(BaleMover[BalePrice_Mid],BaleMover[Scenario_ID],J$2)</f>
        <v>42102986.19968392</v>
      </c>
      <c r="K242" s="346">
        <f>SUMIFS(BaleMover[BalePrice_Mid],BaleMover[Scenario_ID],K$2)</f>
        <v>48067521.337161481</v>
      </c>
      <c r="L242" s="346">
        <f>SUMIFS(BaleMover[BalePrice_Mid],BaleMover[Scenario_ID],L$2)</f>
        <v>44321975.389507011</v>
      </c>
      <c r="M242" s="346">
        <f>SUMIFS(BaleMover[BalePrice_Mid],BaleMover[Scenario_ID],M$2)</f>
        <v>47782880.925428867</v>
      </c>
      <c r="P242" s="596"/>
      <c r="S242" s="600" t="s">
        <v>3599</v>
      </c>
      <c r="T242" s="603">
        <f>I246</f>
        <v>340.59270161147879</v>
      </c>
      <c r="U242" s="603">
        <f t="shared" ref="U242:X242" si="57">J246</f>
        <v>367.91604926663797</v>
      </c>
      <c r="V242" s="603">
        <f t="shared" si="57"/>
        <v>322.73524194412749</v>
      </c>
      <c r="W242" s="603">
        <f t="shared" si="57"/>
        <v>327.84641907387419</v>
      </c>
      <c r="X242" s="603">
        <f t="shared" si="57"/>
        <v>392.60225646625491</v>
      </c>
      <c r="Z242" s="596"/>
    </row>
    <row r="243" spans="2:26" x14ac:dyDescent="0.2">
      <c r="H243" s="519" t="s">
        <v>3610</v>
      </c>
      <c r="I243" s="346">
        <f>SUMIFS(BaleMover[BalePrice_High],BaleMover[Scenario_ID],I$2)</f>
        <v>73847237.945940942</v>
      </c>
      <c r="J243" s="346">
        <f>SUMIFS(BaleMover[BalePrice_High],BaleMover[Scenario_ID],J$2)</f>
        <v>69627182.588065729</v>
      </c>
      <c r="K243" s="346">
        <f>SUMIFS(BaleMover[BalePrice_High],BaleMover[Scenario_ID],K$2)</f>
        <v>79422494.00378637</v>
      </c>
      <c r="L243" s="346">
        <f>SUMIFS(BaleMover[BalePrice_High],BaleMover[Scenario_ID],L$2)</f>
        <v>73971185.027423695</v>
      </c>
      <c r="M243" s="346">
        <f>SUMIFS(BaleMover[BalePrice_High],BaleMover[Scenario_ID],M$2)</f>
        <v>78722560.015351832</v>
      </c>
      <c r="P243" s="596"/>
      <c r="S243" s="600" t="s">
        <v>3608</v>
      </c>
      <c r="T243" s="603">
        <f>(I231-I241)/I$140</f>
        <v>457.41073276002362</v>
      </c>
      <c r="U243" s="603">
        <f t="shared" ref="U243:X243" si="58">(J231-J241)/J$140</f>
        <v>479.48678221487489</v>
      </c>
      <c r="V243" s="603">
        <f t="shared" si="58"/>
        <v>431.04935809771661</v>
      </c>
      <c r="W243" s="603">
        <f t="shared" si="58"/>
        <v>432.77902935994507</v>
      </c>
      <c r="X243" s="603">
        <f t="shared" si="58"/>
        <v>505.52369389439741</v>
      </c>
      <c r="Z243" s="596"/>
    </row>
    <row r="244" spans="2:26" s="530" customFormat="1" ht="6" x14ac:dyDescent="0.15">
      <c r="B244" s="530" t="s">
        <v>3581</v>
      </c>
      <c r="I244" s="555"/>
      <c r="J244" s="555"/>
      <c r="K244" s="555"/>
      <c r="L244" s="555"/>
      <c r="M244" s="555"/>
      <c r="P244" s="597"/>
      <c r="Z244" s="597"/>
    </row>
    <row r="245" spans="2:26" s="521" customFormat="1" ht="15" x14ac:dyDescent="0.25">
      <c r="E245" s="181"/>
      <c r="F245" s="576" t="s">
        <v>3669</v>
      </c>
      <c r="G245" s="576"/>
      <c r="H245" s="576"/>
      <c r="I245" s="583">
        <f>I194-I242</f>
        <v>173928672.27397618</v>
      </c>
      <c r="J245" s="583">
        <f t="shared" ref="J245:M245" si="59">J194-J242</f>
        <v>186359485.43943566</v>
      </c>
      <c r="K245" s="583">
        <f t="shared" si="59"/>
        <v>179706595.98632017</v>
      </c>
      <c r="L245" s="583">
        <f t="shared" si="59"/>
        <v>182529589.53254515</v>
      </c>
      <c r="M245" s="583">
        <f t="shared" si="59"/>
        <v>221988236.73896968</v>
      </c>
      <c r="P245" s="596"/>
      <c r="Z245" s="596"/>
    </row>
    <row r="246" spans="2:26" s="521" customFormat="1" ht="15" x14ac:dyDescent="0.25">
      <c r="E246" s="181"/>
      <c r="F246" s="576"/>
      <c r="G246" s="576"/>
      <c r="H246" s="582" t="s">
        <v>3633</v>
      </c>
      <c r="I246" s="583">
        <f>I$245/I$140</f>
        <v>340.59270161147879</v>
      </c>
      <c r="J246" s="583">
        <f>J$245/J$140</f>
        <v>367.91604926663797</v>
      </c>
      <c r="K246" s="583">
        <f>K$245/K$140</f>
        <v>322.73524194412749</v>
      </c>
      <c r="L246" s="583">
        <f>L$245/L$140</f>
        <v>327.84641907387419</v>
      </c>
      <c r="M246" s="583">
        <f>M$245/M$140</f>
        <v>392.60225646625491</v>
      </c>
      <c r="P246" s="596"/>
      <c r="Z246" s="596"/>
    </row>
    <row r="247" spans="2:26" s="549" customFormat="1" x14ac:dyDescent="0.2">
      <c r="B247" s="549" t="s">
        <v>3581</v>
      </c>
      <c r="I247" s="585"/>
      <c r="J247" s="585"/>
      <c r="K247" s="585"/>
      <c r="L247" s="585"/>
      <c r="M247" s="585"/>
      <c r="P247" s="598"/>
      <c r="Z247" s="598"/>
    </row>
    <row r="248" spans="2:26" ht="15" x14ac:dyDescent="0.25">
      <c r="E248" s="535" t="s">
        <v>1168</v>
      </c>
      <c r="F248" s="534"/>
      <c r="G248" s="534"/>
      <c r="H248" s="534"/>
      <c r="I248" s="567"/>
      <c r="J248" s="567"/>
      <c r="K248" s="567"/>
      <c r="L248" s="567"/>
      <c r="M248" s="567"/>
      <c r="P248" s="596"/>
      <c r="Z248" s="596"/>
    </row>
    <row r="249" spans="2:26" s="530" customFormat="1" ht="6" x14ac:dyDescent="0.15">
      <c r="B249" s="530" t="s">
        <v>3581</v>
      </c>
      <c r="I249" s="571"/>
      <c r="J249" s="571"/>
      <c r="K249" s="571"/>
      <c r="L249" s="571"/>
      <c r="M249" s="571"/>
      <c r="P249" s="597"/>
      <c r="Z249" s="597"/>
    </row>
    <row r="250" spans="2:26" ht="15" x14ac:dyDescent="0.25">
      <c r="E250" s="181"/>
      <c r="F250" s="539" t="s">
        <v>3587</v>
      </c>
      <c r="G250" s="536"/>
      <c r="H250" s="536"/>
      <c r="I250" s="550">
        <f>SUM(I251,I255,I259)</f>
        <v>1362.4986026631082</v>
      </c>
      <c r="J250" s="550">
        <f t="shared" ref="J250:M250" si="60">SUM(J251,J255,J259)</f>
        <v>1451.8846427069989</v>
      </c>
      <c r="K250" s="550">
        <f t="shared" si="60"/>
        <v>1452.0096744701921</v>
      </c>
      <c r="L250" s="550">
        <f t="shared" si="60"/>
        <v>1439.9354595151069</v>
      </c>
      <c r="M250" s="550">
        <f t="shared" si="60"/>
        <v>1552.1838179357753</v>
      </c>
      <c r="P250" s="596"/>
      <c r="Z250" s="596"/>
    </row>
    <row r="251" spans="2:26" s="521" customFormat="1" x14ac:dyDescent="0.2">
      <c r="E251" s="181"/>
      <c r="F251" s="181"/>
      <c r="G251" s="499" t="str">
        <f>DetailedReport!E66</f>
        <v>Recycling Customer Engagement</v>
      </c>
      <c r="H251" s="499"/>
      <c r="I251" s="574">
        <f>SUM(I252:I253)</f>
        <v>60.799878195002194</v>
      </c>
      <c r="J251" s="574">
        <f t="shared" ref="J251:M251" si="61">SUM(J252:J253)</f>
        <v>156.3512364506928</v>
      </c>
      <c r="K251" s="574">
        <f t="shared" si="61"/>
        <v>156.3512364506928</v>
      </c>
      <c r="L251" s="574">
        <f t="shared" si="61"/>
        <v>156.3512364506928</v>
      </c>
      <c r="M251" s="574">
        <f t="shared" si="61"/>
        <v>156.3512364506928</v>
      </c>
      <c r="P251" s="596"/>
      <c r="Z251" s="596"/>
    </row>
    <row r="252" spans="2:26" s="521" customFormat="1" x14ac:dyDescent="0.2">
      <c r="H252" s="531" t="str">
        <f>DetailedReport!G67</f>
        <v>Local Government Engagement</v>
      </c>
      <c r="I252" s="532">
        <f>SUM(LGengagement2025[Baseline FTEs])</f>
        <v>60.799878195002194</v>
      </c>
      <c r="J252" s="532">
        <f>SUM(LGengagement2025[Baseline FTEs])</f>
        <v>60.799878195002194</v>
      </c>
      <c r="K252" s="532">
        <f>SUM(LGengagement2025[Baseline FTEs])</f>
        <v>60.799878195002194</v>
      </c>
      <c r="L252" s="532">
        <f>SUM(LGengagement2025[Baseline FTEs])</f>
        <v>60.799878195002194</v>
      </c>
      <c r="M252" s="532">
        <f>SUM(LGengagement2025[Baseline FTEs])</f>
        <v>60.799878195002194</v>
      </c>
      <c r="P252" s="596"/>
      <c r="Z252" s="596"/>
    </row>
    <row r="253" spans="2:26" x14ac:dyDescent="0.2">
      <c r="H253" s="531" t="str">
        <f>DetailedReport!G68</f>
        <v>New Engagement (costs in collection engagement)</v>
      </c>
      <c r="I253" s="532">
        <f>IF(I$2="S0",0,SUMIFS(CollectionFTEs[New_Outreach_FTEs],CollectionFTEs[Year],I$10,CollectionFTEs[SS_or_DS],I$7))</f>
        <v>0</v>
      </c>
      <c r="J253" s="532">
        <f>IF(J$2="S0",0,SUMIFS(CollectionFTEs[New_Outreach_FTEs],CollectionFTEs[Year],J$10,CollectionFTEs[SS_or_DS],J$7))</f>
        <v>95.551358255690587</v>
      </c>
      <c r="K253" s="532">
        <f>IF(K$2="S0",0,SUMIFS(CollectionFTEs[New_Outreach_FTEs],CollectionFTEs[Year],K$10,CollectionFTEs[SS_or_DS],K$7))</f>
        <v>95.551358255690587</v>
      </c>
      <c r="L253" s="532">
        <f>IF(L$2="S0",0,SUMIFS(CollectionFTEs[New_Outreach_FTEs],CollectionFTEs[Year],L$10,CollectionFTEs[SS_or_DS],L$7))</f>
        <v>95.551358255690587</v>
      </c>
      <c r="M253" s="532">
        <f>IF(M$2="S0",0,SUMIFS(CollectionFTEs[New_Outreach_FTEs],CollectionFTEs[Year],M$10,CollectionFTEs[SS_or_DS],M$7))</f>
        <v>95.551358255690587</v>
      </c>
      <c r="P253" s="596"/>
      <c r="Z253" s="596"/>
    </row>
    <row r="254" spans="2:26" s="530" customFormat="1" ht="6" x14ac:dyDescent="0.15">
      <c r="B254" s="530" t="s">
        <v>3581</v>
      </c>
      <c r="I254" s="555"/>
      <c r="J254" s="555"/>
      <c r="K254" s="555"/>
      <c r="L254" s="555"/>
      <c r="M254" s="555"/>
      <c r="P254" s="597"/>
      <c r="Z254" s="597"/>
    </row>
    <row r="255" spans="2:26" s="521" customFormat="1" x14ac:dyDescent="0.2">
      <c r="E255" s="181"/>
      <c r="F255" s="181"/>
      <c r="G255" s="499" t="str">
        <f>DetailedReport!E69</f>
        <v>Recycling Collection</v>
      </c>
      <c r="H255" s="499"/>
      <c r="I255" s="574">
        <f>SUM(I256:I257)</f>
        <v>761.69872446810587</v>
      </c>
      <c r="J255" s="574">
        <f>SUM(J256:J257)</f>
        <v>819.64818388852689</v>
      </c>
      <c r="K255" s="574">
        <f t="shared" ref="K255:L255" si="62">SUM(K256:K257)</f>
        <v>854.0585004059684</v>
      </c>
      <c r="L255" s="574">
        <f t="shared" si="62"/>
        <v>854.0585004059684</v>
      </c>
      <c r="M255" s="574">
        <f>SUM(M256:M257)</f>
        <v>969.50070519076917</v>
      </c>
      <c r="P255" s="596"/>
      <c r="Z255" s="596"/>
    </row>
    <row r="256" spans="2:26" x14ac:dyDescent="0.2">
      <c r="H256" s="531" t="str">
        <f>DetailedReport!G70</f>
        <v>Route Drivers, Route Operations, Depot Operations</v>
      </c>
      <c r="I256" s="532">
        <f>SUMIFS(CollectionFTEs[OnRoute_FTE],CollectionFTEs[Year],I$10,CollectionFTEs[SS_or_DS],I$7)+
SUMIFS(DepotCostAllocations2025[FTE],DepotCostAllocations2025[Scenario_ID],I$2)</f>
        <v>671.51244435680348</v>
      </c>
      <c r="J256" s="532">
        <f>SUMIFS(CollectionFTEs[OnRoute_FTE],CollectionFTEs[Year],J$10,CollectionFTEs[SS_or_DS],J$7)+
SUMIFS(DepotCostAllocations2025[FTE],DepotCostAllocations2025[Scenario_ID],J$2)</f>
        <v>729.46190377722451</v>
      </c>
      <c r="K256" s="532">
        <f>SUMIFS(CollectionFTEs[OnRoute_FTE],CollectionFTEs[Year],K$10,CollectionFTEs[SS_or_DS],K$7)+
SUMIFS(DepotCostAllocations2025[FTE],DepotCostAllocations2025[Scenario_ID],K$2)</f>
        <v>763.87222029466602</v>
      </c>
      <c r="L256" s="532">
        <f>SUMIFS(CollectionFTEs[OnRoute_FTE],CollectionFTEs[Year],L$10,CollectionFTEs[SS_or_DS],L$7)+
SUMIFS(DepotCostAllocations2025[FTE],DepotCostAllocations2025[Scenario_ID],L$2)</f>
        <v>763.87222029466602</v>
      </c>
      <c r="M256" s="532">
        <f>SUMIFS(CollectionFTEs[OnRoute_FTE],CollectionFTEs[Year],M$10,CollectionFTEs[SS_or_DS],M$7)+
SUMIFS(DepotCostAllocations2025[FTE],DepotCostAllocations2025[Scenario_ID],M$2)</f>
        <v>859.27514029313124</v>
      </c>
      <c r="P256" s="596"/>
      <c r="Z256" s="596"/>
    </row>
    <row r="257" spans="1:26" x14ac:dyDescent="0.2">
      <c r="H257" s="531" t="str">
        <f>DetailedReport!G71</f>
        <v>Management and Administrative</v>
      </c>
      <c r="I257" s="532">
        <f>SUMIFS(CollectionFTEs[AdminFTE],CollectionFTEs[Year],I$10,CollectionFTEs[SS_or_DS],I$7)</f>
        <v>90.186280111302352</v>
      </c>
      <c r="J257" s="532">
        <f>SUMIFS(CollectionFTEs[AdminFTE],CollectionFTEs[Year],J$10,CollectionFTEs[SS_or_DS],J$7)</f>
        <v>90.186280111302352</v>
      </c>
      <c r="K257" s="532">
        <f>SUMIFS(CollectionFTEs[AdminFTE],CollectionFTEs[Year],K$10,CollectionFTEs[SS_or_DS],K$7)</f>
        <v>90.186280111302352</v>
      </c>
      <c r="L257" s="532">
        <f>SUMIFS(CollectionFTEs[AdminFTE],CollectionFTEs[Year],L$10,CollectionFTEs[SS_or_DS],L$7)</f>
        <v>90.186280111302352</v>
      </c>
      <c r="M257" s="532">
        <f>SUMIFS(CollectionFTEs[AdminFTE],CollectionFTEs[Year],M$10,CollectionFTEs[SS_or_DS],M$7)</f>
        <v>110.22556489763795</v>
      </c>
      <c r="P257" s="596"/>
      <c r="Z257" s="596"/>
    </row>
    <row r="258" spans="1:26" s="530" customFormat="1" ht="6" x14ac:dyDescent="0.15">
      <c r="B258" s="530" t="s">
        <v>3581</v>
      </c>
      <c r="I258" s="555"/>
      <c r="J258" s="555"/>
      <c r="K258" s="555"/>
      <c r="L258" s="555"/>
      <c r="M258" s="555"/>
      <c r="P258" s="597"/>
      <c r="Z258" s="597"/>
    </row>
    <row r="259" spans="1:26" s="521" customFormat="1" x14ac:dyDescent="0.2">
      <c r="E259" s="181"/>
      <c r="F259" s="181"/>
      <c r="G259" s="499" t="str">
        <f>DetailedReport!E72</f>
        <v>Sortation</v>
      </c>
      <c r="H259" s="499"/>
      <c r="I259" s="574">
        <f>SUM(I260:I262)</f>
        <v>540</v>
      </c>
      <c r="J259" s="574">
        <f>SUM(J260:J262)</f>
        <v>475.88522236777925</v>
      </c>
      <c r="K259" s="574">
        <f t="shared" ref="K259:L259" si="63">SUM(K260:K262)</f>
        <v>441.59993761353087</v>
      </c>
      <c r="L259" s="574">
        <f t="shared" si="63"/>
        <v>429.52572265844572</v>
      </c>
      <c r="M259" s="574">
        <f>SUM(M260:M262)</f>
        <v>426.3318762943133</v>
      </c>
      <c r="P259" s="596"/>
      <c r="S259" s="604" t="s">
        <v>1068</v>
      </c>
      <c r="T259" s="600" t="s">
        <v>876</v>
      </c>
      <c r="U259" s="600" t="s">
        <v>875</v>
      </c>
      <c r="V259" s="600" t="s">
        <v>874</v>
      </c>
      <c r="W259" s="600" t="s">
        <v>873</v>
      </c>
      <c r="X259" s="600" t="s">
        <v>870</v>
      </c>
      <c r="Z259" s="596"/>
    </row>
    <row r="260" spans="1:26" x14ac:dyDescent="0.2">
      <c r="A260" s="353"/>
      <c r="B260" s="353">
        <v>1</v>
      </c>
      <c r="H260" s="531" t="str">
        <f>DetailedReport!G73</f>
        <v>Sorting Labor</v>
      </c>
      <c r="I260" s="532">
        <f>SUMIFS(MRFLaborProductivity[Scenario_FTE],MRFLaborProductivity[Scenario_ID],I$2,MRFLaborProductivity[LaborType_ID],$B260)</f>
        <v>406</v>
      </c>
      <c r="J260" s="532">
        <f>SUMIFS(MRFLaborProductivity[Scenario_FTE],MRFLaborProductivity[Scenario_ID],J$2,MRFLaborProductivity[LaborType_ID],$B260)</f>
        <v>341.5</v>
      </c>
      <c r="K260" s="532">
        <f>SUMIFS(MRFLaborProductivity[Scenario_FTE],MRFLaborProductivity[Scenario_ID],K$2,MRFLaborProductivity[LaborType_ID],$B260)</f>
        <v>299.5</v>
      </c>
      <c r="L260" s="532">
        <f>SUMIFS(MRFLaborProductivity[Scenario_FTE],MRFLaborProductivity[Scenario_ID],L$2,MRFLaborProductivity[LaborType_ID],$B260)</f>
        <v>289</v>
      </c>
      <c r="M260" s="532">
        <f>SUMIFS(MRFLaborProductivity[Scenario_FTE],MRFLaborProductivity[Scenario_ID],M$2,MRFLaborProductivity[LaborType_ID],$B260)</f>
        <v>278.5</v>
      </c>
      <c r="P260" s="596"/>
      <c r="S260" s="600" t="s">
        <v>3717</v>
      </c>
      <c r="T260" s="251">
        <f>I251</f>
        <v>60.799878195002194</v>
      </c>
      <c r="U260" s="251">
        <f t="shared" ref="U260:X260" si="64">J251</f>
        <v>156.3512364506928</v>
      </c>
      <c r="V260" s="251">
        <f t="shared" si="64"/>
        <v>156.3512364506928</v>
      </c>
      <c r="W260" s="251">
        <f t="shared" si="64"/>
        <v>156.3512364506928</v>
      </c>
      <c r="X260" s="251">
        <f t="shared" si="64"/>
        <v>156.3512364506928</v>
      </c>
      <c r="Z260" s="596"/>
    </row>
    <row r="261" spans="1:26" x14ac:dyDescent="0.2">
      <c r="A261" s="353"/>
      <c r="B261" s="353">
        <v>2</v>
      </c>
      <c r="H261" s="531" t="str">
        <f>DetailedReport!G74</f>
        <v>Equipment Operators, Supervisors, Maintenance</v>
      </c>
      <c r="I261" s="532">
        <f>SUMIFS(MRFLaborProductivity[Scenario_FTE],MRFLaborProductivity[Scenario_ID],I$2,MRFLaborProductivity[LaborType_ID],$B261)</f>
        <v>89</v>
      </c>
      <c r="J261" s="532">
        <f>SUMIFS(MRFLaborProductivity[Scenario_FTE],MRFLaborProductivity[Scenario_ID],J$2,MRFLaborProductivity[LaborType_ID],$B261)</f>
        <v>89.385222367779264</v>
      </c>
      <c r="K261" s="532">
        <f>SUMIFS(MRFLaborProductivity[Scenario_FTE],MRFLaborProductivity[Scenario_ID],K$2,MRFLaborProductivity[LaborType_ID],$B261)</f>
        <v>97.099937613530869</v>
      </c>
      <c r="L261" s="532">
        <f>SUMIFS(MRFLaborProductivity[Scenario_FTE],MRFLaborProductivity[Scenario_ID],L$2,MRFLaborProductivity[LaborType_ID],$B261)</f>
        <v>95.525722658445744</v>
      </c>
      <c r="M261" s="532">
        <f>SUMIFS(MRFLaborProductivity[Scenario_FTE],MRFLaborProductivity[Scenario_ID],M$2,MRFLaborProductivity[LaborType_ID],$B261)</f>
        <v>102.83187629431329</v>
      </c>
      <c r="P261" s="596"/>
      <c r="S261" s="600" t="s">
        <v>27</v>
      </c>
      <c r="T261" s="251">
        <f>I255</f>
        <v>761.69872446810587</v>
      </c>
      <c r="U261" s="251">
        <f t="shared" ref="U261:X261" si="65">J255</f>
        <v>819.64818388852689</v>
      </c>
      <c r="V261" s="251">
        <f t="shared" si="65"/>
        <v>854.0585004059684</v>
      </c>
      <c r="W261" s="251">
        <f t="shared" si="65"/>
        <v>854.0585004059684</v>
      </c>
      <c r="X261" s="251">
        <f t="shared" si="65"/>
        <v>969.50070519076917</v>
      </c>
      <c r="Z261" s="596"/>
    </row>
    <row r="262" spans="1:26" x14ac:dyDescent="0.2">
      <c r="A262" s="353"/>
      <c r="B262" s="353">
        <v>3</v>
      </c>
      <c r="H262" s="531" t="str">
        <f>DetailedReport!G75</f>
        <v>Admininstrative and Marketing</v>
      </c>
      <c r="I262" s="532">
        <f>SUMIFS(MRFLaborProductivity[Scenario_FTE],MRFLaborProductivity[Scenario_ID],I$2,MRFLaborProductivity[LaborType_ID],$B262)</f>
        <v>45</v>
      </c>
      <c r="J262" s="532">
        <f>SUMIFS(MRFLaborProductivity[Scenario_FTE],MRFLaborProductivity[Scenario_ID],J$2,MRFLaborProductivity[LaborType_ID],$B262)</f>
        <v>45</v>
      </c>
      <c r="K262" s="532">
        <f>SUMIFS(MRFLaborProductivity[Scenario_FTE],MRFLaborProductivity[Scenario_ID],K$2,MRFLaborProductivity[LaborType_ID],$B262)</f>
        <v>45</v>
      </c>
      <c r="L262" s="532">
        <f>SUMIFS(MRFLaborProductivity[Scenario_FTE],MRFLaborProductivity[Scenario_ID],L$2,MRFLaborProductivity[LaborType_ID],$B262)</f>
        <v>45</v>
      </c>
      <c r="M262" s="532">
        <f>SUMIFS(MRFLaborProductivity[Scenario_FTE],MRFLaborProductivity[Scenario_ID],M$2,MRFLaborProductivity[LaborType_ID],$B262)</f>
        <v>45</v>
      </c>
      <c r="P262" s="596"/>
      <c r="S262" s="600" t="s">
        <v>34</v>
      </c>
      <c r="T262" s="251">
        <f>I259</f>
        <v>540</v>
      </c>
      <c r="U262" s="251">
        <f t="shared" ref="U262:X262" si="66">J259</f>
        <v>475.88522236777925</v>
      </c>
      <c r="V262" s="251">
        <f t="shared" si="66"/>
        <v>441.59993761353087</v>
      </c>
      <c r="W262" s="251">
        <f t="shared" si="66"/>
        <v>429.52572265844572</v>
      </c>
      <c r="X262" s="251">
        <f t="shared" si="66"/>
        <v>426.3318762943133</v>
      </c>
      <c r="Z262" s="596"/>
    </row>
    <row r="263" spans="1:26" s="352" customFormat="1" x14ac:dyDescent="0.2">
      <c r="A263" s="549"/>
      <c r="B263" s="549" t="s">
        <v>3581</v>
      </c>
      <c r="I263" s="551"/>
      <c r="J263" s="551"/>
      <c r="K263" s="551"/>
      <c r="L263" s="551"/>
      <c r="M263" s="551"/>
      <c r="P263" s="596"/>
      <c r="Z263" s="596"/>
    </row>
    <row r="264" spans="1:26" s="521" customFormat="1" ht="15" x14ac:dyDescent="0.25">
      <c r="E264" s="535" t="s">
        <v>3641</v>
      </c>
      <c r="F264" s="534"/>
      <c r="G264" s="534"/>
      <c r="H264" s="534"/>
      <c r="I264" s="554"/>
      <c r="J264" s="575"/>
      <c r="K264" s="575"/>
      <c r="L264" s="575"/>
      <c r="M264" s="575"/>
      <c r="P264" s="596"/>
      <c r="Z264" s="596"/>
    </row>
    <row r="265" spans="1:26" s="530" customFormat="1" ht="6" x14ac:dyDescent="0.15">
      <c r="B265" s="530" t="s">
        <v>3581</v>
      </c>
      <c r="I265" s="571"/>
      <c r="J265" s="571"/>
      <c r="K265" s="571"/>
      <c r="L265" s="571"/>
      <c r="M265" s="571"/>
      <c r="P265" s="597"/>
      <c r="Z265" s="597"/>
    </row>
    <row r="266" spans="1:26" s="521" customFormat="1" ht="15" x14ac:dyDescent="0.25">
      <c r="E266" s="181"/>
      <c r="F266" s="539" t="s">
        <v>3670</v>
      </c>
      <c r="G266" s="536"/>
      <c r="H266" s="536"/>
      <c r="I266" s="550"/>
      <c r="J266" s="550"/>
      <c r="K266" s="550"/>
      <c r="L266" s="550"/>
      <c r="M266" s="550"/>
      <c r="P266" s="596"/>
      <c r="Z266" s="596"/>
    </row>
    <row r="267" spans="1:26" s="530" customFormat="1" ht="6" x14ac:dyDescent="0.15">
      <c r="B267" s="530" t="s">
        <v>3581</v>
      </c>
      <c r="I267" s="571"/>
      <c r="J267" s="571"/>
      <c r="K267" s="571"/>
      <c r="L267" s="571"/>
      <c r="M267" s="571"/>
      <c r="P267" s="597"/>
      <c r="Z267" s="597"/>
    </row>
    <row r="268" spans="1:26" s="521" customFormat="1" x14ac:dyDescent="0.2">
      <c r="G268" s="378" t="s">
        <v>3640</v>
      </c>
      <c r="H268" s="378"/>
      <c r="I268" s="566"/>
      <c r="J268" s="566"/>
      <c r="K268" s="566"/>
      <c r="L268" s="566"/>
      <c r="M268" s="566"/>
      <c r="P268" s="596"/>
      <c r="Z268" s="596"/>
    </row>
    <row r="269" spans="1:26" s="521" customFormat="1" x14ac:dyDescent="0.2">
      <c r="G269" s="378" t="s">
        <v>3664</v>
      </c>
      <c r="H269" s="378"/>
      <c r="I269" s="566"/>
      <c r="J269" s="566"/>
      <c r="K269" s="566"/>
      <c r="L269" s="566"/>
      <c r="M269" s="566"/>
      <c r="P269" s="596"/>
      <c r="Z269" s="596"/>
    </row>
    <row r="270" spans="1:26" s="521" customFormat="1" x14ac:dyDescent="0.2">
      <c r="G270" s="378" t="s">
        <v>3639</v>
      </c>
      <c r="H270" s="378"/>
      <c r="I270" s="566"/>
      <c r="J270" s="566"/>
      <c r="K270" s="566"/>
      <c r="L270" s="566"/>
      <c r="M270" s="566"/>
      <c r="P270" s="596"/>
      <c r="Z270" s="596"/>
    </row>
    <row r="271" spans="1:26" s="530" customFormat="1" ht="6" x14ac:dyDescent="0.15">
      <c r="B271" s="530" t="s">
        <v>3581</v>
      </c>
      <c r="I271" s="571"/>
      <c r="J271" s="571"/>
      <c r="K271" s="571"/>
      <c r="L271" s="571"/>
      <c r="M271" s="571"/>
      <c r="P271" s="597"/>
      <c r="Z271" s="597"/>
    </row>
    <row r="272" spans="1:26" s="521" customFormat="1" ht="15" x14ac:dyDescent="0.25">
      <c r="E272" s="181"/>
      <c r="F272" s="539" t="s">
        <v>1174</v>
      </c>
      <c r="G272" s="536"/>
      <c r="H272" s="536"/>
      <c r="I272" s="550"/>
      <c r="J272" s="550"/>
      <c r="K272" s="550"/>
      <c r="L272" s="550"/>
      <c r="M272" s="550"/>
      <c r="P272" s="596"/>
      <c r="Z272" s="596"/>
    </row>
    <row r="273" spans="2:26" s="530" customFormat="1" ht="6" x14ac:dyDescent="0.15">
      <c r="B273" s="530" t="s">
        <v>3581</v>
      </c>
      <c r="I273" s="571"/>
      <c r="J273" s="571"/>
      <c r="K273" s="571"/>
      <c r="L273" s="571"/>
      <c r="M273" s="571"/>
      <c r="P273" s="597"/>
      <c r="Z273" s="597"/>
    </row>
    <row r="274" spans="2:26" s="521" customFormat="1" x14ac:dyDescent="0.2">
      <c r="G274" s="378" t="s">
        <v>3720</v>
      </c>
      <c r="H274" s="378"/>
      <c r="I274" s="566"/>
      <c r="J274" s="566"/>
      <c r="K274" s="566"/>
      <c r="L274" s="566"/>
      <c r="M274" s="566"/>
      <c r="P274" s="596"/>
      <c r="Z274" s="596"/>
    </row>
    <row r="275" spans="2:26" s="521" customFormat="1" x14ac:dyDescent="0.2">
      <c r="G275" s="378" t="s">
        <v>3662</v>
      </c>
      <c r="H275" s="378"/>
      <c r="I275" s="566"/>
      <c r="J275" s="566"/>
      <c r="K275" s="566"/>
      <c r="L275" s="566"/>
      <c r="M275" s="566"/>
      <c r="P275" s="596"/>
      <c r="Z275" s="596"/>
    </row>
    <row r="276" spans="2:26" s="521" customFormat="1" x14ac:dyDescent="0.2">
      <c r="G276" s="378" t="s">
        <v>3663</v>
      </c>
      <c r="H276" s="378"/>
      <c r="I276" s="566"/>
      <c r="J276" s="566"/>
      <c r="K276" s="566"/>
      <c r="L276" s="566"/>
      <c r="M276" s="566"/>
      <c r="P276" s="596"/>
      <c r="Z276" s="596"/>
    </row>
    <row r="277" spans="2:26" s="530" customFormat="1" ht="6" x14ac:dyDescent="0.15">
      <c r="B277" s="530" t="s">
        <v>3581</v>
      </c>
      <c r="I277" s="571"/>
      <c r="J277" s="571"/>
      <c r="K277" s="571"/>
      <c r="L277" s="571"/>
      <c r="M277" s="571"/>
      <c r="P277" s="597"/>
      <c r="Z277" s="597"/>
    </row>
    <row r="278" spans="2:26" s="521" customFormat="1" ht="15" x14ac:dyDescent="0.25">
      <c r="E278" s="181"/>
      <c r="F278" s="539" t="s">
        <v>1173</v>
      </c>
      <c r="G278" s="536"/>
      <c r="H278" s="536"/>
      <c r="I278" s="550"/>
      <c r="J278" s="550"/>
      <c r="K278" s="550"/>
      <c r="L278" s="550"/>
      <c r="M278" s="550"/>
      <c r="P278" s="596"/>
      <c r="Z278" s="596"/>
    </row>
    <row r="279" spans="2:26" s="530" customFormat="1" ht="6" x14ac:dyDescent="0.15">
      <c r="B279" s="530" t="s">
        <v>3581</v>
      </c>
      <c r="I279" s="571"/>
      <c r="J279" s="571"/>
      <c r="K279" s="571"/>
      <c r="L279" s="571"/>
      <c r="M279" s="571"/>
      <c r="P279" s="597"/>
      <c r="Z279" s="597"/>
    </row>
    <row r="280" spans="2:26" s="521" customFormat="1" x14ac:dyDescent="0.2">
      <c r="G280" s="499" t="s">
        <v>3651</v>
      </c>
      <c r="H280" s="499"/>
      <c r="I280" s="574"/>
      <c r="J280" s="574"/>
      <c r="K280" s="574"/>
      <c r="L280" s="574"/>
      <c r="M280" s="574"/>
      <c r="P280" s="596"/>
      <c r="Z280" s="596"/>
    </row>
    <row r="281" spans="2:26" s="521" customFormat="1" x14ac:dyDescent="0.2">
      <c r="G281" s="378" t="s">
        <v>3648</v>
      </c>
      <c r="H281" s="378"/>
      <c r="I281" s="566"/>
      <c r="J281" s="566"/>
      <c r="K281" s="566"/>
      <c r="L281" s="566"/>
      <c r="M281" s="566"/>
      <c r="P281" s="596"/>
      <c r="Z281" s="596"/>
    </row>
    <row r="282" spans="2:26" s="521" customFormat="1" x14ac:dyDescent="0.2">
      <c r="G282" s="378" t="s">
        <v>3649</v>
      </c>
      <c r="H282" s="378"/>
      <c r="I282" s="566"/>
      <c r="J282" s="566"/>
      <c r="K282" s="566"/>
      <c r="L282" s="566"/>
      <c r="M282" s="566"/>
      <c r="P282" s="596"/>
      <c r="Z282" s="596"/>
    </row>
    <row r="283" spans="2:26" s="521" customFormat="1" x14ac:dyDescent="0.2">
      <c r="G283" s="378" t="s">
        <v>3650</v>
      </c>
      <c r="H283" s="378"/>
      <c r="I283" s="566"/>
      <c r="J283" s="566"/>
      <c r="K283" s="566"/>
      <c r="L283" s="566"/>
      <c r="M283" s="566"/>
      <c r="P283" s="596"/>
      <c r="Z283" s="596"/>
    </row>
    <row r="284" spans="2:26" s="521" customFormat="1" x14ac:dyDescent="0.2">
      <c r="G284" s="378" t="s">
        <v>3652</v>
      </c>
      <c r="H284" s="378"/>
      <c r="I284" s="566"/>
      <c r="J284" s="566"/>
      <c r="K284" s="566"/>
      <c r="L284" s="566"/>
      <c r="M284" s="566"/>
      <c r="P284" s="596"/>
      <c r="Z284" s="596"/>
    </row>
    <row r="285" spans="2:26" s="530" customFormat="1" ht="6" x14ac:dyDescent="0.15">
      <c r="B285" s="530" t="s">
        <v>3581</v>
      </c>
      <c r="I285" s="571"/>
      <c r="J285" s="571"/>
      <c r="K285" s="571"/>
      <c r="L285" s="571"/>
      <c r="M285" s="571"/>
      <c r="P285" s="597"/>
      <c r="Z285" s="597"/>
    </row>
    <row r="286" spans="2:26" s="521" customFormat="1" x14ac:dyDescent="0.2">
      <c r="G286" s="499" t="str">
        <f>J$24</f>
        <v>Scenario A  
Modern MRFs</v>
      </c>
      <c r="H286" s="499"/>
      <c r="I286" s="574"/>
      <c r="J286" s="574"/>
      <c r="K286" s="574"/>
      <c r="L286" s="574"/>
      <c r="M286" s="574"/>
      <c r="P286" s="596"/>
      <c r="Z286" s="596"/>
    </row>
    <row r="287" spans="2:26" s="521" customFormat="1" x14ac:dyDescent="0.2">
      <c r="G287" s="303" t="s">
        <v>3653</v>
      </c>
      <c r="H287" s="378"/>
      <c r="I287" s="566"/>
      <c r="J287" s="566"/>
      <c r="K287" s="566"/>
      <c r="L287" s="566"/>
      <c r="M287" s="566"/>
      <c r="P287" s="596"/>
      <c r="Z287" s="596"/>
    </row>
    <row r="288" spans="2:26" s="530" customFormat="1" ht="6" x14ac:dyDescent="0.15">
      <c r="B288" s="530" t="s">
        <v>3581</v>
      </c>
      <c r="I288" s="571"/>
      <c r="J288" s="571"/>
      <c r="K288" s="571"/>
      <c r="L288" s="571"/>
      <c r="M288" s="571"/>
      <c r="P288" s="597"/>
      <c r="Z288" s="597"/>
    </row>
    <row r="289" spans="2:26" s="521" customFormat="1" x14ac:dyDescent="0.2">
      <c r="G289" s="499" t="str">
        <f>K$24</f>
        <v>Scenario A+  
Modern MRFs &amp; Longer List</v>
      </c>
      <c r="H289" s="499"/>
      <c r="I289" s="574"/>
      <c r="J289" s="574"/>
      <c r="K289" s="574"/>
      <c r="L289" s="574"/>
      <c r="M289" s="574"/>
      <c r="P289" s="596"/>
      <c r="Z289" s="596"/>
    </row>
    <row r="290" spans="2:26" s="521" customFormat="1" x14ac:dyDescent="0.2">
      <c r="G290" s="378" t="s">
        <v>3654</v>
      </c>
      <c r="H290" s="378"/>
      <c r="I290" s="566"/>
      <c r="J290" s="566"/>
      <c r="K290" s="566"/>
      <c r="L290" s="566"/>
      <c r="M290" s="566"/>
      <c r="P290" s="596"/>
      <c r="Z290" s="596"/>
    </row>
    <row r="291" spans="2:26" s="521" customFormat="1" x14ac:dyDescent="0.2">
      <c r="G291" s="378" t="s">
        <v>3655</v>
      </c>
      <c r="H291" s="378"/>
      <c r="I291" s="566"/>
      <c r="J291" s="566"/>
      <c r="K291" s="566"/>
      <c r="L291" s="566"/>
      <c r="M291" s="566"/>
      <c r="P291" s="596"/>
      <c r="Z291" s="596"/>
    </row>
    <row r="292" spans="2:26" s="521" customFormat="1" x14ac:dyDescent="0.2">
      <c r="G292" s="378"/>
      <c r="H292" s="378" t="s">
        <v>3656</v>
      </c>
      <c r="I292" s="566"/>
      <c r="J292" s="566"/>
      <c r="K292" s="566"/>
      <c r="L292" s="566"/>
      <c r="M292" s="566"/>
      <c r="P292" s="596"/>
      <c r="Z292" s="596"/>
    </row>
    <row r="293" spans="2:26" s="521" customFormat="1" x14ac:dyDescent="0.2">
      <c r="G293" s="378"/>
      <c r="H293" s="378" t="s">
        <v>3657</v>
      </c>
      <c r="I293" s="566"/>
      <c r="J293" s="566"/>
      <c r="K293" s="566"/>
      <c r="L293" s="566"/>
      <c r="M293" s="566"/>
      <c r="P293" s="596"/>
      <c r="Z293" s="596"/>
    </row>
    <row r="294" spans="2:26" s="521" customFormat="1" x14ac:dyDescent="0.2">
      <c r="G294" s="378"/>
      <c r="H294" s="378" t="s">
        <v>3673</v>
      </c>
      <c r="I294" s="566"/>
      <c r="J294" s="566"/>
      <c r="K294" s="566"/>
      <c r="L294" s="566"/>
      <c r="M294" s="566"/>
      <c r="P294" s="596"/>
      <c r="Z294" s="596"/>
    </row>
    <row r="295" spans="2:26" s="530" customFormat="1" ht="6" x14ac:dyDescent="0.15">
      <c r="B295" s="530" t="s">
        <v>3581</v>
      </c>
      <c r="I295" s="571"/>
      <c r="J295" s="571"/>
      <c r="K295" s="571"/>
      <c r="L295" s="571"/>
      <c r="M295" s="571"/>
      <c r="P295" s="597"/>
      <c r="Z295" s="597"/>
    </row>
    <row r="296" spans="2:26" s="521" customFormat="1" x14ac:dyDescent="0.2">
      <c r="G296" s="499" t="str">
        <f>L$24</f>
        <v>Scenario B  
Out-of-State CRF</v>
      </c>
      <c r="H296" s="499"/>
      <c r="I296" s="574"/>
      <c r="J296" s="574"/>
      <c r="K296" s="574"/>
      <c r="L296" s="574"/>
      <c r="M296" s="574"/>
      <c r="P296" s="596"/>
      <c r="Z296" s="596"/>
    </row>
    <row r="297" spans="2:26" s="521" customFormat="1" x14ac:dyDescent="0.2">
      <c r="G297" s="378" t="s">
        <v>3659</v>
      </c>
      <c r="H297" s="378"/>
      <c r="I297" s="566"/>
      <c r="J297" s="566"/>
      <c r="K297" s="566"/>
      <c r="L297" s="566"/>
      <c r="M297" s="566"/>
      <c r="P297" s="596"/>
      <c r="Z297" s="596"/>
    </row>
    <row r="298" spans="2:26" s="521" customFormat="1" x14ac:dyDescent="0.2">
      <c r="G298" s="378" t="s">
        <v>3658</v>
      </c>
      <c r="H298" s="378"/>
      <c r="I298" s="566"/>
      <c r="J298" s="566"/>
      <c r="K298" s="566"/>
      <c r="L298" s="566"/>
      <c r="M298" s="566"/>
      <c r="P298" s="596"/>
      <c r="Z298" s="596"/>
    </row>
    <row r="299" spans="2:26" s="530" customFormat="1" ht="6" x14ac:dyDescent="0.15">
      <c r="B299" s="530" t="s">
        <v>3581</v>
      </c>
      <c r="I299" s="571"/>
      <c r="J299" s="571"/>
      <c r="K299" s="571"/>
      <c r="L299" s="571"/>
      <c r="M299" s="571"/>
      <c r="P299" s="597"/>
      <c r="Z299" s="597"/>
    </row>
    <row r="300" spans="2:26" s="521" customFormat="1" x14ac:dyDescent="0.2">
      <c r="G300" s="499" t="str">
        <f>M$24</f>
        <v>Scenario  C  
Dual-Stream</v>
      </c>
      <c r="H300" s="499"/>
      <c r="I300" s="574"/>
      <c r="J300" s="574"/>
      <c r="K300" s="574"/>
      <c r="L300" s="574"/>
      <c r="M300" s="574"/>
      <c r="P300" s="596"/>
      <c r="Z300" s="596"/>
    </row>
    <row r="301" spans="2:26" s="521" customFormat="1" x14ac:dyDescent="0.2">
      <c r="G301" s="378" t="s">
        <v>3660</v>
      </c>
      <c r="H301" s="378"/>
      <c r="I301" s="566"/>
      <c r="J301" s="566"/>
      <c r="K301" s="566"/>
      <c r="L301" s="566"/>
      <c r="M301" s="566"/>
      <c r="P301" s="596"/>
      <c r="Z301" s="596"/>
    </row>
    <row r="302" spans="2:26" s="521" customFormat="1" x14ac:dyDescent="0.2">
      <c r="G302" s="378" t="s">
        <v>3661</v>
      </c>
      <c r="H302" s="378"/>
      <c r="I302" s="566"/>
      <c r="J302" s="566"/>
      <c r="K302" s="566"/>
      <c r="L302" s="566"/>
      <c r="M302" s="566"/>
      <c r="P302" s="596"/>
      <c r="Z302" s="596"/>
    </row>
    <row r="303" spans="2:26" s="530" customFormat="1" ht="6" x14ac:dyDescent="0.15">
      <c r="B303" s="530" t="s">
        <v>3581</v>
      </c>
      <c r="I303" s="571"/>
      <c r="J303" s="571"/>
      <c r="K303" s="571"/>
      <c r="L303" s="571"/>
      <c r="M303" s="571"/>
      <c r="P303" s="597"/>
      <c r="Z303" s="597"/>
    </row>
    <row r="304" spans="2:26" s="521" customFormat="1" ht="15" x14ac:dyDescent="0.25">
      <c r="E304" s="181"/>
      <c r="F304" s="539" t="s">
        <v>1171</v>
      </c>
      <c r="G304" s="536"/>
      <c r="H304" s="536"/>
      <c r="I304" s="550"/>
      <c r="J304" s="550"/>
      <c r="K304" s="550"/>
      <c r="L304" s="550"/>
      <c r="M304" s="550"/>
      <c r="P304" s="596"/>
      <c r="Z304" s="596"/>
    </row>
    <row r="305" spans="1:26" s="530" customFormat="1" ht="6" x14ac:dyDescent="0.15">
      <c r="B305" s="530" t="s">
        <v>3581</v>
      </c>
      <c r="I305" s="571"/>
      <c r="J305" s="571"/>
      <c r="K305" s="571"/>
      <c r="L305" s="571"/>
      <c r="M305" s="571"/>
      <c r="P305" s="597"/>
      <c r="Z305" s="597"/>
    </row>
    <row r="306" spans="1:26" s="352" customFormat="1" x14ac:dyDescent="0.2">
      <c r="A306" s="521"/>
      <c r="G306" s="378" t="s">
        <v>3636</v>
      </c>
      <c r="H306" s="378"/>
      <c r="I306" s="566"/>
      <c r="J306" s="566"/>
      <c r="K306" s="566"/>
      <c r="L306" s="566"/>
      <c r="M306" s="566"/>
      <c r="P306" s="596"/>
      <c r="Z306" s="596"/>
    </row>
    <row r="307" spans="1:26" s="521" customFormat="1" x14ac:dyDescent="0.2">
      <c r="G307" s="378" t="s">
        <v>3637</v>
      </c>
      <c r="H307" s="378"/>
      <c r="I307" s="566"/>
      <c r="J307" s="566"/>
      <c r="K307" s="566"/>
      <c r="L307" s="566"/>
      <c r="M307" s="566"/>
      <c r="P307" s="596"/>
      <c r="Z307" s="596"/>
    </row>
    <row r="308" spans="1:26" s="352" customFormat="1" x14ac:dyDescent="0.2">
      <c r="A308" s="521"/>
      <c r="G308" s="378" t="s">
        <v>3638</v>
      </c>
      <c r="H308" s="378"/>
      <c r="I308" s="566"/>
      <c r="J308" s="566"/>
      <c r="K308" s="566"/>
      <c r="L308" s="566"/>
      <c r="M308" s="566"/>
      <c r="P308" s="596"/>
      <c r="Z308" s="596"/>
    </row>
    <row r="309" spans="1:26" x14ac:dyDescent="0.2">
      <c r="A309" s="549"/>
      <c r="B309" s="549" t="s">
        <v>3581</v>
      </c>
      <c r="P309" s="596"/>
      <c r="Z309" s="596"/>
    </row>
    <row r="310" spans="1:26" ht="15" x14ac:dyDescent="0.25">
      <c r="E310" s="535" t="s">
        <v>3588</v>
      </c>
      <c r="F310" s="534"/>
      <c r="G310" s="534"/>
      <c r="H310" s="534"/>
      <c r="I310" s="554"/>
      <c r="J310" s="575"/>
      <c r="K310" s="575"/>
      <c r="L310" s="575"/>
      <c r="M310" s="575"/>
      <c r="P310" s="596"/>
      <c r="Z310" s="596"/>
    </row>
    <row r="311" spans="1:26" x14ac:dyDescent="0.2">
      <c r="E311" s="378"/>
      <c r="F311" s="378" t="s">
        <v>3643</v>
      </c>
      <c r="G311" s="378"/>
      <c r="H311" s="378"/>
      <c r="I311" s="566"/>
      <c r="J311" s="566"/>
      <c r="K311" s="566"/>
      <c r="L311" s="566"/>
      <c r="M311" s="566"/>
      <c r="P311" s="596"/>
      <c r="Z311" s="596"/>
    </row>
  </sheetData>
  <sheetProtection algorithmName="SHA-512" hashValue="MS9SNZkjExgpN1LSkYdu68H4YEq40LlCUXENWaadXxg1JhcQif1huroNBhI99nRrg35Cn73ZdXtdu7UhrQmOdg==" saltValue="hRjzdhaQU4lSEUhxsi4wRw==" spinCount="100000" sheet="1" objects="1" scenarios="1" autoFilter="0"/>
  <pageMargins left="0.7" right="0.7" top="0.75" bottom="0.75" header="0.3" footer="0.3"/>
  <pageSetup paperSize="5" fitToHeight="0" orientation="landscape" horizontalDpi="1200" verticalDpi="1200" r:id="rId1"/>
  <rowBreaks count="7" manualBreakCount="7">
    <brk id="39" min="3" max="13" man="1"/>
    <brk id="59" min="3" max="13" man="1"/>
    <brk id="133" min="3" max="13" man="1"/>
    <brk id="151" min="3" max="13" man="1"/>
    <brk id="184" min="3" max="13" man="1"/>
    <brk id="221" min="3" max="13" man="1"/>
    <brk id="303" min="3" max="1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B5:C86"/>
  <sheetViews>
    <sheetView workbookViewId="0"/>
  </sheetViews>
  <sheetFormatPr defaultColWidth="9" defaultRowHeight="12.75" x14ac:dyDescent="0.2"/>
  <cols>
    <col min="1" max="1" width="2.875" style="62" customWidth="1"/>
    <col min="2" max="2" width="3.625" style="62" customWidth="1"/>
    <col min="3" max="3" width="47.125" style="62" customWidth="1"/>
    <col min="4" max="16384" width="9" style="62"/>
  </cols>
  <sheetData>
    <row r="5" spans="2:3" ht="12.75" customHeight="1" x14ac:dyDescent="0.2">
      <c r="B5" s="614" t="s">
        <v>162</v>
      </c>
      <c r="C5" s="614"/>
    </row>
    <row r="6" spans="2:3" x14ac:dyDescent="0.2">
      <c r="C6" s="62" t="s">
        <v>163</v>
      </c>
    </row>
    <row r="7" spans="2:3" x14ac:dyDescent="0.2">
      <c r="C7" s="62" t="s">
        <v>164</v>
      </c>
    </row>
    <row r="8" spans="2:3" x14ac:dyDescent="0.2">
      <c r="C8" s="62" t="s">
        <v>165</v>
      </c>
    </row>
    <row r="9" spans="2:3" x14ac:dyDescent="0.2">
      <c r="C9" s="62" t="s">
        <v>166</v>
      </c>
    </row>
    <row r="10" spans="2:3" x14ac:dyDescent="0.2">
      <c r="C10" s="62" t="s">
        <v>167</v>
      </c>
    </row>
    <row r="11" spans="2:3" x14ac:dyDescent="0.2">
      <c r="C11" s="62" t="s">
        <v>168</v>
      </c>
    </row>
    <row r="12" spans="2:3" x14ac:dyDescent="0.2">
      <c r="C12" s="62" t="s">
        <v>169</v>
      </c>
    </row>
    <row r="13" spans="2:3" x14ac:dyDescent="0.2">
      <c r="C13" s="62" t="s">
        <v>170</v>
      </c>
    </row>
    <row r="14" spans="2:3" x14ac:dyDescent="0.2">
      <c r="C14" s="62" t="s">
        <v>171</v>
      </c>
    </row>
    <row r="15" spans="2:3" x14ac:dyDescent="0.2">
      <c r="C15" s="62" t="s">
        <v>172</v>
      </c>
    </row>
    <row r="16" spans="2:3" x14ac:dyDescent="0.2">
      <c r="C16" s="62" t="s">
        <v>173</v>
      </c>
    </row>
    <row r="17" spans="3:3" x14ac:dyDescent="0.2">
      <c r="C17" s="62" t="s">
        <v>174</v>
      </c>
    </row>
    <row r="18" spans="3:3" x14ac:dyDescent="0.2">
      <c r="C18" s="62" t="s">
        <v>175</v>
      </c>
    </row>
    <row r="19" spans="3:3" x14ac:dyDescent="0.2">
      <c r="C19" s="62" t="s">
        <v>176</v>
      </c>
    </row>
    <row r="20" spans="3:3" x14ac:dyDescent="0.2">
      <c r="C20" s="62" t="s">
        <v>177</v>
      </c>
    </row>
    <row r="21" spans="3:3" x14ac:dyDescent="0.2">
      <c r="C21" s="62" t="s">
        <v>178</v>
      </c>
    </row>
    <row r="22" spans="3:3" x14ac:dyDescent="0.2">
      <c r="C22" s="62" t="s">
        <v>179</v>
      </c>
    </row>
    <row r="23" spans="3:3" x14ac:dyDescent="0.2">
      <c r="C23" s="62" t="s">
        <v>180</v>
      </c>
    </row>
    <row r="24" spans="3:3" x14ac:dyDescent="0.2">
      <c r="C24" s="62" t="s">
        <v>181</v>
      </c>
    </row>
    <row r="25" spans="3:3" x14ac:dyDescent="0.2">
      <c r="C25" s="62" t="s">
        <v>182</v>
      </c>
    </row>
    <row r="26" spans="3:3" x14ac:dyDescent="0.2">
      <c r="C26" s="62" t="s">
        <v>183</v>
      </c>
    </row>
    <row r="27" spans="3:3" x14ac:dyDescent="0.2">
      <c r="C27" s="62" t="s">
        <v>184</v>
      </c>
    </row>
    <row r="28" spans="3:3" x14ac:dyDescent="0.2">
      <c r="C28" s="62" t="s">
        <v>185</v>
      </c>
    </row>
    <row r="29" spans="3:3" x14ac:dyDescent="0.2">
      <c r="C29" s="62" t="s">
        <v>186</v>
      </c>
    </row>
    <row r="30" spans="3:3" x14ac:dyDescent="0.2">
      <c r="C30" s="62" t="s">
        <v>187</v>
      </c>
    </row>
    <row r="31" spans="3:3" x14ac:dyDescent="0.2">
      <c r="C31" s="62" t="s">
        <v>188</v>
      </c>
    </row>
    <row r="32" spans="3:3" x14ac:dyDescent="0.2">
      <c r="C32" s="62" t="s">
        <v>189</v>
      </c>
    </row>
    <row r="33" spans="2:3" x14ac:dyDescent="0.2">
      <c r="C33" s="62" t="s">
        <v>190</v>
      </c>
    </row>
    <row r="34" spans="2:3" x14ac:dyDescent="0.2">
      <c r="C34" s="62" t="s">
        <v>191</v>
      </c>
    </row>
    <row r="35" spans="2:3" x14ac:dyDescent="0.2">
      <c r="C35" s="62" t="s">
        <v>192</v>
      </c>
    </row>
    <row r="36" spans="2:3" x14ac:dyDescent="0.2">
      <c r="C36" s="62" t="s">
        <v>193</v>
      </c>
    </row>
    <row r="37" spans="2:3" x14ac:dyDescent="0.2">
      <c r="C37" s="62" t="s">
        <v>194</v>
      </c>
    </row>
    <row r="38" spans="2:3" x14ac:dyDescent="0.2">
      <c r="C38" s="62" t="s">
        <v>195</v>
      </c>
    </row>
    <row r="39" spans="2:3" x14ac:dyDescent="0.2">
      <c r="C39" s="62" t="s">
        <v>196</v>
      </c>
    </row>
    <row r="40" spans="2:3" x14ac:dyDescent="0.2">
      <c r="C40" s="62" t="s">
        <v>197</v>
      </c>
    </row>
    <row r="41" spans="2:3" x14ac:dyDescent="0.2">
      <c r="C41" s="62" t="s">
        <v>198</v>
      </c>
    </row>
    <row r="43" spans="2:3" x14ac:dyDescent="0.2">
      <c r="B43" s="145" t="s">
        <v>199</v>
      </c>
      <c r="C43" s="64"/>
    </row>
    <row r="44" spans="2:3" x14ac:dyDescent="0.2">
      <c r="C44" s="63" t="s">
        <v>200</v>
      </c>
    </row>
    <row r="45" spans="2:3" x14ac:dyDescent="0.2">
      <c r="C45" s="63" t="s">
        <v>201</v>
      </c>
    </row>
    <row r="46" spans="2:3" x14ac:dyDescent="0.2">
      <c r="C46" s="63" t="s">
        <v>202</v>
      </c>
    </row>
    <row r="47" spans="2:3" x14ac:dyDescent="0.2">
      <c r="C47" s="63" t="s">
        <v>203</v>
      </c>
    </row>
    <row r="48" spans="2:3" x14ac:dyDescent="0.2">
      <c r="C48" s="63" t="s">
        <v>204</v>
      </c>
    </row>
    <row r="49" spans="2:3" x14ac:dyDescent="0.2">
      <c r="C49" s="63" t="s">
        <v>205</v>
      </c>
    </row>
    <row r="51" spans="2:3" x14ac:dyDescent="0.2">
      <c r="B51" s="145" t="s">
        <v>206</v>
      </c>
      <c r="C51" s="64"/>
    </row>
    <row r="52" spans="2:3" x14ac:dyDescent="0.2">
      <c r="C52" s="63" t="s">
        <v>207</v>
      </c>
    </row>
    <row r="53" spans="2:3" x14ac:dyDescent="0.2">
      <c r="C53" s="63" t="s">
        <v>208</v>
      </c>
    </row>
    <row r="54" spans="2:3" x14ac:dyDescent="0.2">
      <c r="C54" s="63" t="s">
        <v>209</v>
      </c>
    </row>
    <row r="56" spans="2:3" x14ac:dyDescent="0.2">
      <c r="B56" s="145" t="s">
        <v>210</v>
      </c>
      <c r="C56" s="64"/>
    </row>
    <row r="57" spans="2:3" x14ac:dyDescent="0.2">
      <c r="C57" s="63" t="s">
        <v>211</v>
      </c>
    </row>
    <row r="58" spans="2:3" x14ac:dyDescent="0.2">
      <c r="C58" s="63" t="s">
        <v>212</v>
      </c>
    </row>
    <row r="59" spans="2:3" x14ac:dyDescent="0.2">
      <c r="C59" s="63" t="s">
        <v>213</v>
      </c>
    </row>
    <row r="60" spans="2:3" x14ac:dyDescent="0.2">
      <c r="C60" s="63" t="s">
        <v>214</v>
      </c>
    </row>
    <row r="61" spans="2:3" x14ac:dyDescent="0.2">
      <c r="C61" s="63" t="s">
        <v>215</v>
      </c>
    </row>
    <row r="62" spans="2:3" x14ac:dyDescent="0.2">
      <c r="C62" s="63" t="s">
        <v>216</v>
      </c>
    </row>
    <row r="64" spans="2:3" x14ac:dyDescent="0.2">
      <c r="B64" s="145" t="s">
        <v>217</v>
      </c>
      <c r="C64" s="64"/>
    </row>
    <row r="65" spans="2:3" x14ac:dyDescent="0.2">
      <c r="C65" s="63" t="s">
        <v>218</v>
      </c>
    </row>
    <row r="67" spans="2:3" x14ac:dyDescent="0.2">
      <c r="B67" s="145" t="s">
        <v>219</v>
      </c>
      <c r="C67" s="64"/>
    </row>
    <row r="68" spans="2:3" x14ac:dyDescent="0.2">
      <c r="C68" s="63" t="s">
        <v>220</v>
      </c>
    </row>
    <row r="69" spans="2:3" x14ac:dyDescent="0.2">
      <c r="C69" s="63" t="s">
        <v>221</v>
      </c>
    </row>
    <row r="70" spans="2:3" x14ac:dyDescent="0.2">
      <c r="C70" s="63" t="s">
        <v>222</v>
      </c>
    </row>
    <row r="71" spans="2:3" x14ac:dyDescent="0.2">
      <c r="C71" s="63" t="s">
        <v>223</v>
      </c>
    </row>
    <row r="72" spans="2:3" x14ac:dyDescent="0.2">
      <c r="C72" s="63" t="s">
        <v>224</v>
      </c>
    </row>
    <row r="73" spans="2:3" x14ac:dyDescent="0.2">
      <c r="C73" s="63" t="s">
        <v>225</v>
      </c>
    </row>
    <row r="74" spans="2:3" x14ac:dyDescent="0.2">
      <c r="C74" s="63" t="s">
        <v>226</v>
      </c>
    </row>
    <row r="75" spans="2:3" x14ac:dyDescent="0.2">
      <c r="C75" s="63" t="s">
        <v>227</v>
      </c>
    </row>
    <row r="76" spans="2:3" x14ac:dyDescent="0.2">
      <c r="C76" s="63" t="s">
        <v>228</v>
      </c>
    </row>
    <row r="77" spans="2:3" x14ac:dyDescent="0.2">
      <c r="C77" s="63" t="s">
        <v>229</v>
      </c>
    </row>
    <row r="79" spans="2:3" x14ac:dyDescent="0.2">
      <c r="B79" s="145" t="s">
        <v>230</v>
      </c>
      <c r="C79" s="64"/>
    </row>
    <row r="80" spans="2:3" x14ac:dyDescent="0.2">
      <c r="C80" s="63" t="s">
        <v>231</v>
      </c>
    </row>
    <row r="81" spans="2:3" x14ac:dyDescent="0.2">
      <c r="C81" s="63" t="s">
        <v>232</v>
      </c>
    </row>
    <row r="82" spans="2:3" x14ac:dyDescent="0.2">
      <c r="C82" s="63" t="s">
        <v>233</v>
      </c>
    </row>
    <row r="84" spans="2:3" x14ac:dyDescent="0.2">
      <c r="B84" s="145" t="s">
        <v>234</v>
      </c>
      <c r="C84" s="64"/>
    </row>
    <row r="85" spans="2:3" x14ac:dyDescent="0.2">
      <c r="C85" s="62" t="s">
        <v>235</v>
      </c>
    </row>
    <row r="86" spans="2:3" x14ac:dyDescent="0.2">
      <c r="C86" s="62" t="s">
        <v>236</v>
      </c>
    </row>
  </sheetData>
  <sheetProtection algorithmName="SHA-512" hashValue="pFHfceS5IasUHXiK6jv5mBogRG035p0mK+QJFfqO2+I8h0za3EWF7jJvg3RRCIUaDF3SFwOn9AS3D9a1NUJDIg==" saltValue="v7T2NI2rrISN/2IwcsRAZA==" spinCount="100000" sheet="1" objects="1" scenarios="1" autoFilter="0"/>
  <sortState xmlns:xlrd2="http://schemas.microsoft.com/office/spreadsheetml/2017/richdata2" ref="C6:C76">
    <sortCondition ref="C6"/>
  </sortState>
  <mergeCells count="1">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sheetPr>
  <dimension ref="B2:P395"/>
  <sheetViews>
    <sheetView workbookViewId="0"/>
  </sheetViews>
  <sheetFormatPr defaultRowHeight="14.25" x14ac:dyDescent="0.2"/>
  <cols>
    <col min="1" max="1" width="2.5" customWidth="1"/>
    <col min="2" max="2" width="10.625" customWidth="1"/>
    <col min="3" max="3" width="31.75" customWidth="1"/>
    <col min="4" max="4" width="20.375" customWidth="1"/>
    <col min="5" max="5" width="17.25" customWidth="1"/>
    <col min="6" max="6" width="21.875" customWidth="1"/>
    <col min="7" max="7" width="23" customWidth="1"/>
    <col min="8" max="8" width="11.375" customWidth="1"/>
    <col min="9" max="9" width="15.125" customWidth="1"/>
    <col min="10" max="10" width="9.625" customWidth="1"/>
    <col min="11" max="11" width="7.875" customWidth="1"/>
    <col min="12" max="13" width="36.375" customWidth="1"/>
    <col min="14" max="14" width="21.625" customWidth="1"/>
    <col min="16" max="16" width="11.125" bestFit="1" customWidth="1"/>
  </cols>
  <sheetData>
    <row r="2" spans="9:15" x14ac:dyDescent="0.2">
      <c r="L2" s="34"/>
      <c r="M2" s="34"/>
      <c r="N2" s="34"/>
    </row>
    <row r="3" spans="9:15" x14ac:dyDescent="0.2">
      <c r="I3" s="4"/>
      <c r="J3" s="4"/>
      <c r="K3" s="4"/>
      <c r="L3" s="4"/>
      <c r="M3" s="4"/>
      <c r="N3" s="4"/>
    </row>
    <row r="4" spans="9:15" x14ac:dyDescent="0.2">
      <c r="K4" s="59" t="s">
        <v>151</v>
      </c>
      <c r="L4" s="141"/>
      <c r="M4" s="141"/>
      <c r="N4" s="141"/>
      <c r="O4" s="141"/>
    </row>
    <row r="5" spans="9:15" x14ac:dyDescent="0.2">
      <c r="K5" s="142" t="s">
        <v>152</v>
      </c>
      <c r="L5" s="141"/>
      <c r="M5" s="141"/>
      <c r="N5" s="141"/>
      <c r="O5" s="141"/>
    </row>
    <row r="6" spans="9:15" x14ac:dyDescent="0.2">
      <c r="K6" s="4" t="s">
        <v>56</v>
      </c>
      <c r="L6" s="4" t="s">
        <v>57</v>
      </c>
      <c r="M6" s="4" t="s">
        <v>143</v>
      </c>
      <c r="N6" s="4" t="s">
        <v>150</v>
      </c>
      <c r="O6" s="4" t="s">
        <v>153</v>
      </c>
    </row>
    <row r="7" spans="9:15" x14ac:dyDescent="0.2">
      <c r="K7" s="5">
        <v>1</v>
      </c>
      <c r="L7" s="4" t="str">
        <f>INDEX(Grouping[Grouping_Name],MATCH(Growth[[#This Row],[Grouping_ID]],Grouping[Grouping_ID],0))</f>
        <v>1 - Metro area</v>
      </c>
      <c r="M7" s="10">
        <v>1839005</v>
      </c>
      <c r="N7" s="10">
        <v>1996630</v>
      </c>
      <c r="O7" s="130">
        <f>(Growth[[#This Row],[Pop2025]]-Growth[[#This Row],[Pop2018]])/Growth[[#This Row],[Pop2018]]</f>
        <v>8.5712110625039084E-2</v>
      </c>
    </row>
    <row r="8" spans="9:15" x14ac:dyDescent="0.2">
      <c r="K8" s="5">
        <v>2</v>
      </c>
      <c r="L8" s="4" t="str">
        <f>INDEX(Grouping[Grouping_Name],MATCH(Growth[[#This Row],[Grouping_ID]],Grouping[Grouping_ID],0))</f>
        <v>2 - Willamette Valley, etc.</v>
      </c>
      <c r="M8" s="10">
        <v>719155</v>
      </c>
      <c r="N8" s="10">
        <v>765989</v>
      </c>
      <c r="O8" s="130">
        <f>(Growth[[#This Row],[Pop2025]]-Growth[[#This Row],[Pop2018]])/Growth[[#This Row],[Pop2018]]</f>
        <v>6.512365206388053E-2</v>
      </c>
    </row>
    <row r="9" spans="9:15" x14ac:dyDescent="0.2">
      <c r="K9" s="5">
        <v>3</v>
      </c>
      <c r="L9" s="4" t="str">
        <f>INDEX(Grouping[Grouping_Name],MATCH(Growth[[#This Row],[Grouping_ID]],Grouping[Grouping_ID],0))</f>
        <v>3 - Other areas with curbside</v>
      </c>
      <c r="M9" s="10">
        <v>1637140</v>
      </c>
      <c r="N9" s="10">
        <v>1757169</v>
      </c>
      <c r="O9" s="130">
        <f>(Growth[[#This Row],[Pop2025]]-Growth[[#This Row],[Pop2018]])/Growth[[#This Row],[Pop2018]]</f>
        <v>7.331627105806468E-2</v>
      </c>
    </row>
    <row r="10" spans="9:15" x14ac:dyDescent="0.2">
      <c r="K10" s="5">
        <v>4</v>
      </c>
      <c r="L10" s="4" t="str">
        <f>INDEX(Grouping[Grouping_Name],MATCH(Growth[[#This Row],[Grouping_ID]],Grouping[Grouping_ID],0))</f>
        <v>4 - Areas without curbside</v>
      </c>
      <c r="M10" s="10">
        <v>1637140</v>
      </c>
      <c r="N10" s="10">
        <v>1757169</v>
      </c>
      <c r="O10" s="130">
        <f>(Growth[[#This Row],[Pop2025]]-Growth[[#This Row],[Pop2018]])/Growth[[#This Row],[Pop2018]]</f>
        <v>7.331627105806468E-2</v>
      </c>
    </row>
    <row r="11" spans="9:15" x14ac:dyDescent="0.2">
      <c r="L11" s="34"/>
      <c r="M11" s="34"/>
      <c r="N11" s="34"/>
    </row>
    <row r="12" spans="9:15" x14ac:dyDescent="0.2">
      <c r="L12" s="34"/>
      <c r="M12" s="34"/>
      <c r="N12" s="34"/>
    </row>
    <row r="17" spans="2:16" ht="15" x14ac:dyDescent="0.25">
      <c r="B17" s="12" t="s">
        <v>237</v>
      </c>
      <c r="C17" s="34"/>
      <c r="D17" s="34"/>
      <c r="E17" s="34"/>
      <c r="F17" s="34"/>
      <c r="G17" s="34"/>
      <c r="H17" s="34"/>
      <c r="I17" s="34"/>
      <c r="J17" s="34"/>
      <c r="K17" s="34"/>
      <c r="L17" s="34"/>
      <c r="M17" s="34"/>
      <c r="N17" s="34"/>
      <c r="O17" s="34"/>
      <c r="P17" s="34"/>
    </row>
    <row r="18" spans="2:16" x14ac:dyDescent="0.2">
      <c r="B18" s="95" t="s">
        <v>238</v>
      </c>
      <c r="C18" s="95" t="s">
        <v>239</v>
      </c>
      <c r="D18" s="95" t="s">
        <v>240</v>
      </c>
      <c r="E18" s="95" t="s">
        <v>241</v>
      </c>
      <c r="F18" s="95" t="s">
        <v>242</v>
      </c>
      <c r="G18" s="95" t="s">
        <v>243</v>
      </c>
      <c r="H18" s="95" t="s">
        <v>244</v>
      </c>
      <c r="I18" s="95" t="s">
        <v>143</v>
      </c>
      <c r="J18" s="95" t="s">
        <v>245</v>
      </c>
      <c r="K18" s="95" t="s">
        <v>246</v>
      </c>
      <c r="L18" s="95" t="s">
        <v>247</v>
      </c>
      <c r="M18" s="95" t="s">
        <v>248</v>
      </c>
      <c r="N18" s="95" t="s">
        <v>249</v>
      </c>
      <c r="O18" s="95" t="s">
        <v>250</v>
      </c>
      <c r="P18" s="95" t="s">
        <v>150</v>
      </c>
    </row>
    <row r="19" spans="2:16" x14ac:dyDescent="0.2">
      <c r="B19" s="95" t="s">
        <v>251</v>
      </c>
      <c r="C19" s="95" t="s">
        <v>252</v>
      </c>
      <c r="D19" s="95" t="s">
        <v>252</v>
      </c>
      <c r="E19" s="95" t="s">
        <v>253</v>
      </c>
      <c r="F19" s="95" t="s">
        <v>252</v>
      </c>
      <c r="G19" s="95" t="s">
        <v>127</v>
      </c>
      <c r="H19" s="95" t="s">
        <v>254</v>
      </c>
      <c r="I19" s="132">
        <v>9890</v>
      </c>
      <c r="J19" s="95">
        <v>4</v>
      </c>
      <c r="K19" s="95">
        <f t="shared" ref="K19:K82" si="0">COUNTIFS($B$1:$B$16,C19,$D$1:$D$16,E19)</f>
        <v>0</v>
      </c>
      <c r="L19" s="95" t="str">
        <f>IFERROR(VLOOKUP(GroupPop2018[[#This Row],[Group]],Grouping[#All],2,0),"Unknown")</f>
        <v>4 - Areas without curbside</v>
      </c>
      <c r="M19" s="95" t="str">
        <f>INDEX(Frequency[Collection_Frequency],MATCH(GroupPop2018[[#This Row],[FreqCode]],Frequency[Orig_Frequency_ID],0))</f>
        <v>No collection</v>
      </c>
      <c r="N19" s="95" t="str">
        <f>IF(GroupPop2018[[#This Row],[Group]]=1,"Metro",IF(GroupPop2018[[#This Row],[Group]]=4,"Nowhere",IF(GroupPop2018[[#This Row],[Group]]=3,"Remote",IF(GroupPop2018[[#This Row],[County]]="Marion","Marion County","Transported to Metro"))))</f>
        <v>Nowhere</v>
      </c>
      <c r="O19" s="95"/>
      <c r="P19" s="100">
        <f>GroupPop2018[[#This Row],[Pop2018]]*(1+SUMIFS(Growth[GrowthRate],Growth[Grouping_ID],GroupPop2018[[#This Row],[Group]]))</f>
        <v>10615.097920764259</v>
      </c>
    </row>
    <row r="20" spans="2:16" x14ac:dyDescent="0.2">
      <c r="B20" s="95" t="s">
        <v>251</v>
      </c>
      <c r="C20" s="95" t="s">
        <v>252</v>
      </c>
      <c r="D20" s="95" t="s">
        <v>252</v>
      </c>
      <c r="E20" s="95" t="s">
        <v>255</v>
      </c>
      <c r="F20" s="95" t="s">
        <v>256</v>
      </c>
      <c r="G20" s="95" t="s">
        <v>127</v>
      </c>
      <c r="H20" s="95" t="s">
        <v>254</v>
      </c>
      <c r="I20" s="132">
        <v>9</v>
      </c>
      <c r="J20" s="95">
        <v>4</v>
      </c>
      <c r="K20" s="95">
        <f t="shared" si="0"/>
        <v>0</v>
      </c>
      <c r="L20" s="95" t="str">
        <f>IFERROR(VLOOKUP(GroupPop2018[[#This Row],[Group]],Grouping[#All],2,0),"Unknown")</f>
        <v>4 - Areas without curbside</v>
      </c>
      <c r="M20" s="95" t="str">
        <f>INDEX(Frequency[Collection_Frequency],MATCH(GroupPop2018[[#This Row],[FreqCode]],Frequency[Orig_Frequency_ID],0))</f>
        <v>No collection</v>
      </c>
      <c r="N20" s="95" t="str">
        <f>IF(GroupPop2018[[#This Row],[Group]]=1,"Metro",IF(GroupPop2018[[#This Row],[Group]]=4,"Nowhere",IF(GroupPop2018[[#This Row],[Group]]=3,"Remote",IF(GroupPop2018[[#This Row],[County]]="Marion","Marion County","Transported to Metro"))))</f>
        <v>Nowhere</v>
      </c>
      <c r="O20" s="95"/>
      <c r="P20" s="100">
        <f>GroupPop2018[[#This Row],[Pop2018]]*(1+SUMIFS(Growth[GrowthRate],Growth[Grouping_ID],GroupPop2018[[#This Row],[Group]]))</f>
        <v>9.6598464395225818</v>
      </c>
    </row>
    <row r="21" spans="2:16" x14ac:dyDescent="0.2">
      <c r="B21" s="95" t="s">
        <v>251</v>
      </c>
      <c r="C21" s="95" t="s">
        <v>257</v>
      </c>
      <c r="D21" s="95" t="s">
        <v>257</v>
      </c>
      <c r="E21" s="95" t="s">
        <v>258</v>
      </c>
      <c r="F21" s="95" t="s">
        <v>257</v>
      </c>
      <c r="G21" s="95" t="s">
        <v>127</v>
      </c>
      <c r="H21" s="95" t="s">
        <v>259</v>
      </c>
      <c r="I21" s="132">
        <v>5254</v>
      </c>
      <c r="J21" s="95">
        <v>4</v>
      </c>
      <c r="K21" s="95">
        <f t="shared" si="0"/>
        <v>0</v>
      </c>
      <c r="L21" s="95" t="str">
        <f>IFERROR(VLOOKUP(GroupPop2018[[#This Row],[Group]],Grouping[#All],2,0),"Unknown")</f>
        <v>4 - Areas without curbside</v>
      </c>
      <c r="M21" s="95" t="str">
        <f>INDEX(Frequency[Collection_Frequency],MATCH(GroupPop2018[[#This Row],[FreqCode]],Frequency[Orig_Frequency_ID],0))</f>
        <v>No collection</v>
      </c>
      <c r="N21" s="95" t="str">
        <f>IF(GroupPop2018[[#This Row],[Group]]=1,"Metro",IF(GroupPop2018[[#This Row],[Group]]=4,"Nowhere",IF(GroupPop2018[[#This Row],[Group]]=3,"Remote",IF(GroupPop2018[[#This Row],[County]]="Marion","Marion County","Transported to Metro"))))</f>
        <v>Nowhere</v>
      </c>
      <c r="O21" s="95"/>
      <c r="P21" s="100">
        <f>GroupPop2018[[#This Row],[Pop2018]]*(1+SUMIFS(Growth[GrowthRate],Growth[Grouping_ID],GroupPop2018[[#This Row],[Group]]))</f>
        <v>5639.2036881390713</v>
      </c>
    </row>
    <row r="22" spans="2:16" x14ac:dyDescent="0.2">
      <c r="B22" s="95" t="s">
        <v>251</v>
      </c>
      <c r="C22" s="95" t="s">
        <v>260</v>
      </c>
      <c r="D22" s="95" t="s">
        <v>260</v>
      </c>
      <c r="E22" s="95" t="s">
        <v>253</v>
      </c>
      <c r="F22" s="95" t="s">
        <v>260</v>
      </c>
      <c r="G22" s="95" t="s">
        <v>127</v>
      </c>
      <c r="H22" s="95" t="s">
        <v>259</v>
      </c>
      <c r="I22" s="132">
        <v>2</v>
      </c>
      <c r="J22" s="95">
        <v>4</v>
      </c>
      <c r="K22" s="95">
        <f t="shared" si="0"/>
        <v>0</v>
      </c>
      <c r="L22" s="95" t="str">
        <f>IFERROR(VLOOKUP(GroupPop2018[[#This Row],[Group]],Grouping[#All],2,0),"Unknown")</f>
        <v>4 - Areas without curbside</v>
      </c>
      <c r="M22" s="95" t="str">
        <f>INDEX(Frequency[Collection_Frequency],MATCH(GroupPop2018[[#This Row],[FreqCode]],Frequency[Orig_Frequency_ID],0))</f>
        <v>No collection</v>
      </c>
      <c r="N22" s="95" t="str">
        <f>IF(GroupPop2018[[#This Row],[Group]]=1,"Metro",IF(GroupPop2018[[#This Row],[Group]]=4,"Nowhere",IF(GroupPop2018[[#This Row],[Group]]=3,"Remote",IF(GroupPop2018[[#This Row],[County]]="Marion","Marion County","Transported to Metro"))))</f>
        <v>Nowhere</v>
      </c>
      <c r="O22" s="95"/>
      <c r="P22" s="100">
        <f>GroupPop2018[[#This Row],[Pop2018]]*(1+SUMIFS(Growth[GrowthRate],Growth[Grouping_ID],GroupPop2018[[#This Row],[Group]]))</f>
        <v>2.1466325421161292</v>
      </c>
    </row>
    <row r="23" spans="2:16" x14ac:dyDescent="0.2">
      <c r="B23" s="95" t="s">
        <v>251</v>
      </c>
      <c r="C23" s="95" t="s">
        <v>261</v>
      </c>
      <c r="D23" s="95" t="s">
        <v>261</v>
      </c>
      <c r="E23" s="95" t="s">
        <v>253</v>
      </c>
      <c r="F23" s="95" t="s">
        <v>261</v>
      </c>
      <c r="G23" s="95" t="s">
        <v>127</v>
      </c>
      <c r="H23" s="95" t="s">
        <v>259</v>
      </c>
      <c r="I23" s="132">
        <v>415</v>
      </c>
      <c r="J23" s="95">
        <v>4</v>
      </c>
      <c r="K23" s="95">
        <f t="shared" si="0"/>
        <v>0</v>
      </c>
      <c r="L23" s="95" t="str">
        <f>IFERROR(VLOOKUP(GroupPop2018[[#This Row],[Group]],Grouping[#All],2,0),"Unknown")</f>
        <v>4 - Areas without curbside</v>
      </c>
      <c r="M23" s="95" t="str">
        <f>INDEX(Frequency[Collection_Frequency],MATCH(GroupPop2018[[#This Row],[FreqCode]],Frequency[Orig_Frequency_ID],0))</f>
        <v>No collection</v>
      </c>
      <c r="N23" s="95" t="str">
        <f>IF(GroupPop2018[[#This Row],[Group]]=1,"Metro",IF(GroupPop2018[[#This Row],[Group]]=4,"Nowhere",IF(GroupPop2018[[#This Row],[Group]]=3,"Remote",IF(GroupPop2018[[#This Row],[County]]="Marion","Marion County","Transported to Metro"))))</f>
        <v>Nowhere</v>
      </c>
      <c r="O23" s="95"/>
      <c r="P23" s="100">
        <f>GroupPop2018[[#This Row],[Pop2018]]*(1+SUMIFS(Growth[GrowthRate],Growth[Grouping_ID],GroupPop2018[[#This Row],[Group]]))</f>
        <v>445.42625248909678</v>
      </c>
    </row>
    <row r="24" spans="2:16" x14ac:dyDescent="0.2">
      <c r="B24" s="95" t="s">
        <v>251</v>
      </c>
      <c r="C24" s="95" t="s">
        <v>262</v>
      </c>
      <c r="D24" s="95" t="s">
        <v>262</v>
      </c>
      <c r="E24" s="95" t="s">
        <v>253</v>
      </c>
      <c r="F24" s="95" t="s">
        <v>262</v>
      </c>
      <c r="G24" s="95" t="s">
        <v>127</v>
      </c>
      <c r="H24" s="95" t="s">
        <v>259</v>
      </c>
      <c r="I24" s="132">
        <v>295</v>
      </c>
      <c r="J24" s="95">
        <v>4</v>
      </c>
      <c r="K24" s="95">
        <f t="shared" si="0"/>
        <v>0</v>
      </c>
      <c r="L24" s="95" t="str">
        <f>IFERROR(VLOOKUP(GroupPop2018[[#This Row],[Group]],Grouping[#All],2,0),"Unknown")</f>
        <v>4 - Areas without curbside</v>
      </c>
      <c r="M24" s="95" t="str">
        <f>INDEX(Frequency[Collection_Frequency],MATCH(GroupPop2018[[#This Row],[FreqCode]],Frequency[Orig_Frequency_ID],0))</f>
        <v>No collection</v>
      </c>
      <c r="N24" s="95" t="str">
        <f>IF(GroupPop2018[[#This Row],[Group]]=1,"Metro",IF(GroupPop2018[[#This Row],[Group]]=4,"Nowhere",IF(GroupPop2018[[#This Row],[Group]]=3,"Remote",IF(GroupPop2018[[#This Row],[County]]="Marion","Marion County","Transported to Metro"))))</f>
        <v>Nowhere</v>
      </c>
      <c r="O24" s="95"/>
      <c r="P24" s="100">
        <f>GroupPop2018[[#This Row],[Pop2018]]*(1+SUMIFS(Growth[GrowthRate],Growth[Grouping_ID],GroupPop2018[[#This Row],[Group]]))</f>
        <v>316.62829996212906</v>
      </c>
    </row>
    <row r="25" spans="2:16" x14ac:dyDescent="0.2">
      <c r="B25" s="95" t="s">
        <v>251</v>
      </c>
      <c r="C25" s="95" t="s">
        <v>263</v>
      </c>
      <c r="D25" s="95" t="s">
        <v>263</v>
      </c>
      <c r="E25" s="95" t="s">
        <v>253</v>
      </c>
      <c r="F25" s="95" t="s">
        <v>263</v>
      </c>
      <c r="G25" s="95" t="s">
        <v>127</v>
      </c>
      <c r="H25" s="95" t="s">
        <v>259</v>
      </c>
      <c r="I25" s="132">
        <v>445</v>
      </c>
      <c r="J25" s="95">
        <v>4</v>
      </c>
      <c r="K25" s="95">
        <f t="shared" si="0"/>
        <v>0</v>
      </c>
      <c r="L25" s="95" t="str">
        <f>IFERROR(VLOOKUP(GroupPop2018[[#This Row],[Group]],Grouping[#All],2,0),"Unknown")</f>
        <v>4 - Areas without curbside</v>
      </c>
      <c r="M25" s="95" t="str">
        <f>INDEX(Frequency[Collection_Frequency],MATCH(GroupPop2018[[#This Row],[FreqCode]],Frequency[Orig_Frequency_ID],0))</f>
        <v>No collection</v>
      </c>
      <c r="N25" s="95" t="str">
        <f>IF(GroupPop2018[[#This Row],[Group]]=1,"Metro",IF(GroupPop2018[[#This Row],[Group]]=4,"Nowhere",IF(GroupPop2018[[#This Row],[Group]]=3,"Remote",IF(GroupPop2018[[#This Row],[County]]="Marion","Marion County","Transported to Metro"))))</f>
        <v>Nowhere</v>
      </c>
      <c r="O25" s="95"/>
      <c r="P25" s="100">
        <f>GroupPop2018[[#This Row],[Pop2018]]*(1+SUMIFS(Growth[GrowthRate],Growth[Grouping_ID],GroupPop2018[[#This Row],[Group]]))</f>
        <v>477.62574062083877</v>
      </c>
    </row>
    <row r="26" spans="2:16" x14ac:dyDescent="0.2">
      <c r="B26" s="95" t="s">
        <v>251</v>
      </c>
      <c r="C26" s="95" t="s">
        <v>264</v>
      </c>
      <c r="D26" s="95" t="s">
        <v>264</v>
      </c>
      <c r="E26" s="95" t="s">
        <v>253</v>
      </c>
      <c r="F26" s="95" t="s">
        <v>264</v>
      </c>
      <c r="G26" s="95" t="s">
        <v>127</v>
      </c>
      <c r="H26" s="95" t="s">
        <v>259</v>
      </c>
      <c r="I26" s="132">
        <v>175</v>
      </c>
      <c r="J26" s="95">
        <v>4</v>
      </c>
      <c r="K26" s="95">
        <f t="shared" si="0"/>
        <v>0</v>
      </c>
      <c r="L26" s="95" t="str">
        <f>IFERROR(VLOOKUP(GroupPop2018[[#This Row],[Group]],Grouping[#All],2,0),"Unknown")</f>
        <v>4 - Areas without curbside</v>
      </c>
      <c r="M26" s="95" t="str">
        <f>INDEX(Frequency[Collection_Frequency],MATCH(GroupPop2018[[#This Row],[FreqCode]],Frequency[Orig_Frequency_ID],0))</f>
        <v>No collection</v>
      </c>
      <c r="N26" s="95" t="str">
        <f>IF(GroupPop2018[[#This Row],[Group]]=1,"Metro",IF(GroupPop2018[[#This Row],[Group]]=4,"Nowhere",IF(GroupPop2018[[#This Row],[Group]]=3,"Remote",IF(GroupPop2018[[#This Row],[County]]="Marion","Marion County","Transported to Metro"))))</f>
        <v>Nowhere</v>
      </c>
      <c r="O26" s="95"/>
      <c r="P26" s="100">
        <f>GroupPop2018[[#This Row],[Pop2018]]*(1+SUMIFS(Growth[GrowthRate],Growth[Grouping_ID],GroupPop2018[[#This Row],[Group]]))</f>
        <v>187.83034743516131</v>
      </c>
    </row>
    <row r="27" spans="2:16" x14ac:dyDescent="0.2">
      <c r="B27" s="95" t="s">
        <v>251</v>
      </c>
      <c r="C27" s="95" t="s">
        <v>265</v>
      </c>
      <c r="D27" s="95" t="s">
        <v>265</v>
      </c>
      <c r="E27" s="95" t="s">
        <v>253</v>
      </c>
      <c r="F27" s="95" t="s">
        <v>265</v>
      </c>
      <c r="G27" s="95" t="s">
        <v>127</v>
      </c>
      <c r="H27" s="95" t="s">
        <v>259</v>
      </c>
      <c r="I27" s="132">
        <v>205</v>
      </c>
      <c r="J27" s="95">
        <v>4</v>
      </c>
      <c r="K27" s="95">
        <f t="shared" si="0"/>
        <v>0</v>
      </c>
      <c r="L27" s="95" t="str">
        <f>IFERROR(VLOOKUP(GroupPop2018[[#This Row],[Group]],Grouping[#All],2,0),"Unknown")</f>
        <v>4 - Areas without curbside</v>
      </c>
      <c r="M27" s="95" t="str">
        <f>INDEX(Frequency[Collection_Frequency],MATCH(GroupPop2018[[#This Row],[FreqCode]],Frequency[Orig_Frequency_ID],0))</f>
        <v>No collection</v>
      </c>
      <c r="N27" s="95" t="str">
        <f>IF(GroupPop2018[[#This Row],[Group]]=1,"Metro",IF(GroupPop2018[[#This Row],[Group]]=4,"Nowhere",IF(GroupPop2018[[#This Row],[Group]]=3,"Remote",IF(GroupPop2018[[#This Row],[County]]="Marion","Marion County","Transported to Metro"))))</f>
        <v>Nowhere</v>
      </c>
      <c r="O27" s="95"/>
      <c r="P27" s="100">
        <f>GroupPop2018[[#This Row],[Pop2018]]*(1+SUMIFS(Growth[GrowthRate],Growth[Grouping_ID],GroupPop2018[[#This Row],[Group]]))</f>
        <v>220.02983556690324</v>
      </c>
    </row>
    <row r="28" spans="2:16" x14ac:dyDescent="0.2">
      <c r="B28" s="95" t="s">
        <v>251</v>
      </c>
      <c r="C28" s="95" t="s">
        <v>266</v>
      </c>
      <c r="D28" s="95" t="s">
        <v>266</v>
      </c>
      <c r="E28" s="95" t="s">
        <v>253</v>
      </c>
      <c r="F28" s="95" t="s">
        <v>266</v>
      </c>
      <c r="G28" s="95" t="s">
        <v>127</v>
      </c>
      <c r="H28" s="95" t="s">
        <v>259</v>
      </c>
      <c r="I28" s="132">
        <v>75</v>
      </c>
      <c r="J28" s="95">
        <v>4</v>
      </c>
      <c r="K28" s="95">
        <f t="shared" si="0"/>
        <v>0</v>
      </c>
      <c r="L28" s="95" t="str">
        <f>IFERROR(VLOOKUP(GroupPop2018[[#This Row],[Group]],Grouping[#All],2,0),"Unknown")</f>
        <v>4 - Areas without curbside</v>
      </c>
      <c r="M28" s="95" t="str">
        <f>INDEX(Frequency[Collection_Frequency],MATCH(GroupPop2018[[#This Row],[FreqCode]],Frequency[Orig_Frequency_ID],0))</f>
        <v>No collection</v>
      </c>
      <c r="N28" s="95" t="str">
        <f>IF(GroupPop2018[[#This Row],[Group]]=1,"Metro",IF(GroupPop2018[[#This Row],[Group]]=4,"Nowhere",IF(GroupPop2018[[#This Row],[Group]]=3,"Remote",IF(GroupPop2018[[#This Row],[County]]="Marion","Marion County","Transported to Metro"))))</f>
        <v>Nowhere</v>
      </c>
      <c r="O28" s="95"/>
      <c r="P28" s="100">
        <f>GroupPop2018[[#This Row],[Pop2018]]*(1+SUMIFS(Growth[GrowthRate],Growth[Grouping_ID],GroupPop2018[[#This Row],[Group]]))</f>
        <v>80.498720329354839</v>
      </c>
    </row>
    <row r="29" spans="2:16" x14ac:dyDescent="0.2">
      <c r="B29" s="95" t="s">
        <v>267</v>
      </c>
      <c r="C29" s="95" t="s">
        <v>268</v>
      </c>
      <c r="D29" s="95" t="s">
        <v>268</v>
      </c>
      <c r="E29" s="95" t="s">
        <v>253</v>
      </c>
      <c r="F29" s="95" t="s">
        <v>268</v>
      </c>
      <c r="G29" s="95" t="s">
        <v>64</v>
      </c>
      <c r="H29" s="95" t="s">
        <v>259</v>
      </c>
      <c r="I29" s="132">
        <v>860</v>
      </c>
      <c r="J29" s="95">
        <v>2</v>
      </c>
      <c r="K29" s="95">
        <f t="shared" si="0"/>
        <v>0</v>
      </c>
      <c r="L29" s="95" t="str">
        <f>IFERROR(VLOOKUP(GroupPop2018[[#This Row],[Group]],Grouping[#All],2,0),"Unknown")</f>
        <v>2 - Willamette Valley, etc.</v>
      </c>
      <c r="M29" s="95" t="str">
        <f>INDEX(Frequency[Collection_Frequency],MATCH(GroupPop2018[[#This Row],[FreqCode]],Frequency[Orig_Frequency_ID],0))</f>
        <v>Weekly</v>
      </c>
      <c r="N29" s="95" t="str">
        <f>IF(GroupPop2018[[#This Row],[Group]]=1,"Metro",IF(GroupPop2018[[#This Row],[Group]]=4,"Nowhere",IF(GroupPop2018[[#This Row],[Group]]=3,"Remote",IF(GroupPop2018[[#This Row],[County]]="Marion","Marion County","Transported to Metro"))))</f>
        <v>Transported to Metro</v>
      </c>
      <c r="O29" s="95"/>
      <c r="P29" s="100">
        <f>GroupPop2018[[#This Row],[Pop2018]]*(1+SUMIFS(Growth[GrowthRate],Growth[Grouping_ID],GroupPop2018[[#This Row],[Group]]))</f>
        <v>916.00634077493726</v>
      </c>
    </row>
    <row r="30" spans="2:16" x14ac:dyDescent="0.2">
      <c r="B30" s="95" t="s">
        <v>267</v>
      </c>
      <c r="C30" s="95" t="s">
        <v>269</v>
      </c>
      <c r="D30" s="95" t="s">
        <v>269</v>
      </c>
      <c r="E30" s="95" t="s">
        <v>253</v>
      </c>
      <c r="F30" s="95" t="s">
        <v>269</v>
      </c>
      <c r="G30" s="95" t="s">
        <v>64</v>
      </c>
      <c r="H30" s="95" t="s">
        <v>254</v>
      </c>
      <c r="I30" s="132">
        <v>7945</v>
      </c>
      <c r="J30" s="95">
        <v>2</v>
      </c>
      <c r="K30" s="95">
        <f t="shared" si="0"/>
        <v>0</v>
      </c>
      <c r="L30" s="95" t="str">
        <f>IFERROR(VLOOKUP(GroupPop2018[[#This Row],[Group]],Grouping[#All],2,0),"Unknown")</f>
        <v>2 - Willamette Valley, etc.</v>
      </c>
      <c r="M30" s="95" t="str">
        <f>INDEX(Frequency[Collection_Frequency],MATCH(GroupPop2018[[#This Row],[FreqCode]],Frequency[Orig_Frequency_ID],0))</f>
        <v>Weekly</v>
      </c>
      <c r="N30" s="95" t="str">
        <f>IF(GroupPop2018[[#This Row],[Group]]=1,"Metro",IF(GroupPop2018[[#This Row],[Group]]=4,"Nowhere",IF(GroupPop2018[[#This Row],[Group]]=3,"Remote",IF(GroupPop2018[[#This Row],[County]]="Marion","Marion County","Transported to Metro"))))</f>
        <v>Transported to Metro</v>
      </c>
      <c r="O30" s="95"/>
      <c r="P30" s="100">
        <f>GroupPop2018[[#This Row],[Pop2018]]*(1+SUMIFS(Growth[GrowthRate],Growth[Grouping_ID],GroupPop2018[[#This Row],[Group]]))</f>
        <v>8462.4074156475308</v>
      </c>
    </row>
    <row r="31" spans="2:16" x14ac:dyDescent="0.2">
      <c r="B31" s="95" t="s">
        <v>267</v>
      </c>
      <c r="C31" s="95" t="s">
        <v>270</v>
      </c>
      <c r="D31" s="95" t="s">
        <v>271</v>
      </c>
      <c r="E31" s="95" t="s">
        <v>258</v>
      </c>
      <c r="F31" s="95" t="s">
        <v>270</v>
      </c>
      <c r="G31" s="95" t="s">
        <v>127</v>
      </c>
      <c r="H31" s="95" t="s">
        <v>259</v>
      </c>
      <c r="I31" s="132">
        <v>15894</v>
      </c>
      <c r="J31" s="95">
        <v>4</v>
      </c>
      <c r="K31" s="95">
        <f t="shared" si="0"/>
        <v>0</v>
      </c>
      <c r="L31" s="95" t="str">
        <f>IFERROR(VLOOKUP(GroupPop2018[[#This Row],[Group]],Grouping[#All],2,0),"Unknown")</f>
        <v>4 - Areas without curbside</v>
      </c>
      <c r="M31" s="95" t="str">
        <f>INDEX(Frequency[Collection_Frequency],MATCH(GroupPop2018[[#This Row],[FreqCode]],Frequency[Orig_Frequency_ID],0))</f>
        <v>No collection</v>
      </c>
      <c r="N31" s="95" t="str">
        <f>IF(GroupPop2018[[#This Row],[Group]]=1,"Metro",IF(GroupPop2018[[#This Row],[Group]]=4,"Nowhere",IF(GroupPop2018[[#This Row],[Group]]=3,"Remote",IF(GroupPop2018[[#This Row],[County]]="Marion","Marion County","Transported to Metro"))))</f>
        <v>Nowhere</v>
      </c>
      <c r="O31" s="95">
        <v>2</v>
      </c>
      <c r="P31" s="100">
        <f>GroupPop2018[[#This Row],[Pop2018]]*(1+SUMIFS(Growth[GrowthRate],Growth[Grouping_ID],GroupPop2018[[#This Row],[Group]]))</f>
        <v>17059.288812196879</v>
      </c>
    </row>
    <row r="32" spans="2:16" x14ac:dyDescent="0.2">
      <c r="B32" s="95" t="s">
        <v>267</v>
      </c>
      <c r="C32" s="95" t="s">
        <v>272</v>
      </c>
      <c r="D32" s="95" t="s">
        <v>271</v>
      </c>
      <c r="E32" s="95" t="s">
        <v>258</v>
      </c>
      <c r="F32" s="95" t="s">
        <v>272</v>
      </c>
      <c r="G32" s="95" t="s">
        <v>53</v>
      </c>
      <c r="H32" s="95" t="s">
        <v>259</v>
      </c>
      <c r="I32" s="132">
        <v>1000</v>
      </c>
      <c r="J32" s="95">
        <v>2</v>
      </c>
      <c r="K32" s="95">
        <f t="shared" si="0"/>
        <v>0</v>
      </c>
      <c r="L32" s="95" t="str">
        <f>IFERROR(VLOOKUP(GroupPop2018[[#This Row],[Group]],Grouping[#All],2,0),"Unknown")</f>
        <v>2 - Willamette Valley, etc.</v>
      </c>
      <c r="M32" s="95" t="str">
        <f>INDEX(Frequency[Collection_Frequency],MATCH(GroupPop2018[[#This Row],[FreqCode]],Frequency[Orig_Frequency_ID],0))</f>
        <v>Every other week</v>
      </c>
      <c r="N32" s="95" t="str">
        <f>IF(GroupPop2018[[#This Row],[Group]]=1,"Metro",IF(GroupPop2018[[#This Row],[Group]]=4,"Nowhere",IF(GroupPop2018[[#This Row],[Group]]=3,"Remote",IF(GroupPop2018[[#This Row],[County]]="Marion","Marion County","Transported to Metro"))))</f>
        <v>Transported to Metro</v>
      </c>
      <c r="O32" s="95">
        <v>1</v>
      </c>
      <c r="P32" s="100">
        <f>GroupPop2018[[#This Row],[Pop2018]]*(1+SUMIFS(Growth[GrowthRate],Growth[Grouping_ID],GroupPop2018[[#This Row],[Group]]))</f>
        <v>1065.1236520638804</v>
      </c>
    </row>
    <row r="33" spans="2:16" x14ac:dyDescent="0.2">
      <c r="B33" s="95" t="s">
        <v>267</v>
      </c>
      <c r="C33" s="95" t="s">
        <v>273</v>
      </c>
      <c r="D33" s="95" t="s">
        <v>273</v>
      </c>
      <c r="E33" s="95" t="s">
        <v>253</v>
      </c>
      <c r="F33" s="95" t="s">
        <v>273</v>
      </c>
      <c r="G33" s="95" t="s">
        <v>64</v>
      </c>
      <c r="H33" s="95" t="s">
        <v>254</v>
      </c>
      <c r="I33" s="132">
        <v>59280</v>
      </c>
      <c r="J33" s="95">
        <v>2</v>
      </c>
      <c r="K33" s="95">
        <f t="shared" si="0"/>
        <v>0</v>
      </c>
      <c r="L33" s="95" t="str">
        <f>IFERROR(VLOOKUP(GroupPop2018[[#This Row],[Group]],Grouping[#All],2,0),"Unknown")</f>
        <v>2 - Willamette Valley, etc.</v>
      </c>
      <c r="M33" s="95" t="str">
        <f>INDEX(Frequency[Collection_Frequency],MATCH(GroupPop2018[[#This Row],[FreqCode]],Frequency[Orig_Frequency_ID],0))</f>
        <v>Weekly</v>
      </c>
      <c r="N33" s="95" t="str">
        <f>IF(GroupPop2018[[#This Row],[Group]]=1,"Metro",IF(GroupPop2018[[#This Row],[Group]]=4,"Nowhere",IF(GroupPop2018[[#This Row],[Group]]=3,"Remote",IF(GroupPop2018[[#This Row],[County]]="Marion","Marion County","Transported to Metro"))))</f>
        <v>Transported to Metro</v>
      </c>
      <c r="O33" s="95"/>
      <c r="P33" s="100">
        <f>GroupPop2018[[#This Row],[Pop2018]]*(1+SUMIFS(Growth[GrowthRate],Growth[Grouping_ID],GroupPop2018[[#This Row],[Group]]))</f>
        <v>63140.530094346832</v>
      </c>
    </row>
    <row r="34" spans="2:16" x14ac:dyDescent="0.2">
      <c r="B34" s="95" t="s">
        <v>267</v>
      </c>
      <c r="C34" s="95" t="s">
        <v>273</v>
      </c>
      <c r="D34" s="95" t="s">
        <v>273</v>
      </c>
      <c r="E34" s="95" t="s">
        <v>255</v>
      </c>
      <c r="F34" s="95" t="s">
        <v>274</v>
      </c>
      <c r="G34" s="95" t="s">
        <v>64</v>
      </c>
      <c r="H34" s="95" t="s">
        <v>254</v>
      </c>
      <c r="I34" s="132">
        <v>2886</v>
      </c>
      <c r="J34" s="95">
        <v>2</v>
      </c>
      <c r="K34" s="95">
        <f t="shared" si="0"/>
        <v>0</v>
      </c>
      <c r="L34" s="95" t="str">
        <f>IFERROR(VLOOKUP(GroupPop2018[[#This Row],[Group]],Grouping[#All],2,0),"Unknown")</f>
        <v>2 - Willamette Valley, etc.</v>
      </c>
      <c r="M34" s="95" t="str">
        <f>INDEX(Frequency[Collection_Frequency],MATCH(GroupPop2018[[#This Row],[FreqCode]],Frequency[Orig_Frequency_ID],0))</f>
        <v>Weekly</v>
      </c>
      <c r="N34" s="95" t="str">
        <f>IF(GroupPop2018[[#This Row],[Group]]=1,"Metro",IF(GroupPop2018[[#This Row],[Group]]=4,"Nowhere",IF(GroupPop2018[[#This Row],[Group]]=3,"Remote",IF(GroupPop2018[[#This Row],[County]]="Marion","Marion County","Transported to Metro"))))</f>
        <v>Transported to Metro</v>
      </c>
      <c r="O34" s="95"/>
      <c r="P34" s="100">
        <f>GroupPop2018[[#This Row],[Pop2018]]*(1+SUMIFS(Growth[GrowthRate],Growth[Grouping_ID],GroupPop2018[[#This Row],[Group]]))</f>
        <v>3073.946859856359</v>
      </c>
    </row>
    <row r="35" spans="2:16" x14ac:dyDescent="0.2">
      <c r="B35" s="95" t="s">
        <v>267</v>
      </c>
      <c r="C35" s="95" t="s">
        <v>275</v>
      </c>
      <c r="D35" s="95" t="s">
        <v>275</v>
      </c>
      <c r="E35" s="95" t="s">
        <v>253</v>
      </c>
      <c r="F35" s="95" t="s">
        <v>275</v>
      </c>
      <c r="G35" s="95" t="s">
        <v>67</v>
      </c>
      <c r="H35" s="95" t="s">
        <v>259</v>
      </c>
      <c r="I35" s="132">
        <v>625</v>
      </c>
      <c r="J35" s="95">
        <v>3</v>
      </c>
      <c r="K35" s="95">
        <f t="shared" si="0"/>
        <v>0</v>
      </c>
      <c r="L35" s="95" t="str">
        <f>IFERROR(VLOOKUP(GroupPop2018[[#This Row],[Group]],Grouping[#All],2,0),"Unknown")</f>
        <v>3 - Other areas with curbside</v>
      </c>
      <c r="M35" s="95" t="str">
        <f>INDEX(Frequency[Collection_Frequency],MATCH(GroupPop2018[[#This Row],[FreqCode]],Frequency[Orig_Frequency_ID],0))</f>
        <v>Monthly</v>
      </c>
      <c r="N35" s="95" t="str">
        <f>IF(GroupPop2018[[#This Row],[Group]]=1,"Metro",IF(GroupPop2018[[#This Row],[Group]]=4,"Nowhere",IF(GroupPop2018[[#This Row],[Group]]=3,"Remote",IF(GroupPop2018[[#This Row],[County]]="Marion","Marion County","Transported to Metro"))))</f>
        <v>Remote</v>
      </c>
      <c r="O35" s="95"/>
      <c r="P35" s="100">
        <f>GroupPop2018[[#This Row],[Pop2018]]*(1+SUMIFS(Growth[GrowthRate],Growth[Grouping_ID],GroupPop2018[[#This Row],[Group]]))</f>
        <v>670.82266941129035</v>
      </c>
    </row>
    <row r="36" spans="2:16" x14ac:dyDescent="0.2">
      <c r="B36" s="95" t="s">
        <v>267</v>
      </c>
      <c r="C36" s="95" t="s">
        <v>276</v>
      </c>
      <c r="D36" s="95" t="s">
        <v>276</v>
      </c>
      <c r="E36" s="95" t="s">
        <v>253</v>
      </c>
      <c r="F36" s="95" t="s">
        <v>276</v>
      </c>
      <c r="G36" s="95" t="s">
        <v>64</v>
      </c>
      <c r="H36" s="95" t="s">
        <v>254</v>
      </c>
      <c r="I36" s="132">
        <v>4715</v>
      </c>
      <c r="J36" s="95">
        <v>2</v>
      </c>
      <c r="K36" s="95">
        <f t="shared" si="0"/>
        <v>0</v>
      </c>
      <c r="L36" s="95" t="str">
        <f>IFERROR(VLOOKUP(GroupPop2018[[#This Row],[Group]],Grouping[#All],2,0),"Unknown")</f>
        <v>2 - Willamette Valley, etc.</v>
      </c>
      <c r="M36" s="95" t="str">
        <f>INDEX(Frequency[Collection_Frequency],MATCH(GroupPop2018[[#This Row],[FreqCode]],Frequency[Orig_Frequency_ID],0))</f>
        <v>Weekly</v>
      </c>
      <c r="N36" s="95" t="str">
        <f>IF(GroupPop2018[[#This Row],[Group]]=1,"Metro",IF(GroupPop2018[[#This Row],[Group]]=4,"Nowhere",IF(GroupPop2018[[#This Row],[Group]]=3,"Remote",IF(GroupPop2018[[#This Row],[County]]="Marion","Marion County","Transported to Metro"))))</f>
        <v>Transported to Metro</v>
      </c>
      <c r="O36" s="95"/>
      <c r="P36" s="100">
        <f>GroupPop2018[[#This Row],[Pop2018]]*(1+SUMIFS(Growth[GrowthRate],Growth[Grouping_ID],GroupPop2018[[#This Row],[Group]]))</f>
        <v>5022.0580194811964</v>
      </c>
    </row>
    <row r="37" spans="2:16" x14ac:dyDescent="0.2">
      <c r="B37" s="95" t="s">
        <v>267</v>
      </c>
      <c r="C37" s="95" t="s">
        <v>276</v>
      </c>
      <c r="D37" s="95" t="s">
        <v>276</v>
      </c>
      <c r="E37" s="95" t="s">
        <v>255</v>
      </c>
      <c r="F37" s="95" t="s">
        <v>277</v>
      </c>
      <c r="G37" s="95" t="s">
        <v>64</v>
      </c>
      <c r="H37" s="95" t="s">
        <v>254</v>
      </c>
      <c r="I37" s="132">
        <v>385</v>
      </c>
      <c r="J37" s="95">
        <v>2</v>
      </c>
      <c r="K37" s="95">
        <f t="shared" si="0"/>
        <v>0</v>
      </c>
      <c r="L37" s="95" t="str">
        <f>IFERROR(VLOOKUP(GroupPop2018[[#This Row],[Group]],Grouping[#All],2,0),"Unknown")</f>
        <v>2 - Willamette Valley, etc.</v>
      </c>
      <c r="M37" s="95" t="str">
        <f>INDEX(Frequency[Collection_Frequency],MATCH(GroupPop2018[[#This Row],[FreqCode]],Frequency[Orig_Frequency_ID],0))</f>
        <v>Weekly</v>
      </c>
      <c r="N37" s="95" t="str">
        <f>IF(GroupPop2018[[#This Row],[Group]]=1,"Metro",IF(GroupPop2018[[#This Row],[Group]]=4,"Nowhere",IF(GroupPop2018[[#This Row],[Group]]=3,"Remote",IF(GroupPop2018[[#This Row],[County]]="Marion","Marion County","Transported to Metro"))))</f>
        <v>Transported to Metro</v>
      </c>
      <c r="O37" s="95"/>
      <c r="P37" s="100">
        <f>GroupPop2018[[#This Row],[Pop2018]]*(1+SUMIFS(Growth[GrowthRate],Growth[Grouping_ID],GroupPop2018[[#This Row],[Group]]))</f>
        <v>410.07260604459401</v>
      </c>
    </row>
    <row r="38" spans="2:16" x14ac:dyDescent="0.2">
      <c r="B38" s="95" t="s">
        <v>278</v>
      </c>
      <c r="C38" s="95" t="s">
        <v>279</v>
      </c>
      <c r="D38" s="95" t="s">
        <v>279</v>
      </c>
      <c r="E38" s="95" t="s">
        <v>253</v>
      </c>
      <c r="F38" s="95" t="s">
        <v>279</v>
      </c>
      <c r="G38" s="95" t="s">
        <v>64</v>
      </c>
      <c r="H38" s="95" t="s">
        <v>259</v>
      </c>
      <c r="I38" s="132">
        <v>135</v>
      </c>
      <c r="J38" s="95">
        <v>2</v>
      </c>
      <c r="K38" s="95">
        <f t="shared" si="0"/>
        <v>0</v>
      </c>
      <c r="L38" s="95" t="str">
        <f>IFERROR(VLOOKUP(GroupPop2018[[#This Row],[Group]],Grouping[#All],2,0),"Unknown")</f>
        <v>2 - Willamette Valley, etc.</v>
      </c>
      <c r="M38" s="95" t="str">
        <f>INDEX(Frequency[Collection_Frequency],MATCH(GroupPop2018[[#This Row],[FreqCode]],Frequency[Orig_Frequency_ID],0))</f>
        <v>Weekly</v>
      </c>
      <c r="N38" s="95" t="str">
        <f>IF(GroupPop2018[[#This Row],[Group]]=1,"Metro",IF(GroupPop2018[[#This Row],[Group]]=4,"Nowhere",IF(GroupPop2018[[#This Row],[Group]]=3,"Remote",IF(GroupPop2018[[#This Row],[County]]="Marion","Marion County","Transported to Metro"))))</f>
        <v>Transported to Metro</v>
      </c>
      <c r="O38" s="95"/>
      <c r="P38" s="100">
        <f>GroupPop2018[[#This Row],[Pop2018]]*(1+SUMIFS(Growth[GrowthRate],Growth[Grouping_ID],GroupPop2018[[#This Row],[Group]]))</f>
        <v>143.79169302862385</v>
      </c>
    </row>
    <row r="39" spans="2:16" x14ac:dyDescent="0.2">
      <c r="B39" s="95" t="s">
        <v>278</v>
      </c>
      <c r="C39" s="95" t="s">
        <v>280</v>
      </c>
      <c r="D39" s="95" t="s">
        <v>280</v>
      </c>
      <c r="E39" s="95" t="s">
        <v>253</v>
      </c>
      <c r="F39" s="95" t="s">
        <v>280</v>
      </c>
      <c r="G39" s="95" t="s">
        <v>64</v>
      </c>
      <c r="H39" s="95" t="s">
        <v>254</v>
      </c>
      <c r="I39" s="132">
        <v>16800</v>
      </c>
      <c r="J39" s="95">
        <v>2</v>
      </c>
      <c r="K39" s="95">
        <f t="shared" si="0"/>
        <v>0</v>
      </c>
      <c r="L39" s="95" t="str">
        <f>IFERROR(VLOOKUP(GroupPop2018[[#This Row],[Group]],Grouping[#All],2,0),"Unknown")</f>
        <v>2 - Willamette Valley, etc.</v>
      </c>
      <c r="M39" s="95" t="str">
        <f>INDEX(Frequency[Collection_Frequency],MATCH(GroupPop2018[[#This Row],[FreqCode]],Frequency[Orig_Frequency_ID],0))</f>
        <v>Weekly</v>
      </c>
      <c r="N39" s="95" t="str">
        <f>IF(GroupPop2018[[#This Row],[Group]]=1,"Metro",IF(GroupPop2018[[#This Row],[Group]]=4,"Nowhere",IF(GroupPop2018[[#This Row],[Group]]=3,"Remote",IF(GroupPop2018[[#This Row],[County]]="Marion","Marion County","Transported to Metro"))))</f>
        <v>Transported to Metro</v>
      </c>
      <c r="O39" s="95"/>
      <c r="P39" s="100">
        <f>GroupPop2018[[#This Row],[Pop2018]]*(1+SUMIFS(Growth[GrowthRate],Growth[Grouping_ID],GroupPop2018[[#This Row],[Group]]))</f>
        <v>17894.077354673191</v>
      </c>
    </row>
    <row r="40" spans="2:16" x14ac:dyDescent="0.2">
      <c r="B40" s="95" t="s">
        <v>278</v>
      </c>
      <c r="C40" s="95" t="s">
        <v>280</v>
      </c>
      <c r="D40" s="95" t="s">
        <v>280</v>
      </c>
      <c r="E40" s="95" t="s">
        <v>255</v>
      </c>
      <c r="F40" s="95" t="s">
        <v>281</v>
      </c>
      <c r="G40" s="95" t="s">
        <v>64</v>
      </c>
      <c r="H40" s="95" t="s">
        <v>254</v>
      </c>
      <c r="I40" s="132">
        <v>9</v>
      </c>
      <c r="J40" s="95">
        <v>2</v>
      </c>
      <c r="K40" s="95">
        <f t="shared" si="0"/>
        <v>0</v>
      </c>
      <c r="L40" s="95" t="str">
        <f>IFERROR(VLOOKUP(GroupPop2018[[#This Row],[Group]],Grouping[#All],2,0),"Unknown")</f>
        <v>2 - Willamette Valley, etc.</v>
      </c>
      <c r="M40" s="95" t="str">
        <f>INDEX(Frequency[Collection_Frequency],MATCH(GroupPop2018[[#This Row],[FreqCode]],Frequency[Orig_Frequency_ID],0))</f>
        <v>Weekly</v>
      </c>
      <c r="N40" s="95" t="str">
        <f>IF(GroupPop2018[[#This Row],[Group]]=1,"Metro",IF(GroupPop2018[[#This Row],[Group]]=4,"Nowhere",IF(GroupPop2018[[#This Row],[Group]]=3,"Remote",IF(GroupPop2018[[#This Row],[County]]="Marion","Marion County","Transported to Metro"))))</f>
        <v>Transported to Metro</v>
      </c>
      <c r="O40" s="95"/>
      <c r="P40" s="100">
        <f>GroupPop2018[[#This Row],[Pop2018]]*(1+SUMIFS(Growth[GrowthRate],Growth[Grouping_ID],GroupPop2018[[#This Row],[Group]]))</f>
        <v>9.586112868574924</v>
      </c>
    </row>
    <row r="41" spans="2:16" x14ac:dyDescent="0.2">
      <c r="B41" s="95" t="s">
        <v>278</v>
      </c>
      <c r="C41" s="95" t="s">
        <v>282</v>
      </c>
      <c r="D41" s="95" t="s">
        <v>283</v>
      </c>
      <c r="E41" s="95" t="s">
        <v>255</v>
      </c>
      <c r="F41" s="95" t="s">
        <v>284</v>
      </c>
      <c r="G41" s="95" t="s">
        <v>64</v>
      </c>
      <c r="H41" s="95" t="s">
        <v>254</v>
      </c>
      <c r="I41" s="132">
        <v>102640</v>
      </c>
      <c r="J41" s="95">
        <v>1</v>
      </c>
      <c r="K41" s="95">
        <f t="shared" si="0"/>
        <v>0</v>
      </c>
      <c r="L41" s="95" t="str">
        <f>IFERROR(VLOOKUP(GroupPop2018[[#This Row],[Group]],Grouping[#All],2,0),"Unknown")</f>
        <v>1 - Metro area</v>
      </c>
      <c r="M41" s="95" t="str">
        <f>INDEX(Frequency[Collection_Frequency],MATCH(GroupPop2018[[#This Row],[FreqCode]],Frequency[Orig_Frequency_ID],0))</f>
        <v>Weekly</v>
      </c>
      <c r="N41" s="95" t="str">
        <f>IF(GroupPop2018[[#This Row],[Group]]=1,"Metro",IF(GroupPop2018[[#This Row],[Group]]=4,"Nowhere",IF(GroupPop2018[[#This Row],[Group]]=3,"Remote",IF(GroupPop2018[[#This Row],[County]]="Marion","Marion County","Transported to Metro"))))</f>
        <v>Metro</v>
      </c>
      <c r="O41" s="95"/>
      <c r="P41" s="100">
        <f>GroupPop2018[[#This Row],[Pop2018]]*(1+SUMIFS(Growth[GrowthRate],Growth[Grouping_ID],GroupPop2018[[#This Row],[Group]]))</f>
        <v>111437.49103455401</v>
      </c>
    </row>
    <row r="42" spans="2:16" x14ac:dyDescent="0.2">
      <c r="B42" s="95" t="s">
        <v>278</v>
      </c>
      <c r="C42" s="95" t="s">
        <v>285</v>
      </c>
      <c r="D42" s="95" t="s">
        <v>286</v>
      </c>
      <c r="E42" s="95" t="s">
        <v>258</v>
      </c>
      <c r="F42" s="95" t="s">
        <v>287</v>
      </c>
      <c r="G42" s="95" t="s">
        <v>127</v>
      </c>
      <c r="H42" s="95" t="s">
        <v>259</v>
      </c>
      <c r="I42" s="132">
        <v>1000</v>
      </c>
      <c r="J42" s="95">
        <v>4</v>
      </c>
      <c r="K42" s="95">
        <f t="shared" si="0"/>
        <v>0</v>
      </c>
      <c r="L42" s="95" t="str">
        <f>IFERROR(VLOOKUP(GroupPop2018[[#This Row],[Group]],Grouping[#All],2,0),"Unknown")</f>
        <v>4 - Areas without curbside</v>
      </c>
      <c r="M42" s="95" t="str">
        <f>INDEX(Frequency[Collection_Frequency],MATCH(GroupPop2018[[#This Row],[FreqCode]],Frequency[Orig_Frequency_ID],0))</f>
        <v>No collection</v>
      </c>
      <c r="N42" s="95" t="str">
        <f>IF(GroupPop2018[[#This Row],[Group]]=1,"Metro",IF(GroupPop2018[[#This Row],[Group]]=4,"Nowhere",IF(GroupPop2018[[#This Row],[Group]]=3,"Remote",IF(GroupPop2018[[#This Row],[County]]="Marion","Marion County","Transported to Metro"))))</f>
        <v>Nowhere</v>
      </c>
      <c r="O42" s="95">
        <v>1</v>
      </c>
      <c r="P42" s="100">
        <f>GroupPop2018[[#This Row],[Pop2018]]*(1+SUMIFS(Growth[GrowthRate],Growth[Grouping_ID],GroupPop2018[[#This Row],[Group]]))</f>
        <v>1073.3162710580646</v>
      </c>
    </row>
    <row r="43" spans="2:16" x14ac:dyDescent="0.2">
      <c r="B43" s="95" t="s">
        <v>278</v>
      </c>
      <c r="C43" s="95" t="s">
        <v>288</v>
      </c>
      <c r="D43" s="95" t="s">
        <v>286</v>
      </c>
      <c r="E43" s="95" t="s">
        <v>258</v>
      </c>
      <c r="F43" s="95" t="s">
        <v>289</v>
      </c>
      <c r="G43" s="95" t="s">
        <v>64</v>
      </c>
      <c r="H43" s="95" t="s">
        <v>259</v>
      </c>
      <c r="I43" s="132">
        <v>98067</v>
      </c>
      <c r="J43" s="95">
        <v>2</v>
      </c>
      <c r="K43" s="95">
        <f t="shared" si="0"/>
        <v>0</v>
      </c>
      <c r="L43" s="95" t="str">
        <f>IFERROR(VLOOKUP(GroupPop2018[[#This Row],[Group]],Grouping[#All],2,0),"Unknown")</f>
        <v>2 - Willamette Valley, etc.</v>
      </c>
      <c r="M43" s="95" t="str">
        <f>INDEX(Frequency[Collection_Frequency],MATCH(GroupPop2018[[#This Row],[FreqCode]],Frequency[Orig_Frequency_ID],0))</f>
        <v>Weekly</v>
      </c>
      <c r="N43" s="95" t="str">
        <f>IF(GroupPop2018[[#This Row],[Group]]=1,"Metro",IF(GroupPop2018[[#This Row],[Group]]=4,"Nowhere",IF(GroupPop2018[[#This Row],[Group]]=3,"Remote",IF(GroupPop2018[[#This Row],[County]]="Marion","Marion County","Transported to Metro"))))</f>
        <v>Transported to Metro</v>
      </c>
      <c r="O43" s="95">
        <v>2</v>
      </c>
      <c r="P43" s="100">
        <f>GroupPop2018[[#This Row],[Pop2018]]*(1+SUMIFS(Growth[GrowthRate],Growth[Grouping_ID],GroupPop2018[[#This Row],[Group]]))</f>
        <v>104453.48118694857</v>
      </c>
    </row>
    <row r="44" spans="2:16" x14ac:dyDescent="0.2">
      <c r="B44" s="95" t="s">
        <v>278</v>
      </c>
      <c r="C44" s="95" t="s">
        <v>290</v>
      </c>
      <c r="D44" s="95" t="s">
        <v>290</v>
      </c>
      <c r="E44" s="95" t="s">
        <v>253</v>
      </c>
      <c r="F44" s="95" t="s">
        <v>290</v>
      </c>
      <c r="G44" s="95" t="s">
        <v>64</v>
      </c>
      <c r="H44" s="95" t="s">
        <v>259</v>
      </c>
      <c r="I44" s="132">
        <v>3400</v>
      </c>
      <c r="J44" s="95">
        <v>2</v>
      </c>
      <c r="K44" s="95">
        <f t="shared" si="0"/>
        <v>0</v>
      </c>
      <c r="L44" s="95" t="str">
        <f>IFERROR(VLOOKUP(GroupPop2018[[#This Row],[Group]],Grouping[#All],2,0),"Unknown")</f>
        <v>2 - Willamette Valley, etc.</v>
      </c>
      <c r="M44" s="95" t="str">
        <f>INDEX(Frequency[Collection_Frequency],MATCH(GroupPop2018[[#This Row],[FreqCode]],Frequency[Orig_Frequency_ID],0))</f>
        <v>Weekly</v>
      </c>
      <c r="N44" s="95" t="str">
        <f>IF(GroupPop2018[[#This Row],[Group]]=1,"Metro",IF(GroupPop2018[[#This Row],[Group]]=4,"Nowhere",IF(GroupPop2018[[#This Row],[Group]]=3,"Remote",IF(GroupPop2018[[#This Row],[County]]="Marion","Marion County","Transported to Metro"))))</f>
        <v>Transported to Metro</v>
      </c>
      <c r="O44" s="95"/>
      <c r="P44" s="100">
        <f>GroupPop2018[[#This Row],[Pop2018]]*(1+SUMIFS(Growth[GrowthRate],Growth[Grouping_ID],GroupPop2018[[#This Row],[Group]]))</f>
        <v>3621.4204170171938</v>
      </c>
    </row>
    <row r="45" spans="2:16" x14ac:dyDescent="0.2">
      <c r="B45" s="95" t="s">
        <v>278</v>
      </c>
      <c r="C45" s="95" t="s">
        <v>291</v>
      </c>
      <c r="D45" s="95" t="s">
        <v>291</v>
      </c>
      <c r="E45" s="95" t="s">
        <v>253</v>
      </c>
      <c r="F45" s="95" t="s">
        <v>291</v>
      </c>
      <c r="G45" s="95" t="s">
        <v>64</v>
      </c>
      <c r="H45" s="95" t="s">
        <v>254</v>
      </c>
      <c r="I45" s="132">
        <v>11880</v>
      </c>
      <c r="J45" s="95">
        <v>1</v>
      </c>
      <c r="K45" s="95">
        <f t="shared" si="0"/>
        <v>0</v>
      </c>
      <c r="L45" s="95" t="str">
        <f>IFERROR(VLOOKUP(GroupPop2018[[#This Row],[Group]],Grouping[#All],2,0),"Unknown")</f>
        <v>1 - Metro area</v>
      </c>
      <c r="M45" s="95" t="str">
        <f>INDEX(Frequency[Collection_Frequency],MATCH(GroupPop2018[[#This Row],[FreqCode]],Frequency[Orig_Frequency_ID],0))</f>
        <v>Weekly</v>
      </c>
      <c r="N45" s="95" t="str">
        <f>IF(GroupPop2018[[#This Row],[Group]]=1,"Metro",IF(GroupPop2018[[#This Row],[Group]]=4,"Nowhere",IF(GroupPop2018[[#This Row],[Group]]=3,"Remote",IF(GroupPop2018[[#This Row],[County]]="Marion","Marion County","Transported to Metro"))))</f>
        <v>Metro</v>
      </c>
      <c r="O45" s="95"/>
      <c r="P45" s="100">
        <f>GroupPop2018[[#This Row],[Pop2018]]*(1+SUMIFS(Growth[GrowthRate],Growth[Grouping_ID],GroupPop2018[[#This Row],[Group]]))</f>
        <v>12898.259874225465</v>
      </c>
    </row>
    <row r="46" spans="2:16" x14ac:dyDescent="0.2">
      <c r="B46" s="95" t="s">
        <v>278</v>
      </c>
      <c r="C46" s="95" t="s">
        <v>292</v>
      </c>
      <c r="D46" s="95" t="s">
        <v>292</v>
      </c>
      <c r="E46" s="95" t="s">
        <v>253</v>
      </c>
      <c r="F46" s="95" t="s">
        <v>292</v>
      </c>
      <c r="G46" s="95" t="s">
        <v>64</v>
      </c>
      <c r="H46" s="95" t="s">
        <v>254</v>
      </c>
      <c r="I46" s="132">
        <v>20945</v>
      </c>
      <c r="J46" s="95">
        <v>1</v>
      </c>
      <c r="K46" s="95">
        <f t="shared" si="0"/>
        <v>0</v>
      </c>
      <c r="L46" s="95" t="str">
        <f>IFERROR(VLOOKUP(GroupPop2018[[#This Row],[Group]],Grouping[#All],2,0),"Unknown")</f>
        <v>1 - Metro area</v>
      </c>
      <c r="M46" s="95" t="str">
        <f>INDEX(Frequency[Collection_Frequency],MATCH(GroupPop2018[[#This Row],[FreqCode]],Frequency[Orig_Frequency_ID],0))</f>
        <v>Weekly</v>
      </c>
      <c r="N46" s="95" t="str">
        <f>IF(GroupPop2018[[#This Row],[Group]]=1,"Metro",IF(GroupPop2018[[#This Row],[Group]]=4,"Nowhere",IF(GroupPop2018[[#This Row],[Group]]=3,"Remote",IF(GroupPop2018[[#This Row],[County]]="Marion","Marion County","Transported to Metro"))))</f>
        <v>Metro</v>
      </c>
      <c r="O46" s="95"/>
      <c r="P46" s="100">
        <f>GroupPop2018[[#This Row],[Pop2018]]*(1+SUMIFS(Growth[GrowthRate],Growth[Grouping_ID],GroupPop2018[[#This Row],[Group]]))</f>
        <v>22740.240157041444</v>
      </c>
    </row>
    <row r="47" spans="2:16" x14ac:dyDescent="0.2">
      <c r="B47" s="95" t="s">
        <v>278</v>
      </c>
      <c r="C47" s="95" t="s">
        <v>293</v>
      </c>
      <c r="D47" s="95" t="s">
        <v>293</v>
      </c>
      <c r="E47" s="95" t="s">
        <v>253</v>
      </c>
      <c r="F47" s="95" t="s">
        <v>293</v>
      </c>
      <c r="G47" s="95" t="s">
        <v>64</v>
      </c>
      <c r="H47" s="95" t="s">
        <v>254</v>
      </c>
      <c r="I47" s="132">
        <v>560</v>
      </c>
      <c r="J47" s="95">
        <v>1</v>
      </c>
      <c r="K47" s="95">
        <f t="shared" si="0"/>
        <v>0</v>
      </c>
      <c r="L47" s="95" t="str">
        <f>IFERROR(VLOOKUP(GroupPop2018[[#This Row],[Group]],Grouping[#All],2,0),"Unknown")</f>
        <v>1 - Metro area</v>
      </c>
      <c r="M47" s="95" t="str">
        <f>INDEX(Frequency[Collection_Frequency],MATCH(GroupPop2018[[#This Row],[FreqCode]],Frequency[Orig_Frequency_ID],0))</f>
        <v>Weekly</v>
      </c>
      <c r="N47" s="95" t="str">
        <f>IF(GroupPop2018[[#This Row],[Group]]=1,"Metro",IF(GroupPop2018[[#This Row],[Group]]=4,"Nowhere",IF(GroupPop2018[[#This Row],[Group]]=3,"Remote",IF(GroupPop2018[[#This Row],[County]]="Marion","Marion County","Transported to Metro"))))</f>
        <v>Metro</v>
      </c>
      <c r="O47" s="95"/>
      <c r="P47" s="100">
        <f>GroupPop2018[[#This Row],[Pop2018]]*(1+SUMIFS(Growth[GrowthRate],Growth[Grouping_ID],GroupPop2018[[#This Row],[Group]]))</f>
        <v>607.99878195002191</v>
      </c>
    </row>
    <row r="48" spans="2:16" x14ac:dyDescent="0.2">
      <c r="B48" s="95" t="s">
        <v>278</v>
      </c>
      <c r="C48" s="95" t="s">
        <v>294</v>
      </c>
      <c r="D48" s="95" t="s">
        <v>294</v>
      </c>
      <c r="E48" s="95" t="s">
        <v>253</v>
      </c>
      <c r="F48" s="95" t="s">
        <v>294</v>
      </c>
      <c r="G48" s="95" t="s">
        <v>64</v>
      </c>
      <c r="H48" s="95" t="s">
        <v>254</v>
      </c>
      <c r="I48" s="132">
        <v>35645</v>
      </c>
      <c r="J48" s="95">
        <v>1</v>
      </c>
      <c r="K48" s="95">
        <f t="shared" si="0"/>
        <v>0</v>
      </c>
      <c r="L48" s="95" t="str">
        <f>IFERROR(VLOOKUP(GroupPop2018[[#This Row],[Group]],Grouping[#All],2,0),"Unknown")</f>
        <v>1 - Metro area</v>
      </c>
      <c r="M48" s="95" t="str">
        <f>INDEX(Frequency[Collection_Frequency],MATCH(GroupPop2018[[#This Row],[FreqCode]],Frequency[Orig_Frequency_ID],0))</f>
        <v>Weekly</v>
      </c>
      <c r="N48" s="95" t="str">
        <f>IF(GroupPop2018[[#This Row],[Group]]=1,"Metro",IF(GroupPop2018[[#This Row],[Group]]=4,"Nowhere",IF(GroupPop2018[[#This Row],[Group]]=3,"Remote",IF(GroupPop2018[[#This Row],[County]]="Marion","Marion County","Transported to Metro"))))</f>
        <v>Metro</v>
      </c>
      <c r="O48" s="95"/>
      <c r="P48" s="100">
        <f>GroupPop2018[[#This Row],[Pop2018]]*(1+SUMIFS(Growth[GrowthRate],Growth[Grouping_ID],GroupPop2018[[#This Row],[Group]]))</f>
        <v>38700.208183229523</v>
      </c>
    </row>
    <row r="49" spans="2:16" x14ac:dyDescent="0.2">
      <c r="B49" s="95" t="s">
        <v>278</v>
      </c>
      <c r="C49" s="95" t="s">
        <v>295</v>
      </c>
      <c r="D49" s="95" t="s">
        <v>295</v>
      </c>
      <c r="E49" s="95" t="s">
        <v>253</v>
      </c>
      <c r="F49" s="95" t="s">
        <v>295</v>
      </c>
      <c r="G49" s="95" t="s">
        <v>64</v>
      </c>
      <c r="H49" s="95" t="s">
        <v>254</v>
      </c>
      <c r="I49" s="132">
        <v>20525</v>
      </c>
      <c r="J49" s="95">
        <v>1</v>
      </c>
      <c r="K49" s="95">
        <f t="shared" si="0"/>
        <v>0</v>
      </c>
      <c r="L49" s="95" t="str">
        <f>IFERROR(VLOOKUP(GroupPop2018[[#This Row],[Group]],Grouping[#All],2,0),"Unknown")</f>
        <v>1 - Metro area</v>
      </c>
      <c r="M49" s="95" t="str">
        <f>INDEX(Frequency[Collection_Frequency],MATCH(GroupPop2018[[#This Row],[FreqCode]],Frequency[Orig_Frequency_ID],0))</f>
        <v>Weekly</v>
      </c>
      <c r="N49" s="95" t="str">
        <f>IF(GroupPop2018[[#This Row],[Group]]=1,"Metro",IF(GroupPop2018[[#This Row],[Group]]=4,"Nowhere",IF(GroupPop2018[[#This Row],[Group]]=3,"Remote",IF(GroupPop2018[[#This Row],[County]]="Marion","Marion County","Transported to Metro"))))</f>
        <v>Metro</v>
      </c>
      <c r="O49" s="95"/>
      <c r="P49" s="100">
        <f>GroupPop2018[[#This Row],[Pop2018]]*(1+SUMIFS(Growth[GrowthRate],Growth[Grouping_ID],GroupPop2018[[#This Row],[Group]]))</f>
        <v>22284.24107057893</v>
      </c>
    </row>
    <row r="50" spans="2:16" x14ac:dyDescent="0.2">
      <c r="B50" s="95" t="s">
        <v>278</v>
      </c>
      <c r="C50" s="95" t="s">
        <v>296</v>
      </c>
      <c r="D50" s="95" t="s">
        <v>296</v>
      </c>
      <c r="E50" s="95" t="s">
        <v>253</v>
      </c>
      <c r="F50" s="95" t="s">
        <v>296</v>
      </c>
      <c r="G50" s="95" t="s">
        <v>64</v>
      </c>
      <c r="H50" s="95" t="s">
        <v>254</v>
      </c>
      <c r="I50" s="132">
        <v>9625</v>
      </c>
      <c r="J50" s="95">
        <v>2</v>
      </c>
      <c r="K50" s="95">
        <f t="shared" si="0"/>
        <v>0</v>
      </c>
      <c r="L50" s="95" t="str">
        <f>IFERROR(VLOOKUP(GroupPop2018[[#This Row],[Group]],Grouping[#All],2,0),"Unknown")</f>
        <v>2 - Willamette Valley, etc.</v>
      </c>
      <c r="M50" s="95" t="str">
        <f>INDEX(Frequency[Collection_Frequency],MATCH(GroupPop2018[[#This Row],[FreqCode]],Frequency[Orig_Frequency_ID],0))</f>
        <v>Weekly</v>
      </c>
      <c r="N50" s="95" t="str">
        <f>IF(GroupPop2018[[#This Row],[Group]]=1,"Metro",IF(GroupPop2018[[#This Row],[Group]]=4,"Nowhere",IF(GroupPop2018[[#This Row],[Group]]=3,"Remote",IF(GroupPop2018[[#This Row],[County]]="Marion","Marion County","Transported to Metro"))))</f>
        <v>Transported to Metro</v>
      </c>
      <c r="O50" s="95"/>
      <c r="P50" s="100">
        <f>GroupPop2018[[#This Row],[Pop2018]]*(1+SUMIFS(Growth[GrowthRate],Growth[Grouping_ID],GroupPop2018[[#This Row],[Group]]))</f>
        <v>10251.81515111485</v>
      </c>
    </row>
    <row r="51" spans="2:16" x14ac:dyDescent="0.2">
      <c r="B51" s="95" t="s">
        <v>278</v>
      </c>
      <c r="C51" s="95" t="s">
        <v>296</v>
      </c>
      <c r="D51" s="95" t="s">
        <v>296</v>
      </c>
      <c r="E51" s="95" t="s">
        <v>255</v>
      </c>
      <c r="F51" s="95" t="s">
        <v>297</v>
      </c>
      <c r="G51" s="95" t="s">
        <v>64</v>
      </c>
      <c r="H51" s="95" t="s">
        <v>254</v>
      </c>
      <c r="I51" s="132">
        <v>9</v>
      </c>
      <c r="J51" s="95">
        <v>2</v>
      </c>
      <c r="K51" s="95">
        <f t="shared" si="0"/>
        <v>0</v>
      </c>
      <c r="L51" s="95" t="str">
        <f>IFERROR(VLOOKUP(GroupPop2018[[#This Row],[Group]],Grouping[#All],2,0),"Unknown")</f>
        <v>2 - Willamette Valley, etc.</v>
      </c>
      <c r="M51" s="95" t="str">
        <f>INDEX(Frequency[Collection_Frequency],MATCH(GroupPop2018[[#This Row],[FreqCode]],Frequency[Orig_Frequency_ID],0))</f>
        <v>Weekly</v>
      </c>
      <c r="N51" s="95" t="str">
        <f>IF(GroupPop2018[[#This Row],[Group]]=1,"Metro",IF(GroupPop2018[[#This Row],[Group]]=4,"Nowhere",IF(GroupPop2018[[#This Row],[Group]]=3,"Remote",IF(GroupPop2018[[#This Row],[County]]="Marion","Marion County","Transported to Metro"))))</f>
        <v>Transported to Metro</v>
      </c>
      <c r="O51" s="95"/>
      <c r="P51" s="100">
        <f>GroupPop2018[[#This Row],[Pop2018]]*(1+SUMIFS(Growth[GrowthRate],Growth[Grouping_ID],GroupPop2018[[#This Row],[Group]]))</f>
        <v>9.586112868574924</v>
      </c>
    </row>
    <row r="52" spans="2:16" x14ac:dyDescent="0.2">
      <c r="B52" s="95" t="s">
        <v>278</v>
      </c>
      <c r="C52" s="95" t="s">
        <v>298</v>
      </c>
      <c r="D52" s="95" t="s">
        <v>298</v>
      </c>
      <c r="E52" s="95" t="s">
        <v>253</v>
      </c>
      <c r="F52" s="95" t="s">
        <v>298</v>
      </c>
      <c r="G52" s="95" t="s">
        <v>64</v>
      </c>
      <c r="H52" s="95" t="s">
        <v>254</v>
      </c>
      <c r="I52" s="132">
        <v>34860</v>
      </c>
      <c r="J52" s="95">
        <v>1</v>
      </c>
      <c r="K52" s="95">
        <f t="shared" si="0"/>
        <v>0</v>
      </c>
      <c r="L52" s="95" t="str">
        <f>IFERROR(VLOOKUP(GroupPop2018[[#This Row],[Group]],Grouping[#All],2,0),"Unknown")</f>
        <v>1 - Metro area</v>
      </c>
      <c r="M52" s="95" t="str">
        <f>INDEX(Frequency[Collection_Frequency],MATCH(GroupPop2018[[#This Row],[FreqCode]],Frequency[Orig_Frequency_ID],0))</f>
        <v>Weekly</v>
      </c>
      <c r="N52" s="95" t="str">
        <f>IF(GroupPop2018[[#This Row],[Group]]=1,"Metro",IF(GroupPop2018[[#This Row],[Group]]=4,"Nowhere",IF(GroupPop2018[[#This Row],[Group]]=3,"Remote",IF(GroupPop2018[[#This Row],[County]]="Marion","Marion County","Transported to Metro"))))</f>
        <v>Metro</v>
      </c>
      <c r="O52" s="95"/>
      <c r="P52" s="100">
        <f>GroupPop2018[[#This Row],[Pop2018]]*(1+SUMIFS(Growth[GrowthRate],Growth[Grouping_ID],GroupPop2018[[#This Row],[Group]]))</f>
        <v>37847.924176388864</v>
      </c>
    </row>
    <row r="53" spans="2:16" x14ac:dyDescent="0.2">
      <c r="B53" s="95" t="s">
        <v>278</v>
      </c>
      <c r="C53" s="95" t="s">
        <v>299</v>
      </c>
      <c r="D53" s="95" t="s">
        <v>299</v>
      </c>
      <c r="E53" s="95" t="s">
        <v>253</v>
      </c>
      <c r="F53" s="95" t="s">
        <v>299</v>
      </c>
      <c r="G53" s="95" t="s">
        <v>64</v>
      </c>
      <c r="H53" s="95" t="s">
        <v>254</v>
      </c>
      <c r="I53" s="132">
        <v>770</v>
      </c>
      <c r="J53" s="95">
        <v>1</v>
      </c>
      <c r="K53" s="95">
        <f t="shared" si="0"/>
        <v>0</v>
      </c>
      <c r="L53" s="95" t="str">
        <f>IFERROR(VLOOKUP(GroupPop2018[[#This Row],[Group]],Grouping[#All],2,0),"Unknown")</f>
        <v>1 - Metro area</v>
      </c>
      <c r="M53" s="95" t="str">
        <f>INDEX(Frequency[Collection_Frequency],MATCH(GroupPop2018[[#This Row],[FreqCode]],Frequency[Orig_Frequency_ID],0))</f>
        <v>Weekly</v>
      </c>
      <c r="N53" s="95" t="str">
        <f>IF(GroupPop2018[[#This Row],[Group]]=1,"Metro",IF(GroupPop2018[[#This Row],[Group]]=4,"Nowhere",IF(GroupPop2018[[#This Row],[Group]]=3,"Remote",IF(GroupPop2018[[#This Row],[County]]="Marion","Marion County","Transported to Metro"))))</f>
        <v>Metro</v>
      </c>
      <c r="O53" s="95"/>
      <c r="P53" s="100">
        <f>GroupPop2018[[#This Row],[Pop2018]]*(1+SUMIFS(Growth[GrowthRate],Growth[Grouping_ID],GroupPop2018[[#This Row],[Group]]))</f>
        <v>835.99832518128017</v>
      </c>
    </row>
    <row r="54" spans="2:16" x14ac:dyDescent="0.2">
      <c r="B54" s="95" t="s">
        <v>278</v>
      </c>
      <c r="C54" s="95" t="s">
        <v>300</v>
      </c>
      <c r="D54" s="95" t="s">
        <v>300</v>
      </c>
      <c r="E54" s="95" t="s">
        <v>253</v>
      </c>
      <c r="F54" s="95" t="s">
        <v>300</v>
      </c>
      <c r="G54" s="95" t="s">
        <v>64</v>
      </c>
      <c r="H54" s="95" t="s">
        <v>254</v>
      </c>
      <c r="I54" s="132">
        <v>470</v>
      </c>
      <c r="J54" s="95">
        <v>1</v>
      </c>
      <c r="K54" s="95">
        <f t="shared" si="0"/>
        <v>0</v>
      </c>
      <c r="L54" s="95" t="str">
        <f>IFERROR(VLOOKUP(GroupPop2018[[#This Row],[Group]],Grouping[#All],2,0),"Unknown")</f>
        <v>1 - Metro area</v>
      </c>
      <c r="M54" s="95" t="str">
        <f>INDEX(Frequency[Collection_Frequency],MATCH(GroupPop2018[[#This Row],[FreqCode]],Frequency[Orig_Frequency_ID],0))</f>
        <v>Weekly</v>
      </c>
      <c r="N54" s="95" t="str">
        <f>IF(GroupPop2018[[#This Row],[Group]]=1,"Metro",IF(GroupPop2018[[#This Row],[Group]]=4,"Nowhere",IF(GroupPop2018[[#This Row],[Group]]=3,"Remote",IF(GroupPop2018[[#This Row],[County]]="Marion","Marion County","Transported to Metro"))))</f>
        <v>Metro</v>
      </c>
      <c r="O54" s="95"/>
      <c r="P54" s="100">
        <f>GroupPop2018[[#This Row],[Pop2018]]*(1+SUMIFS(Growth[GrowthRate],Growth[Grouping_ID],GroupPop2018[[#This Row],[Group]]))</f>
        <v>510.28469199376838</v>
      </c>
    </row>
    <row r="55" spans="2:16" x14ac:dyDescent="0.2">
      <c r="B55" s="95" t="s">
        <v>278</v>
      </c>
      <c r="C55" s="95" t="s">
        <v>301</v>
      </c>
      <c r="D55" s="95" t="s">
        <v>301</v>
      </c>
      <c r="E55" s="95" t="s">
        <v>253</v>
      </c>
      <c r="F55" s="95" t="s">
        <v>301</v>
      </c>
      <c r="G55" s="95" t="s">
        <v>64</v>
      </c>
      <c r="H55" s="95" t="s">
        <v>254</v>
      </c>
      <c r="I55" s="132">
        <v>10990</v>
      </c>
      <c r="J55" s="95">
        <v>2</v>
      </c>
      <c r="K55" s="95">
        <f t="shared" si="0"/>
        <v>0</v>
      </c>
      <c r="L55" s="95" t="str">
        <f>IFERROR(VLOOKUP(GroupPop2018[[#This Row],[Group]],Grouping[#All],2,0),"Unknown")</f>
        <v>2 - Willamette Valley, etc.</v>
      </c>
      <c r="M55" s="95" t="str">
        <f>INDEX(Frequency[Collection_Frequency],MATCH(GroupPop2018[[#This Row],[FreqCode]],Frequency[Orig_Frequency_ID],0))</f>
        <v>Weekly</v>
      </c>
      <c r="N55" s="95" t="str">
        <f>IF(GroupPop2018[[#This Row],[Group]]=1,"Metro",IF(GroupPop2018[[#This Row],[Group]]=4,"Nowhere",IF(GroupPop2018[[#This Row],[Group]]=3,"Remote",IF(GroupPop2018[[#This Row],[County]]="Marion","Marion County","Transported to Metro"))))</f>
        <v>Transported to Metro</v>
      </c>
      <c r="O55" s="95"/>
      <c r="P55" s="100">
        <f>GroupPop2018[[#This Row],[Pop2018]]*(1+SUMIFS(Growth[GrowthRate],Growth[Grouping_ID],GroupPop2018[[#This Row],[Group]]))</f>
        <v>11705.708936182047</v>
      </c>
    </row>
    <row r="56" spans="2:16" x14ac:dyDescent="0.2">
      <c r="B56" s="95" t="s">
        <v>278</v>
      </c>
      <c r="C56" s="95" t="s">
        <v>301</v>
      </c>
      <c r="D56" s="95" t="s">
        <v>301</v>
      </c>
      <c r="E56" s="95" t="s">
        <v>255</v>
      </c>
      <c r="F56" s="95" t="s">
        <v>302</v>
      </c>
      <c r="G56" s="95" t="s">
        <v>64</v>
      </c>
      <c r="H56" s="95" t="s">
        <v>254</v>
      </c>
      <c r="I56" s="132">
        <v>9</v>
      </c>
      <c r="J56" s="95">
        <v>2</v>
      </c>
      <c r="K56" s="95">
        <f t="shared" si="0"/>
        <v>0</v>
      </c>
      <c r="L56" s="95" t="str">
        <f>IFERROR(VLOOKUP(GroupPop2018[[#This Row],[Group]],Grouping[#All],2,0),"Unknown")</f>
        <v>2 - Willamette Valley, etc.</v>
      </c>
      <c r="M56" s="95" t="str">
        <f>INDEX(Frequency[Collection_Frequency],MATCH(GroupPop2018[[#This Row],[FreqCode]],Frequency[Orig_Frequency_ID],0))</f>
        <v>Weekly</v>
      </c>
      <c r="N56" s="95" t="str">
        <f>IF(GroupPop2018[[#This Row],[Group]]=1,"Metro",IF(GroupPop2018[[#This Row],[Group]]=4,"Nowhere",IF(GroupPop2018[[#This Row],[Group]]=3,"Remote",IF(GroupPop2018[[#This Row],[County]]="Marion","Marion County","Transported to Metro"))))</f>
        <v>Transported to Metro</v>
      </c>
      <c r="O56" s="95"/>
      <c r="P56" s="100">
        <f>GroupPop2018[[#This Row],[Pop2018]]*(1+SUMIFS(Growth[GrowthRate],Growth[Grouping_ID],GroupPop2018[[#This Row],[Group]]))</f>
        <v>9.586112868574924</v>
      </c>
    </row>
    <row r="57" spans="2:16" x14ac:dyDescent="0.2">
      <c r="B57" s="95" t="s">
        <v>278</v>
      </c>
      <c r="C57" s="95" t="s">
        <v>303</v>
      </c>
      <c r="D57" s="95" t="s">
        <v>303</v>
      </c>
      <c r="E57" s="95" t="s">
        <v>253</v>
      </c>
      <c r="F57" s="95" t="s">
        <v>303</v>
      </c>
      <c r="G57" s="95" t="s">
        <v>64</v>
      </c>
      <c r="H57" s="95" t="s">
        <v>254</v>
      </c>
      <c r="I57" s="132">
        <v>2925</v>
      </c>
      <c r="J57" s="95">
        <v>1</v>
      </c>
      <c r="K57" s="95">
        <f t="shared" si="0"/>
        <v>0</v>
      </c>
      <c r="L57" s="95" t="str">
        <f>IFERROR(VLOOKUP(GroupPop2018[[#This Row],[Group]],Grouping[#All],2,0),"Unknown")</f>
        <v>1 - Metro area</v>
      </c>
      <c r="M57" s="95" t="str">
        <f>INDEX(Frequency[Collection_Frequency],MATCH(GroupPop2018[[#This Row],[FreqCode]],Frequency[Orig_Frequency_ID],0))</f>
        <v>Weekly</v>
      </c>
      <c r="N57" s="95" t="str">
        <f>IF(GroupPop2018[[#This Row],[Group]]=1,"Metro",IF(GroupPop2018[[#This Row],[Group]]=4,"Nowhere",IF(GroupPop2018[[#This Row],[Group]]=3,"Remote",IF(GroupPop2018[[#This Row],[County]]="Marion","Marion County","Transported to Metro"))))</f>
        <v>Metro</v>
      </c>
      <c r="O57" s="95"/>
      <c r="P57" s="100">
        <f>GroupPop2018[[#This Row],[Pop2018]]*(1+SUMIFS(Growth[GrowthRate],Growth[Grouping_ID],GroupPop2018[[#This Row],[Group]]))</f>
        <v>3175.7079235782394</v>
      </c>
    </row>
    <row r="58" spans="2:16" x14ac:dyDescent="0.2">
      <c r="B58" s="95" t="s">
        <v>278</v>
      </c>
      <c r="C58" s="95" t="s">
        <v>304</v>
      </c>
      <c r="D58" s="95" t="s">
        <v>304</v>
      </c>
      <c r="E58" s="95" t="s">
        <v>253</v>
      </c>
      <c r="F58" s="95" t="s">
        <v>304</v>
      </c>
      <c r="G58" s="95" t="s">
        <v>64</v>
      </c>
      <c r="H58" s="95" t="s">
        <v>254</v>
      </c>
      <c r="I58" s="132">
        <v>25830</v>
      </c>
      <c r="J58" s="95">
        <v>1</v>
      </c>
      <c r="K58" s="95">
        <f t="shared" si="0"/>
        <v>0</v>
      </c>
      <c r="L58" s="95" t="str">
        <f>IFERROR(VLOOKUP(GroupPop2018[[#This Row],[Group]],Grouping[#All],2,0),"Unknown")</f>
        <v>1 - Metro area</v>
      </c>
      <c r="M58" s="95" t="str">
        <f>INDEX(Frequency[Collection_Frequency],MATCH(GroupPop2018[[#This Row],[FreqCode]],Frequency[Orig_Frequency_ID],0))</f>
        <v>Weekly</v>
      </c>
      <c r="N58" s="95" t="str">
        <f>IF(GroupPop2018[[#This Row],[Group]]=1,"Metro",IF(GroupPop2018[[#This Row],[Group]]=4,"Nowhere",IF(GroupPop2018[[#This Row],[Group]]=3,"Remote",IF(GroupPop2018[[#This Row],[County]]="Marion","Marion County","Transported to Metro"))))</f>
        <v>Metro</v>
      </c>
      <c r="O58" s="95"/>
      <c r="P58" s="100">
        <f>GroupPop2018[[#This Row],[Pop2018]]*(1+SUMIFS(Growth[GrowthRate],Growth[Grouping_ID],GroupPop2018[[#This Row],[Group]]))</f>
        <v>28043.94381744476</v>
      </c>
    </row>
    <row r="59" spans="2:16" x14ac:dyDescent="0.2">
      <c r="B59" s="95" t="s">
        <v>278</v>
      </c>
      <c r="C59" s="95" t="s">
        <v>305</v>
      </c>
      <c r="D59" s="95" t="s">
        <v>305</v>
      </c>
      <c r="E59" s="95" t="s">
        <v>253</v>
      </c>
      <c r="F59" s="95" t="s">
        <v>305</v>
      </c>
      <c r="G59" s="95" t="s">
        <v>64</v>
      </c>
      <c r="H59" s="95" t="s">
        <v>254</v>
      </c>
      <c r="I59" s="132">
        <v>22345</v>
      </c>
      <c r="J59" s="95">
        <v>1</v>
      </c>
      <c r="K59" s="95">
        <f t="shared" si="0"/>
        <v>0</v>
      </c>
      <c r="L59" s="95" t="str">
        <f>IFERROR(VLOOKUP(GroupPop2018[[#This Row],[Group]],Grouping[#All],2,0),"Unknown")</f>
        <v>1 - Metro area</v>
      </c>
      <c r="M59" s="95" t="str">
        <f>INDEX(Frequency[Collection_Frequency],MATCH(GroupPop2018[[#This Row],[FreqCode]],Frequency[Orig_Frequency_ID],0))</f>
        <v>Weekly</v>
      </c>
      <c r="N59" s="95" t="str">
        <f>IF(GroupPop2018[[#This Row],[Group]]=1,"Metro",IF(GroupPop2018[[#This Row],[Group]]=4,"Nowhere",IF(GroupPop2018[[#This Row],[Group]]=3,"Remote",IF(GroupPop2018[[#This Row],[County]]="Marion","Marion County","Transported to Metro"))))</f>
        <v>Metro</v>
      </c>
      <c r="O59" s="95"/>
      <c r="P59" s="100">
        <f>GroupPop2018[[#This Row],[Pop2018]]*(1+SUMIFS(Growth[GrowthRate],Growth[Grouping_ID],GroupPop2018[[#This Row],[Group]]))</f>
        <v>24260.2371119165</v>
      </c>
    </row>
    <row r="60" spans="2:16" x14ac:dyDescent="0.2">
      <c r="B60" s="95" t="s">
        <v>306</v>
      </c>
      <c r="C60" s="95" t="s">
        <v>307</v>
      </c>
      <c r="D60" s="95" t="s">
        <v>307</v>
      </c>
      <c r="E60" s="95" t="s">
        <v>253</v>
      </c>
      <c r="F60" s="95" t="s">
        <v>307</v>
      </c>
      <c r="G60" s="95" t="s">
        <v>53</v>
      </c>
      <c r="H60" s="95" t="s">
        <v>254</v>
      </c>
      <c r="I60" s="132">
        <v>9695</v>
      </c>
      <c r="J60" s="95">
        <v>2</v>
      </c>
      <c r="K60" s="95">
        <f t="shared" si="0"/>
        <v>0</v>
      </c>
      <c r="L60" s="95" t="str">
        <f>IFERROR(VLOOKUP(GroupPop2018[[#This Row],[Group]],Grouping[#All],2,0),"Unknown")</f>
        <v>2 - Willamette Valley, etc.</v>
      </c>
      <c r="M60" s="95" t="str">
        <f>INDEX(Frequency[Collection_Frequency],MATCH(GroupPop2018[[#This Row],[FreqCode]],Frequency[Orig_Frequency_ID],0))</f>
        <v>Every other week</v>
      </c>
      <c r="N60" s="95" t="str">
        <f>IF(GroupPop2018[[#This Row],[Group]]=1,"Metro",IF(GroupPop2018[[#This Row],[Group]]=4,"Nowhere",IF(GroupPop2018[[#This Row],[Group]]=3,"Remote",IF(GroupPop2018[[#This Row],[County]]="Marion","Marion County","Transported to Metro"))))</f>
        <v>Transported to Metro</v>
      </c>
      <c r="O60" s="95"/>
      <c r="P60" s="100">
        <f>GroupPop2018[[#This Row],[Pop2018]]*(1+SUMIFS(Growth[GrowthRate],Growth[Grouping_ID],GroupPop2018[[#This Row],[Group]]))</f>
        <v>10326.373806759322</v>
      </c>
    </row>
    <row r="61" spans="2:16" x14ac:dyDescent="0.2">
      <c r="B61" s="95" t="s">
        <v>306</v>
      </c>
      <c r="C61" s="95" t="s">
        <v>307</v>
      </c>
      <c r="D61" s="95" t="s">
        <v>307</v>
      </c>
      <c r="E61" s="95" t="s">
        <v>255</v>
      </c>
      <c r="F61" s="95" t="s">
        <v>308</v>
      </c>
      <c r="G61" s="95" t="s">
        <v>53</v>
      </c>
      <c r="H61" s="95" t="s">
        <v>254</v>
      </c>
      <c r="I61" s="132">
        <v>9</v>
      </c>
      <c r="J61" s="95">
        <v>2</v>
      </c>
      <c r="K61" s="95">
        <f t="shared" si="0"/>
        <v>0</v>
      </c>
      <c r="L61" s="95" t="str">
        <f>IFERROR(VLOOKUP(GroupPop2018[[#This Row],[Group]],Grouping[#All],2,0),"Unknown")</f>
        <v>2 - Willamette Valley, etc.</v>
      </c>
      <c r="M61" s="95" t="str">
        <f>INDEX(Frequency[Collection_Frequency],MATCH(GroupPop2018[[#This Row],[FreqCode]],Frequency[Orig_Frequency_ID],0))</f>
        <v>Every other week</v>
      </c>
      <c r="N61" s="95" t="str">
        <f>IF(GroupPop2018[[#This Row],[Group]]=1,"Metro",IF(GroupPop2018[[#This Row],[Group]]=4,"Nowhere",IF(GroupPop2018[[#This Row],[Group]]=3,"Remote",IF(GroupPop2018[[#This Row],[County]]="Marion","Marion County","Transported to Metro"))))</f>
        <v>Transported to Metro</v>
      </c>
      <c r="O61" s="95"/>
      <c r="P61" s="100">
        <f>GroupPop2018[[#This Row],[Pop2018]]*(1+SUMIFS(Growth[GrowthRate],Growth[Grouping_ID],GroupPop2018[[#This Row],[Group]]))</f>
        <v>9.586112868574924</v>
      </c>
    </row>
    <row r="62" spans="2:16" x14ac:dyDescent="0.2">
      <c r="B62" s="95" t="s">
        <v>306</v>
      </c>
      <c r="C62" s="95" t="s">
        <v>309</v>
      </c>
      <c r="D62" s="95" t="s">
        <v>309</v>
      </c>
      <c r="E62" s="95" t="s">
        <v>253</v>
      </c>
      <c r="F62" s="95" t="s">
        <v>309</v>
      </c>
      <c r="G62" s="95" t="s">
        <v>53</v>
      </c>
      <c r="H62" s="95" t="s">
        <v>259</v>
      </c>
      <c r="I62" s="132">
        <v>1710</v>
      </c>
      <c r="J62" s="95">
        <v>2</v>
      </c>
      <c r="K62" s="95">
        <f t="shared" si="0"/>
        <v>0</v>
      </c>
      <c r="L62" s="95" t="str">
        <f>IFERROR(VLOOKUP(GroupPop2018[[#This Row],[Group]],Grouping[#All],2,0),"Unknown")</f>
        <v>2 - Willamette Valley, etc.</v>
      </c>
      <c r="M62" s="95" t="str">
        <f>INDEX(Frequency[Collection_Frequency],MATCH(GroupPop2018[[#This Row],[FreqCode]],Frequency[Orig_Frequency_ID],0))</f>
        <v>Every other week</v>
      </c>
      <c r="N62" s="95" t="str">
        <f>IF(GroupPop2018[[#This Row],[Group]]=1,"Metro",IF(GroupPop2018[[#This Row],[Group]]=4,"Nowhere",IF(GroupPop2018[[#This Row],[Group]]=3,"Remote",IF(GroupPop2018[[#This Row],[County]]="Marion","Marion County","Transported to Metro"))))</f>
        <v>Transported to Metro</v>
      </c>
      <c r="O62" s="95"/>
      <c r="P62" s="100">
        <f>GroupPop2018[[#This Row],[Pop2018]]*(1+SUMIFS(Growth[GrowthRate],Growth[Grouping_ID],GroupPop2018[[#This Row],[Group]]))</f>
        <v>1821.3614450292357</v>
      </c>
    </row>
    <row r="63" spans="2:16" x14ac:dyDescent="0.2">
      <c r="B63" s="95" t="s">
        <v>306</v>
      </c>
      <c r="C63" s="95" t="s">
        <v>310</v>
      </c>
      <c r="D63" s="95" t="s">
        <v>311</v>
      </c>
      <c r="E63" s="95" t="s">
        <v>258</v>
      </c>
      <c r="F63" s="95" t="s">
        <v>310</v>
      </c>
      <c r="G63" s="95" t="s">
        <v>127</v>
      </c>
      <c r="H63" s="95" t="s">
        <v>259</v>
      </c>
      <c r="I63" s="132">
        <v>13293</v>
      </c>
      <c r="J63" s="95">
        <v>4</v>
      </c>
      <c r="K63" s="95">
        <f t="shared" si="0"/>
        <v>0</v>
      </c>
      <c r="L63" s="95" t="str">
        <f>IFERROR(VLOOKUP(GroupPop2018[[#This Row],[Group]],Grouping[#All],2,0),"Unknown")</f>
        <v>4 - Areas without curbside</v>
      </c>
      <c r="M63" s="95" t="str">
        <f>INDEX(Frequency[Collection_Frequency],MATCH(GroupPop2018[[#This Row],[FreqCode]],Frequency[Orig_Frequency_ID],0))</f>
        <v>No collection</v>
      </c>
      <c r="N63" s="95" t="str">
        <f>IF(GroupPop2018[[#This Row],[Group]]=1,"Metro",IF(GroupPop2018[[#This Row],[Group]]=4,"Nowhere",IF(GroupPop2018[[#This Row],[Group]]=3,"Remote",IF(GroupPop2018[[#This Row],[County]]="Marion","Marion County","Transported to Metro"))))</f>
        <v>Nowhere</v>
      </c>
      <c r="O63" s="95">
        <v>1</v>
      </c>
      <c r="P63" s="100">
        <f>GroupPop2018[[#This Row],[Pop2018]]*(1+SUMIFS(Growth[GrowthRate],Growth[Grouping_ID],GroupPop2018[[#This Row],[Group]]))</f>
        <v>14267.593191174852</v>
      </c>
    </row>
    <row r="64" spans="2:16" x14ac:dyDescent="0.2">
      <c r="B64" s="95" t="s">
        <v>306</v>
      </c>
      <c r="C64" s="95" t="s">
        <v>312</v>
      </c>
      <c r="D64" s="95" t="s">
        <v>311</v>
      </c>
      <c r="E64" s="95" t="s">
        <v>258</v>
      </c>
      <c r="F64" s="95" t="s">
        <v>312</v>
      </c>
      <c r="G64" s="95" t="s">
        <v>53</v>
      </c>
      <c r="H64" s="95" t="s">
        <v>259</v>
      </c>
      <c r="I64" s="132">
        <v>1000</v>
      </c>
      <c r="J64" s="95">
        <v>2</v>
      </c>
      <c r="K64" s="95">
        <f t="shared" si="0"/>
        <v>0</v>
      </c>
      <c r="L64" s="95" t="str">
        <f>IFERROR(VLOOKUP(GroupPop2018[[#This Row],[Group]],Grouping[#All],2,0),"Unknown")</f>
        <v>2 - Willamette Valley, etc.</v>
      </c>
      <c r="M64" s="95" t="str">
        <f>INDEX(Frequency[Collection_Frequency],MATCH(GroupPop2018[[#This Row],[FreqCode]],Frequency[Orig_Frequency_ID],0))</f>
        <v>Every other week</v>
      </c>
      <c r="N64" s="95" t="str">
        <f>IF(GroupPop2018[[#This Row],[Group]]=1,"Metro",IF(GroupPop2018[[#This Row],[Group]]=4,"Nowhere",IF(GroupPop2018[[#This Row],[Group]]=3,"Remote",IF(GroupPop2018[[#This Row],[County]]="Marion","Marion County","Transported to Metro"))))</f>
        <v>Transported to Metro</v>
      </c>
      <c r="O64" s="95">
        <v>2</v>
      </c>
      <c r="P64" s="100">
        <f>GroupPop2018[[#This Row],[Pop2018]]*(1+SUMIFS(Growth[GrowthRate],Growth[Grouping_ID],GroupPop2018[[#This Row],[Group]]))</f>
        <v>1065.1236520638804</v>
      </c>
    </row>
    <row r="65" spans="2:16" x14ac:dyDescent="0.2">
      <c r="B65" s="95" t="s">
        <v>306</v>
      </c>
      <c r="C65" s="95" t="s">
        <v>313</v>
      </c>
      <c r="D65" s="95" t="s">
        <v>313</v>
      </c>
      <c r="E65" s="95" t="s">
        <v>253</v>
      </c>
      <c r="F65" s="95" t="s">
        <v>313</v>
      </c>
      <c r="G65" s="95" t="s">
        <v>53</v>
      </c>
      <c r="H65" s="95" t="s">
        <v>259</v>
      </c>
      <c r="I65" s="132">
        <v>1505</v>
      </c>
      <c r="J65" s="95">
        <v>2</v>
      </c>
      <c r="K65" s="95">
        <f t="shared" si="0"/>
        <v>0</v>
      </c>
      <c r="L65" s="95" t="str">
        <f>IFERROR(VLOOKUP(GroupPop2018[[#This Row],[Group]],Grouping[#All],2,0),"Unknown")</f>
        <v>2 - Willamette Valley, etc.</v>
      </c>
      <c r="M65" s="95" t="str">
        <f>INDEX(Frequency[Collection_Frequency],MATCH(GroupPop2018[[#This Row],[FreqCode]],Frequency[Orig_Frequency_ID],0))</f>
        <v>Every other week</v>
      </c>
      <c r="N65" s="95" t="str">
        <f>IF(GroupPop2018[[#This Row],[Group]]=1,"Metro",IF(GroupPop2018[[#This Row],[Group]]=4,"Nowhere",IF(GroupPop2018[[#This Row],[Group]]=3,"Remote",IF(GroupPop2018[[#This Row],[County]]="Marion","Marion County","Transported to Metro"))))</f>
        <v>Transported to Metro</v>
      </c>
      <c r="O65" s="95"/>
      <c r="P65" s="100">
        <f>GroupPop2018[[#This Row],[Pop2018]]*(1+SUMIFS(Growth[GrowthRate],Growth[Grouping_ID],GroupPop2018[[#This Row],[Group]]))</f>
        <v>1603.0110963561401</v>
      </c>
    </row>
    <row r="66" spans="2:16" x14ac:dyDescent="0.2">
      <c r="B66" s="95" t="s">
        <v>306</v>
      </c>
      <c r="C66" s="95" t="s">
        <v>314</v>
      </c>
      <c r="D66" s="95" t="s">
        <v>314</v>
      </c>
      <c r="E66" s="95" t="s">
        <v>253</v>
      </c>
      <c r="F66" s="95" t="s">
        <v>314</v>
      </c>
      <c r="G66" s="95" t="s">
        <v>53</v>
      </c>
      <c r="H66" s="95" t="s">
        <v>254</v>
      </c>
      <c r="I66" s="132">
        <v>6660</v>
      </c>
      <c r="J66" s="95">
        <v>2</v>
      </c>
      <c r="K66" s="95">
        <f t="shared" si="0"/>
        <v>0</v>
      </c>
      <c r="L66" s="95" t="str">
        <f>IFERROR(VLOOKUP(GroupPop2018[[#This Row],[Group]],Grouping[#All],2,0),"Unknown")</f>
        <v>2 - Willamette Valley, etc.</v>
      </c>
      <c r="M66" s="95" t="str">
        <f>INDEX(Frequency[Collection_Frequency],MATCH(GroupPop2018[[#This Row],[FreqCode]],Frequency[Orig_Frequency_ID],0))</f>
        <v>Every other week</v>
      </c>
      <c r="N66" s="95" t="str">
        <f>IF(GroupPop2018[[#This Row],[Group]]=1,"Metro",IF(GroupPop2018[[#This Row],[Group]]=4,"Nowhere",IF(GroupPop2018[[#This Row],[Group]]=3,"Remote",IF(GroupPop2018[[#This Row],[County]]="Marion","Marion County","Transported to Metro"))))</f>
        <v>Transported to Metro</v>
      </c>
      <c r="O66" s="95"/>
      <c r="P66" s="100">
        <f>GroupPop2018[[#This Row],[Pop2018]]*(1+SUMIFS(Growth[GrowthRate],Growth[Grouping_ID],GroupPop2018[[#This Row],[Group]]))</f>
        <v>7093.7235227454439</v>
      </c>
    </row>
    <row r="67" spans="2:16" x14ac:dyDescent="0.2">
      <c r="B67" s="95" t="s">
        <v>306</v>
      </c>
      <c r="C67" s="95" t="s">
        <v>314</v>
      </c>
      <c r="D67" s="95" t="s">
        <v>314</v>
      </c>
      <c r="E67" s="95" t="s">
        <v>255</v>
      </c>
      <c r="F67" s="95" t="s">
        <v>315</v>
      </c>
      <c r="G67" s="95" t="s">
        <v>53</v>
      </c>
      <c r="H67" s="95" t="s">
        <v>254</v>
      </c>
      <c r="I67" s="132">
        <v>9</v>
      </c>
      <c r="J67" s="95">
        <v>2</v>
      </c>
      <c r="K67" s="95">
        <f t="shared" si="0"/>
        <v>0</v>
      </c>
      <c r="L67" s="95" t="str">
        <f>IFERROR(VLOOKUP(GroupPop2018[[#This Row],[Group]],Grouping[#All],2,0),"Unknown")</f>
        <v>2 - Willamette Valley, etc.</v>
      </c>
      <c r="M67" s="95" t="str">
        <f>INDEX(Frequency[Collection_Frequency],MATCH(GroupPop2018[[#This Row],[FreqCode]],Frequency[Orig_Frequency_ID],0))</f>
        <v>Every other week</v>
      </c>
      <c r="N67" s="95" t="str">
        <f>IF(GroupPop2018[[#This Row],[Group]]=1,"Metro",IF(GroupPop2018[[#This Row],[Group]]=4,"Nowhere",IF(GroupPop2018[[#This Row],[Group]]=3,"Remote",IF(GroupPop2018[[#This Row],[County]]="Marion","Marion County","Transported to Metro"))))</f>
        <v>Transported to Metro</v>
      </c>
      <c r="O67" s="95"/>
      <c r="P67" s="100">
        <f>GroupPop2018[[#This Row],[Pop2018]]*(1+SUMIFS(Growth[GrowthRate],Growth[Grouping_ID],GroupPop2018[[#This Row],[Group]]))</f>
        <v>9.586112868574924</v>
      </c>
    </row>
    <row r="68" spans="2:16" x14ac:dyDescent="0.2">
      <c r="B68" s="95" t="s">
        <v>306</v>
      </c>
      <c r="C68" s="95" t="s">
        <v>316</v>
      </c>
      <c r="D68" s="95" t="s">
        <v>316</v>
      </c>
      <c r="E68" s="95" t="s">
        <v>253</v>
      </c>
      <c r="F68" s="95" t="s">
        <v>316</v>
      </c>
      <c r="G68" s="95" t="s">
        <v>53</v>
      </c>
      <c r="H68" s="95" t="s">
        <v>254</v>
      </c>
      <c r="I68" s="132">
        <v>5310</v>
      </c>
      <c r="J68" s="95">
        <v>2</v>
      </c>
      <c r="K68" s="95">
        <f t="shared" si="0"/>
        <v>0</v>
      </c>
      <c r="L68" s="95" t="str">
        <f>IFERROR(VLOOKUP(GroupPop2018[[#This Row],[Group]],Grouping[#All],2,0),"Unknown")</f>
        <v>2 - Willamette Valley, etc.</v>
      </c>
      <c r="M68" s="95" t="str">
        <f>INDEX(Frequency[Collection_Frequency],MATCH(GroupPop2018[[#This Row],[FreqCode]],Frequency[Orig_Frequency_ID],0))</f>
        <v>Every other week</v>
      </c>
      <c r="N68" s="95" t="str">
        <f>IF(GroupPop2018[[#This Row],[Group]]=1,"Metro",IF(GroupPop2018[[#This Row],[Group]]=4,"Nowhere",IF(GroupPop2018[[#This Row],[Group]]=3,"Remote",IF(GroupPop2018[[#This Row],[County]]="Marion","Marion County","Transported to Metro"))))</f>
        <v>Transported to Metro</v>
      </c>
      <c r="O68" s="95"/>
      <c r="P68" s="100">
        <f>GroupPop2018[[#This Row],[Pop2018]]*(1+SUMIFS(Growth[GrowthRate],Growth[Grouping_ID],GroupPop2018[[#This Row],[Group]]))</f>
        <v>5655.8065924592056</v>
      </c>
    </row>
    <row r="69" spans="2:16" x14ac:dyDescent="0.2">
      <c r="B69" s="95" t="s">
        <v>306</v>
      </c>
      <c r="C69" s="95" t="s">
        <v>316</v>
      </c>
      <c r="D69" s="95" t="s">
        <v>316</v>
      </c>
      <c r="E69" s="95" t="s">
        <v>255</v>
      </c>
      <c r="F69" s="95" t="s">
        <v>317</v>
      </c>
      <c r="G69" s="95" t="s">
        <v>53</v>
      </c>
      <c r="H69" s="95" t="s">
        <v>254</v>
      </c>
      <c r="I69" s="132">
        <v>9</v>
      </c>
      <c r="J69" s="95">
        <v>2</v>
      </c>
      <c r="K69" s="95">
        <f t="shared" si="0"/>
        <v>0</v>
      </c>
      <c r="L69" s="95" t="str">
        <f>IFERROR(VLOOKUP(GroupPop2018[[#This Row],[Group]],Grouping[#All],2,0),"Unknown")</f>
        <v>2 - Willamette Valley, etc.</v>
      </c>
      <c r="M69" s="95" t="str">
        <f>INDEX(Frequency[Collection_Frequency],MATCH(GroupPop2018[[#This Row],[FreqCode]],Frequency[Orig_Frequency_ID],0))</f>
        <v>Every other week</v>
      </c>
      <c r="N69" s="95" t="str">
        <f>IF(GroupPop2018[[#This Row],[Group]]=1,"Metro",IF(GroupPop2018[[#This Row],[Group]]=4,"Nowhere",IF(GroupPop2018[[#This Row],[Group]]=3,"Remote",IF(GroupPop2018[[#This Row],[County]]="Marion","Marion County","Transported to Metro"))))</f>
        <v>Transported to Metro</v>
      </c>
      <c r="O69" s="95"/>
      <c r="P69" s="100">
        <f>GroupPop2018[[#This Row],[Pop2018]]*(1+SUMIFS(Growth[GrowthRate],Growth[Grouping_ID],GroupPop2018[[#This Row],[Group]]))</f>
        <v>9.586112868574924</v>
      </c>
    </row>
    <row r="70" spans="2:16" x14ac:dyDescent="0.2">
      <c r="B70" s="95" t="s">
        <v>318</v>
      </c>
      <c r="C70" s="95" t="s">
        <v>319</v>
      </c>
      <c r="D70" s="95" t="s">
        <v>319</v>
      </c>
      <c r="E70" s="95" t="s">
        <v>253</v>
      </c>
      <c r="F70" s="95" t="s">
        <v>319</v>
      </c>
      <c r="G70" s="95" t="s">
        <v>53</v>
      </c>
      <c r="H70" s="95" t="s">
        <v>259</v>
      </c>
      <c r="I70" s="132">
        <v>1765</v>
      </c>
      <c r="J70" s="95">
        <v>2</v>
      </c>
      <c r="K70" s="95">
        <f t="shared" si="0"/>
        <v>0</v>
      </c>
      <c r="L70" s="95" t="str">
        <f>IFERROR(VLOOKUP(GroupPop2018[[#This Row],[Group]],Grouping[#All],2,0),"Unknown")</f>
        <v>2 - Willamette Valley, etc.</v>
      </c>
      <c r="M70" s="95" t="str">
        <f>INDEX(Frequency[Collection_Frequency],MATCH(GroupPop2018[[#This Row],[FreqCode]],Frequency[Orig_Frequency_ID],0))</f>
        <v>Every other week</v>
      </c>
      <c r="N70" s="95" t="str">
        <f>IF(GroupPop2018[[#This Row],[Group]]=1,"Metro",IF(GroupPop2018[[#This Row],[Group]]=4,"Nowhere",IF(GroupPop2018[[#This Row],[Group]]=3,"Remote",IF(GroupPop2018[[#This Row],[County]]="Marion","Marion County","Transported to Metro"))))</f>
        <v>Transported to Metro</v>
      </c>
      <c r="O70" s="95"/>
      <c r="P70" s="100">
        <f>GroupPop2018[[#This Row],[Pop2018]]*(1+SUMIFS(Growth[GrowthRate],Growth[Grouping_ID],GroupPop2018[[#This Row],[Group]]))</f>
        <v>1879.943245892749</v>
      </c>
    </row>
    <row r="71" spans="2:16" x14ac:dyDescent="0.2">
      <c r="B71" s="95" t="s">
        <v>318</v>
      </c>
      <c r="C71" s="95" t="s">
        <v>320</v>
      </c>
      <c r="D71" s="95" t="s">
        <v>320</v>
      </c>
      <c r="E71" s="95" t="s">
        <v>253</v>
      </c>
      <c r="F71" s="95" t="s">
        <v>320</v>
      </c>
      <c r="G71" s="95" t="s">
        <v>127</v>
      </c>
      <c r="H71" s="95" t="s">
        <v>259</v>
      </c>
      <c r="I71" s="132">
        <v>1985</v>
      </c>
      <c r="J71" s="95">
        <v>4</v>
      </c>
      <c r="K71" s="95">
        <f t="shared" si="0"/>
        <v>0</v>
      </c>
      <c r="L71" s="95" t="str">
        <f>IFERROR(VLOOKUP(GroupPop2018[[#This Row],[Group]],Grouping[#All],2,0),"Unknown")</f>
        <v>4 - Areas without curbside</v>
      </c>
      <c r="M71" s="95" t="str">
        <f>INDEX(Frequency[Collection_Frequency],MATCH(GroupPop2018[[#This Row],[FreqCode]],Frequency[Orig_Frequency_ID],0))</f>
        <v>No collection</v>
      </c>
      <c r="N71" s="95" t="str">
        <f>IF(GroupPop2018[[#This Row],[Group]]=1,"Metro",IF(GroupPop2018[[#This Row],[Group]]=4,"Nowhere",IF(GroupPop2018[[#This Row],[Group]]=3,"Remote",IF(GroupPop2018[[#This Row],[County]]="Marion","Marion County","Transported to Metro"))))</f>
        <v>Nowhere</v>
      </c>
      <c r="O71" s="95"/>
      <c r="P71" s="100">
        <f>GroupPop2018[[#This Row],[Pop2018]]*(1+SUMIFS(Growth[GrowthRate],Growth[Grouping_ID],GroupPop2018[[#This Row],[Group]]))</f>
        <v>2130.5327980502584</v>
      </c>
    </row>
    <row r="72" spans="2:16" x14ac:dyDescent="0.2">
      <c r="B72" s="95" t="s">
        <v>318</v>
      </c>
      <c r="C72" s="95" t="s">
        <v>321</v>
      </c>
      <c r="D72" s="95" t="s">
        <v>322</v>
      </c>
      <c r="E72" s="95" t="s">
        <v>258</v>
      </c>
      <c r="F72" s="95" t="s">
        <v>321</v>
      </c>
      <c r="G72" s="95" t="s">
        <v>127</v>
      </c>
      <c r="H72" s="95" t="s">
        <v>259</v>
      </c>
      <c r="I72" s="132">
        <v>8647</v>
      </c>
      <c r="J72" s="95">
        <v>4</v>
      </c>
      <c r="K72" s="95">
        <f t="shared" si="0"/>
        <v>0</v>
      </c>
      <c r="L72" s="95" t="str">
        <f>IFERROR(VLOOKUP(GroupPop2018[[#This Row],[Group]],Grouping[#All],2,0),"Unknown")</f>
        <v>4 - Areas without curbside</v>
      </c>
      <c r="M72" s="95" t="str">
        <f>INDEX(Frequency[Collection_Frequency],MATCH(GroupPop2018[[#This Row],[FreqCode]],Frequency[Orig_Frequency_ID],0))</f>
        <v>No collection</v>
      </c>
      <c r="N72" s="95" t="str">
        <f>IF(GroupPop2018[[#This Row],[Group]]=1,"Metro",IF(GroupPop2018[[#This Row],[Group]]=4,"Nowhere",IF(GroupPop2018[[#This Row],[Group]]=3,"Remote",IF(GroupPop2018[[#This Row],[County]]="Marion","Marion County","Transported to Metro"))))</f>
        <v>Nowhere</v>
      </c>
      <c r="O72" s="95">
        <v>2</v>
      </c>
      <c r="P72" s="100">
        <f>GroupPop2018[[#This Row],[Pop2018]]*(1+SUMIFS(Growth[GrowthRate],Growth[Grouping_ID],GroupPop2018[[#This Row],[Group]]))</f>
        <v>9280.9657958390853</v>
      </c>
    </row>
    <row r="73" spans="2:16" x14ac:dyDescent="0.2">
      <c r="B73" s="95" t="s">
        <v>318</v>
      </c>
      <c r="C73" s="95" t="s">
        <v>322</v>
      </c>
      <c r="D73" s="95" t="s">
        <v>322</v>
      </c>
      <c r="E73" s="95" t="s">
        <v>258</v>
      </c>
      <c r="F73" s="95" t="s">
        <v>323</v>
      </c>
      <c r="G73" s="95" t="s">
        <v>53</v>
      </c>
      <c r="H73" s="95" t="s">
        <v>259</v>
      </c>
      <c r="I73" s="132">
        <v>15000</v>
      </c>
      <c r="J73" s="95">
        <v>2</v>
      </c>
      <c r="K73" s="95">
        <f t="shared" si="0"/>
        <v>0</v>
      </c>
      <c r="L73" s="95" t="str">
        <f>IFERROR(VLOOKUP(GroupPop2018[[#This Row],[Group]],Grouping[#All],2,0),"Unknown")</f>
        <v>2 - Willamette Valley, etc.</v>
      </c>
      <c r="M73" s="95" t="str">
        <f>INDEX(Frequency[Collection_Frequency],MATCH(GroupPop2018[[#This Row],[FreqCode]],Frequency[Orig_Frequency_ID],0))</f>
        <v>Every other week</v>
      </c>
      <c r="N73" s="95" t="str">
        <f>IF(GroupPop2018[[#This Row],[Group]]=1,"Metro",IF(GroupPop2018[[#This Row],[Group]]=4,"Nowhere",IF(GroupPop2018[[#This Row],[Group]]=3,"Remote",IF(GroupPop2018[[#This Row],[County]]="Marion","Marion County","Transported to Metro"))))</f>
        <v>Transported to Metro</v>
      </c>
      <c r="O73" s="95">
        <v>1</v>
      </c>
      <c r="P73" s="100">
        <f>GroupPop2018[[#This Row],[Pop2018]]*(1+SUMIFS(Growth[GrowthRate],Growth[Grouping_ID],GroupPop2018[[#This Row],[Group]]))</f>
        <v>15976.854780958207</v>
      </c>
    </row>
    <row r="74" spans="2:16" x14ac:dyDescent="0.2">
      <c r="B74" s="95" t="s">
        <v>318</v>
      </c>
      <c r="C74" s="95" t="s">
        <v>324</v>
      </c>
      <c r="D74" s="95" t="s">
        <v>324</v>
      </c>
      <c r="E74" s="95" t="s">
        <v>253</v>
      </c>
      <c r="F74" s="95" t="s">
        <v>324</v>
      </c>
      <c r="G74" s="95" t="s">
        <v>127</v>
      </c>
      <c r="H74" s="95" t="s">
        <v>259</v>
      </c>
      <c r="I74" s="132">
        <v>55</v>
      </c>
      <c r="J74" s="95">
        <v>4</v>
      </c>
      <c r="K74" s="95">
        <f t="shared" si="0"/>
        <v>0</v>
      </c>
      <c r="L74" s="95" t="str">
        <f>IFERROR(VLOOKUP(GroupPop2018[[#This Row],[Group]],Grouping[#All],2,0),"Unknown")</f>
        <v>4 - Areas without curbside</v>
      </c>
      <c r="M74" s="95" t="str">
        <f>INDEX(Frequency[Collection_Frequency],MATCH(GroupPop2018[[#This Row],[FreqCode]],Frequency[Orig_Frequency_ID],0))</f>
        <v>No collection</v>
      </c>
      <c r="N74" s="95" t="str">
        <f>IF(GroupPop2018[[#This Row],[Group]]=1,"Metro",IF(GroupPop2018[[#This Row],[Group]]=4,"Nowhere",IF(GroupPop2018[[#This Row],[Group]]=3,"Remote",IF(GroupPop2018[[#This Row],[County]]="Marion","Marion County","Transported to Metro"))))</f>
        <v>Nowhere</v>
      </c>
      <c r="O74" s="95"/>
      <c r="P74" s="100">
        <f>GroupPop2018[[#This Row],[Pop2018]]*(1+SUMIFS(Growth[GrowthRate],Growth[Grouping_ID],GroupPop2018[[#This Row],[Group]]))</f>
        <v>59.032394908193552</v>
      </c>
    </row>
    <row r="75" spans="2:16" x14ac:dyDescent="0.2">
      <c r="B75" s="95" t="s">
        <v>318</v>
      </c>
      <c r="C75" s="95" t="s">
        <v>325</v>
      </c>
      <c r="D75" s="95" t="s">
        <v>325</v>
      </c>
      <c r="E75" s="95" t="s">
        <v>253</v>
      </c>
      <c r="F75" s="95" t="s">
        <v>325</v>
      </c>
      <c r="G75" s="95" t="s">
        <v>53</v>
      </c>
      <c r="H75" s="95" t="s">
        <v>259</v>
      </c>
      <c r="I75" s="132">
        <v>1925</v>
      </c>
      <c r="J75" s="95">
        <v>2</v>
      </c>
      <c r="K75" s="95">
        <f t="shared" si="0"/>
        <v>0</v>
      </c>
      <c r="L75" s="95" t="str">
        <f>IFERROR(VLOOKUP(GroupPop2018[[#This Row],[Group]],Grouping[#All],2,0),"Unknown")</f>
        <v>2 - Willamette Valley, etc.</v>
      </c>
      <c r="M75" s="95" t="str">
        <f>INDEX(Frequency[Collection_Frequency],MATCH(GroupPop2018[[#This Row],[FreqCode]],Frequency[Orig_Frequency_ID],0))</f>
        <v>Every other week</v>
      </c>
      <c r="N75" s="95" t="str">
        <f>IF(GroupPop2018[[#This Row],[Group]]=1,"Metro",IF(GroupPop2018[[#This Row],[Group]]=4,"Nowhere",IF(GroupPop2018[[#This Row],[Group]]=3,"Remote",IF(GroupPop2018[[#This Row],[County]]="Marion","Marion County","Transported to Metro"))))</f>
        <v>Transported to Metro</v>
      </c>
      <c r="O75" s="95"/>
      <c r="P75" s="100">
        <f>GroupPop2018[[#This Row],[Pop2018]]*(1+SUMIFS(Growth[GrowthRate],Growth[Grouping_ID],GroupPop2018[[#This Row],[Group]]))</f>
        <v>2050.3630302229699</v>
      </c>
    </row>
    <row r="76" spans="2:16" x14ac:dyDescent="0.2">
      <c r="B76" s="95" t="s">
        <v>318</v>
      </c>
      <c r="C76" s="95" t="s">
        <v>326</v>
      </c>
      <c r="D76" s="95" t="s">
        <v>326</v>
      </c>
      <c r="E76" s="95" t="s">
        <v>253</v>
      </c>
      <c r="F76" s="95" t="s">
        <v>326</v>
      </c>
      <c r="G76" s="95" t="s">
        <v>53</v>
      </c>
      <c r="H76" s="95" t="s">
        <v>254</v>
      </c>
      <c r="I76" s="132">
        <v>7200</v>
      </c>
      <c r="J76" s="95">
        <v>2</v>
      </c>
      <c r="K76" s="95">
        <f t="shared" si="0"/>
        <v>0</v>
      </c>
      <c r="L76" s="95" t="str">
        <f>IFERROR(VLOOKUP(GroupPop2018[[#This Row],[Group]],Grouping[#All],2,0),"Unknown")</f>
        <v>2 - Willamette Valley, etc.</v>
      </c>
      <c r="M76" s="95" t="str">
        <f>INDEX(Frequency[Collection_Frequency],MATCH(GroupPop2018[[#This Row],[FreqCode]],Frequency[Orig_Frequency_ID],0))</f>
        <v>Every other week</v>
      </c>
      <c r="N76" s="95" t="str">
        <f>IF(GroupPop2018[[#This Row],[Group]]=1,"Metro",IF(GroupPop2018[[#This Row],[Group]]=4,"Nowhere",IF(GroupPop2018[[#This Row],[Group]]=3,"Remote",IF(GroupPop2018[[#This Row],[County]]="Marion","Marion County","Transported to Metro"))))</f>
        <v>Transported to Metro</v>
      </c>
      <c r="O76" s="95"/>
      <c r="P76" s="100">
        <f>GroupPop2018[[#This Row],[Pop2018]]*(1+SUMIFS(Growth[GrowthRate],Growth[Grouping_ID],GroupPop2018[[#This Row],[Group]]))</f>
        <v>7668.8902948599398</v>
      </c>
    </row>
    <row r="77" spans="2:16" x14ac:dyDescent="0.2">
      <c r="B77" s="95" t="s">
        <v>318</v>
      </c>
      <c r="C77" s="95" t="s">
        <v>326</v>
      </c>
      <c r="D77" s="95" t="s">
        <v>326</v>
      </c>
      <c r="E77" s="95" t="s">
        <v>255</v>
      </c>
      <c r="F77" s="95" t="s">
        <v>327</v>
      </c>
      <c r="G77" s="95" t="s">
        <v>64</v>
      </c>
      <c r="H77" s="95" t="s">
        <v>254</v>
      </c>
      <c r="I77" s="132">
        <v>9</v>
      </c>
      <c r="J77" s="95">
        <v>2</v>
      </c>
      <c r="K77" s="95">
        <f t="shared" si="0"/>
        <v>0</v>
      </c>
      <c r="L77" s="95" t="str">
        <f>IFERROR(VLOOKUP(GroupPop2018[[#This Row],[Group]],Grouping[#All],2,0),"Unknown")</f>
        <v>2 - Willamette Valley, etc.</v>
      </c>
      <c r="M77" s="95" t="str">
        <f>INDEX(Frequency[Collection_Frequency],MATCH(GroupPop2018[[#This Row],[FreqCode]],Frequency[Orig_Frequency_ID],0))</f>
        <v>Weekly</v>
      </c>
      <c r="N77" s="95" t="str">
        <f>IF(GroupPop2018[[#This Row],[Group]]=1,"Metro",IF(GroupPop2018[[#This Row],[Group]]=4,"Nowhere",IF(GroupPop2018[[#This Row],[Group]]=3,"Remote",IF(GroupPop2018[[#This Row],[County]]="Marion","Marion County","Transported to Metro"))))</f>
        <v>Transported to Metro</v>
      </c>
      <c r="O77" s="95"/>
      <c r="P77" s="100">
        <f>GroupPop2018[[#This Row],[Pop2018]]*(1+SUMIFS(Growth[GrowthRate],Growth[Grouping_ID],GroupPop2018[[#This Row],[Group]]))</f>
        <v>9.586112868574924</v>
      </c>
    </row>
    <row r="78" spans="2:16" x14ac:dyDescent="0.2">
      <c r="B78" s="95" t="s">
        <v>318</v>
      </c>
      <c r="C78" s="95" t="s">
        <v>328</v>
      </c>
      <c r="D78" s="95" t="s">
        <v>328</v>
      </c>
      <c r="E78" s="95" t="s">
        <v>253</v>
      </c>
      <c r="F78" s="95" t="s">
        <v>328</v>
      </c>
      <c r="G78" s="95" t="s">
        <v>64</v>
      </c>
      <c r="H78" s="95" t="s">
        <v>254</v>
      </c>
      <c r="I78" s="132">
        <v>13240</v>
      </c>
      <c r="J78" s="95">
        <v>2</v>
      </c>
      <c r="K78" s="95">
        <f t="shared" si="0"/>
        <v>0</v>
      </c>
      <c r="L78" s="95" t="str">
        <f>IFERROR(VLOOKUP(GroupPop2018[[#This Row],[Group]],Grouping[#All],2,0),"Unknown")</f>
        <v>2 - Willamette Valley, etc.</v>
      </c>
      <c r="M78" s="95" t="str">
        <f>INDEX(Frequency[Collection_Frequency],MATCH(GroupPop2018[[#This Row],[FreqCode]],Frequency[Orig_Frequency_ID],0))</f>
        <v>Weekly</v>
      </c>
      <c r="N78" s="95" t="str">
        <f>IF(GroupPop2018[[#This Row],[Group]]=1,"Metro",IF(GroupPop2018[[#This Row],[Group]]=4,"Nowhere",IF(GroupPop2018[[#This Row],[Group]]=3,"Remote",IF(GroupPop2018[[#This Row],[County]]="Marion","Marion County","Transported to Metro"))))</f>
        <v>Transported to Metro</v>
      </c>
      <c r="O78" s="95"/>
      <c r="P78" s="100">
        <f>GroupPop2018[[#This Row],[Pop2018]]*(1+SUMIFS(Growth[GrowthRate],Growth[Grouping_ID],GroupPop2018[[#This Row],[Group]]))</f>
        <v>14102.237153325777</v>
      </c>
    </row>
    <row r="79" spans="2:16" x14ac:dyDescent="0.2">
      <c r="B79" s="95" t="s">
        <v>318</v>
      </c>
      <c r="C79" s="95" t="s">
        <v>328</v>
      </c>
      <c r="D79" s="95" t="s">
        <v>328</v>
      </c>
      <c r="E79" s="95" t="s">
        <v>255</v>
      </c>
      <c r="F79" s="95" t="s">
        <v>329</v>
      </c>
      <c r="G79" s="95" t="s">
        <v>53</v>
      </c>
      <c r="H79" s="95" t="s">
        <v>254</v>
      </c>
      <c r="I79" s="132">
        <v>9</v>
      </c>
      <c r="J79" s="95">
        <v>2</v>
      </c>
      <c r="K79" s="95">
        <f t="shared" si="0"/>
        <v>0</v>
      </c>
      <c r="L79" s="95" t="str">
        <f>IFERROR(VLOOKUP(GroupPop2018[[#This Row],[Group]],Grouping[#All],2,0),"Unknown")</f>
        <v>2 - Willamette Valley, etc.</v>
      </c>
      <c r="M79" s="95" t="str">
        <f>INDEX(Frequency[Collection_Frequency],MATCH(GroupPop2018[[#This Row],[FreqCode]],Frequency[Orig_Frequency_ID],0))</f>
        <v>Every other week</v>
      </c>
      <c r="N79" s="95" t="str">
        <f>IF(GroupPop2018[[#This Row],[Group]]=1,"Metro",IF(GroupPop2018[[#This Row],[Group]]=4,"Nowhere",IF(GroupPop2018[[#This Row],[Group]]=3,"Remote",IF(GroupPop2018[[#This Row],[County]]="Marion","Marion County","Transported to Metro"))))</f>
        <v>Transported to Metro</v>
      </c>
      <c r="O79" s="95"/>
      <c r="P79" s="100">
        <f>GroupPop2018[[#This Row],[Pop2018]]*(1+SUMIFS(Growth[GrowthRate],Growth[Grouping_ID],GroupPop2018[[#This Row],[Group]]))</f>
        <v>9.586112868574924</v>
      </c>
    </row>
    <row r="80" spans="2:16" x14ac:dyDescent="0.2">
      <c r="B80" s="95" t="s">
        <v>318</v>
      </c>
      <c r="C80" s="95" t="s">
        <v>330</v>
      </c>
      <c r="D80" s="95" t="s">
        <v>330</v>
      </c>
      <c r="E80" s="95" t="s">
        <v>253</v>
      </c>
      <c r="F80" s="95" t="s">
        <v>330</v>
      </c>
      <c r="G80" s="95" t="s">
        <v>127</v>
      </c>
      <c r="H80" s="95" t="s">
        <v>259</v>
      </c>
      <c r="I80" s="132">
        <v>2065</v>
      </c>
      <c r="J80" s="95">
        <v>4</v>
      </c>
      <c r="K80" s="95">
        <f t="shared" si="0"/>
        <v>0</v>
      </c>
      <c r="L80" s="95" t="str">
        <f>IFERROR(VLOOKUP(GroupPop2018[[#This Row],[Group]],Grouping[#All],2,0),"Unknown")</f>
        <v>4 - Areas without curbside</v>
      </c>
      <c r="M80" s="95" t="str">
        <f>INDEX(Frequency[Collection_Frequency],MATCH(GroupPop2018[[#This Row],[FreqCode]],Frequency[Orig_Frequency_ID],0))</f>
        <v>No collection</v>
      </c>
      <c r="N80" s="95" t="str">
        <f>IF(GroupPop2018[[#This Row],[Group]]=1,"Metro",IF(GroupPop2018[[#This Row],[Group]]=4,"Nowhere",IF(GroupPop2018[[#This Row],[Group]]=3,"Remote",IF(GroupPop2018[[#This Row],[County]]="Marion","Marion County","Transported to Metro"))))</f>
        <v>Nowhere</v>
      </c>
      <c r="O80" s="95"/>
      <c r="P80" s="100">
        <f>GroupPop2018[[#This Row],[Pop2018]]*(1+SUMIFS(Growth[GrowthRate],Growth[Grouping_ID],GroupPop2018[[#This Row],[Group]]))</f>
        <v>2216.3980997349036</v>
      </c>
    </row>
    <row r="81" spans="2:16" x14ac:dyDescent="0.2">
      <c r="B81" s="95" t="s">
        <v>331</v>
      </c>
      <c r="C81" s="95" t="s">
        <v>332</v>
      </c>
      <c r="D81" s="95" t="s">
        <v>332</v>
      </c>
      <c r="E81" s="95" t="s">
        <v>253</v>
      </c>
      <c r="F81" s="95" t="s">
        <v>332</v>
      </c>
      <c r="G81" s="95" t="s">
        <v>64</v>
      </c>
      <c r="H81" s="95" t="s">
        <v>259</v>
      </c>
      <c r="I81" s="132">
        <v>3155</v>
      </c>
      <c r="J81" s="95">
        <v>3</v>
      </c>
      <c r="K81" s="95">
        <f t="shared" si="0"/>
        <v>0</v>
      </c>
      <c r="L81" s="95" t="str">
        <f>IFERROR(VLOOKUP(GroupPop2018[[#This Row],[Group]],Grouping[#All],2,0),"Unknown")</f>
        <v>3 - Other areas with curbside</v>
      </c>
      <c r="M81" s="95" t="str">
        <f>INDEX(Frequency[Collection_Frequency],MATCH(GroupPop2018[[#This Row],[FreqCode]],Frequency[Orig_Frequency_ID],0))</f>
        <v>Weekly</v>
      </c>
      <c r="N81" s="95" t="str">
        <f>IF(GroupPop2018[[#This Row],[Group]]=1,"Metro",IF(GroupPop2018[[#This Row],[Group]]=4,"Nowhere",IF(GroupPop2018[[#This Row],[Group]]=3,"Remote",IF(GroupPop2018[[#This Row],[County]]="Marion","Marion County","Transported to Metro"))))</f>
        <v>Remote</v>
      </c>
      <c r="O81" s="95"/>
      <c r="P81" s="100">
        <f>GroupPop2018[[#This Row],[Pop2018]]*(1+SUMIFS(Growth[GrowthRate],Growth[Grouping_ID],GroupPop2018[[#This Row],[Group]]))</f>
        <v>3386.3128351881937</v>
      </c>
    </row>
    <row r="82" spans="2:16" x14ac:dyDescent="0.2">
      <c r="B82" s="95" t="s">
        <v>331</v>
      </c>
      <c r="C82" s="95" t="s">
        <v>333</v>
      </c>
      <c r="D82" s="95" t="s">
        <v>333</v>
      </c>
      <c r="E82" s="95" t="s">
        <v>253</v>
      </c>
      <c r="F82" s="95" t="s">
        <v>333</v>
      </c>
      <c r="G82" s="95" t="s">
        <v>64</v>
      </c>
      <c r="H82" s="95" t="s">
        <v>254</v>
      </c>
      <c r="I82" s="132">
        <v>16680</v>
      </c>
      <c r="J82" s="95">
        <v>3</v>
      </c>
      <c r="K82" s="95">
        <f t="shared" si="0"/>
        <v>0</v>
      </c>
      <c r="L82" s="95" t="str">
        <f>IFERROR(VLOOKUP(GroupPop2018[[#This Row],[Group]],Grouping[#All],2,0),"Unknown")</f>
        <v>3 - Other areas with curbside</v>
      </c>
      <c r="M82" s="95" t="str">
        <f>INDEX(Frequency[Collection_Frequency],MATCH(GroupPop2018[[#This Row],[FreqCode]],Frequency[Orig_Frequency_ID],0))</f>
        <v>Weekly</v>
      </c>
      <c r="N82" s="95" t="str">
        <f>IF(GroupPop2018[[#This Row],[Group]]=1,"Metro",IF(GroupPop2018[[#This Row],[Group]]=4,"Nowhere",IF(GroupPop2018[[#This Row],[Group]]=3,"Remote",IF(GroupPop2018[[#This Row],[County]]="Marion","Marion County","Transported to Metro"))))</f>
        <v>Remote</v>
      </c>
      <c r="O82" s="95"/>
      <c r="P82" s="100">
        <f>GroupPop2018[[#This Row],[Pop2018]]*(1+SUMIFS(Growth[GrowthRate],Growth[Grouping_ID],GroupPop2018[[#This Row],[Group]]))</f>
        <v>17902.915401248516</v>
      </c>
    </row>
    <row r="83" spans="2:16" x14ac:dyDescent="0.2">
      <c r="B83" s="95" t="s">
        <v>331</v>
      </c>
      <c r="C83" s="95" t="s">
        <v>333</v>
      </c>
      <c r="D83" s="95" t="s">
        <v>333</v>
      </c>
      <c r="E83" s="95" t="s">
        <v>255</v>
      </c>
      <c r="F83" s="95" t="s">
        <v>334</v>
      </c>
      <c r="G83" s="95" t="s">
        <v>64</v>
      </c>
      <c r="H83" s="95" t="s">
        <v>254</v>
      </c>
      <c r="I83" s="132">
        <v>9</v>
      </c>
      <c r="J83" s="95">
        <v>3</v>
      </c>
      <c r="K83" s="95">
        <f t="shared" ref="K83:K146" si="1">COUNTIFS($B$1:$B$16,C83,$D$1:$D$16,E83)</f>
        <v>0</v>
      </c>
      <c r="L83" s="95" t="str">
        <f>IFERROR(VLOOKUP(GroupPop2018[[#This Row],[Group]],Grouping[#All],2,0),"Unknown")</f>
        <v>3 - Other areas with curbside</v>
      </c>
      <c r="M83" s="95" t="str">
        <f>INDEX(Frequency[Collection_Frequency],MATCH(GroupPop2018[[#This Row],[FreqCode]],Frequency[Orig_Frequency_ID],0))</f>
        <v>Weekly</v>
      </c>
      <c r="N83" s="95" t="str">
        <f>IF(GroupPop2018[[#This Row],[Group]]=1,"Metro",IF(GroupPop2018[[#This Row],[Group]]=4,"Nowhere",IF(GroupPop2018[[#This Row],[Group]]=3,"Remote",IF(GroupPop2018[[#This Row],[County]]="Marion","Marion County","Transported to Metro"))))</f>
        <v>Remote</v>
      </c>
      <c r="O83" s="95"/>
      <c r="P83" s="100">
        <f>GroupPop2018[[#This Row],[Pop2018]]*(1+SUMIFS(Growth[GrowthRate],Growth[Grouping_ID],GroupPop2018[[#This Row],[Group]]))</f>
        <v>9.6598464395225818</v>
      </c>
    </row>
    <row r="84" spans="2:16" x14ac:dyDescent="0.2">
      <c r="B84" s="95" t="s">
        <v>331</v>
      </c>
      <c r="C84" s="95" t="s">
        <v>335</v>
      </c>
      <c r="D84" s="95" t="s">
        <v>335</v>
      </c>
      <c r="E84" s="95" t="s">
        <v>258</v>
      </c>
      <c r="F84" s="95" t="s">
        <v>335</v>
      </c>
      <c r="G84" s="95" t="s">
        <v>127</v>
      </c>
      <c r="H84" s="95" t="s">
        <v>259</v>
      </c>
      <c r="I84" s="132">
        <v>24718</v>
      </c>
      <c r="J84" s="95">
        <v>4</v>
      </c>
      <c r="K84" s="95">
        <f t="shared" si="1"/>
        <v>0</v>
      </c>
      <c r="L84" s="95" t="str">
        <f>IFERROR(VLOOKUP(GroupPop2018[[#This Row],[Group]],Grouping[#All],2,0),"Unknown")</f>
        <v>4 - Areas without curbside</v>
      </c>
      <c r="M84" s="95" t="str">
        <f>INDEX(Frequency[Collection_Frequency],MATCH(GroupPop2018[[#This Row],[FreqCode]],Frequency[Orig_Frequency_ID],0))</f>
        <v>No collection</v>
      </c>
      <c r="N84" s="95" t="str">
        <f>IF(GroupPop2018[[#This Row],[Group]]=1,"Metro",IF(GroupPop2018[[#This Row],[Group]]=4,"Nowhere",IF(GroupPop2018[[#This Row],[Group]]=3,"Remote",IF(GroupPop2018[[#This Row],[County]]="Marion","Marion County","Transported to Metro"))))</f>
        <v>Nowhere</v>
      </c>
      <c r="O84" s="95"/>
      <c r="P84" s="100">
        <f>GroupPop2018[[#This Row],[Pop2018]]*(1+SUMIFS(Growth[GrowthRate],Growth[Grouping_ID],GroupPop2018[[#This Row],[Group]]))</f>
        <v>26530.231588013241</v>
      </c>
    </row>
    <row r="85" spans="2:16" x14ac:dyDescent="0.2">
      <c r="B85" s="95" t="s">
        <v>331</v>
      </c>
      <c r="C85" s="95" t="s">
        <v>336</v>
      </c>
      <c r="D85" s="95" t="s">
        <v>336</v>
      </c>
      <c r="E85" s="95" t="s">
        <v>253</v>
      </c>
      <c r="F85" s="95" t="s">
        <v>336</v>
      </c>
      <c r="G85" s="95" t="s">
        <v>64</v>
      </c>
      <c r="H85" s="95" t="s">
        <v>259</v>
      </c>
      <c r="I85" s="132">
        <v>3915</v>
      </c>
      <c r="J85" s="95">
        <v>3</v>
      </c>
      <c r="K85" s="95">
        <f t="shared" si="1"/>
        <v>0</v>
      </c>
      <c r="L85" s="95" t="str">
        <f>IFERROR(VLOOKUP(GroupPop2018[[#This Row],[Group]],Grouping[#All],2,0),"Unknown")</f>
        <v>3 - Other areas with curbside</v>
      </c>
      <c r="M85" s="95" t="str">
        <f>INDEX(Frequency[Collection_Frequency],MATCH(GroupPop2018[[#This Row],[FreqCode]],Frequency[Orig_Frequency_ID],0))</f>
        <v>Weekly</v>
      </c>
      <c r="N85" s="95" t="str">
        <f>IF(GroupPop2018[[#This Row],[Group]]=1,"Metro",IF(GroupPop2018[[#This Row],[Group]]=4,"Nowhere",IF(GroupPop2018[[#This Row],[Group]]=3,"Remote",IF(GroupPop2018[[#This Row],[County]]="Marion","Marion County","Transported to Metro"))))</f>
        <v>Remote</v>
      </c>
      <c r="O85" s="95"/>
      <c r="P85" s="100">
        <f>GroupPop2018[[#This Row],[Pop2018]]*(1+SUMIFS(Growth[GrowthRate],Growth[Grouping_ID],GroupPop2018[[#This Row],[Group]]))</f>
        <v>4202.0332011923228</v>
      </c>
    </row>
    <row r="86" spans="2:16" x14ac:dyDescent="0.2">
      <c r="B86" s="95" t="s">
        <v>331</v>
      </c>
      <c r="C86" s="95" t="s">
        <v>336</v>
      </c>
      <c r="D86" s="95" t="s">
        <v>336</v>
      </c>
      <c r="E86" s="95" t="s">
        <v>255</v>
      </c>
      <c r="F86" s="95" t="s">
        <v>337</v>
      </c>
      <c r="G86" s="95" t="s">
        <v>64</v>
      </c>
      <c r="H86" s="95" t="s">
        <v>259</v>
      </c>
      <c r="I86" s="132">
        <v>9</v>
      </c>
      <c r="J86" s="95">
        <v>3</v>
      </c>
      <c r="K86" s="95">
        <f t="shared" si="1"/>
        <v>0</v>
      </c>
      <c r="L86" s="95" t="str">
        <f>IFERROR(VLOOKUP(GroupPop2018[[#This Row],[Group]],Grouping[#All],2,0),"Unknown")</f>
        <v>3 - Other areas with curbside</v>
      </c>
      <c r="M86" s="95" t="str">
        <f>INDEX(Frequency[Collection_Frequency],MATCH(GroupPop2018[[#This Row],[FreqCode]],Frequency[Orig_Frequency_ID],0))</f>
        <v>Weekly</v>
      </c>
      <c r="N86" s="95" t="str">
        <f>IF(GroupPop2018[[#This Row],[Group]]=1,"Metro",IF(GroupPop2018[[#This Row],[Group]]=4,"Nowhere",IF(GroupPop2018[[#This Row],[Group]]=3,"Remote",IF(GroupPop2018[[#This Row],[County]]="Marion","Marion County","Transported to Metro"))))</f>
        <v>Remote</v>
      </c>
      <c r="O86" s="95"/>
      <c r="P86" s="100">
        <f>GroupPop2018[[#This Row],[Pop2018]]*(1+SUMIFS(Growth[GrowthRate],Growth[Grouping_ID],GroupPop2018[[#This Row],[Group]]))</f>
        <v>9.6598464395225818</v>
      </c>
    </row>
    <row r="87" spans="2:16" x14ac:dyDescent="0.2">
      <c r="B87" s="95" t="s">
        <v>331</v>
      </c>
      <c r="C87" s="95" t="s">
        <v>338</v>
      </c>
      <c r="D87" s="95" t="s">
        <v>338</v>
      </c>
      <c r="E87" s="95" t="s">
        <v>253</v>
      </c>
      <c r="F87" s="95" t="s">
        <v>338</v>
      </c>
      <c r="G87" s="95" t="s">
        <v>53</v>
      </c>
      <c r="H87" s="95" t="s">
        <v>259</v>
      </c>
      <c r="I87" s="132">
        <v>1735</v>
      </c>
      <c r="J87" s="95">
        <v>3</v>
      </c>
      <c r="K87" s="95">
        <f t="shared" si="1"/>
        <v>0</v>
      </c>
      <c r="L87" s="95" t="str">
        <f>IFERROR(VLOOKUP(GroupPop2018[[#This Row],[Group]],Grouping[#All],2,0),"Unknown")</f>
        <v>3 - Other areas with curbside</v>
      </c>
      <c r="M87" s="95" t="str">
        <f>INDEX(Frequency[Collection_Frequency],MATCH(GroupPop2018[[#This Row],[FreqCode]],Frequency[Orig_Frequency_ID],0))</f>
        <v>Every other week</v>
      </c>
      <c r="N87" s="95" t="str">
        <f>IF(GroupPop2018[[#This Row],[Group]]=1,"Metro",IF(GroupPop2018[[#This Row],[Group]]=4,"Nowhere",IF(GroupPop2018[[#This Row],[Group]]=3,"Remote",IF(GroupPop2018[[#This Row],[County]]="Marion","Marion County","Transported to Metro"))))</f>
        <v>Remote</v>
      </c>
      <c r="O87" s="95"/>
      <c r="P87" s="100">
        <f>GroupPop2018[[#This Row],[Pop2018]]*(1+SUMIFS(Growth[GrowthRate],Growth[Grouping_ID],GroupPop2018[[#This Row],[Group]]))</f>
        <v>1862.203730285742</v>
      </c>
    </row>
    <row r="88" spans="2:16" x14ac:dyDescent="0.2">
      <c r="B88" s="95" t="s">
        <v>331</v>
      </c>
      <c r="C88" s="95" t="s">
        <v>339</v>
      </c>
      <c r="D88" s="95" t="s">
        <v>339</v>
      </c>
      <c r="E88" s="95" t="s">
        <v>253</v>
      </c>
      <c r="F88" s="95" t="s">
        <v>339</v>
      </c>
      <c r="G88" s="95" t="s">
        <v>66</v>
      </c>
      <c r="H88" s="95" t="s">
        <v>259</v>
      </c>
      <c r="I88" s="132">
        <v>2535</v>
      </c>
      <c r="J88" s="95">
        <v>3</v>
      </c>
      <c r="K88" s="95">
        <f t="shared" si="1"/>
        <v>0</v>
      </c>
      <c r="L88" s="95" t="str">
        <f>IFERROR(VLOOKUP(GroupPop2018[[#This Row],[Group]],Grouping[#All],2,0),"Unknown")</f>
        <v>3 - Other areas with curbside</v>
      </c>
      <c r="M88" s="95" t="str">
        <f>INDEX(Frequency[Collection_Frequency],MATCH(GroupPop2018[[#This Row],[FreqCode]],Frequency[Orig_Frequency_ID],0))</f>
        <v>Bimonthly</v>
      </c>
      <c r="N88" s="95" t="str">
        <f>IF(GroupPop2018[[#This Row],[Group]]=1,"Metro",IF(GroupPop2018[[#This Row],[Group]]=4,"Nowhere",IF(GroupPop2018[[#This Row],[Group]]=3,"Remote",IF(GroupPop2018[[#This Row],[County]]="Marion","Marion County","Transported to Metro"))))</f>
        <v>Remote</v>
      </c>
      <c r="O88" s="95"/>
      <c r="P88" s="100">
        <f>GroupPop2018[[#This Row],[Pop2018]]*(1+SUMIFS(Growth[GrowthRate],Growth[Grouping_ID],GroupPop2018[[#This Row],[Group]]))</f>
        <v>2720.856747132194</v>
      </c>
    </row>
    <row r="89" spans="2:16" x14ac:dyDescent="0.2">
      <c r="B89" s="95" t="s">
        <v>331</v>
      </c>
      <c r="C89" s="95" t="s">
        <v>340</v>
      </c>
      <c r="D89" s="95" t="s">
        <v>340</v>
      </c>
      <c r="E89" s="95" t="s">
        <v>253</v>
      </c>
      <c r="F89" s="95" t="s">
        <v>340</v>
      </c>
      <c r="G89" s="95" t="s">
        <v>64</v>
      </c>
      <c r="H89" s="95" t="s">
        <v>254</v>
      </c>
      <c r="I89" s="132">
        <v>9815</v>
      </c>
      <c r="J89" s="95">
        <v>3</v>
      </c>
      <c r="K89" s="95">
        <f t="shared" si="1"/>
        <v>0</v>
      </c>
      <c r="L89" s="95" t="str">
        <f>IFERROR(VLOOKUP(GroupPop2018[[#This Row],[Group]],Grouping[#All],2,0),"Unknown")</f>
        <v>3 - Other areas with curbside</v>
      </c>
      <c r="M89" s="95" t="str">
        <f>INDEX(Frequency[Collection_Frequency],MATCH(GroupPop2018[[#This Row],[FreqCode]],Frequency[Orig_Frequency_ID],0))</f>
        <v>Weekly</v>
      </c>
      <c r="N89" s="95" t="str">
        <f>IF(GroupPop2018[[#This Row],[Group]]=1,"Metro",IF(GroupPop2018[[#This Row],[Group]]=4,"Nowhere",IF(GroupPop2018[[#This Row],[Group]]=3,"Remote",IF(GroupPop2018[[#This Row],[County]]="Marion","Marion County","Transported to Metro"))))</f>
        <v>Remote</v>
      </c>
      <c r="O89" s="95"/>
      <c r="P89" s="100">
        <f>GroupPop2018[[#This Row],[Pop2018]]*(1+SUMIFS(Growth[GrowthRate],Growth[Grouping_ID],GroupPop2018[[#This Row],[Group]]))</f>
        <v>10534.599200434905</v>
      </c>
    </row>
    <row r="90" spans="2:16" x14ac:dyDescent="0.2">
      <c r="B90" s="95" t="s">
        <v>331</v>
      </c>
      <c r="C90" s="95" t="s">
        <v>340</v>
      </c>
      <c r="D90" s="95" t="s">
        <v>340</v>
      </c>
      <c r="E90" s="95" t="s">
        <v>255</v>
      </c>
      <c r="F90" s="95" t="s">
        <v>341</v>
      </c>
      <c r="G90" s="95" t="s">
        <v>64</v>
      </c>
      <c r="H90" s="95" t="s">
        <v>254</v>
      </c>
      <c r="I90" s="132">
        <v>9</v>
      </c>
      <c r="J90" s="95">
        <v>3</v>
      </c>
      <c r="K90" s="95">
        <f t="shared" si="1"/>
        <v>0</v>
      </c>
      <c r="L90" s="95" t="str">
        <f>IFERROR(VLOOKUP(GroupPop2018[[#This Row],[Group]],Grouping[#All],2,0),"Unknown")</f>
        <v>3 - Other areas with curbside</v>
      </c>
      <c r="M90" s="95" t="str">
        <f>INDEX(Frequency[Collection_Frequency],MATCH(GroupPop2018[[#This Row],[FreqCode]],Frequency[Orig_Frequency_ID],0))</f>
        <v>Weekly</v>
      </c>
      <c r="N90" s="95" t="str">
        <f>IF(GroupPop2018[[#This Row],[Group]]=1,"Metro",IF(GroupPop2018[[#This Row],[Group]]=4,"Nowhere",IF(GroupPop2018[[#This Row],[Group]]=3,"Remote",IF(GroupPop2018[[#This Row],[County]]="Marion","Marion County","Transported to Metro"))))</f>
        <v>Remote</v>
      </c>
      <c r="O90" s="95"/>
      <c r="P90" s="100">
        <f>GroupPop2018[[#This Row],[Pop2018]]*(1+SUMIFS(Growth[GrowthRate],Growth[Grouping_ID],GroupPop2018[[#This Row],[Group]]))</f>
        <v>9.6598464395225818</v>
      </c>
    </row>
    <row r="91" spans="2:16" x14ac:dyDescent="0.2">
      <c r="B91" s="95" t="s">
        <v>331</v>
      </c>
      <c r="C91" s="95" t="s">
        <v>342</v>
      </c>
      <c r="D91" s="95" t="s">
        <v>342</v>
      </c>
      <c r="E91" s="95" t="s">
        <v>253</v>
      </c>
      <c r="F91" s="95" t="s">
        <v>342</v>
      </c>
      <c r="G91" s="95" t="s">
        <v>127</v>
      </c>
      <c r="H91" s="95" t="s">
        <v>259</v>
      </c>
      <c r="I91" s="132">
        <v>695</v>
      </c>
      <c r="J91" s="95">
        <v>4</v>
      </c>
      <c r="K91" s="95">
        <f t="shared" si="1"/>
        <v>0</v>
      </c>
      <c r="L91" s="95" t="str">
        <f>IFERROR(VLOOKUP(GroupPop2018[[#This Row],[Group]],Grouping[#All],2,0),"Unknown")</f>
        <v>4 - Areas without curbside</v>
      </c>
      <c r="M91" s="95" t="str">
        <f>INDEX(Frequency[Collection_Frequency],MATCH(GroupPop2018[[#This Row],[FreqCode]],Frequency[Orig_Frequency_ID],0))</f>
        <v>No collection</v>
      </c>
      <c r="N91" s="95" t="str">
        <f>IF(GroupPop2018[[#This Row],[Group]]=1,"Metro",IF(GroupPop2018[[#This Row],[Group]]=4,"Nowhere",IF(GroupPop2018[[#This Row],[Group]]=3,"Remote",IF(GroupPop2018[[#This Row],[County]]="Marion","Marion County","Transported to Metro"))))</f>
        <v>Nowhere</v>
      </c>
      <c r="O91" s="95"/>
      <c r="P91" s="100">
        <f>GroupPop2018[[#This Row],[Pop2018]]*(1+SUMIFS(Growth[GrowthRate],Growth[Grouping_ID],GroupPop2018[[#This Row],[Group]]))</f>
        <v>745.95480838535491</v>
      </c>
    </row>
    <row r="92" spans="2:16" x14ac:dyDescent="0.2">
      <c r="B92" s="95" t="s">
        <v>343</v>
      </c>
      <c r="C92" s="95" t="s">
        <v>344</v>
      </c>
      <c r="D92" s="95" t="s">
        <v>344</v>
      </c>
      <c r="E92" s="95" t="s">
        <v>258</v>
      </c>
      <c r="F92" s="95" t="s">
        <v>344</v>
      </c>
      <c r="G92" s="95" t="s">
        <v>127</v>
      </c>
      <c r="H92" s="95" t="s">
        <v>259</v>
      </c>
      <c r="I92" s="132">
        <v>12691</v>
      </c>
      <c r="J92" s="95">
        <v>4</v>
      </c>
      <c r="K92" s="95">
        <f t="shared" si="1"/>
        <v>0</v>
      </c>
      <c r="L92" s="95" t="str">
        <f>IFERROR(VLOOKUP(GroupPop2018[[#This Row],[Group]],Grouping[#All],2,0),"Unknown")</f>
        <v>4 - Areas without curbside</v>
      </c>
      <c r="M92" s="95" t="str">
        <f>INDEX(Frequency[Collection_Frequency],MATCH(GroupPop2018[[#This Row],[FreqCode]],Frequency[Orig_Frequency_ID],0))</f>
        <v>No collection</v>
      </c>
      <c r="N92" s="95" t="str">
        <f>IF(GroupPop2018[[#This Row],[Group]]=1,"Metro",IF(GroupPop2018[[#This Row],[Group]]=4,"Nowhere",IF(GroupPop2018[[#This Row],[Group]]=3,"Remote",IF(GroupPop2018[[#This Row],[County]]="Marion","Marion County","Transported to Metro"))))</f>
        <v>Nowhere</v>
      </c>
      <c r="O92" s="95"/>
      <c r="P92" s="100">
        <f>GroupPop2018[[#This Row],[Pop2018]]*(1+SUMIFS(Growth[GrowthRate],Growth[Grouping_ID],GroupPop2018[[#This Row],[Group]]))</f>
        <v>13621.456795997898</v>
      </c>
    </row>
    <row r="93" spans="2:16" x14ac:dyDescent="0.2">
      <c r="B93" s="95" t="s">
        <v>343</v>
      </c>
      <c r="C93" s="95" t="s">
        <v>345</v>
      </c>
      <c r="D93" s="95" t="s">
        <v>345</v>
      </c>
      <c r="E93" s="95" t="s">
        <v>253</v>
      </c>
      <c r="F93" s="95" t="s">
        <v>345</v>
      </c>
      <c r="G93" s="95" t="s">
        <v>53</v>
      </c>
      <c r="H93" s="95" t="s">
        <v>254</v>
      </c>
      <c r="I93" s="132">
        <v>10010</v>
      </c>
      <c r="J93" s="95">
        <v>3</v>
      </c>
      <c r="K93" s="95">
        <f t="shared" si="1"/>
        <v>0</v>
      </c>
      <c r="L93" s="95" t="str">
        <f>IFERROR(VLOOKUP(GroupPop2018[[#This Row],[Group]],Grouping[#All],2,0),"Unknown")</f>
        <v>3 - Other areas with curbside</v>
      </c>
      <c r="M93" s="95" t="str">
        <f>INDEX(Frequency[Collection_Frequency],MATCH(GroupPop2018[[#This Row],[FreqCode]],Frequency[Orig_Frequency_ID],0))</f>
        <v>Every other week</v>
      </c>
      <c r="N93" s="95" t="str">
        <f>IF(GroupPop2018[[#This Row],[Group]]=1,"Metro",IF(GroupPop2018[[#This Row],[Group]]=4,"Nowhere",IF(GroupPop2018[[#This Row],[Group]]=3,"Remote",IF(GroupPop2018[[#This Row],[County]]="Marion","Marion County","Transported to Metro"))))</f>
        <v>Remote</v>
      </c>
      <c r="O93" s="95"/>
      <c r="P93" s="100">
        <f>GroupPop2018[[#This Row],[Pop2018]]*(1+SUMIFS(Growth[GrowthRate],Growth[Grouping_ID],GroupPop2018[[#This Row],[Group]]))</f>
        <v>10743.895873291227</v>
      </c>
    </row>
    <row r="94" spans="2:16" x14ac:dyDescent="0.2">
      <c r="B94" s="95" t="s">
        <v>343</v>
      </c>
      <c r="C94" s="95" t="s">
        <v>345</v>
      </c>
      <c r="D94" s="95" t="s">
        <v>345</v>
      </c>
      <c r="E94" s="95" t="s">
        <v>255</v>
      </c>
      <c r="F94" s="95" t="s">
        <v>346</v>
      </c>
      <c r="G94" s="95" t="s">
        <v>53</v>
      </c>
      <c r="H94" s="95" t="s">
        <v>254</v>
      </c>
      <c r="I94" s="132">
        <v>9</v>
      </c>
      <c r="J94" s="95">
        <v>3</v>
      </c>
      <c r="K94" s="95">
        <f t="shared" si="1"/>
        <v>0</v>
      </c>
      <c r="L94" s="95" t="str">
        <f>IFERROR(VLOOKUP(GroupPop2018[[#This Row],[Group]],Grouping[#All],2,0),"Unknown")</f>
        <v>3 - Other areas with curbside</v>
      </c>
      <c r="M94" s="95" t="str">
        <f>INDEX(Frequency[Collection_Frequency],MATCH(GroupPop2018[[#This Row],[FreqCode]],Frequency[Orig_Frequency_ID],0))</f>
        <v>Every other week</v>
      </c>
      <c r="N94" s="95" t="str">
        <f>IF(GroupPop2018[[#This Row],[Group]]=1,"Metro",IF(GroupPop2018[[#This Row],[Group]]=4,"Nowhere",IF(GroupPop2018[[#This Row],[Group]]=3,"Remote",IF(GroupPop2018[[#This Row],[County]]="Marion","Marion County","Transported to Metro"))))</f>
        <v>Remote</v>
      </c>
      <c r="O94" s="95"/>
      <c r="P94" s="100">
        <f>GroupPop2018[[#This Row],[Pop2018]]*(1+SUMIFS(Growth[GrowthRate],Growth[Grouping_ID],GroupPop2018[[#This Row],[Group]]))</f>
        <v>9.6598464395225818</v>
      </c>
    </row>
    <row r="95" spans="2:16" x14ac:dyDescent="0.2">
      <c r="B95" s="95" t="s">
        <v>347</v>
      </c>
      <c r="C95" s="95" t="s">
        <v>348</v>
      </c>
      <c r="D95" s="95" t="s">
        <v>348</v>
      </c>
      <c r="E95" s="95" t="s">
        <v>349</v>
      </c>
      <c r="F95" s="95" t="s">
        <v>348</v>
      </c>
      <c r="G95" s="95" t="s">
        <v>127</v>
      </c>
      <c r="H95" s="95" t="s">
        <v>259</v>
      </c>
      <c r="I95" s="132">
        <v>96</v>
      </c>
      <c r="J95" s="95">
        <v>4</v>
      </c>
      <c r="K95" s="95">
        <f t="shared" si="1"/>
        <v>0</v>
      </c>
      <c r="L95" s="95" t="str">
        <f>IFERROR(VLOOKUP(GroupPop2018[[#This Row],[Group]],Grouping[#All],2,0),"Unknown")</f>
        <v>4 - Areas without curbside</v>
      </c>
      <c r="M95" s="95" t="str">
        <f>INDEX(Frequency[Collection_Frequency],MATCH(GroupPop2018[[#This Row],[FreqCode]],Frequency[Orig_Frequency_ID],0))</f>
        <v>No collection</v>
      </c>
      <c r="N95" s="95" t="str">
        <f>IF(GroupPop2018[[#This Row],[Group]]=1,"Metro",IF(GroupPop2018[[#This Row],[Group]]=4,"Nowhere",IF(GroupPop2018[[#This Row],[Group]]=3,"Remote",IF(GroupPop2018[[#This Row],[County]]="Marion","Marion County","Transported to Metro"))))</f>
        <v>Nowhere</v>
      </c>
      <c r="O95" s="95"/>
      <c r="P95" s="100">
        <f>GroupPop2018[[#This Row],[Pop2018]]*(1+SUMIFS(Growth[GrowthRate],Growth[Grouping_ID],GroupPop2018[[#This Row],[Group]]))</f>
        <v>103.0383620215742</v>
      </c>
    </row>
    <row r="96" spans="2:16" x14ac:dyDescent="0.2">
      <c r="B96" s="95" t="s">
        <v>347</v>
      </c>
      <c r="C96" s="95" t="s">
        <v>350</v>
      </c>
      <c r="D96" s="95" t="s">
        <v>350</v>
      </c>
      <c r="E96" s="95" t="s">
        <v>253</v>
      </c>
      <c r="F96" s="95" t="s">
        <v>350</v>
      </c>
      <c r="G96" s="95" t="s">
        <v>53</v>
      </c>
      <c r="H96" s="95" t="s">
        <v>254</v>
      </c>
      <c r="I96" s="132">
        <v>6630</v>
      </c>
      <c r="J96" s="95">
        <v>3</v>
      </c>
      <c r="K96" s="95">
        <f t="shared" si="1"/>
        <v>0</v>
      </c>
      <c r="L96" s="95" t="str">
        <f>IFERROR(VLOOKUP(GroupPop2018[[#This Row],[Group]],Grouping[#All],2,0),"Unknown")</f>
        <v>3 - Other areas with curbside</v>
      </c>
      <c r="M96" s="95" t="str">
        <f>INDEX(Frequency[Collection_Frequency],MATCH(GroupPop2018[[#This Row],[FreqCode]],Frequency[Orig_Frequency_ID],0))</f>
        <v>Every other week</v>
      </c>
      <c r="N96" s="95" t="str">
        <f>IF(GroupPop2018[[#This Row],[Group]]=1,"Metro",IF(GroupPop2018[[#This Row],[Group]]=4,"Nowhere",IF(GroupPop2018[[#This Row],[Group]]=3,"Remote",IF(GroupPop2018[[#This Row],[County]]="Marion","Marion County","Transported to Metro"))))</f>
        <v>Remote</v>
      </c>
      <c r="O96" s="95"/>
      <c r="P96" s="100">
        <f>GroupPop2018[[#This Row],[Pop2018]]*(1+SUMIFS(Growth[GrowthRate],Growth[Grouping_ID],GroupPop2018[[#This Row],[Group]]))</f>
        <v>7116.086877114968</v>
      </c>
    </row>
    <row r="97" spans="2:16" x14ac:dyDescent="0.2">
      <c r="B97" s="95" t="s">
        <v>347</v>
      </c>
      <c r="C97" s="95" t="s">
        <v>350</v>
      </c>
      <c r="D97" s="95" t="s">
        <v>350</v>
      </c>
      <c r="E97" s="95" t="s">
        <v>255</v>
      </c>
      <c r="F97" s="95" t="s">
        <v>351</v>
      </c>
      <c r="G97" s="95" t="s">
        <v>53</v>
      </c>
      <c r="H97" s="95" t="s">
        <v>254</v>
      </c>
      <c r="I97" s="132">
        <v>9</v>
      </c>
      <c r="J97" s="95">
        <v>3</v>
      </c>
      <c r="K97" s="95">
        <f t="shared" si="1"/>
        <v>0</v>
      </c>
      <c r="L97" s="95" t="str">
        <f>IFERROR(VLOOKUP(GroupPop2018[[#This Row],[Group]],Grouping[#All],2,0),"Unknown")</f>
        <v>3 - Other areas with curbside</v>
      </c>
      <c r="M97" s="95" t="str">
        <f>INDEX(Frequency[Collection_Frequency],MATCH(GroupPop2018[[#This Row],[FreqCode]],Frequency[Orig_Frequency_ID],0))</f>
        <v>Every other week</v>
      </c>
      <c r="N97" s="95" t="str">
        <f>IF(GroupPop2018[[#This Row],[Group]]=1,"Metro",IF(GroupPop2018[[#This Row],[Group]]=4,"Nowhere",IF(GroupPop2018[[#This Row],[Group]]=3,"Remote",IF(GroupPop2018[[#This Row],[County]]="Marion","Marion County","Transported to Metro"))))</f>
        <v>Remote</v>
      </c>
      <c r="O97" s="95"/>
      <c r="P97" s="100">
        <f>GroupPop2018[[#This Row],[Pop2018]]*(1+SUMIFS(Growth[GrowthRate],Growth[Grouping_ID],GroupPop2018[[#This Row],[Group]]))</f>
        <v>9.6598464395225818</v>
      </c>
    </row>
    <row r="98" spans="2:16" x14ac:dyDescent="0.2">
      <c r="B98" s="95" t="s">
        <v>347</v>
      </c>
      <c r="C98" s="95" t="s">
        <v>352</v>
      </c>
      <c r="D98" s="95" t="s">
        <v>353</v>
      </c>
      <c r="E98" s="95" t="s">
        <v>258</v>
      </c>
      <c r="F98" s="95" t="s">
        <v>352</v>
      </c>
      <c r="G98" s="95" t="s">
        <v>127</v>
      </c>
      <c r="H98" s="95" t="s">
        <v>259</v>
      </c>
      <c r="I98" s="132">
        <v>3832</v>
      </c>
      <c r="J98" s="95">
        <v>4</v>
      </c>
      <c r="K98" s="95">
        <f t="shared" si="1"/>
        <v>0</v>
      </c>
      <c r="L98" s="95" t="str">
        <f>IFERROR(VLOOKUP(GroupPop2018[[#This Row],[Group]],Grouping[#All],2,0),"Unknown")</f>
        <v>4 - Areas without curbside</v>
      </c>
      <c r="M98" s="95" t="str">
        <f>INDEX(Frequency[Collection_Frequency],MATCH(GroupPop2018[[#This Row],[FreqCode]],Frequency[Orig_Frequency_ID],0))</f>
        <v>No collection</v>
      </c>
      <c r="N98" s="95" t="str">
        <f>IF(GroupPop2018[[#This Row],[Group]]=1,"Metro",IF(GroupPop2018[[#This Row],[Group]]=4,"Nowhere",IF(GroupPop2018[[#This Row],[Group]]=3,"Remote",IF(GroupPop2018[[#This Row],[County]]="Marion","Marion County","Transported to Metro"))))</f>
        <v>Nowhere</v>
      </c>
      <c r="O98" s="95">
        <v>2</v>
      </c>
      <c r="P98" s="100">
        <f>GroupPop2018[[#This Row],[Pop2018]]*(1+SUMIFS(Growth[GrowthRate],Growth[Grouping_ID],GroupPop2018[[#This Row],[Group]]))</f>
        <v>4112.9479506945036</v>
      </c>
    </row>
    <row r="99" spans="2:16" x14ac:dyDescent="0.2">
      <c r="B99" s="95" t="s">
        <v>347</v>
      </c>
      <c r="C99" s="95" t="s">
        <v>354</v>
      </c>
      <c r="D99" s="95" t="s">
        <v>353</v>
      </c>
      <c r="E99" s="95" t="s">
        <v>258</v>
      </c>
      <c r="F99" s="95" t="s">
        <v>354</v>
      </c>
      <c r="G99" s="95" t="s">
        <v>53</v>
      </c>
      <c r="H99" s="95" t="s">
        <v>259</v>
      </c>
      <c r="I99" s="132">
        <v>4000</v>
      </c>
      <c r="J99" s="95">
        <v>3</v>
      </c>
      <c r="K99" s="95">
        <f t="shared" si="1"/>
        <v>0</v>
      </c>
      <c r="L99" s="95" t="str">
        <f>IFERROR(VLOOKUP(GroupPop2018[[#This Row],[Group]],Grouping[#All],2,0),"Unknown")</f>
        <v>3 - Other areas with curbside</v>
      </c>
      <c r="M99" s="95" t="str">
        <f>INDEX(Frequency[Collection_Frequency],MATCH(GroupPop2018[[#This Row],[FreqCode]],Frequency[Orig_Frequency_ID],0))</f>
        <v>Every other week</v>
      </c>
      <c r="N99" s="95" t="str">
        <f>IF(GroupPop2018[[#This Row],[Group]]=1,"Metro",IF(GroupPop2018[[#This Row],[Group]]=4,"Nowhere",IF(GroupPop2018[[#This Row],[Group]]=3,"Remote",IF(GroupPop2018[[#This Row],[County]]="Marion","Marion County","Transported to Metro"))))</f>
        <v>Remote</v>
      </c>
      <c r="O99" s="95">
        <v>1</v>
      </c>
      <c r="P99" s="100">
        <f>GroupPop2018[[#This Row],[Pop2018]]*(1+SUMIFS(Growth[GrowthRate],Growth[Grouping_ID],GroupPop2018[[#This Row],[Group]]))</f>
        <v>4293.2650842322582</v>
      </c>
    </row>
    <row r="100" spans="2:16" x14ac:dyDescent="0.2">
      <c r="B100" s="95" t="s">
        <v>347</v>
      </c>
      <c r="C100" s="95" t="s">
        <v>355</v>
      </c>
      <c r="D100" s="95" t="s">
        <v>355</v>
      </c>
      <c r="E100" s="95" t="s">
        <v>253</v>
      </c>
      <c r="F100" s="95" t="s">
        <v>355</v>
      </c>
      <c r="G100" s="95" t="s">
        <v>53</v>
      </c>
      <c r="H100" s="95" t="s">
        <v>259</v>
      </c>
      <c r="I100" s="132">
        <v>2265</v>
      </c>
      <c r="J100" s="95">
        <v>3</v>
      </c>
      <c r="K100" s="95">
        <f t="shared" si="1"/>
        <v>0</v>
      </c>
      <c r="L100" s="95" t="str">
        <f>IFERROR(VLOOKUP(GroupPop2018[[#This Row],[Group]],Grouping[#All],2,0),"Unknown")</f>
        <v>3 - Other areas with curbside</v>
      </c>
      <c r="M100" s="95" t="str">
        <f>INDEX(Frequency[Collection_Frequency],MATCH(GroupPop2018[[#This Row],[FreqCode]],Frequency[Orig_Frequency_ID],0))</f>
        <v>Every other week</v>
      </c>
      <c r="N100" s="95" t="str">
        <f>IF(GroupPop2018[[#This Row],[Group]]=1,"Metro",IF(GroupPop2018[[#This Row],[Group]]=4,"Nowhere",IF(GroupPop2018[[#This Row],[Group]]=3,"Remote",IF(GroupPop2018[[#This Row],[County]]="Marion","Marion County","Transported to Metro"))))</f>
        <v>Remote</v>
      </c>
      <c r="O100" s="95"/>
      <c r="P100" s="100">
        <f>GroupPop2018[[#This Row],[Pop2018]]*(1+SUMIFS(Growth[GrowthRate],Growth[Grouping_ID],GroupPop2018[[#This Row],[Group]]))</f>
        <v>2431.0613539465162</v>
      </c>
    </row>
    <row r="101" spans="2:16" x14ac:dyDescent="0.2">
      <c r="B101" s="95" t="s">
        <v>347</v>
      </c>
      <c r="C101" s="95" t="s">
        <v>356</v>
      </c>
      <c r="D101" s="95" t="s">
        <v>356</v>
      </c>
      <c r="E101" s="95" t="s">
        <v>349</v>
      </c>
      <c r="F101" s="95" t="s">
        <v>356</v>
      </c>
      <c r="G101" s="95" t="s">
        <v>64</v>
      </c>
      <c r="H101" s="95" t="s">
        <v>259</v>
      </c>
      <c r="I101" s="132">
        <v>4938</v>
      </c>
      <c r="J101" s="95">
        <v>3</v>
      </c>
      <c r="K101" s="95">
        <f t="shared" si="1"/>
        <v>0</v>
      </c>
      <c r="L101" s="95" t="str">
        <f>IFERROR(VLOOKUP(GroupPop2018[[#This Row],[Group]],Grouping[#All],2,0),"Unknown")</f>
        <v>3 - Other areas with curbside</v>
      </c>
      <c r="M101" s="95" t="str">
        <f>INDEX(Frequency[Collection_Frequency],MATCH(GroupPop2018[[#This Row],[FreqCode]],Frequency[Orig_Frequency_ID],0))</f>
        <v>Weekly</v>
      </c>
      <c r="N101" s="95" t="str">
        <f>IF(GroupPop2018[[#This Row],[Group]]=1,"Metro",IF(GroupPop2018[[#This Row],[Group]]=4,"Nowhere",IF(GroupPop2018[[#This Row],[Group]]=3,"Remote",IF(GroupPop2018[[#This Row],[County]]="Marion","Marion County","Transported to Metro"))))</f>
        <v>Remote</v>
      </c>
      <c r="O101" s="95">
        <v>2</v>
      </c>
      <c r="P101" s="100">
        <f>GroupPop2018[[#This Row],[Pop2018]]*(1+SUMIFS(Growth[GrowthRate],Growth[Grouping_ID],GroupPop2018[[#This Row],[Group]]))</f>
        <v>5300.0357464847229</v>
      </c>
    </row>
    <row r="102" spans="2:16" x14ac:dyDescent="0.2">
      <c r="B102" s="95" t="s">
        <v>347</v>
      </c>
      <c r="C102" s="95" t="s">
        <v>357</v>
      </c>
      <c r="D102" s="95" t="s">
        <v>357</v>
      </c>
      <c r="E102" s="95" t="s">
        <v>253</v>
      </c>
      <c r="F102" s="95" t="s">
        <v>357</v>
      </c>
      <c r="G102" s="95" t="s">
        <v>53</v>
      </c>
      <c r="H102" s="95" t="s">
        <v>259</v>
      </c>
      <c r="I102" s="132">
        <v>1145</v>
      </c>
      <c r="J102" s="95">
        <v>3</v>
      </c>
      <c r="K102" s="95">
        <f t="shared" si="1"/>
        <v>0</v>
      </c>
      <c r="L102" s="95" t="str">
        <f>IFERROR(VLOOKUP(GroupPop2018[[#This Row],[Group]],Grouping[#All],2,0),"Unknown")</f>
        <v>3 - Other areas with curbside</v>
      </c>
      <c r="M102" s="95" t="str">
        <f>INDEX(Frequency[Collection_Frequency],MATCH(GroupPop2018[[#This Row],[FreqCode]],Frequency[Orig_Frequency_ID],0))</f>
        <v>Every other week</v>
      </c>
      <c r="N102" s="95" t="str">
        <f>IF(GroupPop2018[[#This Row],[Group]]=1,"Metro",IF(GroupPop2018[[#This Row],[Group]]=4,"Nowhere",IF(GroupPop2018[[#This Row],[Group]]=3,"Remote",IF(GroupPop2018[[#This Row],[County]]="Marion","Marion County","Transported to Metro"))))</f>
        <v>Remote</v>
      </c>
      <c r="O102" s="95"/>
      <c r="P102" s="100">
        <f>GroupPop2018[[#This Row],[Pop2018]]*(1+SUMIFS(Growth[GrowthRate],Growth[Grouping_ID],GroupPop2018[[#This Row],[Group]]))</f>
        <v>1228.9471303614839</v>
      </c>
    </row>
    <row r="103" spans="2:16" x14ac:dyDescent="0.2">
      <c r="B103" s="95" t="s">
        <v>358</v>
      </c>
      <c r="C103" s="95" t="s">
        <v>359</v>
      </c>
      <c r="D103" s="95" t="s">
        <v>359</v>
      </c>
      <c r="E103" s="95" t="s">
        <v>253</v>
      </c>
      <c r="F103" s="95" t="s">
        <v>359</v>
      </c>
      <c r="G103" s="95" t="s">
        <v>53</v>
      </c>
      <c r="H103" s="95" t="s">
        <v>254</v>
      </c>
      <c r="I103" s="132">
        <v>89505</v>
      </c>
      <c r="J103" s="95">
        <v>2</v>
      </c>
      <c r="K103" s="95">
        <f t="shared" si="1"/>
        <v>0</v>
      </c>
      <c r="L103" s="95" t="str">
        <f>IFERROR(VLOOKUP(GroupPop2018[[#This Row],[Group]],Grouping[#All],2,0),"Unknown")</f>
        <v>2 - Willamette Valley, etc.</v>
      </c>
      <c r="M103" s="95" t="str">
        <f>INDEX(Frequency[Collection_Frequency],MATCH(GroupPop2018[[#This Row],[FreqCode]],Frequency[Orig_Frequency_ID],0))</f>
        <v>Every other week</v>
      </c>
      <c r="N103" s="95" t="str">
        <f>IF(GroupPop2018[[#This Row],[Group]]=1,"Metro",IF(GroupPop2018[[#This Row],[Group]]=4,"Nowhere",IF(GroupPop2018[[#This Row],[Group]]=3,"Remote",IF(GroupPop2018[[#This Row],[County]]="Marion","Marion County","Transported to Metro"))))</f>
        <v>Transported to Metro</v>
      </c>
      <c r="O103" s="95"/>
      <c r="P103" s="100">
        <f>GroupPop2018[[#This Row],[Pop2018]]*(1+SUMIFS(Growth[GrowthRate],Growth[Grouping_ID],GroupPop2018[[#This Row],[Group]]))</f>
        <v>95333.892477977628</v>
      </c>
    </row>
    <row r="104" spans="2:16" x14ac:dyDescent="0.2">
      <c r="B104" s="95" t="s">
        <v>358</v>
      </c>
      <c r="C104" s="95" t="s">
        <v>359</v>
      </c>
      <c r="D104" s="95" t="s">
        <v>359</v>
      </c>
      <c r="E104" s="95" t="s">
        <v>255</v>
      </c>
      <c r="F104" s="95" t="s">
        <v>360</v>
      </c>
      <c r="G104" s="95" t="s">
        <v>53</v>
      </c>
      <c r="H104" s="95" t="s">
        <v>254</v>
      </c>
      <c r="I104" s="132">
        <v>9</v>
      </c>
      <c r="J104" s="95">
        <v>2</v>
      </c>
      <c r="K104" s="95">
        <f t="shared" si="1"/>
        <v>0</v>
      </c>
      <c r="L104" s="95" t="str">
        <f>IFERROR(VLOOKUP(GroupPop2018[[#This Row],[Group]],Grouping[#All],2,0),"Unknown")</f>
        <v>2 - Willamette Valley, etc.</v>
      </c>
      <c r="M104" s="95" t="str">
        <f>INDEX(Frequency[Collection_Frequency],MATCH(GroupPop2018[[#This Row],[FreqCode]],Frequency[Orig_Frequency_ID],0))</f>
        <v>Every other week</v>
      </c>
      <c r="N104" s="95" t="str">
        <f>IF(GroupPop2018[[#This Row],[Group]]=1,"Metro",IF(GroupPop2018[[#This Row],[Group]]=4,"Nowhere",IF(GroupPop2018[[#This Row],[Group]]=3,"Remote",IF(GroupPop2018[[#This Row],[County]]="Marion","Marion County","Transported to Metro"))))</f>
        <v>Transported to Metro</v>
      </c>
      <c r="O104" s="95"/>
      <c r="P104" s="100">
        <f>GroupPop2018[[#This Row],[Pop2018]]*(1+SUMIFS(Growth[GrowthRate],Growth[Grouping_ID],GroupPop2018[[#This Row],[Group]]))</f>
        <v>9.586112868574924</v>
      </c>
    </row>
    <row r="105" spans="2:16" x14ac:dyDescent="0.2">
      <c r="B105" s="95" t="s">
        <v>358</v>
      </c>
      <c r="C105" s="95" t="s">
        <v>361</v>
      </c>
      <c r="D105" s="95" t="s">
        <v>362</v>
      </c>
      <c r="E105" s="95" t="s">
        <v>258</v>
      </c>
      <c r="F105" s="95" t="s">
        <v>361</v>
      </c>
      <c r="G105" s="95" t="s">
        <v>127</v>
      </c>
      <c r="H105" s="95" t="s">
        <v>259</v>
      </c>
      <c r="I105" s="132">
        <v>55702</v>
      </c>
      <c r="J105" s="95">
        <v>4</v>
      </c>
      <c r="K105" s="95">
        <f t="shared" si="1"/>
        <v>0</v>
      </c>
      <c r="L105" s="95" t="str">
        <f>IFERROR(VLOOKUP(GroupPop2018[[#This Row],[Group]],Grouping[#All],2,0),"Unknown")</f>
        <v>4 - Areas without curbside</v>
      </c>
      <c r="M105" s="95" t="str">
        <f>INDEX(Frequency[Collection_Frequency],MATCH(GroupPop2018[[#This Row],[FreqCode]],Frequency[Orig_Frequency_ID],0))</f>
        <v>No collection</v>
      </c>
      <c r="N105" s="95" t="str">
        <f>IF(GroupPop2018[[#This Row],[Group]]=1,"Metro",IF(GroupPop2018[[#This Row],[Group]]=4,"Nowhere",IF(GroupPop2018[[#This Row],[Group]]=3,"Remote",IF(GroupPop2018[[#This Row],[County]]="Marion","Marion County","Transported to Metro"))))</f>
        <v>Nowhere</v>
      </c>
      <c r="O105" s="95">
        <v>2</v>
      </c>
      <c r="P105" s="100">
        <f>GroupPop2018[[#This Row],[Pop2018]]*(1+SUMIFS(Growth[GrowthRate],Growth[Grouping_ID],GroupPop2018[[#This Row],[Group]]))</f>
        <v>59785.862930476316</v>
      </c>
    </row>
    <row r="106" spans="2:16" x14ac:dyDescent="0.2">
      <c r="B106" s="95" t="s">
        <v>358</v>
      </c>
      <c r="C106" s="95" t="s">
        <v>363</v>
      </c>
      <c r="D106" s="95" t="s">
        <v>362</v>
      </c>
      <c r="E106" s="95" t="s">
        <v>258</v>
      </c>
      <c r="F106" s="95" t="s">
        <v>363</v>
      </c>
      <c r="G106" s="95" t="s">
        <v>53</v>
      </c>
      <c r="H106" s="95" t="s">
        <v>259</v>
      </c>
      <c r="I106" s="132">
        <v>10000</v>
      </c>
      <c r="J106" s="95">
        <v>2</v>
      </c>
      <c r="K106" s="95">
        <f t="shared" si="1"/>
        <v>0</v>
      </c>
      <c r="L106" s="95" t="str">
        <f>IFERROR(VLOOKUP(GroupPop2018[[#This Row],[Group]],Grouping[#All],2,0),"Unknown")</f>
        <v>2 - Willamette Valley, etc.</v>
      </c>
      <c r="M106" s="95" t="str">
        <f>INDEX(Frequency[Collection_Frequency],MATCH(GroupPop2018[[#This Row],[FreqCode]],Frequency[Orig_Frequency_ID],0))</f>
        <v>Every other week</v>
      </c>
      <c r="N106" s="95" t="str">
        <f>IF(GroupPop2018[[#This Row],[Group]]=1,"Metro",IF(GroupPop2018[[#This Row],[Group]]=4,"Nowhere",IF(GroupPop2018[[#This Row],[Group]]=3,"Remote",IF(GroupPop2018[[#This Row],[County]]="Marion","Marion County","Transported to Metro"))))</f>
        <v>Transported to Metro</v>
      </c>
      <c r="O106" s="95">
        <v>1</v>
      </c>
      <c r="P106" s="100">
        <f>GroupPop2018[[#This Row],[Pop2018]]*(1+SUMIFS(Growth[GrowthRate],Growth[Grouping_ID],GroupPop2018[[#This Row],[Group]]))</f>
        <v>10651.236520638804</v>
      </c>
    </row>
    <row r="107" spans="2:16" x14ac:dyDescent="0.2">
      <c r="B107" s="95" t="s">
        <v>358</v>
      </c>
      <c r="C107" s="95" t="s">
        <v>364</v>
      </c>
      <c r="D107" s="95" t="s">
        <v>364</v>
      </c>
      <c r="E107" s="95" t="s">
        <v>253</v>
      </c>
      <c r="F107" s="95" t="s">
        <v>364</v>
      </c>
      <c r="G107" s="95" t="s">
        <v>127</v>
      </c>
      <c r="H107" s="95" t="s">
        <v>259</v>
      </c>
      <c r="I107" s="132">
        <v>1840</v>
      </c>
      <c r="J107" s="95">
        <v>4</v>
      </c>
      <c r="K107" s="95">
        <f t="shared" si="1"/>
        <v>0</v>
      </c>
      <c r="L107" s="95" t="str">
        <f>IFERROR(VLOOKUP(GroupPop2018[[#This Row],[Group]],Grouping[#All],2,0),"Unknown")</f>
        <v>4 - Areas without curbside</v>
      </c>
      <c r="M107" s="95" t="str">
        <f>INDEX(Frequency[Collection_Frequency],MATCH(GroupPop2018[[#This Row],[FreqCode]],Frequency[Orig_Frequency_ID],0))</f>
        <v>No collection</v>
      </c>
      <c r="N107" s="95" t="str">
        <f>IF(GroupPop2018[[#This Row],[Group]]=1,"Metro",IF(GroupPop2018[[#This Row],[Group]]=4,"Nowhere",IF(GroupPop2018[[#This Row],[Group]]=3,"Remote",IF(GroupPop2018[[#This Row],[County]]="Marion","Marion County","Transported to Metro"))))</f>
        <v>Nowhere</v>
      </c>
      <c r="O107" s="95"/>
      <c r="P107" s="100">
        <f>GroupPop2018[[#This Row],[Pop2018]]*(1+SUMIFS(Growth[GrowthRate],Growth[Grouping_ID],GroupPop2018[[#This Row],[Group]]))</f>
        <v>1974.9019387468388</v>
      </c>
    </row>
    <row r="108" spans="2:16" x14ac:dyDescent="0.2">
      <c r="B108" s="95" t="s">
        <v>358</v>
      </c>
      <c r="C108" s="95" t="s">
        <v>365</v>
      </c>
      <c r="D108" s="95" t="s">
        <v>365</v>
      </c>
      <c r="E108" s="95" t="s">
        <v>253</v>
      </c>
      <c r="F108" s="95" t="s">
        <v>365</v>
      </c>
      <c r="G108" s="95" t="s">
        <v>53</v>
      </c>
      <c r="H108" s="95" t="s">
        <v>254</v>
      </c>
      <c r="I108" s="132">
        <v>29190</v>
      </c>
      <c r="J108" s="95">
        <v>2</v>
      </c>
      <c r="K108" s="95">
        <f t="shared" si="1"/>
        <v>0</v>
      </c>
      <c r="L108" s="95" t="str">
        <f>IFERROR(VLOOKUP(GroupPop2018[[#This Row],[Group]],Grouping[#All],2,0),"Unknown")</f>
        <v>2 - Willamette Valley, etc.</v>
      </c>
      <c r="M108" s="95" t="str">
        <f>INDEX(Frequency[Collection_Frequency],MATCH(GroupPop2018[[#This Row],[FreqCode]],Frequency[Orig_Frequency_ID],0))</f>
        <v>Every other week</v>
      </c>
      <c r="N108" s="95" t="str">
        <f>IF(GroupPop2018[[#This Row],[Group]]=1,"Metro",IF(GroupPop2018[[#This Row],[Group]]=4,"Nowhere",IF(GroupPop2018[[#This Row],[Group]]=3,"Remote",IF(GroupPop2018[[#This Row],[County]]="Marion","Marion County","Transported to Metro"))))</f>
        <v>Transported to Metro</v>
      </c>
      <c r="O108" s="95"/>
      <c r="P108" s="100">
        <f>GroupPop2018[[#This Row],[Pop2018]]*(1+SUMIFS(Growth[GrowthRate],Growth[Grouping_ID],GroupPop2018[[#This Row],[Group]]))</f>
        <v>31090.959403744673</v>
      </c>
    </row>
    <row r="109" spans="2:16" x14ac:dyDescent="0.2">
      <c r="B109" s="95" t="s">
        <v>358</v>
      </c>
      <c r="C109" s="95" t="s">
        <v>365</v>
      </c>
      <c r="D109" s="95" t="s">
        <v>365</v>
      </c>
      <c r="E109" s="95" t="s">
        <v>255</v>
      </c>
      <c r="F109" s="95" t="s">
        <v>366</v>
      </c>
      <c r="G109" s="95" t="s">
        <v>53</v>
      </c>
      <c r="H109" s="95" t="s">
        <v>254</v>
      </c>
      <c r="I109" s="132">
        <v>9</v>
      </c>
      <c r="J109" s="95">
        <v>2</v>
      </c>
      <c r="K109" s="95">
        <f t="shared" si="1"/>
        <v>0</v>
      </c>
      <c r="L109" s="95" t="str">
        <f>IFERROR(VLOOKUP(GroupPop2018[[#This Row],[Group]],Grouping[#All],2,0),"Unknown")</f>
        <v>2 - Willamette Valley, etc.</v>
      </c>
      <c r="M109" s="95" t="str">
        <f>INDEX(Frequency[Collection_Frequency],MATCH(GroupPop2018[[#This Row],[FreqCode]],Frequency[Orig_Frequency_ID],0))</f>
        <v>Every other week</v>
      </c>
      <c r="N109" s="95" t="str">
        <f>IF(GroupPop2018[[#This Row],[Group]]=1,"Metro",IF(GroupPop2018[[#This Row],[Group]]=4,"Nowhere",IF(GroupPop2018[[#This Row],[Group]]=3,"Remote",IF(GroupPop2018[[#This Row],[County]]="Marion","Marion County","Transported to Metro"))))</f>
        <v>Transported to Metro</v>
      </c>
      <c r="O109" s="95"/>
      <c r="P109" s="100">
        <f>GroupPop2018[[#This Row],[Pop2018]]*(1+SUMIFS(Growth[GrowthRate],Growth[Grouping_ID],GroupPop2018[[#This Row],[Group]]))</f>
        <v>9.586112868574924</v>
      </c>
    </row>
    <row r="110" spans="2:16" x14ac:dyDescent="0.2">
      <c r="B110" s="95" t="s">
        <v>358</v>
      </c>
      <c r="C110" s="95" t="s">
        <v>367</v>
      </c>
      <c r="D110" s="95" t="s">
        <v>367</v>
      </c>
      <c r="E110" s="95" t="s">
        <v>253</v>
      </c>
      <c r="F110" s="95" t="s">
        <v>367</v>
      </c>
      <c r="G110" s="95" t="s">
        <v>53</v>
      </c>
      <c r="H110" s="95" t="s">
        <v>259</v>
      </c>
      <c r="I110" s="132">
        <v>2725</v>
      </c>
      <c r="J110" s="95">
        <v>2</v>
      </c>
      <c r="K110" s="95">
        <f t="shared" si="1"/>
        <v>0</v>
      </c>
      <c r="L110" s="95" t="str">
        <f>IFERROR(VLOOKUP(GroupPop2018[[#This Row],[Group]],Grouping[#All],2,0),"Unknown")</f>
        <v>2 - Willamette Valley, etc.</v>
      </c>
      <c r="M110" s="95" t="str">
        <f>INDEX(Frequency[Collection_Frequency],MATCH(GroupPop2018[[#This Row],[FreqCode]],Frequency[Orig_Frequency_ID],0))</f>
        <v>Every other week</v>
      </c>
      <c r="N110" s="95" t="str">
        <f>IF(GroupPop2018[[#This Row],[Group]]=1,"Metro",IF(GroupPop2018[[#This Row],[Group]]=4,"Nowhere",IF(GroupPop2018[[#This Row],[Group]]=3,"Remote",IF(GroupPop2018[[#This Row],[County]]="Marion","Marion County","Transported to Metro"))))</f>
        <v>Transported to Metro</v>
      </c>
      <c r="O110" s="95"/>
      <c r="P110" s="100">
        <f>GroupPop2018[[#This Row],[Pop2018]]*(1+SUMIFS(Growth[GrowthRate],Growth[Grouping_ID],GroupPop2018[[#This Row],[Group]]))</f>
        <v>2902.4619518740742</v>
      </c>
    </row>
    <row r="111" spans="2:16" x14ac:dyDescent="0.2">
      <c r="B111" s="95" t="s">
        <v>368</v>
      </c>
      <c r="C111" s="95" t="s">
        <v>369</v>
      </c>
      <c r="D111" s="95" t="s">
        <v>369</v>
      </c>
      <c r="E111" s="95" t="s">
        <v>253</v>
      </c>
      <c r="F111" s="95" t="s">
        <v>369</v>
      </c>
      <c r="G111" s="95" t="s">
        <v>53</v>
      </c>
      <c r="H111" s="95" t="s">
        <v>259</v>
      </c>
      <c r="I111" s="132">
        <v>1920</v>
      </c>
      <c r="J111" s="95">
        <v>3</v>
      </c>
      <c r="K111" s="95">
        <f t="shared" si="1"/>
        <v>0</v>
      </c>
      <c r="L111" s="95" t="str">
        <f>IFERROR(VLOOKUP(GroupPop2018[[#This Row],[Group]],Grouping[#All],2,0),"Unknown")</f>
        <v>3 - Other areas with curbside</v>
      </c>
      <c r="M111" s="95" t="str">
        <f>INDEX(Frequency[Collection_Frequency],MATCH(GroupPop2018[[#This Row],[FreqCode]],Frequency[Orig_Frequency_ID],0))</f>
        <v>Every other week</v>
      </c>
      <c r="N111" s="95" t="str">
        <f>IF(GroupPop2018[[#This Row],[Group]]=1,"Metro",IF(GroupPop2018[[#This Row],[Group]]=4,"Nowhere",IF(GroupPop2018[[#This Row],[Group]]=3,"Remote",IF(GroupPop2018[[#This Row],[County]]="Marion","Marion County","Transported to Metro"))))</f>
        <v>Remote</v>
      </c>
      <c r="O111" s="95"/>
      <c r="P111" s="100">
        <f>GroupPop2018[[#This Row],[Pop2018]]*(1+SUMIFS(Growth[GrowthRate],Growth[Grouping_ID],GroupPop2018[[#This Row],[Group]]))</f>
        <v>2060.767240431484</v>
      </c>
    </row>
    <row r="112" spans="2:16" x14ac:dyDescent="0.2">
      <c r="B112" s="95" t="s">
        <v>368</v>
      </c>
      <c r="C112" s="95" t="s">
        <v>370</v>
      </c>
      <c r="D112" s="95" t="s">
        <v>371</v>
      </c>
      <c r="E112" s="95" t="s">
        <v>258</v>
      </c>
      <c r="F112" s="95" t="s">
        <v>370</v>
      </c>
      <c r="G112" s="95" t="s">
        <v>127</v>
      </c>
      <c r="H112" s="95" t="s">
        <v>259</v>
      </c>
      <c r="I112" s="132">
        <v>48236</v>
      </c>
      <c r="J112" s="95">
        <v>4</v>
      </c>
      <c r="K112" s="95">
        <f t="shared" si="1"/>
        <v>0</v>
      </c>
      <c r="L112" s="95" t="str">
        <f>IFERROR(VLOOKUP(GroupPop2018[[#This Row],[Group]],Grouping[#All],2,0),"Unknown")</f>
        <v>4 - Areas without curbside</v>
      </c>
      <c r="M112" s="95" t="str">
        <f>INDEX(Frequency[Collection_Frequency],MATCH(GroupPop2018[[#This Row],[FreqCode]],Frequency[Orig_Frequency_ID],0))</f>
        <v>No collection</v>
      </c>
      <c r="N112" s="95" t="str">
        <f>IF(GroupPop2018[[#This Row],[Group]]=1,"Metro",IF(GroupPop2018[[#This Row],[Group]]=4,"Nowhere",IF(GroupPop2018[[#This Row],[Group]]=3,"Remote",IF(GroupPop2018[[#This Row],[County]]="Marion","Marion County","Transported to Metro"))))</f>
        <v>Nowhere</v>
      </c>
      <c r="O112" s="95">
        <v>2</v>
      </c>
      <c r="P112" s="100">
        <f>GroupPop2018[[#This Row],[Pop2018]]*(1+SUMIFS(Growth[GrowthRate],Growth[Grouping_ID],GroupPop2018[[#This Row],[Group]]))</f>
        <v>51772.483650756803</v>
      </c>
    </row>
    <row r="113" spans="2:16" x14ac:dyDescent="0.2">
      <c r="B113" s="95" t="s">
        <v>368</v>
      </c>
      <c r="C113" s="95" t="s">
        <v>372</v>
      </c>
      <c r="D113" s="95" t="s">
        <v>371</v>
      </c>
      <c r="E113" s="95" t="s">
        <v>258</v>
      </c>
      <c r="F113" s="95" t="s">
        <v>372</v>
      </c>
      <c r="G113" s="95" t="s">
        <v>64</v>
      </c>
      <c r="H113" s="95" t="s">
        <v>259</v>
      </c>
      <c r="I113" s="132">
        <v>1000</v>
      </c>
      <c r="J113" s="95">
        <v>3</v>
      </c>
      <c r="K113" s="95">
        <f t="shared" si="1"/>
        <v>0</v>
      </c>
      <c r="L113" s="95" t="str">
        <f>IFERROR(VLOOKUP(GroupPop2018[[#This Row],[Group]],Grouping[#All],2,0),"Unknown")</f>
        <v>3 - Other areas with curbside</v>
      </c>
      <c r="M113" s="95" t="str">
        <f>INDEX(Frequency[Collection_Frequency],MATCH(GroupPop2018[[#This Row],[FreqCode]],Frequency[Orig_Frequency_ID],0))</f>
        <v>Weekly</v>
      </c>
      <c r="N113" s="95" t="str">
        <f>IF(GroupPop2018[[#This Row],[Group]]=1,"Metro",IF(GroupPop2018[[#This Row],[Group]]=4,"Nowhere",IF(GroupPop2018[[#This Row],[Group]]=3,"Remote",IF(GroupPop2018[[#This Row],[County]]="Marion","Marion County","Transported to Metro"))))</f>
        <v>Remote</v>
      </c>
      <c r="O113" s="95">
        <v>1</v>
      </c>
      <c r="P113" s="100">
        <f>GroupPop2018[[#This Row],[Pop2018]]*(1+SUMIFS(Growth[GrowthRate],Growth[Grouping_ID],GroupPop2018[[#This Row],[Group]]))</f>
        <v>1073.3162710580646</v>
      </c>
    </row>
    <row r="114" spans="2:16" x14ac:dyDescent="0.2">
      <c r="B114" s="95" t="s">
        <v>368</v>
      </c>
      <c r="C114" s="95" t="s">
        <v>373</v>
      </c>
      <c r="D114" s="95" t="s">
        <v>373</v>
      </c>
      <c r="E114" s="95" t="s">
        <v>253</v>
      </c>
      <c r="F114" s="95" t="s">
        <v>373</v>
      </c>
      <c r="G114" s="95" t="s">
        <v>127</v>
      </c>
      <c r="H114" s="95" t="s">
        <v>259</v>
      </c>
      <c r="I114" s="132">
        <v>1165</v>
      </c>
      <c r="J114" s="95">
        <v>4</v>
      </c>
      <c r="K114" s="95">
        <f t="shared" si="1"/>
        <v>0</v>
      </c>
      <c r="L114" s="95" t="str">
        <f>IFERROR(VLOOKUP(GroupPop2018[[#This Row],[Group]],Grouping[#All],2,0),"Unknown")</f>
        <v>4 - Areas without curbside</v>
      </c>
      <c r="M114" s="95" t="str">
        <f>INDEX(Frequency[Collection_Frequency],MATCH(GroupPop2018[[#This Row],[FreqCode]],Frequency[Orig_Frequency_ID],0))</f>
        <v>No collection</v>
      </c>
      <c r="N114" s="95" t="str">
        <f>IF(GroupPop2018[[#This Row],[Group]]=1,"Metro",IF(GroupPop2018[[#This Row],[Group]]=4,"Nowhere",IF(GroupPop2018[[#This Row],[Group]]=3,"Remote",IF(GroupPop2018[[#This Row],[County]]="Marion","Marion County","Transported to Metro"))))</f>
        <v>Nowhere</v>
      </c>
      <c r="O114" s="95"/>
      <c r="P114" s="100">
        <f>GroupPop2018[[#This Row],[Pop2018]]*(1+SUMIFS(Growth[GrowthRate],Growth[Grouping_ID],GroupPop2018[[#This Row],[Group]]))</f>
        <v>1250.4134557826453</v>
      </c>
    </row>
    <row r="115" spans="2:16" x14ac:dyDescent="0.2">
      <c r="B115" s="95" t="s">
        <v>368</v>
      </c>
      <c r="C115" s="95" t="s">
        <v>374</v>
      </c>
      <c r="D115" s="95" t="s">
        <v>374</v>
      </c>
      <c r="E115" s="95" t="s">
        <v>253</v>
      </c>
      <c r="F115" s="95" t="s">
        <v>374</v>
      </c>
      <c r="G115" s="95" t="s">
        <v>127</v>
      </c>
      <c r="H115" s="95" t="s">
        <v>259</v>
      </c>
      <c r="I115" s="132">
        <v>215</v>
      </c>
      <c r="J115" s="95">
        <v>4</v>
      </c>
      <c r="K115" s="95">
        <f t="shared" si="1"/>
        <v>0</v>
      </c>
      <c r="L115" s="95" t="str">
        <f>IFERROR(VLOOKUP(GroupPop2018[[#This Row],[Group]],Grouping[#All],2,0),"Unknown")</f>
        <v>4 - Areas without curbside</v>
      </c>
      <c r="M115" s="95" t="str">
        <f>INDEX(Frequency[Collection_Frequency],MATCH(GroupPop2018[[#This Row],[FreqCode]],Frequency[Orig_Frequency_ID],0))</f>
        <v>No collection</v>
      </c>
      <c r="N115" s="95" t="str">
        <f>IF(GroupPop2018[[#This Row],[Group]]=1,"Metro",IF(GroupPop2018[[#This Row],[Group]]=4,"Nowhere",IF(GroupPop2018[[#This Row],[Group]]=3,"Remote",IF(GroupPop2018[[#This Row],[County]]="Marion","Marion County","Transported to Metro"))))</f>
        <v>Nowhere</v>
      </c>
      <c r="O115" s="95"/>
      <c r="P115" s="100">
        <f>GroupPop2018[[#This Row],[Pop2018]]*(1+SUMIFS(Growth[GrowthRate],Growth[Grouping_ID],GroupPop2018[[#This Row],[Group]]))</f>
        <v>230.76299827748389</v>
      </c>
    </row>
    <row r="116" spans="2:16" x14ac:dyDescent="0.2">
      <c r="B116" s="95" t="s">
        <v>368</v>
      </c>
      <c r="C116" s="95" t="s">
        <v>375</v>
      </c>
      <c r="D116" s="95" t="s">
        <v>375</v>
      </c>
      <c r="E116" s="95" t="s">
        <v>253</v>
      </c>
      <c r="F116" s="95" t="s">
        <v>375</v>
      </c>
      <c r="G116" s="95" t="s">
        <v>127</v>
      </c>
      <c r="H116" s="95" t="s">
        <v>259</v>
      </c>
      <c r="I116" s="132">
        <v>865</v>
      </c>
      <c r="J116" s="95">
        <v>4</v>
      </c>
      <c r="K116" s="95">
        <f t="shared" si="1"/>
        <v>0</v>
      </c>
      <c r="L116" s="95" t="str">
        <f>IFERROR(VLOOKUP(GroupPop2018[[#This Row],[Group]],Grouping[#All],2,0),"Unknown")</f>
        <v>4 - Areas without curbside</v>
      </c>
      <c r="M116" s="95" t="str">
        <f>INDEX(Frequency[Collection_Frequency],MATCH(GroupPop2018[[#This Row],[FreqCode]],Frequency[Orig_Frequency_ID],0))</f>
        <v>No collection</v>
      </c>
      <c r="N116" s="95" t="str">
        <f>IF(GroupPop2018[[#This Row],[Group]]=1,"Metro",IF(GroupPop2018[[#This Row],[Group]]=4,"Nowhere",IF(GroupPop2018[[#This Row],[Group]]=3,"Remote",IF(GroupPop2018[[#This Row],[County]]="Marion","Marion County","Transported to Metro"))))</f>
        <v>Nowhere</v>
      </c>
      <c r="O116" s="95"/>
      <c r="P116" s="100">
        <f>GroupPop2018[[#This Row],[Pop2018]]*(1+SUMIFS(Growth[GrowthRate],Growth[Grouping_ID],GroupPop2018[[#This Row],[Group]]))</f>
        <v>928.4185744652259</v>
      </c>
    </row>
    <row r="117" spans="2:16" x14ac:dyDescent="0.2">
      <c r="B117" s="95" t="s">
        <v>368</v>
      </c>
      <c r="C117" s="95" t="s">
        <v>376</v>
      </c>
      <c r="D117" s="95" t="s">
        <v>376</v>
      </c>
      <c r="E117" s="95" t="s">
        <v>253</v>
      </c>
      <c r="F117" s="95" t="s">
        <v>376</v>
      </c>
      <c r="G117" s="95" t="s">
        <v>53</v>
      </c>
      <c r="H117" s="95" t="s">
        <v>259</v>
      </c>
      <c r="I117" s="132">
        <v>3490</v>
      </c>
      <c r="J117" s="95">
        <v>3</v>
      </c>
      <c r="K117" s="95">
        <f t="shared" si="1"/>
        <v>0</v>
      </c>
      <c r="L117" s="95" t="str">
        <f>IFERROR(VLOOKUP(GroupPop2018[[#This Row],[Group]],Grouping[#All],2,0),"Unknown")</f>
        <v>3 - Other areas with curbside</v>
      </c>
      <c r="M117" s="95" t="str">
        <f>INDEX(Frequency[Collection_Frequency],MATCH(GroupPop2018[[#This Row],[FreqCode]],Frequency[Orig_Frequency_ID],0))</f>
        <v>Every other week</v>
      </c>
      <c r="N117" s="95" t="str">
        <f>IF(GroupPop2018[[#This Row],[Group]]=1,"Metro",IF(GroupPop2018[[#This Row],[Group]]=4,"Nowhere",IF(GroupPop2018[[#This Row],[Group]]=3,"Remote",IF(GroupPop2018[[#This Row],[County]]="Marion","Marion County","Transported to Metro"))))</f>
        <v>Remote</v>
      </c>
      <c r="O117" s="95"/>
      <c r="P117" s="100">
        <f>GroupPop2018[[#This Row],[Pop2018]]*(1+SUMIFS(Growth[GrowthRate],Growth[Grouping_ID],GroupPop2018[[#This Row],[Group]]))</f>
        <v>3745.8737859926455</v>
      </c>
    </row>
    <row r="118" spans="2:16" x14ac:dyDescent="0.2">
      <c r="B118" s="95" t="s">
        <v>368</v>
      </c>
      <c r="C118" s="95" t="s">
        <v>377</v>
      </c>
      <c r="D118" s="95" t="s">
        <v>377</v>
      </c>
      <c r="E118" s="95" t="s">
        <v>253</v>
      </c>
      <c r="F118" s="95" t="s">
        <v>377</v>
      </c>
      <c r="G118" s="95" t="s">
        <v>64</v>
      </c>
      <c r="H118" s="95" t="s">
        <v>259</v>
      </c>
      <c r="I118" s="132">
        <v>955</v>
      </c>
      <c r="J118" s="95">
        <v>3</v>
      </c>
      <c r="K118" s="95">
        <f t="shared" si="1"/>
        <v>0</v>
      </c>
      <c r="L118" s="95" t="str">
        <f>IFERROR(VLOOKUP(GroupPop2018[[#This Row],[Group]],Grouping[#All],2,0),"Unknown")</f>
        <v>3 - Other areas with curbside</v>
      </c>
      <c r="M118" s="95" t="str">
        <f>INDEX(Frequency[Collection_Frequency],MATCH(GroupPop2018[[#This Row],[FreqCode]],Frequency[Orig_Frequency_ID],0))</f>
        <v>Weekly</v>
      </c>
      <c r="N118" s="95" t="str">
        <f>IF(GroupPop2018[[#This Row],[Group]]=1,"Metro",IF(GroupPop2018[[#This Row],[Group]]=4,"Nowhere",IF(GroupPop2018[[#This Row],[Group]]=3,"Remote",IF(GroupPop2018[[#This Row],[County]]="Marion","Marion County","Transported to Metro"))))</f>
        <v>Remote</v>
      </c>
      <c r="O118" s="95"/>
      <c r="P118" s="100">
        <f>GroupPop2018[[#This Row],[Pop2018]]*(1+SUMIFS(Growth[GrowthRate],Growth[Grouping_ID],GroupPop2018[[#This Row],[Group]]))</f>
        <v>1025.0170388604517</v>
      </c>
    </row>
    <row r="119" spans="2:16" x14ac:dyDescent="0.2">
      <c r="B119" s="95" t="s">
        <v>368</v>
      </c>
      <c r="C119" s="95" t="s">
        <v>378</v>
      </c>
      <c r="D119" s="95" t="s">
        <v>378</v>
      </c>
      <c r="E119" s="95" t="s">
        <v>253</v>
      </c>
      <c r="F119" s="95" t="s">
        <v>378</v>
      </c>
      <c r="G119" s="95" t="s">
        <v>64</v>
      </c>
      <c r="H119" s="95" t="s">
        <v>254</v>
      </c>
      <c r="I119" s="132">
        <v>4175</v>
      </c>
      <c r="J119" s="95">
        <v>3</v>
      </c>
      <c r="K119" s="95">
        <f t="shared" si="1"/>
        <v>0</v>
      </c>
      <c r="L119" s="95" t="str">
        <f>IFERROR(VLOOKUP(GroupPop2018[[#This Row],[Group]],Grouping[#All],2,0),"Unknown")</f>
        <v>3 - Other areas with curbside</v>
      </c>
      <c r="M119" s="95" t="str">
        <f>INDEX(Frequency[Collection_Frequency],MATCH(GroupPop2018[[#This Row],[FreqCode]],Frequency[Orig_Frequency_ID],0))</f>
        <v>Weekly</v>
      </c>
      <c r="N119" s="95" t="str">
        <f>IF(GroupPop2018[[#This Row],[Group]]=1,"Metro",IF(GroupPop2018[[#This Row],[Group]]=4,"Nowhere",IF(GroupPop2018[[#This Row],[Group]]=3,"Remote",IF(GroupPop2018[[#This Row],[County]]="Marion","Marion County","Transported to Metro"))))</f>
        <v>Remote</v>
      </c>
      <c r="O119" s="95"/>
      <c r="P119" s="100">
        <f>GroupPop2018[[#This Row],[Pop2018]]*(1+SUMIFS(Growth[GrowthRate],Growth[Grouping_ID],GroupPop2018[[#This Row],[Group]]))</f>
        <v>4481.0954316674197</v>
      </c>
    </row>
    <row r="120" spans="2:16" x14ac:dyDescent="0.2">
      <c r="B120" s="95" t="s">
        <v>368</v>
      </c>
      <c r="C120" s="95" t="s">
        <v>378</v>
      </c>
      <c r="D120" s="95" t="s">
        <v>378</v>
      </c>
      <c r="E120" s="95" t="s">
        <v>255</v>
      </c>
      <c r="F120" s="95" t="s">
        <v>379</v>
      </c>
      <c r="G120" s="95" t="s">
        <v>64</v>
      </c>
      <c r="H120" s="95" t="s">
        <v>254</v>
      </c>
      <c r="I120" s="132">
        <v>79</v>
      </c>
      <c r="J120" s="95">
        <v>3</v>
      </c>
      <c r="K120" s="95">
        <f t="shared" si="1"/>
        <v>0</v>
      </c>
      <c r="L120" s="95" t="str">
        <f>IFERROR(VLOOKUP(GroupPop2018[[#This Row],[Group]],Grouping[#All],2,0),"Unknown")</f>
        <v>3 - Other areas with curbside</v>
      </c>
      <c r="M120" s="95" t="str">
        <f>INDEX(Frequency[Collection_Frequency],MATCH(GroupPop2018[[#This Row],[FreqCode]],Frequency[Orig_Frequency_ID],0))</f>
        <v>Weekly</v>
      </c>
      <c r="N120" s="95" t="str">
        <f>IF(GroupPop2018[[#This Row],[Group]]=1,"Metro",IF(GroupPop2018[[#This Row],[Group]]=4,"Nowhere",IF(GroupPop2018[[#This Row],[Group]]=3,"Remote",IF(GroupPop2018[[#This Row],[County]]="Marion","Marion County","Transported to Metro"))))</f>
        <v>Remote</v>
      </c>
      <c r="O120" s="95"/>
      <c r="P120" s="100">
        <f>GroupPop2018[[#This Row],[Pop2018]]*(1+SUMIFS(Growth[GrowthRate],Growth[Grouping_ID],GroupPop2018[[#This Row],[Group]]))</f>
        <v>84.791985413587099</v>
      </c>
    </row>
    <row r="121" spans="2:16" x14ac:dyDescent="0.2">
      <c r="B121" s="95" t="s">
        <v>368</v>
      </c>
      <c r="C121" s="95" t="s">
        <v>380</v>
      </c>
      <c r="D121" s="95" t="s">
        <v>380</v>
      </c>
      <c r="E121" s="95" t="s">
        <v>253</v>
      </c>
      <c r="F121" s="95" t="s">
        <v>380</v>
      </c>
      <c r="G121" s="95" t="s">
        <v>53</v>
      </c>
      <c r="H121" s="95" t="s">
        <v>259</v>
      </c>
      <c r="I121" s="132">
        <v>1190</v>
      </c>
      <c r="J121" s="95">
        <v>3</v>
      </c>
      <c r="K121" s="95">
        <f t="shared" si="1"/>
        <v>0</v>
      </c>
      <c r="L121" s="95" t="str">
        <f>IFERROR(VLOOKUP(GroupPop2018[[#This Row],[Group]],Grouping[#All],2,0),"Unknown")</f>
        <v>3 - Other areas with curbside</v>
      </c>
      <c r="M121" s="95" t="str">
        <f>INDEX(Frequency[Collection_Frequency],MATCH(GroupPop2018[[#This Row],[FreqCode]],Frequency[Orig_Frequency_ID],0))</f>
        <v>Every other week</v>
      </c>
      <c r="N121" s="95" t="str">
        <f>IF(GroupPop2018[[#This Row],[Group]]=1,"Metro",IF(GroupPop2018[[#This Row],[Group]]=4,"Nowhere",IF(GroupPop2018[[#This Row],[Group]]=3,"Remote",IF(GroupPop2018[[#This Row],[County]]="Marion","Marion County","Transported to Metro"))))</f>
        <v>Remote</v>
      </c>
      <c r="O121" s="95"/>
      <c r="P121" s="100">
        <f>GroupPop2018[[#This Row],[Pop2018]]*(1+SUMIFS(Growth[GrowthRate],Growth[Grouping_ID],GroupPop2018[[#This Row],[Group]]))</f>
        <v>1277.246362559097</v>
      </c>
    </row>
    <row r="122" spans="2:16" x14ac:dyDescent="0.2">
      <c r="B122" s="95" t="s">
        <v>368</v>
      </c>
      <c r="C122" s="95" t="s">
        <v>381</v>
      </c>
      <c r="D122" s="95" t="s">
        <v>381</v>
      </c>
      <c r="E122" s="95" t="s">
        <v>253</v>
      </c>
      <c r="F122" s="95" t="s">
        <v>381</v>
      </c>
      <c r="G122" s="95" t="s">
        <v>64</v>
      </c>
      <c r="H122" s="95" t="s">
        <v>254</v>
      </c>
      <c r="I122" s="132">
        <v>24820</v>
      </c>
      <c r="J122" s="95">
        <v>3</v>
      </c>
      <c r="K122" s="95">
        <f t="shared" si="1"/>
        <v>0</v>
      </c>
      <c r="L122" s="95" t="str">
        <f>IFERROR(VLOOKUP(GroupPop2018[[#This Row],[Group]],Grouping[#All],2,0),"Unknown")</f>
        <v>3 - Other areas with curbside</v>
      </c>
      <c r="M122" s="95" t="str">
        <f>INDEX(Frequency[Collection_Frequency],MATCH(GroupPop2018[[#This Row],[FreqCode]],Frequency[Orig_Frequency_ID],0))</f>
        <v>Weekly</v>
      </c>
      <c r="N122" s="95" t="str">
        <f>IF(GroupPop2018[[#This Row],[Group]]=1,"Metro",IF(GroupPop2018[[#This Row],[Group]]=4,"Nowhere",IF(GroupPop2018[[#This Row],[Group]]=3,"Remote",IF(GroupPop2018[[#This Row],[County]]="Marion","Marion County","Transported to Metro"))))</f>
        <v>Remote</v>
      </c>
      <c r="O122" s="95"/>
      <c r="P122" s="100">
        <f>GroupPop2018[[#This Row],[Pop2018]]*(1+SUMIFS(Growth[GrowthRate],Growth[Grouping_ID],GroupPop2018[[#This Row],[Group]]))</f>
        <v>26639.709847661165</v>
      </c>
    </row>
    <row r="123" spans="2:16" x14ac:dyDescent="0.2">
      <c r="B123" s="95" t="s">
        <v>368</v>
      </c>
      <c r="C123" s="95" t="s">
        <v>381</v>
      </c>
      <c r="D123" s="95" t="s">
        <v>381</v>
      </c>
      <c r="E123" s="95" t="s">
        <v>255</v>
      </c>
      <c r="F123" s="95" t="s">
        <v>382</v>
      </c>
      <c r="G123" s="95" t="s">
        <v>64</v>
      </c>
      <c r="H123" s="95" t="s">
        <v>254</v>
      </c>
      <c r="I123" s="132">
        <v>8261</v>
      </c>
      <c r="J123" s="95">
        <v>3</v>
      </c>
      <c r="K123" s="95">
        <f t="shared" si="1"/>
        <v>0</v>
      </c>
      <c r="L123" s="95" t="str">
        <f>IFERROR(VLOOKUP(GroupPop2018[[#This Row],[Group]],Grouping[#All],2,0),"Unknown")</f>
        <v>3 - Other areas with curbside</v>
      </c>
      <c r="M123" s="95" t="str">
        <f>INDEX(Frequency[Collection_Frequency],MATCH(GroupPop2018[[#This Row],[FreqCode]],Frequency[Orig_Frequency_ID],0))</f>
        <v>Weekly</v>
      </c>
      <c r="N123" s="95" t="str">
        <f>IF(GroupPop2018[[#This Row],[Group]]=1,"Metro",IF(GroupPop2018[[#This Row],[Group]]=4,"Nowhere",IF(GroupPop2018[[#This Row],[Group]]=3,"Remote",IF(GroupPop2018[[#This Row],[County]]="Marion","Marion County","Transported to Metro"))))</f>
        <v>Remote</v>
      </c>
      <c r="O123" s="95"/>
      <c r="P123" s="100">
        <f>GroupPop2018[[#This Row],[Pop2018]]*(1+SUMIFS(Growth[GrowthRate],Growth[Grouping_ID],GroupPop2018[[#This Row],[Group]]))</f>
        <v>8866.6657152106709</v>
      </c>
    </row>
    <row r="124" spans="2:16" x14ac:dyDescent="0.2">
      <c r="B124" s="95" t="s">
        <v>368</v>
      </c>
      <c r="C124" s="95" t="s">
        <v>383</v>
      </c>
      <c r="D124" s="95" t="s">
        <v>383</v>
      </c>
      <c r="E124" s="95" t="s">
        <v>253</v>
      </c>
      <c r="F124" s="95" t="s">
        <v>383</v>
      </c>
      <c r="G124" s="95" t="s">
        <v>64</v>
      </c>
      <c r="H124" s="95" t="s">
        <v>254</v>
      </c>
      <c r="I124" s="132">
        <v>8140</v>
      </c>
      <c r="J124" s="95">
        <v>3</v>
      </c>
      <c r="K124" s="95">
        <f t="shared" si="1"/>
        <v>0</v>
      </c>
      <c r="L124" s="95" t="str">
        <f>IFERROR(VLOOKUP(GroupPop2018[[#This Row],[Group]],Grouping[#All],2,0),"Unknown")</f>
        <v>3 - Other areas with curbside</v>
      </c>
      <c r="M124" s="95" t="str">
        <f>INDEX(Frequency[Collection_Frequency],MATCH(GroupPop2018[[#This Row],[FreqCode]],Frequency[Orig_Frequency_ID],0))</f>
        <v>Weekly</v>
      </c>
      <c r="N124" s="95" t="str">
        <f>IF(GroupPop2018[[#This Row],[Group]]=1,"Metro",IF(GroupPop2018[[#This Row],[Group]]=4,"Nowhere",IF(GroupPop2018[[#This Row],[Group]]=3,"Remote",IF(GroupPop2018[[#This Row],[County]]="Marion","Marion County","Transported to Metro"))))</f>
        <v>Remote</v>
      </c>
      <c r="O124" s="95"/>
      <c r="P124" s="100">
        <f>GroupPop2018[[#This Row],[Pop2018]]*(1+SUMIFS(Growth[GrowthRate],Growth[Grouping_ID],GroupPop2018[[#This Row],[Group]]))</f>
        <v>8736.7944464126467</v>
      </c>
    </row>
    <row r="125" spans="2:16" x14ac:dyDescent="0.2">
      <c r="B125" s="95" t="s">
        <v>368</v>
      </c>
      <c r="C125" s="95" t="s">
        <v>383</v>
      </c>
      <c r="D125" s="95" t="s">
        <v>383</v>
      </c>
      <c r="E125" s="95" t="s">
        <v>255</v>
      </c>
      <c r="F125" s="95" t="s">
        <v>384</v>
      </c>
      <c r="G125" s="95" t="s">
        <v>64</v>
      </c>
      <c r="H125" s="95" t="s">
        <v>254</v>
      </c>
      <c r="I125" s="132">
        <v>366</v>
      </c>
      <c r="J125" s="95">
        <v>3</v>
      </c>
      <c r="K125" s="95">
        <f t="shared" si="1"/>
        <v>0</v>
      </c>
      <c r="L125" s="95" t="str">
        <f>IFERROR(VLOOKUP(GroupPop2018[[#This Row],[Group]],Grouping[#All],2,0),"Unknown")</f>
        <v>3 - Other areas with curbside</v>
      </c>
      <c r="M125" s="95" t="str">
        <f>INDEX(Frequency[Collection_Frequency],MATCH(GroupPop2018[[#This Row],[FreqCode]],Frequency[Orig_Frequency_ID],0))</f>
        <v>Weekly</v>
      </c>
      <c r="N125" s="95" t="str">
        <f>IF(GroupPop2018[[#This Row],[Group]]=1,"Metro",IF(GroupPop2018[[#This Row],[Group]]=4,"Nowhere",IF(GroupPop2018[[#This Row],[Group]]=3,"Remote",IF(GroupPop2018[[#This Row],[County]]="Marion","Marion County","Transported to Metro"))))</f>
        <v>Remote</v>
      </c>
      <c r="O125" s="95"/>
      <c r="P125" s="100">
        <f>GroupPop2018[[#This Row],[Pop2018]]*(1+SUMIFS(Growth[GrowthRate],Growth[Grouping_ID],GroupPop2018[[#This Row],[Group]]))</f>
        <v>392.83375520725167</v>
      </c>
    </row>
    <row r="126" spans="2:16" x14ac:dyDescent="0.2">
      <c r="B126" s="95" t="s">
        <v>368</v>
      </c>
      <c r="C126" s="95" t="s">
        <v>385</v>
      </c>
      <c r="D126" s="95" t="s">
        <v>385</v>
      </c>
      <c r="E126" s="95" t="s">
        <v>253</v>
      </c>
      <c r="F126" s="95" t="s">
        <v>385</v>
      </c>
      <c r="G126" s="95" t="s">
        <v>64</v>
      </c>
      <c r="H126" s="95" t="s">
        <v>254</v>
      </c>
      <c r="I126" s="132">
        <v>5480</v>
      </c>
      <c r="J126" s="95">
        <v>3</v>
      </c>
      <c r="K126" s="95">
        <f t="shared" si="1"/>
        <v>0</v>
      </c>
      <c r="L126" s="95" t="str">
        <f>IFERROR(VLOOKUP(GroupPop2018[[#This Row],[Group]],Grouping[#All],2,0),"Unknown")</f>
        <v>3 - Other areas with curbside</v>
      </c>
      <c r="M126" s="95" t="str">
        <f>INDEX(Frequency[Collection_Frequency],MATCH(GroupPop2018[[#This Row],[FreqCode]],Frequency[Orig_Frequency_ID],0))</f>
        <v>Weekly</v>
      </c>
      <c r="N126" s="95" t="str">
        <f>IF(GroupPop2018[[#This Row],[Group]]=1,"Metro",IF(GroupPop2018[[#This Row],[Group]]=4,"Nowhere",IF(GroupPop2018[[#This Row],[Group]]=3,"Remote",IF(GroupPop2018[[#This Row],[County]]="Marion","Marion County","Transported to Metro"))))</f>
        <v>Remote</v>
      </c>
      <c r="O126" s="95"/>
      <c r="P126" s="100">
        <f>GroupPop2018[[#This Row],[Pop2018]]*(1+SUMIFS(Growth[GrowthRate],Growth[Grouping_ID],GroupPop2018[[#This Row],[Group]]))</f>
        <v>5881.7731653981937</v>
      </c>
    </row>
    <row r="127" spans="2:16" x14ac:dyDescent="0.2">
      <c r="B127" s="95" t="s">
        <v>368</v>
      </c>
      <c r="C127" s="95" t="s">
        <v>385</v>
      </c>
      <c r="D127" s="95" t="s">
        <v>385</v>
      </c>
      <c r="E127" s="95" t="s">
        <v>255</v>
      </c>
      <c r="F127" s="95" t="s">
        <v>386</v>
      </c>
      <c r="G127" s="95" t="s">
        <v>64</v>
      </c>
      <c r="H127" s="95" t="s">
        <v>254</v>
      </c>
      <c r="I127" s="132">
        <v>308</v>
      </c>
      <c r="J127" s="95">
        <v>3</v>
      </c>
      <c r="K127" s="95">
        <f t="shared" si="1"/>
        <v>0</v>
      </c>
      <c r="L127" s="95" t="str">
        <f>IFERROR(VLOOKUP(GroupPop2018[[#This Row],[Group]],Grouping[#All],2,0),"Unknown")</f>
        <v>3 - Other areas with curbside</v>
      </c>
      <c r="M127" s="95" t="str">
        <f>INDEX(Frequency[Collection_Frequency],MATCH(GroupPop2018[[#This Row],[FreqCode]],Frequency[Orig_Frequency_ID],0))</f>
        <v>Weekly</v>
      </c>
      <c r="N127" s="95" t="str">
        <f>IF(GroupPop2018[[#This Row],[Group]]=1,"Metro",IF(GroupPop2018[[#This Row],[Group]]=4,"Nowhere",IF(GroupPop2018[[#This Row],[Group]]=3,"Remote",IF(GroupPop2018[[#This Row],[County]]="Marion","Marion County","Transported to Metro"))))</f>
        <v>Remote</v>
      </c>
      <c r="O127" s="95"/>
      <c r="P127" s="100">
        <f>GroupPop2018[[#This Row],[Pop2018]]*(1+SUMIFS(Growth[GrowthRate],Growth[Grouping_ID],GroupPop2018[[#This Row],[Group]]))</f>
        <v>330.5814114858839</v>
      </c>
    </row>
    <row r="128" spans="2:16" x14ac:dyDescent="0.2">
      <c r="B128" s="95" t="s">
        <v>368</v>
      </c>
      <c r="C128" s="95" t="s">
        <v>387</v>
      </c>
      <c r="D128" s="95" t="s">
        <v>387</v>
      </c>
      <c r="E128" s="95" t="s">
        <v>253</v>
      </c>
      <c r="F128" s="95" t="s">
        <v>387</v>
      </c>
      <c r="G128" s="95" t="s">
        <v>127</v>
      </c>
      <c r="H128" s="95" t="s">
        <v>259</v>
      </c>
      <c r="I128" s="132">
        <v>1070</v>
      </c>
      <c r="J128" s="95">
        <v>4</v>
      </c>
      <c r="K128" s="95">
        <f t="shared" si="1"/>
        <v>0</v>
      </c>
      <c r="L128" s="95" t="str">
        <f>IFERROR(VLOOKUP(GroupPop2018[[#This Row],[Group]],Grouping[#All],2,0),"Unknown")</f>
        <v>4 - Areas without curbside</v>
      </c>
      <c r="M128" s="95" t="str">
        <f>INDEX(Frequency[Collection_Frequency],MATCH(GroupPop2018[[#This Row],[FreqCode]],Frequency[Orig_Frequency_ID],0))</f>
        <v>No collection</v>
      </c>
      <c r="N128" s="95" t="str">
        <f>IF(GroupPop2018[[#This Row],[Group]]=1,"Metro",IF(GroupPop2018[[#This Row],[Group]]=4,"Nowhere",IF(GroupPop2018[[#This Row],[Group]]=3,"Remote",IF(GroupPop2018[[#This Row],[County]]="Marion","Marion County","Transported to Metro"))))</f>
        <v>Nowhere</v>
      </c>
      <c r="O128" s="95"/>
      <c r="P128" s="100">
        <f>GroupPop2018[[#This Row],[Pop2018]]*(1+SUMIFS(Growth[GrowthRate],Growth[Grouping_ID],GroupPop2018[[#This Row],[Group]]))</f>
        <v>1148.4484100321292</v>
      </c>
    </row>
    <row r="129" spans="2:16" x14ac:dyDescent="0.2">
      <c r="B129" s="95" t="s">
        <v>388</v>
      </c>
      <c r="C129" s="95" t="s">
        <v>389</v>
      </c>
      <c r="D129" s="95" t="s">
        <v>389</v>
      </c>
      <c r="E129" s="95" t="s">
        <v>253</v>
      </c>
      <c r="F129" s="95" t="s">
        <v>389</v>
      </c>
      <c r="G129" s="95" t="s">
        <v>127</v>
      </c>
      <c r="H129" s="95" t="s">
        <v>259</v>
      </c>
      <c r="I129" s="132">
        <v>610</v>
      </c>
      <c r="J129" s="95">
        <v>4</v>
      </c>
      <c r="K129" s="95">
        <f t="shared" si="1"/>
        <v>0</v>
      </c>
      <c r="L129" s="95" t="str">
        <f>IFERROR(VLOOKUP(GroupPop2018[[#This Row],[Group]],Grouping[#All],2,0),"Unknown")</f>
        <v>4 - Areas without curbside</v>
      </c>
      <c r="M129" s="95" t="str">
        <f>INDEX(Frequency[Collection_Frequency],MATCH(GroupPop2018[[#This Row],[FreqCode]],Frequency[Orig_Frequency_ID],0))</f>
        <v>No collection</v>
      </c>
      <c r="N129" s="95" t="str">
        <f>IF(GroupPop2018[[#This Row],[Group]]=1,"Metro",IF(GroupPop2018[[#This Row],[Group]]=4,"Nowhere",IF(GroupPop2018[[#This Row],[Group]]=3,"Remote",IF(GroupPop2018[[#This Row],[County]]="Marion","Marion County","Transported to Metro"))))</f>
        <v>Nowhere</v>
      </c>
      <c r="O129" s="95"/>
      <c r="P129" s="100">
        <f>GroupPop2018[[#This Row],[Pop2018]]*(1+SUMIFS(Growth[GrowthRate],Growth[Grouping_ID],GroupPop2018[[#This Row],[Group]]))</f>
        <v>654.72292534541941</v>
      </c>
    </row>
    <row r="130" spans="2:16" x14ac:dyDescent="0.2">
      <c r="B130" s="95" t="s">
        <v>388</v>
      </c>
      <c r="C130" s="95" t="s">
        <v>390</v>
      </c>
      <c r="D130" s="95" t="s">
        <v>390</v>
      </c>
      <c r="E130" s="95" t="s">
        <v>253</v>
      </c>
      <c r="F130" s="95" t="s">
        <v>390</v>
      </c>
      <c r="G130" s="95" t="s">
        <v>127</v>
      </c>
      <c r="H130" s="95" t="s">
        <v>259</v>
      </c>
      <c r="I130" s="132">
        <v>690</v>
      </c>
      <c r="J130" s="95">
        <v>4</v>
      </c>
      <c r="K130" s="95">
        <f t="shared" si="1"/>
        <v>0</v>
      </c>
      <c r="L130" s="95" t="str">
        <f>IFERROR(VLOOKUP(GroupPop2018[[#This Row],[Group]],Grouping[#All],2,0),"Unknown")</f>
        <v>4 - Areas without curbside</v>
      </c>
      <c r="M130" s="95" t="str">
        <f>INDEX(Frequency[Collection_Frequency],MATCH(GroupPop2018[[#This Row],[FreqCode]],Frequency[Orig_Frequency_ID],0))</f>
        <v>No collection</v>
      </c>
      <c r="N130" s="95" t="str">
        <f>IF(GroupPop2018[[#This Row],[Group]]=1,"Metro",IF(GroupPop2018[[#This Row],[Group]]=4,"Nowhere",IF(GroupPop2018[[#This Row],[Group]]=3,"Remote",IF(GroupPop2018[[#This Row],[County]]="Marion","Marion County","Transported to Metro"))))</f>
        <v>Nowhere</v>
      </c>
      <c r="O130" s="95"/>
      <c r="P130" s="100">
        <f>GroupPop2018[[#This Row],[Pop2018]]*(1+SUMIFS(Growth[GrowthRate],Growth[Grouping_ID],GroupPop2018[[#This Row],[Group]]))</f>
        <v>740.58822703006456</v>
      </c>
    </row>
    <row r="131" spans="2:16" x14ac:dyDescent="0.2">
      <c r="B131" s="95" t="s">
        <v>388</v>
      </c>
      <c r="C131" s="95" t="s">
        <v>391</v>
      </c>
      <c r="D131" s="95" t="s">
        <v>391</v>
      </c>
      <c r="E131" s="95" t="s">
        <v>258</v>
      </c>
      <c r="F131" s="95" t="s">
        <v>391</v>
      </c>
      <c r="G131" s="95" t="s">
        <v>127</v>
      </c>
      <c r="H131" s="95" t="s">
        <v>259</v>
      </c>
      <c r="I131" s="132">
        <v>665</v>
      </c>
      <c r="J131" s="95">
        <v>4</v>
      </c>
      <c r="K131" s="95">
        <f t="shared" si="1"/>
        <v>0</v>
      </c>
      <c r="L131" s="95" t="str">
        <f>IFERROR(VLOOKUP(GroupPop2018[[#This Row],[Group]],Grouping[#All],2,0),"Unknown")</f>
        <v>4 - Areas without curbside</v>
      </c>
      <c r="M131" s="95" t="str">
        <f>INDEX(Frequency[Collection_Frequency],MATCH(GroupPop2018[[#This Row],[FreqCode]],Frequency[Orig_Frequency_ID],0))</f>
        <v>No collection</v>
      </c>
      <c r="N131" s="95" t="str">
        <f>IF(GroupPop2018[[#This Row],[Group]]=1,"Metro",IF(GroupPop2018[[#This Row],[Group]]=4,"Nowhere",IF(GroupPop2018[[#This Row],[Group]]=3,"Remote",IF(GroupPop2018[[#This Row],[County]]="Marion","Marion County","Transported to Metro"))))</f>
        <v>Nowhere</v>
      </c>
      <c r="O131" s="95"/>
      <c r="P131" s="100">
        <f>GroupPop2018[[#This Row],[Pop2018]]*(1+SUMIFS(Growth[GrowthRate],Growth[Grouping_ID],GroupPop2018[[#This Row],[Group]]))</f>
        <v>713.75532025361292</v>
      </c>
    </row>
    <row r="132" spans="2:16" x14ac:dyDescent="0.2">
      <c r="B132" s="95" t="s">
        <v>388</v>
      </c>
      <c r="C132" s="95" t="s">
        <v>392</v>
      </c>
      <c r="D132" s="95" t="s">
        <v>392</v>
      </c>
      <c r="E132" s="95" t="s">
        <v>253</v>
      </c>
      <c r="F132" s="95" t="s">
        <v>392</v>
      </c>
      <c r="G132" s="95" t="s">
        <v>127</v>
      </c>
      <c r="H132" s="95" t="s">
        <v>259</v>
      </c>
      <c r="I132" s="132">
        <v>20</v>
      </c>
      <c r="J132" s="95">
        <v>4</v>
      </c>
      <c r="K132" s="95">
        <f t="shared" si="1"/>
        <v>0</v>
      </c>
      <c r="L132" s="95" t="str">
        <f>IFERROR(VLOOKUP(GroupPop2018[[#This Row],[Group]],Grouping[#All],2,0),"Unknown")</f>
        <v>4 - Areas without curbside</v>
      </c>
      <c r="M132" s="95" t="str">
        <f>INDEX(Frequency[Collection_Frequency],MATCH(GroupPop2018[[#This Row],[FreqCode]],Frequency[Orig_Frequency_ID],0))</f>
        <v>No collection</v>
      </c>
      <c r="N132" s="95" t="str">
        <f>IF(GroupPop2018[[#This Row],[Group]]=1,"Metro",IF(GroupPop2018[[#This Row],[Group]]=4,"Nowhere",IF(GroupPop2018[[#This Row],[Group]]=3,"Remote",IF(GroupPop2018[[#This Row],[County]]="Marion","Marion County","Transported to Metro"))))</f>
        <v>Nowhere</v>
      </c>
      <c r="O132" s="95"/>
      <c r="P132" s="100">
        <f>GroupPop2018[[#This Row],[Pop2018]]*(1+SUMIFS(Growth[GrowthRate],Growth[Grouping_ID],GroupPop2018[[#This Row],[Group]]))</f>
        <v>21.466325421161294</v>
      </c>
    </row>
    <row r="133" spans="2:16" x14ac:dyDescent="0.2">
      <c r="B133" s="95" t="s">
        <v>393</v>
      </c>
      <c r="C133" s="95" t="s">
        <v>394</v>
      </c>
      <c r="D133" s="95" t="s">
        <v>394</v>
      </c>
      <c r="E133" s="95" t="s">
        <v>253</v>
      </c>
      <c r="F133" s="95" t="s">
        <v>394</v>
      </c>
      <c r="G133" s="95" t="s">
        <v>127</v>
      </c>
      <c r="H133" s="95" t="s">
        <v>259</v>
      </c>
      <c r="I133" s="132">
        <v>705</v>
      </c>
      <c r="J133" s="95">
        <v>4</v>
      </c>
      <c r="K133" s="95">
        <f t="shared" si="1"/>
        <v>0</v>
      </c>
      <c r="L133" s="95" t="str">
        <f>IFERROR(VLOOKUP(GroupPop2018[[#This Row],[Group]],Grouping[#All],2,0),"Unknown")</f>
        <v>4 - Areas without curbside</v>
      </c>
      <c r="M133" s="95" t="str">
        <f>INDEX(Frequency[Collection_Frequency],MATCH(GroupPop2018[[#This Row],[FreqCode]],Frequency[Orig_Frequency_ID],0))</f>
        <v>No collection</v>
      </c>
      <c r="N133" s="95" t="str">
        <f>IF(GroupPop2018[[#This Row],[Group]]=1,"Metro",IF(GroupPop2018[[#This Row],[Group]]=4,"Nowhere",IF(GroupPop2018[[#This Row],[Group]]=3,"Remote",IF(GroupPop2018[[#This Row],[County]]="Marion","Marion County","Transported to Metro"))))</f>
        <v>Nowhere</v>
      </c>
      <c r="O133" s="95"/>
      <c r="P133" s="100">
        <f>GroupPop2018[[#This Row],[Pop2018]]*(1+SUMIFS(Growth[GrowthRate],Growth[Grouping_ID],GroupPop2018[[#This Row],[Group]]))</f>
        <v>756.6879710959355</v>
      </c>
    </row>
    <row r="134" spans="2:16" x14ac:dyDescent="0.2">
      <c r="B134" s="95" t="s">
        <v>393</v>
      </c>
      <c r="C134" s="95" t="s">
        <v>395</v>
      </c>
      <c r="D134" s="95" t="s">
        <v>395</v>
      </c>
      <c r="E134" s="95" t="s">
        <v>253</v>
      </c>
      <c r="F134" s="95" t="s">
        <v>395</v>
      </c>
      <c r="G134" s="95" t="s">
        <v>127</v>
      </c>
      <c r="H134" s="95" t="s">
        <v>259</v>
      </c>
      <c r="I134" s="132">
        <v>155</v>
      </c>
      <c r="J134" s="95">
        <v>4</v>
      </c>
      <c r="K134" s="95">
        <f t="shared" si="1"/>
        <v>0</v>
      </c>
      <c r="L134" s="95" t="str">
        <f>IFERROR(VLOOKUP(GroupPop2018[[#This Row],[Group]],Grouping[#All],2,0),"Unknown")</f>
        <v>4 - Areas without curbside</v>
      </c>
      <c r="M134" s="95" t="str">
        <f>INDEX(Frequency[Collection_Frequency],MATCH(GroupPop2018[[#This Row],[FreqCode]],Frequency[Orig_Frequency_ID],0))</f>
        <v>No collection</v>
      </c>
      <c r="N134" s="95" t="str">
        <f>IF(GroupPop2018[[#This Row],[Group]]=1,"Metro",IF(GroupPop2018[[#This Row],[Group]]=4,"Nowhere",IF(GroupPop2018[[#This Row],[Group]]=3,"Remote",IF(GroupPop2018[[#This Row],[County]]="Marion","Marion County","Transported to Metro"))))</f>
        <v>Nowhere</v>
      </c>
      <c r="O134" s="95"/>
      <c r="P134" s="100">
        <f>GroupPop2018[[#This Row],[Pop2018]]*(1+SUMIFS(Growth[GrowthRate],Growth[Grouping_ID],GroupPop2018[[#This Row],[Group]]))</f>
        <v>166.364022014</v>
      </c>
    </row>
    <row r="135" spans="2:16" x14ac:dyDescent="0.2">
      <c r="B135" s="95" t="s">
        <v>393</v>
      </c>
      <c r="C135" s="95" t="s">
        <v>396</v>
      </c>
      <c r="D135" s="95" t="s">
        <v>396</v>
      </c>
      <c r="E135" s="95" t="s">
        <v>253</v>
      </c>
      <c r="F135" s="95" t="s">
        <v>396</v>
      </c>
      <c r="G135" s="95" t="s">
        <v>127</v>
      </c>
      <c r="H135" s="95" t="s">
        <v>259</v>
      </c>
      <c r="I135" s="132">
        <v>40</v>
      </c>
      <c r="J135" s="95">
        <v>4</v>
      </c>
      <c r="K135" s="95">
        <f t="shared" si="1"/>
        <v>0</v>
      </c>
      <c r="L135" s="95" t="str">
        <f>IFERROR(VLOOKUP(GroupPop2018[[#This Row],[Group]],Grouping[#All],2,0),"Unknown")</f>
        <v>4 - Areas without curbside</v>
      </c>
      <c r="M135" s="95" t="str">
        <f>INDEX(Frequency[Collection_Frequency],MATCH(GroupPop2018[[#This Row],[FreqCode]],Frequency[Orig_Frequency_ID],0))</f>
        <v>No collection</v>
      </c>
      <c r="N135" s="95" t="str">
        <f>IF(GroupPop2018[[#This Row],[Group]]=1,"Metro",IF(GroupPop2018[[#This Row],[Group]]=4,"Nowhere",IF(GroupPop2018[[#This Row],[Group]]=3,"Remote",IF(GroupPop2018[[#This Row],[County]]="Marion","Marion County","Transported to Metro"))))</f>
        <v>Nowhere</v>
      </c>
      <c r="O135" s="95"/>
      <c r="P135" s="100">
        <f>GroupPop2018[[#This Row],[Pop2018]]*(1+SUMIFS(Growth[GrowthRate],Growth[Grouping_ID],GroupPop2018[[#This Row],[Group]]))</f>
        <v>42.932650842322587</v>
      </c>
    </row>
    <row r="136" spans="2:16" x14ac:dyDescent="0.2">
      <c r="B136" s="95" t="s">
        <v>393</v>
      </c>
      <c r="C136" s="95" t="s">
        <v>397</v>
      </c>
      <c r="D136" s="95" t="s">
        <v>397</v>
      </c>
      <c r="E136" s="95" t="s">
        <v>258</v>
      </c>
      <c r="F136" s="95" t="s">
        <v>397</v>
      </c>
      <c r="G136" s="95" t="s">
        <v>127</v>
      </c>
      <c r="H136" s="95" t="s">
        <v>259</v>
      </c>
      <c r="I136" s="132">
        <v>2800</v>
      </c>
      <c r="J136" s="95">
        <v>4</v>
      </c>
      <c r="K136" s="95">
        <f t="shared" si="1"/>
        <v>0</v>
      </c>
      <c r="L136" s="95" t="str">
        <f>IFERROR(VLOOKUP(GroupPop2018[[#This Row],[Group]],Grouping[#All],2,0),"Unknown")</f>
        <v>4 - Areas without curbside</v>
      </c>
      <c r="M136" s="95" t="str">
        <f>INDEX(Frequency[Collection_Frequency],MATCH(GroupPop2018[[#This Row],[FreqCode]],Frequency[Orig_Frequency_ID],0))</f>
        <v>No collection</v>
      </c>
      <c r="N136" s="95" t="str">
        <f>IF(GroupPop2018[[#This Row],[Group]]=1,"Metro",IF(GroupPop2018[[#This Row],[Group]]=4,"Nowhere",IF(GroupPop2018[[#This Row],[Group]]=3,"Remote",IF(GroupPop2018[[#This Row],[County]]="Marion","Marion County","Transported to Metro"))))</f>
        <v>Nowhere</v>
      </c>
      <c r="O136" s="95"/>
      <c r="P136" s="100">
        <f>GroupPop2018[[#This Row],[Pop2018]]*(1+SUMIFS(Growth[GrowthRate],Growth[Grouping_ID],GroupPop2018[[#This Row],[Group]]))</f>
        <v>3005.285558962581</v>
      </c>
    </row>
    <row r="137" spans="2:16" x14ac:dyDescent="0.2">
      <c r="B137" s="95" t="s">
        <v>393</v>
      </c>
      <c r="C137" s="95" t="s">
        <v>398</v>
      </c>
      <c r="D137" s="95" t="s">
        <v>398</v>
      </c>
      <c r="E137" s="95" t="s">
        <v>253</v>
      </c>
      <c r="F137" s="95" t="s">
        <v>398</v>
      </c>
      <c r="G137" s="95" t="s">
        <v>127</v>
      </c>
      <c r="H137" s="95" t="s">
        <v>259</v>
      </c>
      <c r="I137" s="132">
        <v>1735</v>
      </c>
      <c r="J137" s="95">
        <v>4</v>
      </c>
      <c r="K137" s="95">
        <f t="shared" si="1"/>
        <v>0</v>
      </c>
      <c r="L137" s="95" t="str">
        <f>IFERROR(VLOOKUP(GroupPop2018[[#This Row],[Group]],Grouping[#All],2,0),"Unknown")</f>
        <v>4 - Areas without curbside</v>
      </c>
      <c r="M137" s="95" t="str">
        <f>INDEX(Frequency[Collection_Frequency],MATCH(GroupPop2018[[#This Row],[FreqCode]],Frequency[Orig_Frequency_ID],0))</f>
        <v>No collection</v>
      </c>
      <c r="N137" s="95" t="str">
        <f>IF(GroupPop2018[[#This Row],[Group]]=1,"Metro",IF(GroupPop2018[[#This Row],[Group]]=4,"Nowhere",IF(GroupPop2018[[#This Row],[Group]]=3,"Remote",IF(GroupPop2018[[#This Row],[County]]="Marion","Marion County","Transported to Metro"))))</f>
        <v>Nowhere</v>
      </c>
      <c r="O137" s="95"/>
      <c r="P137" s="100">
        <f>GroupPop2018[[#This Row],[Pop2018]]*(1+SUMIFS(Growth[GrowthRate],Growth[Grouping_ID],GroupPop2018[[#This Row],[Group]]))</f>
        <v>1862.203730285742</v>
      </c>
    </row>
    <row r="138" spans="2:16" x14ac:dyDescent="0.2">
      <c r="B138" s="95" t="s">
        <v>393</v>
      </c>
      <c r="C138" s="95" t="s">
        <v>399</v>
      </c>
      <c r="D138" s="95" t="s">
        <v>399</v>
      </c>
      <c r="E138" s="95" t="s">
        <v>253</v>
      </c>
      <c r="F138" s="95" t="s">
        <v>399</v>
      </c>
      <c r="G138" s="95" t="s">
        <v>127</v>
      </c>
      <c r="H138" s="95" t="s">
        <v>259</v>
      </c>
      <c r="I138" s="132">
        <v>195</v>
      </c>
      <c r="J138" s="95">
        <v>4</v>
      </c>
      <c r="K138" s="95">
        <f t="shared" si="1"/>
        <v>0</v>
      </c>
      <c r="L138" s="95" t="str">
        <f>IFERROR(VLOOKUP(GroupPop2018[[#This Row],[Group]],Grouping[#All],2,0),"Unknown")</f>
        <v>4 - Areas without curbside</v>
      </c>
      <c r="M138" s="95" t="str">
        <f>INDEX(Frequency[Collection_Frequency],MATCH(GroupPop2018[[#This Row],[FreqCode]],Frequency[Orig_Frequency_ID],0))</f>
        <v>No collection</v>
      </c>
      <c r="N138" s="95" t="str">
        <f>IF(GroupPop2018[[#This Row],[Group]]=1,"Metro",IF(GroupPop2018[[#This Row],[Group]]=4,"Nowhere",IF(GroupPop2018[[#This Row],[Group]]=3,"Remote",IF(GroupPop2018[[#This Row],[County]]="Marion","Marion County","Transported to Metro"))))</f>
        <v>Nowhere</v>
      </c>
      <c r="O138" s="95"/>
      <c r="P138" s="100">
        <f>GroupPop2018[[#This Row],[Pop2018]]*(1+SUMIFS(Growth[GrowthRate],Growth[Grouping_ID],GroupPop2018[[#This Row],[Group]]))</f>
        <v>209.2966728563226</v>
      </c>
    </row>
    <row r="139" spans="2:16" x14ac:dyDescent="0.2">
      <c r="B139" s="95" t="s">
        <v>393</v>
      </c>
      <c r="C139" s="95" t="s">
        <v>400</v>
      </c>
      <c r="D139" s="95" t="s">
        <v>400</v>
      </c>
      <c r="E139" s="95" t="s">
        <v>253</v>
      </c>
      <c r="F139" s="95" t="s">
        <v>400</v>
      </c>
      <c r="G139" s="95" t="s">
        <v>127</v>
      </c>
      <c r="H139" s="95" t="s">
        <v>259</v>
      </c>
      <c r="I139" s="132">
        <v>130</v>
      </c>
      <c r="J139" s="95">
        <v>4</v>
      </c>
      <c r="K139" s="95">
        <f t="shared" si="1"/>
        <v>0</v>
      </c>
      <c r="L139" s="95" t="str">
        <f>IFERROR(VLOOKUP(GroupPop2018[[#This Row],[Group]],Grouping[#All],2,0),"Unknown")</f>
        <v>4 - Areas without curbside</v>
      </c>
      <c r="M139" s="95" t="str">
        <f>INDEX(Frequency[Collection_Frequency],MATCH(GroupPop2018[[#This Row],[FreqCode]],Frequency[Orig_Frequency_ID],0))</f>
        <v>No collection</v>
      </c>
      <c r="N139" s="95" t="str">
        <f>IF(GroupPop2018[[#This Row],[Group]]=1,"Metro",IF(GroupPop2018[[#This Row],[Group]]=4,"Nowhere",IF(GroupPop2018[[#This Row],[Group]]=3,"Remote",IF(GroupPop2018[[#This Row],[County]]="Marion","Marion County","Transported to Metro"))))</f>
        <v>Nowhere</v>
      </c>
      <c r="O139" s="95"/>
      <c r="P139" s="100">
        <f>GroupPop2018[[#This Row],[Pop2018]]*(1+SUMIFS(Growth[GrowthRate],Growth[Grouping_ID],GroupPop2018[[#This Row],[Group]]))</f>
        <v>139.53111523754839</v>
      </c>
    </row>
    <row r="140" spans="2:16" x14ac:dyDescent="0.2">
      <c r="B140" s="95" t="s">
        <v>393</v>
      </c>
      <c r="C140" s="95" t="s">
        <v>401</v>
      </c>
      <c r="D140" s="95" t="s">
        <v>401</v>
      </c>
      <c r="E140" s="95" t="s">
        <v>253</v>
      </c>
      <c r="F140" s="95" t="s">
        <v>401</v>
      </c>
      <c r="G140" s="95" t="s">
        <v>127</v>
      </c>
      <c r="H140" s="95" t="s">
        <v>259</v>
      </c>
      <c r="I140" s="132">
        <v>525</v>
      </c>
      <c r="J140" s="95">
        <v>4</v>
      </c>
      <c r="K140" s="95">
        <f t="shared" si="1"/>
        <v>0</v>
      </c>
      <c r="L140" s="95" t="str">
        <f>IFERROR(VLOOKUP(GroupPop2018[[#This Row],[Group]],Grouping[#All],2,0),"Unknown")</f>
        <v>4 - Areas without curbside</v>
      </c>
      <c r="M140" s="95" t="str">
        <f>INDEX(Frequency[Collection_Frequency],MATCH(GroupPop2018[[#This Row],[FreqCode]],Frequency[Orig_Frequency_ID],0))</f>
        <v>No collection</v>
      </c>
      <c r="N140" s="95" t="str">
        <f>IF(GroupPop2018[[#This Row],[Group]]=1,"Metro",IF(GroupPop2018[[#This Row],[Group]]=4,"Nowhere",IF(GroupPop2018[[#This Row],[Group]]=3,"Remote",IF(GroupPop2018[[#This Row],[County]]="Marion","Marion County","Transported to Metro"))))</f>
        <v>Nowhere</v>
      </c>
      <c r="O140" s="95"/>
      <c r="P140" s="100">
        <f>GroupPop2018[[#This Row],[Pop2018]]*(1+SUMIFS(Growth[GrowthRate],Growth[Grouping_ID],GroupPop2018[[#This Row],[Group]]))</f>
        <v>563.49104230548392</v>
      </c>
    </row>
    <row r="141" spans="2:16" x14ac:dyDescent="0.2">
      <c r="B141" s="95" t="s">
        <v>393</v>
      </c>
      <c r="C141" s="95" t="s">
        <v>402</v>
      </c>
      <c r="D141" s="95" t="s">
        <v>402</v>
      </c>
      <c r="E141" s="95" t="s">
        <v>253</v>
      </c>
      <c r="F141" s="95" t="s">
        <v>402</v>
      </c>
      <c r="G141" s="95" t="s">
        <v>127</v>
      </c>
      <c r="H141" s="95" t="s">
        <v>259</v>
      </c>
      <c r="I141" s="132">
        <v>915</v>
      </c>
      <c r="J141" s="95">
        <v>4</v>
      </c>
      <c r="K141" s="95">
        <f t="shared" si="1"/>
        <v>0</v>
      </c>
      <c r="L141" s="95" t="str">
        <f>IFERROR(VLOOKUP(GroupPop2018[[#This Row],[Group]],Grouping[#All],2,0),"Unknown")</f>
        <v>4 - Areas without curbside</v>
      </c>
      <c r="M141" s="95" t="str">
        <f>INDEX(Frequency[Collection_Frequency],MATCH(GroupPop2018[[#This Row],[FreqCode]],Frequency[Orig_Frequency_ID],0))</f>
        <v>No collection</v>
      </c>
      <c r="N141" s="95" t="str">
        <f>IF(GroupPop2018[[#This Row],[Group]]=1,"Metro",IF(GroupPop2018[[#This Row],[Group]]=4,"Nowhere",IF(GroupPop2018[[#This Row],[Group]]=3,"Remote",IF(GroupPop2018[[#This Row],[County]]="Marion","Marion County","Transported to Metro"))))</f>
        <v>Nowhere</v>
      </c>
      <c r="O141" s="95"/>
      <c r="P141" s="100">
        <f>GroupPop2018[[#This Row],[Pop2018]]*(1+SUMIFS(Growth[GrowthRate],Growth[Grouping_ID],GroupPop2018[[#This Row],[Group]]))</f>
        <v>982.08438801812906</v>
      </c>
    </row>
    <row r="142" spans="2:16" x14ac:dyDescent="0.2">
      <c r="B142" s="95" t="s">
        <v>393</v>
      </c>
      <c r="C142" s="95" t="s">
        <v>403</v>
      </c>
      <c r="D142" s="95" t="s">
        <v>403</v>
      </c>
      <c r="E142" s="95" t="s">
        <v>253</v>
      </c>
      <c r="F142" s="95" t="s">
        <v>403</v>
      </c>
      <c r="G142" s="95" t="s">
        <v>127</v>
      </c>
      <c r="H142" s="95" t="s">
        <v>259</v>
      </c>
      <c r="I142" s="132">
        <v>200</v>
      </c>
      <c r="J142" s="95">
        <v>4</v>
      </c>
      <c r="K142" s="95">
        <f t="shared" si="1"/>
        <v>0</v>
      </c>
      <c r="L142" s="95" t="str">
        <f>IFERROR(VLOOKUP(GroupPop2018[[#This Row],[Group]],Grouping[#All],2,0),"Unknown")</f>
        <v>4 - Areas without curbside</v>
      </c>
      <c r="M142" s="95" t="str">
        <f>INDEX(Frequency[Collection_Frequency],MATCH(GroupPop2018[[#This Row],[FreqCode]],Frequency[Orig_Frequency_ID],0))</f>
        <v>No collection</v>
      </c>
      <c r="N142" s="95" t="str">
        <f>IF(GroupPop2018[[#This Row],[Group]]=1,"Metro",IF(GroupPop2018[[#This Row],[Group]]=4,"Nowhere",IF(GroupPop2018[[#This Row],[Group]]=3,"Remote",IF(GroupPop2018[[#This Row],[County]]="Marion","Marion County","Transported to Metro"))))</f>
        <v>Nowhere</v>
      </c>
      <c r="O142" s="95"/>
      <c r="P142" s="100">
        <f>GroupPop2018[[#This Row],[Pop2018]]*(1+SUMIFS(Growth[GrowthRate],Growth[Grouping_ID],GroupPop2018[[#This Row],[Group]]))</f>
        <v>214.66325421161292</v>
      </c>
    </row>
    <row r="143" spans="2:16" x14ac:dyDescent="0.2">
      <c r="B143" s="95" t="s">
        <v>404</v>
      </c>
      <c r="C143" s="95" t="s">
        <v>405</v>
      </c>
      <c r="D143" s="95" t="s">
        <v>405</v>
      </c>
      <c r="E143" s="95" t="s">
        <v>253</v>
      </c>
      <c r="F143" s="95" t="s">
        <v>405</v>
      </c>
      <c r="G143" s="95" t="s">
        <v>127</v>
      </c>
      <c r="H143" s="95" t="s">
        <v>259</v>
      </c>
      <c r="I143" s="132">
        <v>2830</v>
      </c>
      <c r="J143" s="95">
        <v>4</v>
      </c>
      <c r="K143" s="95">
        <f t="shared" si="1"/>
        <v>0</v>
      </c>
      <c r="L143" s="95" t="str">
        <f>IFERROR(VLOOKUP(GroupPop2018[[#This Row],[Group]],Grouping[#All],2,0),"Unknown")</f>
        <v>4 - Areas without curbside</v>
      </c>
      <c r="M143" s="95" t="str">
        <f>INDEX(Frequency[Collection_Frequency],MATCH(GroupPop2018[[#This Row],[FreqCode]],Frequency[Orig_Frequency_ID],0))</f>
        <v>No collection</v>
      </c>
      <c r="N143" s="95" t="str">
        <f>IF(GroupPop2018[[#This Row],[Group]]=1,"Metro",IF(GroupPop2018[[#This Row],[Group]]=4,"Nowhere",IF(GroupPop2018[[#This Row],[Group]]=3,"Remote",IF(GroupPop2018[[#This Row],[County]]="Marion","Marion County","Transported to Metro"))))</f>
        <v>Nowhere</v>
      </c>
      <c r="O143" s="95"/>
      <c r="P143" s="100">
        <f>GroupPop2018[[#This Row],[Pop2018]]*(1+SUMIFS(Growth[GrowthRate],Growth[Grouping_ID],GroupPop2018[[#This Row],[Group]]))</f>
        <v>3037.4850470943229</v>
      </c>
    </row>
    <row r="144" spans="2:16" x14ac:dyDescent="0.2">
      <c r="B144" s="95" t="s">
        <v>404</v>
      </c>
      <c r="C144" s="95" t="s">
        <v>406</v>
      </c>
      <c r="D144" s="95" t="s">
        <v>406</v>
      </c>
      <c r="E144" s="95" t="s">
        <v>258</v>
      </c>
      <c r="F144" s="95" t="s">
        <v>406</v>
      </c>
      <c r="G144" s="95" t="s">
        <v>127</v>
      </c>
      <c r="H144" s="95" t="s">
        <v>259</v>
      </c>
      <c r="I144" s="132">
        <v>2990</v>
      </c>
      <c r="J144" s="95">
        <v>4</v>
      </c>
      <c r="K144" s="95">
        <f t="shared" si="1"/>
        <v>0</v>
      </c>
      <c r="L144" s="95" t="str">
        <f>IFERROR(VLOOKUP(GroupPop2018[[#This Row],[Group]],Grouping[#All],2,0),"Unknown")</f>
        <v>4 - Areas without curbside</v>
      </c>
      <c r="M144" s="95" t="str">
        <f>INDEX(Frequency[Collection_Frequency],MATCH(GroupPop2018[[#This Row],[FreqCode]],Frequency[Orig_Frequency_ID],0))</f>
        <v>No collection</v>
      </c>
      <c r="N144" s="95" t="str">
        <f>IF(GroupPop2018[[#This Row],[Group]]=1,"Metro",IF(GroupPop2018[[#This Row],[Group]]=4,"Nowhere",IF(GroupPop2018[[#This Row],[Group]]=3,"Remote",IF(GroupPop2018[[#This Row],[County]]="Marion","Marion County","Transported to Metro"))))</f>
        <v>Nowhere</v>
      </c>
      <c r="O144" s="95"/>
      <c r="P144" s="100">
        <f>GroupPop2018[[#This Row],[Pop2018]]*(1+SUMIFS(Growth[GrowthRate],Growth[Grouping_ID],GroupPop2018[[#This Row],[Group]]))</f>
        <v>3209.2156504636132</v>
      </c>
    </row>
    <row r="145" spans="2:16" x14ac:dyDescent="0.2">
      <c r="B145" s="95" t="s">
        <v>404</v>
      </c>
      <c r="C145" s="95" t="s">
        <v>407</v>
      </c>
      <c r="D145" s="95" t="s">
        <v>407</v>
      </c>
      <c r="E145" s="95" t="s">
        <v>253</v>
      </c>
      <c r="F145" s="95" t="s">
        <v>407</v>
      </c>
      <c r="G145" s="95" t="s">
        <v>127</v>
      </c>
      <c r="H145" s="95" t="s">
        <v>259</v>
      </c>
      <c r="I145" s="132">
        <v>1560</v>
      </c>
      <c r="J145" s="95">
        <v>4</v>
      </c>
      <c r="K145" s="95">
        <f t="shared" si="1"/>
        <v>0</v>
      </c>
      <c r="L145" s="95" t="str">
        <f>IFERROR(VLOOKUP(GroupPop2018[[#This Row],[Group]],Grouping[#All],2,0),"Unknown")</f>
        <v>4 - Areas without curbside</v>
      </c>
      <c r="M145" s="95" t="str">
        <f>INDEX(Frequency[Collection_Frequency],MATCH(GroupPop2018[[#This Row],[FreqCode]],Frequency[Orig_Frequency_ID],0))</f>
        <v>No collection</v>
      </c>
      <c r="N145" s="95" t="str">
        <f>IF(GroupPop2018[[#This Row],[Group]]=1,"Metro",IF(GroupPop2018[[#This Row],[Group]]=4,"Nowhere",IF(GroupPop2018[[#This Row],[Group]]=3,"Remote",IF(GroupPop2018[[#This Row],[County]]="Marion","Marion County","Transported to Metro"))))</f>
        <v>Nowhere</v>
      </c>
      <c r="O145" s="95"/>
      <c r="P145" s="100">
        <f>GroupPop2018[[#This Row],[Pop2018]]*(1+SUMIFS(Growth[GrowthRate],Growth[Grouping_ID],GroupPop2018[[#This Row],[Group]]))</f>
        <v>1674.3733828505808</v>
      </c>
    </row>
    <row r="146" spans="2:16" x14ac:dyDescent="0.2">
      <c r="B146" s="95" t="s">
        <v>408</v>
      </c>
      <c r="C146" s="95" t="s">
        <v>409</v>
      </c>
      <c r="D146" s="95" t="s">
        <v>409</v>
      </c>
      <c r="E146" s="95" t="s">
        <v>253</v>
      </c>
      <c r="F146" s="95" t="s">
        <v>409</v>
      </c>
      <c r="G146" s="95" t="s">
        <v>53</v>
      </c>
      <c r="H146" s="95" t="s">
        <v>259</v>
      </c>
      <c r="I146" s="132">
        <v>1375</v>
      </c>
      <c r="J146" s="95">
        <v>2</v>
      </c>
      <c r="K146" s="95">
        <f t="shared" si="1"/>
        <v>0</v>
      </c>
      <c r="L146" s="95" t="str">
        <f>IFERROR(VLOOKUP(GroupPop2018[[#This Row],[Group]],Grouping[#All],2,0),"Unknown")</f>
        <v>2 - Willamette Valley, etc.</v>
      </c>
      <c r="M146" s="95" t="str">
        <f>INDEX(Frequency[Collection_Frequency],MATCH(GroupPop2018[[#This Row],[FreqCode]],Frequency[Orig_Frequency_ID],0))</f>
        <v>Every other week</v>
      </c>
      <c r="N146" s="95" t="str">
        <f>IF(GroupPop2018[[#This Row],[Group]]=1,"Metro",IF(GroupPop2018[[#This Row],[Group]]=4,"Nowhere",IF(GroupPop2018[[#This Row],[Group]]=3,"Remote",IF(GroupPop2018[[#This Row],[County]]="Marion","Marion County","Transported to Metro"))))</f>
        <v>Transported to Metro</v>
      </c>
      <c r="O146" s="95"/>
      <c r="P146" s="100">
        <f>GroupPop2018[[#This Row],[Pop2018]]*(1+SUMIFS(Growth[GrowthRate],Growth[Grouping_ID],GroupPop2018[[#This Row],[Group]]))</f>
        <v>1464.5450215878357</v>
      </c>
    </row>
    <row r="147" spans="2:16" x14ac:dyDescent="0.2">
      <c r="B147" s="95" t="s">
        <v>408</v>
      </c>
      <c r="C147" s="95" t="s">
        <v>408</v>
      </c>
      <c r="D147" s="95" t="s">
        <v>408</v>
      </c>
      <c r="E147" s="95" t="s">
        <v>253</v>
      </c>
      <c r="F147" s="95" t="s">
        <v>408</v>
      </c>
      <c r="G147" s="95" t="s">
        <v>64</v>
      </c>
      <c r="H147" s="95" t="s">
        <v>254</v>
      </c>
      <c r="I147" s="132">
        <v>7990</v>
      </c>
      <c r="J147" s="95">
        <v>2</v>
      </c>
      <c r="K147" s="95">
        <f t="shared" ref="K147:K210" si="2">COUNTIFS($B$1:$B$16,C147,$D$1:$D$16,E147)</f>
        <v>0</v>
      </c>
      <c r="L147" s="95" t="str">
        <f>IFERROR(VLOOKUP(GroupPop2018[[#This Row],[Group]],Grouping[#All],2,0),"Unknown")</f>
        <v>2 - Willamette Valley, etc.</v>
      </c>
      <c r="M147" s="95" t="str">
        <f>INDEX(Frequency[Collection_Frequency],MATCH(GroupPop2018[[#This Row],[FreqCode]],Frequency[Orig_Frequency_ID],0))</f>
        <v>Weekly</v>
      </c>
      <c r="N147" s="95" t="str">
        <f>IF(GroupPop2018[[#This Row],[Group]]=1,"Metro",IF(GroupPop2018[[#This Row],[Group]]=4,"Nowhere",IF(GroupPop2018[[#This Row],[Group]]=3,"Remote",IF(GroupPop2018[[#This Row],[County]]="Marion","Marion County","Transported to Metro"))))</f>
        <v>Transported to Metro</v>
      </c>
      <c r="O147" s="95"/>
      <c r="P147" s="100">
        <f>GroupPop2018[[#This Row],[Pop2018]]*(1+SUMIFS(Growth[GrowthRate],Growth[Grouping_ID],GroupPop2018[[#This Row],[Group]]))</f>
        <v>8510.3379799904051</v>
      </c>
    </row>
    <row r="148" spans="2:16" x14ac:dyDescent="0.2">
      <c r="B148" s="95" t="s">
        <v>408</v>
      </c>
      <c r="C148" s="95" t="s">
        <v>408</v>
      </c>
      <c r="D148" s="95" t="s">
        <v>408</v>
      </c>
      <c r="E148" s="95" t="s">
        <v>255</v>
      </c>
      <c r="F148" s="95" t="s">
        <v>410</v>
      </c>
      <c r="G148" s="95" t="s">
        <v>64</v>
      </c>
      <c r="H148" s="95" t="s">
        <v>254</v>
      </c>
      <c r="I148" s="132">
        <v>9</v>
      </c>
      <c r="J148" s="95">
        <v>2</v>
      </c>
      <c r="K148" s="95">
        <f t="shared" si="2"/>
        <v>0</v>
      </c>
      <c r="L148" s="95" t="str">
        <f>IFERROR(VLOOKUP(GroupPop2018[[#This Row],[Group]],Grouping[#All],2,0),"Unknown")</f>
        <v>2 - Willamette Valley, etc.</v>
      </c>
      <c r="M148" s="95" t="str">
        <f>INDEX(Frequency[Collection_Frequency],MATCH(GroupPop2018[[#This Row],[FreqCode]],Frequency[Orig_Frequency_ID],0))</f>
        <v>Weekly</v>
      </c>
      <c r="N148" s="95" t="str">
        <f>IF(GroupPop2018[[#This Row],[Group]]=1,"Metro",IF(GroupPop2018[[#This Row],[Group]]=4,"Nowhere",IF(GroupPop2018[[#This Row],[Group]]=3,"Remote",IF(GroupPop2018[[#This Row],[County]]="Marion","Marion County","Transported to Metro"))))</f>
        <v>Transported to Metro</v>
      </c>
      <c r="O148" s="95"/>
      <c r="P148" s="100">
        <f>GroupPop2018[[#This Row],[Pop2018]]*(1+SUMIFS(Growth[GrowthRate],Growth[Grouping_ID],GroupPop2018[[#This Row],[Group]]))</f>
        <v>9.586112868574924</v>
      </c>
    </row>
    <row r="149" spans="2:16" x14ac:dyDescent="0.2">
      <c r="B149" s="95" t="s">
        <v>408</v>
      </c>
      <c r="C149" s="95" t="s">
        <v>411</v>
      </c>
      <c r="D149" s="95" t="s">
        <v>411</v>
      </c>
      <c r="E149" s="95" t="s">
        <v>258</v>
      </c>
      <c r="F149" s="95" t="s">
        <v>411</v>
      </c>
      <c r="G149" s="95" t="s">
        <v>127</v>
      </c>
      <c r="H149" s="95" t="s">
        <v>259</v>
      </c>
      <c r="I149" s="132">
        <v>15936</v>
      </c>
      <c r="J149" s="95">
        <v>4</v>
      </c>
      <c r="K149" s="95">
        <f t="shared" si="2"/>
        <v>0</v>
      </c>
      <c r="L149" s="95" t="str">
        <f>IFERROR(VLOOKUP(GroupPop2018[[#This Row],[Group]],Grouping[#All],2,0),"Unknown")</f>
        <v>4 - Areas without curbside</v>
      </c>
      <c r="M149" s="95" t="str">
        <f>INDEX(Frequency[Collection_Frequency],MATCH(GroupPop2018[[#This Row],[FreqCode]],Frequency[Orig_Frequency_ID],0))</f>
        <v>No collection</v>
      </c>
      <c r="N149" s="95" t="str">
        <f>IF(GroupPop2018[[#This Row],[Group]]=1,"Metro",IF(GroupPop2018[[#This Row],[Group]]=4,"Nowhere",IF(GroupPop2018[[#This Row],[Group]]=3,"Remote",IF(GroupPop2018[[#This Row],[County]]="Marion","Marion County","Transported to Metro"))))</f>
        <v>Nowhere</v>
      </c>
      <c r="O149" s="95"/>
      <c r="P149" s="100">
        <f>GroupPop2018[[#This Row],[Pop2018]]*(1+SUMIFS(Growth[GrowthRate],Growth[Grouping_ID],GroupPop2018[[#This Row],[Group]]))</f>
        <v>17104.368095581318</v>
      </c>
    </row>
    <row r="150" spans="2:16" x14ac:dyDescent="0.2">
      <c r="B150" s="95" t="s">
        <v>412</v>
      </c>
      <c r="C150" s="95" t="s">
        <v>413</v>
      </c>
      <c r="D150" s="95" t="s">
        <v>413</v>
      </c>
      <c r="E150" s="95" t="s">
        <v>253</v>
      </c>
      <c r="F150" s="95" t="s">
        <v>413</v>
      </c>
      <c r="G150" s="95" t="s">
        <v>53</v>
      </c>
      <c r="H150" s="95" t="s">
        <v>254</v>
      </c>
      <c r="I150" s="132">
        <v>20815</v>
      </c>
      <c r="J150" s="95">
        <v>3</v>
      </c>
      <c r="K150" s="95">
        <f t="shared" si="2"/>
        <v>0</v>
      </c>
      <c r="L150" s="95" t="str">
        <f>IFERROR(VLOOKUP(GroupPop2018[[#This Row],[Group]],Grouping[#All],2,0),"Unknown")</f>
        <v>3 - Other areas with curbside</v>
      </c>
      <c r="M150" s="95" t="str">
        <f>INDEX(Frequency[Collection_Frequency],MATCH(GroupPop2018[[#This Row],[FreqCode]],Frequency[Orig_Frequency_ID],0))</f>
        <v>Every other week</v>
      </c>
      <c r="N150" s="95" t="str">
        <f>IF(GroupPop2018[[#This Row],[Group]]=1,"Metro",IF(GroupPop2018[[#This Row],[Group]]=4,"Nowhere",IF(GroupPop2018[[#This Row],[Group]]=3,"Remote",IF(GroupPop2018[[#This Row],[County]]="Marion","Marion County","Transported to Metro"))))</f>
        <v>Remote</v>
      </c>
      <c r="O150" s="95"/>
      <c r="P150" s="100">
        <f>GroupPop2018[[#This Row],[Pop2018]]*(1+SUMIFS(Growth[GrowthRate],Growth[Grouping_ID],GroupPop2018[[#This Row],[Group]]))</f>
        <v>22341.078182073616</v>
      </c>
    </row>
    <row r="151" spans="2:16" x14ac:dyDescent="0.2">
      <c r="B151" s="95" t="s">
        <v>412</v>
      </c>
      <c r="C151" s="95" t="s">
        <v>413</v>
      </c>
      <c r="D151" s="95" t="s">
        <v>413</v>
      </c>
      <c r="E151" s="95" t="s">
        <v>255</v>
      </c>
      <c r="F151" s="95" t="s">
        <v>414</v>
      </c>
      <c r="G151" s="95" t="s">
        <v>53</v>
      </c>
      <c r="H151" s="95" t="s">
        <v>254</v>
      </c>
      <c r="I151" s="132">
        <v>487</v>
      </c>
      <c r="J151" s="95">
        <v>3</v>
      </c>
      <c r="K151" s="95">
        <f t="shared" si="2"/>
        <v>0</v>
      </c>
      <c r="L151" s="95" t="str">
        <f>IFERROR(VLOOKUP(GroupPop2018[[#This Row],[Group]],Grouping[#All],2,0),"Unknown")</f>
        <v>3 - Other areas with curbside</v>
      </c>
      <c r="M151" s="95" t="str">
        <f>INDEX(Frequency[Collection_Frequency],MATCH(GroupPop2018[[#This Row],[FreqCode]],Frequency[Orig_Frequency_ID],0))</f>
        <v>Every other week</v>
      </c>
      <c r="N151" s="95" t="str">
        <f>IF(GroupPop2018[[#This Row],[Group]]=1,"Metro",IF(GroupPop2018[[#This Row],[Group]]=4,"Nowhere",IF(GroupPop2018[[#This Row],[Group]]=3,"Remote",IF(GroupPop2018[[#This Row],[County]]="Marion","Marion County","Transported to Metro"))))</f>
        <v>Remote</v>
      </c>
      <c r="O151" s="95"/>
      <c r="P151" s="100">
        <f>GroupPop2018[[#This Row],[Pop2018]]*(1+SUMIFS(Growth[GrowthRate],Growth[Grouping_ID],GroupPop2018[[#This Row],[Group]]))</f>
        <v>522.70502400527744</v>
      </c>
    </row>
    <row r="152" spans="2:16" x14ac:dyDescent="0.2">
      <c r="B152" s="95" t="s">
        <v>412</v>
      </c>
      <c r="C152" s="95" t="s">
        <v>415</v>
      </c>
      <c r="D152" s="95" t="s">
        <v>415</v>
      </c>
      <c r="E152" s="95" t="s">
        <v>253</v>
      </c>
      <c r="F152" s="95" t="s">
        <v>415</v>
      </c>
      <c r="G152" s="95" t="s">
        <v>53</v>
      </c>
      <c r="H152" s="95" t="s">
        <v>259</v>
      </c>
      <c r="I152" s="132">
        <v>440</v>
      </c>
      <c r="J152" s="95">
        <v>3</v>
      </c>
      <c r="K152" s="95">
        <f t="shared" si="2"/>
        <v>0</v>
      </c>
      <c r="L152" s="95" t="str">
        <f>IFERROR(VLOOKUP(GroupPop2018[[#This Row],[Group]],Grouping[#All],2,0),"Unknown")</f>
        <v>3 - Other areas with curbside</v>
      </c>
      <c r="M152" s="95" t="str">
        <f>INDEX(Frequency[Collection_Frequency],MATCH(GroupPop2018[[#This Row],[FreqCode]],Frequency[Orig_Frequency_ID],0))</f>
        <v>Every other week</v>
      </c>
      <c r="N152" s="95" t="str">
        <f>IF(GroupPop2018[[#This Row],[Group]]=1,"Metro",IF(GroupPop2018[[#This Row],[Group]]=4,"Nowhere",IF(GroupPop2018[[#This Row],[Group]]=3,"Remote",IF(GroupPop2018[[#This Row],[County]]="Marion","Marion County","Transported to Metro"))))</f>
        <v>Remote</v>
      </c>
      <c r="O152" s="95"/>
      <c r="P152" s="100">
        <f>GroupPop2018[[#This Row],[Pop2018]]*(1+SUMIFS(Growth[GrowthRate],Growth[Grouping_ID],GroupPop2018[[#This Row],[Group]]))</f>
        <v>472.25915926554842</v>
      </c>
    </row>
    <row r="153" spans="2:16" x14ac:dyDescent="0.2">
      <c r="B153" s="95" t="s">
        <v>412</v>
      </c>
      <c r="C153" s="95" t="s">
        <v>416</v>
      </c>
      <c r="D153" s="95" t="s">
        <v>416</v>
      </c>
      <c r="E153" s="95" t="s">
        <v>253</v>
      </c>
      <c r="F153" s="95" t="s">
        <v>416</v>
      </c>
      <c r="G153" s="95" t="s">
        <v>53</v>
      </c>
      <c r="H153" s="95" t="s">
        <v>254</v>
      </c>
      <c r="I153" s="132">
        <v>17895</v>
      </c>
      <c r="J153" s="95">
        <v>3</v>
      </c>
      <c r="K153" s="95">
        <f t="shared" si="2"/>
        <v>0</v>
      </c>
      <c r="L153" s="95" t="str">
        <f>IFERROR(VLOOKUP(GroupPop2018[[#This Row],[Group]],Grouping[#All],2,0),"Unknown")</f>
        <v>3 - Other areas with curbside</v>
      </c>
      <c r="M153" s="95" t="str">
        <f>INDEX(Frequency[Collection_Frequency],MATCH(GroupPop2018[[#This Row],[FreqCode]],Frequency[Orig_Frequency_ID],0))</f>
        <v>Every other week</v>
      </c>
      <c r="N153" s="95" t="str">
        <f>IF(GroupPop2018[[#This Row],[Group]]=1,"Metro",IF(GroupPop2018[[#This Row],[Group]]=4,"Nowhere",IF(GroupPop2018[[#This Row],[Group]]=3,"Remote",IF(GroupPop2018[[#This Row],[County]]="Marion","Marion County","Transported to Metro"))))</f>
        <v>Remote</v>
      </c>
      <c r="O153" s="95"/>
      <c r="P153" s="100">
        <f>GroupPop2018[[#This Row],[Pop2018]]*(1+SUMIFS(Growth[GrowthRate],Growth[Grouping_ID],GroupPop2018[[#This Row],[Group]]))</f>
        <v>19206.994670584067</v>
      </c>
    </row>
    <row r="154" spans="2:16" x14ac:dyDescent="0.2">
      <c r="B154" s="95" t="s">
        <v>412</v>
      </c>
      <c r="C154" s="95" t="s">
        <v>416</v>
      </c>
      <c r="D154" s="95" t="s">
        <v>416</v>
      </c>
      <c r="E154" s="95" t="s">
        <v>255</v>
      </c>
      <c r="F154" s="95" t="s">
        <v>417</v>
      </c>
      <c r="G154" s="95" t="s">
        <v>53</v>
      </c>
      <c r="H154" s="95" t="s">
        <v>254</v>
      </c>
      <c r="I154" s="132">
        <v>627</v>
      </c>
      <c r="J154" s="95">
        <v>3</v>
      </c>
      <c r="K154" s="95">
        <f t="shared" si="2"/>
        <v>0</v>
      </c>
      <c r="L154" s="95" t="str">
        <f>IFERROR(VLOOKUP(GroupPop2018[[#This Row],[Group]],Grouping[#All],2,0),"Unknown")</f>
        <v>3 - Other areas with curbside</v>
      </c>
      <c r="M154" s="95" t="str">
        <f>INDEX(Frequency[Collection_Frequency],MATCH(GroupPop2018[[#This Row],[FreqCode]],Frequency[Orig_Frequency_ID],0))</f>
        <v>Every other week</v>
      </c>
      <c r="N154" s="95" t="str">
        <f>IF(GroupPop2018[[#This Row],[Group]]=1,"Metro",IF(GroupPop2018[[#This Row],[Group]]=4,"Nowhere",IF(GroupPop2018[[#This Row],[Group]]=3,"Remote",IF(GroupPop2018[[#This Row],[County]]="Marion","Marion County","Transported to Metro"))))</f>
        <v>Remote</v>
      </c>
      <c r="O154" s="95"/>
      <c r="P154" s="100">
        <f>GroupPop2018[[#This Row],[Pop2018]]*(1+SUMIFS(Growth[GrowthRate],Growth[Grouping_ID],GroupPop2018[[#This Row],[Group]]))</f>
        <v>672.96930195340656</v>
      </c>
    </row>
    <row r="155" spans="2:16" x14ac:dyDescent="0.2">
      <c r="B155" s="95" t="s">
        <v>412</v>
      </c>
      <c r="C155" s="95" t="s">
        <v>418</v>
      </c>
      <c r="D155" s="95" t="s">
        <v>418</v>
      </c>
      <c r="E155" s="95" t="s">
        <v>253</v>
      </c>
      <c r="F155" s="95" t="s">
        <v>418</v>
      </c>
      <c r="G155" s="95" t="s">
        <v>53</v>
      </c>
      <c r="H155" s="95" t="s">
        <v>254</v>
      </c>
      <c r="I155" s="132">
        <v>9105</v>
      </c>
      <c r="J155" s="95">
        <v>3</v>
      </c>
      <c r="K155" s="95">
        <f t="shared" si="2"/>
        <v>0</v>
      </c>
      <c r="L155" s="95" t="str">
        <f>IFERROR(VLOOKUP(GroupPop2018[[#This Row],[Group]],Grouping[#All],2,0),"Unknown")</f>
        <v>3 - Other areas with curbside</v>
      </c>
      <c r="M155" s="95" t="str">
        <f>INDEX(Frequency[Collection_Frequency],MATCH(GroupPop2018[[#This Row],[FreqCode]],Frequency[Orig_Frequency_ID],0))</f>
        <v>Every other week</v>
      </c>
      <c r="N155" s="95" t="str">
        <f>IF(GroupPop2018[[#This Row],[Group]]=1,"Metro",IF(GroupPop2018[[#This Row],[Group]]=4,"Nowhere",IF(GroupPop2018[[#This Row],[Group]]=3,"Remote",IF(GroupPop2018[[#This Row],[County]]="Marion","Marion County","Transported to Metro"))))</f>
        <v>Remote</v>
      </c>
      <c r="O155" s="95"/>
      <c r="P155" s="100">
        <f>GroupPop2018[[#This Row],[Pop2018]]*(1+SUMIFS(Growth[GrowthRate],Growth[Grouping_ID],GroupPop2018[[#This Row],[Group]]))</f>
        <v>9772.5446479836774</v>
      </c>
    </row>
    <row r="156" spans="2:16" x14ac:dyDescent="0.2">
      <c r="B156" s="95" t="s">
        <v>412</v>
      </c>
      <c r="C156" s="95" t="s">
        <v>418</v>
      </c>
      <c r="D156" s="95" t="s">
        <v>418</v>
      </c>
      <c r="E156" s="95" t="s">
        <v>255</v>
      </c>
      <c r="F156" s="95" t="s">
        <v>419</v>
      </c>
      <c r="G156" s="95" t="s">
        <v>53</v>
      </c>
      <c r="H156" s="95" t="s">
        <v>254</v>
      </c>
      <c r="I156" s="132">
        <v>137</v>
      </c>
      <c r="J156" s="95">
        <v>3</v>
      </c>
      <c r="K156" s="95">
        <f t="shared" si="2"/>
        <v>0</v>
      </c>
      <c r="L156" s="95" t="str">
        <f>IFERROR(VLOOKUP(GroupPop2018[[#This Row],[Group]],Grouping[#All],2,0),"Unknown")</f>
        <v>3 - Other areas with curbside</v>
      </c>
      <c r="M156" s="95" t="str">
        <f>INDEX(Frequency[Collection_Frequency],MATCH(GroupPop2018[[#This Row],[FreqCode]],Frequency[Orig_Frequency_ID],0))</f>
        <v>Every other week</v>
      </c>
      <c r="N156" s="95" t="str">
        <f>IF(GroupPop2018[[#This Row],[Group]]=1,"Metro",IF(GroupPop2018[[#This Row],[Group]]=4,"Nowhere",IF(GroupPop2018[[#This Row],[Group]]=3,"Remote",IF(GroupPop2018[[#This Row],[County]]="Marion","Marion County","Transported to Metro"))))</f>
        <v>Remote</v>
      </c>
      <c r="O156" s="95"/>
      <c r="P156" s="100">
        <f>GroupPop2018[[#This Row],[Pop2018]]*(1+SUMIFS(Growth[GrowthRate],Growth[Grouping_ID],GroupPop2018[[#This Row],[Group]]))</f>
        <v>147.04432913495484</v>
      </c>
    </row>
    <row r="157" spans="2:16" x14ac:dyDescent="0.2">
      <c r="B157" s="95" t="s">
        <v>412</v>
      </c>
      <c r="C157" s="95" t="s">
        <v>420</v>
      </c>
      <c r="D157" s="95" t="s">
        <v>420</v>
      </c>
      <c r="E157" s="95" t="s">
        <v>253</v>
      </c>
      <c r="F157" s="95" t="s">
        <v>420</v>
      </c>
      <c r="G157" s="95" t="s">
        <v>53</v>
      </c>
      <c r="H157" s="95" t="s">
        <v>259</v>
      </c>
      <c r="I157" s="132">
        <v>1220</v>
      </c>
      <c r="J157" s="95">
        <v>3</v>
      </c>
      <c r="K157" s="95">
        <f t="shared" si="2"/>
        <v>0</v>
      </c>
      <c r="L157" s="95" t="str">
        <f>IFERROR(VLOOKUP(GroupPop2018[[#This Row],[Group]],Grouping[#All],2,0),"Unknown")</f>
        <v>3 - Other areas with curbside</v>
      </c>
      <c r="M157" s="95" t="str">
        <f>INDEX(Frequency[Collection_Frequency],MATCH(GroupPop2018[[#This Row],[FreqCode]],Frequency[Orig_Frequency_ID],0))</f>
        <v>Every other week</v>
      </c>
      <c r="N157" s="95" t="str">
        <f>IF(GroupPop2018[[#This Row],[Group]]=1,"Metro",IF(GroupPop2018[[#This Row],[Group]]=4,"Nowhere",IF(GroupPop2018[[#This Row],[Group]]=3,"Remote",IF(GroupPop2018[[#This Row],[County]]="Marion","Marion County","Transported to Metro"))))</f>
        <v>Remote</v>
      </c>
      <c r="O157" s="95"/>
      <c r="P157" s="100">
        <f>GroupPop2018[[#This Row],[Pop2018]]*(1+SUMIFS(Growth[GrowthRate],Growth[Grouping_ID],GroupPop2018[[#This Row],[Group]]))</f>
        <v>1309.4458506908388</v>
      </c>
    </row>
    <row r="158" spans="2:16" x14ac:dyDescent="0.2">
      <c r="B158" s="95" t="s">
        <v>412</v>
      </c>
      <c r="C158" s="95" t="s">
        <v>421</v>
      </c>
      <c r="D158" s="95" t="s">
        <v>422</v>
      </c>
      <c r="E158" s="95" t="s">
        <v>258</v>
      </c>
      <c r="F158" s="95" t="s">
        <v>421</v>
      </c>
      <c r="G158" s="95" t="s">
        <v>53</v>
      </c>
      <c r="H158" s="95" t="s">
        <v>259</v>
      </c>
      <c r="I158" s="132">
        <v>56596</v>
      </c>
      <c r="J158" s="95">
        <v>3</v>
      </c>
      <c r="K158" s="95">
        <f t="shared" si="2"/>
        <v>0</v>
      </c>
      <c r="L158" s="95" t="str">
        <f>IFERROR(VLOOKUP(GroupPop2018[[#This Row],[Group]],Grouping[#All],2,0),"Unknown")</f>
        <v>3 - Other areas with curbside</v>
      </c>
      <c r="M158" s="95" t="str">
        <f>INDEX(Frequency[Collection_Frequency],MATCH(GroupPop2018[[#This Row],[FreqCode]],Frequency[Orig_Frequency_ID],0))</f>
        <v>Every other week</v>
      </c>
      <c r="N158" s="95" t="str">
        <f>IF(GroupPop2018[[#This Row],[Group]]=1,"Metro",IF(GroupPop2018[[#This Row],[Group]]=4,"Nowhere",IF(GroupPop2018[[#This Row],[Group]]=3,"Remote",IF(GroupPop2018[[#This Row],[County]]="Marion","Marion County","Transported to Metro"))))</f>
        <v>Remote</v>
      </c>
      <c r="O158" s="95">
        <v>2</v>
      </c>
      <c r="P158" s="100">
        <f>GroupPop2018[[#This Row],[Pop2018]]*(1+SUMIFS(Growth[GrowthRate],Growth[Grouping_ID],GroupPop2018[[#This Row],[Group]]))</f>
        <v>60745.407676802221</v>
      </c>
    </row>
    <row r="159" spans="2:16" x14ac:dyDescent="0.2">
      <c r="B159" s="95" t="s">
        <v>412</v>
      </c>
      <c r="C159" s="95" t="s">
        <v>423</v>
      </c>
      <c r="D159" s="95" t="s">
        <v>422</v>
      </c>
      <c r="E159" s="95" t="s">
        <v>258</v>
      </c>
      <c r="F159" s="95" t="s">
        <v>423</v>
      </c>
      <c r="G159" s="95" t="s">
        <v>127</v>
      </c>
      <c r="H159" s="95" t="s">
        <v>259</v>
      </c>
      <c r="I159" s="132">
        <v>10000</v>
      </c>
      <c r="J159" s="95">
        <v>4</v>
      </c>
      <c r="K159" s="95">
        <f t="shared" si="2"/>
        <v>0</v>
      </c>
      <c r="L159" s="95" t="str">
        <f>IFERROR(VLOOKUP(GroupPop2018[[#This Row],[Group]],Grouping[#All],2,0),"Unknown")</f>
        <v>4 - Areas without curbside</v>
      </c>
      <c r="M159" s="95" t="str">
        <f>INDEX(Frequency[Collection_Frequency],MATCH(GroupPop2018[[#This Row],[FreqCode]],Frequency[Orig_Frequency_ID],0))</f>
        <v>No collection</v>
      </c>
      <c r="N159" s="95" t="str">
        <f>IF(GroupPop2018[[#This Row],[Group]]=1,"Metro",IF(GroupPop2018[[#This Row],[Group]]=4,"Nowhere",IF(GroupPop2018[[#This Row],[Group]]=3,"Remote",IF(GroupPop2018[[#This Row],[County]]="Marion","Marion County","Transported to Metro"))))</f>
        <v>Nowhere</v>
      </c>
      <c r="O159" s="95">
        <v>1</v>
      </c>
      <c r="P159" s="100">
        <f>GroupPop2018[[#This Row],[Pop2018]]*(1+SUMIFS(Growth[GrowthRate],Growth[Grouping_ID],GroupPop2018[[#This Row],[Group]]))</f>
        <v>10733.162710580646</v>
      </c>
    </row>
    <row r="160" spans="2:16" x14ac:dyDescent="0.2">
      <c r="B160" s="95" t="s">
        <v>412</v>
      </c>
      <c r="C160" s="95" t="s">
        <v>424</v>
      </c>
      <c r="D160" s="95" t="s">
        <v>424</v>
      </c>
      <c r="E160" s="95" t="s">
        <v>253</v>
      </c>
      <c r="F160" s="95" t="s">
        <v>424</v>
      </c>
      <c r="G160" s="95" t="s">
        <v>53</v>
      </c>
      <c r="H160" s="95" t="s">
        <v>259</v>
      </c>
      <c r="I160" s="132">
        <v>2980</v>
      </c>
      <c r="J160" s="95">
        <v>3</v>
      </c>
      <c r="K160" s="95">
        <f t="shared" si="2"/>
        <v>0</v>
      </c>
      <c r="L160" s="95" t="str">
        <f>IFERROR(VLOOKUP(GroupPop2018[[#This Row],[Group]],Grouping[#All],2,0),"Unknown")</f>
        <v>3 - Other areas with curbside</v>
      </c>
      <c r="M160" s="95" t="str">
        <f>INDEX(Frequency[Collection_Frequency],MATCH(GroupPop2018[[#This Row],[FreqCode]],Frequency[Orig_Frequency_ID],0))</f>
        <v>Every other week</v>
      </c>
      <c r="N160" s="95" t="str">
        <f>IF(GroupPop2018[[#This Row],[Group]]=1,"Metro",IF(GroupPop2018[[#This Row],[Group]]=4,"Nowhere",IF(GroupPop2018[[#This Row],[Group]]=3,"Remote",IF(GroupPop2018[[#This Row],[County]]="Marion","Marion County","Transported to Metro"))))</f>
        <v>Remote</v>
      </c>
      <c r="O160" s="95"/>
      <c r="P160" s="100">
        <f>GroupPop2018[[#This Row],[Pop2018]]*(1+SUMIFS(Growth[GrowthRate],Growth[Grouping_ID],GroupPop2018[[#This Row],[Group]]))</f>
        <v>3198.4824877530323</v>
      </c>
    </row>
    <row r="161" spans="2:16" x14ac:dyDescent="0.2">
      <c r="B161" s="95" t="s">
        <v>412</v>
      </c>
      <c r="C161" s="95" t="s">
        <v>425</v>
      </c>
      <c r="D161" s="95" t="s">
        <v>425</v>
      </c>
      <c r="E161" s="95" t="s">
        <v>253</v>
      </c>
      <c r="F161" s="95" t="s">
        <v>425</v>
      </c>
      <c r="G161" s="95" t="s">
        <v>53</v>
      </c>
      <c r="H161" s="95" t="s">
        <v>254</v>
      </c>
      <c r="I161" s="132">
        <v>80375</v>
      </c>
      <c r="J161" s="95">
        <v>3</v>
      </c>
      <c r="K161" s="95">
        <f t="shared" si="2"/>
        <v>0</v>
      </c>
      <c r="L161" s="95" t="str">
        <f>IFERROR(VLOOKUP(GroupPop2018[[#This Row],[Group]],Grouping[#All],2,0),"Unknown")</f>
        <v>3 - Other areas with curbside</v>
      </c>
      <c r="M161" s="95" t="str">
        <f>INDEX(Frequency[Collection_Frequency],MATCH(GroupPop2018[[#This Row],[FreqCode]],Frequency[Orig_Frequency_ID],0))</f>
        <v>Every other week</v>
      </c>
      <c r="N161" s="95" t="str">
        <f>IF(GroupPop2018[[#This Row],[Group]]=1,"Metro",IF(GroupPop2018[[#This Row],[Group]]=4,"Nowhere",IF(GroupPop2018[[#This Row],[Group]]=3,"Remote",IF(GroupPop2018[[#This Row],[County]]="Marion","Marion County","Transported to Metro"))))</f>
        <v>Remote</v>
      </c>
      <c r="O161" s="95"/>
      <c r="P161" s="100">
        <f>GroupPop2018[[#This Row],[Pop2018]]*(1+SUMIFS(Growth[GrowthRate],Growth[Grouping_ID],GroupPop2018[[#This Row],[Group]]))</f>
        <v>86267.795286291948</v>
      </c>
    </row>
    <row r="162" spans="2:16" x14ac:dyDescent="0.2">
      <c r="B162" s="95" t="s">
        <v>412</v>
      </c>
      <c r="C162" s="95" t="s">
        <v>425</v>
      </c>
      <c r="D162" s="95" t="s">
        <v>425</v>
      </c>
      <c r="E162" s="95" t="s">
        <v>255</v>
      </c>
      <c r="F162" s="95" t="s">
        <v>426</v>
      </c>
      <c r="G162" s="95" t="s">
        <v>53</v>
      </c>
      <c r="H162" s="95" t="s">
        <v>254</v>
      </c>
      <c r="I162" s="132">
        <v>1643</v>
      </c>
      <c r="J162" s="95">
        <v>3</v>
      </c>
      <c r="K162" s="95">
        <f t="shared" si="2"/>
        <v>0</v>
      </c>
      <c r="L162" s="95" t="str">
        <f>IFERROR(VLOOKUP(GroupPop2018[[#This Row],[Group]],Grouping[#All],2,0),"Unknown")</f>
        <v>3 - Other areas with curbside</v>
      </c>
      <c r="M162" s="95" t="str">
        <f>INDEX(Frequency[Collection_Frequency],MATCH(GroupPop2018[[#This Row],[FreqCode]],Frequency[Orig_Frequency_ID],0))</f>
        <v>Every other week</v>
      </c>
      <c r="N162" s="95" t="str">
        <f>IF(GroupPop2018[[#This Row],[Group]]=1,"Metro",IF(GroupPop2018[[#This Row],[Group]]=4,"Nowhere",IF(GroupPop2018[[#This Row],[Group]]=3,"Remote",IF(GroupPop2018[[#This Row],[County]]="Marion","Marion County","Transported to Metro"))))</f>
        <v>Remote</v>
      </c>
      <c r="O162" s="95"/>
      <c r="P162" s="100">
        <f>GroupPop2018[[#This Row],[Pop2018]]*(1+SUMIFS(Growth[GrowthRate],Growth[Grouping_ID],GroupPop2018[[#This Row],[Group]]))</f>
        <v>1763.4586333484001</v>
      </c>
    </row>
    <row r="163" spans="2:16" x14ac:dyDescent="0.2">
      <c r="B163" s="95" t="s">
        <v>412</v>
      </c>
      <c r="C163" s="95" t="s">
        <v>427</v>
      </c>
      <c r="D163" s="95" t="s">
        <v>427</v>
      </c>
      <c r="E163" s="95" t="s">
        <v>253</v>
      </c>
      <c r="F163" s="95" t="s">
        <v>427</v>
      </c>
      <c r="G163" s="95" t="s">
        <v>53</v>
      </c>
      <c r="H163" s="95" t="s">
        <v>254</v>
      </c>
      <c r="I163" s="132">
        <v>4620</v>
      </c>
      <c r="J163" s="95">
        <v>3</v>
      </c>
      <c r="K163" s="95">
        <f t="shared" si="2"/>
        <v>0</v>
      </c>
      <c r="L163" s="95" t="str">
        <f>IFERROR(VLOOKUP(GroupPop2018[[#This Row],[Group]],Grouping[#All],2,0),"Unknown")</f>
        <v>3 - Other areas with curbside</v>
      </c>
      <c r="M163" s="95" t="str">
        <f>INDEX(Frequency[Collection_Frequency],MATCH(GroupPop2018[[#This Row],[FreqCode]],Frequency[Orig_Frequency_ID],0))</f>
        <v>Every other week</v>
      </c>
      <c r="N163" s="95" t="str">
        <f>IF(GroupPop2018[[#This Row],[Group]]=1,"Metro",IF(GroupPop2018[[#This Row],[Group]]=4,"Nowhere",IF(GroupPop2018[[#This Row],[Group]]=3,"Remote",IF(GroupPop2018[[#This Row],[County]]="Marion","Marion County","Transported to Metro"))))</f>
        <v>Remote</v>
      </c>
      <c r="O163" s="95"/>
      <c r="P163" s="100">
        <f>GroupPop2018[[#This Row],[Pop2018]]*(1+SUMIFS(Growth[GrowthRate],Growth[Grouping_ID],GroupPop2018[[#This Row],[Group]]))</f>
        <v>4958.7211722882585</v>
      </c>
    </row>
    <row r="164" spans="2:16" x14ac:dyDescent="0.2">
      <c r="B164" s="95" t="s">
        <v>412</v>
      </c>
      <c r="C164" s="95" t="s">
        <v>427</v>
      </c>
      <c r="D164" s="95" t="s">
        <v>427</v>
      </c>
      <c r="E164" s="95" t="s">
        <v>255</v>
      </c>
      <c r="F164" s="95" t="s">
        <v>428</v>
      </c>
      <c r="G164" s="95" t="s">
        <v>53</v>
      </c>
      <c r="H164" s="95" t="s">
        <v>254</v>
      </c>
      <c r="I164" s="132">
        <v>494</v>
      </c>
      <c r="J164" s="95">
        <v>3</v>
      </c>
      <c r="K164" s="95">
        <f t="shared" si="2"/>
        <v>0</v>
      </c>
      <c r="L164" s="95" t="str">
        <f>IFERROR(VLOOKUP(GroupPop2018[[#This Row],[Group]],Grouping[#All],2,0),"Unknown")</f>
        <v>3 - Other areas with curbside</v>
      </c>
      <c r="M164" s="95" t="str">
        <f>INDEX(Frequency[Collection_Frequency],MATCH(GroupPop2018[[#This Row],[FreqCode]],Frequency[Orig_Frequency_ID],0))</f>
        <v>Every other week</v>
      </c>
      <c r="N164" s="95" t="str">
        <f>IF(GroupPop2018[[#This Row],[Group]]=1,"Metro",IF(GroupPop2018[[#This Row],[Group]]=4,"Nowhere",IF(GroupPop2018[[#This Row],[Group]]=3,"Remote",IF(GroupPop2018[[#This Row],[County]]="Marion","Marion County","Transported to Metro"))))</f>
        <v>Remote</v>
      </c>
      <c r="O164" s="95"/>
      <c r="P164" s="100">
        <f>GroupPop2018[[#This Row],[Pop2018]]*(1+SUMIFS(Growth[GrowthRate],Growth[Grouping_ID],GroupPop2018[[#This Row],[Group]]))</f>
        <v>530.21823790268388</v>
      </c>
    </row>
    <row r="165" spans="2:16" x14ac:dyDescent="0.2">
      <c r="B165" s="95" t="s">
        <v>412</v>
      </c>
      <c r="C165" s="95" t="s">
        <v>429</v>
      </c>
      <c r="D165" s="95" t="s">
        <v>429</v>
      </c>
      <c r="E165" s="95" t="s">
        <v>253</v>
      </c>
      <c r="F165" s="95" t="s">
        <v>429</v>
      </c>
      <c r="G165" s="95" t="s">
        <v>53</v>
      </c>
      <c r="H165" s="95" t="s">
        <v>259</v>
      </c>
      <c r="I165" s="132">
        <v>2245</v>
      </c>
      <c r="J165" s="95">
        <v>3</v>
      </c>
      <c r="K165" s="95">
        <f t="shared" si="2"/>
        <v>0</v>
      </c>
      <c r="L165" s="95" t="str">
        <f>IFERROR(VLOOKUP(GroupPop2018[[#This Row],[Group]],Grouping[#All],2,0),"Unknown")</f>
        <v>3 - Other areas with curbside</v>
      </c>
      <c r="M165" s="95" t="str">
        <f>INDEX(Frequency[Collection_Frequency],MATCH(GroupPop2018[[#This Row],[FreqCode]],Frequency[Orig_Frequency_ID],0))</f>
        <v>Every other week</v>
      </c>
      <c r="N165" s="95" t="str">
        <f>IF(GroupPop2018[[#This Row],[Group]]=1,"Metro",IF(GroupPop2018[[#This Row],[Group]]=4,"Nowhere",IF(GroupPop2018[[#This Row],[Group]]=3,"Remote",IF(GroupPop2018[[#This Row],[County]]="Marion","Marion County","Transported to Metro"))))</f>
        <v>Remote</v>
      </c>
      <c r="O165" s="95"/>
      <c r="P165" s="100">
        <f>GroupPop2018[[#This Row],[Pop2018]]*(1+SUMIFS(Growth[GrowthRate],Growth[Grouping_ID],GroupPop2018[[#This Row],[Group]]))</f>
        <v>2409.5950285253552</v>
      </c>
    </row>
    <row r="166" spans="2:16" x14ac:dyDescent="0.2">
      <c r="B166" s="95" t="s">
        <v>412</v>
      </c>
      <c r="C166" s="95" t="s">
        <v>430</v>
      </c>
      <c r="D166" s="95" t="s">
        <v>430</v>
      </c>
      <c r="E166" s="95" t="s">
        <v>253</v>
      </c>
      <c r="F166" s="95" t="s">
        <v>430</v>
      </c>
      <c r="G166" s="95" t="s">
        <v>53</v>
      </c>
      <c r="H166" s="95" t="s">
        <v>259</v>
      </c>
      <c r="I166" s="132">
        <v>3105</v>
      </c>
      <c r="J166" s="95">
        <v>3</v>
      </c>
      <c r="K166" s="95">
        <f t="shared" si="2"/>
        <v>0</v>
      </c>
      <c r="L166" s="95" t="str">
        <f>IFERROR(VLOOKUP(GroupPop2018[[#This Row],[Group]],Grouping[#All],2,0),"Unknown")</f>
        <v>3 - Other areas with curbside</v>
      </c>
      <c r="M166" s="95" t="str">
        <f>INDEX(Frequency[Collection_Frequency],MATCH(GroupPop2018[[#This Row],[FreqCode]],Frequency[Orig_Frequency_ID],0))</f>
        <v>Every other week</v>
      </c>
      <c r="N166" s="95" t="str">
        <f>IF(GroupPop2018[[#This Row],[Group]]=1,"Metro",IF(GroupPop2018[[#This Row],[Group]]=4,"Nowhere",IF(GroupPop2018[[#This Row],[Group]]=3,"Remote",IF(GroupPop2018[[#This Row],[County]]="Marion","Marion County","Transported to Metro"))))</f>
        <v>Remote</v>
      </c>
      <c r="O166" s="95"/>
      <c r="P166" s="100">
        <f>GroupPop2018[[#This Row],[Pop2018]]*(1+SUMIFS(Growth[GrowthRate],Growth[Grouping_ID],GroupPop2018[[#This Row],[Group]]))</f>
        <v>3332.6470216352905</v>
      </c>
    </row>
    <row r="167" spans="2:16" x14ac:dyDescent="0.2">
      <c r="B167" s="95" t="s">
        <v>412</v>
      </c>
      <c r="C167" s="95" t="s">
        <v>431</v>
      </c>
      <c r="D167" s="95" t="s">
        <v>431</v>
      </c>
      <c r="E167" s="95" t="s">
        <v>253</v>
      </c>
      <c r="F167" s="95" t="s">
        <v>431</v>
      </c>
      <c r="G167" s="95" t="s">
        <v>53</v>
      </c>
      <c r="H167" s="95" t="s">
        <v>254</v>
      </c>
      <c r="I167" s="132">
        <v>6380</v>
      </c>
      <c r="J167" s="95">
        <v>3</v>
      </c>
      <c r="K167" s="95">
        <f t="shared" si="2"/>
        <v>0</v>
      </c>
      <c r="L167" s="95" t="str">
        <f>IFERROR(VLOOKUP(GroupPop2018[[#This Row],[Group]],Grouping[#All],2,0),"Unknown")</f>
        <v>3 - Other areas with curbside</v>
      </c>
      <c r="M167" s="95" t="str">
        <f>INDEX(Frequency[Collection_Frequency],MATCH(GroupPop2018[[#This Row],[FreqCode]],Frequency[Orig_Frequency_ID],0))</f>
        <v>Every other week</v>
      </c>
      <c r="N167" s="95" t="str">
        <f>IF(GroupPop2018[[#This Row],[Group]]=1,"Metro",IF(GroupPop2018[[#This Row],[Group]]=4,"Nowhere",IF(GroupPop2018[[#This Row],[Group]]=3,"Remote",IF(GroupPop2018[[#This Row],[County]]="Marion","Marion County","Transported to Metro"))))</f>
        <v>Remote</v>
      </c>
      <c r="O167" s="95"/>
      <c r="P167" s="100">
        <f>GroupPop2018[[#This Row],[Pop2018]]*(1+SUMIFS(Growth[GrowthRate],Growth[Grouping_ID],GroupPop2018[[#This Row],[Group]]))</f>
        <v>6847.7578093504517</v>
      </c>
    </row>
    <row r="168" spans="2:16" x14ac:dyDescent="0.2">
      <c r="B168" s="95" t="s">
        <v>412</v>
      </c>
      <c r="C168" s="95" t="s">
        <v>431</v>
      </c>
      <c r="D168" s="95" t="s">
        <v>431</v>
      </c>
      <c r="E168" s="95" t="s">
        <v>255</v>
      </c>
      <c r="F168" s="95" t="s">
        <v>432</v>
      </c>
      <c r="G168" s="95" t="s">
        <v>53</v>
      </c>
      <c r="H168" s="95" t="s">
        <v>254</v>
      </c>
      <c r="I168" s="132">
        <v>36</v>
      </c>
      <c r="J168" s="95">
        <v>3</v>
      </c>
      <c r="K168" s="95">
        <f t="shared" si="2"/>
        <v>0</v>
      </c>
      <c r="L168" s="95" t="str">
        <f>IFERROR(VLOOKUP(GroupPop2018[[#This Row],[Group]],Grouping[#All],2,0),"Unknown")</f>
        <v>3 - Other areas with curbside</v>
      </c>
      <c r="M168" s="95" t="str">
        <f>INDEX(Frequency[Collection_Frequency],MATCH(GroupPop2018[[#This Row],[FreqCode]],Frequency[Orig_Frequency_ID],0))</f>
        <v>Every other week</v>
      </c>
      <c r="N168" s="95" t="str">
        <f>IF(GroupPop2018[[#This Row],[Group]]=1,"Metro",IF(GroupPop2018[[#This Row],[Group]]=4,"Nowhere",IF(GroupPop2018[[#This Row],[Group]]=3,"Remote",IF(GroupPop2018[[#This Row],[County]]="Marion","Marion County","Transported to Metro"))))</f>
        <v>Remote</v>
      </c>
      <c r="O168" s="95"/>
      <c r="P168" s="100">
        <f>GroupPop2018[[#This Row],[Pop2018]]*(1+SUMIFS(Growth[GrowthRate],Growth[Grouping_ID],GroupPop2018[[#This Row],[Group]]))</f>
        <v>38.639385758090327</v>
      </c>
    </row>
    <row r="169" spans="2:16" x14ac:dyDescent="0.2">
      <c r="B169" s="95" t="s">
        <v>433</v>
      </c>
      <c r="C169" s="95" t="s">
        <v>434</v>
      </c>
      <c r="D169" s="95" t="s">
        <v>434</v>
      </c>
      <c r="E169" s="95" t="s">
        <v>253</v>
      </c>
      <c r="F169" s="95" t="s">
        <v>434</v>
      </c>
      <c r="G169" s="95" t="s">
        <v>127</v>
      </c>
      <c r="H169" s="95" t="s">
        <v>259</v>
      </c>
      <c r="I169" s="132">
        <v>1480</v>
      </c>
      <c r="J169" s="95">
        <v>4</v>
      </c>
      <c r="K169" s="95">
        <f t="shared" si="2"/>
        <v>0</v>
      </c>
      <c r="L169" s="95" t="str">
        <f>IFERROR(VLOOKUP(GroupPop2018[[#This Row],[Group]],Grouping[#All],2,0),"Unknown")</f>
        <v>4 - Areas without curbside</v>
      </c>
      <c r="M169" s="95" t="str">
        <f>INDEX(Frequency[Collection_Frequency],MATCH(GroupPop2018[[#This Row],[FreqCode]],Frequency[Orig_Frequency_ID],0))</f>
        <v>No collection</v>
      </c>
      <c r="N169" s="95" t="str">
        <f>IF(GroupPop2018[[#This Row],[Group]]=1,"Metro",IF(GroupPop2018[[#This Row],[Group]]=4,"Nowhere",IF(GroupPop2018[[#This Row],[Group]]=3,"Remote",IF(GroupPop2018[[#This Row],[County]]="Marion","Marion County","Transported to Metro"))))</f>
        <v>Nowhere</v>
      </c>
      <c r="O169" s="95"/>
      <c r="P169" s="100">
        <f>GroupPop2018[[#This Row],[Pop2018]]*(1+SUMIFS(Growth[GrowthRate],Growth[Grouping_ID],GroupPop2018[[#This Row],[Group]]))</f>
        <v>1588.5080811659357</v>
      </c>
    </row>
    <row r="170" spans="2:16" x14ac:dyDescent="0.2">
      <c r="B170" s="95" t="s">
        <v>433</v>
      </c>
      <c r="C170" s="95" t="s">
        <v>435</v>
      </c>
      <c r="D170" s="95" t="s">
        <v>435</v>
      </c>
      <c r="E170" s="95" t="s">
        <v>258</v>
      </c>
      <c r="F170" s="95" t="s">
        <v>435</v>
      </c>
      <c r="G170" s="95" t="s">
        <v>127</v>
      </c>
      <c r="H170" s="95" t="s">
        <v>259</v>
      </c>
      <c r="I170" s="132">
        <v>14986</v>
      </c>
      <c r="J170" s="95">
        <v>4</v>
      </c>
      <c r="K170" s="95">
        <f t="shared" si="2"/>
        <v>0</v>
      </c>
      <c r="L170" s="95" t="str">
        <f>IFERROR(VLOOKUP(GroupPop2018[[#This Row],[Group]],Grouping[#All],2,0),"Unknown")</f>
        <v>4 - Areas without curbside</v>
      </c>
      <c r="M170" s="95" t="str">
        <f>INDEX(Frequency[Collection_Frequency],MATCH(GroupPop2018[[#This Row],[FreqCode]],Frequency[Orig_Frequency_ID],0))</f>
        <v>No collection</v>
      </c>
      <c r="N170" s="95" t="str">
        <f>IF(GroupPop2018[[#This Row],[Group]]=1,"Metro",IF(GroupPop2018[[#This Row],[Group]]=4,"Nowhere",IF(GroupPop2018[[#This Row],[Group]]=3,"Remote",IF(GroupPop2018[[#This Row],[County]]="Marion","Marion County","Transported to Metro"))))</f>
        <v>Nowhere</v>
      </c>
      <c r="O170" s="95"/>
      <c r="P170" s="100">
        <f>GroupPop2018[[#This Row],[Pop2018]]*(1+SUMIFS(Growth[GrowthRate],Growth[Grouping_ID],GroupPop2018[[#This Row],[Group]]))</f>
        <v>16084.717638076156</v>
      </c>
    </row>
    <row r="171" spans="2:16" x14ac:dyDescent="0.2">
      <c r="B171" s="95" t="s">
        <v>433</v>
      </c>
      <c r="C171" s="95" t="s">
        <v>436</v>
      </c>
      <c r="D171" s="95" t="s">
        <v>436</v>
      </c>
      <c r="E171" s="95" t="s">
        <v>253</v>
      </c>
      <c r="F171" s="95" t="s">
        <v>436</v>
      </c>
      <c r="G171" s="95" t="s">
        <v>67</v>
      </c>
      <c r="H171" s="95" t="s">
        <v>254</v>
      </c>
      <c r="I171" s="132">
        <v>6345</v>
      </c>
      <c r="J171" s="95">
        <v>3</v>
      </c>
      <c r="K171" s="95">
        <f t="shared" si="2"/>
        <v>0</v>
      </c>
      <c r="L171" s="95" t="str">
        <f>IFERROR(VLOOKUP(GroupPop2018[[#This Row],[Group]],Grouping[#All],2,0),"Unknown")</f>
        <v>3 - Other areas with curbside</v>
      </c>
      <c r="M171" s="95" t="str">
        <f>INDEX(Frequency[Collection_Frequency],MATCH(GroupPop2018[[#This Row],[FreqCode]],Frequency[Orig_Frequency_ID],0))</f>
        <v>Monthly</v>
      </c>
      <c r="N171" s="95" t="str">
        <f>IF(GroupPop2018[[#This Row],[Group]]=1,"Metro",IF(GroupPop2018[[#This Row],[Group]]=4,"Nowhere",IF(GroupPop2018[[#This Row],[Group]]=3,"Remote",IF(GroupPop2018[[#This Row],[County]]="Marion","Marion County","Transported to Metro"))))</f>
        <v>Remote</v>
      </c>
      <c r="O171" s="95"/>
      <c r="P171" s="100">
        <f>GroupPop2018[[#This Row],[Pop2018]]*(1+SUMIFS(Growth[GrowthRate],Growth[Grouping_ID],GroupPop2018[[#This Row],[Group]]))</f>
        <v>6810.1917398634196</v>
      </c>
    </row>
    <row r="172" spans="2:16" x14ac:dyDescent="0.2">
      <c r="B172" s="95" t="s">
        <v>433</v>
      </c>
      <c r="C172" s="95" t="s">
        <v>436</v>
      </c>
      <c r="D172" s="95" t="s">
        <v>436</v>
      </c>
      <c r="E172" s="95" t="s">
        <v>255</v>
      </c>
      <c r="F172" s="95" t="s">
        <v>437</v>
      </c>
      <c r="G172" s="95" t="s">
        <v>127</v>
      </c>
      <c r="H172" s="95" t="s">
        <v>254</v>
      </c>
      <c r="I172" s="132">
        <v>9</v>
      </c>
      <c r="J172" s="95">
        <v>4</v>
      </c>
      <c r="K172" s="95">
        <f t="shared" si="2"/>
        <v>0</v>
      </c>
      <c r="L172" s="95" t="str">
        <f>IFERROR(VLOOKUP(GroupPop2018[[#This Row],[Group]],Grouping[#All],2,0),"Unknown")</f>
        <v>4 - Areas without curbside</v>
      </c>
      <c r="M172" s="95" t="str">
        <f>INDEX(Frequency[Collection_Frequency],MATCH(GroupPop2018[[#This Row],[FreqCode]],Frequency[Orig_Frequency_ID],0))</f>
        <v>No collection</v>
      </c>
      <c r="N172" s="95" t="str">
        <f>IF(GroupPop2018[[#This Row],[Group]]=1,"Metro",IF(GroupPop2018[[#This Row],[Group]]=4,"Nowhere",IF(GroupPop2018[[#This Row],[Group]]=3,"Remote",IF(GroupPop2018[[#This Row],[County]]="Marion","Marion County","Transported to Metro"))))</f>
        <v>Nowhere</v>
      </c>
      <c r="O172" s="95"/>
      <c r="P172" s="100">
        <f>GroupPop2018[[#This Row],[Pop2018]]*(1+SUMIFS(Growth[GrowthRate],Growth[Grouping_ID],GroupPop2018[[#This Row],[Group]]))</f>
        <v>9.6598464395225818</v>
      </c>
    </row>
    <row r="173" spans="2:16" x14ac:dyDescent="0.2">
      <c r="B173" s="95" t="s">
        <v>433</v>
      </c>
      <c r="C173" s="95" t="s">
        <v>438</v>
      </c>
      <c r="D173" s="95" t="s">
        <v>438</v>
      </c>
      <c r="E173" s="95" t="s">
        <v>253</v>
      </c>
      <c r="F173" s="95" t="s">
        <v>438</v>
      </c>
      <c r="G173" s="95" t="s">
        <v>127</v>
      </c>
      <c r="H173" s="95" t="s">
        <v>259</v>
      </c>
      <c r="I173" s="132">
        <v>740</v>
      </c>
      <c r="J173" s="95">
        <v>4</v>
      </c>
      <c r="K173" s="95">
        <f t="shared" si="2"/>
        <v>0</v>
      </c>
      <c r="L173" s="95" t="str">
        <f>IFERROR(VLOOKUP(GroupPop2018[[#This Row],[Group]],Grouping[#All],2,0),"Unknown")</f>
        <v>4 - Areas without curbside</v>
      </c>
      <c r="M173" s="95" t="str">
        <f>INDEX(Frequency[Collection_Frequency],MATCH(GroupPop2018[[#This Row],[FreqCode]],Frequency[Orig_Frequency_ID],0))</f>
        <v>No collection</v>
      </c>
      <c r="N173" s="95" t="str">
        <f>IF(GroupPop2018[[#This Row],[Group]]=1,"Metro",IF(GroupPop2018[[#This Row],[Group]]=4,"Nowhere",IF(GroupPop2018[[#This Row],[Group]]=3,"Remote",IF(GroupPop2018[[#This Row],[County]]="Marion","Marion County","Transported to Metro"))))</f>
        <v>Nowhere</v>
      </c>
      <c r="O173" s="95"/>
      <c r="P173" s="100">
        <f>GroupPop2018[[#This Row],[Pop2018]]*(1+SUMIFS(Growth[GrowthRate],Growth[Grouping_ID],GroupPop2018[[#This Row],[Group]]))</f>
        <v>794.25404058296783</v>
      </c>
    </row>
    <row r="174" spans="2:16" x14ac:dyDescent="0.2">
      <c r="B174" s="95" t="s">
        <v>439</v>
      </c>
      <c r="C174" s="95" t="s">
        <v>440</v>
      </c>
      <c r="D174" s="95" t="s">
        <v>440</v>
      </c>
      <c r="E174" s="95" t="s">
        <v>253</v>
      </c>
      <c r="F174" s="95" t="s">
        <v>440</v>
      </c>
      <c r="G174" s="95" t="s">
        <v>53</v>
      </c>
      <c r="H174" s="95" t="s">
        <v>259</v>
      </c>
      <c r="I174" s="132">
        <v>1940</v>
      </c>
      <c r="J174" s="95">
        <v>3</v>
      </c>
      <c r="K174" s="95">
        <f t="shared" si="2"/>
        <v>0</v>
      </c>
      <c r="L174" s="95" t="str">
        <f>IFERROR(VLOOKUP(GroupPop2018[[#This Row],[Group]],Grouping[#All],2,0),"Unknown")</f>
        <v>3 - Other areas with curbside</v>
      </c>
      <c r="M174" s="95" t="str">
        <f>INDEX(Frequency[Collection_Frequency],MATCH(GroupPop2018[[#This Row],[FreqCode]],Frequency[Orig_Frequency_ID],0))</f>
        <v>Every other week</v>
      </c>
      <c r="N174" s="95" t="str">
        <f>IF(GroupPop2018[[#This Row],[Group]]=1,"Metro",IF(GroupPop2018[[#This Row],[Group]]=4,"Nowhere",IF(GroupPop2018[[#This Row],[Group]]=3,"Remote",IF(GroupPop2018[[#This Row],[County]]="Marion","Marion County","Transported to Metro"))))</f>
        <v>Remote</v>
      </c>
      <c r="O174" s="95"/>
      <c r="P174" s="100">
        <f>GroupPop2018[[#This Row],[Pop2018]]*(1+SUMIFS(Growth[GrowthRate],Growth[Grouping_ID],GroupPop2018[[#This Row],[Group]]))</f>
        <v>2082.2335658526454</v>
      </c>
    </row>
    <row r="175" spans="2:16" x14ac:dyDescent="0.2">
      <c r="B175" s="95" t="s">
        <v>439</v>
      </c>
      <c r="C175" s="95" t="s">
        <v>441</v>
      </c>
      <c r="D175" s="95" t="s">
        <v>441</v>
      </c>
      <c r="E175" s="95" t="s">
        <v>253</v>
      </c>
      <c r="F175" s="95" t="s">
        <v>441</v>
      </c>
      <c r="G175" s="95" t="s">
        <v>64</v>
      </c>
      <c r="H175" s="95" t="s">
        <v>254</v>
      </c>
      <c r="I175" s="132">
        <v>37285</v>
      </c>
      <c r="J175" s="95">
        <v>3</v>
      </c>
      <c r="K175" s="95">
        <f t="shared" si="2"/>
        <v>0</v>
      </c>
      <c r="L175" s="95" t="str">
        <f>IFERROR(VLOOKUP(GroupPop2018[[#This Row],[Group]],Grouping[#All],2,0),"Unknown")</f>
        <v>3 - Other areas with curbside</v>
      </c>
      <c r="M175" s="95" t="str">
        <f>INDEX(Frequency[Collection_Frequency],MATCH(GroupPop2018[[#This Row],[FreqCode]],Frequency[Orig_Frequency_ID],0))</f>
        <v>Weekly</v>
      </c>
      <c r="N175" s="95" t="str">
        <f>IF(GroupPop2018[[#This Row],[Group]]=1,"Metro",IF(GroupPop2018[[#This Row],[Group]]=4,"Nowhere",IF(GroupPop2018[[#This Row],[Group]]=3,"Remote",IF(GroupPop2018[[#This Row],[County]]="Marion","Marion County","Transported to Metro"))))</f>
        <v>Remote</v>
      </c>
      <c r="O175" s="95"/>
      <c r="P175" s="100">
        <f>GroupPop2018[[#This Row],[Pop2018]]*(1+SUMIFS(Growth[GrowthRate],Growth[Grouping_ID],GroupPop2018[[#This Row],[Group]]))</f>
        <v>40018.597166399937</v>
      </c>
    </row>
    <row r="176" spans="2:16" x14ac:dyDescent="0.2">
      <c r="B176" s="95" t="s">
        <v>439</v>
      </c>
      <c r="C176" s="95" t="s">
        <v>441</v>
      </c>
      <c r="D176" s="95" t="s">
        <v>441</v>
      </c>
      <c r="E176" s="95" t="s">
        <v>255</v>
      </c>
      <c r="F176" s="95" t="s">
        <v>442</v>
      </c>
      <c r="G176" s="95" t="s">
        <v>64</v>
      </c>
      <c r="H176" s="95" t="s">
        <v>254</v>
      </c>
      <c r="I176" s="132">
        <v>3463</v>
      </c>
      <c r="J176" s="95">
        <v>3</v>
      </c>
      <c r="K176" s="95">
        <f t="shared" si="2"/>
        <v>0</v>
      </c>
      <c r="L176" s="95" t="str">
        <f>IFERROR(VLOOKUP(GroupPop2018[[#This Row],[Group]],Grouping[#All],2,0),"Unknown")</f>
        <v>3 - Other areas with curbside</v>
      </c>
      <c r="M176" s="95" t="str">
        <f>INDEX(Frequency[Collection_Frequency],MATCH(GroupPop2018[[#This Row],[FreqCode]],Frequency[Orig_Frequency_ID],0))</f>
        <v>Weekly</v>
      </c>
      <c r="N176" s="95" t="str">
        <f>IF(GroupPop2018[[#This Row],[Group]]=1,"Metro",IF(GroupPop2018[[#This Row],[Group]]=4,"Nowhere",IF(GroupPop2018[[#This Row],[Group]]=3,"Remote",IF(GroupPop2018[[#This Row],[County]]="Marion","Marion County","Transported to Metro"))))</f>
        <v>Remote</v>
      </c>
      <c r="O176" s="95"/>
      <c r="P176" s="100">
        <f>GroupPop2018[[#This Row],[Pop2018]]*(1+SUMIFS(Growth[GrowthRate],Growth[Grouping_ID],GroupPop2018[[#This Row],[Group]]))</f>
        <v>3716.8942466740777</v>
      </c>
    </row>
    <row r="177" spans="2:16" x14ac:dyDescent="0.2">
      <c r="B177" s="95" t="s">
        <v>439</v>
      </c>
      <c r="C177" s="95" t="s">
        <v>443</v>
      </c>
      <c r="D177" s="95" t="s">
        <v>444</v>
      </c>
      <c r="E177" s="95" t="s">
        <v>258</v>
      </c>
      <c r="F177" s="95" t="s">
        <v>443</v>
      </c>
      <c r="G177" s="95" t="s">
        <v>127</v>
      </c>
      <c r="H177" s="95" t="s">
        <v>259</v>
      </c>
      <c r="I177" s="132">
        <v>10000</v>
      </c>
      <c r="J177" s="95">
        <v>4</v>
      </c>
      <c r="K177" s="95">
        <f t="shared" si="2"/>
        <v>0</v>
      </c>
      <c r="L177" s="95" t="str">
        <f>IFERROR(VLOOKUP(GroupPop2018[[#This Row],[Group]],Grouping[#All],2,0),"Unknown")</f>
        <v>4 - Areas without curbside</v>
      </c>
      <c r="M177" s="95" t="str">
        <f>INDEX(Frequency[Collection_Frequency],MATCH(GroupPop2018[[#This Row],[FreqCode]],Frequency[Orig_Frequency_ID],0))</f>
        <v>No collection</v>
      </c>
      <c r="N177" s="95" t="str">
        <f>IF(GroupPop2018[[#This Row],[Group]]=1,"Metro",IF(GroupPop2018[[#This Row],[Group]]=4,"Nowhere",IF(GroupPop2018[[#This Row],[Group]]=3,"Remote",IF(GroupPop2018[[#This Row],[County]]="Marion","Marion County","Transported to Metro"))))</f>
        <v>Nowhere</v>
      </c>
      <c r="O177" s="95"/>
      <c r="P177" s="100">
        <f>GroupPop2018[[#This Row],[Pop2018]]*(1+SUMIFS(Growth[GrowthRate],Growth[Grouping_ID],GroupPop2018[[#This Row],[Group]]))</f>
        <v>10733.162710580646</v>
      </c>
    </row>
    <row r="178" spans="2:16" x14ac:dyDescent="0.2">
      <c r="B178" s="95" t="s">
        <v>439</v>
      </c>
      <c r="C178" s="95" t="s">
        <v>445</v>
      </c>
      <c r="D178" s="95" t="s">
        <v>444</v>
      </c>
      <c r="E178" s="95" t="s">
        <v>258</v>
      </c>
      <c r="F178" s="95" t="s">
        <v>445</v>
      </c>
      <c r="G178" s="95" t="s">
        <v>53</v>
      </c>
      <c r="H178" s="95" t="s">
        <v>259</v>
      </c>
      <c r="I178" s="132">
        <v>33707</v>
      </c>
      <c r="J178" s="95">
        <v>3</v>
      </c>
      <c r="K178" s="95">
        <f t="shared" si="2"/>
        <v>0</v>
      </c>
      <c r="L178" s="95" t="str">
        <f>IFERROR(VLOOKUP(GroupPop2018[[#This Row],[Group]],Grouping[#All],2,0),"Unknown")</f>
        <v>3 - Other areas with curbside</v>
      </c>
      <c r="M178" s="95" t="str">
        <f>INDEX(Frequency[Collection_Frequency],MATCH(GroupPop2018[[#This Row],[FreqCode]],Frequency[Orig_Frequency_ID],0))</f>
        <v>Every other week</v>
      </c>
      <c r="N178" s="95" t="str">
        <f>IF(GroupPop2018[[#This Row],[Group]]=1,"Metro",IF(GroupPop2018[[#This Row],[Group]]=4,"Nowhere",IF(GroupPop2018[[#This Row],[Group]]=3,"Remote",IF(GroupPop2018[[#This Row],[County]]="Marion","Marion County","Transported to Metro"))))</f>
        <v>Remote</v>
      </c>
      <c r="O178" s="95"/>
      <c r="P178" s="100">
        <f>GroupPop2018[[#This Row],[Pop2018]]*(1+SUMIFS(Growth[GrowthRate],Growth[Grouping_ID],GroupPop2018[[#This Row],[Group]]))</f>
        <v>36178.271548554185</v>
      </c>
    </row>
    <row r="179" spans="2:16" x14ac:dyDescent="0.2">
      <c r="B179" s="95" t="s">
        <v>446</v>
      </c>
      <c r="C179" s="95" t="s">
        <v>447</v>
      </c>
      <c r="D179" s="95" t="s">
        <v>447</v>
      </c>
      <c r="E179" s="95" t="s">
        <v>253</v>
      </c>
      <c r="F179" s="95" t="s">
        <v>447</v>
      </c>
      <c r="G179" s="95" t="s">
        <v>127</v>
      </c>
      <c r="H179" s="95" t="s">
        <v>259</v>
      </c>
      <c r="I179" s="132">
        <v>455</v>
      </c>
      <c r="J179" s="95">
        <v>4</v>
      </c>
      <c r="K179" s="95">
        <f t="shared" si="2"/>
        <v>0</v>
      </c>
      <c r="L179" s="95" t="str">
        <f>IFERROR(VLOOKUP(GroupPop2018[[#This Row],[Group]],Grouping[#All],2,0),"Unknown")</f>
        <v>4 - Areas without curbside</v>
      </c>
      <c r="M179" s="95" t="str">
        <f>INDEX(Frequency[Collection_Frequency],MATCH(GroupPop2018[[#This Row],[FreqCode]],Frequency[Orig_Frequency_ID],0))</f>
        <v>No collection</v>
      </c>
      <c r="N179" s="95" t="str">
        <f>IF(GroupPop2018[[#This Row],[Group]]=1,"Metro",IF(GroupPop2018[[#This Row],[Group]]=4,"Nowhere",IF(GroupPop2018[[#This Row],[Group]]=3,"Remote",IF(GroupPop2018[[#This Row],[County]]="Marion","Marion County","Transported to Metro"))))</f>
        <v>Nowhere</v>
      </c>
      <c r="O179" s="95"/>
      <c r="P179" s="100">
        <f>GroupPop2018[[#This Row],[Pop2018]]*(1+SUMIFS(Growth[GrowthRate],Growth[Grouping_ID],GroupPop2018[[#This Row],[Group]]))</f>
        <v>488.35890333141941</v>
      </c>
    </row>
    <row r="180" spans="2:16" x14ac:dyDescent="0.2">
      <c r="B180" s="95" t="s">
        <v>446</v>
      </c>
      <c r="C180" s="95" t="s">
        <v>448</v>
      </c>
      <c r="D180" s="95" t="s">
        <v>448</v>
      </c>
      <c r="E180" s="95" t="s">
        <v>253</v>
      </c>
      <c r="F180" s="95" t="s">
        <v>448</v>
      </c>
      <c r="G180" s="95" t="s">
        <v>127</v>
      </c>
      <c r="H180" s="95" t="s">
        <v>259</v>
      </c>
      <c r="I180" s="132">
        <v>740</v>
      </c>
      <c r="J180" s="95">
        <v>4</v>
      </c>
      <c r="K180" s="95">
        <f t="shared" si="2"/>
        <v>0</v>
      </c>
      <c r="L180" s="95" t="str">
        <f>IFERROR(VLOOKUP(GroupPop2018[[#This Row],[Group]],Grouping[#All],2,0),"Unknown")</f>
        <v>4 - Areas without curbside</v>
      </c>
      <c r="M180" s="95" t="str">
        <f>INDEX(Frequency[Collection_Frequency],MATCH(GroupPop2018[[#This Row],[FreqCode]],Frequency[Orig_Frequency_ID],0))</f>
        <v>No collection</v>
      </c>
      <c r="N180" s="95" t="str">
        <f>IF(GroupPop2018[[#This Row],[Group]]=1,"Metro",IF(GroupPop2018[[#This Row],[Group]]=4,"Nowhere",IF(GroupPop2018[[#This Row],[Group]]=3,"Remote",IF(GroupPop2018[[#This Row],[County]]="Marion","Marion County","Transported to Metro"))))</f>
        <v>Nowhere</v>
      </c>
      <c r="O180" s="95"/>
      <c r="P180" s="100">
        <f>GroupPop2018[[#This Row],[Pop2018]]*(1+SUMIFS(Growth[GrowthRate],Growth[Grouping_ID],GroupPop2018[[#This Row],[Group]]))</f>
        <v>794.25404058296783</v>
      </c>
    </row>
    <row r="181" spans="2:16" x14ac:dyDescent="0.2">
      <c r="B181" s="95" t="s">
        <v>446</v>
      </c>
      <c r="C181" s="95" t="s">
        <v>449</v>
      </c>
      <c r="D181" s="95" t="s">
        <v>449</v>
      </c>
      <c r="E181" s="95" t="s">
        <v>253</v>
      </c>
      <c r="F181" s="95" t="s">
        <v>449</v>
      </c>
      <c r="G181" s="95" t="s">
        <v>64</v>
      </c>
      <c r="H181" s="95" t="s">
        <v>254</v>
      </c>
      <c r="I181" s="132">
        <v>21890</v>
      </c>
      <c r="J181" s="95">
        <v>3</v>
      </c>
      <c r="K181" s="95">
        <f t="shared" si="2"/>
        <v>0</v>
      </c>
      <c r="L181" s="95" t="str">
        <f>IFERROR(VLOOKUP(GroupPop2018[[#This Row],[Group]],Grouping[#All],2,0),"Unknown")</f>
        <v>3 - Other areas with curbside</v>
      </c>
      <c r="M181" s="95" t="str">
        <f>INDEX(Frequency[Collection_Frequency],MATCH(GroupPop2018[[#This Row],[FreqCode]],Frequency[Orig_Frequency_ID],0))</f>
        <v>Weekly</v>
      </c>
      <c r="N181" s="95" t="str">
        <f>IF(GroupPop2018[[#This Row],[Group]]=1,"Metro",IF(GroupPop2018[[#This Row],[Group]]=4,"Nowhere",IF(GroupPop2018[[#This Row],[Group]]=3,"Remote",IF(GroupPop2018[[#This Row],[County]]="Marion","Marion County","Transported to Metro"))))</f>
        <v>Remote</v>
      </c>
      <c r="O181" s="95"/>
      <c r="P181" s="100">
        <f>GroupPop2018[[#This Row],[Pop2018]]*(1+SUMIFS(Growth[GrowthRate],Growth[Grouping_ID],GroupPop2018[[#This Row],[Group]]))</f>
        <v>23494.893173461034</v>
      </c>
    </row>
    <row r="182" spans="2:16" x14ac:dyDescent="0.2">
      <c r="B182" s="95" t="s">
        <v>446</v>
      </c>
      <c r="C182" s="95" t="s">
        <v>449</v>
      </c>
      <c r="D182" s="95" t="s">
        <v>449</v>
      </c>
      <c r="E182" s="95" t="s">
        <v>255</v>
      </c>
      <c r="F182" s="95" t="s">
        <v>450</v>
      </c>
      <c r="G182" s="95" t="s">
        <v>64</v>
      </c>
      <c r="H182" s="95" t="s">
        <v>254</v>
      </c>
      <c r="I182" s="132">
        <v>18009</v>
      </c>
      <c r="J182" s="95">
        <v>3</v>
      </c>
      <c r="K182" s="95">
        <f t="shared" si="2"/>
        <v>0</v>
      </c>
      <c r="L182" s="95" t="str">
        <f>IFERROR(VLOOKUP(GroupPop2018[[#This Row],[Group]],Grouping[#All],2,0),"Unknown")</f>
        <v>3 - Other areas with curbside</v>
      </c>
      <c r="M182" s="95" t="str">
        <f>INDEX(Frequency[Collection_Frequency],MATCH(GroupPop2018[[#This Row],[FreqCode]],Frequency[Orig_Frequency_ID],0))</f>
        <v>Weekly</v>
      </c>
      <c r="N182" s="95" t="str">
        <f>IF(GroupPop2018[[#This Row],[Group]]=1,"Metro",IF(GroupPop2018[[#This Row],[Group]]=4,"Nowhere",IF(GroupPop2018[[#This Row],[Group]]=3,"Remote",IF(GroupPop2018[[#This Row],[County]]="Marion","Marion County","Transported to Metro"))))</f>
        <v>Remote</v>
      </c>
      <c r="O182" s="95"/>
      <c r="P182" s="100">
        <f>GroupPop2018[[#This Row],[Pop2018]]*(1+SUMIFS(Growth[GrowthRate],Growth[Grouping_ID],GroupPop2018[[#This Row],[Group]]))</f>
        <v>19329.352725484685</v>
      </c>
    </row>
    <row r="183" spans="2:16" x14ac:dyDescent="0.2">
      <c r="B183" s="95" t="s">
        <v>446</v>
      </c>
      <c r="C183" s="95" t="s">
        <v>451</v>
      </c>
      <c r="D183" s="95" t="s">
        <v>452</v>
      </c>
      <c r="E183" s="95" t="s">
        <v>258</v>
      </c>
      <c r="F183" s="95" t="s">
        <v>451</v>
      </c>
      <c r="G183" s="95" t="s">
        <v>127</v>
      </c>
      <c r="H183" s="95" t="s">
        <v>259</v>
      </c>
      <c r="I183" s="132">
        <v>24211</v>
      </c>
      <c r="J183" s="95">
        <v>4</v>
      </c>
      <c r="K183" s="95">
        <f t="shared" si="2"/>
        <v>0</v>
      </c>
      <c r="L183" s="95" t="str">
        <f>IFERROR(VLOOKUP(GroupPop2018[[#This Row],[Group]],Grouping[#All],2,0),"Unknown")</f>
        <v>4 - Areas without curbside</v>
      </c>
      <c r="M183" s="95" t="str">
        <f>INDEX(Frequency[Collection_Frequency],MATCH(GroupPop2018[[#This Row],[FreqCode]],Frequency[Orig_Frequency_ID],0))</f>
        <v>No collection</v>
      </c>
      <c r="N183" s="95" t="str">
        <f>IF(GroupPop2018[[#This Row],[Group]]=1,"Metro",IF(GroupPop2018[[#This Row],[Group]]=4,"Nowhere",IF(GroupPop2018[[#This Row],[Group]]=3,"Remote",IF(GroupPop2018[[#This Row],[County]]="Marion","Marion County","Transported to Metro"))))</f>
        <v>Nowhere</v>
      </c>
      <c r="O183" s="95">
        <v>2</v>
      </c>
      <c r="P183" s="100">
        <f>GroupPop2018[[#This Row],[Pop2018]]*(1+SUMIFS(Growth[GrowthRate],Growth[Grouping_ID],GroupPop2018[[#This Row],[Group]]))</f>
        <v>25986.060238586801</v>
      </c>
    </row>
    <row r="184" spans="2:16" x14ac:dyDescent="0.2">
      <c r="B184" s="95" t="s">
        <v>446</v>
      </c>
      <c r="C184" s="95" t="s">
        <v>453</v>
      </c>
      <c r="D184" s="95" t="s">
        <v>452</v>
      </c>
      <c r="E184" s="95" t="s">
        <v>258</v>
      </c>
      <c r="F184" s="95" t="s">
        <v>453</v>
      </c>
      <c r="G184" s="95" t="s">
        <v>64</v>
      </c>
      <c r="H184" s="95" t="s">
        <v>259</v>
      </c>
      <c r="I184" s="132">
        <v>1000</v>
      </c>
      <c r="J184" s="95">
        <v>3</v>
      </c>
      <c r="K184" s="95">
        <f t="shared" si="2"/>
        <v>0</v>
      </c>
      <c r="L184" s="95" t="str">
        <f>IFERROR(VLOOKUP(GroupPop2018[[#This Row],[Group]],Grouping[#All],2,0),"Unknown")</f>
        <v>3 - Other areas with curbside</v>
      </c>
      <c r="M184" s="95" t="str">
        <f>INDEX(Frequency[Collection_Frequency],MATCH(GroupPop2018[[#This Row],[FreqCode]],Frequency[Orig_Frequency_ID],0))</f>
        <v>Weekly</v>
      </c>
      <c r="N184" s="95" t="str">
        <f>IF(GroupPop2018[[#This Row],[Group]]=1,"Metro",IF(GroupPop2018[[#This Row],[Group]]=4,"Nowhere",IF(GroupPop2018[[#This Row],[Group]]=3,"Remote",IF(GroupPop2018[[#This Row],[County]]="Marion","Marion County","Transported to Metro"))))</f>
        <v>Remote</v>
      </c>
      <c r="O184" s="95">
        <v>1</v>
      </c>
      <c r="P184" s="100">
        <f>GroupPop2018[[#This Row],[Pop2018]]*(1+SUMIFS(Growth[GrowthRate],Growth[Grouping_ID],GroupPop2018[[#This Row],[Group]]))</f>
        <v>1073.3162710580646</v>
      </c>
    </row>
    <row r="185" spans="2:16" x14ac:dyDescent="0.2">
      <c r="B185" s="95" t="s">
        <v>446</v>
      </c>
      <c r="C185" s="95" t="s">
        <v>454</v>
      </c>
      <c r="D185" s="95" t="s">
        <v>454</v>
      </c>
      <c r="E185" s="95" t="s">
        <v>253</v>
      </c>
      <c r="F185" s="95" t="s">
        <v>454</v>
      </c>
      <c r="G185" s="95" t="s">
        <v>127</v>
      </c>
      <c r="H185" s="95" t="s">
        <v>259</v>
      </c>
      <c r="I185" s="132">
        <v>815</v>
      </c>
      <c r="J185" s="95">
        <v>4</v>
      </c>
      <c r="K185" s="95">
        <f t="shared" si="2"/>
        <v>0</v>
      </c>
      <c r="L185" s="95" t="str">
        <f>IFERROR(VLOOKUP(GroupPop2018[[#This Row],[Group]],Grouping[#All],2,0),"Unknown")</f>
        <v>4 - Areas without curbside</v>
      </c>
      <c r="M185" s="95" t="str">
        <f>INDEX(Frequency[Collection_Frequency],MATCH(GroupPop2018[[#This Row],[FreqCode]],Frequency[Orig_Frequency_ID],0))</f>
        <v>No collection</v>
      </c>
      <c r="N185" s="95" t="str">
        <f>IF(GroupPop2018[[#This Row],[Group]]=1,"Metro",IF(GroupPop2018[[#This Row],[Group]]=4,"Nowhere",IF(GroupPop2018[[#This Row],[Group]]=3,"Remote",IF(GroupPop2018[[#This Row],[County]]="Marion","Marion County","Transported to Metro"))))</f>
        <v>Nowhere</v>
      </c>
      <c r="O185" s="95"/>
      <c r="P185" s="100">
        <f>GroupPop2018[[#This Row],[Pop2018]]*(1+SUMIFS(Growth[GrowthRate],Growth[Grouping_ID],GroupPop2018[[#This Row],[Group]]))</f>
        <v>874.75276091232263</v>
      </c>
    </row>
    <row r="186" spans="2:16" x14ac:dyDescent="0.2">
      <c r="B186" s="95" t="s">
        <v>446</v>
      </c>
      <c r="C186" s="95" t="s">
        <v>455</v>
      </c>
      <c r="D186" s="95" t="s">
        <v>455</v>
      </c>
      <c r="E186" s="95" t="s">
        <v>253</v>
      </c>
      <c r="F186" s="95" t="s">
        <v>455</v>
      </c>
      <c r="G186" s="95" t="s">
        <v>127</v>
      </c>
      <c r="H186" s="95" t="s">
        <v>259</v>
      </c>
      <c r="I186" s="132">
        <v>840</v>
      </c>
      <c r="J186" s="95">
        <v>4</v>
      </c>
      <c r="K186" s="95">
        <f t="shared" si="2"/>
        <v>0</v>
      </c>
      <c r="L186" s="95" t="str">
        <f>IFERROR(VLOOKUP(GroupPop2018[[#This Row],[Group]],Grouping[#All],2,0),"Unknown")</f>
        <v>4 - Areas without curbside</v>
      </c>
      <c r="M186" s="95" t="str">
        <f>INDEX(Frequency[Collection_Frequency],MATCH(GroupPop2018[[#This Row],[FreqCode]],Frequency[Orig_Frequency_ID],0))</f>
        <v>No collection</v>
      </c>
      <c r="N186" s="95" t="str">
        <f>IF(GroupPop2018[[#This Row],[Group]]=1,"Metro",IF(GroupPop2018[[#This Row],[Group]]=4,"Nowhere",IF(GroupPop2018[[#This Row],[Group]]=3,"Remote",IF(GroupPop2018[[#This Row],[County]]="Marion","Marion County","Transported to Metro"))))</f>
        <v>Nowhere</v>
      </c>
      <c r="O186" s="95"/>
      <c r="P186" s="100">
        <f>GroupPop2018[[#This Row],[Pop2018]]*(1+SUMIFS(Growth[GrowthRate],Growth[Grouping_ID],GroupPop2018[[#This Row],[Group]]))</f>
        <v>901.58566768877427</v>
      </c>
    </row>
    <row r="187" spans="2:16" x14ac:dyDescent="0.2">
      <c r="B187" s="95" t="s">
        <v>456</v>
      </c>
      <c r="C187" s="95" t="s">
        <v>457</v>
      </c>
      <c r="D187" s="95" t="s">
        <v>457</v>
      </c>
      <c r="E187" s="95" t="s">
        <v>258</v>
      </c>
      <c r="F187" s="95" t="s">
        <v>457</v>
      </c>
      <c r="G187" s="95" t="s">
        <v>127</v>
      </c>
      <c r="H187" s="95" t="s">
        <v>259</v>
      </c>
      <c r="I187" s="132">
        <v>5545</v>
      </c>
      <c r="J187" s="95">
        <v>4</v>
      </c>
      <c r="K187" s="95">
        <f t="shared" si="2"/>
        <v>0</v>
      </c>
      <c r="L187" s="95" t="str">
        <f>IFERROR(VLOOKUP(GroupPop2018[[#This Row],[Group]],Grouping[#All],2,0),"Unknown")</f>
        <v>4 - Areas without curbside</v>
      </c>
      <c r="M187" s="95" t="str">
        <f>INDEX(Frequency[Collection_Frequency],MATCH(GroupPop2018[[#This Row],[FreqCode]],Frequency[Orig_Frequency_ID],0))</f>
        <v>No collection</v>
      </c>
      <c r="N187" s="95" t="str">
        <f>IF(GroupPop2018[[#This Row],[Group]]=1,"Metro",IF(GroupPop2018[[#This Row],[Group]]=4,"Nowhere",IF(GroupPop2018[[#This Row],[Group]]=3,"Remote",IF(GroupPop2018[[#This Row],[County]]="Marion","Marion County","Transported to Metro"))))</f>
        <v>Nowhere</v>
      </c>
      <c r="O187" s="95"/>
      <c r="P187" s="100">
        <f>GroupPop2018[[#This Row],[Pop2018]]*(1+SUMIFS(Growth[GrowthRate],Growth[Grouping_ID],GroupPop2018[[#This Row],[Group]]))</f>
        <v>5951.5387230169681</v>
      </c>
    </row>
    <row r="188" spans="2:16" x14ac:dyDescent="0.2">
      <c r="B188" s="95" t="s">
        <v>456</v>
      </c>
      <c r="C188" s="95" t="s">
        <v>458</v>
      </c>
      <c r="D188" s="95" t="s">
        <v>458</v>
      </c>
      <c r="E188" s="95" t="s">
        <v>253</v>
      </c>
      <c r="F188" s="95" t="s">
        <v>458</v>
      </c>
      <c r="G188" s="95" t="s">
        <v>127</v>
      </c>
      <c r="H188" s="95" t="s">
        <v>259</v>
      </c>
      <c r="I188" s="132">
        <v>2300</v>
      </c>
      <c r="J188" s="95">
        <v>4</v>
      </c>
      <c r="K188" s="95">
        <f t="shared" si="2"/>
        <v>0</v>
      </c>
      <c r="L188" s="95" t="str">
        <f>IFERROR(VLOOKUP(GroupPop2018[[#This Row],[Group]],Grouping[#All],2,0),"Unknown")</f>
        <v>4 - Areas without curbside</v>
      </c>
      <c r="M188" s="95" t="str">
        <f>INDEX(Frequency[Collection_Frequency],MATCH(GroupPop2018[[#This Row],[FreqCode]],Frequency[Orig_Frequency_ID],0))</f>
        <v>No collection</v>
      </c>
      <c r="N188" s="95" t="str">
        <f>IF(GroupPop2018[[#This Row],[Group]]=1,"Metro",IF(GroupPop2018[[#This Row],[Group]]=4,"Nowhere",IF(GroupPop2018[[#This Row],[Group]]=3,"Remote",IF(GroupPop2018[[#This Row],[County]]="Marion","Marion County","Transported to Metro"))))</f>
        <v>Nowhere</v>
      </c>
      <c r="O188" s="95"/>
      <c r="P188" s="100">
        <f>GroupPop2018[[#This Row],[Pop2018]]*(1+SUMIFS(Growth[GrowthRate],Growth[Grouping_ID],GroupPop2018[[#This Row],[Group]]))</f>
        <v>2468.6274234335488</v>
      </c>
    </row>
    <row r="189" spans="2:16" x14ac:dyDescent="0.2">
      <c r="B189" s="95" t="s">
        <v>456</v>
      </c>
      <c r="C189" s="95" t="s">
        <v>459</v>
      </c>
      <c r="D189" s="95" t="s">
        <v>459</v>
      </c>
      <c r="E189" s="95" t="s">
        <v>253</v>
      </c>
      <c r="F189" s="95" t="s">
        <v>459</v>
      </c>
      <c r="G189" s="95" t="s">
        <v>127</v>
      </c>
      <c r="H189" s="95" t="s">
        <v>259</v>
      </c>
      <c r="I189" s="132">
        <v>270</v>
      </c>
      <c r="J189" s="95">
        <v>4</v>
      </c>
      <c r="K189" s="95">
        <f t="shared" si="2"/>
        <v>0</v>
      </c>
      <c r="L189" s="95" t="str">
        <f>IFERROR(VLOOKUP(GroupPop2018[[#This Row],[Group]],Grouping[#All],2,0),"Unknown")</f>
        <v>4 - Areas without curbside</v>
      </c>
      <c r="M189" s="95" t="str">
        <f>INDEX(Frequency[Collection_Frequency],MATCH(GroupPop2018[[#This Row],[FreqCode]],Frequency[Orig_Frequency_ID],0))</f>
        <v>No collection</v>
      </c>
      <c r="N189" s="95" t="str">
        <f>IF(GroupPop2018[[#This Row],[Group]]=1,"Metro",IF(GroupPop2018[[#This Row],[Group]]=4,"Nowhere",IF(GroupPop2018[[#This Row],[Group]]=3,"Remote",IF(GroupPop2018[[#This Row],[County]]="Marion","Marion County","Transported to Metro"))))</f>
        <v>Nowhere</v>
      </c>
      <c r="O189" s="95"/>
      <c r="P189" s="100">
        <f>GroupPop2018[[#This Row],[Pop2018]]*(1+SUMIFS(Growth[GrowthRate],Growth[Grouping_ID],GroupPop2018[[#This Row],[Group]]))</f>
        <v>289.79539318567743</v>
      </c>
    </row>
    <row r="190" spans="2:16" x14ac:dyDescent="0.2">
      <c r="B190" s="95" t="s">
        <v>460</v>
      </c>
      <c r="C190" s="95" t="s">
        <v>461</v>
      </c>
      <c r="D190" s="95" t="s">
        <v>461</v>
      </c>
      <c r="E190" s="95" t="s">
        <v>253</v>
      </c>
      <c r="F190" s="95" t="s">
        <v>461</v>
      </c>
      <c r="G190" s="95" t="s">
        <v>64</v>
      </c>
      <c r="H190" s="95" t="s">
        <v>259</v>
      </c>
      <c r="I190" s="132">
        <v>1195</v>
      </c>
      <c r="J190" s="95">
        <v>2</v>
      </c>
      <c r="K190" s="95">
        <f t="shared" si="2"/>
        <v>0</v>
      </c>
      <c r="L190" s="95" t="str">
        <f>IFERROR(VLOOKUP(GroupPop2018[[#This Row],[Group]],Grouping[#All],2,0),"Unknown")</f>
        <v>2 - Willamette Valley, etc.</v>
      </c>
      <c r="M190" s="95" t="str">
        <f>INDEX(Frequency[Collection_Frequency],MATCH(GroupPop2018[[#This Row],[FreqCode]],Frequency[Orig_Frequency_ID],0))</f>
        <v>Weekly</v>
      </c>
      <c r="N190" s="95" t="str">
        <f>IF(GroupPop2018[[#This Row],[Group]]=1,"Metro",IF(GroupPop2018[[#This Row],[Group]]=4,"Nowhere",IF(GroupPop2018[[#This Row],[Group]]=3,"Remote",IF(GroupPop2018[[#This Row],[County]]="Marion","Marion County","Transported to Metro"))))</f>
        <v>Transported to Metro</v>
      </c>
      <c r="O190" s="95"/>
      <c r="P190" s="100">
        <f>GroupPop2018[[#This Row],[Pop2018]]*(1+SUMIFS(Growth[GrowthRate],Growth[Grouping_ID],GroupPop2018[[#This Row],[Group]]))</f>
        <v>1272.8227642163372</v>
      </c>
    </row>
    <row r="191" spans="2:16" x14ac:dyDescent="0.2">
      <c r="B191" s="95" t="s">
        <v>460</v>
      </c>
      <c r="C191" s="95" t="s">
        <v>462</v>
      </c>
      <c r="D191" s="95" t="s">
        <v>462</v>
      </c>
      <c r="E191" s="95" t="s">
        <v>253</v>
      </c>
      <c r="F191" s="95" t="s">
        <v>462</v>
      </c>
      <c r="G191" s="95" t="s">
        <v>64</v>
      </c>
      <c r="H191" s="95" t="s">
        <v>254</v>
      </c>
      <c r="I191" s="132">
        <v>10005</v>
      </c>
      <c r="J191" s="95">
        <v>3</v>
      </c>
      <c r="K191" s="95">
        <f t="shared" si="2"/>
        <v>0</v>
      </c>
      <c r="L191" s="95" t="str">
        <f>IFERROR(VLOOKUP(GroupPop2018[[#This Row],[Group]],Grouping[#All],2,0),"Unknown")</f>
        <v>3 - Other areas with curbside</v>
      </c>
      <c r="M191" s="95" t="str">
        <f>INDEX(Frequency[Collection_Frequency],MATCH(GroupPop2018[[#This Row],[FreqCode]],Frequency[Orig_Frequency_ID],0))</f>
        <v>Weekly</v>
      </c>
      <c r="N191" s="95" t="str">
        <f>IF(GroupPop2018[[#This Row],[Group]]=1,"Metro",IF(GroupPop2018[[#This Row],[Group]]=4,"Nowhere",IF(GroupPop2018[[#This Row],[Group]]=3,"Remote",IF(GroupPop2018[[#This Row],[County]]="Marion","Marion County","Transported to Metro"))))</f>
        <v>Remote</v>
      </c>
      <c r="O191" s="95"/>
      <c r="P191" s="100">
        <f>GroupPop2018[[#This Row],[Pop2018]]*(1+SUMIFS(Growth[GrowthRate],Growth[Grouping_ID],GroupPop2018[[#This Row],[Group]]))</f>
        <v>10738.529291935936</v>
      </c>
    </row>
    <row r="192" spans="2:16" x14ac:dyDescent="0.2">
      <c r="B192" s="95" t="s">
        <v>460</v>
      </c>
      <c r="C192" s="95" t="s">
        <v>462</v>
      </c>
      <c r="D192" s="95" t="s">
        <v>462</v>
      </c>
      <c r="E192" s="95" t="s">
        <v>255</v>
      </c>
      <c r="F192" s="95" t="s">
        <v>463</v>
      </c>
      <c r="G192" s="95" t="s">
        <v>64</v>
      </c>
      <c r="H192" s="95" t="s">
        <v>254</v>
      </c>
      <c r="I192" s="132">
        <v>514</v>
      </c>
      <c r="J192" s="95">
        <v>3</v>
      </c>
      <c r="K192" s="95">
        <f t="shared" si="2"/>
        <v>0</v>
      </c>
      <c r="L192" s="95" t="str">
        <f>IFERROR(VLOOKUP(GroupPop2018[[#This Row],[Group]],Grouping[#All],2,0),"Unknown")</f>
        <v>3 - Other areas with curbside</v>
      </c>
      <c r="M192" s="95" t="str">
        <f>INDEX(Frequency[Collection_Frequency],MATCH(GroupPop2018[[#This Row],[FreqCode]],Frequency[Orig_Frequency_ID],0))</f>
        <v>Weekly</v>
      </c>
      <c r="N192" s="95" t="str">
        <f>IF(GroupPop2018[[#This Row],[Group]]=1,"Metro",IF(GroupPop2018[[#This Row],[Group]]=4,"Nowhere",IF(GroupPop2018[[#This Row],[Group]]=3,"Remote",IF(GroupPop2018[[#This Row],[County]]="Marion","Marion County","Transported to Metro"))))</f>
        <v>Remote</v>
      </c>
      <c r="O192" s="95"/>
      <c r="P192" s="100">
        <f>GroupPop2018[[#This Row],[Pop2018]]*(1+SUMIFS(Growth[GrowthRate],Growth[Grouping_ID],GroupPop2018[[#This Row],[Group]]))</f>
        <v>551.68456332384517</v>
      </c>
    </row>
    <row r="193" spans="2:16" x14ac:dyDescent="0.2">
      <c r="B193" s="95" t="s">
        <v>460</v>
      </c>
      <c r="C193" s="95" t="s">
        <v>464</v>
      </c>
      <c r="D193" s="95" t="s">
        <v>464</v>
      </c>
      <c r="E193" s="95" t="s">
        <v>253</v>
      </c>
      <c r="F193" s="95" t="s">
        <v>464</v>
      </c>
      <c r="G193" s="95" t="s">
        <v>53</v>
      </c>
      <c r="H193" s="95" t="s">
        <v>254</v>
      </c>
      <c r="I193" s="132">
        <v>5455</v>
      </c>
      <c r="J193" s="95">
        <v>3</v>
      </c>
      <c r="K193" s="95">
        <f t="shared" si="2"/>
        <v>0</v>
      </c>
      <c r="L193" s="95" t="str">
        <f>IFERROR(VLOOKUP(GroupPop2018[[#This Row],[Group]],Grouping[#All],2,0),"Unknown")</f>
        <v>3 - Other areas with curbside</v>
      </c>
      <c r="M193" s="95" t="str">
        <f>INDEX(Frequency[Collection_Frequency],MATCH(GroupPop2018[[#This Row],[FreqCode]],Frequency[Orig_Frequency_ID],0))</f>
        <v>Every other week</v>
      </c>
      <c r="N193" s="95" t="str">
        <f>IF(GroupPop2018[[#This Row],[Group]]=1,"Metro",IF(GroupPop2018[[#This Row],[Group]]=4,"Nowhere",IF(GroupPop2018[[#This Row],[Group]]=3,"Remote",IF(GroupPop2018[[#This Row],[County]]="Marion","Marion County","Transported to Metro"))))</f>
        <v>Remote</v>
      </c>
      <c r="O193" s="95"/>
      <c r="P193" s="100">
        <f>GroupPop2018[[#This Row],[Pop2018]]*(1+SUMIFS(Growth[GrowthRate],Growth[Grouping_ID],GroupPop2018[[#This Row],[Group]]))</f>
        <v>5854.940258621742</v>
      </c>
    </row>
    <row r="194" spans="2:16" x14ac:dyDescent="0.2">
      <c r="B194" s="95" t="s">
        <v>460</v>
      </c>
      <c r="C194" s="95" t="s">
        <v>464</v>
      </c>
      <c r="D194" s="95" t="s">
        <v>464</v>
      </c>
      <c r="E194" s="95" t="s">
        <v>255</v>
      </c>
      <c r="F194" s="95" t="s">
        <v>465</v>
      </c>
      <c r="G194" s="95" t="s">
        <v>53</v>
      </c>
      <c r="H194" s="95" t="s">
        <v>254</v>
      </c>
      <c r="I194" s="132">
        <v>277</v>
      </c>
      <c r="J194" s="95">
        <v>3</v>
      </c>
      <c r="K194" s="95">
        <f t="shared" si="2"/>
        <v>0</v>
      </c>
      <c r="L194" s="95" t="str">
        <f>IFERROR(VLOOKUP(GroupPop2018[[#This Row],[Group]],Grouping[#All],2,0),"Unknown")</f>
        <v>3 - Other areas with curbside</v>
      </c>
      <c r="M194" s="95" t="str">
        <f>INDEX(Frequency[Collection_Frequency],MATCH(GroupPop2018[[#This Row],[FreqCode]],Frequency[Orig_Frequency_ID],0))</f>
        <v>Every other week</v>
      </c>
      <c r="N194" s="95" t="str">
        <f>IF(GroupPop2018[[#This Row],[Group]]=1,"Metro",IF(GroupPop2018[[#This Row],[Group]]=4,"Nowhere",IF(GroupPop2018[[#This Row],[Group]]=3,"Remote",IF(GroupPop2018[[#This Row],[County]]="Marion","Marion County","Transported to Metro"))))</f>
        <v>Remote</v>
      </c>
      <c r="O194" s="95"/>
      <c r="P194" s="100">
        <f>GroupPop2018[[#This Row],[Pop2018]]*(1+SUMIFS(Growth[GrowthRate],Growth[Grouping_ID],GroupPop2018[[#This Row],[Group]]))</f>
        <v>297.30860708308387</v>
      </c>
    </row>
    <row r="195" spans="2:16" x14ac:dyDescent="0.2">
      <c r="B195" s="95" t="s">
        <v>460</v>
      </c>
      <c r="C195" s="95" t="s">
        <v>466</v>
      </c>
      <c r="D195" s="95" t="s">
        <v>466</v>
      </c>
      <c r="E195" s="95" t="s">
        <v>253</v>
      </c>
      <c r="F195" s="95" t="s">
        <v>466</v>
      </c>
      <c r="G195" s="95" t="s">
        <v>64</v>
      </c>
      <c r="H195" s="95" t="s">
        <v>259</v>
      </c>
      <c r="I195" s="132">
        <v>1335</v>
      </c>
      <c r="J195" s="95">
        <v>3</v>
      </c>
      <c r="K195" s="95">
        <f t="shared" si="2"/>
        <v>0</v>
      </c>
      <c r="L195" s="95" t="str">
        <f>IFERROR(VLOOKUP(GroupPop2018[[#This Row],[Group]],Grouping[#All],2,0),"Unknown")</f>
        <v>3 - Other areas with curbside</v>
      </c>
      <c r="M195" s="95" t="str">
        <f>INDEX(Frequency[Collection_Frequency],MATCH(GroupPop2018[[#This Row],[FreqCode]],Frequency[Orig_Frequency_ID],0))</f>
        <v>Weekly</v>
      </c>
      <c r="N195" s="95" t="str">
        <f>IF(GroupPop2018[[#This Row],[Group]]=1,"Metro",IF(GroupPop2018[[#This Row],[Group]]=4,"Nowhere",IF(GroupPop2018[[#This Row],[Group]]=3,"Remote",IF(GroupPop2018[[#This Row],[County]]="Marion","Marion County","Transported to Metro"))))</f>
        <v>Remote</v>
      </c>
      <c r="O195" s="95"/>
      <c r="P195" s="100">
        <f>GroupPop2018[[#This Row],[Pop2018]]*(1+SUMIFS(Growth[GrowthRate],Growth[Grouping_ID],GroupPop2018[[#This Row],[Group]]))</f>
        <v>1432.8772218625163</v>
      </c>
    </row>
    <row r="196" spans="2:16" x14ac:dyDescent="0.2">
      <c r="B196" s="95" t="s">
        <v>460</v>
      </c>
      <c r="C196" s="95" t="s">
        <v>467</v>
      </c>
      <c r="D196" s="95" t="s">
        <v>467</v>
      </c>
      <c r="E196" s="95" t="s">
        <v>253</v>
      </c>
      <c r="F196" s="95" t="s">
        <v>467</v>
      </c>
      <c r="G196" s="95" t="s">
        <v>53</v>
      </c>
      <c r="H196" s="95" t="s">
        <v>254</v>
      </c>
      <c r="I196" s="132">
        <v>169695</v>
      </c>
      <c r="J196" s="95">
        <v>2</v>
      </c>
      <c r="K196" s="95">
        <f t="shared" si="2"/>
        <v>0</v>
      </c>
      <c r="L196" s="95" t="str">
        <f>IFERROR(VLOOKUP(GroupPop2018[[#This Row],[Group]],Grouping[#All],2,0),"Unknown")</f>
        <v>2 - Willamette Valley, etc.</v>
      </c>
      <c r="M196" s="95" t="str">
        <f>INDEX(Frequency[Collection_Frequency],MATCH(GroupPop2018[[#This Row],[FreqCode]],Frequency[Orig_Frequency_ID],0))</f>
        <v>Every other week</v>
      </c>
      <c r="N196" s="95" t="str">
        <f>IF(GroupPop2018[[#This Row],[Group]]=1,"Metro",IF(GroupPop2018[[#This Row],[Group]]=4,"Nowhere",IF(GroupPop2018[[#This Row],[Group]]=3,"Remote",IF(GroupPop2018[[#This Row],[County]]="Marion","Marion County","Transported to Metro"))))</f>
        <v>Transported to Metro</v>
      </c>
      <c r="O196" s="95"/>
      <c r="P196" s="100">
        <f>GroupPop2018[[#This Row],[Pop2018]]*(1+SUMIFS(Growth[GrowthRate],Growth[Grouping_ID],GroupPop2018[[#This Row],[Group]]))</f>
        <v>180746.1581369802</v>
      </c>
    </row>
    <row r="197" spans="2:16" x14ac:dyDescent="0.2">
      <c r="B197" s="95" t="s">
        <v>460</v>
      </c>
      <c r="C197" s="95" t="s">
        <v>467</v>
      </c>
      <c r="D197" s="95" t="s">
        <v>467</v>
      </c>
      <c r="E197" s="95" t="s">
        <v>255</v>
      </c>
      <c r="F197" s="95" t="s">
        <v>468</v>
      </c>
      <c r="G197" s="95" t="s">
        <v>53</v>
      </c>
      <c r="H197" s="95" t="s">
        <v>254</v>
      </c>
      <c r="I197" s="132">
        <v>19088</v>
      </c>
      <c r="J197" s="95">
        <v>2</v>
      </c>
      <c r="K197" s="95">
        <f t="shared" si="2"/>
        <v>0</v>
      </c>
      <c r="L197" s="95" t="str">
        <f>IFERROR(VLOOKUP(GroupPop2018[[#This Row],[Group]],Grouping[#All],2,0),"Unknown")</f>
        <v>2 - Willamette Valley, etc.</v>
      </c>
      <c r="M197" s="95" t="str">
        <f>INDEX(Frequency[Collection_Frequency],MATCH(GroupPop2018[[#This Row],[FreqCode]],Frequency[Orig_Frequency_ID],0))</f>
        <v>Every other week</v>
      </c>
      <c r="N197" s="95" t="str">
        <f>IF(GroupPop2018[[#This Row],[Group]]=1,"Metro",IF(GroupPop2018[[#This Row],[Group]]=4,"Nowhere",IF(GroupPop2018[[#This Row],[Group]]=3,"Remote",IF(GroupPop2018[[#This Row],[County]]="Marion","Marion County","Transported to Metro"))))</f>
        <v>Transported to Metro</v>
      </c>
      <c r="O197" s="95"/>
      <c r="P197" s="100">
        <f>GroupPop2018[[#This Row],[Pop2018]]*(1+SUMIFS(Growth[GrowthRate],Growth[Grouping_ID],GroupPop2018[[#This Row],[Group]]))</f>
        <v>20331.08027059535</v>
      </c>
    </row>
    <row r="198" spans="2:16" x14ac:dyDescent="0.2">
      <c r="B198" s="95" t="s">
        <v>460</v>
      </c>
      <c r="C198" s="95" t="s">
        <v>469</v>
      </c>
      <c r="D198" s="95" t="s">
        <v>469</v>
      </c>
      <c r="E198" s="95" t="s">
        <v>253</v>
      </c>
      <c r="F198" s="95" t="s">
        <v>469</v>
      </c>
      <c r="G198" s="95" t="s">
        <v>53</v>
      </c>
      <c r="H198" s="95" t="s">
        <v>254</v>
      </c>
      <c r="I198" s="132">
        <v>8795</v>
      </c>
      <c r="J198" s="95">
        <v>3</v>
      </c>
      <c r="K198" s="95">
        <f t="shared" si="2"/>
        <v>0</v>
      </c>
      <c r="L198" s="95" t="str">
        <f>IFERROR(VLOOKUP(GroupPop2018[[#This Row],[Group]],Grouping[#All],2,0),"Unknown")</f>
        <v>3 - Other areas with curbside</v>
      </c>
      <c r="M198" s="95" t="str">
        <f>INDEX(Frequency[Collection_Frequency],MATCH(GroupPop2018[[#This Row],[FreqCode]],Frequency[Orig_Frequency_ID],0))</f>
        <v>Every other week</v>
      </c>
      <c r="N198" s="95" t="str">
        <f>IF(GroupPop2018[[#This Row],[Group]]=1,"Metro",IF(GroupPop2018[[#This Row],[Group]]=4,"Nowhere",IF(GroupPop2018[[#This Row],[Group]]=3,"Remote",IF(GroupPop2018[[#This Row],[County]]="Marion","Marion County","Transported to Metro"))))</f>
        <v>Remote</v>
      </c>
      <c r="O198" s="95"/>
      <c r="P198" s="100">
        <f>GroupPop2018[[#This Row],[Pop2018]]*(1+SUMIFS(Growth[GrowthRate],Growth[Grouping_ID],GroupPop2018[[#This Row],[Group]]))</f>
        <v>9439.8166039556781</v>
      </c>
    </row>
    <row r="199" spans="2:16" x14ac:dyDescent="0.2">
      <c r="B199" s="95" t="s">
        <v>460</v>
      </c>
      <c r="C199" s="95" t="s">
        <v>469</v>
      </c>
      <c r="D199" s="95" t="s">
        <v>469</v>
      </c>
      <c r="E199" s="95" t="s">
        <v>255</v>
      </c>
      <c r="F199" s="95" t="s">
        <v>470</v>
      </c>
      <c r="G199" s="95" t="s">
        <v>53</v>
      </c>
      <c r="H199" s="95" t="s">
        <v>254</v>
      </c>
      <c r="I199" s="132">
        <v>2861</v>
      </c>
      <c r="J199" s="95">
        <v>3</v>
      </c>
      <c r="K199" s="95">
        <f t="shared" si="2"/>
        <v>0</v>
      </c>
      <c r="L199" s="95" t="str">
        <f>IFERROR(VLOOKUP(GroupPop2018[[#This Row],[Group]],Grouping[#All],2,0),"Unknown")</f>
        <v>3 - Other areas with curbside</v>
      </c>
      <c r="M199" s="95" t="str">
        <f>INDEX(Frequency[Collection_Frequency],MATCH(GroupPop2018[[#This Row],[FreqCode]],Frequency[Orig_Frequency_ID],0))</f>
        <v>Every other week</v>
      </c>
      <c r="N199" s="95" t="str">
        <f>IF(GroupPop2018[[#This Row],[Group]]=1,"Metro",IF(GroupPop2018[[#This Row],[Group]]=4,"Nowhere",IF(GroupPop2018[[#This Row],[Group]]=3,"Remote",IF(GroupPop2018[[#This Row],[County]]="Marion","Marion County","Transported to Metro"))))</f>
        <v>Remote</v>
      </c>
      <c r="O199" s="95"/>
      <c r="P199" s="100">
        <f>GroupPop2018[[#This Row],[Pop2018]]*(1+SUMIFS(Growth[GrowthRate],Growth[Grouping_ID],GroupPop2018[[#This Row],[Group]]))</f>
        <v>3070.7578514971228</v>
      </c>
    </row>
    <row r="200" spans="2:16" x14ac:dyDescent="0.2">
      <c r="B200" s="95" t="s">
        <v>460</v>
      </c>
      <c r="C200" s="95" t="s">
        <v>471</v>
      </c>
      <c r="D200" s="95" t="s">
        <v>471</v>
      </c>
      <c r="E200" s="95" t="s">
        <v>253</v>
      </c>
      <c r="F200" s="95" t="s">
        <v>471</v>
      </c>
      <c r="G200" s="95" t="s">
        <v>53</v>
      </c>
      <c r="H200" s="95" t="s">
        <v>254</v>
      </c>
      <c r="I200" s="132">
        <v>6125</v>
      </c>
      <c r="J200" s="95">
        <v>3</v>
      </c>
      <c r="K200" s="95">
        <f t="shared" si="2"/>
        <v>0</v>
      </c>
      <c r="L200" s="95" t="str">
        <f>IFERROR(VLOOKUP(GroupPop2018[[#This Row],[Group]],Grouping[#All],2,0),"Unknown")</f>
        <v>3 - Other areas with curbside</v>
      </c>
      <c r="M200" s="95" t="str">
        <f>INDEX(Frequency[Collection_Frequency],MATCH(GroupPop2018[[#This Row],[FreqCode]],Frequency[Orig_Frequency_ID],0))</f>
        <v>Every other week</v>
      </c>
      <c r="N200" s="95" t="str">
        <f>IF(GroupPop2018[[#This Row],[Group]]=1,"Metro",IF(GroupPop2018[[#This Row],[Group]]=4,"Nowhere",IF(GroupPop2018[[#This Row],[Group]]=3,"Remote",IF(GroupPop2018[[#This Row],[County]]="Marion","Marion County","Transported to Metro"))))</f>
        <v>Remote</v>
      </c>
      <c r="O200" s="95"/>
      <c r="P200" s="100">
        <f>GroupPop2018[[#This Row],[Pop2018]]*(1+SUMIFS(Growth[GrowthRate],Growth[Grouping_ID],GroupPop2018[[#This Row],[Group]]))</f>
        <v>6574.0621602306455</v>
      </c>
    </row>
    <row r="201" spans="2:16" x14ac:dyDescent="0.2">
      <c r="B201" s="95" t="s">
        <v>460</v>
      </c>
      <c r="C201" s="95" t="s">
        <v>471</v>
      </c>
      <c r="D201" s="95" t="s">
        <v>471</v>
      </c>
      <c r="E201" s="95" t="s">
        <v>255</v>
      </c>
      <c r="F201" s="95" t="s">
        <v>472</v>
      </c>
      <c r="G201" s="95" t="s">
        <v>53</v>
      </c>
      <c r="H201" s="95" t="s">
        <v>254</v>
      </c>
      <c r="I201" s="132">
        <v>705</v>
      </c>
      <c r="J201" s="95">
        <v>3</v>
      </c>
      <c r="K201" s="95">
        <f t="shared" si="2"/>
        <v>0</v>
      </c>
      <c r="L201" s="95" t="str">
        <f>IFERROR(VLOOKUP(GroupPop2018[[#This Row],[Group]],Grouping[#All],2,0),"Unknown")</f>
        <v>3 - Other areas with curbside</v>
      </c>
      <c r="M201" s="95" t="str">
        <f>INDEX(Frequency[Collection_Frequency],MATCH(GroupPop2018[[#This Row],[FreqCode]],Frequency[Orig_Frequency_ID],0))</f>
        <v>Every other week</v>
      </c>
      <c r="N201" s="95" t="str">
        <f>IF(GroupPop2018[[#This Row],[Group]]=1,"Metro",IF(GroupPop2018[[#This Row],[Group]]=4,"Nowhere",IF(GroupPop2018[[#This Row],[Group]]=3,"Remote",IF(GroupPop2018[[#This Row],[County]]="Marion","Marion County","Transported to Metro"))))</f>
        <v>Remote</v>
      </c>
      <c r="O201" s="95"/>
      <c r="P201" s="100">
        <f>GroupPop2018[[#This Row],[Pop2018]]*(1+SUMIFS(Growth[GrowthRate],Growth[Grouping_ID],GroupPop2018[[#This Row],[Group]]))</f>
        <v>756.6879710959355</v>
      </c>
    </row>
    <row r="202" spans="2:16" ht="15" x14ac:dyDescent="0.25">
      <c r="B202" s="95" t="s">
        <v>460</v>
      </c>
      <c r="C202" s="95" t="s">
        <v>473</v>
      </c>
      <c r="D202" s="95" t="s">
        <v>474</v>
      </c>
      <c r="E202" s="95" t="s">
        <v>258</v>
      </c>
      <c r="F202" s="95" t="s">
        <v>473</v>
      </c>
      <c r="G202" s="95" t="s">
        <v>127</v>
      </c>
      <c r="H202" s="95" t="s">
        <v>259</v>
      </c>
      <c r="I202" s="133">
        <v>30000</v>
      </c>
      <c r="J202" s="95">
        <v>4</v>
      </c>
      <c r="K202" s="95">
        <f t="shared" si="2"/>
        <v>0</v>
      </c>
      <c r="L202" s="95" t="str">
        <f>IFERROR(VLOOKUP(GroupPop2018[[#This Row],[Group]],Grouping[#All],2,0),"Unknown")</f>
        <v>4 - Areas without curbside</v>
      </c>
      <c r="M202" s="95" t="str">
        <f>INDEX(Frequency[Collection_Frequency],MATCH(GroupPop2018[[#This Row],[FreqCode]],Frequency[Orig_Frequency_ID],0))</f>
        <v>No collection</v>
      </c>
      <c r="N202" s="95" t="str">
        <f>IF(GroupPop2018[[#This Row],[Group]]=1,"Metro",IF(GroupPop2018[[#This Row],[Group]]=4,"Nowhere",IF(GroupPop2018[[#This Row],[Group]]=3,"Remote",IF(GroupPop2018[[#This Row],[County]]="Marion","Marion County","Transported to Metro"))))</f>
        <v>Nowhere</v>
      </c>
      <c r="O202" s="95">
        <v>2</v>
      </c>
      <c r="P202" s="100">
        <f>GroupPop2018[[#This Row],[Pop2018]]*(1+SUMIFS(Growth[GrowthRate],Growth[Grouping_ID],GroupPop2018[[#This Row],[Group]]))</f>
        <v>32199.488131741939</v>
      </c>
    </row>
    <row r="203" spans="2:16" ht="15" x14ac:dyDescent="0.25">
      <c r="B203" s="95" t="s">
        <v>460</v>
      </c>
      <c r="C203" s="95" t="s">
        <v>475</v>
      </c>
      <c r="D203" s="95" t="s">
        <v>474</v>
      </c>
      <c r="E203" s="95" t="s">
        <v>258</v>
      </c>
      <c r="F203" s="95" t="s">
        <v>475</v>
      </c>
      <c r="G203" s="95" t="s">
        <v>53</v>
      </c>
      <c r="H203" s="95" t="s">
        <v>259</v>
      </c>
      <c r="I203" s="133">
        <v>40762</v>
      </c>
      <c r="J203" s="95">
        <v>2</v>
      </c>
      <c r="K203" s="95">
        <f t="shared" si="2"/>
        <v>0</v>
      </c>
      <c r="L203" s="95" t="str">
        <f>IFERROR(VLOOKUP(GroupPop2018[[#This Row],[Group]],Grouping[#All],2,0),"Unknown")</f>
        <v>2 - Willamette Valley, etc.</v>
      </c>
      <c r="M203" s="95" t="str">
        <f>INDEX(Frequency[Collection_Frequency],MATCH(GroupPop2018[[#This Row],[FreqCode]],Frequency[Orig_Frequency_ID],0))</f>
        <v>Every other week</v>
      </c>
      <c r="N203" s="95" t="str">
        <f>IF(GroupPop2018[[#This Row],[Group]]=1,"Metro",IF(GroupPop2018[[#This Row],[Group]]=4,"Nowhere",IF(GroupPop2018[[#This Row],[Group]]=3,"Remote",IF(GroupPop2018[[#This Row],[County]]="Marion","Marion County","Transported to Metro"))))</f>
        <v>Transported to Metro</v>
      </c>
      <c r="O203" s="95">
        <v>1</v>
      </c>
      <c r="P203" s="100">
        <f>GroupPop2018[[#This Row],[Pop2018]]*(1+SUMIFS(Growth[GrowthRate],Growth[Grouping_ID],GroupPop2018[[#This Row],[Group]]))</f>
        <v>43416.570305427893</v>
      </c>
    </row>
    <row r="204" spans="2:16" x14ac:dyDescent="0.2">
      <c r="B204" s="95" t="s">
        <v>460</v>
      </c>
      <c r="C204" s="95" t="s">
        <v>476</v>
      </c>
      <c r="D204" s="95" t="s">
        <v>476</v>
      </c>
      <c r="E204" s="95" t="s">
        <v>253</v>
      </c>
      <c r="F204" s="95" t="s">
        <v>476</v>
      </c>
      <c r="G204" s="95" t="s">
        <v>67</v>
      </c>
      <c r="H204" s="95" t="s">
        <v>259</v>
      </c>
      <c r="I204" s="132">
        <v>1075</v>
      </c>
      <c r="J204" s="95">
        <v>3</v>
      </c>
      <c r="K204" s="95">
        <f t="shared" si="2"/>
        <v>0</v>
      </c>
      <c r="L204" s="95" t="str">
        <f>IFERROR(VLOOKUP(GroupPop2018[[#This Row],[Group]],Grouping[#All],2,0),"Unknown")</f>
        <v>3 - Other areas with curbside</v>
      </c>
      <c r="M204" s="95" t="str">
        <f>INDEX(Frequency[Collection_Frequency],MATCH(GroupPop2018[[#This Row],[FreqCode]],Frequency[Orig_Frequency_ID],0))</f>
        <v>Monthly</v>
      </c>
      <c r="N204" s="95" t="str">
        <f>IF(GroupPop2018[[#This Row],[Group]]=1,"Metro",IF(GroupPop2018[[#This Row],[Group]]=4,"Nowhere",IF(GroupPop2018[[#This Row],[Group]]=3,"Remote",IF(GroupPop2018[[#This Row],[County]]="Marion","Marion County","Transported to Metro"))))</f>
        <v>Remote</v>
      </c>
      <c r="O204" s="95"/>
      <c r="P204" s="100">
        <f>GroupPop2018[[#This Row],[Pop2018]]*(1+SUMIFS(Growth[GrowthRate],Growth[Grouping_ID],GroupPop2018[[#This Row],[Group]]))</f>
        <v>1153.8149913874195</v>
      </c>
    </row>
    <row r="205" spans="2:16" x14ac:dyDescent="0.2">
      <c r="B205" s="95" t="s">
        <v>460</v>
      </c>
      <c r="C205" s="95" t="s">
        <v>477</v>
      </c>
      <c r="D205" s="95" t="s">
        <v>477</v>
      </c>
      <c r="E205" s="95" t="s">
        <v>253</v>
      </c>
      <c r="F205" s="95" t="s">
        <v>477</v>
      </c>
      <c r="G205" s="95" t="s">
        <v>64</v>
      </c>
      <c r="H205" s="95" t="s">
        <v>259</v>
      </c>
      <c r="I205" s="132">
        <v>3280</v>
      </c>
      <c r="J205" s="95">
        <v>3</v>
      </c>
      <c r="K205" s="95">
        <f t="shared" si="2"/>
        <v>0</v>
      </c>
      <c r="L205" s="95" t="str">
        <f>IFERROR(VLOOKUP(GroupPop2018[[#This Row],[Group]],Grouping[#All],2,0),"Unknown")</f>
        <v>3 - Other areas with curbside</v>
      </c>
      <c r="M205" s="95" t="str">
        <f>INDEX(Frequency[Collection_Frequency],MATCH(GroupPop2018[[#This Row],[FreqCode]],Frequency[Orig_Frequency_ID],0))</f>
        <v>Weekly</v>
      </c>
      <c r="N205" s="95" t="str">
        <f>IF(GroupPop2018[[#This Row],[Group]]=1,"Metro",IF(GroupPop2018[[#This Row],[Group]]=4,"Nowhere",IF(GroupPop2018[[#This Row],[Group]]=3,"Remote",IF(GroupPop2018[[#This Row],[County]]="Marion","Marion County","Transported to Metro"))))</f>
        <v>Remote</v>
      </c>
      <c r="O205" s="95"/>
      <c r="P205" s="100">
        <f>GroupPop2018[[#This Row],[Pop2018]]*(1+SUMIFS(Growth[GrowthRate],Growth[Grouping_ID],GroupPop2018[[#This Row],[Group]]))</f>
        <v>3520.4773690704519</v>
      </c>
    </row>
    <row r="206" spans="2:16" x14ac:dyDescent="0.2">
      <c r="B206" s="95" t="s">
        <v>460</v>
      </c>
      <c r="C206" s="95" t="s">
        <v>478</v>
      </c>
      <c r="D206" s="95" t="s">
        <v>478</v>
      </c>
      <c r="E206" s="95" t="s">
        <v>253</v>
      </c>
      <c r="F206" s="95" t="s">
        <v>478</v>
      </c>
      <c r="G206" s="95" t="s">
        <v>53</v>
      </c>
      <c r="H206" s="95" t="s">
        <v>254</v>
      </c>
      <c r="I206" s="132">
        <v>60865</v>
      </c>
      <c r="J206" s="95">
        <v>2</v>
      </c>
      <c r="K206" s="95">
        <f t="shared" si="2"/>
        <v>0</v>
      </c>
      <c r="L206" s="95" t="str">
        <f>IFERROR(VLOOKUP(GroupPop2018[[#This Row],[Group]],Grouping[#All],2,0),"Unknown")</f>
        <v>2 - Willamette Valley, etc.</v>
      </c>
      <c r="M206" s="95" t="str">
        <f>INDEX(Frequency[Collection_Frequency],MATCH(GroupPop2018[[#This Row],[FreqCode]],Frequency[Orig_Frequency_ID],0))</f>
        <v>Every other week</v>
      </c>
      <c r="N206" s="95" t="str">
        <f>IF(GroupPop2018[[#This Row],[Group]]=1,"Metro",IF(GroupPop2018[[#This Row],[Group]]=4,"Nowhere",IF(GroupPop2018[[#This Row],[Group]]=3,"Remote",IF(GroupPop2018[[#This Row],[County]]="Marion","Marion County","Transported to Metro"))))</f>
        <v>Transported to Metro</v>
      </c>
      <c r="O206" s="95"/>
      <c r="P206" s="100">
        <f>GroupPop2018[[#This Row],[Pop2018]]*(1+SUMIFS(Growth[GrowthRate],Growth[Grouping_ID],GroupPop2018[[#This Row],[Group]]))</f>
        <v>64828.751082868082</v>
      </c>
    </row>
    <row r="207" spans="2:16" x14ac:dyDescent="0.2">
      <c r="B207" s="95" t="s">
        <v>460</v>
      </c>
      <c r="C207" s="95" t="s">
        <v>478</v>
      </c>
      <c r="D207" s="95" t="s">
        <v>478</v>
      </c>
      <c r="E207" s="95" t="s">
        <v>255</v>
      </c>
      <c r="F207" s="95" t="s">
        <v>479</v>
      </c>
      <c r="G207" s="95" t="s">
        <v>53</v>
      </c>
      <c r="H207" s="95" t="s">
        <v>254</v>
      </c>
      <c r="I207" s="132">
        <v>8038</v>
      </c>
      <c r="J207" s="95">
        <v>2</v>
      </c>
      <c r="K207" s="95">
        <f t="shared" si="2"/>
        <v>0</v>
      </c>
      <c r="L207" s="95" t="str">
        <f>IFERROR(VLOOKUP(GroupPop2018[[#This Row],[Group]],Grouping[#All],2,0),"Unknown")</f>
        <v>2 - Willamette Valley, etc.</v>
      </c>
      <c r="M207" s="95" t="str">
        <f>INDEX(Frequency[Collection_Frequency],MATCH(GroupPop2018[[#This Row],[FreqCode]],Frequency[Orig_Frequency_ID],0))</f>
        <v>Every other week</v>
      </c>
      <c r="N207" s="95" t="str">
        <f>IF(GroupPop2018[[#This Row],[Group]]=1,"Metro",IF(GroupPop2018[[#This Row],[Group]]=4,"Nowhere",IF(GroupPop2018[[#This Row],[Group]]=3,"Remote",IF(GroupPop2018[[#This Row],[County]]="Marion","Marion County","Transported to Metro"))))</f>
        <v>Transported to Metro</v>
      </c>
      <c r="O207" s="95"/>
      <c r="P207" s="100">
        <f>GroupPop2018[[#This Row],[Pop2018]]*(1+SUMIFS(Growth[GrowthRate],Growth[Grouping_ID],GroupPop2018[[#This Row],[Group]]))</f>
        <v>8561.4639152894706</v>
      </c>
    </row>
    <row r="208" spans="2:16" x14ac:dyDescent="0.2">
      <c r="B208" s="95" t="s">
        <v>460</v>
      </c>
      <c r="C208" s="95" t="s">
        <v>480</v>
      </c>
      <c r="D208" s="95" t="s">
        <v>480</v>
      </c>
      <c r="E208" s="95" t="s">
        <v>253</v>
      </c>
      <c r="F208" s="95" t="s">
        <v>480</v>
      </c>
      <c r="G208" s="95" t="s">
        <v>53</v>
      </c>
      <c r="H208" s="95" t="s">
        <v>254</v>
      </c>
      <c r="I208" s="132">
        <v>4790</v>
      </c>
      <c r="J208" s="95">
        <v>2</v>
      </c>
      <c r="K208" s="95">
        <f t="shared" si="2"/>
        <v>0</v>
      </c>
      <c r="L208" s="95" t="str">
        <f>IFERROR(VLOOKUP(GroupPop2018[[#This Row],[Group]],Grouping[#All],2,0),"Unknown")</f>
        <v>2 - Willamette Valley, etc.</v>
      </c>
      <c r="M208" s="95" t="str">
        <f>INDEX(Frequency[Collection_Frequency],MATCH(GroupPop2018[[#This Row],[FreqCode]],Frequency[Orig_Frequency_ID],0))</f>
        <v>Every other week</v>
      </c>
      <c r="N208" s="95" t="str">
        <f>IF(GroupPop2018[[#This Row],[Group]]=1,"Metro",IF(GroupPop2018[[#This Row],[Group]]=4,"Nowhere",IF(GroupPop2018[[#This Row],[Group]]=3,"Remote",IF(GroupPop2018[[#This Row],[County]]="Marion","Marion County","Transported to Metro"))))</f>
        <v>Transported to Metro</v>
      </c>
      <c r="O208" s="95"/>
      <c r="P208" s="100">
        <f>GroupPop2018[[#This Row],[Pop2018]]*(1+SUMIFS(Growth[GrowthRate],Growth[Grouping_ID],GroupPop2018[[#This Row],[Group]]))</f>
        <v>5101.9422933859878</v>
      </c>
    </row>
    <row r="209" spans="2:16" x14ac:dyDescent="0.2">
      <c r="B209" s="95" t="s">
        <v>460</v>
      </c>
      <c r="C209" s="95" t="s">
        <v>480</v>
      </c>
      <c r="D209" s="95" t="s">
        <v>480</v>
      </c>
      <c r="E209" s="95" t="s">
        <v>255</v>
      </c>
      <c r="F209" s="95" t="s">
        <v>481</v>
      </c>
      <c r="G209" s="95" t="s">
        <v>53</v>
      </c>
      <c r="H209" s="95" t="s">
        <v>254</v>
      </c>
      <c r="I209" s="132">
        <v>0</v>
      </c>
      <c r="J209" s="95">
        <v>2</v>
      </c>
      <c r="K209" s="95">
        <f t="shared" si="2"/>
        <v>0</v>
      </c>
      <c r="L209" s="95" t="str">
        <f>IFERROR(VLOOKUP(GroupPop2018[[#This Row],[Group]],Grouping[#All],2,0),"Unknown")</f>
        <v>2 - Willamette Valley, etc.</v>
      </c>
      <c r="M209" s="95" t="str">
        <f>INDEX(Frequency[Collection_Frequency],MATCH(GroupPop2018[[#This Row],[FreqCode]],Frequency[Orig_Frequency_ID],0))</f>
        <v>Every other week</v>
      </c>
      <c r="N209" s="95" t="str">
        <f>IF(GroupPop2018[[#This Row],[Group]]=1,"Metro",IF(GroupPop2018[[#This Row],[Group]]=4,"Nowhere",IF(GroupPop2018[[#This Row],[Group]]=3,"Remote",IF(GroupPop2018[[#This Row],[County]]="Marion","Marion County","Transported to Metro"))))</f>
        <v>Transported to Metro</v>
      </c>
      <c r="O209" s="95"/>
      <c r="P209" s="100">
        <f>GroupPop2018[[#This Row],[Pop2018]]*(1+SUMIFS(Growth[GrowthRate],Growth[Grouping_ID],GroupPop2018[[#This Row],[Group]]))</f>
        <v>0</v>
      </c>
    </row>
    <row r="210" spans="2:16" x14ac:dyDescent="0.2">
      <c r="B210" s="95" t="s">
        <v>460</v>
      </c>
      <c r="C210" s="95" t="s">
        <v>482</v>
      </c>
      <c r="D210" s="95" t="s">
        <v>482</v>
      </c>
      <c r="E210" s="95" t="s">
        <v>253</v>
      </c>
      <c r="F210" s="95" t="s">
        <v>482</v>
      </c>
      <c r="G210" s="95" t="s">
        <v>64</v>
      </c>
      <c r="H210" s="95" t="s">
        <v>259</v>
      </c>
      <c r="I210" s="132">
        <v>260</v>
      </c>
      <c r="J210" s="95">
        <v>3</v>
      </c>
      <c r="K210" s="95">
        <f t="shared" si="2"/>
        <v>0</v>
      </c>
      <c r="L210" s="95" t="str">
        <f>IFERROR(VLOOKUP(GroupPop2018[[#This Row],[Group]],Grouping[#All],2,0),"Unknown")</f>
        <v>3 - Other areas with curbside</v>
      </c>
      <c r="M210" s="95" t="str">
        <f>INDEX(Frequency[Collection_Frequency],MATCH(GroupPop2018[[#This Row],[FreqCode]],Frequency[Orig_Frequency_ID],0))</f>
        <v>Weekly</v>
      </c>
      <c r="N210" s="95" t="str">
        <f>IF(GroupPop2018[[#This Row],[Group]]=1,"Metro",IF(GroupPop2018[[#This Row],[Group]]=4,"Nowhere",IF(GroupPop2018[[#This Row],[Group]]=3,"Remote",IF(GroupPop2018[[#This Row],[County]]="Marion","Marion County","Transported to Metro"))))</f>
        <v>Remote</v>
      </c>
      <c r="O210" s="95"/>
      <c r="P210" s="100">
        <f>GroupPop2018[[#This Row],[Pop2018]]*(1+SUMIFS(Growth[GrowthRate],Growth[Grouping_ID],GroupPop2018[[#This Row],[Group]]))</f>
        <v>279.06223047509678</v>
      </c>
    </row>
    <row r="211" spans="2:16" x14ac:dyDescent="0.2">
      <c r="B211" s="95" t="s">
        <v>483</v>
      </c>
      <c r="C211" s="95" t="s">
        <v>484</v>
      </c>
      <c r="D211" s="95" t="s">
        <v>484</v>
      </c>
      <c r="E211" s="95" t="s">
        <v>253</v>
      </c>
      <c r="F211" s="95" t="s">
        <v>484</v>
      </c>
      <c r="G211" s="95" t="s">
        <v>53</v>
      </c>
      <c r="H211" s="95" t="s">
        <v>259</v>
      </c>
      <c r="I211" s="132">
        <v>1440</v>
      </c>
      <c r="J211" s="95">
        <v>2</v>
      </c>
      <c r="K211" s="95">
        <f t="shared" ref="K211:K274" si="3">COUNTIFS($B$1:$B$16,C211,$D$1:$D$16,E211)</f>
        <v>0</v>
      </c>
      <c r="L211" s="95" t="str">
        <f>IFERROR(VLOOKUP(GroupPop2018[[#This Row],[Group]],Grouping[#All],2,0),"Unknown")</f>
        <v>2 - Willamette Valley, etc.</v>
      </c>
      <c r="M211" s="95" t="str">
        <f>INDEX(Frequency[Collection_Frequency],MATCH(GroupPop2018[[#This Row],[FreqCode]],Frequency[Orig_Frequency_ID],0))</f>
        <v>Every other week</v>
      </c>
      <c r="N211" s="95" t="str">
        <f>IF(GroupPop2018[[#This Row],[Group]]=1,"Metro",IF(GroupPop2018[[#This Row],[Group]]=4,"Nowhere",IF(GroupPop2018[[#This Row],[Group]]=3,"Remote",IF(GroupPop2018[[#This Row],[County]]="Marion","Marion County","Transported to Metro"))))</f>
        <v>Transported to Metro</v>
      </c>
      <c r="O211" s="95"/>
      <c r="P211" s="100">
        <f>GroupPop2018[[#This Row],[Pop2018]]*(1+SUMIFS(Growth[GrowthRate],Growth[Grouping_ID],GroupPop2018[[#This Row],[Group]]))</f>
        <v>1533.778058971988</v>
      </c>
    </row>
    <row r="212" spans="2:16" x14ac:dyDescent="0.2">
      <c r="B212" s="95" t="s">
        <v>483</v>
      </c>
      <c r="C212" s="95" t="s">
        <v>485</v>
      </c>
      <c r="D212" s="95" t="s">
        <v>485</v>
      </c>
      <c r="E212" s="95" t="s">
        <v>253</v>
      </c>
      <c r="F212" s="95" t="s">
        <v>485</v>
      </c>
      <c r="G212" s="95" t="s">
        <v>53</v>
      </c>
      <c r="H212" s="95" t="s">
        <v>254</v>
      </c>
      <c r="I212" s="132">
        <v>8730</v>
      </c>
      <c r="J212" s="95">
        <v>2</v>
      </c>
      <c r="K212" s="95">
        <f t="shared" si="3"/>
        <v>0</v>
      </c>
      <c r="L212" s="95" t="str">
        <f>IFERROR(VLOOKUP(GroupPop2018[[#This Row],[Group]],Grouping[#All],2,0),"Unknown")</f>
        <v>2 - Willamette Valley, etc.</v>
      </c>
      <c r="M212" s="95" t="str">
        <f>INDEX(Frequency[Collection_Frequency],MATCH(GroupPop2018[[#This Row],[FreqCode]],Frequency[Orig_Frequency_ID],0))</f>
        <v>Every other week</v>
      </c>
      <c r="N212" s="95" t="str">
        <f>IF(GroupPop2018[[#This Row],[Group]]=1,"Metro",IF(GroupPop2018[[#This Row],[Group]]=4,"Nowhere",IF(GroupPop2018[[#This Row],[Group]]=3,"Remote",IF(GroupPop2018[[#This Row],[County]]="Marion","Marion County","Transported to Metro"))))</f>
        <v>Transported to Metro</v>
      </c>
      <c r="O212" s="95"/>
      <c r="P212" s="100">
        <f>GroupPop2018[[#This Row],[Pop2018]]*(1+SUMIFS(Growth[GrowthRate],Growth[Grouping_ID],GroupPop2018[[#This Row],[Group]]))</f>
        <v>9298.529482517677</v>
      </c>
    </row>
    <row r="213" spans="2:16" x14ac:dyDescent="0.2">
      <c r="B213" s="95" t="s">
        <v>483</v>
      </c>
      <c r="C213" s="95" t="s">
        <v>485</v>
      </c>
      <c r="D213" s="95" t="s">
        <v>485</v>
      </c>
      <c r="E213" s="95" t="s">
        <v>255</v>
      </c>
      <c r="F213" s="95" t="s">
        <v>486</v>
      </c>
      <c r="G213" s="95" t="s">
        <v>53</v>
      </c>
      <c r="H213" s="95" t="s">
        <v>254</v>
      </c>
      <c r="I213" s="132">
        <v>1303</v>
      </c>
      <c r="J213" s="95">
        <v>2</v>
      </c>
      <c r="K213" s="95">
        <f t="shared" si="3"/>
        <v>0</v>
      </c>
      <c r="L213" s="95" t="str">
        <f>IFERROR(VLOOKUP(GroupPop2018[[#This Row],[Group]],Grouping[#All],2,0),"Unknown")</f>
        <v>2 - Willamette Valley, etc.</v>
      </c>
      <c r="M213" s="95" t="str">
        <f>INDEX(Frequency[Collection_Frequency],MATCH(GroupPop2018[[#This Row],[FreqCode]],Frequency[Orig_Frequency_ID],0))</f>
        <v>Every other week</v>
      </c>
      <c r="N213" s="95" t="str">
        <f>IF(GroupPop2018[[#This Row],[Group]]=1,"Metro",IF(GroupPop2018[[#This Row],[Group]]=4,"Nowhere",IF(GroupPop2018[[#This Row],[Group]]=3,"Remote",IF(GroupPop2018[[#This Row],[County]]="Marion","Marion County","Transported to Metro"))))</f>
        <v>Transported to Metro</v>
      </c>
      <c r="O213" s="95"/>
      <c r="P213" s="100">
        <f>GroupPop2018[[#This Row],[Pop2018]]*(1+SUMIFS(Growth[GrowthRate],Growth[Grouping_ID],GroupPop2018[[#This Row],[Group]]))</f>
        <v>1387.8561186392362</v>
      </c>
    </row>
    <row r="214" spans="2:16" x14ac:dyDescent="0.2">
      <c r="B214" s="95" t="s">
        <v>483</v>
      </c>
      <c r="C214" s="95" t="s">
        <v>487</v>
      </c>
      <c r="D214" s="95" t="s">
        <v>488</v>
      </c>
      <c r="E214" s="95" t="s">
        <v>258</v>
      </c>
      <c r="F214" s="95" t="s">
        <v>487</v>
      </c>
      <c r="G214" s="95" t="s">
        <v>127</v>
      </c>
      <c r="H214" s="95" t="s">
        <v>259</v>
      </c>
      <c r="I214" s="132">
        <v>6437</v>
      </c>
      <c r="J214" s="95">
        <v>4</v>
      </c>
      <c r="K214" s="95">
        <f t="shared" si="3"/>
        <v>0</v>
      </c>
      <c r="L214" s="95" t="str">
        <f>IFERROR(VLOOKUP(GroupPop2018[[#This Row],[Group]],Grouping[#All],2,0),"Unknown")</f>
        <v>4 - Areas without curbside</v>
      </c>
      <c r="M214" s="95" t="str">
        <f>INDEX(Frequency[Collection_Frequency],MATCH(GroupPop2018[[#This Row],[FreqCode]],Frequency[Orig_Frequency_ID],0))</f>
        <v>No collection</v>
      </c>
      <c r="N214" s="95" t="str">
        <f>IF(GroupPop2018[[#This Row],[Group]]=1,"Metro",IF(GroupPop2018[[#This Row],[Group]]=4,"Nowhere",IF(GroupPop2018[[#This Row],[Group]]=3,"Remote",IF(GroupPop2018[[#This Row],[County]]="Marion","Marion County","Transported to Metro"))))</f>
        <v>Nowhere</v>
      </c>
      <c r="O214" s="95">
        <v>2</v>
      </c>
      <c r="P214" s="100">
        <f>GroupPop2018[[#This Row],[Pop2018]]*(1+SUMIFS(Growth[GrowthRate],Growth[Grouping_ID],GroupPop2018[[#This Row],[Group]]))</f>
        <v>6908.9368368007617</v>
      </c>
    </row>
    <row r="215" spans="2:16" x14ac:dyDescent="0.2">
      <c r="B215" s="95" t="s">
        <v>483</v>
      </c>
      <c r="C215" s="95" t="s">
        <v>489</v>
      </c>
      <c r="D215" s="95" t="s">
        <v>488</v>
      </c>
      <c r="E215" s="95" t="s">
        <v>258</v>
      </c>
      <c r="F215" s="95" t="s">
        <v>489</v>
      </c>
      <c r="G215" s="95" t="s">
        <v>53</v>
      </c>
      <c r="H215" s="95" t="s">
        <v>259</v>
      </c>
      <c r="I215" s="132">
        <v>12000</v>
      </c>
      <c r="J215" s="95">
        <v>2</v>
      </c>
      <c r="K215" s="95">
        <f t="shared" si="3"/>
        <v>0</v>
      </c>
      <c r="L215" s="95" t="str">
        <f>IFERROR(VLOOKUP(GroupPop2018[[#This Row],[Group]],Grouping[#All],2,0),"Unknown")</f>
        <v>2 - Willamette Valley, etc.</v>
      </c>
      <c r="M215" s="95" t="str">
        <f>INDEX(Frequency[Collection_Frequency],MATCH(GroupPop2018[[#This Row],[FreqCode]],Frequency[Orig_Frequency_ID],0))</f>
        <v>Every other week</v>
      </c>
      <c r="N215" s="95" t="str">
        <f>IF(GroupPop2018[[#This Row],[Group]]=1,"Metro",IF(GroupPop2018[[#This Row],[Group]]=4,"Nowhere",IF(GroupPop2018[[#This Row],[Group]]=3,"Remote",IF(GroupPop2018[[#This Row],[County]]="Marion","Marion County","Transported to Metro"))))</f>
        <v>Transported to Metro</v>
      </c>
      <c r="O215" s="95">
        <v>1</v>
      </c>
      <c r="P215" s="100">
        <f>GroupPop2018[[#This Row],[Pop2018]]*(1+SUMIFS(Growth[GrowthRate],Growth[Grouping_ID],GroupPop2018[[#This Row],[Group]]))</f>
        <v>12781.483824766567</v>
      </c>
    </row>
    <row r="216" spans="2:16" x14ac:dyDescent="0.2">
      <c r="B216" s="95" t="s">
        <v>483</v>
      </c>
      <c r="C216" s="95" t="s">
        <v>490</v>
      </c>
      <c r="D216" s="95" t="s">
        <v>490</v>
      </c>
      <c r="E216" s="95" t="s">
        <v>253</v>
      </c>
      <c r="F216" s="95" t="s">
        <v>490</v>
      </c>
      <c r="G216" s="95" t="s">
        <v>53</v>
      </c>
      <c r="H216" s="95" t="s">
        <v>254</v>
      </c>
      <c r="I216" s="132">
        <v>10125</v>
      </c>
      <c r="J216" s="95">
        <v>2</v>
      </c>
      <c r="K216" s="95">
        <f t="shared" si="3"/>
        <v>0</v>
      </c>
      <c r="L216" s="95" t="str">
        <f>IFERROR(VLOOKUP(GroupPop2018[[#This Row],[Group]],Grouping[#All],2,0),"Unknown")</f>
        <v>2 - Willamette Valley, etc.</v>
      </c>
      <c r="M216" s="95" t="str">
        <f>INDEX(Frequency[Collection_Frequency],MATCH(GroupPop2018[[#This Row],[FreqCode]],Frequency[Orig_Frequency_ID],0))</f>
        <v>Every other week</v>
      </c>
      <c r="N216" s="95" t="str">
        <f>IF(GroupPop2018[[#This Row],[Group]]=1,"Metro",IF(GroupPop2018[[#This Row],[Group]]=4,"Nowhere",IF(GroupPop2018[[#This Row],[Group]]=3,"Remote",IF(GroupPop2018[[#This Row],[County]]="Marion","Marion County","Transported to Metro"))))</f>
        <v>Transported to Metro</v>
      </c>
      <c r="O216" s="95"/>
      <c r="P216" s="100">
        <f>GroupPop2018[[#This Row],[Pop2018]]*(1+SUMIFS(Growth[GrowthRate],Growth[Grouping_ID],GroupPop2018[[#This Row],[Group]]))</f>
        <v>10784.376977146791</v>
      </c>
    </row>
    <row r="217" spans="2:16" x14ac:dyDescent="0.2">
      <c r="B217" s="95" t="s">
        <v>483</v>
      </c>
      <c r="C217" s="95" t="s">
        <v>490</v>
      </c>
      <c r="D217" s="95" t="s">
        <v>490</v>
      </c>
      <c r="E217" s="95" t="s">
        <v>255</v>
      </c>
      <c r="F217" s="95" t="s">
        <v>491</v>
      </c>
      <c r="G217" s="95" t="s">
        <v>53</v>
      </c>
      <c r="H217" s="95" t="s">
        <v>254</v>
      </c>
      <c r="I217" s="132">
        <v>600</v>
      </c>
      <c r="J217" s="95">
        <v>2</v>
      </c>
      <c r="K217" s="95">
        <f t="shared" si="3"/>
        <v>0</v>
      </c>
      <c r="L217" s="95" t="str">
        <f>IFERROR(VLOOKUP(GroupPop2018[[#This Row],[Group]],Grouping[#All],2,0),"Unknown")</f>
        <v>2 - Willamette Valley, etc.</v>
      </c>
      <c r="M217" s="95" t="str">
        <f>INDEX(Frequency[Collection_Frequency],MATCH(GroupPop2018[[#This Row],[FreqCode]],Frequency[Orig_Frequency_ID],0))</f>
        <v>Every other week</v>
      </c>
      <c r="N217" s="95" t="str">
        <f>IF(GroupPop2018[[#This Row],[Group]]=1,"Metro",IF(GroupPop2018[[#This Row],[Group]]=4,"Nowhere",IF(GroupPop2018[[#This Row],[Group]]=3,"Remote",IF(GroupPop2018[[#This Row],[County]]="Marion","Marion County","Transported to Metro"))))</f>
        <v>Transported to Metro</v>
      </c>
      <c r="O217" s="95"/>
      <c r="P217" s="100">
        <f>GroupPop2018[[#This Row],[Pop2018]]*(1+SUMIFS(Growth[GrowthRate],Growth[Grouping_ID],GroupPop2018[[#This Row],[Group]]))</f>
        <v>639.07419123832824</v>
      </c>
    </row>
    <row r="218" spans="2:16" x14ac:dyDescent="0.2">
      <c r="B218" s="95" t="s">
        <v>483</v>
      </c>
      <c r="C218" s="95" t="s">
        <v>492</v>
      </c>
      <c r="D218" s="95" t="s">
        <v>492</v>
      </c>
      <c r="E218" s="95" t="s">
        <v>253</v>
      </c>
      <c r="F218" s="95" t="s">
        <v>492</v>
      </c>
      <c r="G218" s="95" t="s">
        <v>64</v>
      </c>
      <c r="H218" s="95" t="s">
        <v>259</v>
      </c>
      <c r="I218" s="132">
        <v>1235</v>
      </c>
      <c r="J218" s="95">
        <v>2</v>
      </c>
      <c r="K218" s="95">
        <f t="shared" si="3"/>
        <v>0</v>
      </c>
      <c r="L218" s="95" t="str">
        <f>IFERROR(VLOOKUP(GroupPop2018[[#This Row],[Group]],Grouping[#All],2,0),"Unknown")</f>
        <v>2 - Willamette Valley, etc.</v>
      </c>
      <c r="M218" s="95" t="str">
        <f>INDEX(Frequency[Collection_Frequency],MATCH(GroupPop2018[[#This Row],[FreqCode]],Frequency[Orig_Frequency_ID],0))</f>
        <v>Weekly</v>
      </c>
      <c r="N218" s="95" t="str">
        <f>IF(GroupPop2018[[#This Row],[Group]]=1,"Metro",IF(GroupPop2018[[#This Row],[Group]]=4,"Nowhere",IF(GroupPop2018[[#This Row],[Group]]=3,"Remote",IF(GroupPop2018[[#This Row],[County]]="Marion","Marion County","Transported to Metro"))))</f>
        <v>Transported to Metro</v>
      </c>
      <c r="O218" s="95"/>
      <c r="P218" s="100">
        <f>GroupPop2018[[#This Row],[Pop2018]]*(1+SUMIFS(Growth[GrowthRate],Growth[Grouping_ID],GroupPop2018[[#This Row],[Group]]))</f>
        <v>1315.4277102988924</v>
      </c>
    </row>
    <row r="219" spans="2:16" x14ac:dyDescent="0.2">
      <c r="B219" s="95" t="s">
        <v>483</v>
      </c>
      <c r="C219" s="95" t="s">
        <v>493</v>
      </c>
      <c r="D219" s="95" t="s">
        <v>493</v>
      </c>
      <c r="E219" s="95" t="s">
        <v>253</v>
      </c>
      <c r="F219" s="95" t="s">
        <v>493</v>
      </c>
      <c r="G219" s="95" t="s">
        <v>64</v>
      </c>
      <c r="H219" s="95" t="s">
        <v>259</v>
      </c>
      <c r="I219" s="132">
        <v>3490</v>
      </c>
      <c r="J219" s="95">
        <v>2</v>
      </c>
      <c r="K219" s="95">
        <f t="shared" si="3"/>
        <v>0</v>
      </c>
      <c r="L219" s="95" t="str">
        <f>IFERROR(VLOOKUP(GroupPop2018[[#This Row],[Group]],Grouping[#All],2,0),"Unknown")</f>
        <v>2 - Willamette Valley, etc.</v>
      </c>
      <c r="M219" s="95" t="str">
        <f>INDEX(Frequency[Collection_Frequency],MATCH(GroupPop2018[[#This Row],[FreqCode]],Frequency[Orig_Frequency_ID],0))</f>
        <v>Weekly</v>
      </c>
      <c r="N219" s="95" t="str">
        <f>IF(GroupPop2018[[#This Row],[Group]]=1,"Metro",IF(GroupPop2018[[#This Row],[Group]]=4,"Nowhere",IF(GroupPop2018[[#This Row],[Group]]=3,"Remote",IF(GroupPop2018[[#This Row],[County]]="Marion","Marion County","Transported to Metro"))))</f>
        <v>Transported to Metro</v>
      </c>
      <c r="O219" s="95"/>
      <c r="P219" s="100">
        <f>GroupPop2018[[#This Row],[Pop2018]]*(1+SUMIFS(Growth[GrowthRate],Growth[Grouping_ID],GroupPop2018[[#This Row],[Group]]))</f>
        <v>3717.2815457029428</v>
      </c>
    </row>
    <row r="220" spans="2:16" x14ac:dyDescent="0.2">
      <c r="B220" s="95" t="s">
        <v>483</v>
      </c>
      <c r="C220" s="95" t="s">
        <v>494</v>
      </c>
      <c r="D220" s="95" t="s">
        <v>494</v>
      </c>
      <c r="E220" s="95" t="s">
        <v>253</v>
      </c>
      <c r="F220" s="95" t="s">
        <v>494</v>
      </c>
      <c r="G220" s="95" t="s">
        <v>64</v>
      </c>
      <c r="H220" s="95" t="s">
        <v>259</v>
      </c>
      <c r="I220" s="132">
        <v>2105</v>
      </c>
      <c r="J220" s="95">
        <v>2</v>
      </c>
      <c r="K220" s="95">
        <f t="shared" si="3"/>
        <v>0</v>
      </c>
      <c r="L220" s="95" t="str">
        <f>IFERROR(VLOOKUP(GroupPop2018[[#This Row],[Group]],Grouping[#All],2,0),"Unknown")</f>
        <v>2 - Willamette Valley, etc.</v>
      </c>
      <c r="M220" s="95" t="str">
        <f>INDEX(Frequency[Collection_Frequency],MATCH(GroupPop2018[[#This Row],[FreqCode]],Frequency[Orig_Frequency_ID],0))</f>
        <v>Weekly</v>
      </c>
      <c r="N220" s="95" t="str">
        <f>IF(GroupPop2018[[#This Row],[Group]]=1,"Metro",IF(GroupPop2018[[#This Row],[Group]]=4,"Nowhere",IF(GroupPop2018[[#This Row],[Group]]=3,"Remote",IF(GroupPop2018[[#This Row],[County]]="Marion","Marion County","Transported to Metro"))))</f>
        <v>Transported to Metro</v>
      </c>
      <c r="O220" s="95"/>
      <c r="P220" s="100">
        <f>GroupPop2018[[#This Row],[Pop2018]]*(1+SUMIFS(Growth[GrowthRate],Growth[Grouping_ID],GroupPop2018[[#This Row],[Group]]))</f>
        <v>2242.0852875944684</v>
      </c>
    </row>
    <row r="221" spans="2:16" x14ac:dyDescent="0.2">
      <c r="B221" s="95" t="s">
        <v>483</v>
      </c>
      <c r="C221" s="95" t="s">
        <v>495</v>
      </c>
      <c r="D221" s="95" t="s">
        <v>495</v>
      </c>
      <c r="E221" s="95" t="s">
        <v>253</v>
      </c>
      <c r="F221" s="95" t="s">
        <v>495</v>
      </c>
      <c r="G221" s="95" t="s">
        <v>64</v>
      </c>
      <c r="H221" s="95" t="s">
        <v>259</v>
      </c>
      <c r="I221" s="132">
        <v>745</v>
      </c>
      <c r="J221" s="95">
        <v>2</v>
      </c>
      <c r="K221" s="95">
        <f t="shared" si="3"/>
        <v>0</v>
      </c>
      <c r="L221" s="95" t="str">
        <f>IFERROR(VLOOKUP(GroupPop2018[[#This Row],[Group]],Grouping[#All],2,0),"Unknown")</f>
        <v>2 - Willamette Valley, etc.</v>
      </c>
      <c r="M221" s="95" t="str">
        <f>INDEX(Frequency[Collection_Frequency],MATCH(GroupPop2018[[#This Row],[FreqCode]],Frequency[Orig_Frequency_ID],0))</f>
        <v>Weekly</v>
      </c>
      <c r="N221" s="95" t="str">
        <f>IF(GroupPop2018[[#This Row],[Group]]=1,"Metro",IF(GroupPop2018[[#This Row],[Group]]=4,"Nowhere",IF(GroupPop2018[[#This Row],[Group]]=3,"Remote",IF(GroupPop2018[[#This Row],[County]]="Marion","Marion County","Transported to Metro"))))</f>
        <v>Transported to Metro</v>
      </c>
      <c r="O221" s="95"/>
      <c r="P221" s="100">
        <f>GroupPop2018[[#This Row],[Pop2018]]*(1+SUMIFS(Growth[GrowthRate],Growth[Grouping_ID],GroupPop2018[[#This Row],[Group]]))</f>
        <v>793.51712078759101</v>
      </c>
    </row>
    <row r="222" spans="2:16" x14ac:dyDescent="0.2">
      <c r="B222" s="95" t="s">
        <v>496</v>
      </c>
      <c r="C222" s="95" t="s">
        <v>269</v>
      </c>
      <c r="D222" s="95" t="s">
        <v>269</v>
      </c>
      <c r="E222" s="95" t="s">
        <v>253</v>
      </c>
      <c r="F222" s="95" t="s">
        <v>269</v>
      </c>
      <c r="G222" s="95" t="s">
        <v>64</v>
      </c>
      <c r="H222" s="95" t="s">
        <v>254</v>
      </c>
      <c r="I222" s="132">
        <v>45200</v>
      </c>
      <c r="J222" s="95">
        <v>2</v>
      </c>
      <c r="K222" s="95">
        <f t="shared" si="3"/>
        <v>0</v>
      </c>
      <c r="L222" s="95" t="str">
        <f>IFERROR(VLOOKUP(GroupPop2018[[#This Row],[Group]],Grouping[#All],2,0),"Unknown")</f>
        <v>2 - Willamette Valley, etc.</v>
      </c>
      <c r="M222" s="95" t="str">
        <f>INDEX(Frequency[Collection_Frequency],MATCH(GroupPop2018[[#This Row],[FreqCode]],Frequency[Orig_Frequency_ID],0))</f>
        <v>Weekly</v>
      </c>
      <c r="N222" s="95" t="str">
        <f>IF(GroupPop2018[[#This Row],[Group]]=1,"Metro",IF(GroupPop2018[[#This Row],[Group]]=4,"Nowhere",IF(GroupPop2018[[#This Row],[Group]]=3,"Remote",IF(GroupPop2018[[#This Row],[County]]="Marion","Marion County","Transported to Metro"))))</f>
        <v>Transported to Metro</v>
      </c>
      <c r="O222" s="95"/>
      <c r="P222" s="100">
        <f>GroupPop2018[[#This Row],[Pop2018]]*(1+SUMIFS(Growth[GrowthRate],Growth[Grouping_ID],GroupPop2018[[#This Row],[Group]]))</f>
        <v>48143.589073287396</v>
      </c>
    </row>
    <row r="223" spans="2:16" x14ac:dyDescent="0.2">
      <c r="B223" s="95" t="s">
        <v>496</v>
      </c>
      <c r="C223" s="95" t="s">
        <v>269</v>
      </c>
      <c r="D223" s="95" t="s">
        <v>269</v>
      </c>
      <c r="E223" s="95" t="s">
        <v>255</v>
      </c>
      <c r="F223" s="95" t="s">
        <v>497</v>
      </c>
      <c r="G223" s="95" t="s">
        <v>64</v>
      </c>
      <c r="H223" s="95" t="s">
        <v>254</v>
      </c>
      <c r="I223" s="132">
        <v>1025</v>
      </c>
      <c r="J223" s="95">
        <v>2</v>
      </c>
      <c r="K223" s="95">
        <f t="shared" si="3"/>
        <v>0</v>
      </c>
      <c r="L223" s="95" t="str">
        <f>IFERROR(VLOOKUP(GroupPop2018[[#This Row],[Group]],Grouping[#All],2,0),"Unknown")</f>
        <v>2 - Willamette Valley, etc.</v>
      </c>
      <c r="M223" s="95" t="str">
        <f>INDEX(Frequency[Collection_Frequency],MATCH(GroupPop2018[[#This Row],[FreqCode]],Frequency[Orig_Frequency_ID],0))</f>
        <v>Weekly</v>
      </c>
      <c r="N223" s="95" t="str">
        <f>IF(GroupPop2018[[#This Row],[Group]]=1,"Metro",IF(GroupPop2018[[#This Row],[Group]]=4,"Nowhere",IF(GroupPop2018[[#This Row],[Group]]=3,"Remote",IF(GroupPop2018[[#This Row],[County]]="Marion","Marion County","Transported to Metro"))))</f>
        <v>Transported to Metro</v>
      </c>
      <c r="O223" s="95"/>
      <c r="P223" s="100">
        <f>GroupPop2018[[#This Row],[Pop2018]]*(1+SUMIFS(Growth[GrowthRate],Growth[Grouping_ID],GroupPop2018[[#This Row],[Group]]))</f>
        <v>1091.7517433654775</v>
      </c>
    </row>
    <row r="224" spans="2:16" x14ac:dyDescent="0.2">
      <c r="B224" s="95" t="s">
        <v>496</v>
      </c>
      <c r="C224" s="95" t="s">
        <v>498</v>
      </c>
      <c r="D224" s="95" t="s">
        <v>498</v>
      </c>
      <c r="E224" s="95" t="s">
        <v>253</v>
      </c>
      <c r="F224" s="95" t="s">
        <v>498</v>
      </c>
      <c r="G224" s="95" t="s">
        <v>53</v>
      </c>
      <c r="H224" s="95" t="s">
        <v>259</v>
      </c>
      <c r="I224" s="132">
        <v>1705</v>
      </c>
      <c r="J224" s="95">
        <v>3</v>
      </c>
      <c r="K224" s="95">
        <f t="shared" si="3"/>
        <v>0</v>
      </c>
      <c r="L224" s="95" t="str">
        <f>IFERROR(VLOOKUP(GroupPop2018[[#This Row],[Group]],Grouping[#All],2,0),"Unknown")</f>
        <v>3 - Other areas with curbside</v>
      </c>
      <c r="M224" s="95" t="str">
        <f>INDEX(Frequency[Collection_Frequency],MATCH(GroupPop2018[[#This Row],[FreqCode]],Frequency[Orig_Frequency_ID],0))</f>
        <v>Every other week</v>
      </c>
      <c r="N224" s="95" t="str">
        <f>IF(GroupPop2018[[#This Row],[Group]]=1,"Metro",IF(GroupPop2018[[#This Row],[Group]]=4,"Nowhere",IF(GroupPop2018[[#This Row],[Group]]=3,"Remote",IF(GroupPop2018[[#This Row],[County]]="Marion","Marion County","Transported to Metro"))))</f>
        <v>Remote</v>
      </c>
      <c r="O224" s="95"/>
      <c r="P224" s="100">
        <f>GroupPop2018[[#This Row],[Pop2018]]*(1+SUMIFS(Growth[GrowthRate],Growth[Grouping_ID],GroupPop2018[[#This Row],[Group]]))</f>
        <v>1830.0042421540002</v>
      </c>
    </row>
    <row r="225" spans="2:16" x14ac:dyDescent="0.2">
      <c r="B225" s="95" t="s">
        <v>496</v>
      </c>
      <c r="C225" s="95" t="s">
        <v>499</v>
      </c>
      <c r="D225" s="95" t="s">
        <v>499</v>
      </c>
      <c r="E225" s="95" t="s">
        <v>253</v>
      </c>
      <c r="F225" s="95" t="s">
        <v>499</v>
      </c>
      <c r="G225" s="95" t="s">
        <v>53</v>
      </c>
      <c r="H225" s="95" t="s">
        <v>259</v>
      </c>
      <c r="I225" s="132">
        <v>45</v>
      </c>
      <c r="J225" s="95">
        <v>3</v>
      </c>
      <c r="K225" s="95">
        <f t="shared" si="3"/>
        <v>0</v>
      </c>
      <c r="L225" s="95" t="str">
        <f>IFERROR(VLOOKUP(GroupPop2018[[#This Row],[Group]],Grouping[#All],2,0),"Unknown")</f>
        <v>3 - Other areas with curbside</v>
      </c>
      <c r="M225" s="95" t="str">
        <f>INDEX(Frequency[Collection_Frequency],MATCH(GroupPop2018[[#This Row],[FreqCode]],Frequency[Orig_Frequency_ID],0))</f>
        <v>Every other week</v>
      </c>
      <c r="N225" s="95" t="str">
        <f>IF(GroupPop2018[[#This Row],[Group]]=1,"Metro",IF(GroupPop2018[[#This Row],[Group]]=4,"Nowhere",IF(GroupPop2018[[#This Row],[Group]]=3,"Remote",IF(GroupPop2018[[#This Row],[County]]="Marion","Marion County","Transported to Metro"))))</f>
        <v>Remote</v>
      </c>
      <c r="O225" s="95"/>
      <c r="P225" s="100">
        <f>GroupPop2018[[#This Row],[Pop2018]]*(1+SUMIFS(Growth[GrowthRate],Growth[Grouping_ID],GroupPop2018[[#This Row],[Group]]))</f>
        <v>48.299232197612909</v>
      </c>
    </row>
    <row r="226" spans="2:16" x14ac:dyDescent="0.2">
      <c r="B226" s="95" t="s">
        <v>496</v>
      </c>
      <c r="C226" s="95" t="s">
        <v>500</v>
      </c>
      <c r="D226" s="95" t="s">
        <v>500</v>
      </c>
      <c r="E226" s="95" t="s">
        <v>253</v>
      </c>
      <c r="F226" s="95" t="s">
        <v>500</v>
      </c>
      <c r="G226" s="95" t="s">
        <v>53</v>
      </c>
      <c r="H226" s="95" t="s">
        <v>259</v>
      </c>
      <c r="I226" s="132">
        <v>935</v>
      </c>
      <c r="J226" s="95">
        <v>3</v>
      </c>
      <c r="K226" s="95">
        <f t="shared" si="3"/>
        <v>0</v>
      </c>
      <c r="L226" s="95" t="str">
        <f>IFERROR(VLOOKUP(GroupPop2018[[#This Row],[Group]],Grouping[#All],2,0),"Unknown")</f>
        <v>3 - Other areas with curbside</v>
      </c>
      <c r="M226" s="95" t="str">
        <f>INDEX(Frequency[Collection_Frequency],MATCH(GroupPop2018[[#This Row],[FreqCode]],Frequency[Orig_Frequency_ID],0))</f>
        <v>Every other week</v>
      </c>
      <c r="N226" s="95" t="str">
        <f>IF(GroupPop2018[[#This Row],[Group]]=1,"Metro",IF(GroupPop2018[[#This Row],[Group]]=4,"Nowhere",IF(GroupPop2018[[#This Row],[Group]]=3,"Remote",IF(GroupPop2018[[#This Row],[County]]="Marion","Marion County","Transported to Metro"))))</f>
        <v>Remote</v>
      </c>
      <c r="O226" s="95"/>
      <c r="P226" s="100">
        <f>GroupPop2018[[#This Row],[Pop2018]]*(1+SUMIFS(Growth[GrowthRate],Growth[Grouping_ID],GroupPop2018[[#This Row],[Group]]))</f>
        <v>1003.5507134392903</v>
      </c>
    </row>
    <row r="227" spans="2:16" x14ac:dyDescent="0.2">
      <c r="B227" s="95" t="s">
        <v>496</v>
      </c>
      <c r="C227" s="95" t="s">
        <v>501</v>
      </c>
      <c r="D227" s="95" t="s">
        <v>501</v>
      </c>
      <c r="E227" s="95" t="s">
        <v>253</v>
      </c>
      <c r="F227" s="95" t="s">
        <v>501</v>
      </c>
      <c r="G227" s="95" t="s">
        <v>64</v>
      </c>
      <c r="H227" s="95" t="s">
        <v>259</v>
      </c>
      <c r="I227" s="132">
        <v>3660</v>
      </c>
      <c r="J227" s="95">
        <v>3</v>
      </c>
      <c r="K227" s="95">
        <f t="shared" si="3"/>
        <v>0</v>
      </c>
      <c r="L227" s="95" t="str">
        <f>IFERROR(VLOOKUP(GroupPop2018[[#This Row],[Group]],Grouping[#All],2,0),"Unknown")</f>
        <v>3 - Other areas with curbside</v>
      </c>
      <c r="M227" s="95" t="str">
        <f>INDEX(Frequency[Collection_Frequency],MATCH(GroupPop2018[[#This Row],[FreqCode]],Frequency[Orig_Frequency_ID],0))</f>
        <v>Weekly</v>
      </c>
      <c r="N227" s="95" t="str">
        <f>IF(GroupPop2018[[#This Row],[Group]]=1,"Metro",IF(GroupPop2018[[#This Row],[Group]]=4,"Nowhere",IF(GroupPop2018[[#This Row],[Group]]=3,"Remote",IF(GroupPop2018[[#This Row],[County]]="Marion","Marion County","Transported to Metro"))))</f>
        <v>Remote</v>
      </c>
      <c r="O227" s="95"/>
      <c r="P227" s="100">
        <f>GroupPop2018[[#This Row],[Pop2018]]*(1+SUMIFS(Growth[GrowthRate],Growth[Grouping_ID],GroupPop2018[[#This Row],[Group]]))</f>
        <v>3928.3375520725162</v>
      </c>
    </row>
    <row r="228" spans="2:16" x14ac:dyDescent="0.2">
      <c r="B228" s="95" t="s">
        <v>496</v>
      </c>
      <c r="C228" s="95" t="s">
        <v>502</v>
      </c>
      <c r="D228" s="95" t="s">
        <v>502</v>
      </c>
      <c r="E228" s="95" t="s">
        <v>253</v>
      </c>
      <c r="F228" s="95" t="s">
        <v>502</v>
      </c>
      <c r="G228" s="95" t="s">
        <v>53</v>
      </c>
      <c r="H228" s="95" t="s">
        <v>259</v>
      </c>
      <c r="I228" s="132">
        <v>62</v>
      </c>
      <c r="J228" s="95">
        <v>3</v>
      </c>
      <c r="K228" s="95">
        <f t="shared" si="3"/>
        <v>0</v>
      </c>
      <c r="L228" s="95" t="str">
        <f>IFERROR(VLOOKUP(GroupPop2018[[#This Row],[Group]],Grouping[#All],2,0),"Unknown")</f>
        <v>3 - Other areas with curbside</v>
      </c>
      <c r="M228" s="95" t="str">
        <f>INDEX(Frequency[Collection_Frequency],MATCH(GroupPop2018[[#This Row],[FreqCode]],Frequency[Orig_Frequency_ID],0))</f>
        <v>Every other week</v>
      </c>
      <c r="N228" s="95" t="str">
        <f>IF(GroupPop2018[[#This Row],[Group]]=1,"Metro",IF(GroupPop2018[[#This Row],[Group]]=4,"Nowhere",IF(GroupPop2018[[#This Row],[Group]]=3,"Remote",IF(GroupPop2018[[#This Row],[County]]="Marion","Marion County","Transported to Metro"))))</f>
        <v>Remote</v>
      </c>
      <c r="O228" s="95"/>
      <c r="P228" s="100">
        <f>GroupPop2018[[#This Row],[Pop2018]]*(1+SUMIFS(Growth[GrowthRate],Growth[Grouping_ID],GroupPop2018[[#This Row],[Group]]))</f>
        <v>66.545608805600011</v>
      </c>
    </row>
    <row r="229" spans="2:16" x14ac:dyDescent="0.2">
      <c r="B229" s="95" t="s">
        <v>496</v>
      </c>
      <c r="C229" s="95" t="s">
        <v>503</v>
      </c>
      <c r="D229" s="95" t="s">
        <v>503</v>
      </c>
      <c r="E229" s="95" t="s">
        <v>253</v>
      </c>
      <c r="F229" s="95" t="s">
        <v>503</v>
      </c>
      <c r="G229" s="95" t="s">
        <v>64</v>
      </c>
      <c r="H229" s="95" t="s">
        <v>254</v>
      </c>
      <c r="I229" s="132">
        <v>16920</v>
      </c>
      <c r="J229" s="95">
        <v>2</v>
      </c>
      <c r="K229" s="95">
        <f t="shared" si="3"/>
        <v>0</v>
      </c>
      <c r="L229" s="95" t="str">
        <f>IFERROR(VLOOKUP(GroupPop2018[[#This Row],[Group]],Grouping[#All],2,0),"Unknown")</f>
        <v>2 - Willamette Valley, etc.</v>
      </c>
      <c r="M229" s="95" t="str">
        <f>INDEX(Frequency[Collection_Frequency],MATCH(GroupPop2018[[#This Row],[FreqCode]],Frequency[Orig_Frequency_ID],0))</f>
        <v>Weekly</v>
      </c>
      <c r="N229" s="95" t="str">
        <f>IF(GroupPop2018[[#This Row],[Group]]=1,"Metro",IF(GroupPop2018[[#This Row],[Group]]=4,"Nowhere",IF(GroupPop2018[[#This Row],[Group]]=3,"Remote",IF(GroupPop2018[[#This Row],[County]]="Marion","Marion County","Transported to Metro"))))</f>
        <v>Transported to Metro</v>
      </c>
      <c r="O229" s="95"/>
      <c r="P229" s="100">
        <f>GroupPop2018[[#This Row],[Pop2018]]*(1+SUMIFS(Growth[GrowthRate],Growth[Grouping_ID],GroupPop2018[[#This Row],[Group]]))</f>
        <v>18021.892192920859</v>
      </c>
    </row>
    <row r="230" spans="2:16" x14ac:dyDescent="0.2">
      <c r="B230" s="95" t="s">
        <v>496</v>
      </c>
      <c r="C230" s="95" t="s">
        <v>503</v>
      </c>
      <c r="D230" s="95" t="s">
        <v>503</v>
      </c>
      <c r="E230" s="95" t="s">
        <v>255</v>
      </c>
      <c r="F230" s="95" t="s">
        <v>504</v>
      </c>
      <c r="G230" s="95" t="s">
        <v>64</v>
      </c>
      <c r="H230" s="95" t="s">
        <v>254</v>
      </c>
      <c r="I230" s="132">
        <v>2500</v>
      </c>
      <c r="J230" s="95">
        <v>2</v>
      </c>
      <c r="K230" s="95">
        <f t="shared" si="3"/>
        <v>0</v>
      </c>
      <c r="L230" s="95" t="str">
        <f>IFERROR(VLOOKUP(GroupPop2018[[#This Row],[Group]],Grouping[#All],2,0),"Unknown")</f>
        <v>2 - Willamette Valley, etc.</v>
      </c>
      <c r="M230" s="95" t="str">
        <f>INDEX(Frequency[Collection_Frequency],MATCH(GroupPop2018[[#This Row],[FreqCode]],Frequency[Orig_Frequency_ID],0))</f>
        <v>Weekly</v>
      </c>
      <c r="N230" s="95" t="str">
        <f>IF(GroupPop2018[[#This Row],[Group]]=1,"Metro",IF(GroupPop2018[[#This Row],[Group]]=4,"Nowhere",IF(GroupPop2018[[#This Row],[Group]]=3,"Remote",IF(GroupPop2018[[#This Row],[County]]="Marion","Marion County","Transported to Metro"))))</f>
        <v>Transported to Metro</v>
      </c>
      <c r="O230" s="95"/>
      <c r="P230" s="100">
        <f>GroupPop2018[[#This Row],[Pop2018]]*(1+SUMIFS(Growth[GrowthRate],Growth[Grouping_ID],GroupPop2018[[#This Row],[Group]]))</f>
        <v>2662.809130159701</v>
      </c>
    </row>
    <row r="231" spans="2:16" x14ac:dyDescent="0.2">
      <c r="B231" s="95" t="s">
        <v>496</v>
      </c>
      <c r="C231" s="95" t="s">
        <v>505</v>
      </c>
      <c r="D231" s="95" t="s">
        <v>506</v>
      </c>
      <c r="E231" s="95" t="s">
        <v>258</v>
      </c>
      <c r="F231" s="95" t="s">
        <v>505</v>
      </c>
      <c r="G231" s="95" t="s">
        <v>127</v>
      </c>
      <c r="H231" s="95" t="s">
        <v>259</v>
      </c>
      <c r="I231" s="132">
        <v>25478</v>
      </c>
      <c r="J231" s="95">
        <v>4</v>
      </c>
      <c r="K231" s="95">
        <f t="shared" si="3"/>
        <v>0</v>
      </c>
      <c r="L231" s="95" t="str">
        <f>IFERROR(VLOOKUP(GroupPop2018[[#This Row],[Group]],Grouping[#All],2,0),"Unknown")</f>
        <v>4 - Areas without curbside</v>
      </c>
      <c r="M231" s="95" t="str">
        <f>INDEX(Frequency[Collection_Frequency],MATCH(GroupPop2018[[#This Row],[FreqCode]],Frequency[Orig_Frequency_ID],0))</f>
        <v>No collection</v>
      </c>
      <c r="N231" s="95" t="str">
        <f>IF(GroupPop2018[[#This Row],[Group]]=1,"Metro",IF(GroupPop2018[[#This Row],[Group]]=4,"Nowhere",IF(GroupPop2018[[#This Row],[Group]]=3,"Remote",IF(GroupPop2018[[#This Row],[County]]="Marion","Marion County","Transported to Metro"))))</f>
        <v>Nowhere</v>
      </c>
      <c r="O231" s="95">
        <v>2</v>
      </c>
      <c r="P231" s="100">
        <f>GroupPop2018[[#This Row],[Pop2018]]*(1+SUMIFS(Growth[GrowthRate],Growth[Grouping_ID],GroupPop2018[[#This Row],[Group]]))</f>
        <v>27345.951954017371</v>
      </c>
    </row>
    <row r="232" spans="2:16" x14ac:dyDescent="0.2">
      <c r="B232" s="95" t="s">
        <v>496</v>
      </c>
      <c r="C232" s="95" t="s">
        <v>507</v>
      </c>
      <c r="D232" s="95" t="s">
        <v>506</v>
      </c>
      <c r="E232" s="95" t="s">
        <v>258</v>
      </c>
      <c r="F232" s="95" t="s">
        <v>507</v>
      </c>
      <c r="G232" s="95" t="s">
        <v>53</v>
      </c>
      <c r="H232" s="95" t="s">
        <v>259</v>
      </c>
      <c r="I232" s="132">
        <v>10000</v>
      </c>
      <c r="J232" s="95">
        <v>2</v>
      </c>
      <c r="K232" s="95">
        <f t="shared" si="3"/>
        <v>0</v>
      </c>
      <c r="L232" s="95" t="str">
        <f>IFERROR(VLOOKUP(GroupPop2018[[#This Row],[Group]],Grouping[#All],2,0),"Unknown")</f>
        <v>2 - Willamette Valley, etc.</v>
      </c>
      <c r="M232" s="95" t="str">
        <f>INDEX(Frequency[Collection_Frequency],MATCH(GroupPop2018[[#This Row],[FreqCode]],Frequency[Orig_Frequency_ID],0))</f>
        <v>Every other week</v>
      </c>
      <c r="N232" s="95" t="str">
        <f>IF(GroupPop2018[[#This Row],[Group]]=1,"Metro",IF(GroupPop2018[[#This Row],[Group]]=4,"Nowhere",IF(GroupPop2018[[#This Row],[Group]]=3,"Remote",IF(GroupPop2018[[#This Row],[County]]="Marion","Marion County","Transported to Metro"))))</f>
        <v>Transported to Metro</v>
      </c>
      <c r="O232" s="95">
        <v>1</v>
      </c>
      <c r="P232" s="100">
        <f>GroupPop2018[[#This Row],[Pop2018]]*(1+SUMIFS(Growth[GrowthRate],Growth[Grouping_ID],GroupPop2018[[#This Row],[Group]]))</f>
        <v>10651.236520638804</v>
      </c>
    </row>
    <row r="233" spans="2:16" x14ac:dyDescent="0.2">
      <c r="B233" s="95" t="s">
        <v>496</v>
      </c>
      <c r="C233" s="95" t="s">
        <v>508</v>
      </c>
      <c r="D233" s="95" t="s">
        <v>508</v>
      </c>
      <c r="E233" s="95" t="s">
        <v>253</v>
      </c>
      <c r="F233" s="95" t="s">
        <v>508</v>
      </c>
      <c r="G233" s="95" t="s">
        <v>53</v>
      </c>
      <c r="H233" s="95" t="s">
        <v>259</v>
      </c>
      <c r="I233" s="132">
        <v>1195</v>
      </c>
      <c r="J233" s="95">
        <v>2</v>
      </c>
      <c r="K233" s="95">
        <f t="shared" si="3"/>
        <v>0</v>
      </c>
      <c r="L233" s="95" t="str">
        <f>IFERROR(VLOOKUP(GroupPop2018[[#This Row],[Group]],Grouping[#All],2,0),"Unknown")</f>
        <v>2 - Willamette Valley, etc.</v>
      </c>
      <c r="M233" s="95" t="str">
        <f>INDEX(Frequency[Collection_Frequency],MATCH(GroupPop2018[[#This Row],[FreqCode]],Frequency[Orig_Frequency_ID],0))</f>
        <v>Every other week</v>
      </c>
      <c r="N233" s="95" t="str">
        <f>IF(GroupPop2018[[#This Row],[Group]]=1,"Metro",IF(GroupPop2018[[#This Row],[Group]]=4,"Nowhere",IF(GroupPop2018[[#This Row],[Group]]=3,"Remote",IF(GroupPop2018[[#This Row],[County]]="Marion","Marion County","Transported to Metro"))))</f>
        <v>Transported to Metro</v>
      </c>
      <c r="O233" s="95"/>
      <c r="P233" s="100">
        <f>GroupPop2018[[#This Row],[Pop2018]]*(1+SUMIFS(Growth[GrowthRate],Growth[Grouping_ID],GroupPop2018[[#This Row],[Group]]))</f>
        <v>1272.8227642163372</v>
      </c>
    </row>
    <row r="234" spans="2:16" x14ac:dyDescent="0.2">
      <c r="B234" s="95" t="s">
        <v>496</v>
      </c>
      <c r="C234" s="95" t="s">
        <v>509</v>
      </c>
      <c r="D234" s="95" t="s">
        <v>509</v>
      </c>
      <c r="E234" s="95" t="s">
        <v>253</v>
      </c>
      <c r="F234" s="95" t="s">
        <v>509</v>
      </c>
      <c r="G234" s="95" t="s">
        <v>53</v>
      </c>
      <c r="H234" s="95" t="s">
        <v>259</v>
      </c>
      <c r="I234" s="132">
        <v>1560</v>
      </c>
      <c r="J234" s="95">
        <v>3</v>
      </c>
      <c r="K234" s="95">
        <f t="shared" si="3"/>
        <v>0</v>
      </c>
      <c r="L234" s="95" t="str">
        <f>IFERROR(VLOOKUP(GroupPop2018[[#This Row],[Group]],Grouping[#All],2,0),"Unknown")</f>
        <v>3 - Other areas with curbside</v>
      </c>
      <c r="M234" s="95" t="str">
        <f>INDEX(Frequency[Collection_Frequency],MATCH(GroupPop2018[[#This Row],[FreqCode]],Frequency[Orig_Frequency_ID],0))</f>
        <v>Every other week</v>
      </c>
      <c r="N234" s="95" t="str">
        <f>IF(GroupPop2018[[#This Row],[Group]]=1,"Metro",IF(GroupPop2018[[#This Row],[Group]]=4,"Nowhere",IF(GroupPop2018[[#This Row],[Group]]=3,"Remote",IF(GroupPop2018[[#This Row],[County]]="Marion","Marion County","Transported to Metro"))))</f>
        <v>Remote</v>
      </c>
      <c r="O234" s="95"/>
      <c r="P234" s="100">
        <f>GroupPop2018[[#This Row],[Pop2018]]*(1+SUMIFS(Growth[GrowthRate],Growth[Grouping_ID],GroupPop2018[[#This Row],[Group]]))</f>
        <v>1674.3733828505808</v>
      </c>
    </row>
    <row r="235" spans="2:16" x14ac:dyDescent="0.2">
      <c r="B235" s="95" t="s">
        <v>496</v>
      </c>
      <c r="C235" s="95" t="s">
        <v>510</v>
      </c>
      <c r="D235" s="95" t="s">
        <v>510</v>
      </c>
      <c r="E235" s="95" t="s">
        <v>253</v>
      </c>
      <c r="F235" s="95" t="s">
        <v>510</v>
      </c>
      <c r="G235" s="95" t="s">
        <v>64</v>
      </c>
      <c r="H235" s="95" t="s">
        <v>259</v>
      </c>
      <c r="I235" s="132">
        <v>2315</v>
      </c>
      <c r="J235" s="95">
        <v>2</v>
      </c>
      <c r="K235" s="95">
        <f t="shared" si="3"/>
        <v>0</v>
      </c>
      <c r="L235" s="95" t="str">
        <f>IFERROR(VLOOKUP(GroupPop2018[[#This Row],[Group]],Grouping[#All],2,0),"Unknown")</f>
        <v>2 - Willamette Valley, etc.</v>
      </c>
      <c r="M235" s="95" t="str">
        <f>INDEX(Frequency[Collection_Frequency],MATCH(GroupPop2018[[#This Row],[FreqCode]],Frequency[Orig_Frequency_ID],0))</f>
        <v>Weekly</v>
      </c>
      <c r="N235" s="95" t="str">
        <f>IF(GroupPop2018[[#This Row],[Group]]=1,"Metro",IF(GroupPop2018[[#This Row],[Group]]=4,"Nowhere",IF(GroupPop2018[[#This Row],[Group]]=3,"Remote",IF(GroupPop2018[[#This Row],[County]]="Marion","Marion County","Transported to Metro"))))</f>
        <v>Transported to Metro</v>
      </c>
      <c r="O235" s="95"/>
      <c r="P235" s="100">
        <f>GroupPop2018[[#This Row],[Pop2018]]*(1+SUMIFS(Growth[GrowthRate],Growth[Grouping_ID],GroupPop2018[[#This Row],[Group]]))</f>
        <v>2465.7612545278835</v>
      </c>
    </row>
    <row r="236" spans="2:16" x14ac:dyDescent="0.2">
      <c r="B236" s="95" t="s">
        <v>496</v>
      </c>
      <c r="C236" s="95" t="s">
        <v>511</v>
      </c>
      <c r="D236" s="95" t="s">
        <v>511</v>
      </c>
      <c r="E236" s="95" t="s">
        <v>253</v>
      </c>
      <c r="F236" s="95" t="s">
        <v>511</v>
      </c>
      <c r="G236" s="95" t="s">
        <v>53</v>
      </c>
      <c r="H236" s="95" t="s">
        <v>259</v>
      </c>
      <c r="I236" s="132">
        <v>920</v>
      </c>
      <c r="J236" s="95">
        <v>3</v>
      </c>
      <c r="K236" s="95">
        <f t="shared" si="3"/>
        <v>0</v>
      </c>
      <c r="L236" s="95" t="str">
        <f>IFERROR(VLOOKUP(GroupPop2018[[#This Row],[Group]],Grouping[#All],2,0),"Unknown")</f>
        <v>3 - Other areas with curbside</v>
      </c>
      <c r="M236" s="95" t="str">
        <f>INDEX(Frequency[Collection_Frequency],MATCH(GroupPop2018[[#This Row],[FreqCode]],Frequency[Orig_Frequency_ID],0))</f>
        <v>Every other week</v>
      </c>
      <c r="N236" s="95" t="str">
        <f>IF(GroupPop2018[[#This Row],[Group]]=1,"Metro",IF(GroupPop2018[[#This Row],[Group]]=4,"Nowhere",IF(GroupPop2018[[#This Row],[Group]]=3,"Remote",IF(GroupPop2018[[#This Row],[County]]="Marion","Marion County","Transported to Metro"))))</f>
        <v>Remote</v>
      </c>
      <c r="O236" s="95"/>
      <c r="P236" s="100">
        <f>GroupPop2018[[#This Row],[Pop2018]]*(1+SUMIFS(Growth[GrowthRate],Growth[Grouping_ID],GroupPop2018[[#This Row],[Group]]))</f>
        <v>987.45096937341941</v>
      </c>
    </row>
    <row r="237" spans="2:16" x14ac:dyDescent="0.2">
      <c r="B237" s="95" t="s">
        <v>496</v>
      </c>
      <c r="C237" s="95" t="s">
        <v>512</v>
      </c>
      <c r="D237" s="95" t="s">
        <v>512</v>
      </c>
      <c r="E237" s="95" t="s">
        <v>253</v>
      </c>
      <c r="F237" s="95" t="s">
        <v>512</v>
      </c>
      <c r="G237" s="95" t="s">
        <v>53</v>
      </c>
      <c r="H237" s="95" t="s">
        <v>259</v>
      </c>
      <c r="I237" s="132">
        <v>345</v>
      </c>
      <c r="J237" s="95">
        <v>2</v>
      </c>
      <c r="K237" s="95">
        <f t="shared" si="3"/>
        <v>0</v>
      </c>
      <c r="L237" s="95" t="str">
        <f>IFERROR(VLOOKUP(GroupPop2018[[#This Row],[Group]],Grouping[#All],2,0),"Unknown")</f>
        <v>2 - Willamette Valley, etc.</v>
      </c>
      <c r="M237" s="95" t="str">
        <f>INDEX(Frequency[Collection_Frequency],MATCH(GroupPop2018[[#This Row],[FreqCode]],Frequency[Orig_Frequency_ID],0))</f>
        <v>Every other week</v>
      </c>
      <c r="N237" s="95" t="str">
        <f>IF(GroupPop2018[[#This Row],[Group]]=1,"Metro",IF(GroupPop2018[[#This Row],[Group]]=4,"Nowhere",IF(GroupPop2018[[#This Row],[Group]]=3,"Remote",IF(GroupPop2018[[#This Row],[County]]="Marion","Marion County","Transported to Metro"))))</f>
        <v>Transported to Metro</v>
      </c>
      <c r="O237" s="95"/>
      <c r="P237" s="100">
        <f>GroupPop2018[[#This Row],[Pop2018]]*(1+SUMIFS(Growth[GrowthRate],Growth[Grouping_ID],GroupPop2018[[#This Row],[Group]]))</f>
        <v>367.46765996203879</v>
      </c>
    </row>
    <row r="238" spans="2:16" x14ac:dyDescent="0.2">
      <c r="B238" s="95" t="s">
        <v>496</v>
      </c>
      <c r="C238" s="95" t="s">
        <v>513</v>
      </c>
      <c r="D238" s="95" t="s">
        <v>513</v>
      </c>
      <c r="E238" s="95" t="s">
        <v>253</v>
      </c>
      <c r="F238" s="95" t="s">
        <v>513</v>
      </c>
      <c r="G238" s="95" t="s">
        <v>53</v>
      </c>
      <c r="H238" s="95" t="s">
        <v>254</v>
      </c>
      <c r="I238" s="132">
        <v>9225</v>
      </c>
      <c r="J238" s="95">
        <v>2</v>
      </c>
      <c r="K238" s="95">
        <f t="shared" si="3"/>
        <v>0</v>
      </c>
      <c r="L238" s="95" t="str">
        <f>IFERROR(VLOOKUP(GroupPop2018[[#This Row],[Group]],Grouping[#All],2,0),"Unknown")</f>
        <v>2 - Willamette Valley, etc.</v>
      </c>
      <c r="M238" s="95" t="str">
        <f>INDEX(Frequency[Collection_Frequency],MATCH(GroupPop2018[[#This Row],[FreqCode]],Frequency[Orig_Frequency_ID],0))</f>
        <v>Every other week</v>
      </c>
      <c r="N238" s="95" t="str">
        <f>IF(GroupPop2018[[#This Row],[Group]]=1,"Metro",IF(GroupPop2018[[#This Row],[Group]]=4,"Nowhere",IF(GroupPop2018[[#This Row],[Group]]=3,"Remote",IF(GroupPop2018[[#This Row],[County]]="Marion","Marion County","Transported to Metro"))))</f>
        <v>Transported to Metro</v>
      </c>
      <c r="O238" s="95"/>
      <c r="P238" s="100">
        <f>GroupPop2018[[#This Row],[Pop2018]]*(1+SUMIFS(Growth[GrowthRate],Growth[Grouping_ID],GroupPop2018[[#This Row],[Group]]))</f>
        <v>9825.7656902892977</v>
      </c>
    </row>
    <row r="239" spans="2:16" x14ac:dyDescent="0.2">
      <c r="B239" s="95" t="s">
        <v>496</v>
      </c>
      <c r="C239" s="95" t="s">
        <v>513</v>
      </c>
      <c r="D239" s="95" t="s">
        <v>513</v>
      </c>
      <c r="E239" s="95" t="s">
        <v>255</v>
      </c>
      <c r="F239" s="95" t="s">
        <v>514</v>
      </c>
      <c r="G239" s="95" t="s">
        <v>53</v>
      </c>
      <c r="H239" s="95" t="s">
        <v>254</v>
      </c>
      <c r="I239" s="132">
        <v>1000</v>
      </c>
      <c r="J239" s="95">
        <v>2</v>
      </c>
      <c r="K239" s="95">
        <f t="shared" si="3"/>
        <v>0</v>
      </c>
      <c r="L239" s="95" t="str">
        <f>IFERROR(VLOOKUP(GroupPop2018[[#This Row],[Group]],Grouping[#All],2,0),"Unknown")</f>
        <v>2 - Willamette Valley, etc.</v>
      </c>
      <c r="M239" s="95" t="str">
        <f>INDEX(Frequency[Collection_Frequency],MATCH(GroupPop2018[[#This Row],[FreqCode]],Frequency[Orig_Frequency_ID],0))</f>
        <v>Every other week</v>
      </c>
      <c r="N239" s="95" t="str">
        <f>IF(GroupPop2018[[#This Row],[Group]]=1,"Metro",IF(GroupPop2018[[#This Row],[Group]]=4,"Nowhere",IF(GroupPop2018[[#This Row],[Group]]=3,"Remote",IF(GroupPop2018[[#This Row],[County]]="Marion","Marion County","Transported to Metro"))))</f>
        <v>Transported to Metro</v>
      </c>
      <c r="O239" s="95"/>
      <c r="P239" s="100">
        <f>GroupPop2018[[#This Row],[Pop2018]]*(1+SUMIFS(Growth[GrowthRate],Growth[Grouping_ID],GroupPop2018[[#This Row],[Group]]))</f>
        <v>1065.1236520638804</v>
      </c>
    </row>
    <row r="240" spans="2:16" x14ac:dyDescent="0.2">
      <c r="B240" s="95" t="s">
        <v>496</v>
      </c>
      <c r="C240" s="95" t="s">
        <v>515</v>
      </c>
      <c r="D240" s="95" t="s">
        <v>515</v>
      </c>
      <c r="E240" s="95" t="s">
        <v>253</v>
      </c>
      <c r="F240" s="95" t="s">
        <v>515</v>
      </c>
      <c r="G240" s="95" t="s">
        <v>64</v>
      </c>
      <c r="H240" s="95" t="s">
        <v>259</v>
      </c>
      <c r="I240" s="132">
        <v>1250</v>
      </c>
      <c r="J240" s="95">
        <v>2</v>
      </c>
      <c r="K240" s="95">
        <f t="shared" si="3"/>
        <v>0</v>
      </c>
      <c r="L240" s="95" t="str">
        <f>IFERROR(VLOOKUP(GroupPop2018[[#This Row],[Group]],Grouping[#All],2,0),"Unknown")</f>
        <v>2 - Willamette Valley, etc.</v>
      </c>
      <c r="M240" s="95" t="str">
        <f>INDEX(Frequency[Collection_Frequency],MATCH(GroupPop2018[[#This Row],[FreqCode]],Frequency[Orig_Frequency_ID],0))</f>
        <v>Weekly</v>
      </c>
      <c r="N240" s="95" t="str">
        <f>IF(GroupPop2018[[#This Row],[Group]]=1,"Metro",IF(GroupPop2018[[#This Row],[Group]]=4,"Nowhere",IF(GroupPop2018[[#This Row],[Group]]=3,"Remote",IF(GroupPop2018[[#This Row],[County]]="Marion","Marion County","Transported to Metro"))))</f>
        <v>Transported to Metro</v>
      </c>
      <c r="O240" s="95"/>
      <c r="P240" s="100">
        <f>GroupPop2018[[#This Row],[Pop2018]]*(1+SUMIFS(Growth[GrowthRate],Growth[Grouping_ID],GroupPop2018[[#This Row],[Group]]))</f>
        <v>1331.4045650798505</v>
      </c>
    </row>
    <row r="241" spans="2:16" x14ac:dyDescent="0.2">
      <c r="B241" s="95" t="s">
        <v>496</v>
      </c>
      <c r="C241" s="95" t="s">
        <v>516</v>
      </c>
      <c r="D241" s="95" t="s">
        <v>516</v>
      </c>
      <c r="E241" s="95" t="s">
        <v>253</v>
      </c>
      <c r="F241" s="95" t="s">
        <v>516</v>
      </c>
      <c r="G241" s="95" t="s">
        <v>127</v>
      </c>
      <c r="H241" s="95" t="s">
        <v>259</v>
      </c>
      <c r="I241" s="132">
        <v>235</v>
      </c>
      <c r="J241" s="95">
        <v>4</v>
      </c>
      <c r="K241" s="95">
        <f t="shared" si="3"/>
        <v>0</v>
      </c>
      <c r="L241" s="95" t="str">
        <f>IFERROR(VLOOKUP(GroupPop2018[[#This Row],[Group]],Grouping[#All],2,0),"Unknown")</f>
        <v>4 - Areas without curbside</v>
      </c>
      <c r="M241" s="95" t="str">
        <f>INDEX(Frequency[Collection_Frequency],MATCH(GroupPop2018[[#This Row],[FreqCode]],Frequency[Orig_Frequency_ID],0))</f>
        <v>No collection</v>
      </c>
      <c r="N241" s="95" t="str">
        <f>IF(GroupPop2018[[#This Row],[Group]]=1,"Metro",IF(GroupPop2018[[#This Row],[Group]]=4,"Nowhere",IF(GroupPop2018[[#This Row],[Group]]=3,"Remote",IF(GroupPop2018[[#This Row],[County]]="Marion","Marion County","Transported to Metro"))))</f>
        <v>Nowhere</v>
      </c>
      <c r="O241" s="95"/>
      <c r="P241" s="100">
        <f>GroupPop2018[[#This Row],[Pop2018]]*(1+SUMIFS(Growth[GrowthRate],Growth[Grouping_ID],GroupPop2018[[#This Row],[Group]]))</f>
        <v>252.22932369864517</v>
      </c>
    </row>
    <row r="242" spans="2:16" x14ac:dyDescent="0.2">
      <c r="B242" s="95" t="s">
        <v>517</v>
      </c>
      <c r="C242" s="95" t="s">
        <v>518</v>
      </c>
      <c r="D242" s="95" t="s">
        <v>518</v>
      </c>
      <c r="E242" s="95" t="s">
        <v>253</v>
      </c>
      <c r="F242" s="95" t="s">
        <v>518</v>
      </c>
      <c r="G242" s="95" t="s">
        <v>127</v>
      </c>
      <c r="H242" s="95" t="s">
        <v>259</v>
      </c>
      <c r="I242" s="132">
        <v>180</v>
      </c>
      <c r="J242" s="95">
        <v>4</v>
      </c>
      <c r="K242" s="95">
        <f t="shared" si="3"/>
        <v>0</v>
      </c>
      <c r="L242" s="95" t="str">
        <f>IFERROR(VLOOKUP(GroupPop2018[[#This Row],[Group]],Grouping[#All],2,0),"Unknown")</f>
        <v>4 - Areas without curbside</v>
      </c>
      <c r="M242" s="95" t="str">
        <f>INDEX(Frequency[Collection_Frequency],MATCH(GroupPop2018[[#This Row],[FreqCode]],Frequency[Orig_Frequency_ID],0))</f>
        <v>No collection</v>
      </c>
      <c r="N242" s="95" t="str">
        <f>IF(GroupPop2018[[#This Row],[Group]]=1,"Metro",IF(GroupPop2018[[#This Row],[Group]]=4,"Nowhere",IF(GroupPop2018[[#This Row],[Group]]=3,"Remote",IF(GroupPop2018[[#This Row],[County]]="Marion","Marion County","Transported to Metro"))))</f>
        <v>Nowhere</v>
      </c>
      <c r="O242" s="95"/>
      <c r="P242" s="100">
        <f>GroupPop2018[[#This Row],[Pop2018]]*(1+SUMIFS(Growth[GrowthRate],Growth[Grouping_ID],GroupPop2018[[#This Row],[Group]]))</f>
        <v>193.19692879045164</v>
      </c>
    </row>
    <row r="243" spans="2:16" x14ac:dyDescent="0.2">
      <c r="B243" s="95" t="s">
        <v>517</v>
      </c>
      <c r="C243" s="95" t="s">
        <v>519</v>
      </c>
      <c r="D243" s="95" t="s">
        <v>519</v>
      </c>
      <c r="E243" s="95" t="s">
        <v>253</v>
      </c>
      <c r="F243" s="95" t="s">
        <v>519</v>
      </c>
      <c r="G243" s="95" t="s">
        <v>127</v>
      </c>
      <c r="H243" s="95" t="s">
        <v>259</v>
      </c>
      <c r="I243" s="132">
        <v>175</v>
      </c>
      <c r="J243" s="95">
        <v>4</v>
      </c>
      <c r="K243" s="95">
        <f t="shared" si="3"/>
        <v>0</v>
      </c>
      <c r="L243" s="95" t="str">
        <f>IFERROR(VLOOKUP(GroupPop2018[[#This Row],[Group]],Grouping[#All],2,0),"Unknown")</f>
        <v>4 - Areas without curbside</v>
      </c>
      <c r="M243" s="95" t="str">
        <f>INDEX(Frequency[Collection_Frequency],MATCH(GroupPop2018[[#This Row],[FreqCode]],Frequency[Orig_Frequency_ID],0))</f>
        <v>No collection</v>
      </c>
      <c r="N243" s="95" t="str">
        <f>IF(GroupPop2018[[#This Row],[Group]]=1,"Metro",IF(GroupPop2018[[#This Row],[Group]]=4,"Nowhere",IF(GroupPop2018[[#This Row],[Group]]=3,"Remote",IF(GroupPop2018[[#This Row],[County]]="Marion","Marion County","Transported to Metro"))))</f>
        <v>Nowhere</v>
      </c>
      <c r="O243" s="95"/>
      <c r="P243" s="100">
        <f>GroupPop2018[[#This Row],[Pop2018]]*(1+SUMIFS(Growth[GrowthRate],Growth[Grouping_ID],GroupPop2018[[#This Row],[Group]]))</f>
        <v>187.83034743516131</v>
      </c>
    </row>
    <row r="244" spans="2:16" x14ac:dyDescent="0.2">
      <c r="B244" s="95" t="s">
        <v>517</v>
      </c>
      <c r="C244" s="95" t="s">
        <v>520</v>
      </c>
      <c r="D244" s="95" t="s">
        <v>520</v>
      </c>
      <c r="E244" s="95" t="s">
        <v>258</v>
      </c>
      <c r="F244" s="95" t="s">
        <v>520</v>
      </c>
      <c r="G244" s="95" t="s">
        <v>127</v>
      </c>
      <c r="H244" s="95" t="s">
        <v>259</v>
      </c>
      <c r="I244" s="132">
        <v>14831</v>
      </c>
      <c r="J244" s="95">
        <v>4</v>
      </c>
      <c r="K244" s="95">
        <f t="shared" si="3"/>
        <v>0</v>
      </c>
      <c r="L244" s="95" t="str">
        <f>IFERROR(VLOOKUP(GroupPop2018[[#This Row],[Group]],Grouping[#All],2,0),"Unknown")</f>
        <v>4 - Areas without curbside</v>
      </c>
      <c r="M244" s="95" t="str">
        <f>INDEX(Frequency[Collection_Frequency],MATCH(GroupPop2018[[#This Row],[FreqCode]],Frequency[Orig_Frequency_ID],0))</f>
        <v>No collection</v>
      </c>
      <c r="N244" s="95" t="str">
        <f>IF(GroupPop2018[[#This Row],[Group]]=1,"Metro",IF(GroupPop2018[[#This Row],[Group]]=4,"Nowhere",IF(GroupPop2018[[#This Row],[Group]]=3,"Remote",IF(GroupPop2018[[#This Row],[County]]="Marion","Marion County","Transported to Metro"))))</f>
        <v>Nowhere</v>
      </c>
      <c r="O244" s="95"/>
      <c r="P244" s="100">
        <f>GroupPop2018[[#This Row],[Pop2018]]*(1+SUMIFS(Growth[GrowthRate],Growth[Grouping_ID],GroupPop2018[[#This Row],[Group]]))</f>
        <v>15918.353616062155</v>
      </c>
    </row>
    <row r="245" spans="2:16" x14ac:dyDescent="0.2">
      <c r="B245" s="95" t="s">
        <v>517</v>
      </c>
      <c r="C245" s="95" t="s">
        <v>521</v>
      </c>
      <c r="D245" s="95" t="s">
        <v>521</v>
      </c>
      <c r="E245" s="95" t="s">
        <v>253</v>
      </c>
      <c r="F245" s="95" t="s">
        <v>521</v>
      </c>
      <c r="G245" s="95" t="s">
        <v>127</v>
      </c>
      <c r="H245" s="95" t="s">
        <v>259</v>
      </c>
      <c r="I245" s="132">
        <v>3310</v>
      </c>
      <c r="J245" s="95">
        <v>4</v>
      </c>
      <c r="K245" s="95">
        <f t="shared" si="3"/>
        <v>0</v>
      </c>
      <c r="L245" s="95" t="str">
        <f>IFERROR(VLOOKUP(GroupPop2018[[#This Row],[Group]],Grouping[#All],2,0),"Unknown")</f>
        <v>4 - Areas without curbside</v>
      </c>
      <c r="M245" s="95" t="str">
        <f>INDEX(Frequency[Collection_Frequency],MATCH(GroupPop2018[[#This Row],[FreqCode]],Frequency[Orig_Frequency_ID],0))</f>
        <v>No collection</v>
      </c>
      <c r="N245" s="95" t="str">
        <f>IF(GroupPop2018[[#This Row],[Group]]=1,"Metro",IF(GroupPop2018[[#This Row],[Group]]=4,"Nowhere",IF(GroupPop2018[[#This Row],[Group]]=3,"Remote",IF(GroupPop2018[[#This Row],[County]]="Marion","Marion County","Transported to Metro"))))</f>
        <v>Nowhere</v>
      </c>
      <c r="O245" s="95"/>
      <c r="P245" s="100">
        <f>GroupPop2018[[#This Row],[Pop2018]]*(1+SUMIFS(Growth[GrowthRate],Growth[Grouping_ID],GroupPop2018[[#This Row],[Group]]))</f>
        <v>3552.6768572021938</v>
      </c>
    </row>
    <row r="246" spans="2:16" x14ac:dyDescent="0.2">
      <c r="B246" s="95" t="s">
        <v>517</v>
      </c>
      <c r="C246" s="95" t="s">
        <v>522</v>
      </c>
      <c r="D246" s="95" t="s">
        <v>522</v>
      </c>
      <c r="E246" s="95" t="s">
        <v>253</v>
      </c>
      <c r="F246" s="95" t="s">
        <v>522</v>
      </c>
      <c r="G246" s="95" t="s">
        <v>64</v>
      </c>
      <c r="H246" s="95" t="s">
        <v>254</v>
      </c>
      <c r="I246" s="132">
        <v>11470</v>
      </c>
      <c r="J246" s="95">
        <v>3</v>
      </c>
      <c r="K246" s="95">
        <f t="shared" si="3"/>
        <v>0</v>
      </c>
      <c r="L246" s="95" t="str">
        <f>IFERROR(VLOOKUP(GroupPop2018[[#This Row],[Group]],Grouping[#All],2,0),"Unknown")</f>
        <v>3 - Other areas with curbside</v>
      </c>
      <c r="M246" s="95" t="str">
        <f>INDEX(Frequency[Collection_Frequency],MATCH(GroupPop2018[[#This Row],[FreqCode]],Frequency[Orig_Frequency_ID],0))</f>
        <v>Weekly</v>
      </c>
      <c r="N246" s="95" t="str">
        <f>IF(GroupPop2018[[#This Row],[Group]]=1,"Metro",IF(GroupPop2018[[#This Row],[Group]]=4,"Nowhere",IF(GroupPop2018[[#This Row],[Group]]=3,"Remote",IF(GroupPop2018[[#This Row],[County]]="Marion","Marion County","Transported to Metro"))))</f>
        <v>Remote</v>
      </c>
      <c r="O246" s="95"/>
      <c r="P246" s="100">
        <f>GroupPop2018[[#This Row],[Pop2018]]*(1+SUMIFS(Growth[GrowthRate],Growth[Grouping_ID],GroupPop2018[[#This Row],[Group]]))</f>
        <v>12310.937629036001</v>
      </c>
    </row>
    <row r="247" spans="2:16" x14ac:dyDescent="0.2">
      <c r="B247" s="95" t="s">
        <v>517</v>
      </c>
      <c r="C247" s="95" t="s">
        <v>522</v>
      </c>
      <c r="D247" s="95" t="s">
        <v>522</v>
      </c>
      <c r="E247" s="95" t="s">
        <v>255</v>
      </c>
      <c r="F247" s="95" t="s">
        <v>523</v>
      </c>
      <c r="G247" s="95" t="s">
        <v>127</v>
      </c>
      <c r="H247" s="95" t="s">
        <v>254</v>
      </c>
      <c r="I247" s="132">
        <v>9</v>
      </c>
      <c r="J247" s="95">
        <v>4</v>
      </c>
      <c r="K247" s="95">
        <f t="shared" si="3"/>
        <v>0</v>
      </c>
      <c r="L247" s="95" t="str">
        <f>IFERROR(VLOOKUP(GroupPop2018[[#This Row],[Group]],Grouping[#All],2,0),"Unknown")</f>
        <v>4 - Areas without curbside</v>
      </c>
      <c r="M247" s="95" t="str">
        <f>INDEX(Frequency[Collection_Frequency],MATCH(GroupPop2018[[#This Row],[FreqCode]],Frequency[Orig_Frequency_ID],0))</f>
        <v>No collection</v>
      </c>
      <c r="N247" s="95" t="str">
        <f>IF(GroupPop2018[[#This Row],[Group]]=1,"Metro",IF(GroupPop2018[[#This Row],[Group]]=4,"Nowhere",IF(GroupPop2018[[#This Row],[Group]]=3,"Remote",IF(GroupPop2018[[#This Row],[County]]="Marion","Marion County","Transported to Metro"))))</f>
        <v>Nowhere</v>
      </c>
      <c r="O247" s="95"/>
      <c r="P247" s="100">
        <f>GroupPop2018[[#This Row],[Pop2018]]*(1+SUMIFS(Growth[GrowthRate],Growth[Grouping_ID],GroupPop2018[[#This Row],[Group]]))</f>
        <v>9.6598464395225818</v>
      </c>
    </row>
    <row r="248" spans="2:16" x14ac:dyDescent="0.2">
      <c r="B248" s="95" t="s">
        <v>517</v>
      </c>
      <c r="C248" s="95" t="s">
        <v>524</v>
      </c>
      <c r="D248" s="95" t="s">
        <v>524</v>
      </c>
      <c r="E248" s="95" t="s">
        <v>253</v>
      </c>
      <c r="F248" s="95" t="s">
        <v>524</v>
      </c>
      <c r="G248" s="95" t="s">
        <v>127</v>
      </c>
      <c r="H248" s="95" t="s">
        <v>259</v>
      </c>
      <c r="I248" s="132">
        <v>1950</v>
      </c>
      <c r="J248" s="95">
        <v>4</v>
      </c>
      <c r="K248" s="95">
        <f t="shared" si="3"/>
        <v>0</v>
      </c>
      <c r="L248" s="95" t="str">
        <f>IFERROR(VLOOKUP(GroupPop2018[[#This Row],[Group]],Grouping[#All],2,0),"Unknown")</f>
        <v>4 - Areas without curbside</v>
      </c>
      <c r="M248" s="95" t="str">
        <f>INDEX(Frequency[Collection_Frequency],MATCH(GroupPop2018[[#This Row],[FreqCode]],Frequency[Orig_Frequency_ID],0))</f>
        <v>No collection</v>
      </c>
      <c r="N248" s="95" t="str">
        <f>IF(GroupPop2018[[#This Row],[Group]]=1,"Metro",IF(GroupPop2018[[#This Row],[Group]]=4,"Nowhere",IF(GroupPop2018[[#This Row],[Group]]=3,"Remote",IF(GroupPop2018[[#This Row],[County]]="Marion","Marion County","Transported to Metro"))))</f>
        <v>Nowhere</v>
      </c>
      <c r="O248" s="95"/>
      <c r="P248" s="100">
        <f>GroupPop2018[[#This Row],[Pop2018]]*(1+SUMIFS(Growth[GrowthRate],Growth[Grouping_ID],GroupPop2018[[#This Row],[Group]]))</f>
        <v>2092.9667285632258</v>
      </c>
    </row>
    <row r="249" spans="2:16" x14ac:dyDescent="0.2">
      <c r="B249" s="95" t="s">
        <v>525</v>
      </c>
      <c r="C249" s="95" t="s">
        <v>526</v>
      </c>
      <c r="D249" s="95" t="s">
        <v>526</v>
      </c>
      <c r="E249" s="95" t="s">
        <v>253</v>
      </c>
      <c r="F249" s="95" t="s">
        <v>526</v>
      </c>
      <c r="G249" s="95" t="s">
        <v>53</v>
      </c>
      <c r="H249" s="95" t="s">
        <v>259</v>
      </c>
      <c r="I249" s="132">
        <v>3975</v>
      </c>
      <c r="J249" s="95">
        <v>2</v>
      </c>
      <c r="K249" s="95">
        <f t="shared" si="3"/>
        <v>0</v>
      </c>
      <c r="L249" s="95" t="str">
        <f>IFERROR(VLOOKUP(GroupPop2018[[#This Row],[Group]],Grouping[#All],2,0),"Unknown")</f>
        <v>2 - Willamette Valley, etc.</v>
      </c>
      <c r="M249" s="95" t="str">
        <f>INDEX(Frequency[Collection_Frequency],MATCH(GroupPop2018[[#This Row],[FreqCode]],Frequency[Orig_Frequency_ID],0))</f>
        <v>Every other week</v>
      </c>
      <c r="N249" s="95" t="str">
        <f>IF(GroupPop2018[[#This Row],[Group]]=1,"Metro",IF(GroupPop2018[[#This Row],[Group]]=4,"Nowhere",IF(GroupPop2018[[#This Row],[Group]]=3,"Remote",IF(GroupPop2018[[#This Row],[County]]="Marion","Marion County","Transported to Metro"))))</f>
        <v>Marion County</v>
      </c>
      <c r="O249" s="95"/>
      <c r="P249" s="100">
        <f>GroupPop2018[[#This Row],[Pop2018]]*(1+SUMIFS(Growth[GrowthRate],Growth[Grouping_ID],GroupPop2018[[#This Row],[Group]]))</f>
        <v>4233.8665169539254</v>
      </c>
    </row>
    <row r="250" spans="2:16" x14ac:dyDescent="0.2">
      <c r="B250" s="95" t="s">
        <v>525</v>
      </c>
      <c r="C250" s="95" t="s">
        <v>527</v>
      </c>
      <c r="D250" s="95" t="s">
        <v>527</v>
      </c>
      <c r="E250" s="95" t="s">
        <v>253</v>
      </c>
      <c r="F250" s="95" t="s">
        <v>527</v>
      </c>
      <c r="G250" s="95" t="s">
        <v>53</v>
      </c>
      <c r="H250" s="95" t="s">
        <v>259</v>
      </c>
      <c r="I250" s="132">
        <v>985</v>
      </c>
      <c r="J250" s="95">
        <v>2</v>
      </c>
      <c r="K250" s="95">
        <f t="shared" si="3"/>
        <v>0</v>
      </c>
      <c r="L250" s="95" t="str">
        <f>IFERROR(VLOOKUP(GroupPop2018[[#This Row],[Group]],Grouping[#All],2,0),"Unknown")</f>
        <v>2 - Willamette Valley, etc.</v>
      </c>
      <c r="M250" s="95" t="str">
        <f>INDEX(Frequency[Collection_Frequency],MATCH(GroupPop2018[[#This Row],[FreqCode]],Frequency[Orig_Frequency_ID],0))</f>
        <v>Every other week</v>
      </c>
      <c r="N250" s="95" t="str">
        <f>IF(GroupPop2018[[#This Row],[Group]]=1,"Metro",IF(GroupPop2018[[#This Row],[Group]]=4,"Nowhere",IF(GroupPop2018[[#This Row],[Group]]=3,"Remote",IF(GroupPop2018[[#This Row],[County]]="Marion","Marion County","Transported to Metro"))))</f>
        <v>Marion County</v>
      </c>
      <c r="O250" s="95"/>
      <c r="P250" s="100">
        <f>GroupPop2018[[#This Row],[Pop2018]]*(1+SUMIFS(Growth[GrowthRate],Growth[Grouping_ID],GroupPop2018[[#This Row],[Group]]))</f>
        <v>1049.1467972829223</v>
      </c>
    </row>
    <row r="251" spans="2:16" x14ac:dyDescent="0.2">
      <c r="B251" s="95" t="s">
        <v>525</v>
      </c>
      <c r="C251" s="95" t="s">
        <v>528</v>
      </c>
      <c r="D251" s="95" t="s">
        <v>528</v>
      </c>
      <c r="E251" s="95" t="s">
        <v>253</v>
      </c>
      <c r="F251" s="95" t="s">
        <v>528</v>
      </c>
      <c r="G251" s="95" t="s">
        <v>53</v>
      </c>
      <c r="H251" s="95" t="s">
        <v>259</v>
      </c>
      <c r="I251" s="132">
        <v>210</v>
      </c>
      <c r="J251" s="95">
        <v>3</v>
      </c>
      <c r="K251" s="95">
        <f t="shared" si="3"/>
        <v>0</v>
      </c>
      <c r="L251" s="95" t="str">
        <f>IFERROR(VLOOKUP(GroupPop2018[[#This Row],[Group]],Grouping[#All],2,0),"Unknown")</f>
        <v>3 - Other areas with curbside</v>
      </c>
      <c r="M251" s="95" t="str">
        <f>INDEX(Frequency[Collection_Frequency],MATCH(GroupPop2018[[#This Row],[FreqCode]],Frequency[Orig_Frequency_ID],0))</f>
        <v>Every other week</v>
      </c>
      <c r="N251" s="95" t="str">
        <f>IF(GroupPop2018[[#This Row],[Group]]=1,"Metro",IF(GroupPop2018[[#This Row],[Group]]=4,"Nowhere",IF(GroupPop2018[[#This Row],[Group]]=3,"Remote",IF(GroupPop2018[[#This Row],[County]]="Marion","Marion County","Transported to Metro"))))</f>
        <v>Remote</v>
      </c>
      <c r="O251" s="95"/>
      <c r="P251" s="100">
        <f>GroupPop2018[[#This Row],[Pop2018]]*(1+SUMIFS(Growth[GrowthRate],Growth[Grouping_ID],GroupPop2018[[#This Row],[Group]]))</f>
        <v>225.39641692219357</v>
      </c>
    </row>
    <row r="252" spans="2:16" x14ac:dyDescent="0.2">
      <c r="B252" s="95" t="s">
        <v>525</v>
      </c>
      <c r="C252" s="95" t="s">
        <v>529</v>
      </c>
      <c r="D252" s="95" t="s">
        <v>529</v>
      </c>
      <c r="E252" s="95" t="s">
        <v>253</v>
      </c>
      <c r="F252" s="95" t="s">
        <v>529</v>
      </c>
      <c r="G252" s="95" t="s">
        <v>53</v>
      </c>
      <c r="H252" s="95" t="s">
        <v>259</v>
      </c>
      <c r="I252" s="132">
        <v>985</v>
      </c>
      <c r="J252" s="95">
        <v>2</v>
      </c>
      <c r="K252" s="95">
        <f t="shared" si="3"/>
        <v>0</v>
      </c>
      <c r="L252" s="95" t="str">
        <f>IFERROR(VLOOKUP(GroupPop2018[[#This Row],[Group]],Grouping[#All],2,0),"Unknown")</f>
        <v>2 - Willamette Valley, etc.</v>
      </c>
      <c r="M252" s="95" t="str">
        <f>INDEX(Frequency[Collection_Frequency],MATCH(GroupPop2018[[#This Row],[FreqCode]],Frequency[Orig_Frequency_ID],0))</f>
        <v>Every other week</v>
      </c>
      <c r="N252" s="95" t="str">
        <f>IF(GroupPop2018[[#This Row],[Group]]=1,"Metro",IF(GroupPop2018[[#This Row],[Group]]=4,"Nowhere",IF(GroupPop2018[[#This Row],[Group]]=3,"Remote",IF(GroupPop2018[[#This Row],[County]]="Marion","Marion County","Transported to Metro"))))</f>
        <v>Marion County</v>
      </c>
      <c r="O252" s="95"/>
      <c r="P252" s="100">
        <f>GroupPop2018[[#This Row],[Pop2018]]*(1+SUMIFS(Growth[GrowthRate],Growth[Grouping_ID],GroupPop2018[[#This Row],[Group]]))</f>
        <v>1049.1467972829223</v>
      </c>
    </row>
    <row r="253" spans="2:16" x14ac:dyDescent="0.2">
      <c r="B253" s="95" t="s">
        <v>525</v>
      </c>
      <c r="C253" s="95" t="s">
        <v>499</v>
      </c>
      <c r="D253" s="95" t="s">
        <v>499</v>
      </c>
      <c r="E253" s="95" t="s">
        <v>253</v>
      </c>
      <c r="F253" s="95" t="s">
        <v>499</v>
      </c>
      <c r="G253" s="95" t="s">
        <v>53</v>
      </c>
      <c r="H253" s="95" t="s">
        <v>259</v>
      </c>
      <c r="I253" s="132">
        <v>440</v>
      </c>
      <c r="J253" s="95">
        <v>3</v>
      </c>
      <c r="K253" s="95">
        <f t="shared" si="3"/>
        <v>0</v>
      </c>
      <c r="L253" s="95" t="str">
        <f>IFERROR(VLOOKUP(GroupPop2018[[#This Row],[Group]],Grouping[#All],2,0),"Unknown")</f>
        <v>3 - Other areas with curbside</v>
      </c>
      <c r="M253" s="95" t="str">
        <f>INDEX(Frequency[Collection_Frequency],MATCH(GroupPop2018[[#This Row],[FreqCode]],Frequency[Orig_Frequency_ID],0))</f>
        <v>Every other week</v>
      </c>
      <c r="N253" s="95" t="str">
        <f>IF(GroupPop2018[[#This Row],[Group]]=1,"Metro",IF(GroupPop2018[[#This Row],[Group]]=4,"Nowhere",IF(GroupPop2018[[#This Row],[Group]]=3,"Remote",IF(GroupPop2018[[#This Row],[County]]="Marion","Marion County","Transported to Metro"))))</f>
        <v>Remote</v>
      </c>
      <c r="O253" s="95"/>
      <c r="P253" s="100">
        <f>GroupPop2018[[#This Row],[Pop2018]]*(1+SUMIFS(Growth[GrowthRate],Growth[Grouping_ID],GroupPop2018[[#This Row],[Group]]))</f>
        <v>472.25915926554842</v>
      </c>
    </row>
    <row r="254" spans="2:16" x14ac:dyDescent="0.2">
      <c r="B254" s="95" t="s">
        <v>525</v>
      </c>
      <c r="C254" s="95" t="s">
        <v>530</v>
      </c>
      <c r="D254" s="95" t="s">
        <v>530</v>
      </c>
      <c r="E254" s="95" t="s">
        <v>253</v>
      </c>
      <c r="F254" s="95" t="s">
        <v>530</v>
      </c>
      <c r="G254" s="95" t="s">
        <v>53</v>
      </c>
      <c r="H254" s="95" t="s">
        <v>259</v>
      </c>
      <c r="I254" s="132">
        <v>2585</v>
      </c>
      <c r="J254" s="95">
        <v>2</v>
      </c>
      <c r="K254" s="95">
        <f t="shared" si="3"/>
        <v>0</v>
      </c>
      <c r="L254" s="95" t="str">
        <f>IFERROR(VLOOKUP(GroupPop2018[[#This Row],[Group]],Grouping[#All],2,0),"Unknown")</f>
        <v>2 - Willamette Valley, etc.</v>
      </c>
      <c r="M254" s="95" t="str">
        <f>INDEX(Frequency[Collection_Frequency],MATCH(GroupPop2018[[#This Row],[FreqCode]],Frequency[Orig_Frequency_ID],0))</f>
        <v>Every other week</v>
      </c>
      <c r="N254" s="95" t="str">
        <f>IF(GroupPop2018[[#This Row],[Group]]=1,"Metro",IF(GroupPop2018[[#This Row],[Group]]=4,"Nowhere",IF(GroupPop2018[[#This Row],[Group]]=3,"Remote",IF(GroupPop2018[[#This Row],[County]]="Marion","Marion County","Transported to Metro"))))</f>
        <v>Marion County</v>
      </c>
      <c r="O254" s="95"/>
      <c r="P254" s="100">
        <f>GroupPop2018[[#This Row],[Pop2018]]*(1+SUMIFS(Growth[GrowthRate],Growth[Grouping_ID],GroupPop2018[[#This Row],[Group]]))</f>
        <v>2753.3446405851309</v>
      </c>
    </row>
    <row r="255" spans="2:16" x14ac:dyDescent="0.2">
      <c r="B255" s="95" t="s">
        <v>525</v>
      </c>
      <c r="C255" s="95" t="s">
        <v>531</v>
      </c>
      <c r="D255" s="95" t="s">
        <v>531</v>
      </c>
      <c r="E255" s="95" t="s">
        <v>253</v>
      </c>
      <c r="F255" s="95" t="s">
        <v>531</v>
      </c>
      <c r="G255" s="95" t="s">
        <v>53</v>
      </c>
      <c r="H255" s="95" t="s">
        <v>259</v>
      </c>
      <c r="I255" s="132">
        <v>3305</v>
      </c>
      <c r="J255" s="95">
        <v>2</v>
      </c>
      <c r="K255" s="95">
        <f t="shared" si="3"/>
        <v>0</v>
      </c>
      <c r="L255" s="95" t="str">
        <f>IFERROR(VLOOKUP(GroupPop2018[[#This Row],[Group]],Grouping[#All],2,0),"Unknown")</f>
        <v>2 - Willamette Valley, etc.</v>
      </c>
      <c r="M255" s="95" t="str">
        <f>INDEX(Frequency[Collection_Frequency],MATCH(GroupPop2018[[#This Row],[FreqCode]],Frequency[Orig_Frequency_ID],0))</f>
        <v>Every other week</v>
      </c>
      <c r="N255" s="95" t="str">
        <f>IF(GroupPop2018[[#This Row],[Group]]=1,"Metro",IF(GroupPop2018[[#This Row],[Group]]=4,"Nowhere",IF(GroupPop2018[[#This Row],[Group]]=3,"Remote",IF(GroupPop2018[[#This Row],[County]]="Marion","Marion County","Transported to Metro"))))</f>
        <v>Marion County</v>
      </c>
      <c r="O255" s="95"/>
      <c r="P255" s="100">
        <f>GroupPop2018[[#This Row],[Pop2018]]*(1+SUMIFS(Growth[GrowthRate],Growth[Grouping_ID],GroupPop2018[[#This Row],[Group]]))</f>
        <v>3520.2336700711248</v>
      </c>
    </row>
    <row r="256" spans="2:16" x14ac:dyDescent="0.2">
      <c r="B256" s="95" t="s">
        <v>525</v>
      </c>
      <c r="C256" s="95" t="s">
        <v>502</v>
      </c>
      <c r="D256" s="95" t="s">
        <v>502</v>
      </c>
      <c r="E256" s="95" t="s">
        <v>253</v>
      </c>
      <c r="F256" s="95" t="s">
        <v>502</v>
      </c>
      <c r="G256" s="95" t="s">
        <v>53</v>
      </c>
      <c r="H256" s="95" t="s">
        <v>259</v>
      </c>
      <c r="I256" s="132">
        <v>78</v>
      </c>
      <c r="J256" s="95">
        <v>3</v>
      </c>
      <c r="K256" s="95">
        <f t="shared" si="3"/>
        <v>0</v>
      </c>
      <c r="L256" s="95" t="str">
        <f>IFERROR(VLOOKUP(GroupPop2018[[#This Row],[Group]],Grouping[#All],2,0),"Unknown")</f>
        <v>3 - Other areas with curbside</v>
      </c>
      <c r="M256" s="95" t="str">
        <f>INDEX(Frequency[Collection_Frequency],MATCH(GroupPop2018[[#This Row],[FreqCode]],Frequency[Orig_Frequency_ID],0))</f>
        <v>Every other week</v>
      </c>
      <c r="N256" s="95" t="str">
        <f>IF(GroupPop2018[[#This Row],[Group]]=1,"Metro",IF(GroupPop2018[[#This Row],[Group]]=4,"Nowhere",IF(GroupPop2018[[#This Row],[Group]]=3,"Remote",IF(GroupPop2018[[#This Row],[County]]="Marion","Marion County","Transported to Metro"))))</f>
        <v>Remote</v>
      </c>
      <c r="O256" s="95"/>
      <c r="P256" s="100">
        <f>GroupPop2018[[#This Row],[Pop2018]]*(1+SUMIFS(Growth[GrowthRate],Growth[Grouping_ID],GroupPop2018[[#This Row],[Group]]))</f>
        <v>83.718669142529038</v>
      </c>
    </row>
    <row r="257" spans="2:16" x14ac:dyDescent="0.2">
      <c r="B257" s="95" t="s">
        <v>525</v>
      </c>
      <c r="C257" s="95" t="s">
        <v>433</v>
      </c>
      <c r="D257" s="95" t="s">
        <v>433</v>
      </c>
      <c r="E257" s="95" t="s">
        <v>253</v>
      </c>
      <c r="F257" s="95" t="s">
        <v>433</v>
      </c>
      <c r="G257" s="95" t="s">
        <v>53</v>
      </c>
      <c r="H257" s="95" t="s">
        <v>259</v>
      </c>
      <c r="I257" s="132">
        <v>3245</v>
      </c>
      <c r="J257" s="95">
        <v>2</v>
      </c>
      <c r="K257" s="95">
        <f t="shared" si="3"/>
        <v>0</v>
      </c>
      <c r="L257" s="95" t="str">
        <f>IFERROR(VLOOKUP(GroupPop2018[[#This Row],[Group]],Grouping[#All],2,0),"Unknown")</f>
        <v>2 - Willamette Valley, etc.</v>
      </c>
      <c r="M257" s="95" t="str">
        <f>INDEX(Frequency[Collection_Frequency],MATCH(GroupPop2018[[#This Row],[FreqCode]],Frequency[Orig_Frequency_ID],0))</f>
        <v>Every other week</v>
      </c>
      <c r="N257" s="95" t="str">
        <f>IF(GroupPop2018[[#This Row],[Group]]=1,"Metro",IF(GroupPop2018[[#This Row],[Group]]=4,"Nowhere",IF(GroupPop2018[[#This Row],[Group]]=3,"Remote",IF(GroupPop2018[[#This Row],[County]]="Marion","Marion County","Transported to Metro"))))</f>
        <v>Marion County</v>
      </c>
      <c r="O257" s="95"/>
      <c r="P257" s="100">
        <f>GroupPop2018[[#This Row],[Pop2018]]*(1+SUMIFS(Growth[GrowthRate],Growth[Grouping_ID],GroupPop2018[[#This Row],[Group]]))</f>
        <v>3456.326250947292</v>
      </c>
    </row>
    <row r="258" spans="2:16" x14ac:dyDescent="0.2">
      <c r="B258" s="95" t="s">
        <v>525</v>
      </c>
      <c r="C258" s="95" t="s">
        <v>532</v>
      </c>
      <c r="D258" s="95" t="s">
        <v>532</v>
      </c>
      <c r="E258" s="95" t="s">
        <v>253</v>
      </c>
      <c r="F258" s="95" t="s">
        <v>532</v>
      </c>
      <c r="G258" s="95" t="s">
        <v>53</v>
      </c>
      <c r="H258" s="95" t="s">
        <v>254</v>
      </c>
      <c r="I258" s="132">
        <v>38505</v>
      </c>
      <c r="J258" s="95">
        <v>2</v>
      </c>
      <c r="K258" s="95">
        <f t="shared" si="3"/>
        <v>0</v>
      </c>
      <c r="L258" s="95" t="str">
        <f>IFERROR(VLOOKUP(GroupPop2018[[#This Row],[Group]],Grouping[#All],2,0),"Unknown")</f>
        <v>2 - Willamette Valley, etc.</v>
      </c>
      <c r="M258" s="95" t="str">
        <f>INDEX(Frequency[Collection_Frequency],MATCH(GroupPop2018[[#This Row],[FreqCode]],Frequency[Orig_Frequency_ID],0))</f>
        <v>Every other week</v>
      </c>
      <c r="N258" s="95" t="str">
        <f>IF(GroupPop2018[[#This Row],[Group]]=1,"Metro",IF(GroupPop2018[[#This Row],[Group]]=4,"Nowhere",IF(GroupPop2018[[#This Row],[Group]]=3,"Remote",IF(GroupPop2018[[#This Row],[County]]="Marion","Marion County","Transported to Metro"))))</f>
        <v>Marion County</v>
      </c>
      <c r="O258" s="95"/>
      <c r="P258" s="100">
        <f>GroupPop2018[[#This Row],[Pop2018]]*(1+SUMIFS(Growth[GrowthRate],Growth[Grouping_ID],GroupPop2018[[#This Row],[Group]]))</f>
        <v>41012.586222719721</v>
      </c>
    </row>
    <row r="259" spans="2:16" x14ac:dyDescent="0.2">
      <c r="B259" s="95" t="s">
        <v>525</v>
      </c>
      <c r="C259" s="95" t="s">
        <v>532</v>
      </c>
      <c r="D259" s="95" t="s">
        <v>533</v>
      </c>
      <c r="E259" s="95" t="s">
        <v>255</v>
      </c>
      <c r="F259" s="95" t="s">
        <v>534</v>
      </c>
      <c r="G259" s="95" t="s">
        <v>53</v>
      </c>
      <c r="H259" s="95" t="s">
        <v>254</v>
      </c>
      <c r="I259" s="132">
        <v>300</v>
      </c>
      <c r="J259" s="95">
        <v>2</v>
      </c>
      <c r="K259" s="95">
        <f t="shared" si="3"/>
        <v>0</v>
      </c>
      <c r="L259" s="95" t="str">
        <f>IFERROR(VLOOKUP(GroupPop2018[[#This Row],[Group]],Grouping[#All],2,0),"Unknown")</f>
        <v>2 - Willamette Valley, etc.</v>
      </c>
      <c r="M259" s="95" t="str">
        <f>INDEX(Frequency[Collection_Frequency],MATCH(GroupPop2018[[#This Row],[FreqCode]],Frequency[Orig_Frequency_ID],0))</f>
        <v>Every other week</v>
      </c>
      <c r="N259" s="95" t="str">
        <f>IF(GroupPop2018[[#This Row],[Group]]=1,"Metro",IF(GroupPop2018[[#This Row],[Group]]=4,"Nowhere",IF(GroupPop2018[[#This Row],[Group]]=3,"Remote",IF(GroupPop2018[[#This Row],[County]]="Marion","Marion County","Transported to Metro"))))</f>
        <v>Marion County</v>
      </c>
      <c r="O259" s="95"/>
      <c r="P259" s="100">
        <f>GroupPop2018[[#This Row],[Pop2018]]*(1+SUMIFS(Growth[GrowthRate],Growth[Grouping_ID],GroupPop2018[[#This Row],[Group]]))</f>
        <v>319.53709561916412</v>
      </c>
    </row>
    <row r="260" spans="2:16" x14ac:dyDescent="0.2">
      <c r="B260" s="95" t="s">
        <v>525</v>
      </c>
      <c r="C260" s="95" t="s">
        <v>535</v>
      </c>
      <c r="D260" s="95" t="s">
        <v>536</v>
      </c>
      <c r="E260" s="95" t="s">
        <v>258</v>
      </c>
      <c r="F260" s="95" t="s">
        <v>535</v>
      </c>
      <c r="G260" s="95" t="s">
        <v>127</v>
      </c>
      <c r="H260" s="95" t="s">
        <v>259</v>
      </c>
      <c r="I260" s="132">
        <v>10000</v>
      </c>
      <c r="J260" s="95">
        <v>4</v>
      </c>
      <c r="K260" s="95">
        <f t="shared" si="3"/>
        <v>0</v>
      </c>
      <c r="L260" s="95" t="str">
        <f>IFERROR(VLOOKUP(GroupPop2018[[#This Row],[Group]],Grouping[#All],2,0),"Unknown")</f>
        <v>4 - Areas without curbside</v>
      </c>
      <c r="M260" s="95" t="str">
        <f>INDEX(Frequency[Collection_Frequency],MATCH(GroupPop2018[[#This Row],[FreqCode]],Frequency[Orig_Frequency_ID],0))</f>
        <v>No collection</v>
      </c>
      <c r="N260" s="95" t="str">
        <f>IF(GroupPop2018[[#This Row],[Group]]=1,"Metro",IF(GroupPop2018[[#This Row],[Group]]=4,"Nowhere",IF(GroupPop2018[[#This Row],[Group]]=3,"Remote",IF(GroupPop2018[[#This Row],[County]]="Marion","Marion County","Transported to Metro"))))</f>
        <v>Nowhere</v>
      </c>
      <c r="O260" s="95">
        <v>1</v>
      </c>
      <c r="P260" s="100">
        <f>GroupPop2018[[#This Row],[Pop2018]]*(1+SUMIFS(Growth[GrowthRate],Growth[Grouping_ID],GroupPop2018[[#This Row],[Group]]))</f>
        <v>10733.162710580646</v>
      </c>
    </row>
    <row r="261" spans="2:16" x14ac:dyDescent="0.2">
      <c r="B261" s="95" t="s">
        <v>525</v>
      </c>
      <c r="C261" s="95" t="s">
        <v>537</v>
      </c>
      <c r="D261" s="95" t="s">
        <v>536</v>
      </c>
      <c r="E261" s="95" t="s">
        <v>258</v>
      </c>
      <c r="F261" s="95" t="s">
        <v>537</v>
      </c>
      <c r="G261" s="95" t="s">
        <v>53</v>
      </c>
      <c r="H261" s="95" t="s">
        <v>259</v>
      </c>
      <c r="I261" s="132">
        <v>50197</v>
      </c>
      <c r="J261" s="95">
        <v>2</v>
      </c>
      <c r="K261" s="95">
        <f t="shared" si="3"/>
        <v>0</v>
      </c>
      <c r="L261" s="95" t="str">
        <f>IFERROR(VLOOKUP(GroupPop2018[[#This Row],[Group]],Grouping[#All],2,0),"Unknown")</f>
        <v>2 - Willamette Valley, etc.</v>
      </c>
      <c r="M261" s="95" t="str">
        <f>INDEX(Frequency[Collection_Frequency],MATCH(GroupPop2018[[#This Row],[FreqCode]],Frequency[Orig_Frequency_ID],0))</f>
        <v>Every other week</v>
      </c>
      <c r="N261" s="95" t="str">
        <f>IF(GroupPop2018[[#This Row],[Group]]=1,"Metro",IF(GroupPop2018[[#This Row],[Group]]=4,"Nowhere",IF(GroupPop2018[[#This Row],[Group]]=3,"Remote",IF(GroupPop2018[[#This Row],[County]]="Marion","Marion County","Transported to Metro"))))</f>
        <v>Marion County</v>
      </c>
      <c r="O261" s="95">
        <v>2</v>
      </c>
      <c r="P261" s="100">
        <f>GroupPop2018[[#This Row],[Pop2018]]*(1+SUMIFS(Growth[GrowthRate],Growth[Grouping_ID],GroupPop2018[[#This Row],[Group]]))</f>
        <v>53466.011962650606</v>
      </c>
    </row>
    <row r="262" spans="2:16" x14ac:dyDescent="0.2">
      <c r="B262" s="95" t="s">
        <v>525</v>
      </c>
      <c r="C262" s="95" t="s">
        <v>509</v>
      </c>
      <c r="D262" s="95" t="s">
        <v>509</v>
      </c>
      <c r="E262" s="95" t="s">
        <v>253</v>
      </c>
      <c r="F262" s="95" t="s">
        <v>509</v>
      </c>
      <c r="G262" s="95" t="s">
        <v>53</v>
      </c>
      <c r="H262" s="95" t="s">
        <v>259</v>
      </c>
      <c r="I262" s="132">
        <v>305</v>
      </c>
      <c r="J262" s="95">
        <v>3</v>
      </c>
      <c r="K262" s="95">
        <f t="shared" si="3"/>
        <v>0</v>
      </c>
      <c r="L262" s="95" t="str">
        <f>IFERROR(VLOOKUP(GroupPop2018[[#This Row],[Group]],Grouping[#All],2,0),"Unknown")</f>
        <v>3 - Other areas with curbside</v>
      </c>
      <c r="M262" s="95" t="str">
        <f>INDEX(Frequency[Collection_Frequency],MATCH(GroupPop2018[[#This Row],[FreqCode]],Frequency[Orig_Frequency_ID],0))</f>
        <v>Every other week</v>
      </c>
      <c r="N262" s="95" t="str">
        <f>IF(GroupPop2018[[#This Row],[Group]]=1,"Metro",IF(GroupPop2018[[#This Row],[Group]]=4,"Nowhere",IF(GroupPop2018[[#This Row],[Group]]=3,"Remote",IF(GroupPop2018[[#This Row],[County]]="Marion","Marion County","Transported to Metro"))))</f>
        <v>Remote</v>
      </c>
      <c r="O262" s="95"/>
      <c r="P262" s="100">
        <f>GroupPop2018[[#This Row],[Pop2018]]*(1+SUMIFS(Growth[GrowthRate],Growth[Grouping_ID],GroupPop2018[[#This Row],[Group]]))</f>
        <v>327.36146267270971</v>
      </c>
    </row>
    <row r="263" spans="2:16" x14ac:dyDescent="0.2">
      <c r="B263" s="95" t="s">
        <v>525</v>
      </c>
      <c r="C263" s="95" t="s">
        <v>538</v>
      </c>
      <c r="D263" s="95" t="s">
        <v>538</v>
      </c>
      <c r="E263" s="95" t="s">
        <v>253</v>
      </c>
      <c r="F263" s="95" t="s">
        <v>538</v>
      </c>
      <c r="G263" s="95" t="s">
        <v>53</v>
      </c>
      <c r="H263" s="95" t="s">
        <v>259</v>
      </c>
      <c r="I263" s="132">
        <v>3415</v>
      </c>
      <c r="J263" s="95">
        <v>2</v>
      </c>
      <c r="K263" s="95">
        <f t="shared" si="3"/>
        <v>0</v>
      </c>
      <c r="L263" s="95" t="str">
        <f>IFERROR(VLOOKUP(GroupPop2018[[#This Row],[Group]],Grouping[#All],2,0),"Unknown")</f>
        <v>2 - Willamette Valley, etc.</v>
      </c>
      <c r="M263" s="95" t="str">
        <f>INDEX(Frequency[Collection_Frequency],MATCH(GroupPop2018[[#This Row],[FreqCode]],Frequency[Orig_Frequency_ID],0))</f>
        <v>Every other week</v>
      </c>
      <c r="N263" s="95" t="str">
        <f>IF(GroupPop2018[[#This Row],[Group]]=1,"Metro",IF(GroupPop2018[[#This Row],[Group]]=4,"Nowhere",IF(GroupPop2018[[#This Row],[Group]]=3,"Remote",IF(GroupPop2018[[#This Row],[County]]="Marion","Marion County","Transported to Metro"))))</f>
        <v>Marion County</v>
      </c>
      <c r="O263" s="95"/>
      <c r="P263" s="100">
        <f>GroupPop2018[[#This Row],[Pop2018]]*(1+SUMIFS(Growth[GrowthRate],Growth[Grouping_ID],GroupPop2018[[#This Row],[Group]]))</f>
        <v>3637.3972717981519</v>
      </c>
    </row>
    <row r="264" spans="2:16" x14ac:dyDescent="0.2">
      <c r="B264" s="95" t="s">
        <v>525</v>
      </c>
      <c r="C264" s="95" t="s">
        <v>539</v>
      </c>
      <c r="D264" s="95" t="s">
        <v>539</v>
      </c>
      <c r="E264" s="95" t="s">
        <v>253</v>
      </c>
      <c r="F264" s="95" t="s">
        <v>539</v>
      </c>
      <c r="G264" s="95" t="s">
        <v>53</v>
      </c>
      <c r="H264" s="95" t="s">
        <v>254</v>
      </c>
      <c r="I264" s="132">
        <v>138825</v>
      </c>
      <c r="J264" s="95">
        <v>2</v>
      </c>
      <c r="K264" s="95">
        <f t="shared" si="3"/>
        <v>0</v>
      </c>
      <c r="L264" s="95" t="str">
        <f>IFERROR(VLOOKUP(GroupPop2018[[#This Row],[Group]],Grouping[#All],2,0),"Unknown")</f>
        <v>2 - Willamette Valley, etc.</v>
      </c>
      <c r="M264" s="95" t="str">
        <f>INDEX(Frequency[Collection_Frequency],MATCH(GroupPop2018[[#This Row],[FreqCode]],Frequency[Orig_Frequency_ID],0))</f>
        <v>Every other week</v>
      </c>
      <c r="N264" s="95" t="str">
        <f>IF(GroupPop2018[[#This Row],[Group]]=1,"Metro",IF(GroupPop2018[[#This Row],[Group]]=4,"Nowhere",IF(GroupPop2018[[#This Row],[Group]]=3,"Remote",IF(GroupPop2018[[#This Row],[County]]="Marion","Marion County","Transported to Metro"))))</f>
        <v>Marion County</v>
      </c>
      <c r="O264" s="95"/>
      <c r="P264" s="100">
        <f>GroupPop2018[[#This Row],[Pop2018]]*(1+SUMIFS(Growth[GrowthRate],Growth[Grouping_ID],GroupPop2018[[#This Row],[Group]]))</f>
        <v>147865.7909977682</v>
      </c>
    </row>
    <row r="265" spans="2:16" x14ac:dyDescent="0.2">
      <c r="B265" s="95" t="s">
        <v>525</v>
      </c>
      <c r="C265" s="95" t="s">
        <v>540</v>
      </c>
      <c r="D265" s="95" t="s">
        <v>533</v>
      </c>
      <c r="E265" s="95" t="s">
        <v>255</v>
      </c>
      <c r="F265" s="95" t="s">
        <v>541</v>
      </c>
      <c r="G265" s="95" t="s">
        <v>53</v>
      </c>
      <c r="H265" s="95" t="s">
        <v>254</v>
      </c>
      <c r="I265" s="132">
        <v>34500</v>
      </c>
      <c r="J265" s="95">
        <v>2</v>
      </c>
      <c r="K265" s="95">
        <f t="shared" si="3"/>
        <v>0</v>
      </c>
      <c r="L265" s="95" t="str">
        <f>IFERROR(VLOOKUP(GroupPop2018[[#This Row],[Group]],Grouping[#All],2,0),"Unknown")</f>
        <v>2 - Willamette Valley, etc.</v>
      </c>
      <c r="M265" s="95" t="str">
        <f>INDEX(Frequency[Collection_Frequency],MATCH(GroupPop2018[[#This Row],[FreqCode]],Frequency[Orig_Frequency_ID],0))</f>
        <v>Every other week</v>
      </c>
      <c r="N265" s="95" t="str">
        <f>IF(GroupPop2018[[#This Row],[Group]]=1,"Metro",IF(GroupPop2018[[#This Row],[Group]]=4,"Nowhere",IF(GroupPop2018[[#This Row],[Group]]=3,"Remote",IF(GroupPop2018[[#This Row],[County]]="Marion","Marion County","Transported to Metro"))))</f>
        <v>Marion County</v>
      </c>
      <c r="O265" s="95"/>
      <c r="P265" s="100">
        <f>GroupPop2018[[#This Row],[Pop2018]]*(1+SUMIFS(Growth[GrowthRate],Growth[Grouping_ID],GroupPop2018[[#This Row],[Group]]))</f>
        <v>36746.765996203874</v>
      </c>
    </row>
    <row r="266" spans="2:16" x14ac:dyDescent="0.2">
      <c r="B266" s="95" t="s">
        <v>525</v>
      </c>
      <c r="C266" s="95" t="s">
        <v>542</v>
      </c>
      <c r="D266" s="95" t="s">
        <v>542</v>
      </c>
      <c r="E266" s="95" t="s">
        <v>253</v>
      </c>
      <c r="F266" s="95" t="s">
        <v>542</v>
      </c>
      <c r="G266" s="95" t="s">
        <v>53</v>
      </c>
      <c r="H266" s="95" t="s">
        <v>259</v>
      </c>
      <c r="I266" s="132">
        <v>375</v>
      </c>
      <c r="J266" s="95">
        <v>2</v>
      </c>
      <c r="K266" s="95">
        <f t="shared" si="3"/>
        <v>0</v>
      </c>
      <c r="L266" s="95" t="str">
        <f>IFERROR(VLOOKUP(GroupPop2018[[#This Row],[Group]],Grouping[#All],2,0),"Unknown")</f>
        <v>2 - Willamette Valley, etc.</v>
      </c>
      <c r="M266" s="95" t="str">
        <f>INDEX(Frequency[Collection_Frequency],MATCH(GroupPop2018[[#This Row],[FreqCode]],Frequency[Orig_Frequency_ID],0))</f>
        <v>Every other week</v>
      </c>
      <c r="N266" s="95" t="str">
        <f>IF(GroupPop2018[[#This Row],[Group]]=1,"Metro",IF(GroupPop2018[[#This Row],[Group]]=4,"Nowhere",IF(GroupPop2018[[#This Row],[Group]]=3,"Remote",IF(GroupPop2018[[#This Row],[County]]="Marion","Marion County","Transported to Metro"))))</f>
        <v>Marion County</v>
      </c>
      <c r="O266" s="95"/>
      <c r="P266" s="100">
        <f>GroupPop2018[[#This Row],[Pop2018]]*(1+SUMIFS(Growth[GrowthRate],Growth[Grouping_ID],GroupPop2018[[#This Row],[Group]]))</f>
        <v>399.42136952395521</v>
      </c>
    </row>
    <row r="267" spans="2:16" x14ac:dyDescent="0.2">
      <c r="B267" s="95" t="s">
        <v>525</v>
      </c>
      <c r="C267" s="95" t="s">
        <v>543</v>
      </c>
      <c r="D267" s="95" t="s">
        <v>543</v>
      </c>
      <c r="E267" s="95" t="s">
        <v>253</v>
      </c>
      <c r="F267" s="95" t="s">
        <v>543</v>
      </c>
      <c r="G267" s="95" t="s">
        <v>53</v>
      </c>
      <c r="H267" s="95" t="s">
        <v>254</v>
      </c>
      <c r="I267" s="132">
        <v>10325</v>
      </c>
      <c r="J267" s="95">
        <v>2</v>
      </c>
      <c r="K267" s="95">
        <f t="shared" si="3"/>
        <v>0</v>
      </c>
      <c r="L267" s="95" t="str">
        <f>IFERROR(VLOOKUP(GroupPop2018[[#This Row],[Group]],Grouping[#All],2,0),"Unknown")</f>
        <v>2 - Willamette Valley, etc.</v>
      </c>
      <c r="M267" s="95" t="str">
        <f>INDEX(Frequency[Collection_Frequency],MATCH(GroupPop2018[[#This Row],[FreqCode]],Frequency[Orig_Frequency_ID],0))</f>
        <v>Every other week</v>
      </c>
      <c r="N267" s="95" t="str">
        <f>IF(GroupPop2018[[#This Row],[Group]]=1,"Metro",IF(GroupPop2018[[#This Row],[Group]]=4,"Nowhere",IF(GroupPop2018[[#This Row],[Group]]=3,"Remote",IF(GroupPop2018[[#This Row],[County]]="Marion","Marion County","Transported to Metro"))))</f>
        <v>Marion County</v>
      </c>
      <c r="O267" s="95"/>
      <c r="P267" s="100">
        <f>GroupPop2018[[#This Row],[Pop2018]]*(1+SUMIFS(Growth[GrowthRate],Growth[Grouping_ID],GroupPop2018[[#This Row],[Group]]))</f>
        <v>10997.401707559566</v>
      </c>
    </row>
    <row r="268" spans="2:16" x14ac:dyDescent="0.2">
      <c r="B268" s="95" t="s">
        <v>525</v>
      </c>
      <c r="C268" s="95" t="s">
        <v>543</v>
      </c>
      <c r="D268" s="95" t="s">
        <v>543</v>
      </c>
      <c r="E268" s="95" t="s">
        <v>255</v>
      </c>
      <c r="F268" s="95" t="s">
        <v>544</v>
      </c>
      <c r="G268" s="95" t="s">
        <v>53</v>
      </c>
      <c r="H268" s="95" t="s">
        <v>254</v>
      </c>
      <c r="I268" s="132">
        <v>1400</v>
      </c>
      <c r="J268" s="95">
        <v>2</v>
      </c>
      <c r="K268" s="95">
        <f t="shared" si="3"/>
        <v>0</v>
      </c>
      <c r="L268" s="95" t="str">
        <f>IFERROR(VLOOKUP(GroupPop2018[[#This Row],[Group]],Grouping[#All],2,0),"Unknown")</f>
        <v>2 - Willamette Valley, etc.</v>
      </c>
      <c r="M268" s="95" t="str">
        <f>INDEX(Frequency[Collection_Frequency],MATCH(GroupPop2018[[#This Row],[FreqCode]],Frequency[Orig_Frequency_ID],0))</f>
        <v>Every other week</v>
      </c>
      <c r="N268" s="95" t="str">
        <f>IF(GroupPop2018[[#This Row],[Group]]=1,"Metro",IF(GroupPop2018[[#This Row],[Group]]=4,"Nowhere",IF(GroupPop2018[[#This Row],[Group]]=3,"Remote",IF(GroupPop2018[[#This Row],[County]]="Marion","Marion County","Transported to Metro"))))</f>
        <v>Marion County</v>
      </c>
      <c r="O268" s="95"/>
      <c r="P268" s="100">
        <f>GroupPop2018[[#This Row],[Pop2018]]*(1+SUMIFS(Growth[GrowthRate],Growth[Grouping_ID],GroupPop2018[[#This Row],[Group]]))</f>
        <v>1491.1731128894328</v>
      </c>
    </row>
    <row r="269" spans="2:16" x14ac:dyDescent="0.2">
      <c r="B269" s="95" t="s">
        <v>525</v>
      </c>
      <c r="C269" s="95" t="s">
        <v>545</v>
      </c>
      <c r="D269" s="95" t="s">
        <v>545</v>
      </c>
      <c r="E269" s="95" t="s">
        <v>253</v>
      </c>
      <c r="F269" s="95" t="s">
        <v>545</v>
      </c>
      <c r="G269" s="95" t="s">
        <v>53</v>
      </c>
      <c r="H269" s="95" t="s">
        <v>259</v>
      </c>
      <c r="I269" s="132">
        <v>435</v>
      </c>
      <c r="J269" s="95">
        <v>2</v>
      </c>
      <c r="K269" s="95">
        <f t="shared" si="3"/>
        <v>0</v>
      </c>
      <c r="L269" s="95" t="str">
        <f>IFERROR(VLOOKUP(GroupPop2018[[#This Row],[Group]],Grouping[#All],2,0),"Unknown")</f>
        <v>2 - Willamette Valley, etc.</v>
      </c>
      <c r="M269" s="95" t="str">
        <f>INDEX(Frequency[Collection_Frequency],MATCH(GroupPop2018[[#This Row],[FreqCode]],Frequency[Orig_Frequency_ID],0))</f>
        <v>Every other week</v>
      </c>
      <c r="N269" s="95" t="str">
        <f>IF(GroupPop2018[[#This Row],[Group]]=1,"Metro",IF(GroupPop2018[[#This Row],[Group]]=4,"Nowhere",IF(GroupPop2018[[#This Row],[Group]]=3,"Remote",IF(GroupPop2018[[#This Row],[County]]="Marion","Marion County","Transported to Metro"))))</f>
        <v>Marion County</v>
      </c>
      <c r="O269" s="95"/>
      <c r="P269" s="100">
        <f>GroupPop2018[[#This Row],[Pop2018]]*(1+SUMIFS(Growth[GrowthRate],Growth[Grouping_ID],GroupPop2018[[#This Row],[Group]]))</f>
        <v>463.32878864778803</v>
      </c>
    </row>
    <row r="270" spans="2:16" x14ac:dyDescent="0.2">
      <c r="B270" s="95" t="s">
        <v>525</v>
      </c>
      <c r="C270" s="95" t="s">
        <v>546</v>
      </c>
      <c r="D270" s="95" t="s">
        <v>546</v>
      </c>
      <c r="E270" s="95" t="s">
        <v>253</v>
      </c>
      <c r="F270" s="95" t="s">
        <v>546</v>
      </c>
      <c r="G270" s="95" t="s">
        <v>53</v>
      </c>
      <c r="H270" s="95" t="s">
        <v>254</v>
      </c>
      <c r="I270" s="132">
        <v>7810</v>
      </c>
      <c r="J270" s="95">
        <v>2</v>
      </c>
      <c r="K270" s="95">
        <f t="shared" si="3"/>
        <v>0</v>
      </c>
      <c r="L270" s="95" t="str">
        <f>IFERROR(VLOOKUP(GroupPop2018[[#This Row],[Group]],Grouping[#All],2,0),"Unknown")</f>
        <v>2 - Willamette Valley, etc.</v>
      </c>
      <c r="M270" s="95" t="str">
        <f>INDEX(Frequency[Collection_Frequency],MATCH(GroupPop2018[[#This Row],[FreqCode]],Frequency[Orig_Frequency_ID],0))</f>
        <v>Every other week</v>
      </c>
      <c r="N270" s="95" t="str">
        <f>IF(GroupPop2018[[#This Row],[Group]]=1,"Metro",IF(GroupPop2018[[#This Row],[Group]]=4,"Nowhere",IF(GroupPop2018[[#This Row],[Group]]=3,"Remote",IF(GroupPop2018[[#This Row],[County]]="Marion","Marion County","Transported to Metro"))))</f>
        <v>Marion County</v>
      </c>
      <c r="O270" s="95"/>
      <c r="P270" s="100">
        <f>GroupPop2018[[#This Row],[Pop2018]]*(1+SUMIFS(Growth[GrowthRate],Growth[Grouping_ID],GroupPop2018[[#This Row],[Group]]))</f>
        <v>8318.6157226189061</v>
      </c>
    </row>
    <row r="271" spans="2:16" x14ac:dyDescent="0.2">
      <c r="B271" s="95" t="s">
        <v>525</v>
      </c>
      <c r="C271" s="95" t="s">
        <v>546</v>
      </c>
      <c r="D271" s="95" t="s">
        <v>546</v>
      </c>
      <c r="E271" s="95" t="s">
        <v>255</v>
      </c>
      <c r="F271" s="95" t="s">
        <v>547</v>
      </c>
      <c r="G271" s="95" t="s">
        <v>53</v>
      </c>
      <c r="H271" s="95" t="s">
        <v>254</v>
      </c>
      <c r="I271" s="132">
        <v>1100</v>
      </c>
      <c r="J271" s="95">
        <v>2</v>
      </c>
      <c r="K271" s="95">
        <f t="shared" si="3"/>
        <v>0</v>
      </c>
      <c r="L271" s="95" t="str">
        <f>IFERROR(VLOOKUP(GroupPop2018[[#This Row],[Group]],Grouping[#All],2,0),"Unknown")</f>
        <v>2 - Willamette Valley, etc.</v>
      </c>
      <c r="M271" s="95" t="str">
        <f>INDEX(Frequency[Collection_Frequency],MATCH(GroupPop2018[[#This Row],[FreqCode]],Frequency[Orig_Frequency_ID],0))</f>
        <v>Every other week</v>
      </c>
      <c r="N271" s="95" t="str">
        <f>IF(GroupPop2018[[#This Row],[Group]]=1,"Metro",IF(GroupPop2018[[#This Row],[Group]]=4,"Nowhere",IF(GroupPop2018[[#This Row],[Group]]=3,"Remote",IF(GroupPop2018[[#This Row],[County]]="Marion","Marion County","Transported to Metro"))))</f>
        <v>Marion County</v>
      </c>
      <c r="O271" s="95"/>
      <c r="P271" s="100">
        <f>GroupPop2018[[#This Row],[Pop2018]]*(1+SUMIFS(Growth[GrowthRate],Growth[Grouping_ID],GroupPop2018[[#This Row],[Group]]))</f>
        <v>1171.6360172702684</v>
      </c>
    </row>
    <row r="272" spans="2:16" x14ac:dyDescent="0.2">
      <c r="B272" s="95" t="s">
        <v>525</v>
      </c>
      <c r="C272" s="95" t="s">
        <v>548</v>
      </c>
      <c r="D272" s="95" t="s">
        <v>548</v>
      </c>
      <c r="E272" s="95" t="s">
        <v>253</v>
      </c>
      <c r="F272" s="95" t="s">
        <v>548</v>
      </c>
      <c r="G272" s="95" t="s">
        <v>53</v>
      </c>
      <c r="H272" s="95" t="s">
        <v>259</v>
      </c>
      <c r="I272" s="132">
        <v>2890</v>
      </c>
      <c r="J272" s="95">
        <v>2</v>
      </c>
      <c r="K272" s="95">
        <f t="shared" si="3"/>
        <v>0</v>
      </c>
      <c r="L272" s="95" t="str">
        <f>IFERROR(VLOOKUP(GroupPop2018[[#This Row],[Group]],Grouping[#All],2,0),"Unknown")</f>
        <v>2 - Willamette Valley, etc.</v>
      </c>
      <c r="M272" s="95" t="str">
        <f>INDEX(Frequency[Collection_Frequency],MATCH(GroupPop2018[[#This Row],[FreqCode]],Frequency[Orig_Frequency_ID],0))</f>
        <v>Every other week</v>
      </c>
      <c r="N272" s="95" t="str">
        <f>IF(GroupPop2018[[#This Row],[Group]]=1,"Metro",IF(GroupPop2018[[#This Row],[Group]]=4,"Nowhere",IF(GroupPop2018[[#This Row],[Group]]=3,"Remote",IF(GroupPop2018[[#This Row],[County]]="Marion","Marion County","Transported to Metro"))))</f>
        <v>Marion County</v>
      </c>
      <c r="O272" s="95"/>
      <c r="P272" s="100">
        <f>GroupPop2018[[#This Row],[Pop2018]]*(1+SUMIFS(Growth[GrowthRate],Growth[Grouping_ID],GroupPop2018[[#This Row],[Group]]))</f>
        <v>3078.2073544646146</v>
      </c>
    </row>
    <row r="273" spans="2:16" x14ac:dyDescent="0.2">
      <c r="B273" s="95" t="s">
        <v>525</v>
      </c>
      <c r="C273" s="95" t="s">
        <v>549</v>
      </c>
      <c r="D273" s="95" t="s">
        <v>549</v>
      </c>
      <c r="E273" s="95" t="s">
        <v>253</v>
      </c>
      <c r="F273" s="95" t="s">
        <v>549</v>
      </c>
      <c r="G273" s="95" t="s">
        <v>53</v>
      </c>
      <c r="H273" s="95" t="s">
        <v>259</v>
      </c>
      <c r="I273" s="132">
        <v>2085</v>
      </c>
      <c r="J273" s="95">
        <v>2</v>
      </c>
      <c r="K273" s="95">
        <f t="shared" si="3"/>
        <v>0</v>
      </c>
      <c r="L273" s="95" t="str">
        <f>IFERROR(VLOOKUP(GroupPop2018[[#This Row],[Group]],Grouping[#All],2,0),"Unknown")</f>
        <v>2 - Willamette Valley, etc.</v>
      </c>
      <c r="M273" s="95" t="str">
        <f>INDEX(Frequency[Collection_Frequency],MATCH(GroupPop2018[[#This Row],[FreqCode]],Frequency[Orig_Frequency_ID],0))</f>
        <v>Every other week</v>
      </c>
      <c r="N273" s="95" t="str">
        <f>IF(GroupPop2018[[#This Row],[Group]]=1,"Metro",IF(GroupPop2018[[#This Row],[Group]]=4,"Nowhere",IF(GroupPop2018[[#This Row],[Group]]=3,"Remote",IF(GroupPop2018[[#This Row],[County]]="Marion","Marion County","Transported to Metro"))))</f>
        <v>Marion County</v>
      </c>
      <c r="O273" s="95"/>
      <c r="P273" s="100">
        <f>GroupPop2018[[#This Row],[Pop2018]]*(1+SUMIFS(Growth[GrowthRate],Growth[Grouping_ID],GroupPop2018[[#This Row],[Group]]))</f>
        <v>2220.7828145531907</v>
      </c>
    </row>
    <row r="274" spans="2:16" x14ac:dyDescent="0.2">
      <c r="B274" s="95" t="s">
        <v>525</v>
      </c>
      <c r="C274" s="95" t="s">
        <v>550</v>
      </c>
      <c r="D274" s="95" t="s">
        <v>550</v>
      </c>
      <c r="E274" s="95" t="s">
        <v>253</v>
      </c>
      <c r="F274" s="95" t="s">
        <v>550</v>
      </c>
      <c r="G274" s="95" t="s">
        <v>53</v>
      </c>
      <c r="H274" s="95" t="s">
        <v>254</v>
      </c>
      <c r="I274" s="132">
        <v>24760</v>
      </c>
      <c r="J274" s="95">
        <v>2</v>
      </c>
      <c r="K274" s="95">
        <f t="shared" si="3"/>
        <v>0</v>
      </c>
      <c r="L274" s="95" t="str">
        <f>IFERROR(VLOOKUP(GroupPop2018[[#This Row],[Group]],Grouping[#All],2,0),"Unknown")</f>
        <v>2 - Willamette Valley, etc.</v>
      </c>
      <c r="M274" s="95" t="str">
        <f>INDEX(Frequency[Collection_Frequency],MATCH(GroupPop2018[[#This Row],[FreqCode]],Frequency[Orig_Frequency_ID],0))</f>
        <v>Every other week</v>
      </c>
      <c r="N274" s="95" t="str">
        <f>IF(GroupPop2018[[#This Row],[Group]]=1,"Metro",IF(GroupPop2018[[#This Row],[Group]]=4,"Nowhere",IF(GroupPop2018[[#This Row],[Group]]=3,"Remote",IF(GroupPop2018[[#This Row],[County]]="Marion","Marion County","Transported to Metro"))))</f>
        <v>Marion County</v>
      </c>
      <c r="O274" s="95"/>
      <c r="P274" s="100">
        <f>GroupPop2018[[#This Row],[Pop2018]]*(1+SUMIFS(Growth[GrowthRate],Growth[Grouping_ID],GroupPop2018[[#This Row],[Group]]))</f>
        <v>26372.461625101681</v>
      </c>
    </row>
    <row r="275" spans="2:16" x14ac:dyDescent="0.2">
      <c r="B275" s="95" t="s">
        <v>525</v>
      </c>
      <c r="C275" s="95" t="s">
        <v>550</v>
      </c>
      <c r="D275" s="95" t="s">
        <v>550</v>
      </c>
      <c r="E275" s="95" t="s">
        <v>255</v>
      </c>
      <c r="F275" s="95" t="s">
        <v>551</v>
      </c>
      <c r="G275" s="95" t="s">
        <v>53</v>
      </c>
      <c r="H275" s="95" t="s">
        <v>254</v>
      </c>
      <c r="I275" s="132">
        <v>1000</v>
      </c>
      <c r="J275" s="95">
        <v>2</v>
      </c>
      <c r="K275" s="95">
        <f t="shared" ref="K275:K338" si="4">COUNTIFS($B$1:$B$16,C275,$D$1:$D$16,E275)</f>
        <v>0</v>
      </c>
      <c r="L275" s="95" t="str">
        <f>IFERROR(VLOOKUP(GroupPop2018[[#This Row],[Group]],Grouping[#All],2,0),"Unknown")</f>
        <v>2 - Willamette Valley, etc.</v>
      </c>
      <c r="M275" s="95" t="str">
        <f>INDEX(Frequency[Collection_Frequency],MATCH(GroupPop2018[[#This Row],[FreqCode]],Frequency[Orig_Frequency_ID],0))</f>
        <v>Every other week</v>
      </c>
      <c r="N275" s="95" t="str">
        <f>IF(GroupPop2018[[#This Row],[Group]]=1,"Metro",IF(GroupPop2018[[#This Row],[Group]]=4,"Nowhere",IF(GroupPop2018[[#This Row],[Group]]=3,"Remote",IF(GroupPop2018[[#This Row],[County]]="Marion","Marion County","Transported to Metro"))))</f>
        <v>Marion County</v>
      </c>
      <c r="O275" s="95"/>
      <c r="P275" s="100">
        <f>GroupPop2018[[#This Row],[Pop2018]]*(1+SUMIFS(Growth[GrowthRate],Growth[Grouping_ID],GroupPop2018[[#This Row],[Group]]))</f>
        <v>1065.1236520638804</v>
      </c>
    </row>
    <row r="276" spans="2:16" x14ac:dyDescent="0.2">
      <c r="B276" s="95" t="s">
        <v>552</v>
      </c>
      <c r="C276" s="95" t="s">
        <v>553</v>
      </c>
      <c r="D276" s="95" t="s">
        <v>553</v>
      </c>
      <c r="E276" s="95" t="s">
        <v>253</v>
      </c>
      <c r="F276" s="95" t="s">
        <v>553</v>
      </c>
      <c r="G276" s="95" t="s">
        <v>127</v>
      </c>
      <c r="H276" s="95" t="s">
        <v>259</v>
      </c>
      <c r="I276" s="132">
        <v>3690</v>
      </c>
      <c r="J276" s="95">
        <v>4</v>
      </c>
      <c r="K276" s="95">
        <f t="shared" si="4"/>
        <v>0</v>
      </c>
      <c r="L276" s="95" t="str">
        <f>IFERROR(VLOOKUP(GroupPop2018[[#This Row],[Group]],Grouping[#All],2,0),"Unknown")</f>
        <v>4 - Areas without curbside</v>
      </c>
      <c r="M276" s="95" t="str">
        <f>INDEX(Frequency[Collection_Frequency],MATCH(GroupPop2018[[#This Row],[FreqCode]],Frequency[Orig_Frequency_ID],0))</f>
        <v>No collection</v>
      </c>
      <c r="N276" s="95" t="str">
        <f>IF(GroupPop2018[[#This Row],[Group]]=1,"Metro",IF(GroupPop2018[[#This Row],[Group]]=4,"Nowhere",IF(GroupPop2018[[#This Row],[Group]]=3,"Remote",IF(GroupPop2018[[#This Row],[County]]="Marion","Marion County","Transported to Metro"))))</f>
        <v>Nowhere</v>
      </c>
      <c r="O276" s="95"/>
      <c r="P276" s="100">
        <f>GroupPop2018[[#This Row],[Pop2018]]*(1+SUMIFS(Growth[GrowthRate],Growth[Grouping_ID],GroupPop2018[[#This Row],[Group]]))</f>
        <v>3960.5370402042586</v>
      </c>
    </row>
    <row r="277" spans="2:16" x14ac:dyDescent="0.2">
      <c r="B277" s="95" t="s">
        <v>552</v>
      </c>
      <c r="C277" s="95" t="s">
        <v>554</v>
      </c>
      <c r="D277" s="95" t="s">
        <v>554</v>
      </c>
      <c r="E277" s="95" t="s">
        <v>253</v>
      </c>
      <c r="F277" s="95" t="s">
        <v>554</v>
      </c>
      <c r="G277" s="95" t="s">
        <v>127</v>
      </c>
      <c r="H277" s="95" t="s">
        <v>259</v>
      </c>
      <c r="I277" s="132">
        <v>1295</v>
      </c>
      <c r="J277" s="95">
        <v>4</v>
      </c>
      <c r="K277" s="95">
        <f t="shared" si="4"/>
        <v>0</v>
      </c>
      <c r="L277" s="95" t="str">
        <f>IFERROR(VLOOKUP(GroupPop2018[[#This Row],[Group]],Grouping[#All],2,0),"Unknown")</f>
        <v>4 - Areas without curbside</v>
      </c>
      <c r="M277" s="95" t="str">
        <f>INDEX(Frequency[Collection_Frequency],MATCH(GroupPop2018[[#This Row],[FreqCode]],Frequency[Orig_Frequency_ID],0))</f>
        <v>No collection</v>
      </c>
      <c r="N277" s="95" t="str">
        <f>IF(GroupPop2018[[#This Row],[Group]]=1,"Metro",IF(GroupPop2018[[#This Row],[Group]]=4,"Nowhere",IF(GroupPop2018[[#This Row],[Group]]=3,"Remote",IF(GroupPop2018[[#This Row],[County]]="Marion","Marion County","Transported to Metro"))))</f>
        <v>Nowhere</v>
      </c>
      <c r="O277" s="95"/>
      <c r="P277" s="100">
        <f>GroupPop2018[[#This Row],[Pop2018]]*(1+SUMIFS(Growth[GrowthRate],Growth[Grouping_ID],GroupPop2018[[#This Row],[Group]]))</f>
        <v>1389.9445710201937</v>
      </c>
    </row>
    <row r="278" spans="2:16" x14ac:dyDescent="0.2">
      <c r="B278" s="95" t="s">
        <v>552</v>
      </c>
      <c r="C278" s="95" t="s">
        <v>555</v>
      </c>
      <c r="D278" s="95" t="s">
        <v>555</v>
      </c>
      <c r="E278" s="95" t="s">
        <v>253</v>
      </c>
      <c r="F278" s="95" t="s">
        <v>555</v>
      </c>
      <c r="G278" s="95" t="s">
        <v>127</v>
      </c>
      <c r="H278" s="95" t="s">
        <v>259</v>
      </c>
      <c r="I278" s="132">
        <v>330</v>
      </c>
      <c r="J278" s="95">
        <v>4</v>
      </c>
      <c r="K278" s="95">
        <f t="shared" si="4"/>
        <v>0</v>
      </c>
      <c r="L278" s="95" t="str">
        <f>IFERROR(VLOOKUP(GroupPop2018[[#This Row],[Group]],Grouping[#All],2,0),"Unknown")</f>
        <v>4 - Areas without curbside</v>
      </c>
      <c r="M278" s="95" t="str">
        <f>INDEX(Frequency[Collection_Frequency],MATCH(GroupPop2018[[#This Row],[FreqCode]],Frequency[Orig_Frequency_ID],0))</f>
        <v>No collection</v>
      </c>
      <c r="N278" s="95" t="str">
        <f>IF(GroupPop2018[[#This Row],[Group]]=1,"Metro",IF(GroupPop2018[[#This Row],[Group]]=4,"Nowhere",IF(GroupPop2018[[#This Row],[Group]]=3,"Remote",IF(GroupPop2018[[#This Row],[County]]="Marion","Marion County","Transported to Metro"))))</f>
        <v>Nowhere</v>
      </c>
      <c r="O278" s="95"/>
      <c r="P278" s="100">
        <f>GroupPop2018[[#This Row],[Pop2018]]*(1+SUMIFS(Growth[GrowthRate],Growth[Grouping_ID],GroupPop2018[[#This Row],[Group]]))</f>
        <v>354.19436944916134</v>
      </c>
    </row>
    <row r="279" spans="2:16" x14ac:dyDescent="0.2">
      <c r="B279" s="95" t="s">
        <v>552</v>
      </c>
      <c r="C279" s="95" t="s">
        <v>556</v>
      </c>
      <c r="D279" s="95" t="s">
        <v>556</v>
      </c>
      <c r="E279" s="95" t="s">
        <v>253</v>
      </c>
      <c r="F279" s="95" t="s">
        <v>556</v>
      </c>
      <c r="G279" s="95" t="s">
        <v>127</v>
      </c>
      <c r="H279" s="95" t="s">
        <v>259</v>
      </c>
      <c r="I279" s="132">
        <v>1990</v>
      </c>
      <c r="J279" s="95">
        <v>4</v>
      </c>
      <c r="K279" s="95">
        <f t="shared" si="4"/>
        <v>0</v>
      </c>
      <c r="L279" s="95" t="str">
        <f>IFERROR(VLOOKUP(GroupPop2018[[#This Row],[Group]],Grouping[#All],2,0),"Unknown")</f>
        <v>4 - Areas without curbside</v>
      </c>
      <c r="M279" s="95" t="str">
        <f>INDEX(Frequency[Collection_Frequency],MATCH(GroupPop2018[[#This Row],[FreqCode]],Frequency[Orig_Frequency_ID],0))</f>
        <v>No collection</v>
      </c>
      <c r="N279" s="95" t="str">
        <f>IF(GroupPop2018[[#This Row],[Group]]=1,"Metro",IF(GroupPop2018[[#This Row],[Group]]=4,"Nowhere",IF(GroupPop2018[[#This Row],[Group]]=3,"Remote",IF(GroupPop2018[[#This Row],[County]]="Marion","Marion County","Transported to Metro"))))</f>
        <v>Nowhere</v>
      </c>
      <c r="O279" s="95"/>
      <c r="P279" s="100">
        <f>GroupPop2018[[#This Row],[Pop2018]]*(1+SUMIFS(Growth[GrowthRate],Growth[Grouping_ID],GroupPop2018[[#This Row],[Group]]))</f>
        <v>2135.8993794055486</v>
      </c>
    </row>
    <row r="280" spans="2:16" x14ac:dyDescent="0.2">
      <c r="B280" s="95" t="s">
        <v>552</v>
      </c>
      <c r="C280" s="95" t="s">
        <v>557</v>
      </c>
      <c r="D280" s="95" t="s">
        <v>557</v>
      </c>
      <c r="E280" s="95" t="s">
        <v>253</v>
      </c>
      <c r="F280" s="95" t="s">
        <v>557</v>
      </c>
      <c r="G280" s="95" t="s">
        <v>127</v>
      </c>
      <c r="H280" s="95" t="s">
        <v>259</v>
      </c>
      <c r="I280" s="132">
        <v>265</v>
      </c>
      <c r="J280" s="95">
        <v>4</v>
      </c>
      <c r="K280" s="95">
        <f t="shared" si="4"/>
        <v>0</v>
      </c>
      <c r="L280" s="95" t="str">
        <f>IFERROR(VLOOKUP(GroupPop2018[[#This Row],[Group]],Grouping[#All],2,0),"Unknown")</f>
        <v>4 - Areas without curbside</v>
      </c>
      <c r="M280" s="95" t="str">
        <f>INDEX(Frequency[Collection_Frequency],MATCH(GroupPop2018[[#This Row],[FreqCode]],Frequency[Orig_Frequency_ID],0))</f>
        <v>No collection</v>
      </c>
      <c r="N280" s="95" t="str">
        <f>IF(GroupPop2018[[#This Row],[Group]]=1,"Metro",IF(GroupPop2018[[#This Row],[Group]]=4,"Nowhere",IF(GroupPop2018[[#This Row],[Group]]=3,"Remote",IF(GroupPop2018[[#This Row],[County]]="Marion","Marion County","Transported to Metro"))))</f>
        <v>Nowhere</v>
      </c>
      <c r="O280" s="95"/>
      <c r="P280" s="100">
        <f>GroupPop2018[[#This Row],[Pop2018]]*(1+SUMIFS(Growth[GrowthRate],Growth[Grouping_ID],GroupPop2018[[#This Row],[Group]]))</f>
        <v>284.42881183038713</v>
      </c>
    </row>
    <row r="281" spans="2:16" x14ac:dyDescent="0.2">
      <c r="B281" s="95" t="s">
        <v>552</v>
      </c>
      <c r="C281" s="95" t="s">
        <v>558</v>
      </c>
      <c r="D281" s="95" t="s">
        <v>558</v>
      </c>
      <c r="E281" s="95" t="s">
        <v>258</v>
      </c>
      <c r="F281" s="95" t="s">
        <v>558</v>
      </c>
      <c r="G281" s="95" t="s">
        <v>127</v>
      </c>
      <c r="H281" s="95" t="s">
        <v>259</v>
      </c>
      <c r="I281" s="132">
        <v>4315</v>
      </c>
      <c r="J281" s="95">
        <v>4</v>
      </c>
      <c r="K281" s="95">
        <f t="shared" si="4"/>
        <v>0</v>
      </c>
      <c r="L281" s="95" t="str">
        <f>IFERROR(VLOOKUP(GroupPop2018[[#This Row],[Group]],Grouping[#All],2,0),"Unknown")</f>
        <v>4 - Areas without curbside</v>
      </c>
      <c r="M281" s="95" t="str">
        <f>INDEX(Frequency[Collection_Frequency],MATCH(GroupPop2018[[#This Row],[FreqCode]],Frequency[Orig_Frequency_ID],0))</f>
        <v>No collection</v>
      </c>
      <c r="N281" s="95" t="str">
        <f>IF(GroupPop2018[[#This Row],[Group]]=1,"Metro",IF(GroupPop2018[[#This Row],[Group]]=4,"Nowhere",IF(GroupPop2018[[#This Row],[Group]]=3,"Remote",IF(GroupPop2018[[#This Row],[County]]="Marion","Marion County","Transported to Metro"))))</f>
        <v>Nowhere</v>
      </c>
      <c r="O281" s="95"/>
      <c r="P281" s="100">
        <f>GroupPop2018[[#This Row],[Pop2018]]*(1+SUMIFS(Growth[GrowthRate],Growth[Grouping_ID],GroupPop2018[[#This Row],[Group]]))</f>
        <v>4631.359709615549</v>
      </c>
    </row>
    <row r="282" spans="2:16" x14ac:dyDescent="0.2">
      <c r="B282" s="95" t="s">
        <v>559</v>
      </c>
      <c r="C282" s="95" t="s">
        <v>560</v>
      </c>
      <c r="D282" s="95" t="s">
        <v>560</v>
      </c>
      <c r="E282" s="95" t="s">
        <v>253</v>
      </c>
      <c r="F282" s="95" t="s">
        <v>560</v>
      </c>
      <c r="G282" s="95" t="s">
        <v>64</v>
      </c>
      <c r="H282" s="95" t="s">
        <v>254</v>
      </c>
      <c r="I282" s="132">
        <v>8990</v>
      </c>
      <c r="J282" s="95">
        <v>1</v>
      </c>
      <c r="K282" s="95">
        <f t="shared" si="4"/>
        <v>0</v>
      </c>
      <c r="L282" s="95" t="str">
        <f>IFERROR(VLOOKUP(GroupPop2018[[#This Row],[Group]],Grouping[#All],2,0),"Unknown")</f>
        <v>1 - Metro area</v>
      </c>
      <c r="M282" s="95" t="str">
        <f>INDEX(Frequency[Collection_Frequency],MATCH(GroupPop2018[[#This Row],[FreqCode]],Frequency[Orig_Frequency_ID],0))</f>
        <v>Weekly</v>
      </c>
      <c r="N282" s="95" t="str">
        <f>IF(GroupPop2018[[#This Row],[Group]]=1,"Metro",IF(GroupPop2018[[#This Row],[Group]]=4,"Nowhere",IF(GroupPop2018[[#This Row],[Group]]=3,"Remote",IF(GroupPop2018[[#This Row],[County]]="Marion","Marion County","Transported to Metro"))))</f>
        <v>Metro</v>
      </c>
      <c r="O282" s="95"/>
      <c r="P282" s="100">
        <f>GroupPop2018[[#This Row],[Pop2018]]*(1+SUMIFS(Growth[GrowthRate],Growth[Grouping_ID],GroupPop2018[[#This Row],[Group]]))</f>
        <v>9760.5518745191021</v>
      </c>
    </row>
    <row r="283" spans="2:16" x14ac:dyDescent="0.2">
      <c r="B283" s="95" t="s">
        <v>559</v>
      </c>
      <c r="C283" s="95" t="s">
        <v>561</v>
      </c>
      <c r="D283" s="95" t="s">
        <v>561</v>
      </c>
      <c r="E283" s="95" t="s">
        <v>253</v>
      </c>
      <c r="F283" s="95" t="s">
        <v>561</v>
      </c>
      <c r="G283" s="95" t="s">
        <v>64</v>
      </c>
      <c r="H283" s="95" t="s">
        <v>254</v>
      </c>
      <c r="I283" s="132">
        <v>110505</v>
      </c>
      <c r="J283" s="95">
        <v>1</v>
      </c>
      <c r="K283" s="95">
        <f t="shared" si="4"/>
        <v>0</v>
      </c>
      <c r="L283" s="95" t="str">
        <f>IFERROR(VLOOKUP(GroupPop2018[[#This Row],[Group]],Grouping[#All],2,0),"Unknown")</f>
        <v>1 - Metro area</v>
      </c>
      <c r="M283" s="95" t="str">
        <f>INDEX(Frequency[Collection_Frequency],MATCH(GroupPop2018[[#This Row],[FreqCode]],Frequency[Orig_Frequency_ID],0))</f>
        <v>Weekly</v>
      </c>
      <c r="N283" s="95" t="str">
        <f>IF(GroupPop2018[[#This Row],[Group]]=1,"Metro",IF(GroupPop2018[[#This Row],[Group]]=4,"Nowhere",IF(GroupPop2018[[#This Row],[Group]]=3,"Remote",IF(GroupPop2018[[#This Row],[County]]="Marion","Marion County","Transported to Metro"))))</f>
        <v>Metro</v>
      </c>
      <c r="O283" s="95"/>
      <c r="P283" s="100">
        <f>GroupPop2018[[#This Row],[Pop2018]]*(1+SUMIFS(Growth[GrowthRate],Growth[Grouping_ID],GroupPop2018[[#This Row],[Group]]))</f>
        <v>119976.61678461995</v>
      </c>
    </row>
    <row r="284" spans="2:16" x14ac:dyDescent="0.2">
      <c r="B284" s="95" t="s">
        <v>559</v>
      </c>
      <c r="C284" s="95" t="s">
        <v>294</v>
      </c>
      <c r="D284" s="95" t="s">
        <v>294</v>
      </c>
      <c r="E284" s="95" t="s">
        <v>253</v>
      </c>
      <c r="F284" s="95" t="s">
        <v>294</v>
      </c>
      <c r="G284" s="95" t="s">
        <v>64</v>
      </c>
      <c r="H284" s="95" t="s">
        <v>254</v>
      </c>
      <c r="I284" s="132">
        <v>2560</v>
      </c>
      <c r="J284" s="95">
        <v>1</v>
      </c>
      <c r="K284" s="95">
        <f t="shared" si="4"/>
        <v>0</v>
      </c>
      <c r="L284" s="95" t="str">
        <f>IFERROR(VLOOKUP(GroupPop2018[[#This Row],[Group]],Grouping[#All],2,0),"Unknown")</f>
        <v>1 - Metro area</v>
      </c>
      <c r="M284" s="95" t="str">
        <f>INDEX(Frequency[Collection_Frequency],MATCH(GroupPop2018[[#This Row],[FreqCode]],Frequency[Orig_Frequency_ID],0))</f>
        <v>Weekly</v>
      </c>
      <c r="N284" s="95" t="str">
        <f>IF(GroupPop2018[[#This Row],[Group]]=1,"Metro",IF(GroupPop2018[[#This Row],[Group]]=4,"Nowhere",IF(GroupPop2018[[#This Row],[Group]]=3,"Remote",IF(GroupPop2018[[#This Row],[County]]="Marion","Marion County","Transported to Metro"))))</f>
        <v>Metro</v>
      </c>
      <c r="O284" s="95"/>
      <c r="P284" s="100">
        <f>GroupPop2018[[#This Row],[Pop2018]]*(1+SUMIFS(Growth[GrowthRate],Growth[Grouping_ID],GroupPop2018[[#This Row],[Group]]))</f>
        <v>2779.4230032001001</v>
      </c>
    </row>
    <row r="285" spans="2:16" x14ac:dyDescent="0.2">
      <c r="B285" s="95" t="s">
        <v>559</v>
      </c>
      <c r="C285" s="95" t="s">
        <v>562</v>
      </c>
      <c r="D285" s="95" t="s">
        <v>562</v>
      </c>
      <c r="E285" s="95" t="s">
        <v>253</v>
      </c>
      <c r="F285" s="95" t="s">
        <v>562</v>
      </c>
      <c r="G285" s="95" t="s">
        <v>64</v>
      </c>
      <c r="H285" s="95" t="s">
        <v>254</v>
      </c>
      <c r="I285" s="132">
        <v>750</v>
      </c>
      <c r="J285" s="95">
        <v>1</v>
      </c>
      <c r="K285" s="95">
        <f t="shared" si="4"/>
        <v>0</v>
      </c>
      <c r="L285" s="95" t="str">
        <f>IFERROR(VLOOKUP(GroupPop2018[[#This Row],[Group]],Grouping[#All],2,0),"Unknown")</f>
        <v>1 - Metro area</v>
      </c>
      <c r="M285" s="95" t="str">
        <f>INDEX(Frequency[Collection_Frequency],MATCH(GroupPop2018[[#This Row],[FreqCode]],Frequency[Orig_Frequency_ID],0))</f>
        <v>Weekly</v>
      </c>
      <c r="N285" s="95" t="str">
        <f>IF(GroupPop2018[[#This Row],[Group]]=1,"Metro",IF(GroupPop2018[[#This Row],[Group]]=4,"Nowhere",IF(GroupPop2018[[#This Row],[Group]]=3,"Remote",IF(GroupPop2018[[#This Row],[County]]="Marion","Marion County","Transported to Metro"))))</f>
        <v>Metro</v>
      </c>
      <c r="O285" s="95"/>
      <c r="P285" s="100">
        <f>GroupPop2018[[#This Row],[Pop2018]]*(1+SUMIFS(Growth[GrowthRate],Growth[Grouping_ID],GroupPop2018[[#This Row],[Group]]))</f>
        <v>814.28408296877933</v>
      </c>
    </row>
    <row r="286" spans="2:16" x14ac:dyDescent="0.2">
      <c r="B286" s="95" t="s">
        <v>559</v>
      </c>
      <c r="C286" s="95" t="s">
        <v>563</v>
      </c>
      <c r="D286" s="95" t="s">
        <v>283</v>
      </c>
      <c r="E286" s="95" t="s">
        <v>255</v>
      </c>
      <c r="F286" s="95" t="s">
        <v>564</v>
      </c>
      <c r="G286" s="95" t="s">
        <v>64</v>
      </c>
      <c r="H286" s="95" t="s">
        <v>254</v>
      </c>
      <c r="I286" s="132">
        <v>240</v>
      </c>
      <c r="J286" s="95">
        <v>1</v>
      </c>
      <c r="K286" s="95">
        <f t="shared" si="4"/>
        <v>0</v>
      </c>
      <c r="L286" s="95" t="str">
        <f>IFERROR(VLOOKUP(GroupPop2018[[#This Row],[Group]],Grouping[#All],2,0),"Unknown")</f>
        <v>1 - Metro area</v>
      </c>
      <c r="M286" s="95" t="str">
        <f>INDEX(Frequency[Collection_Frequency],MATCH(GroupPop2018[[#This Row],[FreqCode]],Frequency[Orig_Frequency_ID],0))</f>
        <v>Weekly</v>
      </c>
      <c r="N286" s="95" t="str">
        <f>IF(GroupPop2018[[#This Row],[Group]]=1,"Metro",IF(GroupPop2018[[#This Row],[Group]]=4,"Nowhere",IF(GroupPop2018[[#This Row],[Group]]=3,"Remote",IF(GroupPop2018[[#This Row],[County]]="Marion","Marion County","Transported to Metro"))))</f>
        <v>Metro</v>
      </c>
      <c r="O286" s="95"/>
      <c r="P286" s="100">
        <f>GroupPop2018[[#This Row],[Pop2018]]*(1+SUMIFS(Growth[GrowthRate],Growth[Grouping_ID],GroupPop2018[[#This Row],[Group]]))</f>
        <v>260.5709065500094</v>
      </c>
    </row>
    <row r="287" spans="2:16" x14ac:dyDescent="0.2">
      <c r="B287" s="95" t="s">
        <v>559</v>
      </c>
      <c r="C287" s="95" t="s">
        <v>565</v>
      </c>
      <c r="D287" s="95" t="s">
        <v>566</v>
      </c>
      <c r="E287" s="95" t="s">
        <v>258</v>
      </c>
      <c r="F287" s="95" t="s">
        <v>565</v>
      </c>
      <c r="G287" s="95" t="s">
        <v>127</v>
      </c>
      <c r="H287" s="95" t="s">
        <v>259</v>
      </c>
      <c r="I287" s="132">
        <v>10000</v>
      </c>
      <c r="J287" s="95">
        <v>4</v>
      </c>
      <c r="K287" s="95">
        <f t="shared" si="4"/>
        <v>0</v>
      </c>
      <c r="L287" s="95" t="str">
        <f>IFERROR(VLOOKUP(GroupPop2018[[#This Row],[Group]],Grouping[#All],2,0),"Unknown")</f>
        <v>4 - Areas without curbside</v>
      </c>
      <c r="M287" s="95" t="str">
        <f>INDEX(Frequency[Collection_Frequency],MATCH(GroupPop2018[[#This Row],[FreqCode]],Frequency[Orig_Frequency_ID],0))</f>
        <v>No collection</v>
      </c>
      <c r="N287" s="95" t="str">
        <f>IF(GroupPop2018[[#This Row],[Group]]=1,"Metro",IF(GroupPop2018[[#This Row],[Group]]=4,"Nowhere",IF(GroupPop2018[[#This Row],[Group]]=3,"Remote",IF(GroupPop2018[[#This Row],[County]]="Marion","Marion County","Transported to Metro"))))</f>
        <v>Nowhere</v>
      </c>
      <c r="O287" s="95">
        <v>2</v>
      </c>
      <c r="P287" s="100">
        <f>GroupPop2018[[#This Row],[Pop2018]]*(1+SUMIFS(Growth[GrowthRate],Growth[Grouping_ID],GroupPop2018[[#This Row],[Group]]))</f>
        <v>10733.162710580646</v>
      </c>
    </row>
    <row r="288" spans="2:16" x14ac:dyDescent="0.2">
      <c r="B288" s="95" t="s">
        <v>559</v>
      </c>
      <c r="C288" s="95" t="s">
        <v>567</v>
      </c>
      <c r="D288" s="95" t="s">
        <v>566</v>
      </c>
      <c r="E288" s="95" t="s">
        <v>258</v>
      </c>
      <c r="F288" s="95" t="s">
        <v>567</v>
      </c>
      <c r="G288" s="95" t="s">
        <v>64</v>
      </c>
      <c r="H288" s="95" t="s">
        <v>259</v>
      </c>
      <c r="I288" s="132">
        <v>13780</v>
      </c>
      <c r="J288" s="95">
        <v>2</v>
      </c>
      <c r="K288" s="95">
        <f t="shared" si="4"/>
        <v>0</v>
      </c>
      <c r="L288" s="95" t="str">
        <f>IFERROR(VLOOKUP(GroupPop2018[[#This Row],[Group]],Grouping[#All],2,0),"Unknown")</f>
        <v>2 - Willamette Valley, etc.</v>
      </c>
      <c r="M288" s="95" t="str">
        <f>INDEX(Frequency[Collection_Frequency],MATCH(GroupPop2018[[#This Row],[FreqCode]],Frequency[Orig_Frequency_ID],0))</f>
        <v>Weekly</v>
      </c>
      <c r="N288" s="95" t="str">
        <f>IF(GroupPop2018[[#This Row],[Group]]=1,"Metro",IF(GroupPop2018[[#This Row],[Group]]=4,"Nowhere",IF(GroupPop2018[[#This Row],[Group]]=3,"Remote",IF(GroupPop2018[[#This Row],[County]]="Marion","Marion County","Transported to Metro"))))</f>
        <v>Transported to Metro</v>
      </c>
      <c r="O288" s="95">
        <v>1</v>
      </c>
      <c r="P288" s="100">
        <f>GroupPop2018[[#This Row],[Pop2018]]*(1+SUMIFS(Growth[GrowthRate],Growth[Grouping_ID],GroupPop2018[[#This Row],[Group]]))</f>
        <v>14677.403925440272</v>
      </c>
    </row>
    <row r="289" spans="2:16" x14ac:dyDescent="0.2">
      <c r="B289" s="95" t="s">
        <v>559</v>
      </c>
      <c r="C289" s="95" t="s">
        <v>299</v>
      </c>
      <c r="D289" s="95" t="s">
        <v>299</v>
      </c>
      <c r="E289" s="95" t="s">
        <v>253</v>
      </c>
      <c r="F289" s="95" t="s">
        <v>299</v>
      </c>
      <c r="G289" s="95" t="s">
        <v>64</v>
      </c>
      <c r="H289" s="95" t="s">
        <v>254</v>
      </c>
      <c r="I289" s="132">
        <v>646370</v>
      </c>
      <c r="J289" s="95">
        <v>1</v>
      </c>
      <c r="K289" s="95">
        <f t="shared" si="4"/>
        <v>0</v>
      </c>
      <c r="L289" s="95" t="str">
        <f>IFERROR(VLOOKUP(GroupPop2018[[#This Row],[Group]],Grouping[#All],2,0),"Unknown")</f>
        <v>1 - Metro area</v>
      </c>
      <c r="M289" s="95" t="str">
        <f>INDEX(Frequency[Collection_Frequency],MATCH(GroupPop2018[[#This Row],[FreqCode]],Frequency[Orig_Frequency_ID],0))</f>
        <v>Weekly</v>
      </c>
      <c r="N289" s="95" t="str">
        <f>IF(GroupPop2018[[#This Row],[Group]]=1,"Metro",IF(GroupPop2018[[#This Row],[Group]]=4,"Nowhere",IF(GroupPop2018[[#This Row],[Group]]=3,"Remote",IF(GroupPop2018[[#This Row],[County]]="Marion","Marion County","Transported to Metro"))))</f>
        <v>Metro</v>
      </c>
      <c r="O289" s="95"/>
      <c r="P289" s="100">
        <f>GroupPop2018[[#This Row],[Pop2018]]*(1+SUMIFS(Growth[GrowthRate],Growth[Grouping_ID],GroupPop2018[[#This Row],[Group]]))</f>
        <v>701771.73694470653</v>
      </c>
    </row>
    <row r="290" spans="2:16" x14ac:dyDescent="0.2">
      <c r="B290" s="95" t="s">
        <v>559</v>
      </c>
      <c r="C290" s="95" t="s">
        <v>568</v>
      </c>
      <c r="D290" s="95" t="s">
        <v>568</v>
      </c>
      <c r="E290" s="95" t="s">
        <v>253</v>
      </c>
      <c r="F290" s="95" t="s">
        <v>568</v>
      </c>
      <c r="G290" s="95" t="s">
        <v>64</v>
      </c>
      <c r="H290" s="95" t="s">
        <v>254</v>
      </c>
      <c r="I290" s="132">
        <v>16185</v>
      </c>
      <c r="J290" s="95">
        <v>1</v>
      </c>
      <c r="K290" s="95">
        <f t="shared" si="4"/>
        <v>0</v>
      </c>
      <c r="L290" s="95" t="str">
        <f>IFERROR(VLOOKUP(GroupPop2018[[#This Row],[Group]],Grouping[#All],2,0),"Unknown")</f>
        <v>1 - Metro area</v>
      </c>
      <c r="M290" s="95" t="str">
        <f>INDEX(Frequency[Collection_Frequency],MATCH(GroupPop2018[[#This Row],[FreqCode]],Frequency[Orig_Frequency_ID],0))</f>
        <v>Weekly</v>
      </c>
      <c r="N290" s="95" t="str">
        <f>IF(GroupPop2018[[#This Row],[Group]]=1,"Metro",IF(GroupPop2018[[#This Row],[Group]]=4,"Nowhere",IF(GroupPop2018[[#This Row],[Group]]=3,"Remote",IF(GroupPop2018[[#This Row],[County]]="Marion","Marion County","Transported to Metro"))))</f>
        <v>Metro</v>
      </c>
      <c r="O290" s="95"/>
      <c r="P290" s="100">
        <f>GroupPop2018[[#This Row],[Pop2018]]*(1+SUMIFS(Growth[GrowthRate],Growth[Grouping_ID],GroupPop2018[[#This Row],[Group]]))</f>
        <v>17572.25051046626</v>
      </c>
    </row>
    <row r="291" spans="2:16" x14ac:dyDescent="0.2">
      <c r="B291" s="95" t="s">
        <v>559</v>
      </c>
      <c r="C291" s="95" t="s">
        <v>569</v>
      </c>
      <c r="D291" s="95" t="s">
        <v>569</v>
      </c>
      <c r="E291" s="95" t="s">
        <v>253</v>
      </c>
      <c r="F291" s="95" t="s">
        <v>569</v>
      </c>
      <c r="G291" s="95" t="s">
        <v>64</v>
      </c>
      <c r="H291" s="95" t="s">
        <v>254</v>
      </c>
      <c r="I291" s="132">
        <v>3920</v>
      </c>
      <c r="J291" s="95">
        <v>1</v>
      </c>
      <c r="K291" s="95">
        <f t="shared" si="4"/>
        <v>0</v>
      </c>
      <c r="L291" s="95" t="str">
        <f>IFERROR(VLOOKUP(GroupPop2018[[#This Row],[Group]],Grouping[#All],2,0),"Unknown")</f>
        <v>1 - Metro area</v>
      </c>
      <c r="M291" s="95" t="str">
        <f>INDEX(Frequency[Collection_Frequency],MATCH(GroupPop2018[[#This Row],[FreqCode]],Frequency[Orig_Frequency_ID],0))</f>
        <v>Weekly</v>
      </c>
      <c r="N291" s="95" t="str">
        <f>IF(GroupPop2018[[#This Row],[Group]]=1,"Metro",IF(GroupPop2018[[#This Row],[Group]]=4,"Nowhere",IF(GroupPop2018[[#This Row],[Group]]=3,"Remote",IF(GroupPop2018[[#This Row],[County]]="Marion","Marion County","Transported to Metro"))))</f>
        <v>Metro</v>
      </c>
      <c r="O291" s="95"/>
      <c r="P291" s="100">
        <f>GroupPop2018[[#This Row],[Pop2018]]*(1+SUMIFS(Growth[GrowthRate],Growth[Grouping_ID],GroupPop2018[[#This Row],[Group]]))</f>
        <v>4255.9914736501532</v>
      </c>
    </row>
    <row r="292" spans="2:16" x14ac:dyDescent="0.2">
      <c r="B292" s="95" t="s">
        <v>570</v>
      </c>
      <c r="C292" s="95" t="s">
        <v>571</v>
      </c>
      <c r="D292" s="95" t="s">
        <v>571</v>
      </c>
      <c r="E292" s="95" t="s">
        <v>253</v>
      </c>
      <c r="F292" s="95" t="s">
        <v>571</v>
      </c>
      <c r="G292" s="95" t="s">
        <v>53</v>
      </c>
      <c r="H292" s="95" t="s">
        <v>254</v>
      </c>
      <c r="I292" s="132">
        <v>15830</v>
      </c>
      <c r="J292" s="95">
        <v>2</v>
      </c>
      <c r="K292" s="95">
        <f t="shared" si="4"/>
        <v>0</v>
      </c>
      <c r="L292" s="95" t="str">
        <f>IFERROR(VLOOKUP(GroupPop2018[[#This Row],[Group]],Grouping[#All],2,0),"Unknown")</f>
        <v>2 - Willamette Valley, etc.</v>
      </c>
      <c r="M292" s="95" t="str">
        <f>INDEX(Frequency[Collection_Frequency],MATCH(GroupPop2018[[#This Row],[FreqCode]],Frequency[Orig_Frequency_ID],0))</f>
        <v>Every other week</v>
      </c>
      <c r="N292" s="95" t="str">
        <f>IF(GroupPop2018[[#This Row],[Group]]=1,"Metro",IF(GroupPop2018[[#This Row],[Group]]=4,"Nowhere",IF(GroupPop2018[[#This Row],[Group]]=3,"Remote",IF(GroupPop2018[[#This Row],[County]]="Marion","Marion County","Transported to Metro"))))</f>
        <v>Transported to Metro</v>
      </c>
      <c r="O292" s="95"/>
      <c r="P292" s="100">
        <f>GroupPop2018[[#This Row],[Pop2018]]*(1+SUMIFS(Growth[GrowthRate],Growth[Grouping_ID],GroupPop2018[[#This Row],[Group]]))</f>
        <v>16860.907412171229</v>
      </c>
    </row>
    <row r="293" spans="2:16" x14ac:dyDescent="0.2">
      <c r="B293" s="95" t="s">
        <v>570</v>
      </c>
      <c r="C293" s="95" t="s">
        <v>571</v>
      </c>
      <c r="D293" s="95" t="s">
        <v>571</v>
      </c>
      <c r="E293" s="95" t="s">
        <v>255</v>
      </c>
      <c r="F293" s="95" t="s">
        <v>572</v>
      </c>
      <c r="G293" s="95" t="s">
        <v>53</v>
      </c>
      <c r="H293" s="95" t="s">
        <v>254</v>
      </c>
      <c r="I293" s="132">
        <v>750</v>
      </c>
      <c r="J293" s="95">
        <v>2</v>
      </c>
      <c r="K293" s="95">
        <f t="shared" si="4"/>
        <v>0</v>
      </c>
      <c r="L293" s="95" t="str">
        <f>IFERROR(VLOOKUP(GroupPop2018[[#This Row],[Group]],Grouping[#All],2,0),"Unknown")</f>
        <v>2 - Willamette Valley, etc.</v>
      </c>
      <c r="M293" s="95" t="str">
        <f>INDEX(Frequency[Collection_Frequency],MATCH(GroupPop2018[[#This Row],[FreqCode]],Frequency[Orig_Frequency_ID],0))</f>
        <v>Every other week</v>
      </c>
      <c r="N293" s="95" t="str">
        <f>IF(GroupPop2018[[#This Row],[Group]]=1,"Metro",IF(GroupPop2018[[#This Row],[Group]]=4,"Nowhere",IF(GroupPop2018[[#This Row],[Group]]=3,"Remote",IF(GroupPop2018[[#This Row],[County]]="Marion","Marion County","Transported to Metro"))))</f>
        <v>Transported to Metro</v>
      </c>
      <c r="O293" s="95"/>
      <c r="P293" s="100">
        <f>GroupPop2018[[#This Row],[Pop2018]]*(1+SUMIFS(Growth[GrowthRate],Growth[Grouping_ID],GroupPop2018[[#This Row],[Group]]))</f>
        <v>798.84273904791041</v>
      </c>
    </row>
    <row r="294" spans="2:16" x14ac:dyDescent="0.2">
      <c r="B294" s="95" t="s">
        <v>570</v>
      </c>
      <c r="C294" s="95" t="s">
        <v>573</v>
      </c>
      <c r="D294" s="95" t="s">
        <v>573</v>
      </c>
      <c r="E294" s="95" t="s">
        <v>253</v>
      </c>
      <c r="F294" s="95" t="s">
        <v>573</v>
      </c>
      <c r="G294" s="95" t="s">
        <v>53</v>
      </c>
      <c r="H294" s="95" t="s">
        <v>259</v>
      </c>
      <c r="I294" s="132">
        <v>955</v>
      </c>
      <c r="J294" s="95">
        <v>2</v>
      </c>
      <c r="K294" s="95">
        <f t="shared" si="4"/>
        <v>0</v>
      </c>
      <c r="L294" s="95" t="str">
        <f>IFERROR(VLOOKUP(GroupPop2018[[#This Row],[Group]],Grouping[#All],2,0),"Unknown")</f>
        <v>2 - Willamette Valley, etc.</v>
      </c>
      <c r="M294" s="95" t="str">
        <f>INDEX(Frequency[Collection_Frequency],MATCH(GroupPop2018[[#This Row],[FreqCode]],Frequency[Orig_Frequency_ID],0))</f>
        <v>Every other week</v>
      </c>
      <c r="N294" s="95" t="str">
        <f>IF(GroupPop2018[[#This Row],[Group]]=1,"Metro",IF(GroupPop2018[[#This Row],[Group]]=4,"Nowhere",IF(GroupPop2018[[#This Row],[Group]]=3,"Remote",IF(GroupPop2018[[#This Row],[County]]="Marion","Marion County","Transported to Metro"))))</f>
        <v>Transported to Metro</v>
      </c>
      <c r="O294" s="95"/>
      <c r="P294" s="100">
        <f>GroupPop2018[[#This Row],[Pop2018]]*(1+SUMIFS(Growth[GrowthRate],Growth[Grouping_ID],GroupPop2018[[#This Row],[Group]]))</f>
        <v>1017.1930877210059</v>
      </c>
    </row>
    <row r="295" spans="2:16" x14ac:dyDescent="0.2">
      <c r="B295" s="95" t="s">
        <v>570</v>
      </c>
      <c r="C295" s="95" t="s">
        <v>574</v>
      </c>
      <c r="D295" s="95" t="s">
        <v>574</v>
      </c>
      <c r="E295" s="95" t="s">
        <v>253</v>
      </c>
      <c r="F295" s="95" t="s">
        <v>574</v>
      </c>
      <c r="G295" s="95" t="s">
        <v>53</v>
      </c>
      <c r="H295" s="95" t="s">
        <v>254</v>
      </c>
      <c r="I295" s="132">
        <v>9370</v>
      </c>
      <c r="J295" s="95">
        <v>2</v>
      </c>
      <c r="K295" s="95">
        <f t="shared" si="4"/>
        <v>0</v>
      </c>
      <c r="L295" s="95" t="str">
        <f>IFERROR(VLOOKUP(GroupPop2018[[#This Row],[Group]],Grouping[#All],2,0),"Unknown")</f>
        <v>2 - Willamette Valley, etc.</v>
      </c>
      <c r="M295" s="95" t="str">
        <f>INDEX(Frequency[Collection_Frequency],MATCH(GroupPop2018[[#This Row],[FreqCode]],Frequency[Orig_Frequency_ID],0))</f>
        <v>Every other week</v>
      </c>
      <c r="N295" s="95" t="str">
        <f>IF(GroupPop2018[[#This Row],[Group]]=1,"Metro",IF(GroupPop2018[[#This Row],[Group]]=4,"Nowhere",IF(GroupPop2018[[#This Row],[Group]]=3,"Remote",IF(GroupPop2018[[#This Row],[County]]="Marion","Marion County","Transported to Metro"))))</f>
        <v>Transported to Metro</v>
      </c>
      <c r="O295" s="95"/>
      <c r="P295" s="100">
        <f>GroupPop2018[[#This Row],[Pop2018]]*(1+SUMIFS(Growth[GrowthRate],Growth[Grouping_ID],GroupPop2018[[#This Row],[Group]]))</f>
        <v>9980.2086198385605</v>
      </c>
    </row>
    <row r="296" spans="2:16" x14ac:dyDescent="0.2">
      <c r="B296" s="95" t="s">
        <v>570</v>
      </c>
      <c r="C296" s="95" t="s">
        <v>574</v>
      </c>
      <c r="D296" s="95" t="s">
        <v>574</v>
      </c>
      <c r="E296" s="95" t="s">
        <v>255</v>
      </c>
      <c r="F296" s="95" t="s">
        <v>575</v>
      </c>
      <c r="G296" s="95" t="s">
        <v>53</v>
      </c>
      <c r="H296" s="95" t="s">
        <v>254</v>
      </c>
      <c r="I296" s="132">
        <v>150</v>
      </c>
      <c r="J296" s="95">
        <v>2</v>
      </c>
      <c r="K296" s="95">
        <f t="shared" si="4"/>
        <v>0</v>
      </c>
      <c r="L296" s="95" t="str">
        <f>IFERROR(VLOOKUP(GroupPop2018[[#This Row],[Group]],Grouping[#All],2,0),"Unknown")</f>
        <v>2 - Willamette Valley, etc.</v>
      </c>
      <c r="M296" s="95" t="str">
        <f>INDEX(Frequency[Collection_Frequency],MATCH(GroupPop2018[[#This Row],[FreqCode]],Frequency[Orig_Frequency_ID],0))</f>
        <v>Every other week</v>
      </c>
      <c r="N296" s="95" t="str">
        <f>IF(GroupPop2018[[#This Row],[Group]]=1,"Metro",IF(GroupPop2018[[#This Row],[Group]]=4,"Nowhere",IF(GroupPop2018[[#This Row],[Group]]=3,"Remote",IF(GroupPop2018[[#This Row],[County]]="Marion","Marion County","Transported to Metro"))))</f>
        <v>Transported to Metro</v>
      </c>
      <c r="O296" s="95"/>
      <c r="P296" s="100">
        <f>GroupPop2018[[#This Row],[Pop2018]]*(1+SUMIFS(Growth[GrowthRate],Growth[Grouping_ID],GroupPop2018[[#This Row],[Group]]))</f>
        <v>159.76854780958206</v>
      </c>
    </row>
    <row r="297" spans="2:16" x14ac:dyDescent="0.2">
      <c r="B297" s="95" t="s">
        <v>570</v>
      </c>
      <c r="C297" s="95" t="s">
        <v>576</v>
      </c>
      <c r="D297" s="95" t="s">
        <v>576</v>
      </c>
      <c r="E297" s="95" t="s">
        <v>253</v>
      </c>
      <c r="F297" s="95" t="s">
        <v>576</v>
      </c>
      <c r="G297" s="95" t="s">
        <v>53</v>
      </c>
      <c r="H297" s="95" t="s">
        <v>254</v>
      </c>
      <c r="I297" s="132">
        <v>9890</v>
      </c>
      <c r="J297" s="95">
        <v>2</v>
      </c>
      <c r="K297" s="95">
        <f t="shared" si="4"/>
        <v>0</v>
      </c>
      <c r="L297" s="95" t="str">
        <f>IFERROR(VLOOKUP(GroupPop2018[[#This Row],[Group]],Grouping[#All],2,0),"Unknown")</f>
        <v>2 - Willamette Valley, etc.</v>
      </c>
      <c r="M297" s="95" t="str">
        <f>INDEX(Frequency[Collection_Frequency],MATCH(GroupPop2018[[#This Row],[FreqCode]],Frequency[Orig_Frequency_ID],0))</f>
        <v>Every other week</v>
      </c>
      <c r="N297" s="95" t="str">
        <f>IF(GroupPop2018[[#This Row],[Group]]=1,"Metro",IF(GroupPop2018[[#This Row],[Group]]=4,"Nowhere",IF(GroupPop2018[[#This Row],[Group]]=3,"Remote",IF(GroupPop2018[[#This Row],[County]]="Marion","Marion County","Transported to Metro"))))</f>
        <v>Transported to Metro</v>
      </c>
      <c r="O297" s="95"/>
      <c r="P297" s="100">
        <f>GroupPop2018[[#This Row],[Pop2018]]*(1+SUMIFS(Growth[GrowthRate],Growth[Grouping_ID],GroupPop2018[[#This Row],[Group]]))</f>
        <v>10534.072918911777</v>
      </c>
    </row>
    <row r="298" spans="2:16" x14ac:dyDescent="0.2">
      <c r="B298" s="95" t="s">
        <v>570</v>
      </c>
      <c r="C298" s="95" t="s">
        <v>576</v>
      </c>
      <c r="D298" s="95" t="s">
        <v>576</v>
      </c>
      <c r="E298" s="95" t="s">
        <v>255</v>
      </c>
      <c r="F298" s="95" t="s">
        <v>577</v>
      </c>
      <c r="G298" s="95" t="s">
        <v>53</v>
      </c>
      <c r="H298" s="95" t="s">
        <v>254</v>
      </c>
      <c r="I298" s="132">
        <v>150</v>
      </c>
      <c r="J298" s="95">
        <v>2</v>
      </c>
      <c r="K298" s="95">
        <f t="shared" si="4"/>
        <v>0</v>
      </c>
      <c r="L298" s="95" t="str">
        <f>IFERROR(VLOOKUP(GroupPop2018[[#This Row],[Group]],Grouping[#All],2,0),"Unknown")</f>
        <v>2 - Willamette Valley, etc.</v>
      </c>
      <c r="M298" s="95" t="str">
        <f>INDEX(Frequency[Collection_Frequency],MATCH(GroupPop2018[[#This Row],[FreqCode]],Frequency[Orig_Frequency_ID],0))</f>
        <v>Every other week</v>
      </c>
      <c r="N298" s="95" t="str">
        <f>IF(GroupPop2018[[#This Row],[Group]]=1,"Metro",IF(GroupPop2018[[#This Row],[Group]]=4,"Nowhere",IF(GroupPop2018[[#This Row],[Group]]=3,"Remote",IF(GroupPop2018[[#This Row],[County]]="Marion","Marion County","Transported to Metro"))))</f>
        <v>Transported to Metro</v>
      </c>
      <c r="O298" s="95"/>
      <c r="P298" s="100">
        <f>GroupPop2018[[#This Row],[Pop2018]]*(1+SUMIFS(Growth[GrowthRate],Growth[Grouping_ID],GroupPop2018[[#This Row],[Group]]))</f>
        <v>159.76854780958206</v>
      </c>
    </row>
    <row r="299" spans="2:16" x14ac:dyDescent="0.2">
      <c r="B299" s="95" t="s">
        <v>570</v>
      </c>
      <c r="C299" s="95" t="s">
        <v>578</v>
      </c>
      <c r="D299" s="95" t="s">
        <v>579</v>
      </c>
      <c r="E299" s="95" t="s">
        <v>258</v>
      </c>
      <c r="F299" s="95" t="s">
        <v>578</v>
      </c>
      <c r="G299" s="95" t="s">
        <v>127</v>
      </c>
      <c r="H299" s="95" t="s">
        <v>259</v>
      </c>
      <c r="I299" s="132">
        <v>16480</v>
      </c>
      <c r="J299" s="95">
        <v>4</v>
      </c>
      <c r="K299" s="95">
        <f t="shared" si="4"/>
        <v>0</v>
      </c>
      <c r="L299" s="95" t="str">
        <f>IFERROR(VLOOKUP(GroupPop2018[[#This Row],[Group]],Grouping[#All],2,0),"Unknown")</f>
        <v>4 - Areas without curbside</v>
      </c>
      <c r="M299" s="95" t="str">
        <f>INDEX(Frequency[Collection_Frequency],MATCH(GroupPop2018[[#This Row],[FreqCode]],Frequency[Orig_Frequency_ID],0))</f>
        <v>No collection</v>
      </c>
      <c r="N299" s="95" t="str">
        <f>IF(GroupPop2018[[#This Row],[Group]]=1,"Metro",IF(GroupPop2018[[#This Row],[Group]]=4,"Nowhere",IF(GroupPop2018[[#This Row],[Group]]=3,"Remote",IF(GroupPop2018[[#This Row],[County]]="Marion","Marion County","Transported to Metro"))))</f>
        <v>Nowhere</v>
      </c>
      <c r="O299" s="95">
        <v>2</v>
      </c>
      <c r="P299" s="100">
        <f>GroupPop2018[[#This Row],[Pop2018]]*(1+SUMIFS(Growth[GrowthRate],Growth[Grouping_ID],GroupPop2018[[#This Row],[Group]]))</f>
        <v>17688.252147036903</v>
      </c>
    </row>
    <row r="300" spans="2:16" x14ac:dyDescent="0.2">
      <c r="B300" s="95" t="s">
        <v>570</v>
      </c>
      <c r="C300" s="95" t="s">
        <v>580</v>
      </c>
      <c r="D300" s="95" t="s">
        <v>579</v>
      </c>
      <c r="E300" s="95" t="s">
        <v>258</v>
      </c>
      <c r="F300" s="95" t="s">
        <v>580</v>
      </c>
      <c r="G300" s="95" t="s">
        <v>53</v>
      </c>
      <c r="H300" s="95" t="s">
        <v>259</v>
      </c>
      <c r="I300" s="132">
        <v>1000</v>
      </c>
      <c r="J300" s="95">
        <v>2</v>
      </c>
      <c r="K300" s="95">
        <f t="shared" si="4"/>
        <v>0</v>
      </c>
      <c r="L300" s="95" t="str">
        <f>IFERROR(VLOOKUP(GroupPop2018[[#This Row],[Group]],Grouping[#All],2,0),"Unknown")</f>
        <v>2 - Willamette Valley, etc.</v>
      </c>
      <c r="M300" s="95" t="str">
        <f>INDEX(Frequency[Collection_Frequency],MATCH(GroupPop2018[[#This Row],[FreqCode]],Frequency[Orig_Frequency_ID],0))</f>
        <v>Every other week</v>
      </c>
      <c r="N300" s="95" t="str">
        <f>IF(GroupPop2018[[#This Row],[Group]]=1,"Metro",IF(GroupPop2018[[#This Row],[Group]]=4,"Nowhere",IF(GroupPop2018[[#This Row],[Group]]=3,"Remote",IF(GroupPop2018[[#This Row],[County]]="Marion","Marion County","Transported to Metro"))))</f>
        <v>Transported to Metro</v>
      </c>
      <c r="O300" s="95">
        <v>1</v>
      </c>
      <c r="P300" s="100">
        <f>GroupPop2018[[#This Row],[Pop2018]]*(1+SUMIFS(Growth[GrowthRate],Growth[Grouping_ID],GroupPop2018[[#This Row],[Group]]))</f>
        <v>1065.1236520638804</v>
      </c>
    </row>
    <row r="301" spans="2:16" x14ac:dyDescent="0.2">
      <c r="B301" s="95" t="s">
        <v>570</v>
      </c>
      <c r="C301" s="95" t="s">
        <v>539</v>
      </c>
      <c r="D301" s="95" t="s">
        <v>539</v>
      </c>
      <c r="E301" s="95" t="s">
        <v>253</v>
      </c>
      <c r="F301" s="95" t="s">
        <v>539</v>
      </c>
      <c r="G301" s="95" t="s">
        <v>53</v>
      </c>
      <c r="H301" s="95" t="s">
        <v>254</v>
      </c>
      <c r="I301" s="132">
        <v>26440</v>
      </c>
      <c r="J301" s="95">
        <v>2</v>
      </c>
      <c r="K301" s="95">
        <f t="shared" si="4"/>
        <v>0</v>
      </c>
      <c r="L301" s="95" t="str">
        <f>IFERROR(VLOOKUP(GroupPop2018[[#This Row],[Group]],Grouping[#All],2,0),"Unknown")</f>
        <v>2 - Willamette Valley, etc.</v>
      </c>
      <c r="M301" s="95" t="str">
        <f>INDEX(Frequency[Collection_Frequency],MATCH(GroupPop2018[[#This Row],[FreqCode]],Frequency[Orig_Frequency_ID],0))</f>
        <v>Every other week</v>
      </c>
      <c r="N301" s="95" t="str">
        <f>IF(GroupPop2018[[#This Row],[Group]]=1,"Metro",IF(GroupPop2018[[#This Row],[Group]]=4,"Nowhere",IF(GroupPop2018[[#This Row],[Group]]=3,"Remote",IF(GroupPop2018[[#This Row],[County]]="Marion","Marion County","Transported to Metro"))))</f>
        <v>Transported to Metro</v>
      </c>
      <c r="O301" s="95"/>
      <c r="P301" s="100">
        <f>GroupPop2018[[#This Row],[Pop2018]]*(1+SUMIFS(Growth[GrowthRate],Growth[Grouping_ID],GroupPop2018[[#This Row],[Group]]))</f>
        <v>28161.869360568999</v>
      </c>
    </row>
    <row r="302" spans="2:16" x14ac:dyDescent="0.2">
      <c r="B302" s="95" t="s">
        <v>570</v>
      </c>
      <c r="C302" s="95" t="s">
        <v>581</v>
      </c>
      <c r="D302" s="95" t="s">
        <v>533</v>
      </c>
      <c r="E302" s="95" t="s">
        <v>255</v>
      </c>
      <c r="F302" s="95" t="s">
        <v>582</v>
      </c>
      <c r="G302" s="95" t="s">
        <v>53</v>
      </c>
      <c r="H302" s="95" t="s">
        <v>254</v>
      </c>
      <c r="I302" s="132">
        <v>200</v>
      </c>
      <c r="J302" s="95">
        <v>2</v>
      </c>
      <c r="K302" s="95">
        <f t="shared" si="4"/>
        <v>0</v>
      </c>
      <c r="L302" s="95" t="str">
        <f>IFERROR(VLOOKUP(GroupPop2018[[#This Row],[Group]],Grouping[#All],2,0),"Unknown")</f>
        <v>2 - Willamette Valley, etc.</v>
      </c>
      <c r="M302" s="95" t="str">
        <f>INDEX(Frequency[Collection_Frequency],MATCH(GroupPop2018[[#This Row],[FreqCode]],Frequency[Orig_Frequency_ID],0))</f>
        <v>Every other week</v>
      </c>
      <c r="N302" s="95" t="str">
        <f>IF(GroupPop2018[[#This Row],[Group]]=1,"Metro",IF(GroupPop2018[[#This Row],[Group]]=4,"Nowhere",IF(GroupPop2018[[#This Row],[Group]]=3,"Remote",IF(GroupPop2018[[#This Row],[County]]="Marion","Marion County","Transported to Metro"))))</f>
        <v>Transported to Metro</v>
      </c>
      <c r="O302" s="95"/>
      <c r="P302" s="100">
        <f>GroupPop2018[[#This Row],[Pop2018]]*(1+SUMIFS(Growth[GrowthRate],Growth[Grouping_ID],GroupPop2018[[#This Row],[Group]]))</f>
        <v>213.02473041277611</v>
      </c>
    </row>
    <row r="303" spans="2:16" x14ac:dyDescent="0.2">
      <c r="B303" s="95" t="s">
        <v>570</v>
      </c>
      <c r="C303" s="95" t="s">
        <v>583</v>
      </c>
      <c r="D303" s="95" t="s">
        <v>583</v>
      </c>
      <c r="E303" s="95" t="s">
        <v>253</v>
      </c>
      <c r="F303" s="95" t="s">
        <v>583</v>
      </c>
      <c r="G303" s="95" t="s">
        <v>53</v>
      </c>
      <c r="H303" s="95" t="s">
        <v>259</v>
      </c>
      <c r="I303" s="132">
        <v>885</v>
      </c>
      <c r="J303" s="95">
        <v>2</v>
      </c>
      <c r="K303" s="95">
        <f t="shared" si="4"/>
        <v>0</v>
      </c>
      <c r="L303" s="95" t="str">
        <f>IFERROR(VLOOKUP(GroupPop2018[[#This Row],[Group]],Grouping[#All],2,0),"Unknown")</f>
        <v>2 - Willamette Valley, etc.</v>
      </c>
      <c r="M303" s="95" t="str">
        <f>INDEX(Frequency[Collection_Frequency],MATCH(GroupPop2018[[#This Row],[FreqCode]],Frequency[Orig_Frequency_ID],0))</f>
        <v>Every other week</v>
      </c>
      <c r="N303" s="95" t="str">
        <f>IF(GroupPop2018[[#This Row],[Group]]=1,"Metro",IF(GroupPop2018[[#This Row],[Group]]=4,"Nowhere",IF(GroupPop2018[[#This Row],[Group]]=3,"Remote",IF(GroupPop2018[[#This Row],[County]]="Marion","Marion County","Transported to Metro"))))</f>
        <v>Transported to Metro</v>
      </c>
      <c r="O303" s="95"/>
      <c r="P303" s="100">
        <f>GroupPop2018[[#This Row],[Pop2018]]*(1+SUMIFS(Growth[GrowthRate],Growth[Grouping_ID],GroupPop2018[[#This Row],[Group]]))</f>
        <v>942.63443207653427</v>
      </c>
    </row>
    <row r="304" spans="2:16" x14ac:dyDescent="0.2">
      <c r="B304" s="95" t="s">
        <v>584</v>
      </c>
      <c r="C304" s="95" t="s">
        <v>585</v>
      </c>
      <c r="D304" s="95" t="s">
        <v>585</v>
      </c>
      <c r="E304" s="95" t="s">
        <v>253</v>
      </c>
      <c r="F304" s="95" t="s">
        <v>585</v>
      </c>
      <c r="G304" s="95" t="s">
        <v>127</v>
      </c>
      <c r="H304" s="95" t="s">
        <v>259</v>
      </c>
      <c r="I304" s="132">
        <v>165</v>
      </c>
      <c r="J304" s="95">
        <v>4</v>
      </c>
      <c r="K304" s="95">
        <f t="shared" si="4"/>
        <v>0</v>
      </c>
      <c r="L304" s="95" t="str">
        <f>IFERROR(VLOOKUP(GroupPop2018[[#This Row],[Group]],Grouping[#All],2,0),"Unknown")</f>
        <v>4 - Areas without curbside</v>
      </c>
      <c r="M304" s="95" t="str">
        <f>INDEX(Frequency[Collection_Frequency],MATCH(GroupPop2018[[#This Row],[FreqCode]],Frequency[Orig_Frequency_ID],0))</f>
        <v>No collection</v>
      </c>
      <c r="N304" s="95" t="str">
        <f>IF(GroupPop2018[[#This Row],[Group]]=1,"Metro",IF(GroupPop2018[[#This Row],[Group]]=4,"Nowhere",IF(GroupPop2018[[#This Row],[Group]]=3,"Remote",IF(GroupPop2018[[#This Row],[County]]="Marion","Marion County","Transported to Metro"))))</f>
        <v>Nowhere</v>
      </c>
      <c r="O304" s="95"/>
      <c r="P304" s="100">
        <f>GroupPop2018[[#This Row],[Pop2018]]*(1+SUMIFS(Growth[GrowthRate],Growth[Grouping_ID],GroupPop2018[[#This Row],[Group]]))</f>
        <v>177.09718472458067</v>
      </c>
    </row>
    <row r="305" spans="2:16" x14ac:dyDescent="0.2">
      <c r="B305" s="95" t="s">
        <v>584</v>
      </c>
      <c r="C305" s="95" t="s">
        <v>586</v>
      </c>
      <c r="D305" s="95" t="s">
        <v>586</v>
      </c>
      <c r="E305" s="95" t="s">
        <v>253</v>
      </c>
      <c r="F305" s="95" t="s">
        <v>586</v>
      </c>
      <c r="G305" s="95" t="s">
        <v>127</v>
      </c>
      <c r="H305" s="95" t="s">
        <v>259</v>
      </c>
      <c r="I305" s="132">
        <v>330</v>
      </c>
      <c r="J305" s="95">
        <v>4</v>
      </c>
      <c r="K305" s="95">
        <f t="shared" si="4"/>
        <v>0</v>
      </c>
      <c r="L305" s="95" t="str">
        <f>IFERROR(VLOOKUP(GroupPop2018[[#This Row],[Group]],Grouping[#All],2,0),"Unknown")</f>
        <v>4 - Areas without curbside</v>
      </c>
      <c r="M305" s="95" t="str">
        <f>INDEX(Frequency[Collection_Frequency],MATCH(GroupPop2018[[#This Row],[FreqCode]],Frequency[Orig_Frequency_ID],0))</f>
        <v>No collection</v>
      </c>
      <c r="N305" s="95" t="str">
        <f>IF(GroupPop2018[[#This Row],[Group]]=1,"Metro",IF(GroupPop2018[[#This Row],[Group]]=4,"Nowhere",IF(GroupPop2018[[#This Row],[Group]]=3,"Remote",IF(GroupPop2018[[#This Row],[County]]="Marion","Marion County","Transported to Metro"))))</f>
        <v>Nowhere</v>
      </c>
      <c r="O305" s="95"/>
      <c r="P305" s="100">
        <f>GroupPop2018[[#This Row],[Pop2018]]*(1+SUMIFS(Growth[GrowthRate],Growth[Grouping_ID],GroupPop2018[[#This Row],[Group]]))</f>
        <v>354.19436944916134</v>
      </c>
    </row>
    <row r="306" spans="2:16" x14ac:dyDescent="0.2">
      <c r="B306" s="95" t="s">
        <v>584</v>
      </c>
      <c r="C306" s="95" t="s">
        <v>587</v>
      </c>
      <c r="D306" s="95" t="s">
        <v>587</v>
      </c>
      <c r="E306" s="95" t="s">
        <v>253</v>
      </c>
      <c r="F306" s="95" t="s">
        <v>587</v>
      </c>
      <c r="G306" s="95" t="s">
        <v>127</v>
      </c>
      <c r="H306" s="95" t="s">
        <v>259</v>
      </c>
      <c r="I306" s="132">
        <v>280</v>
      </c>
      <c r="J306" s="95">
        <v>4</v>
      </c>
      <c r="K306" s="95">
        <f t="shared" si="4"/>
        <v>0</v>
      </c>
      <c r="L306" s="95" t="str">
        <f>IFERROR(VLOOKUP(GroupPop2018[[#This Row],[Group]],Grouping[#All],2,0),"Unknown")</f>
        <v>4 - Areas without curbside</v>
      </c>
      <c r="M306" s="95" t="str">
        <f>INDEX(Frequency[Collection_Frequency],MATCH(GroupPop2018[[#This Row],[FreqCode]],Frequency[Orig_Frequency_ID],0))</f>
        <v>No collection</v>
      </c>
      <c r="N306" s="95" t="str">
        <f>IF(GroupPop2018[[#This Row],[Group]]=1,"Metro",IF(GroupPop2018[[#This Row],[Group]]=4,"Nowhere",IF(GroupPop2018[[#This Row],[Group]]=3,"Remote",IF(GroupPop2018[[#This Row],[County]]="Marion","Marion County","Transported to Metro"))))</f>
        <v>Nowhere</v>
      </c>
      <c r="O306" s="95"/>
      <c r="P306" s="100">
        <f>GroupPop2018[[#This Row],[Pop2018]]*(1+SUMIFS(Growth[GrowthRate],Growth[Grouping_ID],GroupPop2018[[#This Row],[Group]]))</f>
        <v>300.52855589625807</v>
      </c>
    </row>
    <row r="307" spans="2:16" x14ac:dyDescent="0.2">
      <c r="B307" s="95" t="s">
        <v>584</v>
      </c>
      <c r="C307" s="95" t="s">
        <v>588</v>
      </c>
      <c r="D307" s="95" t="s">
        <v>588</v>
      </c>
      <c r="E307" s="95" t="s">
        <v>258</v>
      </c>
      <c r="F307" s="95" t="s">
        <v>588</v>
      </c>
      <c r="G307" s="95" t="s">
        <v>127</v>
      </c>
      <c r="H307" s="95" t="s">
        <v>259</v>
      </c>
      <c r="I307" s="132">
        <v>585</v>
      </c>
      <c r="J307" s="95">
        <v>4</v>
      </c>
      <c r="K307" s="95">
        <f t="shared" si="4"/>
        <v>0</v>
      </c>
      <c r="L307" s="95" t="str">
        <f>IFERROR(VLOOKUP(GroupPop2018[[#This Row],[Group]],Grouping[#All],2,0),"Unknown")</f>
        <v>4 - Areas without curbside</v>
      </c>
      <c r="M307" s="95" t="str">
        <f>INDEX(Frequency[Collection_Frequency],MATCH(GroupPop2018[[#This Row],[FreqCode]],Frequency[Orig_Frequency_ID],0))</f>
        <v>No collection</v>
      </c>
      <c r="N307" s="95" t="str">
        <f>IF(GroupPop2018[[#This Row],[Group]]=1,"Metro",IF(GroupPop2018[[#This Row],[Group]]=4,"Nowhere",IF(GroupPop2018[[#This Row],[Group]]=3,"Remote",IF(GroupPop2018[[#This Row],[County]]="Marion","Marion County","Transported to Metro"))))</f>
        <v>Nowhere</v>
      </c>
      <c r="O307" s="95"/>
      <c r="P307" s="100">
        <f>GroupPop2018[[#This Row],[Pop2018]]*(1+SUMIFS(Growth[GrowthRate],Growth[Grouping_ID],GroupPop2018[[#This Row],[Group]]))</f>
        <v>627.89001856896778</v>
      </c>
    </row>
    <row r="308" spans="2:16" x14ac:dyDescent="0.2">
      <c r="B308" s="95" t="s">
        <v>584</v>
      </c>
      <c r="C308" s="95" t="s">
        <v>589</v>
      </c>
      <c r="D308" s="95" t="s">
        <v>589</v>
      </c>
      <c r="E308" s="95" t="s">
        <v>253</v>
      </c>
      <c r="F308" s="95" t="s">
        <v>589</v>
      </c>
      <c r="G308" s="95" t="s">
        <v>127</v>
      </c>
      <c r="H308" s="95" t="s">
        <v>259</v>
      </c>
      <c r="I308" s="132">
        <v>425</v>
      </c>
      <c r="J308" s="95">
        <v>4</v>
      </c>
      <c r="K308" s="95">
        <f t="shared" si="4"/>
        <v>0</v>
      </c>
      <c r="L308" s="95" t="str">
        <f>IFERROR(VLOOKUP(GroupPop2018[[#This Row],[Group]],Grouping[#All],2,0),"Unknown")</f>
        <v>4 - Areas without curbside</v>
      </c>
      <c r="M308" s="95" t="str">
        <f>INDEX(Frequency[Collection_Frequency],MATCH(GroupPop2018[[#This Row],[FreqCode]],Frequency[Orig_Frequency_ID],0))</f>
        <v>No collection</v>
      </c>
      <c r="N308" s="95" t="str">
        <f>IF(GroupPop2018[[#This Row],[Group]]=1,"Metro",IF(GroupPop2018[[#This Row],[Group]]=4,"Nowhere",IF(GroupPop2018[[#This Row],[Group]]=3,"Remote",IF(GroupPop2018[[#This Row],[County]]="Marion","Marion County","Transported to Metro"))))</f>
        <v>Nowhere</v>
      </c>
      <c r="O308" s="95"/>
      <c r="P308" s="100">
        <f>GroupPop2018[[#This Row],[Pop2018]]*(1+SUMIFS(Growth[GrowthRate],Growth[Grouping_ID],GroupPop2018[[#This Row],[Group]]))</f>
        <v>456.15941519967743</v>
      </c>
    </row>
    <row r="309" spans="2:16" x14ac:dyDescent="0.2">
      <c r="B309" s="95" t="s">
        <v>590</v>
      </c>
      <c r="C309" s="95" t="s">
        <v>591</v>
      </c>
      <c r="D309" s="95" t="s">
        <v>591</v>
      </c>
      <c r="E309" s="95" t="s">
        <v>253</v>
      </c>
      <c r="F309" s="95" t="s">
        <v>591</v>
      </c>
      <c r="G309" s="95" t="s">
        <v>127</v>
      </c>
      <c r="H309" s="95" t="s">
        <v>259</v>
      </c>
      <c r="I309" s="132">
        <v>1350</v>
      </c>
      <c r="J309" s="95">
        <v>4</v>
      </c>
      <c r="K309" s="95">
        <f t="shared" si="4"/>
        <v>0</v>
      </c>
      <c r="L309" s="95" t="str">
        <f>IFERROR(VLOOKUP(GroupPop2018[[#This Row],[Group]],Grouping[#All],2,0),"Unknown")</f>
        <v>4 - Areas without curbside</v>
      </c>
      <c r="M309" s="95" t="str">
        <f>INDEX(Frequency[Collection_Frequency],MATCH(GroupPop2018[[#This Row],[FreqCode]],Frequency[Orig_Frequency_ID],0))</f>
        <v>No collection</v>
      </c>
      <c r="N309" s="95" t="str">
        <f>IF(GroupPop2018[[#This Row],[Group]]=1,"Metro",IF(GroupPop2018[[#This Row],[Group]]=4,"Nowhere",IF(GroupPop2018[[#This Row],[Group]]=3,"Remote",IF(GroupPop2018[[#This Row],[County]]="Marion","Marion County","Transported to Metro"))))</f>
        <v>Nowhere</v>
      </c>
      <c r="O309" s="95"/>
      <c r="P309" s="100">
        <f>GroupPop2018[[#This Row],[Pop2018]]*(1+SUMIFS(Growth[GrowthRate],Growth[Grouping_ID],GroupPop2018[[#This Row],[Group]]))</f>
        <v>1448.9769659283872</v>
      </c>
    </row>
    <row r="310" spans="2:16" x14ac:dyDescent="0.2">
      <c r="B310" s="95" t="s">
        <v>590</v>
      </c>
      <c r="C310" s="95" t="s">
        <v>592</v>
      </c>
      <c r="D310" s="95" t="s">
        <v>592</v>
      </c>
      <c r="E310" s="95" t="s">
        <v>253</v>
      </c>
      <c r="F310" s="95" t="s">
        <v>592</v>
      </c>
      <c r="G310" s="95" t="s">
        <v>127</v>
      </c>
      <c r="H310" s="95" t="s">
        <v>259</v>
      </c>
      <c r="I310" s="132">
        <v>830</v>
      </c>
      <c r="J310" s="95">
        <v>4</v>
      </c>
      <c r="K310" s="95">
        <f t="shared" si="4"/>
        <v>0</v>
      </c>
      <c r="L310" s="95" t="str">
        <f>IFERROR(VLOOKUP(GroupPop2018[[#This Row],[Group]],Grouping[#All],2,0),"Unknown")</f>
        <v>4 - Areas without curbside</v>
      </c>
      <c r="M310" s="95" t="str">
        <f>INDEX(Frequency[Collection_Frequency],MATCH(GroupPop2018[[#This Row],[FreqCode]],Frequency[Orig_Frequency_ID],0))</f>
        <v>No collection</v>
      </c>
      <c r="N310" s="95" t="str">
        <f>IF(GroupPop2018[[#This Row],[Group]]=1,"Metro",IF(GroupPop2018[[#This Row],[Group]]=4,"Nowhere",IF(GroupPop2018[[#This Row],[Group]]=3,"Remote",IF(GroupPop2018[[#This Row],[County]]="Marion","Marion County","Transported to Metro"))))</f>
        <v>Nowhere</v>
      </c>
      <c r="O310" s="95"/>
      <c r="P310" s="100">
        <f>GroupPop2018[[#This Row],[Pop2018]]*(1+SUMIFS(Growth[GrowthRate],Growth[Grouping_ID],GroupPop2018[[#This Row],[Group]]))</f>
        <v>890.85250497819356</v>
      </c>
    </row>
    <row r="311" spans="2:16" x14ac:dyDescent="0.2">
      <c r="B311" s="95" t="s">
        <v>590</v>
      </c>
      <c r="C311" s="95" t="s">
        <v>593</v>
      </c>
      <c r="D311" s="95" t="s">
        <v>593</v>
      </c>
      <c r="E311" s="95" t="s">
        <v>253</v>
      </c>
      <c r="F311" s="95" t="s">
        <v>593</v>
      </c>
      <c r="G311" s="95" t="s">
        <v>127</v>
      </c>
      <c r="H311" s="95" t="s">
        <v>259</v>
      </c>
      <c r="I311" s="132">
        <v>640</v>
      </c>
      <c r="J311" s="95">
        <v>4</v>
      </c>
      <c r="K311" s="95">
        <f t="shared" si="4"/>
        <v>0</v>
      </c>
      <c r="L311" s="95" t="str">
        <f>IFERROR(VLOOKUP(GroupPop2018[[#This Row],[Group]],Grouping[#All],2,0),"Unknown")</f>
        <v>4 - Areas without curbside</v>
      </c>
      <c r="M311" s="95" t="str">
        <f>INDEX(Frequency[Collection_Frequency],MATCH(GroupPop2018[[#This Row],[FreqCode]],Frequency[Orig_Frequency_ID],0))</f>
        <v>No collection</v>
      </c>
      <c r="N311" s="95" t="str">
        <f>IF(GroupPop2018[[#This Row],[Group]]=1,"Metro",IF(GroupPop2018[[#This Row],[Group]]=4,"Nowhere",IF(GroupPop2018[[#This Row],[Group]]=3,"Remote",IF(GroupPop2018[[#This Row],[County]]="Marion","Marion County","Transported to Metro"))))</f>
        <v>Nowhere</v>
      </c>
      <c r="O311" s="95"/>
      <c r="P311" s="100">
        <f>GroupPop2018[[#This Row],[Pop2018]]*(1+SUMIFS(Growth[GrowthRate],Growth[Grouping_ID],GroupPop2018[[#This Row],[Group]]))</f>
        <v>686.9224134771614</v>
      </c>
    </row>
    <row r="312" spans="2:16" x14ac:dyDescent="0.2">
      <c r="B312" s="95" t="s">
        <v>590</v>
      </c>
      <c r="C312" s="95" t="s">
        <v>594</v>
      </c>
      <c r="D312" s="95" t="s">
        <v>594</v>
      </c>
      <c r="E312" s="95" t="s">
        <v>253</v>
      </c>
      <c r="F312" s="95" t="s">
        <v>594</v>
      </c>
      <c r="G312" s="95" t="s">
        <v>127</v>
      </c>
      <c r="H312" s="95" t="s">
        <v>259</v>
      </c>
      <c r="I312" s="132">
        <v>280</v>
      </c>
      <c r="J312" s="95">
        <v>4</v>
      </c>
      <c r="K312" s="95">
        <f t="shared" si="4"/>
        <v>0</v>
      </c>
      <c r="L312" s="95" t="str">
        <f>IFERROR(VLOOKUP(GroupPop2018[[#This Row],[Group]],Grouping[#All],2,0),"Unknown")</f>
        <v>4 - Areas without curbside</v>
      </c>
      <c r="M312" s="95" t="str">
        <f>INDEX(Frequency[Collection_Frequency],MATCH(GroupPop2018[[#This Row],[FreqCode]],Frequency[Orig_Frequency_ID],0))</f>
        <v>No collection</v>
      </c>
      <c r="N312" s="95" t="str">
        <f>IF(GroupPop2018[[#This Row],[Group]]=1,"Metro",IF(GroupPop2018[[#This Row],[Group]]=4,"Nowhere",IF(GroupPop2018[[#This Row],[Group]]=3,"Remote",IF(GroupPop2018[[#This Row],[County]]="Marion","Marion County","Transported to Metro"))))</f>
        <v>Nowhere</v>
      </c>
      <c r="O312" s="95"/>
      <c r="P312" s="100">
        <f>GroupPop2018[[#This Row],[Pop2018]]*(1+SUMIFS(Growth[GrowthRate],Growth[Grouping_ID],GroupPop2018[[#This Row],[Group]]))</f>
        <v>300.52855589625807</v>
      </c>
    </row>
    <row r="313" spans="2:16" x14ac:dyDescent="0.2">
      <c r="B313" s="95" t="s">
        <v>590</v>
      </c>
      <c r="C313" s="95" t="s">
        <v>595</v>
      </c>
      <c r="D313" s="95" t="s">
        <v>595</v>
      </c>
      <c r="E313" s="95" t="s">
        <v>253</v>
      </c>
      <c r="F313" s="95" t="s">
        <v>595</v>
      </c>
      <c r="G313" s="95" t="s">
        <v>127</v>
      </c>
      <c r="H313" s="95" t="s">
        <v>259</v>
      </c>
      <c r="I313" s="132">
        <v>1350</v>
      </c>
      <c r="J313" s="95">
        <v>4</v>
      </c>
      <c r="K313" s="95">
        <f t="shared" si="4"/>
        <v>0</v>
      </c>
      <c r="L313" s="95" t="str">
        <f>IFERROR(VLOOKUP(GroupPop2018[[#This Row],[Group]],Grouping[#All],2,0),"Unknown")</f>
        <v>4 - Areas without curbside</v>
      </c>
      <c r="M313" s="95" t="str">
        <f>INDEX(Frequency[Collection_Frequency],MATCH(GroupPop2018[[#This Row],[FreqCode]],Frequency[Orig_Frequency_ID],0))</f>
        <v>No collection</v>
      </c>
      <c r="N313" s="95" t="str">
        <f>IF(GroupPop2018[[#This Row],[Group]]=1,"Metro",IF(GroupPop2018[[#This Row],[Group]]=4,"Nowhere",IF(GroupPop2018[[#This Row],[Group]]=3,"Remote",IF(GroupPop2018[[#This Row],[County]]="Marion","Marion County","Transported to Metro"))))</f>
        <v>Nowhere</v>
      </c>
      <c r="O313" s="95"/>
      <c r="P313" s="100">
        <f>GroupPop2018[[#This Row],[Pop2018]]*(1+SUMIFS(Growth[GrowthRate],Growth[Grouping_ID],GroupPop2018[[#This Row],[Group]]))</f>
        <v>1448.9769659283872</v>
      </c>
    </row>
    <row r="314" spans="2:16" x14ac:dyDescent="0.2">
      <c r="B314" s="95" t="s">
        <v>590</v>
      </c>
      <c r="C314" s="95" t="s">
        <v>590</v>
      </c>
      <c r="D314" s="95" t="s">
        <v>590</v>
      </c>
      <c r="E314" s="95" t="s">
        <v>255</v>
      </c>
      <c r="F314" s="95" t="s">
        <v>596</v>
      </c>
      <c r="G314" s="95" t="s">
        <v>127</v>
      </c>
      <c r="H314" s="95" t="s">
        <v>254</v>
      </c>
      <c r="I314" s="132">
        <v>9</v>
      </c>
      <c r="J314" s="95">
        <v>4</v>
      </c>
      <c r="K314" s="95">
        <f t="shared" si="4"/>
        <v>0</v>
      </c>
      <c r="L314" s="95" t="str">
        <f>IFERROR(VLOOKUP(GroupPop2018[[#This Row],[Group]],Grouping[#All],2,0),"Unknown")</f>
        <v>4 - Areas without curbside</v>
      </c>
      <c r="M314" s="95" t="str">
        <f>INDEX(Frequency[Collection_Frequency],MATCH(GroupPop2018[[#This Row],[FreqCode]],Frequency[Orig_Frequency_ID],0))</f>
        <v>No collection</v>
      </c>
      <c r="N314" s="95" t="str">
        <f>IF(GroupPop2018[[#This Row],[Group]]=1,"Metro",IF(GroupPop2018[[#This Row],[Group]]=4,"Nowhere",IF(GroupPop2018[[#This Row],[Group]]=3,"Remote",IF(GroupPop2018[[#This Row],[County]]="Marion","Marion County","Transported to Metro"))))</f>
        <v>Nowhere</v>
      </c>
      <c r="O314" s="95"/>
      <c r="P314" s="100">
        <f>GroupPop2018[[#This Row],[Pop2018]]*(1+SUMIFS(Growth[GrowthRate],Growth[Grouping_ID],GroupPop2018[[#This Row],[Group]]))</f>
        <v>9.6598464395225818</v>
      </c>
    </row>
    <row r="315" spans="2:16" x14ac:dyDescent="0.2">
      <c r="B315" s="95" t="s">
        <v>590</v>
      </c>
      <c r="C315" s="95" t="s">
        <v>597</v>
      </c>
      <c r="D315" s="95" t="s">
        <v>597</v>
      </c>
      <c r="E315" s="95" t="s">
        <v>258</v>
      </c>
      <c r="F315" s="95" t="s">
        <v>597</v>
      </c>
      <c r="G315" s="95" t="s">
        <v>127</v>
      </c>
      <c r="H315" s="95" t="s">
        <v>259</v>
      </c>
      <c r="I315" s="132">
        <v>16616</v>
      </c>
      <c r="J315" s="95">
        <v>4</v>
      </c>
      <c r="K315" s="95">
        <f t="shared" si="4"/>
        <v>0</v>
      </c>
      <c r="L315" s="95" t="str">
        <f>IFERROR(VLOOKUP(GroupPop2018[[#This Row],[Group]],Grouping[#All],2,0),"Unknown")</f>
        <v>4 - Areas without curbside</v>
      </c>
      <c r="M315" s="95" t="str">
        <f>INDEX(Frequency[Collection_Frequency],MATCH(GroupPop2018[[#This Row],[FreqCode]],Frequency[Orig_Frequency_ID],0))</f>
        <v>No collection</v>
      </c>
      <c r="N315" s="95" t="str">
        <f>IF(GroupPop2018[[#This Row],[Group]]=1,"Metro",IF(GroupPop2018[[#This Row],[Group]]=4,"Nowhere",IF(GroupPop2018[[#This Row],[Group]]=3,"Remote",IF(GroupPop2018[[#This Row],[County]]="Marion","Marion County","Transported to Metro"))))</f>
        <v>Nowhere</v>
      </c>
      <c r="O315" s="95"/>
      <c r="P315" s="100">
        <f>GroupPop2018[[#This Row],[Pop2018]]*(1+SUMIFS(Growth[GrowthRate],Growth[Grouping_ID],GroupPop2018[[#This Row],[Group]]))</f>
        <v>17834.223159900801</v>
      </c>
    </row>
    <row r="316" spans="2:16" x14ac:dyDescent="0.2">
      <c r="B316" s="95" t="s">
        <v>590</v>
      </c>
      <c r="C316" s="95" t="s">
        <v>598</v>
      </c>
      <c r="D316" s="95" t="s">
        <v>598</v>
      </c>
      <c r="E316" s="95" t="s">
        <v>253</v>
      </c>
      <c r="F316" s="95" t="s">
        <v>590</v>
      </c>
      <c r="G316" s="95" t="s">
        <v>127</v>
      </c>
      <c r="H316" s="95" t="s">
        <v>254</v>
      </c>
      <c r="I316" s="132">
        <v>4920</v>
      </c>
      <c r="J316" s="95">
        <v>4</v>
      </c>
      <c r="K316" s="95">
        <f t="shared" si="4"/>
        <v>0</v>
      </c>
      <c r="L316" s="95" t="str">
        <f>IFERROR(VLOOKUP(GroupPop2018[[#This Row],[Group]],Grouping[#All],2,0),"Unknown")</f>
        <v>4 - Areas without curbside</v>
      </c>
      <c r="M316" s="95" t="str">
        <f>INDEX(Frequency[Collection_Frequency],MATCH(GroupPop2018[[#This Row],[FreqCode]],Frequency[Orig_Frequency_ID],0))</f>
        <v>No collection</v>
      </c>
      <c r="N316" s="95" t="str">
        <f>IF(GroupPop2018[[#This Row],[Group]]=1,"Metro",IF(GroupPop2018[[#This Row],[Group]]=4,"Nowhere",IF(GroupPop2018[[#This Row],[Group]]=3,"Remote",IF(GroupPop2018[[#This Row],[County]]="Marion","Marion County","Transported to Metro"))))</f>
        <v>Nowhere</v>
      </c>
      <c r="O316" s="95"/>
      <c r="P316" s="100">
        <f>GroupPop2018[[#This Row],[Pop2018]]*(1+SUMIFS(Growth[GrowthRate],Growth[Grouping_ID],GroupPop2018[[#This Row],[Group]]))</f>
        <v>5280.7160536056781</v>
      </c>
    </row>
    <row r="317" spans="2:16" x14ac:dyDescent="0.2">
      <c r="B317" s="95" t="s">
        <v>590</v>
      </c>
      <c r="C317" s="95" t="s">
        <v>599</v>
      </c>
      <c r="D317" s="95" t="s">
        <v>599</v>
      </c>
      <c r="E317" s="95" t="s">
        <v>253</v>
      </c>
      <c r="F317" s="95" t="s">
        <v>599</v>
      </c>
      <c r="G317" s="95" t="s">
        <v>127</v>
      </c>
      <c r="H317" s="95" t="s">
        <v>259</v>
      </c>
      <c r="I317" s="132">
        <v>400</v>
      </c>
      <c r="J317" s="95">
        <v>4</v>
      </c>
      <c r="K317" s="95">
        <f t="shared" si="4"/>
        <v>0</v>
      </c>
      <c r="L317" s="95" t="str">
        <f>IFERROR(VLOOKUP(GroupPop2018[[#This Row],[Group]],Grouping[#All],2,0),"Unknown")</f>
        <v>4 - Areas without curbside</v>
      </c>
      <c r="M317" s="95" t="str">
        <f>INDEX(Frequency[Collection_Frequency],MATCH(GroupPop2018[[#This Row],[FreqCode]],Frequency[Orig_Frequency_ID],0))</f>
        <v>No collection</v>
      </c>
      <c r="N317" s="95" t="str">
        <f>IF(GroupPop2018[[#This Row],[Group]]=1,"Metro",IF(GroupPop2018[[#This Row],[Group]]=4,"Nowhere",IF(GroupPop2018[[#This Row],[Group]]=3,"Remote",IF(GroupPop2018[[#This Row],[County]]="Marion","Marion County","Transported to Metro"))))</f>
        <v>Nowhere</v>
      </c>
      <c r="O317" s="95"/>
      <c r="P317" s="100">
        <f>GroupPop2018[[#This Row],[Pop2018]]*(1+SUMIFS(Growth[GrowthRate],Growth[Grouping_ID],GroupPop2018[[#This Row],[Group]]))</f>
        <v>429.32650842322585</v>
      </c>
    </row>
    <row r="318" spans="2:16" x14ac:dyDescent="0.2">
      <c r="B318" s="95" t="s">
        <v>600</v>
      </c>
      <c r="C318" s="95" t="s">
        <v>601</v>
      </c>
      <c r="D318" s="95" t="s">
        <v>601</v>
      </c>
      <c r="E318" s="95" t="s">
        <v>253</v>
      </c>
      <c r="F318" s="95" t="s">
        <v>601</v>
      </c>
      <c r="G318" s="95" t="s">
        <v>127</v>
      </c>
      <c r="H318" s="95" t="s">
        <v>259</v>
      </c>
      <c r="I318" s="132">
        <v>375</v>
      </c>
      <c r="J318" s="95">
        <v>4</v>
      </c>
      <c r="K318" s="95">
        <f t="shared" si="4"/>
        <v>0</v>
      </c>
      <c r="L318" s="95" t="str">
        <f>IFERROR(VLOOKUP(GroupPop2018[[#This Row],[Group]],Grouping[#All],2,0),"Unknown")</f>
        <v>4 - Areas without curbside</v>
      </c>
      <c r="M318" s="95" t="str">
        <f>INDEX(Frequency[Collection_Frequency],MATCH(GroupPop2018[[#This Row],[FreqCode]],Frequency[Orig_Frequency_ID],0))</f>
        <v>No collection</v>
      </c>
      <c r="N318" s="95" t="str">
        <f>IF(GroupPop2018[[#This Row],[Group]]=1,"Metro",IF(GroupPop2018[[#This Row],[Group]]=4,"Nowhere",IF(GroupPop2018[[#This Row],[Group]]=3,"Remote",IF(GroupPop2018[[#This Row],[County]]="Marion","Marion County","Transported to Metro"))))</f>
        <v>Nowhere</v>
      </c>
      <c r="O318" s="95"/>
      <c r="P318" s="100">
        <f>GroupPop2018[[#This Row],[Pop2018]]*(1+SUMIFS(Growth[GrowthRate],Growth[Grouping_ID],GroupPop2018[[#This Row],[Group]]))</f>
        <v>402.49360164677421</v>
      </c>
    </row>
    <row r="319" spans="2:16" x14ac:dyDescent="0.2">
      <c r="B319" s="95" t="s">
        <v>600</v>
      </c>
      <c r="C319" s="95" t="s">
        <v>602</v>
      </c>
      <c r="D319" s="95" t="s">
        <v>602</v>
      </c>
      <c r="E319" s="95" t="s">
        <v>253</v>
      </c>
      <c r="F319" s="95" t="s">
        <v>602</v>
      </c>
      <c r="G319" s="95" t="s">
        <v>127</v>
      </c>
      <c r="H319" s="95" t="s">
        <v>259</v>
      </c>
      <c r="I319" s="132">
        <v>1170</v>
      </c>
      <c r="J319" s="95">
        <v>4</v>
      </c>
      <c r="K319" s="95">
        <f t="shared" si="4"/>
        <v>0</v>
      </c>
      <c r="L319" s="95" t="str">
        <f>IFERROR(VLOOKUP(GroupPop2018[[#This Row],[Group]],Grouping[#All],2,0),"Unknown")</f>
        <v>4 - Areas without curbside</v>
      </c>
      <c r="M319" s="95" t="str">
        <f>INDEX(Frequency[Collection_Frequency],MATCH(GroupPop2018[[#This Row],[FreqCode]],Frequency[Orig_Frequency_ID],0))</f>
        <v>No collection</v>
      </c>
      <c r="N319" s="95" t="str">
        <f>IF(GroupPop2018[[#This Row],[Group]]=1,"Metro",IF(GroupPop2018[[#This Row],[Group]]=4,"Nowhere",IF(GroupPop2018[[#This Row],[Group]]=3,"Remote",IF(GroupPop2018[[#This Row],[County]]="Marion","Marion County","Transported to Metro"))))</f>
        <v>Nowhere</v>
      </c>
      <c r="O319" s="95"/>
      <c r="P319" s="100">
        <f>GroupPop2018[[#This Row],[Pop2018]]*(1+SUMIFS(Growth[GrowthRate],Growth[Grouping_ID],GroupPop2018[[#This Row],[Group]]))</f>
        <v>1255.7800371379356</v>
      </c>
    </row>
    <row r="320" spans="2:16" x14ac:dyDescent="0.2">
      <c r="B320" s="95" t="s">
        <v>600</v>
      </c>
      <c r="C320" s="95" t="s">
        <v>603</v>
      </c>
      <c r="D320" s="95" t="s">
        <v>603</v>
      </c>
      <c r="E320" s="95" t="s">
        <v>253</v>
      </c>
      <c r="F320" s="95" t="s">
        <v>603</v>
      </c>
      <c r="G320" s="95" t="s">
        <v>127</v>
      </c>
      <c r="H320" s="95" t="s">
        <v>259</v>
      </c>
      <c r="I320" s="132">
        <v>710</v>
      </c>
      <c r="J320" s="95">
        <v>4</v>
      </c>
      <c r="K320" s="95">
        <f t="shared" si="4"/>
        <v>0</v>
      </c>
      <c r="L320" s="95" t="str">
        <f>IFERROR(VLOOKUP(GroupPop2018[[#This Row],[Group]],Grouping[#All],2,0),"Unknown")</f>
        <v>4 - Areas without curbside</v>
      </c>
      <c r="M320" s="95" t="str">
        <f>INDEX(Frequency[Collection_Frequency],MATCH(GroupPop2018[[#This Row],[FreqCode]],Frequency[Orig_Frequency_ID],0))</f>
        <v>No collection</v>
      </c>
      <c r="N320" s="95" t="str">
        <f>IF(GroupPop2018[[#This Row],[Group]]=1,"Metro",IF(GroupPop2018[[#This Row],[Group]]=4,"Nowhere",IF(GroupPop2018[[#This Row],[Group]]=3,"Remote",IF(GroupPop2018[[#This Row],[County]]="Marion","Marion County","Transported to Metro"))))</f>
        <v>Nowhere</v>
      </c>
      <c r="O320" s="95"/>
      <c r="P320" s="100">
        <f>GroupPop2018[[#This Row],[Pop2018]]*(1+SUMIFS(Growth[GrowthRate],Growth[Grouping_ID],GroupPop2018[[#This Row],[Group]]))</f>
        <v>762.05455245122585</v>
      </c>
    </row>
    <row r="321" spans="2:16" x14ac:dyDescent="0.2">
      <c r="B321" s="95" t="s">
        <v>600</v>
      </c>
      <c r="C321" s="95" t="s">
        <v>604</v>
      </c>
      <c r="D321" s="95" t="s">
        <v>604</v>
      </c>
      <c r="E321" s="95" t="s">
        <v>253</v>
      </c>
      <c r="F321" s="95" t="s">
        <v>604</v>
      </c>
      <c r="G321" s="95" t="s">
        <v>127</v>
      </c>
      <c r="H321" s="95" t="s">
        <v>259</v>
      </c>
      <c r="I321" s="132">
        <v>195</v>
      </c>
      <c r="J321" s="95">
        <v>4</v>
      </c>
      <c r="K321" s="95">
        <f t="shared" si="4"/>
        <v>0</v>
      </c>
      <c r="L321" s="95" t="str">
        <f>IFERROR(VLOOKUP(GroupPop2018[[#This Row],[Group]],Grouping[#All],2,0),"Unknown")</f>
        <v>4 - Areas without curbside</v>
      </c>
      <c r="M321" s="95" t="str">
        <f>INDEX(Frequency[Collection_Frequency],MATCH(GroupPop2018[[#This Row],[FreqCode]],Frequency[Orig_Frequency_ID],0))</f>
        <v>No collection</v>
      </c>
      <c r="N321" s="95" t="str">
        <f>IF(GroupPop2018[[#This Row],[Group]]=1,"Metro",IF(GroupPop2018[[#This Row],[Group]]=4,"Nowhere",IF(GroupPop2018[[#This Row],[Group]]=3,"Remote",IF(GroupPop2018[[#This Row],[County]]="Marion","Marion County","Transported to Metro"))))</f>
        <v>Nowhere</v>
      </c>
      <c r="O321" s="95"/>
      <c r="P321" s="100">
        <f>GroupPop2018[[#This Row],[Pop2018]]*(1+SUMIFS(Growth[GrowthRate],Growth[Grouping_ID],GroupPop2018[[#This Row],[Group]]))</f>
        <v>209.2966728563226</v>
      </c>
    </row>
    <row r="322" spans="2:16" x14ac:dyDescent="0.2">
      <c r="B322" s="95" t="s">
        <v>600</v>
      </c>
      <c r="C322" s="95" t="s">
        <v>605</v>
      </c>
      <c r="D322" s="95" t="s">
        <v>605</v>
      </c>
      <c r="E322" s="95" t="s">
        <v>253</v>
      </c>
      <c r="F322" s="95" t="s">
        <v>605</v>
      </c>
      <c r="G322" s="95" t="s">
        <v>127</v>
      </c>
      <c r="H322" s="95" t="s">
        <v>254</v>
      </c>
      <c r="I322" s="132">
        <v>18200</v>
      </c>
      <c r="J322" s="95">
        <v>4</v>
      </c>
      <c r="K322" s="95">
        <f t="shared" si="4"/>
        <v>0</v>
      </c>
      <c r="L322" s="95" t="str">
        <f>IFERROR(VLOOKUP(GroupPop2018[[#This Row],[Group]],Grouping[#All],2,0),"Unknown")</f>
        <v>4 - Areas without curbside</v>
      </c>
      <c r="M322" s="95" t="str">
        <f>INDEX(Frequency[Collection_Frequency],MATCH(GroupPop2018[[#This Row],[FreqCode]],Frequency[Orig_Frequency_ID],0))</f>
        <v>No collection</v>
      </c>
      <c r="N322" s="95" t="str">
        <f>IF(GroupPop2018[[#This Row],[Group]]=1,"Metro",IF(GroupPop2018[[#This Row],[Group]]=4,"Nowhere",IF(GroupPop2018[[#This Row],[Group]]=3,"Remote",IF(GroupPop2018[[#This Row],[County]]="Marion","Marion County","Transported to Metro"))))</f>
        <v>Nowhere</v>
      </c>
      <c r="O322" s="95"/>
      <c r="P322" s="100">
        <f>GroupPop2018[[#This Row],[Pop2018]]*(1+SUMIFS(Growth[GrowthRate],Growth[Grouping_ID],GroupPop2018[[#This Row],[Group]]))</f>
        <v>19534.356133256777</v>
      </c>
    </row>
    <row r="323" spans="2:16" x14ac:dyDescent="0.2">
      <c r="B323" s="95" t="s">
        <v>600</v>
      </c>
      <c r="C323" s="95" t="s">
        <v>605</v>
      </c>
      <c r="D323" s="95" t="s">
        <v>605</v>
      </c>
      <c r="E323" s="95" t="s">
        <v>255</v>
      </c>
      <c r="F323" s="95" t="s">
        <v>606</v>
      </c>
      <c r="G323" s="95" t="s">
        <v>127</v>
      </c>
      <c r="H323" s="95" t="s">
        <v>254</v>
      </c>
      <c r="I323" s="132">
        <v>9</v>
      </c>
      <c r="J323" s="95">
        <v>4</v>
      </c>
      <c r="K323" s="95">
        <f t="shared" si="4"/>
        <v>0</v>
      </c>
      <c r="L323" s="95" t="str">
        <f>IFERROR(VLOOKUP(GroupPop2018[[#This Row],[Group]],Grouping[#All],2,0),"Unknown")</f>
        <v>4 - Areas without curbside</v>
      </c>
      <c r="M323" s="95" t="str">
        <f>INDEX(Frequency[Collection_Frequency],MATCH(GroupPop2018[[#This Row],[FreqCode]],Frequency[Orig_Frequency_ID],0))</f>
        <v>No collection</v>
      </c>
      <c r="N323" s="95" t="str">
        <f>IF(GroupPop2018[[#This Row],[Group]]=1,"Metro",IF(GroupPop2018[[#This Row],[Group]]=4,"Nowhere",IF(GroupPop2018[[#This Row],[Group]]=3,"Remote",IF(GroupPop2018[[#This Row],[County]]="Marion","Marion County","Transported to Metro"))))</f>
        <v>Nowhere</v>
      </c>
      <c r="O323" s="95"/>
      <c r="P323" s="100">
        <f>GroupPop2018[[#This Row],[Pop2018]]*(1+SUMIFS(Growth[GrowthRate],Growth[Grouping_ID],GroupPop2018[[#This Row],[Group]]))</f>
        <v>9.6598464395225818</v>
      </c>
    </row>
    <row r="324" spans="2:16" x14ac:dyDescent="0.2">
      <c r="B324" s="95" t="s">
        <v>600</v>
      </c>
      <c r="C324" s="95" t="s">
        <v>607</v>
      </c>
      <c r="D324" s="95" t="s">
        <v>607</v>
      </c>
      <c r="E324" s="95" t="s">
        <v>253</v>
      </c>
      <c r="F324" s="95" t="s">
        <v>607</v>
      </c>
      <c r="G324" s="95" t="s">
        <v>127</v>
      </c>
      <c r="H324" s="95" t="s">
        <v>254</v>
      </c>
      <c r="I324" s="132">
        <v>7105</v>
      </c>
      <c r="J324" s="95">
        <v>4</v>
      </c>
      <c r="K324" s="95">
        <f t="shared" si="4"/>
        <v>0</v>
      </c>
      <c r="L324" s="95" t="str">
        <f>IFERROR(VLOOKUP(GroupPop2018[[#This Row],[Group]],Grouping[#All],2,0),"Unknown")</f>
        <v>4 - Areas without curbside</v>
      </c>
      <c r="M324" s="95" t="str">
        <f>INDEX(Frequency[Collection_Frequency],MATCH(GroupPop2018[[#This Row],[FreqCode]],Frequency[Orig_Frequency_ID],0))</f>
        <v>No collection</v>
      </c>
      <c r="N324" s="95" t="str">
        <f>IF(GroupPop2018[[#This Row],[Group]]=1,"Metro",IF(GroupPop2018[[#This Row],[Group]]=4,"Nowhere",IF(GroupPop2018[[#This Row],[Group]]=3,"Remote",IF(GroupPop2018[[#This Row],[County]]="Marion","Marion County","Transported to Metro"))))</f>
        <v>Nowhere</v>
      </c>
      <c r="O324" s="95"/>
      <c r="P324" s="100">
        <f>GroupPop2018[[#This Row],[Pop2018]]*(1+SUMIFS(Growth[GrowthRate],Growth[Grouping_ID],GroupPop2018[[#This Row],[Group]]))</f>
        <v>7625.9121058675491</v>
      </c>
    </row>
    <row r="325" spans="2:16" x14ac:dyDescent="0.2">
      <c r="B325" s="95" t="s">
        <v>600</v>
      </c>
      <c r="C325" s="95" t="s">
        <v>607</v>
      </c>
      <c r="D325" s="95" t="s">
        <v>607</v>
      </c>
      <c r="E325" s="95" t="s">
        <v>255</v>
      </c>
      <c r="F325" s="95" t="s">
        <v>608</v>
      </c>
      <c r="G325" s="95" t="s">
        <v>127</v>
      </c>
      <c r="H325" s="95" t="s">
        <v>254</v>
      </c>
      <c r="I325" s="132">
        <v>583</v>
      </c>
      <c r="J325" s="95">
        <v>4</v>
      </c>
      <c r="K325" s="95">
        <f t="shared" si="4"/>
        <v>0</v>
      </c>
      <c r="L325" s="95" t="str">
        <f>IFERROR(VLOOKUP(GroupPop2018[[#This Row],[Group]],Grouping[#All],2,0),"Unknown")</f>
        <v>4 - Areas without curbside</v>
      </c>
      <c r="M325" s="95" t="str">
        <f>INDEX(Frequency[Collection_Frequency],MATCH(GroupPop2018[[#This Row],[FreqCode]],Frequency[Orig_Frequency_ID],0))</f>
        <v>No collection</v>
      </c>
      <c r="N325" s="95" t="str">
        <f>IF(GroupPop2018[[#This Row],[Group]]=1,"Metro",IF(GroupPop2018[[#This Row],[Group]]=4,"Nowhere",IF(GroupPop2018[[#This Row],[Group]]=3,"Remote",IF(GroupPop2018[[#This Row],[County]]="Marion","Marion County","Transported to Metro"))))</f>
        <v>Nowhere</v>
      </c>
      <c r="O325" s="95">
        <v>2</v>
      </c>
      <c r="P325" s="100">
        <f>GroupPop2018[[#This Row],[Pop2018]]*(1+SUMIFS(Growth[GrowthRate],Growth[Grouping_ID],GroupPop2018[[#This Row],[Group]]))</f>
        <v>625.74338602685168</v>
      </c>
    </row>
    <row r="326" spans="2:16" x14ac:dyDescent="0.2">
      <c r="B326" s="95" t="s">
        <v>600</v>
      </c>
      <c r="C326" s="95" t="s">
        <v>609</v>
      </c>
      <c r="D326" s="95" t="s">
        <v>609</v>
      </c>
      <c r="E326" s="95" t="s">
        <v>253</v>
      </c>
      <c r="F326" s="95" t="s">
        <v>609</v>
      </c>
      <c r="G326" s="95" t="s">
        <v>127</v>
      </c>
      <c r="H326" s="95" t="s">
        <v>254</v>
      </c>
      <c r="I326" s="132">
        <v>16810</v>
      </c>
      <c r="J326" s="95">
        <v>4</v>
      </c>
      <c r="K326" s="95">
        <f t="shared" si="4"/>
        <v>0</v>
      </c>
      <c r="L326" s="95" t="str">
        <f>IFERROR(VLOOKUP(GroupPop2018[[#This Row],[Group]],Grouping[#All],2,0),"Unknown")</f>
        <v>4 - Areas without curbside</v>
      </c>
      <c r="M326" s="95" t="str">
        <f>INDEX(Frequency[Collection_Frequency],MATCH(GroupPop2018[[#This Row],[FreqCode]],Frequency[Orig_Frequency_ID],0))</f>
        <v>No collection</v>
      </c>
      <c r="N326" s="95" t="str">
        <f>IF(GroupPop2018[[#This Row],[Group]]=1,"Metro",IF(GroupPop2018[[#This Row],[Group]]=4,"Nowhere",IF(GroupPop2018[[#This Row],[Group]]=3,"Remote",IF(GroupPop2018[[#This Row],[County]]="Marion","Marion County","Transported to Metro"))))</f>
        <v>Nowhere</v>
      </c>
      <c r="O326" s="95"/>
      <c r="P326" s="100">
        <f>GroupPop2018[[#This Row],[Pop2018]]*(1+SUMIFS(Growth[GrowthRate],Growth[Grouping_ID],GroupPop2018[[#This Row],[Group]]))</f>
        <v>18042.446516486067</v>
      </c>
    </row>
    <row r="327" spans="2:16" x14ac:dyDescent="0.2">
      <c r="B327" s="95" t="s">
        <v>600</v>
      </c>
      <c r="C327" s="95" t="s">
        <v>609</v>
      </c>
      <c r="D327" s="95" t="s">
        <v>609</v>
      </c>
      <c r="E327" s="95" t="s">
        <v>255</v>
      </c>
      <c r="F327" s="95" t="s">
        <v>610</v>
      </c>
      <c r="G327" s="95" t="s">
        <v>127</v>
      </c>
      <c r="H327" s="95" t="s">
        <v>254</v>
      </c>
      <c r="I327" s="132">
        <v>9</v>
      </c>
      <c r="J327" s="95">
        <v>4</v>
      </c>
      <c r="K327" s="95">
        <f t="shared" si="4"/>
        <v>0</v>
      </c>
      <c r="L327" s="95" t="str">
        <f>IFERROR(VLOOKUP(GroupPop2018[[#This Row],[Group]],Grouping[#All],2,0),"Unknown")</f>
        <v>4 - Areas without curbside</v>
      </c>
      <c r="M327" s="95" t="str">
        <f>INDEX(Frequency[Collection_Frequency],MATCH(GroupPop2018[[#This Row],[FreqCode]],Frequency[Orig_Frequency_ID],0))</f>
        <v>No collection</v>
      </c>
      <c r="N327" s="95" t="str">
        <f>IF(GroupPop2018[[#This Row],[Group]]=1,"Metro",IF(GroupPop2018[[#This Row],[Group]]=4,"Nowhere",IF(GroupPop2018[[#This Row],[Group]]=3,"Remote",IF(GroupPop2018[[#This Row],[County]]="Marion","Marion County","Transported to Metro"))))</f>
        <v>Nowhere</v>
      </c>
      <c r="O327" s="95"/>
      <c r="P327" s="100">
        <f>GroupPop2018[[#This Row],[Pop2018]]*(1+SUMIFS(Growth[GrowthRate],Growth[Grouping_ID],GroupPop2018[[#This Row],[Group]]))</f>
        <v>9.6598464395225818</v>
      </c>
    </row>
    <row r="328" spans="2:16" x14ac:dyDescent="0.2">
      <c r="B328" s="95" t="s">
        <v>600</v>
      </c>
      <c r="C328" s="95" t="s">
        <v>611</v>
      </c>
      <c r="D328" s="95" t="s">
        <v>611</v>
      </c>
      <c r="E328" s="95" t="s">
        <v>253</v>
      </c>
      <c r="F328" s="95" t="s">
        <v>611</v>
      </c>
      <c r="G328" s="95" t="s">
        <v>127</v>
      </c>
      <c r="H328" s="95" t="s">
        <v>259</v>
      </c>
      <c r="I328" s="132">
        <v>1505</v>
      </c>
      <c r="J328" s="95">
        <v>4</v>
      </c>
      <c r="K328" s="95">
        <f t="shared" si="4"/>
        <v>0</v>
      </c>
      <c r="L328" s="95" t="str">
        <f>IFERROR(VLOOKUP(GroupPop2018[[#This Row],[Group]],Grouping[#All],2,0),"Unknown")</f>
        <v>4 - Areas without curbside</v>
      </c>
      <c r="M328" s="95" t="str">
        <f>INDEX(Frequency[Collection_Frequency],MATCH(GroupPop2018[[#This Row],[FreqCode]],Frequency[Orig_Frequency_ID],0))</f>
        <v>No collection</v>
      </c>
      <c r="N328" s="95" t="str">
        <f>IF(GroupPop2018[[#This Row],[Group]]=1,"Metro",IF(GroupPop2018[[#This Row],[Group]]=4,"Nowhere",IF(GroupPop2018[[#This Row],[Group]]=3,"Remote",IF(GroupPop2018[[#This Row],[County]]="Marion","Marion County","Transported to Metro"))))</f>
        <v>Nowhere</v>
      </c>
      <c r="O328" s="95"/>
      <c r="P328" s="100">
        <f>GroupPop2018[[#This Row],[Pop2018]]*(1+SUMIFS(Growth[GrowthRate],Growth[Grouping_ID],GroupPop2018[[#This Row],[Group]]))</f>
        <v>1615.3409879423873</v>
      </c>
    </row>
    <row r="329" spans="2:16" x14ac:dyDescent="0.2">
      <c r="B329" s="95" t="s">
        <v>600</v>
      </c>
      <c r="C329" s="95" t="s">
        <v>612</v>
      </c>
      <c r="D329" s="95" t="s">
        <v>612</v>
      </c>
      <c r="E329" s="95" t="s">
        <v>253</v>
      </c>
      <c r="F329" s="95" t="s">
        <v>612</v>
      </c>
      <c r="G329" s="95" t="s">
        <v>127</v>
      </c>
      <c r="H329" s="95" t="s">
        <v>259</v>
      </c>
      <c r="I329" s="132">
        <v>2185</v>
      </c>
      <c r="J329" s="95">
        <v>4</v>
      </c>
      <c r="K329" s="95">
        <f t="shared" si="4"/>
        <v>0</v>
      </c>
      <c r="L329" s="95" t="str">
        <f>IFERROR(VLOOKUP(GroupPop2018[[#This Row],[Group]],Grouping[#All],2,0),"Unknown")</f>
        <v>4 - Areas without curbside</v>
      </c>
      <c r="M329" s="95" t="str">
        <f>INDEX(Frequency[Collection_Frequency],MATCH(GroupPop2018[[#This Row],[FreqCode]],Frequency[Orig_Frequency_ID],0))</f>
        <v>No collection</v>
      </c>
      <c r="N329" s="95" t="str">
        <f>IF(GroupPop2018[[#This Row],[Group]]=1,"Metro",IF(GroupPop2018[[#This Row],[Group]]=4,"Nowhere",IF(GroupPop2018[[#This Row],[Group]]=3,"Remote",IF(GroupPop2018[[#This Row],[County]]="Marion","Marion County","Transported to Metro"))))</f>
        <v>Nowhere</v>
      </c>
      <c r="O329" s="95"/>
      <c r="P329" s="100">
        <f>GroupPop2018[[#This Row],[Pop2018]]*(1+SUMIFS(Growth[GrowthRate],Growth[Grouping_ID],GroupPop2018[[#This Row],[Group]]))</f>
        <v>2345.196052261871</v>
      </c>
    </row>
    <row r="330" spans="2:16" x14ac:dyDescent="0.2">
      <c r="B330" s="95" t="s">
        <v>600</v>
      </c>
      <c r="C330" s="95" t="s">
        <v>613</v>
      </c>
      <c r="D330" s="95" t="s">
        <v>613</v>
      </c>
      <c r="E330" s="95" t="s">
        <v>253</v>
      </c>
      <c r="F330" s="95" t="s">
        <v>613</v>
      </c>
      <c r="G330" s="95" t="s">
        <v>127</v>
      </c>
      <c r="H330" s="95" t="s">
        <v>259</v>
      </c>
      <c r="I330" s="132">
        <v>240</v>
      </c>
      <c r="J330" s="95">
        <v>4</v>
      </c>
      <c r="K330" s="95">
        <f t="shared" si="4"/>
        <v>0</v>
      </c>
      <c r="L330" s="95" t="str">
        <f>IFERROR(VLOOKUP(GroupPop2018[[#This Row],[Group]],Grouping[#All],2,0),"Unknown")</f>
        <v>4 - Areas without curbside</v>
      </c>
      <c r="M330" s="95" t="str">
        <f>INDEX(Frequency[Collection_Frequency],MATCH(GroupPop2018[[#This Row],[FreqCode]],Frequency[Orig_Frequency_ID],0))</f>
        <v>No collection</v>
      </c>
      <c r="N330" s="95" t="str">
        <f>IF(GroupPop2018[[#This Row],[Group]]=1,"Metro",IF(GroupPop2018[[#This Row],[Group]]=4,"Nowhere",IF(GroupPop2018[[#This Row],[Group]]=3,"Remote",IF(GroupPop2018[[#This Row],[County]]="Marion","Marion County","Transported to Metro"))))</f>
        <v>Nowhere</v>
      </c>
      <c r="O330" s="95"/>
      <c r="P330" s="100">
        <f>GroupPop2018[[#This Row],[Pop2018]]*(1+SUMIFS(Growth[GrowthRate],Growth[Grouping_ID],GroupPop2018[[#This Row],[Group]]))</f>
        <v>257.5959050539355</v>
      </c>
    </row>
    <row r="331" spans="2:16" x14ac:dyDescent="0.2">
      <c r="B331" s="95" t="s">
        <v>600</v>
      </c>
      <c r="C331" s="95" t="s">
        <v>600</v>
      </c>
      <c r="D331" s="95" t="s">
        <v>600</v>
      </c>
      <c r="E331" s="95" t="s">
        <v>253</v>
      </c>
      <c r="F331" s="95" t="s">
        <v>600</v>
      </c>
      <c r="G331" s="95" t="s">
        <v>127</v>
      </c>
      <c r="H331" s="95" t="s">
        <v>254</v>
      </c>
      <c r="I331" s="132">
        <v>7320</v>
      </c>
      <c r="J331" s="95">
        <v>4</v>
      </c>
      <c r="K331" s="95">
        <f t="shared" si="4"/>
        <v>0</v>
      </c>
      <c r="L331" s="95" t="str">
        <f>IFERROR(VLOOKUP(GroupPop2018[[#This Row],[Group]],Grouping[#All],2,0),"Unknown")</f>
        <v>4 - Areas without curbside</v>
      </c>
      <c r="M331" s="95" t="str">
        <f>INDEX(Frequency[Collection_Frequency],MATCH(GroupPop2018[[#This Row],[FreqCode]],Frequency[Orig_Frequency_ID],0))</f>
        <v>No collection</v>
      </c>
      <c r="N331" s="95" t="str">
        <f>IF(GroupPop2018[[#This Row],[Group]]=1,"Metro",IF(GroupPop2018[[#This Row],[Group]]=4,"Nowhere",IF(GroupPop2018[[#This Row],[Group]]=3,"Remote",IF(GroupPop2018[[#This Row],[County]]="Marion","Marion County","Transported to Metro"))))</f>
        <v>Nowhere</v>
      </c>
      <c r="O331" s="95"/>
      <c r="P331" s="100">
        <f>GroupPop2018[[#This Row],[Pop2018]]*(1+SUMIFS(Growth[GrowthRate],Growth[Grouping_ID],GroupPop2018[[#This Row],[Group]]))</f>
        <v>7856.6751041450325</v>
      </c>
    </row>
    <row r="332" spans="2:16" x14ac:dyDescent="0.2">
      <c r="B332" s="95" t="s">
        <v>600</v>
      </c>
      <c r="C332" s="95" t="s">
        <v>600</v>
      </c>
      <c r="D332" s="95" t="s">
        <v>600</v>
      </c>
      <c r="E332" s="95" t="s">
        <v>255</v>
      </c>
      <c r="F332" s="95" t="s">
        <v>614</v>
      </c>
      <c r="G332" s="95" t="s">
        <v>127</v>
      </c>
      <c r="H332" s="95" t="s">
        <v>254</v>
      </c>
      <c r="I332" s="132">
        <v>9</v>
      </c>
      <c r="J332" s="95">
        <v>4</v>
      </c>
      <c r="K332" s="95">
        <f t="shared" si="4"/>
        <v>0</v>
      </c>
      <c r="L332" s="95" t="str">
        <f>IFERROR(VLOOKUP(GroupPop2018[[#This Row],[Group]],Grouping[#All],2,0),"Unknown")</f>
        <v>4 - Areas without curbside</v>
      </c>
      <c r="M332" s="95" t="str">
        <f>INDEX(Frequency[Collection_Frequency],MATCH(GroupPop2018[[#This Row],[FreqCode]],Frequency[Orig_Frequency_ID],0))</f>
        <v>No collection</v>
      </c>
      <c r="N332" s="95" t="str">
        <f>IF(GroupPop2018[[#This Row],[Group]]=1,"Metro",IF(GroupPop2018[[#This Row],[Group]]=4,"Nowhere",IF(GroupPop2018[[#This Row],[Group]]=3,"Remote",IF(GroupPop2018[[#This Row],[County]]="Marion","Marion County","Transported to Metro"))))</f>
        <v>Nowhere</v>
      </c>
      <c r="O332" s="95"/>
      <c r="P332" s="100">
        <f>GroupPop2018[[#This Row],[Pop2018]]*(1+SUMIFS(Growth[GrowthRate],Growth[Grouping_ID],GroupPop2018[[#This Row],[Group]]))</f>
        <v>9.6598464395225818</v>
      </c>
    </row>
    <row r="333" spans="2:16" x14ac:dyDescent="0.2">
      <c r="B333" s="95" t="s">
        <v>600</v>
      </c>
      <c r="C333" s="95" t="s">
        <v>615</v>
      </c>
      <c r="D333" s="95" t="s">
        <v>615</v>
      </c>
      <c r="E333" s="95" t="s">
        <v>258</v>
      </c>
      <c r="F333" s="95" t="s">
        <v>615</v>
      </c>
      <c r="G333" s="95" t="s">
        <v>127</v>
      </c>
      <c r="H333" s="95" t="s">
        <v>259</v>
      </c>
      <c r="I333" s="132">
        <v>23655</v>
      </c>
      <c r="J333" s="95">
        <v>4</v>
      </c>
      <c r="K333" s="95">
        <f t="shared" si="4"/>
        <v>0</v>
      </c>
      <c r="L333" s="95" t="str">
        <f>IFERROR(VLOOKUP(GroupPop2018[[#This Row],[Group]],Grouping[#All],2,0),"Unknown")</f>
        <v>4 - Areas without curbside</v>
      </c>
      <c r="M333" s="95" t="str">
        <f>INDEX(Frequency[Collection_Frequency],MATCH(GroupPop2018[[#This Row],[FreqCode]],Frequency[Orig_Frequency_ID],0))</f>
        <v>No collection</v>
      </c>
      <c r="N333" s="95" t="str">
        <f>IF(GroupPop2018[[#This Row],[Group]]=1,"Metro",IF(GroupPop2018[[#This Row],[Group]]=4,"Nowhere",IF(GroupPop2018[[#This Row],[Group]]=3,"Remote",IF(GroupPop2018[[#This Row],[County]]="Marion","Marion County","Transported to Metro"))))</f>
        <v>Nowhere</v>
      </c>
      <c r="O333" s="95">
        <v>2</v>
      </c>
      <c r="P333" s="100">
        <f>GroupPop2018[[#This Row],[Pop2018]]*(1+SUMIFS(Growth[GrowthRate],Growth[Grouping_ID],GroupPop2018[[#This Row],[Group]]))</f>
        <v>25389.296391878517</v>
      </c>
    </row>
    <row r="334" spans="2:16" x14ac:dyDescent="0.2">
      <c r="B334" s="95" t="s">
        <v>600</v>
      </c>
      <c r="C334" s="95" t="s">
        <v>616</v>
      </c>
      <c r="D334" s="95" t="s">
        <v>616</v>
      </c>
      <c r="E334" s="95" t="s">
        <v>253</v>
      </c>
      <c r="F334" s="95" t="s">
        <v>616</v>
      </c>
      <c r="G334" s="95" t="s">
        <v>127</v>
      </c>
      <c r="H334" s="95" t="s">
        <v>259</v>
      </c>
      <c r="I334" s="132">
        <v>685</v>
      </c>
      <c r="J334" s="95">
        <v>4</v>
      </c>
      <c r="K334" s="95">
        <f t="shared" si="4"/>
        <v>0</v>
      </c>
      <c r="L334" s="95" t="str">
        <f>IFERROR(VLOOKUP(GroupPop2018[[#This Row],[Group]],Grouping[#All],2,0),"Unknown")</f>
        <v>4 - Areas without curbside</v>
      </c>
      <c r="M334" s="95" t="str">
        <f>INDEX(Frequency[Collection_Frequency],MATCH(GroupPop2018[[#This Row],[FreqCode]],Frequency[Orig_Frequency_ID],0))</f>
        <v>No collection</v>
      </c>
      <c r="N334" s="95" t="str">
        <f>IF(GroupPop2018[[#This Row],[Group]]=1,"Metro",IF(GroupPop2018[[#This Row],[Group]]=4,"Nowhere",IF(GroupPop2018[[#This Row],[Group]]=3,"Remote",IF(GroupPop2018[[#This Row],[County]]="Marion","Marion County","Transported to Metro"))))</f>
        <v>Nowhere</v>
      </c>
      <c r="O334" s="95"/>
      <c r="P334" s="100">
        <f>GroupPop2018[[#This Row],[Pop2018]]*(1+SUMIFS(Growth[GrowthRate],Growth[Grouping_ID],GroupPop2018[[#This Row],[Group]]))</f>
        <v>735.22164567477421</v>
      </c>
    </row>
    <row r="335" spans="2:16" x14ac:dyDescent="0.2">
      <c r="B335" s="95" t="s">
        <v>617</v>
      </c>
      <c r="C335" s="95" t="s">
        <v>618</v>
      </c>
      <c r="D335" s="95" t="s">
        <v>618</v>
      </c>
      <c r="E335" s="95" t="s">
        <v>253</v>
      </c>
      <c r="F335" s="95" t="s">
        <v>618</v>
      </c>
      <c r="G335" s="95" t="s">
        <v>127</v>
      </c>
      <c r="H335" s="95" t="s">
        <v>259</v>
      </c>
      <c r="I335" s="132">
        <v>550</v>
      </c>
      <c r="J335" s="95">
        <v>4</v>
      </c>
      <c r="K335" s="95">
        <f t="shared" si="4"/>
        <v>0</v>
      </c>
      <c r="L335" s="95" t="str">
        <f>IFERROR(VLOOKUP(GroupPop2018[[#This Row],[Group]],Grouping[#All],2,0),"Unknown")</f>
        <v>4 - Areas without curbside</v>
      </c>
      <c r="M335" s="95" t="str">
        <f>INDEX(Frequency[Collection_Frequency],MATCH(GroupPop2018[[#This Row],[FreqCode]],Frequency[Orig_Frequency_ID],0))</f>
        <v>No collection</v>
      </c>
      <c r="N335" s="95" t="str">
        <f>IF(GroupPop2018[[#This Row],[Group]]=1,"Metro",IF(GroupPop2018[[#This Row],[Group]]=4,"Nowhere",IF(GroupPop2018[[#This Row],[Group]]=3,"Remote",IF(GroupPop2018[[#This Row],[County]]="Marion","Marion County","Transported to Metro"))))</f>
        <v>Nowhere</v>
      </c>
      <c r="O335" s="95"/>
      <c r="P335" s="100">
        <f>GroupPop2018[[#This Row],[Pop2018]]*(1+SUMIFS(Growth[GrowthRate],Growth[Grouping_ID],GroupPop2018[[#This Row],[Group]]))</f>
        <v>590.32394908193555</v>
      </c>
    </row>
    <row r="336" spans="2:16" x14ac:dyDescent="0.2">
      <c r="B336" s="95" t="s">
        <v>617</v>
      </c>
      <c r="C336" s="95" t="s">
        <v>619</v>
      </c>
      <c r="D336" s="95" t="s">
        <v>619</v>
      </c>
      <c r="E336" s="95" t="s">
        <v>253</v>
      </c>
      <c r="F336" s="95" t="s">
        <v>619</v>
      </c>
      <c r="G336" s="95" t="s">
        <v>127</v>
      </c>
      <c r="H336" s="95" t="s">
        <v>259</v>
      </c>
      <c r="I336" s="132">
        <v>1730</v>
      </c>
      <c r="J336" s="95">
        <v>4</v>
      </c>
      <c r="K336" s="95">
        <f t="shared" si="4"/>
        <v>0</v>
      </c>
      <c r="L336" s="95" t="str">
        <f>IFERROR(VLOOKUP(GroupPop2018[[#This Row],[Group]],Grouping[#All],2,0),"Unknown")</f>
        <v>4 - Areas without curbside</v>
      </c>
      <c r="M336" s="95" t="str">
        <f>INDEX(Frequency[Collection_Frequency],MATCH(GroupPop2018[[#This Row],[FreqCode]],Frequency[Orig_Frequency_ID],0))</f>
        <v>No collection</v>
      </c>
      <c r="N336" s="95" t="str">
        <f>IF(GroupPop2018[[#This Row],[Group]]=1,"Metro",IF(GroupPop2018[[#This Row],[Group]]=4,"Nowhere",IF(GroupPop2018[[#This Row],[Group]]=3,"Remote",IF(GroupPop2018[[#This Row],[County]]="Marion","Marion County","Transported to Metro"))))</f>
        <v>Nowhere</v>
      </c>
      <c r="O336" s="95"/>
      <c r="P336" s="100">
        <f>GroupPop2018[[#This Row],[Pop2018]]*(1+SUMIFS(Growth[GrowthRate],Growth[Grouping_ID],GroupPop2018[[#This Row],[Group]]))</f>
        <v>1856.8371489304518</v>
      </c>
    </row>
    <row r="337" spans="2:16" x14ac:dyDescent="0.2">
      <c r="B337" s="95" t="s">
        <v>617</v>
      </c>
      <c r="C337" s="95" t="s">
        <v>620</v>
      </c>
      <c r="D337" s="95" t="s">
        <v>620</v>
      </c>
      <c r="E337" s="95" t="s">
        <v>253</v>
      </c>
      <c r="F337" s="95" t="s">
        <v>620</v>
      </c>
      <c r="G337" s="95" t="s">
        <v>127</v>
      </c>
      <c r="H337" s="95" t="s">
        <v>259</v>
      </c>
      <c r="I337" s="132">
        <v>305</v>
      </c>
      <c r="J337" s="95">
        <v>4</v>
      </c>
      <c r="K337" s="95">
        <f t="shared" si="4"/>
        <v>0</v>
      </c>
      <c r="L337" s="95" t="str">
        <f>IFERROR(VLOOKUP(GroupPop2018[[#This Row],[Group]],Grouping[#All],2,0),"Unknown")</f>
        <v>4 - Areas without curbside</v>
      </c>
      <c r="M337" s="95" t="str">
        <f>INDEX(Frequency[Collection_Frequency],MATCH(GroupPop2018[[#This Row],[FreqCode]],Frequency[Orig_Frequency_ID],0))</f>
        <v>No collection</v>
      </c>
      <c r="N337" s="95" t="str">
        <f>IF(GroupPop2018[[#This Row],[Group]]=1,"Metro",IF(GroupPop2018[[#This Row],[Group]]=4,"Nowhere",IF(GroupPop2018[[#This Row],[Group]]=3,"Remote",IF(GroupPop2018[[#This Row],[County]]="Marion","Marion County","Transported to Metro"))))</f>
        <v>Nowhere</v>
      </c>
      <c r="O337" s="95"/>
      <c r="P337" s="100">
        <f>GroupPop2018[[#This Row],[Pop2018]]*(1+SUMIFS(Growth[GrowthRate],Growth[Grouping_ID],GroupPop2018[[#This Row],[Group]]))</f>
        <v>327.36146267270971</v>
      </c>
    </row>
    <row r="338" spans="2:16" x14ac:dyDescent="0.2">
      <c r="B338" s="95" t="s">
        <v>617</v>
      </c>
      <c r="C338" s="95" t="s">
        <v>621</v>
      </c>
      <c r="D338" s="95" t="s">
        <v>621</v>
      </c>
      <c r="E338" s="95" t="s">
        <v>253</v>
      </c>
      <c r="F338" s="95" t="s">
        <v>621</v>
      </c>
      <c r="G338" s="95" t="s">
        <v>53</v>
      </c>
      <c r="H338" s="95" t="s">
        <v>259</v>
      </c>
      <c r="I338" s="132">
        <v>1130</v>
      </c>
      <c r="J338" s="95">
        <v>3</v>
      </c>
      <c r="K338" s="95">
        <f t="shared" si="4"/>
        <v>0</v>
      </c>
      <c r="L338" s="95" t="str">
        <f>IFERROR(VLOOKUP(GroupPop2018[[#This Row],[Group]],Grouping[#All],2,0),"Unknown")</f>
        <v>3 - Other areas with curbside</v>
      </c>
      <c r="M338" s="95" t="str">
        <f>INDEX(Frequency[Collection_Frequency],MATCH(GroupPop2018[[#This Row],[FreqCode]],Frequency[Orig_Frequency_ID],0))</f>
        <v>Every other week</v>
      </c>
      <c r="N338" s="95" t="str">
        <f>IF(GroupPop2018[[#This Row],[Group]]=1,"Metro",IF(GroupPop2018[[#This Row],[Group]]=4,"Nowhere",IF(GroupPop2018[[#This Row],[Group]]=3,"Remote",IF(GroupPop2018[[#This Row],[County]]="Marion","Marion County","Transported to Metro"))))</f>
        <v>Remote</v>
      </c>
      <c r="O338" s="95"/>
      <c r="P338" s="100">
        <f>GroupPop2018[[#This Row],[Pop2018]]*(1+SUMIFS(Growth[GrowthRate],Growth[Grouping_ID],GroupPop2018[[#This Row],[Group]]))</f>
        <v>1212.847386295613</v>
      </c>
    </row>
    <row r="339" spans="2:16" x14ac:dyDescent="0.2">
      <c r="B339" s="95" t="s">
        <v>617</v>
      </c>
      <c r="C339" s="95" t="s">
        <v>622</v>
      </c>
      <c r="D339" s="95" t="s">
        <v>622</v>
      </c>
      <c r="E339" s="95" t="s">
        <v>253</v>
      </c>
      <c r="F339" s="95" t="s">
        <v>622</v>
      </c>
      <c r="G339" s="95" t="s">
        <v>53</v>
      </c>
      <c r="H339" s="95" t="s">
        <v>254</v>
      </c>
      <c r="I339" s="132">
        <v>13340</v>
      </c>
      <c r="J339" s="95">
        <v>3</v>
      </c>
      <c r="K339" s="95">
        <f t="shared" ref="K339:K377" si="5">COUNTIFS($B$1:$B$16,C339,$D$1:$D$16,E339)</f>
        <v>0</v>
      </c>
      <c r="L339" s="95" t="str">
        <f>IFERROR(VLOOKUP(GroupPop2018[[#This Row],[Group]],Grouping[#All],2,0),"Unknown")</f>
        <v>3 - Other areas with curbside</v>
      </c>
      <c r="M339" s="95" t="str">
        <f>INDEX(Frequency[Collection_Frequency],MATCH(GroupPop2018[[#This Row],[FreqCode]],Frequency[Orig_Frequency_ID],0))</f>
        <v>Every other week</v>
      </c>
      <c r="N339" s="95" t="str">
        <f>IF(GroupPop2018[[#This Row],[Group]]=1,"Metro",IF(GroupPop2018[[#This Row],[Group]]=4,"Nowhere",IF(GroupPop2018[[#This Row],[Group]]=3,"Remote",IF(GroupPop2018[[#This Row],[County]]="Marion","Marion County","Transported to Metro"))))</f>
        <v>Remote</v>
      </c>
      <c r="O339" s="95"/>
      <c r="P339" s="100">
        <f>GroupPop2018[[#This Row],[Pop2018]]*(1+SUMIFS(Growth[GrowthRate],Growth[Grouping_ID],GroupPop2018[[#This Row],[Group]]))</f>
        <v>14318.039055914582</v>
      </c>
    </row>
    <row r="340" spans="2:16" x14ac:dyDescent="0.2">
      <c r="B340" s="95" t="s">
        <v>617</v>
      </c>
      <c r="C340" s="95" t="s">
        <v>622</v>
      </c>
      <c r="D340" s="95" t="s">
        <v>622</v>
      </c>
      <c r="E340" s="95" t="s">
        <v>255</v>
      </c>
      <c r="F340" s="95" t="s">
        <v>623</v>
      </c>
      <c r="G340" s="95" t="s">
        <v>53</v>
      </c>
      <c r="H340" s="95" t="s">
        <v>254</v>
      </c>
      <c r="I340" s="132">
        <v>9</v>
      </c>
      <c r="J340" s="95">
        <v>3</v>
      </c>
      <c r="K340" s="95">
        <f t="shared" si="5"/>
        <v>0</v>
      </c>
      <c r="L340" s="95" t="str">
        <f>IFERROR(VLOOKUP(GroupPop2018[[#This Row],[Group]],Grouping[#All],2,0),"Unknown")</f>
        <v>3 - Other areas with curbside</v>
      </c>
      <c r="M340" s="95" t="str">
        <f>INDEX(Frequency[Collection_Frequency],MATCH(GroupPop2018[[#This Row],[FreqCode]],Frequency[Orig_Frequency_ID],0))</f>
        <v>Every other week</v>
      </c>
      <c r="N340" s="95" t="str">
        <f>IF(GroupPop2018[[#This Row],[Group]]=1,"Metro",IF(GroupPop2018[[#This Row],[Group]]=4,"Nowhere",IF(GroupPop2018[[#This Row],[Group]]=3,"Remote",IF(GroupPop2018[[#This Row],[County]]="Marion","Marion County","Transported to Metro"))))</f>
        <v>Remote</v>
      </c>
      <c r="O340" s="95"/>
      <c r="P340" s="100">
        <f>GroupPop2018[[#This Row],[Pop2018]]*(1+SUMIFS(Growth[GrowthRate],Growth[Grouping_ID],GroupPop2018[[#This Row],[Group]]))</f>
        <v>9.6598464395225818</v>
      </c>
    </row>
    <row r="341" spans="2:16" x14ac:dyDescent="0.2">
      <c r="B341" s="95" t="s">
        <v>617</v>
      </c>
      <c r="C341" s="95" t="s">
        <v>624</v>
      </c>
      <c r="D341" s="95" t="s">
        <v>624</v>
      </c>
      <c r="E341" s="95" t="s">
        <v>253</v>
      </c>
      <c r="F341" s="95" t="s">
        <v>624</v>
      </c>
      <c r="G341" s="95" t="s">
        <v>127</v>
      </c>
      <c r="H341" s="95" t="s">
        <v>259</v>
      </c>
      <c r="I341" s="132">
        <v>445</v>
      </c>
      <c r="J341" s="95">
        <v>4</v>
      </c>
      <c r="K341" s="95">
        <f t="shared" si="5"/>
        <v>0</v>
      </c>
      <c r="L341" s="95" t="str">
        <f>IFERROR(VLOOKUP(GroupPop2018[[#This Row],[Group]],Grouping[#All],2,0),"Unknown")</f>
        <v>4 - Areas without curbside</v>
      </c>
      <c r="M341" s="95" t="str">
        <f>INDEX(Frequency[Collection_Frequency],MATCH(GroupPop2018[[#This Row],[FreqCode]],Frequency[Orig_Frequency_ID],0))</f>
        <v>No collection</v>
      </c>
      <c r="N341" s="95" t="str">
        <f>IF(GroupPop2018[[#This Row],[Group]]=1,"Metro",IF(GroupPop2018[[#This Row],[Group]]=4,"Nowhere",IF(GroupPop2018[[#This Row],[Group]]=3,"Remote",IF(GroupPop2018[[#This Row],[County]]="Marion","Marion County","Transported to Metro"))))</f>
        <v>Nowhere</v>
      </c>
      <c r="O341" s="95"/>
      <c r="P341" s="100">
        <f>GroupPop2018[[#This Row],[Pop2018]]*(1+SUMIFS(Growth[GrowthRate],Growth[Grouping_ID],GroupPop2018[[#This Row],[Group]]))</f>
        <v>477.62574062083877</v>
      </c>
    </row>
    <row r="342" spans="2:16" x14ac:dyDescent="0.2">
      <c r="B342" s="95" t="s">
        <v>617</v>
      </c>
      <c r="C342" s="95" t="s">
        <v>625</v>
      </c>
      <c r="D342" s="95" t="s">
        <v>625</v>
      </c>
      <c r="E342" s="95" t="s">
        <v>253</v>
      </c>
      <c r="F342" s="95" t="s">
        <v>625</v>
      </c>
      <c r="G342" s="95" t="s">
        <v>127</v>
      </c>
      <c r="H342" s="95" t="s">
        <v>259</v>
      </c>
      <c r="I342" s="132">
        <v>135</v>
      </c>
      <c r="J342" s="95">
        <v>4</v>
      </c>
      <c r="K342" s="95">
        <f t="shared" si="5"/>
        <v>0</v>
      </c>
      <c r="L342" s="95" t="str">
        <f>IFERROR(VLOOKUP(GroupPop2018[[#This Row],[Group]],Grouping[#All],2,0),"Unknown")</f>
        <v>4 - Areas without curbside</v>
      </c>
      <c r="M342" s="95" t="str">
        <f>INDEX(Frequency[Collection_Frequency],MATCH(GroupPop2018[[#This Row],[FreqCode]],Frequency[Orig_Frequency_ID],0))</f>
        <v>No collection</v>
      </c>
      <c r="N342" s="95" t="str">
        <f>IF(GroupPop2018[[#This Row],[Group]]=1,"Metro",IF(GroupPop2018[[#This Row],[Group]]=4,"Nowhere",IF(GroupPop2018[[#This Row],[Group]]=3,"Remote",IF(GroupPop2018[[#This Row],[County]]="Marion","Marion County","Transported to Metro"))))</f>
        <v>Nowhere</v>
      </c>
      <c r="O342" s="95"/>
      <c r="P342" s="100">
        <f>GroupPop2018[[#This Row],[Pop2018]]*(1+SUMIFS(Growth[GrowthRate],Growth[Grouping_ID],GroupPop2018[[#This Row],[Group]]))</f>
        <v>144.89769659283871</v>
      </c>
    </row>
    <row r="343" spans="2:16" x14ac:dyDescent="0.2">
      <c r="B343" s="95" t="s">
        <v>617</v>
      </c>
      <c r="C343" s="95" t="s">
        <v>617</v>
      </c>
      <c r="D343" s="95" t="s">
        <v>617</v>
      </c>
      <c r="E343" s="95" t="s">
        <v>253</v>
      </c>
      <c r="F343" s="95" t="s">
        <v>617</v>
      </c>
      <c r="G343" s="95" t="s">
        <v>127</v>
      </c>
      <c r="H343" s="95" t="s">
        <v>259</v>
      </c>
      <c r="I343" s="132">
        <v>2160</v>
      </c>
      <c r="J343" s="95">
        <v>4</v>
      </c>
      <c r="K343" s="95">
        <f t="shared" si="5"/>
        <v>0</v>
      </c>
      <c r="L343" s="95" t="str">
        <f>IFERROR(VLOOKUP(GroupPop2018[[#This Row],[Group]],Grouping[#All],2,0),"Unknown")</f>
        <v>4 - Areas without curbside</v>
      </c>
      <c r="M343" s="95" t="str">
        <f>INDEX(Frequency[Collection_Frequency],MATCH(GroupPop2018[[#This Row],[FreqCode]],Frequency[Orig_Frequency_ID],0))</f>
        <v>No collection</v>
      </c>
      <c r="N343" s="95" t="str">
        <f>IF(GroupPop2018[[#This Row],[Group]]=1,"Metro",IF(GroupPop2018[[#This Row],[Group]]=4,"Nowhere",IF(GroupPop2018[[#This Row],[Group]]=3,"Remote",IF(GroupPop2018[[#This Row],[County]]="Marion","Marion County","Transported to Metro"))))</f>
        <v>Nowhere</v>
      </c>
      <c r="O343" s="95"/>
      <c r="P343" s="100">
        <f>GroupPop2018[[#This Row],[Pop2018]]*(1+SUMIFS(Growth[GrowthRate],Growth[Grouping_ID],GroupPop2018[[#This Row],[Group]]))</f>
        <v>2318.3631454854194</v>
      </c>
    </row>
    <row r="344" spans="2:16" x14ac:dyDescent="0.2">
      <c r="B344" s="95" t="s">
        <v>617</v>
      </c>
      <c r="C344" s="95" t="s">
        <v>626</v>
      </c>
      <c r="D344" s="95" t="s">
        <v>627</v>
      </c>
      <c r="E344" s="95" t="s">
        <v>258</v>
      </c>
      <c r="F344" s="95" t="s">
        <v>626</v>
      </c>
      <c r="G344" s="95" t="s">
        <v>127</v>
      </c>
      <c r="H344" s="95" t="s">
        <v>259</v>
      </c>
      <c r="I344" s="132">
        <v>6081</v>
      </c>
      <c r="J344" s="95">
        <v>4</v>
      </c>
      <c r="K344" s="95">
        <f t="shared" si="5"/>
        <v>0</v>
      </c>
      <c r="L344" s="95" t="str">
        <f>IFERROR(VLOOKUP(GroupPop2018[[#This Row],[Group]],Grouping[#All],2,0),"Unknown")</f>
        <v>4 - Areas without curbside</v>
      </c>
      <c r="M344" s="95" t="str">
        <f>INDEX(Frequency[Collection_Frequency],MATCH(GroupPop2018[[#This Row],[FreqCode]],Frequency[Orig_Frequency_ID],0))</f>
        <v>No collection</v>
      </c>
      <c r="N344" s="95" t="str">
        <f>IF(GroupPop2018[[#This Row],[Group]]=1,"Metro",IF(GroupPop2018[[#This Row],[Group]]=4,"Nowhere",IF(GroupPop2018[[#This Row],[Group]]=3,"Remote",IF(GroupPop2018[[#This Row],[County]]="Marion","Marion County","Transported to Metro"))))</f>
        <v>Nowhere</v>
      </c>
      <c r="O344" s="95">
        <v>2</v>
      </c>
      <c r="P344" s="100">
        <f>GroupPop2018[[#This Row],[Pop2018]]*(1+SUMIFS(Growth[GrowthRate],Growth[Grouping_ID],GroupPop2018[[#This Row],[Group]]))</f>
        <v>6526.8362443040905</v>
      </c>
    </row>
    <row r="345" spans="2:16" x14ac:dyDescent="0.2">
      <c r="B345" s="95" t="s">
        <v>617</v>
      </c>
      <c r="C345" s="95" t="s">
        <v>628</v>
      </c>
      <c r="D345" s="95" t="s">
        <v>627</v>
      </c>
      <c r="E345" s="95" t="s">
        <v>258</v>
      </c>
      <c r="F345" s="95" t="s">
        <v>628</v>
      </c>
      <c r="G345" s="95" t="s">
        <v>53</v>
      </c>
      <c r="H345" s="95" t="s">
        <v>259</v>
      </c>
      <c r="I345" s="132">
        <v>1000</v>
      </c>
      <c r="J345" s="95">
        <v>3</v>
      </c>
      <c r="K345" s="95">
        <f t="shared" si="5"/>
        <v>0</v>
      </c>
      <c r="L345" s="95" t="str">
        <f>IFERROR(VLOOKUP(GroupPop2018[[#This Row],[Group]],Grouping[#All],2,0),"Unknown")</f>
        <v>3 - Other areas with curbside</v>
      </c>
      <c r="M345" s="95" t="str">
        <f>INDEX(Frequency[Collection_Frequency],MATCH(GroupPop2018[[#This Row],[FreqCode]],Frequency[Orig_Frequency_ID],0))</f>
        <v>Every other week</v>
      </c>
      <c r="N345" s="95" t="str">
        <f>IF(GroupPop2018[[#This Row],[Group]]=1,"Metro",IF(GroupPop2018[[#This Row],[Group]]=4,"Nowhere",IF(GroupPop2018[[#This Row],[Group]]=3,"Remote",IF(GroupPop2018[[#This Row],[County]]="Marion","Marion County","Transported to Metro"))))</f>
        <v>Remote</v>
      </c>
      <c r="O345" s="95">
        <v>1</v>
      </c>
      <c r="P345" s="100">
        <f>GroupPop2018[[#This Row],[Pop2018]]*(1+SUMIFS(Growth[GrowthRate],Growth[Grouping_ID],GroupPop2018[[#This Row],[Group]]))</f>
        <v>1073.3162710580646</v>
      </c>
    </row>
    <row r="346" spans="2:16" x14ac:dyDescent="0.2">
      <c r="B346" s="95" t="s">
        <v>629</v>
      </c>
      <c r="C346" s="95" t="s">
        <v>630</v>
      </c>
      <c r="D346" s="95" t="s">
        <v>630</v>
      </c>
      <c r="E346" s="95" t="s">
        <v>253</v>
      </c>
      <c r="F346" s="95" t="s">
        <v>630</v>
      </c>
      <c r="G346" s="95" t="s">
        <v>127</v>
      </c>
      <c r="H346" s="95" t="s">
        <v>259</v>
      </c>
      <c r="I346" s="132">
        <v>1985</v>
      </c>
      <c r="J346" s="95">
        <v>4</v>
      </c>
      <c r="K346" s="95">
        <f t="shared" si="5"/>
        <v>0</v>
      </c>
      <c r="L346" s="95" t="str">
        <f>IFERROR(VLOOKUP(GroupPop2018[[#This Row],[Group]],Grouping[#All],2,0),"Unknown")</f>
        <v>4 - Areas without curbside</v>
      </c>
      <c r="M346" s="95" t="str">
        <f>INDEX(Frequency[Collection_Frequency],MATCH(GroupPop2018[[#This Row],[FreqCode]],Frequency[Orig_Frequency_ID],0))</f>
        <v>No collection</v>
      </c>
      <c r="N346" s="95" t="str">
        <f>IF(GroupPop2018[[#This Row],[Group]]=1,"Metro",IF(GroupPop2018[[#This Row],[Group]]=4,"Nowhere",IF(GroupPop2018[[#This Row],[Group]]=3,"Remote",IF(GroupPop2018[[#This Row],[County]]="Marion","Marion County","Transported to Metro"))))</f>
        <v>Nowhere</v>
      </c>
      <c r="O346" s="95"/>
      <c r="P346" s="100">
        <f>GroupPop2018[[#This Row],[Pop2018]]*(1+SUMIFS(Growth[GrowthRate],Growth[Grouping_ID],GroupPop2018[[#This Row],[Group]]))</f>
        <v>2130.5327980502584</v>
      </c>
    </row>
    <row r="347" spans="2:16" x14ac:dyDescent="0.2">
      <c r="B347" s="95" t="s">
        <v>629</v>
      </c>
      <c r="C347" s="95" t="s">
        <v>631</v>
      </c>
      <c r="D347" s="95" t="s">
        <v>631</v>
      </c>
      <c r="E347" s="95" t="s">
        <v>253</v>
      </c>
      <c r="F347" s="95" t="s">
        <v>631</v>
      </c>
      <c r="G347" s="95" t="s">
        <v>127</v>
      </c>
      <c r="H347" s="95" t="s">
        <v>259</v>
      </c>
      <c r="I347" s="132">
        <v>1120</v>
      </c>
      <c r="J347" s="95">
        <v>4</v>
      </c>
      <c r="K347" s="95">
        <f t="shared" si="5"/>
        <v>0</v>
      </c>
      <c r="L347" s="95" t="str">
        <f>IFERROR(VLOOKUP(GroupPop2018[[#This Row],[Group]],Grouping[#All],2,0),"Unknown")</f>
        <v>4 - Areas without curbside</v>
      </c>
      <c r="M347" s="95" t="str">
        <f>INDEX(Frequency[Collection_Frequency],MATCH(GroupPop2018[[#This Row],[FreqCode]],Frequency[Orig_Frequency_ID],0))</f>
        <v>No collection</v>
      </c>
      <c r="N347" s="95" t="str">
        <f>IF(GroupPop2018[[#This Row],[Group]]=1,"Metro",IF(GroupPop2018[[#This Row],[Group]]=4,"Nowhere",IF(GroupPop2018[[#This Row],[Group]]=3,"Remote",IF(GroupPop2018[[#This Row],[County]]="Marion","Marion County","Transported to Metro"))))</f>
        <v>Nowhere</v>
      </c>
      <c r="O347" s="95"/>
      <c r="P347" s="100">
        <f>GroupPop2018[[#This Row],[Pop2018]]*(1+SUMIFS(Growth[GrowthRate],Growth[Grouping_ID],GroupPop2018[[#This Row],[Group]]))</f>
        <v>1202.1142235850323</v>
      </c>
    </row>
    <row r="348" spans="2:16" x14ac:dyDescent="0.2">
      <c r="B348" s="95" t="s">
        <v>629</v>
      </c>
      <c r="C348" s="95" t="s">
        <v>632</v>
      </c>
      <c r="D348" s="95" t="s">
        <v>632</v>
      </c>
      <c r="E348" s="95" t="s">
        <v>253</v>
      </c>
      <c r="F348" s="95" t="s">
        <v>632</v>
      </c>
      <c r="G348" s="95" t="s">
        <v>127</v>
      </c>
      <c r="H348" s="95" t="s">
        <v>259</v>
      </c>
      <c r="I348" s="132">
        <v>215</v>
      </c>
      <c r="J348" s="95">
        <v>4</v>
      </c>
      <c r="K348" s="95">
        <f t="shared" si="5"/>
        <v>0</v>
      </c>
      <c r="L348" s="95" t="str">
        <f>IFERROR(VLOOKUP(GroupPop2018[[#This Row],[Group]],Grouping[#All],2,0),"Unknown")</f>
        <v>4 - Areas without curbside</v>
      </c>
      <c r="M348" s="95" t="str">
        <f>INDEX(Frequency[Collection_Frequency],MATCH(GroupPop2018[[#This Row],[FreqCode]],Frequency[Orig_Frequency_ID],0))</f>
        <v>No collection</v>
      </c>
      <c r="N348" s="95" t="str">
        <f>IF(GroupPop2018[[#This Row],[Group]]=1,"Metro",IF(GroupPop2018[[#This Row],[Group]]=4,"Nowhere",IF(GroupPop2018[[#This Row],[Group]]=3,"Remote",IF(GroupPop2018[[#This Row],[County]]="Marion","Marion County","Transported to Metro"))))</f>
        <v>Nowhere</v>
      </c>
      <c r="O348" s="95"/>
      <c r="P348" s="100">
        <f>GroupPop2018[[#This Row],[Pop2018]]*(1+SUMIFS(Growth[GrowthRate],Growth[Grouping_ID],GroupPop2018[[#This Row],[Group]]))</f>
        <v>230.76299827748389</v>
      </c>
    </row>
    <row r="349" spans="2:16" x14ac:dyDescent="0.2">
      <c r="B349" s="95" t="s">
        <v>629</v>
      </c>
      <c r="C349" s="95" t="s">
        <v>629</v>
      </c>
      <c r="D349" s="95" t="s">
        <v>629</v>
      </c>
      <c r="E349" s="95" t="s">
        <v>253</v>
      </c>
      <c r="F349" s="95" t="s">
        <v>629</v>
      </c>
      <c r="G349" s="95" t="s">
        <v>127</v>
      </c>
      <c r="H349" s="95" t="s">
        <v>259</v>
      </c>
      <c r="I349" s="132">
        <v>805</v>
      </c>
      <c r="J349" s="95">
        <v>4</v>
      </c>
      <c r="K349" s="95">
        <f t="shared" si="5"/>
        <v>0</v>
      </c>
      <c r="L349" s="95" t="str">
        <f>IFERROR(VLOOKUP(GroupPop2018[[#This Row],[Group]],Grouping[#All],2,0),"Unknown")</f>
        <v>4 - Areas without curbside</v>
      </c>
      <c r="M349" s="95" t="str">
        <f>INDEX(Frequency[Collection_Frequency],MATCH(GroupPop2018[[#This Row],[FreqCode]],Frequency[Orig_Frequency_ID],0))</f>
        <v>No collection</v>
      </c>
      <c r="N349" s="95" t="str">
        <f>IF(GroupPop2018[[#This Row],[Group]]=1,"Metro",IF(GroupPop2018[[#This Row],[Group]]=4,"Nowhere",IF(GroupPop2018[[#This Row],[Group]]=3,"Remote",IF(GroupPop2018[[#This Row],[County]]="Marion","Marion County","Transported to Metro"))))</f>
        <v>Nowhere</v>
      </c>
      <c r="O349" s="95"/>
      <c r="P349" s="100">
        <f>GroupPop2018[[#This Row],[Pop2018]]*(1+SUMIFS(Growth[GrowthRate],Growth[Grouping_ID],GroupPop2018[[#This Row],[Group]]))</f>
        <v>864.01959820174204</v>
      </c>
    </row>
    <row r="350" spans="2:16" x14ac:dyDescent="0.2">
      <c r="B350" s="95" t="s">
        <v>629</v>
      </c>
      <c r="C350" s="95" t="s">
        <v>633</v>
      </c>
      <c r="D350" s="95" t="s">
        <v>633</v>
      </c>
      <c r="E350" s="95" t="s">
        <v>258</v>
      </c>
      <c r="F350" s="95" t="s">
        <v>633</v>
      </c>
      <c r="G350" s="95" t="s">
        <v>127</v>
      </c>
      <c r="H350" s="95" t="s">
        <v>259</v>
      </c>
      <c r="I350" s="132">
        <v>3050</v>
      </c>
      <c r="J350" s="95">
        <v>4</v>
      </c>
      <c r="K350" s="95">
        <f t="shared" si="5"/>
        <v>0</v>
      </c>
      <c r="L350" s="95" t="str">
        <f>IFERROR(VLOOKUP(GroupPop2018[[#This Row],[Group]],Grouping[#All],2,0),"Unknown")</f>
        <v>4 - Areas without curbside</v>
      </c>
      <c r="M350" s="95" t="str">
        <f>INDEX(Frequency[Collection_Frequency],MATCH(GroupPop2018[[#This Row],[FreqCode]],Frequency[Orig_Frequency_ID],0))</f>
        <v>No collection</v>
      </c>
      <c r="N350" s="95" t="str">
        <f>IF(GroupPop2018[[#This Row],[Group]]=1,"Metro",IF(GroupPop2018[[#This Row],[Group]]=4,"Nowhere",IF(GroupPop2018[[#This Row],[Group]]=3,"Remote",IF(GroupPop2018[[#This Row],[County]]="Marion","Marion County","Transported to Metro"))))</f>
        <v>Nowhere</v>
      </c>
      <c r="O350" s="95"/>
      <c r="P350" s="100">
        <f>GroupPop2018[[#This Row],[Pop2018]]*(1+SUMIFS(Growth[GrowthRate],Growth[Grouping_ID],GroupPop2018[[#This Row],[Group]]))</f>
        <v>3273.6146267270969</v>
      </c>
    </row>
    <row r="351" spans="2:16" x14ac:dyDescent="0.2">
      <c r="B351" s="95" t="s">
        <v>589</v>
      </c>
      <c r="C351" s="95" t="s">
        <v>634</v>
      </c>
      <c r="D351" s="95" t="s">
        <v>634</v>
      </c>
      <c r="E351" s="95" t="s">
        <v>253</v>
      </c>
      <c r="F351" s="95" t="s">
        <v>634</v>
      </c>
      <c r="G351" s="95" t="s">
        <v>127</v>
      </c>
      <c r="H351" s="95" t="s">
        <v>259</v>
      </c>
      <c r="I351" s="132">
        <v>50</v>
      </c>
      <c r="J351" s="95">
        <v>4</v>
      </c>
      <c r="K351" s="95">
        <f t="shared" si="5"/>
        <v>0</v>
      </c>
      <c r="L351" s="95" t="str">
        <f>IFERROR(VLOOKUP(GroupPop2018[[#This Row],[Group]],Grouping[#All],2,0),"Unknown")</f>
        <v>4 - Areas without curbside</v>
      </c>
      <c r="M351" s="95" t="str">
        <f>INDEX(Frequency[Collection_Frequency],MATCH(GroupPop2018[[#This Row],[FreqCode]],Frequency[Orig_Frequency_ID],0))</f>
        <v>No collection</v>
      </c>
      <c r="N351" s="95" t="str">
        <f>IF(GroupPop2018[[#This Row],[Group]]=1,"Metro",IF(GroupPop2018[[#This Row],[Group]]=4,"Nowhere",IF(GroupPop2018[[#This Row],[Group]]=3,"Remote",IF(GroupPop2018[[#This Row],[County]]="Marion","Marion County","Transported to Metro"))))</f>
        <v>Nowhere</v>
      </c>
      <c r="O351" s="95"/>
      <c r="P351" s="100">
        <f>GroupPop2018[[#This Row],[Pop2018]]*(1+SUMIFS(Growth[GrowthRate],Growth[Grouping_ID],GroupPop2018[[#This Row],[Group]]))</f>
        <v>53.665813552903231</v>
      </c>
    </row>
    <row r="352" spans="2:16" x14ac:dyDescent="0.2">
      <c r="B352" s="95" t="s">
        <v>589</v>
      </c>
      <c r="C352" s="95" t="s">
        <v>635</v>
      </c>
      <c r="D352" s="95" t="s">
        <v>635</v>
      </c>
      <c r="E352" s="95" t="s">
        <v>253</v>
      </c>
      <c r="F352" s="95" t="s">
        <v>635</v>
      </c>
      <c r="G352" s="95" t="s">
        <v>127</v>
      </c>
      <c r="H352" s="95" t="s">
        <v>259</v>
      </c>
      <c r="I352" s="132">
        <v>615</v>
      </c>
      <c r="J352" s="95">
        <v>4</v>
      </c>
      <c r="K352" s="95">
        <f t="shared" si="5"/>
        <v>0</v>
      </c>
      <c r="L352" s="95" t="str">
        <f>IFERROR(VLOOKUP(GroupPop2018[[#This Row],[Group]],Grouping[#All],2,0),"Unknown")</f>
        <v>4 - Areas without curbside</v>
      </c>
      <c r="M352" s="95" t="str">
        <f>INDEX(Frequency[Collection_Frequency],MATCH(GroupPop2018[[#This Row],[FreqCode]],Frequency[Orig_Frequency_ID],0))</f>
        <v>No collection</v>
      </c>
      <c r="N352" s="95" t="str">
        <f>IF(GroupPop2018[[#This Row],[Group]]=1,"Metro",IF(GroupPop2018[[#This Row],[Group]]=4,"Nowhere",IF(GroupPop2018[[#This Row],[Group]]=3,"Remote",IF(GroupPop2018[[#This Row],[County]]="Marion","Marion County","Transported to Metro"))))</f>
        <v>Nowhere</v>
      </c>
      <c r="O352" s="95"/>
      <c r="P352" s="100">
        <f>GroupPop2018[[#This Row],[Pop2018]]*(1+SUMIFS(Growth[GrowthRate],Growth[Grouping_ID],GroupPop2018[[#This Row],[Group]]))</f>
        <v>660.08950670070976</v>
      </c>
    </row>
    <row r="353" spans="2:16" x14ac:dyDescent="0.2">
      <c r="B353" s="95" t="s">
        <v>589</v>
      </c>
      <c r="C353" s="95" t="s">
        <v>636</v>
      </c>
      <c r="D353" s="95" t="s">
        <v>636</v>
      </c>
      <c r="E353" s="95" t="s">
        <v>253</v>
      </c>
      <c r="F353" s="95" t="s">
        <v>636</v>
      </c>
      <c r="G353" s="95" t="s">
        <v>127</v>
      </c>
      <c r="H353" s="95" t="s">
        <v>259</v>
      </c>
      <c r="I353" s="132">
        <v>430</v>
      </c>
      <c r="J353" s="95">
        <v>4</v>
      </c>
      <c r="K353" s="95">
        <f t="shared" si="5"/>
        <v>0</v>
      </c>
      <c r="L353" s="95" t="str">
        <f>IFERROR(VLOOKUP(GroupPop2018[[#This Row],[Group]],Grouping[#All],2,0),"Unknown")</f>
        <v>4 - Areas without curbside</v>
      </c>
      <c r="M353" s="95" t="str">
        <f>INDEX(Frequency[Collection_Frequency],MATCH(GroupPop2018[[#This Row],[FreqCode]],Frequency[Orig_Frequency_ID],0))</f>
        <v>No collection</v>
      </c>
      <c r="N353" s="95" t="str">
        <f>IF(GroupPop2018[[#This Row],[Group]]=1,"Metro",IF(GroupPop2018[[#This Row],[Group]]=4,"Nowhere",IF(GroupPop2018[[#This Row],[Group]]=3,"Remote",IF(GroupPop2018[[#This Row],[County]]="Marion","Marion County","Transported to Metro"))))</f>
        <v>Nowhere</v>
      </c>
      <c r="O353" s="95"/>
      <c r="P353" s="100">
        <f>GroupPop2018[[#This Row],[Pop2018]]*(1+SUMIFS(Growth[GrowthRate],Growth[Grouping_ID],GroupPop2018[[#This Row],[Group]]))</f>
        <v>461.52599655496778</v>
      </c>
    </row>
    <row r="354" spans="2:16" x14ac:dyDescent="0.2">
      <c r="B354" s="95" t="s">
        <v>589</v>
      </c>
      <c r="C354" s="95" t="s">
        <v>637</v>
      </c>
      <c r="D354" s="95" t="s">
        <v>637</v>
      </c>
      <c r="E354" s="95" t="s">
        <v>253</v>
      </c>
      <c r="F354" s="95" t="s">
        <v>637</v>
      </c>
      <c r="G354" s="95" t="s">
        <v>53</v>
      </c>
      <c r="H354" s="95" t="s">
        <v>259</v>
      </c>
      <c r="I354" s="132">
        <v>455</v>
      </c>
      <c r="J354" s="95">
        <v>3</v>
      </c>
      <c r="K354" s="95">
        <f t="shared" si="5"/>
        <v>0</v>
      </c>
      <c r="L354" s="95" t="str">
        <f>IFERROR(VLOOKUP(GroupPop2018[[#This Row],[Group]],Grouping[#All],2,0),"Unknown")</f>
        <v>3 - Other areas with curbside</v>
      </c>
      <c r="M354" s="95" t="str">
        <f>INDEX(Frequency[Collection_Frequency],MATCH(GroupPop2018[[#This Row],[FreqCode]],Frequency[Orig_Frequency_ID],0))</f>
        <v>Every other week</v>
      </c>
      <c r="N354" s="95" t="str">
        <f>IF(GroupPop2018[[#This Row],[Group]]=1,"Metro",IF(GroupPop2018[[#This Row],[Group]]=4,"Nowhere",IF(GroupPop2018[[#This Row],[Group]]=3,"Remote",IF(GroupPop2018[[#This Row],[County]]="Marion","Marion County","Transported to Metro"))))</f>
        <v>Remote</v>
      </c>
      <c r="O354" s="95"/>
      <c r="P354" s="100">
        <f>GroupPop2018[[#This Row],[Pop2018]]*(1+SUMIFS(Growth[GrowthRate],Growth[Grouping_ID],GroupPop2018[[#This Row],[Group]]))</f>
        <v>488.35890333141941</v>
      </c>
    </row>
    <row r="355" spans="2:16" x14ac:dyDescent="0.2">
      <c r="B355" s="95" t="s">
        <v>589</v>
      </c>
      <c r="C355" s="95" t="s">
        <v>638</v>
      </c>
      <c r="D355" s="95" t="s">
        <v>638</v>
      </c>
      <c r="E355" s="95" t="s">
        <v>253</v>
      </c>
      <c r="F355" s="95" t="s">
        <v>638</v>
      </c>
      <c r="G355" s="95" t="s">
        <v>127</v>
      </c>
      <c r="H355" s="95" t="s">
        <v>259</v>
      </c>
      <c r="I355" s="132">
        <v>35</v>
      </c>
      <c r="J355" s="95">
        <v>4</v>
      </c>
      <c r="K355" s="95">
        <f t="shared" si="5"/>
        <v>0</v>
      </c>
      <c r="L355" s="95" t="str">
        <f>IFERROR(VLOOKUP(GroupPop2018[[#This Row],[Group]],Grouping[#All],2,0),"Unknown")</f>
        <v>4 - Areas without curbside</v>
      </c>
      <c r="M355" s="95" t="str">
        <f>INDEX(Frequency[Collection_Frequency],MATCH(GroupPop2018[[#This Row],[FreqCode]],Frequency[Orig_Frequency_ID],0))</f>
        <v>No collection</v>
      </c>
      <c r="N355" s="95" t="str">
        <f>IF(GroupPop2018[[#This Row],[Group]]=1,"Metro",IF(GroupPop2018[[#This Row],[Group]]=4,"Nowhere",IF(GroupPop2018[[#This Row],[Group]]=3,"Remote",IF(GroupPop2018[[#This Row],[County]]="Marion","Marion County","Transported to Metro"))))</f>
        <v>Nowhere</v>
      </c>
      <c r="O355" s="95"/>
      <c r="P355" s="100">
        <f>GroupPop2018[[#This Row],[Pop2018]]*(1+SUMIFS(Growth[GrowthRate],Growth[Grouping_ID],GroupPop2018[[#This Row],[Group]]))</f>
        <v>37.566069487032259</v>
      </c>
    </row>
    <row r="356" spans="2:16" x14ac:dyDescent="0.2">
      <c r="B356" s="95" t="s">
        <v>589</v>
      </c>
      <c r="C356" s="95" t="s">
        <v>639</v>
      </c>
      <c r="D356" s="95" t="s">
        <v>639</v>
      </c>
      <c r="E356" s="95" t="s">
        <v>253</v>
      </c>
      <c r="F356" s="95" t="s">
        <v>639</v>
      </c>
      <c r="G356" s="95" t="s">
        <v>64</v>
      </c>
      <c r="H356" s="95" t="s">
        <v>254</v>
      </c>
      <c r="I356" s="132">
        <v>14735</v>
      </c>
      <c r="J356" s="95">
        <v>2</v>
      </c>
      <c r="K356" s="95">
        <f t="shared" si="5"/>
        <v>0</v>
      </c>
      <c r="L356" s="95" t="str">
        <f>IFERROR(VLOOKUP(GroupPop2018[[#This Row],[Group]],Grouping[#All],2,0),"Unknown")</f>
        <v>2 - Willamette Valley, etc.</v>
      </c>
      <c r="M356" s="95" t="str">
        <f>INDEX(Frequency[Collection_Frequency],MATCH(GroupPop2018[[#This Row],[FreqCode]],Frequency[Orig_Frequency_ID],0))</f>
        <v>Weekly</v>
      </c>
      <c r="N356" s="95" t="str">
        <f>IF(GroupPop2018[[#This Row],[Group]]=1,"Metro",IF(GroupPop2018[[#This Row],[Group]]=4,"Nowhere",IF(GroupPop2018[[#This Row],[Group]]=3,"Remote",IF(GroupPop2018[[#This Row],[County]]="Marion","Marion County","Transported to Metro"))))</f>
        <v>Transported to Metro</v>
      </c>
      <c r="O356" s="95"/>
      <c r="P356" s="100">
        <f>GroupPop2018[[#This Row],[Pop2018]]*(1+SUMIFS(Growth[GrowthRate],Growth[Grouping_ID],GroupPop2018[[#This Row],[Group]]))</f>
        <v>15694.597013161279</v>
      </c>
    </row>
    <row r="357" spans="2:16" x14ac:dyDescent="0.2">
      <c r="B357" s="95" t="s">
        <v>589</v>
      </c>
      <c r="C357" s="95" t="s">
        <v>639</v>
      </c>
      <c r="D357" s="95" t="s">
        <v>639</v>
      </c>
      <c r="E357" s="95" t="s">
        <v>255</v>
      </c>
      <c r="F357" s="95" t="s">
        <v>640</v>
      </c>
      <c r="G357" s="95" t="s">
        <v>53</v>
      </c>
      <c r="H357" s="95" t="s">
        <v>254</v>
      </c>
      <c r="I357" s="132">
        <v>9</v>
      </c>
      <c r="J357" s="95">
        <v>2</v>
      </c>
      <c r="K357" s="95">
        <f t="shared" si="5"/>
        <v>0</v>
      </c>
      <c r="L357" s="95" t="str">
        <f>IFERROR(VLOOKUP(GroupPop2018[[#This Row],[Group]],Grouping[#All],2,0),"Unknown")</f>
        <v>2 - Willamette Valley, etc.</v>
      </c>
      <c r="M357" s="95" t="str">
        <f>INDEX(Frequency[Collection_Frequency],MATCH(GroupPop2018[[#This Row],[FreqCode]],Frequency[Orig_Frequency_ID],0))</f>
        <v>Every other week</v>
      </c>
      <c r="N357" s="95" t="str">
        <f>IF(GroupPop2018[[#This Row],[Group]]=1,"Metro",IF(GroupPop2018[[#This Row],[Group]]=4,"Nowhere",IF(GroupPop2018[[#This Row],[Group]]=3,"Remote",IF(GroupPop2018[[#This Row],[County]]="Marion","Marion County","Transported to Metro"))))</f>
        <v>Transported to Metro</v>
      </c>
      <c r="O357" s="95"/>
      <c r="P357" s="100">
        <f>GroupPop2018[[#This Row],[Pop2018]]*(1+SUMIFS(Growth[GrowthRate],Growth[Grouping_ID],GroupPop2018[[#This Row],[Group]]))</f>
        <v>9.586112868574924</v>
      </c>
    </row>
    <row r="358" spans="2:16" x14ac:dyDescent="0.2">
      <c r="B358" s="95" t="s">
        <v>589</v>
      </c>
      <c r="C358" s="95" t="s">
        <v>641</v>
      </c>
      <c r="D358" s="95" t="s">
        <v>641</v>
      </c>
      <c r="E358" s="95" t="s">
        <v>258</v>
      </c>
      <c r="F358" s="95" t="s">
        <v>641</v>
      </c>
      <c r="G358" s="95" t="s">
        <v>127</v>
      </c>
      <c r="H358" s="95" t="s">
        <v>259</v>
      </c>
      <c r="I358" s="132">
        <v>10871</v>
      </c>
      <c r="J358" s="95">
        <v>4</v>
      </c>
      <c r="K358" s="95">
        <f t="shared" si="5"/>
        <v>0</v>
      </c>
      <c r="L358" s="95" t="str">
        <f>IFERROR(VLOOKUP(GroupPop2018[[#This Row],[Group]],Grouping[#All],2,0),"Unknown")</f>
        <v>4 - Areas without curbside</v>
      </c>
      <c r="M358" s="95" t="str">
        <f>INDEX(Frequency[Collection_Frequency],MATCH(GroupPop2018[[#This Row],[FreqCode]],Frequency[Orig_Frequency_ID],0))</f>
        <v>No collection</v>
      </c>
      <c r="N358" s="95" t="str">
        <f>IF(GroupPop2018[[#This Row],[Group]]=1,"Metro",IF(GroupPop2018[[#This Row],[Group]]=4,"Nowhere",IF(GroupPop2018[[#This Row],[Group]]=3,"Remote",IF(GroupPop2018[[#This Row],[County]]="Marion","Marion County","Transported to Metro"))))</f>
        <v>Nowhere</v>
      </c>
      <c r="O358" s="95"/>
      <c r="P358" s="100">
        <f>GroupPop2018[[#This Row],[Pop2018]]*(1+SUMIFS(Growth[GrowthRate],Growth[Grouping_ID],GroupPop2018[[#This Row],[Group]]))</f>
        <v>11668.021182672221</v>
      </c>
    </row>
    <row r="359" spans="2:16" x14ac:dyDescent="0.2">
      <c r="B359" s="95" t="s">
        <v>642</v>
      </c>
      <c r="C359" s="95" t="s">
        <v>643</v>
      </c>
      <c r="D359" s="95" t="s">
        <v>643</v>
      </c>
      <c r="E359" s="95" t="s">
        <v>253</v>
      </c>
      <c r="F359" s="95" t="s">
        <v>643</v>
      </c>
      <c r="G359" s="95" t="s">
        <v>53</v>
      </c>
      <c r="H359" s="95" t="s">
        <v>259</v>
      </c>
      <c r="I359" s="132">
        <v>1785</v>
      </c>
      <c r="J359" s="95">
        <v>2</v>
      </c>
      <c r="K359" s="95">
        <f t="shared" si="5"/>
        <v>0</v>
      </c>
      <c r="L359" s="95" t="str">
        <f>IFERROR(VLOOKUP(GroupPop2018[[#This Row],[Group]],Grouping[#All],2,0),"Unknown")</f>
        <v>2 - Willamette Valley, etc.</v>
      </c>
      <c r="M359" s="95" t="str">
        <f>INDEX(Frequency[Collection_Frequency],MATCH(GroupPop2018[[#This Row],[FreqCode]],Frequency[Orig_Frequency_ID],0))</f>
        <v>Every other week</v>
      </c>
      <c r="N359" s="95" t="str">
        <f>IF(GroupPop2018[[#This Row],[Group]]=1,"Metro",IF(GroupPop2018[[#This Row],[Group]]=4,"Nowhere",IF(GroupPop2018[[#This Row],[Group]]=3,"Remote",IF(GroupPop2018[[#This Row],[County]]="Marion","Marion County","Transported to Metro"))))</f>
        <v>Transported to Metro</v>
      </c>
      <c r="O359" s="95"/>
      <c r="P359" s="100">
        <f>GroupPop2018[[#This Row],[Pop2018]]*(1+SUMIFS(Growth[GrowthRate],Growth[Grouping_ID],GroupPop2018[[#This Row],[Group]]))</f>
        <v>1901.2457189340266</v>
      </c>
    </row>
    <row r="360" spans="2:16" x14ac:dyDescent="0.2">
      <c r="B360" s="95" t="s">
        <v>642</v>
      </c>
      <c r="C360" s="95" t="s">
        <v>644</v>
      </c>
      <c r="D360" s="95" t="s">
        <v>644</v>
      </c>
      <c r="E360" s="95" t="s">
        <v>253</v>
      </c>
      <c r="F360" s="95" t="s">
        <v>644</v>
      </c>
      <c r="G360" s="95" t="s">
        <v>64</v>
      </c>
      <c r="H360" s="95" t="s">
        <v>254</v>
      </c>
      <c r="I360" s="132">
        <v>97000</v>
      </c>
      <c r="J360" s="95">
        <v>1</v>
      </c>
      <c r="K360" s="95">
        <f t="shared" si="5"/>
        <v>0</v>
      </c>
      <c r="L360" s="95" t="str">
        <f>IFERROR(VLOOKUP(GroupPop2018[[#This Row],[Group]],Grouping[#All],2,0),"Unknown")</f>
        <v>1 - Metro area</v>
      </c>
      <c r="M360" s="95" t="str">
        <f>INDEX(Frequency[Collection_Frequency],MATCH(GroupPop2018[[#This Row],[FreqCode]],Frequency[Orig_Frequency_ID],0))</f>
        <v>Weekly</v>
      </c>
      <c r="N360" s="95" t="str">
        <f>IF(GroupPop2018[[#This Row],[Group]]=1,"Metro",IF(GroupPop2018[[#This Row],[Group]]=4,"Nowhere",IF(GroupPop2018[[#This Row],[Group]]=3,"Remote",IF(GroupPop2018[[#This Row],[County]]="Marion","Marion County","Transported to Metro"))))</f>
        <v>Metro</v>
      </c>
      <c r="O360" s="95"/>
      <c r="P360" s="100">
        <f>GroupPop2018[[#This Row],[Pop2018]]*(1+SUMIFS(Growth[GrowthRate],Growth[Grouping_ID],GroupPop2018[[#This Row],[Group]]))</f>
        <v>105314.0747306288</v>
      </c>
    </row>
    <row r="361" spans="2:16" x14ac:dyDescent="0.2">
      <c r="B361" s="95" t="s">
        <v>642</v>
      </c>
      <c r="C361" s="95" t="s">
        <v>645</v>
      </c>
      <c r="D361" s="95" t="s">
        <v>645</v>
      </c>
      <c r="E361" s="95" t="s">
        <v>253</v>
      </c>
      <c r="F361" s="95" t="s">
        <v>645</v>
      </c>
      <c r="G361" s="95" t="s">
        <v>64</v>
      </c>
      <c r="H361" s="95" t="s">
        <v>254</v>
      </c>
      <c r="I361" s="132">
        <v>11935</v>
      </c>
      <c r="J361" s="95">
        <v>1</v>
      </c>
      <c r="K361" s="95">
        <f t="shared" si="5"/>
        <v>0</v>
      </c>
      <c r="L361" s="95" t="str">
        <f>IFERROR(VLOOKUP(GroupPop2018[[#This Row],[Group]],Grouping[#All],2,0),"Unknown")</f>
        <v>1 - Metro area</v>
      </c>
      <c r="M361" s="95" t="str">
        <f>INDEX(Frequency[Collection_Frequency],MATCH(GroupPop2018[[#This Row],[FreqCode]],Frequency[Orig_Frequency_ID],0))</f>
        <v>Weekly</v>
      </c>
      <c r="N361" s="95" t="str">
        <f>IF(GroupPop2018[[#This Row],[Group]]=1,"Metro",IF(GroupPop2018[[#This Row],[Group]]=4,"Nowhere",IF(GroupPop2018[[#This Row],[Group]]=3,"Remote",IF(GroupPop2018[[#This Row],[County]]="Marion","Marion County","Transported to Metro"))))</f>
        <v>Metro</v>
      </c>
      <c r="O361" s="95"/>
      <c r="P361" s="100">
        <f>GroupPop2018[[#This Row],[Pop2018]]*(1+SUMIFS(Growth[GrowthRate],Growth[Grouping_ID],GroupPop2018[[#This Row],[Group]]))</f>
        <v>12957.974040309842</v>
      </c>
    </row>
    <row r="362" spans="2:16" x14ac:dyDescent="0.2">
      <c r="B362" s="95" t="s">
        <v>642</v>
      </c>
      <c r="C362" s="95" t="s">
        <v>646</v>
      </c>
      <c r="D362" s="95" t="s">
        <v>646</v>
      </c>
      <c r="E362" s="95" t="s">
        <v>253</v>
      </c>
      <c r="F362" s="95" t="s">
        <v>646</v>
      </c>
      <c r="G362" s="95" t="s">
        <v>53</v>
      </c>
      <c r="H362" s="95" t="s">
        <v>254</v>
      </c>
      <c r="I362" s="132">
        <v>1880</v>
      </c>
      <c r="J362" s="95">
        <v>1</v>
      </c>
      <c r="K362" s="95">
        <f t="shared" si="5"/>
        <v>0</v>
      </c>
      <c r="L362" s="95" t="str">
        <f>IFERROR(VLOOKUP(GroupPop2018[[#This Row],[Group]],Grouping[#All],2,0),"Unknown")</f>
        <v>1 - Metro area</v>
      </c>
      <c r="M362" s="95" t="str">
        <f>INDEX(Frequency[Collection_Frequency],MATCH(GroupPop2018[[#This Row],[FreqCode]],Frequency[Orig_Frequency_ID],0))</f>
        <v>Every other week</v>
      </c>
      <c r="N362" s="95" t="str">
        <f>IF(GroupPop2018[[#This Row],[Group]]=1,"Metro",IF(GroupPop2018[[#This Row],[Group]]=4,"Nowhere",IF(GroupPop2018[[#This Row],[Group]]=3,"Remote",IF(GroupPop2018[[#This Row],[County]]="Marion","Marion County","Transported to Metro"))))</f>
        <v>Metro</v>
      </c>
      <c r="O362" s="95"/>
      <c r="P362" s="100">
        <f>GroupPop2018[[#This Row],[Pop2018]]*(1+SUMIFS(Growth[GrowthRate],Growth[Grouping_ID],GroupPop2018[[#This Row],[Group]]))</f>
        <v>2041.1387679750735</v>
      </c>
    </row>
    <row r="363" spans="2:16" x14ac:dyDescent="0.2">
      <c r="B363" s="95" t="s">
        <v>642</v>
      </c>
      <c r="C363" s="95" t="s">
        <v>647</v>
      </c>
      <c r="D363" s="95" t="s">
        <v>647</v>
      </c>
      <c r="E363" s="95" t="s">
        <v>253</v>
      </c>
      <c r="F363" s="95" t="s">
        <v>647</v>
      </c>
      <c r="G363" s="95" t="s">
        <v>64</v>
      </c>
      <c r="H363" s="95" t="s">
        <v>254</v>
      </c>
      <c r="I363" s="132">
        <v>24125</v>
      </c>
      <c r="J363" s="95">
        <v>1</v>
      </c>
      <c r="K363" s="95">
        <f t="shared" si="5"/>
        <v>0</v>
      </c>
      <c r="L363" s="95" t="str">
        <f>IFERROR(VLOOKUP(GroupPop2018[[#This Row],[Group]],Grouping[#All],2,0),"Unknown")</f>
        <v>1 - Metro area</v>
      </c>
      <c r="M363" s="95" t="str">
        <f>INDEX(Frequency[Collection_Frequency],MATCH(GroupPop2018[[#This Row],[FreqCode]],Frequency[Orig_Frequency_ID],0))</f>
        <v>Weekly</v>
      </c>
      <c r="N363" s="95" t="str">
        <f>IF(GroupPop2018[[#This Row],[Group]]=1,"Metro",IF(GroupPop2018[[#This Row],[Group]]=4,"Nowhere",IF(GroupPop2018[[#This Row],[Group]]=3,"Remote",IF(GroupPop2018[[#This Row],[County]]="Marion","Marion County","Transported to Metro"))))</f>
        <v>Metro</v>
      </c>
      <c r="O363" s="95"/>
      <c r="P363" s="100">
        <f>GroupPop2018[[#This Row],[Pop2018]]*(1+SUMIFS(Growth[GrowthRate],Growth[Grouping_ID],GroupPop2018[[#This Row],[Group]]))</f>
        <v>26192.804668829071</v>
      </c>
    </row>
    <row r="364" spans="2:16" x14ac:dyDescent="0.2">
      <c r="B364" s="95" t="s">
        <v>642</v>
      </c>
      <c r="C364" s="95" t="s">
        <v>648</v>
      </c>
      <c r="D364" s="95" t="s">
        <v>648</v>
      </c>
      <c r="E364" s="95" t="s">
        <v>253</v>
      </c>
      <c r="F364" s="95" t="s">
        <v>648</v>
      </c>
      <c r="G364" s="95" t="s">
        <v>53</v>
      </c>
      <c r="H364" s="95" t="s">
        <v>259</v>
      </c>
      <c r="I364" s="132">
        <v>655</v>
      </c>
      <c r="J364" s="95">
        <v>2</v>
      </c>
      <c r="K364" s="95">
        <f t="shared" si="5"/>
        <v>0</v>
      </c>
      <c r="L364" s="95" t="str">
        <f>IFERROR(VLOOKUP(GroupPop2018[[#This Row],[Group]],Grouping[#All],2,0),"Unknown")</f>
        <v>2 - Willamette Valley, etc.</v>
      </c>
      <c r="M364" s="95" t="str">
        <f>INDEX(Frequency[Collection_Frequency],MATCH(GroupPop2018[[#This Row],[FreqCode]],Frequency[Orig_Frequency_ID],0))</f>
        <v>Every other week</v>
      </c>
      <c r="N364" s="95" t="str">
        <f>IF(GroupPop2018[[#This Row],[Group]]=1,"Metro",IF(GroupPop2018[[#This Row],[Group]]=4,"Nowhere",IF(GroupPop2018[[#This Row],[Group]]=3,"Remote",IF(GroupPop2018[[#This Row],[County]]="Marion","Marion County","Transported to Metro"))))</f>
        <v>Transported to Metro</v>
      </c>
      <c r="O364" s="95"/>
      <c r="P364" s="100">
        <f>GroupPop2018[[#This Row],[Pop2018]]*(1+SUMIFS(Growth[GrowthRate],Growth[Grouping_ID],GroupPop2018[[#This Row],[Group]]))</f>
        <v>697.65599210184178</v>
      </c>
    </row>
    <row r="365" spans="2:16" x14ac:dyDescent="0.2">
      <c r="B365" s="95" t="s">
        <v>642</v>
      </c>
      <c r="C365" s="95" t="s">
        <v>649</v>
      </c>
      <c r="D365" s="95" t="s">
        <v>649</v>
      </c>
      <c r="E365" s="95" t="s">
        <v>253</v>
      </c>
      <c r="F365" s="95" t="s">
        <v>649</v>
      </c>
      <c r="G365" s="95" t="s">
        <v>53</v>
      </c>
      <c r="H365" s="95" t="s">
        <v>254</v>
      </c>
      <c r="I365" s="132">
        <v>101920</v>
      </c>
      <c r="J365" s="95">
        <v>1</v>
      </c>
      <c r="K365" s="95">
        <f t="shared" si="5"/>
        <v>0</v>
      </c>
      <c r="L365" s="95" t="str">
        <f>IFERROR(VLOOKUP(GroupPop2018[[#This Row],[Group]],Grouping[#All],2,0),"Unknown")</f>
        <v>1 - Metro area</v>
      </c>
      <c r="M365" s="95" t="str">
        <f>INDEX(Frequency[Collection_Frequency],MATCH(GroupPop2018[[#This Row],[FreqCode]],Frequency[Orig_Frequency_ID],0))</f>
        <v>Every other week</v>
      </c>
      <c r="N365" s="95" t="str">
        <f>IF(GroupPop2018[[#This Row],[Group]]=1,"Metro",IF(GroupPop2018[[#This Row],[Group]]=4,"Nowhere",IF(GroupPop2018[[#This Row],[Group]]=3,"Remote",IF(GroupPop2018[[#This Row],[County]]="Marion","Marion County","Transported to Metro"))))</f>
        <v>Metro</v>
      </c>
      <c r="O365" s="95"/>
      <c r="P365" s="100">
        <f>GroupPop2018[[#This Row],[Pop2018]]*(1+SUMIFS(Growth[GrowthRate],Growth[Grouping_ID],GroupPop2018[[#This Row],[Group]]))</f>
        <v>110655.77831490399</v>
      </c>
    </row>
    <row r="366" spans="2:16" x14ac:dyDescent="0.2">
      <c r="B366" s="95" t="s">
        <v>642</v>
      </c>
      <c r="C366" s="95" t="s">
        <v>650</v>
      </c>
      <c r="D366" s="95" t="s">
        <v>650</v>
      </c>
      <c r="E366" s="95" t="s">
        <v>253</v>
      </c>
      <c r="F366" s="95" t="s">
        <v>650</v>
      </c>
      <c r="G366" s="95" t="s">
        <v>53</v>
      </c>
      <c r="H366" s="95" t="s">
        <v>254</v>
      </c>
      <c r="I366" s="132">
        <v>3700</v>
      </c>
      <c r="J366" s="95">
        <v>1</v>
      </c>
      <c r="K366" s="95">
        <f t="shared" si="5"/>
        <v>0</v>
      </c>
      <c r="L366" s="95" t="str">
        <f>IFERROR(VLOOKUP(GroupPop2018[[#This Row],[Group]],Grouping[#All],2,0),"Unknown")</f>
        <v>1 - Metro area</v>
      </c>
      <c r="M366" s="95" t="str">
        <f>INDEX(Frequency[Collection_Frequency],MATCH(GroupPop2018[[#This Row],[FreqCode]],Frequency[Orig_Frequency_ID],0))</f>
        <v>Every other week</v>
      </c>
      <c r="N366" s="95" t="str">
        <f>IF(GroupPop2018[[#This Row],[Group]]=1,"Metro",IF(GroupPop2018[[#This Row],[Group]]=4,"Nowhere",IF(GroupPop2018[[#This Row],[Group]]=3,"Remote",IF(GroupPop2018[[#This Row],[County]]="Marion","Marion County","Transported to Metro"))))</f>
        <v>Metro</v>
      </c>
      <c r="O366" s="95"/>
      <c r="P366" s="100">
        <f>GroupPop2018[[#This Row],[Pop2018]]*(1+SUMIFS(Growth[GrowthRate],Growth[Grouping_ID],GroupPop2018[[#This Row],[Group]]))</f>
        <v>4017.1348093126448</v>
      </c>
    </row>
    <row r="367" spans="2:16" x14ac:dyDescent="0.2">
      <c r="B367" s="95" t="s">
        <v>642</v>
      </c>
      <c r="C367" s="95" t="s">
        <v>294</v>
      </c>
      <c r="D367" s="95" t="s">
        <v>294</v>
      </c>
      <c r="E367" s="95" t="s">
        <v>253</v>
      </c>
      <c r="F367" s="95" t="s">
        <v>294</v>
      </c>
      <c r="G367" s="95" t="s">
        <v>64</v>
      </c>
      <c r="H367" s="95" t="s">
        <v>254</v>
      </c>
      <c r="I367" s="132">
        <v>10</v>
      </c>
      <c r="J367" s="95">
        <v>1</v>
      </c>
      <c r="K367" s="95">
        <f t="shared" si="5"/>
        <v>0</v>
      </c>
      <c r="L367" s="95" t="str">
        <f>IFERROR(VLOOKUP(GroupPop2018[[#This Row],[Group]],Grouping[#All],2,0),"Unknown")</f>
        <v>1 - Metro area</v>
      </c>
      <c r="M367" s="95" t="str">
        <f>INDEX(Frequency[Collection_Frequency],MATCH(GroupPop2018[[#This Row],[FreqCode]],Frequency[Orig_Frequency_ID],0))</f>
        <v>Weekly</v>
      </c>
      <c r="N367" s="95" t="str">
        <f>IF(GroupPop2018[[#This Row],[Group]]=1,"Metro",IF(GroupPop2018[[#This Row],[Group]]=4,"Nowhere",IF(GroupPop2018[[#This Row],[Group]]=3,"Remote",IF(GroupPop2018[[#This Row],[County]]="Marion","Marion County","Transported to Metro"))))</f>
        <v>Metro</v>
      </c>
      <c r="O367" s="95"/>
      <c r="P367" s="100">
        <f>GroupPop2018[[#This Row],[Pop2018]]*(1+SUMIFS(Growth[GrowthRate],Growth[Grouping_ID],GroupPop2018[[#This Row],[Group]]))</f>
        <v>10.857121106250391</v>
      </c>
    </row>
    <row r="368" spans="2:16" x14ac:dyDescent="0.2">
      <c r="B368" s="95" t="s">
        <v>642</v>
      </c>
      <c r="C368" s="95" t="s">
        <v>651</v>
      </c>
      <c r="D368" s="95" t="s">
        <v>651</v>
      </c>
      <c r="E368" s="95" t="s">
        <v>253</v>
      </c>
      <c r="F368" s="95" t="s">
        <v>651</v>
      </c>
      <c r="G368" s="95" t="s">
        <v>53</v>
      </c>
      <c r="H368" s="95" t="s">
        <v>259</v>
      </c>
      <c r="I368" s="132">
        <v>3095</v>
      </c>
      <c r="J368" s="95">
        <v>2</v>
      </c>
      <c r="K368" s="95">
        <f t="shared" si="5"/>
        <v>0</v>
      </c>
      <c r="L368" s="95" t="str">
        <f>IFERROR(VLOOKUP(GroupPop2018[[#This Row],[Group]],Grouping[#All],2,0),"Unknown")</f>
        <v>2 - Willamette Valley, etc.</v>
      </c>
      <c r="M368" s="95" t="str">
        <f>INDEX(Frequency[Collection_Frequency],MATCH(GroupPop2018[[#This Row],[FreqCode]],Frequency[Orig_Frequency_ID],0))</f>
        <v>Every other week</v>
      </c>
      <c r="N368" s="95" t="str">
        <f>IF(GroupPop2018[[#This Row],[Group]]=1,"Metro",IF(GroupPop2018[[#This Row],[Group]]=4,"Nowhere",IF(GroupPop2018[[#This Row],[Group]]=3,"Remote",IF(GroupPop2018[[#This Row],[County]]="Marion","Marion County","Transported to Metro"))))</f>
        <v>Transported to Metro</v>
      </c>
      <c r="O368" s="95"/>
      <c r="P368" s="100">
        <f>GroupPop2018[[#This Row],[Pop2018]]*(1+SUMIFS(Growth[GrowthRate],Growth[Grouping_ID],GroupPop2018[[#This Row],[Group]]))</f>
        <v>3296.5577031377102</v>
      </c>
    </row>
    <row r="369" spans="2:16" x14ac:dyDescent="0.2">
      <c r="B369" s="95" t="s">
        <v>642</v>
      </c>
      <c r="C369" s="95" t="s">
        <v>299</v>
      </c>
      <c r="D369" s="95" t="s">
        <v>299</v>
      </c>
      <c r="E369" s="95" t="s">
        <v>253</v>
      </c>
      <c r="F369" s="95" t="s">
        <v>299</v>
      </c>
      <c r="G369" s="95" t="s">
        <v>64</v>
      </c>
      <c r="H369" s="95" t="s">
        <v>254</v>
      </c>
      <c r="I369" s="132">
        <v>1600</v>
      </c>
      <c r="J369" s="95">
        <v>1</v>
      </c>
      <c r="K369" s="95">
        <f t="shared" si="5"/>
        <v>0</v>
      </c>
      <c r="L369" s="95" t="str">
        <f>IFERROR(VLOOKUP(GroupPop2018[[#This Row],[Group]],Grouping[#All],2,0),"Unknown")</f>
        <v>1 - Metro area</v>
      </c>
      <c r="M369" s="95" t="str">
        <f>INDEX(Frequency[Collection_Frequency],MATCH(GroupPop2018[[#This Row],[FreqCode]],Frequency[Orig_Frequency_ID],0))</f>
        <v>Weekly</v>
      </c>
      <c r="N369" s="95" t="str">
        <f>IF(GroupPop2018[[#This Row],[Group]]=1,"Metro",IF(GroupPop2018[[#This Row],[Group]]=4,"Nowhere",IF(GroupPop2018[[#This Row],[Group]]=3,"Remote",IF(GroupPop2018[[#This Row],[County]]="Marion","Marion County","Transported to Metro"))))</f>
        <v>Metro</v>
      </c>
      <c r="O369" s="95"/>
      <c r="P369" s="100">
        <f>GroupPop2018[[#This Row],[Pop2018]]*(1+SUMIFS(Growth[GrowthRate],Growth[Grouping_ID],GroupPop2018[[#This Row],[Group]]))</f>
        <v>1737.1393770000627</v>
      </c>
    </row>
    <row r="370" spans="2:16" x14ac:dyDescent="0.2">
      <c r="B370" s="95" t="s">
        <v>642</v>
      </c>
      <c r="C370" s="95" t="s">
        <v>300</v>
      </c>
      <c r="D370" s="95" t="s">
        <v>300</v>
      </c>
      <c r="E370" s="95" t="s">
        <v>253</v>
      </c>
      <c r="F370" s="95" t="s">
        <v>300</v>
      </c>
      <c r="G370" s="95" t="s">
        <v>64</v>
      </c>
      <c r="H370" s="95" t="s">
        <v>254</v>
      </c>
      <c r="I370" s="132">
        <v>35</v>
      </c>
      <c r="J370" s="95">
        <v>1</v>
      </c>
      <c r="K370" s="95">
        <f t="shared" si="5"/>
        <v>0</v>
      </c>
      <c r="L370" s="95" t="str">
        <f>IFERROR(VLOOKUP(GroupPop2018[[#This Row],[Group]],Grouping[#All],2,0),"Unknown")</f>
        <v>1 - Metro area</v>
      </c>
      <c r="M370" s="95" t="str">
        <f>INDEX(Frequency[Collection_Frequency],MATCH(GroupPop2018[[#This Row],[FreqCode]],Frequency[Orig_Frequency_ID],0))</f>
        <v>Weekly</v>
      </c>
      <c r="N370" s="95" t="str">
        <f>IF(GroupPop2018[[#This Row],[Group]]=1,"Metro",IF(GroupPop2018[[#This Row],[Group]]=4,"Nowhere",IF(GroupPop2018[[#This Row],[Group]]=3,"Remote",IF(GroupPop2018[[#This Row],[County]]="Marion","Marion County","Transported to Metro"))))</f>
        <v>Metro</v>
      </c>
      <c r="O370" s="95"/>
      <c r="P370" s="100">
        <f>GroupPop2018[[#This Row],[Pop2018]]*(1+SUMIFS(Growth[GrowthRate],Growth[Grouping_ID],GroupPop2018[[#This Row],[Group]]))</f>
        <v>37.999923871876369</v>
      </c>
    </row>
    <row r="371" spans="2:16" x14ac:dyDescent="0.2">
      <c r="B371" s="95" t="s">
        <v>642</v>
      </c>
      <c r="C371" s="95" t="s">
        <v>652</v>
      </c>
      <c r="D371" s="95" t="s">
        <v>652</v>
      </c>
      <c r="E371" s="95" t="s">
        <v>253</v>
      </c>
      <c r="F371" s="95" t="s">
        <v>652</v>
      </c>
      <c r="G371" s="95" t="s">
        <v>53</v>
      </c>
      <c r="H371" s="95" t="s">
        <v>254</v>
      </c>
      <c r="I371" s="132">
        <v>19505</v>
      </c>
      <c r="J371" s="95">
        <v>1</v>
      </c>
      <c r="K371" s="95">
        <f t="shared" si="5"/>
        <v>0</v>
      </c>
      <c r="L371" s="95" t="str">
        <f>IFERROR(VLOOKUP(GroupPop2018[[#This Row],[Group]],Grouping[#All],2,0),"Unknown")</f>
        <v>1 - Metro area</v>
      </c>
      <c r="M371" s="95" t="str">
        <f>INDEX(Frequency[Collection_Frequency],MATCH(GroupPop2018[[#This Row],[FreqCode]],Frequency[Orig_Frequency_ID],0))</f>
        <v>Every other week</v>
      </c>
      <c r="N371" s="95" t="str">
        <f>IF(GroupPop2018[[#This Row],[Group]]=1,"Metro",IF(GroupPop2018[[#This Row],[Group]]=4,"Nowhere",IF(GroupPop2018[[#This Row],[Group]]=3,"Remote",IF(GroupPop2018[[#This Row],[County]]="Marion","Marion County","Transported to Metro"))))</f>
        <v>Metro</v>
      </c>
      <c r="O371" s="95"/>
      <c r="P371" s="100">
        <f>GroupPop2018[[#This Row],[Pop2018]]*(1+SUMIFS(Growth[GrowthRate],Growth[Grouping_ID],GroupPop2018[[#This Row],[Group]]))</f>
        <v>21176.814717741388</v>
      </c>
    </row>
    <row r="372" spans="2:16" x14ac:dyDescent="0.2">
      <c r="B372" s="95" t="s">
        <v>642</v>
      </c>
      <c r="C372" s="95" t="s">
        <v>653</v>
      </c>
      <c r="D372" s="95" t="s">
        <v>653</v>
      </c>
      <c r="E372" s="95" t="s">
        <v>253</v>
      </c>
      <c r="F372" s="95" t="s">
        <v>653</v>
      </c>
      <c r="G372" s="95" t="s">
        <v>64</v>
      </c>
      <c r="H372" s="95" t="s">
        <v>254</v>
      </c>
      <c r="I372" s="132">
        <v>52785</v>
      </c>
      <c r="J372" s="95">
        <v>1</v>
      </c>
      <c r="K372" s="95">
        <f t="shared" si="5"/>
        <v>0</v>
      </c>
      <c r="L372" s="95" t="str">
        <f>IFERROR(VLOOKUP(GroupPop2018[[#This Row],[Group]],Grouping[#All],2,0),"Unknown")</f>
        <v>1 - Metro area</v>
      </c>
      <c r="M372" s="95" t="str">
        <f>INDEX(Frequency[Collection_Frequency],MATCH(GroupPop2018[[#This Row],[FreqCode]],Frequency[Orig_Frequency_ID],0))</f>
        <v>Weekly</v>
      </c>
      <c r="N372" s="95" t="str">
        <f>IF(GroupPop2018[[#This Row],[Group]]=1,"Metro",IF(GroupPop2018[[#This Row],[Group]]=4,"Nowhere",IF(GroupPop2018[[#This Row],[Group]]=3,"Remote",IF(GroupPop2018[[#This Row],[County]]="Marion","Marion County","Transported to Metro"))))</f>
        <v>Metro</v>
      </c>
      <c r="O372" s="95"/>
      <c r="P372" s="100">
        <f>GroupPop2018[[#This Row],[Pop2018]]*(1+SUMIFS(Growth[GrowthRate],Growth[Grouping_ID],GroupPop2018[[#This Row],[Group]]))</f>
        <v>57309.313759342695</v>
      </c>
    </row>
    <row r="373" spans="2:16" x14ac:dyDescent="0.2">
      <c r="B373" s="95" t="s">
        <v>642</v>
      </c>
      <c r="C373" s="95" t="s">
        <v>303</v>
      </c>
      <c r="D373" s="95" t="s">
        <v>303</v>
      </c>
      <c r="E373" s="95" t="s">
        <v>253</v>
      </c>
      <c r="F373" s="95" t="s">
        <v>303</v>
      </c>
      <c r="G373" s="95" t="s">
        <v>64</v>
      </c>
      <c r="H373" s="95" t="s">
        <v>254</v>
      </c>
      <c r="I373" s="132">
        <v>24130</v>
      </c>
      <c r="J373" s="95">
        <v>1</v>
      </c>
      <c r="K373" s="95">
        <f t="shared" si="5"/>
        <v>0</v>
      </c>
      <c r="L373" s="95" t="str">
        <f>IFERROR(VLOOKUP(GroupPop2018[[#This Row],[Group]],Grouping[#All],2,0),"Unknown")</f>
        <v>1 - Metro area</v>
      </c>
      <c r="M373" s="95" t="str">
        <f>INDEX(Frequency[Collection_Frequency],MATCH(GroupPop2018[[#This Row],[FreqCode]],Frequency[Orig_Frequency_ID],0))</f>
        <v>Weekly</v>
      </c>
      <c r="N373" s="95" t="str">
        <f>IF(GroupPop2018[[#This Row],[Group]]=1,"Metro",IF(GroupPop2018[[#This Row],[Group]]=4,"Nowhere",IF(GroupPop2018[[#This Row],[Group]]=3,"Remote",IF(GroupPop2018[[#This Row],[County]]="Marion","Marion County","Transported to Metro"))))</f>
        <v>Metro</v>
      </c>
      <c r="O373" s="95"/>
      <c r="P373" s="100">
        <f>GroupPop2018[[#This Row],[Pop2018]]*(1+SUMIFS(Growth[GrowthRate],Growth[Grouping_ID],GroupPop2018[[#This Row],[Group]]))</f>
        <v>26198.233229382193</v>
      </c>
    </row>
    <row r="374" spans="2:16" x14ac:dyDescent="0.2">
      <c r="B374" s="95" t="s">
        <v>642</v>
      </c>
      <c r="C374" s="95" t="s">
        <v>654</v>
      </c>
      <c r="D374" s="95" t="s">
        <v>283</v>
      </c>
      <c r="E374" s="95" t="s">
        <v>255</v>
      </c>
      <c r="F374" s="95" t="s">
        <v>655</v>
      </c>
      <c r="G374" s="95" t="s">
        <v>53</v>
      </c>
      <c r="H374" s="95" t="s">
        <v>254</v>
      </c>
      <c r="I374" s="132">
        <v>218599</v>
      </c>
      <c r="J374" s="95">
        <v>1</v>
      </c>
      <c r="K374" s="95">
        <f t="shared" si="5"/>
        <v>0</v>
      </c>
      <c r="L374" s="95" t="str">
        <f>IFERROR(VLOOKUP(GroupPop2018[[#This Row],[Group]],Grouping[#All],2,0),"Unknown")</f>
        <v>1 - Metro area</v>
      </c>
      <c r="M374" s="95" t="str">
        <f>INDEX(Frequency[Collection_Frequency],MATCH(GroupPop2018[[#This Row],[FreqCode]],Frequency[Orig_Frequency_ID],0))</f>
        <v>Every other week</v>
      </c>
      <c r="N374" s="95" t="str">
        <f>IF(GroupPop2018[[#This Row],[Group]]=1,"Metro",IF(GroupPop2018[[#This Row],[Group]]=4,"Nowhere",IF(GroupPop2018[[#This Row],[Group]]=3,"Remote",IF(GroupPop2018[[#This Row],[County]]="Marion","Marion County","Transported to Metro"))))</f>
        <v>Metro</v>
      </c>
      <c r="O374" s="95"/>
      <c r="P374" s="100">
        <f>GroupPop2018[[#This Row],[Pop2018]]*(1+SUMIFS(Growth[GrowthRate],Growth[Grouping_ID],GroupPop2018[[#This Row],[Group]]))</f>
        <v>237335.58167052292</v>
      </c>
    </row>
    <row r="375" spans="2:16" x14ac:dyDescent="0.2">
      <c r="B375" s="95" t="s">
        <v>642</v>
      </c>
      <c r="C375" s="95" t="s">
        <v>656</v>
      </c>
      <c r="D375" s="95" t="s">
        <v>656</v>
      </c>
      <c r="E375" s="95" t="s">
        <v>258</v>
      </c>
      <c r="F375" s="95" t="s">
        <v>656</v>
      </c>
      <c r="G375" s="95" t="s">
        <v>53</v>
      </c>
      <c r="H375" s="95" t="s">
        <v>259</v>
      </c>
      <c r="I375" s="132">
        <v>40616</v>
      </c>
      <c r="J375" s="95">
        <v>2</v>
      </c>
      <c r="K375" s="95">
        <f t="shared" si="5"/>
        <v>0</v>
      </c>
      <c r="L375" s="95" t="str">
        <f>IFERROR(VLOOKUP(GroupPop2018[[#This Row],[Group]],Grouping[#All],2,0),"Unknown")</f>
        <v>2 - Willamette Valley, etc.</v>
      </c>
      <c r="M375" s="95" t="str">
        <f>INDEX(Frequency[Collection_Frequency],MATCH(GroupPop2018[[#This Row],[FreqCode]],Frequency[Orig_Frequency_ID],0))</f>
        <v>Every other week</v>
      </c>
      <c r="N375" s="95" t="str">
        <f>IF(GroupPop2018[[#This Row],[Group]]=1,"Metro",IF(GroupPop2018[[#This Row],[Group]]=4,"Nowhere",IF(GroupPop2018[[#This Row],[Group]]=3,"Remote",IF(GroupPop2018[[#This Row],[County]]="Marion","Marion County","Transported to Metro"))))</f>
        <v>Transported to Metro</v>
      </c>
      <c r="O375" s="95"/>
      <c r="P375" s="100">
        <f>GroupPop2018[[#This Row],[Pop2018]]*(1+SUMIFS(Growth[GrowthRate],Growth[Grouping_ID],GroupPop2018[[#This Row],[Group]]))</f>
        <v>43261.062252226569</v>
      </c>
    </row>
    <row r="376" spans="2:16" x14ac:dyDescent="0.2">
      <c r="B376" s="95" t="s">
        <v>642</v>
      </c>
      <c r="C376" s="95" t="s">
        <v>305</v>
      </c>
      <c r="D376" s="95" t="s">
        <v>305</v>
      </c>
      <c r="E376" s="95" t="s">
        <v>253</v>
      </c>
      <c r="F376" s="95" t="s">
        <v>305</v>
      </c>
      <c r="G376" s="95" t="s">
        <v>64</v>
      </c>
      <c r="H376" s="95" t="s">
        <v>254</v>
      </c>
      <c r="I376" s="132">
        <v>2905</v>
      </c>
      <c r="J376" s="95">
        <v>1</v>
      </c>
      <c r="K376" s="95">
        <f t="shared" si="5"/>
        <v>0</v>
      </c>
      <c r="L376" s="95" t="str">
        <f>IFERROR(VLOOKUP(GroupPop2018[[#This Row],[Group]],Grouping[#All],2,0),"Unknown")</f>
        <v>1 - Metro area</v>
      </c>
      <c r="M376" s="95" t="str">
        <f>INDEX(Frequency[Collection_Frequency],MATCH(GroupPop2018[[#This Row],[FreqCode]],Frequency[Orig_Frequency_ID],0))</f>
        <v>Weekly</v>
      </c>
      <c r="N376" s="95" t="str">
        <f>IF(GroupPop2018[[#This Row],[Group]]=1,"Metro",IF(GroupPop2018[[#This Row],[Group]]=4,"Nowhere",IF(GroupPop2018[[#This Row],[Group]]=3,"Remote",IF(GroupPop2018[[#This Row],[County]]="Marion","Marion County","Transported to Metro"))))</f>
        <v>Metro</v>
      </c>
      <c r="O376" s="95"/>
      <c r="P376" s="100">
        <f>GroupPop2018[[#This Row],[Pop2018]]*(1+SUMIFS(Growth[GrowthRate],Growth[Grouping_ID],GroupPop2018[[#This Row],[Group]]))</f>
        <v>3153.9936813657387</v>
      </c>
    </row>
    <row r="377" spans="2:16" x14ac:dyDescent="0.2">
      <c r="B377" s="95" t="s">
        <v>599</v>
      </c>
      <c r="C377" s="95" t="s">
        <v>657</v>
      </c>
      <c r="D377" s="95" t="s">
        <v>657</v>
      </c>
      <c r="E377" s="95" t="s">
        <v>253</v>
      </c>
      <c r="F377" s="95" t="s">
        <v>657</v>
      </c>
      <c r="G377" s="95" t="s">
        <v>127</v>
      </c>
      <c r="H377" s="95" t="s">
        <v>259</v>
      </c>
      <c r="I377" s="132">
        <v>475</v>
      </c>
      <c r="J377" s="95">
        <v>4</v>
      </c>
      <c r="K377" s="95">
        <f t="shared" si="5"/>
        <v>0</v>
      </c>
      <c r="L377" s="95" t="str">
        <f>IFERROR(VLOOKUP(GroupPop2018[[#This Row],[Group]],Grouping[#All],2,0),"Unknown")</f>
        <v>4 - Areas without curbside</v>
      </c>
      <c r="M377" s="95" t="str">
        <f>INDEX(Frequency[Collection_Frequency],MATCH(GroupPop2018[[#This Row],[FreqCode]],Frequency[Orig_Frequency_ID],0))</f>
        <v>No collection</v>
      </c>
      <c r="N377" s="95" t="str">
        <f>IF(GroupPop2018[[#This Row],[Group]]=1,"Metro",IF(GroupPop2018[[#This Row],[Group]]=4,"Nowhere",IF(GroupPop2018[[#This Row],[Group]]=3,"Remote",IF(GroupPop2018[[#This Row],[County]]="Marion","Marion County","Transported to Metro"))))</f>
        <v>Nowhere</v>
      </c>
      <c r="O377" s="95"/>
      <c r="P377" s="100">
        <f>GroupPop2018[[#This Row],[Pop2018]]*(1+SUMIFS(Growth[GrowthRate],Growth[Grouping_ID],GroupPop2018[[#This Row],[Group]]))</f>
        <v>509.8252287525807</v>
      </c>
    </row>
    <row r="378" spans="2:16" x14ac:dyDescent="0.2">
      <c r="B378" s="95" t="s">
        <v>599</v>
      </c>
      <c r="C378" s="95" t="s">
        <v>658</v>
      </c>
      <c r="D378" s="95" t="s">
        <v>658</v>
      </c>
      <c r="E378" s="95" t="s">
        <v>253</v>
      </c>
      <c r="F378" s="95" t="s">
        <v>658</v>
      </c>
      <c r="G378" s="95" t="s">
        <v>127</v>
      </c>
      <c r="H378" s="95" t="s">
        <v>259</v>
      </c>
      <c r="I378" s="132">
        <v>140</v>
      </c>
      <c r="J378" s="95">
        <v>4</v>
      </c>
      <c r="K378" s="95">
        <f t="shared" ref="K378:K395" si="6">COUNTIFS($B$1:$B$16,C378,$D$1:$D$16,E378)</f>
        <v>0</v>
      </c>
      <c r="L378" s="96" t="str">
        <f>IFERROR(VLOOKUP(GroupPop2018[[#This Row],[Group]],Grouping[#All],2,0),"Unknown")</f>
        <v>4 - Areas without curbside</v>
      </c>
      <c r="M378" s="95" t="str">
        <f>INDEX(Frequency[Collection_Frequency],MATCH(GroupPop2018[[#This Row],[FreqCode]],Frequency[Orig_Frequency_ID],0))</f>
        <v>No collection</v>
      </c>
      <c r="N378" s="96" t="str">
        <f>IF(GroupPop2018[[#This Row],[Group]]=1,"Metro",IF(GroupPop2018[[#This Row],[Group]]=4,"Nowhere",IF(GroupPop2018[[#This Row],[Group]]=3,"Remote",IF(GroupPop2018[[#This Row],[County]]="Marion","Marion County","Transported to Metro"))))</f>
        <v>Nowhere</v>
      </c>
      <c r="O378" s="95"/>
      <c r="P378" s="100">
        <f>GroupPop2018[[#This Row],[Pop2018]]*(1+SUMIFS(Growth[GrowthRate],Growth[Grouping_ID],GroupPop2018[[#This Row],[Group]]))</f>
        <v>150.26427794812903</v>
      </c>
    </row>
    <row r="379" spans="2:16" x14ac:dyDescent="0.2">
      <c r="B379" s="95" t="s">
        <v>599</v>
      </c>
      <c r="C379" s="95" t="s">
        <v>659</v>
      </c>
      <c r="D379" s="95" t="s">
        <v>659</v>
      </c>
      <c r="E379" s="95" t="s">
        <v>253</v>
      </c>
      <c r="F379" s="95" t="s">
        <v>659</v>
      </c>
      <c r="G379" s="95" t="s">
        <v>127</v>
      </c>
      <c r="H379" s="95" t="s">
        <v>259</v>
      </c>
      <c r="I379" s="132">
        <v>160</v>
      </c>
      <c r="J379" s="95">
        <v>4</v>
      </c>
      <c r="K379" s="95">
        <f t="shared" si="6"/>
        <v>0</v>
      </c>
      <c r="L379" s="96" t="str">
        <f>IFERROR(VLOOKUP(GroupPop2018[[#This Row],[Group]],Grouping[#All],2,0),"Unknown")</f>
        <v>4 - Areas without curbside</v>
      </c>
      <c r="M379" s="95" t="str">
        <f>INDEX(Frequency[Collection_Frequency],MATCH(GroupPop2018[[#This Row],[FreqCode]],Frequency[Orig_Frequency_ID],0))</f>
        <v>No collection</v>
      </c>
      <c r="N379" s="96" t="str">
        <f>IF(GroupPop2018[[#This Row],[Group]]=1,"Metro",IF(GroupPop2018[[#This Row],[Group]]=4,"Nowhere",IF(GroupPop2018[[#This Row],[Group]]=3,"Remote",IF(GroupPop2018[[#This Row],[County]]="Marion","Marion County","Transported to Metro"))))</f>
        <v>Nowhere</v>
      </c>
      <c r="O379" s="95"/>
      <c r="P379" s="100">
        <f>GroupPop2018[[#This Row],[Pop2018]]*(1+SUMIFS(Growth[GrowthRate],Growth[Grouping_ID],GroupPop2018[[#This Row],[Group]]))</f>
        <v>171.73060336929035</v>
      </c>
    </row>
    <row r="380" spans="2:16" x14ac:dyDescent="0.2">
      <c r="B380" s="95" t="s">
        <v>599</v>
      </c>
      <c r="C380" s="95" t="s">
        <v>660</v>
      </c>
      <c r="D380" s="95" t="s">
        <v>660</v>
      </c>
      <c r="E380" s="95" t="s">
        <v>258</v>
      </c>
      <c r="F380" s="95" t="s">
        <v>660</v>
      </c>
      <c r="G380" s="95" t="s">
        <v>127</v>
      </c>
      <c r="H380" s="95" t="s">
        <v>259</v>
      </c>
      <c r="I380" s="132">
        <v>675</v>
      </c>
      <c r="J380" s="95">
        <v>4</v>
      </c>
      <c r="K380" s="95">
        <f t="shared" si="6"/>
        <v>0</v>
      </c>
      <c r="L380" s="96" t="str">
        <f>IFERROR(VLOOKUP(GroupPop2018[[#This Row],[Group]],Grouping[#All],2,0),"Unknown")</f>
        <v>4 - Areas without curbside</v>
      </c>
      <c r="M380" s="95" t="str">
        <f>INDEX(Frequency[Collection_Frequency],MATCH(GroupPop2018[[#This Row],[FreqCode]],Frequency[Orig_Frequency_ID],0))</f>
        <v>No collection</v>
      </c>
      <c r="N380" s="96" t="str">
        <f>IF(GroupPop2018[[#This Row],[Group]]=1,"Metro",IF(GroupPop2018[[#This Row],[Group]]=4,"Nowhere",IF(GroupPop2018[[#This Row],[Group]]=3,"Remote",IF(GroupPop2018[[#This Row],[County]]="Marion","Marion County","Transported to Metro"))))</f>
        <v>Nowhere</v>
      </c>
      <c r="O380" s="95"/>
      <c r="P380" s="100">
        <f>GroupPop2018[[#This Row],[Pop2018]]*(1+SUMIFS(Growth[GrowthRate],Growth[Grouping_ID],GroupPop2018[[#This Row],[Group]]))</f>
        <v>724.48848296419362</v>
      </c>
    </row>
    <row r="381" spans="2:16" x14ac:dyDescent="0.2">
      <c r="B381" s="95" t="s">
        <v>661</v>
      </c>
      <c r="C381" s="95" t="s">
        <v>662</v>
      </c>
      <c r="D381" s="95" t="s">
        <v>662</v>
      </c>
      <c r="E381" s="95" t="s">
        <v>253</v>
      </c>
      <c r="F381" s="95" t="s">
        <v>662</v>
      </c>
      <c r="G381" s="95" t="s">
        <v>53</v>
      </c>
      <c r="H381" s="95" t="s">
        <v>259</v>
      </c>
      <c r="I381" s="132">
        <v>1655</v>
      </c>
      <c r="J381" s="95">
        <v>2</v>
      </c>
      <c r="K381" s="95">
        <f t="shared" si="6"/>
        <v>0</v>
      </c>
      <c r="L381" s="96" t="str">
        <f>IFERROR(VLOOKUP(GroupPop2018[[#This Row],[Group]],Grouping[#All],2,0),"Unknown")</f>
        <v>2 - Willamette Valley, etc.</v>
      </c>
      <c r="M381" s="95" t="str">
        <f>INDEX(Frequency[Collection_Frequency],MATCH(GroupPop2018[[#This Row],[FreqCode]],Frequency[Orig_Frequency_ID],0))</f>
        <v>Every other week</v>
      </c>
      <c r="N381" s="96" t="str">
        <f>IF(GroupPop2018[[#This Row],[Group]]=1,"Metro",IF(GroupPop2018[[#This Row],[Group]]=4,"Nowhere",IF(GroupPop2018[[#This Row],[Group]]=3,"Remote",IF(GroupPop2018[[#This Row],[County]]="Marion","Marion County","Transported to Metro"))))</f>
        <v>Transported to Metro</v>
      </c>
      <c r="O381" s="95"/>
      <c r="P381" s="100">
        <f>GroupPop2018[[#This Row],[Pop2018]]*(1+SUMIFS(Growth[GrowthRate],Growth[Grouping_ID],GroupPop2018[[#This Row],[Group]]))</f>
        <v>1762.7796441657222</v>
      </c>
    </row>
    <row r="382" spans="2:16" x14ac:dyDescent="0.2">
      <c r="B382" s="95" t="s">
        <v>661</v>
      </c>
      <c r="C382" s="95" t="s">
        <v>663</v>
      </c>
      <c r="D382" s="95" t="s">
        <v>663</v>
      </c>
      <c r="E382" s="95" t="s">
        <v>253</v>
      </c>
      <c r="F382" s="95" t="s">
        <v>663</v>
      </c>
      <c r="G382" s="95" t="s">
        <v>53</v>
      </c>
      <c r="H382" s="95" t="s">
        <v>259</v>
      </c>
      <c r="I382" s="132">
        <v>2270</v>
      </c>
      <c r="J382" s="95">
        <v>2</v>
      </c>
      <c r="K382" s="95">
        <f t="shared" si="6"/>
        <v>0</v>
      </c>
      <c r="L382" s="96" t="str">
        <f>IFERROR(VLOOKUP(GroupPop2018[[#This Row],[Group]],Grouping[#All],2,0),"Unknown")</f>
        <v>2 - Willamette Valley, etc.</v>
      </c>
      <c r="M382" s="95" t="str">
        <f>INDEX(Frequency[Collection_Frequency],MATCH(GroupPop2018[[#This Row],[FreqCode]],Frequency[Orig_Frequency_ID],0))</f>
        <v>Every other week</v>
      </c>
      <c r="N382" s="96" t="str">
        <f>IF(GroupPop2018[[#This Row],[Group]]=1,"Metro",IF(GroupPop2018[[#This Row],[Group]]=4,"Nowhere",IF(GroupPop2018[[#This Row],[Group]]=3,"Remote",IF(GroupPop2018[[#This Row],[County]]="Marion","Marion County","Transported to Metro"))))</f>
        <v>Transported to Metro</v>
      </c>
      <c r="O382" s="95"/>
      <c r="P382" s="100">
        <f>GroupPop2018[[#This Row],[Pop2018]]*(1+SUMIFS(Growth[GrowthRate],Growth[Grouping_ID],GroupPop2018[[#This Row],[Group]]))</f>
        <v>2417.8306901850087</v>
      </c>
    </row>
    <row r="383" spans="2:16" x14ac:dyDescent="0.2">
      <c r="B383" s="95" t="s">
        <v>661</v>
      </c>
      <c r="C383" s="95" t="s">
        <v>664</v>
      </c>
      <c r="D383" s="95" t="s">
        <v>664</v>
      </c>
      <c r="E383" s="95" t="s">
        <v>253</v>
      </c>
      <c r="F383" s="95" t="s">
        <v>664</v>
      </c>
      <c r="G383" s="95" t="s">
        <v>53</v>
      </c>
      <c r="H383" s="95" t="s">
        <v>259</v>
      </c>
      <c r="I383" s="132">
        <v>2720</v>
      </c>
      <c r="J383" s="95">
        <v>2</v>
      </c>
      <c r="K383" s="95">
        <f t="shared" si="6"/>
        <v>0</v>
      </c>
      <c r="L383" s="96" t="str">
        <f>IFERROR(VLOOKUP(GroupPop2018[[#This Row],[Group]],Grouping[#All],2,0),"Unknown")</f>
        <v>2 - Willamette Valley, etc.</v>
      </c>
      <c r="M383" s="95" t="str">
        <f>INDEX(Frequency[Collection_Frequency],MATCH(GroupPop2018[[#This Row],[FreqCode]],Frequency[Orig_Frequency_ID],0))</f>
        <v>Every other week</v>
      </c>
      <c r="N383" s="96" t="str">
        <f>IF(GroupPop2018[[#This Row],[Group]]=1,"Metro",IF(GroupPop2018[[#This Row],[Group]]=4,"Nowhere",IF(GroupPop2018[[#This Row],[Group]]=3,"Remote",IF(GroupPop2018[[#This Row],[County]]="Marion","Marion County","Transported to Metro"))))</f>
        <v>Transported to Metro</v>
      </c>
      <c r="O383" s="95"/>
      <c r="P383" s="100">
        <f>GroupPop2018[[#This Row],[Pop2018]]*(1+SUMIFS(Growth[GrowthRate],Growth[Grouping_ID],GroupPop2018[[#This Row],[Group]]))</f>
        <v>2897.1363336137551</v>
      </c>
    </row>
    <row r="384" spans="2:16" x14ac:dyDescent="0.2">
      <c r="B384" s="95" t="s">
        <v>661</v>
      </c>
      <c r="C384" s="95" t="s">
        <v>665</v>
      </c>
      <c r="D384" s="95" t="s">
        <v>665</v>
      </c>
      <c r="E384" s="95" t="s">
        <v>253</v>
      </c>
      <c r="F384" s="95" t="s">
        <v>665</v>
      </c>
      <c r="G384" s="95" t="s">
        <v>53</v>
      </c>
      <c r="H384" s="95" t="s">
        <v>259</v>
      </c>
      <c r="I384" s="132">
        <v>3230</v>
      </c>
      <c r="J384" s="95">
        <v>2</v>
      </c>
      <c r="K384" s="95">
        <f t="shared" si="6"/>
        <v>0</v>
      </c>
      <c r="L384" s="96" t="str">
        <f>IFERROR(VLOOKUP(GroupPop2018[[#This Row],[Group]],Grouping[#All],2,0),"Unknown")</f>
        <v>2 - Willamette Valley, etc.</v>
      </c>
      <c r="M384" s="95" t="str">
        <f>INDEX(Frequency[Collection_Frequency],MATCH(GroupPop2018[[#This Row],[FreqCode]],Frequency[Orig_Frequency_ID],0))</f>
        <v>Every other week</v>
      </c>
      <c r="N384" s="96" t="str">
        <f>IF(GroupPop2018[[#This Row],[Group]]=1,"Metro",IF(GroupPop2018[[#This Row],[Group]]=4,"Nowhere",IF(GroupPop2018[[#This Row],[Group]]=3,"Remote",IF(GroupPop2018[[#This Row],[County]]="Marion","Marion County","Transported to Metro"))))</f>
        <v>Transported to Metro</v>
      </c>
      <c r="O384" s="95"/>
      <c r="P384" s="100">
        <f>GroupPop2018[[#This Row],[Pop2018]]*(1+SUMIFS(Growth[GrowthRate],Growth[Grouping_ID],GroupPop2018[[#This Row],[Group]]))</f>
        <v>3440.3493961663339</v>
      </c>
    </row>
    <row r="385" spans="2:16" x14ac:dyDescent="0.2">
      <c r="B385" s="95" t="s">
        <v>661</v>
      </c>
      <c r="C385" s="95" t="s">
        <v>666</v>
      </c>
      <c r="D385" s="95" t="s">
        <v>666</v>
      </c>
      <c r="E385" s="95" t="s">
        <v>253</v>
      </c>
      <c r="F385" s="95" t="s">
        <v>666</v>
      </c>
      <c r="G385" s="95" t="s">
        <v>53</v>
      </c>
      <c r="H385" s="95" t="s">
        <v>259</v>
      </c>
      <c r="I385" s="132">
        <v>4105</v>
      </c>
      <c r="J385" s="95">
        <v>2</v>
      </c>
      <c r="K385" s="95">
        <f t="shared" si="6"/>
        <v>0</v>
      </c>
      <c r="L385" s="96" t="str">
        <f>IFERROR(VLOOKUP(GroupPop2018[[#This Row],[Group]],Grouping[#All],2,0),"Unknown")</f>
        <v>2 - Willamette Valley, etc.</v>
      </c>
      <c r="M385" s="95" t="str">
        <f>INDEX(Frequency[Collection_Frequency],MATCH(GroupPop2018[[#This Row],[FreqCode]],Frequency[Orig_Frequency_ID],0))</f>
        <v>Every other week</v>
      </c>
      <c r="N385" s="96" t="str">
        <f>IF(GroupPop2018[[#This Row],[Group]]=1,"Metro",IF(GroupPop2018[[#This Row],[Group]]=4,"Nowhere",IF(GroupPop2018[[#This Row],[Group]]=3,"Remote",IF(GroupPop2018[[#This Row],[County]]="Marion","Marion County","Transported to Metro"))))</f>
        <v>Transported to Metro</v>
      </c>
      <c r="O385" s="95"/>
      <c r="P385" s="100">
        <f>GroupPop2018[[#This Row],[Pop2018]]*(1+SUMIFS(Growth[GrowthRate],Growth[Grouping_ID],GroupPop2018[[#This Row],[Group]]))</f>
        <v>4372.3325917222292</v>
      </c>
    </row>
    <row r="386" spans="2:16" x14ac:dyDescent="0.2">
      <c r="B386" s="95" t="s">
        <v>661</v>
      </c>
      <c r="C386" s="95" t="s">
        <v>667</v>
      </c>
      <c r="D386" s="95" t="s">
        <v>667</v>
      </c>
      <c r="E386" s="95" t="s">
        <v>253</v>
      </c>
      <c r="F386" s="95" t="s">
        <v>667</v>
      </c>
      <c r="G386" s="95" t="s">
        <v>53</v>
      </c>
      <c r="H386" s="95" t="s">
        <v>254</v>
      </c>
      <c r="I386" s="132">
        <v>33810</v>
      </c>
      <c r="J386" s="95">
        <v>2</v>
      </c>
      <c r="K386" s="95">
        <f t="shared" si="6"/>
        <v>0</v>
      </c>
      <c r="L386" s="96" t="str">
        <f>IFERROR(VLOOKUP(GroupPop2018[[#This Row],[Group]],Grouping[#All],2,0),"Unknown")</f>
        <v>2 - Willamette Valley, etc.</v>
      </c>
      <c r="M386" s="95" t="str">
        <f>INDEX(Frequency[Collection_Frequency],MATCH(GroupPop2018[[#This Row],[FreqCode]],Frequency[Orig_Frequency_ID],0))</f>
        <v>Every other week</v>
      </c>
      <c r="N386" s="96" t="str">
        <f>IF(GroupPop2018[[#This Row],[Group]]=1,"Metro",IF(GroupPop2018[[#This Row],[Group]]=4,"Nowhere",IF(GroupPop2018[[#This Row],[Group]]=3,"Remote",IF(GroupPop2018[[#This Row],[County]]="Marion","Marion County","Transported to Metro"))))</f>
        <v>Transported to Metro</v>
      </c>
      <c r="O386" s="95"/>
      <c r="P386" s="100">
        <f>GroupPop2018[[#This Row],[Pop2018]]*(1+SUMIFS(Growth[GrowthRate],Growth[Grouping_ID],GroupPop2018[[#This Row],[Group]]))</f>
        <v>36011.830676279802</v>
      </c>
    </row>
    <row r="387" spans="2:16" x14ac:dyDescent="0.2">
      <c r="B387" s="95" t="s">
        <v>661</v>
      </c>
      <c r="C387" s="95" t="s">
        <v>667</v>
      </c>
      <c r="D387" s="95" t="s">
        <v>667</v>
      </c>
      <c r="E387" s="95" t="s">
        <v>255</v>
      </c>
      <c r="F387" s="95" t="s">
        <v>668</v>
      </c>
      <c r="G387" s="95" t="s">
        <v>53</v>
      </c>
      <c r="H387" s="95" t="s">
        <v>254</v>
      </c>
      <c r="I387" s="132">
        <v>9</v>
      </c>
      <c r="J387" s="95">
        <v>2</v>
      </c>
      <c r="K387" s="95">
        <f t="shared" si="6"/>
        <v>0</v>
      </c>
      <c r="L387" s="96" t="str">
        <f>IFERROR(VLOOKUP(GroupPop2018[[#This Row],[Group]],Grouping[#All],2,0),"Unknown")</f>
        <v>2 - Willamette Valley, etc.</v>
      </c>
      <c r="M387" s="95" t="str">
        <f>INDEX(Frequency[Collection_Frequency],MATCH(GroupPop2018[[#This Row],[FreqCode]],Frequency[Orig_Frequency_ID],0))</f>
        <v>Every other week</v>
      </c>
      <c r="N387" s="96" t="str">
        <f>IF(GroupPop2018[[#This Row],[Group]]=1,"Metro",IF(GroupPop2018[[#This Row],[Group]]=4,"Nowhere",IF(GroupPop2018[[#This Row],[Group]]=3,"Remote",IF(GroupPop2018[[#This Row],[County]]="Marion","Marion County","Transported to Metro"))))</f>
        <v>Transported to Metro</v>
      </c>
      <c r="O387" s="95"/>
      <c r="P387" s="100">
        <f>GroupPop2018[[#This Row],[Pop2018]]*(1+SUMIFS(Growth[GrowthRate],Growth[Grouping_ID],GroupPop2018[[#This Row],[Group]]))</f>
        <v>9.586112868574924</v>
      </c>
    </row>
    <row r="388" spans="2:16" x14ac:dyDescent="0.2">
      <c r="B388" s="95" t="s">
        <v>661</v>
      </c>
      <c r="C388" s="95" t="s">
        <v>669</v>
      </c>
      <c r="D388" s="95" t="s">
        <v>669</v>
      </c>
      <c r="E388" s="95" t="s">
        <v>253</v>
      </c>
      <c r="F388" s="95" t="s">
        <v>669</v>
      </c>
      <c r="G388" s="95" t="s">
        <v>53</v>
      </c>
      <c r="H388" s="95" t="s">
        <v>254</v>
      </c>
      <c r="I388" s="132">
        <v>23795</v>
      </c>
      <c r="J388" s="95">
        <v>2</v>
      </c>
      <c r="K388" s="95">
        <f t="shared" si="6"/>
        <v>0</v>
      </c>
      <c r="L388" s="96" t="str">
        <f>IFERROR(VLOOKUP(GroupPop2018[[#This Row],[Group]],Grouping[#All],2,0),"Unknown")</f>
        <v>2 - Willamette Valley, etc.</v>
      </c>
      <c r="M388" s="95" t="str">
        <f>INDEX(Frequency[Collection_Frequency],MATCH(GroupPop2018[[#This Row],[FreqCode]],Frequency[Orig_Frequency_ID],0))</f>
        <v>Every other week</v>
      </c>
      <c r="N388" s="96" t="str">
        <f>IF(GroupPop2018[[#This Row],[Group]]=1,"Metro",IF(GroupPop2018[[#This Row],[Group]]=4,"Nowhere",IF(GroupPop2018[[#This Row],[Group]]=3,"Remote",IF(GroupPop2018[[#This Row],[County]]="Marion","Marion County","Transported to Metro"))))</f>
        <v>Transported to Metro</v>
      </c>
      <c r="O388" s="95"/>
      <c r="P388" s="100">
        <f>GroupPop2018[[#This Row],[Pop2018]]*(1+SUMIFS(Growth[GrowthRate],Growth[Grouping_ID],GroupPop2018[[#This Row],[Group]]))</f>
        <v>25344.617300860034</v>
      </c>
    </row>
    <row r="389" spans="2:16" x14ac:dyDescent="0.2">
      <c r="B389" s="95" t="s">
        <v>661</v>
      </c>
      <c r="C389" s="95" t="s">
        <v>669</v>
      </c>
      <c r="D389" s="95" t="s">
        <v>669</v>
      </c>
      <c r="E389" s="95" t="s">
        <v>255</v>
      </c>
      <c r="F389" s="95" t="s">
        <v>670</v>
      </c>
      <c r="G389" s="95" t="s">
        <v>53</v>
      </c>
      <c r="H389" s="95" t="s">
        <v>254</v>
      </c>
      <c r="I389" s="132">
        <v>9</v>
      </c>
      <c r="J389" s="95">
        <v>2</v>
      </c>
      <c r="K389" s="95">
        <f t="shared" si="6"/>
        <v>0</v>
      </c>
      <c r="L389" s="96" t="str">
        <f>IFERROR(VLOOKUP(GroupPop2018[[#This Row],[Group]],Grouping[#All],2,0),"Unknown")</f>
        <v>2 - Willamette Valley, etc.</v>
      </c>
      <c r="M389" s="95" t="str">
        <f>INDEX(Frequency[Collection_Frequency],MATCH(GroupPop2018[[#This Row],[FreqCode]],Frequency[Orig_Frequency_ID],0))</f>
        <v>Every other week</v>
      </c>
      <c r="N389" s="96" t="str">
        <f>IF(GroupPop2018[[#This Row],[Group]]=1,"Metro",IF(GroupPop2018[[#This Row],[Group]]=4,"Nowhere",IF(GroupPop2018[[#This Row],[Group]]=3,"Remote",IF(GroupPop2018[[#This Row],[County]]="Marion","Marion County","Transported to Metro"))))</f>
        <v>Transported to Metro</v>
      </c>
      <c r="O389" s="95"/>
      <c r="P389" s="100">
        <f>GroupPop2018[[#This Row],[Pop2018]]*(1+SUMIFS(Growth[GrowthRate],Growth[Grouping_ID],GroupPop2018[[#This Row],[Group]]))</f>
        <v>9.586112868574924</v>
      </c>
    </row>
    <row r="390" spans="2:16" x14ac:dyDescent="0.2">
      <c r="B390" s="95" t="s">
        <v>661</v>
      </c>
      <c r="C390" s="95" t="s">
        <v>671</v>
      </c>
      <c r="D390" s="95" t="s">
        <v>671</v>
      </c>
      <c r="E390" s="95" t="s">
        <v>253</v>
      </c>
      <c r="F390" s="95" t="s">
        <v>671</v>
      </c>
      <c r="G390" s="95" t="s">
        <v>53</v>
      </c>
      <c r="H390" s="95" t="s">
        <v>254</v>
      </c>
      <c r="I390" s="132">
        <v>6190</v>
      </c>
      <c r="J390" s="95">
        <v>2</v>
      </c>
      <c r="K390" s="95">
        <f t="shared" si="6"/>
        <v>0</v>
      </c>
      <c r="L390" s="96" t="str">
        <f>IFERROR(VLOOKUP(GroupPop2018[[#This Row],[Group]],Grouping[#All],2,0),"Unknown")</f>
        <v>2 - Willamette Valley, etc.</v>
      </c>
      <c r="M390" s="95" t="str">
        <f>INDEX(Frequency[Collection_Frequency],MATCH(GroupPop2018[[#This Row],[FreqCode]],Frequency[Orig_Frequency_ID],0))</f>
        <v>Every other week</v>
      </c>
      <c r="N390" s="96" t="str">
        <f>IF(GroupPop2018[[#This Row],[Group]]=1,"Metro",IF(GroupPop2018[[#This Row],[Group]]=4,"Nowhere",IF(GroupPop2018[[#This Row],[Group]]=3,"Remote",IF(GroupPop2018[[#This Row],[County]]="Marion","Marion County","Transported to Metro"))))</f>
        <v>Transported to Metro</v>
      </c>
      <c r="O390" s="95"/>
      <c r="P390" s="100">
        <f>GroupPop2018[[#This Row],[Pop2018]]*(1+SUMIFS(Growth[GrowthRate],Growth[Grouping_ID],GroupPop2018[[#This Row],[Group]]))</f>
        <v>6593.1154062754204</v>
      </c>
    </row>
    <row r="391" spans="2:16" x14ac:dyDescent="0.2">
      <c r="B391" s="95" t="s">
        <v>661</v>
      </c>
      <c r="C391" s="95" t="s">
        <v>671</v>
      </c>
      <c r="D391" s="95" t="s">
        <v>671</v>
      </c>
      <c r="E391" s="95" t="s">
        <v>255</v>
      </c>
      <c r="F391" s="95" t="s">
        <v>672</v>
      </c>
      <c r="G391" s="95" t="s">
        <v>53</v>
      </c>
      <c r="H391" s="95" t="s">
        <v>254</v>
      </c>
      <c r="I391" s="132">
        <v>9</v>
      </c>
      <c r="J391" s="95">
        <v>2</v>
      </c>
      <c r="K391" s="95">
        <f t="shared" si="6"/>
        <v>0</v>
      </c>
      <c r="L391" s="96" t="str">
        <f>IFERROR(VLOOKUP(GroupPop2018[[#This Row],[Group]],Grouping[#All],2,0),"Unknown")</f>
        <v>2 - Willamette Valley, etc.</v>
      </c>
      <c r="M391" s="95" t="str">
        <f>INDEX(Frequency[Collection_Frequency],MATCH(GroupPop2018[[#This Row],[FreqCode]],Frequency[Orig_Frequency_ID],0))</f>
        <v>Every other week</v>
      </c>
      <c r="N391" s="96" t="str">
        <f>IF(GroupPop2018[[#This Row],[Group]]=1,"Metro",IF(GroupPop2018[[#This Row],[Group]]=4,"Nowhere",IF(GroupPop2018[[#This Row],[Group]]=3,"Remote",IF(GroupPop2018[[#This Row],[County]]="Marion","Marion County","Transported to Metro"))))</f>
        <v>Transported to Metro</v>
      </c>
      <c r="O391" s="95"/>
      <c r="P391" s="100">
        <f>GroupPop2018[[#This Row],[Pop2018]]*(1+SUMIFS(Growth[GrowthRate],Growth[Grouping_ID],GroupPop2018[[#This Row],[Group]]))</f>
        <v>9.586112868574924</v>
      </c>
    </row>
    <row r="392" spans="2:16" x14ac:dyDescent="0.2">
      <c r="B392" s="95" t="s">
        <v>661</v>
      </c>
      <c r="C392" s="95" t="s">
        <v>673</v>
      </c>
      <c r="D392" s="95" t="s">
        <v>673</v>
      </c>
      <c r="E392" s="95" t="s">
        <v>253</v>
      </c>
      <c r="F392" s="95" t="s">
        <v>583</v>
      </c>
      <c r="G392" s="95" t="s">
        <v>53</v>
      </c>
      <c r="H392" s="95" t="s">
        <v>259</v>
      </c>
      <c r="I392" s="132">
        <v>1275</v>
      </c>
      <c r="J392" s="95">
        <v>2</v>
      </c>
      <c r="K392" s="95">
        <f t="shared" si="6"/>
        <v>0</v>
      </c>
      <c r="L392" s="96" t="str">
        <f>IFERROR(VLOOKUP(GroupPop2018[[#This Row],[Group]],Grouping[#All],2,0),"Unknown")</f>
        <v>2 - Willamette Valley, etc.</v>
      </c>
      <c r="M392" s="95" t="str">
        <f>INDEX(Frequency[Collection_Frequency],MATCH(GroupPop2018[[#This Row],[FreqCode]],Frequency[Orig_Frequency_ID],0))</f>
        <v>Every other week</v>
      </c>
      <c r="N392" s="96" t="str">
        <f>IF(GroupPop2018[[#This Row],[Group]]=1,"Metro",IF(GroupPop2018[[#This Row],[Group]]=4,"Nowhere",IF(GroupPop2018[[#This Row],[Group]]=3,"Remote",IF(GroupPop2018[[#This Row],[County]]="Marion","Marion County","Transported to Metro"))))</f>
        <v>Transported to Metro</v>
      </c>
      <c r="O392" s="95"/>
      <c r="P392" s="100">
        <f>GroupPop2018[[#This Row],[Pop2018]]*(1+SUMIFS(Growth[GrowthRate],Growth[Grouping_ID],GroupPop2018[[#This Row],[Group]]))</f>
        <v>1358.0326563814476</v>
      </c>
    </row>
    <row r="393" spans="2:16" x14ac:dyDescent="0.2">
      <c r="B393" s="95" t="s">
        <v>661</v>
      </c>
      <c r="C393" s="95" t="s">
        <v>661</v>
      </c>
      <c r="D393" s="95" t="s">
        <v>661</v>
      </c>
      <c r="E393" s="95" t="s">
        <v>253</v>
      </c>
      <c r="F393" s="95" t="s">
        <v>661</v>
      </c>
      <c r="G393" s="95" t="s">
        <v>53</v>
      </c>
      <c r="H393" s="95" t="s">
        <v>259</v>
      </c>
      <c r="I393" s="132">
        <v>1090</v>
      </c>
      <c r="J393" s="95">
        <v>2</v>
      </c>
      <c r="K393" s="95">
        <f t="shared" si="6"/>
        <v>0</v>
      </c>
      <c r="L393" s="96" t="str">
        <f>IFERROR(VLOOKUP(GroupPop2018[[#This Row],[Group]],Grouping[#All],2,0),"Unknown")</f>
        <v>2 - Willamette Valley, etc.</v>
      </c>
      <c r="M393" s="95" t="str">
        <f>INDEX(Frequency[Collection_Frequency],MATCH(GroupPop2018[[#This Row],[FreqCode]],Frequency[Orig_Frequency_ID],0))</f>
        <v>Every other week</v>
      </c>
      <c r="N393" s="96" t="str">
        <f>IF(GroupPop2018[[#This Row],[Group]]=1,"Metro",IF(GroupPop2018[[#This Row],[Group]]=4,"Nowhere",IF(GroupPop2018[[#This Row],[Group]]=3,"Remote",IF(GroupPop2018[[#This Row],[County]]="Marion","Marion County","Transported to Metro"))))</f>
        <v>Transported to Metro</v>
      </c>
      <c r="O393" s="95"/>
      <c r="P393" s="100">
        <f>GroupPop2018[[#This Row],[Pop2018]]*(1+SUMIFS(Growth[GrowthRate],Growth[Grouping_ID],GroupPop2018[[#This Row],[Group]]))</f>
        <v>1160.9847807496296</v>
      </c>
    </row>
    <row r="394" spans="2:16" x14ac:dyDescent="0.2">
      <c r="B394" s="95" t="s">
        <v>661</v>
      </c>
      <c r="C394" s="95" t="s">
        <v>674</v>
      </c>
      <c r="D394" s="95" t="s">
        <v>675</v>
      </c>
      <c r="E394" s="95" t="s">
        <v>258</v>
      </c>
      <c r="F394" s="95" t="s">
        <v>674</v>
      </c>
      <c r="G394" s="95" t="s">
        <v>127</v>
      </c>
      <c r="H394" s="95" t="s">
        <v>259</v>
      </c>
      <c r="I394" s="132">
        <v>22248</v>
      </c>
      <c r="J394" s="95">
        <v>4</v>
      </c>
      <c r="K394" s="95">
        <f t="shared" si="6"/>
        <v>0</v>
      </c>
      <c r="L394" s="96" t="str">
        <f>IFERROR(VLOOKUP(GroupPop2018[[#This Row],[Group]],Grouping[#All],2,0),"Unknown")</f>
        <v>4 - Areas without curbside</v>
      </c>
      <c r="M394" s="95" t="str">
        <f>INDEX(Frequency[Collection_Frequency],MATCH(GroupPop2018[[#This Row],[FreqCode]],Frequency[Orig_Frequency_ID],0))</f>
        <v>No collection</v>
      </c>
      <c r="N394" s="96" t="str">
        <f>IF(GroupPop2018[[#This Row],[Group]]=1,"Metro",IF(GroupPop2018[[#This Row],[Group]]=4,"Nowhere",IF(GroupPop2018[[#This Row],[Group]]=3,"Remote",IF(GroupPop2018[[#This Row],[County]]="Marion","Marion County","Transported to Metro"))))</f>
        <v>Nowhere</v>
      </c>
      <c r="O394" s="95"/>
      <c r="P394" s="100">
        <f>GroupPop2018[[#This Row],[Pop2018]]*(1+SUMIFS(Growth[GrowthRate],Growth[Grouping_ID],GroupPop2018[[#This Row],[Group]]))</f>
        <v>23879.140398499821</v>
      </c>
    </row>
    <row r="395" spans="2:16" x14ac:dyDescent="0.2">
      <c r="B395" s="95" t="s">
        <v>661</v>
      </c>
      <c r="C395" s="95" t="s">
        <v>675</v>
      </c>
      <c r="D395" s="95" t="s">
        <v>675</v>
      </c>
      <c r="E395" s="95" t="s">
        <v>258</v>
      </c>
      <c r="F395" s="95" t="s">
        <v>675</v>
      </c>
      <c r="G395" s="95" t="s">
        <v>53</v>
      </c>
      <c r="H395" s="95" t="s">
        <v>259</v>
      </c>
      <c r="I395" s="132">
        <v>5000</v>
      </c>
      <c r="J395" s="95">
        <v>2</v>
      </c>
      <c r="K395" s="95">
        <f t="shared" si="6"/>
        <v>0</v>
      </c>
      <c r="L395" s="96" t="str">
        <f>IFERROR(VLOOKUP(GroupPop2018[[#This Row],[Group]],Grouping[#All],2,0),"Unknown")</f>
        <v>2 - Willamette Valley, etc.</v>
      </c>
      <c r="M395" s="95" t="str">
        <f>INDEX(Frequency[Collection_Frequency],MATCH(GroupPop2018[[#This Row],[FreqCode]],Frequency[Orig_Frequency_ID],0))</f>
        <v>Every other week</v>
      </c>
      <c r="N395" s="96" t="str">
        <f>IF(GroupPop2018[[#This Row],[Group]]=1,"Metro",IF(GroupPop2018[[#This Row],[Group]]=4,"Nowhere",IF(GroupPop2018[[#This Row],[Group]]=3,"Remote",IF(GroupPop2018[[#This Row],[County]]="Marion","Marion County","Transported to Metro"))))</f>
        <v>Transported to Metro</v>
      </c>
      <c r="O395" s="95"/>
      <c r="P395" s="100">
        <f>GroupPop2018[[#This Row],[Pop2018]]*(1+SUMIFS(Growth[GrowthRate],Growth[Grouping_ID],GroupPop2018[[#This Row],[Group]]))</f>
        <v>5325.618260319402</v>
      </c>
    </row>
  </sheetData>
  <sheetProtection algorithmName="SHA-512" hashValue="oOEtpVBKPS/Vo1aa3zWvYsX5YNSBKRme+K+EgsHbMZGK1bz1R3CdPgRHIGxnaQ4yYKaEXZpGmPFDPnMbZ4xvxA==" saltValue="ZEQM+M2jncf3nFDT4WtkEQ==" spinCount="100000" sheet="1" objects="1" scenarios="1" autoFilter="0"/>
  <phoneticPr fontId="15" type="noConversion"/>
  <pageMargins left="0.7" right="0.7" top="0.75" bottom="0.75" header="0.3" footer="0.3"/>
  <pageSetup orientation="portrait" horizontalDpi="1200" verticalDpi="1200" r:id="rId1"/>
  <drawing r:id="rId2"/>
  <legacyDrawing r:id="rId3"/>
  <tableParts count="2">
    <tablePart r:id="rId4"/>
    <tablePart r:id="rId5"/>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1"/>
  </sheetPr>
  <dimension ref="B2:AZ53"/>
  <sheetViews>
    <sheetView workbookViewId="0">
      <selection activeCell="R1" sqref="R1:S1048576"/>
    </sheetView>
  </sheetViews>
  <sheetFormatPr defaultColWidth="8.75" defaultRowHeight="14.25" x14ac:dyDescent="0.2"/>
  <cols>
    <col min="1" max="1" width="2.375" style="4" customWidth="1"/>
    <col min="2" max="2" width="16.875" style="4" customWidth="1"/>
    <col min="3" max="3" width="19.875" style="4" customWidth="1"/>
    <col min="4" max="4" width="19.875" style="355" customWidth="1"/>
    <col min="5" max="5" width="2.625" style="4" customWidth="1"/>
    <col min="6" max="6" width="14.25" style="4" customWidth="1"/>
    <col min="7" max="7" width="26.75" style="4" customWidth="1"/>
    <col min="8" max="8" width="26.75" style="355" customWidth="1"/>
    <col min="9" max="9" width="2.625" style="4" customWidth="1"/>
    <col min="10" max="10" width="7.75" style="4" customWidth="1"/>
    <col min="11" max="11" width="21.875" style="4" customWidth="1"/>
    <col min="12" max="12" width="10.125" style="4" customWidth="1"/>
    <col min="13" max="13" width="20.75" style="4" customWidth="1"/>
    <col min="14" max="14" width="2.75" style="4" customWidth="1"/>
    <col min="15" max="15" width="13" style="4" customWidth="1"/>
    <col min="16" max="16" width="16.25" style="4" customWidth="1"/>
    <col min="17" max="17" width="2.625" style="4" customWidth="1"/>
    <col min="18" max="18" width="15" style="4" hidden="1" customWidth="1"/>
    <col min="19" max="19" width="19.375" style="4" hidden="1" customWidth="1"/>
    <col min="20" max="20" width="2.25" style="4" customWidth="1"/>
    <col min="21" max="21" width="13.625" style="4" customWidth="1"/>
    <col min="22" max="22" width="30.25" style="4" customWidth="1"/>
    <col min="23" max="23" width="2.25" style="4" customWidth="1"/>
    <col min="24" max="24" width="17.125" style="4" bestFit="1" customWidth="1"/>
    <col min="25" max="25" width="35" style="4" customWidth="1"/>
    <col min="26" max="26" width="14.5" style="4" bestFit="1" customWidth="1"/>
    <col min="27" max="27" width="35" style="4" customWidth="1"/>
    <col min="28" max="29" width="11.875" style="355" customWidth="1"/>
    <col min="30" max="30" width="28.625" style="355" bestFit="1" customWidth="1"/>
    <col min="31" max="31" width="1.75" style="212" customWidth="1"/>
    <col min="32" max="32" width="22" style="4" customWidth="1"/>
    <col min="33" max="33" width="28.375" style="4" customWidth="1"/>
    <col min="34" max="34" width="15.125" style="4" customWidth="1"/>
    <col min="35" max="35" width="2.625" customWidth="1"/>
    <col min="36" max="36" width="2.625" style="4" customWidth="1"/>
    <col min="37" max="37" width="20" style="4" customWidth="1"/>
    <col min="38" max="38" width="31.25" style="4" customWidth="1"/>
    <col min="39" max="39" width="2.625" style="4" customWidth="1"/>
    <col min="40" max="40" width="12.875" style="4" customWidth="1"/>
    <col min="41" max="41" width="44.125" style="4" bestFit="1" customWidth="1"/>
    <col min="42" max="42" width="2.625" style="4" customWidth="1"/>
    <col min="43" max="43" width="9.875" style="5" bestFit="1" customWidth="1"/>
    <col min="44" max="44" width="9.875" style="5" customWidth="1"/>
    <col min="45" max="45" width="48.625" style="4" bestFit="1" customWidth="1"/>
    <col min="46" max="46" width="14.875" style="355" customWidth="1"/>
    <col min="47" max="47" width="3.125" style="4" customWidth="1"/>
    <col min="48" max="48" width="12.25" style="4" bestFit="1" customWidth="1"/>
    <col min="49" max="49" width="50.75" style="4" bestFit="1" customWidth="1"/>
    <col min="50" max="50" width="3" style="4" customWidth="1"/>
    <col min="51" max="51" width="18" style="4" customWidth="1"/>
    <col min="52" max="52" width="23.875" style="4" customWidth="1"/>
    <col min="53" max="16384" width="8.75" style="4"/>
  </cols>
  <sheetData>
    <row r="2" spans="2:52" x14ac:dyDescent="0.2">
      <c r="B2" s="145" t="s">
        <v>676</v>
      </c>
      <c r="C2" s="3"/>
      <c r="D2" s="3"/>
      <c r="F2" s="145" t="s">
        <v>677</v>
      </c>
      <c r="G2" s="3"/>
      <c r="H2" s="3"/>
      <c r="J2" s="145" t="s">
        <v>678</v>
      </c>
      <c r="K2" s="3"/>
      <c r="L2" s="3"/>
      <c r="M2" s="3"/>
      <c r="O2" s="145" t="s">
        <v>679</v>
      </c>
      <c r="P2" s="3"/>
      <c r="R2" s="246" t="s">
        <v>680</v>
      </c>
      <c r="S2" s="247"/>
      <c r="U2" s="415" t="s">
        <v>1911</v>
      </c>
      <c r="V2" s="3"/>
      <c r="X2" s="213" t="s">
        <v>681</v>
      </c>
      <c r="Y2" s="3"/>
      <c r="Z2" s="3"/>
      <c r="AA2" s="3"/>
      <c r="AB2" s="3"/>
      <c r="AC2" s="3"/>
      <c r="AD2" s="3"/>
      <c r="AF2" s="213" t="s">
        <v>682</v>
      </c>
      <c r="AG2" s="213"/>
      <c r="AH2" s="213"/>
      <c r="AK2" s="414" t="s">
        <v>683</v>
      </c>
      <c r="AL2" s="414"/>
      <c r="AN2" s="414" t="s">
        <v>684</v>
      </c>
      <c r="AO2" s="414"/>
      <c r="AQ2" s="437" t="s">
        <v>685</v>
      </c>
      <c r="AR2" s="437"/>
      <c r="AS2" s="3"/>
      <c r="AT2" s="3"/>
      <c r="AV2" s="437" t="s">
        <v>1049</v>
      </c>
      <c r="AW2" s="437"/>
      <c r="AY2" s="437" t="s">
        <v>2006</v>
      </c>
      <c r="AZ2" s="437"/>
    </row>
    <row r="3" spans="2:52" x14ac:dyDescent="0.2">
      <c r="B3" s="4" t="s">
        <v>56</v>
      </c>
      <c r="C3" s="4" t="s">
        <v>57</v>
      </c>
      <c r="D3" s="438" t="s">
        <v>1909</v>
      </c>
      <c r="F3" s="4" t="s">
        <v>60</v>
      </c>
      <c r="G3" s="4" t="s">
        <v>61</v>
      </c>
      <c r="H3" s="438" t="s">
        <v>1910</v>
      </c>
      <c r="J3" s="4" t="s">
        <v>843</v>
      </c>
      <c r="K3" s="4" t="s">
        <v>59</v>
      </c>
      <c r="L3" s="15" t="s">
        <v>805</v>
      </c>
      <c r="M3" s="4" t="s">
        <v>63</v>
      </c>
      <c r="O3" s="4" t="s">
        <v>686</v>
      </c>
      <c r="P3" s="4" t="s">
        <v>687</v>
      </c>
      <c r="R3" s="248" t="s">
        <v>688</v>
      </c>
      <c r="S3" s="248" t="s">
        <v>689</v>
      </c>
      <c r="U3" s="355" t="s">
        <v>1912</v>
      </c>
      <c r="V3" s="355" t="s">
        <v>1913</v>
      </c>
      <c r="X3" s="4" t="s">
        <v>690</v>
      </c>
      <c r="Y3" s="4" t="s">
        <v>691</v>
      </c>
      <c r="Z3" s="4" t="s">
        <v>959</v>
      </c>
      <c r="AA3" s="4" t="s">
        <v>960</v>
      </c>
      <c r="AB3" s="355" t="s">
        <v>1912</v>
      </c>
      <c r="AC3" s="355" t="s">
        <v>1913</v>
      </c>
      <c r="AD3" s="355" t="s">
        <v>1967</v>
      </c>
      <c r="AF3" s="4" t="s">
        <v>692</v>
      </c>
      <c r="AG3" s="4" t="s">
        <v>693</v>
      </c>
      <c r="AH3" s="4" t="s">
        <v>961</v>
      </c>
      <c r="AK3" s="4" t="s">
        <v>845</v>
      </c>
      <c r="AL3" s="4" t="s">
        <v>846</v>
      </c>
      <c r="AN3" s="4" t="s">
        <v>869</v>
      </c>
      <c r="AO3" s="4" t="s">
        <v>868</v>
      </c>
      <c r="AQ3" s="5" t="s">
        <v>694</v>
      </c>
      <c r="AR3" s="5" t="s">
        <v>1900</v>
      </c>
      <c r="AS3" s="4" t="s">
        <v>695</v>
      </c>
      <c r="AT3" s="355" t="s">
        <v>1901</v>
      </c>
      <c r="AV3" s="4" t="s">
        <v>877</v>
      </c>
      <c r="AW3" s="4" t="s">
        <v>1050</v>
      </c>
      <c r="AY3" s="352" t="s">
        <v>2007</v>
      </c>
      <c r="AZ3" s="352" t="s">
        <v>2008</v>
      </c>
    </row>
    <row r="4" spans="2:52" x14ac:dyDescent="0.2">
      <c r="B4" s="4">
        <v>0</v>
      </c>
      <c r="C4" s="4" t="s">
        <v>696</v>
      </c>
      <c r="D4" s="438">
        <v>0</v>
      </c>
      <c r="F4" s="4">
        <v>1</v>
      </c>
      <c r="G4" s="4" t="s">
        <v>156</v>
      </c>
      <c r="H4" s="355">
        <v>1</v>
      </c>
      <c r="J4" s="4" t="s">
        <v>66</v>
      </c>
      <c r="K4" s="4" t="s">
        <v>697</v>
      </c>
      <c r="L4" s="18" t="s">
        <v>806</v>
      </c>
      <c r="M4" s="4">
        <v>24</v>
      </c>
      <c r="O4" s="6">
        <v>1000</v>
      </c>
      <c r="P4" s="4" t="s">
        <v>698</v>
      </c>
      <c r="R4" s="249">
        <v>1100</v>
      </c>
      <c r="S4" s="248" t="s">
        <v>699</v>
      </c>
      <c r="U4" s="355" t="s">
        <v>1914</v>
      </c>
      <c r="V4" s="355" t="s">
        <v>1915</v>
      </c>
      <c r="X4" s="4">
        <v>1111</v>
      </c>
      <c r="Y4" s="4" t="s">
        <v>699</v>
      </c>
      <c r="Z4" s="4">
        <f>SubMaterial[[#This Row],[SubMaterial_ID]]</f>
        <v>1111</v>
      </c>
      <c r="AA4" s="4" t="str">
        <f>IFERROR(INDEX(Class[Class_Name],MATCH(SubMaterial[[#This Row],[Reporting_ID]],Class[Class_ID],0)),SubMaterial[[#This Row],[SubMaterial_Name]])</f>
        <v>Corrugated cardboard</v>
      </c>
      <c r="AB4" s="355" t="s">
        <v>1914</v>
      </c>
      <c r="AC4" s="355" t="str">
        <f>IFERROR(INDEX(DEQ_WIC_Matl[DEQWICMat_Name],MATCH(SubMaterial[[#This Row],[DEQWICMat_ID]],DEQ_WIC_Matl[DEQWICMat_ID],0)),"TBD")</f>
        <v>Cardboard</v>
      </c>
      <c r="AD4" s="355" t="s">
        <v>1968</v>
      </c>
      <c r="AF4" s="5" t="s">
        <v>700</v>
      </c>
      <c r="AG4" s="416" t="s">
        <v>872</v>
      </c>
      <c r="AH4" s="5" t="s">
        <v>700</v>
      </c>
      <c r="AK4" s="5" t="s">
        <v>700</v>
      </c>
      <c r="AL4" s="4" t="s">
        <v>701</v>
      </c>
      <c r="AN4" s="5" t="s">
        <v>700</v>
      </c>
      <c r="AO4" s="355" t="s">
        <v>968</v>
      </c>
      <c r="AQ4" s="5" t="s">
        <v>969</v>
      </c>
      <c r="AR4" s="5">
        <v>1</v>
      </c>
      <c r="AS4" s="355" t="s">
        <v>970</v>
      </c>
      <c r="AT4" s="355" t="s">
        <v>762</v>
      </c>
      <c r="AV4" s="355" t="s">
        <v>876</v>
      </c>
      <c r="AW4" s="355" t="s">
        <v>2001</v>
      </c>
      <c r="AY4" s="352" t="s">
        <v>2009</v>
      </c>
      <c r="AZ4" s="352" t="s">
        <v>2010</v>
      </c>
    </row>
    <row r="5" spans="2:52" x14ac:dyDescent="0.2">
      <c r="B5" s="4">
        <v>1</v>
      </c>
      <c r="C5" s="4" t="s">
        <v>155</v>
      </c>
      <c r="D5" s="438">
        <v>1</v>
      </c>
      <c r="F5" s="4">
        <v>2</v>
      </c>
      <c r="G5" s="4" t="s">
        <v>159</v>
      </c>
      <c r="H5" s="355">
        <v>2</v>
      </c>
      <c r="J5" s="4" t="s">
        <v>53</v>
      </c>
      <c r="K5" s="4" t="s">
        <v>702</v>
      </c>
      <c r="L5" s="18" t="s">
        <v>806</v>
      </c>
      <c r="M5" s="4">
        <v>26</v>
      </c>
      <c r="O5" s="6">
        <v>2000</v>
      </c>
      <c r="P5" s="4" t="s">
        <v>703</v>
      </c>
      <c r="R5" s="249">
        <v>1200</v>
      </c>
      <c r="S5" s="248" t="s">
        <v>704</v>
      </c>
      <c r="U5" s="355" t="s">
        <v>1916</v>
      </c>
      <c r="V5" s="355" t="s">
        <v>1917</v>
      </c>
      <c r="X5" s="4">
        <v>1211</v>
      </c>
      <c r="Y5" s="4" t="s">
        <v>705</v>
      </c>
      <c r="Z5" s="4">
        <f>SubMaterial[[#This Row],[SubMaterial_ID]]</f>
        <v>1211</v>
      </c>
      <c r="AA5" s="4" t="str">
        <f>IFERROR(INDEX(Class[Class_Name],MATCH(SubMaterial[[#This Row],[Reporting_ID]],Class[Class_ID],0)),SubMaterial[[#This Row],[SubMaterial_Name]])</f>
        <v>Newspaper</v>
      </c>
      <c r="AB5" s="355" t="s">
        <v>1916</v>
      </c>
      <c r="AC5" s="355" t="str">
        <f>IFERROR(INDEX(DEQ_WIC_Matl[DEQWICMat_Name],MATCH(SubMaterial[[#This Row],[DEQWICMat_ID]],DEQ_WIC_Matl[DEQWICMat_ID],0)),"TBD")</f>
        <v>Newsprint</v>
      </c>
      <c r="AD5" s="355" t="s">
        <v>1969</v>
      </c>
      <c r="AF5" s="5" t="s">
        <v>706</v>
      </c>
      <c r="AG5" s="416" t="s">
        <v>707</v>
      </c>
      <c r="AH5" s="5" t="s">
        <v>706</v>
      </c>
      <c r="AK5" s="5" t="s">
        <v>706</v>
      </c>
      <c r="AL5" s="4" t="s">
        <v>1025</v>
      </c>
      <c r="AN5" s="5" t="s">
        <v>706</v>
      </c>
      <c r="AO5" s="355" t="s">
        <v>1992</v>
      </c>
      <c r="AQ5" s="5" t="s">
        <v>971</v>
      </c>
      <c r="AR5" s="5">
        <v>2</v>
      </c>
      <c r="AS5" s="355" t="s">
        <v>972</v>
      </c>
      <c r="AT5" s="355" t="s">
        <v>762</v>
      </c>
      <c r="AV5" s="355" t="s">
        <v>875</v>
      </c>
      <c r="AW5" s="355" t="s">
        <v>2002</v>
      </c>
      <c r="AY5" s="352" t="s">
        <v>2011</v>
      </c>
      <c r="AZ5" s="352" t="s">
        <v>2012</v>
      </c>
    </row>
    <row r="6" spans="2:52" x14ac:dyDescent="0.2">
      <c r="B6" s="4">
        <v>2</v>
      </c>
      <c r="C6" s="4" t="s">
        <v>157</v>
      </c>
      <c r="D6" s="438">
        <v>2</v>
      </c>
      <c r="F6" s="4">
        <v>3</v>
      </c>
      <c r="G6" s="4" t="s">
        <v>160</v>
      </c>
      <c r="H6" s="355">
        <v>3</v>
      </c>
      <c r="J6" s="4" t="s">
        <v>67</v>
      </c>
      <c r="K6" s="4" t="s">
        <v>708</v>
      </c>
      <c r="L6" s="18" t="s">
        <v>806</v>
      </c>
      <c r="M6" s="4">
        <v>12</v>
      </c>
      <c r="O6" s="6">
        <v>3000</v>
      </c>
      <c r="P6" s="35" t="s">
        <v>709</v>
      </c>
      <c r="R6" s="249">
        <v>1300</v>
      </c>
      <c r="S6" s="248" t="s">
        <v>710</v>
      </c>
      <c r="U6" s="355" t="s">
        <v>1918</v>
      </c>
      <c r="V6" s="355" t="s">
        <v>1919</v>
      </c>
      <c r="X6" s="4">
        <v>1221</v>
      </c>
      <c r="Y6" s="4" t="s">
        <v>711</v>
      </c>
      <c r="Z6" s="4">
        <f>SubMaterial[[#This Row],[SubMaterial_ID]]</f>
        <v>1221</v>
      </c>
      <c r="AA6" s="4" t="str">
        <f>IFERROR(INDEX(Class[Class_Name],MATCH(SubMaterial[[#This Row],[Reporting_ID]],Class[Class_ID],0)),SubMaterial[[#This Row],[SubMaterial_Name]])</f>
        <v>Printing and writing paper</v>
      </c>
      <c r="AB6" s="355" t="s">
        <v>1918</v>
      </c>
      <c r="AC6" s="355" t="str">
        <f>IFERROR(INDEX(DEQ_WIC_Matl[DEQWICMat_Name],MATCH(SubMaterial[[#This Row],[DEQWICMat_ID]],DEQ_WIC_Matl[DEQWICMat_ID],0)),"TBD")</f>
        <v>PrintingWritingPaper</v>
      </c>
      <c r="AD6" s="355" t="s">
        <v>1969</v>
      </c>
      <c r="AF6" s="5" t="s">
        <v>712</v>
      </c>
      <c r="AG6" s="416" t="s">
        <v>713</v>
      </c>
      <c r="AH6" s="5" t="s">
        <v>712</v>
      </c>
      <c r="AK6" s="5" t="s">
        <v>712</v>
      </c>
      <c r="AL6" s="4" t="s">
        <v>847</v>
      </c>
      <c r="AN6" s="5" t="s">
        <v>712</v>
      </c>
      <c r="AO6" s="355" t="s">
        <v>1993</v>
      </c>
      <c r="AQ6" s="5" t="s">
        <v>973</v>
      </c>
      <c r="AR6" s="5">
        <v>3</v>
      </c>
      <c r="AS6" s="355" t="s">
        <v>974</v>
      </c>
      <c r="AT6" s="355" t="s">
        <v>762</v>
      </c>
      <c r="AV6" s="355" t="s">
        <v>874</v>
      </c>
      <c r="AW6" s="355" t="s">
        <v>2003</v>
      </c>
      <c r="AY6" s="352" t="s">
        <v>2013</v>
      </c>
      <c r="AZ6" s="352" t="s">
        <v>2014</v>
      </c>
    </row>
    <row r="7" spans="2:52" x14ac:dyDescent="0.2">
      <c r="B7" s="4">
        <v>3</v>
      </c>
      <c r="C7" s="4" t="s">
        <v>158</v>
      </c>
      <c r="D7" s="438">
        <v>3</v>
      </c>
      <c r="F7" s="4">
        <v>4</v>
      </c>
      <c r="G7" s="4" t="s">
        <v>714</v>
      </c>
      <c r="H7" s="355">
        <v>4</v>
      </c>
      <c r="J7" s="4" t="s">
        <v>127</v>
      </c>
      <c r="K7" s="4" t="s">
        <v>715</v>
      </c>
      <c r="L7" s="18" t="s">
        <v>806</v>
      </c>
      <c r="M7" s="4">
        <v>0</v>
      </c>
      <c r="O7" s="6">
        <v>4000</v>
      </c>
      <c r="P7" s="35" t="s">
        <v>716</v>
      </c>
      <c r="R7" s="249">
        <v>1400</v>
      </c>
      <c r="S7" s="248" t="s">
        <v>717</v>
      </c>
      <c r="U7" s="355" t="s">
        <v>1920</v>
      </c>
      <c r="V7" s="355" t="s">
        <v>726</v>
      </c>
      <c r="X7" s="4">
        <v>1222</v>
      </c>
      <c r="Y7" s="4" t="s">
        <v>718</v>
      </c>
      <c r="Z7" s="4">
        <f>SubMaterial[[#This Row],[SubMaterial_ID]]</f>
        <v>1222</v>
      </c>
      <c r="AA7" s="4" t="str">
        <f>IFERROR(INDEX(Class[Class_Name],MATCH(SubMaterial[[#This Row],[Reporting_ID]],Class[Class_ID],0)),SubMaterial[[#This Row],[SubMaterial_Name]])</f>
        <v>Other paper recyclable with newspaper</v>
      </c>
      <c r="AC7" s="355" t="str">
        <f>IFERROR(INDEX(DEQ_WIC_Matl[DEQWICMat_Name],MATCH(SubMaterial[[#This Row],[DEQWICMat_ID]],DEQ_WIC_Matl[DEQWICMat_ID],0)),"TBD")</f>
        <v>TBD</v>
      </c>
      <c r="AD7" s="355" t="s">
        <v>1970</v>
      </c>
      <c r="AF7" s="5" t="s">
        <v>719</v>
      </c>
      <c r="AG7" s="416" t="s">
        <v>720</v>
      </c>
      <c r="AH7" s="5" t="s">
        <v>719</v>
      </c>
      <c r="AK7" s="5" t="s">
        <v>719</v>
      </c>
      <c r="AL7" s="4" t="s">
        <v>1055</v>
      </c>
      <c r="AN7" s="5" t="s">
        <v>719</v>
      </c>
      <c r="AO7" s="355" t="s">
        <v>1994</v>
      </c>
      <c r="AQ7" s="5" t="s">
        <v>975</v>
      </c>
      <c r="AR7" s="5">
        <v>4</v>
      </c>
      <c r="AS7" s="355" t="s">
        <v>976</v>
      </c>
      <c r="AT7" s="355" t="s">
        <v>762</v>
      </c>
      <c r="AV7" s="355" t="s">
        <v>873</v>
      </c>
      <c r="AW7" s="355" t="s">
        <v>2004</v>
      </c>
      <c r="AY7" s="352" t="s">
        <v>2015</v>
      </c>
      <c r="AZ7" s="352" t="s">
        <v>2016</v>
      </c>
    </row>
    <row r="8" spans="2:52" x14ac:dyDescent="0.2">
      <c r="B8" s="4">
        <v>4</v>
      </c>
      <c r="C8" s="4" t="s">
        <v>161</v>
      </c>
      <c r="D8" s="438">
        <v>4</v>
      </c>
      <c r="F8" s="4">
        <v>5</v>
      </c>
      <c r="G8" s="4" t="s">
        <v>721</v>
      </c>
      <c r="H8" s="355">
        <v>5</v>
      </c>
      <c r="J8" s="4" t="s">
        <v>722</v>
      </c>
      <c r="K8" s="4" t="s">
        <v>723</v>
      </c>
      <c r="L8" s="18" t="s">
        <v>806</v>
      </c>
      <c r="M8" s="4">
        <v>0</v>
      </c>
      <c r="O8" s="6">
        <v>5000</v>
      </c>
      <c r="P8" s="35" t="s">
        <v>724</v>
      </c>
      <c r="R8" s="249">
        <v>2100</v>
      </c>
      <c r="S8" s="248" t="s">
        <v>725</v>
      </c>
      <c r="U8" s="355" t="s">
        <v>1921</v>
      </c>
      <c r="V8" s="355" t="s">
        <v>1922</v>
      </c>
      <c r="X8" s="4">
        <v>1231</v>
      </c>
      <c r="Y8" s="4" t="s">
        <v>726</v>
      </c>
      <c r="Z8" s="4">
        <f>SubMaterial[[#This Row],[SubMaterial_ID]]</f>
        <v>1231</v>
      </c>
      <c r="AA8" s="4" t="str">
        <f>IFERROR(INDEX(Class[Class_Name],MATCH(SubMaterial[[#This Row],[Reporting_ID]],Class[Class_ID],0)),SubMaterial[[#This Row],[SubMaterial_Name]])</f>
        <v>Paperboard</v>
      </c>
      <c r="AB8" s="355" t="s">
        <v>1920</v>
      </c>
      <c r="AC8" s="355" t="str">
        <f>IFERROR(INDEX(DEQ_WIC_Matl[DEQWICMat_Name],MATCH(SubMaterial[[#This Row],[DEQWICMat_ID]],DEQ_WIC_Matl[DEQWICMat_ID],0)),"TBD")</f>
        <v>Paperboard</v>
      </c>
      <c r="AD8" s="355" t="s">
        <v>1970</v>
      </c>
      <c r="AF8" s="5" t="s">
        <v>727</v>
      </c>
      <c r="AG8" s="439" t="s">
        <v>728</v>
      </c>
      <c r="AH8" s="5" t="s">
        <v>727</v>
      </c>
      <c r="AK8" s="206" t="s">
        <v>727</v>
      </c>
      <c r="AL8" s="4" t="s">
        <v>965</v>
      </c>
      <c r="AN8" s="5" t="s">
        <v>727</v>
      </c>
      <c r="AO8" s="355" t="s">
        <v>1995</v>
      </c>
      <c r="AQ8" s="5" t="s">
        <v>977</v>
      </c>
      <c r="AR8" s="5">
        <v>5</v>
      </c>
      <c r="AS8" s="355" t="s">
        <v>864</v>
      </c>
      <c r="AT8" s="355" t="s">
        <v>762</v>
      </c>
      <c r="AV8" s="355" t="s">
        <v>870</v>
      </c>
      <c r="AW8" s="355" t="s">
        <v>2005</v>
      </c>
      <c r="AY8" s="352" t="s">
        <v>2017</v>
      </c>
      <c r="AZ8" s="352" t="s">
        <v>2018</v>
      </c>
    </row>
    <row r="9" spans="2:52" x14ac:dyDescent="0.2">
      <c r="B9" s="4">
        <v>5</v>
      </c>
      <c r="C9" s="4" t="s">
        <v>729</v>
      </c>
      <c r="D9" s="438">
        <v>5</v>
      </c>
      <c r="F9" s="4">
        <v>6</v>
      </c>
      <c r="G9" s="4" t="s">
        <v>730</v>
      </c>
      <c r="H9" s="355">
        <v>6</v>
      </c>
      <c r="J9" s="4" t="s">
        <v>65</v>
      </c>
      <c r="K9" s="4" t="s">
        <v>731</v>
      </c>
      <c r="L9" s="18" t="s">
        <v>806</v>
      </c>
      <c r="M9" s="4">
        <v>26</v>
      </c>
      <c r="O9" s="243">
        <v>6000</v>
      </c>
      <c r="P9" s="244" t="s">
        <v>871</v>
      </c>
      <c r="R9" s="249">
        <v>2200</v>
      </c>
      <c r="S9" s="248" t="s">
        <v>732</v>
      </c>
      <c r="U9" s="355" t="s">
        <v>1923</v>
      </c>
      <c r="V9" s="355" t="s">
        <v>1924</v>
      </c>
      <c r="X9" s="4">
        <v>1232</v>
      </c>
      <c r="Y9" s="4" t="s">
        <v>734</v>
      </c>
      <c r="Z9" s="4">
        <f>SubMaterial[[#This Row],[SubMaterial_ID]]</f>
        <v>1232</v>
      </c>
      <c r="AA9" s="4" t="str">
        <f>IFERROR(INDEX(Class[Class_Name],MATCH(SubMaterial[[#This Row],[Reporting_ID]],Class[Class_ID],0)),SubMaterial[[#This Row],[SubMaterial_Name]])</f>
        <v>Other paper not recyclable with newspaper</v>
      </c>
      <c r="AC9" s="355" t="str">
        <f>IFERROR(INDEX(DEQ_WIC_Matl[DEQWICMat_Name],MATCH(SubMaterial[[#This Row],[DEQWICMat_ID]],DEQ_WIC_Matl[DEQWICMat_ID],0)),"TBD")</f>
        <v>TBD</v>
      </c>
      <c r="AD9" s="355" t="s">
        <v>1970</v>
      </c>
      <c r="AF9" s="5" t="s">
        <v>735</v>
      </c>
      <c r="AG9" s="439" t="s">
        <v>736</v>
      </c>
      <c r="AH9" s="5" t="s">
        <v>735</v>
      </c>
      <c r="AK9" s="206" t="s">
        <v>735</v>
      </c>
      <c r="AL9" s="4" t="s">
        <v>966</v>
      </c>
      <c r="AN9" s="5" t="s">
        <v>735</v>
      </c>
      <c r="AO9" s="355" t="s">
        <v>1996</v>
      </c>
      <c r="AQ9" s="5" t="s">
        <v>978</v>
      </c>
      <c r="AR9" s="5">
        <v>6</v>
      </c>
      <c r="AS9" s="355" t="s">
        <v>1892</v>
      </c>
      <c r="AT9" s="355" t="s">
        <v>762</v>
      </c>
      <c r="AY9" s="352" t="s">
        <v>2019</v>
      </c>
      <c r="AZ9" s="352" t="s">
        <v>2020</v>
      </c>
    </row>
    <row r="10" spans="2:52" x14ac:dyDescent="0.2">
      <c r="B10" s="4" t="s">
        <v>24</v>
      </c>
      <c r="C10" s="4" t="s">
        <v>696</v>
      </c>
      <c r="D10" s="438" t="s">
        <v>24</v>
      </c>
      <c r="J10" s="4" t="s">
        <v>91</v>
      </c>
      <c r="K10" s="4" t="s">
        <v>737</v>
      </c>
      <c r="L10" s="18" t="s">
        <v>806</v>
      </c>
      <c r="M10" s="4">
        <v>52</v>
      </c>
      <c r="O10" s="243">
        <v>7000</v>
      </c>
      <c r="P10" s="436" t="s">
        <v>1891</v>
      </c>
      <c r="R10" s="249">
        <v>2300</v>
      </c>
      <c r="S10" s="248" t="s">
        <v>738</v>
      </c>
      <c r="U10" s="355" t="s">
        <v>1925</v>
      </c>
      <c r="V10" s="355" t="s">
        <v>1926</v>
      </c>
      <c r="X10" s="4">
        <v>1241</v>
      </c>
      <c r="Y10" s="4" t="s">
        <v>1872</v>
      </c>
      <c r="Z10" s="4">
        <f>SubMaterial[[#This Row],[SubMaterial_ID]]</f>
        <v>1241</v>
      </c>
      <c r="AA10" s="4" t="str">
        <f>IFERROR(INDEX(Class[Class_Name],MATCH(SubMaterial[[#This Row],[Reporting_ID]],Class[Class_ID],0)),SubMaterial[[#This Row],[SubMaterial_Name]])</f>
        <v>Gable tops &amp; aseptics</v>
      </c>
      <c r="AC10" s="355" t="str">
        <f>IFERROR(INDEX(DEQ_WIC_Matl[DEQWICMat_Name],MATCH(SubMaterial[[#This Row],[DEQWICMat_ID]],DEQ_WIC_Matl[DEQWICMat_ID],0)),"TBD")</f>
        <v>TBD</v>
      </c>
      <c r="AD10" s="355" t="s">
        <v>1902</v>
      </c>
      <c r="AF10" s="5" t="s">
        <v>739</v>
      </c>
      <c r="AG10" s="439" t="s">
        <v>740</v>
      </c>
      <c r="AH10" s="5" t="s">
        <v>739</v>
      </c>
      <c r="AK10" s="5" t="s">
        <v>739</v>
      </c>
      <c r="AL10" s="4" t="s">
        <v>1057</v>
      </c>
      <c r="AN10" s="5" t="s">
        <v>739</v>
      </c>
      <c r="AO10" s="355" t="s">
        <v>1997</v>
      </c>
      <c r="AQ10" s="5" t="s">
        <v>979</v>
      </c>
      <c r="AR10" s="5">
        <v>7</v>
      </c>
      <c r="AS10" s="355" t="s">
        <v>980</v>
      </c>
      <c r="AT10" s="355" t="s">
        <v>1902</v>
      </c>
      <c r="AY10" s="352" t="s">
        <v>2021</v>
      </c>
      <c r="AZ10" s="352" t="s">
        <v>2022</v>
      </c>
    </row>
    <row r="11" spans="2:52" x14ac:dyDescent="0.2">
      <c r="B11" s="4">
        <v>9</v>
      </c>
      <c r="C11" s="4" t="s">
        <v>741</v>
      </c>
      <c r="D11" s="438">
        <v>9</v>
      </c>
      <c r="J11" s="4" t="s">
        <v>64</v>
      </c>
      <c r="K11" s="4" t="s">
        <v>115</v>
      </c>
      <c r="L11" s="18" t="s">
        <v>806</v>
      </c>
      <c r="M11" s="4">
        <v>52</v>
      </c>
      <c r="O11" s="243">
        <v>8000</v>
      </c>
      <c r="P11" s="353" t="s">
        <v>760</v>
      </c>
      <c r="R11" s="249">
        <v>3100</v>
      </c>
      <c r="S11" s="248" t="s">
        <v>742</v>
      </c>
      <c r="U11" s="355" t="s">
        <v>1927</v>
      </c>
      <c r="V11" s="355" t="s">
        <v>1928</v>
      </c>
      <c r="X11" s="4">
        <v>1251</v>
      </c>
      <c r="Y11" s="4" t="s">
        <v>733</v>
      </c>
      <c r="Z11" s="4">
        <f>SubMaterial[[#This Row],[SubMaterial_ID]]</f>
        <v>1251</v>
      </c>
      <c r="AA11" s="4" t="str">
        <f>IFERROR(INDEX(Class[Class_Name],MATCH(SubMaterial[[#This Row],[Reporting_ID]],Class[Class_ID],0)),SubMaterial[[#This Row],[SubMaterial_Name]])</f>
        <v>Polycoated containers &amp; cups</v>
      </c>
      <c r="AC11" s="355" t="str">
        <f>IFERROR(INDEX(DEQ_WIC_Matl[DEQWICMat_Name],MATCH(SubMaterial[[#This Row],[DEQWICMat_ID]],DEQ_WIC_Matl[DEQWICMat_ID],0)),"TBD")</f>
        <v>TBD</v>
      </c>
      <c r="AD11" s="355" t="s">
        <v>1971</v>
      </c>
      <c r="AF11" s="5" t="s">
        <v>744</v>
      </c>
      <c r="AG11" s="439" t="s">
        <v>962</v>
      </c>
      <c r="AH11" s="5" t="s">
        <v>744</v>
      </c>
      <c r="AK11" s="5" t="s">
        <v>744</v>
      </c>
      <c r="AL11" s="4" t="s">
        <v>967</v>
      </c>
      <c r="AN11" s="5" t="s">
        <v>744</v>
      </c>
      <c r="AO11" s="355" t="s">
        <v>1998</v>
      </c>
      <c r="AQ11" s="5" t="s">
        <v>981</v>
      </c>
      <c r="AR11" s="5">
        <v>8</v>
      </c>
      <c r="AS11" s="355" t="s">
        <v>3674</v>
      </c>
      <c r="AT11" s="355" t="s">
        <v>1902</v>
      </c>
      <c r="AY11" s="352" t="s">
        <v>2023</v>
      </c>
      <c r="AZ11" s="352" t="s">
        <v>2024</v>
      </c>
    </row>
    <row r="12" spans="2:52" x14ac:dyDescent="0.2">
      <c r="J12" s="4" t="s">
        <v>66</v>
      </c>
      <c r="K12" s="4" t="s">
        <v>850</v>
      </c>
      <c r="L12" s="18" t="s">
        <v>808</v>
      </c>
      <c r="M12" s="4">
        <v>52</v>
      </c>
      <c r="O12" s="34"/>
      <c r="P12" s="34"/>
      <c r="R12" s="249">
        <v>3200</v>
      </c>
      <c r="S12" s="248" t="s">
        <v>745</v>
      </c>
      <c r="U12" s="355" t="s">
        <v>1929</v>
      </c>
      <c r="V12" s="355" t="s">
        <v>1930</v>
      </c>
      <c r="X12" s="4">
        <v>1311</v>
      </c>
      <c r="Y12" s="4" t="s">
        <v>710</v>
      </c>
      <c r="Z12" s="245">
        <v>6000</v>
      </c>
      <c r="AA12" s="4" t="str">
        <f>IFERROR(INDEX(Class[Class_Name],MATCH(SubMaterial[[#This Row],[Reporting_ID]],Class[Class_ID],0)),SubMaterial[[#This Row],[SubMaterial_Name]])</f>
        <v>Compostables</v>
      </c>
      <c r="AC12" s="355" t="str">
        <f>IFERROR(INDEX(DEQ_WIC_Matl[DEQWICMat_Name],MATCH(SubMaterial[[#This Row],[DEQWICMat_ID]],DEQ_WIC_Matl[DEQWICMat_ID],0)),"TBD")</f>
        <v>TBD</v>
      </c>
      <c r="AD12" s="355" t="s">
        <v>1972</v>
      </c>
      <c r="AF12" s="5" t="s">
        <v>746</v>
      </c>
      <c r="AG12" s="331" t="s">
        <v>762</v>
      </c>
      <c r="AH12" s="5" t="s">
        <v>700</v>
      </c>
      <c r="AK12" s="5" t="s">
        <v>746</v>
      </c>
      <c r="AL12" s="4" t="s">
        <v>848</v>
      </c>
      <c r="AN12" s="5" t="s">
        <v>746</v>
      </c>
      <c r="AO12" s="355"/>
      <c r="AQ12" s="5" t="s">
        <v>982</v>
      </c>
      <c r="AR12" s="5">
        <v>9</v>
      </c>
      <c r="AS12" s="355" t="s">
        <v>983</v>
      </c>
      <c r="AT12" s="355" t="s">
        <v>1903</v>
      </c>
      <c r="AY12" s="352" t="s">
        <v>2025</v>
      </c>
      <c r="AZ12" s="352" t="s">
        <v>2026</v>
      </c>
    </row>
    <row r="13" spans="2:52" x14ac:dyDescent="0.2">
      <c r="J13" s="4" t="s">
        <v>53</v>
      </c>
      <c r="K13" s="4" t="s">
        <v>851</v>
      </c>
      <c r="L13" s="18" t="s">
        <v>808</v>
      </c>
      <c r="M13" s="4">
        <v>52</v>
      </c>
      <c r="O13" s="34"/>
      <c r="P13" s="34"/>
      <c r="R13" s="249">
        <v>4100</v>
      </c>
      <c r="S13" s="248" t="s">
        <v>747</v>
      </c>
      <c r="U13" s="355" t="s">
        <v>1931</v>
      </c>
      <c r="V13" s="355" t="s">
        <v>1932</v>
      </c>
      <c r="X13" s="4">
        <v>1411</v>
      </c>
      <c r="Y13" s="4" t="s">
        <v>743</v>
      </c>
      <c r="Z13" s="245">
        <v>8000</v>
      </c>
      <c r="AA13" s="4" t="str">
        <f>IFERROR(INDEX(Class[Class_Name],MATCH(SubMaterial[[#This Row],[Reporting_ID]],Class[Class_ID],0)),SubMaterial[[#This Row],[SubMaterial_Name]])</f>
        <v>Other materials</v>
      </c>
      <c r="AC13" s="355" t="str">
        <f>IFERROR(INDEX(DEQ_WIC_Matl[DEQWICMat_Name],MATCH(SubMaterial[[#This Row],[DEQWICMat_ID]],DEQ_WIC_Matl[DEQWICMat_ID],0)),"TBD")</f>
        <v>TBD</v>
      </c>
      <c r="AD13" s="355" t="s">
        <v>1972</v>
      </c>
      <c r="AF13" s="5" t="s">
        <v>748</v>
      </c>
      <c r="AG13" s="331" t="s">
        <v>765</v>
      </c>
      <c r="AH13" s="5" t="s">
        <v>700</v>
      </c>
      <c r="AK13" s="5" t="s">
        <v>748</v>
      </c>
      <c r="AL13" s="4" t="s">
        <v>849</v>
      </c>
      <c r="AN13" s="5" t="s">
        <v>748</v>
      </c>
      <c r="AO13" s="355"/>
      <c r="AQ13" s="5" t="s">
        <v>984</v>
      </c>
      <c r="AR13" s="5">
        <v>10</v>
      </c>
      <c r="AS13" s="355" t="s">
        <v>985</v>
      </c>
      <c r="AT13" s="355" t="s">
        <v>1903</v>
      </c>
    </row>
    <row r="14" spans="2:52" x14ac:dyDescent="0.2">
      <c r="J14" s="4" t="s">
        <v>67</v>
      </c>
      <c r="K14" s="4" t="s">
        <v>852</v>
      </c>
      <c r="L14" s="18" t="s">
        <v>808</v>
      </c>
      <c r="M14" s="4">
        <v>52</v>
      </c>
      <c r="O14" s="34"/>
      <c r="P14" s="34"/>
      <c r="R14" s="249">
        <v>4200</v>
      </c>
      <c r="S14" s="248" t="s">
        <v>749</v>
      </c>
      <c r="U14" s="355" t="s">
        <v>1933</v>
      </c>
      <c r="V14" s="355" t="s">
        <v>1934</v>
      </c>
      <c r="X14" s="4">
        <v>2111</v>
      </c>
      <c r="Y14" s="4" t="s">
        <v>1873</v>
      </c>
      <c r="Z14" s="4">
        <f>SubMaterial[[#This Row],[SubMaterial_ID]]</f>
        <v>2111</v>
      </c>
      <c r="AA14" s="4" t="str">
        <f>IFERROR(INDEX(Class[Class_Name],MATCH(SubMaterial[[#This Row],[Reporting_ID]],Class[Class_ID],0)),SubMaterial[[#This Row],[SubMaterial_Name]])</f>
        <v>PET bottles (BB)</v>
      </c>
      <c r="AB14" s="355" t="s">
        <v>1929</v>
      </c>
      <c r="AC14" s="355" t="str">
        <f>IFERROR(INDEX(DEQ_WIC_Matl[DEQWICMat_Name],MATCH(SubMaterial[[#This Row],[DEQWICMat_ID]],DEQ_WIC_Matl[DEQWICMat_ID],0)),"TBD")</f>
        <v>PET</v>
      </c>
      <c r="AD14" s="355" t="s">
        <v>1973</v>
      </c>
      <c r="AF14" s="5" t="s">
        <v>750</v>
      </c>
      <c r="AG14" s="331" t="s">
        <v>963</v>
      </c>
      <c r="AH14" s="5" t="s">
        <v>750</v>
      </c>
      <c r="AK14" s="206" t="s">
        <v>750</v>
      </c>
      <c r="AL14" s="4" t="s">
        <v>1026</v>
      </c>
      <c r="AN14" s="5" t="s">
        <v>750</v>
      </c>
      <c r="AO14" s="355"/>
      <c r="AQ14" s="5" t="s">
        <v>986</v>
      </c>
      <c r="AR14" s="5">
        <v>11</v>
      </c>
      <c r="AS14" s="355" t="s">
        <v>987</v>
      </c>
      <c r="AT14" s="355" t="s">
        <v>1903</v>
      </c>
    </row>
    <row r="15" spans="2:52" x14ac:dyDescent="0.2">
      <c r="J15" s="4" t="s">
        <v>127</v>
      </c>
      <c r="K15" s="4" t="s">
        <v>715</v>
      </c>
      <c r="L15" s="18" t="s">
        <v>808</v>
      </c>
      <c r="M15" s="4">
        <v>0</v>
      </c>
      <c r="O15" s="34"/>
      <c r="P15" s="34"/>
      <c r="R15" s="249">
        <v>4300</v>
      </c>
      <c r="S15" s="248" t="s">
        <v>751</v>
      </c>
      <c r="U15" s="355" t="s">
        <v>1935</v>
      </c>
      <c r="V15" s="355" t="s">
        <v>1936</v>
      </c>
      <c r="X15" s="4">
        <v>2112</v>
      </c>
      <c r="Y15" s="4" t="s">
        <v>1874</v>
      </c>
      <c r="Z15" s="4">
        <f>SubMaterial[[#This Row],[SubMaterial_ID]]</f>
        <v>2112</v>
      </c>
      <c r="AA15" s="4" t="str">
        <f>IFERROR(INDEX(Class[Class_Name],MATCH(SubMaterial[[#This Row],[Reporting_ID]],Class[Class_ID],0)),SubMaterial[[#This Row],[SubMaterial_Name]])</f>
        <v>HDPE bottles (BB)</v>
      </c>
      <c r="AB15" s="355" t="s">
        <v>1931</v>
      </c>
      <c r="AC15" s="355" t="str">
        <f>IFERROR(INDEX(DEQ_WIC_Matl[DEQWICMat_Name],MATCH(SubMaterial[[#This Row],[DEQWICMat_ID]],DEQ_WIC_Matl[DEQWICMat_ID],0)),"TBD")</f>
        <v>HDPE</v>
      </c>
      <c r="AD15" s="355" t="s">
        <v>1974</v>
      </c>
      <c r="AF15" s="5" t="s">
        <v>752</v>
      </c>
      <c r="AG15" s="331" t="s">
        <v>964</v>
      </c>
      <c r="AH15" s="5" t="s">
        <v>752</v>
      </c>
      <c r="AK15" s="206" t="s">
        <v>752</v>
      </c>
      <c r="AL15" s="4" t="s">
        <v>1026</v>
      </c>
      <c r="AN15" s="5" t="s">
        <v>752</v>
      </c>
      <c r="AO15" s="355" t="s">
        <v>866</v>
      </c>
      <c r="AQ15" s="5" t="s">
        <v>988</v>
      </c>
      <c r="AR15" s="5">
        <v>12</v>
      </c>
      <c r="AS15" s="355" t="s">
        <v>989</v>
      </c>
      <c r="AT15" s="355" t="s">
        <v>1903</v>
      </c>
    </row>
    <row r="16" spans="2:52" x14ac:dyDescent="0.2">
      <c r="J16" s="4" t="s">
        <v>722</v>
      </c>
      <c r="K16" s="4" t="s">
        <v>723</v>
      </c>
      <c r="L16" s="18" t="s">
        <v>808</v>
      </c>
      <c r="M16" s="4">
        <v>0</v>
      </c>
      <c r="O16" s="34"/>
      <c r="P16" s="34"/>
      <c r="R16" s="249">
        <v>4400</v>
      </c>
      <c r="S16" s="248" t="s">
        <v>753</v>
      </c>
      <c r="U16" s="355" t="s">
        <v>1937</v>
      </c>
      <c r="V16" s="355" t="s">
        <v>1938</v>
      </c>
      <c r="X16" s="4">
        <v>2113</v>
      </c>
      <c r="Y16" s="4" t="s">
        <v>1875</v>
      </c>
      <c r="Z16" s="4">
        <f>SubMaterial[[#This Row],[SubMaterial_ID]]</f>
        <v>2113</v>
      </c>
      <c r="AA16" s="4" t="str">
        <f>IFERROR(INDEX(Class[Class_Name],MATCH(SubMaterial[[#This Row],[Reporting_ID]],Class[Class_ID],0)),SubMaterial[[#This Row],[SubMaterial_Name]])</f>
        <v>PP bottles (BB)</v>
      </c>
      <c r="AB16" s="355" t="s">
        <v>1935</v>
      </c>
      <c r="AC16" s="355" t="str">
        <f>IFERROR(INDEX(DEQ_WIC_Matl[DEQWICMat_Name],MATCH(SubMaterial[[#This Row],[DEQWICMat_ID]],DEQ_WIC_Matl[DEQWICMat_ID],0)),"TBD")</f>
        <v>PP</v>
      </c>
      <c r="AD16" s="355" t="s">
        <v>1975</v>
      </c>
      <c r="AF16" s="5" t="s">
        <v>754</v>
      </c>
      <c r="AG16" s="331" t="s">
        <v>1991</v>
      </c>
      <c r="AH16" s="5" t="s">
        <v>754</v>
      </c>
      <c r="AK16" s="5" t="s">
        <v>754</v>
      </c>
      <c r="AL16" s="7"/>
      <c r="AN16" s="5" t="s">
        <v>754</v>
      </c>
      <c r="AO16" s="63" t="s">
        <v>1999</v>
      </c>
      <c r="AQ16" s="5" t="s">
        <v>990</v>
      </c>
      <c r="AR16" s="5">
        <v>13</v>
      </c>
      <c r="AS16" s="355" t="s">
        <v>991</v>
      </c>
      <c r="AT16" s="355" t="s">
        <v>1903</v>
      </c>
    </row>
    <row r="17" spans="10:46" x14ac:dyDescent="0.2">
      <c r="J17" s="4" t="s">
        <v>65</v>
      </c>
      <c r="K17" s="4" t="s">
        <v>731</v>
      </c>
      <c r="L17" s="18" t="s">
        <v>808</v>
      </c>
      <c r="M17" s="4">
        <v>52</v>
      </c>
      <c r="O17" s="34"/>
      <c r="P17" s="34"/>
      <c r="R17" s="249">
        <v>5100</v>
      </c>
      <c r="S17" s="248" t="s">
        <v>755</v>
      </c>
      <c r="U17" s="355" t="s">
        <v>1939</v>
      </c>
      <c r="V17" s="355" t="s">
        <v>1940</v>
      </c>
      <c r="X17" s="4">
        <v>2114</v>
      </c>
      <c r="Y17" s="4" t="s">
        <v>756</v>
      </c>
      <c r="Z17" s="4">
        <f>SubMaterial[[#This Row],[SubMaterial_ID]]</f>
        <v>2114</v>
      </c>
      <c r="AA17" s="4" t="str">
        <f>IFERROR(INDEX(Class[Class_Name],MATCH(SubMaterial[[#This Row],[Reporting_ID]],Class[Class_ID],0)),SubMaterial[[#This Row],[SubMaterial_Name]])</f>
        <v>Other deposit plastic bottles</v>
      </c>
      <c r="AC17" s="355" t="str">
        <f>IFERROR(INDEX(DEQ_WIC_Matl[DEQWICMat_Name],MATCH(SubMaterial[[#This Row],[DEQWICMat_ID]],DEQ_WIC_Matl[DEQWICMat_ID],0)),"TBD")</f>
        <v>TBD</v>
      </c>
      <c r="AD17" s="355" t="s">
        <v>1976</v>
      </c>
      <c r="AF17" s="5" t="s">
        <v>757</v>
      </c>
      <c r="AG17" s="63" t="s">
        <v>1158</v>
      </c>
      <c r="AH17" s="5" t="s">
        <v>757</v>
      </c>
      <c r="AK17" s="5" t="s">
        <v>757</v>
      </c>
      <c r="AL17" s="7"/>
      <c r="AN17" s="5" t="s">
        <v>757</v>
      </c>
      <c r="AO17" s="63" t="s">
        <v>2000</v>
      </c>
      <c r="AQ17" s="5" t="s">
        <v>992</v>
      </c>
      <c r="AR17" s="5">
        <v>14</v>
      </c>
      <c r="AS17" s="355" t="s">
        <v>993</v>
      </c>
      <c r="AT17" s="355" t="s">
        <v>1903</v>
      </c>
    </row>
    <row r="18" spans="10:46" x14ac:dyDescent="0.2">
      <c r="J18" s="4" t="s">
        <v>91</v>
      </c>
      <c r="K18" s="4" t="s">
        <v>737</v>
      </c>
      <c r="L18" s="18" t="s">
        <v>808</v>
      </c>
      <c r="M18" s="4">
        <v>52</v>
      </c>
      <c r="O18" s="34"/>
      <c r="P18" s="34"/>
      <c r="R18" s="249">
        <v>5200</v>
      </c>
      <c r="S18" s="248" t="s">
        <v>758</v>
      </c>
      <c r="U18" s="355" t="s">
        <v>1941</v>
      </c>
      <c r="V18" s="355" t="s">
        <v>1942</v>
      </c>
      <c r="X18" s="4">
        <v>2121</v>
      </c>
      <c r="Y18" s="4" t="s">
        <v>1876</v>
      </c>
      <c r="Z18" s="4">
        <f>SubMaterial[[#This Row],[SubMaterial_ID]]</f>
        <v>2121</v>
      </c>
      <c r="AA18" s="4" t="str">
        <f>IFERROR(INDEX(Class[Class_Name],MATCH(SubMaterial[[#This Row],[Reporting_ID]],Class[Class_ID],0)),SubMaterial[[#This Row],[SubMaterial_Name]])</f>
        <v>Other PET bottles &amp; jars</v>
      </c>
      <c r="AB18" s="355" t="s">
        <v>1929</v>
      </c>
      <c r="AC18" s="355" t="str">
        <f>IFERROR(INDEX(DEQ_WIC_Matl[DEQWICMat_Name],MATCH(SubMaterial[[#This Row],[DEQWICMat_ID]],DEQ_WIC_Matl[DEQWICMat_ID],0)),"TBD")</f>
        <v>PET</v>
      </c>
      <c r="AD18" s="355" t="s">
        <v>1973</v>
      </c>
      <c r="AF18" s="5" t="s">
        <v>759</v>
      </c>
      <c r="AG18" s="63" t="s">
        <v>1157</v>
      </c>
      <c r="AH18" s="5" t="s">
        <v>759</v>
      </c>
      <c r="AK18" s="5" t="s">
        <v>759</v>
      </c>
      <c r="AL18" s="7"/>
      <c r="AN18" s="5" t="s">
        <v>759</v>
      </c>
      <c r="AO18" s="63" t="s">
        <v>1896</v>
      </c>
      <c r="AQ18" s="5" t="s">
        <v>994</v>
      </c>
      <c r="AR18" s="5">
        <v>15</v>
      </c>
      <c r="AS18" s="355" t="s">
        <v>995</v>
      </c>
      <c r="AT18" s="355" t="s">
        <v>1904</v>
      </c>
    </row>
    <row r="19" spans="10:46" x14ac:dyDescent="0.2">
      <c r="J19" s="4" t="s">
        <v>64</v>
      </c>
      <c r="K19" s="4" t="s">
        <v>115</v>
      </c>
      <c r="L19" s="18" t="s">
        <v>808</v>
      </c>
      <c r="M19" s="4">
        <v>52</v>
      </c>
      <c r="O19" s="34"/>
      <c r="P19" s="34"/>
      <c r="R19" s="249">
        <v>5300</v>
      </c>
      <c r="S19" s="248" t="s">
        <v>760</v>
      </c>
      <c r="U19" s="355" t="s">
        <v>1943</v>
      </c>
      <c r="V19" s="355" t="s">
        <v>1944</v>
      </c>
      <c r="X19" s="4">
        <v>2122</v>
      </c>
      <c r="Y19" s="4" t="s">
        <v>1877</v>
      </c>
      <c r="Z19" s="4">
        <f>SubMaterial[[#This Row],[SubMaterial_ID]]</f>
        <v>2122</v>
      </c>
      <c r="AA19" s="4" t="str">
        <f>IFERROR(INDEX(Class[Class_Name],MATCH(SubMaterial[[#This Row],[Reporting_ID]],Class[Class_ID],0)),SubMaterial[[#This Row],[SubMaterial_Name]])</f>
        <v>HDPE bottles &amp; jars</v>
      </c>
      <c r="AB19" s="355" t="s">
        <v>1931</v>
      </c>
      <c r="AC19" s="355" t="str">
        <f>IFERROR(INDEX(DEQ_WIC_Matl[DEQWICMat_Name],MATCH(SubMaterial[[#This Row],[DEQWICMat_ID]],DEQ_WIC_Matl[DEQWICMat_ID],0)),"TBD")</f>
        <v>HDPE</v>
      </c>
      <c r="AD19" s="355" t="s">
        <v>1974</v>
      </c>
      <c r="AF19" s="5" t="s">
        <v>761</v>
      </c>
      <c r="AG19" s="250"/>
      <c r="AH19" s="5" t="s">
        <v>761</v>
      </c>
      <c r="AK19" s="5" t="s">
        <v>761</v>
      </c>
      <c r="AL19" s="7"/>
      <c r="AN19" s="5" t="s">
        <v>761</v>
      </c>
      <c r="AO19" s="63" t="s">
        <v>1897</v>
      </c>
      <c r="AQ19" s="5" t="s">
        <v>996</v>
      </c>
      <c r="AR19" s="5">
        <v>16</v>
      </c>
      <c r="AS19" s="355" t="s">
        <v>997</v>
      </c>
      <c r="AT19" s="355" t="s">
        <v>1904</v>
      </c>
    </row>
    <row r="20" spans="10:46" x14ac:dyDescent="0.2">
      <c r="O20" s="34"/>
      <c r="P20" s="34"/>
      <c r="R20" s="212"/>
      <c r="S20" s="212"/>
      <c r="U20" s="355" t="s">
        <v>1945</v>
      </c>
      <c r="V20" s="355" t="s">
        <v>709</v>
      </c>
      <c r="X20" s="4">
        <v>2123</v>
      </c>
      <c r="Y20" s="4" t="s">
        <v>1878</v>
      </c>
      <c r="Z20" s="4">
        <f>SubMaterial[[#This Row],[SubMaterial_ID]]</f>
        <v>2123</v>
      </c>
      <c r="AA20" s="4" t="str">
        <f>IFERROR(INDEX(Class[Class_Name],MATCH(SubMaterial[[#This Row],[Reporting_ID]],Class[Class_ID],0)),SubMaterial[[#This Row],[SubMaterial_Name]])</f>
        <v>PP bottles &amp; jars</v>
      </c>
      <c r="AB20" s="355" t="s">
        <v>1935</v>
      </c>
      <c r="AC20" s="355" t="str">
        <f>IFERROR(INDEX(DEQ_WIC_Matl[DEQWICMat_Name],MATCH(SubMaterial[[#This Row],[DEQWICMat_ID]],DEQ_WIC_Matl[DEQWICMat_ID],0)),"TBD")</f>
        <v>PP</v>
      </c>
      <c r="AD20" s="355" t="s">
        <v>1975</v>
      </c>
      <c r="AF20" s="5" t="s">
        <v>764</v>
      </c>
      <c r="AG20" s="250"/>
      <c r="AH20" s="5" t="s">
        <v>764</v>
      </c>
      <c r="AK20" s="5" t="s">
        <v>764</v>
      </c>
      <c r="AL20" s="7"/>
      <c r="AN20" s="5" t="s">
        <v>764</v>
      </c>
      <c r="AO20" s="63" t="s">
        <v>1898</v>
      </c>
      <c r="AQ20" s="5" t="s">
        <v>998</v>
      </c>
      <c r="AR20" s="5">
        <v>17</v>
      </c>
      <c r="AS20" s="355" t="s">
        <v>999</v>
      </c>
      <c r="AT20" s="355" t="s">
        <v>1904</v>
      </c>
    </row>
    <row r="21" spans="10:46" x14ac:dyDescent="0.2">
      <c r="O21" s="34"/>
      <c r="P21" s="34"/>
      <c r="R21" s="212"/>
      <c r="S21" s="212"/>
      <c r="U21" s="355" t="s">
        <v>1946</v>
      </c>
      <c r="V21" s="355" t="s">
        <v>1947</v>
      </c>
      <c r="X21" s="4">
        <v>2124</v>
      </c>
      <c r="Y21" s="4" t="s">
        <v>767</v>
      </c>
      <c r="Z21" s="4">
        <f>SubMaterial[[#This Row],[SubMaterial_ID]]</f>
        <v>2124</v>
      </c>
      <c r="AA21" s="4" t="str">
        <f>IFERROR(INDEX(Class[Class_Name],MATCH(SubMaterial[[#This Row],[Reporting_ID]],Class[Class_ID],0)),SubMaterial[[#This Row],[SubMaterial_Name]])</f>
        <v>Other other bottles</v>
      </c>
      <c r="AC21" s="355" t="str">
        <f>IFERROR(INDEX(DEQ_WIC_Matl[DEQWICMat_Name],MATCH(SubMaterial[[#This Row],[DEQWICMat_ID]],DEQ_WIC_Matl[DEQWICMat_ID],0)),"TBD")</f>
        <v>TBD</v>
      </c>
      <c r="AD21" s="355" t="s">
        <v>1976</v>
      </c>
      <c r="AF21" s="5" t="s">
        <v>768</v>
      </c>
      <c r="AG21" s="7"/>
      <c r="AH21" s="5" t="s">
        <v>768</v>
      </c>
      <c r="AK21" s="5" t="s">
        <v>768</v>
      </c>
      <c r="AL21" s="7"/>
      <c r="AN21" s="5" t="s">
        <v>768</v>
      </c>
      <c r="AO21" s="63" t="s">
        <v>1899</v>
      </c>
      <c r="AQ21" s="5" t="s">
        <v>1000</v>
      </c>
      <c r="AR21" s="5">
        <v>18</v>
      </c>
      <c r="AS21" s="355" t="s">
        <v>1001</v>
      </c>
      <c r="AT21" s="355" t="s">
        <v>1903</v>
      </c>
    </row>
    <row r="22" spans="10:46" x14ac:dyDescent="0.2">
      <c r="O22" s="34"/>
      <c r="P22" s="34"/>
      <c r="R22" s="212"/>
      <c r="S22" s="212"/>
      <c r="U22" s="355" t="s">
        <v>1948</v>
      </c>
      <c r="V22" s="355" t="s">
        <v>1949</v>
      </c>
      <c r="X22" s="4">
        <v>2131</v>
      </c>
      <c r="Y22" s="4" t="s">
        <v>1879</v>
      </c>
      <c r="Z22" s="4">
        <f>SubMaterial[[#This Row],[SubMaterial_ID]]</f>
        <v>2131</v>
      </c>
      <c r="AA22" s="4" t="str">
        <f>IFERROR(INDEX(Class[Class_Name],MATCH(SubMaterial[[#This Row],[Reporting_ID]],Class[Class_ID],0)),SubMaterial[[#This Row],[SubMaterial_Name]])</f>
        <v>PET tubs</v>
      </c>
      <c r="AB22" s="355" t="s">
        <v>1929</v>
      </c>
      <c r="AC22" s="355" t="str">
        <f>IFERROR(INDEX(DEQ_WIC_Matl[DEQWICMat_Name],MATCH(SubMaterial[[#This Row],[DEQWICMat_ID]],DEQ_WIC_Matl[DEQWICMat_ID],0)),"TBD")</f>
        <v>PET</v>
      </c>
      <c r="AD22" s="355" t="s">
        <v>1977</v>
      </c>
      <c r="AF22" s="5" t="s">
        <v>769</v>
      </c>
      <c r="AG22" s="7"/>
      <c r="AH22" s="5" t="s">
        <v>769</v>
      </c>
      <c r="AK22" s="5" t="s">
        <v>769</v>
      </c>
      <c r="AL22" s="7"/>
      <c r="AN22" s="5" t="s">
        <v>769</v>
      </c>
      <c r="AO22" s="63"/>
      <c r="AQ22" s="590" t="s">
        <v>1002</v>
      </c>
      <c r="AR22" s="590">
        <v>19</v>
      </c>
      <c r="AS22" s="18" t="s">
        <v>1003</v>
      </c>
      <c r="AT22" s="18" t="s">
        <v>1903</v>
      </c>
    </row>
    <row r="23" spans="10:46" x14ac:dyDescent="0.2">
      <c r="O23" s="34"/>
      <c r="P23" s="34"/>
      <c r="R23" s="212"/>
      <c r="S23" s="212"/>
      <c r="U23" s="355" t="s">
        <v>1950</v>
      </c>
      <c r="V23" s="355" t="s">
        <v>1951</v>
      </c>
      <c r="X23" s="4">
        <v>2132</v>
      </c>
      <c r="Y23" s="4" t="s">
        <v>1880</v>
      </c>
      <c r="Z23" s="4">
        <f>SubMaterial[[#This Row],[SubMaterial_ID]]</f>
        <v>2132</v>
      </c>
      <c r="AA23" s="4" t="str">
        <f>IFERROR(INDEX(Class[Class_Name],MATCH(SubMaterial[[#This Row],[Reporting_ID]],Class[Class_ID],0)),SubMaterial[[#This Row],[SubMaterial_Name]])</f>
        <v>HDPE tubs</v>
      </c>
      <c r="AB23" s="355" t="s">
        <v>1931</v>
      </c>
      <c r="AC23" s="355" t="str">
        <f>IFERROR(INDEX(DEQ_WIC_Matl[DEQWICMat_Name],MATCH(SubMaterial[[#This Row],[DEQWICMat_ID]],DEQ_WIC_Matl[DEQWICMat_ID],0)),"TBD")</f>
        <v>HDPE</v>
      </c>
      <c r="AD23" s="355" t="s">
        <v>1978</v>
      </c>
      <c r="AF23" s="5" t="s">
        <v>771</v>
      </c>
      <c r="AG23" s="7"/>
      <c r="AH23" s="5" t="s">
        <v>771</v>
      </c>
      <c r="AK23" s="5" t="s">
        <v>771</v>
      </c>
      <c r="AL23" s="7"/>
      <c r="AN23" s="5" t="s">
        <v>771</v>
      </c>
      <c r="AO23" s="63"/>
      <c r="AQ23" s="590" t="s">
        <v>1004</v>
      </c>
      <c r="AR23" s="590">
        <v>20</v>
      </c>
      <c r="AS23" s="18" t="s">
        <v>1005</v>
      </c>
      <c r="AT23" s="18" t="s">
        <v>1903</v>
      </c>
    </row>
    <row r="24" spans="10:46" x14ac:dyDescent="0.2">
      <c r="O24" s="34"/>
      <c r="P24" s="34"/>
      <c r="R24" s="212"/>
      <c r="S24" s="212"/>
      <c r="U24" s="355" t="s">
        <v>1952</v>
      </c>
      <c r="V24" s="355" t="s">
        <v>1953</v>
      </c>
      <c r="X24" s="4">
        <v>2133</v>
      </c>
      <c r="Y24" s="4" t="s">
        <v>1881</v>
      </c>
      <c r="Z24" s="4">
        <f>SubMaterial[[#This Row],[SubMaterial_ID]]</f>
        <v>2133</v>
      </c>
      <c r="AA24" s="4" t="str">
        <f>IFERROR(INDEX(Class[Class_Name],MATCH(SubMaterial[[#This Row],[Reporting_ID]],Class[Class_ID],0)),SubMaterial[[#This Row],[SubMaterial_Name]])</f>
        <v>PP tubs and small rigids</v>
      </c>
      <c r="AB24" s="355" t="s">
        <v>1935</v>
      </c>
      <c r="AC24" s="355" t="str">
        <f>IFERROR(INDEX(DEQ_WIC_Matl[DEQWICMat_Name],MATCH(SubMaterial[[#This Row],[DEQWICMat_ID]],DEQ_WIC_Matl[DEQWICMat_ID],0)),"TBD")</f>
        <v>PP</v>
      </c>
      <c r="AD24" s="355" t="s">
        <v>1979</v>
      </c>
      <c r="AF24" s="5" t="s">
        <v>773</v>
      </c>
      <c r="AG24" s="7"/>
      <c r="AH24" s="5" t="s">
        <v>773</v>
      </c>
      <c r="AK24" s="5" t="s">
        <v>773</v>
      </c>
      <c r="AL24" s="7"/>
      <c r="AN24" s="5" t="s">
        <v>773</v>
      </c>
      <c r="AO24" s="7"/>
      <c r="AQ24" s="590" t="s">
        <v>1006</v>
      </c>
      <c r="AR24" s="590">
        <v>21</v>
      </c>
      <c r="AS24" s="18" t="s">
        <v>1007</v>
      </c>
      <c r="AT24" s="18" t="s">
        <v>1903</v>
      </c>
    </row>
    <row r="25" spans="10:46" x14ac:dyDescent="0.2">
      <c r="O25" s="34"/>
      <c r="P25" s="34"/>
      <c r="R25" s="212"/>
      <c r="S25" s="212"/>
      <c r="U25" s="355" t="s">
        <v>1954</v>
      </c>
      <c r="V25" s="355" t="s">
        <v>1955</v>
      </c>
      <c r="X25" s="4">
        <v>2134</v>
      </c>
      <c r="Y25" s="4" t="s">
        <v>775</v>
      </c>
      <c r="Z25" s="4">
        <f>SubMaterial[[#This Row],[SubMaterial_ID]]</f>
        <v>2134</v>
      </c>
      <c r="AA25" s="4" t="str">
        <f>IFERROR(INDEX(Class[Class_Name],MATCH(SubMaterial[[#This Row],[Reporting_ID]],Class[Class_ID],0)),SubMaterial[[#This Row],[SubMaterial_Name]])</f>
        <v>Other accepted tubs &amp; pails</v>
      </c>
      <c r="AC25" s="355" t="str">
        <f>IFERROR(INDEX(DEQ_WIC_Matl[DEQWICMat_Name],MATCH(SubMaterial[[#This Row],[DEQWICMat_ID]],DEQ_WIC_Matl[DEQWICMat_ID],0)),"TBD")</f>
        <v>TBD</v>
      </c>
      <c r="AD25" s="355" t="s">
        <v>3547</v>
      </c>
      <c r="AF25" s="5" t="s">
        <v>776</v>
      </c>
      <c r="AG25" s="7"/>
      <c r="AH25" s="5" t="s">
        <v>776</v>
      </c>
      <c r="AK25" s="5" t="s">
        <v>776</v>
      </c>
      <c r="AL25" s="7"/>
      <c r="AN25" s="5" t="s">
        <v>776</v>
      </c>
      <c r="AO25" s="7"/>
      <c r="AQ25" s="590" t="s">
        <v>1008</v>
      </c>
      <c r="AR25" s="590">
        <v>22</v>
      </c>
      <c r="AS25" s="18" t="s">
        <v>1009</v>
      </c>
      <c r="AT25" s="18" t="s">
        <v>1903</v>
      </c>
    </row>
    <row r="26" spans="10:46" x14ac:dyDescent="0.2">
      <c r="O26" s="34"/>
      <c r="P26" s="34"/>
      <c r="R26" s="212"/>
      <c r="S26" s="212"/>
      <c r="U26" s="355" t="s">
        <v>1956</v>
      </c>
      <c r="V26" s="355" t="s">
        <v>1957</v>
      </c>
      <c r="X26" s="4">
        <v>2141</v>
      </c>
      <c r="Y26" s="4" t="s">
        <v>1882</v>
      </c>
      <c r="Z26" s="4">
        <f>SubMaterial[[#This Row],[SubMaterial_ID]]</f>
        <v>2141</v>
      </c>
      <c r="AA26" s="4" t="str">
        <f>IFERROR(INDEX(Class[Class_Name],MATCH(SubMaterial[[#This Row],[Reporting_ID]],Class[Class_ID],0)),SubMaterial[[#This Row],[SubMaterial_Name]])</f>
        <v>PP rigid products</v>
      </c>
      <c r="AB26" s="355" t="s">
        <v>1935</v>
      </c>
      <c r="AC26" s="355" t="str">
        <f>IFERROR(INDEX(DEQ_WIC_Matl[DEQWICMat_Name],MATCH(SubMaterial[[#This Row],[DEQWICMat_ID]],DEQ_WIC_Matl[DEQWICMat_ID],0)),"TBD")</f>
        <v>PP</v>
      </c>
      <c r="AD26" s="355" t="s">
        <v>1976</v>
      </c>
      <c r="AF26" s="5" t="s">
        <v>778</v>
      </c>
      <c r="AG26" s="7"/>
      <c r="AH26" s="5" t="s">
        <v>778</v>
      </c>
      <c r="AK26" s="5" t="s">
        <v>778</v>
      </c>
      <c r="AL26" s="7"/>
      <c r="AN26" s="5" t="s">
        <v>778</v>
      </c>
      <c r="AO26" s="7"/>
      <c r="AQ26" s="590" t="s">
        <v>1848</v>
      </c>
      <c r="AR26" s="590">
        <v>23</v>
      </c>
      <c r="AS26" s="18" t="s">
        <v>1849</v>
      </c>
      <c r="AT26" s="18" t="s">
        <v>1905</v>
      </c>
    </row>
    <row r="27" spans="10:46" x14ac:dyDescent="0.2">
      <c r="O27" s="34"/>
      <c r="P27" s="34"/>
      <c r="R27" s="212"/>
      <c r="S27" s="212"/>
      <c r="U27" s="355" t="s">
        <v>1958</v>
      </c>
      <c r="V27" s="355" t="s">
        <v>1959</v>
      </c>
      <c r="X27" s="4">
        <v>2142</v>
      </c>
      <c r="Y27" s="4" t="s">
        <v>780</v>
      </c>
      <c r="Z27" s="4">
        <f>SubMaterial[[#This Row],[SubMaterial_ID]]</f>
        <v>2142</v>
      </c>
      <c r="AA27" s="4" t="str">
        <f>IFERROR(INDEX(Class[Class_Name],MATCH(SubMaterial[[#This Row],[Reporting_ID]],Class[Class_ID],0)),SubMaterial[[#This Row],[SubMaterial_Name]])</f>
        <v>Other bulky rigids</v>
      </c>
      <c r="AC27" s="355" t="str">
        <f>IFERROR(INDEX(DEQ_WIC_Matl[DEQWICMat_Name],MATCH(SubMaterial[[#This Row],[DEQWICMat_ID]],DEQ_WIC_Matl[DEQWICMat_ID],0)),"TBD")</f>
        <v>TBD</v>
      </c>
      <c r="AD27" s="355" t="s">
        <v>1980</v>
      </c>
      <c r="AF27" s="5" t="s">
        <v>781</v>
      </c>
      <c r="AG27" s="7"/>
      <c r="AH27" s="5" t="s">
        <v>781</v>
      </c>
      <c r="AK27" s="5" t="s">
        <v>781</v>
      </c>
      <c r="AL27" s="7"/>
      <c r="AN27" s="5" t="s">
        <v>781</v>
      </c>
      <c r="AO27" s="7"/>
      <c r="AQ27" s="590" t="s">
        <v>1010</v>
      </c>
      <c r="AR27" s="590">
        <v>24</v>
      </c>
      <c r="AS27" s="18" t="s">
        <v>1011</v>
      </c>
      <c r="AT27" s="18" t="s">
        <v>1903</v>
      </c>
    </row>
    <row r="28" spans="10:46" x14ac:dyDescent="0.2">
      <c r="O28" s="34"/>
      <c r="P28" s="34"/>
      <c r="R28" s="212"/>
      <c r="S28" s="212"/>
      <c r="U28" s="355" t="s">
        <v>1960</v>
      </c>
      <c r="V28" s="355" t="s">
        <v>1961</v>
      </c>
      <c r="X28" s="4">
        <v>2211</v>
      </c>
      <c r="Y28" s="4" t="s">
        <v>1883</v>
      </c>
      <c r="Z28" s="4">
        <f>SubMaterial[[#This Row],[SubMaterial_ID]]</f>
        <v>2211</v>
      </c>
      <c r="AA28" s="4" t="str">
        <f>IFERROR(INDEX(Class[Class_Name],MATCH(SubMaterial[[#This Row],[Reporting_ID]],Class[Class_ID],0)),SubMaterial[[#This Row],[SubMaterial_Name]])</f>
        <v>PET thermoforms</v>
      </c>
      <c r="AB28" s="355" t="s">
        <v>1929</v>
      </c>
      <c r="AC28" s="355" t="str">
        <f>IFERROR(INDEX(DEQ_WIC_Matl[DEQWICMat_Name],MATCH(SubMaterial[[#This Row],[DEQWICMat_ID]],DEQ_WIC_Matl[DEQWICMat_ID],0)),"TBD")</f>
        <v>PET</v>
      </c>
      <c r="AD28" s="355" t="s">
        <v>1977</v>
      </c>
      <c r="AF28" s="5" t="s">
        <v>782</v>
      </c>
      <c r="AG28" s="250"/>
      <c r="AH28" s="5" t="s">
        <v>782</v>
      </c>
      <c r="AK28" s="5" t="s">
        <v>782</v>
      </c>
      <c r="AL28" s="7"/>
      <c r="AN28" s="5" t="s">
        <v>782</v>
      </c>
      <c r="AO28" s="7"/>
      <c r="AQ28" s="590" t="s">
        <v>1012</v>
      </c>
      <c r="AR28" s="590">
        <v>25</v>
      </c>
      <c r="AS28" s="18" t="s">
        <v>1013</v>
      </c>
      <c r="AT28" s="18" t="s">
        <v>1903</v>
      </c>
    </row>
    <row r="29" spans="10:46" x14ac:dyDescent="0.2">
      <c r="O29" s="34"/>
      <c r="P29" s="34"/>
      <c r="R29" s="212"/>
      <c r="S29" s="212"/>
      <c r="U29" s="355" t="s">
        <v>1962</v>
      </c>
      <c r="V29" s="355" t="s">
        <v>1963</v>
      </c>
      <c r="X29" s="4">
        <v>2212</v>
      </c>
      <c r="Y29" s="4" t="s">
        <v>784</v>
      </c>
      <c r="Z29" s="4">
        <f>SubMaterial[[#This Row],[SubMaterial_ID]]</f>
        <v>2212</v>
      </c>
      <c r="AA29" s="4" t="str">
        <f>IFERROR(INDEX(Class[Class_Name],MATCH(SubMaterial[[#This Row],[Reporting_ID]],Class[Class_ID],0)),SubMaterial[[#This Row],[SubMaterial_Name]])</f>
        <v>Other other rigid plastic containers</v>
      </c>
      <c r="AC29" s="355" t="str">
        <f>IFERROR(INDEX(DEQ_WIC_Matl[DEQWICMat_Name],MATCH(SubMaterial[[#This Row],[DEQWICMat_ID]],DEQ_WIC_Matl[DEQWICMat_ID],0)),"TBD")</f>
        <v>TBD</v>
      </c>
      <c r="AD29" s="355" t="s">
        <v>1976</v>
      </c>
      <c r="AQ29" s="5" t="s">
        <v>1014</v>
      </c>
      <c r="AR29" s="5">
        <v>26</v>
      </c>
      <c r="AS29" s="355" t="s">
        <v>1893</v>
      </c>
      <c r="AT29" s="355" t="s">
        <v>1903</v>
      </c>
    </row>
    <row r="30" spans="10:46" x14ac:dyDescent="0.2">
      <c r="O30" s="34"/>
      <c r="P30" s="34"/>
      <c r="R30" s="212"/>
      <c r="S30" s="212"/>
      <c r="U30" s="355" t="s">
        <v>1964</v>
      </c>
      <c r="V30" s="355" t="s">
        <v>1965</v>
      </c>
      <c r="X30" s="4">
        <v>2221</v>
      </c>
      <c r="Y30" s="8" t="s">
        <v>1884</v>
      </c>
      <c r="Z30" s="4">
        <f>SubMaterial[[#This Row],[SubMaterial_ID]]</f>
        <v>2221</v>
      </c>
      <c r="AA30" s="4" t="str">
        <f>IFERROR(INDEX(Class[Class_Name],MATCH(SubMaterial[[#This Row],[Reporting_ID]],Class[Class_ID],0)),SubMaterial[[#This Row],[SubMaterial_Name]])</f>
        <v>PP rigid packaging and products</v>
      </c>
      <c r="AB30" s="355" t="s">
        <v>1935</v>
      </c>
      <c r="AC30" s="355" t="str">
        <f>IFERROR(INDEX(DEQ_WIC_Matl[DEQWICMat_Name],MATCH(SubMaterial[[#This Row],[DEQWICMat_ID]],DEQ_WIC_Matl[DEQWICMat_ID],0)),"TBD")</f>
        <v>PP</v>
      </c>
      <c r="AD30" s="355" t="s">
        <v>1975</v>
      </c>
      <c r="AQ30" s="5" t="s">
        <v>1015</v>
      </c>
      <c r="AR30" s="5">
        <v>27</v>
      </c>
      <c r="AS30" s="355" t="s">
        <v>1016</v>
      </c>
      <c r="AT30" s="355" t="s">
        <v>709</v>
      </c>
    </row>
    <row r="31" spans="10:46" x14ac:dyDescent="0.2">
      <c r="O31" s="34"/>
      <c r="P31" s="34"/>
      <c r="R31" s="212"/>
      <c r="S31" s="212"/>
      <c r="U31" s="355" t="s">
        <v>1966</v>
      </c>
      <c r="V31" s="355" t="s">
        <v>724</v>
      </c>
      <c r="X31" s="4">
        <v>2222</v>
      </c>
      <c r="Y31" s="4" t="s">
        <v>1885</v>
      </c>
      <c r="Z31" s="4">
        <f>SubMaterial[[#This Row],[SubMaterial_ID]]</f>
        <v>2222</v>
      </c>
      <c r="AA31" s="4" t="str">
        <f>IFERROR(INDEX(Class[Class_Name],MATCH(SubMaterial[[#This Row],[Reporting_ID]],Class[Class_ID],0)),SubMaterial[[#This Row],[SubMaterial_Name]])</f>
        <v>Polystyrene foam</v>
      </c>
      <c r="AB31" s="355" t="s">
        <v>1939</v>
      </c>
      <c r="AC31" s="355" t="str">
        <f>IFERROR(INDEX(DEQ_WIC_Matl[DEQWICMat_Name],MATCH(SubMaterial[[#This Row],[DEQWICMat_ID]],DEQ_WIC_Matl[DEQWICMat_ID],0)),"TBD")</f>
        <v>EPS</v>
      </c>
      <c r="AD31" s="355" t="s">
        <v>1981</v>
      </c>
      <c r="AQ31" s="5" t="s">
        <v>1017</v>
      </c>
      <c r="AR31" s="5">
        <v>28</v>
      </c>
      <c r="AS31" s="355" t="s">
        <v>1018</v>
      </c>
      <c r="AT31" s="355" t="s">
        <v>716</v>
      </c>
    </row>
    <row r="32" spans="10:46" x14ac:dyDescent="0.2">
      <c r="O32" s="34"/>
      <c r="P32" s="34"/>
      <c r="R32" s="212"/>
      <c r="S32" s="212"/>
      <c r="U32" s="352"/>
      <c r="V32" s="352"/>
      <c r="X32" s="4">
        <v>2223</v>
      </c>
      <c r="Y32" s="4" t="s">
        <v>1886</v>
      </c>
      <c r="Z32" s="4">
        <f>SubMaterial[[#This Row],[SubMaterial_ID]]</f>
        <v>2223</v>
      </c>
      <c r="AA32" s="4" t="str">
        <f>IFERROR(INDEX(Class[Class_Name],MATCH(SubMaterial[[#This Row],[Reporting_ID]],Class[Class_ID],0)),SubMaterial[[#This Row],[SubMaterial_Name]])</f>
        <v>Solid polystyrene</v>
      </c>
      <c r="AB32" s="355" t="s">
        <v>1937</v>
      </c>
      <c r="AC32" s="355" t="str">
        <f>IFERROR(INDEX(DEQ_WIC_Matl[DEQWICMat_Name],MATCH(SubMaterial[[#This Row],[DEQWICMat_ID]],DEQ_WIC_Matl[DEQWICMat_ID],0)),"TBD")</f>
        <v>PS</v>
      </c>
      <c r="AD32" s="355" t="s">
        <v>1982</v>
      </c>
      <c r="AQ32" s="5" t="s">
        <v>1019</v>
      </c>
      <c r="AR32" s="5">
        <v>29</v>
      </c>
      <c r="AS32" s="355" t="s">
        <v>1020</v>
      </c>
      <c r="AT32" s="355" t="s">
        <v>716</v>
      </c>
    </row>
    <row r="33" spans="15:46" x14ac:dyDescent="0.2">
      <c r="O33" s="34"/>
      <c r="P33" s="34"/>
      <c r="R33" s="212"/>
      <c r="S33" s="212"/>
      <c r="U33" s="352"/>
      <c r="V33" s="352"/>
      <c r="X33" s="4">
        <v>2224</v>
      </c>
      <c r="Y33" s="4" t="s">
        <v>787</v>
      </c>
      <c r="Z33" s="245">
        <v>8000</v>
      </c>
      <c r="AA33" s="4" t="str">
        <f>IFERROR(INDEX(Class[Class_Name],MATCH(SubMaterial[[#This Row],[Reporting_ID]],Class[Class_ID],0)),SubMaterial[[#This Row],[SubMaterial_Name]])</f>
        <v>Other materials</v>
      </c>
      <c r="AC33" s="355" t="str">
        <f>IFERROR(INDEX(DEQ_WIC_Matl[DEQWICMat_Name],MATCH(SubMaterial[[#This Row],[DEQWICMat_ID]],DEQ_WIC_Matl[DEQWICMat_ID],0)),"TBD")</f>
        <v>TBD</v>
      </c>
      <c r="AD33" s="355" t="s">
        <v>1983</v>
      </c>
      <c r="AQ33" s="5" t="s">
        <v>1021</v>
      </c>
      <c r="AR33" s="5">
        <v>30</v>
      </c>
      <c r="AS33" s="355" t="s">
        <v>751</v>
      </c>
      <c r="AT33" s="355" t="s">
        <v>716</v>
      </c>
    </row>
    <row r="34" spans="15:46" x14ac:dyDescent="0.2">
      <c r="O34" s="34"/>
      <c r="P34" s="34"/>
      <c r="R34" s="212"/>
      <c r="S34" s="212"/>
      <c r="U34" s="352"/>
      <c r="V34" s="352"/>
      <c r="X34" s="4">
        <v>2311</v>
      </c>
      <c r="Y34" s="4" t="s">
        <v>1887</v>
      </c>
      <c r="Z34" s="4">
        <f>SubMaterial[[#This Row],[SubMaterial_ID]]</f>
        <v>2311</v>
      </c>
      <c r="AA34" s="4" t="str">
        <f>IFERROR(INDEX(Class[Class_Name],MATCH(SubMaterial[[#This Row],[Reporting_ID]],Class[Class_ID],0)),SubMaterial[[#This Row],[SubMaterial_Name]])</f>
        <v>PE film</v>
      </c>
      <c r="AB34" s="355" t="s">
        <v>1943</v>
      </c>
      <c r="AC34" s="355" t="str">
        <f>IFERROR(INDEX(DEQ_WIC_Matl[DEQWICMat_Name],MATCH(SubMaterial[[#This Row],[DEQWICMat_ID]],DEQ_WIC_Matl[DEQWICMat_ID],0)),"TBD")</f>
        <v>PlasticFilm</v>
      </c>
      <c r="AD34" s="355" t="s">
        <v>1984</v>
      </c>
      <c r="AQ34" s="5" t="s">
        <v>1847</v>
      </c>
      <c r="AR34" s="5" t="s">
        <v>1906</v>
      </c>
      <c r="AS34" s="355" t="s">
        <v>1894</v>
      </c>
      <c r="AT34" s="355" t="s">
        <v>1905</v>
      </c>
    </row>
    <row r="35" spans="15:46" x14ac:dyDescent="0.2">
      <c r="O35" s="34"/>
      <c r="P35" s="34"/>
      <c r="R35" s="212"/>
      <c r="S35" s="212"/>
      <c r="U35" s="352"/>
      <c r="V35" s="352"/>
      <c r="X35" s="4">
        <v>2312</v>
      </c>
      <c r="Y35" s="4" t="s">
        <v>789</v>
      </c>
      <c r="Z35" s="4">
        <f>SubMaterial[[#This Row],[SubMaterial_ID]]</f>
        <v>2312</v>
      </c>
      <c r="AA35" s="4" t="str">
        <f>IFERROR(INDEX(Class[Class_Name],MATCH(SubMaterial[[#This Row],[Reporting_ID]],Class[Class_ID],0)),SubMaterial[[#This Row],[SubMaterial_Name]])</f>
        <v>Other recoverable film</v>
      </c>
      <c r="AB35" s="355" t="s">
        <v>1943</v>
      </c>
      <c r="AC35" s="355" t="str">
        <f>IFERROR(INDEX(DEQ_WIC_Matl[DEQWICMat_Name],MATCH(SubMaterial[[#This Row],[DEQWICMat_ID]],DEQ_WIC_Matl[DEQWICMat_ID],0)),"TBD")</f>
        <v>PlasticFilm</v>
      </c>
      <c r="AD35" s="355" t="s">
        <v>1983</v>
      </c>
      <c r="AQ35" s="5" t="s">
        <v>1846</v>
      </c>
      <c r="AR35" s="5" t="s">
        <v>1907</v>
      </c>
      <c r="AS35" s="355" t="s">
        <v>1895</v>
      </c>
      <c r="AT35" s="355" t="s">
        <v>1908</v>
      </c>
    </row>
    <row r="36" spans="15:46" x14ac:dyDescent="0.2">
      <c r="O36" s="34"/>
      <c r="P36" s="34"/>
      <c r="R36" s="212"/>
      <c r="S36" s="212"/>
      <c r="U36" s="352"/>
      <c r="V36" s="352"/>
      <c r="X36" s="4">
        <v>2321</v>
      </c>
      <c r="Y36" s="4" t="s">
        <v>790</v>
      </c>
      <c r="Z36" s="245">
        <v>8000</v>
      </c>
      <c r="AA36" s="4" t="str">
        <f>IFERROR(INDEX(Class[Class_Name],MATCH(SubMaterial[[#This Row],[Reporting_ID]],Class[Class_ID],0)),SubMaterial[[#This Row],[SubMaterial_Name]])</f>
        <v>Other materials</v>
      </c>
      <c r="AC36" s="355" t="str">
        <f>IFERROR(INDEX(DEQ_WIC_Matl[DEQWICMat_Name],MATCH(SubMaterial[[#This Row],[DEQWICMat_ID]],DEQ_WIC_Matl[DEQWICMat_ID],0)),"TBD")</f>
        <v>TBD</v>
      </c>
      <c r="AD36" s="355" t="s">
        <v>1972</v>
      </c>
    </row>
    <row r="37" spans="15:46" x14ac:dyDescent="0.2">
      <c r="O37" s="34"/>
      <c r="P37" s="34"/>
      <c r="R37" s="212"/>
      <c r="S37" s="212"/>
      <c r="U37" s="352"/>
      <c r="V37" s="352"/>
      <c r="X37" s="4">
        <v>2322</v>
      </c>
      <c r="Y37" s="4" t="s">
        <v>791</v>
      </c>
      <c r="Z37" s="245">
        <v>8000</v>
      </c>
      <c r="AA37" s="4" t="str">
        <f>IFERROR(INDEX(Class[Class_Name],MATCH(SubMaterial[[#This Row],[Reporting_ID]],Class[Class_ID],0)),SubMaterial[[#This Row],[SubMaterial_Name]])</f>
        <v>Other materials</v>
      </c>
      <c r="AB37" s="355" t="s">
        <v>1943</v>
      </c>
      <c r="AC37" s="355" t="str">
        <f>IFERROR(INDEX(DEQ_WIC_Matl[DEQWICMat_Name],MATCH(SubMaterial[[#This Row],[DEQWICMat_ID]],DEQ_WIC_Matl[DEQWICMat_ID],0)),"TBD")</f>
        <v>PlasticFilm</v>
      </c>
      <c r="AD37" s="355" t="s">
        <v>1972</v>
      </c>
    </row>
    <row r="38" spans="15:46" x14ac:dyDescent="0.2">
      <c r="O38" s="34"/>
      <c r="P38" s="34"/>
      <c r="R38" s="212"/>
      <c r="S38" s="212"/>
      <c r="U38" s="352"/>
      <c r="V38" s="352"/>
      <c r="X38" s="4">
        <v>3111</v>
      </c>
      <c r="Y38" s="4" t="s">
        <v>763</v>
      </c>
      <c r="Z38" s="4">
        <f>SubMaterial[[#This Row],[SubMaterial_ID]]</f>
        <v>3111</v>
      </c>
      <c r="AA38" s="4" t="str">
        <f>IFERROR(INDEX(Class[Class_Name],MATCH(SubMaterial[[#This Row],[Reporting_ID]],Class[Class_ID],0)),SubMaterial[[#This Row],[SubMaterial_Name]])</f>
        <v>Deposit glass bottles</v>
      </c>
      <c r="AB38" s="355" t="s">
        <v>1945</v>
      </c>
      <c r="AC38" s="355" t="str">
        <f>IFERROR(INDEX(DEQ_WIC_Matl[DEQWICMat_Name],MATCH(SubMaterial[[#This Row],[DEQWICMat_ID]],DEQ_WIC_Matl[DEQWICMat_ID],0)),"TBD")</f>
        <v>Glass</v>
      </c>
      <c r="AD38" s="355" t="s">
        <v>1985</v>
      </c>
    </row>
    <row r="39" spans="15:46" x14ac:dyDescent="0.2">
      <c r="O39" s="34"/>
      <c r="P39" s="34"/>
      <c r="R39" s="212"/>
      <c r="S39" s="212"/>
      <c r="U39" s="212"/>
      <c r="V39" s="212"/>
      <c r="X39" s="4">
        <v>3121</v>
      </c>
      <c r="Y39" s="4" t="s">
        <v>766</v>
      </c>
      <c r="Z39" s="4">
        <f>SubMaterial[[#This Row],[SubMaterial_ID]]</f>
        <v>3121</v>
      </c>
      <c r="AA39" s="4" t="str">
        <f>IFERROR(INDEX(Class[Class_Name],MATCH(SubMaterial[[#This Row],[Reporting_ID]],Class[Class_ID],0)),SubMaterial[[#This Row],[SubMaterial_Name]])</f>
        <v>Container glass</v>
      </c>
      <c r="AB39" s="355" t="s">
        <v>1945</v>
      </c>
      <c r="AC39" s="355" t="str">
        <f>IFERROR(INDEX(DEQ_WIC_Matl[DEQWICMat_Name],MATCH(SubMaterial[[#This Row],[DEQWICMat_ID]],DEQ_WIC_Matl[DEQWICMat_ID],0)),"TBD")</f>
        <v>Glass</v>
      </c>
      <c r="AD39" s="355" t="s">
        <v>1985</v>
      </c>
    </row>
    <row r="40" spans="15:46" x14ac:dyDescent="0.2">
      <c r="O40" s="34"/>
      <c r="P40" s="34"/>
      <c r="R40" s="212"/>
      <c r="S40" s="212"/>
      <c r="U40" s="352"/>
      <c r="V40" s="352"/>
      <c r="X40" s="4">
        <v>3211</v>
      </c>
      <c r="Y40" s="4" t="s">
        <v>745</v>
      </c>
      <c r="Z40" s="245">
        <v>8000</v>
      </c>
      <c r="AA40" s="4" t="str">
        <f>IFERROR(INDEX(Class[Class_Name],MATCH(SubMaterial[[#This Row],[Reporting_ID]],Class[Class_ID],0)),SubMaterial[[#This Row],[SubMaterial_Name]])</f>
        <v>Other materials</v>
      </c>
      <c r="AB40" s="355" t="s">
        <v>1945</v>
      </c>
      <c r="AC40" s="355" t="str">
        <f>IFERROR(INDEX(DEQ_WIC_Matl[DEQWICMat_Name],MATCH(SubMaterial[[#This Row],[DEQWICMat_ID]],DEQ_WIC_Matl[DEQWICMat_ID],0)),"TBD")</f>
        <v>Glass</v>
      </c>
      <c r="AD40" s="355" t="s">
        <v>1972</v>
      </c>
    </row>
    <row r="41" spans="15:46" x14ac:dyDescent="0.2">
      <c r="O41" s="34"/>
      <c r="P41" s="34"/>
      <c r="R41" s="212"/>
      <c r="S41" s="212"/>
      <c r="U41" s="212"/>
      <c r="V41" s="212"/>
      <c r="X41" s="4">
        <v>4111</v>
      </c>
      <c r="Y41" s="4" t="s">
        <v>770</v>
      </c>
      <c r="Z41" s="4">
        <f>SubMaterial[[#This Row],[SubMaterial_ID]]</f>
        <v>4111</v>
      </c>
      <c r="AA41" s="4" t="str">
        <f>IFERROR(INDEX(Class[Class_Name],MATCH(SubMaterial[[#This Row],[Reporting_ID]],Class[Class_ID],0)),SubMaterial[[#This Row],[SubMaterial_Name]])</f>
        <v>Deposit and accepted aluminum cans</v>
      </c>
      <c r="AB41" s="355" t="s">
        <v>1946</v>
      </c>
      <c r="AC41" s="355" t="str">
        <f>IFERROR(INDEX(DEQ_WIC_Matl[DEQWICMat_Name],MATCH(SubMaterial[[#This Row],[DEQWICMat_ID]],DEQ_WIC_Matl[DEQWICMat_ID],0)),"TBD")</f>
        <v>Aluminum</v>
      </c>
      <c r="AD41" s="355" t="s">
        <v>1986</v>
      </c>
    </row>
    <row r="42" spans="15:46" x14ac:dyDescent="0.2">
      <c r="O42" s="34"/>
      <c r="P42" s="34"/>
      <c r="R42" s="212"/>
      <c r="S42" s="212"/>
      <c r="U42" s="212"/>
      <c r="V42" s="212"/>
      <c r="X42" s="4">
        <v>4121</v>
      </c>
      <c r="Y42" s="4" t="s">
        <v>772</v>
      </c>
      <c r="Z42" s="4">
        <f>SubMaterial[[#This Row],[SubMaterial_ID]]</f>
        <v>4121</v>
      </c>
      <c r="AA42" s="4" t="str">
        <f>IFERROR(INDEX(Class[Class_Name],MATCH(SubMaterial[[#This Row],[Reporting_ID]],Class[Class_ID],0)),SubMaterial[[#This Row],[SubMaterial_Name]])</f>
        <v>Accepted other aluminum</v>
      </c>
      <c r="AB42" s="355" t="s">
        <v>1946</v>
      </c>
      <c r="AC42" s="355" t="str">
        <f>IFERROR(INDEX(DEQ_WIC_Matl[DEQWICMat_Name],MATCH(SubMaterial[[#This Row],[DEQWICMat_ID]],DEQ_WIC_Matl[DEQWICMat_ID],0)),"TBD")</f>
        <v>Aluminum</v>
      </c>
      <c r="AD42" s="355" t="s">
        <v>1987</v>
      </c>
    </row>
    <row r="43" spans="15:46" x14ac:dyDescent="0.2">
      <c r="O43" s="34"/>
      <c r="P43" s="34"/>
      <c r="R43" s="212"/>
      <c r="S43" s="212"/>
      <c r="U43" s="212"/>
      <c r="V43" s="212"/>
      <c r="X43" s="4">
        <v>4231</v>
      </c>
      <c r="Y43" s="4" t="s">
        <v>774</v>
      </c>
      <c r="Z43" s="4">
        <f>SubMaterial[[#This Row],[SubMaterial_ID]]</f>
        <v>4231</v>
      </c>
      <c r="AA43" s="4" t="str">
        <f>IFERROR(INDEX(Class[Class_Name],MATCH(SubMaterial[[#This Row],[Reporting_ID]],Class[Class_ID],0)),SubMaterial[[#This Row],[SubMaterial_Name]])</f>
        <v>Deposit and accepted steel cans</v>
      </c>
      <c r="AB43" s="355" t="s">
        <v>1948</v>
      </c>
      <c r="AC43" s="355" t="str">
        <f>IFERROR(INDEX(DEQ_WIC_Matl[DEQWICMat_Name],MATCH(SubMaterial[[#This Row],[DEQWICMat_ID]],DEQ_WIC_Matl[DEQWICMat_ID],0)),"TBD")</f>
        <v>TinnedCan</v>
      </c>
      <c r="AD43" s="355" t="s">
        <v>1988</v>
      </c>
    </row>
    <row r="44" spans="15:46" x14ac:dyDescent="0.2">
      <c r="O44" s="34"/>
      <c r="P44" s="34"/>
      <c r="R44" s="212"/>
      <c r="S44" s="212"/>
      <c r="U44" s="212"/>
      <c r="V44" s="212"/>
      <c r="X44" s="4">
        <v>4241</v>
      </c>
      <c r="Y44" s="4" t="s">
        <v>777</v>
      </c>
      <c r="Z44" s="4">
        <f>SubMaterial[[#This Row],[SubMaterial_ID]]</f>
        <v>4241</v>
      </c>
      <c r="AA44" s="4" t="str">
        <f>IFERROR(INDEX(Class[Class_Name],MATCH(SubMaterial[[#This Row],[Reporting_ID]],Class[Class_ID],0)),SubMaterial[[#This Row],[SubMaterial_Name]])</f>
        <v>Accepted other steel</v>
      </c>
      <c r="AB44" s="355" t="s">
        <v>1950</v>
      </c>
      <c r="AC44" s="355" t="str">
        <f>IFERROR(INDEX(DEQ_WIC_Matl[DEQWICMat_Name],MATCH(SubMaterial[[#This Row],[DEQWICMat_ID]],DEQ_WIC_Matl[DEQWICMat_ID],0)),"TBD")</f>
        <v>AcceptedOtherSteel</v>
      </c>
      <c r="AD44" s="355" t="s">
        <v>1989</v>
      </c>
    </row>
    <row r="45" spans="15:46" x14ac:dyDescent="0.2">
      <c r="O45" s="34"/>
      <c r="P45" s="34"/>
      <c r="R45" s="212"/>
      <c r="S45" s="212"/>
      <c r="U45" s="212"/>
      <c r="V45" s="212"/>
      <c r="X45" s="4">
        <v>4311</v>
      </c>
      <c r="Y45" s="4" t="s">
        <v>779</v>
      </c>
      <c r="Z45" s="4">
        <f>SubMaterial[[#This Row],[SubMaterial_ID]]</f>
        <v>4311</v>
      </c>
      <c r="AA45" s="4" t="str">
        <f>IFERROR(INDEX(Class[Class_Name],MATCH(SubMaterial[[#This Row],[Reporting_ID]],Class[Class_ID],0)),SubMaterial[[#This Row],[SubMaterial_Name]])</f>
        <v>Scrap metals</v>
      </c>
      <c r="AB45" s="355" t="s">
        <v>1952</v>
      </c>
      <c r="AC45" s="355" t="str">
        <f>IFERROR(INDEX(DEQ_WIC_Matl[DEQWICMat_Name],MATCH(SubMaterial[[#This Row],[DEQWICMat_ID]],DEQ_WIC_Matl[DEQWICMat_ID],0)),"TBD")</f>
        <v>ScrapMetal</v>
      </c>
      <c r="AD45" s="355" t="s">
        <v>1990</v>
      </c>
    </row>
    <row r="46" spans="15:46" x14ac:dyDescent="0.2">
      <c r="O46" s="34"/>
      <c r="P46" s="34"/>
      <c r="R46" s="212"/>
      <c r="S46" s="212"/>
      <c r="U46" s="212"/>
      <c r="V46" s="212"/>
      <c r="X46" s="4">
        <v>4411</v>
      </c>
      <c r="Y46" s="4" t="s">
        <v>1888</v>
      </c>
      <c r="Z46" s="245">
        <v>7000</v>
      </c>
      <c r="AA46" s="4" t="str">
        <f>IFERROR(INDEX(Class[Class_Name],MATCH(SubMaterial[[#This Row],[Reporting_ID]],Class[Class_ID],0)),SubMaterial[[#This Row],[SubMaterial_Name]])</f>
        <v>Other recoverables</v>
      </c>
      <c r="AC46" s="355" t="str">
        <f>IFERROR(INDEX(DEQ_WIC_Matl[DEQWICMat_Name],MATCH(SubMaterial[[#This Row],[DEQWICMat_ID]],DEQ_WIC_Matl[DEQWICMat_ID],0)),"TBD")</f>
        <v>TBD</v>
      </c>
      <c r="AD46" s="355" t="s">
        <v>1983</v>
      </c>
    </row>
    <row r="47" spans="15:46" x14ac:dyDescent="0.2">
      <c r="O47" s="34"/>
      <c r="P47" s="34"/>
      <c r="R47" s="212"/>
      <c r="S47" s="212"/>
      <c r="U47" s="212"/>
      <c r="V47" s="212"/>
      <c r="X47" s="4">
        <v>5111</v>
      </c>
      <c r="Y47" s="4" t="s">
        <v>783</v>
      </c>
      <c r="Z47" s="245">
        <v>6000</v>
      </c>
      <c r="AA47" s="4" t="str">
        <f>IFERROR(INDEX(Class[Class_Name],MATCH(SubMaterial[[#This Row],[Reporting_ID]],Class[Class_ID],0)),SubMaterial[[#This Row],[SubMaterial_Name]])</f>
        <v>Compostables</v>
      </c>
      <c r="AB47" s="355" t="s">
        <v>1958</v>
      </c>
      <c r="AC47" s="355" t="str">
        <f>IFERROR(INDEX(DEQ_WIC_Matl[DEQWICMat_Name],MATCH(SubMaterial[[#This Row],[DEQWICMat_ID]],DEQ_WIC_Matl[DEQWICMat_ID],0)),"TBD")</f>
        <v>FoodWaste</v>
      </c>
      <c r="AD47" s="355" t="s">
        <v>1983</v>
      </c>
    </row>
    <row r="48" spans="15:46" x14ac:dyDescent="0.2">
      <c r="O48" s="34"/>
      <c r="P48" s="34"/>
      <c r="R48" s="212"/>
      <c r="S48" s="212"/>
      <c r="U48" s="212"/>
      <c r="V48" s="212"/>
      <c r="X48" s="4">
        <v>5121</v>
      </c>
      <c r="Y48" s="4" t="s">
        <v>785</v>
      </c>
      <c r="Z48" s="245">
        <v>6000</v>
      </c>
      <c r="AA48" s="4" t="str">
        <f>IFERROR(INDEX(Class[Class_Name],MATCH(SubMaterial[[#This Row],[Reporting_ID]],Class[Class_ID],0)),SubMaterial[[#This Row],[SubMaterial_Name]])</f>
        <v>Compostables</v>
      </c>
      <c r="AB48" s="355" t="s">
        <v>1954</v>
      </c>
      <c r="AC48" s="355" t="str">
        <f>IFERROR(INDEX(DEQ_WIC_Matl[DEQWICMat_Name],MATCH(SubMaterial[[#This Row],[DEQWICMat_ID]],DEQ_WIC_Matl[DEQWICMat_ID],0)),"TBD")</f>
        <v>YardDebris</v>
      </c>
      <c r="AD48" s="355" t="s">
        <v>1983</v>
      </c>
    </row>
    <row r="49" spans="15:30" x14ac:dyDescent="0.2">
      <c r="O49" s="34"/>
      <c r="P49" s="34"/>
      <c r="R49" s="212"/>
      <c r="S49" s="212"/>
      <c r="U49" s="212"/>
      <c r="V49" s="212"/>
      <c r="X49" s="4">
        <v>5131</v>
      </c>
      <c r="Y49" s="4" t="s">
        <v>1889</v>
      </c>
      <c r="Z49" s="245">
        <v>6000</v>
      </c>
      <c r="AA49" s="4" t="str">
        <f>IFERROR(INDEX(Class[Class_Name],MATCH(SubMaterial[[#This Row],[Reporting_ID]],Class[Class_ID],0)),SubMaterial[[#This Row],[SubMaterial_Name]])</f>
        <v>Compostables</v>
      </c>
      <c r="AC49" s="355" t="str">
        <f>IFERROR(INDEX(DEQ_WIC_Matl[DEQWICMat_Name],MATCH(SubMaterial[[#This Row],[DEQWICMat_ID]],DEQ_WIC_Matl[DEQWICMat_ID],0)),"TBD")</f>
        <v>TBD</v>
      </c>
      <c r="AD49" s="355" t="s">
        <v>1983</v>
      </c>
    </row>
    <row r="50" spans="15:30" x14ac:dyDescent="0.2">
      <c r="O50" s="34"/>
      <c r="P50" s="34"/>
      <c r="R50" s="212"/>
      <c r="S50" s="212"/>
      <c r="U50" s="212"/>
      <c r="V50" s="212"/>
      <c r="X50" s="4">
        <v>5141</v>
      </c>
      <c r="Y50" s="4" t="s">
        <v>1890</v>
      </c>
      <c r="Z50" s="245">
        <v>6000</v>
      </c>
      <c r="AA50" s="4" t="str">
        <f>IFERROR(INDEX(Class[Class_Name],MATCH(SubMaterial[[#This Row],[Reporting_ID]],Class[Class_ID],0)),SubMaterial[[#This Row],[SubMaterial_Name]])</f>
        <v>Compostables</v>
      </c>
      <c r="AB50" s="355" t="s">
        <v>1956</v>
      </c>
      <c r="AC50" s="355" t="str">
        <f>IFERROR(INDEX(DEQ_WIC_Matl[DEQWICMat_Name],MATCH(SubMaterial[[#This Row],[DEQWICMat_ID]],DEQ_WIC_Matl[DEQWICMat_ID],0)),"TBD")</f>
        <v>Wood</v>
      </c>
      <c r="AD50" s="355" t="s">
        <v>1983</v>
      </c>
    </row>
    <row r="51" spans="15:30" x14ac:dyDescent="0.2">
      <c r="O51" s="34"/>
      <c r="P51" s="34"/>
      <c r="R51" s="212"/>
      <c r="S51" s="212"/>
      <c r="U51" s="212"/>
      <c r="V51" s="212"/>
      <c r="X51" s="4">
        <v>5211</v>
      </c>
      <c r="Y51" s="4" t="s">
        <v>786</v>
      </c>
      <c r="Z51" s="245">
        <v>7000</v>
      </c>
      <c r="AA51" s="4" t="str">
        <f>IFERROR(INDEX(Class[Class_Name],MATCH(SubMaterial[[#This Row],[Reporting_ID]],Class[Class_ID],0)),SubMaterial[[#This Row],[SubMaterial_Name]])</f>
        <v>Other recoverables</v>
      </c>
      <c r="AC51" s="355" t="str">
        <f>IFERROR(INDEX(DEQ_WIC_Matl[DEQWICMat_Name],MATCH(SubMaterial[[#This Row],[DEQWICMat_ID]],DEQ_WIC_Matl[DEQWICMat_ID],0)),"TBD")</f>
        <v>TBD</v>
      </c>
      <c r="AD51" s="355" t="s">
        <v>1983</v>
      </c>
    </row>
    <row r="52" spans="15:30" x14ac:dyDescent="0.2">
      <c r="O52" s="34"/>
      <c r="P52" s="34"/>
      <c r="R52" s="212"/>
      <c r="S52" s="212"/>
      <c r="U52" s="212"/>
      <c r="V52" s="212"/>
      <c r="X52" s="4">
        <v>5311</v>
      </c>
      <c r="Y52" s="4" t="s">
        <v>788</v>
      </c>
      <c r="Z52" s="245">
        <v>7000</v>
      </c>
      <c r="AA52" s="4" t="str">
        <f>IFERROR(INDEX(Class[Class_Name],MATCH(SubMaterial[[#This Row],[Reporting_ID]],Class[Class_ID],0)),SubMaterial[[#This Row],[SubMaterial_Name]])</f>
        <v>Other recoverables</v>
      </c>
      <c r="AC52" s="355" t="str">
        <f>IFERROR(INDEX(DEQ_WIC_Matl[DEQWICMat_Name],MATCH(SubMaterial[[#This Row],[DEQWICMat_ID]],DEQ_WIC_Matl[DEQWICMat_ID],0)),"TBD")</f>
        <v>TBD</v>
      </c>
      <c r="AD52" s="355" t="s">
        <v>1983</v>
      </c>
    </row>
    <row r="53" spans="15:30" x14ac:dyDescent="0.2">
      <c r="O53" s="34"/>
      <c r="P53" s="34"/>
      <c r="R53" s="212"/>
      <c r="S53" s="212"/>
      <c r="U53" s="212"/>
      <c r="V53" s="212"/>
      <c r="X53" s="4">
        <v>5321</v>
      </c>
      <c r="Y53" s="4" t="s">
        <v>760</v>
      </c>
      <c r="Z53" s="245">
        <v>8000</v>
      </c>
      <c r="AA53" s="4" t="str">
        <f>IFERROR(INDEX(Class[Class_Name],MATCH(SubMaterial[[#This Row],[Reporting_ID]],Class[Class_ID],0)),SubMaterial[[#This Row],[SubMaterial_Name]])</f>
        <v>Other materials</v>
      </c>
      <c r="AC53" s="355" t="str">
        <f>IFERROR(INDEX(DEQ_WIC_Matl[DEQWICMat_Name],MATCH(SubMaterial[[#This Row],[DEQWICMat_ID]],DEQ_WIC_Matl[DEQWICMat_ID],0)),"TBD")</f>
        <v>TBD</v>
      </c>
      <c r="AD53" s="355" t="s">
        <v>1972</v>
      </c>
    </row>
  </sheetData>
  <sheetProtection algorithmName="SHA-512" hashValue="iDFQd45cmA1sAn/ubFjMmGLxr14C32aWVr31ZdoVhoIsOM+YbbcH25CPLV0jGeZqebSx6bAN5ihVNcfvnN5dlg==" saltValue="ZUvYRnDBhdZBeSCkdJFIqg==" spinCount="100000" sheet="1" objects="1" scenarios="1" autoFilter="0"/>
  <pageMargins left="0.7" right="0.7" top="0.75" bottom="0.75" header="0.3" footer="0.3"/>
  <pageSetup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sheetPr>
  <dimension ref="B2:I29"/>
  <sheetViews>
    <sheetView workbookViewId="0">
      <selection activeCell="L18" sqref="L18"/>
    </sheetView>
  </sheetViews>
  <sheetFormatPr defaultColWidth="8.75" defaultRowHeight="12.75" x14ac:dyDescent="0.2"/>
  <cols>
    <col min="1" max="1" width="3" style="4" customWidth="1"/>
    <col min="2" max="2" width="11.5" style="4" customWidth="1"/>
    <col min="3" max="3" width="22.125" style="4" bestFit="1" customWidth="1"/>
    <col min="4" max="4" width="17.875" style="4" bestFit="1" customWidth="1"/>
    <col min="5" max="5" width="22.125" style="4" bestFit="1" customWidth="1"/>
    <col min="6" max="6" width="12.875" style="4" bestFit="1" customWidth="1"/>
    <col min="7" max="7" width="19.875" style="4" bestFit="1" customWidth="1"/>
    <col min="8" max="8" width="12.75" style="4" bestFit="1" customWidth="1"/>
    <col min="9" max="9" width="12.375" style="4" bestFit="1" customWidth="1"/>
    <col min="10" max="11" width="11" style="4" customWidth="1"/>
    <col min="12" max="12" width="8.75" style="4"/>
    <col min="13" max="13" width="7.75" style="4" customWidth="1"/>
    <col min="14" max="16384" width="8.75" style="4"/>
  </cols>
  <sheetData>
    <row r="2" spans="2:9" x14ac:dyDescent="0.2">
      <c r="B2" s="377" t="s">
        <v>1117</v>
      </c>
    </row>
    <row r="3" spans="2:9" x14ac:dyDescent="0.2">
      <c r="B3" s="380" t="s">
        <v>154</v>
      </c>
    </row>
    <row r="4" spans="2:9" s="355" customFormat="1" x14ac:dyDescent="0.2">
      <c r="B4" s="380"/>
    </row>
    <row r="5" spans="2:9" s="355" customFormat="1" x14ac:dyDescent="0.2">
      <c r="B5" s="380" t="s">
        <v>138</v>
      </c>
      <c r="C5" s="355" t="s">
        <v>2027</v>
      </c>
    </row>
    <row r="6" spans="2:9" s="355" customFormat="1" x14ac:dyDescent="0.2">
      <c r="B6" s="380" t="s">
        <v>1133</v>
      </c>
      <c r="C6" s="399">
        <v>43986.462497337961</v>
      </c>
      <c r="D6" s="410">
        <f ca="1">NOW()</f>
        <v>43992.342500578707</v>
      </c>
    </row>
    <row r="7" spans="2:9" s="355" customFormat="1" x14ac:dyDescent="0.2">
      <c r="B7" s="380"/>
    </row>
    <row r="8" spans="2:9" s="355" customFormat="1" x14ac:dyDescent="0.2">
      <c r="B8" s="380"/>
    </row>
    <row r="9" spans="2:9" ht="25.5" x14ac:dyDescent="0.2">
      <c r="B9" s="15" t="s">
        <v>877</v>
      </c>
      <c r="C9" s="15" t="s">
        <v>1116</v>
      </c>
      <c r="D9" s="15" t="s">
        <v>55</v>
      </c>
      <c r="E9" s="15" t="s">
        <v>56</v>
      </c>
      <c r="F9" s="15" t="s">
        <v>60</v>
      </c>
      <c r="G9" s="15" t="s">
        <v>1072</v>
      </c>
      <c r="H9" s="15" t="s">
        <v>1066</v>
      </c>
      <c r="I9" s="15" t="s">
        <v>1067</v>
      </c>
    </row>
    <row r="10" spans="2:9" ht="14.25" x14ac:dyDescent="0.2">
      <c r="B10" s="212" t="s">
        <v>876</v>
      </c>
      <c r="C10" s="212" t="str">
        <f>DepotTons[[#This Row],[Scenario_ID]]&amp;"tons"</f>
        <v>S0tons</v>
      </c>
      <c r="D10" s="212" t="str">
        <f>_xlfn.CONCAT(DepotTons[[#This Row],[Grouping_ID]],"-",DepotTons[[#This Row],[Sector_ID]])</f>
        <v>1-4</v>
      </c>
      <c r="E10" s="212">
        <v>1</v>
      </c>
      <c r="F10" s="212">
        <v>4</v>
      </c>
      <c r="G10"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3664.457679387614</v>
      </c>
      <c r="H10" s="218">
        <f>SUMIFS(INDEX(CaptureRate[#Data],,MATCH(DepotTons[[#This Row],[ScenarioColumn]],CaptureRate[#Headers],0)),CaptureRate[Group-Sector_ID],DepotTons[[#This Row],[Collection_ID]],CaptureRate[StartingStream_ID],"11")</f>
        <v>1208.699586158147</v>
      </c>
      <c r="I10" s="218">
        <f>SUMIFS(INDEX(CaptureRate[#Data],,MATCH(DepotTons[[#This Row],[ScenarioColumn]],CaptureRate[#Headers],0)),CaptureRate[Group-Sector_ID],DepotTons[[#This Row],[Collection_ID]],CaptureRate[StartingStream_ID],"12",CaptureRate[SubMaterial_ID],"2222")</f>
        <v>6.2861172686298535E-3</v>
      </c>
    </row>
    <row r="11" spans="2:9" ht="14.25" x14ac:dyDescent="0.2">
      <c r="B11" s="212" t="s">
        <v>876</v>
      </c>
      <c r="C11" s="212" t="str">
        <f>DepotTons[[#This Row],[Scenario_ID]]&amp;"tons"</f>
        <v>S0tons</v>
      </c>
      <c r="D11" s="212" t="str">
        <f>_xlfn.CONCAT(DepotTons[[#This Row],[Grouping_ID]],"-",DepotTons[[#This Row],[Sector_ID]])</f>
        <v>2-4</v>
      </c>
      <c r="E11" s="212">
        <v>2</v>
      </c>
      <c r="F11" s="212">
        <v>4</v>
      </c>
      <c r="G11"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18334.805521901158</v>
      </c>
      <c r="H11" s="218">
        <f>SUMIFS(INDEX(CaptureRate[#Data],,MATCH(DepotTons[[#This Row],[ScenarioColumn]],CaptureRate[#Headers],0)),CaptureRate[Group-Sector_ID],DepotTons[[#This Row],[Collection_ID]],CaptureRate[StartingStream_ID],"11")</f>
        <v>5211.3592078475976</v>
      </c>
      <c r="I11" s="218">
        <f>SUMIFS(INDEX(CaptureRate[#Data],,MATCH(DepotTons[[#This Row],[ScenarioColumn]],CaptureRate[#Headers],0)),CaptureRate[Group-Sector_ID],DepotTons[[#This Row],[Collection_ID]],CaptureRate[StartingStream_ID],"12",CaptureRate[SubMaterial_ID],"2222")</f>
        <v>9.9380642270274922E-3</v>
      </c>
    </row>
    <row r="12" spans="2:9" ht="14.25" x14ac:dyDescent="0.2">
      <c r="B12" s="212" t="s">
        <v>876</v>
      </c>
      <c r="C12" s="212" t="str">
        <f>DepotTons[[#This Row],[Scenario_ID]]&amp;"tons"</f>
        <v>S0tons</v>
      </c>
      <c r="D12" s="212" t="str">
        <f>_xlfn.CONCAT(DepotTons[[#This Row],[Grouping_ID]],"-",DepotTons[[#This Row],[Sector_ID]])</f>
        <v>3-4</v>
      </c>
      <c r="E12" s="212">
        <v>3</v>
      </c>
      <c r="F12" s="212">
        <v>4</v>
      </c>
      <c r="G12"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10448.678289681484</v>
      </c>
      <c r="H12" s="218">
        <f>SUMIFS(INDEX(CaptureRate[#Data],,MATCH(DepotTons[[#This Row],[ScenarioColumn]],CaptureRate[#Headers],0)),CaptureRate[Group-Sector_ID],DepotTons[[#This Row],[Collection_ID]],CaptureRate[StartingStream_ID],"11")</f>
        <v>1287.303248860916</v>
      </c>
      <c r="I12" s="218">
        <f>SUMIFS(INDEX(CaptureRate[#Data],,MATCH(DepotTons[[#This Row],[ScenarioColumn]],CaptureRate[#Headers],0)),CaptureRate[Group-Sector_ID],DepotTons[[#This Row],[Collection_ID]],CaptureRate[StartingStream_ID],"12",CaptureRate[SubMaterial_ID],"2222")</f>
        <v>2.5658071727014961E-3</v>
      </c>
    </row>
    <row r="13" spans="2:9" ht="14.25" x14ac:dyDescent="0.2">
      <c r="B13" s="212" t="s">
        <v>876</v>
      </c>
      <c r="C13" s="212" t="str">
        <f>DepotTons[[#This Row],[Scenario_ID]]&amp;"tons"</f>
        <v>S0tons</v>
      </c>
      <c r="D13" s="212" t="str">
        <f>_xlfn.CONCAT(DepotTons[[#This Row],[Grouping_ID]],"-",DepotTons[[#This Row],[Sector_ID]])</f>
        <v>4-4</v>
      </c>
      <c r="E13" s="212">
        <v>4</v>
      </c>
      <c r="F13" s="212">
        <v>4</v>
      </c>
      <c r="G13"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26783.080442024653</v>
      </c>
      <c r="H13" s="218">
        <f>SUMIFS(INDEX(CaptureRate[#Data],,MATCH(DepotTons[[#This Row],[ScenarioColumn]],CaptureRate[#Headers],0)),CaptureRate[Group-Sector_ID],DepotTons[[#This Row],[Collection_ID]],CaptureRate[StartingStream_ID],"11")</f>
        <v>11682.399622554176</v>
      </c>
      <c r="I13" s="218">
        <f>SUMIFS(INDEX(CaptureRate[#Data],,MATCH(DepotTons[[#This Row],[ScenarioColumn]],CaptureRate[#Headers],0)),CaptureRate[Group-Sector_ID],DepotTons[[#This Row],[Collection_ID]],CaptureRate[StartingStream_ID],"12",CaptureRate[SubMaterial_ID],"2222")</f>
        <v>0.11998597018828622</v>
      </c>
    </row>
    <row r="14" spans="2:9" ht="14.25" x14ac:dyDescent="0.2">
      <c r="B14" s="212" t="s">
        <v>875</v>
      </c>
      <c r="C14" s="212" t="str">
        <f>DepotTons[[#This Row],[Scenario_ID]]&amp;"tons"</f>
        <v>S1tons</v>
      </c>
      <c r="D14" s="212" t="str">
        <f>_xlfn.CONCAT(DepotTons[[#This Row],[Grouping_ID]],"-",DepotTons[[#This Row],[Sector_ID]])</f>
        <v>1-4</v>
      </c>
      <c r="E14" s="212">
        <v>1</v>
      </c>
      <c r="F14" s="212">
        <v>4</v>
      </c>
      <c r="G14"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3636.3089935633734</v>
      </c>
      <c r="H14" s="218">
        <f>SUMIFS(INDEX(CaptureRate[#Data],,MATCH(DepotTons[[#This Row],[ScenarioColumn]],CaptureRate[#Headers],0)),CaptureRate[Group-Sector_ID],DepotTons[[#This Row],[Collection_ID]],CaptureRate[StartingStream_ID],"11")</f>
        <v>1208.699586158147</v>
      </c>
      <c r="I14" s="218">
        <f>SUMIFS(INDEX(CaptureRate[#Data],,MATCH(DepotTons[[#This Row],[ScenarioColumn]],CaptureRate[#Headers],0)),CaptureRate[Group-Sector_ID],DepotTons[[#This Row],[Collection_ID]],CaptureRate[StartingStream_ID],"12",CaptureRate[SubMaterial_ID],"2222")</f>
        <v>6.2861172686298535E-3</v>
      </c>
    </row>
    <row r="15" spans="2:9" ht="14.25" x14ac:dyDescent="0.2">
      <c r="B15" s="212" t="s">
        <v>875</v>
      </c>
      <c r="C15" s="212" t="str">
        <f>DepotTons[[#This Row],[Scenario_ID]]&amp;"tons"</f>
        <v>S1tons</v>
      </c>
      <c r="D15" s="212" t="str">
        <f>_xlfn.CONCAT(DepotTons[[#This Row],[Grouping_ID]],"-",DepotTons[[#This Row],[Sector_ID]])</f>
        <v>2-4</v>
      </c>
      <c r="E15" s="212">
        <v>2</v>
      </c>
      <c r="F15" s="212">
        <v>4</v>
      </c>
      <c r="G15"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18016.935129789323</v>
      </c>
      <c r="H15" s="218">
        <f>SUMIFS(INDEX(CaptureRate[#Data],,MATCH(DepotTons[[#This Row],[ScenarioColumn]],CaptureRate[#Headers],0)),CaptureRate[Group-Sector_ID],DepotTons[[#This Row],[Collection_ID]],CaptureRate[StartingStream_ID],"11")</f>
        <v>5211.3592078475976</v>
      </c>
      <c r="I15" s="218">
        <f>SUMIFS(INDEX(CaptureRate[#Data],,MATCH(DepotTons[[#This Row],[ScenarioColumn]],CaptureRate[#Headers],0)),CaptureRate[Group-Sector_ID],DepotTons[[#This Row],[Collection_ID]],CaptureRate[StartingStream_ID],"12",CaptureRate[SubMaterial_ID],"2222")</f>
        <v>9.9380642270274922E-3</v>
      </c>
    </row>
    <row r="16" spans="2:9" ht="14.25" x14ac:dyDescent="0.2">
      <c r="B16" s="212" t="s">
        <v>875</v>
      </c>
      <c r="C16" s="212" t="str">
        <f>DepotTons[[#This Row],[Scenario_ID]]&amp;"tons"</f>
        <v>S1tons</v>
      </c>
      <c r="D16" s="212" t="str">
        <f>_xlfn.CONCAT(DepotTons[[#This Row],[Grouping_ID]],"-",DepotTons[[#This Row],[Sector_ID]])</f>
        <v>3-4</v>
      </c>
      <c r="E16" s="212">
        <v>3</v>
      </c>
      <c r="F16" s="212">
        <v>4</v>
      </c>
      <c r="G16"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10274.452187849536</v>
      </c>
      <c r="H16" s="218">
        <f>SUMIFS(INDEX(CaptureRate[#Data],,MATCH(DepotTons[[#This Row],[ScenarioColumn]],CaptureRate[#Headers],0)),CaptureRate[Group-Sector_ID],DepotTons[[#This Row],[Collection_ID]],CaptureRate[StartingStream_ID],"11")</f>
        <v>1287.303248860916</v>
      </c>
      <c r="I16" s="218">
        <f>SUMIFS(INDEX(CaptureRate[#Data],,MATCH(DepotTons[[#This Row],[ScenarioColumn]],CaptureRate[#Headers],0)),CaptureRate[Group-Sector_ID],DepotTons[[#This Row],[Collection_ID]],CaptureRate[StartingStream_ID],"12",CaptureRate[SubMaterial_ID],"2222")</f>
        <v>2.5658071727014961E-3</v>
      </c>
    </row>
    <row r="17" spans="2:9" ht="14.25" x14ac:dyDescent="0.2">
      <c r="B17" s="521" t="s">
        <v>875</v>
      </c>
      <c r="C17" s="521" t="str">
        <f>DepotTons[[#This Row],[Scenario_ID]]&amp;"tons"</f>
        <v>S1tons</v>
      </c>
      <c r="D17" s="521" t="str">
        <f>_xlfn.CONCAT(DepotTons[[#This Row],[Grouping_ID]],"-",DepotTons[[#This Row],[Sector_ID]])</f>
        <v>4-4</v>
      </c>
      <c r="E17" s="521">
        <v>4</v>
      </c>
      <c r="F17" s="521">
        <v>4</v>
      </c>
      <c r="G17"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26783.080442024653</v>
      </c>
      <c r="H17" s="218">
        <f>SUMIFS(INDEX(CaptureRate[#Data],,MATCH(DepotTons[[#This Row],[ScenarioColumn]],CaptureRate[#Headers],0)),CaptureRate[Group-Sector_ID],DepotTons[[#This Row],[Collection_ID]],CaptureRate[StartingStream_ID],"11")</f>
        <v>11682.399622554176</v>
      </c>
      <c r="I17" s="218">
        <f>SUMIFS(INDEX(CaptureRate[#Data],,MATCH(DepotTons[[#This Row],[ScenarioColumn]],CaptureRate[#Headers],0)),CaptureRate[Group-Sector_ID],DepotTons[[#This Row],[Collection_ID]],CaptureRate[StartingStream_ID],"12",CaptureRate[SubMaterial_ID],"2222")</f>
        <v>0.11998597018828622</v>
      </c>
    </row>
    <row r="18" spans="2:9" ht="14.25" x14ac:dyDescent="0.2">
      <c r="B18" s="212" t="s">
        <v>874</v>
      </c>
      <c r="C18" s="212" t="str">
        <f>DepotTons[[#This Row],[Scenario_ID]]&amp;"tons"</f>
        <v>S2tons</v>
      </c>
      <c r="D18" s="212" t="str">
        <f>_xlfn.CONCAT(DepotTons[[#This Row],[Grouping_ID]],"-",DepotTons[[#This Row],[Sector_ID]])</f>
        <v>1-4</v>
      </c>
      <c r="E18" s="212">
        <v>1</v>
      </c>
      <c r="F18" s="212">
        <v>4</v>
      </c>
      <c r="G18"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5163.2089814956544</v>
      </c>
      <c r="H18" s="218">
        <f>SUMIFS(INDEX(CaptureRate[#Data],,MATCH(DepotTons[[#This Row],[ScenarioColumn]],CaptureRate[#Headers],0)),CaptureRate[Group-Sector_ID],DepotTons[[#This Row],[Collection_ID]],CaptureRate[StartingStream_ID],"11")</f>
        <v>1208.699586158147</v>
      </c>
      <c r="I18" s="218">
        <f>SUMIFS(INDEX(CaptureRate[#Data],,MATCH(DepotTons[[#This Row],[ScenarioColumn]],CaptureRate[#Headers],0)),CaptureRate[Group-Sector_ID],DepotTons[[#This Row],[Collection_ID]],CaptureRate[StartingStream_ID],"12",CaptureRate[SubMaterial_ID],"2222")</f>
        <v>18.605991262459408</v>
      </c>
    </row>
    <row r="19" spans="2:9" ht="14.25" x14ac:dyDescent="0.2">
      <c r="B19" s="212" t="s">
        <v>874</v>
      </c>
      <c r="C19" s="212" t="str">
        <f>DepotTons[[#This Row],[Scenario_ID]]&amp;"tons"</f>
        <v>S2tons</v>
      </c>
      <c r="D19" s="212" t="str">
        <f>_xlfn.CONCAT(DepotTons[[#This Row],[Grouping_ID]],"-",DepotTons[[#This Row],[Sector_ID]])</f>
        <v>2-4</v>
      </c>
      <c r="E19" s="212">
        <v>2</v>
      </c>
      <c r="F19" s="212">
        <v>4</v>
      </c>
      <c r="G19"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18835.087949389555</v>
      </c>
      <c r="H19" s="218">
        <f>SUMIFS(INDEX(CaptureRate[#Data],,MATCH(DepotTons[[#This Row],[ScenarioColumn]],CaptureRate[#Headers],0)),CaptureRate[Group-Sector_ID],DepotTons[[#This Row],[Collection_ID]],CaptureRate[StartingStream_ID],"11")</f>
        <v>5211.3592078475976</v>
      </c>
      <c r="I19" s="218">
        <f>SUMIFS(INDEX(CaptureRate[#Data],,MATCH(DepotTons[[#This Row],[ScenarioColumn]],CaptureRate[#Headers],0)),CaptureRate[Group-Sector_ID],DepotTons[[#This Row],[Collection_ID]],CaptureRate[StartingStream_ID],"12",CaptureRate[SubMaterial_ID],"2222")</f>
        <v>3.7651731583104886</v>
      </c>
    </row>
    <row r="20" spans="2:9" ht="14.25" x14ac:dyDescent="0.2">
      <c r="B20" s="212" t="s">
        <v>874</v>
      </c>
      <c r="C20" s="212" t="str">
        <f>DepotTons[[#This Row],[Scenario_ID]]&amp;"tons"</f>
        <v>S2tons</v>
      </c>
      <c r="D20" s="212" t="str">
        <f>_xlfn.CONCAT(DepotTons[[#This Row],[Grouping_ID]],"-",DepotTons[[#This Row],[Sector_ID]])</f>
        <v>3-4</v>
      </c>
      <c r="E20" s="212">
        <v>3</v>
      </c>
      <c r="F20" s="212">
        <v>4</v>
      </c>
      <c r="G20"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11205.149482173467</v>
      </c>
      <c r="H20" s="218">
        <f>SUMIFS(INDEX(CaptureRate[#Data],,MATCH(DepotTons[[#This Row],[ScenarioColumn]],CaptureRate[#Headers],0)),CaptureRate[Group-Sector_ID],DepotTons[[#This Row],[Collection_ID]],CaptureRate[StartingStream_ID],"11")</f>
        <v>1287.303248860916</v>
      </c>
      <c r="I20" s="218">
        <f>SUMIFS(INDEX(CaptureRate[#Data],,MATCH(DepotTons[[#This Row],[ScenarioColumn]],CaptureRate[#Headers],0)),CaptureRate[Group-Sector_ID],DepotTons[[#This Row],[Collection_ID]],CaptureRate[StartingStream_ID],"12",CaptureRate[SubMaterial_ID],"2222")</f>
        <v>11.787642285154265</v>
      </c>
    </row>
    <row r="21" spans="2:9" ht="14.25" x14ac:dyDescent="0.2">
      <c r="B21" s="212" t="s">
        <v>874</v>
      </c>
      <c r="C21" s="212" t="str">
        <f>DepotTons[[#This Row],[Scenario_ID]]&amp;"tons"</f>
        <v>S2tons</v>
      </c>
      <c r="D21" s="212" t="str">
        <f>_xlfn.CONCAT(DepotTons[[#This Row],[Grouping_ID]],"-",DepotTons[[#This Row],[Sector_ID]])</f>
        <v>4-4</v>
      </c>
      <c r="E21" s="212">
        <v>4</v>
      </c>
      <c r="F21" s="212">
        <v>4</v>
      </c>
      <c r="G21"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28684.684632878023</v>
      </c>
      <c r="H21" s="218">
        <f>SUMIFS(INDEX(CaptureRate[#Data],,MATCH(DepotTons[[#This Row],[ScenarioColumn]],CaptureRate[#Headers],0)),CaptureRate[Group-Sector_ID],DepotTons[[#This Row],[Collection_ID]],CaptureRate[StartingStream_ID],"11")</f>
        <v>11682.399622554176</v>
      </c>
      <c r="I21" s="218">
        <f>SUMIFS(INDEX(CaptureRate[#Data],,MATCH(DepotTons[[#This Row],[ScenarioColumn]],CaptureRate[#Headers],0)),CaptureRate[Group-Sector_ID],DepotTons[[#This Row],[Collection_ID]],CaptureRate[StartingStream_ID],"12",CaptureRate[SubMaterial_ID],"2222")</f>
        <v>98.673497023244337</v>
      </c>
    </row>
    <row r="22" spans="2:9" ht="14.25" x14ac:dyDescent="0.2">
      <c r="B22" s="212" t="s">
        <v>873</v>
      </c>
      <c r="C22" s="212" t="str">
        <f>DepotTons[[#This Row],[Scenario_ID]]&amp;"tons"</f>
        <v>S3tons</v>
      </c>
      <c r="D22" s="212" t="str">
        <f>_xlfn.CONCAT(DepotTons[[#This Row],[Grouping_ID]],"-",DepotTons[[#This Row],[Sector_ID]])</f>
        <v>1-4</v>
      </c>
      <c r="E22" s="212">
        <v>1</v>
      </c>
      <c r="F22" s="212">
        <v>4</v>
      </c>
      <c r="G22"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5163.2089814956544</v>
      </c>
      <c r="H22" s="218">
        <f>SUMIFS(INDEX(CaptureRate[#Data],,MATCH(DepotTons[[#This Row],[ScenarioColumn]],CaptureRate[#Headers],0)),CaptureRate[Group-Sector_ID],DepotTons[[#This Row],[Collection_ID]],CaptureRate[StartingStream_ID],"11")</f>
        <v>1208.699586158147</v>
      </c>
      <c r="I22" s="218">
        <f>SUMIFS(INDEX(CaptureRate[#Data],,MATCH(DepotTons[[#This Row],[ScenarioColumn]],CaptureRate[#Headers],0)),CaptureRate[Group-Sector_ID],DepotTons[[#This Row],[Collection_ID]],CaptureRate[StartingStream_ID],"12",CaptureRate[SubMaterial_ID],"2222")</f>
        <v>18.605991262459408</v>
      </c>
    </row>
    <row r="23" spans="2:9" ht="14.25" x14ac:dyDescent="0.2">
      <c r="B23" s="212" t="s">
        <v>873</v>
      </c>
      <c r="C23" s="212" t="str">
        <f>DepotTons[[#This Row],[Scenario_ID]]&amp;"tons"</f>
        <v>S3tons</v>
      </c>
      <c r="D23" s="212" t="str">
        <f>_xlfn.CONCAT(DepotTons[[#This Row],[Grouping_ID]],"-",DepotTons[[#This Row],[Sector_ID]])</f>
        <v>2-4</v>
      </c>
      <c r="E23" s="212">
        <v>2</v>
      </c>
      <c r="F23" s="212">
        <v>4</v>
      </c>
      <c r="G23"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18835.087949389555</v>
      </c>
      <c r="H23" s="218">
        <f>SUMIFS(INDEX(CaptureRate[#Data],,MATCH(DepotTons[[#This Row],[ScenarioColumn]],CaptureRate[#Headers],0)),CaptureRate[Group-Sector_ID],DepotTons[[#This Row],[Collection_ID]],CaptureRate[StartingStream_ID],"11")</f>
        <v>5211.3592078475976</v>
      </c>
      <c r="I23" s="218">
        <f>SUMIFS(INDEX(CaptureRate[#Data],,MATCH(DepotTons[[#This Row],[ScenarioColumn]],CaptureRate[#Headers],0)),CaptureRate[Group-Sector_ID],DepotTons[[#This Row],[Collection_ID]],CaptureRate[StartingStream_ID],"12",CaptureRate[SubMaterial_ID],"2222")</f>
        <v>3.7651731583104886</v>
      </c>
    </row>
    <row r="24" spans="2:9" ht="14.25" x14ac:dyDescent="0.2">
      <c r="B24" s="212" t="s">
        <v>873</v>
      </c>
      <c r="C24" s="212" t="str">
        <f>DepotTons[[#This Row],[Scenario_ID]]&amp;"tons"</f>
        <v>S3tons</v>
      </c>
      <c r="D24" s="212" t="str">
        <f>_xlfn.CONCAT(DepotTons[[#This Row],[Grouping_ID]],"-",DepotTons[[#This Row],[Sector_ID]])</f>
        <v>3-4</v>
      </c>
      <c r="E24" s="212">
        <v>3</v>
      </c>
      <c r="F24" s="212">
        <v>4</v>
      </c>
      <c r="G24"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11205.149482173467</v>
      </c>
      <c r="H24" s="218">
        <f>SUMIFS(INDEX(CaptureRate[#Data],,MATCH(DepotTons[[#This Row],[ScenarioColumn]],CaptureRate[#Headers],0)),CaptureRate[Group-Sector_ID],DepotTons[[#This Row],[Collection_ID]],CaptureRate[StartingStream_ID],"11")</f>
        <v>1287.303248860916</v>
      </c>
      <c r="I24" s="218">
        <f>SUMIFS(INDEX(CaptureRate[#Data],,MATCH(DepotTons[[#This Row],[ScenarioColumn]],CaptureRate[#Headers],0)),CaptureRate[Group-Sector_ID],DepotTons[[#This Row],[Collection_ID]],CaptureRate[StartingStream_ID],"12",CaptureRate[SubMaterial_ID],"2222")</f>
        <v>11.787642285154265</v>
      </c>
    </row>
    <row r="25" spans="2:9" ht="14.25" x14ac:dyDescent="0.2">
      <c r="B25" s="212" t="s">
        <v>873</v>
      </c>
      <c r="C25" s="212" t="str">
        <f>DepotTons[[#This Row],[Scenario_ID]]&amp;"tons"</f>
        <v>S3tons</v>
      </c>
      <c r="D25" s="212" t="str">
        <f>_xlfn.CONCAT(DepotTons[[#This Row],[Grouping_ID]],"-",DepotTons[[#This Row],[Sector_ID]])</f>
        <v>4-4</v>
      </c>
      <c r="E25" s="212">
        <v>4</v>
      </c>
      <c r="F25" s="212">
        <v>4</v>
      </c>
      <c r="G25"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28684.684632878023</v>
      </c>
      <c r="H25" s="218">
        <f>SUMIFS(INDEX(CaptureRate[#Data],,MATCH(DepotTons[[#This Row],[ScenarioColumn]],CaptureRate[#Headers],0)),CaptureRate[Group-Sector_ID],DepotTons[[#This Row],[Collection_ID]],CaptureRate[StartingStream_ID],"11")</f>
        <v>11682.399622554176</v>
      </c>
      <c r="I25" s="218">
        <f>SUMIFS(INDEX(CaptureRate[#Data],,MATCH(DepotTons[[#This Row],[ScenarioColumn]],CaptureRate[#Headers],0)),CaptureRate[Group-Sector_ID],DepotTons[[#This Row],[Collection_ID]],CaptureRate[StartingStream_ID],"12",CaptureRate[SubMaterial_ID],"2222")</f>
        <v>98.673497023244337</v>
      </c>
    </row>
    <row r="26" spans="2:9" ht="14.25" x14ac:dyDescent="0.2">
      <c r="B26" s="212" t="s">
        <v>870</v>
      </c>
      <c r="C26" s="212" t="str">
        <f>DepotTons[[#This Row],[Scenario_ID]]&amp;"tons"</f>
        <v>S4tons</v>
      </c>
      <c r="D26" s="212" t="str">
        <f>_xlfn.CONCAT(DepotTons[[#This Row],[Grouping_ID]],"-",DepotTons[[#This Row],[Sector_ID]])</f>
        <v>1-4</v>
      </c>
      <c r="E26" s="212">
        <v>1</v>
      </c>
      <c r="F26" s="212">
        <v>4</v>
      </c>
      <c r="G26"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4918.3527049698951</v>
      </c>
      <c r="H26" s="218">
        <f>SUMIFS(INDEX(CaptureRate[#Data],,MATCH(DepotTons[[#This Row],[ScenarioColumn]],CaptureRate[#Headers],0)),CaptureRate[Group-Sector_ID],DepotTons[[#This Row],[Collection_ID]],CaptureRate[StartingStream_ID],"11")</f>
        <v>1208.699586158147</v>
      </c>
      <c r="I26" s="218">
        <f>SUMIFS(INDEX(CaptureRate[#Data],,MATCH(DepotTons[[#This Row],[ScenarioColumn]],CaptureRate[#Headers],0)),CaptureRate[Group-Sector_ID],DepotTons[[#This Row],[Collection_ID]],CaptureRate[StartingStream_ID],"12",CaptureRate[SubMaterial_ID],"2222")</f>
        <v>18.605991262459408</v>
      </c>
    </row>
    <row r="27" spans="2:9" ht="14.25" x14ac:dyDescent="0.2">
      <c r="B27" s="212" t="s">
        <v>870</v>
      </c>
      <c r="C27" s="212" t="str">
        <f>DepotTons[[#This Row],[Scenario_ID]]&amp;"tons"</f>
        <v>S4tons</v>
      </c>
      <c r="D27" s="212" t="str">
        <f>_xlfn.CONCAT(DepotTons[[#This Row],[Grouping_ID]],"-",DepotTons[[#This Row],[Sector_ID]])</f>
        <v>2-4</v>
      </c>
      <c r="E27" s="212">
        <v>2</v>
      </c>
      <c r="F27" s="212">
        <v>4</v>
      </c>
      <c r="G27"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18692.702343800727</v>
      </c>
      <c r="H27" s="218">
        <f>SUMIFS(INDEX(CaptureRate[#Data],,MATCH(DepotTons[[#This Row],[ScenarioColumn]],CaptureRate[#Headers],0)),CaptureRate[Group-Sector_ID],DepotTons[[#This Row],[Collection_ID]],CaptureRate[StartingStream_ID],"11")</f>
        <v>5211.3592078475976</v>
      </c>
      <c r="I27" s="218">
        <f>SUMIFS(INDEX(CaptureRate[#Data],,MATCH(DepotTons[[#This Row],[ScenarioColumn]],CaptureRate[#Headers],0)),CaptureRate[Group-Sector_ID],DepotTons[[#This Row],[Collection_ID]],CaptureRate[StartingStream_ID],"12",CaptureRate[SubMaterial_ID],"2222")</f>
        <v>3.7651731583104886</v>
      </c>
    </row>
    <row r="28" spans="2:9" ht="14.25" x14ac:dyDescent="0.2">
      <c r="B28" s="212" t="s">
        <v>870</v>
      </c>
      <c r="C28" s="212" t="str">
        <f>DepotTons[[#This Row],[Scenario_ID]]&amp;"tons"</f>
        <v>S4tons</v>
      </c>
      <c r="D28" s="212" t="str">
        <f>_xlfn.CONCAT(DepotTons[[#This Row],[Grouping_ID]],"-",DepotTons[[#This Row],[Sector_ID]])</f>
        <v>3-4</v>
      </c>
      <c r="E28" s="212">
        <v>3</v>
      </c>
      <c r="F28" s="212">
        <v>4</v>
      </c>
      <c r="G28"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11199.167033753847</v>
      </c>
      <c r="H28" s="218">
        <f>SUMIFS(INDEX(CaptureRate[#Data],,MATCH(DepotTons[[#This Row],[ScenarioColumn]],CaptureRate[#Headers],0)),CaptureRate[Group-Sector_ID],DepotTons[[#This Row],[Collection_ID]],CaptureRate[StartingStream_ID],"11")</f>
        <v>1287.303248860916</v>
      </c>
      <c r="I28" s="218">
        <f>SUMIFS(INDEX(CaptureRate[#Data],,MATCH(DepotTons[[#This Row],[ScenarioColumn]],CaptureRate[#Headers],0)),CaptureRate[Group-Sector_ID],DepotTons[[#This Row],[Collection_ID]],CaptureRate[StartingStream_ID],"12",CaptureRate[SubMaterial_ID],"2222")</f>
        <v>11.787642285154265</v>
      </c>
    </row>
    <row r="29" spans="2:9" ht="14.25" x14ac:dyDescent="0.2">
      <c r="B29" s="212" t="s">
        <v>870</v>
      </c>
      <c r="C29" s="212" t="str">
        <f>DepotTons[[#This Row],[Scenario_ID]]&amp;"tons"</f>
        <v>S4tons</v>
      </c>
      <c r="D29" s="212" t="str">
        <f>_xlfn.CONCAT(DepotTons[[#This Row],[Grouping_ID]],"-",DepotTons[[#This Row],[Sector_ID]])</f>
        <v>4-4</v>
      </c>
      <c r="E29" s="212">
        <v>4</v>
      </c>
      <c r="F29" s="212">
        <v>4</v>
      </c>
      <c r="G29" s="218">
        <f>SUMIFS(INDEX(CaptureRate[#Data],,MATCH(DepotTons[[#This Row],[ScenarioColumn]],CaptureRate[#Headers],0)),CaptureRate[Group-Sector_ID],DepotTons[[#This Row],[Collection_ID]],CaptureRate[StartingStream_ID],"01")+
SUMIFS(INDEX(CaptureRate[#Data],,MATCH(DepotTons[[#This Row],[ScenarioColumn]],CaptureRate[#Headers],0)),CaptureRate[Group-Sector_ID],DepotTons[[#This Row],[Collection_ID]],CaptureRate[StartingStream_ID],"02")+
SUMIFS(INDEX(CaptureRate[#Data],,MATCH(DepotTons[[#This Row],[ScenarioColumn]],CaptureRate[#Headers],0)),CaptureRate[Group-Sector_ID],DepotTons[[#This Row],[Collection_ID]],CaptureRate[StartingStream_ID],"12")</f>
        <v>28684.684632878023</v>
      </c>
      <c r="H29" s="218">
        <f>SUMIFS(INDEX(CaptureRate[#Data],,MATCH(DepotTons[[#This Row],[ScenarioColumn]],CaptureRate[#Headers],0)),CaptureRate[Group-Sector_ID],DepotTons[[#This Row],[Collection_ID]],CaptureRate[StartingStream_ID],"11")</f>
        <v>11682.399622554176</v>
      </c>
      <c r="I29" s="218">
        <f>SUMIFS(INDEX(CaptureRate[#Data],,MATCH(DepotTons[[#This Row],[ScenarioColumn]],CaptureRate[#Headers],0)),CaptureRate[Group-Sector_ID],DepotTons[[#This Row],[Collection_ID]],CaptureRate[StartingStream_ID],"12",CaptureRate[SubMaterial_ID],"2222")</f>
        <v>98.673497023244337</v>
      </c>
    </row>
  </sheetData>
  <pageMargins left="0.7" right="0.7" top="0.75" bottom="0.75" header="0.3" footer="0.3"/>
  <pageSetup orientation="portrait" horizontalDpi="1200" verticalDpi="12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353A-881E-4C01-A54A-FA24A40B4E42}">
  <sheetPr>
    <tabColor theme="6"/>
  </sheetPr>
  <dimension ref="A1:AX4010"/>
  <sheetViews>
    <sheetView topLeftCell="A3203" workbookViewId="0">
      <selection activeCell="G3370" sqref="G3370"/>
    </sheetView>
  </sheetViews>
  <sheetFormatPr defaultRowHeight="14.25" x14ac:dyDescent="0.2"/>
  <cols>
    <col min="2" max="2" width="12" bestFit="1" customWidth="1"/>
  </cols>
  <sheetData>
    <row r="1" spans="1:50" x14ac:dyDescent="0.2">
      <c r="A1" s="453"/>
      <c r="B1" s="453" t="s">
        <v>2224</v>
      </c>
      <c r="C1" s="453"/>
    </row>
    <row r="2" spans="1:50" x14ac:dyDescent="0.2">
      <c r="A2" s="352" t="s">
        <v>138</v>
      </c>
      <c r="B2" s="352" t="s">
        <v>2225</v>
      </c>
      <c r="C2" s="352"/>
    </row>
    <row r="3" spans="1:50" x14ac:dyDescent="0.2">
      <c r="A3" s="352" t="s">
        <v>1133</v>
      </c>
      <c r="B3" s="588">
        <v>43986.213895138892</v>
      </c>
      <c r="C3" s="454">
        <f ca="1">NOW()</f>
        <v>43992.342500578707</v>
      </c>
    </row>
    <row r="4" spans="1:50" x14ac:dyDescent="0.2">
      <c r="A4" s="352" t="s">
        <v>2226</v>
      </c>
      <c r="B4" s="352" t="s">
        <v>2227</v>
      </c>
      <c r="C4" s="352"/>
    </row>
    <row r="5" spans="1:50" x14ac:dyDescent="0.2">
      <c r="A5" s="352" t="s">
        <v>2228</v>
      </c>
      <c r="B5" s="352" t="s">
        <v>2229</v>
      </c>
      <c r="C5" s="455"/>
    </row>
    <row r="13" spans="1:50" x14ac:dyDescent="0.2">
      <c r="R13" s="352"/>
      <c r="S13" s="488" t="s">
        <v>3539</v>
      </c>
      <c r="T13" s="489"/>
      <c r="U13" s="489"/>
      <c r="V13" s="489"/>
      <c r="W13" s="489"/>
      <c r="X13" s="490" t="s">
        <v>3540</v>
      </c>
      <c r="Y13" s="490"/>
      <c r="Z13" s="490"/>
      <c r="AA13" s="490"/>
      <c r="AB13" s="490"/>
      <c r="AC13" s="352" t="s">
        <v>3541</v>
      </c>
      <c r="AD13" s="352" t="s">
        <v>3542</v>
      </c>
      <c r="AE13" s="352" t="s">
        <v>3542</v>
      </c>
      <c r="AF13" s="352" t="s">
        <v>3542</v>
      </c>
      <c r="AG13" s="352" t="s">
        <v>3542</v>
      </c>
      <c r="AH13" s="352" t="s">
        <v>3542</v>
      </c>
      <c r="AI13" s="352" t="s">
        <v>3542</v>
      </c>
      <c r="AJ13" s="352" t="s">
        <v>3542</v>
      </c>
      <c r="AK13" s="352" t="s">
        <v>3542</v>
      </c>
      <c r="AL13" s="352" t="s">
        <v>3542</v>
      </c>
      <c r="AM13" s="352" t="s">
        <v>3542</v>
      </c>
      <c r="AN13" s="352" t="s">
        <v>3542</v>
      </c>
      <c r="AO13" s="352" t="s">
        <v>3542</v>
      </c>
      <c r="AP13" s="352" t="s">
        <v>3542</v>
      </c>
      <c r="AQ13" s="352" t="s">
        <v>3542</v>
      </c>
      <c r="AR13" s="352"/>
      <c r="AS13" s="352"/>
      <c r="AT13" s="352"/>
      <c r="AU13" s="352"/>
      <c r="AV13" s="352"/>
      <c r="AW13" s="352"/>
      <c r="AX13" s="352"/>
    </row>
    <row r="14" spans="1:50" x14ac:dyDescent="0.2">
      <c r="B14" s="456" t="s">
        <v>2230</v>
      </c>
      <c r="C14" s="456" t="s">
        <v>959</v>
      </c>
      <c r="D14" s="456" t="s">
        <v>2231</v>
      </c>
      <c r="E14" s="456" t="s">
        <v>2232</v>
      </c>
      <c r="F14" s="457" t="s">
        <v>56</v>
      </c>
      <c r="G14" s="457" t="s">
        <v>60</v>
      </c>
      <c r="H14" s="457" t="s">
        <v>692</v>
      </c>
      <c r="I14" s="352" t="s">
        <v>693</v>
      </c>
      <c r="J14" s="352" t="s">
        <v>961</v>
      </c>
      <c r="K14" s="378" t="s">
        <v>1910</v>
      </c>
      <c r="L14" s="378" t="s">
        <v>2233</v>
      </c>
      <c r="M14" s="352" t="s">
        <v>2234</v>
      </c>
      <c r="N14" s="352" t="s">
        <v>687</v>
      </c>
      <c r="O14" s="457" t="s">
        <v>690</v>
      </c>
      <c r="P14" s="352" t="s">
        <v>691</v>
      </c>
      <c r="Q14" s="458" t="s">
        <v>2235</v>
      </c>
      <c r="R14" s="457" t="s">
        <v>2236</v>
      </c>
      <c r="S14" s="457" t="s">
        <v>2237</v>
      </c>
      <c r="T14" s="457" t="s">
        <v>2238</v>
      </c>
      <c r="U14" s="457" t="s">
        <v>2239</v>
      </c>
      <c r="V14" s="457" t="s">
        <v>2240</v>
      </c>
      <c r="W14" s="458" t="s">
        <v>2241</v>
      </c>
      <c r="X14" s="458" t="s">
        <v>2242</v>
      </c>
      <c r="Y14" s="458" t="s">
        <v>2243</v>
      </c>
      <c r="Z14" s="458" t="s">
        <v>2244</v>
      </c>
      <c r="AA14" s="458" t="s">
        <v>2245</v>
      </c>
      <c r="AB14" s="352" t="s">
        <v>1135</v>
      </c>
      <c r="AC14" s="352" t="s">
        <v>2246</v>
      </c>
      <c r="AD14" s="352" t="s">
        <v>2247</v>
      </c>
      <c r="AE14" s="352" t="s">
        <v>1140</v>
      </c>
      <c r="AF14" s="352" t="s">
        <v>2248</v>
      </c>
      <c r="AG14" s="352" t="s">
        <v>2249</v>
      </c>
      <c r="AH14" s="352" t="s">
        <v>1141</v>
      </c>
      <c r="AI14" s="352" t="s">
        <v>2250</v>
      </c>
      <c r="AJ14" s="352" t="s">
        <v>2251</v>
      </c>
      <c r="AK14" s="352" t="s">
        <v>1142</v>
      </c>
      <c r="AL14" s="352" t="s">
        <v>2252</v>
      </c>
      <c r="AM14" s="352" t="s">
        <v>2253</v>
      </c>
      <c r="AN14" s="352" t="s">
        <v>1143</v>
      </c>
      <c r="AO14" s="352" t="s">
        <v>2254</v>
      </c>
      <c r="AP14" s="352" t="s">
        <v>2255</v>
      </c>
      <c r="AQ14" s="352" t="s">
        <v>2256</v>
      </c>
      <c r="AR14" s="352" t="s">
        <v>2257</v>
      </c>
      <c r="AS14" s="352" t="s">
        <v>2258</v>
      </c>
      <c r="AT14" s="352" t="s">
        <v>2259</v>
      </c>
      <c r="AU14" s="352" t="s">
        <v>2260</v>
      </c>
      <c r="AV14" s="352" t="s">
        <v>2261</v>
      </c>
      <c r="AW14" s="459" t="s">
        <v>2262</v>
      </c>
    </row>
    <row r="15" spans="1:50" x14ac:dyDescent="0.2">
      <c r="B15" s="460" t="s">
        <v>2263</v>
      </c>
      <c r="C15" s="460">
        <v>1111</v>
      </c>
      <c r="D15" s="460" t="s">
        <v>2264</v>
      </c>
      <c r="E15" s="460" t="s">
        <v>2265</v>
      </c>
      <c r="F15" s="460">
        <v>1</v>
      </c>
      <c r="G15" s="460">
        <v>1</v>
      </c>
      <c r="H15" s="461" t="s">
        <v>700</v>
      </c>
      <c r="I15" s="461" t="s">
        <v>872</v>
      </c>
      <c r="J15" s="461" t="s">
        <v>700</v>
      </c>
      <c r="K15" s="594"/>
      <c r="L15" s="594"/>
      <c r="M15" s="352">
        <v>1000</v>
      </c>
      <c r="N15" s="460" t="s">
        <v>698</v>
      </c>
      <c r="O15" s="460">
        <v>1111</v>
      </c>
      <c r="P15" s="460" t="s">
        <v>699</v>
      </c>
      <c r="Q15" s="460" t="s">
        <v>2266</v>
      </c>
      <c r="R15" s="460">
        <v>1111</v>
      </c>
      <c r="S15" s="460" t="s">
        <v>2265</v>
      </c>
      <c r="T15" s="462">
        <v>1</v>
      </c>
      <c r="U15" s="460" t="s">
        <v>2265</v>
      </c>
      <c r="V15" s="462">
        <v>0</v>
      </c>
      <c r="W15" s="463" t="s">
        <v>2267</v>
      </c>
      <c r="X15" s="463" t="s">
        <v>2267</v>
      </c>
      <c r="Y15" s="463" t="s">
        <v>2268</v>
      </c>
      <c r="Z15" s="463"/>
      <c r="AA15" s="463"/>
      <c r="AB15" s="464">
        <v>38663.784344062769</v>
      </c>
      <c r="AC15" s="465">
        <v>0.87770697159461974</v>
      </c>
      <c r="AD15" s="465">
        <v>0.35854609817949595</v>
      </c>
      <c r="AE15" s="466">
        <v>38663.784344062769</v>
      </c>
      <c r="AF15" s="467">
        <v>0.87770697159461974</v>
      </c>
      <c r="AG15" s="468">
        <v>0.38300227292752248</v>
      </c>
      <c r="AH15" s="469">
        <v>38663.784344062769</v>
      </c>
      <c r="AI15" s="470">
        <v>0.87770697159461974</v>
      </c>
      <c r="AJ15" s="471">
        <v>0.36867229821851727</v>
      </c>
      <c r="AK15" s="469">
        <v>38663.784344062769</v>
      </c>
      <c r="AL15" s="470">
        <v>0.87770697159461974</v>
      </c>
      <c r="AM15" s="471">
        <v>0.36867229821851727</v>
      </c>
      <c r="AN15" s="472">
        <v>0</v>
      </c>
      <c r="AO15" s="473">
        <v>0</v>
      </c>
      <c r="AP15" s="474">
        <v>0</v>
      </c>
      <c r="AQ15" s="352"/>
      <c r="AR15" s="352"/>
      <c r="AS15" s="352"/>
      <c r="AT15" s="352"/>
      <c r="AU15" s="352"/>
      <c r="AV15" s="352"/>
      <c r="AW15" s="352" t="s">
        <v>254</v>
      </c>
    </row>
    <row r="16" spans="1:50" x14ac:dyDescent="0.2">
      <c r="B16" s="460" t="s">
        <v>2269</v>
      </c>
      <c r="C16" s="460">
        <v>1111</v>
      </c>
      <c r="D16" s="460" t="s">
        <v>2270</v>
      </c>
      <c r="E16" s="460" t="s">
        <v>2271</v>
      </c>
      <c r="F16" s="460">
        <v>2</v>
      </c>
      <c r="G16" s="460">
        <v>1</v>
      </c>
      <c r="H16" s="461" t="s">
        <v>700</v>
      </c>
      <c r="I16" s="461" t="s">
        <v>872</v>
      </c>
      <c r="J16" s="461" t="s">
        <v>700</v>
      </c>
      <c r="K16" s="594"/>
      <c r="L16" s="594"/>
      <c r="M16" s="352">
        <v>1000</v>
      </c>
      <c r="N16" s="352" t="s">
        <v>698</v>
      </c>
      <c r="O16" s="460">
        <v>1111</v>
      </c>
      <c r="P16" s="460" t="s">
        <v>699</v>
      </c>
      <c r="Q16" s="460" t="s">
        <v>2266</v>
      </c>
      <c r="R16" s="460">
        <v>1111</v>
      </c>
      <c r="S16" s="460" t="s">
        <v>2265</v>
      </c>
      <c r="T16" s="462">
        <v>1</v>
      </c>
      <c r="U16" s="460" t="s">
        <v>2271</v>
      </c>
      <c r="V16" s="475">
        <v>0</v>
      </c>
      <c r="W16" s="463" t="s">
        <v>2267</v>
      </c>
      <c r="X16" s="463" t="s">
        <v>2267</v>
      </c>
      <c r="Y16" s="463" t="s">
        <v>2268</v>
      </c>
      <c r="Z16" s="463"/>
      <c r="AA16" s="463"/>
      <c r="AB16" s="464">
        <v>28409.937308780889</v>
      </c>
      <c r="AC16" s="465">
        <v>0.87894203827727269</v>
      </c>
      <c r="AD16" s="465">
        <v>0.35247621395891154</v>
      </c>
      <c r="AE16" s="476">
        <v>28409.937308780889</v>
      </c>
      <c r="AF16" s="467">
        <v>0.87894203827727269</v>
      </c>
      <c r="AG16" s="468">
        <v>0.38196481514575764</v>
      </c>
      <c r="AH16" s="218">
        <v>28409.937308780889</v>
      </c>
      <c r="AI16" s="470">
        <v>0.87894203827727269</v>
      </c>
      <c r="AJ16" s="471">
        <v>0.33541906891043138</v>
      </c>
      <c r="AK16" s="218">
        <v>28409.937308780889</v>
      </c>
      <c r="AL16" s="470">
        <v>0.87894203827727269</v>
      </c>
      <c r="AM16" s="471">
        <v>0.33541906891043138</v>
      </c>
      <c r="AN16" s="477">
        <v>0</v>
      </c>
      <c r="AO16" s="473">
        <v>0</v>
      </c>
      <c r="AP16" s="474">
        <v>0</v>
      </c>
      <c r="AQ16" s="352"/>
      <c r="AR16" s="352"/>
      <c r="AS16" s="352"/>
      <c r="AT16" s="352"/>
      <c r="AU16" s="352"/>
      <c r="AV16" s="352"/>
      <c r="AW16" s="352" t="s">
        <v>254</v>
      </c>
    </row>
    <row r="17" spans="2:49" x14ac:dyDescent="0.2">
      <c r="B17" s="460" t="s">
        <v>2272</v>
      </c>
      <c r="C17" s="460">
        <v>1111</v>
      </c>
      <c r="D17" s="460" t="s">
        <v>2273</v>
      </c>
      <c r="E17" s="460" t="s">
        <v>2274</v>
      </c>
      <c r="F17" s="460">
        <v>3</v>
      </c>
      <c r="G17" s="460">
        <v>1</v>
      </c>
      <c r="H17" s="461" t="s">
        <v>700</v>
      </c>
      <c r="I17" s="461" t="s">
        <v>872</v>
      </c>
      <c r="J17" s="461" t="s">
        <v>700</v>
      </c>
      <c r="K17" s="594"/>
      <c r="L17" s="594"/>
      <c r="M17" s="352">
        <v>1000</v>
      </c>
      <c r="N17" s="352" t="s">
        <v>698</v>
      </c>
      <c r="O17" s="460">
        <v>1111</v>
      </c>
      <c r="P17" s="460" t="s">
        <v>699</v>
      </c>
      <c r="Q17" s="460" t="s">
        <v>2266</v>
      </c>
      <c r="R17" s="460">
        <v>1111</v>
      </c>
      <c r="S17" s="460" t="s">
        <v>2265</v>
      </c>
      <c r="T17" s="462">
        <v>0.74223365950407583</v>
      </c>
      <c r="U17" s="460" t="s">
        <v>2274</v>
      </c>
      <c r="V17" s="475">
        <v>0</v>
      </c>
      <c r="W17" s="463" t="s">
        <v>2267</v>
      </c>
      <c r="X17" s="463" t="s">
        <v>2267</v>
      </c>
      <c r="Y17" s="463" t="s">
        <v>2268</v>
      </c>
      <c r="Z17" s="463"/>
      <c r="AA17" s="463"/>
      <c r="AB17" s="464">
        <v>7146.9001702416608</v>
      </c>
      <c r="AC17" s="465">
        <v>0.634021129898658</v>
      </c>
      <c r="AD17" s="465">
        <v>0.35355469077280111</v>
      </c>
      <c r="AE17" s="476">
        <v>7146.9001702416608</v>
      </c>
      <c r="AF17" s="467">
        <v>0.634021129898658</v>
      </c>
      <c r="AG17" s="468">
        <v>0.38296126609652098</v>
      </c>
      <c r="AH17" s="218">
        <v>7343.5182285319961</v>
      </c>
      <c r="AI17" s="470">
        <v>0.65146365749891455</v>
      </c>
      <c r="AJ17" s="471">
        <v>0.2849585058080476</v>
      </c>
      <c r="AK17" s="218">
        <v>7343.5182285319961</v>
      </c>
      <c r="AL17" s="470">
        <v>0.65146365749891455</v>
      </c>
      <c r="AM17" s="471">
        <v>0.2849585058080476</v>
      </c>
      <c r="AN17" s="477">
        <v>0</v>
      </c>
      <c r="AO17" s="473">
        <v>0</v>
      </c>
      <c r="AP17" s="474">
        <v>0</v>
      </c>
      <c r="AQ17" s="352"/>
      <c r="AR17" s="352"/>
      <c r="AS17" s="352"/>
      <c r="AT17" s="352"/>
      <c r="AU17" s="352"/>
      <c r="AV17" s="352"/>
      <c r="AW17" s="352" t="s">
        <v>254</v>
      </c>
    </row>
    <row r="18" spans="2:49" x14ac:dyDescent="0.2">
      <c r="B18" s="460" t="s">
        <v>2275</v>
      </c>
      <c r="C18" s="460">
        <v>1111</v>
      </c>
      <c r="D18" s="460" t="s">
        <v>2276</v>
      </c>
      <c r="E18" s="460" t="s">
        <v>2277</v>
      </c>
      <c r="F18" s="460">
        <v>4</v>
      </c>
      <c r="G18" s="460">
        <v>1</v>
      </c>
      <c r="H18" s="461" t="s">
        <v>700</v>
      </c>
      <c r="I18" s="461" t="s">
        <v>872</v>
      </c>
      <c r="J18" s="461" t="s">
        <v>700</v>
      </c>
      <c r="K18" s="594"/>
      <c r="L18" s="594"/>
      <c r="M18" s="352">
        <v>1000</v>
      </c>
      <c r="N18" s="352" t="s">
        <v>698</v>
      </c>
      <c r="O18" s="460">
        <v>1111</v>
      </c>
      <c r="P18" s="460" t="s">
        <v>699</v>
      </c>
      <c r="Q18" s="460" t="s">
        <v>2266</v>
      </c>
      <c r="R18" s="460">
        <v>1111</v>
      </c>
      <c r="S18" s="460" t="s">
        <v>2277</v>
      </c>
      <c r="T18" s="462">
        <v>1</v>
      </c>
      <c r="U18" s="460" t="s">
        <v>2277</v>
      </c>
      <c r="V18" s="475">
        <v>0</v>
      </c>
      <c r="W18" s="463" t="s">
        <v>2278</v>
      </c>
      <c r="X18" s="463" t="s">
        <v>2278</v>
      </c>
      <c r="Y18" s="463" t="s">
        <v>2268</v>
      </c>
      <c r="Z18" s="463"/>
      <c r="AA18" s="463"/>
      <c r="AB18" s="464">
        <v>78.470856196950919</v>
      </c>
      <c r="AC18" s="465">
        <v>1.6499723286924013E-2</v>
      </c>
      <c r="AD18" s="465">
        <v>0.31672483167628696</v>
      </c>
      <c r="AE18" s="476">
        <v>78.470856196950919</v>
      </c>
      <c r="AF18" s="467">
        <v>1.6499723286924013E-2</v>
      </c>
      <c r="AG18" s="468">
        <v>0.35408166640314587</v>
      </c>
      <c r="AH18" s="218">
        <v>78.470856196950919</v>
      </c>
      <c r="AI18" s="470">
        <v>1.6499723286924013E-2</v>
      </c>
      <c r="AJ18" s="471">
        <v>0.33937195036641166</v>
      </c>
      <c r="AK18" s="218">
        <v>78.470856196950919</v>
      </c>
      <c r="AL18" s="470">
        <v>1.6499723286924013E-2</v>
      </c>
      <c r="AM18" s="471">
        <v>0.33937195036641166</v>
      </c>
      <c r="AN18" s="477">
        <v>0</v>
      </c>
      <c r="AO18" s="473">
        <v>0</v>
      </c>
      <c r="AP18" s="474">
        <v>0</v>
      </c>
      <c r="AQ18" s="352"/>
      <c r="AR18" s="352"/>
      <c r="AS18" s="352"/>
      <c r="AT18" s="352"/>
      <c r="AU18" s="352"/>
      <c r="AV18" s="352"/>
      <c r="AW18" s="352" t="s">
        <v>254</v>
      </c>
    </row>
    <row r="19" spans="2:49" x14ac:dyDescent="0.2">
      <c r="B19" s="460" t="s">
        <v>2263</v>
      </c>
      <c r="C19" s="460">
        <v>1111</v>
      </c>
      <c r="D19" s="460" t="s">
        <v>2279</v>
      </c>
      <c r="E19" s="460" t="s">
        <v>2265</v>
      </c>
      <c r="F19" s="460">
        <v>1</v>
      </c>
      <c r="G19" s="460">
        <v>1</v>
      </c>
      <c r="H19" s="461" t="s">
        <v>712</v>
      </c>
      <c r="I19" s="461" t="s">
        <v>713</v>
      </c>
      <c r="J19" s="461" t="s">
        <v>712</v>
      </c>
      <c r="K19" s="594"/>
      <c r="L19" s="594"/>
      <c r="M19" s="352">
        <v>1000</v>
      </c>
      <c r="N19" s="352" t="s">
        <v>698</v>
      </c>
      <c r="O19" s="460">
        <v>1111</v>
      </c>
      <c r="P19" s="460" t="s">
        <v>699</v>
      </c>
      <c r="Q19" s="460" t="s">
        <v>2280</v>
      </c>
      <c r="R19" s="460">
        <v>1111</v>
      </c>
      <c r="S19" s="460" t="s">
        <v>2265</v>
      </c>
      <c r="T19" s="462">
        <v>1</v>
      </c>
      <c r="U19" s="460" t="s">
        <v>2265</v>
      </c>
      <c r="V19" s="475">
        <v>0</v>
      </c>
      <c r="W19" s="463" t="s">
        <v>713</v>
      </c>
      <c r="X19" s="463" t="s">
        <v>713</v>
      </c>
      <c r="Y19" s="463" t="s">
        <v>713</v>
      </c>
      <c r="Z19" s="463"/>
      <c r="AA19" s="463"/>
      <c r="AB19" s="464">
        <v>5387.1182867074158</v>
      </c>
      <c r="AC19" s="465">
        <v>0.1222930284053802</v>
      </c>
      <c r="AD19" s="465">
        <v>1.990094658976297E-2</v>
      </c>
      <c r="AE19" s="476">
        <v>5387.1182867074185</v>
      </c>
      <c r="AF19" s="467">
        <v>0.12229302840538026</v>
      </c>
      <c r="AG19" s="468">
        <v>1.9407285880862046E-2</v>
      </c>
      <c r="AH19" s="218">
        <v>5387.1182867074185</v>
      </c>
      <c r="AI19" s="470">
        <v>0.12229302840538026</v>
      </c>
      <c r="AJ19" s="471">
        <v>1.9685554264333386E-2</v>
      </c>
      <c r="AK19" s="218">
        <v>5387.1182867074185</v>
      </c>
      <c r="AL19" s="470">
        <v>0.12229302840538026</v>
      </c>
      <c r="AM19" s="471">
        <v>1.9685554264333386E-2</v>
      </c>
      <c r="AN19" s="477">
        <v>5387.1182867074185</v>
      </c>
      <c r="AO19" s="473">
        <v>0.12229302840538026</v>
      </c>
      <c r="AP19" s="474">
        <v>1.9679139921240554E-2</v>
      </c>
      <c r="AQ19" s="352"/>
      <c r="AR19" s="352"/>
      <c r="AS19" s="352"/>
      <c r="AT19" s="352"/>
      <c r="AU19" s="352"/>
      <c r="AV19" s="352"/>
      <c r="AW19" s="352" t="s">
        <v>254</v>
      </c>
    </row>
    <row r="20" spans="2:49" x14ac:dyDescent="0.2">
      <c r="B20" s="460" t="s">
        <v>2269</v>
      </c>
      <c r="C20" s="460">
        <v>1111</v>
      </c>
      <c r="D20" s="460" t="s">
        <v>2281</v>
      </c>
      <c r="E20" s="460" t="s">
        <v>2271</v>
      </c>
      <c r="F20" s="460">
        <v>2</v>
      </c>
      <c r="G20" s="460">
        <v>1</v>
      </c>
      <c r="H20" s="461" t="s">
        <v>712</v>
      </c>
      <c r="I20" s="461" t="s">
        <v>713</v>
      </c>
      <c r="J20" s="461" t="s">
        <v>712</v>
      </c>
      <c r="K20" s="594"/>
      <c r="L20" s="594"/>
      <c r="M20" s="352">
        <v>1000</v>
      </c>
      <c r="N20" s="352" t="s">
        <v>698</v>
      </c>
      <c r="O20" s="460">
        <v>1111</v>
      </c>
      <c r="P20" s="460" t="s">
        <v>699</v>
      </c>
      <c r="Q20" s="460" t="s">
        <v>2280</v>
      </c>
      <c r="R20" s="460">
        <v>1111</v>
      </c>
      <c r="S20" s="460" t="s">
        <v>2265</v>
      </c>
      <c r="T20" s="462">
        <v>1</v>
      </c>
      <c r="U20" s="460" t="s">
        <v>2271</v>
      </c>
      <c r="V20" s="475">
        <v>0</v>
      </c>
      <c r="W20" s="463" t="s">
        <v>713</v>
      </c>
      <c r="X20" s="463" t="s">
        <v>713</v>
      </c>
      <c r="Y20" s="463" t="s">
        <v>713</v>
      </c>
      <c r="Z20" s="463"/>
      <c r="AA20" s="463"/>
      <c r="AB20" s="464">
        <v>3912.9418704473533</v>
      </c>
      <c r="AC20" s="465">
        <v>0.12105796172272734</v>
      </c>
      <c r="AD20" s="465">
        <v>1.6340134561673752E-2</v>
      </c>
      <c r="AE20" s="476">
        <v>3912.9418704473524</v>
      </c>
      <c r="AF20" s="467">
        <v>0.12105796172272731</v>
      </c>
      <c r="AG20" s="468">
        <v>1.5926289189847054E-2</v>
      </c>
      <c r="AH20" s="218">
        <v>3912.9418704473524</v>
      </c>
      <c r="AI20" s="470">
        <v>0.12105796172272731</v>
      </c>
      <c r="AJ20" s="471">
        <v>1.6810567577348657E-2</v>
      </c>
      <c r="AK20" s="218">
        <v>3912.9418704473524</v>
      </c>
      <c r="AL20" s="470">
        <v>0.12105796172272731</v>
      </c>
      <c r="AM20" s="471">
        <v>1.6810567577348657E-2</v>
      </c>
      <c r="AN20" s="477">
        <v>3912.9418704473524</v>
      </c>
      <c r="AO20" s="473">
        <v>0.12105796172272731</v>
      </c>
      <c r="AP20" s="474">
        <v>1.68046648356041E-2</v>
      </c>
      <c r="AQ20" s="352"/>
      <c r="AR20" s="352"/>
      <c r="AS20" s="352"/>
      <c r="AT20" s="352"/>
      <c r="AU20" s="352"/>
      <c r="AV20" s="352"/>
      <c r="AW20" s="352" t="s">
        <v>254</v>
      </c>
    </row>
    <row r="21" spans="2:49" x14ac:dyDescent="0.2">
      <c r="B21" s="460" t="s">
        <v>2272</v>
      </c>
      <c r="C21" s="460">
        <v>1111</v>
      </c>
      <c r="D21" s="460" t="s">
        <v>2282</v>
      </c>
      <c r="E21" s="460" t="s">
        <v>2274</v>
      </c>
      <c r="F21" s="460">
        <v>3</v>
      </c>
      <c r="G21" s="460">
        <v>1</v>
      </c>
      <c r="H21" s="461" t="s">
        <v>712</v>
      </c>
      <c r="I21" s="461" t="s">
        <v>713</v>
      </c>
      <c r="J21" s="461" t="s">
        <v>712</v>
      </c>
      <c r="K21" s="594"/>
      <c r="L21" s="594"/>
      <c r="M21" s="352">
        <v>1000</v>
      </c>
      <c r="N21" s="352" t="s">
        <v>698</v>
      </c>
      <c r="O21" s="460">
        <v>1111</v>
      </c>
      <c r="P21" s="460" t="s">
        <v>699</v>
      </c>
      <c r="Q21" s="460" t="s">
        <v>2280</v>
      </c>
      <c r="R21" s="460">
        <v>1111</v>
      </c>
      <c r="S21" s="460" t="s">
        <v>2265</v>
      </c>
      <c r="T21" s="462">
        <v>0.74223365950407583</v>
      </c>
      <c r="U21" s="460" t="s">
        <v>2274</v>
      </c>
      <c r="V21" s="475">
        <v>0</v>
      </c>
      <c r="W21" s="463" t="s">
        <v>713</v>
      </c>
      <c r="X21" s="463" t="s">
        <v>713</v>
      </c>
      <c r="Y21" s="463" t="s">
        <v>713</v>
      </c>
      <c r="Z21" s="463"/>
      <c r="AA21" s="463"/>
      <c r="AB21" s="464">
        <v>4125.4373485158312</v>
      </c>
      <c r="AC21" s="465">
        <v>0.36597887010134189</v>
      </c>
      <c r="AD21" s="465">
        <v>2.4691619026396033E-2</v>
      </c>
      <c r="AE21" s="476">
        <v>4125.4373485158321</v>
      </c>
      <c r="AF21" s="467">
        <v>0.365978870101342</v>
      </c>
      <c r="AG21" s="468">
        <v>2.4464337704728389E-2</v>
      </c>
      <c r="AH21" s="218">
        <v>3928.8192902254973</v>
      </c>
      <c r="AI21" s="470">
        <v>0.34853634250108545</v>
      </c>
      <c r="AJ21" s="471">
        <v>2.4689371149594817E-2</v>
      </c>
      <c r="AK21" s="218">
        <v>3928.8192902254973</v>
      </c>
      <c r="AL21" s="470">
        <v>0.34853634250108545</v>
      </c>
      <c r="AM21" s="471">
        <v>2.4689371149594817E-2</v>
      </c>
      <c r="AN21" s="477">
        <v>3928.8192902254973</v>
      </c>
      <c r="AO21" s="473">
        <v>0.34853634250108545</v>
      </c>
      <c r="AP21" s="474">
        <v>2.4867480195495745E-2</v>
      </c>
      <c r="AQ21" s="352"/>
      <c r="AR21" s="352"/>
      <c r="AS21" s="352"/>
      <c r="AT21" s="352"/>
      <c r="AU21" s="352"/>
      <c r="AV21" s="352"/>
      <c r="AW21" s="352" t="s">
        <v>254</v>
      </c>
    </row>
    <row r="22" spans="2:49" x14ac:dyDescent="0.2">
      <c r="B22" s="460" t="s">
        <v>2275</v>
      </c>
      <c r="C22" s="460">
        <v>1111</v>
      </c>
      <c r="D22" s="460" t="s">
        <v>2283</v>
      </c>
      <c r="E22" s="460" t="s">
        <v>2277</v>
      </c>
      <c r="F22" s="460">
        <v>4</v>
      </c>
      <c r="G22" s="460">
        <v>1</v>
      </c>
      <c r="H22" s="461" t="s">
        <v>712</v>
      </c>
      <c r="I22" s="461" t="s">
        <v>713</v>
      </c>
      <c r="J22" s="461" t="s">
        <v>712</v>
      </c>
      <c r="K22" s="594"/>
      <c r="L22" s="594"/>
      <c r="M22" s="352">
        <v>1000</v>
      </c>
      <c r="N22" s="352" t="s">
        <v>698</v>
      </c>
      <c r="O22" s="460">
        <v>1111</v>
      </c>
      <c r="P22" s="460" t="s">
        <v>699</v>
      </c>
      <c r="Q22" s="460" t="s">
        <v>2280</v>
      </c>
      <c r="R22" s="460">
        <v>1111</v>
      </c>
      <c r="S22" s="460" t="s">
        <v>2277</v>
      </c>
      <c r="T22" s="462">
        <v>1</v>
      </c>
      <c r="U22" s="460" t="s">
        <v>2277</v>
      </c>
      <c r="V22" s="475">
        <v>0</v>
      </c>
      <c r="W22" s="463" t="s">
        <v>713</v>
      </c>
      <c r="X22" s="463" t="s">
        <v>713</v>
      </c>
      <c r="Y22" s="463" t="s">
        <v>713</v>
      </c>
      <c r="Z22" s="463"/>
      <c r="AA22" s="463"/>
      <c r="AB22" s="464">
        <v>4677.4183688750154</v>
      </c>
      <c r="AC22" s="465">
        <v>0.98350027671307594</v>
      </c>
      <c r="AD22" s="465">
        <v>2.4291119275965927E-2</v>
      </c>
      <c r="AE22" s="476">
        <v>4677.4183688750154</v>
      </c>
      <c r="AF22" s="467">
        <v>0.98350027671307594</v>
      </c>
      <c r="AG22" s="468">
        <v>2.4287822246768117E-2</v>
      </c>
      <c r="AH22" s="218">
        <v>4677.4183688750154</v>
      </c>
      <c r="AI22" s="470">
        <v>0.98350027671307594</v>
      </c>
      <c r="AJ22" s="471">
        <v>2.4289033753670277E-2</v>
      </c>
      <c r="AK22" s="218">
        <v>4677.4183688750154</v>
      </c>
      <c r="AL22" s="470">
        <v>0.98350027671307594</v>
      </c>
      <c r="AM22" s="471">
        <v>2.4289033753670277E-2</v>
      </c>
      <c r="AN22" s="477">
        <v>4677.4183688750154</v>
      </c>
      <c r="AO22" s="473">
        <v>0.98350027671307594</v>
      </c>
      <c r="AP22" s="474">
        <v>2.4289154868848091E-2</v>
      </c>
      <c r="AQ22" s="352"/>
      <c r="AR22" s="352"/>
      <c r="AS22" s="352"/>
      <c r="AT22" s="352"/>
      <c r="AU22" s="352"/>
      <c r="AV22" s="352"/>
      <c r="AW22" s="352" t="s">
        <v>254</v>
      </c>
    </row>
    <row r="23" spans="2:49" x14ac:dyDescent="0.2">
      <c r="B23" s="460" t="s">
        <v>2263</v>
      </c>
      <c r="C23" s="460">
        <v>1111</v>
      </c>
      <c r="D23" s="460" t="s">
        <v>2284</v>
      </c>
      <c r="E23" s="460" t="s">
        <v>2265</v>
      </c>
      <c r="F23" s="460">
        <v>1</v>
      </c>
      <c r="G23" s="460">
        <v>1</v>
      </c>
      <c r="H23" s="461" t="s">
        <v>746</v>
      </c>
      <c r="I23" s="461" t="s">
        <v>762</v>
      </c>
      <c r="J23" s="461" t="s">
        <v>700</v>
      </c>
      <c r="K23" s="594"/>
      <c r="L23" s="594"/>
      <c r="M23" s="352">
        <v>1000</v>
      </c>
      <c r="N23" s="352" t="s">
        <v>698</v>
      </c>
      <c r="O23" s="460">
        <v>1111</v>
      </c>
      <c r="P23" s="460" t="s">
        <v>699</v>
      </c>
      <c r="Q23" s="460" t="s">
        <v>2266</v>
      </c>
      <c r="R23" s="460">
        <v>1111</v>
      </c>
      <c r="S23" s="460" t="s">
        <v>2265</v>
      </c>
      <c r="T23" s="462">
        <v>1</v>
      </c>
      <c r="U23" s="460" t="s">
        <v>2265</v>
      </c>
      <c r="V23" s="475">
        <v>0</v>
      </c>
      <c r="W23" s="463" t="s">
        <v>2268</v>
      </c>
      <c r="X23" s="463" t="s">
        <v>2268</v>
      </c>
      <c r="Y23" s="463" t="s">
        <v>2267</v>
      </c>
      <c r="Z23" s="463"/>
      <c r="AA23" s="463"/>
      <c r="AB23" s="464">
        <v>0</v>
      </c>
      <c r="AC23" s="465">
        <v>0</v>
      </c>
      <c r="AD23" s="465">
        <v>0</v>
      </c>
      <c r="AE23" s="476">
        <v>0</v>
      </c>
      <c r="AF23" s="467">
        <v>0</v>
      </c>
      <c r="AG23" s="468">
        <v>0</v>
      </c>
      <c r="AH23" s="218">
        <v>0</v>
      </c>
      <c r="AI23" s="470">
        <v>0</v>
      </c>
      <c r="AJ23" s="471">
        <v>0</v>
      </c>
      <c r="AK23" s="218">
        <v>0</v>
      </c>
      <c r="AL23" s="470">
        <v>0</v>
      </c>
      <c r="AM23" s="471">
        <v>0</v>
      </c>
      <c r="AN23" s="477">
        <v>38663.784344062769</v>
      </c>
      <c r="AO23" s="478">
        <v>0.87770697159461974</v>
      </c>
      <c r="AP23" s="474">
        <v>0.4359875326850674</v>
      </c>
      <c r="AQ23" s="352"/>
      <c r="AR23" s="352"/>
      <c r="AS23" s="352"/>
      <c r="AT23" s="352"/>
      <c r="AU23" s="352"/>
      <c r="AV23" s="352"/>
      <c r="AW23" s="352" t="s">
        <v>254</v>
      </c>
    </row>
    <row r="24" spans="2:49" x14ac:dyDescent="0.2">
      <c r="B24" s="460" t="s">
        <v>2269</v>
      </c>
      <c r="C24" s="460">
        <v>1111</v>
      </c>
      <c r="D24" s="460" t="s">
        <v>2285</v>
      </c>
      <c r="E24" s="460" t="s">
        <v>2271</v>
      </c>
      <c r="F24" s="460">
        <v>2</v>
      </c>
      <c r="G24" s="460">
        <v>1</v>
      </c>
      <c r="H24" s="461" t="s">
        <v>746</v>
      </c>
      <c r="I24" s="461" t="s">
        <v>762</v>
      </c>
      <c r="J24" s="461" t="s">
        <v>700</v>
      </c>
      <c r="K24" s="594"/>
      <c r="L24" s="594"/>
      <c r="M24" s="352">
        <v>1000</v>
      </c>
      <c r="N24" s="352" t="s">
        <v>698</v>
      </c>
      <c r="O24" s="460">
        <v>1111</v>
      </c>
      <c r="P24" s="460" t="s">
        <v>699</v>
      </c>
      <c r="Q24" s="460" t="s">
        <v>2266</v>
      </c>
      <c r="R24" s="460">
        <v>1111</v>
      </c>
      <c r="S24" s="460" t="s">
        <v>2265</v>
      </c>
      <c r="T24" s="462">
        <v>1</v>
      </c>
      <c r="U24" s="460" t="s">
        <v>2271</v>
      </c>
      <c r="V24" s="475">
        <v>0</v>
      </c>
      <c r="W24" s="463" t="s">
        <v>2268</v>
      </c>
      <c r="X24" s="463" t="s">
        <v>2268</v>
      </c>
      <c r="Y24" s="463" t="s">
        <v>2267</v>
      </c>
      <c r="Z24" s="463"/>
      <c r="AA24" s="463"/>
      <c r="AB24" s="464">
        <v>0</v>
      </c>
      <c r="AC24" s="465">
        <v>0</v>
      </c>
      <c r="AD24" s="465">
        <v>0</v>
      </c>
      <c r="AE24" s="476">
        <v>0</v>
      </c>
      <c r="AF24" s="467">
        <v>0</v>
      </c>
      <c r="AG24" s="468">
        <v>0</v>
      </c>
      <c r="AH24" s="218">
        <v>0</v>
      </c>
      <c r="AI24" s="470">
        <v>0</v>
      </c>
      <c r="AJ24" s="471">
        <v>0</v>
      </c>
      <c r="AK24" s="218">
        <v>0</v>
      </c>
      <c r="AL24" s="470">
        <v>0</v>
      </c>
      <c r="AM24" s="471">
        <v>0</v>
      </c>
      <c r="AN24" s="477">
        <v>28409.937308780889</v>
      </c>
      <c r="AO24" s="473">
        <v>0.87894203827727269</v>
      </c>
      <c r="AP24" s="474">
        <v>0.41236092075602976</v>
      </c>
      <c r="AQ24" s="352"/>
      <c r="AR24" s="352"/>
      <c r="AS24" s="352"/>
      <c r="AT24" s="352"/>
      <c r="AU24" s="352"/>
      <c r="AV24" s="352"/>
      <c r="AW24" s="352" t="s">
        <v>254</v>
      </c>
    </row>
    <row r="25" spans="2:49" x14ac:dyDescent="0.2">
      <c r="B25" s="460" t="s">
        <v>2272</v>
      </c>
      <c r="C25" s="460">
        <v>1111</v>
      </c>
      <c r="D25" s="460" t="s">
        <v>2286</v>
      </c>
      <c r="E25" s="460" t="s">
        <v>2274</v>
      </c>
      <c r="F25" s="460">
        <v>3</v>
      </c>
      <c r="G25" s="460">
        <v>1</v>
      </c>
      <c r="H25" s="461" t="s">
        <v>746</v>
      </c>
      <c r="I25" s="461" t="s">
        <v>762</v>
      </c>
      <c r="J25" s="461" t="s">
        <v>700</v>
      </c>
      <c r="K25" s="594"/>
      <c r="L25" s="594"/>
      <c r="M25" s="352">
        <v>1000</v>
      </c>
      <c r="N25" s="352" t="s">
        <v>698</v>
      </c>
      <c r="O25" s="460">
        <v>1111</v>
      </c>
      <c r="P25" s="460" t="s">
        <v>699</v>
      </c>
      <c r="Q25" s="460" t="s">
        <v>2266</v>
      </c>
      <c r="R25" s="460">
        <v>1111</v>
      </c>
      <c r="S25" s="460" t="s">
        <v>2265</v>
      </c>
      <c r="T25" s="462">
        <v>0.74223365950407583</v>
      </c>
      <c r="U25" s="460" t="s">
        <v>2274</v>
      </c>
      <c r="V25" s="475">
        <v>0</v>
      </c>
      <c r="W25" s="463" t="s">
        <v>2268</v>
      </c>
      <c r="X25" s="463" t="s">
        <v>2268</v>
      </c>
      <c r="Y25" s="463" t="s">
        <v>2267</v>
      </c>
      <c r="Z25" s="463"/>
      <c r="AA25" s="463"/>
      <c r="AB25" s="464">
        <v>0</v>
      </c>
      <c r="AC25" s="465">
        <v>0</v>
      </c>
      <c r="AD25" s="465">
        <v>0</v>
      </c>
      <c r="AE25" s="476">
        <v>0</v>
      </c>
      <c r="AF25" s="467">
        <v>0</v>
      </c>
      <c r="AG25" s="468">
        <v>0</v>
      </c>
      <c r="AH25" s="218">
        <v>0</v>
      </c>
      <c r="AI25" s="470">
        <v>0</v>
      </c>
      <c r="AJ25" s="471">
        <v>0</v>
      </c>
      <c r="AK25" s="218">
        <v>0</v>
      </c>
      <c r="AL25" s="470">
        <v>0</v>
      </c>
      <c r="AM25" s="471">
        <v>0</v>
      </c>
      <c r="AN25" s="477">
        <v>7343.5182285319961</v>
      </c>
      <c r="AO25" s="473">
        <v>0.65146365749891455</v>
      </c>
      <c r="AP25" s="474">
        <v>0.37073891451504609</v>
      </c>
      <c r="AQ25" s="352"/>
      <c r="AR25" s="352"/>
      <c r="AS25" s="352"/>
      <c r="AT25" s="352"/>
      <c r="AU25" s="352"/>
      <c r="AV25" s="352"/>
      <c r="AW25" s="352" t="s">
        <v>254</v>
      </c>
    </row>
    <row r="26" spans="2:49" x14ac:dyDescent="0.2">
      <c r="B26" s="460" t="s">
        <v>2275</v>
      </c>
      <c r="C26" s="460">
        <v>1111</v>
      </c>
      <c r="D26" s="460" t="s">
        <v>2287</v>
      </c>
      <c r="E26" s="460" t="s">
        <v>2277</v>
      </c>
      <c r="F26" s="460">
        <v>4</v>
      </c>
      <c r="G26" s="460">
        <v>1</v>
      </c>
      <c r="H26" s="461" t="s">
        <v>746</v>
      </c>
      <c r="I26" s="461" t="s">
        <v>762</v>
      </c>
      <c r="J26" s="461" t="s">
        <v>700</v>
      </c>
      <c r="K26" s="594"/>
      <c r="L26" s="594"/>
      <c r="M26" s="352">
        <v>1000</v>
      </c>
      <c r="N26" s="352" t="s">
        <v>698</v>
      </c>
      <c r="O26" s="460">
        <v>1111</v>
      </c>
      <c r="P26" s="460" t="s">
        <v>699</v>
      </c>
      <c r="Q26" s="460" t="s">
        <v>2266</v>
      </c>
      <c r="R26" s="460">
        <v>1111</v>
      </c>
      <c r="S26" s="460" t="s">
        <v>2277</v>
      </c>
      <c r="T26" s="462">
        <v>1</v>
      </c>
      <c r="U26" s="460" t="s">
        <v>2277</v>
      </c>
      <c r="V26" s="475">
        <v>0</v>
      </c>
      <c r="W26" s="463" t="s">
        <v>2268</v>
      </c>
      <c r="X26" s="463" t="s">
        <v>2268</v>
      </c>
      <c r="Y26" s="463" t="s">
        <v>2278</v>
      </c>
      <c r="Z26" s="463"/>
      <c r="AA26" s="463"/>
      <c r="AB26" s="464">
        <v>0</v>
      </c>
      <c r="AC26" s="465">
        <v>0</v>
      </c>
      <c r="AD26" s="465">
        <v>0</v>
      </c>
      <c r="AE26" s="476">
        <v>0</v>
      </c>
      <c r="AF26" s="467">
        <v>0</v>
      </c>
      <c r="AG26" s="468">
        <v>0</v>
      </c>
      <c r="AH26" s="218">
        <v>0</v>
      </c>
      <c r="AI26" s="470">
        <v>0</v>
      </c>
      <c r="AJ26" s="471">
        <v>0</v>
      </c>
      <c r="AK26" s="218">
        <v>0</v>
      </c>
      <c r="AL26" s="470">
        <v>0</v>
      </c>
      <c r="AM26" s="471">
        <v>0</v>
      </c>
      <c r="AN26" s="477">
        <v>78.470856196950919</v>
      </c>
      <c r="AO26" s="473">
        <v>1.6499723286924013E-2</v>
      </c>
      <c r="AP26" s="474">
        <v>0.41133845493182297</v>
      </c>
      <c r="AQ26" s="352"/>
      <c r="AR26" s="352"/>
      <c r="AS26" s="352"/>
      <c r="AT26" s="352"/>
      <c r="AU26" s="352"/>
      <c r="AV26" s="352"/>
      <c r="AW26" s="352" t="s">
        <v>254</v>
      </c>
    </row>
    <row r="27" spans="2:49" x14ac:dyDescent="0.2">
      <c r="B27" s="460" t="s">
        <v>2263</v>
      </c>
      <c r="C27" s="460">
        <v>1111</v>
      </c>
      <c r="D27" s="460" t="s">
        <v>2288</v>
      </c>
      <c r="E27" s="460" t="s">
        <v>2265</v>
      </c>
      <c r="F27" s="460">
        <v>1</v>
      </c>
      <c r="G27" s="460">
        <v>1</v>
      </c>
      <c r="H27" s="461" t="s">
        <v>748</v>
      </c>
      <c r="I27" s="461" t="s">
        <v>765</v>
      </c>
      <c r="J27" s="461" t="s">
        <v>700</v>
      </c>
      <c r="K27" s="594"/>
      <c r="L27" s="594"/>
      <c r="M27" s="352">
        <v>1000</v>
      </c>
      <c r="N27" s="352" t="s">
        <v>698</v>
      </c>
      <c r="O27" s="460">
        <v>1111</v>
      </c>
      <c r="P27" s="460" t="s">
        <v>699</v>
      </c>
      <c r="Q27" s="460" t="s">
        <v>2289</v>
      </c>
      <c r="R27" s="460">
        <v>1111</v>
      </c>
      <c r="S27" s="460" t="s">
        <v>2265</v>
      </c>
      <c r="T27" s="462">
        <v>1</v>
      </c>
      <c r="U27" s="460" t="s">
        <v>2265</v>
      </c>
      <c r="V27" s="475">
        <v>0</v>
      </c>
      <c r="W27" s="463" t="s">
        <v>2268</v>
      </c>
      <c r="X27" s="463" t="s">
        <v>2268</v>
      </c>
      <c r="Y27" s="463" t="s">
        <v>2290</v>
      </c>
      <c r="Z27" s="463"/>
      <c r="AA27" s="463"/>
      <c r="AB27" s="464">
        <v>0</v>
      </c>
      <c r="AC27" s="465">
        <v>0</v>
      </c>
      <c r="AD27" s="465">
        <v>0</v>
      </c>
      <c r="AE27" s="476">
        <v>0</v>
      </c>
      <c r="AF27" s="467">
        <v>0</v>
      </c>
      <c r="AG27" s="468">
        <v>0</v>
      </c>
      <c r="AH27" s="218">
        <v>0</v>
      </c>
      <c r="AI27" s="470">
        <v>0</v>
      </c>
      <c r="AJ27" s="471">
        <v>0</v>
      </c>
      <c r="AK27" s="218">
        <v>0</v>
      </c>
      <c r="AL27" s="470">
        <v>0</v>
      </c>
      <c r="AM27" s="471">
        <v>0</v>
      </c>
      <c r="AN27" s="477">
        <v>0</v>
      </c>
      <c r="AO27" s="473">
        <v>0</v>
      </c>
      <c r="AP27" s="474">
        <v>0</v>
      </c>
      <c r="AQ27" s="352"/>
      <c r="AR27" s="352"/>
      <c r="AS27" s="352"/>
      <c r="AT27" s="352"/>
      <c r="AU27" s="352"/>
      <c r="AV27" s="352"/>
      <c r="AW27" s="352" t="s">
        <v>254</v>
      </c>
    </row>
    <row r="28" spans="2:49" x14ac:dyDescent="0.2">
      <c r="B28" s="460" t="s">
        <v>2269</v>
      </c>
      <c r="C28" s="460">
        <v>1111</v>
      </c>
      <c r="D28" s="460" t="s">
        <v>2291</v>
      </c>
      <c r="E28" s="460" t="s">
        <v>2271</v>
      </c>
      <c r="F28" s="460">
        <v>2</v>
      </c>
      <c r="G28" s="460">
        <v>1</v>
      </c>
      <c r="H28" s="461" t="s">
        <v>748</v>
      </c>
      <c r="I28" s="461" t="s">
        <v>765</v>
      </c>
      <c r="J28" s="461" t="s">
        <v>700</v>
      </c>
      <c r="K28" s="594"/>
      <c r="L28" s="594"/>
      <c r="M28" s="352">
        <v>1000</v>
      </c>
      <c r="N28" s="352" t="s">
        <v>698</v>
      </c>
      <c r="O28" s="460">
        <v>1111</v>
      </c>
      <c r="P28" s="460" t="s">
        <v>699</v>
      </c>
      <c r="Q28" s="460" t="s">
        <v>2289</v>
      </c>
      <c r="R28" s="460">
        <v>1111</v>
      </c>
      <c r="S28" s="460" t="s">
        <v>2265</v>
      </c>
      <c r="T28" s="462">
        <v>1</v>
      </c>
      <c r="U28" s="460" t="s">
        <v>2271</v>
      </c>
      <c r="V28" s="475">
        <v>0</v>
      </c>
      <c r="W28" s="463" t="s">
        <v>2268</v>
      </c>
      <c r="X28" s="463" t="s">
        <v>2268</v>
      </c>
      <c r="Y28" s="463" t="s">
        <v>2290</v>
      </c>
      <c r="Z28" s="463"/>
      <c r="AA28" s="463"/>
      <c r="AB28" s="464">
        <v>0</v>
      </c>
      <c r="AC28" s="465">
        <v>0</v>
      </c>
      <c r="AD28" s="465">
        <v>0</v>
      </c>
      <c r="AE28" s="476">
        <v>0</v>
      </c>
      <c r="AF28" s="467">
        <v>0</v>
      </c>
      <c r="AG28" s="468">
        <v>0</v>
      </c>
      <c r="AH28" s="218">
        <v>0</v>
      </c>
      <c r="AI28" s="470">
        <v>0</v>
      </c>
      <c r="AJ28" s="471">
        <v>0</v>
      </c>
      <c r="AK28" s="218">
        <v>0</v>
      </c>
      <c r="AL28" s="470">
        <v>0</v>
      </c>
      <c r="AM28" s="471">
        <v>0</v>
      </c>
      <c r="AN28" s="477">
        <v>0</v>
      </c>
      <c r="AO28" s="473">
        <v>0</v>
      </c>
      <c r="AP28" s="474">
        <v>0</v>
      </c>
      <c r="AQ28" s="352"/>
      <c r="AR28" s="352"/>
      <c r="AS28" s="352"/>
      <c r="AT28" s="352"/>
      <c r="AU28" s="352"/>
      <c r="AV28" s="352"/>
      <c r="AW28" s="352" t="s">
        <v>254</v>
      </c>
    </row>
    <row r="29" spans="2:49" x14ac:dyDescent="0.2">
      <c r="B29" s="460" t="s">
        <v>2272</v>
      </c>
      <c r="C29" s="460">
        <v>1111</v>
      </c>
      <c r="D29" s="460" t="s">
        <v>2292</v>
      </c>
      <c r="E29" s="460" t="s">
        <v>2274</v>
      </c>
      <c r="F29" s="460">
        <v>3</v>
      </c>
      <c r="G29" s="460">
        <v>1</v>
      </c>
      <c r="H29" s="461" t="s">
        <v>748</v>
      </c>
      <c r="I29" s="461" t="s">
        <v>765</v>
      </c>
      <c r="J29" s="461" t="s">
        <v>700</v>
      </c>
      <c r="K29" s="594"/>
      <c r="L29" s="594"/>
      <c r="M29" s="352">
        <v>1000</v>
      </c>
      <c r="N29" s="352" t="s">
        <v>698</v>
      </c>
      <c r="O29" s="460">
        <v>1111</v>
      </c>
      <c r="P29" s="460" t="s">
        <v>699</v>
      </c>
      <c r="Q29" s="460" t="s">
        <v>2289</v>
      </c>
      <c r="R29" s="460">
        <v>1111</v>
      </c>
      <c r="S29" s="460" t="s">
        <v>2265</v>
      </c>
      <c r="T29" s="462">
        <v>0.74223365950407583</v>
      </c>
      <c r="U29" s="460" t="s">
        <v>2274</v>
      </c>
      <c r="V29" s="475">
        <v>0</v>
      </c>
      <c r="W29" s="463" t="s">
        <v>2268</v>
      </c>
      <c r="X29" s="463" t="s">
        <v>2268</v>
      </c>
      <c r="Y29" s="463" t="s">
        <v>2290</v>
      </c>
      <c r="Z29" s="463"/>
      <c r="AA29" s="463"/>
      <c r="AB29" s="464">
        <v>0</v>
      </c>
      <c r="AC29" s="465">
        <v>0</v>
      </c>
      <c r="AD29" s="465">
        <v>0</v>
      </c>
      <c r="AE29" s="476">
        <v>0</v>
      </c>
      <c r="AF29" s="467">
        <v>0</v>
      </c>
      <c r="AG29" s="468">
        <v>0</v>
      </c>
      <c r="AH29" s="218">
        <v>0</v>
      </c>
      <c r="AI29" s="470">
        <v>0</v>
      </c>
      <c r="AJ29" s="471">
        <v>0</v>
      </c>
      <c r="AK29" s="218">
        <v>0</v>
      </c>
      <c r="AL29" s="470">
        <v>0</v>
      </c>
      <c r="AM29" s="471">
        <v>0</v>
      </c>
      <c r="AN29" s="477">
        <v>0</v>
      </c>
      <c r="AO29" s="473">
        <v>0</v>
      </c>
      <c r="AP29" s="474">
        <v>0</v>
      </c>
      <c r="AQ29" s="352"/>
      <c r="AR29" s="352"/>
      <c r="AS29" s="352"/>
      <c r="AT29" s="352"/>
      <c r="AU29" s="352"/>
      <c r="AV29" s="352"/>
      <c r="AW29" s="352" t="s">
        <v>254</v>
      </c>
    </row>
    <row r="30" spans="2:49" x14ac:dyDescent="0.2">
      <c r="B30" s="460" t="s">
        <v>2275</v>
      </c>
      <c r="C30" s="460">
        <v>1111</v>
      </c>
      <c r="D30" s="460" t="s">
        <v>2293</v>
      </c>
      <c r="E30" s="460" t="s">
        <v>2277</v>
      </c>
      <c r="F30" s="460">
        <v>4</v>
      </c>
      <c r="G30" s="460">
        <v>1</v>
      </c>
      <c r="H30" s="461" t="s">
        <v>748</v>
      </c>
      <c r="I30" s="461" t="s">
        <v>765</v>
      </c>
      <c r="J30" s="461" t="s">
        <v>700</v>
      </c>
      <c r="K30" s="594"/>
      <c r="L30" s="594"/>
      <c r="M30" s="352">
        <v>1000</v>
      </c>
      <c r="N30" s="352" t="s">
        <v>698</v>
      </c>
      <c r="O30" s="460">
        <v>1111</v>
      </c>
      <c r="P30" s="460" t="s">
        <v>699</v>
      </c>
      <c r="Q30" s="460" t="s">
        <v>2289</v>
      </c>
      <c r="R30" s="460">
        <v>1111</v>
      </c>
      <c r="S30" s="460" t="s">
        <v>2277</v>
      </c>
      <c r="T30" s="462">
        <v>1</v>
      </c>
      <c r="U30" s="460" t="s">
        <v>2277</v>
      </c>
      <c r="V30" s="475">
        <v>0</v>
      </c>
      <c r="W30" s="463" t="s">
        <v>2268</v>
      </c>
      <c r="X30" s="463" t="s">
        <v>2268</v>
      </c>
      <c r="Y30" s="463" t="s">
        <v>2290</v>
      </c>
      <c r="Z30" s="463"/>
      <c r="AA30" s="463"/>
      <c r="AB30" s="464">
        <v>0</v>
      </c>
      <c r="AC30" s="465">
        <v>0</v>
      </c>
      <c r="AD30" s="465">
        <v>0</v>
      </c>
      <c r="AE30" s="476">
        <v>0</v>
      </c>
      <c r="AF30" s="467">
        <v>0</v>
      </c>
      <c r="AG30" s="468">
        <v>0</v>
      </c>
      <c r="AH30" s="218">
        <v>0</v>
      </c>
      <c r="AI30" s="470">
        <v>0</v>
      </c>
      <c r="AJ30" s="471">
        <v>0</v>
      </c>
      <c r="AK30" s="218">
        <v>0</v>
      </c>
      <c r="AL30" s="470">
        <v>0</v>
      </c>
      <c r="AM30" s="471">
        <v>0</v>
      </c>
      <c r="AN30" s="477">
        <v>0</v>
      </c>
      <c r="AO30" s="473">
        <v>0</v>
      </c>
      <c r="AP30" s="474">
        <v>0</v>
      </c>
      <c r="AQ30" s="352"/>
      <c r="AR30" s="352"/>
      <c r="AS30" s="352"/>
      <c r="AT30" s="352"/>
      <c r="AU30" s="352"/>
      <c r="AV30" s="352"/>
      <c r="AW30" s="352" t="s">
        <v>254</v>
      </c>
    </row>
    <row r="31" spans="2:49" x14ac:dyDescent="0.2">
      <c r="B31" s="460" t="s">
        <v>2294</v>
      </c>
      <c r="C31" s="460">
        <v>1111</v>
      </c>
      <c r="D31" s="460" t="s">
        <v>2295</v>
      </c>
      <c r="E31" s="460" t="s">
        <v>2296</v>
      </c>
      <c r="F31" s="460">
        <v>1</v>
      </c>
      <c r="G31" s="460">
        <v>2</v>
      </c>
      <c r="H31" s="461" t="s">
        <v>700</v>
      </c>
      <c r="I31" s="461" t="s">
        <v>872</v>
      </c>
      <c r="J31" s="461" t="s">
        <v>700</v>
      </c>
      <c r="K31" s="594"/>
      <c r="L31" s="594"/>
      <c r="M31" s="352">
        <v>1000</v>
      </c>
      <c r="N31" s="352" t="s">
        <v>698</v>
      </c>
      <c r="O31" s="460">
        <v>1111</v>
      </c>
      <c r="P31" s="460" t="s">
        <v>699</v>
      </c>
      <c r="Q31" s="460" t="s">
        <v>2266</v>
      </c>
      <c r="R31" s="460">
        <v>1111</v>
      </c>
      <c r="S31" s="460" t="s">
        <v>2296</v>
      </c>
      <c r="T31" s="462">
        <v>1</v>
      </c>
      <c r="U31" s="460" t="s">
        <v>2296</v>
      </c>
      <c r="V31" s="475">
        <v>0</v>
      </c>
      <c r="W31" s="463" t="s">
        <v>2267</v>
      </c>
      <c r="X31" s="463" t="s">
        <v>2267</v>
      </c>
      <c r="Y31" s="463" t="s">
        <v>2268</v>
      </c>
      <c r="Z31" s="463"/>
      <c r="AA31" s="463"/>
      <c r="AB31" s="464">
        <v>6590.0608934571874</v>
      </c>
      <c r="AC31" s="465">
        <v>0.51992979391124583</v>
      </c>
      <c r="AD31" s="465">
        <v>0.38495001276231561</v>
      </c>
      <c r="AE31" s="476">
        <v>6590.0608934571883</v>
      </c>
      <c r="AF31" s="467">
        <v>0.51992979391124583</v>
      </c>
      <c r="AG31" s="468">
        <v>0.42789290904323252</v>
      </c>
      <c r="AH31" s="218">
        <v>6590.0608934571883</v>
      </c>
      <c r="AI31" s="470">
        <v>0.51992979391124583</v>
      </c>
      <c r="AJ31" s="471">
        <v>0.39311916530490087</v>
      </c>
      <c r="AK31" s="218">
        <v>6590.0608934571883</v>
      </c>
      <c r="AL31" s="470">
        <v>0.51992979391124583</v>
      </c>
      <c r="AM31" s="471">
        <v>0.39311916530490087</v>
      </c>
      <c r="AN31" s="477">
        <v>0</v>
      </c>
      <c r="AO31" s="473">
        <v>0</v>
      </c>
      <c r="AP31" s="474">
        <v>0</v>
      </c>
      <c r="AQ31" s="352"/>
      <c r="AR31" s="352"/>
      <c r="AS31" s="352"/>
      <c r="AT31" s="352"/>
      <c r="AU31" s="352"/>
      <c r="AV31" s="352"/>
      <c r="AW31" s="352" t="s">
        <v>254</v>
      </c>
    </row>
    <row r="32" spans="2:49" x14ac:dyDescent="0.2">
      <c r="B32" s="460" t="s">
        <v>2297</v>
      </c>
      <c r="C32" s="460">
        <v>1111</v>
      </c>
      <c r="D32" s="460" t="s">
        <v>2298</v>
      </c>
      <c r="E32" s="460" t="s">
        <v>2299</v>
      </c>
      <c r="F32" s="460">
        <v>2</v>
      </c>
      <c r="G32" s="460">
        <v>2</v>
      </c>
      <c r="H32" s="461" t="s">
        <v>700</v>
      </c>
      <c r="I32" s="461" t="s">
        <v>872</v>
      </c>
      <c r="J32" s="461" t="s">
        <v>700</v>
      </c>
      <c r="K32" s="594"/>
      <c r="L32" s="594"/>
      <c r="M32" s="352">
        <v>1000</v>
      </c>
      <c r="N32" s="352" t="s">
        <v>698</v>
      </c>
      <c r="O32" s="460">
        <v>1111</v>
      </c>
      <c r="P32" s="460" t="s">
        <v>699</v>
      </c>
      <c r="Q32" s="460" t="s">
        <v>2266</v>
      </c>
      <c r="R32" s="460">
        <v>1111</v>
      </c>
      <c r="S32" s="460" t="s">
        <v>2296</v>
      </c>
      <c r="T32" s="462">
        <v>0.55517361979372948</v>
      </c>
      <c r="U32" s="460" t="s">
        <v>2299</v>
      </c>
      <c r="V32" s="475">
        <v>0</v>
      </c>
      <c r="W32" s="463" t="s">
        <v>2267</v>
      </c>
      <c r="X32" s="463" t="s">
        <v>2267</v>
      </c>
      <c r="Y32" s="463" t="s">
        <v>2268</v>
      </c>
      <c r="Z32" s="463"/>
      <c r="AA32" s="463"/>
      <c r="AB32" s="464">
        <v>1238.3551567417901</v>
      </c>
      <c r="AC32" s="465">
        <v>0.27720304520492056</v>
      </c>
      <c r="AD32" s="465">
        <v>0.37470080212462697</v>
      </c>
      <c r="AE32" s="476">
        <v>1238.3551567417901</v>
      </c>
      <c r="AF32" s="467">
        <v>0.27720304520492056</v>
      </c>
      <c r="AG32" s="468">
        <v>0.42048662835295669</v>
      </c>
      <c r="AH32" s="218">
        <v>1289.4982184618884</v>
      </c>
      <c r="AI32" s="470">
        <v>0.28865130572431413</v>
      </c>
      <c r="AJ32" s="471">
        <v>0.30366081316733795</v>
      </c>
      <c r="AK32" s="218">
        <v>1289.4982184618884</v>
      </c>
      <c r="AL32" s="470">
        <v>0.28865130572431413</v>
      </c>
      <c r="AM32" s="471">
        <v>0.30366081316733795</v>
      </c>
      <c r="AN32" s="477">
        <v>0</v>
      </c>
      <c r="AO32" s="473">
        <v>0</v>
      </c>
      <c r="AP32" s="474">
        <v>0</v>
      </c>
      <c r="AQ32" s="352"/>
      <c r="AR32" s="352"/>
      <c r="AS32" s="352"/>
      <c r="AT32" s="352"/>
      <c r="AU32" s="352"/>
      <c r="AV32" s="352"/>
      <c r="AW32" s="352" t="s">
        <v>254</v>
      </c>
    </row>
    <row r="33" spans="2:49" x14ac:dyDescent="0.2">
      <c r="B33" s="460" t="s">
        <v>2300</v>
      </c>
      <c r="C33" s="460">
        <v>1111</v>
      </c>
      <c r="D33" s="460" t="s">
        <v>2301</v>
      </c>
      <c r="E33" s="460" t="s">
        <v>2302</v>
      </c>
      <c r="F33" s="460">
        <v>3</v>
      </c>
      <c r="G33" s="460">
        <v>2</v>
      </c>
      <c r="H33" s="461" t="s">
        <v>700</v>
      </c>
      <c r="I33" s="461" t="s">
        <v>872</v>
      </c>
      <c r="J33" s="461" t="s">
        <v>700</v>
      </c>
      <c r="K33" s="594"/>
      <c r="L33" s="594"/>
      <c r="M33" s="352">
        <v>1000</v>
      </c>
      <c r="N33" s="352" t="s">
        <v>698</v>
      </c>
      <c r="O33" s="460">
        <v>1111</v>
      </c>
      <c r="P33" s="460" t="s">
        <v>699</v>
      </c>
      <c r="Q33" s="460" t="s">
        <v>2266</v>
      </c>
      <c r="R33" s="460">
        <v>1111</v>
      </c>
      <c r="S33" s="460" t="s">
        <v>2296</v>
      </c>
      <c r="T33" s="462">
        <v>0.28481449642268464</v>
      </c>
      <c r="U33" s="460" t="s">
        <v>2302</v>
      </c>
      <c r="V33" s="475">
        <v>0</v>
      </c>
      <c r="W33" s="463" t="s">
        <v>2267</v>
      </c>
      <c r="X33" s="463" t="s">
        <v>2267</v>
      </c>
      <c r="Y33" s="463" t="s">
        <v>2268</v>
      </c>
      <c r="Z33" s="463"/>
      <c r="AA33" s="463"/>
      <c r="AB33" s="464">
        <v>264.66164187166214</v>
      </c>
      <c r="AC33" s="465">
        <v>0.13513994696880932</v>
      </c>
      <c r="AD33" s="465">
        <v>0.51480337903493978</v>
      </c>
      <c r="AE33" s="476">
        <v>264.66164187166214</v>
      </c>
      <c r="AF33" s="467">
        <v>0.13513994696880932</v>
      </c>
      <c r="AG33" s="468">
        <v>0.58092393602513437</v>
      </c>
      <c r="AH33" s="218">
        <v>290.01072112457769</v>
      </c>
      <c r="AI33" s="470">
        <v>0.14808354242798169</v>
      </c>
      <c r="AJ33" s="471">
        <v>0.30106561729138681</v>
      </c>
      <c r="AK33" s="218">
        <v>290.01072112457769</v>
      </c>
      <c r="AL33" s="470">
        <v>0.14808354242798169</v>
      </c>
      <c r="AM33" s="471">
        <v>0.30106561729138681</v>
      </c>
      <c r="AN33" s="477">
        <v>0</v>
      </c>
      <c r="AO33" s="473">
        <v>0</v>
      </c>
      <c r="AP33" s="474">
        <v>0</v>
      </c>
      <c r="AQ33" s="352"/>
      <c r="AR33" s="352"/>
      <c r="AS33" s="352"/>
      <c r="AT33" s="352"/>
      <c r="AU33" s="352"/>
      <c r="AV33" s="352"/>
      <c r="AW33" s="352" t="s">
        <v>254</v>
      </c>
    </row>
    <row r="34" spans="2:49" x14ac:dyDescent="0.2">
      <c r="B34" s="460" t="s">
        <v>2303</v>
      </c>
      <c r="C34" s="460">
        <v>1111</v>
      </c>
      <c r="D34" s="460" t="s">
        <v>2304</v>
      </c>
      <c r="E34" s="460" t="s">
        <v>2305</v>
      </c>
      <c r="F34" s="460">
        <v>4</v>
      </c>
      <c r="G34" s="460">
        <v>2</v>
      </c>
      <c r="H34" s="461" t="s">
        <v>700</v>
      </c>
      <c r="I34" s="461" t="s">
        <v>872</v>
      </c>
      <c r="J34" s="461" t="s">
        <v>700</v>
      </c>
      <c r="K34" s="594"/>
      <c r="L34" s="594"/>
      <c r="M34" s="352">
        <v>1000</v>
      </c>
      <c r="N34" s="352" t="s">
        <v>698</v>
      </c>
      <c r="O34" s="460">
        <v>1111</v>
      </c>
      <c r="P34" s="460" t="s">
        <v>699</v>
      </c>
      <c r="Q34" s="460" t="s">
        <v>2266</v>
      </c>
      <c r="R34" s="460">
        <v>1111</v>
      </c>
      <c r="S34" s="460" t="s">
        <v>2305</v>
      </c>
      <c r="T34" s="462">
        <v>1</v>
      </c>
      <c r="U34" s="460" t="s">
        <v>2305</v>
      </c>
      <c r="V34" s="475">
        <v>0</v>
      </c>
      <c r="W34" s="463" t="s">
        <v>2278</v>
      </c>
      <c r="X34" s="463" t="s">
        <v>2278</v>
      </c>
      <c r="Y34" s="463" t="s">
        <v>2268</v>
      </c>
      <c r="Z34" s="463"/>
      <c r="AA34" s="463"/>
      <c r="AB34" s="464">
        <v>0</v>
      </c>
      <c r="AC34" s="465">
        <v>0</v>
      </c>
      <c r="AD34" s="465">
        <v>0</v>
      </c>
      <c r="AE34" s="476">
        <v>0</v>
      </c>
      <c r="AF34" s="467">
        <v>0</v>
      </c>
      <c r="AG34" s="468">
        <v>0</v>
      </c>
      <c r="AH34" s="218">
        <v>0</v>
      </c>
      <c r="AI34" s="470">
        <v>0</v>
      </c>
      <c r="AJ34" s="471">
        <v>0</v>
      </c>
      <c r="AK34" s="218">
        <v>0</v>
      </c>
      <c r="AL34" s="470">
        <v>0</v>
      </c>
      <c r="AM34" s="471">
        <v>0</v>
      </c>
      <c r="AN34" s="477">
        <v>0</v>
      </c>
      <c r="AO34" s="473">
        <v>0</v>
      </c>
      <c r="AP34" s="474">
        <v>0</v>
      </c>
      <c r="AQ34" s="352"/>
      <c r="AR34" s="352"/>
      <c r="AS34" s="352"/>
      <c r="AT34" s="352"/>
      <c r="AU34" s="352"/>
      <c r="AV34" s="352"/>
      <c r="AW34" s="352" t="s">
        <v>254</v>
      </c>
    </row>
    <row r="35" spans="2:49" x14ac:dyDescent="0.2">
      <c r="B35" s="460" t="s">
        <v>2294</v>
      </c>
      <c r="C35" s="460">
        <v>1111</v>
      </c>
      <c r="D35" s="460" t="s">
        <v>2306</v>
      </c>
      <c r="E35" s="460" t="s">
        <v>2296</v>
      </c>
      <c r="F35" s="460">
        <v>1</v>
      </c>
      <c r="G35" s="460">
        <v>2</v>
      </c>
      <c r="H35" s="461" t="s">
        <v>712</v>
      </c>
      <c r="I35" s="461" t="s">
        <v>713</v>
      </c>
      <c r="J35" s="461" t="s">
        <v>712</v>
      </c>
      <c r="K35" s="594"/>
      <c r="L35" s="594"/>
      <c r="M35" s="352">
        <v>1000</v>
      </c>
      <c r="N35" s="352" t="s">
        <v>698</v>
      </c>
      <c r="O35" s="460">
        <v>1111</v>
      </c>
      <c r="P35" s="460" t="s">
        <v>699</v>
      </c>
      <c r="Q35" s="460" t="s">
        <v>2280</v>
      </c>
      <c r="R35" s="460">
        <v>1111</v>
      </c>
      <c r="S35" s="460" t="s">
        <v>2296</v>
      </c>
      <c r="T35" s="462">
        <v>1</v>
      </c>
      <c r="U35" s="460" t="s">
        <v>2296</v>
      </c>
      <c r="V35" s="475">
        <v>0</v>
      </c>
      <c r="W35" s="463" t="s">
        <v>713</v>
      </c>
      <c r="X35" s="463" t="s">
        <v>713</v>
      </c>
      <c r="Y35" s="463" t="s">
        <v>713</v>
      </c>
      <c r="Z35" s="463"/>
      <c r="AA35" s="463"/>
      <c r="AB35" s="464">
        <v>6084.8443930479734</v>
      </c>
      <c r="AC35" s="465">
        <v>0.48007020608875428</v>
      </c>
      <c r="AD35" s="465">
        <v>5.2627678464700033E-2</v>
      </c>
      <c r="AE35" s="476">
        <v>6084.8443930479716</v>
      </c>
      <c r="AF35" s="467">
        <v>0.48007020608875417</v>
      </c>
      <c r="AG35" s="468">
        <v>5.1857104499667718E-2</v>
      </c>
      <c r="AH35" s="218">
        <v>6084.8443930479716</v>
      </c>
      <c r="AI35" s="470">
        <v>0.48007020608875417</v>
      </c>
      <c r="AJ35" s="471">
        <v>5.2466249065438647E-2</v>
      </c>
      <c r="AK35" s="218">
        <v>6084.8443930479716</v>
      </c>
      <c r="AL35" s="470">
        <v>0.48007020608875417</v>
      </c>
      <c r="AM35" s="471">
        <v>5.2466249065438647E-2</v>
      </c>
      <c r="AN35" s="477">
        <v>6084.8443930479716</v>
      </c>
      <c r="AO35" s="473">
        <v>0.48007020608875417</v>
      </c>
      <c r="AP35" s="474">
        <v>5.2453373125657017E-2</v>
      </c>
      <c r="AQ35" s="352"/>
      <c r="AR35" s="352"/>
      <c r="AS35" s="352"/>
      <c r="AT35" s="352"/>
      <c r="AU35" s="352"/>
      <c r="AV35" s="352"/>
      <c r="AW35" s="352" t="s">
        <v>254</v>
      </c>
    </row>
    <row r="36" spans="2:49" x14ac:dyDescent="0.2">
      <c r="B36" s="460" t="s">
        <v>2297</v>
      </c>
      <c r="C36" s="460">
        <v>1111</v>
      </c>
      <c r="D36" s="460" t="s">
        <v>2307</v>
      </c>
      <c r="E36" s="460" t="s">
        <v>2299</v>
      </c>
      <c r="F36" s="460">
        <v>2</v>
      </c>
      <c r="G36" s="460">
        <v>2</v>
      </c>
      <c r="H36" s="461" t="s">
        <v>712</v>
      </c>
      <c r="I36" s="461" t="s">
        <v>713</v>
      </c>
      <c r="J36" s="461" t="s">
        <v>712</v>
      </c>
      <c r="K36" s="594"/>
      <c r="L36" s="594"/>
      <c r="M36" s="352">
        <v>1000</v>
      </c>
      <c r="N36" s="352" t="s">
        <v>698</v>
      </c>
      <c r="O36" s="460">
        <v>1111</v>
      </c>
      <c r="P36" s="460" t="s">
        <v>699</v>
      </c>
      <c r="Q36" s="460" t="s">
        <v>2280</v>
      </c>
      <c r="R36" s="460">
        <v>1111</v>
      </c>
      <c r="S36" s="460" t="s">
        <v>2296</v>
      </c>
      <c r="T36" s="462">
        <v>0.55517361979372948</v>
      </c>
      <c r="U36" s="460" t="s">
        <v>2299</v>
      </c>
      <c r="V36" s="475">
        <v>0</v>
      </c>
      <c r="W36" s="463" t="s">
        <v>713</v>
      </c>
      <c r="X36" s="463" t="s">
        <v>713</v>
      </c>
      <c r="Y36" s="463" t="s">
        <v>713</v>
      </c>
      <c r="Z36" s="463"/>
      <c r="AA36" s="463"/>
      <c r="AB36" s="464">
        <v>3228.9664624213183</v>
      </c>
      <c r="AC36" s="465">
        <v>0.72279695479507944</v>
      </c>
      <c r="AD36" s="465">
        <v>3.7348656013879634E-2</v>
      </c>
      <c r="AE36" s="476">
        <v>3228.9664624213183</v>
      </c>
      <c r="AF36" s="467">
        <v>0.72279695479507944</v>
      </c>
      <c r="AG36" s="468">
        <v>3.7193837855222275E-2</v>
      </c>
      <c r="AH36" s="218">
        <v>3177.8234007012202</v>
      </c>
      <c r="AI36" s="470">
        <v>0.71134869427568592</v>
      </c>
      <c r="AJ36" s="471">
        <v>3.7231065201059121E-2</v>
      </c>
      <c r="AK36" s="218">
        <v>3177.8234007012202</v>
      </c>
      <c r="AL36" s="470">
        <v>0.71134869427568592</v>
      </c>
      <c r="AM36" s="471">
        <v>3.7231065201059121E-2</v>
      </c>
      <c r="AN36" s="477">
        <v>3177.8234007012202</v>
      </c>
      <c r="AO36" s="473">
        <v>0.71134869427568592</v>
      </c>
      <c r="AP36" s="474">
        <v>3.7226365348685522E-2</v>
      </c>
      <c r="AQ36" s="352"/>
      <c r="AR36" s="352"/>
      <c r="AS36" s="352"/>
      <c r="AT36" s="352"/>
      <c r="AU36" s="352"/>
      <c r="AV36" s="352"/>
      <c r="AW36" s="352" t="s">
        <v>254</v>
      </c>
    </row>
    <row r="37" spans="2:49" x14ac:dyDescent="0.2">
      <c r="B37" s="460" t="s">
        <v>2300</v>
      </c>
      <c r="C37" s="460">
        <v>1111</v>
      </c>
      <c r="D37" s="460" t="s">
        <v>2308</v>
      </c>
      <c r="E37" s="460" t="s">
        <v>2302</v>
      </c>
      <c r="F37" s="460">
        <v>3</v>
      </c>
      <c r="G37" s="460">
        <v>2</v>
      </c>
      <c r="H37" s="461" t="s">
        <v>712</v>
      </c>
      <c r="I37" s="461" t="s">
        <v>713</v>
      </c>
      <c r="J37" s="461" t="s">
        <v>712</v>
      </c>
      <c r="K37" s="594"/>
      <c r="L37" s="594"/>
      <c r="M37" s="352">
        <v>1000</v>
      </c>
      <c r="N37" s="352" t="s">
        <v>698</v>
      </c>
      <c r="O37" s="460">
        <v>1111</v>
      </c>
      <c r="P37" s="460" t="s">
        <v>699</v>
      </c>
      <c r="Q37" s="460" t="s">
        <v>2280</v>
      </c>
      <c r="R37" s="460">
        <v>1111</v>
      </c>
      <c r="S37" s="460" t="s">
        <v>2296</v>
      </c>
      <c r="T37" s="462">
        <v>0.28481449642268464</v>
      </c>
      <c r="U37" s="460" t="s">
        <v>2302</v>
      </c>
      <c r="V37" s="475">
        <v>0</v>
      </c>
      <c r="W37" s="463" t="s">
        <v>713</v>
      </c>
      <c r="X37" s="463" t="s">
        <v>713</v>
      </c>
      <c r="Y37" s="463" t="s">
        <v>713</v>
      </c>
      <c r="Z37" s="463"/>
      <c r="AA37" s="463"/>
      <c r="AB37" s="464">
        <v>1693.7647731745624</v>
      </c>
      <c r="AC37" s="465">
        <v>0.86486005303119062</v>
      </c>
      <c r="AD37" s="465">
        <v>4.9267384702730552E-2</v>
      </c>
      <c r="AE37" s="476">
        <v>1693.7647731745626</v>
      </c>
      <c r="AF37" s="467">
        <v>0.86486005303119073</v>
      </c>
      <c r="AG37" s="468">
        <v>4.9183671452684208E-2</v>
      </c>
      <c r="AH37" s="218">
        <v>1668.4156939216468</v>
      </c>
      <c r="AI37" s="470">
        <v>0.85191645757201828</v>
      </c>
      <c r="AJ37" s="471">
        <v>4.9172505576938648E-2</v>
      </c>
      <c r="AK37" s="218">
        <v>1668.4156939216468</v>
      </c>
      <c r="AL37" s="470">
        <v>0.85191645757201828</v>
      </c>
      <c r="AM37" s="471">
        <v>4.9172505576938648E-2</v>
      </c>
      <c r="AN37" s="477">
        <v>1668.4156939216468</v>
      </c>
      <c r="AO37" s="473">
        <v>0.85191645757201828</v>
      </c>
      <c r="AP37" s="474">
        <v>4.9215263801084534E-2</v>
      </c>
      <c r="AQ37" s="352"/>
      <c r="AR37" s="352"/>
      <c r="AS37" s="352"/>
      <c r="AT37" s="352"/>
      <c r="AU37" s="352"/>
      <c r="AV37" s="352"/>
      <c r="AW37" s="352" t="s">
        <v>254</v>
      </c>
    </row>
    <row r="38" spans="2:49" x14ac:dyDescent="0.2">
      <c r="B38" s="460" t="s">
        <v>2303</v>
      </c>
      <c r="C38" s="460">
        <v>1111</v>
      </c>
      <c r="D38" s="460" t="s">
        <v>2309</v>
      </c>
      <c r="E38" s="460" t="s">
        <v>2305</v>
      </c>
      <c r="F38" s="460">
        <v>4</v>
      </c>
      <c r="G38" s="460">
        <v>2</v>
      </c>
      <c r="H38" s="461" t="s">
        <v>712</v>
      </c>
      <c r="I38" s="461" t="s">
        <v>713</v>
      </c>
      <c r="J38" s="461" t="s">
        <v>712</v>
      </c>
      <c r="K38" s="594"/>
      <c r="L38" s="594"/>
      <c r="M38" s="352">
        <v>1000</v>
      </c>
      <c r="N38" s="352" t="s">
        <v>698</v>
      </c>
      <c r="O38" s="460">
        <v>1111</v>
      </c>
      <c r="P38" s="460" t="s">
        <v>699</v>
      </c>
      <c r="Q38" s="460" t="s">
        <v>2280</v>
      </c>
      <c r="R38" s="460">
        <v>1111</v>
      </c>
      <c r="S38" s="460" t="s">
        <v>2305</v>
      </c>
      <c r="T38" s="462">
        <v>1</v>
      </c>
      <c r="U38" s="460" t="s">
        <v>2305</v>
      </c>
      <c r="V38" s="475">
        <v>0</v>
      </c>
      <c r="W38" s="463" t="s">
        <v>713</v>
      </c>
      <c r="X38" s="463" t="s">
        <v>713</v>
      </c>
      <c r="Y38" s="463" t="s">
        <v>713</v>
      </c>
      <c r="Z38" s="463"/>
      <c r="AA38" s="463"/>
      <c r="AB38" s="464">
        <v>1920.3894746941933</v>
      </c>
      <c r="AC38" s="465">
        <v>1</v>
      </c>
      <c r="AD38" s="465">
        <v>4.9046559787046175E-2</v>
      </c>
      <c r="AE38" s="476">
        <v>1920.3894746941933</v>
      </c>
      <c r="AF38" s="467">
        <v>1</v>
      </c>
      <c r="AG38" s="468">
        <v>4.9044986550634558E-2</v>
      </c>
      <c r="AH38" s="218">
        <v>1920.3894746941933</v>
      </c>
      <c r="AI38" s="470">
        <v>1</v>
      </c>
      <c r="AJ38" s="471">
        <v>4.9045045921060654E-2</v>
      </c>
      <c r="AK38" s="218">
        <v>1920.3894746941933</v>
      </c>
      <c r="AL38" s="470">
        <v>1</v>
      </c>
      <c r="AM38" s="471">
        <v>4.9045045921060654E-2</v>
      </c>
      <c r="AN38" s="477">
        <v>1920.3894746941933</v>
      </c>
      <c r="AO38" s="473">
        <v>1</v>
      </c>
      <c r="AP38" s="474">
        <v>4.9045105912905375E-2</v>
      </c>
      <c r="AQ38" s="352"/>
      <c r="AR38" s="352"/>
      <c r="AS38" s="352"/>
      <c r="AT38" s="352"/>
      <c r="AU38" s="352"/>
      <c r="AV38" s="352"/>
      <c r="AW38" s="352" t="s">
        <v>254</v>
      </c>
    </row>
    <row r="39" spans="2:49" x14ac:dyDescent="0.2">
      <c r="B39" s="460" t="s">
        <v>2294</v>
      </c>
      <c r="C39" s="460">
        <v>1111</v>
      </c>
      <c r="D39" s="460" t="s">
        <v>2310</v>
      </c>
      <c r="E39" s="460" t="s">
        <v>2296</v>
      </c>
      <c r="F39" s="460">
        <v>1</v>
      </c>
      <c r="G39" s="460">
        <v>2</v>
      </c>
      <c r="H39" s="461" t="s">
        <v>746</v>
      </c>
      <c r="I39" s="461" t="s">
        <v>762</v>
      </c>
      <c r="J39" s="461" t="s">
        <v>700</v>
      </c>
      <c r="K39" s="594"/>
      <c r="L39" s="594"/>
      <c r="M39" s="352">
        <v>1000</v>
      </c>
      <c r="N39" s="352" t="s">
        <v>698</v>
      </c>
      <c r="O39" s="460">
        <v>1111</v>
      </c>
      <c r="P39" s="460" t="s">
        <v>699</v>
      </c>
      <c r="Q39" s="460" t="s">
        <v>2266</v>
      </c>
      <c r="R39" s="460">
        <v>1111</v>
      </c>
      <c r="S39" s="460" t="s">
        <v>2296</v>
      </c>
      <c r="T39" s="462">
        <v>1</v>
      </c>
      <c r="U39" s="460" t="s">
        <v>2296</v>
      </c>
      <c r="V39" s="475">
        <v>0</v>
      </c>
      <c r="W39" s="463" t="s">
        <v>2268</v>
      </c>
      <c r="X39" s="463" t="s">
        <v>2268</v>
      </c>
      <c r="Y39" s="463" t="s">
        <v>2267</v>
      </c>
      <c r="Z39" s="463"/>
      <c r="AA39" s="463"/>
      <c r="AB39" s="464">
        <v>0</v>
      </c>
      <c r="AC39" s="465">
        <v>0</v>
      </c>
      <c r="AD39" s="465">
        <v>0</v>
      </c>
      <c r="AE39" s="476">
        <v>0</v>
      </c>
      <c r="AF39" s="467">
        <v>0</v>
      </c>
      <c r="AG39" s="468">
        <v>0</v>
      </c>
      <c r="AH39" s="218">
        <v>0</v>
      </c>
      <c r="AI39" s="470">
        <v>0</v>
      </c>
      <c r="AJ39" s="471">
        <v>0</v>
      </c>
      <c r="AK39" s="218">
        <v>0</v>
      </c>
      <c r="AL39" s="470">
        <v>0</v>
      </c>
      <c r="AM39" s="471">
        <v>0</v>
      </c>
      <c r="AN39" s="477">
        <v>6590.0608934571883</v>
      </c>
      <c r="AO39" s="473">
        <v>0.51992979391124583</v>
      </c>
      <c r="AP39" s="474">
        <v>0.48954581986964563</v>
      </c>
      <c r="AQ39" s="352"/>
      <c r="AR39" s="352"/>
      <c r="AS39" s="352"/>
      <c r="AT39" s="352"/>
      <c r="AU39" s="352"/>
      <c r="AV39" s="352"/>
      <c r="AW39" s="352" t="s">
        <v>254</v>
      </c>
    </row>
    <row r="40" spans="2:49" x14ac:dyDescent="0.2">
      <c r="B40" s="460" t="s">
        <v>2297</v>
      </c>
      <c r="C40" s="460">
        <v>1111</v>
      </c>
      <c r="D40" s="460" t="s">
        <v>2311</v>
      </c>
      <c r="E40" s="460" t="s">
        <v>2299</v>
      </c>
      <c r="F40" s="460">
        <v>2</v>
      </c>
      <c r="G40" s="460">
        <v>2</v>
      </c>
      <c r="H40" s="461" t="s">
        <v>746</v>
      </c>
      <c r="I40" s="461" t="s">
        <v>762</v>
      </c>
      <c r="J40" s="461" t="s">
        <v>700</v>
      </c>
      <c r="K40" s="594"/>
      <c r="L40" s="594"/>
      <c r="M40" s="352">
        <v>1000</v>
      </c>
      <c r="N40" s="352" t="s">
        <v>698</v>
      </c>
      <c r="O40" s="460">
        <v>1111</v>
      </c>
      <c r="P40" s="460" t="s">
        <v>699</v>
      </c>
      <c r="Q40" s="460" t="s">
        <v>2266</v>
      </c>
      <c r="R40" s="460">
        <v>1111</v>
      </c>
      <c r="S40" s="460" t="s">
        <v>2296</v>
      </c>
      <c r="T40" s="462">
        <v>0.55517361979372948</v>
      </c>
      <c r="U40" s="460" t="s">
        <v>2299</v>
      </c>
      <c r="V40" s="475">
        <v>0</v>
      </c>
      <c r="W40" s="463" t="s">
        <v>2268</v>
      </c>
      <c r="X40" s="463" t="s">
        <v>2268</v>
      </c>
      <c r="Y40" s="463" t="s">
        <v>2267</v>
      </c>
      <c r="Z40" s="463"/>
      <c r="AA40" s="463"/>
      <c r="AB40" s="464">
        <v>0</v>
      </c>
      <c r="AC40" s="465">
        <v>0</v>
      </c>
      <c r="AD40" s="465">
        <v>0</v>
      </c>
      <c r="AE40" s="476">
        <v>0</v>
      </c>
      <c r="AF40" s="467">
        <v>0</v>
      </c>
      <c r="AG40" s="468">
        <v>0</v>
      </c>
      <c r="AH40" s="218">
        <v>0</v>
      </c>
      <c r="AI40" s="470">
        <v>0</v>
      </c>
      <c r="AJ40" s="471">
        <v>0</v>
      </c>
      <c r="AK40" s="218">
        <v>0</v>
      </c>
      <c r="AL40" s="470">
        <v>0</v>
      </c>
      <c r="AM40" s="471">
        <v>0</v>
      </c>
      <c r="AN40" s="477">
        <v>1289.4982184618884</v>
      </c>
      <c r="AO40" s="473">
        <v>0.28865130572431413</v>
      </c>
      <c r="AP40" s="474">
        <v>0.40853695891220421</v>
      </c>
      <c r="AQ40" s="352"/>
      <c r="AR40" s="352"/>
      <c r="AS40" s="352"/>
      <c r="AT40" s="352"/>
      <c r="AU40" s="352"/>
      <c r="AV40" s="352"/>
      <c r="AW40" s="352" t="s">
        <v>254</v>
      </c>
    </row>
    <row r="41" spans="2:49" x14ac:dyDescent="0.2">
      <c r="B41" s="460" t="s">
        <v>2300</v>
      </c>
      <c r="C41" s="460">
        <v>1111</v>
      </c>
      <c r="D41" s="460" t="s">
        <v>2312</v>
      </c>
      <c r="E41" s="460" t="s">
        <v>2302</v>
      </c>
      <c r="F41" s="460">
        <v>3</v>
      </c>
      <c r="G41" s="460">
        <v>2</v>
      </c>
      <c r="H41" s="461" t="s">
        <v>746</v>
      </c>
      <c r="I41" s="461" t="s">
        <v>762</v>
      </c>
      <c r="J41" s="461" t="s">
        <v>700</v>
      </c>
      <c r="K41" s="594"/>
      <c r="L41" s="594"/>
      <c r="M41" s="352">
        <v>1000</v>
      </c>
      <c r="N41" s="352" t="s">
        <v>698</v>
      </c>
      <c r="O41" s="460">
        <v>1111</v>
      </c>
      <c r="P41" s="460" t="s">
        <v>699</v>
      </c>
      <c r="Q41" s="460" t="s">
        <v>2266</v>
      </c>
      <c r="R41" s="460">
        <v>1111</v>
      </c>
      <c r="S41" s="460" t="s">
        <v>2296</v>
      </c>
      <c r="T41" s="462">
        <v>0.28481449642268464</v>
      </c>
      <c r="U41" s="460" t="s">
        <v>2302</v>
      </c>
      <c r="V41" s="475">
        <v>0</v>
      </c>
      <c r="W41" s="463" t="s">
        <v>2268</v>
      </c>
      <c r="X41" s="463" t="s">
        <v>2268</v>
      </c>
      <c r="Y41" s="463" t="s">
        <v>2267</v>
      </c>
      <c r="Z41" s="463"/>
      <c r="AA41" s="463"/>
      <c r="AB41" s="464">
        <v>0</v>
      </c>
      <c r="AC41" s="465">
        <v>0</v>
      </c>
      <c r="AD41" s="465">
        <v>0</v>
      </c>
      <c r="AE41" s="476">
        <v>0</v>
      </c>
      <c r="AF41" s="467">
        <v>0</v>
      </c>
      <c r="AG41" s="468">
        <v>0</v>
      </c>
      <c r="AH41" s="218">
        <v>0</v>
      </c>
      <c r="AI41" s="470">
        <v>0</v>
      </c>
      <c r="AJ41" s="471">
        <v>0</v>
      </c>
      <c r="AK41" s="218">
        <v>0</v>
      </c>
      <c r="AL41" s="470">
        <v>0</v>
      </c>
      <c r="AM41" s="471">
        <v>0</v>
      </c>
      <c r="AN41" s="477">
        <v>290.01072112457769</v>
      </c>
      <c r="AO41" s="473">
        <v>0.14808354242798169</v>
      </c>
      <c r="AP41" s="474">
        <v>0.38206765219414651</v>
      </c>
      <c r="AQ41" s="352"/>
      <c r="AR41" s="352"/>
      <c r="AS41" s="352"/>
      <c r="AT41" s="352"/>
      <c r="AU41" s="352"/>
      <c r="AV41" s="352"/>
      <c r="AW41" s="352" t="s">
        <v>254</v>
      </c>
    </row>
    <row r="42" spans="2:49" x14ac:dyDescent="0.2">
      <c r="B42" s="460" t="s">
        <v>2303</v>
      </c>
      <c r="C42" s="460">
        <v>1111</v>
      </c>
      <c r="D42" s="460" t="s">
        <v>2313</v>
      </c>
      <c r="E42" s="460" t="s">
        <v>2305</v>
      </c>
      <c r="F42" s="460">
        <v>4</v>
      </c>
      <c r="G42" s="460">
        <v>2</v>
      </c>
      <c r="H42" s="461" t="s">
        <v>746</v>
      </c>
      <c r="I42" s="461" t="s">
        <v>762</v>
      </c>
      <c r="J42" s="461" t="s">
        <v>700</v>
      </c>
      <c r="K42" s="594"/>
      <c r="L42" s="594"/>
      <c r="M42" s="352">
        <v>1000</v>
      </c>
      <c r="N42" s="352" t="s">
        <v>698</v>
      </c>
      <c r="O42" s="460">
        <v>1111</v>
      </c>
      <c r="P42" s="460" t="s">
        <v>699</v>
      </c>
      <c r="Q42" s="460" t="s">
        <v>2266</v>
      </c>
      <c r="R42" s="460">
        <v>1111</v>
      </c>
      <c r="S42" s="460" t="s">
        <v>2305</v>
      </c>
      <c r="T42" s="462">
        <v>1</v>
      </c>
      <c r="U42" s="460" t="s">
        <v>2305</v>
      </c>
      <c r="V42" s="475">
        <v>0</v>
      </c>
      <c r="W42" s="463" t="s">
        <v>2268</v>
      </c>
      <c r="X42" s="463" t="s">
        <v>2268</v>
      </c>
      <c r="Y42" s="463" t="s">
        <v>2278</v>
      </c>
      <c r="Z42" s="463"/>
      <c r="AA42" s="463"/>
      <c r="AB42" s="464">
        <v>0</v>
      </c>
      <c r="AC42" s="465">
        <v>0</v>
      </c>
      <c r="AD42" s="465">
        <v>0</v>
      </c>
      <c r="AE42" s="476">
        <v>0</v>
      </c>
      <c r="AF42" s="467">
        <v>0</v>
      </c>
      <c r="AG42" s="468">
        <v>0</v>
      </c>
      <c r="AH42" s="218">
        <v>0</v>
      </c>
      <c r="AI42" s="470">
        <v>0</v>
      </c>
      <c r="AJ42" s="471">
        <v>0</v>
      </c>
      <c r="AK42" s="218">
        <v>0</v>
      </c>
      <c r="AL42" s="470">
        <v>0</v>
      </c>
      <c r="AM42" s="471">
        <v>0</v>
      </c>
      <c r="AN42" s="477">
        <v>0</v>
      </c>
      <c r="AO42" s="473">
        <v>0</v>
      </c>
      <c r="AP42" s="474">
        <v>0</v>
      </c>
      <c r="AQ42" s="352"/>
      <c r="AR42" s="352"/>
      <c r="AS42" s="352"/>
      <c r="AT42" s="352"/>
      <c r="AU42" s="352"/>
      <c r="AV42" s="352"/>
      <c r="AW42" s="352" t="s">
        <v>254</v>
      </c>
    </row>
    <row r="43" spans="2:49" x14ac:dyDescent="0.2">
      <c r="B43" s="460" t="s">
        <v>2294</v>
      </c>
      <c r="C43" s="460">
        <v>1111</v>
      </c>
      <c r="D43" s="460" t="s">
        <v>2314</v>
      </c>
      <c r="E43" s="460" t="s">
        <v>2296</v>
      </c>
      <c r="F43" s="460">
        <v>1</v>
      </c>
      <c r="G43" s="460">
        <v>2</v>
      </c>
      <c r="H43" s="461" t="s">
        <v>748</v>
      </c>
      <c r="I43" s="461" t="s">
        <v>765</v>
      </c>
      <c r="J43" s="461" t="s">
        <v>700</v>
      </c>
      <c r="K43" s="594"/>
      <c r="L43" s="594"/>
      <c r="M43" s="352">
        <v>1000</v>
      </c>
      <c r="N43" s="352" t="s">
        <v>698</v>
      </c>
      <c r="O43" s="460">
        <v>1111</v>
      </c>
      <c r="P43" s="460" t="s">
        <v>699</v>
      </c>
      <c r="Q43" s="460" t="s">
        <v>2289</v>
      </c>
      <c r="R43" s="460">
        <v>1111</v>
      </c>
      <c r="S43" s="460" t="s">
        <v>2296</v>
      </c>
      <c r="T43" s="462">
        <v>1</v>
      </c>
      <c r="U43" s="460" t="s">
        <v>2296</v>
      </c>
      <c r="V43" s="475">
        <v>0</v>
      </c>
      <c r="W43" s="463" t="s">
        <v>2268</v>
      </c>
      <c r="X43" s="463" t="s">
        <v>2268</v>
      </c>
      <c r="Y43" s="463" t="s">
        <v>2290</v>
      </c>
      <c r="Z43" s="463"/>
      <c r="AA43" s="463"/>
      <c r="AB43" s="464">
        <v>0</v>
      </c>
      <c r="AC43" s="465">
        <v>0</v>
      </c>
      <c r="AD43" s="465">
        <v>0</v>
      </c>
      <c r="AE43" s="476">
        <v>0</v>
      </c>
      <c r="AF43" s="467">
        <v>0</v>
      </c>
      <c r="AG43" s="468">
        <v>0</v>
      </c>
      <c r="AH43" s="218">
        <v>0</v>
      </c>
      <c r="AI43" s="470">
        <v>0</v>
      </c>
      <c r="AJ43" s="471">
        <v>0</v>
      </c>
      <c r="AK43" s="218">
        <v>0</v>
      </c>
      <c r="AL43" s="470">
        <v>0</v>
      </c>
      <c r="AM43" s="471">
        <v>0</v>
      </c>
      <c r="AN43" s="477">
        <v>0</v>
      </c>
      <c r="AO43" s="473">
        <v>0</v>
      </c>
      <c r="AP43" s="474">
        <v>0</v>
      </c>
      <c r="AQ43" s="352"/>
      <c r="AR43" s="352"/>
      <c r="AS43" s="352"/>
      <c r="AT43" s="352"/>
      <c r="AU43" s="352"/>
      <c r="AV43" s="352"/>
      <c r="AW43" s="352" t="s">
        <v>254</v>
      </c>
    </row>
    <row r="44" spans="2:49" x14ac:dyDescent="0.2">
      <c r="B44" s="460" t="s">
        <v>2297</v>
      </c>
      <c r="C44" s="460">
        <v>1111</v>
      </c>
      <c r="D44" s="460" t="s">
        <v>2315</v>
      </c>
      <c r="E44" s="460" t="s">
        <v>2299</v>
      </c>
      <c r="F44" s="460">
        <v>2</v>
      </c>
      <c r="G44" s="460">
        <v>2</v>
      </c>
      <c r="H44" s="461" t="s">
        <v>748</v>
      </c>
      <c r="I44" s="461" t="s">
        <v>765</v>
      </c>
      <c r="J44" s="461" t="s">
        <v>700</v>
      </c>
      <c r="K44" s="594"/>
      <c r="L44" s="594"/>
      <c r="M44" s="352">
        <v>1000</v>
      </c>
      <c r="N44" s="352" t="s">
        <v>698</v>
      </c>
      <c r="O44" s="460">
        <v>1111</v>
      </c>
      <c r="P44" s="460" t="s">
        <v>699</v>
      </c>
      <c r="Q44" s="460" t="s">
        <v>2289</v>
      </c>
      <c r="R44" s="460">
        <v>1111</v>
      </c>
      <c r="S44" s="460" t="s">
        <v>2296</v>
      </c>
      <c r="T44" s="462">
        <v>0.55517361979372948</v>
      </c>
      <c r="U44" s="460" t="s">
        <v>2299</v>
      </c>
      <c r="V44" s="475">
        <v>0</v>
      </c>
      <c r="W44" s="463" t="s">
        <v>2268</v>
      </c>
      <c r="X44" s="463" t="s">
        <v>2268</v>
      </c>
      <c r="Y44" s="463" t="s">
        <v>2290</v>
      </c>
      <c r="Z44" s="463"/>
      <c r="AA44" s="463"/>
      <c r="AB44" s="464">
        <v>0</v>
      </c>
      <c r="AC44" s="465">
        <v>0</v>
      </c>
      <c r="AD44" s="465">
        <v>0</v>
      </c>
      <c r="AE44" s="476">
        <v>0</v>
      </c>
      <c r="AF44" s="467">
        <v>0</v>
      </c>
      <c r="AG44" s="468">
        <v>0</v>
      </c>
      <c r="AH44" s="218">
        <v>0</v>
      </c>
      <c r="AI44" s="470">
        <v>0</v>
      </c>
      <c r="AJ44" s="471">
        <v>0</v>
      </c>
      <c r="AK44" s="218">
        <v>0</v>
      </c>
      <c r="AL44" s="470">
        <v>0</v>
      </c>
      <c r="AM44" s="471">
        <v>0</v>
      </c>
      <c r="AN44" s="477">
        <v>0</v>
      </c>
      <c r="AO44" s="473">
        <v>0</v>
      </c>
      <c r="AP44" s="474">
        <v>0</v>
      </c>
      <c r="AQ44" s="352"/>
      <c r="AR44" s="352"/>
      <c r="AS44" s="352"/>
      <c r="AT44" s="352"/>
      <c r="AU44" s="352"/>
      <c r="AV44" s="352"/>
      <c r="AW44" s="352" t="s">
        <v>254</v>
      </c>
    </row>
    <row r="45" spans="2:49" x14ac:dyDescent="0.2">
      <c r="B45" s="460" t="s">
        <v>2300</v>
      </c>
      <c r="C45" s="460">
        <v>1111</v>
      </c>
      <c r="D45" s="460" t="s">
        <v>2316</v>
      </c>
      <c r="E45" s="460" t="s">
        <v>2302</v>
      </c>
      <c r="F45" s="460">
        <v>3</v>
      </c>
      <c r="G45" s="460">
        <v>2</v>
      </c>
      <c r="H45" s="461" t="s">
        <v>748</v>
      </c>
      <c r="I45" s="461" t="s">
        <v>765</v>
      </c>
      <c r="J45" s="461" t="s">
        <v>700</v>
      </c>
      <c r="K45" s="594"/>
      <c r="L45" s="594"/>
      <c r="M45" s="352">
        <v>1000</v>
      </c>
      <c r="N45" s="352" t="s">
        <v>698</v>
      </c>
      <c r="O45" s="460">
        <v>1111</v>
      </c>
      <c r="P45" s="460" t="s">
        <v>699</v>
      </c>
      <c r="Q45" s="460" t="s">
        <v>2289</v>
      </c>
      <c r="R45" s="460">
        <v>1111</v>
      </c>
      <c r="S45" s="460" t="s">
        <v>2296</v>
      </c>
      <c r="T45" s="462">
        <v>0.28481449642268464</v>
      </c>
      <c r="U45" s="460" t="s">
        <v>2302</v>
      </c>
      <c r="V45" s="475">
        <v>0</v>
      </c>
      <c r="W45" s="463" t="s">
        <v>2268</v>
      </c>
      <c r="X45" s="463" t="s">
        <v>2268</v>
      </c>
      <c r="Y45" s="463" t="s">
        <v>2290</v>
      </c>
      <c r="Z45" s="463"/>
      <c r="AA45" s="463"/>
      <c r="AB45" s="464">
        <v>0</v>
      </c>
      <c r="AC45" s="465">
        <v>0</v>
      </c>
      <c r="AD45" s="465">
        <v>0</v>
      </c>
      <c r="AE45" s="476">
        <v>0</v>
      </c>
      <c r="AF45" s="467">
        <v>0</v>
      </c>
      <c r="AG45" s="468">
        <v>0</v>
      </c>
      <c r="AH45" s="218">
        <v>0</v>
      </c>
      <c r="AI45" s="470">
        <v>0</v>
      </c>
      <c r="AJ45" s="471">
        <v>0</v>
      </c>
      <c r="AK45" s="218">
        <v>0</v>
      </c>
      <c r="AL45" s="470">
        <v>0</v>
      </c>
      <c r="AM45" s="471">
        <v>0</v>
      </c>
      <c r="AN45" s="477">
        <v>0</v>
      </c>
      <c r="AO45" s="473">
        <v>0</v>
      </c>
      <c r="AP45" s="474">
        <v>0</v>
      </c>
      <c r="AQ45" s="352"/>
      <c r="AR45" s="352"/>
      <c r="AS45" s="352"/>
      <c r="AT45" s="352"/>
      <c r="AU45" s="352"/>
      <c r="AV45" s="352"/>
      <c r="AW45" s="352" t="s">
        <v>254</v>
      </c>
    </row>
    <row r="46" spans="2:49" x14ac:dyDescent="0.2">
      <c r="B46" s="460" t="s">
        <v>2303</v>
      </c>
      <c r="C46" s="460">
        <v>1111</v>
      </c>
      <c r="D46" s="460" t="s">
        <v>2317</v>
      </c>
      <c r="E46" s="460" t="s">
        <v>2305</v>
      </c>
      <c r="F46" s="460">
        <v>4</v>
      </c>
      <c r="G46" s="460">
        <v>2</v>
      </c>
      <c r="H46" s="461" t="s">
        <v>748</v>
      </c>
      <c r="I46" s="461" t="s">
        <v>765</v>
      </c>
      <c r="J46" s="461" t="s">
        <v>700</v>
      </c>
      <c r="K46" s="594"/>
      <c r="L46" s="594"/>
      <c r="M46" s="352">
        <v>1000</v>
      </c>
      <c r="N46" s="352" t="s">
        <v>698</v>
      </c>
      <c r="O46" s="460">
        <v>1111</v>
      </c>
      <c r="P46" s="460" t="s">
        <v>699</v>
      </c>
      <c r="Q46" s="460" t="s">
        <v>2289</v>
      </c>
      <c r="R46" s="460">
        <v>1111</v>
      </c>
      <c r="S46" s="460" t="s">
        <v>2305</v>
      </c>
      <c r="T46" s="462">
        <v>1</v>
      </c>
      <c r="U46" s="460" t="s">
        <v>2305</v>
      </c>
      <c r="V46" s="475">
        <v>0</v>
      </c>
      <c r="W46" s="463" t="s">
        <v>2268</v>
      </c>
      <c r="X46" s="463" t="s">
        <v>2268</v>
      </c>
      <c r="Y46" s="463" t="s">
        <v>2290</v>
      </c>
      <c r="Z46" s="463"/>
      <c r="AA46" s="463"/>
      <c r="AB46" s="464">
        <v>0</v>
      </c>
      <c r="AC46" s="465">
        <v>0</v>
      </c>
      <c r="AD46" s="465">
        <v>0</v>
      </c>
      <c r="AE46" s="476">
        <v>0</v>
      </c>
      <c r="AF46" s="467">
        <v>0</v>
      </c>
      <c r="AG46" s="468">
        <v>0</v>
      </c>
      <c r="AH46" s="218">
        <v>0</v>
      </c>
      <c r="AI46" s="470">
        <v>0</v>
      </c>
      <c r="AJ46" s="471">
        <v>0</v>
      </c>
      <c r="AK46" s="218">
        <v>0</v>
      </c>
      <c r="AL46" s="470">
        <v>0</v>
      </c>
      <c r="AM46" s="471">
        <v>0</v>
      </c>
      <c r="AN46" s="477">
        <v>0</v>
      </c>
      <c r="AO46" s="473">
        <v>0</v>
      </c>
      <c r="AP46" s="474">
        <v>0</v>
      </c>
      <c r="AQ46" s="352"/>
      <c r="AR46" s="352"/>
      <c r="AS46" s="352"/>
      <c r="AT46" s="352"/>
      <c r="AU46" s="352"/>
      <c r="AV46" s="352"/>
      <c r="AW46" s="352" t="s">
        <v>254</v>
      </c>
    </row>
    <row r="47" spans="2:49" x14ac:dyDescent="0.2">
      <c r="B47" s="460" t="s">
        <v>2294</v>
      </c>
      <c r="C47" s="460">
        <v>1111</v>
      </c>
      <c r="D47" s="460" t="s">
        <v>2318</v>
      </c>
      <c r="E47" s="460" t="s">
        <v>2296</v>
      </c>
      <c r="F47" s="460">
        <v>1</v>
      </c>
      <c r="G47" s="460">
        <v>2</v>
      </c>
      <c r="H47" s="461" t="s">
        <v>752</v>
      </c>
      <c r="I47" s="461" t="s">
        <v>964</v>
      </c>
      <c r="J47" s="461" t="s">
        <v>752</v>
      </c>
      <c r="K47" s="594"/>
      <c r="L47" s="594"/>
      <c r="M47" s="352">
        <v>1000</v>
      </c>
      <c r="N47" s="352" t="s">
        <v>698</v>
      </c>
      <c r="O47" s="460">
        <v>1111</v>
      </c>
      <c r="P47" s="460" t="s">
        <v>699</v>
      </c>
      <c r="Q47" s="460" t="s">
        <v>2266</v>
      </c>
      <c r="R47" s="460">
        <v>1111</v>
      </c>
      <c r="S47" s="460" t="s">
        <v>2296</v>
      </c>
      <c r="T47" s="462">
        <v>1</v>
      </c>
      <c r="U47" s="460" t="s">
        <v>2296</v>
      </c>
      <c r="V47" s="475">
        <v>0</v>
      </c>
      <c r="W47" s="463" t="s">
        <v>2278</v>
      </c>
      <c r="X47" s="463" t="s">
        <v>2278</v>
      </c>
      <c r="Y47" s="463" t="s">
        <v>2278</v>
      </c>
      <c r="Z47" s="463"/>
      <c r="AA47" s="463"/>
      <c r="AB47" s="464">
        <v>0</v>
      </c>
      <c r="AC47" s="465">
        <v>0</v>
      </c>
      <c r="AD47" s="465">
        <v>0</v>
      </c>
      <c r="AE47" s="476">
        <v>0</v>
      </c>
      <c r="AF47" s="467">
        <v>0</v>
      </c>
      <c r="AG47" s="468">
        <v>0</v>
      </c>
      <c r="AH47" s="218">
        <v>0</v>
      </c>
      <c r="AI47" s="470">
        <v>0</v>
      </c>
      <c r="AJ47" s="471">
        <v>0</v>
      </c>
      <c r="AK47" s="218">
        <v>0</v>
      </c>
      <c r="AL47" s="470">
        <v>0</v>
      </c>
      <c r="AM47" s="471">
        <v>0</v>
      </c>
      <c r="AN47" s="477">
        <v>0</v>
      </c>
      <c r="AO47" s="473">
        <v>0</v>
      </c>
      <c r="AP47" s="474">
        <v>0</v>
      </c>
      <c r="AQ47" s="352"/>
      <c r="AR47" s="352"/>
      <c r="AS47" s="352"/>
      <c r="AT47" s="352"/>
      <c r="AU47" s="352"/>
      <c r="AV47" s="352"/>
      <c r="AW47" s="352" t="s">
        <v>254</v>
      </c>
    </row>
    <row r="48" spans="2:49" x14ac:dyDescent="0.2">
      <c r="B48" s="460" t="s">
        <v>2297</v>
      </c>
      <c r="C48" s="460">
        <v>1111</v>
      </c>
      <c r="D48" s="460" t="s">
        <v>2319</v>
      </c>
      <c r="E48" s="460" t="s">
        <v>2299</v>
      </c>
      <c r="F48" s="460">
        <v>2</v>
      </c>
      <c r="G48" s="460">
        <v>2</v>
      </c>
      <c r="H48" s="461" t="s">
        <v>752</v>
      </c>
      <c r="I48" s="461" t="s">
        <v>964</v>
      </c>
      <c r="J48" s="461" t="s">
        <v>752</v>
      </c>
      <c r="K48" s="594"/>
      <c r="L48" s="594"/>
      <c r="M48" s="352">
        <v>1000</v>
      </c>
      <c r="N48" s="352" t="s">
        <v>698</v>
      </c>
      <c r="O48" s="460">
        <v>1111</v>
      </c>
      <c r="P48" s="460" t="s">
        <v>699</v>
      </c>
      <c r="Q48" s="460" t="s">
        <v>2266</v>
      </c>
      <c r="R48" s="460">
        <v>1111</v>
      </c>
      <c r="S48" s="460" t="s">
        <v>2296</v>
      </c>
      <c r="T48" s="462">
        <v>0.55517361979372948</v>
      </c>
      <c r="U48" s="460" t="s">
        <v>2299</v>
      </c>
      <c r="V48" s="475">
        <v>0</v>
      </c>
      <c r="W48" s="463" t="s">
        <v>2278</v>
      </c>
      <c r="X48" s="463" t="s">
        <v>2278</v>
      </c>
      <c r="Y48" s="463" t="s">
        <v>2278</v>
      </c>
      <c r="Z48" s="463"/>
      <c r="AA48" s="463"/>
      <c r="AB48" s="464">
        <v>0</v>
      </c>
      <c r="AC48" s="465">
        <v>0</v>
      </c>
      <c r="AD48" s="465">
        <v>0</v>
      </c>
      <c r="AE48" s="476">
        <v>0</v>
      </c>
      <c r="AF48" s="467">
        <v>0</v>
      </c>
      <c r="AG48" s="468">
        <v>0</v>
      </c>
      <c r="AH48" s="218">
        <v>0</v>
      </c>
      <c r="AI48" s="470">
        <v>0</v>
      </c>
      <c r="AJ48" s="471">
        <v>0</v>
      </c>
      <c r="AK48" s="218">
        <v>0</v>
      </c>
      <c r="AL48" s="470">
        <v>0</v>
      </c>
      <c r="AM48" s="471">
        <v>0</v>
      </c>
      <c r="AN48" s="477">
        <v>0</v>
      </c>
      <c r="AO48" s="473">
        <v>0</v>
      </c>
      <c r="AP48" s="474">
        <v>0</v>
      </c>
      <c r="AQ48" s="352"/>
      <c r="AR48" s="352"/>
      <c r="AS48" s="352"/>
      <c r="AT48" s="352"/>
      <c r="AU48" s="352"/>
      <c r="AV48" s="352"/>
      <c r="AW48" s="352" t="s">
        <v>254</v>
      </c>
    </row>
    <row r="49" spans="2:49" x14ac:dyDescent="0.2">
      <c r="B49" s="460" t="s">
        <v>2300</v>
      </c>
      <c r="C49" s="460">
        <v>1111</v>
      </c>
      <c r="D49" s="460" t="s">
        <v>2320</v>
      </c>
      <c r="E49" s="460" t="s">
        <v>2302</v>
      </c>
      <c r="F49" s="460">
        <v>3</v>
      </c>
      <c r="G49" s="460">
        <v>2</v>
      </c>
      <c r="H49" s="461" t="s">
        <v>752</v>
      </c>
      <c r="I49" s="461" t="s">
        <v>964</v>
      </c>
      <c r="J49" s="461" t="s">
        <v>752</v>
      </c>
      <c r="K49" s="594"/>
      <c r="L49" s="594"/>
      <c r="M49" s="352">
        <v>1000</v>
      </c>
      <c r="N49" s="352" t="s">
        <v>698</v>
      </c>
      <c r="O49" s="460">
        <v>1111</v>
      </c>
      <c r="P49" s="460" t="s">
        <v>699</v>
      </c>
      <c r="Q49" s="460" t="s">
        <v>2266</v>
      </c>
      <c r="R49" s="460">
        <v>1111</v>
      </c>
      <c r="S49" s="460" t="s">
        <v>2296</v>
      </c>
      <c r="T49" s="462">
        <v>0.28481449642268464</v>
      </c>
      <c r="U49" s="460" t="s">
        <v>2302</v>
      </c>
      <c r="V49" s="475">
        <v>0</v>
      </c>
      <c r="W49" s="463" t="s">
        <v>2278</v>
      </c>
      <c r="X49" s="463" t="s">
        <v>2278</v>
      </c>
      <c r="Y49" s="463" t="s">
        <v>2278</v>
      </c>
      <c r="Z49" s="463"/>
      <c r="AA49" s="463"/>
      <c r="AB49" s="464">
        <v>0</v>
      </c>
      <c r="AC49" s="465">
        <v>0</v>
      </c>
      <c r="AD49" s="465">
        <v>0</v>
      </c>
      <c r="AE49" s="476">
        <v>0</v>
      </c>
      <c r="AF49" s="467">
        <v>0</v>
      </c>
      <c r="AG49" s="468">
        <v>0</v>
      </c>
      <c r="AH49" s="218">
        <v>0</v>
      </c>
      <c r="AI49" s="470">
        <v>0</v>
      </c>
      <c r="AJ49" s="471">
        <v>0</v>
      </c>
      <c r="AK49" s="218">
        <v>0</v>
      </c>
      <c r="AL49" s="470">
        <v>0</v>
      </c>
      <c r="AM49" s="471">
        <v>0</v>
      </c>
      <c r="AN49" s="477">
        <v>0</v>
      </c>
      <c r="AO49" s="473">
        <v>0</v>
      </c>
      <c r="AP49" s="474">
        <v>0</v>
      </c>
      <c r="AQ49" s="352"/>
      <c r="AR49" s="352"/>
      <c r="AS49" s="352"/>
      <c r="AT49" s="352"/>
      <c r="AU49" s="352"/>
      <c r="AV49" s="352"/>
      <c r="AW49" s="352" t="s">
        <v>254</v>
      </c>
    </row>
    <row r="50" spans="2:49" x14ac:dyDescent="0.2">
      <c r="B50" s="460" t="s">
        <v>2303</v>
      </c>
      <c r="C50" s="460">
        <v>1111</v>
      </c>
      <c r="D50" s="460" t="s">
        <v>2321</v>
      </c>
      <c r="E50" s="460" t="s">
        <v>2305</v>
      </c>
      <c r="F50" s="460">
        <v>4</v>
      </c>
      <c r="G50" s="460">
        <v>2</v>
      </c>
      <c r="H50" s="461" t="s">
        <v>752</v>
      </c>
      <c r="I50" s="461" t="s">
        <v>964</v>
      </c>
      <c r="J50" s="461" t="s">
        <v>752</v>
      </c>
      <c r="K50" s="594"/>
      <c r="L50" s="594"/>
      <c r="M50" s="352">
        <v>1000</v>
      </c>
      <c r="N50" s="352" t="s">
        <v>698</v>
      </c>
      <c r="O50" s="460">
        <v>1111</v>
      </c>
      <c r="P50" s="460" t="s">
        <v>699</v>
      </c>
      <c r="Q50" s="460" t="s">
        <v>2266</v>
      </c>
      <c r="R50" s="460">
        <v>1111</v>
      </c>
      <c r="S50" s="460" t="s">
        <v>2305</v>
      </c>
      <c r="T50" s="462">
        <v>1</v>
      </c>
      <c r="U50" s="460" t="s">
        <v>2305</v>
      </c>
      <c r="V50" s="475">
        <v>0</v>
      </c>
      <c r="W50" s="463" t="s">
        <v>2278</v>
      </c>
      <c r="X50" s="463" t="s">
        <v>2278</v>
      </c>
      <c r="Y50" s="463" t="s">
        <v>2278</v>
      </c>
      <c r="Z50" s="463"/>
      <c r="AA50" s="463"/>
      <c r="AB50" s="464">
        <v>0</v>
      </c>
      <c r="AC50" s="465">
        <v>0</v>
      </c>
      <c r="AD50" s="465">
        <v>0</v>
      </c>
      <c r="AE50" s="476">
        <v>0</v>
      </c>
      <c r="AF50" s="467">
        <v>0</v>
      </c>
      <c r="AG50" s="468">
        <v>0</v>
      </c>
      <c r="AH50" s="218">
        <v>0</v>
      </c>
      <c r="AI50" s="470">
        <v>0</v>
      </c>
      <c r="AJ50" s="471">
        <v>0</v>
      </c>
      <c r="AK50" s="218">
        <v>0</v>
      </c>
      <c r="AL50" s="470">
        <v>0</v>
      </c>
      <c r="AM50" s="471">
        <v>0</v>
      </c>
      <c r="AN50" s="477">
        <v>0</v>
      </c>
      <c r="AO50" s="473">
        <v>0</v>
      </c>
      <c r="AP50" s="474">
        <v>0</v>
      </c>
      <c r="AQ50" s="352"/>
      <c r="AR50" s="352"/>
      <c r="AS50" s="352"/>
      <c r="AT50" s="352"/>
      <c r="AU50" s="352"/>
      <c r="AV50" s="352"/>
      <c r="AW50" s="352" t="s">
        <v>254</v>
      </c>
    </row>
    <row r="51" spans="2:49" x14ac:dyDescent="0.2">
      <c r="B51" s="460" t="s">
        <v>2322</v>
      </c>
      <c r="C51" s="460">
        <v>1111</v>
      </c>
      <c r="D51" s="460" t="s">
        <v>2323</v>
      </c>
      <c r="E51" s="460" t="s">
        <v>2324</v>
      </c>
      <c r="F51" s="460">
        <v>1</v>
      </c>
      <c r="G51" s="460">
        <v>3</v>
      </c>
      <c r="H51" s="461" t="s">
        <v>700</v>
      </c>
      <c r="I51" s="461" t="s">
        <v>872</v>
      </c>
      <c r="J51" s="461" t="s">
        <v>700</v>
      </c>
      <c r="K51" s="594"/>
      <c r="L51" s="594"/>
      <c r="M51" s="352">
        <v>1000</v>
      </c>
      <c r="N51" s="352" t="s">
        <v>698</v>
      </c>
      <c r="O51" s="460">
        <v>1111</v>
      </c>
      <c r="P51" s="460" t="s">
        <v>699</v>
      </c>
      <c r="Q51" s="460" t="s">
        <v>2266</v>
      </c>
      <c r="R51" s="460">
        <v>1111</v>
      </c>
      <c r="S51" s="460" t="s">
        <v>2324</v>
      </c>
      <c r="T51" s="462">
        <v>1</v>
      </c>
      <c r="U51" s="460" t="s">
        <v>2324</v>
      </c>
      <c r="V51" s="475">
        <v>0</v>
      </c>
      <c r="W51" s="463" t="s">
        <v>2267</v>
      </c>
      <c r="X51" s="463" t="s">
        <v>2267</v>
      </c>
      <c r="Y51" s="463" t="s">
        <v>2268</v>
      </c>
      <c r="Z51" s="463"/>
      <c r="AA51" s="463"/>
      <c r="AB51" s="464">
        <v>60891.405105973485</v>
      </c>
      <c r="AC51" s="465">
        <v>0.76054783743524146</v>
      </c>
      <c r="AD51" s="465">
        <v>0.52200251470392711</v>
      </c>
      <c r="AE51" s="476">
        <v>60891.405105973485</v>
      </c>
      <c r="AF51" s="467">
        <v>0.76054783743524146</v>
      </c>
      <c r="AG51" s="468">
        <v>0.55916810494802283</v>
      </c>
      <c r="AH51" s="218">
        <v>60891.405105973485</v>
      </c>
      <c r="AI51" s="470">
        <v>0.76054783743524146</v>
      </c>
      <c r="AJ51" s="471">
        <v>0.53396938579256292</v>
      </c>
      <c r="AK51" s="218">
        <v>60891.405105973485</v>
      </c>
      <c r="AL51" s="470">
        <v>0.76054783743524146</v>
      </c>
      <c r="AM51" s="471">
        <v>0.53396938579256292</v>
      </c>
      <c r="AN51" s="477">
        <v>0</v>
      </c>
      <c r="AO51" s="473">
        <v>0</v>
      </c>
      <c r="AP51" s="474">
        <v>0</v>
      </c>
      <c r="AQ51" s="352"/>
      <c r="AR51" s="352"/>
      <c r="AS51" s="352"/>
      <c r="AT51" s="352"/>
      <c r="AU51" s="352"/>
      <c r="AV51" s="352"/>
      <c r="AW51" s="352" t="s">
        <v>254</v>
      </c>
    </row>
    <row r="52" spans="2:49" x14ac:dyDescent="0.2">
      <c r="B52" s="460" t="s">
        <v>2325</v>
      </c>
      <c r="C52" s="460">
        <v>1111</v>
      </c>
      <c r="D52" s="460" t="s">
        <v>2326</v>
      </c>
      <c r="E52" s="460" t="s">
        <v>2327</v>
      </c>
      <c r="F52" s="460">
        <v>2</v>
      </c>
      <c r="G52" s="460">
        <v>3</v>
      </c>
      <c r="H52" s="461" t="s">
        <v>700</v>
      </c>
      <c r="I52" s="461" t="s">
        <v>872</v>
      </c>
      <c r="J52" s="461" t="s">
        <v>700</v>
      </c>
      <c r="K52" s="594"/>
      <c r="L52" s="594"/>
      <c r="M52" s="352">
        <v>1000</v>
      </c>
      <c r="N52" s="352" t="s">
        <v>698</v>
      </c>
      <c r="O52" s="460">
        <v>1111</v>
      </c>
      <c r="P52" s="460" t="s">
        <v>699</v>
      </c>
      <c r="Q52" s="460" t="s">
        <v>2266</v>
      </c>
      <c r="R52" s="460">
        <v>1111</v>
      </c>
      <c r="S52" s="460" t="s">
        <v>2324</v>
      </c>
      <c r="T52" s="462">
        <v>1</v>
      </c>
      <c r="U52" s="460" t="s">
        <v>2327</v>
      </c>
      <c r="V52" s="475">
        <v>0</v>
      </c>
      <c r="W52" s="463" t="s">
        <v>2267</v>
      </c>
      <c r="X52" s="463" t="s">
        <v>2267</v>
      </c>
      <c r="Y52" s="463" t="s">
        <v>2268</v>
      </c>
      <c r="Z52" s="463"/>
      <c r="AA52" s="463"/>
      <c r="AB52" s="464">
        <v>43072.269572758036</v>
      </c>
      <c r="AC52" s="465">
        <v>0.78723637874937491</v>
      </c>
      <c r="AD52" s="465">
        <v>0.63616958626873543</v>
      </c>
      <c r="AE52" s="476">
        <v>43072.269572758036</v>
      </c>
      <c r="AF52" s="467">
        <v>0.78723637874937491</v>
      </c>
      <c r="AG52" s="468">
        <v>0.68904215507561994</v>
      </c>
      <c r="AH52" s="218">
        <v>43072.269572758036</v>
      </c>
      <c r="AI52" s="470">
        <v>0.78723637874937491</v>
      </c>
      <c r="AJ52" s="471">
        <v>0.5798901874042004</v>
      </c>
      <c r="AK52" s="218">
        <v>43072.269572758036</v>
      </c>
      <c r="AL52" s="470">
        <v>0.78723637874937491</v>
      </c>
      <c r="AM52" s="471">
        <v>0.5798901874042004</v>
      </c>
      <c r="AN52" s="477">
        <v>0</v>
      </c>
      <c r="AO52" s="473">
        <v>0</v>
      </c>
      <c r="AP52" s="474">
        <v>0</v>
      </c>
      <c r="AQ52" s="352"/>
      <c r="AR52" s="352"/>
      <c r="AS52" s="352"/>
      <c r="AT52" s="352"/>
      <c r="AU52" s="352"/>
      <c r="AV52" s="352"/>
      <c r="AW52" s="352" t="s">
        <v>254</v>
      </c>
    </row>
    <row r="53" spans="2:49" x14ac:dyDescent="0.2">
      <c r="B53" s="460" t="s">
        <v>2328</v>
      </c>
      <c r="C53" s="460">
        <v>1111</v>
      </c>
      <c r="D53" s="460" t="s">
        <v>2329</v>
      </c>
      <c r="E53" s="460" t="s">
        <v>2330</v>
      </c>
      <c r="F53" s="460">
        <v>3</v>
      </c>
      <c r="G53" s="460">
        <v>3</v>
      </c>
      <c r="H53" s="461" t="s">
        <v>700</v>
      </c>
      <c r="I53" s="461" t="s">
        <v>872</v>
      </c>
      <c r="J53" s="461" t="s">
        <v>700</v>
      </c>
      <c r="K53" s="594"/>
      <c r="L53" s="594"/>
      <c r="M53" s="352">
        <v>1000</v>
      </c>
      <c r="N53" s="352" t="s">
        <v>698</v>
      </c>
      <c r="O53" s="460">
        <v>1111</v>
      </c>
      <c r="P53" s="460" t="s">
        <v>699</v>
      </c>
      <c r="Q53" s="460" t="s">
        <v>2266</v>
      </c>
      <c r="R53" s="460">
        <v>1111</v>
      </c>
      <c r="S53" s="460" t="s">
        <v>2324</v>
      </c>
      <c r="T53" s="462">
        <v>1</v>
      </c>
      <c r="U53" s="460" t="s">
        <v>2330</v>
      </c>
      <c r="V53" s="475">
        <v>0</v>
      </c>
      <c r="W53" s="463" t="s">
        <v>2267</v>
      </c>
      <c r="X53" s="463" t="s">
        <v>2267</v>
      </c>
      <c r="Y53" s="463" t="s">
        <v>2268</v>
      </c>
      <c r="Z53" s="463"/>
      <c r="AA53" s="463"/>
      <c r="AB53" s="464">
        <v>18904.608538251407</v>
      </c>
      <c r="AC53" s="465">
        <v>0.82008413627414056</v>
      </c>
      <c r="AD53" s="465">
        <v>0.71386090818767634</v>
      </c>
      <c r="AE53" s="476">
        <v>18904.608538251407</v>
      </c>
      <c r="AF53" s="467">
        <v>0.82008413627414056</v>
      </c>
      <c r="AG53" s="468">
        <v>0.76508958302519936</v>
      </c>
      <c r="AH53" s="218">
        <v>18904.608538251407</v>
      </c>
      <c r="AI53" s="470">
        <v>0.82008413627414056</v>
      </c>
      <c r="AJ53" s="471">
        <v>0.66605372915044814</v>
      </c>
      <c r="AK53" s="218">
        <v>18904.608538251407</v>
      </c>
      <c r="AL53" s="470">
        <v>0.82008413627414056</v>
      </c>
      <c r="AM53" s="471">
        <v>0.66605372915044814</v>
      </c>
      <c r="AN53" s="477">
        <v>0</v>
      </c>
      <c r="AO53" s="478">
        <v>0</v>
      </c>
      <c r="AP53" s="474">
        <v>0</v>
      </c>
      <c r="AQ53" s="352"/>
      <c r="AR53" s="352"/>
      <c r="AS53" s="352"/>
      <c r="AT53" s="352"/>
      <c r="AU53" s="352"/>
      <c r="AV53" s="352"/>
      <c r="AW53" s="352" t="s">
        <v>254</v>
      </c>
    </row>
    <row r="54" spans="2:49" x14ac:dyDescent="0.2">
      <c r="B54" s="460" t="s">
        <v>2331</v>
      </c>
      <c r="C54" s="460">
        <v>1111</v>
      </c>
      <c r="D54" s="460" t="s">
        <v>2332</v>
      </c>
      <c r="E54" s="460" t="s">
        <v>2333</v>
      </c>
      <c r="F54" s="460">
        <v>4</v>
      </c>
      <c r="G54" s="460">
        <v>3</v>
      </c>
      <c r="H54" s="461" t="s">
        <v>700</v>
      </c>
      <c r="I54" s="461" t="s">
        <v>872</v>
      </c>
      <c r="J54" s="461" t="s">
        <v>700</v>
      </c>
      <c r="K54" s="594"/>
      <c r="L54" s="594"/>
      <c r="M54" s="352">
        <v>1000</v>
      </c>
      <c r="N54" s="352" t="s">
        <v>698</v>
      </c>
      <c r="O54" s="460">
        <v>1111</v>
      </c>
      <c r="P54" s="460" t="s">
        <v>699</v>
      </c>
      <c r="Q54" s="460" t="s">
        <v>2266</v>
      </c>
      <c r="R54" s="460">
        <v>1111</v>
      </c>
      <c r="S54" s="460" t="s">
        <v>2333</v>
      </c>
      <c r="T54" s="462">
        <v>1</v>
      </c>
      <c r="U54" s="460" t="s">
        <v>2333</v>
      </c>
      <c r="V54" s="475">
        <v>0</v>
      </c>
      <c r="W54" s="463" t="s">
        <v>2278</v>
      </c>
      <c r="X54" s="463" t="s">
        <v>2278</v>
      </c>
      <c r="Y54" s="463" t="s">
        <v>2268</v>
      </c>
      <c r="Z54" s="463"/>
      <c r="AA54" s="463"/>
      <c r="AB54" s="464">
        <v>11144.418524499555</v>
      </c>
      <c r="AC54" s="465">
        <v>0.70326126510569009</v>
      </c>
      <c r="AD54" s="465">
        <v>0.76861434234555148</v>
      </c>
      <c r="AE54" s="476">
        <v>11144.418524499555</v>
      </c>
      <c r="AF54" s="467">
        <v>0.70326126510569009</v>
      </c>
      <c r="AG54" s="468">
        <v>0.84826341841783326</v>
      </c>
      <c r="AH54" s="218">
        <v>11144.418524499555</v>
      </c>
      <c r="AI54" s="470">
        <v>0.70326126510569009</v>
      </c>
      <c r="AJ54" s="471">
        <v>0.82186097754391962</v>
      </c>
      <c r="AK54" s="218">
        <v>11144.418524499555</v>
      </c>
      <c r="AL54" s="470">
        <v>0.70326126510569009</v>
      </c>
      <c r="AM54" s="471">
        <v>0.82186097754391962</v>
      </c>
      <c r="AN54" s="477">
        <v>0</v>
      </c>
      <c r="AO54" s="473">
        <v>0</v>
      </c>
      <c r="AP54" s="474">
        <v>0</v>
      </c>
      <c r="AQ54" s="352"/>
      <c r="AR54" s="352"/>
      <c r="AS54" s="352"/>
      <c r="AT54" s="352"/>
      <c r="AU54" s="352"/>
      <c r="AV54" s="352"/>
      <c r="AW54" s="352" t="s">
        <v>254</v>
      </c>
    </row>
    <row r="55" spans="2:49" x14ac:dyDescent="0.2">
      <c r="B55" s="460" t="s">
        <v>2322</v>
      </c>
      <c r="C55" s="460">
        <v>1111</v>
      </c>
      <c r="D55" s="460" t="s">
        <v>2334</v>
      </c>
      <c r="E55" s="460" t="s">
        <v>2324</v>
      </c>
      <c r="F55" s="460">
        <v>1</v>
      </c>
      <c r="G55" s="460">
        <v>3</v>
      </c>
      <c r="H55" s="461" t="s">
        <v>712</v>
      </c>
      <c r="I55" s="461" t="s">
        <v>713</v>
      </c>
      <c r="J55" s="461" t="s">
        <v>712</v>
      </c>
      <c r="K55" s="594"/>
      <c r="L55" s="594"/>
      <c r="M55" s="352">
        <v>1000</v>
      </c>
      <c r="N55" s="352" t="s">
        <v>698</v>
      </c>
      <c r="O55" s="460">
        <v>1111</v>
      </c>
      <c r="P55" s="460" t="s">
        <v>699</v>
      </c>
      <c r="Q55" s="460" t="s">
        <v>2280</v>
      </c>
      <c r="R55" s="460">
        <v>1111</v>
      </c>
      <c r="S55" s="460" t="s">
        <v>2324</v>
      </c>
      <c r="T55" s="462">
        <v>1</v>
      </c>
      <c r="U55" s="460" t="s">
        <v>2324</v>
      </c>
      <c r="V55" s="475">
        <v>0</v>
      </c>
      <c r="W55" s="463" t="s">
        <v>713</v>
      </c>
      <c r="X55" s="463" t="s">
        <v>713</v>
      </c>
      <c r="Y55" s="463" t="s">
        <v>713</v>
      </c>
      <c r="Z55" s="463"/>
      <c r="AA55" s="463"/>
      <c r="AB55" s="464">
        <v>19171.152577859546</v>
      </c>
      <c r="AC55" s="465">
        <v>0.23945216256475854</v>
      </c>
      <c r="AD55" s="465">
        <v>4.7868375965927315E-2</v>
      </c>
      <c r="AE55" s="476">
        <v>19171.152577859546</v>
      </c>
      <c r="AF55" s="467">
        <v>0.23945216256475854</v>
      </c>
      <c r="AG55" s="468">
        <v>4.6959291884724197E-2</v>
      </c>
      <c r="AH55" s="218">
        <v>19171.152577859546</v>
      </c>
      <c r="AI55" s="470">
        <v>0.23945216256475854</v>
      </c>
      <c r="AJ55" s="471">
        <v>4.755794061909719E-2</v>
      </c>
      <c r="AK55" s="218">
        <v>19171.152577859546</v>
      </c>
      <c r="AL55" s="470">
        <v>0.23945216256475854</v>
      </c>
      <c r="AM55" s="471">
        <v>4.755794061909719E-2</v>
      </c>
      <c r="AN55" s="477">
        <v>19171.152577859546</v>
      </c>
      <c r="AO55" s="473">
        <v>0.23945216256475854</v>
      </c>
      <c r="AP55" s="474">
        <v>4.7534796414051464E-2</v>
      </c>
      <c r="AQ55" s="352"/>
      <c r="AR55" s="352"/>
      <c r="AS55" s="352"/>
      <c r="AT55" s="352"/>
      <c r="AU55" s="352"/>
      <c r="AV55" s="352"/>
      <c r="AW55" s="352" t="s">
        <v>254</v>
      </c>
    </row>
    <row r="56" spans="2:49" x14ac:dyDescent="0.2">
      <c r="B56" s="460" t="s">
        <v>2325</v>
      </c>
      <c r="C56" s="460">
        <v>1111</v>
      </c>
      <c r="D56" s="460" t="s">
        <v>2335</v>
      </c>
      <c r="E56" s="460" t="s">
        <v>2327</v>
      </c>
      <c r="F56" s="460">
        <v>2</v>
      </c>
      <c r="G56" s="460">
        <v>3</v>
      </c>
      <c r="H56" s="461" t="s">
        <v>712</v>
      </c>
      <c r="I56" s="461" t="s">
        <v>713</v>
      </c>
      <c r="J56" s="461" t="s">
        <v>712</v>
      </c>
      <c r="K56" s="594"/>
      <c r="L56" s="594"/>
      <c r="M56" s="352">
        <v>1000</v>
      </c>
      <c r="N56" s="352" t="s">
        <v>698</v>
      </c>
      <c r="O56" s="460">
        <v>1111</v>
      </c>
      <c r="P56" s="460" t="s">
        <v>699</v>
      </c>
      <c r="Q56" s="460" t="s">
        <v>2280</v>
      </c>
      <c r="R56" s="460">
        <v>1111</v>
      </c>
      <c r="S56" s="460" t="s">
        <v>2324</v>
      </c>
      <c r="T56" s="462">
        <v>1</v>
      </c>
      <c r="U56" s="460" t="s">
        <v>2327</v>
      </c>
      <c r="V56" s="475">
        <v>0</v>
      </c>
      <c r="W56" s="463" t="s">
        <v>713</v>
      </c>
      <c r="X56" s="463" t="s">
        <v>713</v>
      </c>
      <c r="Y56" s="463" t="s">
        <v>713</v>
      </c>
      <c r="Z56" s="463"/>
      <c r="AA56" s="463"/>
      <c r="AB56" s="464">
        <v>11640.991571478988</v>
      </c>
      <c r="AC56" s="465">
        <v>0.21276362125062506</v>
      </c>
      <c r="AD56" s="465">
        <v>3.728142207224161E-2</v>
      </c>
      <c r="AE56" s="476">
        <v>11640.991571478989</v>
      </c>
      <c r="AF56" s="467">
        <v>0.21276362125062509</v>
      </c>
      <c r="AG56" s="468">
        <v>3.6671270238650938E-2</v>
      </c>
      <c r="AH56" s="218">
        <v>11640.991571478989</v>
      </c>
      <c r="AI56" s="470">
        <v>0.21276362125062509</v>
      </c>
      <c r="AJ56" s="471">
        <v>3.8136808928081314E-2</v>
      </c>
      <c r="AK56" s="218">
        <v>11640.991571478989</v>
      </c>
      <c r="AL56" s="470">
        <v>0.21276362125062509</v>
      </c>
      <c r="AM56" s="471">
        <v>3.8136808928081314E-2</v>
      </c>
      <c r="AN56" s="477">
        <v>11640.991571478989</v>
      </c>
      <c r="AO56" s="473">
        <v>0.21276362125062509</v>
      </c>
      <c r="AP56" s="474">
        <v>3.8121856864707503E-2</v>
      </c>
      <c r="AQ56" s="352"/>
      <c r="AR56" s="352"/>
      <c r="AS56" s="352"/>
      <c r="AT56" s="352"/>
      <c r="AU56" s="352"/>
      <c r="AV56" s="352"/>
      <c r="AW56" s="352" t="s">
        <v>254</v>
      </c>
    </row>
    <row r="57" spans="2:49" x14ac:dyDescent="0.2">
      <c r="B57" s="460" t="s">
        <v>2328</v>
      </c>
      <c r="C57" s="460">
        <v>1111</v>
      </c>
      <c r="D57" s="460" t="s">
        <v>2336</v>
      </c>
      <c r="E57" s="460" t="s">
        <v>2330</v>
      </c>
      <c r="F57" s="460">
        <v>3</v>
      </c>
      <c r="G57" s="460">
        <v>3</v>
      </c>
      <c r="H57" s="461" t="s">
        <v>712</v>
      </c>
      <c r="I57" s="461" t="s">
        <v>713</v>
      </c>
      <c r="J57" s="461" t="s">
        <v>712</v>
      </c>
      <c r="K57" s="594"/>
      <c r="L57" s="594"/>
      <c r="M57" s="352">
        <v>1000</v>
      </c>
      <c r="N57" s="352" t="s">
        <v>698</v>
      </c>
      <c r="O57" s="460">
        <v>1111</v>
      </c>
      <c r="P57" s="460" t="s">
        <v>699</v>
      </c>
      <c r="Q57" s="460" t="s">
        <v>2280</v>
      </c>
      <c r="R57" s="460">
        <v>1111</v>
      </c>
      <c r="S57" s="460" t="s">
        <v>2324</v>
      </c>
      <c r="T57" s="462">
        <v>1</v>
      </c>
      <c r="U57" s="460" t="s">
        <v>2330</v>
      </c>
      <c r="V57" s="475">
        <v>0</v>
      </c>
      <c r="W57" s="463" t="s">
        <v>713</v>
      </c>
      <c r="X57" s="463" t="s">
        <v>713</v>
      </c>
      <c r="Y57" s="463" t="s">
        <v>713</v>
      </c>
      <c r="Z57" s="463"/>
      <c r="AA57" s="463"/>
      <c r="AB57" s="464">
        <v>4147.4268591653145</v>
      </c>
      <c r="AC57" s="465">
        <v>0.17991586372585941</v>
      </c>
      <c r="AD57" s="465">
        <v>3.6722408418575332E-2</v>
      </c>
      <c r="AE57" s="476">
        <v>4147.4268591653154</v>
      </c>
      <c r="AF57" s="467">
        <v>0.17991586372585944</v>
      </c>
      <c r="AG57" s="468">
        <v>3.6154768502466267E-2</v>
      </c>
      <c r="AH57" s="218">
        <v>4147.4268591653154</v>
      </c>
      <c r="AI57" s="470">
        <v>0.17991586372585944</v>
      </c>
      <c r="AJ57" s="471">
        <v>3.7535204265185688E-2</v>
      </c>
      <c r="AK57" s="218">
        <v>4147.4268591653154</v>
      </c>
      <c r="AL57" s="470">
        <v>0.17991586372585944</v>
      </c>
      <c r="AM57" s="471">
        <v>3.7535204265185688E-2</v>
      </c>
      <c r="AN57" s="477">
        <v>4147.4268591653154</v>
      </c>
      <c r="AO57" s="473">
        <v>0.17991586372585944</v>
      </c>
      <c r="AP57" s="474">
        <v>3.7632086772809846E-2</v>
      </c>
      <c r="AQ57" s="352"/>
      <c r="AR57" s="352"/>
      <c r="AS57" s="352"/>
      <c r="AT57" s="352"/>
      <c r="AU57" s="352"/>
      <c r="AV57" s="352"/>
      <c r="AW57" s="352" t="s">
        <v>254</v>
      </c>
    </row>
    <row r="58" spans="2:49" x14ac:dyDescent="0.2">
      <c r="B58" s="460" t="s">
        <v>2331</v>
      </c>
      <c r="C58" s="460">
        <v>1111</v>
      </c>
      <c r="D58" s="460" t="s">
        <v>2337</v>
      </c>
      <c r="E58" s="460" t="s">
        <v>2333</v>
      </c>
      <c r="F58" s="460">
        <v>4</v>
      </c>
      <c r="G58" s="460">
        <v>3</v>
      </c>
      <c r="H58" s="461" t="s">
        <v>712</v>
      </c>
      <c r="I58" s="461" t="s">
        <v>713</v>
      </c>
      <c r="J58" s="461" t="s">
        <v>712</v>
      </c>
      <c r="K58" s="594"/>
      <c r="L58" s="594"/>
      <c r="M58" s="352">
        <v>1000</v>
      </c>
      <c r="N58" s="352" t="s">
        <v>698</v>
      </c>
      <c r="O58" s="460">
        <v>1111</v>
      </c>
      <c r="P58" s="460" t="s">
        <v>699</v>
      </c>
      <c r="Q58" s="460" t="s">
        <v>2280</v>
      </c>
      <c r="R58" s="460">
        <v>1111</v>
      </c>
      <c r="S58" s="460" t="s">
        <v>2333</v>
      </c>
      <c r="T58" s="462">
        <v>1</v>
      </c>
      <c r="U58" s="460" t="s">
        <v>2333</v>
      </c>
      <c r="V58" s="475">
        <v>0</v>
      </c>
      <c r="W58" s="463" t="s">
        <v>713</v>
      </c>
      <c r="X58" s="463" t="s">
        <v>713</v>
      </c>
      <c r="Y58" s="463" t="s">
        <v>713</v>
      </c>
      <c r="Z58" s="463"/>
      <c r="AA58" s="463"/>
      <c r="AB58" s="464">
        <v>4702.3500627405074</v>
      </c>
      <c r="AC58" s="465">
        <v>0.29673873489430996</v>
      </c>
      <c r="AD58" s="465">
        <v>3.5749478256999756E-2</v>
      </c>
      <c r="AE58" s="476">
        <v>4702.3500627405065</v>
      </c>
      <c r="AF58" s="467">
        <v>0.29673873489430991</v>
      </c>
      <c r="AG58" s="468">
        <v>3.538325037100306E-2</v>
      </c>
      <c r="AH58" s="218">
        <v>4702.3500627405065</v>
      </c>
      <c r="AI58" s="470">
        <v>0.29673873489430991</v>
      </c>
      <c r="AJ58" s="471">
        <v>3.5495979024977919E-2</v>
      </c>
      <c r="AK58" s="218">
        <v>4702.3500627405065</v>
      </c>
      <c r="AL58" s="470">
        <v>0.29673873489430991</v>
      </c>
      <c r="AM58" s="471">
        <v>3.5495979024977919E-2</v>
      </c>
      <c r="AN58" s="477">
        <v>4702.3500627405065</v>
      </c>
      <c r="AO58" s="473">
        <v>0.29673873489430991</v>
      </c>
      <c r="AP58" s="474">
        <v>3.5507259069531692E-2</v>
      </c>
      <c r="AQ58" s="352"/>
      <c r="AR58" s="352"/>
      <c r="AS58" s="352"/>
      <c r="AT58" s="352"/>
      <c r="AU58" s="352"/>
      <c r="AV58" s="352"/>
      <c r="AW58" s="352" t="s">
        <v>254</v>
      </c>
    </row>
    <row r="59" spans="2:49" x14ac:dyDescent="0.2">
      <c r="B59" s="460" t="s">
        <v>2322</v>
      </c>
      <c r="C59" s="460">
        <v>1111</v>
      </c>
      <c r="D59" s="460" t="s">
        <v>2338</v>
      </c>
      <c r="E59" s="460" t="s">
        <v>2324</v>
      </c>
      <c r="F59" s="460">
        <v>1</v>
      </c>
      <c r="G59" s="460">
        <v>3</v>
      </c>
      <c r="H59" s="461" t="s">
        <v>746</v>
      </c>
      <c r="I59" s="461" t="s">
        <v>762</v>
      </c>
      <c r="J59" s="461" t="s">
        <v>700</v>
      </c>
      <c r="K59" s="594"/>
      <c r="L59" s="594"/>
      <c r="M59" s="352">
        <v>1000</v>
      </c>
      <c r="N59" s="352" t="s">
        <v>698</v>
      </c>
      <c r="O59" s="460">
        <v>1111</v>
      </c>
      <c r="P59" s="460" t="s">
        <v>699</v>
      </c>
      <c r="Q59" s="460" t="s">
        <v>2266</v>
      </c>
      <c r="R59" s="460">
        <v>1111</v>
      </c>
      <c r="S59" s="460" t="s">
        <v>2324</v>
      </c>
      <c r="T59" s="462">
        <v>1</v>
      </c>
      <c r="U59" s="460" t="s">
        <v>2324</v>
      </c>
      <c r="V59" s="475">
        <v>0</v>
      </c>
      <c r="W59" s="463" t="s">
        <v>2268</v>
      </c>
      <c r="X59" s="463" t="s">
        <v>2268</v>
      </c>
      <c r="Y59" s="463" t="s">
        <v>2267</v>
      </c>
      <c r="Z59" s="463"/>
      <c r="AA59" s="463"/>
      <c r="AB59" s="464">
        <v>0</v>
      </c>
      <c r="AC59" s="465">
        <v>0</v>
      </c>
      <c r="AD59" s="465">
        <v>0</v>
      </c>
      <c r="AE59" s="476">
        <v>0</v>
      </c>
      <c r="AF59" s="467">
        <v>0</v>
      </c>
      <c r="AG59" s="468">
        <v>0</v>
      </c>
      <c r="AH59" s="218">
        <v>0</v>
      </c>
      <c r="AI59" s="470">
        <v>0</v>
      </c>
      <c r="AJ59" s="471">
        <v>0</v>
      </c>
      <c r="AK59" s="218">
        <v>0</v>
      </c>
      <c r="AL59" s="470">
        <v>0</v>
      </c>
      <c r="AM59" s="471">
        <v>0</v>
      </c>
      <c r="AN59" s="477">
        <v>60891.405105973485</v>
      </c>
      <c r="AO59" s="473">
        <v>0.76054783743524146</v>
      </c>
      <c r="AP59" s="474">
        <v>0.64348537054693022</v>
      </c>
      <c r="AQ59" s="352"/>
      <c r="AR59" s="352"/>
      <c r="AS59" s="352"/>
      <c r="AT59" s="352"/>
      <c r="AU59" s="352"/>
      <c r="AV59" s="352"/>
      <c r="AW59" s="352" t="s">
        <v>254</v>
      </c>
    </row>
    <row r="60" spans="2:49" x14ac:dyDescent="0.2">
      <c r="B60" s="460" t="s">
        <v>2325</v>
      </c>
      <c r="C60" s="460">
        <v>1111</v>
      </c>
      <c r="D60" s="460" t="s">
        <v>2339</v>
      </c>
      <c r="E60" s="460" t="s">
        <v>2327</v>
      </c>
      <c r="F60" s="460">
        <v>2</v>
      </c>
      <c r="G60" s="460">
        <v>3</v>
      </c>
      <c r="H60" s="461" t="s">
        <v>746</v>
      </c>
      <c r="I60" s="461" t="s">
        <v>762</v>
      </c>
      <c r="J60" s="461" t="s">
        <v>700</v>
      </c>
      <c r="K60" s="594"/>
      <c r="L60" s="594"/>
      <c r="M60" s="352">
        <v>1000</v>
      </c>
      <c r="N60" s="352" t="s">
        <v>698</v>
      </c>
      <c r="O60" s="460">
        <v>1111</v>
      </c>
      <c r="P60" s="460" t="s">
        <v>699</v>
      </c>
      <c r="Q60" s="460" t="s">
        <v>2266</v>
      </c>
      <c r="R60" s="460">
        <v>1111</v>
      </c>
      <c r="S60" s="460" t="s">
        <v>2324</v>
      </c>
      <c r="T60" s="462">
        <v>1</v>
      </c>
      <c r="U60" s="460" t="s">
        <v>2327</v>
      </c>
      <c r="V60" s="475">
        <v>0</v>
      </c>
      <c r="W60" s="463" t="s">
        <v>2268</v>
      </c>
      <c r="X60" s="463" t="s">
        <v>2268</v>
      </c>
      <c r="Y60" s="463" t="s">
        <v>2267</v>
      </c>
      <c r="Z60" s="463"/>
      <c r="AA60" s="463"/>
      <c r="AB60" s="464">
        <v>0</v>
      </c>
      <c r="AC60" s="465">
        <v>0</v>
      </c>
      <c r="AD60" s="465">
        <v>0</v>
      </c>
      <c r="AE60" s="476">
        <v>0</v>
      </c>
      <c r="AF60" s="467">
        <v>0</v>
      </c>
      <c r="AG60" s="468">
        <v>0</v>
      </c>
      <c r="AH60" s="218">
        <v>0</v>
      </c>
      <c r="AI60" s="470">
        <v>0</v>
      </c>
      <c r="AJ60" s="471">
        <v>0</v>
      </c>
      <c r="AK60" s="218">
        <v>0</v>
      </c>
      <c r="AL60" s="470">
        <v>0</v>
      </c>
      <c r="AM60" s="471">
        <v>0</v>
      </c>
      <c r="AN60" s="477">
        <v>43072.269572758036</v>
      </c>
      <c r="AO60" s="473">
        <v>0.78723637874937491</v>
      </c>
      <c r="AP60" s="474">
        <v>0.68469255396265039</v>
      </c>
      <c r="AQ60" s="352"/>
      <c r="AR60" s="352"/>
      <c r="AS60" s="352"/>
      <c r="AT60" s="352"/>
      <c r="AU60" s="352"/>
      <c r="AV60" s="352"/>
      <c r="AW60" s="352" t="s">
        <v>254</v>
      </c>
    </row>
    <row r="61" spans="2:49" x14ac:dyDescent="0.2">
      <c r="B61" s="460" t="s">
        <v>2328</v>
      </c>
      <c r="C61" s="460">
        <v>1111</v>
      </c>
      <c r="D61" s="460" t="s">
        <v>2340</v>
      </c>
      <c r="E61" s="460" t="s">
        <v>2330</v>
      </c>
      <c r="F61" s="460">
        <v>3</v>
      </c>
      <c r="G61" s="460">
        <v>3</v>
      </c>
      <c r="H61" s="461" t="s">
        <v>746</v>
      </c>
      <c r="I61" s="461" t="s">
        <v>762</v>
      </c>
      <c r="J61" s="461" t="s">
        <v>700</v>
      </c>
      <c r="K61" s="594"/>
      <c r="L61" s="594"/>
      <c r="M61" s="352">
        <v>1000</v>
      </c>
      <c r="N61" s="352" t="s">
        <v>698</v>
      </c>
      <c r="O61" s="460">
        <v>1111</v>
      </c>
      <c r="P61" s="460" t="s">
        <v>699</v>
      </c>
      <c r="Q61" s="460" t="s">
        <v>2266</v>
      </c>
      <c r="R61" s="460">
        <v>1111</v>
      </c>
      <c r="S61" s="460" t="s">
        <v>2324</v>
      </c>
      <c r="T61" s="462">
        <v>1</v>
      </c>
      <c r="U61" s="460" t="s">
        <v>2330</v>
      </c>
      <c r="V61" s="475">
        <v>0</v>
      </c>
      <c r="W61" s="463" t="s">
        <v>2268</v>
      </c>
      <c r="X61" s="463" t="s">
        <v>2268</v>
      </c>
      <c r="Y61" s="463" t="s">
        <v>2267</v>
      </c>
      <c r="Z61" s="463"/>
      <c r="AA61" s="463"/>
      <c r="AB61" s="464">
        <v>0</v>
      </c>
      <c r="AC61" s="465">
        <v>0</v>
      </c>
      <c r="AD61" s="465">
        <v>0</v>
      </c>
      <c r="AE61" s="476">
        <v>0</v>
      </c>
      <c r="AF61" s="467">
        <v>0</v>
      </c>
      <c r="AG61" s="468">
        <v>0</v>
      </c>
      <c r="AH61" s="218">
        <v>0</v>
      </c>
      <c r="AI61" s="470">
        <v>0</v>
      </c>
      <c r="AJ61" s="471">
        <v>0</v>
      </c>
      <c r="AK61" s="218">
        <v>0</v>
      </c>
      <c r="AL61" s="470">
        <v>0</v>
      </c>
      <c r="AM61" s="471">
        <v>0</v>
      </c>
      <c r="AN61" s="477">
        <v>18904.608538251407</v>
      </c>
      <c r="AO61" s="473">
        <v>0.82008413627414056</v>
      </c>
      <c r="AP61" s="474">
        <v>0.75621879543002379</v>
      </c>
      <c r="AQ61" s="352"/>
      <c r="AR61" s="352"/>
      <c r="AS61" s="352"/>
      <c r="AT61" s="352"/>
      <c r="AU61" s="352"/>
      <c r="AV61" s="352"/>
      <c r="AW61" s="352" t="s">
        <v>254</v>
      </c>
    </row>
    <row r="62" spans="2:49" x14ac:dyDescent="0.2">
      <c r="B62" s="460" t="s">
        <v>2331</v>
      </c>
      <c r="C62" s="460">
        <v>1111</v>
      </c>
      <c r="D62" s="460" t="s">
        <v>2341</v>
      </c>
      <c r="E62" s="460" t="s">
        <v>2333</v>
      </c>
      <c r="F62" s="460">
        <v>4</v>
      </c>
      <c r="G62" s="460">
        <v>3</v>
      </c>
      <c r="H62" s="461" t="s">
        <v>746</v>
      </c>
      <c r="I62" s="461" t="s">
        <v>762</v>
      </c>
      <c r="J62" s="461" t="s">
        <v>700</v>
      </c>
      <c r="K62" s="594"/>
      <c r="L62" s="594"/>
      <c r="M62" s="352">
        <v>1000</v>
      </c>
      <c r="N62" s="352" t="s">
        <v>698</v>
      </c>
      <c r="O62" s="460">
        <v>1111</v>
      </c>
      <c r="P62" s="460" t="s">
        <v>699</v>
      </c>
      <c r="Q62" s="460" t="s">
        <v>2266</v>
      </c>
      <c r="R62" s="460">
        <v>1111</v>
      </c>
      <c r="S62" s="460" t="s">
        <v>2333</v>
      </c>
      <c r="T62" s="462">
        <v>1</v>
      </c>
      <c r="U62" s="460" t="s">
        <v>2333</v>
      </c>
      <c r="V62" s="475">
        <v>0</v>
      </c>
      <c r="W62" s="463" t="s">
        <v>2268</v>
      </c>
      <c r="X62" s="463" t="s">
        <v>2268</v>
      </c>
      <c r="Y62" s="463" t="s">
        <v>2278</v>
      </c>
      <c r="Z62" s="463"/>
      <c r="AA62" s="463"/>
      <c r="AB62" s="464">
        <v>0</v>
      </c>
      <c r="AC62" s="465">
        <v>0</v>
      </c>
      <c r="AD62" s="465">
        <v>0</v>
      </c>
      <c r="AE62" s="476">
        <v>0</v>
      </c>
      <c r="AF62" s="467">
        <v>0</v>
      </c>
      <c r="AG62" s="468">
        <v>0</v>
      </c>
      <c r="AH62" s="218">
        <v>0</v>
      </c>
      <c r="AI62" s="470">
        <v>0</v>
      </c>
      <c r="AJ62" s="471">
        <v>0</v>
      </c>
      <c r="AK62" s="218">
        <v>0</v>
      </c>
      <c r="AL62" s="470">
        <v>0</v>
      </c>
      <c r="AM62" s="471">
        <v>0</v>
      </c>
      <c r="AN62" s="477">
        <v>11144.418524499555</v>
      </c>
      <c r="AO62" s="473">
        <v>0.70326126510569009</v>
      </c>
      <c r="AP62" s="474">
        <v>0.92899426517626238</v>
      </c>
      <c r="AQ62" s="352"/>
      <c r="AR62" s="352"/>
      <c r="AS62" s="352"/>
      <c r="AT62" s="352"/>
      <c r="AU62" s="352"/>
      <c r="AV62" s="352"/>
      <c r="AW62" s="352" t="s">
        <v>254</v>
      </c>
    </row>
    <row r="63" spans="2:49" x14ac:dyDescent="0.2">
      <c r="B63" s="460" t="s">
        <v>2322</v>
      </c>
      <c r="C63" s="460">
        <v>1111</v>
      </c>
      <c r="D63" s="460" t="s">
        <v>2342</v>
      </c>
      <c r="E63" s="460" t="s">
        <v>2324</v>
      </c>
      <c r="F63" s="460">
        <v>1</v>
      </c>
      <c r="G63" s="460">
        <v>3</v>
      </c>
      <c r="H63" s="461" t="s">
        <v>748</v>
      </c>
      <c r="I63" s="461" t="s">
        <v>765</v>
      </c>
      <c r="J63" s="461" t="s">
        <v>700</v>
      </c>
      <c r="K63" s="594"/>
      <c r="L63" s="594"/>
      <c r="M63" s="352">
        <v>1000</v>
      </c>
      <c r="N63" s="352" t="s">
        <v>698</v>
      </c>
      <c r="O63" s="460">
        <v>1111</v>
      </c>
      <c r="P63" s="460" t="s">
        <v>699</v>
      </c>
      <c r="Q63" s="460" t="s">
        <v>2289</v>
      </c>
      <c r="R63" s="460">
        <v>1111</v>
      </c>
      <c r="S63" s="460" t="s">
        <v>2324</v>
      </c>
      <c r="T63" s="462">
        <v>1</v>
      </c>
      <c r="U63" s="460" t="s">
        <v>2324</v>
      </c>
      <c r="V63" s="475">
        <v>0</v>
      </c>
      <c r="W63" s="463" t="s">
        <v>2268</v>
      </c>
      <c r="X63" s="463" t="s">
        <v>2268</v>
      </c>
      <c r="Y63" s="463" t="s">
        <v>2290</v>
      </c>
      <c r="Z63" s="463"/>
      <c r="AA63" s="463"/>
      <c r="AB63" s="464">
        <v>0</v>
      </c>
      <c r="AC63" s="465">
        <v>0</v>
      </c>
      <c r="AD63" s="465">
        <v>0</v>
      </c>
      <c r="AE63" s="476">
        <v>0</v>
      </c>
      <c r="AF63" s="467">
        <v>0</v>
      </c>
      <c r="AG63" s="468">
        <v>0</v>
      </c>
      <c r="AH63" s="218">
        <v>0</v>
      </c>
      <c r="AI63" s="470">
        <v>0</v>
      </c>
      <c r="AJ63" s="471">
        <v>0</v>
      </c>
      <c r="AK63" s="218">
        <v>0</v>
      </c>
      <c r="AL63" s="470">
        <v>0</v>
      </c>
      <c r="AM63" s="471">
        <v>0</v>
      </c>
      <c r="AN63" s="477">
        <v>0</v>
      </c>
      <c r="AO63" s="473">
        <v>0</v>
      </c>
      <c r="AP63" s="474">
        <v>0</v>
      </c>
      <c r="AQ63" s="352"/>
      <c r="AR63" s="352"/>
      <c r="AS63" s="352"/>
      <c r="AT63" s="352"/>
      <c r="AU63" s="352"/>
      <c r="AV63" s="352"/>
      <c r="AW63" s="352" t="s">
        <v>254</v>
      </c>
    </row>
    <row r="64" spans="2:49" x14ac:dyDescent="0.2">
      <c r="B64" s="460" t="s">
        <v>2325</v>
      </c>
      <c r="C64" s="460">
        <v>1111</v>
      </c>
      <c r="D64" s="460" t="s">
        <v>2343</v>
      </c>
      <c r="E64" s="460" t="s">
        <v>2327</v>
      </c>
      <c r="F64" s="460">
        <v>2</v>
      </c>
      <c r="G64" s="460">
        <v>3</v>
      </c>
      <c r="H64" s="461" t="s">
        <v>748</v>
      </c>
      <c r="I64" s="461" t="s">
        <v>765</v>
      </c>
      <c r="J64" s="461" t="s">
        <v>700</v>
      </c>
      <c r="K64" s="594"/>
      <c r="L64" s="594"/>
      <c r="M64" s="352">
        <v>1000</v>
      </c>
      <c r="N64" s="352" t="s">
        <v>698</v>
      </c>
      <c r="O64" s="460">
        <v>1111</v>
      </c>
      <c r="P64" s="460" t="s">
        <v>699</v>
      </c>
      <c r="Q64" s="460" t="s">
        <v>2289</v>
      </c>
      <c r="R64" s="460">
        <v>1111</v>
      </c>
      <c r="S64" s="460" t="s">
        <v>2324</v>
      </c>
      <c r="T64" s="462">
        <v>1</v>
      </c>
      <c r="U64" s="460" t="s">
        <v>2327</v>
      </c>
      <c r="V64" s="475">
        <v>0</v>
      </c>
      <c r="W64" s="463" t="s">
        <v>2268</v>
      </c>
      <c r="X64" s="463" t="s">
        <v>2268</v>
      </c>
      <c r="Y64" s="463" t="s">
        <v>2290</v>
      </c>
      <c r="Z64" s="463"/>
      <c r="AA64" s="463"/>
      <c r="AB64" s="464">
        <v>0</v>
      </c>
      <c r="AC64" s="465">
        <v>0</v>
      </c>
      <c r="AD64" s="465">
        <v>0</v>
      </c>
      <c r="AE64" s="476">
        <v>0</v>
      </c>
      <c r="AF64" s="467">
        <v>0</v>
      </c>
      <c r="AG64" s="468">
        <v>0</v>
      </c>
      <c r="AH64" s="218">
        <v>0</v>
      </c>
      <c r="AI64" s="470">
        <v>0</v>
      </c>
      <c r="AJ64" s="471">
        <v>0</v>
      </c>
      <c r="AK64" s="218">
        <v>0</v>
      </c>
      <c r="AL64" s="470">
        <v>0</v>
      </c>
      <c r="AM64" s="471">
        <v>0</v>
      </c>
      <c r="AN64" s="477">
        <v>0</v>
      </c>
      <c r="AO64" s="473">
        <v>0</v>
      </c>
      <c r="AP64" s="474">
        <v>0</v>
      </c>
      <c r="AQ64" s="352"/>
      <c r="AR64" s="352"/>
      <c r="AS64" s="352"/>
      <c r="AT64" s="352"/>
      <c r="AU64" s="352"/>
      <c r="AV64" s="352"/>
      <c r="AW64" s="352" t="s">
        <v>254</v>
      </c>
    </row>
    <row r="65" spans="2:49" x14ac:dyDescent="0.2">
      <c r="B65" s="460" t="s">
        <v>2328</v>
      </c>
      <c r="C65" s="460">
        <v>1111</v>
      </c>
      <c r="D65" s="460" t="s">
        <v>2344</v>
      </c>
      <c r="E65" s="460" t="s">
        <v>2330</v>
      </c>
      <c r="F65" s="460">
        <v>3</v>
      </c>
      <c r="G65" s="460">
        <v>3</v>
      </c>
      <c r="H65" s="461" t="s">
        <v>748</v>
      </c>
      <c r="I65" s="461" t="s">
        <v>765</v>
      </c>
      <c r="J65" s="461" t="s">
        <v>700</v>
      </c>
      <c r="K65" s="594"/>
      <c r="L65" s="594"/>
      <c r="M65" s="352">
        <v>1000</v>
      </c>
      <c r="N65" s="352" t="s">
        <v>698</v>
      </c>
      <c r="O65" s="460">
        <v>1111</v>
      </c>
      <c r="P65" s="460" t="s">
        <v>699</v>
      </c>
      <c r="Q65" s="460" t="s">
        <v>2289</v>
      </c>
      <c r="R65" s="460">
        <v>1111</v>
      </c>
      <c r="S65" s="460" t="s">
        <v>2324</v>
      </c>
      <c r="T65" s="462">
        <v>1</v>
      </c>
      <c r="U65" s="460" t="s">
        <v>2330</v>
      </c>
      <c r="V65" s="475">
        <v>0</v>
      </c>
      <c r="W65" s="463" t="s">
        <v>2268</v>
      </c>
      <c r="X65" s="463" t="s">
        <v>2268</v>
      </c>
      <c r="Y65" s="463" t="s">
        <v>2290</v>
      </c>
      <c r="Z65" s="463"/>
      <c r="AA65" s="463"/>
      <c r="AB65" s="464">
        <v>0</v>
      </c>
      <c r="AC65" s="465">
        <v>0</v>
      </c>
      <c r="AD65" s="465">
        <v>0</v>
      </c>
      <c r="AE65" s="476">
        <v>0</v>
      </c>
      <c r="AF65" s="467">
        <v>0</v>
      </c>
      <c r="AG65" s="468">
        <v>0</v>
      </c>
      <c r="AH65" s="218">
        <v>0</v>
      </c>
      <c r="AI65" s="470">
        <v>0</v>
      </c>
      <c r="AJ65" s="471">
        <v>0</v>
      </c>
      <c r="AK65" s="218">
        <v>0</v>
      </c>
      <c r="AL65" s="470">
        <v>0</v>
      </c>
      <c r="AM65" s="471">
        <v>0</v>
      </c>
      <c r="AN65" s="477">
        <v>0</v>
      </c>
      <c r="AO65" s="473">
        <v>0</v>
      </c>
      <c r="AP65" s="474">
        <v>0</v>
      </c>
      <c r="AQ65" s="352"/>
      <c r="AR65" s="352"/>
      <c r="AS65" s="352"/>
      <c r="AT65" s="352"/>
      <c r="AU65" s="352"/>
      <c r="AV65" s="352"/>
      <c r="AW65" s="352" t="s">
        <v>254</v>
      </c>
    </row>
    <row r="66" spans="2:49" x14ac:dyDescent="0.2">
      <c r="B66" s="460" t="s">
        <v>2331</v>
      </c>
      <c r="C66" s="460">
        <v>1111</v>
      </c>
      <c r="D66" s="460" t="s">
        <v>2345</v>
      </c>
      <c r="E66" s="460" t="s">
        <v>2333</v>
      </c>
      <c r="F66" s="460">
        <v>4</v>
      </c>
      <c r="G66" s="460">
        <v>3</v>
      </c>
      <c r="H66" s="461" t="s">
        <v>748</v>
      </c>
      <c r="I66" s="461" t="s">
        <v>765</v>
      </c>
      <c r="J66" s="461" t="s">
        <v>700</v>
      </c>
      <c r="K66" s="594"/>
      <c r="L66" s="594"/>
      <c r="M66" s="352">
        <v>1000</v>
      </c>
      <c r="N66" s="352" t="s">
        <v>698</v>
      </c>
      <c r="O66" s="460">
        <v>1111</v>
      </c>
      <c r="P66" s="460" t="s">
        <v>699</v>
      </c>
      <c r="Q66" s="460" t="s">
        <v>2289</v>
      </c>
      <c r="R66" s="460">
        <v>1111</v>
      </c>
      <c r="S66" s="460" t="s">
        <v>2333</v>
      </c>
      <c r="T66" s="462">
        <v>1</v>
      </c>
      <c r="U66" s="460" t="s">
        <v>2333</v>
      </c>
      <c r="V66" s="475">
        <v>0</v>
      </c>
      <c r="W66" s="463" t="s">
        <v>2268</v>
      </c>
      <c r="X66" s="463" t="s">
        <v>2268</v>
      </c>
      <c r="Y66" s="463" t="s">
        <v>2290</v>
      </c>
      <c r="Z66" s="463"/>
      <c r="AA66" s="463"/>
      <c r="AB66" s="464">
        <v>0</v>
      </c>
      <c r="AC66" s="465">
        <v>0</v>
      </c>
      <c r="AD66" s="465">
        <v>0</v>
      </c>
      <c r="AE66" s="476">
        <v>0</v>
      </c>
      <c r="AF66" s="467">
        <v>0</v>
      </c>
      <c r="AG66" s="468">
        <v>0</v>
      </c>
      <c r="AH66" s="218">
        <v>0</v>
      </c>
      <c r="AI66" s="470">
        <v>0</v>
      </c>
      <c r="AJ66" s="471">
        <v>0</v>
      </c>
      <c r="AK66" s="218">
        <v>0</v>
      </c>
      <c r="AL66" s="470">
        <v>0</v>
      </c>
      <c r="AM66" s="471">
        <v>0</v>
      </c>
      <c r="AN66" s="477">
        <v>0</v>
      </c>
      <c r="AO66" s="473">
        <v>0</v>
      </c>
      <c r="AP66" s="474">
        <v>0</v>
      </c>
      <c r="AQ66" s="352"/>
      <c r="AR66" s="352"/>
      <c r="AS66" s="352"/>
      <c r="AT66" s="352"/>
      <c r="AU66" s="352"/>
      <c r="AV66" s="352"/>
      <c r="AW66" s="352" t="s">
        <v>254</v>
      </c>
    </row>
    <row r="67" spans="2:49" x14ac:dyDescent="0.2">
      <c r="B67" s="460" t="s">
        <v>2322</v>
      </c>
      <c r="C67" s="460">
        <v>1111</v>
      </c>
      <c r="D67" s="460" t="s">
        <v>2346</v>
      </c>
      <c r="E67" s="460" t="s">
        <v>2324</v>
      </c>
      <c r="F67" s="460">
        <v>1</v>
      </c>
      <c r="G67" s="460">
        <v>3</v>
      </c>
      <c r="H67" s="461" t="s">
        <v>752</v>
      </c>
      <c r="I67" s="461" t="s">
        <v>964</v>
      </c>
      <c r="J67" s="461" t="s">
        <v>752</v>
      </c>
      <c r="K67" s="594"/>
      <c r="L67" s="594"/>
      <c r="M67" s="352">
        <v>1000</v>
      </c>
      <c r="N67" s="352" t="s">
        <v>698</v>
      </c>
      <c r="O67" s="460">
        <v>1111</v>
      </c>
      <c r="P67" s="460" t="s">
        <v>699</v>
      </c>
      <c r="Q67" s="460" t="s">
        <v>2266</v>
      </c>
      <c r="R67" s="460">
        <v>1111</v>
      </c>
      <c r="S67" s="460" t="s">
        <v>2324</v>
      </c>
      <c r="T67" s="462">
        <v>1</v>
      </c>
      <c r="U67" s="460" t="s">
        <v>2324</v>
      </c>
      <c r="V67" s="475">
        <v>0</v>
      </c>
      <c r="W67" s="463" t="s">
        <v>2278</v>
      </c>
      <c r="X67" s="463" t="s">
        <v>2278</v>
      </c>
      <c r="Y67" s="463" t="s">
        <v>2278</v>
      </c>
      <c r="Z67" s="463"/>
      <c r="AA67" s="463"/>
      <c r="AB67" s="464">
        <v>0</v>
      </c>
      <c r="AC67" s="465">
        <v>0</v>
      </c>
      <c r="AD67" s="465">
        <v>0</v>
      </c>
      <c r="AE67" s="476">
        <v>0</v>
      </c>
      <c r="AF67" s="467">
        <v>0</v>
      </c>
      <c r="AG67" s="468">
        <v>0</v>
      </c>
      <c r="AH67" s="218">
        <v>0</v>
      </c>
      <c r="AI67" s="470">
        <v>0</v>
      </c>
      <c r="AJ67" s="471">
        <v>0</v>
      </c>
      <c r="AK67" s="218">
        <v>0</v>
      </c>
      <c r="AL67" s="470">
        <v>0</v>
      </c>
      <c r="AM67" s="471">
        <v>0</v>
      </c>
      <c r="AN67" s="477">
        <v>0</v>
      </c>
      <c r="AO67" s="473">
        <v>0</v>
      </c>
      <c r="AP67" s="474">
        <v>0</v>
      </c>
      <c r="AQ67" s="352"/>
      <c r="AR67" s="352"/>
      <c r="AS67" s="352"/>
      <c r="AT67" s="352"/>
      <c r="AU67" s="352"/>
      <c r="AV67" s="352"/>
      <c r="AW67" s="352" t="s">
        <v>254</v>
      </c>
    </row>
    <row r="68" spans="2:49" x14ac:dyDescent="0.2">
      <c r="B68" s="460" t="s">
        <v>2325</v>
      </c>
      <c r="C68" s="460">
        <v>1111</v>
      </c>
      <c r="D68" s="460" t="s">
        <v>2347</v>
      </c>
      <c r="E68" s="460" t="s">
        <v>2327</v>
      </c>
      <c r="F68" s="460">
        <v>2</v>
      </c>
      <c r="G68" s="460">
        <v>3</v>
      </c>
      <c r="H68" s="461" t="s">
        <v>752</v>
      </c>
      <c r="I68" s="461" t="s">
        <v>964</v>
      </c>
      <c r="J68" s="461" t="s">
        <v>752</v>
      </c>
      <c r="K68" s="594"/>
      <c r="L68" s="594"/>
      <c r="M68" s="352">
        <v>1000</v>
      </c>
      <c r="N68" s="352" t="s">
        <v>698</v>
      </c>
      <c r="O68" s="460">
        <v>1111</v>
      </c>
      <c r="P68" s="460" t="s">
        <v>699</v>
      </c>
      <c r="Q68" s="460" t="s">
        <v>2266</v>
      </c>
      <c r="R68" s="460">
        <v>1111</v>
      </c>
      <c r="S68" s="460" t="s">
        <v>2324</v>
      </c>
      <c r="T68" s="462">
        <v>1</v>
      </c>
      <c r="U68" s="460" t="s">
        <v>2327</v>
      </c>
      <c r="V68" s="475">
        <v>0</v>
      </c>
      <c r="W68" s="463" t="s">
        <v>2278</v>
      </c>
      <c r="X68" s="463" t="s">
        <v>2278</v>
      </c>
      <c r="Y68" s="463" t="s">
        <v>2278</v>
      </c>
      <c r="Z68" s="463"/>
      <c r="AA68" s="463"/>
      <c r="AB68" s="464">
        <v>0</v>
      </c>
      <c r="AC68" s="465">
        <v>0</v>
      </c>
      <c r="AD68" s="465">
        <v>0</v>
      </c>
      <c r="AE68" s="476">
        <v>0</v>
      </c>
      <c r="AF68" s="467">
        <v>0</v>
      </c>
      <c r="AG68" s="468">
        <v>0</v>
      </c>
      <c r="AH68" s="218">
        <v>0</v>
      </c>
      <c r="AI68" s="470">
        <v>0</v>
      </c>
      <c r="AJ68" s="471">
        <v>0</v>
      </c>
      <c r="AK68" s="218">
        <v>0</v>
      </c>
      <c r="AL68" s="470">
        <v>0</v>
      </c>
      <c r="AM68" s="471">
        <v>0</v>
      </c>
      <c r="AN68" s="477">
        <v>0</v>
      </c>
      <c r="AO68" s="473">
        <v>0</v>
      </c>
      <c r="AP68" s="474">
        <v>0</v>
      </c>
      <c r="AQ68" s="352"/>
      <c r="AR68" s="352"/>
      <c r="AS68" s="352"/>
      <c r="AT68" s="352"/>
      <c r="AU68" s="352"/>
      <c r="AV68" s="352"/>
      <c r="AW68" s="352" t="s">
        <v>254</v>
      </c>
    </row>
    <row r="69" spans="2:49" x14ac:dyDescent="0.2">
      <c r="B69" s="460" t="s">
        <v>2328</v>
      </c>
      <c r="C69" s="460">
        <v>1111</v>
      </c>
      <c r="D69" s="460" t="s">
        <v>2348</v>
      </c>
      <c r="E69" s="460" t="s">
        <v>2330</v>
      </c>
      <c r="F69" s="460">
        <v>3</v>
      </c>
      <c r="G69" s="460">
        <v>3</v>
      </c>
      <c r="H69" s="461" t="s">
        <v>752</v>
      </c>
      <c r="I69" s="461" t="s">
        <v>964</v>
      </c>
      <c r="J69" s="461" t="s">
        <v>752</v>
      </c>
      <c r="K69" s="594"/>
      <c r="L69" s="594"/>
      <c r="M69" s="352">
        <v>1000</v>
      </c>
      <c r="N69" s="352" t="s">
        <v>698</v>
      </c>
      <c r="O69" s="460">
        <v>1111</v>
      </c>
      <c r="P69" s="460" t="s">
        <v>699</v>
      </c>
      <c r="Q69" s="460" t="s">
        <v>2266</v>
      </c>
      <c r="R69" s="460">
        <v>1111</v>
      </c>
      <c r="S69" s="460" t="s">
        <v>2324</v>
      </c>
      <c r="T69" s="462">
        <v>1</v>
      </c>
      <c r="U69" s="460" t="s">
        <v>2330</v>
      </c>
      <c r="V69" s="475">
        <v>0</v>
      </c>
      <c r="W69" s="463" t="s">
        <v>2278</v>
      </c>
      <c r="X69" s="463" t="s">
        <v>2278</v>
      </c>
      <c r="Y69" s="463" t="s">
        <v>2278</v>
      </c>
      <c r="Z69" s="463"/>
      <c r="AA69" s="463"/>
      <c r="AB69" s="464">
        <v>0</v>
      </c>
      <c r="AC69" s="465">
        <v>0</v>
      </c>
      <c r="AD69" s="465">
        <v>0</v>
      </c>
      <c r="AE69" s="476">
        <v>0</v>
      </c>
      <c r="AF69" s="467">
        <v>0</v>
      </c>
      <c r="AG69" s="468">
        <v>0</v>
      </c>
      <c r="AH69" s="218">
        <v>0</v>
      </c>
      <c r="AI69" s="470">
        <v>0</v>
      </c>
      <c r="AJ69" s="471">
        <v>0</v>
      </c>
      <c r="AK69" s="218">
        <v>0</v>
      </c>
      <c r="AL69" s="470">
        <v>0</v>
      </c>
      <c r="AM69" s="471">
        <v>0</v>
      </c>
      <c r="AN69" s="477">
        <v>0</v>
      </c>
      <c r="AO69" s="473">
        <v>0</v>
      </c>
      <c r="AP69" s="474">
        <v>0</v>
      </c>
      <c r="AQ69" s="352"/>
      <c r="AR69" s="352"/>
      <c r="AS69" s="352"/>
      <c r="AT69" s="352"/>
      <c r="AU69" s="352"/>
      <c r="AV69" s="352"/>
      <c r="AW69" s="352" t="s">
        <v>254</v>
      </c>
    </row>
    <row r="70" spans="2:49" x14ac:dyDescent="0.2">
      <c r="B70" s="460" t="s">
        <v>2331</v>
      </c>
      <c r="C70" s="460">
        <v>1111</v>
      </c>
      <c r="D70" s="460" t="s">
        <v>2349</v>
      </c>
      <c r="E70" s="460" t="s">
        <v>2333</v>
      </c>
      <c r="F70" s="460">
        <v>4</v>
      </c>
      <c r="G70" s="460">
        <v>3</v>
      </c>
      <c r="H70" s="461" t="s">
        <v>752</v>
      </c>
      <c r="I70" s="461" t="s">
        <v>964</v>
      </c>
      <c r="J70" s="461" t="s">
        <v>752</v>
      </c>
      <c r="K70" s="594"/>
      <c r="L70" s="594"/>
      <c r="M70" s="352">
        <v>1000</v>
      </c>
      <c r="N70" s="352" t="s">
        <v>698</v>
      </c>
      <c r="O70" s="460">
        <v>1111</v>
      </c>
      <c r="P70" s="460" t="s">
        <v>699</v>
      </c>
      <c r="Q70" s="460" t="s">
        <v>2266</v>
      </c>
      <c r="R70" s="460">
        <v>1111</v>
      </c>
      <c r="S70" s="460" t="s">
        <v>2333</v>
      </c>
      <c r="T70" s="462">
        <v>1</v>
      </c>
      <c r="U70" s="460" t="s">
        <v>2333</v>
      </c>
      <c r="V70" s="475">
        <v>0</v>
      </c>
      <c r="W70" s="463" t="s">
        <v>2278</v>
      </c>
      <c r="X70" s="463" t="s">
        <v>2278</v>
      </c>
      <c r="Y70" s="463" t="s">
        <v>2278</v>
      </c>
      <c r="Z70" s="463"/>
      <c r="AA70" s="463"/>
      <c r="AB70" s="464">
        <v>0</v>
      </c>
      <c r="AC70" s="465">
        <v>0</v>
      </c>
      <c r="AD70" s="465">
        <v>0</v>
      </c>
      <c r="AE70" s="476">
        <v>0</v>
      </c>
      <c r="AF70" s="467">
        <v>0</v>
      </c>
      <c r="AG70" s="468">
        <v>0</v>
      </c>
      <c r="AH70" s="218">
        <v>0</v>
      </c>
      <c r="AI70" s="470">
        <v>0</v>
      </c>
      <c r="AJ70" s="471">
        <v>0</v>
      </c>
      <c r="AK70" s="218">
        <v>0</v>
      </c>
      <c r="AL70" s="470">
        <v>0</v>
      </c>
      <c r="AM70" s="471">
        <v>0</v>
      </c>
      <c r="AN70" s="477">
        <v>0</v>
      </c>
      <c r="AO70" s="473">
        <v>0</v>
      </c>
      <c r="AP70" s="474">
        <v>0</v>
      </c>
      <c r="AQ70" s="352"/>
      <c r="AR70" s="352"/>
      <c r="AS70" s="352"/>
      <c r="AT70" s="352"/>
      <c r="AU70" s="352"/>
      <c r="AV70" s="352"/>
      <c r="AW70" s="352" t="s">
        <v>254</v>
      </c>
    </row>
    <row r="71" spans="2:49" x14ac:dyDescent="0.2">
      <c r="B71" s="460" t="s">
        <v>2350</v>
      </c>
      <c r="C71" s="460">
        <v>1111</v>
      </c>
      <c r="D71" s="460" t="s">
        <v>2351</v>
      </c>
      <c r="E71" s="460" t="s">
        <v>1136</v>
      </c>
      <c r="F71" s="460">
        <v>1</v>
      </c>
      <c r="G71" s="460">
        <v>4</v>
      </c>
      <c r="H71" s="461" t="s">
        <v>700</v>
      </c>
      <c r="I71" s="461" t="s">
        <v>872</v>
      </c>
      <c r="J71" s="461" t="s">
        <v>700</v>
      </c>
      <c r="K71" s="594"/>
      <c r="L71" s="594"/>
      <c r="M71" s="352">
        <v>1000</v>
      </c>
      <c r="N71" s="352" t="s">
        <v>698</v>
      </c>
      <c r="O71" s="460">
        <v>1111</v>
      </c>
      <c r="P71" s="460" t="s">
        <v>699</v>
      </c>
      <c r="Q71" s="460" t="s">
        <v>2266</v>
      </c>
      <c r="R71" s="460">
        <v>1111</v>
      </c>
      <c r="S71" s="460" t="s">
        <v>1136</v>
      </c>
      <c r="T71" s="462">
        <v>1</v>
      </c>
      <c r="U71" s="460" t="s">
        <v>1136</v>
      </c>
      <c r="V71" s="475">
        <v>0</v>
      </c>
      <c r="W71" s="463" t="s">
        <v>2267</v>
      </c>
      <c r="X71" s="463" t="s">
        <v>2267</v>
      </c>
      <c r="Y71" s="463" t="s">
        <v>2268</v>
      </c>
      <c r="Z71" s="463"/>
      <c r="AA71" s="463"/>
      <c r="AB71" s="464">
        <v>88.144338552028373</v>
      </c>
      <c r="AC71" s="465">
        <v>1.9249793592480219E-2</v>
      </c>
      <c r="AD71" s="465">
        <v>0.25078908545211209</v>
      </c>
      <c r="AE71" s="476">
        <v>88.144338552028373</v>
      </c>
      <c r="AF71" s="467">
        <v>1.9249793592480219E-2</v>
      </c>
      <c r="AG71" s="468">
        <v>0.27262317590646101</v>
      </c>
      <c r="AH71" s="218">
        <v>88.144338552028373</v>
      </c>
      <c r="AI71" s="470">
        <v>1.9249793592480219E-2</v>
      </c>
      <c r="AJ71" s="471">
        <v>6.8837777725874141E-2</v>
      </c>
      <c r="AK71" s="218">
        <v>88.144338552028373</v>
      </c>
      <c r="AL71" s="470">
        <v>1.9249793592480219E-2</v>
      </c>
      <c r="AM71" s="471">
        <v>6.8837777725874141E-2</v>
      </c>
      <c r="AN71" s="477">
        <v>0</v>
      </c>
      <c r="AO71" s="473">
        <v>0</v>
      </c>
      <c r="AP71" s="474">
        <v>0</v>
      </c>
      <c r="AQ71" s="352"/>
      <c r="AR71" s="352"/>
      <c r="AS71" s="352"/>
      <c r="AT71" s="352"/>
      <c r="AU71" s="352"/>
      <c r="AV71" s="352"/>
      <c r="AW71" s="352" t="s">
        <v>254</v>
      </c>
    </row>
    <row r="72" spans="2:49" x14ac:dyDescent="0.2">
      <c r="B72" s="460" t="s">
        <v>2352</v>
      </c>
      <c r="C72" s="460">
        <v>1111</v>
      </c>
      <c r="D72" s="460" t="s">
        <v>2353</v>
      </c>
      <c r="E72" s="460" t="s">
        <v>1137</v>
      </c>
      <c r="F72" s="460">
        <v>2</v>
      </c>
      <c r="G72" s="460">
        <v>4</v>
      </c>
      <c r="H72" s="461" t="s">
        <v>700</v>
      </c>
      <c r="I72" s="461" t="s">
        <v>872</v>
      </c>
      <c r="J72" s="461" t="s">
        <v>700</v>
      </c>
      <c r="K72" s="594"/>
      <c r="L72" s="594"/>
      <c r="M72" s="352">
        <v>1000</v>
      </c>
      <c r="N72" s="352" t="s">
        <v>698</v>
      </c>
      <c r="O72" s="460">
        <v>1111</v>
      </c>
      <c r="P72" s="460" t="s">
        <v>699</v>
      </c>
      <c r="Q72" s="460" t="s">
        <v>2266</v>
      </c>
      <c r="R72" s="460">
        <v>1111</v>
      </c>
      <c r="S72" s="460" t="s">
        <v>1137</v>
      </c>
      <c r="T72" s="462">
        <v>1</v>
      </c>
      <c r="U72" s="460" t="s">
        <v>1137</v>
      </c>
      <c r="V72" s="475">
        <v>0</v>
      </c>
      <c r="W72" s="463" t="s">
        <v>2267</v>
      </c>
      <c r="X72" s="463" t="s">
        <v>2267</v>
      </c>
      <c r="Y72" s="463" t="s">
        <v>2268</v>
      </c>
      <c r="Z72" s="463"/>
      <c r="AA72" s="463"/>
      <c r="AB72" s="464">
        <v>1267.2660186132939</v>
      </c>
      <c r="AC72" s="465">
        <v>0.12567989919955927</v>
      </c>
      <c r="AD72" s="465">
        <v>0.28616782985760753</v>
      </c>
      <c r="AE72" s="476">
        <v>1267.2660186132939</v>
      </c>
      <c r="AF72" s="467">
        <v>0.12567989919955927</v>
      </c>
      <c r="AG72" s="468">
        <v>0.30829739902853665</v>
      </c>
      <c r="AH72" s="218">
        <v>1267.2660186132939</v>
      </c>
      <c r="AI72" s="470">
        <v>0.12567989919955927</v>
      </c>
      <c r="AJ72" s="471">
        <v>0.2618291075179156</v>
      </c>
      <c r="AK72" s="218">
        <v>1267.2660186132939</v>
      </c>
      <c r="AL72" s="470">
        <v>0.12567989919955927</v>
      </c>
      <c r="AM72" s="471">
        <v>0.2618291075179156</v>
      </c>
      <c r="AN72" s="477">
        <v>0</v>
      </c>
      <c r="AO72" s="473">
        <v>0</v>
      </c>
      <c r="AP72" s="474">
        <v>0</v>
      </c>
      <c r="AQ72" s="352"/>
      <c r="AR72" s="352"/>
      <c r="AS72" s="352"/>
      <c r="AT72" s="352"/>
      <c r="AU72" s="352"/>
      <c r="AV72" s="352"/>
      <c r="AW72" s="352" t="s">
        <v>254</v>
      </c>
    </row>
    <row r="73" spans="2:49" x14ac:dyDescent="0.2">
      <c r="B73" s="460" t="s">
        <v>2354</v>
      </c>
      <c r="C73" s="460">
        <v>1111</v>
      </c>
      <c r="D73" s="460" t="s">
        <v>2355</v>
      </c>
      <c r="E73" s="460" t="s">
        <v>1138</v>
      </c>
      <c r="F73" s="460">
        <v>3</v>
      </c>
      <c r="G73" s="460">
        <v>4</v>
      </c>
      <c r="H73" s="461" t="s">
        <v>700</v>
      </c>
      <c r="I73" s="461" t="s">
        <v>872</v>
      </c>
      <c r="J73" s="461" t="s">
        <v>700</v>
      </c>
      <c r="K73" s="594"/>
      <c r="L73" s="594"/>
      <c r="M73" s="352">
        <v>1000</v>
      </c>
      <c r="N73" s="352" t="s">
        <v>698</v>
      </c>
      <c r="O73" s="460">
        <v>1111</v>
      </c>
      <c r="P73" s="460" t="s">
        <v>699</v>
      </c>
      <c r="Q73" s="460" t="s">
        <v>2266</v>
      </c>
      <c r="R73" s="460">
        <v>1111</v>
      </c>
      <c r="S73" s="460" t="s">
        <v>1138</v>
      </c>
      <c r="T73" s="462">
        <v>1</v>
      </c>
      <c r="U73" s="460" t="s">
        <v>1138</v>
      </c>
      <c r="V73" s="475">
        <v>0</v>
      </c>
      <c r="W73" s="463" t="s">
        <v>2267</v>
      </c>
      <c r="X73" s="463" t="s">
        <v>2267</v>
      </c>
      <c r="Y73" s="463" t="s">
        <v>2268</v>
      </c>
      <c r="Z73" s="463"/>
      <c r="AA73" s="463"/>
      <c r="AB73" s="464">
        <v>494.42564478931303</v>
      </c>
      <c r="AC73" s="465">
        <v>9.3345225422213726E-2</v>
      </c>
      <c r="AD73" s="465">
        <v>0.20744525743237799</v>
      </c>
      <c r="AE73" s="476">
        <v>494.42564478931303</v>
      </c>
      <c r="AF73" s="467">
        <v>9.3345225422213726E-2</v>
      </c>
      <c r="AG73" s="468">
        <v>0.22380536825018313</v>
      </c>
      <c r="AH73" s="218">
        <v>494.42564478931303</v>
      </c>
      <c r="AI73" s="470">
        <v>9.3345225422213726E-2</v>
      </c>
      <c r="AJ73" s="471">
        <v>0.17038213536927441</v>
      </c>
      <c r="AK73" s="218">
        <v>494.42564478931303</v>
      </c>
      <c r="AL73" s="470">
        <v>9.3345225422213726E-2</v>
      </c>
      <c r="AM73" s="471">
        <v>0.17038213536927441</v>
      </c>
      <c r="AN73" s="477">
        <v>0</v>
      </c>
      <c r="AO73" s="473">
        <v>0</v>
      </c>
      <c r="AP73" s="474">
        <v>0</v>
      </c>
      <c r="AQ73" s="352"/>
      <c r="AR73" s="352"/>
      <c r="AS73" s="352"/>
      <c r="AT73" s="352"/>
      <c r="AU73" s="352"/>
      <c r="AV73" s="352"/>
      <c r="AW73" s="352" t="s">
        <v>254</v>
      </c>
    </row>
    <row r="74" spans="2:49" x14ac:dyDescent="0.2">
      <c r="B74" s="460" t="s">
        <v>2356</v>
      </c>
      <c r="C74" s="460">
        <v>1111</v>
      </c>
      <c r="D74" s="460" t="s">
        <v>2357</v>
      </c>
      <c r="E74" s="460" t="s">
        <v>1139</v>
      </c>
      <c r="F74" s="460">
        <v>4</v>
      </c>
      <c r="G74" s="460">
        <v>4</v>
      </c>
      <c r="H74" s="461" t="s">
        <v>700</v>
      </c>
      <c r="I74" s="461" t="s">
        <v>872</v>
      </c>
      <c r="J74" s="461" t="s">
        <v>700</v>
      </c>
      <c r="K74" s="594"/>
      <c r="L74" s="594"/>
      <c r="M74" s="352">
        <v>1000</v>
      </c>
      <c r="N74" s="352" t="s">
        <v>698</v>
      </c>
      <c r="O74" s="460">
        <v>1111</v>
      </c>
      <c r="P74" s="460" t="s">
        <v>699</v>
      </c>
      <c r="Q74" s="460" t="s">
        <v>2266</v>
      </c>
      <c r="R74" s="460">
        <v>1111</v>
      </c>
      <c r="S74" s="460" t="s">
        <v>1139</v>
      </c>
      <c r="T74" s="462">
        <v>1</v>
      </c>
      <c r="U74" s="460" t="s">
        <v>1139</v>
      </c>
      <c r="V74" s="475">
        <v>0</v>
      </c>
      <c r="W74" s="463" t="s">
        <v>2267</v>
      </c>
      <c r="X74" s="463" t="s">
        <v>2267</v>
      </c>
      <c r="Y74" s="463" t="s">
        <v>2268</v>
      </c>
      <c r="Z74" s="463"/>
      <c r="AA74" s="463"/>
      <c r="AB74" s="464">
        <v>0</v>
      </c>
      <c r="AC74" s="465">
        <v>0</v>
      </c>
      <c r="AD74" s="465">
        <v>0</v>
      </c>
      <c r="AE74" s="476">
        <v>0</v>
      </c>
      <c r="AF74" s="467">
        <v>0</v>
      </c>
      <c r="AG74" s="468">
        <v>0</v>
      </c>
      <c r="AH74" s="218">
        <v>0</v>
      </c>
      <c r="AI74" s="470">
        <v>0</v>
      </c>
      <c r="AJ74" s="471">
        <v>0</v>
      </c>
      <c r="AK74" s="218">
        <v>0</v>
      </c>
      <c r="AL74" s="470">
        <v>0</v>
      </c>
      <c r="AM74" s="471">
        <v>0</v>
      </c>
      <c r="AN74" s="477">
        <v>0</v>
      </c>
      <c r="AO74" s="473">
        <v>0</v>
      </c>
      <c r="AP74" s="474">
        <v>0</v>
      </c>
      <c r="AQ74" s="352"/>
      <c r="AR74" s="352"/>
      <c r="AS74" s="352"/>
      <c r="AT74" s="352"/>
      <c r="AU74" s="352"/>
      <c r="AV74" s="352"/>
      <c r="AW74" s="352" t="s">
        <v>254</v>
      </c>
    </row>
    <row r="75" spans="2:49" x14ac:dyDescent="0.2">
      <c r="B75" s="460" t="s">
        <v>2350</v>
      </c>
      <c r="C75" s="460">
        <v>1111</v>
      </c>
      <c r="D75" s="460" t="s">
        <v>2358</v>
      </c>
      <c r="E75" s="460" t="s">
        <v>1136</v>
      </c>
      <c r="F75" s="460">
        <v>1</v>
      </c>
      <c r="G75" s="460">
        <v>4</v>
      </c>
      <c r="H75" s="461" t="s">
        <v>712</v>
      </c>
      <c r="I75" s="461" t="s">
        <v>713</v>
      </c>
      <c r="J75" s="461" t="s">
        <v>712</v>
      </c>
      <c r="K75" s="594"/>
      <c r="L75" s="594"/>
      <c r="M75" s="352">
        <v>1000</v>
      </c>
      <c r="N75" s="352" t="s">
        <v>698</v>
      </c>
      <c r="O75" s="460">
        <v>1111</v>
      </c>
      <c r="P75" s="460" t="s">
        <v>699</v>
      </c>
      <c r="Q75" s="460" t="s">
        <v>2280</v>
      </c>
      <c r="R75" s="460">
        <v>1111</v>
      </c>
      <c r="S75" s="460" t="s">
        <v>1136</v>
      </c>
      <c r="T75" s="462">
        <v>1</v>
      </c>
      <c r="U75" s="460" t="s">
        <v>1136</v>
      </c>
      <c r="V75" s="475">
        <v>0</v>
      </c>
      <c r="W75" s="463" t="s">
        <v>713</v>
      </c>
      <c r="X75" s="463" t="s">
        <v>713</v>
      </c>
      <c r="Y75" s="463" t="s">
        <v>713</v>
      </c>
      <c r="Z75" s="463"/>
      <c r="AA75" s="463"/>
      <c r="AB75" s="464">
        <v>3222.0992105132291</v>
      </c>
      <c r="AC75" s="465">
        <v>0.70367247353342144</v>
      </c>
      <c r="AD75" s="465">
        <v>2.1234827287859335E-2</v>
      </c>
      <c r="AE75" s="476">
        <v>3222.0992105132291</v>
      </c>
      <c r="AF75" s="467">
        <v>0.70367247353342144</v>
      </c>
      <c r="AG75" s="468">
        <v>2.1230888740040189E-2</v>
      </c>
      <c r="AH75" s="218">
        <v>3222.0992105132291</v>
      </c>
      <c r="AI75" s="470">
        <v>0.70367247353342144</v>
      </c>
      <c r="AJ75" s="471">
        <v>2.1446662974604725E-2</v>
      </c>
      <c r="AK75" s="218">
        <v>3222.0992105132291</v>
      </c>
      <c r="AL75" s="470">
        <v>0.70367247353342144</v>
      </c>
      <c r="AM75" s="471">
        <v>2.1446662974604725E-2</v>
      </c>
      <c r="AN75" s="477">
        <v>3222.0992105132291</v>
      </c>
      <c r="AO75" s="473">
        <v>0.70367247353342144</v>
      </c>
      <c r="AP75" s="474">
        <v>2.1411766259062499E-2</v>
      </c>
      <c r="AQ75" s="352"/>
      <c r="AR75" s="352"/>
      <c r="AS75" s="352"/>
      <c r="AT75" s="352"/>
      <c r="AU75" s="352"/>
      <c r="AV75" s="352"/>
      <c r="AW75" s="352" t="s">
        <v>254</v>
      </c>
    </row>
    <row r="76" spans="2:49" x14ac:dyDescent="0.2">
      <c r="B76" s="460" t="s">
        <v>2352</v>
      </c>
      <c r="C76" s="460">
        <v>1111</v>
      </c>
      <c r="D76" s="460" t="s">
        <v>2359</v>
      </c>
      <c r="E76" s="460" t="s">
        <v>1137</v>
      </c>
      <c r="F76" s="460">
        <v>2</v>
      </c>
      <c r="G76" s="460">
        <v>4</v>
      </c>
      <c r="H76" s="461" t="s">
        <v>712</v>
      </c>
      <c r="I76" s="461" t="s">
        <v>713</v>
      </c>
      <c r="J76" s="461" t="s">
        <v>712</v>
      </c>
      <c r="K76" s="594"/>
      <c r="L76" s="594"/>
      <c r="M76" s="352">
        <v>1000</v>
      </c>
      <c r="N76" s="352" t="s">
        <v>698</v>
      </c>
      <c r="O76" s="460">
        <v>1111</v>
      </c>
      <c r="P76" s="460" t="s">
        <v>699</v>
      </c>
      <c r="Q76" s="460" t="s">
        <v>2280</v>
      </c>
      <c r="R76" s="460">
        <v>1111</v>
      </c>
      <c r="S76" s="460" t="s">
        <v>1137</v>
      </c>
      <c r="T76" s="462">
        <v>1</v>
      </c>
      <c r="U76" s="460" t="s">
        <v>1137</v>
      </c>
      <c r="V76" s="475">
        <v>0</v>
      </c>
      <c r="W76" s="463" t="s">
        <v>713</v>
      </c>
      <c r="X76" s="463" t="s">
        <v>713</v>
      </c>
      <c r="Y76" s="463" t="s">
        <v>713</v>
      </c>
      <c r="Z76" s="463"/>
      <c r="AA76" s="463"/>
      <c r="AB76" s="464">
        <v>4745.8305270237906</v>
      </c>
      <c r="AC76" s="465">
        <v>0.47066321789896398</v>
      </c>
      <c r="AD76" s="465">
        <v>2.744579260368242E-2</v>
      </c>
      <c r="AE76" s="476">
        <v>4745.8305270237906</v>
      </c>
      <c r="AF76" s="467">
        <v>0.47066321789896393</v>
      </c>
      <c r="AG76" s="468">
        <v>2.7395431901022942E-2</v>
      </c>
      <c r="AH76" s="218">
        <v>4745.8305270237906</v>
      </c>
      <c r="AI76" s="470">
        <v>0.47066321789896393</v>
      </c>
      <c r="AJ76" s="471">
        <v>2.7525429238585111E-2</v>
      </c>
      <c r="AK76" s="218">
        <v>4745.8305270237906</v>
      </c>
      <c r="AL76" s="470">
        <v>0.47066321789896393</v>
      </c>
      <c r="AM76" s="471">
        <v>2.7525429238585111E-2</v>
      </c>
      <c r="AN76" s="477">
        <v>4745.8305270237906</v>
      </c>
      <c r="AO76" s="473">
        <v>0.47066321789896393</v>
      </c>
      <c r="AP76" s="474">
        <v>2.75027168108577E-2</v>
      </c>
      <c r="AQ76" s="352"/>
      <c r="AR76" s="352"/>
      <c r="AS76" s="352"/>
      <c r="AT76" s="352"/>
      <c r="AU76" s="352"/>
      <c r="AV76" s="352"/>
      <c r="AW76" s="352" t="s">
        <v>254</v>
      </c>
    </row>
    <row r="77" spans="2:49" x14ac:dyDescent="0.2">
      <c r="B77" s="460" t="s">
        <v>2354</v>
      </c>
      <c r="C77" s="460">
        <v>1111</v>
      </c>
      <c r="D77" s="460" t="s">
        <v>2360</v>
      </c>
      <c r="E77" s="460" t="s">
        <v>1138</v>
      </c>
      <c r="F77" s="460">
        <v>3</v>
      </c>
      <c r="G77" s="460">
        <v>4</v>
      </c>
      <c r="H77" s="461" t="s">
        <v>712</v>
      </c>
      <c r="I77" s="461" t="s">
        <v>713</v>
      </c>
      <c r="J77" s="461" t="s">
        <v>712</v>
      </c>
      <c r="K77" s="594"/>
      <c r="L77" s="594"/>
      <c r="M77" s="352">
        <v>1000</v>
      </c>
      <c r="N77" s="352" t="s">
        <v>698</v>
      </c>
      <c r="O77" s="460">
        <v>1111</v>
      </c>
      <c r="P77" s="460" t="s">
        <v>699</v>
      </c>
      <c r="Q77" s="460" t="s">
        <v>2280</v>
      </c>
      <c r="R77" s="460">
        <v>1111</v>
      </c>
      <c r="S77" s="460" t="s">
        <v>1138</v>
      </c>
      <c r="T77" s="462">
        <v>1</v>
      </c>
      <c r="U77" s="460" t="s">
        <v>1138</v>
      </c>
      <c r="V77" s="475">
        <v>0</v>
      </c>
      <c r="W77" s="463" t="s">
        <v>713</v>
      </c>
      <c r="X77" s="463" t="s">
        <v>713</v>
      </c>
      <c r="Y77" s="463" t="s">
        <v>713</v>
      </c>
      <c r="Z77" s="463"/>
      <c r="AA77" s="463"/>
      <c r="AB77" s="464">
        <v>1762.9372062080088</v>
      </c>
      <c r="AC77" s="465">
        <v>0.33283421410881325</v>
      </c>
      <c r="AD77" s="465">
        <v>2.2000657172045184E-2</v>
      </c>
      <c r="AE77" s="476">
        <v>1762.937206208009</v>
      </c>
      <c r="AF77" s="467">
        <v>0.33283421410881331</v>
      </c>
      <c r="AG77" s="468">
        <v>2.1952925742866058E-2</v>
      </c>
      <c r="AH77" s="218">
        <v>1762.937206208009</v>
      </c>
      <c r="AI77" s="470">
        <v>0.33283421410881331</v>
      </c>
      <c r="AJ77" s="471">
        <v>2.2210331980183632E-2</v>
      </c>
      <c r="AK77" s="218">
        <v>1762.937206208009</v>
      </c>
      <c r="AL77" s="470">
        <v>0.33283421410881331</v>
      </c>
      <c r="AM77" s="471">
        <v>2.2210331980183632E-2</v>
      </c>
      <c r="AN77" s="477">
        <v>1762.937206208009</v>
      </c>
      <c r="AO77" s="473">
        <v>0.33283421410881331</v>
      </c>
      <c r="AP77" s="474">
        <v>2.2208658118808604E-2</v>
      </c>
      <c r="AQ77" s="352"/>
      <c r="AR77" s="352"/>
      <c r="AS77" s="352"/>
      <c r="AT77" s="352"/>
      <c r="AU77" s="352"/>
      <c r="AV77" s="352"/>
      <c r="AW77" s="352" t="s">
        <v>254</v>
      </c>
    </row>
    <row r="78" spans="2:49" x14ac:dyDescent="0.2">
      <c r="B78" s="460" t="s">
        <v>2356</v>
      </c>
      <c r="C78" s="460">
        <v>1111</v>
      </c>
      <c r="D78" s="460" t="s">
        <v>2361</v>
      </c>
      <c r="E78" s="460" t="s">
        <v>1139</v>
      </c>
      <c r="F78" s="460">
        <v>4</v>
      </c>
      <c r="G78" s="460">
        <v>4</v>
      </c>
      <c r="H78" s="461" t="s">
        <v>712</v>
      </c>
      <c r="I78" s="461" t="s">
        <v>713</v>
      </c>
      <c r="J78" s="461" t="s">
        <v>712</v>
      </c>
      <c r="K78" s="594"/>
      <c r="L78" s="594"/>
      <c r="M78" s="352">
        <v>1000</v>
      </c>
      <c r="N78" s="352" t="s">
        <v>698</v>
      </c>
      <c r="O78" s="460">
        <v>1111</v>
      </c>
      <c r="P78" s="460" t="s">
        <v>699</v>
      </c>
      <c r="Q78" s="460" t="s">
        <v>2280</v>
      </c>
      <c r="R78" s="460">
        <v>1111</v>
      </c>
      <c r="S78" s="460" t="s">
        <v>1139</v>
      </c>
      <c r="T78" s="462">
        <v>1</v>
      </c>
      <c r="U78" s="460" t="s">
        <v>1139</v>
      </c>
      <c r="V78" s="475">
        <v>0</v>
      </c>
      <c r="W78" s="463" t="s">
        <v>713</v>
      </c>
      <c r="X78" s="463" t="s">
        <v>713</v>
      </c>
      <c r="Y78" s="463" t="s">
        <v>713</v>
      </c>
      <c r="Z78" s="463"/>
      <c r="AA78" s="463"/>
      <c r="AB78" s="464">
        <v>1998.8171374017168</v>
      </c>
      <c r="AC78" s="465">
        <v>0.16080966524258231</v>
      </c>
      <c r="AD78" s="465">
        <v>2.2131373731760901E-2</v>
      </c>
      <c r="AE78" s="476">
        <v>1998.817137401717</v>
      </c>
      <c r="AF78" s="467">
        <v>0.16080966524258233</v>
      </c>
      <c r="AG78" s="468">
        <v>2.2131373731760901E-2</v>
      </c>
      <c r="AH78" s="218">
        <v>1998.817137401717</v>
      </c>
      <c r="AI78" s="470">
        <v>0.16080966524258233</v>
      </c>
      <c r="AJ78" s="471">
        <v>2.2607372158516624E-2</v>
      </c>
      <c r="AK78" s="218">
        <v>1998.817137401717</v>
      </c>
      <c r="AL78" s="470">
        <v>0.16080966524258233</v>
      </c>
      <c r="AM78" s="471">
        <v>2.2607372158516624E-2</v>
      </c>
      <c r="AN78" s="477">
        <v>1998.817137401717</v>
      </c>
      <c r="AO78" s="473">
        <v>0.16080966524258233</v>
      </c>
      <c r="AP78" s="474">
        <v>2.2607372158516624E-2</v>
      </c>
      <c r="AQ78" s="352"/>
      <c r="AR78" s="352"/>
      <c r="AS78" s="352"/>
      <c r="AT78" s="352"/>
      <c r="AU78" s="352"/>
      <c r="AV78" s="352"/>
      <c r="AW78" s="352" t="s">
        <v>254</v>
      </c>
    </row>
    <row r="79" spans="2:49" x14ac:dyDescent="0.2">
      <c r="B79" s="460" t="s">
        <v>2350</v>
      </c>
      <c r="C79" s="460">
        <v>1111</v>
      </c>
      <c r="D79" s="460" t="s">
        <v>2362</v>
      </c>
      <c r="E79" s="460" t="s">
        <v>1136</v>
      </c>
      <c r="F79" s="460">
        <v>1</v>
      </c>
      <c r="G79" s="460">
        <v>4</v>
      </c>
      <c r="H79" s="461" t="s">
        <v>746</v>
      </c>
      <c r="I79" s="461" t="s">
        <v>762</v>
      </c>
      <c r="J79" s="461" t="s">
        <v>700</v>
      </c>
      <c r="K79" s="594"/>
      <c r="L79" s="594"/>
      <c r="M79" s="352">
        <v>1000</v>
      </c>
      <c r="N79" s="352" t="s">
        <v>698</v>
      </c>
      <c r="O79" s="460">
        <v>1111</v>
      </c>
      <c r="P79" s="460" t="s">
        <v>699</v>
      </c>
      <c r="Q79" s="460" t="s">
        <v>2266</v>
      </c>
      <c r="R79" s="460">
        <v>1111</v>
      </c>
      <c r="S79" s="460" t="s">
        <v>1136</v>
      </c>
      <c r="T79" s="462">
        <v>1</v>
      </c>
      <c r="U79" s="460" t="s">
        <v>1136</v>
      </c>
      <c r="V79" s="475">
        <v>0</v>
      </c>
      <c r="W79" s="463" t="s">
        <v>2268</v>
      </c>
      <c r="X79" s="463" t="s">
        <v>2268</v>
      </c>
      <c r="Y79" s="463" t="s">
        <v>2267</v>
      </c>
      <c r="Z79" s="463"/>
      <c r="AA79" s="463"/>
      <c r="AB79" s="464">
        <v>0</v>
      </c>
      <c r="AC79" s="465">
        <v>0</v>
      </c>
      <c r="AD79" s="465">
        <v>0</v>
      </c>
      <c r="AE79" s="476">
        <v>0</v>
      </c>
      <c r="AF79" s="467">
        <v>0</v>
      </c>
      <c r="AG79" s="468">
        <v>0</v>
      </c>
      <c r="AH79" s="218">
        <v>0</v>
      </c>
      <c r="AI79" s="470">
        <v>0</v>
      </c>
      <c r="AJ79" s="471">
        <v>0</v>
      </c>
      <c r="AK79" s="218">
        <v>0</v>
      </c>
      <c r="AL79" s="470">
        <v>0</v>
      </c>
      <c r="AM79" s="471">
        <v>0</v>
      </c>
      <c r="AN79" s="477">
        <v>88.144338552028373</v>
      </c>
      <c r="AO79" s="473">
        <v>1.9249793592480219E-2</v>
      </c>
      <c r="AP79" s="474">
        <v>0.39757425696641485</v>
      </c>
      <c r="AQ79" s="352"/>
      <c r="AR79" s="352"/>
      <c r="AS79" s="352"/>
      <c r="AT79" s="352"/>
      <c r="AU79" s="352"/>
      <c r="AV79" s="352"/>
      <c r="AW79" s="352" t="s">
        <v>254</v>
      </c>
    </row>
    <row r="80" spans="2:49" x14ac:dyDescent="0.2">
      <c r="B80" s="460" t="s">
        <v>2352</v>
      </c>
      <c r="C80" s="460">
        <v>1111</v>
      </c>
      <c r="D80" s="460" t="s">
        <v>2363</v>
      </c>
      <c r="E80" s="460" t="s">
        <v>1137</v>
      </c>
      <c r="F80" s="460">
        <v>2</v>
      </c>
      <c r="G80" s="460">
        <v>4</v>
      </c>
      <c r="H80" s="461" t="s">
        <v>746</v>
      </c>
      <c r="I80" s="461" t="s">
        <v>762</v>
      </c>
      <c r="J80" s="461" t="s">
        <v>700</v>
      </c>
      <c r="K80" s="594"/>
      <c r="L80" s="594"/>
      <c r="M80" s="352">
        <v>1000</v>
      </c>
      <c r="N80" s="352" t="s">
        <v>698</v>
      </c>
      <c r="O80" s="460">
        <v>1111</v>
      </c>
      <c r="P80" s="460" t="s">
        <v>699</v>
      </c>
      <c r="Q80" s="460" t="s">
        <v>2266</v>
      </c>
      <c r="R80" s="460">
        <v>1111</v>
      </c>
      <c r="S80" s="460" t="s">
        <v>1137</v>
      </c>
      <c r="T80" s="462">
        <v>1</v>
      </c>
      <c r="U80" s="460" t="s">
        <v>1137</v>
      </c>
      <c r="V80" s="475">
        <v>0</v>
      </c>
      <c r="W80" s="463" t="s">
        <v>2268</v>
      </c>
      <c r="X80" s="463" t="s">
        <v>2268</v>
      </c>
      <c r="Y80" s="463" t="s">
        <v>2267</v>
      </c>
      <c r="Z80" s="463"/>
      <c r="AA80" s="463"/>
      <c r="AB80" s="464">
        <v>0</v>
      </c>
      <c r="AC80" s="465">
        <v>0</v>
      </c>
      <c r="AD80" s="465">
        <v>0</v>
      </c>
      <c r="AE80" s="476">
        <v>0</v>
      </c>
      <c r="AF80" s="467">
        <v>0</v>
      </c>
      <c r="AG80" s="468">
        <v>0</v>
      </c>
      <c r="AH80" s="218">
        <v>0</v>
      </c>
      <c r="AI80" s="470">
        <v>0</v>
      </c>
      <c r="AJ80" s="471">
        <v>0</v>
      </c>
      <c r="AK80" s="218">
        <v>0</v>
      </c>
      <c r="AL80" s="470">
        <v>0</v>
      </c>
      <c r="AM80" s="471">
        <v>0</v>
      </c>
      <c r="AN80" s="477">
        <v>1267.2660186132939</v>
      </c>
      <c r="AO80" s="473">
        <v>0.12567989919955927</v>
      </c>
      <c r="AP80" s="474">
        <v>0.34629764170013555</v>
      </c>
      <c r="AQ80" s="352"/>
      <c r="AR80" s="352"/>
      <c r="AS80" s="352"/>
      <c r="AT80" s="352"/>
      <c r="AU80" s="352"/>
      <c r="AV80" s="352"/>
      <c r="AW80" s="352" t="s">
        <v>254</v>
      </c>
    </row>
    <row r="81" spans="2:49" x14ac:dyDescent="0.2">
      <c r="B81" s="460" t="s">
        <v>2354</v>
      </c>
      <c r="C81" s="460">
        <v>1111</v>
      </c>
      <c r="D81" s="460" t="s">
        <v>2364</v>
      </c>
      <c r="E81" s="460" t="s">
        <v>1138</v>
      </c>
      <c r="F81" s="460">
        <v>3</v>
      </c>
      <c r="G81" s="460">
        <v>4</v>
      </c>
      <c r="H81" s="461" t="s">
        <v>746</v>
      </c>
      <c r="I81" s="461" t="s">
        <v>762</v>
      </c>
      <c r="J81" s="461" t="s">
        <v>700</v>
      </c>
      <c r="K81" s="594"/>
      <c r="L81" s="594"/>
      <c r="M81" s="352">
        <v>1000</v>
      </c>
      <c r="N81" s="352" t="s">
        <v>698</v>
      </c>
      <c r="O81" s="460">
        <v>1111</v>
      </c>
      <c r="P81" s="460" t="s">
        <v>699</v>
      </c>
      <c r="Q81" s="460" t="s">
        <v>2266</v>
      </c>
      <c r="R81" s="460">
        <v>1111</v>
      </c>
      <c r="S81" s="460" t="s">
        <v>1138</v>
      </c>
      <c r="T81" s="462">
        <v>1</v>
      </c>
      <c r="U81" s="460" t="s">
        <v>1138</v>
      </c>
      <c r="V81" s="475">
        <v>0</v>
      </c>
      <c r="W81" s="463" t="s">
        <v>2268</v>
      </c>
      <c r="X81" s="463" t="s">
        <v>2268</v>
      </c>
      <c r="Y81" s="463" t="s">
        <v>2267</v>
      </c>
      <c r="Z81" s="463"/>
      <c r="AA81" s="463"/>
      <c r="AB81" s="464">
        <v>0</v>
      </c>
      <c r="AC81" s="465">
        <v>0</v>
      </c>
      <c r="AD81" s="465">
        <v>0</v>
      </c>
      <c r="AE81" s="476">
        <v>0</v>
      </c>
      <c r="AF81" s="467">
        <v>0</v>
      </c>
      <c r="AG81" s="468">
        <v>0</v>
      </c>
      <c r="AH81" s="218">
        <v>0</v>
      </c>
      <c r="AI81" s="470">
        <v>0</v>
      </c>
      <c r="AJ81" s="471">
        <v>0</v>
      </c>
      <c r="AK81" s="218">
        <v>0</v>
      </c>
      <c r="AL81" s="470">
        <v>0</v>
      </c>
      <c r="AM81" s="471">
        <v>0</v>
      </c>
      <c r="AN81" s="477">
        <v>494.42564478931303</v>
      </c>
      <c r="AO81" s="473">
        <v>9.3345225422213726E-2</v>
      </c>
      <c r="AP81" s="474">
        <v>0.25590432929719226</v>
      </c>
      <c r="AQ81" s="352"/>
      <c r="AR81" s="352"/>
      <c r="AS81" s="352"/>
      <c r="AT81" s="352"/>
      <c r="AU81" s="352"/>
      <c r="AV81" s="352"/>
      <c r="AW81" s="352" t="s">
        <v>254</v>
      </c>
    </row>
    <row r="82" spans="2:49" x14ac:dyDescent="0.2">
      <c r="B82" s="460" t="s">
        <v>2356</v>
      </c>
      <c r="C82" s="460">
        <v>1111</v>
      </c>
      <c r="D82" s="460" t="s">
        <v>2365</v>
      </c>
      <c r="E82" s="460" t="s">
        <v>1139</v>
      </c>
      <c r="F82" s="460">
        <v>4</v>
      </c>
      <c r="G82" s="460">
        <v>4</v>
      </c>
      <c r="H82" s="461" t="s">
        <v>746</v>
      </c>
      <c r="I82" s="461" t="s">
        <v>762</v>
      </c>
      <c r="J82" s="461" t="s">
        <v>700</v>
      </c>
      <c r="K82" s="594"/>
      <c r="L82" s="594"/>
      <c r="M82" s="352">
        <v>1000</v>
      </c>
      <c r="N82" s="352" t="s">
        <v>698</v>
      </c>
      <c r="O82" s="460">
        <v>1111</v>
      </c>
      <c r="P82" s="460" t="s">
        <v>699</v>
      </c>
      <c r="Q82" s="460" t="s">
        <v>2266</v>
      </c>
      <c r="R82" s="460">
        <v>1111</v>
      </c>
      <c r="S82" s="460" t="s">
        <v>1139</v>
      </c>
      <c r="T82" s="462">
        <v>1</v>
      </c>
      <c r="U82" s="460" t="s">
        <v>1139</v>
      </c>
      <c r="V82" s="475">
        <v>0</v>
      </c>
      <c r="W82" s="463" t="s">
        <v>2268</v>
      </c>
      <c r="X82" s="463" t="s">
        <v>2268</v>
      </c>
      <c r="Y82" s="463" t="s">
        <v>2267</v>
      </c>
      <c r="Z82" s="463"/>
      <c r="AA82" s="463"/>
      <c r="AB82" s="464">
        <v>0</v>
      </c>
      <c r="AC82" s="465">
        <v>0</v>
      </c>
      <c r="AD82" s="465">
        <v>0</v>
      </c>
      <c r="AE82" s="476">
        <v>0</v>
      </c>
      <c r="AF82" s="467">
        <v>0</v>
      </c>
      <c r="AG82" s="468">
        <v>0</v>
      </c>
      <c r="AH82" s="218">
        <v>0</v>
      </c>
      <c r="AI82" s="470">
        <v>0</v>
      </c>
      <c r="AJ82" s="471">
        <v>0</v>
      </c>
      <c r="AK82" s="218">
        <v>0</v>
      </c>
      <c r="AL82" s="470">
        <v>0</v>
      </c>
      <c r="AM82" s="471">
        <v>0</v>
      </c>
      <c r="AN82" s="477">
        <v>0</v>
      </c>
      <c r="AO82" s="473">
        <v>0</v>
      </c>
      <c r="AP82" s="474">
        <v>0</v>
      </c>
      <c r="AQ82" s="352"/>
      <c r="AR82" s="352"/>
      <c r="AS82" s="352"/>
      <c r="AT82" s="352"/>
      <c r="AU82" s="352"/>
      <c r="AV82" s="352"/>
      <c r="AW82" s="352" t="s">
        <v>254</v>
      </c>
    </row>
    <row r="83" spans="2:49" x14ac:dyDescent="0.2">
      <c r="B83" s="460" t="s">
        <v>2350</v>
      </c>
      <c r="C83" s="460">
        <v>1111</v>
      </c>
      <c r="D83" s="460" t="s">
        <v>2366</v>
      </c>
      <c r="E83" s="460" t="s">
        <v>1136</v>
      </c>
      <c r="F83" s="460">
        <v>1</v>
      </c>
      <c r="G83" s="460">
        <v>4</v>
      </c>
      <c r="H83" s="461" t="s">
        <v>748</v>
      </c>
      <c r="I83" s="461" t="s">
        <v>765</v>
      </c>
      <c r="J83" s="461" t="s">
        <v>700</v>
      </c>
      <c r="K83" s="594"/>
      <c r="L83" s="594"/>
      <c r="M83" s="352">
        <v>1000</v>
      </c>
      <c r="N83" s="352" t="s">
        <v>698</v>
      </c>
      <c r="O83" s="460">
        <v>1111</v>
      </c>
      <c r="P83" s="460" t="s">
        <v>699</v>
      </c>
      <c r="Q83" s="460" t="s">
        <v>2289</v>
      </c>
      <c r="R83" s="460">
        <v>1111</v>
      </c>
      <c r="S83" s="460" t="s">
        <v>1136</v>
      </c>
      <c r="T83" s="462">
        <v>1</v>
      </c>
      <c r="U83" s="460" t="s">
        <v>1136</v>
      </c>
      <c r="V83" s="475">
        <v>0</v>
      </c>
      <c r="W83" s="463" t="s">
        <v>2268</v>
      </c>
      <c r="X83" s="463" t="s">
        <v>2268</v>
      </c>
      <c r="Y83" s="463" t="s">
        <v>2290</v>
      </c>
      <c r="Z83" s="463"/>
      <c r="AA83" s="463"/>
      <c r="AB83" s="464">
        <v>0</v>
      </c>
      <c r="AC83" s="465">
        <v>0</v>
      </c>
      <c r="AD83" s="465">
        <v>0</v>
      </c>
      <c r="AE83" s="476">
        <v>0</v>
      </c>
      <c r="AF83" s="467">
        <v>0</v>
      </c>
      <c r="AG83" s="468">
        <v>0</v>
      </c>
      <c r="AH83" s="218">
        <v>0</v>
      </c>
      <c r="AI83" s="470">
        <v>0</v>
      </c>
      <c r="AJ83" s="471">
        <v>0</v>
      </c>
      <c r="AK83" s="218">
        <v>0</v>
      </c>
      <c r="AL83" s="470">
        <v>0</v>
      </c>
      <c r="AM83" s="471">
        <v>0</v>
      </c>
      <c r="AN83" s="477">
        <v>0</v>
      </c>
      <c r="AO83" s="473">
        <v>0</v>
      </c>
      <c r="AP83" s="474">
        <v>0</v>
      </c>
      <c r="AQ83" s="352"/>
      <c r="AR83" s="352"/>
      <c r="AS83" s="352"/>
      <c r="AT83" s="352"/>
      <c r="AU83" s="352"/>
      <c r="AV83" s="352"/>
      <c r="AW83" s="352" t="s">
        <v>254</v>
      </c>
    </row>
    <row r="84" spans="2:49" x14ac:dyDescent="0.2">
      <c r="B84" s="460" t="s">
        <v>2352</v>
      </c>
      <c r="C84" s="460">
        <v>1111</v>
      </c>
      <c r="D84" s="460" t="s">
        <v>2367</v>
      </c>
      <c r="E84" s="460" t="s">
        <v>1137</v>
      </c>
      <c r="F84" s="460">
        <v>2</v>
      </c>
      <c r="G84" s="460">
        <v>4</v>
      </c>
      <c r="H84" s="461" t="s">
        <v>748</v>
      </c>
      <c r="I84" s="461" t="s">
        <v>765</v>
      </c>
      <c r="J84" s="461" t="s">
        <v>700</v>
      </c>
      <c r="K84" s="594"/>
      <c r="L84" s="594"/>
      <c r="M84" s="352">
        <v>1000</v>
      </c>
      <c r="N84" s="352" t="s">
        <v>698</v>
      </c>
      <c r="O84" s="460">
        <v>1111</v>
      </c>
      <c r="P84" s="460" t="s">
        <v>699</v>
      </c>
      <c r="Q84" s="460" t="s">
        <v>2289</v>
      </c>
      <c r="R84" s="460">
        <v>1111</v>
      </c>
      <c r="S84" s="460" t="s">
        <v>1137</v>
      </c>
      <c r="T84" s="462">
        <v>1</v>
      </c>
      <c r="U84" s="460" t="s">
        <v>1137</v>
      </c>
      <c r="V84" s="475">
        <v>0</v>
      </c>
      <c r="W84" s="463" t="s">
        <v>2268</v>
      </c>
      <c r="X84" s="463" t="s">
        <v>2268</v>
      </c>
      <c r="Y84" s="463" t="s">
        <v>2290</v>
      </c>
      <c r="Z84" s="463"/>
      <c r="AA84" s="463"/>
      <c r="AB84" s="464">
        <v>0</v>
      </c>
      <c r="AC84" s="465">
        <v>0</v>
      </c>
      <c r="AD84" s="465">
        <v>0</v>
      </c>
      <c r="AE84" s="476">
        <v>0</v>
      </c>
      <c r="AF84" s="467">
        <v>0</v>
      </c>
      <c r="AG84" s="468">
        <v>0</v>
      </c>
      <c r="AH84" s="218">
        <v>0</v>
      </c>
      <c r="AI84" s="470">
        <v>0</v>
      </c>
      <c r="AJ84" s="471">
        <v>0</v>
      </c>
      <c r="AK84" s="218">
        <v>0</v>
      </c>
      <c r="AL84" s="470">
        <v>0</v>
      </c>
      <c r="AM84" s="471">
        <v>0</v>
      </c>
      <c r="AN84" s="477">
        <v>0</v>
      </c>
      <c r="AO84" s="473">
        <v>0</v>
      </c>
      <c r="AP84" s="474">
        <v>0</v>
      </c>
      <c r="AQ84" s="352"/>
      <c r="AR84" s="352"/>
      <c r="AS84" s="352"/>
      <c r="AT84" s="352"/>
      <c r="AU84" s="352"/>
      <c r="AV84" s="352"/>
      <c r="AW84" s="352" t="s">
        <v>254</v>
      </c>
    </row>
    <row r="85" spans="2:49" x14ac:dyDescent="0.2">
      <c r="B85" s="460" t="s">
        <v>2354</v>
      </c>
      <c r="C85" s="460">
        <v>1111</v>
      </c>
      <c r="D85" s="460" t="s">
        <v>2368</v>
      </c>
      <c r="E85" s="460" t="s">
        <v>1138</v>
      </c>
      <c r="F85" s="460">
        <v>3</v>
      </c>
      <c r="G85" s="460">
        <v>4</v>
      </c>
      <c r="H85" s="461" t="s">
        <v>748</v>
      </c>
      <c r="I85" s="461" t="s">
        <v>765</v>
      </c>
      <c r="J85" s="461" t="s">
        <v>700</v>
      </c>
      <c r="K85" s="594"/>
      <c r="L85" s="594"/>
      <c r="M85" s="352">
        <v>1000</v>
      </c>
      <c r="N85" s="352" t="s">
        <v>698</v>
      </c>
      <c r="O85" s="460">
        <v>1111</v>
      </c>
      <c r="P85" s="460" t="s">
        <v>699</v>
      </c>
      <c r="Q85" s="460" t="s">
        <v>2289</v>
      </c>
      <c r="R85" s="460">
        <v>1111</v>
      </c>
      <c r="S85" s="460" t="s">
        <v>1138</v>
      </c>
      <c r="T85" s="462">
        <v>1</v>
      </c>
      <c r="U85" s="460" t="s">
        <v>1138</v>
      </c>
      <c r="V85" s="475">
        <v>0</v>
      </c>
      <c r="W85" s="463" t="s">
        <v>2268</v>
      </c>
      <c r="X85" s="463" t="s">
        <v>2268</v>
      </c>
      <c r="Y85" s="463" t="s">
        <v>2290</v>
      </c>
      <c r="Z85" s="463"/>
      <c r="AA85" s="463"/>
      <c r="AB85" s="464">
        <v>0</v>
      </c>
      <c r="AC85" s="465">
        <v>0</v>
      </c>
      <c r="AD85" s="465">
        <v>0</v>
      </c>
      <c r="AE85" s="476">
        <v>0</v>
      </c>
      <c r="AF85" s="467">
        <v>0</v>
      </c>
      <c r="AG85" s="468">
        <v>0</v>
      </c>
      <c r="AH85" s="218">
        <v>0</v>
      </c>
      <c r="AI85" s="470">
        <v>0</v>
      </c>
      <c r="AJ85" s="471">
        <v>0</v>
      </c>
      <c r="AK85" s="218">
        <v>0</v>
      </c>
      <c r="AL85" s="470">
        <v>0</v>
      </c>
      <c r="AM85" s="471">
        <v>0</v>
      </c>
      <c r="AN85" s="477">
        <v>0</v>
      </c>
      <c r="AO85" s="473">
        <v>0</v>
      </c>
      <c r="AP85" s="474">
        <v>0</v>
      </c>
      <c r="AQ85" s="352"/>
      <c r="AR85" s="352"/>
      <c r="AS85" s="352"/>
      <c r="AT85" s="352"/>
      <c r="AU85" s="352"/>
      <c r="AV85" s="352"/>
      <c r="AW85" s="352" t="s">
        <v>254</v>
      </c>
    </row>
    <row r="86" spans="2:49" x14ac:dyDescent="0.2">
      <c r="B86" s="460" t="s">
        <v>2356</v>
      </c>
      <c r="C86" s="460">
        <v>1111</v>
      </c>
      <c r="D86" s="460" t="s">
        <v>2369</v>
      </c>
      <c r="E86" s="460" t="s">
        <v>1139</v>
      </c>
      <c r="F86" s="460">
        <v>4</v>
      </c>
      <c r="G86" s="460">
        <v>4</v>
      </c>
      <c r="H86" s="461" t="s">
        <v>748</v>
      </c>
      <c r="I86" s="461" t="s">
        <v>765</v>
      </c>
      <c r="J86" s="461" t="s">
        <v>700</v>
      </c>
      <c r="K86" s="594"/>
      <c r="L86" s="594"/>
      <c r="M86" s="352">
        <v>1000</v>
      </c>
      <c r="N86" s="352" t="s">
        <v>698</v>
      </c>
      <c r="O86" s="460">
        <v>1111</v>
      </c>
      <c r="P86" s="460" t="s">
        <v>699</v>
      </c>
      <c r="Q86" s="460" t="s">
        <v>2289</v>
      </c>
      <c r="R86" s="460">
        <v>1111</v>
      </c>
      <c r="S86" s="460" t="s">
        <v>1139</v>
      </c>
      <c r="T86" s="462">
        <v>1</v>
      </c>
      <c r="U86" s="460" t="s">
        <v>1139</v>
      </c>
      <c r="V86" s="475">
        <v>0</v>
      </c>
      <c r="W86" s="463" t="s">
        <v>2268</v>
      </c>
      <c r="X86" s="463" t="s">
        <v>2268</v>
      </c>
      <c r="Y86" s="463" t="s">
        <v>2290</v>
      </c>
      <c r="Z86" s="463"/>
      <c r="AA86" s="463"/>
      <c r="AB86" s="464">
        <v>0</v>
      </c>
      <c r="AC86" s="465">
        <v>0</v>
      </c>
      <c r="AD86" s="465">
        <v>0</v>
      </c>
      <c r="AE86" s="476">
        <v>0</v>
      </c>
      <c r="AF86" s="467">
        <v>0</v>
      </c>
      <c r="AG86" s="468">
        <v>0</v>
      </c>
      <c r="AH86" s="218">
        <v>0</v>
      </c>
      <c r="AI86" s="470">
        <v>0</v>
      </c>
      <c r="AJ86" s="471">
        <v>0</v>
      </c>
      <c r="AK86" s="218">
        <v>0</v>
      </c>
      <c r="AL86" s="470">
        <v>0</v>
      </c>
      <c r="AM86" s="471">
        <v>0</v>
      </c>
      <c r="AN86" s="477">
        <v>0</v>
      </c>
      <c r="AO86" s="473">
        <v>0</v>
      </c>
      <c r="AP86" s="474">
        <v>0</v>
      </c>
      <c r="AQ86" s="352"/>
      <c r="AR86" s="352"/>
      <c r="AS86" s="352"/>
      <c r="AT86" s="352"/>
      <c r="AU86" s="352"/>
      <c r="AV86" s="352"/>
      <c r="AW86" s="352" t="s">
        <v>254</v>
      </c>
    </row>
    <row r="87" spans="2:49" x14ac:dyDescent="0.2">
      <c r="B87" s="460" t="s">
        <v>2350</v>
      </c>
      <c r="C87" s="460">
        <v>1111</v>
      </c>
      <c r="D87" s="460" t="s">
        <v>2370</v>
      </c>
      <c r="E87" s="460" t="s">
        <v>1136</v>
      </c>
      <c r="F87" s="460">
        <v>1</v>
      </c>
      <c r="G87" s="460">
        <v>4</v>
      </c>
      <c r="H87" s="461" t="s">
        <v>752</v>
      </c>
      <c r="I87" s="461" t="s">
        <v>964</v>
      </c>
      <c r="J87" s="461" t="s">
        <v>752</v>
      </c>
      <c r="K87" s="594"/>
      <c r="L87" s="594"/>
      <c r="M87" s="352">
        <v>1000</v>
      </c>
      <c r="N87" s="352" t="s">
        <v>698</v>
      </c>
      <c r="O87" s="460">
        <v>1111</v>
      </c>
      <c r="P87" s="460" t="s">
        <v>699</v>
      </c>
      <c r="Q87" s="460" t="s">
        <v>2266</v>
      </c>
      <c r="R87" s="460">
        <v>1111</v>
      </c>
      <c r="S87" s="460" t="s">
        <v>1136</v>
      </c>
      <c r="T87" s="462">
        <v>1</v>
      </c>
      <c r="U87" s="460" t="s">
        <v>1136</v>
      </c>
      <c r="V87" s="475">
        <v>0</v>
      </c>
      <c r="W87" s="463" t="s">
        <v>2267</v>
      </c>
      <c r="X87" s="463" t="s">
        <v>2267</v>
      </c>
      <c r="Y87" s="463" t="s">
        <v>2267</v>
      </c>
      <c r="Z87" s="463"/>
      <c r="AA87" s="463"/>
      <c r="AB87" s="464">
        <v>1268.7322268859859</v>
      </c>
      <c r="AC87" s="465">
        <v>0.27707773287409837</v>
      </c>
      <c r="AD87" s="465">
        <v>0.41086414210360395</v>
      </c>
      <c r="AE87" s="476">
        <v>1268.7322268859859</v>
      </c>
      <c r="AF87" s="467">
        <v>0.27707773287409837</v>
      </c>
      <c r="AG87" s="468">
        <v>0.41086414210360395</v>
      </c>
      <c r="AH87" s="218">
        <v>1268.7322268859859</v>
      </c>
      <c r="AI87" s="470">
        <v>0.27707773287409837</v>
      </c>
      <c r="AJ87" s="471">
        <v>0.34686468850142238</v>
      </c>
      <c r="AK87" s="218">
        <v>1268.7322268859859</v>
      </c>
      <c r="AL87" s="470">
        <v>0.27707773287409837</v>
      </c>
      <c r="AM87" s="471">
        <v>0.34686468850142238</v>
      </c>
      <c r="AN87" s="477">
        <v>1268.7322268859859</v>
      </c>
      <c r="AO87" s="473">
        <v>0.27707773287409837</v>
      </c>
      <c r="AP87" s="474">
        <v>0.34686468850142238</v>
      </c>
      <c r="AQ87" s="352"/>
      <c r="AR87" s="352"/>
      <c r="AS87" s="352"/>
      <c r="AT87" s="352"/>
      <c r="AU87" s="352"/>
      <c r="AV87" s="352"/>
      <c r="AW87" s="352" t="s">
        <v>254</v>
      </c>
    </row>
    <row r="88" spans="2:49" x14ac:dyDescent="0.2">
      <c r="B88" s="460" t="s">
        <v>2352</v>
      </c>
      <c r="C88" s="460">
        <v>1111</v>
      </c>
      <c r="D88" s="460" t="s">
        <v>2371</v>
      </c>
      <c r="E88" s="460" t="s">
        <v>1137</v>
      </c>
      <c r="F88" s="460">
        <v>2</v>
      </c>
      <c r="G88" s="460">
        <v>4</v>
      </c>
      <c r="H88" s="461" t="s">
        <v>752</v>
      </c>
      <c r="I88" s="461" t="s">
        <v>964</v>
      </c>
      <c r="J88" s="461" t="s">
        <v>752</v>
      </c>
      <c r="K88" s="594"/>
      <c r="L88" s="594"/>
      <c r="M88" s="352">
        <v>1000</v>
      </c>
      <c r="N88" s="352" t="s">
        <v>698</v>
      </c>
      <c r="O88" s="460">
        <v>1111</v>
      </c>
      <c r="P88" s="460" t="s">
        <v>699</v>
      </c>
      <c r="Q88" s="460" t="s">
        <v>2266</v>
      </c>
      <c r="R88" s="460">
        <v>1111</v>
      </c>
      <c r="S88" s="460" t="s">
        <v>1137</v>
      </c>
      <c r="T88" s="462">
        <v>1</v>
      </c>
      <c r="U88" s="460" t="s">
        <v>1137</v>
      </c>
      <c r="V88" s="475">
        <v>0</v>
      </c>
      <c r="W88" s="463" t="s">
        <v>2267</v>
      </c>
      <c r="X88" s="463" t="s">
        <v>2267</v>
      </c>
      <c r="Y88" s="463" t="s">
        <v>2267</v>
      </c>
      <c r="Z88" s="463"/>
      <c r="AA88" s="463"/>
      <c r="AB88" s="464">
        <v>4070.1866737509358</v>
      </c>
      <c r="AC88" s="465">
        <v>0.40365688290147678</v>
      </c>
      <c r="AD88" s="465">
        <v>0.39826345288737752</v>
      </c>
      <c r="AE88" s="476">
        <v>4070.1866737509358</v>
      </c>
      <c r="AF88" s="467">
        <v>0.40365688290147678</v>
      </c>
      <c r="AG88" s="468">
        <v>0.39826345288737752</v>
      </c>
      <c r="AH88" s="218">
        <v>4070.1866737509358</v>
      </c>
      <c r="AI88" s="470">
        <v>0.40365688290147678</v>
      </c>
      <c r="AJ88" s="471">
        <v>0.39483912814666983</v>
      </c>
      <c r="AK88" s="218">
        <v>4070.1866737509358</v>
      </c>
      <c r="AL88" s="470">
        <v>0.40365688290147678</v>
      </c>
      <c r="AM88" s="471">
        <v>0.39483912814666983</v>
      </c>
      <c r="AN88" s="477">
        <v>4070.1866737509358</v>
      </c>
      <c r="AO88" s="473">
        <v>0.40365688290147678</v>
      </c>
      <c r="AP88" s="474">
        <v>0.39483912814666983</v>
      </c>
      <c r="AQ88" s="352"/>
      <c r="AR88" s="352"/>
      <c r="AS88" s="352"/>
      <c r="AT88" s="352"/>
      <c r="AU88" s="352"/>
      <c r="AV88" s="352"/>
      <c r="AW88" s="352" t="s">
        <v>254</v>
      </c>
    </row>
    <row r="89" spans="2:49" x14ac:dyDescent="0.2">
      <c r="B89" s="460" t="s">
        <v>2354</v>
      </c>
      <c r="C89" s="460">
        <v>1111</v>
      </c>
      <c r="D89" s="460" t="s">
        <v>2372</v>
      </c>
      <c r="E89" s="460" t="s">
        <v>1138</v>
      </c>
      <c r="F89" s="460">
        <v>3</v>
      </c>
      <c r="G89" s="460">
        <v>4</v>
      </c>
      <c r="H89" s="461" t="s">
        <v>752</v>
      </c>
      <c r="I89" s="461" t="s">
        <v>964</v>
      </c>
      <c r="J89" s="461" t="s">
        <v>752</v>
      </c>
      <c r="K89" s="594"/>
      <c r="L89" s="594"/>
      <c r="M89" s="352">
        <v>1000</v>
      </c>
      <c r="N89" s="352" t="s">
        <v>698</v>
      </c>
      <c r="O89" s="460">
        <v>1111</v>
      </c>
      <c r="P89" s="460" t="s">
        <v>699</v>
      </c>
      <c r="Q89" s="460" t="s">
        <v>2266</v>
      </c>
      <c r="R89" s="460">
        <v>1111</v>
      </c>
      <c r="S89" s="460" t="s">
        <v>1138</v>
      </c>
      <c r="T89" s="462">
        <v>1</v>
      </c>
      <c r="U89" s="460" t="s">
        <v>1138</v>
      </c>
      <c r="V89" s="475">
        <v>0</v>
      </c>
      <c r="W89" s="463" t="s">
        <v>2267</v>
      </c>
      <c r="X89" s="463" t="s">
        <v>2267</v>
      </c>
      <c r="Y89" s="463" t="s">
        <v>2267</v>
      </c>
      <c r="Z89" s="463"/>
      <c r="AA89" s="463"/>
      <c r="AB89" s="464">
        <v>3039.379886008835</v>
      </c>
      <c r="AC89" s="465">
        <v>0.57382056046897301</v>
      </c>
      <c r="AD89" s="465">
        <v>0.52497216413929604</v>
      </c>
      <c r="AE89" s="476">
        <v>3039.379886008835</v>
      </c>
      <c r="AF89" s="467">
        <v>0.57382056046897301</v>
      </c>
      <c r="AG89" s="468">
        <v>0.52497216413929604</v>
      </c>
      <c r="AH89" s="218">
        <v>3039.379886008835</v>
      </c>
      <c r="AI89" s="470">
        <v>0.57382056046897301</v>
      </c>
      <c r="AJ89" s="471">
        <v>0.50424270666232174</v>
      </c>
      <c r="AK89" s="218">
        <v>3039.379886008835</v>
      </c>
      <c r="AL89" s="470">
        <v>0.57382056046897301</v>
      </c>
      <c r="AM89" s="471">
        <v>0.50424270666232174</v>
      </c>
      <c r="AN89" s="477">
        <v>3039.379886008835</v>
      </c>
      <c r="AO89" s="473">
        <v>0.57382056046897301</v>
      </c>
      <c r="AP89" s="474">
        <v>0.50424270666232174</v>
      </c>
      <c r="AQ89" s="352"/>
      <c r="AR89" s="352"/>
      <c r="AS89" s="352"/>
      <c r="AT89" s="352"/>
      <c r="AU89" s="352"/>
      <c r="AV89" s="352"/>
      <c r="AW89" s="352" t="s">
        <v>254</v>
      </c>
    </row>
    <row r="90" spans="2:49" x14ac:dyDescent="0.2">
      <c r="B90" s="460" t="s">
        <v>2356</v>
      </c>
      <c r="C90" s="460">
        <v>1111</v>
      </c>
      <c r="D90" s="460" t="s">
        <v>2373</v>
      </c>
      <c r="E90" s="460" t="s">
        <v>1139</v>
      </c>
      <c r="F90" s="460">
        <v>4</v>
      </c>
      <c r="G90" s="460">
        <v>4</v>
      </c>
      <c r="H90" s="461" t="s">
        <v>752</v>
      </c>
      <c r="I90" s="461" t="s">
        <v>964</v>
      </c>
      <c r="J90" s="461" t="s">
        <v>752</v>
      </c>
      <c r="K90" s="594"/>
      <c r="L90" s="594"/>
      <c r="M90" s="352">
        <v>1000</v>
      </c>
      <c r="N90" s="352" t="s">
        <v>698</v>
      </c>
      <c r="O90" s="460">
        <v>1111</v>
      </c>
      <c r="P90" s="460" t="s">
        <v>699</v>
      </c>
      <c r="Q90" s="460" t="s">
        <v>2266</v>
      </c>
      <c r="R90" s="460">
        <v>1111</v>
      </c>
      <c r="S90" s="460" t="s">
        <v>1139</v>
      </c>
      <c r="T90" s="462">
        <v>1</v>
      </c>
      <c r="U90" s="460" t="s">
        <v>1139</v>
      </c>
      <c r="V90" s="475">
        <v>0</v>
      </c>
      <c r="W90" s="463" t="s">
        <v>2267</v>
      </c>
      <c r="X90" s="463" t="s">
        <v>2267</v>
      </c>
      <c r="Y90" s="463" t="s">
        <v>2267</v>
      </c>
      <c r="Z90" s="463"/>
      <c r="AA90" s="463"/>
      <c r="AB90" s="464">
        <v>10430.890581885489</v>
      </c>
      <c r="AC90" s="465">
        <v>0.83919033475741767</v>
      </c>
      <c r="AD90" s="465">
        <v>0.41585116176301895</v>
      </c>
      <c r="AE90" s="476">
        <v>10430.890581885489</v>
      </c>
      <c r="AF90" s="467">
        <v>0.83919033475741767</v>
      </c>
      <c r="AG90" s="468">
        <v>0.41585116176301895</v>
      </c>
      <c r="AH90" s="218">
        <v>10430.890581885489</v>
      </c>
      <c r="AI90" s="470">
        <v>0.83919033475741767</v>
      </c>
      <c r="AJ90" s="471">
        <v>0.38654639416361669</v>
      </c>
      <c r="AK90" s="218">
        <v>10430.890581885489</v>
      </c>
      <c r="AL90" s="470">
        <v>0.83919033475741767</v>
      </c>
      <c r="AM90" s="471">
        <v>0.38654639416361669</v>
      </c>
      <c r="AN90" s="477">
        <v>10430.890581885489</v>
      </c>
      <c r="AO90" s="473">
        <v>0.83919033475741767</v>
      </c>
      <c r="AP90" s="474">
        <v>0.38654639416361669</v>
      </c>
      <c r="AQ90" s="352"/>
      <c r="AR90" s="352"/>
      <c r="AS90" s="352"/>
      <c r="AT90" s="352"/>
      <c r="AU90" s="352"/>
      <c r="AV90" s="352"/>
      <c r="AW90" s="352" t="s">
        <v>254</v>
      </c>
    </row>
    <row r="91" spans="2:49" x14ac:dyDescent="0.2">
      <c r="B91" s="460" t="s">
        <v>2374</v>
      </c>
      <c r="C91" s="460">
        <v>1111</v>
      </c>
      <c r="D91" s="460" t="s">
        <v>2375</v>
      </c>
      <c r="E91" s="460" t="s">
        <v>2376</v>
      </c>
      <c r="F91" s="460">
        <v>1</v>
      </c>
      <c r="G91" s="460">
        <v>5</v>
      </c>
      <c r="H91" s="461" t="s">
        <v>754</v>
      </c>
      <c r="I91" s="461" t="s">
        <v>1991</v>
      </c>
      <c r="J91" s="461" t="s">
        <v>754</v>
      </c>
      <c r="K91" s="594"/>
      <c r="L91" s="594"/>
      <c r="M91" s="352">
        <v>1000</v>
      </c>
      <c r="N91" s="352" t="s">
        <v>698</v>
      </c>
      <c r="O91" s="460">
        <v>1111</v>
      </c>
      <c r="P91" s="460" t="s">
        <v>699</v>
      </c>
      <c r="Q91" s="460" t="s">
        <v>2377</v>
      </c>
      <c r="R91" s="460">
        <v>1111</v>
      </c>
      <c r="S91" s="460" t="s">
        <v>2376</v>
      </c>
      <c r="T91" s="462">
        <v>1</v>
      </c>
      <c r="U91" s="460" t="s">
        <v>2376</v>
      </c>
      <c r="V91" s="475">
        <v>0</v>
      </c>
      <c r="W91" s="463" t="s">
        <v>2278</v>
      </c>
      <c r="X91" s="463" t="s">
        <v>2278</v>
      </c>
      <c r="Y91" s="463" t="s">
        <v>2278</v>
      </c>
      <c r="Z91" s="463"/>
      <c r="AA91" s="463"/>
      <c r="AB91" s="464">
        <v>121932.76842668255</v>
      </c>
      <c r="AC91" s="465">
        <v>1</v>
      </c>
      <c r="AD91" s="465">
        <v>0.20498176680823738</v>
      </c>
      <c r="AE91" s="476">
        <v>121932.76842668255</v>
      </c>
      <c r="AF91" s="467">
        <v>1</v>
      </c>
      <c r="AG91" s="468">
        <v>0.20498176680823738</v>
      </c>
      <c r="AH91" s="218">
        <v>121932.76842668255</v>
      </c>
      <c r="AI91" s="470">
        <v>1</v>
      </c>
      <c r="AJ91" s="471">
        <v>0.20498176680823738</v>
      </c>
      <c r="AK91" s="218">
        <v>121932.76842668255</v>
      </c>
      <c r="AL91" s="470">
        <v>1</v>
      </c>
      <c r="AM91" s="471">
        <v>0.20498176680823738</v>
      </c>
      <c r="AN91" s="477">
        <v>121932.76842668255</v>
      </c>
      <c r="AO91" s="473">
        <v>1</v>
      </c>
      <c r="AP91" s="474">
        <v>0.20498176680823738</v>
      </c>
      <c r="AQ91" s="352"/>
      <c r="AR91" s="352"/>
      <c r="AS91" s="352"/>
      <c r="AT91" s="352"/>
      <c r="AU91" s="352"/>
      <c r="AV91" s="352"/>
      <c r="AW91" s="352" t="s">
        <v>127</v>
      </c>
    </row>
    <row r="92" spans="2:49" x14ac:dyDescent="0.2">
      <c r="B92" s="460" t="s">
        <v>2378</v>
      </c>
      <c r="C92" s="460">
        <v>1111</v>
      </c>
      <c r="D92" s="460" t="s">
        <v>2379</v>
      </c>
      <c r="E92" s="460" t="s">
        <v>2380</v>
      </c>
      <c r="F92" s="460">
        <v>2</v>
      </c>
      <c r="G92" s="460">
        <v>5</v>
      </c>
      <c r="H92" s="461" t="s">
        <v>754</v>
      </c>
      <c r="I92" s="461" t="s">
        <v>1991</v>
      </c>
      <c r="J92" s="461" t="s">
        <v>754</v>
      </c>
      <c r="K92" s="594"/>
      <c r="L92" s="594"/>
      <c r="M92" s="352">
        <v>1000</v>
      </c>
      <c r="N92" s="352" t="s">
        <v>698</v>
      </c>
      <c r="O92" s="460">
        <v>1111</v>
      </c>
      <c r="P92" s="460" t="s">
        <v>699</v>
      </c>
      <c r="Q92" s="460" t="s">
        <v>2377</v>
      </c>
      <c r="R92" s="460">
        <v>1111</v>
      </c>
      <c r="S92" s="460" t="s">
        <v>2380</v>
      </c>
      <c r="T92" s="462">
        <v>1</v>
      </c>
      <c r="U92" s="460" t="s">
        <v>2380</v>
      </c>
      <c r="V92" s="475">
        <v>0</v>
      </c>
      <c r="W92" s="463" t="s">
        <v>2278</v>
      </c>
      <c r="X92" s="463" t="s">
        <v>2278</v>
      </c>
      <c r="Y92" s="463" t="s">
        <v>2278</v>
      </c>
      <c r="Z92" s="463"/>
      <c r="AA92" s="463"/>
      <c r="AB92" s="464">
        <v>92484.552422360779</v>
      </c>
      <c r="AC92" s="465">
        <v>1</v>
      </c>
      <c r="AD92" s="465">
        <v>0.18212092284019121</v>
      </c>
      <c r="AE92" s="476">
        <v>92484.552422360779</v>
      </c>
      <c r="AF92" s="467">
        <v>1</v>
      </c>
      <c r="AG92" s="468">
        <v>0.18212092284019121</v>
      </c>
      <c r="AH92" s="218">
        <v>92484.552422360779</v>
      </c>
      <c r="AI92" s="470">
        <v>1</v>
      </c>
      <c r="AJ92" s="471">
        <v>0.18212092284019121</v>
      </c>
      <c r="AK92" s="218">
        <v>92484.552422360779</v>
      </c>
      <c r="AL92" s="470">
        <v>1</v>
      </c>
      <c r="AM92" s="471">
        <v>0.18212092284019121</v>
      </c>
      <c r="AN92" s="477">
        <v>92484.552422360779</v>
      </c>
      <c r="AO92" s="473">
        <v>1</v>
      </c>
      <c r="AP92" s="474">
        <v>0.18212092284019121</v>
      </c>
      <c r="AQ92" s="352"/>
      <c r="AR92" s="352"/>
      <c r="AS92" s="352"/>
      <c r="AT92" s="352"/>
      <c r="AU92" s="352"/>
      <c r="AV92" s="352"/>
      <c r="AW92" s="352" t="s">
        <v>127</v>
      </c>
    </row>
    <row r="93" spans="2:49" x14ac:dyDescent="0.2">
      <c r="B93" s="460" t="s">
        <v>2381</v>
      </c>
      <c r="C93" s="460">
        <v>1111</v>
      </c>
      <c r="D93" s="460" t="s">
        <v>2382</v>
      </c>
      <c r="E93" s="460" t="s">
        <v>2383</v>
      </c>
      <c r="F93" s="460">
        <v>3</v>
      </c>
      <c r="G93" s="460">
        <v>5</v>
      </c>
      <c r="H93" s="461" t="s">
        <v>754</v>
      </c>
      <c r="I93" s="461" t="s">
        <v>1991</v>
      </c>
      <c r="J93" s="461" t="s">
        <v>754</v>
      </c>
      <c r="K93" s="594"/>
      <c r="L93" s="594"/>
      <c r="M93" s="352">
        <v>1000</v>
      </c>
      <c r="N93" s="352" t="s">
        <v>698</v>
      </c>
      <c r="O93" s="460">
        <v>1111</v>
      </c>
      <c r="P93" s="460" t="s">
        <v>699</v>
      </c>
      <c r="Q93" s="460" t="s">
        <v>2377</v>
      </c>
      <c r="R93" s="460">
        <v>1111</v>
      </c>
      <c r="S93" s="460" t="s">
        <v>2383</v>
      </c>
      <c r="T93" s="462">
        <v>1</v>
      </c>
      <c r="U93" s="460" t="s">
        <v>2383</v>
      </c>
      <c r="V93" s="475">
        <v>0</v>
      </c>
      <c r="W93" s="463" t="s">
        <v>2278</v>
      </c>
      <c r="X93" s="463" t="s">
        <v>2278</v>
      </c>
      <c r="Y93" s="463" t="s">
        <v>2278</v>
      </c>
      <c r="Z93" s="463"/>
      <c r="AA93" s="463"/>
      <c r="AB93" s="464">
        <v>24757.914703070124</v>
      </c>
      <c r="AC93" s="465">
        <v>1</v>
      </c>
      <c r="AD93" s="465">
        <v>0.22006463972292253</v>
      </c>
      <c r="AE93" s="476">
        <v>24757.914703070124</v>
      </c>
      <c r="AF93" s="467">
        <v>1</v>
      </c>
      <c r="AG93" s="468">
        <v>0.22006463972292253</v>
      </c>
      <c r="AH93" s="218">
        <v>24757.914703070124</v>
      </c>
      <c r="AI93" s="470">
        <v>1</v>
      </c>
      <c r="AJ93" s="471">
        <v>0.22006463972292253</v>
      </c>
      <c r="AK93" s="218">
        <v>24757.914703070124</v>
      </c>
      <c r="AL93" s="470">
        <v>1</v>
      </c>
      <c r="AM93" s="471">
        <v>0.22006463972292253</v>
      </c>
      <c r="AN93" s="477">
        <v>24757.914703070124</v>
      </c>
      <c r="AO93" s="473">
        <v>1</v>
      </c>
      <c r="AP93" s="474">
        <v>0.22006463972292253</v>
      </c>
      <c r="AQ93" s="352"/>
      <c r="AR93" s="352"/>
      <c r="AS93" s="352"/>
      <c r="AT93" s="352"/>
      <c r="AU93" s="352"/>
      <c r="AV93" s="352"/>
      <c r="AW93" s="352" t="s">
        <v>127</v>
      </c>
    </row>
    <row r="94" spans="2:49" x14ac:dyDescent="0.2">
      <c r="B94" s="460" t="s">
        <v>2384</v>
      </c>
      <c r="C94" s="460">
        <v>1111</v>
      </c>
      <c r="D94" s="460" t="s">
        <v>2385</v>
      </c>
      <c r="E94" s="460" t="s">
        <v>2386</v>
      </c>
      <c r="F94" s="460">
        <v>4</v>
      </c>
      <c r="G94" s="460">
        <v>5</v>
      </c>
      <c r="H94" s="461" t="s">
        <v>754</v>
      </c>
      <c r="I94" s="461" t="s">
        <v>1991</v>
      </c>
      <c r="J94" s="461" t="s">
        <v>754</v>
      </c>
      <c r="K94" s="594"/>
      <c r="L94" s="594"/>
      <c r="M94" s="352">
        <v>1000</v>
      </c>
      <c r="N94" s="352" t="s">
        <v>698</v>
      </c>
      <c r="O94" s="460">
        <v>1111</v>
      </c>
      <c r="P94" s="460" t="s">
        <v>699</v>
      </c>
      <c r="Q94" s="460" t="s">
        <v>2377</v>
      </c>
      <c r="R94" s="460">
        <v>1111</v>
      </c>
      <c r="S94" s="460" t="s">
        <v>2386</v>
      </c>
      <c r="T94" s="462">
        <v>1</v>
      </c>
      <c r="U94" s="460" t="s">
        <v>2386</v>
      </c>
      <c r="V94" s="475">
        <v>0</v>
      </c>
      <c r="W94" s="463" t="s">
        <v>2278</v>
      </c>
      <c r="X94" s="463" t="s">
        <v>2278</v>
      </c>
      <c r="Y94" s="463" t="s">
        <v>2278</v>
      </c>
      <c r="Z94" s="463"/>
      <c r="AA94" s="463"/>
      <c r="AB94" s="464">
        <v>38519.744026629196</v>
      </c>
      <c r="AC94" s="465">
        <v>1</v>
      </c>
      <c r="AD94" s="465">
        <v>0.71456965966161945</v>
      </c>
      <c r="AE94" s="476">
        <v>38519.744026629196</v>
      </c>
      <c r="AF94" s="467">
        <v>1</v>
      </c>
      <c r="AG94" s="468">
        <v>0.71456965966161945</v>
      </c>
      <c r="AH94" s="218">
        <v>38519.744026629196</v>
      </c>
      <c r="AI94" s="470">
        <v>1</v>
      </c>
      <c r="AJ94" s="471">
        <v>0.71456965966161945</v>
      </c>
      <c r="AK94" s="218">
        <v>38519.744026629196</v>
      </c>
      <c r="AL94" s="470">
        <v>1</v>
      </c>
      <c r="AM94" s="471">
        <v>0.71456965966161945</v>
      </c>
      <c r="AN94" s="477">
        <v>38519.744026629196</v>
      </c>
      <c r="AO94" s="473">
        <v>1</v>
      </c>
      <c r="AP94" s="474">
        <v>0.71456965966161945</v>
      </c>
      <c r="AQ94" s="352"/>
      <c r="AR94" s="352"/>
      <c r="AS94" s="352"/>
      <c r="AT94" s="352"/>
      <c r="AU94" s="352"/>
      <c r="AV94" s="352"/>
      <c r="AW94" s="352" t="s">
        <v>127</v>
      </c>
    </row>
    <row r="95" spans="2:49" x14ac:dyDescent="0.2">
      <c r="B95" s="460" t="s">
        <v>2387</v>
      </c>
      <c r="C95" s="460">
        <v>1111</v>
      </c>
      <c r="D95" s="460" t="s">
        <v>2388</v>
      </c>
      <c r="E95" s="460" t="s">
        <v>2389</v>
      </c>
      <c r="F95" s="460">
        <v>1</v>
      </c>
      <c r="G95" s="460">
        <v>6</v>
      </c>
      <c r="H95" s="461" t="s">
        <v>754</v>
      </c>
      <c r="I95" s="461" t="s">
        <v>1991</v>
      </c>
      <c r="J95" s="461" t="s">
        <v>754</v>
      </c>
      <c r="K95" s="594"/>
      <c r="L95" s="594"/>
      <c r="M95" s="352">
        <v>1000</v>
      </c>
      <c r="N95" s="352" t="s">
        <v>698</v>
      </c>
      <c r="O95" s="460">
        <v>1111</v>
      </c>
      <c r="P95" s="460" t="s">
        <v>699</v>
      </c>
      <c r="Q95" s="460" t="s">
        <v>2377</v>
      </c>
      <c r="R95" s="460">
        <v>1111</v>
      </c>
      <c r="S95" s="460" t="s">
        <v>2389</v>
      </c>
      <c r="T95" s="462">
        <v>1</v>
      </c>
      <c r="U95" s="460" t="s">
        <v>2389</v>
      </c>
      <c r="V95" s="475">
        <v>0</v>
      </c>
      <c r="W95" s="463" t="s">
        <v>2278</v>
      </c>
      <c r="X95" s="463" t="s">
        <v>2278</v>
      </c>
      <c r="Y95" s="463" t="s">
        <v>2278</v>
      </c>
      <c r="Z95" s="463"/>
      <c r="AA95" s="463"/>
      <c r="AB95" s="464">
        <v>98.278075663532604</v>
      </c>
      <c r="AC95" s="465">
        <v>1</v>
      </c>
      <c r="AD95" s="465">
        <v>3.2855822124289273E-3</v>
      </c>
      <c r="AE95" s="476">
        <v>98.278075663532604</v>
      </c>
      <c r="AF95" s="467">
        <v>1</v>
      </c>
      <c r="AG95" s="468">
        <v>3.2855822124289273E-3</v>
      </c>
      <c r="AH95" s="218">
        <v>98.278075663532604</v>
      </c>
      <c r="AI95" s="470">
        <v>1</v>
      </c>
      <c r="AJ95" s="471">
        <v>3.2855822124289273E-3</v>
      </c>
      <c r="AK95" s="218">
        <v>98.278075663532604</v>
      </c>
      <c r="AL95" s="470">
        <v>1</v>
      </c>
      <c r="AM95" s="471">
        <v>3.2855822124289273E-3</v>
      </c>
      <c r="AN95" s="477">
        <v>98.278075663532604</v>
      </c>
      <c r="AO95" s="473">
        <v>1</v>
      </c>
      <c r="AP95" s="474">
        <v>3.2855822124289273E-3</v>
      </c>
      <c r="AQ95" s="352"/>
      <c r="AR95" s="352"/>
      <c r="AS95" s="352"/>
      <c r="AT95" s="352"/>
      <c r="AU95" s="352"/>
      <c r="AV95" s="352"/>
      <c r="AW95" s="352" t="s">
        <v>127</v>
      </c>
    </row>
    <row r="96" spans="2:49" x14ac:dyDescent="0.2">
      <c r="B96" s="460" t="s">
        <v>2390</v>
      </c>
      <c r="C96" s="460">
        <v>1111</v>
      </c>
      <c r="D96" s="460" t="s">
        <v>2391</v>
      </c>
      <c r="E96" s="460" t="s">
        <v>2392</v>
      </c>
      <c r="F96" s="460">
        <v>2</v>
      </c>
      <c r="G96" s="460">
        <v>6</v>
      </c>
      <c r="H96" s="461" t="s">
        <v>754</v>
      </c>
      <c r="I96" s="461" t="s">
        <v>1991</v>
      </c>
      <c r="J96" s="461" t="s">
        <v>754</v>
      </c>
      <c r="K96" s="594"/>
      <c r="L96" s="594"/>
      <c r="M96" s="352">
        <v>1000</v>
      </c>
      <c r="N96" s="352" t="s">
        <v>698</v>
      </c>
      <c r="O96" s="460">
        <v>1111</v>
      </c>
      <c r="P96" s="460" t="s">
        <v>699</v>
      </c>
      <c r="Q96" s="460" t="s">
        <v>2377</v>
      </c>
      <c r="R96" s="460">
        <v>1111</v>
      </c>
      <c r="S96" s="460" t="s">
        <v>2392</v>
      </c>
      <c r="T96" s="462">
        <v>1</v>
      </c>
      <c r="U96" s="460" t="s">
        <v>2392</v>
      </c>
      <c r="V96" s="475">
        <v>0</v>
      </c>
      <c r="W96" s="463" t="s">
        <v>2278</v>
      </c>
      <c r="X96" s="463" t="s">
        <v>2278</v>
      </c>
      <c r="Y96" s="463" t="s">
        <v>2278</v>
      </c>
      <c r="Z96" s="463"/>
      <c r="AA96" s="463"/>
      <c r="AB96" s="464">
        <v>75.957115733611573</v>
      </c>
      <c r="AC96" s="465">
        <v>1</v>
      </c>
      <c r="AD96" s="465">
        <v>3.2647328442193262E-3</v>
      </c>
      <c r="AE96" s="476">
        <v>75.957115733611573</v>
      </c>
      <c r="AF96" s="467">
        <v>1</v>
      </c>
      <c r="AG96" s="468">
        <v>3.2647328442193262E-3</v>
      </c>
      <c r="AH96" s="218">
        <v>75.957115733611573</v>
      </c>
      <c r="AI96" s="470">
        <v>1</v>
      </c>
      <c r="AJ96" s="471">
        <v>3.2647328442193262E-3</v>
      </c>
      <c r="AK96" s="218">
        <v>75.957115733611573</v>
      </c>
      <c r="AL96" s="470">
        <v>1</v>
      </c>
      <c r="AM96" s="471">
        <v>3.2647328442193262E-3</v>
      </c>
      <c r="AN96" s="477">
        <v>75.957115733611573</v>
      </c>
      <c r="AO96" s="473">
        <v>1</v>
      </c>
      <c r="AP96" s="474">
        <v>3.2647328442193262E-3</v>
      </c>
      <c r="AQ96" s="352"/>
      <c r="AR96" s="352"/>
      <c r="AS96" s="352"/>
      <c r="AT96" s="352"/>
      <c r="AU96" s="352"/>
      <c r="AV96" s="352"/>
      <c r="AW96" s="352" t="s">
        <v>127</v>
      </c>
    </row>
    <row r="97" spans="2:49" x14ac:dyDescent="0.2">
      <c r="B97" s="460" t="s">
        <v>2393</v>
      </c>
      <c r="C97" s="460">
        <v>1111</v>
      </c>
      <c r="D97" s="460" t="s">
        <v>2394</v>
      </c>
      <c r="E97" s="460" t="s">
        <v>2395</v>
      </c>
      <c r="F97" s="460">
        <v>3</v>
      </c>
      <c r="G97" s="460">
        <v>6</v>
      </c>
      <c r="H97" s="461" t="s">
        <v>754</v>
      </c>
      <c r="I97" s="461" t="s">
        <v>1991</v>
      </c>
      <c r="J97" s="461" t="s">
        <v>754</v>
      </c>
      <c r="K97" s="594"/>
      <c r="L97" s="594"/>
      <c r="M97" s="352">
        <v>1000</v>
      </c>
      <c r="N97" s="352" t="s">
        <v>698</v>
      </c>
      <c r="O97" s="460">
        <v>1111</v>
      </c>
      <c r="P97" s="460" t="s">
        <v>699</v>
      </c>
      <c r="Q97" s="460" t="s">
        <v>2377</v>
      </c>
      <c r="R97" s="460">
        <v>1111</v>
      </c>
      <c r="S97" s="460" t="s">
        <v>2395</v>
      </c>
      <c r="T97" s="462">
        <v>1</v>
      </c>
      <c r="U97" s="460" t="s">
        <v>2395</v>
      </c>
      <c r="V97" s="475">
        <v>0</v>
      </c>
      <c r="W97" s="463" t="s">
        <v>2278</v>
      </c>
      <c r="X97" s="463" t="s">
        <v>2278</v>
      </c>
      <c r="Y97" s="463" t="s">
        <v>2278</v>
      </c>
      <c r="Z97" s="463"/>
      <c r="AA97" s="463"/>
      <c r="AB97" s="464">
        <v>35.705717064045309</v>
      </c>
      <c r="AC97" s="465">
        <v>1</v>
      </c>
      <c r="AD97" s="465">
        <v>3.3907215941513485E-3</v>
      </c>
      <c r="AE97" s="476">
        <v>35.705717064045309</v>
      </c>
      <c r="AF97" s="467">
        <v>1</v>
      </c>
      <c r="AG97" s="468">
        <v>3.3907215941513485E-3</v>
      </c>
      <c r="AH97" s="218">
        <v>35.705717064045309</v>
      </c>
      <c r="AI97" s="470">
        <v>1</v>
      </c>
      <c r="AJ97" s="471">
        <v>3.3907215941513485E-3</v>
      </c>
      <c r="AK97" s="218">
        <v>35.705717064045309</v>
      </c>
      <c r="AL97" s="470">
        <v>1</v>
      </c>
      <c r="AM97" s="471">
        <v>3.3907215941513485E-3</v>
      </c>
      <c r="AN97" s="477">
        <v>35.705717064045309</v>
      </c>
      <c r="AO97" s="473">
        <v>1</v>
      </c>
      <c r="AP97" s="474">
        <v>3.3907215941513485E-3</v>
      </c>
      <c r="AQ97" s="352"/>
      <c r="AR97" s="352"/>
      <c r="AS97" s="352"/>
      <c r="AT97" s="352"/>
      <c r="AU97" s="352"/>
      <c r="AV97" s="352"/>
      <c r="AW97" s="352" t="s">
        <v>127</v>
      </c>
    </row>
    <row r="98" spans="2:49" x14ac:dyDescent="0.2">
      <c r="B98" s="460" t="s">
        <v>2396</v>
      </c>
      <c r="C98" s="460">
        <v>1111</v>
      </c>
      <c r="D98" s="460" t="s">
        <v>2397</v>
      </c>
      <c r="E98" s="460" t="s">
        <v>2398</v>
      </c>
      <c r="F98" s="460">
        <v>4</v>
      </c>
      <c r="G98" s="460">
        <v>6</v>
      </c>
      <c r="H98" s="461" t="s">
        <v>754</v>
      </c>
      <c r="I98" s="461" t="s">
        <v>1991</v>
      </c>
      <c r="J98" s="461" t="s">
        <v>754</v>
      </c>
      <c r="K98" s="594"/>
      <c r="L98" s="594"/>
      <c r="M98" s="352">
        <v>1000</v>
      </c>
      <c r="N98" s="352" t="s">
        <v>698</v>
      </c>
      <c r="O98" s="460">
        <v>1111</v>
      </c>
      <c r="P98" s="460" t="s">
        <v>699</v>
      </c>
      <c r="Q98" s="460" t="s">
        <v>2377</v>
      </c>
      <c r="R98" s="460">
        <v>1111</v>
      </c>
      <c r="S98" s="460" t="s">
        <v>2398</v>
      </c>
      <c r="T98" s="462">
        <v>1</v>
      </c>
      <c r="U98" s="460" t="s">
        <v>2398</v>
      </c>
      <c r="V98" s="475">
        <v>0</v>
      </c>
      <c r="W98" s="463" t="s">
        <v>2278</v>
      </c>
      <c r="X98" s="463" t="s">
        <v>2278</v>
      </c>
      <c r="Y98" s="463" t="s">
        <v>2278</v>
      </c>
      <c r="Z98" s="463"/>
      <c r="AA98" s="463"/>
      <c r="AB98" s="464">
        <v>39.959719603437954</v>
      </c>
      <c r="AC98" s="465">
        <v>1</v>
      </c>
      <c r="AD98" s="465">
        <v>3.1704139621731228E-3</v>
      </c>
      <c r="AE98" s="476">
        <v>39.959719603437954</v>
      </c>
      <c r="AF98" s="467">
        <v>1</v>
      </c>
      <c r="AG98" s="468">
        <v>3.1704139621731228E-3</v>
      </c>
      <c r="AH98" s="218">
        <v>39.959719603437954</v>
      </c>
      <c r="AI98" s="470">
        <v>1</v>
      </c>
      <c r="AJ98" s="471">
        <v>3.1704139621731228E-3</v>
      </c>
      <c r="AK98" s="218">
        <v>39.959719603437954</v>
      </c>
      <c r="AL98" s="470">
        <v>1</v>
      </c>
      <c r="AM98" s="471">
        <v>3.1704139621731228E-3</v>
      </c>
      <c r="AN98" s="477">
        <v>39.959719603437954</v>
      </c>
      <c r="AO98" s="473">
        <v>1</v>
      </c>
      <c r="AP98" s="474">
        <v>3.1704139621731228E-3</v>
      </c>
      <c r="AQ98" s="352"/>
      <c r="AR98" s="352"/>
      <c r="AS98" s="352"/>
      <c r="AT98" s="352"/>
      <c r="AU98" s="352"/>
      <c r="AV98" s="352"/>
      <c r="AW98" s="352" t="s">
        <v>127</v>
      </c>
    </row>
    <row r="99" spans="2:49" x14ac:dyDescent="0.2">
      <c r="B99" s="460" t="s">
        <v>2399</v>
      </c>
      <c r="C99" s="460">
        <v>1211</v>
      </c>
      <c r="D99" s="460" t="s">
        <v>2264</v>
      </c>
      <c r="E99" s="460" t="s">
        <v>2265</v>
      </c>
      <c r="F99" s="460">
        <v>1</v>
      </c>
      <c r="G99" s="460">
        <v>1</v>
      </c>
      <c r="H99" s="461" t="s">
        <v>700</v>
      </c>
      <c r="I99" s="461" t="s">
        <v>872</v>
      </c>
      <c r="J99" s="461" t="s">
        <v>700</v>
      </c>
      <c r="K99" s="594"/>
      <c r="L99" s="594"/>
      <c r="M99" s="352">
        <v>1000</v>
      </c>
      <c r="N99" s="352" t="s">
        <v>698</v>
      </c>
      <c r="O99" s="460">
        <v>1211</v>
      </c>
      <c r="P99" s="460" t="s">
        <v>705</v>
      </c>
      <c r="Q99" s="460" t="s">
        <v>2266</v>
      </c>
      <c r="R99" s="460">
        <v>1211</v>
      </c>
      <c r="S99" s="460" t="s">
        <v>2265</v>
      </c>
      <c r="T99" s="462">
        <v>1</v>
      </c>
      <c r="U99" s="460" t="s">
        <v>2265</v>
      </c>
      <c r="V99" s="475">
        <v>0</v>
      </c>
      <c r="W99" s="463" t="s">
        <v>2267</v>
      </c>
      <c r="X99" s="463" t="s">
        <v>2267</v>
      </c>
      <c r="Y99" s="463" t="s">
        <v>2268</v>
      </c>
      <c r="Z99" s="463"/>
      <c r="AA99" s="463"/>
      <c r="AB99" s="464">
        <v>13777.773343901528</v>
      </c>
      <c r="AC99" s="465">
        <v>0.93611435234548768</v>
      </c>
      <c r="AD99" s="465">
        <v>0.12776728811896407</v>
      </c>
      <c r="AE99" s="476">
        <v>13777.773343901528</v>
      </c>
      <c r="AF99" s="467">
        <v>0.93611435234548768</v>
      </c>
      <c r="AG99" s="468">
        <v>0.13648220411214981</v>
      </c>
      <c r="AH99" s="218">
        <v>13777.773343901528</v>
      </c>
      <c r="AI99" s="470">
        <v>0.93611435234548768</v>
      </c>
      <c r="AJ99" s="471">
        <v>0.13137574216296316</v>
      </c>
      <c r="AK99" s="218">
        <v>13777.773343901528</v>
      </c>
      <c r="AL99" s="470">
        <v>0.93611435234548768</v>
      </c>
      <c r="AM99" s="471">
        <v>0.13137574216296316</v>
      </c>
      <c r="AN99" s="477">
        <v>0</v>
      </c>
      <c r="AO99" s="473">
        <v>0</v>
      </c>
      <c r="AP99" s="474">
        <v>0</v>
      </c>
      <c r="AQ99" s="352"/>
      <c r="AR99" s="352"/>
      <c r="AS99" s="352"/>
      <c r="AT99" s="352"/>
      <c r="AU99" s="352"/>
      <c r="AV99" s="352"/>
      <c r="AW99" s="352" t="s">
        <v>254</v>
      </c>
    </row>
    <row r="100" spans="2:49" x14ac:dyDescent="0.2">
      <c r="B100" s="460" t="s">
        <v>2400</v>
      </c>
      <c r="C100" s="460">
        <v>1211</v>
      </c>
      <c r="D100" s="460" t="s">
        <v>2270</v>
      </c>
      <c r="E100" s="460" t="s">
        <v>2271</v>
      </c>
      <c r="F100" s="460">
        <v>2</v>
      </c>
      <c r="G100" s="460">
        <v>1</v>
      </c>
      <c r="H100" s="461" t="s">
        <v>700</v>
      </c>
      <c r="I100" s="461" t="s">
        <v>872</v>
      </c>
      <c r="J100" s="461" t="s">
        <v>700</v>
      </c>
      <c r="K100" s="594"/>
      <c r="L100" s="594"/>
      <c r="M100" s="352">
        <v>1000</v>
      </c>
      <c r="N100" s="352" t="s">
        <v>698</v>
      </c>
      <c r="O100" s="460">
        <v>1211</v>
      </c>
      <c r="P100" s="460" t="s">
        <v>705</v>
      </c>
      <c r="Q100" s="460" t="s">
        <v>2266</v>
      </c>
      <c r="R100" s="460">
        <v>1211</v>
      </c>
      <c r="S100" s="460" t="s">
        <v>2265</v>
      </c>
      <c r="T100" s="462">
        <v>1</v>
      </c>
      <c r="U100" s="460" t="s">
        <v>2271</v>
      </c>
      <c r="V100" s="475">
        <v>0</v>
      </c>
      <c r="W100" s="463" t="s">
        <v>2267</v>
      </c>
      <c r="X100" s="463" t="s">
        <v>2267</v>
      </c>
      <c r="Y100" s="463" t="s">
        <v>2268</v>
      </c>
      <c r="Z100" s="463"/>
      <c r="AA100" s="463"/>
      <c r="AB100" s="464">
        <v>10037.681750989761</v>
      </c>
      <c r="AC100" s="465">
        <v>0.91665546981410184</v>
      </c>
      <c r="AD100" s="465">
        <v>0.12453544061217611</v>
      </c>
      <c r="AE100" s="476">
        <v>10037.681750989761</v>
      </c>
      <c r="AF100" s="467">
        <v>0.91665546981410184</v>
      </c>
      <c r="AG100" s="468">
        <v>0.13495423143097648</v>
      </c>
      <c r="AH100" s="218">
        <v>10250.762975628671</v>
      </c>
      <c r="AI100" s="470">
        <v>0.93611435234548768</v>
      </c>
      <c r="AJ100" s="471">
        <v>0.12102460260777093</v>
      </c>
      <c r="AK100" s="218">
        <v>10250.762975628671</v>
      </c>
      <c r="AL100" s="470">
        <v>0.93611435234548768</v>
      </c>
      <c r="AM100" s="471">
        <v>0.12102460260777093</v>
      </c>
      <c r="AN100" s="477">
        <v>0</v>
      </c>
      <c r="AO100" s="473">
        <v>0</v>
      </c>
      <c r="AP100" s="474">
        <v>0</v>
      </c>
      <c r="AQ100" s="352"/>
      <c r="AR100" s="352"/>
      <c r="AS100" s="352"/>
      <c r="AT100" s="352"/>
      <c r="AU100" s="352"/>
      <c r="AV100" s="352"/>
      <c r="AW100" s="352" t="s">
        <v>254</v>
      </c>
    </row>
    <row r="101" spans="2:49" x14ac:dyDescent="0.2">
      <c r="B101" s="460" t="s">
        <v>2401</v>
      </c>
      <c r="C101" s="460">
        <v>1211</v>
      </c>
      <c r="D101" s="460" t="s">
        <v>2273</v>
      </c>
      <c r="E101" s="460" t="s">
        <v>2274</v>
      </c>
      <c r="F101" s="460">
        <v>3</v>
      </c>
      <c r="G101" s="460">
        <v>1</v>
      </c>
      <c r="H101" s="461" t="s">
        <v>700</v>
      </c>
      <c r="I101" s="461" t="s">
        <v>872</v>
      </c>
      <c r="J101" s="461" t="s">
        <v>700</v>
      </c>
      <c r="K101" s="594"/>
      <c r="L101" s="594"/>
      <c r="M101" s="352">
        <v>1000</v>
      </c>
      <c r="N101" s="352" t="s">
        <v>698</v>
      </c>
      <c r="O101" s="460">
        <v>1211</v>
      </c>
      <c r="P101" s="460" t="s">
        <v>705</v>
      </c>
      <c r="Q101" s="460" t="s">
        <v>2266</v>
      </c>
      <c r="R101" s="460">
        <v>1211</v>
      </c>
      <c r="S101" s="460" t="s">
        <v>2265</v>
      </c>
      <c r="T101" s="462">
        <v>0.74223365950407583</v>
      </c>
      <c r="U101" s="460" t="s">
        <v>2274</v>
      </c>
      <c r="V101" s="475">
        <v>0</v>
      </c>
      <c r="W101" s="463" t="s">
        <v>2267</v>
      </c>
      <c r="X101" s="463" t="s">
        <v>2267</v>
      </c>
      <c r="Y101" s="463" t="s">
        <v>2268</v>
      </c>
      <c r="Z101" s="463"/>
      <c r="AA101" s="463"/>
      <c r="AB101" s="464">
        <v>2545.945560192456</v>
      </c>
      <c r="AC101" s="465">
        <v>0.75049484141781064</v>
      </c>
      <c r="AD101" s="465">
        <v>0.12594705030387926</v>
      </c>
      <c r="AE101" s="476">
        <v>2545.945560192456</v>
      </c>
      <c r="AF101" s="467">
        <v>0.75049484141781064</v>
      </c>
      <c r="AG101" s="468">
        <v>0.13642257649041029</v>
      </c>
      <c r="AH101" s="218">
        <v>2545.945560192456</v>
      </c>
      <c r="AI101" s="470">
        <v>0.75049484141781064</v>
      </c>
      <c r="AJ101" s="471">
        <v>9.8793088016355834E-2</v>
      </c>
      <c r="AK101" s="218">
        <v>2545.945560192456</v>
      </c>
      <c r="AL101" s="470">
        <v>0.75049484141781064</v>
      </c>
      <c r="AM101" s="471">
        <v>9.8793088016355834E-2</v>
      </c>
      <c r="AN101" s="477">
        <v>0</v>
      </c>
      <c r="AO101" s="473">
        <v>0</v>
      </c>
      <c r="AP101" s="474">
        <v>0</v>
      </c>
      <c r="AQ101" s="352"/>
      <c r="AR101" s="352"/>
      <c r="AS101" s="352"/>
      <c r="AT101" s="352"/>
      <c r="AU101" s="352"/>
      <c r="AV101" s="352"/>
      <c r="AW101" s="352" t="s">
        <v>254</v>
      </c>
    </row>
    <row r="102" spans="2:49" x14ac:dyDescent="0.2">
      <c r="B102" s="460" t="s">
        <v>2402</v>
      </c>
      <c r="C102" s="460">
        <v>1211</v>
      </c>
      <c r="D102" s="460" t="s">
        <v>2276</v>
      </c>
      <c r="E102" s="460" t="s">
        <v>2277</v>
      </c>
      <c r="F102" s="460">
        <v>4</v>
      </c>
      <c r="G102" s="460">
        <v>1</v>
      </c>
      <c r="H102" s="461" t="s">
        <v>700</v>
      </c>
      <c r="I102" s="461" t="s">
        <v>872</v>
      </c>
      <c r="J102" s="461" t="s">
        <v>700</v>
      </c>
      <c r="K102" s="594"/>
      <c r="L102" s="594"/>
      <c r="M102" s="352">
        <v>1000</v>
      </c>
      <c r="N102" s="352" t="s">
        <v>698</v>
      </c>
      <c r="O102" s="460">
        <v>1211</v>
      </c>
      <c r="P102" s="460" t="s">
        <v>705</v>
      </c>
      <c r="Q102" s="460" t="s">
        <v>2266</v>
      </c>
      <c r="R102" s="460">
        <v>1211</v>
      </c>
      <c r="S102" s="460" t="s">
        <v>2277</v>
      </c>
      <c r="T102" s="462">
        <v>1</v>
      </c>
      <c r="U102" s="460" t="s">
        <v>2277</v>
      </c>
      <c r="V102" s="475">
        <v>0</v>
      </c>
      <c r="W102" s="463" t="s">
        <v>2278</v>
      </c>
      <c r="X102" s="463" t="s">
        <v>2278</v>
      </c>
      <c r="Y102" s="463" t="s">
        <v>2268</v>
      </c>
      <c r="Z102" s="463"/>
      <c r="AA102" s="463"/>
      <c r="AB102" s="464">
        <v>31.511129998669762</v>
      </c>
      <c r="AC102" s="465">
        <v>3.179183293508938E-2</v>
      </c>
      <c r="AD102" s="465">
        <v>0.12718552885046863</v>
      </c>
      <c r="AE102" s="476">
        <v>31.511129998669762</v>
      </c>
      <c r="AF102" s="467">
        <v>3.179183293508938E-2</v>
      </c>
      <c r="AG102" s="468">
        <v>0.14218671696624979</v>
      </c>
      <c r="AH102" s="218">
        <v>31.511129998669762</v>
      </c>
      <c r="AI102" s="470">
        <v>3.179183293508938E-2</v>
      </c>
      <c r="AJ102" s="471">
        <v>0.13627981347696355</v>
      </c>
      <c r="AK102" s="218">
        <v>31.511129998669762</v>
      </c>
      <c r="AL102" s="470">
        <v>3.179183293508938E-2</v>
      </c>
      <c r="AM102" s="471">
        <v>0.13627981347696355</v>
      </c>
      <c r="AN102" s="477">
        <v>0</v>
      </c>
      <c r="AO102" s="473">
        <v>0</v>
      </c>
      <c r="AP102" s="474">
        <v>0</v>
      </c>
      <c r="AQ102" s="352"/>
      <c r="AR102" s="352"/>
      <c r="AS102" s="352"/>
      <c r="AT102" s="352"/>
      <c r="AU102" s="352"/>
      <c r="AV102" s="352"/>
      <c r="AW102" s="352" t="s">
        <v>254</v>
      </c>
    </row>
    <row r="103" spans="2:49" x14ac:dyDescent="0.2">
      <c r="B103" s="460" t="s">
        <v>2399</v>
      </c>
      <c r="C103" s="460">
        <v>1211</v>
      </c>
      <c r="D103" s="460" t="s">
        <v>2279</v>
      </c>
      <c r="E103" s="460" t="s">
        <v>2265</v>
      </c>
      <c r="F103" s="460">
        <v>1</v>
      </c>
      <c r="G103" s="460">
        <v>1</v>
      </c>
      <c r="H103" s="461" t="s">
        <v>712</v>
      </c>
      <c r="I103" s="461" t="s">
        <v>713</v>
      </c>
      <c r="J103" s="461" t="s">
        <v>712</v>
      </c>
      <c r="K103" s="594"/>
      <c r="L103" s="594"/>
      <c r="M103" s="352">
        <v>1000</v>
      </c>
      <c r="N103" s="352" t="s">
        <v>698</v>
      </c>
      <c r="O103" s="460">
        <v>1211</v>
      </c>
      <c r="P103" s="460" t="s">
        <v>705</v>
      </c>
      <c r="Q103" s="460" t="s">
        <v>2280</v>
      </c>
      <c r="R103" s="460">
        <v>1211</v>
      </c>
      <c r="S103" s="460" t="s">
        <v>2265</v>
      </c>
      <c r="T103" s="462">
        <v>1</v>
      </c>
      <c r="U103" s="460" t="s">
        <v>2265</v>
      </c>
      <c r="V103" s="475">
        <v>0</v>
      </c>
      <c r="W103" s="463" t="s">
        <v>713</v>
      </c>
      <c r="X103" s="463" t="s">
        <v>713</v>
      </c>
      <c r="Y103" s="463" t="s">
        <v>713</v>
      </c>
      <c r="Z103" s="463"/>
      <c r="AA103" s="463"/>
      <c r="AB103" s="464">
        <v>940.27184938125185</v>
      </c>
      <c r="AC103" s="465">
        <v>6.3885647654512281E-2</v>
      </c>
      <c r="AD103" s="465">
        <v>3.4735268205574941E-3</v>
      </c>
      <c r="AE103" s="476">
        <v>940.27184938125242</v>
      </c>
      <c r="AF103" s="467">
        <v>6.3885647654512323E-2</v>
      </c>
      <c r="AG103" s="468">
        <v>3.3873628933850631E-3</v>
      </c>
      <c r="AH103" s="218">
        <v>940.27184938125242</v>
      </c>
      <c r="AI103" s="470">
        <v>6.3885647654512323E-2</v>
      </c>
      <c r="AJ103" s="471">
        <v>3.4359320752046897E-3</v>
      </c>
      <c r="AK103" s="218">
        <v>940.27184938125242</v>
      </c>
      <c r="AL103" s="470">
        <v>6.3885647654512323E-2</v>
      </c>
      <c r="AM103" s="471">
        <v>3.4359320752046897E-3</v>
      </c>
      <c r="AN103" s="477">
        <v>940.27184938125242</v>
      </c>
      <c r="AO103" s="473">
        <v>6.3885647654512323E-2</v>
      </c>
      <c r="AP103" s="474">
        <v>3.4348125107322809E-3</v>
      </c>
      <c r="AQ103" s="352"/>
      <c r="AR103" s="352"/>
      <c r="AS103" s="352"/>
      <c r="AT103" s="352"/>
      <c r="AU103" s="352"/>
      <c r="AV103" s="352"/>
      <c r="AW103" s="352" t="s">
        <v>254</v>
      </c>
    </row>
    <row r="104" spans="2:49" x14ac:dyDescent="0.2">
      <c r="B104" s="460" t="s">
        <v>2400</v>
      </c>
      <c r="C104" s="460">
        <v>1211</v>
      </c>
      <c r="D104" s="460" t="s">
        <v>2281</v>
      </c>
      <c r="E104" s="460" t="s">
        <v>2271</v>
      </c>
      <c r="F104" s="460">
        <v>2</v>
      </c>
      <c r="G104" s="460">
        <v>1</v>
      </c>
      <c r="H104" s="461" t="s">
        <v>712</v>
      </c>
      <c r="I104" s="461" t="s">
        <v>713</v>
      </c>
      <c r="J104" s="461" t="s">
        <v>712</v>
      </c>
      <c r="K104" s="594"/>
      <c r="L104" s="594"/>
      <c r="M104" s="352">
        <v>1000</v>
      </c>
      <c r="N104" s="352" t="s">
        <v>698</v>
      </c>
      <c r="O104" s="460">
        <v>1211</v>
      </c>
      <c r="P104" s="460" t="s">
        <v>705</v>
      </c>
      <c r="Q104" s="460" t="s">
        <v>2280</v>
      </c>
      <c r="R104" s="460">
        <v>1211</v>
      </c>
      <c r="S104" s="460" t="s">
        <v>2265</v>
      </c>
      <c r="T104" s="462">
        <v>1</v>
      </c>
      <c r="U104" s="460" t="s">
        <v>2271</v>
      </c>
      <c r="V104" s="475">
        <v>0</v>
      </c>
      <c r="W104" s="463" t="s">
        <v>713</v>
      </c>
      <c r="X104" s="463" t="s">
        <v>713</v>
      </c>
      <c r="Y104" s="463" t="s">
        <v>713</v>
      </c>
      <c r="Z104" s="463"/>
      <c r="AA104" s="463"/>
      <c r="AB104" s="464">
        <v>912.65027836627019</v>
      </c>
      <c r="AC104" s="465">
        <v>8.3344530185898061E-2</v>
      </c>
      <c r="AD104" s="465">
        <v>3.8111550976219662E-3</v>
      </c>
      <c r="AE104" s="476">
        <v>912.65027836627121</v>
      </c>
      <c r="AF104" s="467">
        <v>8.3344530185898158E-2</v>
      </c>
      <c r="AG104" s="468">
        <v>3.7146302561335775E-3</v>
      </c>
      <c r="AH104" s="218">
        <v>699.56905372736037</v>
      </c>
      <c r="AI104" s="470">
        <v>6.3885647654512323E-2</v>
      </c>
      <c r="AJ104" s="471">
        <v>3.0054504365435793E-3</v>
      </c>
      <c r="AK104" s="218">
        <v>699.56905372736037</v>
      </c>
      <c r="AL104" s="470">
        <v>6.3885647654512323E-2</v>
      </c>
      <c r="AM104" s="471">
        <v>3.0054504365435793E-3</v>
      </c>
      <c r="AN104" s="477">
        <v>699.56905372736037</v>
      </c>
      <c r="AO104" s="473">
        <v>6.3885647654512323E-2</v>
      </c>
      <c r="AP104" s="474">
        <v>3.0043951243019576E-3</v>
      </c>
      <c r="AQ104" s="352"/>
      <c r="AR104" s="352"/>
      <c r="AS104" s="352"/>
      <c r="AT104" s="352"/>
      <c r="AU104" s="352"/>
      <c r="AV104" s="352"/>
      <c r="AW104" s="352" t="s">
        <v>254</v>
      </c>
    </row>
    <row r="105" spans="2:49" x14ac:dyDescent="0.2">
      <c r="B105" s="460" t="s">
        <v>2401</v>
      </c>
      <c r="C105" s="460">
        <v>1211</v>
      </c>
      <c r="D105" s="460" t="s">
        <v>2282</v>
      </c>
      <c r="E105" s="460" t="s">
        <v>2274</v>
      </c>
      <c r="F105" s="460">
        <v>3</v>
      </c>
      <c r="G105" s="460">
        <v>1</v>
      </c>
      <c r="H105" s="461" t="s">
        <v>712</v>
      </c>
      <c r="I105" s="461" t="s">
        <v>713</v>
      </c>
      <c r="J105" s="461" t="s">
        <v>712</v>
      </c>
      <c r="K105" s="594"/>
      <c r="L105" s="594"/>
      <c r="M105" s="352">
        <v>1000</v>
      </c>
      <c r="N105" s="352" t="s">
        <v>698</v>
      </c>
      <c r="O105" s="460">
        <v>1211</v>
      </c>
      <c r="P105" s="460" t="s">
        <v>705</v>
      </c>
      <c r="Q105" s="460" t="s">
        <v>2280</v>
      </c>
      <c r="R105" s="460">
        <v>1211</v>
      </c>
      <c r="S105" s="460" t="s">
        <v>2265</v>
      </c>
      <c r="T105" s="462">
        <v>0.74223365950407583</v>
      </c>
      <c r="U105" s="460" t="s">
        <v>2274</v>
      </c>
      <c r="V105" s="475">
        <v>0</v>
      </c>
      <c r="W105" s="463" t="s">
        <v>713</v>
      </c>
      <c r="X105" s="463" t="s">
        <v>713</v>
      </c>
      <c r="Y105" s="463" t="s">
        <v>713</v>
      </c>
      <c r="Z105" s="463"/>
      <c r="AA105" s="463"/>
      <c r="AB105" s="464">
        <v>846.4102824975987</v>
      </c>
      <c r="AC105" s="465">
        <v>0.24950515858218936</v>
      </c>
      <c r="AD105" s="465">
        <v>5.0659453701251012E-3</v>
      </c>
      <c r="AE105" s="476">
        <v>846.4102824975987</v>
      </c>
      <c r="AF105" s="467">
        <v>0.24950515858218936</v>
      </c>
      <c r="AG105" s="468">
        <v>5.0193143752929169E-3</v>
      </c>
      <c r="AH105" s="218">
        <v>846.4102824975987</v>
      </c>
      <c r="AI105" s="470">
        <v>0.24950515858218936</v>
      </c>
      <c r="AJ105" s="471">
        <v>5.3189867147636601E-3</v>
      </c>
      <c r="AK105" s="218">
        <v>846.4102824975987</v>
      </c>
      <c r="AL105" s="470">
        <v>0.24950515858218936</v>
      </c>
      <c r="AM105" s="471">
        <v>5.3189867147636601E-3</v>
      </c>
      <c r="AN105" s="477">
        <v>846.4102824975987</v>
      </c>
      <c r="AO105" s="473">
        <v>0.24950515858218936</v>
      </c>
      <c r="AP105" s="474">
        <v>5.3573578682120865E-3</v>
      </c>
      <c r="AQ105" s="352"/>
      <c r="AR105" s="352"/>
      <c r="AS105" s="352"/>
      <c r="AT105" s="352"/>
      <c r="AU105" s="352"/>
      <c r="AV105" s="352"/>
      <c r="AW105" s="352" t="s">
        <v>254</v>
      </c>
    </row>
    <row r="106" spans="2:49" x14ac:dyDescent="0.2">
      <c r="B106" s="460" t="s">
        <v>2402</v>
      </c>
      <c r="C106" s="460">
        <v>1211</v>
      </c>
      <c r="D106" s="460" t="s">
        <v>2283</v>
      </c>
      <c r="E106" s="460" t="s">
        <v>2277</v>
      </c>
      <c r="F106" s="460">
        <v>4</v>
      </c>
      <c r="G106" s="460">
        <v>1</v>
      </c>
      <c r="H106" s="461" t="s">
        <v>712</v>
      </c>
      <c r="I106" s="461" t="s">
        <v>713</v>
      </c>
      <c r="J106" s="461" t="s">
        <v>712</v>
      </c>
      <c r="K106" s="594"/>
      <c r="L106" s="594"/>
      <c r="M106" s="352">
        <v>1000</v>
      </c>
      <c r="N106" s="352" t="s">
        <v>698</v>
      </c>
      <c r="O106" s="460">
        <v>1211</v>
      </c>
      <c r="P106" s="460" t="s">
        <v>705</v>
      </c>
      <c r="Q106" s="460" t="s">
        <v>2280</v>
      </c>
      <c r="R106" s="460">
        <v>1211</v>
      </c>
      <c r="S106" s="460" t="s">
        <v>2277</v>
      </c>
      <c r="T106" s="462">
        <v>1</v>
      </c>
      <c r="U106" s="460" t="s">
        <v>2277</v>
      </c>
      <c r="V106" s="475">
        <v>0</v>
      </c>
      <c r="W106" s="463" t="s">
        <v>713</v>
      </c>
      <c r="X106" s="463" t="s">
        <v>713</v>
      </c>
      <c r="Y106" s="463" t="s">
        <v>713</v>
      </c>
      <c r="Z106" s="463"/>
      <c r="AA106" s="463"/>
      <c r="AB106" s="464">
        <v>959.6594660159501</v>
      </c>
      <c r="AC106" s="465">
        <v>0.96820816706491064</v>
      </c>
      <c r="AD106" s="465">
        <v>4.983775389523235E-3</v>
      </c>
      <c r="AE106" s="476">
        <v>959.6594660159501</v>
      </c>
      <c r="AF106" s="467">
        <v>0.96820816706491064</v>
      </c>
      <c r="AG106" s="468">
        <v>4.9830989425967715E-3</v>
      </c>
      <c r="AH106" s="218">
        <v>959.6594660159501</v>
      </c>
      <c r="AI106" s="470">
        <v>0.96820816706491064</v>
      </c>
      <c r="AJ106" s="471">
        <v>4.9833475057944826E-3</v>
      </c>
      <c r="AK106" s="218">
        <v>959.6594660159501</v>
      </c>
      <c r="AL106" s="470">
        <v>0.96820816706491064</v>
      </c>
      <c r="AM106" s="471">
        <v>4.9833475057944826E-3</v>
      </c>
      <c r="AN106" s="477">
        <v>959.6594660159501</v>
      </c>
      <c r="AO106" s="473">
        <v>0.96820816706491064</v>
      </c>
      <c r="AP106" s="474">
        <v>4.9833723548282239E-3</v>
      </c>
      <c r="AQ106" s="352"/>
      <c r="AR106" s="352"/>
      <c r="AS106" s="352"/>
      <c r="AT106" s="352"/>
      <c r="AU106" s="352"/>
      <c r="AV106" s="352"/>
      <c r="AW106" s="352" t="s">
        <v>254</v>
      </c>
    </row>
    <row r="107" spans="2:49" x14ac:dyDescent="0.2">
      <c r="B107" s="460" t="s">
        <v>2399</v>
      </c>
      <c r="C107" s="460">
        <v>1211</v>
      </c>
      <c r="D107" s="460" t="s">
        <v>2284</v>
      </c>
      <c r="E107" s="460" t="s">
        <v>2265</v>
      </c>
      <c r="F107" s="460">
        <v>1</v>
      </c>
      <c r="G107" s="460">
        <v>1</v>
      </c>
      <c r="H107" s="461" t="s">
        <v>746</v>
      </c>
      <c r="I107" s="461" t="s">
        <v>762</v>
      </c>
      <c r="J107" s="461" t="s">
        <v>700</v>
      </c>
      <c r="K107" s="594"/>
      <c r="L107" s="594"/>
      <c r="M107" s="352">
        <v>1000</v>
      </c>
      <c r="N107" s="352" t="s">
        <v>698</v>
      </c>
      <c r="O107" s="460">
        <v>1211</v>
      </c>
      <c r="P107" s="460" t="s">
        <v>705</v>
      </c>
      <c r="Q107" s="460" t="s">
        <v>2266</v>
      </c>
      <c r="R107" s="460">
        <v>1211</v>
      </c>
      <c r="S107" s="460" t="s">
        <v>2265</v>
      </c>
      <c r="T107" s="462">
        <v>1</v>
      </c>
      <c r="U107" s="460" t="s">
        <v>2265</v>
      </c>
      <c r="V107" s="475">
        <v>0</v>
      </c>
      <c r="W107" s="463" t="s">
        <v>2268</v>
      </c>
      <c r="X107" s="463" t="s">
        <v>2268</v>
      </c>
      <c r="Y107" s="463" t="s">
        <v>2267</v>
      </c>
      <c r="Z107" s="463"/>
      <c r="AA107" s="463"/>
      <c r="AB107" s="464">
        <v>0</v>
      </c>
      <c r="AC107" s="465">
        <v>0</v>
      </c>
      <c r="AD107" s="465">
        <v>0</v>
      </c>
      <c r="AE107" s="476">
        <v>0</v>
      </c>
      <c r="AF107" s="467">
        <v>0</v>
      </c>
      <c r="AG107" s="468">
        <v>0</v>
      </c>
      <c r="AH107" s="218">
        <v>0</v>
      </c>
      <c r="AI107" s="470">
        <v>0</v>
      </c>
      <c r="AJ107" s="471">
        <v>0</v>
      </c>
      <c r="AK107" s="218">
        <v>0</v>
      </c>
      <c r="AL107" s="470">
        <v>0</v>
      </c>
      <c r="AM107" s="471">
        <v>0</v>
      </c>
      <c r="AN107" s="477">
        <v>13777.773343901528</v>
      </c>
      <c r="AO107" s="473">
        <v>0.93611435234548768</v>
      </c>
      <c r="AP107" s="474">
        <v>0.15536341069583237</v>
      </c>
      <c r="AQ107" s="352"/>
      <c r="AR107" s="352"/>
      <c r="AS107" s="352"/>
      <c r="AT107" s="352"/>
      <c r="AU107" s="352"/>
      <c r="AV107" s="352"/>
      <c r="AW107" s="352" t="s">
        <v>254</v>
      </c>
    </row>
    <row r="108" spans="2:49" x14ac:dyDescent="0.2">
      <c r="B108" s="460" t="s">
        <v>2400</v>
      </c>
      <c r="C108" s="460">
        <v>1211</v>
      </c>
      <c r="D108" s="460" t="s">
        <v>2285</v>
      </c>
      <c r="E108" s="460" t="s">
        <v>2271</v>
      </c>
      <c r="F108" s="460">
        <v>2</v>
      </c>
      <c r="G108" s="460">
        <v>1</v>
      </c>
      <c r="H108" s="461" t="s">
        <v>746</v>
      </c>
      <c r="I108" s="461" t="s">
        <v>762</v>
      </c>
      <c r="J108" s="461" t="s">
        <v>700</v>
      </c>
      <c r="K108" s="594"/>
      <c r="L108" s="594"/>
      <c r="M108" s="352">
        <v>1000</v>
      </c>
      <c r="N108" s="352" t="s">
        <v>698</v>
      </c>
      <c r="O108" s="460">
        <v>1211</v>
      </c>
      <c r="P108" s="460" t="s">
        <v>705</v>
      </c>
      <c r="Q108" s="460" t="s">
        <v>2266</v>
      </c>
      <c r="R108" s="460">
        <v>1211</v>
      </c>
      <c r="S108" s="460" t="s">
        <v>2265</v>
      </c>
      <c r="T108" s="462">
        <v>1</v>
      </c>
      <c r="U108" s="460" t="s">
        <v>2271</v>
      </c>
      <c r="V108" s="475">
        <v>0</v>
      </c>
      <c r="W108" s="463" t="s">
        <v>2268</v>
      </c>
      <c r="X108" s="463" t="s">
        <v>2268</v>
      </c>
      <c r="Y108" s="463" t="s">
        <v>2267</v>
      </c>
      <c r="Z108" s="463"/>
      <c r="AA108" s="463"/>
      <c r="AB108" s="464">
        <v>0</v>
      </c>
      <c r="AC108" s="465">
        <v>0</v>
      </c>
      <c r="AD108" s="465">
        <v>0</v>
      </c>
      <c r="AE108" s="476">
        <v>0</v>
      </c>
      <c r="AF108" s="467">
        <v>0</v>
      </c>
      <c r="AG108" s="468">
        <v>0</v>
      </c>
      <c r="AH108" s="218">
        <v>0</v>
      </c>
      <c r="AI108" s="470">
        <v>0</v>
      </c>
      <c r="AJ108" s="471">
        <v>0</v>
      </c>
      <c r="AK108" s="218">
        <v>0</v>
      </c>
      <c r="AL108" s="470">
        <v>0</v>
      </c>
      <c r="AM108" s="471">
        <v>0</v>
      </c>
      <c r="AN108" s="477">
        <v>10250.762975628671</v>
      </c>
      <c r="AO108" s="473">
        <v>0.93611435234548768</v>
      </c>
      <c r="AP108" s="474">
        <v>0.14878646204458823</v>
      </c>
      <c r="AQ108" s="352"/>
      <c r="AR108" s="352"/>
      <c r="AS108" s="352"/>
      <c r="AT108" s="352"/>
      <c r="AU108" s="352"/>
      <c r="AV108" s="352"/>
      <c r="AW108" s="352" t="s">
        <v>254</v>
      </c>
    </row>
    <row r="109" spans="2:49" x14ac:dyDescent="0.2">
      <c r="B109" s="460" t="s">
        <v>2401</v>
      </c>
      <c r="C109" s="460">
        <v>1211</v>
      </c>
      <c r="D109" s="460" t="s">
        <v>2286</v>
      </c>
      <c r="E109" s="460" t="s">
        <v>2274</v>
      </c>
      <c r="F109" s="460">
        <v>3</v>
      </c>
      <c r="G109" s="460">
        <v>1</v>
      </c>
      <c r="H109" s="461" t="s">
        <v>746</v>
      </c>
      <c r="I109" s="461" t="s">
        <v>762</v>
      </c>
      <c r="J109" s="461" t="s">
        <v>700</v>
      </c>
      <c r="K109" s="594"/>
      <c r="L109" s="594"/>
      <c r="M109" s="352">
        <v>1000</v>
      </c>
      <c r="N109" s="352" t="s">
        <v>698</v>
      </c>
      <c r="O109" s="460">
        <v>1211</v>
      </c>
      <c r="P109" s="460" t="s">
        <v>705</v>
      </c>
      <c r="Q109" s="460" t="s">
        <v>2266</v>
      </c>
      <c r="R109" s="460">
        <v>1211</v>
      </c>
      <c r="S109" s="460" t="s">
        <v>2265</v>
      </c>
      <c r="T109" s="462">
        <v>0.74223365950407583</v>
      </c>
      <c r="U109" s="460" t="s">
        <v>2274</v>
      </c>
      <c r="V109" s="475">
        <v>0</v>
      </c>
      <c r="W109" s="463" t="s">
        <v>2268</v>
      </c>
      <c r="X109" s="463" t="s">
        <v>2268</v>
      </c>
      <c r="Y109" s="463" t="s">
        <v>2267</v>
      </c>
      <c r="Z109" s="463"/>
      <c r="AA109" s="463"/>
      <c r="AB109" s="464">
        <v>0</v>
      </c>
      <c r="AC109" s="465">
        <v>0</v>
      </c>
      <c r="AD109" s="465">
        <v>0</v>
      </c>
      <c r="AE109" s="476">
        <v>0</v>
      </c>
      <c r="AF109" s="467">
        <v>0</v>
      </c>
      <c r="AG109" s="468">
        <v>0</v>
      </c>
      <c r="AH109" s="218">
        <v>0</v>
      </c>
      <c r="AI109" s="470">
        <v>0</v>
      </c>
      <c r="AJ109" s="471">
        <v>0</v>
      </c>
      <c r="AK109" s="218">
        <v>0</v>
      </c>
      <c r="AL109" s="470">
        <v>0</v>
      </c>
      <c r="AM109" s="471">
        <v>0</v>
      </c>
      <c r="AN109" s="477">
        <v>2545.945560192456</v>
      </c>
      <c r="AO109" s="473">
        <v>0.75049484141781064</v>
      </c>
      <c r="AP109" s="474">
        <v>0.12853254584878157</v>
      </c>
      <c r="AQ109" s="352"/>
      <c r="AR109" s="352"/>
      <c r="AS109" s="352"/>
      <c r="AT109" s="352"/>
      <c r="AU109" s="352"/>
      <c r="AV109" s="352"/>
      <c r="AW109" s="352" t="s">
        <v>254</v>
      </c>
    </row>
    <row r="110" spans="2:49" x14ac:dyDescent="0.2">
      <c r="B110" s="460" t="s">
        <v>2402</v>
      </c>
      <c r="C110" s="460">
        <v>1211</v>
      </c>
      <c r="D110" s="460" t="s">
        <v>2287</v>
      </c>
      <c r="E110" s="460" t="s">
        <v>2277</v>
      </c>
      <c r="F110" s="460">
        <v>4</v>
      </c>
      <c r="G110" s="460">
        <v>1</v>
      </c>
      <c r="H110" s="461" t="s">
        <v>746</v>
      </c>
      <c r="I110" s="461" t="s">
        <v>762</v>
      </c>
      <c r="J110" s="461" t="s">
        <v>700</v>
      </c>
      <c r="K110" s="594"/>
      <c r="L110" s="594"/>
      <c r="M110" s="352">
        <v>1000</v>
      </c>
      <c r="N110" s="352" t="s">
        <v>698</v>
      </c>
      <c r="O110" s="460">
        <v>1211</v>
      </c>
      <c r="P110" s="460" t="s">
        <v>705</v>
      </c>
      <c r="Q110" s="460" t="s">
        <v>2266</v>
      </c>
      <c r="R110" s="460">
        <v>1211</v>
      </c>
      <c r="S110" s="460" t="s">
        <v>2277</v>
      </c>
      <c r="T110" s="462">
        <v>1</v>
      </c>
      <c r="U110" s="460" t="s">
        <v>2277</v>
      </c>
      <c r="V110" s="475">
        <v>0</v>
      </c>
      <c r="W110" s="463" t="s">
        <v>2268</v>
      </c>
      <c r="X110" s="463" t="s">
        <v>2268</v>
      </c>
      <c r="Y110" s="463" t="s">
        <v>2278</v>
      </c>
      <c r="Z110" s="463"/>
      <c r="AA110" s="463"/>
      <c r="AB110" s="464">
        <v>0</v>
      </c>
      <c r="AC110" s="465">
        <v>0</v>
      </c>
      <c r="AD110" s="465">
        <v>0</v>
      </c>
      <c r="AE110" s="476">
        <v>0</v>
      </c>
      <c r="AF110" s="467">
        <v>0</v>
      </c>
      <c r="AG110" s="468">
        <v>0</v>
      </c>
      <c r="AH110" s="218">
        <v>0</v>
      </c>
      <c r="AI110" s="470">
        <v>0</v>
      </c>
      <c r="AJ110" s="471">
        <v>0</v>
      </c>
      <c r="AK110" s="218">
        <v>0</v>
      </c>
      <c r="AL110" s="470">
        <v>0</v>
      </c>
      <c r="AM110" s="471">
        <v>0</v>
      </c>
      <c r="AN110" s="477">
        <v>31.511129998669762</v>
      </c>
      <c r="AO110" s="473">
        <v>3.179183293508938E-2</v>
      </c>
      <c r="AP110" s="474">
        <v>0.16517902511827418</v>
      </c>
      <c r="AQ110" s="352"/>
      <c r="AR110" s="352"/>
      <c r="AS110" s="352"/>
      <c r="AT110" s="352"/>
      <c r="AU110" s="352"/>
      <c r="AV110" s="352"/>
      <c r="AW110" s="352" t="s">
        <v>254</v>
      </c>
    </row>
    <row r="111" spans="2:49" x14ac:dyDescent="0.2">
      <c r="B111" s="460" t="s">
        <v>2399</v>
      </c>
      <c r="C111" s="460">
        <v>1211</v>
      </c>
      <c r="D111" s="460" t="s">
        <v>2288</v>
      </c>
      <c r="E111" s="460" t="s">
        <v>2265</v>
      </c>
      <c r="F111" s="460">
        <v>1</v>
      </c>
      <c r="G111" s="460">
        <v>1</v>
      </c>
      <c r="H111" s="461" t="s">
        <v>748</v>
      </c>
      <c r="I111" s="461" t="s">
        <v>765</v>
      </c>
      <c r="J111" s="461" t="s">
        <v>700</v>
      </c>
      <c r="K111" s="594"/>
      <c r="L111" s="594"/>
      <c r="M111" s="352">
        <v>1000</v>
      </c>
      <c r="N111" s="352" t="s">
        <v>698</v>
      </c>
      <c r="O111" s="460">
        <v>1211</v>
      </c>
      <c r="P111" s="460" t="s">
        <v>705</v>
      </c>
      <c r="Q111" s="460" t="s">
        <v>2289</v>
      </c>
      <c r="R111" s="460">
        <v>1211</v>
      </c>
      <c r="S111" s="460" t="s">
        <v>2265</v>
      </c>
      <c r="T111" s="462">
        <v>1</v>
      </c>
      <c r="U111" s="460" t="s">
        <v>2265</v>
      </c>
      <c r="V111" s="475">
        <v>0</v>
      </c>
      <c r="W111" s="463" t="s">
        <v>2268</v>
      </c>
      <c r="X111" s="463" t="s">
        <v>2268</v>
      </c>
      <c r="Y111" s="463" t="s">
        <v>2290</v>
      </c>
      <c r="Z111" s="463"/>
      <c r="AA111" s="463"/>
      <c r="AB111" s="464">
        <v>0</v>
      </c>
      <c r="AC111" s="465">
        <v>0</v>
      </c>
      <c r="AD111" s="465">
        <v>0</v>
      </c>
      <c r="AE111" s="476">
        <v>0</v>
      </c>
      <c r="AF111" s="467">
        <v>0</v>
      </c>
      <c r="AG111" s="468">
        <v>0</v>
      </c>
      <c r="AH111" s="218">
        <v>0</v>
      </c>
      <c r="AI111" s="470">
        <v>0</v>
      </c>
      <c r="AJ111" s="471">
        <v>0</v>
      </c>
      <c r="AK111" s="218">
        <v>0</v>
      </c>
      <c r="AL111" s="470">
        <v>0</v>
      </c>
      <c r="AM111" s="471">
        <v>0</v>
      </c>
      <c r="AN111" s="477">
        <v>0</v>
      </c>
      <c r="AO111" s="473">
        <v>0</v>
      </c>
      <c r="AP111" s="474">
        <v>0</v>
      </c>
      <c r="AQ111" s="352"/>
      <c r="AR111" s="352"/>
      <c r="AS111" s="352"/>
      <c r="AT111" s="352"/>
      <c r="AU111" s="352"/>
      <c r="AV111" s="352"/>
      <c r="AW111" s="352" t="s">
        <v>254</v>
      </c>
    </row>
    <row r="112" spans="2:49" x14ac:dyDescent="0.2">
      <c r="B112" s="460" t="s">
        <v>2400</v>
      </c>
      <c r="C112" s="460">
        <v>1211</v>
      </c>
      <c r="D112" s="460" t="s">
        <v>2291</v>
      </c>
      <c r="E112" s="460" t="s">
        <v>2271</v>
      </c>
      <c r="F112" s="460">
        <v>2</v>
      </c>
      <c r="G112" s="460">
        <v>1</v>
      </c>
      <c r="H112" s="461" t="s">
        <v>748</v>
      </c>
      <c r="I112" s="461" t="s">
        <v>765</v>
      </c>
      <c r="J112" s="461" t="s">
        <v>700</v>
      </c>
      <c r="K112" s="594"/>
      <c r="L112" s="594"/>
      <c r="M112" s="352">
        <v>1000</v>
      </c>
      <c r="N112" s="352" t="s">
        <v>698</v>
      </c>
      <c r="O112" s="460">
        <v>1211</v>
      </c>
      <c r="P112" s="460" t="s">
        <v>705</v>
      </c>
      <c r="Q112" s="460" t="s">
        <v>2289</v>
      </c>
      <c r="R112" s="460">
        <v>1211</v>
      </c>
      <c r="S112" s="460" t="s">
        <v>2265</v>
      </c>
      <c r="T112" s="462">
        <v>1</v>
      </c>
      <c r="U112" s="460" t="s">
        <v>2271</v>
      </c>
      <c r="V112" s="475">
        <v>0</v>
      </c>
      <c r="W112" s="463" t="s">
        <v>2268</v>
      </c>
      <c r="X112" s="463" t="s">
        <v>2268</v>
      </c>
      <c r="Y112" s="463" t="s">
        <v>2290</v>
      </c>
      <c r="Z112" s="463"/>
      <c r="AA112" s="463"/>
      <c r="AB112" s="464">
        <v>0</v>
      </c>
      <c r="AC112" s="465">
        <v>0</v>
      </c>
      <c r="AD112" s="465">
        <v>0</v>
      </c>
      <c r="AE112" s="476">
        <v>0</v>
      </c>
      <c r="AF112" s="467">
        <v>0</v>
      </c>
      <c r="AG112" s="468">
        <v>0</v>
      </c>
      <c r="AH112" s="218">
        <v>0</v>
      </c>
      <c r="AI112" s="470">
        <v>0</v>
      </c>
      <c r="AJ112" s="471">
        <v>0</v>
      </c>
      <c r="AK112" s="218">
        <v>0</v>
      </c>
      <c r="AL112" s="470">
        <v>0</v>
      </c>
      <c r="AM112" s="471">
        <v>0</v>
      </c>
      <c r="AN112" s="477">
        <v>0</v>
      </c>
      <c r="AO112" s="473">
        <v>0</v>
      </c>
      <c r="AP112" s="474">
        <v>0</v>
      </c>
      <c r="AQ112" s="352"/>
      <c r="AR112" s="352"/>
      <c r="AS112" s="352"/>
      <c r="AT112" s="352"/>
      <c r="AU112" s="352"/>
      <c r="AV112" s="352"/>
      <c r="AW112" s="352" t="s">
        <v>254</v>
      </c>
    </row>
    <row r="113" spans="2:49" x14ac:dyDescent="0.2">
      <c r="B113" s="460" t="s">
        <v>2401</v>
      </c>
      <c r="C113" s="460">
        <v>1211</v>
      </c>
      <c r="D113" s="460" t="s">
        <v>2292</v>
      </c>
      <c r="E113" s="460" t="s">
        <v>2274</v>
      </c>
      <c r="F113" s="460">
        <v>3</v>
      </c>
      <c r="G113" s="460">
        <v>1</v>
      </c>
      <c r="H113" s="461" t="s">
        <v>748</v>
      </c>
      <c r="I113" s="461" t="s">
        <v>765</v>
      </c>
      <c r="J113" s="461" t="s">
        <v>700</v>
      </c>
      <c r="K113" s="594"/>
      <c r="L113" s="594"/>
      <c r="M113" s="352">
        <v>1000</v>
      </c>
      <c r="N113" s="352" t="s">
        <v>698</v>
      </c>
      <c r="O113" s="460">
        <v>1211</v>
      </c>
      <c r="P113" s="460" t="s">
        <v>705</v>
      </c>
      <c r="Q113" s="460" t="s">
        <v>2289</v>
      </c>
      <c r="R113" s="460">
        <v>1211</v>
      </c>
      <c r="S113" s="460" t="s">
        <v>2265</v>
      </c>
      <c r="T113" s="462">
        <v>0.74223365950407583</v>
      </c>
      <c r="U113" s="460" t="s">
        <v>2274</v>
      </c>
      <c r="V113" s="475">
        <v>0</v>
      </c>
      <c r="W113" s="463" t="s">
        <v>2268</v>
      </c>
      <c r="X113" s="463" t="s">
        <v>2268</v>
      </c>
      <c r="Y113" s="463" t="s">
        <v>2290</v>
      </c>
      <c r="Z113" s="463"/>
      <c r="AA113" s="463"/>
      <c r="AB113" s="464">
        <v>0</v>
      </c>
      <c r="AC113" s="465">
        <v>0</v>
      </c>
      <c r="AD113" s="465">
        <v>0</v>
      </c>
      <c r="AE113" s="476">
        <v>0</v>
      </c>
      <c r="AF113" s="467">
        <v>0</v>
      </c>
      <c r="AG113" s="468">
        <v>0</v>
      </c>
      <c r="AH113" s="218">
        <v>0</v>
      </c>
      <c r="AI113" s="470">
        <v>0</v>
      </c>
      <c r="AJ113" s="471">
        <v>0</v>
      </c>
      <c r="AK113" s="218">
        <v>0</v>
      </c>
      <c r="AL113" s="470">
        <v>0</v>
      </c>
      <c r="AM113" s="471">
        <v>0</v>
      </c>
      <c r="AN113" s="477">
        <v>0</v>
      </c>
      <c r="AO113" s="473">
        <v>0</v>
      </c>
      <c r="AP113" s="474">
        <v>0</v>
      </c>
      <c r="AQ113" s="352"/>
      <c r="AR113" s="352"/>
      <c r="AS113" s="352"/>
      <c r="AT113" s="352"/>
      <c r="AU113" s="352"/>
      <c r="AV113" s="352"/>
      <c r="AW113" s="352" t="s">
        <v>254</v>
      </c>
    </row>
    <row r="114" spans="2:49" x14ac:dyDescent="0.2">
      <c r="B114" s="460" t="s">
        <v>2402</v>
      </c>
      <c r="C114" s="460">
        <v>1211</v>
      </c>
      <c r="D114" s="460" t="s">
        <v>2293</v>
      </c>
      <c r="E114" s="460" t="s">
        <v>2277</v>
      </c>
      <c r="F114" s="460">
        <v>4</v>
      </c>
      <c r="G114" s="460">
        <v>1</v>
      </c>
      <c r="H114" s="461" t="s">
        <v>748</v>
      </c>
      <c r="I114" s="461" t="s">
        <v>765</v>
      </c>
      <c r="J114" s="461" t="s">
        <v>700</v>
      </c>
      <c r="K114" s="594"/>
      <c r="L114" s="594"/>
      <c r="M114" s="352">
        <v>1000</v>
      </c>
      <c r="N114" s="352" t="s">
        <v>698</v>
      </c>
      <c r="O114" s="460">
        <v>1211</v>
      </c>
      <c r="P114" s="460" t="s">
        <v>705</v>
      </c>
      <c r="Q114" s="460" t="s">
        <v>2289</v>
      </c>
      <c r="R114" s="460">
        <v>1211</v>
      </c>
      <c r="S114" s="460" t="s">
        <v>2277</v>
      </c>
      <c r="T114" s="462">
        <v>1</v>
      </c>
      <c r="U114" s="460" t="s">
        <v>2277</v>
      </c>
      <c r="V114" s="475">
        <v>0</v>
      </c>
      <c r="W114" s="463" t="s">
        <v>2268</v>
      </c>
      <c r="X114" s="463" t="s">
        <v>2268</v>
      </c>
      <c r="Y114" s="463" t="s">
        <v>2290</v>
      </c>
      <c r="Z114" s="463"/>
      <c r="AA114" s="463"/>
      <c r="AB114" s="464">
        <v>0</v>
      </c>
      <c r="AC114" s="465">
        <v>0</v>
      </c>
      <c r="AD114" s="465">
        <v>0</v>
      </c>
      <c r="AE114" s="476">
        <v>0</v>
      </c>
      <c r="AF114" s="467">
        <v>0</v>
      </c>
      <c r="AG114" s="468">
        <v>0</v>
      </c>
      <c r="AH114" s="218">
        <v>0</v>
      </c>
      <c r="AI114" s="470">
        <v>0</v>
      </c>
      <c r="AJ114" s="471">
        <v>0</v>
      </c>
      <c r="AK114" s="218">
        <v>0</v>
      </c>
      <c r="AL114" s="470">
        <v>0</v>
      </c>
      <c r="AM114" s="471">
        <v>0</v>
      </c>
      <c r="AN114" s="477">
        <v>0</v>
      </c>
      <c r="AO114" s="473">
        <v>0</v>
      </c>
      <c r="AP114" s="474">
        <v>0</v>
      </c>
      <c r="AQ114" s="352"/>
      <c r="AR114" s="352"/>
      <c r="AS114" s="352"/>
      <c r="AT114" s="352"/>
      <c r="AU114" s="352"/>
      <c r="AV114" s="352"/>
      <c r="AW114" s="352" t="s">
        <v>254</v>
      </c>
    </row>
    <row r="115" spans="2:49" x14ac:dyDescent="0.2">
      <c r="B115" s="460" t="s">
        <v>2403</v>
      </c>
      <c r="C115" s="460">
        <v>1211</v>
      </c>
      <c r="D115" s="460" t="s">
        <v>2295</v>
      </c>
      <c r="E115" s="460" t="s">
        <v>2296</v>
      </c>
      <c r="F115" s="460">
        <v>1</v>
      </c>
      <c r="G115" s="460">
        <v>2</v>
      </c>
      <c r="H115" s="461" t="s">
        <v>700</v>
      </c>
      <c r="I115" s="461" t="s">
        <v>872</v>
      </c>
      <c r="J115" s="461" t="s">
        <v>700</v>
      </c>
      <c r="K115" s="594"/>
      <c r="L115" s="594"/>
      <c r="M115" s="352">
        <v>1000</v>
      </c>
      <c r="N115" s="352" t="s">
        <v>698</v>
      </c>
      <c r="O115" s="460">
        <v>1211</v>
      </c>
      <c r="P115" s="460" t="s">
        <v>705</v>
      </c>
      <c r="Q115" s="460" t="s">
        <v>2266</v>
      </c>
      <c r="R115" s="460">
        <v>1211</v>
      </c>
      <c r="S115" s="460" t="s">
        <v>2296</v>
      </c>
      <c r="T115" s="462">
        <v>1</v>
      </c>
      <c r="U115" s="460" t="s">
        <v>2296</v>
      </c>
      <c r="V115" s="475">
        <v>0</v>
      </c>
      <c r="W115" s="463" t="s">
        <v>2267</v>
      </c>
      <c r="X115" s="463" t="s">
        <v>2267</v>
      </c>
      <c r="Y115" s="463" t="s">
        <v>2268</v>
      </c>
      <c r="Z115" s="463"/>
      <c r="AA115" s="463"/>
      <c r="AB115" s="464">
        <v>1735.5634119517279</v>
      </c>
      <c r="AC115" s="465">
        <v>0.80178291679404623</v>
      </c>
      <c r="AD115" s="465">
        <v>0.10138072597234128</v>
      </c>
      <c r="AE115" s="476">
        <v>1735.5634119517279</v>
      </c>
      <c r="AF115" s="467">
        <v>0.80178291679404623</v>
      </c>
      <c r="AG115" s="468">
        <v>0.11269019955586962</v>
      </c>
      <c r="AH115" s="218">
        <v>1735.5634119517279</v>
      </c>
      <c r="AI115" s="470">
        <v>0.80178291679404623</v>
      </c>
      <c r="AJ115" s="471">
        <v>0.10353216015311489</v>
      </c>
      <c r="AK115" s="218">
        <v>1735.5634119517279</v>
      </c>
      <c r="AL115" s="470">
        <v>0.80178291679404623</v>
      </c>
      <c r="AM115" s="471">
        <v>0.10353216015311489</v>
      </c>
      <c r="AN115" s="477">
        <v>0</v>
      </c>
      <c r="AO115" s="473">
        <v>0</v>
      </c>
      <c r="AP115" s="474">
        <v>0</v>
      </c>
      <c r="AQ115" s="352"/>
      <c r="AR115" s="352"/>
      <c r="AS115" s="352"/>
      <c r="AT115" s="352"/>
      <c r="AU115" s="352"/>
      <c r="AV115" s="352"/>
      <c r="AW115" s="352" t="s">
        <v>254</v>
      </c>
    </row>
    <row r="116" spans="2:49" x14ac:dyDescent="0.2">
      <c r="B116" s="460" t="s">
        <v>2404</v>
      </c>
      <c r="C116" s="460">
        <v>1211</v>
      </c>
      <c r="D116" s="460" t="s">
        <v>2298</v>
      </c>
      <c r="E116" s="460" t="s">
        <v>2299</v>
      </c>
      <c r="F116" s="460">
        <v>2</v>
      </c>
      <c r="G116" s="460">
        <v>2</v>
      </c>
      <c r="H116" s="461" t="s">
        <v>700</v>
      </c>
      <c r="I116" s="461" t="s">
        <v>872</v>
      </c>
      <c r="J116" s="461" t="s">
        <v>700</v>
      </c>
      <c r="K116" s="594"/>
      <c r="L116" s="594"/>
      <c r="M116" s="352">
        <v>1000</v>
      </c>
      <c r="N116" s="352" t="s">
        <v>698</v>
      </c>
      <c r="O116" s="460">
        <v>1211</v>
      </c>
      <c r="P116" s="460" t="s">
        <v>705</v>
      </c>
      <c r="Q116" s="460" t="s">
        <v>2266</v>
      </c>
      <c r="R116" s="460">
        <v>1211</v>
      </c>
      <c r="S116" s="460" t="s">
        <v>2296</v>
      </c>
      <c r="T116" s="462">
        <v>0.55517361979372948</v>
      </c>
      <c r="U116" s="460" t="s">
        <v>2299</v>
      </c>
      <c r="V116" s="475">
        <v>0</v>
      </c>
      <c r="W116" s="463" t="s">
        <v>2267</v>
      </c>
      <c r="X116" s="463" t="s">
        <v>2267</v>
      </c>
      <c r="Y116" s="463" t="s">
        <v>2268</v>
      </c>
      <c r="Z116" s="463"/>
      <c r="AA116" s="463"/>
      <c r="AB116" s="464">
        <v>326.54372272675363</v>
      </c>
      <c r="AC116" s="465">
        <v>0.54850303642168619</v>
      </c>
      <c r="AD116" s="465">
        <v>9.880541472157725E-2</v>
      </c>
      <c r="AE116" s="476">
        <v>326.54372272675363</v>
      </c>
      <c r="AF116" s="467">
        <v>0.54850303642168619</v>
      </c>
      <c r="AG116" s="468">
        <v>0.11087874769340131</v>
      </c>
      <c r="AH116" s="218">
        <v>326.54372272675363</v>
      </c>
      <c r="AI116" s="470">
        <v>0.54850303642168619</v>
      </c>
      <c r="AJ116" s="471">
        <v>7.6896990595436338E-2</v>
      </c>
      <c r="AK116" s="218">
        <v>326.54372272675363</v>
      </c>
      <c r="AL116" s="470">
        <v>0.54850303642168619</v>
      </c>
      <c r="AM116" s="471">
        <v>7.6896990595436338E-2</v>
      </c>
      <c r="AN116" s="477">
        <v>0</v>
      </c>
      <c r="AO116" s="473">
        <v>0</v>
      </c>
      <c r="AP116" s="474">
        <v>0</v>
      </c>
      <c r="AQ116" s="352"/>
      <c r="AR116" s="352"/>
      <c r="AS116" s="352"/>
      <c r="AT116" s="352"/>
      <c r="AU116" s="352"/>
      <c r="AV116" s="352"/>
      <c r="AW116" s="352" t="s">
        <v>254</v>
      </c>
    </row>
    <row r="117" spans="2:49" x14ac:dyDescent="0.2">
      <c r="B117" s="460" t="s">
        <v>2405</v>
      </c>
      <c r="C117" s="460">
        <v>1211</v>
      </c>
      <c r="D117" s="460" t="s">
        <v>2301</v>
      </c>
      <c r="E117" s="460" t="s">
        <v>2302</v>
      </c>
      <c r="F117" s="460">
        <v>3</v>
      </c>
      <c r="G117" s="460">
        <v>2</v>
      </c>
      <c r="H117" s="461" t="s">
        <v>700</v>
      </c>
      <c r="I117" s="461" t="s">
        <v>872</v>
      </c>
      <c r="J117" s="461" t="s">
        <v>700</v>
      </c>
      <c r="K117" s="594"/>
      <c r="L117" s="594"/>
      <c r="M117" s="352">
        <v>1000</v>
      </c>
      <c r="N117" s="352" t="s">
        <v>698</v>
      </c>
      <c r="O117" s="460">
        <v>1211</v>
      </c>
      <c r="P117" s="460" t="s">
        <v>705</v>
      </c>
      <c r="Q117" s="460" t="s">
        <v>2266</v>
      </c>
      <c r="R117" s="460">
        <v>1211</v>
      </c>
      <c r="S117" s="460" t="s">
        <v>2296</v>
      </c>
      <c r="T117" s="462">
        <v>0.28481449642268464</v>
      </c>
      <c r="U117" s="460" t="s">
        <v>2302</v>
      </c>
      <c r="V117" s="475">
        <v>0</v>
      </c>
      <c r="W117" s="463" t="s">
        <v>2267</v>
      </c>
      <c r="X117" s="463" t="s">
        <v>2267</v>
      </c>
      <c r="Y117" s="463" t="s">
        <v>2268</v>
      </c>
      <c r="Z117" s="463"/>
      <c r="AA117" s="463"/>
      <c r="AB117" s="464">
        <v>31.92731168518576</v>
      </c>
      <c r="AC117" s="465">
        <v>0.34523612982741525</v>
      </c>
      <c r="AD117" s="465">
        <v>6.2103022647329899E-2</v>
      </c>
      <c r="AE117" s="476">
        <v>31.92731168518576</v>
      </c>
      <c r="AF117" s="467">
        <v>0.34523612982741525</v>
      </c>
      <c r="AG117" s="468">
        <v>7.0079439693996992E-2</v>
      </c>
      <c r="AH117" s="218">
        <v>31.92731168518576</v>
      </c>
      <c r="AI117" s="470">
        <v>0.34523612982741525</v>
      </c>
      <c r="AJ117" s="471">
        <v>3.3144346400993611E-2</v>
      </c>
      <c r="AK117" s="218">
        <v>31.92731168518576</v>
      </c>
      <c r="AL117" s="470">
        <v>0.34523612982741525</v>
      </c>
      <c r="AM117" s="471">
        <v>3.3144346400993611E-2</v>
      </c>
      <c r="AN117" s="477">
        <v>0</v>
      </c>
      <c r="AO117" s="473">
        <v>0</v>
      </c>
      <c r="AP117" s="474">
        <v>0</v>
      </c>
      <c r="AQ117" s="352"/>
      <c r="AR117" s="352"/>
      <c r="AS117" s="352"/>
      <c r="AT117" s="352"/>
      <c r="AU117" s="352"/>
      <c r="AV117" s="352"/>
      <c r="AW117" s="352" t="s">
        <v>254</v>
      </c>
    </row>
    <row r="118" spans="2:49" x14ac:dyDescent="0.2">
      <c r="B118" s="460" t="s">
        <v>2406</v>
      </c>
      <c r="C118" s="460">
        <v>1211</v>
      </c>
      <c r="D118" s="460" t="s">
        <v>2304</v>
      </c>
      <c r="E118" s="460" t="s">
        <v>2305</v>
      </c>
      <c r="F118" s="460">
        <v>4</v>
      </c>
      <c r="G118" s="460">
        <v>2</v>
      </c>
      <c r="H118" s="461" t="s">
        <v>700</v>
      </c>
      <c r="I118" s="461" t="s">
        <v>872</v>
      </c>
      <c r="J118" s="461" t="s">
        <v>700</v>
      </c>
      <c r="K118" s="594"/>
      <c r="L118" s="594"/>
      <c r="M118" s="352">
        <v>1000</v>
      </c>
      <c r="N118" s="352" t="s">
        <v>698</v>
      </c>
      <c r="O118" s="460">
        <v>1211</v>
      </c>
      <c r="P118" s="460" t="s">
        <v>705</v>
      </c>
      <c r="Q118" s="460" t="s">
        <v>2266</v>
      </c>
      <c r="R118" s="460">
        <v>1211</v>
      </c>
      <c r="S118" s="460" t="s">
        <v>2305</v>
      </c>
      <c r="T118" s="462">
        <v>1</v>
      </c>
      <c r="U118" s="460" t="s">
        <v>2305</v>
      </c>
      <c r="V118" s="475">
        <v>0</v>
      </c>
      <c r="W118" s="463" t="s">
        <v>2278</v>
      </c>
      <c r="X118" s="463" t="s">
        <v>2278</v>
      </c>
      <c r="Y118" s="463" t="s">
        <v>2268</v>
      </c>
      <c r="Z118" s="463"/>
      <c r="AA118" s="463"/>
      <c r="AB118" s="464">
        <v>2.902792282839934</v>
      </c>
      <c r="AC118" s="465">
        <v>4.0566164698275224E-2</v>
      </c>
      <c r="AD118" s="465">
        <v>0.22982304643063012</v>
      </c>
      <c r="AE118" s="476">
        <v>2.902792282839934</v>
      </c>
      <c r="AF118" s="467">
        <v>4.0566164698275224E-2</v>
      </c>
      <c r="AG118" s="468">
        <v>0.25519993111119599</v>
      </c>
      <c r="AH118" s="218">
        <v>2.902792282839934</v>
      </c>
      <c r="AI118" s="470">
        <v>4.0566164698275224E-2</v>
      </c>
      <c r="AJ118" s="471">
        <v>0.25414089962234343</v>
      </c>
      <c r="AK118" s="218">
        <v>2.902792282839934</v>
      </c>
      <c r="AL118" s="470">
        <v>4.0566164698275224E-2</v>
      </c>
      <c r="AM118" s="471">
        <v>0.25414089962234343</v>
      </c>
      <c r="AN118" s="477">
        <v>0</v>
      </c>
      <c r="AO118" s="473">
        <v>0</v>
      </c>
      <c r="AP118" s="474">
        <v>0</v>
      </c>
      <c r="AQ118" s="352"/>
      <c r="AR118" s="352"/>
      <c r="AS118" s="352"/>
      <c r="AT118" s="352"/>
      <c r="AU118" s="352"/>
      <c r="AV118" s="352"/>
      <c r="AW118" s="352" t="s">
        <v>254</v>
      </c>
    </row>
    <row r="119" spans="2:49" x14ac:dyDescent="0.2">
      <c r="B119" s="460" t="s">
        <v>2403</v>
      </c>
      <c r="C119" s="460">
        <v>1211</v>
      </c>
      <c r="D119" s="460" t="s">
        <v>2306</v>
      </c>
      <c r="E119" s="460" t="s">
        <v>2296</v>
      </c>
      <c r="F119" s="460">
        <v>1</v>
      </c>
      <c r="G119" s="460">
        <v>2</v>
      </c>
      <c r="H119" s="461" t="s">
        <v>712</v>
      </c>
      <c r="I119" s="461" t="s">
        <v>713</v>
      </c>
      <c r="J119" s="461" t="s">
        <v>712</v>
      </c>
      <c r="K119" s="594"/>
      <c r="L119" s="594"/>
      <c r="M119" s="352">
        <v>1000</v>
      </c>
      <c r="N119" s="352" t="s">
        <v>698</v>
      </c>
      <c r="O119" s="460">
        <v>1211</v>
      </c>
      <c r="P119" s="460" t="s">
        <v>705</v>
      </c>
      <c r="Q119" s="460" t="s">
        <v>2280</v>
      </c>
      <c r="R119" s="460">
        <v>1211</v>
      </c>
      <c r="S119" s="460" t="s">
        <v>2296</v>
      </c>
      <c r="T119" s="462">
        <v>1</v>
      </c>
      <c r="U119" s="460" t="s">
        <v>2296</v>
      </c>
      <c r="V119" s="475">
        <v>0</v>
      </c>
      <c r="W119" s="463" t="s">
        <v>713</v>
      </c>
      <c r="X119" s="463" t="s">
        <v>713</v>
      </c>
      <c r="Y119" s="463" t="s">
        <v>713</v>
      </c>
      <c r="Z119" s="463"/>
      <c r="AA119" s="463"/>
      <c r="AB119" s="464">
        <v>429.06665885525803</v>
      </c>
      <c r="AC119" s="465">
        <v>0.19821708320595383</v>
      </c>
      <c r="AD119" s="465">
        <v>3.7109876117713942E-3</v>
      </c>
      <c r="AE119" s="476">
        <v>429.06665885525791</v>
      </c>
      <c r="AF119" s="467">
        <v>0.19821708320595377</v>
      </c>
      <c r="AG119" s="468">
        <v>3.656651366631747E-3</v>
      </c>
      <c r="AH119" s="218">
        <v>429.06665885525791</v>
      </c>
      <c r="AI119" s="470">
        <v>0.19821708320595377</v>
      </c>
      <c r="AJ119" s="471">
        <v>3.6996045806685402E-3</v>
      </c>
      <c r="AK119" s="218">
        <v>429.06665885525791</v>
      </c>
      <c r="AL119" s="470">
        <v>0.19821708320595377</v>
      </c>
      <c r="AM119" s="471">
        <v>3.6996045806685402E-3</v>
      </c>
      <c r="AN119" s="477">
        <v>429.06665885525791</v>
      </c>
      <c r="AO119" s="473">
        <v>0.19821708320595377</v>
      </c>
      <c r="AP119" s="474">
        <v>3.6986966467749409E-3</v>
      </c>
      <c r="AQ119" s="352"/>
      <c r="AR119" s="352"/>
      <c r="AS119" s="352"/>
      <c r="AT119" s="352"/>
      <c r="AU119" s="352"/>
      <c r="AV119" s="352"/>
      <c r="AW119" s="352" t="s">
        <v>254</v>
      </c>
    </row>
    <row r="120" spans="2:49" x14ac:dyDescent="0.2">
      <c r="B120" s="460" t="s">
        <v>2404</v>
      </c>
      <c r="C120" s="460">
        <v>1211</v>
      </c>
      <c r="D120" s="460" t="s">
        <v>2307</v>
      </c>
      <c r="E120" s="460" t="s">
        <v>2299</v>
      </c>
      <c r="F120" s="460">
        <v>2</v>
      </c>
      <c r="G120" s="460">
        <v>2</v>
      </c>
      <c r="H120" s="461" t="s">
        <v>712</v>
      </c>
      <c r="I120" s="461" t="s">
        <v>713</v>
      </c>
      <c r="J120" s="461" t="s">
        <v>712</v>
      </c>
      <c r="K120" s="594"/>
      <c r="L120" s="594"/>
      <c r="M120" s="352">
        <v>1000</v>
      </c>
      <c r="N120" s="352" t="s">
        <v>698</v>
      </c>
      <c r="O120" s="460">
        <v>1211</v>
      </c>
      <c r="P120" s="460" t="s">
        <v>705</v>
      </c>
      <c r="Q120" s="460" t="s">
        <v>2280</v>
      </c>
      <c r="R120" s="460">
        <v>1211</v>
      </c>
      <c r="S120" s="460" t="s">
        <v>2296</v>
      </c>
      <c r="T120" s="462">
        <v>0.55517361979372948</v>
      </c>
      <c r="U120" s="460" t="s">
        <v>2299</v>
      </c>
      <c r="V120" s="475">
        <v>0</v>
      </c>
      <c r="W120" s="463" t="s">
        <v>713</v>
      </c>
      <c r="X120" s="463" t="s">
        <v>713</v>
      </c>
      <c r="Y120" s="463" t="s">
        <v>713</v>
      </c>
      <c r="Z120" s="463"/>
      <c r="AA120" s="463"/>
      <c r="AB120" s="464">
        <v>268.79249429230515</v>
      </c>
      <c r="AC120" s="465">
        <v>0.45149696357831393</v>
      </c>
      <c r="AD120" s="465">
        <v>3.1090562646810507E-3</v>
      </c>
      <c r="AE120" s="476">
        <v>268.79249429230509</v>
      </c>
      <c r="AF120" s="467">
        <v>0.45149696357831381</v>
      </c>
      <c r="AG120" s="468">
        <v>3.0961685622191149E-3</v>
      </c>
      <c r="AH120" s="218">
        <v>268.79249429230509</v>
      </c>
      <c r="AI120" s="470">
        <v>0.45149696357831381</v>
      </c>
      <c r="AJ120" s="471">
        <v>3.149146323972527E-3</v>
      </c>
      <c r="AK120" s="218">
        <v>268.79249429230509</v>
      </c>
      <c r="AL120" s="470">
        <v>0.45149696357831381</v>
      </c>
      <c r="AM120" s="471">
        <v>3.149146323972527E-3</v>
      </c>
      <c r="AN120" s="477">
        <v>268.79249429230509</v>
      </c>
      <c r="AO120" s="473">
        <v>0.45149696357831381</v>
      </c>
      <c r="AP120" s="474">
        <v>3.1487487924287583E-3</v>
      </c>
      <c r="AQ120" s="352"/>
      <c r="AR120" s="352"/>
      <c r="AS120" s="352"/>
      <c r="AT120" s="352"/>
      <c r="AU120" s="352"/>
      <c r="AV120" s="352"/>
      <c r="AW120" s="352" t="s">
        <v>254</v>
      </c>
    </row>
    <row r="121" spans="2:49" x14ac:dyDescent="0.2">
      <c r="B121" s="460" t="s">
        <v>2405</v>
      </c>
      <c r="C121" s="460">
        <v>1211</v>
      </c>
      <c r="D121" s="460" t="s">
        <v>2308</v>
      </c>
      <c r="E121" s="460" t="s">
        <v>2302</v>
      </c>
      <c r="F121" s="460">
        <v>3</v>
      </c>
      <c r="G121" s="460">
        <v>2</v>
      </c>
      <c r="H121" s="461" t="s">
        <v>712</v>
      </c>
      <c r="I121" s="461" t="s">
        <v>713</v>
      </c>
      <c r="J121" s="461" t="s">
        <v>712</v>
      </c>
      <c r="K121" s="594"/>
      <c r="L121" s="594"/>
      <c r="M121" s="352">
        <v>1000</v>
      </c>
      <c r="N121" s="352" t="s">
        <v>698</v>
      </c>
      <c r="O121" s="460">
        <v>1211</v>
      </c>
      <c r="P121" s="460" t="s">
        <v>705</v>
      </c>
      <c r="Q121" s="460" t="s">
        <v>2280</v>
      </c>
      <c r="R121" s="460">
        <v>1211</v>
      </c>
      <c r="S121" s="460" t="s">
        <v>2296</v>
      </c>
      <c r="T121" s="462">
        <v>0.28481449642268464</v>
      </c>
      <c r="U121" s="460" t="s">
        <v>2302</v>
      </c>
      <c r="V121" s="475">
        <v>0</v>
      </c>
      <c r="W121" s="463" t="s">
        <v>713</v>
      </c>
      <c r="X121" s="463" t="s">
        <v>713</v>
      </c>
      <c r="Y121" s="463" t="s">
        <v>713</v>
      </c>
      <c r="Z121" s="463"/>
      <c r="AA121" s="463"/>
      <c r="AB121" s="464">
        <v>60.552324502215413</v>
      </c>
      <c r="AC121" s="465">
        <v>0.65476387017258475</v>
      </c>
      <c r="AD121" s="465">
        <v>1.761315805561251E-3</v>
      </c>
      <c r="AE121" s="476">
        <v>60.552324502215413</v>
      </c>
      <c r="AF121" s="467">
        <v>0.65476387017258475</v>
      </c>
      <c r="AG121" s="468">
        <v>1.7583230453136513E-3</v>
      </c>
      <c r="AH121" s="218">
        <v>60.552324502215413</v>
      </c>
      <c r="AI121" s="470">
        <v>0.65476387017258475</v>
      </c>
      <c r="AJ121" s="471">
        <v>1.7846328856348061E-3</v>
      </c>
      <c r="AK121" s="218">
        <v>60.552324502215413</v>
      </c>
      <c r="AL121" s="470">
        <v>0.65476387017258475</v>
      </c>
      <c r="AM121" s="471">
        <v>1.7846328856348061E-3</v>
      </c>
      <c r="AN121" s="477">
        <v>60.552324502215413</v>
      </c>
      <c r="AO121" s="473">
        <v>0.65476387017258475</v>
      </c>
      <c r="AP121" s="474">
        <v>1.7861847230294392E-3</v>
      </c>
      <c r="AQ121" s="352"/>
      <c r="AR121" s="352"/>
      <c r="AS121" s="352"/>
      <c r="AT121" s="352"/>
      <c r="AU121" s="352"/>
      <c r="AV121" s="352"/>
      <c r="AW121" s="352" t="s">
        <v>254</v>
      </c>
    </row>
    <row r="122" spans="2:49" x14ac:dyDescent="0.2">
      <c r="B122" s="460" t="s">
        <v>2406</v>
      </c>
      <c r="C122" s="460">
        <v>1211</v>
      </c>
      <c r="D122" s="460" t="s">
        <v>2309</v>
      </c>
      <c r="E122" s="460" t="s">
        <v>2305</v>
      </c>
      <c r="F122" s="460">
        <v>4</v>
      </c>
      <c r="G122" s="460">
        <v>2</v>
      </c>
      <c r="H122" s="461" t="s">
        <v>712</v>
      </c>
      <c r="I122" s="461" t="s">
        <v>713</v>
      </c>
      <c r="J122" s="461" t="s">
        <v>712</v>
      </c>
      <c r="K122" s="594"/>
      <c r="L122" s="594"/>
      <c r="M122" s="352">
        <v>1000</v>
      </c>
      <c r="N122" s="352" t="s">
        <v>698</v>
      </c>
      <c r="O122" s="460">
        <v>1211</v>
      </c>
      <c r="P122" s="460" t="s">
        <v>705</v>
      </c>
      <c r="Q122" s="460" t="s">
        <v>2280</v>
      </c>
      <c r="R122" s="460">
        <v>1211</v>
      </c>
      <c r="S122" s="460" t="s">
        <v>2305</v>
      </c>
      <c r="T122" s="462">
        <v>1</v>
      </c>
      <c r="U122" s="460" t="s">
        <v>2305</v>
      </c>
      <c r="V122" s="475">
        <v>0</v>
      </c>
      <c r="W122" s="463" t="s">
        <v>713</v>
      </c>
      <c r="X122" s="463" t="s">
        <v>713</v>
      </c>
      <c r="Y122" s="463" t="s">
        <v>713</v>
      </c>
      <c r="Z122" s="463"/>
      <c r="AA122" s="463"/>
      <c r="AB122" s="464">
        <v>68.654188872032549</v>
      </c>
      <c r="AC122" s="465">
        <v>0.95943383530172466</v>
      </c>
      <c r="AD122" s="465">
        <v>1.7534212843358312E-3</v>
      </c>
      <c r="AE122" s="476">
        <v>68.654188872032549</v>
      </c>
      <c r="AF122" s="467">
        <v>0.95943383530172477</v>
      </c>
      <c r="AG122" s="468">
        <v>1.7533650409168964E-3</v>
      </c>
      <c r="AH122" s="218">
        <v>68.654188872032549</v>
      </c>
      <c r="AI122" s="470">
        <v>0.95943383530172477</v>
      </c>
      <c r="AJ122" s="471">
        <v>1.7533671634178264E-3</v>
      </c>
      <c r="AK122" s="218">
        <v>68.654188872032549</v>
      </c>
      <c r="AL122" s="470">
        <v>0.95943383530172477</v>
      </c>
      <c r="AM122" s="471">
        <v>1.7533671634178264E-3</v>
      </c>
      <c r="AN122" s="477">
        <v>68.654188872032549</v>
      </c>
      <c r="AO122" s="473">
        <v>0.95943383530172477</v>
      </c>
      <c r="AP122" s="474">
        <v>1.7533693081345585E-3</v>
      </c>
      <c r="AQ122" s="352"/>
      <c r="AR122" s="352"/>
      <c r="AS122" s="352"/>
      <c r="AT122" s="352"/>
      <c r="AU122" s="352"/>
      <c r="AV122" s="352"/>
      <c r="AW122" s="352" t="s">
        <v>254</v>
      </c>
    </row>
    <row r="123" spans="2:49" x14ac:dyDescent="0.2">
      <c r="B123" s="460" t="s">
        <v>2403</v>
      </c>
      <c r="C123" s="460">
        <v>1211</v>
      </c>
      <c r="D123" s="460" t="s">
        <v>2310</v>
      </c>
      <c r="E123" s="460" t="s">
        <v>2296</v>
      </c>
      <c r="F123" s="460">
        <v>1</v>
      </c>
      <c r="G123" s="460">
        <v>2</v>
      </c>
      <c r="H123" s="461" t="s">
        <v>746</v>
      </c>
      <c r="I123" s="461" t="s">
        <v>762</v>
      </c>
      <c r="J123" s="461" t="s">
        <v>700</v>
      </c>
      <c r="K123" s="594"/>
      <c r="L123" s="594"/>
      <c r="M123" s="352">
        <v>1000</v>
      </c>
      <c r="N123" s="352" t="s">
        <v>698</v>
      </c>
      <c r="O123" s="460">
        <v>1211</v>
      </c>
      <c r="P123" s="460" t="s">
        <v>705</v>
      </c>
      <c r="Q123" s="460" t="s">
        <v>2266</v>
      </c>
      <c r="R123" s="460">
        <v>1211</v>
      </c>
      <c r="S123" s="460" t="s">
        <v>2296</v>
      </c>
      <c r="T123" s="462">
        <v>1</v>
      </c>
      <c r="U123" s="460" t="s">
        <v>2296</v>
      </c>
      <c r="V123" s="475">
        <v>0</v>
      </c>
      <c r="W123" s="463" t="s">
        <v>2268</v>
      </c>
      <c r="X123" s="463" t="s">
        <v>2268</v>
      </c>
      <c r="Y123" s="463" t="s">
        <v>2267</v>
      </c>
      <c r="Z123" s="463"/>
      <c r="AA123" s="463"/>
      <c r="AB123" s="464">
        <v>0</v>
      </c>
      <c r="AC123" s="465">
        <v>0</v>
      </c>
      <c r="AD123" s="465">
        <v>0</v>
      </c>
      <c r="AE123" s="476">
        <v>0</v>
      </c>
      <c r="AF123" s="467">
        <v>0</v>
      </c>
      <c r="AG123" s="468">
        <v>0</v>
      </c>
      <c r="AH123" s="218">
        <v>0</v>
      </c>
      <c r="AI123" s="470">
        <v>0</v>
      </c>
      <c r="AJ123" s="471">
        <v>0</v>
      </c>
      <c r="AK123" s="218">
        <v>0</v>
      </c>
      <c r="AL123" s="470">
        <v>0</v>
      </c>
      <c r="AM123" s="471">
        <v>0</v>
      </c>
      <c r="AN123" s="477">
        <v>1735.5634119517279</v>
      </c>
      <c r="AO123" s="473">
        <v>0.80178291679404623</v>
      </c>
      <c r="AP123" s="474">
        <v>0.12892715669489704</v>
      </c>
      <c r="AQ123" s="352"/>
      <c r="AR123" s="352"/>
      <c r="AS123" s="352"/>
      <c r="AT123" s="352"/>
      <c r="AU123" s="352"/>
      <c r="AV123" s="352"/>
      <c r="AW123" s="352" t="s">
        <v>254</v>
      </c>
    </row>
    <row r="124" spans="2:49" x14ac:dyDescent="0.2">
      <c r="B124" s="460" t="s">
        <v>2404</v>
      </c>
      <c r="C124" s="460">
        <v>1211</v>
      </c>
      <c r="D124" s="460" t="s">
        <v>2311</v>
      </c>
      <c r="E124" s="460" t="s">
        <v>2299</v>
      </c>
      <c r="F124" s="460">
        <v>2</v>
      </c>
      <c r="G124" s="460">
        <v>2</v>
      </c>
      <c r="H124" s="461" t="s">
        <v>746</v>
      </c>
      <c r="I124" s="461" t="s">
        <v>762</v>
      </c>
      <c r="J124" s="461" t="s">
        <v>700</v>
      </c>
      <c r="K124" s="594"/>
      <c r="L124" s="594"/>
      <c r="M124" s="352">
        <v>1000</v>
      </c>
      <c r="N124" s="352" t="s">
        <v>698</v>
      </c>
      <c r="O124" s="460">
        <v>1211</v>
      </c>
      <c r="P124" s="460" t="s">
        <v>705</v>
      </c>
      <c r="Q124" s="460" t="s">
        <v>2266</v>
      </c>
      <c r="R124" s="460">
        <v>1211</v>
      </c>
      <c r="S124" s="460" t="s">
        <v>2296</v>
      </c>
      <c r="T124" s="462">
        <v>0.55517361979372948</v>
      </c>
      <c r="U124" s="460" t="s">
        <v>2299</v>
      </c>
      <c r="V124" s="475">
        <v>0</v>
      </c>
      <c r="W124" s="463" t="s">
        <v>2268</v>
      </c>
      <c r="X124" s="463" t="s">
        <v>2268</v>
      </c>
      <c r="Y124" s="463" t="s">
        <v>2267</v>
      </c>
      <c r="Z124" s="463"/>
      <c r="AA124" s="463"/>
      <c r="AB124" s="464">
        <v>0</v>
      </c>
      <c r="AC124" s="465">
        <v>0</v>
      </c>
      <c r="AD124" s="465">
        <v>0</v>
      </c>
      <c r="AE124" s="476">
        <v>0</v>
      </c>
      <c r="AF124" s="467">
        <v>0</v>
      </c>
      <c r="AG124" s="468">
        <v>0</v>
      </c>
      <c r="AH124" s="218">
        <v>0</v>
      </c>
      <c r="AI124" s="470">
        <v>0</v>
      </c>
      <c r="AJ124" s="471">
        <v>0</v>
      </c>
      <c r="AK124" s="218">
        <v>0</v>
      </c>
      <c r="AL124" s="470">
        <v>0</v>
      </c>
      <c r="AM124" s="471">
        <v>0</v>
      </c>
      <c r="AN124" s="477">
        <v>326.54372272675363</v>
      </c>
      <c r="AO124" s="473">
        <v>0.54850303642168619</v>
      </c>
      <c r="AP124" s="474">
        <v>0.10345510953383359</v>
      </c>
      <c r="AQ124" s="352"/>
      <c r="AR124" s="352"/>
      <c r="AS124" s="352"/>
      <c r="AT124" s="352"/>
      <c r="AU124" s="352"/>
      <c r="AV124" s="352"/>
      <c r="AW124" s="352" t="s">
        <v>254</v>
      </c>
    </row>
    <row r="125" spans="2:49" x14ac:dyDescent="0.2">
      <c r="B125" s="460" t="s">
        <v>2405</v>
      </c>
      <c r="C125" s="460">
        <v>1211</v>
      </c>
      <c r="D125" s="460" t="s">
        <v>2312</v>
      </c>
      <c r="E125" s="460" t="s">
        <v>2302</v>
      </c>
      <c r="F125" s="460">
        <v>3</v>
      </c>
      <c r="G125" s="460">
        <v>2</v>
      </c>
      <c r="H125" s="461" t="s">
        <v>746</v>
      </c>
      <c r="I125" s="461" t="s">
        <v>762</v>
      </c>
      <c r="J125" s="461" t="s">
        <v>700</v>
      </c>
      <c r="K125" s="594"/>
      <c r="L125" s="594"/>
      <c r="M125" s="352">
        <v>1000</v>
      </c>
      <c r="N125" s="352" t="s">
        <v>698</v>
      </c>
      <c r="O125" s="460">
        <v>1211</v>
      </c>
      <c r="P125" s="460" t="s">
        <v>705</v>
      </c>
      <c r="Q125" s="460" t="s">
        <v>2266</v>
      </c>
      <c r="R125" s="460">
        <v>1211</v>
      </c>
      <c r="S125" s="460" t="s">
        <v>2296</v>
      </c>
      <c r="T125" s="462">
        <v>0.28481449642268464</v>
      </c>
      <c r="U125" s="460" t="s">
        <v>2302</v>
      </c>
      <c r="V125" s="475">
        <v>0</v>
      </c>
      <c r="W125" s="463" t="s">
        <v>2268</v>
      </c>
      <c r="X125" s="463" t="s">
        <v>2268</v>
      </c>
      <c r="Y125" s="463" t="s">
        <v>2267</v>
      </c>
      <c r="Z125" s="463"/>
      <c r="AA125" s="463"/>
      <c r="AB125" s="464">
        <v>0</v>
      </c>
      <c r="AC125" s="465">
        <v>0</v>
      </c>
      <c r="AD125" s="465">
        <v>0</v>
      </c>
      <c r="AE125" s="476">
        <v>0</v>
      </c>
      <c r="AF125" s="467">
        <v>0</v>
      </c>
      <c r="AG125" s="468">
        <v>0</v>
      </c>
      <c r="AH125" s="218">
        <v>0</v>
      </c>
      <c r="AI125" s="470">
        <v>0</v>
      </c>
      <c r="AJ125" s="471">
        <v>0</v>
      </c>
      <c r="AK125" s="218">
        <v>0</v>
      </c>
      <c r="AL125" s="470">
        <v>0</v>
      </c>
      <c r="AM125" s="471">
        <v>0</v>
      </c>
      <c r="AN125" s="477">
        <v>31.92731168518576</v>
      </c>
      <c r="AO125" s="473">
        <v>0.34523612982741525</v>
      </c>
      <c r="AP125" s="474">
        <v>4.2061869192724408E-2</v>
      </c>
      <c r="AQ125" s="352"/>
      <c r="AR125" s="352"/>
      <c r="AS125" s="352"/>
      <c r="AT125" s="352"/>
      <c r="AU125" s="352"/>
      <c r="AV125" s="352"/>
      <c r="AW125" s="352" t="s">
        <v>254</v>
      </c>
    </row>
    <row r="126" spans="2:49" x14ac:dyDescent="0.2">
      <c r="B126" s="460" t="s">
        <v>2406</v>
      </c>
      <c r="C126" s="460">
        <v>1211</v>
      </c>
      <c r="D126" s="460" t="s">
        <v>2313</v>
      </c>
      <c r="E126" s="460" t="s">
        <v>2305</v>
      </c>
      <c r="F126" s="460">
        <v>4</v>
      </c>
      <c r="G126" s="460">
        <v>2</v>
      </c>
      <c r="H126" s="461" t="s">
        <v>746</v>
      </c>
      <c r="I126" s="461" t="s">
        <v>762</v>
      </c>
      <c r="J126" s="461" t="s">
        <v>700</v>
      </c>
      <c r="K126" s="594"/>
      <c r="L126" s="594"/>
      <c r="M126" s="352">
        <v>1000</v>
      </c>
      <c r="N126" s="352" t="s">
        <v>698</v>
      </c>
      <c r="O126" s="460">
        <v>1211</v>
      </c>
      <c r="P126" s="460" t="s">
        <v>705</v>
      </c>
      <c r="Q126" s="460" t="s">
        <v>2266</v>
      </c>
      <c r="R126" s="460">
        <v>1211</v>
      </c>
      <c r="S126" s="460" t="s">
        <v>2305</v>
      </c>
      <c r="T126" s="462">
        <v>1</v>
      </c>
      <c r="U126" s="460" t="s">
        <v>2305</v>
      </c>
      <c r="V126" s="475">
        <v>0</v>
      </c>
      <c r="W126" s="463" t="s">
        <v>2268</v>
      </c>
      <c r="X126" s="463" t="s">
        <v>2268</v>
      </c>
      <c r="Y126" s="463" t="s">
        <v>2278</v>
      </c>
      <c r="Z126" s="463"/>
      <c r="AA126" s="463"/>
      <c r="AB126" s="464">
        <v>0</v>
      </c>
      <c r="AC126" s="465">
        <v>0</v>
      </c>
      <c r="AD126" s="465">
        <v>0</v>
      </c>
      <c r="AE126" s="476">
        <v>0</v>
      </c>
      <c r="AF126" s="467">
        <v>0</v>
      </c>
      <c r="AG126" s="468">
        <v>0</v>
      </c>
      <c r="AH126" s="218">
        <v>0</v>
      </c>
      <c r="AI126" s="470">
        <v>0</v>
      </c>
      <c r="AJ126" s="471">
        <v>0</v>
      </c>
      <c r="AK126" s="218">
        <v>0</v>
      </c>
      <c r="AL126" s="470">
        <v>0</v>
      </c>
      <c r="AM126" s="471">
        <v>0</v>
      </c>
      <c r="AN126" s="477">
        <v>2.902792282839934</v>
      </c>
      <c r="AO126" s="473">
        <v>4.0566164698275224E-2</v>
      </c>
      <c r="AP126" s="474">
        <v>0.28332563194476951</v>
      </c>
      <c r="AQ126" s="352"/>
      <c r="AR126" s="352"/>
      <c r="AS126" s="352"/>
      <c r="AT126" s="352"/>
      <c r="AU126" s="352"/>
      <c r="AV126" s="352"/>
      <c r="AW126" s="352" t="s">
        <v>254</v>
      </c>
    </row>
    <row r="127" spans="2:49" x14ac:dyDescent="0.2">
      <c r="B127" s="460" t="s">
        <v>2403</v>
      </c>
      <c r="C127" s="460">
        <v>1211</v>
      </c>
      <c r="D127" s="460" t="s">
        <v>2314</v>
      </c>
      <c r="E127" s="460" t="s">
        <v>2296</v>
      </c>
      <c r="F127" s="460">
        <v>1</v>
      </c>
      <c r="G127" s="460">
        <v>2</v>
      </c>
      <c r="H127" s="461" t="s">
        <v>748</v>
      </c>
      <c r="I127" s="461" t="s">
        <v>765</v>
      </c>
      <c r="J127" s="461" t="s">
        <v>700</v>
      </c>
      <c r="K127" s="594"/>
      <c r="L127" s="594"/>
      <c r="M127" s="352">
        <v>1000</v>
      </c>
      <c r="N127" s="352" t="s">
        <v>698</v>
      </c>
      <c r="O127" s="460">
        <v>1211</v>
      </c>
      <c r="P127" s="460" t="s">
        <v>705</v>
      </c>
      <c r="Q127" s="460" t="s">
        <v>2289</v>
      </c>
      <c r="R127" s="460">
        <v>1211</v>
      </c>
      <c r="S127" s="460" t="s">
        <v>2296</v>
      </c>
      <c r="T127" s="462">
        <v>1</v>
      </c>
      <c r="U127" s="460" t="s">
        <v>2296</v>
      </c>
      <c r="V127" s="475">
        <v>0</v>
      </c>
      <c r="W127" s="463" t="s">
        <v>2268</v>
      </c>
      <c r="X127" s="463" t="s">
        <v>2268</v>
      </c>
      <c r="Y127" s="463" t="s">
        <v>2290</v>
      </c>
      <c r="Z127" s="463"/>
      <c r="AA127" s="463"/>
      <c r="AB127" s="464">
        <v>0</v>
      </c>
      <c r="AC127" s="465">
        <v>0</v>
      </c>
      <c r="AD127" s="465">
        <v>0</v>
      </c>
      <c r="AE127" s="476">
        <v>0</v>
      </c>
      <c r="AF127" s="467">
        <v>0</v>
      </c>
      <c r="AG127" s="468">
        <v>0</v>
      </c>
      <c r="AH127" s="218">
        <v>0</v>
      </c>
      <c r="AI127" s="470">
        <v>0</v>
      </c>
      <c r="AJ127" s="471">
        <v>0</v>
      </c>
      <c r="AK127" s="218">
        <v>0</v>
      </c>
      <c r="AL127" s="470">
        <v>0</v>
      </c>
      <c r="AM127" s="471">
        <v>0</v>
      </c>
      <c r="AN127" s="477">
        <v>0</v>
      </c>
      <c r="AO127" s="473">
        <v>0</v>
      </c>
      <c r="AP127" s="474">
        <v>0</v>
      </c>
      <c r="AQ127" s="352"/>
      <c r="AR127" s="352"/>
      <c r="AS127" s="352"/>
      <c r="AT127" s="352"/>
      <c r="AU127" s="352"/>
      <c r="AV127" s="352"/>
      <c r="AW127" s="352" t="s">
        <v>254</v>
      </c>
    </row>
    <row r="128" spans="2:49" x14ac:dyDescent="0.2">
      <c r="B128" s="460" t="s">
        <v>2404</v>
      </c>
      <c r="C128" s="460">
        <v>1211</v>
      </c>
      <c r="D128" s="460" t="s">
        <v>2315</v>
      </c>
      <c r="E128" s="460" t="s">
        <v>2299</v>
      </c>
      <c r="F128" s="460">
        <v>2</v>
      </c>
      <c r="G128" s="460">
        <v>2</v>
      </c>
      <c r="H128" s="461" t="s">
        <v>748</v>
      </c>
      <c r="I128" s="461" t="s">
        <v>765</v>
      </c>
      <c r="J128" s="461" t="s">
        <v>700</v>
      </c>
      <c r="K128" s="594"/>
      <c r="L128" s="594"/>
      <c r="M128" s="352">
        <v>1000</v>
      </c>
      <c r="N128" s="352" t="s">
        <v>698</v>
      </c>
      <c r="O128" s="460">
        <v>1211</v>
      </c>
      <c r="P128" s="460" t="s">
        <v>705</v>
      </c>
      <c r="Q128" s="460" t="s">
        <v>2289</v>
      </c>
      <c r="R128" s="460">
        <v>1211</v>
      </c>
      <c r="S128" s="460" t="s">
        <v>2296</v>
      </c>
      <c r="T128" s="462">
        <v>0.55517361979372948</v>
      </c>
      <c r="U128" s="460" t="s">
        <v>2299</v>
      </c>
      <c r="V128" s="475">
        <v>0</v>
      </c>
      <c r="W128" s="463" t="s">
        <v>2268</v>
      </c>
      <c r="X128" s="463" t="s">
        <v>2268</v>
      </c>
      <c r="Y128" s="463" t="s">
        <v>2290</v>
      </c>
      <c r="Z128" s="463"/>
      <c r="AA128" s="463"/>
      <c r="AB128" s="464">
        <v>0</v>
      </c>
      <c r="AC128" s="465">
        <v>0</v>
      </c>
      <c r="AD128" s="465">
        <v>0</v>
      </c>
      <c r="AE128" s="476">
        <v>0</v>
      </c>
      <c r="AF128" s="467">
        <v>0</v>
      </c>
      <c r="AG128" s="468">
        <v>0</v>
      </c>
      <c r="AH128" s="218">
        <v>0</v>
      </c>
      <c r="AI128" s="470">
        <v>0</v>
      </c>
      <c r="AJ128" s="471">
        <v>0</v>
      </c>
      <c r="AK128" s="218">
        <v>0</v>
      </c>
      <c r="AL128" s="470">
        <v>0</v>
      </c>
      <c r="AM128" s="471">
        <v>0</v>
      </c>
      <c r="AN128" s="477">
        <v>0</v>
      </c>
      <c r="AO128" s="473">
        <v>0</v>
      </c>
      <c r="AP128" s="474">
        <v>0</v>
      </c>
      <c r="AQ128" s="352"/>
      <c r="AR128" s="352"/>
      <c r="AS128" s="352"/>
      <c r="AT128" s="352"/>
      <c r="AU128" s="352"/>
      <c r="AV128" s="352"/>
      <c r="AW128" s="352" t="s">
        <v>254</v>
      </c>
    </row>
    <row r="129" spans="2:49" x14ac:dyDescent="0.2">
      <c r="B129" s="460" t="s">
        <v>2405</v>
      </c>
      <c r="C129" s="460">
        <v>1211</v>
      </c>
      <c r="D129" s="460" t="s">
        <v>2316</v>
      </c>
      <c r="E129" s="460" t="s">
        <v>2302</v>
      </c>
      <c r="F129" s="460">
        <v>3</v>
      </c>
      <c r="G129" s="460">
        <v>2</v>
      </c>
      <c r="H129" s="461" t="s">
        <v>748</v>
      </c>
      <c r="I129" s="461" t="s">
        <v>765</v>
      </c>
      <c r="J129" s="461" t="s">
        <v>700</v>
      </c>
      <c r="K129" s="594"/>
      <c r="L129" s="594"/>
      <c r="M129" s="352">
        <v>1000</v>
      </c>
      <c r="N129" s="352" t="s">
        <v>698</v>
      </c>
      <c r="O129" s="460">
        <v>1211</v>
      </c>
      <c r="P129" s="460" t="s">
        <v>705</v>
      </c>
      <c r="Q129" s="460" t="s">
        <v>2289</v>
      </c>
      <c r="R129" s="460">
        <v>1211</v>
      </c>
      <c r="S129" s="460" t="s">
        <v>2296</v>
      </c>
      <c r="T129" s="462">
        <v>0.28481449642268464</v>
      </c>
      <c r="U129" s="460" t="s">
        <v>2302</v>
      </c>
      <c r="V129" s="475">
        <v>0</v>
      </c>
      <c r="W129" s="463" t="s">
        <v>2268</v>
      </c>
      <c r="X129" s="463" t="s">
        <v>2268</v>
      </c>
      <c r="Y129" s="463" t="s">
        <v>2290</v>
      </c>
      <c r="Z129" s="463"/>
      <c r="AA129" s="463"/>
      <c r="AB129" s="464">
        <v>0</v>
      </c>
      <c r="AC129" s="465">
        <v>0</v>
      </c>
      <c r="AD129" s="465">
        <v>0</v>
      </c>
      <c r="AE129" s="476">
        <v>0</v>
      </c>
      <c r="AF129" s="467">
        <v>0</v>
      </c>
      <c r="AG129" s="468">
        <v>0</v>
      </c>
      <c r="AH129" s="218">
        <v>0</v>
      </c>
      <c r="AI129" s="470">
        <v>0</v>
      </c>
      <c r="AJ129" s="471">
        <v>0</v>
      </c>
      <c r="AK129" s="218">
        <v>0</v>
      </c>
      <c r="AL129" s="470">
        <v>0</v>
      </c>
      <c r="AM129" s="471">
        <v>0</v>
      </c>
      <c r="AN129" s="477">
        <v>0</v>
      </c>
      <c r="AO129" s="473">
        <v>0</v>
      </c>
      <c r="AP129" s="474">
        <v>0</v>
      </c>
      <c r="AQ129" s="352"/>
      <c r="AR129" s="352"/>
      <c r="AS129" s="352"/>
      <c r="AT129" s="352"/>
      <c r="AU129" s="352"/>
      <c r="AV129" s="352"/>
      <c r="AW129" s="352" t="s">
        <v>254</v>
      </c>
    </row>
    <row r="130" spans="2:49" x14ac:dyDescent="0.2">
      <c r="B130" s="460" t="s">
        <v>2406</v>
      </c>
      <c r="C130" s="460">
        <v>1211</v>
      </c>
      <c r="D130" s="460" t="s">
        <v>2317</v>
      </c>
      <c r="E130" s="460" t="s">
        <v>2305</v>
      </c>
      <c r="F130" s="460">
        <v>4</v>
      </c>
      <c r="G130" s="460">
        <v>2</v>
      </c>
      <c r="H130" s="461" t="s">
        <v>748</v>
      </c>
      <c r="I130" s="461" t="s">
        <v>765</v>
      </c>
      <c r="J130" s="461" t="s">
        <v>700</v>
      </c>
      <c r="K130" s="594"/>
      <c r="L130" s="594"/>
      <c r="M130" s="352">
        <v>1000</v>
      </c>
      <c r="N130" s="352" t="s">
        <v>698</v>
      </c>
      <c r="O130" s="460">
        <v>1211</v>
      </c>
      <c r="P130" s="460" t="s">
        <v>705</v>
      </c>
      <c r="Q130" s="460" t="s">
        <v>2289</v>
      </c>
      <c r="R130" s="460">
        <v>1211</v>
      </c>
      <c r="S130" s="460" t="s">
        <v>2305</v>
      </c>
      <c r="T130" s="462">
        <v>1</v>
      </c>
      <c r="U130" s="460" t="s">
        <v>2305</v>
      </c>
      <c r="V130" s="475">
        <v>0</v>
      </c>
      <c r="W130" s="463" t="s">
        <v>2268</v>
      </c>
      <c r="X130" s="463" t="s">
        <v>2268</v>
      </c>
      <c r="Y130" s="463" t="s">
        <v>2290</v>
      </c>
      <c r="Z130" s="463"/>
      <c r="AA130" s="463"/>
      <c r="AB130" s="464">
        <v>0</v>
      </c>
      <c r="AC130" s="465">
        <v>0</v>
      </c>
      <c r="AD130" s="465">
        <v>0</v>
      </c>
      <c r="AE130" s="476">
        <v>0</v>
      </c>
      <c r="AF130" s="467">
        <v>0</v>
      </c>
      <c r="AG130" s="468">
        <v>0</v>
      </c>
      <c r="AH130" s="218">
        <v>0</v>
      </c>
      <c r="AI130" s="470">
        <v>0</v>
      </c>
      <c r="AJ130" s="471">
        <v>0</v>
      </c>
      <c r="AK130" s="218">
        <v>0</v>
      </c>
      <c r="AL130" s="470">
        <v>0</v>
      </c>
      <c r="AM130" s="471">
        <v>0</v>
      </c>
      <c r="AN130" s="477">
        <v>0</v>
      </c>
      <c r="AO130" s="473">
        <v>0</v>
      </c>
      <c r="AP130" s="474">
        <v>0</v>
      </c>
      <c r="AQ130" s="352"/>
      <c r="AR130" s="352"/>
      <c r="AS130" s="352"/>
      <c r="AT130" s="352"/>
      <c r="AU130" s="352"/>
      <c r="AV130" s="352"/>
      <c r="AW130" s="352" t="s">
        <v>254</v>
      </c>
    </row>
    <row r="131" spans="2:49" x14ac:dyDescent="0.2">
      <c r="B131" s="460" t="s">
        <v>2407</v>
      </c>
      <c r="C131" s="460">
        <v>1211</v>
      </c>
      <c r="D131" s="460" t="s">
        <v>2323</v>
      </c>
      <c r="E131" s="460" t="s">
        <v>2324</v>
      </c>
      <c r="F131" s="460">
        <v>1</v>
      </c>
      <c r="G131" s="460">
        <v>3</v>
      </c>
      <c r="H131" s="461" t="s">
        <v>700</v>
      </c>
      <c r="I131" s="461" t="s">
        <v>872</v>
      </c>
      <c r="J131" s="461" t="s">
        <v>700</v>
      </c>
      <c r="K131" s="594"/>
      <c r="L131" s="594"/>
      <c r="M131" s="352">
        <v>1000</v>
      </c>
      <c r="N131" s="352" t="s">
        <v>698</v>
      </c>
      <c r="O131" s="460">
        <v>1211</v>
      </c>
      <c r="P131" s="460" t="s">
        <v>705</v>
      </c>
      <c r="Q131" s="460" t="s">
        <v>2266</v>
      </c>
      <c r="R131" s="460">
        <v>1211</v>
      </c>
      <c r="S131" s="460" t="s">
        <v>2324</v>
      </c>
      <c r="T131" s="462">
        <v>1</v>
      </c>
      <c r="U131" s="460" t="s">
        <v>2324</v>
      </c>
      <c r="V131" s="475">
        <v>0</v>
      </c>
      <c r="W131" s="463" t="s">
        <v>2267</v>
      </c>
      <c r="X131" s="463" t="s">
        <v>2267</v>
      </c>
      <c r="Y131" s="463" t="s">
        <v>2268</v>
      </c>
      <c r="Z131" s="463"/>
      <c r="AA131" s="463"/>
      <c r="AB131" s="464">
        <v>8333.9358776501995</v>
      </c>
      <c r="AC131" s="465">
        <v>0.87675089419337104</v>
      </c>
      <c r="AD131" s="465">
        <v>7.1444163227035035E-2</v>
      </c>
      <c r="AE131" s="476">
        <v>8333.9358776501995</v>
      </c>
      <c r="AF131" s="467">
        <v>0.87675089419337104</v>
      </c>
      <c r="AG131" s="468">
        <v>7.6530852315753892E-2</v>
      </c>
      <c r="AH131" s="218">
        <v>8333.9358776501995</v>
      </c>
      <c r="AI131" s="470">
        <v>0.87675089419337104</v>
      </c>
      <c r="AJ131" s="471">
        <v>7.3082015665079908E-2</v>
      </c>
      <c r="AK131" s="218">
        <v>8333.9358776501995</v>
      </c>
      <c r="AL131" s="470">
        <v>0.87675089419337104</v>
      </c>
      <c r="AM131" s="471">
        <v>7.3082015665079908E-2</v>
      </c>
      <c r="AN131" s="477">
        <v>0</v>
      </c>
      <c r="AO131" s="473">
        <v>0</v>
      </c>
      <c r="AP131" s="474">
        <v>0</v>
      </c>
      <c r="AQ131" s="352"/>
      <c r="AR131" s="352"/>
      <c r="AS131" s="352"/>
      <c r="AT131" s="352"/>
      <c r="AU131" s="352"/>
      <c r="AV131" s="352"/>
      <c r="AW131" s="352" t="s">
        <v>254</v>
      </c>
    </row>
    <row r="132" spans="2:49" x14ac:dyDescent="0.2">
      <c r="B132" s="460" t="s">
        <v>2408</v>
      </c>
      <c r="C132" s="460">
        <v>1211</v>
      </c>
      <c r="D132" s="460" t="s">
        <v>2326</v>
      </c>
      <c r="E132" s="460" t="s">
        <v>2327</v>
      </c>
      <c r="F132" s="460">
        <v>2</v>
      </c>
      <c r="G132" s="460">
        <v>3</v>
      </c>
      <c r="H132" s="461" t="s">
        <v>700</v>
      </c>
      <c r="I132" s="461" t="s">
        <v>872</v>
      </c>
      <c r="J132" s="461" t="s">
        <v>700</v>
      </c>
      <c r="K132" s="594"/>
      <c r="L132" s="594"/>
      <c r="M132" s="352">
        <v>1000</v>
      </c>
      <c r="N132" s="352" t="s">
        <v>698</v>
      </c>
      <c r="O132" s="460">
        <v>1211</v>
      </c>
      <c r="P132" s="460" t="s">
        <v>705</v>
      </c>
      <c r="Q132" s="460" t="s">
        <v>2266</v>
      </c>
      <c r="R132" s="460">
        <v>1211</v>
      </c>
      <c r="S132" s="460" t="s">
        <v>2324</v>
      </c>
      <c r="T132" s="462">
        <v>1</v>
      </c>
      <c r="U132" s="460" t="s">
        <v>2327</v>
      </c>
      <c r="V132" s="475">
        <v>0</v>
      </c>
      <c r="W132" s="463" t="s">
        <v>2267</v>
      </c>
      <c r="X132" s="463" t="s">
        <v>2267</v>
      </c>
      <c r="Y132" s="463" t="s">
        <v>2268</v>
      </c>
      <c r="Z132" s="463"/>
      <c r="AA132" s="463"/>
      <c r="AB132" s="464">
        <v>3456.894095212057</v>
      </c>
      <c r="AC132" s="465">
        <v>0.70652863332023264</v>
      </c>
      <c r="AD132" s="465">
        <v>5.1057696939118359E-2</v>
      </c>
      <c r="AE132" s="476">
        <v>3456.894095212057</v>
      </c>
      <c r="AF132" s="467">
        <v>0.70652863332023264</v>
      </c>
      <c r="AG132" s="468">
        <v>5.530114342383325E-2</v>
      </c>
      <c r="AH132" s="218">
        <v>4289.7553562209778</v>
      </c>
      <c r="AI132" s="470">
        <v>0.87675089419337104</v>
      </c>
      <c r="AJ132" s="471">
        <v>5.7753795240232296E-2</v>
      </c>
      <c r="AK132" s="218">
        <v>4289.7553562209778</v>
      </c>
      <c r="AL132" s="470">
        <v>0.87675089419337104</v>
      </c>
      <c r="AM132" s="471">
        <v>5.7753795240232296E-2</v>
      </c>
      <c r="AN132" s="477">
        <v>0</v>
      </c>
      <c r="AO132" s="473">
        <v>0</v>
      </c>
      <c r="AP132" s="474">
        <v>0</v>
      </c>
      <c r="AQ132" s="352"/>
      <c r="AR132" s="352"/>
      <c r="AS132" s="352"/>
      <c r="AT132" s="352"/>
      <c r="AU132" s="352"/>
      <c r="AV132" s="352"/>
      <c r="AW132" s="352" t="s">
        <v>254</v>
      </c>
    </row>
    <row r="133" spans="2:49" x14ac:dyDescent="0.2">
      <c r="B133" s="460" t="s">
        <v>2409</v>
      </c>
      <c r="C133" s="460">
        <v>1211</v>
      </c>
      <c r="D133" s="460" t="s">
        <v>2329</v>
      </c>
      <c r="E133" s="460" t="s">
        <v>2330</v>
      </c>
      <c r="F133" s="460">
        <v>3</v>
      </c>
      <c r="G133" s="460">
        <v>3</v>
      </c>
      <c r="H133" s="461" t="s">
        <v>700</v>
      </c>
      <c r="I133" s="461" t="s">
        <v>872</v>
      </c>
      <c r="J133" s="461" t="s">
        <v>700</v>
      </c>
      <c r="K133" s="594"/>
      <c r="L133" s="594"/>
      <c r="M133" s="352">
        <v>1000</v>
      </c>
      <c r="N133" s="352" t="s">
        <v>698</v>
      </c>
      <c r="O133" s="460">
        <v>1211</v>
      </c>
      <c r="P133" s="460" t="s">
        <v>705</v>
      </c>
      <c r="Q133" s="460" t="s">
        <v>2266</v>
      </c>
      <c r="R133" s="460">
        <v>1211</v>
      </c>
      <c r="S133" s="460" t="s">
        <v>2324</v>
      </c>
      <c r="T133" s="462">
        <v>1</v>
      </c>
      <c r="U133" s="460" t="s">
        <v>2330</v>
      </c>
      <c r="V133" s="475">
        <v>0</v>
      </c>
      <c r="W133" s="463" t="s">
        <v>2267</v>
      </c>
      <c r="X133" s="463" t="s">
        <v>2267</v>
      </c>
      <c r="Y133" s="463" t="s">
        <v>2268</v>
      </c>
      <c r="Z133" s="463"/>
      <c r="AA133" s="463"/>
      <c r="AB133" s="464">
        <v>896.51352070226926</v>
      </c>
      <c r="AC133" s="465">
        <v>0.76196758040241197</v>
      </c>
      <c r="AD133" s="465">
        <v>3.3853436044238183E-2</v>
      </c>
      <c r="AE133" s="476">
        <v>896.51352070226926</v>
      </c>
      <c r="AF133" s="467">
        <v>0.76196758040241197</v>
      </c>
      <c r="AG133" s="468">
        <v>3.6282854222698259E-2</v>
      </c>
      <c r="AH133" s="218">
        <v>1031.5649263149066</v>
      </c>
      <c r="AI133" s="470">
        <v>0.87675089419337104</v>
      </c>
      <c r="AJ133" s="471">
        <v>3.6344453504161392E-2</v>
      </c>
      <c r="AK133" s="218">
        <v>1031.5649263149066</v>
      </c>
      <c r="AL133" s="470">
        <v>0.87675089419337104</v>
      </c>
      <c r="AM133" s="471">
        <v>3.6344453504161392E-2</v>
      </c>
      <c r="AN133" s="477">
        <v>0</v>
      </c>
      <c r="AO133" s="473">
        <v>0</v>
      </c>
      <c r="AP133" s="474">
        <v>0</v>
      </c>
      <c r="AQ133" s="352"/>
      <c r="AR133" s="352"/>
      <c r="AS133" s="352"/>
      <c r="AT133" s="352"/>
      <c r="AU133" s="352"/>
      <c r="AV133" s="352"/>
      <c r="AW133" s="352" t="s">
        <v>254</v>
      </c>
    </row>
    <row r="134" spans="2:49" x14ac:dyDescent="0.2">
      <c r="B134" s="460" t="s">
        <v>2410</v>
      </c>
      <c r="C134" s="460">
        <v>1211</v>
      </c>
      <c r="D134" s="460" t="s">
        <v>2332</v>
      </c>
      <c r="E134" s="460" t="s">
        <v>2333</v>
      </c>
      <c r="F134" s="460">
        <v>4</v>
      </c>
      <c r="G134" s="460">
        <v>3</v>
      </c>
      <c r="H134" s="461" t="s">
        <v>700</v>
      </c>
      <c r="I134" s="461" t="s">
        <v>872</v>
      </c>
      <c r="J134" s="461" t="s">
        <v>700</v>
      </c>
      <c r="K134" s="594"/>
      <c r="L134" s="594"/>
      <c r="M134" s="352">
        <v>1000</v>
      </c>
      <c r="N134" s="352" t="s">
        <v>698</v>
      </c>
      <c r="O134" s="460">
        <v>1211</v>
      </c>
      <c r="P134" s="460" t="s">
        <v>705</v>
      </c>
      <c r="Q134" s="460" t="s">
        <v>2266</v>
      </c>
      <c r="R134" s="460">
        <v>1211</v>
      </c>
      <c r="S134" s="460" t="s">
        <v>2333</v>
      </c>
      <c r="T134" s="462">
        <v>1</v>
      </c>
      <c r="U134" s="460" t="s">
        <v>2333</v>
      </c>
      <c r="V134" s="475">
        <v>0</v>
      </c>
      <c r="W134" s="463" t="s">
        <v>2278</v>
      </c>
      <c r="X134" s="463" t="s">
        <v>2278</v>
      </c>
      <c r="Y134" s="463" t="s">
        <v>2268</v>
      </c>
      <c r="Z134" s="463"/>
      <c r="AA134" s="463"/>
      <c r="AB134" s="464">
        <v>86.985047763471201</v>
      </c>
      <c r="AC134" s="465">
        <v>0.21503230415925567</v>
      </c>
      <c r="AD134" s="465">
        <v>5.9992322734145603E-3</v>
      </c>
      <c r="AE134" s="476">
        <v>86.985047763471201</v>
      </c>
      <c r="AF134" s="467">
        <v>0.21503230415925567</v>
      </c>
      <c r="AG134" s="468">
        <v>6.6209137609890669E-3</v>
      </c>
      <c r="AH134" s="218">
        <v>86.985047763471201</v>
      </c>
      <c r="AI134" s="470">
        <v>0.21503230415925567</v>
      </c>
      <c r="AJ134" s="471">
        <v>6.414835931496143E-3</v>
      </c>
      <c r="AK134" s="218">
        <v>86.985047763471201</v>
      </c>
      <c r="AL134" s="470">
        <v>0.21503230415925567</v>
      </c>
      <c r="AM134" s="471">
        <v>6.414835931496143E-3</v>
      </c>
      <c r="AN134" s="477">
        <v>0</v>
      </c>
      <c r="AO134" s="473">
        <v>0</v>
      </c>
      <c r="AP134" s="474">
        <v>0</v>
      </c>
      <c r="AQ134" s="352"/>
      <c r="AR134" s="352"/>
      <c r="AS134" s="352"/>
      <c r="AT134" s="352"/>
      <c r="AU134" s="352"/>
      <c r="AV134" s="352"/>
      <c r="AW134" s="352" t="s">
        <v>254</v>
      </c>
    </row>
    <row r="135" spans="2:49" x14ac:dyDescent="0.2">
      <c r="B135" s="460" t="s">
        <v>2407</v>
      </c>
      <c r="C135" s="460">
        <v>1211</v>
      </c>
      <c r="D135" s="460" t="s">
        <v>2334</v>
      </c>
      <c r="E135" s="460" t="s">
        <v>2324</v>
      </c>
      <c r="F135" s="460">
        <v>1</v>
      </c>
      <c r="G135" s="460">
        <v>3</v>
      </c>
      <c r="H135" s="461" t="s">
        <v>712</v>
      </c>
      <c r="I135" s="461" t="s">
        <v>713</v>
      </c>
      <c r="J135" s="461" t="s">
        <v>712</v>
      </c>
      <c r="K135" s="594"/>
      <c r="L135" s="594"/>
      <c r="M135" s="352">
        <v>1000</v>
      </c>
      <c r="N135" s="352" t="s">
        <v>698</v>
      </c>
      <c r="O135" s="460">
        <v>1211</v>
      </c>
      <c r="P135" s="460" t="s">
        <v>705</v>
      </c>
      <c r="Q135" s="460" t="s">
        <v>2280</v>
      </c>
      <c r="R135" s="460">
        <v>1211</v>
      </c>
      <c r="S135" s="460" t="s">
        <v>2324</v>
      </c>
      <c r="T135" s="462">
        <v>1</v>
      </c>
      <c r="U135" s="460" t="s">
        <v>2324</v>
      </c>
      <c r="V135" s="475">
        <v>0</v>
      </c>
      <c r="W135" s="463" t="s">
        <v>713</v>
      </c>
      <c r="X135" s="463" t="s">
        <v>713</v>
      </c>
      <c r="Y135" s="463" t="s">
        <v>713</v>
      </c>
      <c r="Z135" s="463"/>
      <c r="AA135" s="463"/>
      <c r="AB135" s="464">
        <v>1171.5415992990449</v>
      </c>
      <c r="AC135" s="465">
        <v>0.12324910580662884</v>
      </c>
      <c r="AD135" s="465">
        <v>2.9252176418300534E-3</v>
      </c>
      <c r="AE135" s="476">
        <v>1171.5415992990459</v>
      </c>
      <c r="AF135" s="467">
        <v>0.12324910580662896</v>
      </c>
      <c r="AG135" s="468">
        <v>2.8696638709201109E-3</v>
      </c>
      <c r="AH135" s="218">
        <v>1171.5415992990459</v>
      </c>
      <c r="AI135" s="470">
        <v>0.12324910580662896</v>
      </c>
      <c r="AJ135" s="471">
        <v>2.9062470597939847E-3</v>
      </c>
      <c r="AK135" s="218">
        <v>1171.5415992990459</v>
      </c>
      <c r="AL135" s="470">
        <v>0.12324910580662896</v>
      </c>
      <c r="AM135" s="471">
        <v>2.9062470597939847E-3</v>
      </c>
      <c r="AN135" s="477">
        <v>1171.5415992990459</v>
      </c>
      <c r="AO135" s="473">
        <v>0.12324910580662896</v>
      </c>
      <c r="AP135" s="474">
        <v>2.9048327265198816E-3</v>
      </c>
      <c r="AQ135" s="352"/>
      <c r="AR135" s="352"/>
      <c r="AS135" s="352"/>
      <c r="AT135" s="352"/>
      <c r="AU135" s="352"/>
      <c r="AV135" s="352"/>
      <c r="AW135" s="352" t="s">
        <v>254</v>
      </c>
    </row>
    <row r="136" spans="2:49" x14ac:dyDescent="0.2">
      <c r="B136" s="460" t="s">
        <v>2408</v>
      </c>
      <c r="C136" s="460">
        <v>1211</v>
      </c>
      <c r="D136" s="460" t="s">
        <v>2335</v>
      </c>
      <c r="E136" s="460" t="s">
        <v>2327</v>
      </c>
      <c r="F136" s="460">
        <v>2</v>
      </c>
      <c r="G136" s="460">
        <v>3</v>
      </c>
      <c r="H136" s="461" t="s">
        <v>712</v>
      </c>
      <c r="I136" s="461" t="s">
        <v>713</v>
      </c>
      <c r="J136" s="461" t="s">
        <v>712</v>
      </c>
      <c r="K136" s="594"/>
      <c r="L136" s="594"/>
      <c r="M136" s="352">
        <v>1000</v>
      </c>
      <c r="N136" s="352" t="s">
        <v>698</v>
      </c>
      <c r="O136" s="460">
        <v>1211</v>
      </c>
      <c r="P136" s="460" t="s">
        <v>705</v>
      </c>
      <c r="Q136" s="460" t="s">
        <v>2280</v>
      </c>
      <c r="R136" s="460">
        <v>1211</v>
      </c>
      <c r="S136" s="460" t="s">
        <v>2324</v>
      </c>
      <c r="T136" s="462">
        <v>1</v>
      </c>
      <c r="U136" s="460" t="s">
        <v>2327</v>
      </c>
      <c r="V136" s="475">
        <v>0</v>
      </c>
      <c r="W136" s="463" t="s">
        <v>713</v>
      </c>
      <c r="X136" s="463" t="s">
        <v>713</v>
      </c>
      <c r="Y136" s="463" t="s">
        <v>713</v>
      </c>
      <c r="Z136" s="463"/>
      <c r="AA136" s="463"/>
      <c r="AB136" s="464">
        <v>1435.8928806913339</v>
      </c>
      <c r="AC136" s="465">
        <v>0.29347136667976731</v>
      </c>
      <c r="AD136" s="465">
        <v>4.598588376847285E-3</v>
      </c>
      <c r="AE136" s="476">
        <v>1435.8928806913341</v>
      </c>
      <c r="AF136" s="467">
        <v>0.29347136667976736</v>
      </c>
      <c r="AG136" s="468">
        <v>4.5233273762173964E-3</v>
      </c>
      <c r="AH136" s="218">
        <v>603.03161968241318</v>
      </c>
      <c r="AI136" s="470">
        <v>0.12324910580662896</v>
      </c>
      <c r="AJ136" s="471">
        <v>1.9755792722816762E-3</v>
      </c>
      <c r="AK136" s="218">
        <v>603.03161968241318</v>
      </c>
      <c r="AL136" s="470">
        <v>0.12324910580662896</v>
      </c>
      <c r="AM136" s="471">
        <v>1.9755792722816762E-3</v>
      </c>
      <c r="AN136" s="477">
        <v>603.03161968241318</v>
      </c>
      <c r="AO136" s="473">
        <v>0.12324910580662896</v>
      </c>
      <c r="AP136" s="474">
        <v>1.9748047191056398E-3</v>
      </c>
      <c r="AQ136" s="352"/>
      <c r="AR136" s="352"/>
      <c r="AS136" s="352"/>
      <c r="AT136" s="352"/>
      <c r="AU136" s="352"/>
      <c r="AV136" s="352"/>
      <c r="AW136" s="352" t="s">
        <v>254</v>
      </c>
    </row>
    <row r="137" spans="2:49" x14ac:dyDescent="0.2">
      <c r="B137" s="460" t="s">
        <v>2409</v>
      </c>
      <c r="C137" s="460">
        <v>1211</v>
      </c>
      <c r="D137" s="460" t="s">
        <v>2336</v>
      </c>
      <c r="E137" s="460" t="s">
        <v>2330</v>
      </c>
      <c r="F137" s="460">
        <v>3</v>
      </c>
      <c r="G137" s="460">
        <v>3</v>
      </c>
      <c r="H137" s="461" t="s">
        <v>712</v>
      </c>
      <c r="I137" s="461" t="s">
        <v>713</v>
      </c>
      <c r="J137" s="461" t="s">
        <v>712</v>
      </c>
      <c r="K137" s="594"/>
      <c r="L137" s="594"/>
      <c r="M137" s="352">
        <v>1000</v>
      </c>
      <c r="N137" s="352" t="s">
        <v>698</v>
      </c>
      <c r="O137" s="460">
        <v>1211</v>
      </c>
      <c r="P137" s="460" t="s">
        <v>705</v>
      </c>
      <c r="Q137" s="460" t="s">
        <v>2280</v>
      </c>
      <c r="R137" s="460">
        <v>1211</v>
      </c>
      <c r="S137" s="460" t="s">
        <v>2324</v>
      </c>
      <c r="T137" s="462">
        <v>1</v>
      </c>
      <c r="U137" s="460" t="s">
        <v>2330</v>
      </c>
      <c r="V137" s="475">
        <v>0</v>
      </c>
      <c r="W137" s="463" t="s">
        <v>713</v>
      </c>
      <c r="X137" s="463" t="s">
        <v>713</v>
      </c>
      <c r="Y137" s="463" t="s">
        <v>713</v>
      </c>
      <c r="Z137" s="463"/>
      <c r="AA137" s="463"/>
      <c r="AB137" s="464">
        <v>280.06346729609231</v>
      </c>
      <c r="AC137" s="465">
        <v>0.23803241959758803</v>
      </c>
      <c r="AD137" s="465">
        <v>2.4797556119504982E-3</v>
      </c>
      <c r="AE137" s="476">
        <v>280.06346729609231</v>
      </c>
      <c r="AF137" s="467">
        <v>0.23803241959758803</v>
      </c>
      <c r="AG137" s="468">
        <v>2.4414245675512813E-3</v>
      </c>
      <c r="AH137" s="218">
        <v>145.01206168345487</v>
      </c>
      <c r="AI137" s="470">
        <v>0.12324910580662896</v>
      </c>
      <c r="AJ137" s="471">
        <v>1.312393814534832E-3</v>
      </c>
      <c r="AK137" s="218">
        <v>145.01206168345487</v>
      </c>
      <c r="AL137" s="470">
        <v>0.12324910580662896</v>
      </c>
      <c r="AM137" s="471">
        <v>1.312393814534832E-3</v>
      </c>
      <c r="AN137" s="477">
        <v>145.01206168345487</v>
      </c>
      <c r="AO137" s="473">
        <v>0.12324910580662896</v>
      </c>
      <c r="AP137" s="474">
        <v>1.3157812479118896E-3</v>
      </c>
      <c r="AQ137" s="352"/>
      <c r="AR137" s="352"/>
      <c r="AS137" s="352"/>
      <c r="AT137" s="352"/>
      <c r="AU137" s="352"/>
      <c r="AV137" s="352"/>
      <c r="AW137" s="352" t="s">
        <v>254</v>
      </c>
    </row>
    <row r="138" spans="2:49" x14ac:dyDescent="0.2">
      <c r="B138" s="460" t="s">
        <v>2410</v>
      </c>
      <c r="C138" s="460">
        <v>1211</v>
      </c>
      <c r="D138" s="460" t="s">
        <v>2337</v>
      </c>
      <c r="E138" s="460" t="s">
        <v>2333</v>
      </c>
      <c r="F138" s="460">
        <v>4</v>
      </c>
      <c r="G138" s="460">
        <v>3</v>
      </c>
      <c r="H138" s="461" t="s">
        <v>712</v>
      </c>
      <c r="I138" s="461" t="s">
        <v>713</v>
      </c>
      <c r="J138" s="461" t="s">
        <v>712</v>
      </c>
      <c r="K138" s="594"/>
      <c r="L138" s="594"/>
      <c r="M138" s="352">
        <v>1000</v>
      </c>
      <c r="N138" s="352" t="s">
        <v>698</v>
      </c>
      <c r="O138" s="460">
        <v>1211</v>
      </c>
      <c r="P138" s="460" t="s">
        <v>705</v>
      </c>
      <c r="Q138" s="460" t="s">
        <v>2280</v>
      </c>
      <c r="R138" s="460">
        <v>1211</v>
      </c>
      <c r="S138" s="460" t="s">
        <v>2333</v>
      </c>
      <c r="T138" s="462">
        <v>1</v>
      </c>
      <c r="U138" s="460" t="s">
        <v>2333</v>
      </c>
      <c r="V138" s="475">
        <v>0</v>
      </c>
      <c r="W138" s="463" t="s">
        <v>713</v>
      </c>
      <c r="X138" s="463" t="s">
        <v>713</v>
      </c>
      <c r="Y138" s="463" t="s">
        <v>713</v>
      </c>
      <c r="Z138" s="463"/>
      <c r="AA138" s="463"/>
      <c r="AB138" s="464">
        <v>317.53578971520346</v>
      </c>
      <c r="AC138" s="465">
        <v>0.78496769584074433</v>
      </c>
      <c r="AD138" s="465">
        <v>2.4140565161639991E-3</v>
      </c>
      <c r="AE138" s="476">
        <v>317.53578971520346</v>
      </c>
      <c r="AF138" s="467">
        <v>0.78496769584074433</v>
      </c>
      <c r="AG138" s="468">
        <v>2.3893262303613478E-3</v>
      </c>
      <c r="AH138" s="218">
        <v>317.53578971520346</v>
      </c>
      <c r="AI138" s="470">
        <v>0.78496769584074433</v>
      </c>
      <c r="AJ138" s="471">
        <v>2.3969384629016406E-3</v>
      </c>
      <c r="AK138" s="218">
        <v>317.53578971520346</v>
      </c>
      <c r="AL138" s="470">
        <v>0.78496769584074433</v>
      </c>
      <c r="AM138" s="471">
        <v>2.3969384629016406E-3</v>
      </c>
      <c r="AN138" s="477">
        <v>317.53578971520346</v>
      </c>
      <c r="AO138" s="473">
        <v>0.78496769584074433</v>
      </c>
      <c r="AP138" s="474">
        <v>2.3977001709428567E-3</v>
      </c>
      <c r="AQ138" s="352"/>
      <c r="AR138" s="352"/>
      <c r="AS138" s="352"/>
      <c r="AT138" s="352"/>
      <c r="AU138" s="352"/>
      <c r="AV138" s="352"/>
      <c r="AW138" s="352" t="s">
        <v>254</v>
      </c>
    </row>
    <row r="139" spans="2:49" x14ac:dyDescent="0.2">
      <c r="B139" s="460" t="s">
        <v>2407</v>
      </c>
      <c r="C139" s="460">
        <v>1211</v>
      </c>
      <c r="D139" s="460" t="s">
        <v>2338</v>
      </c>
      <c r="E139" s="460" t="s">
        <v>2324</v>
      </c>
      <c r="F139" s="460">
        <v>1</v>
      </c>
      <c r="G139" s="460">
        <v>3</v>
      </c>
      <c r="H139" s="461" t="s">
        <v>746</v>
      </c>
      <c r="I139" s="461" t="s">
        <v>762</v>
      </c>
      <c r="J139" s="461" t="s">
        <v>700</v>
      </c>
      <c r="K139" s="594"/>
      <c r="L139" s="594"/>
      <c r="M139" s="352">
        <v>1000</v>
      </c>
      <c r="N139" s="352" t="s">
        <v>698</v>
      </c>
      <c r="O139" s="460">
        <v>1211</v>
      </c>
      <c r="P139" s="460" t="s">
        <v>705</v>
      </c>
      <c r="Q139" s="460" t="s">
        <v>2266</v>
      </c>
      <c r="R139" s="460">
        <v>1211</v>
      </c>
      <c r="S139" s="460" t="s">
        <v>2324</v>
      </c>
      <c r="T139" s="462">
        <v>1</v>
      </c>
      <c r="U139" s="460" t="s">
        <v>2324</v>
      </c>
      <c r="V139" s="475">
        <v>0</v>
      </c>
      <c r="W139" s="463" t="s">
        <v>2268</v>
      </c>
      <c r="X139" s="463" t="s">
        <v>2268</v>
      </c>
      <c r="Y139" s="463" t="s">
        <v>2267</v>
      </c>
      <c r="Z139" s="463"/>
      <c r="AA139" s="463"/>
      <c r="AB139" s="464">
        <v>0</v>
      </c>
      <c r="AC139" s="465">
        <v>0</v>
      </c>
      <c r="AD139" s="465">
        <v>0</v>
      </c>
      <c r="AE139" s="476">
        <v>0</v>
      </c>
      <c r="AF139" s="467">
        <v>0</v>
      </c>
      <c r="AG139" s="468">
        <v>0</v>
      </c>
      <c r="AH139" s="218">
        <v>0</v>
      </c>
      <c r="AI139" s="470">
        <v>0</v>
      </c>
      <c r="AJ139" s="471">
        <v>0</v>
      </c>
      <c r="AK139" s="218">
        <v>0</v>
      </c>
      <c r="AL139" s="470">
        <v>0</v>
      </c>
      <c r="AM139" s="471">
        <v>0</v>
      </c>
      <c r="AN139" s="477">
        <v>8333.9358776501995</v>
      </c>
      <c r="AO139" s="473">
        <v>0.87675089419337104</v>
      </c>
      <c r="AP139" s="474">
        <v>8.8070981561534104E-2</v>
      </c>
      <c r="AQ139" s="352"/>
      <c r="AR139" s="352"/>
      <c r="AS139" s="352"/>
      <c r="AT139" s="352"/>
      <c r="AU139" s="352"/>
      <c r="AV139" s="352"/>
      <c r="AW139" s="352" t="s">
        <v>254</v>
      </c>
    </row>
    <row r="140" spans="2:49" x14ac:dyDescent="0.2">
      <c r="B140" s="460" t="s">
        <v>2408</v>
      </c>
      <c r="C140" s="460">
        <v>1211</v>
      </c>
      <c r="D140" s="460" t="s">
        <v>2339</v>
      </c>
      <c r="E140" s="460" t="s">
        <v>2327</v>
      </c>
      <c r="F140" s="460">
        <v>2</v>
      </c>
      <c r="G140" s="460">
        <v>3</v>
      </c>
      <c r="H140" s="461" t="s">
        <v>746</v>
      </c>
      <c r="I140" s="461" t="s">
        <v>762</v>
      </c>
      <c r="J140" s="461" t="s">
        <v>700</v>
      </c>
      <c r="K140" s="594"/>
      <c r="L140" s="594"/>
      <c r="M140" s="352">
        <v>1000</v>
      </c>
      <c r="N140" s="352" t="s">
        <v>698</v>
      </c>
      <c r="O140" s="460">
        <v>1211</v>
      </c>
      <c r="P140" s="460" t="s">
        <v>705</v>
      </c>
      <c r="Q140" s="460" t="s">
        <v>2266</v>
      </c>
      <c r="R140" s="460">
        <v>1211</v>
      </c>
      <c r="S140" s="460" t="s">
        <v>2324</v>
      </c>
      <c r="T140" s="462">
        <v>1</v>
      </c>
      <c r="U140" s="460" t="s">
        <v>2327</v>
      </c>
      <c r="V140" s="475">
        <v>0</v>
      </c>
      <c r="W140" s="463" t="s">
        <v>2268</v>
      </c>
      <c r="X140" s="463" t="s">
        <v>2268</v>
      </c>
      <c r="Y140" s="463" t="s">
        <v>2267</v>
      </c>
      <c r="Z140" s="463"/>
      <c r="AA140" s="463"/>
      <c r="AB140" s="464">
        <v>0</v>
      </c>
      <c r="AC140" s="465">
        <v>0</v>
      </c>
      <c r="AD140" s="465">
        <v>0</v>
      </c>
      <c r="AE140" s="476">
        <v>0</v>
      </c>
      <c r="AF140" s="467">
        <v>0</v>
      </c>
      <c r="AG140" s="468">
        <v>0</v>
      </c>
      <c r="AH140" s="218">
        <v>0</v>
      </c>
      <c r="AI140" s="470">
        <v>0</v>
      </c>
      <c r="AJ140" s="471">
        <v>0</v>
      </c>
      <c r="AK140" s="218">
        <v>0</v>
      </c>
      <c r="AL140" s="470">
        <v>0</v>
      </c>
      <c r="AM140" s="471">
        <v>0</v>
      </c>
      <c r="AN140" s="477">
        <v>4289.7553562209778</v>
      </c>
      <c r="AO140" s="473">
        <v>0.87675089419337104</v>
      </c>
      <c r="AP140" s="474">
        <v>6.8191520434381092E-2</v>
      </c>
      <c r="AQ140" s="352"/>
      <c r="AR140" s="352"/>
      <c r="AS140" s="352"/>
      <c r="AT140" s="352"/>
      <c r="AU140" s="352"/>
      <c r="AV140" s="352"/>
      <c r="AW140" s="352" t="s">
        <v>254</v>
      </c>
    </row>
    <row r="141" spans="2:49" x14ac:dyDescent="0.2">
      <c r="B141" s="460" t="s">
        <v>2409</v>
      </c>
      <c r="C141" s="460">
        <v>1211</v>
      </c>
      <c r="D141" s="460" t="s">
        <v>2340</v>
      </c>
      <c r="E141" s="460" t="s">
        <v>2330</v>
      </c>
      <c r="F141" s="460">
        <v>3</v>
      </c>
      <c r="G141" s="460">
        <v>3</v>
      </c>
      <c r="H141" s="461" t="s">
        <v>746</v>
      </c>
      <c r="I141" s="461" t="s">
        <v>762</v>
      </c>
      <c r="J141" s="461" t="s">
        <v>700</v>
      </c>
      <c r="K141" s="594"/>
      <c r="L141" s="594"/>
      <c r="M141" s="352">
        <v>1000</v>
      </c>
      <c r="N141" s="352" t="s">
        <v>698</v>
      </c>
      <c r="O141" s="460">
        <v>1211</v>
      </c>
      <c r="P141" s="460" t="s">
        <v>705</v>
      </c>
      <c r="Q141" s="460" t="s">
        <v>2266</v>
      </c>
      <c r="R141" s="460">
        <v>1211</v>
      </c>
      <c r="S141" s="460" t="s">
        <v>2324</v>
      </c>
      <c r="T141" s="462">
        <v>1</v>
      </c>
      <c r="U141" s="460" t="s">
        <v>2330</v>
      </c>
      <c r="V141" s="475">
        <v>0</v>
      </c>
      <c r="W141" s="463" t="s">
        <v>2268</v>
      </c>
      <c r="X141" s="463" t="s">
        <v>2268</v>
      </c>
      <c r="Y141" s="463" t="s">
        <v>2267</v>
      </c>
      <c r="Z141" s="463"/>
      <c r="AA141" s="463"/>
      <c r="AB141" s="464">
        <v>0</v>
      </c>
      <c r="AC141" s="465">
        <v>0</v>
      </c>
      <c r="AD141" s="465">
        <v>0</v>
      </c>
      <c r="AE141" s="476">
        <v>0</v>
      </c>
      <c r="AF141" s="467">
        <v>0</v>
      </c>
      <c r="AG141" s="468">
        <v>0</v>
      </c>
      <c r="AH141" s="218">
        <v>0</v>
      </c>
      <c r="AI141" s="470">
        <v>0</v>
      </c>
      <c r="AJ141" s="471">
        <v>0</v>
      </c>
      <c r="AK141" s="218">
        <v>0</v>
      </c>
      <c r="AL141" s="470">
        <v>0</v>
      </c>
      <c r="AM141" s="471">
        <v>0</v>
      </c>
      <c r="AN141" s="477">
        <v>1031.5649263149066</v>
      </c>
      <c r="AO141" s="473">
        <v>0.87675089419337104</v>
      </c>
      <c r="AP141" s="474">
        <v>4.1264477093365656E-2</v>
      </c>
      <c r="AQ141" s="352"/>
      <c r="AR141" s="352"/>
      <c r="AS141" s="352"/>
      <c r="AT141" s="352"/>
      <c r="AU141" s="352"/>
      <c r="AV141" s="352"/>
      <c r="AW141" s="352" t="s">
        <v>254</v>
      </c>
    </row>
    <row r="142" spans="2:49" x14ac:dyDescent="0.2">
      <c r="B142" s="460" t="s">
        <v>2410</v>
      </c>
      <c r="C142" s="460">
        <v>1211</v>
      </c>
      <c r="D142" s="460" t="s">
        <v>2341</v>
      </c>
      <c r="E142" s="460" t="s">
        <v>2333</v>
      </c>
      <c r="F142" s="460">
        <v>4</v>
      </c>
      <c r="G142" s="460">
        <v>3</v>
      </c>
      <c r="H142" s="461" t="s">
        <v>746</v>
      </c>
      <c r="I142" s="461" t="s">
        <v>762</v>
      </c>
      <c r="J142" s="461" t="s">
        <v>700</v>
      </c>
      <c r="K142" s="594"/>
      <c r="L142" s="594"/>
      <c r="M142" s="352">
        <v>1000</v>
      </c>
      <c r="N142" s="352" t="s">
        <v>698</v>
      </c>
      <c r="O142" s="460">
        <v>1211</v>
      </c>
      <c r="P142" s="460" t="s">
        <v>705</v>
      </c>
      <c r="Q142" s="460" t="s">
        <v>2266</v>
      </c>
      <c r="R142" s="460">
        <v>1211</v>
      </c>
      <c r="S142" s="460" t="s">
        <v>2333</v>
      </c>
      <c r="T142" s="462">
        <v>1</v>
      </c>
      <c r="U142" s="460" t="s">
        <v>2333</v>
      </c>
      <c r="V142" s="475">
        <v>0</v>
      </c>
      <c r="W142" s="463" t="s">
        <v>2268</v>
      </c>
      <c r="X142" s="463" t="s">
        <v>2268</v>
      </c>
      <c r="Y142" s="463" t="s">
        <v>2278</v>
      </c>
      <c r="Z142" s="463"/>
      <c r="AA142" s="463"/>
      <c r="AB142" s="464">
        <v>0</v>
      </c>
      <c r="AC142" s="465">
        <v>0</v>
      </c>
      <c r="AD142" s="465">
        <v>0</v>
      </c>
      <c r="AE142" s="476">
        <v>0</v>
      </c>
      <c r="AF142" s="467">
        <v>0</v>
      </c>
      <c r="AG142" s="468">
        <v>0</v>
      </c>
      <c r="AH142" s="218">
        <v>0</v>
      </c>
      <c r="AI142" s="470">
        <v>0</v>
      </c>
      <c r="AJ142" s="471">
        <v>0</v>
      </c>
      <c r="AK142" s="218">
        <v>0</v>
      </c>
      <c r="AL142" s="470">
        <v>0</v>
      </c>
      <c r="AM142" s="471">
        <v>0</v>
      </c>
      <c r="AN142" s="477">
        <v>86.985047763471201</v>
      </c>
      <c r="AO142" s="473">
        <v>0.21503230415925567</v>
      </c>
      <c r="AP142" s="474">
        <v>7.2510387464990462E-3</v>
      </c>
      <c r="AQ142" s="352"/>
      <c r="AR142" s="352"/>
      <c r="AS142" s="352"/>
      <c r="AT142" s="352"/>
      <c r="AU142" s="352"/>
      <c r="AV142" s="352"/>
      <c r="AW142" s="352" t="s">
        <v>254</v>
      </c>
    </row>
    <row r="143" spans="2:49" x14ac:dyDescent="0.2">
      <c r="B143" s="460" t="s">
        <v>2407</v>
      </c>
      <c r="C143" s="460">
        <v>1211</v>
      </c>
      <c r="D143" s="460" t="s">
        <v>2342</v>
      </c>
      <c r="E143" s="460" t="s">
        <v>2324</v>
      </c>
      <c r="F143" s="460">
        <v>1</v>
      </c>
      <c r="G143" s="460">
        <v>3</v>
      </c>
      <c r="H143" s="461" t="s">
        <v>748</v>
      </c>
      <c r="I143" s="461" t="s">
        <v>765</v>
      </c>
      <c r="J143" s="461" t="s">
        <v>700</v>
      </c>
      <c r="K143" s="594"/>
      <c r="L143" s="594"/>
      <c r="M143" s="352">
        <v>1000</v>
      </c>
      <c r="N143" s="352" t="s">
        <v>698</v>
      </c>
      <c r="O143" s="460">
        <v>1211</v>
      </c>
      <c r="P143" s="460" t="s">
        <v>705</v>
      </c>
      <c r="Q143" s="460" t="s">
        <v>2289</v>
      </c>
      <c r="R143" s="460">
        <v>1211</v>
      </c>
      <c r="S143" s="460" t="s">
        <v>2324</v>
      </c>
      <c r="T143" s="462">
        <v>1</v>
      </c>
      <c r="U143" s="460" t="s">
        <v>2324</v>
      </c>
      <c r="V143" s="475">
        <v>0</v>
      </c>
      <c r="W143" s="463" t="s">
        <v>2268</v>
      </c>
      <c r="X143" s="463" t="s">
        <v>2268</v>
      </c>
      <c r="Y143" s="463" t="s">
        <v>2290</v>
      </c>
      <c r="Z143" s="463"/>
      <c r="AA143" s="463"/>
      <c r="AB143" s="464">
        <v>0</v>
      </c>
      <c r="AC143" s="465">
        <v>0</v>
      </c>
      <c r="AD143" s="465">
        <v>0</v>
      </c>
      <c r="AE143" s="476">
        <v>0</v>
      </c>
      <c r="AF143" s="467">
        <v>0</v>
      </c>
      <c r="AG143" s="468">
        <v>0</v>
      </c>
      <c r="AH143" s="218">
        <v>0</v>
      </c>
      <c r="AI143" s="470">
        <v>0</v>
      </c>
      <c r="AJ143" s="471">
        <v>0</v>
      </c>
      <c r="AK143" s="218">
        <v>0</v>
      </c>
      <c r="AL143" s="470">
        <v>0</v>
      </c>
      <c r="AM143" s="471">
        <v>0</v>
      </c>
      <c r="AN143" s="477">
        <v>0</v>
      </c>
      <c r="AO143" s="473">
        <v>0</v>
      </c>
      <c r="AP143" s="474">
        <v>0</v>
      </c>
      <c r="AQ143" s="352"/>
      <c r="AR143" s="352"/>
      <c r="AS143" s="352"/>
      <c r="AT143" s="352"/>
      <c r="AU143" s="352"/>
      <c r="AV143" s="352"/>
      <c r="AW143" s="352" t="s">
        <v>254</v>
      </c>
    </row>
    <row r="144" spans="2:49" x14ac:dyDescent="0.2">
      <c r="B144" s="460" t="s">
        <v>2408</v>
      </c>
      <c r="C144" s="460">
        <v>1211</v>
      </c>
      <c r="D144" s="460" t="s">
        <v>2343</v>
      </c>
      <c r="E144" s="460" t="s">
        <v>2327</v>
      </c>
      <c r="F144" s="460">
        <v>2</v>
      </c>
      <c r="G144" s="460">
        <v>3</v>
      </c>
      <c r="H144" s="461" t="s">
        <v>748</v>
      </c>
      <c r="I144" s="461" t="s">
        <v>765</v>
      </c>
      <c r="J144" s="461" t="s">
        <v>700</v>
      </c>
      <c r="K144" s="594"/>
      <c r="L144" s="594"/>
      <c r="M144" s="352">
        <v>1000</v>
      </c>
      <c r="N144" s="352" t="s">
        <v>698</v>
      </c>
      <c r="O144" s="460">
        <v>1211</v>
      </c>
      <c r="P144" s="460" t="s">
        <v>705</v>
      </c>
      <c r="Q144" s="460" t="s">
        <v>2289</v>
      </c>
      <c r="R144" s="460">
        <v>1211</v>
      </c>
      <c r="S144" s="460" t="s">
        <v>2324</v>
      </c>
      <c r="T144" s="462">
        <v>1</v>
      </c>
      <c r="U144" s="460" t="s">
        <v>2327</v>
      </c>
      <c r="V144" s="475">
        <v>0</v>
      </c>
      <c r="W144" s="463" t="s">
        <v>2268</v>
      </c>
      <c r="X144" s="463" t="s">
        <v>2268</v>
      </c>
      <c r="Y144" s="463" t="s">
        <v>2290</v>
      </c>
      <c r="Z144" s="463"/>
      <c r="AA144" s="463"/>
      <c r="AB144" s="464">
        <v>0</v>
      </c>
      <c r="AC144" s="465">
        <v>0</v>
      </c>
      <c r="AD144" s="465">
        <v>0</v>
      </c>
      <c r="AE144" s="476">
        <v>0</v>
      </c>
      <c r="AF144" s="467">
        <v>0</v>
      </c>
      <c r="AG144" s="468">
        <v>0</v>
      </c>
      <c r="AH144" s="218">
        <v>0</v>
      </c>
      <c r="AI144" s="470">
        <v>0</v>
      </c>
      <c r="AJ144" s="471">
        <v>0</v>
      </c>
      <c r="AK144" s="218">
        <v>0</v>
      </c>
      <c r="AL144" s="470">
        <v>0</v>
      </c>
      <c r="AM144" s="471">
        <v>0</v>
      </c>
      <c r="AN144" s="477">
        <v>0</v>
      </c>
      <c r="AO144" s="473">
        <v>0</v>
      </c>
      <c r="AP144" s="474">
        <v>0</v>
      </c>
      <c r="AQ144" s="352"/>
      <c r="AR144" s="352"/>
      <c r="AS144" s="352"/>
      <c r="AT144" s="352"/>
      <c r="AU144" s="352"/>
      <c r="AV144" s="352"/>
      <c r="AW144" s="352" t="s">
        <v>254</v>
      </c>
    </row>
    <row r="145" spans="2:49" x14ac:dyDescent="0.2">
      <c r="B145" s="460" t="s">
        <v>2409</v>
      </c>
      <c r="C145" s="460">
        <v>1211</v>
      </c>
      <c r="D145" s="460" t="s">
        <v>2344</v>
      </c>
      <c r="E145" s="460" t="s">
        <v>2330</v>
      </c>
      <c r="F145" s="460">
        <v>3</v>
      </c>
      <c r="G145" s="460">
        <v>3</v>
      </c>
      <c r="H145" s="461" t="s">
        <v>748</v>
      </c>
      <c r="I145" s="461" t="s">
        <v>765</v>
      </c>
      <c r="J145" s="461" t="s">
        <v>700</v>
      </c>
      <c r="K145" s="594"/>
      <c r="L145" s="594"/>
      <c r="M145" s="352">
        <v>1000</v>
      </c>
      <c r="N145" s="352" t="s">
        <v>698</v>
      </c>
      <c r="O145" s="460">
        <v>1211</v>
      </c>
      <c r="P145" s="460" t="s">
        <v>705</v>
      </c>
      <c r="Q145" s="460" t="s">
        <v>2289</v>
      </c>
      <c r="R145" s="460">
        <v>1211</v>
      </c>
      <c r="S145" s="460" t="s">
        <v>2324</v>
      </c>
      <c r="T145" s="462">
        <v>1</v>
      </c>
      <c r="U145" s="460" t="s">
        <v>2330</v>
      </c>
      <c r="V145" s="475">
        <v>0</v>
      </c>
      <c r="W145" s="463" t="s">
        <v>2268</v>
      </c>
      <c r="X145" s="463" t="s">
        <v>2268</v>
      </c>
      <c r="Y145" s="463" t="s">
        <v>2290</v>
      </c>
      <c r="Z145" s="463"/>
      <c r="AA145" s="463"/>
      <c r="AB145" s="464">
        <v>0</v>
      </c>
      <c r="AC145" s="465">
        <v>0</v>
      </c>
      <c r="AD145" s="465">
        <v>0</v>
      </c>
      <c r="AE145" s="476">
        <v>0</v>
      </c>
      <c r="AF145" s="467">
        <v>0</v>
      </c>
      <c r="AG145" s="468">
        <v>0</v>
      </c>
      <c r="AH145" s="218">
        <v>0</v>
      </c>
      <c r="AI145" s="470">
        <v>0</v>
      </c>
      <c r="AJ145" s="471">
        <v>0</v>
      </c>
      <c r="AK145" s="218">
        <v>0</v>
      </c>
      <c r="AL145" s="470">
        <v>0</v>
      </c>
      <c r="AM145" s="471">
        <v>0</v>
      </c>
      <c r="AN145" s="477">
        <v>0</v>
      </c>
      <c r="AO145" s="473">
        <v>0</v>
      </c>
      <c r="AP145" s="474">
        <v>0</v>
      </c>
      <c r="AQ145" s="352"/>
      <c r="AR145" s="352"/>
      <c r="AS145" s="352"/>
      <c r="AT145" s="352"/>
      <c r="AU145" s="352"/>
      <c r="AV145" s="352"/>
      <c r="AW145" s="352" t="s">
        <v>254</v>
      </c>
    </row>
    <row r="146" spans="2:49" x14ac:dyDescent="0.2">
      <c r="B146" s="460" t="s">
        <v>2410</v>
      </c>
      <c r="C146" s="460">
        <v>1211</v>
      </c>
      <c r="D146" s="460" t="s">
        <v>2345</v>
      </c>
      <c r="E146" s="460" t="s">
        <v>2333</v>
      </c>
      <c r="F146" s="460">
        <v>4</v>
      </c>
      <c r="G146" s="460">
        <v>3</v>
      </c>
      <c r="H146" s="461" t="s">
        <v>748</v>
      </c>
      <c r="I146" s="461" t="s">
        <v>765</v>
      </c>
      <c r="J146" s="461" t="s">
        <v>700</v>
      </c>
      <c r="K146" s="594"/>
      <c r="L146" s="594"/>
      <c r="M146" s="352">
        <v>1000</v>
      </c>
      <c r="N146" s="352" t="s">
        <v>698</v>
      </c>
      <c r="O146" s="460">
        <v>1211</v>
      </c>
      <c r="P146" s="460" t="s">
        <v>705</v>
      </c>
      <c r="Q146" s="460" t="s">
        <v>2289</v>
      </c>
      <c r="R146" s="460">
        <v>1211</v>
      </c>
      <c r="S146" s="460" t="s">
        <v>2333</v>
      </c>
      <c r="T146" s="462">
        <v>1</v>
      </c>
      <c r="U146" s="460" t="s">
        <v>2333</v>
      </c>
      <c r="V146" s="475">
        <v>0</v>
      </c>
      <c r="W146" s="463" t="s">
        <v>2268</v>
      </c>
      <c r="X146" s="463" t="s">
        <v>2268</v>
      </c>
      <c r="Y146" s="463" t="s">
        <v>2290</v>
      </c>
      <c r="Z146" s="463"/>
      <c r="AA146" s="463"/>
      <c r="AB146" s="464">
        <v>0</v>
      </c>
      <c r="AC146" s="465">
        <v>0</v>
      </c>
      <c r="AD146" s="465">
        <v>0</v>
      </c>
      <c r="AE146" s="476">
        <v>0</v>
      </c>
      <c r="AF146" s="467">
        <v>0</v>
      </c>
      <c r="AG146" s="468">
        <v>0</v>
      </c>
      <c r="AH146" s="218">
        <v>0</v>
      </c>
      <c r="AI146" s="470">
        <v>0</v>
      </c>
      <c r="AJ146" s="471">
        <v>0</v>
      </c>
      <c r="AK146" s="218">
        <v>0</v>
      </c>
      <c r="AL146" s="470">
        <v>0</v>
      </c>
      <c r="AM146" s="471">
        <v>0</v>
      </c>
      <c r="AN146" s="477">
        <v>0</v>
      </c>
      <c r="AO146" s="473">
        <v>0</v>
      </c>
      <c r="AP146" s="474">
        <v>0</v>
      </c>
      <c r="AQ146" s="352"/>
      <c r="AR146" s="352"/>
      <c r="AS146" s="352"/>
      <c r="AT146" s="352"/>
      <c r="AU146" s="352"/>
      <c r="AV146" s="352"/>
      <c r="AW146" s="352" t="s">
        <v>254</v>
      </c>
    </row>
    <row r="147" spans="2:49" x14ac:dyDescent="0.2">
      <c r="B147" s="460" t="s">
        <v>2407</v>
      </c>
      <c r="C147" s="460">
        <v>1211</v>
      </c>
      <c r="D147" s="460" t="s">
        <v>2346</v>
      </c>
      <c r="E147" s="460" t="s">
        <v>2324</v>
      </c>
      <c r="F147" s="460">
        <v>1</v>
      </c>
      <c r="G147" s="460">
        <v>3</v>
      </c>
      <c r="H147" s="461" t="s">
        <v>752</v>
      </c>
      <c r="I147" s="461" t="s">
        <v>964</v>
      </c>
      <c r="J147" s="461" t="s">
        <v>752</v>
      </c>
      <c r="K147" s="594"/>
      <c r="L147" s="594"/>
      <c r="M147" s="352">
        <v>1000</v>
      </c>
      <c r="N147" s="352" t="s">
        <v>698</v>
      </c>
      <c r="O147" s="460">
        <v>1211</v>
      </c>
      <c r="P147" s="460" t="s">
        <v>705</v>
      </c>
      <c r="Q147" s="460" t="s">
        <v>2266</v>
      </c>
      <c r="R147" s="460">
        <v>1211</v>
      </c>
      <c r="S147" s="460" t="s">
        <v>2324</v>
      </c>
      <c r="T147" s="462">
        <v>1</v>
      </c>
      <c r="U147" s="460" t="s">
        <v>2324</v>
      </c>
      <c r="V147" s="475">
        <v>0</v>
      </c>
      <c r="W147" s="463" t="s">
        <v>2278</v>
      </c>
      <c r="X147" s="463" t="s">
        <v>2278</v>
      </c>
      <c r="Y147" s="463" t="s">
        <v>2278</v>
      </c>
      <c r="Z147" s="463"/>
      <c r="AA147" s="463"/>
      <c r="AB147" s="464">
        <v>0</v>
      </c>
      <c r="AC147" s="465">
        <v>0</v>
      </c>
      <c r="AD147" s="465">
        <v>0</v>
      </c>
      <c r="AE147" s="476">
        <v>0</v>
      </c>
      <c r="AF147" s="467">
        <v>0</v>
      </c>
      <c r="AG147" s="468">
        <v>0</v>
      </c>
      <c r="AH147" s="218">
        <v>0</v>
      </c>
      <c r="AI147" s="470">
        <v>0</v>
      </c>
      <c r="AJ147" s="471">
        <v>0</v>
      </c>
      <c r="AK147" s="218">
        <v>0</v>
      </c>
      <c r="AL147" s="470">
        <v>0</v>
      </c>
      <c r="AM147" s="471">
        <v>0</v>
      </c>
      <c r="AN147" s="477">
        <v>0</v>
      </c>
      <c r="AO147" s="473">
        <v>0</v>
      </c>
      <c r="AP147" s="474">
        <v>0</v>
      </c>
      <c r="AQ147" s="352"/>
      <c r="AR147" s="352"/>
      <c r="AS147" s="352"/>
      <c r="AT147" s="352"/>
      <c r="AU147" s="352"/>
      <c r="AV147" s="352"/>
      <c r="AW147" s="352" t="s">
        <v>254</v>
      </c>
    </row>
    <row r="148" spans="2:49" x14ac:dyDescent="0.2">
      <c r="B148" s="460" t="s">
        <v>2408</v>
      </c>
      <c r="C148" s="460">
        <v>1211</v>
      </c>
      <c r="D148" s="460" t="s">
        <v>2347</v>
      </c>
      <c r="E148" s="460" t="s">
        <v>2327</v>
      </c>
      <c r="F148" s="460">
        <v>2</v>
      </c>
      <c r="G148" s="460">
        <v>3</v>
      </c>
      <c r="H148" s="461" t="s">
        <v>752</v>
      </c>
      <c r="I148" s="461" t="s">
        <v>964</v>
      </c>
      <c r="J148" s="461" t="s">
        <v>752</v>
      </c>
      <c r="K148" s="594"/>
      <c r="L148" s="594"/>
      <c r="M148" s="352">
        <v>1000</v>
      </c>
      <c r="N148" s="352" t="s">
        <v>698</v>
      </c>
      <c r="O148" s="460">
        <v>1211</v>
      </c>
      <c r="P148" s="460" t="s">
        <v>705</v>
      </c>
      <c r="Q148" s="460" t="s">
        <v>2266</v>
      </c>
      <c r="R148" s="460">
        <v>1211</v>
      </c>
      <c r="S148" s="460" t="s">
        <v>2324</v>
      </c>
      <c r="T148" s="462">
        <v>1</v>
      </c>
      <c r="U148" s="460" t="s">
        <v>2327</v>
      </c>
      <c r="V148" s="475">
        <v>0</v>
      </c>
      <c r="W148" s="463" t="s">
        <v>2278</v>
      </c>
      <c r="X148" s="463" t="s">
        <v>2278</v>
      </c>
      <c r="Y148" s="463" t="s">
        <v>2278</v>
      </c>
      <c r="Z148" s="463"/>
      <c r="AA148" s="463"/>
      <c r="AB148" s="464">
        <v>0</v>
      </c>
      <c r="AC148" s="465">
        <v>0</v>
      </c>
      <c r="AD148" s="465">
        <v>0</v>
      </c>
      <c r="AE148" s="476">
        <v>0</v>
      </c>
      <c r="AF148" s="467">
        <v>0</v>
      </c>
      <c r="AG148" s="468">
        <v>0</v>
      </c>
      <c r="AH148" s="218">
        <v>0</v>
      </c>
      <c r="AI148" s="470">
        <v>0</v>
      </c>
      <c r="AJ148" s="471">
        <v>0</v>
      </c>
      <c r="AK148" s="218">
        <v>0</v>
      </c>
      <c r="AL148" s="470">
        <v>0</v>
      </c>
      <c r="AM148" s="471">
        <v>0</v>
      </c>
      <c r="AN148" s="477">
        <v>0</v>
      </c>
      <c r="AO148" s="473">
        <v>0</v>
      </c>
      <c r="AP148" s="474">
        <v>0</v>
      </c>
      <c r="AQ148" s="352"/>
      <c r="AR148" s="352"/>
      <c r="AS148" s="352"/>
      <c r="AT148" s="352"/>
      <c r="AU148" s="352"/>
      <c r="AV148" s="352"/>
      <c r="AW148" s="352" t="s">
        <v>254</v>
      </c>
    </row>
    <row r="149" spans="2:49" x14ac:dyDescent="0.2">
      <c r="B149" s="460" t="s">
        <v>2409</v>
      </c>
      <c r="C149" s="460">
        <v>1211</v>
      </c>
      <c r="D149" s="460" t="s">
        <v>2348</v>
      </c>
      <c r="E149" s="460" t="s">
        <v>2330</v>
      </c>
      <c r="F149" s="460">
        <v>3</v>
      </c>
      <c r="G149" s="460">
        <v>3</v>
      </c>
      <c r="H149" s="461" t="s">
        <v>752</v>
      </c>
      <c r="I149" s="461" t="s">
        <v>964</v>
      </c>
      <c r="J149" s="461" t="s">
        <v>752</v>
      </c>
      <c r="K149" s="594"/>
      <c r="L149" s="594"/>
      <c r="M149" s="352">
        <v>1000</v>
      </c>
      <c r="N149" s="352" t="s">
        <v>698</v>
      </c>
      <c r="O149" s="460">
        <v>1211</v>
      </c>
      <c r="P149" s="460" t="s">
        <v>705</v>
      </c>
      <c r="Q149" s="460" t="s">
        <v>2266</v>
      </c>
      <c r="R149" s="460">
        <v>1211</v>
      </c>
      <c r="S149" s="460" t="s">
        <v>2324</v>
      </c>
      <c r="T149" s="462">
        <v>1</v>
      </c>
      <c r="U149" s="460" t="s">
        <v>2330</v>
      </c>
      <c r="V149" s="475">
        <v>0</v>
      </c>
      <c r="W149" s="463" t="s">
        <v>2278</v>
      </c>
      <c r="X149" s="463" t="s">
        <v>2278</v>
      </c>
      <c r="Y149" s="463" t="s">
        <v>2278</v>
      </c>
      <c r="Z149" s="463"/>
      <c r="AA149" s="463"/>
      <c r="AB149" s="464">
        <v>0</v>
      </c>
      <c r="AC149" s="465">
        <v>0</v>
      </c>
      <c r="AD149" s="465">
        <v>0</v>
      </c>
      <c r="AE149" s="476">
        <v>0</v>
      </c>
      <c r="AF149" s="467">
        <v>0</v>
      </c>
      <c r="AG149" s="468">
        <v>0</v>
      </c>
      <c r="AH149" s="218">
        <v>0</v>
      </c>
      <c r="AI149" s="470">
        <v>0</v>
      </c>
      <c r="AJ149" s="471">
        <v>0</v>
      </c>
      <c r="AK149" s="218">
        <v>0</v>
      </c>
      <c r="AL149" s="470">
        <v>0</v>
      </c>
      <c r="AM149" s="471">
        <v>0</v>
      </c>
      <c r="AN149" s="477">
        <v>0</v>
      </c>
      <c r="AO149" s="473">
        <v>0</v>
      </c>
      <c r="AP149" s="474">
        <v>0</v>
      </c>
      <c r="AQ149" s="352"/>
      <c r="AR149" s="352"/>
      <c r="AS149" s="352"/>
      <c r="AT149" s="352"/>
      <c r="AU149" s="352"/>
      <c r="AV149" s="352"/>
      <c r="AW149" s="352" t="s">
        <v>254</v>
      </c>
    </row>
    <row r="150" spans="2:49" x14ac:dyDescent="0.2">
      <c r="B150" s="460" t="s">
        <v>2410</v>
      </c>
      <c r="C150" s="460">
        <v>1211</v>
      </c>
      <c r="D150" s="460" t="s">
        <v>2349</v>
      </c>
      <c r="E150" s="460" t="s">
        <v>2333</v>
      </c>
      <c r="F150" s="460">
        <v>4</v>
      </c>
      <c r="G150" s="460">
        <v>3</v>
      </c>
      <c r="H150" s="461" t="s">
        <v>752</v>
      </c>
      <c r="I150" s="461" t="s">
        <v>964</v>
      </c>
      <c r="J150" s="461" t="s">
        <v>752</v>
      </c>
      <c r="K150" s="594"/>
      <c r="L150" s="594"/>
      <c r="M150" s="352">
        <v>1000</v>
      </c>
      <c r="N150" s="352" t="s">
        <v>698</v>
      </c>
      <c r="O150" s="460">
        <v>1211</v>
      </c>
      <c r="P150" s="460" t="s">
        <v>705</v>
      </c>
      <c r="Q150" s="460" t="s">
        <v>2266</v>
      </c>
      <c r="R150" s="460">
        <v>1211</v>
      </c>
      <c r="S150" s="460" t="s">
        <v>2333</v>
      </c>
      <c r="T150" s="462">
        <v>1</v>
      </c>
      <c r="U150" s="460" t="s">
        <v>2333</v>
      </c>
      <c r="V150" s="475">
        <v>0</v>
      </c>
      <c r="W150" s="463" t="s">
        <v>2278</v>
      </c>
      <c r="X150" s="463" t="s">
        <v>2278</v>
      </c>
      <c r="Y150" s="463" t="s">
        <v>2278</v>
      </c>
      <c r="Z150" s="463"/>
      <c r="AA150" s="463"/>
      <c r="AB150" s="464">
        <v>0</v>
      </c>
      <c r="AC150" s="465">
        <v>0</v>
      </c>
      <c r="AD150" s="465">
        <v>0</v>
      </c>
      <c r="AE150" s="476">
        <v>0</v>
      </c>
      <c r="AF150" s="467">
        <v>0</v>
      </c>
      <c r="AG150" s="468">
        <v>0</v>
      </c>
      <c r="AH150" s="218">
        <v>0</v>
      </c>
      <c r="AI150" s="470">
        <v>0</v>
      </c>
      <c r="AJ150" s="471">
        <v>0</v>
      </c>
      <c r="AK150" s="218">
        <v>0</v>
      </c>
      <c r="AL150" s="470">
        <v>0</v>
      </c>
      <c r="AM150" s="471">
        <v>0</v>
      </c>
      <c r="AN150" s="477">
        <v>0</v>
      </c>
      <c r="AO150" s="473">
        <v>0</v>
      </c>
      <c r="AP150" s="474">
        <v>0</v>
      </c>
      <c r="AQ150" s="352"/>
      <c r="AR150" s="352"/>
      <c r="AS150" s="352"/>
      <c r="AT150" s="352"/>
      <c r="AU150" s="352"/>
      <c r="AV150" s="352"/>
      <c r="AW150" s="352" t="s">
        <v>254</v>
      </c>
    </row>
    <row r="151" spans="2:49" x14ac:dyDescent="0.2">
      <c r="B151" s="460" t="s">
        <v>2411</v>
      </c>
      <c r="C151" s="460">
        <v>1211</v>
      </c>
      <c r="D151" s="460" t="s">
        <v>2351</v>
      </c>
      <c r="E151" s="460" t="s">
        <v>1136</v>
      </c>
      <c r="F151" s="460">
        <v>1</v>
      </c>
      <c r="G151" s="460">
        <v>4</v>
      </c>
      <c r="H151" s="461" t="s">
        <v>700</v>
      </c>
      <c r="I151" s="461" t="s">
        <v>872</v>
      </c>
      <c r="J151" s="461" t="s">
        <v>700</v>
      </c>
      <c r="K151" s="594"/>
      <c r="L151" s="594"/>
      <c r="M151" s="352">
        <v>1000</v>
      </c>
      <c r="N151" s="352" t="s">
        <v>698</v>
      </c>
      <c r="O151" s="460">
        <v>1211</v>
      </c>
      <c r="P151" s="460" t="s">
        <v>705</v>
      </c>
      <c r="Q151" s="460" t="s">
        <v>2266</v>
      </c>
      <c r="R151" s="460">
        <v>1211</v>
      </c>
      <c r="S151" s="460" t="s">
        <v>1136</v>
      </c>
      <c r="T151" s="462">
        <v>1</v>
      </c>
      <c r="U151" s="460" t="s">
        <v>1136</v>
      </c>
      <c r="V151" s="475">
        <v>0</v>
      </c>
      <c r="W151" s="463" t="s">
        <v>2267</v>
      </c>
      <c r="X151" s="463" t="s">
        <v>2267</v>
      </c>
      <c r="Y151" s="463" t="s">
        <v>2268</v>
      </c>
      <c r="Z151" s="463"/>
      <c r="AA151" s="463"/>
      <c r="AB151" s="464">
        <v>36.217012126454904</v>
      </c>
      <c r="AC151" s="465">
        <v>0.12546843742168592</v>
      </c>
      <c r="AD151" s="465">
        <v>0.10304497711603355</v>
      </c>
      <c r="AE151" s="476">
        <v>36.217012126454904</v>
      </c>
      <c r="AF151" s="467">
        <v>0.12546843742168592</v>
      </c>
      <c r="AG151" s="468">
        <v>0.11201623416719979</v>
      </c>
      <c r="AH151" s="218">
        <v>36.217012126454904</v>
      </c>
      <c r="AI151" s="470">
        <v>0.12546843742168592</v>
      </c>
      <c r="AJ151" s="471">
        <v>2.8284274085108779E-2</v>
      </c>
      <c r="AK151" s="218">
        <v>36.217012126454904</v>
      </c>
      <c r="AL151" s="470">
        <v>0.12546843742168592</v>
      </c>
      <c r="AM151" s="471">
        <v>2.8284274085108779E-2</v>
      </c>
      <c r="AN151" s="477">
        <v>0</v>
      </c>
      <c r="AO151" s="473">
        <v>0</v>
      </c>
      <c r="AP151" s="474">
        <v>0</v>
      </c>
      <c r="AQ151" s="352"/>
      <c r="AR151" s="352"/>
      <c r="AS151" s="352"/>
      <c r="AT151" s="352"/>
      <c r="AU151" s="352"/>
      <c r="AV151" s="352"/>
      <c r="AW151" s="352" t="s">
        <v>254</v>
      </c>
    </row>
    <row r="152" spans="2:49" x14ac:dyDescent="0.2">
      <c r="B152" s="460" t="s">
        <v>2412</v>
      </c>
      <c r="C152" s="460">
        <v>1211</v>
      </c>
      <c r="D152" s="460" t="s">
        <v>2353</v>
      </c>
      <c r="E152" s="460" t="s">
        <v>1137</v>
      </c>
      <c r="F152" s="460">
        <v>2</v>
      </c>
      <c r="G152" s="460">
        <v>4</v>
      </c>
      <c r="H152" s="461" t="s">
        <v>700</v>
      </c>
      <c r="I152" s="461" t="s">
        <v>872</v>
      </c>
      <c r="J152" s="461" t="s">
        <v>700</v>
      </c>
      <c r="K152" s="594"/>
      <c r="L152" s="594"/>
      <c r="M152" s="352">
        <v>1000</v>
      </c>
      <c r="N152" s="352" t="s">
        <v>698</v>
      </c>
      <c r="O152" s="460">
        <v>1211</v>
      </c>
      <c r="P152" s="460" t="s">
        <v>705</v>
      </c>
      <c r="Q152" s="460" t="s">
        <v>2266</v>
      </c>
      <c r="R152" s="460">
        <v>1211</v>
      </c>
      <c r="S152" s="460" t="s">
        <v>1137</v>
      </c>
      <c r="T152" s="462">
        <v>1</v>
      </c>
      <c r="U152" s="460" t="s">
        <v>1137</v>
      </c>
      <c r="V152" s="475">
        <v>0</v>
      </c>
      <c r="W152" s="463" t="s">
        <v>2267</v>
      </c>
      <c r="X152" s="463" t="s">
        <v>2267</v>
      </c>
      <c r="Y152" s="463" t="s">
        <v>2268</v>
      </c>
      <c r="Z152" s="463"/>
      <c r="AA152" s="463"/>
      <c r="AB152" s="464">
        <v>671.9176981061579</v>
      </c>
      <c r="AC152" s="465">
        <v>0.60994964627837667</v>
      </c>
      <c r="AD152" s="465">
        <v>0.15172917657838095</v>
      </c>
      <c r="AE152" s="476">
        <v>671.9176981061579</v>
      </c>
      <c r="AF152" s="467">
        <v>0.60994964627837667</v>
      </c>
      <c r="AG152" s="468">
        <v>0.16346250561823195</v>
      </c>
      <c r="AH152" s="218">
        <v>671.9176981061579</v>
      </c>
      <c r="AI152" s="470">
        <v>0.60994964627837667</v>
      </c>
      <c r="AJ152" s="471">
        <v>0.13882453142169504</v>
      </c>
      <c r="AK152" s="218">
        <v>671.9176981061579</v>
      </c>
      <c r="AL152" s="470">
        <v>0.60994964627837667</v>
      </c>
      <c r="AM152" s="471">
        <v>0.13882453142169504</v>
      </c>
      <c r="AN152" s="477">
        <v>0</v>
      </c>
      <c r="AO152" s="473">
        <v>0</v>
      </c>
      <c r="AP152" s="474">
        <v>0</v>
      </c>
      <c r="AQ152" s="352"/>
      <c r="AR152" s="352"/>
      <c r="AS152" s="352"/>
      <c r="AT152" s="352"/>
      <c r="AU152" s="352"/>
      <c r="AV152" s="352"/>
      <c r="AW152" s="352" t="s">
        <v>254</v>
      </c>
    </row>
    <row r="153" spans="2:49" x14ac:dyDescent="0.2">
      <c r="B153" s="460" t="s">
        <v>2413</v>
      </c>
      <c r="C153" s="460">
        <v>1211</v>
      </c>
      <c r="D153" s="460" t="s">
        <v>2355</v>
      </c>
      <c r="E153" s="460" t="s">
        <v>1138</v>
      </c>
      <c r="F153" s="460">
        <v>3</v>
      </c>
      <c r="G153" s="460">
        <v>4</v>
      </c>
      <c r="H153" s="461" t="s">
        <v>700</v>
      </c>
      <c r="I153" s="461" t="s">
        <v>872</v>
      </c>
      <c r="J153" s="461" t="s">
        <v>700</v>
      </c>
      <c r="K153" s="594"/>
      <c r="L153" s="594"/>
      <c r="M153" s="352">
        <v>1000</v>
      </c>
      <c r="N153" s="352" t="s">
        <v>698</v>
      </c>
      <c r="O153" s="460">
        <v>1211</v>
      </c>
      <c r="P153" s="460" t="s">
        <v>705</v>
      </c>
      <c r="Q153" s="460" t="s">
        <v>2266</v>
      </c>
      <c r="R153" s="460">
        <v>1211</v>
      </c>
      <c r="S153" s="460" t="s">
        <v>1138</v>
      </c>
      <c r="T153" s="462">
        <v>1</v>
      </c>
      <c r="U153" s="460" t="s">
        <v>1138</v>
      </c>
      <c r="V153" s="475">
        <v>0</v>
      </c>
      <c r="W153" s="463" t="s">
        <v>2267</v>
      </c>
      <c r="X153" s="463" t="s">
        <v>2267</v>
      </c>
      <c r="Y153" s="463" t="s">
        <v>2268</v>
      </c>
      <c r="Z153" s="463"/>
      <c r="AA153" s="463"/>
      <c r="AB153" s="464">
        <v>407.01949185112653</v>
      </c>
      <c r="AC153" s="465">
        <v>0.53065638038939467</v>
      </c>
      <c r="AD153" s="465">
        <v>0.17077241877903024</v>
      </c>
      <c r="AE153" s="476">
        <v>407.01949185112659</v>
      </c>
      <c r="AF153" s="467">
        <v>0.53065638038939467</v>
      </c>
      <c r="AG153" s="468">
        <v>0.18424033667905887</v>
      </c>
      <c r="AH153" s="218">
        <v>407.01949185112659</v>
      </c>
      <c r="AI153" s="470">
        <v>0.53065638038939467</v>
      </c>
      <c r="AJ153" s="471">
        <v>0.1402614344328017</v>
      </c>
      <c r="AK153" s="218">
        <v>407.01949185112659</v>
      </c>
      <c r="AL153" s="470">
        <v>0.53065638038939467</v>
      </c>
      <c r="AM153" s="471">
        <v>0.1402614344328017</v>
      </c>
      <c r="AN153" s="477">
        <v>0</v>
      </c>
      <c r="AO153" s="473">
        <v>0</v>
      </c>
      <c r="AP153" s="474">
        <v>0</v>
      </c>
      <c r="AQ153" s="352"/>
      <c r="AR153" s="352"/>
      <c r="AS153" s="352"/>
      <c r="AT153" s="352"/>
      <c r="AU153" s="352"/>
      <c r="AV153" s="352"/>
      <c r="AW153" s="352" t="s">
        <v>254</v>
      </c>
    </row>
    <row r="154" spans="2:49" x14ac:dyDescent="0.2">
      <c r="B154" s="460" t="s">
        <v>2414</v>
      </c>
      <c r="C154" s="460">
        <v>1211</v>
      </c>
      <c r="D154" s="460" t="s">
        <v>2357</v>
      </c>
      <c r="E154" s="460" t="s">
        <v>1139</v>
      </c>
      <c r="F154" s="460">
        <v>4</v>
      </c>
      <c r="G154" s="460">
        <v>4</v>
      </c>
      <c r="H154" s="461" t="s">
        <v>700</v>
      </c>
      <c r="I154" s="461" t="s">
        <v>872</v>
      </c>
      <c r="J154" s="461" t="s">
        <v>700</v>
      </c>
      <c r="K154" s="594"/>
      <c r="L154" s="594"/>
      <c r="M154" s="352">
        <v>1000</v>
      </c>
      <c r="N154" s="352" t="s">
        <v>698</v>
      </c>
      <c r="O154" s="460">
        <v>1211</v>
      </c>
      <c r="P154" s="460" t="s">
        <v>705</v>
      </c>
      <c r="Q154" s="460" t="s">
        <v>2266</v>
      </c>
      <c r="R154" s="460">
        <v>1211</v>
      </c>
      <c r="S154" s="460" t="s">
        <v>1139</v>
      </c>
      <c r="T154" s="462">
        <v>1</v>
      </c>
      <c r="U154" s="460" t="s">
        <v>1139</v>
      </c>
      <c r="V154" s="475">
        <v>0</v>
      </c>
      <c r="W154" s="463" t="s">
        <v>2267</v>
      </c>
      <c r="X154" s="463" t="s">
        <v>2267</v>
      </c>
      <c r="Y154" s="463" t="s">
        <v>2268</v>
      </c>
      <c r="Z154" s="463"/>
      <c r="AA154" s="463"/>
      <c r="AB154" s="464">
        <v>0</v>
      </c>
      <c r="AC154" s="465">
        <v>0</v>
      </c>
      <c r="AD154" s="465">
        <v>0</v>
      </c>
      <c r="AE154" s="476">
        <v>0</v>
      </c>
      <c r="AF154" s="467">
        <v>0</v>
      </c>
      <c r="AG154" s="468">
        <v>0</v>
      </c>
      <c r="AH154" s="218">
        <v>0</v>
      </c>
      <c r="AI154" s="470">
        <v>0</v>
      </c>
      <c r="AJ154" s="471">
        <v>0</v>
      </c>
      <c r="AK154" s="218">
        <v>0</v>
      </c>
      <c r="AL154" s="470">
        <v>0</v>
      </c>
      <c r="AM154" s="471">
        <v>0</v>
      </c>
      <c r="AN154" s="477">
        <v>0</v>
      </c>
      <c r="AO154" s="473">
        <v>0</v>
      </c>
      <c r="AP154" s="474">
        <v>0</v>
      </c>
      <c r="AQ154" s="352"/>
      <c r="AR154" s="352"/>
      <c r="AS154" s="352"/>
      <c r="AT154" s="352"/>
      <c r="AU154" s="352"/>
      <c r="AV154" s="352"/>
      <c r="AW154" s="352" t="s">
        <v>254</v>
      </c>
    </row>
    <row r="155" spans="2:49" x14ac:dyDescent="0.2">
      <c r="B155" s="460" t="s">
        <v>2411</v>
      </c>
      <c r="C155" s="460">
        <v>1211</v>
      </c>
      <c r="D155" s="460" t="s">
        <v>2358</v>
      </c>
      <c r="E155" s="460" t="s">
        <v>1136</v>
      </c>
      <c r="F155" s="460">
        <v>1</v>
      </c>
      <c r="G155" s="460">
        <v>4</v>
      </c>
      <c r="H155" s="461" t="s">
        <v>712</v>
      </c>
      <c r="I155" s="461" t="s">
        <v>713</v>
      </c>
      <c r="J155" s="461" t="s">
        <v>712</v>
      </c>
      <c r="K155" s="594"/>
      <c r="L155" s="594"/>
      <c r="M155" s="352">
        <v>1000</v>
      </c>
      <c r="N155" s="352" t="s">
        <v>698</v>
      </c>
      <c r="O155" s="460">
        <v>1211</v>
      </c>
      <c r="P155" s="460" t="s">
        <v>705</v>
      </c>
      <c r="Q155" s="460" t="s">
        <v>2280</v>
      </c>
      <c r="R155" s="460">
        <v>1211</v>
      </c>
      <c r="S155" s="460" t="s">
        <v>1136</v>
      </c>
      <c r="T155" s="462">
        <v>1</v>
      </c>
      <c r="U155" s="460" t="s">
        <v>1136</v>
      </c>
      <c r="V155" s="475">
        <v>0</v>
      </c>
      <c r="W155" s="463" t="s">
        <v>713</v>
      </c>
      <c r="X155" s="463" t="s">
        <v>713</v>
      </c>
      <c r="Y155" s="463" t="s">
        <v>713</v>
      </c>
      <c r="Z155" s="463"/>
      <c r="AA155" s="463"/>
      <c r="AB155" s="464">
        <v>74.216306239852557</v>
      </c>
      <c r="AC155" s="465">
        <v>0.25711132499308975</v>
      </c>
      <c r="AD155" s="465">
        <v>4.8911294841697906E-4</v>
      </c>
      <c r="AE155" s="476">
        <v>74.216306239852557</v>
      </c>
      <c r="AF155" s="467">
        <v>0.25711132499308975</v>
      </c>
      <c r="AG155" s="468">
        <v>4.8902222977301798E-4</v>
      </c>
      <c r="AH155" s="218">
        <v>74.216306239852557</v>
      </c>
      <c r="AI155" s="470">
        <v>0.25711132499308975</v>
      </c>
      <c r="AJ155" s="471">
        <v>4.9399227123507472E-4</v>
      </c>
      <c r="AK155" s="218">
        <v>74.216306239852557</v>
      </c>
      <c r="AL155" s="470">
        <v>0.25711132499308975</v>
      </c>
      <c r="AM155" s="471">
        <v>4.9399227123507472E-4</v>
      </c>
      <c r="AN155" s="477">
        <v>74.216306239852557</v>
      </c>
      <c r="AO155" s="473">
        <v>0.25711132499308975</v>
      </c>
      <c r="AP155" s="474">
        <v>4.9318847682707011E-4</v>
      </c>
      <c r="AQ155" s="352"/>
      <c r="AR155" s="352"/>
      <c r="AS155" s="352"/>
      <c r="AT155" s="352"/>
      <c r="AU155" s="352"/>
      <c r="AV155" s="352"/>
      <c r="AW155" s="352" t="s">
        <v>254</v>
      </c>
    </row>
    <row r="156" spans="2:49" x14ac:dyDescent="0.2">
      <c r="B156" s="460" t="s">
        <v>2412</v>
      </c>
      <c r="C156" s="460">
        <v>1211</v>
      </c>
      <c r="D156" s="460" t="s">
        <v>2359</v>
      </c>
      <c r="E156" s="460" t="s">
        <v>1137</v>
      </c>
      <c r="F156" s="460">
        <v>2</v>
      </c>
      <c r="G156" s="460">
        <v>4</v>
      </c>
      <c r="H156" s="461" t="s">
        <v>712</v>
      </c>
      <c r="I156" s="461" t="s">
        <v>713</v>
      </c>
      <c r="J156" s="461" t="s">
        <v>712</v>
      </c>
      <c r="K156" s="594"/>
      <c r="L156" s="594"/>
      <c r="M156" s="352">
        <v>1000</v>
      </c>
      <c r="N156" s="352" t="s">
        <v>698</v>
      </c>
      <c r="O156" s="460">
        <v>1211</v>
      </c>
      <c r="P156" s="460" t="s">
        <v>705</v>
      </c>
      <c r="Q156" s="460" t="s">
        <v>2280</v>
      </c>
      <c r="R156" s="460">
        <v>1211</v>
      </c>
      <c r="S156" s="460" t="s">
        <v>1137</v>
      </c>
      <c r="T156" s="462">
        <v>1</v>
      </c>
      <c r="U156" s="460" t="s">
        <v>1137</v>
      </c>
      <c r="V156" s="475">
        <v>0</v>
      </c>
      <c r="W156" s="463" t="s">
        <v>713</v>
      </c>
      <c r="X156" s="463" t="s">
        <v>713</v>
      </c>
      <c r="Y156" s="463" t="s">
        <v>713</v>
      </c>
      <c r="Z156" s="463"/>
      <c r="AA156" s="463"/>
      <c r="AB156" s="464">
        <v>172.45052760201474</v>
      </c>
      <c r="AC156" s="465">
        <v>0.15654616422196058</v>
      </c>
      <c r="AD156" s="465">
        <v>9.9730518989448532E-4</v>
      </c>
      <c r="AE156" s="476">
        <v>172.45052760201472</v>
      </c>
      <c r="AF156" s="467">
        <v>0.15654616422196055</v>
      </c>
      <c r="AG156" s="468">
        <v>9.9547521941943727E-4</v>
      </c>
      <c r="AH156" s="218">
        <v>172.45052760201472</v>
      </c>
      <c r="AI156" s="470">
        <v>0.15654616422196055</v>
      </c>
      <c r="AJ156" s="471">
        <v>1.00019896783856E-3</v>
      </c>
      <c r="AK156" s="218">
        <v>172.45052760201472</v>
      </c>
      <c r="AL156" s="470">
        <v>0.15654616422196055</v>
      </c>
      <c r="AM156" s="471">
        <v>1.00019896783856E-3</v>
      </c>
      <c r="AN156" s="477">
        <v>172.45052760201472</v>
      </c>
      <c r="AO156" s="473">
        <v>0.15654616422196055</v>
      </c>
      <c r="AP156" s="474">
        <v>9.9937366020854432E-4</v>
      </c>
      <c r="AQ156" s="352"/>
      <c r="AR156" s="352"/>
      <c r="AS156" s="352"/>
      <c r="AT156" s="352"/>
      <c r="AU156" s="352"/>
      <c r="AV156" s="352"/>
      <c r="AW156" s="352" t="s">
        <v>254</v>
      </c>
    </row>
    <row r="157" spans="2:49" x14ac:dyDescent="0.2">
      <c r="B157" s="460" t="s">
        <v>2413</v>
      </c>
      <c r="C157" s="460">
        <v>1211</v>
      </c>
      <c r="D157" s="460" t="s">
        <v>2360</v>
      </c>
      <c r="E157" s="460" t="s">
        <v>1138</v>
      </c>
      <c r="F157" s="460">
        <v>3</v>
      </c>
      <c r="G157" s="460">
        <v>4</v>
      </c>
      <c r="H157" s="461" t="s">
        <v>712</v>
      </c>
      <c r="I157" s="461" t="s">
        <v>713</v>
      </c>
      <c r="J157" s="461" t="s">
        <v>712</v>
      </c>
      <c r="K157" s="594"/>
      <c r="L157" s="594"/>
      <c r="M157" s="352">
        <v>1000</v>
      </c>
      <c r="N157" s="352" t="s">
        <v>698</v>
      </c>
      <c r="O157" s="460">
        <v>1211</v>
      </c>
      <c r="P157" s="460" t="s">
        <v>705</v>
      </c>
      <c r="Q157" s="460" t="s">
        <v>2280</v>
      </c>
      <c r="R157" s="460">
        <v>1211</v>
      </c>
      <c r="S157" s="460" t="s">
        <v>1138</v>
      </c>
      <c r="T157" s="462">
        <v>1</v>
      </c>
      <c r="U157" s="460" t="s">
        <v>1138</v>
      </c>
      <c r="V157" s="475">
        <v>0</v>
      </c>
      <c r="W157" s="463" t="s">
        <v>713</v>
      </c>
      <c r="X157" s="463" t="s">
        <v>713</v>
      </c>
      <c r="Y157" s="463" t="s">
        <v>713</v>
      </c>
      <c r="Z157" s="463"/>
      <c r="AA157" s="463"/>
      <c r="AB157" s="464">
        <v>92.297643597054915</v>
      </c>
      <c r="AC157" s="465">
        <v>0.12033412269011948</v>
      </c>
      <c r="AD157" s="465">
        <v>1.1518327524178561E-3</v>
      </c>
      <c r="AE157" s="476">
        <v>92.297643597054801</v>
      </c>
      <c r="AF157" s="467">
        <v>0.12033412269011934</v>
      </c>
      <c r="AG157" s="468">
        <v>1.1493337987266855E-3</v>
      </c>
      <c r="AH157" s="218">
        <v>92.297643597054801</v>
      </c>
      <c r="AI157" s="470">
        <v>0.12033412269011934</v>
      </c>
      <c r="AJ157" s="471">
        <v>1.1628101659324685E-3</v>
      </c>
      <c r="AK157" s="218">
        <v>92.297643597054801</v>
      </c>
      <c r="AL157" s="470">
        <v>0.12033412269011934</v>
      </c>
      <c r="AM157" s="471">
        <v>1.1628101659324685E-3</v>
      </c>
      <c r="AN157" s="477">
        <v>92.297643597054801</v>
      </c>
      <c r="AO157" s="473">
        <v>0.12033412269011934</v>
      </c>
      <c r="AP157" s="474">
        <v>1.162722531806829E-3</v>
      </c>
      <c r="AQ157" s="352"/>
      <c r="AR157" s="352"/>
      <c r="AS157" s="352"/>
      <c r="AT157" s="352"/>
      <c r="AU157" s="352"/>
      <c r="AV157" s="352"/>
      <c r="AW157" s="352" t="s">
        <v>254</v>
      </c>
    </row>
    <row r="158" spans="2:49" x14ac:dyDescent="0.2">
      <c r="B158" s="460" t="s">
        <v>2414</v>
      </c>
      <c r="C158" s="460">
        <v>1211</v>
      </c>
      <c r="D158" s="460" t="s">
        <v>2361</v>
      </c>
      <c r="E158" s="460" t="s">
        <v>1139</v>
      </c>
      <c r="F158" s="460">
        <v>4</v>
      </c>
      <c r="G158" s="460">
        <v>4</v>
      </c>
      <c r="H158" s="461" t="s">
        <v>712</v>
      </c>
      <c r="I158" s="461" t="s">
        <v>713</v>
      </c>
      <c r="J158" s="461" t="s">
        <v>712</v>
      </c>
      <c r="K158" s="594"/>
      <c r="L158" s="594"/>
      <c r="M158" s="352">
        <v>1000</v>
      </c>
      <c r="N158" s="352" t="s">
        <v>698</v>
      </c>
      <c r="O158" s="460">
        <v>1211</v>
      </c>
      <c r="P158" s="460" t="s">
        <v>705</v>
      </c>
      <c r="Q158" s="460" t="s">
        <v>2280</v>
      </c>
      <c r="R158" s="460">
        <v>1211</v>
      </c>
      <c r="S158" s="460" t="s">
        <v>1139</v>
      </c>
      <c r="T158" s="462">
        <v>1</v>
      </c>
      <c r="U158" s="460" t="s">
        <v>1139</v>
      </c>
      <c r="V158" s="475">
        <v>0</v>
      </c>
      <c r="W158" s="463" t="s">
        <v>713</v>
      </c>
      <c r="X158" s="463" t="s">
        <v>713</v>
      </c>
      <c r="Y158" s="463" t="s">
        <v>713</v>
      </c>
      <c r="Z158" s="463"/>
      <c r="AA158" s="463"/>
      <c r="AB158" s="464">
        <v>104.64701244828211</v>
      </c>
      <c r="AC158" s="465">
        <v>0.20022439422673538</v>
      </c>
      <c r="AD158" s="465">
        <v>1.1586763486607565E-3</v>
      </c>
      <c r="AE158" s="476">
        <v>104.64701244828214</v>
      </c>
      <c r="AF158" s="467">
        <v>0.20022439422673544</v>
      </c>
      <c r="AG158" s="468">
        <v>1.1586763486607567E-3</v>
      </c>
      <c r="AH158" s="218">
        <v>104.64701244828214</v>
      </c>
      <c r="AI158" s="470">
        <v>0.20022439422673544</v>
      </c>
      <c r="AJ158" s="471">
        <v>1.1835969941555314E-3</v>
      </c>
      <c r="AK158" s="218">
        <v>104.64701244828214</v>
      </c>
      <c r="AL158" s="470">
        <v>0.20022439422673544</v>
      </c>
      <c r="AM158" s="471">
        <v>1.1835969941555314E-3</v>
      </c>
      <c r="AN158" s="477">
        <v>104.64701244828214</v>
      </c>
      <c r="AO158" s="473">
        <v>0.20022439422673544</v>
      </c>
      <c r="AP158" s="474">
        <v>1.1835969941555314E-3</v>
      </c>
      <c r="AQ158" s="352"/>
      <c r="AR158" s="352"/>
      <c r="AS158" s="352"/>
      <c r="AT158" s="352"/>
      <c r="AU158" s="352"/>
      <c r="AV158" s="352"/>
      <c r="AW158" s="352" t="s">
        <v>254</v>
      </c>
    </row>
    <row r="159" spans="2:49" x14ac:dyDescent="0.2">
      <c r="B159" s="460" t="s">
        <v>2411</v>
      </c>
      <c r="C159" s="460">
        <v>1211</v>
      </c>
      <c r="D159" s="460" t="s">
        <v>2362</v>
      </c>
      <c r="E159" s="460" t="s">
        <v>1136</v>
      </c>
      <c r="F159" s="460">
        <v>1</v>
      </c>
      <c r="G159" s="460">
        <v>4</v>
      </c>
      <c r="H159" s="461" t="s">
        <v>746</v>
      </c>
      <c r="I159" s="461" t="s">
        <v>762</v>
      </c>
      <c r="J159" s="461" t="s">
        <v>700</v>
      </c>
      <c r="K159" s="594"/>
      <c r="L159" s="594"/>
      <c r="M159" s="352">
        <v>1000</v>
      </c>
      <c r="N159" s="352" t="s">
        <v>698</v>
      </c>
      <c r="O159" s="460">
        <v>1211</v>
      </c>
      <c r="P159" s="460" t="s">
        <v>705</v>
      </c>
      <c r="Q159" s="460" t="s">
        <v>2266</v>
      </c>
      <c r="R159" s="460">
        <v>1211</v>
      </c>
      <c r="S159" s="460" t="s">
        <v>1136</v>
      </c>
      <c r="T159" s="462">
        <v>1</v>
      </c>
      <c r="U159" s="460" t="s">
        <v>1136</v>
      </c>
      <c r="V159" s="475">
        <v>0</v>
      </c>
      <c r="W159" s="463" t="s">
        <v>2268</v>
      </c>
      <c r="X159" s="463" t="s">
        <v>2268</v>
      </c>
      <c r="Y159" s="463" t="s">
        <v>2267</v>
      </c>
      <c r="Z159" s="463"/>
      <c r="AA159" s="463"/>
      <c r="AB159" s="464">
        <v>0</v>
      </c>
      <c r="AC159" s="465">
        <v>0</v>
      </c>
      <c r="AD159" s="465">
        <v>0</v>
      </c>
      <c r="AE159" s="476">
        <v>0</v>
      </c>
      <c r="AF159" s="467">
        <v>0</v>
      </c>
      <c r="AG159" s="468">
        <v>0</v>
      </c>
      <c r="AH159" s="218">
        <v>0</v>
      </c>
      <c r="AI159" s="470">
        <v>0</v>
      </c>
      <c r="AJ159" s="471">
        <v>0</v>
      </c>
      <c r="AK159" s="218">
        <v>0</v>
      </c>
      <c r="AL159" s="470">
        <v>0</v>
      </c>
      <c r="AM159" s="471">
        <v>0</v>
      </c>
      <c r="AN159" s="477">
        <v>36.217012126454904</v>
      </c>
      <c r="AO159" s="473">
        <v>0.12546843742168592</v>
      </c>
      <c r="AP159" s="474">
        <v>0.16335651185605951</v>
      </c>
      <c r="AQ159" s="352"/>
      <c r="AR159" s="352"/>
      <c r="AS159" s="352"/>
      <c r="AT159" s="352"/>
      <c r="AU159" s="352"/>
      <c r="AV159" s="352"/>
      <c r="AW159" s="352" t="s">
        <v>254</v>
      </c>
    </row>
    <row r="160" spans="2:49" x14ac:dyDescent="0.2">
      <c r="B160" s="460" t="s">
        <v>2412</v>
      </c>
      <c r="C160" s="460">
        <v>1211</v>
      </c>
      <c r="D160" s="460" t="s">
        <v>2363</v>
      </c>
      <c r="E160" s="460" t="s">
        <v>1137</v>
      </c>
      <c r="F160" s="460">
        <v>2</v>
      </c>
      <c r="G160" s="460">
        <v>4</v>
      </c>
      <c r="H160" s="461" t="s">
        <v>746</v>
      </c>
      <c r="I160" s="461" t="s">
        <v>762</v>
      </c>
      <c r="J160" s="461" t="s">
        <v>700</v>
      </c>
      <c r="K160" s="594"/>
      <c r="L160" s="594"/>
      <c r="M160" s="352">
        <v>1000</v>
      </c>
      <c r="N160" s="352" t="s">
        <v>698</v>
      </c>
      <c r="O160" s="460">
        <v>1211</v>
      </c>
      <c r="P160" s="460" t="s">
        <v>705</v>
      </c>
      <c r="Q160" s="460" t="s">
        <v>2266</v>
      </c>
      <c r="R160" s="460">
        <v>1211</v>
      </c>
      <c r="S160" s="460" t="s">
        <v>1137</v>
      </c>
      <c r="T160" s="462">
        <v>1</v>
      </c>
      <c r="U160" s="460" t="s">
        <v>1137</v>
      </c>
      <c r="V160" s="475">
        <v>0</v>
      </c>
      <c r="W160" s="463" t="s">
        <v>2268</v>
      </c>
      <c r="X160" s="463" t="s">
        <v>2268</v>
      </c>
      <c r="Y160" s="463" t="s">
        <v>2267</v>
      </c>
      <c r="Z160" s="463"/>
      <c r="AA160" s="463"/>
      <c r="AB160" s="464">
        <v>0</v>
      </c>
      <c r="AC160" s="465">
        <v>0</v>
      </c>
      <c r="AD160" s="465">
        <v>0</v>
      </c>
      <c r="AE160" s="476">
        <v>0</v>
      </c>
      <c r="AF160" s="467">
        <v>0</v>
      </c>
      <c r="AG160" s="468">
        <v>0</v>
      </c>
      <c r="AH160" s="218">
        <v>0</v>
      </c>
      <c r="AI160" s="470">
        <v>0</v>
      </c>
      <c r="AJ160" s="471">
        <v>0</v>
      </c>
      <c r="AK160" s="218">
        <v>0</v>
      </c>
      <c r="AL160" s="470">
        <v>0</v>
      </c>
      <c r="AM160" s="471">
        <v>0</v>
      </c>
      <c r="AN160" s="477">
        <v>671.9176981061579</v>
      </c>
      <c r="AO160" s="473">
        <v>0.60994964627837667</v>
      </c>
      <c r="AP160" s="474">
        <v>0.18361063174830497</v>
      </c>
      <c r="AQ160" s="352"/>
      <c r="AR160" s="352"/>
      <c r="AS160" s="352"/>
      <c r="AT160" s="352"/>
      <c r="AU160" s="352"/>
      <c r="AV160" s="352"/>
      <c r="AW160" s="352" t="s">
        <v>254</v>
      </c>
    </row>
    <row r="161" spans="2:49" x14ac:dyDescent="0.2">
      <c r="B161" s="460" t="s">
        <v>2413</v>
      </c>
      <c r="C161" s="460">
        <v>1211</v>
      </c>
      <c r="D161" s="460" t="s">
        <v>2364</v>
      </c>
      <c r="E161" s="460" t="s">
        <v>1138</v>
      </c>
      <c r="F161" s="460">
        <v>3</v>
      </c>
      <c r="G161" s="460">
        <v>4</v>
      </c>
      <c r="H161" s="461" t="s">
        <v>746</v>
      </c>
      <c r="I161" s="461" t="s">
        <v>762</v>
      </c>
      <c r="J161" s="461" t="s">
        <v>700</v>
      </c>
      <c r="K161" s="594"/>
      <c r="L161" s="594"/>
      <c r="M161" s="352">
        <v>1000</v>
      </c>
      <c r="N161" s="352" t="s">
        <v>698</v>
      </c>
      <c r="O161" s="460">
        <v>1211</v>
      </c>
      <c r="P161" s="460" t="s">
        <v>705</v>
      </c>
      <c r="Q161" s="460" t="s">
        <v>2266</v>
      </c>
      <c r="R161" s="460">
        <v>1211</v>
      </c>
      <c r="S161" s="460" t="s">
        <v>1138</v>
      </c>
      <c r="T161" s="462">
        <v>1</v>
      </c>
      <c r="U161" s="460" t="s">
        <v>1138</v>
      </c>
      <c r="V161" s="475">
        <v>0</v>
      </c>
      <c r="W161" s="463" t="s">
        <v>2268</v>
      </c>
      <c r="X161" s="463" t="s">
        <v>2268</v>
      </c>
      <c r="Y161" s="463" t="s">
        <v>2267</v>
      </c>
      <c r="Z161" s="463"/>
      <c r="AA161" s="463"/>
      <c r="AB161" s="464">
        <v>0</v>
      </c>
      <c r="AC161" s="465">
        <v>0</v>
      </c>
      <c r="AD161" s="465">
        <v>0</v>
      </c>
      <c r="AE161" s="476">
        <v>0</v>
      </c>
      <c r="AF161" s="467">
        <v>0</v>
      </c>
      <c r="AG161" s="468">
        <v>0</v>
      </c>
      <c r="AH161" s="218">
        <v>0</v>
      </c>
      <c r="AI161" s="470">
        <v>0</v>
      </c>
      <c r="AJ161" s="471">
        <v>0</v>
      </c>
      <c r="AK161" s="218">
        <v>0</v>
      </c>
      <c r="AL161" s="470">
        <v>0</v>
      </c>
      <c r="AM161" s="471">
        <v>0</v>
      </c>
      <c r="AN161" s="477">
        <v>407.01949185112659</v>
      </c>
      <c r="AO161" s="473">
        <v>0.53065638038939467</v>
      </c>
      <c r="AP161" s="474">
        <v>0.21066474033204907</v>
      </c>
      <c r="AQ161" s="352"/>
      <c r="AR161" s="352"/>
      <c r="AS161" s="352"/>
      <c r="AT161" s="352"/>
      <c r="AU161" s="352"/>
      <c r="AV161" s="352"/>
      <c r="AW161" s="352" t="s">
        <v>254</v>
      </c>
    </row>
    <row r="162" spans="2:49" x14ac:dyDescent="0.2">
      <c r="B162" s="460" t="s">
        <v>2414</v>
      </c>
      <c r="C162" s="460">
        <v>1211</v>
      </c>
      <c r="D162" s="460" t="s">
        <v>2365</v>
      </c>
      <c r="E162" s="460" t="s">
        <v>1139</v>
      </c>
      <c r="F162" s="460">
        <v>4</v>
      </c>
      <c r="G162" s="460">
        <v>4</v>
      </c>
      <c r="H162" s="461" t="s">
        <v>746</v>
      </c>
      <c r="I162" s="461" t="s">
        <v>762</v>
      </c>
      <c r="J162" s="461" t="s">
        <v>700</v>
      </c>
      <c r="K162" s="594"/>
      <c r="L162" s="594"/>
      <c r="M162" s="352">
        <v>1000</v>
      </c>
      <c r="N162" s="352" t="s">
        <v>698</v>
      </c>
      <c r="O162" s="460">
        <v>1211</v>
      </c>
      <c r="P162" s="460" t="s">
        <v>705</v>
      </c>
      <c r="Q162" s="460" t="s">
        <v>2266</v>
      </c>
      <c r="R162" s="460">
        <v>1211</v>
      </c>
      <c r="S162" s="460" t="s">
        <v>1139</v>
      </c>
      <c r="T162" s="462">
        <v>1</v>
      </c>
      <c r="U162" s="460" t="s">
        <v>1139</v>
      </c>
      <c r="V162" s="475">
        <v>0</v>
      </c>
      <c r="W162" s="463" t="s">
        <v>2268</v>
      </c>
      <c r="X162" s="463" t="s">
        <v>2268</v>
      </c>
      <c r="Y162" s="463" t="s">
        <v>2267</v>
      </c>
      <c r="Z162" s="463"/>
      <c r="AA162" s="463"/>
      <c r="AB162" s="464">
        <v>0</v>
      </c>
      <c r="AC162" s="465">
        <v>0</v>
      </c>
      <c r="AD162" s="465">
        <v>0</v>
      </c>
      <c r="AE162" s="476">
        <v>0</v>
      </c>
      <c r="AF162" s="467">
        <v>0</v>
      </c>
      <c r="AG162" s="468">
        <v>0</v>
      </c>
      <c r="AH162" s="218">
        <v>0</v>
      </c>
      <c r="AI162" s="470">
        <v>0</v>
      </c>
      <c r="AJ162" s="471">
        <v>0</v>
      </c>
      <c r="AK162" s="218">
        <v>0</v>
      </c>
      <c r="AL162" s="470">
        <v>0</v>
      </c>
      <c r="AM162" s="471">
        <v>0</v>
      </c>
      <c r="AN162" s="477">
        <v>0</v>
      </c>
      <c r="AO162" s="473">
        <v>0</v>
      </c>
      <c r="AP162" s="474">
        <v>0</v>
      </c>
      <c r="AQ162" s="352"/>
      <c r="AR162" s="352"/>
      <c r="AS162" s="352"/>
      <c r="AT162" s="352"/>
      <c r="AU162" s="352"/>
      <c r="AV162" s="352"/>
      <c r="AW162" s="352" t="s">
        <v>254</v>
      </c>
    </row>
    <row r="163" spans="2:49" x14ac:dyDescent="0.2">
      <c r="B163" s="460" t="s">
        <v>2411</v>
      </c>
      <c r="C163" s="460">
        <v>1211</v>
      </c>
      <c r="D163" s="460" t="s">
        <v>2366</v>
      </c>
      <c r="E163" s="460" t="s">
        <v>1136</v>
      </c>
      <c r="F163" s="460">
        <v>1</v>
      </c>
      <c r="G163" s="460">
        <v>4</v>
      </c>
      <c r="H163" s="461" t="s">
        <v>748</v>
      </c>
      <c r="I163" s="461" t="s">
        <v>765</v>
      </c>
      <c r="J163" s="461" t="s">
        <v>700</v>
      </c>
      <c r="K163" s="594"/>
      <c r="L163" s="594"/>
      <c r="M163" s="352">
        <v>1000</v>
      </c>
      <c r="N163" s="352" t="s">
        <v>698</v>
      </c>
      <c r="O163" s="460">
        <v>1211</v>
      </c>
      <c r="P163" s="460" t="s">
        <v>705</v>
      </c>
      <c r="Q163" s="460" t="s">
        <v>2289</v>
      </c>
      <c r="R163" s="460">
        <v>1211</v>
      </c>
      <c r="S163" s="460" t="s">
        <v>1136</v>
      </c>
      <c r="T163" s="462">
        <v>1</v>
      </c>
      <c r="U163" s="460" t="s">
        <v>1136</v>
      </c>
      <c r="V163" s="475">
        <v>0</v>
      </c>
      <c r="W163" s="463" t="s">
        <v>2268</v>
      </c>
      <c r="X163" s="463" t="s">
        <v>2268</v>
      </c>
      <c r="Y163" s="463" t="s">
        <v>2290</v>
      </c>
      <c r="Z163" s="463"/>
      <c r="AA163" s="463"/>
      <c r="AB163" s="464">
        <v>0</v>
      </c>
      <c r="AC163" s="465">
        <v>0</v>
      </c>
      <c r="AD163" s="465">
        <v>0</v>
      </c>
      <c r="AE163" s="476">
        <v>0</v>
      </c>
      <c r="AF163" s="467">
        <v>0</v>
      </c>
      <c r="AG163" s="468">
        <v>0</v>
      </c>
      <c r="AH163" s="218">
        <v>0</v>
      </c>
      <c r="AI163" s="470">
        <v>0</v>
      </c>
      <c r="AJ163" s="471">
        <v>0</v>
      </c>
      <c r="AK163" s="218">
        <v>0</v>
      </c>
      <c r="AL163" s="470">
        <v>0</v>
      </c>
      <c r="AM163" s="471">
        <v>0</v>
      </c>
      <c r="AN163" s="477">
        <v>0</v>
      </c>
      <c r="AO163" s="473">
        <v>0</v>
      </c>
      <c r="AP163" s="474">
        <v>0</v>
      </c>
      <c r="AQ163" s="352"/>
      <c r="AR163" s="352"/>
      <c r="AS163" s="352"/>
      <c r="AT163" s="352"/>
      <c r="AU163" s="352"/>
      <c r="AV163" s="352"/>
      <c r="AW163" s="352" t="s">
        <v>254</v>
      </c>
    </row>
    <row r="164" spans="2:49" x14ac:dyDescent="0.2">
      <c r="B164" s="460" t="s">
        <v>2412</v>
      </c>
      <c r="C164" s="460">
        <v>1211</v>
      </c>
      <c r="D164" s="460" t="s">
        <v>2367</v>
      </c>
      <c r="E164" s="460" t="s">
        <v>1137</v>
      </c>
      <c r="F164" s="460">
        <v>2</v>
      </c>
      <c r="G164" s="460">
        <v>4</v>
      </c>
      <c r="H164" s="461" t="s">
        <v>748</v>
      </c>
      <c r="I164" s="461" t="s">
        <v>765</v>
      </c>
      <c r="J164" s="461" t="s">
        <v>700</v>
      </c>
      <c r="K164" s="594"/>
      <c r="L164" s="594"/>
      <c r="M164" s="352">
        <v>1000</v>
      </c>
      <c r="N164" s="352" t="s">
        <v>698</v>
      </c>
      <c r="O164" s="460">
        <v>1211</v>
      </c>
      <c r="P164" s="460" t="s">
        <v>705</v>
      </c>
      <c r="Q164" s="460" t="s">
        <v>2289</v>
      </c>
      <c r="R164" s="460">
        <v>1211</v>
      </c>
      <c r="S164" s="460" t="s">
        <v>1137</v>
      </c>
      <c r="T164" s="462">
        <v>1</v>
      </c>
      <c r="U164" s="460" t="s">
        <v>1137</v>
      </c>
      <c r="V164" s="475">
        <v>0</v>
      </c>
      <c r="W164" s="463" t="s">
        <v>2268</v>
      </c>
      <c r="X164" s="463" t="s">
        <v>2268</v>
      </c>
      <c r="Y164" s="463" t="s">
        <v>2290</v>
      </c>
      <c r="Z164" s="463"/>
      <c r="AA164" s="463"/>
      <c r="AB164" s="464">
        <v>0</v>
      </c>
      <c r="AC164" s="465">
        <v>0</v>
      </c>
      <c r="AD164" s="465">
        <v>0</v>
      </c>
      <c r="AE164" s="476">
        <v>0</v>
      </c>
      <c r="AF164" s="467">
        <v>0</v>
      </c>
      <c r="AG164" s="468">
        <v>0</v>
      </c>
      <c r="AH164" s="218">
        <v>0</v>
      </c>
      <c r="AI164" s="470">
        <v>0</v>
      </c>
      <c r="AJ164" s="471">
        <v>0</v>
      </c>
      <c r="AK164" s="218">
        <v>0</v>
      </c>
      <c r="AL164" s="470">
        <v>0</v>
      </c>
      <c r="AM164" s="471">
        <v>0</v>
      </c>
      <c r="AN164" s="477">
        <v>0</v>
      </c>
      <c r="AO164" s="473">
        <v>0</v>
      </c>
      <c r="AP164" s="474">
        <v>0</v>
      </c>
      <c r="AQ164" s="352"/>
      <c r="AR164" s="352"/>
      <c r="AS164" s="352"/>
      <c r="AT164" s="352"/>
      <c r="AU164" s="352"/>
      <c r="AV164" s="352"/>
      <c r="AW164" s="352" t="s">
        <v>254</v>
      </c>
    </row>
    <row r="165" spans="2:49" x14ac:dyDescent="0.2">
      <c r="B165" s="460" t="s">
        <v>2413</v>
      </c>
      <c r="C165" s="460">
        <v>1211</v>
      </c>
      <c r="D165" s="460" t="s">
        <v>2368</v>
      </c>
      <c r="E165" s="460" t="s">
        <v>1138</v>
      </c>
      <c r="F165" s="460">
        <v>3</v>
      </c>
      <c r="G165" s="460">
        <v>4</v>
      </c>
      <c r="H165" s="461" t="s">
        <v>748</v>
      </c>
      <c r="I165" s="461" t="s">
        <v>765</v>
      </c>
      <c r="J165" s="461" t="s">
        <v>700</v>
      </c>
      <c r="K165" s="594"/>
      <c r="L165" s="594"/>
      <c r="M165" s="352">
        <v>1000</v>
      </c>
      <c r="N165" s="352" t="s">
        <v>698</v>
      </c>
      <c r="O165" s="460">
        <v>1211</v>
      </c>
      <c r="P165" s="460" t="s">
        <v>705</v>
      </c>
      <c r="Q165" s="460" t="s">
        <v>2289</v>
      </c>
      <c r="R165" s="460">
        <v>1211</v>
      </c>
      <c r="S165" s="460" t="s">
        <v>1138</v>
      </c>
      <c r="T165" s="462">
        <v>1</v>
      </c>
      <c r="U165" s="460" t="s">
        <v>1138</v>
      </c>
      <c r="V165" s="475">
        <v>0</v>
      </c>
      <c r="W165" s="463" t="s">
        <v>2268</v>
      </c>
      <c r="X165" s="463" t="s">
        <v>2268</v>
      </c>
      <c r="Y165" s="463" t="s">
        <v>2290</v>
      </c>
      <c r="Z165" s="463"/>
      <c r="AA165" s="463"/>
      <c r="AB165" s="464">
        <v>0</v>
      </c>
      <c r="AC165" s="465">
        <v>0</v>
      </c>
      <c r="AD165" s="465">
        <v>0</v>
      </c>
      <c r="AE165" s="476">
        <v>0</v>
      </c>
      <c r="AF165" s="467">
        <v>0</v>
      </c>
      <c r="AG165" s="468">
        <v>0</v>
      </c>
      <c r="AH165" s="218">
        <v>0</v>
      </c>
      <c r="AI165" s="470">
        <v>0</v>
      </c>
      <c r="AJ165" s="471">
        <v>0</v>
      </c>
      <c r="AK165" s="218">
        <v>0</v>
      </c>
      <c r="AL165" s="470">
        <v>0</v>
      </c>
      <c r="AM165" s="471">
        <v>0</v>
      </c>
      <c r="AN165" s="477">
        <v>0</v>
      </c>
      <c r="AO165" s="473">
        <v>0</v>
      </c>
      <c r="AP165" s="474">
        <v>0</v>
      </c>
      <c r="AQ165" s="352"/>
      <c r="AR165" s="352"/>
      <c r="AS165" s="352"/>
      <c r="AT165" s="352"/>
      <c r="AU165" s="352"/>
      <c r="AV165" s="352"/>
      <c r="AW165" s="352" t="s">
        <v>254</v>
      </c>
    </row>
    <row r="166" spans="2:49" x14ac:dyDescent="0.2">
      <c r="B166" s="460" t="s">
        <v>2414</v>
      </c>
      <c r="C166" s="460">
        <v>1211</v>
      </c>
      <c r="D166" s="460" t="s">
        <v>2369</v>
      </c>
      <c r="E166" s="460" t="s">
        <v>1139</v>
      </c>
      <c r="F166" s="460">
        <v>4</v>
      </c>
      <c r="G166" s="460">
        <v>4</v>
      </c>
      <c r="H166" s="461" t="s">
        <v>748</v>
      </c>
      <c r="I166" s="461" t="s">
        <v>765</v>
      </c>
      <c r="J166" s="461" t="s">
        <v>700</v>
      </c>
      <c r="K166" s="594"/>
      <c r="L166" s="594"/>
      <c r="M166" s="352">
        <v>1000</v>
      </c>
      <c r="N166" s="352" t="s">
        <v>698</v>
      </c>
      <c r="O166" s="460">
        <v>1211</v>
      </c>
      <c r="P166" s="460" t="s">
        <v>705</v>
      </c>
      <c r="Q166" s="460" t="s">
        <v>2289</v>
      </c>
      <c r="R166" s="460">
        <v>1211</v>
      </c>
      <c r="S166" s="460" t="s">
        <v>1139</v>
      </c>
      <c r="T166" s="462">
        <v>1</v>
      </c>
      <c r="U166" s="460" t="s">
        <v>1139</v>
      </c>
      <c r="V166" s="475">
        <v>0</v>
      </c>
      <c r="W166" s="463" t="s">
        <v>2268</v>
      </c>
      <c r="X166" s="463" t="s">
        <v>2268</v>
      </c>
      <c r="Y166" s="463" t="s">
        <v>2290</v>
      </c>
      <c r="Z166" s="463"/>
      <c r="AA166" s="463"/>
      <c r="AB166" s="464">
        <v>0</v>
      </c>
      <c r="AC166" s="465">
        <v>0</v>
      </c>
      <c r="AD166" s="465">
        <v>0</v>
      </c>
      <c r="AE166" s="476">
        <v>0</v>
      </c>
      <c r="AF166" s="467">
        <v>0</v>
      </c>
      <c r="AG166" s="468">
        <v>0</v>
      </c>
      <c r="AH166" s="218">
        <v>0</v>
      </c>
      <c r="AI166" s="470">
        <v>0</v>
      </c>
      <c r="AJ166" s="471">
        <v>0</v>
      </c>
      <c r="AK166" s="218">
        <v>0</v>
      </c>
      <c r="AL166" s="470">
        <v>0</v>
      </c>
      <c r="AM166" s="471">
        <v>0</v>
      </c>
      <c r="AN166" s="477">
        <v>0</v>
      </c>
      <c r="AO166" s="473">
        <v>0</v>
      </c>
      <c r="AP166" s="474">
        <v>0</v>
      </c>
      <c r="AQ166" s="352"/>
      <c r="AR166" s="352"/>
      <c r="AS166" s="352"/>
      <c r="AT166" s="352"/>
      <c r="AU166" s="352"/>
      <c r="AV166" s="352"/>
      <c r="AW166" s="352" t="s">
        <v>254</v>
      </c>
    </row>
    <row r="167" spans="2:49" x14ac:dyDescent="0.2">
      <c r="B167" s="460" t="s">
        <v>2411</v>
      </c>
      <c r="C167" s="460">
        <v>1211</v>
      </c>
      <c r="D167" s="460" t="s">
        <v>2370</v>
      </c>
      <c r="E167" s="460" t="s">
        <v>1136</v>
      </c>
      <c r="F167" s="460">
        <v>1</v>
      </c>
      <c r="G167" s="460">
        <v>4</v>
      </c>
      <c r="H167" s="461" t="s">
        <v>752</v>
      </c>
      <c r="I167" s="461" t="s">
        <v>964</v>
      </c>
      <c r="J167" s="461" t="s">
        <v>752</v>
      </c>
      <c r="K167" s="594"/>
      <c r="L167" s="594"/>
      <c r="M167" s="352">
        <v>1000</v>
      </c>
      <c r="N167" s="352" t="s">
        <v>698</v>
      </c>
      <c r="O167" s="460">
        <v>1211</v>
      </c>
      <c r="P167" s="460" t="s">
        <v>705</v>
      </c>
      <c r="Q167" s="460" t="s">
        <v>2266</v>
      </c>
      <c r="R167" s="460">
        <v>1211</v>
      </c>
      <c r="S167" s="460" t="s">
        <v>1136</v>
      </c>
      <c r="T167" s="462">
        <v>1</v>
      </c>
      <c r="U167" s="460" t="s">
        <v>1136</v>
      </c>
      <c r="V167" s="475">
        <v>0</v>
      </c>
      <c r="W167" s="463" t="s">
        <v>2267</v>
      </c>
      <c r="X167" s="463" t="s">
        <v>2267</v>
      </c>
      <c r="Y167" s="463" t="s">
        <v>2267</v>
      </c>
      <c r="Z167" s="463"/>
      <c r="AA167" s="463"/>
      <c r="AB167" s="464">
        <v>178.22104659349054</v>
      </c>
      <c r="AC167" s="465">
        <v>0.61742023758522435</v>
      </c>
      <c r="AD167" s="465">
        <v>5.7714808421920234E-2</v>
      </c>
      <c r="AE167" s="476">
        <v>178.22104659349054</v>
      </c>
      <c r="AF167" s="467">
        <v>0.61742023758522435</v>
      </c>
      <c r="AG167" s="468">
        <v>5.7714808421920234E-2</v>
      </c>
      <c r="AH167" s="218">
        <v>178.22104659349054</v>
      </c>
      <c r="AI167" s="470">
        <v>0.61742023758522435</v>
      </c>
      <c r="AJ167" s="471">
        <v>4.8724692650692701E-2</v>
      </c>
      <c r="AK167" s="218">
        <v>178.22104659349054</v>
      </c>
      <c r="AL167" s="470">
        <v>0.61742023758522435</v>
      </c>
      <c r="AM167" s="471">
        <v>4.8724692650692701E-2</v>
      </c>
      <c r="AN167" s="477">
        <v>178.22104659349054</v>
      </c>
      <c r="AO167" s="473">
        <v>0.61742023758522435</v>
      </c>
      <c r="AP167" s="474">
        <v>4.8724692650692701E-2</v>
      </c>
      <c r="AQ167" s="352"/>
      <c r="AR167" s="352"/>
      <c r="AS167" s="352"/>
      <c r="AT167" s="352"/>
      <c r="AU167" s="352"/>
      <c r="AV167" s="352"/>
      <c r="AW167" s="352" t="s">
        <v>254</v>
      </c>
    </row>
    <row r="168" spans="2:49" x14ac:dyDescent="0.2">
      <c r="B168" s="460" t="s">
        <v>2412</v>
      </c>
      <c r="C168" s="460">
        <v>1211</v>
      </c>
      <c r="D168" s="460" t="s">
        <v>2371</v>
      </c>
      <c r="E168" s="460" t="s">
        <v>1137</v>
      </c>
      <c r="F168" s="460">
        <v>2</v>
      </c>
      <c r="G168" s="460">
        <v>4</v>
      </c>
      <c r="H168" s="461" t="s">
        <v>752</v>
      </c>
      <c r="I168" s="461" t="s">
        <v>964</v>
      </c>
      <c r="J168" s="461" t="s">
        <v>752</v>
      </c>
      <c r="K168" s="594"/>
      <c r="L168" s="594"/>
      <c r="M168" s="352">
        <v>1000</v>
      </c>
      <c r="N168" s="352" t="s">
        <v>698</v>
      </c>
      <c r="O168" s="460">
        <v>1211</v>
      </c>
      <c r="P168" s="460" t="s">
        <v>705</v>
      </c>
      <c r="Q168" s="460" t="s">
        <v>2266</v>
      </c>
      <c r="R168" s="460">
        <v>1211</v>
      </c>
      <c r="S168" s="460" t="s">
        <v>1137</v>
      </c>
      <c r="T168" s="462">
        <v>1</v>
      </c>
      <c r="U168" s="460" t="s">
        <v>1137</v>
      </c>
      <c r="V168" s="475">
        <v>0</v>
      </c>
      <c r="W168" s="463" t="s">
        <v>2267</v>
      </c>
      <c r="X168" s="463" t="s">
        <v>2267</v>
      </c>
      <c r="Y168" s="463" t="s">
        <v>2267</v>
      </c>
      <c r="Z168" s="463"/>
      <c r="AA168" s="463"/>
      <c r="AB168" s="464">
        <v>257.22713090180474</v>
      </c>
      <c r="AC168" s="465">
        <v>0.23350418949966276</v>
      </c>
      <c r="AD168" s="465">
        <v>2.5169402177531428E-2</v>
      </c>
      <c r="AE168" s="476">
        <v>257.22713090180474</v>
      </c>
      <c r="AF168" s="467">
        <v>0.23350418949966276</v>
      </c>
      <c r="AG168" s="468">
        <v>2.5169402177531428E-2</v>
      </c>
      <c r="AH168" s="218">
        <v>257.22713090180474</v>
      </c>
      <c r="AI168" s="470">
        <v>0.23350418949966276</v>
      </c>
      <c r="AJ168" s="471">
        <v>2.4952992145527524E-2</v>
      </c>
      <c r="AK168" s="218">
        <v>257.22713090180474</v>
      </c>
      <c r="AL168" s="470">
        <v>0.23350418949966276</v>
      </c>
      <c r="AM168" s="471">
        <v>2.4952992145527524E-2</v>
      </c>
      <c r="AN168" s="477">
        <v>257.22713090180474</v>
      </c>
      <c r="AO168" s="473">
        <v>0.23350418949966276</v>
      </c>
      <c r="AP168" s="474">
        <v>2.4952992145527524E-2</v>
      </c>
      <c r="AQ168" s="352"/>
      <c r="AR168" s="352"/>
      <c r="AS168" s="352"/>
      <c r="AT168" s="352"/>
      <c r="AU168" s="352"/>
      <c r="AV168" s="352"/>
      <c r="AW168" s="352" t="s">
        <v>254</v>
      </c>
    </row>
    <row r="169" spans="2:49" x14ac:dyDescent="0.2">
      <c r="B169" s="460" t="s">
        <v>2413</v>
      </c>
      <c r="C169" s="460">
        <v>1211</v>
      </c>
      <c r="D169" s="460" t="s">
        <v>2372</v>
      </c>
      <c r="E169" s="460" t="s">
        <v>1138</v>
      </c>
      <c r="F169" s="460">
        <v>3</v>
      </c>
      <c r="G169" s="460">
        <v>4</v>
      </c>
      <c r="H169" s="461" t="s">
        <v>752</v>
      </c>
      <c r="I169" s="461" t="s">
        <v>964</v>
      </c>
      <c r="J169" s="461" t="s">
        <v>752</v>
      </c>
      <c r="K169" s="594"/>
      <c r="L169" s="594"/>
      <c r="M169" s="352">
        <v>1000</v>
      </c>
      <c r="N169" s="352" t="s">
        <v>698</v>
      </c>
      <c r="O169" s="460">
        <v>1211</v>
      </c>
      <c r="P169" s="460" t="s">
        <v>705</v>
      </c>
      <c r="Q169" s="460" t="s">
        <v>2266</v>
      </c>
      <c r="R169" s="460">
        <v>1211</v>
      </c>
      <c r="S169" s="460" t="s">
        <v>1138</v>
      </c>
      <c r="T169" s="462">
        <v>1</v>
      </c>
      <c r="U169" s="460" t="s">
        <v>1138</v>
      </c>
      <c r="V169" s="475">
        <v>0</v>
      </c>
      <c r="W169" s="463" t="s">
        <v>2267</v>
      </c>
      <c r="X169" s="463" t="s">
        <v>2267</v>
      </c>
      <c r="Y169" s="463" t="s">
        <v>2267</v>
      </c>
      <c r="Z169" s="463"/>
      <c r="AA169" s="463"/>
      <c r="AB169" s="464">
        <v>267.69426193190174</v>
      </c>
      <c r="AC169" s="465">
        <v>0.34900949692048594</v>
      </c>
      <c r="AD169" s="465">
        <v>4.6237075089222167E-2</v>
      </c>
      <c r="AE169" s="476">
        <v>267.69426193190174</v>
      </c>
      <c r="AF169" s="467">
        <v>0.34900949692048594</v>
      </c>
      <c r="AG169" s="468">
        <v>4.6237075089222167E-2</v>
      </c>
      <c r="AH169" s="218">
        <v>267.69426193190174</v>
      </c>
      <c r="AI169" s="470">
        <v>0.34900949692048594</v>
      </c>
      <c r="AJ169" s="471">
        <v>4.4411322130504582E-2</v>
      </c>
      <c r="AK169" s="218">
        <v>267.69426193190174</v>
      </c>
      <c r="AL169" s="470">
        <v>0.34900949692048594</v>
      </c>
      <c r="AM169" s="471">
        <v>4.4411322130504582E-2</v>
      </c>
      <c r="AN169" s="477">
        <v>267.69426193190174</v>
      </c>
      <c r="AO169" s="473">
        <v>0.34900949692048594</v>
      </c>
      <c r="AP169" s="474">
        <v>4.4411322130504582E-2</v>
      </c>
      <c r="AQ169" s="352"/>
      <c r="AR169" s="352"/>
      <c r="AS169" s="352"/>
      <c r="AT169" s="352"/>
      <c r="AU169" s="352"/>
      <c r="AV169" s="352"/>
      <c r="AW169" s="352" t="s">
        <v>254</v>
      </c>
    </row>
    <row r="170" spans="2:49" x14ac:dyDescent="0.2">
      <c r="B170" s="460" t="s">
        <v>2414</v>
      </c>
      <c r="C170" s="460">
        <v>1211</v>
      </c>
      <c r="D170" s="460" t="s">
        <v>2373</v>
      </c>
      <c r="E170" s="460" t="s">
        <v>1139</v>
      </c>
      <c r="F170" s="460">
        <v>4</v>
      </c>
      <c r="G170" s="460">
        <v>4</v>
      </c>
      <c r="H170" s="461" t="s">
        <v>752</v>
      </c>
      <c r="I170" s="461" t="s">
        <v>964</v>
      </c>
      <c r="J170" s="461" t="s">
        <v>752</v>
      </c>
      <c r="K170" s="594"/>
      <c r="L170" s="594"/>
      <c r="M170" s="352">
        <v>1000</v>
      </c>
      <c r="N170" s="352" t="s">
        <v>698</v>
      </c>
      <c r="O170" s="460">
        <v>1211</v>
      </c>
      <c r="P170" s="460" t="s">
        <v>705</v>
      </c>
      <c r="Q170" s="460" t="s">
        <v>2266</v>
      </c>
      <c r="R170" s="460">
        <v>1211</v>
      </c>
      <c r="S170" s="460" t="s">
        <v>1139</v>
      </c>
      <c r="T170" s="462">
        <v>1</v>
      </c>
      <c r="U170" s="460" t="s">
        <v>1139</v>
      </c>
      <c r="V170" s="475">
        <v>0</v>
      </c>
      <c r="W170" s="463" t="s">
        <v>2267</v>
      </c>
      <c r="X170" s="463" t="s">
        <v>2267</v>
      </c>
      <c r="Y170" s="463" t="s">
        <v>2267</v>
      </c>
      <c r="Z170" s="463"/>
      <c r="AA170" s="463"/>
      <c r="AB170" s="464">
        <v>418.00165307735392</v>
      </c>
      <c r="AC170" s="465">
        <v>0.79977560577326456</v>
      </c>
      <c r="AD170" s="465">
        <v>1.6664585989709341E-2</v>
      </c>
      <c r="AE170" s="476">
        <v>418.00165307735392</v>
      </c>
      <c r="AF170" s="467">
        <v>0.79977560577326456</v>
      </c>
      <c r="AG170" s="468">
        <v>1.6664585989709341E-2</v>
      </c>
      <c r="AH170" s="218">
        <v>418.00165307735392</v>
      </c>
      <c r="AI170" s="470">
        <v>0.79977560577326456</v>
      </c>
      <c r="AJ170" s="471">
        <v>1.5490243185186927E-2</v>
      </c>
      <c r="AK170" s="218">
        <v>418.00165307735392</v>
      </c>
      <c r="AL170" s="470">
        <v>0.79977560577326456</v>
      </c>
      <c r="AM170" s="471">
        <v>1.5490243185186927E-2</v>
      </c>
      <c r="AN170" s="477">
        <v>418.00165307735392</v>
      </c>
      <c r="AO170" s="473">
        <v>0.79977560577326456</v>
      </c>
      <c r="AP170" s="474">
        <v>1.5490243185186927E-2</v>
      </c>
      <c r="AQ170" s="352"/>
      <c r="AR170" s="352"/>
      <c r="AS170" s="352"/>
      <c r="AT170" s="352"/>
      <c r="AU170" s="352"/>
      <c r="AV170" s="352"/>
      <c r="AW170" s="352" t="s">
        <v>254</v>
      </c>
    </row>
    <row r="171" spans="2:49" x14ac:dyDescent="0.2">
      <c r="B171" s="460" t="s">
        <v>2415</v>
      </c>
      <c r="C171" s="460">
        <v>1211</v>
      </c>
      <c r="D171" s="460" t="s">
        <v>2375</v>
      </c>
      <c r="E171" s="460" t="s">
        <v>2376</v>
      </c>
      <c r="F171" s="460">
        <v>1</v>
      </c>
      <c r="G171" s="460">
        <v>5</v>
      </c>
      <c r="H171" s="461" t="s">
        <v>754</v>
      </c>
      <c r="I171" s="461" t="s">
        <v>1991</v>
      </c>
      <c r="J171" s="461" t="s">
        <v>754</v>
      </c>
      <c r="K171" s="594"/>
      <c r="L171" s="594"/>
      <c r="M171" s="352">
        <v>1000</v>
      </c>
      <c r="N171" s="352" t="s">
        <v>698</v>
      </c>
      <c r="O171" s="460">
        <v>1211</v>
      </c>
      <c r="P171" s="460" t="s">
        <v>705</v>
      </c>
      <c r="Q171" s="460" t="s">
        <v>2377</v>
      </c>
      <c r="R171" s="460">
        <v>1211</v>
      </c>
      <c r="S171" s="460" t="s">
        <v>2376</v>
      </c>
      <c r="T171" s="462">
        <v>1</v>
      </c>
      <c r="U171" s="460" t="s">
        <v>2376</v>
      </c>
      <c r="V171" s="475">
        <v>0</v>
      </c>
      <c r="W171" s="463" t="s">
        <v>2278</v>
      </c>
      <c r="X171" s="463" t="s">
        <v>2278</v>
      </c>
      <c r="Y171" s="463" t="s">
        <v>2278</v>
      </c>
      <c r="Z171" s="463"/>
      <c r="AA171" s="463"/>
      <c r="AB171" s="464">
        <v>9760.1071875891575</v>
      </c>
      <c r="AC171" s="465">
        <v>1</v>
      </c>
      <c r="AD171" s="465">
        <v>1.6407763404082613E-2</v>
      </c>
      <c r="AE171" s="476">
        <v>9760.1071875891575</v>
      </c>
      <c r="AF171" s="467">
        <v>1</v>
      </c>
      <c r="AG171" s="468">
        <v>1.6407763404082613E-2</v>
      </c>
      <c r="AH171" s="218">
        <v>9760.1071875891575</v>
      </c>
      <c r="AI171" s="470">
        <v>1</v>
      </c>
      <c r="AJ171" s="471">
        <v>1.6407763404082613E-2</v>
      </c>
      <c r="AK171" s="218">
        <v>9760.1071875891575</v>
      </c>
      <c r="AL171" s="470">
        <v>1</v>
      </c>
      <c r="AM171" s="471">
        <v>1.6407763404082613E-2</v>
      </c>
      <c r="AN171" s="477">
        <v>9760.1071875891575</v>
      </c>
      <c r="AO171" s="473">
        <v>1</v>
      </c>
      <c r="AP171" s="474">
        <v>1.6407763404082613E-2</v>
      </c>
      <c r="AQ171" s="352"/>
      <c r="AR171" s="352"/>
      <c r="AS171" s="352"/>
      <c r="AT171" s="352"/>
      <c r="AU171" s="352"/>
      <c r="AV171" s="352"/>
      <c r="AW171" s="352" t="s">
        <v>127</v>
      </c>
    </row>
    <row r="172" spans="2:49" x14ac:dyDescent="0.2">
      <c r="B172" s="460" t="s">
        <v>2416</v>
      </c>
      <c r="C172" s="460">
        <v>1211</v>
      </c>
      <c r="D172" s="460" t="s">
        <v>2379</v>
      </c>
      <c r="E172" s="460" t="s">
        <v>2380</v>
      </c>
      <c r="F172" s="460">
        <v>2</v>
      </c>
      <c r="G172" s="460">
        <v>5</v>
      </c>
      <c r="H172" s="461" t="s">
        <v>754</v>
      </c>
      <c r="I172" s="461" t="s">
        <v>1991</v>
      </c>
      <c r="J172" s="461" t="s">
        <v>754</v>
      </c>
      <c r="K172" s="594"/>
      <c r="L172" s="594"/>
      <c r="M172" s="352">
        <v>1000</v>
      </c>
      <c r="N172" s="352" t="s">
        <v>698</v>
      </c>
      <c r="O172" s="460">
        <v>1211</v>
      </c>
      <c r="P172" s="460" t="s">
        <v>705</v>
      </c>
      <c r="Q172" s="460" t="s">
        <v>2377</v>
      </c>
      <c r="R172" s="460">
        <v>1211</v>
      </c>
      <c r="S172" s="460" t="s">
        <v>2380</v>
      </c>
      <c r="T172" s="462">
        <v>1</v>
      </c>
      <c r="U172" s="460" t="s">
        <v>2380</v>
      </c>
      <c r="V172" s="475">
        <v>0</v>
      </c>
      <c r="W172" s="463" t="s">
        <v>2278</v>
      </c>
      <c r="X172" s="463" t="s">
        <v>2278</v>
      </c>
      <c r="Y172" s="463" t="s">
        <v>2278</v>
      </c>
      <c r="Z172" s="463"/>
      <c r="AA172" s="463"/>
      <c r="AB172" s="464">
        <v>5241.383276984342</v>
      </c>
      <c r="AC172" s="465">
        <v>1</v>
      </c>
      <c r="AD172" s="465">
        <v>1.0321351343132418E-2</v>
      </c>
      <c r="AE172" s="476">
        <v>5241.383276984342</v>
      </c>
      <c r="AF172" s="467">
        <v>1</v>
      </c>
      <c r="AG172" s="468">
        <v>1.0321351343132418E-2</v>
      </c>
      <c r="AH172" s="218">
        <v>5241.383276984342</v>
      </c>
      <c r="AI172" s="470">
        <v>1</v>
      </c>
      <c r="AJ172" s="471">
        <v>1.0321351343132418E-2</v>
      </c>
      <c r="AK172" s="218">
        <v>5241.383276984342</v>
      </c>
      <c r="AL172" s="470">
        <v>1</v>
      </c>
      <c r="AM172" s="471">
        <v>1.0321351343132418E-2</v>
      </c>
      <c r="AN172" s="477">
        <v>5241.383276984342</v>
      </c>
      <c r="AO172" s="473">
        <v>1</v>
      </c>
      <c r="AP172" s="474">
        <v>1.0321351343132418E-2</v>
      </c>
      <c r="AQ172" s="352"/>
      <c r="AR172" s="352"/>
      <c r="AS172" s="352"/>
      <c r="AT172" s="352"/>
      <c r="AU172" s="352"/>
      <c r="AV172" s="352"/>
      <c r="AW172" s="352" t="s">
        <v>127</v>
      </c>
    </row>
    <row r="173" spans="2:49" x14ac:dyDescent="0.2">
      <c r="B173" s="460" t="s">
        <v>2417</v>
      </c>
      <c r="C173" s="460">
        <v>1211</v>
      </c>
      <c r="D173" s="460" t="s">
        <v>2382</v>
      </c>
      <c r="E173" s="460" t="s">
        <v>2383</v>
      </c>
      <c r="F173" s="460">
        <v>3</v>
      </c>
      <c r="G173" s="460">
        <v>5</v>
      </c>
      <c r="H173" s="461" t="s">
        <v>754</v>
      </c>
      <c r="I173" s="461" t="s">
        <v>1991</v>
      </c>
      <c r="J173" s="461" t="s">
        <v>754</v>
      </c>
      <c r="K173" s="594"/>
      <c r="L173" s="594"/>
      <c r="M173" s="352">
        <v>1000</v>
      </c>
      <c r="N173" s="352" t="s">
        <v>698</v>
      </c>
      <c r="O173" s="460">
        <v>1211</v>
      </c>
      <c r="P173" s="460" t="s">
        <v>705</v>
      </c>
      <c r="Q173" s="460" t="s">
        <v>2377</v>
      </c>
      <c r="R173" s="460">
        <v>1211</v>
      </c>
      <c r="S173" s="460" t="s">
        <v>2383</v>
      </c>
      <c r="T173" s="462">
        <v>1</v>
      </c>
      <c r="U173" s="460" t="s">
        <v>2383</v>
      </c>
      <c r="V173" s="475">
        <v>0</v>
      </c>
      <c r="W173" s="463" t="s">
        <v>2278</v>
      </c>
      <c r="X173" s="463" t="s">
        <v>2278</v>
      </c>
      <c r="Y173" s="463" t="s">
        <v>2278</v>
      </c>
      <c r="Z173" s="463"/>
      <c r="AA173" s="463"/>
      <c r="AB173" s="464">
        <v>1221.2957945708786</v>
      </c>
      <c r="AC173" s="465">
        <v>1</v>
      </c>
      <c r="AD173" s="465">
        <v>1.0855680789385405E-2</v>
      </c>
      <c r="AE173" s="476">
        <v>1221.2957945708786</v>
      </c>
      <c r="AF173" s="467">
        <v>1</v>
      </c>
      <c r="AG173" s="468">
        <v>1.0855680789385405E-2</v>
      </c>
      <c r="AH173" s="218">
        <v>1221.2957945708786</v>
      </c>
      <c r="AI173" s="470">
        <v>1</v>
      </c>
      <c r="AJ173" s="471">
        <v>1.0855680789385405E-2</v>
      </c>
      <c r="AK173" s="218">
        <v>1221.2957945708786</v>
      </c>
      <c r="AL173" s="470">
        <v>1</v>
      </c>
      <c r="AM173" s="471">
        <v>1.0855680789385405E-2</v>
      </c>
      <c r="AN173" s="477">
        <v>1221.2957945708786</v>
      </c>
      <c r="AO173" s="473">
        <v>1</v>
      </c>
      <c r="AP173" s="474">
        <v>1.0855680789385405E-2</v>
      </c>
      <c r="AQ173" s="352"/>
      <c r="AR173" s="352"/>
      <c r="AS173" s="352"/>
      <c r="AT173" s="352"/>
      <c r="AU173" s="352"/>
      <c r="AV173" s="352"/>
      <c r="AW173" s="352" t="s">
        <v>127</v>
      </c>
    </row>
    <row r="174" spans="2:49" x14ac:dyDescent="0.2">
      <c r="B174" s="460" t="s">
        <v>2418</v>
      </c>
      <c r="C174" s="460">
        <v>1211</v>
      </c>
      <c r="D174" s="460" t="s">
        <v>2385</v>
      </c>
      <c r="E174" s="460" t="s">
        <v>2386</v>
      </c>
      <c r="F174" s="460">
        <v>4</v>
      </c>
      <c r="G174" s="460">
        <v>5</v>
      </c>
      <c r="H174" s="461" t="s">
        <v>754</v>
      </c>
      <c r="I174" s="461" t="s">
        <v>1991</v>
      </c>
      <c r="J174" s="461" t="s">
        <v>754</v>
      </c>
      <c r="K174" s="594"/>
      <c r="L174" s="594"/>
      <c r="M174" s="352">
        <v>1000</v>
      </c>
      <c r="N174" s="352" t="s">
        <v>698</v>
      </c>
      <c r="O174" s="460">
        <v>1211</v>
      </c>
      <c r="P174" s="460" t="s">
        <v>705</v>
      </c>
      <c r="Q174" s="460" t="s">
        <v>2377</v>
      </c>
      <c r="R174" s="460">
        <v>1211</v>
      </c>
      <c r="S174" s="460" t="s">
        <v>2386</v>
      </c>
      <c r="T174" s="462">
        <v>1</v>
      </c>
      <c r="U174" s="460" t="s">
        <v>2386</v>
      </c>
      <c r="V174" s="475">
        <v>0</v>
      </c>
      <c r="W174" s="463" t="s">
        <v>2278</v>
      </c>
      <c r="X174" s="463" t="s">
        <v>2278</v>
      </c>
      <c r="Y174" s="463" t="s">
        <v>2278</v>
      </c>
      <c r="Z174" s="463"/>
      <c r="AA174" s="463"/>
      <c r="AB174" s="464">
        <v>768.52288779892706</v>
      </c>
      <c r="AC174" s="465">
        <v>1</v>
      </c>
      <c r="AD174" s="465">
        <v>1.4256666347445112E-2</v>
      </c>
      <c r="AE174" s="476">
        <v>768.52288779892706</v>
      </c>
      <c r="AF174" s="467">
        <v>1</v>
      </c>
      <c r="AG174" s="468">
        <v>1.4256666347445112E-2</v>
      </c>
      <c r="AH174" s="218">
        <v>768.52288779892706</v>
      </c>
      <c r="AI174" s="470">
        <v>1</v>
      </c>
      <c r="AJ174" s="471">
        <v>1.4256666347445112E-2</v>
      </c>
      <c r="AK174" s="218">
        <v>768.52288779892706</v>
      </c>
      <c r="AL174" s="470">
        <v>1</v>
      </c>
      <c r="AM174" s="471">
        <v>1.4256666347445112E-2</v>
      </c>
      <c r="AN174" s="477">
        <v>768.52288779892706</v>
      </c>
      <c r="AO174" s="473">
        <v>1</v>
      </c>
      <c r="AP174" s="474">
        <v>1.4256666347445112E-2</v>
      </c>
      <c r="AQ174" s="352"/>
      <c r="AR174" s="352"/>
      <c r="AS174" s="352"/>
      <c r="AT174" s="352"/>
      <c r="AU174" s="352"/>
      <c r="AV174" s="352"/>
      <c r="AW174" s="352" t="s">
        <v>127</v>
      </c>
    </row>
    <row r="175" spans="2:49" x14ac:dyDescent="0.2">
      <c r="B175" s="460" t="s">
        <v>2419</v>
      </c>
      <c r="C175" s="460">
        <v>1221</v>
      </c>
      <c r="D175" s="460" t="s">
        <v>2264</v>
      </c>
      <c r="E175" s="460" t="s">
        <v>2265</v>
      </c>
      <c r="F175" s="460">
        <v>1</v>
      </c>
      <c r="G175" s="460">
        <v>1</v>
      </c>
      <c r="H175" s="461" t="s">
        <v>700</v>
      </c>
      <c r="I175" s="461" t="s">
        <v>872</v>
      </c>
      <c r="J175" s="461" t="s">
        <v>700</v>
      </c>
      <c r="K175" s="594"/>
      <c r="L175" s="594"/>
      <c r="M175" s="352">
        <v>1000</v>
      </c>
      <c r="N175" s="352" t="s">
        <v>698</v>
      </c>
      <c r="O175" s="460">
        <v>1221</v>
      </c>
      <c r="P175" s="460" t="s">
        <v>711</v>
      </c>
      <c r="Q175" s="460" t="s">
        <v>2266</v>
      </c>
      <c r="R175" s="460">
        <v>1221</v>
      </c>
      <c r="S175" s="460" t="s">
        <v>2265</v>
      </c>
      <c r="T175" s="462">
        <v>1</v>
      </c>
      <c r="U175" s="460" t="s">
        <v>2265</v>
      </c>
      <c r="V175" s="475">
        <v>0</v>
      </c>
      <c r="W175" s="463" t="s">
        <v>2267</v>
      </c>
      <c r="X175" s="463" t="s">
        <v>2267</v>
      </c>
      <c r="Y175" s="463" t="s">
        <v>2268</v>
      </c>
      <c r="Z175" s="463"/>
      <c r="AA175" s="463"/>
      <c r="AB175" s="464">
        <v>17353.813883070899</v>
      </c>
      <c r="AC175" s="465">
        <v>0.77490731251855471</v>
      </c>
      <c r="AD175" s="465">
        <v>0.16092946828324928</v>
      </c>
      <c r="AE175" s="476">
        <v>17353.813883070899</v>
      </c>
      <c r="AF175" s="467">
        <v>0.77490731251855471</v>
      </c>
      <c r="AG175" s="468">
        <v>0.17190635303649465</v>
      </c>
      <c r="AH175" s="218">
        <v>17353.813883070899</v>
      </c>
      <c r="AI175" s="470">
        <v>0.77490731251855471</v>
      </c>
      <c r="AJ175" s="471">
        <v>0.16547450167305261</v>
      </c>
      <c r="AK175" s="218">
        <v>17353.813883070899</v>
      </c>
      <c r="AL175" s="470">
        <v>0.77490731251855471</v>
      </c>
      <c r="AM175" s="471">
        <v>0.16547450167305261</v>
      </c>
      <c r="AN175" s="477">
        <v>0</v>
      </c>
      <c r="AO175" s="473">
        <v>0</v>
      </c>
      <c r="AP175" s="474">
        <v>0</v>
      </c>
      <c r="AQ175" s="352"/>
      <c r="AR175" s="352"/>
      <c r="AS175" s="352"/>
      <c r="AT175" s="352"/>
      <c r="AU175" s="352"/>
      <c r="AV175" s="352"/>
      <c r="AW175" s="352" t="s">
        <v>254</v>
      </c>
    </row>
    <row r="176" spans="2:49" x14ac:dyDescent="0.2">
      <c r="B176" s="460" t="s">
        <v>2420</v>
      </c>
      <c r="C176" s="460">
        <v>1221</v>
      </c>
      <c r="D176" s="460" t="s">
        <v>2270</v>
      </c>
      <c r="E176" s="460" t="s">
        <v>2271</v>
      </c>
      <c r="F176" s="460">
        <v>2</v>
      </c>
      <c r="G176" s="460">
        <v>1</v>
      </c>
      <c r="H176" s="461" t="s">
        <v>700</v>
      </c>
      <c r="I176" s="461" t="s">
        <v>872</v>
      </c>
      <c r="J176" s="461" t="s">
        <v>700</v>
      </c>
      <c r="K176" s="594"/>
      <c r="L176" s="594"/>
      <c r="M176" s="352">
        <v>1000</v>
      </c>
      <c r="N176" s="352" t="s">
        <v>698</v>
      </c>
      <c r="O176" s="460">
        <v>1221</v>
      </c>
      <c r="P176" s="460" t="s">
        <v>711</v>
      </c>
      <c r="Q176" s="460" t="s">
        <v>2266</v>
      </c>
      <c r="R176" s="460">
        <v>1221</v>
      </c>
      <c r="S176" s="460" t="s">
        <v>2265</v>
      </c>
      <c r="T176" s="462">
        <v>1</v>
      </c>
      <c r="U176" s="460" t="s">
        <v>2271</v>
      </c>
      <c r="V176" s="475">
        <v>0</v>
      </c>
      <c r="W176" s="463" t="s">
        <v>2267</v>
      </c>
      <c r="X176" s="463" t="s">
        <v>2267</v>
      </c>
      <c r="Y176" s="463" t="s">
        <v>2268</v>
      </c>
      <c r="Z176" s="463"/>
      <c r="AA176" s="463"/>
      <c r="AB176" s="464">
        <v>12642.976232532983</v>
      </c>
      <c r="AC176" s="465">
        <v>0.66233285816152487</v>
      </c>
      <c r="AD176" s="465">
        <v>0.15685879018952884</v>
      </c>
      <c r="AE176" s="476">
        <v>12642.976232532983</v>
      </c>
      <c r="AF176" s="467">
        <v>0.66233285816152487</v>
      </c>
      <c r="AG176" s="468">
        <v>0.16998179288692331</v>
      </c>
      <c r="AH176" s="218">
        <v>14791.859733159792</v>
      </c>
      <c r="AI176" s="470">
        <v>0.77490731251855471</v>
      </c>
      <c r="AJ176" s="471">
        <v>0.17463860497913444</v>
      </c>
      <c r="AK176" s="218">
        <v>14791.859733159792</v>
      </c>
      <c r="AL176" s="470">
        <v>0.77490731251855471</v>
      </c>
      <c r="AM176" s="471">
        <v>0.17463860497913444</v>
      </c>
      <c r="AN176" s="477">
        <v>0</v>
      </c>
      <c r="AO176" s="473">
        <v>0</v>
      </c>
      <c r="AP176" s="474">
        <v>0</v>
      </c>
      <c r="AQ176" s="352"/>
      <c r="AR176" s="352"/>
      <c r="AS176" s="352"/>
      <c r="AT176" s="352"/>
      <c r="AU176" s="352"/>
      <c r="AV176" s="352"/>
      <c r="AW176" s="352" t="s">
        <v>254</v>
      </c>
    </row>
    <row r="177" spans="2:49" x14ac:dyDescent="0.2">
      <c r="B177" s="460" t="s">
        <v>2421</v>
      </c>
      <c r="C177" s="460">
        <v>1221</v>
      </c>
      <c r="D177" s="460" t="s">
        <v>2273</v>
      </c>
      <c r="E177" s="460" t="s">
        <v>2274</v>
      </c>
      <c r="F177" s="460">
        <v>3</v>
      </c>
      <c r="G177" s="460">
        <v>1</v>
      </c>
      <c r="H177" s="461" t="s">
        <v>700</v>
      </c>
      <c r="I177" s="461" t="s">
        <v>872</v>
      </c>
      <c r="J177" s="461" t="s">
        <v>700</v>
      </c>
      <c r="K177" s="594"/>
      <c r="L177" s="594"/>
      <c r="M177" s="352">
        <v>1000</v>
      </c>
      <c r="N177" s="352" t="s">
        <v>698</v>
      </c>
      <c r="O177" s="460">
        <v>1221</v>
      </c>
      <c r="P177" s="460" t="s">
        <v>711</v>
      </c>
      <c r="Q177" s="460" t="s">
        <v>2266</v>
      </c>
      <c r="R177" s="460">
        <v>1221</v>
      </c>
      <c r="S177" s="460" t="s">
        <v>2265</v>
      </c>
      <c r="T177" s="462">
        <v>0.74223365950407583</v>
      </c>
      <c r="U177" s="460" t="s">
        <v>2274</v>
      </c>
      <c r="V177" s="475">
        <v>0</v>
      </c>
      <c r="W177" s="463" t="s">
        <v>2267</v>
      </c>
      <c r="X177" s="463" t="s">
        <v>2267</v>
      </c>
      <c r="Y177" s="463" t="s">
        <v>2268</v>
      </c>
      <c r="Z177" s="463"/>
      <c r="AA177" s="463"/>
      <c r="AB177" s="464">
        <v>3206.749327718243</v>
      </c>
      <c r="AC177" s="465">
        <v>0.39899228784069318</v>
      </c>
      <c r="AD177" s="465">
        <v>0.15863678517129406</v>
      </c>
      <c r="AE177" s="476">
        <v>3206.749327718243</v>
      </c>
      <c r="AF177" s="467">
        <v>0.39899228784069318</v>
      </c>
      <c r="AG177" s="468">
        <v>0.1718312489812798</v>
      </c>
      <c r="AH177" s="218">
        <v>4622.6489686836176</v>
      </c>
      <c r="AI177" s="470">
        <v>0.57516229034711541</v>
      </c>
      <c r="AJ177" s="471">
        <v>0.17937766367532024</v>
      </c>
      <c r="AK177" s="218">
        <v>4622.6489686836176</v>
      </c>
      <c r="AL177" s="470">
        <v>0.57516229034711541</v>
      </c>
      <c r="AM177" s="471">
        <v>0.17937766367532024</v>
      </c>
      <c r="AN177" s="477">
        <v>0</v>
      </c>
      <c r="AO177" s="473">
        <v>0</v>
      </c>
      <c r="AP177" s="474">
        <v>0</v>
      </c>
      <c r="AQ177" s="352"/>
      <c r="AR177" s="352"/>
      <c r="AS177" s="352"/>
      <c r="AT177" s="352"/>
      <c r="AU177" s="352"/>
      <c r="AV177" s="352"/>
      <c r="AW177" s="352" t="s">
        <v>254</v>
      </c>
    </row>
    <row r="178" spans="2:49" x14ac:dyDescent="0.2">
      <c r="B178" s="460" t="s">
        <v>2422</v>
      </c>
      <c r="C178" s="460">
        <v>1221</v>
      </c>
      <c r="D178" s="460" t="s">
        <v>2276</v>
      </c>
      <c r="E178" s="460" t="s">
        <v>2277</v>
      </c>
      <c r="F178" s="460">
        <v>4</v>
      </c>
      <c r="G178" s="460">
        <v>1</v>
      </c>
      <c r="H178" s="461" t="s">
        <v>700</v>
      </c>
      <c r="I178" s="461" t="s">
        <v>872</v>
      </c>
      <c r="J178" s="461" t="s">
        <v>700</v>
      </c>
      <c r="K178" s="594"/>
      <c r="L178" s="594"/>
      <c r="M178" s="352">
        <v>1000</v>
      </c>
      <c r="N178" s="352" t="s">
        <v>698</v>
      </c>
      <c r="O178" s="460">
        <v>1221</v>
      </c>
      <c r="P178" s="460" t="s">
        <v>711</v>
      </c>
      <c r="Q178" s="460" t="s">
        <v>2266</v>
      </c>
      <c r="R178" s="460">
        <v>1221</v>
      </c>
      <c r="S178" s="460" t="s">
        <v>2277</v>
      </c>
      <c r="T178" s="462">
        <v>1</v>
      </c>
      <c r="U178" s="460" t="s">
        <v>2277</v>
      </c>
      <c r="V178" s="475">
        <v>0</v>
      </c>
      <c r="W178" s="463" t="s">
        <v>2278</v>
      </c>
      <c r="X178" s="463" t="s">
        <v>2278</v>
      </c>
      <c r="Y178" s="463" t="s">
        <v>2268</v>
      </c>
      <c r="Z178" s="463"/>
      <c r="AA178" s="463"/>
      <c r="AB178" s="464">
        <v>39.689888314515997</v>
      </c>
      <c r="AC178" s="465">
        <v>7.1949384422844908E-3</v>
      </c>
      <c r="AD178" s="465">
        <v>0.16019671257459991</v>
      </c>
      <c r="AE178" s="476">
        <v>39.689888314515997</v>
      </c>
      <c r="AF178" s="467">
        <v>7.1949384422844908E-3</v>
      </c>
      <c r="AG178" s="468">
        <v>0.17909148026225608</v>
      </c>
      <c r="AH178" s="218">
        <v>39.689888314515997</v>
      </c>
      <c r="AI178" s="470">
        <v>7.1949384422844908E-3</v>
      </c>
      <c r="AJ178" s="471">
        <v>0.1716514316259713</v>
      </c>
      <c r="AK178" s="218">
        <v>39.689888314515997</v>
      </c>
      <c r="AL178" s="470">
        <v>7.1949384422844908E-3</v>
      </c>
      <c r="AM178" s="471">
        <v>0.1716514316259713</v>
      </c>
      <c r="AN178" s="477">
        <v>0</v>
      </c>
      <c r="AO178" s="473">
        <v>0</v>
      </c>
      <c r="AP178" s="474">
        <v>0</v>
      </c>
      <c r="AQ178" s="352"/>
      <c r="AR178" s="352"/>
      <c r="AS178" s="352"/>
      <c r="AT178" s="352"/>
      <c r="AU178" s="352"/>
      <c r="AV178" s="352"/>
      <c r="AW178" s="352" t="s">
        <v>254</v>
      </c>
    </row>
    <row r="179" spans="2:49" x14ac:dyDescent="0.2">
      <c r="B179" s="460" t="s">
        <v>2419</v>
      </c>
      <c r="C179" s="460">
        <v>1221</v>
      </c>
      <c r="D179" s="460" t="s">
        <v>2279</v>
      </c>
      <c r="E179" s="460" t="s">
        <v>2265</v>
      </c>
      <c r="F179" s="460">
        <v>1</v>
      </c>
      <c r="G179" s="460">
        <v>1</v>
      </c>
      <c r="H179" s="461" t="s">
        <v>712</v>
      </c>
      <c r="I179" s="461" t="s">
        <v>713</v>
      </c>
      <c r="J179" s="461" t="s">
        <v>712</v>
      </c>
      <c r="K179" s="594"/>
      <c r="L179" s="594"/>
      <c r="M179" s="352">
        <v>1000</v>
      </c>
      <c r="N179" s="352" t="s">
        <v>698</v>
      </c>
      <c r="O179" s="460">
        <v>1221</v>
      </c>
      <c r="P179" s="460" t="s">
        <v>711</v>
      </c>
      <c r="Q179" s="460" t="s">
        <v>2280</v>
      </c>
      <c r="R179" s="460">
        <v>1221</v>
      </c>
      <c r="S179" s="460" t="s">
        <v>2265</v>
      </c>
      <c r="T179" s="462">
        <v>1</v>
      </c>
      <c r="U179" s="460" t="s">
        <v>2265</v>
      </c>
      <c r="V179" s="475">
        <v>0</v>
      </c>
      <c r="W179" s="463" t="s">
        <v>713</v>
      </c>
      <c r="X179" s="463" t="s">
        <v>713</v>
      </c>
      <c r="Y179" s="463" t="s">
        <v>713</v>
      </c>
      <c r="Z179" s="463"/>
      <c r="AA179" s="463"/>
      <c r="AB179" s="464">
        <v>5040.8823634629371</v>
      </c>
      <c r="AC179" s="465">
        <v>0.22509268748144531</v>
      </c>
      <c r="AD179" s="465">
        <v>1.862189121187242E-2</v>
      </c>
      <c r="AE179" s="476">
        <v>5040.8823634629371</v>
      </c>
      <c r="AF179" s="467">
        <v>0.22509268748144529</v>
      </c>
      <c r="AG179" s="468">
        <v>1.8159958611065494E-2</v>
      </c>
      <c r="AH179" s="218">
        <v>5040.8823634629371</v>
      </c>
      <c r="AI179" s="470">
        <v>0.22509268748144529</v>
      </c>
      <c r="AJ179" s="471">
        <v>1.8420342384336479E-2</v>
      </c>
      <c r="AK179" s="218">
        <v>5040.8823634629371</v>
      </c>
      <c r="AL179" s="470">
        <v>0.22509268748144529</v>
      </c>
      <c r="AM179" s="471">
        <v>1.8420342384336479E-2</v>
      </c>
      <c r="AN179" s="477">
        <v>5040.8823634629371</v>
      </c>
      <c r="AO179" s="473">
        <v>0.22509268748144529</v>
      </c>
      <c r="AP179" s="474">
        <v>1.8414340298017039E-2</v>
      </c>
      <c r="AQ179" s="352"/>
      <c r="AR179" s="352"/>
      <c r="AS179" s="352"/>
      <c r="AT179" s="352"/>
      <c r="AU179" s="352"/>
      <c r="AV179" s="352"/>
      <c r="AW179" s="352" t="s">
        <v>254</v>
      </c>
    </row>
    <row r="180" spans="2:49" x14ac:dyDescent="0.2">
      <c r="B180" s="460" t="s">
        <v>2420</v>
      </c>
      <c r="C180" s="460">
        <v>1221</v>
      </c>
      <c r="D180" s="460" t="s">
        <v>2281</v>
      </c>
      <c r="E180" s="460" t="s">
        <v>2271</v>
      </c>
      <c r="F180" s="460">
        <v>2</v>
      </c>
      <c r="G180" s="460">
        <v>1</v>
      </c>
      <c r="H180" s="461" t="s">
        <v>712</v>
      </c>
      <c r="I180" s="461" t="s">
        <v>713</v>
      </c>
      <c r="J180" s="461" t="s">
        <v>712</v>
      </c>
      <c r="K180" s="594"/>
      <c r="L180" s="594"/>
      <c r="M180" s="352">
        <v>1000</v>
      </c>
      <c r="N180" s="352" t="s">
        <v>698</v>
      </c>
      <c r="O180" s="460">
        <v>1221</v>
      </c>
      <c r="P180" s="460" t="s">
        <v>711</v>
      </c>
      <c r="Q180" s="460" t="s">
        <v>2280</v>
      </c>
      <c r="R180" s="460">
        <v>1221</v>
      </c>
      <c r="S180" s="460" t="s">
        <v>2265</v>
      </c>
      <c r="T180" s="462">
        <v>1</v>
      </c>
      <c r="U180" s="460" t="s">
        <v>2271</v>
      </c>
      <c r="V180" s="475">
        <v>0</v>
      </c>
      <c r="W180" s="463" t="s">
        <v>713</v>
      </c>
      <c r="X180" s="463" t="s">
        <v>713</v>
      </c>
      <c r="Y180" s="463" t="s">
        <v>713</v>
      </c>
      <c r="Z180" s="463"/>
      <c r="AA180" s="463"/>
      <c r="AB180" s="464">
        <v>6445.5773198708839</v>
      </c>
      <c r="AC180" s="465">
        <v>0.33766714183847507</v>
      </c>
      <c r="AD180" s="465">
        <v>2.6916219106092074E-2</v>
      </c>
      <c r="AE180" s="476">
        <v>6445.5773198708848</v>
      </c>
      <c r="AF180" s="467">
        <v>0.33766714183847513</v>
      </c>
      <c r="AG180" s="468">
        <v>2.6234514028200203E-2</v>
      </c>
      <c r="AH180" s="218">
        <v>4296.6938192440757</v>
      </c>
      <c r="AI180" s="470">
        <v>0.22509268748144529</v>
      </c>
      <c r="AJ180" s="471">
        <v>1.8459221782234414E-2</v>
      </c>
      <c r="AK180" s="218">
        <v>4296.6938192440757</v>
      </c>
      <c r="AL180" s="470">
        <v>0.22509268748144529</v>
      </c>
      <c r="AM180" s="471">
        <v>1.8459221782234414E-2</v>
      </c>
      <c r="AN180" s="477">
        <v>4296.6938192440757</v>
      </c>
      <c r="AO180" s="473">
        <v>0.22509268748144529</v>
      </c>
      <c r="AP180" s="474">
        <v>1.8452740143914667E-2</v>
      </c>
      <c r="AQ180" s="352"/>
      <c r="AR180" s="352"/>
      <c r="AS180" s="352"/>
      <c r="AT180" s="352"/>
      <c r="AU180" s="352"/>
      <c r="AV180" s="352"/>
      <c r="AW180" s="352" t="s">
        <v>254</v>
      </c>
    </row>
    <row r="181" spans="2:49" x14ac:dyDescent="0.2">
      <c r="B181" s="460" t="s">
        <v>2421</v>
      </c>
      <c r="C181" s="460">
        <v>1221</v>
      </c>
      <c r="D181" s="460" t="s">
        <v>2282</v>
      </c>
      <c r="E181" s="460" t="s">
        <v>2274</v>
      </c>
      <c r="F181" s="460">
        <v>3</v>
      </c>
      <c r="G181" s="460">
        <v>1</v>
      </c>
      <c r="H181" s="461" t="s">
        <v>712</v>
      </c>
      <c r="I181" s="461" t="s">
        <v>713</v>
      </c>
      <c r="J181" s="461" t="s">
        <v>712</v>
      </c>
      <c r="K181" s="594"/>
      <c r="L181" s="594"/>
      <c r="M181" s="352">
        <v>1000</v>
      </c>
      <c r="N181" s="352" t="s">
        <v>698</v>
      </c>
      <c r="O181" s="460">
        <v>1221</v>
      </c>
      <c r="P181" s="460" t="s">
        <v>711</v>
      </c>
      <c r="Q181" s="460" t="s">
        <v>2280</v>
      </c>
      <c r="R181" s="460">
        <v>1221</v>
      </c>
      <c r="S181" s="460" t="s">
        <v>2265</v>
      </c>
      <c r="T181" s="462">
        <v>0.74223365950407583</v>
      </c>
      <c r="U181" s="460" t="s">
        <v>2274</v>
      </c>
      <c r="V181" s="475">
        <v>0</v>
      </c>
      <c r="W181" s="463" t="s">
        <v>713</v>
      </c>
      <c r="X181" s="463" t="s">
        <v>713</v>
      </c>
      <c r="Y181" s="463" t="s">
        <v>713</v>
      </c>
      <c r="Z181" s="463"/>
      <c r="AA181" s="463"/>
      <c r="AB181" s="464">
        <v>4830.371753174958</v>
      </c>
      <c r="AC181" s="465">
        <v>0.60100771215930682</v>
      </c>
      <c r="AD181" s="465">
        <v>2.8910801209517643E-2</v>
      </c>
      <c r="AE181" s="476">
        <v>4830.371753174958</v>
      </c>
      <c r="AF181" s="467">
        <v>0.60100771215930682</v>
      </c>
      <c r="AG181" s="468">
        <v>2.8644683175607213E-2</v>
      </c>
      <c r="AH181" s="218">
        <v>3414.4721122095839</v>
      </c>
      <c r="AI181" s="470">
        <v>0.42483770965288459</v>
      </c>
      <c r="AJ181" s="471">
        <v>2.1457125673358435E-2</v>
      </c>
      <c r="AK181" s="218">
        <v>3414.4721122095839</v>
      </c>
      <c r="AL181" s="470">
        <v>0.42483770965288459</v>
      </c>
      <c r="AM181" s="471">
        <v>2.1457125673358435E-2</v>
      </c>
      <c r="AN181" s="477">
        <v>3414.4721122095839</v>
      </c>
      <c r="AO181" s="473">
        <v>0.42483770965288459</v>
      </c>
      <c r="AP181" s="474">
        <v>2.1611917310549279E-2</v>
      </c>
      <c r="AQ181" s="352"/>
      <c r="AR181" s="352"/>
      <c r="AS181" s="352"/>
      <c r="AT181" s="352"/>
      <c r="AU181" s="352"/>
      <c r="AV181" s="352"/>
      <c r="AW181" s="352" t="s">
        <v>254</v>
      </c>
    </row>
    <row r="182" spans="2:49" x14ac:dyDescent="0.2">
      <c r="B182" s="460" t="s">
        <v>2422</v>
      </c>
      <c r="C182" s="460">
        <v>1221</v>
      </c>
      <c r="D182" s="460" t="s">
        <v>2283</v>
      </c>
      <c r="E182" s="460" t="s">
        <v>2277</v>
      </c>
      <c r="F182" s="460">
        <v>4</v>
      </c>
      <c r="G182" s="460">
        <v>1</v>
      </c>
      <c r="H182" s="461" t="s">
        <v>712</v>
      </c>
      <c r="I182" s="461" t="s">
        <v>713</v>
      </c>
      <c r="J182" s="461" t="s">
        <v>712</v>
      </c>
      <c r="K182" s="594"/>
      <c r="L182" s="594"/>
      <c r="M182" s="352">
        <v>1000</v>
      </c>
      <c r="N182" s="352" t="s">
        <v>698</v>
      </c>
      <c r="O182" s="460">
        <v>1221</v>
      </c>
      <c r="P182" s="460" t="s">
        <v>711</v>
      </c>
      <c r="Q182" s="460" t="s">
        <v>2280</v>
      </c>
      <c r="R182" s="460">
        <v>1221</v>
      </c>
      <c r="S182" s="460" t="s">
        <v>2277</v>
      </c>
      <c r="T182" s="462">
        <v>1</v>
      </c>
      <c r="U182" s="460" t="s">
        <v>2277</v>
      </c>
      <c r="V182" s="475">
        <v>0</v>
      </c>
      <c r="W182" s="463" t="s">
        <v>713</v>
      </c>
      <c r="X182" s="463" t="s">
        <v>713</v>
      </c>
      <c r="Y182" s="463" t="s">
        <v>713</v>
      </c>
      <c r="Z182" s="463"/>
      <c r="AA182" s="463"/>
      <c r="AB182" s="464">
        <v>5476.672570224312</v>
      </c>
      <c r="AC182" s="465">
        <v>0.99280506155771553</v>
      </c>
      <c r="AD182" s="465">
        <v>2.8441866035328865E-2</v>
      </c>
      <c r="AE182" s="476">
        <v>5476.672570224312</v>
      </c>
      <c r="AF182" s="467">
        <v>0.99280506155771553</v>
      </c>
      <c r="AG182" s="468">
        <v>2.8438005626028936E-2</v>
      </c>
      <c r="AH182" s="218">
        <v>5476.672570224312</v>
      </c>
      <c r="AI182" s="470">
        <v>0.99280506155771553</v>
      </c>
      <c r="AJ182" s="471">
        <v>2.8439424149260435E-2</v>
      </c>
      <c r="AK182" s="218">
        <v>5476.672570224312</v>
      </c>
      <c r="AL182" s="470">
        <v>0.99280506155771553</v>
      </c>
      <c r="AM182" s="471">
        <v>2.8439424149260435E-2</v>
      </c>
      <c r="AN182" s="477">
        <v>5476.672570224312</v>
      </c>
      <c r="AO182" s="473">
        <v>0.99280506155771553</v>
      </c>
      <c r="AP182" s="474">
        <v>2.8439565960003001E-2</v>
      </c>
      <c r="AQ182" s="352"/>
      <c r="AR182" s="352"/>
      <c r="AS182" s="352"/>
      <c r="AT182" s="352"/>
      <c r="AU182" s="352"/>
      <c r="AV182" s="352"/>
      <c r="AW182" s="352" t="s">
        <v>254</v>
      </c>
    </row>
    <row r="183" spans="2:49" x14ac:dyDescent="0.2">
      <c r="B183" s="460" t="s">
        <v>2419</v>
      </c>
      <c r="C183" s="460">
        <v>1221</v>
      </c>
      <c r="D183" s="460" t="s">
        <v>2284</v>
      </c>
      <c r="E183" s="460" t="s">
        <v>2265</v>
      </c>
      <c r="F183" s="460">
        <v>1</v>
      </c>
      <c r="G183" s="460">
        <v>1</v>
      </c>
      <c r="H183" s="461" t="s">
        <v>746</v>
      </c>
      <c r="I183" s="461" t="s">
        <v>762</v>
      </c>
      <c r="J183" s="461" t="s">
        <v>700</v>
      </c>
      <c r="K183" s="594"/>
      <c r="L183" s="594"/>
      <c r="M183" s="352">
        <v>1000</v>
      </c>
      <c r="N183" s="352" t="s">
        <v>698</v>
      </c>
      <c r="O183" s="460">
        <v>1221</v>
      </c>
      <c r="P183" s="460" t="s">
        <v>711</v>
      </c>
      <c r="Q183" s="460" t="s">
        <v>2266</v>
      </c>
      <c r="R183" s="460">
        <v>1221</v>
      </c>
      <c r="S183" s="460" t="s">
        <v>2265</v>
      </c>
      <c r="T183" s="462">
        <v>1</v>
      </c>
      <c r="U183" s="460" t="s">
        <v>2265</v>
      </c>
      <c r="V183" s="475">
        <v>0</v>
      </c>
      <c r="W183" s="463" t="s">
        <v>2268</v>
      </c>
      <c r="X183" s="463" t="s">
        <v>2268</v>
      </c>
      <c r="Y183" s="463" t="s">
        <v>2267</v>
      </c>
      <c r="Z183" s="463"/>
      <c r="AA183" s="463"/>
      <c r="AB183" s="464">
        <v>0</v>
      </c>
      <c r="AC183" s="465">
        <v>0</v>
      </c>
      <c r="AD183" s="465">
        <v>0</v>
      </c>
      <c r="AE183" s="476">
        <v>0</v>
      </c>
      <c r="AF183" s="467">
        <v>0</v>
      </c>
      <c r="AG183" s="468">
        <v>0</v>
      </c>
      <c r="AH183" s="218">
        <v>0</v>
      </c>
      <c r="AI183" s="470">
        <v>0</v>
      </c>
      <c r="AJ183" s="471">
        <v>0</v>
      </c>
      <c r="AK183" s="218">
        <v>0</v>
      </c>
      <c r="AL183" s="470">
        <v>0</v>
      </c>
      <c r="AM183" s="471">
        <v>0</v>
      </c>
      <c r="AN183" s="477">
        <v>17353.813883070899</v>
      </c>
      <c r="AO183" s="473">
        <v>0.77490731251855471</v>
      </c>
      <c r="AP183" s="474">
        <v>0.19568820346779625</v>
      </c>
      <c r="AQ183" s="352"/>
      <c r="AR183" s="352"/>
      <c r="AS183" s="352"/>
      <c r="AT183" s="352"/>
      <c r="AU183" s="352"/>
      <c r="AV183" s="352"/>
      <c r="AW183" s="352" t="s">
        <v>254</v>
      </c>
    </row>
    <row r="184" spans="2:49" x14ac:dyDescent="0.2">
      <c r="B184" s="460" t="s">
        <v>2420</v>
      </c>
      <c r="C184" s="460">
        <v>1221</v>
      </c>
      <c r="D184" s="460" t="s">
        <v>2285</v>
      </c>
      <c r="E184" s="460" t="s">
        <v>2271</v>
      </c>
      <c r="F184" s="460">
        <v>2</v>
      </c>
      <c r="G184" s="460">
        <v>1</v>
      </c>
      <c r="H184" s="461" t="s">
        <v>746</v>
      </c>
      <c r="I184" s="461" t="s">
        <v>762</v>
      </c>
      <c r="J184" s="461" t="s">
        <v>700</v>
      </c>
      <c r="K184" s="594"/>
      <c r="L184" s="594"/>
      <c r="M184" s="352">
        <v>1000</v>
      </c>
      <c r="N184" s="352" t="s">
        <v>698</v>
      </c>
      <c r="O184" s="460">
        <v>1221</v>
      </c>
      <c r="P184" s="460" t="s">
        <v>711</v>
      </c>
      <c r="Q184" s="460" t="s">
        <v>2266</v>
      </c>
      <c r="R184" s="460">
        <v>1221</v>
      </c>
      <c r="S184" s="460" t="s">
        <v>2265</v>
      </c>
      <c r="T184" s="462">
        <v>1</v>
      </c>
      <c r="U184" s="460" t="s">
        <v>2271</v>
      </c>
      <c r="V184" s="475">
        <v>0</v>
      </c>
      <c r="W184" s="463" t="s">
        <v>2268</v>
      </c>
      <c r="X184" s="463" t="s">
        <v>2268</v>
      </c>
      <c r="Y184" s="463" t="s">
        <v>2267</v>
      </c>
      <c r="Z184" s="463"/>
      <c r="AA184" s="463"/>
      <c r="AB184" s="464">
        <v>0</v>
      </c>
      <c r="AC184" s="465">
        <v>0</v>
      </c>
      <c r="AD184" s="465">
        <v>0</v>
      </c>
      <c r="AE184" s="476">
        <v>0</v>
      </c>
      <c r="AF184" s="467">
        <v>0</v>
      </c>
      <c r="AG184" s="468">
        <v>0</v>
      </c>
      <c r="AH184" s="218">
        <v>0</v>
      </c>
      <c r="AI184" s="470">
        <v>0</v>
      </c>
      <c r="AJ184" s="471">
        <v>0</v>
      </c>
      <c r="AK184" s="218">
        <v>0</v>
      </c>
      <c r="AL184" s="470">
        <v>0</v>
      </c>
      <c r="AM184" s="471">
        <v>0</v>
      </c>
      <c r="AN184" s="477">
        <v>14791.859733159792</v>
      </c>
      <c r="AO184" s="473">
        <v>0.77490731251855471</v>
      </c>
      <c r="AP184" s="474">
        <v>0.21469899186910787</v>
      </c>
      <c r="AQ184" s="352"/>
      <c r="AR184" s="352"/>
      <c r="AS184" s="352"/>
      <c r="AT184" s="352"/>
      <c r="AU184" s="352"/>
      <c r="AV184" s="352"/>
      <c r="AW184" s="352" t="s">
        <v>254</v>
      </c>
    </row>
    <row r="185" spans="2:49" x14ac:dyDescent="0.2">
      <c r="B185" s="460" t="s">
        <v>2421</v>
      </c>
      <c r="C185" s="460">
        <v>1221</v>
      </c>
      <c r="D185" s="460" t="s">
        <v>2286</v>
      </c>
      <c r="E185" s="460" t="s">
        <v>2274</v>
      </c>
      <c r="F185" s="460">
        <v>3</v>
      </c>
      <c r="G185" s="460">
        <v>1</v>
      </c>
      <c r="H185" s="461" t="s">
        <v>746</v>
      </c>
      <c r="I185" s="461" t="s">
        <v>762</v>
      </c>
      <c r="J185" s="461" t="s">
        <v>700</v>
      </c>
      <c r="K185" s="594"/>
      <c r="L185" s="594"/>
      <c r="M185" s="352">
        <v>1000</v>
      </c>
      <c r="N185" s="352" t="s">
        <v>698</v>
      </c>
      <c r="O185" s="460">
        <v>1221</v>
      </c>
      <c r="P185" s="460" t="s">
        <v>711</v>
      </c>
      <c r="Q185" s="460" t="s">
        <v>2266</v>
      </c>
      <c r="R185" s="460">
        <v>1221</v>
      </c>
      <c r="S185" s="460" t="s">
        <v>2265</v>
      </c>
      <c r="T185" s="462">
        <v>0.74223365950407583</v>
      </c>
      <c r="U185" s="460" t="s">
        <v>2274</v>
      </c>
      <c r="V185" s="475">
        <v>0</v>
      </c>
      <c r="W185" s="463" t="s">
        <v>2268</v>
      </c>
      <c r="X185" s="463" t="s">
        <v>2268</v>
      </c>
      <c r="Y185" s="463" t="s">
        <v>2267</v>
      </c>
      <c r="Z185" s="463"/>
      <c r="AA185" s="463"/>
      <c r="AB185" s="464">
        <v>0</v>
      </c>
      <c r="AC185" s="465">
        <v>0</v>
      </c>
      <c r="AD185" s="465">
        <v>0</v>
      </c>
      <c r="AE185" s="476">
        <v>0</v>
      </c>
      <c r="AF185" s="467">
        <v>0</v>
      </c>
      <c r="AG185" s="468">
        <v>0</v>
      </c>
      <c r="AH185" s="218">
        <v>0</v>
      </c>
      <c r="AI185" s="470">
        <v>0</v>
      </c>
      <c r="AJ185" s="471">
        <v>0</v>
      </c>
      <c r="AK185" s="218">
        <v>0</v>
      </c>
      <c r="AL185" s="470">
        <v>0</v>
      </c>
      <c r="AM185" s="471">
        <v>0</v>
      </c>
      <c r="AN185" s="477">
        <v>4622.6489686836176</v>
      </c>
      <c r="AO185" s="473">
        <v>0.57516229034711541</v>
      </c>
      <c r="AP185" s="474">
        <v>0.23337531241839887</v>
      </c>
      <c r="AQ185" s="352"/>
      <c r="AR185" s="352"/>
      <c r="AS185" s="352"/>
      <c r="AT185" s="352"/>
      <c r="AU185" s="352"/>
      <c r="AV185" s="352"/>
      <c r="AW185" s="352" t="s">
        <v>254</v>
      </c>
    </row>
    <row r="186" spans="2:49" x14ac:dyDescent="0.2">
      <c r="B186" s="460" t="s">
        <v>2422</v>
      </c>
      <c r="C186" s="460">
        <v>1221</v>
      </c>
      <c r="D186" s="460" t="s">
        <v>2287</v>
      </c>
      <c r="E186" s="460" t="s">
        <v>2277</v>
      </c>
      <c r="F186" s="460">
        <v>4</v>
      </c>
      <c r="G186" s="460">
        <v>1</v>
      </c>
      <c r="H186" s="461" t="s">
        <v>746</v>
      </c>
      <c r="I186" s="461" t="s">
        <v>762</v>
      </c>
      <c r="J186" s="461" t="s">
        <v>700</v>
      </c>
      <c r="K186" s="594"/>
      <c r="L186" s="594"/>
      <c r="M186" s="352">
        <v>1000</v>
      </c>
      <c r="N186" s="352" t="s">
        <v>698</v>
      </c>
      <c r="O186" s="460">
        <v>1221</v>
      </c>
      <c r="P186" s="460" t="s">
        <v>711</v>
      </c>
      <c r="Q186" s="460" t="s">
        <v>2266</v>
      </c>
      <c r="R186" s="460">
        <v>1221</v>
      </c>
      <c r="S186" s="460" t="s">
        <v>2277</v>
      </c>
      <c r="T186" s="462">
        <v>1</v>
      </c>
      <c r="U186" s="460" t="s">
        <v>2277</v>
      </c>
      <c r="V186" s="475">
        <v>0</v>
      </c>
      <c r="W186" s="463" t="s">
        <v>2268</v>
      </c>
      <c r="X186" s="463" t="s">
        <v>2268</v>
      </c>
      <c r="Y186" s="463" t="s">
        <v>2278</v>
      </c>
      <c r="Z186" s="463"/>
      <c r="AA186" s="463"/>
      <c r="AB186" s="464">
        <v>0</v>
      </c>
      <c r="AC186" s="465">
        <v>0</v>
      </c>
      <c r="AD186" s="465">
        <v>0</v>
      </c>
      <c r="AE186" s="476">
        <v>0</v>
      </c>
      <c r="AF186" s="467">
        <v>0</v>
      </c>
      <c r="AG186" s="468">
        <v>0</v>
      </c>
      <c r="AH186" s="218">
        <v>0</v>
      </c>
      <c r="AI186" s="470">
        <v>0</v>
      </c>
      <c r="AJ186" s="471">
        <v>0</v>
      </c>
      <c r="AK186" s="218">
        <v>0</v>
      </c>
      <c r="AL186" s="470">
        <v>0</v>
      </c>
      <c r="AM186" s="471">
        <v>0</v>
      </c>
      <c r="AN186" s="477">
        <v>39.689888314515997</v>
      </c>
      <c r="AO186" s="473">
        <v>7.1949384422844908E-3</v>
      </c>
      <c r="AP186" s="474">
        <v>0.20805147448287931</v>
      </c>
      <c r="AQ186" s="352"/>
      <c r="AR186" s="352"/>
      <c r="AS186" s="352"/>
      <c r="AT186" s="352"/>
      <c r="AU186" s="352"/>
      <c r="AV186" s="352"/>
      <c r="AW186" s="352" t="s">
        <v>254</v>
      </c>
    </row>
    <row r="187" spans="2:49" x14ac:dyDescent="0.2">
      <c r="B187" s="460" t="s">
        <v>2419</v>
      </c>
      <c r="C187" s="460">
        <v>1221</v>
      </c>
      <c r="D187" s="460" t="s">
        <v>2288</v>
      </c>
      <c r="E187" s="460" t="s">
        <v>2265</v>
      </c>
      <c r="F187" s="460">
        <v>1</v>
      </c>
      <c r="G187" s="460">
        <v>1</v>
      </c>
      <c r="H187" s="461" t="s">
        <v>748</v>
      </c>
      <c r="I187" s="461" t="s">
        <v>765</v>
      </c>
      <c r="J187" s="461" t="s">
        <v>700</v>
      </c>
      <c r="K187" s="594"/>
      <c r="L187" s="594"/>
      <c r="M187" s="352">
        <v>1000</v>
      </c>
      <c r="N187" s="352" t="s">
        <v>698</v>
      </c>
      <c r="O187" s="460">
        <v>1221</v>
      </c>
      <c r="P187" s="460" t="s">
        <v>711</v>
      </c>
      <c r="Q187" s="460" t="s">
        <v>2289</v>
      </c>
      <c r="R187" s="460">
        <v>1221</v>
      </c>
      <c r="S187" s="460" t="s">
        <v>2265</v>
      </c>
      <c r="T187" s="462">
        <v>1</v>
      </c>
      <c r="U187" s="460" t="s">
        <v>2265</v>
      </c>
      <c r="V187" s="475">
        <v>0</v>
      </c>
      <c r="W187" s="463" t="s">
        <v>2268</v>
      </c>
      <c r="X187" s="463" t="s">
        <v>2268</v>
      </c>
      <c r="Y187" s="463" t="s">
        <v>2290</v>
      </c>
      <c r="Z187" s="463"/>
      <c r="AA187" s="463"/>
      <c r="AB187" s="464">
        <v>0</v>
      </c>
      <c r="AC187" s="465">
        <v>0</v>
      </c>
      <c r="AD187" s="465">
        <v>0</v>
      </c>
      <c r="AE187" s="476">
        <v>0</v>
      </c>
      <c r="AF187" s="467">
        <v>0</v>
      </c>
      <c r="AG187" s="468">
        <v>0</v>
      </c>
      <c r="AH187" s="218">
        <v>0</v>
      </c>
      <c r="AI187" s="470">
        <v>0</v>
      </c>
      <c r="AJ187" s="471">
        <v>0</v>
      </c>
      <c r="AK187" s="218">
        <v>0</v>
      </c>
      <c r="AL187" s="470">
        <v>0</v>
      </c>
      <c r="AM187" s="471">
        <v>0</v>
      </c>
      <c r="AN187" s="477">
        <v>0</v>
      </c>
      <c r="AO187" s="473">
        <v>0</v>
      </c>
      <c r="AP187" s="474">
        <v>0</v>
      </c>
      <c r="AQ187" s="352"/>
      <c r="AR187" s="352"/>
      <c r="AS187" s="352"/>
      <c r="AT187" s="352"/>
      <c r="AU187" s="352"/>
      <c r="AV187" s="352"/>
      <c r="AW187" s="352" t="s">
        <v>254</v>
      </c>
    </row>
    <row r="188" spans="2:49" x14ac:dyDescent="0.2">
      <c r="B188" s="460" t="s">
        <v>2420</v>
      </c>
      <c r="C188" s="460">
        <v>1221</v>
      </c>
      <c r="D188" s="460" t="s">
        <v>2291</v>
      </c>
      <c r="E188" s="460" t="s">
        <v>2271</v>
      </c>
      <c r="F188" s="460">
        <v>2</v>
      </c>
      <c r="G188" s="460">
        <v>1</v>
      </c>
      <c r="H188" s="461" t="s">
        <v>748</v>
      </c>
      <c r="I188" s="461" t="s">
        <v>765</v>
      </c>
      <c r="J188" s="461" t="s">
        <v>700</v>
      </c>
      <c r="K188" s="594"/>
      <c r="L188" s="594"/>
      <c r="M188" s="352">
        <v>1000</v>
      </c>
      <c r="N188" s="352" t="s">
        <v>698</v>
      </c>
      <c r="O188" s="460">
        <v>1221</v>
      </c>
      <c r="P188" s="460" t="s">
        <v>711</v>
      </c>
      <c r="Q188" s="460" t="s">
        <v>2289</v>
      </c>
      <c r="R188" s="460">
        <v>1221</v>
      </c>
      <c r="S188" s="460" t="s">
        <v>2265</v>
      </c>
      <c r="T188" s="462">
        <v>1</v>
      </c>
      <c r="U188" s="460" t="s">
        <v>2271</v>
      </c>
      <c r="V188" s="475">
        <v>0</v>
      </c>
      <c r="W188" s="463" t="s">
        <v>2268</v>
      </c>
      <c r="X188" s="463" t="s">
        <v>2268</v>
      </c>
      <c r="Y188" s="463" t="s">
        <v>2290</v>
      </c>
      <c r="Z188" s="463"/>
      <c r="AA188" s="463"/>
      <c r="AB188" s="464">
        <v>0</v>
      </c>
      <c r="AC188" s="465">
        <v>0</v>
      </c>
      <c r="AD188" s="465">
        <v>0</v>
      </c>
      <c r="AE188" s="476">
        <v>0</v>
      </c>
      <c r="AF188" s="467">
        <v>0</v>
      </c>
      <c r="AG188" s="468">
        <v>0</v>
      </c>
      <c r="AH188" s="218">
        <v>0</v>
      </c>
      <c r="AI188" s="470">
        <v>0</v>
      </c>
      <c r="AJ188" s="471">
        <v>0</v>
      </c>
      <c r="AK188" s="218">
        <v>0</v>
      </c>
      <c r="AL188" s="470">
        <v>0</v>
      </c>
      <c r="AM188" s="471">
        <v>0</v>
      </c>
      <c r="AN188" s="477">
        <v>0</v>
      </c>
      <c r="AO188" s="473">
        <v>0</v>
      </c>
      <c r="AP188" s="474">
        <v>0</v>
      </c>
      <c r="AQ188" s="352"/>
      <c r="AR188" s="352"/>
      <c r="AS188" s="352"/>
      <c r="AT188" s="352"/>
      <c r="AU188" s="352"/>
      <c r="AV188" s="352"/>
      <c r="AW188" s="352" t="s">
        <v>254</v>
      </c>
    </row>
    <row r="189" spans="2:49" x14ac:dyDescent="0.2">
      <c r="B189" s="460" t="s">
        <v>2421</v>
      </c>
      <c r="C189" s="460">
        <v>1221</v>
      </c>
      <c r="D189" s="460" t="s">
        <v>2292</v>
      </c>
      <c r="E189" s="460" t="s">
        <v>2274</v>
      </c>
      <c r="F189" s="460">
        <v>3</v>
      </c>
      <c r="G189" s="460">
        <v>1</v>
      </c>
      <c r="H189" s="461" t="s">
        <v>748</v>
      </c>
      <c r="I189" s="461" t="s">
        <v>765</v>
      </c>
      <c r="J189" s="461" t="s">
        <v>700</v>
      </c>
      <c r="K189" s="594"/>
      <c r="L189" s="594"/>
      <c r="M189" s="352">
        <v>1000</v>
      </c>
      <c r="N189" s="352" t="s">
        <v>698</v>
      </c>
      <c r="O189" s="460">
        <v>1221</v>
      </c>
      <c r="P189" s="460" t="s">
        <v>711</v>
      </c>
      <c r="Q189" s="460" t="s">
        <v>2289</v>
      </c>
      <c r="R189" s="460">
        <v>1221</v>
      </c>
      <c r="S189" s="460" t="s">
        <v>2265</v>
      </c>
      <c r="T189" s="462">
        <v>0.74223365950407583</v>
      </c>
      <c r="U189" s="460" t="s">
        <v>2274</v>
      </c>
      <c r="V189" s="475">
        <v>0</v>
      </c>
      <c r="W189" s="463" t="s">
        <v>2268</v>
      </c>
      <c r="X189" s="463" t="s">
        <v>2268</v>
      </c>
      <c r="Y189" s="463" t="s">
        <v>2290</v>
      </c>
      <c r="Z189" s="463"/>
      <c r="AA189" s="463"/>
      <c r="AB189" s="464">
        <v>0</v>
      </c>
      <c r="AC189" s="465">
        <v>0</v>
      </c>
      <c r="AD189" s="465">
        <v>0</v>
      </c>
      <c r="AE189" s="476">
        <v>0</v>
      </c>
      <c r="AF189" s="467">
        <v>0</v>
      </c>
      <c r="AG189" s="468">
        <v>0</v>
      </c>
      <c r="AH189" s="218">
        <v>0</v>
      </c>
      <c r="AI189" s="470">
        <v>0</v>
      </c>
      <c r="AJ189" s="471">
        <v>0</v>
      </c>
      <c r="AK189" s="218">
        <v>0</v>
      </c>
      <c r="AL189" s="470">
        <v>0</v>
      </c>
      <c r="AM189" s="471">
        <v>0</v>
      </c>
      <c r="AN189" s="477">
        <v>0</v>
      </c>
      <c r="AO189" s="473">
        <v>0</v>
      </c>
      <c r="AP189" s="474">
        <v>0</v>
      </c>
      <c r="AQ189" s="352"/>
      <c r="AR189" s="352"/>
      <c r="AS189" s="352"/>
      <c r="AT189" s="352"/>
      <c r="AU189" s="352"/>
      <c r="AV189" s="352"/>
      <c r="AW189" s="352" t="s">
        <v>254</v>
      </c>
    </row>
    <row r="190" spans="2:49" x14ac:dyDescent="0.2">
      <c r="B190" s="460" t="s">
        <v>2422</v>
      </c>
      <c r="C190" s="460">
        <v>1221</v>
      </c>
      <c r="D190" s="460" t="s">
        <v>2293</v>
      </c>
      <c r="E190" s="460" t="s">
        <v>2277</v>
      </c>
      <c r="F190" s="460">
        <v>4</v>
      </c>
      <c r="G190" s="460">
        <v>1</v>
      </c>
      <c r="H190" s="461" t="s">
        <v>748</v>
      </c>
      <c r="I190" s="461" t="s">
        <v>765</v>
      </c>
      <c r="J190" s="461" t="s">
        <v>700</v>
      </c>
      <c r="K190" s="594"/>
      <c r="L190" s="594"/>
      <c r="M190" s="352">
        <v>1000</v>
      </c>
      <c r="N190" s="352" t="s">
        <v>698</v>
      </c>
      <c r="O190" s="460">
        <v>1221</v>
      </c>
      <c r="P190" s="460" t="s">
        <v>711</v>
      </c>
      <c r="Q190" s="460" t="s">
        <v>2289</v>
      </c>
      <c r="R190" s="460">
        <v>1221</v>
      </c>
      <c r="S190" s="460" t="s">
        <v>2277</v>
      </c>
      <c r="T190" s="462">
        <v>1</v>
      </c>
      <c r="U190" s="460" t="s">
        <v>2277</v>
      </c>
      <c r="V190" s="475">
        <v>0</v>
      </c>
      <c r="W190" s="463" t="s">
        <v>2268</v>
      </c>
      <c r="X190" s="463" t="s">
        <v>2268</v>
      </c>
      <c r="Y190" s="463" t="s">
        <v>2290</v>
      </c>
      <c r="Z190" s="463"/>
      <c r="AA190" s="463"/>
      <c r="AB190" s="464">
        <v>0</v>
      </c>
      <c r="AC190" s="465">
        <v>0</v>
      </c>
      <c r="AD190" s="465">
        <v>0</v>
      </c>
      <c r="AE190" s="476">
        <v>0</v>
      </c>
      <c r="AF190" s="467">
        <v>0</v>
      </c>
      <c r="AG190" s="468">
        <v>0</v>
      </c>
      <c r="AH190" s="218">
        <v>0</v>
      </c>
      <c r="AI190" s="470">
        <v>0</v>
      </c>
      <c r="AJ190" s="471">
        <v>0</v>
      </c>
      <c r="AK190" s="218">
        <v>0</v>
      </c>
      <c r="AL190" s="470">
        <v>0</v>
      </c>
      <c r="AM190" s="471">
        <v>0</v>
      </c>
      <c r="AN190" s="477">
        <v>0</v>
      </c>
      <c r="AO190" s="473">
        <v>0</v>
      </c>
      <c r="AP190" s="474">
        <v>0</v>
      </c>
      <c r="AQ190" s="352"/>
      <c r="AR190" s="352"/>
      <c r="AS190" s="352"/>
      <c r="AT190" s="352"/>
      <c r="AU190" s="352"/>
      <c r="AV190" s="352"/>
      <c r="AW190" s="352" t="s">
        <v>254</v>
      </c>
    </row>
    <row r="191" spans="2:49" x14ac:dyDescent="0.2">
      <c r="B191" s="460" t="s">
        <v>2423</v>
      </c>
      <c r="C191" s="460">
        <v>1221</v>
      </c>
      <c r="D191" s="460" t="s">
        <v>2295</v>
      </c>
      <c r="E191" s="460" t="s">
        <v>2296</v>
      </c>
      <c r="F191" s="460">
        <v>1</v>
      </c>
      <c r="G191" s="460">
        <v>2</v>
      </c>
      <c r="H191" s="461" t="s">
        <v>700</v>
      </c>
      <c r="I191" s="461" t="s">
        <v>872</v>
      </c>
      <c r="J191" s="461" t="s">
        <v>700</v>
      </c>
      <c r="K191" s="594"/>
      <c r="L191" s="594"/>
      <c r="M191" s="352">
        <v>1000</v>
      </c>
      <c r="N191" s="352" t="s">
        <v>698</v>
      </c>
      <c r="O191" s="460">
        <v>1221</v>
      </c>
      <c r="P191" s="460" t="s">
        <v>711</v>
      </c>
      <c r="Q191" s="460" t="s">
        <v>2266</v>
      </c>
      <c r="R191" s="460">
        <v>1221</v>
      </c>
      <c r="S191" s="460" t="s">
        <v>2296</v>
      </c>
      <c r="T191" s="462">
        <v>1</v>
      </c>
      <c r="U191" s="460" t="s">
        <v>2296</v>
      </c>
      <c r="V191" s="475">
        <v>0</v>
      </c>
      <c r="W191" s="463" t="s">
        <v>2267</v>
      </c>
      <c r="X191" s="463" t="s">
        <v>2267</v>
      </c>
      <c r="Y191" s="463" t="s">
        <v>2268</v>
      </c>
      <c r="Z191" s="463"/>
      <c r="AA191" s="463"/>
      <c r="AB191" s="464">
        <v>2186.0313478454232</v>
      </c>
      <c r="AC191" s="465">
        <v>0.46034862647207453</v>
      </c>
      <c r="AD191" s="465">
        <v>0.12769423664770641</v>
      </c>
      <c r="AE191" s="476">
        <v>2186.0313478454232</v>
      </c>
      <c r="AF191" s="467">
        <v>0.46034862647207453</v>
      </c>
      <c r="AG191" s="468">
        <v>0.14193910007993363</v>
      </c>
      <c r="AH191" s="218">
        <v>2186.0313478454232</v>
      </c>
      <c r="AI191" s="470">
        <v>0.46034862647207453</v>
      </c>
      <c r="AJ191" s="471">
        <v>0.13040407861003978</v>
      </c>
      <c r="AK191" s="218">
        <v>2186.0313478454232</v>
      </c>
      <c r="AL191" s="470">
        <v>0.46034862647207453</v>
      </c>
      <c r="AM191" s="471">
        <v>0.13040407861003978</v>
      </c>
      <c r="AN191" s="477">
        <v>0</v>
      </c>
      <c r="AO191" s="473">
        <v>0</v>
      </c>
      <c r="AP191" s="474">
        <v>0</v>
      </c>
      <c r="AQ191" s="352"/>
      <c r="AR191" s="352"/>
      <c r="AS191" s="352"/>
      <c r="AT191" s="352"/>
      <c r="AU191" s="352"/>
      <c r="AV191" s="352"/>
      <c r="AW191" s="352" t="s">
        <v>254</v>
      </c>
    </row>
    <row r="192" spans="2:49" x14ac:dyDescent="0.2">
      <c r="B192" s="460" t="s">
        <v>2424</v>
      </c>
      <c r="C192" s="460">
        <v>1221</v>
      </c>
      <c r="D192" s="460" t="s">
        <v>2298</v>
      </c>
      <c r="E192" s="460" t="s">
        <v>2299</v>
      </c>
      <c r="F192" s="460">
        <v>2</v>
      </c>
      <c r="G192" s="460">
        <v>2</v>
      </c>
      <c r="H192" s="461" t="s">
        <v>700</v>
      </c>
      <c r="I192" s="461" t="s">
        <v>872</v>
      </c>
      <c r="J192" s="461" t="s">
        <v>700</v>
      </c>
      <c r="K192" s="594"/>
      <c r="L192" s="594"/>
      <c r="M192" s="352">
        <v>1000</v>
      </c>
      <c r="N192" s="352" t="s">
        <v>698</v>
      </c>
      <c r="O192" s="460">
        <v>1221</v>
      </c>
      <c r="P192" s="460" t="s">
        <v>711</v>
      </c>
      <c r="Q192" s="460" t="s">
        <v>2266</v>
      </c>
      <c r="R192" s="460">
        <v>1221</v>
      </c>
      <c r="S192" s="460" t="s">
        <v>2296</v>
      </c>
      <c r="T192" s="462">
        <v>0.55517361979372948</v>
      </c>
      <c r="U192" s="460" t="s">
        <v>2299</v>
      </c>
      <c r="V192" s="475">
        <v>0</v>
      </c>
      <c r="W192" s="463" t="s">
        <v>2267</v>
      </c>
      <c r="X192" s="463" t="s">
        <v>2267</v>
      </c>
      <c r="Y192" s="463" t="s">
        <v>2268</v>
      </c>
      <c r="Z192" s="463"/>
      <c r="AA192" s="463"/>
      <c r="AB192" s="464">
        <v>411.29860736121668</v>
      </c>
      <c r="AC192" s="465">
        <v>0.16840062216423651</v>
      </c>
      <c r="AD192" s="465">
        <v>0.12445049972293551</v>
      </c>
      <c r="AE192" s="476">
        <v>411.29860736121668</v>
      </c>
      <c r="AF192" s="467">
        <v>0.16840062216423651</v>
      </c>
      <c r="AG192" s="468">
        <v>0.13965748332701095</v>
      </c>
      <c r="AH192" s="218">
        <v>624.20784215893877</v>
      </c>
      <c r="AI192" s="470">
        <v>0.2555734133255731</v>
      </c>
      <c r="AJ192" s="471">
        <v>0.14699319333802929</v>
      </c>
      <c r="AK192" s="218">
        <v>624.20784215893877</v>
      </c>
      <c r="AL192" s="470">
        <v>0.2555734133255731</v>
      </c>
      <c r="AM192" s="471">
        <v>0.14699319333802929</v>
      </c>
      <c r="AN192" s="477">
        <v>0</v>
      </c>
      <c r="AO192" s="473">
        <v>0</v>
      </c>
      <c r="AP192" s="474">
        <v>0</v>
      </c>
      <c r="AQ192" s="352"/>
      <c r="AR192" s="352"/>
      <c r="AS192" s="352"/>
      <c r="AT192" s="352"/>
      <c r="AU192" s="352"/>
      <c r="AV192" s="352"/>
      <c r="AW192" s="352" t="s">
        <v>254</v>
      </c>
    </row>
    <row r="193" spans="2:49" x14ac:dyDescent="0.2">
      <c r="B193" s="460" t="s">
        <v>2425</v>
      </c>
      <c r="C193" s="460">
        <v>1221</v>
      </c>
      <c r="D193" s="460" t="s">
        <v>2301</v>
      </c>
      <c r="E193" s="460" t="s">
        <v>2302</v>
      </c>
      <c r="F193" s="460">
        <v>3</v>
      </c>
      <c r="G193" s="460">
        <v>2</v>
      </c>
      <c r="H193" s="461" t="s">
        <v>700</v>
      </c>
      <c r="I193" s="461" t="s">
        <v>872</v>
      </c>
      <c r="J193" s="461" t="s">
        <v>700</v>
      </c>
      <c r="K193" s="594"/>
      <c r="L193" s="594"/>
      <c r="M193" s="352">
        <v>1000</v>
      </c>
      <c r="N193" s="352" t="s">
        <v>698</v>
      </c>
      <c r="O193" s="460">
        <v>1221</v>
      </c>
      <c r="P193" s="460" t="s">
        <v>711</v>
      </c>
      <c r="Q193" s="460" t="s">
        <v>2266</v>
      </c>
      <c r="R193" s="460">
        <v>1221</v>
      </c>
      <c r="S193" s="460" t="s">
        <v>2296</v>
      </c>
      <c r="T193" s="462">
        <v>0.28481449642268464</v>
      </c>
      <c r="U193" s="460" t="s">
        <v>2302</v>
      </c>
      <c r="V193" s="475">
        <v>0</v>
      </c>
      <c r="W193" s="463" t="s">
        <v>2267</v>
      </c>
      <c r="X193" s="463" t="s">
        <v>2267</v>
      </c>
      <c r="Y193" s="463" t="s">
        <v>2268</v>
      </c>
      <c r="Z193" s="463"/>
      <c r="AA193" s="463"/>
      <c r="AB193" s="464">
        <v>40.214090545824874</v>
      </c>
      <c r="AC193" s="465">
        <v>2.0587899490338075E-2</v>
      </c>
      <c r="AD193" s="465">
        <v>7.8221949925960599E-2</v>
      </c>
      <c r="AE193" s="476">
        <v>40.214090545824874</v>
      </c>
      <c r="AF193" s="467">
        <v>2.0587899490338075E-2</v>
      </c>
      <c r="AG193" s="468">
        <v>8.826865728763196E-2</v>
      </c>
      <c r="AH193" s="218">
        <v>256.10328782272035</v>
      </c>
      <c r="AI193" s="470">
        <v>0.13111396222751845</v>
      </c>
      <c r="AJ193" s="471">
        <v>0.26586566917152027</v>
      </c>
      <c r="AK193" s="218">
        <v>256.10328782272035</v>
      </c>
      <c r="AL193" s="470">
        <v>0.13111396222751845</v>
      </c>
      <c r="AM193" s="471">
        <v>0.26586566917152027</v>
      </c>
      <c r="AN193" s="477">
        <v>0</v>
      </c>
      <c r="AO193" s="473">
        <v>0</v>
      </c>
      <c r="AP193" s="474">
        <v>0</v>
      </c>
      <c r="AQ193" s="352"/>
      <c r="AR193" s="352"/>
      <c r="AS193" s="352"/>
      <c r="AT193" s="352"/>
      <c r="AU193" s="352"/>
      <c r="AV193" s="352"/>
      <c r="AW193" s="352" t="s">
        <v>254</v>
      </c>
    </row>
    <row r="194" spans="2:49" x14ac:dyDescent="0.2">
      <c r="B194" s="460" t="s">
        <v>2426</v>
      </c>
      <c r="C194" s="460">
        <v>1221</v>
      </c>
      <c r="D194" s="460" t="s">
        <v>2304</v>
      </c>
      <c r="E194" s="460" t="s">
        <v>2305</v>
      </c>
      <c r="F194" s="460">
        <v>4</v>
      </c>
      <c r="G194" s="460">
        <v>2</v>
      </c>
      <c r="H194" s="461" t="s">
        <v>700</v>
      </c>
      <c r="I194" s="461" t="s">
        <v>872</v>
      </c>
      <c r="J194" s="461" t="s">
        <v>700</v>
      </c>
      <c r="K194" s="594"/>
      <c r="L194" s="594"/>
      <c r="M194" s="352">
        <v>1000</v>
      </c>
      <c r="N194" s="352" t="s">
        <v>698</v>
      </c>
      <c r="O194" s="460">
        <v>1221</v>
      </c>
      <c r="P194" s="460" t="s">
        <v>711</v>
      </c>
      <c r="Q194" s="460" t="s">
        <v>2266</v>
      </c>
      <c r="R194" s="460">
        <v>1221</v>
      </c>
      <c r="S194" s="460" t="s">
        <v>2305</v>
      </c>
      <c r="T194" s="462">
        <v>1</v>
      </c>
      <c r="U194" s="460" t="s">
        <v>2305</v>
      </c>
      <c r="V194" s="475">
        <v>0</v>
      </c>
      <c r="W194" s="463" t="s">
        <v>2278</v>
      </c>
      <c r="X194" s="463" t="s">
        <v>2278</v>
      </c>
      <c r="Y194" s="463" t="s">
        <v>2268</v>
      </c>
      <c r="Z194" s="463"/>
      <c r="AA194" s="463"/>
      <c r="AB194" s="464">
        <v>3.6562161214472324</v>
      </c>
      <c r="AC194" s="465">
        <v>1.6828000436641241E-3</v>
      </c>
      <c r="AD194" s="465">
        <v>0.28947394286776135</v>
      </c>
      <c r="AE194" s="476">
        <v>3.6562161214472324</v>
      </c>
      <c r="AF194" s="467">
        <v>1.6828000436641241E-3</v>
      </c>
      <c r="AG194" s="468">
        <v>0.32143743382427514</v>
      </c>
      <c r="AH194" s="218">
        <v>3.6562161214472324</v>
      </c>
      <c r="AI194" s="470">
        <v>1.6828000436641241E-3</v>
      </c>
      <c r="AJ194" s="471">
        <v>0.32010352921609742</v>
      </c>
      <c r="AK194" s="218">
        <v>3.6562161214472324</v>
      </c>
      <c r="AL194" s="470">
        <v>1.6828000436641241E-3</v>
      </c>
      <c r="AM194" s="471">
        <v>0.32010352921609742</v>
      </c>
      <c r="AN194" s="477">
        <v>0</v>
      </c>
      <c r="AO194" s="473">
        <v>0</v>
      </c>
      <c r="AP194" s="474">
        <v>0</v>
      </c>
      <c r="AQ194" s="352"/>
      <c r="AR194" s="352"/>
      <c r="AS194" s="352"/>
      <c r="AT194" s="352"/>
      <c r="AU194" s="352"/>
      <c r="AV194" s="352"/>
      <c r="AW194" s="352" t="s">
        <v>254</v>
      </c>
    </row>
    <row r="195" spans="2:49" x14ac:dyDescent="0.2">
      <c r="B195" s="460" t="s">
        <v>2423</v>
      </c>
      <c r="C195" s="460">
        <v>1221</v>
      </c>
      <c r="D195" s="460" t="s">
        <v>2306</v>
      </c>
      <c r="E195" s="460" t="s">
        <v>2296</v>
      </c>
      <c r="F195" s="460">
        <v>1</v>
      </c>
      <c r="G195" s="460">
        <v>2</v>
      </c>
      <c r="H195" s="461" t="s">
        <v>712</v>
      </c>
      <c r="I195" s="461" t="s">
        <v>713</v>
      </c>
      <c r="J195" s="461" t="s">
        <v>712</v>
      </c>
      <c r="K195" s="594"/>
      <c r="L195" s="594"/>
      <c r="M195" s="352">
        <v>1000</v>
      </c>
      <c r="N195" s="352" t="s">
        <v>698</v>
      </c>
      <c r="O195" s="460">
        <v>1221</v>
      </c>
      <c r="P195" s="460" t="s">
        <v>711</v>
      </c>
      <c r="Q195" s="460" t="s">
        <v>2280</v>
      </c>
      <c r="R195" s="460">
        <v>1221</v>
      </c>
      <c r="S195" s="460" t="s">
        <v>2296</v>
      </c>
      <c r="T195" s="462">
        <v>1</v>
      </c>
      <c r="U195" s="460" t="s">
        <v>2296</v>
      </c>
      <c r="V195" s="475">
        <v>0</v>
      </c>
      <c r="W195" s="463" t="s">
        <v>713</v>
      </c>
      <c r="X195" s="463" t="s">
        <v>713</v>
      </c>
      <c r="Y195" s="463" t="s">
        <v>713</v>
      </c>
      <c r="Z195" s="463"/>
      <c r="AA195" s="463"/>
      <c r="AB195" s="464">
        <v>2562.6117937628883</v>
      </c>
      <c r="AC195" s="465">
        <v>0.53965137352792547</v>
      </c>
      <c r="AD195" s="465">
        <v>2.2163970152808837E-2</v>
      </c>
      <c r="AE195" s="476">
        <v>2562.6117937628883</v>
      </c>
      <c r="AF195" s="467">
        <v>0.53965137352792547</v>
      </c>
      <c r="AG195" s="468">
        <v>2.1839445513688317E-2</v>
      </c>
      <c r="AH195" s="218">
        <v>2562.6117937628883</v>
      </c>
      <c r="AI195" s="470">
        <v>0.53965137352792547</v>
      </c>
      <c r="AJ195" s="471">
        <v>2.2095984703110257E-2</v>
      </c>
      <c r="AK195" s="218">
        <v>2562.6117937628883</v>
      </c>
      <c r="AL195" s="470">
        <v>0.53965137352792547</v>
      </c>
      <c r="AM195" s="471">
        <v>2.2095984703110257E-2</v>
      </c>
      <c r="AN195" s="477">
        <v>2562.6117937628883</v>
      </c>
      <c r="AO195" s="473">
        <v>0.53965137352792547</v>
      </c>
      <c r="AP195" s="474">
        <v>2.2090562044286329E-2</v>
      </c>
      <c r="AQ195" s="352"/>
      <c r="AR195" s="352"/>
      <c r="AS195" s="352"/>
      <c r="AT195" s="352"/>
      <c r="AU195" s="352"/>
      <c r="AV195" s="352"/>
      <c r="AW195" s="352" t="s">
        <v>254</v>
      </c>
    </row>
    <row r="196" spans="2:49" x14ac:dyDescent="0.2">
      <c r="B196" s="460" t="s">
        <v>2424</v>
      </c>
      <c r="C196" s="460">
        <v>1221</v>
      </c>
      <c r="D196" s="460" t="s">
        <v>2307</v>
      </c>
      <c r="E196" s="460" t="s">
        <v>2299</v>
      </c>
      <c r="F196" s="460">
        <v>2</v>
      </c>
      <c r="G196" s="460">
        <v>2</v>
      </c>
      <c r="H196" s="461" t="s">
        <v>712</v>
      </c>
      <c r="I196" s="461" t="s">
        <v>713</v>
      </c>
      <c r="J196" s="461" t="s">
        <v>712</v>
      </c>
      <c r="K196" s="594"/>
      <c r="L196" s="594"/>
      <c r="M196" s="352">
        <v>1000</v>
      </c>
      <c r="N196" s="352" t="s">
        <v>698</v>
      </c>
      <c r="O196" s="460">
        <v>1221</v>
      </c>
      <c r="P196" s="460" t="s">
        <v>711</v>
      </c>
      <c r="Q196" s="460" t="s">
        <v>2280</v>
      </c>
      <c r="R196" s="460">
        <v>1221</v>
      </c>
      <c r="S196" s="460" t="s">
        <v>2296</v>
      </c>
      <c r="T196" s="462">
        <v>0.55517361979372948</v>
      </c>
      <c r="U196" s="460" t="s">
        <v>2299</v>
      </c>
      <c r="V196" s="475">
        <v>0</v>
      </c>
      <c r="W196" s="463" t="s">
        <v>713</v>
      </c>
      <c r="X196" s="463" t="s">
        <v>713</v>
      </c>
      <c r="Y196" s="463" t="s">
        <v>713</v>
      </c>
      <c r="Z196" s="463"/>
      <c r="AA196" s="463"/>
      <c r="AB196" s="464">
        <v>2031.0831491627496</v>
      </c>
      <c r="AC196" s="465">
        <v>0.83159937783576354</v>
      </c>
      <c r="AD196" s="465">
        <v>2.3493036163894622E-2</v>
      </c>
      <c r="AE196" s="476">
        <v>2031.0831491627496</v>
      </c>
      <c r="AF196" s="467">
        <v>0.83159937783576354</v>
      </c>
      <c r="AG196" s="468">
        <v>2.3395652509746175E-2</v>
      </c>
      <c r="AH196" s="218">
        <v>1818.173914365027</v>
      </c>
      <c r="AI196" s="470">
        <v>0.74442658667442685</v>
      </c>
      <c r="AJ196" s="471">
        <v>2.1301546063778161E-2</v>
      </c>
      <c r="AK196" s="218">
        <v>1818.173914365027</v>
      </c>
      <c r="AL196" s="470">
        <v>0.74442658667442685</v>
      </c>
      <c r="AM196" s="471">
        <v>2.1301546063778161E-2</v>
      </c>
      <c r="AN196" s="477">
        <v>1818.173914365027</v>
      </c>
      <c r="AO196" s="473">
        <v>0.74442658667442685</v>
      </c>
      <c r="AP196" s="474">
        <v>2.1298857069485665E-2</v>
      </c>
      <c r="AQ196" s="352"/>
      <c r="AR196" s="352"/>
      <c r="AS196" s="352"/>
      <c r="AT196" s="352"/>
      <c r="AU196" s="352"/>
      <c r="AV196" s="352"/>
      <c r="AW196" s="352" t="s">
        <v>254</v>
      </c>
    </row>
    <row r="197" spans="2:49" x14ac:dyDescent="0.2">
      <c r="B197" s="460" t="s">
        <v>2425</v>
      </c>
      <c r="C197" s="460">
        <v>1221</v>
      </c>
      <c r="D197" s="460" t="s">
        <v>2308</v>
      </c>
      <c r="E197" s="460" t="s">
        <v>2302</v>
      </c>
      <c r="F197" s="460">
        <v>3</v>
      </c>
      <c r="G197" s="460">
        <v>2</v>
      </c>
      <c r="H197" s="461" t="s">
        <v>712</v>
      </c>
      <c r="I197" s="461" t="s">
        <v>713</v>
      </c>
      <c r="J197" s="461" t="s">
        <v>712</v>
      </c>
      <c r="K197" s="594"/>
      <c r="L197" s="594"/>
      <c r="M197" s="352">
        <v>1000</v>
      </c>
      <c r="N197" s="352" t="s">
        <v>698</v>
      </c>
      <c r="O197" s="460">
        <v>1221</v>
      </c>
      <c r="P197" s="460" t="s">
        <v>711</v>
      </c>
      <c r="Q197" s="460" t="s">
        <v>2280</v>
      </c>
      <c r="R197" s="460">
        <v>1221</v>
      </c>
      <c r="S197" s="460" t="s">
        <v>2296</v>
      </c>
      <c r="T197" s="462">
        <v>0.28481449642268464</v>
      </c>
      <c r="U197" s="460" t="s">
        <v>2302</v>
      </c>
      <c r="V197" s="475">
        <v>0</v>
      </c>
      <c r="W197" s="463" t="s">
        <v>713</v>
      </c>
      <c r="X197" s="463" t="s">
        <v>713</v>
      </c>
      <c r="Y197" s="463" t="s">
        <v>713</v>
      </c>
      <c r="Z197" s="463"/>
      <c r="AA197" s="463"/>
      <c r="AB197" s="464">
        <v>1913.0735950044857</v>
      </c>
      <c r="AC197" s="465">
        <v>0.97941210050966199</v>
      </c>
      <c r="AD197" s="465">
        <v>5.5646530298931865E-2</v>
      </c>
      <c r="AE197" s="476">
        <v>1913.0735950044855</v>
      </c>
      <c r="AF197" s="467">
        <v>0.97941210050966188</v>
      </c>
      <c r="AG197" s="468">
        <v>5.5551977849411065E-2</v>
      </c>
      <c r="AH197" s="218">
        <v>1697.1843977275901</v>
      </c>
      <c r="AI197" s="470">
        <v>0.86888603777248152</v>
      </c>
      <c r="AJ197" s="471">
        <v>5.0020393338659423E-2</v>
      </c>
      <c r="AK197" s="218">
        <v>1697.1843977275901</v>
      </c>
      <c r="AL197" s="470">
        <v>0.86888603777248152</v>
      </c>
      <c r="AM197" s="471">
        <v>5.0020393338659423E-2</v>
      </c>
      <c r="AN197" s="477">
        <v>1697.1843977275901</v>
      </c>
      <c r="AO197" s="473">
        <v>0.86888603777248152</v>
      </c>
      <c r="AP197" s="474">
        <v>5.0063888848297294E-2</v>
      </c>
      <c r="AQ197" s="352"/>
      <c r="AR197" s="352"/>
      <c r="AS197" s="352"/>
      <c r="AT197" s="352"/>
      <c r="AU197" s="352"/>
      <c r="AV197" s="352"/>
      <c r="AW197" s="352" t="s">
        <v>254</v>
      </c>
    </row>
    <row r="198" spans="2:49" x14ac:dyDescent="0.2">
      <c r="B198" s="460" t="s">
        <v>2426</v>
      </c>
      <c r="C198" s="460">
        <v>1221</v>
      </c>
      <c r="D198" s="460" t="s">
        <v>2309</v>
      </c>
      <c r="E198" s="460" t="s">
        <v>2305</v>
      </c>
      <c r="F198" s="460">
        <v>4</v>
      </c>
      <c r="G198" s="460">
        <v>2</v>
      </c>
      <c r="H198" s="461" t="s">
        <v>712</v>
      </c>
      <c r="I198" s="461" t="s">
        <v>713</v>
      </c>
      <c r="J198" s="461" t="s">
        <v>712</v>
      </c>
      <c r="K198" s="594"/>
      <c r="L198" s="594"/>
      <c r="M198" s="352">
        <v>1000</v>
      </c>
      <c r="N198" s="352" t="s">
        <v>698</v>
      </c>
      <c r="O198" s="460">
        <v>1221</v>
      </c>
      <c r="P198" s="460" t="s">
        <v>711</v>
      </c>
      <c r="Q198" s="460" t="s">
        <v>2280</v>
      </c>
      <c r="R198" s="460">
        <v>1221</v>
      </c>
      <c r="S198" s="460" t="s">
        <v>2305</v>
      </c>
      <c r="T198" s="462">
        <v>1</v>
      </c>
      <c r="U198" s="460" t="s">
        <v>2305</v>
      </c>
      <c r="V198" s="475">
        <v>0</v>
      </c>
      <c r="W198" s="463" t="s">
        <v>713</v>
      </c>
      <c r="X198" s="463" t="s">
        <v>713</v>
      </c>
      <c r="Y198" s="463" t="s">
        <v>713</v>
      </c>
      <c r="Z198" s="463"/>
      <c r="AA198" s="463"/>
      <c r="AB198" s="464">
        <v>2169.0416841508854</v>
      </c>
      <c r="AC198" s="465">
        <v>0.99831719995633583</v>
      </c>
      <c r="AD198" s="465">
        <v>5.5397112952435094E-2</v>
      </c>
      <c r="AE198" s="476">
        <v>2169.0416841508854</v>
      </c>
      <c r="AF198" s="467">
        <v>0.99831719995633583</v>
      </c>
      <c r="AG198" s="468">
        <v>5.5395336013225223E-2</v>
      </c>
      <c r="AH198" s="218">
        <v>2169.0416841508854</v>
      </c>
      <c r="AI198" s="470">
        <v>0.99831719995633583</v>
      </c>
      <c r="AJ198" s="471">
        <v>5.539540307093966E-2</v>
      </c>
      <c r="AK198" s="218">
        <v>2169.0416841508854</v>
      </c>
      <c r="AL198" s="470">
        <v>0.99831719995633583</v>
      </c>
      <c r="AM198" s="471">
        <v>5.539540307093966E-2</v>
      </c>
      <c r="AN198" s="477">
        <v>2169.0416841508854</v>
      </c>
      <c r="AO198" s="473">
        <v>0.99831719995633583</v>
      </c>
      <c r="AP198" s="474">
        <v>5.5395470830534067E-2</v>
      </c>
      <c r="AQ198" s="352"/>
      <c r="AR198" s="352"/>
      <c r="AS198" s="352"/>
      <c r="AT198" s="352"/>
      <c r="AU198" s="352"/>
      <c r="AV198" s="352"/>
      <c r="AW198" s="352" t="s">
        <v>254</v>
      </c>
    </row>
    <row r="199" spans="2:49" x14ac:dyDescent="0.2">
      <c r="B199" s="460" t="s">
        <v>2423</v>
      </c>
      <c r="C199" s="460">
        <v>1221</v>
      </c>
      <c r="D199" s="460" t="s">
        <v>2310</v>
      </c>
      <c r="E199" s="460" t="s">
        <v>2296</v>
      </c>
      <c r="F199" s="460">
        <v>1</v>
      </c>
      <c r="G199" s="460">
        <v>2</v>
      </c>
      <c r="H199" s="461" t="s">
        <v>746</v>
      </c>
      <c r="I199" s="461" t="s">
        <v>762</v>
      </c>
      <c r="J199" s="461" t="s">
        <v>700</v>
      </c>
      <c r="K199" s="594"/>
      <c r="L199" s="594"/>
      <c r="M199" s="352">
        <v>1000</v>
      </c>
      <c r="N199" s="352" t="s">
        <v>698</v>
      </c>
      <c r="O199" s="460">
        <v>1221</v>
      </c>
      <c r="P199" s="460" t="s">
        <v>711</v>
      </c>
      <c r="Q199" s="460" t="s">
        <v>2266</v>
      </c>
      <c r="R199" s="460">
        <v>1221</v>
      </c>
      <c r="S199" s="460" t="s">
        <v>2296</v>
      </c>
      <c r="T199" s="462">
        <v>1</v>
      </c>
      <c r="U199" s="460" t="s">
        <v>2296</v>
      </c>
      <c r="V199" s="475">
        <v>0</v>
      </c>
      <c r="W199" s="463" t="s">
        <v>2268</v>
      </c>
      <c r="X199" s="463" t="s">
        <v>2268</v>
      </c>
      <c r="Y199" s="463" t="s">
        <v>2267</v>
      </c>
      <c r="Z199" s="463"/>
      <c r="AA199" s="463"/>
      <c r="AB199" s="464">
        <v>0</v>
      </c>
      <c r="AC199" s="465">
        <v>0</v>
      </c>
      <c r="AD199" s="465">
        <v>0</v>
      </c>
      <c r="AE199" s="476">
        <v>0</v>
      </c>
      <c r="AF199" s="467">
        <v>0</v>
      </c>
      <c r="AG199" s="468">
        <v>0</v>
      </c>
      <c r="AH199" s="218">
        <v>0</v>
      </c>
      <c r="AI199" s="470">
        <v>0</v>
      </c>
      <c r="AJ199" s="471">
        <v>0</v>
      </c>
      <c r="AK199" s="218">
        <v>0</v>
      </c>
      <c r="AL199" s="470">
        <v>0</v>
      </c>
      <c r="AM199" s="471">
        <v>0</v>
      </c>
      <c r="AN199" s="477">
        <v>2186.0313478454232</v>
      </c>
      <c r="AO199" s="473">
        <v>0.46034862647207453</v>
      </c>
      <c r="AP199" s="474">
        <v>0.16239038238694029</v>
      </c>
      <c r="AQ199" s="352"/>
      <c r="AR199" s="352"/>
      <c r="AS199" s="352"/>
      <c r="AT199" s="352"/>
      <c r="AU199" s="352"/>
      <c r="AV199" s="352"/>
      <c r="AW199" s="352" t="s">
        <v>254</v>
      </c>
    </row>
    <row r="200" spans="2:49" x14ac:dyDescent="0.2">
      <c r="B200" s="460" t="s">
        <v>2424</v>
      </c>
      <c r="C200" s="460">
        <v>1221</v>
      </c>
      <c r="D200" s="460" t="s">
        <v>2311</v>
      </c>
      <c r="E200" s="460" t="s">
        <v>2299</v>
      </c>
      <c r="F200" s="460">
        <v>2</v>
      </c>
      <c r="G200" s="460">
        <v>2</v>
      </c>
      <c r="H200" s="461" t="s">
        <v>746</v>
      </c>
      <c r="I200" s="461" t="s">
        <v>762</v>
      </c>
      <c r="J200" s="461" t="s">
        <v>700</v>
      </c>
      <c r="K200" s="594"/>
      <c r="L200" s="594"/>
      <c r="M200" s="352">
        <v>1000</v>
      </c>
      <c r="N200" s="352" t="s">
        <v>698</v>
      </c>
      <c r="O200" s="460">
        <v>1221</v>
      </c>
      <c r="P200" s="460" t="s">
        <v>711</v>
      </c>
      <c r="Q200" s="460" t="s">
        <v>2266</v>
      </c>
      <c r="R200" s="460">
        <v>1221</v>
      </c>
      <c r="S200" s="460" t="s">
        <v>2296</v>
      </c>
      <c r="T200" s="462">
        <v>0.55517361979372948</v>
      </c>
      <c r="U200" s="460" t="s">
        <v>2299</v>
      </c>
      <c r="V200" s="475">
        <v>0</v>
      </c>
      <c r="W200" s="463" t="s">
        <v>2268</v>
      </c>
      <c r="X200" s="463" t="s">
        <v>2268</v>
      </c>
      <c r="Y200" s="463" t="s">
        <v>2267</v>
      </c>
      <c r="Z200" s="463"/>
      <c r="AA200" s="463"/>
      <c r="AB200" s="464">
        <v>0</v>
      </c>
      <c r="AC200" s="465">
        <v>0</v>
      </c>
      <c r="AD200" s="465">
        <v>0</v>
      </c>
      <c r="AE200" s="476">
        <v>0</v>
      </c>
      <c r="AF200" s="467">
        <v>0</v>
      </c>
      <c r="AG200" s="468">
        <v>0</v>
      </c>
      <c r="AH200" s="218">
        <v>0</v>
      </c>
      <c r="AI200" s="470">
        <v>0</v>
      </c>
      <c r="AJ200" s="471">
        <v>0</v>
      </c>
      <c r="AK200" s="218">
        <v>0</v>
      </c>
      <c r="AL200" s="470">
        <v>0</v>
      </c>
      <c r="AM200" s="471">
        <v>0</v>
      </c>
      <c r="AN200" s="477">
        <v>624.20784215893877</v>
      </c>
      <c r="AO200" s="473">
        <v>0.2555734133255731</v>
      </c>
      <c r="AP200" s="474">
        <v>0.19776062495762103</v>
      </c>
      <c r="AQ200" s="352"/>
      <c r="AR200" s="352"/>
      <c r="AS200" s="352"/>
      <c r="AT200" s="352"/>
      <c r="AU200" s="352"/>
      <c r="AV200" s="352"/>
      <c r="AW200" s="352" t="s">
        <v>254</v>
      </c>
    </row>
    <row r="201" spans="2:49" x14ac:dyDescent="0.2">
      <c r="B201" s="460" t="s">
        <v>2425</v>
      </c>
      <c r="C201" s="460">
        <v>1221</v>
      </c>
      <c r="D201" s="460" t="s">
        <v>2312</v>
      </c>
      <c r="E201" s="460" t="s">
        <v>2302</v>
      </c>
      <c r="F201" s="460">
        <v>3</v>
      </c>
      <c r="G201" s="460">
        <v>2</v>
      </c>
      <c r="H201" s="461" t="s">
        <v>746</v>
      </c>
      <c r="I201" s="461" t="s">
        <v>762</v>
      </c>
      <c r="J201" s="461" t="s">
        <v>700</v>
      </c>
      <c r="K201" s="594"/>
      <c r="L201" s="594"/>
      <c r="M201" s="352">
        <v>1000</v>
      </c>
      <c r="N201" s="352" t="s">
        <v>698</v>
      </c>
      <c r="O201" s="460">
        <v>1221</v>
      </c>
      <c r="P201" s="460" t="s">
        <v>711</v>
      </c>
      <c r="Q201" s="460" t="s">
        <v>2266</v>
      </c>
      <c r="R201" s="460">
        <v>1221</v>
      </c>
      <c r="S201" s="460" t="s">
        <v>2296</v>
      </c>
      <c r="T201" s="462">
        <v>0.28481449642268464</v>
      </c>
      <c r="U201" s="460" t="s">
        <v>2302</v>
      </c>
      <c r="V201" s="475">
        <v>0</v>
      </c>
      <c r="W201" s="463" t="s">
        <v>2268</v>
      </c>
      <c r="X201" s="463" t="s">
        <v>2268</v>
      </c>
      <c r="Y201" s="463" t="s">
        <v>2267</v>
      </c>
      <c r="Z201" s="463"/>
      <c r="AA201" s="463"/>
      <c r="AB201" s="464">
        <v>0</v>
      </c>
      <c r="AC201" s="465">
        <v>0</v>
      </c>
      <c r="AD201" s="465">
        <v>0</v>
      </c>
      <c r="AE201" s="476">
        <v>0</v>
      </c>
      <c r="AF201" s="467">
        <v>0</v>
      </c>
      <c r="AG201" s="468">
        <v>0</v>
      </c>
      <c r="AH201" s="218">
        <v>0</v>
      </c>
      <c r="AI201" s="470">
        <v>0</v>
      </c>
      <c r="AJ201" s="471">
        <v>0</v>
      </c>
      <c r="AK201" s="218">
        <v>0</v>
      </c>
      <c r="AL201" s="470">
        <v>0</v>
      </c>
      <c r="AM201" s="471">
        <v>0</v>
      </c>
      <c r="AN201" s="477">
        <v>256.10328782272035</v>
      </c>
      <c r="AO201" s="473">
        <v>0.13111396222751845</v>
      </c>
      <c r="AP201" s="474">
        <v>0.33739711938303263</v>
      </c>
      <c r="AQ201" s="352"/>
      <c r="AR201" s="352"/>
      <c r="AS201" s="352"/>
      <c r="AT201" s="352"/>
      <c r="AU201" s="352"/>
      <c r="AV201" s="352"/>
      <c r="AW201" s="352" t="s">
        <v>254</v>
      </c>
    </row>
    <row r="202" spans="2:49" x14ac:dyDescent="0.2">
      <c r="B202" s="460" t="s">
        <v>2426</v>
      </c>
      <c r="C202" s="460">
        <v>1221</v>
      </c>
      <c r="D202" s="460" t="s">
        <v>2313</v>
      </c>
      <c r="E202" s="460" t="s">
        <v>2305</v>
      </c>
      <c r="F202" s="460">
        <v>4</v>
      </c>
      <c r="G202" s="460">
        <v>2</v>
      </c>
      <c r="H202" s="461" t="s">
        <v>746</v>
      </c>
      <c r="I202" s="461" t="s">
        <v>762</v>
      </c>
      <c r="J202" s="461" t="s">
        <v>700</v>
      </c>
      <c r="K202" s="594"/>
      <c r="L202" s="594"/>
      <c r="M202" s="352">
        <v>1000</v>
      </c>
      <c r="N202" s="352" t="s">
        <v>698</v>
      </c>
      <c r="O202" s="460">
        <v>1221</v>
      </c>
      <c r="P202" s="460" t="s">
        <v>711</v>
      </c>
      <c r="Q202" s="460" t="s">
        <v>2266</v>
      </c>
      <c r="R202" s="460">
        <v>1221</v>
      </c>
      <c r="S202" s="460" t="s">
        <v>2305</v>
      </c>
      <c r="T202" s="462">
        <v>1</v>
      </c>
      <c r="U202" s="460" t="s">
        <v>2305</v>
      </c>
      <c r="V202" s="475">
        <v>0</v>
      </c>
      <c r="W202" s="463" t="s">
        <v>2268</v>
      </c>
      <c r="X202" s="463" t="s">
        <v>2268</v>
      </c>
      <c r="Y202" s="463" t="s">
        <v>2278</v>
      </c>
      <c r="Z202" s="463"/>
      <c r="AA202" s="463"/>
      <c r="AB202" s="464">
        <v>0</v>
      </c>
      <c r="AC202" s="465">
        <v>0</v>
      </c>
      <c r="AD202" s="465">
        <v>0</v>
      </c>
      <c r="AE202" s="476">
        <v>0</v>
      </c>
      <c r="AF202" s="467">
        <v>0</v>
      </c>
      <c r="AG202" s="468">
        <v>0</v>
      </c>
      <c r="AH202" s="218">
        <v>0</v>
      </c>
      <c r="AI202" s="470">
        <v>0</v>
      </c>
      <c r="AJ202" s="471">
        <v>0</v>
      </c>
      <c r="AK202" s="218">
        <v>0</v>
      </c>
      <c r="AL202" s="470">
        <v>0</v>
      </c>
      <c r="AM202" s="471">
        <v>0</v>
      </c>
      <c r="AN202" s="477">
        <v>3.6562161214472324</v>
      </c>
      <c r="AO202" s="473">
        <v>1.6828000436641241E-3</v>
      </c>
      <c r="AP202" s="474">
        <v>0.35686320005034022</v>
      </c>
      <c r="AQ202" s="352"/>
      <c r="AR202" s="352"/>
      <c r="AS202" s="352"/>
      <c r="AT202" s="352"/>
      <c r="AU202" s="352"/>
      <c r="AV202" s="352"/>
      <c r="AW202" s="352" t="s">
        <v>254</v>
      </c>
    </row>
    <row r="203" spans="2:49" x14ac:dyDescent="0.2">
      <c r="B203" s="460" t="s">
        <v>2423</v>
      </c>
      <c r="C203" s="460">
        <v>1221</v>
      </c>
      <c r="D203" s="460" t="s">
        <v>2314</v>
      </c>
      <c r="E203" s="460" t="s">
        <v>2296</v>
      </c>
      <c r="F203" s="460">
        <v>1</v>
      </c>
      <c r="G203" s="460">
        <v>2</v>
      </c>
      <c r="H203" s="461" t="s">
        <v>748</v>
      </c>
      <c r="I203" s="461" t="s">
        <v>765</v>
      </c>
      <c r="J203" s="461" t="s">
        <v>700</v>
      </c>
      <c r="K203" s="594"/>
      <c r="L203" s="594"/>
      <c r="M203" s="352">
        <v>1000</v>
      </c>
      <c r="N203" s="352" t="s">
        <v>698</v>
      </c>
      <c r="O203" s="460">
        <v>1221</v>
      </c>
      <c r="P203" s="460" t="s">
        <v>711</v>
      </c>
      <c r="Q203" s="460" t="s">
        <v>2289</v>
      </c>
      <c r="R203" s="460">
        <v>1221</v>
      </c>
      <c r="S203" s="460" t="s">
        <v>2296</v>
      </c>
      <c r="T203" s="462">
        <v>1</v>
      </c>
      <c r="U203" s="460" t="s">
        <v>2296</v>
      </c>
      <c r="V203" s="475">
        <v>0</v>
      </c>
      <c r="W203" s="463" t="s">
        <v>2268</v>
      </c>
      <c r="X203" s="463" t="s">
        <v>2268</v>
      </c>
      <c r="Y203" s="463" t="s">
        <v>2290</v>
      </c>
      <c r="Z203" s="463"/>
      <c r="AA203" s="463"/>
      <c r="AB203" s="464">
        <v>0</v>
      </c>
      <c r="AC203" s="465">
        <v>0</v>
      </c>
      <c r="AD203" s="465">
        <v>0</v>
      </c>
      <c r="AE203" s="476">
        <v>0</v>
      </c>
      <c r="AF203" s="467">
        <v>0</v>
      </c>
      <c r="AG203" s="468">
        <v>0</v>
      </c>
      <c r="AH203" s="218">
        <v>0</v>
      </c>
      <c r="AI203" s="470">
        <v>0</v>
      </c>
      <c r="AJ203" s="471">
        <v>0</v>
      </c>
      <c r="AK203" s="218">
        <v>0</v>
      </c>
      <c r="AL203" s="470">
        <v>0</v>
      </c>
      <c r="AM203" s="471">
        <v>0</v>
      </c>
      <c r="AN203" s="477">
        <v>0</v>
      </c>
      <c r="AO203" s="473">
        <v>0</v>
      </c>
      <c r="AP203" s="474">
        <v>0</v>
      </c>
      <c r="AQ203" s="352"/>
      <c r="AR203" s="352"/>
      <c r="AS203" s="352"/>
      <c r="AT203" s="352"/>
      <c r="AU203" s="352"/>
      <c r="AV203" s="352"/>
      <c r="AW203" s="352" t="s">
        <v>254</v>
      </c>
    </row>
    <row r="204" spans="2:49" x14ac:dyDescent="0.2">
      <c r="B204" s="460" t="s">
        <v>2424</v>
      </c>
      <c r="C204" s="460">
        <v>1221</v>
      </c>
      <c r="D204" s="460" t="s">
        <v>2315</v>
      </c>
      <c r="E204" s="460" t="s">
        <v>2299</v>
      </c>
      <c r="F204" s="460">
        <v>2</v>
      </c>
      <c r="G204" s="460">
        <v>2</v>
      </c>
      <c r="H204" s="461" t="s">
        <v>748</v>
      </c>
      <c r="I204" s="461" t="s">
        <v>765</v>
      </c>
      <c r="J204" s="461" t="s">
        <v>700</v>
      </c>
      <c r="K204" s="594"/>
      <c r="L204" s="594"/>
      <c r="M204" s="352">
        <v>1000</v>
      </c>
      <c r="N204" s="352" t="s">
        <v>698</v>
      </c>
      <c r="O204" s="460">
        <v>1221</v>
      </c>
      <c r="P204" s="460" t="s">
        <v>711</v>
      </c>
      <c r="Q204" s="460" t="s">
        <v>2289</v>
      </c>
      <c r="R204" s="460">
        <v>1221</v>
      </c>
      <c r="S204" s="460" t="s">
        <v>2296</v>
      </c>
      <c r="T204" s="462">
        <v>0.55517361979372948</v>
      </c>
      <c r="U204" s="460" t="s">
        <v>2299</v>
      </c>
      <c r="V204" s="475">
        <v>0</v>
      </c>
      <c r="W204" s="463" t="s">
        <v>2268</v>
      </c>
      <c r="X204" s="463" t="s">
        <v>2268</v>
      </c>
      <c r="Y204" s="463" t="s">
        <v>2290</v>
      </c>
      <c r="Z204" s="463"/>
      <c r="AA204" s="463"/>
      <c r="AB204" s="464">
        <v>0</v>
      </c>
      <c r="AC204" s="465">
        <v>0</v>
      </c>
      <c r="AD204" s="465">
        <v>0</v>
      </c>
      <c r="AE204" s="476">
        <v>0</v>
      </c>
      <c r="AF204" s="467">
        <v>0</v>
      </c>
      <c r="AG204" s="468">
        <v>0</v>
      </c>
      <c r="AH204" s="218">
        <v>0</v>
      </c>
      <c r="AI204" s="470">
        <v>0</v>
      </c>
      <c r="AJ204" s="471">
        <v>0</v>
      </c>
      <c r="AK204" s="218">
        <v>0</v>
      </c>
      <c r="AL204" s="470">
        <v>0</v>
      </c>
      <c r="AM204" s="471">
        <v>0</v>
      </c>
      <c r="AN204" s="477">
        <v>0</v>
      </c>
      <c r="AO204" s="473">
        <v>0</v>
      </c>
      <c r="AP204" s="474">
        <v>0</v>
      </c>
      <c r="AQ204" s="352"/>
      <c r="AR204" s="352"/>
      <c r="AS204" s="352"/>
      <c r="AT204" s="352"/>
      <c r="AU204" s="352"/>
      <c r="AV204" s="352"/>
      <c r="AW204" s="352" t="s">
        <v>254</v>
      </c>
    </row>
    <row r="205" spans="2:49" x14ac:dyDescent="0.2">
      <c r="B205" s="460" t="s">
        <v>2425</v>
      </c>
      <c r="C205" s="460">
        <v>1221</v>
      </c>
      <c r="D205" s="460" t="s">
        <v>2316</v>
      </c>
      <c r="E205" s="460" t="s">
        <v>2302</v>
      </c>
      <c r="F205" s="460">
        <v>3</v>
      </c>
      <c r="G205" s="460">
        <v>2</v>
      </c>
      <c r="H205" s="461" t="s">
        <v>748</v>
      </c>
      <c r="I205" s="461" t="s">
        <v>765</v>
      </c>
      <c r="J205" s="461" t="s">
        <v>700</v>
      </c>
      <c r="K205" s="594"/>
      <c r="L205" s="594"/>
      <c r="M205" s="352">
        <v>1000</v>
      </c>
      <c r="N205" s="352" t="s">
        <v>698</v>
      </c>
      <c r="O205" s="460">
        <v>1221</v>
      </c>
      <c r="P205" s="460" t="s">
        <v>711</v>
      </c>
      <c r="Q205" s="460" t="s">
        <v>2289</v>
      </c>
      <c r="R205" s="460">
        <v>1221</v>
      </c>
      <c r="S205" s="460" t="s">
        <v>2296</v>
      </c>
      <c r="T205" s="462">
        <v>0.28481449642268464</v>
      </c>
      <c r="U205" s="460" t="s">
        <v>2302</v>
      </c>
      <c r="V205" s="475">
        <v>0</v>
      </c>
      <c r="W205" s="463" t="s">
        <v>2268</v>
      </c>
      <c r="X205" s="463" t="s">
        <v>2268</v>
      </c>
      <c r="Y205" s="463" t="s">
        <v>2290</v>
      </c>
      <c r="Z205" s="463"/>
      <c r="AA205" s="463"/>
      <c r="AB205" s="464">
        <v>0</v>
      </c>
      <c r="AC205" s="465">
        <v>0</v>
      </c>
      <c r="AD205" s="465">
        <v>0</v>
      </c>
      <c r="AE205" s="476">
        <v>0</v>
      </c>
      <c r="AF205" s="467">
        <v>0</v>
      </c>
      <c r="AG205" s="468">
        <v>0</v>
      </c>
      <c r="AH205" s="218">
        <v>0</v>
      </c>
      <c r="AI205" s="470">
        <v>0</v>
      </c>
      <c r="AJ205" s="471">
        <v>0</v>
      </c>
      <c r="AK205" s="218">
        <v>0</v>
      </c>
      <c r="AL205" s="470">
        <v>0</v>
      </c>
      <c r="AM205" s="471">
        <v>0</v>
      </c>
      <c r="AN205" s="477">
        <v>0</v>
      </c>
      <c r="AO205" s="473">
        <v>0</v>
      </c>
      <c r="AP205" s="474">
        <v>0</v>
      </c>
      <c r="AQ205" s="352"/>
      <c r="AR205" s="352"/>
      <c r="AS205" s="352"/>
      <c r="AT205" s="352"/>
      <c r="AU205" s="352"/>
      <c r="AV205" s="352"/>
      <c r="AW205" s="352" t="s">
        <v>254</v>
      </c>
    </row>
    <row r="206" spans="2:49" x14ac:dyDescent="0.2">
      <c r="B206" s="460" t="s">
        <v>2426</v>
      </c>
      <c r="C206" s="460">
        <v>1221</v>
      </c>
      <c r="D206" s="460" t="s">
        <v>2317</v>
      </c>
      <c r="E206" s="460" t="s">
        <v>2305</v>
      </c>
      <c r="F206" s="460">
        <v>4</v>
      </c>
      <c r="G206" s="460">
        <v>2</v>
      </c>
      <c r="H206" s="461" t="s">
        <v>748</v>
      </c>
      <c r="I206" s="461" t="s">
        <v>765</v>
      </c>
      <c r="J206" s="461" t="s">
        <v>700</v>
      </c>
      <c r="K206" s="594"/>
      <c r="L206" s="594"/>
      <c r="M206" s="352">
        <v>1000</v>
      </c>
      <c r="N206" s="352" t="s">
        <v>698</v>
      </c>
      <c r="O206" s="460">
        <v>1221</v>
      </c>
      <c r="P206" s="460" t="s">
        <v>711</v>
      </c>
      <c r="Q206" s="460" t="s">
        <v>2289</v>
      </c>
      <c r="R206" s="460">
        <v>1221</v>
      </c>
      <c r="S206" s="460" t="s">
        <v>2305</v>
      </c>
      <c r="T206" s="462">
        <v>1</v>
      </c>
      <c r="U206" s="460" t="s">
        <v>2305</v>
      </c>
      <c r="V206" s="475">
        <v>0</v>
      </c>
      <c r="W206" s="463" t="s">
        <v>2268</v>
      </c>
      <c r="X206" s="463" t="s">
        <v>2268</v>
      </c>
      <c r="Y206" s="463" t="s">
        <v>2290</v>
      </c>
      <c r="Z206" s="463"/>
      <c r="AA206" s="463"/>
      <c r="AB206" s="464">
        <v>0</v>
      </c>
      <c r="AC206" s="465">
        <v>0</v>
      </c>
      <c r="AD206" s="465">
        <v>0</v>
      </c>
      <c r="AE206" s="476">
        <v>0</v>
      </c>
      <c r="AF206" s="467">
        <v>0</v>
      </c>
      <c r="AG206" s="468">
        <v>0</v>
      </c>
      <c r="AH206" s="218">
        <v>0</v>
      </c>
      <c r="AI206" s="470">
        <v>0</v>
      </c>
      <c r="AJ206" s="471">
        <v>0</v>
      </c>
      <c r="AK206" s="218">
        <v>0</v>
      </c>
      <c r="AL206" s="470">
        <v>0</v>
      </c>
      <c r="AM206" s="471">
        <v>0</v>
      </c>
      <c r="AN206" s="477">
        <v>0</v>
      </c>
      <c r="AO206" s="473">
        <v>0</v>
      </c>
      <c r="AP206" s="474">
        <v>0</v>
      </c>
      <c r="AQ206" s="352"/>
      <c r="AR206" s="352"/>
      <c r="AS206" s="352"/>
      <c r="AT206" s="352"/>
      <c r="AU206" s="352"/>
      <c r="AV206" s="352"/>
      <c r="AW206" s="352" t="s">
        <v>254</v>
      </c>
    </row>
    <row r="207" spans="2:49" x14ac:dyDescent="0.2">
      <c r="B207" s="460" t="s">
        <v>2427</v>
      </c>
      <c r="C207" s="460">
        <v>1221</v>
      </c>
      <c r="D207" s="460" t="s">
        <v>2323</v>
      </c>
      <c r="E207" s="460" t="s">
        <v>2324</v>
      </c>
      <c r="F207" s="460">
        <v>1</v>
      </c>
      <c r="G207" s="460">
        <v>3</v>
      </c>
      <c r="H207" s="461" t="s">
        <v>700</v>
      </c>
      <c r="I207" s="461" t="s">
        <v>872</v>
      </c>
      <c r="J207" s="461" t="s">
        <v>700</v>
      </c>
      <c r="K207" s="594"/>
      <c r="L207" s="594"/>
      <c r="M207" s="352">
        <v>1000</v>
      </c>
      <c r="N207" s="352" t="s">
        <v>698</v>
      </c>
      <c r="O207" s="460">
        <v>1221</v>
      </c>
      <c r="P207" s="460" t="s">
        <v>711</v>
      </c>
      <c r="Q207" s="460" t="s">
        <v>2266</v>
      </c>
      <c r="R207" s="460">
        <v>1221</v>
      </c>
      <c r="S207" s="460" t="s">
        <v>2324</v>
      </c>
      <c r="T207" s="462">
        <v>1</v>
      </c>
      <c r="U207" s="460" t="s">
        <v>2324</v>
      </c>
      <c r="V207" s="475">
        <v>0</v>
      </c>
      <c r="W207" s="463" t="s">
        <v>2267</v>
      </c>
      <c r="X207" s="463" t="s">
        <v>2267</v>
      </c>
      <c r="Y207" s="463" t="s">
        <v>2268</v>
      </c>
      <c r="Z207" s="463"/>
      <c r="AA207" s="463"/>
      <c r="AB207" s="464">
        <v>11177.802897998199</v>
      </c>
      <c r="AC207" s="465">
        <v>0.58692870897742544</v>
      </c>
      <c r="AD207" s="465">
        <v>9.5823724406837549E-2</v>
      </c>
      <c r="AE207" s="476">
        <v>11177.802897998199</v>
      </c>
      <c r="AF207" s="467">
        <v>0.58692870897742544</v>
      </c>
      <c r="AG207" s="468">
        <v>0.10264619207059511</v>
      </c>
      <c r="AH207" s="218">
        <v>11177.802897998199</v>
      </c>
      <c r="AI207" s="470">
        <v>0.58692870897742544</v>
      </c>
      <c r="AJ207" s="471">
        <v>9.8020476577389812E-2</v>
      </c>
      <c r="AK207" s="218">
        <v>11177.802897998199</v>
      </c>
      <c r="AL207" s="470">
        <v>0.58692870897742544</v>
      </c>
      <c r="AM207" s="471">
        <v>9.8020476577389812E-2</v>
      </c>
      <c r="AN207" s="477">
        <v>0</v>
      </c>
      <c r="AO207" s="473">
        <v>0</v>
      </c>
      <c r="AP207" s="474">
        <v>0</v>
      </c>
      <c r="AQ207" s="352"/>
      <c r="AR207" s="352"/>
      <c r="AS207" s="352"/>
      <c r="AT207" s="352"/>
      <c r="AU207" s="352"/>
      <c r="AV207" s="352"/>
      <c r="AW207" s="352" t="s">
        <v>254</v>
      </c>
    </row>
    <row r="208" spans="2:49" x14ac:dyDescent="0.2">
      <c r="B208" s="460" t="s">
        <v>2428</v>
      </c>
      <c r="C208" s="460">
        <v>1221</v>
      </c>
      <c r="D208" s="460" t="s">
        <v>2326</v>
      </c>
      <c r="E208" s="460" t="s">
        <v>2327</v>
      </c>
      <c r="F208" s="460">
        <v>2</v>
      </c>
      <c r="G208" s="460">
        <v>3</v>
      </c>
      <c r="H208" s="461" t="s">
        <v>700</v>
      </c>
      <c r="I208" s="461" t="s">
        <v>872</v>
      </c>
      <c r="J208" s="461" t="s">
        <v>700</v>
      </c>
      <c r="K208" s="594"/>
      <c r="L208" s="594"/>
      <c r="M208" s="352">
        <v>1000</v>
      </c>
      <c r="N208" s="352" t="s">
        <v>698</v>
      </c>
      <c r="O208" s="460">
        <v>1221</v>
      </c>
      <c r="P208" s="460" t="s">
        <v>711</v>
      </c>
      <c r="Q208" s="460" t="s">
        <v>2266</v>
      </c>
      <c r="R208" s="460">
        <v>1221</v>
      </c>
      <c r="S208" s="460" t="s">
        <v>2324</v>
      </c>
      <c r="T208" s="462">
        <v>1</v>
      </c>
      <c r="U208" s="460" t="s">
        <v>2327</v>
      </c>
      <c r="V208" s="475">
        <v>0</v>
      </c>
      <c r="W208" s="463" t="s">
        <v>2267</v>
      </c>
      <c r="X208" s="463" t="s">
        <v>2267</v>
      </c>
      <c r="Y208" s="463" t="s">
        <v>2268</v>
      </c>
      <c r="Z208" s="463"/>
      <c r="AA208" s="463"/>
      <c r="AB208" s="464">
        <v>4636.5224550334669</v>
      </c>
      <c r="AC208" s="465">
        <v>0.42563489207671895</v>
      </c>
      <c r="AD208" s="465">
        <v>6.848059322627123E-2</v>
      </c>
      <c r="AE208" s="476">
        <v>4636.5224550334669</v>
      </c>
      <c r="AF208" s="467">
        <v>0.42563489207671895</v>
      </c>
      <c r="AG208" s="468">
        <v>7.4172070711903168E-2</v>
      </c>
      <c r="AH208" s="218">
        <v>6393.5269155216038</v>
      </c>
      <c r="AI208" s="470">
        <v>0.58692870897742544</v>
      </c>
      <c r="AJ208" s="471">
        <v>8.6077273335987303E-2</v>
      </c>
      <c r="AK208" s="218">
        <v>6393.5269155216038</v>
      </c>
      <c r="AL208" s="470">
        <v>0.58692870897742544</v>
      </c>
      <c r="AM208" s="471">
        <v>8.6077273335987303E-2</v>
      </c>
      <c r="AN208" s="477">
        <v>0</v>
      </c>
      <c r="AO208" s="473">
        <v>0</v>
      </c>
      <c r="AP208" s="474">
        <v>0</v>
      </c>
      <c r="AQ208" s="352"/>
      <c r="AR208" s="352"/>
      <c r="AS208" s="352"/>
      <c r="AT208" s="352"/>
      <c r="AU208" s="352"/>
      <c r="AV208" s="352"/>
      <c r="AW208" s="352" t="s">
        <v>254</v>
      </c>
    </row>
    <row r="209" spans="2:49" x14ac:dyDescent="0.2">
      <c r="B209" s="460" t="s">
        <v>2429</v>
      </c>
      <c r="C209" s="460">
        <v>1221</v>
      </c>
      <c r="D209" s="460" t="s">
        <v>2329</v>
      </c>
      <c r="E209" s="460" t="s">
        <v>2330</v>
      </c>
      <c r="F209" s="460">
        <v>3</v>
      </c>
      <c r="G209" s="460">
        <v>3</v>
      </c>
      <c r="H209" s="461" t="s">
        <v>700</v>
      </c>
      <c r="I209" s="461" t="s">
        <v>872</v>
      </c>
      <c r="J209" s="461" t="s">
        <v>700</v>
      </c>
      <c r="K209" s="594"/>
      <c r="L209" s="594"/>
      <c r="M209" s="352">
        <v>1000</v>
      </c>
      <c r="N209" s="352" t="s">
        <v>698</v>
      </c>
      <c r="O209" s="460">
        <v>1221</v>
      </c>
      <c r="P209" s="460" t="s">
        <v>711</v>
      </c>
      <c r="Q209" s="460" t="s">
        <v>2266</v>
      </c>
      <c r="R209" s="460">
        <v>1221</v>
      </c>
      <c r="S209" s="460" t="s">
        <v>2324</v>
      </c>
      <c r="T209" s="462">
        <v>1</v>
      </c>
      <c r="U209" s="460" t="s">
        <v>2330</v>
      </c>
      <c r="V209" s="475">
        <v>0</v>
      </c>
      <c r="W209" s="463" t="s">
        <v>2267</v>
      </c>
      <c r="X209" s="463" t="s">
        <v>2267</v>
      </c>
      <c r="Y209" s="463" t="s">
        <v>2268</v>
      </c>
      <c r="Z209" s="463"/>
      <c r="AA209" s="463"/>
      <c r="AB209" s="464">
        <v>1202.4392288252025</v>
      </c>
      <c r="AC209" s="465">
        <v>0.31490878164568931</v>
      </c>
      <c r="AD209" s="465">
        <v>4.5405561199155307E-2</v>
      </c>
      <c r="AE209" s="476">
        <v>1202.4392288252025</v>
      </c>
      <c r="AF209" s="467">
        <v>0.31490878164568931</v>
      </c>
      <c r="AG209" s="468">
        <v>4.8663992503920422E-2</v>
      </c>
      <c r="AH209" s="218">
        <v>2241.112808953792</v>
      </c>
      <c r="AI209" s="470">
        <v>0.58692870897742544</v>
      </c>
      <c r="AJ209" s="471">
        <v>7.8959664297210422E-2</v>
      </c>
      <c r="AK209" s="218">
        <v>2241.112808953792</v>
      </c>
      <c r="AL209" s="470">
        <v>0.58692870897742544</v>
      </c>
      <c r="AM209" s="471">
        <v>7.8959664297210422E-2</v>
      </c>
      <c r="AN209" s="477">
        <v>0</v>
      </c>
      <c r="AO209" s="473">
        <v>0</v>
      </c>
      <c r="AP209" s="474">
        <v>0</v>
      </c>
      <c r="AQ209" s="352"/>
      <c r="AR209" s="352"/>
      <c r="AS209" s="352"/>
      <c r="AT209" s="352"/>
      <c r="AU209" s="352"/>
      <c r="AV209" s="352"/>
      <c r="AW209" s="352" t="s">
        <v>254</v>
      </c>
    </row>
    <row r="210" spans="2:49" x14ac:dyDescent="0.2">
      <c r="B210" s="460" t="s">
        <v>2430</v>
      </c>
      <c r="C210" s="460">
        <v>1221</v>
      </c>
      <c r="D210" s="460" t="s">
        <v>2332</v>
      </c>
      <c r="E210" s="460" t="s">
        <v>2333</v>
      </c>
      <c r="F210" s="460">
        <v>4</v>
      </c>
      <c r="G210" s="460">
        <v>3</v>
      </c>
      <c r="H210" s="461" t="s">
        <v>700</v>
      </c>
      <c r="I210" s="461" t="s">
        <v>872</v>
      </c>
      <c r="J210" s="461" t="s">
        <v>700</v>
      </c>
      <c r="K210" s="594"/>
      <c r="L210" s="594"/>
      <c r="M210" s="352">
        <v>1000</v>
      </c>
      <c r="N210" s="352" t="s">
        <v>698</v>
      </c>
      <c r="O210" s="460">
        <v>1221</v>
      </c>
      <c r="P210" s="460" t="s">
        <v>711</v>
      </c>
      <c r="Q210" s="460" t="s">
        <v>2266</v>
      </c>
      <c r="R210" s="460">
        <v>1221</v>
      </c>
      <c r="S210" s="460" t="s">
        <v>2333</v>
      </c>
      <c r="T210" s="462">
        <v>1</v>
      </c>
      <c r="U210" s="460" t="s">
        <v>2333</v>
      </c>
      <c r="V210" s="475">
        <v>0</v>
      </c>
      <c r="W210" s="463" t="s">
        <v>2278</v>
      </c>
      <c r="X210" s="463" t="s">
        <v>2278</v>
      </c>
      <c r="Y210" s="463" t="s">
        <v>2268</v>
      </c>
      <c r="Z210" s="463"/>
      <c r="AA210" s="463"/>
      <c r="AB210" s="464">
        <v>116.66777057651015</v>
      </c>
      <c r="AC210" s="465">
        <v>3.7847049543048475E-2</v>
      </c>
      <c r="AD210" s="465">
        <v>8.0464065090029291E-3</v>
      </c>
      <c r="AE210" s="476">
        <v>116.66777057651015</v>
      </c>
      <c r="AF210" s="467">
        <v>3.7847049543048475E-2</v>
      </c>
      <c r="AG210" s="468">
        <v>8.8802301951291865E-3</v>
      </c>
      <c r="AH210" s="218">
        <v>116.66777057651015</v>
      </c>
      <c r="AI210" s="470">
        <v>3.7847049543048475E-2</v>
      </c>
      <c r="AJ210" s="471">
        <v>8.6038304971309491E-3</v>
      </c>
      <c r="AK210" s="218">
        <v>116.66777057651015</v>
      </c>
      <c r="AL210" s="470">
        <v>3.7847049543048475E-2</v>
      </c>
      <c r="AM210" s="471">
        <v>8.6038304971309491E-3</v>
      </c>
      <c r="AN210" s="477">
        <v>0</v>
      </c>
      <c r="AO210" s="473">
        <v>0</v>
      </c>
      <c r="AP210" s="474">
        <v>0</v>
      </c>
      <c r="AQ210" s="352"/>
      <c r="AR210" s="352"/>
      <c r="AS210" s="352"/>
      <c r="AT210" s="352"/>
      <c r="AU210" s="352"/>
      <c r="AV210" s="352"/>
      <c r="AW210" s="352" t="s">
        <v>254</v>
      </c>
    </row>
    <row r="211" spans="2:49" x14ac:dyDescent="0.2">
      <c r="B211" s="460" t="s">
        <v>2427</v>
      </c>
      <c r="C211" s="460">
        <v>1221</v>
      </c>
      <c r="D211" s="460" t="s">
        <v>2334</v>
      </c>
      <c r="E211" s="460" t="s">
        <v>2324</v>
      </c>
      <c r="F211" s="460">
        <v>1</v>
      </c>
      <c r="G211" s="460">
        <v>3</v>
      </c>
      <c r="H211" s="461" t="s">
        <v>712</v>
      </c>
      <c r="I211" s="461" t="s">
        <v>713</v>
      </c>
      <c r="J211" s="461" t="s">
        <v>712</v>
      </c>
      <c r="K211" s="594"/>
      <c r="L211" s="594"/>
      <c r="M211" s="352">
        <v>1000</v>
      </c>
      <c r="N211" s="352" t="s">
        <v>698</v>
      </c>
      <c r="O211" s="460">
        <v>1221</v>
      </c>
      <c r="P211" s="460" t="s">
        <v>711</v>
      </c>
      <c r="Q211" s="460" t="s">
        <v>2280</v>
      </c>
      <c r="R211" s="460">
        <v>1221</v>
      </c>
      <c r="S211" s="460" t="s">
        <v>2324</v>
      </c>
      <c r="T211" s="462">
        <v>1</v>
      </c>
      <c r="U211" s="460" t="s">
        <v>2324</v>
      </c>
      <c r="V211" s="475">
        <v>0</v>
      </c>
      <c r="W211" s="463" t="s">
        <v>713</v>
      </c>
      <c r="X211" s="463" t="s">
        <v>713</v>
      </c>
      <c r="Y211" s="463" t="s">
        <v>713</v>
      </c>
      <c r="Z211" s="463"/>
      <c r="AA211" s="463"/>
      <c r="AB211" s="464">
        <v>7866.7637197647809</v>
      </c>
      <c r="AC211" s="465">
        <v>0.41307129102257462</v>
      </c>
      <c r="AD211" s="465">
        <v>1.9642491594778246E-2</v>
      </c>
      <c r="AE211" s="476">
        <v>7866.76371976478</v>
      </c>
      <c r="AF211" s="467">
        <v>0.41307129102257456</v>
      </c>
      <c r="AG211" s="468">
        <v>1.926945457265973E-2</v>
      </c>
      <c r="AH211" s="218">
        <v>7866.76371976478</v>
      </c>
      <c r="AI211" s="470">
        <v>0.41307129102257456</v>
      </c>
      <c r="AJ211" s="471">
        <v>1.951510637295302E-2</v>
      </c>
      <c r="AK211" s="218">
        <v>7866.76371976478</v>
      </c>
      <c r="AL211" s="470">
        <v>0.41307129102257456</v>
      </c>
      <c r="AM211" s="471">
        <v>1.951510637295302E-2</v>
      </c>
      <c r="AN211" s="477">
        <v>7866.76371976478</v>
      </c>
      <c r="AO211" s="473">
        <v>0.41307129102257456</v>
      </c>
      <c r="AP211" s="474">
        <v>1.9505609291761001E-2</v>
      </c>
      <c r="AQ211" s="352"/>
      <c r="AR211" s="352"/>
      <c r="AS211" s="352"/>
      <c r="AT211" s="352"/>
      <c r="AU211" s="352"/>
      <c r="AV211" s="352"/>
      <c r="AW211" s="352" t="s">
        <v>254</v>
      </c>
    </row>
    <row r="212" spans="2:49" x14ac:dyDescent="0.2">
      <c r="B212" s="460" t="s">
        <v>2428</v>
      </c>
      <c r="C212" s="460">
        <v>1221</v>
      </c>
      <c r="D212" s="460" t="s">
        <v>2335</v>
      </c>
      <c r="E212" s="460" t="s">
        <v>2327</v>
      </c>
      <c r="F212" s="460">
        <v>2</v>
      </c>
      <c r="G212" s="460">
        <v>3</v>
      </c>
      <c r="H212" s="461" t="s">
        <v>712</v>
      </c>
      <c r="I212" s="461" t="s">
        <v>713</v>
      </c>
      <c r="J212" s="461" t="s">
        <v>712</v>
      </c>
      <c r="K212" s="594"/>
      <c r="L212" s="594"/>
      <c r="M212" s="352">
        <v>1000</v>
      </c>
      <c r="N212" s="352" t="s">
        <v>698</v>
      </c>
      <c r="O212" s="460">
        <v>1221</v>
      </c>
      <c r="P212" s="460" t="s">
        <v>711</v>
      </c>
      <c r="Q212" s="460" t="s">
        <v>2280</v>
      </c>
      <c r="R212" s="460">
        <v>1221</v>
      </c>
      <c r="S212" s="460" t="s">
        <v>2324</v>
      </c>
      <c r="T212" s="462">
        <v>1</v>
      </c>
      <c r="U212" s="460" t="s">
        <v>2327</v>
      </c>
      <c r="V212" s="475">
        <v>0</v>
      </c>
      <c r="W212" s="463" t="s">
        <v>713</v>
      </c>
      <c r="X212" s="463" t="s">
        <v>713</v>
      </c>
      <c r="Y212" s="463" t="s">
        <v>713</v>
      </c>
      <c r="Z212" s="463"/>
      <c r="AA212" s="463"/>
      <c r="AB212" s="464">
        <v>6256.6692013445363</v>
      </c>
      <c r="AC212" s="465">
        <v>0.57436510792328099</v>
      </c>
      <c r="AD212" s="465">
        <v>2.0037599359938815E-2</v>
      </c>
      <c r="AE212" s="476">
        <v>6256.6692013445363</v>
      </c>
      <c r="AF212" s="467">
        <v>0.57436510792328099</v>
      </c>
      <c r="AG212" s="468">
        <v>1.9709661815965E-2</v>
      </c>
      <c r="AH212" s="218">
        <v>4499.6647408563995</v>
      </c>
      <c r="AI212" s="470">
        <v>0.41307129102257456</v>
      </c>
      <c r="AJ212" s="471">
        <v>1.474125751305418E-2</v>
      </c>
      <c r="AK212" s="218">
        <v>4499.6647408563995</v>
      </c>
      <c r="AL212" s="470">
        <v>0.41307129102257456</v>
      </c>
      <c r="AM212" s="471">
        <v>1.474125751305418E-2</v>
      </c>
      <c r="AN212" s="477">
        <v>4499.6647408563995</v>
      </c>
      <c r="AO212" s="473">
        <v>0.41307129102257456</v>
      </c>
      <c r="AP212" s="474">
        <v>1.473547799917402E-2</v>
      </c>
      <c r="AQ212" s="352"/>
      <c r="AR212" s="352"/>
      <c r="AS212" s="352"/>
      <c r="AT212" s="352"/>
      <c r="AU212" s="352"/>
      <c r="AV212" s="352"/>
      <c r="AW212" s="352" t="s">
        <v>254</v>
      </c>
    </row>
    <row r="213" spans="2:49" x14ac:dyDescent="0.2">
      <c r="B213" s="460" t="s">
        <v>2429</v>
      </c>
      <c r="C213" s="460">
        <v>1221</v>
      </c>
      <c r="D213" s="460" t="s">
        <v>2336</v>
      </c>
      <c r="E213" s="460" t="s">
        <v>2330</v>
      </c>
      <c r="F213" s="460">
        <v>3</v>
      </c>
      <c r="G213" s="460">
        <v>3</v>
      </c>
      <c r="H213" s="461" t="s">
        <v>712</v>
      </c>
      <c r="I213" s="461" t="s">
        <v>713</v>
      </c>
      <c r="J213" s="461" t="s">
        <v>712</v>
      </c>
      <c r="K213" s="594"/>
      <c r="L213" s="594"/>
      <c r="M213" s="352">
        <v>1000</v>
      </c>
      <c r="N213" s="352" t="s">
        <v>698</v>
      </c>
      <c r="O213" s="460">
        <v>1221</v>
      </c>
      <c r="P213" s="460" t="s">
        <v>711</v>
      </c>
      <c r="Q213" s="460" t="s">
        <v>2280</v>
      </c>
      <c r="R213" s="460">
        <v>1221</v>
      </c>
      <c r="S213" s="460" t="s">
        <v>2324</v>
      </c>
      <c r="T213" s="462">
        <v>1</v>
      </c>
      <c r="U213" s="460" t="s">
        <v>2330</v>
      </c>
      <c r="V213" s="475">
        <v>0</v>
      </c>
      <c r="W213" s="463" t="s">
        <v>713</v>
      </c>
      <c r="X213" s="463" t="s">
        <v>713</v>
      </c>
      <c r="Y213" s="463" t="s">
        <v>713</v>
      </c>
      <c r="Z213" s="463"/>
      <c r="AA213" s="463"/>
      <c r="AB213" s="464">
        <v>2615.9338966918017</v>
      </c>
      <c r="AC213" s="465">
        <v>0.68509121835431075</v>
      </c>
      <c r="AD213" s="465">
        <v>2.3162166859681452E-2</v>
      </c>
      <c r="AE213" s="476">
        <v>2615.9338966918017</v>
      </c>
      <c r="AF213" s="467">
        <v>0.68509121835431075</v>
      </c>
      <c r="AG213" s="468">
        <v>2.2804135591599283E-2</v>
      </c>
      <c r="AH213" s="218">
        <v>1577.260316563212</v>
      </c>
      <c r="AI213" s="470">
        <v>0.41307129102257456</v>
      </c>
      <c r="AJ213" s="471">
        <v>1.4274582812892901E-2</v>
      </c>
      <c r="AK213" s="218">
        <v>1577.260316563212</v>
      </c>
      <c r="AL213" s="470">
        <v>0.41307129102257456</v>
      </c>
      <c r="AM213" s="471">
        <v>1.4274582812892901E-2</v>
      </c>
      <c r="AN213" s="477">
        <v>1577.260316563212</v>
      </c>
      <c r="AO213" s="473">
        <v>0.41307129102257456</v>
      </c>
      <c r="AP213" s="474">
        <v>1.431142708762846E-2</v>
      </c>
      <c r="AQ213" s="352"/>
      <c r="AR213" s="352"/>
      <c r="AS213" s="352"/>
      <c r="AT213" s="352"/>
      <c r="AU213" s="352"/>
      <c r="AV213" s="352"/>
      <c r="AW213" s="352" t="s">
        <v>254</v>
      </c>
    </row>
    <row r="214" spans="2:49" x14ac:dyDescent="0.2">
      <c r="B214" s="460" t="s">
        <v>2430</v>
      </c>
      <c r="C214" s="460">
        <v>1221</v>
      </c>
      <c r="D214" s="460" t="s">
        <v>2337</v>
      </c>
      <c r="E214" s="460" t="s">
        <v>2333</v>
      </c>
      <c r="F214" s="460">
        <v>4</v>
      </c>
      <c r="G214" s="460">
        <v>3</v>
      </c>
      <c r="H214" s="461" t="s">
        <v>712</v>
      </c>
      <c r="I214" s="461" t="s">
        <v>713</v>
      </c>
      <c r="J214" s="461" t="s">
        <v>712</v>
      </c>
      <c r="K214" s="594"/>
      <c r="L214" s="594"/>
      <c r="M214" s="352">
        <v>1000</v>
      </c>
      <c r="N214" s="352" t="s">
        <v>698</v>
      </c>
      <c r="O214" s="460">
        <v>1221</v>
      </c>
      <c r="P214" s="460" t="s">
        <v>711</v>
      </c>
      <c r="Q214" s="460" t="s">
        <v>2280</v>
      </c>
      <c r="R214" s="460">
        <v>1221</v>
      </c>
      <c r="S214" s="460" t="s">
        <v>2333</v>
      </c>
      <c r="T214" s="462">
        <v>1</v>
      </c>
      <c r="U214" s="460" t="s">
        <v>2333</v>
      </c>
      <c r="V214" s="475">
        <v>0</v>
      </c>
      <c r="W214" s="463" t="s">
        <v>713</v>
      </c>
      <c r="X214" s="463" t="s">
        <v>713</v>
      </c>
      <c r="Y214" s="463" t="s">
        <v>713</v>
      </c>
      <c r="Z214" s="463"/>
      <c r="AA214" s="463"/>
      <c r="AB214" s="464">
        <v>2965.9442688060685</v>
      </c>
      <c r="AC214" s="465">
        <v>0.96215295045695159</v>
      </c>
      <c r="AD214" s="465">
        <v>2.2548504202037488E-2</v>
      </c>
      <c r="AE214" s="476">
        <v>2965.9442688060685</v>
      </c>
      <c r="AF214" s="467">
        <v>0.96215295045695148</v>
      </c>
      <c r="AG214" s="468">
        <v>2.231751087209476E-2</v>
      </c>
      <c r="AH214" s="218">
        <v>2965.9442688060685</v>
      </c>
      <c r="AI214" s="470">
        <v>0.96215295045695148</v>
      </c>
      <c r="AJ214" s="471">
        <v>2.2388612959503392E-2</v>
      </c>
      <c r="AK214" s="218">
        <v>2965.9442688060685</v>
      </c>
      <c r="AL214" s="470">
        <v>0.96215295045695148</v>
      </c>
      <c r="AM214" s="471">
        <v>2.2388612959503392E-2</v>
      </c>
      <c r="AN214" s="477">
        <v>2965.9442688060685</v>
      </c>
      <c r="AO214" s="473">
        <v>0.96215295045695148</v>
      </c>
      <c r="AP214" s="474">
        <v>2.2395727696400844E-2</v>
      </c>
      <c r="AQ214" s="352"/>
      <c r="AR214" s="352"/>
      <c r="AS214" s="352"/>
      <c r="AT214" s="352"/>
      <c r="AU214" s="352"/>
      <c r="AV214" s="352"/>
      <c r="AW214" s="352" t="s">
        <v>254</v>
      </c>
    </row>
    <row r="215" spans="2:49" x14ac:dyDescent="0.2">
      <c r="B215" s="460" t="s">
        <v>2427</v>
      </c>
      <c r="C215" s="460">
        <v>1221</v>
      </c>
      <c r="D215" s="460" t="s">
        <v>2338</v>
      </c>
      <c r="E215" s="460" t="s">
        <v>2324</v>
      </c>
      <c r="F215" s="460">
        <v>1</v>
      </c>
      <c r="G215" s="460">
        <v>3</v>
      </c>
      <c r="H215" s="461" t="s">
        <v>746</v>
      </c>
      <c r="I215" s="461" t="s">
        <v>762</v>
      </c>
      <c r="J215" s="461" t="s">
        <v>700</v>
      </c>
      <c r="K215" s="594"/>
      <c r="L215" s="594"/>
      <c r="M215" s="352">
        <v>1000</v>
      </c>
      <c r="N215" s="352" t="s">
        <v>698</v>
      </c>
      <c r="O215" s="460">
        <v>1221</v>
      </c>
      <c r="P215" s="460" t="s">
        <v>711</v>
      </c>
      <c r="Q215" s="460" t="s">
        <v>2266</v>
      </c>
      <c r="R215" s="460">
        <v>1221</v>
      </c>
      <c r="S215" s="460" t="s">
        <v>2324</v>
      </c>
      <c r="T215" s="462">
        <v>1</v>
      </c>
      <c r="U215" s="460" t="s">
        <v>2324</v>
      </c>
      <c r="V215" s="475">
        <v>0</v>
      </c>
      <c r="W215" s="463" t="s">
        <v>2268</v>
      </c>
      <c r="X215" s="463" t="s">
        <v>2268</v>
      </c>
      <c r="Y215" s="463" t="s">
        <v>2267</v>
      </c>
      <c r="Z215" s="463"/>
      <c r="AA215" s="463"/>
      <c r="AB215" s="464">
        <v>0</v>
      </c>
      <c r="AC215" s="465">
        <v>0</v>
      </c>
      <c r="AD215" s="465">
        <v>0</v>
      </c>
      <c r="AE215" s="476">
        <v>0</v>
      </c>
      <c r="AF215" s="467">
        <v>0</v>
      </c>
      <c r="AG215" s="468">
        <v>0</v>
      </c>
      <c r="AH215" s="218">
        <v>0</v>
      </c>
      <c r="AI215" s="470">
        <v>0</v>
      </c>
      <c r="AJ215" s="471">
        <v>0</v>
      </c>
      <c r="AK215" s="218">
        <v>0</v>
      </c>
      <c r="AL215" s="470">
        <v>0</v>
      </c>
      <c r="AM215" s="471">
        <v>0</v>
      </c>
      <c r="AN215" s="477">
        <v>11177.802897998199</v>
      </c>
      <c r="AO215" s="473">
        <v>0.58692870897742544</v>
      </c>
      <c r="AP215" s="474">
        <v>0.11812426773862225</v>
      </c>
      <c r="AQ215" s="352"/>
      <c r="AR215" s="352"/>
      <c r="AS215" s="352"/>
      <c r="AT215" s="352"/>
      <c r="AU215" s="352"/>
      <c r="AV215" s="352"/>
      <c r="AW215" s="352" t="s">
        <v>254</v>
      </c>
    </row>
    <row r="216" spans="2:49" x14ac:dyDescent="0.2">
      <c r="B216" s="460" t="s">
        <v>2428</v>
      </c>
      <c r="C216" s="460">
        <v>1221</v>
      </c>
      <c r="D216" s="460" t="s">
        <v>2339</v>
      </c>
      <c r="E216" s="460" t="s">
        <v>2327</v>
      </c>
      <c r="F216" s="460">
        <v>2</v>
      </c>
      <c r="G216" s="460">
        <v>3</v>
      </c>
      <c r="H216" s="461" t="s">
        <v>746</v>
      </c>
      <c r="I216" s="461" t="s">
        <v>762</v>
      </c>
      <c r="J216" s="461" t="s">
        <v>700</v>
      </c>
      <c r="K216" s="594"/>
      <c r="L216" s="594"/>
      <c r="M216" s="352">
        <v>1000</v>
      </c>
      <c r="N216" s="352" t="s">
        <v>698</v>
      </c>
      <c r="O216" s="460">
        <v>1221</v>
      </c>
      <c r="P216" s="460" t="s">
        <v>711</v>
      </c>
      <c r="Q216" s="460" t="s">
        <v>2266</v>
      </c>
      <c r="R216" s="460">
        <v>1221</v>
      </c>
      <c r="S216" s="460" t="s">
        <v>2324</v>
      </c>
      <c r="T216" s="462">
        <v>1</v>
      </c>
      <c r="U216" s="460" t="s">
        <v>2327</v>
      </c>
      <c r="V216" s="475">
        <v>0</v>
      </c>
      <c r="W216" s="463" t="s">
        <v>2268</v>
      </c>
      <c r="X216" s="463" t="s">
        <v>2268</v>
      </c>
      <c r="Y216" s="463" t="s">
        <v>2267</v>
      </c>
      <c r="Z216" s="463"/>
      <c r="AA216" s="463"/>
      <c r="AB216" s="464">
        <v>0</v>
      </c>
      <c r="AC216" s="465">
        <v>0</v>
      </c>
      <c r="AD216" s="465">
        <v>0</v>
      </c>
      <c r="AE216" s="476">
        <v>0</v>
      </c>
      <c r="AF216" s="467">
        <v>0</v>
      </c>
      <c r="AG216" s="468">
        <v>0</v>
      </c>
      <c r="AH216" s="218">
        <v>0</v>
      </c>
      <c r="AI216" s="470">
        <v>0</v>
      </c>
      <c r="AJ216" s="471">
        <v>0</v>
      </c>
      <c r="AK216" s="218">
        <v>0</v>
      </c>
      <c r="AL216" s="470">
        <v>0</v>
      </c>
      <c r="AM216" s="471">
        <v>0</v>
      </c>
      <c r="AN216" s="477">
        <v>6393.5269155216038</v>
      </c>
      <c r="AO216" s="473">
        <v>0.58692870897742544</v>
      </c>
      <c r="AP216" s="474">
        <v>0.10163384274939946</v>
      </c>
      <c r="AQ216" s="352"/>
      <c r="AR216" s="352"/>
      <c r="AS216" s="352"/>
      <c r="AT216" s="352"/>
      <c r="AU216" s="352"/>
      <c r="AV216" s="352"/>
      <c r="AW216" s="352" t="s">
        <v>254</v>
      </c>
    </row>
    <row r="217" spans="2:49" x14ac:dyDescent="0.2">
      <c r="B217" s="460" t="s">
        <v>2429</v>
      </c>
      <c r="C217" s="460">
        <v>1221</v>
      </c>
      <c r="D217" s="460" t="s">
        <v>2340</v>
      </c>
      <c r="E217" s="460" t="s">
        <v>2330</v>
      </c>
      <c r="F217" s="460">
        <v>3</v>
      </c>
      <c r="G217" s="460">
        <v>3</v>
      </c>
      <c r="H217" s="461" t="s">
        <v>746</v>
      </c>
      <c r="I217" s="461" t="s">
        <v>762</v>
      </c>
      <c r="J217" s="461" t="s">
        <v>700</v>
      </c>
      <c r="K217" s="594"/>
      <c r="L217" s="594"/>
      <c r="M217" s="352">
        <v>1000</v>
      </c>
      <c r="N217" s="352" t="s">
        <v>698</v>
      </c>
      <c r="O217" s="460">
        <v>1221</v>
      </c>
      <c r="P217" s="460" t="s">
        <v>711</v>
      </c>
      <c r="Q217" s="460" t="s">
        <v>2266</v>
      </c>
      <c r="R217" s="460">
        <v>1221</v>
      </c>
      <c r="S217" s="460" t="s">
        <v>2324</v>
      </c>
      <c r="T217" s="462">
        <v>1</v>
      </c>
      <c r="U217" s="460" t="s">
        <v>2330</v>
      </c>
      <c r="V217" s="475">
        <v>0</v>
      </c>
      <c r="W217" s="463" t="s">
        <v>2268</v>
      </c>
      <c r="X217" s="463" t="s">
        <v>2268</v>
      </c>
      <c r="Y217" s="463" t="s">
        <v>2267</v>
      </c>
      <c r="Z217" s="463"/>
      <c r="AA217" s="463"/>
      <c r="AB217" s="464">
        <v>0</v>
      </c>
      <c r="AC217" s="465">
        <v>0</v>
      </c>
      <c r="AD217" s="465">
        <v>0</v>
      </c>
      <c r="AE217" s="476">
        <v>0</v>
      </c>
      <c r="AF217" s="467">
        <v>0</v>
      </c>
      <c r="AG217" s="468">
        <v>0</v>
      </c>
      <c r="AH217" s="218">
        <v>0</v>
      </c>
      <c r="AI217" s="470">
        <v>0</v>
      </c>
      <c r="AJ217" s="471">
        <v>0</v>
      </c>
      <c r="AK217" s="218">
        <v>0</v>
      </c>
      <c r="AL217" s="470">
        <v>0</v>
      </c>
      <c r="AM217" s="471">
        <v>0</v>
      </c>
      <c r="AN217" s="477">
        <v>2241.112808953792</v>
      </c>
      <c r="AO217" s="473">
        <v>0.58692870897742544</v>
      </c>
      <c r="AP217" s="474">
        <v>8.9648596815990592E-2</v>
      </c>
      <c r="AQ217" s="352"/>
      <c r="AR217" s="352"/>
      <c r="AS217" s="352"/>
      <c r="AT217" s="352"/>
      <c r="AU217" s="352"/>
      <c r="AV217" s="352"/>
      <c r="AW217" s="352" t="s">
        <v>254</v>
      </c>
    </row>
    <row r="218" spans="2:49" x14ac:dyDescent="0.2">
      <c r="B218" s="460" t="s">
        <v>2430</v>
      </c>
      <c r="C218" s="460">
        <v>1221</v>
      </c>
      <c r="D218" s="460" t="s">
        <v>2341</v>
      </c>
      <c r="E218" s="460" t="s">
        <v>2333</v>
      </c>
      <c r="F218" s="460">
        <v>4</v>
      </c>
      <c r="G218" s="460">
        <v>3</v>
      </c>
      <c r="H218" s="461" t="s">
        <v>746</v>
      </c>
      <c r="I218" s="461" t="s">
        <v>762</v>
      </c>
      <c r="J218" s="461" t="s">
        <v>700</v>
      </c>
      <c r="K218" s="594"/>
      <c r="L218" s="594"/>
      <c r="M218" s="352">
        <v>1000</v>
      </c>
      <c r="N218" s="352" t="s">
        <v>698</v>
      </c>
      <c r="O218" s="460">
        <v>1221</v>
      </c>
      <c r="P218" s="460" t="s">
        <v>711</v>
      </c>
      <c r="Q218" s="460" t="s">
        <v>2266</v>
      </c>
      <c r="R218" s="460">
        <v>1221</v>
      </c>
      <c r="S218" s="460" t="s">
        <v>2333</v>
      </c>
      <c r="T218" s="462">
        <v>1</v>
      </c>
      <c r="U218" s="460" t="s">
        <v>2333</v>
      </c>
      <c r="V218" s="475">
        <v>0</v>
      </c>
      <c r="W218" s="463" t="s">
        <v>2268</v>
      </c>
      <c r="X218" s="463" t="s">
        <v>2268</v>
      </c>
      <c r="Y218" s="463" t="s">
        <v>2278</v>
      </c>
      <c r="Z218" s="463"/>
      <c r="AA218" s="463"/>
      <c r="AB218" s="464">
        <v>0</v>
      </c>
      <c r="AC218" s="465">
        <v>0</v>
      </c>
      <c r="AD218" s="465">
        <v>0</v>
      </c>
      <c r="AE218" s="476">
        <v>0</v>
      </c>
      <c r="AF218" s="467">
        <v>0</v>
      </c>
      <c r="AG218" s="468">
        <v>0</v>
      </c>
      <c r="AH218" s="218">
        <v>0</v>
      </c>
      <c r="AI218" s="470">
        <v>0</v>
      </c>
      <c r="AJ218" s="471">
        <v>0</v>
      </c>
      <c r="AK218" s="218">
        <v>0</v>
      </c>
      <c r="AL218" s="470">
        <v>0</v>
      </c>
      <c r="AM218" s="471">
        <v>0</v>
      </c>
      <c r="AN218" s="477">
        <v>116.66777057651015</v>
      </c>
      <c r="AO218" s="473">
        <v>3.7847049543048475E-2</v>
      </c>
      <c r="AP218" s="474">
        <v>9.7253786330987434E-3</v>
      </c>
      <c r="AQ218" s="352"/>
      <c r="AR218" s="352"/>
      <c r="AS218" s="352"/>
      <c r="AT218" s="352"/>
      <c r="AU218" s="352"/>
      <c r="AV218" s="352"/>
      <c r="AW218" s="352" t="s">
        <v>254</v>
      </c>
    </row>
    <row r="219" spans="2:49" x14ac:dyDescent="0.2">
      <c r="B219" s="460" t="s">
        <v>2427</v>
      </c>
      <c r="C219" s="460">
        <v>1221</v>
      </c>
      <c r="D219" s="460" t="s">
        <v>2342</v>
      </c>
      <c r="E219" s="460" t="s">
        <v>2324</v>
      </c>
      <c r="F219" s="460">
        <v>1</v>
      </c>
      <c r="G219" s="460">
        <v>3</v>
      </c>
      <c r="H219" s="461" t="s">
        <v>748</v>
      </c>
      <c r="I219" s="461" t="s">
        <v>765</v>
      </c>
      <c r="J219" s="461" t="s">
        <v>700</v>
      </c>
      <c r="K219" s="594"/>
      <c r="L219" s="594"/>
      <c r="M219" s="352">
        <v>1000</v>
      </c>
      <c r="N219" s="352" t="s">
        <v>698</v>
      </c>
      <c r="O219" s="460">
        <v>1221</v>
      </c>
      <c r="P219" s="460" t="s">
        <v>711</v>
      </c>
      <c r="Q219" s="460" t="s">
        <v>2289</v>
      </c>
      <c r="R219" s="460">
        <v>1221</v>
      </c>
      <c r="S219" s="460" t="s">
        <v>2324</v>
      </c>
      <c r="T219" s="462">
        <v>1</v>
      </c>
      <c r="U219" s="460" t="s">
        <v>2324</v>
      </c>
      <c r="V219" s="475">
        <v>0</v>
      </c>
      <c r="W219" s="463" t="s">
        <v>2268</v>
      </c>
      <c r="X219" s="463" t="s">
        <v>2268</v>
      </c>
      <c r="Y219" s="463" t="s">
        <v>2290</v>
      </c>
      <c r="Z219" s="463"/>
      <c r="AA219" s="463"/>
      <c r="AB219" s="464">
        <v>0</v>
      </c>
      <c r="AC219" s="465">
        <v>0</v>
      </c>
      <c r="AD219" s="465">
        <v>0</v>
      </c>
      <c r="AE219" s="476">
        <v>0</v>
      </c>
      <c r="AF219" s="467">
        <v>0</v>
      </c>
      <c r="AG219" s="468">
        <v>0</v>
      </c>
      <c r="AH219" s="218">
        <v>0</v>
      </c>
      <c r="AI219" s="470">
        <v>0</v>
      </c>
      <c r="AJ219" s="471">
        <v>0</v>
      </c>
      <c r="AK219" s="218">
        <v>0</v>
      </c>
      <c r="AL219" s="470">
        <v>0</v>
      </c>
      <c r="AM219" s="471">
        <v>0</v>
      </c>
      <c r="AN219" s="477">
        <v>0</v>
      </c>
      <c r="AO219" s="473">
        <v>0</v>
      </c>
      <c r="AP219" s="474">
        <v>0</v>
      </c>
      <c r="AQ219" s="352"/>
      <c r="AR219" s="352"/>
      <c r="AS219" s="352"/>
      <c r="AT219" s="352"/>
      <c r="AU219" s="352"/>
      <c r="AV219" s="352"/>
      <c r="AW219" s="352" t="s">
        <v>254</v>
      </c>
    </row>
    <row r="220" spans="2:49" x14ac:dyDescent="0.2">
      <c r="B220" s="460" t="s">
        <v>2428</v>
      </c>
      <c r="C220" s="460">
        <v>1221</v>
      </c>
      <c r="D220" s="460" t="s">
        <v>2343</v>
      </c>
      <c r="E220" s="460" t="s">
        <v>2327</v>
      </c>
      <c r="F220" s="460">
        <v>2</v>
      </c>
      <c r="G220" s="460">
        <v>3</v>
      </c>
      <c r="H220" s="461" t="s">
        <v>748</v>
      </c>
      <c r="I220" s="461" t="s">
        <v>765</v>
      </c>
      <c r="J220" s="461" t="s">
        <v>700</v>
      </c>
      <c r="K220" s="594"/>
      <c r="L220" s="594"/>
      <c r="M220" s="352">
        <v>1000</v>
      </c>
      <c r="N220" s="352" t="s">
        <v>698</v>
      </c>
      <c r="O220" s="460">
        <v>1221</v>
      </c>
      <c r="P220" s="460" t="s">
        <v>711</v>
      </c>
      <c r="Q220" s="460" t="s">
        <v>2289</v>
      </c>
      <c r="R220" s="460">
        <v>1221</v>
      </c>
      <c r="S220" s="460" t="s">
        <v>2324</v>
      </c>
      <c r="T220" s="462">
        <v>1</v>
      </c>
      <c r="U220" s="460" t="s">
        <v>2327</v>
      </c>
      <c r="V220" s="475">
        <v>0</v>
      </c>
      <c r="W220" s="463" t="s">
        <v>2268</v>
      </c>
      <c r="X220" s="463" t="s">
        <v>2268</v>
      </c>
      <c r="Y220" s="463" t="s">
        <v>2290</v>
      </c>
      <c r="Z220" s="463"/>
      <c r="AA220" s="463"/>
      <c r="AB220" s="464">
        <v>0</v>
      </c>
      <c r="AC220" s="465">
        <v>0</v>
      </c>
      <c r="AD220" s="465">
        <v>0</v>
      </c>
      <c r="AE220" s="476">
        <v>0</v>
      </c>
      <c r="AF220" s="467">
        <v>0</v>
      </c>
      <c r="AG220" s="468">
        <v>0</v>
      </c>
      <c r="AH220" s="218">
        <v>0</v>
      </c>
      <c r="AI220" s="470">
        <v>0</v>
      </c>
      <c r="AJ220" s="471">
        <v>0</v>
      </c>
      <c r="AK220" s="218">
        <v>0</v>
      </c>
      <c r="AL220" s="470">
        <v>0</v>
      </c>
      <c r="AM220" s="471">
        <v>0</v>
      </c>
      <c r="AN220" s="477">
        <v>0</v>
      </c>
      <c r="AO220" s="473">
        <v>0</v>
      </c>
      <c r="AP220" s="474">
        <v>0</v>
      </c>
      <c r="AQ220" s="352"/>
      <c r="AR220" s="352"/>
      <c r="AS220" s="352"/>
      <c r="AT220" s="352"/>
      <c r="AU220" s="352"/>
      <c r="AV220" s="352"/>
      <c r="AW220" s="352" t="s">
        <v>254</v>
      </c>
    </row>
    <row r="221" spans="2:49" x14ac:dyDescent="0.2">
      <c r="B221" s="460" t="s">
        <v>2429</v>
      </c>
      <c r="C221" s="460">
        <v>1221</v>
      </c>
      <c r="D221" s="460" t="s">
        <v>2344</v>
      </c>
      <c r="E221" s="460" t="s">
        <v>2330</v>
      </c>
      <c r="F221" s="460">
        <v>3</v>
      </c>
      <c r="G221" s="460">
        <v>3</v>
      </c>
      <c r="H221" s="461" t="s">
        <v>748</v>
      </c>
      <c r="I221" s="461" t="s">
        <v>765</v>
      </c>
      <c r="J221" s="461" t="s">
        <v>700</v>
      </c>
      <c r="K221" s="594"/>
      <c r="L221" s="594"/>
      <c r="M221" s="352">
        <v>1000</v>
      </c>
      <c r="N221" s="352" t="s">
        <v>698</v>
      </c>
      <c r="O221" s="460">
        <v>1221</v>
      </c>
      <c r="P221" s="460" t="s">
        <v>711</v>
      </c>
      <c r="Q221" s="460" t="s">
        <v>2289</v>
      </c>
      <c r="R221" s="460">
        <v>1221</v>
      </c>
      <c r="S221" s="460" t="s">
        <v>2324</v>
      </c>
      <c r="T221" s="462">
        <v>1</v>
      </c>
      <c r="U221" s="460" t="s">
        <v>2330</v>
      </c>
      <c r="V221" s="475">
        <v>0</v>
      </c>
      <c r="W221" s="463" t="s">
        <v>2268</v>
      </c>
      <c r="X221" s="463" t="s">
        <v>2268</v>
      </c>
      <c r="Y221" s="463" t="s">
        <v>2290</v>
      </c>
      <c r="Z221" s="463"/>
      <c r="AA221" s="463"/>
      <c r="AB221" s="464">
        <v>0</v>
      </c>
      <c r="AC221" s="465">
        <v>0</v>
      </c>
      <c r="AD221" s="465">
        <v>0</v>
      </c>
      <c r="AE221" s="476">
        <v>0</v>
      </c>
      <c r="AF221" s="467">
        <v>0</v>
      </c>
      <c r="AG221" s="468">
        <v>0</v>
      </c>
      <c r="AH221" s="218">
        <v>0</v>
      </c>
      <c r="AI221" s="470">
        <v>0</v>
      </c>
      <c r="AJ221" s="471">
        <v>0</v>
      </c>
      <c r="AK221" s="218">
        <v>0</v>
      </c>
      <c r="AL221" s="470">
        <v>0</v>
      </c>
      <c r="AM221" s="471">
        <v>0</v>
      </c>
      <c r="AN221" s="477">
        <v>0</v>
      </c>
      <c r="AO221" s="473">
        <v>0</v>
      </c>
      <c r="AP221" s="474">
        <v>0</v>
      </c>
      <c r="AQ221" s="352"/>
      <c r="AR221" s="352"/>
      <c r="AS221" s="352"/>
      <c r="AT221" s="352"/>
      <c r="AU221" s="352"/>
      <c r="AV221" s="352"/>
      <c r="AW221" s="352" t="s">
        <v>254</v>
      </c>
    </row>
    <row r="222" spans="2:49" x14ac:dyDescent="0.2">
      <c r="B222" s="460" t="s">
        <v>2430</v>
      </c>
      <c r="C222" s="460">
        <v>1221</v>
      </c>
      <c r="D222" s="460" t="s">
        <v>2345</v>
      </c>
      <c r="E222" s="460" t="s">
        <v>2333</v>
      </c>
      <c r="F222" s="460">
        <v>4</v>
      </c>
      <c r="G222" s="460">
        <v>3</v>
      </c>
      <c r="H222" s="461" t="s">
        <v>748</v>
      </c>
      <c r="I222" s="461" t="s">
        <v>765</v>
      </c>
      <c r="J222" s="461" t="s">
        <v>700</v>
      </c>
      <c r="K222" s="594"/>
      <c r="L222" s="594"/>
      <c r="M222" s="352">
        <v>1000</v>
      </c>
      <c r="N222" s="352" t="s">
        <v>698</v>
      </c>
      <c r="O222" s="460">
        <v>1221</v>
      </c>
      <c r="P222" s="460" t="s">
        <v>711</v>
      </c>
      <c r="Q222" s="460" t="s">
        <v>2289</v>
      </c>
      <c r="R222" s="460">
        <v>1221</v>
      </c>
      <c r="S222" s="460" t="s">
        <v>2333</v>
      </c>
      <c r="T222" s="462">
        <v>1</v>
      </c>
      <c r="U222" s="460" t="s">
        <v>2333</v>
      </c>
      <c r="V222" s="475">
        <v>0</v>
      </c>
      <c r="W222" s="463" t="s">
        <v>2268</v>
      </c>
      <c r="X222" s="463" t="s">
        <v>2268</v>
      </c>
      <c r="Y222" s="463" t="s">
        <v>2290</v>
      </c>
      <c r="Z222" s="463"/>
      <c r="AA222" s="463"/>
      <c r="AB222" s="464">
        <v>0</v>
      </c>
      <c r="AC222" s="465">
        <v>0</v>
      </c>
      <c r="AD222" s="465">
        <v>0</v>
      </c>
      <c r="AE222" s="476">
        <v>0</v>
      </c>
      <c r="AF222" s="467">
        <v>0</v>
      </c>
      <c r="AG222" s="468">
        <v>0</v>
      </c>
      <c r="AH222" s="218">
        <v>0</v>
      </c>
      <c r="AI222" s="470">
        <v>0</v>
      </c>
      <c r="AJ222" s="471">
        <v>0</v>
      </c>
      <c r="AK222" s="218">
        <v>0</v>
      </c>
      <c r="AL222" s="470">
        <v>0</v>
      </c>
      <c r="AM222" s="471">
        <v>0</v>
      </c>
      <c r="AN222" s="477">
        <v>0</v>
      </c>
      <c r="AO222" s="473">
        <v>0</v>
      </c>
      <c r="AP222" s="474">
        <v>0</v>
      </c>
      <c r="AQ222" s="352"/>
      <c r="AR222" s="352"/>
      <c r="AS222" s="352"/>
      <c r="AT222" s="352"/>
      <c r="AU222" s="352"/>
      <c r="AV222" s="352"/>
      <c r="AW222" s="352" t="s">
        <v>254</v>
      </c>
    </row>
    <row r="223" spans="2:49" x14ac:dyDescent="0.2">
      <c r="B223" s="460" t="s">
        <v>2427</v>
      </c>
      <c r="C223" s="460">
        <v>1221</v>
      </c>
      <c r="D223" s="460" t="s">
        <v>2346</v>
      </c>
      <c r="E223" s="460" t="s">
        <v>2324</v>
      </c>
      <c r="F223" s="460">
        <v>1</v>
      </c>
      <c r="G223" s="460">
        <v>3</v>
      </c>
      <c r="H223" s="461" t="s">
        <v>752</v>
      </c>
      <c r="I223" s="461" t="s">
        <v>964</v>
      </c>
      <c r="J223" s="461" t="s">
        <v>752</v>
      </c>
      <c r="K223" s="594"/>
      <c r="L223" s="594"/>
      <c r="M223" s="352">
        <v>1000</v>
      </c>
      <c r="N223" s="352" t="s">
        <v>698</v>
      </c>
      <c r="O223" s="460">
        <v>1221</v>
      </c>
      <c r="P223" s="460" t="s">
        <v>711</v>
      </c>
      <c r="Q223" s="460" t="s">
        <v>2266</v>
      </c>
      <c r="R223" s="460">
        <v>1221</v>
      </c>
      <c r="S223" s="460" t="s">
        <v>2324</v>
      </c>
      <c r="T223" s="462">
        <v>1</v>
      </c>
      <c r="U223" s="460" t="s">
        <v>2324</v>
      </c>
      <c r="V223" s="475">
        <v>0</v>
      </c>
      <c r="W223" s="463" t="s">
        <v>2278</v>
      </c>
      <c r="X223" s="463" t="s">
        <v>2278</v>
      </c>
      <c r="Y223" s="463" t="s">
        <v>2278</v>
      </c>
      <c r="Z223" s="463"/>
      <c r="AA223" s="463"/>
      <c r="AB223" s="464">
        <v>0</v>
      </c>
      <c r="AC223" s="465">
        <v>0</v>
      </c>
      <c r="AD223" s="465">
        <v>0</v>
      </c>
      <c r="AE223" s="476">
        <v>0</v>
      </c>
      <c r="AF223" s="467">
        <v>0</v>
      </c>
      <c r="AG223" s="468">
        <v>0</v>
      </c>
      <c r="AH223" s="218">
        <v>0</v>
      </c>
      <c r="AI223" s="470">
        <v>0</v>
      </c>
      <c r="AJ223" s="471">
        <v>0</v>
      </c>
      <c r="AK223" s="218">
        <v>0</v>
      </c>
      <c r="AL223" s="470">
        <v>0</v>
      </c>
      <c r="AM223" s="471">
        <v>0</v>
      </c>
      <c r="AN223" s="477">
        <v>0</v>
      </c>
      <c r="AO223" s="473">
        <v>0</v>
      </c>
      <c r="AP223" s="474">
        <v>0</v>
      </c>
      <c r="AQ223" s="352"/>
      <c r="AR223" s="352"/>
      <c r="AS223" s="352"/>
      <c r="AT223" s="352"/>
      <c r="AU223" s="352"/>
      <c r="AV223" s="352"/>
      <c r="AW223" s="352" t="s">
        <v>254</v>
      </c>
    </row>
    <row r="224" spans="2:49" x14ac:dyDescent="0.2">
      <c r="B224" s="460" t="s">
        <v>2428</v>
      </c>
      <c r="C224" s="460">
        <v>1221</v>
      </c>
      <c r="D224" s="460" t="s">
        <v>2347</v>
      </c>
      <c r="E224" s="460" t="s">
        <v>2327</v>
      </c>
      <c r="F224" s="460">
        <v>2</v>
      </c>
      <c r="G224" s="460">
        <v>3</v>
      </c>
      <c r="H224" s="461" t="s">
        <v>752</v>
      </c>
      <c r="I224" s="461" t="s">
        <v>964</v>
      </c>
      <c r="J224" s="461" t="s">
        <v>752</v>
      </c>
      <c r="K224" s="594"/>
      <c r="L224" s="594"/>
      <c r="M224" s="352">
        <v>1000</v>
      </c>
      <c r="N224" s="352" t="s">
        <v>698</v>
      </c>
      <c r="O224" s="460">
        <v>1221</v>
      </c>
      <c r="P224" s="460" t="s">
        <v>711</v>
      </c>
      <c r="Q224" s="460" t="s">
        <v>2266</v>
      </c>
      <c r="R224" s="460">
        <v>1221</v>
      </c>
      <c r="S224" s="460" t="s">
        <v>2324</v>
      </c>
      <c r="T224" s="462">
        <v>1</v>
      </c>
      <c r="U224" s="460" t="s">
        <v>2327</v>
      </c>
      <c r="V224" s="475">
        <v>0</v>
      </c>
      <c r="W224" s="463" t="s">
        <v>2278</v>
      </c>
      <c r="X224" s="463" t="s">
        <v>2278</v>
      </c>
      <c r="Y224" s="463" t="s">
        <v>2278</v>
      </c>
      <c r="Z224" s="463"/>
      <c r="AA224" s="463"/>
      <c r="AB224" s="464">
        <v>0</v>
      </c>
      <c r="AC224" s="465">
        <v>0</v>
      </c>
      <c r="AD224" s="465">
        <v>0</v>
      </c>
      <c r="AE224" s="476">
        <v>0</v>
      </c>
      <c r="AF224" s="467">
        <v>0</v>
      </c>
      <c r="AG224" s="468">
        <v>0</v>
      </c>
      <c r="AH224" s="218">
        <v>0</v>
      </c>
      <c r="AI224" s="470">
        <v>0</v>
      </c>
      <c r="AJ224" s="471">
        <v>0</v>
      </c>
      <c r="AK224" s="218">
        <v>0</v>
      </c>
      <c r="AL224" s="470">
        <v>0</v>
      </c>
      <c r="AM224" s="471">
        <v>0</v>
      </c>
      <c r="AN224" s="477">
        <v>0</v>
      </c>
      <c r="AO224" s="473">
        <v>0</v>
      </c>
      <c r="AP224" s="474">
        <v>0</v>
      </c>
      <c r="AQ224" s="352"/>
      <c r="AR224" s="352"/>
      <c r="AS224" s="352"/>
      <c r="AT224" s="352"/>
      <c r="AU224" s="352"/>
      <c r="AV224" s="352"/>
      <c r="AW224" s="352" t="s">
        <v>254</v>
      </c>
    </row>
    <row r="225" spans="2:49" x14ac:dyDescent="0.2">
      <c r="B225" s="460" t="s">
        <v>2429</v>
      </c>
      <c r="C225" s="460">
        <v>1221</v>
      </c>
      <c r="D225" s="460" t="s">
        <v>2348</v>
      </c>
      <c r="E225" s="460" t="s">
        <v>2330</v>
      </c>
      <c r="F225" s="460">
        <v>3</v>
      </c>
      <c r="G225" s="460">
        <v>3</v>
      </c>
      <c r="H225" s="461" t="s">
        <v>752</v>
      </c>
      <c r="I225" s="461" t="s">
        <v>964</v>
      </c>
      <c r="J225" s="461" t="s">
        <v>752</v>
      </c>
      <c r="K225" s="594"/>
      <c r="L225" s="594"/>
      <c r="M225" s="352">
        <v>1000</v>
      </c>
      <c r="N225" s="352" t="s">
        <v>698</v>
      </c>
      <c r="O225" s="460">
        <v>1221</v>
      </c>
      <c r="P225" s="460" t="s">
        <v>711</v>
      </c>
      <c r="Q225" s="460" t="s">
        <v>2266</v>
      </c>
      <c r="R225" s="460">
        <v>1221</v>
      </c>
      <c r="S225" s="460" t="s">
        <v>2324</v>
      </c>
      <c r="T225" s="462">
        <v>1</v>
      </c>
      <c r="U225" s="460" t="s">
        <v>2330</v>
      </c>
      <c r="V225" s="475">
        <v>0</v>
      </c>
      <c r="W225" s="463" t="s">
        <v>2278</v>
      </c>
      <c r="X225" s="463" t="s">
        <v>2278</v>
      </c>
      <c r="Y225" s="463" t="s">
        <v>2278</v>
      </c>
      <c r="Z225" s="463"/>
      <c r="AA225" s="463"/>
      <c r="AB225" s="464">
        <v>0</v>
      </c>
      <c r="AC225" s="465">
        <v>0</v>
      </c>
      <c r="AD225" s="465">
        <v>0</v>
      </c>
      <c r="AE225" s="476">
        <v>0</v>
      </c>
      <c r="AF225" s="467">
        <v>0</v>
      </c>
      <c r="AG225" s="468">
        <v>0</v>
      </c>
      <c r="AH225" s="218">
        <v>0</v>
      </c>
      <c r="AI225" s="470">
        <v>0</v>
      </c>
      <c r="AJ225" s="471">
        <v>0</v>
      </c>
      <c r="AK225" s="218">
        <v>0</v>
      </c>
      <c r="AL225" s="470">
        <v>0</v>
      </c>
      <c r="AM225" s="471">
        <v>0</v>
      </c>
      <c r="AN225" s="477">
        <v>0</v>
      </c>
      <c r="AO225" s="473">
        <v>0</v>
      </c>
      <c r="AP225" s="474">
        <v>0</v>
      </c>
      <c r="AQ225" s="352"/>
      <c r="AR225" s="352"/>
      <c r="AS225" s="352"/>
      <c r="AT225" s="352"/>
      <c r="AU225" s="352"/>
      <c r="AV225" s="352"/>
      <c r="AW225" s="352" t="s">
        <v>254</v>
      </c>
    </row>
    <row r="226" spans="2:49" x14ac:dyDescent="0.2">
      <c r="B226" s="460" t="s">
        <v>2430</v>
      </c>
      <c r="C226" s="460">
        <v>1221</v>
      </c>
      <c r="D226" s="460" t="s">
        <v>2349</v>
      </c>
      <c r="E226" s="460" t="s">
        <v>2333</v>
      </c>
      <c r="F226" s="460">
        <v>4</v>
      </c>
      <c r="G226" s="460">
        <v>3</v>
      </c>
      <c r="H226" s="461" t="s">
        <v>752</v>
      </c>
      <c r="I226" s="461" t="s">
        <v>964</v>
      </c>
      <c r="J226" s="461" t="s">
        <v>752</v>
      </c>
      <c r="K226" s="594"/>
      <c r="L226" s="594"/>
      <c r="M226" s="352">
        <v>1000</v>
      </c>
      <c r="N226" s="352" t="s">
        <v>698</v>
      </c>
      <c r="O226" s="460">
        <v>1221</v>
      </c>
      <c r="P226" s="460" t="s">
        <v>711</v>
      </c>
      <c r="Q226" s="460" t="s">
        <v>2266</v>
      </c>
      <c r="R226" s="460">
        <v>1221</v>
      </c>
      <c r="S226" s="460" t="s">
        <v>2333</v>
      </c>
      <c r="T226" s="462">
        <v>1</v>
      </c>
      <c r="U226" s="460" t="s">
        <v>2333</v>
      </c>
      <c r="V226" s="475">
        <v>0</v>
      </c>
      <c r="W226" s="463" t="s">
        <v>2278</v>
      </c>
      <c r="X226" s="463" t="s">
        <v>2278</v>
      </c>
      <c r="Y226" s="463" t="s">
        <v>2278</v>
      </c>
      <c r="Z226" s="463"/>
      <c r="AA226" s="463"/>
      <c r="AB226" s="464">
        <v>0</v>
      </c>
      <c r="AC226" s="465">
        <v>0</v>
      </c>
      <c r="AD226" s="465">
        <v>0</v>
      </c>
      <c r="AE226" s="476">
        <v>0</v>
      </c>
      <c r="AF226" s="467">
        <v>0</v>
      </c>
      <c r="AG226" s="468">
        <v>0</v>
      </c>
      <c r="AH226" s="218">
        <v>0</v>
      </c>
      <c r="AI226" s="470">
        <v>0</v>
      </c>
      <c r="AJ226" s="471">
        <v>0</v>
      </c>
      <c r="AK226" s="218">
        <v>0</v>
      </c>
      <c r="AL226" s="470">
        <v>0</v>
      </c>
      <c r="AM226" s="471">
        <v>0</v>
      </c>
      <c r="AN226" s="477">
        <v>0</v>
      </c>
      <c r="AO226" s="473">
        <v>0</v>
      </c>
      <c r="AP226" s="474">
        <v>0</v>
      </c>
      <c r="AQ226" s="352"/>
      <c r="AR226" s="352"/>
      <c r="AS226" s="352"/>
      <c r="AT226" s="352"/>
      <c r="AU226" s="352"/>
      <c r="AV226" s="352"/>
      <c r="AW226" s="352" t="s">
        <v>254</v>
      </c>
    </row>
    <row r="227" spans="2:49" x14ac:dyDescent="0.2">
      <c r="B227" s="460" t="s">
        <v>2431</v>
      </c>
      <c r="C227" s="460">
        <v>1221</v>
      </c>
      <c r="D227" s="460" t="s">
        <v>2351</v>
      </c>
      <c r="E227" s="460" t="s">
        <v>1136</v>
      </c>
      <c r="F227" s="460">
        <v>1</v>
      </c>
      <c r="G227" s="460">
        <v>4</v>
      </c>
      <c r="H227" s="461" t="s">
        <v>700</v>
      </c>
      <c r="I227" s="461" t="s">
        <v>872</v>
      </c>
      <c r="J227" s="461" t="s">
        <v>700</v>
      </c>
      <c r="K227" s="594"/>
      <c r="L227" s="594"/>
      <c r="M227" s="352">
        <v>1000</v>
      </c>
      <c r="N227" s="352" t="s">
        <v>698</v>
      </c>
      <c r="O227" s="460">
        <v>1221</v>
      </c>
      <c r="P227" s="460" t="s">
        <v>711</v>
      </c>
      <c r="Q227" s="460" t="s">
        <v>2266</v>
      </c>
      <c r="R227" s="460">
        <v>1221</v>
      </c>
      <c r="S227" s="460" t="s">
        <v>1136</v>
      </c>
      <c r="T227" s="462">
        <v>1</v>
      </c>
      <c r="U227" s="460" t="s">
        <v>1136</v>
      </c>
      <c r="V227" s="475">
        <v>0</v>
      </c>
      <c r="W227" s="463" t="s">
        <v>2267</v>
      </c>
      <c r="X227" s="463" t="s">
        <v>2267</v>
      </c>
      <c r="Y227" s="463" t="s">
        <v>2268</v>
      </c>
      <c r="Z227" s="463"/>
      <c r="AA227" s="463"/>
      <c r="AB227" s="464">
        <v>45.61718879789926</v>
      </c>
      <c r="AC227" s="465">
        <v>3.5481177791623672E-2</v>
      </c>
      <c r="AD227" s="465">
        <v>0.12979044652730251</v>
      </c>
      <c r="AE227" s="476">
        <v>45.61718879789926</v>
      </c>
      <c r="AF227" s="467">
        <v>3.5481177791623672E-2</v>
      </c>
      <c r="AG227" s="468">
        <v>0.14109020602233277</v>
      </c>
      <c r="AH227" s="218">
        <v>45.61718879789926</v>
      </c>
      <c r="AI227" s="470">
        <v>3.5481177791623672E-2</v>
      </c>
      <c r="AJ227" s="471">
        <v>3.5625497389097635E-2</v>
      </c>
      <c r="AK227" s="218">
        <v>45.61718879789926</v>
      </c>
      <c r="AL227" s="470">
        <v>3.5481177791623672E-2</v>
      </c>
      <c r="AM227" s="471">
        <v>3.5625497389097635E-2</v>
      </c>
      <c r="AN227" s="477">
        <v>0</v>
      </c>
      <c r="AO227" s="473">
        <v>0</v>
      </c>
      <c r="AP227" s="474">
        <v>0</v>
      </c>
      <c r="AQ227" s="352"/>
      <c r="AR227" s="352"/>
      <c r="AS227" s="352"/>
      <c r="AT227" s="352"/>
      <c r="AU227" s="352"/>
      <c r="AV227" s="352"/>
      <c r="AW227" s="352" t="s">
        <v>254</v>
      </c>
    </row>
    <row r="228" spans="2:49" x14ac:dyDescent="0.2">
      <c r="B228" s="460" t="s">
        <v>2432</v>
      </c>
      <c r="C228" s="460">
        <v>1221</v>
      </c>
      <c r="D228" s="460" t="s">
        <v>2353</v>
      </c>
      <c r="E228" s="460" t="s">
        <v>1137</v>
      </c>
      <c r="F228" s="460">
        <v>2</v>
      </c>
      <c r="G228" s="460">
        <v>4</v>
      </c>
      <c r="H228" s="461" t="s">
        <v>700</v>
      </c>
      <c r="I228" s="461" t="s">
        <v>872</v>
      </c>
      <c r="J228" s="461" t="s">
        <v>700</v>
      </c>
      <c r="K228" s="594"/>
      <c r="L228" s="594"/>
      <c r="M228" s="352">
        <v>1000</v>
      </c>
      <c r="N228" s="352" t="s">
        <v>698</v>
      </c>
      <c r="O228" s="460">
        <v>1221</v>
      </c>
      <c r="P228" s="460" t="s">
        <v>711</v>
      </c>
      <c r="Q228" s="460" t="s">
        <v>2266</v>
      </c>
      <c r="R228" s="460">
        <v>1221</v>
      </c>
      <c r="S228" s="460" t="s">
        <v>1137</v>
      </c>
      <c r="T228" s="462">
        <v>1</v>
      </c>
      <c r="U228" s="460" t="s">
        <v>1137</v>
      </c>
      <c r="V228" s="475">
        <v>0</v>
      </c>
      <c r="W228" s="463" t="s">
        <v>2267</v>
      </c>
      <c r="X228" s="463" t="s">
        <v>2267</v>
      </c>
      <c r="Y228" s="463" t="s">
        <v>2268</v>
      </c>
      <c r="Z228" s="463"/>
      <c r="AA228" s="463"/>
      <c r="AB228" s="464">
        <v>846.31488605790639</v>
      </c>
      <c r="AC228" s="465">
        <v>0.31290046905064933</v>
      </c>
      <c r="AD228" s="465">
        <v>0.19111069875004918</v>
      </c>
      <c r="AE228" s="476">
        <v>846.31488605790639</v>
      </c>
      <c r="AF228" s="467">
        <v>0.31290046905064933</v>
      </c>
      <c r="AG228" s="468">
        <v>0.20588942992118814</v>
      </c>
      <c r="AH228" s="218">
        <v>846.31488605790639</v>
      </c>
      <c r="AI228" s="470">
        <v>0.31290046905064933</v>
      </c>
      <c r="AJ228" s="471">
        <v>0.174856634708901</v>
      </c>
      <c r="AK228" s="218">
        <v>846.31488605790639</v>
      </c>
      <c r="AL228" s="470">
        <v>0.31290046905064933</v>
      </c>
      <c r="AM228" s="471">
        <v>0.174856634708901</v>
      </c>
      <c r="AN228" s="477">
        <v>0</v>
      </c>
      <c r="AO228" s="473">
        <v>0</v>
      </c>
      <c r="AP228" s="474">
        <v>0</v>
      </c>
      <c r="AQ228" s="352"/>
      <c r="AR228" s="352"/>
      <c r="AS228" s="352"/>
      <c r="AT228" s="352"/>
      <c r="AU228" s="352"/>
      <c r="AV228" s="352"/>
      <c r="AW228" s="352" t="s">
        <v>254</v>
      </c>
    </row>
    <row r="229" spans="2:49" x14ac:dyDescent="0.2">
      <c r="B229" s="460" t="s">
        <v>2433</v>
      </c>
      <c r="C229" s="460">
        <v>1221</v>
      </c>
      <c r="D229" s="460" t="s">
        <v>2355</v>
      </c>
      <c r="E229" s="460" t="s">
        <v>1138</v>
      </c>
      <c r="F229" s="460">
        <v>3</v>
      </c>
      <c r="G229" s="460">
        <v>4</v>
      </c>
      <c r="H229" s="461" t="s">
        <v>700</v>
      </c>
      <c r="I229" s="461" t="s">
        <v>872</v>
      </c>
      <c r="J229" s="461" t="s">
        <v>700</v>
      </c>
      <c r="K229" s="594"/>
      <c r="L229" s="594"/>
      <c r="M229" s="352">
        <v>1000</v>
      </c>
      <c r="N229" s="352" t="s">
        <v>698</v>
      </c>
      <c r="O229" s="460">
        <v>1221</v>
      </c>
      <c r="P229" s="460" t="s">
        <v>711</v>
      </c>
      <c r="Q229" s="460" t="s">
        <v>2266</v>
      </c>
      <c r="R229" s="460">
        <v>1221</v>
      </c>
      <c r="S229" s="460" t="s">
        <v>1138</v>
      </c>
      <c r="T229" s="462">
        <v>1</v>
      </c>
      <c r="U229" s="460" t="s">
        <v>1138</v>
      </c>
      <c r="V229" s="475">
        <v>0</v>
      </c>
      <c r="W229" s="463" t="s">
        <v>2267</v>
      </c>
      <c r="X229" s="463" t="s">
        <v>2267</v>
      </c>
      <c r="Y229" s="463" t="s">
        <v>2268</v>
      </c>
      <c r="Z229" s="463"/>
      <c r="AA229" s="463"/>
      <c r="AB229" s="464">
        <v>512.66197607271511</v>
      </c>
      <c r="AC229" s="465">
        <v>0.31371886859036802</v>
      </c>
      <c r="AD229" s="465">
        <v>0.21509664137165468</v>
      </c>
      <c r="AE229" s="476">
        <v>512.66197607271511</v>
      </c>
      <c r="AF229" s="467">
        <v>0.31371886859036802</v>
      </c>
      <c r="AG229" s="468">
        <v>0.23206017639257495</v>
      </c>
      <c r="AH229" s="218">
        <v>512.66197607271511</v>
      </c>
      <c r="AI229" s="470">
        <v>0.31371886859036802</v>
      </c>
      <c r="AJ229" s="471">
        <v>0.17666648792685985</v>
      </c>
      <c r="AK229" s="218">
        <v>512.66197607271511</v>
      </c>
      <c r="AL229" s="470">
        <v>0.31371886859036802</v>
      </c>
      <c r="AM229" s="471">
        <v>0.17666648792685985</v>
      </c>
      <c r="AN229" s="477">
        <v>0</v>
      </c>
      <c r="AO229" s="473">
        <v>0</v>
      </c>
      <c r="AP229" s="474">
        <v>0</v>
      </c>
      <c r="AQ229" s="352"/>
      <c r="AR229" s="352"/>
      <c r="AS229" s="352"/>
      <c r="AT229" s="352"/>
      <c r="AU229" s="352"/>
      <c r="AV229" s="352"/>
      <c r="AW229" s="352" t="s">
        <v>254</v>
      </c>
    </row>
    <row r="230" spans="2:49" x14ac:dyDescent="0.2">
      <c r="B230" s="460" t="s">
        <v>2434</v>
      </c>
      <c r="C230" s="460">
        <v>1221</v>
      </c>
      <c r="D230" s="460" t="s">
        <v>2357</v>
      </c>
      <c r="E230" s="460" t="s">
        <v>1139</v>
      </c>
      <c r="F230" s="460">
        <v>4</v>
      </c>
      <c r="G230" s="460">
        <v>4</v>
      </c>
      <c r="H230" s="461" t="s">
        <v>700</v>
      </c>
      <c r="I230" s="461" t="s">
        <v>872</v>
      </c>
      <c r="J230" s="461" t="s">
        <v>700</v>
      </c>
      <c r="K230" s="594"/>
      <c r="L230" s="594"/>
      <c r="M230" s="352">
        <v>1000</v>
      </c>
      <c r="N230" s="352" t="s">
        <v>698</v>
      </c>
      <c r="O230" s="460">
        <v>1221</v>
      </c>
      <c r="P230" s="460" t="s">
        <v>711</v>
      </c>
      <c r="Q230" s="460" t="s">
        <v>2266</v>
      </c>
      <c r="R230" s="460">
        <v>1221</v>
      </c>
      <c r="S230" s="460" t="s">
        <v>1139</v>
      </c>
      <c r="T230" s="462">
        <v>1</v>
      </c>
      <c r="U230" s="460" t="s">
        <v>1139</v>
      </c>
      <c r="V230" s="475">
        <v>0</v>
      </c>
      <c r="W230" s="463" t="s">
        <v>2267</v>
      </c>
      <c r="X230" s="463" t="s">
        <v>2267</v>
      </c>
      <c r="Y230" s="463" t="s">
        <v>2268</v>
      </c>
      <c r="Z230" s="463"/>
      <c r="AA230" s="463"/>
      <c r="AB230" s="464">
        <v>0</v>
      </c>
      <c r="AC230" s="465">
        <v>0</v>
      </c>
      <c r="AD230" s="465">
        <v>0</v>
      </c>
      <c r="AE230" s="476">
        <v>0</v>
      </c>
      <c r="AF230" s="467">
        <v>0</v>
      </c>
      <c r="AG230" s="468">
        <v>0</v>
      </c>
      <c r="AH230" s="218">
        <v>0</v>
      </c>
      <c r="AI230" s="470">
        <v>0</v>
      </c>
      <c r="AJ230" s="471">
        <v>0</v>
      </c>
      <c r="AK230" s="218">
        <v>0</v>
      </c>
      <c r="AL230" s="470">
        <v>0</v>
      </c>
      <c r="AM230" s="471">
        <v>0</v>
      </c>
      <c r="AN230" s="477">
        <v>0</v>
      </c>
      <c r="AO230" s="473">
        <v>0</v>
      </c>
      <c r="AP230" s="474">
        <v>0</v>
      </c>
      <c r="AQ230" s="352"/>
      <c r="AR230" s="352"/>
      <c r="AS230" s="352"/>
      <c r="AT230" s="352"/>
      <c r="AU230" s="352"/>
      <c r="AV230" s="352"/>
      <c r="AW230" s="352" t="s">
        <v>254</v>
      </c>
    </row>
    <row r="231" spans="2:49" x14ac:dyDescent="0.2">
      <c r="B231" s="460" t="s">
        <v>2431</v>
      </c>
      <c r="C231" s="460">
        <v>1221</v>
      </c>
      <c r="D231" s="460" t="s">
        <v>2358</v>
      </c>
      <c r="E231" s="460" t="s">
        <v>1136</v>
      </c>
      <c r="F231" s="460">
        <v>1</v>
      </c>
      <c r="G231" s="460">
        <v>4</v>
      </c>
      <c r="H231" s="461" t="s">
        <v>712</v>
      </c>
      <c r="I231" s="461" t="s">
        <v>713</v>
      </c>
      <c r="J231" s="461" t="s">
        <v>712</v>
      </c>
      <c r="K231" s="594"/>
      <c r="L231" s="594"/>
      <c r="M231" s="352">
        <v>1000</v>
      </c>
      <c r="N231" s="352" t="s">
        <v>698</v>
      </c>
      <c r="O231" s="460">
        <v>1221</v>
      </c>
      <c r="P231" s="460" t="s">
        <v>711</v>
      </c>
      <c r="Q231" s="460" t="s">
        <v>2280</v>
      </c>
      <c r="R231" s="460">
        <v>1221</v>
      </c>
      <c r="S231" s="460" t="s">
        <v>1136</v>
      </c>
      <c r="T231" s="462">
        <v>1</v>
      </c>
      <c r="U231" s="460" t="s">
        <v>1136</v>
      </c>
      <c r="V231" s="475">
        <v>0</v>
      </c>
      <c r="W231" s="463" t="s">
        <v>713</v>
      </c>
      <c r="X231" s="463" t="s">
        <v>713</v>
      </c>
      <c r="Y231" s="463" t="s">
        <v>713</v>
      </c>
      <c r="Z231" s="463"/>
      <c r="AA231" s="463"/>
      <c r="AB231" s="464">
        <v>1015.5771415829153</v>
      </c>
      <c r="AC231" s="465">
        <v>0.78991875806410483</v>
      </c>
      <c r="AD231" s="465">
        <v>6.6930295406937559E-3</v>
      </c>
      <c r="AE231" s="476">
        <v>1015.5771415829154</v>
      </c>
      <c r="AF231" s="467">
        <v>0.78991875806410494</v>
      </c>
      <c r="AG231" s="468">
        <v>6.6917881452944143E-3</v>
      </c>
      <c r="AH231" s="218">
        <v>1015.5771415829154</v>
      </c>
      <c r="AI231" s="470">
        <v>0.78991875806410494</v>
      </c>
      <c r="AJ231" s="471">
        <v>6.7597982734901221E-3</v>
      </c>
      <c r="AK231" s="218">
        <v>1015.5771415829154</v>
      </c>
      <c r="AL231" s="470">
        <v>0.78991875806410494</v>
      </c>
      <c r="AM231" s="471">
        <v>6.7597982734901221E-3</v>
      </c>
      <c r="AN231" s="477">
        <v>1015.5771415829154</v>
      </c>
      <c r="AO231" s="473">
        <v>0.78991875806410494</v>
      </c>
      <c r="AP231" s="474">
        <v>6.7487991377386944E-3</v>
      </c>
      <c r="AQ231" s="352"/>
      <c r="AR231" s="352"/>
      <c r="AS231" s="352"/>
      <c r="AT231" s="352"/>
      <c r="AU231" s="352"/>
      <c r="AV231" s="352"/>
      <c r="AW231" s="352" t="s">
        <v>254</v>
      </c>
    </row>
    <row r="232" spans="2:49" x14ac:dyDescent="0.2">
      <c r="B232" s="460" t="s">
        <v>2432</v>
      </c>
      <c r="C232" s="460">
        <v>1221</v>
      </c>
      <c r="D232" s="460" t="s">
        <v>2359</v>
      </c>
      <c r="E232" s="460" t="s">
        <v>1137</v>
      </c>
      <c r="F232" s="460">
        <v>2</v>
      </c>
      <c r="G232" s="460">
        <v>4</v>
      </c>
      <c r="H232" s="461" t="s">
        <v>712</v>
      </c>
      <c r="I232" s="461" t="s">
        <v>713</v>
      </c>
      <c r="J232" s="461" t="s">
        <v>712</v>
      </c>
      <c r="K232" s="594"/>
      <c r="L232" s="594"/>
      <c r="M232" s="352">
        <v>1000</v>
      </c>
      <c r="N232" s="352" t="s">
        <v>698</v>
      </c>
      <c r="O232" s="460">
        <v>1221</v>
      </c>
      <c r="P232" s="460" t="s">
        <v>711</v>
      </c>
      <c r="Q232" s="460" t="s">
        <v>2280</v>
      </c>
      <c r="R232" s="460">
        <v>1221</v>
      </c>
      <c r="S232" s="460" t="s">
        <v>1137</v>
      </c>
      <c r="T232" s="462">
        <v>1</v>
      </c>
      <c r="U232" s="460" t="s">
        <v>1137</v>
      </c>
      <c r="V232" s="475">
        <v>0</v>
      </c>
      <c r="W232" s="463" t="s">
        <v>713</v>
      </c>
      <c r="X232" s="463" t="s">
        <v>713</v>
      </c>
      <c r="Y232" s="463" t="s">
        <v>713</v>
      </c>
      <c r="Z232" s="463"/>
      <c r="AA232" s="463"/>
      <c r="AB232" s="464">
        <v>1534.4358242996525</v>
      </c>
      <c r="AC232" s="465">
        <v>0.56731329799465435</v>
      </c>
      <c r="AD232" s="465">
        <v>8.8738540404221279E-3</v>
      </c>
      <c r="AE232" s="476">
        <v>1534.4358242996527</v>
      </c>
      <c r="AF232" s="467">
        <v>0.56731329799465446</v>
      </c>
      <c r="AG232" s="468">
        <v>8.8575712705554893E-3</v>
      </c>
      <c r="AH232" s="218">
        <v>1534.4358242996527</v>
      </c>
      <c r="AI232" s="470">
        <v>0.56731329799465446</v>
      </c>
      <c r="AJ232" s="471">
        <v>8.8996023904370624E-3</v>
      </c>
      <c r="AK232" s="218">
        <v>1534.4358242996527</v>
      </c>
      <c r="AL232" s="470">
        <v>0.56731329799465446</v>
      </c>
      <c r="AM232" s="471">
        <v>8.8996023904370624E-3</v>
      </c>
      <c r="AN232" s="477">
        <v>1534.4358242996527</v>
      </c>
      <c r="AO232" s="473">
        <v>0.56731329799465446</v>
      </c>
      <c r="AP232" s="474">
        <v>8.8922589417902327E-3</v>
      </c>
      <c r="AQ232" s="352"/>
      <c r="AR232" s="352"/>
      <c r="AS232" s="352"/>
      <c r="AT232" s="352"/>
      <c r="AU232" s="352"/>
      <c r="AV232" s="352"/>
      <c r="AW232" s="352" t="s">
        <v>254</v>
      </c>
    </row>
    <row r="233" spans="2:49" x14ac:dyDescent="0.2">
      <c r="B233" s="460" t="s">
        <v>2433</v>
      </c>
      <c r="C233" s="460">
        <v>1221</v>
      </c>
      <c r="D233" s="460" t="s">
        <v>2360</v>
      </c>
      <c r="E233" s="460" t="s">
        <v>1138</v>
      </c>
      <c r="F233" s="460">
        <v>3</v>
      </c>
      <c r="G233" s="460">
        <v>4</v>
      </c>
      <c r="H233" s="461" t="s">
        <v>712</v>
      </c>
      <c r="I233" s="461" t="s">
        <v>713</v>
      </c>
      <c r="J233" s="461" t="s">
        <v>712</v>
      </c>
      <c r="K233" s="594"/>
      <c r="L233" s="594"/>
      <c r="M233" s="352">
        <v>1000</v>
      </c>
      <c r="N233" s="352" t="s">
        <v>698</v>
      </c>
      <c r="O233" s="460">
        <v>1221</v>
      </c>
      <c r="P233" s="460" t="s">
        <v>711</v>
      </c>
      <c r="Q233" s="460" t="s">
        <v>2280</v>
      </c>
      <c r="R233" s="460">
        <v>1221</v>
      </c>
      <c r="S233" s="460" t="s">
        <v>1138</v>
      </c>
      <c r="T233" s="462">
        <v>1</v>
      </c>
      <c r="U233" s="460" t="s">
        <v>1138</v>
      </c>
      <c r="V233" s="475">
        <v>0</v>
      </c>
      <c r="W233" s="463" t="s">
        <v>713</v>
      </c>
      <c r="X233" s="463" t="s">
        <v>713</v>
      </c>
      <c r="Y233" s="463" t="s">
        <v>713</v>
      </c>
      <c r="Z233" s="463"/>
      <c r="AA233" s="463"/>
      <c r="AB233" s="464">
        <v>784.30787765163996</v>
      </c>
      <c r="AC233" s="465">
        <v>0.4799501259841546</v>
      </c>
      <c r="AD233" s="465">
        <v>9.7878067765461516E-3</v>
      </c>
      <c r="AE233" s="476">
        <v>784.30787765164007</v>
      </c>
      <c r="AF233" s="467">
        <v>0.47995012598415465</v>
      </c>
      <c r="AG233" s="468">
        <v>9.7665716833250597E-3</v>
      </c>
      <c r="AH233" s="218">
        <v>784.30787765164007</v>
      </c>
      <c r="AI233" s="470">
        <v>0.47995012598415465</v>
      </c>
      <c r="AJ233" s="471">
        <v>9.8810883768147197E-3</v>
      </c>
      <c r="AK233" s="218">
        <v>784.30787765164007</v>
      </c>
      <c r="AL233" s="470">
        <v>0.47995012598415465</v>
      </c>
      <c r="AM233" s="471">
        <v>9.8810883768147197E-3</v>
      </c>
      <c r="AN233" s="477">
        <v>784.30787765164007</v>
      </c>
      <c r="AO233" s="473">
        <v>0.47995012598415465</v>
      </c>
      <c r="AP233" s="474">
        <v>9.8803436976180308E-3</v>
      </c>
      <c r="AQ233" s="352"/>
      <c r="AR233" s="352"/>
      <c r="AS233" s="352"/>
      <c r="AT233" s="352"/>
      <c r="AU233" s="352"/>
      <c r="AV233" s="352"/>
      <c r="AW233" s="352" t="s">
        <v>254</v>
      </c>
    </row>
    <row r="234" spans="2:49" x14ac:dyDescent="0.2">
      <c r="B234" s="460" t="s">
        <v>2434</v>
      </c>
      <c r="C234" s="460">
        <v>1221</v>
      </c>
      <c r="D234" s="460" t="s">
        <v>2361</v>
      </c>
      <c r="E234" s="460" t="s">
        <v>1139</v>
      </c>
      <c r="F234" s="460">
        <v>4</v>
      </c>
      <c r="G234" s="460">
        <v>4</v>
      </c>
      <c r="H234" s="461" t="s">
        <v>712</v>
      </c>
      <c r="I234" s="461" t="s">
        <v>713</v>
      </c>
      <c r="J234" s="461" t="s">
        <v>712</v>
      </c>
      <c r="K234" s="594"/>
      <c r="L234" s="594"/>
      <c r="M234" s="352">
        <v>1000</v>
      </c>
      <c r="N234" s="352" t="s">
        <v>698</v>
      </c>
      <c r="O234" s="460">
        <v>1221</v>
      </c>
      <c r="P234" s="460" t="s">
        <v>711</v>
      </c>
      <c r="Q234" s="460" t="s">
        <v>2280</v>
      </c>
      <c r="R234" s="460">
        <v>1221</v>
      </c>
      <c r="S234" s="460" t="s">
        <v>1139</v>
      </c>
      <c r="T234" s="462">
        <v>1</v>
      </c>
      <c r="U234" s="460" t="s">
        <v>1139</v>
      </c>
      <c r="V234" s="475">
        <v>0</v>
      </c>
      <c r="W234" s="463" t="s">
        <v>713</v>
      </c>
      <c r="X234" s="463" t="s">
        <v>713</v>
      </c>
      <c r="Y234" s="463" t="s">
        <v>713</v>
      </c>
      <c r="Z234" s="463"/>
      <c r="AA234" s="463"/>
      <c r="AB234" s="464">
        <v>889.24779698834914</v>
      </c>
      <c r="AC234" s="465">
        <v>0.62811413713968667</v>
      </c>
      <c r="AD234" s="465">
        <v>9.8459608770799286E-3</v>
      </c>
      <c r="AE234" s="476">
        <v>889.24779698834902</v>
      </c>
      <c r="AF234" s="467">
        <v>0.62811413713968656</v>
      </c>
      <c r="AG234" s="468">
        <v>9.8459608770799269E-3</v>
      </c>
      <c r="AH234" s="218">
        <v>889.24779698834902</v>
      </c>
      <c r="AI234" s="470">
        <v>0.62811413713968656</v>
      </c>
      <c r="AJ234" s="471">
        <v>1.0057726398018312E-2</v>
      </c>
      <c r="AK234" s="218">
        <v>889.24779698834902</v>
      </c>
      <c r="AL234" s="470">
        <v>0.62811413713968656</v>
      </c>
      <c r="AM234" s="471">
        <v>1.0057726398018312E-2</v>
      </c>
      <c r="AN234" s="477">
        <v>889.24779698834902</v>
      </c>
      <c r="AO234" s="473">
        <v>0.62811413713968656</v>
      </c>
      <c r="AP234" s="474">
        <v>1.0057726398018312E-2</v>
      </c>
      <c r="AQ234" s="352"/>
      <c r="AR234" s="352"/>
      <c r="AS234" s="352"/>
      <c r="AT234" s="352"/>
      <c r="AU234" s="352"/>
      <c r="AV234" s="352"/>
      <c r="AW234" s="352" t="s">
        <v>254</v>
      </c>
    </row>
    <row r="235" spans="2:49" x14ac:dyDescent="0.2">
      <c r="B235" s="460" t="s">
        <v>2431</v>
      </c>
      <c r="C235" s="460">
        <v>1221</v>
      </c>
      <c r="D235" s="460" t="s">
        <v>2362</v>
      </c>
      <c r="E235" s="460" t="s">
        <v>1136</v>
      </c>
      <c r="F235" s="460">
        <v>1</v>
      </c>
      <c r="G235" s="460">
        <v>4</v>
      </c>
      <c r="H235" s="461" t="s">
        <v>746</v>
      </c>
      <c r="I235" s="461" t="s">
        <v>762</v>
      </c>
      <c r="J235" s="461" t="s">
        <v>700</v>
      </c>
      <c r="K235" s="594"/>
      <c r="L235" s="594"/>
      <c r="M235" s="352">
        <v>1000</v>
      </c>
      <c r="N235" s="352" t="s">
        <v>698</v>
      </c>
      <c r="O235" s="460">
        <v>1221</v>
      </c>
      <c r="P235" s="460" t="s">
        <v>711</v>
      </c>
      <c r="Q235" s="460" t="s">
        <v>2266</v>
      </c>
      <c r="R235" s="460">
        <v>1221</v>
      </c>
      <c r="S235" s="460" t="s">
        <v>1136</v>
      </c>
      <c r="T235" s="462">
        <v>1</v>
      </c>
      <c r="U235" s="460" t="s">
        <v>1136</v>
      </c>
      <c r="V235" s="475">
        <v>0</v>
      </c>
      <c r="W235" s="463" t="s">
        <v>2268</v>
      </c>
      <c r="X235" s="463" t="s">
        <v>2268</v>
      </c>
      <c r="Y235" s="463" t="s">
        <v>2267</v>
      </c>
      <c r="Z235" s="463"/>
      <c r="AA235" s="463"/>
      <c r="AB235" s="464">
        <v>0</v>
      </c>
      <c r="AC235" s="465">
        <v>0</v>
      </c>
      <c r="AD235" s="465">
        <v>0</v>
      </c>
      <c r="AE235" s="476">
        <v>0</v>
      </c>
      <c r="AF235" s="467">
        <v>0</v>
      </c>
      <c r="AG235" s="468">
        <v>0</v>
      </c>
      <c r="AH235" s="218">
        <v>0</v>
      </c>
      <c r="AI235" s="470">
        <v>0</v>
      </c>
      <c r="AJ235" s="471">
        <v>0</v>
      </c>
      <c r="AK235" s="218">
        <v>0</v>
      </c>
      <c r="AL235" s="470">
        <v>0</v>
      </c>
      <c r="AM235" s="471">
        <v>0</v>
      </c>
      <c r="AN235" s="477">
        <v>45.61718879789926</v>
      </c>
      <c r="AO235" s="473">
        <v>3.5481177791623672E-2</v>
      </c>
      <c r="AP235" s="474">
        <v>0.20575592532827638</v>
      </c>
      <c r="AQ235" s="352"/>
      <c r="AR235" s="352"/>
      <c r="AS235" s="352"/>
      <c r="AT235" s="352"/>
      <c r="AU235" s="352"/>
      <c r="AV235" s="352"/>
      <c r="AW235" s="352" t="s">
        <v>254</v>
      </c>
    </row>
    <row r="236" spans="2:49" x14ac:dyDescent="0.2">
      <c r="B236" s="460" t="s">
        <v>2432</v>
      </c>
      <c r="C236" s="460">
        <v>1221</v>
      </c>
      <c r="D236" s="460" t="s">
        <v>2363</v>
      </c>
      <c r="E236" s="460" t="s">
        <v>1137</v>
      </c>
      <c r="F236" s="460">
        <v>2</v>
      </c>
      <c r="G236" s="460">
        <v>4</v>
      </c>
      <c r="H236" s="461" t="s">
        <v>746</v>
      </c>
      <c r="I236" s="461" t="s">
        <v>762</v>
      </c>
      <c r="J236" s="461" t="s">
        <v>700</v>
      </c>
      <c r="K236" s="594"/>
      <c r="L236" s="594"/>
      <c r="M236" s="352">
        <v>1000</v>
      </c>
      <c r="N236" s="352" t="s">
        <v>698</v>
      </c>
      <c r="O236" s="460">
        <v>1221</v>
      </c>
      <c r="P236" s="460" t="s">
        <v>711</v>
      </c>
      <c r="Q236" s="460" t="s">
        <v>2266</v>
      </c>
      <c r="R236" s="460">
        <v>1221</v>
      </c>
      <c r="S236" s="460" t="s">
        <v>1137</v>
      </c>
      <c r="T236" s="462">
        <v>1</v>
      </c>
      <c r="U236" s="460" t="s">
        <v>1137</v>
      </c>
      <c r="V236" s="475">
        <v>0</v>
      </c>
      <c r="W236" s="463" t="s">
        <v>2268</v>
      </c>
      <c r="X236" s="463" t="s">
        <v>2268</v>
      </c>
      <c r="Y236" s="463" t="s">
        <v>2267</v>
      </c>
      <c r="Z236" s="463"/>
      <c r="AA236" s="463"/>
      <c r="AB236" s="464">
        <v>0</v>
      </c>
      <c r="AC236" s="465">
        <v>0</v>
      </c>
      <c r="AD236" s="465">
        <v>0</v>
      </c>
      <c r="AE236" s="476">
        <v>0</v>
      </c>
      <c r="AF236" s="467">
        <v>0</v>
      </c>
      <c r="AG236" s="468">
        <v>0</v>
      </c>
      <c r="AH236" s="218">
        <v>0</v>
      </c>
      <c r="AI236" s="470">
        <v>0</v>
      </c>
      <c r="AJ236" s="471">
        <v>0</v>
      </c>
      <c r="AK236" s="218">
        <v>0</v>
      </c>
      <c r="AL236" s="470">
        <v>0</v>
      </c>
      <c r="AM236" s="471">
        <v>0</v>
      </c>
      <c r="AN236" s="477">
        <v>846.31488605790639</v>
      </c>
      <c r="AO236" s="473">
        <v>0.31290046905064933</v>
      </c>
      <c r="AP236" s="474">
        <v>0.23126703065728166</v>
      </c>
      <c r="AQ236" s="352"/>
      <c r="AR236" s="352"/>
      <c r="AS236" s="352"/>
      <c r="AT236" s="352"/>
      <c r="AU236" s="352"/>
      <c r="AV236" s="352"/>
      <c r="AW236" s="352" t="s">
        <v>254</v>
      </c>
    </row>
    <row r="237" spans="2:49" x14ac:dyDescent="0.2">
      <c r="B237" s="460" t="s">
        <v>2433</v>
      </c>
      <c r="C237" s="460">
        <v>1221</v>
      </c>
      <c r="D237" s="460" t="s">
        <v>2364</v>
      </c>
      <c r="E237" s="460" t="s">
        <v>1138</v>
      </c>
      <c r="F237" s="460">
        <v>3</v>
      </c>
      <c r="G237" s="460">
        <v>4</v>
      </c>
      <c r="H237" s="461" t="s">
        <v>746</v>
      </c>
      <c r="I237" s="461" t="s">
        <v>762</v>
      </c>
      <c r="J237" s="461" t="s">
        <v>700</v>
      </c>
      <c r="K237" s="594"/>
      <c r="L237" s="594"/>
      <c r="M237" s="352">
        <v>1000</v>
      </c>
      <c r="N237" s="352" t="s">
        <v>698</v>
      </c>
      <c r="O237" s="460">
        <v>1221</v>
      </c>
      <c r="P237" s="460" t="s">
        <v>711</v>
      </c>
      <c r="Q237" s="460" t="s">
        <v>2266</v>
      </c>
      <c r="R237" s="460">
        <v>1221</v>
      </c>
      <c r="S237" s="460" t="s">
        <v>1138</v>
      </c>
      <c r="T237" s="462">
        <v>1</v>
      </c>
      <c r="U237" s="460" t="s">
        <v>1138</v>
      </c>
      <c r="V237" s="475">
        <v>0</v>
      </c>
      <c r="W237" s="463" t="s">
        <v>2268</v>
      </c>
      <c r="X237" s="463" t="s">
        <v>2268</v>
      </c>
      <c r="Y237" s="463" t="s">
        <v>2267</v>
      </c>
      <c r="Z237" s="463"/>
      <c r="AA237" s="463"/>
      <c r="AB237" s="464">
        <v>0</v>
      </c>
      <c r="AC237" s="465">
        <v>0</v>
      </c>
      <c r="AD237" s="465">
        <v>0</v>
      </c>
      <c r="AE237" s="476">
        <v>0</v>
      </c>
      <c r="AF237" s="467">
        <v>0</v>
      </c>
      <c r="AG237" s="468">
        <v>0</v>
      </c>
      <c r="AH237" s="218">
        <v>0</v>
      </c>
      <c r="AI237" s="470">
        <v>0</v>
      </c>
      <c r="AJ237" s="471">
        <v>0</v>
      </c>
      <c r="AK237" s="218">
        <v>0</v>
      </c>
      <c r="AL237" s="470">
        <v>0</v>
      </c>
      <c r="AM237" s="471">
        <v>0</v>
      </c>
      <c r="AN237" s="477">
        <v>512.66197607271511</v>
      </c>
      <c r="AO237" s="473">
        <v>0.31371886859036802</v>
      </c>
      <c r="AP237" s="474">
        <v>0.26534307135093232</v>
      </c>
      <c r="AQ237" s="352"/>
      <c r="AR237" s="352"/>
      <c r="AS237" s="352"/>
      <c r="AT237" s="352"/>
      <c r="AU237" s="352"/>
      <c r="AV237" s="352"/>
      <c r="AW237" s="352" t="s">
        <v>254</v>
      </c>
    </row>
    <row r="238" spans="2:49" x14ac:dyDescent="0.2">
      <c r="B238" s="460" t="s">
        <v>2434</v>
      </c>
      <c r="C238" s="460">
        <v>1221</v>
      </c>
      <c r="D238" s="460" t="s">
        <v>2365</v>
      </c>
      <c r="E238" s="460" t="s">
        <v>1139</v>
      </c>
      <c r="F238" s="460">
        <v>4</v>
      </c>
      <c r="G238" s="460">
        <v>4</v>
      </c>
      <c r="H238" s="461" t="s">
        <v>746</v>
      </c>
      <c r="I238" s="461" t="s">
        <v>762</v>
      </c>
      <c r="J238" s="461" t="s">
        <v>700</v>
      </c>
      <c r="K238" s="594"/>
      <c r="L238" s="594"/>
      <c r="M238" s="352">
        <v>1000</v>
      </c>
      <c r="N238" s="352" t="s">
        <v>698</v>
      </c>
      <c r="O238" s="460">
        <v>1221</v>
      </c>
      <c r="P238" s="460" t="s">
        <v>711</v>
      </c>
      <c r="Q238" s="460" t="s">
        <v>2266</v>
      </c>
      <c r="R238" s="460">
        <v>1221</v>
      </c>
      <c r="S238" s="460" t="s">
        <v>1139</v>
      </c>
      <c r="T238" s="462">
        <v>1</v>
      </c>
      <c r="U238" s="460" t="s">
        <v>1139</v>
      </c>
      <c r="V238" s="475">
        <v>0</v>
      </c>
      <c r="W238" s="463" t="s">
        <v>2268</v>
      </c>
      <c r="X238" s="463" t="s">
        <v>2268</v>
      </c>
      <c r="Y238" s="463" t="s">
        <v>2267</v>
      </c>
      <c r="Z238" s="463"/>
      <c r="AA238" s="463"/>
      <c r="AB238" s="464">
        <v>0</v>
      </c>
      <c r="AC238" s="465">
        <v>0</v>
      </c>
      <c r="AD238" s="465">
        <v>0</v>
      </c>
      <c r="AE238" s="476">
        <v>0</v>
      </c>
      <c r="AF238" s="467">
        <v>0</v>
      </c>
      <c r="AG238" s="468">
        <v>0</v>
      </c>
      <c r="AH238" s="218">
        <v>0</v>
      </c>
      <c r="AI238" s="470">
        <v>0</v>
      </c>
      <c r="AJ238" s="471">
        <v>0</v>
      </c>
      <c r="AK238" s="218">
        <v>0</v>
      </c>
      <c r="AL238" s="470">
        <v>0</v>
      </c>
      <c r="AM238" s="471">
        <v>0</v>
      </c>
      <c r="AN238" s="477">
        <v>0</v>
      </c>
      <c r="AO238" s="473">
        <v>0</v>
      </c>
      <c r="AP238" s="474">
        <v>0</v>
      </c>
      <c r="AQ238" s="352"/>
      <c r="AR238" s="352"/>
      <c r="AS238" s="352"/>
      <c r="AT238" s="352"/>
      <c r="AU238" s="352"/>
      <c r="AV238" s="352"/>
      <c r="AW238" s="352" t="s">
        <v>254</v>
      </c>
    </row>
    <row r="239" spans="2:49" x14ac:dyDescent="0.2">
      <c r="B239" s="460" t="s">
        <v>2431</v>
      </c>
      <c r="C239" s="460">
        <v>1221</v>
      </c>
      <c r="D239" s="460" t="s">
        <v>2366</v>
      </c>
      <c r="E239" s="460" t="s">
        <v>1136</v>
      </c>
      <c r="F239" s="460">
        <v>1</v>
      </c>
      <c r="G239" s="460">
        <v>4</v>
      </c>
      <c r="H239" s="461" t="s">
        <v>748</v>
      </c>
      <c r="I239" s="461" t="s">
        <v>765</v>
      </c>
      <c r="J239" s="461" t="s">
        <v>700</v>
      </c>
      <c r="K239" s="594"/>
      <c r="L239" s="594"/>
      <c r="M239" s="352">
        <v>1000</v>
      </c>
      <c r="N239" s="352" t="s">
        <v>698</v>
      </c>
      <c r="O239" s="460">
        <v>1221</v>
      </c>
      <c r="P239" s="460" t="s">
        <v>711</v>
      </c>
      <c r="Q239" s="460" t="s">
        <v>2289</v>
      </c>
      <c r="R239" s="460">
        <v>1221</v>
      </c>
      <c r="S239" s="460" t="s">
        <v>1136</v>
      </c>
      <c r="T239" s="462">
        <v>1</v>
      </c>
      <c r="U239" s="460" t="s">
        <v>1136</v>
      </c>
      <c r="V239" s="475">
        <v>0</v>
      </c>
      <c r="W239" s="463" t="s">
        <v>2268</v>
      </c>
      <c r="X239" s="463" t="s">
        <v>2268</v>
      </c>
      <c r="Y239" s="463" t="s">
        <v>2290</v>
      </c>
      <c r="Z239" s="463"/>
      <c r="AA239" s="463"/>
      <c r="AB239" s="464">
        <v>0</v>
      </c>
      <c r="AC239" s="465">
        <v>0</v>
      </c>
      <c r="AD239" s="465">
        <v>0</v>
      </c>
      <c r="AE239" s="476">
        <v>0</v>
      </c>
      <c r="AF239" s="467">
        <v>0</v>
      </c>
      <c r="AG239" s="468">
        <v>0</v>
      </c>
      <c r="AH239" s="218">
        <v>0</v>
      </c>
      <c r="AI239" s="470">
        <v>0</v>
      </c>
      <c r="AJ239" s="471">
        <v>0</v>
      </c>
      <c r="AK239" s="218">
        <v>0</v>
      </c>
      <c r="AL239" s="470">
        <v>0</v>
      </c>
      <c r="AM239" s="471">
        <v>0</v>
      </c>
      <c r="AN239" s="477">
        <v>0</v>
      </c>
      <c r="AO239" s="473">
        <v>0</v>
      </c>
      <c r="AP239" s="474">
        <v>0</v>
      </c>
      <c r="AQ239" s="352"/>
      <c r="AR239" s="352"/>
      <c r="AS239" s="352"/>
      <c r="AT239" s="352"/>
      <c r="AU239" s="352"/>
      <c r="AV239" s="352"/>
      <c r="AW239" s="352" t="s">
        <v>254</v>
      </c>
    </row>
    <row r="240" spans="2:49" x14ac:dyDescent="0.2">
      <c r="B240" s="460" t="s">
        <v>2432</v>
      </c>
      <c r="C240" s="460">
        <v>1221</v>
      </c>
      <c r="D240" s="460" t="s">
        <v>2367</v>
      </c>
      <c r="E240" s="460" t="s">
        <v>1137</v>
      </c>
      <c r="F240" s="460">
        <v>2</v>
      </c>
      <c r="G240" s="460">
        <v>4</v>
      </c>
      <c r="H240" s="461" t="s">
        <v>748</v>
      </c>
      <c r="I240" s="461" t="s">
        <v>765</v>
      </c>
      <c r="J240" s="461" t="s">
        <v>700</v>
      </c>
      <c r="K240" s="594"/>
      <c r="L240" s="594"/>
      <c r="M240" s="352">
        <v>1000</v>
      </c>
      <c r="N240" s="352" t="s">
        <v>698</v>
      </c>
      <c r="O240" s="460">
        <v>1221</v>
      </c>
      <c r="P240" s="460" t="s">
        <v>711</v>
      </c>
      <c r="Q240" s="460" t="s">
        <v>2289</v>
      </c>
      <c r="R240" s="460">
        <v>1221</v>
      </c>
      <c r="S240" s="460" t="s">
        <v>1137</v>
      </c>
      <c r="T240" s="462">
        <v>1</v>
      </c>
      <c r="U240" s="460" t="s">
        <v>1137</v>
      </c>
      <c r="V240" s="475">
        <v>0</v>
      </c>
      <c r="W240" s="463" t="s">
        <v>2268</v>
      </c>
      <c r="X240" s="463" t="s">
        <v>2268</v>
      </c>
      <c r="Y240" s="463" t="s">
        <v>2290</v>
      </c>
      <c r="Z240" s="463"/>
      <c r="AA240" s="463"/>
      <c r="AB240" s="464">
        <v>0</v>
      </c>
      <c r="AC240" s="465">
        <v>0</v>
      </c>
      <c r="AD240" s="465">
        <v>0</v>
      </c>
      <c r="AE240" s="476">
        <v>0</v>
      </c>
      <c r="AF240" s="467">
        <v>0</v>
      </c>
      <c r="AG240" s="468">
        <v>0</v>
      </c>
      <c r="AH240" s="218">
        <v>0</v>
      </c>
      <c r="AI240" s="470">
        <v>0</v>
      </c>
      <c r="AJ240" s="471">
        <v>0</v>
      </c>
      <c r="AK240" s="218">
        <v>0</v>
      </c>
      <c r="AL240" s="470">
        <v>0</v>
      </c>
      <c r="AM240" s="471">
        <v>0</v>
      </c>
      <c r="AN240" s="477">
        <v>0</v>
      </c>
      <c r="AO240" s="473">
        <v>0</v>
      </c>
      <c r="AP240" s="474">
        <v>0</v>
      </c>
      <c r="AQ240" s="352"/>
      <c r="AR240" s="352"/>
      <c r="AS240" s="352"/>
      <c r="AT240" s="352"/>
      <c r="AU240" s="352"/>
      <c r="AV240" s="352"/>
      <c r="AW240" s="352" t="s">
        <v>254</v>
      </c>
    </row>
    <row r="241" spans="2:49" x14ac:dyDescent="0.2">
      <c r="B241" s="460" t="s">
        <v>2433</v>
      </c>
      <c r="C241" s="460">
        <v>1221</v>
      </c>
      <c r="D241" s="460" t="s">
        <v>2368</v>
      </c>
      <c r="E241" s="460" t="s">
        <v>1138</v>
      </c>
      <c r="F241" s="460">
        <v>3</v>
      </c>
      <c r="G241" s="460">
        <v>4</v>
      </c>
      <c r="H241" s="461" t="s">
        <v>748</v>
      </c>
      <c r="I241" s="461" t="s">
        <v>765</v>
      </c>
      <c r="J241" s="461" t="s">
        <v>700</v>
      </c>
      <c r="K241" s="594"/>
      <c r="L241" s="594"/>
      <c r="M241" s="352">
        <v>1000</v>
      </c>
      <c r="N241" s="352" t="s">
        <v>698</v>
      </c>
      <c r="O241" s="460">
        <v>1221</v>
      </c>
      <c r="P241" s="460" t="s">
        <v>711</v>
      </c>
      <c r="Q241" s="460" t="s">
        <v>2289</v>
      </c>
      <c r="R241" s="460">
        <v>1221</v>
      </c>
      <c r="S241" s="460" t="s">
        <v>1138</v>
      </c>
      <c r="T241" s="462">
        <v>1</v>
      </c>
      <c r="U241" s="460" t="s">
        <v>1138</v>
      </c>
      <c r="V241" s="475">
        <v>0</v>
      </c>
      <c r="W241" s="463" t="s">
        <v>2268</v>
      </c>
      <c r="X241" s="463" t="s">
        <v>2268</v>
      </c>
      <c r="Y241" s="463" t="s">
        <v>2290</v>
      </c>
      <c r="Z241" s="463"/>
      <c r="AA241" s="463"/>
      <c r="AB241" s="464">
        <v>0</v>
      </c>
      <c r="AC241" s="465">
        <v>0</v>
      </c>
      <c r="AD241" s="465">
        <v>0</v>
      </c>
      <c r="AE241" s="476">
        <v>0</v>
      </c>
      <c r="AF241" s="467">
        <v>0</v>
      </c>
      <c r="AG241" s="468">
        <v>0</v>
      </c>
      <c r="AH241" s="218">
        <v>0</v>
      </c>
      <c r="AI241" s="470">
        <v>0</v>
      </c>
      <c r="AJ241" s="471">
        <v>0</v>
      </c>
      <c r="AK241" s="218">
        <v>0</v>
      </c>
      <c r="AL241" s="470">
        <v>0</v>
      </c>
      <c r="AM241" s="471">
        <v>0</v>
      </c>
      <c r="AN241" s="477">
        <v>0</v>
      </c>
      <c r="AO241" s="473">
        <v>0</v>
      </c>
      <c r="AP241" s="474">
        <v>0</v>
      </c>
      <c r="AQ241" s="352"/>
      <c r="AR241" s="352"/>
      <c r="AS241" s="352"/>
      <c r="AT241" s="352"/>
      <c r="AU241" s="352"/>
      <c r="AV241" s="352"/>
      <c r="AW241" s="352" t="s">
        <v>254</v>
      </c>
    </row>
    <row r="242" spans="2:49" x14ac:dyDescent="0.2">
      <c r="B242" s="460" t="s">
        <v>2434</v>
      </c>
      <c r="C242" s="460">
        <v>1221</v>
      </c>
      <c r="D242" s="460" t="s">
        <v>2369</v>
      </c>
      <c r="E242" s="460" t="s">
        <v>1139</v>
      </c>
      <c r="F242" s="460">
        <v>4</v>
      </c>
      <c r="G242" s="460">
        <v>4</v>
      </c>
      <c r="H242" s="461" t="s">
        <v>748</v>
      </c>
      <c r="I242" s="461" t="s">
        <v>765</v>
      </c>
      <c r="J242" s="461" t="s">
        <v>700</v>
      </c>
      <c r="K242" s="594"/>
      <c r="L242" s="594"/>
      <c r="M242" s="352">
        <v>1000</v>
      </c>
      <c r="N242" s="352" t="s">
        <v>698</v>
      </c>
      <c r="O242" s="460">
        <v>1221</v>
      </c>
      <c r="P242" s="460" t="s">
        <v>711</v>
      </c>
      <c r="Q242" s="460" t="s">
        <v>2289</v>
      </c>
      <c r="R242" s="460">
        <v>1221</v>
      </c>
      <c r="S242" s="460" t="s">
        <v>1139</v>
      </c>
      <c r="T242" s="462">
        <v>1</v>
      </c>
      <c r="U242" s="460" t="s">
        <v>1139</v>
      </c>
      <c r="V242" s="475">
        <v>0</v>
      </c>
      <c r="W242" s="463" t="s">
        <v>2268</v>
      </c>
      <c r="X242" s="463" t="s">
        <v>2268</v>
      </c>
      <c r="Y242" s="463" t="s">
        <v>2290</v>
      </c>
      <c r="Z242" s="463"/>
      <c r="AA242" s="463"/>
      <c r="AB242" s="464">
        <v>0</v>
      </c>
      <c r="AC242" s="465">
        <v>0</v>
      </c>
      <c r="AD242" s="465">
        <v>0</v>
      </c>
      <c r="AE242" s="476">
        <v>0</v>
      </c>
      <c r="AF242" s="467">
        <v>0</v>
      </c>
      <c r="AG242" s="468">
        <v>0</v>
      </c>
      <c r="AH242" s="218">
        <v>0</v>
      </c>
      <c r="AI242" s="470">
        <v>0</v>
      </c>
      <c r="AJ242" s="471">
        <v>0</v>
      </c>
      <c r="AK242" s="218">
        <v>0</v>
      </c>
      <c r="AL242" s="470">
        <v>0</v>
      </c>
      <c r="AM242" s="471">
        <v>0</v>
      </c>
      <c r="AN242" s="477">
        <v>0</v>
      </c>
      <c r="AO242" s="473">
        <v>0</v>
      </c>
      <c r="AP242" s="474">
        <v>0</v>
      </c>
      <c r="AQ242" s="352"/>
      <c r="AR242" s="352"/>
      <c r="AS242" s="352"/>
      <c r="AT242" s="352"/>
      <c r="AU242" s="352"/>
      <c r="AV242" s="352"/>
      <c r="AW242" s="352" t="s">
        <v>254</v>
      </c>
    </row>
    <row r="243" spans="2:49" x14ac:dyDescent="0.2">
      <c r="B243" s="460" t="s">
        <v>2431</v>
      </c>
      <c r="C243" s="460">
        <v>1221</v>
      </c>
      <c r="D243" s="460" t="s">
        <v>2370</v>
      </c>
      <c r="E243" s="460" t="s">
        <v>1136</v>
      </c>
      <c r="F243" s="460">
        <v>1</v>
      </c>
      <c r="G243" s="460">
        <v>4</v>
      </c>
      <c r="H243" s="461" t="s">
        <v>752</v>
      </c>
      <c r="I243" s="461" t="s">
        <v>964</v>
      </c>
      <c r="J243" s="461" t="s">
        <v>752</v>
      </c>
      <c r="K243" s="594"/>
      <c r="L243" s="594"/>
      <c r="M243" s="352">
        <v>1000</v>
      </c>
      <c r="N243" s="352" t="s">
        <v>698</v>
      </c>
      <c r="O243" s="460">
        <v>1221</v>
      </c>
      <c r="P243" s="460" t="s">
        <v>711</v>
      </c>
      <c r="Q243" s="460" t="s">
        <v>2266</v>
      </c>
      <c r="R243" s="460">
        <v>1221</v>
      </c>
      <c r="S243" s="460" t="s">
        <v>1136</v>
      </c>
      <c r="T243" s="462">
        <v>1</v>
      </c>
      <c r="U243" s="460" t="s">
        <v>1136</v>
      </c>
      <c r="V243" s="475">
        <v>0</v>
      </c>
      <c r="W243" s="463" t="s">
        <v>2267</v>
      </c>
      <c r="X243" s="463" t="s">
        <v>2267</v>
      </c>
      <c r="Y243" s="463" t="s">
        <v>2267</v>
      </c>
      <c r="Z243" s="463"/>
      <c r="AA243" s="463"/>
      <c r="AB243" s="464">
        <v>224.47857106014274</v>
      </c>
      <c r="AC243" s="465">
        <v>0.17460006414427146</v>
      </c>
      <c r="AD243" s="465">
        <v>7.2694768497873638E-2</v>
      </c>
      <c r="AE243" s="476">
        <v>224.47857106014274</v>
      </c>
      <c r="AF243" s="467">
        <v>0.17460006414427146</v>
      </c>
      <c r="AG243" s="468">
        <v>7.2694768497873638E-2</v>
      </c>
      <c r="AH243" s="218">
        <v>224.47857106014274</v>
      </c>
      <c r="AI243" s="470">
        <v>0.17460006414427146</v>
      </c>
      <c r="AJ243" s="471">
        <v>6.1371255475343112E-2</v>
      </c>
      <c r="AK243" s="218">
        <v>224.47857106014274</v>
      </c>
      <c r="AL243" s="470">
        <v>0.17460006414427146</v>
      </c>
      <c r="AM243" s="471">
        <v>6.1371255475343112E-2</v>
      </c>
      <c r="AN243" s="477">
        <v>224.47857106014274</v>
      </c>
      <c r="AO243" s="473">
        <v>0.17460006414427146</v>
      </c>
      <c r="AP243" s="474">
        <v>6.1371255475343112E-2</v>
      </c>
      <c r="AQ243" s="352"/>
      <c r="AR243" s="352"/>
      <c r="AS243" s="352"/>
      <c r="AT243" s="352"/>
      <c r="AU243" s="352"/>
      <c r="AV243" s="352"/>
      <c r="AW243" s="352" t="s">
        <v>254</v>
      </c>
    </row>
    <row r="244" spans="2:49" x14ac:dyDescent="0.2">
      <c r="B244" s="460" t="s">
        <v>2432</v>
      </c>
      <c r="C244" s="460">
        <v>1221</v>
      </c>
      <c r="D244" s="460" t="s">
        <v>2371</v>
      </c>
      <c r="E244" s="460" t="s">
        <v>1137</v>
      </c>
      <c r="F244" s="460">
        <v>2</v>
      </c>
      <c r="G244" s="460">
        <v>4</v>
      </c>
      <c r="H244" s="461" t="s">
        <v>752</v>
      </c>
      <c r="I244" s="461" t="s">
        <v>964</v>
      </c>
      <c r="J244" s="461" t="s">
        <v>752</v>
      </c>
      <c r="K244" s="594"/>
      <c r="L244" s="594"/>
      <c r="M244" s="352">
        <v>1000</v>
      </c>
      <c r="N244" s="352" t="s">
        <v>698</v>
      </c>
      <c r="O244" s="460">
        <v>1221</v>
      </c>
      <c r="P244" s="460" t="s">
        <v>711</v>
      </c>
      <c r="Q244" s="460" t="s">
        <v>2266</v>
      </c>
      <c r="R244" s="460">
        <v>1221</v>
      </c>
      <c r="S244" s="460" t="s">
        <v>1137</v>
      </c>
      <c r="T244" s="462">
        <v>1</v>
      </c>
      <c r="U244" s="460" t="s">
        <v>1137</v>
      </c>
      <c r="V244" s="475">
        <v>0</v>
      </c>
      <c r="W244" s="463" t="s">
        <v>2267</v>
      </c>
      <c r="X244" s="463" t="s">
        <v>2267</v>
      </c>
      <c r="Y244" s="463" t="s">
        <v>2267</v>
      </c>
      <c r="Z244" s="463"/>
      <c r="AA244" s="463"/>
      <c r="AB244" s="464">
        <v>323.99079618493522</v>
      </c>
      <c r="AC244" s="465">
        <v>0.11978623295469622</v>
      </c>
      <c r="AD244" s="465">
        <v>3.1702156076647496E-2</v>
      </c>
      <c r="AE244" s="476">
        <v>323.99079618493522</v>
      </c>
      <c r="AF244" s="467">
        <v>0.11978623295469622</v>
      </c>
      <c r="AG244" s="468">
        <v>3.1702156076647496E-2</v>
      </c>
      <c r="AH244" s="218">
        <v>323.99079618493522</v>
      </c>
      <c r="AI244" s="470">
        <v>0.11978623295469622</v>
      </c>
      <c r="AJ244" s="471">
        <v>3.1429576515053279E-2</v>
      </c>
      <c r="AK244" s="218">
        <v>323.99079618493522</v>
      </c>
      <c r="AL244" s="470">
        <v>0.11978623295469622</v>
      </c>
      <c r="AM244" s="471">
        <v>3.1429576515053279E-2</v>
      </c>
      <c r="AN244" s="477">
        <v>323.99079618493522</v>
      </c>
      <c r="AO244" s="473">
        <v>0.11978623295469622</v>
      </c>
      <c r="AP244" s="474">
        <v>3.1429576515053279E-2</v>
      </c>
      <c r="AQ244" s="352"/>
      <c r="AR244" s="352"/>
      <c r="AS244" s="352"/>
      <c r="AT244" s="352"/>
      <c r="AU244" s="352"/>
      <c r="AV244" s="352"/>
      <c r="AW244" s="352" t="s">
        <v>254</v>
      </c>
    </row>
    <row r="245" spans="2:49" x14ac:dyDescent="0.2">
      <c r="B245" s="460" t="s">
        <v>2433</v>
      </c>
      <c r="C245" s="460">
        <v>1221</v>
      </c>
      <c r="D245" s="460" t="s">
        <v>2372</v>
      </c>
      <c r="E245" s="460" t="s">
        <v>1138</v>
      </c>
      <c r="F245" s="460">
        <v>3</v>
      </c>
      <c r="G245" s="460">
        <v>4</v>
      </c>
      <c r="H245" s="461" t="s">
        <v>752</v>
      </c>
      <c r="I245" s="461" t="s">
        <v>964</v>
      </c>
      <c r="J245" s="461" t="s">
        <v>752</v>
      </c>
      <c r="K245" s="594"/>
      <c r="L245" s="594"/>
      <c r="M245" s="352">
        <v>1000</v>
      </c>
      <c r="N245" s="352" t="s">
        <v>698</v>
      </c>
      <c r="O245" s="460">
        <v>1221</v>
      </c>
      <c r="P245" s="460" t="s">
        <v>711</v>
      </c>
      <c r="Q245" s="460" t="s">
        <v>2266</v>
      </c>
      <c r="R245" s="460">
        <v>1221</v>
      </c>
      <c r="S245" s="460" t="s">
        <v>1138</v>
      </c>
      <c r="T245" s="462">
        <v>1</v>
      </c>
      <c r="U245" s="460" t="s">
        <v>1138</v>
      </c>
      <c r="V245" s="475">
        <v>0</v>
      </c>
      <c r="W245" s="463" t="s">
        <v>2267</v>
      </c>
      <c r="X245" s="463" t="s">
        <v>2267</v>
      </c>
      <c r="Y245" s="463" t="s">
        <v>2267</v>
      </c>
      <c r="Z245" s="463"/>
      <c r="AA245" s="463"/>
      <c r="AB245" s="464">
        <v>337.17468586377208</v>
      </c>
      <c r="AC245" s="465">
        <v>0.20633100542547736</v>
      </c>
      <c r="AD245" s="465">
        <v>5.8237973260831535E-2</v>
      </c>
      <c r="AE245" s="476">
        <v>337.17468586377208</v>
      </c>
      <c r="AF245" s="467">
        <v>0.20633100542547736</v>
      </c>
      <c r="AG245" s="468">
        <v>5.8237973260831535E-2</v>
      </c>
      <c r="AH245" s="218">
        <v>337.17468586377208</v>
      </c>
      <c r="AI245" s="470">
        <v>0.20633100542547736</v>
      </c>
      <c r="AJ245" s="471">
        <v>5.5938343541920878E-2</v>
      </c>
      <c r="AK245" s="218">
        <v>337.17468586377208</v>
      </c>
      <c r="AL245" s="470">
        <v>0.20633100542547736</v>
      </c>
      <c r="AM245" s="471">
        <v>5.5938343541920878E-2</v>
      </c>
      <c r="AN245" s="477">
        <v>337.17468586377208</v>
      </c>
      <c r="AO245" s="473">
        <v>0.20633100542547736</v>
      </c>
      <c r="AP245" s="474">
        <v>5.5938343541920878E-2</v>
      </c>
      <c r="AQ245" s="352"/>
      <c r="AR245" s="352"/>
      <c r="AS245" s="352"/>
      <c r="AT245" s="352"/>
      <c r="AU245" s="352"/>
      <c r="AV245" s="352"/>
      <c r="AW245" s="352" t="s">
        <v>254</v>
      </c>
    </row>
    <row r="246" spans="2:49" x14ac:dyDescent="0.2">
      <c r="B246" s="460" t="s">
        <v>2434</v>
      </c>
      <c r="C246" s="460">
        <v>1221</v>
      </c>
      <c r="D246" s="460" t="s">
        <v>2373</v>
      </c>
      <c r="E246" s="460" t="s">
        <v>1139</v>
      </c>
      <c r="F246" s="460">
        <v>4</v>
      </c>
      <c r="G246" s="460">
        <v>4</v>
      </c>
      <c r="H246" s="461" t="s">
        <v>752</v>
      </c>
      <c r="I246" s="461" t="s">
        <v>964</v>
      </c>
      <c r="J246" s="461" t="s">
        <v>752</v>
      </c>
      <c r="K246" s="594"/>
      <c r="L246" s="594"/>
      <c r="M246" s="352">
        <v>1000</v>
      </c>
      <c r="N246" s="352" t="s">
        <v>698</v>
      </c>
      <c r="O246" s="460">
        <v>1221</v>
      </c>
      <c r="P246" s="460" t="s">
        <v>711</v>
      </c>
      <c r="Q246" s="460" t="s">
        <v>2266</v>
      </c>
      <c r="R246" s="460">
        <v>1221</v>
      </c>
      <c r="S246" s="460" t="s">
        <v>1139</v>
      </c>
      <c r="T246" s="462">
        <v>1</v>
      </c>
      <c r="U246" s="460" t="s">
        <v>1139</v>
      </c>
      <c r="V246" s="475">
        <v>0</v>
      </c>
      <c r="W246" s="463" t="s">
        <v>2267</v>
      </c>
      <c r="X246" s="463" t="s">
        <v>2267</v>
      </c>
      <c r="Y246" s="463" t="s">
        <v>2267</v>
      </c>
      <c r="Z246" s="463"/>
      <c r="AA246" s="463"/>
      <c r="AB246" s="464">
        <v>526.49457276281737</v>
      </c>
      <c r="AC246" s="465">
        <v>0.37188586286031339</v>
      </c>
      <c r="AD246" s="465">
        <v>2.0989902830115363E-2</v>
      </c>
      <c r="AE246" s="476">
        <v>526.49457276281737</v>
      </c>
      <c r="AF246" s="467">
        <v>0.37188586286031339</v>
      </c>
      <c r="AG246" s="468">
        <v>2.0989902830115363E-2</v>
      </c>
      <c r="AH246" s="218">
        <v>526.49457276281737</v>
      </c>
      <c r="AI246" s="470">
        <v>0.37188586286031339</v>
      </c>
      <c r="AJ246" s="471">
        <v>1.9510757691352722E-2</v>
      </c>
      <c r="AK246" s="218">
        <v>526.49457276281737</v>
      </c>
      <c r="AL246" s="470">
        <v>0.37188586286031339</v>
      </c>
      <c r="AM246" s="471">
        <v>1.9510757691352722E-2</v>
      </c>
      <c r="AN246" s="477">
        <v>526.49457276281737</v>
      </c>
      <c r="AO246" s="473">
        <v>0.37188586286031339</v>
      </c>
      <c r="AP246" s="474">
        <v>1.9510757691352722E-2</v>
      </c>
      <c r="AQ246" s="352"/>
      <c r="AR246" s="352"/>
      <c r="AS246" s="352"/>
      <c r="AT246" s="352"/>
      <c r="AU246" s="352"/>
      <c r="AV246" s="352"/>
      <c r="AW246" s="352" t="s">
        <v>254</v>
      </c>
    </row>
    <row r="247" spans="2:49" x14ac:dyDescent="0.2">
      <c r="B247" s="460" t="s">
        <v>2435</v>
      </c>
      <c r="C247" s="460">
        <v>1221</v>
      </c>
      <c r="D247" s="460" t="s">
        <v>2375</v>
      </c>
      <c r="E247" s="460" t="s">
        <v>2376</v>
      </c>
      <c r="F247" s="460">
        <v>1</v>
      </c>
      <c r="G247" s="460">
        <v>5</v>
      </c>
      <c r="H247" s="461" t="s">
        <v>754</v>
      </c>
      <c r="I247" s="461" t="s">
        <v>1991</v>
      </c>
      <c r="J247" s="461" t="s">
        <v>754</v>
      </c>
      <c r="K247" s="594"/>
      <c r="L247" s="594"/>
      <c r="M247" s="352">
        <v>1000</v>
      </c>
      <c r="N247" s="352" t="s">
        <v>698</v>
      </c>
      <c r="O247" s="460">
        <v>1221</v>
      </c>
      <c r="P247" s="460" t="s">
        <v>711</v>
      </c>
      <c r="Q247" s="460" t="s">
        <v>2377</v>
      </c>
      <c r="R247" s="460">
        <v>1221</v>
      </c>
      <c r="S247" s="460" t="s">
        <v>2376</v>
      </c>
      <c r="T247" s="462">
        <v>1</v>
      </c>
      <c r="U247" s="460" t="s">
        <v>2376</v>
      </c>
      <c r="V247" s="475">
        <v>0</v>
      </c>
      <c r="W247" s="463" t="s">
        <v>2278</v>
      </c>
      <c r="X247" s="463" t="s">
        <v>2278</v>
      </c>
      <c r="Y247" s="463" t="s">
        <v>2278</v>
      </c>
      <c r="Z247" s="463"/>
      <c r="AA247" s="463"/>
      <c r="AB247" s="464">
        <v>13090.640005856098</v>
      </c>
      <c r="AC247" s="465">
        <v>1</v>
      </c>
      <c r="AD247" s="465">
        <v>2.2006738235132054E-2</v>
      </c>
      <c r="AE247" s="476">
        <v>13090.640005856098</v>
      </c>
      <c r="AF247" s="467">
        <v>1</v>
      </c>
      <c r="AG247" s="468">
        <v>2.2006738235132054E-2</v>
      </c>
      <c r="AH247" s="218">
        <v>13090.640005856098</v>
      </c>
      <c r="AI247" s="470">
        <v>1</v>
      </c>
      <c r="AJ247" s="471">
        <v>2.2006738235132054E-2</v>
      </c>
      <c r="AK247" s="218">
        <v>13090.640005856098</v>
      </c>
      <c r="AL247" s="470">
        <v>1</v>
      </c>
      <c r="AM247" s="471">
        <v>2.2006738235132054E-2</v>
      </c>
      <c r="AN247" s="477">
        <v>13090.640005856098</v>
      </c>
      <c r="AO247" s="473">
        <v>1</v>
      </c>
      <c r="AP247" s="474">
        <v>2.2006738235132054E-2</v>
      </c>
      <c r="AQ247" s="352"/>
      <c r="AR247" s="352"/>
      <c r="AS247" s="352"/>
      <c r="AT247" s="352"/>
      <c r="AU247" s="352"/>
      <c r="AV247" s="352"/>
      <c r="AW247" s="352" t="s">
        <v>127</v>
      </c>
    </row>
    <row r="248" spans="2:49" x14ac:dyDescent="0.2">
      <c r="B248" s="460" t="s">
        <v>2436</v>
      </c>
      <c r="C248" s="460">
        <v>1221</v>
      </c>
      <c r="D248" s="460" t="s">
        <v>2379</v>
      </c>
      <c r="E248" s="460" t="s">
        <v>2380</v>
      </c>
      <c r="F248" s="460">
        <v>2</v>
      </c>
      <c r="G248" s="460">
        <v>5</v>
      </c>
      <c r="H248" s="461" t="s">
        <v>754</v>
      </c>
      <c r="I248" s="461" t="s">
        <v>1991</v>
      </c>
      <c r="J248" s="461" t="s">
        <v>754</v>
      </c>
      <c r="K248" s="594"/>
      <c r="L248" s="594"/>
      <c r="M248" s="352">
        <v>1000</v>
      </c>
      <c r="N248" s="352" t="s">
        <v>698</v>
      </c>
      <c r="O248" s="460">
        <v>1221</v>
      </c>
      <c r="P248" s="460" t="s">
        <v>711</v>
      </c>
      <c r="Q248" s="460" t="s">
        <v>2377</v>
      </c>
      <c r="R248" s="460">
        <v>1221</v>
      </c>
      <c r="S248" s="460" t="s">
        <v>2380</v>
      </c>
      <c r="T248" s="462">
        <v>1</v>
      </c>
      <c r="U248" s="460" t="s">
        <v>2380</v>
      </c>
      <c r="V248" s="475">
        <v>0</v>
      </c>
      <c r="W248" s="463" t="s">
        <v>2278</v>
      </c>
      <c r="X248" s="463" t="s">
        <v>2278</v>
      </c>
      <c r="Y248" s="463" t="s">
        <v>2278</v>
      </c>
      <c r="Z248" s="463"/>
      <c r="AA248" s="463"/>
      <c r="AB248" s="464">
        <v>7029.9495992179227</v>
      </c>
      <c r="AC248" s="465">
        <v>1</v>
      </c>
      <c r="AD248" s="465">
        <v>1.3843402762903476E-2</v>
      </c>
      <c r="AE248" s="476">
        <v>7029.9495992179227</v>
      </c>
      <c r="AF248" s="467">
        <v>1</v>
      </c>
      <c r="AG248" s="468">
        <v>1.3843402762903476E-2</v>
      </c>
      <c r="AH248" s="218">
        <v>7029.9495992179227</v>
      </c>
      <c r="AI248" s="470">
        <v>1</v>
      </c>
      <c r="AJ248" s="471">
        <v>1.3843402762903476E-2</v>
      </c>
      <c r="AK248" s="218">
        <v>7029.9495992179227</v>
      </c>
      <c r="AL248" s="470">
        <v>1</v>
      </c>
      <c r="AM248" s="471">
        <v>1.3843402762903476E-2</v>
      </c>
      <c r="AN248" s="477">
        <v>7029.9495992179227</v>
      </c>
      <c r="AO248" s="473">
        <v>1</v>
      </c>
      <c r="AP248" s="474">
        <v>1.3843402762903476E-2</v>
      </c>
      <c r="AQ248" s="352"/>
      <c r="AR248" s="352"/>
      <c r="AS248" s="352"/>
      <c r="AT248" s="352"/>
      <c r="AU248" s="352"/>
      <c r="AV248" s="352"/>
      <c r="AW248" s="352" t="s">
        <v>127</v>
      </c>
    </row>
    <row r="249" spans="2:49" x14ac:dyDescent="0.2">
      <c r="B249" s="460" t="s">
        <v>2437</v>
      </c>
      <c r="C249" s="460">
        <v>1221</v>
      </c>
      <c r="D249" s="460" t="s">
        <v>2382</v>
      </c>
      <c r="E249" s="460" t="s">
        <v>2383</v>
      </c>
      <c r="F249" s="460">
        <v>3</v>
      </c>
      <c r="G249" s="460">
        <v>5</v>
      </c>
      <c r="H249" s="461" t="s">
        <v>754</v>
      </c>
      <c r="I249" s="461" t="s">
        <v>1991</v>
      </c>
      <c r="J249" s="461" t="s">
        <v>754</v>
      </c>
      <c r="K249" s="594"/>
      <c r="L249" s="594"/>
      <c r="M249" s="352">
        <v>1000</v>
      </c>
      <c r="N249" s="352" t="s">
        <v>698</v>
      </c>
      <c r="O249" s="460">
        <v>1221</v>
      </c>
      <c r="P249" s="460" t="s">
        <v>711</v>
      </c>
      <c r="Q249" s="460" t="s">
        <v>2377</v>
      </c>
      <c r="R249" s="460">
        <v>1221</v>
      </c>
      <c r="S249" s="460" t="s">
        <v>2383</v>
      </c>
      <c r="T249" s="462">
        <v>1</v>
      </c>
      <c r="U249" s="460" t="s">
        <v>2383</v>
      </c>
      <c r="V249" s="475">
        <v>0</v>
      </c>
      <c r="W249" s="463" t="s">
        <v>2278</v>
      </c>
      <c r="X249" s="463" t="s">
        <v>2278</v>
      </c>
      <c r="Y249" s="463" t="s">
        <v>2278</v>
      </c>
      <c r="Z249" s="463"/>
      <c r="AA249" s="463"/>
      <c r="AB249" s="464">
        <v>1638.0500008978315</v>
      </c>
      <c r="AC249" s="465">
        <v>1</v>
      </c>
      <c r="AD249" s="465">
        <v>1.4560066452244988E-2</v>
      </c>
      <c r="AE249" s="476">
        <v>1638.0500008978315</v>
      </c>
      <c r="AF249" s="467">
        <v>1</v>
      </c>
      <c r="AG249" s="468">
        <v>1.4560066452244988E-2</v>
      </c>
      <c r="AH249" s="218">
        <v>1638.0500008978315</v>
      </c>
      <c r="AI249" s="470">
        <v>1</v>
      </c>
      <c r="AJ249" s="471">
        <v>1.4560066452244988E-2</v>
      </c>
      <c r="AK249" s="218">
        <v>1638.0500008978315</v>
      </c>
      <c r="AL249" s="470">
        <v>1</v>
      </c>
      <c r="AM249" s="471">
        <v>1.4560066452244988E-2</v>
      </c>
      <c r="AN249" s="477">
        <v>1638.0500008978315</v>
      </c>
      <c r="AO249" s="473">
        <v>1</v>
      </c>
      <c r="AP249" s="474">
        <v>1.4560066452244988E-2</v>
      </c>
      <c r="AQ249" s="352"/>
      <c r="AR249" s="352"/>
      <c r="AS249" s="352"/>
      <c r="AT249" s="352"/>
      <c r="AU249" s="352"/>
      <c r="AV249" s="352"/>
      <c r="AW249" s="352" t="s">
        <v>127</v>
      </c>
    </row>
    <row r="250" spans="2:49" x14ac:dyDescent="0.2">
      <c r="B250" s="460" t="s">
        <v>2438</v>
      </c>
      <c r="C250" s="460">
        <v>1221</v>
      </c>
      <c r="D250" s="460" t="s">
        <v>2385</v>
      </c>
      <c r="E250" s="460" t="s">
        <v>2386</v>
      </c>
      <c r="F250" s="460">
        <v>4</v>
      </c>
      <c r="G250" s="460">
        <v>5</v>
      </c>
      <c r="H250" s="461" t="s">
        <v>754</v>
      </c>
      <c r="I250" s="461" t="s">
        <v>1991</v>
      </c>
      <c r="J250" s="461" t="s">
        <v>754</v>
      </c>
      <c r="K250" s="594"/>
      <c r="L250" s="594"/>
      <c r="M250" s="352">
        <v>1000</v>
      </c>
      <c r="N250" s="352" t="s">
        <v>698</v>
      </c>
      <c r="O250" s="460">
        <v>1221</v>
      </c>
      <c r="P250" s="460" t="s">
        <v>711</v>
      </c>
      <c r="Q250" s="460" t="s">
        <v>2377</v>
      </c>
      <c r="R250" s="460">
        <v>1221</v>
      </c>
      <c r="S250" s="460" t="s">
        <v>2386</v>
      </c>
      <c r="T250" s="462">
        <v>1</v>
      </c>
      <c r="U250" s="460" t="s">
        <v>2386</v>
      </c>
      <c r="V250" s="475">
        <v>0</v>
      </c>
      <c r="W250" s="463" t="s">
        <v>2278</v>
      </c>
      <c r="X250" s="463" t="s">
        <v>2278</v>
      </c>
      <c r="Y250" s="463" t="s">
        <v>2278</v>
      </c>
      <c r="Z250" s="463"/>
      <c r="AA250" s="463"/>
      <c r="AB250" s="464">
        <v>1030.7731531093689</v>
      </c>
      <c r="AC250" s="465">
        <v>1</v>
      </c>
      <c r="AD250" s="465">
        <v>1.9121602176185366E-2</v>
      </c>
      <c r="AE250" s="476">
        <v>1030.7731531093689</v>
      </c>
      <c r="AF250" s="467">
        <v>1</v>
      </c>
      <c r="AG250" s="468">
        <v>1.9121602176185366E-2</v>
      </c>
      <c r="AH250" s="218">
        <v>1030.7731531093689</v>
      </c>
      <c r="AI250" s="470">
        <v>1</v>
      </c>
      <c r="AJ250" s="471">
        <v>1.9121602176185366E-2</v>
      </c>
      <c r="AK250" s="218">
        <v>1030.7731531093689</v>
      </c>
      <c r="AL250" s="470">
        <v>1</v>
      </c>
      <c r="AM250" s="471">
        <v>1.9121602176185366E-2</v>
      </c>
      <c r="AN250" s="477">
        <v>1030.7731531093689</v>
      </c>
      <c r="AO250" s="473">
        <v>1</v>
      </c>
      <c r="AP250" s="474">
        <v>1.9121602176185366E-2</v>
      </c>
      <c r="AQ250" s="352"/>
      <c r="AR250" s="352"/>
      <c r="AS250" s="352"/>
      <c r="AT250" s="352"/>
      <c r="AU250" s="352"/>
      <c r="AV250" s="352"/>
      <c r="AW250" s="352" t="s">
        <v>127</v>
      </c>
    </row>
    <row r="251" spans="2:49" x14ac:dyDescent="0.2">
      <c r="B251" s="460" t="s">
        <v>2439</v>
      </c>
      <c r="C251" s="460">
        <v>1222</v>
      </c>
      <c r="D251" s="460" t="s">
        <v>2264</v>
      </c>
      <c r="E251" s="460" t="s">
        <v>2265</v>
      </c>
      <c r="F251" s="460">
        <v>1</v>
      </c>
      <c r="G251" s="460">
        <v>1</v>
      </c>
      <c r="H251" s="461" t="s">
        <v>700</v>
      </c>
      <c r="I251" s="461" t="s">
        <v>872</v>
      </c>
      <c r="J251" s="461" t="s">
        <v>700</v>
      </c>
      <c r="K251" s="594"/>
      <c r="L251" s="594"/>
      <c r="M251" s="352">
        <v>1000</v>
      </c>
      <c r="N251" s="352" t="s">
        <v>698</v>
      </c>
      <c r="O251" s="460">
        <v>1222</v>
      </c>
      <c r="P251" s="460" t="s">
        <v>718</v>
      </c>
      <c r="Q251" s="460" t="s">
        <v>2440</v>
      </c>
      <c r="R251" s="460">
        <v>1221</v>
      </c>
      <c r="S251" s="460" t="s">
        <v>2265</v>
      </c>
      <c r="T251" s="462">
        <v>1</v>
      </c>
      <c r="U251" s="460" t="s">
        <v>2265</v>
      </c>
      <c r="V251" s="475">
        <v>0</v>
      </c>
      <c r="W251" s="463" t="s">
        <v>2267</v>
      </c>
      <c r="X251" s="463" t="s">
        <v>2267</v>
      </c>
      <c r="Y251" s="463" t="s">
        <v>2268</v>
      </c>
      <c r="Z251" s="463"/>
      <c r="AA251" s="463"/>
      <c r="AB251" s="464">
        <v>913.35862542478446</v>
      </c>
      <c r="AC251" s="465">
        <v>0.6198747792307564</v>
      </c>
      <c r="AD251" s="465">
        <v>8.4699720149078589E-3</v>
      </c>
      <c r="AE251" s="476">
        <v>913.35862542478446</v>
      </c>
      <c r="AF251" s="467">
        <v>0.6198747792307564</v>
      </c>
      <c r="AG251" s="468">
        <v>9.0477027913944581E-3</v>
      </c>
      <c r="AH251" s="218">
        <v>1141.7923450150327</v>
      </c>
      <c r="AI251" s="470">
        <v>0.77490731251855471</v>
      </c>
      <c r="AJ251" s="471">
        <v>1.0887377298069456E-2</v>
      </c>
      <c r="AK251" s="218">
        <v>1141.7923450150327</v>
      </c>
      <c r="AL251" s="470">
        <v>0.77490731251855471</v>
      </c>
      <c r="AM251" s="471">
        <v>1.0887377298069456E-2</v>
      </c>
      <c r="AN251" s="477">
        <v>0</v>
      </c>
      <c r="AO251" s="473">
        <v>0</v>
      </c>
      <c r="AP251" s="474">
        <v>0</v>
      </c>
      <c r="AQ251" s="352"/>
      <c r="AR251" s="352"/>
      <c r="AS251" s="352"/>
      <c r="AT251" s="352"/>
      <c r="AU251" s="352"/>
      <c r="AV251" s="352"/>
      <c r="AW251" s="352" t="s">
        <v>254</v>
      </c>
    </row>
    <row r="252" spans="2:49" x14ac:dyDescent="0.2">
      <c r="B252" s="460" t="s">
        <v>2441</v>
      </c>
      <c r="C252" s="460">
        <v>1222</v>
      </c>
      <c r="D252" s="460" t="s">
        <v>2270</v>
      </c>
      <c r="E252" s="460" t="s">
        <v>2271</v>
      </c>
      <c r="F252" s="460">
        <v>2</v>
      </c>
      <c r="G252" s="460">
        <v>1</v>
      </c>
      <c r="H252" s="461" t="s">
        <v>700</v>
      </c>
      <c r="I252" s="461" t="s">
        <v>872</v>
      </c>
      <c r="J252" s="461" t="s">
        <v>700</v>
      </c>
      <c r="K252" s="594"/>
      <c r="L252" s="594"/>
      <c r="M252" s="352">
        <v>1000</v>
      </c>
      <c r="N252" s="352" t="s">
        <v>698</v>
      </c>
      <c r="O252" s="460">
        <v>1222</v>
      </c>
      <c r="P252" s="460" t="s">
        <v>718</v>
      </c>
      <c r="Q252" s="460" t="s">
        <v>2440</v>
      </c>
      <c r="R252" s="460">
        <v>1221</v>
      </c>
      <c r="S252" s="460" t="s">
        <v>2265</v>
      </c>
      <c r="T252" s="462">
        <v>1</v>
      </c>
      <c r="U252" s="460" t="s">
        <v>2271</v>
      </c>
      <c r="V252" s="475">
        <v>0</v>
      </c>
      <c r="W252" s="463" t="s">
        <v>2267</v>
      </c>
      <c r="X252" s="463" t="s">
        <v>2267</v>
      </c>
      <c r="Y252" s="463" t="s">
        <v>2268</v>
      </c>
      <c r="Z252" s="463"/>
      <c r="AA252" s="463"/>
      <c r="AB252" s="464">
        <v>665.41980171226214</v>
      </c>
      <c r="AC252" s="465">
        <v>0.48163157297680598</v>
      </c>
      <c r="AD252" s="465">
        <v>8.255725799448884E-3</v>
      </c>
      <c r="AE252" s="476">
        <v>665.41980171226214</v>
      </c>
      <c r="AF252" s="467">
        <v>0.48163157297680598</v>
      </c>
      <c r="AG252" s="468">
        <v>8.9464101519433296E-3</v>
      </c>
      <c r="AH252" s="218">
        <v>1070.6081145272226</v>
      </c>
      <c r="AI252" s="470">
        <v>0.77490731251855471</v>
      </c>
      <c r="AJ252" s="471">
        <v>1.2640027080654023E-2</v>
      </c>
      <c r="AK252" s="218">
        <v>1070.6081145272226</v>
      </c>
      <c r="AL252" s="470">
        <v>0.77490731251855471</v>
      </c>
      <c r="AM252" s="471">
        <v>1.2640027080654023E-2</v>
      </c>
      <c r="AN252" s="477">
        <v>0</v>
      </c>
      <c r="AO252" s="473">
        <v>0</v>
      </c>
      <c r="AP252" s="474">
        <v>0</v>
      </c>
      <c r="AQ252" s="352"/>
      <c r="AR252" s="352"/>
      <c r="AS252" s="352"/>
      <c r="AT252" s="352"/>
      <c r="AU252" s="352"/>
      <c r="AV252" s="352"/>
      <c r="AW252" s="352" t="s">
        <v>254</v>
      </c>
    </row>
    <row r="253" spans="2:49" x14ac:dyDescent="0.2">
      <c r="B253" s="460" t="s">
        <v>2442</v>
      </c>
      <c r="C253" s="460">
        <v>1222</v>
      </c>
      <c r="D253" s="460" t="s">
        <v>2273</v>
      </c>
      <c r="E253" s="460" t="s">
        <v>2274</v>
      </c>
      <c r="F253" s="460">
        <v>3</v>
      </c>
      <c r="G253" s="460">
        <v>1</v>
      </c>
      <c r="H253" s="461" t="s">
        <v>700</v>
      </c>
      <c r="I253" s="461" t="s">
        <v>872</v>
      </c>
      <c r="J253" s="461" t="s">
        <v>700</v>
      </c>
      <c r="K253" s="594"/>
      <c r="L253" s="594"/>
      <c r="M253" s="352">
        <v>1000</v>
      </c>
      <c r="N253" s="352" t="s">
        <v>698</v>
      </c>
      <c r="O253" s="460">
        <v>1222</v>
      </c>
      <c r="P253" s="460" t="s">
        <v>718</v>
      </c>
      <c r="Q253" s="460" t="s">
        <v>2440</v>
      </c>
      <c r="R253" s="460">
        <v>1221</v>
      </c>
      <c r="S253" s="460" t="s">
        <v>2265</v>
      </c>
      <c r="T253" s="462">
        <v>0.74223365950407583</v>
      </c>
      <c r="U253" s="460" t="s">
        <v>2274</v>
      </c>
      <c r="V253" s="475">
        <v>0</v>
      </c>
      <c r="W253" s="463" t="s">
        <v>2267</v>
      </c>
      <c r="X253" s="463" t="s">
        <v>2267</v>
      </c>
      <c r="Y253" s="463" t="s">
        <v>2268</v>
      </c>
      <c r="Z253" s="463"/>
      <c r="AA253" s="463"/>
      <c r="AB253" s="464">
        <v>168.77628040622332</v>
      </c>
      <c r="AC253" s="465">
        <v>0.23923465292529561</v>
      </c>
      <c r="AD253" s="465">
        <v>8.3493044826996876E-3</v>
      </c>
      <c r="AE253" s="476">
        <v>168.77628040622332</v>
      </c>
      <c r="AF253" s="467">
        <v>0.23923465292529561</v>
      </c>
      <c r="AG253" s="468">
        <v>9.0437499463831474E-3</v>
      </c>
      <c r="AH253" s="218">
        <v>405.76793874850159</v>
      </c>
      <c r="AI253" s="470">
        <v>0.57516229034711541</v>
      </c>
      <c r="AJ253" s="471">
        <v>1.5745453600337665E-2</v>
      </c>
      <c r="AK253" s="218">
        <v>405.76793874850159</v>
      </c>
      <c r="AL253" s="470">
        <v>0.57516229034711541</v>
      </c>
      <c r="AM253" s="471">
        <v>1.5745453600337665E-2</v>
      </c>
      <c r="AN253" s="477">
        <v>0</v>
      </c>
      <c r="AO253" s="473">
        <v>0</v>
      </c>
      <c r="AP253" s="474">
        <v>0</v>
      </c>
      <c r="AQ253" s="352"/>
      <c r="AR253" s="352"/>
      <c r="AS253" s="352"/>
      <c r="AT253" s="352"/>
      <c r="AU253" s="352"/>
      <c r="AV253" s="352"/>
      <c r="AW253" s="352" t="s">
        <v>254</v>
      </c>
    </row>
    <row r="254" spans="2:49" x14ac:dyDescent="0.2">
      <c r="B254" s="460" t="s">
        <v>2443</v>
      </c>
      <c r="C254" s="460">
        <v>1222</v>
      </c>
      <c r="D254" s="460" t="s">
        <v>2276</v>
      </c>
      <c r="E254" s="460" t="s">
        <v>2277</v>
      </c>
      <c r="F254" s="460">
        <v>4</v>
      </c>
      <c r="G254" s="460">
        <v>1</v>
      </c>
      <c r="H254" s="461" t="s">
        <v>700</v>
      </c>
      <c r="I254" s="461" t="s">
        <v>872</v>
      </c>
      <c r="J254" s="461" t="s">
        <v>700</v>
      </c>
      <c r="K254" s="594"/>
      <c r="L254" s="594"/>
      <c r="M254" s="352">
        <v>1000</v>
      </c>
      <c r="N254" s="352" t="s">
        <v>698</v>
      </c>
      <c r="O254" s="460">
        <v>1222</v>
      </c>
      <c r="P254" s="460" t="s">
        <v>718</v>
      </c>
      <c r="Q254" s="460" t="s">
        <v>2440</v>
      </c>
      <c r="R254" s="460">
        <v>1221</v>
      </c>
      <c r="S254" s="460" t="s">
        <v>2277</v>
      </c>
      <c r="T254" s="462">
        <v>1</v>
      </c>
      <c r="U254" s="460" t="s">
        <v>2277</v>
      </c>
      <c r="V254" s="475">
        <v>0</v>
      </c>
      <c r="W254" s="463" t="s">
        <v>2278</v>
      </c>
      <c r="X254" s="463" t="s">
        <v>2278</v>
      </c>
      <c r="Y254" s="463" t="s">
        <v>2268</v>
      </c>
      <c r="Z254" s="463"/>
      <c r="AA254" s="463"/>
      <c r="AB254" s="464">
        <v>2.0889414902376844</v>
      </c>
      <c r="AC254" s="465">
        <v>3.4210837288901627E-3</v>
      </c>
      <c r="AD254" s="465">
        <v>8.4314059249789436E-3</v>
      </c>
      <c r="AE254" s="476">
        <v>2.0889414902376844</v>
      </c>
      <c r="AF254" s="467">
        <v>3.4210837288901627E-3</v>
      </c>
      <c r="AG254" s="468">
        <v>9.4258673822240052E-3</v>
      </c>
      <c r="AH254" s="218">
        <v>2.0889414902376844</v>
      </c>
      <c r="AI254" s="470">
        <v>3.4210837288901627E-3</v>
      </c>
      <c r="AJ254" s="471">
        <v>9.0342858750511214E-3</v>
      </c>
      <c r="AK254" s="218">
        <v>2.0889414902376844</v>
      </c>
      <c r="AL254" s="470">
        <v>3.4210837288901627E-3</v>
      </c>
      <c r="AM254" s="471">
        <v>9.0342858750511214E-3</v>
      </c>
      <c r="AN254" s="477">
        <v>0</v>
      </c>
      <c r="AO254" s="473">
        <v>0</v>
      </c>
      <c r="AP254" s="474">
        <v>0</v>
      </c>
      <c r="AQ254" s="352"/>
      <c r="AR254" s="352"/>
      <c r="AS254" s="352"/>
      <c r="AT254" s="352"/>
      <c r="AU254" s="352"/>
      <c r="AV254" s="352"/>
      <c r="AW254" s="352" t="s">
        <v>254</v>
      </c>
    </row>
    <row r="255" spans="2:49" x14ac:dyDescent="0.2">
      <c r="B255" s="460" t="s">
        <v>2439</v>
      </c>
      <c r="C255" s="460">
        <v>1222</v>
      </c>
      <c r="D255" s="460" t="s">
        <v>2279</v>
      </c>
      <c r="E255" s="460" t="s">
        <v>2265</v>
      </c>
      <c r="F255" s="460">
        <v>1</v>
      </c>
      <c r="G255" s="460">
        <v>1</v>
      </c>
      <c r="H255" s="461" t="s">
        <v>712</v>
      </c>
      <c r="I255" s="461" t="s">
        <v>713</v>
      </c>
      <c r="J255" s="461" t="s">
        <v>712</v>
      </c>
      <c r="K255" s="594"/>
      <c r="L255" s="594"/>
      <c r="M255" s="352">
        <v>1000</v>
      </c>
      <c r="N255" s="352" t="s">
        <v>698</v>
      </c>
      <c r="O255" s="460">
        <v>1222</v>
      </c>
      <c r="P255" s="460" t="s">
        <v>718</v>
      </c>
      <c r="Q255" s="460" t="s">
        <v>2280</v>
      </c>
      <c r="R255" s="460">
        <v>1221</v>
      </c>
      <c r="S255" s="460" t="s">
        <v>2265</v>
      </c>
      <c r="T255" s="462">
        <v>1</v>
      </c>
      <c r="U255" s="460" t="s">
        <v>2265</v>
      </c>
      <c r="V255" s="475">
        <v>0</v>
      </c>
      <c r="W255" s="463" t="s">
        <v>713</v>
      </c>
      <c r="X255" s="463" t="s">
        <v>713</v>
      </c>
      <c r="Y255" s="463" t="s">
        <v>713</v>
      </c>
      <c r="Z255" s="463"/>
      <c r="AA255" s="463"/>
      <c r="AB255" s="464">
        <v>560.0980403847708</v>
      </c>
      <c r="AC255" s="465">
        <v>0.3801252207692436</v>
      </c>
      <c r="AD255" s="465">
        <v>2.0690990235413802E-3</v>
      </c>
      <c r="AE255" s="476">
        <v>560.0980403847708</v>
      </c>
      <c r="AF255" s="467">
        <v>0.3801252207692436</v>
      </c>
      <c r="AG255" s="468">
        <v>2.0177731790072769E-3</v>
      </c>
      <c r="AH255" s="218">
        <v>331.66432079452261</v>
      </c>
      <c r="AI255" s="470">
        <v>0.22509268748144529</v>
      </c>
      <c r="AJ255" s="471">
        <v>1.2119644747088602E-3</v>
      </c>
      <c r="AK255" s="218">
        <v>331.66432079452261</v>
      </c>
      <c r="AL255" s="470">
        <v>0.22509268748144529</v>
      </c>
      <c r="AM255" s="471">
        <v>1.2119644747088602E-3</v>
      </c>
      <c r="AN255" s="477">
        <v>331.66432079452261</v>
      </c>
      <c r="AO255" s="473">
        <v>0.22509268748144529</v>
      </c>
      <c r="AP255" s="474">
        <v>1.2115695680756651E-3</v>
      </c>
      <c r="AQ255" s="352"/>
      <c r="AR255" s="352"/>
      <c r="AS255" s="352"/>
      <c r="AT255" s="352"/>
      <c r="AU255" s="352"/>
      <c r="AV255" s="352"/>
      <c r="AW255" s="352" t="s">
        <v>254</v>
      </c>
    </row>
    <row r="256" spans="2:49" x14ac:dyDescent="0.2">
      <c r="B256" s="460" t="s">
        <v>2441</v>
      </c>
      <c r="C256" s="460">
        <v>1222</v>
      </c>
      <c r="D256" s="460" t="s">
        <v>2281</v>
      </c>
      <c r="E256" s="460" t="s">
        <v>2271</v>
      </c>
      <c r="F256" s="460">
        <v>2</v>
      </c>
      <c r="G256" s="460">
        <v>1</v>
      </c>
      <c r="H256" s="461" t="s">
        <v>712</v>
      </c>
      <c r="I256" s="461" t="s">
        <v>713</v>
      </c>
      <c r="J256" s="461" t="s">
        <v>712</v>
      </c>
      <c r="K256" s="594"/>
      <c r="L256" s="594"/>
      <c r="M256" s="352">
        <v>1000</v>
      </c>
      <c r="N256" s="352" t="s">
        <v>698</v>
      </c>
      <c r="O256" s="460">
        <v>1222</v>
      </c>
      <c r="P256" s="460" t="s">
        <v>718</v>
      </c>
      <c r="Q256" s="460" t="s">
        <v>2280</v>
      </c>
      <c r="R256" s="460">
        <v>1221</v>
      </c>
      <c r="S256" s="460" t="s">
        <v>2265</v>
      </c>
      <c r="T256" s="462">
        <v>1</v>
      </c>
      <c r="U256" s="460" t="s">
        <v>2271</v>
      </c>
      <c r="V256" s="475">
        <v>0</v>
      </c>
      <c r="W256" s="463" t="s">
        <v>713</v>
      </c>
      <c r="X256" s="463" t="s">
        <v>713</v>
      </c>
      <c r="Y256" s="463" t="s">
        <v>713</v>
      </c>
      <c r="Z256" s="463"/>
      <c r="AA256" s="463"/>
      <c r="AB256" s="464">
        <v>716.17525776343143</v>
      </c>
      <c r="AC256" s="465">
        <v>0.51836842702319397</v>
      </c>
      <c r="AD256" s="465">
        <v>2.9906910117880078E-3</v>
      </c>
      <c r="AE256" s="476">
        <v>716.17525776343166</v>
      </c>
      <c r="AF256" s="467">
        <v>0.51836842702319408</v>
      </c>
      <c r="AG256" s="468">
        <v>2.9149460031333563E-3</v>
      </c>
      <c r="AH256" s="218">
        <v>310.98694494847115</v>
      </c>
      <c r="AI256" s="470">
        <v>0.22509268748144529</v>
      </c>
      <c r="AJ256" s="471">
        <v>1.3360451616245958E-3</v>
      </c>
      <c r="AK256" s="218">
        <v>310.98694494847115</v>
      </c>
      <c r="AL256" s="470">
        <v>0.22509268748144529</v>
      </c>
      <c r="AM256" s="471">
        <v>1.3360451616245958E-3</v>
      </c>
      <c r="AN256" s="477">
        <v>310.98694494847115</v>
      </c>
      <c r="AO256" s="473">
        <v>0.22509268748144529</v>
      </c>
      <c r="AP256" s="474">
        <v>1.335576032339588E-3</v>
      </c>
      <c r="AQ256" s="352"/>
      <c r="AR256" s="352"/>
      <c r="AS256" s="352"/>
      <c r="AT256" s="352"/>
      <c r="AU256" s="352"/>
      <c r="AV256" s="352"/>
      <c r="AW256" s="352" t="s">
        <v>254</v>
      </c>
    </row>
    <row r="257" spans="2:49" x14ac:dyDescent="0.2">
      <c r="B257" s="460" t="s">
        <v>2442</v>
      </c>
      <c r="C257" s="460">
        <v>1222</v>
      </c>
      <c r="D257" s="460" t="s">
        <v>2282</v>
      </c>
      <c r="E257" s="460" t="s">
        <v>2274</v>
      </c>
      <c r="F257" s="460">
        <v>3</v>
      </c>
      <c r="G257" s="460">
        <v>1</v>
      </c>
      <c r="H257" s="461" t="s">
        <v>712</v>
      </c>
      <c r="I257" s="461" t="s">
        <v>713</v>
      </c>
      <c r="J257" s="461" t="s">
        <v>712</v>
      </c>
      <c r="K257" s="594"/>
      <c r="L257" s="594"/>
      <c r="M257" s="352">
        <v>1000</v>
      </c>
      <c r="N257" s="352" t="s">
        <v>698</v>
      </c>
      <c r="O257" s="460">
        <v>1222</v>
      </c>
      <c r="P257" s="460" t="s">
        <v>718</v>
      </c>
      <c r="Q257" s="460" t="s">
        <v>2280</v>
      </c>
      <c r="R257" s="460">
        <v>1221</v>
      </c>
      <c r="S257" s="460" t="s">
        <v>2265</v>
      </c>
      <c r="T257" s="462">
        <v>0.74223365950407583</v>
      </c>
      <c r="U257" s="460" t="s">
        <v>2274</v>
      </c>
      <c r="V257" s="475">
        <v>0</v>
      </c>
      <c r="W257" s="463" t="s">
        <v>713</v>
      </c>
      <c r="X257" s="463" t="s">
        <v>713</v>
      </c>
      <c r="Y257" s="463" t="s">
        <v>713</v>
      </c>
      <c r="Z257" s="463"/>
      <c r="AA257" s="463"/>
      <c r="AB257" s="464">
        <v>536.70797257499544</v>
      </c>
      <c r="AC257" s="465">
        <v>0.76076534707470433</v>
      </c>
      <c r="AD257" s="465">
        <v>3.212311245501961E-3</v>
      </c>
      <c r="AE257" s="476">
        <v>536.70797257499555</v>
      </c>
      <c r="AF257" s="467">
        <v>0.76076534707470445</v>
      </c>
      <c r="AG257" s="468">
        <v>3.1827425750674695E-3</v>
      </c>
      <c r="AH257" s="218">
        <v>299.7163142327172</v>
      </c>
      <c r="AI257" s="470">
        <v>0.42483770965288459</v>
      </c>
      <c r="AJ257" s="471">
        <v>1.8834684863440043E-3</v>
      </c>
      <c r="AK257" s="218">
        <v>299.7163142327172</v>
      </c>
      <c r="AL257" s="470">
        <v>0.42483770965288459</v>
      </c>
      <c r="AM257" s="471">
        <v>1.8834684863440043E-3</v>
      </c>
      <c r="AN257" s="477">
        <v>299.7163142327172</v>
      </c>
      <c r="AO257" s="473">
        <v>0.42483770965288459</v>
      </c>
      <c r="AP257" s="474">
        <v>1.8970558220867658E-3</v>
      </c>
      <c r="AQ257" s="352"/>
      <c r="AR257" s="352"/>
      <c r="AS257" s="352"/>
      <c r="AT257" s="352"/>
      <c r="AU257" s="352"/>
      <c r="AV257" s="352"/>
      <c r="AW257" s="352" t="s">
        <v>254</v>
      </c>
    </row>
    <row r="258" spans="2:49" x14ac:dyDescent="0.2">
      <c r="B258" s="460" t="s">
        <v>2443</v>
      </c>
      <c r="C258" s="460">
        <v>1222</v>
      </c>
      <c r="D258" s="460" t="s">
        <v>2283</v>
      </c>
      <c r="E258" s="460" t="s">
        <v>2277</v>
      </c>
      <c r="F258" s="460">
        <v>4</v>
      </c>
      <c r="G258" s="460">
        <v>1</v>
      </c>
      <c r="H258" s="461" t="s">
        <v>712</v>
      </c>
      <c r="I258" s="461" t="s">
        <v>713</v>
      </c>
      <c r="J258" s="461" t="s">
        <v>712</v>
      </c>
      <c r="K258" s="594"/>
      <c r="L258" s="594"/>
      <c r="M258" s="352">
        <v>1000</v>
      </c>
      <c r="N258" s="352" t="s">
        <v>698</v>
      </c>
      <c r="O258" s="460">
        <v>1222</v>
      </c>
      <c r="P258" s="460" t="s">
        <v>718</v>
      </c>
      <c r="Q258" s="460" t="s">
        <v>2280</v>
      </c>
      <c r="R258" s="460">
        <v>1221</v>
      </c>
      <c r="S258" s="460" t="s">
        <v>2277</v>
      </c>
      <c r="T258" s="462">
        <v>1</v>
      </c>
      <c r="U258" s="460" t="s">
        <v>2277</v>
      </c>
      <c r="V258" s="475">
        <v>0</v>
      </c>
      <c r="W258" s="463" t="s">
        <v>713</v>
      </c>
      <c r="X258" s="463" t="s">
        <v>713</v>
      </c>
      <c r="Y258" s="463" t="s">
        <v>713</v>
      </c>
      <c r="Z258" s="463"/>
      <c r="AA258" s="463"/>
      <c r="AB258" s="464">
        <v>608.51917446936795</v>
      </c>
      <c r="AC258" s="465">
        <v>0.99657891627110995</v>
      </c>
      <c r="AD258" s="465">
        <v>3.1602073372587625E-3</v>
      </c>
      <c r="AE258" s="476">
        <v>608.51917446936795</v>
      </c>
      <c r="AF258" s="467">
        <v>0.99657891627110984</v>
      </c>
      <c r="AG258" s="468">
        <v>3.1597784028921036E-3</v>
      </c>
      <c r="AH258" s="218">
        <v>608.51917446936795</v>
      </c>
      <c r="AI258" s="470">
        <v>0.99657891627110984</v>
      </c>
      <c r="AJ258" s="471">
        <v>3.1599360165844924E-3</v>
      </c>
      <c r="AK258" s="218">
        <v>608.51917446936795</v>
      </c>
      <c r="AL258" s="470">
        <v>0.99657891627110984</v>
      </c>
      <c r="AM258" s="471">
        <v>3.1599360165844924E-3</v>
      </c>
      <c r="AN258" s="477">
        <v>608.51917446936795</v>
      </c>
      <c r="AO258" s="473">
        <v>0.99657891627110984</v>
      </c>
      <c r="AP258" s="474">
        <v>3.1599517733336665E-3</v>
      </c>
      <c r="AQ258" s="352"/>
      <c r="AR258" s="352"/>
      <c r="AS258" s="352"/>
      <c r="AT258" s="352"/>
      <c r="AU258" s="352"/>
      <c r="AV258" s="352"/>
      <c r="AW258" s="352" t="s">
        <v>254</v>
      </c>
    </row>
    <row r="259" spans="2:49" x14ac:dyDescent="0.2">
      <c r="B259" s="460" t="s">
        <v>2439</v>
      </c>
      <c r="C259" s="460">
        <v>1222</v>
      </c>
      <c r="D259" s="460" t="s">
        <v>2284</v>
      </c>
      <c r="E259" s="460" t="s">
        <v>2265</v>
      </c>
      <c r="F259" s="460">
        <v>1</v>
      </c>
      <c r="G259" s="460">
        <v>1</v>
      </c>
      <c r="H259" s="461" t="s">
        <v>746</v>
      </c>
      <c r="I259" s="461" t="s">
        <v>762</v>
      </c>
      <c r="J259" s="461" t="s">
        <v>700</v>
      </c>
      <c r="K259" s="594"/>
      <c r="L259" s="594"/>
      <c r="M259" s="352">
        <v>1000</v>
      </c>
      <c r="N259" s="352" t="s">
        <v>698</v>
      </c>
      <c r="O259" s="460">
        <v>1222</v>
      </c>
      <c r="P259" s="460" t="s">
        <v>718</v>
      </c>
      <c r="Q259" s="460" t="s">
        <v>2440</v>
      </c>
      <c r="R259" s="460">
        <v>1221</v>
      </c>
      <c r="S259" s="460" t="s">
        <v>2265</v>
      </c>
      <c r="T259" s="462">
        <v>1</v>
      </c>
      <c r="U259" s="460" t="s">
        <v>2265</v>
      </c>
      <c r="V259" s="475">
        <v>0</v>
      </c>
      <c r="W259" s="463" t="s">
        <v>2268</v>
      </c>
      <c r="X259" s="463" t="s">
        <v>2268</v>
      </c>
      <c r="Y259" s="463" t="s">
        <v>2267</v>
      </c>
      <c r="Z259" s="463"/>
      <c r="AA259" s="463"/>
      <c r="AB259" s="464">
        <v>0</v>
      </c>
      <c r="AC259" s="465">
        <v>0</v>
      </c>
      <c r="AD259" s="465">
        <v>0</v>
      </c>
      <c r="AE259" s="476">
        <v>0</v>
      </c>
      <c r="AF259" s="467">
        <v>0</v>
      </c>
      <c r="AG259" s="468">
        <v>0</v>
      </c>
      <c r="AH259" s="218">
        <v>0</v>
      </c>
      <c r="AI259" s="470">
        <v>0</v>
      </c>
      <c r="AJ259" s="471">
        <v>0</v>
      </c>
      <c r="AK259" s="218">
        <v>0</v>
      </c>
      <c r="AL259" s="470">
        <v>0</v>
      </c>
      <c r="AM259" s="471">
        <v>0</v>
      </c>
      <c r="AN259" s="477">
        <v>1141.7923450150327</v>
      </c>
      <c r="AO259" s="473">
        <v>0.77490731251855471</v>
      </c>
      <c r="AP259" s="474">
        <v>1.287528460514613E-2</v>
      </c>
      <c r="AQ259" s="352"/>
      <c r="AR259" s="352"/>
      <c r="AS259" s="352"/>
      <c r="AT259" s="352"/>
      <c r="AU259" s="352"/>
      <c r="AV259" s="352"/>
      <c r="AW259" s="352" t="s">
        <v>254</v>
      </c>
    </row>
    <row r="260" spans="2:49" x14ac:dyDescent="0.2">
      <c r="B260" s="460" t="s">
        <v>2441</v>
      </c>
      <c r="C260" s="460">
        <v>1222</v>
      </c>
      <c r="D260" s="460" t="s">
        <v>2285</v>
      </c>
      <c r="E260" s="460" t="s">
        <v>2271</v>
      </c>
      <c r="F260" s="460">
        <v>2</v>
      </c>
      <c r="G260" s="460">
        <v>1</v>
      </c>
      <c r="H260" s="461" t="s">
        <v>746</v>
      </c>
      <c r="I260" s="461" t="s">
        <v>762</v>
      </c>
      <c r="J260" s="461" t="s">
        <v>700</v>
      </c>
      <c r="K260" s="594"/>
      <c r="L260" s="594"/>
      <c r="M260" s="352">
        <v>1000</v>
      </c>
      <c r="N260" s="352" t="s">
        <v>698</v>
      </c>
      <c r="O260" s="460">
        <v>1222</v>
      </c>
      <c r="P260" s="460" t="s">
        <v>718</v>
      </c>
      <c r="Q260" s="460" t="s">
        <v>2440</v>
      </c>
      <c r="R260" s="460">
        <v>1221</v>
      </c>
      <c r="S260" s="460" t="s">
        <v>2265</v>
      </c>
      <c r="T260" s="462">
        <v>1</v>
      </c>
      <c r="U260" s="460" t="s">
        <v>2271</v>
      </c>
      <c r="V260" s="475">
        <v>0</v>
      </c>
      <c r="W260" s="463" t="s">
        <v>2268</v>
      </c>
      <c r="X260" s="463" t="s">
        <v>2268</v>
      </c>
      <c r="Y260" s="463" t="s">
        <v>2267</v>
      </c>
      <c r="Z260" s="463"/>
      <c r="AA260" s="463"/>
      <c r="AB260" s="464">
        <v>0</v>
      </c>
      <c r="AC260" s="465">
        <v>0</v>
      </c>
      <c r="AD260" s="465">
        <v>0</v>
      </c>
      <c r="AE260" s="476">
        <v>0</v>
      </c>
      <c r="AF260" s="467">
        <v>0</v>
      </c>
      <c r="AG260" s="468">
        <v>0</v>
      </c>
      <c r="AH260" s="218">
        <v>0</v>
      </c>
      <c r="AI260" s="470">
        <v>0</v>
      </c>
      <c r="AJ260" s="471">
        <v>0</v>
      </c>
      <c r="AK260" s="218">
        <v>0</v>
      </c>
      <c r="AL260" s="470">
        <v>0</v>
      </c>
      <c r="AM260" s="471">
        <v>0</v>
      </c>
      <c r="AN260" s="477">
        <v>1070.6081145272226</v>
      </c>
      <c r="AO260" s="473">
        <v>0.77490731251855471</v>
      </c>
      <c r="AP260" s="474">
        <v>1.5539525591943902E-2</v>
      </c>
      <c r="AQ260" s="352"/>
      <c r="AR260" s="352"/>
      <c r="AS260" s="352"/>
      <c r="AT260" s="352"/>
      <c r="AU260" s="352"/>
      <c r="AV260" s="352"/>
      <c r="AW260" s="352" t="s">
        <v>254</v>
      </c>
    </row>
    <row r="261" spans="2:49" x14ac:dyDescent="0.2">
      <c r="B261" s="460" t="s">
        <v>2442</v>
      </c>
      <c r="C261" s="460">
        <v>1222</v>
      </c>
      <c r="D261" s="460" t="s">
        <v>2286</v>
      </c>
      <c r="E261" s="460" t="s">
        <v>2274</v>
      </c>
      <c r="F261" s="460">
        <v>3</v>
      </c>
      <c r="G261" s="460">
        <v>1</v>
      </c>
      <c r="H261" s="461" t="s">
        <v>746</v>
      </c>
      <c r="I261" s="461" t="s">
        <v>762</v>
      </c>
      <c r="J261" s="461" t="s">
        <v>700</v>
      </c>
      <c r="K261" s="594"/>
      <c r="L261" s="594"/>
      <c r="M261" s="352">
        <v>1000</v>
      </c>
      <c r="N261" s="352" t="s">
        <v>698</v>
      </c>
      <c r="O261" s="460">
        <v>1222</v>
      </c>
      <c r="P261" s="460" t="s">
        <v>718</v>
      </c>
      <c r="Q261" s="460" t="s">
        <v>2440</v>
      </c>
      <c r="R261" s="460">
        <v>1221</v>
      </c>
      <c r="S261" s="460" t="s">
        <v>2265</v>
      </c>
      <c r="T261" s="462">
        <v>0.74223365950407583</v>
      </c>
      <c r="U261" s="460" t="s">
        <v>2274</v>
      </c>
      <c r="V261" s="475">
        <v>0</v>
      </c>
      <c r="W261" s="463" t="s">
        <v>2268</v>
      </c>
      <c r="X261" s="463" t="s">
        <v>2268</v>
      </c>
      <c r="Y261" s="463" t="s">
        <v>2267</v>
      </c>
      <c r="Z261" s="463"/>
      <c r="AA261" s="463"/>
      <c r="AB261" s="464">
        <v>0</v>
      </c>
      <c r="AC261" s="465">
        <v>0</v>
      </c>
      <c r="AD261" s="465">
        <v>0</v>
      </c>
      <c r="AE261" s="476">
        <v>0</v>
      </c>
      <c r="AF261" s="467">
        <v>0</v>
      </c>
      <c r="AG261" s="468">
        <v>0</v>
      </c>
      <c r="AH261" s="218">
        <v>0</v>
      </c>
      <c r="AI261" s="470">
        <v>0</v>
      </c>
      <c r="AJ261" s="471">
        <v>0</v>
      </c>
      <c r="AK261" s="218">
        <v>0</v>
      </c>
      <c r="AL261" s="470">
        <v>0</v>
      </c>
      <c r="AM261" s="471">
        <v>0</v>
      </c>
      <c r="AN261" s="477">
        <v>405.76793874850159</v>
      </c>
      <c r="AO261" s="473">
        <v>0.57516229034711541</v>
      </c>
      <c r="AP261" s="474">
        <v>2.0485271565356986E-2</v>
      </c>
      <c r="AQ261" s="352"/>
      <c r="AR261" s="352"/>
      <c r="AS261" s="352"/>
      <c r="AT261" s="352"/>
      <c r="AU261" s="352"/>
      <c r="AV261" s="352"/>
      <c r="AW261" s="352" t="s">
        <v>254</v>
      </c>
    </row>
    <row r="262" spans="2:49" x14ac:dyDescent="0.2">
      <c r="B262" s="460" t="s">
        <v>2443</v>
      </c>
      <c r="C262" s="460">
        <v>1222</v>
      </c>
      <c r="D262" s="460" t="s">
        <v>2287</v>
      </c>
      <c r="E262" s="460" t="s">
        <v>2277</v>
      </c>
      <c r="F262" s="460">
        <v>4</v>
      </c>
      <c r="G262" s="460">
        <v>1</v>
      </c>
      <c r="H262" s="461" t="s">
        <v>746</v>
      </c>
      <c r="I262" s="461" t="s">
        <v>762</v>
      </c>
      <c r="J262" s="461" t="s">
        <v>700</v>
      </c>
      <c r="K262" s="594"/>
      <c r="L262" s="594"/>
      <c r="M262" s="352">
        <v>1000</v>
      </c>
      <c r="N262" s="352" t="s">
        <v>698</v>
      </c>
      <c r="O262" s="460">
        <v>1222</v>
      </c>
      <c r="P262" s="460" t="s">
        <v>718</v>
      </c>
      <c r="Q262" s="460" t="s">
        <v>2440</v>
      </c>
      <c r="R262" s="460">
        <v>1221</v>
      </c>
      <c r="S262" s="460" t="s">
        <v>2277</v>
      </c>
      <c r="T262" s="462">
        <v>1</v>
      </c>
      <c r="U262" s="460" t="s">
        <v>2277</v>
      </c>
      <c r="V262" s="475">
        <v>0</v>
      </c>
      <c r="W262" s="463" t="s">
        <v>2268</v>
      </c>
      <c r="X262" s="463" t="s">
        <v>2268</v>
      </c>
      <c r="Y262" s="463" t="s">
        <v>2278</v>
      </c>
      <c r="Z262" s="463"/>
      <c r="AA262" s="463"/>
      <c r="AB262" s="464">
        <v>0</v>
      </c>
      <c r="AC262" s="465">
        <v>0</v>
      </c>
      <c r="AD262" s="465">
        <v>0</v>
      </c>
      <c r="AE262" s="476">
        <v>0</v>
      </c>
      <c r="AF262" s="467">
        <v>0</v>
      </c>
      <c r="AG262" s="468">
        <v>0</v>
      </c>
      <c r="AH262" s="218">
        <v>0</v>
      </c>
      <c r="AI262" s="470">
        <v>0</v>
      </c>
      <c r="AJ262" s="471">
        <v>0</v>
      </c>
      <c r="AK262" s="218">
        <v>0</v>
      </c>
      <c r="AL262" s="470">
        <v>0</v>
      </c>
      <c r="AM262" s="471">
        <v>0</v>
      </c>
      <c r="AN262" s="477">
        <v>2.0889414902376844</v>
      </c>
      <c r="AO262" s="473">
        <v>3.4210837288901627E-3</v>
      </c>
      <c r="AP262" s="474">
        <v>1.0950077604362072E-2</v>
      </c>
      <c r="AQ262" s="352"/>
      <c r="AR262" s="352"/>
      <c r="AS262" s="352"/>
      <c r="AT262" s="352"/>
      <c r="AU262" s="352"/>
      <c r="AV262" s="352"/>
      <c r="AW262" s="352" t="s">
        <v>254</v>
      </c>
    </row>
    <row r="263" spans="2:49" x14ac:dyDescent="0.2">
      <c r="B263" s="460" t="s">
        <v>2439</v>
      </c>
      <c r="C263" s="460">
        <v>1222</v>
      </c>
      <c r="D263" s="460" t="s">
        <v>2288</v>
      </c>
      <c r="E263" s="460" t="s">
        <v>2265</v>
      </c>
      <c r="F263" s="460">
        <v>1</v>
      </c>
      <c r="G263" s="460">
        <v>1</v>
      </c>
      <c r="H263" s="461" t="s">
        <v>748</v>
      </c>
      <c r="I263" s="461" t="s">
        <v>765</v>
      </c>
      <c r="J263" s="461" t="s">
        <v>700</v>
      </c>
      <c r="K263" s="594"/>
      <c r="L263" s="594"/>
      <c r="M263" s="352">
        <v>1000</v>
      </c>
      <c r="N263" s="352" t="s">
        <v>698</v>
      </c>
      <c r="O263" s="460">
        <v>1222</v>
      </c>
      <c r="P263" s="460" t="s">
        <v>718</v>
      </c>
      <c r="Q263" s="460" t="s">
        <v>2444</v>
      </c>
      <c r="R263" s="460">
        <v>1221</v>
      </c>
      <c r="S263" s="460" t="s">
        <v>2265</v>
      </c>
      <c r="T263" s="462">
        <v>1</v>
      </c>
      <c r="U263" s="460" t="s">
        <v>2265</v>
      </c>
      <c r="V263" s="475">
        <v>0</v>
      </c>
      <c r="W263" s="463" t="s">
        <v>2268</v>
      </c>
      <c r="X263" s="463" t="s">
        <v>2268</v>
      </c>
      <c r="Y263" s="463" t="s">
        <v>2290</v>
      </c>
      <c r="Z263" s="463"/>
      <c r="AA263" s="463"/>
      <c r="AB263" s="464">
        <v>0</v>
      </c>
      <c r="AC263" s="465">
        <v>0</v>
      </c>
      <c r="AD263" s="465">
        <v>0</v>
      </c>
      <c r="AE263" s="476">
        <v>0</v>
      </c>
      <c r="AF263" s="467">
        <v>0</v>
      </c>
      <c r="AG263" s="468">
        <v>0</v>
      </c>
      <c r="AH263" s="218">
        <v>0</v>
      </c>
      <c r="AI263" s="470">
        <v>0</v>
      </c>
      <c r="AJ263" s="471">
        <v>0</v>
      </c>
      <c r="AK263" s="218">
        <v>0</v>
      </c>
      <c r="AL263" s="470">
        <v>0</v>
      </c>
      <c r="AM263" s="471">
        <v>0</v>
      </c>
      <c r="AN263" s="477">
        <v>0</v>
      </c>
      <c r="AO263" s="473">
        <v>0</v>
      </c>
      <c r="AP263" s="474">
        <v>0</v>
      </c>
      <c r="AQ263" s="352"/>
      <c r="AR263" s="352"/>
      <c r="AS263" s="352"/>
      <c r="AT263" s="352"/>
      <c r="AU263" s="352"/>
      <c r="AV263" s="352"/>
      <c r="AW263" s="352" t="s">
        <v>254</v>
      </c>
    </row>
    <row r="264" spans="2:49" x14ac:dyDescent="0.2">
      <c r="B264" s="460" t="s">
        <v>2441</v>
      </c>
      <c r="C264" s="460">
        <v>1222</v>
      </c>
      <c r="D264" s="460" t="s">
        <v>2291</v>
      </c>
      <c r="E264" s="460" t="s">
        <v>2271</v>
      </c>
      <c r="F264" s="460">
        <v>2</v>
      </c>
      <c r="G264" s="460">
        <v>1</v>
      </c>
      <c r="H264" s="461" t="s">
        <v>748</v>
      </c>
      <c r="I264" s="461" t="s">
        <v>765</v>
      </c>
      <c r="J264" s="461" t="s">
        <v>700</v>
      </c>
      <c r="K264" s="594"/>
      <c r="L264" s="594"/>
      <c r="M264" s="352">
        <v>1000</v>
      </c>
      <c r="N264" s="352" t="s">
        <v>698</v>
      </c>
      <c r="O264" s="460">
        <v>1222</v>
      </c>
      <c r="P264" s="460" t="s">
        <v>718</v>
      </c>
      <c r="Q264" s="460" t="s">
        <v>2444</v>
      </c>
      <c r="R264" s="460">
        <v>1221</v>
      </c>
      <c r="S264" s="460" t="s">
        <v>2265</v>
      </c>
      <c r="T264" s="462">
        <v>1</v>
      </c>
      <c r="U264" s="460" t="s">
        <v>2271</v>
      </c>
      <c r="V264" s="475">
        <v>0</v>
      </c>
      <c r="W264" s="463" t="s">
        <v>2268</v>
      </c>
      <c r="X264" s="463" t="s">
        <v>2268</v>
      </c>
      <c r="Y264" s="463" t="s">
        <v>2290</v>
      </c>
      <c r="Z264" s="463"/>
      <c r="AA264" s="463"/>
      <c r="AB264" s="464">
        <v>0</v>
      </c>
      <c r="AC264" s="465">
        <v>0</v>
      </c>
      <c r="AD264" s="465">
        <v>0</v>
      </c>
      <c r="AE264" s="476">
        <v>0</v>
      </c>
      <c r="AF264" s="467">
        <v>0</v>
      </c>
      <c r="AG264" s="468">
        <v>0</v>
      </c>
      <c r="AH264" s="218">
        <v>0</v>
      </c>
      <c r="AI264" s="470">
        <v>0</v>
      </c>
      <c r="AJ264" s="471">
        <v>0</v>
      </c>
      <c r="AK264" s="218">
        <v>0</v>
      </c>
      <c r="AL264" s="470">
        <v>0</v>
      </c>
      <c r="AM264" s="471">
        <v>0</v>
      </c>
      <c r="AN264" s="477">
        <v>0</v>
      </c>
      <c r="AO264" s="473">
        <v>0</v>
      </c>
      <c r="AP264" s="474">
        <v>0</v>
      </c>
      <c r="AQ264" s="352"/>
      <c r="AR264" s="352"/>
      <c r="AS264" s="352"/>
      <c r="AT264" s="352"/>
      <c r="AU264" s="352"/>
      <c r="AV264" s="352"/>
      <c r="AW264" s="352" t="s">
        <v>254</v>
      </c>
    </row>
    <row r="265" spans="2:49" x14ac:dyDescent="0.2">
      <c r="B265" s="460" t="s">
        <v>2442</v>
      </c>
      <c r="C265" s="460">
        <v>1222</v>
      </c>
      <c r="D265" s="460" t="s">
        <v>2292</v>
      </c>
      <c r="E265" s="460" t="s">
        <v>2274</v>
      </c>
      <c r="F265" s="460">
        <v>3</v>
      </c>
      <c r="G265" s="460">
        <v>1</v>
      </c>
      <c r="H265" s="461" t="s">
        <v>748</v>
      </c>
      <c r="I265" s="461" t="s">
        <v>765</v>
      </c>
      <c r="J265" s="461" t="s">
        <v>700</v>
      </c>
      <c r="K265" s="594"/>
      <c r="L265" s="594"/>
      <c r="M265" s="352">
        <v>1000</v>
      </c>
      <c r="N265" s="352" t="s">
        <v>698</v>
      </c>
      <c r="O265" s="460">
        <v>1222</v>
      </c>
      <c r="P265" s="460" t="s">
        <v>718</v>
      </c>
      <c r="Q265" s="460" t="s">
        <v>2444</v>
      </c>
      <c r="R265" s="460">
        <v>1221</v>
      </c>
      <c r="S265" s="460" t="s">
        <v>2265</v>
      </c>
      <c r="T265" s="462">
        <v>0.74223365950407583</v>
      </c>
      <c r="U265" s="460" t="s">
        <v>2274</v>
      </c>
      <c r="V265" s="475">
        <v>0</v>
      </c>
      <c r="W265" s="463" t="s">
        <v>2268</v>
      </c>
      <c r="X265" s="463" t="s">
        <v>2268</v>
      </c>
      <c r="Y265" s="463" t="s">
        <v>2290</v>
      </c>
      <c r="Z265" s="463"/>
      <c r="AA265" s="463"/>
      <c r="AB265" s="464">
        <v>0</v>
      </c>
      <c r="AC265" s="465">
        <v>0</v>
      </c>
      <c r="AD265" s="465">
        <v>0</v>
      </c>
      <c r="AE265" s="476">
        <v>0</v>
      </c>
      <c r="AF265" s="467">
        <v>0</v>
      </c>
      <c r="AG265" s="468">
        <v>0</v>
      </c>
      <c r="AH265" s="218">
        <v>0</v>
      </c>
      <c r="AI265" s="470">
        <v>0</v>
      </c>
      <c r="AJ265" s="471">
        <v>0</v>
      </c>
      <c r="AK265" s="218">
        <v>0</v>
      </c>
      <c r="AL265" s="470">
        <v>0</v>
      </c>
      <c r="AM265" s="471">
        <v>0</v>
      </c>
      <c r="AN265" s="477">
        <v>0</v>
      </c>
      <c r="AO265" s="473">
        <v>0</v>
      </c>
      <c r="AP265" s="474">
        <v>0</v>
      </c>
      <c r="AQ265" s="352"/>
      <c r="AR265" s="352"/>
      <c r="AS265" s="352"/>
      <c r="AT265" s="352"/>
      <c r="AU265" s="352"/>
      <c r="AV265" s="352"/>
      <c r="AW265" s="352" t="s">
        <v>254</v>
      </c>
    </row>
    <row r="266" spans="2:49" x14ac:dyDescent="0.2">
      <c r="B266" s="460" t="s">
        <v>2443</v>
      </c>
      <c r="C266" s="460">
        <v>1222</v>
      </c>
      <c r="D266" s="460" t="s">
        <v>2293</v>
      </c>
      <c r="E266" s="460" t="s">
        <v>2277</v>
      </c>
      <c r="F266" s="460">
        <v>4</v>
      </c>
      <c r="G266" s="460">
        <v>1</v>
      </c>
      <c r="H266" s="461" t="s">
        <v>748</v>
      </c>
      <c r="I266" s="461" t="s">
        <v>765</v>
      </c>
      <c r="J266" s="461" t="s">
        <v>700</v>
      </c>
      <c r="K266" s="594"/>
      <c r="L266" s="594"/>
      <c r="M266" s="352">
        <v>1000</v>
      </c>
      <c r="N266" s="352" t="s">
        <v>698</v>
      </c>
      <c r="O266" s="460">
        <v>1222</v>
      </c>
      <c r="P266" s="460" t="s">
        <v>718</v>
      </c>
      <c r="Q266" s="460" t="s">
        <v>2444</v>
      </c>
      <c r="R266" s="460">
        <v>1221</v>
      </c>
      <c r="S266" s="460" t="s">
        <v>2277</v>
      </c>
      <c r="T266" s="462">
        <v>1</v>
      </c>
      <c r="U266" s="460" t="s">
        <v>2277</v>
      </c>
      <c r="V266" s="475">
        <v>0</v>
      </c>
      <c r="W266" s="463" t="s">
        <v>2268</v>
      </c>
      <c r="X266" s="463" t="s">
        <v>2268</v>
      </c>
      <c r="Y266" s="463" t="s">
        <v>2290</v>
      </c>
      <c r="Z266" s="463"/>
      <c r="AA266" s="463"/>
      <c r="AB266" s="464">
        <v>0</v>
      </c>
      <c r="AC266" s="465">
        <v>0</v>
      </c>
      <c r="AD266" s="465">
        <v>0</v>
      </c>
      <c r="AE266" s="476">
        <v>0</v>
      </c>
      <c r="AF266" s="467">
        <v>0</v>
      </c>
      <c r="AG266" s="468">
        <v>0</v>
      </c>
      <c r="AH266" s="218">
        <v>0</v>
      </c>
      <c r="AI266" s="470">
        <v>0</v>
      </c>
      <c r="AJ266" s="471">
        <v>0</v>
      </c>
      <c r="AK266" s="218">
        <v>0</v>
      </c>
      <c r="AL266" s="470">
        <v>0</v>
      </c>
      <c r="AM266" s="471">
        <v>0</v>
      </c>
      <c r="AN266" s="477">
        <v>0</v>
      </c>
      <c r="AO266" s="473">
        <v>0</v>
      </c>
      <c r="AP266" s="474">
        <v>0</v>
      </c>
      <c r="AQ266" s="352"/>
      <c r="AR266" s="352"/>
      <c r="AS266" s="352"/>
      <c r="AT266" s="352"/>
      <c r="AU266" s="352"/>
      <c r="AV266" s="352"/>
      <c r="AW266" s="352" t="s">
        <v>254</v>
      </c>
    </row>
    <row r="267" spans="2:49" x14ac:dyDescent="0.2">
      <c r="B267" s="460" t="s">
        <v>2445</v>
      </c>
      <c r="C267" s="460">
        <v>1222</v>
      </c>
      <c r="D267" s="460" t="s">
        <v>2295</v>
      </c>
      <c r="E267" s="460" t="s">
        <v>2296</v>
      </c>
      <c r="F267" s="460">
        <v>1</v>
      </c>
      <c r="G267" s="460">
        <v>2</v>
      </c>
      <c r="H267" s="461" t="s">
        <v>700</v>
      </c>
      <c r="I267" s="461" t="s">
        <v>872</v>
      </c>
      <c r="J267" s="461" t="s">
        <v>700</v>
      </c>
      <c r="K267" s="594"/>
      <c r="L267" s="594"/>
      <c r="M267" s="352">
        <v>1000</v>
      </c>
      <c r="N267" s="352" t="s">
        <v>698</v>
      </c>
      <c r="O267" s="460">
        <v>1222</v>
      </c>
      <c r="P267" s="460" t="s">
        <v>718</v>
      </c>
      <c r="Q267" s="460" t="s">
        <v>2440</v>
      </c>
      <c r="R267" s="460">
        <v>1221</v>
      </c>
      <c r="S267" s="460" t="s">
        <v>2296</v>
      </c>
      <c r="T267" s="462">
        <v>1</v>
      </c>
      <c r="U267" s="460" t="s">
        <v>2296</v>
      </c>
      <c r="V267" s="475">
        <v>0</v>
      </c>
      <c r="W267" s="463" t="s">
        <v>2267</v>
      </c>
      <c r="X267" s="463" t="s">
        <v>2267</v>
      </c>
      <c r="Y267" s="463" t="s">
        <v>2268</v>
      </c>
      <c r="Z267" s="463"/>
      <c r="AA267" s="463"/>
      <c r="AB267" s="464">
        <v>115.05428146554857</v>
      </c>
      <c r="AC267" s="465">
        <v>0.28778756540868222</v>
      </c>
      <c r="AD267" s="465">
        <v>6.7207492972477046E-3</v>
      </c>
      <c r="AE267" s="476">
        <v>115.05428146554857</v>
      </c>
      <c r="AF267" s="467">
        <v>0.28778756540868222</v>
      </c>
      <c r="AG267" s="468">
        <v>7.470478951575453E-3</v>
      </c>
      <c r="AH267" s="218">
        <v>184.04228260238395</v>
      </c>
      <c r="AI267" s="470">
        <v>0.46034862647207453</v>
      </c>
      <c r="AJ267" s="471">
        <v>1.0978737478630837E-2</v>
      </c>
      <c r="AK267" s="218">
        <v>184.04228260238395</v>
      </c>
      <c r="AL267" s="470">
        <v>0.46034862647207453</v>
      </c>
      <c r="AM267" s="471">
        <v>1.0978737478630837E-2</v>
      </c>
      <c r="AN267" s="477">
        <v>0</v>
      </c>
      <c r="AO267" s="473">
        <v>0</v>
      </c>
      <c r="AP267" s="474">
        <v>0</v>
      </c>
      <c r="AQ267" s="352"/>
      <c r="AR267" s="352"/>
      <c r="AS267" s="352"/>
      <c r="AT267" s="352"/>
      <c r="AU267" s="352"/>
      <c r="AV267" s="352"/>
      <c r="AW267" s="352" t="s">
        <v>254</v>
      </c>
    </row>
    <row r="268" spans="2:49" x14ac:dyDescent="0.2">
      <c r="B268" s="460" t="s">
        <v>2446</v>
      </c>
      <c r="C268" s="460">
        <v>1222</v>
      </c>
      <c r="D268" s="460" t="s">
        <v>2298</v>
      </c>
      <c r="E268" s="460" t="s">
        <v>2299</v>
      </c>
      <c r="F268" s="460">
        <v>2</v>
      </c>
      <c r="G268" s="460">
        <v>2</v>
      </c>
      <c r="H268" s="461" t="s">
        <v>700</v>
      </c>
      <c r="I268" s="461" t="s">
        <v>872</v>
      </c>
      <c r="J268" s="461" t="s">
        <v>700</v>
      </c>
      <c r="K268" s="594"/>
      <c r="L268" s="594"/>
      <c r="M268" s="352">
        <v>1000</v>
      </c>
      <c r="N268" s="352" t="s">
        <v>698</v>
      </c>
      <c r="O268" s="460">
        <v>1222</v>
      </c>
      <c r="P268" s="460" t="s">
        <v>718</v>
      </c>
      <c r="Q268" s="460" t="s">
        <v>2440</v>
      </c>
      <c r="R268" s="460">
        <v>1221</v>
      </c>
      <c r="S268" s="460" t="s">
        <v>2296</v>
      </c>
      <c r="T268" s="462">
        <v>0.55517361979372948</v>
      </c>
      <c r="U268" s="460" t="s">
        <v>2299</v>
      </c>
      <c r="V268" s="475">
        <v>0</v>
      </c>
      <c r="W268" s="463" t="s">
        <v>2267</v>
      </c>
      <c r="X268" s="463" t="s">
        <v>2267</v>
      </c>
      <c r="Y268" s="463" t="s">
        <v>2268</v>
      </c>
      <c r="Z268" s="463"/>
      <c r="AA268" s="463"/>
      <c r="AB268" s="464">
        <v>21.647295124274564</v>
      </c>
      <c r="AC268" s="465">
        <v>8.752634234440565E-2</v>
      </c>
      <c r="AD268" s="465">
        <v>6.5500263012071326E-3</v>
      </c>
      <c r="AE268" s="476">
        <v>21.647295124274564</v>
      </c>
      <c r="AF268" s="467">
        <v>8.752634234440565E-2</v>
      </c>
      <c r="AG268" s="468">
        <v>7.3503938593163657E-3</v>
      </c>
      <c r="AH268" s="218">
        <v>63.209234568574438</v>
      </c>
      <c r="AI268" s="470">
        <v>0.2555734133255731</v>
      </c>
      <c r="AJ268" s="471">
        <v>1.488498959825869E-2</v>
      </c>
      <c r="AK268" s="218">
        <v>63.209234568574438</v>
      </c>
      <c r="AL268" s="470">
        <v>0.2555734133255731</v>
      </c>
      <c r="AM268" s="471">
        <v>1.488498959825869E-2</v>
      </c>
      <c r="AN268" s="477">
        <v>0</v>
      </c>
      <c r="AO268" s="473">
        <v>0</v>
      </c>
      <c r="AP268" s="474">
        <v>0</v>
      </c>
      <c r="AQ268" s="352"/>
      <c r="AR268" s="352"/>
      <c r="AS268" s="352"/>
      <c r="AT268" s="352"/>
      <c r="AU268" s="352"/>
      <c r="AV268" s="352"/>
      <c r="AW268" s="352" t="s">
        <v>254</v>
      </c>
    </row>
    <row r="269" spans="2:49" x14ac:dyDescent="0.2">
      <c r="B269" s="460" t="s">
        <v>2447</v>
      </c>
      <c r="C269" s="460">
        <v>1222</v>
      </c>
      <c r="D269" s="460" t="s">
        <v>2301</v>
      </c>
      <c r="E269" s="460" t="s">
        <v>2302</v>
      </c>
      <c r="F269" s="460">
        <v>3</v>
      </c>
      <c r="G269" s="460">
        <v>2</v>
      </c>
      <c r="H269" s="461" t="s">
        <v>700</v>
      </c>
      <c r="I269" s="461" t="s">
        <v>872</v>
      </c>
      <c r="J269" s="461" t="s">
        <v>700</v>
      </c>
      <c r="K269" s="594"/>
      <c r="L269" s="594"/>
      <c r="M269" s="352">
        <v>1000</v>
      </c>
      <c r="N269" s="352" t="s">
        <v>698</v>
      </c>
      <c r="O269" s="460">
        <v>1222</v>
      </c>
      <c r="P269" s="460" t="s">
        <v>718</v>
      </c>
      <c r="Q269" s="460" t="s">
        <v>2440</v>
      </c>
      <c r="R269" s="460">
        <v>1221</v>
      </c>
      <c r="S269" s="460" t="s">
        <v>2296</v>
      </c>
      <c r="T269" s="462">
        <v>0.28481449642268464</v>
      </c>
      <c r="U269" s="460" t="s">
        <v>2302</v>
      </c>
      <c r="V269" s="475">
        <v>0</v>
      </c>
      <c r="W269" s="463" t="s">
        <v>2267</v>
      </c>
      <c r="X269" s="463" t="s">
        <v>2267</v>
      </c>
      <c r="Y269" s="463" t="s">
        <v>2268</v>
      </c>
      <c r="Z269" s="463"/>
      <c r="AA269" s="463"/>
      <c r="AB269" s="464">
        <v>2.116531081359204</v>
      </c>
      <c r="AC269" s="465">
        <v>9.8589923605788814E-3</v>
      </c>
      <c r="AD269" s="465">
        <v>4.1169447329452947E-3</v>
      </c>
      <c r="AE269" s="476">
        <v>2.116531081359204</v>
      </c>
      <c r="AF269" s="467">
        <v>9.8589923605788814E-3</v>
      </c>
      <c r="AG269" s="468">
        <v>4.6457188046122085E-3</v>
      </c>
      <c r="AH269" s="218">
        <v>28.147580006685931</v>
      </c>
      <c r="AI269" s="470">
        <v>0.13111396222751845</v>
      </c>
      <c r="AJ269" s="471">
        <v>2.9220535424038237E-2</v>
      </c>
      <c r="AK269" s="218">
        <v>28.147580006685931</v>
      </c>
      <c r="AL269" s="470">
        <v>0.13111396222751845</v>
      </c>
      <c r="AM269" s="471">
        <v>2.9220535424038237E-2</v>
      </c>
      <c r="AN269" s="477">
        <v>0</v>
      </c>
      <c r="AO269" s="473">
        <v>0</v>
      </c>
      <c r="AP269" s="474">
        <v>0</v>
      </c>
      <c r="AQ269" s="352"/>
      <c r="AR269" s="352"/>
      <c r="AS269" s="352"/>
      <c r="AT269" s="352"/>
      <c r="AU269" s="352"/>
      <c r="AV269" s="352"/>
      <c r="AW269" s="352" t="s">
        <v>254</v>
      </c>
    </row>
    <row r="270" spans="2:49" x14ac:dyDescent="0.2">
      <c r="B270" s="460" t="s">
        <v>2448</v>
      </c>
      <c r="C270" s="460">
        <v>1222</v>
      </c>
      <c r="D270" s="460" t="s">
        <v>2304</v>
      </c>
      <c r="E270" s="460" t="s">
        <v>2305</v>
      </c>
      <c r="F270" s="460">
        <v>4</v>
      </c>
      <c r="G270" s="460">
        <v>2</v>
      </c>
      <c r="H270" s="461" t="s">
        <v>700</v>
      </c>
      <c r="I270" s="461" t="s">
        <v>872</v>
      </c>
      <c r="J270" s="461" t="s">
        <v>700</v>
      </c>
      <c r="K270" s="594"/>
      <c r="L270" s="594"/>
      <c r="M270" s="352">
        <v>1000</v>
      </c>
      <c r="N270" s="352" t="s">
        <v>698</v>
      </c>
      <c r="O270" s="460">
        <v>1222</v>
      </c>
      <c r="P270" s="460" t="s">
        <v>718</v>
      </c>
      <c r="Q270" s="460" t="s">
        <v>2440</v>
      </c>
      <c r="R270" s="460">
        <v>1221</v>
      </c>
      <c r="S270" s="460" t="s">
        <v>2305</v>
      </c>
      <c r="T270" s="462">
        <v>1</v>
      </c>
      <c r="U270" s="460" t="s">
        <v>2305</v>
      </c>
      <c r="V270" s="475">
        <v>0</v>
      </c>
      <c r="W270" s="463" t="s">
        <v>2278</v>
      </c>
      <c r="X270" s="463" t="s">
        <v>2278</v>
      </c>
      <c r="Y270" s="463" t="s">
        <v>2268</v>
      </c>
      <c r="Z270" s="463"/>
      <c r="AA270" s="463"/>
      <c r="AB270" s="464">
        <v>0.19243242744459121</v>
      </c>
      <c r="AC270" s="465">
        <v>7.9782242890310867E-4</v>
      </c>
      <c r="AD270" s="465">
        <v>1.5235470677250602E-2</v>
      </c>
      <c r="AE270" s="476">
        <v>0.19243242744459121</v>
      </c>
      <c r="AF270" s="467">
        <v>7.9782242890310867E-4</v>
      </c>
      <c r="AG270" s="468">
        <v>1.6917759674961855E-2</v>
      </c>
      <c r="AH270" s="218">
        <v>0.19243242744459121</v>
      </c>
      <c r="AI270" s="470">
        <v>7.9782242890310867E-4</v>
      </c>
      <c r="AJ270" s="471">
        <v>1.6847554169268291E-2</v>
      </c>
      <c r="AK270" s="218">
        <v>0.19243242744459121</v>
      </c>
      <c r="AL270" s="470">
        <v>7.9782242890310867E-4</v>
      </c>
      <c r="AM270" s="471">
        <v>1.6847554169268291E-2</v>
      </c>
      <c r="AN270" s="477">
        <v>0</v>
      </c>
      <c r="AO270" s="473">
        <v>0</v>
      </c>
      <c r="AP270" s="474">
        <v>0</v>
      </c>
      <c r="AQ270" s="352"/>
      <c r="AR270" s="352"/>
      <c r="AS270" s="352"/>
      <c r="AT270" s="352"/>
      <c r="AU270" s="352"/>
      <c r="AV270" s="352"/>
      <c r="AW270" s="352" t="s">
        <v>254</v>
      </c>
    </row>
    <row r="271" spans="2:49" x14ac:dyDescent="0.2">
      <c r="B271" s="460" t="s">
        <v>2445</v>
      </c>
      <c r="C271" s="460">
        <v>1222</v>
      </c>
      <c r="D271" s="460" t="s">
        <v>2306</v>
      </c>
      <c r="E271" s="460" t="s">
        <v>2296</v>
      </c>
      <c r="F271" s="460">
        <v>1</v>
      </c>
      <c r="G271" s="460">
        <v>2</v>
      </c>
      <c r="H271" s="461" t="s">
        <v>712</v>
      </c>
      <c r="I271" s="461" t="s">
        <v>713</v>
      </c>
      <c r="J271" s="461" t="s">
        <v>712</v>
      </c>
      <c r="K271" s="594"/>
      <c r="L271" s="594"/>
      <c r="M271" s="352">
        <v>1000</v>
      </c>
      <c r="N271" s="352" t="s">
        <v>698</v>
      </c>
      <c r="O271" s="460">
        <v>1222</v>
      </c>
      <c r="P271" s="460" t="s">
        <v>718</v>
      </c>
      <c r="Q271" s="460" t="s">
        <v>2280</v>
      </c>
      <c r="R271" s="460">
        <v>1221</v>
      </c>
      <c r="S271" s="460" t="s">
        <v>2296</v>
      </c>
      <c r="T271" s="462">
        <v>1</v>
      </c>
      <c r="U271" s="460" t="s">
        <v>2296</v>
      </c>
      <c r="V271" s="475">
        <v>0</v>
      </c>
      <c r="W271" s="463" t="s">
        <v>713</v>
      </c>
      <c r="X271" s="463" t="s">
        <v>713</v>
      </c>
      <c r="Y271" s="463" t="s">
        <v>713</v>
      </c>
      <c r="Z271" s="463"/>
      <c r="AA271" s="463"/>
      <c r="AB271" s="464">
        <v>284.73464375143203</v>
      </c>
      <c r="AC271" s="465">
        <v>0.71221243459131778</v>
      </c>
      <c r="AD271" s="465">
        <v>2.4626633503120926E-3</v>
      </c>
      <c r="AE271" s="476">
        <v>284.73464375143203</v>
      </c>
      <c r="AF271" s="467">
        <v>0.71221243459131778</v>
      </c>
      <c r="AG271" s="468">
        <v>2.4266050570764795E-3</v>
      </c>
      <c r="AH271" s="218">
        <v>215.74664261459665</v>
      </c>
      <c r="AI271" s="470">
        <v>0.53965137352792547</v>
      </c>
      <c r="AJ271" s="471">
        <v>1.8602640191394567E-3</v>
      </c>
      <c r="AK271" s="218">
        <v>215.74664261459665</v>
      </c>
      <c r="AL271" s="470">
        <v>0.53965137352792547</v>
      </c>
      <c r="AM271" s="471">
        <v>1.8602640191394567E-3</v>
      </c>
      <c r="AN271" s="477">
        <v>215.74664261459665</v>
      </c>
      <c r="AO271" s="473">
        <v>0.53965137352792547</v>
      </c>
      <c r="AP271" s="474">
        <v>1.85980748474039E-3</v>
      </c>
      <c r="AQ271" s="352"/>
      <c r="AR271" s="352"/>
      <c r="AS271" s="352"/>
      <c r="AT271" s="352"/>
      <c r="AU271" s="352"/>
      <c r="AV271" s="352"/>
      <c r="AW271" s="352" t="s">
        <v>254</v>
      </c>
    </row>
    <row r="272" spans="2:49" x14ac:dyDescent="0.2">
      <c r="B272" s="460" t="s">
        <v>2446</v>
      </c>
      <c r="C272" s="460">
        <v>1222</v>
      </c>
      <c r="D272" s="460" t="s">
        <v>2307</v>
      </c>
      <c r="E272" s="460" t="s">
        <v>2299</v>
      </c>
      <c r="F272" s="460">
        <v>2</v>
      </c>
      <c r="G272" s="460">
        <v>2</v>
      </c>
      <c r="H272" s="461" t="s">
        <v>712</v>
      </c>
      <c r="I272" s="461" t="s">
        <v>713</v>
      </c>
      <c r="J272" s="461" t="s">
        <v>712</v>
      </c>
      <c r="K272" s="594"/>
      <c r="L272" s="594"/>
      <c r="M272" s="352">
        <v>1000</v>
      </c>
      <c r="N272" s="352" t="s">
        <v>698</v>
      </c>
      <c r="O272" s="460">
        <v>1222</v>
      </c>
      <c r="P272" s="460" t="s">
        <v>718</v>
      </c>
      <c r="Q272" s="460" t="s">
        <v>2280</v>
      </c>
      <c r="R272" s="460">
        <v>1221</v>
      </c>
      <c r="S272" s="460" t="s">
        <v>2296</v>
      </c>
      <c r="T272" s="462">
        <v>0.55517361979372948</v>
      </c>
      <c r="U272" s="460" t="s">
        <v>2299</v>
      </c>
      <c r="V272" s="475">
        <v>0</v>
      </c>
      <c r="W272" s="463" t="s">
        <v>713</v>
      </c>
      <c r="X272" s="463" t="s">
        <v>713</v>
      </c>
      <c r="Y272" s="463" t="s">
        <v>713</v>
      </c>
      <c r="Z272" s="463"/>
      <c r="AA272" s="463"/>
      <c r="AB272" s="464">
        <v>225.67590546252771</v>
      </c>
      <c r="AC272" s="465">
        <v>0.91247365765559441</v>
      </c>
      <c r="AD272" s="465">
        <v>2.6103373515438469E-3</v>
      </c>
      <c r="AE272" s="476">
        <v>225.67590546252771</v>
      </c>
      <c r="AF272" s="467">
        <v>0.91247365765559429</v>
      </c>
      <c r="AG272" s="468">
        <v>2.5995169455273527E-3</v>
      </c>
      <c r="AH272" s="218">
        <v>184.11396601822781</v>
      </c>
      <c r="AI272" s="470">
        <v>0.74442658667442685</v>
      </c>
      <c r="AJ272" s="471">
        <v>2.1570610474256212E-3</v>
      </c>
      <c r="AK272" s="218">
        <v>184.11396601822781</v>
      </c>
      <c r="AL272" s="470">
        <v>0.74442658667442685</v>
      </c>
      <c r="AM272" s="471">
        <v>2.1570610474256212E-3</v>
      </c>
      <c r="AN272" s="477">
        <v>184.11396601822781</v>
      </c>
      <c r="AO272" s="473">
        <v>0.74442658667442685</v>
      </c>
      <c r="AP272" s="474">
        <v>2.1567887514698379E-3</v>
      </c>
      <c r="AQ272" s="352"/>
      <c r="AR272" s="352"/>
      <c r="AS272" s="352"/>
      <c r="AT272" s="352"/>
      <c r="AU272" s="352"/>
      <c r="AV272" s="352"/>
      <c r="AW272" s="352" t="s">
        <v>254</v>
      </c>
    </row>
    <row r="273" spans="2:49" x14ac:dyDescent="0.2">
      <c r="B273" s="460" t="s">
        <v>2447</v>
      </c>
      <c r="C273" s="460">
        <v>1222</v>
      </c>
      <c r="D273" s="460" t="s">
        <v>2308</v>
      </c>
      <c r="E273" s="460" t="s">
        <v>2302</v>
      </c>
      <c r="F273" s="460">
        <v>3</v>
      </c>
      <c r="G273" s="460">
        <v>2</v>
      </c>
      <c r="H273" s="461" t="s">
        <v>712</v>
      </c>
      <c r="I273" s="461" t="s">
        <v>713</v>
      </c>
      <c r="J273" s="461" t="s">
        <v>712</v>
      </c>
      <c r="K273" s="594"/>
      <c r="L273" s="594"/>
      <c r="M273" s="352">
        <v>1000</v>
      </c>
      <c r="N273" s="352" t="s">
        <v>698</v>
      </c>
      <c r="O273" s="460">
        <v>1222</v>
      </c>
      <c r="P273" s="460" t="s">
        <v>718</v>
      </c>
      <c r="Q273" s="460" t="s">
        <v>2280</v>
      </c>
      <c r="R273" s="460">
        <v>1221</v>
      </c>
      <c r="S273" s="460" t="s">
        <v>2296</v>
      </c>
      <c r="T273" s="462">
        <v>0.28481449642268464</v>
      </c>
      <c r="U273" s="460" t="s">
        <v>2302</v>
      </c>
      <c r="V273" s="475">
        <v>0</v>
      </c>
      <c r="W273" s="463" t="s">
        <v>713</v>
      </c>
      <c r="X273" s="463" t="s">
        <v>713</v>
      </c>
      <c r="Y273" s="463" t="s">
        <v>713</v>
      </c>
      <c r="Z273" s="463"/>
      <c r="AA273" s="463"/>
      <c r="AB273" s="464">
        <v>212.5637327782762</v>
      </c>
      <c r="AC273" s="465">
        <v>0.99014100763942114</v>
      </c>
      <c r="AD273" s="465">
        <v>6.1829478109924297E-3</v>
      </c>
      <c r="AE273" s="476">
        <v>212.5637327782762</v>
      </c>
      <c r="AF273" s="467">
        <v>0.99014100763942114</v>
      </c>
      <c r="AG273" s="468">
        <v>6.1724419832678975E-3</v>
      </c>
      <c r="AH273" s="218">
        <v>186.53268385294948</v>
      </c>
      <c r="AI273" s="470">
        <v>0.86888603777248152</v>
      </c>
      <c r="AJ273" s="471">
        <v>5.4975983925689724E-3</v>
      </c>
      <c r="AK273" s="218">
        <v>186.53268385294948</v>
      </c>
      <c r="AL273" s="470">
        <v>0.86888603777248152</v>
      </c>
      <c r="AM273" s="471">
        <v>5.4975983925689724E-3</v>
      </c>
      <c r="AN273" s="477">
        <v>186.53268385294948</v>
      </c>
      <c r="AO273" s="473">
        <v>0.86888603777248152</v>
      </c>
      <c r="AP273" s="474">
        <v>5.5023788596526707E-3</v>
      </c>
      <c r="AQ273" s="352"/>
      <c r="AR273" s="352"/>
      <c r="AS273" s="352"/>
      <c r="AT273" s="352"/>
      <c r="AU273" s="352"/>
      <c r="AV273" s="352"/>
      <c r="AW273" s="352" t="s">
        <v>254</v>
      </c>
    </row>
    <row r="274" spans="2:49" x14ac:dyDescent="0.2">
      <c r="B274" s="460" t="s">
        <v>2448</v>
      </c>
      <c r="C274" s="460">
        <v>1222</v>
      </c>
      <c r="D274" s="460" t="s">
        <v>2309</v>
      </c>
      <c r="E274" s="460" t="s">
        <v>2305</v>
      </c>
      <c r="F274" s="460">
        <v>4</v>
      </c>
      <c r="G274" s="460">
        <v>2</v>
      </c>
      <c r="H274" s="461" t="s">
        <v>712</v>
      </c>
      <c r="I274" s="461" t="s">
        <v>713</v>
      </c>
      <c r="J274" s="461" t="s">
        <v>712</v>
      </c>
      <c r="K274" s="594"/>
      <c r="L274" s="594"/>
      <c r="M274" s="352">
        <v>1000</v>
      </c>
      <c r="N274" s="352" t="s">
        <v>698</v>
      </c>
      <c r="O274" s="460">
        <v>1222</v>
      </c>
      <c r="P274" s="460" t="s">
        <v>718</v>
      </c>
      <c r="Q274" s="460" t="s">
        <v>2280</v>
      </c>
      <c r="R274" s="460">
        <v>1221</v>
      </c>
      <c r="S274" s="460" t="s">
        <v>2305</v>
      </c>
      <c r="T274" s="462">
        <v>1</v>
      </c>
      <c r="U274" s="460" t="s">
        <v>2305</v>
      </c>
      <c r="V274" s="475">
        <v>0</v>
      </c>
      <c r="W274" s="463" t="s">
        <v>713</v>
      </c>
      <c r="X274" s="463" t="s">
        <v>713</v>
      </c>
      <c r="Y274" s="463" t="s">
        <v>713</v>
      </c>
      <c r="Z274" s="463"/>
      <c r="AA274" s="463"/>
      <c r="AB274" s="464">
        <v>241.00463157232059</v>
      </c>
      <c r="AC274" s="465">
        <v>0.99920217757109686</v>
      </c>
      <c r="AD274" s="465">
        <v>6.1552347724927884E-3</v>
      </c>
      <c r="AE274" s="476">
        <v>241.00463157232059</v>
      </c>
      <c r="AF274" s="467">
        <v>0.99920217757109686</v>
      </c>
      <c r="AG274" s="468">
        <v>6.1550373348028022E-3</v>
      </c>
      <c r="AH274" s="218">
        <v>241.00463157232059</v>
      </c>
      <c r="AI274" s="470">
        <v>0.99920217757109686</v>
      </c>
      <c r="AJ274" s="471">
        <v>6.1550447856599617E-3</v>
      </c>
      <c r="AK274" s="218">
        <v>241.00463157232059</v>
      </c>
      <c r="AL274" s="470">
        <v>0.99920217757109686</v>
      </c>
      <c r="AM274" s="471">
        <v>6.1550447856599617E-3</v>
      </c>
      <c r="AN274" s="477">
        <v>241.00463157232059</v>
      </c>
      <c r="AO274" s="473">
        <v>0.99920217757109686</v>
      </c>
      <c r="AP274" s="474">
        <v>6.1550523145037853E-3</v>
      </c>
      <c r="AQ274" s="352"/>
      <c r="AR274" s="352"/>
      <c r="AS274" s="352"/>
      <c r="AT274" s="352"/>
      <c r="AU274" s="352"/>
      <c r="AV274" s="352"/>
      <c r="AW274" s="352" t="s">
        <v>254</v>
      </c>
    </row>
    <row r="275" spans="2:49" x14ac:dyDescent="0.2">
      <c r="B275" s="460" t="s">
        <v>2445</v>
      </c>
      <c r="C275" s="460">
        <v>1222</v>
      </c>
      <c r="D275" s="460" t="s">
        <v>2310</v>
      </c>
      <c r="E275" s="460" t="s">
        <v>2296</v>
      </c>
      <c r="F275" s="460">
        <v>1</v>
      </c>
      <c r="G275" s="460">
        <v>2</v>
      </c>
      <c r="H275" s="461" t="s">
        <v>746</v>
      </c>
      <c r="I275" s="461" t="s">
        <v>762</v>
      </c>
      <c r="J275" s="461" t="s">
        <v>700</v>
      </c>
      <c r="K275" s="594"/>
      <c r="L275" s="594"/>
      <c r="M275" s="352">
        <v>1000</v>
      </c>
      <c r="N275" s="352" t="s">
        <v>698</v>
      </c>
      <c r="O275" s="460">
        <v>1222</v>
      </c>
      <c r="P275" s="460" t="s">
        <v>718</v>
      </c>
      <c r="Q275" s="460" t="s">
        <v>2440</v>
      </c>
      <c r="R275" s="460">
        <v>1221</v>
      </c>
      <c r="S275" s="460" t="s">
        <v>2296</v>
      </c>
      <c r="T275" s="462">
        <v>1</v>
      </c>
      <c r="U275" s="460" t="s">
        <v>2296</v>
      </c>
      <c r="V275" s="475">
        <v>0</v>
      </c>
      <c r="W275" s="463" t="s">
        <v>2268</v>
      </c>
      <c r="X275" s="463" t="s">
        <v>2268</v>
      </c>
      <c r="Y275" s="463" t="s">
        <v>2267</v>
      </c>
      <c r="Z275" s="463"/>
      <c r="AA275" s="463"/>
      <c r="AB275" s="464">
        <v>0</v>
      </c>
      <c r="AC275" s="465">
        <v>0</v>
      </c>
      <c r="AD275" s="465">
        <v>0</v>
      </c>
      <c r="AE275" s="476">
        <v>0</v>
      </c>
      <c r="AF275" s="467">
        <v>0</v>
      </c>
      <c r="AG275" s="468">
        <v>0</v>
      </c>
      <c r="AH275" s="218">
        <v>0</v>
      </c>
      <c r="AI275" s="470">
        <v>0</v>
      </c>
      <c r="AJ275" s="471">
        <v>0</v>
      </c>
      <c r="AK275" s="218">
        <v>0</v>
      </c>
      <c r="AL275" s="470">
        <v>0</v>
      </c>
      <c r="AM275" s="471">
        <v>0</v>
      </c>
      <c r="AN275" s="477">
        <v>184.04228260238395</v>
      </c>
      <c r="AO275" s="473">
        <v>0.46034862647207453</v>
      </c>
      <c r="AP275" s="474">
        <v>1.3671668833396702E-2</v>
      </c>
      <c r="AQ275" s="352"/>
      <c r="AR275" s="352"/>
      <c r="AS275" s="352"/>
      <c r="AT275" s="352"/>
      <c r="AU275" s="352"/>
      <c r="AV275" s="352"/>
      <c r="AW275" s="352" t="s">
        <v>254</v>
      </c>
    </row>
    <row r="276" spans="2:49" x14ac:dyDescent="0.2">
      <c r="B276" s="460" t="s">
        <v>2446</v>
      </c>
      <c r="C276" s="460">
        <v>1222</v>
      </c>
      <c r="D276" s="460" t="s">
        <v>2311</v>
      </c>
      <c r="E276" s="460" t="s">
        <v>2299</v>
      </c>
      <c r="F276" s="460">
        <v>2</v>
      </c>
      <c r="G276" s="460">
        <v>2</v>
      </c>
      <c r="H276" s="461" t="s">
        <v>746</v>
      </c>
      <c r="I276" s="461" t="s">
        <v>762</v>
      </c>
      <c r="J276" s="461" t="s">
        <v>700</v>
      </c>
      <c r="K276" s="594"/>
      <c r="L276" s="594"/>
      <c r="M276" s="352">
        <v>1000</v>
      </c>
      <c r="N276" s="352" t="s">
        <v>698</v>
      </c>
      <c r="O276" s="460">
        <v>1222</v>
      </c>
      <c r="P276" s="460" t="s">
        <v>718</v>
      </c>
      <c r="Q276" s="460" t="s">
        <v>2440</v>
      </c>
      <c r="R276" s="460">
        <v>1221</v>
      </c>
      <c r="S276" s="460" t="s">
        <v>2296</v>
      </c>
      <c r="T276" s="462">
        <v>0.55517361979372948</v>
      </c>
      <c r="U276" s="460" t="s">
        <v>2299</v>
      </c>
      <c r="V276" s="475">
        <v>0</v>
      </c>
      <c r="W276" s="463" t="s">
        <v>2268</v>
      </c>
      <c r="X276" s="463" t="s">
        <v>2268</v>
      </c>
      <c r="Y276" s="463" t="s">
        <v>2267</v>
      </c>
      <c r="Z276" s="463"/>
      <c r="AA276" s="463"/>
      <c r="AB276" s="464">
        <v>0</v>
      </c>
      <c r="AC276" s="465">
        <v>0</v>
      </c>
      <c r="AD276" s="465">
        <v>0</v>
      </c>
      <c r="AE276" s="476">
        <v>0</v>
      </c>
      <c r="AF276" s="467">
        <v>0</v>
      </c>
      <c r="AG276" s="468">
        <v>0</v>
      </c>
      <c r="AH276" s="218">
        <v>0</v>
      </c>
      <c r="AI276" s="470">
        <v>0</v>
      </c>
      <c r="AJ276" s="471">
        <v>0</v>
      </c>
      <c r="AK276" s="218">
        <v>0</v>
      </c>
      <c r="AL276" s="470">
        <v>0</v>
      </c>
      <c r="AM276" s="471">
        <v>0</v>
      </c>
      <c r="AN276" s="477">
        <v>63.209234568574438</v>
      </c>
      <c r="AO276" s="473">
        <v>0.2555734133255731</v>
      </c>
      <c r="AP276" s="474">
        <v>2.0025858195147857E-2</v>
      </c>
      <c r="AQ276" s="352"/>
      <c r="AR276" s="352"/>
      <c r="AS276" s="352"/>
      <c r="AT276" s="352"/>
      <c r="AU276" s="352"/>
      <c r="AV276" s="352"/>
      <c r="AW276" s="352" t="s">
        <v>254</v>
      </c>
    </row>
    <row r="277" spans="2:49" x14ac:dyDescent="0.2">
      <c r="B277" s="460" t="s">
        <v>2447</v>
      </c>
      <c r="C277" s="460">
        <v>1222</v>
      </c>
      <c r="D277" s="460" t="s">
        <v>2312</v>
      </c>
      <c r="E277" s="460" t="s">
        <v>2302</v>
      </c>
      <c r="F277" s="460">
        <v>3</v>
      </c>
      <c r="G277" s="460">
        <v>2</v>
      </c>
      <c r="H277" s="461" t="s">
        <v>746</v>
      </c>
      <c r="I277" s="461" t="s">
        <v>762</v>
      </c>
      <c r="J277" s="461" t="s">
        <v>700</v>
      </c>
      <c r="K277" s="594"/>
      <c r="L277" s="594"/>
      <c r="M277" s="352">
        <v>1000</v>
      </c>
      <c r="N277" s="352" t="s">
        <v>698</v>
      </c>
      <c r="O277" s="460">
        <v>1222</v>
      </c>
      <c r="P277" s="460" t="s">
        <v>718</v>
      </c>
      <c r="Q277" s="460" t="s">
        <v>2440</v>
      </c>
      <c r="R277" s="460">
        <v>1221</v>
      </c>
      <c r="S277" s="460" t="s">
        <v>2296</v>
      </c>
      <c r="T277" s="462">
        <v>0.28481449642268464</v>
      </c>
      <c r="U277" s="460" t="s">
        <v>2302</v>
      </c>
      <c r="V277" s="475">
        <v>0</v>
      </c>
      <c r="W277" s="463" t="s">
        <v>2268</v>
      </c>
      <c r="X277" s="463" t="s">
        <v>2268</v>
      </c>
      <c r="Y277" s="463" t="s">
        <v>2267</v>
      </c>
      <c r="Z277" s="463"/>
      <c r="AA277" s="463"/>
      <c r="AB277" s="464">
        <v>0</v>
      </c>
      <c r="AC277" s="465">
        <v>0</v>
      </c>
      <c r="AD277" s="465">
        <v>0</v>
      </c>
      <c r="AE277" s="476">
        <v>0</v>
      </c>
      <c r="AF277" s="467">
        <v>0</v>
      </c>
      <c r="AG277" s="468">
        <v>0</v>
      </c>
      <c r="AH277" s="218">
        <v>0</v>
      </c>
      <c r="AI277" s="470">
        <v>0</v>
      </c>
      <c r="AJ277" s="471">
        <v>0</v>
      </c>
      <c r="AK277" s="218">
        <v>0</v>
      </c>
      <c r="AL277" s="470">
        <v>0</v>
      </c>
      <c r="AM277" s="471">
        <v>0</v>
      </c>
      <c r="AN277" s="477">
        <v>28.147580006685931</v>
      </c>
      <c r="AO277" s="473">
        <v>0.13111396222751845</v>
      </c>
      <c r="AP277" s="474">
        <v>3.7082352564068687E-2</v>
      </c>
      <c r="AQ277" s="352"/>
      <c r="AR277" s="352"/>
      <c r="AS277" s="352"/>
      <c r="AT277" s="352"/>
      <c r="AU277" s="352"/>
      <c r="AV277" s="352"/>
      <c r="AW277" s="352" t="s">
        <v>254</v>
      </c>
    </row>
    <row r="278" spans="2:49" x14ac:dyDescent="0.2">
      <c r="B278" s="460" t="s">
        <v>2448</v>
      </c>
      <c r="C278" s="460">
        <v>1222</v>
      </c>
      <c r="D278" s="460" t="s">
        <v>2313</v>
      </c>
      <c r="E278" s="460" t="s">
        <v>2305</v>
      </c>
      <c r="F278" s="460">
        <v>4</v>
      </c>
      <c r="G278" s="460">
        <v>2</v>
      </c>
      <c r="H278" s="461" t="s">
        <v>746</v>
      </c>
      <c r="I278" s="461" t="s">
        <v>762</v>
      </c>
      <c r="J278" s="461" t="s">
        <v>700</v>
      </c>
      <c r="K278" s="594"/>
      <c r="L278" s="594"/>
      <c r="M278" s="352">
        <v>1000</v>
      </c>
      <c r="N278" s="352" t="s">
        <v>698</v>
      </c>
      <c r="O278" s="460">
        <v>1222</v>
      </c>
      <c r="P278" s="460" t="s">
        <v>718</v>
      </c>
      <c r="Q278" s="460" t="s">
        <v>2440</v>
      </c>
      <c r="R278" s="460">
        <v>1221</v>
      </c>
      <c r="S278" s="460" t="s">
        <v>2305</v>
      </c>
      <c r="T278" s="462">
        <v>1</v>
      </c>
      <c r="U278" s="460" t="s">
        <v>2305</v>
      </c>
      <c r="V278" s="475">
        <v>0</v>
      </c>
      <c r="W278" s="463" t="s">
        <v>2268</v>
      </c>
      <c r="X278" s="463" t="s">
        <v>2268</v>
      </c>
      <c r="Y278" s="463" t="s">
        <v>2278</v>
      </c>
      <c r="Z278" s="463"/>
      <c r="AA278" s="463"/>
      <c r="AB278" s="464">
        <v>0</v>
      </c>
      <c r="AC278" s="465">
        <v>0</v>
      </c>
      <c r="AD278" s="465">
        <v>0</v>
      </c>
      <c r="AE278" s="476">
        <v>0</v>
      </c>
      <c r="AF278" s="467">
        <v>0</v>
      </c>
      <c r="AG278" s="468">
        <v>0</v>
      </c>
      <c r="AH278" s="218">
        <v>0</v>
      </c>
      <c r="AI278" s="470">
        <v>0</v>
      </c>
      <c r="AJ278" s="471">
        <v>0</v>
      </c>
      <c r="AK278" s="218">
        <v>0</v>
      </c>
      <c r="AL278" s="470">
        <v>0</v>
      </c>
      <c r="AM278" s="471">
        <v>0</v>
      </c>
      <c r="AN278" s="477">
        <v>0.19243242744459121</v>
      </c>
      <c r="AO278" s="473">
        <v>7.9782242890310867E-4</v>
      </c>
      <c r="AP278" s="474">
        <v>1.8782273686860015E-2</v>
      </c>
      <c r="AQ278" s="352"/>
      <c r="AR278" s="352"/>
      <c r="AS278" s="352"/>
      <c r="AT278" s="352"/>
      <c r="AU278" s="352"/>
      <c r="AV278" s="352"/>
      <c r="AW278" s="352" t="s">
        <v>254</v>
      </c>
    </row>
    <row r="279" spans="2:49" x14ac:dyDescent="0.2">
      <c r="B279" s="460" t="s">
        <v>2445</v>
      </c>
      <c r="C279" s="460">
        <v>1222</v>
      </c>
      <c r="D279" s="460" t="s">
        <v>2314</v>
      </c>
      <c r="E279" s="460" t="s">
        <v>2296</v>
      </c>
      <c r="F279" s="460">
        <v>1</v>
      </c>
      <c r="G279" s="460">
        <v>2</v>
      </c>
      <c r="H279" s="461" t="s">
        <v>748</v>
      </c>
      <c r="I279" s="461" t="s">
        <v>765</v>
      </c>
      <c r="J279" s="461" t="s">
        <v>700</v>
      </c>
      <c r="K279" s="594"/>
      <c r="L279" s="594"/>
      <c r="M279" s="352">
        <v>1000</v>
      </c>
      <c r="N279" s="352" t="s">
        <v>698</v>
      </c>
      <c r="O279" s="460">
        <v>1222</v>
      </c>
      <c r="P279" s="460" t="s">
        <v>718</v>
      </c>
      <c r="Q279" s="460" t="s">
        <v>2444</v>
      </c>
      <c r="R279" s="460">
        <v>1221</v>
      </c>
      <c r="S279" s="460" t="s">
        <v>2296</v>
      </c>
      <c r="T279" s="462">
        <v>1</v>
      </c>
      <c r="U279" s="460" t="s">
        <v>2296</v>
      </c>
      <c r="V279" s="475">
        <v>0</v>
      </c>
      <c r="W279" s="463" t="s">
        <v>2268</v>
      </c>
      <c r="X279" s="463" t="s">
        <v>2268</v>
      </c>
      <c r="Y279" s="463" t="s">
        <v>2290</v>
      </c>
      <c r="Z279" s="463"/>
      <c r="AA279" s="463"/>
      <c r="AB279" s="464">
        <v>0</v>
      </c>
      <c r="AC279" s="465">
        <v>0</v>
      </c>
      <c r="AD279" s="465">
        <v>0</v>
      </c>
      <c r="AE279" s="476">
        <v>0</v>
      </c>
      <c r="AF279" s="467">
        <v>0</v>
      </c>
      <c r="AG279" s="468">
        <v>0</v>
      </c>
      <c r="AH279" s="218">
        <v>0</v>
      </c>
      <c r="AI279" s="470">
        <v>0</v>
      </c>
      <c r="AJ279" s="471">
        <v>0</v>
      </c>
      <c r="AK279" s="218">
        <v>0</v>
      </c>
      <c r="AL279" s="470">
        <v>0</v>
      </c>
      <c r="AM279" s="471">
        <v>0</v>
      </c>
      <c r="AN279" s="477">
        <v>0</v>
      </c>
      <c r="AO279" s="473">
        <v>0</v>
      </c>
      <c r="AP279" s="474">
        <v>0</v>
      </c>
      <c r="AQ279" s="352"/>
      <c r="AR279" s="352"/>
      <c r="AS279" s="352"/>
      <c r="AT279" s="352"/>
      <c r="AU279" s="352"/>
      <c r="AV279" s="352"/>
      <c r="AW279" s="352" t="s">
        <v>254</v>
      </c>
    </row>
    <row r="280" spans="2:49" x14ac:dyDescent="0.2">
      <c r="B280" s="460" t="s">
        <v>2446</v>
      </c>
      <c r="C280" s="460">
        <v>1222</v>
      </c>
      <c r="D280" s="460" t="s">
        <v>2315</v>
      </c>
      <c r="E280" s="460" t="s">
        <v>2299</v>
      </c>
      <c r="F280" s="460">
        <v>2</v>
      </c>
      <c r="G280" s="460">
        <v>2</v>
      </c>
      <c r="H280" s="461" t="s">
        <v>748</v>
      </c>
      <c r="I280" s="461" t="s">
        <v>765</v>
      </c>
      <c r="J280" s="461" t="s">
        <v>700</v>
      </c>
      <c r="K280" s="594"/>
      <c r="L280" s="594"/>
      <c r="M280" s="352">
        <v>1000</v>
      </c>
      <c r="N280" s="352" t="s">
        <v>698</v>
      </c>
      <c r="O280" s="460">
        <v>1222</v>
      </c>
      <c r="P280" s="460" t="s">
        <v>718</v>
      </c>
      <c r="Q280" s="460" t="s">
        <v>2444</v>
      </c>
      <c r="R280" s="460">
        <v>1221</v>
      </c>
      <c r="S280" s="460" t="s">
        <v>2296</v>
      </c>
      <c r="T280" s="462">
        <v>0.55517361979372948</v>
      </c>
      <c r="U280" s="460" t="s">
        <v>2299</v>
      </c>
      <c r="V280" s="475">
        <v>0</v>
      </c>
      <c r="W280" s="463" t="s">
        <v>2268</v>
      </c>
      <c r="X280" s="463" t="s">
        <v>2268</v>
      </c>
      <c r="Y280" s="463" t="s">
        <v>2290</v>
      </c>
      <c r="Z280" s="463"/>
      <c r="AA280" s="463"/>
      <c r="AB280" s="464">
        <v>0</v>
      </c>
      <c r="AC280" s="465">
        <v>0</v>
      </c>
      <c r="AD280" s="465">
        <v>0</v>
      </c>
      <c r="AE280" s="476">
        <v>0</v>
      </c>
      <c r="AF280" s="467">
        <v>0</v>
      </c>
      <c r="AG280" s="468">
        <v>0</v>
      </c>
      <c r="AH280" s="218">
        <v>0</v>
      </c>
      <c r="AI280" s="470">
        <v>0</v>
      </c>
      <c r="AJ280" s="471">
        <v>0</v>
      </c>
      <c r="AK280" s="218">
        <v>0</v>
      </c>
      <c r="AL280" s="470">
        <v>0</v>
      </c>
      <c r="AM280" s="471">
        <v>0</v>
      </c>
      <c r="AN280" s="477">
        <v>0</v>
      </c>
      <c r="AO280" s="473">
        <v>0</v>
      </c>
      <c r="AP280" s="474">
        <v>0</v>
      </c>
      <c r="AQ280" s="352"/>
      <c r="AR280" s="352"/>
      <c r="AS280" s="352"/>
      <c r="AT280" s="352"/>
      <c r="AU280" s="352"/>
      <c r="AV280" s="352"/>
      <c r="AW280" s="352" t="s">
        <v>254</v>
      </c>
    </row>
    <row r="281" spans="2:49" x14ac:dyDescent="0.2">
      <c r="B281" s="460" t="s">
        <v>2447</v>
      </c>
      <c r="C281" s="460">
        <v>1222</v>
      </c>
      <c r="D281" s="460" t="s">
        <v>2316</v>
      </c>
      <c r="E281" s="460" t="s">
        <v>2302</v>
      </c>
      <c r="F281" s="460">
        <v>3</v>
      </c>
      <c r="G281" s="460">
        <v>2</v>
      </c>
      <c r="H281" s="461" t="s">
        <v>748</v>
      </c>
      <c r="I281" s="461" t="s">
        <v>765</v>
      </c>
      <c r="J281" s="461" t="s">
        <v>700</v>
      </c>
      <c r="K281" s="594"/>
      <c r="L281" s="594"/>
      <c r="M281" s="352">
        <v>1000</v>
      </c>
      <c r="N281" s="352" t="s">
        <v>698</v>
      </c>
      <c r="O281" s="460">
        <v>1222</v>
      </c>
      <c r="P281" s="460" t="s">
        <v>718</v>
      </c>
      <c r="Q281" s="460" t="s">
        <v>2444</v>
      </c>
      <c r="R281" s="460">
        <v>1221</v>
      </c>
      <c r="S281" s="460" t="s">
        <v>2296</v>
      </c>
      <c r="T281" s="462">
        <v>0.28481449642268464</v>
      </c>
      <c r="U281" s="460" t="s">
        <v>2302</v>
      </c>
      <c r="V281" s="475">
        <v>0</v>
      </c>
      <c r="W281" s="463" t="s">
        <v>2268</v>
      </c>
      <c r="X281" s="463" t="s">
        <v>2268</v>
      </c>
      <c r="Y281" s="463" t="s">
        <v>2290</v>
      </c>
      <c r="Z281" s="463"/>
      <c r="AA281" s="463"/>
      <c r="AB281" s="464">
        <v>0</v>
      </c>
      <c r="AC281" s="465">
        <v>0</v>
      </c>
      <c r="AD281" s="465">
        <v>0</v>
      </c>
      <c r="AE281" s="476">
        <v>0</v>
      </c>
      <c r="AF281" s="467">
        <v>0</v>
      </c>
      <c r="AG281" s="468">
        <v>0</v>
      </c>
      <c r="AH281" s="218">
        <v>0</v>
      </c>
      <c r="AI281" s="470">
        <v>0</v>
      </c>
      <c r="AJ281" s="471">
        <v>0</v>
      </c>
      <c r="AK281" s="218">
        <v>0</v>
      </c>
      <c r="AL281" s="470">
        <v>0</v>
      </c>
      <c r="AM281" s="471">
        <v>0</v>
      </c>
      <c r="AN281" s="477">
        <v>0</v>
      </c>
      <c r="AO281" s="473">
        <v>0</v>
      </c>
      <c r="AP281" s="474">
        <v>0</v>
      </c>
      <c r="AQ281" s="352"/>
      <c r="AR281" s="352"/>
      <c r="AS281" s="352"/>
      <c r="AT281" s="352"/>
      <c r="AU281" s="352"/>
      <c r="AV281" s="352"/>
      <c r="AW281" s="352" t="s">
        <v>254</v>
      </c>
    </row>
    <row r="282" spans="2:49" x14ac:dyDescent="0.2">
      <c r="B282" s="460" t="s">
        <v>2448</v>
      </c>
      <c r="C282" s="460">
        <v>1222</v>
      </c>
      <c r="D282" s="460" t="s">
        <v>2317</v>
      </c>
      <c r="E282" s="460" t="s">
        <v>2305</v>
      </c>
      <c r="F282" s="460">
        <v>4</v>
      </c>
      <c r="G282" s="460">
        <v>2</v>
      </c>
      <c r="H282" s="461" t="s">
        <v>748</v>
      </c>
      <c r="I282" s="461" t="s">
        <v>765</v>
      </c>
      <c r="J282" s="461" t="s">
        <v>700</v>
      </c>
      <c r="K282" s="594"/>
      <c r="L282" s="594"/>
      <c r="M282" s="352">
        <v>1000</v>
      </c>
      <c r="N282" s="352" t="s">
        <v>698</v>
      </c>
      <c r="O282" s="460">
        <v>1222</v>
      </c>
      <c r="P282" s="460" t="s">
        <v>718</v>
      </c>
      <c r="Q282" s="460" t="s">
        <v>2444</v>
      </c>
      <c r="R282" s="460">
        <v>1221</v>
      </c>
      <c r="S282" s="460" t="s">
        <v>2305</v>
      </c>
      <c r="T282" s="462">
        <v>1</v>
      </c>
      <c r="U282" s="460" t="s">
        <v>2305</v>
      </c>
      <c r="V282" s="475">
        <v>0</v>
      </c>
      <c r="W282" s="463" t="s">
        <v>2268</v>
      </c>
      <c r="X282" s="463" t="s">
        <v>2268</v>
      </c>
      <c r="Y282" s="463" t="s">
        <v>2290</v>
      </c>
      <c r="Z282" s="463"/>
      <c r="AA282" s="463"/>
      <c r="AB282" s="464">
        <v>0</v>
      </c>
      <c r="AC282" s="465">
        <v>0</v>
      </c>
      <c r="AD282" s="465">
        <v>0</v>
      </c>
      <c r="AE282" s="476">
        <v>0</v>
      </c>
      <c r="AF282" s="467">
        <v>0</v>
      </c>
      <c r="AG282" s="468">
        <v>0</v>
      </c>
      <c r="AH282" s="218">
        <v>0</v>
      </c>
      <c r="AI282" s="470">
        <v>0</v>
      </c>
      <c r="AJ282" s="471">
        <v>0</v>
      </c>
      <c r="AK282" s="218">
        <v>0</v>
      </c>
      <c r="AL282" s="470">
        <v>0</v>
      </c>
      <c r="AM282" s="471">
        <v>0</v>
      </c>
      <c r="AN282" s="477">
        <v>0</v>
      </c>
      <c r="AO282" s="473">
        <v>0</v>
      </c>
      <c r="AP282" s="474">
        <v>0</v>
      </c>
      <c r="AQ282" s="352"/>
      <c r="AR282" s="352"/>
      <c r="AS282" s="352"/>
      <c r="AT282" s="352"/>
      <c r="AU282" s="352"/>
      <c r="AV282" s="352"/>
      <c r="AW282" s="352" t="s">
        <v>254</v>
      </c>
    </row>
    <row r="283" spans="2:49" x14ac:dyDescent="0.2">
      <c r="B283" s="460" t="s">
        <v>2449</v>
      </c>
      <c r="C283" s="460">
        <v>1222</v>
      </c>
      <c r="D283" s="460" t="s">
        <v>2323</v>
      </c>
      <c r="E283" s="460" t="s">
        <v>2324</v>
      </c>
      <c r="F283" s="460">
        <v>1</v>
      </c>
      <c r="G283" s="460">
        <v>3</v>
      </c>
      <c r="H283" s="461" t="s">
        <v>700</v>
      </c>
      <c r="I283" s="461" t="s">
        <v>872</v>
      </c>
      <c r="J283" s="461" t="s">
        <v>700</v>
      </c>
      <c r="K283" s="594"/>
      <c r="L283" s="594"/>
      <c r="M283" s="352">
        <v>1000</v>
      </c>
      <c r="N283" s="352" t="s">
        <v>698</v>
      </c>
      <c r="O283" s="460">
        <v>1222</v>
      </c>
      <c r="P283" s="460" t="s">
        <v>718</v>
      </c>
      <c r="Q283" s="460" t="s">
        <v>2440</v>
      </c>
      <c r="R283" s="460">
        <v>1221</v>
      </c>
      <c r="S283" s="460" t="s">
        <v>2324</v>
      </c>
      <c r="T283" s="462">
        <v>1</v>
      </c>
      <c r="U283" s="460" t="s">
        <v>2324</v>
      </c>
      <c r="V283" s="475">
        <v>0</v>
      </c>
      <c r="W283" s="463" t="s">
        <v>2267</v>
      </c>
      <c r="X283" s="463" t="s">
        <v>2267</v>
      </c>
      <c r="Y283" s="463" t="s">
        <v>2268</v>
      </c>
      <c r="Z283" s="463"/>
      <c r="AA283" s="463"/>
      <c r="AB283" s="464">
        <v>588.3054156841157</v>
      </c>
      <c r="AC283" s="465">
        <v>0.40229029580588199</v>
      </c>
      <c r="AD283" s="465">
        <v>5.0433539161493443E-3</v>
      </c>
      <c r="AE283" s="476">
        <v>588.3054156841157</v>
      </c>
      <c r="AF283" s="467">
        <v>0.40229029580588199</v>
      </c>
      <c r="AG283" s="468">
        <v>5.4024311616102686E-3</v>
      </c>
      <c r="AH283" s="218">
        <v>858.31883520879364</v>
      </c>
      <c r="AI283" s="470">
        <v>0.58692870897742544</v>
      </c>
      <c r="AJ283" s="471">
        <v>7.526776241293642E-3</v>
      </c>
      <c r="AK283" s="218">
        <v>858.31883520879364</v>
      </c>
      <c r="AL283" s="470">
        <v>0.58692870897742544</v>
      </c>
      <c r="AM283" s="471">
        <v>7.526776241293642E-3</v>
      </c>
      <c r="AN283" s="477">
        <v>0</v>
      </c>
      <c r="AO283" s="473">
        <v>0</v>
      </c>
      <c r="AP283" s="474">
        <v>0</v>
      </c>
      <c r="AQ283" s="352"/>
      <c r="AR283" s="352"/>
      <c r="AS283" s="352"/>
      <c r="AT283" s="352"/>
      <c r="AU283" s="352"/>
      <c r="AV283" s="352"/>
      <c r="AW283" s="352" t="s">
        <v>254</v>
      </c>
    </row>
    <row r="284" spans="2:49" x14ac:dyDescent="0.2">
      <c r="B284" s="460" t="s">
        <v>2450</v>
      </c>
      <c r="C284" s="460">
        <v>1222</v>
      </c>
      <c r="D284" s="460" t="s">
        <v>2326</v>
      </c>
      <c r="E284" s="460" t="s">
        <v>2327</v>
      </c>
      <c r="F284" s="460">
        <v>2</v>
      </c>
      <c r="G284" s="460">
        <v>3</v>
      </c>
      <c r="H284" s="461" t="s">
        <v>700</v>
      </c>
      <c r="I284" s="461" t="s">
        <v>872</v>
      </c>
      <c r="J284" s="461" t="s">
        <v>700</v>
      </c>
      <c r="K284" s="594"/>
      <c r="L284" s="594"/>
      <c r="M284" s="352">
        <v>1000</v>
      </c>
      <c r="N284" s="352" t="s">
        <v>698</v>
      </c>
      <c r="O284" s="460">
        <v>1222</v>
      </c>
      <c r="P284" s="460" t="s">
        <v>718</v>
      </c>
      <c r="Q284" s="460" t="s">
        <v>2440</v>
      </c>
      <c r="R284" s="460">
        <v>1221</v>
      </c>
      <c r="S284" s="460" t="s">
        <v>2324</v>
      </c>
      <c r="T284" s="462">
        <v>1</v>
      </c>
      <c r="U284" s="460" t="s">
        <v>2327</v>
      </c>
      <c r="V284" s="475">
        <v>0</v>
      </c>
      <c r="W284" s="463" t="s">
        <v>2267</v>
      </c>
      <c r="X284" s="463" t="s">
        <v>2267</v>
      </c>
      <c r="Y284" s="463" t="s">
        <v>2268</v>
      </c>
      <c r="Z284" s="463"/>
      <c r="AA284" s="463"/>
      <c r="AB284" s="464">
        <v>244.02749763334029</v>
      </c>
      <c r="AC284" s="465">
        <v>0.25982126191837429</v>
      </c>
      <c r="AD284" s="465">
        <v>3.604241748751116E-3</v>
      </c>
      <c r="AE284" s="476">
        <v>244.02749763334026</v>
      </c>
      <c r="AF284" s="467">
        <v>0.25982126191837429</v>
      </c>
      <c r="AG284" s="468">
        <v>3.9037931953633232E-3</v>
      </c>
      <c r="AH284" s="218">
        <v>551.25105267914682</v>
      </c>
      <c r="AI284" s="470">
        <v>0.58692870897742544</v>
      </c>
      <c r="AJ284" s="471">
        <v>7.4215981515646E-3</v>
      </c>
      <c r="AK284" s="218">
        <v>551.25105267914682</v>
      </c>
      <c r="AL284" s="470">
        <v>0.58692870897742544</v>
      </c>
      <c r="AM284" s="471">
        <v>7.4215981515646E-3</v>
      </c>
      <c r="AN284" s="477">
        <v>0</v>
      </c>
      <c r="AO284" s="473">
        <v>0</v>
      </c>
      <c r="AP284" s="474">
        <v>0</v>
      </c>
      <c r="AQ284" s="352"/>
      <c r="AR284" s="352"/>
      <c r="AS284" s="352"/>
      <c r="AT284" s="352"/>
      <c r="AU284" s="352"/>
      <c r="AV284" s="352"/>
      <c r="AW284" s="352" t="s">
        <v>254</v>
      </c>
    </row>
    <row r="285" spans="2:49" x14ac:dyDescent="0.2">
      <c r="B285" s="460" t="s">
        <v>2451</v>
      </c>
      <c r="C285" s="460">
        <v>1222</v>
      </c>
      <c r="D285" s="460" t="s">
        <v>2329</v>
      </c>
      <c r="E285" s="460" t="s">
        <v>2330</v>
      </c>
      <c r="F285" s="460">
        <v>3</v>
      </c>
      <c r="G285" s="460">
        <v>3</v>
      </c>
      <c r="H285" s="461" t="s">
        <v>700</v>
      </c>
      <c r="I285" s="461" t="s">
        <v>872</v>
      </c>
      <c r="J285" s="461" t="s">
        <v>700</v>
      </c>
      <c r="K285" s="594"/>
      <c r="L285" s="594"/>
      <c r="M285" s="352">
        <v>1000</v>
      </c>
      <c r="N285" s="352" t="s">
        <v>698</v>
      </c>
      <c r="O285" s="460">
        <v>1222</v>
      </c>
      <c r="P285" s="460" t="s">
        <v>718</v>
      </c>
      <c r="Q285" s="460" t="s">
        <v>2440</v>
      </c>
      <c r="R285" s="460">
        <v>1221</v>
      </c>
      <c r="S285" s="460" t="s">
        <v>2324</v>
      </c>
      <c r="T285" s="462">
        <v>1</v>
      </c>
      <c r="U285" s="460" t="s">
        <v>2330</v>
      </c>
      <c r="V285" s="475">
        <v>0</v>
      </c>
      <c r="W285" s="463" t="s">
        <v>2267</v>
      </c>
      <c r="X285" s="463" t="s">
        <v>2267</v>
      </c>
      <c r="Y285" s="463" t="s">
        <v>2268</v>
      </c>
      <c r="Z285" s="463"/>
      <c r="AA285" s="463"/>
      <c r="AB285" s="464">
        <v>63.286275201326454</v>
      </c>
      <c r="AC285" s="465">
        <v>0.17880226714988257</v>
      </c>
      <c r="AD285" s="465">
        <v>2.389766378902911E-3</v>
      </c>
      <c r="AE285" s="476">
        <v>63.286275201326454</v>
      </c>
      <c r="AF285" s="467">
        <v>0.17880226714988257</v>
      </c>
      <c r="AG285" s="468">
        <v>2.5612627633642333E-3</v>
      </c>
      <c r="AH285" s="218">
        <v>207.74083232830523</v>
      </c>
      <c r="AI285" s="470">
        <v>0.58692870897742544</v>
      </c>
      <c r="AJ285" s="471">
        <v>7.3191971041937252E-3</v>
      </c>
      <c r="AK285" s="218">
        <v>207.74083232830523</v>
      </c>
      <c r="AL285" s="470">
        <v>0.58692870897742544</v>
      </c>
      <c r="AM285" s="471">
        <v>7.3191971041937252E-3</v>
      </c>
      <c r="AN285" s="477">
        <v>0</v>
      </c>
      <c r="AO285" s="473">
        <v>0</v>
      </c>
      <c r="AP285" s="474">
        <v>0</v>
      </c>
      <c r="AQ285" s="352"/>
      <c r="AR285" s="352"/>
      <c r="AS285" s="352"/>
      <c r="AT285" s="352"/>
      <c r="AU285" s="352"/>
      <c r="AV285" s="352"/>
      <c r="AW285" s="352" t="s">
        <v>254</v>
      </c>
    </row>
    <row r="286" spans="2:49" x14ac:dyDescent="0.2">
      <c r="B286" s="460" t="s">
        <v>2452</v>
      </c>
      <c r="C286" s="460">
        <v>1222</v>
      </c>
      <c r="D286" s="460" t="s">
        <v>2332</v>
      </c>
      <c r="E286" s="460" t="s">
        <v>2333</v>
      </c>
      <c r="F286" s="460">
        <v>4</v>
      </c>
      <c r="G286" s="460">
        <v>3</v>
      </c>
      <c r="H286" s="461" t="s">
        <v>700</v>
      </c>
      <c r="I286" s="461" t="s">
        <v>872</v>
      </c>
      <c r="J286" s="461" t="s">
        <v>700</v>
      </c>
      <c r="K286" s="594"/>
      <c r="L286" s="594"/>
      <c r="M286" s="352">
        <v>1000</v>
      </c>
      <c r="N286" s="352" t="s">
        <v>698</v>
      </c>
      <c r="O286" s="460">
        <v>1222</v>
      </c>
      <c r="P286" s="460" t="s">
        <v>718</v>
      </c>
      <c r="Q286" s="460" t="s">
        <v>2440</v>
      </c>
      <c r="R286" s="460">
        <v>1221</v>
      </c>
      <c r="S286" s="460" t="s">
        <v>2333</v>
      </c>
      <c r="T286" s="462">
        <v>1</v>
      </c>
      <c r="U286" s="460" t="s">
        <v>2333</v>
      </c>
      <c r="V286" s="475">
        <v>0</v>
      </c>
      <c r="W286" s="463" t="s">
        <v>2278</v>
      </c>
      <c r="X286" s="463" t="s">
        <v>2278</v>
      </c>
      <c r="Y286" s="463" t="s">
        <v>2268</v>
      </c>
      <c r="Z286" s="463"/>
      <c r="AA286" s="463"/>
      <c r="AB286" s="464">
        <v>6.1404089777110622</v>
      </c>
      <c r="AC286" s="465">
        <v>1.8291915591780533E-2</v>
      </c>
      <c r="AD286" s="465">
        <v>4.2349507942120689E-4</v>
      </c>
      <c r="AE286" s="476">
        <v>6.1404089777110622</v>
      </c>
      <c r="AF286" s="467">
        <v>1.8291915591780533E-2</v>
      </c>
      <c r="AG286" s="468">
        <v>4.673805365857468E-4</v>
      </c>
      <c r="AH286" s="218">
        <v>6.1404089777110622</v>
      </c>
      <c r="AI286" s="470">
        <v>1.8291915591780533E-2</v>
      </c>
      <c r="AJ286" s="471">
        <v>4.5283318405952379E-4</v>
      </c>
      <c r="AK286" s="218">
        <v>6.1404089777110622</v>
      </c>
      <c r="AL286" s="470">
        <v>1.8291915591780533E-2</v>
      </c>
      <c r="AM286" s="471">
        <v>4.5283318405952379E-4</v>
      </c>
      <c r="AN286" s="477">
        <v>0</v>
      </c>
      <c r="AO286" s="473">
        <v>0</v>
      </c>
      <c r="AP286" s="474">
        <v>0</v>
      </c>
      <c r="AQ286" s="352"/>
      <c r="AR286" s="352"/>
      <c r="AS286" s="352"/>
      <c r="AT286" s="352"/>
      <c r="AU286" s="352"/>
      <c r="AV286" s="352"/>
      <c r="AW286" s="352" t="s">
        <v>254</v>
      </c>
    </row>
    <row r="287" spans="2:49" x14ac:dyDescent="0.2">
      <c r="B287" s="460" t="s">
        <v>2449</v>
      </c>
      <c r="C287" s="460">
        <v>1222</v>
      </c>
      <c r="D287" s="460" t="s">
        <v>2334</v>
      </c>
      <c r="E287" s="460" t="s">
        <v>2324</v>
      </c>
      <c r="F287" s="460">
        <v>1</v>
      </c>
      <c r="G287" s="460">
        <v>3</v>
      </c>
      <c r="H287" s="461" t="s">
        <v>712</v>
      </c>
      <c r="I287" s="461" t="s">
        <v>713</v>
      </c>
      <c r="J287" s="461" t="s">
        <v>712</v>
      </c>
      <c r="K287" s="594"/>
      <c r="L287" s="594"/>
      <c r="M287" s="352">
        <v>1000</v>
      </c>
      <c r="N287" s="352" t="s">
        <v>698</v>
      </c>
      <c r="O287" s="460">
        <v>1222</v>
      </c>
      <c r="P287" s="460" t="s">
        <v>718</v>
      </c>
      <c r="Q287" s="460" t="s">
        <v>2280</v>
      </c>
      <c r="R287" s="460">
        <v>1221</v>
      </c>
      <c r="S287" s="460" t="s">
        <v>2324</v>
      </c>
      <c r="T287" s="462">
        <v>1</v>
      </c>
      <c r="U287" s="460" t="s">
        <v>2324</v>
      </c>
      <c r="V287" s="475">
        <v>0</v>
      </c>
      <c r="W287" s="463" t="s">
        <v>713</v>
      </c>
      <c r="X287" s="463" t="s">
        <v>713</v>
      </c>
      <c r="Y287" s="463" t="s">
        <v>713</v>
      </c>
      <c r="Z287" s="463"/>
      <c r="AA287" s="463"/>
      <c r="AB287" s="464">
        <v>874.08485775164229</v>
      </c>
      <c r="AC287" s="465">
        <v>0.59770970419411806</v>
      </c>
      <c r="AD287" s="465">
        <v>2.1824990660864714E-3</v>
      </c>
      <c r="AE287" s="476">
        <v>874.08485775164218</v>
      </c>
      <c r="AF287" s="467">
        <v>0.59770970419411795</v>
      </c>
      <c r="AG287" s="468">
        <v>2.1410505080733033E-3</v>
      </c>
      <c r="AH287" s="218">
        <v>604.07143822696435</v>
      </c>
      <c r="AI287" s="470">
        <v>0.41307129102257456</v>
      </c>
      <c r="AJ287" s="471">
        <v>1.4985219836009527E-3</v>
      </c>
      <c r="AK287" s="218">
        <v>604.07143822696435</v>
      </c>
      <c r="AL287" s="470">
        <v>0.41307129102257456</v>
      </c>
      <c r="AM287" s="471">
        <v>1.4985219836009527E-3</v>
      </c>
      <c r="AN287" s="477">
        <v>604.07143822696435</v>
      </c>
      <c r="AO287" s="473">
        <v>0.41307129102257456</v>
      </c>
      <c r="AP287" s="474">
        <v>1.4977927236792129E-3</v>
      </c>
      <c r="AQ287" s="352"/>
      <c r="AR287" s="352"/>
      <c r="AS287" s="352"/>
      <c r="AT287" s="352"/>
      <c r="AU287" s="352"/>
      <c r="AV287" s="352"/>
      <c r="AW287" s="352" t="s">
        <v>254</v>
      </c>
    </row>
    <row r="288" spans="2:49" x14ac:dyDescent="0.2">
      <c r="B288" s="460" t="s">
        <v>2450</v>
      </c>
      <c r="C288" s="460">
        <v>1222</v>
      </c>
      <c r="D288" s="460" t="s">
        <v>2335</v>
      </c>
      <c r="E288" s="460" t="s">
        <v>2327</v>
      </c>
      <c r="F288" s="460">
        <v>2</v>
      </c>
      <c r="G288" s="460">
        <v>3</v>
      </c>
      <c r="H288" s="461" t="s">
        <v>712</v>
      </c>
      <c r="I288" s="461" t="s">
        <v>713</v>
      </c>
      <c r="J288" s="461" t="s">
        <v>712</v>
      </c>
      <c r="K288" s="594"/>
      <c r="L288" s="594"/>
      <c r="M288" s="352">
        <v>1000</v>
      </c>
      <c r="N288" s="352" t="s">
        <v>698</v>
      </c>
      <c r="O288" s="460">
        <v>1222</v>
      </c>
      <c r="P288" s="460" t="s">
        <v>718</v>
      </c>
      <c r="Q288" s="460" t="s">
        <v>2280</v>
      </c>
      <c r="R288" s="460">
        <v>1221</v>
      </c>
      <c r="S288" s="460" t="s">
        <v>2324</v>
      </c>
      <c r="T288" s="462">
        <v>1</v>
      </c>
      <c r="U288" s="460" t="s">
        <v>2327</v>
      </c>
      <c r="V288" s="475">
        <v>0</v>
      </c>
      <c r="W288" s="463" t="s">
        <v>713</v>
      </c>
      <c r="X288" s="463" t="s">
        <v>713</v>
      </c>
      <c r="Y288" s="463" t="s">
        <v>713</v>
      </c>
      <c r="Z288" s="463"/>
      <c r="AA288" s="463"/>
      <c r="AB288" s="464">
        <v>695.18546681605949</v>
      </c>
      <c r="AC288" s="465">
        <v>0.74017873808162571</v>
      </c>
      <c r="AD288" s="465">
        <v>2.2263999288820902E-3</v>
      </c>
      <c r="AE288" s="476">
        <v>695.18546681605949</v>
      </c>
      <c r="AF288" s="467">
        <v>0.74017873808162571</v>
      </c>
      <c r="AG288" s="468">
        <v>2.1899624239961109E-3</v>
      </c>
      <c r="AH288" s="218">
        <v>387.96191177025298</v>
      </c>
      <c r="AI288" s="470">
        <v>0.41307129102257456</v>
      </c>
      <c r="AJ288" s="471">
        <v>1.2709939019976023E-3</v>
      </c>
      <c r="AK288" s="218">
        <v>387.96191177025298</v>
      </c>
      <c r="AL288" s="470">
        <v>0.41307129102257456</v>
      </c>
      <c r="AM288" s="471">
        <v>1.2709939019976023E-3</v>
      </c>
      <c r="AN288" s="477">
        <v>387.96191177025298</v>
      </c>
      <c r="AO288" s="473">
        <v>0.41307129102257456</v>
      </c>
      <c r="AP288" s="474">
        <v>1.2704955912604286E-3</v>
      </c>
      <c r="AQ288" s="352"/>
      <c r="AR288" s="352"/>
      <c r="AS288" s="352"/>
      <c r="AT288" s="352"/>
      <c r="AU288" s="352"/>
      <c r="AV288" s="352"/>
      <c r="AW288" s="352" t="s">
        <v>254</v>
      </c>
    </row>
    <row r="289" spans="2:49" x14ac:dyDescent="0.2">
      <c r="B289" s="460" t="s">
        <v>2451</v>
      </c>
      <c r="C289" s="460">
        <v>1222</v>
      </c>
      <c r="D289" s="460" t="s">
        <v>2336</v>
      </c>
      <c r="E289" s="460" t="s">
        <v>2330</v>
      </c>
      <c r="F289" s="460">
        <v>3</v>
      </c>
      <c r="G289" s="460">
        <v>3</v>
      </c>
      <c r="H289" s="461" t="s">
        <v>712</v>
      </c>
      <c r="I289" s="461" t="s">
        <v>713</v>
      </c>
      <c r="J289" s="461" t="s">
        <v>712</v>
      </c>
      <c r="K289" s="594"/>
      <c r="L289" s="594"/>
      <c r="M289" s="352">
        <v>1000</v>
      </c>
      <c r="N289" s="352" t="s">
        <v>698</v>
      </c>
      <c r="O289" s="460">
        <v>1222</v>
      </c>
      <c r="P289" s="460" t="s">
        <v>718</v>
      </c>
      <c r="Q289" s="460" t="s">
        <v>2280</v>
      </c>
      <c r="R289" s="460">
        <v>1221</v>
      </c>
      <c r="S289" s="460" t="s">
        <v>2324</v>
      </c>
      <c r="T289" s="462">
        <v>1</v>
      </c>
      <c r="U289" s="460" t="s">
        <v>2330</v>
      </c>
      <c r="V289" s="475">
        <v>0</v>
      </c>
      <c r="W289" s="463" t="s">
        <v>713</v>
      </c>
      <c r="X289" s="463" t="s">
        <v>713</v>
      </c>
      <c r="Y289" s="463" t="s">
        <v>713</v>
      </c>
      <c r="Z289" s="463"/>
      <c r="AA289" s="463"/>
      <c r="AB289" s="464">
        <v>290.65932185464476</v>
      </c>
      <c r="AC289" s="465">
        <v>0.82119773285011743</v>
      </c>
      <c r="AD289" s="465">
        <v>2.5735740955201624E-3</v>
      </c>
      <c r="AE289" s="476">
        <v>290.65932185464476</v>
      </c>
      <c r="AF289" s="467">
        <v>0.82119773285011743</v>
      </c>
      <c r="AG289" s="468">
        <v>2.5337928435110327E-3</v>
      </c>
      <c r="AH289" s="218">
        <v>146.204764727666</v>
      </c>
      <c r="AI289" s="470">
        <v>0.41307129102257456</v>
      </c>
      <c r="AJ289" s="471">
        <v>1.3231880621279487E-3</v>
      </c>
      <c r="AK289" s="218">
        <v>146.204764727666</v>
      </c>
      <c r="AL289" s="470">
        <v>0.41307129102257456</v>
      </c>
      <c r="AM289" s="471">
        <v>1.3231880621279487E-3</v>
      </c>
      <c r="AN289" s="477">
        <v>146.204764727666</v>
      </c>
      <c r="AO289" s="473">
        <v>0.41307129102257456</v>
      </c>
      <c r="AP289" s="474">
        <v>1.326603356650169E-3</v>
      </c>
      <c r="AQ289" s="352"/>
      <c r="AR289" s="352"/>
      <c r="AS289" s="352"/>
      <c r="AT289" s="352"/>
      <c r="AU289" s="352"/>
      <c r="AV289" s="352"/>
      <c r="AW289" s="352" t="s">
        <v>254</v>
      </c>
    </row>
    <row r="290" spans="2:49" x14ac:dyDescent="0.2">
      <c r="B290" s="460" t="s">
        <v>2452</v>
      </c>
      <c r="C290" s="460">
        <v>1222</v>
      </c>
      <c r="D290" s="460" t="s">
        <v>2337</v>
      </c>
      <c r="E290" s="460" t="s">
        <v>2333</v>
      </c>
      <c r="F290" s="460">
        <v>4</v>
      </c>
      <c r="G290" s="460">
        <v>3</v>
      </c>
      <c r="H290" s="461" t="s">
        <v>712</v>
      </c>
      <c r="I290" s="461" t="s">
        <v>713</v>
      </c>
      <c r="J290" s="461" t="s">
        <v>712</v>
      </c>
      <c r="K290" s="594"/>
      <c r="L290" s="594"/>
      <c r="M290" s="352">
        <v>1000</v>
      </c>
      <c r="N290" s="352" t="s">
        <v>698</v>
      </c>
      <c r="O290" s="460">
        <v>1222</v>
      </c>
      <c r="P290" s="460" t="s">
        <v>718</v>
      </c>
      <c r="Q290" s="460" t="s">
        <v>2280</v>
      </c>
      <c r="R290" s="460">
        <v>1221</v>
      </c>
      <c r="S290" s="460" t="s">
        <v>2333</v>
      </c>
      <c r="T290" s="462">
        <v>1</v>
      </c>
      <c r="U290" s="460" t="s">
        <v>2333</v>
      </c>
      <c r="V290" s="475">
        <v>0</v>
      </c>
      <c r="W290" s="463" t="s">
        <v>713</v>
      </c>
      <c r="X290" s="463" t="s">
        <v>713</v>
      </c>
      <c r="Y290" s="463" t="s">
        <v>713</v>
      </c>
      <c r="Z290" s="463"/>
      <c r="AA290" s="463"/>
      <c r="AB290" s="464">
        <v>329.54936320067429</v>
      </c>
      <c r="AC290" s="465">
        <v>0.98170808440821955</v>
      </c>
      <c r="AD290" s="465">
        <v>2.5053893557819432E-3</v>
      </c>
      <c r="AE290" s="476">
        <v>329.54936320067429</v>
      </c>
      <c r="AF290" s="467">
        <v>0.98170808440821944</v>
      </c>
      <c r="AG290" s="468">
        <v>2.479723430232751E-3</v>
      </c>
      <c r="AH290" s="218">
        <v>329.54936320067429</v>
      </c>
      <c r="AI290" s="470">
        <v>0.98170808440821944</v>
      </c>
      <c r="AJ290" s="471">
        <v>2.4876236621670434E-3</v>
      </c>
      <c r="AK290" s="218">
        <v>329.54936320067429</v>
      </c>
      <c r="AL290" s="470">
        <v>0.98170808440821944</v>
      </c>
      <c r="AM290" s="471">
        <v>2.4876236621670434E-3</v>
      </c>
      <c r="AN290" s="477">
        <v>329.54936320067429</v>
      </c>
      <c r="AO290" s="473">
        <v>0.98170808440821944</v>
      </c>
      <c r="AP290" s="474">
        <v>2.4884141884889827E-3</v>
      </c>
      <c r="AQ290" s="352"/>
      <c r="AR290" s="352"/>
      <c r="AS290" s="352"/>
      <c r="AT290" s="352"/>
      <c r="AU290" s="352"/>
      <c r="AV290" s="352"/>
      <c r="AW290" s="352" t="s">
        <v>254</v>
      </c>
    </row>
    <row r="291" spans="2:49" x14ac:dyDescent="0.2">
      <c r="B291" s="460" t="s">
        <v>2449</v>
      </c>
      <c r="C291" s="460">
        <v>1222</v>
      </c>
      <c r="D291" s="460" t="s">
        <v>2338</v>
      </c>
      <c r="E291" s="460" t="s">
        <v>2324</v>
      </c>
      <c r="F291" s="460">
        <v>1</v>
      </c>
      <c r="G291" s="460">
        <v>3</v>
      </c>
      <c r="H291" s="461" t="s">
        <v>746</v>
      </c>
      <c r="I291" s="461" t="s">
        <v>762</v>
      </c>
      <c r="J291" s="461" t="s">
        <v>700</v>
      </c>
      <c r="K291" s="594"/>
      <c r="L291" s="594"/>
      <c r="M291" s="352">
        <v>1000</v>
      </c>
      <c r="N291" s="352" t="s">
        <v>698</v>
      </c>
      <c r="O291" s="460">
        <v>1222</v>
      </c>
      <c r="P291" s="460" t="s">
        <v>718</v>
      </c>
      <c r="Q291" s="460" t="s">
        <v>2440</v>
      </c>
      <c r="R291" s="460">
        <v>1221</v>
      </c>
      <c r="S291" s="460" t="s">
        <v>2324</v>
      </c>
      <c r="T291" s="462">
        <v>1</v>
      </c>
      <c r="U291" s="460" t="s">
        <v>2324</v>
      </c>
      <c r="V291" s="475">
        <v>0</v>
      </c>
      <c r="W291" s="463" t="s">
        <v>2268</v>
      </c>
      <c r="X291" s="463" t="s">
        <v>2268</v>
      </c>
      <c r="Y291" s="463" t="s">
        <v>2267</v>
      </c>
      <c r="Z291" s="463"/>
      <c r="AA291" s="463"/>
      <c r="AB291" s="464">
        <v>0</v>
      </c>
      <c r="AC291" s="465">
        <v>0</v>
      </c>
      <c r="AD291" s="465">
        <v>0</v>
      </c>
      <c r="AE291" s="476">
        <v>0</v>
      </c>
      <c r="AF291" s="467">
        <v>0</v>
      </c>
      <c r="AG291" s="468">
        <v>0</v>
      </c>
      <c r="AH291" s="218">
        <v>0</v>
      </c>
      <c r="AI291" s="470">
        <v>0</v>
      </c>
      <c r="AJ291" s="471">
        <v>0</v>
      </c>
      <c r="AK291" s="218">
        <v>0</v>
      </c>
      <c r="AL291" s="470">
        <v>0</v>
      </c>
      <c r="AM291" s="471">
        <v>0</v>
      </c>
      <c r="AN291" s="477">
        <v>858.31883520879364</v>
      </c>
      <c r="AO291" s="473">
        <v>0.58692870897742544</v>
      </c>
      <c r="AP291" s="474">
        <v>9.0705020316168995E-3</v>
      </c>
      <c r="AQ291" s="352"/>
      <c r="AR291" s="352"/>
      <c r="AS291" s="352"/>
      <c r="AT291" s="352"/>
      <c r="AU291" s="352"/>
      <c r="AV291" s="352"/>
      <c r="AW291" s="352" t="s">
        <v>254</v>
      </c>
    </row>
    <row r="292" spans="2:49" x14ac:dyDescent="0.2">
      <c r="B292" s="460" t="s">
        <v>2450</v>
      </c>
      <c r="C292" s="460">
        <v>1222</v>
      </c>
      <c r="D292" s="460" t="s">
        <v>2339</v>
      </c>
      <c r="E292" s="460" t="s">
        <v>2327</v>
      </c>
      <c r="F292" s="460">
        <v>2</v>
      </c>
      <c r="G292" s="460">
        <v>3</v>
      </c>
      <c r="H292" s="461" t="s">
        <v>746</v>
      </c>
      <c r="I292" s="461" t="s">
        <v>762</v>
      </c>
      <c r="J292" s="461" t="s">
        <v>700</v>
      </c>
      <c r="K292" s="594"/>
      <c r="L292" s="594"/>
      <c r="M292" s="352">
        <v>1000</v>
      </c>
      <c r="N292" s="352" t="s">
        <v>698</v>
      </c>
      <c r="O292" s="460">
        <v>1222</v>
      </c>
      <c r="P292" s="460" t="s">
        <v>718</v>
      </c>
      <c r="Q292" s="460" t="s">
        <v>2440</v>
      </c>
      <c r="R292" s="460">
        <v>1221</v>
      </c>
      <c r="S292" s="460" t="s">
        <v>2324</v>
      </c>
      <c r="T292" s="462">
        <v>1</v>
      </c>
      <c r="U292" s="460" t="s">
        <v>2327</v>
      </c>
      <c r="V292" s="475">
        <v>0</v>
      </c>
      <c r="W292" s="463" t="s">
        <v>2268</v>
      </c>
      <c r="X292" s="463" t="s">
        <v>2268</v>
      </c>
      <c r="Y292" s="463" t="s">
        <v>2267</v>
      </c>
      <c r="Z292" s="463"/>
      <c r="AA292" s="463"/>
      <c r="AB292" s="464">
        <v>0</v>
      </c>
      <c r="AC292" s="465">
        <v>0</v>
      </c>
      <c r="AD292" s="465">
        <v>0</v>
      </c>
      <c r="AE292" s="476">
        <v>0</v>
      </c>
      <c r="AF292" s="467">
        <v>0</v>
      </c>
      <c r="AG292" s="468">
        <v>0</v>
      </c>
      <c r="AH292" s="218">
        <v>0</v>
      </c>
      <c r="AI292" s="470">
        <v>0</v>
      </c>
      <c r="AJ292" s="471">
        <v>0</v>
      </c>
      <c r="AK292" s="218">
        <v>0</v>
      </c>
      <c r="AL292" s="470">
        <v>0</v>
      </c>
      <c r="AM292" s="471">
        <v>0</v>
      </c>
      <c r="AN292" s="477">
        <v>551.25105267914682</v>
      </c>
      <c r="AO292" s="473">
        <v>0.58692870897742544</v>
      </c>
      <c r="AP292" s="474">
        <v>8.7628883937939245E-3</v>
      </c>
      <c r="AQ292" s="352"/>
      <c r="AR292" s="352"/>
      <c r="AS292" s="352"/>
      <c r="AT292" s="352"/>
      <c r="AU292" s="352"/>
      <c r="AV292" s="352"/>
      <c r="AW292" s="352" t="s">
        <v>254</v>
      </c>
    </row>
    <row r="293" spans="2:49" x14ac:dyDescent="0.2">
      <c r="B293" s="460" t="s">
        <v>2451</v>
      </c>
      <c r="C293" s="460">
        <v>1222</v>
      </c>
      <c r="D293" s="460" t="s">
        <v>2340</v>
      </c>
      <c r="E293" s="460" t="s">
        <v>2330</v>
      </c>
      <c r="F293" s="460">
        <v>3</v>
      </c>
      <c r="G293" s="460">
        <v>3</v>
      </c>
      <c r="H293" s="461" t="s">
        <v>746</v>
      </c>
      <c r="I293" s="461" t="s">
        <v>762</v>
      </c>
      <c r="J293" s="461" t="s">
        <v>700</v>
      </c>
      <c r="K293" s="594"/>
      <c r="L293" s="594"/>
      <c r="M293" s="352">
        <v>1000</v>
      </c>
      <c r="N293" s="352" t="s">
        <v>698</v>
      </c>
      <c r="O293" s="460">
        <v>1222</v>
      </c>
      <c r="P293" s="460" t="s">
        <v>718</v>
      </c>
      <c r="Q293" s="460" t="s">
        <v>2440</v>
      </c>
      <c r="R293" s="460">
        <v>1221</v>
      </c>
      <c r="S293" s="460" t="s">
        <v>2324</v>
      </c>
      <c r="T293" s="462">
        <v>1</v>
      </c>
      <c r="U293" s="460" t="s">
        <v>2330</v>
      </c>
      <c r="V293" s="475">
        <v>0</v>
      </c>
      <c r="W293" s="463" t="s">
        <v>2268</v>
      </c>
      <c r="X293" s="463" t="s">
        <v>2268</v>
      </c>
      <c r="Y293" s="463" t="s">
        <v>2267</v>
      </c>
      <c r="Z293" s="463"/>
      <c r="AA293" s="463"/>
      <c r="AB293" s="464">
        <v>0</v>
      </c>
      <c r="AC293" s="465">
        <v>0</v>
      </c>
      <c r="AD293" s="465">
        <v>0</v>
      </c>
      <c r="AE293" s="476">
        <v>0</v>
      </c>
      <c r="AF293" s="467">
        <v>0</v>
      </c>
      <c r="AG293" s="468">
        <v>0</v>
      </c>
      <c r="AH293" s="218">
        <v>0</v>
      </c>
      <c r="AI293" s="470">
        <v>0</v>
      </c>
      <c r="AJ293" s="471">
        <v>0</v>
      </c>
      <c r="AK293" s="218">
        <v>0</v>
      </c>
      <c r="AL293" s="470">
        <v>0</v>
      </c>
      <c r="AM293" s="471">
        <v>0</v>
      </c>
      <c r="AN293" s="477">
        <v>207.74083232830523</v>
      </c>
      <c r="AO293" s="473">
        <v>0.58692870897742544</v>
      </c>
      <c r="AP293" s="474">
        <v>8.3100119035563139E-3</v>
      </c>
      <c r="AQ293" s="352"/>
      <c r="AR293" s="352"/>
      <c r="AS293" s="352"/>
      <c r="AT293" s="352"/>
      <c r="AU293" s="352"/>
      <c r="AV293" s="352"/>
      <c r="AW293" s="352" t="s">
        <v>254</v>
      </c>
    </row>
    <row r="294" spans="2:49" x14ac:dyDescent="0.2">
      <c r="B294" s="460" t="s">
        <v>2452</v>
      </c>
      <c r="C294" s="460">
        <v>1222</v>
      </c>
      <c r="D294" s="460" t="s">
        <v>2341</v>
      </c>
      <c r="E294" s="460" t="s">
        <v>2333</v>
      </c>
      <c r="F294" s="460">
        <v>4</v>
      </c>
      <c r="G294" s="460">
        <v>3</v>
      </c>
      <c r="H294" s="461" t="s">
        <v>746</v>
      </c>
      <c r="I294" s="461" t="s">
        <v>762</v>
      </c>
      <c r="J294" s="461" t="s">
        <v>700</v>
      </c>
      <c r="K294" s="594"/>
      <c r="L294" s="594"/>
      <c r="M294" s="352">
        <v>1000</v>
      </c>
      <c r="N294" s="352" t="s">
        <v>698</v>
      </c>
      <c r="O294" s="460">
        <v>1222</v>
      </c>
      <c r="P294" s="460" t="s">
        <v>718</v>
      </c>
      <c r="Q294" s="460" t="s">
        <v>2440</v>
      </c>
      <c r="R294" s="460">
        <v>1221</v>
      </c>
      <c r="S294" s="460" t="s">
        <v>2333</v>
      </c>
      <c r="T294" s="462">
        <v>1</v>
      </c>
      <c r="U294" s="460" t="s">
        <v>2333</v>
      </c>
      <c r="V294" s="475">
        <v>0</v>
      </c>
      <c r="W294" s="463" t="s">
        <v>2268</v>
      </c>
      <c r="X294" s="463" t="s">
        <v>2268</v>
      </c>
      <c r="Y294" s="463" t="s">
        <v>2278</v>
      </c>
      <c r="Z294" s="463"/>
      <c r="AA294" s="463"/>
      <c r="AB294" s="464">
        <v>0</v>
      </c>
      <c r="AC294" s="465">
        <v>0</v>
      </c>
      <c r="AD294" s="465">
        <v>0</v>
      </c>
      <c r="AE294" s="476">
        <v>0</v>
      </c>
      <c r="AF294" s="467">
        <v>0</v>
      </c>
      <c r="AG294" s="468">
        <v>0</v>
      </c>
      <c r="AH294" s="218">
        <v>0</v>
      </c>
      <c r="AI294" s="470">
        <v>0</v>
      </c>
      <c r="AJ294" s="471">
        <v>0</v>
      </c>
      <c r="AK294" s="218">
        <v>0</v>
      </c>
      <c r="AL294" s="470">
        <v>0</v>
      </c>
      <c r="AM294" s="471">
        <v>0</v>
      </c>
      <c r="AN294" s="477">
        <v>6.1404089777110622</v>
      </c>
      <c r="AO294" s="473">
        <v>1.8291915591780533E-2</v>
      </c>
      <c r="AP294" s="474">
        <v>5.1186203332098668E-4</v>
      </c>
      <c r="AQ294" s="352"/>
      <c r="AR294" s="352"/>
      <c r="AS294" s="352"/>
      <c r="AT294" s="352"/>
      <c r="AU294" s="352"/>
      <c r="AV294" s="352"/>
      <c r="AW294" s="352" t="s">
        <v>254</v>
      </c>
    </row>
    <row r="295" spans="2:49" x14ac:dyDescent="0.2">
      <c r="B295" s="460" t="s">
        <v>2449</v>
      </c>
      <c r="C295" s="460">
        <v>1222</v>
      </c>
      <c r="D295" s="460" t="s">
        <v>2342</v>
      </c>
      <c r="E295" s="460" t="s">
        <v>2324</v>
      </c>
      <c r="F295" s="460">
        <v>1</v>
      </c>
      <c r="G295" s="460">
        <v>3</v>
      </c>
      <c r="H295" s="461" t="s">
        <v>748</v>
      </c>
      <c r="I295" s="461" t="s">
        <v>765</v>
      </c>
      <c r="J295" s="461" t="s">
        <v>700</v>
      </c>
      <c r="K295" s="594"/>
      <c r="L295" s="594"/>
      <c r="M295" s="352">
        <v>1000</v>
      </c>
      <c r="N295" s="352" t="s">
        <v>698</v>
      </c>
      <c r="O295" s="460">
        <v>1222</v>
      </c>
      <c r="P295" s="460" t="s">
        <v>718</v>
      </c>
      <c r="Q295" s="460" t="s">
        <v>2444</v>
      </c>
      <c r="R295" s="460">
        <v>1221</v>
      </c>
      <c r="S295" s="460" t="s">
        <v>2324</v>
      </c>
      <c r="T295" s="462">
        <v>1</v>
      </c>
      <c r="U295" s="460" t="s">
        <v>2324</v>
      </c>
      <c r="V295" s="475">
        <v>0</v>
      </c>
      <c r="W295" s="463" t="s">
        <v>2268</v>
      </c>
      <c r="X295" s="463" t="s">
        <v>2268</v>
      </c>
      <c r="Y295" s="463" t="s">
        <v>2290</v>
      </c>
      <c r="Z295" s="463"/>
      <c r="AA295" s="463"/>
      <c r="AB295" s="464">
        <v>0</v>
      </c>
      <c r="AC295" s="465">
        <v>0</v>
      </c>
      <c r="AD295" s="465">
        <v>0</v>
      </c>
      <c r="AE295" s="476">
        <v>0</v>
      </c>
      <c r="AF295" s="467">
        <v>0</v>
      </c>
      <c r="AG295" s="468">
        <v>0</v>
      </c>
      <c r="AH295" s="218">
        <v>0</v>
      </c>
      <c r="AI295" s="470">
        <v>0</v>
      </c>
      <c r="AJ295" s="471">
        <v>0</v>
      </c>
      <c r="AK295" s="218">
        <v>0</v>
      </c>
      <c r="AL295" s="470">
        <v>0</v>
      </c>
      <c r="AM295" s="471">
        <v>0</v>
      </c>
      <c r="AN295" s="477">
        <v>0</v>
      </c>
      <c r="AO295" s="473">
        <v>0</v>
      </c>
      <c r="AP295" s="474">
        <v>0</v>
      </c>
      <c r="AQ295" s="352"/>
      <c r="AR295" s="352"/>
      <c r="AS295" s="352"/>
      <c r="AT295" s="352"/>
      <c r="AU295" s="352"/>
      <c r="AV295" s="352"/>
      <c r="AW295" s="352" t="s">
        <v>254</v>
      </c>
    </row>
    <row r="296" spans="2:49" x14ac:dyDescent="0.2">
      <c r="B296" s="460" t="s">
        <v>2450</v>
      </c>
      <c r="C296" s="460">
        <v>1222</v>
      </c>
      <c r="D296" s="460" t="s">
        <v>2343</v>
      </c>
      <c r="E296" s="460" t="s">
        <v>2327</v>
      </c>
      <c r="F296" s="460">
        <v>2</v>
      </c>
      <c r="G296" s="460">
        <v>3</v>
      </c>
      <c r="H296" s="461" t="s">
        <v>748</v>
      </c>
      <c r="I296" s="461" t="s">
        <v>765</v>
      </c>
      <c r="J296" s="461" t="s">
        <v>700</v>
      </c>
      <c r="K296" s="594"/>
      <c r="L296" s="594"/>
      <c r="M296" s="352">
        <v>1000</v>
      </c>
      <c r="N296" s="352" t="s">
        <v>698</v>
      </c>
      <c r="O296" s="460">
        <v>1222</v>
      </c>
      <c r="P296" s="460" t="s">
        <v>718</v>
      </c>
      <c r="Q296" s="460" t="s">
        <v>2444</v>
      </c>
      <c r="R296" s="460">
        <v>1221</v>
      </c>
      <c r="S296" s="460" t="s">
        <v>2324</v>
      </c>
      <c r="T296" s="462">
        <v>1</v>
      </c>
      <c r="U296" s="460" t="s">
        <v>2327</v>
      </c>
      <c r="V296" s="475">
        <v>0</v>
      </c>
      <c r="W296" s="463" t="s">
        <v>2268</v>
      </c>
      <c r="X296" s="463" t="s">
        <v>2268</v>
      </c>
      <c r="Y296" s="463" t="s">
        <v>2290</v>
      </c>
      <c r="Z296" s="463"/>
      <c r="AA296" s="463"/>
      <c r="AB296" s="464">
        <v>0</v>
      </c>
      <c r="AC296" s="465">
        <v>0</v>
      </c>
      <c r="AD296" s="465">
        <v>0</v>
      </c>
      <c r="AE296" s="476">
        <v>0</v>
      </c>
      <c r="AF296" s="467">
        <v>0</v>
      </c>
      <c r="AG296" s="468">
        <v>0</v>
      </c>
      <c r="AH296" s="218">
        <v>0</v>
      </c>
      <c r="AI296" s="470">
        <v>0</v>
      </c>
      <c r="AJ296" s="471">
        <v>0</v>
      </c>
      <c r="AK296" s="218">
        <v>0</v>
      </c>
      <c r="AL296" s="470">
        <v>0</v>
      </c>
      <c r="AM296" s="471">
        <v>0</v>
      </c>
      <c r="AN296" s="477">
        <v>0</v>
      </c>
      <c r="AO296" s="473">
        <v>0</v>
      </c>
      <c r="AP296" s="474">
        <v>0</v>
      </c>
      <c r="AQ296" s="352"/>
      <c r="AR296" s="352"/>
      <c r="AS296" s="352"/>
      <c r="AT296" s="352"/>
      <c r="AU296" s="352"/>
      <c r="AV296" s="352"/>
      <c r="AW296" s="352" t="s">
        <v>254</v>
      </c>
    </row>
    <row r="297" spans="2:49" x14ac:dyDescent="0.2">
      <c r="B297" s="460" t="s">
        <v>2451</v>
      </c>
      <c r="C297" s="460">
        <v>1222</v>
      </c>
      <c r="D297" s="460" t="s">
        <v>2344</v>
      </c>
      <c r="E297" s="460" t="s">
        <v>2330</v>
      </c>
      <c r="F297" s="460">
        <v>3</v>
      </c>
      <c r="G297" s="460">
        <v>3</v>
      </c>
      <c r="H297" s="461" t="s">
        <v>748</v>
      </c>
      <c r="I297" s="461" t="s">
        <v>765</v>
      </c>
      <c r="J297" s="461" t="s">
        <v>700</v>
      </c>
      <c r="K297" s="594"/>
      <c r="L297" s="594"/>
      <c r="M297" s="352">
        <v>1000</v>
      </c>
      <c r="N297" s="352" t="s">
        <v>698</v>
      </c>
      <c r="O297" s="460">
        <v>1222</v>
      </c>
      <c r="P297" s="460" t="s">
        <v>718</v>
      </c>
      <c r="Q297" s="460" t="s">
        <v>2444</v>
      </c>
      <c r="R297" s="460">
        <v>1221</v>
      </c>
      <c r="S297" s="460" t="s">
        <v>2324</v>
      </c>
      <c r="T297" s="462">
        <v>1</v>
      </c>
      <c r="U297" s="460" t="s">
        <v>2330</v>
      </c>
      <c r="V297" s="475">
        <v>0</v>
      </c>
      <c r="W297" s="463" t="s">
        <v>2268</v>
      </c>
      <c r="X297" s="463" t="s">
        <v>2268</v>
      </c>
      <c r="Y297" s="463" t="s">
        <v>2290</v>
      </c>
      <c r="Z297" s="463"/>
      <c r="AA297" s="463"/>
      <c r="AB297" s="464">
        <v>0</v>
      </c>
      <c r="AC297" s="465">
        <v>0</v>
      </c>
      <c r="AD297" s="465">
        <v>0</v>
      </c>
      <c r="AE297" s="476">
        <v>0</v>
      </c>
      <c r="AF297" s="467">
        <v>0</v>
      </c>
      <c r="AG297" s="468">
        <v>0</v>
      </c>
      <c r="AH297" s="218">
        <v>0</v>
      </c>
      <c r="AI297" s="470">
        <v>0</v>
      </c>
      <c r="AJ297" s="471">
        <v>0</v>
      </c>
      <c r="AK297" s="218">
        <v>0</v>
      </c>
      <c r="AL297" s="470">
        <v>0</v>
      </c>
      <c r="AM297" s="471">
        <v>0</v>
      </c>
      <c r="AN297" s="477">
        <v>0</v>
      </c>
      <c r="AO297" s="473">
        <v>0</v>
      </c>
      <c r="AP297" s="474">
        <v>0</v>
      </c>
      <c r="AQ297" s="352"/>
      <c r="AR297" s="352"/>
      <c r="AS297" s="352"/>
      <c r="AT297" s="352"/>
      <c r="AU297" s="352"/>
      <c r="AV297" s="352"/>
      <c r="AW297" s="352" t="s">
        <v>254</v>
      </c>
    </row>
    <row r="298" spans="2:49" x14ac:dyDescent="0.2">
      <c r="B298" s="460" t="s">
        <v>2452</v>
      </c>
      <c r="C298" s="460">
        <v>1222</v>
      </c>
      <c r="D298" s="460" t="s">
        <v>2345</v>
      </c>
      <c r="E298" s="460" t="s">
        <v>2333</v>
      </c>
      <c r="F298" s="460">
        <v>4</v>
      </c>
      <c r="G298" s="460">
        <v>3</v>
      </c>
      <c r="H298" s="461" t="s">
        <v>748</v>
      </c>
      <c r="I298" s="461" t="s">
        <v>765</v>
      </c>
      <c r="J298" s="461" t="s">
        <v>700</v>
      </c>
      <c r="K298" s="594"/>
      <c r="L298" s="594"/>
      <c r="M298" s="352">
        <v>1000</v>
      </c>
      <c r="N298" s="352" t="s">
        <v>698</v>
      </c>
      <c r="O298" s="460">
        <v>1222</v>
      </c>
      <c r="P298" s="460" t="s">
        <v>718</v>
      </c>
      <c r="Q298" s="460" t="s">
        <v>2444</v>
      </c>
      <c r="R298" s="460">
        <v>1221</v>
      </c>
      <c r="S298" s="460" t="s">
        <v>2333</v>
      </c>
      <c r="T298" s="462">
        <v>1</v>
      </c>
      <c r="U298" s="460" t="s">
        <v>2333</v>
      </c>
      <c r="V298" s="475">
        <v>0</v>
      </c>
      <c r="W298" s="463" t="s">
        <v>2268</v>
      </c>
      <c r="X298" s="463" t="s">
        <v>2268</v>
      </c>
      <c r="Y298" s="463" t="s">
        <v>2290</v>
      </c>
      <c r="Z298" s="463"/>
      <c r="AA298" s="463"/>
      <c r="AB298" s="464">
        <v>0</v>
      </c>
      <c r="AC298" s="465">
        <v>0</v>
      </c>
      <c r="AD298" s="465">
        <v>0</v>
      </c>
      <c r="AE298" s="476">
        <v>0</v>
      </c>
      <c r="AF298" s="467">
        <v>0</v>
      </c>
      <c r="AG298" s="468">
        <v>0</v>
      </c>
      <c r="AH298" s="218">
        <v>0</v>
      </c>
      <c r="AI298" s="470">
        <v>0</v>
      </c>
      <c r="AJ298" s="471">
        <v>0</v>
      </c>
      <c r="AK298" s="218">
        <v>0</v>
      </c>
      <c r="AL298" s="470">
        <v>0</v>
      </c>
      <c r="AM298" s="471">
        <v>0</v>
      </c>
      <c r="AN298" s="477">
        <v>0</v>
      </c>
      <c r="AO298" s="473">
        <v>0</v>
      </c>
      <c r="AP298" s="474">
        <v>0</v>
      </c>
      <c r="AQ298" s="352"/>
      <c r="AR298" s="352"/>
      <c r="AS298" s="352"/>
      <c r="AT298" s="352"/>
      <c r="AU298" s="352"/>
      <c r="AV298" s="352"/>
      <c r="AW298" s="352" t="s">
        <v>254</v>
      </c>
    </row>
    <row r="299" spans="2:49" x14ac:dyDescent="0.2">
      <c r="B299" s="460" t="s">
        <v>2449</v>
      </c>
      <c r="C299" s="460">
        <v>1222</v>
      </c>
      <c r="D299" s="460" t="s">
        <v>2346</v>
      </c>
      <c r="E299" s="460" t="s">
        <v>2324</v>
      </c>
      <c r="F299" s="460">
        <v>1</v>
      </c>
      <c r="G299" s="460">
        <v>3</v>
      </c>
      <c r="H299" s="461" t="s">
        <v>752</v>
      </c>
      <c r="I299" s="461" t="s">
        <v>964</v>
      </c>
      <c r="J299" s="461" t="s">
        <v>752</v>
      </c>
      <c r="K299" s="594"/>
      <c r="L299" s="594"/>
      <c r="M299" s="352">
        <v>1000</v>
      </c>
      <c r="N299" s="352" t="s">
        <v>698</v>
      </c>
      <c r="O299" s="460">
        <v>1222</v>
      </c>
      <c r="P299" s="460" t="s">
        <v>718</v>
      </c>
      <c r="Q299" s="460" t="s">
        <v>2440</v>
      </c>
      <c r="R299" s="460">
        <v>1221</v>
      </c>
      <c r="S299" s="460" t="s">
        <v>2324</v>
      </c>
      <c r="T299" s="462">
        <v>1</v>
      </c>
      <c r="U299" s="460" t="s">
        <v>2324</v>
      </c>
      <c r="V299" s="475">
        <v>0</v>
      </c>
      <c r="W299" s="463" t="s">
        <v>2278</v>
      </c>
      <c r="X299" s="463" t="s">
        <v>2278</v>
      </c>
      <c r="Y299" s="463" t="s">
        <v>2278</v>
      </c>
      <c r="Z299" s="463"/>
      <c r="AA299" s="463"/>
      <c r="AB299" s="464">
        <v>0</v>
      </c>
      <c r="AC299" s="465">
        <v>0</v>
      </c>
      <c r="AD299" s="465">
        <v>0</v>
      </c>
      <c r="AE299" s="476">
        <v>0</v>
      </c>
      <c r="AF299" s="467">
        <v>0</v>
      </c>
      <c r="AG299" s="468">
        <v>0</v>
      </c>
      <c r="AH299" s="218">
        <v>0</v>
      </c>
      <c r="AI299" s="470">
        <v>0</v>
      </c>
      <c r="AJ299" s="471">
        <v>0</v>
      </c>
      <c r="AK299" s="218">
        <v>0</v>
      </c>
      <c r="AL299" s="470">
        <v>0</v>
      </c>
      <c r="AM299" s="471">
        <v>0</v>
      </c>
      <c r="AN299" s="477">
        <v>0</v>
      </c>
      <c r="AO299" s="473">
        <v>0</v>
      </c>
      <c r="AP299" s="474">
        <v>0</v>
      </c>
      <c r="AQ299" s="352"/>
      <c r="AR299" s="352"/>
      <c r="AS299" s="352"/>
      <c r="AT299" s="352"/>
      <c r="AU299" s="352"/>
      <c r="AV299" s="352"/>
      <c r="AW299" s="352" t="s">
        <v>254</v>
      </c>
    </row>
    <row r="300" spans="2:49" x14ac:dyDescent="0.2">
      <c r="B300" s="460" t="s">
        <v>2450</v>
      </c>
      <c r="C300" s="460">
        <v>1222</v>
      </c>
      <c r="D300" s="460" t="s">
        <v>2347</v>
      </c>
      <c r="E300" s="460" t="s">
        <v>2327</v>
      </c>
      <c r="F300" s="460">
        <v>2</v>
      </c>
      <c r="G300" s="460">
        <v>3</v>
      </c>
      <c r="H300" s="461" t="s">
        <v>752</v>
      </c>
      <c r="I300" s="461" t="s">
        <v>964</v>
      </c>
      <c r="J300" s="461" t="s">
        <v>752</v>
      </c>
      <c r="K300" s="594"/>
      <c r="L300" s="594"/>
      <c r="M300" s="352">
        <v>1000</v>
      </c>
      <c r="N300" s="352" t="s">
        <v>698</v>
      </c>
      <c r="O300" s="460">
        <v>1222</v>
      </c>
      <c r="P300" s="460" t="s">
        <v>718</v>
      </c>
      <c r="Q300" s="460" t="s">
        <v>2440</v>
      </c>
      <c r="R300" s="460">
        <v>1221</v>
      </c>
      <c r="S300" s="460" t="s">
        <v>2324</v>
      </c>
      <c r="T300" s="462">
        <v>1</v>
      </c>
      <c r="U300" s="460" t="s">
        <v>2327</v>
      </c>
      <c r="V300" s="475">
        <v>0</v>
      </c>
      <c r="W300" s="463" t="s">
        <v>2278</v>
      </c>
      <c r="X300" s="463" t="s">
        <v>2278</v>
      </c>
      <c r="Y300" s="463" t="s">
        <v>2278</v>
      </c>
      <c r="Z300" s="463"/>
      <c r="AA300" s="463"/>
      <c r="AB300" s="464">
        <v>0</v>
      </c>
      <c r="AC300" s="465">
        <v>0</v>
      </c>
      <c r="AD300" s="465">
        <v>0</v>
      </c>
      <c r="AE300" s="476">
        <v>0</v>
      </c>
      <c r="AF300" s="467">
        <v>0</v>
      </c>
      <c r="AG300" s="468">
        <v>0</v>
      </c>
      <c r="AH300" s="218">
        <v>0</v>
      </c>
      <c r="AI300" s="470">
        <v>0</v>
      </c>
      <c r="AJ300" s="471">
        <v>0</v>
      </c>
      <c r="AK300" s="218">
        <v>0</v>
      </c>
      <c r="AL300" s="470">
        <v>0</v>
      </c>
      <c r="AM300" s="471">
        <v>0</v>
      </c>
      <c r="AN300" s="477">
        <v>0</v>
      </c>
      <c r="AO300" s="473">
        <v>0</v>
      </c>
      <c r="AP300" s="474">
        <v>0</v>
      </c>
      <c r="AQ300" s="352"/>
      <c r="AR300" s="352"/>
      <c r="AS300" s="352"/>
      <c r="AT300" s="352"/>
      <c r="AU300" s="352"/>
      <c r="AV300" s="352"/>
      <c r="AW300" s="352" t="s">
        <v>254</v>
      </c>
    </row>
    <row r="301" spans="2:49" x14ac:dyDescent="0.2">
      <c r="B301" s="460" t="s">
        <v>2451</v>
      </c>
      <c r="C301" s="460">
        <v>1222</v>
      </c>
      <c r="D301" s="460" t="s">
        <v>2348</v>
      </c>
      <c r="E301" s="460" t="s">
        <v>2330</v>
      </c>
      <c r="F301" s="460">
        <v>3</v>
      </c>
      <c r="G301" s="460">
        <v>3</v>
      </c>
      <c r="H301" s="461" t="s">
        <v>752</v>
      </c>
      <c r="I301" s="461" t="s">
        <v>964</v>
      </c>
      <c r="J301" s="461" t="s">
        <v>752</v>
      </c>
      <c r="K301" s="594"/>
      <c r="L301" s="594"/>
      <c r="M301" s="352">
        <v>1000</v>
      </c>
      <c r="N301" s="352" t="s">
        <v>698</v>
      </c>
      <c r="O301" s="460">
        <v>1222</v>
      </c>
      <c r="P301" s="460" t="s">
        <v>718</v>
      </c>
      <c r="Q301" s="460" t="s">
        <v>2440</v>
      </c>
      <c r="R301" s="460">
        <v>1221</v>
      </c>
      <c r="S301" s="460" t="s">
        <v>2324</v>
      </c>
      <c r="T301" s="462">
        <v>1</v>
      </c>
      <c r="U301" s="460" t="s">
        <v>2330</v>
      </c>
      <c r="V301" s="475">
        <v>0</v>
      </c>
      <c r="W301" s="463" t="s">
        <v>2278</v>
      </c>
      <c r="X301" s="463" t="s">
        <v>2278</v>
      </c>
      <c r="Y301" s="463" t="s">
        <v>2278</v>
      </c>
      <c r="Z301" s="463"/>
      <c r="AA301" s="463"/>
      <c r="AB301" s="464">
        <v>0</v>
      </c>
      <c r="AC301" s="465">
        <v>0</v>
      </c>
      <c r="AD301" s="465">
        <v>0</v>
      </c>
      <c r="AE301" s="476">
        <v>0</v>
      </c>
      <c r="AF301" s="467">
        <v>0</v>
      </c>
      <c r="AG301" s="468">
        <v>0</v>
      </c>
      <c r="AH301" s="218">
        <v>0</v>
      </c>
      <c r="AI301" s="470">
        <v>0</v>
      </c>
      <c r="AJ301" s="471">
        <v>0</v>
      </c>
      <c r="AK301" s="218">
        <v>0</v>
      </c>
      <c r="AL301" s="470">
        <v>0</v>
      </c>
      <c r="AM301" s="471">
        <v>0</v>
      </c>
      <c r="AN301" s="477">
        <v>0</v>
      </c>
      <c r="AO301" s="473">
        <v>0</v>
      </c>
      <c r="AP301" s="474">
        <v>0</v>
      </c>
      <c r="AQ301" s="352"/>
      <c r="AR301" s="352"/>
      <c r="AS301" s="352"/>
      <c r="AT301" s="352"/>
      <c r="AU301" s="352"/>
      <c r="AV301" s="352"/>
      <c r="AW301" s="352" t="s">
        <v>254</v>
      </c>
    </row>
    <row r="302" spans="2:49" x14ac:dyDescent="0.2">
      <c r="B302" s="460" t="s">
        <v>2452</v>
      </c>
      <c r="C302" s="460">
        <v>1222</v>
      </c>
      <c r="D302" s="460" t="s">
        <v>2349</v>
      </c>
      <c r="E302" s="460" t="s">
        <v>2333</v>
      </c>
      <c r="F302" s="460">
        <v>4</v>
      </c>
      <c r="G302" s="460">
        <v>3</v>
      </c>
      <c r="H302" s="461" t="s">
        <v>752</v>
      </c>
      <c r="I302" s="461" t="s">
        <v>964</v>
      </c>
      <c r="J302" s="461" t="s">
        <v>752</v>
      </c>
      <c r="K302" s="594"/>
      <c r="L302" s="594"/>
      <c r="M302" s="352">
        <v>1000</v>
      </c>
      <c r="N302" s="352" t="s">
        <v>698</v>
      </c>
      <c r="O302" s="460">
        <v>1222</v>
      </c>
      <c r="P302" s="460" t="s">
        <v>718</v>
      </c>
      <c r="Q302" s="460" t="s">
        <v>2440</v>
      </c>
      <c r="R302" s="460">
        <v>1221</v>
      </c>
      <c r="S302" s="460" t="s">
        <v>2333</v>
      </c>
      <c r="T302" s="462">
        <v>1</v>
      </c>
      <c r="U302" s="460" t="s">
        <v>2333</v>
      </c>
      <c r="V302" s="475">
        <v>0</v>
      </c>
      <c r="W302" s="463" t="s">
        <v>2278</v>
      </c>
      <c r="X302" s="463" t="s">
        <v>2278</v>
      </c>
      <c r="Y302" s="463" t="s">
        <v>2278</v>
      </c>
      <c r="Z302" s="463"/>
      <c r="AA302" s="463"/>
      <c r="AB302" s="464">
        <v>0</v>
      </c>
      <c r="AC302" s="465">
        <v>0</v>
      </c>
      <c r="AD302" s="465">
        <v>0</v>
      </c>
      <c r="AE302" s="476">
        <v>0</v>
      </c>
      <c r="AF302" s="467">
        <v>0</v>
      </c>
      <c r="AG302" s="468">
        <v>0</v>
      </c>
      <c r="AH302" s="218">
        <v>0</v>
      </c>
      <c r="AI302" s="470">
        <v>0</v>
      </c>
      <c r="AJ302" s="471">
        <v>0</v>
      </c>
      <c r="AK302" s="218">
        <v>0</v>
      </c>
      <c r="AL302" s="470">
        <v>0</v>
      </c>
      <c r="AM302" s="471">
        <v>0</v>
      </c>
      <c r="AN302" s="477">
        <v>0</v>
      </c>
      <c r="AO302" s="473">
        <v>0</v>
      </c>
      <c r="AP302" s="474">
        <v>0</v>
      </c>
      <c r="AQ302" s="352"/>
      <c r="AR302" s="352"/>
      <c r="AS302" s="352"/>
      <c r="AT302" s="352"/>
      <c r="AU302" s="352"/>
      <c r="AV302" s="352"/>
      <c r="AW302" s="352" t="s">
        <v>254</v>
      </c>
    </row>
    <row r="303" spans="2:49" x14ac:dyDescent="0.2">
      <c r="B303" s="460" t="s">
        <v>2453</v>
      </c>
      <c r="C303" s="460">
        <v>1222</v>
      </c>
      <c r="D303" s="460" t="s">
        <v>2351</v>
      </c>
      <c r="E303" s="460" t="s">
        <v>1136</v>
      </c>
      <c r="F303" s="460">
        <v>1</v>
      </c>
      <c r="G303" s="460">
        <v>4</v>
      </c>
      <c r="H303" s="461" t="s">
        <v>700</v>
      </c>
      <c r="I303" s="461" t="s">
        <v>872</v>
      </c>
      <c r="J303" s="461" t="s">
        <v>700</v>
      </c>
      <c r="K303" s="594"/>
      <c r="L303" s="594"/>
      <c r="M303" s="352">
        <v>1000</v>
      </c>
      <c r="N303" s="352" t="s">
        <v>698</v>
      </c>
      <c r="O303" s="460">
        <v>1222</v>
      </c>
      <c r="P303" s="460" t="s">
        <v>718</v>
      </c>
      <c r="Q303" s="460" t="s">
        <v>2440</v>
      </c>
      <c r="R303" s="460">
        <v>1221</v>
      </c>
      <c r="S303" s="460" t="s">
        <v>1136</v>
      </c>
      <c r="T303" s="462">
        <v>1</v>
      </c>
      <c r="U303" s="460" t="s">
        <v>1136</v>
      </c>
      <c r="V303" s="475">
        <v>0</v>
      </c>
      <c r="W303" s="463" t="s">
        <v>2267</v>
      </c>
      <c r="X303" s="463" t="s">
        <v>2267</v>
      </c>
      <c r="Y303" s="463" t="s">
        <v>2268</v>
      </c>
      <c r="Z303" s="463"/>
      <c r="AA303" s="463"/>
      <c r="AB303" s="464">
        <v>2.4009046735736459</v>
      </c>
      <c r="AC303" s="465">
        <v>1.8896210163997701E-2</v>
      </c>
      <c r="AD303" s="465">
        <v>6.8310761330159231E-3</v>
      </c>
      <c r="AE303" s="476">
        <v>2.4009046735736459</v>
      </c>
      <c r="AF303" s="467">
        <v>1.8896210163997701E-2</v>
      </c>
      <c r="AG303" s="468">
        <v>7.4258003169648847E-3</v>
      </c>
      <c r="AH303" s="218">
        <v>4.5081487157732001</v>
      </c>
      <c r="AI303" s="470">
        <v>3.5481177791623672E-2</v>
      </c>
      <c r="AJ303" s="471">
        <v>3.5207132341052568E-3</v>
      </c>
      <c r="AK303" s="218">
        <v>4.5081487157732001</v>
      </c>
      <c r="AL303" s="470">
        <v>3.5481177791623672E-2</v>
      </c>
      <c r="AM303" s="471">
        <v>3.5207132341052568E-3</v>
      </c>
      <c r="AN303" s="477">
        <v>0</v>
      </c>
      <c r="AO303" s="473">
        <v>0</v>
      </c>
      <c r="AP303" s="474">
        <v>0</v>
      </c>
      <c r="AQ303" s="352"/>
      <c r="AR303" s="352"/>
      <c r="AS303" s="352"/>
      <c r="AT303" s="352"/>
      <c r="AU303" s="352"/>
      <c r="AV303" s="352"/>
      <c r="AW303" s="352" t="s">
        <v>254</v>
      </c>
    </row>
    <row r="304" spans="2:49" x14ac:dyDescent="0.2">
      <c r="B304" s="460" t="s">
        <v>2454</v>
      </c>
      <c r="C304" s="460">
        <v>1222</v>
      </c>
      <c r="D304" s="460" t="s">
        <v>2353</v>
      </c>
      <c r="E304" s="460" t="s">
        <v>1137</v>
      </c>
      <c r="F304" s="460">
        <v>2</v>
      </c>
      <c r="G304" s="460">
        <v>4</v>
      </c>
      <c r="H304" s="461" t="s">
        <v>700</v>
      </c>
      <c r="I304" s="461" t="s">
        <v>872</v>
      </c>
      <c r="J304" s="461" t="s">
        <v>700</v>
      </c>
      <c r="K304" s="594"/>
      <c r="L304" s="594"/>
      <c r="M304" s="352">
        <v>1000</v>
      </c>
      <c r="N304" s="352" t="s">
        <v>698</v>
      </c>
      <c r="O304" s="460">
        <v>1222</v>
      </c>
      <c r="P304" s="460" t="s">
        <v>718</v>
      </c>
      <c r="Q304" s="460" t="s">
        <v>2440</v>
      </c>
      <c r="R304" s="460">
        <v>1221</v>
      </c>
      <c r="S304" s="460" t="s">
        <v>1137</v>
      </c>
      <c r="T304" s="462">
        <v>1</v>
      </c>
      <c r="U304" s="460" t="s">
        <v>1137</v>
      </c>
      <c r="V304" s="475">
        <v>0</v>
      </c>
      <c r="W304" s="463" t="s">
        <v>2267</v>
      </c>
      <c r="X304" s="463" t="s">
        <v>2267</v>
      </c>
      <c r="Y304" s="463" t="s">
        <v>2268</v>
      </c>
      <c r="Z304" s="463"/>
      <c r="AA304" s="463"/>
      <c r="AB304" s="464">
        <v>44.542888739889804</v>
      </c>
      <c r="AC304" s="465">
        <v>0.19192249026193337</v>
      </c>
      <c r="AD304" s="465">
        <v>1.0058457828949955E-2</v>
      </c>
      <c r="AE304" s="476">
        <v>44.542888739889804</v>
      </c>
      <c r="AF304" s="467">
        <v>0.19192249026193337</v>
      </c>
      <c r="AG304" s="468">
        <v>1.0836285785325689E-2</v>
      </c>
      <c r="AH304" s="218">
        <v>72.620414421262964</v>
      </c>
      <c r="AI304" s="470">
        <v>0.31290046905064933</v>
      </c>
      <c r="AJ304" s="471">
        <v>1.5004062301225968E-2</v>
      </c>
      <c r="AK304" s="218">
        <v>72.620414421262964</v>
      </c>
      <c r="AL304" s="470">
        <v>0.31290046905064933</v>
      </c>
      <c r="AM304" s="471">
        <v>1.5004062301225968E-2</v>
      </c>
      <c r="AN304" s="477">
        <v>0</v>
      </c>
      <c r="AO304" s="473">
        <v>0</v>
      </c>
      <c r="AP304" s="474">
        <v>0</v>
      </c>
      <c r="AQ304" s="352"/>
      <c r="AR304" s="352"/>
      <c r="AS304" s="352"/>
      <c r="AT304" s="352"/>
      <c r="AU304" s="352"/>
      <c r="AV304" s="352"/>
      <c r="AW304" s="352" t="s">
        <v>254</v>
      </c>
    </row>
    <row r="305" spans="2:49" x14ac:dyDescent="0.2">
      <c r="B305" s="460" t="s">
        <v>2455</v>
      </c>
      <c r="C305" s="460">
        <v>1222</v>
      </c>
      <c r="D305" s="460" t="s">
        <v>2355</v>
      </c>
      <c r="E305" s="460" t="s">
        <v>1138</v>
      </c>
      <c r="F305" s="460">
        <v>3</v>
      </c>
      <c r="G305" s="460">
        <v>4</v>
      </c>
      <c r="H305" s="461" t="s">
        <v>700</v>
      </c>
      <c r="I305" s="461" t="s">
        <v>872</v>
      </c>
      <c r="J305" s="461" t="s">
        <v>700</v>
      </c>
      <c r="K305" s="594"/>
      <c r="L305" s="594"/>
      <c r="M305" s="352">
        <v>1000</v>
      </c>
      <c r="N305" s="352" t="s">
        <v>698</v>
      </c>
      <c r="O305" s="460">
        <v>1222</v>
      </c>
      <c r="P305" s="460" t="s">
        <v>718</v>
      </c>
      <c r="Q305" s="460" t="s">
        <v>2440</v>
      </c>
      <c r="R305" s="460">
        <v>1221</v>
      </c>
      <c r="S305" s="460" t="s">
        <v>1138</v>
      </c>
      <c r="T305" s="462">
        <v>1</v>
      </c>
      <c r="U305" s="460" t="s">
        <v>1138</v>
      </c>
      <c r="V305" s="475">
        <v>0</v>
      </c>
      <c r="W305" s="463" t="s">
        <v>2267</v>
      </c>
      <c r="X305" s="463" t="s">
        <v>2267</v>
      </c>
      <c r="Y305" s="463" t="s">
        <v>2268</v>
      </c>
      <c r="Z305" s="463"/>
      <c r="AA305" s="463"/>
      <c r="AB305" s="464">
        <v>26.982209266985009</v>
      </c>
      <c r="AC305" s="465">
        <v>0.20460665672968914</v>
      </c>
      <c r="AD305" s="465">
        <v>1.1320875861666036E-2</v>
      </c>
      <c r="AE305" s="476">
        <v>26.982209266985009</v>
      </c>
      <c r="AF305" s="467">
        <v>0.20460665672968914</v>
      </c>
      <c r="AG305" s="468">
        <v>1.2213693494346051E-2</v>
      </c>
      <c r="AH305" s="218">
        <v>41.371225641451986</v>
      </c>
      <c r="AI305" s="470">
        <v>0.31371886859036802</v>
      </c>
      <c r="AJ305" s="471">
        <v>1.4256780249815698E-2</v>
      </c>
      <c r="AK305" s="218">
        <v>41.371225641451986</v>
      </c>
      <c r="AL305" s="470">
        <v>0.31371886859036802</v>
      </c>
      <c r="AM305" s="471">
        <v>1.4256780249815698E-2</v>
      </c>
      <c r="AN305" s="477">
        <v>0</v>
      </c>
      <c r="AO305" s="473">
        <v>0</v>
      </c>
      <c r="AP305" s="474">
        <v>0</v>
      </c>
      <c r="AQ305" s="352"/>
      <c r="AR305" s="352"/>
      <c r="AS305" s="352"/>
      <c r="AT305" s="352"/>
      <c r="AU305" s="352"/>
      <c r="AV305" s="352"/>
      <c r="AW305" s="352" t="s">
        <v>254</v>
      </c>
    </row>
    <row r="306" spans="2:49" x14ac:dyDescent="0.2">
      <c r="B306" s="460" t="s">
        <v>2456</v>
      </c>
      <c r="C306" s="460">
        <v>1222</v>
      </c>
      <c r="D306" s="460" t="s">
        <v>2357</v>
      </c>
      <c r="E306" s="460" t="s">
        <v>1139</v>
      </c>
      <c r="F306" s="460">
        <v>4</v>
      </c>
      <c r="G306" s="460">
        <v>4</v>
      </c>
      <c r="H306" s="461" t="s">
        <v>700</v>
      </c>
      <c r="I306" s="461" t="s">
        <v>872</v>
      </c>
      <c r="J306" s="461" t="s">
        <v>700</v>
      </c>
      <c r="K306" s="594"/>
      <c r="L306" s="594"/>
      <c r="M306" s="352">
        <v>1000</v>
      </c>
      <c r="N306" s="352" t="s">
        <v>698</v>
      </c>
      <c r="O306" s="460">
        <v>1222</v>
      </c>
      <c r="P306" s="460" t="s">
        <v>718</v>
      </c>
      <c r="Q306" s="460" t="s">
        <v>2440</v>
      </c>
      <c r="R306" s="460">
        <v>1221</v>
      </c>
      <c r="S306" s="460" t="s">
        <v>1139</v>
      </c>
      <c r="T306" s="462">
        <v>1</v>
      </c>
      <c r="U306" s="460" t="s">
        <v>1139</v>
      </c>
      <c r="V306" s="475">
        <v>0</v>
      </c>
      <c r="W306" s="463" t="s">
        <v>2267</v>
      </c>
      <c r="X306" s="463" t="s">
        <v>2267</v>
      </c>
      <c r="Y306" s="463" t="s">
        <v>2268</v>
      </c>
      <c r="Z306" s="463"/>
      <c r="AA306" s="463"/>
      <c r="AB306" s="464">
        <v>0</v>
      </c>
      <c r="AC306" s="465">
        <v>0</v>
      </c>
      <c r="AD306" s="465">
        <v>0</v>
      </c>
      <c r="AE306" s="476">
        <v>0</v>
      </c>
      <c r="AF306" s="467">
        <v>0</v>
      </c>
      <c r="AG306" s="468">
        <v>0</v>
      </c>
      <c r="AH306" s="218">
        <v>0</v>
      </c>
      <c r="AI306" s="470">
        <v>0</v>
      </c>
      <c r="AJ306" s="471">
        <v>0</v>
      </c>
      <c r="AK306" s="218">
        <v>0</v>
      </c>
      <c r="AL306" s="470">
        <v>0</v>
      </c>
      <c r="AM306" s="471">
        <v>0</v>
      </c>
      <c r="AN306" s="477">
        <v>0</v>
      </c>
      <c r="AO306" s="473">
        <v>0</v>
      </c>
      <c r="AP306" s="474">
        <v>0</v>
      </c>
      <c r="AQ306" s="352"/>
      <c r="AR306" s="352"/>
      <c r="AS306" s="352"/>
      <c r="AT306" s="352"/>
      <c r="AU306" s="352"/>
      <c r="AV306" s="352"/>
      <c r="AW306" s="352" t="s">
        <v>254</v>
      </c>
    </row>
    <row r="307" spans="2:49" x14ac:dyDescent="0.2">
      <c r="B307" s="460" t="s">
        <v>2453</v>
      </c>
      <c r="C307" s="460">
        <v>1222</v>
      </c>
      <c r="D307" s="460" t="s">
        <v>2358</v>
      </c>
      <c r="E307" s="460" t="s">
        <v>1136</v>
      </c>
      <c r="F307" s="460">
        <v>1</v>
      </c>
      <c r="G307" s="460">
        <v>4</v>
      </c>
      <c r="H307" s="461" t="s">
        <v>712</v>
      </c>
      <c r="I307" s="461" t="s">
        <v>713</v>
      </c>
      <c r="J307" s="461" t="s">
        <v>712</v>
      </c>
      <c r="K307" s="594"/>
      <c r="L307" s="594"/>
      <c r="M307" s="352">
        <v>1000</v>
      </c>
      <c r="N307" s="352" t="s">
        <v>698</v>
      </c>
      <c r="O307" s="460">
        <v>1222</v>
      </c>
      <c r="P307" s="460" t="s">
        <v>718</v>
      </c>
      <c r="Q307" s="460" t="s">
        <v>2280</v>
      </c>
      <c r="R307" s="460">
        <v>1221</v>
      </c>
      <c r="S307" s="460" t="s">
        <v>1136</v>
      </c>
      <c r="T307" s="462">
        <v>1</v>
      </c>
      <c r="U307" s="460" t="s">
        <v>1136</v>
      </c>
      <c r="V307" s="475">
        <v>0</v>
      </c>
      <c r="W307" s="463" t="s">
        <v>713</v>
      </c>
      <c r="X307" s="463" t="s">
        <v>713</v>
      </c>
      <c r="Y307" s="463" t="s">
        <v>713</v>
      </c>
      <c r="Z307" s="463"/>
      <c r="AA307" s="463"/>
      <c r="AB307" s="464">
        <v>112.84190462032393</v>
      </c>
      <c r="AC307" s="465">
        <v>0.88811703708236289</v>
      </c>
      <c r="AD307" s="465">
        <v>7.4366994896597294E-4</v>
      </c>
      <c r="AE307" s="476">
        <v>112.84190462032393</v>
      </c>
      <c r="AF307" s="467">
        <v>0.88811703708236289</v>
      </c>
      <c r="AG307" s="468">
        <v>7.4353201614382389E-4</v>
      </c>
      <c r="AH307" s="218">
        <v>100.36507963871895</v>
      </c>
      <c r="AI307" s="470">
        <v>0.78991875806410494</v>
      </c>
      <c r="AJ307" s="471">
        <v>6.6804151480118754E-4</v>
      </c>
      <c r="AK307" s="218">
        <v>100.36507963871895</v>
      </c>
      <c r="AL307" s="470">
        <v>0.78991875806410494</v>
      </c>
      <c r="AM307" s="471">
        <v>6.6804151480118754E-4</v>
      </c>
      <c r="AN307" s="477">
        <v>100.36507963871895</v>
      </c>
      <c r="AO307" s="473">
        <v>0.78991875806410494</v>
      </c>
      <c r="AP307" s="474">
        <v>6.6695451796909219E-4</v>
      </c>
      <c r="AQ307" s="352"/>
      <c r="AR307" s="352"/>
      <c r="AS307" s="352"/>
      <c r="AT307" s="352"/>
      <c r="AU307" s="352"/>
      <c r="AV307" s="352"/>
      <c r="AW307" s="352" t="s">
        <v>254</v>
      </c>
    </row>
    <row r="308" spans="2:49" x14ac:dyDescent="0.2">
      <c r="B308" s="460" t="s">
        <v>2454</v>
      </c>
      <c r="C308" s="460">
        <v>1222</v>
      </c>
      <c r="D308" s="460" t="s">
        <v>2359</v>
      </c>
      <c r="E308" s="460" t="s">
        <v>1137</v>
      </c>
      <c r="F308" s="460">
        <v>2</v>
      </c>
      <c r="G308" s="460">
        <v>4</v>
      </c>
      <c r="H308" s="461" t="s">
        <v>712</v>
      </c>
      <c r="I308" s="461" t="s">
        <v>713</v>
      </c>
      <c r="J308" s="461" t="s">
        <v>712</v>
      </c>
      <c r="K308" s="594"/>
      <c r="L308" s="594"/>
      <c r="M308" s="352">
        <v>1000</v>
      </c>
      <c r="N308" s="352" t="s">
        <v>698</v>
      </c>
      <c r="O308" s="460">
        <v>1222</v>
      </c>
      <c r="P308" s="460" t="s">
        <v>718</v>
      </c>
      <c r="Q308" s="460" t="s">
        <v>2280</v>
      </c>
      <c r="R308" s="460">
        <v>1221</v>
      </c>
      <c r="S308" s="460" t="s">
        <v>1137</v>
      </c>
      <c r="T308" s="462">
        <v>1</v>
      </c>
      <c r="U308" s="460" t="s">
        <v>1137</v>
      </c>
      <c r="V308" s="475">
        <v>0</v>
      </c>
      <c r="W308" s="463" t="s">
        <v>713</v>
      </c>
      <c r="X308" s="463" t="s">
        <v>713</v>
      </c>
      <c r="Y308" s="463" t="s">
        <v>713</v>
      </c>
      <c r="Z308" s="463"/>
      <c r="AA308" s="463"/>
      <c r="AB308" s="464">
        <v>170.49286936662807</v>
      </c>
      <c r="AC308" s="465">
        <v>0.73460471438715902</v>
      </c>
      <c r="AD308" s="465">
        <v>9.859837822691253E-4</v>
      </c>
      <c r="AE308" s="476">
        <v>170.49286936662807</v>
      </c>
      <c r="AF308" s="467">
        <v>0.73460471438715902</v>
      </c>
      <c r="AG308" s="468">
        <v>9.8417458561727645E-4</v>
      </c>
      <c r="AH308" s="218">
        <v>131.66655496574674</v>
      </c>
      <c r="AI308" s="470">
        <v>0.56731329799465446</v>
      </c>
      <c r="AJ308" s="471">
        <v>7.636552593189073E-4</v>
      </c>
      <c r="AK308" s="218">
        <v>131.66655496574674</v>
      </c>
      <c r="AL308" s="470">
        <v>0.56731329799465446</v>
      </c>
      <c r="AM308" s="471">
        <v>7.636552593189073E-4</v>
      </c>
      <c r="AN308" s="477">
        <v>131.66655496574674</v>
      </c>
      <c r="AO308" s="473">
        <v>0.56731329799465446</v>
      </c>
      <c r="AP308" s="474">
        <v>7.6302513418132628E-4</v>
      </c>
      <c r="AQ308" s="352"/>
      <c r="AR308" s="352"/>
      <c r="AS308" s="352"/>
      <c r="AT308" s="352"/>
      <c r="AU308" s="352"/>
      <c r="AV308" s="352"/>
      <c r="AW308" s="352" t="s">
        <v>254</v>
      </c>
    </row>
    <row r="309" spans="2:49" x14ac:dyDescent="0.2">
      <c r="B309" s="460" t="s">
        <v>2455</v>
      </c>
      <c r="C309" s="460">
        <v>1222</v>
      </c>
      <c r="D309" s="460" t="s">
        <v>2360</v>
      </c>
      <c r="E309" s="460" t="s">
        <v>1138</v>
      </c>
      <c r="F309" s="460">
        <v>3</v>
      </c>
      <c r="G309" s="460">
        <v>4</v>
      </c>
      <c r="H309" s="461" t="s">
        <v>712</v>
      </c>
      <c r="I309" s="461" t="s">
        <v>713</v>
      </c>
      <c r="J309" s="461" t="s">
        <v>712</v>
      </c>
      <c r="K309" s="594"/>
      <c r="L309" s="594"/>
      <c r="M309" s="352">
        <v>1000</v>
      </c>
      <c r="N309" s="352" t="s">
        <v>698</v>
      </c>
      <c r="O309" s="460">
        <v>1222</v>
      </c>
      <c r="P309" s="460" t="s">
        <v>718</v>
      </c>
      <c r="Q309" s="460" t="s">
        <v>2280</v>
      </c>
      <c r="R309" s="460">
        <v>1221</v>
      </c>
      <c r="S309" s="460" t="s">
        <v>1138</v>
      </c>
      <c r="T309" s="462">
        <v>1</v>
      </c>
      <c r="U309" s="460" t="s">
        <v>1138</v>
      </c>
      <c r="V309" s="475">
        <v>0</v>
      </c>
      <c r="W309" s="463" t="s">
        <v>713</v>
      </c>
      <c r="X309" s="463" t="s">
        <v>713</v>
      </c>
      <c r="Y309" s="463" t="s">
        <v>713</v>
      </c>
      <c r="Z309" s="463"/>
      <c r="AA309" s="463"/>
      <c r="AB309" s="464">
        <v>87.145319739071127</v>
      </c>
      <c r="AC309" s="465">
        <v>0.66082478069237471</v>
      </c>
      <c r="AD309" s="465">
        <v>1.087534086282906E-3</v>
      </c>
      <c r="AE309" s="476">
        <v>87.145319739071113</v>
      </c>
      <c r="AF309" s="467">
        <v>0.6608247806923746</v>
      </c>
      <c r="AG309" s="468">
        <v>1.0851746314805622E-3</v>
      </c>
      <c r="AH309" s="218">
        <v>63.292734185716128</v>
      </c>
      <c r="AI309" s="470">
        <v>0.47995012598415465</v>
      </c>
      <c r="AJ309" s="471">
        <v>7.9739234797930061E-4</v>
      </c>
      <c r="AK309" s="218">
        <v>63.292734185716128</v>
      </c>
      <c r="AL309" s="470">
        <v>0.47995012598415465</v>
      </c>
      <c r="AM309" s="471">
        <v>7.9739234797930061E-4</v>
      </c>
      <c r="AN309" s="477">
        <v>63.292734185716128</v>
      </c>
      <c r="AO309" s="473">
        <v>0.47995012598415465</v>
      </c>
      <c r="AP309" s="474">
        <v>7.9733225323361126E-4</v>
      </c>
      <c r="AQ309" s="352"/>
      <c r="AR309" s="352"/>
      <c r="AS309" s="352"/>
      <c r="AT309" s="352"/>
      <c r="AU309" s="352"/>
      <c r="AV309" s="352"/>
      <c r="AW309" s="352" t="s">
        <v>254</v>
      </c>
    </row>
    <row r="310" spans="2:49" x14ac:dyDescent="0.2">
      <c r="B310" s="460" t="s">
        <v>2456</v>
      </c>
      <c r="C310" s="460">
        <v>1222</v>
      </c>
      <c r="D310" s="460" t="s">
        <v>2361</v>
      </c>
      <c r="E310" s="460" t="s">
        <v>1139</v>
      </c>
      <c r="F310" s="460">
        <v>4</v>
      </c>
      <c r="G310" s="460">
        <v>4</v>
      </c>
      <c r="H310" s="461" t="s">
        <v>712</v>
      </c>
      <c r="I310" s="461" t="s">
        <v>713</v>
      </c>
      <c r="J310" s="461" t="s">
        <v>712</v>
      </c>
      <c r="K310" s="594"/>
      <c r="L310" s="594"/>
      <c r="M310" s="352">
        <v>1000</v>
      </c>
      <c r="N310" s="352" t="s">
        <v>698</v>
      </c>
      <c r="O310" s="460">
        <v>1222</v>
      </c>
      <c r="P310" s="460" t="s">
        <v>718</v>
      </c>
      <c r="Q310" s="460" t="s">
        <v>2280</v>
      </c>
      <c r="R310" s="460">
        <v>1221</v>
      </c>
      <c r="S310" s="460" t="s">
        <v>1139</v>
      </c>
      <c r="T310" s="462">
        <v>1</v>
      </c>
      <c r="U310" s="460" t="s">
        <v>1139</v>
      </c>
      <c r="V310" s="475">
        <v>0</v>
      </c>
      <c r="W310" s="463" t="s">
        <v>713</v>
      </c>
      <c r="X310" s="463" t="s">
        <v>713</v>
      </c>
      <c r="Y310" s="463" t="s">
        <v>713</v>
      </c>
      <c r="Z310" s="463"/>
      <c r="AA310" s="463"/>
      <c r="AB310" s="464">
        <v>98.805310776483239</v>
      </c>
      <c r="AC310" s="465">
        <v>0.78097364035858874</v>
      </c>
      <c r="AD310" s="465">
        <v>1.0939956530088811E-3</v>
      </c>
      <c r="AE310" s="476">
        <v>98.805310776483225</v>
      </c>
      <c r="AF310" s="467">
        <v>0.78097364035858863</v>
      </c>
      <c r="AG310" s="468">
        <v>1.0939956530088809E-3</v>
      </c>
      <c r="AH310" s="218">
        <v>79.466206432644341</v>
      </c>
      <c r="AI310" s="470">
        <v>0.62811413713968656</v>
      </c>
      <c r="AJ310" s="471">
        <v>8.9879262551431584E-4</v>
      </c>
      <c r="AK310" s="218">
        <v>79.466206432644341</v>
      </c>
      <c r="AL310" s="470">
        <v>0.62811413713968656</v>
      </c>
      <c r="AM310" s="471">
        <v>8.9879262551431584E-4</v>
      </c>
      <c r="AN310" s="477">
        <v>79.466206432644341</v>
      </c>
      <c r="AO310" s="473">
        <v>0.62811413713968656</v>
      </c>
      <c r="AP310" s="474">
        <v>8.9879262551431584E-4</v>
      </c>
      <c r="AQ310" s="352"/>
      <c r="AR310" s="352"/>
      <c r="AS310" s="352"/>
      <c r="AT310" s="352"/>
      <c r="AU310" s="352"/>
      <c r="AV310" s="352"/>
      <c r="AW310" s="352" t="s">
        <v>254</v>
      </c>
    </row>
    <row r="311" spans="2:49" x14ac:dyDescent="0.2">
      <c r="B311" s="460" t="s">
        <v>2453</v>
      </c>
      <c r="C311" s="460">
        <v>1222</v>
      </c>
      <c r="D311" s="460" t="s">
        <v>2362</v>
      </c>
      <c r="E311" s="460" t="s">
        <v>1136</v>
      </c>
      <c r="F311" s="460">
        <v>1</v>
      </c>
      <c r="G311" s="460">
        <v>4</v>
      </c>
      <c r="H311" s="461" t="s">
        <v>746</v>
      </c>
      <c r="I311" s="461" t="s">
        <v>762</v>
      </c>
      <c r="J311" s="461" t="s">
        <v>700</v>
      </c>
      <c r="K311" s="594"/>
      <c r="L311" s="594"/>
      <c r="M311" s="352">
        <v>1000</v>
      </c>
      <c r="N311" s="352" t="s">
        <v>698</v>
      </c>
      <c r="O311" s="460">
        <v>1222</v>
      </c>
      <c r="P311" s="460" t="s">
        <v>718</v>
      </c>
      <c r="Q311" s="460" t="s">
        <v>2440</v>
      </c>
      <c r="R311" s="460">
        <v>1221</v>
      </c>
      <c r="S311" s="460" t="s">
        <v>1136</v>
      </c>
      <c r="T311" s="462">
        <v>1</v>
      </c>
      <c r="U311" s="460" t="s">
        <v>1136</v>
      </c>
      <c r="V311" s="475">
        <v>0</v>
      </c>
      <c r="W311" s="463" t="s">
        <v>2268</v>
      </c>
      <c r="X311" s="463" t="s">
        <v>2268</v>
      </c>
      <c r="Y311" s="463" t="s">
        <v>2267</v>
      </c>
      <c r="Z311" s="463"/>
      <c r="AA311" s="463"/>
      <c r="AB311" s="464">
        <v>0</v>
      </c>
      <c r="AC311" s="465">
        <v>0</v>
      </c>
      <c r="AD311" s="465">
        <v>0</v>
      </c>
      <c r="AE311" s="476">
        <v>0</v>
      </c>
      <c r="AF311" s="467">
        <v>0</v>
      </c>
      <c r="AG311" s="468">
        <v>0</v>
      </c>
      <c r="AH311" s="218">
        <v>0</v>
      </c>
      <c r="AI311" s="470">
        <v>0</v>
      </c>
      <c r="AJ311" s="471">
        <v>0</v>
      </c>
      <c r="AK311" s="218">
        <v>0</v>
      </c>
      <c r="AL311" s="470">
        <v>0</v>
      </c>
      <c r="AM311" s="471">
        <v>0</v>
      </c>
      <c r="AN311" s="477">
        <v>4.5081487157732001</v>
      </c>
      <c r="AO311" s="473">
        <v>3.5481177791623672E-2</v>
      </c>
      <c r="AP311" s="474">
        <v>2.0333964783338685E-2</v>
      </c>
      <c r="AQ311" s="352"/>
      <c r="AR311" s="352"/>
      <c r="AS311" s="352"/>
      <c r="AT311" s="352"/>
      <c r="AU311" s="352"/>
      <c r="AV311" s="352"/>
      <c r="AW311" s="352" t="s">
        <v>254</v>
      </c>
    </row>
    <row r="312" spans="2:49" x14ac:dyDescent="0.2">
      <c r="B312" s="460" t="s">
        <v>2454</v>
      </c>
      <c r="C312" s="460">
        <v>1222</v>
      </c>
      <c r="D312" s="460" t="s">
        <v>2363</v>
      </c>
      <c r="E312" s="460" t="s">
        <v>1137</v>
      </c>
      <c r="F312" s="460">
        <v>2</v>
      </c>
      <c r="G312" s="460">
        <v>4</v>
      </c>
      <c r="H312" s="461" t="s">
        <v>746</v>
      </c>
      <c r="I312" s="461" t="s">
        <v>762</v>
      </c>
      <c r="J312" s="461" t="s">
        <v>700</v>
      </c>
      <c r="K312" s="594"/>
      <c r="L312" s="594"/>
      <c r="M312" s="352">
        <v>1000</v>
      </c>
      <c r="N312" s="352" t="s">
        <v>698</v>
      </c>
      <c r="O312" s="460">
        <v>1222</v>
      </c>
      <c r="P312" s="460" t="s">
        <v>718</v>
      </c>
      <c r="Q312" s="460" t="s">
        <v>2440</v>
      </c>
      <c r="R312" s="460">
        <v>1221</v>
      </c>
      <c r="S312" s="460" t="s">
        <v>1137</v>
      </c>
      <c r="T312" s="462">
        <v>1</v>
      </c>
      <c r="U312" s="460" t="s">
        <v>1137</v>
      </c>
      <c r="V312" s="475">
        <v>0</v>
      </c>
      <c r="W312" s="463" t="s">
        <v>2268</v>
      </c>
      <c r="X312" s="463" t="s">
        <v>2268</v>
      </c>
      <c r="Y312" s="463" t="s">
        <v>2267</v>
      </c>
      <c r="Z312" s="463"/>
      <c r="AA312" s="463"/>
      <c r="AB312" s="464">
        <v>0</v>
      </c>
      <c r="AC312" s="465">
        <v>0</v>
      </c>
      <c r="AD312" s="465">
        <v>0</v>
      </c>
      <c r="AE312" s="476">
        <v>0</v>
      </c>
      <c r="AF312" s="467">
        <v>0</v>
      </c>
      <c r="AG312" s="468">
        <v>0</v>
      </c>
      <c r="AH312" s="218">
        <v>0</v>
      </c>
      <c r="AI312" s="470">
        <v>0</v>
      </c>
      <c r="AJ312" s="471">
        <v>0</v>
      </c>
      <c r="AK312" s="218">
        <v>0</v>
      </c>
      <c r="AL312" s="470">
        <v>0</v>
      </c>
      <c r="AM312" s="471">
        <v>0</v>
      </c>
      <c r="AN312" s="477">
        <v>72.620414421262964</v>
      </c>
      <c r="AO312" s="473">
        <v>0.31290046905064933</v>
      </c>
      <c r="AP312" s="474">
        <v>1.98445140041618E-2</v>
      </c>
      <c r="AQ312" s="352"/>
      <c r="AR312" s="352"/>
      <c r="AS312" s="352"/>
      <c r="AT312" s="352"/>
      <c r="AU312" s="352"/>
      <c r="AV312" s="352"/>
      <c r="AW312" s="352" t="s">
        <v>254</v>
      </c>
    </row>
    <row r="313" spans="2:49" x14ac:dyDescent="0.2">
      <c r="B313" s="460" t="s">
        <v>2455</v>
      </c>
      <c r="C313" s="460">
        <v>1222</v>
      </c>
      <c r="D313" s="460" t="s">
        <v>2364</v>
      </c>
      <c r="E313" s="460" t="s">
        <v>1138</v>
      </c>
      <c r="F313" s="460">
        <v>3</v>
      </c>
      <c r="G313" s="460">
        <v>4</v>
      </c>
      <c r="H313" s="461" t="s">
        <v>746</v>
      </c>
      <c r="I313" s="461" t="s">
        <v>762</v>
      </c>
      <c r="J313" s="461" t="s">
        <v>700</v>
      </c>
      <c r="K313" s="594"/>
      <c r="L313" s="594"/>
      <c r="M313" s="352">
        <v>1000</v>
      </c>
      <c r="N313" s="352" t="s">
        <v>698</v>
      </c>
      <c r="O313" s="460">
        <v>1222</v>
      </c>
      <c r="P313" s="460" t="s">
        <v>718</v>
      </c>
      <c r="Q313" s="460" t="s">
        <v>2440</v>
      </c>
      <c r="R313" s="460">
        <v>1221</v>
      </c>
      <c r="S313" s="460" t="s">
        <v>1138</v>
      </c>
      <c r="T313" s="462">
        <v>1</v>
      </c>
      <c r="U313" s="460" t="s">
        <v>1138</v>
      </c>
      <c r="V313" s="475">
        <v>0</v>
      </c>
      <c r="W313" s="463" t="s">
        <v>2268</v>
      </c>
      <c r="X313" s="463" t="s">
        <v>2268</v>
      </c>
      <c r="Y313" s="463" t="s">
        <v>2267</v>
      </c>
      <c r="Z313" s="463"/>
      <c r="AA313" s="463"/>
      <c r="AB313" s="464">
        <v>0</v>
      </c>
      <c r="AC313" s="465">
        <v>0</v>
      </c>
      <c r="AD313" s="465">
        <v>0</v>
      </c>
      <c r="AE313" s="476">
        <v>0</v>
      </c>
      <c r="AF313" s="467">
        <v>0</v>
      </c>
      <c r="AG313" s="468">
        <v>0</v>
      </c>
      <c r="AH313" s="218">
        <v>0</v>
      </c>
      <c r="AI313" s="470">
        <v>0</v>
      </c>
      <c r="AJ313" s="471">
        <v>0</v>
      </c>
      <c r="AK313" s="218">
        <v>0</v>
      </c>
      <c r="AL313" s="470">
        <v>0</v>
      </c>
      <c r="AM313" s="471">
        <v>0</v>
      </c>
      <c r="AN313" s="477">
        <v>41.371225641451986</v>
      </c>
      <c r="AO313" s="473">
        <v>0.31371886859036802</v>
      </c>
      <c r="AP313" s="474">
        <v>2.1412877470160328E-2</v>
      </c>
      <c r="AQ313" s="352"/>
      <c r="AR313" s="352"/>
      <c r="AS313" s="352"/>
      <c r="AT313" s="352"/>
      <c r="AU313" s="352"/>
      <c r="AV313" s="352"/>
      <c r="AW313" s="352" t="s">
        <v>254</v>
      </c>
    </row>
    <row r="314" spans="2:49" x14ac:dyDescent="0.2">
      <c r="B314" s="460" t="s">
        <v>2456</v>
      </c>
      <c r="C314" s="460">
        <v>1222</v>
      </c>
      <c r="D314" s="460" t="s">
        <v>2365</v>
      </c>
      <c r="E314" s="460" t="s">
        <v>1139</v>
      </c>
      <c r="F314" s="460">
        <v>4</v>
      </c>
      <c r="G314" s="460">
        <v>4</v>
      </c>
      <c r="H314" s="461" t="s">
        <v>746</v>
      </c>
      <c r="I314" s="461" t="s">
        <v>762</v>
      </c>
      <c r="J314" s="461" t="s">
        <v>700</v>
      </c>
      <c r="K314" s="594"/>
      <c r="L314" s="594"/>
      <c r="M314" s="352">
        <v>1000</v>
      </c>
      <c r="N314" s="352" t="s">
        <v>698</v>
      </c>
      <c r="O314" s="460">
        <v>1222</v>
      </c>
      <c r="P314" s="460" t="s">
        <v>718</v>
      </c>
      <c r="Q314" s="460" t="s">
        <v>2440</v>
      </c>
      <c r="R314" s="460">
        <v>1221</v>
      </c>
      <c r="S314" s="460" t="s">
        <v>1139</v>
      </c>
      <c r="T314" s="462">
        <v>1</v>
      </c>
      <c r="U314" s="460" t="s">
        <v>1139</v>
      </c>
      <c r="V314" s="475">
        <v>0</v>
      </c>
      <c r="W314" s="463" t="s">
        <v>2268</v>
      </c>
      <c r="X314" s="463" t="s">
        <v>2268</v>
      </c>
      <c r="Y314" s="463" t="s">
        <v>2267</v>
      </c>
      <c r="Z314" s="463"/>
      <c r="AA314" s="463"/>
      <c r="AB314" s="464">
        <v>0</v>
      </c>
      <c r="AC314" s="465">
        <v>0</v>
      </c>
      <c r="AD314" s="465">
        <v>0</v>
      </c>
      <c r="AE314" s="476">
        <v>0</v>
      </c>
      <c r="AF314" s="467">
        <v>0</v>
      </c>
      <c r="AG314" s="468">
        <v>0</v>
      </c>
      <c r="AH314" s="218">
        <v>0</v>
      </c>
      <c r="AI314" s="470">
        <v>0</v>
      </c>
      <c r="AJ314" s="471">
        <v>0</v>
      </c>
      <c r="AK314" s="218">
        <v>0</v>
      </c>
      <c r="AL314" s="470">
        <v>0</v>
      </c>
      <c r="AM314" s="471">
        <v>0</v>
      </c>
      <c r="AN314" s="477">
        <v>0</v>
      </c>
      <c r="AO314" s="473">
        <v>0</v>
      </c>
      <c r="AP314" s="474">
        <v>0</v>
      </c>
      <c r="AQ314" s="352"/>
      <c r="AR314" s="352"/>
      <c r="AS314" s="352"/>
      <c r="AT314" s="352"/>
      <c r="AU314" s="352"/>
      <c r="AV314" s="352"/>
      <c r="AW314" s="352" t="s">
        <v>254</v>
      </c>
    </row>
    <row r="315" spans="2:49" x14ac:dyDescent="0.2">
      <c r="B315" s="460" t="s">
        <v>2453</v>
      </c>
      <c r="C315" s="460">
        <v>1222</v>
      </c>
      <c r="D315" s="460" t="s">
        <v>2366</v>
      </c>
      <c r="E315" s="460" t="s">
        <v>1136</v>
      </c>
      <c r="F315" s="460">
        <v>1</v>
      </c>
      <c r="G315" s="460">
        <v>4</v>
      </c>
      <c r="H315" s="461" t="s">
        <v>748</v>
      </c>
      <c r="I315" s="461" t="s">
        <v>765</v>
      </c>
      <c r="J315" s="461" t="s">
        <v>700</v>
      </c>
      <c r="K315" s="594"/>
      <c r="L315" s="594"/>
      <c r="M315" s="352">
        <v>1000</v>
      </c>
      <c r="N315" s="352" t="s">
        <v>698</v>
      </c>
      <c r="O315" s="460">
        <v>1222</v>
      </c>
      <c r="P315" s="460" t="s">
        <v>718</v>
      </c>
      <c r="Q315" s="460" t="s">
        <v>2444</v>
      </c>
      <c r="R315" s="460">
        <v>1221</v>
      </c>
      <c r="S315" s="460" t="s">
        <v>1136</v>
      </c>
      <c r="T315" s="462">
        <v>1</v>
      </c>
      <c r="U315" s="460" t="s">
        <v>1136</v>
      </c>
      <c r="V315" s="475">
        <v>0</v>
      </c>
      <c r="W315" s="463" t="s">
        <v>2268</v>
      </c>
      <c r="X315" s="463" t="s">
        <v>2268</v>
      </c>
      <c r="Y315" s="463" t="s">
        <v>2290</v>
      </c>
      <c r="Z315" s="463"/>
      <c r="AA315" s="463"/>
      <c r="AB315" s="464">
        <v>0</v>
      </c>
      <c r="AC315" s="465">
        <v>0</v>
      </c>
      <c r="AD315" s="465">
        <v>0</v>
      </c>
      <c r="AE315" s="476">
        <v>0</v>
      </c>
      <c r="AF315" s="467">
        <v>0</v>
      </c>
      <c r="AG315" s="468">
        <v>0</v>
      </c>
      <c r="AH315" s="218">
        <v>0</v>
      </c>
      <c r="AI315" s="470">
        <v>0</v>
      </c>
      <c r="AJ315" s="471">
        <v>0</v>
      </c>
      <c r="AK315" s="218">
        <v>0</v>
      </c>
      <c r="AL315" s="470">
        <v>0</v>
      </c>
      <c r="AM315" s="471">
        <v>0</v>
      </c>
      <c r="AN315" s="477">
        <v>0</v>
      </c>
      <c r="AO315" s="473">
        <v>0</v>
      </c>
      <c r="AP315" s="474">
        <v>0</v>
      </c>
      <c r="AQ315" s="352"/>
      <c r="AR315" s="352"/>
      <c r="AS315" s="352"/>
      <c r="AT315" s="352"/>
      <c r="AU315" s="352"/>
      <c r="AV315" s="352"/>
      <c r="AW315" s="352" t="s">
        <v>254</v>
      </c>
    </row>
    <row r="316" spans="2:49" x14ac:dyDescent="0.2">
      <c r="B316" s="460" t="s">
        <v>2454</v>
      </c>
      <c r="C316" s="460">
        <v>1222</v>
      </c>
      <c r="D316" s="460" t="s">
        <v>2367</v>
      </c>
      <c r="E316" s="460" t="s">
        <v>1137</v>
      </c>
      <c r="F316" s="460">
        <v>2</v>
      </c>
      <c r="G316" s="460">
        <v>4</v>
      </c>
      <c r="H316" s="461" t="s">
        <v>748</v>
      </c>
      <c r="I316" s="461" t="s">
        <v>765</v>
      </c>
      <c r="J316" s="461" t="s">
        <v>700</v>
      </c>
      <c r="K316" s="594"/>
      <c r="L316" s="594"/>
      <c r="M316" s="352">
        <v>1000</v>
      </c>
      <c r="N316" s="352" t="s">
        <v>698</v>
      </c>
      <c r="O316" s="460">
        <v>1222</v>
      </c>
      <c r="P316" s="460" t="s">
        <v>718</v>
      </c>
      <c r="Q316" s="460" t="s">
        <v>2444</v>
      </c>
      <c r="R316" s="460">
        <v>1221</v>
      </c>
      <c r="S316" s="460" t="s">
        <v>1137</v>
      </c>
      <c r="T316" s="462">
        <v>1</v>
      </c>
      <c r="U316" s="460" t="s">
        <v>1137</v>
      </c>
      <c r="V316" s="475">
        <v>0</v>
      </c>
      <c r="W316" s="463" t="s">
        <v>2268</v>
      </c>
      <c r="X316" s="463" t="s">
        <v>2268</v>
      </c>
      <c r="Y316" s="463" t="s">
        <v>2290</v>
      </c>
      <c r="Z316" s="463"/>
      <c r="AA316" s="463"/>
      <c r="AB316" s="464">
        <v>0</v>
      </c>
      <c r="AC316" s="465">
        <v>0</v>
      </c>
      <c r="AD316" s="465">
        <v>0</v>
      </c>
      <c r="AE316" s="476">
        <v>0</v>
      </c>
      <c r="AF316" s="467">
        <v>0</v>
      </c>
      <c r="AG316" s="468">
        <v>0</v>
      </c>
      <c r="AH316" s="218">
        <v>0</v>
      </c>
      <c r="AI316" s="470">
        <v>0</v>
      </c>
      <c r="AJ316" s="471">
        <v>0</v>
      </c>
      <c r="AK316" s="218">
        <v>0</v>
      </c>
      <c r="AL316" s="470">
        <v>0</v>
      </c>
      <c r="AM316" s="471">
        <v>0</v>
      </c>
      <c r="AN316" s="477">
        <v>0</v>
      </c>
      <c r="AO316" s="473">
        <v>0</v>
      </c>
      <c r="AP316" s="474">
        <v>0</v>
      </c>
      <c r="AQ316" s="352"/>
      <c r="AR316" s="352"/>
      <c r="AS316" s="352"/>
      <c r="AT316" s="352"/>
      <c r="AU316" s="352"/>
      <c r="AV316" s="352"/>
      <c r="AW316" s="352" t="s">
        <v>254</v>
      </c>
    </row>
    <row r="317" spans="2:49" x14ac:dyDescent="0.2">
      <c r="B317" s="460" t="s">
        <v>2455</v>
      </c>
      <c r="C317" s="460">
        <v>1222</v>
      </c>
      <c r="D317" s="460" t="s">
        <v>2368</v>
      </c>
      <c r="E317" s="460" t="s">
        <v>1138</v>
      </c>
      <c r="F317" s="460">
        <v>3</v>
      </c>
      <c r="G317" s="460">
        <v>4</v>
      </c>
      <c r="H317" s="461" t="s">
        <v>748</v>
      </c>
      <c r="I317" s="461" t="s">
        <v>765</v>
      </c>
      <c r="J317" s="461" t="s">
        <v>700</v>
      </c>
      <c r="K317" s="594"/>
      <c r="L317" s="594"/>
      <c r="M317" s="352">
        <v>1000</v>
      </c>
      <c r="N317" s="352" t="s">
        <v>698</v>
      </c>
      <c r="O317" s="460">
        <v>1222</v>
      </c>
      <c r="P317" s="460" t="s">
        <v>718</v>
      </c>
      <c r="Q317" s="460" t="s">
        <v>2444</v>
      </c>
      <c r="R317" s="460">
        <v>1221</v>
      </c>
      <c r="S317" s="460" t="s">
        <v>1138</v>
      </c>
      <c r="T317" s="462">
        <v>1</v>
      </c>
      <c r="U317" s="460" t="s">
        <v>1138</v>
      </c>
      <c r="V317" s="475">
        <v>0</v>
      </c>
      <c r="W317" s="463" t="s">
        <v>2268</v>
      </c>
      <c r="X317" s="463" t="s">
        <v>2268</v>
      </c>
      <c r="Y317" s="463" t="s">
        <v>2290</v>
      </c>
      <c r="Z317" s="463"/>
      <c r="AA317" s="463"/>
      <c r="AB317" s="464">
        <v>0</v>
      </c>
      <c r="AC317" s="465">
        <v>0</v>
      </c>
      <c r="AD317" s="465">
        <v>0</v>
      </c>
      <c r="AE317" s="476">
        <v>0</v>
      </c>
      <c r="AF317" s="467">
        <v>0</v>
      </c>
      <c r="AG317" s="468">
        <v>0</v>
      </c>
      <c r="AH317" s="218">
        <v>0</v>
      </c>
      <c r="AI317" s="470">
        <v>0</v>
      </c>
      <c r="AJ317" s="471">
        <v>0</v>
      </c>
      <c r="AK317" s="218">
        <v>0</v>
      </c>
      <c r="AL317" s="470">
        <v>0</v>
      </c>
      <c r="AM317" s="471">
        <v>0</v>
      </c>
      <c r="AN317" s="477">
        <v>0</v>
      </c>
      <c r="AO317" s="473">
        <v>0</v>
      </c>
      <c r="AP317" s="474">
        <v>0</v>
      </c>
      <c r="AQ317" s="352"/>
      <c r="AR317" s="352"/>
      <c r="AS317" s="352"/>
      <c r="AT317" s="352"/>
      <c r="AU317" s="352"/>
      <c r="AV317" s="352"/>
      <c r="AW317" s="352" t="s">
        <v>254</v>
      </c>
    </row>
    <row r="318" spans="2:49" x14ac:dyDescent="0.2">
      <c r="B318" s="460" t="s">
        <v>2456</v>
      </c>
      <c r="C318" s="460">
        <v>1222</v>
      </c>
      <c r="D318" s="460" t="s">
        <v>2369</v>
      </c>
      <c r="E318" s="460" t="s">
        <v>1139</v>
      </c>
      <c r="F318" s="460">
        <v>4</v>
      </c>
      <c r="G318" s="460">
        <v>4</v>
      </c>
      <c r="H318" s="461" t="s">
        <v>748</v>
      </c>
      <c r="I318" s="461" t="s">
        <v>765</v>
      </c>
      <c r="J318" s="461" t="s">
        <v>700</v>
      </c>
      <c r="K318" s="594"/>
      <c r="L318" s="594"/>
      <c r="M318" s="352">
        <v>1000</v>
      </c>
      <c r="N318" s="352" t="s">
        <v>698</v>
      </c>
      <c r="O318" s="460">
        <v>1222</v>
      </c>
      <c r="P318" s="460" t="s">
        <v>718</v>
      </c>
      <c r="Q318" s="460" t="s">
        <v>2444</v>
      </c>
      <c r="R318" s="460">
        <v>1221</v>
      </c>
      <c r="S318" s="460" t="s">
        <v>1139</v>
      </c>
      <c r="T318" s="462">
        <v>1</v>
      </c>
      <c r="U318" s="460" t="s">
        <v>1139</v>
      </c>
      <c r="V318" s="475">
        <v>0</v>
      </c>
      <c r="W318" s="463" t="s">
        <v>2268</v>
      </c>
      <c r="X318" s="463" t="s">
        <v>2268</v>
      </c>
      <c r="Y318" s="463" t="s">
        <v>2290</v>
      </c>
      <c r="Z318" s="463"/>
      <c r="AA318" s="463"/>
      <c r="AB318" s="464">
        <v>0</v>
      </c>
      <c r="AC318" s="465">
        <v>0</v>
      </c>
      <c r="AD318" s="465">
        <v>0</v>
      </c>
      <c r="AE318" s="476">
        <v>0</v>
      </c>
      <c r="AF318" s="467">
        <v>0</v>
      </c>
      <c r="AG318" s="468">
        <v>0</v>
      </c>
      <c r="AH318" s="218">
        <v>0</v>
      </c>
      <c r="AI318" s="470">
        <v>0</v>
      </c>
      <c r="AJ318" s="471">
        <v>0</v>
      </c>
      <c r="AK318" s="218">
        <v>0</v>
      </c>
      <c r="AL318" s="470">
        <v>0</v>
      </c>
      <c r="AM318" s="471">
        <v>0</v>
      </c>
      <c r="AN318" s="477">
        <v>0</v>
      </c>
      <c r="AO318" s="473">
        <v>0</v>
      </c>
      <c r="AP318" s="474">
        <v>0</v>
      </c>
      <c r="AQ318" s="352"/>
      <c r="AR318" s="352"/>
      <c r="AS318" s="352"/>
      <c r="AT318" s="352"/>
      <c r="AU318" s="352"/>
      <c r="AV318" s="352"/>
      <c r="AW318" s="352" t="s">
        <v>254</v>
      </c>
    </row>
    <row r="319" spans="2:49" x14ac:dyDescent="0.2">
      <c r="B319" s="460" t="s">
        <v>2453</v>
      </c>
      <c r="C319" s="460">
        <v>1222</v>
      </c>
      <c r="D319" s="460" t="s">
        <v>2370</v>
      </c>
      <c r="E319" s="460" t="s">
        <v>1136</v>
      </c>
      <c r="F319" s="460">
        <v>1</v>
      </c>
      <c r="G319" s="460">
        <v>4</v>
      </c>
      <c r="H319" s="461" t="s">
        <v>752</v>
      </c>
      <c r="I319" s="461" t="s">
        <v>964</v>
      </c>
      <c r="J319" s="461" t="s">
        <v>752</v>
      </c>
      <c r="K319" s="594"/>
      <c r="L319" s="594"/>
      <c r="M319" s="352">
        <v>1000</v>
      </c>
      <c r="N319" s="352" t="s">
        <v>698</v>
      </c>
      <c r="O319" s="460">
        <v>1222</v>
      </c>
      <c r="P319" s="460" t="s">
        <v>718</v>
      </c>
      <c r="Q319" s="460" t="s">
        <v>2440</v>
      </c>
      <c r="R319" s="460">
        <v>1221</v>
      </c>
      <c r="S319" s="460" t="s">
        <v>1136</v>
      </c>
      <c r="T319" s="462">
        <v>1</v>
      </c>
      <c r="U319" s="460" t="s">
        <v>1136</v>
      </c>
      <c r="V319" s="475">
        <v>0</v>
      </c>
      <c r="W319" s="463" t="s">
        <v>2267</v>
      </c>
      <c r="X319" s="463" t="s">
        <v>2267</v>
      </c>
      <c r="Y319" s="463" t="s">
        <v>2267</v>
      </c>
      <c r="Z319" s="463"/>
      <c r="AA319" s="463"/>
      <c r="AB319" s="464">
        <v>11.814661634744359</v>
      </c>
      <c r="AC319" s="465">
        <v>9.2986752753639448E-2</v>
      </c>
      <c r="AD319" s="465">
        <v>3.8260404472565085E-3</v>
      </c>
      <c r="AE319" s="476">
        <v>11.814661634744359</v>
      </c>
      <c r="AF319" s="467">
        <v>9.2986752753639448E-2</v>
      </c>
      <c r="AG319" s="468">
        <v>3.8260404472565085E-3</v>
      </c>
      <c r="AH319" s="218">
        <v>22.184242574149788</v>
      </c>
      <c r="AI319" s="470">
        <v>0.17460006414427146</v>
      </c>
      <c r="AJ319" s="471">
        <v>6.0650547271185228E-3</v>
      </c>
      <c r="AK319" s="218">
        <v>22.184242574149788</v>
      </c>
      <c r="AL319" s="470">
        <v>0.17460006414427146</v>
      </c>
      <c r="AM319" s="471">
        <v>6.0650547271185228E-3</v>
      </c>
      <c r="AN319" s="477">
        <v>22.184242574149788</v>
      </c>
      <c r="AO319" s="473">
        <v>0.17460006414427146</v>
      </c>
      <c r="AP319" s="474">
        <v>6.0650547271185228E-3</v>
      </c>
      <c r="AQ319" s="352"/>
      <c r="AR319" s="352"/>
      <c r="AS319" s="352"/>
      <c r="AT319" s="352"/>
      <c r="AU319" s="352"/>
      <c r="AV319" s="352"/>
      <c r="AW319" s="352" t="s">
        <v>254</v>
      </c>
    </row>
    <row r="320" spans="2:49" x14ac:dyDescent="0.2">
      <c r="B320" s="460" t="s">
        <v>2454</v>
      </c>
      <c r="C320" s="460">
        <v>1222</v>
      </c>
      <c r="D320" s="460" t="s">
        <v>2371</v>
      </c>
      <c r="E320" s="460" t="s">
        <v>1137</v>
      </c>
      <c r="F320" s="460">
        <v>2</v>
      </c>
      <c r="G320" s="460">
        <v>4</v>
      </c>
      <c r="H320" s="461" t="s">
        <v>752</v>
      </c>
      <c r="I320" s="461" t="s">
        <v>964</v>
      </c>
      <c r="J320" s="461" t="s">
        <v>752</v>
      </c>
      <c r="K320" s="594"/>
      <c r="L320" s="594"/>
      <c r="M320" s="352">
        <v>1000</v>
      </c>
      <c r="N320" s="352" t="s">
        <v>698</v>
      </c>
      <c r="O320" s="460">
        <v>1222</v>
      </c>
      <c r="P320" s="460" t="s">
        <v>718</v>
      </c>
      <c r="Q320" s="460" t="s">
        <v>2440</v>
      </c>
      <c r="R320" s="460">
        <v>1221</v>
      </c>
      <c r="S320" s="460" t="s">
        <v>1137</v>
      </c>
      <c r="T320" s="462">
        <v>1</v>
      </c>
      <c r="U320" s="460" t="s">
        <v>1137</v>
      </c>
      <c r="V320" s="475">
        <v>0</v>
      </c>
      <c r="W320" s="463" t="s">
        <v>2267</v>
      </c>
      <c r="X320" s="463" t="s">
        <v>2267</v>
      </c>
      <c r="Y320" s="463" t="s">
        <v>2267</v>
      </c>
      <c r="Z320" s="463"/>
      <c r="AA320" s="463"/>
      <c r="AB320" s="464">
        <v>17.052147167628167</v>
      </c>
      <c r="AC320" s="465">
        <v>7.347279535090763E-2</v>
      </c>
      <c r="AD320" s="465">
        <v>1.6685345303498679E-3</v>
      </c>
      <c r="AE320" s="476">
        <v>17.052147167628167</v>
      </c>
      <c r="AF320" s="467">
        <v>7.347279535090763E-2</v>
      </c>
      <c r="AG320" s="468">
        <v>1.6685345303498679E-3</v>
      </c>
      <c r="AH320" s="218">
        <v>27.800935887136326</v>
      </c>
      <c r="AI320" s="470">
        <v>0.11978623295469622</v>
      </c>
      <c r="AJ320" s="471">
        <v>2.6969026649636351E-3</v>
      </c>
      <c r="AK320" s="218">
        <v>27.800935887136326</v>
      </c>
      <c r="AL320" s="470">
        <v>0.11978623295469622</v>
      </c>
      <c r="AM320" s="471">
        <v>2.6969026649636351E-3</v>
      </c>
      <c r="AN320" s="477">
        <v>27.800935887136326</v>
      </c>
      <c r="AO320" s="473">
        <v>0.11978623295469622</v>
      </c>
      <c r="AP320" s="474">
        <v>2.6969026649636351E-3</v>
      </c>
      <c r="AQ320" s="352"/>
      <c r="AR320" s="352"/>
      <c r="AS320" s="352"/>
      <c r="AT320" s="352"/>
      <c r="AU320" s="352"/>
      <c r="AV320" s="352"/>
      <c r="AW320" s="352" t="s">
        <v>254</v>
      </c>
    </row>
    <row r="321" spans="2:49" x14ac:dyDescent="0.2">
      <c r="B321" s="460" t="s">
        <v>2455</v>
      </c>
      <c r="C321" s="460">
        <v>1222</v>
      </c>
      <c r="D321" s="460" t="s">
        <v>2372</v>
      </c>
      <c r="E321" s="460" t="s">
        <v>1138</v>
      </c>
      <c r="F321" s="460">
        <v>3</v>
      </c>
      <c r="G321" s="460">
        <v>4</v>
      </c>
      <c r="H321" s="461" t="s">
        <v>752</v>
      </c>
      <c r="I321" s="461" t="s">
        <v>964</v>
      </c>
      <c r="J321" s="461" t="s">
        <v>752</v>
      </c>
      <c r="K321" s="594"/>
      <c r="L321" s="594"/>
      <c r="M321" s="352">
        <v>1000</v>
      </c>
      <c r="N321" s="352" t="s">
        <v>698</v>
      </c>
      <c r="O321" s="460">
        <v>1222</v>
      </c>
      <c r="P321" s="460" t="s">
        <v>718</v>
      </c>
      <c r="Q321" s="460" t="s">
        <v>2440</v>
      </c>
      <c r="R321" s="460">
        <v>1221</v>
      </c>
      <c r="S321" s="460" t="s">
        <v>1138</v>
      </c>
      <c r="T321" s="462">
        <v>1</v>
      </c>
      <c r="U321" s="460" t="s">
        <v>1138</v>
      </c>
      <c r="V321" s="475">
        <v>0</v>
      </c>
      <c r="W321" s="463" t="s">
        <v>2267</v>
      </c>
      <c r="X321" s="463" t="s">
        <v>2267</v>
      </c>
      <c r="Y321" s="463" t="s">
        <v>2267</v>
      </c>
      <c r="Z321" s="463"/>
      <c r="AA321" s="463"/>
      <c r="AB321" s="464">
        <v>17.746036098093274</v>
      </c>
      <c r="AC321" s="465">
        <v>0.1345685625779362</v>
      </c>
      <c r="AD321" s="465">
        <v>3.0651564874121869E-3</v>
      </c>
      <c r="AE321" s="476">
        <v>17.746036098093274</v>
      </c>
      <c r="AF321" s="467">
        <v>0.1345685625779362</v>
      </c>
      <c r="AG321" s="468">
        <v>3.0651564874121869E-3</v>
      </c>
      <c r="AH321" s="218">
        <v>27.209605276981293</v>
      </c>
      <c r="AI321" s="470">
        <v>0.20633100542547736</v>
      </c>
      <c r="AJ321" s="471">
        <v>4.5141593109952428E-3</v>
      </c>
      <c r="AK321" s="218">
        <v>27.209605276981293</v>
      </c>
      <c r="AL321" s="470">
        <v>0.20633100542547736</v>
      </c>
      <c r="AM321" s="471">
        <v>4.5141593109952428E-3</v>
      </c>
      <c r="AN321" s="477">
        <v>27.209605276981293</v>
      </c>
      <c r="AO321" s="473">
        <v>0.20633100542547736</v>
      </c>
      <c r="AP321" s="474">
        <v>4.5141593109952428E-3</v>
      </c>
      <c r="AQ321" s="352"/>
      <c r="AR321" s="352"/>
      <c r="AS321" s="352"/>
      <c r="AT321" s="352"/>
      <c r="AU321" s="352"/>
      <c r="AV321" s="352"/>
      <c r="AW321" s="352" t="s">
        <v>254</v>
      </c>
    </row>
    <row r="322" spans="2:49" x14ac:dyDescent="0.2">
      <c r="B322" s="460" t="s">
        <v>2456</v>
      </c>
      <c r="C322" s="460">
        <v>1222</v>
      </c>
      <c r="D322" s="460" t="s">
        <v>2373</v>
      </c>
      <c r="E322" s="460" t="s">
        <v>1139</v>
      </c>
      <c r="F322" s="460">
        <v>4</v>
      </c>
      <c r="G322" s="460">
        <v>4</v>
      </c>
      <c r="H322" s="461" t="s">
        <v>752</v>
      </c>
      <c r="I322" s="461" t="s">
        <v>964</v>
      </c>
      <c r="J322" s="461" t="s">
        <v>752</v>
      </c>
      <c r="K322" s="594"/>
      <c r="L322" s="594"/>
      <c r="M322" s="352">
        <v>1000</v>
      </c>
      <c r="N322" s="352" t="s">
        <v>698</v>
      </c>
      <c r="O322" s="460">
        <v>1222</v>
      </c>
      <c r="P322" s="460" t="s">
        <v>718</v>
      </c>
      <c r="Q322" s="460" t="s">
        <v>2440</v>
      </c>
      <c r="R322" s="460">
        <v>1221</v>
      </c>
      <c r="S322" s="460" t="s">
        <v>1139</v>
      </c>
      <c r="T322" s="462">
        <v>1</v>
      </c>
      <c r="U322" s="460" t="s">
        <v>1139</v>
      </c>
      <c r="V322" s="475">
        <v>0</v>
      </c>
      <c r="W322" s="463" t="s">
        <v>2267</v>
      </c>
      <c r="X322" s="463" t="s">
        <v>2267</v>
      </c>
      <c r="Y322" s="463" t="s">
        <v>2267</v>
      </c>
      <c r="Z322" s="463"/>
      <c r="AA322" s="463"/>
      <c r="AB322" s="464">
        <v>27.710240671727227</v>
      </c>
      <c r="AC322" s="465">
        <v>0.21902635964141137</v>
      </c>
      <c r="AD322" s="465">
        <v>1.1047317279008085E-3</v>
      </c>
      <c r="AE322" s="476">
        <v>27.710240671727227</v>
      </c>
      <c r="AF322" s="467">
        <v>0.21902635964141137</v>
      </c>
      <c r="AG322" s="468">
        <v>1.1047317279008085E-3</v>
      </c>
      <c r="AH322" s="218">
        <v>47.049345015566118</v>
      </c>
      <c r="AI322" s="470">
        <v>0.37188586286031339</v>
      </c>
      <c r="AJ322" s="471">
        <v>1.7435476406118693E-3</v>
      </c>
      <c r="AK322" s="218">
        <v>47.049345015566118</v>
      </c>
      <c r="AL322" s="470">
        <v>0.37188586286031339</v>
      </c>
      <c r="AM322" s="471">
        <v>1.7435476406118693E-3</v>
      </c>
      <c r="AN322" s="477">
        <v>47.049345015566118</v>
      </c>
      <c r="AO322" s="473">
        <v>0.37188586286031339</v>
      </c>
      <c r="AP322" s="474">
        <v>1.7435476406118693E-3</v>
      </c>
      <c r="AQ322" s="352"/>
      <c r="AR322" s="352"/>
      <c r="AS322" s="352"/>
      <c r="AT322" s="352"/>
      <c r="AU322" s="352"/>
      <c r="AV322" s="352"/>
      <c r="AW322" s="352" t="s">
        <v>254</v>
      </c>
    </row>
    <row r="323" spans="2:49" x14ac:dyDescent="0.2">
      <c r="B323" s="460" t="s">
        <v>2457</v>
      </c>
      <c r="C323" s="460">
        <v>1222</v>
      </c>
      <c r="D323" s="460" t="s">
        <v>2375</v>
      </c>
      <c r="E323" s="460" t="s">
        <v>2376</v>
      </c>
      <c r="F323" s="460">
        <v>1</v>
      </c>
      <c r="G323" s="460">
        <v>5</v>
      </c>
      <c r="H323" s="461" t="s">
        <v>754</v>
      </c>
      <c r="I323" s="461" t="s">
        <v>1991</v>
      </c>
      <c r="J323" s="461" t="s">
        <v>754</v>
      </c>
      <c r="K323" s="594"/>
      <c r="L323" s="594"/>
      <c r="M323" s="352">
        <v>1000</v>
      </c>
      <c r="N323" s="352" t="s">
        <v>698</v>
      </c>
      <c r="O323" s="460">
        <v>1222</v>
      </c>
      <c r="P323" s="460" t="s">
        <v>718</v>
      </c>
      <c r="Q323" s="460" t="s">
        <v>2377</v>
      </c>
      <c r="R323" s="460">
        <v>1221</v>
      </c>
      <c r="S323" s="460" t="s">
        <v>2376</v>
      </c>
      <c r="T323" s="462">
        <v>1</v>
      </c>
      <c r="U323" s="460" t="s">
        <v>2376</v>
      </c>
      <c r="V323" s="475">
        <v>0</v>
      </c>
      <c r="W323" s="463" t="s">
        <v>2278</v>
      </c>
      <c r="X323" s="463" t="s">
        <v>2278</v>
      </c>
      <c r="Y323" s="463" t="s">
        <v>2278</v>
      </c>
      <c r="Z323" s="463"/>
      <c r="AA323" s="463"/>
      <c r="AB323" s="464">
        <v>688.98105293979472</v>
      </c>
      <c r="AC323" s="465">
        <v>1</v>
      </c>
      <c r="AD323" s="465">
        <v>1.1582493807964242E-3</v>
      </c>
      <c r="AE323" s="476">
        <v>688.98105293979472</v>
      </c>
      <c r="AF323" s="467">
        <v>1</v>
      </c>
      <c r="AG323" s="468">
        <v>1.1582493807964242E-3</v>
      </c>
      <c r="AH323" s="218">
        <v>688.98105293979472</v>
      </c>
      <c r="AI323" s="470">
        <v>1</v>
      </c>
      <c r="AJ323" s="471">
        <v>1.1582493807964242E-3</v>
      </c>
      <c r="AK323" s="218">
        <v>688.98105293979472</v>
      </c>
      <c r="AL323" s="470">
        <v>1</v>
      </c>
      <c r="AM323" s="471">
        <v>1.1582493807964242E-3</v>
      </c>
      <c r="AN323" s="477">
        <v>688.98105293979472</v>
      </c>
      <c r="AO323" s="473">
        <v>1</v>
      </c>
      <c r="AP323" s="474">
        <v>1.1582493807964242E-3</v>
      </c>
      <c r="AQ323" s="352"/>
      <c r="AR323" s="352"/>
      <c r="AS323" s="352"/>
      <c r="AT323" s="352"/>
      <c r="AU323" s="352"/>
      <c r="AV323" s="352"/>
      <c r="AW323" s="352" t="s">
        <v>127</v>
      </c>
    </row>
    <row r="324" spans="2:49" x14ac:dyDescent="0.2">
      <c r="B324" s="460" t="s">
        <v>2458</v>
      </c>
      <c r="C324" s="460">
        <v>1222</v>
      </c>
      <c r="D324" s="460" t="s">
        <v>2379</v>
      </c>
      <c r="E324" s="460" t="s">
        <v>2380</v>
      </c>
      <c r="F324" s="460">
        <v>2</v>
      </c>
      <c r="G324" s="460">
        <v>5</v>
      </c>
      <c r="H324" s="461" t="s">
        <v>754</v>
      </c>
      <c r="I324" s="461" t="s">
        <v>1991</v>
      </c>
      <c r="J324" s="461" t="s">
        <v>754</v>
      </c>
      <c r="K324" s="594"/>
      <c r="L324" s="594"/>
      <c r="M324" s="352">
        <v>1000</v>
      </c>
      <c r="N324" s="352" t="s">
        <v>698</v>
      </c>
      <c r="O324" s="460">
        <v>1222</v>
      </c>
      <c r="P324" s="460" t="s">
        <v>718</v>
      </c>
      <c r="Q324" s="460" t="s">
        <v>2377</v>
      </c>
      <c r="R324" s="460">
        <v>1221</v>
      </c>
      <c r="S324" s="460" t="s">
        <v>2380</v>
      </c>
      <c r="T324" s="462">
        <v>1</v>
      </c>
      <c r="U324" s="460" t="s">
        <v>2380</v>
      </c>
      <c r="V324" s="475">
        <v>0</v>
      </c>
      <c r="W324" s="463" t="s">
        <v>2278</v>
      </c>
      <c r="X324" s="463" t="s">
        <v>2278</v>
      </c>
      <c r="Y324" s="463" t="s">
        <v>2278</v>
      </c>
      <c r="Z324" s="463"/>
      <c r="AA324" s="463"/>
      <c r="AB324" s="464">
        <v>369.99734732725915</v>
      </c>
      <c r="AC324" s="465">
        <v>1</v>
      </c>
      <c r="AD324" s="465">
        <v>7.2860014541597249E-4</v>
      </c>
      <c r="AE324" s="476">
        <v>369.99734732725915</v>
      </c>
      <c r="AF324" s="467">
        <v>1</v>
      </c>
      <c r="AG324" s="468">
        <v>7.2860014541597249E-4</v>
      </c>
      <c r="AH324" s="218">
        <v>369.99734732725915</v>
      </c>
      <c r="AI324" s="470">
        <v>1</v>
      </c>
      <c r="AJ324" s="471">
        <v>7.2860014541597249E-4</v>
      </c>
      <c r="AK324" s="218">
        <v>369.99734732725915</v>
      </c>
      <c r="AL324" s="470">
        <v>1</v>
      </c>
      <c r="AM324" s="471">
        <v>7.2860014541597249E-4</v>
      </c>
      <c r="AN324" s="477">
        <v>369.99734732725915</v>
      </c>
      <c r="AO324" s="473">
        <v>1</v>
      </c>
      <c r="AP324" s="474">
        <v>7.2860014541597249E-4</v>
      </c>
      <c r="AQ324" s="352"/>
      <c r="AR324" s="352"/>
      <c r="AS324" s="352"/>
      <c r="AT324" s="352"/>
      <c r="AU324" s="352"/>
      <c r="AV324" s="352"/>
      <c r="AW324" s="352" t="s">
        <v>127</v>
      </c>
    </row>
    <row r="325" spans="2:49" x14ac:dyDescent="0.2">
      <c r="B325" s="460" t="s">
        <v>2459</v>
      </c>
      <c r="C325" s="460">
        <v>1222</v>
      </c>
      <c r="D325" s="460" t="s">
        <v>2382</v>
      </c>
      <c r="E325" s="460" t="s">
        <v>2383</v>
      </c>
      <c r="F325" s="460">
        <v>3</v>
      </c>
      <c r="G325" s="460">
        <v>5</v>
      </c>
      <c r="H325" s="461" t="s">
        <v>754</v>
      </c>
      <c r="I325" s="461" t="s">
        <v>1991</v>
      </c>
      <c r="J325" s="461" t="s">
        <v>754</v>
      </c>
      <c r="K325" s="594"/>
      <c r="L325" s="594"/>
      <c r="M325" s="352">
        <v>1000</v>
      </c>
      <c r="N325" s="352" t="s">
        <v>698</v>
      </c>
      <c r="O325" s="460">
        <v>1222</v>
      </c>
      <c r="P325" s="460" t="s">
        <v>718</v>
      </c>
      <c r="Q325" s="460" t="s">
        <v>2377</v>
      </c>
      <c r="R325" s="460">
        <v>1221</v>
      </c>
      <c r="S325" s="460" t="s">
        <v>2383</v>
      </c>
      <c r="T325" s="462">
        <v>1</v>
      </c>
      <c r="U325" s="460" t="s">
        <v>2383</v>
      </c>
      <c r="V325" s="475">
        <v>0</v>
      </c>
      <c r="W325" s="463" t="s">
        <v>2278</v>
      </c>
      <c r="X325" s="463" t="s">
        <v>2278</v>
      </c>
      <c r="Y325" s="463" t="s">
        <v>2278</v>
      </c>
      <c r="Z325" s="463"/>
      <c r="AA325" s="463"/>
      <c r="AB325" s="464">
        <v>86.213157941991156</v>
      </c>
      <c r="AC325" s="465">
        <v>1</v>
      </c>
      <c r="AD325" s="465">
        <v>7.6631928696026274E-4</v>
      </c>
      <c r="AE325" s="476">
        <v>86.213157941991156</v>
      </c>
      <c r="AF325" s="467">
        <v>1</v>
      </c>
      <c r="AG325" s="468">
        <v>7.6631928696026274E-4</v>
      </c>
      <c r="AH325" s="218">
        <v>86.213157941991156</v>
      </c>
      <c r="AI325" s="470">
        <v>1</v>
      </c>
      <c r="AJ325" s="471">
        <v>7.6631928696026274E-4</v>
      </c>
      <c r="AK325" s="218">
        <v>86.213157941991156</v>
      </c>
      <c r="AL325" s="470">
        <v>1</v>
      </c>
      <c r="AM325" s="471">
        <v>7.6631928696026274E-4</v>
      </c>
      <c r="AN325" s="477">
        <v>86.213157941991156</v>
      </c>
      <c r="AO325" s="473">
        <v>1</v>
      </c>
      <c r="AP325" s="474">
        <v>7.6631928696026274E-4</v>
      </c>
      <c r="AQ325" s="352"/>
      <c r="AR325" s="352"/>
      <c r="AS325" s="352"/>
      <c r="AT325" s="352"/>
      <c r="AU325" s="352"/>
      <c r="AV325" s="352"/>
      <c r="AW325" s="352" t="s">
        <v>127</v>
      </c>
    </row>
    <row r="326" spans="2:49" x14ac:dyDescent="0.2">
      <c r="B326" s="460" t="s">
        <v>2460</v>
      </c>
      <c r="C326" s="460">
        <v>1222</v>
      </c>
      <c r="D326" s="460" t="s">
        <v>2385</v>
      </c>
      <c r="E326" s="460" t="s">
        <v>2386</v>
      </c>
      <c r="F326" s="460">
        <v>4</v>
      </c>
      <c r="G326" s="460">
        <v>5</v>
      </c>
      <c r="H326" s="461" t="s">
        <v>754</v>
      </c>
      <c r="I326" s="461" t="s">
        <v>1991</v>
      </c>
      <c r="J326" s="461" t="s">
        <v>754</v>
      </c>
      <c r="K326" s="594"/>
      <c r="L326" s="594"/>
      <c r="M326" s="352">
        <v>1000</v>
      </c>
      <c r="N326" s="352" t="s">
        <v>698</v>
      </c>
      <c r="O326" s="460">
        <v>1222</v>
      </c>
      <c r="P326" s="460" t="s">
        <v>718</v>
      </c>
      <c r="Q326" s="460" t="s">
        <v>2377</v>
      </c>
      <c r="R326" s="460">
        <v>1221</v>
      </c>
      <c r="S326" s="460" t="s">
        <v>2386</v>
      </c>
      <c r="T326" s="462">
        <v>1</v>
      </c>
      <c r="U326" s="460" t="s">
        <v>2386</v>
      </c>
      <c r="V326" s="475">
        <v>0</v>
      </c>
      <c r="W326" s="463" t="s">
        <v>2278</v>
      </c>
      <c r="X326" s="463" t="s">
        <v>2278</v>
      </c>
      <c r="Y326" s="463" t="s">
        <v>2278</v>
      </c>
      <c r="Z326" s="463"/>
      <c r="AA326" s="463"/>
      <c r="AB326" s="464">
        <v>54.251218584703636</v>
      </c>
      <c r="AC326" s="465">
        <v>1</v>
      </c>
      <c r="AD326" s="465">
        <v>1.0064001145360722E-3</v>
      </c>
      <c r="AE326" s="476">
        <v>54.251218584703636</v>
      </c>
      <c r="AF326" s="467">
        <v>1</v>
      </c>
      <c r="AG326" s="468">
        <v>1.0064001145360722E-3</v>
      </c>
      <c r="AH326" s="218">
        <v>54.251218584703636</v>
      </c>
      <c r="AI326" s="470">
        <v>1</v>
      </c>
      <c r="AJ326" s="471">
        <v>1.0064001145360722E-3</v>
      </c>
      <c r="AK326" s="218">
        <v>54.251218584703636</v>
      </c>
      <c r="AL326" s="470">
        <v>1</v>
      </c>
      <c r="AM326" s="471">
        <v>1.0064001145360722E-3</v>
      </c>
      <c r="AN326" s="477">
        <v>54.251218584703636</v>
      </c>
      <c r="AO326" s="473">
        <v>1</v>
      </c>
      <c r="AP326" s="474">
        <v>1.0064001145360722E-3</v>
      </c>
      <c r="AQ326" s="352"/>
      <c r="AR326" s="352"/>
      <c r="AS326" s="352"/>
      <c r="AT326" s="352"/>
      <c r="AU326" s="352"/>
      <c r="AV326" s="352"/>
      <c r="AW326" s="352" t="s">
        <v>127</v>
      </c>
    </row>
    <row r="327" spans="2:49" x14ac:dyDescent="0.2">
      <c r="B327" s="460" t="s">
        <v>2461</v>
      </c>
      <c r="C327" s="460">
        <v>1231</v>
      </c>
      <c r="D327" s="460" t="s">
        <v>2264</v>
      </c>
      <c r="E327" s="460" t="s">
        <v>2265</v>
      </c>
      <c r="F327" s="460">
        <v>1</v>
      </c>
      <c r="G327" s="460">
        <v>1</v>
      </c>
      <c r="H327" s="461" t="s">
        <v>700</v>
      </c>
      <c r="I327" s="461" t="s">
        <v>872</v>
      </c>
      <c r="J327" s="461" t="s">
        <v>700</v>
      </c>
      <c r="K327" s="594"/>
      <c r="L327" s="594"/>
      <c r="M327" s="352">
        <v>1000</v>
      </c>
      <c r="N327" s="352" t="s">
        <v>698</v>
      </c>
      <c r="O327" s="460">
        <v>1231</v>
      </c>
      <c r="P327" s="460" t="s">
        <v>726</v>
      </c>
      <c r="Q327" s="460" t="s">
        <v>2266</v>
      </c>
      <c r="R327" s="460">
        <v>1231</v>
      </c>
      <c r="S327" s="460" t="s">
        <v>2265</v>
      </c>
      <c r="T327" s="462">
        <v>1</v>
      </c>
      <c r="U327" s="460" t="s">
        <v>2265</v>
      </c>
      <c r="V327" s="475">
        <v>0</v>
      </c>
      <c r="W327" s="463" t="s">
        <v>2267</v>
      </c>
      <c r="X327" s="463" t="s">
        <v>2267</v>
      </c>
      <c r="Y327" s="463" t="s">
        <v>2268</v>
      </c>
      <c r="Z327" s="463"/>
      <c r="AA327" s="463"/>
      <c r="AB327" s="464">
        <v>11553.004461408831</v>
      </c>
      <c r="AC327" s="465">
        <v>0.82542000023559992</v>
      </c>
      <c r="AD327" s="465">
        <v>0.10713603808222506</v>
      </c>
      <c r="AE327" s="476">
        <v>11553.004461408831</v>
      </c>
      <c r="AF327" s="467">
        <v>0.82542000023559992</v>
      </c>
      <c r="AG327" s="468">
        <v>0.11444371116095542</v>
      </c>
      <c r="AH327" s="218">
        <v>11553.004461408831</v>
      </c>
      <c r="AI327" s="470">
        <v>0.82542000023559992</v>
      </c>
      <c r="AJ327" s="471">
        <v>0.11016181624162284</v>
      </c>
      <c r="AK327" s="218">
        <v>11553.004461408831</v>
      </c>
      <c r="AL327" s="470">
        <v>0.82542000023559992</v>
      </c>
      <c r="AM327" s="471">
        <v>0.11016181624162284</v>
      </c>
      <c r="AN327" s="477">
        <v>0</v>
      </c>
      <c r="AO327" s="473">
        <v>0</v>
      </c>
      <c r="AP327" s="474">
        <v>0</v>
      </c>
      <c r="AQ327" s="352"/>
      <c r="AR327" s="352"/>
      <c r="AS327" s="352"/>
      <c r="AT327" s="352"/>
      <c r="AU327" s="352"/>
      <c r="AV327" s="352"/>
      <c r="AW327" s="352" t="s">
        <v>254</v>
      </c>
    </row>
    <row r="328" spans="2:49" x14ac:dyDescent="0.2">
      <c r="B328" s="460" t="s">
        <v>2462</v>
      </c>
      <c r="C328" s="460">
        <v>1231</v>
      </c>
      <c r="D328" s="460" t="s">
        <v>2270</v>
      </c>
      <c r="E328" s="460" t="s">
        <v>2271</v>
      </c>
      <c r="F328" s="460">
        <v>2</v>
      </c>
      <c r="G328" s="460">
        <v>1</v>
      </c>
      <c r="H328" s="461" t="s">
        <v>700</v>
      </c>
      <c r="I328" s="461" t="s">
        <v>872</v>
      </c>
      <c r="J328" s="461" t="s">
        <v>700</v>
      </c>
      <c r="K328" s="594"/>
      <c r="L328" s="594"/>
      <c r="M328" s="352">
        <v>1000</v>
      </c>
      <c r="N328" s="352" t="s">
        <v>698</v>
      </c>
      <c r="O328" s="460">
        <v>1231</v>
      </c>
      <c r="P328" s="460" t="s">
        <v>726</v>
      </c>
      <c r="Q328" s="460" t="s">
        <v>2266</v>
      </c>
      <c r="R328" s="460">
        <v>1231</v>
      </c>
      <c r="S328" s="460" t="s">
        <v>2265</v>
      </c>
      <c r="T328" s="462">
        <v>1</v>
      </c>
      <c r="U328" s="460" t="s">
        <v>2271</v>
      </c>
      <c r="V328" s="475">
        <v>0</v>
      </c>
      <c r="W328" s="463" t="s">
        <v>2267</v>
      </c>
      <c r="X328" s="463" t="s">
        <v>2267</v>
      </c>
      <c r="Y328" s="463" t="s">
        <v>2268</v>
      </c>
      <c r="Z328" s="463"/>
      <c r="AA328" s="463"/>
      <c r="AB328" s="464">
        <v>8416.8449543203278</v>
      </c>
      <c r="AC328" s="465">
        <v>0.74444900885024179</v>
      </c>
      <c r="AD328" s="465">
        <v>0.10442605383930373</v>
      </c>
      <c r="AE328" s="476">
        <v>8416.8449543203278</v>
      </c>
      <c r="AF328" s="467">
        <v>0.74444900885024179</v>
      </c>
      <c r="AG328" s="468">
        <v>0.11316246819361336</v>
      </c>
      <c r="AH328" s="218">
        <v>9332.3143446829181</v>
      </c>
      <c r="AI328" s="470">
        <v>0.82542000023559992</v>
      </c>
      <c r="AJ328" s="471">
        <v>0.11018103117409976</v>
      </c>
      <c r="AK328" s="218">
        <v>9332.3143446829181</v>
      </c>
      <c r="AL328" s="470">
        <v>0.82542000023559992</v>
      </c>
      <c r="AM328" s="471">
        <v>0.11018103117409976</v>
      </c>
      <c r="AN328" s="477">
        <v>0</v>
      </c>
      <c r="AO328" s="473">
        <v>0</v>
      </c>
      <c r="AP328" s="474">
        <v>0</v>
      </c>
      <c r="AQ328" s="352"/>
      <c r="AR328" s="352"/>
      <c r="AS328" s="352"/>
      <c r="AT328" s="352"/>
      <c r="AU328" s="352"/>
      <c r="AV328" s="352"/>
      <c r="AW328" s="352" t="s">
        <v>254</v>
      </c>
    </row>
    <row r="329" spans="2:49" x14ac:dyDescent="0.2">
      <c r="B329" s="460" t="s">
        <v>2463</v>
      </c>
      <c r="C329" s="460">
        <v>1231</v>
      </c>
      <c r="D329" s="460" t="s">
        <v>2273</v>
      </c>
      <c r="E329" s="460" t="s">
        <v>2274</v>
      </c>
      <c r="F329" s="460">
        <v>3</v>
      </c>
      <c r="G329" s="460">
        <v>1</v>
      </c>
      <c r="H329" s="461" t="s">
        <v>700</v>
      </c>
      <c r="I329" s="461" t="s">
        <v>872</v>
      </c>
      <c r="J329" s="461" t="s">
        <v>700</v>
      </c>
      <c r="K329" s="594"/>
      <c r="L329" s="594"/>
      <c r="M329" s="352">
        <v>1000</v>
      </c>
      <c r="N329" s="352" t="s">
        <v>698</v>
      </c>
      <c r="O329" s="460">
        <v>1231</v>
      </c>
      <c r="P329" s="460" t="s">
        <v>726</v>
      </c>
      <c r="Q329" s="460" t="s">
        <v>2266</v>
      </c>
      <c r="R329" s="460">
        <v>1231</v>
      </c>
      <c r="S329" s="460" t="s">
        <v>2265</v>
      </c>
      <c r="T329" s="462">
        <v>0.74223365950407583</v>
      </c>
      <c r="U329" s="460" t="s">
        <v>2274</v>
      </c>
      <c r="V329" s="475">
        <v>0</v>
      </c>
      <c r="W329" s="463" t="s">
        <v>2267</v>
      </c>
      <c r="X329" s="463" t="s">
        <v>2267</v>
      </c>
      <c r="Y329" s="463" t="s">
        <v>2268</v>
      </c>
      <c r="Z329" s="463"/>
      <c r="AA329" s="463"/>
      <c r="AB329" s="464">
        <v>2134.8384591060712</v>
      </c>
      <c r="AC329" s="465">
        <v>0.46477852873679959</v>
      </c>
      <c r="AD329" s="465">
        <v>0.10560972355566127</v>
      </c>
      <c r="AE329" s="476">
        <v>2134.8384591060712</v>
      </c>
      <c r="AF329" s="467">
        <v>0.46477852873679959</v>
      </c>
      <c r="AG329" s="468">
        <v>0.11439371192212448</v>
      </c>
      <c r="AH329" s="218">
        <v>2814.0680424776792</v>
      </c>
      <c r="AI329" s="470">
        <v>0.61265450740272442</v>
      </c>
      <c r="AJ329" s="471">
        <v>0.10919733561918576</v>
      </c>
      <c r="AK329" s="218">
        <v>2814.0680424776792</v>
      </c>
      <c r="AL329" s="470">
        <v>0.61265450740272442</v>
      </c>
      <c r="AM329" s="471">
        <v>0.10919733561918576</v>
      </c>
      <c r="AN329" s="477">
        <v>0</v>
      </c>
      <c r="AO329" s="473">
        <v>0</v>
      </c>
      <c r="AP329" s="474">
        <v>0</v>
      </c>
      <c r="AQ329" s="352"/>
      <c r="AR329" s="352"/>
      <c r="AS329" s="352"/>
      <c r="AT329" s="352"/>
      <c r="AU329" s="352"/>
      <c r="AV329" s="352"/>
      <c r="AW329" s="352" t="s">
        <v>254</v>
      </c>
    </row>
    <row r="330" spans="2:49" x14ac:dyDescent="0.2">
      <c r="B330" s="460" t="s">
        <v>2464</v>
      </c>
      <c r="C330" s="460">
        <v>1231</v>
      </c>
      <c r="D330" s="460" t="s">
        <v>2276</v>
      </c>
      <c r="E330" s="460" t="s">
        <v>2277</v>
      </c>
      <c r="F330" s="460">
        <v>4</v>
      </c>
      <c r="G330" s="460">
        <v>1</v>
      </c>
      <c r="H330" s="461" t="s">
        <v>700</v>
      </c>
      <c r="I330" s="461" t="s">
        <v>872</v>
      </c>
      <c r="J330" s="461" t="s">
        <v>700</v>
      </c>
      <c r="K330" s="594"/>
      <c r="L330" s="594"/>
      <c r="M330" s="352">
        <v>1000</v>
      </c>
      <c r="N330" s="352" t="s">
        <v>698</v>
      </c>
      <c r="O330" s="460">
        <v>1231</v>
      </c>
      <c r="P330" s="460" t="s">
        <v>726</v>
      </c>
      <c r="Q330" s="460" t="s">
        <v>2266</v>
      </c>
      <c r="R330" s="460">
        <v>1231</v>
      </c>
      <c r="S330" s="460" t="s">
        <v>2277</v>
      </c>
      <c r="T330" s="462">
        <v>1</v>
      </c>
      <c r="U330" s="460" t="s">
        <v>2277</v>
      </c>
      <c r="V330" s="475">
        <v>0</v>
      </c>
      <c r="W330" s="463" t="s">
        <v>2278</v>
      </c>
      <c r="X330" s="463" t="s">
        <v>2278</v>
      </c>
      <c r="Y330" s="463" t="s">
        <v>2268</v>
      </c>
      <c r="Z330" s="463"/>
      <c r="AA330" s="463"/>
      <c r="AB330" s="464">
        <v>26.422863576849632</v>
      </c>
      <c r="AC330" s="465">
        <v>9.3906059090018371E-3</v>
      </c>
      <c r="AD330" s="465">
        <v>0.10664821851540308</v>
      </c>
      <c r="AE330" s="476">
        <v>26.422863576849632</v>
      </c>
      <c r="AF330" s="467">
        <v>9.3906059090018371E-3</v>
      </c>
      <c r="AG330" s="468">
        <v>0.11922708658807062</v>
      </c>
      <c r="AH330" s="218">
        <v>26.422863576849632</v>
      </c>
      <c r="AI330" s="470">
        <v>9.3906059090018371E-3</v>
      </c>
      <c r="AJ330" s="471">
        <v>0.11427400159665278</v>
      </c>
      <c r="AK330" s="218">
        <v>26.422863576849632</v>
      </c>
      <c r="AL330" s="470">
        <v>9.3906059090018371E-3</v>
      </c>
      <c r="AM330" s="471">
        <v>0.11427400159665278</v>
      </c>
      <c r="AN330" s="477">
        <v>0</v>
      </c>
      <c r="AO330" s="473">
        <v>0</v>
      </c>
      <c r="AP330" s="474">
        <v>0</v>
      </c>
      <c r="AQ330" s="352"/>
      <c r="AR330" s="352"/>
      <c r="AS330" s="352"/>
      <c r="AT330" s="352"/>
      <c r="AU330" s="352"/>
      <c r="AV330" s="352"/>
      <c r="AW330" s="352" t="s">
        <v>254</v>
      </c>
    </row>
    <row r="331" spans="2:49" x14ac:dyDescent="0.2">
      <c r="B331" s="460" t="s">
        <v>2461</v>
      </c>
      <c r="C331" s="460">
        <v>1231</v>
      </c>
      <c r="D331" s="460" t="s">
        <v>2279</v>
      </c>
      <c r="E331" s="460" t="s">
        <v>2265</v>
      </c>
      <c r="F331" s="460">
        <v>1</v>
      </c>
      <c r="G331" s="460">
        <v>1</v>
      </c>
      <c r="H331" s="461" t="s">
        <v>712</v>
      </c>
      <c r="I331" s="461" t="s">
        <v>713</v>
      </c>
      <c r="J331" s="461" t="s">
        <v>712</v>
      </c>
      <c r="K331" s="594"/>
      <c r="L331" s="594"/>
      <c r="M331" s="352">
        <v>1000</v>
      </c>
      <c r="N331" s="352" t="s">
        <v>698</v>
      </c>
      <c r="O331" s="460">
        <v>1231</v>
      </c>
      <c r="P331" s="460" t="s">
        <v>726</v>
      </c>
      <c r="Q331" s="460" t="s">
        <v>2280</v>
      </c>
      <c r="R331" s="460">
        <v>1231</v>
      </c>
      <c r="S331" s="460" t="s">
        <v>2265</v>
      </c>
      <c r="T331" s="462">
        <v>1</v>
      </c>
      <c r="U331" s="460" t="s">
        <v>2265</v>
      </c>
      <c r="V331" s="475">
        <v>0</v>
      </c>
      <c r="W331" s="463" t="s">
        <v>713</v>
      </c>
      <c r="X331" s="463" t="s">
        <v>713</v>
      </c>
      <c r="Y331" s="463" t="s">
        <v>713</v>
      </c>
      <c r="Z331" s="463"/>
      <c r="AA331" s="463"/>
      <c r="AB331" s="464">
        <v>2443.5118068076558</v>
      </c>
      <c r="AC331" s="465">
        <v>0.17457999976440006</v>
      </c>
      <c r="AD331" s="465">
        <v>9.0267551909382193E-3</v>
      </c>
      <c r="AE331" s="476">
        <v>2443.5118068076563</v>
      </c>
      <c r="AF331" s="467">
        <v>0.17457999976440008</v>
      </c>
      <c r="AG331" s="468">
        <v>8.8028384869495782E-3</v>
      </c>
      <c r="AH331" s="218">
        <v>2443.5118068076563</v>
      </c>
      <c r="AI331" s="470">
        <v>0.17457999976440008</v>
      </c>
      <c r="AJ331" s="471">
        <v>8.9290566325862294E-3</v>
      </c>
      <c r="AK331" s="218">
        <v>2443.5118068076563</v>
      </c>
      <c r="AL331" s="470">
        <v>0.17457999976440008</v>
      </c>
      <c r="AM331" s="471">
        <v>8.9290566325862294E-3</v>
      </c>
      <c r="AN331" s="477">
        <v>2443.5118068076563</v>
      </c>
      <c r="AO331" s="473">
        <v>0.17457999976440008</v>
      </c>
      <c r="AP331" s="474">
        <v>8.9261471878244666E-3</v>
      </c>
      <c r="AQ331" s="352"/>
      <c r="AR331" s="352"/>
      <c r="AS331" s="352"/>
      <c r="AT331" s="352"/>
      <c r="AU331" s="352"/>
      <c r="AV331" s="352"/>
      <c r="AW331" s="352" t="s">
        <v>254</v>
      </c>
    </row>
    <row r="332" spans="2:49" x14ac:dyDescent="0.2">
      <c r="B332" s="460" t="s">
        <v>2462</v>
      </c>
      <c r="C332" s="460">
        <v>1231</v>
      </c>
      <c r="D332" s="460" t="s">
        <v>2281</v>
      </c>
      <c r="E332" s="460" t="s">
        <v>2271</v>
      </c>
      <c r="F332" s="460">
        <v>2</v>
      </c>
      <c r="G332" s="460">
        <v>1</v>
      </c>
      <c r="H332" s="461" t="s">
        <v>712</v>
      </c>
      <c r="I332" s="461" t="s">
        <v>713</v>
      </c>
      <c r="J332" s="461" t="s">
        <v>712</v>
      </c>
      <c r="K332" s="594"/>
      <c r="L332" s="594"/>
      <c r="M332" s="352">
        <v>1000</v>
      </c>
      <c r="N332" s="352" t="s">
        <v>698</v>
      </c>
      <c r="O332" s="460">
        <v>1231</v>
      </c>
      <c r="P332" s="460" t="s">
        <v>726</v>
      </c>
      <c r="Q332" s="460" t="s">
        <v>2280</v>
      </c>
      <c r="R332" s="460">
        <v>1231</v>
      </c>
      <c r="S332" s="460" t="s">
        <v>2265</v>
      </c>
      <c r="T332" s="462">
        <v>1</v>
      </c>
      <c r="U332" s="460" t="s">
        <v>2271</v>
      </c>
      <c r="V332" s="475">
        <v>0</v>
      </c>
      <c r="W332" s="463" t="s">
        <v>713</v>
      </c>
      <c r="X332" s="463" t="s">
        <v>713</v>
      </c>
      <c r="Y332" s="463" t="s">
        <v>713</v>
      </c>
      <c r="Z332" s="463"/>
      <c r="AA332" s="463"/>
      <c r="AB332" s="464">
        <v>2889.2953645708949</v>
      </c>
      <c r="AC332" s="465">
        <v>0.25555099114975816</v>
      </c>
      <c r="AD332" s="465">
        <v>1.2065468031118775E-2</v>
      </c>
      <c r="AE332" s="476">
        <v>2889.2953645708953</v>
      </c>
      <c r="AF332" s="467">
        <v>0.25555099114975821</v>
      </c>
      <c r="AG332" s="468">
        <v>1.1759886820342628E-2</v>
      </c>
      <c r="AH332" s="218">
        <v>1973.8259742083039</v>
      </c>
      <c r="AI332" s="470">
        <v>0.17457999976440008</v>
      </c>
      <c r="AJ332" s="471">
        <v>8.4798435611723681E-3</v>
      </c>
      <c r="AK332" s="218">
        <v>1973.8259742083039</v>
      </c>
      <c r="AL332" s="470">
        <v>0.17457999976440008</v>
      </c>
      <c r="AM332" s="471">
        <v>8.4798435611723681E-3</v>
      </c>
      <c r="AN332" s="477">
        <v>1973.8259742083039</v>
      </c>
      <c r="AO332" s="473">
        <v>0.17457999976440008</v>
      </c>
      <c r="AP332" s="474">
        <v>8.4768660099180434E-3</v>
      </c>
      <c r="AQ332" s="352"/>
      <c r="AR332" s="352"/>
      <c r="AS332" s="352"/>
      <c r="AT332" s="352"/>
      <c r="AU332" s="352"/>
      <c r="AV332" s="352"/>
      <c r="AW332" s="352" t="s">
        <v>254</v>
      </c>
    </row>
    <row r="333" spans="2:49" x14ac:dyDescent="0.2">
      <c r="B333" s="460" t="s">
        <v>2463</v>
      </c>
      <c r="C333" s="460">
        <v>1231</v>
      </c>
      <c r="D333" s="460" t="s">
        <v>2282</v>
      </c>
      <c r="E333" s="460" t="s">
        <v>2274</v>
      </c>
      <c r="F333" s="460">
        <v>3</v>
      </c>
      <c r="G333" s="460">
        <v>1</v>
      </c>
      <c r="H333" s="461" t="s">
        <v>712</v>
      </c>
      <c r="I333" s="461" t="s">
        <v>713</v>
      </c>
      <c r="J333" s="461" t="s">
        <v>712</v>
      </c>
      <c r="K333" s="594"/>
      <c r="L333" s="594"/>
      <c r="M333" s="352">
        <v>1000</v>
      </c>
      <c r="N333" s="352" t="s">
        <v>698</v>
      </c>
      <c r="O333" s="460">
        <v>1231</v>
      </c>
      <c r="P333" s="460" t="s">
        <v>726</v>
      </c>
      <c r="Q333" s="460" t="s">
        <v>2280</v>
      </c>
      <c r="R333" s="460">
        <v>1231</v>
      </c>
      <c r="S333" s="460" t="s">
        <v>2265</v>
      </c>
      <c r="T333" s="462">
        <v>0.74223365950407583</v>
      </c>
      <c r="U333" s="460" t="s">
        <v>2274</v>
      </c>
      <c r="V333" s="475">
        <v>0</v>
      </c>
      <c r="W333" s="463" t="s">
        <v>713</v>
      </c>
      <c r="X333" s="463" t="s">
        <v>713</v>
      </c>
      <c r="Y333" s="463" t="s">
        <v>713</v>
      </c>
      <c r="Z333" s="463"/>
      <c r="AA333" s="463"/>
      <c r="AB333" s="464">
        <v>2458.3996685420616</v>
      </c>
      <c r="AC333" s="465">
        <v>0.53522147126320041</v>
      </c>
      <c r="AD333" s="465">
        <v>1.4714044330862762E-2</v>
      </c>
      <c r="AE333" s="476">
        <v>2458.3996685420616</v>
      </c>
      <c r="AF333" s="467">
        <v>0.53522147126320041</v>
      </c>
      <c r="AG333" s="468">
        <v>1.4578604551113211E-2</v>
      </c>
      <c r="AH333" s="218">
        <v>1779.1700851704538</v>
      </c>
      <c r="AI333" s="470">
        <v>0.38734549259727558</v>
      </c>
      <c r="AJ333" s="471">
        <v>1.1180608555938026E-2</v>
      </c>
      <c r="AK333" s="218">
        <v>1779.1700851704538</v>
      </c>
      <c r="AL333" s="470">
        <v>0.38734549259727558</v>
      </c>
      <c r="AM333" s="471">
        <v>1.1180608555938026E-2</v>
      </c>
      <c r="AN333" s="477">
        <v>1779.1700851704538</v>
      </c>
      <c r="AO333" s="473">
        <v>0.38734549259727558</v>
      </c>
      <c r="AP333" s="474">
        <v>1.1261265430931885E-2</v>
      </c>
      <c r="AQ333" s="352"/>
      <c r="AR333" s="352"/>
      <c r="AS333" s="352"/>
      <c r="AT333" s="352"/>
      <c r="AU333" s="352"/>
      <c r="AV333" s="352"/>
      <c r="AW333" s="352" t="s">
        <v>254</v>
      </c>
    </row>
    <row r="334" spans="2:49" x14ac:dyDescent="0.2">
      <c r="B334" s="460" t="s">
        <v>2464</v>
      </c>
      <c r="C334" s="460">
        <v>1231</v>
      </c>
      <c r="D334" s="460" t="s">
        <v>2283</v>
      </c>
      <c r="E334" s="460" t="s">
        <v>2277</v>
      </c>
      <c r="F334" s="460">
        <v>4</v>
      </c>
      <c r="G334" s="460">
        <v>1</v>
      </c>
      <c r="H334" s="461" t="s">
        <v>712</v>
      </c>
      <c r="I334" s="461" t="s">
        <v>713</v>
      </c>
      <c r="J334" s="461" t="s">
        <v>712</v>
      </c>
      <c r="K334" s="594"/>
      <c r="L334" s="594"/>
      <c r="M334" s="352">
        <v>1000</v>
      </c>
      <c r="N334" s="352" t="s">
        <v>698</v>
      </c>
      <c r="O334" s="460">
        <v>1231</v>
      </c>
      <c r="P334" s="460" t="s">
        <v>726</v>
      </c>
      <c r="Q334" s="460" t="s">
        <v>2280</v>
      </c>
      <c r="R334" s="460">
        <v>1231</v>
      </c>
      <c r="S334" s="460" t="s">
        <v>2277</v>
      </c>
      <c r="T334" s="462">
        <v>1</v>
      </c>
      <c r="U334" s="460" t="s">
        <v>2277</v>
      </c>
      <c r="V334" s="475">
        <v>0</v>
      </c>
      <c r="W334" s="463" t="s">
        <v>713</v>
      </c>
      <c r="X334" s="463" t="s">
        <v>713</v>
      </c>
      <c r="Y334" s="463" t="s">
        <v>713</v>
      </c>
      <c r="Z334" s="463"/>
      <c r="AA334" s="463"/>
      <c r="AB334" s="464">
        <v>2787.3320562756244</v>
      </c>
      <c r="AC334" s="465">
        <v>0.99060939409099824</v>
      </c>
      <c r="AD334" s="465">
        <v>1.4475381524830147E-2</v>
      </c>
      <c r="AE334" s="476">
        <v>2787.3320562756244</v>
      </c>
      <c r="AF334" s="467">
        <v>0.99060939409099813</v>
      </c>
      <c r="AG334" s="468">
        <v>1.4473416783930619E-2</v>
      </c>
      <c r="AH334" s="218">
        <v>2787.3320562756244</v>
      </c>
      <c r="AI334" s="470">
        <v>0.99060939409099813</v>
      </c>
      <c r="AJ334" s="471">
        <v>1.4474138736032928E-2</v>
      </c>
      <c r="AK334" s="218">
        <v>2787.3320562756244</v>
      </c>
      <c r="AL334" s="470">
        <v>0.99060939409099813</v>
      </c>
      <c r="AM334" s="471">
        <v>1.4474138736032928E-2</v>
      </c>
      <c r="AN334" s="477">
        <v>2787.3320562756244</v>
      </c>
      <c r="AO334" s="473">
        <v>0.99060939409099813</v>
      </c>
      <c r="AP334" s="474">
        <v>1.4474210910080876E-2</v>
      </c>
      <c r="AQ334" s="352"/>
      <c r="AR334" s="352"/>
      <c r="AS334" s="352"/>
      <c r="AT334" s="352"/>
      <c r="AU334" s="352"/>
      <c r="AV334" s="352"/>
      <c r="AW334" s="352" t="s">
        <v>254</v>
      </c>
    </row>
    <row r="335" spans="2:49" x14ac:dyDescent="0.2">
      <c r="B335" s="460" t="s">
        <v>2461</v>
      </c>
      <c r="C335" s="460">
        <v>1231</v>
      </c>
      <c r="D335" s="460" t="s">
        <v>2284</v>
      </c>
      <c r="E335" s="460" t="s">
        <v>2265</v>
      </c>
      <c r="F335" s="460">
        <v>1</v>
      </c>
      <c r="G335" s="460">
        <v>1</v>
      </c>
      <c r="H335" s="461" t="s">
        <v>746</v>
      </c>
      <c r="I335" s="461" t="s">
        <v>762</v>
      </c>
      <c r="J335" s="461" t="s">
        <v>700</v>
      </c>
      <c r="K335" s="594"/>
      <c r="L335" s="594"/>
      <c r="M335" s="352">
        <v>1000</v>
      </c>
      <c r="N335" s="352" t="s">
        <v>698</v>
      </c>
      <c r="O335" s="460">
        <v>1231</v>
      </c>
      <c r="P335" s="460" t="s">
        <v>726</v>
      </c>
      <c r="Q335" s="460" t="s">
        <v>2266</v>
      </c>
      <c r="R335" s="460">
        <v>1231</v>
      </c>
      <c r="S335" s="460" t="s">
        <v>2265</v>
      </c>
      <c r="T335" s="462">
        <v>1</v>
      </c>
      <c r="U335" s="460" t="s">
        <v>2265</v>
      </c>
      <c r="V335" s="475">
        <v>0</v>
      </c>
      <c r="W335" s="463" t="s">
        <v>2268</v>
      </c>
      <c r="X335" s="463" t="s">
        <v>2268</v>
      </c>
      <c r="Y335" s="463" t="s">
        <v>2267</v>
      </c>
      <c r="Z335" s="463"/>
      <c r="AA335" s="463"/>
      <c r="AB335" s="464">
        <v>0</v>
      </c>
      <c r="AC335" s="465">
        <v>0</v>
      </c>
      <c r="AD335" s="465">
        <v>0</v>
      </c>
      <c r="AE335" s="476">
        <v>0</v>
      </c>
      <c r="AF335" s="467">
        <v>0</v>
      </c>
      <c r="AG335" s="468">
        <v>0</v>
      </c>
      <c r="AH335" s="218">
        <v>0</v>
      </c>
      <c r="AI335" s="470">
        <v>0</v>
      </c>
      <c r="AJ335" s="471">
        <v>0</v>
      </c>
      <c r="AK335" s="218">
        <v>0</v>
      </c>
      <c r="AL335" s="470">
        <v>0</v>
      </c>
      <c r="AM335" s="471">
        <v>0</v>
      </c>
      <c r="AN335" s="477">
        <v>11553.004461408831</v>
      </c>
      <c r="AO335" s="473">
        <v>0.82542000023559992</v>
      </c>
      <c r="AP335" s="474">
        <v>0.13027607089378698</v>
      </c>
      <c r="AQ335" s="352"/>
      <c r="AR335" s="352"/>
      <c r="AS335" s="352"/>
      <c r="AT335" s="352"/>
      <c r="AU335" s="352"/>
      <c r="AV335" s="352"/>
      <c r="AW335" s="352" t="s">
        <v>254</v>
      </c>
    </row>
    <row r="336" spans="2:49" x14ac:dyDescent="0.2">
      <c r="B336" s="460" t="s">
        <v>2462</v>
      </c>
      <c r="C336" s="460">
        <v>1231</v>
      </c>
      <c r="D336" s="460" t="s">
        <v>2285</v>
      </c>
      <c r="E336" s="460" t="s">
        <v>2271</v>
      </c>
      <c r="F336" s="460">
        <v>2</v>
      </c>
      <c r="G336" s="460">
        <v>1</v>
      </c>
      <c r="H336" s="461" t="s">
        <v>746</v>
      </c>
      <c r="I336" s="461" t="s">
        <v>762</v>
      </c>
      <c r="J336" s="461" t="s">
        <v>700</v>
      </c>
      <c r="K336" s="594"/>
      <c r="L336" s="594"/>
      <c r="M336" s="352">
        <v>1000</v>
      </c>
      <c r="N336" s="352" t="s">
        <v>698</v>
      </c>
      <c r="O336" s="460">
        <v>1231</v>
      </c>
      <c r="P336" s="460" t="s">
        <v>726</v>
      </c>
      <c r="Q336" s="460" t="s">
        <v>2266</v>
      </c>
      <c r="R336" s="460">
        <v>1231</v>
      </c>
      <c r="S336" s="460" t="s">
        <v>2265</v>
      </c>
      <c r="T336" s="462">
        <v>1</v>
      </c>
      <c r="U336" s="460" t="s">
        <v>2271</v>
      </c>
      <c r="V336" s="475">
        <v>0</v>
      </c>
      <c r="W336" s="463" t="s">
        <v>2268</v>
      </c>
      <c r="X336" s="463" t="s">
        <v>2268</v>
      </c>
      <c r="Y336" s="463" t="s">
        <v>2267</v>
      </c>
      <c r="Z336" s="463"/>
      <c r="AA336" s="463"/>
      <c r="AB336" s="464">
        <v>0</v>
      </c>
      <c r="AC336" s="465">
        <v>0</v>
      </c>
      <c r="AD336" s="465">
        <v>0</v>
      </c>
      <c r="AE336" s="476">
        <v>0</v>
      </c>
      <c r="AF336" s="467">
        <v>0</v>
      </c>
      <c r="AG336" s="468">
        <v>0</v>
      </c>
      <c r="AH336" s="218">
        <v>0</v>
      </c>
      <c r="AI336" s="470">
        <v>0</v>
      </c>
      <c r="AJ336" s="471">
        <v>0</v>
      </c>
      <c r="AK336" s="218">
        <v>0</v>
      </c>
      <c r="AL336" s="470">
        <v>0</v>
      </c>
      <c r="AM336" s="471">
        <v>0</v>
      </c>
      <c r="AN336" s="477">
        <v>9332.3143446829181</v>
      </c>
      <c r="AO336" s="473">
        <v>0.82542000023559992</v>
      </c>
      <c r="AP336" s="474">
        <v>0.13545548144411895</v>
      </c>
      <c r="AQ336" s="352"/>
      <c r="AR336" s="352"/>
      <c r="AS336" s="352"/>
      <c r="AT336" s="352"/>
      <c r="AU336" s="352"/>
      <c r="AV336" s="352"/>
      <c r="AW336" s="352" t="s">
        <v>254</v>
      </c>
    </row>
    <row r="337" spans="2:49" x14ac:dyDescent="0.2">
      <c r="B337" s="460" t="s">
        <v>2463</v>
      </c>
      <c r="C337" s="460">
        <v>1231</v>
      </c>
      <c r="D337" s="460" t="s">
        <v>2286</v>
      </c>
      <c r="E337" s="460" t="s">
        <v>2274</v>
      </c>
      <c r="F337" s="460">
        <v>3</v>
      </c>
      <c r="G337" s="460">
        <v>1</v>
      </c>
      <c r="H337" s="461" t="s">
        <v>746</v>
      </c>
      <c r="I337" s="461" t="s">
        <v>762</v>
      </c>
      <c r="J337" s="461" t="s">
        <v>700</v>
      </c>
      <c r="K337" s="594"/>
      <c r="L337" s="594"/>
      <c r="M337" s="352">
        <v>1000</v>
      </c>
      <c r="N337" s="352" t="s">
        <v>698</v>
      </c>
      <c r="O337" s="460">
        <v>1231</v>
      </c>
      <c r="P337" s="460" t="s">
        <v>726</v>
      </c>
      <c r="Q337" s="460" t="s">
        <v>2266</v>
      </c>
      <c r="R337" s="460">
        <v>1231</v>
      </c>
      <c r="S337" s="460" t="s">
        <v>2265</v>
      </c>
      <c r="T337" s="462">
        <v>0.74223365950407583</v>
      </c>
      <c r="U337" s="460" t="s">
        <v>2274</v>
      </c>
      <c r="V337" s="475">
        <v>0</v>
      </c>
      <c r="W337" s="463" t="s">
        <v>2268</v>
      </c>
      <c r="X337" s="463" t="s">
        <v>2268</v>
      </c>
      <c r="Y337" s="463" t="s">
        <v>2267</v>
      </c>
      <c r="Z337" s="463"/>
      <c r="AA337" s="463"/>
      <c r="AB337" s="464">
        <v>0</v>
      </c>
      <c r="AC337" s="465">
        <v>0</v>
      </c>
      <c r="AD337" s="465">
        <v>0</v>
      </c>
      <c r="AE337" s="476">
        <v>0</v>
      </c>
      <c r="AF337" s="467">
        <v>0</v>
      </c>
      <c r="AG337" s="468">
        <v>0</v>
      </c>
      <c r="AH337" s="218">
        <v>0</v>
      </c>
      <c r="AI337" s="470">
        <v>0</v>
      </c>
      <c r="AJ337" s="471">
        <v>0</v>
      </c>
      <c r="AK337" s="218">
        <v>0</v>
      </c>
      <c r="AL337" s="470">
        <v>0</v>
      </c>
      <c r="AM337" s="471">
        <v>0</v>
      </c>
      <c r="AN337" s="477">
        <v>2814.0680424776792</v>
      </c>
      <c r="AO337" s="473">
        <v>0.61265450740272442</v>
      </c>
      <c r="AP337" s="474">
        <v>0.14206876036422844</v>
      </c>
      <c r="AQ337" s="352"/>
      <c r="AR337" s="352"/>
      <c r="AS337" s="352"/>
      <c r="AT337" s="352"/>
      <c r="AU337" s="352"/>
      <c r="AV337" s="352"/>
      <c r="AW337" s="352" t="s">
        <v>254</v>
      </c>
    </row>
    <row r="338" spans="2:49" x14ac:dyDescent="0.2">
      <c r="B338" s="460" t="s">
        <v>2464</v>
      </c>
      <c r="C338" s="460">
        <v>1231</v>
      </c>
      <c r="D338" s="460" t="s">
        <v>2287</v>
      </c>
      <c r="E338" s="460" t="s">
        <v>2277</v>
      </c>
      <c r="F338" s="460">
        <v>4</v>
      </c>
      <c r="G338" s="460">
        <v>1</v>
      </c>
      <c r="H338" s="461" t="s">
        <v>746</v>
      </c>
      <c r="I338" s="461" t="s">
        <v>762</v>
      </c>
      <c r="J338" s="461" t="s">
        <v>700</v>
      </c>
      <c r="K338" s="594"/>
      <c r="L338" s="594"/>
      <c r="M338" s="352">
        <v>1000</v>
      </c>
      <c r="N338" s="352" t="s">
        <v>698</v>
      </c>
      <c r="O338" s="460">
        <v>1231</v>
      </c>
      <c r="P338" s="460" t="s">
        <v>726</v>
      </c>
      <c r="Q338" s="460" t="s">
        <v>2266</v>
      </c>
      <c r="R338" s="460">
        <v>1231</v>
      </c>
      <c r="S338" s="460" t="s">
        <v>2277</v>
      </c>
      <c r="T338" s="462">
        <v>1</v>
      </c>
      <c r="U338" s="460" t="s">
        <v>2277</v>
      </c>
      <c r="V338" s="475">
        <v>0</v>
      </c>
      <c r="W338" s="463" t="s">
        <v>2268</v>
      </c>
      <c r="X338" s="463" t="s">
        <v>2268</v>
      </c>
      <c r="Y338" s="463" t="s">
        <v>2278</v>
      </c>
      <c r="Z338" s="463"/>
      <c r="AA338" s="463"/>
      <c r="AB338" s="464">
        <v>0</v>
      </c>
      <c r="AC338" s="465">
        <v>0</v>
      </c>
      <c r="AD338" s="465">
        <v>0</v>
      </c>
      <c r="AE338" s="476">
        <v>0</v>
      </c>
      <c r="AF338" s="467">
        <v>0</v>
      </c>
      <c r="AG338" s="468">
        <v>0</v>
      </c>
      <c r="AH338" s="218">
        <v>0</v>
      </c>
      <c r="AI338" s="470">
        <v>0</v>
      </c>
      <c r="AJ338" s="471">
        <v>0</v>
      </c>
      <c r="AK338" s="218">
        <v>0</v>
      </c>
      <c r="AL338" s="470">
        <v>0</v>
      </c>
      <c r="AM338" s="471">
        <v>0</v>
      </c>
      <c r="AN338" s="477">
        <v>26.422863576849632</v>
      </c>
      <c r="AO338" s="473">
        <v>9.3906059090018371E-3</v>
      </c>
      <c r="AP338" s="474">
        <v>0.13850670688869057</v>
      </c>
      <c r="AQ338" s="352"/>
      <c r="AR338" s="352"/>
      <c r="AS338" s="352"/>
      <c r="AT338" s="352"/>
      <c r="AU338" s="352"/>
      <c r="AV338" s="352"/>
      <c r="AW338" s="352" t="s">
        <v>254</v>
      </c>
    </row>
    <row r="339" spans="2:49" x14ac:dyDescent="0.2">
      <c r="B339" s="460" t="s">
        <v>2461</v>
      </c>
      <c r="C339" s="460">
        <v>1231</v>
      </c>
      <c r="D339" s="460" t="s">
        <v>2288</v>
      </c>
      <c r="E339" s="460" t="s">
        <v>2265</v>
      </c>
      <c r="F339" s="460">
        <v>1</v>
      </c>
      <c r="G339" s="460">
        <v>1</v>
      </c>
      <c r="H339" s="461" t="s">
        <v>748</v>
      </c>
      <c r="I339" s="461" t="s">
        <v>765</v>
      </c>
      <c r="J339" s="461" t="s">
        <v>700</v>
      </c>
      <c r="K339" s="594"/>
      <c r="L339" s="594"/>
      <c r="M339" s="352">
        <v>1000</v>
      </c>
      <c r="N339" s="352" t="s">
        <v>698</v>
      </c>
      <c r="O339" s="460">
        <v>1231</v>
      </c>
      <c r="P339" s="460" t="s">
        <v>726</v>
      </c>
      <c r="Q339" s="460" t="s">
        <v>2289</v>
      </c>
      <c r="R339" s="460">
        <v>1231</v>
      </c>
      <c r="S339" s="460" t="s">
        <v>2265</v>
      </c>
      <c r="T339" s="462">
        <v>1</v>
      </c>
      <c r="U339" s="460" t="s">
        <v>2265</v>
      </c>
      <c r="V339" s="475">
        <v>0</v>
      </c>
      <c r="W339" s="463" t="s">
        <v>2268</v>
      </c>
      <c r="X339" s="463" t="s">
        <v>2268</v>
      </c>
      <c r="Y339" s="463" t="s">
        <v>2290</v>
      </c>
      <c r="Z339" s="463"/>
      <c r="AA339" s="463"/>
      <c r="AB339" s="464">
        <v>0</v>
      </c>
      <c r="AC339" s="465">
        <v>0</v>
      </c>
      <c r="AD339" s="465">
        <v>0</v>
      </c>
      <c r="AE339" s="476">
        <v>0</v>
      </c>
      <c r="AF339" s="467">
        <v>0</v>
      </c>
      <c r="AG339" s="468">
        <v>0</v>
      </c>
      <c r="AH339" s="218">
        <v>0</v>
      </c>
      <c r="AI339" s="470">
        <v>0</v>
      </c>
      <c r="AJ339" s="471">
        <v>0</v>
      </c>
      <c r="AK339" s="218">
        <v>0</v>
      </c>
      <c r="AL339" s="470">
        <v>0</v>
      </c>
      <c r="AM339" s="471">
        <v>0</v>
      </c>
      <c r="AN339" s="477">
        <v>0</v>
      </c>
      <c r="AO339" s="473">
        <v>0</v>
      </c>
      <c r="AP339" s="474">
        <v>0</v>
      </c>
      <c r="AQ339" s="352"/>
      <c r="AR339" s="352"/>
      <c r="AS339" s="352"/>
      <c r="AT339" s="352"/>
      <c r="AU339" s="352"/>
      <c r="AV339" s="352"/>
      <c r="AW339" s="352" t="s">
        <v>254</v>
      </c>
    </row>
    <row r="340" spans="2:49" x14ac:dyDescent="0.2">
      <c r="B340" s="460" t="s">
        <v>2462</v>
      </c>
      <c r="C340" s="460">
        <v>1231</v>
      </c>
      <c r="D340" s="460" t="s">
        <v>2291</v>
      </c>
      <c r="E340" s="460" t="s">
        <v>2271</v>
      </c>
      <c r="F340" s="460">
        <v>2</v>
      </c>
      <c r="G340" s="460">
        <v>1</v>
      </c>
      <c r="H340" s="461" t="s">
        <v>748</v>
      </c>
      <c r="I340" s="461" t="s">
        <v>765</v>
      </c>
      <c r="J340" s="461" t="s">
        <v>700</v>
      </c>
      <c r="K340" s="594"/>
      <c r="L340" s="594"/>
      <c r="M340" s="352">
        <v>1000</v>
      </c>
      <c r="N340" s="352" t="s">
        <v>698</v>
      </c>
      <c r="O340" s="460">
        <v>1231</v>
      </c>
      <c r="P340" s="460" t="s">
        <v>726</v>
      </c>
      <c r="Q340" s="460" t="s">
        <v>2289</v>
      </c>
      <c r="R340" s="460">
        <v>1231</v>
      </c>
      <c r="S340" s="460" t="s">
        <v>2265</v>
      </c>
      <c r="T340" s="462">
        <v>1</v>
      </c>
      <c r="U340" s="460" t="s">
        <v>2271</v>
      </c>
      <c r="V340" s="475">
        <v>0</v>
      </c>
      <c r="W340" s="463" t="s">
        <v>2268</v>
      </c>
      <c r="X340" s="463" t="s">
        <v>2268</v>
      </c>
      <c r="Y340" s="463" t="s">
        <v>2290</v>
      </c>
      <c r="Z340" s="463"/>
      <c r="AA340" s="463"/>
      <c r="AB340" s="464">
        <v>0</v>
      </c>
      <c r="AC340" s="465">
        <v>0</v>
      </c>
      <c r="AD340" s="465">
        <v>0</v>
      </c>
      <c r="AE340" s="476">
        <v>0</v>
      </c>
      <c r="AF340" s="467">
        <v>0</v>
      </c>
      <c r="AG340" s="468">
        <v>0</v>
      </c>
      <c r="AH340" s="218">
        <v>0</v>
      </c>
      <c r="AI340" s="470">
        <v>0</v>
      </c>
      <c r="AJ340" s="471">
        <v>0</v>
      </c>
      <c r="AK340" s="218">
        <v>0</v>
      </c>
      <c r="AL340" s="470">
        <v>0</v>
      </c>
      <c r="AM340" s="471">
        <v>0</v>
      </c>
      <c r="AN340" s="477">
        <v>0</v>
      </c>
      <c r="AO340" s="473">
        <v>0</v>
      </c>
      <c r="AP340" s="474">
        <v>0</v>
      </c>
      <c r="AQ340" s="352"/>
      <c r="AR340" s="352"/>
      <c r="AS340" s="352"/>
      <c r="AT340" s="352"/>
      <c r="AU340" s="352"/>
      <c r="AV340" s="352"/>
      <c r="AW340" s="352" t="s">
        <v>254</v>
      </c>
    </row>
    <row r="341" spans="2:49" x14ac:dyDescent="0.2">
      <c r="B341" s="460" t="s">
        <v>2463</v>
      </c>
      <c r="C341" s="460">
        <v>1231</v>
      </c>
      <c r="D341" s="460" t="s">
        <v>2292</v>
      </c>
      <c r="E341" s="460" t="s">
        <v>2274</v>
      </c>
      <c r="F341" s="460">
        <v>3</v>
      </c>
      <c r="G341" s="460">
        <v>1</v>
      </c>
      <c r="H341" s="461" t="s">
        <v>748</v>
      </c>
      <c r="I341" s="461" t="s">
        <v>765</v>
      </c>
      <c r="J341" s="461" t="s">
        <v>700</v>
      </c>
      <c r="K341" s="594"/>
      <c r="L341" s="594"/>
      <c r="M341" s="352">
        <v>1000</v>
      </c>
      <c r="N341" s="352" t="s">
        <v>698</v>
      </c>
      <c r="O341" s="460">
        <v>1231</v>
      </c>
      <c r="P341" s="460" t="s">
        <v>726</v>
      </c>
      <c r="Q341" s="460" t="s">
        <v>2289</v>
      </c>
      <c r="R341" s="460">
        <v>1231</v>
      </c>
      <c r="S341" s="460" t="s">
        <v>2265</v>
      </c>
      <c r="T341" s="462">
        <v>0.74223365950407583</v>
      </c>
      <c r="U341" s="460" t="s">
        <v>2274</v>
      </c>
      <c r="V341" s="475">
        <v>0</v>
      </c>
      <c r="W341" s="463" t="s">
        <v>2268</v>
      </c>
      <c r="X341" s="463" t="s">
        <v>2268</v>
      </c>
      <c r="Y341" s="463" t="s">
        <v>2290</v>
      </c>
      <c r="Z341" s="463"/>
      <c r="AA341" s="463"/>
      <c r="AB341" s="464">
        <v>0</v>
      </c>
      <c r="AC341" s="465">
        <v>0</v>
      </c>
      <c r="AD341" s="465">
        <v>0</v>
      </c>
      <c r="AE341" s="476">
        <v>0</v>
      </c>
      <c r="AF341" s="467">
        <v>0</v>
      </c>
      <c r="AG341" s="468">
        <v>0</v>
      </c>
      <c r="AH341" s="218">
        <v>0</v>
      </c>
      <c r="AI341" s="470">
        <v>0</v>
      </c>
      <c r="AJ341" s="471">
        <v>0</v>
      </c>
      <c r="AK341" s="218">
        <v>0</v>
      </c>
      <c r="AL341" s="470">
        <v>0</v>
      </c>
      <c r="AM341" s="471">
        <v>0</v>
      </c>
      <c r="AN341" s="477">
        <v>0</v>
      </c>
      <c r="AO341" s="473">
        <v>0</v>
      </c>
      <c r="AP341" s="474">
        <v>0</v>
      </c>
      <c r="AQ341" s="352"/>
      <c r="AR341" s="352"/>
      <c r="AS341" s="352"/>
      <c r="AT341" s="352"/>
      <c r="AU341" s="352"/>
      <c r="AV341" s="352"/>
      <c r="AW341" s="352" t="s">
        <v>254</v>
      </c>
    </row>
    <row r="342" spans="2:49" x14ac:dyDescent="0.2">
      <c r="B342" s="460" t="s">
        <v>2464</v>
      </c>
      <c r="C342" s="460">
        <v>1231</v>
      </c>
      <c r="D342" s="460" t="s">
        <v>2293</v>
      </c>
      <c r="E342" s="460" t="s">
        <v>2277</v>
      </c>
      <c r="F342" s="460">
        <v>4</v>
      </c>
      <c r="G342" s="460">
        <v>1</v>
      </c>
      <c r="H342" s="461" t="s">
        <v>748</v>
      </c>
      <c r="I342" s="461" t="s">
        <v>765</v>
      </c>
      <c r="J342" s="461" t="s">
        <v>700</v>
      </c>
      <c r="K342" s="594"/>
      <c r="L342" s="594"/>
      <c r="M342" s="352">
        <v>1000</v>
      </c>
      <c r="N342" s="352" t="s">
        <v>698</v>
      </c>
      <c r="O342" s="460">
        <v>1231</v>
      </c>
      <c r="P342" s="460" t="s">
        <v>726</v>
      </c>
      <c r="Q342" s="460" t="s">
        <v>2289</v>
      </c>
      <c r="R342" s="460">
        <v>1231</v>
      </c>
      <c r="S342" s="460" t="s">
        <v>2277</v>
      </c>
      <c r="T342" s="462">
        <v>1</v>
      </c>
      <c r="U342" s="460" t="s">
        <v>2277</v>
      </c>
      <c r="V342" s="475">
        <v>0</v>
      </c>
      <c r="W342" s="463" t="s">
        <v>2268</v>
      </c>
      <c r="X342" s="463" t="s">
        <v>2268</v>
      </c>
      <c r="Y342" s="463" t="s">
        <v>2290</v>
      </c>
      <c r="Z342" s="463"/>
      <c r="AA342" s="463"/>
      <c r="AB342" s="464">
        <v>0</v>
      </c>
      <c r="AC342" s="465">
        <v>0</v>
      </c>
      <c r="AD342" s="465">
        <v>0</v>
      </c>
      <c r="AE342" s="476">
        <v>0</v>
      </c>
      <c r="AF342" s="467">
        <v>0</v>
      </c>
      <c r="AG342" s="468">
        <v>0</v>
      </c>
      <c r="AH342" s="218">
        <v>0</v>
      </c>
      <c r="AI342" s="470">
        <v>0</v>
      </c>
      <c r="AJ342" s="471">
        <v>0</v>
      </c>
      <c r="AK342" s="218">
        <v>0</v>
      </c>
      <c r="AL342" s="470">
        <v>0</v>
      </c>
      <c r="AM342" s="471">
        <v>0</v>
      </c>
      <c r="AN342" s="477">
        <v>0</v>
      </c>
      <c r="AO342" s="473">
        <v>0</v>
      </c>
      <c r="AP342" s="474">
        <v>0</v>
      </c>
      <c r="AQ342" s="352"/>
      <c r="AR342" s="352"/>
      <c r="AS342" s="352"/>
      <c r="AT342" s="352"/>
      <c r="AU342" s="352"/>
      <c r="AV342" s="352"/>
      <c r="AW342" s="352" t="s">
        <v>254</v>
      </c>
    </row>
    <row r="343" spans="2:49" x14ac:dyDescent="0.2">
      <c r="B343" s="460" t="s">
        <v>2465</v>
      </c>
      <c r="C343" s="460">
        <v>1231</v>
      </c>
      <c r="D343" s="460" t="s">
        <v>2295</v>
      </c>
      <c r="E343" s="460" t="s">
        <v>2296</v>
      </c>
      <c r="F343" s="460">
        <v>1</v>
      </c>
      <c r="G343" s="460">
        <v>2</v>
      </c>
      <c r="H343" s="461" t="s">
        <v>700</v>
      </c>
      <c r="I343" s="461" t="s">
        <v>872</v>
      </c>
      <c r="J343" s="461" t="s">
        <v>700</v>
      </c>
      <c r="K343" s="594"/>
      <c r="L343" s="594"/>
      <c r="M343" s="352">
        <v>1000</v>
      </c>
      <c r="N343" s="352" t="s">
        <v>698</v>
      </c>
      <c r="O343" s="460">
        <v>1231</v>
      </c>
      <c r="P343" s="460" t="s">
        <v>726</v>
      </c>
      <c r="Q343" s="460" t="s">
        <v>2266</v>
      </c>
      <c r="R343" s="460">
        <v>1231</v>
      </c>
      <c r="S343" s="460" t="s">
        <v>2296</v>
      </c>
      <c r="T343" s="462">
        <v>1</v>
      </c>
      <c r="U343" s="460" t="s">
        <v>2296</v>
      </c>
      <c r="V343" s="475">
        <v>0</v>
      </c>
      <c r="W343" s="463" t="s">
        <v>2267</v>
      </c>
      <c r="X343" s="463" t="s">
        <v>2267</v>
      </c>
      <c r="Y343" s="463" t="s">
        <v>2268</v>
      </c>
      <c r="Z343" s="463"/>
      <c r="AA343" s="463"/>
      <c r="AB343" s="464">
        <v>1455.312940694545</v>
      </c>
      <c r="AC343" s="465">
        <v>0.53335434448075891</v>
      </c>
      <c r="AD343" s="465">
        <v>8.5010251673051193E-2</v>
      </c>
      <c r="AE343" s="476">
        <v>1455.312940694545</v>
      </c>
      <c r="AF343" s="467">
        <v>0.53335434448075891</v>
      </c>
      <c r="AG343" s="468">
        <v>9.4493525603125086E-2</v>
      </c>
      <c r="AH343" s="218">
        <v>1455.312940694545</v>
      </c>
      <c r="AI343" s="470">
        <v>0.53335434448075891</v>
      </c>
      <c r="AJ343" s="471">
        <v>8.6814282561678557E-2</v>
      </c>
      <c r="AK343" s="218">
        <v>1455.312940694545</v>
      </c>
      <c r="AL343" s="470">
        <v>0.53335434448075891</v>
      </c>
      <c r="AM343" s="471">
        <v>8.6814282561678557E-2</v>
      </c>
      <c r="AN343" s="477">
        <v>0</v>
      </c>
      <c r="AO343" s="473">
        <v>0</v>
      </c>
      <c r="AP343" s="474">
        <v>0</v>
      </c>
      <c r="AQ343" s="352"/>
      <c r="AR343" s="352"/>
      <c r="AS343" s="352"/>
      <c r="AT343" s="352"/>
      <c r="AU343" s="352"/>
      <c r="AV343" s="352"/>
      <c r="AW343" s="352" t="s">
        <v>254</v>
      </c>
    </row>
    <row r="344" spans="2:49" x14ac:dyDescent="0.2">
      <c r="B344" s="460" t="s">
        <v>2466</v>
      </c>
      <c r="C344" s="460">
        <v>1231</v>
      </c>
      <c r="D344" s="460" t="s">
        <v>2298</v>
      </c>
      <c r="E344" s="460" t="s">
        <v>2299</v>
      </c>
      <c r="F344" s="460">
        <v>2</v>
      </c>
      <c r="G344" s="460">
        <v>2</v>
      </c>
      <c r="H344" s="461" t="s">
        <v>700</v>
      </c>
      <c r="I344" s="461" t="s">
        <v>872</v>
      </c>
      <c r="J344" s="461" t="s">
        <v>700</v>
      </c>
      <c r="K344" s="594"/>
      <c r="L344" s="594"/>
      <c r="M344" s="352">
        <v>1000</v>
      </c>
      <c r="N344" s="352" t="s">
        <v>698</v>
      </c>
      <c r="O344" s="460">
        <v>1231</v>
      </c>
      <c r="P344" s="460" t="s">
        <v>726</v>
      </c>
      <c r="Q344" s="460" t="s">
        <v>2266</v>
      </c>
      <c r="R344" s="460">
        <v>1231</v>
      </c>
      <c r="S344" s="460" t="s">
        <v>2296</v>
      </c>
      <c r="T344" s="462">
        <v>0.55517361979372948</v>
      </c>
      <c r="U344" s="460" t="s">
        <v>2299</v>
      </c>
      <c r="V344" s="475">
        <v>0</v>
      </c>
      <c r="W344" s="463" t="s">
        <v>2267</v>
      </c>
      <c r="X344" s="463" t="s">
        <v>2267</v>
      </c>
      <c r="Y344" s="463" t="s">
        <v>2268</v>
      </c>
      <c r="Z344" s="463"/>
      <c r="AA344" s="463"/>
      <c r="AB344" s="464">
        <v>273.81500561388509</v>
      </c>
      <c r="AC344" s="465">
        <v>0.20847796865918206</v>
      </c>
      <c r="AD344" s="465">
        <v>8.2850789354507348E-2</v>
      </c>
      <c r="AE344" s="476">
        <v>273.81500561388509</v>
      </c>
      <c r="AF344" s="467">
        <v>0.20847796865918206</v>
      </c>
      <c r="AG344" s="468">
        <v>9.2974578315609499E-2</v>
      </c>
      <c r="AH344" s="218">
        <v>388.90339683939334</v>
      </c>
      <c r="AI344" s="470">
        <v>0.29610426205809465</v>
      </c>
      <c r="AJ344" s="471">
        <v>9.1581919258991548E-2</v>
      </c>
      <c r="AK344" s="218">
        <v>388.90339683939334</v>
      </c>
      <c r="AL344" s="470">
        <v>0.29610426205809465</v>
      </c>
      <c r="AM344" s="471">
        <v>9.1581919258991548E-2</v>
      </c>
      <c r="AN344" s="477">
        <v>0</v>
      </c>
      <c r="AO344" s="473">
        <v>0</v>
      </c>
      <c r="AP344" s="474">
        <v>0</v>
      </c>
      <c r="AQ344" s="352"/>
      <c r="AR344" s="352"/>
      <c r="AS344" s="352"/>
      <c r="AT344" s="352"/>
      <c r="AU344" s="352"/>
      <c r="AV344" s="352"/>
      <c r="AW344" s="352" t="s">
        <v>254</v>
      </c>
    </row>
    <row r="345" spans="2:49" x14ac:dyDescent="0.2">
      <c r="B345" s="460" t="s">
        <v>2467</v>
      </c>
      <c r="C345" s="460">
        <v>1231</v>
      </c>
      <c r="D345" s="460" t="s">
        <v>2301</v>
      </c>
      <c r="E345" s="460" t="s">
        <v>2302</v>
      </c>
      <c r="F345" s="460">
        <v>3</v>
      </c>
      <c r="G345" s="460">
        <v>2</v>
      </c>
      <c r="H345" s="461" t="s">
        <v>700</v>
      </c>
      <c r="I345" s="461" t="s">
        <v>872</v>
      </c>
      <c r="J345" s="461" t="s">
        <v>700</v>
      </c>
      <c r="K345" s="594"/>
      <c r="L345" s="594"/>
      <c r="M345" s="352">
        <v>1000</v>
      </c>
      <c r="N345" s="352" t="s">
        <v>698</v>
      </c>
      <c r="O345" s="460">
        <v>1231</v>
      </c>
      <c r="P345" s="460" t="s">
        <v>726</v>
      </c>
      <c r="Q345" s="460" t="s">
        <v>2266</v>
      </c>
      <c r="R345" s="460">
        <v>1231</v>
      </c>
      <c r="S345" s="460" t="s">
        <v>2296</v>
      </c>
      <c r="T345" s="462">
        <v>0.28481449642268464</v>
      </c>
      <c r="U345" s="460" t="s">
        <v>2302</v>
      </c>
      <c r="V345" s="475">
        <v>0</v>
      </c>
      <c r="W345" s="463" t="s">
        <v>2267</v>
      </c>
      <c r="X345" s="463" t="s">
        <v>2267</v>
      </c>
      <c r="Y345" s="463" t="s">
        <v>2268</v>
      </c>
      <c r="Z345" s="463"/>
      <c r="AA345" s="463"/>
      <c r="AB345" s="464">
        <v>26.77184223697574</v>
      </c>
      <c r="AC345" s="465">
        <v>6.6424721230348427E-2</v>
      </c>
      <c r="AD345" s="465">
        <v>5.2074923850387873E-2</v>
      </c>
      <c r="AE345" s="476">
        <v>26.77184223697574</v>
      </c>
      <c r="AF345" s="467">
        <v>6.6424721230348427E-2</v>
      </c>
      <c r="AG345" s="468">
        <v>5.8763347257134627E-2</v>
      </c>
      <c r="AH345" s="218">
        <v>61.224668710773706</v>
      </c>
      <c r="AI345" s="470">
        <v>0.15190704903813843</v>
      </c>
      <c r="AJ345" s="471">
        <v>6.3558487104867306E-2</v>
      </c>
      <c r="AK345" s="218">
        <v>61.224668710773706</v>
      </c>
      <c r="AL345" s="470">
        <v>0.15190704903813843</v>
      </c>
      <c r="AM345" s="471">
        <v>6.3558487104867306E-2</v>
      </c>
      <c r="AN345" s="477">
        <v>0</v>
      </c>
      <c r="AO345" s="473">
        <v>0</v>
      </c>
      <c r="AP345" s="474">
        <v>0</v>
      </c>
      <c r="AQ345" s="352"/>
      <c r="AR345" s="352"/>
      <c r="AS345" s="352"/>
      <c r="AT345" s="352"/>
      <c r="AU345" s="352"/>
      <c r="AV345" s="352"/>
      <c r="AW345" s="352" t="s">
        <v>254</v>
      </c>
    </row>
    <row r="346" spans="2:49" x14ac:dyDescent="0.2">
      <c r="B346" s="460" t="s">
        <v>2468</v>
      </c>
      <c r="C346" s="460">
        <v>1231</v>
      </c>
      <c r="D346" s="460" t="s">
        <v>2304</v>
      </c>
      <c r="E346" s="460" t="s">
        <v>2305</v>
      </c>
      <c r="F346" s="460">
        <v>4</v>
      </c>
      <c r="G346" s="460">
        <v>2</v>
      </c>
      <c r="H346" s="461" t="s">
        <v>700</v>
      </c>
      <c r="I346" s="461" t="s">
        <v>872</v>
      </c>
      <c r="J346" s="461" t="s">
        <v>700</v>
      </c>
      <c r="K346" s="594"/>
      <c r="L346" s="594"/>
      <c r="M346" s="352">
        <v>1000</v>
      </c>
      <c r="N346" s="352" t="s">
        <v>698</v>
      </c>
      <c r="O346" s="460">
        <v>1231</v>
      </c>
      <c r="P346" s="460" t="s">
        <v>726</v>
      </c>
      <c r="Q346" s="460" t="s">
        <v>2266</v>
      </c>
      <c r="R346" s="460">
        <v>1231</v>
      </c>
      <c r="S346" s="460" t="s">
        <v>2305</v>
      </c>
      <c r="T346" s="462">
        <v>1</v>
      </c>
      <c r="U346" s="460" t="s">
        <v>2305</v>
      </c>
      <c r="V346" s="475">
        <v>0</v>
      </c>
      <c r="W346" s="463" t="s">
        <v>2278</v>
      </c>
      <c r="X346" s="463" t="s">
        <v>2278</v>
      </c>
      <c r="Y346" s="463" t="s">
        <v>2268</v>
      </c>
      <c r="Z346" s="463"/>
      <c r="AA346" s="463"/>
      <c r="AB346" s="464">
        <v>2.434063281280276</v>
      </c>
      <c r="AC346" s="465">
        <v>5.6731848718115097E-3</v>
      </c>
      <c r="AD346" s="465">
        <v>0.19271232110396769</v>
      </c>
      <c r="AE346" s="476">
        <v>2.434063281280276</v>
      </c>
      <c r="AF346" s="467">
        <v>5.6731848718115097E-3</v>
      </c>
      <c r="AG346" s="468">
        <v>0.21399146793076648</v>
      </c>
      <c r="AH346" s="218">
        <v>2.434063281280276</v>
      </c>
      <c r="AI346" s="470">
        <v>5.6731848718115097E-3</v>
      </c>
      <c r="AJ346" s="471">
        <v>0.21310344377692877</v>
      </c>
      <c r="AK346" s="218">
        <v>2.434063281280276</v>
      </c>
      <c r="AL346" s="470">
        <v>5.6731848718115097E-3</v>
      </c>
      <c r="AM346" s="471">
        <v>0.21310344377692877</v>
      </c>
      <c r="AN346" s="477">
        <v>0</v>
      </c>
      <c r="AO346" s="473">
        <v>0</v>
      </c>
      <c r="AP346" s="474">
        <v>0</v>
      </c>
      <c r="AQ346" s="352"/>
      <c r="AR346" s="352"/>
      <c r="AS346" s="352"/>
      <c r="AT346" s="352"/>
      <c r="AU346" s="352"/>
      <c r="AV346" s="352"/>
      <c r="AW346" s="352" t="s">
        <v>254</v>
      </c>
    </row>
    <row r="347" spans="2:49" x14ac:dyDescent="0.2">
      <c r="B347" s="460" t="s">
        <v>2465</v>
      </c>
      <c r="C347" s="460">
        <v>1231</v>
      </c>
      <c r="D347" s="460" t="s">
        <v>2306</v>
      </c>
      <c r="E347" s="460" t="s">
        <v>2296</v>
      </c>
      <c r="F347" s="460">
        <v>1</v>
      </c>
      <c r="G347" s="460">
        <v>2</v>
      </c>
      <c r="H347" s="461" t="s">
        <v>712</v>
      </c>
      <c r="I347" s="461" t="s">
        <v>713</v>
      </c>
      <c r="J347" s="461" t="s">
        <v>712</v>
      </c>
      <c r="K347" s="594"/>
      <c r="L347" s="594"/>
      <c r="M347" s="352">
        <v>1000</v>
      </c>
      <c r="N347" s="352" t="s">
        <v>698</v>
      </c>
      <c r="O347" s="460">
        <v>1231</v>
      </c>
      <c r="P347" s="460" t="s">
        <v>726</v>
      </c>
      <c r="Q347" s="460" t="s">
        <v>2280</v>
      </c>
      <c r="R347" s="460">
        <v>1231</v>
      </c>
      <c r="S347" s="460" t="s">
        <v>2296</v>
      </c>
      <c r="T347" s="462">
        <v>1</v>
      </c>
      <c r="U347" s="460" t="s">
        <v>2296</v>
      </c>
      <c r="V347" s="475">
        <v>0</v>
      </c>
      <c r="W347" s="463" t="s">
        <v>713</v>
      </c>
      <c r="X347" s="463" t="s">
        <v>713</v>
      </c>
      <c r="Y347" s="463" t="s">
        <v>713</v>
      </c>
      <c r="Z347" s="463"/>
      <c r="AA347" s="463"/>
      <c r="AB347" s="464">
        <v>1273.291327282963</v>
      </c>
      <c r="AC347" s="465">
        <v>0.46664565551924098</v>
      </c>
      <c r="AD347" s="465">
        <v>1.1012667249256081E-2</v>
      </c>
      <c r="AE347" s="476">
        <v>1273.2913272829633</v>
      </c>
      <c r="AF347" s="467">
        <v>0.46664565551924109</v>
      </c>
      <c r="AG347" s="468">
        <v>1.0851419880658348E-2</v>
      </c>
      <c r="AH347" s="218">
        <v>1273.2913272829633</v>
      </c>
      <c r="AI347" s="470">
        <v>0.46664565551924109</v>
      </c>
      <c r="AJ347" s="471">
        <v>1.0978887148932919E-2</v>
      </c>
      <c r="AK347" s="218">
        <v>1273.2913272829633</v>
      </c>
      <c r="AL347" s="470">
        <v>0.46664565551924109</v>
      </c>
      <c r="AM347" s="471">
        <v>1.0978887148932919E-2</v>
      </c>
      <c r="AN347" s="477">
        <v>1273.2913272829633</v>
      </c>
      <c r="AO347" s="473">
        <v>0.46664565551924109</v>
      </c>
      <c r="AP347" s="474">
        <v>1.0976192778888996E-2</v>
      </c>
      <c r="AQ347" s="352"/>
      <c r="AR347" s="352"/>
      <c r="AS347" s="352"/>
      <c r="AT347" s="352"/>
      <c r="AU347" s="352"/>
      <c r="AV347" s="352"/>
      <c r="AW347" s="352" t="s">
        <v>254</v>
      </c>
    </row>
    <row r="348" spans="2:49" x14ac:dyDescent="0.2">
      <c r="B348" s="460" t="s">
        <v>2466</v>
      </c>
      <c r="C348" s="460">
        <v>1231</v>
      </c>
      <c r="D348" s="460" t="s">
        <v>2307</v>
      </c>
      <c r="E348" s="460" t="s">
        <v>2299</v>
      </c>
      <c r="F348" s="460">
        <v>2</v>
      </c>
      <c r="G348" s="460">
        <v>2</v>
      </c>
      <c r="H348" s="461" t="s">
        <v>712</v>
      </c>
      <c r="I348" s="461" t="s">
        <v>713</v>
      </c>
      <c r="J348" s="461" t="s">
        <v>712</v>
      </c>
      <c r="K348" s="594"/>
      <c r="L348" s="594"/>
      <c r="M348" s="352">
        <v>1000</v>
      </c>
      <c r="N348" s="352" t="s">
        <v>698</v>
      </c>
      <c r="O348" s="460">
        <v>1231</v>
      </c>
      <c r="P348" s="460" t="s">
        <v>726</v>
      </c>
      <c r="Q348" s="460" t="s">
        <v>2280</v>
      </c>
      <c r="R348" s="460">
        <v>1231</v>
      </c>
      <c r="S348" s="460" t="s">
        <v>2296</v>
      </c>
      <c r="T348" s="462">
        <v>0.55517361979372948</v>
      </c>
      <c r="U348" s="460" t="s">
        <v>2299</v>
      </c>
      <c r="V348" s="475">
        <v>0</v>
      </c>
      <c r="W348" s="463" t="s">
        <v>713</v>
      </c>
      <c r="X348" s="463" t="s">
        <v>713</v>
      </c>
      <c r="Y348" s="463" t="s">
        <v>713</v>
      </c>
      <c r="Z348" s="463"/>
      <c r="AA348" s="463"/>
      <c r="AB348" s="464">
        <v>1039.5851938168541</v>
      </c>
      <c r="AC348" s="465">
        <v>0.791522031340818</v>
      </c>
      <c r="AD348" s="465">
        <v>1.2024624675684192E-2</v>
      </c>
      <c r="AE348" s="476">
        <v>1039.5851938168541</v>
      </c>
      <c r="AF348" s="467">
        <v>0.791522031340818</v>
      </c>
      <c r="AG348" s="468">
        <v>1.1974780037361906E-2</v>
      </c>
      <c r="AH348" s="218">
        <v>924.49680259134573</v>
      </c>
      <c r="AI348" s="470">
        <v>0.7038957379419053</v>
      </c>
      <c r="AJ348" s="471">
        <v>1.083131325921193E-2</v>
      </c>
      <c r="AK348" s="218">
        <v>924.49680259134573</v>
      </c>
      <c r="AL348" s="470">
        <v>0.7038957379419053</v>
      </c>
      <c r="AM348" s="471">
        <v>1.083131325921193E-2</v>
      </c>
      <c r="AN348" s="477">
        <v>924.49680259134573</v>
      </c>
      <c r="AO348" s="473">
        <v>0.7038957379419053</v>
      </c>
      <c r="AP348" s="474">
        <v>1.0829945971624117E-2</v>
      </c>
      <c r="AQ348" s="352"/>
      <c r="AR348" s="352"/>
      <c r="AS348" s="352"/>
      <c r="AT348" s="352"/>
      <c r="AU348" s="352"/>
      <c r="AV348" s="352"/>
      <c r="AW348" s="352" t="s">
        <v>254</v>
      </c>
    </row>
    <row r="349" spans="2:49" x14ac:dyDescent="0.2">
      <c r="B349" s="460" t="s">
        <v>2467</v>
      </c>
      <c r="C349" s="460">
        <v>1231</v>
      </c>
      <c r="D349" s="460" t="s">
        <v>2308</v>
      </c>
      <c r="E349" s="460" t="s">
        <v>2302</v>
      </c>
      <c r="F349" s="460">
        <v>3</v>
      </c>
      <c r="G349" s="460">
        <v>2</v>
      </c>
      <c r="H349" s="461" t="s">
        <v>712</v>
      </c>
      <c r="I349" s="461" t="s">
        <v>713</v>
      </c>
      <c r="J349" s="461" t="s">
        <v>712</v>
      </c>
      <c r="K349" s="594"/>
      <c r="L349" s="594"/>
      <c r="M349" s="352">
        <v>1000</v>
      </c>
      <c r="N349" s="352" t="s">
        <v>698</v>
      </c>
      <c r="O349" s="460">
        <v>1231</v>
      </c>
      <c r="P349" s="460" t="s">
        <v>726</v>
      </c>
      <c r="Q349" s="460" t="s">
        <v>2280</v>
      </c>
      <c r="R349" s="460">
        <v>1231</v>
      </c>
      <c r="S349" s="460" t="s">
        <v>2296</v>
      </c>
      <c r="T349" s="462">
        <v>0.28481449642268464</v>
      </c>
      <c r="U349" s="460" t="s">
        <v>2302</v>
      </c>
      <c r="V349" s="475">
        <v>0</v>
      </c>
      <c r="W349" s="463" t="s">
        <v>713</v>
      </c>
      <c r="X349" s="463" t="s">
        <v>713</v>
      </c>
      <c r="Y349" s="463" t="s">
        <v>713</v>
      </c>
      <c r="Z349" s="463"/>
      <c r="AA349" s="463"/>
      <c r="AB349" s="464">
        <v>376.2684978818188</v>
      </c>
      <c r="AC349" s="465">
        <v>0.93357527876965163</v>
      </c>
      <c r="AD349" s="465">
        <v>1.094471034600481E-2</v>
      </c>
      <c r="AE349" s="476">
        <v>376.2684978818188</v>
      </c>
      <c r="AF349" s="467">
        <v>0.93357527876965163</v>
      </c>
      <c r="AG349" s="468">
        <v>1.0926113514055879E-2</v>
      </c>
      <c r="AH349" s="218">
        <v>341.81567140802082</v>
      </c>
      <c r="AI349" s="470">
        <v>0.84809295096186155</v>
      </c>
      <c r="AJ349" s="471">
        <v>1.0074187787750022E-2</v>
      </c>
      <c r="AK349" s="218">
        <v>341.81567140802082</v>
      </c>
      <c r="AL349" s="470">
        <v>0.84809295096186155</v>
      </c>
      <c r="AM349" s="471">
        <v>1.0074187787750022E-2</v>
      </c>
      <c r="AN349" s="477">
        <v>341.81567140802082</v>
      </c>
      <c r="AO349" s="473">
        <v>0.84809295096186155</v>
      </c>
      <c r="AP349" s="474">
        <v>1.0082947853450607E-2</v>
      </c>
      <c r="AQ349" s="352"/>
      <c r="AR349" s="352"/>
      <c r="AS349" s="352"/>
      <c r="AT349" s="352"/>
      <c r="AU349" s="352"/>
      <c r="AV349" s="352"/>
      <c r="AW349" s="352" t="s">
        <v>254</v>
      </c>
    </row>
    <row r="350" spans="2:49" x14ac:dyDescent="0.2">
      <c r="B350" s="460" t="s">
        <v>2468</v>
      </c>
      <c r="C350" s="460">
        <v>1231</v>
      </c>
      <c r="D350" s="460" t="s">
        <v>2309</v>
      </c>
      <c r="E350" s="460" t="s">
        <v>2305</v>
      </c>
      <c r="F350" s="460">
        <v>4</v>
      </c>
      <c r="G350" s="460">
        <v>2</v>
      </c>
      <c r="H350" s="461" t="s">
        <v>712</v>
      </c>
      <c r="I350" s="461" t="s">
        <v>713</v>
      </c>
      <c r="J350" s="461" t="s">
        <v>712</v>
      </c>
      <c r="K350" s="594"/>
      <c r="L350" s="594"/>
      <c r="M350" s="352">
        <v>1000</v>
      </c>
      <c r="N350" s="352" t="s">
        <v>698</v>
      </c>
      <c r="O350" s="460">
        <v>1231</v>
      </c>
      <c r="P350" s="460" t="s">
        <v>726</v>
      </c>
      <c r="Q350" s="460" t="s">
        <v>2280</v>
      </c>
      <c r="R350" s="460">
        <v>1231</v>
      </c>
      <c r="S350" s="460" t="s">
        <v>2305</v>
      </c>
      <c r="T350" s="462">
        <v>1</v>
      </c>
      <c r="U350" s="460" t="s">
        <v>2305</v>
      </c>
      <c r="V350" s="475">
        <v>0</v>
      </c>
      <c r="W350" s="463" t="s">
        <v>713</v>
      </c>
      <c r="X350" s="463" t="s">
        <v>713</v>
      </c>
      <c r="Y350" s="463" t="s">
        <v>713</v>
      </c>
      <c r="Z350" s="463"/>
      <c r="AA350" s="463"/>
      <c r="AB350" s="464">
        <v>426.61299516634148</v>
      </c>
      <c r="AC350" s="465">
        <v>0.99432681512818855</v>
      </c>
      <c r="AD350" s="465">
        <v>1.0895654266532976E-2</v>
      </c>
      <c r="AE350" s="476">
        <v>426.61299516634148</v>
      </c>
      <c r="AF350" s="467">
        <v>0.99432681512818855</v>
      </c>
      <c r="AG350" s="468">
        <v>1.0895304773314799E-2</v>
      </c>
      <c r="AH350" s="218">
        <v>426.61299516634148</v>
      </c>
      <c r="AI350" s="470">
        <v>0.99432681512818855</v>
      </c>
      <c r="AJ350" s="471">
        <v>1.0895317962407759E-2</v>
      </c>
      <c r="AK350" s="218">
        <v>426.61299516634148</v>
      </c>
      <c r="AL350" s="470">
        <v>0.99432681512818855</v>
      </c>
      <c r="AM350" s="471">
        <v>1.0895317962407759E-2</v>
      </c>
      <c r="AN350" s="477">
        <v>426.61299516634148</v>
      </c>
      <c r="AO350" s="473">
        <v>0.99432681512818855</v>
      </c>
      <c r="AP350" s="474">
        <v>1.0895331289548373E-2</v>
      </c>
      <c r="AQ350" s="352"/>
      <c r="AR350" s="352"/>
      <c r="AS350" s="352"/>
      <c r="AT350" s="352"/>
      <c r="AU350" s="352"/>
      <c r="AV350" s="352"/>
      <c r="AW350" s="352" t="s">
        <v>254</v>
      </c>
    </row>
    <row r="351" spans="2:49" x14ac:dyDescent="0.2">
      <c r="B351" s="460" t="s">
        <v>2465</v>
      </c>
      <c r="C351" s="460">
        <v>1231</v>
      </c>
      <c r="D351" s="460" t="s">
        <v>2310</v>
      </c>
      <c r="E351" s="460" t="s">
        <v>2296</v>
      </c>
      <c r="F351" s="460">
        <v>1</v>
      </c>
      <c r="G351" s="460">
        <v>2</v>
      </c>
      <c r="H351" s="461" t="s">
        <v>746</v>
      </c>
      <c r="I351" s="461" t="s">
        <v>762</v>
      </c>
      <c r="J351" s="461" t="s">
        <v>700</v>
      </c>
      <c r="K351" s="594"/>
      <c r="L351" s="594"/>
      <c r="M351" s="352">
        <v>1000</v>
      </c>
      <c r="N351" s="352" t="s">
        <v>698</v>
      </c>
      <c r="O351" s="460">
        <v>1231</v>
      </c>
      <c r="P351" s="460" t="s">
        <v>726</v>
      </c>
      <c r="Q351" s="460" t="s">
        <v>2266</v>
      </c>
      <c r="R351" s="460">
        <v>1231</v>
      </c>
      <c r="S351" s="460" t="s">
        <v>2296</v>
      </c>
      <c r="T351" s="462">
        <v>1</v>
      </c>
      <c r="U351" s="460" t="s">
        <v>2296</v>
      </c>
      <c r="V351" s="475">
        <v>0</v>
      </c>
      <c r="W351" s="463" t="s">
        <v>2268</v>
      </c>
      <c r="X351" s="463" t="s">
        <v>2268</v>
      </c>
      <c r="Y351" s="463" t="s">
        <v>2267</v>
      </c>
      <c r="Z351" s="463"/>
      <c r="AA351" s="463"/>
      <c r="AB351" s="464">
        <v>0</v>
      </c>
      <c r="AC351" s="465">
        <v>0</v>
      </c>
      <c r="AD351" s="465">
        <v>0</v>
      </c>
      <c r="AE351" s="476">
        <v>0</v>
      </c>
      <c r="AF351" s="467">
        <v>0</v>
      </c>
      <c r="AG351" s="468">
        <v>0</v>
      </c>
      <c r="AH351" s="218">
        <v>0</v>
      </c>
      <c r="AI351" s="470">
        <v>0</v>
      </c>
      <c r="AJ351" s="471">
        <v>0</v>
      </c>
      <c r="AK351" s="218">
        <v>0</v>
      </c>
      <c r="AL351" s="470">
        <v>0</v>
      </c>
      <c r="AM351" s="471">
        <v>0</v>
      </c>
      <c r="AN351" s="477">
        <v>1455.312940694545</v>
      </c>
      <c r="AO351" s="473">
        <v>0.53335434448075891</v>
      </c>
      <c r="AP351" s="474">
        <v>0.10810861663304967</v>
      </c>
      <c r="AQ351" s="352"/>
      <c r="AR351" s="352"/>
      <c r="AS351" s="352"/>
      <c r="AT351" s="352"/>
      <c r="AU351" s="352"/>
      <c r="AV351" s="352"/>
      <c r="AW351" s="352" t="s">
        <v>254</v>
      </c>
    </row>
    <row r="352" spans="2:49" x14ac:dyDescent="0.2">
      <c r="B352" s="460" t="s">
        <v>2466</v>
      </c>
      <c r="C352" s="460">
        <v>1231</v>
      </c>
      <c r="D352" s="460" t="s">
        <v>2311</v>
      </c>
      <c r="E352" s="460" t="s">
        <v>2299</v>
      </c>
      <c r="F352" s="460">
        <v>2</v>
      </c>
      <c r="G352" s="460">
        <v>2</v>
      </c>
      <c r="H352" s="461" t="s">
        <v>746</v>
      </c>
      <c r="I352" s="461" t="s">
        <v>762</v>
      </c>
      <c r="J352" s="461" t="s">
        <v>700</v>
      </c>
      <c r="K352" s="594"/>
      <c r="L352" s="594"/>
      <c r="M352" s="352">
        <v>1000</v>
      </c>
      <c r="N352" s="352" t="s">
        <v>698</v>
      </c>
      <c r="O352" s="460">
        <v>1231</v>
      </c>
      <c r="P352" s="460" t="s">
        <v>726</v>
      </c>
      <c r="Q352" s="460" t="s">
        <v>2266</v>
      </c>
      <c r="R352" s="460">
        <v>1231</v>
      </c>
      <c r="S352" s="460" t="s">
        <v>2296</v>
      </c>
      <c r="T352" s="462">
        <v>0.55517361979372948</v>
      </c>
      <c r="U352" s="460" t="s">
        <v>2299</v>
      </c>
      <c r="V352" s="475">
        <v>0</v>
      </c>
      <c r="W352" s="463" t="s">
        <v>2268</v>
      </c>
      <c r="X352" s="463" t="s">
        <v>2268</v>
      </c>
      <c r="Y352" s="463" t="s">
        <v>2267</v>
      </c>
      <c r="Z352" s="463"/>
      <c r="AA352" s="463"/>
      <c r="AB352" s="464">
        <v>0</v>
      </c>
      <c r="AC352" s="465">
        <v>0</v>
      </c>
      <c r="AD352" s="465">
        <v>0</v>
      </c>
      <c r="AE352" s="476">
        <v>0</v>
      </c>
      <c r="AF352" s="467">
        <v>0</v>
      </c>
      <c r="AG352" s="468">
        <v>0</v>
      </c>
      <c r="AH352" s="218">
        <v>0</v>
      </c>
      <c r="AI352" s="470">
        <v>0</v>
      </c>
      <c r="AJ352" s="471">
        <v>0</v>
      </c>
      <c r="AK352" s="218">
        <v>0</v>
      </c>
      <c r="AL352" s="470">
        <v>0</v>
      </c>
      <c r="AM352" s="471">
        <v>0</v>
      </c>
      <c r="AN352" s="477">
        <v>388.90339683939334</v>
      </c>
      <c r="AO352" s="473">
        <v>0.29610426205809465</v>
      </c>
      <c r="AP352" s="474">
        <v>0.12321181121514491</v>
      </c>
      <c r="AQ352" s="352"/>
      <c r="AR352" s="352"/>
      <c r="AS352" s="352"/>
      <c r="AT352" s="352"/>
      <c r="AU352" s="352"/>
      <c r="AV352" s="352"/>
      <c r="AW352" s="352" t="s">
        <v>254</v>
      </c>
    </row>
    <row r="353" spans="2:49" x14ac:dyDescent="0.2">
      <c r="B353" s="460" t="s">
        <v>2467</v>
      </c>
      <c r="C353" s="460">
        <v>1231</v>
      </c>
      <c r="D353" s="460" t="s">
        <v>2312</v>
      </c>
      <c r="E353" s="460" t="s">
        <v>2302</v>
      </c>
      <c r="F353" s="460">
        <v>3</v>
      </c>
      <c r="G353" s="460">
        <v>2</v>
      </c>
      <c r="H353" s="461" t="s">
        <v>746</v>
      </c>
      <c r="I353" s="461" t="s">
        <v>762</v>
      </c>
      <c r="J353" s="461" t="s">
        <v>700</v>
      </c>
      <c r="K353" s="594"/>
      <c r="L353" s="594"/>
      <c r="M353" s="352">
        <v>1000</v>
      </c>
      <c r="N353" s="352" t="s">
        <v>698</v>
      </c>
      <c r="O353" s="460">
        <v>1231</v>
      </c>
      <c r="P353" s="460" t="s">
        <v>726</v>
      </c>
      <c r="Q353" s="460" t="s">
        <v>2266</v>
      </c>
      <c r="R353" s="460">
        <v>1231</v>
      </c>
      <c r="S353" s="460" t="s">
        <v>2296</v>
      </c>
      <c r="T353" s="462">
        <v>0.28481449642268464</v>
      </c>
      <c r="U353" s="460" t="s">
        <v>2302</v>
      </c>
      <c r="V353" s="475">
        <v>0</v>
      </c>
      <c r="W353" s="463" t="s">
        <v>2268</v>
      </c>
      <c r="X353" s="463" t="s">
        <v>2268</v>
      </c>
      <c r="Y353" s="463" t="s">
        <v>2267</v>
      </c>
      <c r="Z353" s="463"/>
      <c r="AA353" s="463"/>
      <c r="AB353" s="464">
        <v>0</v>
      </c>
      <c r="AC353" s="465">
        <v>0</v>
      </c>
      <c r="AD353" s="465">
        <v>0</v>
      </c>
      <c r="AE353" s="476">
        <v>0</v>
      </c>
      <c r="AF353" s="467">
        <v>0</v>
      </c>
      <c r="AG353" s="468">
        <v>0</v>
      </c>
      <c r="AH353" s="218">
        <v>0</v>
      </c>
      <c r="AI353" s="470">
        <v>0</v>
      </c>
      <c r="AJ353" s="471">
        <v>0</v>
      </c>
      <c r="AK353" s="218">
        <v>0</v>
      </c>
      <c r="AL353" s="470">
        <v>0</v>
      </c>
      <c r="AM353" s="471">
        <v>0</v>
      </c>
      <c r="AN353" s="477">
        <v>61.224668710773706</v>
      </c>
      <c r="AO353" s="473">
        <v>0.15190704903813843</v>
      </c>
      <c r="AP353" s="474">
        <v>8.065896784774873E-2</v>
      </c>
      <c r="AQ353" s="352"/>
      <c r="AR353" s="352"/>
      <c r="AS353" s="352"/>
      <c r="AT353" s="352"/>
      <c r="AU353" s="352"/>
      <c r="AV353" s="352"/>
      <c r="AW353" s="352" t="s">
        <v>254</v>
      </c>
    </row>
    <row r="354" spans="2:49" x14ac:dyDescent="0.2">
      <c r="B354" s="460" t="s">
        <v>2468</v>
      </c>
      <c r="C354" s="460">
        <v>1231</v>
      </c>
      <c r="D354" s="460" t="s">
        <v>2313</v>
      </c>
      <c r="E354" s="460" t="s">
        <v>2305</v>
      </c>
      <c r="F354" s="460">
        <v>4</v>
      </c>
      <c r="G354" s="460">
        <v>2</v>
      </c>
      <c r="H354" s="461" t="s">
        <v>746</v>
      </c>
      <c r="I354" s="461" t="s">
        <v>762</v>
      </c>
      <c r="J354" s="461" t="s">
        <v>700</v>
      </c>
      <c r="K354" s="594"/>
      <c r="L354" s="594"/>
      <c r="M354" s="352">
        <v>1000</v>
      </c>
      <c r="N354" s="352" t="s">
        <v>698</v>
      </c>
      <c r="O354" s="460">
        <v>1231</v>
      </c>
      <c r="P354" s="460" t="s">
        <v>726</v>
      </c>
      <c r="Q354" s="460" t="s">
        <v>2266</v>
      </c>
      <c r="R354" s="460">
        <v>1231</v>
      </c>
      <c r="S354" s="460" t="s">
        <v>2305</v>
      </c>
      <c r="T354" s="462">
        <v>1</v>
      </c>
      <c r="U354" s="460" t="s">
        <v>2305</v>
      </c>
      <c r="V354" s="475">
        <v>0</v>
      </c>
      <c r="W354" s="463" t="s">
        <v>2268</v>
      </c>
      <c r="X354" s="463" t="s">
        <v>2268</v>
      </c>
      <c r="Y354" s="463" t="s">
        <v>2278</v>
      </c>
      <c r="Z354" s="463"/>
      <c r="AA354" s="463"/>
      <c r="AB354" s="464">
        <v>0</v>
      </c>
      <c r="AC354" s="465">
        <v>0</v>
      </c>
      <c r="AD354" s="465">
        <v>0</v>
      </c>
      <c r="AE354" s="476">
        <v>0</v>
      </c>
      <c r="AF354" s="467">
        <v>0</v>
      </c>
      <c r="AG354" s="468">
        <v>0</v>
      </c>
      <c r="AH354" s="218">
        <v>0</v>
      </c>
      <c r="AI354" s="470">
        <v>0</v>
      </c>
      <c r="AJ354" s="471">
        <v>0</v>
      </c>
      <c r="AK354" s="218">
        <v>0</v>
      </c>
      <c r="AL354" s="470">
        <v>0</v>
      </c>
      <c r="AM354" s="471">
        <v>0</v>
      </c>
      <c r="AN354" s="477">
        <v>2.434063281280276</v>
      </c>
      <c r="AO354" s="473">
        <v>5.6731848718115097E-3</v>
      </c>
      <c r="AP354" s="474">
        <v>0.23757556523734261</v>
      </c>
      <c r="AQ354" s="352"/>
      <c r="AR354" s="352"/>
      <c r="AS354" s="352"/>
      <c r="AT354" s="352"/>
      <c r="AU354" s="352"/>
      <c r="AV354" s="352"/>
      <c r="AW354" s="352" t="s">
        <v>254</v>
      </c>
    </row>
    <row r="355" spans="2:49" x14ac:dyDescent="0.2">
      <c r="B355" s="460" t="s">
        <v>2465</v>
      </c>
      <c r="C355" s="460">
        <v>1231</v>
      </c>
      <c r="D355" s="460" t="s">
        <v>2314</v>
      </c>
      <c r="E355" s="460" t="s">
        <v>2296</v>
      </c>
      <c r="F355" s="460">
        <v>1</v>
      </c>
      <c r="G355" s="460">
        <v>2</v>
      </c>
      <c r="H355" s="461" t="s">
        <v>748</v>
      </c>
      <c r="I355" s="461" t="s">
        <v>765</v>
      </c>
      <c r="J355" s="461" t="s">
        <v>700</v>
      </c>
      <c r="K355" s="594"/>
      <c r="L355" s="594"/>
      <c r="M355" s="352">
        <v>1000</v>
      </c>
      <c r="N355" s="352" t="s">
        <v>698</v>
      </c>
      <c r="O355" s="460">
        <v>1231</v>
      </c>
      <c r="P355" s="460" t="s">
        <v>726</v>
      </c>
      <c r="Q355" s="460" t="s">
        <v>2289</v>
      </c>
      <c r="R355" s="460">
        <v>1231</v>
      </c>
      <c r="S355" s="460" t="s">
        <v>2296</v>
      </c>
      <c r="T355" s="462">
        <v>1</v>
      </c>
      <c r="U355" s="460" t="s">
        <v>2296</v>
      </c>
      <c r="V355" s="475">
        <v>0</v>
      </c>
      <c r="W355" s="463" t="s">
        <v>2268</v>
      </c>
      <c r="X355" s="463" t="s">
        <v>2268</v>
      </c>
      <c r="Y355" s="463" t="s">
        <v>2290</v>
      </c>
      <c r="Z355" s="463"/>
      <c r="AA355" s="463"/>
      <c r="AB355" s="464">
        <v>0</v>
      </c>
      <c r="AC355" s="465">
        <v>0</v>
      </c>
      <c r="AD355" s="465">
        <v>0</v>
      </c>
      <c r="AE355" s="476">
        <v>0</v>
      </c>
      <c r="AF355" s="467">
        <v>0</v>
      </c>
      <c r="AG355" s="468">
        <v>0</v>
      </c>
      <c r="AH355" s="218">
        <v>0</v>
      </c>
      <c r="AI355" s="470">
        <v>0</v>
      </c>
      <c r="AJ355" s="471">
        <v>0</v>
      </c>
      <c r="AK355" s="218">
        <v>0</v>
      </c>
      <c r="AL355" s="470">
        <v>0</v>
      </c>
      <c r="AM355" s="471">
        <v>0</v>
      </c>
      <c r="AN355" s="477">
        <v>0</v>
      </c>
      <c r="AO355" s="473">
        <v>0</v>
      </c>
      <c r="AP355" s="474">
        <v>0</v>
      </c>
      <c r="AQ355" s="352"/>
      <c r="AR355" s="352"/>
      <c r="AS355" s="352"/>
      <c r="AT355" s="352"/>
      <c r="AU355" s="352"/>
      <c r="AV355" s="352"/>
      <c r="AW355" s="352" t="s">
        <v>254</v>
      </c>
    </row>
    <row r="356" spans="2:49" x14ac:dyDescent="0.2">
      <c r="B356" s="460" t="s">
        <v>2466</v>
      </c>
      <c r="C356" s="460">
        <v>1231</v>
      </c>
      <c r="D356" s="460" t="s">
        <v>2315</v>
      </c>
      <c r="E356" s="460" t="s">
        <v>2299</v>
      </c>
      <c r="F356" s="460">
        <v>2</v>
      </c>
      <c r="G356" s="460">
        <v>2</v>
      </c>
      <c r="H356" s="461" t="s">
        <v>748</v>
      </c>
      <c r="I356" s="461" t="s">
        <v>765</v>
      </c>
      <c r="J356" s="461" t="s">
        <v>700</v>
      </c>
      <c r="K356" s="594"/>
      <c r="L356" s="594"/>
      <c r="M356" s="352">
        <v>1000</v>
      </c>
      <c r="N356" s="352" t="s">
        <v>698</v>
      </c>
      <c r="O356" s="460">
        <v>1231</v>
      </c>
      <c r="P356" s="460" t="s">
        <v>726</v>
      </c>
      <c r="Q356" s="460" t="s">
        <v>2289</v>
      </c>
      <c r="R356" s="460">
        <v>1231</v>
      </c>
      <c r="S356" s="460" t="s">
        <v>2296</v>
      </c>
      <c r="T356" s="462">
        <v>0.55517361979372948</v>
      </c>
      <c r="U356" s="460" t="s">
        <v>2299</v>
      </c>
      <c r="V356" s="475">
        <v>0</v>
      </c>
      <c r="W356" s="463" t="s">
        <v>2268</v>
      </c>
      <c r="X356" s="463" t="s">
        <v>2268</v>
      </c>
      <c r="Y356" s="463" t="s">
        <v>2290</v>
      </c>
      <c r="Z356" s="463"/>
      <c r="AA356" s="463"/>
      <c r="AB356" s="464">
        <v>0</v>
      </c>
      <c r="AC356" s="465">
        <v>0</v>
      </c>
      <c r="AD356" s="465">
        <v>0</v>
      </c>
      <c r="AE356" s="476">
        <v>0</v>
      </c>
      <c r="AF356" s="467">
        <v>0</v>
      </c>
      <c r="AG356" s="468">
        <v>0</v>
      </c>
      <c r="AH356" s="218">
        <v>0</v>
      </c>
      <c r="AI356" s="470">
        <v>0</v>
      </c>
      <c r="AJ356" s="471">
        <v>0</v>
      </c>
      <c r="AK356" s="218">
        <v>0</v>
      </c>
      <c r="AL356" s="470">
        <v>0</v>
      </c>
      <c r="AM356" s="471">
        <v>0</v>
      </c>
      <c r="AN356" s="477">
        <v>0</v>
      </c>
      <c r="AO356" s="473">
        <v>0</v>
      </c>
      <c r="AP356" s="474">
        <v>0</v>
      </c>
      <c r="AQ356" s="352"/>
      <c r="AR356" s="352"/>
      <c r="AS356" s="352"/>
      <c r="AT356" s="352"/>
      <c r="AU356" s="352"/>
      <c r="AV356" s="352"/>
      <c r="AW356" s="352" t="s">
        <v>254</v>
      </c>
    </row>
    <row r="357" spans="2:49" x14ac:dyDescent="0.2">
      <c r="B357" s="460" t="s">
        <v>2467</v>
      </c>
      <c r="C357" s="460">
        <v>1231</v>
      </c>
      <c r="D357" s="460" t="s">
        <v>2316</v>
      </c>
      <c r="E357" s="460" t="s">
        <v>2302</v>
      </c>
      <c r="F357" s="460">
        <v>3</v>
      </c>
      <c r="G357" s="460">
        <v>2</v>
      </c>
      <c r="H357" s="461" t="s">
        <v>748</v>
      </c>
      <c r="I357" s="461" t="s">
        <v>765</v>
      </c>
      <c r="J357" s="461" t="s">
        <v>700</v>
      </c>
      <c r="K357" s="594"/>
      <c r="L357" s="594"/>
      <c r="M357" s="352">
        <v>1000</v>
      </c>
      <c r="N357" s="352" t="s">
        <v>698</v>
      </c>
      <c r="O357" s="460">
        <v>1231</v>
      </c>
      <c r="P357" s="460" t="s">
        <v>726</v>
      </c>
      <c r="Q357" s="460" t="s">
        <v>2289</v>
      </c>
      <c r="R357" s="460">
        <v>1231</v>
      </c>
      <c r="S357" s="460" t="s">
        <v>2296</v>
      </c>
      <c r="T357" s="462">
        <v>0.28481449642268464</v>
      </c>
      <c r="U357" s="460" t="s">
        <v>2302</v>
      </c>
      <c r="V357" s="475">
        <v>0</v>
      </c>
      <c r="W357" s="463" t="s">
        <v>2268</v>
      </c>
      <c r="X357" s="463" t="s">
        <v>2268</v>
      </c>
      <c r="Y357" s="463" t="s">
        <v>2290</v>
      </c>
      <c r="Z357" s="463"/>
      <c r="AA357" s="463"/>
      <c r="AB357" s="464">
        <v>0</v>
      </c>
      <c r="AC357" s="465">
        <v>0</v>
      </c>
      <c r="AD357" s="465">
        <v>0</v>
      </c>
      <c r="AE357" s="476">
        <v>0</v>
      </c>
      <c r="AF357" s="467">
        <v>0</v>
      </c>
      <c r="AG357" s="468">
        <v>0</v>
      </c>
      <c r="AH357" s="218">
        <v>0</v>
      </c>
      <c r="AI357" s="470">
        <v>0</v>
      </c>
      <c r="AJ357" s="471">
        <v>0</v>
      </c>
      <c r="AK357" s="218">
        <v>0</v>
      </c>
      <c r="AL357" s="470">
        <v>0</v>
      </c>
      <c r="AM357" s="471">
        <v>0</v>
      </c>
      <c r="AN357" s="477">
        <v>0</v>
      </c>
      <c r="AO357" s="473">
        <v>0</v>
      </c>
      <c r="AP357" s="474">
        <v>0</v>
      </c>
      <c r="AQ357" s="352"/>
      <c r="AR357" s="352"/>
      <c r="AS357" s="352"/>
      <c r="AT357" s="352"/>
      <c r="AU357" s="352"/>
      <c r="AV357" s="352"/>
      <c r="AW357" s="352" t="s">
        <v>254</v>
      </c>
    </row>
    <row r="358" spans="2:49" x14ac:dyDescent="0.2">
      <c r="B358" s="460" t="s">
        <v>2468</v>
      </c>
      <c r="C358" s="460">
        <v>1231</v>
      </c>
      <c r="D358" s="460" t="s">
        <v>2317</v>
      </c>
      <c r="E358" s="460" t="s">
        <v>2305</v>
      </c>
      <c r="F358" s="460">
        <v>4</v>
      </c>
      <c r="G358" s="460">
        <v>2</v>
      </c>
      <c r="H358" s="461" t="s">
        <v>748</v>
      </c>
      <c r="I358" s="461" t="s">
        <v>765</v>
      </c>
      <c r="J358" s="461" t="s">
        <v>700</v>
      </c>
      <c r="K358" s="594"/>
      <c r="L358" s="594"/>
      <c r="M358" s="352">
        <v>1000</v>
      </c>
      <c r="N358" s="352" t="s">
        <v>698</v>
      </c>
      <c r="O358" s="460">
        <v>1231</v>
      </c>
      <c r="P358" s="460" t="s">
        <v>726</v>
      </c>
      <c r="Q358" s="460" t="s">
        <v>2289</v>
      </c>
      <c r="R358" s="460">
        <v>1231</v>
      </c>
      <c r="S358" s="460" t="s">
        <v>2305</v>
      </c>
      <c r="T358" s="462">
        <v>1</v>
      </c>
      <c r="U358" s="460" t="s">
        <v>2305</v>
      </c>
      <c r="V358" s="475">
        <v>0</v>
      </c>
      <c r="W358" s="463" t="s">
        <v>2268</v>
      </c>
      <c r="X358" s="463" t="s">
        <v>2268</v>
      </c>
      <c r="Y358" s="463" t="s">
        <v>2290</v>
      </c>
      <c r="Z358" s="463"/>
      <c r="AA358" s="463"/>
      <c r="AB358" s="464">
        <v>0</v>
      </c>
      <c r="AC358" s="465">
        <v>0</v>
      </c>
      <c r="AD358" s="465">
        <v>0</v>
      </c>
      <c r="AE358" s="476">
        <v>0</v>
      </c>
      <c r="AF358" s="467">
        <v>0</v>
      </c>
      <c r="AG358" s="468">
        <v>0</v>
      </c>
      <c r="AH358" s="218">
        <v>0</v>
      </c>
      <c r="AI358" s="470">
        <v>0</v>
      </c>
      <c r="AJ358" s="471">
        <v>0</v>
      </c>
      <c r="AK358" s="218">
        <v>0</v>
      </c>
      <c r="AL358" s="470">
        <v>0</v>
      </c>
      <c r="AM358" s="471">
        <v>0</v>
      </c>
      <c r="AN358" s="477">
        <v>0</v>
      </c>
      <c r="AO358" s="473">
        <v>0</v>
      </c>
      <c r="AP358" s="474">
        <v>0</v>
      </c>
      <c r="AQ358" s="352"/>
      <c r="AR358" s="352"/>
      <c r="AS358" s="352"/>
      <c r="AT358" s="352"/>
      <c r="AU358" s="352"/>
      <c r="AV358" s="352"/>
      <c r="AW358" s="352" t="s">
        <v>254</v>
      </c>
    </row>
    <row r="359" spans="2:49" x14ac:dyDescent="0.2">
      <c r="B359" s="460" t="s">
        <v>2469</v>
      </c>
      <c r="C359" s="460">
        <v>1231</v>
      </c>
      <c r="D359" s="460" t="s">
        <v>2323</v>
      </c>
      <c r="E359" s="460" t="s">
        <v>2324</v>
      </c>
      <c r="F359" s="460">
        <v>1</v>
      </c>
      <c r="G359" s="460">
        <v>3</v>
      </c>
      <c r="H359" s="461" t="s">
        <v>700</v>
      </c>
      <c r="I359" s="461" t="s">
        <v>872</v>
      </c>
      <c r="J359" s="461" t="s">
        <v>700</v>
      </c>
      <c r="K359" s="594"/>
      <c r="L359" s="594"/>
      <c r="M359" s="352">
        <v>1000</v>
      </c>
      <c r="N359" s="352" t="s">
        <v>698</v>
      </c>
      <c r="O359" s="460">
        <v>1231</v>
      </c>
      <c r="P359" s="460" t="s">
        <v>726</v>
      </c>
      <c r="Q359" s="460" t="s">
        <v>2266</v>
      </c>
      <c r="R359" s="460">
        <v>1231</v>
      </c>
      <c r="S359" s="460" t="s">
        <v>2324</v>
      </c>
      <c r="T359" s="462">
        <v>1</v>
      </c>
      <c r="U359" s="460" t="s">
        <v>2324</v>
      </c>
      <c r="V359" s="475">
        <v>0</v>
      </c>
      <c r="W359" s="463" t="s">
        <v>2267</v>
      </c>
      <c r="X359" s="463" t="s">
        <v>2267</v>
      </c>
      <c r="Y359" s="463" t="s">
        <v>2268</v>
      </c>
      <c r="Z359" s="463"/>
      <c r="AA359" s="463"/>
      <c r="AB359" s="464">
        <v>7577.4866655046935</v>
      </c>
      <c r="AC359" s="465">
        <v>0.63224856162919563</v>
      </c>
      <c r="AD359" s="465">
        <v>6.4959366394074083E-2</v>
      </c>
      <c r="AE359" s="476">
        <v>7577.4866655046935</v>
      </c>
      <c r="AF359" s="467">
        <v>0.63224856162919563</v>
      </c>
      <c r="AG359" s="468">
        <v>6.9584350232107073E-2</v>
      </c>
      <c r="AH359" s="218">
        <v>7577.4866655046935</v>
      </c>
      <c r="AI359" s="470">
        <v>0.63224856162919563</v>
      </c>
      <c r="AJ359" s="471">
        <v>6.6448555318917205E-2</v>
      </c>
      <c r="AK359" s="218">
        <v>7577.4866655046935</v>
      </c>
      <c r="AL359" s="470">
        <v>0.63224856162919563</v>
      </c>
      <c r="AM359" s="471">
        <v>6.6448555318917205E-2</v>
      </c>
      <c r="AN359" s="477">
        <v>0</v>
      </c>
      <c r="AO359" s="473">
        <v>0</v>
      </c>
      <c r="AP359" s="474">
        <v>0</v>
      </c>
      <c r="AQ359" s="352"/>
      <c r="AR359" s="352"/>
      <c r="AS359" s="352"/>
      <c r="AT359" s="352"/>
      <c r="AU359" s="352"/>
      <c r="AV359" s="352"/>
      <c r="AW359" s="352" t="s">
        <v>254</v>
      </c>
    </row>
    <row r="360" spans="2:49" x14ac:dyDescent="0.2">
      <c r="B360" s="460" t="s">
        <v>2470</v>
      </c>
      <c r="C360" s="460">
        <v>1231</v>
      </c>
      <c r="D360" s="460" t="s">
        <v>2326</v>
      </c>
      <c r="E360" s="460" t="s">
        <v>2327</v>
      </c>
      <c r="F360" s="460">
        <v>2</v>
      </c>
      <c r="G360" s="460">
        <v>3</v>
      </c>
      <c r="H360" s="461" t="s">
        <v>700</v>
      </c>
      <c r="I360" s="461" t="s">
        <v>872</v>
      </c>
      <c r="J360" s="461" t="s">
        <v>700</v>
      </c>
      <c r="K360" s="594"/>
      <c r="L360" s="594"/>
      <c r="M360" s="352">
        <v>1000</v>
      </c>
      <c r="N360" s="352" t="s">
        <v>698</v>
      </c>
      <c r="O360" s="460">
        <v>1231</v>
      </c>
      <c r="P360" s="460" t="s">
        <v>726</v>
      </c>
      <c r="Q360" s="460" t="s">
        <v>2266</v>
      </c>
      <c r="R360" s="460">
        <v>1231</v>
      </c>
      <c r="S360" s="460" t="s">
        <v>2324</v>
      </c>
      <c r="T360" s="462">
        <v>1</v>
      </c>
      <c r="U360" s="460" t="s">
        <v>2327</v>
      </c>
      <c r="V360" s="475">
        <v>0</v>
      </c>
      <c r="W360" s="463" t="s">
        <v>2267</v>
      </c>
      <c r="X360" s="463" t="s">
        <v>2267</v>
      </c>
      <c r="Y360" s="463" t="s">
        <v>2268</v>
      </c>
      <c r="Z360" s="463"/>
      <c r="AA360" s="463"/>
      <c r="AB360" s="464">
        <v>3143.1210048999051</v>
      </c>
      <c r="AC360" s="465">
        <v>0.42741680741407601</v>
      </c>
      <c r="AD360" s="465">
        <v>4.6423325473993762E-2</v>
      </c>
      <c r="AE360" s="476">
        <v>3143.1210048999051</v>
      </c>
      <c r="AF360" s="467">
        <v>0.42741680741407601</v>
      </c>
      <c r="AG360" s="468">
        <v>5.0281605598267533E-2</v>
      </c>
      <c r="AH360" s="218">
        <v>4649.4047494236002</v>
      </c>
      <c r="AI360" s="470">
        <v>0.63224856162919563</v>
      </c>
      <c r="AJ360" s="471">
        <v>6.259582367506504E-2</v>
      </c>
      <c r="AK360" s="218">
        <v>4649.4047494236002</v>
      </c>
      <c r="AL360" s="470">
        <v>0.63224856162919563</v>
      </c>
      <c r="AM360" s="471">
        <v>6.259582367506504E-2</v>
      </c>
      <c r="AN360" s="477">
        <v>0</v>
      </c>
      <c r="AO360" s="473">
        <v>0</v>
      </c>
      <c r="AP360" s="474">
        <v>0</v>
      </c>
      <c r="AQ360" s="352"/>
      <c r="AR360" s="352"/>
      <c r="AS360" s="352"/>
      <c r="AT360" s="352"/>
      <c r="AU360" s="352"/>
      <c r="AV360" s="352"/>
      <c r="AW360" s="352" t="s">
        <v>254</v>
      </c>
    </row>
    <row r="361" spans="2:49" x14ac:dyDescent="0.2">
      <c r="B361" s="460" t="s">
        <v>2471</v>
      </c>
      <c r="C361" s="460">
        <v>1231</v>
      </c>
      <c r="D361" s="460" t="s">
        <v>2329</v>
      </c>
      <c r="E361" s="460" t="s">
        <v>2330</v>
      </c>
      <c r="F361" s="460">
        <v>3</v>
      </c>
      <c r="G361" s="460">
        <v>3</v>
      </c>
      <c r="H361" s="461" t="s">
        <v>700</v>
      </c>
      <c r="I361" s="461" t="s">
        <v>872</v>
      </c>
      <c r="J361" s="461" t="s">
        <v>700</v>
      </c>
      <c r="K361" s="594"/>
      <c r="L361" s="594"/>
      <c r="M361" s="352">
        <v>1000</v>
      </c>
      <c r="N361" s="352" t="s">
        <v>698</v>
      </c>
      <c r="O361" s="460">
        <v>1231</v>
      </c>
      <c r="P361" s="460" t="s">
        <v>726</v>
      </c>
      <c r="Q361" s="460" t="s">
        <v>2266</v>
      </c>
      <c r="R361" s="460">
        <v>1231</v>
      </c>
      <c r="S361" s="460" t="s">
        <v>2324</v>
      </c>
      <c r="T361" s="462">
        <v>1</v>
      </c>
      <c r="U361" s="460" t="s">
        <v>2330</v>
      </c>
      <c r="V361" s="475">
        <v>0</v>
      </c>
      <c r="W361" s="463" t="s">
        <v>2267</v>
      </c>
      <c r="X361" s="463" t="s">
        <v>2267</v>
      </c>
      <c r="Y361" s="463" t="s">
        <v>2268</v>
      </c>
      <c r="Z361" s="463"/>
      <c r="AA361" s="463"/>
      <c r="AB361" s="464">
        <v>815.13937091648529</v>
      </c>
      <c r="AC361" s="465">
        <v>0.43878581854646936</v>
      </c>
      <c r="AD361" s="465">
        <v>3.0780649620147923E-2</v>
      </c>
      <c r="AE361" s="476">
        <v>815.13937091648529</v>
      </c>
      <c r="AF361" s="467">
        <v>0.43878581854646936</v>
      </c>
      <c r="AG361" s="468">
        <v>3.2989555966737957E-2</v>
      </c>
      <c r="AH361" s="218">
        <v>1174.5381755875849</v>
      </c>
      <c r="AI361" s="470">
        <v>0.63224856162919563</v>
      </c>
      <c r="AJ361" s="471">
        <v>4.1381736643568423E-2</v>
      </c>
      <c r="AK361" s="218">
        <v>1174.5381755875849</v>
      </c>
      <c r="AL361" s="470">
        <v>0.63224856162919563</v>
      </c>
      <c r="AM361" s="471">
        <v>4.1381736643568423E-2</v>
      </c>
      <c r="AN361" s="477">
        <v>0</v>
      </c>
      <c r="AO361" s="473">
        <v>0</v>
      </c>
      <c r="AP361" s="474">
        <v>0</v>
      </c>
      <c r="AQ361" s="352"/>
      <c r="AR361" s="352"/>
      <c r="AS361" s="352"/>
      <c r="AT361" s="352"/>
      <c r="AU361" s="352"/>
      <c r="AV361" s="352"/>
      <c r="AW361" s="352" t="s">
        <v>254</v>
      </c>
    </row>
    <row r="362" spans="2:49" x14ac:dyDescent="0.2">
      <c r="B362" s="460" t="s">
        <v>2472</v>
      </c>
      <c r="C362" s="460">
        <v>1231</v>
      </c>
      <c r="D362" s="460" t="s">
        <v>2332</v>
      </c>
      <c r="E362" s="460" t="s">
        <v>2333</v>
      </c>
      <c r="F362" s="460">
        <v>4</v>
      </c>
      <c r="G362" s="460">
        <v>3</v>
      </c>
      <c r="H362" s="461" t="s">
        <v>700</v>
      </c>
      <c r="I362" s="461" t="s">
        <v>872</v>
      </c>
      <c r="J362" s="461" t="s">
        <v>700</v>
      </c>
      <c r="K362" s="594"/>
      <c r="L362" s="594"/>
      <c r="M362" s="352">
        <v>1000</v>
      </c>
      <c r="N362" s="352" t="s">
        <v>698</v>
      </c>
      <c r="O362" s="460">
        <v>1231</v>
      </c>
      <c r="P362" s="460" t="s">
        <v>726</v>
      </c>
      <c r="Q362" s="460" t="s">
        <v>2266</v>
      </c>
      <c r="R362" s="460">
        <v>1231</v>
      </c>
      <c r="S362" s="460" t="s">
        <v>2333</v>
      </c>
      <c r="T362" s="462">
        <v>1</v>
      </c>
      <c r="U362" s="460" t="s">
        <v>2333</v>
      </c>
      <c r="V362" s="475">
        <v>0</v>
      </c>
      <c r="W362" s="463" t="s">
        <v>2278</v>
      </c>
      <c r="X362" s="463" t="s">
        <v>2278</v>
      </c>
      <c r="Y362" s="463" t="s">
        <v>2268</v>
      </c>
      <c r="Z362" s="463"/>
      <c r="AA362" s="463"/>
      <c r="AB362" s="464">
        <v>79.089646141102378</v>
      </c>
      <c r="AC362" s="465">
        <v>6.2711714853721276E-2</v>
      </c>
      <c r="AD362" s="465">
        <v>5.4546979029411104E-3</v>
      </c>
      <c r="AE362" s="476">
        <v>79.089646141102378</v>
      </c>
      <c r="AF362" s="467">
        <v>6.2711714853721276E-2</v>
      </c>
      <c r="AG362" s="468">
        <v>6.0199510140095851E-3</v>
      </c>
      <c r="AH362" s="218">
        <v>79.089646141102378</v>
      </c>
      <c r="AI362" s="470">
        <v>6.2711714853721276E-2</v>
      </c>
      <c r="AJ362" s="471">
        <v>5.8325783214470553E-3</v>
      </c>
      <c r="AK362" s="218">
        <v>79.089646141102378</v>
      </c>
      <c r="AL362" s="470">
        <v>6.2711714853721276E-2</v>
      </c>
      <c r="AM362" s="471">
        <v>5.8325783214470553E-3</v>
      </c>
      <c r="AN362" s="477">
        <v>0</v>
      </c>
      <c r="AO362" s="473">
        <v>0</v>
      </c>
      <c r="AP362" s="474">
        <v>0</v>
      </c>
      <c r="AQ362" s="352"/>
      <c r="AR362" s="352"/>
      <c r="AS362" s="352"/>
      <c r="AT362" s="352"/>
      <c r="AU362" s="352"/>
      <c r="AV362" s="352"/>
      <c r="AW362" s="352" t="s">
        <v>254</v>
      </c>
    </row>
    <row r="363" spans="2:49" x14ac:dyDescent="0.2">
      <c r="B363" s="460" t="s">
        <v>2469</v>
      </c>
      <c r="C363" s="460">
        <v>1231</v>
      </c>
      <c r="D363" s="460" t="s">
        <v>2334</v>
      </c>
      <c r="E363" s="460" t="s">
        <v>2324</v>
      </c>
      <c r="F363" s="460">
        <v>1</v>
      </c>
      <c r="G363" s="460">
        <v>3</v>
      </c>
      <c r="H363" s="461" t="s">
        <v>712</v>
      </c>
      <c r="I363" s="461" t="s">
        <v>713</v>
      </c>
      <c r="J363" s="461" t="s">
        <v>712</v>
      </c>
      <c r="K363" s="594"/>
      <c r="L363" s="594"/>
      <c r="M363" s="352">
        <v>1000</v>
      </c>
      <c r="N363" s="352" t="s">
        <v>698</v>
      </c>
      <c r="O363" s="460">
        <v>1231</v>
      </c>
      <c r="P363" s="460" t="s">
        <v>726</v>
      </c>
      <c r="Q363" s="460" t="s">
        <v>2280</v>
      </c>
      <c r="R363" s="460">
        <v>1231</v>
      </c>
      <c r="S363" s="460" t="s">
        <v>2324</v>
      </c>
      <c r="T363" s="462">
        <v>1</v>
      </c>
      <c r="U363" s="460" t="s">
        <v>2324</v>
      </c>
      <c r="V363" s="475">
        <v>0</v>
      </c>
      <c r="W363" s="463" t="s">
        <v>713</v>
      </c>
      <c r="X363" s="463" t="s">
        <v>713</v>
      </c>
      <c r="Y363" s="463" t="s">
        <v>713</v>
      </c>
      <c r="Z363" s="463"/>
      <c r="AA363" s="463"/>
      <c r="AB363" s="464">
        <v>4407.4938079641825</v>
      </c>
      <c r="AC363" s="465">
        <v>0.36775143837080426</v>
      </c>
      <c r="AD363" s="465">
        <v>1.1005054068099328E-2</v>
      </c>
      <c r="AE363" s="476">
        <v>4407.4938079641834</v>
      </c>
      <c r="AF363" s="467">
        <v>0.36775143837080437</v>
      </c>
      <c r="AG363" s="468">
        <v>1.0796053464585856E-2</v>
      </c>
      <c r="AH363" s="218">
        <v>4407.4938079641834</v>
      </c>
      <c r="AI363" s="470">
        <v>0.36775143837080437</v>
      </c>
      <c r="AJ363" s="471">
        <v>1.0933684239740281E-2</v>
      </c>
      <c r="AK363" s="218">
        <v>4407.4938079641834</v>
      </c>
      <c r="AL363" s="470">
        <v>0.36775143837080437</v>
      </c>
      <c r="AM363" s="471">
        <v>1.0933684239740281E-2</v>
      </c>
      <c r="AN363" s="477">
        <v>4407.4938079641834</v>
      </c>
      <c r="AO363" s="473">
        <v>0.36775143837080437</v>
      </c>
      <c r="AP363" s="474">
        <v>1.0928363331672025E-2</v>
      </c>
      <c r="AQ363" s="352"/>
      <c r="AR363" s="352"/>
      <c r="AS363" s="352"/>
      <c r="AT363" s="352"/>
      <c r="AU363" s="352"/>
      <c r="AV363" s="352"/>
      <c r="AW363" s="352" t="s">
        <v>254</v>
      </c>
    </row>
    <row r="364" spans="2:49" x14ac:dyDescent="0.2">
      <c r="B364" s="460" t="s">
        <v>2470</v>
      </c>
      <c r="C364" s="460">
        <v>1231</v>
      </c>
      <c r="D364" s="460" t="s">
        <v>2335</v>
      </c>
      <c r="E364" s="460" t="s">
        <v>2327</v>
      </c>
      <c r="F364" s="460">
        <v>2</v>
      </c>
      <c r="G364" s="460">
        <v>3</v>
      </c>
      <c r="H364" s="461" t="s">
        <v>712</v>
      </c>
      <c r="I364" s="461" t="s">
        <v>713</v>
      </c>
      <c r="J364" s="461" t="s">
        <v>712</v>
      </c>
      <c r="K364" s="594"/>
      <c r="L364" s="594"/>
      <c r="M364" s="352">
        <v>1000</v>
      </c>
      <c r="N364" s="352" t="s">
        <v>698</v>
      </c>
      <c r="O364" s="460">
        <v>1231</v>
      </c>
      <c r="P364" s="460" t="s">
        <v>726</v>
      </c>
      <c r="Q364" s="460" t="s">
        <v>2280</v>
      </c>
      <c r="R364" s="460">
        <v>1231</v>
      </c>
      <c r="S364" s="460" t="s">
        <v>2324</v>
      </c>
      <c r="T364" s="462">
        <v>1</v>
      </c>
      <c r="U364" s="460" t="s">
        <v>2327</v>
      </c>
      <c r="V364" s="475">
        <v>0</v>
      </c>
      <c r="W364" s="463" t="s">
        <v>713</v>
      </c>
      <c r="X364" s="463" t="s">
        <v>713</v>
      </c>
      <c r="Y364" s="463" t="s">
        <v>713</v>
      </c>
      <c r="Z364" s="463"/>
      <c r="AA364" s="463"/>
      <c r="AB364" s="464">
        <v>4210.6398916735634</v>
      </c>
      <c r="AC364" s="465">
        <v>0.57258319258592394</v>
      </c>
      <c r="AD364" s="465">
        <v>1.348498897467681E-2</v>
      </c>
      <c r="AE364" s="476">
        <v>4210.6398916735634</v>
      </c>
      <c r="AF364" s="467">
        <v>0.57258319258592394</v>
      </c>
      <c r="AG364" s="468">
        <v>1.3264292169364351E-2</v>
      </c>
      <c r="AH364" s="218">
        <v>2704.3561471498692</v>
      </c>
      <c r="AI364" s="470">
        <v>0.36775143837080437</v>
      </c>
      <c r="AJ364" s="471">
        <v>8.8596845916480062E-3</v>
      </c>
      <c r="AK364" s="218">
        <v>2704.3561471498692</v>
      </c>
      <c r="AL364" s="470">
        <v>0.36775143837080437</v>
      </c>
      <c r="AM364" s="471">
        <v>8.8596845916480062E-3</v>
      </c>
      <c r="AN364" s="477">
        <v>2704.3561471498692</v>
      </c>
      <c r="AO364" s="473">
        <v>0.36775143837080437</v>
      </c>
      <c r="AP364" s="474">
        <v>8.8562110297740679E-3</v>
      </c>
      <c r="AQ364" s="352"/>
      <c r="AR364" s="352"/>
      <c r="AS364" s="352"/>
      <c r="AT364" s="352"/>
      <c r="AU364" s="352"/>
      <c r="AV364" s="352"/>
      <c r="AW364" s="352" t="s">
        <v>254</v>
      </c>
    </row>
    <row r="365" spans="2:49" x14ac:dyDescent="0.2">
      <c r="B365" s="460" t="s">
        <v>2471</v>
      </c>
      <c r="C365" s="460">
        <v>1231</v>
      </c>
      <c r="D365" s="460" t="s">
        <v>2336</v>
      </c>
      <c r="E365" s="460" t="s">
        <v>2330</v>
      </c>
      <c r="F365" s="460">
        <v>3</v>
      </c>
      <c r="G365" s="460">
        <v>3</v>
      </c>
      <c r="H365" s="461" t="s">
        <v>712</v>
      </c>
      <c r="I365" s="461" t="s">
        <v>713</v>
      </c>
      <c r="J365" s="461" t="s">
        <v>712</v>
      </c>
      <c r="K365" s="594"/>
      <c r="L365" s="594"/>
      <c r="M365" s="352">
        <v>1000</v>
      </c>
      <c r="N365" s="352" t="s">
        <v>698</v>
      </c>
      <c r="O365" s="460">
        <v>1231</v>
      </c>
      <c r="P365" s="460" t="s">
        <v>726</v>
      </c>
      <c r="Q365" s="460" t="s">
        <v>2280</v>
      </c>
      <c r="R365" s="460">
        <v>1231</v>
      </c>
      <c r="S365" s="460" t="s">
        <v>2324</v>
      </c>
      <c r="T365" s="462">
        <v>1</v>
      </c>
      <c r="U365" s="460" t="s">
        <v>2330</v>
      </c>
      <c r="V365" s="475">
        <v>0</v>
      </c>
      <c r="W365" s="463" t="s">
        <v>713</v>
      </c>
      <c r="X365" s="463" t="s">
        <v>713</v>
      </c>
      <c r="Y365" s="463" t="s">
        <v>713</v>
      </c>
      <c r="Z365" s="463"/>
      <c r="AA365" s="463"/>
      <c r="AB365" s="464">
        <v>1042.5764814707507</v>
      </c>
      <c r="AC365" s="465">
        <v>0.56121418145353075</v>
      </c>
      <c r="AD365" s="465">
        <v>9.2312464234451455E-3</v>
      </c>
      <c r="AE365" s="476">
        <v>1042.5764814707504</v>
      </c>
      <c r="AF365" s="467">
        <v>0.56121418145353064</v>
      </c>
      <c r="AG365" s="468">
        <v>9.0885536053255129E-3</v>
      </c>
      <c r="AH365" s="218">
        <v>683.17767679965084</v>
      </c>
      <c r="AI365" s="470">
        <v>0.36775143837080437</v>
      </c>
      <c r="AJ365" s="471">
        <v>6.182921247042966E-3</v>
      </c>
      <c r="AK365" s="218">
        <v>683.17767679965084</v>
      </c>
      <c r="AL365" s="470">
        <v>0.36775143837080437</v>
      </c>
      <c r="AM365" s="471">
        <v>6.182921247042966E-3</v>
      </c>
      <c r="AN365" s="477">
        <v>683.17767679965084</v>
      </c>
      <c r="AO365" s="473">
        <v>0.36775143837080437</v>
      </c>
      <c r="AP365" s="474">
        <v>6.1988800496279783E-3</v>
      </c>
      <c r="AQ365" s="352"/>
      <c r="AR365" s="352"/>
      <c r="AS365" s="352"/>
      <c r="AT365" s="352"/>
      <c r="AU365" s="352"/>
      <c r="AV365" s="352"/>
      <c r="AW365" s="352" t="s">
        <v>254</v>
      </c>
    </row>
    <row r="366" spans="2:49" x14ac:dyDescent="0.2">
      <c r="B366" s="460" t="s">
        <v>2472</v>
      </c>
      <c r="C366" s="460">
        <v>1231</v>
      </c>
      <c r="D366" s="460" t="s">
        <v>2337</v>
      </c>
      <c r="E366" s="460" t="s">
        <v>2333</v>
      </c>
      <c r="F366" s="460">
        <v>4</v>
      </c>
      <c r="G366" s="460">
        <v>3</v>
      </c>
      <c r="H366" s="461" t="s">
        <v>712</v>
      </c>
      <c r="I366" s="461" t="s">
        <v>713</v>
      </c>
      <c r="J366" s="461" t="s">
        <v>712</v>
      </c>
      <c r="K366" s="594"/>
      <c r="L366" s="594"/>
      <c r="M366" s="352">
        <v>1000</v>
      </c>
      <c r="N366" s="352" t="s">
        <v>698</v>
      </c>
      <c r="O366" s="460">
        <v>1231</v>
      </c>
      <c r="P366" s="460" t="s">
        <v>726</v>
      </c>
      <c r="Q366" s="460" t="s">
        <v>2280</v>
      </c>
      <c r="R366" s="460">
        <v>1231</v>
      </c>
      <c r="S366" s="460" t="s">
        <v>2333</v>
      </c>
      <c r="T366" s="462">
        <v>1</v>
      </c>
      <c r="U366" s="460" t="s">
        <v>2333</v>
      </c>
      <c r="V366" s="475">
        <v>0</v>
      </c>
      <c r="W366" s="463" t="s">
        <v>713</v>
      </c>
      <c r="X366" s="463" t="s">
        <v>713</v>
      </c>
      <c r="Y366" s="463" t="s">
        <v>713</v>
      </c>
      <c r="Z366" s="463"/>
      <c r="AA366" s="463"/>
      <c r="AB366" s="464">
        <v>1182.0725836844347</v>
      </c>
      <c r="AC366" s="465">
        <v>0.93728828514627882</v>
      </c>
      <c r="AD366" s="465">
        <v>8.9866721032662075E-3</v>
      </c>
      <c r="AE366" s="476">
        <v>1182.0725836844347</v>
      </c>
      <c r="AF366" s="467">
        <v>0.93728828514627871</v>
      </c>
      <c r="AG366" s="468">
        <v>8.8946100624480266E-3</v>
      </c>
      <c r="AH366" s="218">
        <v>1182.0725836844347</v>
      </c>
      <c r="AI366" s="470">
        <v>0.93728828514627871</v>
      </c>
      <c r="AJ366" s="471">
        <v>8.9229476913955559E-3</v>
      </c>
      <c r="AK366" s="218">
        <v>1182.0725836844347</v>
      </c>
      <c r="AL366" s="470">
        <v>0.93728828514627871</v>
      </c>
      <c r="AM366" s="471">
        <v>8.9229476913955559E-3</v>
      </c>
      <c r="AN366" s="477">
        <v>1182.0725836844347</v>
      </c>
      <c r="AO366" s="473">
        <v>0.93728828514627871</v>
      </c>
      <c r="AP366" s="474">
        <v>8.9257832589802414E-3</v>
      </c>
      <c r="AQ366" s="352"/>
      <c r="AR366" s="352"/>
      <c r="AS366" s="352"/>
      <c r="AT366" s="352"/>
      <c r="AU366" s="352"/>
      <c r="AV366" s="352"/>
      <c r="AW366" s="352" t="s">
        <v>254</v>
      </c>
    </row>
    <row r="367" spans="2:49" x14ac:dyDescent="0.2">
      <c r="B367" s="460" t="s">
        <v>2469</v>
      </c>
      <c r="C367" s="460">
        <v>1231</v>
      </c>
      <c r="D367" s="460" t="s">
        <v>2338</v>
      </c>
      <c r="E367" s="460" t="s">
        <v>2324</v>
      </c>
      <c r="F367" s="460">
        <v>1</v>
      </c>
      <c r="G367" s="460">
        <v>3</v>
      </c>
      <c r="H367" s="461" t="s">
        <v>746</v>
      </c>
      <c r="I367" s="461" t="s">
        <v>762</v>
      </c>
      <c r="J367" s="461" t="s">
        <v>700</v>
      </c>
      <c r="K367" s="594"/>
      <c r="L367" s="594"/>
      <c r="M367" s="352">
        <v>1000</v>
      </c>
      <c r="N367" s="352" t="s">
        <v>698</v>
      </c>
      <c r="O367" s="460">
        <v>1231</v>
      </c>
      <c r="P367" s="460" t="s">
        <v>726</v>
      </c>
      <c r="Q367" s="460" t="s">
        <v>2266</v>
      </c>
      <c r="R367" s="460">
        <v>1231</v>
      </c>
      <c r="S367" s="460" t="s">
        <v>2324</v>
      </c>
      <c r="T367" s="462">
        <v>1</v>
      </c>
      <c r="U367" s="460" t="s">
        <v>2324</v>
      </c>
      <c r="V367" s="475">
        <v>0</v>
      </c>
      <c r="W367" s="463" t="s">
        <v>2268</v>
      </c>
      <c r="X367" s="463" t="s">
        <v>2268</v>
      </c>
      <c r="Y367" s="463" t="s">
        <v>2267</v>
      </c>
      <c r="Z367" s="463"/>
      <c r="AA367" s="463"/>
      <c r="AB367" s="464">
        <v>0</v>
      </c>
      <c r="AC367" s="465">
        <v>0</v>
      </c>
      <c r="AD367" s="465">
        <v>0</v>
      </c>
      <c r="AE367" s="476">
        <v>0</v>
      </c>
      <c r="AF367" s="467">
        <v>0</v>
      </c>
      <c r="AG367" s="468">
        <v>0</v>
      </c>
      <c r="AH367" s="218">
        <v>0</v>
      </c>
      <c r="AI367" s="470">
        <v>0</v>
      </c>
      <c r="AJ367" s="471">
        <v>0</v>
      </c>
      <c r="AK367" s="218">
        <v>0</v>
      </c>
      <c r="AL367" s="470">
        <v>0</v>
      </c>
      <c r="AM367" s="471">
        <v>0</v>
      </c>
      <c r="AN367" s="477">
        <v>7577.4866655046935</v>
      </c>
      <c r="AO367" s="473">
        <v>0.63224856162919563</v>
      </c>
      <c r="AP367" s="474">
        <v>8.0077012614188661E-2</v>
      </c>
      <c r="AQ367" s="352"/>
      <c r="AR367" s="352"/>
      <c r="AS367" s="352"/>
      <c r="AT367" s="352"/>
      <c r="AU367" s="352"/>
      <c r="AV367" s="352"/>
      <c r="AW367" s="352" t="s">
        <v>254</v>
      </c>
    </row>
    <row r="368" spans="2:49" x14ac:dyDescent="0.2">
      <c r="B368" s="460" t="s">
        <v>2470</v>
      </c>
      <c r="C368" s="460">
        <v>1231</v>
      </c>
      <c r="D368" s="460" t="s">
        <v>2339</v>
      </c>
      <c r="E368" s="460" t="s">
        <v>2327</v>
      </c>
      <c r="F368" s="460">
        <v>2</v>
      </c>
      <c r="G368" s="460">
        <v>3</v>
      </c>
      <c r="H368" s="461" t="s">
        <v>746</v>
      </c>
      <c r="I368" s="461" t="s">
        <v>762</v>
      </c>
      <c r="J368" s="461" t="s">
        <v>700</v>
      </c>
      <c r="K368" s="594"/>
      <c r="L368" s="594"/>
      <c r="M368" s="352">
        <v>1000</v>
      </c>
      <c r="N368" s="352" t="s">
        <v>698</v>
      </c>
      <c r="O368" s="460">
        <v>1231</v>
      </c>
      <c r="P368" s="460" t="s">
        <v>726</v>
      </c>
      <c r="Q368" s="460" t="s">
        <v>2266</v>
      </c>
      <c r="R368" s="460">
        <v>1231</v>
      </c>
      <c r="S368" s="460" t="s">
        <v>2324</v>
      </c>
      <c r="T368" s="462">
        <v>1</v>
      </c>
      <c r="U368" s="460" t="s">
        <v>2327</v>
      </c>
      <c r="V368" s="475">
        <v>0</v>
      </c>
      <c r="W368" s="463" t="s">
        <v>2268</v>
      </c>
      <c r="X368" s="463" t="s">
        <v>2268</v>
      </c>
      <c r="Y368" s="463" t="s">
        <v>2267</v>
      </c>
      <c r="Z368" s="463"/>
      <c r="AA368" s="463"/>
      <c r="AB368" s="464">
        <v>0</v>
      </c>
      <c r="AC368" s="465">
        <v>0</v>
      </c>
      <c r="AD368" s="465">
        <v>0</v>
      </c>
      <c r="AE368" s="476">
        <v>0</v>
      </c>
      <c r="AF368" s="467">
        <v>0</v>
      </c>
      <c r="AG368" s="468">
        <v>0</v>
      </c>
      <c r="AH368" s="218">
        <v>0</v>
      </c>
      <c r="AI368" s="470">
        <v>0</v>
      </c>
      <c r="AJ368" s="471">
        <v>0</v>
      </c>
      <c r="AK368" s="218">
        <v>0</v>
      </c>
      <c r="AL368" s="470">
        <v>0</v>
      </c>
      <c r="AM368" s="471">
        <v>0</v>
      </c>
      <c r="AN368" s="477">
        <v>4649.4047494236002</v>
      </c>
      <c r="AO368" s="473">
        <v>0.63224856162919563</v>
      </c>
      <c r="AP368" s="474">
        <v>7.3908638756810197E-2</v>
      </c>
      <c r="AQ368" s="352"/>
      <c r="AR368" s="352"/>
      <c r="AS368" s="352"/>
      <c r="AT368" s="352"/>
      <c r="AU368" s="352"/>
      <c r="AV368" s="352"/>
      <c r="AW368" s="352" t="s">
        <v>254</v>
      </c>
    </row>
    <row r="369" spans="2:49" x14ac:dyDescent="0.2">
      <c r="B369" s="460" t="s">
        <v>2471</v>
      </c>
      <c r="C369" s="460">
        <v>1231</v>
      </c>
      <c r="D369" s="460" t="s">
        <v>2340</v>
      </c>
      <c r="E369" s="460" t="s">
        <v>2330</v>
      </c>
      <c r="F369" s="460">
        <v>3</v>
      </c>
      <c r="G369" s="460">
        <v>3</v>
      </c>
      <c r="H369" s="461" t="s">
        <v>746</v>
      </c>
      <c r="I369" s="461" t="s">
        <v>762</v>
      </c>
      <c r="J369" s="461" t="s">
        <v>700</v>
      </c>
      <c r="K369" s="594"/>
      <c r="L369" s="594"/>
      <c r="M369" s="352">
        <v>1000</v>
      </c>
      <c r="N369" s="352" t="s">
        <v>698</v>
      </c>
      <c r="O369" s="460">
        <v>1231</v>
      </c>
      <c r="P369" s="460" t="s">
        <v>726</v>
      </c>
      <c r="Q369" s="460" t="s">
        <v>2266</v>
      </c>
      <c r="R369" s="460">
        <v>1231</v>
      </c>
      <c r="S369" s="460" t="s">
        <v>2324</v>
      </c>
      <c r="T369" s="462">
        <v>1</v>
      </c>
      <c r="U369" s="460" t="s">
        <v>2330</v>
      </c>
      <c r="V369" s="475">
        <v>0</v>
      </c>
      <c r="W369" s="463" t="s">
        <v>2268</v>
      </c>
      <c r="X369" s="463" t="s">
        <v>2268</v>
      </c>
      <c r="Y369" s="463" t="s">
        <v>2267</v>
      </c>
      <c r="Z369" s="463"/>
      <c r="AA369" s="463"/>
      <c r="AB369" s="464">
        <v>0</v>
      </c>
      <c r="AC369" s="465">
        <v>0</v>
      </c>
      <c r="AD369" s="465">
        <v>0</v>
      </c>
      <c r="AE369" s="476">
        <v>0</v>
      </c>
      <c r="AF369" s="467">
        <v>0</v>
      </c>
      <c r="AG369" s="468">
        <v>0</v>
      </c>
      <c r="AH369" s="218">
        <v>0</v>
      </c>
      <c r="AI369" s="470">
        <v>0</v>
      </c>
      <c r="AJ369" s="471">
        <v>0</v>
      </c>
      <c r="AK369" s="218">
        <v>0</v>
      </c>
      <c r="AL369" s="470">
        <v>0</v>
      </c>
      <c r="AM369" s="471">
        <v>0</v>
      </c>
      <c r="AN369" s="477">
        <v>1174.5381755875849</v>
      </c>
      <c r="AO369" s="473">
        <v>0.63224856162919563</v>
      </c>
      <c r="AP369" s="474">
        <v>4.698366763491716E-2</v>
      </c>
      <c r="AQ369" s="352"/>
      <c r="AR369" s="352"/>
      <c r="AS369" s="352"/>
      <c r="AT369" s="352"/>
      <c r="AU369" s="352"/>
      <c r="AV369" s="352"/>
      <c r="AW369" s="352" t="s">
        <v>254</v>
      </c>
    </row>
    <row r="370" spans="2:49" x14ac:dyDescent="0.2">
      <c r="B370" s="460" t="s">
        <v>2472</v>
      </c>
      <c r="C370" s="460">
        <v>1231</v>
      </c>
      <c r="D370" s="460" t="s">
        <v>2341</v>
      </c>
      <c r="E370" s="460" t="s">
        <v>2333</v>
      </c>
      <c r="F370" s="460">
        <v>4</v>
      </c>
      <c r="G370" s="460">
        <v>3</v>
      </c>
      <c r="H370" s="461" t="s">
        <v>746</v>
      </c>
      <c r="I370" s="461" t="s">
        <v>762</v>
      </c>
      <c r="J370" s="461" t="s">
        <v>700</v>
      </c>
      <c r="K370" s="594"/>
      <c r="L370" s="594"/>
      <c r="M370" s="352">
        <v>1000</v>
      </c>
      <c r="N370" s="352" t="s">
        <v>698</v>
      </c>
      <c r="O370" s="460">
        <v>1231</v>
      </c>
      <c r="P370" s="460" t="s">
        <v>726</v>
      </c>
      <c r="Q370" s="460" t="s">
        <v>2266</v>
      </c>
      <c r="R370" s="460">
        <v>1231</v>
      </c>
      <c r="S370" s="460" t="s">
        <v>2333</v>
      </c>
      <c r="T370" s="462">
        <v>1</v>
      </c>
      <c r="U370" s="460" t="s">
        <v>2333</v>
      </c>
      <c r="V370" s="475">
        <v>0</v>
      </c>
      <c r="W370" s="463" t="s">
        <v>2268</v>
      </c>
      <c r="X370" s="463" t="s">
        <v>2268</v>
      </c>
      <c r="Y370" s="463" t="s">
        <v>2278</v>
      </c>
      <c r="Z370" s="463"/>
      <c r="AA370" s="463"/>
      <c r="AB370" s="464">
        <v>0</v>
      </c>
      <c r="AC370" s="465">
        <v>0</v>
      </c>
      <c r="AD370" s="465">
        <v>0</v>
      </c>
      <c r="AE370" s="476">
        <v>0</v>
      </c>
      <c r="AF370" s="467">
        <v>0</v>
      </c>
      <c r="AG370" s="468">
        <v>0</v>
      </c>
      <c r="AH370" s="218">
        <v>0</v>
      </c>
      <c r="AI370" s="470">
        <v>0</v>
      </c>
      <c r="AJ370" s="471">
        <v>0</v>
      </c>
      <c r="AK370" s="218">
        <v>0</v>
      </c>
      <c r="AL370" s="470">
        <v>0</v>
      </c>
      <c r="AM370" s="471">
        <v>0</v>
      </c>
      <c r="AN370" s="477">
        <v>79.089646141102378</v>
      </c>
      <c r="AO370" s="473">
        <v>6.2711714853721276E-2</v>
      </c>
      <c r="AP370" s="474">
        <v>6.5928812291445585E-3</v>
      </c>
      <c r="AQ370" s="352"/>
      <c r="AR370" s="352"/>
      <c r="AS370" s="352"/>
      <c r="AT370" s="352"/>
      <c r="AU370" s="352"/>
      <c r="AV370" s="352"/>
      <c r="AW370" s="352" t="s">
        <v>254</v>
      </c>
    </row>
    <row r="371" spans="2:49" x14ac:dyDescent="0.2">
      <c r="B371" s="460" t="s">
        <v>2469</v>
      </c>
      <c r="C371" s="460">
        <v>1231</v>
      </c>
      <c r="D371" s="460" t="s">
        <v>2342</v>
      </c>
      <c r="E371" s="460" t="s">
        <v>2324</v>
      </c>
      <c r="F371" s="460">
        <v>1</v>
      </c>
      <c r="G371" s="460">
        <v>3</v>
      </c>
      <c r="H371" s="461" t="s">
        <v>748</v>
      </c>
      <c r="I371" s="461" t="s">
        <v>765</v>
      </c>
      <c r="J371" s="461" t="s">
        <v>700</v>
      </c>
      <c r="K371" s="594"/>
      <c r="L371" s="594"/>
      <c r="M371" s="352">
        <v>1000</v>
      </c>
      <c r="N371" s="352" t="s">
        <v>698</v>
      </c>
      <c r="O371" s="460">
        <v>1231</v>
      </c>
      <c r="P371" s="460" t="s">
        <v>726</v>
      </c>
      <c r="Q371" s="460" t="s">
        <v>2289</v>
      </c>
      <c r="R371" s="460">
        <v>1231</v>
      </c>
      <c r="S371" s="460" t="s">
        <v>2324</v>
      </c>
      <c r="T371" s="462">
        <v>1</v>
      </c>
      <c r="U371" s="460" t="s">
        <v>2324</v>
      </c>
      <c r="V371" s="475">
        <v>0</v>
      </c>
      <c r="W371" s="463" t="s">
        <v>2268</v>
      </c>
      <c r="X371" s="463" t="s">
        <v>2268</v>
      </c>
      <c r="Y371" s="463" t="s">
        <v>2290</v>
      </c>
      <c r="Z371" s="463"/>
      <c r="AA371" s="463"/>
      <c r="AB371" s="464">
        <v>0</v>
      </c>
      <c r="AC371" s="465">
        <v>0</v>
      </c>
      <c r="AD371" s="465">
        <v>0</v>
      </c>
      <c r="AE371" s="476">
        <v>0</v>
      </c>
      <c r="AF371" s="467">
        <v>0</v>
      </c>
      <c r="AG371" s="468">
        <v>0</v>
      </c>
      <c r="AH371" s="218">
        <v>0</v>
      </c>
      <c r="AI371" s="470">
        <v>0</v>
      </c>
      <c r="AJ371" s="471">
        <v>0</v>
      </c>
      <c r="AK371" s="218">
        <v>0</v>
      </c>
      <c r="AL371" s="470">
        <v>0</v>
      </c>
      <c r="AM371" s="471">
        <v>0</v>
      </c>
      <c r="AN371" s="477">
        <v>0</v>
      </c>
      <c r="AO371" s="473">
        <v>0</v>
      </c>
      <c r="AP371" s="474">
        <v>0</v>
      </c>
      <c r="AQ371" s="352"/>
      <c r="AR371" s="352"/>
      <c r="AS371" s="352"/>
      <c r="AT371" s="352"/>
      <c r="AU371" s="352"/>
      <c r="AV371" s="352"/>
      <c r="AW371" s="352" t="s">
        <v>254</v>
      </c>
    </row>
    <row r="372" spans="2:49" x14ac:dyDescent="0.2">
      <c r="B372" s="460" t="s">
        <v>2470</v>
      </c>
      <c r="C372" s="460">
        <v>1231</v>
      </c>
      <c r="D372" s="460" t="s">
        <v>2343</v>
      </c>
      <c r="E372" s="460" t="s">
        <v>2327</v>
      </c>
      <c r="F372" s="460">
        <v>2</v>
      </c>
      <c r="G372" s="460">
        <v>3</v>
      </c>
      <c r="H372" s="461" t="s">
        <v>748</v>
      </c>
      <c r="I372" s="461" t="s">
        <v>765</v>
      </c>
      <c r="J372" s="461" t="s">
        <v>700</v>
      </c>
      <c r="K372" s="594"/>
      <c r="L372" s="594"/>
      <c r="M372" s="352">
        <v>1000</v>
      </c>
      <c r="N372" s="352" t="s">
        <v>698</v>
      </c>
      <c r="O372" s="460">
        <v>1231</v>
      </c>
      <c r="P372" s="460" t="s">
        <v>726</v>
      </c>
      <c r="Q372" s="460" t="s">
        <v>2289</v>
      </c>
      <c r="R372" s="460">
        <v>1231</v>
      </c>
      <c r="S372" s="460" t="s">
        <v>2324</v>
      </c>
      <c r="T372" s="462">
        <v>1</v>
      </c>
      <c r="U372" s="460" t="s">
        <v>2327</v>
      </c>
      <c r="V372" s="475">
        <v>0</v>
      </c>
      <c r="W372" s="463" t="s">
        <v>2268</v>
      </c>
      <c r="X372" s="463" t="s">
        <v>2268</v>
      </c>
      <c r="Y372" s="463" t="s">
        <v>2290</v>
      </c>
      <c r="Z372" s="463"/>
      <c r="AA372" s="463"/>
      <c r="AB372" s="464">
        <v>0</v>
      </c>
      <c r="AC372" s="465">
        <v>0</v>
      </c>
      <c r="AD372" s="465">
        <v>0</v>
      </c>
      <c r="AE372" s="476">
        <v>0</v>
      </c>
      <c r="AF372" s="467">
        <v>0</v>
      </c>
      <c r="AG372" s="468">
        <v>0</v>
      </c>
      <c r="AH372" s="218">
        <v>0</v>
      </c>
      <c r="AI372" s="470">
        <v>0</v>
      </c>
      <c r="AJ372" s="471">
        <v>0</v>
      </c>
      <c r="AK372" s="218">
        <v>0</v>
      </c>
      <c r="AL372" s="470">
        <v>0</v>
      </c>
      <c r="AM372" s="471">
        <v>0</v>
      </c>
      <c r="AN372" s="477">
        <v>0</v>
      </c>
      <c r="AO372" s="473">
        <v>0</v>
      </c>
      <c r="AP372" s="474">
        <v>0</v>
      </c>
      <c r="AQ372" s="352"/>
      <c r="AR372" s="352"/>
      <c r="AS372" s="352"/>
      <c r="AT372" s="352"/>
      <c r="AU372" s="352"/>
      <c r="AV372" s="352"/>
      <c r="AW372" s="352" t="s">
        <v>254</v>
      </c>
    </row>
    <row r="373" spans="2:49" x14ac:dyDescent="0.2">
      <c r="B373" s="460" t="s">
        <v>2471</v>
      </c>
      <c r="C373" s="460">
        <v>1231</v>
      </c>
      <c r="D373" s="460" t="s">
        <v>2344</v>
      </c>
      <c r="E373" s="460" t="s">
        <v>2330</v>
      </c>
      <c r="F373" s="460">
        <v>3</v>
      </c>
      <c r="G373" s="460">
        <v>3</v>
      </c>
      <c r="H373" s="461" t="s">
        <v>748</v>
      </c>
      <c r="I373" s="461" t="s">
        <v>765</v>
      </c>
      <c r="J373" s="461" t="s">
        <v>700</v>
      </c>
      <c r="K373" s="594"/>
      <c r="L373" s="594"/>
      <c r="M373" s="352">
        <v>1000</v>
      </c>
      <c r="N373" s="352" t="s">
        <v>698</v>
      </c>
      <c r="O373" s="460">
        <v>1231</v>
      </c>
      <c r="P373" s="460" t="s">
        <v>726</v>
      </c>
      <c r="Q373" s="460" t="s">
        <v>2289</v>
      </c>
      <c r="R373" s="460">
        <v>1231</v>
      </c>
      <c r="S373" s="460" t="s">
        <v>2324</v>
      </c>
      <c r="T373" s="462">
        <v>1</v>
      </c>
      <c r="U373" s="460" t="s">
        <v>2330</v>
      </c>
      <c r="V373" s="475">
        <v>0</v>
      </c>
      <c r="W373" s="463" t="s">
        <v>2268</v>
      </c>
      <c r="X373" s="463" t="s">
        <v>2268</v>
      </c>
      <c r="Y373" s="463" t="s">
        <v>2290</v>
      </c>
      <c r="Z373" s="463"/>
      <c r="AA373" s="463"/>
      <c r="AB373" s="464">
        <v>0</v>
      </c>
      <c r="AC373" s="465">
        <v>0</v>
      </c>
      <c r="AD373" s="465">
        <v>0</v>
      </c>
      <c r="AE373" s="476">
        <v>0</v>
      </c>
      <c r="AF373" s="467">
        <v>0</v>
      </c>
      <c r="AG373" s="468">
        <v>0</v>
      </c>
      <c r="AH373" s="218">
        <v>0</v>
      </c>
      <c r="AI373" s="470">
        <v>0</v>
      </c>
      <c r="AJ373" s="471">
        <v>0</v>
      </c>
      <c r="AK373" s="218">
        <v>0</v>
      </c>
      <c r="AL373" s="470">
        <v>0</v>
      </c>
      <c r="AM373" s="471">
        <v>0</v>
      </c>
      <c r="AN373" s="477">
        <v>0</v>
      </c>
      <c r="AO373" s="473">
        <v>0</v>
      </c>
      <c r="AP373" s="474">
        <v>0</v>
      </c>
      <c r="AQ373" s="352"/>
      <c r="AR373" s="352"/>
      <c r="AS373" s="352"/>
      <c r="AT373" s="352"/>
      <c r="AU373" s="352"/>
      <c r="AV373" s="352"/>
      <c r="AW373" s="352" t="s">
        <v>254</v>
      </c>
    </row>
    <row r="374" spans="2:49" x14ac:dyDescent="0.2">
      <c r="B374" s="460" t="s">
        <v>2472</v>
      </c>
      <c r="C374" s="460">
        <v>1231</v>
      </c>
      <c r="D374" s="460" t="s">
        <v>2345</v>
      </c>
      <c r="E374" s="460" t="s">
        <v>2333</v>
      </c>
      <c r="F374" s="460">
        <v>4</v>
      </c>
      <c r="G374" s="460">
        <v>3</v>
      </c>
      <c r="H374" s="461" t="s">
        <v>748</v>
      </c>
      <c r="I374" s="461" t="s">
        <v>765</v>
      </c>
      <c r="J374" s="461" t="s">
        <v>700</v>
      </c>
      <c r="K374" s="594"/>
      <c r="L374" s="594"/>
      <c r="M374" s="352">
        <v>1000</v>
      </c>
      <c r="N374" s="352" t="s">
        <v>698</v>
      </c>
      <c r="O374" s="460">
        <v>1231</v>
      </c>
      <c r="P374" s="460" t="s">
        <v>726</v>
      </c>
      <c r="Q374" s="460" t="s">
        <v>2289</v>
      </c>
      <c r="R374" s="460">
        <v>1231</v>
      </c>
      <c r="S374" s="460" t="s">
        <v>2333</v>
      </c>
      <c r="T374" s="462">
        <v>1</v>
      </c>
      <c r="U374" s="460" t="s">
        <v>2333</v>
      </c>
      <c r="V374" s="475">
        <v>0</v>
      </c>
      <c r="W374" s="463" t="s">
        <v>2268</v>
      </c>
      <c r="X374" s="463" t="s">
        <v>2268</v>
      </c>
      <c r="Y374" s="463" t="s">
        <v>2290</v>
      </c>
      <c r="Z374" s="463"/>
      <c r="AA374" s="463"/>
      <c r="AB374" s="464">
        <v>0</v>
      </c>
      <c r="AC374" s="465">
        <v>0</v>
      </c>
      <c r="AD374" s="465">
        <v>0</v>
      </c>
      <c r="AE374" s="476">
        <v>0</v>
      </c>
      <c r="AF374" s="467">
        <v>0</v>
      </c>
      <c r="AG374" s="468">
        <v>0</v>
      </c>
      <c r="AH374" s="218">
        <v>0</v>
      </c>
      <c r="AI374" s="470">
        <v>0</v>
      </c>
      <c r="AJ374" s="471">
        <v>0</v>
      </c>
      <c r="AK374" s="218">
        <v>0</v>
      </c>
      <c r="AL374" s="470">
        <v>0</v>
      </c>
      <c r="AM374" s="471">
        <v>0</v>
      </c>
      <c r="AN374" s="477">
        <v>0</v>
      </c>
      <c r="AO374" s="473">
        <v>0</v>
      </c>
      <c r="AP374" s="474">
        <v>0</v>
      </c>
      <c r="AQ374" s="352"/>
      <c r="AR374" s="352"/>
      <c r="AS374" s="352"/>
      <c r="AT374" s="352"/>
      <c r="AU374" s="352"/>
      <c r="AV374" s="352"/>
      <c r="AW374" s="352" t="s">
        <v>254</v>
      </c>
    </row>
    <row r="375" spans="2:49" x14ac:dyDescent="0.2">
      <c r="B375" s="460" t="s">
        <v>2469</v>
      </c>
      <c r="C375" s="460">
        <v>1231</v>
      </c>
      <c r="D375" s="460" t="s">
        <v>2346</v>
      </c>
      <c r="E375" s="460" t="s">
        <v>2324</v>
      </c>
      <c r="F375" s="460">
        <v>1</v>
      </c>
      <c r="G375" s="460">
        <v>3</v>
      </c>
      <c r="H375" s="461" t="s">
        <v>752</v>
      </c>
      <c r="I375" s="461" t="s">
        <v>964</v>
      </c>
      <c r="J375" s="461" t="s">
        <v>752</v>
      </c>
      <c r="K375" s="594"/>
      <c r="L375" s="594"/>
      <c r="M375" s="352">
        <v>1000</v>
      </c>
      <c r="N375" s="352" t="s">
        <v>698</v>
      </c>
      <c r="O375" s="460">
        <v>1231</v>
      </c>
      <c r="P375" s="460" t="s">
        <v>726</v>
      </c>
      <c r="Q375" s="460" t="s">
        <v>2266</v>
      </c>
      <c r="R375" s="460">
        <v>1231</v>
      </c>
      <c r="S375" s="460" t="s">
        <v>2324</v>
      </c>
      <c r="T375" s="462">
        <v>1</v>
      </c>
      <c r="U375" s="460" t="s">
        <v>2324</v>
      </c>
      <c r="V375" s="475">
        <v>0</v>
      </c>
      <c r="W375" s="463" t="s">
        <v>2278</v>
      </c>
      <c r="X375" s="463" t="s">
        <v>2278</v>
      </c>
      <c r="Y375" s="463" t="s">
        <v>2278</v>
      </c>
      <c r="Z375" s="463"/>
      <c r="AA375" s="463"/>
      <c r="AB375" s="464">
        <v>0</v>
      </c>
      <c r="AC375" s="465">
        <v>0</v>
      </c>
      <c r="AD375" s="465">
        <v>0</v>
      </c>
      <c r="AE375" s="476">
        <v>0</v>
      </c>
      <c r="AF375" s="467">
        <v>0</v>
      </c>
      <c r="AG375" s="468">
        <v>0</v>
      </c>
      <c r="AH375" s="218">
        <v>0</v>
      </c>
      <c r="AI375" s="470">
        <v>0</v>
      </c>
      <c r="AJ375" s="471">
        <v>0</v>
      </c>
      <c r="AK375" s="218">
        <v>0</v>
      </c>
      <c r="AL375" s="470">
        <v>0</v>
      </c>
      <c r="AM375" s="471">
        <v>0</v>
      </c>
      <c r="AN375" s="477">
        <v>0</v>
      </c>
      <c r="AO375" s="473">
        <v>0</v>
      </c>
      <c r="AP375" s="474">
        <v>0</v>
      </c>
      <c r="AQ375" s="352"/>
      <c r="AR375" s="352"/>
      <c r="AS375" s="352"/>
      <c r="AT375" s="352"/>
      <c r="AU375" s="352"/>
      <c r="AV375" s="352"/>
      <c r="AW375" s="352" t="s">
        <v>254</v>
      </c>
    </row>
    <row r="376" spans="2:49" x14ac:dyDescent="0.2">
      <c r="B376" s="460" t="s">
        <v>2470</v>
      </c>
      <c r="C376" s="460">
        <v>1231</v>
      </c>
      <c r="D376" s="460" t="s">
        <v>2347</v>
      </c>
      <c r="E376" s="460" t="s">
        <v>2327</v>
      </c>
      <c r="F376" s="460">
        <v>2</v>
      </c>
      <c r="G376" s="460">
        <v>3</v>
      </c>
      <c r="H376" s="461" t="s">
        <v>752</v>
      </c>
      <c r="I376" s="461" t="s">
        <v>964</v>
      </c>
      <c r="J376" s="461" t="s">
        <v>752</v>
      </c>
      <c r="K376" s="594"/>
      <c r="L376" s="594"/>
      <c r="M376" s="352">
        <v>1000</v>
      </c>
      <c r="N376" s="352" t="s">
        <v>698</v>
      </c>
      <c r="O376" s="460">
        <v>1231</v>
      </c>
      <c r="P376" s="460" t="s">
        <v>726</v>
      </c>
      <c r="Q376" s="460" t="s">
        <v>2266</v>
      </c>
      <c r="R376" s="460">
        <v>1231</v>
      </c>
      <c r="S376" s="460" t="s">
        <v>2324</v>
      </c>
      <c r="T376" s="462">
        <v>1</v>
      </c>
      <c r="U376" s="460" t="s">
        <v>2327</v>
      </c>
      <c r="V376" s="475">
        <v>0</v>
      </c>
      <c r="W376" s="463" t="s">
        <v>2278</v>
      </c>
      <c r="X376" s="463" t="s">
        <v>2278</v>
      </c>
      <c r="Y376" s="463" t="s">
        <v>2278</v>
      </c>
      <c r="Z376" s="463"/>
      <c r="AA376" s="463"/>
      <c r="AB376" s="464">
        <v>0</v>
      </c>
      <c r="AC376" s="465">
        <v>0</v>
      </c>
      <c r="AD376" s="465">
        <v>0</v>
      </c>
      <c r="AE376" s="476">
        <v>0</v>
      </c>
      <c r="AF376" s="467">
        <v>0</v>
      </c>
      <c r="AG376" s="468">
        <v>0</v>
      </c>
      <c r="AH376" s="218">
        <v>0</v>
      </c>
      <c r="AI376" s="470">
        <v>0</v>
      </c>
      <c r="AJ376" s="471">
        <v>0</v>
      </c>
      <c r="AK376" s="218">
        <v>0</v>
      </c>
      <c r="AL376" s="470">
        <v>0</v>
      </c>
      <c r="AM376" s="471">
        <v>0</v>
      </c>
      <c r="AN376" s="477">
        <v>0</v>
      </c>
      <c r="AO376" s="473">
        <v>0</v>
      </c>
      <c r="AP376" s="474">
        <v>0</v>
      </c>
      <c r="AQ376" s="352"/>
      <c r="AR376" s="352"/>
      <c r="AS376" s="352"/>
      <c r="AT376" s="352"/>
      <c r="AU376" s="352"/>
      <c r="AV376" s="352"/>
      <c r="AW376" s="352" t="s">
        <v>254</v>
      </c>
    </row>
    <row r="377" spans="2:49" x14ac:dyDescent="0.2">
      <c r="B377" s="460" t="s">
        <v>2471</v>
      </c>
      <c r="C377" s="460">
        <v>1231</v>
      </c>
      <c r="D377" s="460" t="s">
        <v>2348</v>
      </c>
      <c r="E377" s="460" t="s">
        <v>2330</v>
      </c>
      <c r="F377" s="460">
        <v>3</v>
      </c>
      <c r="G377" s="460">
        <v>3</v>
      </c>
      <c r="H377" s="461" t="s">
        <v>752</v>
      </c>
      <c r="I377" s="461" t="s">
        <v>964</v>
      </c>
      <c r="J377" s="461" t="s">
        <v>752</v>
      </c>
      <c r="K377" s="594"/>
      <c r="L377" s="594"/>
      <c r="M377" s="352">
        <v>1000</v>
      </c>
      <c r="N377" s="352" t="s">
        <v>698</v>
      </c>
      <c r="O377" s="460">
        <v>1231</v>
      </c>
      <c r="P377" s="460" t="s">
        <v>726</v>
      </c>
      <c r="Q377" s="460" t="s">
        <v>2266</v>
      </c>
      <c r="R377" s="460">
        <v>1231</v>
      </c>
      <c r="S377" s="460" t="s">
        <v>2324</v>
      </c>
      <c r="T377" s="462">
        <v>1</v>
      </c>
      <c r="U377" s="460" t="s">
        <v>2330</v>
      </c>
      <c r="V377" s="475">
        <v>0</v>
      </c>
      <c r="W377" s="463" t="s">
        <v>2278</v>
      </c>
      <c r="X377" s="463" t="s">
        <v>2278</v>
      </c>
      <c r="Y377" s="463" t="s">
        <v>2278</v>
      </c>
      <c r="Z377" s="463"/>
      <c r="AA377" s="463"/>
      <c r="AB377" s="464">
        <v>0</v>
      </c>
      <c r="AC377" s="465">
        <v>0</v>
      </c>
      <c r="AD377" s="465">
        <v>0</v>
      </c>
      <c r="AE377" s="476">
        <v>0</v>
      </c>
      <c r="AF377" s="467">
        <v>0</v>
      </c>
      <c r="AG377" s="468">
        <v>0</v>
      </c>
      <c r="AH377" s="218">
        <v>0</v>
      </c>
      <c r="AI377" s="470">
        <v>0</v>
      </c>
      <c r="AJ377" s="471">
        <v>0</v>
      </c>
      <c r="AK377" s="218">
        <v>0</v>
      </c>
      <c r="AL377" s="470">
        <v>0</v>
      </c>
      <c r="AM377" s="471">
        <v>0</v>
      </c>
      <c r="AN377" s="477">
        <v>0</v>
      </c>
      <c r="AO377" s="473">
        <v>0</v>
      </c>
      <c r="AP377" s="474">
        <v>0</v>
      </c>
      <c r="AQ377" s="352"/>
      <c r="AR377" s="352"/>
      <c r="AS377" s="352"/>
      <c r="AT377" s="352"/>
      <c r="AU377" s="352"/>
      <c r="AV377" s="352"/>
      <c r="AW377" s="352" t="s">
        <v>254</v>
      </c>
    </row>
    <row r="378" spans="2:49" x14ac:dyDescent="0.2">
      <c r="B378" s="460" t="s">
        <v>2472</v>
      </c>
      <c r="C378" s="460">
        <v>1231</v>
      </c>
      <c r="D378" s="460" t="s">
        <v>2349</v>
      </c>
      <c r="E378" s="460" t="s">
        <v>2333</v>
      </c>
      <c r="F378" s="460">
        <v>4</v>
      </c>
      <c r="G378" s="460">
        <v>3</v>
      </c>
      <c r="H378" s="461" t="s">
        <v>752</v>
      </c>
      <c r="I378" s="461" t="s">
        <v>964</v>
      </c>
      <c r="J378" s="461" t="s">
        <v>752</v>
      </c>
      <c r="K378" s="594"/>
      <c r="L378" s="594"/>
      <c r="M378" s="352">
        <v>1000</v>
      </c>
      <c r="N378" s="352" t="s">
        <v>698</v>
      </c>
      <c r="O378" s="460">
        <v>1231</v>
      </c>
      <c r="P378" s="460" t="s">
        <v>726</v>
      </c>
      <c r="Q378" s="460" t="s">
        <v>2266</v>
      </c>
      <c r="R378" s="460">
        <v>1231</v>
      </c>
      <c r="S378" s="460" t="s">
        <v>2333</v>
      </c>
      <c r="T378" s="462">
        <v>1</v>
      </c>
      <c r="U378" s="460" t="s">
        <v>2333</v>
      </c>
      <c r="V378" s="475">
        <v>0</v>
      </c>
      <c r="W378" s="463" t="s">
        <v>2278</v>
      </c>
      <c r="X378" s="463" t="s">
        <v>2278</v>
      </c>
      <c r="Y378" s="463" t="s">
        <v>2278</v>
      </c>
      <c r="Z378" s="463"/>
      <c r="AA378" s="463"/>
      <c r="AB378" s="464">
        <v>0</v>
      </c>
      <c r="AC378" s="465">
        <v>0</v>
      </c>
      <c r="AD378" s="465">
        <v>0</v>
      </c>
      <c r="AE378" s="476">
        <v>0</v>
      </c>
      <c r="AF378" s="467">
        <v>0</v>
      </c>
      <c r="AG378" s="468">
        <v>0</v>
      </c>
      <c r="AH378" s="218">
        <v>0</v>
      </c>
      <c r="AI378" s="470">
        <v>0</v>
      </c>
      <c r="AJ378" s="471">
        <v>0</v>
      </c>
      <c r="AK378" s="218">
        <v>0</v>
      </c>
      <c r="AL378" s="470">
        <v>0</v>
      </c>
      <c r="AM378" s="471">
        <v>0</v>
      </c>
      <c r="AN378" s="477">
        <v>0</v>
      </c>
      <c r="AO378" s="473">
        <v>0</v>
      </c>
      <c r="AP378" s="474">
        <v>0</v>
      </c>
      <c r="AQ378" s="352"/>
      <c r="AR378" s="352"/>
      <c r="AS378" s="352"/>
      <c r="AT378" s="352"/>
      <c r="AU378" s="352"/>
      <c r="AV378" s="352"/>
      <c r="AW378" s="352" t="s">
        <v>254</v>
      </c>
    </row>
    <row r="379" spans="2:49" x14ac:dyDescent="0.2">
      <c r="B379" s="460" t="s">
        <v>2473</v>
      </c>
      <c r="C379" s="460">
        <v>1231</v>
      </c>
      <c r="D379" s="460" t="s">
        <v>2351</v>
      </c>
      <c r="E379" s="460" t="s">
        <v>1136</v>
      </c>
      <c r="F379" s="460">
        <v>1</v>
      </c>
      <c r="G379" s="460">
        <v>4</v>
      </c>
      <c r="H379" s="461" t="s">
        <v>700</v>
      </c>
      <c r="I379" s="461" t="s">
        <v>872</v>
      </c>
      <c r="J379" s="461" t="s">
        <v>700</v>
      </c>
      <c r="K379" s="594"/>
      <c r="L379" s="594"/>
      <c r="M379" s="352">
        <v>1000</v>
      </c>
      <c r="N379" s="352" t="s">
        <v>698</v>
      </c>
      <c r="O379" s="460">
        <v>1231</v>
      </c>
      <c r="P379" s="460" t="s">
        <v>726</v>
      </c>
      <c r="Q379" s="460" t="s">
        <v>2266</v>
      </c>
      <c r="R379" s="460">
        <v>1231</v>
      </c>
      <c r="S379" s="460" t="s">
        <v>1136</v>
      </c>
      <c r="T379" s="462">
        <v>1</v>
      </c>
      <c r="U379" s="460" t="s">
        <v>1136</v>
      </c>
      <c r="V379" s="475">
        <v>0</v>
      </c>
      <c r="W379" s="463" t="s">
        <v>2267</v>
      </c>
      <c r="X379" s="463" t="s">
        <v>2267</v>
      </c>
      <c r="Y379" s="463" t="s">
        <v>2268</v>
      </c>
      <c r="Z379" s="463"/>
      <c r="AA379" s="463"/>
      <c r="AB379" s="464">
        <v>30.368862386681279</v>
      </c>
      <c r="AC379" s="465">
        <v>2.3906236124327362E-2</v>
      </c>
      <c r="AD379" s="465">
        <v>8.6405767509178055E-2</v>
      </c>
      <c r="AE379" s="476">
        <v>30.368862386681279</v>
      </c>
      <c r="AF379" s="467">
        <v>2.3906236124327362E-2</v>
      </c>
      <c r="AG379" s="468">
        <v>9.392838891900443E-2</v>
      </c>
      <c r="AH379" s="218">
        <v>30.368862386681279</v>
      </c>
      <c r="AI379" s="470">
        <v>2.3906236124327362E-2</v>
      </c>
      <c r="AJ379" s="471">
        <v>2.37170649085768E-2</v>
      </c>
      <c r="AK379" s="218">
        <v>30.368862386681279</v>
      </c>
      <c r="AL379" s="470">
        <v>2.3906236124327362E-2</v>
      </c>
      <c r="AM379" s="471">
        <v>2.37170649085768E-2</v>
      </c>
      <c r="AN379" s="477">
        <v>0</v>
      </c>
      <c r="AO379" s="473">
        <v>0</v>
      </c>
      <c r="AP379" s="474">
        <v>0</v>
      </c>
      <c r="AQ379" s="352"/>
      <c r="AR379" s="352"/>
      <c r="AS379" s="352"/>
      <c r="AT379" s="352"/>
      <c r="AU379" s="352"/>
      <c r="AV379" s="352"/>
      <c r="AW379" s="352" t="s">
        <v>254</v>
      </c>
    </row>
    <row r="380" spans="2:49" x14ac:dyDescent="0.2">
      <c r="B380" s="460" t="s">
        <v>2474</v>
      </c>
      <c r="C380" s="460">
        <v>1231</v>
      </c>
      <c r="D380" s="460" t="s">
        <v>2353</v>
      </c>
      <c r="E380" s="460" t="s">
        <v>1137</v>
      </c>
      <c r="F380" s="460">
        <v>2</v>
      </c>
      <c r="G380" s="460">
        <v>4</v>
      </c>
      <c r="H380" s="461" t="s">
        <v>700</v>
      </c>
      <c r="I380" s="461" t="s">
        <v>872</v>
      </c>
      <c r="J380" s="461" t="s">
        <v>700</v>
      </c>
      <c r="K380" s="594"/>
      <c r="L380" s="594"/>
      <c r="M380" s="352">
        <v>1000</v>
      </c>
      <c r="N380" s="352" t="s">
        <v>698</v>
      </c>
      <c r="O380" s="460">
        <v>1231</v>
      </c>
      <c r="P380" s="460" t="s">
        <v>726</v>
      </c>
      <c r="Q380" s="460" t="s">
        <v>2266</v>
      </c>
      <c r="R380" s="460">
        <v>1231</v>
      </c>
      <c r="S380" s="460" t="s">
        <v>1137</v>
      </c>
      <c r="T380" s="462">
        <v>1</v>
      </c>
      <c r="U380" s="460" t="s">
        <v>1137</v>
      </c>
      <c r="V380" s="475">
        <v>0</v>
      </c>
      <c r="W380" s="463" t="s">
        <v>2267</v>
      </c>
      <c r="X380" s="463" t="s">
        <v>2267</v>
      </c>
      <c r="Y380" s="463" t="s">
        <v>2268</v>
      </c>
      <c r="Z380" s="463"/>
      <c r="AA380" s="463"/>
      <c r="AB380" s="464">
        <v>563.4196448264255</v>
      </c>
      <c r="AC380" s="465">
        <v>0.29892926511722567</v>
      </c>
      <c r="AD380" s="465">
        <v>0.12722867550378331</v>
      </c>
      <c r="AE380" s="476">
        <v>563.4196448264255</v>
      </c>
      <c r="AF380" s="467">
        <v>0.29892926511722567</v>
      </c>
      <c r="AG380" s="468">
        <v>0.1370673627401775</v>
      </c>
      <c r="AH380" s="218">
        <v>563.4196448264255</v>
      </c>
      <c r="AI380" s="470">
        <v>0.29892926511722567</v>
      </c>
      <c r="AJ380" s="471">
        <v>0.11640781066976562</v>
      </c>
      <c r="AK380" s="218">
        <v>563.4196448264255</v>
      </c>
      <c r="AL380" s="470">
        <v>0.29892926511722567</v>
      </c>
      <c r="AM380" s="471">
        <v>0.11640781066976562</v>
      </c>
      <c r="AN380" s="477">
        <v>0</v>
      </c>
      <c r="AO380" s="473">
        <v>0</v>
      </c>
      <c r="AP380" s="474">
        <v>0</v>
      </c>
      <c r="AQ380" s="352"/>
      <c r="AR380" s="352"/>
      <c r="AS380" s="352"/>
      <c r="AT380" s="352"/>
      <c r="AU380" s="352"/>
      <c r="AV380" s="352"/>
      <c r="AW380" s="352" t="s">
        <v>254</v>
      </c>
    </row>
    <row r="381" spans="2:49" x14ac:dyDescent="0.2">
      <c r="B381" s="460" t="s">
        <v>2475</v>
      </c>
      <c r="C381" s="460">
        <v>1231</v>
      </c>
      <c r="D381" s="460" t="s">
        <v>2355</v>
      </c>
      <c r="E381" s="460" t="s">
        <v>1138</v>
      </c>
      <c r="F381" s="460">
        <v>3</v>
      </c>
      <c r="G381" s="460">
        <v>4</v>
      </c>
      <c r="H381" s="461" t="s">
        <v>700</v>
      </c>
      <c r="I381" s="461" t="s">
        <v>872</v>
      </c>
      <c r="J381" s="461" t="s">
        <v>700</v>
      </c>
      <c r="K381" s="594"/>
      <c r="L381" s="594"/>
      <c r="M381" s="352">
        <v>1000</v>
      </c>
      <c r="N381" s="352" t="s">
        <v>698</v>
      </c>
      <c r="O381" s="460">
        <v>1231</v>
      </c>
      <c r="P381" s="460" t="s">
        <v>726</v>
      </c>
      <c r="Q381" s="460" t="s">
        <v>2266</v>
      </c>
      <c r="R381" s="460">
        <v>1231</v>
      </c>
      <c r="S381" s="460" t="s">
        <v>1138</v>
      </c>
      <c r="T381" s="462">
        <v>1</v>
      </c>
      <c r="U381" s="460" t="s">
        <v>1138</v>
      </c>
      <c r="V381" s="475">
        <v>0</v>
      </c>
      <c r="W381" s="463" t="s">
        <v>2267</v>
      </c>
      <c r="X381" s="463" t="s">
        <v>2267</v>
      </c>
      <c r="Y381" s="463" t="s">
        <v>2268</v>
      </c>
      <c r="Z381" s="463"/>
      <c r="AA381" s="463"/>
      <c r="AB381" s="464">
        <v>341.29593279438012</v>
      </c>
      <c r="AC381" s="465">
        <v>0.34449960388533868</v>
      </c>
      <c r="AD381" s="465">
        <v>0.14319690611785213</v>
      </c>
      <c r="AE381" s="476">
        <v>341.29593279438012</v>
      </c>
      <c r="AF381" s="467">
        <v>0.34449960388533868</v>
      </c>
      <c r="AG381" s="468">
        <v>0.15449008910912185</v>
      </c>
      <c r="AH381" s="218">
        <v>341.29593279438012</v>
      </c>
      <c r="AI381" s="470">
        <v>0.34449960388533868</v>
      </c>
      <c r="AJ381" s="471">
        <v>0.11761268946139378</v>
      </c>
      <c r="AK381" s="218">
        <v>341.29593279438012</v>
      </c>
      <c r="AL381" s="470">
        <v>0.34449960388533868</v>
      </c>
      <c r="AM381" s="471">
        <v>0.11761268946139378</v>
      </c>
      <c r="AN381" s="477">
        <v>0</v>
      </c>
      <c r="AO381" s="473">
        <v>0</v>
      </c>
      <c r="AP381" s="474">
        <v>0</v>
      </c>
      <c r="AQ381" s="352"/>
      <c r="AR381" s="352"/>
      <c r="AS381" s="352"/>
      <c r="AT381" s="352"/>
      <c r="AU381" s="352"/>
      <c r="AV381" s="352"/>
      <c r="AW381" s="352" t="s">
        <v>254</v>
      </c>
    </row>
    <row r="382" spans="2:49" x14ac:dyDescent="0.2">
      <c r="B382" s="460" t="s">
        <v>2476</v>
      </c>
      <c r="C382" s="460">
        <v>1231</v>
      </c>
      <c r="D382" s="460" t="s">
        <v>2357</v>
      </c>
      <c r="E382" s="460" t="s">
        <v>1139</v>
      </c>
      <c r="F382" s="460">
        <v>4</v>
      </c>
      <c r="G382" s="460">
        <v>4</v>
      </c>
      <c r="H382" s="461" t="s">
        <v>700</v>
      </c>
      <c r="I382" s="461" t="s">
        <v>872</v>
      </c>
      <c r="J382" s="461" t="s">
        <v>700</v>
      </c>
      <c r="K382" s="594"/>
      <c r="L382" s="594"/>
      <c r="M382" s="352">
        <v>1000</v>
      </c>
      <c r="N382" s="352" t="s">
        <v>698</v>
      </c>
      <c r="O382" s="460">
        <v>1231</v>
      </c>
      <c r="P382" s="460" t="s">
        <v>726</v>
      </c>
      <c r="Q382" s="460" t="s">
        <v>2266</v>
      </c>
      <c r="R382" s="460">
        <v>1231</v>
      </c>
      <c r="S382" s="460" t="s">
        <v>1139</v>
      </c>
      <c r="T382" s="462">
        <v>1</v>
      </c>
      <c r="U382" s="460" t="s">
        <v>1139</v>
      </c>
      <c r="V382" s="475">
        <v>0</v>
      </c>
      <c r="W382" s="463" t="s">
        <v>2267</v>
      </c>
      <c r="X382" s="463" t="s">
        <v>2267</v>
      </c>
      <c r="Y382" s="463" t="s">
        <v>2268</v>
      </c>
      <c r="Z382" s="463"/>
      <c r="AA382" s="463"/>
      <c r="AB382" s="464">
        <v>0</v>
      </c>
      <c r="AC382" s="465">
        <v>0</v>
      </c>
      <c r="AD382" s="465">
        <v>0</v>
      </c>
      <c r="AE382" s="476">
        <v>0</v>
      </c>
      <c r="AF382" s="467">
        <v>0</v>
      </c>
      <c r="AG382" s="468">
        <v>0</v>
      </c>
      <c r="AH382" s="218">
        <v>0</v>
      </c>
      <c r="AI382" s="470">
        <v>0</v>
      </c>
      <c r="AJ382" s="471">
        <v>0</v>
      </c>
      <c r="AK382" s="218">
        <v>0</v>
      </c>
      <c r="AL382" s="470">
        <v>0</v>
      </c>
      <c r="AM382" s="471">
        <v>0</v>
      </c>
      <c r="AN382" s="477">
        <v>0</v>
      </c>
      <c r="AO382" s="473">
        <v>0</v>
      </c>
      <c r="AP382" s="474">
        <v>0</v>
      </c>
      <c r="AQ382" s="352"/>
      <c r="AR382" s="352"/>
      <c r="AS382" s="352"/>
      <c r="AT382" s="352"/>
      <c r="AU382" s="352"/>
      <c r="AV382" s="352"/>
      <c r="AW382" s="352" t="s">
        <v>254</v>
      </c>
    </row>
    <row r="383" spans="2:49" x14ac:dyDescent="0.2">
      <c r="B383" s="460" t="s">
        <v>2473</v>
      </c>
      <c r="C383" s="460">
        <v>1231</v>
      </c>
      <c r="D383" s="460" t="s">
        <v>2358</v>
      </c>
      <c r="E383" s="460" t="s">
        <v>1136</v>
      </c>
      <c r="F383" s="460">
        <v>1</v>
      </c>
      <c r="G383" s="460">
        <v>4</v>
      </c>
      <c r="H383" s="461" t="s">
        <v>712</v>
      </c>
      <c r="I383" s="461" t="s">
        <v>713</v>
      </c>
      <c r="J383" s="461" t="s">
        <v>712</v>
      </c>
      <c r="K383" s="594"/>
      <c r="L383" s="594"/>
      <c r="M383" s="352">
        <v>1000</v>
      </c>
      <c r="N383" s="352" t="s">
        <v>698</v>
      </c>
      <c r="O383" s="460">
        <v>1231</v>
      </c>
      <c r="P383" s="460" t="s">
        <v>726</v>
      </c>
      <c r="Q383" s="460" t="s">
        <v>2280</v>
      </c>
      <c r="R383" s="460">
        <v>1231</v>
      </c>
      <c r="S383" s="460" t="s">
        <v>1136</v>
      </c>
      <c r="T383" s="462">
        <v>1</v>
      </c>
      <c r="U383" s="460" t="s">
        <v>1136</v>
      </c>
      <c r="V383" s="475">
        <v>0</v>
      </c>
      <c r="W383" s="463" t="s">
        <v>713</v>
      </c>
      <c r="X383" s="463" t="s">
        <v>713</v>
      </c>
      <c r="Y383" s="463" t="s">
        <v>713</v>
      </c>
      <c r="Z383" s="463"/>
      <c r="AA383" s="463"/>
      <c r="AB383" s="464">
        <v>1090.5206082968007</v>
      </c>
      <c r="AC383" s="465">
        <v>0.85845307039956564</v>
      </c>
      <c r="AD383" s="465">
        <v>7.1869347459804995E-3</v>
      </c>
      <c r="AE383" s="476">
        <v>1090.5206082968007</v>
      </c>
      <c r="AF383" s="467">
        <v>0.85845307039956564</v>
      </c>
      <c r="AG383" s="468">
        <v>7.1856017430892401E-3</v>
      </c>
      <c r="AH383" s="218">
        <v>1090.5206082968007</v>
      </c>
      <c r="AI383" s="470">
        <v>0.85845307039956564</v>
      </c>
      <c r="AJ383" s="471">
        <v>7.2586306084836769E-3</v>
      </c>
      <c r="AK383" s="218">
        <v>1090.5206082968007</v>
      </c>
      <c r="AL383" s="470">
        <v>0.85845307039956564</v>
      </c>
      <c r="AM383" s="471">
        <v>7.2586306084836769E-3</v>
      </c>
      <c r="AN383" s="477">
        <v>1090.5206082968007</v>
      </c>
      <c r="AO383" s="473">
        <v>0.85845307039956564</v>
      </c>
      <c r="AP383" s="474">
        <v>7.246819802864627E-3</v>
      </c>
      <c r="AQ383" s="352"/>
      <c r="AR383" s="352"/>
      <c r="AS383" s="352"/>
      <c r="AT383" s="352"/>
      <c r="AU383" s="352"/>
      <c r="AV383" s="352"/>
      <c r="AW383" s="352" t="s">
        <v>254</v>
      </c>
    </row>
    <row r="384" spans="2:49" x14ac:dyDescent="0.2">
      <c r="B384" s="460" t="s">
        <v>2474</v>
      </c>
      <c r="C384" s="460">
        <v>1231</v>
      </c>
      <c r="D384" s="460" t="s">
        <v>2359</v>
      </c>
      <c r="E384" s="460" t="s">
        <v>1137</v>
      </c>
      <c r="F384" s="460">
        <v>2</v>
      </c>
      <c r="G384" s="460">
        <v>4</v>
      </c>
      <c r="H384" s="461" t="s">
        <v>712</v>
      </c>
      <c r="I384" s="461" t="s">
        <v>713</v>
      </c>
      <c r="J384" s="461" t="s">
        <v>712</v>
      </c>
      <c r="K384" s="594"/>
      <c r="L384" s="594"/>
      <c r="M384" s="352">
        <v>1000</v>
      </c>
      <c r="N384" s="352" t="s">
        <v>698</v>
      </c>
      <c r="O384" s="460">
        <v>1231</v>
      </c>
      <c r="P384" s="460" t="s">
        <v>726</v>
      </c>
      <c r="Q384" s="460" t="s">
        <v>2280</v>
      </c>
      <c r="R384" s="460">
        <v>1231</v>
      </c>
      <c r="S384" s="460" t="s">
        <v>1137</v>
      </c>
      <c r="T384" s="462">
        <v>1</v>
      </c>
      <c r="U384" s="460" t="s">
        <v>1137</v>
      </c>
      <c r="V384" s="475">
        <v>0</v>
      </c>
      <c r="W384" s="463" t="s">
        <v>713</v>
      </c>
      <c r="X384" s="463" t="s">
        <v>713</v>
      </c>
      <c r="Y384" s="463" t="s">
        <v>713</v>
      </c>
      <c r="Z384" s="463"/>
      <c r="AA384" s="463"/>
      <c r="AB384" s="464">
        <v>1105.6815564073395</v>
      </c>
      <c r="AC384" s="465">
        <v>0.58663303302521674</v>
      </c>
      <c r="AD384" s="465">
        <v>6.3943089644845422E-3</v>
      </c>
      <c r="AE384" s="476">
        <v>1105.6815564073395</v>
      </c>
      <c r="AF384" s="467">
        <v>0.58663303302521674</v>
      </c>
      <c r="AG384" s="468">
        <v>6.3825759496241872E-3</v>
      </c>
      <c r="AH384" s="218">
        <v>1105.6815564073395</v>
      </c>
      <c r="AI384" s="470">
        <v>0.58663303302521674</v>
      </c>
      <c r="AJ384" s="471">
        <v>6.4128626734559985E-3</v>
      </c>
      <c r="AK384" s="218">
        <v>1105.6815564073395</v>
      </c>
      <c r="AL384" s="470">
        <v>0.58663303302521674</v>
      </c>
      <c r="AM384" s="471">
        <v>6.4128626734559985E-3</v>
      </c>
      <c r="AN384" s="477">
        <v>1105.6815564073395</v>
      </c>
      <c r="AO384" s="473">
        <v>0.58663303302521674</v>
      </c>
      <c r="AP384" s="474">
        <v>6.4075711418059671E-3</v>
      </c>
      <c r="AQ384" s="352"/>
      <c r="AR384" s="352"/>
      <c r="AS384" s="352"/>
      <c r="AT384" s="352"/>
      <c r="AU384" s="352"/>
      <c r="AV384" s="352"/>
      <c r="AW384" s="352" t="s">
        <v>254</v>
      </c>
    </row>
    <row r="385" spans="2:49" x14ac:dyDescent="0.2">
      <c r="B385" s="460" t="s">
        <v>2475</v>
      </c>
      <c r="C385" s="460">
        <v>1231</v>
      </c>
      <c r="D385" s="460" t="s">
        <v>2360</v>
      </c>
      <c r="E385" s="460" t="s">
        <v>1138</v>
      </c>
      <c r="F385" s="460">
        <v>3</v>
      </c>
      <c r="G385" s="460">
        <v>4</v>
      </c>
      <c r="H385" s="461" t="s">
        <v>712</v>
      </c>
      <c r="I385" s="461" t="s">
        <v>713</v>
      </c>
      <c r="J385" s="461" t="s">
        <v>712</v>
      </c>
      <c r="K385" s="594"/>
      <c r="L385" s="594"/>
      <c r="M385" s="352">
        <v>1000</v>
      </c>
      <c r="N385" s="352" t="s">
        <v>698</v>
      </c>
      <c r="O385" s="460">
        <v>1231</v>
      </c>
      <c r="P385" s="460" t="s">
        <v>726</v>
      </c>
      <c r="Q385" s="460" t="s">
        <v>2280</v>
      </c>
      <c r="R385" s="460">
        <v>1231</v>
      </c>
      <c r="S385" s="460" t="s">
        <v>1138</v>
      </c>
      <c r="T385" s="462">
        <v>1</v>
      </c>
      <c r="U385" s="460" t="s">
        <v>1138</v>
      </c>
      <c r="V385" s="475">
        <v>0</v>
      </c>
      <c r="W385" s="463" t="s">
        <v>713</v>
      </c>
      <c r="X385" s="463" t="s">
        <v>713</v>
      </c>
      <c r="Y385" s="463" t="s">
        <v>713</v>
      </c>
      <c r="Z385" s="463"/>
      <c r="AA385" s="463"/>
      <c r="AB385" s="464">
        <v>424.93630181889921</v>
      </c>
      <c r="AC385" s="465">
        <v>0.42892508696054998</v>
      </c>
      <c r="AD385" s="465">
        <v>5.303012417772552E-3</v>
      </c>
      <c r="AE385" s="476">
        <v>424.93630181889932</v>
      </c>
      <c r="AF385" s="467">
        <v>0.42892508696055009</v>
      </c>
      <c r="AG385" s="468">
        <v>5.2915072904631492E-3</v>
      </c>
      <c r="AH385" s="218">
        <v>424.93630181889932</v>
      </c>
      <c r="AI385" s="470">
        <v>0.42892508696055009</v>
      </c>
      <c r="AJ385" s="471">
        <v>5.3535521858602587E-3</v>
      </c>
      <c r="AK385" s="218">
        <v>424.93630181889932</v>
      </c>
      <c r="AL385" s="470">
        <v>0.42892508696055009</v>
      </c>
      <c r="AM385" s="471">
        <v>5.3535521858602587E-3</v>
      </c>
      <c r="AN385" s="477">
        <v>424.93630181889932</v>
      </c>
      <c r="AO385" s="473">
        <v>0.42892508696055009</v>
      </c>
      <c r="AP385" s="474">
        <v>5.3531487202915715E-3</v>
      </c>
      <c r="AQ385" s="352"/>
      <c r="AR385" s="352"/>
      <c r="AS385" s="352"/>
      <c r="AT385" s="352"/>
      <c r="AU385" s="352"/>
      <c r="AV385" s="352"/>
      <c r="AW385" s="352" t="s">
        <v>254</v>
      </c>
    </row>
    <row r="386" spans="2:49" x14ac:dyDescent="0.2">
      <c r="B386" s="460" t="s">
        <v>2476</v>
      </c>
      <c r="C386" s="460">
        <v>1231</v>
      </c>
      <c r="D386" s="460" t="s">
        <v>2361</v>
      </c>
      <c r="E386" s="460" t="s">
        <v>1139</v>
      </c>
      <c r="F386" s="460">
        <v>4</v>
      </c>
      <c r="G386" s="460">
        <v>4</v>
      </c>
      <c r="H386" s="461" t="s">
        <v>712</v>
      </c>
      <c r="I386" s="461" t="s">
        <v>713</v>
      </c>
      <c r="J386" s="461" t="s">
        <v>712</v>
      </c>
      <c r="K386" s="594"/>
      <c r="L386" s="594"/>
      <c r="M386" s="352">
        <v>1000</v>
      </c>
      <c r="N386" s="352" t="s">
        <v>698</v>
      </c>
      <c r="O386" s="460">
        <v>1231</v>
      </c>
      <c r="P386" s="460" t="s">
        <v>726</v>
      </c>
      <c r="Q386" s="460" t="s">
        <v>2280</v>
      </c>
      <c r="R386" s="460">
        <v>1231</v>
      </c>
      <c r="S386" s="460" t="s">
        <v>1139</v>
      </c>
      <c r="T386" s="462">
        <v>1</v>
      </c>
      <c r="U386" s="460" t="s">
        <v>1139</v>
      </c>
      <c r="V386" s="475">
        <v>0</v>
      </c>
      <c r="W386" s="463" t="s">
        <v>713</v>
      </c>
      <c r="X386" s="463" t="s">
        <v>713</v>
      </c>
      <c r="Y386" s="463" t="s">
        <v>713</v>
      </c>
      <c r="Z386" s="463"/>
      <c r="AA386" s="463"/>
      <c r="AB386" s="464">
        <v>481.79252181458969</v>
      </c>
      <c r="AC386" s="465">
        <v>0.57887072293916109</v>
      </c>
      <c r="AD386" s="465">
        <v>5.3345201829252103E-3</v>
      </c>
      <c r="AE386" s="476">
        <v>481.79252181458963</v>
      </c>
      <c r="AF386" s="467">
        <v>0.57887072293916098</v>
      </c>
      <c r="AG386" s="468">
        <v>5.3345201829252094E-3</v>
      </c>
      <c r="AH386" s="218">
        <v>481.79252181458963</v>
      </c>
      <c r="AI386" s="470">
        <v>0.57887072293916098</v>
      </c>
      <c r="AJ386" s="471">
        <v>5.4492542814653724E-3</v>
      </c>
      <c r="AK386" s="218">
        <v>481.79252181458963</v>
      </c>
      <c r="AL386" s="470">
        <v>0.57887072293916098</v>
      </c>
      <c r="AM386" s="471">
        <v>5.4492542814653724E-3</v>
      </c>
      <c r="AN386" s="477">
        <v>481.79252181458963</v>
      </c>
      <c r="AO386" s="473">
        <v>0.57887072293916098</v>
      </c>
      <c r="AP386" s="474">
        <v>5.4492542814653724E-3</v>
      </c>
      <c r="AQ386" s="352"/>
      <c r="AR386" s="352"/>
      <c r="AS386" s="352"/>
      <c r="AT386" s="352"/>
      <c r="AU386" s="352"/>
      <c r="AV386" s="352"/>
      <c r="AW386" s="352" t="s">
        <v>254</v>
      </c>
    </row>
    <row r="387" spans="2:49" x14ac:dyDescent="0.2">
      <c r="B387" s="460" t="s">
        <v>2473</v>
      </c>
      <c r="C387" s="460">
        <v>1231</v>
      </c>
      <c r="D387" s="460" t="s">
        <v>2362</v>
      </c>
      <c r="E387" s="460" t="s">
        <v>1136</v>
      </c>
      <c r="F387" s="460">
        <v>1</v>
      </c>
      <c r="G387" s="460">
        <v>4</v>
      </c>
      <c r="H387" s="461" t="s">
        <v>746</v>
      </c>
      <c r="I387" s="461" t="s">
        <v>762</v>
      </c>
      <c r="J387" s="461" t="s">
        <v>700</v>
      </c>
      <c r="K387" s="594"/>
      <c r="L387" s="594"/>
      <c r="M387" s="352">
        <v>1000</v>
      </c>
      <c r="N387" s="352" t="s">
        <v>698</v>
      </c>
      <c r="O387" s="460">
        <v>1231</v>
      </c>
      <c r="P387" s="460" t="s">
        <v>726</v>
      </c>
      <c r="Q387" s="460" t="s">
        <v>2266</v>
      </c>
      <c r="R387" s="460">
        <v>1231</v>
      </c>
      <c r="S387" s="460" t="s">
        <v>1136</v>
      </c>
      <c r="T387" s="462">
        <v>1</v>
      </c>
      <c r="U387" s="460" t="s">
        <v>1136</v>
      </c>
      <c r="V387" s="475">
        <v>0</v>
      </c>
      <c r="W387" s="463" t="s">
        <v>2268</v>
      </c>
      <c r="X387" s="463" t="s">
        <v>2268</v>
      </c>
      <c r="Y387" s="463" t="s">
        <v>2267</v>
      </c>
      <c r="Z387" s="463"/>
      <c r="AA387" s="463"/>
      <c r="AB387" s="464">
        <v>0</v>
      </c>
      <c r="AC387" s="465">
        <v>0</v>
      </c>
      <c r="AD387" s="465">
        <v>0</v>
      </c>
      <c r="AE387" s="476">
        <v>0</v>
      </c>
      <c r="AF387" s="467">
        <v>0</v>
      </c>
      <c r="AG387" s="468">
        <v>0</v>
      </c>
      <c r="AH387" s="218">
        <v>0</v>
      </c>
      <c r="AI387" s="470">
        <v>0</v>
      </c>
      <c r="AJ387" s="471">
        <v>0</v>
      </c>
      <c r="AK387" s="218">
        <v>0</v>
      </c>
      <c r="AL387" s="470">
        <v>0</v>
      </c>
      <c r="AM387" s="471">
        <v>0</v>
      </c>
      <c r="AN387" s="477">
        <v>30.368862386681279</v>
      </c>
      <c r="AO387" s="473">
        <v>2.3906236124327362E-2</v>
      </c>
      <c r="AP387" s="474">
        <v>0.13697848434330637</v>
      </c>
      <c r="AQ387" s="352"/>
      <c r="AR387" s="352"/>
      <c r="AS387" s="352"/>
      <c r="AT387" s="352"/>
      <c r="AU387" s="352"/>
      <c r="AV387" s="352"/>
      <c r="AW387" s="352" t="s">
        <v>254</v>
      </c>
    </row>
    <row r="388" spans="2:49" x14ac:dyDescent="0.2">
      <c r="B388" s="460" t="s">
        <v>2474</v>
      </c>
      <c r="C388" s="460">
        <v>1231</v>
      </c>
      <c r="D388" s="460" t="s">
        <v>2363</v>
      </c>
      <c r="E388" s="460" t="s">
        <v>1137</v>
      </c>
      <c r="F388" s="460">
        <v>2</v>
      </c>
      <c r="G388" s="460">
        <v>4</v>
      </c>
      <c r="H388" s="461" t="s">
        <v>746</v>
      </c>
      <c r="I388" s="461" t="s">
        <v>762</v>
      </c>
      <c r="J388" s="461" t="s">
        <v>700</v>
      </c>
      <c r="K388" s="594"/>
      <c r="L388" s="594"/>
      <c r="M388" s="352">
        <v>1000</v>
      </c>
      <c r="N388" s="352" t="s">
        <v>698</v>
      </c>
      <c r="O388" s="460">
        <v>1231</v>
      </c>
      <c r="P388" s="460" t="s">
        <v>726</v>
      </c>
      <c r="Q388" s="460" t="s">
        <v>2266</v>
      </c>
      <c r="R388" s="460">
        <v>1231</v>
      </c>
      <c r="S388" s="460" t="s">
        <v>1137</v>
      </c>
      <c r="T388" s="462">
        <v>1</v>
      </c>
      <c r="U388" s="460" t="s">
        <v>1137</v>
      </c>
      <c r="V388" s="475">
        <v>0</v>
      </c>
      <c r="W388" s="463" t="s">
        <v>2268</v>
      </c>
      <c r="X388" s="463" t="s">
        <v>2268</v>
      </c>
      <c r="Y388" s="463" t="s">
        <v>2267</v>
      </c>
      <c r="Z388" s="463"/>
      <c r="AA388" s="463"/>
      <c r="AB388" s="464">
        <v>0</v>
      </c>
      <c r="AC388" s="465">
        <v>0</v>
      </c>
      <c r="AD388" s="465">
        <v>0</v>
      </c>
      <c r="AE388" s="476">
        <v>0</v>
      </c>
      <c r="AF388" s="467">
        <v>0</v>
      </c>
      <c r="AG388" s="468">
        <v>0</v>
      </c>
      <c r="AH388" s="218">
        <v>0</v>
      </c>
      <c r="AI388" s="470">
        <v>0</v>
      </c>
      <c r="AJ388" s="471">
        <v>0</v>
      </c>
      <c r="AK388" s="218">
        <v>0</v>
      </c>
      <c r="AL388" s="470">
        <v>0</v>
      </c>
      <c r="AM388" s="471">
        <v>0</v>
      </c>
      <c r="AN388" s="477">
        <v>563.4196448264255</v>
      </c>
      <c r="AO388" s="473">
        <v>0.29892926511722567</v>
      </c>
      <c r="AP388" s="474">
        <v>0.15396206591605704</v>
      </c>
      <c r="AQ388" s="352"/>
      <c r="AR388" s="352"/>
      <c r="AS388" s="352"/>
      <c r="AT388" s="352"/>
      <c r="AU388" s="352"/>
      <c r="AV388" s="352"/>
      <c r="AW388" s="352" t="s">
        <v>254</v>
      </c>
    </row>
    <row r="389" spans="2:49" x14ac:dyDescent="0.2">
      <c r="B389" s="460" t="s">
        <v>2475</v>
      </c>
      <c r="C389" s="460">
        <v>1231</v>
      </c>
      <c r="D389" s="460" t="s">
        <v>2364</v>
      </c>
      <c r="E389" s="460" t="s">
        <v>1138</v>
      </c>
      <c r="F389" s="460">
        <v>3</v>
      </c>
      <c r="G389" s="460">
        <v>4</v>
      </c>
      <c r="H389" s="461" t="s">
        <v>746</v>
      </c>
      <c r="I389" s="461" t="s">
        <v>762</v>
      </c>
      <c r="J389" s="461" t="s">
        <v>700</v>
      </c>
      <c r="K389" s="594"/>
      <c r="L389" s="594"/>
      <c r="M389" s="352">
        <v>1000</v>
      </c>
      <c r="N389" s="352" t="s">
        <v>698</v>
      </c>
      <c r="O389" s="460">
        <v>1231</v>
      </c>
      <c r="P389" s="460" t="s">
        <v>726</v>
      </c>
      <c r="Q389" s="460" t="s">
        <v>2266</v>
      </c>
      <c r="R389" s="460">
        <v>1231</v>
      </c>
      <c r="S389" s="460" t="s">
        <v>1138</v>
      </c>
      <c r="T389" s="462">
        <v>1</v>
      </c>
      <c r="U389" s="460" t="s">
        <v>1138</v>
      </c>
      <c r="V389" s="475">
        <v>0</v>
      </c>
      <c r="W389" s="463" t="s">
        <v>2268</v>
      </c>
      <c r="X389" s="463" t="s">
        <v>2268</v>
      </c>
      <c r="Y389" s="463" t="s">
        <v>2267</v>
      </c>
      <c r="Z389" s="463"/>
      <c r="AA389" s="463"/>
      <c r="AB389" s="464">
        <v>0</v>
      </c>
      <c r="AC389" s="465">
        <v>0</v>
      </c>
      <c r="AD389" s="465">
        <v>0</v>
      </c>
      <c r="AE389" s="476">
        <v>0</v>
      </c>
      <c r="AF389" s="467">
        <v>0</v>
      </c>
      <c r="AG389" s="468">
        <v>0</v>
      </c>
      <c r="AH389" s="218">
        <v>0</v>
      </c>
      <c r="AI389" s="470">
        <v>0</v>
      </c>
      <c r="AJ389" s="471">
        <v>0</v>
      </c>
      <c r="AK389" s="218">
        <v>0</v>
      </c>
      <c r="AL389" s="470">
        <v>0</v>
      </c>
      <c r="AM389" s="471">
        <v>0</v>
      </c>
      <c r="AN389" s="477">
        <v>341.29593279438012</v>
      </c>
      <c r="AO389" s="473">
        <v>0.34449960388533868</v>
      </c>
      <c r="AP389" s="474">
        <v>0.17664760655937012</v>
      </c>
      <c r="AQ389" s="352"/>
      <c r="AR389" s="352"/>
      <c r="AS389" s="352"/>
      <c r="AT389" s="352"/>
      <c r="AU389" s="352"/>
      <c r="AV389" s="352"/>
      <c r="AW389" s="352" t="s">
        <v>254</v>
      </c>
    </row>
    <row r="390" spans="2:49" x14ac:dyDescent="0.2">
      <c r="B390" s="460" t="s">
        <v>2476</v>
      </c>
      <c r="C390" s="460">
        <v>1231</v>
      </c>
      <c r="D390" s="460" t="s">
        <v>2365</v>
      </c>
      <c r="E390" s="460" t="s">
        <v>1139</v>
      </c>
      <c r="F390" s="460">
        <v>4</v>
      </c>
      <c r="G390" s="460">
        <v>4</v>
      </c>
      <c r="H390" s="461" t="s">
        <v>746</v>
      </c>
      <c r="I390" s="461" t="s">
        <v>762</v>
      </c>
      <c r="J390" s="461" t="s">
        <v>700</v>
      </c>
      <c r="K390" s="594"/>
      <c r="L390" s="594"/>
      <c r="M390" s="352">
        <v>1000</v>
      </c>
      <c r="N390" s="352" t="s">
        <v>698</v>
      </c>
      <c r="O390" s="460">
        <v>1231</v>
      </c>
      <c r="P390" s="460" t="s">
        <v>726</v>
      </c>
      <c r="Q390" s="460" t="s">
        <v>2266</v>
      </c>
      <c r="R390" s="460">
        <v>1231</v>
      </c>
      <c r="S390" s="460" t="s">
        <v>1139</v>
      </c>
      <c r="T390" s="462">
        <v>1</v>
      </c>
      <c r="U390" s="460" t="s">
        <v>1139</v>
      </c>
      <c r="V390" s="475">
        <v>0</v>
      </c>
      <c r="W390" s="463" t="s">
        <v>2268</v>
      </c>
      <c r="X390" s="463" t="s">
        <v>2268</v>
      </c>
      <c r="Y390" s="463" t="s">
        <v>2267</v>
      </c>
      <c r="Z390" s="463"/>
      <c r="AA390" s="463"/>
      <c r="AB390" s="464">
        <v>0</v>
      </c>
      <c r="AC390" s="465">
        <v>0</v>
      </c>
      <c r="AD390" s="465">
        <v>0</v>
      </c>
      <c r="AE390" s="476">
        <v>0</v>
      </c>
      <c r="AF390" s="467">
        <v>0</v>
      </c>
      <c r="AG390" s="468">
        <v>0</v>
      </c>
      <c r="AH390" s="218">
        <v>0</v>
      </c>
      <c r="AI390" s="470">
        <v>0</v>
      </c>
      <c r="AJ390" s="471">
        <v>0</v>
      </c>
      <c r="AK390" s="218">
        <v>0</v>
      </c>
      <c r="AL390" s="470">
        <v>0</v>
      </c>
      <c r="AM390" s="471">
        <v>0</v>
      </c>
      <c r="AN390" s="477">
        <v>0</v>
      </c>
      <c r="AO390" s="473">
        <v>0</v>
      </c>
      <c r="AP390" s="474">
        <v>0</v>
      </c>
      <c r="AQ390" s="352"/>
      <c r="AR390" s="352"/>
      <c r="AS390" s="352"/>
      <c r="AT390" s="352"/>
      <c r="AU390" s="352"/>
      <c r="AV390" s="352"/>
      <c r="AW390" s="352" t="s">
        <v>254</v>
      </c>
    </row>
    <row r="391" spans="2:49" x14ac:dyDescent="0.2">
      <c r="B391" s="460" t="s">
        <v>2473</v>
      </c>
      <c r="C391" s="460">
        <v>1231</v>
      </c>
      <c r="D391" s="460" t="s">
        <v>2366</v>
      </c>
      <c r="E391" s="460" t="s">
        <v>1136</v>
      </c>
      <c r="F391" s="460">
        <v>1</v>
      </c>
      <c r="G391" s="460">
        <v>4</v>
      </c>
      <c r="H391" s="461" t="s">
        <v>748</v>
      </c>
      <c r="I391" s="461" t="s">
        <v>765</v>
      </c>
      <c r="J391" s="461" t="s">
        <v>700</v>
      </c>
      <c r="K391" s="594"/>
      <c r="L391" s="594"/>
      <c r="M391" s="352">
        <v>1000</v>
      </c>
      <c r="N391" s="352" t="s">
        <v>698</v>
      </c>
      <c r="O391" s="460">
        <v>1231</v>
      </c>
      <c r="P391" s="460" t="s">
        <v>726</v>
      </c>
      <c r="Q391" s="460" t="s">
        <v>2289</v>
      </c>
      <c r="R391" s="460">
        <v>1231</v>
      </c>
      <c r="S391" s="460" t="s">
        <v>1136</v>
      </c>
      <c r="T391" s="462">
        <v>1</v>
      </c>
      <c r="U391" s="460" t="s">
        <v>1136</v>
      </c>
      <c r="V391" s="475">
        <v>0</v>
      </c>
      <c r="W391" s="463" t="s">
        <v>2268</v>
      </c>
      <c r="X391" s="463" t="s">
        <v>2268</v>
      </c>
      <c r="Y391" s="463" t="s">
        <v>2290</v>
      </c>
      <c r="Z391" s="463"/>
      <c r="AA391" s="463"/>
      <c r="AB391" s="464">
        <v>0</v>
      </c>
      <c r="AC391" s="465">
        <v>0</v>
      </c>
      <c r="AD391" s="465">
        <v>0</v>
      </c>
      <c r="AE391" s="476">
        <v>0</v>
      </c>
      <c r="AF391" s="467">
        <v>0</v>
      </c>
      <c r="AG391" s="468">
        <v>0</v>
      </c>
      <c r="AH391" s="218">
        <v>0</v>
      </c>
      <c r="AI391" s="470">
        <v>0</v>
      </c>
      <c r="AJ391" s="471">
        <v>0</v>
      </c>
      <c r="AK391" s="218">
        <v>0</v>
      </c>
      <c r="AL391" s="470">
        <v>0</v>
      </c>
      <c r="AM391" s="471">
        <v>0</v>
      </c>
      <c r="AN391" s="477">
        <v>0</v>
      </c>
      <c r="AO391" s="473">
        <v>0</v>
      </c>
      <c r="AP391" s="474">
        <v>0</v>
      </c>
      <c r="AQ391" s="352"/>
      <c r="AR391" s="352"/>
      <c r="AS391" s="352"/>
      <c r="AT391" s="352"/>
      <c r="AU391" s="352"/>
      <c r="AV391" s="352"/>
      <c r="AW391" s="352" t="s">
        <v>254</v>
      </c>
    </row>
    <row r="392" spans="2:49" x14ac:dyDescent="0.2">
      <c r="B392" s="460" t="s">
        <v>2474</v>
      </c>
      <c r="C392" s="460">
        <v>1231</v>
      </c>
      <c r="D392" s="460" t="s">
        <v>2367</v>
      </c>
      <c r="E392" s="460" t="s">
        <v>1137</v>
      </c>
      <c r="F392" s="460">
        <v>2</v>
      </c>
      <c r="G392" s="460">
        <v>4</v>
      </c>
      <c r="H392" s="461" t="s">
        <v>748</v>
      </c>
      <c r="I392" s="461" t="s">
        <v>765</v>
      </c>
      <c r="J392" s="461" t="s">
        <v>700</v>
      </c>
      <c r="K392" s="594"/>
      <c r="L392" s="594"/>
      <c r="M392" s="352">
        <v>1000</v>
      </c>
      <c r="N392" s="352" t="s">
        <v>698</v>
      </c>
      <c r="O392" s="460">
        <v>1231</v>
      </c>
      <c r="P392" s="460" t="s">
        <v>726</v>
      </c>
      <c r="Q392" s="460" t="s">
        <v>2289</v>
      </c>
      <c r="R392" s="460">
        <v>1231</v>
      </c>
      <c r="S392" s="460" t="s">
        <v>1137</v>
      </c>
      <c r="T392" s="462">
        <v>1</v>
      </c>
      <c r="U392" s="460" t="s">
        <v>1137</v>
      </c>
      <c r="V392" s="475">
        <v>0</v>
      </c>
      <c r="W392" s="463" t="s">
        <v>2268</v>
      </c>
      <c r="X392" s="463" t="s">
        <v>2268</v>
      </c>
      <c r="Y392" s="463" t="s">
        <v>2290</v>
      </c>
      <c r="Z392" s="463"/>
      <c r="AA392" s="463"/>
      <c r="AB392" s="464">
        <v>0</v>
      </c>
      <c r="AC392" s="465">
        <v>0</v>
      </c>
      <c r="AD392" s="465">
        <v>0</v>
      </c>
      <c r="AE392" s="476">
        <v>0</v>
      </c>
      <c r="AF392" s="467">
        <v>0</v>
      </c>
      <c r="AG392" s="468">
        <v>0</v>
      </c>
      <c r="AH392" s="218">
        <v>0</v>
      </c>
      <c r="AI392" s="470">
        <v>0</v>
      </c>
      <c r="AJ392" s="471">
        <v>0</v>
      </c>
      <c r="AK392" s="218">
        <v>0</v>
      </c>
      <c r="AL392" s="470">
        <v>0</v>
      </c>
      <c r="AM392" s="471">
        <v>0</v>
      </c>
      <c r="AN392" s="477">
        <v>0</v>
      </c>
      <c r="AO392" s="473">
        <v>0</v>
      </c>
      <c r="AP392" s="474">
        <v>0</v>
      </c>
      <c r="AQ392" s="352"/>
      <c r="AR392" s="352"/>
      <c r="AS392" s="352"/>
      <c r="AT392" s="352"/>
      <c r="AU392" s="352"/>
      <c r="AV392" s="352"/>
      <c r="AW392" s="352" t="s">
        <v>254</v>
      </c>
    </row>
    <row r="393" spans="2:49" x14ac:dyDescent="0.2">
      <c r="B393" s="460" t="s">
        <v>2475</v>
      </c>
      <c r="C393" s="460">
        <v>1231</v>
      </c>
      <c r="D393" s="460" t="s">
        <v>2368</v>
      </c>
      <c r="E393" s="460" t="s">
        <v>1138</v>
      </c>
      <c r="F393" s="460">
        <v>3</v>
      </c>
      <c r="G393" s="460">
        <v>4</v>
      </c>
      <c r="H393" s="461" t="s">
        <v>748</v>
      </c>
      <c r="I393" s="461" t="s">
        <v>765</v>
      </c>
      <c r="J393" s="461" t="s">
        <v>700</v>
      </c>
      <c r="K393" s="594"/>
      <c r="L393" s="594"/>
      <c r="M393" s="352">
        <v>1000</v>
      </c>
      <c r="N393" s="352" t="s">
        <v>698</v>
      </c>
      <c r="O393" s="460">
        <v>1231</v>
      </c>
      <c r="P393" s="460" t="s">
        <v>726</v>
      </c>
      <c r="Q393" s="460" t="s">
        <v>2289</v>
      </c>
      <c r="R393" s="460">
        <v>1231</v>
      </c>
      <c r="S393" s="460" t="s">
        <v>1138</v>
      </c>
      <c r="T393" s="462">
        <v>1</v>
      </c>
      <c r="U393" s="460" t="s">
        <v>1138</v>
      </c>
      <c r="V393" s="475">
        <v>0</v>
      </c>
      <c r="W393" s="463" t="s">
        <v>2268</v>
      </c>
      <c r="X393" s="463" t="s">
        <v>2268</v>
      </c>
      <c r="Y393" s="463" t="s">
        <v>2290</v>
      </c>
      <c r="Z393" s="463"/>
      <c r="AA393" s="463"/>
      <c r="AB393" s="464">
        <v>0</v>
      </c>
      <c r="AC393" s="465">
        <v>0</v>
      </c>
      <c r="AD393" s="465">
        <v>0</v>
      </c>
      <c r="AE393" s="476">
        <v>0</v>
      </c>
      <c r="AF393" s="467">
        <v>0</v>
      </c>
      <c r="AG393" s="468">
        <v>0</v>
      </c>
      <c r="AH393" s="218">
        <v>0</v>
      </c>
      <c r="AI393" s="470">
        <v>0</v>
      </c>
      <c r="AJ393" s="471">
        <v>0</v>
      </c>
      <c r="AK393" s="218">
        <v>0</v>
      </c>
      <c r="AL393" s="470">
        <v>0</v>
      </c>
      <c r="AM393" s="471">
        <v>0</v>
      </c>
      <c r="AN393" s="477">
        <v>0</v>
      </c>
      <c r="AO393" s="473">
        <v>0</v>
      </c>
      <c r="AP393" s="474">
        <v>0</v>
      </c>
      <c r="AQ393" s="352"/>
      <c r="AR393" s="352"/>
      <c r="AS393" s="352"/>
      <c r="AT393" s="352"/>
      <c r="AU393" s="352"/>
      <c r="AV393" s="352"/>
      <c r="AW393" s="352" t="s">
        <v>254</v>
      </c>
    </row>
    <row r="394" spans="2:49" x14ac:dyDescent="0.2">
      <c r="B394" s="460" t="s">
        <v>2476</v>
      </c>
      <c r="C394" s="460">
        <v>1231</v>
      </c>
      <c r="D394" s="460" t="s">
        <v>2369</v>
      </c>
      <c r="E394" s="460" t="s">
        <v>1139</v>
      </c>
      <c r="F394" s="460">
        <v>4</v>
      </c>
      <c r="G394" s="460">
        <v>4</v>
      </c>
      <c r="H394" s="461" t="s">
        <v>748</v>
      </c>
      <c r="I394" s="461" t="s">
        <v>765</v>
      </c>
      <c r="J394" s="461" t="s">
        <v>700</v>
      </c>
      <c r="K394" s="594"/>
      <c r="L394" s="594"/>
      <c r="M394" s="352">
        <v>1000</v>
      </c>
      <c r="N394" s="352" t="s">
        <v>698</v>
      </c>
      <c r="O394" s="460">
        <v>1231</v>
      </c>
      <c r="P394" s="460" t="s">
        <v>726</v>
      </c>
      <c r="Q394" s="460" t="s">
        <v>2289</v>
      </c>
      <c r="R394" s="460">
        <v>1231</v>
      </c>
      <c r="S394" s="460" t="s">
        <v>1139</v>
      </c>
      <c r="T394" s="462">
        <v>1</v>
      </c>
      <c r="U394" s="460" t="s">
        <v>1139</v>
      </c>
      <c r="V394" s="475">
        <v>0</v>
      </c>
      <c r="W394" s="463" t="s">
        <v>2268</v>
      </c>
      <c r="X394" s="463" t="s">
        <v>2268</v>
      </c>
      <c r="Y394" s="463" t="s">
        <v>2290</v>
      </c>
      <c r="Z394" s="463"/>
      <c r="AA394" s="463"/>
      <c r="AB394" s="464">
        <v>0</v>
      </c>
      <c r="AC394" s="465">
        <v>0</v>
      </c>
      <c r="AD394" s="465">
        <v>0</v>
      </c>
      <c r="AE394" s="476">
        <v>0</v>
      </c>
      <c r="AF394" s="467">
        <v>0</v>
      </c>
      <c r="AG394" s="468">
        <v>0</v>
      </c>
      <c r="AH394" s="218">
        <v>0</v>
      </c>
      <c r="AI394" s="470">
        <v>0</v>
      </c>
      <c r="AJ394" s="471">
        <v>0</v>
      </c>
      <c r="AK394" s="218">
        <v>0</v>
      </c>
      <c r="AL394" s="470">
        <v>0</v>
      </c>
      <c r="AM394" s="471">
        <v>0</v>
      </c>
      <c r="AN394" s="477">
        <v>0</v>
      </c>
      <c r="AO394" s="473">
        <v>0</v>
      </c>
      <c r="AP394" s="474">
        <v>0</v>
      </c>
      <c r="AQ394" s="352"/>
      <c r="AR394" s="352"/>
      <c r="AS394" s="352"/>
      <c r="AT394" s="352"/>
      <c r="AU394" s="352"/>
      <c r="AV394" s="352"/>
      <c r="AW394" s="352" t="s">
        <v>254</v>
      </c>
    </row>
    <row r="395" spans="2:49" x14ac:dyDescent="0.2">
      <c r="B395" s="460" t="s">
        <v>2473</v>
      </c>
      <c r="C395" s="460">
        <v>1231</v>
      </c>
      <c r="D395" s="460" t="s">
        <v>2370</v>
      </c>
      <c r="E395" s="460" t="s">
        <v>1136</v>
      </c>
      <c r="F395" s="460">
        <v>1</v>
      </c>
      <c r="G395" s="460">
        <v>4</v>
      </c>
      <c r="H395" s="461" t="s">
        <v>752</v>
      </c>
      <c r="I395" s="461" t="s">
        <v>964</v>
      </c>
      <c r="J395" s="461" t="s">
        <v>752</v>
      </c>
      <c r="K395" s="594"/>
      <c r="L395" s="594"/>
      <c r="M395" s="352">
        <v>1000</v>
      </c>
      <c r="N395" s="352" t="s">
        <v>698</v>
      </c>
      <c r="O395" s="460">
        <v>1231</v>
      </c>
      <c r="P395" s="460" t="s">
        <v>726</v>
      </c>
      <c r="Q395" s="460" t="s">
        <v>2266</v>
      </c>
      <c r="R395" s="460">
        <v>1231</v>
      </c>
      <c r="S395" s="460" t="s">
        <v>1136</v>
      </c>
      <c r="T395" s="462">
        <v>1</v>
      </c>
      <c r="U395" s="460" t="s">
        <v>1136</v>
      </c>
      <c r="V395" s="475">
        <v>0</v>
      </c>
      <c r="W395" s="463" t="s">
        <v>2267</v>
      </c>
      <c r="X395" s="463" t="s">
        <v>2267</v>
      </c>
      <c r="Y395" s="463" t="s">
        <v>2267</v>
      </c>
      <c r="Z395" s="463"/>
      <c r="AA395" s="463"/>
      <c r="AB395" s="464">
        <v>149.44276517097146</v>
      </c>
      <c r="AC395" s="465">
        <v>0.11764069347610705</v>
      </c>
      <c r="AD395" s="465">
        <v>4.8395297450798708E-2</v>
      </c>
      <c r="AE395" s="476">
        <v>149.44276517097146</v>
      </c>
      <c r="AF395" s="467">
        <v>0.11764069347610705</v>
      </c>
      <c r="AG395" s="468">
        <v>4.8395297450798708E-2</v>
      </c>
      <c r="AH395" s="218">
        <v>149.44276517097146</v>
      </c>
      <c r="AI395" s="470">
        <v>0.11764069347610705</v>
      </c>
      <c r="AJ395" s="471">
        <v>4.0856862536745892E-2</v>
      </c>
      <c r="AK395" s="218">
        <v>149.44276517097146</v>
      </c>
      <c r="AL395" s="470">
        <v>0.11764069347610705</v>
      </c>
      <c r="AM395" s="471">
        <v>4.0856862536745892E-2</v>
      </c>
      <c r="AN395" s="477">
        <v>149.44276517097146</v>
      </c>
      <c r="AO395" s="473">
        <v>0.11764069347610705</v>
      </c>
      <c r="AP395" s="474">
        <v>4.0856862536745892E-2</v>
      </c>
      <c r="AQ395" s="352"/>
      <c r="AR395" s="352"/>
      <c r="AS395" s="352"/>
      <c r="AT395" s="352"/>
      <c r="AU395" s="352"/>
      <c r="AV395" s="352"/>
      <c r="AW395" s="352" t="s">
        <v>254</v>
      </c>
    </row>
    <row r="396" spans="2:49" x14ac:dyDescent="0.2">
      <c r="B396" s="460" t="s">
        <v>2474</v>
      </c>
      <c r="C396" s="460">
        <v>1231</v>
      </c>
      <c r="D396" s="460" t="s">
        <v>2371</v>
      </c>
      <c r="E396" s="460" t="s">
        <v>1137</v>
      </c>
      <c r="F396" s="460">
        <v>2</v>
      </c>
      <c r="G396" s="460">
        <v>4</v>
      </c>
      <c r="H396" s="461" t="s">
        <v>752</v>
      </c>
      <c r="I396" s="461" t="s">
        <v>964</v>
      </c>
      <c r="J396" s="461" t="s">
        <v>752</v>
      </c>
      <c r="K396" s="594"/>
      <c r="L396" s="594"/>
      <c r="M396" s="352">
        <v>1000</v>
      </c>
      <c r="N396" s="352" t="s">
        <v>698</v>
      </c>
      <c r="O396" s="460">
        <v>1231</v>
      </c>
      <c r="P396" s="460" t="s">
        <v>726</v>
      </c>
      <c r="Q396" s="460" t="s">
        <v>2266</v>
      </c>
      <c r="R396" s="460">
        <v>1231</v>
      </c>
      <c r="S396" s="460" t="s">
        <v>1137</v>
      </c>
      <c r="T396" s="462">
        <v>1</v>
      </c>
      <c r="U396" s="460" t="s">
        <v>1137</v>
      </c>
      <c r="V396" s="475">
        <v>0</v>
      </c>
      <c r="W396" s="463" t="s">
        <v>2267</v>
      </c>
      <c r="X396" s="463" t="s">
        <v>2267</v>
      </c>
      <c r="Y396" s="463" t="s">
        <v>2267</v>
      </c>
      <c r="Z396" s="463"/>
      <c r="AA396" s="463"/>
      <c r="AB396" s="464">
        <v>215.69132520381672</v>
      </c>
      <c r="AC396" s="465">
        <v>0.1144377018575576</v>
      </c>
      <c r="AD396" s="465">
        <v>2.1105167605092214E-2</v>
      </c>
      <c r="AE396" s="476">
        <v>215.69132520381672</v>
      </c>
      <c r="AF396" s="467">
        <v>0.1144377018575576</v>
      </c>
      <c r="AG396" s="468">
        <v>2.1105167605092214E-2</v>
      </c>
      <c r="AH396" s="218">
        <v>215.69132520381672</v>
      </c>
      <c r="AI396" s="470">
        <v>0.1144377018575576</v>
      </c>
      <c r="AJ396" s="471">
        <v>2.0923702429056248E-2</v>
      </c>
      <c r="AK396" s="218">
        <v>215.69132520381672</v>
      </c>
      <c r="AL396" s="470">
        <v>0.1144377018575576</v>
      </c>
      <c r="AM396" s="471">
        <v>2.0923702429056248E-2</v>
      </c>
      <c r="AN396" s="477">
        <v>215.69132520381672</v>
      </c>
      <c r="AO396" s="473">
        <v>0.1144377018575576</v>
      </c>
      <c r="AP396" s="474">
        <v>2.0923702429056248E-2</v>
      </c>
      <c r="AQ396" s="352"/>
      <c r="AR396" s="352"/>
      <c r="AS396" s="352"/>
      <c r="AT396" s="352"/>
      <c r="AU396" s="352"/>
      <c r="AV396" s="352"/>
      <c r="AW396" s="352" t="s">
        <v>254</v>
      </c>
    </row>
    <row r="397" spans="2:49" x14ac:dyDescent="0.2">
      <c r="B397" s="460" t="s">
        <v>2475</v>
      </c>
      <c r="C397" s="460">
        <v>1231</v>
      </c>
      <c r="D397" s="460" t="s">
        <v>2372</v>
      </c>
      <c r="E397" s="460" t="s">
        <v>1138</v>
      </c>
      <c r="F397" s="460">
        <v>3</v>
      </c>
      <c r="G397" s="460">
        <v>4</v>
      </c>
      <c r="H397" s="461" t="s">
        <v>752</v>
      </c>
      <c r="I397" s="461" t="s">
        <v>964</v>
      </c>
      <c r="J397" s="461" t="s">
        <v>752</v>
      </c>
      <c r="K397" s="594"/>
      <c r="L397" s="594"/>
      <c r="M397" s="352">
        <v>1000</v>
      </c>
      <c r="N397" s="352" t="s">
        <v>698</v>
      </c>
      <c r="O397" s="460">
        <v>1231</v>
      </c>
      <c r="P397" s="460" t="s">
        <v>726</v>
      </c>
      <c r="Q397" s="460" t="s">
        <v>2266</v>
      </c>
      <c r="R397" s="460">
        <v>1231</v>
      </c>
      <c r="S397" s="460" t="s">
        <v>1138</v>
      </c>
      <c r="T397" s="462">
        <v>1</v>
      </c>
      <c r="U397" s="460" t="s">
        <v>1138</v>
      </c>
      <c r="V397" s="475">
        <v>0</v>
      </c>
      <c r="W397" s="463" t="s">
        <v>2267</v>
      </c>
      <c r="X397" s="463" t="s">
        <v>2267</v>
      </c>
      <c r="Y397" s="463" t="s">
        <v>2267</v>
      </c>
      <c r="Z397" s="463"/>
      <c r="AA397" s="463"/>
      <c r="AB397" s="464">
        <v>224.46827402351752</v>
      </c>
      <c r="AC397" s="465">
        <v>0.22657530915411125</v>
      </c>
      <c r="AD397" s="465">
        <v>3.8770933550356455E-2</v>
      </c>
      <c r="AE397" s="476">
        <v>224.46827402351752</v>
      </c>
      <c r="AF397" s="467">
        <v>0.22657530915411125</v>
      </c>
      <c r="AG397" s="468">
        <v>3.8770933550356455E-2</v>
      </c>
      <c r="AH397" s="218">
        <v>224.46827402351752</v>
      </c>
      <c r="AI397" s="470">
        <v>0.22657530915411125</v>
      </c>
      <c r="AJ397" s="471">
        <v>3.7239994439151589E-2</v>
      </c>
      <c r="AK397" s="218">
        <v>224.46827402351752</v>
      </c>
      <c r="AL397" s="470">
        <v>0.22657530915411125</v>
      </c>
      <c r="AM397" s="471">
        <v>3.7239994439151589E-2</v>
      </c>
      <c r="AN397" s="477">
        <v>224.46827402351752</v>
      </c>
      <c r="AO397" s="473">
        <v>0.22657530915411125</v>
      </c>
      <c r="AP397" s="474">
        <v>3.7239994439151589E-2</v>
      </c>
      <c r="AQ397" s="352"/>
      <c r="AR397" s="352"/>
      <c r="AS397" s="352"/>
      <c r="AT397" s="352"/>
      <c r="AU397" s="352"/>
      <c r="AV397" s="352"/>
      <c r="AW397" s="352" t="s">
        <v>254</v>
      </c>
    </row>
    <row r="398" spans="2:49" x14ac:dyDescent="0.2">
      <c r="B398" s="460" t="s">
        <v>2476</v>
      </c>
      <c r="C398" s="460">
        <v>1231</v>
      </c>
      <c r="D398" s="460" t="s">
        <v>2373</v>
      </c>
      <c r="E398" s="460" t="s">
        <v>1139</v>
      </c>
      <c r="F398" s="460">
        <v>4</v>
      </c>
      <c r="G398" s="460">
        <v>4</v>
      </c>
      <c r="H398" s="461" t="s">
        <v>752</v>
      </c>
      <c r="I398" s="461" t="s">
        <v>964</v>
      </c>
      <c r="J398" s="461" t="s">
        <v>752</v>
      </c>
      <c r="K398" s="594"/>
      <c r="L398" s="594"/>
      <c r="M398" s="352">
        <v>1000</v>
      </c>
      <c r="N398" s="352" t="s">
        <v>698</v>
      </c>
      <c r="O398" s="460">
        <v>1231</v>
      </c>
      <c r="P398" s="460" t="s">
        <v>726</v>
      </c>
      <c r="Q398" s="460" t="s">
        <v>2266</v>
      </c>
      <c r="R398" s="460">
        <v>1231</v>
      </c>
      <c r="S398" s="460" t="s">
        <v>1139</v>
      </c>
      <c r="T398" s="462">
        <v>1</v>
      </c>
      <c r="U398" s="460" t="s">
        <v>1139</v>
      </c>
      <c r="V398" s="475">
        <v>0</v>
      </c>
      <c r="W398" s="463" t="s">
        <v>2267</v>
      </c>
      <c r="X398" s="463" t="s">
        <v>2267</v>
      </c>
      <c r="Y398" s="463" t="s">
        <v>2267</v>
      </c>
      <c r="Z398" s="463"/>
      <c r="AA398" s="463"/>
      <c r="AB398" s="464">
        <v>350.50474719969731</v>
      </c>
      <c r="AC398" s="465">
        <v>0.42112927706083902</v>
      </c>
      <c r="AD398" s="465">
        <v>1.3973668420947062E-2</v>
      </c>
      <c r="AE398" s="476">
        <v>350.50474719969731</v>
      </c>
      <c r="AF398" s="467">
        <v>0.42112927706083902</v>
      </c>
      <c r="AG398" s="468">
        <v>1.3973668420947062E-2</v>
      </c>
      <c r="AH398" s="218">
        <v>350.50474719969731</v>
      </c>
      <c r="AI398" s="470">
        <v>0.42112927706083902</v>
      </c>
      <c r="AJ398" s="471">
        <v>1.2988952870674489E-2</v>
      </c>
      <c r="AK398" s="218">
        <v>350.50474719969731</v>
      </c>
      <c r="AL398" s="470">
        <v>0.42112927706083902</v>
      </c>
      <c r="AM398" s="471">
        <v>1.2988952870674489E-2</v>
      </c>
      <c r="AN398" s="477">
        <v>350.50474719969731</v>
      </c>
      <c r="AO398" s="473">
        <v>0.42112927706083902</v>
      </c>
      <c r="AP398" s="474">
        <v>1.2988952870674489E-2</v>
      </c>
      <c r="AQ398" s="352"/>
      <c r="AR398" s="352"/>
      <c r="AS398" s="352"/>
      <c r="AT398" s="352"/>
      <c r="AU398" s="352"/>
      <c r="AV398" s="352"/>
      <c r="AW398" s="352" t="s">
        <v>254</v>
      </c>
    </row>
    <row r="399" spans="2:49" x14ac:dyDescent="0.2">
      <c r="B399" s="460" t="s">
        <v>2477</v>
      </c>
      <c r="C399" s="460">
        <v>1231</v>
      </c>
      <c r="D399" s="460" t="s">
        <v>2375</v>
      </c>
      <c r="E399" s="460" t="s">
        <v>2376</v>
      </c>
      <c r="F399" s="460">
        <v>1</v>
      </c>
      <c r="G399" s="460">
        <v>5</v>
      </c>
      <c r="H399" s="461" t="s">
        <v>754</v>
      </c>
      <c r="I399" s="461" t="s">
        <v>1991</v>
      </c>
      <c r="J399" s="461" t="s">
        <v>754</v>
      </c>
      <c r="K399" s="594"/>
      <c r="L399" s="594"/>
      <c r="M399" s="352">
        <v>1000</v>
      </c>
      <c r="N399" s="352" t="s">
        <v>698</v>
      </c>
      <c r="O399" s="460">
        <v>1231</v>
      </c>
      <c r="P399" s="460" t="s">
        <v>726</v>
      </c>
      <c r="Q399" s="460" t="s">
        <v>2377</v>
      </c>
      <c r="R399" s="460">
        <v>1231</v>
      </c>
      <c r="S399" s="460" t="s">
        <v>2376</v>
      </c>
      <c r="T399" s="462">
        <v>1</v>
      </c>
      <c r="U399" s="460" t="s">
        <v>2376</v>
      </c>
      <c r="V399" s="475">
        <v>0</v>
      </c>
      <c r="W399" s="463" t="s">
        <v>2278</v>
      </c>
      <c r="X399" s="463" t="s">
        <v>2278</v>
      </c>
      <c r="Y399" s="463" t="s">
        <v>2278</v>
      </c>
      <c r="Z399" s="463"/>
      <c r="AA399" s="463"/>
      <c r="AB399" s="464">
        <v>8874.2081956966013</v>
      </c>
      <c r="AC399" s="465">
        <v>1</v>
      </c>
      <c r="AD399" s="465">
        <v>1.4918474323592628E-2</v>
      </c>
      <c r="AE399" s="476">
        <v>8874.2081956966013</v>
      </c>
      <c r="AF399" s="467">
        <v>1</v>
      </c>
      <c r="AG399" s="468">
        <v>1.4918474323592628E-2</v>
      </c>
      <c r="AH399" s="218">
        <v>8874.2081956966013</v>
      </c>
      <c r="AI399" s="470">
        <v>1</v>
      </c>
      <c r="AJ399" s="471">
        <v>1.4918474323592628E-2</v>
      </c>
      <c r="AK399" s="218">
        <v>8874.2081956966013</v>
      </c>
      <c r="AL399" s="470">
        <v>1</v>
      </c>
      <c r="AM399" s="471">
        <v>1.4918474323592628E-2</v>
      </c>
      <c r="AN399" s="477">
        <v>8874.2081956966013</v>
      </c>
      <c r="AO399" s="473">
        <v>1</v>
      </c>
      <c r="AP399" s="474">
        <v>1.4918474323592628E-2</v>
      </c>
      <c r="AQ399" s="352"/>
      <c r="AR399" s="352"/>
      <c r="AS399" s="352"/>
      <c r="AT399" s="352"/>
      <c r="AU399" s="352"/>
      <c r="AV399" s="352"/>
      <c r="AW399" s="352" t="s">
        <v>127</v>
      </c>
    </row>
    <row r="400" spans="2:49" x14ac:dyDescent="0.2">
      <c r="B400" s="460" t="s">
        <v>2478</v>
      </c>
      <c r="C400" s="460">
        <v>1231</v>
      </c>
      <c r="D400" s="460" t="s">
        <v>2379</v>
      </c>
      <c r="E400" s="460" t="s">
        <v>2380</v>
      </c>
      <c r="F400" s="460">
        <v>2</v>
      </c>
      <c r="G400" s="460">
        <v>5</v>
      </c>
      <c r="H400" s="461" t="s">
        <v>754</v>
      </c>
      <c r="I400" s="461" t="s">
        <v>1991</v>
      </c>
      <c r="J400" s="461" t="s">
        <v>754</v>
      </c>
      <c r="K400" s="594"/>
      <c r="L400" s="594"/>
      <c r="M400" s="352">
        <v>1000</v>
      </c>
      <c r="N400" s="352" t="s">
        <v>698</v>
      </c>
      <c r="O400" s="460">
        <v>1231</v>
      </c>
      <c r="P400" s="460" t="s">
        <v>726</v>
      </c>
      <c r="Q400" s="460" t="s">
        <v>2377</v>
      </c>
      <c r="R400" s="460">
        <v>1231</v>
      </c>
      <c r="S400" s="460" t="s">
        <v>2380</v>
      </c>
      <c r="T400" s="462">
        <v>1</v>
      </c>
      <c r="U400" s="460" t="s">
        <v>2380</v>
      </c>
      <c r="V400" s="475">
        <v>0</v>
      </c>
      <c r="W400" s="463" t="s">
        <v>2278</v>
      </c>
      <c r="X400" s="463" t="s">
        <v>2278</v>
      </c>
      <c r="Y400" s="463" t="s">
        <v>2278</v>
      </c>
      <c r="Z400" s="463"/>
      <c r="AA400" s="463"/>
      <c r="AB400" s="464">
        <v>4765.6368459300456</v>
      </c>
      <c r="AC400" s="465">
        <v>1</v>
      </c>
      <c r="AD400" s="465">
        <v>9.3845097107498471E-3</v>
      </c>
      <c r="AE400" s="476">
        <v>4765.6368459300456</v>
      </c>
      <c r="AF400" s="467">
        <v>1</v>
      </c>
      <c r="AG400" s="468">
        <v>9.3845097107498471E-3</v>
      </c>
      <c r="AH400" s="218">
        <v>4765.6368459300456</v>
      </c>
      <c r="AI400" s="470">
        <v>1</v>
      </c>
      <c r="AJ400" s="471">
        <v>9.3845097107498471E-3</v>
      </c>
      <c r="AK400" s="218">
        <v>4765.6368459300456</v>
      </c>
      <c r="AL400" s="470">
        <v>1</v>
      </c>
      <c r="AM400" s="471">
        <v>9.3845097107498471E-3</v>
      </c>
      <c r="AN400" s="477">
        <v>4765.6368459300456</v>
      </c>
      <c r="AO400" s="473">
        <v>1</v>
      </c>
      <c r="AP400" s="474">
        <v>9.3845097107498471E-3</v>
      </c>
      <c r="AQ400" s="352"/>
      <c r="AR400" s="352"/>
      <c r="AS400" s="352"/>
      <c r="AT400" s="352"/>
      <c r="AU400" s="352"/>
      <c r="AV400" s="352"/>
      <c r="AW400" s="352" t="s">
        <v>127</v>
      </c>
    </row>
    <row r="401" spans="2:49" x14ac:dyDescent="0.2">
      <c r="B401" s="460" t="s">
        <v>2479</v>
      </c>
      <c r="C401" s="460">
        <v>1231</v>
      </c>
      <c r="D401" s="460" t="s">
        <v>2382</v>
      </c>
      <c r="E401" s="460" t="s">
        <v>2383</v>
      </c>
      <c r="F401" s="460">
        <v>3</v>
      </c>
      <c r="G401" s="460">
        <v>5</v>
      </c>
      <c r="H401" s="461" t="s">
        <v>754</v>
      </c>
      <c r="I401" s="461" t="s">
        <v>1991</v>
      </c>
      <c r="J401" s="461" t="s">
        <v>754</v>
      </c>
      <c r="K401" s="594"/>
      <c r="L401" s="594"/>
      <c r="M401" s="352">
        <v>1000</v>
      </c>
      <c r="N401" s="352" t="s">
        <v>698</v>
      </c>
      <c r="O401" s="460">
        <v>1231</v>
      </c>
      <c r="P401" s="460" t="s">
        <v>726</v>
      </c>
      <c r="Q401" s="460" t="s">
        <v>2377</v>
      </c>
      <c r="R401" s="460">
        <v>1231</v>
      </c>
      <c r="S401" s="460" t="s">
        <v>2383</v>
      </c>
      <c r="T401" s="462">
        <v>1</v>
      </c>
      <c r="U401" s="460" t="s">
        <v>2383</v>
      </c>
      <c r="V401" s="475">
        <v>0</v>
      </c>
      <c r="W401" s="463" t="s">
        <v>2278</v>
      </c>
      <c r="X401" s="463" t="s">
        <v>2278</v>
      </c>
      <c r="Y401" s="463" t="s">
        <v>2278</v>
      </c>
      <c r="Z401" s="463"/>
      <c r="AA401" s="463"/>
      <c r="AB401" s="464">
        <v>1110.442020896267</v>
      </c>
      <c r="AC401" s="465">
        <v>1</v>
      </c>
      <c r="AD401" s="465">
        <v>9.8703394931491488E-3</v>
      </c>
      <c r="AE401" s="476">
        <v>1110.442020896267</v>
      </c>
      <c r="AF401" s="467">
        <v>1</v>
      </c>
      <c r="AG401" s="468">
        <v>9.8703394931491488E-3</v>
      </c>
      <c r="AH401" s="218">
        <v>1110.442020896267</v>
      </c>
      <c r="AI401" s="470">
        <v>1</v>
      </c>
      <c r="AJ401" s="471">
        <v>9.8703394931491488E-3</v>
      </c>
      <c r="AK401" s="218">
        <v>1110.442020896267</v>
      </c>
      <c r="AL401" s="470">
        <v>1</v>
      </c>
      <c r="AM401" s="471">
        <v>9.8703394931491488E-3</v>
      </c>
      <c r="AN401" s="477">
        <v>1110.442020896267</v>
      </c>
      <c r="AO401" s="473">
        <v>1</v>
      </c>
      <c r="AP401" s="474">
        <v>9.8703394931491488E-3</v>
      </c>
      <c r="AQ401" s="352"/>
      <c r="AR401" s="352"/>
      <c r="AS401" s="352"/>
      <c r="AT401" s="352"/>
      <c r="AU401" s="352"/>
      <c r="AV401" s="352"/>
      <c r="AW401" s="352" t="s">
        <v>127</v>
      </c>
    </row>
    <row r="402" spans="2:49" x14ac:dyDescent="0.2">
      <c r="B402" s="460" t="s">
        <v>2480</v>
      </c>
      <c r="C402" s="460">
        <v>1231</v>
      </c>
      <c r="D402" s="460" t="s">
        <v>2385</v>
      </c>
      <c r="E402" s="460" t="s">
        <v>2386</v>
      </c>
      <c r="F402" s="460">
        <v>4</v>
      </c>
      <c r="G402" s="460">
        <v>5</v>
      </c>
      <c r="H402" s="461" t="s">
        <v>754</v>
      </c>
      <c r="I402" s="461" t="s">
        <v>1991</v>
      </c>
      <c r="J402" s="461" t="s">
        <v>754</v>
      </c>
      <c r="K402" s="594"/>
      <c r="L402" s="594"/>
      <c r="M402" s="352">
        <v>1000</v>
      </c>
      <c r="N402" s="352" t="s">
        <v>698</v>
      </c>
      <c r="O402" s="460">
        <v>1231</v>
      </c>
      <c r="P402" s="460" t="s">
        <v>726</v>
      </c>
      <c r="Q402" s="460" t="s">
        <v>2377</v>
      </c>
      <c r="R402" s="460">
        <v>1231</v>
      </c>
      <c r="S402" s="460" t="s">
        <v>2386</v>
      </c>
      <c r="T402" s="462">
        <v>1</v>
      </c>
      <c r="U402" s="460" t="s">
        <v>2386</v>
      </c>
      <c r="V402" s="475">
        <v>0</v>
      </c>
      <c r="W402" s="463" t="s">
        <v>2278</v>
      </c>
      <c r="X402" s="463" t="s">
        <v>2278</v>
      </c>
      <c r="Y402" s="463" t="s">
        <v>2278</v>
      </c>
      <c r="Z402" s="463"/>
      <c r="AA402" s="463"/>
      <c r="AB402" s="464">
        <v>698.76610762614712</v>
      </c>
      <c r="AC402" s="465">
        <v>1</v>
      </c>
      <c r="AD402" s="465">
        <v>1.2962626630236852E-2</v>
      </c>
      <c r="AE402" s="476">
        <v>698.76610762614712</v>
      </c>
      <c r="AF402" s="467">
        <v>1</v>
      </c>
      <c r="AG402" s="468">
        <v>1.2962626630236852E-2</v>
      </c>
      <c r="AH402" s="218">
        <v>698.76610762614712</v>
      </c>
      <c r="AI402" s="470">
        <v>1</v>
      </c>
      <c r="AJ402" s="471">
        <v>1.2962626630236852E-2</v>
      </c>
      <c r="AK402" s="218">
        <v>698.76610762614712</v>
      </c>
      <c r="AL402" s="470">
        <v>1</v>
      </c>
      <c r="AM402" s="471">
        <v>1.2962626630236852E-2</v>
      </c>
      <c r="AN402" s="477">
        <v>698.76610762614712</v>
      </c>
      <c r="AO402" s="473">
        <v>1</v>
      </c>
      <c r="AP402" s="474">
        <v>1.2962626630236852E-2</v>
      </c>
      <c r="AQ402" s="352"/>
      <c r="AR402" s="352"/>
      <c r="AS402" s="352"/>
      <c r="AT402" s="352"/>
      <c r="AU402" s="352"/>
      <c r="AV402" s="352"/>
      <c r="AW402" s="352" t="s">
        <v>127</v>
      </c>
    </row>
    <row r="403" spans="2:49" x14ac:dyDescent="0.2">
      <c r="B403" s="460" t="s">
        <v>2481</v>
      </c>
      <c r="C403" s="460">
        <v>1232</v>
      </c>
      <c r="D403" s="460" t="s">
        <v>2264</v>
      </c>
      <c r="E403" s="460" t="s">
        <v>2265</v>
      </c>
      <c r="F403" s="460">
        <v>1</v>
      </c>
      <c r="G403" s="460">
        <v>1</v>
      </c>
      <c r="H403" s="461" t="s">
        <v>700</v>
      </c>
      <c r="I403" s="461" t="s">
        <v>872</v>
      </c>
      <c r="J403" s="461" t="s">
        <v>700</v>
      </c>
      <c r="K403" s="594"/>
      <c r="L403" s="594"/>
      <c r="M403" s="352">
        <v>1000</v>
      </c>
      <c r="N403" s="352" t="s">
        <v>698</v>
      </c>
      <c r="O403" s="460">
        <v>1232</v>
      </c>
      <c r="P403" s="460" t="s">
        <v>734</v>
      </c>
      <c r="Q403" s="460" t="s">
        <v>2266</v>
      </c>
      <c r="R403" s="460">
        <v>1232</v>
      </c>
      <c r="S403" s="460" t="s">
        <v>2265</v>
      </c>
      <c r="T403" s="462">
        <v>1</v>
      </c>
      <c r="U403" s="460" t="s">
        <v>2265</v>
      </c>
      <c r="V403" s="475">
        <v>0</v>
      </c>
      <c r="W403" s="463" t="s">
        <v>2267</v>
      </c>
      <c r="X403" s="463" t="s">
        <v>2267</v>
      </c>
      <c r="Y403" s="463" t="s">
        <v>2268</v>
      </c>
      <c r="Z403" s="463"/>
      <c r="AA403" s="463"/>
      <c r="AB403" s="464">
        <v>1835.2296592186021</v>
      </c>
      <c r="AC403" s="465">
        <v>0.81977439026090126</v>
      </c>
      <c r="AD403" s="465">
        <v>1.701888329710697E-2</v>
      </c>
      <c r="AE403" s="476">
        <v>1835.2296592186021</v>
      </c>
      <c r="AF403" s="467">
        <v>0.81977439026090126</v>
      </c>
      <c r="AG403" s="468">
        <v>1.8179729241446185E-2</v>
      </c>
      <c r="AH403" s="218">
        <v>1835.2296592186021</v>
      </c>
      <c r="AI403" s="470">
        <v>0.81977439026090126</v>
      </c>
      <c r="AJ403" s="471">
        <v>1.7499537298314338E-2</v>
      </c>
      <c r="AK403" s="218">
        <v>1835.2296592186021</v>
      </c>
      <c r="AL403" s="470">
        <v>0.81977439026090126</v>
      </c>
      <c r="AM403" s="471">
        <v>1.7499537298314338E-2</v>
      </c>
      <c r="AN403" s="477">
        <v>0</v>
      </c>
      <c r="AO403" s="473">
        <v>0</v>
      </c>
      <c r="AP403" s="474">
        <v>0</v>
      </c>
      <c r="AQ403" s="352"/>
      <c r="AR403" s="352"/>
      <c r="AS403" s="352"/>
      <c r="AT403" s="352"/>
      <c r="AU403" s="352"/>
      <c r="AV403" s="352"/>
      <c r="AW403" s="352" t="s">
        <v>254</v>
      </c>
    </row>
    <row r="404" spans="2:49" x14ac:dyDescent="0.2">
      <c r="B404" s="460" t="s">
        <v>2482</v>
      </c>
      <c r="C404" s="460">
        <v>1232</v>
      </c>
      <c r="D404" s="460" t="s">
        <v>2270</v>
      </c>
      <c r="E404" s="460" t="s">
        <v>2271</v>
      </c>
      <c r="F404" s="460">
        <v>2</v>
      </c>
      <c r="G404" s="460">
        <v>1</v>
      </c>
      <c r="H404" s="461" t="s">
        <v>700</v>
      </c>
      <c r="I404" s="461" t="s">
        <v>872</v>
      </c>
      <c r="J404" s="461" t="s">
        <v>700</v>
      </c>
      <c r="K404" s="594"/>
      <c r="L404" s="594"/>
      <c r="M404" s="352">
        <v>1000</v>
      </c>
      <c r="N404" s="352" t="s">
        <v>698</v>
      </c>
      <c r="O404" s="460">
        <v>1232</v>
      </c>
      <c r="P404" s="460" t="s">
        <v>734</v>
      </c>
      <c r="Q404" s="460" t="s">
        <v>2266</v>
      </c>
      <c r="R404" s="460">
        <v>1232</v>
      </c>
      <c r="S404" s="460" t="s">
        <v>2265</v>
      </c>
      <c r="T404" s="462">
        <v>1</v>
      </c>
      <c r="U404" s="460" t="s">
        <v>2271</v>
      </c>
      <c r="V404" s="475">
        <v>0</v>
      </c>
      <c r="W404" s="463" t="s">
        <v>2267</v>
      </c>
      <c r="X404" s="463" t="s">
        <v>2267</v>
      </c>
      <c r="Y404" s="463" t="s">
        <v>2268</v>
      </c>
      <c r="Z404" s="463"/>
      <c r="AA404" s="463"/>
      <c r="AB404" s="464">
        <v>1269.5647441539652</v>
      </c>
      <c r="AC404" s="465">
        <v>0.73701918700661539</v>
      </c>
      <c r="AD404" s="465">
        <v>1.5751227098160264E-2</v>
      </c>
      <c r="AE404" s="476">
        <v>1269.5647441539652</v>
      </c>
      <c r="AF404" s="467">
        <v>0.73701918700661539</v>
      </c>
      <c r="AG404" s="468">
        <v>1.7068994469989888E-2</v>
      </c>
      <c r="AH404" s="218">
        <v>1412.1161055013515</v>
      </c>
      <c r="AI404" s="470">
        <v>0.81977439026090126</v>
      </c>
      <c r="AJ404" s="471">
        <v>1.6672006845798028E-2</v>
      </c>
      <c r="AK404" s="218">
        <v>1412.1161055013515</v>
      </c>
      <c r="AL404" s="470">
        <v>0.81977439026090126</v>
      </c>
      <c r="AM404" s="471">
        <v>1.6672006845798028E-2</v>
      </c>
      <c r="AN404" s="477">
        <v>0</v>
      </c>
      <c r="AO404" s="473">
        <v>0</v>
      </c>
      <c r="AP404" s="474">
        <v>0</v>
      </c>
      <c r="AQ404" s="352"/>
      <c r="AR404" s="352"/>
      <c r="AS404" s="352"/>
      <c r="AT404" s="352"/>
      <c r="AU404" s="352"/>
      <c r="AV404" s="352"/>
      <c r="AW404" s="352" t="s">
        <v>254</v>
      </c>
    </row>
    <row r="405" spans="2:49" x14ac:dyDescent="0.2">
      <c r="B405" s="460" t="s">
        <v>2483</v>
      </c>
      <c r="C405" s="460">
        <v>1232</v>
      </c>
      <c r="D405" s="460" t="s">
        <v>2273</v>
      </c>
      <c r="E405" s="460" t="s">
        <v>2274</v>
      </c>
      <c r="F405" s="460">
        <v>3</v>
      </c>
      <c r="G405" s="460">
        <v>1</v>
      </c>
      <c r="H405" s="461" t="s">
        <v>700</v>
      </c>
      <c r="I405" s="461" t="s">
        <v>872</v>
      </c>
      <c r="J405" s="461" t="s">
        <v>700</v>
      </c>
      <c r="K405" s="594"/>
      <c r="L405" s="594"/>
      <c r="M405" s="352">
        <v>1000</v>
      </c>
      <c r="N405" s="352" t="s">
        <v>698</v>
      </c>
      <c r="O405" s="460">
        <v>1232</v>
      </c>
      <c r="P405" s="460" t="s">
        <v>734</v>
      </c>
      <c r="Q405" s="460" t="s">
        <v>2266</v>
      </c>
      <c r="R405" s="460">
        <v>1232</v>
      </c>
      <c r="S405" s="460" t="s">
        <v>2265</v>
      </c>
      <c r="T405" s="462">
        <v>0.74223365950407583</v>
      </c>
      <c r="U405" s="460" t="s">
        <v>2274</v>
      </c>
      <c r="V405" s="475">
        <v>0</v>
      </c>
      <c r="W405" s="463" t="s">
        <v>2267</v>
      </c>
      <c r="X405" s="463" t="s">
        <v>2267</v>
      </c>
      <c r="Y405" s="463" t="s">
        <v>2268</v>
      </c>
      <c r="Z405" s="463"/>
      <c r="AA405" s="463"/>
      <c r="AB405" s="464">
        <v>326.39769612824097</v>
      </c>
      <c r="AC405" s="465">
        <v>0.45516843333011275</v>
      </c>
      <c r="AD405" s="465">
        <v>1.6146781650046876E-2</v>
      </c>
      <c r="AE405" s="476">
        <v>326.39769612824097</v>
      </c>
      <c r="AF405" s="467">
        <v>0.45516843333011275</v>
      </c>
      <c r="AG405" s="468">
        <v>1.7489774865014254E-2</v>
      </c>
      <c r="AH405" s="218">
        <v>436.32484323250884</v>
      </c>
      <c r="AI405" s="470">
        <v>0.60846414565107121</v>
      </c>
      <c r="AJ405" s="471">
        <v>1.6931186320391468E-2</v>
      </c>
      <c r="AK405" s="218">
        <v>436.32484323250884</v>
      </c>
      <c r="AL405" s="470">
        <v>0.60846414565107121</v>
      </c>
      <c r="AM405" s="471">
        <v>1.6931186320391468E-2</v>
      </c>
      <c r="AN405" s="477">
        <v>0</v>
      </c>
      <c r="AO405" s="473">
        <v>0</v>
      </c>
      <c r="AP405" s="474">
        <v>0</v>
      </c>
      <c r="AQ405" s="352"/>
      <c r="AR405" s="352"/>
      <c r="AS405" s="352"/>
      <c r="AT405" s="352"/>
      <c r="AU405" s="352"/>
      <c r="AV405" s="352"/>
      <c r="AW405" s="352" t="s">
        <v>254</v>
      </c>
    </row>
    <row r="406" spans="2:49" x14ac:dyDescent="0.2">
      <c r="B406" s="460" t="s">
        <v>2484</v>
      </c>
      <c r="C406" s="460">
        <v>1232</v>
      </c>
      <c r="D406" s="460" t="s">
        <v>2276</v>
      </c>
      <c r="E406" s="460" t="s">
        <v>2277</v>
      </c>
      <c r="F406" s="460">
        <v>4</v>
      </c>
      <c r="G406" s="460">
        <v>1</v>
      </c>
      <c r="H406" s="461" t="s">
        <v>700</v>
      </c>
      <c r="I406" s="461" t="s">
        <v>872</v>
      </c>
      <c r="J406" s="461" t="s">
        <v>700</v>
      </c>
      <c r="K406" s="594"/>
      <c r="L406" s="594"/>
      <c r="M406" s="352">
        <v>1000</v>
      </c>
      <c r="N406" s="352" t="s">
        <v>698</v>
      </c>
      <c r="O406" s="460">
        <v>1232</v>
      </c>
      <c r="P406" s="460" t="s">
        <v>734</v>
      </c>
      <c r="Q406" s="460" t="s">
        <v>2266</v>
      </c>
      <c r="R406" s="460">
        <v>1232</v>
      </c>
      <c r="S406" s="460" t="s">
        <v>2277</v>
      </c>
      <c r="T406" s="462">
        <v>1</v>
      </c>
      <c r="U406" s="460" t="s">
        <v>2277</v>
      </c>
      <c r="V406" s="475">
        <v>0</v>
      </c>
      <c r="W406" s="463" t="s">
        <v>2278</v>
      </c>
      <c r="X406" s="463" t="s">
        <v>2278</v>
      </c>
      <c r="Y406" s="463" t="s">
        <v>2268</v>
      </c>
      <c r="Z406" s="463"/>
      <c r="AA406" s="463"/>
      <c r="AB406" s="464">
        <v>4.0397139403965081</v>
      </c>
      <c r="AC406" s="465">
        <v>9.0374469410187154E-3</v>
      </c>
      <c r="AD406" s="465">
        <v>1.630513262887209E-2</v>
      </c>
      <c r="AE406" s="476">
        <v>4.0397139403965081</v>
      </c>
      <c r="AF406" s="467">
        <v>9.0374469410187154E-3</v>
      </c>
      <c r="AG406" s="468">
        <v>1.8228278792033797E-2</v>
      </c>
      <c r="AH406" s="218">
        <v>4.0397139403965081</v>
      </c>
      <c r="AI406" s="470">
        <v>9.0374469410187154E-3</v>
      </c>
      <c r="AJ406" s="471">
        <v>1.7471016187638026E-2</v>
      </c>
      <c r="AK406" s="218">
        <v>4.0397139403965081</v>
      </c>
      <c r="AL406" s="470">
        <v>9.0374469410187154E-3</v>
      </c>
      <c r="AM406" s="471">
        <v>1.7471016187638026E-2</v>
      </c>
      <c r="AN406" s="477">
        <v>0</v>
      </c>
      <c r="AO406" s="473">
        <v>0</v>
      </c>
      <c r="AP406" s="474">
        <v>0</v>
      </c>
      <c r="AQ406" s="352"/>
      <c r="AR406" s="352"/>
      <c r="AS406" s="352"/>
      <c r="AT406" s="352"/>
      <c r="AU406" s="352"/>
      <c r="AV406" s="352"/>
      <c r="AW406" s="352" t="s">
        <v>254</v>
      </c>
    </row>
    <row r="407" spans="2:49" x14ac:dyDescent="0.2">
      <c r="B407" s="460" t="s">
        <v>2481</v>
      </c>
      <c r="C407" s="460">
        <v>1232</v>
      </c>
      <c r="D407" s="460" t="s">
        <v>2279</v>
      </c>
      <c r="E407" s="460" t="s">
        <v>2265</v>
      </c>
      <c r="F407" s="460">
        <v>1</v>
      </c>
      <c r="G407" s="460">
        <v>1</v>
      </c>
      <c r="H407" s="461" t="s">
        <v>712</v>
      </c>
      <c r="I407" s="461" t="s">
        <v>713</v>
      </c>
      <c r="J407" s="461" t="s">
        <v>712</v>
      </c>
      <c r="K407" s="594"/>
      <c r="L407" s="594"/>
      <c r="M407" s="352">
        <v>1000</v>
      </c>
      <c r="N407" s="352" t="s">
        <v>698</v>
      </c>
      <c r="O407" s="460">
        <v>1232</v>
      </c>
      <c r="P407" s="460" t="s">
        <v>734</v>
      </c>
      <c r="Q407" s="460" t="s">
        <v>2280</v>
      </c>
      <c r="R407" s="460">
        <v>1232</v>
      </c>
      <c r="S407" s="460" t="s">
        <v>2265</v>
      </c>
      <c r="T407" s="462">
        <v>1</v>
      </c>
      <c r="U407" s="460" t="s">
        <v>2265</v>
      </c>
      <c r="V407" s="475">
        <v>0</v>
      </c>
      <c r="W407" s="463" t="s">
        <v>713</v>
      </c>
      <c r="X407" s="463" t="s">
        <v>713</v>
      </c>
      <c r="Y407" s="463" t="s">
        <v>713</v>
      </c>
      <c r="Z407" s="463"/>
      <c r="AA407" s="463"/>
      <c r="AB407" s="464">
        <v>403.47123339469624</v>
      </c>
      <c r="AC407" s="465">
        <v>0.18022560973909871</v>
      </c>
      <c r="AD407" s="465">
        <v>1.4904925117583063E-3</v>
      </c>
      <c r="AE407" s="476">
        <v>403.4712333946963</v>
      </c>
      <c r="AF407" s="467">
        <v>0.18022560973909874</v>
      </c>
      <c r="AG407" s="468">
        <v>1.4535195172001164E-3</v>
      </c>
      <c r="AH407" s="218">
        <v>403.4712333946963</v>
      </c>
      <c r="AI407" s="470">
        <v>0.18022560973909874</v>
      </c>
      <c r="AJ407" s="471">
        <v>1.4743605832244063E-3</v>
      </c>
      <c r="AK407" s="218">
        <v>403.4712333946963</v>
      </c>
      <c r="AL407" s="470">
        <v>0.18022560973909874</v>
      </c>
      <c r="AM407" s="471">
        <v>1.4743605832244063E-3</v>
      </c>
      <c r="AN407" s="477">
        <v>403.4712333946963</v>
      </c>
      <c r="AO407" s="473">
        <v>0.18022560973909874</v>
      </c>
      <c r="AP407" s="474">
        <v>1.4738801774153364E-3</v>
      </c>
      <c r="AQ407" s="352"/>
      <c r="AR407" s="352"/>
      <c r="AS407" s="352"/>
      <c r="AT407" s="352"/>
      <c r="AU407" s="352"/>
      <c r="AV407" s="352"/>
      <c r="AW407" s="352" t="s">
        <v>254</v>
      </c>
    </row>
    <row r="408" spans="2:49" x14ac:dyDescent="0.2">
      <c r="B408" s="460" t="s">
        <v>2482</v>
      </c>
      <c r="C408" s="460">
        <v>1232</v>
      </c>
      <c r="D408" s="460" t="s">
        <v>2281</v>
      </c>
      <c r="E408" s="460" t="s">
        <v>2271</v>
      </c>
      <c r="F408" s="460">
        <v>2</v>
      </c>
      <c r="G408" s="460">
        <v>1</v>
      </c>
      <c r="H408" s="461" t="s">
        <v>712</v>
      </c>
      <c r="I408" s="461" t="s">
        <v>713</v>
      </c>
      <c r="J408" s="461" t="s">
        <v>712</v>
      </c>
      <c r="K408" s="594"/>
      <c r="L408" s="594"/>
      <c r="M408" s="352">
        <v>1000</v>
      </c>
      <c r="N408" s="352" t="s">
        <v>698</v>
      </c>
      <c r="O408" s="460">
        <v>1232</v>
      </c>
      <c r="P408" s="460" t="s">
        <v>734</v>
      </c>
      <c r="Q408" s="460" t="s">
        <v>2280</v>
      </c>
      <c r="R408" s="460">
        <v>1232</v>
      </c>
      <c r="S408" s="460" t="s">
        <v>2265</v>
      </c>
      <c r="T408" s="462">
        <v>1</v>
      </c>
      <c r="U408" s="460" t="s">
        <v>2271</v>
      </c>
      <c r="V408" s="475">
        <v>0</v>
      </c>
      <c r="W408" s="463" t="s">
        <v>713</v>
      </c>
      <c r="X408" s="463" t="s">
        <v>713</v>
      </c>
      <c r="Y408" s="463" t="s">
        <v>713</v>
      </c>
      <c r="Z408" s="463"/>
      <c r="AA408" s="463"/>
      <c r="AB408" s="464">
        <v>453.00200381669487</v>
      </c>
      <c r="AC408" s="465">
        <v>0.26298081299338461</v>
      </c>
      <c r="AD408" s="465">
        <v>1.8917003993791459E-3</v>
      </c>
      <c r="AE408" s="476">
        <v>453.00200381669487</v>
      </c>
      <c r="AF408" s="467">
        <v>0.26298081299338461</v>
      </c>
      <c r="AG408" s="468">
        <v>1.8437894441657159E-3</v>
      </c>
      <c r="AH408" s="218">
        <v>310.45064246930866</v>
      </c>
      <c r="AI408" s="470">
        <v>0.18022560973909874</v>
      </c>
      <c r="AJ408" s="471">
        <v>1.3337411281463703E-3</v>
      </c>
      <c r="AK408" s="218">
        <v>310.45064246930866</v>
      </c>
      <c r="AL408" s="470">
        <v>0.18022560973909874</v>
      </c>
      <c r="AM408" s="471">
        <v>1.3337411281463703E-3</v>
      </c>
      <c r="AN408" s="477">
        <v>310.45064246930866</v>
      </c>
      <c r="AO408" s="473">
        <v>0.18022560973909874</v>
      </c>
      <c r="AP408" s="474">
        <v>1.3332728078831004E-3</v>
      </c>
      <c r="AQ408" s="352"/>
      <c r="AR408" s="352"/>
      <c r="AS408" s="352"/>
      <c r="AT408" s="352"/>
      <c r="AU408" s="352"/>
      <c r="AV408" s="352"/>
      <c r="AW408" s="352" t="s">
        <v>254</v>
      </c>
    </row>
    <row r="409" spans="2:49" x14ac:dyDescent="0.2">
      <c r="B409" s="460" t="s">
        <v>2483</v>
      </c>
      <c r="C409" s="460">
        <v>1232</v>
      </c>
      <c r="D409" s="460" t="s">
        <v>2282</v>
      </c>
      <c r="E409" s="460" t="s">
        <v>2274</v>
      </c>
      <c r="F409" s="460">
        <v>3</v>
      </c>
      <c r="G409" s="460">
        <v>1</v>
      </c>
      <c r="H409" s="461" t="s">
        <v>712</v>
      </c>
      <c r="I409" s="461" t="s">
        <v>713</v>
      </c>
      <c r="J409" s="461" t="s">
        <v>712</v>
      </c>
      <c r="K409" s="594"/>
      <c r="L409" s="594"/>
      <c r="M409" s="352">
        <v>1000</v>
      </c>
      <c r="N409" s="352" t="s">
        <v>698</v>
      </c>
      <c r="O409" s="460">
        <v>1232</v>
      </c>
      <c r="P409" s="460" t="s">
        <v>734</v>
      </c>
      <c r="Q409" s="460" t="s">
        <v>2280</v>
      </c>
      <c r="R409" s="460">
        <v>1232</v>
      </c>
      <c r="S409" s="460" t="s">
        <v>2265</v>
      </c>
      <c r="T409" s="462">
        <v>0.74223365950407583</v>
      </c>
      <c r="U409" s="460" t="s">
        <v>2274</v>
      </c>
      <c r="V409" s="475">
        <v>0</v>
      </c>
      <c r="W409" s="463" t="s">
        <v>713</v>
      </c>
      <c r="X409" s="463" t="s">
        <v>713</v>
      </c>
      <c r="Y409" s="463" t="s">
        <v>713</v>
      </c>
      <c r="Z409" s="463"/>
      <c r="AA409" s="463"/>
      <c r="AB409" s="464">
        <v>390.69442236566113</v>
      </c>
      <c r="AC409" s="465">
        <v>0.5448315666698873</v>
      </c>
      <c r="AD409" s="465">
        <v>2.3383891252793669E-3</v>
      </c>
      <c r="AE409" s="476">
        <v>390.69442236566113</v>
      </c>
      <c r="AF409" s="467">
        <v>0.5448315666698873</v>
      </c>
      <c r="AG409" s="468">
        <v>2.3168647298803212E-3</v>
      </c>
      <c r="AH409" s="218">
        <v>280.76727526139319</v>
      </c>
      <c r="AI409" s="470">
        <v>0.39153585434892879</v>
      </c>
      <c r="AJ409" s="471">
        <v>1.7643894904596446E-3</v>
      </c>
      <c r="AK409" s="218">
        <v>280.76727526139319</v>
      </c>
      <c r="AL409" s="470">
        <v>0.39153585434892879</v>
      </c>
      <c r="AM409" s="471">
        <v>1.7643894904596446E-3</v>
      </c>
      <c r="AN409" s="477">
        <v>280.76727526139319</v>
      </c>
      <c r="AO409" s="473">
        <v>0.39153585434892879</v>
      </c>
      <c r="AP409" s="474">
        <v>1.7771177907002342E-3</v>
      </c>
      <c r="AQ409" s="352"/>
      <c r="AR409" s="352"/>
      <c r="AS409" s="352"/>
      <c r="AT409" s="352"/>
      <c r="AU409" s="352"/>
      <c r="AV409" s="352"/>
      <c r="AW409" s="352" t="s">
        <v>254</v>
      </c>
    </row>
    <row r="410" spans="2:49" x14ac:dyDescent="0.2">
      <c r="B410" s="460" t="s">
        <v>2484</v>
      </c>
      <c r="C410" s="460">
        <v>1232</v>
      </c>
      <c r="D410" s="460" t="s">
        <v>2283</v>
      </c>
      <c r="E410" s="460" t="s">
        <v>2277</v>
      </c>
      <c r="F410" s="460">
        <v>4</v>
      </c>
      <c r="G410" s="460">
        <v>1</v>
      </c>
      <c r="H410" s="461" t="s">
        <v>712</v>
      </c>
      <c r="I410" s="461" t="s">
        <v>713</v>
      </c>
      <c r="J410" s="461" t="s">
        <v>712</v>
      </c>
      <c r="K410" s="594"/>
      <c r="L410" s="594"/>
      <c r="M410" s="352">
        <v>1000</v>
      </c>
      <c r="N410" s="352" t="s">
        <v>698</v>
      </c>
      <c r="O410" s="460">
        <v>1232</v>
      </c>
      <c r="P410" s="460" t="s">
        <v>734</v>
      </c>
      <c r="Q410" s="460" t="s">
        <v>2280</v>
      </c>
      <c r="R410" s="460">
        <v>1232</v>
      </c>
      <c r="S410" s="460" t="s">
        <v>2277</v>
      </c>
      <c r="T410" s="462">
        <v>1</v>
      </c>
      <c r="U410" s="460" t="s">
        <v>2277</v>
      </c>
      <c r="V410" s="475">
        <v>0</v>
      </c>
      <c r="W410" s="463" t="s">
        <v>713</v>
      </c>
      <c r="X410" s="463" t="s">
        <v>713</v>
      </c>
      <c r="Y410" s="463" t="s">
        <v>713</v>
      </c>
      <c r="Z410" s="463"/>
      <c r="AA410" s="463"/>
      <c r="AB410" s="464">
        <v>442.95753724801767</v>
      </c>
      <c r="AC410" s="465">
        <v>0.99096255305898129</v>
      </c>
      <c r="AD410" s="465">
        <v>2.3004002470849386E-3</v>
      </c>
      <c r="AE410" s="476">
        <v>442.95753724801767</v>
      </c>
      <c r="AF410" s="467">
        <v>0.99096255305898129</v>
      </c>
      <c r="AG410" s="468">
        <v>2.3000880141781253E-3</v>
      </c>
      <c r="AH410" s="218">
        <v>442.95753724801767</v>
      </c>
      <c r="AI410" s="470">
        <v>0.99096255305898129</v>
      </c>
      <c r="AJ410" s="471">
        <v>2.3002027454404198E-3</v>
      </c>
      <c r="AK410" s="218">
        <v>442.95753724801767</v>
      </c>
      <c r="AL410" s="470">
        <v>0.99096255305898129</v>
      </c>
      <c r="AM410" s="471">
        <v>2.3002027454404198E-3</v>
      </c>
      <c r="AN410" s="477">
        <v>442.95753724801767</v>
      </c>
      <c r="AO410" s="473">
        <v>0.99096255305898129</v>
      </c>
      <c r="AP410" s="474">
        <v>2.300214215203579E-3</v>
      </c>
      <c r="AQ410" s="352"/>
      <c r="AR410" s="352"/>
      <c r="AS410" s="352"/>
      <c r="AT410" s="352"/>
      <c r="AU410" s="352"/>
      <c r="AV410" s="352"/>
      <c r="AW410" s="352" t="s">
        <v>254</v>
      </c>
    </row>
    <row r="411" spans="2:49" x14ac:dyDescent="0.2">
      <c r="B411" s="460" t="s">
        <v>2481</v>
      </c>
      <c r="C411" s="460">
        <v>1232</v>
      </c>
      <c r="D411" s="460" t="s">
        <v>2284</v>
      </c>
      <c r="E411" s="460" t="s">
        <v>2265</v>
      </c>
      <c r="F411" s="460">
        <v>1</v>
      </c>
      <c r="G411" s="460">
        <v>1</v>
      </c>
      <c r="H411" s="461" t="s">
        <v>746</v>
      </c>
      <c r="I411" s="461" t="s">
        <v>762</v>
      </c>
      <c r="J411" s="461" t="s">
        <v>700</v>
      </c>
      <c r="K411" s="594"/>
      <c r="L411" s="594"/>
      <c r="M411" s="352">
        <v>1000</v>
      </c>
      <c r="N411" s="352" t="s">
        <v>698</v>
      </c>
      <c r="O411" s="460">
        <v>1232</v>
      </c>
      <c r="P411" s="460" t="s">
        <v>734</v>
      </c>
      <c r="Q411" s="460" t="s">
        <v>2266</v>
      </c>
      <c r="R411" s="460">
        <v>1232</v>
      </c>
      <c r="S411" s="460" t="s">
        <v>2265</v>
      </c>
      <c r="T411" s="462">
        <v>1</v>
      </c>
      <c r="U411" s="460" t="s">
        <v>2265</v>
      </c>
      <c r="V411" s="475">
        <v>0</v>
      </c>
      <c r="W411" s="463" t="s">
        <v>2268</v>
      </c>
      <c r="X411" s="463" t="s">
        <v>2268</v>
      </c>
      <c r="Y411" s="463" t="s">
        <v>2267</v>
      </c>
      <c r="Z411" s="463"/>
      <c r="AA411" s="463"/>
      <c r="AB411" s="464">
        <v>0</v>
      </c>
      <c r="AC411" s="465">
        <v>0</v>
      </c>
      <c r="AD411" s="465">
        <v>0</v>
      </c>
      <c r="AE411" s="476">
        <v>0</v>
      </c>
      <c r="AF411" s="467">
        <v>0</v>
      </c>
      <c r="AG411" s="468">
        <v>0</v>
      </c>
      <c r="AH411" s="218">
        <v>0</v>
      </c>
      <c r="AI411" s="470">
        <v>0</v>
      </c>
      <c r="AJ411" s="471">
        <v>0</v>
      </c>
      <c r="AK411" s="218">
        <v>0</v>
      </c>
      <c r="AL411" s="470">
        <v>0</v>
      </c>
      <c r="AM411" s="471">
        <v>0</v>
      </c>
      <c r="AN411" s="477">
        <v>1835.2296592186021</v>
      </c>
      <c r="AO411" s="473">
        <v>0.81977439026090126</v>
      </c>
      <c r="AP411" s="474">
        <v>2.0694747413054122E-2</v>
      </c>
      <c r="AQ411" s="352"/>
      <c r="AR411" s="352"/>
      <c r="AS411" s="352"/>
      <c r="AT411" s="352"/>
      <c r="AU411" s="352"/>
      <c r="AV411" s="352"/>
      <c r="AW411" s="352" t="s">
        <v>254</v>
      </c>
    </row>
    <row r="412" spans="2:49" x14ac:dyDescent="0.2">
      <c r="B412" s="460" t="s">
        <v>2482</v>
      </c>
      <c r="C412" s="460">
        <v>1232</v>
      </c>
      <c r="D412" s="460" t="s">
        <v>2285</v>
      </c>
      <c r="E412" s="460" t="s">
        <v>2271</v>
      </c>
      <c r="F412" s="460">
        <v>2</v>
      </c>
      <c r="G412" s="460">
        <v>1</v>
      </c>
      <c r="H412" s="461" t="s">
        <v>746</v>
      </c>
      <c r="I412" s="461" t="s">
        <v>762</v>
      </c>
      <c r="J412" s="461" t="s">
        <v>700</v>
      </c>
      <c r="K412" s="594"/>
      <c r="L412" s="594"/>
      <c r="M412" s="352">
        <v>1000</v>
      </c>
      <c r="N412" s="352" t="s">
        <v>698</v>
      </c>
      <c r="O412" s="460">
        <v>1232</v>
      </c>
      <c r="P412" s="460" t="s">
        <v>734</v>
      </c>
      <c r="Q412" s="460" t="s">
        <v>2266</v>
      </c>
      <c r="R412" s="460">
        <v>1232</v>
      </c>
      <c r="S412" s="460" t="s">
        <v>2265</v>
      </c>
      <c r="T412" s="462">
        <v>1</v>
      </c>
      <c r="U412" s="460" t="s">
        <v>2271</v>
      </c>
      <c r="V412" s="475">
        <v>0</v>
      </c>
      <c r="W412" s="463" t="s">
        <v>2268</v>
      </c>
      <c r="X412" s="463" t="s">
        <v>2268</v>
      </c>
      <c r="Y412" s="463" t="s">
        <v>2267</v>
      </c>
      <c r="Z412" s="463"/>
      <c r="AA412" s="463"/>
      <c r="AB412" s="464">
        <v>0</v>
      </c>
      <c r="AC412" s="465">
        <v>0</v>
      </c>
      <c r="AD412" s="465">
        <v>0</v>
      </c>
      <c r="AE412" s="476">
        <v>0</v>
      </c>
      <c r="AF412" s="467">
        <v>0</v>
      </c>
      <c r="AG412" s="468">
        <v>0</v>
      </c>
      <c r="AH412" s="218">
        <v>0</v>
      </c>
      <c r="AI412" s="470">
        <v>0</v>
      </c>
      <c r="AJ412" s="471">
        <v>0</v>
      </c>
      <c r="AK412" s="218">
        <v>0</v>
      </c>
      <c r="AL412" s="470">
        <v>0</v>
      </c>
      <c r="AM412" s="471">
        <v>0</v>
      </c>
      <c r="AN412" s="477">
        <v>1412.1161055013515</v>
      </c>
      <c r="AO412" s="473">
        <v>0.81977439026090126</v>
      </c>
      <c r="AP412" s="474">
        <v>2.049640205643747E-2</v>
      </c>
      <c r="AQ412" s="352"/>
      <c r="AR412" s="352"/>
      <c r="AS412" s="352"/>
      <c r="AT412" s="352"/>
      <c r="AU412" s="352"/>
      <c r="AV412" s="352"/>
      <c r="AW412" s="352" t="s">
        <v>254</v>
      </c>
    </row>
    <row r="413" spans="2:49" x14ac:dyDescent="0.2">
      <c r="B413" s="460" t="s">
        <v>2483</v>
      </c>
      <c r="C413" s="460">
        <v>1232</v>
      </c>
      <c r="D413" s="460" t="s">
        <v>2286</v>
      </c>
      <c r="E413" s="460" t="s">
        <v>2274</v>
      </c>
      <c r="F413" s="460">
        <v>3</v>
      </c>
      <c r="G413" s="460">
        <v>1</v>
      </c>
      <c r="H413" s="461" t="s">
        <v>746</v>
      </c>
      <c r="I413" s="461" t="s">
        <v>762</v>
      </c>
      <c r="J413" s="461" t="s">
        <v>700</v>
      </c>
      <c r="K413" s="594"/>
      <c r="L413" s="594"/>
      <c r="M413" s="352">
        <v>1000</v>
      </c>
      <c r="N413" s="352" t="s">
        <v>698</v>
      </c>
      <c r="O413" s="460">
        <v>1232</v>
      </c>
      <c r="P413" s="460" t="s">
        <v>734</v>
      </c>
      <c r="Q413" s="460" t="s">
        <v>2266</v>
      </c>
      <c r="R413" s="460">
        <v>1232</v>
      </c>
      <c r="S413" s="460" t="s">
        <v>2265</v>
      </c>
      <c r="T413" s="462">
        <v>0.74223365950407583</v>
      </c>
      <c r="U413" s="460" t="s">
        <v>2274</v>
      </c>
      <c r="V413" s="475">
        <v>0</v>
      </c>
      <c r="W413" s="463" t="s">
        <v>2268</v>
      </c>
      <c r="X413" s="463" t="s">
        <v>2268</v>
      </c>
      <c r="Y413" s="463" t="s">
        <v>2267</v>
      </c>
      <c r="Z413" s="463"/>
      <c r="AA413" s="463"/>
      <c r="AB413" s="464">
        <v>0</v>
      </c>
      <c r="AC413" s="465">
        <v>0</v>
      </c>
      <c r="AD413" s="465">
        <v>0</v>
      </c>
      <c r="AE413" s="476">
        <v>0</v>
      </c>
      <c r="AF413" s="467">
        <v>0</v>
      </c>
      <c r="AG413" s="468">
        <v>0</v>
      </c>
      <c r="AH413" s="218">
        <v>0</v>
      </c>
      <c r="AI413" s="470">
        <v>0</v>
      </c>
      <c r="AJ413" s="471">
        <v>0</v>
      </c>
      <c r="AK413" s="218">
        <v>0</v>
      </c>
      <c r="AL413" s="470">
        <v>0</v>
      </c>
      <c r="AM413" s="471">
        <v>0</v>
      </c>
      <c r="AN413" s="477">
        <v>436.32484323250884</v>
      </c>
      <c r="AO413" s="473">
        <v>0.60846414565107121</v>
      </c>
      <c r="AP413" s="474">
        <v>2.2027942700198769E-2</v>
      </c>
      <c r="AQ413" s="352"/>
      <c r="AR413" s="352"/>
      <c r="AS413" s="352"/>
      <c r="AT413" s="352"/>
      <c r="AU413" s="352"/>
      <c r="AV413" s="352"/>
      <c r="AW413" s="352" t="s">
        <v>254</v>
      </c>
    </row>
    <row r="414" spans="2:49" x14ac:dyDescent="0.2">
      <c r="B414" s="460" t="s">
        <v>2484</v>
      </c>
      <c r="C414" s="460">
        <v>1232</v>
      </c>
      <c r="D414" s="460" t="s">
        <v>2287</v>
      </c>
      <c r="E414" s="460" t="s">
        <v>2277</v>
      </c>
      <c r="F414" s="460">
        <v>4</v>
      </c>
      <c r="G414" s="460">
        <v>1</v>
      </c>
      <c r="H414" s="461" t="s">
        <v>746</v>
      </c>
      <c r="I414" s="461" t="s">
        <v>762</v>
      </c>
      <c r="J414" s="461" t="s">
        <v>700</v>
      </c>
      <c r="K414" s="594"/>
      <c r="L414" s="594"/>
      <c r="M414" s="352">
        <v>1000</v>
      </c>
      <c r="N414" s="352" t="s">
        <v>698</v>
      </c>
      <c r="O414" s="460">
        <v>1232</v>
      </c>
      <c r="P414" s="460" t="s">
        <v>734</v>
      </c>
      <c r="Q414" s="460" t="s">
        <v>2266</v>
      </c>
      <c r="R414" s="460">
        <v>1232</v>
      </c>
      <c r="S414" s="460" t="s">
        <v>2277</v>
      </c>
      <c r="T414" s="462">
        <v>1</v>
      </c>
      <c r="U414" s="460" t="s">
        <v>2277</v>
      </c>
      <c r="V414" s="475">
        <v>0</v>
      </c>
      <c r="W414" s="463" t="s">
        <v>2268</v>
      </c>
      <c r="X414" s="463" t="s">
        <v>2268</v>
      </c>
      <c r="Y414" s="463" t="s">
        <v>2278</v>
      </c>
      <c r="Z414" s="463"/>
      <c r="AA414" s="463"/>
      <c r="AB414" s="464">
        <v>0</v>
      </c>
      <c r="AC414" s="465">
        <v>0</v>
      </c>
      <c r="AD414" s="465">
        <v>0</v>
      </c>
      <c r="AE414" s="476">
        <v>0</v>
      </c>
      <c r="AF414" s="467">
        <v>0</v>
      </c>
      <c r="AG414" s="468">
        <v>0</v>
      </c>
      <c r="AH414" s="218">
        <v>0</v>
      </c>
      <c r="AI414" s="470">
        <v>0</v>
      </c>
      <c r="AJ414" s="471">
        <v>0</v>
      </c>
      <c r="AK414" s="218">
        <v>0</v>
      </c>
      <c r="AL414" s="470">
        <v>0</v>
      </c>
      <c r="AM414" s="471">
        <v>0</v>
      </c>
      <c r="AN414" s="477">
        <v>4.0397139403965081</v>
      </c>
      <c r="AO414" s="473">
        <v>9.0374469410187154E-3</v>
      </c>
      <c r="AP414" s="474">
        <v>2.1175883265994146E-2</v>
      </c>
      <c r="AQ414" s="352"/>
      <c r="AR414" s="352"/>
      <c r="AS414" s="352"/>
      <c r="AT414" s="352"/>
      <c r="AU414" s="352"/>
      <c r="AV414" s="352"/>
      <c r="AW414" s="352" t="s">
        <v>254</v>
      </c>
    </row>
    <row r="415" spans="2:49" x14ac:dyDescent="0.2">
      <c r="B415" s="460" t="s">
        <v>2481</v>
      </c>
      <c r="C415" s="460">
        <v>1232</v>
      </c>
      <c r="D415" s="460" t="s">
        <v>2288</v>
      </c>
      <c r="E415" s="460" t="s">
        <v>2265</v>
      </c>
      <c r="F415" s="460">
        <v>1</v>
      </c>
      <c r="G415" s="460">
        <v>1</v>
      </c>
      <c r="H415" s="461" t="s">
        <v>748</v>
      </c>
      <c r="I415" s="461" t="s">
        <v>765</v>
      </c>
      <c r="J415" s="461" t="s">
        <v>700</v>
      </c>
      <c r="K415" s="594"/>
      <c r="L415" s="594"/>
      <c r="M415" s="352">
        <v>1000</v>
      </c>
      <c r="N415" s="352" t="s">
        <v>698</v>
      </c>
      <c r="O415" s="460">
        <v>1232</v>
      </c>
      <c r="P415" s="460" t="s">
        <v>734</v>
      </c>
      <c r="Q415" s="460" t="s">
        <v>2289</v>
      </c>
      <c r="R415" s="460">
        <v>1232</v>
      </c>
      <c r="S415" s="460" t="s">
        <v>2265</v>
      </c>
      <c r="T415" s="462">
        <v>1</v>
      </c>
      <c r="U415" s="460" t="s">
        <v>2265</v>
      </c>
      <c r="V415" s="475">
        <v>0</v>
      </c>
      <c r="W415" s="463" t="s">
        <v>2268</v>
      </c>
      <c r="X415" s="463" t="s">
        <v>2268</v>
      </c>
      <c r="Y415" s="463" t="s">
        <v>2290</v>
      </c>
      <c r="Z415" s="463"/>
      <c r="AA415" s="463"/>
      <c r="AB415" s="464">
        <v>0</v>
      </c>
      <c r="AC415" s="465">
        <v>0</v>
      </c>
      <c r="AD415" s="465">
        <v>0</v>
      </c>
      <c r="AE415" s="476">
        <v>0</v>
      </c>
      <c r="AF415" s="467">
        <v>0</v>
      </c>
      <c r="AG415" s="468">
        <v>0</v>
      </c>
      <c r="AH415" s="218">
        <v>0</v>
      </c>
      <c r="AI415" s="470">
        <v>0</v>
      </c>
      <c r="AJ415" s="471">
        <v>0</v>
      </c>
      <c r="AK415" s="218">
        <v>0</v>
      </c>
      <c r="AL415" s="470">
        <v>0</v>
      </c>
      <c r="AM415" s="471">
        <v>0</v>
      </c>
      <c r="AN415" s="477">
        <v>0</v>
      </c>
      <c r="AO415" s="473">
        <v>0</v>
      </c>
      <c r="AP415" s="474">
        <v>0</v>
      </c>
      <c r="AQ415" s="352"/>
      <c r="AR415" s="352"/>
      <c r="AS415" s="352"/>
      <c r="AT415" s="352"/>
      <c r="AU415" s="352"/>
      <c r="AV415" s="352"/>
      <c r="AW415" s="352" t="s">
        <v>254</v>
      </c>
    </row>
    <row r="416" spans="2:49" x14ac:dyDescent="0.2">
      <c r="B416" s="460" t="s">
        <v>2482</v>
      </c>
      <c r="C416" s="460">
        <v>1232</v>
      </c>
      <c r="D416" s="460" t="s">
        <v>2291</v>
      </c>
      <c r="E416" s="460" t="s">
        <v>2271</v>
      </c>
      <c r="F416" s="460">
        <v>2</v>
      </c>
      <c r="G416" s="460">
        <v>1</v>
      </c>
      <c r="H416" s="461" t="s">
        <v>748</v>
      </c>
      <c r="I416" s="461" t="s">
        <v>765</v>
      </c>
      <c r="J416" s="461" t="s">
        <v>700</v>
      </c>
      <c r="K416" s="594"/>
      <c r="L416" s="594"/>
      <c r="M416" s="352">
        <v>1000</v>
      </c>
      <c r="N416" s="352" t="s">
        <v>698</v>
      </c>
      <c r="O416" s="460">
        <v>1232</v>
      </c>
      <c r="P416" s="460" t="s">
        <v>734</v>
      </c>
      <c r="Q416" s="460" t="s">
        <v>2289</v>
      </c>
      <c r="R416" s="460">
        <v>1232</v>
      </c>
      <c r="S416" s="460" t="s">
        <v>2265</v>
      </c>
      <c r="T416" s="462">
        <v>1</v>
      </c>
      <c r="U416" s="460" t="s">
        <v>2271</v>
      </c>
      <c r="V416" s="475">
        <v>0</v>
      </c>
      <c r="W416" s="463" t="s">
        <v>2268</v>
      </c>
      <c r="X416" s="463" t="s">
        <v>2268</v>
      </c>
      <c r="Y416" s="463" t="s">
        <v>2290</v>
      </c>
      <c r="Z416" s="463"/>
      <c r="AA416" s="463"/>
      <c r="AB416" s="464">
        <v>0</v>
      </c>
      <c r="AC416" s="465">
        <v>0</v>
      </c>
      <c r="AD416" s="465">
        <v>0</v>
      </c>
      <c r="AE416" s="476">
        <v>0</v>
      </c>
      <c r="AF416" s="467">
        <v>0</v>
      </c>
      <c r="AG416" s="468">
        <v>0</v>
      </c>
      <c r="AH416" s="218">
        <v>0</v>
      </c>
      <c r="AI416" s="470">
        <v>0</v>
      </c>
      <c r="AJ416" s="471">
        <v>0</v>
      </c>
      <c r="AK416" s="218">
        <v>0</v>
      </c>
      <c r="AL416" s="470">
        <v>0</v>
      </c>
      <c r="AM416" s="471">
        <v>0</v>
      </c>
      <c r="AN416" s="477">
        <v>0</v>
      </c>
      <c r="AO416" s="473">
        <v>0</v>
      </c>
      <c r="AP416" s="474">
        <v>0</v>
      </c>
      <c r="AQ416" s="352"/>
      <c r="AR416" s="352"/>
      <c r="AS416" s="352"/>
      <c r="AT416" s="352"/>
      <c r="AU416" s="352"/>
      <c r="AV416" s="352"/>
      <c r="AW416" s="352" t="s">
        <v>254</v>
      </c>
    </row>
    <row r="417" spans="2:49" x14ac:dyDescent="0.2">
      <c r="B417" s="460" t="s">
        <v>2483</v>
      </c>
      <c r="C417" s="460">
        <v>1232</v>
      </c>
      <c r="D417" s="460" t="s">
        <v>2292</v>
      </c>
      <c r="E417" s="460" t="s">
        <v>2274</v>
      </c>
      <c r="F417" s="460">
        <v>3</v>
      </c>
      <c r="G417" s="460">
        <v>1</v>
      </c>
      <c r="H417" s="461" t="s">
        <v>748</v>
      </c>
      <c r="I417" s="461" t="s">
        <v>765</v>
      </c>
      <c r="J417" s="461" t="s">
        <v>700</v>
      </c>
      <c r="K417" s="594"/>
      <c r="L417" s="594"/>
      <c r="M417" s="352">
        <v>1000</v>
      </c>
      <c r="N417" s="352" t="s">
        <v>698</v>
      </c>
      <c r="O417" s="460">
        <v>1232</v>
      </c>
      <c r="P417" s="460" t="s">
        <v>734</v>
      </c>
      <c r="Q417" s="460" t="s">
        <v>2289</v>
      </c>
      <c r="R417" s="460">
        <v>1232</v>
      </c>
      <c r="S417" s="460" t="s">
        <v>2265</v>
      </c>
      <c r="T417" s="462">
        <v>0.74223365950407583</v>
      </c>
      <c r="U417" s="460" t="s">
        <v>2274</v>
      </c>
      <c r="V417" s="475">
        <v>0</v>
      </c>
      <c r="W417" s="463" t="s">
        <v>2268</v>
      </c>
      <c r="X417" s="463" t="s">
        <v>2268</v>
      </c>
      <c r="Y417" s="463" t="s">
        <v>2290</v>
      </c>
      <c r="Z417" s="463"/>
      <c r="AA417" s="463"/>
      <c r="AB417" s="464">
        <v>0</v>
      </c>
      <c r="AC417" s="465">
        <v>0</v>
      </c>
      <c r="AD417" s="465">
        <v>0</v>
      </c>
      <c r="AE417" s="476">
        <v>0</v>
      </c>
      <c r="AF417" s="467">
        <v>0</v>
      </c>
      <c r="AG417" s="468">
        <v>0</v>
      </c>
      <c r="AH417" s="218">
        <v>0</v>
      </c>
      <c r="AI417" s="470">
        <v>0</v>
      </c>
      <c r="AJ417" s="471">
        <v>0</v>
      </c>
      <c r="AK417" s="218">
        <v>0</v>
      </c>
      <c r="AL417" s="470">
        <v>0</v>
      </c>
      <c r="AM417" s="471">
        <v>0</v>
      </c>
      <c r="AN417" s="477">
        <v>0</v>
      </c>
      <c r="AO417" s="473">
        <v>0</v>
      </c>
      <c r="AP417" s="474">
        <v>0</v>
      </c>
      <c r="AQ417" s="352"/>
      <c r="AR417" s="352"/>
      <c r="AS417" s="352"/>
      <c r="AT417" s="352"/>
      <c r="AU417" s="352"/>
      <c r="AV417" s="352"/>
      <c r="AW417" s="352" t="s">
        <v>254</v>
      </c>
    </row>
    <row r="418" spans="2:49" x14ac:dyDescent="0.2">
      <c r="B418" s="460" t="s">
        <v>2484</v>
      </c>
      <c r="C418" s="460">
        <v>1232</v>
      </c>
      <c r="D418" s="460" t="s">
        <v>2293</v>
      </c>
      <c r="E418" s="460" t="s">
        <v>2277</v>
      </c>
      <c r="F418" s="460">
        <v>4</v>
      </c>
      <c r="G418" s="460">
        <v>1</v>
      </c>
      <c r="H418" s="461" t="s">
        <v>748</v>
      </c>
      <c r="I418" s="461" t="s">
        <v>765</v>
      </c>
      <c r="J418" s="461" t="s">
        <v>700</v>
      </c>
      <c r="K418" s="594"/>
      <c r="L418" s="594"/>
      <c r="M418" s="352">
        <v>1000</v>
      </c>
      <c r="N418" s="352" t="s">
        <v>698</v>
      </c>
      <c r="O418" s="460">
        <v>1232</v>
      </c>
      <c r="P418" s="460" t="s">
        <v>734</v>
      </c>
      <c r="Q418" s="460" t="s">
        <v>2289</v>
      </c>
      <c r="R418" s="460">
        <v>1232</v>
      </c>
      <c r="S418" s="460" t="s">
        <v>2277</v>
      </c>
      <c r="T418" s="462">
        <v>1</v>
      </c>
      <c r="U418" s="460" t="s">
        <v>2277</v>
      </c>
      <c r="V418" s="475">
        <v>0</v>
      </c>
      <c r="W418" s="463" t="s">
        <v>2268</v>
      </c>
      <c r="X418" s="463" t="s">
        <v>2268</v>
      </c>
      <c r="Y418" s="463" t="s">
        <v>2290</v>
      </c>
      <c r="Z418" s="463"/>
      <c r="AA418" s="463"/>
      <c r="AB418" s="464">
        <v>0</v>
      </c>
      <c r="AC418" s="465">
        <v>0</v>
      </c>
      <c r="AD418" s="465">
        <v>0</v>
      </c>
      <c r="AE418" s="476">
        <v>0</v>
      </c>
      <c r="AF418" s="467">
        <v>0</v>
      </c>
      <c r="AG418" s="468">
        <v>0</v>
      </c>
      <c r="AH418" s="218">
        <v>0</v>
      </c>
      <c r="AI418" s="470">
        <v>0</v>
      </c>
      <c r="AJ418" s="471">
        <v>0</v>
      </c>
      <c r="AK418" s="218">
        <v>0</v>
      </c>
      <c r="AL418" s="470">
        <v>0</v>
      </c>
      <c r="AM418" s="471">
        <v>0</v>
      </c>
      <c r="AN418" s="477">
        <v>0</v>
      </c>
      <c r="AO418" s="473">
        <v>0</v>
      </c>
      <c r="AP418" s="474">
        <v>0</v>
      </c>
      <c r="AQ418" s="352"/>
      <c r="AR418" s="352"/>
      <c r="AS418" s="352"/>
      <c r="AT418" s="352"/>
      <c r="AU418" s="352"/>
      <c r="AV418" s="352"/>
      <c r="AW418" s="352" t="s">
        <v>254</v>
      </c>
    </row>
    <row r="419" spans="2:49" x14ac:dyDescent="0.2">
      <c r="B419" s="460" t="s">
        <v>2485</v>
      </c>
      <c r="C419" s="460">
        <v>1232</v>
      </c>
      <c r="D419" s="460" t="s">
        <v>2295</v>
      </c>
      <c r="E419" s="460" t="s">
        <v>2296</v>
      </c>
      <c r="F419" s="460">
        <v>1</v>
      </c>
      <c r="G419" s="460">
        <v>2</v>
      </c>
      <c r="H419" s="461" t="s">
        <v>700</v>
      </c>
      <c r="I419" s="461" t="s">
        <v>872</v>
      </c>
      <c r="J419" s="461" t="s">
        <v>700</v>
      </c>
      <c r="K419" s="594"/>
      <c r="L419" s="594"/>
      <c r="M419" s="352">
        <v>1000</v>
      </c>
      <c r="N419" s="352" t="s">
        <v>698</v>
      </c>
      <c r="O419" s="460">
        <v>1232</v>
      </c>
      <c r="P419" s="460" t="s">
        <v>734</v>
      </c>
      <c r="Q419" s="460" t="s">
        <v>2266</v>
      </c>
      <c r="R419" s="460">
        <v>1232</v>
      </c>
      <c r="S419" s="460" t="s">
        <v>2296</v>
      </c>
      <c r="T419" s="462">
        <v>1</v>
      </c>
      <c r="U419" s="460" t="s">
        <v>2296</v>
      </c>
      <c r="V419" s="475">
        <v>0</v>
      </c>
      <c r="W419" s="463" t="s">
        <v>2267</v>
      </c>
      <c r="X419" s="463" t="s">
        <v>2267</v>
      </c>
      <c r="Y419" s="463" t="s">
        <v>2268</v>
      </c>
      <c r="Z419" s="463"/>
      <c r="AA419" s="463"/>
      <c r="AB419" s="464">
        <v>229.92919992099104</v>
      </c>
      <c r="AC419" s="465">
        <v>0.5237137625467132</v>
      </c>
      <c r="AD419" s="465">
        <v>1.3431021332730199E-2</v>
      </c>
      <c r="AE419" s="476">
        <v>229.92919992099104</v>
      </c>
      <c r="AF419" s="467">
        <v>0.5237137625467132</v>
      </c>
      <c r="AG419" s="468">
        <v>1.4929311855958041E-2</v>
      </c>
      <c r="AH419" s="218">
        <v>229.92919992099104</v>
      </c>
      <c r="AI419" s="470">
        <v>0.5237137625467132</v>
      </c>
      <c r="AJ419" s="471">
        <v>1.37160455136166E-2</v>
      </c>
      <c r="AK419" s="218">
        <v>229.92919992099104</v>
      </c>
      <c r="AL419" s="470">
        <v>0.5237137625467132</v>
      </c>
      <c r="AM419" s="471">
        <v>1.37160455136166E-2</v>
      </c>
      <c r="AN419" s="477">
        <v>0</v>
      </c>
      <c r="AO419" s="473">
        <v>0</v>
      </c>
      <c r="AP419" s="474">
        <v>0</v>
      </c>
      <c r="AQ419" s="352"/>
      <c r="AR419" s="352"/>
      <c r="AS419" s="352"/>
      <c r="AT419" s="352"/>
      <c r="AU419" s="352"/>
      <c r="AV419" s="352"/>
      <c r="AW419" s="352" t="s">
        <v>254</v>
      </c>
    </row>
    <row r="420" spans="2:49" x14ac:dyDescent="0.2">
      <c r="B420" s="460" t="s">
        <v>2486</v>
      </c>
      <c r="C420" s="460">
        <v>1232</v>
      </c>
      <c r="D420" s="460" t="s">
        <v>2298</v>
      </c>
      <c r="E420" s="460" t="s">
        <v>2299</v>
      </c>
      <c r="F420" s="460">
        <v>2</v>
      </c>
      <c r="G420" s="460">
        <v>2</v>
      </c>
      <c r="H420" s="461" t="s">
        <v>700</v>
      </c>
      <c r="I420" s="461" t="s">
        <v>872</v>
      </c>
      <c r="J420" s="461" t="s">
        <v>700</v>
      </c>
      <c r="K420" s="594"/>
      <c r="L420" s="594"/>
      <c r="M420" s="352">
        <v>1000</v>
      </c>
      <c r="N420" s="352" t="s">
        <v>698</v>
      </c>
      <c r="O420" s="460">
        <v>1232</v>
      </c>
      <c r="P420" s="460" t="s">
        <v>734</v>
      </c>
      <c r="Q420" s="460" t="s">
        <v>2266</v>
      </c>
      <c r="R420" s="460">
        <v>1232</v>
      </c>
      <c r="S420" s="460" t="s">
        <v>2296</v>
      </c>
      <c r="T420" s="462">
        <v>0.55517361979372948</v>
      </c>
      <c r="U420" s="460" t="s">
        <v>2299</v>
      </c>
      <c r="V420" s="475">
        <v>0</v>
      </c>
      <c r="W420" s="463" t="s">
        <v>2267</v>
      </c>
      <c r="X420" s="463" t="s">
        <v>2267</v>
      </c>
      <c r="Y420" s="463" t="s">
        <v>2268</v>
      </c>
      <c r="Z420" s="463"/>
      <c r="AA420" s="463"/>
      <c r="AB420" s="464">
        <v>42.658322585782216</v>
      </c>
      <c r="AC420" s="465">
        <v>0.20216560073182535</v>
      </c>
      <c r="AD420" s="465">
        <v>1.290753109329244E-2</v>
      </c>
      <c r="AE420" s="476">
        <v>42.658322585782216</v>
      </c>
      <c r="AF420" s="467">
        <v>0.20216560073182535</v>
      </c>
      <c r="AG420" s="468">
        <v>1.448474142303624E-2</v>
      </c>
      <c r="AH420" s="218">
        <v>61.350671670532996</v>
      </c>
      <c r="AI420" s="470">
        <v>0.2907520652888525</v>
      </c>
      <c r="AJ420" s="471">
        <v>1.4447321121589455E-2</v>
      </c>
      <c r="AK420" s="218">
        <v>61.350671670532996</v>
      </c>
      <c r="AL420" s="470">
        <v>0.2907520652888525</v>
      </c>
      <c r="AM420" s="471">
        <v>1.4447321121589455E-2</v>
      </c>
      <c r="AN420" s="477">
        <v>0</v>
      </c>
      <c r="AO420" s="473">
        <v>0</v>
      </c>
      <c r="AP420" s="474">
        <v>0</v>
      </c>
      <c r="AQ420" s="352"/>
      <c r="AR420" s="352"/>
      <c r="AS420" s="352"/>
      <c r="AT420" s="352"/>
      <c r="AU420" s="352"/>
      <c r="AV420" s="352"/>
      <c r="AW420" s="352" t="s">
        <v>254</v>
      </c>
    </row>
    <row r="421" spans="2:49" x14ac:dyDescent="0.2">
      <c r="B421" s="460" t="s">
        <v>2487</v>
      </c>
      <c r="C421" s="460">
        <v>1232</v>
      </c>
      <c r="D421" s="460" t="s">
        <v>2301</v>
      </c>
      <c r="E421" s="460" t="s">
        <v>2302</v>
      </c>
      <c r="F421" s="460">
        <v>3</v>
      </c>
      <c r="G421" s="460">
        <v>2</v>
      </c>
      <c r="H421" s="461" t="s">
        <v>700</v>
      </c>
      <c r="I421" s="461" t="s">
        <v>872</v>
      </c>
      <c r="J421" s="461" t="s">
        <v>700</v>
      </c>
      <c r="K421" s="594"/>
      <c r="L421" s="594"/>
      <c r="M421" s="352">
        <v>1000</v>
      </c>
      <c r="N421" s="352" t="s">
        <v>698</v>
      </c>
      <c r="O421" s="460">
        <v>1232</v>
      </c>
      <c r="P421" s="460" t="s">
        <v>734</v>
      </c>
      <c r="Q421" s="460" t="s">
        <v>2266</v>
      </c>
      <c r="R421" s="460">
        <v>1232</v>
      </c>
      <c r="S421" s="460" t="s">
        <v>2296</v>
      </c>
      <c r="T421" s="462">
        <v>0.28481449642268464</v>
      </c>
      <c r="U421" s="460" t="s">
        <v>2302</v>
      </c>
      <c r="V421" s="475">
        <v>0</v>
      </c>
      <c r="W421" s="463" t="s">
        <v>2267</v>
      </c>
      <c r="X421" s="463" t="s">
        <v>2267</v>
      </c>
      <c r="Y421" s="463" t="s">
        <v>2268</v>
      </c>
      <c r="Z421" s="463"/>
      <c r="AA421" s="463"/>
      <c r="AB421" s="464">
        <v>3.968488922121336</v>
      </c>
      <c r="AC421" s="465">
        <v>6.406535889162164E-2</v>
      </c>
      <c r="AD421" s="465">
        <v>7.7192580395215073E-3</v>
      </c>
      <c r="AE421" s="476">
        <v>3.9684889221213364</v>
      </c>
      <c r="AF421" s="467">
        <v>6.406535889162164E-2</v>
      </c>
      <c r="AG421" s="468">
        <v>8.7107077112019999E-3</v>
      </c>
      <c r="AH421" s="218">
        <v>9.2397024537800103</v>
      </c>
      <c r="AI421" s="470">
        <v>0.14916127154937156</v>
      </c>
      <c r="AJ421" s="471">
        <v>9.5919099543946926E-3</v>
      </c>
      <c r="AK421" s="218">
        <v>9.2397024537800103</v>
      </c>
      <c r="AL421" s="470">
        <v>0.14916127154937156</v>
      </c>
      <c r="AM421" s="471">
        <v>9.5919099543946926E-3</v>
      </c>
      <c r="AN421" s="477">
        <v>0</v>
      </c>
      <c r="AO421" s="473">
        <v>0</v>
      </c>
      <c r="AP421" s="474">
        <v>0</v>
      </c>
      <c r="AQ421" s="352"/>
      <c r="AR421" s="352"/>
      <c r="AS421" s="352"/>
      <c r="AT421" s="352"/>
      <c r="AU421" s="352"/>
      <c r="AV421" s="352"/>
      <c r="AW421" s="352" t="s">
        <v>254</v>
      </c>
    </row>
    <row r="422" spans="2:49" x14ac:dyDescent="0.2">
      <c r="B422" s="460" t="s">
        <v>2488</v>
      </c>
      <c r="C422" s="460">
        <v>1232</v>
      </c>
      <c r="D422" s="460" t="s">
        <v>2304</v>
      </c>
      <c r="E422" s="460" t="s">
        <v>2305</v>
      </c>
      <c r="F422" s="460">
        <v>4</v>
      </c>
      <c r="G422" s="460">
        <v>2</v>
      </c>
      <c r="H422" s="461" t="s">
        <v>700</v>
      </c>
      <c r="I422" s="461" t="s">
        <v>872</v>
      </c>
      <c r="J422" s="461" t="s">
        <v>700</v>
      </c>
      <c r="K422" s="594"/>
      <c r="L422" s="594"/>
      <c r="M422" s="352">
        <v>1000</v>
      </c>
      <c r="N422" s="352" t="s">
        <v>698</v>
      </c>
      <c r="O422" s="460">
        <v>1232</v>
      </c>
      <c r="P422" s="460" t="s">
        <v>734</v>
      </c>
      <c r="Q422" s="460" t="s">
        <v>2266</v>
      </c>
      <c r="R422" s="460">
        <v>1232</v>
      </c>
      <c r="S422" s="460" t="s">
        <v>2305</v>
      </c>
      <c r="T422" s="462">
        <v>1</v>
      </c>
      <c r="U422" s="460" t="s">
        <v>2305</v>
      </c>
      <c r="V422" s="475">
        <v>0</v>
      </c>
      <c r="W422" s="463" t="s">
        <v>2278</v>
      </c>
      <c r="X422" s="463" t="s">
        <v>2278</v>
      </c>
      <c r="Y422" s="463" t="s">
        <v>2268</v>
      </c>
      <c r="Z422" s="463"/>
      <c r="AA422" s="463"/>
      <c r="AB422" s="464">
        <v>0.36141736831433519</v>
      </c>
      <c r="AC422" s="465">
        <v>5.459059079764985E-3</v>
      </c>
      <c r="AD422" s="465">
        <v>2.8614531294563806E-2</v>
      </c>
      <c r="AE422" s="476">
        <v>0.36141736831433519</v>
      </c>
      <c r="AF422" s="467">
        <v>5.459059079764985E-3</v>
      </c>
      <c r="AG422" s="468">
        <v>3.1774125913677731E-2</v>
      </c>
      <c r="AH422" s="218">
        <v>0.36141736831433519</v>
      </c>
      <c r="AI422" s="470">
        <v>5.459059079764985E-3</v>
      </c>
      <c r="AJ422" s="471">
        <v>3.1642269295508473E-2</v>
      </c>
      <c r="AK422" s="218">
        <v>0.36141736831433519</v>
      </c>
      <c r="AL422" s="470">
        <v>5.459059079764985E-3</v>
      </c>
      <c r="AM422" s="471">
        <v>3.1642269295508473E-2</v>
      </c>
      <c r="AN422" s="477">
        <v>0</v>
      </c>
      <c r="AO422" s="473">
        <v>0</v>
      </c>
      <c r="AP422" s="474">
        <v>0</v>
      </c>
      <c r="AQ422" s="352"/>
      <c r="AR422" s="352"/>
      <c r="AS422" s="352"/>
      <c r="AT422" s="352"/>
      <c r="AU422" s="352"/>
      <c r="AV422" s="352"/>
      <c r="AW422" s="352" t="s">
        <v>254</v>
      </c>
    </row>
    <row r="423" spans="2:49" x14ac:dyDescent="0.2">
      <c r="B423" s="460" t="s">
        <v>2485</v>
      </c>
      <c r="C423" s="460">
        <v>1232</v>
      </c>
      <c r="D423" s="460" t="s">
        <v>2306</v>
      </c>
      <c r="E423" s="460" t="s">
        <v>2296</v>
      </c>
      <c r="F423" s="460">
        <v>1</v>
      </c>
      <c r="G423" s="460">
        <v>2</v>
      </c>
      <c r="H423" s="461" t="s">
        <v>712</v>
      </c>
      <c r="I423" s="461" t="s">
        <v>713</v>
      </c>
      <c r="J423" s="461" t="s">
        <v>712</v>
      </c>
      <c r="K423" s="594"/>
      <c r="L423" s="594"/>
      <c r="M423" s="352">
        <v>1000</v>
      </c>
      <c r="N423" s="352" t="s">
        <v>698</v>
      </c>
      <c r="O423" s="460">
        <v>1232</v>
      </c>
      <c r="P423" s="460" t="s">
        <v>734</v>
      </c>
      <c r="Q423" s="460" t="s">
        <v>2280</v>
      </c>
      <c r="R423" s="460">
        <v>1232</v>
      </c>
      <c r="S423" s="460" t="s">
        <v>2296</v>
      </c>
      <c r="T423" s="462">
        <v>1</v>
      </c>
      <c r="U423" s="460" t="s">
        <v>2296</v>
      </c>
      <c r="V423" s="475">
        <v>0</v>
      </c>
      <c r="W423" s="463" t="s">
        <v>713</v>
      </c>
      <c r="X423" s="463" t="s">
        <v>713</v>
      </c>
      <c r="Y423" s="463" t="s">
        <v>713</v>
      </c>
      <c r="Z423" s="463"/>
      <c r="AA423" s="463"/>
      <c r="AB423" s="464">
        <v>209.10680860949373</v>
      </c>
      <c r="AC423" s="465">
        <v>0.4762862374532868</v>
      </c>
      <c r="AD423" s="465">
        <v>1.8085599527989838E-3</v>
      </c>
      <c r="AE423" s="476">
        <v>209.10680860949373</v>
      </c>
      <c r="AF423" s="467">
        <v>0.4762862374532868</v>
      </c>
      <c r="AG423" s="468">
        <v>1.7820790352574337E-3</v>
      </c>
      <c r="AH423" s="218">
        <v>209.10680860949373</v>
      </c>
      <c r="AI423" s="470">
        <v>0.4762862374532868</v>
      </c>
      <c r="AJ423" s="471">
        <v>1.803012401487095E-3</v>
      </c>
      <c r="AK423" s="218">
        <v>209.10680860949373</v>
      </c>
      <c r="AL423" s="470">
        <v>0.4762862374532868</v>
      </c>
      <c r="AM423" s="471">
        <v>1.803012401487095E-3</v>
      </c>
      <c r="AN423" s="477">
        <v>209.10680860949373</v>
      </c>
      <c r="AO423" s="473">
        <v>0.4762862374532868</v>
      </c>
      <c r="AP423" s="474">
        <v>1.8025699174231376E-3</v>
      </c>
      <c r="AQ423" s="352"/>
      <c r="AR423" s="352"/>
      <c r="AS423" s="352"/>
      <c r="AT423" s="352"/>
      <c r="AU423" s="352"/>
      <c r="AV423" s="352"/>
      <c r="AW423" s="352" t="s">
        <v>254</v>
      </c>
    </row>
    <row r="424" spans="2:49" x14ac:dyDescent="0.2">
      <c r="B424" s="460" t="s">
        <v>2486</v>
      </c>
      <c r="C424" s="460">
        <v>1232</v>
      </c>
      <c r="D424" s="460" t="s">
        <v>2307</v>
      </c>
      <c r="E424" s="460" t="s">
        <v>2299</v>
      </c>
      <c r="F424" s="460">
        <v>2</v>
      </c>
      <c r="G424" s="460">
        <v>2</v>
      </c>
      <c r="H424" s="461" t="s">
        <v>712</v>
      </c>
      <c r="I424" s="461" t="s">
        <v>713</v>
      </c>
      <c r="J424" s="461" t="s">
        <v>712</v>
      </c>
      <c r="K424" s="594"/>
      <c r="L424" s="594"/>
      <c r="M424" s="352">
        <v>1000</v>
      </c>
      <c r="N424" s="352" t="s">
        <v>698</v>
      </c>
      <c r="O424" s="460">
        <v>1232</v>
      </c>
      <c r="P424" s="460" t="s">
        <v>734</v>
      </c>
      <c r="Q424" s="460" t="s">
        <v>2280</v>
      </c>
      <c r="R424" s="460">
        <v>1232</v>
      </c>
      <c r="S424" s="460" t="s">
        <v>2296</v>
      </c>
      <c r="T424" s="462">
        <v>0.55517361979372948</v>
      </c>
      <c r="U424" s="460" t="s">
        <v>2299</v>
      </c>
      <c r="V424" s="475">
        <v>0</v>
      </c>
      <c r="W424" s="463" t="s">
        <v>713</v>
      </c>
      <c r="X424" s="463" t="s">
        <v>713</v>
      </c>
      <c r="Y424" s="463" t="s">
        <v>713</v>
      </c>
      <c r="Z424" s="463"/>
      <c r="AA424" s="463"/>
      <c r="AB424" s="464">
        <v>168.34850761362893</v>
      </c>
      <c r="AC424" s="465">
        <v>0.79783439926817468</v>
      </c>
      <c r="AD424" s="465">
        <v>1.9472455271636741E-3</v>
      </c>
      <c r="AE424" s="476">
        <v>168.34850761362893</v>
      </c>
      <c r="AF424" s="467">
        <v>0.79783439926817468</v>
      </c>
      <c r="AG424" s="468">
        <v>1.9391737784277294E-3</v>
      </c>
      <c r="AH424" s="218">
        <v>149.65615852887814</v>
      </c>
      <c r="AI424" s="470">
        <v>0.70924793471114755</v>
      </c>
      <c r="AJ424" s="471">
        <v>1.7533567770629459E-3</v>
      </c>
      <c r="AK424" s="218">
        <v>149.65615852887814</v>
      </c>
      <c r="AL424" s="470">
        <v>0.70924793471114755</v>
      </c>
      <c r="AM424" s="471">
        <v>1.7533567770629459E-3</v>
      </c>
      <c r="AN424" s="477">
        <v>149.65615852887814</v>
      </c>
      <c r="AO424" s="473">
        <v>0.70924793471114755</v>
      </c>
      <c r="AP424" s="474">
        <v>1.7531354425949165E-3</v>
      </c>
      <c r="AQ424" s="352"/>
      <c r="AR424" s="352"/>
      <c r="AS424" s="352"/>
      <c r="AT424" s="352"/>
      <c r="AU424" s="352"/>
      <c r="AV424" s="352"/>
      <c r="AW424" s="352" t="s">
        <v>254</v>
      </c>
    </row>
    <row r="425" spans="2:49" x14ac:dyDescent="0.2">
      <c r="B425" s="460" t="s">
        <v>2487</v>
      </c>
      <c r="C425" s="460">
        <v>1232</v>
      </c>
      <c r="D425" s="460" t="s">
        <v>2308</v>
      </c>
      <c r="E425" s="460" t="s">
        <v>2302</v>
      </c>
      <c r="F425" s="460">
        <v>3</v>
      </c>
      <c r="G425" s="460">
        <v>2</v>
      </c>
      <c r="H425" s="461" t="s">
        <v>712</v>
      </c>
      <c r="I425" s="461" t="s">
        <v>713</v>
      </c>
      <c r="J425" s="461" t="s">
        <v>712</v>
      </c>
      <c r="K425" s="594"/>
      <c r="L425" s="594"/>
      <c r="M425" s="352">
        <v>1000</v>
      </c>
      <c r="N425" s="352" t="s">
        <v>698</v>
      </c>
      <c r="O425" s="460">
        <v>1232</v>
      </c>
      <c r="P425" s="460" t="s">
        <v>734</v>
      </c>
      <c r="Q425" s="460" t="s">
        <v>2280</v>
      </c>
      <c r="R425" s="460">
        <v>1232</v>
      </c>
      <c r="S425" s="460" t="s">
        <v>2296</v>
      </c>
      <c r="T425" s="462">
        <v>0.28481449642268464</v>
      </c>
      <c r="U425" s="460" t="s">
        <v>2302</v>
      </c>
      <c r="V425" s="475">
        <v>0</v>
      </c>
      <c r="W425" s="463" t="s">
        <v>713</v>
      </c>
      <c r="X425" s="463" t="s">
        <v>713</v>
      </c>
      <c r="Y425" s="463" t="s">
        <v>713</v>
      </c>
      <c r="Z425" s="463"/>
      <c r="AA425" s="463"/>
      <c r="AB425" s="464">
        <v>57.975890860949363</v>
      </c>
      <c r="AC425" s="465">
        <v>0.93593464110837832</v>
      </c>
      <c r="AD425" s="465">
        <v>1.6863737891870392E-3</v>
      </c>
      <c r="AE425" s="476">
        <v>57.975890860949363</v>
      </c>
      <c r="AF425" s="467">
        <v>0.93593464110837832</v>
      </c>
      <c r="AG425" s="468">
        <v>1.6835083675386681E-3</v>
      </c>
      <c r="AH425" s="218">
        <v>52.704677329290689</v>
      </c>
      <c r="AI425" s="470">
        <v>0.85083872845062847</v>
      </c>
      <c r="AJ425" s="471">
        <v>1.5533425208999548E-3</v>
      </c>
      <c r="AK425" s="218">
        <v>52.704677329290689</v>
      </c>
      <c r="AL425" s="470">
        <v>0.85083872845062847</v>
      </c>
      <c r="AM425" s="471">
        <v>1.5533425208999548E-3</v>
      </c>
      <c r="AN425" s="477">
        <v>52.704677329290689</v>
      </c>
      <c r="AO425" s="473">
        <v>0.85083872845062847</v>
      </c>
      <c r="AP425" s="474">
        <v>1.5546932384789087E-3</v>
      </c>
      <c r="AQ425" s="352"/>
      <c r="AR425" s="352"/>
      <c r="AS425" s="352"/>
      <c r="AT425" s="352"/>
      <c r="AU425" s="352"/>
      <c r="AV425" s="352"/>
      <c r="AW425" s="352" t="s">
        <v>254</v>
      </c>
    </row>
    <row r="426" spans="2:49" x14ac:dyDescent="0.2">
      <c r="B426" s="460" t="s">
        <v>2488</v>
      </c>
      <c r="C426" s="460">
        <v>1232</v>
      </c>
      <c r="D426" s="460" t="s">
        <v>2309</v>
      </c>
      <c r="E426" s="460" t="s">
        <v>2305</v>
      </c>
      <c r="F426" s="460">
        <v>4</v>
      </c>
      <c r="G426" s="460">
        <v>2</v>
      </c>
      <c r="H426" s="461" t="s">
        <v>712</v>
      </c>
      <c r="I426" s="461" t="s">
        <v>713</v>
      </c>
      <c r="J426" s="461" t="s">
        <v>712</v>
      </c>
      <c r="K426" s="594"/>
      <c r="L426" s="594"/>
      <c r="M426" s="352">
        <v>1000</v>
      </c>
      <c r="N426" s="352" t="s">
        <v>698</v>
      </c>
      <c r="O426" s="460">
        <v>1232</v>
      </c>
      <c r="P426" s="460" t="s">
        <v>734</v>
      </c>
      <c r="Q426" s="460" t="s">
        <v>2280</v>
      </c>
      <c r="R426" s="460">
        <v>1232</v>
      </c>
      <c r="S426" s="460" t="s">
        <v>2305</v>
      </c>
      <c r="T426" s="462">
        <v>1</v>
      </c>
      <c r="U426" s="460" t="s">
        <v>2305</v>
      </c>
      <c r="V426" s="475">
        <v>0</v>
      </c>
      <c r="W426" s="463" t="s">
        <v>713</v>
      </c>
      <c r="X426" s="463" t="s">
        <v>713</v>
      </c>
      <c r="Y426" s="463" t="s">
        <v>713</v>
      </c>
      <c r="Z426" s="463"/>
      <c r="AA426" s="463"/>
      <c r="AB426" s="464">
        <v>65.843648932212744</v>
      </c>
      <c r="AC426" s="465">
        <v>0.99454094092023504</v>
      </c>
      <c r="AD426" s="465">
        <v>1.6816403685326949E-3</v>
      </c>
      <c r="AE426" s="476">
        <v>65.843648932212744</v>
      </c>
      <c r="AF426" s="467">
        <v>0.99454094092023504</v>
      </c>
      <c r="AG426" s="468">
        <v>1.6815864275861636E-3</v>
      </c>
      <c r="AH426" s="218">
        <v>65.843648932212744</v>
      </c>
      <c r="AI426" s="470">
        <v>0.99454094092023504</v>
      </c>
      <c r="AJ426" s="471">
        <v>1.681588463196931E-3</v>
      </c>
      <c r="AK426" s="218">
        <v>65.843648932212744</v>
      </c>
      <c r="AL426" s="470">
        <v>0.99454094092023504</v>
      </c>
      <c r="AM426" s="471">
        <v>1.681588463196931E-3</v>
      </c>
      <c r="AN426" s="477">
        <v>65.843648932212744</v>
      </c>
      <c r="AO426" s="473">
        <v>0.99454094092023504</v>
      </c>
      <c r="AP426" s="474">
        <v>1.6815905201140382E-3</v>
      </c>
      <c r="AQ426" s="352"/>
      <c r="AR426" s="352"/>
      <c r="AS426" s="352"/>
      <c r="AT426" s="352"/>
      <c r="AU426" s="352"/>
      <c r="AV426" s="352"/>
      <c r="AW426" s="352" t="s">
        <v>254</v>
      </c>
    </row>
    <row r="427" spans="2:49" x14ac:dyDescent="0.2">
      <c r="B427" s="460" t="s">
        <v>2485</v>
      </c>
      <c r="C427" s="460">
        <v>1232</v>
      </c>
      <c r="D427" s="460" t="s">
        <v>2310</v>
      </c>
      <c r="E427" s="460" t="s">
        <v>2296</v>
      </c>
      <c r="F427" s="460">
        <v>1</v>
      </c>
      <c r="G427" s="460">
        <v>2</v>
      </c>
      <c r="H427" s="461" t="s">
        <v>746</v>
      </c>
      <c r="I427" s="461" t="s">
        <v>762</v>
      </c>
      <c r="J427" s="461" t="s">
        <v>700</v>
      </c>
      <c r="K427" s="594"/>
      <c r="L427" s="594"/>
      <c r="M427" s="352">
        <v>1000</v>
      </c>
      <c r="N427" s="352" t="s">
        <v>698</v>
      </c>
      <c r="O427" s="460">
        <v>1232</v>
      </c>
      <c r="P427" s="460" t="s">
        <v>734</v>
      </c>
      <c r="Q427" s="460" t="s">
        <v>2266</v>
      </c>
      <c r="R427" s="460">
        <v>1232</v>
      </c>
      <c r="S427" s="460" t="s">
        <v>2296</v>
      </c>
      <c r="T427" s="462">
        <v>1</v>
      </c>
      <c r="U427" s="460" t="s">
        <v>2296</v>
      </c>
      <c r="V427" s="475">
        <v>0</v>
      </c>
      <c r="W427" s="463" t="s">
        <v>2268</v>
      </c>
      <c r="X427" s="463" t="s">
        <v>2268</v>
      </c>
      <c r="Y427" s="463" t="s">
        <v>2267</v>
      </c>
      <c r="Z427" s="463"/>
      <c r="AA427" s="463"/>
      <c r="AB427" s="464">
        <v>0</v>
      </c>
      <c r="AC427" s="465">
        <v>0</v>
      </c>
      <c r="AD427" s="465">
        <v>0</v>
      </c>
      <c r="AE427" s="476">
        <v>0</v>
      </c>
      <c r="AF427" s="467">
        <v>0</v>
      </c>
      <c r="AG427" s="468">
        <v>0</v>
      </c>
      <c r="AH427" s="218">
        <v>0</v>
      </c>
      <c r="AI427" s="470">
        <v>0</v>
      </c>
      <c r="AJ427" s="471">
        <v>0</v>
      </c>
      <c r="AK427" s="218">
        <v>0</v>
      </c>
      <c r="AL427" s="470">
        <v>0</v>
      </c>
      <c r="AM427" s="471">
        <v>0</v>
      </c>
      <c r="AN427" s="477">
        <v>229.92919992099104</v>
      </c>
      <c r="AO427" s="473">
        <v>0.5237137625467132</v>
      </c>
      <c r="AP427" s="474">
        <v>1.7080400394941277E-2</v>
      </c>
      <c r="AQ427" s="352"/>
      <c r="AR427" s="352"/>
      <c r="AS427" s="352"/>
      <c r="AT427" s="352"/>
      <c r="AU427" s="352"/>
      <c r="AV427" s="352"/>
      <c r="AW427" s="352" t="s">
        <v>254</v>
      </c>
    </row>
    <row r="428" spans="2:49" x14ac:dyDescent="0.2">
      <c r="B428" s="460" t="s">
        <v>2486</v>
      </c>
      <c r="C428" s="460">
        <v>1232</v>
      </c>
      <c r="D428" s="460" t="s">
        <v>2311</v>
      </c>
      <c r="E428" s="460" t="s">
        <v>2299</v>
      </c>
      <c r="F428" s="460">
        <v>2</v>
      </c>
      <c r="G428" s="460">
        <v>2</v>
      </c>
      <c r="H428" s="461" t="s">
        <v>746</v>
      </c>
      <c r="I428" s="461" t="s">
        <v>762</v>
      </c>
      <c r="J428" s="461" t="s">
        <v>700</v>
      </c>
      <c r="K428" s="594"/>
      <c r="L428" s="594"/>
      <c r="M428" s="352">
        <v>1000</v>
      </c>
      <c r="N428" s="352" t="s">
        <v>698</v>
      </c>
      <c r="O428" s="460">
        <v>1232</v>
      </c>
      <c r="P428" s="460" t="s">
        <v>734</v>
      </c>
      <c r="Q428" s="460" t="s">
        <v>2266</v>
      </c>
      <c r="R428" s="460">
        <v>1232</v>
      </c>
      <c r="S428" s="460" t="s">
        <v>2296</v>
      </c>
      <c r="T428" s="462">
        <v>0.55517361979372948</v>
      </c>
      <c r="U428" s="460" t="s">
        <v>2299</v>
      </c>
      <c r="V428" s="475">
        <v>0</v>
      </c>
      <c r="W428" s="463" t="s">
        <v>2268</v>
      </c>
      <c r="X428" s="463" t="s">
        <v>2268</v>
      </c>
      <c r="Y428" s="463" t="s">
        <v>2267</v>
      </c>
      <c r="Z428" s="463"/>
      <c r="AA428" s="463"/>
      <c r="AB428" s="464">
        <v>0</v>
      </c>
      <c r="AC428" s="465">
        <v>0</v>
      </c>
      <c r="AD428" s="465">
        <v>0</v>
      </c>
      <c r="AE428" s="476">
        <v>0</v>
      </c>
      <c r="AF428" s="467">
        <v>0</v>
      </c>
      <c r="AG428" s="468">
        <v>0</v>
      </c>
      <c r="AH428" s="218">
        <v>0</v>
      </c>
      <c r="AI428" s="470">
        <v>0</v>
      </c>
      <c r="AJ428" s="471">
        <v>0</v>
      </c>
      <c r="AK428" s="218">
        <v>0</v>
      </c>
      <c r="AL428" s="470">
        <v>0</v>
      </c>
      <c r="AM428" s="471">
        <v>0</v>
      </c>
      <c r="AN428" s="477">
        <v>61.350671670532996</v>
      </c>
      <c r="AO428" s="473">
        <v>0.2907520652888525</v>
      </c>
      <c r="AP428" s="474">
        <v>1.9437030988221908E-2</v>
      </c>
      <c r="AQ428" s="352"/>
      <c r="AR428" s="352"/>
      <c r="AS428" s="352"/>
      <c r="AT428" s="352"/>
      <c r="AU428" s="352"/>
      <c r="AV428" s="352"/>
      <c r="AW428" s="352" t="s">
        <v>254</v>
      </c>
    </row>
    <row r="429" spans="2:49" x14ac:dyDescent="0.2">
      <c r="B429" s="460" t="s">
        <v>2487</v>
      </c>
      <c r="C429" s="460">
        <v>1232</v>
      </c>
      <c r="D429" s="460" t="s">
        <v>2312</v>
      </c>
      <c r="E429" s="460" t="s">
        <v>2302</v>
      </c>
      <c r="F429" s="460">
        <v>3</v>
      </c>
      <c r="G429" s="460">
        <v>2</v>
      </c>
      <c r="H429" s="461" t="s">
        <v>746</v>
      </c>
      <c r="I429" s="461" t="s">
        <v>762</v>
      </c>
      <c r="J429" s="461" t="s">
        <v>700</v>
      </c>
      <c r="K429" s="594"/>
      <c r="L429" s="594"/>
      <c r="M429" s="352">
        <v>1000</v>
      </c>
      <c r="N429" s="352" t="s">
        <v>698</v>
      </c>
      <c r="O429" s="460">
        <v>1232</v>
      </c>
      <c r="P429" s="460" t="s">
        <v>734</v>
      </c>
      <c r="Q429" s="460" t="s">
        <v>2266</v>
      </c>
      <c r="R429" s="460">
        <v>1232</v>
      </c>
      <c r="S429" s="460" t="s">
        <v>2296</v>
      </c>
      <c r="T429" s="462">
        <v>0.28481449642268464</v>
      </c>
      <c r="U429" s="460" t="s">
        <v>2302</v>
      </c>
      <c r="V429" s="475">
        <v>0</v>
      </c>
      <c r="W429" s="463" t="s">
        <v>2268</v>
      </c>
      <c r="X429" s="463" t="s">
        <v>2268</v>
      </c>
      <c r="Y429" s="463" t="s">
        <v>2267</v>
      </c>
      <c r="Z429" s="463"/>
      <c r="AA429" s="463"/>
      <c r="AB429" s="464">
        <v>0</v>
      </c>
      <c r="AC429" s="465">
        <v>0</v>
      </c>
      <c r="AD429" s="465">
        <v>0</v>
      </c>
      <c r="AE429" s="476">
        <v>0</v>
      </c>
      <c r="AF429" s="467">
        <v>0</v>
      </c>
      <c r="AG429" s="468">
        <v>0</v>
      </c>
      <c r="AH429" s="218">
        <v>0</v>
      </c>
      <c r="AI429" s="470">
        <v>0</v>
      </c>
      <c r="AJ429" s="471">
        <v>0</v>
      </c>
      <c r="AK429" s="218">
        <v>0</v>
      </c>
      <c r="AL429" s="470">
        <v>0</v>
      </c>
      <c r="AM429" s="471">
        <v>0</v>
      </c>
      <c r="AN429" s="477">
        <v>9.2397024537800103</v>
      </c>
      <c r="AO429" s="473">
        <v>0.14916127154937156</v>
      </c>
      <c r="AP429" s="474">
        <v>1.217262385955651E-2</v>
      </c>
      <c r="AQ429" s="352"/>
      <c r="AR429" s="352"/>
      <c r="AS429" s="352"/>
      <c r="AT429" s="352"/>
      <c r="AU429" s="352"/>
      <c r="AV429" s="352"/>
      <c r="AW429" s="352" t="s">
        <v>254</v>
      </c>
    </row>
    <row r="430" spans="2:49" x14ac:dyDescent="0.2">
      <c r="B430" s="460" t="s">
        <v>2488</v>
      </c>
      <c r="C430" s="460">
        <v>1232</v>
      </c>
      <c r="D430" s="460" t="s">
        <v>2313</v>
      </c>
      <c r="E430" s="460" t="s">
        <v>2305</v>
      </c>
      <c r="F430" s="460">
        <v>4</v>
      </c>
      <c r="G430" s="460">
        <v>2</v>
      </c>
      <c r="H430" s="461" t="s">
        <v>746</v>
      </c>
      <c r="I430" s="461" t="s">
        <v>762</v>
      </c>
      <c r="J430" s="461" t="s">
        <v>700</v>
      </c>
      <c r="K430" s="594"/>
      <c r="L430" s="594"/>
      <c r="M430" s="352">
        <v>1000</v>
      </c>
      <c r="N430" s="352" t="s">
        <v>698</v>
      </c>
      <c r="O430" s="460">
        <v>1232</v>
      </c>
      <c r="P430" s="460" t="s">
        <v>734</v>
      </c>
      <c r="Q430" s="460" t="s">
        <v>2266</v>
      </c>
      <c r="R430" s="460">
        <v>1232</v>
      </c>
      <c r="S430" s="460" t="s">
        <v>2305</v>
      </c>
      <c r="T430" s="462">
        <v>1</v>
      </c>
      <c r="U430" s="460" t="s">
        <v>2305</v>
      </c>
      <c r="V430" s="475">
        <v>0</v>
      </c>
      <c r="W430" s="463" t="s">
        <v>2268</v>
      </c>
      <c r="X430" s="463" t="s">
        <v>2268</v>
      </c>
      <c r="Y430" s="463" t="s">
        <v>2278</v>
      </c>
      <c r="Z430" s="463"/>
      <c r="AA430" s="463"/>
      <c r="AB430" s="464">
        <v>0</v>
      </c>
      <c r="AC430" s="465">
        <v>0</v>
      </c>
      <c r="AD430" s="465">
        <v>0</v>
      </c>
      <c r="AE430" s="476">
        <v>0</v>
      </c>
      <c r="AF430" s="467">
        <v>0</v>
      </c>
      <c r="AG430" s="468">
        <v>0</v>
      </c>
      <c r="AH430" s="218">
        <v>0</v>
      </c>
      <c r="AI430" s="470">
        <v>0</v>
      </c>
      <c r="AJ430" s="471">
        <v>0</v>
      </c>
      <c r="AK430" s="218">
        <v>0</v>
      </c>
      <c r="AL430" s="470">
        <v>0</v>
      </c>
      <c r="AM430" s="471">
        <v>0</v>
      </c>
      <c r="AN430" s="477">
        <v>0.36141736831433519</v>
      </c>
      <c r="AO430" s="473">
        <v>5.459059079764985E-3</v>
      </c>
      <c r="AP430" s="474">
        <v>3.5275966826428626E-2</v>
      </c>
      <c r="AQ430" s="352"/>
      <c r="AR430" s="352"/>
      <c r="AS430" s="352"/>
      <c r="AT430" s="352"/>
      <c r="AU430" s="352"/>
      <c r="AV430" s="352"/>
      <c r="AW430" s="352" t="s">
        <v>254</v>
      </c>
    </row>
    <row r="431" spans="2:49" x14ac:dyDescent="0.2">
      <c r="B431" s="460" t="s">
        <v>2485</v>
      </c>
      <c r="C431" s="460">
        <v>1232</v>
      </c>
      <c r="D431" s="460" t="s">
        <v>2314</v>
      </c>
      <c r="E431" s="460" t="s">
        <v>2296</v>
      </c>
      <c r="F431" s="460">
        <v>1</v>
      </c>
      <c r="G431" s="460">
        <v>2</v>
      </c>
      <c r="H431" s="461" t="s">
        <v>748</v>
      </c>
      <c r="I431" s="461" t="s">
        <v>765</v>
      </c>
      <c r="J431" s="461" t="s">
        <v>700</v>
      </c>
      <c r="K431" s="594"/>
      <c r="L431" s="594"/>
      <c r="M431" s="352">
        <v>1000</v>
      </c>
      <c r="N431" s="352" t="s">
        <v>698</v>
      </c>
      <c r="O431" s="460">
        <v>1232</v>
      </c>
      <c r="P431" s="460" t="s">
        <v>734</v>
      </c>
      <c r="Q431" s="460" t="s">
        <v>2289</v>
      </c>
      <c r="R431" s="460">
        <v>1232</v>
      </c>
      <c r="S431" s="460" t="s">
        <v>2296</v>
      </c>
      <c r="T431" s="462">
        <v>1</v>
      </c>
      <c r="U431" s="460" t="s">
        <v>2296</v>
      </c>
      <c r="V431" s="475">
        <v>0</v>
      </c>
      <c r="W431" s="463" t="s">
        <v>2268</v>
      </c>
      <c r="X431" s="463" t="s">
        <v>2268</v>
      </c>
      <c r="Y431" s="463" t="s">
        <v>2290</v>
      </c>
      <c r="Z431" s="463"/>
      <c r="AA431" s="463"/>
      <c r="AB431" s="464">
        <v>0</v>
      </c>
      <c r="AC431" s="465">
        <v>0</v>
      </c>
      <c r="AD431" s="465">
        <v>0</v>
      </c>
      <c r="AE431" s="476">
        <v>0</v>
      </c>
      <c r="AF431" s="467">
        <v>0</v>
      </c>
      <c r="AG431" s="468">
        <v>0</v>
      </c>
      <c r="AH431" s="218">
        <v>0</v>
      </c>
      <c r="AI431" s="470">
        <v>0</v>
      </c>
      <c r="AJ431" s="471">
        <v>0</v>
      </c>
      <c r="AK431" s="218">
        <v>0</v>
      </c>
      <c r="AL431" s="470">
        <v>0</v>
      </c>
      <c r="AM431" s="471">
        <v>0</v>
      </c>
      <c r="AN431" s="477">
        <v>0</v>
      </c>
      <c r="AO431" s="473">
        <v>0</v>
      </c>
      <c r="AP431" s="474">
        <v>0</v>
      </c>
      <c r="AQ431" s="352"/>
      <c r="AR431" s="352"/>
      <c r="AS431" s="352"/>
      <c r="AT431" s="352"/>
      <c r="AU431" s="352"/>
      <c r="AV431" s="352"/>
      <c r="AW431" s="352" t="s">
        <v>254</v>
      </c>
    </row>
    <row r="432" spans="2:49" x14ac:dyDescent="0.2">
      <c r="B432" s="460" t="s">
        <v>2486</v>
      </c>
      <c r="C432" s="460">
        <v>1232</v>
      </c>
      <c r="D432" s="460" t="s">
        <v>2315</v>
      </c>
      <c r="E432" s="460" t="s">
        <v>2299</v>
      </c>
      <c r="F432" s="460">
        <v>2</v>
      </c>
      <c r="G432" s="460">
        <v>2</v>
      </c>
      <c r="H432" s="461" t="s">
        <v>748</v>
      </c>
      <c r="I432" s="461" t="s">
        <v>765</v>
      </c>
      <c r="J432" s="461" t="s">
        <v>700</v>
      </c>
      <c r="K432" s="594"/>
      <c r="L432" s="594"/>
      <c r="M432" s="352">
        <v>1000</v>
      </c>
      <c r="N432" s="352" t="s">
        <v>698</v>
      </c>
      <c r="O432" s="460">
        <v>1232</v>
      </c>
      <c r="P432" s="460" t="s">
        <v>734</v>
      </c>
      <c r="Q432" s="460" t="s">
        <v>2289</v>
      </c>
      <c r="R432" s="460">
        <v>1232</v>
      </c>
      <c r="S432" s="460" t="s">
        <v>2296</v>
      </c>
      <c r="T432" s="462">
        <v>0.55517361979372948</v>
      </c>
      <c r="U432" s="460" t="s">
        <v>2299</v>
      </c>
      <c r="V432" s="475">
        <v>0</v>
      </c>
      <c r="W432" s="463" t="s">
        <v>2268</v>
      </c>
      <c r="X432" s="463" t="s">
        <v>2268</v>
      </c>
      <c r="Y432" s="463" t="s">
        <v>2290</v>
      </c>
      <c r="Z432" s="463"/>
      <c r="AA432" s="463"/>
      <c r="AB432" s="464">
        <v>0</v>
      </c>
      <c r="AC432" s="465">
        <v>0</v>
      </c>
      <c r="AD432" s="465">
        <v>0</v>
      </c>
      <c r="AE432" s="476">
        <v>0</v>
      </c>
      <c r="AF432" s="467">
        <v>0</v>
      </c>
      <c r="AG432" s="468">
        <v>0</v>
      </c>
      <c r="AH432" s="218">
        <v>0</v>
      </c>
      <c r="AI432" s="470">
        <v>0</v>
      </c>
      <c r="AJ432" s="471">
        <v>0</v>
      </c>
      <c r="AK432" s="218">
        <v>0</v>
      </c>
      <c r="AL432" s="470">
        <v>0</v>
      </c>
      <c r="AM432" s="471">
        <v>0</v>
      </c>
      <c r="AN432" s="477">
        <v>0</v>
      </c>
      <c r="AO432" s="473">
        <v>0</v>
      </c>
      <c r="AP432" s="474">
        <v>0</v>
      </c>
      <c r="AQ432" s="352"/>
      <c r="AR432" s="352"/>
      <c r="AS432" s="352"/>
      <c r="AT432" s="352"/>
      <c r="AU432" s="352"/>
      <c r="AV432" s="352"/>
      <c r="AW432" s="352" t="s">
        <v>254</v>
      </c>
    </row>
    <row r="433" spans="2:49" x14ac:dyDescent="0.2">
      <c r="B433" s="460" t="s">
        <v>2487</v>
      </c>
      <c r="C433" s="460">
        <v>1232</v>
      </c>
      <c r="D433" s="460" t="s">
        <v>2316</v>
      </c>
      <c r="E433" s="460" t="s">
        <v>2302</v>
      </c>
      <c r="F433" s="460">
        <v>3</v>
      </c>
      <c r="G433" s="460">
        <v>2</v>
      </c>
      <c r="H433" s="461" t="s">
        <v>748</v>
      </c>
      <c r="I433" s="461" t="s">
        <v>765</v>
      </c>
      <c r="J433" s="461" t="s">
        <v>700</v>
      </c>
      <c r="K433" s="594"/>
      <c r="L433" s="594"/>
      <c r="M433" s="352">
        <v>1000</v>
      </c>
      <c r="N433" s="352" t="s">
        <v>698</v>
      </c>
      <c r="O433" s="460">
        <v>1232</v>
      </c>
      <c r="P433" s="460" t="s">
        <v>734</v>
      </c>
      <c r="Q433" s="460" t="s">
        <v>2289</v>
      </c>
      <c r="R433" s="460">
        <v>1232</v>
      </c>
      <c r="S433" s="460" t="s">
        <v>2296</v>
      </c>
      <c r="T433" s="462">
        <v>0.28481449642268464</v>
      </c>
      <c r="U433" s="460" t="s">
        <v>2302</v>
      </c>
      <c r="V433" s="475">
        <v>0</v>
      </c>
      <c r="W433" s="463" t="s">
        <v>2268</v>
      </c>
      <c r="X433" s="463" t="s">
        <v>2268</v>
      </c>
      <c r="Y433" s="463" t="s">
        <v>2290</v>
      </c>
      <c r="Z433" s="463"/>
      <c r="AA433" s="463"/>
      <c r="AB433" s="464">
        <v>0</v>
      </c>
      <c r="AC433" s="465">
        <v>0</v>
      </c>
      <c r="AD433" s="465">
        <v>0</v>
      </c>
      <c r="AE433" s="476">
        <v>0</v>
      </c>
      <c r="AF433" s="467">
        <v>0</v>
      </c>
      <c r="AG433" s="468">
        <v>0</v>
      </c>
      <c r="AH433" s="218">
        <v>0</v>
      </c>
      <c r="AI433" s="470">
        <v>0</v>
      </c>
      <c r="AJ433" s="471">
        <v>0</v>
      </c>
      <c r="AK433" s="218">
        <v>0</v>
      </c>
      <c r="AL433" s="470">
        <v>0</v>
      </c>
      <c r="AM433" s="471">
        <v>0</v>
      </c>
      <c r="AN433" s="477">
        <v>0</v>
      </c>
      <c r="AO433" s="473">
        <v>0</v>
      </c>
      <c r="AP433" s="474">
        <v>0</v>
      </c>
      <c r="AQ433" s="352"/>
      <c r="AR433" s="352"/>
      <c r="AS433" s="352"/>
      <c r="AT433" s="352"/>
      <c r="AU433" s="352"/>
      <c r="AV433" s="352"/>
      <c r="AW433" s="352" t="s">
        <v>254</v>
      </c>
    </row>
    <row r="434" spans="2:49" x14ac:dyDescent="0.2">
      <c r="B434" s="460" t="s">
        <v>2488</v>
      </c>
      <c r="C434" s="460">
        <v>1232</v>
      </c>
      <c r="D434" s="460" t="s">
        <v>2317</v>
      </c>
      <c r="E434" s="460" t="s">
        <v>2305</v>
      </c>
      <c r="F434" s="460">
        <v>4</v>
      </c>
      <c r="G434" s="460">
        <v>2</v>
      </c>
      <c r="H434" s="461" t="s">
        <v>748</v>
      </c>
      <c r="I434" s="461" t="s">
        <v>765</v>
      </c>
      <c r="J434" s="461" t="s">
        <v>700</v>
      </c>
      <c r="K434" s="594"/>
      <c r="L434" s="594"/>
      <c r="M434" s="352">
        <v>1000</v>
      </c>
      <c r="N434" s="352" t="s">
        <v>698</v>
      </c>
      <c r="O434" s="460">
        <v>1232</v>
      </c>
      <c r="P434" s="460" t="s">
        <v>734</v>
      </c>
      <c r="Q434" s="460" t="s">
        <v>2289</v>
      </c>
      <c r="R434" s="460">
        <v>1232</v>
      </c>
      <c r="S434" s="460" t="s">
        <v>2305</v>
      </c>
      <c r="T434" s="462">
        <v>1</v>
      </c>
      <c r="U434" s="460" t="s">
        <v>2305</v>
      </c>
      <c r="V434" s="475">
        <v>0</v>
      </c>
      <c r="W434" s="463" t="s">
        <v>2268</v>
      </c>
      <c r="X434" s="463" t="s">
        <v>2268</v>
      </c>
      <c r="Y434" s="463" t="s">
        <v>2290</v>
      </c>
      <c r="Z434" s="463"/>
      <c r="AA434" s="463"/>
      <c r="AB434" s="464">
        <v>0</v>
      </c>
      <c r="AC434" s="465">
        <v>0</v>
      </c>
      <c r="AD434" s="465">
        <v>0</v>
      </c>
      <c r="AE434" s="476">
        <v>0</v>
      </c>
      <c r="AF434" s="467">
        <v>0</v>
      </c>
      <c r="AG434" s="468">
        <v>0</v>
      </c>
      <c r="AH434" s="218">
        <v>0</v>
      </c>
      <c r="AI434" s="470">
        <v>0</v>
      </c>
      <c r="AJ434" s="471">
        <v>0</v>
      </c>
      <c r="AK434" s="218">
        <v>0</v>
      </c>
      <c r="AL434" s="470">
        <v>0</v>
      </c>
      <c r="AM434" s="471">
        <v>0</v>
      </c>
      <c r="AN434" s="477">
        <v>0</v>
      </c>
      <c r="AO434" s="473">
        <v>0</v>
      </c>
      <c r="AP434" s="474">
        <v>0</v>
      </c>
      <c r="AQ434" s="352"/>
      <c r="AR434" s="352"/>
      <c r="AS434" s="352"/>
      <c r="AT434" s="352"/>
      <c r="AU434" s="352"/>
      <c r="AV434" s="352"/>
      <c r="AW434" s="352" t="s">
        <v>254</v>
      </c>
    </row>
    <row r="435" spans="2:49" x14ac:dyDescent="0.2">
      <c r="B435" s="460" t="s">
        <v>2489</v>
      </c>
      <c r="C435" s="460">
        <v>1232</v>
      </c>
      <c r="D435" s="460" t="s">
        <v>2323</v>
      </c>
      <c r="E435" s="460" t="s">
        <v>2324</v>
      </c>
      <c r="F435" s="460">
        <v>1</v>
      </c>
      <c r="G435" s="460">
        <v>3</v>
      </c>
      <c r="H435" s="461" t="s">
        <v>700</v>
      </c>
      <c r="I435" s="461" t="s">
        <v>872</v>
      </c>
      <c r="J435" s="461" t="s">
        <v>700</v>
      </c>
      <c r="K435" s="594"/>
      <c r="L435" s="594"/>
      <c r="M435" s="352">
        <v>1000</v>
      </c>
      <c r="N435" s="352" t="s">
        <v>698</v>
      </c>
      <c r="O435" s="460">
        <v>1232</v>
      </c>
      <c r="P435" s="460" t="s">
        <v>734</v>
      </c>
      <c r="Q435" s="460" t="s">
        <v>2266</v>
      </c>
      <c r="R435" s="460">
        <v>1232</v>
      </c>
      <c r="S435" s="460" t="s">
        <v>2324</v>
      </c>
      <c r="T435" s="462">
        <v>1</v>
      </c>
      <c r="U435" s="460" t="s">
        <v>2324</v>
      </c>
      <c r="V435" s="475">
        <v>0</v>
      </c>
      <c r="W435" s="463" t="s">
        <v>2267</v>
      </c>
      <c r="X435" s="463" t="s">
        <v>2267</v>
      </c>
      <c r="Y435" s="463" t="s">
        <v>2268</v>
      </c>
      <c r="Z435" s="463"/>
      <c r="AA435" s="463"/>
      <c r="AB435" s="464">
        <v>1236.0673949437064</v>
      </c>
      <c r="AC435" s="465">
        <v>0.70635515906440427</v>
      </c>
      <c r="AD435" s="465">
        <v>1.0596409910088435E-2</v>
      </c>
      <c r="AE435" s="476">
        <v>1236.0673949437064</v>
      </c>
      <c r="AF435" s="467">
        <v>0.70635515906440427</v>
      </c>
      <c r="AG435" s="468">
        <v>1.1350854223446182E-2</v>
      </c>
      <c r="AH435" s="218">
        <v>1236.0673949437064</v>
      </c>
      <c r="AI435" s="470">
        <v>0.70635515906440427</v>
      </c>
      <c r="AJ435" s="471">
        <v>1.0839331865106782E-2</v>
      </c>
      <c r="AK435" s="218">
        <v>1236.0673949437064</v>
      </c>
      <c r="AL435" s="470">
        <v>0.70635515906440427</v>
      </c>
      <c r="AM435" s="471">
        <v>1.0839331865106782E-2</v>
      </c>
      <c r="AN435" s="477">
        <v>0</v>
      </c>
      <c r="AO435" s="473">
        <v>0</v>
      </c>
      <c r="AP435" s="474">
        <v>0</v>
      </c>
      <c r="AQ435" s="352"/>
      <c r="AR435" s="352"/>
      <c r="AS435" s="352"/>
      <c r="AT435" s="352"/>
      <c r="AU435" s="352"/>
      <c r="AV435" s="352"/>
      <c r="AW435" s="352" t="s">
        <v>254</v>
      </c>
    </row>
    <row r="436" spans="2:49" x14ac:dyDescent="0.2">
      <c r="B436" s="460" t="s">
        <v>2490</v>
      </c>
      <c r="C436" s="460">
        <v>1232</v>
      </c>
      <c r="D436" s="460" t="s">
        <v>2326</v>
      </c>
      <c r="E436" s="460" t="s">
        <v>2327</v>
      </c>
      <c r="F436" s="460">
        <v>2</v>
      </c>
      <c r="G436" s="460">
        <v>3</v>
      </c>
      <c r="H436" s="461" t="s">
        <v>700</v>
      </c>
      <c r="I436" s="461" t="s">
        <v>872</v>
      </c>
      <c r="J436" s="461" t="s">
        <v>700</v>
      </c>
      <c r="K436" s="594"/>
      <c r="L436" s="594"/>
      <c r="M436" s="352">
        <v>1000</v>
      </c>
      <c r="N436" s="352" t="s">
        <v>698</v>
      </c>
      <c r="O436" s="460">
        <v>1232</v>
      </c>
      <c r="P436" s="460" t="s">
        <v>734</v>
      </c>
      <c r="Q436" s="460" t="s">
        <v>2266</v>
      </c>
      <c r="R436" s="460">
        <v>1232</v>
      </c>
      <c r="S436" s="460" t="s">
        <v>2324</v>
      </c>
      <c r="T436" s="462">
        <v>1</v>
      </c>
      <c r="U436" s="460" t="s">
        <v>2327</v>
      </c>
      <c r="V436" s="475">
        <v>0</v>
      </c>
      <c r="W436" s="463" t="s">
        <v>2267</v>
      </c>
      <c r="X436" s="463" t="s">
        <v>2267</v>
      </c>
      <c r="Y436" s="463" t="s">
        <v>2268</v>
      </c>
      <c r="Z436" s="463"/>
      <c r="AA436" s="463"/>
      <c r="AB436" s="464">
        <v>477.36105939435288</v>
      </c>
      <c r="AC436" s="465">
        <v>0.51086664955471484</v>
      </c>
      <c r="AD436" s="465">
        <v>7.0505360100128365E-3</v>
      </c>
      <c r="AE436" s="476">
        <v>477.36105939435288</v>
      </c>
      <c r="AF436" s="467">
        <v>0.51086664955471484</v>
      </c>
      <c r="AG436" s="468">
        <v>7.6365117598144747E-3</v>
      </c>
      <c r="AH436" s="218">
        <v>660.02830158036636</v>
      </c>
      <c r="AI436" s="470">
        <v>0.70635515906440427</v>
      </c>
      <c r="AJ436" s="471">
        <v>8.8860870182143649E-3</v>
      </c>
      <c r="AK436" s="218">
        <v>660.02830158036636</v>
      </c>
      <c r="AL436" s="470">
        <v>0.70635515906440427</v>
      </c>
      <c r="AM436" s="471">
        <v>8.8860870182143649E-3</v>
      </c>
      <c r="AN436" s="477">
        <v>0</v>
      </c>
      <c r="AO436" s="473">
        <v>0</v>
      </c>
      <c r="AP436" s="474">
        <v>0</v>
      </c>
      <c r="AQ436" s="352"/>
      <c r="AR436" s="352"/>
      <c r="AS436" s="352"/>
      <c r="AT436" s="352"/>
      <c r="AU436" s="352"/>
      <c r="AV436" s="352"/>
      <c r="AW436" s="352" t="s">
        <v>254</v>
      </c>
    </row>
    <row r="437" spans="2:49" x14ac:dyDescent="0.2">
      <c r="B437" s="460" t="s">
        <v>2491</v>
      </c>
      <c r="C437" s="460">
        <v>1232</v>
      </c>
      <c r="D437" s="460" t="s">
        <v>2329</v>
      </c>
      <c r="E437" s="460" t="s">
        <v>2330</v>
      </c>
      <c r="F437" s="460">
        <v>3</v>
      </c>
      <c r="G437" s="460">
        <v>3</v>
      </c>
      <c r="H437" s="461" t="s">
        <v>700</v>
      </c>
      <c r="I437" s="461" t="s">
        <v>872</v>
      </c>
      <c r="J437" s="461" t="s">
        <v>700</v>
      </c>
      <c r="K437" s="594"/>
      <c r="L437" s="594"/>
      <c r="M437" s="352">
        <v>1000</v>
      </c>
      <c r="N437" s="352" t="s">
        <v>698</v>
      </c>
      <c r="O437" s="460">
        <v>1232</v>
      </c>
      <c r="P437" s="460" t="s">
        <v>734</v>
      </c>
      <c r="Q437" s="460" t="s">
        <v>2266</v>
      </c>
      <c r="R437" s="460">
        <v>1232</v>
      </c>
      <c r="S437" s="460" t="s">
        <v>2324</v>
      </c>
      <c r="T437" s="462">
        <v>1</v>
      </c>
      <c r="U437" s="460" t="s">
        <v>2330</v>
      </c>
      <c r="V437" s="475">
        <v>0</v>
      </c>
      <c r="W437" s="463" t="s">
        <v>2267</v>
      </c>
      <c r="X437" s="463" t="s">
        <v>2267</v>
      </c>
      <c r="Y437" s="463" t="s">
        <v>2268</v>
      </c>
      <c r="Z437" s="463"/>
      <c r="AA437" s="463"/>
      <c r="AB437" s="464">
        <v>123.96375512219988</v>
      </c>
      <c r="AC437" s="465">
        <v>0.52243008736112984</v>
      </c>
      <c r="AD437" s="465">
        <v>4.6810214892750975E-3</v>
      </c>
      <c r="AE437" s="476">
        <v>123.9637551221999</v>
      </c>
      <c r="AF437" s="467">
        <v>0.52243008736112984</v>
      </c>
      <c r="AG437" s="468">
        <v>5.0169448113552128E-3</v>
      </c>
      <c r="AH437" s="218">
        <v>167.60603970926127</v>
      </c>
      <c r="AI437" s="470">
        <v>0.70635515906440427</v>
      </c>
      <c r="AJ437" s="471">
        <v>5.9051541612517976E-3</v>
      </c>
      <c r="AK437" s="218">
        <v>167.60603970926127</v>
      </c>
      <c r="AL437" s="470">
        <v>0.70635515906440427</v>
      </c>
      <c r="AM437" s="471">
        <v>5.9051541612517976E-3</v>
      </c>
      <c r="AN437" s="477">
        <v>0</v>
      </c>
      <c r="AO437" s="473">
        <v>0</v>
      </c>
      <c r="AP437" s="474">
        <v>0</v>
      </c>
      <c r="AQ437" s="352"/>
      <c r="AR437" s="352"/>
      <c r="AS437" s="352"/>
      <c r="AT437" s="352"/>
      <c r="AU437" s="352"/>
      <c r="AV437" s="352"/>
      <c r="AW437" s="352" t="s">
        <v>254</v>
      </c>
    </row>
    <row r="438" spans="2:49" x14ac:dyDescent="0.2">
      <c r="B438" s="460" t="s">
        <v>2492</v>
      </c>
      <c r="C438" s="460">
        <v>1232</v>
      </c>
      <c r="D438" s="460" t="s">
        <v>2332</v>
      </c>
      <c r="E438" s="460" t="s">
        <v>2333</v>
      </c>
      <c r="F438" s="460">
        <v>4</v>
      </c>
      <c r="G438" s="460">
        <v>3</v>
      </c>
      <c r="H438" s="461" t="s">
        <v>700</v>
      </c>
      <c r="I438" s="461" t="s">
        <v>872</v>
      </c>
      <c r="J438" s="461" t="s">
        <v>700</v>
      </c>
      <c r="K438" s="594"/>
      <c r="L438" s="594"/>
      <c r="M438" s="352">
        <v>1000</v>
      </c>
      <c r="N438" s="352" t="s">
        <v>698</v>
      </c>
      <c r="O438" s="460">
        <v>1232</v>
      </c>
      <c r="P438" s="460" t="s">
        <v>734</v>
      </c>
      <c r="Q438" s="460" t="s">
        <v>2266</v>
      </c>
      <c r="R438" s="460">
        <v>1232</v>
      </c>
      <c r="S438" s="460" t="s">
        <v>2333</v>
      </c>
      <c r="T438" s="462">
        <v>1</v>
      </c>
      <c r="U438" s="460" t="s">
        <v>2333</v>
      </c>
      <c r="V438" s="475">
        <v>0</v>
      </c>
      <c r="W438" s="463" t="s">
        <v>2278</v>
      </c>
      <c r="X438" s="463" t="s">
        <v>2278</v>
      </c>
      <c r="Y438" s="463" t="s">
        <v>2268</v>
      </c>
      <c r="Z438" s="463"/>
      <c r="AA438" s="463"/>
      <c r="AB438" s="464">
        <v>12.173340961060392</v>
      </c>
      <c r="AC438" s="465">
        <v>8.5600940249808119E-2</v>
      </c>
      <c r="AD438" s="465">
        <v>8.3957762680612891E-4</v>
      </c>
      <c r="AE438" s="476">
        <v>12.173340961060392</v>
      </c>
      <c r="AF438" s="467">
        <v>8.5600940249808119E-2</v>
      </c>
      <c r="AG438" s="468">
        <v>9.2658040385813864E-4</v>
      </c>
      <c r="AH438" s="218">
        <v>12.173340961060392</v>
      </c>
      <c r="AI438" s="470">
        <v>8.5600940249808119E-2</v>
      </c>
      <c r="AJ438" s="471">
        <v>8.9774032447168894E-4</v>
      </c>
      <c r="AK438" s="218">
        <v>12.173340961060392</v>
      </c>
      <c r="AL438" s="470">
        <v>8.5600940249808119E-2</v>
      </c>
      <c r="AM438" s="471">
        <v>8.9774032447168894E-4</v>
      </c>
      <c r="AN438" s="477">
        <v>0</v>
      </c>
      <c r="AO438" s="473">
        <v>0</v>
      </c>
      <c r="AP438" s="474">
        <v>0</v>
      </c>
      <c r="AQ438" s="352"/>
      <c r="AR438" s="352"/>
      <c r="AS438" s="352"/>
      <c r="AT438" s="352"/>
      <c r="AU438" s="352"/>
      <c r="AV438" s="352"/>
      <c r="AW438" s="352" t="s">
        <v>254</v>
      </c>
    </row>
    <row r="439" spans="2:49" x14ac:dyDescent="0.2">
      <c r="B439" s="460" t="s">
        <v>2489</v>
      </c>
      <c r="C439" s="460">
        <v>1232</v>
      </c>
      <c r="D439" s="460" t="s">
        <v>2334</v>
      </c>
      <c r="E439" s="460" t="s">
        <v>2324</v>
      </c>
      <c r="F439" s="460">
        <v>1</v>
      </c>
      <c r="G439" s="460">
        <v>3</v>
      </c>
      <c r="H439" s="461" t="s">
        <v>712</v>
      </c>
      <c r="I439" s="461" t="s">
        <v>713</v>
      </c>
      <c r="J439" s="461" t="s">
        <v>712</v>
      </c>
      <c r="K439" s="594"/>
      <c r="L439" s="594"/>
      <c r="M439" s="352">
        <v>1000</v>
      </c>
      <c r="N439" s="352" t="s">
        <v>698</v>
      </c>
      <c r="O439" s="460">
        <v>1232</v>
      </c>
      <c r="P439" s="460" t="s">
        <v>734</v>
      </c>
      <c r="Q439" s="460" t="s">
        <v>2280</v>
      </c>
      <c r="R439" s="460">
        <v>1232</v>
      </c>
      <c r="S439" s="460" t="s">
        <v>2324</v>
      </c>
      <c r="T439" s="462">
        <v>1</v>
      </c>
      <c r="U439" s="460" t="s">
        <v>2324</v>
      </c>
      <c r="V439" s="475">
        <v>0</v>
      </c>
      <c r="W439" s="463" t="s">
        <v>713</v>
      </c>
      <c r="X439" s="463" t="s">
        <v>713</v>
      </c>
      <c r="Y439" s="463" t="s">
        <v>713</v>
      </c>
      <c r="Z439" s="463"/>
      <c r="AA439" s="463"/>
      <c r="AB439" s="464">
        <v>513.85596737862352</v>
      </c>
      <c r="AC439" s="465">
        <v>0.29364484093559579</v>
      </c>
      <c r="AD439" s="465">
        <v>1.2830449572042127E-3</v>
      </c>
      <c r="AE439" s="476">
        <v>513.8559673786234</v>
      </c>
      <c r="AF439" s="467">
        <v>0.29364484093559573</v>
      </c>
      <c r="AG439" s="468">
        <v>1.258678228178508E-3</v>
      </c>
      <c r="AH439" s="218">
        <v>513.8559673786234</v>
      </c>
      <c r="AI439" s="470">
        <v>0.29364484093559573</v>
      </c>
      <c r="AJ439" s="471">
        <v>1.2747241713356497E-3</v>
      </c>
      <c r="AK439" s="218">
        <v>513.8559673786234</v>
      </c>
      <c r="AL439" s="470">
        <v>0.29364484093559573</v>
      </c>
      <c r="AM439" s="471">
        <v>1.2747241713356497E-3</v>
      </c>
      <c r="AN439" s="477">
        <v>513.8559673786234</v>
      </c>
      <c r="AO439" s="473">
        <v>0.29364484093559573</v>
      </c>
      <c r="AP439" s="474">
        <v>1.2741038232462647E-3</v>
      </c>
      <c r="AQ439" s="352"/>
      <c r="AR439" s="352"/>
      <c r="AS439" s="352"/>
      <c r="AT439" s="352"/>
      <c r="AU439" s="352"/>
      <c r="AV439" s="352"/>
      <c r="AW439" s="352" t="s">
        <v>254</v>
      </c>
    </row>
    <row r="440" spans="2:49" x14ac:dyDescent="0.2">
      <c r="B440" s="460" t="s">
        <v>2490</v>
      </c>
      <c r="C440" s="460">
        <v>1232</v>
      </c>
      <c r="D440" s="460" t="s">
        <v>2335</v>
      </c>
      <c r="E440" s="460" t="s">
        <v>2327</v>
      </c>
      <c r="F440" s="460">
        <v>2</v>
      </c>
      <c r="G440" s="460">
        <v>3</v>
      </c>
      <c r="H440" s="461" t="s">
        <v>712</v>
      </c>
      <c r="I440" s="461" t="s">
        <v>713</v>
      </c>
      <c r="J440" s="461" t="s">
        <v>712</v>
      </c>
      <c r="K440" s="594"/>
      <c r="L440" s="594"/>
      <c r="M440" s="352">
        <v>1000</v>
      </c>
      <c r="N440" s="352" t="s">
        <v>698</v>
      </c>
      <c r="O440" s="460">
        <v>1232</v>
      </c>
      <c r="P440" s="460" t="s">
        <v>734</v>
      </c>
      <c r="Q440" s="460" t="s">
        <v>2280</v>
      </c>
      <c r="R440" s="460">
        <v>1232</v>
      </c>
      <c r="S440" s="460" t="s">
        <v>2324</v>
      </c>
      <c r="T440" s="462">
        <v>1</v>
      </c>
      <c r="U440" s="460" t="s">
        <v>2327</v>
      </c>
      <c r="V440" s="475">
        <v>0</v>
      </c>
      <c r="W440" s="463" t="s">
        <v>713</v>
      </c>
      <c r="X440" s="463" t="s">
        <v>713</v>
      </c>
      <c r="Y440" s="463" t="s">
        <v>713</v>
      </c>
      <c r="Z440" s="463"/>
      <c r="AA440" s="463"/>
      <c r="AB440" s="464">
        <v>457.05315576420884</v>
      </c>
      <c r="AC440" s="465">
        <v>0.48913335044528511</v>
      </c>
      <c r="AD440" s="465">
        <v>1.4637577482010478E-3</v>
      </c>
      <c r="AE440" s="476">
        <v>457.0531557642089</v>
      </c>
      <c r="AF440" s="467">
        <v>0.48913335044528516</v>
      </c>
      <c r="AG440" s="468">
        <v>1.4398017287051497E-3</v>
      </c>
      <c r="AH440" s="218">
        <v>274.38591357819541</v>
      </c>
      <c r="AI440" s="470">
        <v>0.29364484093559573</v>
      </c>
      <c r="AJ440" s="471">
        <v>8.9890995062022819E-4</v>
      </c>
      <c r="AK440" s="218">
        <v>274.38591357819541</v>
      </c>
      <c r="AL440" s="470">
        <v>0.29364484093559573</v>
      </c>
      <c r="AM440" s="471">
        <v>8.9890995062022819E-4</v>
      </c>
      <c r="AN440" s="477">
        <v>274.38591357819541</v>
      </c>
      <c r="AO440" s="473">
        <v>0.29364484093559573</v>
      </c>
      <c r="AP440" s="474">
        <v>8.9855752054212776E-4</v>
      </c>
      <c r="AQ440" s="352"/>
      <c r="AR440" s="352"/>
      <c r="AS440" s="352"/>
      <c r="AT440" s="352"/>
      <c r="AU440" s="352"/>
      <c r="AV440" s="352"/>
      <c r="AW440" s="352" t="s">
        <v>254</v>
      </c>
    </row>
    <row r="441" spans="2:49" x14ac:dyDescent="0.2">
      <c r="B441" s="460" t="s">
        <v>2491</v>
      </c>
      <c r="C441" s="460">
        <v>1232</v>
      </c>
      <c r="D441" s="460" t="s">
        <v>2336</v>
      </c>
      <c r="E441" s="460" t="s">
        <v>2330</v>
      </c>
      <c r="F441" s="460">
        <v>3</v>
      </c>
      <c r="G441" s="460">
        <v>3</v>
      </c>
      <c r="H441" s="461" t="s">
        <v>712</v>
      </c>
      <c r="I441" s="461" t="s">
        <v>713</v>
      </c>
      <c r="J441" s="461" t="s">
        <v>712</v>
      </c>
      <c r="K441" s="594"/>
      <c r="L441" s="594"/>
      <c r="M441" s="352">
        <v>1000</v>
      </c>
      <c r="N441" s="352" t="s">
        <v>698</v>
      </c>
      <c r="O441" s="460">
        <v>1232</v>
      </c>
      <c r="P441" s="460" t="s">
        <v>734</v>
      </c>
      <c r="Q441" s="460" t="s">
        <v>2280</v>
      </c>
      <c r="R441" s="460">
        <v>1232</v>
      </c>
      <c r="S441" s="460" t="s">
        <v>2324</v>
      </c>
      <c r="T441" s="462">
        <v>1</v>
      </c>
      <c r="U441" s="460" t="s">
        <v>2330</v>
      </c>
      <c r="V441" s="475">
        <v>0</v>
      </c>
      <c r="W441" s="463" t="s">
        <v>713</v>
      </c>
      <c r="X441" s="463" t="s">
        <v>713</v>
      </c>
      <c r="Y441" s="463" t="s">
        <v>713</v>
      </c>
      <c r="Z441" s="463"/>
      <c r="AA441" s="463"/>
      <c r="AB441" s="464">
        <v>113.31920028406088</v>
      </c>
      <c r="AC441" s="465">
        <v>0.47756991263887016</v>
      </c>
      <c r="AD441" s="465">
        <v>1.0033580086654282E-3</v>
      </c>
      <c r="AE441" s="476">
        <v>113.31920028406088</v>
      </c>
      <c r="AF441" s="467">
        <v>0.47756991263887016</v>
      </c>
      <c r="AG441" s="468">
        <v>9.8784851240978186E-4</v>
      </c>
      <c r="AH441" s="218">
        <v>69.676915696999501</v>
      </c>
      <c r="AI441" s="470">
        <v>0.29364484093559573</v>
      </c>
      <c r="AJ441" s="471">
        <v>6.3059273907999558E-4</v>
      </c>
      <c r="AK441" s="218">
        <v>69.676915696999501</v>
      </c>
      <c r="AL441" s="470">
        <v>0.29364484093559573</v>
      </c>
      <c r="AM441" s="471">
        <v>6.3059273907999558E-4</v>
      </c>
      <c r="AN441" s="477">
        <v>69.676915696999501</v>
      </c>
      <c r="AO441" s="473">
        <v>0.29364484093559573</v>
      </c>
      <c r="AP441" s="474">
        <v>6.322203685826895E-4</v>
      </c>
      <c r="AQ441" s="352"/>
      <c r="AR441" s="352"/>
      <c r="AS441" s="352"/>
      <c r="AT441" s="352"/>
      <c r="AU441" s="352"/>
      <c r="AV441" s="352"/>
      <c r="AW441" s="352" t="s">
        <v>254</v>
      </c>
    </row>
    <row r="442" spans="2:49" x14ac:dyDescent="0.2">
      <c r="B442" s="460" t="s">
        <v>2492</v>
      </c>
      <c r="C442" s="460">
        <v>1232</v>
      </c>
      <c r="D442" s="460" t="s">
        <v>2337</v>
      </c>
      <c r="E442" s="460" t="s">
        <v>2333</v>
      </c>
      <c r="F442" s="460">
        <v>4</v>
      </c>
      <c r="G442" s="460">
        <v>3</v>
      </c>
      <c r="H442" s="461" t="s">
        <v>712</v>
      </c>
      <c r="I442" s="461" t="s">
        <v>713</v>
      </c>
      <c r="J442" s="461" t="s">
        <v>712</v>
      </c>
      <c r="K442" s="594"/>
      <c r="L442" s="594"/>
      <c r="M442" s="352">
        <v>1000</v>
      </c>
      <c r="N442" s="352" t="s">
        <v>698</v>
      </c>
      <c r="O442" s="460">
        <v>1232</v>
      </c>
      <c r="P442" s="460" t="s">
        <v>734</v>
      </c>
      <c r="Q442" s="460" t="s">
        <v>2280</v>
      </c>
      <c r="R442" s="460">
        <v>1232</v>
      </c>
      <c r="S442" s="460" t="s">
        <v>2333</v>
      </c>
      <c r="T442" s="462">
        <v>1</v>
      </c>
      <c r="U442" s="460" t="s">
        <v>2333</v>
      </c>
      <c r="V442" s="475">
        <v>0</v>
      </c>
      <c r="W442" s="463" t="s">
        <v>713</v>
      </c>
      <c r="X442" s="463" t="s">
        <v>713</v>
      </c>
      <c r="Y442" s="463" t="s">
        <v>713</v>
      </c>
      <c r="Z442" s="463"/>
      <c r="AA442" s="463"/>
      <c r="AB442" s="464">
        <v>130.03702408323804</v>
      </c>
      <c r="AC442" s="465">
        <v>0.91439905975019176</v>
      </c>
      <c r="AD442" s="465">
        <v>9.8860265676592321E-4</v>
      </c>
      <c r="AE442" s="476">
        <v>130.03702408323804</v>
      </c>
      <c r="AF442" s="467">
        <v>0.91439905975019187</v>
      </c>
      <c r="AG442" s="468">
        <v>9.7847512823319004E-4</v>
      </c>
      <c r="AH442" s="218">
        <v>130.03702408323804</v>
      </c>
      <c r="AI442" s="470">
        <v>0.91439905975019187</v>
      </c>
      <c r="AJ442" s="471">
        <v>9.8159248412890503E-4</v>
      </c>
      <c r="AK442" s="218">
        <v>130.03702408323804</v>
      </c>
      <c r="AL442" s="470">
        <v>0.91439905975019187</v>
      </c>
      <c r="AM442" s="471">
        <v>9.8159248412890503E-4</v>
      </c>
      <c r="AN442" s="477">
        <v>130.03702408323804</v>
      </c>
      <c r="AO442" s="473">
        <v>0.91439905975019187</v>
      </c>
      <c r="AP442" s="474">
        <v>9.819044182481705E-4</v>
      </c>
      <c r="AQ442" s="352"/>
      <c r="AR442" s="352"/>
      <c r="AS442" s="352"/>
      <c r="AT442" s="352"/>
      <c r="AU442" s="352"/>
      <c r="AV442" s="352"/>
      <c r="AW442" s="352" t="s">
        <v>254</v>
      </c>
    </row>
    <row r="443" spans="2:49" x14ac:dyDescent="0.2">
      <c r="B443" s="460" t="s">
        <v>2489</v>
      </c>
      <c r="C443" s="460">
        <v>1232</v>
      </c>
      <c r="D443" s="460" t="s">
        <v>2338</v>
      </c>
      <c r="E443" s="460" t="s">
        <v>2324</v>
      </c>
      <c r="F443" s="460">
        <v>1</v>
      </c>
      <c r="G443" s="460">
        <v>3</v>
      </c>
      <c r="H443" s="461" t="s">
        <v>746</v>
      </c>
      <c r="I443" s="461" t="s">
        <v>762</v>
      </c>
      <c r="J443" s="461" t="s">
        <v>700</v>
      </c>
      <c r="K443" s="594"/>
      <c r="L443" s="594"/>
      <c r="M443" s="352">
        <v>1000</v>
      </c>
      <c r="N443" s="352" t="s">
        <v>698</v>
      </c>
      <c r="O443" s="460">
        <v>1232</v>
      </c>
      <c r="P443" s="460" t="s">
        <v>734</v>
      </c>
      <c r="Q443" s="460" t="s">
        <v>2266</v>
      </c>
      <c r="R443" s="460">
        <v>1232</v>
      </c>
      <c r="S443" s="460" t="s">
        <v>2324</v>
      </c>
      <c r="T443" s="462">
        <v>1</v>
      </c>
      <c r="U443" s="460" t="s">
        <v>2324</v>
      </c>
      <c r="V443" s="475">
        <v>0</v>
      </c>
      <c r="W443" s="463" t="s">
        <v>2268</v>
      </c>
      <c r="X443" s="463" t="s">
        <v>2268</v>
      </c>
      <c r="Y443" s="463" t="s">
        <v>2267</v>
      </c>
      <c r="Z443" s="463"/>
      <c r="AA443" s="463"/>
      <c r="AB443" s="464">
        <v>0</v>
      </c>
      <c r="AC443" s="465">
        <v>0</v>
      </c>
      <c r="AD443" s="465">
        <v>0</v>
      </c>
      <c r="AE443" s="476">
        <v>0</v>
      </c>
      <c r="AF443" s="467">
        <v>0</v>
      </c>
      <c r="AG443" s="468">
        <v>0</v>
      </c>
      <c r="AH443" s="218">
        <v>0</v>
      </c>
      <c r="AI443" s="470">
        <v>0</v>
      </c>
      <c r="AJ443" s="471">
        <v>0</v>
      </c>
      <c r="AK443" s="218">
        <v>0</v>
      </c>
      <c r="AL443" s="470">
        <v>0</v>
      </c>
      <c r="AM443" s="471">
        <v>0</v>
      </c>
      <c r="AN443" s="477">
        <v>1236.0673949437064</v>
      </c>
      <c r="AO443" s="473">
        <v>0.70635515906440427</v>
      </c>
      <c r="AP443" s="474">
        <v>1.3062455764849828E-2</v>
      </c>
      <c r="AQ443" s="352"/>
      <c r="AR443" s="352"/>
      <c r="AS443" s="352"/>
      <c r="AT443" s="352"/>
      <c r="AU443" s="352"/>
      <c r="AV443" s="352"/>
      <c r="AW443" s="352" t="s">
        <v>254</v>
      </c>
    </row>
    <row r="444" spans="2:49" x14ac:dyDescent="0.2">
      <c r="B444" s="460" t="s">
        <v>2490</v>
      </c>
      <c r="C444" s="460">
        <v>1232</v>
      </c>
      <c r="D444" s="460" t="s">
        <v>2339</v>
      </c>
      <c r="E444" s="460" t="s">
        <v>2327</v>
      </c>
      <c r="F444" s="460">
        <v>2</v>
      </c>
      <c r="G444" s="460">
        <v>3</v>
      </c>
      <c r="H444" s="461" t="s">
        <v>746</v>
      </c>
      <c r="I444" s="461" t="s">
        <v>762</v>
      </c>
      <c r="J444" s="461" t="s">
        <v>700</v>
      </c>
      <c r="K444" s="594"/>
      <c r="L444" s="594"/>
      <c r="M444" s="352">
        <v>1000</v>
      </c>
      <c r="N444" s="352" t="s">
        <v>698</v>
      </c>
      <c r="O444" s="460">
        <v>1232</v>
      </c>
      <c r="P444" s="460" t="s">
        <v>734</v>
      </c>
      <c r="Q444" s="460" t="s">
        <v>2266</v>
      </c>
      <c r="R444" s="460">
        <v>1232</v>
      </c>
      <c r="S444" s="460" t="s">
        <v>2324</v>
      </c>
      <c r="T444" s="462">
        <v>1</v>
      </c>
      <c r="U444" s="460" t="s">
        <v>2327</v>
      </c>
      <c r="V444" s="475">
        <v>0</v>
      </c>
      <c r="W444" s="463" t="s">
        <v>2268</v>
      </c>
      <c r="X444" s="463" t="s">
        <v>2268</v>
      </c>
      <c r="Y444" s="463" t="s">
        <v>2267</v>
      </c>
      <c r="Z444" s="463"/>
      <c r="AA444" s="463"/>
      <c r="AB444" s="464">
        <v>0</v>
      </c>
      <c r="AC444" s="465">
        <v>0</v>
      </c>
      <c r="AD444" s="465">
        <v>0</v>
      </c>
      <c r="AE444" s="476">
        <v>0</v>
      </c>
      <c r="AF444" s="467">
        <v>0</v>
      </c>
      <c r="AG444" s="468">
        <v>0</v>
      </c>
      <c r="AH444" s="218">
        <v>0</v>
      </c>
      <c r="AI444" s="470">
        <v>0</v>
      </c>
      <c r="AJ444" s="471">
        <v>0</v>
      </c>
      <c r="AK444" s="218">
        <v>0</v>
      </c>
      <c r="AL444" s="470">
        <v>0</v>
      </c>
      <c r="AM444" s="471">
        <v>0</v>
      </c>
      <c r="AN444" s="477">
        <v>660.02830158036636</v>
      </c>
      <c r="AO444" s="473">
        <v>0.70635515906440427</v>
      </c>
      <c r="AP444" s="474">
        <v>1.049205133556546E-2</v>
      </c>
      <c r="AQ444" s="352"/>
      <c r="AR444" s="352"/>
      <c r="AS444" s="352"/>
      <c r="AT444" s="352"/>
      <c r="AU444" s="352"/>
      <c r="AV444" s="352"/>
      <c r="AW444" s="352" t="s">
        <v>254</v>
      </c>
    </row>
    <row r="445" spans="2:49" x14ac:dyDescent="0.2">
      <c r="B445" s="460" t="s">
        <v>2491</v>
      </c>
      <c r="C445" s="460">
        <v>1232</v>
      </c>
      <c r="D445" s="460" t="s">
        <v>2340</v>
      </c>
      <c r="E445" s="460" t="s">
        <v>2330</v>
      </c>
      <c r="F445" s="460">
        <v>3</v>
      </c>
      <c r="G445" s="460">
        <v>3</v>
      </c>
      <c r="H445" s="461" t="s">
        <v>746</v>
      </c>
      <c r="I445" s="461" t="s">
        <v>762</v>
      </c>
      <c r="J445" s="461" t="s">
        <v>700</v>
      </c>
      <c r="K445" s="594"/>
      <c r="L445" s="594"/>
      <c r="M445" s="352">
        <v>1000</v>
      </c>
      <c r="N445" s="352" t="s">
        <v>698</v>
      </c>
      <c r="O445" s="460">
        <v>1232</v>
      </c>
      <c r="P445" s="460" t="s">
        <v>734</v>
      </c>
      <c r="Q445" s="460" t="s">
        <v>2266</v>
      </c>
      <c r="R445" s="460">
        <v>1232</v>
      </c>
      <c r="S445" s="460" t="s">
        <v>2324</v>
      </c>
      <c r="T445" s="462">
        <v>1</v>
      </c>
      <c r="U445" s="460" t="s">
        <v>2330</v>
      </c>
      <c r="V445" s="475">
        <v>0</v>
      </c>
      <c r="W445" s="463" t="s">
        <v>2268</v>
      </c>
      <c r="X445" s="463" t="s">
        <v>2268</v>
      </c>
      <c r="Y445" s="463" t="s">
        <v>2267</v>
      </c>
      <c r="Z445" s="463"/>
      <c r="AA445" s="463"/>
      <c r="AB445" s="464">
        <v>0</v>
      </c>
      <c r="AC445" s="465">
        <v>0</v>
      </c>
      <c r="AD445" s="465">
        <v>0</v>
      </c>
      <c r="AE445" s="476">
        <v>0</v>
      </c>
      <c r="AF445" s="467">
        <v>0</v>
      </c>
      <c r="AG445" s="468">
        <v>0</v>
      </c>
      <c r="AH445" s="218">
        <v>0</v>
      </c>
      <c r="AI445" s="470">
        <v>0</v>
      </c>
      <c r="AJ445" s="471">
        <v>0</v>
      </c>
      <c r="AK445" s="218">
        <v>0</v>
      </c>
      <c r="AL445" s="470">
        <v>0</v>
      </c>
      <c r="AM445" s="471">
        <v>0</v>
      </c>
      <c r="AN445" s="477">
        <v>167.60603970926127</v>
      </c>
      <c r="AO445" s="473">
        <v>0.70635515906440427</v>
      </c>
      <c r="AP445" s="474">
        <v>6.7045470526023287E-3</v>
      </c>
      <c r="AQ445" s="352"/>
      <c r="AR445" s="352"/>
      <c r="AS445" s="352"/>
      <c r="AT445" s="352"/>
      <c r="AU445" s="352"/>
      <c r="AV445" s="352"/>
      <c r="AW445" s="352" t="s">
        <v>254</v>
      </c>
    </row>
    <row r="446" spans="2:49" x14ac:dyDescent="0.2">
      <c r="B446" s="460" t="s">
        <v>2492</v>
      </c>
      <c r="C446" s="460">
        <v>1232</v>
      </c>
      <c r="D446" s="460" t="s">
        <v>2341</v>
      </c>
      <c r="E446" s="460" t="s">
        <v>2333</v>
      </c>
      <c r="F446" s="460">
        <v>4</v>
      </c>
      <c r="G446" s="460">
        <v>3</v>
      </c>
      <c r="H446" s="461" t="s">
        <v>746</v>
      </c>
      <c r="I446" s="461" t="s">
        <v>762</v>
      </c>
      <c r="J446" s="461" t="s">
        <v>700</v>
      </c>
      <c r="K446" s="594"/>
      <c r="L446" s="594"/>
      <c r="M446" s="352">
        <v>1000</v>
      </c>
      <c r="N446" s="352" t="s">
        <v>698</v>
      </c>
      <c r="O446" s="460">
        <v>1232</v>
      </c>
      <c r="P446" s="460" t="s">
        <v>734</v>
      </c>
      <c r="Q446" s="460" t="s">
        <v>2266</v>
      </c>
      <c r="R446" s="460">
        <v>1232</v>
      </c>
      <c r="S446" s="460" t="s">
        <v>2333</v>
      </c>
      <c r="T446" s="462">
        <v>1</v>
      </c>
      <c r="U446" s="460" t="s">
        <v>2333</v>
      </c>
      <c r="V446" s="475">
        <v>0</v>
      </c>
      <c r="W446" s="463" t="s">
        <v>2268</v>
      </c>
      <c r="X446" s="463" t="s">
        <v>2268</v>
      </c>
      <c r="Y446" s="463" t="s">
        <v>2278</v>
      </c>
      <c r="Z446" s="463"/>
      <c r="AA446" s="463"/>
      <c r="AB446" s="464">
        <v>0</v>
      </c>
      <c r="AC446" s="465">
        <v>0</v>
      </c>
      <c r="AD446" s="465">
        <v>0</v>
      </c>
      <c r="AE446" s="476">
        <v>0</v>
      </c>
      <c r="AF446" s="467">
        <v>0</v>
      </c>
      <c r="AG446" s="468">
        <v>0</v>
      </c>
      <c r="AH446" s="218">
        <v>0</v>
      </c>
      <c r="AI446" s="470">
        <v>0</v>
      </c>
      <c r="AJ446" s="471">
        <v>0</v>
      </c>
      <c r="AK446" s="218">
        <v>0</v>
      </c>
      <c r="AL446" s="470">
        <v>0</v>
      </c>
      <c r="AM446" s="471">
        <v>0</v>
      </c>
      <c r="AN446" s="477">
        <v>12.173340961060392</v>
      </c>
      <c r="AO446" s="473">
        <v>8.5600940249808119E-2</v>
      </c>
      <c r="AP446" s="474">
        <v>1.0147648274334911E-3</v>
      </c>
      <c r="AQ446" s="352"/>
      <c r="AR446" s="352"/>
      <c r="AS446" s="352"/>
      <c r="AT446" s="352"/>
      <c r="AU446" s="352"/>
      <c r="AV446" s="352"/>
      <c r="AW446" s="352" t="s">
        <v>254</v>
      </c>
    </row>
    <row r="447" spans="2:49" x14ac:dyDescent="0.2">
      <c r="B447" s="460" t="s">
        <v>2489</v>
      </c>
      <c r="C447" s="460">
        <v>1232</v>
      </c>
      <c r="D447" s="460" t="s">
        <v>2342</v>
      </c>
      <c r="E447" s="460" t="s">
        <v>2324</v>
      </c>
      <c r="F447" s="460">
        <v>1</v>
      </c>
      <c r="G447" s="460">
        <v>3</v>
      </c>
      <c r="H447" s="461" t="s">
        <v>748</v>
      </c>
      <c r="I447" s="461" t="s">
        <v>765</v>
      </c>
      <c r="J447" s="461" t="s">
        <v>700</v>
      </c>
      <c r="K447" s="594"/>
      <c r="L447" s="594"/>
      <c r="M447" s="352">
        <v>1000</v>
      </c>
      <c r="N447" s="352" t="s">
        <v>698</v>
      </c>
      <c r="O447" s="460">
        <v>1232</v>
      </c>
      <c r="P447" s="460" t="s">
        <v>734</v>
      </c>
      <c r="Q447" s="460" t="s">
        <v>2289</v>
      </c>
      <c r="R447" s="460">
        <v>1232</v>
      </c>
      <c r="S447" s="460" t="s">
        <v>2324</v>
      </c>
      <c r="T447" s="462">
        <v>1</v>
      </c>
      <c r="U447" s="460" t="s">
        <v>2324</v>
      </c>
      <c r="V447" s="475">
        <v>0</v>
      </c>
      <c r="W447" s="463" t="s">
        <v>2268</v>
      </c>
      <c r="X447" s="463" t="s">
        <v>2268</v>
      </c>
      <c r="Y447" s="463" t="s">
        <v>2290</v>
      </c>
      <c r="Z447" s="463"/>
      <c r="AA447" s="463"/>
      <c r="AB447" s="464">
        <v>0</v>
      </c>
      <c r="AC447" s="465">
        <v>0</v>
      </c>
      <c r="AD447" s="465">
        <v>0</v>
      </c>
      <c r="AE447" s="476">
        <v>0</v>
      </c>
      <c r="AF447" s="467">
        <v>0</v>
      </c>
      <c r="AG447" s="468">
        <v>0</v>
      </c>
      <c r="AH447" s="218">
        <v>0</v>
      </c>
      <c r="AI447" s="470">
        <v>0</v>
      </c>
      <c r="AJ447" s="471">
        <v>0</v>
      </c>
      <c r="AK447" s="218">
        <v>0</v>
      </c>
      <c r="AL447" s="470">
        <v>0</v>
      </c>
      <c r="AM447" s="471">
        <v>0</v>
      </c>
      <c r="AN447" s="477">
        <v>0</v>
      </c>
      <c r="AO447" s="473">
        <v>0</v>
      </c>
      <c r="AP447" s="474">
        <v>0</v>
      </c>
      <c r="AQ447" s="352"/>
      <c r="AR447" s="352"/>
      <c r="AS447" s="352"/>
      <c r="AT447" s="352"/>
      <c r="AU447" s="352"/>
      <c r="AV447" s="352"/>
      <c r="AW447" s="352" t="s">
        <v>254</v>
      </c>
    </row>
    <row r="448" spans="2:49" x14ac:dyDescent="0.2">
      <c r="B448" s="460" t="s">
        <v>2490</v>
      </c>
      <c r="C448" s="460">
        <v>1232</v>
      </c>
      <c r="D448" s="460" t="s">
        <v>2343</v>
      </c>
      <c r="E448" s="460" t="s">
        <v>2327</v>
      </c>
      <c r="F448" s="460">
        <v>2</v>
      </c>
      <c r="G448" s="460">
        <v>3</v>
      </c>
      <c r="H448" s="461" t="s">
        <v>748</v>
      </c>
      <c r="I448" s="461" t="s">
        <v>765</v>
      </c>
      <c r="J448" s="461" t="s">
        <v>700</v>
      </c>
      <c r="K448" s="594"/>
      <c r="L448" s="594"/>
      <c r="M448" s="352">
        <v>1000</v>
      </c>
      <c r="N448" s="352" t="s">
        <v>698</v>
      </c>
      <c r="O448" s="460">
        <v>1232</v>
      </c>
      <c r="P448" s="460" t="s">
        <v>734</v>
      </c>
      <c r="Q448" s="460" t="s">
        <v>2289</v>
      </c>
      <c r="R448" s="460">
        <v>1232</v>
      </c>
      <c r="S448" s="460" t="s">
        <v>2324</v>
      </c>
      <c r="T448" s="462">
        <v>1</v>
      </c>
      <c r="U448" s="460" t="s">
        <v>2327</v>
      </c>
      <c r="V448" s="475">
        <v>0</v>
      </c>
      <c r="W448" s="463" t="s">
        <v>2268</v>
      </c>
      <c r="X448" s="463" t="s">
        <v>2268</v>
      </c>
      <c r="Y448" s="463" t="s">
        <v>2290</v>
      </c>
      <c r="Z448" s="463"/>
      <c r="AA448" s="463"/>
      <c r="AB448" s="464">
        <v>0</v>
      </c>
      <c r="AC448" s="465">
        <v>0</v>
      </c>
      <c r="AD448" s="465">
        <v>0</v>
      </c>
      <c r="AE448" s="476">
        <v>0</v>
      </c>
      <c r="AF448" s="467">
        <v>0</v>
      </c>
      <c r="AG448" s="468">
        <v>0</v>
      </c>
      <c r="AH448" s="218">
        <v>0</v>
      </c>
      <c r="AI448" s="470">
        <v>0</v>
      </c>
      <c r="AJ448" s="471">
        <v>0</v>
      </c>
      <c r="AK448" s="218">
        <v>0</v>
      </c>
      <c r="AL448" s="470">
        <v>0</v>
      </c>
      <c r="AM448" s="471">
        <v>0</v>
      </c>
      <c r="AN448" s="477">
        <v>0</v>
      </c>
      <c r="AO448" s="473">
        <v>0</v>
      </c>
      <c r="AP448" s="474">
        <v>0</v>
      </c>
      <c r="AQ448" s="352"/>
      <c r="AR448" s="352"/>
      <c r="AS448" s="352"/>
      <c r="AT448" s="352"/>
      <c r="AU448" s="352"/>
      <c r="AV448" s="352"/>
      <c r="AW448" s="352" t="s">
        <v>254</v>
      </c>
    </row>
    <row r="449" spans="2:49" x14ac:dyDescent="0.2">
      <c r="B449" s="460" t="s">
        <v>2491</v>
      </c>
      <c r="C449" s="460">
        <v>1232</v>
      </c>
      <c r="D449" s="460" t="s">
        <v>2344</v>
      </c>
      <c r="E449" s="460" t="s">
        <v>2330</v>
      </c>
      <c r="F449" s="460">
        <v>3</v>
      </c>
      <c r="G449" s="460">
        <v>3</v>
      </c>
      <c r="H449" s="461" t="s">
        <v>748</v>
      </c>
      <c r="I449" s="461" t="s">
        <v>765</v>
      </c>
      <c r="J449" s="461" t="s">
        <v>700</v>
      </c>
      <c r="K449" s="594"/>
      <c r="L449" s="594"/>
      <c r="M449" s="352">
        <v>1000</v>
      </c>
      <c r="N449" s="352" t="s">
        <v>698</v>
      </c>
      <c r="O449" s="460">
        <v>1232</v>
      </c>
      <c r="P449" s="460" t="s">
        <v>734</v>
      </c>
      <c r="Q449" s="460" t="s">
        <v>2289</v>
      </c>
      <c r="R449" s="460">
        <v>1232</v>
      </c>
      <c r="S449" s="460" t="s">
        <v>2324</v>
      </c>
      <c r="T449" s="462">
        <v>1</v>
      </c>
      <c r="U449" s="460" t="s">
        <v>2330</v>
      </c>
      <c r="V449" s="475">
        <v>0</v>
      </c>
      <c r="W449" s="463" t="s">
        <v>2268</v>
      </c>
      <c r="X449" s="463" t="s">
        <v>2268</v>
      </c>
      <c r="Y449" s="463" t="s">
        <v>2290</v>
      </c>
      <c r="Z449" s="463"/>
      <c r="AA449" s="463"/>
      <c r="AB449" s="464">
        <v>0</v>
      </c>
      <c r="AC449" s="465">
        <v>0</v>
      </c>
      <c r="AD449" s="465">
        <v>0</v>
      </c>
      <c r="AE449" s="476">
        <v>0</v>
      </c>
      <c r="AF449" s="467">
        <v>0</v>
      </c>
      <c r="AG449" s="468">
        <v>0</v>
      </c>
      <c r="AH449" s="218">
        <v>0</v>
      </c>
      <c r="AI449" s="470">
        <v>0</v>
      </c>
      <c r="AJ449" s="471">
        <v>0</v>
      </c>
      <c r="AK449" s="218">
        <v>0</v>
      </c>
      <c r="AL449" s="470">
        <v>0</v>
      </c>
      <c r="AM449" s="471">
        <v>0</v>
      </c>
      <c r="AN449" s="477">
        <v>0</v>
      </c>
      <c r="AO449" s="473">
        <v>0</v>
      </c>
      <c r="AP449" s="474">
        <v>0</v>
      </c>
      <c r="AQ449" s="352"/>
      <c r="AR449" s="352"/>
      <c r="AS449" s="352"/>
      <c r="AT449" s="352"/>
      <c r="AU449" s="352"/>
      <c r="AV449" s="352"/>
      <c r="AW449" s="352" t="s">
        <v>254</v>
      </c>
    </row>
    <row r="450" spans="2:49" x14ac:dyDescent="0.2">
      <c r="B450" s="460" t="s">
        <v>2492</v>
      </c>
      <c r="C450" s="460">
        <v>1232</v>
      </c>
      <c r="D450" s="460" t="s">
        <v>2345</v>
      </c>
      <c r="E450" s="460" t="s">
        <v>2333</v>
      </c>
      <c r="F450" s="460">
        <v>4</v>
      </c>
      <c r="G450" s="460">
        <v>3</v>
      </c>
      <c r="H450" s="461" t="s">
        <v>748</v>
      </c>
      <c r="I450" s="461" t="s">
        <v>765</v>
      </c>
      <c r="J450" s="461" t="s">
        <v>700</v>
      </c>
      <c r="K450" s="594"/>
      <c r="L450" s="594"/>
      <c r="M450" s="352">
        <v>1000</v>
      </c>
      <c r="N450" s="352" t="s">
        <v>698</v>
      </c>
      <c r="O450" s="460">
        <v>1232</v>
      </c>
      <c r="P450" s="460" t="s">
        <v>734</v>
      </c>
      <c r="Q450" s="460" t="s">
        <v>2289</v>
      </c>
      <c r="R450" s="460">
        <v>1232</v>
      </c>
      <c r="S450" s="460" t="s">
        <v>2333</v>
      </c>
      <c r="T450" s="462">
        <v>1</v>
      </c>
      <c r="U450" s="460" t="s">
        <v>2333</v>
      </c>
      <c r="V450" s="475">
        <v>0</v>
      </c>
      <c r="W450" s="463" t="s">
        <v>2268</v>
      </c>
      <c r="X450" s="463" t="s">
        <v>2268</v>
      </c>
      <c r="Y450" s="463" t="s">
        <v>2290</v>
      </c>
      <c r="Z450" s="463"/>
      <c r="AA450" s="463"/>
      <c r="AB450" s="464">
        <v>0</v>
      </c>
      <c r="AC450" s="465">
        <v>0</v>
      </c>
      <c r="AD450" s="465">
        <v>0</v>
      </c>
      <c r="AE450" s="476">
        <v>0</v>
      </c>
      <c r="AF450" s="467">
        <v>0</v>
      </c>
      <c r="AG450" s="468">
        <v>0</v>
      </c>
      <c r="AH450" s="218">
        <v>0</v>
      </c>
      <c r="AI450" s="470">
        <v>0</v>
      </c>
      <c r="AJ450" s="471">
        <v>0</v>
      </c>
      <c r="AK450" s="218">
        <v>0</v>
      </c>
      <c r="AL450" s="470">
        <v>0</v>
      </c>
      <c r="AM450" s="471">
        <v>0</v>
      </c>
      <c r="AN450" s="477">
        <v>0</v>
      </c>
      <c r="AO450" s="473">
        <v>0</v>
      </c>
      <c r="AP450" s="474">
        <v>0</v>
      </c>
      <c r="AQ450" s="352"/>
      <c r="AR450" s="352"/>
      <c r="AS450" s="352"/>
      <c r="AT450" s="352"/>
      <c r="AU450" s="352"/>
      <c r="AV450" s="352"/>
      <c r="AW450" s="352" t="s">
        <v>254</v>
      </c>
    </row>
    <row r="451" spans="2:49" x14ac:dyDescent="0.2">
      <c r="B451" s="460" t="s">
        <v>2489</v>
      </c>
      <c r="C451" s="460">
        <v>1232</v>
      </c>
      <c r="D451" s="460" t="s">
        <v>2346</v>
      </c>
      <c r="E451" s="460" t="s">
        <v>2324</v>
      </c>
      <c r="F451" s="460">
        <v>1</v>
      </c>
      <c r="G451" s="460">
        <v>3</v>
      </c>
      <c r="H451" s="461" t="s">
        <v>752</v>
      </c>
      <c r="I451" s="461" t="s">
        <v>964</v>
      </c>
      <c r="J451" s="461" t="s">
        <v>752</v>
      </c>
      <c r="K451" s="594"/>
      <c r="L451" s="594"/>
      <c r="M451" s="352">
        <v>1000</v>
      </c>
      <c r="N451" s="352" t="s">
        <v>698</v>
      </c>
      <c r="O451" s="460">
        <v>1232</v>
      </c>
      <c r="P451" s="460" t="s">
        <v>734</v>
      </c>
      <c r="Q451" s="460" t="s">
        <v>2266</v>
      </c>
      <c r="R451" s="460">
        <v>1232</v>
      </c>
      <c r="S451" s="460" t="s">
        <v>2324</v>
      </c>
      <c r="T451" s="462">
        <v>1</v>
      </c>
      <c r="U451" s="460" t="s">
        <v>2324</v>
      </c>
      <c r="V451" s="475">
        <v>0</v>
      </c>
      <c r="W451" s="463" t="s">
        <v>2278</v>
      </c>
      <c r="X451" s="463" t="s">
        <v>2278</v>
      </c>
      <c r="Y451" s="463" t="s">
        <v>2278</v>
      </c>
      <c r="Z451" s="463"/>
      <c r="AA451" s="463"/>
      <c r="AB451" s="464">
        <v>0</v>
      </c>
      <c r="AC451" s="465">
        <v>0</v>
      </c>
      <c r="AD451" s="465">
        <v>0</v>
      </c>
      <c r="AE451" s="476">
        <v>0</v>
      </c>
      <c r="AF451" s="467">
        <v>0</v>
      </c>
      <c r="AG451" s="468">
        <v>0</v>
      </c>
      <c r="AH451" s="218">
        <v>0</v>
      </c>
      <c r="AI451" s="470">
        <v>0</v>
      </c>
      <c r="AJ451" s="471">
        <v>0</v>
      </c>
      <c r="AK451" s="218">
        <v>0</v>
      </c>
      <c r="AL451" s="470">
        <v>0</v>
      </c>
      <c r="AM451" s="471">
        <v>0</v>
      </c>
      <c r="AN451" s="477">
        <v>0</v>
      </c>
      <c r="AO451" s="473">
        <v>0</v>
      </c>
      <c r="AP451" s="474">
        <v>0</v>
      </c>
      <c r="AQ451" s="352"/>
      <c r="AR451" s="352"/>
      <c r="AS451" s="352"/>
      <c r="AT451" s="352"/>
      <c r="AU451" s="352"/>
      <c r="AV451" s="352"/>
      <c r="AW451" s="352" t="s">
        <v>254</v>
      </c>
    </row>
    <row r="452" spans="2:49" x14ac:dyDescent="0.2">
      <c r="B452" s="460" t="s">
        <v>2490</v>
      </c>
      <c r="C452" s="460">
        <v>1232</v>
      </c>
      <c r="D452" s="460" t="s">
        <v>2347</v>
      </c>
      <c r="E452" s="460" t="s">
        <v>2327</v>
      </c>
      <c r="F452" s="460">
        <v>2</v>
      </c>
      <c r="G452" s="460">
        <v>3</v>
      </c>
      <c r="H452" s="461" t="s">
        <v>752</v>
      </c>
      <c r="I452" s="461" t="s">
        <v>964</v>
      </c>
      <c r="J452" s="461" t="s">
        <v>752</v>
      </c>
      <c r="K452" s="594"/>
      <c r="L452" s="594"/>
      <c r="M452" s="352">
        <v>1000</v>
      </c>
      <c r="N452" s="352" t="s">
        <v>698</v>
      </c>
      <c r="O452" s="460">
        <v>1232</v>
      </c>
      <c r="P452" s="460" t="s">
        <v>734</v>
      </c>
      <c r="Q452" s="460" t="s">
        <v>2266</v>
      </c>
      <c r="R452" s="460">
        <v>1232</v>
      </c>
      <c r="S452" s="460" t="s">
        <v>2324</v>
      </c>
      <c r="T452" s="462">
        <v>1</v>
      </c>
      <c r="U452" s="460" t="s">
        <v>2327</v>
      </c>
      <c r="V452" s="475">
        <v>0</v>
      </c>
      <c r="W452" s="463" t="s">
        <v>2278</v>
      </c>
      <c r="X452" s="463" t="s">
        <v>2278</v>
      </c>
      <c r="Y452" s="463" t="s">
        <v>2278</v>
      </c>
      <c r="Z452" s="463"/>
      <c r="AA452" s="463"/>
      <c r="AB452" s="464">
        <v>0</v>
      </c>
      <c r="AC452" s="465">
        <v>0</v>
      </c>
      <c r="AD452" s="465">
        <v>0</v>
      </c>
      <c r="AE452" s="476">
        <v>0</v>
      </c>
      <c r="AF452" s="467">
        <v>0</v>
      </c>
      <c r="AG452" s="468">
        <v>0</v>
      </c>
      <c r="AH452" s="218">
        <v>0</v>
      </c>
      <c r="AI452" s="470">
        <v>0</v>
      </c>
      <c r="AJ452" s="471">
        <v>0</v>
      </c>
      <c r="AK452" s="218">
        <v>0</v>
      </c>
      <c r="AL452" s="470">
        <v>0</v>
      </c>
      <c r="AM452" s="471">
        <v>0</v>
      </c>
      <c r="AN452" s="477">
        <v>0</v>
      </c>
      <c r="AO452" s="473">
        <v>0</v>
      </c>
      <c r="AP452" s="474">
        <v>0</v>
      </c>
      <c r="AQ452" s="352"/>
      <c r="AR452" s="352"/>
      <c r="AS452" s="352"/>
      <c r="AT452" s="352"/>
      <c r="AU452" s="352"/>
      <c r="AV452" s="352"/>
      <c r="AW452" s="352" t="s">
        <v>254</v>
      </c>
    </row>
    <row r="453" spans="2:49" x14ac:dyDescent="0.2">
      <c r="B453" s="460" t="s">
        <v>2491</v>
      </c>
      <c r="C453" s="460">
        <v>1232</v>
      </c>
      <c r="D453" s="460" t="s">
        <v>2348</v>
      </c>
      <c r="E453" s="460" t="s">
        <v>2330</v>
      </c>
      <c r="F453" s="460">
        <v>3</v>
      </c>
      <c r="G453" s="460">
        <v>3</v>
      </c>
      <c r="H453" s="461" t="s">
        <v>752</v>
      </c>
      <c r="I453" s="461" t="s">
        <v>964</v>
      </c>
      <c r="J453" s="461" t="s">
        <v>752</v>
      </c>
      <c r="K453" s="594"/>
      <c r="L453" s="594"/>
      <c r="M453" s="352">
        <v>1000</v>
      </c>
      <c r="N453" s="352" t="s">
        <v>698</v>
      </c>
      <c r="O453" s="460">
        <v>1232</v>
      </c>
      <c r="P453" s="460" t="s">
        <v>734</v>
      </c>
      <c r="Q453" s="460" t="s">
        <v>2266</v>
      </c>
      <c r="R453" s="460">
        <v>1232</v>
      </c>
      <c r="S453" s="460" t="s">
        <v>2324</v>
      </c>
      <c r="T453" s="462">
        <v>1</v>
      </c>
      <c r="U453" s="460" t="s">
        <v>2330</v>
      </c>
      <c r="V453" s="475">
        <v>0</v>
      </c>
      <c r="W453" s="463" t="s">
        <v>2278</v>
      </c>
      <c r="X453" s="463" t="s">
        <v>2278</v>
      </c>
      <c r="Y453" s="463" t="s">
        <v>2278</v>
      </c>
      <c r="Z453" s="463"/>
      <c r="AA453" s="463"/>
      <c r="AB453" s="464">
        <v>0</v>
      </c>
      <c r="AC453" s="465">
        <v>0</v>
      </c>
      <c r="AD453" s="465">
        <v>0</v>
      </c>
      <c r="AE453" s="476">
        <v>0</v>
      </c>
      <c r="AF453" s="467">
        <v>0</v>
      </c>
      <c r="AG453" s="468">
        <v>0</v>
      </c>
      <c r="AH453" s="218">
        <v>0</v>
      </c>
      <c r="AI453" s="470">
        <v>0</v>
      </c>
      <c r="AJ453" s="471">
        <v>0</v>
      </c>
      <c r="AK453" s="218">
        <v>0</v>
      </c>
      <c r="AL453" s="470">
        <v>0</v>
      </c>
      <c r="AM453" s="471">
        <v>0</v>
      </c>
      <c r="AN453" s="477">
        <v>0</v>
      </c>
      <c r="AO453" s="473">
        <v>0</v>
      </c>
      <c r="AP453" s="474">
        <v>0</v>
      </c>
      <c r="AQ453" s="352"/>
      <c r="AR453" s="352"/>
      <c r="AS453" s="352"/>
      <c r="AT453" s="352"/>
      <c r="AU453" s="352"/>
      <c r="AV453" s="352"/>
      <c r="AW453" s="352" t="s">
        <v>254</v>
      </c>
    </row>
    <row r="454" spans="2:49" x14ac:dyDescent="0.2">
      <c r="B454" s="460" t="s">
        <v>2492</v>
      </c>
      <c r="C454" s="460">
        <v>1232</v>
      </c>
      <c r="D454" s="460" t="s">
        <v>2349</v>
      </c>
      <c r="E454" s="460" t="s">
        <v>2333</v>
      </c>
      <c r="F454" s="460">
        <v>4</v>
      </c>
      <c r="G454" s="460">
        <v>3</v>
      </c>
      <c r="H454" s="461" t="s">
        <v>752</v>
      </c>
      <c r="I454" s="461" t="s">
        <v>964</v>
      </c>
      <c r="J454" s="461" t="s">
        <v>752</v>
      </c>
      <c r="K454" s="594"/>
      <c r="L454" s="594"/>
      <c r="M454" s="352">
        <v>1000</v>
      </c>
      <c r="N454" s="352" t="s">
        <v>698</v>
      </c>
      <c r="O454" s="460">
        <v>1232</v>
      </c>
      <c r="P454" s="460" t="s">
        <v>734</v>
      </c>
      <c r="Q454" s="460" t="s">
        <v>2266</v>
      </c>
      <c r="R454" s="460">
        <v>1232</v>
      </c>
      <c r="S454" s="460" t="s">
        <v>2333</v>
      </c>
      <c r="T454" s="462">
        <v>1</v>
      </c>
      <c r="U454" s="460" t="s">
        <v>2333</v>
      </c>
      <c r="V454" s="475">
        <v>0</v>
      </c>
      <c r="W454" s="463" t="s">
        <v>2278</v>
      </c>
      <c r="X454" s="463" t="s">
        <v>2278</v>
      </c>
      <c r="Y454" s="463" t="s">
        <v>2278</v>
      </c>
      <c r="Z454" s="463"/>
      <c r="AA454" s="463"/>
      <c r="AB454" s="464">
        <v>0</v>
      </c>
      <c r="AC454" s="465">
        <v>0</v>
      </c>
      <c r="AD454" s="465">
        <v>0</v>
      </c>
      <c r="AE454" s="476">
        <v>0</v>
      </c>
      <c r="AF454" s="467">
        <v>0</v>
      </c>
      <c r="AG454" s="468">
        <v>0</v>
      </c>
      <c r="AH454" s="218">
        <v>0</v>
      </c>
      <c r="AI454" s="470">
        <v>0</v>
      </c>
      <c r="AJ454" s="471">
        <v>0</v>
      </c>
      <c r="AK454" s="218">
        <v>0</v>
      </c>
      <c r="AL454" s="470">
        <v>0</v>
      </c>
      <c r="AM454" s="471">
        <v>0</v>
      </c>
      <c r="AN454" s="477">
        <v>0</v>
      </c>
      <c r="AO454" s="473">
        <v>0</v>
      </c>
      <c r="AP454" s="474">
        <v>0</v>
      </c>
      <c r="AQ454" s="352"/>
      <c r="AR454" s="352"/>
      <c r="AS454" s="352"/>
      <c r="AT454" s="352"/>
      <c r="AU454" s="352"/>
      <c r="AV454" s="352"/>
      <c r="AW454" s="352" t="s">
        <v>254</v>
      </c>
    </row>
    <row r="455" spans="2:49" x14ac:dyDescent="0.2">
      <c r="B455" s="460" t="s">
        <v>2493</v>
      </c>
      <c r="C455" s="460">
        <v>1232</v>
      </c>
      <c r="D455" s="460" t="s">
        <v>2351</v>
      </c>
      <c r="E455" s="460" t="s">
        <v>1136</v>
      </c>
      <c r="F455" s="460">
        <v>1</v>
      </c>
      <c r="G455" s="460">
        <v>4</v>
      </c>
      <c r="H455" s="461" t="s">
        <v>700</v>
      </c>
      <c r="I455" s="461" t="s">
        <v>872</v>
      </c>
      <c r="J455" s="461" t="s">
        <v>700</v>
      </c>
      <c r="K455" s="594"/>
      <c r="L455" s="594"/>
      <c r="M455" s="352">
        <v>1000</v>
      </c>
      <c r="N455" s="352" t="s">
        <v>698</v>
      </c>
      <c r="O455" s="460">
        <v>1232</v>
      </c>
      <c r="P455" s="460" t="s">
        <v>734</v>
      </c>
      <c r="Q455" s="460" t="s">
        <v>2266</v>
      </c>
      <c r="R455" s="460">
        <v>1232</v>
      </c>
      <c r="S455" s="460" t="s">
        <v>1136</v>
      </c>
      <c r="T455" s="462">
        <v>1</v>
      </c>
      <c r="U455" s="460" t="s">
        <v>1136</v>
      </c>
      <c r="V455" s="475">
        <v>0</v>
      </c>
      <c r="W455" s="463" t="s">
        <v>2267</v>
      </c>
      <c r="X455" s="463" t="s">
        <v>2267</v>
      </c>
      <c r="Y455" s="463" t="s">
        <v>2268</v>
      </c>
      <c r="Z455" s="463"/>
      <c r="AA455" s="463"/>
      <c r="AB455" s="464">
        <v>4.9508718688156579</v>
      </c>
      <c r="AC455" s="465">
        <v>5.1014085880401648E-2</v>
      </c>
      <c r="AD455" s="465">
        <v>1.4086266328245034E-2</v>
      </c>
      <c r="AE455" s="476">
        <v>4.9508718688156579</v>
      </c>
      <c r="AF455" s="467">
        <v>5.1014085880401648E-2</v>
      </c>
      <c r="AG455" s="468">
        <v>1.5312638730459004E-2</v>
      </c>
      <c r="AH455" s="218">
        <v>4.9508718688156579</v>
      </c>
      <c r="AI455" s="470">
        <v>5.1014085880401648E-2</v>
      </c>
      <c r="AJ455" s="471">
        <v>3.8664651962150632E-3</v>
      </c>
      <c r="AK455" s="218">
        <v>4.9508718688156579</v>
      </c>
      <c r="AL455" s="470">
        <v>5.1014085880401648E-2</v>
      </c>
      <c r="AM455" s="471">
        <v>3.8664651962150632E-3</v>
      </c>
      <c r="AN455" s="477">
        <v>0</v>
      </c>
      <c r="AO455" s="473">
        <v>0</v>
      </c>
      <c r="AP455" s="474">
        <v>0</v>
      </c>
      <c r="AQ455" s="352"/>
      <c r="AR455" s="352"/>
      <c r="AS455" s="352"/>
      <c r="AT455" s="352"/>
      <c r="AU455" s="352"/>
      <c r="AV455" s="352"/>
      <c r="AW455" s="352" t="s">
        <v>254</v>
      </c>
    </row>
    <row r="456" spans="2:49" x14ac:dyDescent="0.2">
      <c r="B456" s="460" t="s">
        <v>2494</v>
      </c>
      <c r="C456" s="460">
        <v>1232</v>
      </c>
      <c r="D456" s="460" t="s">
        <v>2353</v>
      </c>
      <c r="E456" s="460" t="s">
        <v>1137</v>
      </c>
      <c r="F456" s="460">
        <v>2</v>
      </c>
      <c r="G456" s="460">
        <v>4</v>
      </c>
      <c r="H456" s="461" t="s">
        <v>700</v>
      </c>
      <c r="I456" s="461" t="s">
        <v>872</v>
      </c>
      <c r="J456" s="461" t="s">
        <v>700</v>
      </c>
      <c r="K456" s="594"/>
      <c r="L456" s="594"/>
      <c r="M456" s="352">
        <v>1000</v>
      </c>
      <c r="N456" s="352" t="s">
        <v>698</v>
      </c>
      <c r="O456" s="460">
        <v>1232</v>
      </c>
      <c r="P456" s="460" t="s">
        <v>734</v>
      </c>
      <c r="Q456" s="460" t="s">
        <v>2266</v>
      </c>
      <c r="R456" s="460">
        <v>1232</v>
      </c>
      <c r="S456" s="460" t="s">
        <v>1137</v>
      </c>
      <c r="T456" s="462">
        <v>1</v>
      </c>
      <c r="U456" s="460" t="s">
        <v>1137</v>
      </c>
      <c r="V456" s="475">
        <v>0</v>
      </c>
      <c r="W456" s="463" t="s">
        <v>2267</v>
      </c>
      <c r="X456" s="463" t="s">
        <v>2267</v>
      </c>
      <c r="Y456" s="463" t="s">
        <v>2268</v>
      </c>
      <c r="Z456" s="463"/>
      <c r="AA456" s="463"/>
      <c r="AB456" s="464">
        <v>86.37020649378448</v>
      </c>
      <c r="AC456" s="465">
        <v>0.46936805699667694</v>
      </c>
      <c r="AD456" s="465">
        <v>1.9503698665987779E-2</v>
      </c>
      <c r="AE456" s="476">
        <v>86.37020649378448</v>
      </c>
      <c r="AF456" s="467">
        <v>0.46936805699667694</v>
      </c>
      <c r="AG456" s="468">
        <v>2.1011934056851582E-2</v>
      </c>
      <c r="AH456" s="218">
        <v>86.37020649378448</v>
      </c>
      <c r="AI456" s="470">
        <v>0.46936805699667694</v>
      </c>
      <c r="AJ456" s="471">
        <v>1.7844898979577545E-2</v>
      </c>
      <c r="AK456" s="218">
        <v>86.37020649378448</v>
      </c>
      <c r="AL456" s="470">
        <v>0.46936805699667694</v>
      </c>
      <c r="AM456" s="471">
        <v>1.7844898979577545E-2</v>
      </c>
      <c r="AN456" s="477">
        <v>0</v>
      </c>
      <c r="AO456" s="473">
        <v>0</v>
      </c>
      <c r="AP456" s="474">
        <v>0</v>
      </c>
      <c r="AQ456" s="352"/>
      <c r="AR456" s="352"/>
      <c r="AS456" s="352"/>
      <c r="AT456" s="352"/>
      <c r="AU456" s="352"/>
      <c r="AV456" s="352"/>
      <c r="AW456" s="352" t="s">
        <v>254</v>
      </c>
    </row>
    <row r="457" spans="2:49" x14ac:dyDescent="0.2">
      <c r="B457" s="460" t="s">
        <v>2495</v>
      </c>
      <c r="C457" s="460">
        <v>1232</v>
      </c>
      <c r="D457" s="460" t="s">
        <v>2355</v>
      </c>
      <c r="E457" s="460" t="s">
        <v>1138</v>
      </c>
      <c r="F457" s="460">
        <v>3</v>
      </c>
      <c r="G457" s="460">
        <v>4</v>
      </c>
      <c r="H457" s="461" t="s">
        <v>700</v>
      </c>
      <c r="I457" s="461" t="s">
        <v>872</v>
      </c>
      <c r="J457" s="461" t="s">
        <v>700</v>
      </c>
      <c r="K457" s="594"/>
      <c r="L457" s="594"/>
      <c r="M457" s="352">
        <v>1000</v>
      </c>
      <c r="N457" s="352" t="s">
        <v>698</v>
      </c>
      <c r="O457" s="460">
        <v>1232</v>
      </c>
      <c r="P457" s="460" t="s">
        <v>734</v>
      </c>
      <c r="Q457" s="460" t="s">
        <v>2266</v>
      </c>
      <c r="R457" s="460">
        <v>1232</v>
      </c>
      <c r="S457" s="460" t="s">
        <v>1138</v>
      </c>
      <c r="T457" s="462">
        <v>1</v>
      </c>
      <c r="U457" s="460" t="s">
        <v>1138</v>
      </c>
      <c r="V457" s="475">
        <v>0</v>
      </c>
      <c r="W457" s="463" t="s">
        <v>2267</v>
      </c>
      <c r="X457" s="463" t="s">
        <v>2267</v>
      </c>
      <c r="Y457" s="463" t="s">
        <v>2268</v>
      </c>
      <c r="Z457" s="463"/>
      <c r="AA457" s="463"/>
      <c r="AB457" s="464">
        <v>54.608005519663777</v>
      </c>
      <c r="AC457" s="465">
        <v>0.46902808825474279</v>
      </c>
      <c r="AD457" s="465">
        <v>2.2911780329927231E-2</v>
      </c>
      <c r="AE457" s="476">
        <v>54.608005519663777</v>
      </c>
      <c r="AF457" s="467">
        <v>0.46902808825474279</v>
      </c>
      <c r="AG457" s="468">
        <v>2.4718711324013737E-2</v>
      </c>
      <c r="AH457" s="218">
        <v>54.608005519663777</v>
      </c>
      <c r="AI457" s="470">
        <v>0.46902808825474279</v>
      </c>
      <c r="AJ457" s="471">
        <v>1.8818256469407449E-2</v>
      </c>
      <c r="AK457" s="218">
        <v>54.608005519663777</v>
      </c>
      <c r="AL457" s="470">
        <v>0.46902808825474279</v>
      </c>
      <c r="AM457" s="471">
        <v>1.8818256469407449E-2</v>
      </c>
      <c r="AN457" s="477">
        <v>0</v>
      </c>
      <c r="AO457" s="473">
        <v>0</v>
      </c>
      <c r="AP457" s="474">
        <v>0</v>
      </c>
      <c r="AQ457" s="352"/>
      <c r="AR457" s="352"/>
      <c r="AS457" s="352"/>
      <c r="AT457" s="352"/>
      <c r="AU457" s="352"/>
      <c r="AV457" s="352"/>
      <c r="AW457" s="352" t="s">
        <v>254</v>
      </c>
    </row>
    <row r="458" spans="2:49" x14ac:dyDescent="0.2">
      <c r="B458" s="460" t="s">
        <v>2496</v>
      </c>
      <c r="C458" s="460">
        <v>1232</v>
      </c>
      <c r="D458" s="460" t="s">
        <v>2357</v>
      </c>
      <c r="E458" s="460" t="s">
        <v>1139</v>
      </c>
      <c r="F458" s="460">
        <v>4</v>
      </c>
      <c r="G458" s="460">
        <v>4</v>
      </c>
      <c r="H458" s="461" t="s">
        <v>700</v>
      </c>
      <c r="I458" s="461" t="s">
        <v>872</v>
      </c>
      <c r="J458" s="461" t="s">
        <v>700</v>
      </c>
      <c r="K458" s="594"/>
      <c r="L458" s="594"/>
      <c r="M458" s="352">
        <v>1000</v>
      </c>
      <c r="N458" s="352" t="s">
        <v>698</v>
      </c>
      <c r="O458" s="460">
        <v>1232</v>
      </c>
      <c r="P458" s="460" t="s">
        <v>734</v>
      </c>
      <c r="Q458" s="460" t="s">
        <v>2266</v>
      </c>
      <c r="R458" s="460">
        <v>1232</v>
      </c>
      <c r="S458" s="460" t="s">
        <v>1139</v>
      </c>
      <c r="T458" s="462">
        <v>1</v>
      </c>
      <c r="U458" s="460" t="s">
        <v>1139</v>
      </c>
      <c r="V458" s="475">
        <v>0</v>
      </c>
      <c r="W458" s="463" t="s">
        <v>2267</v>
      </c>
      <c r="X458" s="463" t="s">
        <v>2267</v>
      </c>
      <c r="Y458" s="463" t="s">
        <v>2268</v>
      </c>
      <c r="Z458" s="463"/>
      <c r="AA458" s="463"/>
      <c r="AB458" s="464">
        <v>0</v>
      </c>
      <c r="AC458" s="465">
        <v>0</v>
      </c>
      <c r="AD458" s="465">
        <v>0</v>
      </c>
      <c r="AE458" s="476">
        <v>0</v>
      </c>
      <c r="AF458" s="467">
        <v>0</v>
      </c>
      <c r="AG458" s="468">
        <v>0</v>
      </c>
      <c r="AH458" s="218">
        <v>0</v>
      </c>
      <c r="AI458" s="470">
        <v>0</v>
      </c>
      <c r="AJ458" s="471">
        <v>0</v>
      </c>
      <c r="AK458" s="218">
        <v>0</v>
      </c>
      <c r="AL458" s="470">
        <v>0</v>
      </c>
      <c r="AM458" s="471">
        <v>0</v>
      </c>
      <c r="AN458" s="477">
        <v>0</v>
      </c>
      <c r="AO458" s="473">
        <v>0</v>
      </c>
      <c r="AP458" s="474">
        <v>0</v>
      </c>
      <c r="AQ458" s="352"/>
      <c r="AR458" s="352"/>
      <c r="AS458" s="352"/>
      <c r="AT458" s="352"/>
      <c r="AU458" s="352"/>
      <c r="AV458" s="352"/>
      <c r="AW458" s="352" t="s">
        <v>254</v>
      </c>
    </row>
    <row r="459" spans="2:49" x14ac:dyDescent="0.2">
      <c r="B459" s="460" t="s">
        <v>2493</v>
      </c>
      <c r="C459" s="460">
        <v>1232</v>
      </c>
      <c r="D459" s="460" t="s">
        <v>2358</v>
      </c>
      <c r="E459" s="460" t="s">
        <v>1136</v>
      </c>
      <c r="F459" s="460">
        <v>1</v>
      </c>
      <c r="G459" s="460">
        <v>4</v>
      </c>
      <c r="H459" s="461" t="s">
        <v>712</v>
      </c>
      <c r="I459" s="461" t="s">
        <v>713</v>
      </c>
      <c r="J459" s="461" t="s">
        <v>712</v>
      </c>
      <c r="K459" s="594"/>
      <c r="L459" s="594"/>
      <c r="M459" s="352">
        <v>1000</v>
      </c>
      <c r="N459" s="352" t="s">
        <v>698</v>
      </c>
      <c r="O459" s="460">
        <v>1232</v>
      </c>
      <c r="P459" s="460" t="s">
        <v>734</v>
      </c>
      <c r="Q459" s="460" t="s">
        <v>2280</v>
      </c>
      <c r="R459" s="460">
        <v>1232</v>
      </c>
      <c r="S459" s="460" t="s">
        <v>1136</v>
      </c>
      <c r="T459" s="462">
        <v>1</v>
      </c>
      <c r="U459" s="460" t="s">
        <v>1136</v>
      </c>
      <c r="V459" s="475">
        <v>0</v>
      </c>
      <c r="W459" s="463" t="s">
        <v>713</v>
      </c>
      <c r="X459" s="463" t="s">
        <v>713</v>
      </c>
      <c r="Y459" s="463" t="s">
        <v>713</v>
      </c>
      <c r="Z459" s="463"/>
      <c r="AA459" s="463"/>
      <c r="AB459" s="464">
        <v>67.735394644380619</v>
      </c>
      <c r="AC459" s="465">
        <v>0.69794964020305816</v>
      </c>
      <c r="AD459" s="465">
        <v>4.4640134042281968E-4</v>
      </c>
      <c r="AE459" s="476">
        <v>67.735394644380619</v>
      </c>
      <c r="AF459" s="467">
        <v>0.69794964020305827</v>
      </c>
      <c r="AG459" s="468">
        <v>4.4631854375101483E-4</v>
      </c>
      <c r="AH459" s="218">
        <v>67.735394644380619</v>
      </c>
      <c r="AI459" s="470">
        <v>0.69794964020305827</v>
      </c>
      <c r="AJ459" s="471">
        <v>4.5085457817373826E-4</v>
      </c>
      <c r="AK459" s="218">
        <v>67.735394644380619</v>
      </c>
      <c r="AL459" s="470">
        <v>0.69794964020305827</v>
      </c>
      <c r="AM459" s="471">
        <v>4.5085457817373826E-4</v>
      </c>
      <c r="AN459" s="477">
        <v>67.735394644380619</v>
      </c>
      <c r="AO459" s="473">
        <v>0.69794964020305827</v>
      </c>
      <c r="AP459" s="474">
        <v>4.5012097481623374E-4</v>
      </c>
      <c r="AQ459" s="352"/>
      <c r="AR459" s="352"/>
      <c r="AS459" s="352"/>
      <c r="AT459" s="352"/>
      <c r="AU459" s="352"/>
      <c r="AV459" s="352"/>
      <c r="AW459" s="352" t="s">
        <v>254</v>
      </c>
    </row>
    <row r="460" spans="2:49" x14ac:dyDescent="0.2">
      <c r="B460" s="460" t="s">
        <v>2494</v>
      </c>
      <c r="C460" s="460">
        <v>1232</v>
      </c>
      <c r="D460" s="460" t="s">
        <v>2359</v>
      </c>
      <c r="E460" s="460" t="s">
        <v>1137</v>
      </c>
      <c r="F460" s="460">
        <v>2</v>
      </c>
      <c r="G460" s="460">
        <v>4</v>
      </c>
      <c r="H460" s="461" t="s">
        <v>712</v>
      </c>
      <c r="I460" s="461" t="s">
        <v>713</v>
      </c>
      <c r="J460" s="461" t="s">
        <v>712</v>
      </c>
      <c r="K460" s="594"/>
      <c r="L460" s="594"/>
      <c r="M460" s="352">
        <v>1000</v>
      </c>
      <c r="N460" s="352" t="s">
        <v>698</v>
      </c>
      <c r="O460" s="460">
        <v>1232</v>
      </c>
      <c r="P460" s="460" t="s">
        <v>734</v>
      </c>
      <c r="Q460" s="460" t="s">
        <v>2280</v>
      </c>
      <c r="R460" s="460">
        <v>1232</v>
      </c>
      <c r="S460" s="460" t="s">
        <v>1137</v>
      </c>
      <c r="T460" s="462">
        <v>1</v>
      </c>
      <c r="U460" s="460" t="s">
        <v>1137</v>
      </c>
      <c r="V460" s="475">
        <v>0</v>
      </c>
      <c r="W460" s="463" t="s">
        <v>713</v>
      </c>
      <c r="X460" s="463" t="s">
        <v>713</v>
      </c>
      <c r="Y460" s="463" t="s">
        <v>713</v>
      </c>
      <c r="Z460" s="463"/>
      <c r="AA460" s="463"/>
      <c r="AB460" s="464">
        <v>64.578902928540003</v>
      </c>
      <c r="AC460" s="465">
        <v>0.3509459502418481</v>
      </c>
      <c r="AD460" s="465">
        <v>3.7346870400396895E-4</v>
      </c>
      <c r="AE460" s="476">
        <v>64.578902928540018</v>
      </c>
      <c r="AF460" s="467">
        <v>0.35094595024184816</v>
      </c>
      <c r="AG460" s="468">
        <v>3.7278342059362803E-4</v>
      </c>
      <c r="AH460" s="218">
        <v>64.578902928540018</v>
      </c>
      <c r="AI460" s="470">
        <v>0.35094595024184816</v>
      </c>
      <c r="AJ460" s="471">
        <v>3.7455235974887018E-4</v>
      </c>
      <c r="AK460" s="218">
        <v>64.578902928540018</v>
      </c>
      <c r="AL460" s="470">
        <v>0.35094595024184816</v>
      </c>
      <c r="AM460" s="471">
        <v>3.7455235974887018E-4</v>
      </c>
      <c r="AN460" s="477">
        <v>64.578902928540018</v>
      </c>
      <c r="AO460" s="473">
        <v>0.35094595024184816</v>
      </c>
      <c r="AP460" s="474">
        <v>3.7424330032141532E-4</v>
      </c>
      <c r="AQ460" s="352"/>
      <c r="AR460" s="352"/>
      <c r="AS460" s="352"/>
      <c r="AT460" s="352"/>
      <c r="AU460" s="352"/>
      <c r="AV460" s="352"/>
      <c r="AW460" s="352" t="s">
        <v>254</v>
      </c>
    </row>
    <row r="461" spans="2:49" x14ac:dyDescent="0.2">
      <c r="B461" s="460" t="s">
        <v>2495</v>
      </c>
      <c r="C461" s="460">
        <v>1232</v>
      </c>
      <c r="D461" s="460" t="s">
        <v>2360</v>
      </c>
      <c r="E461" s="460" t="s">
        <v>1138</v>
      </c>
      <c r="F461" s="460">
        <v>3</v>
      </c>
      <c r="G461" s="460">
        <v>4</v>
      </c>
      <c r="H461" s="461" t="s">
        <v>712</v>
      </c>
      <c r="I461" s="461" t="s">
        <v>713</v>
      </c>
      <c r="J461" s="461" t="s">
        <v>712</v>
      </c>
      <c r="K461" s="594"/>
      <c r="L461" s="594"/>
      <c r="M461" s="352">
        <v>1000</v>
      </c>
      <c r="N461" s="352" t="s">
        <v>698</v>
      </c>
      <c r="O461" s="460">
        <v>1232</v>
      </c>
      <c r="P461" s="460" t="s">
        <v>734</v>
      </c>
      <c r="Q461" s="460" t="s">
        <v>2280</v>
      </c>
      <c r="R461" s="460">
        <v>1232</v>
      </c>
      <c r="S461" s="460" t="s">
        <v>1138</v>
      </c>
      <c r="T461" s="462">
        <v>1</v>
      </c>
      <c r="U461" s="460" t="s">
        <v>1138</v>
      </c>
      <c r="V461" s="475">
        <v>0</v>
      </c>
      <c r="W461" s="463" t="s">
        <v>713</v>
      </c>
      <c r="X461" s="463" t="s">
        <v>713</v>
      </c>
      <c r="Y461" s="463" t="s">
        <v>713</v>
      </c>
      <c r="Z461" s="463"/>
      <c r="AA461" s="463"/>
      <c r="AB461" s="464">
        <v>25.904645961341153</v>
      </c>
      <c r="AC461" s="465">
        <v>0.22249497040848146</v>
      </c>
      <c r="AD461" s="465">
        <v>3.2327823869832535E-4</v>
      </c>
      <c r="AE461" s="476">
        <v>25.904645961341149</v>
      </c>
      <c r="AF461" s="467">
        <v>0.22249497040848143</v>
      </c>
      <c r="AG461" s="468">
        <v>3.2257687181483108E-4</v>
      </c>
      <c r="AH461" s="218">
        <v>25.904645961341149</v>
      </c>
      <c r="AI461" s="470">
        <v>0.22249497040848143</v>
      </c>
      <c r="AJ461" s="471">
        <v>3.2635920587782095E-4</v>
      </c>
      <c r="AK461" s="218">
        <v>25.904645961341149</v>
      </c>
      <c r="AL461" s="470">
        <v>0.22249497040848143</v>
      </c>
      <c r="AM461" s="471">
        <v>3.2635920587782095E-4</v>
      </c>
      <c r="AN461" s="477">
        <v>25.904645961341149</v>
      </c>
      <c r="AO461" s="473">
        <v>0.22249497040848143</v>
      </c>
      <c r="AP461" s="474">
        <v>3.2633461011448021E-4</v>
      </c>
      <c r="AQ461" s="352"/>
      <c r="AR461" s="352"/>
      <c r="AS461" s="352"/>
      <c r="AT461" s="352"/>
      <c r="AU461" s="352"/>
      <c r="AV461" s="352"/>
      <c r="AW461" s="352" t="s">
        <v>254</v>
      </c>
    </row>
    <row r="462" spans="2:49" x14ac:dyDescent="0.2">
      <c r="B462" s="460" t="s">
        <v>2496</v>
      </c>
      <c r="C462" s="460">
        <v>1232</v>
      </c>
      <c r="D462" s="460" t="s">
        <v>2361</v>
      </c>
      <c r="E462" s="460" t="s">
        <v>1139</v>
      </c>
      <c r="F462" s="460">
        <v>4</v>
      </c>
      <c r="G462" s="460">
        <v>4</v>
      </c>
      <c r="H462" s="461" t="s">
        <v>712</v>
      </c>
      <c r="I462" s="461" t="s">
        <v>713</v>
      </c>
      <c r="J462" s="461" t="s">
        <v>712</v>
      </c>
      <c r="K462" s="594"/>
      <c r="L462" s="594"/>
      <c r="M462" s="352">
        <v>1000</v>
      </c>
      <c r="N462" s="352" t="s">
        <v>698</v>
      </c>
      <c r="O462" s="460">
        <v>1232</v>
      </c>
      <c r="P462" s="460" t="s">
        <v>734</v>
      </c>
      <c r="Q462" s="460" t="s">
        <v>2280</v>
      </c>
      <c r="R462" s="460">
        <v>1232</v>
      </c>
      <c r="S462" s="460" t="s">
        <v>1139</v>
      </c>
      <c r="T462" s="462">
        <v>1</v>
      </c>
      <c r="U462" s="460" t="s">
        <v>1139</v>
      </c>
      <c r="V462" s="475">
        <v>0</v>
      </c>
      <c r="W462" s="463" t="s">
        <v>713</v>
      </c>
      <c r="X462" s="463" t="s">
        <v>713</v>
      </c>
      <c r="Y462" s="463" t="s">
        <v>713</v>
      </c>
      <c r="Z462" s="463"/>
      <c r="AA462" s="463"/>
      <c r="AB462" s="464">
        <v>29.058892514609543</v>
      </c>
      <c r="AC462" s="465">
        <v>0.34370916620150732</v>
      </c>
      <c r="AD462" s="465">
        <v>3.2174689642089154E-4</v>
      </c>
      <c r="AE462" s="476">
        <v>29.058892514609546</v>
      </c>
      <c r="AF462" s="467">
        <v>0.34370916620150738</v>
      </c>
      <c r="AG462" s="468">
        <v>3.217468964208916E-4</v>
      </c>
      <c r="AH462" s="218">
        <v>29.058892514609546</v>
      </c>
      <c r="AI462" s="470">
        <v>0.34370916620150738</v>
      </c>
      <c r="AJ462" s="471">
        <v>3.286669827366403E-4</v>
      </c>
      <c r="AK462" s="218">
        <v>29.058892514609546</v>
      </c>
      <c r="AL462" s="470">
        <v>0.34370916620150738</v>
      </c>
      <c r="AM462" s="471">
        <v>3.286669827366403E-4</v>
      </c>
      <c r="AN462" s="477">
        <v>29.058892514609546</v>
      </c>
      <c r="AO462" s="473">
        <v>0.34370916620150738</v>
      </c>
      <c r="AP462" s="474">
        <v>3.286669827366403E-4</v>
      </c>
      <c r="AQ462" s="352"/>
      <c r="AR462" s="352"/>
      <c r="AS462" s="352"/>
      <c r="AT462" s="352"/>
      <c r="AU462" s="352"/>
      <c r="AV462" s="352"/>
      <c r="AW462" s="352" t="s">
        <v>254</v>
      </c>
    </row>
    <row r="463" spans="2:49" x14ac:dyDescent="0.2">
      <c r="B463" s="460" t="s">
        <v>2493</v>
      </c>
      <c r="C463" s="460">
        <v>1232</v>
      </c>
      <c r="D463" s="460" t="s">
        <v>2362</v>
      </c>
      <c r="E463" s="460" t="s">
        <v>1136</v>
      </c>
      <c r="F463" s="460">
        <v>1</v>
      </c>
      <c r="G463" s="460">
        <v>4</v>
      </c>
      <c r="H463" s="461" t="s">
        <v>746</v>
      </c>
      <c r="I463" s="461" t="s">
        <v>762</v>
      </c>
      <c r="J463" s="461" t="s">
        <v>700</v>
      </c>
      <c r="K463" s="594"/>
      <c r="L463" s="594"/>
      <c r="M463" s="352">
        <v>1000</v>
      </c>
      <c r="N463" s="352" t="s">
        <v>698</v>
      </c>
      <c r="O463" s="460">
        <v>1232</v>
      </c>
      <c r="P463" s="460" t="s">
        <v>734</v>
      </c>
      <c r="Q463" s="460" t="s">
        <v>2266</v>
      </c>
      <c r="R463" s="460">
        <v>1232</v>
      </c>
      <c r="S463" s="460" t="s">
        <v>1136</v>
      </c>
      <c r="T463" s="462">
        <v>1</v>
      </c>
      <c r="U463" s="460" t="s">
        <v>1136</v>
      </c>
      <c r="V463" s="475">
        <v>0</v>
      </c>
      <c r="W463" s="463" t="s">
        <v>2268</v>
      </c>
      <c r="X463" s="463" t="s">
        <v>2268</v>
      </c>
      <c r="Y463" s="463" t="s">
        <v>2267</v>
      </c>
      <c r="Z463" s="463"/>
      <c r="AA463" s="463"/>
      <c r="AB463" s="464">
        <v>0</v>
      </c>
      <c r="AC463" s="465">
        <v>0</v>
      </c>
      <c r="AD463" s="465">
        <v>0</v>
      </c>
      <c r="AE463" s="476">
        <v>0</v>
      </c>
      <c r="AF463" s="467">
        <v>0</v>
      </c>
      <c r="AG463" s="468">
        <v>0</v>
      </c>
      <c r="AH463" s="218">
        <v>0</v>
      </c>
      <c r="AI463" s="470">
        <v>0</v>
      </c>
      <c r="AJ463" s="471">
        <v>0</v>
      </c>
      <c r="AK463" s="218">
        <v>0</v>
      </c>
      <c r="AL463" s="470">
        <v>0</v>
      </c>
      <c r="AM463" s="471">
        <v>0</v>
      </c>
      <c r="AN463" s="477">
        <v>4.9508718688156579</v>
      </c>
      <c r="AO463" s="473">
        <v>5.1014085880401648E-2</v>
      </c>
      <c r="AP463" s="474">
        <v>2.2330863637015922E-2</v>
      </c>
      <c r="AQ463" s="352"/>
      <c r="AR463" s="352"/>
      <c r="AS463" s="352"/>
      <c r="AT463" s="352"/>
      <c r="AU463" s="352"/>
      <c r="AV463" s="352"/>
      <c r="AW463" s="352" t="s">
        <v>254</v>
      </c>
    </row>
    <row r="464" spans="2:49" x14ac:dyDescent="0.2">
      <c r="B464" s="460" t="s">
        <v>2494</v>
      </c>
      <c r="C464" s="460">
        <v>1232</v>
      </c>
      <c r="D464" s="460" t="s">
        <v>2363</v>
      </c>
      <c r="E464" s="460" t="s">
        <v>1137</v>
      </c>
      <c r="F464" s="460">
        <v>2</v>
      </c>
      <c r="G464" s="460">
        <v>4</v>
      </c>
      <c r="H464" s="461" t="s">
        <v>746</v>
      </c>
      <c r="I464" s="461" t="s">
        <v>762</v>
      </c>
      <c r="J464" s="461" t="s">
        <v>700</v>
      </c>
      <c r="K464" s="594"/>
      <c r="L464" s="594"/>
      <c r="M464" s="352">
        <v>1000</v>
      </c>
      <c r="N464" s="352" t="s">
        <v>698</v>
      </c>
      <c r="O464" s="460">
        <v>1232</v>
      </c>
      <c r="P464" s="460" t="s">
        <v>734</v>
      </c>
      <c r="Q464" s="460" t="s">
        <v>2266</v>
      </c>
      <c r="R464" s="460">
        <v>1232</v>
      </c>
      <c r="S464" s="460" t="s">
        <v>1137</v>
      </c>
      <c r="T464" s="462">
        <v>1</v>
      </c>
      <c r="U464" s="460" t="s">
        <v>1137</v>
      </c>
      <c r="V464" s="475">
        <v>0</v>
      </c>
      <c r="W464" s="463" t="s">
        <v>2268</v>
      </c>
      <c r="X464" s="463" t="s">
        <v>2268</v>
      </c>
      <c r="Y464" s="463" t="s">
        <v>2267</v>
      </c>
      <c r="Z464" s="463"/>
      <c r="AA464" s="463"/>
      <c r="AB464" s="464">
        <v>0</v>
      </c>
      <c r="AC464" s="465">
        <v>0</v>
      </c>
      <c r="AD464" s="465">
        <v>0</v>
      </c>
      <c r="AE464" s="476">
        <v>0</v>
      </c>
      <c r="AF464" s="467">
        <v>0</v>
      </c>
      <c r="AG464" s="468">
        <v>0</v>
      </c>
      <c r="AH464" s="218">
        <v>0</v>
      </c>
      <c r="AI464" s="470">
        <v>0</v>
      </c>
      <c r="AJ464" s="471">
        <v>0</v>
      </c>
      <c r="AK464" s="218">
        <v>0</v>
      </c>
      <c r="AL464" s="470">
        <v>0</v>
      </c>
      <c r="AM464" s="471">
        <v>0</v>
      </c>
      <c r="AN464" s="477">
        <v>86.37020649378448</v>
      </c>
      <c r="AO464" s="473">
        <v>0.46936805699667694</v>
      </c>
      <c r="AP464" s="474">
        <v>2.36018313303154E-2</v>
      </c>
      <c r="AQ464" s="352"/>
      <c r="AR464" s="352"/>
      <c r="AS464" s="352"/>
      <c r="AT464" s="352"/>
      <c r="AU464" s="352"/>
      <c r="AV464" s="352"/>
      <c r="AW464" s="352" t="s">
        <v>254</v>
      </c>
    </row>
    <row r="465" spans="2:49" x14ac:dyDescent="0.2">
      <c r="B465" s="460" t="s">
        <v>2495</v>
      </c>
      <c r="C465" s="460">
        <v>1232</v>
      </c>
      <c r="D465" s="460" t="s">
        <v>2364</v>
      </c>
      <c r="E465" s="460" t="s">
        <v>1138</v>
      </c>
      <c r="F465" s="460">
        <v>3</v>
      </c>
      <c r="G465" s="460">
        <v>4</v>
      </c>
      <c r="H465" s="461" t="s">
        <v>746</v>
      </c>
      <c r="I465" s="461" t="s">
        <v>762</v>
      </c>
      <c r="J465" s="461" t="s">
        <v>700</v>
      </c>
      <c r="K465" s="594"/>
      <c r="L465" s="594"/>
      <c r="M465" s="352">
        <v>1000</v>
      </c>
      <c r="N465" s="352" t="s">
        <v>698</v>
      </c>
      <c r="O465" s="460">
        <v>1232</v>
      </c>
      <c r="P465" s="460" t="s">
        <v>734</v>
      </c>
      <c r="Q465" s="460" t="s">
        <v>2266</v>
      </c>
      <c r="R465" s="460">
        <v>1232</v>
      </c>
      <c r="S465" s="460" t="s">
        <v>1138</v>
      </c>
      <c r="T465" s="462">
        <v>1</v>
      </c>
      <c r="U465" s="460" t="s">
        <v>1138</v>
      </c>
      <c r="V465" s="475">
        <v>0</v>
      </c>
      <c r="W465" s="463" t="s">
        <v>2268</v>
      </c>
      <c r="X465" s="463" t="s">
        <v>2268</v>
      </c>
      <c r="Y465" s="463" t="s">
        <v>2267</v>
      </c>
      <c r="Z465" s="463"/>
      <c r="AA465" s="463"/>
      <c r="AB465" s="464">
        <v>0</v>
      </c>
      <c r="AC465" s="465">
        <v>0</v>
      </c>
      <c r="AD465" s="465">
        <v>0</v>
      </c>
      <c r="AE465" s="476">
        <v>0</v>
      </c>
      <c r="AF465" s="467">
        <v>0</v>
      </c>
      <c r="AG465" s="468">
        <v>0</v>
      </c>
      <c r="AH465" s="218">
        <v>0</v>
      </c>
      <c r="AI465" s="470">
        <v>0</v>
      </c>
      <c r="AJ465" s="471">
        <v>0</v>
      </c>
      <c r="AK465" s="218">
        <v>0</v>
      </c>
      <c r="AL465" s="470">
        <v>0</v>
      </c>
      <c r="AM465" s="471">
        <v>0</v>
      </c>
      <c r="AN465" s="477">
        <v>54.608005519663777</v>
      </c>
      <c r="AO465" s="473">
        <v>0.46902808825474279</v>
      </c>
      <c r="AP465" s="474">
        <v>2.8263956722394082E-2</v>
      </c>
      <c r="AQ465" s="352"/>
      <c r="AR465" s="352"/>
      <c r="AS465" s="352"/>
      <c r="AT465" s="352"/>
      <c r="AU465" s="352"/>
      <c r="AV465" s="352"/>
      <c r="AW465" s="352" t="s">
        <v>254</v>
      </c>
    </row>
    <row r="466" spans="2:49" x14ac:dyDescent="0.2">
      <c r="B466" s="460" t="s">
        <v>2496</v>
      </c>
      <c r="C466" s="460">
        <v>1232</v>
      </c>
      <c r="D466" s="460" t="s">
        <v>2365</v>
      </c>
      <c r="E466" s="460" t="s">
        <v>1139</v>
      </c>
      <c r="F466" s="460">
        <v>4</v>
      </c>
      <c r="G466" s="460">
        <v>4</v>
      </c>
      <c r="H466" s="461" t="s">
        <v>746</v>
      </c>
      <c r="I466" s="461" t="s">
        <v>762</v>
      </c>
      <c r="J466" s="461" t="s">
        <v>700</v>
      </c>
      <c r="K466" s="594"/>
      <c r="L466" s="594"/>
      <c r="M466" s="352">
        <v>1000</v>
      </c>
      <c r="N466" s="352" t="s">
        <v>698</v>
      </c>
      <c r="O466" s="460">
        <v>1232</v>
      </c>
      <c r="P466" s="460" t="s">
        <v>734</v>
      </c>
      <c r="Q466" s="460" t="s">
        <v>2266</v>
      </c>
      <c r="R466" s="460">
        <v>1232</v>
      </c>
      <c r="S466" s="460" t="s">
        <v>1139</v>
      </c>
      <c r="T466" s="462">
        <v>1</v>
      </c>
      <c r="U466" s="460" t="s">
        <v>1139</v>
      </c>
      <c r="V466" s="475">
        <v>0</v>
      </c>
      <c r="W466" s="463" t="s">
        <v>2268</v>
      </c>
      <c r="X466" s="463" t="s">
        <v>2268</v>
      </c>
      <c r="Y466" s="463" t="s">
        <v>2267</v>
      </c>
      <c r="Z466" s="463"/>
      <c r="AA466" s="463"/>
      <c r="AB466" s="464">
        <v>0</v>
      </c>
      <c r="AC466" s="465">
        <v>0</v>
      </c>
      <c r="AD466" s="465">
        <v>0</v>
      </c>
      <c r="AE466" s="476">
        <v>0</v>
      </c>
      <c r="AF466" s="467">
        <v>0</v>
      </c>
      <c r="AG466" s="468">
        <v>0</v>
      </c>
      <c r="AH466" s="218">
        <v>0</v>
      </c>
      <c r="AI466" s="470">
        <v>0</v>
      </c>
      <c r="AJ466" s="471">
        <v>0</v>
      </c>
      <c r="AK466" s="218">
        <v>0</v>
      </c>
      <c r="AL466" s="470">
        <v>0</v>
      </c>
      <c r="AM466" s="471">
        <v>0</v>
      </c>
      <c r="AN466" s="477">
        <v>0</v>
      </c>
      <c r="AO466" s="473">
        <v>0</v>
      </c>
      <c r="AP466" s="474">
        <v>0</v>
      </c>
      <c r="AQ466" s="352"/>
      <c r="AR466" s="352"/>
      <c r="AS466" s="352"/>
      <c r="AT466" s="352"/>
      <c r="AU466" s="352"/>
      <c r="AV466" s="352"/>
      <c r="AW466" s="352" t="s">
        <v>254</v>
      </c>
    </row>
    <row r="467" spans="2:49" x14ac:dyDescent="0.2">
      <c r="B467" s="460" t="s">
        <v>2493</v>
      </c>
      <c r="C467" s="460">
        <v>1232</v>
      </c>
      <c r="D467" s="460" t="s">
        <v>2366</v>
      </c>
      <c r="E467" s="460" t="s">
        <v>1136</v>
      </c>
      <c r="F467" s="460">
        <v>1</v>
      </c>
      <c r="G467" s="460">
        <v>4</v>
      </c>
      <c r="H467" s="461" t="s">
        <v>748</v>
      </c>
      <c r="I467" s="461" t="s">
        <v>765</v>
      </c>
      <c r="J467" s="461" t="s">
        <v>700</v>
      </c>
      <c r="K467" s="594"/>
      <c r="L467" s="594"/>
      <c r="M467" s="352">
        <v>1000</v>
      </c>
      <c r="N467" s="352" t="s">
        <v>698</v>
      </c>
      <c r="O467" s="460">
        <v>1232</v>
      </c>
      <c r="P467" s="460" t="s">
        <v>734</v>
      </c>
      <c r="Q467" s="460" t="s">
        <v>2289</v>
      </c>
      <c r="R467" s="460">
        <v>1232</v>
      </c>
      <c r="S467" s="460" t="s">
        <v>1136</v>
      </c>
      <c r="T467" s="462">
        <v>1</v>
      </c>
      <c r="U467" s="460" t="s">
        <v>1136</v>
      </c>
      <c r="V467" s="475">
        <v>0</v>
      </c>
      <c r="W467" s="463" t="s">
        <v>2268</v>
      </c>
      <c r="X467" s="463" t="s">
        <v>2268</v>
      </c>
      <c r="Y467" s="463" t="s">
        <v>2290</v>
      </c>
      <c r="Z467" s="463"/>
      <c r="AA467" s="463"/>
      <c r="AB467" s="464">
        <v>0</v>
      </c>
      <c r="AC467" s="465">
        <v>0</v>
      </c>
      <c r="AD467" s="465">
        <v>0</v>
      </c>
      <c r="AE467" s="476">
        <v>0</v>
      </c>
      <c r="AF467" s="467">
        <v>0</v>
      </c>
      <c r="AG467" s="468">
        <v>0</v>
      </c>
      <c r="AH467" s="218">
        <v>0</v>
      </c>
      <c r="AI467" s="470">
        <v>0</v>
      </c>
      <c r="AJ467" s="471">
        <v>0</v>
      </c>
      <c r="AK467" s="218">
        <v>0</v>
      </c>
      <c r="AL467" s="470">
        <v>0</v>
      </c>
      <c r="AM467" s="471">
        <v>0</v>
      </c>
      <c r="AN467" s="477">
        <v>0</v>
      </c>
      <c r="AO467" s="473">
        <v>0</v>
      </c>
      <c r="AP467" s="474">
        <v>0</v>
      </c>
      <c r="AQ467" s="352"/>
      <c r="AR467" s="352"/>
      <c r="AS467" s="352"/>
      <c r="AT467" s="352"/>
      <c r="AU467" s="352"/>
      <c r="AV467" s="352"/>
      <c r="AW467" s="352" t="s">
        <v>254</v>
      </c>
    </row>
    <row r="468" spans="2:49" x14ac:dyDescent="0.2">
      <c r="B468" s="460" t="s">
        <v>2494</v>
      </c>
      <c r="C468" s="460">
        <v>1232</v>
      </c>
      <c r="D468" s="460" t="s">
        <v>2367</v>
      </c>
      <c r="E468" s="460" t="s">
        <v>1137</v>
      </c>
      <c r="F468" s="460">
        <v>2</v>
      </c>
      <c r="G468" s="460">
        <v>4</v>
      </c>
      <c r="H468" s="461" t="s">
        <v>748</v>
      </c>
      <c r="I468" s="461" t="s">
        <v>765</v>
      </c>
      <c r="J468" s="461" t="s">
        <v>700</v>
      </c>
      <c r="K468" s="594"/>
      <c r="L468" s="594"/>
      <c r="M468" s="352">
        <v>1000</v>
      </c>
      <c r="N468" s="352" t="s">
        <v>698</v>
      </c>
      <c r="O468" s="460">
        <v>1232</v>
      </c>
      <c r="P468" s="460" t="s">
        <v>734</v>
      </c>
      <c r="Q468" s="460" t="s">
        <v>2289</v>
      </c>
      <c r="R468" s="460">
        <v>1232</v>
      </c>
      <c r="S468" s="460" t="s">
        <v>1137</v>
      </c>
      <c r="T468" s="462">
        <v>1</v>
      </c>
      <c r="U468" s="460" t="s">
        <v>1137</v>
      </c>
      <c r="V468" s="475">
        <v>0</v>
      </c>
      <c r="W468" s="463" t="s">
        <v>2268</v>
      </c>
      <c r="X468" s="463" t="s">
        <v>2268</v>
      </c>
      <c r="Y468" s="463" t="s">
        <v>2290</v>
      </c>
      <c r="Z468" s="463"/>
      <c r="AA468" s="463"/>
      <c r="AB468" s="464">
        <v>0</v>
      </c>
      <c r="AC468" s="465">
        <v>0</v>
      </c>
      <c r="AD468" s="465">
        <v>0</v>
      </c>
      <c r="AE468" s="476">
        <v>0</v>
      </c>
      <c r="AF468" s="467">
        <v>0</v>
      </c>
      <c r="AG468" s="468">
        <v>0</v>
      </c>
      <c r="AH468" s="218">
        <v>0</v>
      </c>
      <c r="AI468" s="470">
        <v>0</v>
      </c>
      <c r="AJ468" s="471">
        <v>0</v>
      </c>
      <c r="AK468" s="218">
        <v>0</v>
      </c>
      <c r="AL468" s="470">
        <v>0</v>
      </c>
      <c r="AM468" s="471">
        <v>0</v>
      </c>
      <c r="AN468" s="477">
        <v>0</v>
      </c>
      <c r="AO468" s="473">
        <v>0</v>
      </c>
      <c r="AP468" s="474">
        <v>0</v>
      </c>
      <c r="AQ468" s="352"/>
      <c r="AR468" s="352"/>
      <c r="AS468" s="352"/>
      <c r="AT468" s="352"/>
      <c r="AU468" s="352"/>
      <c r="AV468" s="352"/>
      <c r="AW468" s="352" t="s">
        <v>254</v>
      </c>
    </row>
    <row r="469" spans="2:49" x14ac:dyDescent="0.2">
      <c r="B469" s="460" t="s">
        <v>2495</v>
      </c>
      <c r="C469" s="460">
        <v>1232</v>
      </c>
      <c r="D469" s="460" t="s">
        <v>2368</v>
      </c>
      <c r="E469" s="460" t="s">
        <v>1138</v>
      </c>
      <c r="F469" s="460">
        <v>3</v>
      </c>
      <c r="G469" s="460">
        <v>4</v>
      </c>
      <c r="H469" s="461" t="s">
        <v>748</v>
      </c>
      <c r="I469" s="461" t="s">
        <v>765</v>
      </c>
      <c r="J469" s="461" t="s">
        <v>700</v>
      </c>
      <c r="K469" s="594"/>
      <c r="L469" s="594"/>
      <c r="M469" s="352">
        <v>1000</v>
      </c>
      <c r="N469" s="352" t="s">
        <v>698</v>
      </c>
      <c r="O469" s="460">
        <v>1232</v>
      </c>
      <c r="P469" s="460" t="s">
        <v>734</v>
      </c>
      <c r="Q469" s="460" t="s">
        <v>2289</v>
      </c>
      <c r="R469" s="460">
        <v>1232</v>
      </c>
      <c r="S469" s="460" t="s">
        <v>1138</v>
      </c>
      <c r="T469" s="462">
        <v>1</v>
      </c>
      <c r="U469" s="460" t="s">
        <v>1138</v>
      </c>
      <c r="V469" s="475">
        <v>0</v>
      </c>
      <c r="W469" s="463" t="s">
        <v>2268</v>
      </c>
      <c r="X469" s="463" t="s">
        <v>2268</v>
      </c>
      <c r="Y469" s="463" t="s">
        <v>2290</v>
      </c>
      <c r="Z469" s="463"/>
      <c r="AA469" s="463"/>
      <c r="AB469" s="464">
        <v>0</v>
      </c>
      <c r="AC469" s="465">
        <v>0</v>
      </c>
      <c r="AD469" s="465">
        <v>0</v>
      </c>
      <c r="AE469" s="476">
        <v>0</v>
      </c>
      <c r="AF469" s="467">
        <v>0</v>
      </c>
      <c r="AG469" s="468">
        <v>0</v>
      </c>
      <c r="AH469" s="218">
        <v>0</v>
      </c>
      <c r="AI469" s="470">
        <v>0</v>
      </c>
      <c r="AJ469" s="471">
        <v>0</v>
      </c>
      <c r="AK469" s="218">
        <v>0</v>
      </c>
      <c r="AL469" s="470">
        <v>0</v>
      </c>
      <c r="AM469" s="471">
        <v>0</v>
      </c>
      <c r="AN469" s="477">
        <v>0</v>
      </c>
      <c r="AO469" s="473">
        <v>0</v>
      </c>
      <c r="AP469" s="474">
        <v>0</v>
      </c>
      <c r="AQ469" s="352"/>
      <c r="AR469" s="352"/>
      <c r="AS469" s="352"/>
      <c r="AT469" s="352"/>
      <c r="AU469" s="352"/>
      <c r="AV469" s="352"/>
      <c r="AW469" s="352" t="s">
        <v>254</v>
      </c>
    </row>
    <row r="470" spans="2:49" x14ac:dyDescent="0.2">
      <c r="B470" s="460" t="s">
        <v>2496</v>
      </c>
      <c r="C470" s="460">
        <v>1232</v>
      </c>
      <c r="D470" s="460" t="s">
        <v>2369</v>
      </c>
      <c r="E470" s="460" t="s">
        <v>1139</v>
      </c>
      <c r="F470" s="460">
        <v>4</v>
      </c>
      <c r="G470" s="460">
        <v>4</v>
      </c>
      <c r="H470" s="461" t="s">
        <v>748</v>
      </c>
      <c r="I470" s="461" t="s">
        <v>765</v>
      </c>
      <c r="J470" s="461" t="s">
        <v>700</v>
      </c>
      <c r="K470" s="594"/>
      <c r="L470" s="594"/>
      <c r="M470" s="352">
        <v>1000</v>
      </c>
      <c r="N470" s="352" t="s">
        <v>698</v>
      </c>
      <c r="O470" s="460">
        <v>1232</v>
      </c>
      <c r="P470" s="460" t="s">
        <v>734</v>
      </c>
      <c r="Q470" s="460" t="s">
        <v>2289</v>
      </c>
      <c r="R470" s="460">
        <v>1232</v>
      </c>
      <c r="S470" s="460" t="s">
        <v>1139</v>
      </c>
      <c r="T470" s="462">
        <v>1</v>
      </c>
      <c r="U470" s="460" t="s">
        <v>1139</v>
      </c>
      <c r="V470" s="475">
        <v>0</v>
      </c>
      <c r="W470" s="463" t="s">
        <v>2268</v>
      </c>
      <c r="X470" s="463" t="s">
        <v>2268</v>
      </c>
      <c r="Y470" s="463" t="s">
        <v>2290</v>
      </c>
      <c r="Z470" s="463"/>
      <c r="AA470" s="463"/>
      <c r="AB470" s="464">
        <v>0</v>
      </c>
      <c r="AC470" s="465">
        <v>0</v>
      </c>
      <c r="AD470" s="465">
        <v>0</v>
      </c>
      <c r="AE470" s="476">
        <v>0</v>
      </c>
      <c r="AF470" s="467">
        <v>0</v>
      </c>
      <c r="AG470" s="468">
        <v>0</v>
      </c>
      <c r="AH470" s="218">
        <v>0</v>
      </c>
      <c r="AI470" s="470">
        <v>0</v>
      </c>
      <c r="AJ470" s="471">
        <v>0</v>
      </c>
      <c r="AK470" s="218">
        <v>0</v>
      </c>
      <c r="AL470" s="470">
        <v>0</v>
      </c>
      <c r="AM470" s="471">
        <v>0</v>
      </c>
      <c r="AN470" s="477">
        <v>0</v>
      </c>
      <c r="AO470" s="473">
        <v>0</v>
      </c>
      <c r="AP470" s="474">
        <v>0</v>
      </c>
      <c r="AQ470" s="352"/>
      <c r="AR470" s="352"/>
      <c r="AS470" s="352"/>
      <c r="AT470" s="352"/>
      <c r="AU470" s="352"/>
      <c r="AV470" s="352"/>
      <c r="AW470" s="352" t="s">
        <v>254</v>
      </c>
    </row>
    <row r="471" spans="2:49" x14ac:dyDescent="0.2">
      <c r="B471" s="460" t="s">
        <v>2493</v>
      </c>
      <c r="C471" s="460">
        <v>1232</v>
      </c>
      <c r="D471" s="460" t="s">
        <v>2370</v>
      </c>
      <c r="E471" s="460" t="s">
        <v>1136</v>
      </c>
      <c r="F471" s="460">
        <v>1</v>
      </c>
      <c r="G471" s="460">
        <v>4</v>
      </c>
      <c r="H471" s="461" t="s">
        <v>752</v>
      </c>
      <c r="I471" s="461" t="s">
        <v>964</v>
      </c>
      <c r="J471" s="461" t="s">
        <v>752</v>
      </c>
      <c r="K471" s="594"/>
      <c r="L471" s="594"/>
      <c r="M471" s="352">
        <v>1000</v>
      </c>
      <c r="N471" s="352" t="s">
        <v>698</v>
      </c>
      <c r="O471" s="460">
        <v>1232</v>
      </c>
      <c r="P471" s="460" t="s">
        <v>734</v>
      </c>
      <c r="Q471" s="460" t="s">
        <v>2266</v>
      </c>
      <c r="R471" s="460">
        <v>1232</v>
      </c>
      <c r="S471" s="460" t="s">
        <v>1136</v>
      </c>
      <c r="T471" s="462">
        <v>1</v>
      </c>
      <c r="U471" s="460" t="s">
        <v>1136</v>
      </c>
      <c r="V471" s="475">
        <v>0</v>
      </c>
      <c r="W471" s="463" t="s">
        <v>2267</v>
      </c>
      <c r="X471" s="463" t="s">
        <v>2267</v>
      </c>
      <c r="Y471" s="463" t="s">
        <v>2267</v>
      </c>
      <c r="Z471" s="463"/>
      <c r="AA471" s="463"/>
      <c r="AB471" s="464">
        <v>24.36284812589717</v>
      </c>
      <c r="AC471" s="465">
        <v>0.25103627391654015</v>
      </c>
      <c r="AD471" s="465">
        <v>7.8896243685836979E-3</v>
      </c>
      <c r="AE471" s="476">
        <v>24.36284812589717</v>
      </c>
      <c r="AF471" s="467">
        <v>0.25103627391654015</v>
      </c>
      <c r="AG471" s="468">
        <v>7.8896243685836979E-3</v>
      </c>
      <c r="AH471" s="218">
        <v>24.36284812589717</v>
      </c>
      <c r="AI471" s="470">
        <v>0.25103627391654015</v>
      </c>
      <c r="AJ471" s="471">
        <v>6.6606739760510505E-3</v>
      </c>
      <c r="AK471" s="218">
        <v>24.36284812589717</v>
      </c>
      <c r="AL471" s="470">
        <v>0.25103627391654015</v>
      </c>
      <c r="AM471" s="471">
        <v>6.6606739760510505E-3</v>
      </c>
      <c r="AN471" s="477">
        <v>24.36284812589717</v>
      </c>
      <c r="AO471" s="473">
        <v>0.25103627391654015</v>
      </c>
      <c r="AP471" s="474">
        <v>6.6606739760510505E-3</v>
      </c>
      <c r="AQ471" s="352"/>
      <c r="AR471" s="352"/>
      <c r="AS471" s="352"/>
      <c r="AT471" s="352"/>
      <c r="AU471" s="352"/>
      <c r="AV471" s="352"/>
      <c r="AW471" s="352" t="s">
        <v>254</v>
      </c>
    </row>
    <row r="472" spans="2:49" x14ac:dyDescent="0.2">
      <c r="B472" s="460" t="s">
        <v>2494</v>
      </c>
      <c r="C472" s="460">
        <v>1232</v>
      </c>
      <c r="D472" s="460" t="s">
        <v>2371</v>
      </c>
      <c r="E472" s="460" t="s">
        <v>1137</v>
      </c>
      <c r="F472" s="460">
        <v>2</v>
      </c>
      <c r="G472" s="460">
        <v>4</v>
      </c>
      <c r="H472" s="461" t="s">
        <v>752</v>
      </c>
      <c r="I472" s="461" t="s">
        <v>964</v>
      </c>
      <c r="J472" s="461" t="s">
        <v>752</v>
      </c>
      <c r="K472" s="594"/>
      <c r="L472" s="594"/>
      <c r="M472" s="352">
        <v>1000</v>
      </c>
      <c r="N472" s="352" t="s">
        <v>698</v>
      </c>
      <c r="O472" s="460">
        <v>1232</v>
      </c>
      <c r="P472" s="460" t="s">
        <v>734</v>
      </c>
      <c r="Q472" s="460" t="s">
        <v>2266</v>
      </c>
      <c r="R472" s="460">
        <v>1232</v>
      </c>
      <c r="S472" s="460" t="s">
        <v>1137</v>
      </c>
      <c r="T472" s="462">
        <v>1</v>
      </c>
      <c r="U472" s="460" t="s">
        <v>1137</v>
      </c>
      <c r="V472" s="475">
        <v>0</v>
      </c>
      <c r="W472" s="463" t="s">
        <v>2267</v>
      </c>
      <c r="X472" s="463" t="s">
        <v>2267</v>
      </c>
      <c r="Y472" s="463" t="s">
        <v>2267</v>
      </c>
      <c r="Z472" s="463"/>
      <c r="AA472" s="463"/>
      <c r="AB472" s="464">
        <v>33.064704910157808</v>
      </c>
      <c r="AC472" s="465">
        <v>0.17968599276147493</v>
      </c>
      <c r="AD472" s="465">
        <v>3.235346337097138E-3</v>
      </c>
      <c r="AE472" s="476">
        <v>33.064704910157808</v>
      </c>
      <c r="AF472" s="467">
        <v>0.17968599276147493</v>
      </c>
      <c r="AG472" s="468">
        <v>3.235346337097138E-3</v>
      </c>
      <c r="AH472" s="218">
        <v>33.064704910157808</v>
      </c>
      <c r="AI472" s="470">
        <v>0.17968599276147493</v>
      </c>
      <c r="AJ472" s="471">
        <v>3.207528377837862E-3</v>
      </c>
      <c r="AK472" s="218">
        <v>33.064704910157808</v>
      </c>
      <c r="AL472" s="470">
        <v>0.17968599276147493</v>
      </c>
      <c r="AM472" s="471">
        <v>3.207528377837862E-3</v>
      </c>
      <c r="AN472" s="477">
        <v>33.064704910157808</v>
      </c>
      <c r="AO472" s="473">
        <v>0.17968599276147493</v>
      </c>
      <c r="AP472" s="474">
        <v>3.207528377837862E-3</v>
      </c>
      <c r="AQ472" s="352"/>
      <c r="AR472" s="352"/>
      <c r="AS472" s="352"/>
      <c r="AT472" s="352"/>
      <c r="AU472" s="352"/>
      <c r="AV472" s="352"/>
      <c r="AW472" s="352" t="s">
        <v>254</v>
      </c>
    </row>
    <row r="473" spans="2:49" x14ac:dyDescent="0.2">
      <c r="B473" s="460" t="s">
        <v>2495</v>
      </c>
      <c r="C473" s="460">
        <v>1232</v>
      </c>
      <c r="D473" s="460" t="s">
        <v>2372</v>
      </c>
      <c r="E473" s="460" t="s">
        <v>1138</v>
      </c>
      <c r="F473" s="460">
        <v>3</v>
      </c>
      <c r="G473" s="460">
        <v>4</v>
      </c>
      <c r="H473" s="461" t="s">
        <v>752</v>
      </c>
      <c r="I473" s="461" t="s">
        <v>964</v>
      </c>
      <c r="J473" s="461" t="s">
        <v>752</v>
      </c>
      <c r="K473" s="594"/>
      <c r="L473" s="594"/>
      <c r="M473" s="352">
        <v>1000</v>
      </c>
      <c r="N473" s="352" t="s">
        <v>698</v>
      </c>
      <c r="O473" s="460">
        <v>1232</v>
      </c>
      <c r="P473" s="460" t="s">
        <v>734</v>
      </c>
      <c r="Q473" s="460" t="s">
        <v>2266</v>
      </c>
      <c r="R473" s="460">
        <v>1232</v>
      </c>
      <c r="S473" s="460" t="s">
        <v>1138</v>
      </c>
      <c r="T473" s="462">
        <v>1</v>
      </c>
      <c r="U473" s="460" t="s">
        <v>1138</v>
      </c>
      <c r="V473" s="475">
        <v>0</v>
      </c>
      <c r="W473" s="463" t="s">
        <v>2267</v>
      </c>
      <c r="X473" s="463" t="s">
        <v>2267</v>
      </c>
      <c r="Y473" s="463" t="s">
        <v>2267</v>
      </c>
      <c r="Z473" s="463"/>
      <c r="AA473" s="463"/>
      <c r="AB473" s="464">
        <v>35.915355470264444</v>
      </c>
      <c r="AC473" s="465">
        <v>0.30847694133677578</v>
      </c>
      <c r="AD473" s="465">
        <v>6.2034239200732871E-3</v>
      </c>
      <c r="AE473" s="476">
        <v>35.915355470264444</v>
      </c>
      <c r="AF473" s="467">
        <v>0.30847694133677578</v>
      </c>
      <c r="AG473" s="468">
        <v>6.2034239200732871E-3</v>
      </c>
      <c r="AH473" s="218">
        <v>35.915355470264444</v>
      </c>
      <c r="AI473" s="470">
        <v>0.30847694133677578</v>
      </c>
      <c r="AJ473" s="471">
        <v>5.9584707184618529E-3</v>
      </c>
      <c r="AK473" s="218">
        <v>35.915355470264444</v>
      </c>
      <c r="AL473" s="470">
        <v>0.30847694133677578</v>
      </c>
      <c r="AM473" s="471">
        <v>5.9584707184618529E-3</v>
      </c>
      <c r="AN473" s="477">
        <v>35.915355470264444</v>
      </c>
      <c r="AO473" s="473">
        <v>0.30847694133677578</v>
      </c>
      <c r="AP473" s="474">
        <v>5.9584707184618529E-3</v>
      </c>
      <c r="AQ473" s="352"/>
      <c r="AR473" s="352"/>
      <c r="AS473" s="352"/>
      <c r="AT473" s="352"/>
      <c r="AU473" s="352"/>
      <c r="AV473" s="352"/>
      <c r="AW473" s="352" t="s">
        <v>254</v>
      </c>
    </row>
    <row r="474" spans="2:49" x14ac:dyDescent="0.2">
      <c r="B474" s="460" t="s">
        <v>2496</v>
      </c>
      <c r="C474" s="460">
        <v>1232</v>
      </c>
      <c r="D474" s="460" t="s">
        <v>2373</v>
      </c>
      <c r="E474" s="460" t="s">
        <v>1139</v>
      </c>
      <c r="F474" s="460">
        <v>4</v>
      </c>
      <c r="G474" s="460">
        <v>4</v>
      </c>
      <c r="H474" s="461" t="s">
        <v>752</v>
      </c>
      <c r="I474" s="461" t="s">
        <v>964</v>
      </c>
      <c r="J474" s="461" t="s">
        <v>752</v>
      </c>
      <c r="K474" s="594"/>
      <c r="L474" s="594"/>
      <c r="M474" s="352">
        <v>1000</v>
      </c>
      <c r="N474" s="352" t="s">
        <v>698</v>
      </c>
      <c r="O474" s="460">
        <v>1232</v>
      </c>
      <c r="P474" s="460" t="s">
        <v>734</v>
      </c>
      <c r="Q474" s="460" t="s">
        <v>2266</v>
      </c>
      <c r="R474" s="460">
        <v>1232</v>
      </c>
      <c r="S474" s="460" t="s">
        <v>1139</v>
      </c>
      <c r="T474" s="462">
        <v>1</v>
      </c>
      <c r="U474" s="460" t="s">
        <v>1139</v>
      </c>
      <c r="V474" s="475">
        <v>0</v>
      </c>
      <c r="W474" s="463" t="s">
        <v>2267</v>
      </c>
      <c r="X474" s="463" t="s">
        <v>2267</v>
      </c>
      <c r="Y474" s="463" t="s">
        <v>2267</v>
      </c>
      <c r="Z474" s="463"/>
      <c r="AA474" s="463"/>
      <c r="AB474" s="464">
        <v>55.48611056387427</v>
      </c>
      <c r="AC474" s="465">
        <v>0.65629083379849262</v>
      </c>
      <c r="AD474" s="465">
        <v>2.2120799138444784E-3</v>
      </c>
      <c r="AE474" s="476">
        <v>55.48611056387427</v>
      </c>
      <c r="AF474" s="467">
        <v>0.65629083379849262</v>
      </c>
      <c r="AG474" s="468">
        <v>2.2120799138444784E-3</v>
      </c>
      <c r="AH474" s="218">
        <v>55.48611056387427</v>
      </c>
      <c r="AI474" s="470">
        <v>0.65629083379849262</v>
      </c>
      <c r="AJ474" s="471">
        <v>2.0561960454149853E-3</v>
      </c>
      <c r="AK474" s="218">
        <v>55.48611056387427</v>
      </c>
      <c r="AL474" s="470">
        <v>0.65629083379849262</v>
      </c>
      <c r="AM474" s="471">
        <v>2.0561960454149853E-3</v>
      </c>
      <c r="AN474" s="477">
        <v>55.48611056387427</v>
      </c>
      <c r="AO474" s="473">
        <v>0.65629083379849262</v>
      </c>
      <c r="AP474" s="474">
        <v>2.0561960454149853E-3</v>
      </c>
      <c r="AQ474" s="352"/>
      <c r="AR474" s="352"/>
      <c r="AS474" s="352"/>
      <c r="AT474" s="352"/>
      <c r="AU474" s="352"/>
      <c r="AV474" s="352"/>
      <c r="AW474" s="352" t="s">
        <v>254</v>
      </c>
    </row>
    <row r="475" spans="2:49" x14ac:dyDescent="0.2">
      <c r="B475" s="460" t="s">
        <v>2497</v>
      </c>
      <c r="C475" s="460">
        <v>1232</v>
      </c>
      <c r="D475" s="460" t="s">
        <v>2375</v>
      </c>
      <c r="E475" s="460" t="s">
        <v>2376</v>
      </c>
      <c r="F475" s="460">
        <v>1</v>
      </c>
      <c r="G475" s="460">
        <v>5</v>
      </c>
      <c r="H475" s="461" t="s">
        <v>754</v>
      </c>
      <c r="I475" s="461" t="s">
        <v>1991</v>
      </c>
      <c r="J475" s="461" t="s">
        <v>754</v>
      </c>
      <c r="K475" s="594"/>
      <c r="L475" s="594"/>
      <c r="M475" s="352">
        <v>1000</v>
      </c>
      <c r="N475" s="352" t="s">
        <v>698</v>
      </c>
      <c r="O475" s="460">
        <v>1232</v>
      </c>
      <c r="P475" s="460" t="s">
        <v>734</v>
      </c>
      <c r="Q475" s="460" t="s">
        <v>2377</v>
      </c>
      <c r="R475" s="460">
        <v>1232</v>
      </c>
      <c r="S475" s="460" t="s">
        <v>2376</v>
      </c>
      <c r="T475" s="462">
        <v>1</v>
      </c>
      <c r="U475" s="460" t="s">
        <v>2376</v>
      </c>
      <c r="V475" s="475">
        <v>0</v>
      </c>
      <c r="W475" s="463" t="s">
        <v>2278</v>
      </c>
      <c r="X475" s="463" t="s">
        <v>2278</v>
      </c>
      <c r="Y475" s="463" t="s">
        <v>2278</v>
      </c>
      <c r="Z475" s="463"/>
      <c r="AA475" s="463"/>
      <c r="AB475" s="464">
        <v>1398.081818367428</v>
      </c>
      <c r="AC475" s="465">
        <v>1</v>
      </c>
      <c r="AD475" s="465">
        <v>2.3503221075780643E-3</v>
      </c>
      <c r="AE475" s="476">
        <v>1398.081818367428</v>
      </c>
      <c r="AF475" s="467">
        <v>1</v>
      </c>
      <c r="AG475" s="468">
        <v>2.3503221075780643E-3</v>
      </c>
      <c r="AH475" s="218">
        <v>1398.081818367428</v>
      </c>
      <c r="AI475" s="470">
        <v>1</v>
      </c>
      <c r="AJ475" s="471">
        <v>2.3503221075780643E-3</v>
      </c>
      <c r="AK475" s="218">
        <v>1398.081818367428</v>
      </c>
      <c r="AL475" s="470">
        <v>1</v>
      </c>
      <c r="AM475" s="471">
        <v>2.3503221075780643E-3</v>
      </c>
      <c r="AN475" s="477">
        <v>1398.081818367428</v>
      </c>
      <c r="AO475" s="473">
        <v>1</v>
      </c>
      <c r="AP475" s="474">
        <v>2.3503221075780643E-3</v>
      </c>
      <c r="AQ475" s="352"/>
      <c r="AR475" s="352"/>
      <c r="AS475" s="352"/>
      <c r="AT475" s="352"/>
      <c r="AU475" s="352"/>
      <c r="AV475" s="352"/>
      <c r="AW475" s="352" t="s">
        <v>127</v>
      </c>
    </row>
    <row r="476" spans="2:49" x14ac:dyDescent="0.2">
      <c r="B476" s="460" t="s">
        <v>2498</v>
      </c>
      <c r="C476" s="460">
        <v>1232</v>
      </c>
      <c r="D476" s="460" t="s">
        <v>2379</v>
      </c>
      <c r="E476" s="460" t="s">
        <v>2380</v>
      </c>
      <c r="F476" s="460">
        <v>2</v>
      </c>
      <c r="G476" s="460">
        <v>5</v>
      </c>
      <c r="H476" s="461" t="s">
        <v>754</v>
      </c>
      <c r="I476" s="461" t="s">
        <v>1991</v>
      </c>
      <c r="J476" s="461" t="s">
        <v>754</v>
      </c>
      <c r="K476" s="594"/>
      <c r="L476" s="594"/>
      <c r="M476" s="352">
        <v>1000</v>
      </c>
      <c r="N476" s="352" t="s">
        <v>698</v>
      </c>
      <c r="O476" s="460">
        <v>1232</v>
      </c>
      <c r="P476" s="460" t="s">
        <v>734</v>
      </c>
      <c r="Q476" s="460" t="s">
        <v>2377</v>
      </c>
      <c r="R476" s="460">
        <v>1232</v>
      </c>
      <c r="S476" s="460" t="s">
        <v>2380</v>
      </c>
      <c r="T476" s="462">
        <v>1</v>
      </c>
      <c r="U476" s="460" t="s">
        <v>2380</v>
      </c>
      <c r="V476" s="475">
        <v>0</v>
      </c>
      <c r="W476" s="463" t="s">
        <v>2278</v>
      </c>
      <c r="X476" s="463" t="s">
        <v>2278</v>
      </c>
      <c r="Y476" s="463" t="s">
        <v>2278</v>
      </c>
      <c r="Z476" s="463"/>
      <c r="AA476" s="463"/>
      <c r="AB476" s="464">
        <v>675.00889696700835</v>
      </c>
      <c r="AC476" s="465">
        <v>1</v>
      </c>
      <c r="AD476" s="465">
        <v>1.3292300175661389E-3</v>
      </c>
      <c r="AE476" s="476">
        <v>675.00889696700835</v>
      </c>
      <c r="AF476" s="467">
        <v>1</v>
      </c>
      <c r="AG476" s="468">
        <v>1.3292300175661389E-3</v>
      </c>
      <c r="AH476" s="218">
        <v>675.00889696700835</v>
      </c>
      <c r="AI476" s="470">
        <v>1</v>
      </c>
      <c r="AJ476" s="471">
        <v>1.3292300175661389E-3</v>
      </c>
      <c r="AK476" s="218">
        <v>675.00889696700835</v>
      </c>
      <c r="AL476" s="470">
        <v>1</v>
      </c>
      <c r="AM476" s="471">
        <v>1.3292300175661389E-3</v>
      </c>
      <c r="AN476" s="477">
        <v>675.00889696700835</v>
      </c>
      <c r="AO476" s="473">
        <v>1</v>
      </c>
      <c r="AP476" s="474">
        <v>1.3292300175661389E-3</v>
      </c>
      <c r="AQ476" s="352"/>
      <c r="AR476" s="352"/>
      <c r="AS476" s="352"/>
      <c r="AT476" s="352"/>
      <c r="AU476" s="352"/>
      <c r="AV476" s="352"/>
      <c r="AW476" s="352" t="s">
        <v>127</v>
      </c>
    </row>
    <row r="477" spans="2:49" x14ac:dyDescent="0.2">
      <c r="B477" s="460" t="s">
        <v>2499</v>
      </c>
      <c r="C477" s="460">
        <v>1232</v>
      </c>
      <c r="D477" s="460" t="s">
        <v>2382</v>
      </c>
      <c r="E477" s="460" t="s">
        <v>2383</v>
      </c>
      <c r="F477" s="460">
        <v>3</v>
      </c>
      <c r="G477" s="460">
        <v>5</v>
      </c>
      <c r="H477" s="461" t="s">
        <v>754</v>
      </c>
      <c r="I477" s="461" t="s">
        <v>1991</v>
      </c>
      <c r="J477" s="461" t="s">
        <v>754</v>
      </c>
      <c r="K477" s="594"/>
      <c r="L477" s="594"/>
      <c r="M477" s="352">
        <v>1000</v>
      </c>
      <c r="N477" s="352" t="s">
        <v>698</v>
      </c>
      <c r="O477" s="460">
        <v>1232</v>
      </c>
      <c r="P477" s="460" t="s">
        <v>734</v>
      </c>
      <c r="Q477" s="460" t="s">
        <v>2377</v>
      </c>
      <c r="R477" s="460">
        <v>1232</v>
      </c>
      <c r="S477" s="460" t="s">
        <v>2383</v>
      </c>
      <c r="T477" s="462">
        <v>1</v>
      </c>
      <c r="U477" s="460" t="s">
        <v>2383</v>
      </c>
      <c r="V477" s="475">
        <v>0</v>
      </c>
      <c r="W477" s="463" t="s">
        <v>2278</v>
      </c>
      <c r="X477" s="463" t="s">
        <v>2278</v>
      </c>
      <c r="Y477" s="463" t="s">
        <v>2278</v>
      </c>
      <c r="Z477" s="463"/>
      <c r="AA477" s="463"/>
      <c r="AB477" s="464">
        <v>148.90814179201658</v>
      </c>
      <c r="AC477" s="465">
        <v>1</v>
      </c>
      <c r="AD477" s="465">
        <v>1.3235935646553625E-3</v>
      </c>
      <c r="AE477" s="476">
        <v>148.90814179201658</v>
      </c>
      <c r="AF477" s="467">
        <v>1</v>
      </c>
      <c r="AG477" s="468">
        <v>1.3235935646553625E-3</v>
      </c>
      <c r="AH477" s="218">
        <v>148.90814179201658</v>
      </c>
      <c r="AI477" s="470">
        <v>1</v>
      </c>
      <c r="AJ477" s="471">
        <v>1.3235935646553625E-3</v>
      </c>
      <c r="AK477" s="218">
        <v>148.90814179201658</v>
      </c>
      <c r="AL477" s="470">
        <v>1</v>
      </c>
      <c r="AM477" s="471">
        <v>1.3235935646553625E-3</v>
      </c>
      <c r="AN477" s="477">
        <v>148.90814179201658</v>
      </c>
      <c r="AO477" s="473">
        <v>1</v>
      </c>
      <c r="AP477" s="474">
        <v>1.3235935646553625E-3</v>
      </c>
      <c r="AQ477" s="352"/>
      <c r="AR477" s="352"/>
      <c r="AS477" s="352"/>
      <c r="AT477" s="352"/>
      <c r="AU477" s="352"/>
      <c r="AV477" s="352"/>
      <c r="AW477" s="352" t="s">
        <v>127</v>
      </c>
    </row>
    <row r="478" spans="2:49" x14ac:dyDescent="0.2">
      <c r="B478" s="460" t="s">
        <v>2500</v>
      </c>
      <c r="C478" s="460">
        <v>1232</v>
      </c>
      <c r="D478" s="460" t="s">
        <v>2385</v>
      </c>
      <c r="E478" s="460" t="s">
        <v>2386</v>
      </c>
      <c r="F478" s="460">
        <v>4</v>
      </c>
      <c r="G478" s="460">
        <v>5</v>
      </c>
      <c r="H478" s="461" t="s">
        <v>754</v>
      </c>
      <c r="I478" s="461" t="s">
        <v>1991</v>
      </c>
      <c r="J478" s="461" t="s">
        <v>754</v>
      </c>
      <c r="K478" s="594"/>
      <c r="L478" s="594"/>
      <c r="M478" s="352">
        <v>1000</v>
      </c>
      <c r="N478" s="352" t="s">
        <v>698</v>
      </c>
      <c r="O478" s="460">
        <v>1232</v>
      </c>
      <c r="P478" s="460" t="s">
        <v>734</v>
      </c>
      <c r="Q478" s="460" t="s">
        <v>2377</v>
      </c>
      <c r="R478" s="460">
        <v>1232</v>
      </c>
      <c r="S478" s="460" t="s">
        <v>2386</v>
      </c>
      <c r="T478" s="462">
        <v>1</v>
      </c>
      <c r="U478" s="460" t="s">
        <v>2386</v>
      </c>
      <c r="V478" s="475">
        <v>0</v>
      </c>
      <c r="W478" s="463" t="s">
        <v>2278</v>
      </c>
      <c r="X478" s="463" t="s">
        <v>2278</v>
      </c>
      <c r="Y478" s="463" t="s">
        <v>2278</v>
      </c>
      <c r="Z478" s="463"/>
      <c r="AA478" s="463"/>
      <c r="AB478" s="464">
        <v>44.336118767080855</v>
      </c>
      <c r="AC478" s="465">
        <v>1</v>
      </c>
      <c r="AD478" s="465">
        <v>8.2246770062149052E-4</v>
      </c>
      <c r="AE478" s="476">
        <v>44.336118767080855</v>
      </c>
      <c r="AF478" s="467">
        <v>1</v>
      </c>
      <c r="AG478" s="468">
        <v>8.2246770062149052E-4</v>
      </c>
      <c r="AH478" s="218">
        <v>44.336118767080855</v>
      </c>
      <c r="AI478" s="470">
        <v>1</v>
      </c>
      <c r="AJ478" s="471">
        <v>8.2246770062149052E-4</v>
      </c>
      <c r="AK478" s="218">
        <v>44.336118767080855</v>
      </c>
      <c r="AL478" s="470">
        <v>1</v>
      </c>
      <c r="AM478" s="471">
        <v>8.2246770062149052E-4</v>
      </c>
      <c r="AN478" s="477">
        <v>44.336118767080855</v>
      </c>
      <c r="AO478" s="473">
        <v>1</v>
      </c>
      <c r="AP478" s="474">
        <v>8.2246770062149052E-4</v>
      </c>
      <c r="AQ478" s="352"/>
      <c r="AR478" s="352"/>
      <c r="AS478" s="352"/>
      <c r="AT478" s="352"/>
      <c r="AU478" s="352"/>
      <c r="AV478" s="352"/>
      <c r="AW478" s="352" t="s">
        <v>127</v>
      </c>
    </row>
    <row r="479" spans="2:49" x14ac:dyDescent="0.2">
      <c r="B479" s="460" t="s">
        <v>2501</v>
      </c>
      <c r="C479" s="460">
        <v>1241</v>
      </c>
      <c r="D479" s="460" t="s">
        <v>2264</v>
      </c>
      <c r="E479" s="460" t="s">
        <v>2265</v>
      </c>
      <c r="F479" s="460">
        <v>1</v>
      </c>
      <c r="G479" s="460">
        <v>1</v>
      </c>
      <c r="H479" s="461" t="s">
        <v>700</v>
      </c>
      <c r="I479" s="461" t="s">
        <v>872</v>
      </c>
      <c r="J479" s="461" t="s">
        <v>700</v>
      </c>
      <c r="K479" s="594"/>
      <c r="L479" s="594"/>
      <c r="M479" s="352">
        <v>1000</v>
      </c>
      <c r="N479" s="352" t="s">
        <v>698</v>
      </c>
      <c r="O479" s="460">
        <v>1241</v>
      </c>
      <c r="P479" s="460" t="s">
        <v>1872</v>
      </c>
      <c r="Q479" s="460" t="s">
        <v>2440</v>
      </c>
      <c r="R479" s="460">
        <v>1241</v>
      </c>
      <c r="S479" s="460" t="s">
        <v>2265</v>
      </c>
      <c r="T479" s="462">
        <v>1</v>
      </c>
      <c r="U479" s="460" t="s">
        <v>2265</v>
      </c>
      <c r="V479" s="475">
        <v>0</v>
      </c>
      <c r="W479" s="463" t="s">
        <v>2267</v>
      </c>
      <c r="X479" s="463" t="s">
        <v>2267</v>
      </c>
      <c r="Y479" s="463" t="s">
        <v>2268</v>
      </c>
      <c r="Z479" s="463"/>
      <c r="AA479" s="463"/>
      <c r="AB479" s="464">
        <v>562.43560038366684</v>
      </c>
      <c r="AC479" s="465">
        <v>0.65383581681877379</v>
      </c>
      <c r="AD479" s="465">
        <v>5.2157100867383883E-3</v>
      </c>
      <c r="AE479" s="476">
        <v>562.43560038366684</v>
      </c>
      <c r="AF479" s="467">
        <v>0.65383581681877379</v>
      </c>
      <c r="AG479" s="468">
        <v>5.5714699680032547E-3</v>
      </c>
      <c r="AH479" s="218">
        <v>562.43560038366684</v>
      </c>
      <c r="AI479" s="470">
        <v>0.65383581681877379</v>
      </c>
      <c r="AJ479" s="471">
        <v>5.3630142240641658E-3</v>
      </c>
      <c r="AK479" s="218">
        <v>562.43560038366684</v>
      </c>
      <c r="AL479" s="470">
        <v>0.65383581681877379</v>
      </c>
      <c r="AM479" s="471">
        <v>5.3630142240641658E-3</v>
      </c>
      <c r="AN479" s="477">
        <v>0</v>
      </c>
      <c r="AO479" s="473">
        <v>0</v>
      </c>
      <c r="AP479" s="474">
        <v>0</v>
      </c>
      <c r="AQ479" s="352"/>
      <c r="AR479" s="352"/>
      <c r="AS479" s="352"/>
      <c r="AT479" s="352"/>
      <c r="AU479" s="352"/>
      <c r="AV479" s="352"/>
      <c r="AW479" s="352" t="s">
        <v>254</v>
      </c>
    </row>
    <row r="480" spans="2:49" x14ac:dyDescent="0.2">
      <c r="B480" s="460" t="s">
        <v>2502</v>
      </c>
      <c r="C480" s="460">
        <v>1241</v>
      </c>
      <c r="D480" s="460" t="s">
        <v>2270</v>
      </c>
      <c r="E480" s="460" t="s">
        <v>2271</v>
      </c>
      <c r="F480" s="460">
        <v>2</v>
      </c>
      <c r="G480" s="460">
        <v>1</v>
      </c>
      <c r="H480" s="461" t="s">
        <v>700</v>
      </c>
      <c r="I480" s="461" t="s">
        <v>872</v>
      </c>
      <c r="J480" s="461" t="s">
        <v>700</v>
      </c>
      <c r="K480" s="594"/>
      <c r="L480" s="594"/>
      <c r="M480" s="352">
        <v>1000</v>
      </c>
      <c r="N480" s="352" t="s">
        <v>698</v>
      </c>
      <c r="O480" s="460">
        <v>1241</v>
      </c>
      <c r="P480" s="460" t="s">
        <v>1872</v>
      </c>
      <c r="Q480" s="460" t="s">
        <v>2440</v>
      </c>
      <c r="R480" s="460">
        <v>1241</v>
      </c>
      <c r="S480" s="460" t="s">
        <v>2265</v>
      </c>
      <c r="T480" s="462">
        <v>1</v>
      </c>
      <c r="U480" s="460" t="s">
        <v>2271</v>
      </c>
      <c r="V480" s="475">
        <v>0</v>
      </c>
      <c r="W480" s="463" t="s">
        <v>2503</v>
      </c>
      <c r="X480" s="463" t="s">
        <v>2267</v>
      </c>
      <c r="Y480" s="463" t="s">
        <v>2268</v>
      </c>
      <c r="Z480" s="463"/>
      <c r="AA480" s="463"/>
      <c r="AB480" s="464">
        <v>409.7577613712885</v>
      </c>
      <c r="AC480" s="465">
        <v>0.64099812015072877</v>
      </c>
      <c r="AD480" s="465">
        <v>5.083779763350298E-3</v>
      </c>
      <c r="AE480" s="476">
        <v>245.85465682277308</v>
      </c>
      <c r="AF480" s="467">
        <v>0.38459887209043725</v>
      </c>
      <c r="AG480" s="468">
        <v>3.3054570844480305E-3</v>
      </c>
      <c r="AH480" s="218">
        <v>417.96425321969645</v>
      </c>
      <c r="AI480" s="470">
        <v>0.65383581681877379</v>
      </c>
      <c r="AJ480" s="471">
        <v>4.9346529395354818E-3</v>
      </c>
      <c r="AK480" s="218">
        <v>417.96425321969645</v>
      </c>
      <c r="AL480" s="470">
        <v>0.65383581681877379</v>
      </c>
      <c r="AM480" s="471">
        <v>4.9346529395354818E-3</v>
      </c>
      <c r="AN480" s="477">
        <v>0</v>
      </c>
      <c r="AO480" s="473">
        <v>0</v>
      </c>
      <c r="AP480" s="474">
        <v>0</v>
      </c>
      <c r="AQ480" s="352"/>
      <c r="AR480" s="352"/>
      <c r="AS480" s="352"/>
      <c r="AT480" s="352"/>
      <c r="AU480" s="352"/>
      <c r="AV480" s="352"/>
      <c r="AW480" s="352" t="s">
        <v>254</v>
      </c>
    </row>
    <row r="481" spans="2:49" x14ac:dyDescent="0.2">
      <c r="B481" s="460" t="s">
        <v>2504</v>
      </c>
      <c r="C481" s="460">
        <v>1241</v>
      </c>
      <c r="D481" s="460" t="s">
        <v>2273</v>
      </c>
      <c r="E481" s="460" t="s">
        <v>2274</v>
      </c>
      <c r="F481" s="460">
        <v>3</v>
      </c>
      <c r="G481" s="460">
        <v>1</v>
      </c>
      <c r="H481" s="461" t="s">
        <v>700</v>
      </c>
      <c r="I481" s="461" t="s">
        <v>872</v>
      </c>
      <c r="J481" s="461" t="s">
        <v>700</v>
      </c>
      <c r="K481" s="594"/>
      <c r="L481" s="594"/>
      <c r="M481" s="352">
        <v>1000</v>
      </c>
      <c r="N481" s="352" t="s">
        <v>698</v>
      </c>
      <c r="O481" s="460">
        <v>1241</v>
      </c>
      <c r="P481" s="460" t="s">
        <v>1872</v>
      </c>
      <c r="Q481" s="460" t="s">
        <v>2440</v>
      </c>
      <c r="R481" s="460">
        <v>1241</v>
      </c>
      <c r="S481" s="460" t="s">
        <v>2265</v>
      </c>
      <c r="T481" s="462">
        <v>0.74223365950407583</v>
      </c>
      <c r="U481" s="460" t="s">
        <v>2274</v>
      </c>
      <c r="V481" s="475">
        <v>0</v>
      </c>
      <c r="W481" s="463" t="s">
        <v>2503</v>
      </c>
      <c r="X481" s="463" t="s">
        <v>2267</v>
      </c>
      <c r="Y481" s="463" t="s">
        <v>2268</v>
      </c>
      <c r="Z481" s="463"/>
      <c r="AA481" s="463"/>
      <c r="AB481" s="464">
        <v>103.93046713348582</v>
      </c>
      <c r="AC481" s="465">
        <v>0.33068876744857711</v>
      </c>
      <c r="AD481" s="465">
        <v>5.1414044262506993E-3</v>
      </c>
      <c r="AE481" s="476">
        <v>62.358280280091492</v>
      </c>
      <c r="AF481" s="467">
        <v>0.19841326046914626</v>
      </c>
      <c r="AG481" s="468">
        <v>3.3414215112589243E-3</v>
      </c>
      <c r="AH481" s="218">
        <v>152.52210430163453</v>
      </c>
      <c r="AI481" s="470">
        <v>0.48529895103223503</v>
      </c>
      <c r="AJ481" s="471">
        <v>5.9184807052874051E-3</v>
      </c>
      <c r="AK481" s="218">
        <v>152.52210430163453</v>
      </c>
      <c r="AL481" s="470">
        <v>0.48529895103223503</v>
      </c>
      <c r="AM481" s="471">
        <v>5.9184807052874051E-3</v>
      </c>
      <c r="AN481" s="477">
        <v>0</v>
      </c>
      <c r="AO481" s="473">
        <v>0</v>
      </c>
      <c r="AP481" s="474">
        <v>0</v>
      </c>
      <c r="AQ481" s="352"/>
      <c r="AR481" s="352"/>
      <c r="AS481" s="352"/>
      <c r="AT481" s="352"/>
      <c r="AU481" s="352"/>
      <c r="AV481" s="352"/>
      <c r="AW481" s="352" t="s">
        <v>254</v>
      </c>
    </row>
    <row r="482" spans="2:49" x14ac:dyDescent="0.2">
      <c r="B482" s="460" t="s">
        <v>2505</v>
      </c>
      <c r="C482" s="460">
        <v>1241</v>
      </c>
      <c r="D482" s="460" t="s">
        <v>2276</v>
      </c>
      <c r="E482" s="460" t="s">
        <v>2277</v>
      </c>
      <c r="F482" s="460">
        <v>4</v>
      </c>
      <c r="G482" s="460">
        <v>1</v>
      </c>
      <c r="H482" s="461" t="s">
        <v>700</v>
      </c>
      <c r="I482" s="461" t="s">
        <v>872</v>
      </c>
      <c r="J482" s="461" t="s">
        <v>700</v>
      </c>
      <c r="K482" s="594"/>
      <c r="L482" s="594"/>
      <c r="M482" s="352">
        <v>1000</v>
      </c>
      <c r="N482" s="352" t="s">
        <v>698</v>
      </c>
      <c r="O482" s="460">
        <v>1241</v>
      </c>
      <c r="P482" s="460" t="s">
        <v>1872</v>
      </c>
      <c r="Q482" s="460" t="s">
        <v>2440</v>
      </c>
      <c r="R482" s="460">
        <v>1241</v>
      </c>
      <c r="S482" s="460" t="s">
        <v>2277</v>
      </c>
      <c r="T482" s="462">
        <v>1</v>
      </c>
      <c r="U482" s="460" t="s">
        <v>2277</v>
      </c>
      <c r="V482" s="475">
        <v>0</v>
      </c>
      <c r="W482" s="463" t="s">
        <v>2503</v>
      </c>
      <c r="X482" s="463" t="s">
        <v>2278</v>
      </c>
      <c r="Y482" s="463" t="s">
        <v>2268</v>
      </c>
      <c r="Z482" s="463"/>
      <c r="AA482" s="463"/>
      <c r="AB482" s="464">
        <v>1.2863458323194399</v>
      </c>
      <c r="AC482" s="465">
        <v>5.3645574950119158E-3</v>
      </c>
      <c r="AD482" s="465">
        <v>5.1919615378772759E-3</v>
      </c>
      <c r="AE482" s="476">
        <v>0.77180749939166382</v>
      </c>
      <c r="AF482" s="467">
        <v>3.2187344970071494E-3</v>
      </c>
      <c r="AG482" s="468">
        <v>3.4826035903207596E-3</v>
      </c>
      <c r="AH482" s="218">
        <v>1.2863458323194399</v>
      </c>
      <c r="AI482" s="470">
        <v>5.3645574950119158E-3</v>
      </c>
      <c r="AJ482" s="471">
        <v>5.5632079872338152E-3</v>
      </c>
      <c r="AK482" s="218">
        <v>1.2863458323194399</v>
      </c>
      <c r="AL482" s="470">
        <v>5.3645574950119158E-3</v>
      </c>
      <c r="AM482" s="471">
        <v>5.5632079872338152E-3</v>
      </c>
      <c r="AN482" s="477">
        <v>0</v>
      </c>
      <c r="AO482" s="473">
        <v>0</v>
      </c>
      <c r="AP482" s="474">
        <v>0</v>
      </c>
      <c r="AQ482" s="352"/>
      <c r="AR482" s="352"/>
      <c r="AS482" s="352"/>
      <c r="AT482" s="352"/>
      <c r="AU482" s="352"/>
      <c r="AV482" s="352"/>
      <c r="AW482" s="352" t="s">
        <v>254</v>
      </c>
    </row>
    <row r="483" spans="2:49" x14ac:dyDescent="0.2">
      <c r="B483" s="460" t="s">
        <v>2501</v>
      </c>
      <c r="C483" s="460">
        <v>1241</v>
      </c>
      <c r="D483" s="460" t="s">
        <v>2279</v>
      </c>
      <c r="E483" s="460" t="s">
        <v>2265</v>
      </c>
      <c r="F483" s="460">
        <v>1</v>
      </c>
      <c r="G483" s="460">
        <v>1</v>
      </c>
      <c r="H483" s="461" t="s">
        <v>712</v>
      </c>
      <c r="I483" s="461" t="s">
        <v>713</v>
      </c>
      <c r="J483" s="461" t="s">
        <v>712</v>
      </c>
      <c r="K483" s="594"/>
      <c r="L483" s="594"/>
      <c r="M483" s="352">
        <v>1000</v>
      </c>
      <c r="N483" s="352" t="s">
        <v>698</v>
      </c>
      <c r="O483" s="460">
        <v>1241</v>
      </c>
      <c r="P483" s="460" t="s">
        <v>1872</v>
      </c>
      <c r="Q483" s="460" t="s">
        <v>2280</v>
      </c>
      <c r="R483" s="460">
        <v>1241</v>
      </c>
      <c r="S483" s="460" t="s">
        <v>2265</v>
      </c>
      <c r="T483" s="462">
        <v>1</v>
      </c>
      <c r="U483" s="460" t="s">
        <v>2265</v>
      </c>
      <c r="V483" s="475">
        <v>0</v>
      </c>
      <c r="W483" s="463" t="s">
        <v>713</v>
      </c>
      <c r="X483" s="463" t="s">
        <v>713</v>
      </c>
      <c r="Y483" s="463" t="s">
        <v>713</v>
      </c>
      <c r="Z483" s="463"/>
      <c r="AA483" s="463"/>
      <c r="AB483" s="464">
        <v>297.77362327157277</v>
      </c>
      <c r="AC483" s="465">
        <v>0.34616418318122621</v>
      </c>
      <c r="AD483" s="465">
        <v>1.1000272608065753E-3</v>
      </c>
      <c r="AE483" s="476">
        <v>297.77362327157277</v>
      </c>
      <c r="AF483" s="467">
        <v>0.34616418318122621</v>
      </c>
      <c r="AG483" s="468">
        <v>1.0727401046438899E-3</v>
      </c>
      <c r="AH483" s="218">
        <v>297.77362327157277</v>
      </c>
      <c r="AI483" s="470">
        <v>0.34616418318122621</v>
      </c>
      <c r="AJ483" s="471">
        <v>1.0881214236308223E-3</v>
      </c>
      <c r="AK483" s="218">
        <v>297.77362327157277</v>
      </c>
      <c r="AL483" s="470">
        <v>0.34616418318122621</v>
      </c>
      <c r="AM483" s="471">
        <v>1.0881214236308223E-3</v>
      </c>
      <c r="AN483" s="477">
        <v>297.77362327157277</v>
      </c>
      <c r="AO483" s="473">
        <v>0.34616418318122621</v>
      </c>
      <c r="AP483" s="474">
        <v>1.0877668700305474E-3</v>
      </c>
      <c r="AQ483" s="352"/>
      <c r="AR483" s="352"/>
      <c r="AS483" s="352"/>
      <c r="AT483" s="352"/>
      <c r="AU483" s="352"/>
      <c r="AV483" s="352"/>
      <c r="AW483" s="352" t="s">
        <v>254</v>
      </c>
    </row>
    <row r="484" spans="2:49" x14ac:dyDescent="0.2">
      <c r="B484" s="460" t="s">
        <v>2502</v>
      </c>
      <c r="C484" s="460">
        <v>1241</v>
      </c>
      <c r="D484" s="460" t="s">
        <v>2281</v>
      </c>
      <c r="E484" s="460" t="s">
        <v>2271</v>
      </c>
      <c r="F484" s="460">
        <v>2</v>
      </c>
      <c r="G484" s="460">
        <v>1</v>
      </c>
      <c r="H484" s="461" t="s">
        <v>712</v>
      </c>
      <c r="I484" s="461" t="s">
        <v>713</v>
      </c>
      <c r="J484" s="461" t="s">
        <v>712</v>
      </c>
      <c r="K484" s="594"/>
      <c r="L484" s="594"/>
      <c r="M484" s="352">
        <v>1000</v>
      </c>
      <c r="N484" s="352" t="s">
        <v>698</v>
      </c>
      <c r="O484" s="460">
        <v>1241</v>
      </c>
      <c r="P484" s="460" t="s">
        <v>1872</v>
      </c>
      <c r="Q484" s="460" t="s">
        <v>2280</v>
      </c>
      <c r="R484" s="460">
        <v>1241</v>
      </c>
      <c r="S484" s="460" t="s">
        <v>2265</v>
      </c>
      <c r="T484" s="462">
        <v>1</v>
      </c>
      <c r="U484" s="460" t="s">
        <v>2271</v>
      </c>
      <c r="V484" s="475">
        <v>0</v>
      </c>
      <c r="W484" s="463" t="s">
        <v>713</v>
      </c>
      <c r="X484" s="463" t="s">
        <v>713</v>
      </c>
      <c r="Y484" s="463" t="s">
        <v>713</v>
      </c>
      <c r="Z484" s="463"/>
      <c r="AA484" s="463"/>
      <c r="AB484" s="464">
        <v>229.49179099079203</v>
      </c>
      <c r="AC484" s="465">
        <v>0.35900187984927118</v>
      </c>
      <c r="AD484" s="465">
        <v>9.5833949742788632E-4</v>
      </c>
      <c r="AE484" s="476">
        <v>393.39489553930747</v>
      </c>
      <c r="AF484" s="467">
        <v>0.61540112790956281</v>
      </c>
      <c r="AG484" s="468">
        <v>1.6011791331447486E-3</v>
      </c>
      <c r="AH484" s="218">
        <v>221.2852991423841</v>
      </c>
      <c r="AI484" s="470">
        <v>0.34616418318122621</v>
      </c>
      <c r="AJ484" s="471">
        <v>9.5067384036593794E-4</v>
      </c>
      <c r="AK484" s="218">
        <v>221.2852991423841</v>
      </c>
      <c r="AL484" s="470">
        <v>0.34616418318122621</v>
      </c>
      <c r="AM484" s="471">
        <v>9.5067384036593794E-4</v>
      </c>
      <c r="AN484" s="477">
        <v>221.2852991423841</v>
      </c>
      <c r="AO484" s="473">
        <v>0.34616418318122621</v>
      </c>
      <c r="AP484" s="474">
        <v>9.5034002759387265E-4</v>
      </c>
      <c r="AQ484" s="352"/>
      <c r="AR484" s="352"/>
      <c r="AS484" s="352"/>
      <c r="AT484" s="352"/>
      <c r="AU484" s="352"/>
      <c r="AV484" s="352"/>
      <c r="AW484" s="352" t="s">
        <v>254</v>
      </c>
    </row>
    <row r="485" spans="2:49" x14ac:dyDescent="0.2">
      <c r="B485" s="460" t="s">
        <v>2504</v>
      </c>
      <c r="C485" s="460">
        <v>1241</v>
      </c>
      <c r="D485" s="460" t="s">
        <v>2282</v>
      </c>
      <c r="E485" s="460" t="s">
        <v>2274</v>
      </c>
      <c r="F485" s="460">
        <v>3</v>
      </c>
      <c r="G485" s="460">
        <v>1</v>
      </c>
      <c r="H485" s="461" t="s">
        <v>712</v>
      </c>
      <c r="I485" s="461" t="s">
        <v>713</v>
      </c>
      <c r="J485" s="461" t="s">
        <v>712</v>
      </c>
      <c r="K485" s="594"/>
      <c r="L485" s="594"/>
      <c r="M485" s="352">
        <v>1000</v>
      </c>
      <c r="N485" s="352" t="s">
        <v>698</v>
      </c>
      <c r="O485" s="460">
        <v>1241</v>
      </c>
      <c r="P485" s="460" t="s">
        <v>1872</v>
      </c>
      <c r="Q485" s="460" t="s">
        <v>2280</v>
      </c>
      <c r="R485" s="460">
        <v>1241</v>
      </c>
      <c r="S485" s="460" t="s">
        <v>2265</v>
      </c>
      <c r="T485" s="462">
        <v>0.74223365950407583</v>
      </c>
      <c r="U485" s="460" t="s">
        <v>2274</v>
      </c>
      <c r="V485" s="475">
        <v>0</v>
      </c>
      <c r="W485" s="463" t="s">
        <v>713</v>
      </c>
      <c r="X485" s="463" t="s">
        <v>713</v>
      </c>
      <c r="Y485" s="463" t="s">
        <v>713</v>
      </c>
      <c r="Z485" s="463"/>
      <c r="AA485" s="463"/>
      <c r="AB485" s="464">
        <v>210.35437518323198</v>
      </c>
      <c r="AC485" s="465">
        <v>0.66931123255142289</v>
      </c>
      <c r="AD485" s="465">
        <v>1.2590156276227372E-3</v>
      </c>
      <c r="AE485" s="476">
        <v>251.92656203662634</v>
      </c>
      <c r="AF485" s="467">
        <v>0.8015867395308538</v>
      </c>
      <c r="AG485" s="468">
        <v>1.4939546937181127E-3</v>
      </c>
      <c r="AH485" s="218">
        <v>161.76273801508327</v>
      </c>
      <c r="AI485" s="470">
        <v>0.51470104896776503</v>
      </c>
      <c r="AJ485" s="471">
        <v>1.0165446618950584E-3</v>
      </c>
      <c r="AK485" s="218">
        <v>161.76273801508327</v>
      </c>
      <c r="AL485" s="470">
        <v>0.51470104896776503</v>
      </c>
      <c r="AM485" s="471">
        <v>1.0165446618950584E-3</v>
      </c>
      <c r="AN485" s="477">
        <v>161.76273801508327</v>
      </c>
      <c r="AO485" s="473">
        <v>0.51470104896776503</v>
      </c>
      <c r="AP485" s="474">
        <v>1.0238780118920583E-3</v>
      </c>
      <c r="AQ485" s="352"/>
      <c r="AR485" s="352"/>
      <c r="AS485" s="352"/>
      <c r="AT485" s="352"/>
      <c r="AU485" s="352"/>
      <c r="AV485" s="352"/>
      <c r="AW485" s="352" t="s">
        <v>254</v>
      </c>
    </row>
    <row r="486" spans="2:49" x14ac:dyDescent="0.2">
      <c r="B486" s="460" t="s">
        <v>2505</v>
      </c>
      <c r="C486" s="460">
        <v>1241</v>
      </c>
      <c r="D486" s="460" t="s">
        <v>2283</v>
      </c>
      <c r="E486" s="460" t="s">
        <v>2277</v>
      </c>
      <c r="F486" s="460">
        <v>4</v>
      </c>
      <c r="G486" s="460">
        <v>1</v>
      </c>
      <c r="H486" s="461" t="s">
        <v>712</v>
      </c>
      <c r="I486" s="461" t="s">
        <v>713</v>
      </c>
      <c r="J486" s="461" t="s">
        <v>712</v>
      </c>
      <c r="K486" s="594"/>
      <c r="L486" s="594"/>
      <c r="M486" s="352">
        <v>1000</v>
      </c>
      <c r="N486" s="352" t="s">
        <v>698</v>
      </c>
      <c r="O486" s="460">
        <v>1241</v>
      </c>
      <c r="P486" s="460" t="s">
        <v>1872</v>
      </c>
      <c r="Q486" s="460" t="s">
        <v>2280</v>
      </c>
      <c r="R486" s="460">
        <v>1241</v>
      </c>
      <c r="S486" s="460" t="s">
        <v>2277</v>
      </c>
      <c r="T486" s="462">
        <v>1</v>
      </c>
      <c r="U486" s="460" t="s">
        <v>2277</v>
      </c>
      <c r="V486" s="475">
        <v>0</v>
      </c>
      <c r="W486" s="463" t="s">
        <v>713</v>
      </c>
      <c r="X486" s="463" t="s">
        <v>713</v>
      </c>
      <c r="Y486" s="463" t="s">
        <v>713</v>
      </c>
      <c r="Z486" s="463"/>
      <c r="AA486" s="463"/>
      <c r="AB486" s="464">
        <v>238.49966326824713</v>
      </c>
      <c r="AC486" s="465">
        <v>0.99463544250498814</v>
      </c>
      <c r="AD486" s="465">
        <v>1.238594307979361E-3</v>
      </c>
      <c r="AE486" s="476">
        <v>239.0142016011749</v>
      </c>
      <c r="AF486" s="467">
        <v>0.99678126550299284</v>
      </c>
      <c r="AG486" s="468">
        <v>1.2410979701049816E-3</v>
      </c>
      <c r="AH486" s="218">
        <v>238.4996632682471</v>
      </c>
      <c r="AI486" s="470">
        <v>0.99463544250498803</v>
      </c>
      <c r="AJ486" s="471">
        <v>1.2384879680443742E-3</v>
      </c>
      <c r="AK486" s="218">
        <v>238.4996632682471</v>
      </c>
      <c r="AL486" s="470">
        <v>0.99463544250498803</v>
      </c>
      <c r="AM486" s="471">
        <v>1.2384879680443742E-3</v>
      </c>
      <c r="AN486" s="477">
        <v>238.4996632682471</v>
      </c>
      <c r="AO486" s="473">
        <v>0.99463544250498803</v>
      </c>
      <c r="AP486" s="474">
        <v>1.2384941436581099E-3</v>
      </c>
      <c r="AQ486" s="352"/>
      <c r="AR486" s="352"/>
      <c r="AS486" s="352"/>
      <c r="AT486" s="352"/>
      <c r="AU486" s="352"/>
      <c r="AV486" s="352"/>
      <c r="AW486" s="352" t="s">
        <v>254</v>
      </c>
    </row>
    <row r="487" spans="2:49" x14ac:dyDescent="0.2">
      <c r="B487" s="460" t="s">
        <v>2501</v>
      </c>
      <c r="C487" s="460">
        <v>1241</v>
      </c>
      <c r="D487" s="460" t="s">
        <v>2284</v>
      </c>
      <c r="E487" s="460" t="s">
        <v>2265</v>
      </c>
      <c r="F487" s="460">
        <v>1</v>
      </c>
      <c r="G487" s="460">
        <v>1</v>
      </c>
      <c r="H487" s="461" t="s">
        <v>746</v>
      </c>
      <c r="I487" s="461" t="s">
        <v>762</v>
      </c>
      <c r="J487" s="461" t="s">
        <v>700</v>
      </c>
      <c r="K487" s="594"/>
      <c r="L487" s="594"/>
      <c r="M487" s="352">
        <v>1000</v>
      </c>
      <c r="N487" s="352" t="s">
        <v>698</v>
      </c>
      <c r="O487" s="460">
        <v>1241</v>
      </c>
      <c r="P487" s="460" t="s">
        <v>1872</v>
      </c>
      <c r="Q487" s="460" t="s">
        <v>2444</v>
      </c>
      <c r="R487" s="460">
        <v>1241</v>
      </c>
      <c r="S487" s="460" t="s">
        <v>2265</v>
      </c>
      <c r="T487" s="462">
        <v>1</v>
      </c>
      <c r="U487" s="460" t="s">
        <v>2265</v>
      </c>
      <c r="V487" s="475">
        <v>0</v>
      </c>
      <c r="W487" s="463" t="s">
        <v>2268</v>
      </c>
      <c r="X487" s="463" t="s">
        <v>2268</v>
      </c>
      <c r="Y487" s="463" t="s">
        <v>2290</v>
      </c>
      <c r="Z487" s="463"/>
      <c r="AA487" s="463"/>
      <c r="AB487" s="464">
        <v>0</v>
      </c>
      <c r="AC487" s="465">
        <v>0</v>
      </c>
      <c r="AD487" s="465">
        <v>0</v>
      </c>
      <c r="AE487" s="476">
        <v>0</v>
      </c>
      <c r="AF487" s="467">
        <v>0</v>
      </c>
      <c r="AG487" s="468">
        <v>0</v>
      </c>
      <c r="AH487" s="218">
        <v>0</v>
      </c>
      <c r="AI487" s="470">
        <v>0</v>
      </c>
      <c r="AJ487" s="471">
        <v>0</v>
      </c>
      <c r="AK487" s="218">
        <v>0</v>
      </c>
      <c r="AL487" s="470">
        <v>0</v>
      </c>
      <c r="AM487" s="471">
        <v>0</v>
      </c>
      <c r="AN487" s="477">
        <v>0</v>
      </c>
      <c r="AO487" s="473">
        <v>0</v>
      </c>
      <c r="AP487" s="474">
        <v>0</v>
      </c>
      <c r="AQ487" s="352"/>
      <c r="AR487" s="352"/>
      <c r="AS487" s="352"/>
      <c r="AT487" s="352"/>
      <c r="AU487" s="352"/>
      <c r="AV487" s="352"/>
      <c r="AW487" s="352" t="s">
        <v>254</v>
      </c>
    </row>
    <row r="488" spans="2:49" x14ac:dyDescent="0.2">
      <c r="B488" s="460" t="s">
        <v>2502</v>
      </c>
      <c r="C488" s="460">
        <v>1241</v>
      </c>
      <c r="D488" s="460" t="s">
        <v>2285</v>
      </c>
      <c r="E488" s="460" t="s">
        <v>2271</v>
      </c>
      <c r="F488" s="460">
        <v>2</v>
      </c>
      <c r="G488" s="460">
        <v>1</v>
      </c>
      <c r="H488" s="461" t="s">
        <v>746</v>
      </c>
      <c r="I488" s="461" t="s">
        <v>762</v>
      </c>
      <c r="J488" s="461" t="s">
        <v>700</v>
      </c>
      <c r="K488" s="594"/>
      <c r="L488" s="594"/>
      <c r="M488" s="352">
        <v>1000</v>
      </c>
      <c r="N488" s="352" t="s">
        <v>698</v>
      </c>
      <c r="O488" s="460">
        <v>1241</v>
      </c>
      <c r="P488" s="460" t="s">
        <v>1872</v>
      </c>
      <c r="Q488" s="460" t="s">
        <v>2444</v>
      </c>
      <c r="R488" s="460">
        <v>1241</v>
      </c>
      <c r="S488" s="460" t="s">
        <v>2265</v>
      </c>
      <c r="T488" s="462">
        <v>1</v>
      </c>
      <c r="U488" s="460" t="s">
        <v>2271</v>
      </c>
      <c r="V488" s="475">
        <v>0</v>
      </c>
      <c r="W488" s="463" t="s">
        <v>2268</v>
      </c>
      <c r="X488" s="463" t="s">
        <v>2268</v>
      </c>
      <c r="Y488" s="463" t="s">
        <v>2290</v>
      </c>
      <c r="Z488" s="463"/>
      <c r="AA488" s="463"/>
      <c r="AB488" s="464">
        <v>0</v>
      </c>
      <c r="AC488" s="465">
        <v>0</v>
      </c>
      <c r="AD488" s="465">
        <v>0</v>
      </c>
      <c r="AE488" s="476">
        <v>0</v>
      </c>
      <c r="AF488" s="467">
        <v>0</v>
      </c>
      <c r="AG488" s="468">
        <v>0</v>
      </c>
      <c r="AH488" s="218">
        <v>0</v>
      </c>
      <c r="AI488" s="470">
        <v>0</v>
      </c>
      <c r="AJ488" s="471">
        <v>0</v>
      </c>
      <c r="AK488" s="218">
        <v>0</v>
      </c>
      <c r="AL488" s="470">
        <v>0</v>
      </c>
      <c r="AM488" s="471">
        <v>0</v>
      </c>
      <c r="AN488" s="477">
        <v>0</v>
      </c>
      <c r="AO488" s="473">
        <v>0</v>
      </c>
      <c r="AP488" s="474">
        <v>0</v>
      </c>
      <c r="AQ488" s="352"/>
      <c r="AR488" s="352"/>
      <c r="AS488" s="352"/>
      <c r="AT488" s="352"/>
      <c r="AU488" s="352"/>
      <c r="AV488" s="352"/>
      <c r="AW488" s="352" t="s">
        <v>254</v>
      </c>
    </row>
    <row r="489" spans="2:49" x14ac:dyDescent="0.2">
      <c r="B489" s="460" t="s">
        <v>2504</v>
      </c>
      <c r="C489" s="460">
        <v>1241</v>
      </c>
      <c r="D489" s="460" t="s">
        <v>2286</v>
      </c>
      <c r="E489" s="460" t="s">
        <v>2274</v>
      </c>
      <c r="F489" s="460">
        <v>3</v>
      </c>
      <c r="G489" s="460">
        <v>1</v>
      </c>
      <c r="H489" s="461" t="s">
        <v>746</v>
      </c>
      <c r="I489" s="461" t="s">
        <v>762</v>
      </c>
      <c r="J489" s="461" t="s">
        <v>700</v>
      </c>
      <c r="K489" s="594"/>
      <c r="L489" s="594"/>
      <c r="M489" s="352">
        <v>1000</v>
      </c>
      <c r="N489" s="352" t="s">
        <v>698</v>
      </c>
      <c r="O489" s="460">
        <v>1241</v>
      </c>
      <c r="P489" s="460" t="s">
        <v>1872</v>
      </c>
      <c r="Q489" s="460" t="s">
        <v>2444</v>
      </c>
      <c r="R489" s="460">
        <v>1241</v>
      </c>
      <c r="S489" s="460" t="s">
        <v>2265</v>
      </c>
      <c r="T489" s="462">
        <v>0.74223365950407583</v>
      </c>
      <c r="U489" s="460" t="s">
        <v>2274</v>
      </c>
      <c r="V489" s="475">
        <v>0</v>
      </c>
      <c r="W489" s="463" t="s">
        <v>2268</v>
      </c>
      <c r="X489" s="463" t="s">
        <v>2268</v>
      </c>
      <c r="Y489" s="463" t="s">
        <v>2290</v>
      </c>
      <c r="Z489" s="463"/>
      <c r="AA489" s="463"/>
      <c r="AB489" s="464">
        <v>0</v>
      </c>
      <c r="AC489" s="465">
        <v>0</v>
      </c>
      <c r="AD489" s="465">
        <v>0</v>
      </c>
      <c r="AE489" s="476">
        <v>0</v>
      </c>
      <c r="AF489" s="467">
        <v>0</v>
      </c>
      <c r="AG489" s="468">
        <v>0</v>
      </c>
      <c r="AH489" s="218">
        <v>0</v>
      </c>
      <c r="AI489" s="470">
        <v>0</v>
      </c>
      <c r="AJ489" s="471">
        <v>0</v>
      </c>
      <c r="AK489" s="218">
        <v>0</v>
      </c>
      <c r="AL489" s="470">
        <v>0</v>
      </c>
      <c r="AM489" s="471">
        <v>0</v>
      </c>
      <c r="AN489" s="477">
        <v>0</v>
      </c>
      <c r="AO489" s="473">
        <v>0</v>
      </c>
      <c r="AP489" s="474">
        <v>0</v>
      </c>
      <c r="AQ489" s="352"/>
      <c r="AR489" s="352"/>
      <c r="AS489" s="352"/>
      <c r="AT489" s="352"/>
      <c r="AU489" s="352"/>
      <c r="AV489" s="352"/>
      <c r="AW489" s="352" t="s">
        <v>254</v>
      </c>
    </row>
    <row r="490" spans="2:49" x14ac:dyDescent="0.2">
      <c r="B490" s="460" t="s">
        <v>2505</v>
      </c>
      <c r="C490" s="460">
        <v>1241</v>
      </c>
      <c r="D490" s="460" t="s">
        <v>2287</v>
      </c>
      <c r="E490" s="460" t="s">
        <v>2277</v>
      </c>
      <c r="F490" s="460">
        <v>4</v>
      </c>
      <c r="G490" s="460">
        <v>1</v>
      </c>
      <c r="H490" s="461" t="s">
        <v>746</v>
      </c>
      <c r="I490" s="461" t="s">
        <v>762</v>
      </c>
      <c r="J490" s="461" t="s">
        <v>700</v>
      </c>
      <c r="K490" s="594"/>
      <c r="L490" s="594"/>
      <c r="M490" s="352">
        <v>1000</v>
      </c>
      <c r="N490" s="352" t="s">
        <v>698</v>
      </c>
      <c r="O490" s="460">
        <v>1241</v>
      </c>
      <c r="P490" s="460" t="s">
        <v>1872</v>
      </c>
      <c r="Q490" s="460" t="s">
        <v>2444</v>
      </c>
      <c r="R490" s="460">
        <v>1241</v>
      </c>
      <c r="S490" s="460" t="s">
        <v>2277</v>
      </c>
      <c r="T490" s="462">
        <v>1</v>
      </c>
      <c r="U490" s="460" t="s">
        <v>2277</v>
      </c>
      <c r="V490" s="475">
        <v>0</v>
      </c>
      <c r="W490" s="463" t="s">
        <v>2268</v>
      </c>
      <c r="X490" s="463" t="s">
        <v>2268</v>
      </c>
      <c r="Y490" s="463" t="s">
        <v>2290</v>
      </c>
      <c r="Z490" s="463"/>
      <c r="AA490" s="463"/>
      <c r="AB490" s="464">
        <v>0</v>
      </c>
      <c r="AC490" s="465">
        <v>0</v>
      </c>
      <c r="AD490" s="465">
        <v>0</v>
      </c>
      <c r="AE490" s="476">
        <v>0</v>
      </c>
      <c r="AF490" s="467">
        <v>0</v>
      </c>
      <c r="AG490" s="468">
        <v>0</v>
      </c>
      <c r="AH490" s="218">
        <v>0</v>
      </c>
      <c r="AI490" s="470">
        <v>0</v>
      </c>
      <c r="AJ490" s="471">
        <v>0</v>
      </c>
      <c r="AK490" s="218">
        <v>0</v>
      </c>
      <c r="AL490" s="470">
        <v>0</v>
      </c>
      <c r="AM490" s="471">
        <v>0</v>
      </c>
      <c r="AN490" s="477">
        <v>0</v>
      </c>
      <c r="AO490" s="473">
        <v>0</v>
      </c>
      <c r="AP490" s="474">
        <v>0</v>
      </c>
      <c r="AQ490" s="352"/>
      <c r="AR490" s="352"/>
      <c r="AS490" s="352"/>
      <c r="AT490" s="352"/>
      <c r="AU490" s="352"/>
      <c r="AV490" s="352"/>
      <c r="AW490" s="352" t="s">
        <v>254</v>
      </c>
    </row>
    <row r="491" spans="2:49" x14ac:dyDescent="0.2">
      <c r="B491" s="460" t="s">
        <v>2501</v>
      </c>
      <c r="C491" s="460">
        <v>1241</v>
      </c>
      <c r="D491" s="460" t="s">
        <v>2288</v>
      </c>
      <c r="E491" s="460" t="s">
        <v>2265</v>
      </c>
      <c r="F491" s="460">
        <v>1</v>
      </c>
      <c r="G491" s="460">
        <v>1</v>
      </c>
      <c r="H491" s="461" t="s">
        <v>748</v>
      </c>
      <c r="I491" s="461" t="s">
        <v>765</v>
      </c>
      <c r="J491" s="461" t="s">
        <v>700</v>
      </c>
      <c r="K491" s="594"/>
      <c r="L491" s="594"/>
      <c r="M491" s="352">
        <v>1000</v>
      </c>
      <c r="N491" s="352" t="s">
        <v>698</v>
      </c>
      <c r="O491" s="460">
        <v>1241</v>
      </c>
      <c r="P491" s="460" t="s">
        <v>1872</v>
      </c>
      <c r="Q491" s="460" t="s">
        <v>2440</v>
      </c>
      <c r="R491" s="460">
        <v>1241</v>
      </c>
      <c r="S491" s="460" t="s">
        <v>2265</v>
      </c>
      <c r="T491" s="462">
        <v>1</v>
      </c>
      <c r="U491" s="460" t="s">
        <v>2265</v>
      </c>
      <c r="V491" s="475">
        <v>0</v>
      </c>
      <c r="W491" s="463" t="s">
        <v>2268</v>
      </c>
      <c r="X491" s="463" t="s">
        <v>2268</v>
      </c>
      <c r="Y491" s="463" t="s">
        <v>2267</v>
      </c>
      <c r="Z491" s="463"/>
      <c r="AA491" s="463"/>
      <c r="AB491" s="464">
        <v>0</v>
      </c>
      <c r="AC491" s="465">
        <v>0</v>
      </c>
      <c r="AD491" s="465">
        <v>0</v>
      </c>
      <c r="AE491" s="476">
        <v>0</v>
      </c>
      <c r="AF491" s="467">
        <v>0</v>
      </c>
      <c r="AG491" s="468">
        <v>0</v>
      </c>
      <c r="AH491" s="218">
        <v>0</v>
      </c>
      <c r="AI491" s="470">
        <v>0</v>
      </c>
      <c r="AJ491" s="471">
        <v>0</v>
      </c>
      <c r="AK491" s="218">
        <v>0</v>
      </c>
      <c r="AL491" s="470">
        <v>0</v>
      </c>
      <c r="AM491" s="471">
        <v>0</v>
      </c>
      <c r="AN491" s="477">
        <v>562.43560038366684</v>
      </c>
      <c r="AO491" s="473">
        <v>0.65383581681877379</v>
      </c>
      <c r="AP491" s="474">
        <v>3.4927595045901025E-2</v>
      </c>
      <c r="AQ491" s="352"/>
      <c r="AR491" s="352"/>
      <c r="AS491" s="352"/>
      <c r="AT491" s="352"/>
      <c r="AU491" s="352"/>
      <c r="AV491" s="352"/>
      <c r="AW491" s="352" t="s">
        <v>254</v>
      </c>
    </row>
    <row r="492" spans="2:49" x14ac:dyDescent="0.2">
      <c r="B492" s="460" t="s">
        <v>2502</v>
      </c>
      <c r="C492" s="460">
        <v>1241</v>
      </c>
      <c r="D492" s="460" t="s">
        <v>2291</v>
      </c>
      <c r="E492" s="460" t="s">
        <v>2271</v>
      </c>
      <c r="F492" s="460">
        <v>2</v>
      </c>
      <c r="G492" s="460">
        <v>1</v>
      </c>
      <c r="H492" s="461" t="s">
        <v>748</v>
      </c>
      <c r="I492" s="461" t="s">
        <v>765</v>
      </c>
      <c r="J492" s="461" t="s">
        <v>700</v>
      </c>
      <c r="K492" s="594"/>
      <c r="L492" s="594"/>
      <c r="M492" s="352">
        <v>1000</v>
      </c>
      <c r="N492" s="352" t="s">
        <v>698</v>
      </c>
      <c r="O492" s="460">
        <v>1241</v>
      </c>
      <c r="P492" s="460" t="s">
        <v>1872</v>
      </c>
      <c r="Q492" s="460" t="s">
        <v>2440</v>
      </c>
      <c r="R492" s="460">
        <v>1241</v>
      </c>
      <c r="S492" s="460" t="s">
        <v>2265</v>
      </c>
      <c r="T492" s="462">
        <v>1</v>
      </c>
      <c r="U492" s="460" t="s">
        <v>2271</v>
      </c>
      <c r="V492" s="475">
        <v>0</v>
      </c>
      <c r="W492" s="463" t="s">
        <v>2268</v>
      </c>
      <c r="X492" s="463" t="s">
        <v>2268</v>
      </c>
      <c r="Y492" s="463" t="s">
        <v>2267</v>
      </c>
      <c r="Z492" s="463"/>
      <c r="AA492" s="463"/>
      <c r="AB492" s="464">
        <v>0</v>
      </c>
      <c r="AC492" s="465">
        <v>0</v>
      </c>
      <c r="AD492" s="465">
        <v>0</v>
      </c>
      <c r="AE492" s="476">
        <v>0</v>
      </c>
      <c r="AF492" s="467">
        <v>0</v>
      </c>
      <c r="AG492" s="468">
        <v>0</v>
      </c>
      <c r="AH492" s="218">
        <v>0</v>
      </c>
      <c r="AI492" s="470">
        <v>0</v>
      </c>
      <c r="AJ492" s="471">
        <v>0</v>
      </c>
      <c r="AK492" s="218">
        <v>0</v>
      </c>
      <c r="AL492" s="470">
        <v>0</v>
      </c>
      <c r="AM492" s="471">
        <v>0</v>
      </c>
      <c r="AN492" s="477">
        <v>417.96425321969645</v>
      </c>
      <c r="AO492" s="473">
        <v>0.65383581681877379</v>
      </c>
      <c r="AP492" s="474">
        <v>2.6584230683130941E-2</v>
      </c>
      <c r="AQ492" s="352"/>
      <c r="AR492" s="352"/>
      <c r="AS492" s="352"/>
      <c r="AT492" s="352"/>
      <c r="AU492" s="352"/>
      <c r="AV492" s="352"/>
      <c r="AW492" s="352" t="s">
        <v>254</v>
      </c>
    </row>
    <row r="493" spans="2:49" x14ac:dyDescent="0.2">
      <c r="B493" s="460" t="s">
        <v>2504</v>
      </c>
      <c r="C493" s="460">
        <v>1241</v>
      </c>
      <c r="D493" s="460" t="s">
        <v>2292</v>
      </c>
      <c r="E493" s="460" t="s">
        <v>2274</v>
      </c>
      <c r="F493" s="460">
        <v>3</v>
      </c>
      <c r="G493" s="460">
        <v>1</v>
      </c>
      <c r="H493" s="461" t="s">
        <v>748</v>
      </c>
      <c r="I493" s="461" t="s">
        <v>765</v>
      </c>
      <c r="J493" s="461" t="s">
        <v>700</v>
      </c>
      <c r="K493" s="594"/>
      <c r="L493" s="594"/>
      <c r="M493" s="352">
        <v>1000</v>
      </c>
      <c r="N493" s="352" t="s">
        <v>698</v>
      </c>
      <c r="O493" s="460">
        <v>1241</v>
      </c>
      <c r="P493" s="460" t="s">
        <v>1872</v>
      </c>
      <c r="Q493" s="460" t="s">
        <v>2440</v>
      </c>
      <c r="R493" s="460">
        <v>1241</v>
      </c>
      <c r="S493" s="460" t="s">
        <v>2265</v>
      </c>
      <c r="T493" s="462">
        <v>0.74223365950407583</v>
      </c>
      <c r="U493" s="460" t="s">
        <v>2274</v>
      </c>
      <c r="V493" s="475">
        <v>0</v>
      </c>
      <c r="W493" s="463" t="s">
        <v>2268</v>
      </c>
      <c r="X493" s="463" t="s">
        <v>2268</v>
      </c>
      <c r="Y493" s="463" t="s">
        <v>2267</v>
      </c>
      <c r="Z493" s="463"/>
      <c r="AA493" s="463"/>
      <c r="AB493" s="464">
        <v>0</v>
      </c>
      <c r="AC493" s="465">
        <v>0</v>
      </c>
      <c r="AD493" s="465">
        <v>0</v>
      </c>
      <c r="AE493" s="476">
        <v>0</v>
      </c>
      <c r="AF493" s="467">
        <v>0</v>
      </c>
      <c r="AG493" s="468">
        <v>0</v>
      </c>
      <c r="AH493" s="218">
        <v>0</v>
      </c>
      <c r="AI493" s="470">
        <v>0</v>
      </c>
      <c r="AJ493" s="471">
        <v>0</v>
      </c>
      <c r="AK493" s="218">
        <v>0</v>
      </c>
      <c r="AL493" s="470">
        <v>0</v>
      </c>
      <c r="AM493" s="471">
        <v>0</v>
      </c>
      <c r="AN493" s="477">
        <v>152.52210430163453</v>
      </c>
      <c r="AO493" s="473">
        <v>0.48529895103223503</v>
      </c>
      <c r="AP493" s="474">
        <v>2.1474622600018659E-2</v>
      </c>
      <c r="AQ493" s="352"/>
      <c r="AR493" s="352"/>
      <c r="AS493" s="352"/>
      <c r="AT493" s="352"/>
      <c r="AU493" s="352"/>
      <c r="AV493" s="352"/>
      <c r="AW493" s="352" t="s">
        <v>254</v>
      </c>
    </row>
    <row r="494" spans="2:49" x14ac:dyDescent="0.2">
      <c r="B494" s="460" t="s">
        <v>2505</v>
      </c>
      <c r="C494" s="460">
        <v>1241</v>
      </c>
      <c r="D494" s="460" t="s">
        <v>2293</v>
      </c>
      <c r="E494" s="460" t="s">
        <v>2277</v>
      </c>
      <c r="F494" s="460">
        <v>4</v>
      </c>
      <c r="G494" s="460">
        <v>1</v>
      </c>
      <c r="H494" s="461" t="s">
        <v>748</v>
      </c>
      <c r="I494" s="461" t="s">
        <v>765</v>
      </c>
      <c r="J494" s="461" t="s">
        <v>700</v>
      </c>
      <c r="K494" s="594"/>
      <c r="L494" s="594"/>
      <c r="M494" s="352">
        <v>1000</v>
      </c>
      <c r="N494" s="352" t="s">
        <v>698</v>
      </c>
      <c r="O494" s="460">
        <v>1241</v>
      </c>
      <c r="P494" s="460" t="s">
        <v>1872</v>
      </c>
      <c r="Q494" s="460" t="s">
        <v>2440</v>
      </c>
      <c r="R494" s="460">
        <v>1241</v>
      </c>
      <c r="S494" s="460" t="s">
        <v>2277</v>
      </c>
      <c r="T494" s="462">
        <v>1</v>
      </c>
      <c r="U494" s="460" t="s">
        <v>2277</v>
      </c>
      <c r="V494" s="475">
        <v>0</v>
      </c>
      <c r="W494" s="463" t="s">
        <v>2268</v>
      </c>
      <c r="X494" s="463" t="s">
        <v>2268</v>
      </c>
      <c r="Y494" s="463" t="s">
        <v>2278</v>
      </c>
      <c r="Z494" s="463"/>
      <c r="AA494" s="463"/>
      <c r="AB494" s="464">
        <v>0</v>
      </c>
      <c r="AC494" s="465">
        <v>0</v>
      </c>
      <c r="AD494" s="465">
        <v>0</v>
      </c>
      <c r="AE494" s="476">
        <v>0</v>
      </c>
      <c r="AF494" s="467">
        <v>0</v>
      </c>
      <c r="AG494" s="468">
        <v>0</v>
      </c>
      <c r="AH494" s="218">
        <v>0</v>
      </c>
      <c r="AI494" s="470">
        <v>0</v>
      </c>
      <c r="AJ494" s="471">
        <v>0</v>
      </c>
      <c r="AK494" s="218">
        <v>0</v>
      </c>
      <c r="AL494" s="470">
        <v>0</v>
      </c>
      <c r="AM494" s="471">
        <v>0</v>
      </c>
      <c r="AN494" s="477">
        <v>1.2863458323194399</v>
      </c>
      <c r="AO494" s="473">
        <v>5.3645574950119158E-3</v>
      </c>
      <c r="AP494" s="474">
        <v>3.1060322994961333E-2</v>
      </c>
      <c r="AQ494" s="352"/>
      <c r="AR494" s="352"/>
      <c r="AS494" s="352"/>
      <c r="AT494" s="352"/>
      <c r="AU494" s="352"/>
      <c r="AV494" s="352"/>
      <c r="AW494" s="352" t="s">
        <v>254</v>
      </c>
    </row>
    <row r="495" spans="2:49" x14ac:dyDescent="0.2">
      <c r="B495" s="460" t="s">
        <v>2506</v>
      </c>
      <c r="C495" s="460">
        <v>1241</v>
      </c>
      <c r="D495" s="460" t="s">
        <v>2295</v>
      </c>
      <c r="E495" s="460" t="s">
        <v>2296</v>
      </c>
      <c r="F495" s="460">
        <v>1</v>
      </c>
      <c r="G495" s="460">
        <v>2</v>
      </c>
      <c r="H495" s="461" t="s">
        <v>700</v>
      </c>
      <c r="I495" s="461" t="s">
        <v>872</v>
      </c>
      <c r="J495" s="461" t="s">
        <v>700</v>
      </c>
      <c r="K495" s="594"/>
      <c r="L495" s="594"/>
      <c r="M495" s="352">
        <v>1000</v>
      </c>
      <c r="N495" s="352" t="s">
        <v>698</v>
      </c>
      <c r="O495" s="460">
        <v>1241</v>
      </c>
      <c r="P495" s="460" t="s">
        <v>1872</v>
      </c>
      <c r="Q495" s="460" t="s">
        <v>2440</v>
      </c>
      <c r="R495" s="460">
        <v>1241</v>
      </c>
      <c r="S495" s="460" t="s">
        <v>2296</v>
      </c>
      <c r="T495" s="462">
        <v>1</v>
      </c>
      <c r="U495" s="460" t="s">
        <v>2296</v>
      </c>
      <c r="V495" s="475">
        <v>0</v>
      </c>
      <c r="W495" s="463" t="s">
        <v>2267</v>
      </c>
      <c r="X495" s="463" t="s">
        <v>2267</v>
      </c>
      <c r="Y495" s="463" t="s">
        <v>2268</v>
      </c>
      <c r="Z495" s="463"/>
      <c r="AA495" s="463"/>
      <c r="AB495" s="464">
        <v>70.849086077981312</v>
      </c>
      <c r="AC495" s="465">
        <v>0.30760289669360702</v>
      </c>
      <c r="AD495" s="465">
        <v>4.1385591166532495E-3</v>
      </c>
      <c r="AE495" s="476">
        <v>70.849086077981312</v>
      </c>
      <c r="AF495" s="467">
        <v>0.30760289669360702</v>
      </c>
      <c r="AG495" s="468">
        <v>4.6002339030069162E-3</v>
      </c>
      <c r="AH495" s="218">
        <v>70.849086077981312</v>
      </c>
      <c r="AI495" s="470">
        <v>0.30760289669360702</v>
      </c>
      <c r="AJ495" s="471">
        <v>4.2263848592421242E-3</v>
      </c>
      <c r="AK495" s="218">
        <v>70.849086077981312</v>
      </c>
      <c r="AL495" s="470">
        <v>0.30760289669360702</v>
      </c>
      <c r="AM495" s="471">
        <v>4.2263848592421242E-3</v>
      </c>
      <c r="AN495" s="477">
        <v>0</v>
      </c>
      <c r="AO495" s="473">
        <v>0</v>
      </c>
      <c r="AP495" s="474">
        <v>0</v>
      </c>
      <c r="AQ495" s="352"/>
      <c r="AR495" s="352"/>
      <c r="AS495" s="352"/>
      <c r="AT495" s="352"/>
      <c r="AU495" s="352"/>
      <c r="AV495" s="352"/>
      <c r="AW495" s="352" t="s">
        <v>254</v>
      </c>
    </row>
    <row r="496" spans="2:49" x14ac:dyDescent="0.2">
      <c r="B496" s="460" t="s">
        <v>2507</v>
      </c>
      <c r="C496" s="460">
        <v>1241</v>
      </c>
      <c r="D496" s="460" t="s">
        <v>2298</v>
      </c>
      <c r="E496" s="460" t="s">
        <v>2299</v>
      </c>
      <c r="F496" s="460">
        <v>2</v>
      </c>
      <c r="G496" s="460">
        <v>2</v>
      </c>
      <c r="H496" s="461" t="s">
        <v>700</v>
      </c>
      <c r="I496" s="461" t="s">
        <v>872</v>
      </c>
      <c r="J496" s="461" t="s">
        <v>700</v>
      </c>
      <c r="K496" s="594"/>
      <c r="L496" s="594"/>
      <c r="M496" s="352">
        <v>1000</v>
      </c>
      <c r="N496" s="352" t="s">
        <v>698</v>
      </c>
      <c r="O496" s="460">
        <v>1241</v>
      </c>
      <c r="P496" s="460" t="s">
        <v>1872</v>
      </c>
      <c r="Q496" s="460" t="s">
        <v>2440</v>
      </c>
      <c r="R496" s="460">
        <v>1241</v>
      </c>
      <c r="S496" s="460" t="s">
        <v>2296</v>
      </c>
      <c r="T496" s="462">
        <v>0.55517361979372948</v>
      </c>
      <c r="U496" s="460" t="s">
        <v>2299</v>
      </c>
      <c r="V496" s="475">
        <v>0</v>
      </c>
      <c r="W496" s="463" t="s">
        <v>2503</v>
      </c>
      <c r="X496" s="463" t="s">
        <v>2267</v>
      </c>
      <c r="Y496" s="463" t="s">
        <v>2268</v>
      </c>
      <c r="Z496" s="463"/>
      <c r="AA496" s="463"/>
      <c r="AB496" s="464">
        <v>13.330152134098864</v>
      </c>
      <c r="AC496" s="465">
        <v>0.29586066101639058</v>
      </c>
      <c r="AD496" s="465">
        <v>4.0334298847124871E-3</v>
      </c>
      <c r="AE496" s="476">
        <v>7.9980912804593185</v>
      </c>
      <c r="AF496" s="467">
        <v>0.17751639660983434</v>
      </c>
      <c r="AG496" s="468">
        <v>2.7157721413524666E-3</v>
      </c>
      <c r="AH496" s="218">
        <v>13.330152134098865</v>
      </c>
      <c r="AI496" s="470">
        <v>0.29586066101639058</v>
      </c>
      <c r="AJ496" s="471">
        <v>3.1390852493871999E-3</v>
      </c>
      <c r="AK496" s="218">
        <v>13.330152134098865</v>
      </c>
      <c r="AL496" s="470">
        <v>0.29586066101639058</v>
      </c>
      <c r="AM496" s="471">
        <v>3.1390852493871999E-3</v>
      </c>
      <c r="AN496" s="477">
        <v>0</v>
      </c>
      <c r="AO496" s="473">
        <v>0</v>
      </c>
      <c r="AP496" s="474">
        <v>0</v>
      </c>
      <c r="AQ496" s="352"/>
      <c r="AR496" s="352"/>
      <c r="AS496" s="352"/>
      <c r="AT496" s="352"/>
      <c r="AU496" s="352"/>
      <c r="AV496" s="352"/>
      <c r="AW496" s="352" t="s">
        <v>254</v>
      </c>
    </row>
    <row r="497" spans="2:49" x14ac:dyDescent="0.2">
      <c r="B497" s="460" t="s">
        <v>2508</v>
      </c>
      <c r="C497" s="460">
        <v>1241</v>
      </c>
      <c r="D497" s="460" t="s">
        <v>2301</v>
      </c>
      <c r="E497" s="460" t="s">
        <v>2302</v>
      </c>
      <c r="F497" s="460">
        <v>3</v>
      </c>
      <c r="G497" s="460">
        <v>2</v>
      </c>
      <c r="H497" s="461" t="s">
        <v>700</v>
      </c>
      <c r="I497" s="461" t="s">
        <v>872</v>
      </c>
      <c r="J497" s="461" t="s">
        <v>700</v>
      </c>
      <c r="K497" s="594"/>
      <c r="L497" s="594"/>
      <c r="M497" s="352">
        <v>1000</v>
      </c>
      <c r="N497" s="352" t="s">
        <v>698</v>
      </c>
      <c r="O497" s="460">
        <v>1241</v>
      </c>
      <c r="P497" s="460" t="s">
        <v>1872</v>
      </c>
      <c r="Q497" s="460" t="s">
        <v>2440</v>
      </c>
      <c r="R497" s="460">
        <v>1241</v>
      </c>
      <c r="S497" s="460" t="s">
        <v>2296</v>
      </c>
      <c r="T497" s="462">
        <v>0.28481449642268464</v>
      </c>
      <c r="U497" s="460" t="s">
        <v>2302</v>
      </c>
      <c r="V497" s="475">
        <v>0</v>
      </c>
      <c r="W497" s="463" t="s">
        <v>2503</v>
      </c>
      <c r="X497" s="463" t="s">
        <v>2267</v>
      </c>
      <c r="Y497" s="463" t="s">
        <v>2268</v>
      </c>
      <c r="Z497" s="463"/>
      <c r="AA497" s="463"/>
      <c r="AB497" s="464">
        <v>1.3033351810974794</v>
      </c>
      <c r="AC497" s="465">
        <v>2.417897365999774E-2</v>
      </c>
      <c r="AD497" s="465">
        <v>2.5351666017754682E-3</v>
      </c>
      <c r="AE497" s="476">
        <v>0.7820011086584876</v>
      </c>
      <c r="AF497" s="467">
        <v>1.4507384195998643E-2</v>
      </c>
      <c r="AG497" s="468">
        <v>1.7164677087516717E-3</v>
      </c>
      <c r="AH497" s="218">
        <v>4.7224869587451108</v>
      </c>
      <c r="AI497" s="470">
        <v>8.7609764119948766E-2</v>
      </c>
      <c r="AJ497" s="471">
        <v>4.9025030725480603E-3</v>
      </c>
      <c r="AK497" s="218">
        <v>4.7224869587451108</v>
      </c>
      <c r="AL497" s="470">
        <v>8.7609764119948766E-2</v>
      </c>
      <c r="AM497" s="471">
        <v>4.9025030725480603E-3</v>
      </c>
      <c r="AN497" s="477">
        <v>0</v>
      </c>
      <c r="AO497" s="473">
        <v>0</v>
      </c>
      <c r="AP497" s="474">
        <v>0</v>
      </c>
      <c r="AQ497" s="352"/>
      <c r="AR497" s="352"/>
      <c r="AS497" s="352"/>
      <c r="AT497" s="352"/>
      <c r="AU497" s="352"/>
      <c r="AV497" s="352"/>
      <c r="AW497" s="352" t="s">
        <v>254</v>
      </c>
    </row>
    <row r="498" spans="2:49" x14ac:dyDescent="0.2">
      <c r="B498" s="460" t="s">
        <v>2509</v>
      </c>
      <c r="C498" s="460">
        <v>1241</v>
      </c>
      <c r="D498" s="460" t="s">
        <v>2304</v>
      </c>
      <c r="E498" s="460" t="s">
        <v>2305</v>
      </c>
      <c r="F498" s="460">
        <v>4</v>
      </c>
      <c r="G498" s="460">
        <v>2</v>
      </c>
      <c r="H498" s="461" t="s">
        <v>700</v>
      </c>
      <c r="I498" s="461" t="s">
        <v>872</v>
      </c>
      <c r="J498" s="461" t="s">
        <v>700</v>
      </c>
      <c r="K498" s="594"/>
      <c r="L498" s="594"/>
      <c r="M498" s="352">
        <v>1000</v>
      </c>
      <c r="N498" s="352" t="s">
        <v>698</v>
      </c>
      <c r="O498" s="460">
        <v>1241</v>
      </c>
      <c r="P498" s="460" t="s">
        <v>1872</v>
      </c>
      <c r="Q498" s="460" t="s">
        <v>2440</v>
      </c>
      <c r="R498" s="460">
        <v>1241</v>
      </c>
      <c r="S498" s="460" t="s">
        <v>2305</v>
      </c>
      <c r="T498" s="462">
        <v>1</v>
      </c>
      <c r="U498" s="460" t="s">
        <v>2305</v>
      </c>
      <c r="V498" s="475">
        <v>0</v>
      </c>
      <c r="W498" s="463" t="s">
        <v>2503</v>
      </c>
      <c r="X498" s="463" t="s">
        <v>2278</v>
      </c>
      <c r="Y498" s="463" t="s">
        <v>2268</v>
      </c>
      <c r="Z498" s="463"/>
      <c r="AA498" s="463"/>
      <c r="AB498" s="464">
        <v>0.11849764687200404</v>
      </c>
      <c r="AC498" s="465">
        <v>1.983001377124702E-3</v>
      </c>
      <c r="AD498" s="465">
        <v>9.3818253410613422E-3</v>
      </c>
      <c r="AE498" s="476">
        <v>7.1098588123202425E-2</v>
      </c>
      <c r="AF498" s="467">
        <v>1.1898008262748211E-3</v>
      </c>
      <c r="AG498" s="468">
        <v>6.2506555837309541E-3</v>
      </c>
      <c r="AH498" s="218">
        <v>0.11849764687200404</v>
      </c>
      <c r="AI498" s="470">
        <v>1.983001377124702E-3</v>
      </c>
      <c r="AJ498" s="471">
        <v>1.0374527573746649E-2</v>
      </c>
      <c r="AK498" s="218">
        <v>0.11849764687200404</v>
      </c>
      <c r="AL498" s="470">
        <v>1.983001377124702E-3</v>
      </c>
      <c r="AM498" s="471">
        <v>1.0374527573746649E-2</v>
      </c>
      <c r="AN498" s="477">
        <v>0</v>
      </c>
      <c r="AO498" s="473">
        <v>0</v>
      </c>
      <c r="AP498" s="474">
        <v>0</v>
      </c>
      <c r="AQ498" s="352"/>
      <c r="AR498" s="352"/>
      <c r="AS498" s="352"/>
      <c r="AT498" s="352"/>
      <c r="AU498" s="352"/>
      <c r="AV498" s="352"/>
      <c r="AW498" s="352" t="s">
        <v>254</v>
      </c>
    </row>
    <row r="499" spans="2:49" x14ac:dyDescent="0.2">
      <c r="B499" s="460" t="s">
        <v>2506</v>
      </c>
      <c r="C499" s="460">
        <v>1241</v>
      </c>
      <c r="D499" s="460" t="s">
        <v>2306</v>
      </c>
      <c r="E499" s="460" t="s">
        <v>2296</v>
      </c>
      <c r="F499" s="460">
        <v>1</v>
      </c>
      <c r="G499" s="460">
        <v>2</v>
      </c>
      <c r="H499" s="461" t="s">
        <v>712</v>
      </c>
      <c r="I499" s="461" t="s">
        <v>713</v>
      </c>
      <c r="J499" s="461" t="s">
        <v>712</v>
      </c>
      <c r="K499" s="594"/>
      <c r="L499" s="594"/>
      <c r="M499" s="352">
        <v>1000</v>
      </c>
      <c r="N499" s="352" t="s">
        <v>698</v>
      </c>
      <c r="O499" s="460">
        <v>1241</v>
      </c>
      <c r="P499" s="460" t="s">
        <v>1872</v>
      </c>
      <c r="Q499" s="460" t="s">
        <v>2280</v>
      </c>
      <c r="R499" s="460">
        <v>1241</v>
      </c>
      <c r="S499" s="460" t="s">
        <v>2296</v>
      </c>
      <c r="T499" s="462">
        <v>1</v>
      </c>
      <c r="U499" s="460" t="s">
        <v>2296</v>
      </c>
      <c r="V499" s="475">
        <v>0</v>
      </c>
      <c r="W499" s="463" t="s">
        <v>713</v>
      </c>
      <c r="X499" s="463" t="s">
        <v>713</v>
      </c>
      <c r="Y499" s="463" t="s">
        <v>713</v>
      </c>
      <c r="Z499" s="463"/>
      <c r="AA499" s="463"/>
      <c r="AB499" s="464">
        <v>159.47737326141734</v>
      </c>
      <c r="AC499" s="465">
        <v>0.69239710330639304</v>
      </c>
      <c r="AD499" s="465">
        <v>1.3793161139808053E-3</v>
      </c>
      <c r="AE499" s="476">
        <v>159.47737326141731</v>
      </c>
      <c r="AF499" s="467">
        <v>0.69239710330639292</v>
      </c>
      <c r="AG499" s="468">
        <v>1.3591201806242529E-3</v>
      </c>
      <c r="AH499" s="218">
        <v>159.47737326141731</v>
      </c>
      <c r="AI499" s="470">
        <v>0.69239710330639292</v>
      </c>
      <c r="AJ499" s="471">
        <v>1.3750852191709419E-3</v>
      </c>
      <c r="AK499" s="218">
        <v>159.47737326141731</v>
      </c>
      <c r="AL499" s="470">
        <v>0.69239710330639292</v>
      </c>
      <c r="AM499" s="471">
        <v>1.3750852191709419E-3</v>
      </c>
      <c r="AN499" s="477">
        <v>159.47737326141731</v>
      </c>
      <c r="AO499" s="473">
        <v>0.69239710330639292</v>
      </c>
      <c r="AP499" s="474">
        <v>1.3747477543284566E-3</v>
      </c>
      <c r="AQ499" s="352"/>
      <c r="AR499" s="352"/>
      <c r="AS499" s="352"/>
      <c r="AT499" s="352"/>
      <c r="AU499" s="352"/>
      <c r="AV499" s="352"/>
      <c r="AW499" s="352" t="s">
        <v>254</v>
      </c>
    </row>
    <row r="500" spans="2:49" x14ac:dyDescent="0.2">
      <c r="B500" s="460" t="s">
        <v>2507</v>
      </c>
      <c r="C500" s="460">
        <v>1241</v>
      </c>
      <c r="D500" s="460" t="s">
        <v>2307</v>
      </c>
      <c r="E500" s="460" t="s">
        <v>2299</v>
      </c>
      <c r="F500" s="460">
        <v>2</v>
      </c>
      <c r="G500" s="460">
        <v>2</v>
      </c>
      <c r="H500" s="461" t="s">
        <v>712</v>
      </c>
      <c r="I500" s="461" t="s">
        <v>713</v>
      </c>
      <c r="J500" s="461" t="s">
        <v>712</v>
      </c>
      <c r="K500" s="594"/>
      <c r="L500" s="594"/>
      <c r="M500" s="352">
        <v>1000</v>
      </c>
      <c r="N500" s="352" t="s">
        <v>698</v>
      </c>
      <c r="O500" s="460">
        <v>1241</v>
      </c>
      <c r="P500" s="460" t="s">
        <v>1872</v>
      </c>
      <c r="Q500" s="460" t="s">
        <v>2280</v>
      </c>
      <c r="R500" s="460">
        <v>1241</v>
      </c>
      <c r="S500" s="460" t="s">
        <v>2296</v>
      </c>
      <c r="T500" s="462">
        <v>0.55517361979372948</v>
      </c>
      <c r="U500" s="460" t="s">
        <v>2299</v>
      </c>
      <c r="V500" s="475">
        <v>0</v>
      </c>
      <c r="W500" s="463" t="s">
        <v>713</v>
      </c>
      <c r="X500" s="463" t="s">
        <v>713</v>
      </c>
      <c r="Y500" s="463" t="s">
        <v>713</v>
      </c>
      <c r="Z500" s="463"/>
      <c r="AA500" s="463"/>
      <c r="AB500" s="464">
        <v>31.72535503709744</v>
      </c>
      <c r="AC500" s="465">
        <v>0.70413933898360948</v>
      </c>
      <c r="AD500" s="465">
        <v>3.6695933079163376E-4</v>
      </c>
      <c r="AE500" s="476">
        <v>37.057415890736983</v>
      </c>
      <c r="AF500" s="467">
        <v>0.82248360339016569</v>
      </c>
      <c r="AG500" s="468">
        <v>4.2685717984820799E-4</v>
      </c>
      <c r="AH500" s="218">
        <v>31.72535503709744</v>
      </c>
      <c r="AI500" s="470">
        <v>0.70413933898360948</v>
      </c>
      <c r="AJ500" s="471">
        <v>3.7169112722006104E-4</v>
      </c>
      <c r="AK500" s="218">
        <v>31.72535503709744</v>
      </c>
      <c r="AL500" s="470">
        <v>0.70413933898360948</v>
      </c>
      <c r="AM500" s="471">
        <v>3.7169112722006104E-4</v>
      </c>
      <c r="AN500" s="477">
        <v>31.72535503709744</v>
      </c>
      <c r="AO500" s="473">
        <v>0.70413933898360948</v>
      </c>
      <c r="AP500" s="474">
        <v>3.7164420690185158E-4</v>
      </c>
      <c r="AQ500" s="352"/>
      <c r="AR500" s="352"/>
      <c r="AS500" s="352"/>
      <c r="AT500" s="352"/>
      <c r="AU500" s="352"/>
      <c r="AV500" s="352"/>
      <c r="AW500" s="352" t="s">
        <v>254</v>
      </c>
    </row>
    <row r="501" spans="2:49" x14ac:dyDescent="0.2">
      <c r="B501" s="460" t="s">
        <v>2508</v>
      </c>
      <c r="C501" s="460">
        <v>1241</v>
      </c>
      <c r="D501" s="460" t="s">
        <v>2308</v>
      </c>
      <c r="E501" s="460" t="s">
        <v>2302</v>
      </c>
      <c r="F501" s="460">
        <v>3</v>
      </c>
      <c r="G501" s="460">
        <v>2</v>
      </c>
      <c r="H501" s="461" t="s">
        <v>712</v>
      </c>
      <c r="I501" s="461" t="s">
        <v>713</v>
      </c>
      <c r="J501" s="461" t="s">
        <v>712</v>
      </c>
      <c r="K501" s="594"/>
      <c r="L501" s="594"/>
      <c r="M501" s="352">
        <v>1000</v>
      </c>
      <c r="N501" s="352" t="s">
        <v>698</v>
      </c>
      <c r="O501" s="460">
        <v>1241</v>
      </c>
      <c r="P501" s="460" t="s">
        <v>1872</v>
      </c>
      <c r="Q501" s="460" t="s">
        <v>2280</v>
      </c>
      <c r="R501" s="460">
        <v>1241</v>
      </c>
      <c r="S501" s="460" t="s">
        <v>2296</v>
      </c>
      <c r="T501" s="462">
        <v>0.28481449642268464</v>
      </c>
      <c r="U501" s="460" t="s">
        <v>2302</v>
      </c>
      <c r="V501" s="475">
        <v>0</v>
      </c>
      <c r="W501" s="463" t="s">
        <v>713</v>
      </c>
      <c r="X501" s="463" t="s">
        <v>713</v>
      </c>
      <c r="Y501" s="463" t="s">
        <v>713</v>
      </c>
      <c r="Z501" s="463"/>
      <c r="AA501" s="463"/>
      <c r="AB501" s="464">
        <v>52.600325057953427</v>
      </c>
      <c r="AC501" s="465">
        <v>0.97582102634000223</v>
      </c>
      <c r="AD501" s="465">
        <v>1.5300120129796717E-3</v>
      </c>
      <c r="AE501" s="476">
        <v>53.121659130392423</v>
      </c>
      <c r="AF501" s="467">
        <v>0.98549261580400138</v>
      </c>
      <c r="AG501" s="468">
        <v>1.5425508140624385E-3</v>
      </c>
      <c r="AH501" s="218">
        <v>49.181173280305792</v>
      </c>
      <c r="AI501" s="470">
        <v>0.91239023588005119</v>
      </c>
      <c r="AJ501" s="471">
        <v>1.4494957858624622E-3</v>
      </c>
      <c r="AK501" s="218">
        <v>49.181173280305792</v>
      </c>
      <c r="AL501" s="470">
        <v>0.91239023588005119</v>
      </c>
      <c r="AM501" s="471">
        <v>1.4494957858624622E-3</v>
      </c>
      <c r="AN501" s="477">
        <v>49.181173280305792</v>
      </c>
      <c r="AO501" s="473">
        <v>0.91239023588005119</v>
      </c>
      <c r="AP501" s="474">
        <v>1.450756202938697E-3</v>
      </c>
      <c r="AQ501" s="352"/>
      <c r="AR501" s="352"/>
      <c r="AS501" s="352"/>
      <c r="AT501" s="352"/>
      <c r="AU501" s="352"/>
      <c r="AV501" s="352"/>
      <c r="AW501" s="352" t="s">
        <v>254</v>
      </c>
    </row>
    <row r="502" spans="2:49" x14ac:dyDescent="0.2">
      <c r="B502" s="460" t="s">
        <v>2509</v>
      </c>
      <c r="C502" s="460">
        <v>1241</v>
      </c>
      <c r="D502" s="460" t="s">
        <v>2309</v>
      </c>
      <c r="E502" s="460" t="s">
        <v>2305</v>
      </c>
      <c r="F502" s="460">
        <v>4</v>
      </c>
      <c r="G502" s="460">
        <v>2</v>
      </c>
      <c r="H502" s="461" t="s">
        <v>712</v>
      </c>
      <c r="I502" s="461" t="s">
        <v>713</v>
      </c>
      <c r="J502" s="461" t="s">
        <v>712</v>
      </c>
      <c r="K502" s="594"/>
      <c r="L502" s="594"/>
      <c r="M502" s="352">
        <v>1000</v>
      </c>
      <c r="N502" s="352" t="s">
        <v>698</v>
      </c>
      <c r="O502" s="460">
        <v>1241</v>
      </c>
      <c r="P502" s="460" t="s">
        <v>1872</v>
      </c>
      <c r="Q502" s="460" t="s">
        <v>2280</v>
      </c>
      <c r="R502" s="460">
        <v>1241</v>
      </c>
      <c r="S502" s="460" t="s">
        <v>2305</v>
      </c>
      <c r="T502" s="462">
        <v>1</v>
      </c>
      <c r="U502" s="460" t="s">
        <v>2305</v>
      </c>
      <c r="V502" s="475">
        <v>0</v>
      </c>
      <c r="W502" s="463" t="s">
        <v>713</v>
      </c>
      <c r="X502" s="463" t="s">
        <v>713</v>
      </c>
      <c r="Y502" s="463" t="s">
        <v>713</v>
      </c>
      <c r="Z502" s="463"/>
      <c r="AA502" s="463"/>
      <c r="AB502" s="464">
        <v>59.63821671498205</v>
      </c>
      <c r="AC502" s="465">
        <v>0.9980169986228753</v>
      </c>
      <c r="AD502" s="465">
        <v>1.52315423524698E-3</v>
      </c>
      <c r="AE502" s="476">
        <v>59.685615773730845</v>
      </c>
      <c r="AF502" s="467">
        <v>0.99881019917372516</v>
      </c>
      <c r="AG502" s="468">
        <v>1.5243159064674198E-3</v>
      </c>
      <c r="AH502" s="218">
        <v>59.63821671498205</v>
      </c>
      <c r="AI502" s="470">
        <v>0.9980169986228753</v>
      </c>
      <c r="AJ502" s="471">
        <v>1.5231072217276331E-3</v>
      </c>
      <c r="AK502" s="218">
        <v>59.63821671498205</v>
      </c>
      <c r="AL502" s="470">
        <v>0.9980169986228753</v>
      </c>
      <c r="AM502" s="471">
        <v>1.5231072217276331E-3</v>
      </c>
      <c r="AN502" s="477">
        <v>59.63821671498205</v>
      </c>
      <c r="AO502" s="473">
        <v>0.9980169986228753</v>
      </c>
      <c r="AP502" s="474">
        <v>1.5231090847906649E-3</v>
      </c>
      <c r="AQ502" s="352"/>
      <c r="AR502" s="352"/>
      <c r="AS502" s="352"/>
      <c r="AT502" s="352"/>
      <c r="AU502" s="352"/>
      <c r="AV502" s="352"/>
      <c r="AW502" s="352" t="s">
        <v>254</v>
      </c>
    </row>
    <row r="503" spans="2:49" x14ac:dyDescent="0.2">
      <c r="B503" s="460" t="s">
        <v>2506</v>
      </c>
      <c r="C503" s="460">
        <v>1241</v>
      </c>
      <c r="D503" s="460" t="s">
        <v>2310</v>
      </c>
      <c r="E503" s="460" t="s">
        <v>2296</v>
      </c>
      <c r="F503" s="460">
        <v>1</v>
      </c>
      <c r="G503" s="460">
        <v>2</v>
      </c>
      <c r="H503" s="461" t="s">
        <v>746</v>
      </c>
      <c r="I503" s="461" t="s">
        <v>762</v>
      </c>
      <c r="J503" s="461" t="s">
        <v>700</v>
      </c>
      <c r="K503" s="594"/>
      <c r="L503" s="594"/>
      <c r="M503" s="352">
        <v>1000</v>
      </c>
      <c r="N503" s="352" t="s">
        <v>698</v>
      </c>
      <c r="O503" s="460">
        <v>1241</v>
      </c>
      <c r="P503" s="460" t="s">
        <v>1872</v>
      </c>
      <c r="Q503" s="460" t="s">
        <v>2444</v>
      </c>
      <c r="R503" s="460">
        <v>1241</v>
      </c>
      <c r="S503" s="460" t="s">
        <v>2296</v>
      </c>
      <c r="T503" s="462">
        <v>1</v>
      </c>
      <c r="U503" s="460" t="s">
        <v>2296</v>
      </c>
      <c r="V503" s="475">
        <v>0</v>
      </c>
      <c r="W503" s="463" t="s">
        <v>2268</v>
      </c>
      <c r="X503" s="463" t="s">
        <v>2268</v>
      </c>
      <c r="Y503" s="463" t="s">
        <v>2290</v>
      </c>
      <c r="Z503" s="463"/>
      <c r="AA503" s="463"/>
      <c r="AB503" s="464">
        <v>0</v>
      </c>
      <c r="AC503" s="465">
        <v>0</v>
      </c>
      <c r="AD503" s="465">
        <v>0</v>
      </c>
      <c r="AE503" s="476">
        <v>0</v>
      </c>
      <c r="AF503" s="467">
        <v>0</v>
      </c>
      <c r="AG503" s="468">
        <v>0</v>
      </c>
      <c r="AH503" s="218">
        <v>0</v>
      </c>
      <c r="AI503" s="470">
        <v>0</v>
      </c>
      <c r="AJ503" s="471">
        <v>0</v>
      </c>
      <c r="AK503" s="218">
        <v>0</v>
      </c>
      <c r="AL503" s="470">
        <v>0</v>
      </c>
      <c r="AM503" s="471">
        <v>0</v>
      </c>
      <c r="AN503" s="477">
        <v>0</v>
      </c>
      <c r="AO503" s="473">
        <v>0</v>
      </c>
      <c r="AP503" s="474">
        <v>0</v>
      </c>
      <c r="AQ503" s="352"/>
      <c r="AR503" s="352"/>
      <c r="AS503" s="352"/>
      <c r="AT503" s="352"/>
      <c r="AU503" s="352"/>
      <c r="AV503" s="352"/>
      <c r="AW503" s="352" t="s">
        <v>254</v>
      </c>
    </row>
    <row r="504" spans="2:49" x14ac:dyDescent="0.2">
      <c r="B504" s="460" t="s">
        <v>2507</v>
      </c>
      <c r="C504" s="460">
        <v>1241</v>
      </c>
      <c r="D504" s="460" t="s">
        <v>2311</v>
      </c>
      <c r="E504" s="460" t="s">
        <v>2299</v>
      </c>
      <c r="F504" s="460">
        <v>2</v>
      </c>
      <c r="G504" s="460">
        <v>2</v>
      </c>
      <c r="H504" s="461" t="s">
        <v>746</v>
      </c>
      <c r="I504" s="461" t="s">
        <v>762</v>
      </c>
      <c r="J504" s="461" t="s">
        <v>700</v>
      </c>
      <c r="K504" s="594"/>
      <c r="L504" s="594"/>
      <c r="M504" s="352">
        <v>1000</v>
      </c>
      <c r="N504" s="352" t="s">
        <v>698</v>
      </c>
      <c r="O504" s="460">
        <v>1241</v>
      </c>
      <c r="P504" s="460" t="s">
        <v>1872</v>
      </c>
      <c r="Q504" s="460" t="s">
        <v>2444</v>
      </c>
      <c r="R504" s="460">
        <v>1241</v>
      </c>
      <c r="S504" s="460" t="s">
        <v>2296</v>
      </c>
      <c r="T504" s="462">
        <v>0.55517361979372948</v>
      </c>
      <c r="U504" s="460" t="s">
        <v>2299</v>
      </c>
      <c r="V504" s="475">
        <v>0</v>
      </c>
      <c r="W504" s="463" t="s">
        <v>2268</v>
      </c>
      <c r="X504" s="463" t="s">
        <v>2268</v>
      </c>
      <c r="Y504" s="463" t="s">
        <v>2290</v>
      </c>
      <c r="Z504" s="463"/>
      <c r="AA504" s="463"/>
      <c r="AB504" s="464">
        <v>0</v>
      </c>
      <c r="AC504" s="465">
        <v>0</v>
      </c>
      <c r="AD504" s="465">
        <v>0</v>
      </c>
      <c r="AE504" s="476">
        <v>0</v>
      </c>
      <c r="AF504" s="467">
        <v>0</v>
      </c>
      <c r="AG504" s="468">
        <v>0</v>
      </c>
      <c r="AH504" s="218">
        <v>0</v>
      </c>
      <c r="AI504" s="470">
        <v>0</v>
      </c>
      <c r="AJ504" s="471">
        <v>0</v>
      </c>
      <c r="AK504" s="218">
        <v>0</v>
      </c>
      <c r="AL504" s="470">
        <v>0</v>
      </c>
      <c r="AM504" s="471">
        <v>0</v>
      </c>
      <c r="AN504" s="477">
        <v>0</v>
      </c>
      <c r="AO504" s="473">
        <v>0</v>
      </c>
      <c r="AP504" s="474">
        <v>0</v>
      </c>
      <c r="AQ504" s="352"/>
      <c r="AR504" s="352"/>
      <c r="AS504" s="352"/>
      <c r="AT504" s="352"/>
      <c r="AU504" s="352"/>
      <c r="AV504" s="352"/>
      <c r="AW504" s="352" t="s">
        <v>254</v>
      </c>
    </row>
    <row r="505" spans="2:49" x14ac:dyDescent="0.2">
      <c r="B505" s="460" t="s">
        <v>2508</v>
      </c>
      <c r="C505" s="460">
        <v>1241</v>
      </c>
      <c r="D505" s="460" t="s">
        <v>2312</v>
      </c>
      <c r="E505" s="460" t="s">
        <v>2302</v>
      </c>
      <c r="F505" s="460">
        <v>3</v>
      </c>
      <c r="G505" s="460">
        <v>2</v>
      </c>
      <c r="H505" s="461" t="s">
        <v>746</v>
      </c>
      <c r="I505" s="461" t="s">
        <v>762</v>
      </c>
      <c r="J505" s="461" t="s">
        <v>700</v>
      </c>
      <c r="K505" s="594"/>
      <c r="L505" s="594"/>
      <c r="M505" s="352">
        <v>1000</v>
      </c>
      <c r="N505" s="352" t="s">
        <v>698</v>
      </c>
      <c r="O505" s="460">
        <v>1241</v>
      </c>
      <c r="P505" s="460" t="s">
        <v>1872</v>
      </c>
      <c r="Q505" s="460" t="s">
        <v>2444</v>
      </c>
      <c r="R505" s="460">
        <v>1241</v>
      </c>
      <c r="S505" s="460" t="s">
        <v>2296</v>
      </c>
      <c r="T505" s="462">
        <v>0.28481449642268464</v>
      </c>
      <c r="U505" s="460" t="s">
        <v>2302</v>
      </c>
      <c r="V505" s="475">
        <v>0</v>
      </c>
      <c r="W505" s="463" t="s">
        <v>2268</v>
      </c>
      <c r="X505" s="463" t="s">
        <v>2268</v>
      </c>
      <c r="Y505" s="463" t="s">
        <v>2290</v>
      </c>
      <c r="Z505" s="463"/>
      <c r="AA505" s="463"/>
      <c r="AB505" s="464">
        <v>0</v>
      </c>
      <c r="AC505" s="465">
        <v>0</v>
      </c>
      <c r="AD505" s="465">
        <v>0</v>
      </c>
      <c r="AE505" s="476">
        <v>0</v>
      </c>
      <c r="AF505" s="467">
        <v>0</v>
      </c>
      <c r="AG505" s="468">
        <v>0</v>
      </c>
      <c r="AH505" s="218">
        <v>0</v>
      </c>
      <c r="AI505" s="470">
        <v>0</v>
      </c>
      <c r="AJ505" s="471">
        <v>0</v>
      </c>
      <c r="AK505" s="218">
        <v>0</v>
      </c>
      <c r="AL505" s="470">
        <v>0</v>
      </c>
      <c r="AM505" s="471">
        <v>0</v>
      </c>
      <c r="AN505" s="477">
        <v>0</v>
      </c>
      <c r="AO505" s="473">
        <v>0</v>
      </c>
      <c r="AP505" s="474">
        <v>0</v>
      </c>
      <c r="AQ505" s="352"/>
      <c r="AR505" s="352"/>
      <c r="AS505" s="352"/>
      <c r="AT505" s="352"/>
      <c r="AU505" s="352"/>
      <c r="AV505" s="352"/>
      <c r="AW505" s="352" t="s">
        <v>254</v>
      </c>
    </row>
    <row r="506" spans="2:49" x14ac:dyDescent="0.2">
      <c r="B506" s="460" t="s">
        <v>2509</v>
      </c>
      <c r="C506" s="460">
        <v>1241</v>
      </c>
      <c r="D506" s="460" t="s">
        <v>2313</v>
      </c>
      <c r="E506" s="460" t="s">
        <v>2305</v>
      </c>
      <c r="F506" s="460">
        <v>4</v>
      </c>
      <c r="G506" s="460">
        <v>2</v>
      </c>
      <c r="H506" s="461" t="s">
        <v>746</v>
      </c>
      <c r="I506" s="461" t="s">
        <v>762</v>
      </c>
      <c r="J506" s="461" t="s">
        <v>700</v>
      </c>
      <c r="K506" s="594"/>
      <c r="L506" s="594"/>
      <c r="M506" s="352">
        <v>1000</v>
      </c>
      <c r="N506" s="352" t="s">
        <v>698</v>
      </c>
      <c r="O506" s="460">
        <v>1241</v>
      </c>
      <c r="P506" s="460" t="s">
        <v>1872</v>
      </c>
      <c r="Q506" s="460" t="s">
        <v>2444</v>
      </c>
      <c r="R506" s="460">
        <v>1241</v>
      </c>
      <c r="S506" s="460" t="s">
        <v>2305</v>
      </c>
      <c r="T506" s="462">
        <v>1</v>
      </c>
      <c r="U506" s="460" t="s">
        <v>2305</v>
      </c>
      <c r="V506" s="475">
        <v>0</v>
      </c>
      <c r="W506" s="463" t="s">
        <v>2268</v>
      </c>
      <c r="X506" s="463" t="s">
        <v>2268</v>
      </c>
      <c r="Y506" s="463" t="s">
        <v>2290</v>
      </c>
      <c r="Z506" s="463"/>
      <c r="AA506" s="463"/>
      <c r="AB506" s="464">
        <v>0</v>
      </c>
      <c r="AC506" s="465">
        <v>0</v>
      </c>
      <c r="AD506" s="465">
        <v>0</v>
      </c>
      <c r="AE506" s="476">
        <v>0</v>
      </c>
      <c r="AF506" s="467">
        <v>0</v>
      </c>
      <c r="AG506" s="468">
        <v>0</v>
      </c>
      <c r="AH506" s="218">
        <v>0</v>
      </c>
      <c r="AI506" s="470">
        <v>0</v>
      </c>
      <c r="AJ506" s="471">
        <v>0</v>
      </c>
      <c r="AK506" s="218">
        <v>0</v>
      </c>
      <c r="AL506" s="470">
        <v>0</v>
      </c>
      <c r="AM506" s="471">
        <v>0</v>
      </c>
      <c r="AN506" s="477">
        <v>0</v>
      </c>
      <c r="AO506" s="473">
        <v>0</v>
      </c>
      <c r="AP506" s="474">
        <v>0</v>
      </c>
      <c r="AQ506" s="352"/>
      <c r="AR506" s="352"/>
      <c r="AS506" s="352"/>
      <c r="AT506" s="352"/>
      <c r="AU506" s="352"/>
      <c r="AV506" s="352"/>
      <c r="AW506" s="352" t="s">
        <v>254</v>
      </c>
    </row>
    <row r="507" spans="2:49" x14ac:dyDescent="0.2">
      <c r="B507" s="460" t="s">
        <v>2506</v>
      </c>
      <c r="C507" s="460">
        <v>1241</v>
      </c>
      <c r="D507" s="460" t="s">
        <v>2314</v>
      </c>
      <c r="E507" s="460" t="s">
        <v>2296</v>
      </c>
      <c r="F507" s="460">
        <v>1</v>
      </c>
      <c r="G507" s="460">
        <v>2</v>
      </c>
      <c r="H507" s="461" t="s">
        <v>748</v>
      </c>
      <c r="I507" s="461" t="s">
        <v>765</v>
      </c>
      <c r="J507" s="461" t="s">
        <v>700</v>
      </c>
      <c r="K507" s="594"/>
      <c r="L507" s="594"/>
      <c r="M507" s="352">
        <v>1000</v>
      </c>
      <c r="N507" s="352" t="s">
        <v>698</v>
      </c>
      <c r="O507" s="460">
        <v>1241</v>
      </c>
      <c r="P507" s="460" t="s">
        <v>1872</v>
      </c>
      <c r="Q507" s="460" t="s">
        <v>2440</v>
      </c>
      <c r="R507" s="460">
        <v>1241</v>
      </c>
      <c r="S507" s="460" t="s">
        <v>2296</v>
      </c>
      <c r="T507" s="462">
        <v>1</v>
      </c>
      <c r="U507" s="460" t="s">
        <v>2296</v>
      </c>
      <c r="V507" s="475">
        <v>0</v>
      </c>
      <c r="W507" s="463" t="s">
        <v>2268</v>
      </c>
      <c r="X507" s="463" t="s">
        <v>2268</v>
      </c>
      <c r="Y507" s="463" t="s">
        <v>2267</v>
      </c>
      <c r="Z507" s="463"/>
      <c r="AA507" s="463"/>
      <c r="AB507" s="464">
        <v>0</v>
      </c>
      <c r="AC507" s="465">
        <v>0</v>
      </c>
      <c r="AD507" s="465">
        <v>0</v>
      </c>
      <c r="AE507" s="476">
        <v>0</v>
      </c>
      <c r="AF507" s="467">
        <v>0</v>
      </c>
      <c r="AG507" s="468">
        <v>0</v>
      </c>
      <c r="AH507" s="218">
        <v>0</v>
      </c>
      <c r="AI507" s="470">
        <v>0</v>
      </c>
      <c r="AJ507" s="471">
        <v>0</v>
      </c>
      <c r="AK507" s="218">
        <v>0</v>
      </c>
      <c r="AL507" s="470">
        <v>0</v>
      </c>
      <c r="AM507" s="471">
        <v>0</v>
      </c>
      <c r="AN507" s="477">
        <v>70.849086077981312</v>
      </c>
      <c r="AO507" s="473">
        <v>0.30760289669360702</v>
      </c>
      <c r="AP507" s="474">
        <v>2.1643425336989847E-2</v>
      </c>
      <c r="AQ507" s="352"/>
      <c r="AR507" s="352"/>
      <c r="AS507" s="352"/>
      <c r="AT507" s="352"/>
      <c r="AU507" s="352"/>
      <c r="AV507" s="352"/>
      <c r="AW507" s="352" t="s">
        <v>254</v>
      </c>
    </row>
    <row r="508" spans="2:49" x14ac:dyDescent="0.2">
      <c r="B508" s="460" t="s">
        <v>2507</v>
      </c>
      <c r="C508" s="460">
        <v>1241</v>
      </c>
      <c r="D508" s="460" t="s">
        <v>2315</v>
      </c>
      <c r="E508" s="460" t="s">
        <v>2299</v>
      </c>
      <c r="F508" s="460">
        <v>2</v>
      </c>
      <c r="G508" s="460">
        <v>2</v>
      </c>
      <c r="H508" s="461" t="s">
        <v>748</v>
      </c>
      <c r="I508" s="461" t="s">
        <v>765</v>
      </c>
      <c r="J508" s="461" t="s">
        <v>700</v>
      </c>
      <c r="K508" s="594"/>
      <c r="L508" s="594"/>
      <c r="M508" s="352">
        <v>1000</v>
      </c>
      <c r="N508" s="352" t="s">
        <v>698</v>
      </c>
      <c r="O508" s="460">
        <v>1241</v>
      </c>
      <c r="P508" s="460" t="s">
        <v>1872</v>
      </c>
      <c r="Q508" s="460" t="s">
        <v>2440</v>
      </c>
      <c r="R508" s="460">
        <v>1241</v>
      </c>
      <c r="S508" s="460" t="s">
        <v>2296</v>
      </c>
      <c r="T508" s="462">
        <v>0.55517361979372948</v>
      </c>
      <c r="U508" s="460" t="s">
        <v>2299</v>
      </c>
      <c r="V508" s="475">
        <v>0</v>
      </c>
      <c r="W508" s="463" t="s">
        <v>2268</v>
      </c>
      <c r="X508" s="463" t="s">
        <v>2268</v>
      </c>
      <c r="Y508" s="463" t="s">
        <v>2267</v>
      </c>
      <c r="Z508" s="463"/>
      <c r="AA508" s="463"/>
      <c r="AB508" s="464">
        <v>0</v>
      </c>
      <c r="AC508" s="465">
        <v>0</v>
      </c>
      <c r="AD508" s="465">
        <v>0</v>
      </c>
      <c r="AE508" s="476">
        <v>0</v>
      </c>
      <c r="AF508" s="467">
        <v>0</v>
      </c>
      <c r="AG508" s="468">
        <v>0</v>
      </c>
      <c r="AH508" s="218">
        <v>0</v>
      </c>
      <c r="AI508" s="470">
        <v>0</v>
      </c>
      <c r="AJ508" s="471">
        <v>0</v>
      </c>
      <c r="AK508" s="218">
        <v>0</v>
      </c>
      <c r="AL508" s="470">
        <v>0</v>
      </c>
      <c r="AM508" s="471">
        <v>0</v>
      </c>
      <c r="AN508" s="477">
        <v>13.330152134098865</v>
      </c>
      <c r="AO508" s="473">
        <v>0.29586066101639058</v>
      </c>
      <c r="AP508" s="474">
        <v>1.2350147424955474E-2</v>
      </c>
      <c r="AQ508" s="352"/>
      <c r="AR508" s="352"/>
      <c r="AS508" s="352"/>
      <c r="AT508" s="352"/>
      <c r="AU508" s="352"/>
      <c r="AV508" s="352"/>
      <c r="AW508" s="352" t="s">
        <v>254</v>
      </c>
    </row>
    <row r="509" spans="2:49" x14ac:dyDescent="0.2">
      <c r="B509" s="460" t="s">
        <v>2508</v>
      </c>
      <c r="C509" s="460">
        <v>1241</v>
      </c>
      <c r="D509" s="460" t="s">
        <v>2316</v>
      </c>
      <c r="E509" s="460" t="s">
        <v>2302</v>
      </c>
      <c r="F509" s="460">
        <v>3</v>
      </c>
      <c r="G509" s="460">
        <v>2</v>
      </c>
      <c r="H509" s="461" t="s">
        <v>748</v>
      </c>
      <c r="I509" s="461" t="s">
        <v>765</v>
      </c>
      <c r="J509" s="461" t="s">
        <v>700</v>
      </c>
      <c r="K509" s="594"/>
      <c r="L509" s="594"/>
      <c r="M509" s="352">
        <v>1000</v>
      </c>
      <c r="N509" s="352" t="s">
        <v>698</v>
      </c>
      <c r="O509" s="460">
        <v>1241</v>
      </c>
      <c r="P509" s="460" t="s">
        <v>1872</v>
      </c>
      <c r="Q509" s="460" t="s">
        <v>2440</v>
      </c>
      <c r="R509" s="460">
        <v>1241</v>
      </c>
      <c r="S509" s="460" t="s">
        <v>2296</v>
      </c>
      <c r="T509" s="462">
        <v>0.28481449642268464</v>
      </c>
      <c r="U509" s="460" t="s">
        <v>2302</v>
      </c>
      <c r="V509" s="475">
        <v>0</v>
      </c>
      <c r="W509" s="463" t="s">
        <v>2268</v>
      </c>
      <c r="X509" s="463" t="s">
        <v>2268</v>
      </c>
      <c r="Y509" s="463" t="s">
        <v>2267</v>
      </c>
      <c r="Z509" s="463"/>
      <c r="AA509" s="463"/>
      <c r="AB509" s="464">
        <v>0</v>
      </c>
      <c r="AC509" s="465">
        <v>0</v>
      </c>
      <c r="AD509" s="465">
        <v>0</v>
      </c>
      <c r="AE509" s="476">
        <v>0</v>
      </c>
      <c r="AF509" s="467">
        <v>0</v>
      </c>
      <c r="AG509" s="468">
        <v>0</v>
      </c>
      <c r="AH509" s="218">
        <v>0</v>
      </c>
      <c r="AI509" s="470">
        <v>0</v>
      </c>
      <c r="AJ509" s="471">
        <v>0</v>
      </c>
      <c r="AK509" s="218">
        <v>0</v>
      </c>
      <c r="AL509" s="470">
        <v>0</v>
      </c>
      <c r="AM509" s="471">
        <v>0</v>
      </c>
      <c r="AN509" s="477">
        <v>4.7224869587451108</v>
      </c>
      <c r="AO509" s="473">
        <v>8.7609764119948766E-2</v>
      </c>
      <c r="AP509" s="474">
        <v>2.0207208106570201E-2</v>
      </c>
      <c r="AQ509" s="352"/>
      <c r="AR509" s="352"/>
      <c r="AS509" s="352"/>
      <c r="AT509" s="352"/>
      <c r="AU509" s="352"/>
      <c r="AV509" s="352"/>
      <c r="AW509" s="352" t="s">
        <v>254</v>
      </c>
    </row>
    <row r="510" spans="2:49" x14ac:dyDescent="0.2">
      <c r="B510" s="460" t="s">
        <v>2509</v>
      </c>
      <c r="C510" s="460">
        <v>1241</v>
      </c>
      <c r="D510" s="460" t="s">
        <v>2317</v>
      </c>
      <c r="E510" s="460" t="s">
        <v>2305</v>
      </c>
      <c r="F510" s="460">
        <v>4</v>
      </c>
      <c r="G510" s="460">
        <v>2</v>
      </c>
      <c r="H510" s="461" t="s">
        <v>748</v>
      </c>
      <c r="I510" s="461" t="s">
        <v>765</v>
      </c>
      <c r="J510" s="461" t="s">
        <v>700</v>
      </c>
      <c r="K510" s="594"/>
      <c r="L510" s="594"/>
      <c r="M510" s="352">
        <v>1000</v>
      </c>
      <c r="N510" s="352" t="s">
        <v>698</v>
      </c>
      <c r="O510" s="460">
        <v>1241</v>
      </c>
      <c r="P510" s="460" t="s">
        <v>1872</v>
      </c>
      <c r="Q510" s="460" t="s">
        <v>2440</v>
      </c>
      <c r="R510" s="460">
        <v>1241</v>
      </c>
      <c r="S510" s="460" t="s">
        <v>2305</v>
      </c>
      <c r="T510" s="462">
        <v>1</v>
      </c>
      <c r="U510" s="460" t="s">
        <v>2305</v>
      </c>
      <c r="V510" s="475">
        <v>0</v>
      </c>
      <c r="W510" s="463" t="s">
        <v>2268</v>
      </c>
      <c r="X510" s="463" t="s">
        <v>2268</v>
      </c>
      <c r="Y510" s="463" t="s">
        <v>2278</v>
      </c>
      <c r="Z510" s="463"/>
      <c r="AA510" s="463"/>
      <c r="AB510" s="464">
        <v>0</v>
      </c>
      <c r="AC510" s="465">
        <v>0</v>
      </c>
      <c r="AD510" s="465">
        <v>0</v>
      </c>
      <c r="AE510" s="476">
        <v>0</v>
      </c>
      <c r="AF510" s="467">
        <v>0</v>
      </c>
      <c r="AG510" s="468">
        <v>0</v>
      </c>
      <c r="AH510" s="218">
        <v>0</v>
      </c>
      <c r="AI510" s="470">
        <v>0</v>
      </c>
      <c r="AJ510" s="471">
        <v>0</v>
      </c>
      <c r="AK510" s="218">
        <v>0</v>
      </c>
      <c r="AL510" s="470">
        <v>0</v>
      </c>
      <c r="AM510" s="471">
        <v>0</v>
      </c>
      <c r="AN510" s="477">
        <v>0.11849764687200404</v>
      </c>
      <c r="AO510" s="473">
        <v>1.983001377124702E-3</v>
      </c>
      <c r="AP510" s="474">
        <v>9.6776430538156683E-2</v>
      </c>
      <c r="AQ510" s="352"/>
      <c r="AR510" s="352"/>
      <c r="AS510" s="352"/>
      <c r="AT510" s="352"/>
      <c r="AU510" s="352"/>
      <c r="AV510" s="352"/>
      <c r="AW510" s="352" t="s">
        <v>254</v>
      </c>
    </row>
    <row r="511" spans="2:49" x14ac:dyDescent="0.2">
      <c r="B511" s="460" t="s">
        <v>2510</v>
      </c>
      <c r="C511" s="460">
        <v>1241</v>
      </c>
      <c r="D511" s="460" t="s">
        <v>2323</v>
      </c>
      <c r="E511" s="460" t="s">
        <v>2324</v>
      </c>
      <c r="F511" s="460">
        <v>1</v>
      </c>
      <c r="G511" s="460">
        <v>3</v>
      </c>
      <c r="H511" s="461" t="s">
        <v>700</v>
      </c>
      <c r="I511" s="461" t="s">
        <v>872</v>
      </c>
      <c r="J511" s="461" t="s">
        <v>700</v>
      </c>
      <c r="K511" s="594"/>
      <c r="L511" s="594"/>
      <c r="M511" s="352">
        <v>1000</v>
      </c>
      <c r="N511" s="352" t="s">
        <v>698</v>
      </c>
      <c r="O511" s="460">
        <v>1241</v>
      </c>
      <c r="P511" s="460" t="s">
        <v>1872</v>
      </c>
      <c r="Q511" s="460" t="s">
        <v>2440</v>
      </c>
      <c r="R511" s="460">
        <v>1241</v>
      </c>
      <c r="S511" s="460" t="s">
        <v>2324</v>
      </c>
      <c r="T511" s="462">
        <v>1</v>
      </c>
      <c r="U511" s="460" t="s">
        <v>2324</v>
      </c>
      <c r="V511" s="475">
        <v>0</v>
      </c>
      <c r="W511" s="463" t="s">
        <v>2267</v>
      </c>
      <c r="X511" s="463" t="s">
        <v>2267</v>
      </c>
      <c r="Y511" s="463" t="s">
        <v>2268</v>
      </c>
      <c r="Z511" s="463"/>
      <c r="AA511" s="463"/>
      <c r="AB511" s="464">
        <v>368.89523208862789</v>
      </c>
      <c r="AC511" s="465">
        <v>0.33039585102407282</v>
      </c>
      <c r="AD511" s="465">
        <v>3.1624206811687108E-3</v>
      </c>
      <c r="AE511" s="476">
        <v>368.89523208862789</v>
      </c>
      <c r="AF511" s="467">
        <v>0.33039585102407282</v>
      </c>
      <c r="AG511" s="468">
        <v>3.3875790432552105E-3</v>
      </c>
      <c r="AH511" s="218">
        <v>368.89523208862789</v>
      </c>
      <c r="AI511" s="470">
        <v>0.33039585102407282</v>
      </c>
      <c r="AJ511" s="471">
        <v>3.2349189537891915E-3</v>
      </c>
      <c r="AK511" s="218">
        <v>368.89523208862789</v>
      </c>
      <c r="AL511" s="470">
        <v>0.33039585102407282</v>
      </c>
      <c r="AM511" s="471">
        <v>3.2349189537891915E-3</v>
      </c>
      <c r="AN511" s="477">
        <v>0</v>
      </c>
      <c r="AO511" s="473">
        <v>0</v>
      </c>
      <c r="AP511" s="474">
        <v>0</v>
      </c>
      <c r="AQ511" s="352"/>
      <c r="AR511" s="352"/>
      <c r="AS511" s="352"/>
      <c r="AT511" s="352"/>
      <c r="AU511" s="352"/>
      <c r="AV511" s="352"/>
      <c r="AW511" s="352" t="s">
        <v>254</v>
      </c>
    </row>
    <row r="512" spans="2:49" x14ac:dyDescent="0.2">
      <c r="B512" s="460" t="s">
        <v>2511</v>
      </c>
      <c r="C512" s="460">
        <v>1241</v>
      </c>
      <c r="D512" s="460" t="s">
        <v>2326</v>
      </c>
      <c r="E512" s="460" t="s">
        <v>2327</v>
      </c>
      <c r="F512" s="460">
        <v>2</v>
      </c>
      <c r="G512" s="460">
        <v>3</v>
      </c>
      <c r="H512" s="461" t="s">
        <v>700</v>
      </c>
      <c r="I512" s="461" t="s">
        <v>872</v>
      </c>
      <c r="J512" s="461" t="s">
        <v>700</v>
      </c>
      <c r="K512" s="594"/>
      <c r="L512" s="594"/>
      <c r="M512" s="352">
        <v>1000</v>
      </c>
      <c r="N512" s="352" t="s">
        <v>698</v>
      </c>
      <c r="O512" s="460">
        <v>1241</v>
      </c>
      <c r="P512" s="460" t="s">
        <v>1872</v>
      </c>
      <c r="Q512" s="460" t="s">
        <v>2440</v>
      </c>
      <c r="R512" s="460">
        <v>1241</v>
      </c>
      <c r="S512" s="460" t="s">
        <v>2324</v>
      </c>
      <c r="T512" s="462">
        <v>1</v>
      </c>
      <c r="U512" s="460" t="s">
        <v>2327</v>
      </c>
      <c r="V512" s="475">
        <v>0</v>
      </c>
      <c r="W512" s="463" t="s">
        <v>2503</v>
      </c>
      <c r="X512" s="463" t="s">
        <v>2267</v>
      </c>
      <c r="Y512" s="463" t="s">
        <v>2268</v>
      </c>
      <c r="Z512" s="463"/>
      <c r="AA512" s="463"/>
      <c r="AB512" s="464">
        <v>153.01674602260289</v>
      </c>
      <c r="AC512" s="465">
        <v>0.21727847021456953</v>
      </c>
      <c r="AD512" s="465">
        <v>2.2600295033200456E-3</v>
      </c>
      <c r="AE512" s="476">
        <v>91.810047613561721</v>
      </c>
      <c r="AF512" s="467">
        <v>0.13036708212874171</v>
      </c>
      <c r="AG512" s="468">
        <v>1.4687174298624514E-3</v>
      </c>
      <c r="AH512" s="218">
        <v>232.67881982575864</v>
      </c>
      <c r="AI512" s="470">
        <v>0.33039585102407282</v>
      </c>
      <c r="AJ512" s="471">
        <v>3.1325993678096202E-3</v>
      </c>
      <c r="AK512" s="218">
        <v>232.67881982575864</v>
      </c>
      <c r="AL512" s="470">
        <v>0.33039585102407282</v>
      </c>
      <c r="AM512" s="471">
        <v>3.1325993678096202E-3</v>
      </c>
      <c r="AN512" s="477">
        <v>0</v>
      </c>
      <c r="AO512" s="473">
        <v>0</v>
      </c>
      <c r="AP512" s="474">
        <v>0</v>
      </c>
      <c r="AQ512" s="352"/>
      <c r="AR512" s="352"/>
      <c r="AS512" s="352"/>
      <c r="AT512" s="352"/>
      <c r="AU512" s="352"/>
      <c r="AV512" s="352"/>
      <c r="AW512" s="352" t="s">
        <v>254</v>
      </c>
    </row>
    <row r="513" spans="2:49" x14ac:dyDescent="0.2">
      <c r="B513" s="460" t="s">
        <v>2512</v>
      </c>
      <c r="C513" s="460">
        <v>1241</v>
      </c>
      <c r="D513" s="460" t="s">
        <v>2329</v>
      </c>
      <c r="E513" s="460" t="s">
        <v>2330</v>
      </c>
      <c r="F513" s="460">
        <v>3</v>
      </c>
      <c r="G513" s="460">
        <v>3</v>
      </c>
      <c r="H513" s="461" t="s">
        <v>700</v>
      </c>
      <c r="I513" s="461" t="s">
        <v>872</v>
      </c>
      <c r="J513" s="461" t="s">
        <v>700</v>
      </c>
      <c r="K513" s="594"/>
      <c r="L513" s="594"/>
      <c r="M513" s="352">
        <v>1000</v>
      </c>
      <c r="N513" s="352" t="s">
        <v>698</v>
      </c>
      <c r="O513" s="460">
        <v>1241</v>
      </c>
      <c r="P513" s="460" t="s">
        <v>1872</v>
      </c>
      <c r="Q513" s="460" t="s">
        <v>2440</v>
      </c>
      <c r="R513" s="460">
        <v>1241</v>
      </c>
      <c r="S513" s="460" t="s">
        <v>2324</v>
      </c>
      <c r="T513" s="462">
        <v>1</v>
      </c>
      <c r="U513" s="460" t="s">
        <v>2330</v>
      </c>
      <c r="V513" s="475">
        <v>0</v>
      </c>
      <c r="W513" s="463" t="s">
        <v>2503</v>
      </c>
      <c r="X513" s="463" t="s">
        <v>2267</v>
      </c>
      <c r="Y513" s="463" t="s">
        <v>2268</v>
      </c>
      <c r="Z513" s="463"/>
      <c r="AA513" s="463"/>
      <c r="AB513" s="464">
        <v>39.683478268290294</v>
      </c>
      <c r="AC513" s="465">
        <v>0.55849089229482185</v>
      </c>
      <c r="AD513" s="465">
        <v>1.4984961883409561E-3</v>
      </c>
      <c r="AE513" s="476">
        <v>23.810086960974175</v>
      </c>
      <c r="AF513" s="467">
        <v>0.3350945353768931</v>
      </c>
      <c r="AG513" s="468">
        <v>9.6361950409635134E-4</v>
      </c>
      <c r="AH513" s="218">
        <v>39.683478268290294</v>
      </c>
      <c r="AI513" s="470">
        <v>0.55849089229482185</v>
      </c>
      <c r="AJ513" s="471">
        <v>1.3981420791006919E-3</v>
      </c>
      <c r="AK513" s="218">
        <v>39.683478268290294</v>
      </c>
      <c r="AL513" s="470">
        <v>0.55849089229482185</v>
      </c>
      <c r="AM513" s="471">
        <v>1.3981420791006919E-3</v>
      </c>
      <c r="AN513" s="477">
        <v>0</v>
      </c>
      <c r="AO513" s="473">
        <v>0</v>
      </c>
      <c r="AP513" s="474">
        <v>0</v>
      </c>
      <c r="AQ513" s="352"/>
      <c r="AR513" s="352"/>
      <c r="AS513" s="352"/>
      <c r="AT513" s="352"/>
      <c r="AU513" s="352"/>
      <c r="AV513" s="352"/>
      <c r="AW513" s="352" t="s">
        <v>254</v>
      </c>
    </row>
    <row r="514" spans="2:49" x14ac:dyDescent="0.2">
      <c r="B514" s="460" t="s">
        <v>2513</v>
      </c>
      <c r="C514" s="460">
        <v>1241</v>
      </c>
      <c r="D514" s="460" t="s">
        <v>2332</v>
      </c>
      <c r="E514" s="460" t="s">
        <v>2333</v>
      </c>
      <c r="F514" s="460">
        <v>4</v>
      </c>
      <c r="G514" s="460">
        <v>3</v>
      </c>
      <c r="H514" s="461" t="s">
        <v>700</v>
      </c>
      <c r="I514" s="461" t="s">
        <v>872</v>
      </c>
      <c r="J514" s="461" t="s">
        <v>700</v>
      </c>
      <c r="K514" s="594"/>
      <c r="L514" s="594"/>
      <c r="M514" s="352">
        <v>1000</v>
      </c>
      <c r="N514" s="352" t="s">
        <v>698</v>
      </c>
      <c r="O514" s="460">
        <v>1241</v>
      </c>
      <c r="P514" s="460" t="s">
        <v>1872</v>
      </c>
      <c r="Q514" s="460" t="s">
        <v>2440</v>
      </c>
      <c r="R514" s="460">
        <v>1241</v>
      </c>
      <c r="S514" s="460" t="s">
        <v>2333</v>
      </c>
      <c r="T514" s="462">
        <v>1</v>
      </c>
      <c r="U514" s="460" t="s">
        <v>2333</v>
      </c>
      <c r="V514" s="475">
        <v>0</v>
      </c>
      <c r="W514" s="463" t="s">
        <v>2503</v>
      </c>
      <c r="X514" s="463" t="s">
        <v>2278</v>
      </c>
      <c r="Y514" s="463" t="s">
        <v>2268</v>
      </c>
      <c r="Z514" s="463"/>
      <c r="AA514" s="463"/>
      <c r="AB514" s="464">
        <v>3.8503259269128889</v>
      </c>
      <c r="AC514" s="465">
        <v>9.7676530218101285E-2</v>
      </c>
      <c r="AD514" s="465">
        <v>2.6555138104552385E-4</v>
      </c>
      <c r="AE514" s="476">
        <v>2.3101955561477334</v>
      </c>
      <c r="AF514" s="467">
        <v>5.8605918130860767E-2</v>
      </c>
      <c r="AG514" s="468">
        <v>1.7584177903616223E-4</v>
      </c>
      <c r="AH514" s="218">
        <v>3.8503259269128889</v>
      </c>
      <c r="AI514" s="470">
        <v>9.7676530218101285E-2</v>
      </c>
      <c r="AJ514" s="471">
        <v>2.839477558383806E-4</v>
      </c>
      <c r="AK514" s="218">
        <v>3.8503259269128889</v>
      </c>
      <c r="AL514" s="470">
        <v>9.7676530218101285E-2</v>
      </c>
      <c r="AM514" s="471">
        <v>2.839477558383806E-4</v>
      </c>
      <c r="AN514" s="477">
        <v>0</v>
      </c>
      <c r="AO514" s="473">
        <v>0</v>
      </c>
      <c r="AP514" s="474">
        <v>0</v>
      </c>
      <c r="AQ514" s="352"/>
      <c r="AR514" s="352"/>
      <c r="AS514" s="352"/>
      <c r="AT514" s="352"/>
      <c r="AU514" s="352"/>
      <c r="AV514" s="352"/>
      <c r="AW514" s="352" t="s">
        <v>254</v>
      </c>
    </row>
    <row r="515" spans="2:49" x14ac:dyDescent="0.2">
      <c r="B515" s="460" t="s">
        <v>2510</v>
      </c>
      <c r="C515" s="460">
        <v>1241</v>
      </c>
      <c r="D515" s="460" t="s">
        <v>2334</v>
      </c>
      <c r="E515" s="460" t="s">
        <v>2324</v>
      </c>
      <c r="F515" s="460">
        <v>1</v>
      </c>
      <c r="G515" s="460">
        <v>3</v>
      </c>
      <c r="H515" s="461" t="s">
        <v>712</v>
      </c>
      <c r="I515" s="461" t="s">
        <v>713</v>
      </c>
      <c r="J515" s="461" t="s">
        <v>712</v>
      </c>
      <c r="K515" s="594"/>
      <c r="L515" s="594"/>
      <c r="M515" s="352">
        <v>1000</v>
      </c>
      <c r="N515" s="352" t="s">
        <v>698</v>
      </c>
      <c r="O515" s="460">
        <v>1241</v>
      </c>
      <c r="P515" s="460" t="s">
        <v>1872</v>
      </c>
      <c r="Q515" s="460" t="s">
        <v>2280</v>
      </c>
      <c r="R515" s="460">
        <v>1241</v>
      </c>
      <c r="S515" s="460" t="s">
        <v>2324</v>
      </c>
      <c r="T515" s="462">
        <v>1</v>
      </c>
      <c r="U515" s="460" t="s">
        <v>2324</v>
      </c>
      <c r="V515" s="475">
        <v>0</v>
      </c>
      <c r="W515" s="463" t="s">
        <v>713</v>
      </c>
      <c r="X515" s="463" t="s">
        <v>713</v>
      </c>
      <c r="Y515" s="463" t="s">
        <v>713</v>
      </c>
      <c r="Z515" s="463"/>
      <c r="AA515" s="463"/>
      <c r="AB515" s="464">
        <v>747.62978160396233</v>
      </c>
      <c r="AC515" s="465">
        <v>0.66960414897592724</v>
      </c>
      <c r="AD515" s="465">
        <v>1.866753880539941E-3</v>
      </c>
      <c r="AE515" s="476">
        <v>747.62978160396233</v>
      </c>
      <c r="AF515" s="467">
        <v>0.66960414897592724</v>
      </c>
      <c r="AG515" s="468">
        <v>1.8313017432555895E-3</v>
      </c>
      <c r="AH515" s="218">
        <v>747.62978160396233</v>
      </c>
      <c r="AI515" s="470">
        <v>0.66960414897592724</v>
      </c>
      <c r="AJ515" s="471">
        <v>1.8546476334267237E-3</v>
      </c>
      <c r="AK515" s="218">
        <v>747.62978160396233</v>
      </c>
      <c r="AL515" s="470">
        <v>0.66960414897592724</v>
      </c>
      <c r="AM515" s="471">
        <v>1.8546476334267237E-3</v>
      </c>
      <c r="AN515" s="477">
        <v>747.62978160396233</v>
      </c>
      <c r="AO515" s="473">
        <v>0.66960414897592724</v>
      </c>
      <c r="AP515" s="474">
        <v>1.8537450639597363E-3</v>
      </c>
      <c r="AQ515" s="352"/>
      <c r="AR515" s="352"/>
      <c r="AS515" s="352"/>
      <c r="AT515" s="352"/>
      <c r="AU515" s="352"/>
      <c r="AV515" s="352"/>
      <c r="AW515" s="352" t="s">
        <v>254</v>
      </c>
    </row>
    <row r="516" spans="2:49" x14ac:dyDescent="0.2">
      <c r="B516" s="460" t="s">
        <v>2511</v>
      </c>
      <c r="C516" s="460">
        <v>1241</v>
      </c>
      <c r="D516" s="460" t="s">
        <v>2335</v>
      </c>
      <c r="E516" s="460" t="s">
        <v>2327</v>
      </c>
      <c r="F516" s="460">
        <v>2</v>
      </c>
      <c r="G516" s="460">
        <v>3</v>
      </c>
      <c r="H516" s="461" t="s">
        <v>712</v>
      </c>
      <c r="I516" s="461" t="s">
        <v>713</v>
      </c>
      <c r="J516" s="461" t="s">
        <v>712</v>
      </c>
      <c r="K516" s="594"/>
      <c r="L516" s="594"/>
      <c r="M516" s="352">
        <v>1000</v>
      </c>
      <c r="N516" s="352" t="s">
        <v>698</v>
      </c>
      <c r="O516" s="460">
        <v>1241</v>
      </c>
      <c r="P516" s="460" t="s">
        <v>1872</v>
      </c>
      <c r="Q516" s="460" t="s">
        <v>2280</v>
      </c>
      <c r="R516" s="460">
        <v>1241</v>
      </c>
      <c r="S516" s="460" t="s">
        <v>2324</v>
      </c>
      <c r="T516" s="462">
        <v>1</v>
      </c>
      <c r="U516" s="460" t="s">
        <v>2327</v>
      </c>
      <c r="V516" s="475">
        <v>0</v>
      </c>
      <c r="W516" s="463" t="s">
        <v>713</v>
      </c>
      <c r="X516" s="463" t="s">
        <v>713</v>
      </c>
      <c r="Y516" s="463" t="s">
        <v>713</v>
      </c>
      <c r="Z516" s="463"/>
      <c r="AA516" s="463"/>
      <c r="AB516" s="464">
        <v>551.22581363594907</v>
      </c>
      <c r="AC516" s="465">
        <v>0.78272152978543041</v>
      </c>
      <c r="AD516" s="465">
        <v>1.7653549604508196E-3</v>
      </c>
      <c r="AE516" s="476">
        <v>612.43251204499018</v>
      </c>
      <c r="AF516" s="467">
        <v>0.86963291787125829</v>
      </c>
      <c r="AG516" s="468">
        <v>1.9292753554742334E-3</v>
      </c>
      <c r="AH516" s="218">
        <v>471.56373983279337</v>
      </c>
      <c r="AI516" s="470">
        <v>0.66960414897592724</v>
      </c>
      <c r="AJ516" s="471">
        <v>1.5448801017497711E-3</v>
      </c>
      <c r="AK516" s="218">
        <v>471.56373983279337</v>
      </c>
      <c r="AL516" s="470">
        <v>0.66960414897592724</v>
      </c>
      <c r="AM516" s="471">
        <v>1.5448801017497711E-3</v>
      </c>
      <c r="AN516" s="477">
        <v>471.56373983279337</v>
      </c>
      <c r="AO516" s="473">
        <v>0.66960414897592724</v>
      </c>
      <c r="AP516" s="474">
        <v>1.544274410140128E-3</v>
      </c>
      <c r="AQ516" s="352"/>
      <c r="AR516" s="352"/>
      <c r="AS516" s="352"/>
      <c r="AT516" s="352"/>
      <c r="AU516" s="352"/>
      <c r="AV516" s="352"/>
      <c r="AW516" s="352" t="s">
        <v>254</v>
      </c>
    </row>
    <row r="517" spans="2:49" x14ac:dyDescent="0.2">
      <c r="B517" s="460" t="s">
        <v>2512</v>
      </c>
      <c r="C517" s="460">
        <v>1241</v>
      </c>
      <c r="D517" s="460" t="s">
        <v>2336</v>
      </c>
      <c r="E517" s="460" t="s">
        <v>2330</v>
      </c>
      <c r="F517" s="460">
        <v>3</v>
      </c>
      <c r="G517" s="460">
        <v>3</v>
      </c>
      <c r="H517" s="461" t="s">
        <v>712</v>
      </c>
      <c r="I517" s="461" t="s">
        <v>713</v>
      </c>
      <c r="J517" s="461" t="s">
        <v>712</v>
      </c>
      <c r="K517" s="594"/>
      <c r="L517" s="594"/>
      <c r="M517" s="352">
        <v>1000</v>
      </c>
      <c r="N517" s="352" t="s">
        <v>698</v>
      </c>
      <c r="O517" s="460">
        <v>1241</v>
      </c>
      <c r="P517" s="460" t="s">
        <v>1872</v>
      </c>
      <c r="Q517" s="460" t="s">
        <v>2280</v>
      </c>
      <c r="R517" s="460">
        <v>1241</v>
      </c>
      <c r="S517" s="460" t="s">
        <v>2324</v>
      </c>
      <c r="T517" s="462">
        <v>1</v>
      </c>
      <c r="U517" s="460" t="s">
        <v>2330</v>
      </c>
      <c r="V517" s="475">
        <v>0</v>
      </c>
      <c r="W517" s="463" t="s">
        <v>713</v>
      </c>
      <c r="X517" s="463" t="s">
        <v>713</v>
      </c>
      <c r="Y517" s="463" t="s">
        <v>713</v>
      </c>
      <c r="Z517" s="463"/>
      <c r="AA517" s="463"/>
      <c r="AB517" s="464">
        <v>31.371356852175332</v>
      </c>
      <c r="AC517" s="465">
        <v>0.44150910770517815</v>
      </c>
      <c r="AD517" s="465">
        <v>2.7777024600798025E-4</v>
      </c>
      <c r="AE517" s="476">
        <v>47.244748159491458</v>
      </c>
      <c r="AF517" s="467">
        <v>0.66490546462310696</v>
      </c>
      <c r="AG517" s="468">
        <v>4.1185124913993028E-4</v>
      </c>
      <c r="AH517" s="218">
        <v>31.371356852175332</v>
      </c>
      <c r="AI517" s="470">
        <v>0.44150910770517815</v>
      </c>
      <c r="AJ517" s="471">
        <v>2.8391827692397591E-4</v>
      </c>
      <c r="AK517" s="218">
        <v>31.371356852175332</v>
      </c>
      <c r="AL517" s="470">
        <v>0.44150910770517815</v>
      </c>
      <c r="AM517" s="471">
        <v>2.8391827692397591E-4</v>
      </c>
      <c r="AN517" s="477">
        <v>31.371356852175332</v>
      </c>
      <c r="AO517" s="473">
        <v>0.44150910770517815</v>
      </c>
      <c r="AP517" s="474">
        <v>2.8465110135286119E-4</v>
      </c>
      <c r="AQ517" s="352"/>
      <c r="AR517" s="352"/>
      <c r="AS517" s="352"/>
      <c r="AT517" s="352"/>
      <c r="AU517" s="352"/>
      <c r="AV517" s="352"/>
      <c r="AW517" s="352" t="s">
        <v>254</v>
      </c>
    </row>
    <row r="518" spans="2:49" x14ac:dyDescent="0.2">
      <c r="B518" s="460" t="s">
        <v>2513</v>
      </c>
      <c r="C518" s="460">
        <v>1241</v>
      </c>
      <c r="D518" s="460" t="s">
        <v>2337</v>
      </c>
      <c r="E518" s="460" t="s">
        <v>2333</v>
      </c>
      <c r="F518" s="460">
        <v>4</v>
      </c>
      <c r="G518" s="460">
        <v>3</v>
      </c>
      <c r="H518" s="461" t="s">
        <v>712</v>
      </c>
      <c r="I518" s="461" t="s">
        <v>713</v>
      </c>
      <c r="J518" s="461" t="s">
        <v>712</v>
      </c>
      <c r="K518" s="594"/>
      <c r="L518" s="594"/>
      <c r="M518" s="352">
        <v>1000</v>
      </c>
      <c r="N518" s="352" t="s">
        <v>698</v>
      </c>
      <c r="O518" s="460">
        <v>1241</v>
      </c>
      <c r="P518" s="460" t="s">
        <v>1872</v>
      </c>
      <c r="Q518" s="460" t="s">
        <v>2280</v>
      </c>
      <c r="R518" s="460">
        <v>1241</v>
      </c>
      <c r="S518" s="460" t="s">
        <v>2333</v>
      </c>
      <c r="T518" s="462">
        <v>1</v>
      </c>
      <c r="U518" s="460" t="s">
        <v>2333</v>
      </c>
      <c r="V518" s="475">
        <v>0</v>
      </c>
      <c r="W518" s="463" t="s">
        <v>713</v>
      </c>
      <c r="X518" s="463" t="s">
        <v>713</v>
      </c>
      <c r="Y518" s="463" t="s">
        <v>713</v>
      </c>
      <c r="Z518" s="463"/>
      <c r="AA518" s="463"/>
      <c r="AB518" s="464">
        <v>35.568825411853155</v>
      </c>
      <c r="AC518" s="465">
        <v>0.9023234697818987</v>
      </c>
      <c r="AD518" s="465">
        <v>2.704109506358192E-4</v>
      </c>
      <c r="AE518" s="476">
        <v>37.10895578261831</v>
      </c>
      <c r="AF518" s="467">
        <v>0.9413940818691392</v>
      </c>
      <c r="AG518" s="468">
        <v>2.7922963112993649E-4</v>
      </c>
      <c r="AH518" s="218">
        <v>35.568825411853155</v>
      </c>
      <c r="AI518" s="470">
        <v>0.9023234697818987</v>
      </c>
      <c r="AJ518" s="471">
        <v>2.6849346899248782E-4</v>
      </c>
      <c r="AK518" s="218">
        <v>35.568825411853155</v>
      </c>
      <c r="AL518" s="470">
        <v>0.9023234697818987</v>
      </c>
      <c r="AM518" s="471">
        <v>2.6849346899248782E-4</v>
      </c>
      <c r="AN518" s="477">
        <v>35.568825411853155</v>
      </c>
      <c r="AO518" s="473">
        <v>0.9023234697818987</v>
      </c>
      <c r="AP518" s="474">
        <v>2.6857879184808504E-4</v>
      </c>
      <c r="AQ518" s="352"/>
      <c r="AR518" s="352"/>
      <c r="AS518" s="352"/>
      <c r="AT518" s="352"/>
      <c r="AU518" s="352"/>
      <c r="AV518" s="352"/>
      <c r="AW518" s="352" t="s">
        <v>254</v>
      </c>
    </row>
    <row r="519" spans="2:49" x14ac:dyDescent="0.2">
      <c r="B519" s="460" t="s">
        <v>2510</v>
      </c>
      <c r="C519" s="460">
        <v>1241</v>
      </c>
      <c r="D519" s="460" t="s">
        <v>2338</v>
      </c>
      <c r="E519" s="460" t="s">
        <v>2324</v>
      </c>
      <c r="F519" s="460">
        <v>1</v>
      </c>
      <c r="G519" s="460">
        <v>3</v>
      </c>
      <c r="H519" s="461" t="s">
        <v>746</v>
      </c>
      <c r="I519" s="461" t="s">
        <v>762</v>
      </c>
      <c r="J519" s="461" t="s">
        <v>700</v>
      </c>
      <c r="K519" s="594"/>
      <c r="L519" s="594"/>
      <c r="M519" s="352">
        <v>1000</v>
      </c>
      <c r="N519" s="352" t="s">
        <v>698</v>
      </c>
      <c r="O519" s="460">
        <v>1241</v>
      </c>
      <c r="P519" s="460" t="s">
        <v>1872</v>
      </c>
      <c r="Q519" s="460" t="s">
        <v>2444</v>
      </c>
      <c r="R519" s="460">
        <v>1241</v>
      </c>
      <c r="S519" s="460" t="s">
        <v>2324</v>
      </c>
      <c r="T519" s="462">
        <v>1</v>
      </c>
      <c r="U519" s="460" t="s">
        <v>2324</v>
      </c>
      <c r="V519" s="475">
        <v>0</v>
      </c>
      <c r="W519" s="463" t="s">
        <v>2268</v>
      </c>
      <c r="X519" s="463" t="s">
        <v>2268</v>
      </c>
      <c r="Y519" s="463" t="s">
        <v>2290</v>
      </c>
      <c r="Z519" s="463"/>
      <c r="AA519" s="463"/>
      <c r="AB519" s="464">
        <v>0</v>
      </c>
      <c r="AC519" s="465">
        <v>0</v>
      </c>
      <c r="AD519" s="465">
        <v>0</v>
      </c>
      <c r="AE519" s="476">
        <v>0</v>
      </c>
      <c r="AF519" s="467">
        <v>0</v>
      </c>
      <c r="AG519" s="468">
        <v>0</v>
      </c>
      <c r="AH519" s="218">
        <v>0</v>
      </c>
      <c r="AI519" s="470">
        <v>0</v>
      </c>
      <c r="AJ519" s="471">
        <v>0</v>
      </c>
      <c r="AK519" s="218">
        <v>0</v>
      </c>
      <c r="AL519" s="470">
        <v>0</v>
      </c>
      <c r="AM519" s="471">
        <v>0</v>
      </c>
      <c r="AN519" s="477">
        <v>0</v>
      </c>
      <c r="AO519" s="473">
        <v>0</v>
      </c>
      <c r="AP519" s="474">
        <v>0</v>
      </c>
      <c r="AQ519" s="352"/>
      <c r="AR519" s="352"/>
      <c r="AS519" s="352"/>
      <c r="AT519" s="352"/>
      <c r="AU519" s="352"/>
      <c r="AV519" s="352"/>
      <c r="AW519" s="352" t="s">
        <v>254</v>
      </c>
    </row>
    <row r="520" spans="2:49" x14ac:dyDescent="0.2">
      <c r="B520" s="460" t="s">
        <v>2511</v>
      </c>
      <c r="C520" s="460">
        <v>1241</v>
      </c>
      <c r="D520" s="460" t="s">
        <v>2339</v>
      </c>
      <c r="E520" s="460" t="s">
        <v>2327</v>
      </c>
      <c r="F520" s="460">
        <v>2</v>
      </c>
      <c r="G520" s="460">
        <v>3</v>
      </c>
      <c r="H520" s="461" t="s">
        <v>746</v>
      </c>
      <c r="I520" s="461" t="s">
        <v>762</v>
      </c>
      <c r="J520" s="461" t="s">
        <v>700</v>
      </c>
      <c r="K520" s="594"/>
      <c r="L520" s="594"/>
      <c r="M520" s="352">
        <v>1000</v>
      </c>
      <c r="N520" s="352" t="s">
        <v>698</v>
      </c>
      <c r="O520" s="460">
        <v>1241</v>
      </c>
      <c r="P520" s="460" t="s">
        <v>1872</v>
      </c>
      <c r="Q520" s="460" t="s">
        <v>2444</v>
      </c>
      <c r="R520" s="460">
        <v>1241</v>
      </c>
      <c r="S520" s="460" t="s">
        <v>2324</v>
      </c>
      <c r="T520" s="462">
        <v>1</v>
      </c>
      <c r="U520" s="460" t="s">
        <v>2327</v>
      </c>
      <c r="V520" s="475">
        <v>0</v>
      </c>
      <c r="W520" s="463" t="s">
        <v>2268</v>
      </c>
      <c r="X520" s="463" t="s">
        <v>2268</v>
      </c>
      <c r="Y520" s="463" t="s">
        <v>2290</v>
      </c>
      <c r="Z520" s="463"/>
      <c r="AA520" s="463"/>
      <c r="AB520" s="464">
        <v>0</v>
      </c>
      <c r="AC520" s="465">
        <v>0</v>
      </c>
      <c r="AD520" s="465">
        <v>0</v>
      </c>
      <c r="AE520" s="476">
        <v>0</v>
      </c>
      <c r="AF520" s="467">
        <v>0</v>
      </c>
      <c r="AG520" s="468">
        <v>0</v>
      </c>
      <c r="AH520" s="218">
        <v>0</v>
      </c>
      <c r="AI520" s="470">
        <v>0</v>
      </c>
      <c r="AJ520" s="471">
        <v>0</v>
      </c>
      <c r="AK520" s="218">
        <v>0</v>
      </c>
      <c r="AL520" s="470">
        <v>0</v>
      </c>
      <c r="AM520" s="471">
        <v>0</v>
      </c>
      <c r="AN520" s="477">
        <v>0</v>
      </c>
      <c r="AO520" s="473">
        <v>0</v>
      </c>
      <c r="AP520" s="474">
        <v>0</v>
      </c>
      <c r="AQ520" s="352"/>
      <c r="AR520" s="352"/>
      <c r="AS520" s="352"/>
      <c r="AT520" s="352"/>
      <c r="AU520" s="352"/>
      <c r="AV520" s="352"/>
      <c r="AW520" s="352" t="s">
        <v>254</v>
      </c>
    </row>
    <row r="521" spans="2:49" x14ac:dyDescent="0.2">
      <c r="B521" s="460" t="s">
        <v>2512</v>
      </c>
      <c r="C521" s="460">
        <v>1241</v>
      </c>
      <c r="D521" s="460" t="s">
        <v>2340</v>
      </c>
      <c r="E521" s="460" t="s">
        <v>2330</v>
      </c>
      <c r="F521" s="460">
        <v>3</v>
      </c>
      <c r="G521" s="460">
        <v>3</v>
      </c>
      <c r="H521" s="461" t="s">
        <v>746</v>
      </c>
      <c r="I521" s="461" t="s">
        <v>762</v>
      </c>
      <c r="J521" s="461" t="s">
        <v>700</v>
      </c>
      <c r="K521" s="594"/>
      <c r="L521" s="594"/>
      <c r="M521" s="352">
        <v>1000</v>
      </c>
      <c r="N521" s="352" t="s">
        <v>698</v>
      </c>
      <c r="O521" s="460">
        <v>1241</v>
      </c>
      <c r="P521" s="460" t="s">
        <v>1872</v>
      </c>
      <c r="Q521" s="460" t="s">
        <v>2444</v>
      </c>
      <c r="R521" s="460">
        <v>1241</v>
      </c>
      <c r="S521" s="460" t="s">
        <v>2324</v>
      </c>
      <c r="T521" s="462">
        <v>1</v>
      </c>
      <c r="U521" s="460" t="s">
        <v>2330</v>
      </c>
      <c r="V521" s="475">
        <v>0</v>
      </c>
      <c r="W521" s="463" t="s">
        <v>2268</v>
      </c>
      <c r="X521" s="463" t="s">
        <v>2268</v>
      </c>
      <c r="Y521" s="463" t="s">
        <v>2290</v>
      </c>
      <c r="Z521" s="463"/>
      <c r="AA521" s="463"/>
      <c r="AB521" s="464">
        <v>0</v>
      </c>
      <c r="AC521" s="465">
        <v>0</v>
      </c>
      <c r="AD521" s="465">
        <v>0</v>
      </c>
      <c r="AE521" s="476">
        <v>0</v>
      </c>
      <c r="AF521" s="467">
        <v>0</v>
      </c>
      <c r="AG521" s="468">
        <v>0</v>
      </c>
      <c r="AH521" s="218">
        <v>0</v>
      </c>
      <c r="AI521" s="470">
        <v>0</v>
      </c>
      <c r="AJ521" s="471">
        <v>0</v>
      </c>
      <c r="AK521" s="218">
        <v>0</v>
      </c>
      <c r="AL521" s="470">
        <v>0</v>
      </c>
      <c r="AM521" s="471">
        <v>0</v>
      </c>
      <c r="AN521" s="477">
        <v>0</v>
      </c>
      <c r="AO521" s="473">
        <v>0</v>
      </c>
      <c r="AP521" s="474">
        <v>0</v>
      </c>
      <c r="AQ521" s="352"/>
      <c r="AR521" s="352"/>
      <c r="AS521" s="352"/>
      <c r="AT521" s="352"/>
      <c r="AU521" s="352"/>
      <c r="AV521" s="352"/>
      <c r="AW521" s="352" t="s">
        <v>254</v>
      </c>
    </row>
    <row r="522" spans="2:49" x14ac:dyDescent="0.2">
      <c r="B522" s="460" t="s">
        <v>2513</v>
      </c>
      <c r="C522" s="460">
        <v>1241</v>
      </c>
      <c r="D522" s="460" t="s">
        <v>2341</v>
      </c>
      <c r="E522" s="460" t="s">
        <v>2333</v>
      </c>
      <c r="F522" s="460">
        <v>4</v>
      </c>
      <c r="G522" s="460">
        <v>3</v>
      </c>
      <c r="H522" s="461" t="s">
        <v>746</v>
      </c>
      <c r="I522" s="461" t="s">
        <v>762</v>
      </c>
      <c r="J522" s="461" t="s">
        <v>700</v>
      </c>
      <c r="K522" s="594"/>
      <c r="L522" s="594"/>
      <c r="M522" s="352">
        <v>1000</v>
      </c>
      <c r="N522" s="352" t="s">
        <v>698</v>
      </c>
      <c r="O522" s="460">
        <v>1241</v>
      </c>
      <c r="P522" s="460" t="s">
        <v>1872</v>
      </c>
      <c r="Q522" s="460" t="s">
        <v>2444</v>
      </c>
      <c r="R522" s="460">
        <v>1241</v>
      </c>
      <c r="S522" s="460" t="s">
        <v>2333</v>
      </c>
      <c r="T522" s="462">
        <v>1</v>
      </c>
      <c r="U522" s="460" t="s">
        <v>2333</v>
      </c>
      <c r="V522" s="475">
        <v>0</v>
      </c>
      <c r="W522" s="463" t="s">
        <v>2268</v>
      </c>
      <c r="X522" s="463" t="s">
        <v>2268</v>
      </c>
      <c r="Y522" s="463" t="s">
        <v>2290</v>
      </c>
      <c r="Z522" s="463"/>
      <c r="AA522" s="463"/>
      <c r="AB522" s="464">
        <v>0</v>
      </c>
      <c r="AC522" s="465">
        <v>0</v>
      </c>
      <c r="AD522" s="465">
        <v>0</v>
      </c>
      <c r="AE522" s="476">
        <v>0</v>
      </c>
      <c r="AF522" s="467">
        <v>0</v>
      </c>
      <c r="AG522" s="468">
        <v>0</v>
      </c>
      <c r="AH522" s="218">
        <v>0</v>
      </c>
      <c r="AI522" s="470">
        <v>0</v>
      </c>
      <c r="AJ522" s="471">
        <v>0</v>
      </c>
      <c r="AK522" s="218">
        <v>0</v>
      </c>
      <c r="AL522" s="470">
        <v>0</v>
      </c>
      <c r="AM522" s="471">
        <v>0</v>
      </c>
      <c r="AN522" s="477">
        <v>0</v>
      </c>
      <c r="AO522" s="473">
        <v>0</v>
      </c>
      <c r="AP522" s="474">
        <v>0</v>
      </c>
      <c r="AQ522" s="352"/>
      <c r="AR522" s="352"/>
      <c r="AS522" s="352"/>
      <c r="AT522" s="352"/>
      <c r="AU522" s="352"/>
      <c r="AV522" s="352"/>
      <c r="AW522" s="352" t="s">
        <v>254</v>
      </c>
    </row>
    <row r="523" spans="2:49" x14ac:dyDescent="0.2">
      <c r="B523" s="460" t="s">
        <v>2510</v>
      </c>
      <c r="C523" s="460">
        <v>1241</v>
      </c>
      <c r="D523" s="460" t="s">
        <v>2342</v>
      </c>
      <c r="E523" s="460" t="s">
        <v>2324</v>
      </c>
      <c r="F523" s="460">
        <v>1</v>
      </c>
      <c r="G523" s="460">
        <v>3</v>
      </c>
      <c r="H523" s="461" t="s">
        <v>748</v>
      </c>
      <c r="I523" s="461" t="s">
        <v>765</v>
      </c>
      <c r="J523" s="461" t="s">
        <v>700</v>
      </c>
      <c r="K523" s="594"/>
      <c r="L523" s="594"/>
      <c r="M523" s="352">
        <v>1000</v>
      </c>
      <c r="N523" s="352" t="s">
        <v>698</v>
      </c>
      <c r="O523" s="460">
        <v>1241</v>
      </c>
      <c r="P523" s="460" t="s">
        <v>1872</v>
      </c>
      <c r="Q523" s="460" t="s">
        <v>2440</v>
      </c>
      <c r="R523" s="460">
        <v>1241</v>
      </c>
      <c r="S523" s="460" t="s">
        <v>2324</v>
      </c>
      <c r="T523" s="462">
        <v>1</v>
      </c>
      <c r="U523" s="460" t="s">
        <v>2324</v>
      </c>
      <c r="V523" s="475">
        <v>0</v>
      </c>
      <c r="W523" s="463" t="s">
        <v>2268</v>
      </c>
      <c r="X523" s="463" t="s">
        <v>2268</v>
      </c>
      <c r="Y523" s="463" t="s">
        <v>2267</v>
      </c>
      <c r="Z523" s="463"/>
      <c r="AA523" s="463"/>
      <c r="AB523" s="464">
        <v>0</v>
      </c>
      <c r="AC523" s="465">
        <v>0</v>
      </c>
      <c r="AD523" s="465">
        <v>0</v>
      </c>
      <c r="AE523" s="476">
        <v>0</v>
      </c>
      <c r="AF523" s="467">
        <v>0</v>
      </c>
      <c r="AG523" s="468">
        <v>0</v>
      </c>
      <c r="AH523" s="218">
        <v>0</v>
      </c>
      <c r="AI523" s="470">
        <v>0</v>
      </c>
      <c r="AJ523" s="471">
        <v>0</v>
      </c>
      <c r="AK523" s="218">
        <v>0</v>
      </c>
      <c r="AL523" s="470">
        <v>0</v>
      </c>
      <c r="AM523" s="471">
        <v>0</v>
      </c>
      <c r="AN523" s="477">
        <v>368.89523208862789</v>
      </c>
      <c r="AO523" s="473">
        <v>0.33039585102407282</v>
      </c>
      <c r="AP523" s="474">
        <v>1.920166646399786E-2</v>
      </c>
      <c r="AQ523" s="352"/>
      <c r="AR523" s="352"/>
      <c r="AS523" s="352"/>
      <c r="AT523" s="352"/>
      <c r="AU523" s="352"/>
      <c r="AV523" s="352"/>
      <c r="AW523" s="352" t="s">
        <v>254</v>
      </c>
    </row>
    <row r="524" spans="2:49" x14ac:dyDescent="0.2">
      <c r="B524" s="460" t="s">
        <v>2511</v>
      </c>
      <c r="C524" s="460">
        <v>1241</v>
      </c>
      <c r="D524" s="460" t="s">
        <v>2343</v>
      </c>
      <c r="E524" s="460" t="s">
        <v>2327</v>
      </c>
      <c r="F524" s="460">
        <v>2</v>
      </c>
      <c r="G524" s="460">
        <v>3</v>
      </c>
      <c r="H524" s="461" t="s">
        <v>748</v>
      </c>
      <c r="I524" s="461" t="s">
        <v>765</v>
      </c>
      <c r="J524" s="461" t="s">
        <v>700</v>
      </c>
      <c r="K524" s="594"/>
      <c r="L524" s="594"/>
      <c r="M524" s="352">
        <v>1000</v>
      </c>
      <c r="N524" s="352" t="s">
        <v>698</v>
      </c>
      <c r="O524" s="460">
        <v>1241</v>
      </c>
      <c r="P524" s="460" t="s">
        <v>1872</v>
      </c>
      <c r="Q524" s="460" t="s">
        <v>2440</v>
      </c>
      <c r="R524" s="460">
        <v>1241</v>
      </c>
      <c r="S524" s="460" t="s">
        <v>2324</v>
      </c>
      <c r="T524" s="462">
        <v>1</v>
      </c>
      <c r="U524" s="460" t="s">
        <v>2327</v>
      </c>
      <c r="V524" s="475">
        <v>0</v>
      </c>
      <c r="W524" s="463" t="s">
        <v>2268</v>
      </c>
      <c r="X524" s="463" t="s">
        <v>2268</v>
      </c>
      <c r="Y524" s="463" t="s">
        <v>2267</v>
      </c>
      <c r="Z524" s="463"/>
      <c r="AA524" s="463"/>
      <c r="AB524" s="464">
        <v>0</v>
      </c>
      <c r="AC524" s="465">
        <v>0</v>
      </c>
      <c r="AD524" s="465">
        <v>0</v>
      </c>
      <c r="AE524" s="476">
        <v>0</v>
      </c>
      <c r="AF524" s="467">
        <v>0</v>
      </c>
      <c r="AG524" s="468">
        <v>0</v>
      </c>
      <c r="AH524" s="218">
        <v>0</v>
      </c>
      <c r="AI524" s="470">
        <v>0</v>
      </c>
      <c r="AJ524" s="471">
        <v>0</v>
      </c>
      <c r="AK524" s="218">
        <v>0</v>
      </c>
      <c r="AL524" s="470">
        <v>0</v>
      </c>
      <c r="AM524" s="471">
        <v>0</v>
      </c>
      <c r="AN524" s="477">
        <v>232.67881982575864</v>
      </c>
      <c r="AO524" s="473">
        <v>0.33039585102407282</v>
      </c>
      <c r="AP524" s="474">
        <v>2.0683637577128357E-2</v>
      </c>
      <c r="AQ524" s="352"/>
      <c r="AR524" s="352"/>
      <c r="AS524" s="352"/>
      <c r="AT524" s="352"/>
      <c r="AU524" s="352"/>
      <c r="AV524" s="352"/>
      <c r="AW524" s="352" t="s">
        <v>254</v>
      </c>
    </row>
    <row r="525" spans="2:49" x14ac:dyDescent="0.2">
      <c r="B525" s="460" t="s">
        <v>2512</v>
      </c>
      <c r="C525" s="460">
        <v>1241</v>
      </c>
      <c r="D525" s="460" t="s">
        <v>2344</v>
      </c>
      <c r="E525" s="460" t="s">
        <v>2330</v>
      </c>
      <c r="F525" s="460">
        <v>3</v>
      </c>
      <c r="G525" s="460">
        <v>3</v>
      </c>
      <c r="H525" s="461" t="s">
        <v>748</v>
      </c>
      <c r="I525" s="461" t="s">
        <v>765</v>
      </c>
      <c r="J525" s="461" t="s">
        <v>700</v>
      </c>
      <c r="K525" s="594"/>
      <c r="L525" s="594"/>
      <c r="M525" s="352">
        <v>1000</v>
      </c>
      <c r="N525" s="352" t="s">
        <v>698</v>
      </c>
      <c r="O525" s="460">
        <v>1241</v>
      </c>
      <c r="P525" s="460" t="s">
        <v>1872</v>
      </c>
      <c r="Q525" s="460" t="s">
        <v>2440</v>
      </c>
      <c r="R525" s="460">
        <v>1241</v>
      </c>
      <c r="S525" s="460" t="s">
        <v>2324</v>
      </c>
      <c r="T525" s="462">
        <v>1</v>
      </c>
      <c r="U525" s="460" t="s">
        <v>2330</v>
      </c>
      <c r="V525" s="475">
        <v>0</v>
      </c>
      <c r="W525" s="463" t="s">
        <v>2268</v>
      </c>
      <c r="X525" s="463" t="s">
        <v>2268</v>
      </c>
      <c r="Y525" s="463" t="s">
        <v>2267</v>
      </c>
      <c r="Z525" s="463"/>
      <c r="AA525" s="463"/>
      <c r="AB525" s="464">
        <v>0</v>
      </c>
      <c r="AC525" s="465">
        <v>0</v>
      </c>
      <c r="AD525" s="465">
        <v>0</v>
      </c>
      <c r="AE525" s="476">
        <v>0</v>
      </c>
      <c r="AF525" s="467">
        <v>0</v>
      </c>
      <c r="AG525" s="468">
        <v>0</v>
      </c>
      <c r="AH525" s="218">
        <v>0</v>
      </c>
      <c r="AI525" s="470">
        <v>0</v>
      </c>
      <c r="AJ525" s="471">
        <v>0</v>
      </c>
      <c r="AK525" s="218">
        <v>0</v>
      </c>
      <c r="AL525" s="470">
        <v>0</v>
      </c>
      <c r="AM525" s="471">
        <v>0</v>
      </c>
      <c r="AN525" s="477">
        <v>39.683478268290294</v>
      </c>
      <c r="AO525" s="473">
        <v>0.55849089229482185</v>
      </c>
      <c r="AP525" s="474">
        <v>1.0817030376242093E-2</v>
      </c>
      <c r="AQ525" s="352"/>
      <c r="AR525" s="352"/>
      <c r="AS525" s="352"/>
      <c r="AT525" s="352"/>
      <c r="AU525" s="352"/>
      <c r="AV525" s="352"/>
      <c r="AW525" s="352" t="s">
        <v>254</v>
      </c>
    </row>
    <row r="526" spans="2:49" x14ac:dyDescent="0.2">
      <c r="B526" s="460" t="s">
        <v>2513</v>
      </c>
      <c r="C526" s="460">
        <v>1241</v>
      </c>
      <c r="D526" s="460" t="s">
        <v>2345</v>
      </c>
      <c r="E526" s="460" t="s">
        <v>2333</v>
      </c>
      <c r="F526" s="460">
        <v>4</v>
      </c>
      <c r="G526" s="460">
        <v>3</v>
      </c>
      <c r="H526" s="461" t="s">
        <v>748</v>
      </c>
      <c r="I526" s="461" t="s">
        <v>765</v>
      </c>
      <c r="J526" s="461" t="s">
        <v>700</v>
      </c>
      <c r="K526" s="594"/>
      <c r="L526" s="594"/>
      <c r="M526" s="352">
        <v>1000</v>
      </c>
      <c r="N526" s="352" t="s">
        <v>698</v>
      </c>
      <c r="O526" s="460">
        <v>1241</v>
      </c>
      <c r="P526" s="460" t="s">
        <v>1872</v>
      </c>
      <c r="Q526" s="460" t="s">
        <v>2440</v>
      </c>
      <c r="R526" s="460">
        <v>1241</v>
      </c>
      <c r="S526" s="460" t="s">
        <v>2333</v>
      </c>
      <c r="T526" s="462">
        <v>1</v>
      </c>
      <c r="U526" s="460" t="s">
        <v>2333</v>
      </c>
      <c r="V526" s="475">
        <v>0</v>
      </c>
      <c r="W526" s="463" t="s">
        <v>2268</v>
      </c>
      <c r="X526" s="463" t="s">
        <v>2268</v>
      </c>
      <c r="Y526" s="463" t="s">
        <v>2278</v>
      </c>
      <c r="Z526" s="463"/>
      <c r="AA526" s="463"/>
      <c r="AB526" s="464">
        <v>0</v>
      </c>
      <c r="AC526" s="465">
        <v>0</v>
      </c>
      <c r="AD526" s="465">
        <v>0</v>
      </c>
      <c r="AE526" s="476">
        <v>0</v>
      </c>
      <c r="AF526" s="467">
        <v>0</v>
      </c>
      <c r="AG526" s="468">
        <v>0</v>
      </c>
      <c r="AH526" s="218">
        <v>0</v>
      </c>
      <c r="AI526" s="470">
        <v>0</v>
      </c>
      <c r="AJ526" s="471">
        <v>0</v>
      </c>
      <c r="AK526" s="218">
        <v>0</v>
      </c>
      <c r="AL526" s="470">
        <v>0</v>
      </c>
      <c r="AM526" s="471">
        <v>0</v>
      </c>
      <c r="AN526" s="477">
        <v>3.8503259269128889</v>
      </c>
      <c r="AO526" s="473">
        <v>9.7676530218101285E-2</v>
      </c>
      <c r="AP526" s="474">
        <v>2.3976924221229406E-3</v>
      </c>
      <c r="AQ526" s="352"/>
      <c r="AR526" s="352"/>
      <c r="AS526" s="352"/>
      <c r="AT526" s="352"/>
      <c r="AU526" s="352"/>
      <c r="AV526" s="352"/>
      <c r="AW526" s="352" t="s">
        <v>254</v>
      </c>
    </row>
    <row r="527" spans="2:49" x14ac:dyDescent="0.2">
      <c r="B527" s="460" t="s">
        <v>2510</v>
      </c>
      <c r="C527" s="460">
        <v>1241</v>
      </c>
      <c r="D527" s="460" t="s">
        <v>2346</v>
      </c>
      <c r="E527" s="460" t="s">
        <v>2324</v>
      </c>
      <c r="F527" s="460">
        <v>1</v>
      </c>
      <c r="G527" s="460">
        <v>3</v>
      </c>
      <c r="H527" s="461" t="s">
        <v>752</v>
      </c>
      <c r="I527" s="461" t="s">
        <v>964</v>
      </c>
      <c r="J527" s="461" t="s">
        <v>752</v>
      </c>
      <c r="K527" s="594"/>
      <c r="L527" s="594"/>
      <c r="M527" s="352">
        <v>1000</v>
      </c>
      <c r="N527" s="352" t="s">
        <v>698</v>
      </c>
      <c r="O527" s="460">
        <v>1241</v>
      </c>
      <c r="P527" s="460" t="s">
        <v>1872</v>
      </c>
      <c r="Q527" s="460" t="s">
        <v>2440</v>
      </c>
      <c r="R527" s="460">
        <v>1241</v>
      </c>
      <c r="S527" s="460" t="s">
        <v>2324</v>
      </c>
      <c r="T527" s="462">
        <v>1</v>
      </c>
      <c r="U527" s="460" t="s">
        <v>2324</v>
      </c>
      <c r="V527" s="475">
        <v>0</v>
      </c>
      <c r="W527" s="463" t="s">
        <v>2278</v>
      </c>
      <c r="X527" s="463" t="s">
        <v>2278</v>
      </c>
      <c r="Y527" s="463" t="s">
        <v>2278</v>
      </c>
      <c r="Z527" s="463"/>
      <c r="AA527" s="463"/>
      <c r="AB527" s="464">
        <v>0</v>
      </c>
      <c r="AC527" s="465">
        <v>0</v>
      </c>
      <c r="AD527" s="465">
        <v>0</v>
      </c>
      <c r="AE527" s="476">
        <v>0</v>
      </c>
      <c r="AF527" s="467">
        <v>0</v>
      </c>
      <c r="AG527" s="468">
        <v>0</v>
      </c>
      <c r="AH527" s="218">
        <v>0</v>
      </c>
      <c r="AI527" s="470">
        <v>0</v>
      </c>
      <c r="AJ527" s="471">
        <v>0</v>
      </c>
      <c r="AK527" s="218">
        <v>0</v>
      </c>
      <c r="AL527" s="470">
        <v>0</v>
      </c>
      <c r="AM527" s="471">
        <v>0</v>
      </c>
      <c r="AN527" s="477">
        <v>0</v>
      </c>
      <c r="AO527" s="473">
        <v>0</v>
      </c>
      <c r="AP527" s="474">
        <v>0</v>
      </c>
      <c r="AQ527" s="352"/>
      <c r="AR527" s="352"/>
      <c r="AS527" s="352"/>
      <c r="AT527" s="352"/>
      <c r="AU527" s="352"/>
      <c r="AV527" s="352"/>
      <c r="AW527" s="352" t="s">
        <v>254</v>
      </c>
    </row>
    <row r="528" spans="2:49" x14ac:dyDescent="0.2">
      <c r="B528" s="460" t="s">
        <v>2511</v>
      </c>
      <c r="C528" s="460">
        <v>1241</v>
      </c>
      <c r="D528" s="460" t="s">
        <v>2347</v>
      </c>
      <c r="E528" s="460" t="s">
        <v>2327</v>
      </c>
      <c r="F528" s="460">
        <v>2</v>
      </c>
      <c r="G528" s="460">
        <v>3</v>
      </c>
      <c r="H528" s="461" t="s">
        <v>752</v>
      </c>
      <c r="I528" s="461" t="s">
        <v>964</v>
      </c>
      <c r="J528" s="461" t="s">
        <v>752</v>
      </c>
      <c r="K528" s="594"/>
      <c r="L528" s="594"/>
      <c r="M528" s="352">
        <v>1000</v>
      </c>
      <c r="N528" s="352" t="s">
        <v>698</v>
      </c>
      <c r="O528" s="460">
        <v>1241</v>
      </c>
      <c r="P528" s="460" t="s">
        <v>1872</v>
      </c>
      <c r="Q528" s="460" t="s">
        <v>2440</v>
      </c>
      <c r="R528" s="460">
        <v>1241</v>
      </c>
      <c r="S528" s="460" t="s">
        <v>2324</v>
      </c>
      <c r="T528" s="462">
        <v>1</v>
      </c>
      <c r="U528" s="460" t="s">
        <v>2327</v>
      </c>
      <c r="V528" s="475">
        <v>0</v>
      </c>
      <c r="W528" s="463" t="s">
        <v>2278</v>
      </c>
      <c r="X528" s="463" t="s">
        <v>2278</v>
      </c>
      <c r="Y528" s="463" t="s">
        <v>2278</v>
      </c>
      <c r="Z528" s="463"/>
      <c r="AA528" s="463"/>
      <c r="AB528" s="464">
        <v>0</v>
      </c>
      <c r="AC528" s="465">
        <v>0</v>
      </c>
      <c r="AD528" s="465">
        <v>0</v>
      </c>
      <c r="AE528" s="476">
        <v>0</v>
      </c>
      <c r="AF528" s="467">
        <v>0</v>
      </c>
      <c r="AG528" s="468">
        <v>0</v>
      </c>
      <c r="AH528" s="218">
        <v>0</v>
      </c>
      <c r="AI528" s="470">
        <v>0</v>
      </c>
      <c r="AJ528" s="471">
        <v>0</v>
      </c>
      <c r="AK528" s="218">
        <v>0</v>
      </c>
      <c r="AL528" s="470">
        <v>0</v>
      </c>
      <c r="AM528" s="471">
        <v>0</v>
      </c>
      <c r="AN528" s="477">
        <v>0</v>
      </c>
      <c r="AO528" s="473">
        <v>0</v>
      </c>
      <c r="AP528" s="474">
        <v>0</v>
      </c>
      <c r="AQ528" s="352"/>
      <c r="AR528" s="352"/>
      <c r="AS528" s="352"/>
      <c r="AT528" s="352"/>
      <c r="AU528" s="352"/>
      <c r="AV528" s="352"/>
      <c r="AW528" s="352" t="s">
        <v>254</v>
      </c>
    </row>
    <row r="529" spans="2:49" x14ac:dyDescent="0.2">
      <c r="B529" s="460" t="s">
        <v>2512</v>
      </c>
      <c r="C529" s="460">
        <v>1241</v>
      </c>
      <c r="D529" s="460" t="s">
        <v>2348</v>
      </c>
      <c r="E529" s="460" t="s">
        <v>2330</v>
      </c>
      <c r="F529" s="460">
        <v>3</v>
      </c>
      <c r="G529" s="460">
        <v>3</v>
      </c>
      <c r="H529" s="461" t="s">
        <v>752</v>
      </c>
      <c r="I529" s="461" t="s">
        <v>964</v>
      </c>
      <c r="J529" s="461" t="s">
        <v>752</v>
      </c>
      <c r="K529" s="594"/>
      <c r="L529" s="594"/>
      <c r="M529" s="352">
        <v>1000</v>
      </c>
      <c r="N529" s="352" t="s">
        <v>698</v>
      </c>
      <c r="O529" s="460">
        <v>1241</v>
      </c>
      <c r="P529" s="460" t="s">
        <v>1872</v>
      </c>
      <c r="Q529" s="460" t="s">
        <v>2440</v>
      </c>
      <c r="R529" s="460">
        <v>1241</v>
      </c>
      <c r="S529" s="460" t="s">
        <v>2324</v>
      </c>
      <c r="T529" s="462">
        <v>1</v>
      </c>
      <c r="U529" s="460" t="s">
        <v>2330</v>
      </c>
      <c r="V529" s="475">
        <v>0</v>
      </c>
      <c r="W529" s="463" t="s">
        <v>2278</v>
      </c>
      <c r="X529" s="463" t="s">
        <v>2278</v>
      </c>
      <c r="Y529" s="463" t="s">
        <v>2278</v>
      </c>
      <c r="Z529" s="463"/>
      <c r="AA529" s="463"/>
      <c r="AB529" s="464">
        <v>0</v>
      </c>
      <c r="AC529" s="465">
        <v>0</v>
      </c>
      <c r="AD529" s="465">
        <v>0</v>
      </c>
      <c r="AE529" s="476">
        <v>0</v>
      </c>
      <c r="AF529" s="467">
        <v>0</v>
      </c>
      <c r="AG529" s="468">
        <v>0</v>
      </c>
      <c r="AH529" s="218">
        <v>0</v>
      </c>
      <c r="AI529" s="470">
        <v>0</v>
      </c>
      <c r="AJ529" s="471">
        <v>0</v>
      </c>
      <c r="AK529" s="218">
        <v>0</v>
      </c>
      <c r="AL529" s="470">
        <v>0</v>
      </c>
      <c r="AM529" s="471">
        <v>0</v>
      </c>
      <c r="AN529" s="477">
        <v>0</v>
      </c>
      <c r="AO529" s="473">
        <v>0</v>
      </c>
      <c r="AP529" s="474">
        <v>0</v>
      </c>
      <c r="AQ529" s="352"/>
      <c r="AR529" s="352"/>
      <c r="AS529" s="352"/>
      <c r="AT529" s="352"/>
      <c r="AU529" s="352"/>
      <c r="AV529" s="352"/>
      <c r="AW529" s="352" t="s">
        <v>254</v>
      </c>
    </row>
    <row r="530" spans="2:49" x14ac:dyDescent="0.2">
      <c r="B530" s="460" t="s">
        <v>2513</v>
      </c>
      <c r="C530" s="460">
        <v>1241</v>
      </c>
      <c r="D530" s="460" t="s">
        <v>2349</v>
      </c>
      <c r="E530" s="460" t="s">
        <v>2333</v>
      </c>
      <c r="F530" s="460">
        <v>4</v>
      </c>
      <c r="G530" s="460">
        <v>3</v>
      </c>
      <c r="H530" s="461" t="s">
        <v>752</v>
      </c>
      <c r="I530" s="461" t="s">
        <v>964</v>
      </c>
      <c r="J530" s="461" t="s">
        <v>752</v>
      </c>
      <c r="K530" s="594"/>
      <c r="L530" s="594"/>
      <c r="M530" s="352">
        <v>1000</v>
      </c>
      <c r="N530" s="352" t="s">
        <v>698</v>
      </c>
      <c r="O530" s="460">
        <v>1241</v>
      </c>
      <c r="P530" s="460" t="s">
        <v>1872</v>
      </c>
      <c r="Q530" s="460" t="s">
        <v>2440</v>
      </c>
      <c r="R530" s="460">
        <v>1241</v>
      </c>
      <c r="S530" s="460" t="s">
        <v>2333</v>
      </c>
      <c r="T530" s="462">
        <v>1</v>
      </c>
      <c r="U530" s="460" t="s">
        <v>2333</v>
      </c>
      <c r="V530" s="475">
        <v>0</v>
      </c>
      <c r="W530" s="463" t="s">
        <v>2278</v>
      </c>
      <c r="X530" s="463" t="s">
        <v>2278</v>
      </c>
      <c r="Y530" s="463" t="s">
        <v>2278</v>
      </c>
      <c r="Z530" s="463"/>
      <c r="AA530" s="463"/>
      <c r="AB530" s="464">
        <v>0</v>
      </c>
      <c r="AC530" s="465">
        <v>0</v>
      </c>
      <c r="AD530" s="465">
        <v>0</v>
      </c>
      <c r="AE530" s="476">
        <v>0</v>
      </c>
      <c r="AF530" s="467">
        <v>0</v>
      </c>
      <c r="AG530" s="468">
        <v>0</v>
      </c>
      <c r="AH530" s="218">
        <v>0</v>
      </c>
      <c r="AI530" s="470">
        <v>0</v>
      </c>
      <c r="AJ530" s="471">
        <v>0</v>
      </c>
      <c r="AK530" s="218">
        <v>0</v>
      </c>
      <c r="AL530" s="470">
        <v>0</v>
      </c>
      <c r="AM530" s="471">
        <v>0</v>
      </c>
      <c r="AN530" s="477">
        <v>0</v>
      </c>
      <c r="AO530" s="473">
        <v>0</v>
      </c>
      <c r="AP530" s="474">
        <v>0</v>
      </c>
      <c r="AQ530" s="352"/>
      <c r="AR530" s="352"/>
      <c r="AS530" s="352"/>
      <c r="AT530" s="352"/>
      <c r="AU530" s="352"/>
      <c r="AV530" s="352"/>
      <c r="AW530" s="352" t="s">
        <v>254</v>
      </c>
    </row>
    <row r="531" spans="2:49" x14ac:dyDescent="0.2">
      <c r="B531" s="460" t="s">
        <v>2514</v>
      </c>
      <c r="C531" s="460">
        <v>1241</v>
      </c>
      <c r="D531" s="460" t="s">
        <v>2351</v>
      </c>
      <c r="E531" s="460" t="s">
        <v>1136</v>
      </c>
      <c r="F531" s="460">
        <v>1</v>
      </c>
      <c r="G531" s="460">
        <v>4</v>
      </c>
      <c r="H531" s="461" t="s">
        <v>700</v>
      </c>
      <c r="I531" s="461" t="s">
        <v>872</v>
      </c>
      <c r="J531" s="461" t="s">
        <v>700</v>
      </c>
      <c r="K531" s="594"/>
      <c r="L531" s="594"/>
      <c r="M531" s="352">
        <v>1000</v>
      </c>
      <c r="N531" s="352" t="s">
        <v>698</v>
      </c>
      <c r="O531" s="460">
        <v>1241</v>
      </c>
      <c r="P531" s="460" t="s">
        <v>1872</v>
      </c>
      <c r="Q531" s="460" t="s">
        <v>2440</v>
      </c>
      <c r="R531" s="460">
        <v>1241</v>
      </c>
      <c r="S531" s="460" t="s">
        <v>1136</v>
      </c>
      <c r="T531" s="462">
        <v>1</v>
      </c>
      <c r="U531" s="460" t="s">
        <v>1136</v>
      </c>
      <c r="V531" s="475">
        <v>0</v>
      </c>
      <c r="W531" s="463" t="s">
        <v>2267</v>
      </c>
      <c r="X531" s="463" t="s">
        <v>2267</v>
      </c>
      <c r="Y531" s="463" t="s">
        <v>2268</v>
      </c>
      <c r="Z531" s="463"/>
      <c r="AA531" s="463"/>
      <c r="AB531" s="464">
        <v>1.4784491260673465</v>
      </c>
      <c r="AC531" s="465">
        <v>7.8139330445019556E-2</v>
      </c>
      <c r="AD531" s="465">
        <v>4.2064970967482726E-3</v>
      </c>
      <c r="AE531" s="476">
        <v>1.4784491260673465</v>
      </c>
      <c r="AF531" s="467">
        <v>7.8139330445019556E-2</v>
      </c>
      <c r="AG531" s="468">
        <v>4.5727213203454976E-3</v>
      </c>
      <c r="AH531" s="218">
        <v>1.4784491260673465</v>
      </c>
      <c r="AI531" s="470">
        <v>7.8139330445019556E-2</v>
      </c>
      <c r="AJ531" s="471">
        <v>1.1546192755098378E-3</v>
      </c>
      <c r="AK531" s="218">
        <v>1.4784491260673465</v>
      </c>
      <c r="AL531" s="470">
        <v>7.8139330445019556E-2</v>
      </c>
      <c r="AM531" s="471">
        <v>1.1546192755098378E-3</v>
      </c>
      <c r="AN531" s="477">
        <v>0</v>
      </c>
      <c r="AO531" s="473">
        <v>0</v>
      </c>
      <c r="AP531" s="474">
        <v>0</v>
      </c>
      <c r="AQ531" s="352"/>
      <c r="AR531" s="352"/>
      <c r="AS531" s="352"/>
      <c r="AT531" s="352"/>
      <c r="AU531" s="352"/>
      <c r="AV531" s="352"/>
      <c r="AW531" s="352" t="s">
        <v>254</v>
      </c>
    </row>
    <row r="532" spans="2:49" x14ac:dyDescent="0.2">
      <c r="B532" s="460" t="s">
        <v>2515</v>
      </c>
      <c r="C532" s="460">
        <v>1241</v>
      </c>
      <c r="D532" s="460" t="s">
        <v>2353</v>
      </c>
      <c r="E532" s="460" t="s">
        <v>1137</v>
      </c>
      <c r="F532" s="460">
        <v>2</v>
      </c>
      <c r="G532" s="460">
        <v>4</v>
      </c>
      <c r="H532" s="461" t="s">
        <v>700</v>
      </c>
      <c r="I532" s="461" t="s">
        <v>872</v>
      </c>
      <c r="J532" s="461" t="s">
        <v>700</v>
      </c>
      <c r="K532" s="594"/>
      <c r="L532" s="594"/>
      <c r="M532" s="352">
        <v>1000</v>
      </c>
      <c r="N532" s="352" t="s">
        <v>698</v>
      </c>
      <c r="O532" s="460">
        <v>1241</v>
      </c>
      <c r="P532" s="460" t="s">
        <v>1872</v>
      </c>
      <c r="Q532" s="460" t="s">
        <v>2440</v>
      </c>
      <c r="R532" s="460">
        <v>1241</v>
      </c>
      <c r="S532" s="460" t="s">
        <v>1137</v>
      </c>
      <c r="T532" s="462">
        <v>1</v>
      </c>
      <c r="U532" s="460" t="s">
        <v>1137</v>
      </c>
      <c r="V532" s="475">
        <v>0</v>
      </c>
      <c r="W532" s="463" t="s">
        <v>2503</v>
      </c>
      <c r="X532" s="463" t="s">
        <v>2267</v>
      </c>
      <c r="Y532" s="463" t="s">
        <v>2268</v>
      </c>
      <c r="Z532" s="463"/>
      <c r="AA532" s="463"/>
      <c r="AB532" s="464">
        <v>27.428991935770458</v>
      </c>
      <c r="AC532" s="465">
        <v>0.36608542857592458</v>
      </c>
      <c r="AD532" s="465">
        <v>6.1938811442528397E-3</v>
      </c>
      <c r="AE532" s="476">
        <v>16.457395161462276</v>
      </c>
      <c r="AF532" s="467">
        <v>0.21965125714555475</v>
      </c>
      <c r="AG532" s="468">
        <v>4.003715122587773E-3</v>
      </c>
      <c r="AH532" s="218">
        <v>27.428991935770458</v>
      </c>
      <c r="AI532" s="470">
        <v>0.36608542857592458</v>
      </c>
      <c r="AJ532" s="471">
        <v>5.6670883407080302E-3</v>
      </c>
      <c r="AK532" s="218">
        <v>27.428991935770458</v>
      </c>
      <c r="AL532" s="470">
        <v>0.36608542857592458</v>
      </c>
      <c r="AM532" s="471">
        <v>5.6670883407080302E-3</v>
      </c>
      <c r="AN532" s="477">
        <v>0</v>
      </c>
      <c r="AO532" s="473">
        <v>0</v>
      </c>
      <c r="AP532" s="474">
        <v>0</v>
      </c>
      <c r="AQ532" s="352"/>
      <c r="AR532" s="352"/>
      <c r="AS532" s="352"/>
      <c r="AT532" s="352"/>
      <c r="AU532" s="352"/>
      <c r="AV532" s="352"/>
      <c r="AW532" s="352" t="s">
        <v>254</v>
      </c>
    </row>
    <row r="533" spans="2:49" x14ac:dyDescent="0.2">
      <c r="B533" s="460" t="s">
        <v>2516</v>
      </c>
      <c r="C533" s="460">
        <v>1241</v>
      </c>
      <c r="D533" s="460" t="s">
        <v>2355</v>
      </c>
      <c r="E533" s="460" t="s">
        <v>1138</v>
      </c>
      <c r="F533" s="460">
        <v>3</v>
      </c>
      <c r="G533" s="460">
        <v>4</v>
      </c>
      <c r="H533" s="461" t="s">
        <v>700</v>
      </c>
      <c r="I533" s="461" t="s">
        <v>872</v>
      </c>
      <c r="J533" s="461" t="s">
        <v>700</v>
      </c>
      <c r="K533" s="594"/>
      <c r="L533" s="594"/>
      <c r="M533" s="352">
        <v>1000</v>
      </c>
      <c r="N533" s="352" t="s">
        <v>698</v>
      </c>
      <c r="O533" s="460">
        <v>1241</v>
      </c>
      <c r="P533" s="460" t="s">
        <v>1872</v>
      </c>
      <c r="Q533" s="460" t="s">
        <v>2440</v>
      </c>
      <c r="R533" s="460">
        <v>1241</v>
      </c>
      <c r="S533" s="460" t="s">
        <v>1138</v>
      </c>
      <c r="T533" s="462">
        <v>1</v>
      </c>
      <c r="U533" s="460" t="s">
        <v>1138</v>
      </c>
      <c r="V533" s="475">
        <v>0</v>
      </c>
      <c r="W533" s="463" t="s">
        <v>2503</v>
      </c>
      <c r="X533" s="463" t="s">
        <v>2267</v>
      </c>
      <c r="Y533" s="463" t="s">
        <v>2268</v>
      </c>
      <c r="Z533" s="463"/>
      <c r="AA533" s="463"/>
      <c r="AB533" s="464">
        <v>16.615330108364088</v>
      </c>
      <c r="AC533" s="465">
        <v>0.32202525309286972</v>
      </c>
      <c r="AD533" s="465">
        <v>6.9712634609037797E-3</v>
      </c>
      <c r="AE533" s="476">
        <v>9.9691980650184533</v>
      </c>
      <c r="AF533" s="467">
        <v>0.19321515185572183</v>
      </c>
      <c r="AG533" s="468">
        <v>4.5126300943617529E-3</v>
      </c>
      <c r="AH533" s="218">
        <v>16.615330108364088</v>
      </c>
      <c r="AI533" s="470">
        <v>0.32202525309286972</v>
      </c>
      <c r="AJ533" s="471">
        <v>5.7257455262758692E-3</v>
      </c>
      <c r="AK533" s="218">
        <v>16.615330108364088</v>
      </c>
      <c r="AL533" s="470">
        <v>0.32202525309286972</v>
      </c>
      <c r="AM533" s="471">
        <v>5.7257455262758692E-3</v>
      </c>
      <c r="AN533" s="477">
        <v>0</v>
      </c>
      <c r="AO533" s="473">
        <v>0</v>
      </c>
      <c r="AP533" s="474">
        <v>0</v>
      </c>
      <c r="AQ533" s="352"/>
      <c r="AR533" s="352"/>
      <c r="AS533" s="352"/>
      <c r="AT533" s="352"/>
      <c r="AU533" s="352"/>
      <c r="AV533" s="352"/>
      <c r="AW533" s="352" t="s">
        <v>254</v>
      </c>
    </row>
    <row r="534" spans="2:49" x14ac:dyDescent="0.2">
      <c r="B534" s="460" t="s">
        <v>2517</v>
      </c>
      <c r="C534" s="460">
        <v>1241</v>
      </c>
      <c r="D534" s="460" t="s">
        <v>2357</v>
      </c>
      <c r="E534" s="460" t="s">
        <v>1139</v>
      </c>
      <c r="F534" s="460">
        <v>4</v>
      </c>
      <c r="G534" s="460">
        <v>4</v>
      </c>
      <c r="H534" s="461" t="s">
        <v>700</v>
      </c>
      <c r="I534" s="461" t="s">
        <v>872</v>
      </c>
      <c r="J534" s="461" t="s">
        <v>700</v>
      </c>
      <c r="K534" s="594"/>
      <c r="L534" s="594"/>
      <c r="M534" s="352">
        <v>1000</v>
      </c>
      <c r="N534" s="352" t="s">
        <v>698</v>
      </c>
      <c r="O534" s="460">
        <v>1241</v>
      </c>
      <c r="P534" s="460" t="s">
        <v>1872</v>
      </c>
      <c r="Q534" s="460" t="s">
        <v>2440</v>
      </c>
      <c r="R534" s="460">
        <v>1241</v>
      </c>
      <c r="S534" s="460" t="s">
        <v>1139</v>
      </c>
      <c r="T534" s="462">
        <v>1</v>
      </c>
      <c r="U534" s="460" t="s">
        <v>1139</v>
      </c>
      <c r="V534" s="475">
        <v>0</v>
      </c>
      <c r="W534" s="463" t="s">
        <v>2503</v>
      </c>
      <c r="X534" s="463" t="s">
        <v>2267</v>
      </c>
      <c r="Y534" s="463" t="s">
        <v>2268</v>
      </c>
      <c r="Z534" s="463"/>
      <c r="AA534" s="463"/>
      <c r="AB534" s="464">
        <v>0</v>
      </c>
      <c r="AC534" s="465">
        <v>0</v>
      </c>
      <c r="AD534" s="465">
        <v>0</v>
      </c>
      <c r="AE534" s="476">
        <v>0</v>
      </c>
      <c r="AF534" s="467">
        <v>0</v>
      </c>
      <c r="AG534" s="468">
        <v>0</v>
      </c>
      <c r="AH534" s="218">
        <v>0</v>
      </c>
      <c r="AI534" s="470">
        <v>0</v>
      </c>
      <c r="AJ534" s="471">
        <v>0</v>
      </c>
      <c r="AK534" s="218">
        <v>0</v>
      </c>
      <c r="AL534" s="470">
        <v>0</v>
      </c>
      <c r="AM534" s="471">
        <v>0</v>
      </c>
      <c r="AN534" s="477">
        <v>0</v>
      </c>
      <c r="AO534" s="473">
        <v>0</v>
      </c>
      <c r="AP534" s="474">
        <v>0</v>
      </c>
      <c r="AQ534" s="352"/>
      <c r="AR534" s="352"/>
      <c r="AS534" s="352"/>
      <c r="AT534" s="352"/>
      <c r="AU534" s="352"/>
      <c r="AV534" s="352"/>
      <c r="AW534" s="352" t="s">
        <v>254</v>
      </c>
    </row>
    <row r="535" spans="2:49" x14ac:dyDescent="0.2">
      <c r="B535" s="460" t="s">
        <v>2514</v>
      </c>
      <c r="C535" s="460">
        <v>1241</v>
      </c>
      <c r="D535" s="460" t="s">
        <v>2358</v>
      </c>
      <c r="E535" s="460" t="s">
        <v>1136</v>
      </c>
      <c r="F535" s="460">
        <v>1</v>
      </c>
      <c r="G535" s="460">
        <v>4</v>
      </c>
      <c r="H535" s="461" t="s">
        <v>712</v>
      </c>
      <c r="I535" s="461" t="s">
        <v>713</v>
      </c>
      <c r="J535" s="461" t="s">
        <v>712</v>
      </c>
      <c r="K535" s="594"/>
      <c r="L535" s="594"/>
      <c r="M535" s="352">
        <v>1000</v>
      </c>
      <c r="N535" s="352" t="s">
        <v>698</v>
      </c>
      <c r="O535" s="460">
        <v>1241</v>
      </c>
      <c r="P535" s="460" t="s">
        <v>1872</v>
      </c>
      <c r="Q535" s="460" t="s">
        <v>2280</v>
      </c>
      <c r="R535" s="460">
        <v>1241</v>
      </c>
      <c r="S535" s="460" t="s">
        <v>1136</v>
      </c>
      <c r="T535" s="462">
        <v>1</v>
      </c>
      <c r="U535" s="460" t="s">
        <v>1136</v>
      </c>
      <c r="V535" s="475">
        <v>0</v>
      </c>
      <c r="W535" s="463" t="s">
        <v>713</v>
      </c>
      <c r="X535" s="463" t="s">
        <v>713</v>
      </c>
      <c r="Y535" s="463" t="s">
        <v>713</v>
      </c>
      <c r="Z535" s="463"/>
      <c r="AA535" s="463"/>
      <c r="AB535" s="464">
        <v>10.166898086262359</v>
      </c>
      <c r="AC535" s="465">
        <v>0.53734321672364616</v>
      </c>
      <c r="AD535" s="465">
        <v>6.7003624286497547E-5</v>
      </c>
      <c r="AE535" s="476">
        <v>10.166898086262359</v>
      </c>
      <c r="AF535" s="467">
        <v>0.53734321672364616</v>
      </c>
      <c r="AG535" s="468">
        <v>6.6991196731767253E-5</v>
      </c>
      <c r="AH535" s="218">
        <v>10.166898086262359</v>
      </c>
      <c r="AI535" s="470">
        <v>0.53734321672364616</v>
      </c>
      <c r="AJ535" s="471">
        <v>6.7672043133175686E-5</v>
      </c>
      <c r="AK535" s="218">
        <v>10.166898086262359</v>
      </c>
      <c r="AL535" s="470">
        <v>0.53734321672364616</v>
      </c>
      <c r="AM535" s="471">
        <v>6.7672043133175686E-5</v>
      </c>
      <c r="AN535" s="477">
        <v>10.166898086262359</v>
      </c>
      <c r="AO535" s="473">
        <v>0.53734321672364616</v>
      </c>
      <c r="AP535" s="474">
        <v>6.7561931269051375E-5</v>
      </c>
      <c r="AQ535" s="352"/>
      <c r="AR535" s="352"/>
      <c r="AS535" s="352"/>
      <c r="AT535" s="352"/>
      <c r="AU535" s="352"/>
      <c r="AV535" s="352"/>
      <c r="AW535" s="352" t="s">
        <v>254</v>
      </c>
    </row>
    <row r="536" spans="2:49" x14ac:dyDescent="0.2">
      <c r="B536" s="460" t="s">
        <v>2515</v>
      </c>
      <c r="C536" s="460">
        <v>1241</v>
      </c>
      <c r="D536" s="460" t="s">
        <v>2359</v>
      </c>
      <c r="E536" s="460" t="s">
        <v>1137</v>
      </c>
      <c r="F536" s="460">
        <v>2</v>
      </c>
      <c r="G536" s="460">
        <v>4</v>
      </c>
      <c r="H536" s="461" t="s">
        <v>712</v>
      </c>
      <c r="I536" s="461" t="s">
        <v>713</v>
      </c>
      <c r="J536" s="461" t="s">
        <v>712</v>
      </c>
      <c r="K536" s="594"/>
      <c r="L536" s="594"/>
      <c r="M536" s="352">
        <v>1000</v>
      </c>
      <c r="N536" s="352" t="s">
        <v>698</v>
      </c>
      <c r="O536" s="460">
        <v>1241</v>
      </c>
      <c r="P536" s="460" t="s">
        <v>1872</v>
      </c>
      <c r="Q536" s="460" t="s">
        <v>2280</v>
      </c>
      <c r="R536" s="460">
        <v>1241</v>
      </c>
      <c r="S536" s="460" t="s">
        <v>1137</v>
      </c>
      <c r="T536" s="462">
        <v>1</v>
      </c>
      <c r="U536" s="460" t="s">
        <v>1137</v>
      </c>
      <c r="V536" s="475">
        <v>0</v>
      </c>
      <c r="W536" s="463" t="s">
        <v>713</v>
      </c>
      <c r="X536" s="463" t="s">
        <v>713</v>
      </c>
      <c r="Y536" s="463" t="s">
        <v>713</v>
      </c>
      <c r="Z536" s="463"/>
      <c r="AA536" s="463"/>
      <c r="AB536" s="464">
        <v>36.995607046989569</v>
      </c>
      <c r="AC536" s="465">
        <v>0.49376778749062855</v>
      </c>
      <c r="AD536" s="465">
        <v>2.1395069892977606E-4</v>
      </c>
      <c r="AE536" s="476">
        <v>47.967203821297751</v>
      </c>
      <c r="AF536" s="467">
        <v>0.6402019589209984</v>
      </c>
      <c r="AG536" s="468">
        <v>2.7689194931976183E-4</v>
      </c>
      <c r="AH536" s="218">
        <v>36.995607046989569</v>
      </c>
      <c r="AI536" s="470">
        <v>0.49376778749062855</v>
      </c>
      <c r="AJ536" s="471">
        <v>2.1457149767819918E-4</v>
      </c>
      <c r="AK536" s="218">
        <v>36.995607046989569</v>
      </c>
      <c r="AL536" s="470">
        <v>0.49376778749062855</v>
      </c>
      <c r="AM536" s="471">
        <v>2.1457149767819918E-4</v>
      </c>
      <c r="AN536" s="477">
        <v>36.995607046989569</v>
      </c>
      <c r="AO536" s="473">
        <v>0.49376778749062855</v>
      </c>
      <c r="AP536" s="474">
        <v>2.1439444541168824E-4</v>
      </c>
      <c r="AQ536" s="352"/>
      <c r="AR536" s="352"/>
      <c r="AS536" s="352"/>
      <c r="AT536" s="352"/>
      <c r="AU536" s="352"/>
      <c r="AV536" s="352"/>
      <c r="AW536" s="352" t="s">
        <v>254</v>
      </c>
    </row>
    <row r="537" spans="2:49" x14ac:dyDescent="0.2">
      <c r="B537" s="460" t="s">
        <v>2516</v>
      </c>
      <c r="C537" s="460">
        <v>1241</v>
      </c>
      <c r="D537" s="460" t="s">
        <v>2360</v>
      </c>
      <c r="E537" s="460" t="s">
        <v>1138</v>
      </c>
      <c r="F537" s="460">
        <v>3</v>
      </c>
      <c r="G537" s="460">
        <v>4</v>
      </c>
      <c r="H537" s="461" t="s">
        <v>712</v>
      </c>
      <c r="I537" s="461" t="s">
        <v>713</v>
      </c>
      <c r="J537" s="461" t="s">
        <v>712</v>
      </c>
      <c r="K537" s="594"/>
      <c r="L537" s="594"/>
      <c r="M537" s="352">
        <v>1000</v>
      </c>
      <c r="N537" s="352" t="s">
        <v>698</v>
      </c>
      <c r="O537" s="460">
        <v>1241</v>
      </c>
      <c r="P537" s="460" t="s">
        <v>1872</v>
      </c>
      <c r="Q537" s="460" t="s">
        <v>2280</v>
      </c>
      <c r="R537" s="460">
        <v>1241</v>
      </c>
      <c r="S537" s="460" t="s">
        <v>1138</v>
      </c>
      <c r="T537" s="462">
        <v>1</v>
      </c>
      <c r="U537" s="460" t="s">
        <v>1138</v>
      </c>
      <c r="V537" s="475">
        <v>0</v>
      </c>
      <c r="W537" s="463" t="s">
        <v>713</v>
      </c>
      <c r="X537" s="463" t="s">
        <v>713</v>
      </c>
      <c r="Y537" s="463" t="s">
        <v>713</v>
      </c>
      <c r="Z537" s="463"/>
      <c r="AA537" s="463"/>
      <c r="AB537" s="464">
        <v>24.053225193932239</v>
      </c>
      <c r="AC537" s="465">
        <v>0.46618068255391709</v>
      </c>
      <c r="AD537" s="465">
        <v>3.0017334679319511E-4</v>
      </c>
      <c r="AE537" s="476">
        <v>30.699357237277873</v>
      </c>
      <c r="AF537" s="467">
        <v>0.59499078379106496</v>
      </c>
      <c r="AG537" s="468">
        <v>3.822828784885039E-4</v>
      </c>
      <c r="AH537" s="218">
        <v>24.053225193932235</v>
      </c>
      <c r="AI537" s="470">
        <v>0.46618068255391698</v>
      </c>
      <c r="AJ537" s="471">
        <v>3.0303411537864949E-4</v>
      </c>
      <c r="AK537" s="218">
        <v>24.053225193932235</v>
      </c>
      <c r="AL537" s="470">
        <v>0.46618068255391698</v>
      </c>
      <c r="AM537" s="471">
        <v>3.0303411537864949E-4</v>
      </c>
      <c r="AN537" s="477">
        <v>24.053225193932235</v>
      </c>
      <c r="AO537" s="473">
        <v>0.46618068255391698</v>
      </c>
      <c r="AP537" s="474">
        <v>3.0301127748944093E-4</v>
      </c>
      <c r="AQ537" s="352"/>
      <c r="AR537" s="352"/>
      <c r="AS537" s="352"/>
      <c r="AT537" s="352"/>
      <c r="AU537" s="352"/>
      <c r="AV537" s="352"/>
      <c r="AW537" s="352" t="s">
        <v>254</v>
      </c>
    </row>
    <row r="538" spans="2:49" x14ac:dyDescent="0.2">
      <c r="B538" s="460" t="s">
        <v>2517</v>
      </c>
      <c r="C538" s="460">
        <v>1241</v>
      </c>
      <c r="D538" s="460" t="s">
        <v>2361</v>
      </c>
      <c r="E538" s="460" t="s">
        <v>1139</v>
      </c>
      <c r="F538" s="460">
        <v>4</v>
      </c>
      <c r="G538" s="460">
        <v>4</v>
      </c>
      <c r="H538" s="461" t="s">
        <v>712</v>
      </c>
      <c r="I538" s="461" t="s">
        <v>713</v>
      </c>
      <c r="J538" s="461" t="s">
        <v>712</v>
      </c>
      <c r="K538" s="594"/>
      <c r="L538" s="594"/>
      <c r="M538" s="352">
        <v>1000</v>
      </c>
      <c r="N538" s="352" t="s">
        <v>698</v>
      </c>
      <c r="O538" s="460">
        <v>1241</v>
      </c>
      <c r="P538" s="460" t="s">
        <v>1872</v>
      </c>
      <c r="Q538" s="460" t="s">
        <v>2280</v>
      </c>
      <c r="R538" s="460">
        <v>1241</v>
      </c>
      <c r="S538" s="460" t="s">
        <v>1139</v>
      </c>
      <c r="T538" s="462">
        <v>1</v>
      </c>
      <c r="U538" s="460" t="s">
        <v>1139</v>
      </c>
      <c r="V538" s="475">
        <v>0</v>
      </c>
      <c r="W538" s="463" t="s">
        <v>713</v>
      </c>
      <c r="X538" s="463" t="s">
        <v>713</v>
      </c>
      <c r="Y538" s="463" t="s">
        <v>713</v>
      </c>
      <c r="Z538" s="463"/>
      <c r="AA538" s="463"/>
      <c r="AB538" s="464">
        <v>27.271532166949882</v>
      </c>
      <c r="AC538" s="465">
        <v>0.61512178173374832</v>
      </c>
      <c r="AD538" s="465">
        <v>3.0195682202779011E-4</v>
      </c>
      <c r="AE538" s="476">
        <v>27.271532166949878</v>
      </c>
      <c r="AF538" s="467">
        <v>0.61512178173374821</v>
      </c>
      <c r="AG538" s="468">
        <v>3.0195682202779006E-4</v>
      </c>
      <c r="AH538" s="218">
        <v>27.271532166949878</v>
      </c>
      <c r="AI538" s="470">
        <v>0.61512178173374821</v>
      </c>
      <c r="AJ538" s="471">
        <v>3.084512662487159E-4</v>
      </c>
      <c r="AK538" s="218">
        <v>27.271532166949878</v>
      </c>
      <c r="AL538" s="470">
        <v>0.61512178173374821</v>
      </c>
      <c r="AM538" s="471">
        <v>3.084512662487159E-4</v>
      </c>
      <c r="AN538" s="477">
        <v>27.271532166949878</v>
      </c>
      <c r="AO538" s="473">
        <v>0.61512178173374821</v>
      </c>
      <c r="AP538" s="474">
        <v>3.084512662487159E-4</v>
      </c>
      <c r="AQ538" s="352"/>
      <c r="AR538" s="352"/>
      <c r="AS538" s="352"/>
      <c r="AT538" s="352"/>
      <c r="AU538" s="352"/>
      <c r="AV538" s="352"/>
      <c r="AW538" s="352" t="s">
        <v>254</v>
      </c>
    </row>
    <row r="539" spans="2:49" x14ac:dyDescent="0.2">
      <c r="B539" s="460" t="s">
        <v>2514</v>
      </c>
      <c r="C539" s="460">
        <v>1241</v>
      </c>
      <c r="D539" s="460" t="s">
        <v>2362</v>
      </c>
      <c r="E539" s="460" t="s">
        <v>1136</v>
      </c>
      <c r="F539" s="460">
        <v>1</v>
      </c>
      <c r="G539" s="460">
        <v>4</v>
      </c>
      <c r="H539" s="461" t="s">
        <v>746</v>
      </c>
      <c r="I539" s="461" t="s">
        <v>762</v>
      </c>
      <c r="J539" s="461" t="s">
        <v>700</v>
      </c>
      <c r="K539" s="594"/>
      <c r="L539" s="594"/>
      <c r="M539" s="352">
        <v>1000</v>
      </c>
      <c r="N539" s="352" t="s">
        <v>698</v>
      </c>
      <c r="O539" s="460">
        <v>1241</v>
      </c>
      <c r="P539" s="460" t="s">
        <v>1872</v>
      </c>
      <c r="Q539" s="460" t="s">
        <v>2444</v>
      </c>
      <c r="R539" s="460">
        <v>1241</v>
      </c>
      <c r="S539" s="460" t="s">
        <v>1136</v>
      </c>
      <c r="T539" s="462">
        <v>1</v>
      </c>
      <c r="U539" s="460" t="s">
        <v>1136</v>
      </c>
      <c r="V539" s="475">
        <v>0</v>
      </c>
      <c r="W539" s="463" t="s">
        <v>2268</v>
      </c>
      <c r="X539" s="463" t="s">
        <v>2268</v>
      </c>
      <c r="Y539" s="463" t="s">
        <v>2290</v>
      </c>
      <c r="Z539" s="463"/>
      <c r="AA539" s="463"/>
      <c r="AB539" s="464">
        <v>0</v>
      </c>
      <c r="AC539" s="465">
        <v>0</v>
      </c>
      <c r="AD539" s="465">
        <v>0</v>
      </c>
      <c r="AE539" s="476">
        <v>0</v>
      </c>
      <c r="AF539" s="467">
        <v>0</v>
      </c>
      <c r="AG539" s="468">
        <v>0</v>
      </c>
      <c r="AH539" s="218">
        <v>0</v>
      </c>
      <c r="AI539" s="470">
        <v>0</v>
      </c>
      <c r="AJ539" s="471">
        <v>0</v>
      </c>
      <c r="AK539" s="218">
        <v>0</v>
      </c>
      <c r="AL539" s="470">
        <v>0</v>
      </c>
      <c r="AM539" s="471">
        <v>0</v>
      </c>
      <c r="AN539" s="477">
        <v>0</v>
      </c>
      <c r="AO539" s="473">
        <v>0</v>
      </c>
      <c r="AP539" s="474">
        <v>0</v>
      </c>
      <c r="AQ539" s="352"/>
      <c r="AR539" s="352"/>
      <c r="AS539" s="352"/>
      <c r="AT539" s="352"/>
      <c r="AU539" s="352"/>
      <c r="AV539" s="352"/>
      <c r="AW539" s="352" t="s">
        <v>254</v>
      </c>
    </row>
    <row r="540" spans="2:49" x14ac:dyDescent="0.2">
      <c r="B540" s="460" t="s">
        <v>2515</v>
      </c>
      <c r="C540" s="460">
        <v>1241</v>
      </c>
      <c r="D540" s="460" t="s">
        <v>2363</v>
      </c>
      <c r="E540" s="460" t="s">
        <v>1137</v>
      </c>
      <c r="F540" s="460">
        <v>2</v>
      </c>
      <c r="G540" s="460">
        <v>4</v>
      </c>
      <c r="H540" s="461" t="s">
        <v>746</v>
      </c>
      <c r="I540" s="461" t="s">
        <v>762</v>
      </c>
      <c r="J540" s="461" t="s">
        <v>700</v>
      </c>
      <c r="K540" s="594"/>
      <c r="L540" s="594"/>
      <c r="M540" s="352">
        <v>1000</v>
      </c>
      <c r="N540" s="352" t="s">
        <v>698</v>
      </c>
      <c r="O540" s="460">
        <v>1241</v>
      </c>
      <c r="P540" s="460" t="s">
        <v>1872</v>
      </c>
      <c r="Q540" s="460" t="s">
        <v>2444</v>
      </c>
      <c r="R540" s="460">
        <v>1241</v>
      </c>
      <c r="S540" s="460" t="s">
        <v>1137</v>
      </c>
      <c r="T540" s="462">
        <v>1</v>
      </c>
      <c r="U540" s="460" t="s">
        <v>1137</v>
      </c>
      <c r="V540" s="475">
        <v>0</v>
      </c>
      <c r="W540" s="463" t="s">
        <v>2268</v>
      </c>
      <c r="X540" s="463" t="s">
        <v>2268</v>
      </c>
      <c r="Y540" s="463" t="s">
        <v>2290</v>
      </c>
      <c r="Z540" s="463"/>
      <c r="AA540" s="463"/>
      <c r="AB540" s="464">
        <v>0</v>
      </c>
      <c r="AC540" s="465">
        <v>0</v>
      </c>
      <c r="AD540" s="465">
        <v>0</v>
      </c>
      <c r="AE540" s="476">
        <v>0</v>
      </c>
      <c r="AF540" s="467">
        <v>0</v>
      </c>
      <c r="AG540" s="468">
        <v>0</v>
      </c>
      <c r="AH540" s="218">
        <v>0</v>
      </c>
      <c r="AI540" s="470">
        <v>0</v>
      </c>
      <c r="AJ540" s="471">
        <v>0</v>
      </c>
      <c r="AK540" s="218">
        <v>0</v>
      </c>
      <c r="AL540" s="470">
        <v>0</v>
      </c>
      <c r="AM540" s="471">
        <v>0</v>
      </c>
      <c r="AN540" s="477">
        <v>0</v>
      </c>
      <c r="AO540" s="473">
        <v>0</v>
      </c>
      <c r="AP540" s="474">
        <v>0</v>
      </c>
      <c r="AQ540" s="352"/>
      <c r="AR540" s="352"/>
      <c r="AS540" s="352"/>
      <c r="AT540" s="352"/>
      <c r="AU540" s="352"/>
      <c r="AV540" s="352"/>
      <c r="AW540" s="352" t="s">
        <v>254</v>
      </c>
    </row>
    <row r="541" spans="2:49" x14ac:dyDescent="0.2">
      <c r="B541" s="460" t="s">
        <v>2516</v>
      </c>
      <c r="C541" s="460">
        <v>1241</v>
      </c>
      <c r="D541" s="460" t="s">
        <v>2364</v>
      </c>
      <c r="E541" s="460" t="s">
        <v>1138</v>
      </c>
      <c r="F541" s="460">
        <v>3</v>
      </c>
      <c r="G541" s="460">
        <v>4</v>
      </c>
      <c r="H541" s="461" t="s">
        <v>746</v>
      </c>
      <c r="I541" s="461" t="s">
        <v>762</v>
      </c>
      <c r="J541" s="461" t="s">
        <v>700</v>
      </c>
      <c r="K541" s="594"/>
      <c r="L541" s="594"/>
      <c r="M541" s="352">
        <v>1000</v>
      </c>
      <c r="N541" s="352" t="s">
        <v>698</v>
      </c>
      <c r="O541" s="460">
        <v>1241</v>
      </c>
      <c r="P541" s="460" t="s">
        <v>1872</v>
      </c>
      <c r="Q541" s="460" t="s">
        <v>2444</v>
      </c>
      <c r="R541" s="460">
        <v>1241</v>
      </c>
      <c r="S541" s="460" t="s">
        <v>1138</v>
      </c>
      <c r="T541" s="462">
        <v>1</v>
      </c>
      <c r="U541" s="460" t="s">
        <v>1138</v>
      </c>
      <c r="V541" s="475">
        <v>0</v>
      </c>
      <c r="W541" s="463" t="s">
        <v>2268</v>
      </c>
      <c r="X541" s="463" t="s">
        <v>2268</v>
      </c>
      <c r="Y541" s="463" t="s">
        <v>2290</v>
      </c>
      <c r="Z541" s="463"/>
      <c r="AA541" s="463"/>
      <c r="AB541" s="464">
        <v>0</v>
      </c>
      <c r="AC541" s="465">
        <v>0</v>
      </c>
      <c r="AD541" s="465">
        <v>0</v>
      </c>
      <c r="AE541" s="476">
        <v>0</v>
      </c>
      <c r="AF541" s="467">
        <v>0</v>
      </c>
      <c r="AG541" s="468">
        <v>0</v>
      </c>
      <c r="AH541" s="218">
        <v>0</v>
      </c>
      <c r="AI541" s="470">
        <v>0</v>
      </c>
      <c r="AJ541" s="471">
        <v>0</v>
      </c>
      <c r="AK541" s="218">
        <v>0</v>
      </c>
      <c r="AL541" s="470">
        <v>0</v>
      </c>
      <c r="AM541" s="471">
        <v>0</v>
      </c>
      <c r="AN541" s="477">
        <v>0</v>
      </c>
      <c r="AO541" s="473">
        <v>0</v>
      </c>
      <c r="AP541" s="474">
        <v>0</v>
      </c>
      <c r="AQ541" s="352"/>
      <c r="AR541" s="352"/>
      <c r="AS541" s="352"/>
      <c r="AT541" s="352"/>
      <c r="AU541" s="352"/>
      <c r="AV541" s="352"/>
      <c r="AW541" s="352" t="s">
        <v>254</v>
      </c>
    </row>
    <row r="542" spans="2:49" x14ac:dyDescent="0.2">
      <c r="B542" s="460" t="s">
        <v>2517</v>
      </c>
      <c r="C542" s="460">
        <v>1241</v>
      </c>
      <c r="D542" s="460" t="s">
        <v>2365</v>
      </c>
      <c r="E542" s="460" t="s">
        <v>1139</v>
      </c>
      <c r="F542" s="460">
        <v>4</v>
      </c>
      <c r="G542" s="460">
        <v>4</v>
      </c>
      <c r="H542" s="461" t="s">
        <v>746</v>
      </c>
      <c r="I542" s="461" t="s">
        <v>762</v>
      </c>
      <c r="J542" s="461" t="s">
        <v>700</v>
      </c>
      <c r="K542" s="594"/>
      <c r="L542" s="594"/>
      <c r="M542" s="352">
        <v>1000</v>
      </c>
      <c r="N542" s="352" t="s">
        <v>698</v>
      </c>
      <c r="O542" s="460">
        <v>1241</v>
      </c>
      <c r="P542" s="460" t="s">
        <v>1872</v>
      </c>
      <c r="Q542" s="460" t="s">
        <v>2444</v>
      </c>
      <c r="R542" s="460">
        <v>1241</v>
      </c>
      <c r="S542" s="460" t="s">
        <v>1139</v>
      </c>
      <c r="T542" s="462">
        <v>1</v>
      </c>
      <c r="U542" s="460" t="s">
        <v>1139</v>
      </c>
      <c r="V542" s="475">
        <v>0</v>
      </c>
      <c r="W542" s="463" t="s">
        <v>2268</v>
      </c>
      <c r="X542" s="463" t="s">
        <v>2268</v>
      </c>
      <c r="Y542" s="463" t="s">
        <v>2290</v>
      </c>
      <c r="Z542" s="463"/>
      <c r="AA542" s="463"/>
      <c r="AB542" s="464">
        <v>0</v>
      </c>
      <c r="AC542" s="465">
        <v>0</v>
      </c>
      <c r="AD542" s="465">
        <v>0</v>
      </c>
      <c r="AE542" s="476">
        <v>0</v>
      </c>
      <c r="AF542" s="467">
        <v>0</v>
      </c>
      <c r="AG542" s="468">
        <v>0</v>
      </c>
      <c r="AH542" s="218">
        <v>0</v>
      </c>
      <c r="AI542" s="470">
        <v>0</v>
      </c>
      <c r="AJ542" s="471">
        <v>0</v>
      </c>
      <c r="AK542" s="218">
        <v>0</v>
      </c>
      <c r="AL542" s="470">
        <v>0</v>
      </c>
      <c r="AM542" s="471">
        <v>0</v>
      </c>
      <c r="AN542" s="477">
        <v>0</v>
      </c>
      <c r="AO542" s="473">
        <v>0</v>
      </c>
      <c r="AP542" s="474">
        <v>0</v>
      </c>
      <c r="AQ542" s="352"/>
      <c r="AR542" s="352"/>
      <c r="AS542" s="352"/>
      <c r="AT542" s="352"/>
      <c r="AU542" s="352"/>
      <c r="AV542" s="352"/>
      <c r="AW542" s="352" t="s">
        <v>254</v>
      </c>
    </row>
    <row r="543" spans="2:49" x14ac:dyDescent="0.2">
      <c r="B543" s="460" t="s">
        <v>2514</v>
      </c>
      <c r="C543" s="460">
        <v>1241</v>
      </c>
      <c r="D543" s="460" t="s">
        <v>2366</v>
      </c>
      <c r="E543" s="460" t="s">
        <v>1136</v>
      </c>
      <c r="F543" s="460">
        <v>1</v>
      </c>
      <c r="G543" s="460">
        <v>4</v>
      </c>
      <c r="H543" s="461" t="s">
        <v>748</v>
      </c>
      <c r="I543" s="461" t="s">
        <v>765</v>
      </c>
      <c r="J543" s="461" t="s">
        <v>700</v>
      </c>
      <c r="K543" s="594"/>
      <c r="L543" s="594"/>
      <c r="M543" s="352">
        <v>1000</v>
      </c>
      <c r="N543" s="352" t="s">
        <v>698</v>
      </c>
      <c r="O543" s="460">
        <v>1241</v>
      </c>
      <c r="P543" s="460" t="s">
        <v>1872</v>
      </c>
      <c r="Q543" s="460" t="s">
        <v>2440</v>
      </c>
      <c r="R543" s="460">
        <v>1241</v>
      </c>
      <c r="S543" s="460" t="s">
        <v>1136</v>
      </c>
      <c r="T543" s="462">
        <v>1</v>
      </c>
      <c r="U543" s="460" t="s">
        <v>1136</v>
      </c>
      <c r="V543" s="475">
        <v>0</v>
      </c>
      <c r="W543" s="463" t="s">
        <v>2268</v>
      </c>
      <c r="X543" s="463" t="s">
        <v>2268</v>
      </c>
      <c r="Y543" s="463" t="s">
        <v>2267</v>
      </c>
      <c r="Z543" s="463"/>
      <c r="AA543" s="463"/>
      <c r="AB543" s="464">
        <v>0</v>
      </c>
      <c r="AC543" s="465">
        <v>0</v>
      </c>
      <c r="AD543" s="465">
        <v>0</v>
      </c>
      <c r="AE543" s="476">
        <v>0</v>
      </c>
      <c r="AF543" s="467">
        <v>0</v>
      </c>
      <c r="AG543" s="468">
        <v>0</v>
      </c>
      <c r="AH543" s="218">
        <v>0</v>
      </c>
      <c r="AI543" s="470">
        <v>0</v>
      </c>
      <c r="AJ543" s="471">
        <v>0</v>
      </c>
      <c r="AK543" s="218">
        <v>0</v>
      </c>
      <c r="AL543" s="470">
        <v>0</v>
      </c>
      <c r="AM543" s="471">
        <v>0</v>
      </c>
      <c r="AN543" s="477">
        <v>1.4784491260673465</v>
      </c>
      <c r="AO543" s="473">
        <v>7.8139330445019556E-2</v>
      </c>
      <c r="AP543" s="474">
        <v>1.816493048153226E-3</v>
      </c>
      <c r="AQ543" s="352"/>
      <c r="AR543" s="352"/>
      <c r="AS543" s="352"/>
      <c r="AT543" s="352"/>
      <c r="AU543" s="352"/>
      <c r="AV543" s="352"/>
      <c r="AW543" s="352" t="s">
        <v>254</v>
      </c>
    </row>
    <row r="544" spans="2:49" x14ac:dyDescent="0.2">
      <c r="B544" s="460" t="s">
        <v>2515</v>
      </c>
      <c r="C544" s="460">
        <v>1241</v>
      </c>
      <c r="D544" s="460" t="s">
        <v>2367</v>
      </c>
      <c r="E544" s="460" t="s">
        <v>1137</v>
      </c>
      <c r="F544" s="460">
        <v>2</v>
      </c>
      <c r="G544" s="460">
        <v>4</v>
      </c>
      <c r="H544" s="461" t="s">
        <v>748</v>
      </c>
      <c r="I544" s="461" t="s">
        <v>765</v>
      </c>
      <c r="J544" s="461" t="s">
        <v>700</v>
      </c>
      <c r="K544" s="594"/>
      <c r="L544" s="594"/>
      <c r="M544" s="352">
        <v>1000</v>
      </c>
      <c r="N544" s="352" t="s">
        <v>698</v>
      </c>
      <c r="O544" s="460">
        <v>1241</v>
      </c>
      <c r="P544" s="460" t="s">
        <v>1872</v>
      </c>
      <c r="Q544" s="460" t="s">
        <v>2440</v>
      </c>
      <c r="R544" s="460">
        <v>1241</v>
      </c>
      <c r="S544" s="460" t="s">
        <v>1137</v>
      </c>
      <c r="T544" s="462">
        <v>1</v>
      </c>
      <c r="U544" s="460" t="s">
        <v>1137</v>
      </c>
      <c r="V544" s="475">
        <v>0</v>
      </c>
      <c r="W544" s="463" t="s">
        <v>2268</v>
      </c>
      <c r="X544" s="463" t="s">
        <v>2268</v>
      </c>
      <c r="Y544" s="463" t="s">
        <v>2267</v>
      </c>
      <c r="Z544" s="463"/>
      <c r="AA544" s="463"/>
      <c r="AB544" s="464">
        <v>0</v>
      </c>
      <c r="AC544" s="465">
        <v>0</v>
      </c>
      <c r="AD544" s="465">
        <v>0</v>
      </c>
      <c r="AE544" s="476">
        <v>0</v>
      </c>
      <c r="AF544" s="467">
        <v>0</v>
      </c>
      <c r="AG544" s="468">
        <v>0</v>
      </c>
      <c r="AH544" s="218">
        <v>0</v>
      </c>
      <c r="AI544" s="470">
        <v>0</v>
      </c>
      <c r="AJ544" s="471">
        <v>0</v>
      </c>
      <c r="AK544" s="218">
        <v>0</v>
      </c>
      <c r="AL544" s="470">
        <v>0</v>
      </c>
      <c r="AM544" s="471">
        <v>0</v>
      </c>
      <c r="AN544" s="477">
        <v>27.428991935770458</v>
      </c>
      <c r="AO544" s="473">
        <v>0.36608542857592458</v>
      </c>
      <c r="AP544" s="474">
        <v>2.6419909110655022E-2</v>
      </c>
      <c r="AQ544" s="352"/>
      <c r="AR544" s="352"/>
      <c r="AS544" s="352"/>
      <c r="AT544" s="352"/>
      <c r="AU544" s="352"/>
      <c r="AV544" s="352"/>
      <c r="AW544" s="352" t="s">
        <v>254</v>
      </c>
    </row>
    <row r="545" spans="2:49" x14ac:dyDescent="0.2">
      <c r="B545" s="460" t="s">
        <v>2516</v>
      </c>
      <c r="C545" s="460">
        <v>1241</v>
      </c>
      <c r="D545" s="460" t="s">
        <v>2368</v>
      </c>
      <c r="E545" s="460" t="s">
        <v>1138</v>
      </c>
      <c r="F545" s="460">
        <v>3</v>
      </c>
      <c r="G545" s="460">
        <v>4</v>
      </c>
      <c r="H545" s="461" t="s">
        <v>748</v>
      </c>
      <c r="I545" s="461" t="s">
        <v>765</v>
      </c>
      <c r="J545" s="461" t="s">
        <v>700</v>
      </c>
      <c r="K545" s="594"/>
      <c r="L545" s="594"/>
      <c r="M545" s="352">
        <v>1000</v>
      </c>
      <c r="N545" s="352" t="s">
        <v>698</v>
      </c>
      <c r="O545" s="460">
        <v>1241</v>
      </c>
      <c r="P545" s="460" t="s">
        <v>1872</v>
      </c>
      <c r="Q545" s="460" t="s">
        <v>2440</v>
      </c>
      <c r="R545" s="460">
        <v>1241</v>
      </c>
      <c r="S545" s="460" t="s">
        <v>1138</v>
      </c>
      <c r="T545" s="462">
        <v>1</v>
      </c>
      <c r="U545" s="460" t="s">
        <v>1138</v>
      </c>
      <c r="V545" s="475">
        <v>0</v>
      </c>
      <c r="W545" s="463" t="s">
        <v>2268</v>
      </c>
      <c r="X545" s="463" t="s">
        <v>2268</v>
      </c>
      <c r="Y545" s="463" t="s">
        <v>2267</v>
      </c>
      <c r="Z545" s="463"/>
      <c r="AA545" s="463"/>
      <c r="AB545" s="464">
        <v>0</v>
      </c>
      <c r="AC545" s="465">
        <v>0</v>
      </c>
      <c r="AD545" s="465">
        <v>0</v>
      </c>
      <c r="AE545" s="476">
        <v>0</v>
      </c>
      <c r="AF545" s="467">
        <v>0</v>
      </c>
      <c r="AG545" s="468">
        <v>0</v>
      </c>
      <c r="AH545" s="218">
        <v>0</v>
      </c>
      <c r="AI545" s="470">
        <v>0</v>
      </c>
      <c r="AJ545" s="471">
        <v>0</v>
      </c>
      <c r="AK545" s="218">
        <v>0</v>
      </c>
      <c r="AL545" s="470">
        <v>0</v>
      </c>
      <c r="AM545" s="471">
        <v>0</v>
      </c>
      <c r="AN545" s="477">
        <v>16.615330108364088</v>
      </c>
      <c r="AO545" s="473">
        <v>0.32202525309286972</v>
      </c>
      <c r="AP545" s="474">
        <v>1.7239243989382171E-2</v>
      </c>
      <c r="AQ545" s="352"/>
      <c r="AR545" s="352"/>
      <c r="AS545" s="352"/>
      <c r="AT545" s="352"/>
      <c r="AU545" s="352"/>
      <c r="AV545" s="352"/>
      <c r="AW545" s="352" t="s">
        <v>254</v>
      </c>
    </row>
    <row r="546" spans="2:49" x14ac:dyDescent="0.2">
      <c r="B546" s="460" t="s">
        <v>2517</v>
      </c>
      <c r="C546" s="460">
        <v>1241</v>
      </c>
      <c r="D546" s="460" t="s">
        <v>2369</v>
      </c>
      <c r="E546" s="460" t="s">
        <v>1139</v>
      </c>
      <c r="F546" s="460">
        <v>4</v>
      </c>
      <c r="G546" s="460">
        <v>4</v>
      </c>
      <c r="H546" s="461" t="s">
        <v>748</v>
      </c>
      <c r="I546" s="461" t="s">
        <v>765</v>
      </c>
      <c r="J546" s="461" t="s">
        <v>700</v>
      </c>
      <c r="K546" s="594"/>
      <c r="L546" s="594"/>
      <c r="M546" s="352">
        <v>1000</v>
      </c>
      <c r="N546" s="352" t="s">
        <v>698</v>
      </c>
      <c r="O546" s="460">
        <v>1241</v>
      </c>
      <c r="P546" s="460" t="s">
        <v>1872</v>
      </c>
      <c r="Q546" s="460" t="s">
        <v>2440</v>
      </c>
      <c r="R546" s="460">
        <v>1241</v>
      </c>
      <c r="S546" s="460" t="s">
        <v>1139</v>
      </c>
      <c r="T546" s="462">
        <v>1</v>
      </c>
      <c r="U546" s="460" t="s">
        <v>1139</v>
      </c>
      <c r="V546" s="475">
        <v>0</v>
      </c>
      <c r="W546" s="463" t="s">
        <v>2268</v>
      </c>
      <c r="X546" s="463" t="s">
        <v>2268</v>
      </c>
      <c r="Y546" s="463" t="s">
        <v>2267</v>
      </c>
      <c r="Z546" s="463"/>
      <c r="AA546" s="463"/>
      <c r="AB546" s="464">
        <v>0</v>
      </c>
      <c r="AC546" s="465">
        <v>0</v>
      </c>
      <c r="AD546" s="465">
        <v>0</v>
      </c>
      <c r="AE546" s="476">
        <v>0</v>
      </c>
      <c r="AF546" s="467">
        <v>0</v>
      </c>
      <c r="AG546" s="468">
        <v>0</v>
      </c>
      <c r="AH546" s="218">
        <v>0</v>
      </c>
      <c r="AI546" s="470">
        <v>0</v>
      </c>
      <c r="AJ546" s="471">
        <v>0</v>
      </c>
      <c r="AK546" s="218">
        <v>0</v>
      </c>
      <c r="AL546" s="470">
        <v>0</v>
      </c>
      <c r="AM546" s="471">
        <v>0</v>
      </c>
      <c r="AN546" s="477">
        <v>0</v>
      </c>
      <c r="AO546" s="473">
        <v>0</v>
      </c>
      <c r="AP546" s="474">
        <v>0</v>
      </c>
      <c r="AQ546" s="352"/>
      <c r="AR546" s="352"/>
      <c r="AS546" s="352"/>
      <c r="AT546" s="352"/>
      <c r="AU546" s="352"/>
      <c r="AV546" s="352"/>
      <c r="AW546" s="352" t="s">
        <v>254</v>
      </c>
    </row>
    <row r="547" spans="2:49" x14ac:dyDescent="0.2">
      <c r="B547" s="460" t="s">
        <v>2514</v>
      </c>
      <c r="C547" s="460">
        <v>1241</v>
      </c>
      <c r="D547" s="460" t="s">
        <v>2370</v>
      </c>
      <c r="E547" s="460" t="s">
        <v>1136</v>
      </c>
      <c r="F547" s="460">
        <v>1</v>
      </c>
      <c r="G547" s="460">
        <v>4</v>
      </c>
      <c r="H547" s="461" t="s">
        <v>752</v>
      </c>
      <c r="I547" s="461" t="s">
        <v>964</v>
      </c>
      <c r="J547" s="461" t="s">
        <v>752</v>
      </c>
      <c r="K547" s="594"/>
      <c r="L547" s="594"/>
      <c r="M547" s="352">
        <v>1000</v>
      </c>
      <c r="N547" s="352" t="s">
        <v>698</v>
      </c>
      <c r="O547" s="460">
        <v>1241</v>
      </c>
      <c r="P547" s="460" t="s">
        <v>1872</v>
      </c>
      <c r="Q547" s="460" t="s">
        <v>2440</v>
      </c>
      <c r="R547" s="460">
        <v>1241</v>
      </c>
      <c r="S547" s="460" t="s">
        <v>1136</v>
      </c>
      <c r="T547" s="462">
        <v>1</v>
      </c>
      <c r="U547" s="460" t="s">
        <v>1136</v>
      </c>
      <c r="V547" s="475">
        <v>0</v>
      </c>
      <c r="W547" s="463" t="s">
        <v>2267</v>
      </c>
      <c r="X547" s="463" t="s">
        <v>2267</v>
      </c>
      <c r="Y547" s="463" t="s">
        <v>2267</v>
      </c>
      <c r="Z547" s="463"/>
      <c r="AA547" s="463"/>
      <c r="AB547" s="464">
        <v>7.2753309870773624</v>
      </c>
      <c r="AC547" s="465">
        <v>0.38451745283133432</v>
      </c>
      <c r="AD547" s="465">
        <v>2.3560311318504305E-3</v>
      </c>
      <c r="AE547" s="476">
        <v>7.2753309870773624</v>
      </c>
      <c r="AF547" s="467">
        <v>0.38451745283133432</v>
      </c>
      <c r="AG547" s="468">
        <v>2.3560311318504305E-3</v>
      </c>
      <c r="AH547" s="218">
        <v>7.2753309870773624</v>
      </c>
      <c r="AI547" s="470">
        <v>0.38451745283133432</v>
      </c>
      <c r="AJ547" s="471">
        <v>1.9890370584904464E-3</v>
      </c>
      <c r="AK547" s="218">
        <v>7.2753309870773624</v>
      </c>
      <c r="AL547" s="470">
        <v>0.38451745283133432</v>
      </c>
      <c r="AM547" s="471">
        <v>1.9890370584904464E-3</v>
      </c>
      <c r="AN547" s="477">
        <v>7.2753309870773624</v>
      </c>
      <c r="AO547" s="473">
        <v>0.38451745283133432</v>
      </c>
      <c r="AP547" s="474">
        <v>1.9890370584904464E-3</v>
      </c>
      <c r="AQ547" s="352"/>
      <c r="AR547" s="352"/>
      <c r="AS547" s="352"/>
      <c r="AT547" s="352"/>
      <c r="AU547" s="352"/>
      <c r="AV547" s="352"/>
      <c r="AW547" s="352" t="s">
        <v>254</v>
      </c>
    </row>
    <row r="548" spans="2:49" x14ac:dyDescent="0.2">
      <c r="B548" s="460" t="s">
        <v>2515</v>
      </c>
      <c r="C548" s="460">
        <v>1241</v>
      </c>
      <c r="D548" s="460" t="s">
        <v>2371</v>
      </c>
      <c r="E548" s="460" t="s">
        <v>1137</v>
      </c>
      <c r="F548" s="460">
        <v>2</v>
      </c>
      <c r="G548" s="460">
        <v>4</v>
      </c>
      <c r="H548" s="461" t="s">
        <v>752</v>
      </c>
      <c r="I548" s="461" t="s">
        <v>964</v>
      </c>
      <c r="J548" s="461" t="s">
        <v>752</v>
      </c>
      <c r="K548" s="594"/>
      <c r="L548" s="594"/>
      <c r="M548" s="352">
        <v>1000</v>
      </c>
      <c r="N548" s="352" t="s">
        <v>698</v>
      </c>
      <c r="O548" s="460">
        <v>1241</v>
      </c>
      <c r="P548" s="460" t="s">
        <v>1872</v>
      </c>
      <c r="Q548" s="460" t="s">
        <v>2440</v>
      </c>
      <c r="R548" s="460">
        <v>1241</v>
      </c>
      <c r="S548" s="460" t="s">
        <v>1137</v>
      </c>
      <c r="T548" s="462">
        <v>1</v>
      </c>
      <c r="U548" s="460" t="s">
        <v>1137</v>
      </c>
      <c r="V548" s="475">
        <v>0</v>
      </c>
      <c r="W548" s="463" t="s">
        <v>2267</v>
      </c>
      <c r="X548" s="463" t="s">
        <v>2267</v>
      </c>
      <c r="Y548" s="463" t="s">
        <v>2267</v>
      </c>
      <c r="Z548" s="463"/>
      <c r="AA548" s="463"/>
      <c r="AB548" s="464">
        <v>10.500513558510647</v>
      </c>
      <c r="AC548" s="465">
        <v>0.14014678393344682</v>
      </c>
      <c r="AD548" s="465">
        <v>1.0274641244032235E-3</v>
      </c>
      <c r="AE548" s="476">
        <v>10.500513558510647</v>
      </c>
      <c r="AF548" s="467">
        <v>0.14014678393344682</v>
      </c>
      <c r="AG548" s="468">
        <v>1.0274641244032235E-3</v>
      </c>
      <c r="AH548" s="218">
        <v>10.500513558510647</v>
      </c>
      <c r="AI548" s="470">
        <v>0.14014678393344682</v>
      </c>
      <c r="AJ548" s="471">
        <v>1.0186298444915831E-3</v>
      </c>
      <c r="AK548" s="218">
        <v>10.500513558510647</v>
      </c>
      <c r="AL548" s="470">
        <v>0.14014678393344682</v>
      </c>
      <c r="AM548" s="471">
        <v>1.0186298444915831E-3</v>
      </c>
      <c r="AN548" s="477">
        <v>10.500513558510647</v>
      </c>
      <c r="AO548" s="473">
        <v>0.14014678393344682</v>
      </c>
      <c r="AP548" s="474">
        <v>1.0186298444915831E-3</v>
      </c>
      <c r="AQ548" s="352"/>
      <c r="AR548" s="352"/>
      <c r="AS548" s="352"/>
      <c r="AT548" s="352"/>
      <c r="AU548" s="352"/>
      <c r="AV548" s="352"/>
      <c r="AW548" s="352" t="s">
        <v>254</v>
      </c>
    </row>
    <row r="549" spans="2:49" x14ac:dyDescent="0.2">
      <c r="B549" s="460" t="s">
        <v>2516</v>
      </c>
      <c r="C549" s="460">
        <v>1241</v>
      </c>
      <c r="D549" s="460" t="s">
        <v>2372</v>
      </c>
      <c r="E549" s="460" t="s">
        <v>1138</v>
      </c>
      <c r="F549" s="460">
        <v>3</v>
      </c>
      <c r="G549" s="460">
        <v>4</v>
      </c>
      <c r="H549" s="461" t="s">
        <v>752</v>
      </c>
      <c r="I549" s="461" t="s">
        <v>964</v>
      </c>
      <c r="J549" s="461" t="s">
        <v>752</v>
      </c>
      <c r="K549" s="594"/>
      <c r="L549" s="594"/>
      <c r="M549" s="352">
        <v>1000</v>
      </c>
      <c r="N549" s="352" t="s">
        <v>698</v>
      </c>
      <c r="O549" s="460">
        <v>1241</v>
      </c>
      <c r="P549" s="460" t="s">
        <v>1872</v>
      </c>
      <c r="Q549" s="460" t="s">
        <v>2440</v>
      </c>
      <c r="R549" s="460">
        <v>1241</v>
      </c>
      <c r="S549" s="460" t="s">
        <v>1138</v>
      </c>
      <c r="T549" s="462">
        <v>1</v>
      </c>
      <c r="U549" s="460" t="s">
        <v>1138</v>
      </c>
      <c r="V549" s="475">
        <v>0</v>
      </c>
      <c r="W549" s="463" t="s">
        <v>2267</v>
      </c>
      <c r="X549" s="463" t="s">
        <v>2267</v>
      </c>
      <c r="Y549" s="463" t="s">
        <v>2267</v>
      </c>
      <c r="Z549" s="463"/>
      <c r="AA549" s="463"/>
      <c r="AB549" s="464">
        <v>10.927802277686226</v>
      </c>
      <c r="AC549" s="465">
        <v>0.21179406435321324</v>
      </c>
      <c r="AD549" s="465">
        <v>1.887487654113728E-3</v>
      </c>
      <c r="AE549" s="476">
        <v>10.927802277686226</v>
      </c>
      <c r="AF549" s="467">
        <v>0.21179406435321324</v>
      </c>
      <c r="AG549" s="468">
        <v>1.887487654113728E-3</v>
      </c>
      <c r="AH549" s="218">
        <v>10.927802277686226</v>
      </c>
      <c r="AI549" s="470">
        <v>0.21179406435321324</v>
      </c>
      <c r="AJ549" s="471">
        <v>1.8129568546980804E-3</v>
      </c>
      <c r="AK549" s="218">
        <v>10.927802277686226</v>
      </c>
      <c r="AL549" s="470">
        <v>0.21179406435321324</v>
      </c>
      <c r="AM549" s="471">
        <v>1.8129568546980804E-3</v>
      </c>
      <c r="AN549" s="477">
        <v>10.927802277686226</v>
      </c>
      <c r="AO549" s="473">
        <v>0.21179406435321324</v>
      </c>
      <c r="AP549" s="474">
        <v>1.8129568546980804E-3</v>
      </c>
      <c r="AQ549" s="352"/>
      <c r="AR549" s="352"/>
      <c r="AS549" s="352"/>
      <c r="AT549" s="352"/>
      <c r="AU549" s="352"/>
      <c r="AV549" s="352"/>
      <c r="AW549" s="352" t="s">
        <v>254</v>
      </c>
    </row>
    <row r="550" spans="2:49" x14ac:dyDescent="0.2">
      <c r="B550" s="460" t="s">
        <v>2517</v>
      </c>
      <c r="C550" s="460">
        <v>1241</v>
      </c>
      <c r="D550" s="460" t="s">
        <v>2373</v>
      </c>
      <c r="E550" s="460" t="s">
        <v>1139</v>
      </c>
      <c r="F550" s="460">
        <v>4</v>
      </c>
      <c r="G550" s="460">
        <v>4</v>
      </c>
      <c r="H550" s="461" t="s">
        <v>752</v>
      </c>
      <c r="I550" s="461" t="s">
        <v>964</v>
      </c>
      <c r="J550" s="461" t="s">
        <v>752</v>
      </c>
      <c r="K550" s="594"/>
      <c r="L550" s="594"/>
      <c r="M550" s="352">
        <v>1000</v>
      </c>
      <c r="N550" s="352" t="s">
        <v>698</v>
      </c>
      <c r="O550" s="460">
        <v>1241</v>
      </c>
      <c r="P550" s="460" t="s">
        <v>1872</v>
      </c>
      <c r="Q550" s="460" t="s">
        <v>2440</v>
      </c>
      <c r="R550" s="460">
        <v>1241</v>
      </c>
      <c r="S550" s="460" t="s">
        <v>1139</v>
      </c>
      <c r="T550" s="462">
        <v>1</v>
      </c>
      <c r="U550" s="460" t="s">
        <v>1139</v>
      </c>
      <c r="V550" s="475">
        <v>0</v>
      </c>
      <c r="W550" s="463" t="s">
        <v>2267</v>
      </c>
      <c r="X550" s="463" t="s">
        <v>2267</v>
      </c>
      <c r="Y550" s="463" t="s">
        <v>2267</v>
      </c>
      <c r="Z550" s="463"/>
      <c r="AA550" s="463"/>
      <c r="AB550" s="464">
        <v>17.063643365420063</v>
      </c>
      <c r="AC550" s="465">
        <v>0.38487821826625174</v>
      </c>
      <c r="AD550" s="465">
        <v>6.80280927281772E-4</v>
      </c>
      <c r="AE550" s="476">
        <v>17.063643365420063</v>
      </c>
      <c r="AF550" s="467">
        <v>0.38487821826625174</v>
      </c>
      <c r="AG550" s="468">
        <v>6.80280927281772E-4</v>
      </c>
      <c r="AH550" s="218">
        <v>17.063643365420063</v>
      </c>
      <c r="AI550" s="470">
        <v>0.38487821826625174</v>
      </c>
      <c r="AJ550" s="471">
        <v>6.3234196183129475E-4</v>
      </c>
      <c r="AK550" s="218">
        <v>17.063643365420063</v>
      </c>
      <c r="AL550" s="470">
        <v>0.38487821826625174</v>
      </c>
      <c r="AM550" s="471">
        <v>6.3234196183129475E-4</v>
      </c>
      <c r="AN550" s="477">
        <v>17.063643365420063</v>
      </c>
      <c r="AO550" s="473">
        <v>0.38487821826625174</v>
      </c>
      <c r="AP550" s="474">
        <v>6.3234196183129475E-4</v>
      </c>
      <c r="AQ550" s="352"/>
      <c r="AR550" s="352"/>
      <c r="AS550" s="352"/>
      <c r="AT550" s="352"/>
      <c r="AU550" s="352"/>
      <c r="AV550" s="352"/>
      <c r="AW550" s="352" t="s">
        <v>254</v>
      </c>
    </row>
    <row r="551" spans="2:49" x14ac:dyDescent="0.2">
      <c r="B551" s="460" t="s">
        <v>2518</v>
      </c>
      <c r="C551" s="460">
        <v>1241</v>
      </c>
      <c r="D551" s="460" t="s">
        <v>2375</v>
      </c>
      <c r="E551" s="460" t="s">
        <v>2376</v>
      </c>
      <c r="F551" s="460">
        <v>1</v>
      </c>
      <c r="G551" s="460">
        <v>5</v>
      </c>
      <c r="H551" s="461" t="s">
        <v>754</v>
      </c>
      <c r="I551" s="461" t="s">
        <v>1991</v>
      </c>
      <c r="J551" s="461" t="s">
        <v>754</v>
      </c>
      <c r="K551" s="594"/>
      <c r="L551" s="594"/>
      <c r="M551" s="352">
        <v>1000</v>
      </c>
      <c r="N551" s="352" t="s">
        <v>698</v>
      </c>
      <c r="O551" s="460">
        <v>1241</v>
      </c>
      <c r="P551" s="460" t="s">
        <v>1872</v>
      </c>
      <c r="Q551" s="460" t="s">
        <v>2377</v>
      </c>
      <c r="R551" s="460">
        <v>1241</v>
      </c>
      <c r="S551" s="460" t="s">
        <v>2376</v>
      </c>
      <c r="T551" s="462">
        <v>1</v>
      </c>
      <c r="U551" s="460" t="s">
        <v>2376</v>
      </c>
      <c r="V551" s="475">
        <v>0</v>
      </c>
      <c r="W551" s="463" t="s">
        <v>2278</v>
      </c>
      <c r="X551" s="463" t="s">
        <v>2278</v>
      </c>
      <c r="Y551" s="463" t="s">
        <v>2278</v>
      </c>
      <c r="Z551" s="463"/>
      <c r="AA551" s="463"/>
      <c r="AB551" s="464">
        <v>432.02360313705157</v>
      </c>
      <c r="AC551" s="465">
        <v>1</v>
      </c>
      <c r="AD551" s="465">
        <v>7.2627696899330517E-4</v>
      </c>
      <c r="AE551" s="476">
        <v>432.02360313705157</v>
      </c>
      <c r="AF551" s="467">
        <v>1</v>
      </c>
      <c r="AG551" s="468">
        <v>7.2627696899330517E-4</v>
      </c>
      <c r="AH551" s="218">
        <v>432.02360313705157</v>
      </c>
      <c r="AI551" s="470">
        <v>1</v>
      </c>
      <c r="AJ551" s="471">
        <v>7.2627696899330517E-4</v>
      </c>
      <c r="AK551" s="218">
        <v>432.02360313705157</v>
      </c>
      <c r="AL551" s="470">
        <v>1</v>
      </c>
      <c r="AM551" s="471">
        <v>7.2627696899330517E-4</v>
      </c>
      <c r="AN551" s="477">
        <v>432.02360313705157</v>
      </c>
      <c r="AO551" s="473">
        <v>1</v>
      </c>
      <c r="AP551" s="474">
        <v>7.2627696899330517E-4</v>
      </c>
      <c r="AQ551" s="352"/>
      <c r="AR551" s="352"/>
      <c r="AS551" s="352"/>
      <c r="AT551" s="352"/>
      <c r="AU551" s="352"/>
      <c r="AV551" s="352"/>
      <c r="AW551" s="352" t="s">
        <v>127</v>
      </c>
    </row>
    <row r="552" spans="2:49" x14ac:dyDescent="0.2">
      <c r="B552" s="460" t="s">
        <v>2519</v>
      </c>
      <c r="C552" s="460">
        <v>1241</v>
      </c>
      <c r="D552" s="460" t="s">
        <v>2379</v>
      </c>
      <c r="E552" s="460" t="s">
        <v>2380</v>
      </c>
      <c r="F552" s="460">
        <v>2</v>
      </c>
      <c r="G552" s="460">
        <v>5</v>
      </c>
      <c r="H552" s="461" t="s">
        <v>754</v>
      </c>
      <c r="I552" s="461" t="s">
        <v>1991</v>
      </c>
      <c r="J552" s="461" t="s">
        <v>754</v>
      </c>
      <c r="K552" s="594"/>
      <c r="L552" s="594"/>
      <c r="M552" s="352">
        <v>1000</v>
      </c>
      <c r="N552" s="352" t="s">
        <v>698</v>
      </c>
      <c r="O552" s="460">
        <v>1241</v>
      </c>
      <c r="P552" s="460" t="s">
        <v>1872</v>
      </c>
      <c r="Q552" s="460" t="s">
        <v>2377</v>
      </c>
      <c r="R552" s="460">
        <v>1241</v>
      </c>
      <c r="S552" s="460" t="s">
        <v>2380</v>
      </c>
      <c r="T552" s="462">
        <v>1</v>
      </c>
      <c r="U552" s="460" t="s">
        <v>2380</v>
      </c>
      <c r="V552" s="475">
        <v>0</v>
      </c>
      <c r="W552" s="463" t="s">
        <v>2278</v>
      </c>
      <c r="X552" s="463" t="s">
        <v>2278</v>
      </c>
      <c r="Y552" s="463" t="s">
        <v>2278</v>
      </c>
      <c r="Z552" s="463"/>
      <c r="AA552" s="463"/>
      <c r="AB552" s="464">
        <v>232.00578079966678</v>
      </c>
      <c r="AC552" s="465">
        <v>1</v>
      </c>
      <c r="AD552" s="465">
        <v>4.5686664201532686E-4</v>
      </c>
      <c r="AE552" s="476">
        <v>232.00578079966678</v>
      </c>
      <c r="AF552" s="467">
        <v>1</v>
      </c>
      <c r="AG552" s="468">
        <v>4.5686664201532686E-4</v>
      </c>
      <c r="AH552" s="218">
        <v>232.00578079966678</v>
      </c>
      <c r="AI552" s="470">
        <v>1</v>
      </c>
      <c r="AJ552" s="471">
        <v>4.5686664201532686E-4</v>
      </c>
      <c r="AK552" s="218">
        <v>232.00578079966678</v>
      </c>
      <c r="AL552" s="470">
        <v>1</v>
      </c>
      <c r="AM552" s="471">
        <v>4.5686664201532686E-4</v>
      </c>
      <c r="AN552" s="477">
        <v>232.00578079966678</v>
      </c>
      <c r="AO552" s="473">
        <v>1</v>
      </c>
      <c r="AP552" s="474">
        <v>4.5686664201532686E-4</v>
      </c>
      <c r="AQ552" s="352"/>
      <c r="AR552" s="352"/>
      <c r="AS552" s="352"/>
      <c r="AT552" s="352"/>
      <c r="AU552" s="352"/>
      <c r="AV552" s="352"/>
      <c r="AW552" s="352" t="s">
        <v>127</v>
      </c>
    </row>
    <row r="553" spans="2:49" x14ac:dyDescent="0.2">
      <c r="B553" s="460" t="s">
        <v>2520</v>
      </c>
      <c r="C553" s="460">
        <v>1241</v>
      </c>
      <c r="D553" s="460" t="s">
        <v>2382</v>
      </c>
      <c r="E553" s="460" t="s">
        <v>2383</v>
      </c>
      <c r="F553" s="460">
        <v>3</v>
      </c>
      <c r="G553" s="460">
        <v>5</v>
      </c>
      <c r="H553" s="461" t="s">
        <v>754</v>
      </c>
      <c r="I553" s="461" t="s">
        <v>1991</v>
      </c>
      <c r="J553" s="461" t="s">
        <v>754</v>
      </c>
      <c r="K553" s="594"/>
      <c r="L553" s="594"/>
      <c r="M553" s="352">
        <v>1000</v>
      </c>
      <c r="N553" s="352" t="s">
        <v>698</v>
      </c>
      <c r="O553" s="460">
        <v>1241</v>
      </c>
      <c r="P553" s="460" t="s">
        <v>1872</v>
      </c>
      <c r="Q553" s="460" t="s">
        <v>2377</v>
      </c>
      <c r="R553" s="460">
        <v>1241</v>
      </c>
      <c r="S553" s="460" t="s">
        <v>2383</v>
      </c>
      <c r="T553" s="462">
        <v>1</v>
      </c>
      <c r="U553" s="460" t="s">
        <v>2383</v>
      </c>
      <c r="V553" s="475">
        <v>0</v>
      </c>
      <c r="W553" s="463" t="s">
        <v>2278</v>
      </c>
      <c r="X553" s="463" t="s">
        <v>2278</v>
      </c>
      <c r="Y553" s="463" t="s">
        <v>2278</v>
      </c>
      <c r="Z553" s="463"/>
      <c r="AA553" s="463"/>
      <c r="AB553" s="464">
        <v>54.059714665589532</v>
      </c>
      <c r="AC553" s="465">
        <v>1</v>
      </c>
      <c r="AD553" s="465">
        <v>4.8051832208355181E-4</v>
      </c>
      <c r="AE553" s="476">
        <v>54.059714665589532</v>
      </c>
      <c r="AF553" s="467">
        <v>1</v>
      </c>
      <c r="AG553" s="468">
        <v>4.8051832208355181E-4</v>
      </c>
      <c r="AH553" s="218">
        <v>54.059714665589532</v>
      </c>
      <c r="AI553" s="470">
        <v>1</v>
      </c>
      <c r="AJ553" s="471">
        <v>4.8051832208355181E-4</v>
      </c>
      <c r="AK553" s="218">
        <v>54.059714665589532</v>
      </c>
      <c r="AL553" s="470">
        <v>1</v>
      </c>
      <c r="AM553" s="471">
        <v>4.8051832208355181E-4</v>
      </c>
      <c r="AN553" s="477">
        <v>54.059714665589532</v>
      </c>
      <c r="AO553" s="473">
        <v>1</v>
      </c>
      <c r="AP553" s="474">
        <v>4.8051832208355181E-4</v>
      </c>
      <c r="AQ553" s="352"/>
      <c r="AR553" s="352"/>
      <c r="AS553" s="352"/>
      <c r="AT553" s="352"/>
      <c r="AU553" s="352"/>
      <c r="AV553" s="352"/>
      <c r="AW553" s="352" t="s">
        <v>127</v>
      </c>
    </row>
    <row r="554" spans="2:49" x14ac:dyDescent="0.2">
      <c r="B554" s="460" t="s">
        <v>2521</v>
      </c>
      <c r="C554" s="460">
        <v>1241</v>
      </c>
      <c r="D554" s="460" t="s">
        <v>2385</v>
      </c>
      <c r="E554" s="460" t="s">
        <v>2386</v>
      </c>
      <c r="F554" s="460">
        <v>4</v>
      </c>
      <c r="G554" s="460">
        <v>5</v>
      </c>
      <c r="H554" s="461" t="s">
        <v>754</v>
      </c>
      <c r="I554" s="461" t="s">
        <v>1991</v>
      </c>
      <c r="J554" s="461" t="s">
        <v>754</v>
      </c>
      <c r="K554" s="594"/>
      <c r="L554" s="594"/>
      <c r="M554" s="352">
        <v>1000</v>
      </c>
      <c r="N554" s="352" t="s">
        <v>698</v>
      </c>
      <c r="O554" s="460">
        <v>1241</v>
      </c>
      <c r="P554" s="460" t="s">
        <v>1872</v>
      </c>
      <c r="Q554" s="460" t="s">
        <v>2377</v>
      </c>
      <c r="R554" s="460">
        <v>1241</v>
      </c>
      <c r="S554" s="460" t="s">
        <v>2386</v>
      </c>
      <c r="T554" s="462">
        <v>1</v>
      </c>
      <c r="U554" s="460" t="s">
        <v>2386</v>
      </c>
      <c r="V554" s="475">
        <v>0</v>
      </c>
      <c r="W554" s="463" t="s">
        <v>2278</v>
      </c>
      <c r="X554" s="463" t="s">
        <v>2278</v>
      </c>
      <c r="Y554" s="463" t="s">
        <v>2278</v>
      </c>
      <c r="Z554" s="463"/>
      <c r="AA554" s="463"/>
      <c r="AB554" s="464">
        <v>34.01807179970087</v>
      </c>
      <c r="AC554" s="465">
        <v>1</v>
      </c>
      <c r="AD554" s="465">
        <v>6.3106031990898376E-4</v>
      </c>
      <c r="AE554" s="476">
        <v>34.01807179970087</v>
      </c>
      <c r="AF554" s="467">
        <v>1</v>
      </c>
      <c r="AG554" s="468">
        <v>6.3106031990898376E-4</v>
      </c>
      <c r="AH554" s="218">
        <v>34.01807179970087</v>
      </c>
      <c r="AI554" s="470">
        <v>1</v>
      </c>
      <c r="AJ554" s="471">
        <v>6.3106031990898376E-4</v>
      </c>
      <c r="AK554" s="218">
        <v>34.01807179970087</v>
      </c>
      <c r="AL554" s="470">
        <v>1</v>
      </c>
      <c r="AM554" s="471">
        <v>6.3106031990898376E-4</v>
      </c>
      <c r="AN554" s="477">
        <v>34.01807179970087</v>
      </c>
      <c r="AO554" s="473">
        <v>1</v>
      </c>
      <c r="AP554" s="474">
        <v>6.3106031990898376E-4</v>
      </c>
      <c r="AQ554" s="352"/>
      <c r="AR554" s="352"/>
      <c r="AS554" s="352"/>
      <c r="AT554" s="352"/>
      <c r="AU554" s="352"/>
      <c r="AV554" s="352"/>
      <c r="AW554" s="352" t="s">
        <v>127</v>
      </c>
    </row>
    <row r="555" spans="2:49" x14ac:dyDescent="0.2">
      <c r="B555" s="460" t="s">
        <v>2522</v>
      </c>
      <c r="C555" s="460">
        <v>1241</v>
      </c>
      <c r="D555" s="460" t="s">
        <v>2388</v>
      </c>
      <c r="E555" s="460" t="s">
        <v>2389</v>
      </c>
      <c r="F555" s="460">
        <v>1</v>
      </c>
      <c r="G555" s="460">
        <v>6</v>
      </c>
      <c r="H555" s="461" t="s">
        <v>754</v>
      </c>
      <c r="I555" s="461" t="s">
        <v>1991</v>
      </c>
      <c r="J555" s="461" t="s">
        <v>754</v>
      </c>
      <c r="K555" s="594"/>
      <c r="L555" s="594"/>
      <c r="M555" s="352">
        <v>1000</v>
      </c>
      <c r="N555" s="352" t="s">
        <v>698</v>
      </c>
      <c r="O555" s="460">
        <v>1241</v>
      </c>
      <c r="P555" s="460" t="s">
        <v>1872</v>
      </c>
      <c r="Q555" s="460" t="s">
        <v>2377</v>
      </c>
      <c r="R555" s="460">
        <v>1241</v>
      </c>
      <c r="S555" s="460" t="s">
        <v>2389</v>
      </c>
      <c r="T555" s="462">
        <v>1</v>
      </c>
      <c r="U555" s="460" t="s">
        <v>2389</v>
      </c>
      <c r="V555" s="475">
        <v>0</v>
      </c>
      <c r="W555" s="463" t="s">
        <v>2278</v>
      </c>
      <c r="X555" s="463" t="s">
        <v>2278</v>
      </c>
      <c r="Y555" s="463" t="s">
        <v>2278</v>
      </c>
      <c r="Z555" s="463"/>
      <c r="AA555" s="463"/>
      <c r="AB555" s="464">
        <v>0</v>
      </c>
      <c r="AC555" s="465">
        <v>0</v>
      </c>
      <c r="AD555" s="465">
        <v>0</v>
      </c>
      <c r="AE555" s="476">
        <v>0</v>
      </c>
      <c r="AF555" s="467">
        <v>0</v>
      </c>
      <c r="AG555" s="468">
        <v>0</v>
      </c>
      <c r="AH555" s="218">
        <v>0</v>
      </c>
      <c r="AI555" s="470">
        <v>0</v>
      </c>
      <c r="AJ555" s="471">
        <v>0</v>
      </c>
      <c r="AK555" s="218">
        <v>0</v>
      </c>
      <c r="AL555" s="470">
        <v>0</v>
      </c>
      <c r="AM555" s="471">
        <v>0</v>
      </c>
      <c r="AN555" s="477">
        <v>0</v>
      </c>
      <c r="AO555" s="473">
        <v>0</v>
      </c>
      <c r="AP555" s="474">
        <v>0</v>
      </c>
      <c r="AQ555" s="352"/>
      <c r="AR555" s="352"/>
      <c r="AS555" s="352"/>
      <c r="AT555" s="352"/>
      <c r="AU555" s="352"/>
      <c r="AV555" s="352"/>
      <c r="AW555" s="352" t="s">
        <v>127</v>
      </c>
    </row>
    <row r="556" spans="2:49" x14ac:dyDescent="0.2">
      <c r="B556" s="460" t="s">
        <v>2523</v>
      </c>
      <c r="C556" s="460">
        <v>1241</v>
      </c>
      <c r="D556" s="460" t="s">
        <v>2391</v>
      </c>
      <c r="E556" s="460" t="s">
        <v>2392</v>
      </c>
      <c r="F556" s="460">
        <v>2</v>
      </c>
      <c r="G556" s="460">
        <v>6</v>
      </c>
      <c r="H556" s="461" t="s">
        <v>754</v>
      </c>
      <c r="I556" s="461" t="s">
        <v>1991</v>
      </c>
      <c r="J556" s="461" t="s">
        <v>754</v>
      </c>
      <c r="K556" s="594"/>
      <c r="L556" s="594"/>
      <c r="M556" s="352">
        <v>1000</v>
      </c>
      <c r="N556" s="352" t="s">
        <v>698</v>
      </c>
      <c r="O556" s="460">
        <v>1241</v>
      </c>
      <c r="P556" s="460" t="s">
        <v>1872</v>
      </c>
      <c r="Q556" s="460" t="s">
        <v>2377</v>
      </c>
      <c r="R556" s="460">
        <v>1241</v>
      </c>
      <c r="S556" s="460" t="s">
        <v>2392</v>
      </c>
      <c r="T556" s="462">
        <v>1</v>
      </c>
      <c r="U556" s="460" t="s">
        <v>2392</v>
      </c>
      <c r="V556" s="475">
        <v>0</v>
      </c>
      <c r="W556" s="463" t="s">
        <v>2278</v>
      </c>
      <c r="X556" s="463" t="s">
        <v>2278</v>
      </c>
      <c r="Y556" s="463" t="s">
        <v>2278</v>
      </c>
      <c r="Z556" s="463"/>
      <c r="AA556" s="463"/>
      <c r="AB556" s="464">
        <v>0</v>
      </c>
      <c r="AC556" s="465">
        <v>0</v>
      </c>
      <c r="AD556" s="465">
        <v>0</v>
      </c>
      <c r="AE556" s="476">
        <v>0</v>
      </c>
      <c r="AF556" s="467">
        <v>0</v>
      </c>
      <c r="AG556" s="468">
        <v>0</v>
      </c>
      <c r="AH556" s="218">
        <v>0</v>
      </c>
      <c r="AI556" s="470">
        <v>0</v>
      </c>
      <c r="AJ556" s="471">
        <v>0</v>
      </c>
      <c r="AK556" s="218">
        <v>0</v>
      </c>
      <c r="AL556" s="470">
        <v>0</v>
      </c>
      <c r="AM556" s="471">
        <v>0</v>
      </c>
      <c r="AN556" s="477">
        <v>0</v>
      </c>
      <c r="AO556" s="473">
        <v>0</v>
      </c>
      <c r="AP556" s="474">
        <v>0</v>
      </c>
      <c r="AQ556" s="352"/>
      <c r="AR556" s="352"/>
      <c r="AS556" s="352"/>
      <c r="AT556" s="352"/>
      <c r="AU556" s="352"/>
      <c r="AV556" s="352"/>
      <c r="AW556" s="352" t="s">
        <v>127</v>
      </c>
    </row>
    <row r="557" spans="2:49" x14ac:dyDescent="0.2">
      <c r="B557" s="460" t="s">
        <v>2524</v>
      </c>
      <c r="C557" s="460">
        <v>1241</v>
      </c>
      <c r="D557" s="460" t="s">
        <v>2394</v>
      </c>
      <c r="E557" s="460" t="s">
        <v>2395</v>
      </c>
      <c r="F557" s="460">
        <v>3</v>
      </c>
      <c r="G557" s="460">
        <v>6</v>
      </c>
      <c r="H557" s="461" t="s">
        <v>754</v>
      </c>
      <c r="I557" s="461" t="s">
        <v>1991</v>
      </c>
      <c r="J557" s="461" t="s">
        <v>754</v>
      </c>
      <c r="K557" s="594"/>
      <c r="L557" s="594"/>
      <c r="M557" s="352">
        <v>1000</v>
      </c>
      <c r="N557" s="352" t="s">
        <v>698</v>
      </c>
      <c r="O557" s="460">
        <v>1241</v>
      </c>
      <c r="P557" s="460" t="s">
        <v>1872</v>
      </c>
      <c r="Q557" s="460" t="s">
        <v>2377</v>
      </c>
      <c r="R557" s="460">
        <v>1241</v>
      </c>
      <c r="S557" s="460" t="s">
        <v>2395</v>
      </c>
      <c r="T557" s="462">
        <v>1</v>
      </c>
      <c r="U557" s="460" t="s">
        <v>2395</v>
      </c>
      <c r="V557" s="475">
        <v>0</v>
      </c>
      <c r="W557" s="463" t="s">
        <v>2278</v>
      </c>
      <c r="X557" s="463" t="s">
        <v>2278</v>
      </c>
      <c r="Y557" s="463" t="s">
        <v>2278</v>
      </c>
      <c r="Z557" s="463"/>
      <c r="AA557" s="463"/>
      <c r="AB557" s="464">
        <v>0</v>
      </c>
      <c r="AC557" s="465">
        <v>0</v>
      </c>
      <c r="AD557" s="465">
        <v>0</v>
      </c>
      <c r="AE557" s="476">
        <v>0</v>
      </c>
      <c r="AF557" s="467">
        <v>0</v>
      </c>
      <c r="AG557" s="468">
        <v>0</v>
      </c>
      <c r="AH557" s="218">
        <v>0</v>
      </c>
      <c r="AI557" s="470">
        <v>0</v>
      </c>
      <c r="AJ557" s="471">
        <v>0</v>
      </c>
      <c r="AK557" s="218">
        <v>0</v>
      </c>
      <c r="AL557" s="470">
        <v>0</v>
      </c>
      <c r="AM557" s="471">
        <v>0</v>
      </c>
      <c r="AN557" s="477">
        <v>0</v>
      </c>
      <c r="AO557" s="473">
        <v>0</v>
      </c>
      <c r="AP557" s="474">
        <v>0</v>
      </c>
      <c r="AQ557" s="352"/>
      <c r="AR557" s="352"/>
      <c r="AS557" s="352"/>
      <c r="AT557" s="352"/>
      <c r="AU557" s="352"/>
      <c r="AV557" s="352"/>
      <c r="AW557" s="352" t="s">
        <v>127</v>
      </c>
    </row>
    <row r="558" spans="2:49" x14ac:dyDescent="0.2">
      <c r="B558" s="460" t="s">
        <v>2525</v>
      </c>
      <c r="C558" s="460">
        <v>1241</v>
      </c>
      <c r="D558" s="460" t="s">
        <v>2397</v>
      </c>
      <c r="E558" s="460" t="s">
        <v>2398</v>
      </c>
      <c r="F558" s="460">
        <v>4</v>
      </c>
      <c r="G558" s="460">
        <v>6</v>
      </c>
      <c r="H558" s="461" t="s">
        <v>754</v>
      </c>
      <c r="I558" s="461" t="s">
        <v>1991</v>
      </c>
      <c r="J558" s="461" t="s">
        <v>754</v>
      </c>
      <c r="K558" s="594"/>
      <c r="L558" s="594"/>
      <c r="M558" s="352">
        <v>1000</v>
      </c>
      <c r="N558" s="352" t="s">
        <v>698</v>
      </c>
      <c r="O558" s="460">
        <v>1241</v>
      </c>
      <c r="P558" s="460" t="s">
        <v>1872</v>
      </c>
      <c r="Q558" s="460" t="s">
        <v>2377</v>
      </c>
      <c r="R558" s="460">
        <v>1241</v>
      </c>
      <c r="S558" s="460" t="s">
        <v>2398</v>
      </c>
      <c r="T558" s="462">
        <v>1</v>
      </c>
      <c r="U558" s="460" t="s">
        <v>2398</v>
      </c>
      <c r="V558" s="475">
        <v>0</v>
      </c>
      <c r="W558" s="463" t="s">
        <v>2278</v>
      </c>
      <c r="X558" s="463" t="s">
        <v>2278</v>
      </c>
      <c r="Y558" s="463" t="s">
        <v>2278</v>
      </c>
      <c r="Z558" s="463"/>
      <c r="AA558" s="463"/>
      <c r="AB558" s="464">
        <v>0</v>
      </c>
      <c r="AC558" s="465">
        <v>0</v>
      </c>
      <c r="AD558" s="465">
        <v>0</v>
      </c>
      <c r="AE558" s="476">
        <v>0</v>
      </c>
      <c r="AF558" s="467">
        <v>0</v>
      </c>
      <c r="AG558" s="468">
        <v>0</v>
      </c>
      <c r="AH558" s="218">
        <v>0</v>
      </c>
      <c r="AI558" s="470">
        <v>0</v>
      </c>
      <c r="AJ558" s="471">
        <v>0</v>
      </c>
      <c r="AK558" s="218">
        <v>0</v>
      </c>
      <c r="AL558" s="470">
        <v>0</v>
      </c>
      <c r="AM558" s="471">
        <v>0</v>
      </c>
      <c r="AN558" s="477">
        <v>0</v>
      </c>
      <c r="AO558" s="473">
        <v>0</v>
      </c>
      <c r="AP558" s="474">
        <v>0</v>
      </c>
      <c r="AQ558" s="352"/>
      <c r="AR558" s="352"/>
      <c r="AS558" s="352"/>
      <c r="AT558" s="352"/>
      <c r="AU558" s="352"/>
      <c r="AV558" s="352"/>
      <c r="AW558" s="352" t="s">
        <v>127</v>
      </c>
    </row>
    <row r="559" spans="2:49" x14ac:dyDescent="0.2">
      <c r="B559" s="460" t="s">
        <v>2526</v>
      </c>
      <c r="C559" s="460">
        <v>1251</v>
      </c>
      <c r="D559" s="460" t="s">
        <v>2264</v>
      </c>
      <c r="E559" s="460" t="s">
        <v>2265</v>
      </c>
      <c r="F559" s="460">
        <v>1</v>
      </c>
      <c r="G559" s="460">
        <v>1</v>
      </c>
      <c r="H559" s="461" t="s">
        <v>700</v>
      </c>
      <c r="I559" s="461" t="s">
        <v>872</v>
      </c>
      <c r="J559" s="461" t="s">
        <v>700</v>
      </c>
      <c r="K559" s="594"/>
      <c r="L559" s="594"/>
      <c r="M559" s="352">
        <v>1000</v>
      </c>
      <c r="N559" s="352" t="s">
        <v>698</v>
      </c>
      <c r="O559" s="460">
        <v>1251</v>
      </c>
      <c r="P559" s="460" t="s">
        <v>733</v>
      </c>
      <c r="Q559" s="460" t="s">
        <v>2527</v>
      </c>
      <c r="R559" s="460">
        <v>1241</v>
      </c>
      <c r="S559" s="460" t="s">
        <v>2265</v>
      </c>
      <c r="T559" s="462">
        <v>1</v>
      </c>
      <c r="U559" s="460" t="s">
        <v>2265</v>
      </c>
      <c r="V559" s="475">
        <v>0</v>
      </c>
      <c r="W559" s="463" t="s">
        <v>2503</v>
      </c>
      <c r="X559" s="479" t="s">
        <v>2267</v>
      </c>
      <c r="Y559" s="463" t="s">
        <v>2268</v>
      </c>
      <c r="Z559" s="463"/>
      <c r="AA559" s="463"/>
      <c r="AB559" s="464">
        <v>473.21003263054229</v>
      </c>
      <c r="AC559" s="465">
        <v>0.13994665561252345</v>
      </c>
      <c r="AD559" s="465">
        <v>4.3882825672010859E-3</v>
      </c>
      <c r="AE559" s="476">
        <v>283.92601957832534</v>
      </c>
      <c r="AF559" s="467">
        <v>8.3967993367514066E-2</v>
      </c>
      <c r="AG559" s="468">
        <v>2.8125625229559735E-3</v>
      </c>
      <c r="AH559" s="218">
        <v>2210.8543205811466</v>
      </c>
      <c r="AI559" s="470">
        <v>0.65383581681877379</v>
      </c>
      <c r="AJ559" s="471">
        <v>2.108124585378705E-2</v>
      </c>
      <c r="AK559" s="218">
        <v>2210.8543205811466</v>
      </c>
      <c r="AL559" s="470">
        <v>0.65383581681877379</v>
      </c>
      <c r="AM559" s="471">
        <v>2.108124585378705E-2</v>
      </c>
      <c r="AN559" s="477">
        <v>0</v>
      </c>
      <c r="AO559" s="473">
        <v>0</v>
      </c>
      <c r="AP559" s="474">
        <v>0</v>
      </c>
      <c r="AQ559" s="352"/>
      <c r="AR559" s="352"/>
      <c r="AS559" s="352"/>
      <c r="AT559" s="352"/>
      <c r="AU559" s="352"/>
      <c r="AV559" s="352"/>
      <c r="AW559" s="352" t="s">
        <v>254</v>
      </c>
    </row>
    <row r="560" spans="2:49" x14ac:dyDescent="0.2">
      <c r="B560" s="460" t="s">
        <v>2528</v>
      </c>
      <c r="C560" s="460">
        <v>1251</v>
      </c>
      <c r="D560" s="460" t="s">
        <v>2270</v>
      </c>
      <c r="E560" s="460" t="s">
        <v>2271</v>
      </c>
      <c r="F560" s="460">
        <v>2</v>
      </c>
      <c r="G560" s="460">
        <v>1</v>
      </c>
      <c r="H560" s="461" t="s">
        <v>700</v>
      </c>
      <c r="I560" s="461" t="s">
        <v>872</v>
      </c>
      <c r="J560" s="461" t="s">
        <v>700</v>
      </c>
      <c r="K560" s="594"/>
      <c r="L560" s="594"/>
      <c r="M560" s="352">
        <v>1000</v>
      </c>
      <c r="N560" s="352" t="s">
        <v>698</v>
      </c>
      <c r="O560" s="460">
        <v>1251</v>
      </c>
      <c r="P560" s="460" t="s">
        <v>733</v>
      </c>
      <c r="Q560" s="460" t="s">
        <v>2527</v>
      </c>
      <c r="R560" s="460">
        <v>1241</v>
      </c>
      <c r="S560" s="460" t="s">
        <v>2265</v>
      </c>
      <c r="T560" s="462">
        <v>1</v>
      </c>
      <c r="U560" s="460" t="s">
        <v>2271</v>
      </c>
      <c r="V560" s="475">
        <v>0</v>
      </c>
      <c r="W560" s="463" t="s">
        <v>2503</v>
      </c>
      <c r="X560" s="479" t="s">
        <v>2267</v>
      </c>
      <c r="Y560" s="463" t="s">
        <v>2268</v>
      </c>
      <c r="Z560" s="463"/>
      <c r="AA560" s="463"/>
      <c r="AB560" s="464">
        <v>353.69998794282276</v>
      </c>
      <c r="AC560" s="465">
        <v>0.10940420842533848</v>
      </c>
      <c r="AD560" s="465">
        <v>4.3882825672010833E-3</v>
      </c>
      <c r="AE560" s="476">
        <v>212.21999276569363</v>
      </c>
      <c r="AF560" s="467">
        <v>6.5642525055203085E-2</v>
      </c>
      <c r="AG560" s="468">
        <v>2.8532470672481261E-3</v>
      </c>
      <c r="AH560" s="218">
        <v>2113.8283787612027</v>
      </c>
      <c r="AI560" s="470">
        <v>0.65383581681877379</v>
      </c>
      <c r="AJ560" s="471">
        <v>2.4956702260000668E-2</v>
      </c>
      <c r="AK560" s="218">
        <v>2113.8283787612027</v>
      </c>
      <c r="AL560" s="470">
        <v>0.65383581681877379</v>
      </c>
      <c r="AM560" s="471">
        <v>2.4956702260000668E-2</v>
      </c>
      <c r="AN560" s="477">
        <v>0</v>
      </c>
      <c r="AO560" s="473">
        <v>0</v>
      </c>
      <c r="AP560" s="474">
        <v>0</v>
      </c>
      <c r="AQ560" s="352"/>
      <c r="AR560" s="352"/>
      <c r="AS560" s="352"/>
      <c r="AT560" s="352"/>
      <c r="AU560" s="352"/>
      <c r="AV560" s="352"/>
      <c r="AW560" s="352" t="s">
        <v>254</v>
      </c>
    </row>
    <row r="561" spans="2:49" x14ac:dyDescent="0.2">
      <c r="B561" s="460" t="s">
        <v>2529</v>
      </c>
      <c r="C561" s="460">
        <v>1251</v>
      </c>
      <c r="D561" s="460" t="s">
        <v>2273</v>
      </c>
      <c r="E561" s="460" t="s">
        <v>2274</v>
      </c>
      <c r="F561" s="460">
        <v>3</v>
      </c>
      <c r="G561" s="460">
        <v>1</v>
      </c>
      <c r="H561" s="461" t="s">
        <v>700</v>
      </c>
      <c r="I561" s="461" t="s">
        <v>872</v>
      </c>
      <c r="J561" s="461" t="s">
        <v>700</v>
      </c>
      <c r="K561" s="594"/>
      <c r="L561" s="594"/>
      <c r="M561" s="352">
        <v>1000</v>
      </c>
      <c r="N561" s="352" t="s">
        <v>698</v>
      </c>
      <c r="O561" s="460">
        <v>1251</v>
      </c>
      <c r="P561" s="460" t="s">
        <v>733</v>
      </c>
      <c r="Q561" s="460" t="s">
        <v>2527</v>
      </c>
      <c r="R561" s="460">
        <v>1241</v>
      </c>
      <c r="S561" s="460" t="s">
        <v>2265</v>
      </c>
      <c r="T561" s="462">
        <v>0.74223365950407583</v>
      </c>
      <c r="U561" s="460" t="s">
        <v>2274</v>
      </c>
      <c r="V561" s="475">
        <v>0</v>
      </c>
      <c r="W561" s="463" t="s">
        <v>2503</v>
      </c>
      <c r="X561" s="463" t="s">
        <v>2503</v>
      </c>
      <c r="Y561" s="463" t="s">
        <v>2268</v>
      </c>
      <c r="Z561" s="463"/>
      <c r="AA561" s="463"/>
      <c r="AB561" s="464">
        <v>88.706551617361967</v>
      </c>
      <c r="AC561" s="465">
        <v>3.9431799515527569E-2</v>
      </c>
      <c r="AD561" s="465">
        <v>4.3882825672010833E-3</v>
      </c>
      <c r="AE561" s="476">
        <v>53.223930970417179</v>
      </c>
      <c r="AF561" s="467">
        <v>2.3659079709316539E-2</v>
      </c>
      <c r="AG561" s="468">
        <v>2.851964278993922E-3</v>
      </c>
      <c r="AH561" s="218">
        <v>140.20500579830019</v>
      </c>
      <c r="AI561" s="470">
        <v>6.2323870998383935E-2</v>
      </c>
      <c r="AJ561" s="471">
        <v>5.4405269675593887E-3</v>
      </c>
      <c r="AK561" s="218">
        <v>140.20500579830019</v>
      </c>
      <c r="AL561" s="470">
        <v>6.2323870998383935E-2</v>
      </c>
      <c r="AM561" s="471">
        <v>5.4405269675593887E-3</v>
      </c>
      <c r="AN561" s="477">
        <v>0</v>
      </c>
      <c r="AO561" s="473">
        <v>0</v>
      </c>
      <c r="AP561" s="474">
        <v>0</v>
      </c>
      <c r="AQ561" s="352"/>
      <c r="AR561" s="352"/>
      <c r="AS561" s="352"/>
      <c r="AT561" s="352"/>
      <c r="AU561" s="352"/>
      <c r="AV561" s="352"/>
      <c r="AW561" s="352" t="s">
        <v>254</v>
      </c>
    </row>
    <row r="562" spans="2:49" x14ac:dyDescent="0.2">
      <c r="B562" s="460" t="s">
        <v>2530</v>
      </c>
      <c r="C562" s="460">
        <v>1251</v>
      </c>
      <c r="D562" s="460" t="s">
        <v>2276</v>
      </c>
      <c r="E562" s="460" t="s">
        <v>2277</v>
      </c>
      <c r="F562" s="460">
        <v>4</v>
      </c>
      <c r="G562" s="460">
        <v>1</v>
      </c>
      <c r="H562" s="461" t="s">
        <v>700</v>
      </c>
      <c r="I562" s="461" t="s">
        <v>872</v>
      </c>
      <c r="J562" s="461" t="s">
        <v>700</v>
      </c>
      <c r="K562" s="594"/>
      <c r="L562" s="594"/>
      <c r="M562" s="352">
        <v>1000</v>
      </c>
      <c r="N562" s="352" t="s">
        <v>698</v>
      </c>
      <c r="O562" s="460">
        <v>1251</v>
      </c>
      <c r="P562" s="460" t="s">
        <v>733</v>
      </c>
      <c r="Q562" s="460" t="s">
        <v>2527</v>
      </c>
      <c r="R562" s="460">
        <v>1241</v>
      </c>
      <c r="S562" s="460" t="s">
        <v>2277</v>
      </c>
      <c r="T562" s="462">
        <v>1</v>
      </c>
      <c r="U562" s="460" t="s">
        <v>2277</v>
      </c>
      <c r="V562" s="475">
        <v>0</v>
      </c>
      <c r="W562" s="463" t="s">
        <v>2503</v>
      </c>
      <c r="X562" s="463" t="s">
        <v>2503</v>
      </c>
      <c r="Y562" s="463" t="s">
        <v>2268</v>
      </c>
      <c r="Z562" s="463"/>
      <c r="AA562" s="463"/>
      <c r="AB562" s="464">
        <v>1.087228584067488</v>
      </c>
      <c r="AC562" s="465">
        <v>4.2627206941134831E-4</v>
      </c>
      <c r="AD562" s="465">
        <v>4.388282567201085E-3</v>
      </c>
      <c r="AE562" s="476">
        <v>0.65233715044049279</v>
      </c>
      <c r="AF562" s="467">
        <v>2.5576324164680895E-4</v>
      </c>
      <c r="AG562" s="468">
        <v>2.9435211552288937E-3</v>
      </c>
      <c r="AH562" s="218">
        <v>0.65233715044049279</v>
      </c>
      <c r="AI562" s="470">
        <v>2.5576324164680895E-4</v>
      </c>
      <c r="AJ562" s="471">
        <v>2.8212376131823004E-3</v>
      </c>
      <c r="AK562" s="218">
        <v>0.65233715044049279</v>
      </c>
      <c r="AL562" s="470">
        <v>2.5576324164680895E-4</v>
      </c>
      <c r="AM562" s="471">
        <v>2.8212376131823004E-3</v>
      </c>
      <c r="AN562" s="477">
        <v>0</v>
      </c>
      <c r="AO562" s="473">
        <v>0</v>
      </c>
      <c r="AP562" s="474">
        <v>0</v>
      </c>
      <c r="AQ562" s="352"/>
      <c r="AR562" s="352"/>
      <c r="AS562" s="352"/>
      <c r="AT562" s="352"/>
      <c r="AU562" s="352"/>
      <c r="AV562" s="352"/>
      <c r="AW562" s="352" t="s">
        <v>254</v>
      </c>
    </row>
    <row r="563" spans="2:49" x14ac:dyDescent="0.2">
      <c r="B563" s="460" t="s">
        <v>2526</v>
      </c>
      <c r="C563" s="460">
        <v>1251</v>
      </c>
      <c r="D563" s="460" t="s">
        <v>2279</v>
      </c>
      <c r="E563" s="460" t="s">
        <v>2265</v>
      </c>
      <c r="F563" s="460">
        <v>1</v>
      </c>
      <c r="G563" s="460">
        <v>1</v>
      </c>
      <c r="H563" s="461" t="s">
        <v>712</v>
      </c>
      <c r="I563" s="461" t="s">
        <v>713</v>
      </c>
      <c r="J563" s="461" t="s">
        <v>712</v>
      </c>
      <c r="K563" s="594"/>
      <c r="L563" s="594"/>
      <c r="M563" s="352">
        <v>1000</v>
      </c>
      <c r="N563" s="352" t="s">
        <v>698</v>
      </c>
      <c r="O563" s="460">
        <v>1251</v>
      </c>
      <c r="P563" s="460" t="s">
        <v>733</v>
      </c>
      <c r="Q563" s="460" t="s">
        <v>2280</v>
      </c>
      <c r="R563" s="460">
        <v>1241</v>
      </c>
      <c r="S563" s="460" t="s">
        <v>2265</v>
      </c>
      <c r="T563" s="462">
        <v>1</v>
      </c>
      <c r="U563" s="460" t="s">
        <v>2265</v>
      </c>
      <c r="V563" s="475">
        <v>0</v>
      </c>
      <c r="W563" s="463" t="s">
        <v>713</v>
      </c>
      <c r="X563" s="463" t="s">
        <v>713</v>
      </c>
      <c r="Y563" s="463" t="s">
        <v>713</v>
      </c>
      <c r="Z563" s="463"/>
      <c r="AA563" s="463"/>
      <c r="AB563" s="464">
        <v>2908.1500331701013</v>
      </c>
      <c r="AC563" s="465">
        <v>0.8600533443874766</v>
      </c>
      <c r="AD563" s="465">
        <v>1.0743209152830486E-2</v>
      </c>
      <c r="AE563" s="476">
        <v>3097.4340462223181</v>
      </c>
      <c r="AF563" s="467">
        <v>0.91603200663248596</v>
      </c>
      <c r="AG563" s="468">
        <v>1.115861669131688E-2</v>
      </c>
      <c r="AH563" s="218">
        <v>1170.5057452194972</v>
      </c>
      <c r="AI563" s="470">
        <v>0.34616418318122621</v>
      </c>
      <c r="AJ563" s="471">
        <v>4.2772504960747011E-3</v>
      </c>
      <c r="AK563" s="218">
        <v>1170.5057452194972</v>
      </c>
      <c r="AL563" s="470">
        <v>0.34616418318122621</v>
      </c>
      <c r="AM563" s="471">
        <v>4.2772504960747011E-3</v>
      </c>
      <c r="AN563" s="477">
        <v>1170.5057452194972</v>
      </c>
      <c r="AO563" s="473">
        <v>0.34616418318122621</v>
      </c>
      <c r="AP563" s="474">
        <v>4.2758567963186566E-3</v>
      </c>
      <c r="AQ563" s="352"/>
      <c r="AR563" s="352"/>
      <c r="AS563" s="352"/>
      <c r="AT563" s="352"/>
      <c r="AU563" s="352"/>
      <c r="AV563" s="352"/>
      <c r="AW563" s="352" t="s">
        <v>254</v>
      </c>
    </row>
    <row r="564" spans="2:49" x14ac:dyDescent="0.2">
      <c r="B564" s="460" t="s">
        <v>2528</v>
      </c>
      <c r="C564" s="460">
        <v>1251</v>
      </c>
      <c r="D564" s="460" t="s">
        <v>2281</v>
      </c>
      <c r="E564" s="460" t="s">
        <v>2271</v>
      </c>
      <c r="F564" s="460">
        <v>2</v>
      </c>
      <c r="G564" s="460">
        <v>1</v>
      </c>
      <c r="H564" s="461" t="s">
        <v>712</v>
      </c>
      <c r="I564" s="461" t="s">
        <v>713</v>
      </c>
      <c r="J564" s="461" t="s">
        <v>712</v>
      </c>
      <c r="K564" s="594"/>
      <c r="L564" s="594"/>
      <c r="M564" s="352">
        <v>1000</v>
      </c>
      <c r="N564" s="352" t="s">
        <v>698</v>
      </c>
      <c r="O564" s="460">
        <v>1251</v>
      </c>
      <c r="P564" s="460" t="s">
        <v>733</v>
      </c>
      <c r="Q564" s="460" t="s">
        <v>2280</v>
      </c>
      <c r="R564" s="460">
        <v>1241</v>
      </c>
      <c r="S564" s="460" t="s">
        <v>2265</v>
      </c>
      <c r="T564" s="462">
        <v>1</v>
      </c>
      <c r="U564" s="460" t="s">
        <v>2271</v>
      </c>
      <c r="V564" s="475">
        <v>0</v>
      </c>
      <c r="W564" s="463" t="s">
        <v>713</v>
      </c>
      <c r="X564" s="463" t="s">
        <v>713</v>
      </c>
      <c r="Y564" s="463" t="s">
        <v>713</v>
      </c>
      <c r="Z564" s="463"/>
      <c r="AA564" s="463"/>
      <c r="AB564" s="464">
        <v>2879.2651148959849</v>
      </c>
      <c r="AC564" s="465">
        <v>0.89059579157466151</v>
      </c>
      <c r="AD564" s="465">
        <v>1.2023582504882609E-2</v>
      </c>
      <c r="AE564" s="476">
        <v>3020.7451100731141</v>
      </c>
      <c r="AF564" s="467">
        <v>0.93435747494479693</v>
      </c>
      <c r="AG564" s="468">
        <v>1.229490797069792E-2</v>
      </c>
      <c r="AH564" s="218">
        <v>1119.1367240776049</v>
      </c>
      <c r="AI564" s="470">
        <v>0.34616418318122621</v>
      </c>
      <c r="AJ564" s="471">
        <v>4.8079741921257619E-3</v>
      </c>
      <c r="AK564" s="218">
        <v>1119.1367240776049</v>
      </c>
      <c r="AL564" s="470">
        <v>0.34616418318122621</v>
      </c>
      <c r="AM564" s="471">
        <v>4.8079741921257619E-3</v>
      </c>
      <c r="AN564" s="477">
        <v>1119.1367240776049</v>
      </c>
      <c r="AO564" s="473">
        <v>0.34616418318122621</v>
      </c>
      <c r="AP564" s="474">
        <v>4.806285954662033E-3</v>
      </c>
      <c r="AQ564" s="352"/>
      <c r="AR564" s="352"/>
      <c r="AS564" s="352"/>
      <c r="AT564" s="352"/>
      <c r="AU564" s="352"/>
      <c r="AV564" s="352"/>
      <c r="AW564" s="352" t="s">
        <v>254</v>
      </c>
    </row>
    <row r="565" spans="2:49" x14ac:dyDescent="0.2">
      <c r="B565" s="460" t="s">
        <v>2529</v>
      </c>
      <c r="C565" s="460">
        <v>1251</v>
      </c>
      <c r="D565" s="460" t="s">
        <v>2282</v>
      </c>
      <c r="E565" s="460" t="s">
        <v>2274</v>
      </c>
      <c r="F565" s="460">
        <v>3</v>
      </c>
      <c r="G565" s="460">
        <v>1</v>
      </c>
      <c r="H565" s="461" t="s">
        <v>712</v>
      </c>
      <c r="I565" s="461" t="s">
        <v>713</v>
      </c>
      <c r="J565" s="461" t="s">
        <v>712</v>
      </c>
      <c r="K565" s="594"/>
      <c r="L565" s="594"/>
      <c r="M565" s="352">
        <v>1000</v>
      </c>
      <c r="N565" s="352" t="s">
        <v>698</v>
      </c>
      <c r="O565" s="460">
        <v>1251</v>
      </c>
      <c r="P565" s="460" t="s">
        <v>733</v>
      </c>
      <c r="Q565" s="460" t="s">
        <v>2280</v>
      </c>
      <c r="R565" s="460">
        <v>1241</v>
      </c>
      <c r="S565" s="460" t="s">
        <v>2265</v>
      </c>
      <c r="T565" s="462">
        <v>0.74223365950407583</v>
      </c>
      <c r="U565" s="460" t="s">
        <v>2274</v>
      </c>
      <c r="V565" s="475">
        <v>0</v>
      </c>
      <c r="W565" s="463" t="s">
        <v>713</v>
      </c>
      <c r="X565" s="463" t="s">
        <v>713</v>
      </c>
      <c r="Y565" s="463" t="s">
        <v>713</v>
      </c>
      <c r="Z565" s="463"/>
      <c r="AA565" s="463"/>
      <c r="AB565" s="464">
        <v>2160.9131134053018</v>
      </c>
      <c r="AC565" s="465">
        <v>0.96056820048447245</v>
      </c>
      <c r="AD565" s="465">
        <v>1.2933524094007286E-2</v>
      </c>
      <c r="AE565" s="476">
        <v>2196.3957340522466</v>
      </c>
      <c r="AF565" s="467">
        <v>0.97634092029068342</v>
      </c>
      <c r="AG565" s="468">
        <v>1.3024889831476918E-2</v>
      </c>
      <c r="AH565" s="218">
        <v>2109.4146592243637</v>
      </c>
      <c r="AI565" s="470">
        <v>0.93767612900161601</v>
      </c>
      <c r="AJ565" s="471">
        <v>1.3255921838796819E-2</v>
      </c>
      <c r="AK565" s="218">
        <v>2109.4146592243637</v>
      </c>
      <c r="AL565" s="470">
        <v>0.93767612900161601</v>
      </c>
      <c r="AM565" s="471">
        <v>1.3255921838796819E-2</v>
      </c>
      <c r="AN565" s="477">
        <v>1157.8816013656772</v>
      </c>
      <c r="AO565" s="473">
        <v>0.51470104896776503</v>
      </c>
      <c r="AP565" s="474">
        <v>7.3288170474843217E-3</v>
      </c>
      <c r="AQ565" s="352"/>
      <c r="AR565" s="352"/>
      <c r="AS565" s="352"/>
      <c r="AT565" s="352"/>
      <c r="AU565" s="352"/>
      <c r="AV565" s="352"/>
      <c r="AW565" s="352" t="s">
        <v>254</v>
      </c>
    </row>
    <row r="566" spans="2:49" x14ac:dyDescent="0.2">
      <c r="B566" s="460" t="s">
        <v>2530</v>
      </c>
      <c r="C566" s="460">
        <v>1251</v>
      </c>
      <c r="D566" s="460" t="s">
        <v>2283</v>
      </c>
      <c r="E566" s="460" t="s">
        <v>2277</v>
      </c>
      <c r="F566" s="460">
        <v>4</v>
      </c>
      <c r="G566" s="460">
        <v>1</v>
      </c>
      <c r="H566" s="461" t="s">
        <v>712</v>
      </c>
      <c r="I566" s="461" t="s">
        <v>713</v>
      </c>
      <c r="J566" s="461" t="s">
        <v>712</v>
      </c>
      <c r="K566" s="594"/>
      <c r="L566" s="594"/>
      <c r="M566" s="352">
        <v>1000</v>
      </c>
      <c r="N566" s="352" t="s">
        <v>698</v>
      </c>
      <c r="O566" s="460">
        <v>1251</v>
      </c>
      <c r="P566" s="460" t="s">
        <v>733</v>
      </c>
      <c r="Q566" s="460" t="s">
        <v>2280</v>
      </c>
      <c r="R566" s="460">
        <v>1241</v>
      </c>
      <c r="S566" s="460" t="s">
        <v>2277</v>
      </c>
      <c r="T566" s="462">
        <v>1</v>
      </c>
      <c r="U566" s="460" t="s">
        <v>2277</v>
      </c>
      <c r="V566" s="475">
        <v>0</v>
      </c>
      <c r="W566" s="463" t="s">
        <v>713</v>
      </c>
      <c r="X566" s="463" t="s">
        <v>713</v>
      </c>
      <c r="Y566" s="463" t="s">
        <v>713</v>
      </c>
      <c r="Z566" s="463"/>
      <c r="AA566" s="463"/>
      <c r="AB566" s="464">
        <v>2549.4636099188497</v>
      </c>
      <c r="AC566" s="465">
        <v>0.99957372793058874</v>
      </c>
      <c r="AD566" s="465">
        <v>1.324006529977525E-2</v>
      </c>
      <c r="AE566" s="476">
        <v>2549.8985013524766</v>
      </c>
      <c r="AF566" s="467">
        <v>0.99974423675835322</v>
      </c>
      <c r="AG566" s="468">
        <v>1.3240526432328686E-2</v>
      </c>
      <c r="AH566" s="218">
        <v>2549.8985013524766</v>
      </c>
      <c r="AI566" s="470">
        <v>0.99974423675835322</v>
      </c>
      <c r="AJ566" s="471">
        <v>1.3241186886320731E-2</v>
      </c>
      <c r="AK566" s="218">
        <v>2549.8985013524766</v>
      </c>
      <c r="AL566" s="470">
        <v>0.99974423675835322</v>
      </c>
      <c r="AM566" s="471">
        <v>1.3241186886320731E-2</v>
      </c>
      <c r="AN566" s="477">
        <v>2549.4636099188497</v>
      </c>
      <c r="AO566" s="473">
        <v>0.99957372793058863</v>
      </c>
      <c r="AP566" s="474">
        <v>1.3238994584250784E-2</v>
      </c>
      <c r="AQ566" s="352"/>
      <c r="AR566" s="352"/>
      <c r="AS566" s="352"/>
      <c r="AT566" s="352"/>
      <c r="AU566" s="352"/>
      <c r="AV566" s="352"/>
      <c r="AW566" s="352" t="s">
        <v>254</v>
      </c>
    </row>
    <row r="567" spans="2:49" x14ac:dyDescent="0.2">
      <c r="B567" s="460" t="s">
        <v>2526</v>
      </c>
      <c r="C567" s="460">
        <v>1251</v>
      </c>
      <c r="D567" s="460" t="s">
        <v>2284</v>
      </c>
      <c r="E567" s="460" t="s">
        <v>2265</v>
      </c>
      <c r="F567" s="460">
        <v>1</v>
      </c>
      <c r="G567" s="460">
        <v>1</v>
      </c>
      <c r="H567" s="461" t="s">
        <v>746</v>
      </c>
      <c r="I567" s="461" t="s">
        <v>762</v>
      </c>
      <c r="J567" s="461" t="s">
        <v>700</v>
      </c>
      <c r="K567" s="594"/>
      <c r="L567" s="594"/>
      <c r="M567" s="352">
        <v>1000</v>
      </c>
      <c r="N567" s="352" t="s">
        <v>698</v>
      </c>
      <c r="O567" s="460">
        <v>1251</v>
      </c>
      <c r="P567" s="460" t="s">
        <v>733</v>
      </c>
      <c r="Q567" s="460" t="s">
        <v>2531</v>
      </c>
      <c r="R567" s="460">
        <v>1241</v>
      </c>
      <c r="S567" s="460" t="s">
        <v>2265</v>
      </c>
      <c r="T567" s="462">
        <v>1</v>
      </c>
      <c r="U567" s="460" t="s">
        <v>2265</v>
      </c>
      <c r="V567" s="475">
        <v>0</v>
      </c>
      <c r="W567" s="463" t="s">
        <v>2268</v>
      </c>
      <c r="X567" s="463" t="s">
        <v>2268</v>
      </c>
      <c r="Y567" s="463" t="s">
        <v>2290</v>
      </c>
      <c r="Z567" s="463"/>
      <c r="AA567" s="463"/>
      <c r="AB567" s="464">
        <v>0</v>
      </c>
      <c r="AC567" s="465">
        <v>0</v>
      </c>
      <c r="AD567" s="465">
        <v>0</v>
      </c>
      <c r="AE567" s="476">
        <v>0</v>
      </c>
      <c r="AF567" s="467">
        <v>0</v>
      </c>
      <c r="AG567" s="468">
        <v>0</v>
      </c>
      <c r="AH567" s="218">
        <v>0</v>
      </c>
      <c r="AI567" s="470">
        <v>0</v>
      </c>
      <c r="AJ567" s="471">
        <v>0</v>
      </c>
      <c r="AK567" s="218">
        <v>0</v>
      </c>
      <c r="AL567" s="470">
        <v>0</v>
      </c>
      <c r="AM567" s="471">
        <v>0</v>
      </c>
      <c r="AN567" s="477">
        <v>0</v>
      </c>
      <c r="AO567" s="473">
        <v>0</v>
      </c>
      <c r="AP567" s="474">
        <v>0</v>
      </c>
      <c r="AQ567" s="352"/>
      <c r="AR567" s="352"/>
      <c r="AS567" s="352"/>
      <c r="AT567" s="352"/>
      <c r="AU567" s="352"/>
      <c r="AV567" s="352"/>
      <c r="AW567" s="352" t="s">
        <v>254</v>
      </c>
    </row>
    <row r="568" spans="2:49" x14ac:dyDescent="0.2">
      <c r="B568" s="460" t="s">
        <v>2528</v>
      </c>
      <c r="C568" s="460">
        <v>1251</v>
      </c>
      <c r="D568" s="460" t="s">
        <v>2285</v>
      </c>
      <c r="E568" s="460" t="s">
        <v>2271</v>
      </c>
      <c r="F568" s="460">
        <v>2</v>
      </c>
      <c r="G568" s="460">
        <v>1</v>
      </c>
      <c r="H568" s="461" t="s">
        <v>746</v>
      </c>
      <c r="I568" s="461" t="s">
        <v>762</v>
      </c>
      <c r="J568" s="461" t="s">
        <v>700</v>
      </c>
      <c r="K568" s="594"/>
      <c r="L568" s="594"/>
      <c r="M568" s="352">
        <v>1000</v>
      </c>
      <c r="N568" s="352" t="s">
        <v>698</v>
      </c>
      <c r="O568" s="460">
        <v>1251</v>
      </c>
      <c r="P568" s="460" t="s">
        <v>733</v>
      </c>
      <c r="Q568" s="460" t="s">
        <v>2531</v>
      </c>
      <c r="R568" s="460">
        <v>1241</v>
      </c>
      <c r="S568" s="460" t="s">
        <v>2265</v>
      </c>
      <c r="T568" s="462">
        <v>1</v>
      </c>
      <c r="U568" s="460" t="s">
        <v>2271</v>
      </c>
      <c r="V568" s="475">
        <v>0</v>
      </c>
      <c r="W568" s="463" t="s">
        <v>2268</v>
      </c>
      <c r="X568" s="463" t="s">
        <v>2268</v>
      </c>
      <c r="Y568" s="463" t="s">
        <v>2290</v>
      </c>
      <c r="Z568" s="463"/>
      <c r="AA568" s="463"/>
      <c r="AB568" s="464">
        <v>0</v>
      </c>
      <c r="AC568" s="465">
        <v>0</v>
      </c>
      <c r="AD568" s="465">
        <v>0</v>
      </c>
      <c r="AE568" s="476">
        <v>0</v>
      </c>
      <c r="AF568" s="467">
        <v>0</v>
      </c>
      <c r="AG568" s="468">
        <v>0</v>
      </c>
      <c r="AH568" s="218">
        <v>0</v>
      </c>
      <c r="AI568" s="470">
        <v>0</v>
      </c>
      <c r="AJ568" s="471">
        <v>0</v>
      </c>
      <c r="AK568" s="218">
        <v>0</v>
      </c>
      <c r="AL568" s="470">
        <v>0</v>
      </c>
      <c r="AM568" s="471">
        <v>0</v>
      </c>
      <c r="AN568" s="477">
        <v>0</v>
      </c>
      <c r="AO568" s="473">
        <v>0</v>
      </c>
      <c r="AP568" s="474">
        <v>0</v>
      </c>
      <c r="AQ568" s="352"/>
      <c r="AR568" s="352"/>
      <c r="AS568" s="352"/>
      <c r="AT568" s="352"/>
      <c r="AU568" s="352"/>
      <c r="AV568" s="352"/>
      <c r="AW568" s="352" t="s">
        <v>254</v>
      </c>
    </row>
    <row r="569" spans="2:49" x14ac:dyDescent="0.2">
      <c r="B569" s="460" t="s">
        <v>2529</v>
      </c>
      <c r="C569" s="460">
        <v>1251</v>
      </c>
      <c r="D569" s="460" t="s">
        <v>2286</v>
      </c>
      <c r="E569" s="460" t="s">
        <v>2274</v>
      </c>
      <c r="F569" s="460">
        <v>3</v>
      </c>
      <c r="G569" s="460">
        <v>1</v>
      </c>
      <c r="H569" s="461" t="s">
        <v>746</v>
      </c>
      <c r="I569" s="461" t="s">
        <v>762</v>
      </c>
      <c r="J569" s="461" t="s">
        <v>700</v>
      </c>
      <c r="K569" s="594"/>
      <c r="L569" s="594"/>
      <c r="M569" s="352">
        <v>1000</v>
      </c>
      <c r="N569" s="352" t="s">
        <v>698</v>
      </c>
      <c r="O569" s="460">
        <v>1251</v>
      </c>
      <c r="P569" s="460" t="s">
        <v>733</v>
      </c>
      <c r="Q569" s="460" t="s">
        <v>2531</v>
      </c>
      <c r="R569" s="460">
        <v>1241</v>
      </c>
      <c r="S569" s="460" t="s">
        <v>2265</v>
      </c>
      <c r="T569" s="462">
        <v>0.74223365950407583</v>
      </c>
      <c r="U569" s="460" t="s">
        <v>2274</v>
      </c>
      <c r="V569" s="475">
        <v>0</v>
      </c>
      <c r="W569" s="463" t="s">
        <v>2268</v>
      </c>
      <c r="X569" s="463" t="s">
        <v>2268</v>
      </c>
      <c r="Y569" s="463" t="s">
        <v>2290</v>
      </c>
      <c r="Z569" s="463"/>
      <c r="AA569" s="463"/>
      <c r="AB569" s="464">
        <v>0</v>
      </c>
      <c r="AC569" s="465">
        <v>0</v>
      </c>
      <c r="AD569" s="465">
        <v>0</v>
      </c>
      <c r="AE569" s="476">
        <v>0</v>
      </c>
      <c r="AF569" s="467">
        <v>0</v>
      </c>
      <c r="AG569" s="468">
        <v>0</v>
      </c>
      <c r="AH569" s="218">
        <v>0</v>
      </c>
      <c r="AI569" s="470">
        <v>0</v>
      </c>
      <c r="AJ569" s="471">
        <v>0</v>
      </c>
      <c r="AK569" s="218">
        <v>0</v>
      </c>
      <c r="AL569" s="470">
        <v>0</v>
      </c>
      <c r="AM569" s="471">
        <v>0</v>
      </c>
      <c r="AN569" s="477">
        <v>0</v>
      </c>
      <c r="AO569" s="473">
        <v>0</v>
      </c>
      <c r="AP569" s="474">
        <v>0</v>
      </c>
      <c r="AQ569" s="352"/>
      <c r="AR569" s="352"/>
      <c r="AS569" s="352"/>
      <c r="AT569" s="352"/>
      <c r="AU569" s="352"/>
      <c r="AV569" s="352"/>
      <c r="AW569" s="352" t="s">
        <v>254</v>
      </c>
    </row>
    <row r="570" spans="2:49" x14ac:dyDescent="0.2">
      <c r="B570" s="460" t="s">
        <v>2530</v>
      </c>
      <c r="C570" s="460">
        <v>1251</v>
      </c>
      <c r="D570" s="460" t="s">
        <v>2287</v>
      </c>
      <c r="E570" s="460" t="s">
        <v>2277</v>
      </c>
      <c r="F570" s="460">
        <v>4</v>
      </c>
      <c r="G570" s="460">
        <v>1</v>
      </c>
      <c r="H570" s="461" t="s">
        <v>746</v>
      </c>
      <c r="I570" s="461" t="s">
        <v>762</v>
      </c>
      <c r="J570" s="461" t="s">
        <v>700</v>
      </c>
      <c r="K570" s="594"/>
      <c r="L570" s="594"/>
      <c r="M570" s="352">
        <v>1000</v>
      </c>
      <c r="N570" s="352" t="s">
        <v>698</v>
      </c>
      <c r="O570" s="460">
        <v>1251</v>
      </c>
      <c r="P570" s="460" t="s">
        <v>733</v>
      </c>
      <c r="Q570" s="460" t="s">
        <v>2531</v>
      </c>
      <c r="R570" s="460">
        <v>1241</v>
      </c>
      <c r="S570" s="460" t="s">
        <v>2277</v>
      </c>
      <c r="T570" s="462">
        <v>1</v>
      </c>
      <c r="U570" s="460" t="s">
        <v>2277</v>
      </c>
      <c r="V570" s="475">
        <v>0</v>
      </c>
      <c r="W570" s="463" t="s">
        <v>2268</v>
      </c>
      <c r="X570" s="463" t="s">
        <v>2268</v>
      </c>
      <c r="Y570" s="463" t="s">
        <v>2290</v>
      </c>
      <c r="Z570" s="463"/>
      <c r="AA570" s="463"/>
      <c r="AB570" s="464">
        <v>0</v>
      </c>
      <c r="AC570" s="465">
        <v>0</v>
      </c>
      <c r="AD570" s="465">
        <v>0</v>
      </c>
      <c r="AE570" s="476">
        <v>0</v>
      </c>
      <c r="AF570" s="467">
        <v>0</v>
      </c>
      <c r="AG570" s="468">
        <v>0</v>
      </c>
      <c r="AH570" s="218">
        <v>0</v>
      </c>
      <c r="AI570" s="470">
        <v>0</v>
      </c>
      <c r="AJ570" s="471">
        <v>0</v>
      </c>
      <c r="AK570" s="218">
        <v>0</v>
      </c>
      <c r="AL570" s="470">
        <v>0</v>
      </c>
      <c r="AM570" s="471">
        <v>0</v>
      </c>
      <c r="AN570" s="477">
        <v>0</v>
      </c>
      <c r="AO570" s="473">
        <v>0</v>
      </c>
      <c r="AP570" s="474">
        <v>0</v>
      </c>
      <c r="AQ570" s="352"/>
      <c r="AR570" s="352"/>
      <c r="AS570" s="352"/>
      <c r="AT570" s="352"/>
      <c r="AU570" s="352"/>
      <c r="AV570" s="352"/>
      <c r="AW570" s="352" t="s">
        <v>254</v>
      </c>
    </row>
    <row r="571" spans="2:49" x14ac:dyDescent="0.2">
      <c r="B571" s="460" t="s">
        <v>2526</v>
      </c>
      <c r="C571" s="460">
        <v>1251</v>
      </c>
      <c r="D571" s="460" t="s">
        <v>2288</v>
      </c>
      <c r="E571" s="460" t="s">
        <v>2265</v>
      </c>
      <c r="F571" s="460">
        <v>1</v>
      </c>
      <c r="G571" s="460">
        <v>1</v>
      </c>
      <c r="H571" s="461" t="s">
        <v>748</v>
      </c>
      <c r="I571" s="461" t="s">
        <v>765</v>
      </c>
      <c r="J571" s="461" t="s">
        <v>700</v>
      </c>
      <c r="K571" s="594"/>
      <c r="L571" s="594"/>
      <c r="M571" s="352">
        <v>1000</v>
      </c>
      <c r="N571" s="352" t="s">
        <v>698</v>
      </c>
      <c r="O571" s="460">
        <v>1251</v>
      </c>
      <c r="P571" s="460" t="s">
        <v>733</v>
      </c>
      <c r="Q571" s="460" t="s">
        <v>2527</v>
      </c>
      <c r="R571" s="460">
        <v>1241</v>
      </c>
      <c r="S571" s="460" t="s">
        <v>2265</v>
      </c>
      <c r="T571" s="462">
        <v>1</v>
      </c>
      <c r="U571" s="460" t="s">
        <v>2265</v>
      </c>
      <c r="V571" s="475">
        <v>0</v>
      </c>
      <c r="W571" s="463" t="s">
        <v>2268</v>
      </c>
      <c r="X571" s="463" t="s">
        <v>2268</v>
      </c>
      <c r="Y571" s="479" t="s">
        <v>2267</v>
      </c>
      <c r="Z571" s="479"/>
      <c r="AA571" s="479"/>
      <c r="AB571" s="464">
        <v>0</v>
      </c>
      <c r="AC571" s="465">
        <v>0</v>
      </c>
      <c r="AD571" s="465">
        <v>0</v>
      </c>
      <c r="AE571" s="476">
        <v>0</v>
      </c>
      <c r="AF571" s="467">
        <v>0</v>
      </c>
      <c r="AG571" s="468">
        <v>0</v>
      </c>
      <c r="AH571" s="218">
        <v>0</v>
      </c>
      <c r="AI571" s="470">
        <v>0</v>
      </c>
      <c r="AJ571" s="471">
        <v>0</v>
      </c>
      <c r="AK571" s="218">
        <v>0</v>
      </c>
      <c r="AL571" s="470">
        <v>0</v>
      </c>
      <c r="AM571" s="471">
        <v>0</v>
      </c>
      <c r="AN571" s="477">
        <v>2210.8543205811466</v>
      </c>
      <c r="AO571" s="473">
        <v>0.65383581681877379</v>
      </c>
      <c r="AP571" s="474">
        <v>0.13729540655332492</v>
      </c>
      <c r="AQ571" s="352"/>
      <c r="AR571" s="352"/>
      <c r="AS571" s="352"/>
      <c r="AT571" s="352"/>
      <c r="AU571" s="352"/>
      <c r="AV571" s="352"/>
      <c r="AW571" s="352" t="s">
        <v>254</v>
      </c>
    </row>
    <row r="572" spans="2:49" x14ac:dyDescent="0.2">
      <c r="B572" s="460" t="s">
        <v>2528</v>
      </c>
      <c r="C572" s="460">
        <v>1251</v>
      </c>
      <c r="D572" s="460" t="s">
        <v>2291</v>
      </c>
      <c r="E572" s="460" t="s">
        <v>2271</v>
      </c>
      <c r="F572" s="460">
        <v>2</v>
      </c>
      <c r="G572" s="460">
        <v>1</v>
      </c>
      <c r="H572" s="461" t="s">
        <v>748</v>
      </c>
      <c r="I572" s="461" t="s">
        <v>765</v>
      </c>
      <c r="J572" s="461" t="s">
        <v>700</v>
      </c>
      <c r="K572" s="594"/>
      <c r="L572" s="594"/>
      <c r="M572" s="352">
        <v>1000</v>
      </c>
      <c r="N572" s="352" t="s">
        <v>698</v>
      </c>
      <c r="O572" s="460">
        <v>1251</v>
      </c>
      <c r="P572" s="460" t="s">
        <v>733</v>
      </c>
      <c r="Q572" s="460" t="s">
        <v>2527</v>
      </c>
      <c r="R572" s="460">
        <v>1241</v>
      </c>
      <c r="S572" s="460" t="s">
        <v>2265</v>
      </c>
      <c r="T572" s="462">
        <v>1</v>
      </c>
      <c r="U572" s="460" t="s">
        <v>2271</v>
      </c>
      <c r="V572" s="475">
        <v>0</v>
      </c>
      <c r="W572" s="463" t="s">
        <v>2268</v>
      </c>
      <c r="X572" s="463" t="s">
        <v>2268</v>
      </c>
      <c r="Y572" s="479" t="s">
        <v>2267</v>
      </c>
      <c r="Z572" s="479"/>
      <c r="AA572" s="479"/>
      <c r="AB572" s="464">
        <v>0</v>
      </c>
      <c r="AC572" s="465">
        <v>0</v>
      </c>
      <c r="AD572" s="465">
        <v>0</v>
      </c>
      <c r="AE572" s="476">
        <v>0</v>
      </c>
      <c r="AF572" s="467">
        <v>0</v>
      </c>
      <c r="AG572" s="468">
        <v>0</v>
      </c>
      <c r="AH572" s="218">
        <v>0</v>
      </c>
      <c r="AI572" s="470">
        <v>0</v>
      </c>
      <c r="AJ572" s="471">
        <v>0</v>
      </c>
      <c r="AK572" s="218">
        <v>0</v>
      </c>
      <c r="AL572" s="470">
        <v>0</v>
      </c>
      <c r="AM572" s="471">
        <v>0</v>
      </c>
      <c r="AN572" s="477">
        <v>2113.8283787612027</v>
      </c>
      <c r="AO572" s="473">
        <v>0.65383581681877379</v>
      </c>
      <c r="AP572" s="474">
        <v>0.13444810366593413</v>
      </c>
      <c r="AQ572" s="352"/>
      <c r="AR572" s="352"/>
      <c r="AS572" s="352"/>
      <c r="AT572" s="352"/>
      <c r="AU572" s="352"/>
      <c r="AV572" s="352"/>
      <c r="AW572" s="352" t="s">
        <v>254</v>
      </c>
    </row>
    <row r="573" spans="2:49" x14ac:dyDescent="0.2">
      <c r="B573" s="460" t="s">
        <v>2529</v>
      </c>
      <c r="C573" s="460">
        <v>1251</v>
      </c>
      <c r="D573" s="460" t="s">
        <v>2292</v>
      </c>
      <c r="E573" s="460" t="s">
        <v>2274</v>
      </c>
      <c r="F573" s="460">
        <v>3</v>
      </c>
      <c r="G573" s="460">
        <v>1</v>
      </c>
      <c r="H573" s="461" t="s">
        <v>748</v>
      </c>
      <c r="I573" s="461" t="s">
        <v>765</v>
      </c>
      <c r="J573" s="461" t="s">
        <v>700</v>
      </c>
      <c r="K573" s="594"/>
      <c r="L573" s="594"/>
      <c r="M573" s="352">
        <v>1000</v>
      </c>
      <c r="N573" s="352" t="s">
        <v>698</v>
      </c>
      <c r="O573" s="460">
        <v>1251</v>
      </c>
      <c r="P573" s="460" t="s">
        <v>733</v>
      </c>
      <c r="Q573" s="460" t="s">
        <v>2527</v>
      </c>
      <c r="R573" s="460">
        <v>1241</v>
      </c>
      <c r="S573" s="460" t="s">
        <v>2265</v>
      </c>
      <c r="T573" s="462">
        <v>0.74223365950407583</v>
      </c>
      <c r="U573" s="460" t="s">
        <v>2274</v>
      </c>
      <c r="V573" s="475">
        <v>0</v>
      </c>
      <c r="W573" s="463" t="s">
        <v>2268</v>
      </c>
      <c r="X573" s="463" t="s">
        <v>2268</v>
      </c>
      <c r="Y573" s="479" t="s">
        <v>2267</v>
      </c>
      <c r="Z573" s="479"/>
      <c r="AA573" s="479"/>
      <c r="AB573" s="464">
        <v>0</v>
      </c>
      <c r="AC573" s="465">
        <v>0</v>
      </c>
      <c r="AD573" s="465">
        <v>0</v>
      </c>
      <c r="AE573" s="476">
        <v>0</v>
      </c>
      <c r="AF573" s="467">
        <v>0</v>
      </c>
      <c r="AG573" s="468">
        <v>0</v>
      </c>
      <c r="AH573" s="218">
        <v>0</v>
      </c>
      <c r="AI573" s="470">
        <v>0</v>
      </c>
      <c r="AJ573" s="471">
        <v>0</v>
      </c>
      <c r="AK573" s="218">
        <v>0</v>
      </c>
      <c r="AL573" s="470">
        <v>0</v>
      </c>
      <c r="AM573" s="471">
        <v>0</v>
      </c>
      <c r="AN573" s="477">
        <v>1091.7380636569867</v>
      </c>
      <c r="AO573" s="473">
        <v>0.48529895103223503</v>
      </c>
      <c r="AP573" s="474">
        <v>0.1537132142416795</v>
      </c>
      <c r="AQ573" s="352"/>
      <c r="AR573" s="352"/>
      <c r="AS573" s="352"/>
      <c r="AT573" s="352"/>
      <c r="AU573" s="352"/>
      <c r="AV573" s="352"/>
      <c r="AW573" s="352" t="s">
        <v>254</v>
      </c>
    </row>
    <row r="574" spans="2:49" x14ac:dyDescent="0.2">
      <c r="B574" s="460" t="s">
        <v>2530</v>
      </c>
      <c r="C574" s="460">
        <v>1251</v>
      </c>
      <c r="D574" s="460" t="s">
        <v>2293</v>
      </c>
      <c r="E574" s="460" t="s">
        <v>2277</v>
      </c>
      <c r="F574" s="460">
        <v>4</v>
      </c>
      <c r="G574" s="460">
        <v>1</v>
      </c>
      <c r="H574" s="461" t="s">
        <v>748</v>
      </c>
      <c r="I574" s="461" t="s">
        <v>765</v>
      </c>
      <c r="J574" s="461" t="s">
        <v>700</v>
      </c>
      <c r="K574" s="594"/>
      <c r="L574" s="594"/>
      <c r="M574" s="352">
        <v>1000</v>
      </c>
      <c r="N574" s="352" t="s">
        <v>698</v>
      </c>
      <c r="O574" s="460">
        <v>1251</v>
      </c>
      <c r="P574" s="460" t="s">
        <v>733</v>
      </c>
      <c r="Q574" s="460" t="s">
        <v>2527</v>
      </c>
      <c r="R574" s="460">
        <v>1241</v>
      </c>
      <c r="S574" s="460" t="s">
        <v>2277</v>
      </c>
      <c r="T574" s="462">
        <v>1</v>
      </c>
      <c r="U574" s="460" t="s">
        <v>2277</v>
      </c>
      <c r="V574" s="475">
        <v>0</v>
      </c>
      <c r="W574" s="463" t="s">
        <v>2268</v>
      </c>
      <c r="X574" s="463" t="s">
        <v>2268</v>
      </c>
      <c r="Y574" s="479" t="s">
        <v>2278</v>
      </c>
      <c r="Z574" s="479"/>
      <c r="AA574" s="479"/>
      <c r="AB574" s="464">
        <v>0</v>
      </c>
      <c r="AC574" s="465">
        <v>0</v>
      </c>
      <c r="AD574" s="465">
        <v>0</v>
      </c>
      <c r="AE574" s="476">
        <v>0</v>
      </c>
      <c r="AF574" s="467">
        <v>0</v>
      </c>
      <c r="AG574" s="468">
        <v>0</v>
      </c>
      <c r="AH574" s="218">
        <v>0</v>
      </c>
      <c r="AI574" s="470">
        <v>0</v>
      </c>
      <c r="AJ574" s="471">
        <v>0</v>
      </c>
      <c r="AK574" s="218">
        <v>0</v>
      </c>
      <c r="AL574" s="470">
        <v>0</v>
      </c>
      <c r="AM574" s="471">
        <v>0</v>
      </c>
      <c r="AN574" s="477">
        <v>1.087228584067488</v>
      </c>
      <c r="AO574" s="473">
        <v>4.2627206941134831E-4</v>
      </c>
      <c r="AP574" s="474">
        <v>2.6252404401699483E-2</v>
      </c>
      <c r="AQ574" s="352"/>
      <c r="AR574" s="352"/>
      <c r="AS574" s="352"/>
      <c r="AT574" s="352"/>
      <c r="AU574" s="352"/>
      <c r="AV574" s="352"/>
      <c r="AW574" s="352" t="s">
        <v>254</v>
      </c>
    </row>
    <row r="575" spans="2:49" x14ac:dyDescent="0.2">
      <c r="B575" s="460" t="s">
        <v>2532</v>
      </c>
      <c r="C575" s="460">
        <v>1251</v>
      </c>
      <c r="D575" s="460" t="s">
        <v>2295</v>
      </c>
      <c r="E575" s="460" t="s">
        <v>2296</v>
      </c>
      <c r="F575" s="460">
        <v>1</v>
      </c>
      <c r="G575" s="460">
        <v>2</v>
      </c>
      <c r="H575" s="461" t="s">
        <v>700</v>
      </c>
      <c r="I575" s="461" t="s">
        <v>872</v>
      </c>
      <c r="J575" s="461" t="s">
        <v>700</v>
      </c>
      <c r="K575" s="594"/>
      <c r="L575" s="594"/>
      <c r="M575" s="352">
        <v>1000</v>
      </c>
      <c r="N575" s="352" t="s">
        <v>698</v>
      </c>
      <c r="O575" s="460">
        <v>1251</v>
      </c>
      <c r="P575" s="460" t="s">
        <v>733</v>
      </c>
      <c r="Q575" s="460" t="s">
        <v>2527</v>
      </c>
      <c r="R575" s="460">
        <v>1241</v>
      </c>
      <c r="S575" s="460" t="s">
        <v>2296</v>
      </c>
      <c r="T575" s="462">
        <v>1</v>
      </c>
      <c r="U575" s="460" t="s">
        <v>2296</v>
      </c>
      <c r="V575" s="475">
        <v>0</v>
      </c>
      <c r="W575" s="463" t="s">
        <v>2503</v>
      </c>
      <c r="X575" s="479" t="s">
        <v>2267</v>
      </c>
      <c r="Y575" s="463" t="s">
        <v>2268</v>
      </c>
      <c r="Z575" s="463"/>
      <c r="AA575" s="463"/>
      <c r="AB575" s="464">
        <v>182.83373946938795</v>
      </c>
      <c r="AC575" s="465">
        <v>0.13312667553609556</v>
      </c>
      <c r="AD575" s="465">
        <v>1.0680000000000002E-2</v>
      </c>
      <c r="AE575" s="476">
        <v>109.70024368163277</v>
      </c>
      <c r="AF575" s="467">
        <v>7.9876005321657326E-2</v>
      </c>
      <c r="AG575" s="468">
        <v>7.1228410709055423E-3</v>
      </c>
      <c r="AH575" s="218">
        <v>422.45618804519171</v>
      </c>
      <c r="AI575" s="470">
        <v>0.30760289669360702</v>
      </c>
      <c r="AJ575" s="471">
        <v>2.5200924044131504E-2</v>
      </c>
      <c r="AK575" s="218">
        <v>422.45618804519171</v>
      </c>
      <c r="AL575" s="470">
        <v>0.30760289669360702</v>
      </c>
      <c r="AM575" s="471">
        <v>2.5200924044131504E-2</v>
      </c>
      <c r="AN575" s="477">
        <v>0</v>
      </c>
      <c r="AO575" s="473">
        <v>0</v>
      </c>
      <c r="AP575" s="474">
        <v>0</v>
      </c>
      <c r="AQ575" s="352"/>
      <c r="AR575" s="352"/>
      <c r="AS575" s="352"/>
      <c r="AT575" s="352"/>
      <c r="AU575" s="352"/>
      <c r="AV575" s="352"/>
      <c r="AW575" s="352" t="s">
        <v>254</v>
      </c>
    </row>
    <row r="576" spans="2:49" x14ac:dyDescent="0.2">
      <c r="B576" s="460" t="s">
        <v>2533</v>
      </c>
      <c r="C576" s="460">
        <v>1251</v>
      </c>
      <c r="D576" s="460" t="s">
        <v>2298</v>
      </c>
      <c r="E576" s="460" t="s">
        <v>2299</v>
      </c>
      <c r="F576" s="460">
        <v>2</v>
      </c>
      <c r="G576" s="460">
        <v>2</v>
      </c>
      <c r="H576" s="461" t="s">
        <v>700</v>
      </c>
      <c r="I576" s="461" t="s">
        <v>872</v>
      </c>
      <c r="J576" s="461" t="s">
        <v>700</v>
      </c>
      <c r="K576" s="594"/>
      <c r="L576" s="594"/>
      <c r="M576" s="352">
        <v>1000</v>
      </c>
      <c r="N576" s="352" t="s">
        <v>698</v>
      </c>
      <c r="O576" s="460">
        <v>1251</v>
      </c>
      <c r="P576" s="460" t="s">
        <v>733</v>
      </c>
      <c r="Q576" s="460" t="s">
        <v>2527</v>
      </c>
      <c r="R576" s="460">
        <v>1241</v>
      </c>
      <c r="S576" s="460" t="s">
        <v>2296</v>
      </c>
      <c r="T576" s="462">
        <v>0.55517361979372948</v>
      </c>
      <c r="U576" s="460" t="s">
        <v>2299</v>
      </c>
      <c r="V576" s="475">
        <v>0</v>
      </c>
      <c r="W576" s="463" t="s">
        <v>2503</v>
      </c>
      <c r="X576" s="479" t="s">
        <v>2267</v>
      </c>
      <c r="Y576" s="463" t="s">
        <v>2268</v>
      </c>
      <c r="Z576" s="463"/>
      <c r="AA576" s="463"/>
      <c r="AB576" s="464">
        <v>35.296516578054792</v>
      </c>
      <c r="AC576" s="465">
        <v>4.3736882239514482E-2</v>
      </c>
      <c r="AD576" s="465">
        <v>1.0680000000000005E-2</v>
      </c>
      <c r="AE576" s="476">
        <v>21.177909946832873</v>
      </c>
      <c r="AF576" s="467">
        <v>2.6242129343708689E-2</v>
      </c>
      <c r="AG576" s="468">
        <v>7.1910129340730716E-3</v>
      </c>
      <c r="AH576" s="218">
        <v>137.81715105314021</v>
      </c>
      <c r="AI576" s="470">
        <v>0.17077301361642644</v>
      </c>
      <c r="AJ576" s="471">
        <v>3.2454227200965524E-2</v>
      </c>
      <c r="AK576" s="218">
        <v>137.81715105314021</v>
      </c>
      <c r="AL576" s="470">
        <v>0.17077301361642644</v>
      </c>
      <c r="AM576" s="471">
        <v>3.2454227200965524E-2</v>
      </c>
      <c r="AN576" s="477">
        <v>0</v>
      </c>
      <c r="AO576" s="473">
        <v>0</v>
      </c>
      <c r="AP576" s="474">
        <v>0</v>
      </c>
      <c r="AQ576" s="352"/>
      <c r="AR576" s="352"/>
      <c r="AS576" s="352"/>
      <c r="AT576" s="352"/>
      <c r="AU576" s="352"/>
      <c r="AV576" s="352"/>
      <c r="AW576" s="352" t="s">
        <v>254</v>
      </c>
    </row>
    <row r="577" spans="2:49" x14ac:dyDescent="0.2">
      <c r="B577" s="460" t="s">
        <v>2534</v>
      </c>
      <c r="C577" s="460">
        <v>1251</v>
      </c>
      <c r="D577" s="460" t="s">
        <v>2301</v>
      </c>
      <c r="E577" s="460" t="s">
        <v>2302</v>
      </c>
      <c r="F577" s="460">
        <v>3</v>
      </c>
      <c r="G577" s="460">
        <v>2</v>
      </c>
      <c r="H577" s="461" t="s">
        <v>700</v>
      </c>
      <c r="I577" s="461" t="s">
        <v>872</v>
      </c>
      <c r="J577" s="461" t="s">
        <v>700</v>
      </c>
      <c r="K577" s="594"/>
      <c r="L577" s="594"/>
      <c r="M577" s="352">
        <v>1000</v>
      </c>
      <c r="N577" s="352" t="s">
        <v>698</v>
      </c>
      <c r="O577" s="460">
        <v>1251</v>
      </c>
      <c r="P577" s="460" t="s">
        <v>733</v>
      </c>
      <c r="Q577" s="460" t="s">
        <v>2527</v>
      </c>
      <c r="R577" s="460">
        <v>1241</v>
      </c>
      <c r="S577" s="460" t="s">
        <v>2296</v>
      </c>
      <c r="T577" s="462">
        <v>0.28481449642268464</v>
      </c>
      <c r="U577" s="460" t="s">
        <v>2302</v>
      </c>
      <c r="V577" s="475">
        <v>0</v>
      </c>
      <c r="W577" s="463" t="s">
        <v>2503</v>
      </c>
      <c r="X577" s="463" t="s">
        <v>2503</v>
      </c>
      <c r="Y577" s="463" t="s">
        <v>2268</v>
      </c>
      <c r="Z577" s="463"/>
      <c r="AA577" s="463"/>
      <c r="AB577" s="464">
        <v>5.4906134075656698</v>
      </c>
      <c r="AC577" s="465">
        <v>1.8619854870165601E-2</v>
      </c>
      <c r="AD577" s="465">
        <v>1.0680000000000002E-2</v>
      </c>
      <c r="AE577" s="476">
        <v>3.2943680445394015</v>
      </c>
      <c r="AF577" s="467">
        <v>1.117191292209936E-2</v>
      </c>
      <c r="AG577" s="468">
        <v>7.2310336987831039E-3</v>
      </c>
      <c r="AH577" s="218">
        <v>6.7084625863589569</v>
      </c>
      <c r="AI577" s="470">
        <v>2.2749844231943508E-2</v>
      </c>
      <c r="AJ577" s="471">
        <v>6.9641819509519125E-3</v>
      </c>
      <c r="AK577" s="218">
        <v>6.7084625863589569</v>
      </c>
      <c r="AL577" s="470">
        <v>2.2749844231943508E-2</v>
      </c>
      <c r="AM577" s="471">
        <v>6.9641819509519125E-3</v>
      </c>
      <c r="AN577" s="477">
        <v>0</v>
      </c>
      <c r="AO577" s="473">
        <v>0</v>
      </c>
      <c r="AP577" s="474">
        <v>0</v>
      </c>
      <c r="AQ577" s="352"/>
      <c r="AR577" s="352"/>
      <c r="AS577" s="352"/>
      <c r="AT577" s="352"/>
      <c r="AU577" s="352"/>
      <c r="AV577" s="352"/>
      <c r="AW577" s="352" t="s">
        <v>254</v>
      </c>
    </row>
    <row r="578" spans="2:49" x14ac:dyDescent="0.2">
      <c r="B578" s="460" t="s">
        <v>2535</v>
      </c>
      <c r="C578" s="460">
        <v>1251</v>
      </c>
      <c r="D578" s="460" t="s">
        <v>2304</v>
      </c>
      <c r="E578" s="460" t="s">
        <v>2305</v>
      </c>
      <c r="F578" s="460">
        <v>4</v>
      </c>
      <c r="G578" s="460">
        <v>2</v>
      </c>
      <c r="H578" s="461" t="s">
        <v>700</v>
      </c>
      <c r="I578" s="461" t="s">
        <v>872</v>
      </c>
      <c r="J578" s="461" t="s">
        <v>700</v>
      </c>
      <c r="K578" s="594"/>
      <c r="L578" s="594"/>
      <c r="M578" s="352">
        <v>1000</v>
      </c>
      <c r="N578" s="352" t="s">
        <v>698</v>
      </c>
      <c r="O578" s="460">
        <v>1251</v>
      </c>
      <c r="P578" s="460" t="s">
        <v>733</v>
      </c>
      <c r="Q578" s="460" t="s">
        <v>2527</v>
      </c>
      <c r="R578" s="460">
        <v>1241</v>
      </c>
      <c r="S578" s="460" t="s">
        <v>2305</v>
      </c>
      <c r="T578" s="462">
        <v>1</v>
      </c>
      <c r="U578" s="460" t="s">
        <v>2305</v>
      </c>
      <c r="V578" s="475">
        <v>0</v>
      </c>
      <c r="W578" s="463" t="s">
        <v>2503</v>
      </c>
      <c r="X578" s="463" t="s">
        <v>2503</v>
      </c>
      <c r="Y578" s="463" t="s">
        <v>2268</v>
      </c>
      <c r="Z578" s="463"/>
      <c r="AA578" s="463"/>
      <c r="AB578" s="464">
        <v>0.13489431135048549</v>
      </c>
      <c r="AC578" s="465">
        <v>4.0279363654398373E-4</v>
      </c>
      <c r="AD578" s="465">
        <v>1.0680000000000002E-2</v>
      </c>
      <c r="AE578" s="476">
        <v>8.0936586810291297E-2</v>
      </c>
      <c r="AF578" s="467">
        <v>2.4167618192639023E-4</v>
      </c>
      <c r="AG578" s="468">
        <v>7.11556644974746E-3</v>
      </c>
      <c r="AH578" s="218">
        <v>8.0936586810291297E-2</v>
      </c>
      <c r="AI578" s="470">
        <v>2.4167618192639023E-4</v>
      </c>
      <c r="AJ578" s="471">
        <v>7.0860381936131674E-3</v>
      </c>
      <c r="AK578" s="218">
        <v>8.0936586810291297E-2</v>
      </c>
      <c r="AL578" s="470">
        <v>2.4167618192639023E-4</v>
      </c>
      <c r="AM578" s="471">
        <v>7.0860381936131674E-3</v>
      </c>
      <c r="AN578" s="477">
        <v>0</v>
      </c>
      <c r="AO578" s="473">
        <v>0</v>
      </c>
      <c r="AP578" s="474">
        <v>0</v>
      </c>
      <c r="AQ578" s="352"/>
      <c r="AR578" s="352"/>
      <c r="AS578" s="352"/>
      <c r="AT578" s="352"/>
      <c r="AU578" s="352"/>
      <c r="AV578" s="352"/>
      <c r="AW578" s="352" t="s">
        <v>254</v>
      </c>
    </row>
    <row r="579" spans="2:49" x14ac:dyDescent="0.2">
      <c r="B579" s="460" t="s">
        <v>2532</v>
      </c>
      <c r="C579" s="460">
        <v>1251</v>
      </c>
      <c r="D579" s="460" t="s">
        <v>2306</v>
      </c>
      <c r="E579" s="460" t="s">
        <v>2296</v>
      </c>
      <c r="F579" s="460">
        <v>1</v>
      </c>
      <c r="G579" s="460">
        <v>2</v>
      </c>
      <c r="H579" s="461" t="s">
        <v>712</v>
      </c>
      <c r="I579" s="461" t="s">
        <v>713</v>
      </c>
      <c r="J579" s="461" t="s">
        <v>712</v>
      </c>
      <c r="K579" s="594"/>
      <c r="L579" s="594"/>
      <c r="M579" s="352">
        <v>1000</v>
      </c>
      <c r="N579" s="352" t="s">
        <v>698</v>
      </c>
      <c r="O579" s="460">
        <v>1251</v>
      </c>
      <c r="P579" s="460" t="s">
        <v>733</v>
      </c>
      <c r="Q579" s="460" t="s">
        <v>2280</v>
      </c>
      <c r="R579" s="460">
        <v>1241</v>
      </c>
      <c r="S579" s="460" t="s">
        <v>2296</v>
      </c>
      <c r="T579" s="462">
        <v>1</v>
      </c>
      <c r="U579" s="460" t="s">
        <v>2296</v>
      </c>
      <c r="V579" s="475">
        <v>0</v>
      </c>
      <c r="W579" s="463" t="s">
        <v>713</v>
      </c>
      <c r="X579" s="463" t="s">
        <v>713</v>
      </c>
      <c r="Y579" s="463" t="s">
        <v>713</v>
      </c>
      <c r="Z579" s="463"/>
      <c r="AA579" s="463"/>
      <c r="AB579" s="464">
        <v>1190.5479568219387</v>
      </c>
      <c r="AC579" s="465">
        <v>0.86687332446390453</v>
      </c>
      <c r="AD579" s="465">
        <v>1.0297021751290096E-2</v>
      </c>
      <c r="AE579" s="476">
        <v>1263.6814526096939</v>
      </c>
      <c r="AF579" s="467">
        <v>0.92012399467834272</v>
      </c>
      <c r="AG579" s="468">
        <v>1.0769521274388349E-2</v>
      </c>
      <c r="AH579" s="218">
        <v>950.92550824613477</v>
      </c>
      <c r="AI579" s="470">
        <v>0.69239710330639292</v>
      </c>
      <c r="AJ579" s="471">
        <v>8.1993049181869528E-3</v>
      </c>
      <c r="AK579" s="218">
        <v>950.92550824613477</v>
      </c>
      <c r="AL579" s="470">
        <v>0.69239710330639292</v>
      </c>
      <c r="AM579" s="471">
        <v>8.1993049181869528E-3</v>
      </c>
      <c r="AN579" s="477">
        <v>950.92550824613477</v>
      </c>
      <c r="AO579" s="473">
        <v>0.69239710330639292</v>
      </c>
      <c r="AP579" s="474">
        <v>8.1972926958867442E-3</v>
      </c>
      <c r="AQ579" s="352"/>
      <c r="AR579" s="352"/>
      <c r="AS579" s="352"/>
      <c r="AT579" s="352"/>
      <c r="AU579" s="352"/>
      <c r="AV579" s="352"/>
      <c r="AW579" s="352" t="s">
        <v>254</v>
      </c>
    </row>
    <row r="580" spans="2:49" x14ac:dyDescent="0.2">
      <c r="B580" s="460" t="s">
        <v>2533</v>
      </c>
      <c r="C580" s="460">
        <v>1251</v>
      </c>
      <c r="D580" s="460" t="s">
        <v>2307</v>
      </c>
      <c r="E580" s="460" t="s">
        <v>2299</v>
      </c>
      <c r="F580" s="460">
        <v>2</v>
      </c>
      <c r="G580" s="460">
        <v>2</v>
      </c>
      <c r="H580" s="461" t="s">
        <v>712</v>
      </c>
      <c r="I580" s="461" t="s">
        <v>713</v>
      </c>
      <c r="J580" s="461" t="s">
        <v>712</v>
      </c>
      <c r="K580" s="594"/>
      <c r="L580" s="594"/>
      <c r="M580" s="352">
        <v>1000</v>
      </c>
      <c r="N580" s="352" t="s">
        <v>698</v>
      </c>
      <c r="O580" s="460">
        <v>1251</v>
      </c>
      <c r="P580" s="460" t="s">
        <v>733</v>
      </c>
      <c r="Q580" s="460" t="s">
        <v>2280</v>
      </c>
      <c r="R580" s="460">
        <v>1241</v>
      </c>
      <c r="S580" s="460" t="s">
        <v>2296</v>
      </c>
      <c r="T580" s="462">
        <v>0.55517361979372948</v>
      </c>
      <c r="U580" s="460" t="s">
        <v>2299</v>
      </c>
      <c r="V580" s="475">
        <v>0</v>
      </c>
      <c r="W580" s="463" t="s">
        <v>713</v>
      </c>
      <c r="X580" s="463" t="s">
        <v>713</v>
      </c>
      <c r="Y580" s="463" t="s">
        <v>713</v>
      </c>
      <c r="Z580" s="463"/>
      <c r="AA580" s="463"/>
      <c r="AB580" s="464">
        <v>771.72297751304052</v>
      </c>
      <c r="AC580" s="465">
        <v>0.95626311776048545</v>
      </c>
      <c r="AD580" s="465">
        <v>8.9263287062845611E-3</v>
      </c>
      <c r="AE580" s="476">
        <v>785.84158414426247</v>
      </c>
      <c r="AF580" s="467">
        <v>0.97375787065629127</v>
      </c>
      <c r="AG580" s="468">
        <v>9.0519566557018503E-3</v>
      </c>
      <c r="AH580" s="218">
        <v>669.20234303795507</v>
      </c>
      <c r="AI580" s="470">
        <v>0.82922698638357351</v>
      </c>
      <c r="AJ580" s="471">
        <v>7.8403085775156211E-3</v>
      </c>
      <c r="AK580" s="218">
        <v>669.20234303795507</v>
      </c>
      <c r="AL580" s="470">
        <v>0.82922698638357351</v>
      </c>
      <c r="AM580" s="471">
        <v>7.8403085775156211E-3</v>
      </c>
      <c r="AN580" s="477">
        <v>669.20234303795507</v>
      </c>
      <c r="AO580" s="473">
        <v>0.82922698638357351</v>
      </c>
      <c r="AP580" s="474">
        <v>7.8393188585086891E-3</v>
      </c>
      <c r="AQ580" s="352"/>
      <c r="AR580" s="352"/>
      <c r="AS580" s="352"/>
      <c r="AT580" s="352"/>
      <c r="AU580" s="352"/>
      <c r="AV580" s="352"/>
      <c r="AW580" s="352" t="s">
        <v>254</v>
      </c>
    </row>
    <row r="581" spans="2:49" x14ac:dyDescent="0.2">
      <c r="B581" s="460" t="s">
        <v>2534</v>
      </c>
      <c r="C581" s="460">
        <v>1251</v>
      </c>
      <c r="D581" s="460" t="s">
        <v>2308</v>
      </c>
      <c r="E581" s="460" t="s">
        <v>2302</v>
      </c>
      <c r="F581" s="460">
        <v>3</v>
      </c>
      <c r="G581" s="460">
        <v>2</v>
      </c>
      <c r="H581" s="461" t="s">
        <v>712</v>
      </c>
      <c r="I581" s="461" t="s">
        <v>713</v>
      </c>
      <c r="J581" s="461" t="s">
        <v>712</v>
      </c>
      <c r="K581" s="594"/>
      <c r="L581" s="594"/>
      <c r="M581" s="352">
        <v>1000</v>
      </c>
      <c r="N581" s="352" t="s">
        <v>698</v>
      </c>
      <c r="O581" s="460">
        <v>1251</v>
      </c>
      <c r="P581" s="460" t="s">
        <v>733</v>
      </c>
      <c r="Q581" s="460" t="s">
        <v>2280</v>
      </c>
      <c r="R581" s="460">
        <v>1241</v>
      </c>
      <c r="S581" s="460" t="s">
        <v>2296</v>
      </c>
      <c r="T581" s="462">
        <v>0.28481449642268464</v>
      </c>
      <c r="U581" s="460" t="s">
        <v>2302</v>
      </c>
      <c r="V581" s="475">
        <v>0</v>
      </c>
      <c r="W581" s="463" t="s">
        <v>713</v>
      </c>
      <c r="X581" s="463" t="s">
        <v>713</v>
      </c>
      <c r="Y581" s="463" t="s">
        <v>713</v>
      </c>
      <c r="Z581" s="463"/>
      <c r="AA581" s="463"/>
      <c r="AB581" s="464">
        <v>289.38888194033967</v>
      </c>
      <c r="AC581" s="465">
        <v>0.9813801451298344</v>
      </c>
      <c r="AD581" s="465">
        <v>8.4175994217459103E-3</v>
      </c>
      <c r="AE581" s="476">
        <v>291.58512730336594</v>
      </c>
      <c r="AF581" s="467">
        <v>0.9888280870779006</v>
      </c>
      <c r="AG581" s="468">
        <v>8.4670713011102492E-3</v>
      </c>
      <c r="AH581" s="218">
        <v>288.17103276154637</v>
      </c>
      <c r="AI581" s="470">
        <v>0.97725015576805652</v>
      </c>
      <c r="AJ581" s="471">
        <v>8.4931421870482436E-3</v>
      </c>
      <c r="AK581" s="218">
        <v>288.17103276154637</v>
      </c>
      <c r="AL581" s="470">
        <v>0.97725015576805652</v>
      </c>
      <c r="AM581" s="471">
        <v>8.4931421870482436E-3</v>
      </c>
      <c r="AN581" s="477">
        <v>269.0451723166658</v>
      </c>
      <c r="AO581" s="473">
        <v>0.91239023588005119</v>
      </c>
      <c r="AP581" s="474">
        <v>7.9363489436193174E-3</v>
      </c>
      <c r="AQ581" s="352"/>
      <c r="AR581" s="352"/>
      <c r="AS581" s="352"/>
      <c r="AT581" s="352"/>
      <c r="AU581" s="352"/>
      <c r="AV581" s="352"/>
      <c r="AW581" s="352" t="s">
        <v>254</v>
      </c>
    </row>
    <row r="582" spans="2:49" x14ac:dyDescent="0.2">
      <c r="B582" s="460" t="s">
        <v>2535</v>
      </c>
      <c r="C582" s="460">
        <v>1251</v>
      </c>
      <c r="D582" s="460" t="s">
        <v>2309</v>
      </c>
      <c r="E582" s="460" t="s">
        <v>2305</v>
      </c>
      <c r="F582" s="460">
        <v>4</v>
      </c>
      <c r="G582" s="460">
        <v>2</v>
      </c>
      <c r="H582" s="461" t="s">
        <v>712</v>
      </c>
      <c r="I582" s="461" t="s">
        <v>713</v>
      </c>
      <c r="J582" s="461" t="s">
        <v>712</v>
      </c>
      <c r="K582" s="594"/>
      <c r="L582" s="594"/>
      <c r="M582" s="352">
        <v>1000</v>
      </c>
      <c r="N582" s="352" t="s">
        <v>698</v>
      </c>
      <c r="O582" s="460">
        <v>1251</v>
      </c>
      <c r="P582" s="460" t="s">
        <v>733</v>
      </c>
      <c r="Q582" s="460" t="s">
        <v>2280</v>
      </c>
      <c r="R582" s="460">
        <v>1241</v>
      </c>
      <c r="S582" s="460" t="s">
        <v>2305</v>
      </c>
      <c r="T582" s="462">
        <v>1</v>
      </c>
      <c r="U582" s="460" t="s">
        <v>2305</v>
      </c>
      <c r="V582" s="475">
        <v>0</v>
      </c>
      <c r="W582" s="463" t="s">
        <v>713</v>
      </c>
      <c r="X582" s="463" t="s">
        <v>713</v>
      </c>
      <c r="Y582" s="463" t="s">
        <v>713</v>
      </c>
      <c r="Z582" s="463"/>
      <c r="AA582" s="463"/>
      <c r="AB582" s="464">
        <v>334.761934019639</v>
      </c>
      <c r="AC582" s="465">
        <v>0.99959720636345606</v>
      </c>
      <c r="AD582" s="465">
        <v>8.5497871279137331E-3</v>
      </c>
      <c r="AE582" s="476">
        <v>334.81589174417917</v>
      </c>
      <c r="AF582" s="467">
        <v>0.99975832381807361</v>
      </c>
      <c r="AG582" s="468">
        <v>8.5508909124524871E-3</v>
      </c>
      <c r="AH582" s="218">
        <v>334.81589174417917</v>
      </c>
      <c r="AI582" s="470">
        <v>0.99975832381807361</v>
      </c>
      <c r="AJ582" s="471">
        <v>8.5509012635622064E-3</v>
      </c>
      <c r="AK582" s="218">
        <v>334.81589174417917</v>
      </c>
      <c r="AL582" s="470">
        <v>0.99975832381807361</v>
      </c>
      <c r="AM582" s="471">
        <v>8.5509012635622064E-3</v>
      </c>
      <c r="AN582" s="477">
        <v>334.761934019639</v>
      </c>
      <c r="AO582" s="473">
        <v>0.99959720636345606</v>
      </c>
      <c r="AP582" s="474">
        <v>8.5495336888454579E-3</v>
      </c>
      <c r="AQ582" s="352"/>
      <c r="AR582" s="352"/>
      <c r="AS582" s="352"/>
      <c r="AT582" s="352"/>
      <c r="AU582" s="352"/>
      <c r="AV582" s="352"/>
      <c r="AW582" s="352" t="s">
        <v>254</v>
      </c>
    </row>
    <row r="583" spans="2:49" x14ac:dyDescent="0.2">
      <c r="B583" s="460" t="s">
        <v>2532</v>
      </c>
      <c r="C583" s="460">
        <v>1251</v>
      </c>
      <c r="D583" s="460" t="s">
        <v>2310</v>
      </c>
      <c r="E583" s="460" t="s">
        <v>2296</v>
      </c>
      <c r="F583" s="460">
        <v>1</v>
      </c>
      <c r="G583" s="460">
        <v>2</v>
      </c>
      <c r="H583" s="461" t="s">
        <v>746</v>
      </c>
      <c r="I583" s="461" t="s">
        <v>762</v>
      </c>
      <c r="J583" s="461" t="s">
        <v>700</v>
      </c>
      <c r="K583" s="594"/>
      <c r="L583" s="594"/>
      <c r="M583" s="352">
        <v>1000</v>
      </c>
      <c r="N583" s="352" t="s">
        <v>698</v>
      </c>
      <c r="O583" s="460">
        <v>1251</v>
      </c>
      <c r="P583" s="460" t="s">
        <v>733</v>
      </c>
      <c r="Q583" s="460" t="s">
        <v>2531</v>
      </c>
      <c r="R583" s="460">
        <v>1241</v>
      </c>
      <c r="S583" s="460" t="s">
        <v>2296</v>
      </c>
      <c r="T583" s="462">
        <v>1</v>
      </c>
      <c r="U583" s="460" t="s">
        <v>2296</v>
      </c>
      <c r="V583" s="475">
        <v>0</v>
      </c>
      <c r="W583" s="463" t="s">
        <v>2268</v>
      </c>
      <c r="X583" s="463" t="s">
        <v>2268</v>
      </c>
      <c r="Y583" s="463" t="s">
        <v>2290</v>
      </c>
      <c r="Z583" s="463"/>
      <c r="AA583" s="463"/>
      <c r="AB583" s="464">
        <v>0</v>
      </c>
      <c r="AC583" s="465">
        <v>0</v>
      </c>
      <c r="AD583" s="465">
        <v>0</v>
      </c>
      <c r="AE583" s="476">
        <v>0</v>
      </c>
      <c r="AF583" s="467">
        <v>0</v>
      </c>
      <c r="AG583" s="468">
        <v>0</v>
      </c>
      <c r="AH583" s="218">
        <v>0</v>
      </c>
      <c r="AI583" s="470">
        <v>0</v>
      </c>
      <c r="AJ583" s="471">
        <v>0</v>
      </c>
      <c r="AK583" s="218">
        <v>0</v>
      </c>
      <c r="AL583" s="470">
        <v>0</v>
      </c>
      <c r="AM583" s="471">
        <v>0</v>
      </c>
      <c r="AN583" s="477">
        <v>0</v>
      </c>
      <c r="AO583" s="473">
        <v>0</v>
      </c>
      <c r="AP583" s="474">
        <v>0</v>
      </c>
      <c r="AQ583" s="352"/>
      <c r="AR583" s="352"/>
      <c r="AS583" s="352"/>
      <c r="AT583" s="352"/>
      <c r="AU583" s="352"/>
      <c r="AV583" s="352"/>
      <c r="AW583" s="352" t="s">
        <v>254</v>
      </c>
    </row>
    <row r="584" spans="2:49" x14ac:dyDescent="0.2">
      <c r="B584" s="460" t="s">
        <v>2533</v>
      </c>
      <c r="C584" s="460">
        <v>1251</v>
      </c>
      <c r="D584" s="460" t="s">
        <v>2311</v>
      </c>
      <c r="E584" s="460" t="s">
        <v>2299</v>
      </c>
      <c r="F584" s="460">
        <v>2</v>
      </c>
      <c r="G584" s="460">
        <v>2</v>
      </c>
      <c r="H584" s="461" t="s">
        <v>746</v>
      </c>
      <c r="I584" s="461" t="s">
        <v>762</v>
      </c>
      <c r="J584" s="461" t="s">
        <v>700</v>
      </c>
      <c r="K584" s="594"/>
      <c r="L584" s="594"/>
      <c r="M584" s="352">
        <v>1000</v>
      </c>
      <c r="N584" s="352" t="s">
        <v>698</v>
      </c>
      <c r="O584" s="460">
        <v>1251</v>
      </c>
      <c r="P584" s="460" t="s">
        <v>733</v>
      </c>
      <c r="Q584" s="460" t="s">
        <v>2531</v>
      </c>
      <c r="R584" s="460">
        <v>1241</v>
      </c>
      <c r="S584" s="460" t="s">
        <v>2296</v>
      </c>
      <c r="T584" s="462">
        <v>0.55517361979372948</v>
      </c>
      <c r="U584" s="460" t="s">
        <v>2299</v>
      </c>
      <c r="V584" s="475">
        <v>0</v>
      </c>
      <c r="W584" s="463" t="s">
        <v>2268</v>
      </c>
      <c r="X584" s="463" t="s">
        <v>2268</v>
      </c>
      <c r="Y584" s="463" t="s">
        <v>2290</v>
      </c>
      <c r="Z584" s="463"/>
      <c r="AA584" s="463"/>
      <c r="AB584" s="464">
        <v>0</v>
      </c>
      <c r="AC584" s="465">
        <v>0</v>
      </c>
      <c r="AD584" s="465">
        <v>0</v>
      </c>
      <c r="AE584" s="476">
        <v>0</v>
      </c>
      <c r="AF584" s="467">
        <v>0</v>
      </c>
      <c r="AG584" s="468">
        <v>0</v>
      </c>
      <c r="AH584" s="218">
        <v>0</v>
      </c>
      <c r="AI584" s="470">
        <v>0</v>
      </c>
      <c r="AJ584" s="471">
        <v>0</v>
      </c>
      <c r="AK584" s="218">
        <v>0</v>
      </c>
      <c r="AL584" s="470">
        <v>0</v>
      </c>
      <c r="AM584" s="471">
        <v>0</v>
      </c>
      <c r="AN584" s="477">
        <v>0</v>
      </c>
      <c r="AO584" s="473">
        <v>0</v>
      </c>
      <c r="AP584" s="474">
        <v>0</v>
      </c>
      <c r="AQ584" s="352"/>
      <c r="AR584" s="352"/>
      <c r="AS584" s="352"/>
      <c r="AT584" s="352"/>
      <c r="AU584" s="352"/>
      <c r="AV584" s="352"/>
      <c r="AW584" s="352" t="s">
        <v>254</v>
      </c>
    </row>
    <row r="585" spans="2:49" x14ac:dyDescent="0.2">
      <c r="B585" s="460" t="s">
        <v>2534</v>
      </c>
      <c r="C585" s="460">
        <v>1251</v>
      </c>
      <c r="D585" s="460" t="s">
        <v>2312</v>
      </c>
      <c r="E585" s="460" t="s">
        <v>2302</v>
      </c>
      <c r="F585" s="460">
        <v>3</v>
      </c>
      <c r="G585" s="460">
        <v>2</v>
      </c>
      <c r="H585" s="461" t="s">
        <v>746</v>
      </c>
      <c r="I585" s="461" t="s">
        <v>762</v>
      </c>
      <c r="J585" s="461" t="s">
        <v>700</v>
      </c>
      <c r="K585" s="594"/>
      <c r="L585" s="594"/>
      <c r="M585" s="352">
        <v>1000</v>
      </c>
      <c r="N585" s="352" t="s">
        <v>698</v>
      </c>
      <c r="O585" s="460">
        <v>1251</v>
      </c>
      <c r="P585" s="460" t="s">
        <v>733</v>
      </c>
      <c r="Q585" s="460" t="s">
        <v>2531</v>
      </c>
      <c r="R585" s="460">
        <v>1241</v>
      </c>
      <c r="S585" s="460" t="s">
        <v>2296</v>
      </c>
      <c r="T585" s="462">
        <v>0.28481449642268464</v>
      </c>
      <c r="U585" s="460" t="s">
        <v>2302</v>
      </c>
      <c r="V585" s="475">
        <v>0</v>
      </c>
      <c r="W585" s="463" t="s">
        <v>2268</v>
      </c>
      <c r="X585" s="463" t="s">
        <v>2268</v>
      </c>
      <c r="Y585" s="463" t="s">
        <v>2290</v>
      </c>
      <c r="Z585" s="463"/>
      <c r="AA585" s="463"/>
      <c r="AB585" s="464">
        <v>0</v>
      </c>
      <c r="AC585" s="465">
        <v>0</v>
      </c>
      <c r="AD585" s="465">
        <v>0</v>
      </c>
      <c r="AE585" s="476">
        <v>0</v>
      </c>
      <c r="AF585" s="467">
        <v>0</v>
      </c>
      <c r="AG585" s="468">
        <v>0</v>
      </c>
      <c r="AH585" s="218">
        <v>0</v>
      </c>
      <c r="AI585" s="470">
        <v>0</v>
      </c>
      <c r="AJ585" s="471">
        <v>0</v>
      </c>
      <c r="AK585" s="218">
        <v>0</v>
      </c>
      <c r="AL585" s="470">
        <v>0</v>
      </c>
      <c r="AM585" s="471">
        <v>0</v>
      </c>
      <c r="AN585" s="477">
        <v>0</v>
      </c>
      <c r="AO585" s="473">
        <v>0</v>
      </c>
      <c r="AP585" s="474">
        <v>0</v>
      </c>
      <c r="AQ585" s="352"/>
      <c r="AR585" s="352"/>
      <c r="AS585" s="352"/>
      <c r="AT585" s="352"/>
      <c r="AU585" s="352"/>
      <c r="AV585" s="352"/>
      <c r="AW585" s="352" t="s">
        <v>254</v>
      </c>
    </row>
    <row r="586" spans="2:49" x14ac:dyDescent="0.2">
      <c r="B586" s="460" t="s">
        <v>2535</v>
      </c>
      <c r="C586" s="460">
        <v>1251</v>
      </c>
      <c r="D586" s="460" t="s">
        <v>2313</v>
      </c>
      <c r="E586" s="460" t="s">
        <v>2305</v>
      </c>
      <c r="F586" s="460">
        <v>4</v>
      </c>
      <c r="G586" s="460">
        <v>2</v>
      </c>
      <c r="H586" s="461" t="s">
        <v>746</v>
      </c>
      <c r="I586" s="461" t="s">
        <v>762</v>
      </c>
      <c r="J586" s="461" t="s">
        <v>700</v>
      </c>
      <c r="K586" s="594"/>
      <c r="L586" s="594"/>
      <c r="M586" s="352">
        <v>1000</v>
      </c>
      <c r="N586" s="352" t="s">
        <v>698</v>
      </c>
      <c r="O586" s="460">
        <v>1251</v>
      </c>
      <c r="P586" s="460" t="s">
        <v>733</v>
      </c>
      <c r="Q586" s="460" t="s">
        <v>2531</v>
      </c>
      <c r="R586" s="460">
        <v>1241</v>
      </c>
      <c r="S586" s="460" t="s">
        <v>2305</v>
      </c>
      <c r="T586" s="462">
        <v>1</v>
      </c>
      <c r="U586" s="460" t="s">
        <v>2305</v>
      </c>
      <c r="V586" s="475">
        <v>0</v>
      </c>
      <c r="W586" s="463" t="s">
        <v>2268</v>
      </c>
      <c r="X586" s="463" t="s">
        <v>2268</v>
      </c>
      <c r="Y586" s="463" t="s">
        <v>2290</v>
      </c>
      <c r="Z586" s="463"/>
      <c r="AA586" s="463"/>
      <c r="AB586" s="464">
        <v>0</v>
      </c>
      <c r="AC586" s="465">
        <v>0</v>
      </c>
      <c r="AD586" s="465">
        <v>0</v>
      </c>
      <c r="AE586" s="476">
        <v>0</v>
      </c>
      <c r="AF586" s="467">
        <v>0</v>
      </c>
      <c r="AG586" s="468">
        <v>0</v>
      </c>
      <c r="AH586" s="218">
        <v>0</v>
      </c>
      <c r="AI586" s="470">
        <v>0</v>
      </c>
      <c r="AJ586" s="471">
        <v>0</v>
      </c>
      <c r="AK586" s="218">
        <v>0</v>
      </c>
      <c r="AL586" s="470">
        <v>0</v>
      </c>
      <c r="AM586" s="471">
        <v>0</v>
      </c>
      <c r="AN586" s="477">
        <v>0</v>
      </c>
      <c r="AO586" s="473">
        <v>0</v>
      </c>
      <c r="AP586" s="474">
        <v>0</v>
      </c>
      <c r="AQ586" s="352"/>
      <c r="AR586" s="352"/>
      <c r="AS586" s="352"/>
      <c r="AT586" s="352"/>
      <c r="AU586" s="352"/>
      <c r="AV586" s="352"/>
      <c r="AW586" s="352" t="s">
        <v>254</v>
      </c>
    </row>
    <row r="587" spans="2:49" x14ac:dyDescent="0.2">
      <c r="B587" s="460" t="s">
        <v>2532</v>
      </c>
      <c r="C587" s="460">
        <v>1251</v>
      </c>
      <c r="D587" s="460" t="s">
        <v>2314</v>
      </c>
      <c r="E587" s="460" t="s">
        <v>2296</v>
      </c>
      <c r="F587" s="460">
        <v>1</v>
      </c>
      <c r="G587" s="460">
        <v>2</v>
      </c>
      <c r="H587" s="461" t="s">
        <v>748</v>
      </c>
      <c r="I587" s="461" t="s">
        <v>765</v>
      </c>
      <c r="J587" s="461" t="s">
        <v>700</v>
      </c>
      <c r="K587" s="594"/>
      <c r="L587" s="594"/>
      <c r="M587" s="352">
        <v>1000</v>
      </c>
      <c r="N587" s="352" t="s">
        <v>698</v>
      </c>
      <c r="O587" s="460">
        <v>1251</v>
      </c>
      <c r="P587" s="460" t="s">
        <v>733</v>
      </c>
      <c r="Q587" s="460" t="s">
        <v>2527</v>
      </c>
      <c r="R587" s="460">
        <v>1241</v>
      </c>
      <c r="S587" s="460" t="s">
        <v>2296</v>
      </c>
      <c r="T587" s="462">
        <v>1</v>
      </c>
      <c r="U587" s="460" t="s">
        <v>2296</v>
      </c>
      <c r="V587" s="475">
        <v>0</v>
      </c>
      <c r="W587" s="463" t="s">
        <v>2268</v>
      </c>
      <c r="X587" s="463" t="s">
        <v>2268</v>
      </c>
      <c r="Y587" s="479" t="s">
        <v>2267</v>
      </c>
      <c r="Z587" s="479"/>
      <c r="AA587" s="479"/>
      <c r="AB587" s="464">
        <v>0</v>
      </c>
      <c r="AC587" s="465">
        <v>0</v>
      </c>
      <c r="AD587" s="465">
        <v>0</v>
      </c>
      <c r="AE587" s="476">
        <v>0</v>
      </c>
      <c r="AF587" s="467">
        <v>0</v>
      </c>
      <c r="AG587" s="468">
        <v>0</v>
      </c>
      <c r="AH587" s="218">
        <v>0</v>
      </c>
      <c r="AI587" s="470">
        <v>0</v>
      </c>
      <c r="AJ587" s="471">
        <v>0</v>
      </c>
      <c r="AK587" s="218">
        <v>0</v>
      </c>
      <c r="AL587" s="470">
        <v>0</v>
      </c>
      <c r="AM587" s="471">
        <v>0</v>
      </c>
      <c r="AN587" s="477">
        <v>422.45618804519171</v>
      </c>
      <c r="AO587" s="473">
        <v>0.30760289669360702</v>
      </c>
      <c r="AP587" s="474">
        <v>0.12905457882747567</v>
      </c>
      <c r="AQ587" s="352"/>
      <c r="AR587" s="352"/>
      <c r="AS587" s="352"/>
      <c r="AT587" s="352"/>
      <c r="AU587" s="352"/>
      <c r="AV587" s="352"/>
      <c r="AW587" s="352" t="s">
        <v>254</v>
      </c>
    </row>
    <row r="588" spans="2:49" x14ac:dyDescent="0.2">
      <c r="B588" s="460" t="s">
        <v>2533</v>
      </c>
      <c r="C588" s="460">
        <v>1251</v>
      </c>
      <c r="D588" s="460" t="s">
        <v>2315</v>
      </c>
      <c r="E588" s="460" t="s">
        <v>2299</v>
      </c>
      <c r="F588" s="460">
        <v>2</v>
      </c>
      <c r="G588" s="460">
        <v>2</v>
      </c>
      <c r="H588" s="461" t="s">
        <v>748</v>
      </c>
      <c r="I588" s="461" t="s">
        <v>765</v>
      </c>
      <c r="J588" s="461" t="s">
        <v>700</v>
      </c>
      <c r="K588" s="594"/>
      <c r="L588" s="594"/>
      <c r="M588" s="352">
        <v>1000</v>
      </c>
      <c r="N588" s="352" t="s">
        <v>698</v>
      </c>
      <c r="O588" s="460">
        <v>1251</v>
      </c>
      <c r="P588" s="460" t="s">
        <v>733</v>
      </c>
      <c r="Q588" s="460" t="s">
        <v>2527</v>
      </c>
      <c r="R588" s="460">
        <v>1241</v>
      </c>
      <c r="S588" s="460" t="s">
        <v>2296</v>
      </c>
      <c r="T588" s="462">
        <v>0.55517361979372948</v>
      </c>
      <c r="U588" s="460" t="s">
        <v>2299</v>
      </c>
      <c r="V588" s="475">
        <v>0</v>
      </c>
      <c r="W588" s="463" t="s">
        <v>2268</v>
      </c>
      <c r="X588" s="463" t="s">
        <v>2268</v>
      </c>
      <c r="Y588" s="479" t="s">
        <v>2267</v>
      </c>
      <c r="Z588" s="479"/>
      <c r="AA588" s="479"/>
      <c r="AB588" s="464">
        <v>0</v>
      </c>
      <c r="AC588" s="465">
        <v>0</v>
      </c>
      <c r="AD588" s="465">
        <v>0</v>
      </c>
      <c r="AE588" s="476">
        <v>0</v>
      </c>
      <c r="AF588" s="467">
        <v>0</v>
      </c>
      <c r="AG588" s="468">
        <v>0</v>
      </c>
      <c r="AH588" s="218">
        <v>0</v>
      </c>
      <c r="AI588" s="470">
        <v>0</v>
      </c>
      <c r="AJ588" s="471">
        <v>0</v>
      </c>
      <c r="AK588" s="218">
        <v>0</v>
      </c>
      <c r="AL588" s="470">
        <v>0</v>
      </c>
      <c r="AM588" s="471">
        <v>0</v>
      </c>
      <c r="AN588" s="477">
        <v>137.81715105314021</v>
      </c>
      <c r="AO588" s="473">
        <v>0.17077301361642644</v>
      </c>
      <c r="AP588" s="474">
        <v>0.12768512437601678</v>
      </c>
      <c r="AQ588" s="352"/>
      <c r="AR588" s="352"/>
      <c r="AS588" s="352"/>
      <c r="AT588" s="352"/>
      <c r="AU588" s="352"/>
      <c r="AV588" s="352"/>
      <c r="AW588" s="352" t="s">
        <v>254</v>
      </c>
    </row>
    <row r="589" spans="2:49" x14ac:dyDescent="0.2">
      <c r="B589" s="460" t="s">
        <v>2534</v>
      </c>
      <c r="C589" s="460">
        <v>1251</v>
      </c>
      <c r="D589" s="460" t="s">
        <v>2316</v>
      </c>
      <c r="E589" s="460" t="s">
        <v>2302</v>
      </c>
      <c r="F589" s="460">
        <v>3</v>
      </c>
      <c r="G589" s="460">
        <v>2</v>
      </c>
      <c r="H589" s="461" t="s">
        <v>748</v>
      </c>
      <c r="I589" s="461" t="s">
        <v>765</v>
      </c>
      <c r="J589" s="461" t="s">
        <v>700</v>
      </c>
      <c r="K589" s="594"/>
      <c r="L589" s="594"/>
      <c r="M589" s="352">
        <v>1000</v>
      </c>
      <c r="N589" s="352" t="s">
        <v>698</v>
      </c>
      <c r="O589" s="460">
        <v>1251</v>
      </c>
      <c r="P589" s="460" t="s">
        <v>733</v>
      </c>
      <c r="Q589" s="460" t="s">
        <v>2527</v>
      </c>
      <c r="R589" s="460">
        <v>1241</v>
      </c>
      <c r="S589" s="460" t="s">
        <v>2296</v>
      </c>
      <c r="T589" s="462">
        <v>0.28481449642268464</v>
      </c>
      <c r="U589" s="460" t="s">
        <v>2302</v>
      </c>
      <c r="V589" s="475">
        <v>0</v>
      </c>
      <c r="W589" s="463" t="s">
        <v>2268</v>
      </c>
      <c r="X589" s="463" t="s">
        <v>2268</v>
      </c>
      <c r="Y589" s="479" t="s">
        <v>2267</v>
      </c>
      <c r="Z589" s="479"/>
      <c r="AA589" s="479"/>
      <c r="AB589" s="464">
        <v>0</v>
      </c>
      <c r="AC589" s="465">
        <v>0</v>
      </c>
      <c r="AD589" s="465">
        <v>0</v>
      </c>
      <c r="AE589" s="476">
        <v>0</v>
      </c>
      <c r="AF589" s="467">
        <v>0</v>
      </c>
      <c r="AG589" s="468">
        <v>0</v>
      </c>
      <c r="AH589" s="218">
        <v>0</v>
      </c>
      <c r="AI589" s="470">
        <v>0</v>
      </c>
      <c r="AJ589" s="471">
        <v>0</v>
      </c>
      <c r="AK589" s="218">
        <v>0</v>
      </c>
      <c r="AL589" s="470">
        <v>0</v>
      </c>
      <c r="AM589" s="471">
        <v>0</v>
      </c>
      <c r="AN589" s="477">
        <v>25.834323031239517</v>
      </c>
      <c r="AO589" s="473">
        <v>8.7609764119948766E-2</v>
      </c>
      <c r="AP589" s="474">
        <v>0.110543352759906</v>
      </c>
      <c r="AQ589" s="352"/>
      <c r="AR589" s="352"/>
      <c r="AS589" s="352"/>
      <c r="AT589" s="352"/>
      <c r="AU589" s="352"/>
      <c r="AV589" s="352"/>
      <c r="AW589" s="352" t="s">
        <v>254</v>
      </c>
    </row>
    <row r="590" spans="2:49" x14ac:dyDescent="0.2">
      <c r="B590" s="460" t="s">
        <v>2535</v>
      </c>
      <c r="C590" s="460">
        <v>1251</v>
      </c>
      <c r="D590" s="460" t="s">
        <v>2317</v>
      </c>
      <c r="E590" s="460" t="s">
        <v>2305</v>
      </c>
      <c r="F590" s="460">
        <v>4</v>
      </c>
      <c r="G590" s="460">
        <v>2</v>
      </c>
      <c r="H590" s="461" t="s">
        <v>748</v>
      </c>
      <c r="I590" s="461" t="s">
        <v>765</v>
      </c>
      <c r="J590" s="461" t="s">
        <v>700</v>
      </c>
      <c r="K590" s="594"/>
      <c r="L590" s="594"/>
      <c r="M590" s="352">
        <v>1000</v>
      </c>
      <c r="N590" s="352" t="s">
        <v>698</v>
      </c>
      <c r="O590" s="460">
        <v>1251</v>
      </c>
      <c r="P590" s="460" t="s">
        <v>733</v>
      </c>
      <c r="Q590" s="460" t="s">
        <v>2527</v>
      </c>
      <c r="R590" s="460">
        <v>1241</v>
      </c>
      <c r="S590" s="460" t="s">
        <v>2305</v>
      </c>
      <c r="T590" s="462">
        <v>1</v>
      </c>
      <c r="U590" s="460" t="s">
        <v>2305</v>
      </c>
      <c r="V590" s="475">
        <v>0</v>
      </c>
      <c r="W590" s="463" t="s">
        <v>2268</v>
      </c>
      <c r="X590" s="463" t="s">
        <v>2268</v>
      </c>
      <c r="Y590" s="479" t="s">
        <v>2278</v>
      </c>
      <c r="Z590" s="479"/>
      <c r="AA590" s="479"/>
      <c r="AB590" s="464">
        <v>0</v>
      </c>
      <c r="AC590" s="465">
        <v>0</v>
      </c>
      <c r="AD590" s="465">
        <v>0</v>
      </c>
      <c r="AE590" s="476">
        <v>0</v>
      </c>
      <c r="AF590" s="467">
        <v>0</v>
      </c>
      <c r="AG590" s="468">
        <v>0</v>
      </c>
      <c r="AH590" s="218">
        <v>0</v>
      </c>
      <c r="AI590" s="470">
        <v>0</v>
      </c>
      <c r="AJ590" s="471">
        <v>0</v>
      </c>
      <c r="AK590" s="218">
        <v>0</v>
      </c>
      <c r="AL590" s="470">
        <v>0</v>
      </c>
      <c r="AM590" s="471">
        <v>0</v>
      </c>
      <c r="AN590" s="477">
        <v>0.13489431135048549</v>
      </c>
      <c r="AO590" s="473">
        <v>4.0279363654398373E-4</v>
      </c>
      <c r="AP590" s="474">
        <v>0.11016750371848089</v>
      </c>
      <c r="AQ590" s="352"/>
      <c r="AR590" s="352"/>
      <c r="AS590" s="352"/>
      <c r="AT590" s="352"/>
      <c r="AU590" s="352"/>
      <c r="AV590" s="352"/>
      <c r="AW590" s="352" t="s">
        <v>254</v>
      </c>
    </row>
    <row r="591" spans="2:49" x14ac:dyDescent="0.2">
      <c r="B591" s="460" t="s">
        <v>2536</v>
      </c>
      <c r="C591" s="460">
        <v>1251</v>
      </c>
      <c r="D591" s="460" t="s">
        <v>2323</v>
      </c>
      <c r="E591" s="460" t="s">
        <v>2324</v>
      </c>
      <c r="F591" s="460">
        <v>1</v>
      </c>
      <c r="G591" s="460">
        <v>3</v>
      </c>
      <c r="H591" s="461" t="s">
        <v>700</v>
      </c>
      <c r="I591" s="461" t="s">
        <v>872</v>
      </c>
      <c r="J591" s="461" t="s">
        <v>700</v>
      </c>
      <c r="K591" s="594"/>
      <c r="L591" s="594"/>
      <c r="M591" s="352">
        <v>1000</v>
      </c>
      <c r="N591" s="352" t="s">
        <v>698</v>
      </c>
      <c r="O591" s="460">
        <v>1251</v>
      </c>
      <c r="P591" s="460" t="s">
        <v>733</v>
      </c>
      <c r="Q591" s="460" t="s">
        <v>2527</v>
      </c>
      <c r="R591" s="460">
        <v>1241</v>
      </c>
      <c r="S591" s="460" t="s">
        <v>2324</v>
      </c>
      <c r="T591" s="462">
        <v>1</v>
      </c>
      <c r="U591" s="460" t="s">
        <v>2324</v>
      </c>
      <c r="V591" s="475">
        <v>0</v>
      </c>
      <c r="W591" s="463" t="s">
        <v>2503</v>
      </c>
      <c r="X591" s="479" t="s">
        <v>2267</v>
      </c>
      <c r="Y591" s="463" t="s">
        <v>2268</v>
      </c>
      <c r="Z591" s="463"/>
      <c r="AA591" s="463"/>
      <c r="AB591" s="464">
        <v>746.55769215837154</v>
      </c>
      <c r="AC591" s="465">
        <v>0.1456773410262914</v>
      </c>
      <c r="AD591" s="465">
        <v>6.3999999999999986E-3</v>
      </c>
      <c r="AE591" s="476">
        <v>447.93461529502292</v>
      </c>
      <c r="AF591" s="467">
        <v>8.7406404615774841E-2</v>
      </c>
      <c r="AG591" s="468">
        <v>4.1134007260832323E-3</v>
      </c>
      <c r="AH591" s="218">
        <v>1693.1910089896312</v>
      </c>
      <c r="AI591" s="470">
        <v>0.33039585102407282</v>
      </c>
      <c r="AJ591" s="471">
        <v>1.4847943835853269E-2</v>
      </c>
      <c r="AK591" s="218">
        <v>1693.1910089896312</v>
      </c>
      <c r="AL591" s="470">
        <v>0.33039585102407282</v>
      </c>
      <c r="AM591" s="471">
        <v>1.4847943835853269E-2</v>
      </c>
      <c r="AN591" s="477">
        <v>0</v>
      </c>
      <c r="AO591" s="473">
        <v>0</v>
      </c>
      <c r="AP591" s="474">
        <v>0</v>
      </c>
      <c r="AQ591" s="352"/>
      <c r="AR591" s="352"/>
      <c r="AS591" s="352"/>
      <c r="AT591" s="352"/>
      <c r="AU591" s="352"/>
      <c r="AV591" s="352"/>
      <c r="AW591" s="352" t="s">
        <v>254</v>
      </c>
    </row>
    <row r="592" spans="2:49" x14ac:dyDescent="0.2">
      <c r="B592" s="460" t="s">
        <v>2537</v>
      </c>
      <c r="C592" s="460">
        <v>1251</v>
      </c>
      <c r="D592" s="460" t="s">
        <v>2326</v>
      </c>
      <c r="E592" s="460" t="s">
        <v>2327</v>
      </c>
      <c r="F592" s="460">
        <v>2</v>
      </c>
      <c r="G592" s="460">
        <v>3</v>
      </c>
      <c r="H592" s="461" t="s">
        <v>700</v>
      </c>
      <c r="I592" s="461" t="s">
        <v>872</v>
      </c>
      <c r="J592" s="461" t="s">
        <v>700</v>
      </c>
      <c r="K592" s="594"/>
      <c r="L592" s="594"/>
      <c r="M592" s="352">
        <v>1000</v>
      </c>
      <c r="N592" s="352" t="s">
        <v>698</v>
      </c>
      <c r="O592" s="460">
        <v>1251</v>
      </c>
      <c r="P592" s="460" t="s">
        <v>733</v>
      </c>
      <c r="Q592" s="460" t="s">
        <v>2527</v>
      </c>
      <c r="R592" s="460">
        <v>1241</v>
      </c>
      <c r="S592" s="460" t="s">
        <v>2324</v>
      </c>
      <c r="T592" s="462">
        <v>1</v>
      </c>
      <c r="U592" s="460" t="s">
        <v>2327</v>
      </c>
      <c r="V592" s="475">
        <v>0</v>
      </c>
      <c r="W592" s="463" t="s">
        <v>2503</v>
      </c>
      <c r="X592" s="479" t="s">
        <v>2267</v>
      </c>
      <c r="Y592" s="463" t="s">
        <v>2268</v>
      </c>
      <c r="Z592" s="463"/>
      <c r="AA592" s="463"/>
      <c r="AB592" s="464">
        <v>433.31610189425817</v>
      </c>
      <c r="AC592" s="465">
        <v>0.13167121689421599</v>
      </c>
      <c r="AD592" s="465">
        <v>6.4000000000000003E-3</v>
      </c>
      <c r="AE592" s="476">
        <v>259.9896611365549</v>
      </c>
      <c r="AF592" s="467">
        <v>7.9002730136529586E-2</v>
      </c>
      <c r="AG592" s="468">
        <v>4.1591455055392584E-3</v>
      </c>
      <c r="AH592" s="218">
        <v>1087.2979351501401</v>
      </c>
      <c r="AI592" s="470">
        <v>0.33039585102407282</v>
      </c>
      <c r="AJ592" s="471">
        <v>1.463849965726432E-2</v>
      </c>
      <c r="AK592" s="218">
        <v>1087.2979351501401</v>
      </c>
      <c r="AL592" s="470">
        <v>0.33039585102407282</v>
      </c>
      <c r="AM592" s="471">
        <v>1.463849965726432E-2</v>
      </c>
      <c r="AN592" s="477">
        <v>0</v>
      </c>
      <c r="AO592" s="473">
        <v>0</v>
      </c>
      <c r="AP592" s="474">
        <v>0</v>
      </c>
      <c r="AQ592" s="352"/>
      <c r="AR592" s="352"/>
      <c r="AS592" s="352"/>
      <c r="AT592" s="352"/>
      <c r="AU592" s="352"/>
      <c r="AV592" s="352"/>
      <c r="AW592" s="352" t="s">
        <v>254</v>
      </c>
    </row>
    <row r="593" spans="2:49" x14ac:dyDescent="0.2">
      <c r="B593" s="460" t="s">
        <v>2538</v>
      </c>
      <c r="C593" s="460">
        <v>1251</v>
      </c>
      <c r="D593" s="460" t="s">
        <v>2329</v>
      </c>
      <c r="E593" s="460" t="s">
        <v>2330</v>
      </c>
      <c r="F593" s="460">
        <v>3</v>
      </c>
      <c r="G593" s="460">
        <v>3</v>
      </c>
      <c r="H593" s="461" t="s">
        <v>700</v>
      </c>
      <c r="I593" s="461" t="s">
        <v>872</v>
      </c>
      <c r="J593" s="461" t="s">
        <v>700</v>
      </c>
      <c r="K593" s="594"/>
      <c r="L593" s="594"/>
      <c r="M593" s="352">
        <v>1000</v>
      </c>
      <c r="N593" s="352" t="s">
        <v>698</v>
      </c>
      <c r="O593" s="460">
        <v>1251</v>
      </c>
      <c r="P593" s="460" t="s">
        <v>733</v>
      </c>
      <c r="Q593" s="460" t="s">
        <v>2527</v>
      </c>
      <c r="R593" s="460">
        <v>1241</v>
      </c>
      <c r="S593" s="460" t="s">
        <v>2324</v>
      </c>
      <c r="T593" s="462">
        <v>1</v>
      </c>
      <c r="U593" s="460" t="s">
        <v>2330</v>
      </c>
      <c r="V593" s="475">
        <v>0</v>
      </c>
      <c r="W593" s="463" t="s">
        <v>2503</v>
      </c>
      <c r="X593" s="463" t="s">
        <v>2503</v>
      </c>
      <c r="Y593" s="463" t="s">
        <v>2268</v>
      </c>
      <c r="Z593" s="463"/>
      <c r="AA593" s="463"/>
      <c r="AB593" s="464">
        <v>169.48609071754981</v>
      </c>
      <c r="AC593" s="465">
        <v>0.17985769185526351</v>
      </c>
      <c r="AD593" s="465">
        <v>6.4000000000000003E-3</v>
      </c>
      <c r="AE593" s="476">
        <v>101.69165443052988</v>
      </c>
      <c r="AF593" s="467">
        <v>0.1079146151131581</v>
      </c>
      <c r="AG593" s="468">
        <v>4.1155692448204082E-3</v>
      </c>
      <c r="AH593" s="218">
        <v>101.69165443052988</v>
      </c>
      <c r="AI593" s="470">
        <v>0.1079146151131581</v>
      </c>
      <c r="AJ593" s="471">
        <v>3.5828356625256011E-3</v>
      </c>
      <c r="AK593" s="218">
        <v>101.69165443052988</v>
      </c>
      <c r="AL593" s="470">
        <v>0.1079146151131581</v>
      </c>
      <c r="AM593" s="471">
        <v>3.5828356625256011E-3</v>
      </c>
      <c r="AN593" s="477">
        <v>0</v>
      </c>
      <c r="AO593" s="473">
        <v>0</v>
      </c>
      <c r="AP593" s="474">
        <v>0</v>
      </c>
      <c r="AQ593" s="352"/>
      <c r="AR593" s="352"/>
      <c r="AS593" s="352"/>
      <c r="AT593" s="352"/>
      <c r="AU593" s="352"/>
      <c r="AV593" s="352"/>
      <c r="AW593" s="352" t="s">
        <v>254</v>
      </c>
    </row>
    <row r="594" spans="2:49" x14ac:dyDescent="0.2">
      <c r="B594" s="460" t="s">
        <v>2539</v>
      </c>
      <c r="C594" s="460">
        <v>1251</v>
      </c>
      <c r="D594" s="460" t="s">
        <v>2332</v>
      </c>
      <c r="E594" s="460" t="s">
        <v>2333</v>
      </c>
      <c r="F594" s="460">
        <v>4</v>
      </c>
      <c r="G594" s="460">
        <v>3</v>
      </c>
      <c r="H594" s="461" t="s">
        <v>700</v>
      </c>
      <c r="I594" s="461" t="s">
        <v>872</v>
      </c>
      <c r="J594" s="461" t="s">
        <v>700</v>
      </c>
      <c r="K594" s="594"/>
      <c r="L594" s="594"/>
      <c r="M594" s="352">
        <v>1000</v>
      </c>
      <c r="N594" s="352" t="s">
        <v>698</v>
      </c>
      <c r="O594" s="460">
        <v>1251</v>
      </c>
      <c r="P594" s="460" t="s">
        <v>733</v>
      </c>
      <c r="Q594" s="460" t="s">
        <v>2527</v>
      </c>
      <c r="R594" s="460">
        <v>1241</v>
      </c>
      <c r="S594" s="460" t="s">
        <v>2333</v>
      </c>
      <c r="T594" s="462">
        <v>1</v>
      </c>
      <c r="U594" s="460" t="s">
        <v>2333</v>
      </c>
      <c r="V594" s="475">
        <v>0</v>
      </c>
      <c r="W594" s="463" t="s">
        <v>2503</v>
      </c>
      <c r="X594" s="463" t="s">
        <v>2503</v>
      </c>
      <c r="Y594" s="463" t="s">
        <v>2268</v>
      </c>
      <c r="Z594" s="463"/>
      <c r="AA594" s="463"/>
      <c r="AB594" s="464">
        <v>92.795924597424943</v>
      </c>
      <c r="AC594" s="465">
        <v>8.5814432619864531E-2</v>
      </c>
      <c r="AD594" s="465">
        <v>6.4000000000000003E-3</v>
      </c>
      <c r="AE594" s="476">
        <v>55.677554758454967</v>
      </c>
      <c r="AF594" s="467">
        <v>5.148865957191872E-2</v>
      </c>
      <c r="AG594" s="468">
        <v>4.2379270685792879E-3</v>
      </c>
      <c r="AH594" s="218">
        <v>55.677554758454967</v>
      </c>
      <c r="AI594" s="470">
        <v>5.148865957191872E-2</v>
      </c>
      <c r="AJ594" s="471">
        <v>4.1060203796585027E-3</v>
      </c>
      <c r="AK594" s="218">
        <v>55.677554758454967</v>
      </c>
      <c r="AL594" s="470">
        <v>5.148865957191872E-2</v>
      </c>
      <c r="AM594" s="471">
        <v>4.1060203796585027E-3</v>
      </c>
      <c r="AN594" s="477">
        <v>0</v>
      </c>
      <c r="AO594" s="473">
        <v>0</v>
      </c>
      <c r="AP594" s="474">
        <v>0</v>
      </c>
      <c r="AQ594" s="352"/>
      <c r="AR594" s="352"/>
      <c r="AS594" s="352"/>
      <c r="AT594" s="352"/>
      <c r="AU594" s="352"/>
      <c r="AV594" s="352"/>
      <c r="AW594" s="352" t="s">
        <v>254</v>
      </c>
    </row>
    <row r="595" spans="2:49" x14ac:dyDescent="0.2">
      <c r="B595" s="460" t="s">
        <v>2536</v>
      </c>
      <c r="C595" s="460">
        <v>1251</v>
      </c>
      <c r="D595" s="460" t="s">
        <v>2334</v>
      </c>
      <c r="E595" s="460" t="s">
        <v>2324</v>
      </c>
      <c r="F595" s="460">
        <v>1</v>
      </c>
      <c r="G595" s="460">
        <v>3</v>
      </c>
      <c r="H595" s="461" t="s">
        <v>712</v>
      </c>
      <c r="I595" s="461" t="s">
        <v>713</v>
      </c>
      <c r="J595" s="461" t="s">
        <v>712</v>
      </c>
      <c r="K595" s="594"/>
      <c r="L595" s="594"/>
      <c r="M595" s="352">
        <v>1000</v>
      </c>
      <c r="N595" s="352" t="s">
        <v>698</v>
      </c>
      <c r="O595" s="460">
        <v>1251</v>
      </c>
      <c r="P595" s="460" t="s">
        <v>733</v>
      </c>
      <c r="Q595" s="460" t="s">
        <v>2280</v>
      </c>
      <c r="R595" s="460">
        <v>1241</v>
      </c>
      <c r="S595" s="460" t="s">
        <v>2324</v>
      </c>
      <c r="T595" s="462">
        <v>1</v>
      </c>
      <c r="U595" s="460" t="s">
        <v>2324</v>
      </c>
      <c r="V595" s="475">
        <v>0</v>
      </c>
      <c r="W595" s="463" t="s">
        <v>713</v>
      </c>
      <c r="X595" s="463" t="s">
        <v>713</v>
      </c>
      <c r="Y595" s="463" t="s">
        <v>713</v>
      </c>
      <c r="Z595" s="463"/>
      <c r="AA595" s="463"/>
      <c r="AB595" s="464">
        <v>4378.1767854130931</v>
      </c>
      <c r="AC595" s="465">
        <v>0.85432265897370863</v>
      </c>
      <c r="AD595" s="465">
        <v>1.0931852509039294E-2</v>
      </c>
      <c r="AE595" s="476">
        <v>4676.7998622764417</v>
      </c>
      <c r="AF595" s="467">
        <v>0.91259359538422513</v>
      </c>
      <c r="AG595" s="468">
        <v>1.145571237447205E-2</v>
      </c>
      <c r="AH595" s="218">
        <v>3431.5434685818336</v>
      </c>
      <c r="AI595" s="470">
        <v>0.66960414897592724</v>
      </c>
      <c r="AJ595" s="471">
        <v>8.5126410552456497E-3</v>
      </c>
      <c r="AK595" s="218">
        <v>3431.5434685818336</v>
      </c>
      <c r="AL595" s="470">
        <v>0.66960414897592724</v>
      </c>
      <c r="AM595" s="471">
        <v>8.5126410552456497E-3</v>
      </c>
      <c r="AN595" s="477">
        <v>3431.5434685818336</v>
      </c>
      <c r="AO595" s="473">
        <v>0.66960414897592724</v>
      </c>
      <c r="AP595" s="474">
        <v>8.5084983546261841E-3</v>
      </c>
      <c r="AQ595" s="352"/>
      <c r="AR595" s="352"/>
      <c r="AS595" s="352"/>
      <c r="AT595" s="352"/>
      <c r="AU595" s="352"/>
      <c r="AV595" s="352"/>
      <c r="AW595" s="352" t="s">
        <v>254</v>
      </c>
    </row>
    <row r="596" spans="2:49" x14ac:dyDescent="0.2">
      <c r="B596" s="460" t="s">
        <v>2537</v>
      </c>
      <c r="C596" s="460">
        <v>1251</v>
      </c>
      <c r="D596" s="460" t="s">
        <v>2335</v>
      </c>
      <c r="E596" s="460" t="s">
        <v>2327</v>
      </c>
      <c r="F596" s="460">
        <v>2</v>
      </c>
      <c r="G596" s="460">
        <v>3</v>
      </c>
      <c r="H596" s="461" t="s">
        <v>712</v>
      </c>
      <c r="I596" s="461" t="s">
        <v>713</v>
      </c>
      <c r="J596" s="461" t="s">
        <v>712</v>
      </c>
      <c r="K596" s="594"/>
      <c r="L596" s="594"/>
      <c r="M596" s="352">
        <v>1000</v>
      </c>
      <c r="N596" s="352" t="s">
        <v>698</v>
      </c>
      <c r="O596" s="460">
        <v>1251</v>
      </c>
      <c r="P596" s="460" t="s">
        <v>733</v>
      </c>
      <c r="Q596" s="460" t="s">
        <v>2280</v>
      </c>
      <c r="R596" s="460">
        <v>1241</v>
      </c>
      <c r="S596" s="460" t="s">
        <v>2324</v>
      </c>
      <c r="T596" s="462">
        <v>1</v>
      </c>
      <c r="U596" s="460" t="s">
        <v>2327</v>
      </c>
      <c r="V596" s="475">
        <v>0</v>
      </c>
      <c r="W596" s="463" t="s">
        <v>713</v>
      </c>
      <c r="X596" s="463" t="s">
        <v>713</v>
      </c>
      <c r="Y596" s="463" t="s">
        <v>713</v>
      </c>
      <c r="Z596" s="463"/>
      <c r="AA596" s="463"/>
      <c r="AB596" s="464">
        <v>2857.5785379143967</v>
      </c>
      <c r="AC596" s="465">
        <v>0.86832878310578399</v>
      </c>
      <c r="AD596" s="465">
        <v>9.1516767212151233E-3</v>
      </c>
      <c r="AE596" s="476">
        <v>3030.9049786721002</v>
      </c>
      <c r="AF596" s="467">
        <v>0.92099726986347041</v>
      </c>
      <c r="AG596" s="468">
        <v>9.5479096310724237E-3</v>
      </c>
      <c r="AH596" s="218">
        <v>2203.5967046585151</v>
      </c>
      <c r="AI596" s="470">
        <v>0.66960414897592724</v>
      </c>
      <c r="AJ596" s="471">
        <v>7.2191570592671055E-3</v>
      </c>
      <c r="AK596" s="218">
        <v>2203.5967046585151</v>
      </c>
      <c r="AL596" s="470">
        <v>0.66960414897592724</v>
      </c>
      <c r="AM596" s="471">
        <v>7.2191570592671055E-3</v>
      </c>
      <c r="AN596" s="477">
        <v>2203.5967046585151</v>
      </c>
      <c r="AO596" s="473">
        <v>0.66960414897592724</v>
      </c>
      <c r="AP596" s="474">
        <v>7.2163266889007961E-3</v>
      </c>
      <c r="AQ596" s="352"/>
      <c r="AR596" s="352"/>
      <c r="AS596" s="352"/>
      <c r="AT596" s="352"/>
      <c r="AU596" s="352"/>
      <c r="AV596" s="352"/>
      <c r="AW596" s="352" t="s">
        <v>254</v>
      </c>
    </row>
    <row r="597" spans="2:49" x14ac:dyDescent="0.2">
      <c r="B597" s="460" t="s">
        <v>2538</v>
      </c>
      <c r="C597" s="460">
        <v>1251</v>
      </c>
      <c r="D597" s="460" t="s">
        <v>2336</v>
      </c>
      <c r="E597" s="460" t="s">
        <v>2330</v>
      </c>
      <c r="F597" s="460">
        <v>3</v>
      </c>
      <c r="G597" s="460">
        <v>3</v>
      </c>
      <c r="H597" s="461" t="s">
        <v>712</v>
      </c>
      <c r="I597" s="461" t="s">
        <v>713</v>
      </c>
      <c r="J597" s="461" t="s">
        <v>712</v>
      </c>
      <c r="K597" s="594"/>
      <c r="L597" s="594"/>
      <c r="M597" s="352">
        <v>1000</v>
      </c>
      <c r="N597" s="352" t="s">
        <v>698</v>
      </c>
      <c r="O597" s="460">
        <v>1251</v>
      </c>
      <c r="P597" s="460" t="s">
        <v>733</v>
      </c>
      <c r="Q597" s="460" t="s">
        <v>2280</v>
      </c>
      <c r="R597" s="460">
        <v>1241</v>
      </c>
      <c r="S597" s="460" t="s">
        <v>2324</v>
      </c>
      <c r="T597" s="462">
        <v>1</v>
      </c>
      <c r="U597" s="460" t="s">
        <v>2330</v>
      </c>
      <c r="V597" s="475">
        <v>0</v>
      </c>
      <c r="W597" s="463" t="s">
        <v>713</v>
      </c>
      <c r="X597" s="463" t="s">
        <v>713</v>
      </c>
      <c r="Y597" s="463" t="s">
        <v>713</v>
      </c>
      <c r="Z597" s="463"/>
      <c r="AA597" s="463"/>
      <c r="AB597" s="464">
        <v>772.84831249462968</v>
      </c>
      <c r="AC597" s="465">
        <v>0.82014230814473654</v>
      </c>
      <c r="AD597" s="465">
        <v>6.8430022615869066E-3</v>
      </c>
      <c r="AE597" s="476">
        <v>840.64274878164952</v>
      </c>
      <c r="AF597" s="467">
        <v>0.89208538488684186</v>
      </c>
      <c r="AG597" s="468">
        <v>7.3282169903278764E-3</v>
      </c>
      <c r="AH597" s="218">
        <v>840.64274878164952</v>
      </c>
      <c r="AI597" s="470">
        <v>0.89208538488684186</v>
      </c>
      <c r="AJ597" s="471">
        <v>7.608017780913124E-3</v>
      </c>
      <c r="AK597" s="218">
        <v>840.64274878164952</v>
      </c>
      <c r="AL597" s="470">
        <v>0.89208538488684186</v>
      </c>
      <c r="AM597" s="471">
        <v>7.608017780913124E-3</v>
      </c>
      <c r="AN597" s="477">
        <v>630.99102611362969</v>
      </c>
      <c r="AO597" s="473">
        <v>0.66960414897592724</v>
      </c>
      <c r="AP597" s="474">
        <v>5.7253593261319879E-3</v>
      </c>
      <c r="AQ597" s="352"/>
      <c r="AR597" s="352"/>
      <c r="AS597" s="352"/>
      <c r="AT597" s="352"/>
      <c r="AU597" s="352"/>
      <c r="AV597" s="352"/>
      <c r="AW597" s="352" t="s">
        <v>254</v>
      </c>
    </row>
    <row r="598" spans="2:49" x14ac:dyDescent="0.2">
      <c r="B598" s="460" t="s">
        <v>2539</v>
      </c>
      <c r="C598" s="460">
        <v>1251</v>
      </c>
      <c r="D598" s="460" t="s">
        <v>2337</v>
      </c>
      <c r="E598" s="460" t="s">
        <v>2333</v>
      </c>
      <c r="F598" s="460">
        <v>4</v>
      </c>
      <c r="G598" s="460">
        <v>3</v>
      </c>
      <c r="H598" s="461" t="s">
        <v>712</v>
      </c>
      <c r="I598" s="461" t="s">
        <v>713</v>
      </c>
      <c r="J598" s="461" t="s">
        <v>712</v>
      </c>
      <c r="K598" s="594"/>
      <c r="L598" s="594"/>
      <c r="M598" s="352">
        <v>1000</v>
      </c>
      <c r="N598" s="352" t="s">
        <v>698</v>
      </c>
      <c r="O598" s="460">
        <v>1251</v>
      </c>
      <c r="P598" s="460" t="s">
        <v>733</v>
      </c>
      <c r="Q598" s="460" t="s">
        <v>2280</v>
      </c>
      <c r="R598" s="460">
        <v>1241</v>
      </c>
      <c r="S598" s="460" t="s">
        <v>2333</v>
      </c>
      <c r="T598" s="462">
        <v>1</v>
      </c>
      <c r="U598" s="460" t="s">
        <v>2333</v>
      </c>
      <c r="V598" s="475">
        <v>0</v>
      </c>
      <c r="W598" s="463" t="s">
        <v>713</v>
      </c>
      <c r="X598" s="463" t="s">
        <v>713</v>
      </c>
      <c r="Y598" s="463" t="s">
        <v>713</v>
      </c>
      <c r="Z598" s="463"/>
      <c r="AA598" s="463"/>
      <c r="AB598" s="464">
        <v>988.55976073917338</v>
      </c>
      <c r="AC598" s="465">
        <v>0.91418556738013546</v>
      </c>
      <c r="AD598" s="465">
        <v>7.5154965497599901E-3</v>
      </c>
      <c r="AE598" s="476">
        <v>1025.6781305781433</v>
      </c>
      <c r="AF598" s="467">
        <v>0.94851134042808127</v>
      </c>
      <c r="AG598" s="468">
        <v>7.7178061203631689E-3</v>
      </c>
      <c r="AH598" s="218">
        <v>1025.6781305781433</v>
      </c>
      <c r="AI598" s="470">
        <v>0.94851134042808127</v>
      </c>
      <c r="AJ598" s="471">
        <v>7.7423945311639042E-3</v>
      </c>
      <c r="AK598" s="218">
        <v>1025.6781305781433</v>
      </c>
      <c r="AL598" s="470">
        <v>0.94851134042808127</v>
      </c>
      <c r="AM598" s="471">
        <v>7.7423945311639042E-3</v>
      </c>
      <c r="AN598" s="477">
        <v>988.55976073917338</v>
      </c>
      <c r="AO598" s="473">
        <v>0.91418556738013546</v>
      </c>
      <c r="AP598" s="474">
        <v>7.464575597722168E-3</v>
      </c>
      <c r="AQ598" s="352"/>
      <c r="AR598" s="352"/>
      <c r="AS598" s="352"/>
      <c r="AT598" s="352"/>
      <c r="AU598" s="352"/>
      <c r="AV598" s="352"/>
      <c r="AW598" s="352" t="s">
        <v>254</v>
      </c>
    </row>
    <row r="599" spans="2:49" x14ac:dyDescent="0.2">
      <c r="B599" s="460" t="s">
        <v>2536</v>
      </c>
      <c r="C599" s="460">
        <v>1251</v>
      </c>
      <c r="D599" s="460" t="s">
        <v>2338</v>
      </c>
      <c r="E599" s="460" t="s">
        <v>2324</v>
      </c>
      <c r="F599" s="460">
        <v>1</v>
      </c>
      <c r="G599" s="460">
        <v>3</v>
      </c>
      <c r="H599" s="461" t="s">
        <v>746</v>
      </c>
      <c r="I599" s="461" t="s">
        <v>762</v>
      </c>
      <c r="J599" s="461" t="s">
        <v>700</v>
      </c>
      <c r="K599" s="594"/>
      <c r="L599" s="594"/>
      <c r="M599" s="352">
        <v>1000</v>
      </c>
      <c r="N599" s="352" t="s">
        <v>698</v>
      </c>
      <c r="O599" s="460">
        <v>1251</v>
      </c>
      <c r="P599" s="460" t="s">
        <v>733</v>
      </c>
      <c r="Q599" s="460" t="s">
        <v>2531</v>
      </c>
      <c r="R599" s="460">
        <v>1241</v>
      </c>
      <c r="S599" s="460" t="s">
        <v>2324</v>
      </c>
      <c r="T599" s="462">
        <v>1</v>
      </c>
      <c r="U599" s="460" t="s">
        <v>2324</v>
      </c>
      <c r="V599" s="475">
        <v>0</v>
      </c>
      <c r="W599" s="463" t="s">
        <v>2268</v>
      </c>
      <c r="X599" s="463" t="s">
        <v>2268</v>
      </c>
      <c r="Y599" s="463" t="s">
        <v>2290</v>
      </c>
      <c r="Z599" s="463"/>
      <c r="AA599" s="463"/>
      <c r="AB599" s="464">
        <v>0</v>
      </c>
      <c r="AC599" s="465">
        <v>0</v>
      </c>
      <c r="AD599" s="465">
        <v>0</v>
      </c>
      <c r="AE599" s="476">
        <v>0</v>
      </c>
      <c r="AF599" s="467">
        <v>0</v>
      </c>
      <c r="AG599" s="468">
        <v>0</v>
      </c>
      <c r="AH599" s="218">
        <v>0</v>
      </c>
      <c r="AI599" s="470">
        <v>0</v>
      </c>
      <c r="AJ599" s="471">
        <v>0</v>
      </c>
      <c r="AK599" s="218">
        <v>0</v>
      </c>
      <c r="AL599" s="470">
        <v>0</v>
      </c>
      <c r="AM599" s="471">
        <v>0</v>
      </c>
      <c r="AN599" s="477">
        <v>0</v>
      </c>
      <c r="AO599" s="473">
        <v>0</v>
      </c>
      <c r="AP599" s="474">
        <v>0</v>
      </c>
      <c r="AQ599" s="352"/>
      <c r="AR599" s="352"/>
      <c r="AS599" s="352"/>
      <c r="AT599" s="352"/>
      <c r="AU599" s="352"/>
      <c r="AV599" s="352"/>
      <c r="AW599" s="352" t="s">
        <v>254</v>
      </c>
    </row>
    <row r="600" spans="2:49" x14ac:dyDescent="0.2">
      <c r="B600" s="460" t="s">
        <v>2537</v>
      </c>
      <c r="C600" s="460">
        <v>1251</v>
      </c>
      <c r="D600" s="460" t="s">
        <v>2339</v>
      </c>
      <c r="E600" s="460" t="s">
        <v>2327</v>
      </c>
      <c r="F600" s="460">
        <v>2</v>
      </c>
      <c r="G600" s="460">
        <v>3</v>
      </c>
      <c r="H600" s="461" t="s">
        <v>746</v>
      </c>
      <c r="I600" s="461" t="s">
        <v>762</v>
      </c>
      <c r="J600" s="461" t="s">
        <v>700</v>
      </c>
      <c r="K600" s="594"/>
      <c r="L600" s="594"/>
      <c r="M600" s="352">
        <v>1000</v>
      </c>
      <c r="N600" s="352" t="s">
        <v>698</v>
      </c>
      <c r="O600" s="460">
        <v>1251</v>
      </c>
      <c r="P600" s="460" t="s">
        <v>733</v>
      </c>
      <c r="Q600" s="460" t="s">
        <v>2531</v>
      </c>
      <c r="R600" s="460">
        <v>1241</v>
      </c>
      <c r="S600" s="460" t="s">
        <v>2324</v>
      </c>
      <c r="T600" s="462">
        <v>1</v>
      </c>
      <c r="U600" s="460" t="s">
        <v>2327</v>
      </c>
      <c r="V600" s="475">
        <v>0</v>
      </c>
      <c r="W600" s="463" t="s">
        <v>2268</v>
      </c>
      <c r="X600" s="463" t="s">
        <v>2268</v>
      </c>
      <c r="Y600" s="463" t="s">
        <v>2290</v>
      </c>
      <c r="Z600" s="463"/>
      <c r="AA600" s="463"/>
      <c r="AB600" s="464">
        <v>0</v>
      </c>
      <c r="AC600" s="465">
        <v>0</v>
      </c>
      <c r="AD600" s="465">
        <v>0</v>
      </c>
      <c r="AE600" s="476">
        <v>0</v>
      </c>
      <c r="AF600" s="467">
        <v>0</v>
      </c>
      <c r="AG600" s="468">
        <v>0</v>
      </c>
      <c r="AH600" s="218">
        <v>0</v>
      </c>
      <c r="AI600" s="470">
        <v>0</v>
      </c>
      <c r="AJ600" s="471">
        <v>0</v>
      </c>
      <c r="AK600" s="218">
        <v>0</v>
      </c>
      <c r="AL600" s="470">
        <v>0</v>
      </c>
      <c r="AM600" s="471">
        <v>0</v>
      </c>
      <c r="AN600" s="477">
        <v>0</v>
      </c>
      <c r="AO600" s="473">
        <v>0</v>
      </c>
      <c r="AP600" s="474">
        <v>0</v>
      </c>
      <c r="AQ600" s="352"/>
      <c r="AR600" s="352"/>
      <c r="AS600" s="352"/>
      <c r="AT600" s="352"/>
      <c r="AU600" s="352"/>
      <c r="AV600" s="352"/>
      <c r="AW600" s="352" t="s">
        <v>254</v>
      </c>
    </row>
    <row r="601" spans="2:49" x14ac:dyDescent="0.2">
      <c r="B601" s="460" t="s">
        <v>2538</v>
      </c>
      <c r="C601" s="460">
        <v>1251</v>
      </c>
      <c r="D601" s="460" t="s">
        <v>2340</v>
      </c>
      <c r="E601" s="460" t="s">
        <v>2330</v>
      </c>
      <c r="F601" s="460">
        <v>3</v>
      </c>
      <c r="G601" s="460">
        <v>3</v>
      </c>
      <c r="H601" s="461" t="s">
        <v>746</v>
      </c>
      <c r="I601" s="461" t="s">
        <v>762</v>
      </c>
      <c r="J601" s="461" t="s">
        <v>700</v>
      </c>
      <c r="K601" s="594"/>
      <c r="L601" s="594"/>
      <c r="M601" s="352">
        <v>1000</v>
      </c>
      <c r="N601" s="352" t="s">
        <v>698</v>
      </c>
      <c r="O601" s="460">
        <v>1251</v>
      </c>
      <c r="P601" s="460" t="s">
        <v>733</v>
      </c>
      <c r="Q601" s="460" t="s">
        <v>2531</v>
      </c>
      <c r="R601" s="460">
        <v>1241</v>
      </c>
      <c r="S601" s="460" t="s">
        <v>2324</v>
      </c>
      <c r="T601" s="462">
        <v>1</v>
      </c>
      <c r="U601" s="460" t="s">
        <v>2330</v>
      </c>
      <c r="V601" s="475">
        <v>0</v>
      </c>
      <c r="W601" s="463" t="s">
        <v>2268</v>
      </c>
      <c r="X601" s="463" t="s">
        <v>2268</v>
      </c>
      <c r="Y601" s="463" t="s">
        <v>2290</v>
      </c>
      <c r="Z601" s="463"/>
      <c r="AA601" s="463"/>
      <c r="AB601" s="464">
        <v>0</v>
      </c>
      <c r="AC601" s="465">
        <v>0</v>
      </c>
      <c r="AD601" s="465">
        <v>0</v>
      </c>
      <c r="AE601" s="476">
        <v>0</v>
      </c>
      <c r="AF601" s="467">
        <v>0</v>
      </c>
      <c r="AG601" s="468">
        <v>0</v>
      </c>
      <c r="AH601" s="218">
        <v>0</v>
      </c>
      <c r="AI601" s="470">
        <v>0</v>
      </c>
      <c r="AJ601" s="471">
        <v>0</v>
      </c>
      <c r="AK601" s="218">
        <v>0</v>
      </c>
      <c r="AL601" s="470">
        <v>0</v>
      </c>
      <c r="AM601" s="471">
        <v>0</v>
      </c>
      <c r="AN601" s="477">
        <v>0</v>
      </c>
      <c r="AO601" s="473">
        <v>0</v>
      </c>
      <c r="AP601" s="474">
        <v>0</v>
      </c>
      <c r="AQ601" s="352"/>
      <c r="AR601" s="352"/>
      <c r="AS601" s="352"/>
      <c r="AT601" s="352"/>
      <c r="AU601" s="352"/>
      <c r="AV601" s="352"/>
      <c r="AW601" s="352" t="s">
        <v>254</v>
      </c>
    </row>
    <row r="602" spans="2:49" x14ac:dyDescent="0.2">
      <c r="B602" s="460" t="s">
        <v>2539</v>
      </c>
      <c r="C602" s="460">
        <v>1251</v>
      </c>
      <c r="D602" s="460" t="s">
        <v>2341</v>
      </c>
      <c r="E602" s="460" t="s">
        <v>2333</v>
      </c>
      <c r="F602" s="460">
        <v>4</v>
      </c>
      <c r="G602" s="460">
        <v>3</v>
      </c>
      <c r="H602" s="461" t="s">
        <v>746</v>
      </c>
      <c r="I602" s="461" t="s">
        <v>762</v>
      </c>
      <c r="J602" s="461" t="s">
        <v>700</v>
      </c>
      <c r="K602" s="594"/>
      <c r="L602" s="594"/>
      <c r="M602" s="352">
        <v>1000</v>
      </c>
      <c r="N602" s="352" t="s">
        <v>698</v>
      </c>
      <c r="O602" s="460">
        <v>1251</v>
      </c>
      <c r="P602" s="460" t="s">
        <v>733</v>
      </c>
      <c r="Q602" s="460" t="s">
        <v>2531</v>
      </c>
      <c r="R602" s="460">
        <v>1241</v>
      </c>
      <c r="S602" s="460" t="s">
        <v>2333</v>
      </c>
      <c r="T602" s="462">
        <v>1</v>
      </c>
      <c r="U602" s="460" t="s">
        <v>2333</v>
      </c>
      <c r="V602" s="475">
        <v>0</v>
      </c>
      <c r="W602" s="463" t="s">
        <v>2268</v>
      </c>
      <c r="X602" s="463" t="s">
        <v>2268</v>
      </c>
      <c r="Y602" s="463" t="s">
        <v>2290</v>
      </c>
      <c r="Z602" s="463"/>
      <c r="AA602" s="463"/>
      <c r="AB602" s="464">
        <v>0</v>
      </c>
      <c r="AC602" s="465">
        <v>0</v>
      </c>
      <c r="AD602" s="465">
        <v>0</v>
      </c>
      <c r="AE602" s="476">
        <v>0</v>
      </c>
      <c r="AF602" s="467">
        <v>0</v>
      </c>
      <c r="AG602" s="468">
        <v>0</v>
      </c>
      <c r="AH602" s="218">
        <v>0</v>
      </c>
      <c r="AI602" s="470">
        <v>0</v>
      </c>
      <c r="AJ602" s="471">
        <v>0</v>
      </c>
      <c r="AK602" s="218">
        <v>0</v>
      </c>
      <c r="AL602" s="470">
        <v>0</v>
      </c>
      <c r="AM602" s="471">
        <v>0</v>
      </c>
      <c r="AN602" s="477">
        <v>0</v>
      </c>
      <c r="AO602" s="473">
        <v>0</v>
      </c>
      <c r="AP602" s="474">
        <v>0</v>
      </c>
      <c r="AQ602" s="352"/>
      <c r="AR602" s="352"/>
      <c r="AS602" s="352"/>
      <c r="AT602" s="352"/>
      <c r="AU602" s="352"/>
      <c r="AV602" s="352"/>
      <c r="AW602" s="352" t="s">
        <v>254</v>
      </c>
    </row>
    <row r="603" spans="2:49" x14ac:dyDescent="0.2">
      <c r="B603" s="460" t="s">
        <v>2536</v>
      </c>
      <c r="C603" s="460">
        <v>1251</v>
      </c>
      <c r="D603" s="460" t="s">
        <v>2342</v>
      </c>
      <c r="E603" s="460" t="s">
        <v>2324</v>
      </c>
      <c r="F603" s="460">
        <v>1</v>
      </c>
      <c r="G603" s="460">
        <v>3</v>
      </c>
      <c r="H603" s="461" t="s">
        <v>748</v>
      </c>
      <c r="I603" s="461" t="s">
        <v>765</v>
      </c>
      <c r="J603" s="461" t="s">
        <v>700</v>
      </c>
      <c r="K603" s="594"/>
      <c r="L603" s="594"/>
      <c r="M603" s="352">
        <v>1000</v>
      </c>
      <c r="N603" s="352" t="s">
        <v>698</v>
      </c>
      <c r="O603" s="460">
        <v>1251</v>
      </c>
      <c r="P603" s="460" t="s">
        <v>733</v>
      </c>
      <c r="Q603" s="460" t="s">
        <v>2527</v>
      </c>
      <c r="R603" s="460">
        <v>1241</v>
      </c>
      <c r="S603" s="460" t="s">
        <v>2324</v>
      </c>
      <c r="T603" s="462">
        <v>1</v>
      </c>
      <c r="U603" s="460" t="s">
        <v>2324</v>
      </c>
      <c r="V603" s="475">
        <v>0</v>
      </c>
      <c r="W603" s="463" t="s">
        <v>2268</v>
      </c>
      <c r="X603" s="463" t="s">
        <v>2268</v>
      </c>
      <c r="Y603" s="479" t="s">
        <v>2267</v>
      </c>
      <c r="Z603" s="479"/>
      <c r="AA603" s="479"/>
      <c r="AB603" s="464">
        <v>0</v>
      </c>
      <c r="AC603" s="465">
        <v>0</v>
      </c>
      <c r="AD603" s="465">
        <v>0</v>
      </c>
      <c r="AE603" s="476">
        <v>0</v>
      </c>
      <c r="AF603" s="467">
        <v>0</v>
      </c>
      <c r="AG603" s="468">
        <v>0</v>
      </c>
      <c r="AH603" s="218">
        <v>0</v>
      </c>
      <c r="AI603" s="470">
        <v>0</v>
      </c>
      <c r="AJ603" s="471">
        <v>0</v>
      </c>
      <c r="AK603" s="218">
        <v>0</v>
      </c>
      <c r="AL603" s="470">
        <v>0</v>
      </c>
      <c r="AM603" s="471">
        <v>0</v>
      </c>
      <c r="AN603" s="477">
        <v>1693.1910089896312</v>
      </c>
      <c r="AO603" s="473">
        <v>0.33039585102407282</v>
      </c>
      <c r="AP603" s="474">
        <v>8.8133665567810313E-2</v>
      </c>
      <c r="AQ603" s="352"/>
      <c r="AR603" s="352"/>
      <c r="AS603" s="352"/>
      <c r="AT603" s="352"/>
      <c r="AU603" s="352"/>
      <c r="AV603" s="352"/>
      <c r="AW603" s="352" t="s">
        <v>254</v>
      </c>
    </row>
    <row r="604" spans="2:49" x14ac:dyDescent="0.2">
      <c r="B604" s="460" t="s">
        <v>2537</v>
      </c>
      <c r="C604" s="460">
        <v>1251</v>
      </c>
      <c r="D604" s="460" t="s">
        <v>2343</v>
      </c>
      <c r="E604" s="460" t="s">
        <v>2327</v>
      </c>
      <c r="F604" s="460">
        <v>2</v>
      </c>
      <c r="G604" s="460">
        <v>3</v>
      </c>
      <c r="H604" s="461" t="s">
        <v>748</v>
      </c>
      <c r="I604" s="461" t="s">
        <v>765</v>
      </c>
      <c r="J604" s="461" t="s">
        <v>700</v>
      </c>
      <c r="K604" s="594"/>
      <c r="L604" s="594"/>
      <c r="M604" s="352">
        <v>1000</v>
      </c>
      <c r="N604" s="352" t="s">
        <v>698</v>
      </c>
      <c r="O604" s="460">
        <v>1251</v>
      </c>
      <c r="P604" s="460" t="s">
        <v>733</v>
      </c>
      <c r="Q604" s="460" t="s">
        <v>2527</v>
      </c>
      <c r="R604" s="460">
        <v>1241</v>
      </c>
      <c r="S604" s="460" t="s">
        <v>2324</v>
      </c>
      <c r="T604" s="462">
        <v>1</v>
      </c>
      <c r="U604" s="460" t="s">
        <v>2327</v>
      </c>
      <c r="V604" s="475">
        <v>0</v>
      </c>
      <c r="W604" s="463" t="s">
        <v>2268</v>
      </c>
      <c r="X604" s="463" t="s">
        <v>2268</v>
      </c>
      <c r="Y604" s="479" t="s">
        <v>2267</v>
      </c>
      <c r="Z604" s="479"/>
      <c r="AA604" s="479"/>
      <c r="AB604" s="464">
        <v>0</v>
      </c>
      <c r="AC604" s="465">
        <v>0</v>
      </c>
      <c r="AD604" s="465">
        <v>0</v>
      </c>
      <c r="AE604" s="476">
        <v>0</v>
      </c>
      <c r="AF604" s="467">
        <v>0</v>
      </c>
      <c r="AG604" s="468">
        <v>0</v>
      </c>
      <c r="AH604" s="218">
        <v>0</v>
      </c>
      <c r="AI604" s="470">
        <v>0</v>
      </c>
      <c r="AJ604" s="471">
        <v>0</v>
      </c>
      <c r="AK604" s="218">
        <v>0</v>
      </c>
      <c r="AL604" s="470">
        <v>0</v>
      </c>
      <c r="AM604" s="471">
        <v>0</v>
      </c>
      <c r="AN604" s="477">
        <v>1087.2979351501401</v>
      </c>
      <c r="AO604" s="473">
        <v>0.33039585102407282</v>
      </c>
      <c r="AP604" s="474">
        <v>9.665373258230632E-2</v>
      </c>
      <c r="AQ604" s="352"/>
      <c r="AR604" s="352"/>
      <c r="AS604" s="352"/>
      <c r="AT604" s="352"/>
      <c r="AU604" s="352"/>
      <c r="AV604" s="352"/>
      <c r="AW604" s="352" t="s">
        <v>254</v>
      </c>
    </row>
    <row r="605" spans="2:49" x14ac:dyDescent="0.2">
      <c r="B605" s="460" t="s">
        <v>2538</v>
      </c>
      <c r="C605" s="460">
        <v>1251</v>
      </c>
      <c r="D605" s="460" t="s">
        <v>2344</v>
      </c>
      <c r="E605" s="460" t="s">
        <v>2330</v>
      </c>
      <c r="F605" s="460">
        <v>3</v>
      </c>
      <c r="G605" s="460">
        <v>3</v>
      </c>
      <c r="H605" s="461" t="s">
        <v>748</v>
      </c>
      <c r="I605" s="461" t="s">
        <v>765</v>
      </c>
      <c r="J605" s="461" t="s">
        <v>700</v>
      </c>
      <c r="K605" s="594"/>
      <c r="L605" s="594"/>
      <c r="M605" s="352">
        <v>1000</v>
      </c>
      <c r="N605" s="352" t="s">
        <v>698</v>
      </c>
      <c r="O605" s="460">
        <v>1251</v>
      </c>
      <c r="P605" s="460" t="s">
        <v>733</v>
      </c>
      <c r="Q605" s="460" t="s">
        <v>2527</v>
      </c>
      <c r="R605" s="460">
        <v>1241</v>
      </c>
      <c r="S605" s="460" t="s">
        <v>2324</v>
      </c>
      <c r="T605" s="462">
        <v>1</v>
      </c>
      <c r="U605" s="460" t="s">
        <v>2330</v>
      </c>
      <c r="V605" s="475">
        <v>0</v>
      </c>
      <c r="W605" s="463" t="s">
        <v>2268</v>
      </c>
      <c r="X605" s="463" t="s">
        <v>2268</v>
      </c>
      <c r="Y605" s="479" t="s">
        <v>2267</v>
      </c>
      <c r="Z605" s="479"/>
      <c r="AA605" s="479"/>
      <c r="AB605" s="464">
        <v>0</v>
      </c>
      <c r="AC605" s="465">
        <v>0</v>
      </c>
      <c r="AD605" s="465">
        <v>0</v>
      </c>
      <c r="AE605" s="476">
        <v>0</v>
      </c>
      <c r="AF605" s="467">
        <v>0</v>
      </c>
      <c r="AG605" s="468">
        <v>0</v>
      </c>
      <c r="AH605" s="218">
        <v>0</v>
      </c>
      <c r="AI605" s="470">
        <v>0</v>
      </c>
      <c r="AJ605" s="471">
        <v>0</v>
      </c>
      <c r="AK605" s="218">
        <v>0</v>
      </c>
      <c r="AL605" s="470">
        <v>0</v>
      </c>
      <c r="AM605" s="471">
        <v>0</v>
      </c>
      <c r="AN605" s="477">
        <v>311.34337709854981</v>
      </c>
      <c r="AO605" s="473">
        <v>0.33039585102407282</v>
      </c>
      <c r="AP605" s="474">
        <v>8.4866824040671654E-2</v>
      </c>
      <c r="AQ605" s="352"/>
      <c r="AR605" s="352"/>
      <c r="AS605" s="352"/>
      <c r="AT605" s="352"/>
      <c r="AU605" s="352"/>
      <c r="AV605" s="352"/>
      <c r="AW605" s="352" t="s">
        <v>254</v>
      </c>
    </row>
    <row r="606" spans="2:49" x14ac:dyDescent="0.2">
      <c r="B606" s="460" t="s">
        <v>2539</v>
      </c>
      <c r="C606" s="460">
        <v>1251</v>
      </c>
      <c r="D606" s="460" t="s">
        <v>2345</v>
      </c>
      <c r="E606" s="460" t="s">
        <v>2333</v>
      </c>
      <c r="F606" s="460">
        <v>4</v>
      </c>
      <c r="G606" s="460">
        <v>3</v>
      </c>
      <c r="H606" s="461" t="s">
        <v>748</v>
      </c>
      <c r="I606" s="461" t="s">
        <v>765</v>
      </c>
      <c r="J606" s="461" t="s">
        <v>700</v>
      </c>
      <c r="K606" s="594"/>
      <c r="L606" s="594"/>
      <c r="M606" s="352">
        <v>1000</v>
      </c>
      <c r="N606" s="352" t="s">
        <v>698</v>
      </c>
      <c r="O606" s="460">
        <v>1251</v>
      </c>
      <c r="P606" s="460" t="s">
        <v>733</v>
      </c>
      <c r="Q606" s="460" t="s">
        <v>2527</v>
      </c>
      <c r="R606" s="460">
        <v>1241</v>
      </c>
      <c r="S606" s="460" t="s">
        <v>2333</v>
      </c>
      <c r="T606" s="462">
        <v>1</v>
      </c>
      <c r="U606" s="460" t="s">
        <v>2333</v>
      </c>
      <c r="V606" s="475">
        <v>0</v>
      </c>
      <c r="W606" s="463" t="s">
        <v>2268</v>
      </c>
      <c r="X606" s="463" t="s">
        <v>2268</v>
      </c>
      <c r="Y606" s="479" t="s">
        <v>2278</v>
      </c>
      <c r="Z606" s="479"/>
      <c r="AA606" s="479"/>
      <c r="AB606" s="464">
        <v>0</v>
      </c>
      <c r="AC606" s="465">
        <v>0</v>
      </c>
      <c r="AD606" s="465">
        <v>0</v>
      </c>
      <c r="AE606" s="476">
        <v>0</v>
      </c>
      <c r="AF606" s="467">
        <v>0</v>
      </c>
      <c r="AG606" s="468">
        <v>0</v>
      </c>
      <c r="AH606" s="218">
        <v>0</v>
      </c>
      <c r="AI606" s="470">
        <v>0</v>
      </c>
      <c r="AJ606" s="471">
        <v>0</v>
      </c>
      <c r="AK606" s="218">
        <v>0</v>
      </c>
      <c r="AL606" s="470">
        <v>0</v>
      </c>
      <c r="AM606" s="471">
        <v>0</v>
      </c>
      <c r="AN606" s="477">
        <v>92.795924597424943</v>
      </c>
      <c r="AO606" s="473">
        <v>8.5814432619864531E-2</v>
      </c>
      <c r="AP606" s="474">
        <v>5.7786298987299055E-2</v>
      </c>
      <c r="AQ606" s="352"/>
      <c r="AR606" s="352"/>
      <c r="AS606" s="352"/>
      <c r="AT606" s="352"/>
      <c r="AU606" s="352"/>
      <c r="AV606" s="352"/>
      <c r="AW606" s="352" t="s">
        <v>254</v>
      </c>
    </row>
    <row r="607" spans="2:49" x14ac:dyDescent="0.2">
      <c r="B607" s="460" t="s">
        <v>2536</v>
      </c>
      <c r="C607" s="460">
        <v>1251</v>
      </c>
      <c r="D607" s="460" t="s">
        <v>2346</v>
      </c>
      <c r="E607" s="460" t="s">
        <v>2324</v>
      </c>
      <c r="F607" s="460">
        <v>1</v>
      </c>
      <c r="G607" s="460">
        <v>3</v>
      </c>
      <c r="H607" s="461" t="s">
        <v>752</v>
      </c>
      <c r="I607" s="461" t="s">
        <v>964</v>
      </c>
      <c r="J607" s="461" t="s">
        <v>752</v>
      </c>
      <c r="K607" s="594"/>
      <c r="L607" s="594"/>
      <c r="M607" s="352">
        <v>1000</v>
      </c>
      <c r="N607" s="352" t="s">
        <v>698</v>
      </c>
      <c r="O607" s="460">
        <v>1251</v>
      </c>
      <c r="P607" s="460" t="s">
        <v>733</v>
      </c>
      <c r="Q607" s="460" t="s">
        <v>2527</v>
      </c>
      <c r="R607" s="460">
        <v>1241</v>
      </c>
      <c r="S607" s="460" t="s">
        <v>2324</v>
      </c>
      <c r="T607" s="462">
        <v>1</v>
      </c>
      <c r="U607" s="460" t="s">
        <v>2324</v>
      </c>
      <c r="V607" s="475">
        <v>0</v>
      </c>
      <c r="W607" s="463" t="s">
        <v>2278</v>
      </c>
      <c r="X607" s="463" t="s">
        <v>2278</v>
      </c>
      <c r="Y607" s="463" t="s">
        <v>2278</v>
      </c>
      <c r="Z607" s="463"/>
      <c r="AA607" s="463"/>
      <c r="AB607" s="464">
        <v>0</v>
      </c>
      <c r="AC607" s="465">
        <v>0</v>
      </c>
      <c r="AD607" s="465">
        <v>0</v>
      </c>
      <c r="AE607" s="476">
        <v>0</v>
      </c>
      <c r="AF607" s="467">
        <v>0</v>
      </c>
      <c r="AG607" s="468">
        <v>0</v>
      </c>
      <c r="AH607" s="218">
        <v>0</v>
      </c>
      <c r="AI607" s="470">
        <v>0</v>
      </c>
      <c r="AJ607" s="471">
        <v>0</v>
      </c>
      <c r="AK607" s="218">
        <v>0</v>
      </c>
      <c r="AL607" s="470">
        <v>0</v>
      </c>
      <c r="AM607" s="471">
        <v>0</v>
      </c>
      <c r="AN607" s="477">
        <v>0</v>
      </c>
      <c r="AO607" s="473">
        <v>0</v>
      </c>
      <c r="AP607" s="474">
        <v>0</v>
      </c>
      <c r="AQ607" s="352"/>
      <c r="AR607" s="352"/>
      <c r="AS607" s="352"/>
      <c r="AT607" s="352"/>
      <c r="AU607" s="352"/>
      <c r="AV607" s="352"/>
      <c r="AW607" s="352" t="s">
        <v>254</v>
      </c>
    </row>
    <row r="608" spans="2:49" x14ac:dyDescent="0.2">
      <c r="B608" s="460" t="s">
        <v>2537</v>
      </c>
      <c r="C608" s="460">
        <v>1251</v>
      </c>
      <c r="D608" s="460" t="s">
        <v>2347</v>
      </c>
      <c r="E608" s="460" t="s">
        <v>2327</v>
      </c>
      <c r="F608" s="460">
        <v>2</v>
      </c>
      <c r="G608" s="460">
        <v>3</v>
      </c>
      <c r="H608" s="461" t="s">
        <v>752</v>
      </c>
      <c r="I608" s="461" t="s">
        <v>964</v>
      </c>
      <c r="J608" s="461" t="s">
        <v>752</v>
      </c>
      <c r="K608" s="594"/>
      <c r="L608" s="594"/>
      <c r="M608" s="352">
        <v>1000</v>
      </c>
      <c r="N608" s="352" t="s">
        <v>698</v>
      </c>
      <c r="O608" s="460">
        <v>1251</v>
      </c>
      <c r="P608" s="460" t="s">
        <v>733</v>
      </c>
      <c r="Q608" s="460" t="s">
        <v>2527</v>
      </c>
      <c r="R608" s="460">
        <v>1241</v>
      </c>
      <c r="S608" s="460" t="s">
        <v>2324</v>
      </c>
      <c r="T608" s="462">
        <v>1</v>
      </c>
      <c r="U608" s="460" t="s">
        <v>2327</v>
      </c>
      <c r="V608" s="475">
        <v>0</v>
      </c>
      <c r="W608" s="463" t="s">
        <v>2278</v>
      </c>
      <c r="X608" s="463" t="s">
        <v>2278</v>
      </c>
      <c r="Y608" s="463" t="s">
        <v>2278</v>
      </c>
      <c r="Z608" s="463"/>
      <c r="AA608" s="463"/>
      <c r="AB608" s="464">
        <v>0</v>
      </c>
      <c r="AC608" s="465">
        <v>0</v>
      </c>
      <c r="AD608" s="465">
        <v>0</v>
      </c>
      <c r="AE608" s="476">
        <v>0</v>
      </c>
      <c r="AF608" s="467">
        <v>0</v>
      </c>
      <c r="AG608" s="468">
        <v>0</v>
      </c>
      <c r="AH608" s="218">
        <v>0</v>
      </c>
      <c r="AI608" s="470">
        <v>0</v>
      </c>
      <c r="AJ608" s="471">
        <v>0</v>
      </c>
      <c r="AK608" s="218">
        <v>0</v>
      </c>
      <c r="AL608" s="470">
        <v>0</v>
      </c>
      <c r="AM608" s="471">
        <v>0</v>
      </c>
      <c r="AN608" s="477">
        <v>0</v>
      </c>
      <c r="AO608" s="473">
        <v>0</v>
      </c>
      <c r="AP608" s="474">
        <v>0</v>
      </c>
      <c r="AQ608" s="352"/>
      <c r="AR608" s="352"/>
      <c r="AS608" s="352"/>
      <c r="AT608" s="352"/>
      <c r="AU608" s="352"/>
      <c r="AV608" s="352"/>
      <c r="AW608" s="352" t="s">
        <v>254</v>
      </c>
    </row>
    <row r="609" spans="2:49" x14ac:dyDescent="0.2">
      <c r="B609" s="460" t="s">
        <v>2538</v>
      </c>
      <c r="C609" s="460">
        <v>1251</v>
      </c>
      <c r="D609" s="460" t="s">
        <v>2348</v>
      </c>
      <c r="E609" s="460" t="s">
        <v>2330</v>
      </c>
      <c r="F609" s="460">
        <v>3</v>
      </c>
      <c r="G609" s="460">
        <v>3</v>
      </c>
      <c r="H609" s="461" t="s">
        <v>752</v>
      </c>
      <c r="I609" s="461" t="s">
        <v>964</v>
      </c>
      <c r="J609" s="461" t="s">
        <v>752</v>
      </c>
      <c r="K609" s="594"/>
      <c r="L609" s="594"/>
      <c r="M609" s="352">
        <v>1000</v>
      </c>
      <c r="N609" s="352" t="s">
        <v>698</v>
      </c>
      <c r="O609" s="460">
        <v>1251</v>
      </c>
      <c r="P609" s="460" t="s">
        <v>733</v>
      </c>
      <c r="Q609" s="460" t="s">
        <v>2527</v>
      </c>
      <c r="R609" s="460">
        <v>1241</v>
      </c>
      <c r="S609" s="460" t="s">
        <v>2324</v>
      </c>
      <c r="T609" s="462">
        <v>1</v>
      </c>
      <c r="U609" s="460" t="s">
        <v>2330</v>
      </c>
      <c r="V609" s="475">
        <v>0</v>
      </c>
      <c r="W609" s="463" t="s">
        <v>2278</v>
      </c>
      <c r="X609" s="463" t="s">
        <v>2278</v>
      </c>
      <c r="Y609" s="463" t="s">
        <v>2278</v>
      </c>
      <c r="Z609" s="463"/>
      <c r="AA609" s="463"/>
      <c r="AB609" s="464">
        <v>0</v>
      </c>
      <c r="AC609" s="465">
        <v>0</v>
      </c>
      <c r="AD609" s="465">
        <v>0</v>
      </c>
      <c r="AE609" s="476">
        <v>0</v>
      </c>
      <c r="AF609" s="467">
        <v>0</v>
      </c>
      <c r="AG609" s="468">
        <v>0</v>
      </c>
      <c r="AH609" s="218">
        <v>0</v>
      </c>
      <c r="AI609" s="470">
        <v>0</v>
      </c>
      <c r="AJ609" s="471">
        <v>0</v>
      </c>
      <c r="AK609" s="218">
        <v>0</v>
      </c>
      <c r="AL609" s="470">
        <v>0</v>
      </c>
      <c r="AM609" s="471">
        <v>0</v>
      </c>
      <c r="AN609" s="477">
        <v>0</v>
      </c>
      <c r="AO609" s="473">
        <v>0</v>
      </c>
      <c r="AP609" s="474">
        <v>0</v>
      </c>
      <c r="AQ609" s="352"/>
      <c r="AR609" s="352"/>
      <c r="AS609" s="352"/>
      <c r="AT609" s="352"/>
      <c r="AU609" s="352"/>
      <c r="AV609" s="352"/>
      <c r="AW609" s="352" t="s">
        <v>254</v>
      </c>
    </row>
    <row r="610" spans="2:49" x14ac:dyDescent="0.2">
      <c r="B610" s="460" t="s">
        <v>2539</v>
      </c>
      <c r="C610" s="460">
        <v>1251</v>
      </c>
      <c r="D610" s="460" t="s">
        <v>2349</v>
      </c>
      <c r="E610" s="460" t="s">
        <v>2333</v>
      </c>
      <c r="F610" s="460">
        <v>4</v>
      </c>
      <c r="G610" s="460">
        <v>3</v>
      </c>
      <c r="H610" s="461" t="s">
        <v>752</v>
      </c>
      <c r="I610" s="461" t="s">
        <v>964</v>
      </c>
      <c r="J610" s="461" t="s">
        <v>752</v>
      </c>
      <c r="K610" s="594"/>
      <c r="L610" s="594"/>
      <c r="M610" s="352">
        <v>1000</v>
      </c>
      <c r="N610" s="352" t="s">
        <v>698</v>
      </c>
      <c r="O610" s="460">
        <v>1251</v>
      </c>
      <c r="P610" s="460" t="s">
        <v>733</v>
      </c>
      <c r="Q610" s="460" t="s">
        <v>2527</v>
      </c>
      <c r="R610" s="460">
        <v>1241</v>
      </c>
      <c r="S610" s="460" t="s">
        <v>2333</v>
      </c>
      <c r="T610" s="462">
        <v>1</v>
      </c>
      <c r="U610" s="460" t="s">
        <v>2333</v>
      </c>
      <c r="V610" s="475">
        <v>0</v>
      </c>
      <c r="W610" s="463" t="s">
        <v>2278</v>
      </c>
      <c r="X610" s="463" t="s">
        <v>2278</v>
      </c>
      <c r="Y610" s="463" t="s">
        <v>2278</v>
      </c>
      <c r="Z610" s="463"/>
      <c r="AA610" s="463"/>
      <c r="AB610" s="464">
        <v>0</v>
      </c>
      <c r="AC610" s="465">
        <v>0</v>
      </c>
      <c r="AD610" s="465">
        <v>0</v>
      </c>
      <c r="AE610" s="476">
        <v>0</v>
      </c>
      <c r="AF610" s="467">
        <v>0</v>
      </c>
      <c r="AG610" s="468">
        <v>0</v>
      </c>
      <c r="AH610" s="218">
        <v>0</v>
      </c>
      <c r="AI610" s="470">
        <v>0</v>
      </c>
      <c r="AJ610" s="471">
        <v>0</v>
      </c>
      <c r="AK610" s="218">
        <v>0</v>
      </c>
      <c r="AL610" s="470">
        <v>0</v>
      </c>
      <c r="AM610" s="471">
        <v>0</v>
      </c>
      <c r="AN610" s="477">
        <v>0</v>
      </c>
      <c r="AO610" s="473">
        <v>0</v>
      </c>
      <c r="AP610" s="474">
        <v>0</v>
      </c>
      <c r="AQ610" s="352"/>
      <c r="AR610" s="352"/>
      <c r="AS610" s="352"/>
      <c r="AT610" s="352"/>
      <c r="AU610" s="352"/>
      <c r="AV610" s="352"/>
      <c r="AW610" s="352" t="s">
        <v>254</v>
      </c>
    </row>
    <row r="611" spans="2:49" x14ac:dyDescent="0.2">
      <c r="B611" s="460" t="s">
        <v>2540</v>
      </c>
      <c r="C611" s="460">
        <v>1251</v>
      </c>
      <c r="D611" s="460" t="s">
        <v>2351</v>
      </c>
      <c r="E611" s="460" t="s">
        <v>1136</v>
      </c>
      <c r="F611" s="460">
        <v>1</v>
      </c>
      <c r="G611" s="460">
        <v>4</v>
      </c>
      <c r="H611" s="461" t="s">
        <v>700</v>
      </c>
      <c r="I611" s="461" t="s">
        <v>872</v>
      </c>
      <c r="J611" s="461" t="s">
        <v>700</v>
      </c>
      <c r="K611" s="594"/>
      <c r="L611" s="594"/>
      <c r="M611" s="352">
        <v>1000</v>
      </c>
      <c r="N611" s="352" t="s">
        <v>698</v>
      </c>
      <c r="O611" s="460">
        <v>1251</v>
      </c>
      <c r="P611" s="460" t="s">
        <v>733</v>
      </c>
      <c r="Q611" s="460" t="s">
        <v>2527</v>
      </c>
      <c r="R611" s="460">
        <v>1241</v>
      </c>
      <c r="S611" s="460" t="s">
        <v>1136</v>
      </c>
      <c r="T611" s="462">
        <v>1</v>
      </c>
      <c r="U611" s="460" t="s">
        <v>1136</v>
      </c>
      <c r="V611" s="475">
        <v>0</v>
      </c>
      <c r="W611" s="463" t="s">
        <v>2503</v>
      </c>
      <c r="X611" s="479" t="s">
        <v>2267</v>
      </c>
      <c r="Y611" s="463" t="s">
        <v>2268</v>
      </c>
      <c r="Z611" s="463"/>
      <c r="AA611" s="463"/>
      <c r="AB611" s="464">
        <v>1.5423409019895162</v>
      </c>
      <c r="AC611" s="465">
        <v>1.836208688713048E-2</v>
      </c>
      <c r="AD611" s="465">
        <v>4.3882825672010824E-3</v>
      </c>
      <c r="AE611" s="476">
        <v>0.92540454119370974</v>
      </c>
      <c r="AF611" s="467">
        <v>1.1017252132278287E-2</v>
      </c>
      <c r="AG611" s="468">
        <v>2.8621999910927341E-3</v>
      </c>
      <c r="AH611" s="218">
        <v>6.56338716509919</v>
      </c>
      <c r="AI611" s="470">
        <v>7.8139330445019556E-2</v>
      </c>
      <c r="AJ611" s="471">
        <v>5.1257856627203221E-3</v>
      </c>
      <c r="AK611" s="218">
        <v>6.56338716509919</v>
      </c>
      <c r="AL611" s="470">
        <v>7.8139330445019556E-2</v>
      </c>
      <c r="AM611" s="471">
        <v>5.1257856627203221E-3</v>
      </c>
      <c r="AN611" s="477">
        <v>0</v>
      </c>
      <c r="AO611" s="473">
        <v>0</v>
      </c>
      <c r="AP611" s="474">
        <v>0</v>
      </c>
      <c r="AQ611" s="352"/>
      <c r="AR611" s="352"/>
      <c r="AS611" s="352"/>
      <c r="AT611" s="352"/>
      <c r="AU611" s="352"/>
      <c r="AV611" s="352"/>
      <c r="AW611" s="352" t="s">
        <v>254</v>
      </c>
    </row>
    <row r="612" spans="2:49" x14ac:dyDescent="0.2">
      <c r="B612" s="460" t="s">
        <v>2541</v>
      </c>
      <c r="C612" s="460">
        <v>1251</v>
      </c>
      <c r="D612" s="460" t="s">
        <v>2353</v>
      </c>
      <c r="E612" s="460" t="s">
        <v>1137</v>
      </c>
      <c r="F612" s="460">
        <v>2</v>
      </c>
      <c r="G612" s="460">
        <v>4</v>
      </c>
      <c r="H612" s="461" t="s">
        <v>700</v>
      </c>
      <c r="I612" s="461" t="s">
        <v>872</v>
      </c>
      <c r="J612" s="461" t="s">
        <v>700</v>
      </c>
      <c r="K612" s="594"/>
      <c r="L612" s="594"/>
      <c r="M612" s="352">
        <v>1000</v>
      </c>
      <c r="N612" s="352" t="s">
        <v>698</v>
      </c>
      <c r="O612" s="460">
        <v>1251</v>
      </c>
      <c r="P612" s="460" t="s">
        <v>733</v>
      </c>
      <c r="Q612" s="460" t="s">
        <v>2527</v>
      </c>
      <c r="R612" s="460">
        <v>1241</v>
      </c>
      <c r="S612" s="460" t="s">
        <v>1137</v>
      </c>
      <c r="T612" s="462">
        <v>1</v>
      </c>
      <c r="U612" s="460" t="s">
        <v>1137</v>
      </c>
      <c r="V612" s="475">
        <v>0</v>
      </c>
      <c r="W612" s="463" t="s">
        <v>2503</v>
      </c>
      <c r="X612" s="479" t="s">
        <v>2503</v>
      </c>
      <c r="Y612" s="463" t="s">
        <v>2268</v>
      </c>
      <c r="Z612" s="463"/>
      <c r="AA612" s="463"/>
      <c r="AB612" s="464">
        <v>19.433076667821705</v>
      </c>
      <c r="AC612" s="465">
        <v>7.1134901503963274E-2</v>
      </c>
      <c r="AD612" s="465">
        <v>4.3882825672010859E-3</v>
      </c>
      <c r="AE612" s="476">
        <v>11.659846000693024</v>
      </c>
      <c r="AF612" s="467">
        <v>4.2680940902377965E-2</v>
      </c>
      <c r="AG612" s="468">
        <v>2.8365790152098023E-3</v>
      </c>
      <c r="AH612" s="218">
        <v>11.659846000693024</v>
      </c>
      <c r="AI612" s="470">
        <v>4.2680940902377965E-2</v>
      </c>
      <c r="AJ612" s="471">
        <v>2.4090341154246481E-3</v>
      </c>
      <c r="AK612" s="218">
        <v>11.659846000693024</v>
      </c>
      <c r="AL612" s="470">
        <v>4.2680940902377965E-2</v>
      </c>
      <c r="AM612" s="471">
        <v>2.4090341154246481E-3</v>
      </c>
      <c r="AN612" s="477">
        <v>0</v>
      </c>
      <c r="AO612" s="473">
        <v>0</v>
      </c>
      <c r="AP612" s="474">
        <v>0</v>
      </c>
      <c r="AQ612" s="352"/>
      <c r="AR612" s="352"/>
      <c r="AS612" s="352"/>
      <c r="AT612" s="352"/>
      <c r="AU612" s="352"/>
      <c r="AV612" s="352"/>
      <c r="AW612" s="352" t="s">
        <v>254</v>
      </c>
    </row>
    <row r="613" spans="2:49" x14ac:dyDescent="0.2">
      <c r="B613" s="460" t="s">
        <v>2542</v>
      </c>
      <c r="C613" s="460">
        <v>1251</v>
      </c>
      <c r="D613" s="460" t="s">
        <v>2355</v>
      </c>
      <c r="E613" s="460" t="s">
        <v>1138</v>
      </c>
      <c r="F613" s="460">
        <v>3</v>
      </c>
      <c r="G613" s="460">
        <v>4</v>
      </c>
      <c r="H613" s="461" t="s">
        <v>700</v>
      </c>
      <c r="I613" s="461" t="s">
        <v>872</v>
      </c>
      <c r="J613" s="461" t="s">
        <v>700</v>
      </c>
      <c r="K613" s="594"/>
      <c r="L613" s="594"/>
      <c r="M613" s="352">
        <v>1000</v>
      </c>
      <c r="N613" s="352" t="s">
        <v>698</v>
      </c>
      <c r="O613" s="460">
        <v>1251</v>
      </c>
      <c r="P613" s="460" t="s">
        <v>733</v>
      </c>
      <c r="Q613" s="460" t="s">
        <v>2527</v>
      </c>
      <c r="R613" s="460">
        <v>1241</v>
      </c>
      <c r="S613" s="460" t="s">
        <v>1138</v>
      </c>
      <c r="T613" s="462">
        <v>1</v>
      </c>
      <c r="U613" s="460" t="s">
        <v>1138</v>
      </c>
      <c r="V613" s="475">
        <v>0</v>
      </c>
      <c r="W613" s="463" t="s">
        <v>2503</v>
      </c>
      <c r="X613" s="463" t="s">
        <v>2503</v>
      </c>
      <c r="Y613" s="463" t="s">
        <v>2268</v>
      </c>
      <c r="Z613" s="463"/>
      <c r="AA613" s="463"/>
      <c r="AB613" s="464">
        <v>10.459045748555427</v>
      </c>
      <c r="AC613" s="465">
        <v>3.9913642156273132E-2</v>
      </c>
      <c r="AD613" s="465">
        <v>4.3882825672010867E-3</v>
      </c>
      <c r="AE613" s="476">
        <v>6.2754274491332556</v>
      </c>
      <c r="AF613" s="467">
        <v>2.3948185293763878E-2</v>
      </c>
      <c r="AG613" s="468">
        <v>2.840617929070117E-3</v>
      </c>
      <c r="AH613" s="218">
        <v>6.2754274491332556</v>
      </c>
      <c r="AI613" s="470">
        <v>2.3948185293763878E-2</v>
      </c>
      <c r="AJ613" s="471">
        <v>2.1625511144226835E-3</v>
      </c>
      <c r="AK613" s="218">
        <v>6.2754274491332556</v>
      </c>
      <c r="AL613" s="470">
        <v>2.3948185293763878E-2</v>
      </c>
      <c r="AM613" s="471">
        <v>2.1625511144226835E-3</v>
      </c>
      <c r="AN613" s="477">
        <v>0</v>
      </c>
      <c r="AO613" s="473">
        <v>0</v>
      </c>
      <c r="AP613" s="474">
        <v>0</v>
      </c>
      <c r="AQ613" s="352"/>
      <c r="AR613" s="352"/>
      <c r="AS613" s="352"/>
      <c r="AT613" s="352"/>
      <c r="AU613" s="352"/>
      <c r="AV613" s="352"/>
      <c r="AW613" s="352" t="s">
        <v>254</v>
      </c>
    </row>
    <row r="614" spans="2:49" x14ac:dyDescent="0.2">
      <c r="B614" s="460" t="s">
        <v>2543</v>
      </c>
      <c r="C614" s="460">
        <v>1251</v>
      </c>
      <c r="D614" s="460" t="s">
        <v>2357</v>
      </c>
      <c r="E614" s="460" t="s">
        <v>1139</v>
      </c>
      <c r="F614" s="460">
        <v>4</v>
      </c>
      <c r="G614" s="460">
        <v>4</v>
      </c>
      <c r="H614" s="461" t="s">
        <v>700</v>
      </c>
      <c r="I614" s="461" t="s">
        <v>872</v>
      </c>
      <c r="J614" s="461" t="s">
        <v>700</v>
      </c>
      <c r="K614" s="594"/>
      <c r="L614" s="594"/>
      <c r="M614" s="352">
        <v>1000</v>
      </c>
      <c r="N614" s="352" t="s">
        <v>698</v>
      </c>
      <c r="O614" s="460">
        <v>1251</v>
      </c>
      <c r="P614" s="460" t="s">
        <v>733</v>
      </c>
      <c r="Q614" s="460" t="s">
        <v>2527</v>
      </c>
      <c r="R614" s="460">
        <v>1241</v>
      </c>
      <c r="S614" s="460" t="s">
        <v>1139</v>
      </c>
      <c r="T614" s="462">
        <v>1</v>
      </c>
      <c r="U614" s="460" t="s">
        <v>1139</v>
      </c>
      <c r="V614" s="475">
        <v>0</v>
      </c>
      <c r="W614" s="463" t="s">
        <v>2503</v>
      </c>
      <c r="X614" s="463" t="s">
        <v>2503</v>
      </c>
      <c r="Y614" s="463" t="s">
        <v>2268</v>
      </c>
      <c r="Z614" s="463"/>
      <c r="AA614" s="463"/>
      <c r="AB614" s="464">
        <v>0</v>
      </c>
      <c r="AC614" s="465">
        <v>0</v>
      </c>
      <c r="AD614" s="465">
        <v>0</v>
      </c>
      <c r="AE614" s="476">
        <v>0</v>
      </c>
      <c r="AF614" s="467">
        <v>0</v>
      </c>
      <c r="AG614" s="468">
        <v>0</v>
      </c>
      <c r="AH614" s="218">
        <v>0</v>
      </c>
      <c r="AI614" s="470">
        <v>0</v>
      </c>
      <c r="AJ614" s="471">
        <v>0</v>
      </c>
      <c r="AK614" s="218">
        <v>0</v>
      </c>
      <c r="AL614" s="470">
        <v>0</v>
      </c>
      <c r="AM614" s="471">
        <v>0</v>
      </c>
      <c r="AN614" s="477">
        <v>0</v>
      </c>
      <c r="AO614" s="473">
        <v>0</v>
      </c>
      <c r="AP614" s="474">
        <v>0</v>
      </c>
      <c r="AQ614" s="352"/>
      <c r="AR614" s="352"/>
      <c r="AS614" s="352"/>
      <c r="AT614" s="352"/>
      <c r="AU614" s="352"/>
      <c r="AV614" s="352"/>
      <c r="AW614" s="352" t="s">
        <v>254</v>
      </c>
    </row>
    <row r="615" spans="2:49" x14ac:dyDescent="0.2">
      <c r="B615" s="460" t="s">
        <v>2540</v>
      </c>
      <c r="C615" s="460">
        <v>1251</v>
      </c>
      <c r="D615" s="460" t="s">
        <v>2358</v>
      </c>
      <c r="E615" s="460" t="s">
        <v>1136</v>
      </c>
      <c r="F615" s="460">
        <v>1</v>
      </c>
      <c r="G615" s="460">
        <v>4</v>
      </c>
      <c r="H615" s="461" t="s">
        <v>712</v>
      </c>
      <c r="I615" s="461" t="s">
        <v>713</v>
      </c>
      <c r="J615" s="461" t="s">
        <v>712</v>
      </c>
      <c r="K615" s="594"/>
      <c r="L615" s="594"/>
      <c r="M615" s="352">
        <v>1000</v>
      </c>
      <c r="N615" s="352" t="s">
        <v>698</v>
      </c>
      <c r="O615" s="460">
        <v>1251</v>
      </c>
      <c r="P615" s="460" t="s">
        <v>733</v>
      </c>
      <c r="Q615" s="460" t="s">
        <v>2280</v>
      </c>
      <c r="R615" s="460">
        <v>1241</v>
      </c>
      <c r="S615" s="460" t="s">
        <v>1136</v>
      </c>
      <c r="T615" s="462">
        <v>1</v>
      </c>
      <c r="U615" s="460" t="s">
        <v>1136</v>
      </c>
      <c r="V615" s="475">
        <v>0</v>
      </c>
      <c r="W615" s="463" t="s">
        <v>713</v>
      </c>
      <c r="X615" s="463" t="s">
        <v>713</v>
      </c>
      <c r="Y615" s="463" t="s">
        <v>713</v>
      </c>
      <c r="Z615" s="463"/>
      <c r="AA615" s="463"/>
      <c r="AB615" s="464">
        <v>82.453607459985818</v>
      </c>
      <c r="AC615" s="465">
        <v>0.98163791311286952</v>
      </c>
      <c r="AD615" s="465">
        <v>5.4339981461801732E-4</v>
      </c>
      <c r="AE615" s="476">
        <v>83.070543820781623</v>
      </c>
      <c r="AF615" s="467">
        <v>0.98898274786772167</v>
      </c>
      <c r="AG615" s="468">
        <v>5.4736411209160894E-4</v>
      </c>
      <c r="AH615" s="218">
        <v>45.134653084577103</v>
      </c>
      <c r="AI615" s="470">
        <v>0.53734321672364616</v>
      </c>
      <c r="AJ615" s="471">
        <v>3.0042144264901254E-4</v>
      </c>
      <c r="AK615" s="218">
        <v>45.134653084577103</v>
      </c>
      <c r="AL615" s="470">
        <v>0.53734321672364616</v>
      </c>
      <c r="AM615" s="471">
        <v>3.0042144264901254E-4</v>
      </c>
      <c r="AN615" s="477">
        <v>51.081103888880477</v>
      </c>
      <c r="AO615" s="473">
        <v>0.60813771241381342</v>
      </c>
      <c r="AP615" s="474">
        <v>3.3944847295666678E-4</v>
      </c>
      <c r="AQ615" s="352"/>
      <c r="AR615" s="352"/>
      <c r="AS615" s="352"/>
      <c r="AT615" s="352"/>
      <c r="AU615" s="352"/>
      <c r="AV615" s="352"/>
      <c r="AW615" s="352" t="s">
        <v>254</v>
      </c>
    </row>
    <row r="616" spans="2:49" x14ac:dyDescent="0.2">
      <c r="B616" s="460" t="s">
        <v>2541</v>
      </c>
      <c r="C616" s="460">
        <v>1251</v>
      </c>
      <c r="D616" s="460" t="s">
        <v>2359</v>
      </c>
      <c r="E616" s="460" t="s">
        <v>1137</v>
      </c>
      <c r="F616" s="460">
        <v>2</v>
      </c>
      <c r="G616" s="460">
        <v>4</v>
      </c>
      <c r="H616" s="461" t="s">
        <v>712</v>
      </c>
      <c r="I616" s="461" t="s">
        <v>713</v>
      </c>
      <c r="J616" s="461" t="s">
        <v>712</v>
      </c>
      <c r="K616" s="594"/>
      <c r="L616" s="594"/>
      <c r="M616" s="352">
        <v>1000</v>
      </c>
      <c r="N616" s="352" t="s">
        <v>698</v>
      </c>
      <c r="O616" s="460">
        <v>1251</v>
      </c>
      <c r="P616" s="460" t="s">
        <v>733</v>
      </c>
      <c r="Q616" s="460" t="s">
        <v>2280</v>
      </c>
      <c r="R616" s="460">
        <v>1241</v>
      </c>
      <c r="S616" s="460" t="s">
        <v>1137</v>
      </c>
      <c r="T616" s="462">
        <v>1</v>
      </c>
      <c r="U616" s="460" t="s">
        <v>1137</v>
      </c>
      <c r="V616" s="475">
        <v>0</v>
      </c>
      <c r="W616" s="463" t="s">
        <v>713</v>
      </c>
      <c r="X616" s="463" t="s">
        <v>713</v>
      </c>
      <c r="Y616" s="463" t="s">
        <v>713</v>
      </c>
      <c r="Z616" s="463"/>
      <c r="AA616" s="463"/>
      <c r="AB616" s="464">
        <v>253.75316885947399</v>
      </c>
      <c r="AC616" s="465">
        <v>0.92886509849603671</v>
      </c>
      <c r="AD616" s="465">
        <v>1.4674895796188245E-3</v>
      </c>
      <c r="AE616" s="476">
        <v>261.52639952660269</v>
      </c>
      <c r="AF616" s="467">
        <v>0.95731905909762205</v>
      </c>
      <c r="AG616" s="468">
        <v>1.5096680397148211E-3</v>
      </c>
      <c r="AH616" s="218">
        <v>223.2402258010992</v>
      </c>
      <c r="AI616" s="470">
        <v>0.81717227516417523</v>
      </c>
      <c r="AJ616" s="471">
        <v>1.2947750669780953E-3</v>
      </c>
      <c r="AK616" s="218">
        <v>223.2402258010992</v>
      </c>
      <c r="AL616" s="470">
        <v>0.81717227516417523</v>
      </c>
      <c r="AM616" s="471">
        <v>1.2947750669780953E-3</v>
      </c>
      <c r="AN616" s="477">
        <v>227.12684113466352</v>
      </c>
      <c r="AO616" s="473">
        <v>0.83139925546496785</v>
      </c>
      <c r="AP616" s="474">
        <v>1.3162301427119636E-3</v>
      </c>
      <c r="AQ616" s="352"/>
      <c r="AR616" s="352"/>
      <c r="AS616" s="352"/>
      <c r="AT616" s="352"/>
      <c r="AU616" s="352"/>
      <c r="AV616" s="352"/>
      <c r="AW616" s="352" t="s">
        <v>254</v>
      </c>
    </row>
    <row r="617" spans="2:49" x14ac:dyDescent="0.2">
      <c r="B617" s="460" t="s">
        <v>2542</v>
      </c>
      <c r="C617" s="460">
        <v>1251</v>
      </c>
      <c r="D617" s="460" t="s">
        <v>2360</v>
      </c>
      <c r="E617" s="460" t="s">
        <v>1138</v>
      </c>
      <c r="F617" s="460">
        <v>3</v>
      </c>
      <c r="G617" s="460">
        <v>4</v>
      </c>
      <c r="H617" s="461" t="s">
        <v>712</v>
      </c>
      <c r="I617" s="461" t="s">
        <v>713</v>
      </c>
      <c r="J617" s="461" t="s">
        <v>712</v>
      </c>
      <c r="K617" s="594"/>
      <c r="L617" s="594"/>
      <c r="M617" s="352">
        <v>1000</v>
      </c>
      <c r="N617" s="352" t="s">
        <v>698</v>
      </c>
      <c r="O617" s="460">
        <v>1251</v>
      </c>
      <c r="P617" s="460" t="s">
        <v>733</v>
      </c>
      <c r="Q617" s="460" t="s">
        <v>2280</v>
      </c>
      <c r="R617" s="460">
        <v>1241</v>
      </c>
      <c r="S617" s="460" t="s">
        <v>1138</v>
      </c>
      <c r="T617" s="462">
        <v>1</v>
      </c>
      <c r="U617" s="460" t="s">
        <v>1138</v>
      </c>
      <c r="V617" s="475">
        <v>0</v>
      </c>
      <c r="W617" s="463" t="s">
        <v>713</v>
      </c>
      <c r="X617" s="463" t="s">
        <v>713</v>
      </c>
      <c r="Y617" s="463" t="s">
        <v>713</v>
      </c>
      <c r="Z617" s="463"/>
      <c r="AA617" s="463"/>
      <c r="AB617" s="464">
        <v>251.58283225409141</v>
      </c>
      <c r="AC617" s="465">
        <v>0.96008635784372687</v>
      </c>
      <c r="AD617" s="465">
        <v>3.13963970089434E-3</v>
      </c>
      <c r="AE617" s="476">
        <v>255.76645055351361</v>
      </c>
      <c r="AF617" s="467">
        <v>0.97605181470623614</v>
      </c>
      <c r="AG617" s="468">
        <v>3.1849244980170976E-3</v>
      </c>
      <c r="AH617" s="218">
        <v>255.76645055351361</v>
      </c>
      <c r="AI617" s="470">
        <v>0.97605181470623614</v>
      </c>
      <c r="AJ617" s="471">
        <v>3.2222689249412199E-3</v>
      </c>
      <c r="AK617" s="218">
        <v>255.76645055351361</v>
      </c>
      <c r="AL617" s="470">
        <v>0.97605181470623614</v>
      </c>
      <c r="AM617" s="471">
        <v>3.2222689249412199E-3</v>
      </c>
      <c r="AN617" s="477">
        <v>257.85825970322469</v>
      </c>
      <c r="AO617" s="473">
        <v>0.98403454313749072</v>
      </c>
      <c r="AP617" s="474">
        <v>3.2483777145855906E-3</v>
      </c>
      <c r="AQ617" s="352"/>
      <c r="AR617" s="352"/>
      <c r="AS617" s="352"/>
      <c r="AT617" s="352"/>
      <c r="AU617" s="352"/>
      <c r="AV617" s="352"/>
      <c r="AW617" s="352" t="s">
        <v>254</v>
      </c>
    </row>
    <row r="618" spans="2:49" x14ac:dyDescent="0.2">
      <c r="B618" s="460" t="s">
        <v>2543</v>
      </c>
      <c r="C618" s="460">
        <v>1251</v>
      </c>
      <c r="D618" s="460" t="s">
        <v>2361</v>
      </c>
      <c r="E618" s="460" t="s">
        <v>1139</v>
      </c>
      <c r="F618" s="460">
        <v>4</v>
      </c>
      <c r="G618" s="460">
        <v>4</v>
      </c>
      <c r="H618" s="461" t="s">
        <v>712</v>
      </c>
      <c r="I618" s="461" t="s">
        <v>713</v>
      </c>
      <c r="J618" s="461" t="s">
        <v>712</v>
      </c>
      <c r="K618" s="594"/>
      <c r="L618" s="594"/>
      <c r="M618" s="352">
        <v>1000</v>
      </c>
      <c r="N618" s="352" t="s">
        <v>698</v>
      </c>
      <c r="O618" s="460">
        <v>1251</v>
      </c>
      <c r="P618" s="460" t="s">
        <v>733</v>
      </c>
      <c r="Q618" s="460" t="s">
        <v>2280</v>
      </c>
      <c r="R618" s="460">
        <v>1241</v>
      </c>
      <c r="S618" s="460" t="s">
        <v>1139</v>
      </c>
      <c r="T618" s="462">
        <v>1</v>
      </c>
      <c r="U618" s="460" t="s">
        <v>1139</v>
      </c>
      <c r="V618" s="475">
        <v>0</v>
      </c>
      <c r="W618" s="463" t="s">
        <v>713</v>
      </c>
      <c r="X618" s="463" t="s">
        <v>713</v>
      </c>
      <c r="Y618" s="463" t="s">
        <v>713</v>
      </c>
      <c r="Z618" s="463"/>
      <c r="AA618" s="463"/>
      <c r="AB618" s="464">
        <v>293.94907687868317</v>
      </c>
      <c r="AC618" s="465">
        <v>1</v>
      </c>
      <c r="AD618" s="465">
        <v>3.2546733549447238E-3</v>
      </c>
      <c r="AE618" s="476">
        <v>293.94907687868317</v>
      </c>
      <c r="AF618" s="467">
        <v>1</v>
      </c>
      <c r="AG618" s="468">
        <v>3.2546733549447238E-3</v>
      </c>
      <c r="AH618" s="218">
        <v>293.94907687868317</v>
      </c>
      <c r="AI618" s="470">
        <v>1</v>
      </c>
      <c r="AJ618" s="471">
        <v>3.3246744048268714E-3</v>
      </c>
      <c r="AK618" s="218">
        <v>293.94907687868317</v>
      </c>
      <c r="AL618" s="470">
        <v>1</v>
      </c>
      <c r="AM618" s="471">
        <v>3.3246744048268714E-3</v>
      </c>
      <c r="AN618" s="477">
        <v>293.94907687868317</v>
      </c>
      <c r="AO618" s="473">
        <v>1</v>
      </c>
      <c r="AP618" s="474">
        <v>3.3246744048268714E-3</v>
      </c>
      <c r="AQ618" s="352"/>
      <c r="AR618" s="352"/>
      <c r="AS618" s="352"/>
      <c r="AT618" s="352"/>
      <c r="AU618" s="352"/>
      <c r="AV618" s="352"/>
      <c r="AW618" s="352" t="s">
        <v>254</v>
      </c>
    </row>
    <row r="619" spans="2:49" x14ac:dyDescent="0.2">
      <c r="B619" s="460" t="s">
        <v>2540</v>
      </c>
      <c r="C619" s="460">
        <v>1251</v>
      </c>
      <c r="D619" s="460" t="s">
        <v>2362</v>
      </c>
      <c r="E619" s="460" t="s">
        <v>1136</v>
      </c>
      <c r="F619" s="460">
        <v>1</v>
      </c>
      <c r="G619" s="460">
        <v>4</v>
      </c>
      <c r="H619" s="461" t="s">
        <v>746</v>
      </c>
      <c r="I619" s="461" t="s">
        <v>762</v>
      </c>
      <c r="J619" s="461" t="s">
        <v>700</v>
      </c>
      <c r="K619" s="594"/>
      <c r="L619" s="594"/>
      <c r="M619" s="352">
        <v>1000</v>
      </c>
      <c r="N619" s="352" t="s">
        <v>698</v>
      </c>
      <c r="O619" s="460">
        <v>1251</v>
      </c>
      <c r="P619" s="460" t="s">
        <v>733</v>
      </c>
      <c r="Q619" s="460" t="s">
        <v>2531</v>
      </c>
      <c r="R619" s="460">
        <v>1241</v>
      </c>
      <c r="S619" s="460" t="s">
        <v>1136</v>
      </c>
      <c r="T619" s="462">
        <v>1</v>
      </c>
      <c r="U619" s="460" t="s">
        <v>1136</v>
      </c>
      <c r="V619" s="475">
        <v>0</v>
      </c>
      <c r="W619" s="463" t="s">
        <v>2268</v>
      </c>
      <c r="X619" s="463" t="s">
        <v>2268</v>
      </c>
      <c r="Y619" s="463" t="s">
        <v>2290</v>
      </c>
      <c r="Z619" s="463"/>
      <c r="AA619" s="463"/>
      <c r="AB619" s="464">
        <v>0</v>
      </c>
      <c r="AC619" s="465">
        <v>0</v>
      </c>
      <c r="AD619" s="465">
        <v>0</v>
      </c>
      <c r="AE619" s="476">
        <v>0</v>
      </c>
      <c r="AF619" s="467">
        <v>0</v>
      </c>
      <c r="AG619" s="468">
        <v>0</v>
      </c>
      <c r="AH619" s="218">
        <v>0</v>
      </c>
      <c r="AI619" s="470">
        <v>0</v>
      </c>
      <c r="AJ619" s="471">
        <v>0</v>
      </c>
      <c r="AK619" s="218">
        <v>0</v>
      </c>
      <c r="AL619" s="470">
        <v>0</v>
      </c>
      <c r="AM619" s="471">
        <v>0</v>
      </c>
      <c r="AN619" s="477">
        <v>0</v>
      </c>
      <c r="AO619" s="473">
        <v>0</v>
      </c>
      <c r="AP619" s="474">
        <v>0</v>
      </c>
      <c r="AQ619" s="352"/>
      <c r="AR619" s="352"/>
      <c r="AS619" s="352"/>
      <c r="AT619" s="352"/>
      <c r="AU619" s="352"/>
      <c r="AV619" s="352"/>
      <c r="AW619" s="352" t="s">
        <v>254</v>
      </c>
    </row>
    <row r="620" spans="2:49" x14ac:dyDescent="0.2">
      <c r="B620" s="460" t="s">
        <v>2541</v>
      </c>
      <c r="C620" s="460">
        <v>1251</v>
      </c>
      <c r="D620" s="460" t="s">
        <v>2363</v>
      </c>
      <c r="E620" s="460" t="s">
        <v>1137</v>
      </c>
      <c r="F620" s="460">
        <v>2</v>
      </c>
      <c r="G620" s="460">
        <v>4</v>
      </c>
      <c r="H620" s="461" t="s">
        <v>746</v>
      </c>
      <c r="I620" s="461" t="s">
        <v>762</v>
      </c>
      <c r="J620" s="461" t="s">
        <v>700</v>
      </c>
      <c r="K620" s="594"/>
      <c r="L620" s="594"/>
      <c r="M620" s="352">
        <v>1000</v>
      </c>
      <c r="N620" s="352" t="s">
        <v>698</v>
      </c>
      <c r="O620" s="460">
        <v>1251</v>
      </c>
      <c r="P620" s="460" t="s">
        <v>733</v>
      </c>
      <c r="Q620" s="460" t="s">
        <v>2531</v>
      </c>
      <c r="R620" s="460">
        <v>1241</v>
      </c>
      <c r="S620" s="460" t="s">
        <v>1137</v>
      </c>
      <c r="T620" s="462">
        <v>1</v>
      </c>
      <c r="U620" s="460" t="s">
        <v>1137</v>
      </c>
      <c r="V620" s="475">
        <v>0</v>
      </c>
      <c r="W620" s="463" t="s">
        <v>2268</v>
      </c>
      <c r="X620" s="463" t="s">
        <v>2268</v>
      </c>
      <c r="Y620" s="463" t="s">
        <v>2290</v>
      </c>
      <c r="Z620" s="463"/>
      <c r="AA620" s="463"/>
      <c r="AB620" s="464">
        <v>0</v>
      </c>
      <c r="AC620" s="465">
        <v>0</v>
      </c>
      <c r="AD620" s="465">
        <v>0</v>
      </c>
      <c r="AE620" s="476">
        <v>0</v>
      </c>
      <c r="AF620" s="467">
        <v>0</v>
      </c>
      <c r="AG620" s="468">
        <v>0</v>
      </c>
      <c r="AH620" s="218">
        <v>0</v>
      </c>
      <c r="AI620" s="470">
        <v>0</v>
      </c>
      <c r="AJ620" s="471">
        <v>0</v>
      </c>
      <c r="AK620" s="218">
        <v>0</v>
      </c>
      <c r="AL620" s="470">
        <v>0</v>
      </c>
      <c r="AM620" s="471">
        <v>0</v>
      </c>
      <c r="AN620" s="477">
        <v>0</v>
      </c>
      <c r="AO620" s="473">
        <v>0</v>
      </c>
      <c r="AP620" s="474">
        <v>0</v>
      </c>
      <c r="AQ620" s="352"/>
      <c r="AR620" s="352"/>
      <c r="AS620" s="352"/>
      <c r="AT620" s="352"/>
      <c r="AU620" s="352"/>
      <c r="AV620" s="352"/>
      <c r="AW620" s="352" t="s">
        <v>254</v>
      </c>
    </row>
    <row r="621" spans="2:49" x14ac:dyDescent="0.2">
      <c r="B621" s="460" t="s">
        <v>2542</v>
      </c>
      <c r="C621" s="460">
        <v>1251</v>
      </c>
      <c r="D621" s="460" t="s">
        <v>2364</v>
      </c>
      <c r="E621" s="460" t="s">
        <v>1138</v>
      </c>
      <c r="F621" s="460">
        <v>3</v>
      </c>
      <c r="G621" s="460">
        <v>4</v>
      </c>
      <c r="H621" s="461" t="s">
        <v>746</v>
      </c>
      <c r="I621" s="461" t="s">
        <v>762</v>
      </c>
      <c r="J621" s="461" t="s">
        <v>700</v>
      </c>
      <c r="K621" s="594"/>
      <c r="L621" s="594"/>
      <c r="M621" s="352">
        <v>1000</v>
      </c>
      <c r="N621" s="352" t="s">
        <v>698</v>
      </c>
      <c r="O621" s="460">
        <v>1251</v>
      </c>
      <c r="P621" s="460" t="s">
        <v>733</v>
      </c>
      <c r="Q621" s="460" t="s">
        <v>2531</v>
      </c>
      <c r="R621" s="460">
        <v>1241</v>
      </c>
      <c r="S621" s="460" t="s">
        <v>1138</v>
      </c>
      <c r="T621" s="462">
        <v>1</v>
      </c>
      <c r="U621" s="460" t="s">
        <v>1138</v>
      </c>
      <c r="V621" s="475">
        <v>0</v>
      </c>
      <c r="W621" s="463" t="s">
        <v>2268</v>
      </c>
      <c r="X621" s="463" t="s">
        <v>2268</v>
      </c>
      <c r="Y621" s="463" t="s">
        <v>2290</v>
      </c>
      <c r="Z621" s="463"/>
      <c r="AA621" s="463"/>
      <c r="AB621" s="464">
        <v>0</v>
      </c>
      <c r="AC621" s="465">
        <v>0</v>
      </c>
      <c r="AD621" s="465">
        <v>0</v>
      </c>
      <c r="AE621" s="476">
        <v>0</v>
      </c>
      <c r="AF621" s="467">
        <v>0</v>
      </c>
      <c r="AG621" s="468">
        <v>0</v>
      </c>
      <c r="AH621" s="218">
        <v>0</v>
      </c>
      <c r="AI621" s="470">
        <v>0</v>
      </c>
      <c r="AJ621" s="471">
        <v>0</v>
      </c>
      <c r="AK621" s="218">
        <v>0</v>
      </c>
      <c r="AL621" s="470">
        <v>0</v>
      </c>
      <c r="AM621" s="471">
        <v>0</v>
      </c>
      <c r="AN621" s="477">
        <v>0</v>
      </c>
      <c r="AO621" s="473">
        <v>0</v>
      </c>
      <c r="AP621" s="474">
        <v>0</v>
      </c>
      <c r="AQ621" s="352"/>
      <c r="AR621" s="352"/>
      <c r="AS621" s="352"/>
      <c r="AT621" s="352"/>
      <c r="AU621" s="352"/>
      <c r="AV621" s="352"/>
      <c r="AW621" s="352" t="s">
        <v>254</v>
      </c>
    </row>
    <row r="622" spans="2:49" x14ac:dyDescent="0.2">
      <c r="B622" s="460" t="s">
        <v>2543</v>
      </c>
      <c r="C622" s="460">
        <v>1251</v>
      </c>
      <c r="D622" s="460" t="s">
        <v>2365</v>
      </c>
      <c r="E622" s="460" t="s">
        <v>1139</v>
      </c>
      <c r="F622" s="460">
        <v>4</v>
      </c>
      <c r="G622" s="460">
        <v>4</v>
      </c>
      <c r="H622" s="461" t="s">
        <v>746</v>
      </c>
      <c r="I622" s="461" t="s">
        <v>762</v>
      </c>
      <c r="J622" s="461" t="s">
        <v>700</v>
      </c>
      <c r="K622" s="594"/>
      <c r="L622" s="594"/>
      <c r="M622" s="352">
        <v>1000</v>
      </c>
      <c r="N622" s="352" t="s">
        <v>698</v>
      </c>
      <c r="O622" s="460">
        <v>1251</v>
      </c>
      <c r="P622" s="460" t="s">
        <v>733</v>
      </c>
      <c r="Q622" s="460" t="s">
        <v>2531</v>
      </c>
      <c r="R622" s="460">
        <v>1241</v>
      </c>
      <c r="S622" s="460" t="s">
        <v>1139</v>
      </c>
      <c r="T622" s="462">
        <v>1</v>
      </c>
      <c r="U622" s="460" t="s">
        <v>1139</v>
      </c>
      <c r="V622" s="475">
        <v>0</v>
      </c>
      <c r="W622" s="463" t="s">
        <v>2268</v>
      </c>
      <c r="X622" s="463" t="s">
        <v>2268</v>
      </c>
      <c r="Y622" s="463" t="s">
        <v>2290</v>
      </c>
      <c r="Z622" s="463"/>
      <c r="AA622" s="463"/>
      <c r="AB622" s="464">
        <v>0</v>
      </c>
      <c r="AC622" s="465">
        <v>0</v>
      </c>
      <c r="AD622" s="465">
        <v>0</v>
      </c>
      <c r="AE622" s="476">
        <v>0</v>
      </c>
      <c r="AF622" s="467">
        <v>0</v>
      </c>
      <c r="AG622" s="468">
        <v>0</v>
      </c>
      <c r="AH622" s="218">
        <v>0</v>
      </c>
      <c r="AI622" s="470">
        <v>0</v>
      </c>
      <c r="AJ622" s="471">
        <v>0</v>
      </c>
      <c r="AK622" s="218">
        <v>0</v>
      </c>
      <c r="AL622" s="470">
        <v>0</v>
      </c>
      <c r="AM622" s="471">
        <v>0</v>
      </c>
      <c r="AN622" s="477">
        <v>0</v>
      </c>
      <c r="AO622" s="473">
        <v>0</v>
      </c>
      <c r="AP622" s="474">
        <v>0</v>
      </c>
      <c r="AQ622" s="352"/>
      <c r="AR622" s="352"/>
      <c r="AS622" s="352"/>
      <c r="AT622" s="352"/>
      <c r="AU622" s="352"/>
      <c r="AV622" s="352"/>
      <c r="AW622" s="352" t="s">
        <v>254</v>
      </c>
    </row>
    <row r="623" spans="2:49" x14ac:dyDescent="0.2">
      <c r="B623" s="460" t="s">
        <v>2540</v>
      </c>
      <c r="C623" s="460">
        <v>1251</v>
      </c>
      <c r="D623" s="460" t="s">
        <v>2366</v>
      </c>
      <c r="E623" s="460" t="s">
        <v>1136</v>
      </c>
      <c r="F623" s="460">
        <v>1</v>
      </c>
      <c r="G623" s="460">
        <v>4</v>
      </c>
      <c r="H623" s="461" t="s">
        <v>748</v>
      </c>
      <c r="I623" s="461" t="s">
        <v>765</v>
      </c>
      <c r="J623" s="461" t="s">
        <v>700</v>
      </c>
      <c r="K623" s="594"/>
      <c r="L623" s="594"/>
      <c r="M623" s="352">
        <v>1000</v>
      </c>
      <c r="N623" s="352" t="s">
        <v>698</v>
      </c>
      <c r="O623" s="460">
        <v>1251</v>
      </c>
      <c r="P623" s="460" t="s">
        <v>733</v>
      </c>
      <c r="Q623" s="460" t="s">
        <v>2527</v>
      </c>
      <c r="R623" s="460">
        <v>1241</v>
      </c>
      <c r="S623" s="460" t="s">
        <v>1136</v>
      </c>
      <c r="T623" s="462">
        <v>1</v>
      </c>
      <c r="U623" s="460" t="s">
        <v>1136</v>
      </c>
      <c r="V623" s="475">
        <v>0</v>
      </c>
      <c r="W623" s="463" t="s">
        <v>2268</v>
      </c>
      <c r="X623" s="463" t="s">
        <v>2268</v>
      </c>
      <c r="Y623" s="479" t="s">
        <v>2503</v>
      </c>
      <c r="Z623" s="479"/>
      <c r="AA623" s="479"/>
      <c r="AB623" s="464">
        <v>0</v>
      </c>
      <c r="AC623" s="465">
        <v>0</v>
      </c>
      <c r="AD623" s="465">
        <v>0</v>
      </c>
      <c r="AE623" s="476">
        <v>0</v>
      </c>
      <c r="AF623" s="467">
        <v>0</v>
      </c>
      <c r="AG623" s="468">
        <v>0</v>
      </c>
      <c r="AH623" s="218">
        <v>0</v>
      </c>
      <c r="AI623" s="470">
        <v>0</v>
      </c>
      <c r="AJ623" s="471">
        <v>0</v>
      </c>
      <c r="AK623" s="218">
        <v>0</v>
      </c>
      <c r="AL623" s="470">
        <v>0</v>
      </c>
      <c r="AM623" s="471">
        <v>0</v>
      </c>
      <c r="AN623" s="477">
        <v>0.6169363607958066</v>
      </c>
      <c r="AO623" s="473">
        <v>7.3448347548521926E-3</v>
      </c>
      <c r="AP623" s="474">
        <v>7.5799741146283088E-4</v>
      </c>
      <c r="AQ623" s="352"/>
      <c r="AR623" s="352"/>
      <c r="AS623" s="352"/>
      <c r="AT623" s="352"/>
      <c r="AU623" s="352"/>
      <c r="AV623" s="352"/>
      <c r="AW623" s="352" t="s">
        <v>254</v>
      </c>
    </row>
    <row r="624" spans="2:49" x14ac:dyDescent="0.2">
      <c r="B624" s="460" t="s">
        <v>2541</v>
      </c>
      <c r="C624" s="460">
        <v>1251</v>
      </c>
      <c r="D624" s="460" t="s">
        <v>2367</v>
      </c>
      <c r="E624" s="460" t="s">
        <v>1137</v>
      </c>
      <c r="F624" s="460">
        <v>2</v>
      </c>
      <c r="G624" s="460">
        <v>4</v>
      </c>
      <c r="H624" s="461" t="s">
        <v>748</v>
      </c>
      <c r="I624" s="461" t="s">
        <v>765</v>
      </c>
      <c r="J624" s="461" t="s">
        <v>700</v>
      </c>
      <c r="K624" s="594"/>
      <c r="L624" s="594"/>
      <c r="M624" s="352">
        <v>1000</v>
      </c>
      <c r="N624" s="352" t="s">
        <v>698</v>
      </c>
      <c r="O624" s="460">
        <v>1251</v>
      </c>
      <c r="P624" s="460" t="s">
        <v>733</v>
      </c>
      <c r="Q624" s="460" t="s">
        <v>2527</v>
      </c>
      <c r="R624" s="460">
        <v>1241</v>
      </c>
      <c r="S624" s="460" t="s">
        <v>1137</v>
      </c>
      <c r="T624" s="462">
        <v>1</v>
      </c>
      <c r="U624" s="460" t="s">
        <v>1137</v>
      </c>
      <c r="V624" s="475">
        <v>0</v>
      </c>
      <c r="W624" s="463" t="s">
        <v>2268</v>
      </c>
      <c r="X624" s="463" t="s">
        <v>2268</v>
      </c>
      <c r="Y624" s="479" t="s">
        <v>2503</v>
      </c>
      <c r="Z624" s="479"/>
      <c r="AA624" s="479"/>
      <c r="AB624" s="464">
        <v>0</v>
      </c>
      <c r="AC624" s="465">
        <v>0</v>
      </c>
      <c r="AD624" s="465">
        <v>0</v>
      </c>
      <c r="AE624" s="476">
        <v>0</v>
      </c>
      <c r="AF624" s="467">
        <v>0</v>
      </c>
      <c r="AG624" s="468">
        <v>0</v>
      </c>
      <c r="AH624" s="218">
        <v>0</v>
      </c>
      <c r="AI624" s="470">
        <v>0</v>
      </c>
      <c r="AJ624" s="471">
        <v>0</v>
      </c>
      <c r="AK624" s="218">
        <v>0</v>
      </c>
      <c r="AL624" s="470">
        <v>0</v>
      </c>
      <c r="AM624" s="471">
        <v>0</v>
      </c>
      <c r="AN624" s="477">
        <v>7.7732306671286819</v>
      </c>
      <c r="AO624" s="473">
        <v>2.845396060158531E-2</v>
      </c>
      <c r="AP624" s="474">
        <v>7.4872619527031649E-3</v>
      </c>
      <c r="AQ624" s="352"/>
      <c r="AR624" s="352"/>
      <c r="AS624" s="352"/>
      <c r="AT624" s="352"/>
      <c r="AU624" s="352"/>
      <c r="AV624" s="352"/>
      <c r="AW624" s="352" t="s">
        <v>254</v>
      </c>
    </row>
    <row r="625" spans="2:49" x14ac:dyDescent="0.2">
      <c r="B625" s="460" t="s">
        <v>2542</v>
      </c>
      <c r="C625" s="460">
        <v>1251</v>
      </c>
      <c r="D625" s="460" t="s">
        <v>2368</v>
      </c>
      <c r="E625" s="460" t="s">
        <v>1138</v>
      </c>
      <c r="F625" s="460">
        <v>3</v>
      </c>
      <c r="G625" s="460">
        <v>4</v>
      </c>
      <c r="H625" s="461" t="s">
        <v>748</v>
      </c>
      <c r="I625" s="461" t="s">
        <v>765</v>
      </c>
      <c r="J625" s="461" t="s">
        <v>700</v>
      </c>
      <c r="K625" s="594"/>
      <c r="L625" s="594"/>
      <c r="M625" s="352">
        <v>1000</v>
      </c>
      <c r="N625" s="352" t="s">
        <v>698</v>
      </c>
      <c r="O625" s="460">
        <v>1251</v>
      </c>
      <c r="P625" s="460" t="s">
        <v>733</v>
      </c>
      <c r="Q625" s="460" t="s">
        <v>2527</v>
      </c>
      <c r="R625" s="460">
        <v>1241</v>
      </c>
      <c r="S625" s="460" t="s">
        <v>1138</v>
      </c>
      <c r="T625" s="462">
        <v>1</v>
      </c>
      <c r="U625" s="460" t="s">
        <v>1138</v>
      </c>
      <c r="V625" s="475">
        <v>0</v>
      </c>
      <c r="W625" s="463" t="s">
        <v>2268</v>
      </c>
      <c r="X625" s="463" t="s">
        <v>2268</v>
      </c>
      <c r="Y625" s="479" t="s">
        <v>2503</v>
      </c>
      <c r="Z625" s="479"/>
      <c r="AA625" s="479"/>
      <c r="AB625" s="464">
        <v>0</v>
      </c>
      <c r="AC625" s="465">
        <v>0</v>
      </c>
      <c r="AD625" s="465">
        <v>0</v>
      </c>
      <c r="AE625" s="476">
        <v>0</v>
      </c>
      <c r="AF625" s="467">
        <v>0</v>
      </c>
      <c r="AG625" s="468">
        <v>0</v>
      </c>
      <c r="AH625" s="218">
        <v>0</v>
      </c>
      <c r="AI625" s="470">
        <v>0</v>
      </c>
      <c r="AJ625" s="471">
        <v>0</v>
      </c>
      <c r="AK625" s="218">
        <v>0</v>
      </c>
      <c r="AL625" s="470">
        <v>0</v>
      </c>
      <c r="AM625" s="471">
        <v>0</v>
      </c>
      <c r="AN625" s="477">
        <v>4.1836182994221707</v>
      </c>
      <c r="AO625" s="473">
        <v>1.5965456862509254E-2</v>
      </c>
      <c r="AP625" s="474">
        <v>4.3407152401911528E-3</v>
      </c>
      <c r="AQ625" s="352"/>
      <c r="AR625" s="352"/>
      <c r="AS625" s="352"/>
      <c r="AT625" s="352"/>
      <c r="AU625" s="352"/>
      <c r="AV625" s="352"/>
      <c r="AW625" s="352" t="s">
        <v>254</v>
      </c>
    </row>
    <row r="626" spans="2:49" x14ac:dyDescent="0.2">
      <c r="B626" s="460" t="s">
        <v>2543</v>
      </c>
      <c r="C626" s="460">
        <v>1251</v>
      </c>
      <c r="D626" s="460" t="s">
        <v>2369</v>
      </c>
      <c r="E626" s="460" t="s">
        <v>1139</v>
      </c>
      <c r="F626" s="460">
        <v>4</v>
      </c>
      <c r="G626" s="460">
        <v>4</v>
      </c>
      <c r="H626" s="461" t="s">
        <v>748</v>
      </c>
      <c r="I626" s="461" t="s">
        <v>765</v>
      </c>
      <c r="J626" s="461" t="s">
        <v>700</v>
      </c>
      <c r="K626" s="594"/>
      <c r="L626" s="594"/>
      <c r="M626" s="352">
        <v>1000</v>
      </c>
      <c r="N626" s="352" t="s">
        <v>698</v>
      </c>
      <c r="O626" s="460">
        <v>1251</v>
      </c>
      <c r="P626" s="460" t="s">
        <v>733</v>
      </c>
      <c r="Q626" s="460" t="s">
        <v>2527</v>
      </c>
      <c r="R626" s="460">
        <v>1241</v>
      </c>
      <c r="S626" s="460" t="s">
        <v>1139</v>
      </c>
      <c r="T626" s="462">
        <v>1</v>
      </c>
      <c r="U626" s="460" t="s">
        <v>1139</v>
      </c>
      <c r="V626" s="475">
        <v>0</v>
      </c>
      <c r="W626" s="463" t="s">
        <v>2268</v>
      </c>
      <c r="X626" s="463" t="s">
        <v>2268</v>
      </c>
      <c r="Y626" s="479" t="s">
        <v>2503</v>
      </c>
      <c r="Z626" s="479"/>
      <c r="AA626" s="479"/>
      <c r="AB626" s="464">
        <v>0</v>
      </c>
      <c r="AC626" s="465">
        <v>0</v>
      </c>
      <c r="AD626" s="465">
        <v>0</v>
      </c>
      <c r="AE626" s="476">
        <v>0</v>
      </c>
      <c r="AF626" s="467">
        <v>0</v>
      </c>
      <c r="AG626" s="468">
        <v>0</v>
      </c>
      <c r="AH626" s="218">
        <v>0</v>
      </c>
      <c r="AI626" s="470">
        <v>0</v>
      </c>
      <c r="AJ626" s="471">
        <v>0</v>
      </c>
      <c r="AK626" s="218">
        <v>0</v>
      </c>
      <c r="AL626" s="470">
        <v>0</v>
      </c>
      <c r="AM626" s="471">
        <v>0</v>
      </c>
      <c r="AN626" s="477">
        <v>0</v>
      </c>
      <c r="AO626" s="473">
        <v>0</v>
      </c>
      <c r="AP626" s="474">
        <v>0</v>
      </c>
      <c r="AQ626" s="352"/>
      <c r="AR626" s="352"/>
      <c r="AS626" s="352"/>
      <c r="AT626" s="352"/>
      <c r="AU626" s="352"/>
      <c r="AV626" s="352"/>
      <c r="AW626" s="352" t="s">
        <v>254</v>
      </c>
    </row>
    <row r="627" spans="2:49" x14ac:dyDescent="0.2">
      <c r="B627" s="460" t="s">
        <v>2540</v>
      </c>
      <c r="C627" s="460">
        <v>1251</v>
      </c>
      <c r="D627" s="460" t="s">
        <v>2370</v>
      </c>
      <c r="E627" s="460" t="s">
        <v>1136</v>
      </c>
      <c r="F627" s="460">
        <v>1</v>
      </c>
      <c r="G627" s="460">
        <v>4</v>
      </c>
      <c r="H627" s="461" t="s">
        <v>752</v>
      </c>
      <c r="I627" s="461" t="s">
        <v>964</v>
      </c>
      <c r="J627" s="461" t="s">
        <v>752</v>
      </c>
      <c r="K627" s="594"/>
      <c r="L627" s="594"/>
      <c r="M627" s="352">
        <v>1000</v>
      </c>
      <c r="N627" s="352" t="s">
        <v>698</v>
      </c>
      <c r="O627" s="460">
        <v>1251</v>
      </c>
      <c r="P627" s="460" t="s">
        <v>733</v>
      </c>
      <c r="Q627" s="460" t="s">
        <v>2527</v>
      </c>
      <c r="R627" s="460">
        <v>1241</v>
      </c>
      <c r="S627" s="460" t="s">
        <v>1136</v>
      </c>
      <c r="T627" s="462">
        <v>1</v>
      </c>
      <c r="U627" s="460" t="s">
        <v>1136</v>
      </c>
      <c r="V627" s="475">
        <v>0</v>
      </c>
      <c r="W627" s="479" t="s">
        <v>2503</v>
      </c>
      <c r="X627" s="479" t="s">
        <v>2267</v>
      </c>
      <c r="Y627" s="479" t="s">
        <v>2267</v>
      </c>
      <c r="Z627" s="479"/>
      <c r="AA627" s="479"/>
      <c r="AB627" s="464">
        <v>0</v>
      </c>
      <c r="AC627" s="465">
        <v>0</v>
      </c>
      <c r="AD627" s="465">
        <v>0</v>
      </c>
      <c r="AE627" s="476">
        <v>0</v>
      </c>
      <c r="AF627" s="467">
        <v>0</v>
      </c>
      <c r="AG627" s="468">
        <v>0</v>
      </c>
      <c r="AH627" s="218">
        <v>32.297908112299048</v>
      </c>
      <c r="AI627" s="470">
        <v>0.38451745283133432</v>
      </c>
      <c r="AJ627" s="471">
        <v>8.8300774578077505E-3</v>
      </c>
      <c r="AK627" s="218">
        <v>32.297908112299048</v>
      </c>
      <c r="AL627" s="470">
        <v>0.38451745283133432</v>
      </c>
      <c r="AM627" s="471">
        <v>8.8300774578077505E-3</v>
      </c>
      <c r="AN627" s="477">
        <v>32.297908112299048</v>
      </c>
      <c r="AO627" s="473">
        <v>0.38451745283133432</v>
      </c>
      <c r="AP627" s="474">
        <v>8.8300774578077505E-3</v>
      </c>
      <c r="AQ627" s="352"/>
      <c r="AR627" s="352"/>
      <c r="AS627" s="352"/>
      <c r="AT627" s="352"/>
      <c r="AU627" s="352"/>
      <c r="AV627" s="352"/>
      <c r="AW627" s="352" t="s">
        <v>254</v>
      </c>
    </row>
    <row r="628" spans="2:49" x14ac:dyDescent="0.2">
      <c r="B628" s="460" t="s">
        <v>2541</v>
      </c>
      <c r="C628" s="460">
        <v>1251</v>
      </c>
      <c r="D628" s="460" t="s">
        <v>2371</v>
      </c>
      <c r="E628" s="460" t="s">
        <v>1137</v>
      </c>
      <c r="F628" s="460">
        <v>2</v>
      </c>
      <c r="G628" s="460">
        <v>4</v>
      </c>
      <c r="H628" s="461" t="s">
        <v>752</v>
      </c>
      <c r="I628" s="461" t="s">
        <v>964</v>
      </c>
      <c r="J628" s="461" t="s">
        <v>752</v>
      </c>
      <c r="K628" s="594"/>
      <c r="L628" s="594"/>
      <c r="M628" s="352">
        <v>1000</v>
      </c>
      <c r="N628" s="352" t="s">
        <v>698</v>
      </c>
      <c r="O628" s="460">
        <v>1251</v>
      </c>
      <c r="P628" s="460" t="s">
        <v>733</v>
      </c>
      <c r="Q628" s="460" t="s">
        <v>2527</v>
      </c>
      <c r="R628" s="460">
        <v>1241</v>
      </c>
      <c r="S628" s="460" t="s">
        <v>1137</v>
      </c>
      <c r="T628" s="462">
        <v>1</v>
      </c>
      <c r="U628" s="460" t="s">
        <v>1137</v>
      </c>
      <c r="V628" s="475">
        <v>0</v>
      </c>
      <c r="W628" s="463" t="s">
        <v>2503</v>
      </c>
      <c r="X628" s="463" t="s">
        <v>2267</v>
      </c>
      <c r="Y628" s="463" t="s">
        <v>2267</v>
      </c>
      <c r="Z628" s="463"/>
      <c r="AA628" s="463"/>
      <c r="AB628" s="464">
        <v>0</v>
      </c>
      <c r="AC628" s="465">
        <v>0</v>
      </c>
      <c r="AD628" s="465">
        <v>0</v>
      </c>
      <c r="AE628" s="476">
        <v>0</v>
      </c>
      <c r="AF628" s="467">
        <v>0</v>
      </c>
      <c r="AG628" s="468">
        <v>0</v>
      </c>
      <c r="AH628" s="218">
        <v>38.28617372550346</v>
      </c>
      <c r="AI628" s="470">
        <v>0.14014678393344682</v>
      </c>
      <c r="AJ628" s="471">
        <v>3.7140506481779024E-3</v>
      </c>
      <c r="AK628" s="218">
        <v>38.28617372550346</v>
      </c>
      <c r="AL628" s="470">
        <v>0.14014678393344682</v>
      </c>
      <c r="AM628" s="471">
        <v>3.7140506481779024E-3</v>
      </c>
      <c r="AN628" s="477">
        <v>38.28617372550346</v>
      </c>
      <c r="AO628" s="473">
        <v>0.14014678393344682</v>
      </c>
      <c r="AP628" s="474">
        <v>3.7140506481779024E-3</v>
      </c>
      <c r="AQ628" s="352"/>
      <c r="AR628" s="352"/>
      <c r="AS628" s="352"/>
      <c r="AT628" s="352"/>
      <c r="AU628" s="352"/>
      <c r="AV628" s="352"/>
      <c r="AW628" s="352" t="s">
        <v>254</v>
      </c>
    </row>
    <row r="629" spans="2:49" x14ac:dyDescent="0.2">
      <c r="B629" s="460" t="s">
        <v>2542</v>
      </c>
      <c r="C629" s="460">
        <v>1251</v>
      </c>
      <c r="D629" s="460" t="s">
        <v>2372</v>
      </c>
      <c r="E629" s="460" t="s">
        <v>1138</v>
      </c>
      <c r="F629" s="460">
        <v>3</v>
      </c>
      <c r="G629" s="460">
        <v>4</v>
      </c>
      <c r="H629" s="461" t="s">
        <v>752</v>
      </c>
      <c r="I629" s="461" t="s">
        <v>964</v>
      </c>
      <c r="J629" s="461" t="s">
        <v>752</v>
      </c>
      <c r="K629" s="594"/>
      <c r="L629" s="594"/>
      <c r="M629" s="352">
        <v>1000</v>
      </c>
      <c r="N629" s="352" t="s">
        <v>698</v>
      </c>
      <c r="O629" s="460">
        <v>1251</v>
      </c>
      <c r="P629" s="460" t="s">
        <v>733</v>
      </c>
      <c r="Q629" s="460" t="s">
        <v>2527</v>
      </c>
      <c r="R629" s="460">
        <v>1241</v>
      </c>
      <c r="S629" s="460" t="s">
        <v>1138</v>
      </c>
      <c r="T629" s="462">
        <v>1</v>
      </c>
      <c r="U629" s="460" t="s">
        <v>1138</v>
      </c>
      <c r="V629" s="475">
        <v>0</v>
      </c>
      <c r="W629" s="463" t="s">
        <v>2503</v>
      </c>
      <c r="X629" s="463" t="s">
        <v>2503</v>
      </c>
      <c r="Y629" s="463" t="s">
        <v>2503</v>
      </c>
      <c r="Z629" s="463"/>
      <c r="AA629" s="463"/>
      <c r="AB629" s="464">
        <v>0</v>
      </c>
      <c r="AC629" s="465">
        <v>0</v>
      </c>
      <c r="AD629" s="465">
        <v>0</v>
      </c>
      <c r="AE629" s="476">
        <v>0</v>
      </c>
      <c r="AF629" s="467">
        <v>0</v>
      </c>
      <c r="AG629" s="468">
        <v>0</v>
      </c>
      <c r="AH629" s="218">
        <v>0</v>
      </c>
      <c r="AI629" s="470">
        <v>0</v>
      </c>
      <c r="AJ629" s="471">
        <v>0</v>
      </c>
      <c r="AK629" s="218">
        <v>0</v>
      </c>
      <c r="AL629" s="470">
        <v>0</v>
      </c>
      <c r="AM629" s="471">
        <v>0</v>
      </c>
      <c r="AN629" s="477">
        <v>0</v>
      </c>
      <c r="AO629" s="473">
        <v>0</v>
      </c>
      <c r="AP629" s="474">
        <v>0</v>
      </c>
      <c r="AQ629" s="352"/>
      <c r="AR629" s="352"/>
      <c r="AS629" s="352"/>
      <c r="AT629" s="352"/>
      <c r="AU629" s="352"/>
      <c r="AV629" s="352"/>
      <c r="AW629" s="352" t="s">
        <v>254</v>
      </c>
    </row>
    <row r="630" spans="2:49" x14ac:dyDescent="0.2">
      <c r="B630" s="460" t="s">
        <v>2543</v>
      </c>
      <c r="C630" s="460">
        <v>1251</v>
      </c>
      <c r="D630" s="460" t="s">
        <v>2373</v>
      </c>
      <c r="E630" s="460" t="s">
        <v>1139</v>
      </c>
      <c r="F630" s="460">
        <v>4</v>
      </c>
      <c r="G630" s="460">
        <v>4</v>
      </c>
      <c r="H630" s="461" t="s">
        <v>752</v>
      </c>
      <c r="I630" s="461" t="s">
        <v>964</v>
      </c>
      <c r="J630" s="461" t="s">
        <v>752</v>
      </c>
      <c r="K630" s="594"/>
      <c r="L630" s="594"/>
      <c r="M630" s="352">
        <v>1000</v>
      </c>
      <c r="N630" s="352" t="s">
        <v>698</v>
      </c>
      <c r="O630" s="460">
        <v>1251</v>
      </c>
      <c r="P630" s="460" t="s">
        <v>733</v>
      </c>
      <c r="Q630" s="460" t="s">
        <v>2527</v>
      </c>
      <c r="R630" s="460">
        <v>1241</v>
      </c>
      <c r="S630" s="460" t="s">
        <v>1139</v>
      </c>
      <c r="T630" s="462">
        <v>1</v>
      </c>
      <c r="U630" s="460" t="s">
        <v>1139</v>
      </c>
      <c r="V630" s="475">
        <v>0</v>
      </c>
      <c r="W630" s="463" t="s">
        <v>2503</v>
      </c>
      <c r="X630" s="463" t="s">
        <v>2503</v>
      </c>
      <c r="Y630" s="463" t="s">
        <v>2503</v>
      </c>
      <c r="Z630" s="463"/>
      <c r="AA630" s="463"/>
      <c r="AB630" s="464">
        <v>0</v>
      </c>
      <c r="AC630" s="465">
        <v>0</v>
      </c>
      <c r="AD630" s="465">
        <v>0</v>
      </c>
      <c r="AE630" s="476">
        <v>0</v>
      </c>
      <c r="AF630" s="467">
        <v>0</v>
      </c>
      <c r="AG630" s="468">
        <v>0</v>
      </c>
      <c r="AH630" s="218">
        <v>0</v>
      </c>
      <c r="AI630" s="470">
        <v>0</v>
      </c>
      <c r="AJ630" s="471">
        <v>0</v>
      </c>
      <c r="AK630" s="218">
        <v>0</v>
      </c>
      <c r="AL630" s="470">
        <v>0</v>
      </c>
      <c r="AM630" s="471">
        <v>0</v>
      </c>
      <c r="AN630" s="477">
        <v>0</v>
      </c>
      <c r="AO630" s="473">
        <v>0</v>
      </c>
      <c r="AP630" s="474">
        <v>0</v>
      </c>
      <c r="AQ630" s="352"/>
      <c r="AR630" s="352"/>
      <c r="AS630" s="352"/>
      <c r="AT630" s="352"/>
      <c r="AU630" s="352"/>
      <c r="AV630" s="352"/>
      <c r="AW630" s="352" t="s">
        <v>254</v>
      </c>
    </row>
    <row r="631" spans="2:49" x14ac:dyDescent="0.2">
      <c r="B631" s="460" t="s">
        <v>2544</v>
      </c>
      <c r="C631" s="460">
        <v>1251</v>
      </c>
      <c r="D631" s="460" t="s">
        <v>2375</v>
      </c>
      <c r="E631" s="460" t="s">
        <v>2376</v>
      </c>
      <c r="F631" s="460">
        <v>1</v>
      </c>
      <c r="G631" s="460">
        <v>5</v>
      </c>
      <c r="H631" s="461" t="s">
        <v>754</v>
      </c>
      <c r="I631" s="461" t="s">
        <v>1991</v>
      </c>
      <c r="J631" s="461" t="s">
        <v>754</v>
      </c>
      <c r="K631" s="594"/>
      <c r="L631" s="594"/>
      <c r="M631" s="352">
        <v>1000</v>
      </c>
      <c r="N631" s="352" t="s">
        <v>698</v>
      </c>
      <c r="O631" s="460">
        <v>1251</v>
      </c>
      <c r="P631" s="460" t="s">
        <v>733</v>
      </c>
      <c r="Q631" s="460" t="s">
        <v>2377</v>
      </c>
      <c r="R631" s="460">
        <v>1241</v>
      </c>
      <c r="S631" s="460" t="s">
        <v>2376</v>
      </c>
      <c r="T631" s="462">
        <v>1</v>
      </c>
      <c r="U631" s="460" t="s">
        <v>2376</v>
      </c>
      <c r="V631" s="475">
        <v>0</v>
      </c>
      <c r="W631" s="463" t="s">
        <v>2278</v>
      </c>
      <c r="X631" s="463" t="s">
        <v>2278</v>
      </c>
      <c r="Y631" s="463" t="s">
        <v>2278</v>
      </c>
      <c r="Z631" s="463"/>
      <c r="AA631" s="463"/>
      <c r="AB631" s="464">
        <v>0</v>
      </c>
      <c r="AC631" s="465">
        <v>0</v>
      </c>
      <c r="AD631" s="465">
        <v>0</v>
      </c>
      <c r="AE631" s="476">
        <v>0</v>
      </c>
      <c r="AF631" s="467">
        <v>0</v>
      </c>
      <c r="AG631" s="468">
        <v>0</v>
      </c>
      <c r="AH631" s="218">
        <v>0</v>
      </c>
      <c r="AI631" s="470">
        <v>0</v>
      </c>
      <c r="AJ631" s="471">
        <v>0</v>
      </c>
      <c r="AK631" s="218">
        <v>0</v>
      </c>
      <c r="AL631" s="470">
        <v>0</v>
      </c>
      <c r="AM631" s="471">
        <v>0</v>
      </c>
      <c r="AN631" s="477">
        <v>0</v>
      </c>
      <c r="AO631" s="473">
        <v>0</v>
      </c>
      <c r="AP631" s="474">
        <v>0</v>
      </c>
      <c r="AQ631" s="352"/>
      <c r="AR631" s="352"/>
      <c r="AS631" s="352"/>
      <c r="AT631" s="352"/>
      <c r="AU631" s="352"/>
      <c r="AV631" s="352"/>
      <c r="AW631" s="352" t="s">
        <v>127</v>
      </c>
    </row>
    <row r="632" spans="2:49" x14ac:dyDescent="0.2">
      <c r="B632" s="460" t="s">
        <v>2545</v>
      </c>
      <c r="C632" s="460">
        <v>1251</v>
      </c>
      <c r="D632" s="460" t="s">
        <v>2379</v>
      </c>
      <c r="E632" s="460" t="s">
        <v>2380</v>
      </c>
      <c r="F632" s="460">
        <v>2</v>
      </c>
      <c r="G632" s="460">
        <v>5</v>
      </c>
      <c r="H632" s="461" t="s">
        <v>754</v>
      </c>
      <c r="I632" s="461" t="s">
        <v>1991</v>
      </c>
      <c r="J632" s="461" t="s">
        <v>754</v>
      </c>
      <c r="K632" s="594"/>
      <c r="L632" s="594"/>
      <c r="M632" s="352">
        <v>1000</v>
      </c>
      <c r="N632" s="352" t="s">
        <v>698</v>
      </c>
      <c r="O632" s="460">
        <v>1251</v>
      </c>
      <c r="P632" s="460" t="s">
        <v>733</v>
      </c>
      <c r="Q632" s="460" t="s">
        <v>2377</v>
      </c>
      <c r="R632" s="460">
        <v>1241</v>
      </c>
      <c r="S632" s="460" t="s">
        <v>2380</v>
      </c>
      <c r="T632" s="462">
        <v>1</v>
      </c>
      <c r="U632" s="460" t="s">
        <v>2380</v>
      </c>
      <c r="V632" s="475">
        <v>0</v>
      </c>
      <c r="W632" s="463" t="s">
        <v>2278</v>
      </c>
      <c r="X632" s="463" t="s">
        <v>2278</v>
      </c>
      <c r="Y632" s="463" t="s">
        <v>2278</v>
      </c>
      <c r="Z632" s="463"/>
      <c r="AA632" s="463"/>
      <c r="AB632" s="464">
        <v>0</v>
      </c>
      <c r="AC632" s="465">
        <v>0</v>
      </c>
      <c r="AD632" s="465">
        <v>0</v>
      </c>
      <c r="AE632" s="476">
        <v>0</v>
      </c>
      <c r="AF632" s="467">
        <v>0</v>
      </c>
      <c r="AG632" s="468">
        <v>0</v>
      </c>
      <c r="AH632" s="218">
        <v>0</v>
      </c>
      <c r="AI632" s="470">
        <v>0</v>
      </c>
      <c r="AJ632" s="471">
        <v>0</v>
      </c>
      <c r="AK632" s="218">
        <v>0</v>
      </c>
      <c r="AL632" s="470">
        <v>0</v>
      </c>
      <c r="AM632" s="471">
        <v>0</v>
      </c>
      <c r="AN632" s="477">
        <v>0</v>
      </c>
      <c r="AO632" s="473">
        <v>0</v>
      </c>
      <c r="AP632" s="474">
        <v>0</v>
      </c>
      <c r="AQ632" s="352"/>
      <c r="AR632" s="352"/>
      <c r="AS632" s="352"/>
      <c r="AT632" s="352"/>
      <c r="AU632" s="352"/>
      <c r="AV632" s="352"/>
      <c r="AW632" s="352" t="s">
        <v>127</v>
      </c>
    </row>
    <row r="633" spans="2:49" x14ac:dyDescent="0.2">
      <c r="B633" s="460" t="s">
        <v>2546</v>
      </c>
      <c r="C633" s="460">
        <v>1251</v>
      </c>
      <c r="D633" s="460" t="s">
        <v>2382</v>
      </c>
      <c r="E633" s="460" t="s">
        <v>2383</v>
      </c>
      <c r="F633" s="460">
        <v>3</v>
      </c>
      <c r="G633" s="460">
        <v>5</v>
      </c>
      <c r="H633" s="461" t="s">
        <v>754</v>
      </c>
      <c r="I633" s="461" t="s">
        <v>1991</v>
      </c>
      <c r="J633" s="461" t="s">
        <v>754</v>
      </c>
      <c r="K633" s="594"/>
      <c r="L633" s="594"/>
      <c r="M633" s="352">
        <v>1000</v>
      </c>
      <c r="N633" s="352" t="s">
        <v>698</v>
      </c>
      <c r="O633" s="460">
        <v>1251</v>
      </c>
      <c r="P633" s="460" t="s">
        <v>733</v>
      </c>
      <c r="Q633" s="460" t="s">
        <v>2377</v>
      </c>
      <c r="R633" s="460">
        <v>1241</v>
      </c>
      <c r="S633" s="460" t="s">
        <v>2383</v>
      </c>
      <c r="T633" s="462">
        <v>1</v>
      </c>
      <c r="U633" s="460" t="s">
        <v>2383</v>
      </c>
      <c r="V633" s="475">
        <v>0</v>
      </c>
      <c r="W633" s="463" t="s">
        <v>2278</v>
      </c>
      <c r="X633" s="463" t="s">
        <v>2278</v>
      </c>
      <c r="Y633" s="463" t="s">
        <v>2278</v>
      </c>
      <c r="Z633" s="463"/>
      <c r="AA633" s="463"/>
      <c r="AB633" s="464">
        <v>0</v>
      </c>
      <c r="AC633" s="465">
        <v>0</v>
      </c>
      <c r="AD633" s="465">
        <v>0</v>
      </c>
      <c r="AE633" s="476">
        <v>0</v>
      </c>
      <c r="AF633" s="467">
        <v>0</v>
      </c>
      <c r="AG633" s="468">
        <v>0</v>
      </c>
      <c r="AH633" s="218">
        <v>0</v>
      </c>
      <c r="AI633" s="470">
        <v>0</v>
      </c>
      <c r="AJ633" s="471">
        <v>0</v>
      </c>
      <c r="AK633" s="218">
        <v>0</v>
      </c>
      <c r="AL633" s="470">
        <v>0</v>
      </c>
      <c r="AM633" s="471">
        <v>0</v>
      </c>
      <c r="AN633" s="477">
        <v>0</v>
      </c>
      <c r="AO633" s="473">
        <v>0</v>
      </c>
      <c r="AP633" s="474">
        <v>0</v>
      </c>
      <c r="AQ633" s="352"/>
      <c r="AR633" s="352"/>
      <c r="AS633" s="352"/>
      <c r="AT633" s="352"/>
      <c r="AU633" s="352"/>
      <c r="AV633" s="352"/>
      <c r="AW633" s="352" t="s">
        <v>127</v>
      </c>
    </row>
    <row r="634" spans="2:49" x14ac:dyDescent="0.2">
      <c r="B634" s="460" t="s">
        <v>2547</v>
      </c>
      <c r="C634" s="460">
        <v>1251</v>
      </c>
      <c r="D634" s="460" t="s">
        <v>2385</v>
      </c>
      <c r="E634" s="460" t="s">
        <v>2386</v>
      </c>
      <c r="F634" s="460">
        <v>4</v>
      </c>
      <c r="G634" s="460">
        <v>5</v>
      </c>
      <c r="H634" s="461" t="s">
        <v>754</v>
      </c>
      <c r="I634" s="461" t="s">
        <v>1991</v>
      </c>
      <c r="J634" s="461" t="s">
        <v>754</v>
      </c>
      <c r="K634" s="594"/>
      <c r="L634" s="594"/>
      <c r="M634" s="352">
        <v>1000</v>
      </c>
      <c r="N634" s="352" t="s">
        <v>698</v>
      </c>
      <c r="O634" s="460">
        <v>1251</v>
      </c>
      <c r="P634" s="460" t="s">
        <v>733</v>
      </c>
      <c r="Q634" s="460" t="s">
        <v>2377</v>
      </c>
      <c r="R634" s="460">
        <v>1241</v>
      </c>
      <c r="S634" s="460" t="s">
        <v>2386</v>
      </c>
      <c r="T634" s="462">
        <v>1</v>
      </c>
      <c r="U634" s="460" t="s">
        <v>2386</v>
      </c>
      <c r="V634" s="475">
        <v>0</v>
      </c>
      <c r="W634" s="463" t="s">
        <v>2278</v>
      </c>
      <c r="X634" s="463" t="s">
        <v>2278</v>
      </c>
      <c r="Y634" s="463" t="s">
        <v>2278</v>
      </c>
      <c r="Z634" s="463"/>
      <c r="AA634" s="463"/>
      <c r="AB634" s="464">
        <v>0</v>
      </c>
      <c r="AC634" s="465">
        <v>0</v>
      </c>
      <c r="AD634" s="465">
        <v>0</v>
      </c>
      <c r="AE634" s="476">
        <v>0</v>
      </c>
      <c r="AF634" s="467">
        <v>0</v>
      </c>
      <c r="AG634" s="468">
        <v>0</v>
      </c>
      <c r="AH634" s="218">
        <v>0</v>
      </c>
      <c r="AI634" s="470">
        <v>0</v>
      </c>
      <c r="AJ634" s="471">
        <v>0</v>
      </c>
      <c r="AK634" s="218">
        <v>0</v>
      </c>
      <c r="AL634" s="470">
        <v>0</v>
      </c>
      <c r="AM634" s="471">
        <v>0</v>
      </c>
      <c r="AN634" s="477">
        <v>0</v>
      </c>
      <c r="AO634" s="473">
        <v>0</v>
      </c>
      <c r="AP634" s="474">
        <v>0</v>
      </c>
      <c r="AQ634" s="352"/>
      <c r="AR634" s="352"/>
      <c r="AS634" s="352"/>
      <c r="AT634" s="352"/>
      <c r="AU634" s="352"/>
      <c r="AV634" s="352"/>
      <c r="AW634" s="352" t="s">
        <v>127</v>
      </c>
    </row>
    <row r="635" spans="2:49" x14ac:dyDescent="0.2">
      <c r="B635" s="460" t="s">
        <v>2548</v>
      </c>
      <c r="C635" s="460">
        <v>1251</v>
      </c>
      <c r="D635" s="460" t="s">
        <v>2388</v>
      </c>
      <c r="E635" s="460" t="s">
        <v>2389</v>
      </c>
      <c r="F635" s="460">
        <v>1</v>
      </c>
      <c r="G635" s="460">
        <v>6</v>
      </c>
      <c r="H635" s="461" t="s">
        <v>754</v>
      </c>
      <c r="I635" s="461" t="s">
        <v>1991</v>
      </c>
      <c r="J635" s="461" t="s">
        <v>754</v>
      </c>
      <c r="K635" s="594"/>
      <c r="L635" s="594"/>
      <c r="M635" s="352">
        <v>1000</v>
      </c>
      <c r="N635" s="352" t="s">
        <v>698</v>
      </c>
      <c r="O635" s="460">
        <v>1251</v>
      </c>
      <c r="P635" s="460" t="s">
        <v>733</v>
      </c>
      <c r="Q635" s="460" t="s">
        <v>2377</v>
      </c>
      <c r="R635" s="460">
        <v>1241</v>
      </c>
      <c r="S635" s="460" t="s">
        <v>2389</v>
      </c>
      <c r="T635" s="462">
        <v>1</v>
      </c>
      <c r="U635" s="460" t="s">
        <v>2389</v>
      </c>
      <c r="V635" s="475">
        <v>0</v>
      </c>
      <c r="W635" s="463" t="s">
        <v>2278</v>
      </c>
      <c r="X635" s="463" t="s">
        <v>2278</v>
      </c>
      <c r="Y635" s="463" t="s">
        <v>2278</v>
      </c>
      <c r="Z635" s="463"/>
      <c r="AA635" s="463"/>
      <c r="AB635" s="464">
        <v>0</v>
      </c>
      <c r="AC635" s="465">
        <v>0</v>
      </c>
      <c r="AD635" s="465">
        <v>0</v>
      </c>
      <c r="AE635" s="476">
        <v>0</v>
      </c>
      <c r="AF635" s="467">
        <v>0</v>
      </c>
      <c r="AG635" s="468">
        <v>0</v>
      </c>
      <c r="AH635" s="218">
        <v>0</v>
      </c>
      <c r="AI635" s="470">
        <v>0</v>
      </c>
      <c r="AJ635" s="471">
        <v>0</v>
      </c>
      <c r="AK635" s="218">
        <v>0</v>
      </c>
      <c r="AL635" s="470">
        <v>0</v>
      </c>
      <c r="AM635" s="471">
        <v>0</v>
      </c>
      <c r="AN635" s="477">
        <v>0</v>
      </c>
      <c r="AO635" s="473">
        <v>0</v>
      </c>
      <c r="AP635" s="474">
        <v>0</v>
      </c>
      <c r="AQ635" s="352"/>
      <c r="AR635" s="352"/>
      <c r="AS635" s="352"/>
      <c r="AT635" s="352"/>
      <c r="AU635" s="352"/>
      <c r="AV635" s="352"/>
      <c r="AW635" s="352" t="s">
        <v>127</v>
      </c>
    </row>
    <row r="636" spans="2:49" x14ac:dyDescent="0.2">
      <c r="B636" s="460" t="s">
        <v>2549</v>
      </c>
      <c r="C636" s="460">
        <v>1251</v>
      </c>
      <c r="D636" s="460" t="s">
        <v>2391</v>
      </c>
      <c r="E636" s="460" t="s">
        <v>2392</v>
      </c>
      <c r="F636" s="460">
        <v>2</v>
      </c>
      <c r="G636" s="460">
        <v>6</v>
      </c>
      <c r="H636" s="461" t="s">
        <v>754</v>
      </c>
      <c r="I636" s="461" t="s">
        <v>1991</v>
      </c>
      <c r="J636" s="461" t="s">
        <v>754</v>
      </c>
      <c r="K636" s="594"/>
      <c r="L636" s="594"/>
      <c r="M636" s="352">
        <v>1000</v>
      </c>
      <c r="N636" s="352" t="s">
        <v>698</v>
      </c>
      <c r="O636" s="460">
        <v>1251</v>
      </c>
      <c r="P636" s="460" t="s">
        <v>733</v>
      </c>
      <c r="Q636" s="460" t="s">
        <v>2377</v>
      </c>
      <c r="R636" s="460">
        <v>1241</v>
      </c>
      <c r="S636" s="460" t="s">
        <v>2392</v>
      </c>
      <c r="T636" s="462">
        <v>1</v>
      </c>
      <c r="U636" s="460" t="s">
        <v>2392</v>
      </c>
      <c r="V636" s="475">
        <v>0</v>
      </c>
      <c r="W636" s="463" t="s">
        <v>2278</v>
      </c>
      <c r="X636" s="463" t="s">
        <v>2278</v>
      </c>
      <c r="Y636" s="463" t="s">
        <v>2278</v>
      </c>
      <c r="Z636" s="463"/>
      <c r="AA636" s="463"/>
      <c r="AB636" s="464">
        <v>0</v>
      </c>
      <c r="AC636" s="465">
        <v>0</v>
      </c>
      <c r="AD636" s="465">
        <v>0</v>
      </c>
      <c r="AE636" s="476">
        <v>0</v>
      </c>
      <c r="AF636" s="467">
        <v>0</v>
      </c>
      <c r="AG636" s="468">
        <v>0</v>
      </c>
      <c r="AH636" s="218">
        <v>0</v>
      </c>
      <c r="AI636" s="470">
        <v>0</v>
      </c>
      <c r="AJ636" s="471">
        <v>0</v>
      </c>
      <c r="AK636" s="218">
        <v>0</v>
      </c>
      <c r="AL636" s="470">
        <v>0</v>
      </c>
      <c r="AM636" s="471">
        <v>0</v>
      </c>
      <c r="AN636" s="477">
        <v>0</v>
      </c>
      <c r="AO636" s="473">
        <v>0</v>
      </c>
      <c r="AP636" s="474">
        <v>0</v>
      </c>
      <c r="AQ636" s="352"/>
      <c r="AR636" s="352"/>
      <c r="AS636" s="352"/>
      <c r="AT636" s="352"/>
      <c r="AU636" s="352"/>
      <c r="AV636" s="352"/>
      <c r="AW636" s="352" t="s">
        <v>127</v>
      </c>
    </row>
    <row r="637" spans="2:49" x14ac:dyDescent="0.2">
      <c r="B637" s="460" t="s">
        <v>2550</v>
      </c>
      <c r="C637" s="460">
        <v>1251</v>
      </c>
      <c r="D637" s="460" t="s">
        <v>2394</v>
      </c>
      <c r="E637" s="460" t="s">
        <v>2395</v>
      </c>
      <c r="F637" s="460">
        <v>3</v>
      </c>
      <c r="G637" s="460">
        <v>6</v>
      </c>
      <c r="H637" s="461" t="s">
        <v>754</v>
      </c>
      <c r="I637" s="461" t="s">
        <v>1991</v>
      </c>
      <c r="J637" s="461" t="s">
        <v>754</v>
      </c>
      <c r="K637" s="594"/>
      <c r="L637" s="594"/>
      <c r="M637" s="352">
        <v>1000</v>
      </c>
      <c r="N637" s="352" t="s">
        <v>698</v>
      </c>
      <c r="O637" s="460">
        <v>1251</v>
      </c>
      <c r="P637" s="460" t="s">
        <v>733</v>
      </c>
      <c r="Q637" s="460" t="s">
        <v>2377</v>
      </c>
      <c r="R637" s="460">
        <v>1241</v>
      </c>
      <c r="S637" s="460" t="s">
        <v>2395</v>
      </c>
      <c r="T637" s="462">
        <v>1</v>
      </c>
      <c r="U637" s="460" t="s">
        <v>2395</v>
      </c>
      <c r="V637" s="475">
        <v>0</v>
      </c>
      <c r="W637" s="463" t="s">
        <v>2278</v>
      </c>
      <c r="X637" s="463" t="s">
        <v>2278</v>
      </c>
      <c r="Y637" s="463" t="s">
        <v>2278</v>
      </c>
      <c r="Z637" s="463"/>
      <c r="AA637" s="463"/>
      <c r="AB637" s="464">
        <v>0</v>
      </c>
      <c r="AC637" s="465">
        <v>0</v>
      </c>
      <c r="AD637" s="465">
        <v>0</v>
      </c>
      <c r="AE637" s="476">
        <v>0</v>
      </c>
      <c r="AF637" s="467">
        <v>0</v>
      </c>
      <c r="AG637" s="468">
        <v>0</v>
      </c>
      <c r="AH637" s="218">
        <v>0</v>
      </c>
      <c r="AI637" s="470">
        <v>0</v>
      </c>
      <c r="AJ637" s="471">
        <v>0</v>
      </c>
      <c r="AK637" s="218">
        <v>0</v>
      </c>
      <c r="AL637" s="470">
        <v>0</v>
      </c>
      <c r="AM637" s="471">
        <v>0</v>
      </c>
      <c r="AN637" s="477">
        <v>0</v>
      </c>
      <c r="AO637" s="473">
        <v>0</v>
      </c>
      <c r="AP637" s="474">
        <v>0</v>
      </c>
      <c r="AQ637" s="352"/>
      <c r="AR637" s="352"/>
      <c r="AS637" s="352"/>
      <c r="AT637" s="352"/>
      <c r="AU637" s="352"/>
      <c r="AV637" s="352"/>
      <c r="AW637" s="352" t="s">
        <v>127</v>
      </c>
    </row>
    <row r="638" spans="2:49" x14ac:dyDescent="0.2">
      <c r="B638" s="460" t="s">
        <v>2551</v>
      </c>
      <c r="C638" s="460">
        <v>1251</v>
      </c>
      <c r="D638" s="460" t="s">
        <v>2397</v>
      </c>
      <c r="E638" s="460" t="s">
        <v>2398</v>
      </c>
      <c r="F638" s="460">
        <v>4</v>
      </c>
      <c r="G638" s="460">
        <v>6</v>
      </c>
      <c r="H638" s="461" t="s">
        <v>754</v>
      </c>
      <c r="I638" s="461" t="s">
        <v>1991</v>
      </c>
      <c r="J638" s="461" t="s">
        <v>754</v>
      </c>
      <c r="K638" s="594"/>
      <c r="L638" s="594"/>
      <c r="M638" s="352">
        <v>1000</v>
      </c>
      <c r="N638" s="352" t="s">
        <v>698</v>
      </c>
      <c r="O638" s="460">
        <v>1251</v>
      </c>
      <c r="P638" s="460" t="s">
        <v>733</v>
      </c>
      <c r="Q638" s="460" t="s">
        <v>2377</v>
      </c>
      <c r="R638" s="460">
        <v>1241</v>
      </c>
      <c r="S638" s="460" t="s">
        <v>2398</v>
      </c>
      <c r="T638" s="462">
        <v>1</v>
      </c>
      <c r="U638" s="460" t="s">
        <v>2398</v>
      </c>
      <c r="V638" s="475">
        <v>0</v>
      </c>
      <c r="W638" s="463" t="s">
        <v>2278</v>
      </c>
      <c r="X638" s="463" t="s">
        <v>2278</v>
      </c>
      <c r="Y638" s="463" t="s">
        <v>2278</v>
      </c>
      <c r="Z638" s="463"/>
      <c r="AA638" s="463"/>
      <c r="AB638" s="464">
        <v>0</v>
      </c>
      <c r="AC638" s="465">
        <v>0</v>
      </c>
      <c r="AD638" s="465">
        <v>0</v>
      </c>
      <c r="AE638" s="476">
        <v>0</v>
      </c>
      <c r="AF638" s="467">
        <v>0</v>
      </c>
      <c r="AG638" s="468">
        <v>0</v>
      </c>
      <c r="AH638" s="218">
        <v>0</v>
      </c>
      <c r="AI638" s="470">
        <v>0</v>
      </c>
      <c r="AJ638" s="471">
        <v>0</v>
      </c>
      <c r="AK638" s="218">
        <v>0</v>
      </c>
      <c r="AL638" s="470">
        <v>0</v>
      </c>
      <c r="AM638" s="471">
        <v>0</v>
      </c>
      <c r="AN638" s="477">
        <v>0</v>
      </c>
      <c r="AO638" s="473">
        <v>0</v>
      </c>
      <c r="AP638" s="474">
        <v>0</v>
      </c>
      <c r="AQ638" s="352"/>
      <c r="AR638" s="352"/>
      <c r="AS638" s="352"/>
      <c r="AT638" s="352"/>
      <c r="AU638" s="352"/>
      <c r="AV638" s="352"/>
      <c r="AW638" s="352" t="s">
        <v>127</v>
      </c>
    </row>
    <row r="639" spans="2:49" x14ac:dyDescent="0.2">
      <c r="B639" s="460" t="s">
        <v>2552</v>
      </c>
      <c r="C639" s="460">
        <v>6000</v>
      </c>
      <c r="D639" s="460" t="s">
        <v>2264</v>
      </c>
      <c r="E639" s="460" t="s">
        <v>2265</v>
      </c>
      <c r="F639" s="460">
        <v>1</v>
      </c>
      <c r="G639" s="460">
        <v>1</v>
      </c>
      <c r="H639" s="461" t="s">
        <v>700</v>
      </c>
      <c r="I639" s="461" t="s">
        <v>872</v>
      </c>
      <c r="J639" s="461" t="s">
        <v>700</v>
      </c>
      <c r="K639" s="594"/>
      <c r="L639" s="594"/>
      <c r="M639" s="352">
        <v>6000</v>
      </c>
      <c r="N639" s="352" t="s">
        <v>871</v>
      </c>
      <c r="O639" s="460">
        <v>1311</v>
      </c>
      <c r="P639" s="460" t="s">
        <v>710</v>
      </c>
      <c r="Q639" s="460" t="s">
        <v>2553</v>
      </c>
      <c r="R639" s="460">
        <v>1311</v>
      </c>
      <c r="S639" s="460" t="s">
        <v>2265</v>
      </c>
      <c r="T639" s="462">
        <v>1</v>
      </c>
      <c r="U639" s="460" t="s">
        <v>2265</v>
      </c>
      <c r="V639" s="475">
        <v>0</v>
      </c>
      <c r="W639" s="463" t="s">
        <v>2554</v>
      </c>
      <c r="X639" s="463" t="s">
        <v>2554</v>
      </c>
      <c r="Y639" s="463" t="s">
        <v>2268</v>
      </c>
      <c r="Z639" s="463"/>
      <c r="AA639" s="463"/>
      <c r="AB639" s="464">
        <v>1183.0250815763554</v>
      </c>
      <c r="AC639" s="465">
        <v>0.1023218102532496</v>
      </c>
      <c r="AD639" s="465">
        <v>1.0970706418002711E-2</v>
      </c>
      <c r="AE639" s="476">
        <v>709.81504894581326</v>
      </c>
      <c r="AF639" s="467">
        <v>6.1393086151949758E-2</v>
      </c>
      <c r="AG639" s="468">
        <v>7.0314063073899334E-3</v>
      </c>
      <c r="AH639" s="218">
        <v>709.81504894581326</v>
      </c>
      <c r="AI639" s="470">
        <v>6.1393086151949758E-2</v>
      </c>
      <c r="AJ639" s="471">
        <v>6.7683272562306081E-3</v>
      </c>
      <c r="AK639" s="218">
        <v>709.81504894581326</v>
      </c>
      <c r="AL639" s="470">
        <v>6.1393086151949758E-2</v>
      </c>
      <c r="AM639" s="471">
        <v>6.7683272562306081E-3</v>
      </c>
      <c r="AN639" s="477">
        <v>0</v>
      </c>
      <c r="AO639" s="473">
        <v>0</v>
      </c>
      <c r="AP639" s="474">
        <v>0</v>
      </c>
      <c r="AQ639" s="352"/>
      <c r="AR639" s="352"/>
      <c r="AS639" s="352"/>
      <c r="AT639" s="352"/>
      <c r="AU639" s="352"/>
      <c r="AV639" s="352"/>
      <c r="AW639" s="352" t="s">
        <v>254</v>
      </c>
    </row>
    <row r="640" spans="2:49" x14ac:dyDescent="0.2">
      <c r="B640" s="460" t="s">
        <v>2555</v>
      </c>
      <c r="C640" s="460">
        <v>6000</v>
      </c>
      <c r="D640" s="460" t="s">
        <v>2270</v>
      </c>
      <c r="E640" s="460" t="s">
        <v>2271</v>
      </c>
      <c r="F640" s="460">
        <v>2</v>
      </c>
      <c r="G640" s="460">
        <v>1</v>
      </c>
      <c r="H640" s="461" t="s">
        <v>700</v>
      </c>
      <c r="I640" s="461" t="s">
        <v>872</v>
      </c>
      <c r="J640" s="461" t="s">
        <v>700</v>
      </c>
      <c r="K640" s="594"/>
      <c r="L640" s="594"/>
      <c r="M640" s="352">
        <v>6000</v>
      </c>
      <c r="N640" s="352" t="s">
        <v>871</v>
      </c>
      <c r="O640" s="460">
        <v>1311</v>
      </c>
      <c r="P640" s="460" t="s">
        <v>710</v>
      </c>
      <c r="Q640" s="460" t="s">
        <v>2553</v>
      </c>
      <c r="R640" s="460">
        <v>1311</v>
      </c>
      <c r="S640" s="460" t="s">
        <v>2265</v>
      </c>
      <c r="T640" s="462">
        <v>1</v>
      </c>
      <c r="U640" s="460" t="s">
        <v>2271</v>
      </c>
      <c r="V640" s="475">
        <v>0</v>
      </c>
      <c r="W640" s="463" t="s">
        <v>2554</v>
      </c>
      <c r="X640" s="463" t="s">
        <v>2554</v>
      </c>
      <c r="Y640" s="463" t="s">
        <v>2268</v>
      </c>
      <c r="Z640" s="463"/>
      <c r="AA640" s="463"/>
      <c r="AB640" s="464">
        <v>884.24996985705661</v>
      </c>
      <c r="AC640" s="465">
        <v>8.5770997727225323E-2</v>
      </c>
      <c r="AD640" s="465">
        <v>1.0970706418002704E-2</v>
      </c>
      <c r="AE640" s="476">
        <v>530.54998191423397</v>
      </c>
      <c r="AF640" s="467">
        <v>5.1462598636335191E-2</v>
      </c>
      <c r="AG640" s="468">
        <v>7.1331176681203139E-3</v>
      </c>
      <c r="AH640" s="218">
        <v>632.92763309038196</v>
      </c>
      <c r="AI640" s="470">
        <v>6.1393086151949758E-2</v>
      </c>
      <c r="AJ640" s="471">
        <v>7.472596474658289E-3</v>
      </c>
      <c r="AK640" s="218">
        <v>632.92763309038196</v>
      </c>
      <c r="AL640" s="470">
        <v>6.1393086151949758E-2</v>
      </c>
      <c r="AM640" s="471">
        <v>7.472596474658289E-3</v>
      </c>
      <c r="AN640" s="477">
        <v>0</v>
      </c>
      <c r="AO640" s="473">
        <v>0</v>
      </c>
      <c r="AP640" s="474">
        <v>0</v>
      </c>
      <c r="AQ640" s="352"/>
      <c r="AR640" s="352"/>
      <c r="AS640" s="352"/>
      <c r="AT640" s="352"/>
      <c r="AU640" s="352"/>
      <c r="AV640" s="352"/>
      <c r="AW640" s="352" t="s">
        <v>254</v>
      </c>
    </row>
    <row r="641" spans="2:49" x14ac:dyDescent="0.2">
      <c r="B641" s="460" t="s">
        <v>2556</v>
      </c>
      <c r="C641" s="460">
        <v>6000</v>
      </c>
      <c r="D641" s="460" t="s">
        <v>2273</v>
      </c>
      <c r="E641" s="460" t="s">
        <v>2274</v>
      </c>
      <c r="F641" s="460">
        <v>3</v>
      </c>
      <c r="G641" s="460">
        <v>1</v>
      </c>
      <c r="H641" s="461" t="s">
        <v>700</v>
      </c>
      <c r="I641" s="461" t="s">
        <v>872</v>
      </c>
      <c r="J641" s="461" t="s">
        <v>700</v>
      </c>
      <c r="K641" s="594"/>
      <c r="L641" s="594"/>
      <c r="M641" s="352">
        <v>6000</v>
      </c>
      <c r="N641" s="352" t="s">
        <v>871</v>
      </c>
      <c r="O641" s="460">
        <v>1311</v>
      </c>
      <c r="P641" s="460" t="s">
        <v>710</v>
      </c>
      <c r="Q641" s="460" t="s">
        <v>2553</v>
      </c>
      <c r="R641" s="460">
        <v>1311</v>
      </c>
      <c r="S641" s="460" t="s">
        <v>2265</v>
      </c>
      <c r="T641" s="462">
        <v>0.74223365950407583</v>
      </c>
      <c r="U641" s="460" t="s">
        <v>2274</v>
      </c>
      <c r="V641" s="475">
        <v>0</v>
      </c>
      <c r="W641" s="463" t="s">
        <v>2554</v>
      </c>
      <c r="X641" s="463" t="s">
        <v>2554</v>
      </c>
      <c r="Y641" s="463" t="s">
        <v>2268</v>
      </c>
      <c r="Z641" s="463"/>
      <c r="AA641" s="463"/>
      <c r="AB641" s="464">
        <v>221.76637904340484</v>
      </c>
      <c r="AC641" s="465">
        <v>3.6499116204458365E-2</v>
      </c>
      <c r="AD641" s="465">
        <v>1.0970706418002704E-2</v>
      </c>
      <c r="AE641" s="476">
        <v>133.05982742604292</v>
      </c>
      <c r="AF641" s="467">
        <v>2.1899469722675018E-2</v>
      </c>
      <c r="AG641" s="468">
        <v>7.129910697484804E-3</v>
      </c>
      <c r="AH641" s="218">
        <v>276.86844883478273</v>
      </c>
      <c r="AI641" s="470">
        <v>4.5568015002810672E-2</v>
      </c>
      <c r="AJ641" s="471">
        <v>1.0743626832546618E-2</v>
      </c>
      <c r="AK641" s="218">
        <v>276.86844883478273</v>
      </c>
      <c r="AL641" s="470">
        <v>4.5568015002810672E-2</v>
      </c>
      <c r="AM641" s="471">
        <v>1.0743626832546618E-2</v>
      </c>
      <c r="AN641" s="477">
        <v>0</v>
      </c>
      <c r="AO641" s="473">
        <v>0</v>
      </c>
      <c r="AP641" s="474">
        <v>0</v>
      </c>
      <c r="AQ641" s="352"/>
      <c r="AR641" s="352"/>
      <c r="AS641" s="352"/>
      <c r="AT641" s="352"/>
      <c r="AU641" s="352"/>
      <c r="AV641" s="352"/>
      <c r="AW641" s="352" t="s">
        <v>254</v>
      </c>
    </row>
    <row r="642" spans="2:49" x14ac:dyDescent="0.2">
      <c r="B642" s="460" t="s">
        <v>2557</v>
      </c>
      <c r="C642" s="460">
        <v>6000</v>
      </c>
      <c r="D642" s="460" t="s">
        <v>2276</v>
      </c>
      <c r="E642" s="460" t="s">
        <v>2277</v>
      </c>
      <c r="F642" s="460">
        <v>4</v>
      </c>
      <c r="G642" s="460">
        <v>1</v>
      </c>
      <c r="H642" s="461" t="s">
        <v>700</v>
      </c>
      <c r="I642" s="461" t="s">
        <v>872</v>
      </c>
      <c r="J642" s="461" t="s">
        <v>700</v>
      </c>
      <c r="K642" s="594"/>
      <c r="L642" s="594"/>
      <c r="M642" s="352">
        <v>6000</v>
      </c>
      <c r="N642" s="352" t="s">
        <v>871</v>
      </c>
      <c r="O642" s="460">
        <v>1311</v>
      </c>
      <c r="P642" s="460" t="s">
        <v>710</v>
      </c>
      <c r="Q642" s="460" t="s">
        <v>2553</v>
      </c>
      <c r="R642" s="460">
        <v>1311</v>
      </c>
      <c r="S642" s="460" t="s">
        <v>2277</v>
      </c>
      <c r="T642" s="462">
        <v>1</v>
      </c>
      <c r="U642" s="460" t="s">
        <v>2277</v>
      </c>
      <c r="V642" s="475">
        <v>0</v>
      </c>
      <c r="W642" s="463" t="s">
        <v>2554</v>
      </c>
      <c r="X642" s="463" t="s">
        <v>2554</v>
      </c>
      <c r="Y642" s="463" t="s">
        <v>2268</v>
      </c>
      <c r="Z642" s="463"/>
      <c r="AA642" s="463"/>
      <c r="AB642" s="464">
        <v>2.7180714601687193</v>
      </c>
      <c r="AC642" s="465">
        <v>3.9456869803857278E-4</v>
      </c>
      <c r="AD642" s="465">
        <v>1.0970706418002709E-2</v>
      </c>
      <c r="AE642" s="476">
        <v>1.6308428761012315</v>
      </c>
      <c r="AF642" s="467">
        <v>2.3674121882314366E-4</v>
      </c>
      <c r="AG642" s="468">
        <v>7.3588028880722314E-3</v>
      </c>
      <c r="AH642" s="218">
        <v>1.6308428761012315</v>
      </c>
      <c r="AI642" s="470">
        <v>2.3674121882314366E-4</v>
      </c>
      <c r="AJ642" s="471">
        <v>7.0530940329557494E-3</v>
      </c>
      <c r="AK642" s="218">
        <v>1.6308428761012315</v>
      </c>
      <c r="AL642" s="470">
        <v>2.3674121882314366E-4</v>
      </c>
      <c r="AM642" s="471">
        <v>7.0530940329557494E-3</v>
      </c>
      <c r="AN642" s="477">
        <v>0</v>
      </c>
      <c r="AO642" s="473">
        <v>0</v>
      </c>
      <c r="AP642" s="474">
        <v>0</v>
      </c>
      <c r="AQ642" s="352"/>
      <c r="AR642" s="352"/>
      <c r="AS642" s="352"/>
      <c r="AT642" s="352"/>
      <c r="AU642" s="352"/>
      <c r="AV642" s="352"/>
      <c r="AW642" s="352" t="s">
        <v>254</v>
      </c>
    </row>
    <row r="643" spans="2:49" x14ac:dyDescent="0.2">
      <c r="B643" s="460" t="s">
        <v>2552</v>
      </c>
      <c r="C643" s="460">
        <v>6000</v>
      </c>
      <c r="D643" s="460" t="s">
        <v>2279</v>
      </c>
      <c r="E643" s="460" t="s">
        <v>2265</v>
      </c>
      <c r="F643" s="460">
        <v>1</v>
      </c>
      <c r="G643" s="460">
        <v>1</v>
      </c>
      <c r="H643" s="461" t="s">
        <v>712</v>
      </c>
      <c r="I643" s="461" t="s">
        <v>713</v>
      </c>
      <c r="J643" s="461" t="s">
        <v>712</v>
      </c>
      <c r="K643" s="594"/>
      <c r="L643" s="594"/>
      <c r="M643" s="352">
        <v>6000</v>
      </c>
      <c r="N643" s="352" t="s">
        <v>871</v>
      </c>
      <c r="O643" s="460">
        <v>1311</v>
      </c>
      <c r="P643" s="460" t="s">
        <v>710</v>
      </c>
      <c r="Q643" s="460" t="s">
        <v>2280</v>
      </c>
      <c r="R643" s="460">
        <v>1311</v>
      </c>
      <c r="S643" s="460" t="s">
        <v>2265</v>
      </c>
      <c r="T643" s="462">
        <v>1</v>
      </c>
      <c r="U643" s="460" t="s">
        <v>2265</v>
      </c>
      <c r="V643" s="475">
        <v>0</v>
      </c>
      <c r="W643" s="463" t="s">
        <v>713</v>
      </c>
      <c r="X643" s="463" t="s">
        <v>713</v>
      </c>
      <c r="Y643" s="463" t="s">
        <v>713</v>
      </c>
      <c r="Z643" s="463"/>
      <c r="AA643" s="463"/>
      <c r="AB643" s="464">
        <v>10378.782500290426</v>
      </c>
      <c r="AC643" s="465">
        <v>0.8976781897467504</v>
      </c>
      <c r="AD643" s="465">
        <v>3.8341017444279542E-2</v>
      </c>
      <c r="AE643" s="476">
        <v>10851.992532920969</v>
      </c>
      <c r="AF643" s="467">
        <v>0.93860691384805028</v>
      </c>
      <c r="AG643" s="468">
        <v>3.9094690380763839E-2</v>
      </c>
      <c r="AH643" s="218">
        <v>10851.992532920969</v>
      </c>
      <c r="AI643" s="470">
        <v>0.93860691384805028</v>
      </c>
      <c r="AJ643" s="471">
        <v>3.9655243585439176E-2</v>
      </c>
      <c r="AK643" s="218">
        <v>10851.992532920969</v>
      </c>
      <c r="AL643" s="470">
        <v>0.93860691384805028</v>
      </c>
      <c r="AM643" s="471">
        <v>3.9655243585439176E-2</v>
      </c>
      <c r="AN643" s="477">
        <v>10851.992532920967</v>
      </c>
      <c r="AO643" s="473">
        <v>0.93860691384805017</v>
      </c>
      <c r="AP643" s="474">
        <v>3.9642322316656424E-2</v>
      </c>
      <c r="AQ643" s="352"/>
      <c r="AR643" s="352"/>
      <c r="AS643" s="352"/>
      <c r="AT643" s="352"/>
      <c r="AU643" s="352"/>
      <c r="AV643" s="352"/>
      <c r="AW643" s="352" t="s">
        <v>254</v>
      </c>
    </row>
    <row r="644" spans="2:49" x14ac:dyDescent="0.2">
      <c r="B644" s="460" t="s">
        <v>2555</v>
      </c>
      <c r="C644" s="460">
        <v>6000</v>
      </c>
      <c r="D644" s="460" t="s">
        <v>2281</v>
      </c>
      <c r="E644" s="460" t="s">
        <v>2271</v>
      </c>
      <c r="F644" s="460">
        <v>2</v>
      </c>
      <c r="G644" s="460">
        <v>1</v>
      </c>
      <c r="H644" s="461" t="s">
        <v>712</v>
      </c>
      <c r="I644" s="461" t="s">
        <v>713</v>
      </c>
      <c r="J644" s="461" t="s">
        <v>712</v>
      </c>
      <c r="K644" s="594"/>
      <c r="L644" s="594"/>
      <c r="M644" s="352">
        <v>6000</v>
      </c>
      <c r="N644" s="352" t="s">
        <v>871</v>
      </c>
      <c r="O644" s="460">
        <v>1311</v>
      </c>
      <c r="P644" s="460" t="s">
        <v>710</v>
      </c>
      <c r="Q644" s="460" t="s">
        <v>2280</v>
      </c>
      <c r="R644" s="460">
        <v>1311</v>
      </c>
      <c r="S644" s="460" t="s">
        <v>2265</v>
      </c>
      <c r="T644" s="462">
        <v>1</v>
      </c>
      <c r="U644" s="460" t="s">
        <v>2271</v>
      </c>
      <c r="V644" s="475">
        <v>0</v>
      </c>
      <c r="W644" s="463" t="s">
        <v>713</v>
      </c>
      <c r="X644" s="463" t="s">
        <v>713</v>
      </c>
      <c r="Y644" s="463" t="s">
        <v>713</v>
      </c>
      <c r="Z644" s="463"/>
      <c r="AA644" s="463"/>
      <c r="AB644" s="464">
        <v>9425.1785466352849</v>
      </c>
      <c r="AC644" s="465">
        <v>0.91422900227277459</v>
      </c>
      <c r="AD644" s="465">
        <v>3.9358797247405548E-2</v>
      </c>
      <c r="AE644" s="476">
        <v>9778.8785345781089</v>
      </c>
      <c r="AF644" s="467">
        <v>0.94853740136366482</v>
      </c>
      <c r="AG644" s="468">
        <v>3.9801574531510585E-2</v>
      </c>
      <c r="AH644" s="218">
        <v>9676.5008834019609</v>
      </c>
      <c r="AI644" s="470">
        <v>0.93860691384805028</v>
      </c>
      <c r="AJ644" s="471">
        <v>4.1571655648977343E-2</v>
      </c>
      <c r="AK644" s="218">
        <v>9676.5008834019609</v>
      </c>
      <c r="AL644" s="470">
        <v>0.93860691384805028</v>
      </c>
      <c r="AM644" s="471">
        <v>4.1571655648977343E-2</v>
      </c>
      <c r="AN644" s="477">
        <v>9676.5008834019591</v>
      </c>
      <c r="AO644" s="473">
        <v>0.93860691384805017</v>
      </c>
      <c r="AP644" s="474">
        <v>4.1557058476927047E-2</v>
      </c>
      <c r="AQ644" s="352"/>
      <c r="AR644" s="352"/>
      <c r="AS644" s="352"/>
      <c r="AT644" s="352"/>
      <c r="AU644" s="352"/>
      <c r="AV644" s="352"/>
      <c r="AW644" s="352" t="s">
        <v>254</v>
      </c>
    </row>
    <row r="645" spans="2:49" x14ac:dyDescent="0.2">
      <c r="B645" s="460" t="s">
        <v>2556</v>
      </c>
      <c r="C645" s="460">
        <v>6000</v>
      </c>
      <c r="D645" s="460" t="s">
        <v>2282</v>
      </c>
      <c r="E645" s="460" t="s">
        <v>2274</v>
      </c>
      <c r="F645" s="460">
        <v>3</v>
      </c>
      <c r="G645" s="460">
        <v>1</v>
      </c>
      <c r="H645" s="461" t="s">
        <v>712</v>
      </c>
      <c r="I645" s="461" t="s">
        <v>713</v>
      </c>
      <c r="J645" s="461" t="s">
        <v>712</v>
      </c>
      <c r="K645" s="594"/>
      <c r="L645" s="594"/>
      <c r="M645" s="352">
        <v>6000</v>
      </c>
      <c r="N645" s="352" t="s">
        <v>871</v>
      </c>
      <c r="O645" s="460">
        <v>1311</v>
      </c>
      <c r="P645" s="460" t="s">
        <v>710</v>
      </c>
      <c r="Q645" s="460" t="s">
        <v>2280</v>
      </c>
      <c r="R645" s="460">
        <v>1311</v>
      </c>
      <c r="S645" s="460" t="s">
        <v>2265</v>
      </c>
      <c r="T645" s="462">
        <v>0.74223365950407583</v>
      </c>
      <c r="U645" s="460" t="s">
        <v>2274</v>
      </c>
      <c r="V645" s="475">
        <v>0</v>
      </c>
      <c r="W645" s="463" t="s">
        <v>713</v>
      </c>
      <c r="X645" s="463" t="s">
        <v>713</v>
      </c>
      <c r="Y645" s="463" t="s">
        <v>713</v>
      </c>
      <c r="Z645" s="463"/>
      <c r="AA645" s="463"/>
      <c r="AB645" s="464">
        <v>5854.1719478226059</v>
      </c>
      <c r="AC645" s="465">
        <v>0.96350088379554166</v>
      </c>
      <c r="AD645" s="465">
        <v>3.5038462892341235E-2</v>
      </c>
      <c r="AE645" s="476">
        <v>5942.8784994399675</v>
      </c>
      <c r="AF645" s="467">
        <v>0.97810053027732502</v>
      </c>
      <c r="AG645" s="468">
        <v>3.5241981459438208E-2</v>
      </c>
      <c r="AH645" s="218">
        <v>5799.0698780312277</v>
      </c>
      <c r="AI645" s="470">
        <v>0.95443198499718929</v>
      </c>
      <c r="AJ645" s="471">
        <v>3.6442345133397794E-2</v>
      </c>
      <c r="AK645" s="218">
        <v>5799.0698780312277</v>
      </c>
      <c r="AL645" s="470">
        <v>0.95443198499718929</v>
      </c>
      <c r="AM645" s="471">
        <v>3.6442345133397794E-2</v>
      </c>
      <c r="AN645" s="477">
        <v>5799.0698780312277</v>
      </c>
      <c r="AO645" s="473">
        <v>0.95443198499718929</v>
      </c>
      <c r="AP645" s="474">
        <v>3.6705240096690871E-2</v>
      </c>
      <c r="AQ645" s="352"/>
      <c r="AR645" s="352"/>
      <c r="AS645" s="352"/>
      <c r="AT645" s="352"/>
      <c r="AU645" s="352"/>
      <c r="AV645" s="352"/>
      <c r="AW645" s="352" t="s">
        <v>254</v>
      </c>
    </row>
    <row r="646" spans="2:49" x14ac:dyDescent="0.2">
      <c r="B646" s="460" t="s">
        <v>2557</v>
      </c>
      <c r="C646" s="460">
        <v>6000</v>
      </c>
      <c r="D646" s="460" t="s">
        <v>2283</v>
      </c>
      <c r="E646" s="460" t="s">
        <v>2277</v>
      </c>
      <c r="F646" s="460">
        <v>4</v>
      </c>
      <c r="G646" s="460">
        <v>1</v>
      </c>
      <c r="H646" s="461" t="s">
        <v>712</v>
      </c>
      <c r="I646" s="461" t="s">
        <v>713</v>
      </c>
      <c r="J646" s="461" t="s">
        <v>712</v>
      </c>
      <c r="K646" s="594"/>
      <c r="L646" s="594"/>
      <c r="M646" s="352">
        <v>6000</v>
      </c>
      <c r="N646" s="352" t="s">
        <v>871</v>
      </c>
      <c r="O646" s="460">
        <v>1311</v>
      </c>
      <c r="P646" s="460" t="s">
        <v>710</v>
      </c>
      <c r="Q646" s="460" t="s">
        <v>2280</v>
      </c>
      <c r="R646" s="460">
        <v>1311</v>
      </c>
      <c r="S646" s="460" t="s">
        <v>2277</v>
      </c>
      <c r="T646" s="462">
        <v>1</v>
      </c>
      <c r="U646" s="460" t="s">
        <v>2277</v>
      </c>
      <c r="V646" s="475">
        <v>0</v>
      </c>
      <c r="W646" s="463" t="s">
        <v>713</v>
      </c>
      <c r="X646" s="463" t="s">
        <v>713</v>
      </c>
      <c r="Y646" s="463" t="s">
        <v>713</v>
      </c>
      <c r="Z646" s="463"/>
      <c r="AA646" s="463"/>
      <c r="AB646" s="464">
        <v>6885.9973124018379</v>
      </c>
      <c r="AC646" s="465">
        <v>0.99960543130196133</v>
      </c>
      <c r="AD646" s="465">
        <v>3.5760876803877663E-2</v>
      </c>
      <c r="AE646" s="476">
        <v>6887.0845409859057</v>
      </c>
      <c r="AF646" s="467">
        <v>0.99976325878117689</v>
      </c>
      <c r="AG646" s="468">
        <v>3.576166849709482E-2</v>
      </c>
      <c r="AH646" s="218">
        <v>6887.0845409859057</v>
      </c>
      <c r="AI646" s="470">
        <v>0.99976325878117689</v>
      </c>
      <c r="AJ646" s="471">
        <v>3.5763452333775474E-2</v>
      </c>
      <c r="AK646" s="218">
        <v>6887.0845409859057</v>
      </c>
      <c r="AL646" s="470">
        <v>0.99976325878117689</v>
      </c>
      <c r="AM646" s="471">
        <v>3.5763452333775474E-2</v>
      </c>
      <c r="AN646" s="477">
        <v>6887.0845409859057</v>
      </c>
      <c r="AO646" s="473">
        <v>0.99976325878117689</v>
      </c>
      <c r="AP646" s="474">
        <v>3.5763630665154672E-2</v>
      </c>
      <c r="AQ646" s="352"/>
      <c r="AR646" s="352"/>
      <c r="AS646" s="352"/>
      <c r="AT646" s="352"/>
      <c r="AU646" s="352"/>
      <c r="AV646" s="352"/>
      <c r="AW646" s="352" t="s">
        <v>254</v>
      </c>
    </row>
    <row r="647" spans="2:49" x14ac:dyDescent="0.2">
      <c r="B647" s="460" t="s">
        <v>2552</v>
      </c>
      <c r="C647" s="460">
        <v>6000</v>
      </c>
      <c r="D647" s="460" t="s">
        <v>2284</v>
      </c>
      <c r="E647" s="460" t="s">
        <v>2265</v>
      </c>
      <c r="F647" s="460">
        <v>1</v>
      </c>
      <c r="G647" s="460">
        <v>1</v>
      </c>
      <c r="H647" s="461" t="s">
        <v>746</v>
      </c>
      <c r="I647" s="461" t="s">
        <v>762</v>
      </c>
      <c r="J647" s="461" t="s">
        <v>700</v>
      </c>
      <c r="K647" s="594"/>
      <c r="L647" s="594"/>
      <c r="M647" s="352">
        <v>6000</v>
      </c>
      <c r="N647" s="352" t="s">
        <v>871</v>
      </c>
      <c r="O647" s="460">
        <v>1311</v>
      </c>
      <c r="P647" s="460" t="s">
        <v>710</v>
      </c>
      <c r="Q647" s="460" t="s">
        <v>2553</v>
      </c>
      <c r="R647" s="460">
        <v>1311</v>
      </c>
      <c r="S647" s="460" t="s">
        <v>2265</v>
      </c>
      <c r="T647" s="462">
        <v>1</v>
      </c>
      <c r="U647" s="460" t="s">
        <v>2265</v>
      </c>
      <c r="V647" s="475">
        <v>0</v>
      </c>
      <c r="W647" s="463" t="s">
        <v>2268</v>
      </c>
      <c r="X647" s="463" t="s">
        <v>2268</v>
      </c>
      <c r="Y647" s="463" t="s">
        <v>2554</v>
      </c>
      <c r="Z647" s="463"/>
      <c r="AA647" s="463"/>
      <c r="AB647" s="464">
        <v>0</v>
      </c>
      <c r="AC647" s="465">
        <v>0</v>
      </c>
      <c r="AD647" s="465">
        <v>0</v>
      </c>
      <c r="AE647" s="476">
        <v>0</v>
      </c>
      <c r="AF647" s="467">
        <v>0</v>
      </c>
      <c r="AG647" s="468">
        <v>0</v>
      </c>
      <c r="AH647" s="218">
        <v>0</v>
      </c>
      <c r="AI647" s="470">
        <v>0</v>
      </c>
      <c r="AJ647" s="471">
        <v>0</v>
      </c>
      <c r="AK647" s="218">
        <v>0</v>
      </c>
      <c r="AL647" s="470">
        <v>0</v>
      </c>
      <c r="AM647" s="471">
        <v>0</v>
      </c>
      <c r="AN647" s="477">
        <v>650.66379486699554</v>
      </c>
      <c r="AO647" s="473">
        <v>5.6276995639287286E-2</v>
      </c>
      <c r="AP647" s="474">
        <v>7.3371323408782272E-3</v>
      </c>
      <c r="AQ647" s="352"/>
      <c r="AR647" s="352"/>
      <c r="AS647" s="352"/>
      <c r="AT647" s="352"/>
      <c r="AU647" s="352"/>
      <c r="AV647" s="352"/>
      <c r="AW647" s="352" t="s">
        <v>254</v>
      </c>
    </row>
    <row r="648" spans="2:49" x14ac:dyDescent="0.2">
      <c r="B648" s="460" t="s">
        <v>2555</v>
      </c>
      <c r="C648" s="460">
        <v>6000</v>
      </c>
      <c r="D648" s="460" t="s">
        <v>2285</v>
      </c>
      <c r="E648" s="460" t="s">
        <v>2271</v>
      </c>
      <c r="F648" s="460">
        <v>2</v>
      </c>
      <c r="G648" s="460">
        <v>1</v>
      </c>
      <c r="H648" s="461" t="s">
        <v>746</v>
      </c>
      <c r="I648" s="461" t="s">
        <v>762</v>
      </c>
      <c r="J648" s="461" t="s">
        <v>700</v>
      </c>
      <c r="K648" s="594"/>
      <c r="L648" s="594"/>
      <c r="M648" s="352">
        <v>6000</v>
      </c>
      <c r="N648" s="352" t="s">
        <v>871</v>
      </c>
      <c r="O648" s="460">
        <v>1311</v>
      </c>
      <c r="P648" s="460" t="s">
        <v>710</v>
      </c>
      <c r="Q648" s="460" t="s">
        <v>2553</v>
      </c>
      <c r="R648" s="460">
        <v>1311</v>
      </c>
      <c r="S648" s="460" t="s">
        <v>2265</v>
      </c>
      <c r="T648" s="462">
        <v>1</v>
      </c>
      <c r="U648" s="460" t="s">
        <v>2271</v>
      </c>
      <c r="V648" s="475">
        <v>0</v>
      </c>
      <c r="W648" s="463" t="s">
        <v>2268</v>
      </c>
      <c r="X648" s="463" t="s">
        <v>2268</v>
      </c>
      <c r="Y648" s="463" t="s">
        <v>2554</v>
      </c>
      <c r="Z648" s="463"/>
      <c r="AA648" s="463"/>
      <c r="AB648" s="464">
        <v>0</v>
      </c>
      <c r="AC648" s="465">
        <v>0</v>
      </c>
      <c r="AD648" s="465">
        <v>0</v>
      </c>
      <c r="AE648" s="476">
        <v>0</v>
      </c>
      <c r="AF648" s="467">
        <v>0</v>
      </c>
      <c r="AG648" s="468">
        <v>0</v>
      </c>
      <c r="AH648" s="218">
        <v>0</v>
      </c>
      <c r="AI648" s="470">
        <v>0</v>
      </c>
      <c r="AJ648" s="471">
        <v>0</v>
      </c>
      <c r="AK648" s="218">
        <v>0</v>
      </c>
      <c r="AL648" s="470">
        <v>0</v>
      </c>
      <c r="AM648" s="471">
        <v>0</v>
      </c>
      <c r="AN648" s="477">
        <v>580.18366366618352</v>
      </c>
      <c r="AO648" s="473">
        <v>5.6276995639287286E-2</v>
      </c>
      <c r="AP648" s="474">
        <v>8.4211755610966704E-3</v>
      </c>
      <c r="AQ648" s="352"/>
      <c r="AR648" s="352"/>
      <c r="AS648" s="352"/>
      <c r="AT648" s="352"/>
      <c r="AU648" s="352"/>
      <c r="AV648" s="352"/>
      <c r="AW648" s="352" t="s">
        <v>254</v>
      </c>
    </row>
    <row r="649" spans="2:49" x14ac:dyDescent="0.2">
      <c r="B649" s="460" t="s">
        <v>2556</v>
      </c>
      <c r="C649" s="460">
        <v>6000</v>
      </c>
      <c r="D649" s="460" t="s">
        <v>2286</v>
      </c>
      <c r="E649" s="460" t="s">
        <v>2274</v>
      </c>
      <c r="F649" s="460">
        <v>3</v>
      </c>
      <c r="G649" s="460">
        <v>1</v>
      </c>
      <c r="H649" s="461" t="s">
        <v>746</v>
      </c>
      <c r="I649" s="461" t="s">
        <v>762</v>
      </c>
      <c r="J649" s="461" t="s">
        <v>700</v>
      </c>
      <c r="K649" s="594"/>
      <c r="L649" s="594"/>
      <c r="M649" s="352">
        <v>6000</v>
      </c>
      <c r="N649" s="352" t="s">
        <v>871</v>
      </c>
      <c r="O649" s="460">
        <v>1311</v>
      </c>
      <c r="P649" s="460" t="s">
        <v>710</v>
      </c>
      <c r="Q649" s="460" t="s">
        <v>2553</v>
      </c>
      <c r="R649" s="460">
        <v>1311</v>
      </c>
      <c r="S649" s="460" t="s">
        <v>2265</v>
      </c>
      <c r="T649" s="462">
        <v>0.74223365950407583</v>
      </c>
      <c r="U649" s="460" t="s">
        <v>2274</v>
      </c>
      <c r="V649" s="475">
        <v>0</v>
      </c>
      <c r="W649" s="463" t="s">
        <v>2268</v>
      </c>
      <c r="X649" s="463" t="s">
        <v>2268</v>
      </c>
      <c r="Y649" s="463" t="s">
        <v>2554</v>
      </c>
      <c r="Z649" s="463"/>
      <c r="AA649" s="463"/>
      <c r="AB649" s="464">
        <v>0</v>
      </c>
      <c r="AC649" s="465">
        <v>0</v>
      </c>
      <c r="AD649" s="465">
        <v>0</v>
      </c>
      <c r="AE649" s="476">
        <v>0</v>
      </c>
      <c r="AF649" s="467">
        <v>0</v>
      </c>
      <c r="AG649" s="468">
        <v>0</v>
      </c>
      <c r="AH649" s="218">
        <v>0</v>
      </c>
      <c r="AI649" s="470">
        <v>0</v>
      </c>
      <c r="AJ649" s="471">
        <v>0</v>
      </c>
      <c r="AK649" s="218">
        <v>0</v>
      </c>
      <c r="AL649" s="470">
        <v>0</v>
      </c>
      <c r="AM649" s="471">
        <v>0</v>
      </c>
      <c r="AN649" s="477">
        <v>253.79607809855088</v>
      </c>
      <c r="AO649" s="473">
        <v>4.1770680419243124E-2</v>
      </c>
      <c r="AP649" s="474">
        <v>1.281294327518025E-2</v>
      </c>
      <c r="AQ649" s="352"/>
      <c r="AR649" s="352"/>
      <c r="AS649" s="352"/>
      <c r="AT649" s="352"/>
      <c r="AU649" s="352"/>
      <c r="AV649" s="352"/>
      <c r="AW649" s="352" t="s">
        <v>254</v>
      </c>
    </row>
    <row r="650" spans="2:49" x14ac:dyDescent="0.2">
      <c r="B650" s="460" t="s">
        <v>2557</v>
      </c>
      <c r="C650" s="460">
        <v>6000</v>
      </c>
      <c r="D650" s="460" t="s">
        <v>2287</v>
      </c>
      <c r="E650" s="460" t="s">
        <v>2277</v>
      </c>
      <c r="F650" s="460">
        <v>4</v>
      </c>
      <c r="G650" s="460">
        <v>1</v>
      </c>
      <c r="H650" s="461" t="s">
        <v>746</v>
      </c>
      <c r="I650" s="461" t="s">
        <v>762</v>
      </c>
      <c r="J650" s="461" t="s">
        <v>700</v>
      </c>
      <c r="K650" s="594"/>
      <c r="L650" s="594"/>
      <c r="M650" s="352">
        <v>6000</v>
      </c>
      <c r="N650" s="352" t="s">
        <v>871</v>
      </c>
      <c r="O650" s="460">
        <v>1311</v>
      </c>
      <c r="P650" s="460" t="s">
        <v>710</v>
      </c>
      <c r="Q650" s="460" t="s">
        <v>2553</v>
      </c>
      <c r="R650" s="460">
        <v>1311</v>
      </c>
      <c r="S650" s="460" t="s">
        <v>2277</v>
      </c>
      <c r="T650" s="462">
        <v>1</v>
      </c>
      <c r="U650" s="460" t="s">
        <v>2277</v>
      </c>
      <c r="V650" s="475">
        <v>0</v>
      </c>
      <c r="W650" s="463" t="s">
        <v>2268</v>
      </c>
      <c r="X650" s="463" t="s">
        <v>2268</v>
      </c>
      <c r="Y650" s="463" t="s">
        <v>2554</v>
      </c>
      <c r="Z650" s="463"/>
      <c r="AA650" s="463"/>
      <c r="AB650" s="464">
        <v>0</v>
      </c>
      <c r="AC650" s="465">
        <v>0</v>
      </c>
      <c r="AD650" s="465">
        <v>0</v>
      </c>
      <c r="AE650" s="476">
        <v>0</v>
      </c>
      <c r="AF650" s="467">
        <v>0</v>
      </c>
      <c r="AG650" s="468">
        <v>0</v>
      </c>
      <c r="AH650" s="218">
        <v>0</v>
      </c>
      <c r="AI650" s="470">
        <v>0</v>
      </c>
      <c r="AJ650" s="471">
        <v>0</v>
      </c>
      <c r="AK650" s="218">
        <v>0</v>
      </c>
      <c r="AL650" s="470">
        <v>0</v>
      </c>
      <c r="AM650" s="471">
        <v>0</v>
      </c>
      <c r="AN650" s="477">
        <v>1.4949393030927955</v>
      </c>
      <c r="AO650" s="473">
        <v>2.1701278392121504E-4</v>
      </c>
      <c r="AP650" s="474">
        <v>7.8363618412378225E-3</v>
      </c>
      <c r="AQ650" s="352"/>
      <c r="AR650" s="352"/>
      <c r="AS650" s="352"/>
      <c r="AT650" s="352"/>
      <c r="AU650" s="352"/>
      <c r="AV650" s="352"/>
      <c r="AW650" s="352" t="s">
        <v>254</v>
      </c>
    </row>
    <row r="651" spans="2:49" x14ac:dyDescent="0.2">
      <c r="B651" s="460" t="s">
        <v>2552</v>
      </c>
      <c r="C651" s="460">
        <v>6000</v>
      </c>
      <c r="D651" s="460" t="s">
        <v>2288</v>
      </c>
      <c r="E651" s="460" t="s">
        <v>2265</v>
      </c>
      <c r="F651" s="460">
        <v>1</v>
      </c>
      <c r="G651" s="460">
        <v>1</v>
      </c>
      <c r="H651" s="461" t="s">
        <v>748</v>
      </c>
      <c r="I651" s="461" t="s">
        <v>765</v>
      </c>
      <c r="J651" s="461" t="s">
        <v>700</v>
      </c>
      <c r="K651" s="594"/>
      <c r="L651" s="594"/>
      <c r="M651" s="352">
        <v>6000</v>
      </c>
      <c r="N651" s="352" t="s">
        <v>871</v>
      </c>
      <c r="O651" s="460">
        <v>1311</v>
      </c>
      <c r="P651" s="460" t="s">
        <v>710</v>
      </c>
      <c r="Q651" s="460" t="s">
        <v>2553</v>
      </c>
      <c r="R651" s="460">
        <v>1311</v>
      </c>
      <c r="S651" s="460" t="s">
        <v>2265</v>
      </c>
      <c r="T651" s="462">
        <v>1</v>
      </c>
      <c r="U651" s="460" t="s">
        <v>2265</v>
      </c>
      <c r="V651" s="475">
        <v>0</v>
      </c>
      <c r="W651" s="463" t="s">
        <v>2268</v>
      </c>
      <c r="X651" s="463" t="s">
        <v>2268</v>
      </c>
      <c r="Y651" s="463" t="s">
        <v>2554</v>
      </c>
      <c r="Z651" s="463"/>
      <c r="AA651" s="463"/>
      <c r="AB651" s="464">
        <v>0</v>
      </c>
      <c r="AC651" s="465">
        <v>0</v>
      </c>
      <c r="AD651" s="465">
        <v>0</v>
      </c>
      <c r="AE651" s="476">
        <v>0</v>
      </c>
      <c r="AF651" s="467">
        <v>0</v>
      </c>
      <c r="AG651" s="468">
        <v>0</v>
      </c>
      <c r="AH651" s="218">
        <v>0</v>
      </c>
      <c r="AI651" s="470">
        <v>0</v>
      </c>
      <c r="AJ651" s="471">
        <v>0</v>
      </c>
      <c r="AK651" s="218">
        <v>0</v>
      </c>
      <c r="AL651" s="470">
        <v>0</v>
      </c>
      <c r="AM651" s="471">
        <v>0</v>
      </c>
      <c r="AN651" s="477">
        <v>59.151254078817828</v>
      </c>
      <c r="AO651" s="473">
        <v>5.1160905126624847E-3</v>
      </c>
      <c r="AP651" s="474">
        <v>3.6733290842770549E-3</v>
      </c>
      <c r="AQ651" s="352"/>
      <c r="AR651" s="352"/>
      <c r="AS651" s="352"/>
      <c r="AT651" s="352"/>
      <c r="AU651" s="352"/>
      <c r="AV651" s="352"/>
      <c r="AW651" s="352" t="s">
        <v>254</v>
      </c>
    </row>
    <row r="652" spans="2:49" x14ac:dyDescent="0.2">
      <c r="B652" s="460" t="s">
        <v>2555</v>
      </c>
      <c r="C652" s="460">
        <v>6000</v>
      </c>
      <c r="D652" s="460" t="s">
        <v>2291</v>
      </c>
      <c r="E652" s="460" t="s">
        <v>2271</v>
      </c>
      <c r="F652" s="460">
        <v>2</v>
      </c>
      <c r="G652" s="460">
        <v>1</v>
      </c>
      <c r="H652" s="461" t="s">
        <v>748</v>
      </c>
      <c r="I652" s="461" t="s">
        <v>765</v>
      </c>
      <c r="J652" s="461" t="s">
        <v>700</v>
      </c>
      <c r="K652" s="594"/>
      <c r="L652" s="594"/>
      <c r="M652" s="352">
        <v>6000</v>
      </c>
      <c r="N652" s="352" t="s">
        <v>871</v>
      </c>
      <c r="O652" s="460">
        <v>1311</v>
      </c>
      <c r="P652" s="460" t="s">
        <v>710</v>
      </c>
      <c r="Q652" s="460" t="s">
        <v>2553</v>
      </c>
      <c r="R652" s="460">
        <v>1311</v>
      </c>
      <c r="S652" s="460" t="s">
        <v>2265</v>
      </c>
      <c r="T652" s="462">
        <v>1</v>
      </c>
      <c r="U652" s="460" t="s">
        <v>2271</v>
      </c>
      <c r="V652" s="475">
        <v>0</v>
      </c>
      <c r="W652" s="463" t="s">
        <v>2268</v>
      </c>
      <c r="X652" s="463" t="s">
        <v>2268</v>
      </c>
      <c r="Y652" s="463" t="s">
        <v>2554</v>
      </c>
      <c r="Z652" s="463"/>
      <c r="AA652" s="463"/>
      <c r="AB652" s="464">
        <v>0</v>
      </c>
      <c r="AC652" s="465">
        <v>0</v>
      </c>
      <c r="AD652" s="465">
        <v>0</v>
      </c>
      <c r="AE652" s="476">
        <v>0</v>
      </c>
      <c r="AF652" s="467">
        <v>0</v>
      </c>
      <c r="AG652" s="468">
        <v>0</v>
      </c>
      <c r="AH652" s="218">
        <v>0</v>
      </c>
      <c r="AI652" s="470">
        <v>0</v>
      </c>
      <c r="AJ652" s="471">
        <v>0</v>
      </c>
      <c r="AK652" s="218">
        <v>0</v>
      </c>
      <c r="AL652" s="470">
        <v>0</v>
      </c>
      <c r="AM652" s="471">
        <v>0</v>
      </c>
      <c r="AN652" s="477">
        <v>52.743969424198546</v>
      </c>
      <c r="AO652" s="473">
        <v>5.1160905126624847E-3</v>
      </c>
      <c r="AP652" s="474">
        <v>3.3547315099692904E-3</v>
      </c>
      <c r="AQ652" s="352"/>
      <c r="AR652" s="352"/>
      <c r="AS652" s="352"/>
      <c r="AT652" s="352"/>
      <c r="AU652" s="352"/>
      <c r="AV652" s="352"/>
      <c r="AW652" s="352" t="s">
        <v>254</v>
      </c>
    </row>
    <row r="653" spans="2:49" x14ac:dyDescent="0.2">
      <c r="B653" s="460" t="s">
        <v>2556</v>
      </c>
      <c r="C653" s="460">
        <v>6000</v>
      </c>
      <c r="D653" s="460" t="s">
        <v>2292</v>
      </c>
      <c r="E653" s="460" t="s">
        <v>2274</v>
      </c>
      <c r="F653" s="460">
        <v>3</v>
      </c>
      <c r="G653" s="460">
        <v>1</v>
      </c>
      <c r="H653" s="461" t="s">
        <v>748</v>
      </c>
      <c r="I653" s="461" t="s">
        <v>765</v>
      </c>
      <c r="J653" s="461" t="s">
        <v>700</v>
      </c>
      <c r="K653" s="594"/>
      <c r="L653" s="594"/>
      <c r="M653" s="352">
        <v>6000</v>
      </c>
      <c r="N653" s="352" t="s">
        <v>871</v>
      </c>
      <c r="O653" s="460">
        <v>1311</v>
      </c>
      <c r="P653" s="460" t="s">
        <v>710</v>
      </c>
      <c r="Q653" s="460" t="s">
        <v>2553</v>
      </c>
      <c r="R653" s="460">
        <v>1311</v>
      </c>
      <c r="S653" s="460" t="s">
        <v>2265</v>
      </c>
      <c r="T653" s="462">
        <v>0.74223365950407583</v>
      </c>
      <c r="U653" s="460" t="s">
        <v>2274</v>
      </c>
      <c r="V653" s="475">
        <v>0</v>
      </c>
      <c r="W653" s="463" t="s">
        <v>2268</v>
      </c>
      <c r="X653" s="463" t="s">
        <v>2268</v>
      </c>
      <c r="Y653" s="463" t="s">
        <v>2554</v>
      </c>
      <c r="Z653" s="463"/>
      <c r="AA653" s="463"/>
      <c r="AB653" s="464">
        <v>0</v>
      </c>
      <c r="AC653" s="465">
        <v>0</v>
      </c>
      <c r="AD653" s="465">
        <v>0</v>
      </c>
      <c r="AE653" s="476">
        <v>0</v>
      </c>
      <c r="AF653" s="467">
        <v>0</v>
      </c>
      <c r="AG653" s="468">
        <v>0</v>
      </c>
      <c r="AH653" s="218">
        <v>0</v>
      </c>
      <c r="AI653" s="470">
        <v>0</v>
      </c>
      <c r="AJ653" s="471">
        <v>0</v>
      </c>
      <c r="AK653" s="218">
        <v>0</v>
      </c>
      <c r="AL653" s="470">
        <v>0</v>
      </c>
      <c r="AM653" s="471">
        <v>0</v>
      </c>
      <c r="AN653" s="477">
        <v>23.072370736231917</v>
      </c>
      <c r="AO653" s="473">
        <v>3.7973345835675596E-3</v>
      </c>
      <c r="AP653" s="474">
        <v>3.2485157237827677E-3</v>
      </c>
      <c r="AQ653" s="352"/>
      <c r="AR653" s="352"/>
      <c r="AS653" s="352"/>
      <c r="AT653" s="352"/>
      <c r="AU653" s="352"/>
      <c r="AV653" s="352"/>
      <c r="AW653" s="352" t="s">
        <v>254</v>
      </c>
    </row>
    <row r="654" spans="2:49" x14ac:dyDescent="0.2">
      <c r="B654" s="460" t="s">
        <v>2557</v>
      </c>
      <c r="C654" s="460">
        <v>6000</v>
      </c>
      <c r="D654" s="460" t="s">
        <v>2293</v>
      </c>
      <c r="E654" s="460" t="s">
        <v>2277</v>
      </c>
      <c r="F654" s="460">
        <v>4</v>
      </c>
      <c r="G654" s="460">
        <v>1</v>
      </c>
      <c r="H654" s="461" t="s">
        <v>748</v>
      </c>
      <c r="I654" s="461" t="s">
        <v>765</v>
      </c>
      <c r="J654" s="461" t="s">
        <v>700</v>
      </c>
      <c r="K654" s="594"/>
      <c r="L654" s="594"/>
      <c r="M654" s="352">
        <v>6000</v>
      </c>
      <c r="N654" s="352" t="s">
        <v>871</v>
      </c>
      <c r="O654" s="460">
        <v>1311</v>
      </c>
      <c r="P654" s="460" t="s">
        <v>710</v>
      </c>
      <c r="Q654" s="460" t="s">
        <v>2553</v>
      </c>
      <c r="R654" s="460">
        <v>1311</v>
      </c>
      <c r="S654" s="460" t="s">
        <v>2277</v>
      </c>
      <c r="T654" s="462">
        <v>1</v>
      </c>
      <c r="U654" s="460" t="s">
        <v>2277</v>
      </c>
      <c r="V654" s="475">
        <v>0</v>
      </c>
      <c r="W654" s="463" t="s">
        <v>2268</v>
      </c>
      <c r="X654" s="463" t="s">
        <v>2268</v>
      </c>
      <c r="Y654" s="463" t="s">
        <v>2554</v>
      </c>
      <c r="Z654" s="463"/>
      <c r="AA654" s="463"/>
      <c r="AB654" s="464">
        <v>0</v>
      </c>
      <c r="AC654" s="465">
        <v>0</v>
      </c>
      <c r="AD654" s="465">
        <v>0</v>
      </c>
      <c r="AE654" s="476">
        <v>0</v>
      </c>
      <c r="AF654" s="467">
        <v>0</v>
      </c>
      <c r="AG654" s="468">
        <v>0</v>
      </c>
      <c r="AH654" s="218">
        <v>0</v>
      </c>
      <c r="AI654" s="470">
        <v>0</v>
      </c>
      <c r="AJ654" s="471">
        <v>0</v>
      </c>
      <c r="AK654" s="218">
        <v>0</v>
      </c>
      <c r="AL654" s="470">
        <v>0</v>
      </c>
      <c r="AM654" s="471">
        <v>0</v>
      </c>
      <c r="AN654" s="477">
        <v>0.13590357300843608</v>
      </c>
      <c r="AO654" s="473">
        <v>1.9728434901928657E-5</v>
      </c>
      <c r="AP654" s="474">
        <v>3.2815505502124371E-3</v>
      </c>
      <c r="AQ654" s="352"/>
      <c r="AR654" s="352"/>
      <c r="AS654" s="352"/>
      <c r="AT654" s="352"/>
      <c r="AU654" s="352"/>
      <c r="AV654" s="352"/>
      <c r="AW654" s="352" t="s">
        <v>254</v>
      </c>
    </row>
    <row r="655" spans="2:49" x14ac:dyDescent="0.2">
      <c r="B655" s="460" t="s">
        <v>2558</v>
      </c>
      <c r="C655" s="460">
        <v>6000</v>
      </c>
      <c r="D655" s="460" t="s">
        <v>2295</v>
      </c>
      <c r="E655" s="460" t="s">
        <v>2296</v>
      </c>
      <c r="F655" s="460">
        <v>1</v>
      </c>
      <c r="G655" s="460">
        <v>2</v>
      </c>
      <c r="H655" s="461" t="s">
        <v>700</v>
      </c>
      <c r="I655" s="461" t="s">
        <v>872</v>
      </c>
      <c r="J655" s="461" t="s">
        <v>700</v>
      </c>
      <c r="K655" s="594"/>
      <c r="L655" s="594"/>
      <c r="M655" s="352">
        <v>6000</v>
      </c>
      <c r="N655" s="352" t="s">
        <v>871</v>
      </c>
      <c r="O655" s="460">
        <v>1311</v>
      </c>
      <c r="P655" s="460" t="s">
        <v>710</v>
      </c>
      <c r="Q655" s="460" t="s">
        <v>2553</v>
      </c>
      <c r="R655" s="460">
        <v>1311</v>
      </c>
      <c r="S655" s="460" t="s">
        <v>2296</v>
      </c>
      <c r="T655" s="462">
        <v>1</v>
      </c>
      <c r="U655" s="460" t="s">
        <v>2296</v>
      </c>
      <c r="V655" s="475">
        <v>0</v>
      </c>
      <c r="W655" s="463" t="s">
        <v>2554</v>
      </c>
      <c r="X655" s="463" t="s">
        <v>2554</v>
      </c>
      <c r="Y655" s="463" t="s">
        <v>2268</v>
      </c>
      <c r="Z655" s="463"/>
      <c r="AA655" s="463"/>
      <c r="AB655" s="464">
        <v>162.8042005949325</v>
      </c>
      <c r="AC655" s="480">
        <v>3.0639648310373049E-2</v>
      </c>
      <c r="AD655" s="465">
        <v>9.5099999999999994E-3</v>
      </c>
      <c r="AE655" s="476">
        <v>97.6825203569595</v>
      </c>
      <c r="AF655" s="481">
        <v>1.838378898622383E-2</v>
      </c>
      <c r="AG655" s="468">
        <v>6.342529829991732E-3</v>
      </c>
      <c r="AH655" s="218">
        <v>97.6825203569595</v>
      </c>
      <c r="AI655" s="482">
        <v>1.838378898622383E-2</v>
      </c>
      <c r="AJ655" s="471">
        <v>5.8270889280753763E-3</v>
      </c>
      <c r="AK655" s="218">
        <v>97.6825203569595</v>
      </c>
      <c r="AL655" s="482">
        <v>1.838378898622383E-2</v>
      </c>
      <c r="AM655" s="471">
        <v>5.8270889280753763E-3</v>
      </c>
      <c r="AN655" s="477">
        <v>0</v>
      </c>
      <c r="AO655" s="473">
        <v>0</v>
      </c>
      <c r="AP655" s="474">
        <v>0</v>
      </c>
      <c r="AQ655" s="352"/>
      <c r="AR655" s="352"/>
      <c r="AS655" s="352"/>
      <c r="AT655" s="352"/>
      <c r="AU655" s="352"/>
      <c r="AV655" s="352"/>
      <c r="AW655" s="352" t="s">
        <v>254</v>
      </c>
    </row>
    <row r="656" spans="2:49" x14ac:dyDescent="0.2">
      <c r="B656" s="460" t="s">
        <v>2559</v>
      </c>
      <c r="C656" s="460">
        <v>6000</v>
      </c>
      <c r="D656" s="460" t="s">
        <v>2298</v>
      </c>
      <c r="E656" s="460" t="s">
        <v>2299</v>
      </c>
      <c r="F656" s="460">
        <v>2</v>
      </c>
      <c r="G656" s="460">
        <v>2</v>
      </c>
      <c r="H656" s="461" t="s">
        <v>700</v>
      </c>
      <c r="I656" s="461" t="s">
        <v>872</v>
      </c>
      <c r="J656" s="461" t="s">
        <v>700</v>
      </c>
      <c r="K656" s="594"/>
      <c r="L656" s="594"/>
      <c r="M656" s="352">
        <v>6000</v>
      </c>
      <c r="N656" s="352" t="s">
        <v>871</v>
      </c>
      <c r="O656" s="460">
        <v>1311</v>
      </c>
      <c r="P656" s="460" t="s">
        <v>710</v>
      </c>
      <c r="Q656" s="460" t="s">
        <v>2553</v>
      </c>
      <c r="R656" s="460">
        <v>1311</v>
      </c>
      <c r="S656" s="460" t="s">
        <v>2296</v>
      </c>
      <c r="T656" s="462">
        <v>0.55517361979372948</v>
      </c>
      <c r="U656" s="460" t="s">
        <v>2299</v>
      </c>
      <c r="V656" s="475">
        <v>0</v>
      </c>
      <c r="W656" s="463" t="s">
        <v>2554</v>
      </c>
      <c r="X656" s="463" t="s">
        <v>2554</v>
      </c>
      <c r="Y656" s="463" t="s">
        <v>2268</v>
      </c>
      <c r="Z656" s="463"/>
      <c r="AA656" s="463"/>
      <c r="AB656" s="464">
        <v>31.429763357425184</v>
      </c>
      <c r="AC656" s="465">
        <v>8.2616859185790145E-3</v>
      </c>
      <c r="AD656" s="465">
        <v>9.5100000000000011E-3</v>
      </c>
      <c r="AE656" s="476">
        <v>18.857858014455111</v>
      </c>
      <c r="AF656" s="467">
        <v>4.9570115511474088E-3</v>
      </c>
      <c r="AG656" s="468">
        <v>6.4032334272504585E-3</v>
      </c>
      <c r="AH656" s="218">
        <v>38.827218395792443</v>
      </c>
      <c r="AI656" s="470">
        <v>1.0206194677005979E-2</v>
      </c>
      <c r="AJ656" s="471">
        <v>9.143327646590791E-3</v>
      </c>
      <c r="AK656" s="218">
        <v>38.827218395792443</v>
      </c>
      <c r="AL656" s="470">
        <v>1.0206194677005979E-2</v>
      </c>
      <c r="AM656" s="471">
        <v>9.143327646590791E-3</v>
      </c>
      <c r="AN656" s="477">
        <v>0</v>
      </c>
      <c r="AO656" s="473">
        <v>0</v>
      </c>
      <c r="AP656" s="474">
        <v>0</v>
      </c>
      <c r="AQ656" s="352"/>
      <c r="AR656" s="352"/>
      <c r="AS656" s="352"/>
      <c r="AT656" s="352"/>
      <c r="AU656" s="352"/>
      <c r="AV656" s="352"/>
      <c r="AW656" s="352" t="s">
        <v>254</v>
      </c>
    </row>
    <row r="657" spans="2:49" x14ac:dyDescent="0.2">
      <c r="B657" s="460" t="s">
        <v>2560</v>
      </c>
      <c r="C657" s="460">
        <v>6000</v>
      </c>
      <c r="D657" s="460" t="s">
        <v>2301</v>
      </c>
      <c r="E657" s="460" t="s">
        <v>2302</v>
      </c>
      <c r="F657" s="460">
        <v>3</v>
      </c>
      <c r="G657" s="460">
        <v>2</v>
      </c>
      <c r="H657" s="461" t="s">
        <v>700</v>
      </c>
      <c r="I657" s="461" t="s">
        <v>872</v>
      </c>
      <c r="J657" s="461" t="s">
        <v>700</v>
      </c>
      <c r="K657" s="594"/>
      <c r="L657" s="594"/>
      <c r="M657" s="352">
        <v>6000</v>
      </c>
      <c r="N657" s="352" t="s">
        <v>871</v>
      </c>
      <c r="O657" s="460">
        <v>1311</v>
      </c>
      <c r="P657" s="460" t="s">
        <v>710</v>
      </c>
      <c r="Q657" s="460" t="s">
        <v>2553</v>
      </c>
      <c r="R657" s="460">
        <v>1311</v>
      </c>
      <c r="S657" s="460" t="s">
        <v>2296</v>
      </c>
      <c r="T657" s="462">
        <v>0.28481449642268464</v>
      </c>
      <c r="U657" s="460" t="s">
        <v>2302</v>
      </c>
      <c r="V657" s="475">
        <v>0</v>
      </c>
      <c r="W657" s="463" t="s">
        <v>2554</v>
      </c>
      <c r="X657" s="463" t="s">
        <v>2554</v>
      </c>
      <c r="Y657" s="463" t="s">
        <v>2268</v>
      </c>
      <c r="Z657" s="463"/>
      <c r="AA657" s="463"/>
      <c r="AB657" s="464">
        <v>4.8891136241525759</v>
      </c>
      <c r="AC657" s="465">
        <v>5.3744449643722608E-3</v>
      </c>
      <c r="AD657" s="465">
        <v>9.5099999999999994E-3</v>
      </c>
      <c r="AE657" s="476">
        <v>2.9334681744915456</v>
      </c>
      <c r="AF657" s="467">
        <v>3.2246669786233566E-3</v>
      </c>
      <c r="AG657" s="468">
        <v>6.4388698947029322E-3</v>
      </c>
      <c r="AH657" s="218">
        <v>4.7631430759265356</v>
      </c>
      <c r="AI657" s="470">
        <v>5.2359696024522357E-3</v>
      </c>
      <c r="AJ657" s="471">
        <v>4.9447089571044408E-3</v>
      </c>
      <c r="AK657" s="218">
        <v>4.7631430759265356</v>
      </c>
      <c r="AL657" s="470">
        <v>5.2359696024522357E-3</v>
      </c>
      <c r="AM657" s="471">
        <v>4.9447089571044408E-3</v>
      </c>
      <c r="AN657" s="477">
        <v>0</v>
      </c>
      <c r="AO657" s="473">
        <v>0</v>
      </c>
      <c r="AP657" s="474">
        <v>0</v>
      </c>
      <c r="AQ657" s="352"/>
      <c r="AR657" s="352"/>
      <c r="AS657" s="352"/>
      <c r="AT657" s="352"/>
      <c r="AU657" s="352"/>
      <c r="AV657" s="352"/>
      <c r="AW657" s="352" t="s">
        <v>254</v>
      </c>
    </row>
    <row r="658" spans="2:49" x14ac:dyDescent="0.2">
      <c r="B658" s="460" t="s">
        <v>2561</v>
      </c>
      <c r="C658" s="460">
        <v>6000</v>
      </c>
      <c r="D658" s="460" t="s">
        <v>2304</v>
      </c>
      <c r="E658" s="460" t="s">
        <v>2305</v>
      </c>
      <c r="F658" s="460">
        <v>4</v>
      </c>
      <c r="G658" s="460">
        <v>2</v>
      </c>
      <c r="H658" s="461" t="s">
        <v>700</v>
      </c>
      <c r="I658" s="461" t="s">
        <v>872</v>
      </c>
      <c r="J658" s="461" t="s">
        <v>700</v>
      </c>
      <c r="K658" s="594"/>
      <c r="L658" s="594"/>
      <c r="M658" s="352">
        <v>6000</v>
      </c>
      <c r="N658" s="352" t="s">
        <v>871</v>
      </c>
      <c r="O658" s="460">
        <v>1311</v>
      </c>
      <c r="P658" s="460" t="s">
        <v>710</v>
      </c>
      <c r="Q658" s="460" t="s">
        <v>2553</v>
      </c>
      <c r="R658" s="460">
        <v>1311</v>
      </c>
      <c r="S658" s="460" t="s">
        <v>2305</v>
      </c>
      <c r="T658" s="462">
        <v>1</v>
      </c>
      <c r="U658" s="460" t="s">
        <v>2305</v>
      </c>
      <c r="V658" s="475">
        <v>0</v>
      </c>
      <c r="W658" s="463" t="s">
        <v>2554</v>
      </c>
      <c r="X658" s="463" t="s">
        <v>2554</v>
      </c>
      <c r="Y658" s="463" t="s">
        <v>2268</v>
      </c>
      <c r="Z658" s="463"/>
      <c r="AA658" s="463"/>
      <c r="AB658" s="464">
        <v>0.12011656375871881</v>
      </c>
      <c r="AC658" s="465">
        <v>1.1626257275901911E-4</v>
      </c>
      <c r="AD658" s="465">
        <v>9.5100000000000011E-3</v>
      </c>
      <c r="AE658" s="476">
        <v>7.2069938255231281E-2</v>
      </c>
      <c r="AF658" s="467">
        <v>6.9757543655411464E-5</v>
      </c>
      <c r="AG658" s="468">
        <v>6.3360521476683827E-3</v>
      </c>
      <c r="AH658" s="218">
        <v>7.2069938255231281E-2</v>
      </c>
      <c r="AI658" s="470">
        <v>6.9757543655411464E-5</v>
      </c>
      <c r="AJ658" s="471">
        <v>6.3097587285825098E-3</v>
      </c>
      <c r="AK658" s="218">
        <v>7.2069938255231281E-2</v>
      </c>
      <c r="AL658" s="470">
        <v>6.9757543655411464E-5</v>
      </c>
      <c r="AM658" s="471">
        <v>6.3097587285825098E-3</v>
      </c>
      <c r="AN658" s="477">
        <v>0</v>
      </c>
      <c r="AO658" s="473">
        <v>0</v>
      </c>
      <c r="AP658" s="474">
        <v>0</v>
      </c>
      <c r="AQ658" s="352"/>
      <c r="AR658" s="352"/>
      <c r="AS658" s="352"/>
      <c r="AT658" s="352"/>
      <c r="AU658" s="352"/>
      <c r="AV658" s="352"/>
      <c r="AW658" s="352" t="s">
        <v>254</v>
      </c>
    </row>
    <row r="659" spans="2:49" x14ac:dyDescent="0.2">
      <c r="B659" s="460" t="s">
        <v>2558</v>
      </c>
      <c r="C659" s="460">
        <v>6000</v>
      </c>
      <c r="D659" s="460" t="s">
        <v>2306</v>
      </c>
      <c r="E659" s="460" t="s">
        <v>2296</v>
      </c>
      <c r="F659" s="460">
        <v>1</v>
      </c>
      <c r="G659" s="460">
        <v>2</v>
      </c>
      <c r="H659" s="461" t="s">
        <v>712</v>
      </c>
      <c r="I659" s="461" t="s">
        <v>713</v>
      </c>
      <c r="J659" s="461" t="s">
        <v>712</v>
      </c>
      <c r="K659" s="594"/>
      <c r="L659" s="594"/>
      <c r="M659" s="352">
        <v>6000</v>
      </c>
      <c r="N659" s="352" t="s">
        <v>871</v>
      </c>
      <c r="O659" s="460">
        <v>1311</v>
      </c>
      <c r="P659" s="460" t="s">
        <v>710</v>
      </c>
      <c r="Q659" s="460" t="s">
        <v>2280</v>
      </c>
      <c r="R659" s="460">
        <v>1311</v>
      </c>
      <c r="S659" s="460" t="s">
        <v>2296</v>
      </c>
      <c r="T659" s="462">
        <v>1</v>
      </c>
      <c r="U659" s="460" t="s">
        <v>2296</v>
      </c>
      <c r="V659" s="475">
        <v>0</v>
      </c>
      <c r="W659" s="463" t="s">
        <v>713</v>
      </c>
      <c r="X659" s="463" t="s">
        <v>713</v>
      </c>
      <c r="Y659" s="463" t="s">
        <v>713</v>
      </c>
      <c r="Z659" s="463"/>
      <c r="AA659" s="463"/>
      <c r="AB659" s="464">
        <v>5150.7098105895611</v>
      </c>
      <c r="AC659" s="465">
        <v>0.96936035168962686</v>
      </c>
      <c r="AD659" s="465">
        <v>4.4548370059616461E-2</v>
      </c>
      <c r="AE659" s="476">
        <v>5215.8314908275343</v>
      </c>
      <c r="AF659" s="467">
        <v>0.98161621101377616</v>
      </c>
      <c r="AG659" s="468">
        <v>4.4451082262929563E-2</v>
      </c>
      <c r="AH659" s="218">
        <v>5215.8314908275343</v>
      </c>
      <c r="AI659" s="470">
        <v>0.98161621101377616</v>
      </c>
      <c r="AJ659" s="471">
        <v>4.4973231261882518E-2</v>
      </c>
      <c r="AK659" s="218">
        <v>5215.8314908275343</v>
      </c>
      <c r="AL659" s="470">
        <v>0.98161621101377616</v>
      </c>
      <c r="AM659" s="471">
        <v>4.4973231261882518E-2</v>
      </c>
      <c r="AN659" s="477">
        <v>5215.8314908275343</v>
      </c>
      <c r="AO659" s="473">
        <v>0.98161621101377616</v>
      </c>
      <c r="AP659" s="474">
        <v>4.4962194211820274E-2</v>
      </c>
      <c r="AQ659" s="352"/>
      <c r="AR659" s="352"/>
      <c r="AS659" s="352"/>
      <c r="AT659" s="352"/>
      <c r="AU659" s="352"/>
      <c r="AV659" s="352"/>
      <c r="AW659" s="352" t="s">
        <v>254</v>
      </c>
    </row>
    <row r="660" spans="2:49" x14ac:dyDescent="0.2">
      <c r="B660" s="460" t="s">
        <v>2559</v>
      </c>
      <c r="C660" s="460">
        <v>6000</v>
      </c>
      <c r="D660" s="460" t="s">
        <v>2307</v>
      </c>
      <c r="E660" s="460" t="s">
        <v>2299</v>
      </c>
      <c r="F660" s="460">
        <v>2</v>
      </c>
      <c r="G660" s="460">
        <v>2</v>
      </c>
      <c r="H660" s="461" t="s">
        <v>712</v>
      </c>
      <c r="I660" s="461" t="s">
        <v>713</v>
      </c>
      <c r="J660" s="461" t="s">
        <v>712</v>
      </c>
      <c r="K660" s="594"/>
      <c r="L660" s="594"/>
      <c r="M660" s="352">
        <v>6000</v>
      </c>
      <c r="N660" s="352" t="s">
        <v>871</v>
      </c>
      <c r="O660" s="460">
        <v>1311</v>
      </c>
      <c r="P660" s="460" t="s">
        <v>710</v>
      </c>
      <c r="Q660" s="460" t="s">
        <v>2280</v>
      </c>
      <c r="R660" s="460">
        <v>1311</v>
      </c>
      <c r="S660" s="460" t="s">
        <v>2296</v>
      </c>
      <c r="T660" s="462">
        <v>0.55517361979372948</v>
      </c>
      <c r="U660" s="460" t="s">
        <v>2299</v>
      </c>
      <c r="V660" s="475">
        <v>0</v>
      </c>
      <c r="W660" s="463" t="s">
        <v>713</v>
      </c>
      <c r="X660" s="463" t="s">
        <v>713</v>
      </c>
      <c r="Y660" s="463" t="s">
        <v>713</v>
      </c>
      <c r="Z660" s="463"/>
      <c r="AA660" s="463"/>
      <c r="AB660" s="464">
        <v>3772.8498554968114</v>
      </c>
      <c r="AC660" s="465">
        <v>0.99173831408142099</v>
      </c>
      <c r="AD660" s="465">
        <v>4.363962062935163E-2</v>
      </c>
      <c r="AE660" s="476">
        <v>3785.4217608397817</v>
      </c>
      <c r="AF660" s="467">
        <v>0.99504298844885264</v>
      </c>
      <c r="AG660" s="468">
        <v>4.3603538415424352E-2</v>
      </c>
      <c r="AH660" s="218">
        <v>3765.4524004584441</v>
      </c>
      <c r="AI660" s="470">
        <v>0.98979380532299399</v>
      </c>
      <c r="AJ660" s="471">
        <v>4.4115668542820258E-2</v>
      </c>
      <c r="AK660" s="218">
        <v>3765.4524004584441</v>
      </c>
      <c r="AL660" s="470">
        <v>0.98979380532299399</v>
      </c>
      <c r="AM660" s="471">
        <v>4.4115668542820258E-2</v>
      </c>
      <c r="AN660" s="477">
        <v>3765.4524004584441</v>
      </c>
      <c r="AO660" s="473">
        <v>0.98979380532299399</v>
      </c>
      <c r="AP660" s="474">
        <v>4.4110099614604152E-2</v>
      </c>
      <c r="AQ660" s="352"/>
      <c r="AR660" s="352"/>
      <c r="AS660" s="352"/>
      <c r="AT660" s="352"/>
      <c r="AU660" s="352"/>
      <c r="AV660" s="352"/>
      <c r="AW660" s="352" t="s">
        <v>254</v>
      </c>
    </row>
    <row r="661" spans="2:49" x14ac:dyDescent="0.2">
      <c r="B661" s="460" t="s">
        <v>2560</v>
      </c>
      <c r="C661" s="460">
        <v>6000</v>
      </c>
      <c r="D661" s="460" t="s">
        <v>2308</v>
      </c>
      <c r="E661" s="460" t="s">
        <v>2302</v>
      </c>
      <c r="F661" s="460">
        <v>3</v>
      </c>
      <c r="G661" s="460">
        <v>2</v>
      </c>
      <c r="H661" s="461" t="s">
        <v>712</v>
      </c>
      <c r="I661" s="461" t="s">
        <v>713</v>
      </c>
      <c r="J661" s="461" t="s">
        <v>712</v>
      </c>
      <c r="K661" s="594"/>
      <c r="L661" s="594"/>
      <c r="M661" s="352">
        <v>6000</v>
      </c>
      <c r="N661" s="352" t="s">
        <v>871</v>
      </c>
      <c r="O661" s="460">
        <v>1311</v>
      </c>
      <c r="P661" s="460" t="s">
        <v>710</v>
      </c>
      <c r="Q661" s="460" t="s">
        <v>2280</v>
      </c>
      <c r="R661" s="460">
        <v>1311</v>
      </c>
      <c r="S661" s="460" t="s">
        <v>2296</v>
      </c>
      <c r="T661" s="462">
        <v>0.28481449642268464</v>
      </c>
      <c r="U661" s="460" t="s">
        <v>2302</v>
      </c>
      <c r="V661" s="475">
        <v>0</v>
      </c>
      <c r="W661" s="463" t="s">
        <v>713</v>
      </c>
      <c r="X661" s="463" t="s">
        <v>713</v>
      </c>
      <c r="Y661" s="463" t="s">
        <v>713</v>
      </c>
      <c r="Z661" s="463"/>
      <c r="AA661" s="463"/>
      <c r="AB661" s="464">
        <v>904.8073585814434</v>
      </c>
      <c r="AC661" s="465">
        <v>0.99462555503562766</v>
      </c>
      <c r="AD661" s="465">
        <v>2.6318585037958638E-2</v>
      </c>
      <c r="AE661" s="476">
        <v>906.76300403110451</v>
      </c>
      <c r="AF661" s="467">
        <v>0.99677533302137666</v>
      </c>
      <c r="AG661" s="468">
        <v>2.6330653690551434E-2</v>
      </c>
      <c r="AH661" s="218">
        <v>904.93332912966946</v>
      </c>
      <c r="AI661" s="470">
        <v>0.99476403039754779</v>
      </c>
      <c r="AJ661" s="471">
        <v>2.6670714819754065E-2</v>
      </c>
      <c r="AK661" s="218">
        <v>904.93332912966946</v>
      </c>
      <c r="AL661" s="470">
        <v>0.99476403039754779</v>
      </c>
      <c r="AM661" s="471">
        <v>2.6670714819754065E-2</v>
      </c>
      <c r="AN661" s="477">
        <v>904.93332912966946</v>
      </c>
      <c r="AO661" s="473">
        <v>0.99476403039754779</v>
      </c>
      <c r="AP661" s="474">
        <v>2.6693906487313283E-2</v>
      </c>
      <c r="AQ661" s="352"/>
      <c r="AR661" s="352"/>
      <c r="AS661" s="352"/>
      <c r="AT661" s="352"/>
      <c r="AU661" s="352"/>
      <c r="AV661" s="352"/>
      <c r="AW661" s="352" t="s">
        <v>254</v>
      </c>
    </row>
    <row r="662" spans="2:49" x14ac:dyDescent="0.2">
      <c r="B662" s="460" t="s">
        <v>2561</v>
      </c>
      <c r="C662" s="460">
        <v>6000</v>
      </c>
      <c r="D662" s="460" t="s">
        <v>2309</v>
      </c>
      <c r="E662" s="460" t="s">
        <v>2305</v>
      </c>
      <c r="F662" s="460">
        <v>4</v>
      </c>
      <c r="G662" s="460">
        <v>2</v>
      </c>
      <c r="H662" s="461" t="s">
        <v>712</v>
      </c>
      <c r="I662" s="461" t="s">
        <v>713</v>
      </c>
      <c r="J662" s="461" t="s">
        <v>712</v>
      </c>
      <c r="K662" s="594"/>
      <c r="L662" s="594"/>
      <c r="M662" s="352">
        <v>6000</v>
      </c>
      <c r="N662" s="352" t="s">
        <v>871</v>
      </c>
      <c r="O662" s="460">
        <v>1311</v>
      </c>
      <c r="P662" s="460" t="s">
        <v>710</v>
      </c>
      <c r="Q662" s="460" t="s">
        <v>2280</v>
      </c>
      <c r="R662" s="460">
        <v>1311</v>
      </c>
      <c r="S662" s="460" t="s">
        <v>2305</v>
      </c>
      <c r="T662" s="462">
        <v>1</v>
      </c>
      <c r="U662" s="460" t="s">
        <v>2305</v>
      </c>
      <c r="V662" s="475">
        <v>0</v>
      </c>
      <c r="W662" s="463" t="s">
        <v>713</v>
      </c>
      <c r="X662" s="463" t="s">
        <v>713</v>
      </c>
      <c r="Y662" s="463" t="s">
        <v>713</v>
      </c>
      <c r="Z662" s="463"/>
      <c r="AA662" s="463"/>
      <c r="AB662" s="464">
        <v>1033.0289090275464</v>
      </c>
      <c r="AC662" s="465">
        <v>0.9998837374272409</v>
      </c>
      <c r="AD662" s="465">
        <v>2.6383457530892204E-2</v>
      </c>
      <c r="AE662" s="476">
        <v>1033.0769556530499</v>
      </c>
      <c r="AF662" s="467">
        <v>0.99993024245634454</v>
      </c>
      <c r="AG662" s="468">
        <v>2.6383838311675126E-2</v>
      </c>
      <c r="AH662" s="218">
        <v>1033.0769556530499</v>
      </c>
      <c r="AI662" s="470">
        <v>0.99993024245634454</v>
      </c>
      <c r="AJ662" s="471">
        <v>2.6383870250102123E-2</v>
      </c>
      <c r="AK662" s="218">
        <v>1033.0769556530499</v>
      </c>
      <c r="AL662" s="470">
        <v>0.99993024245634454</v>
      </c>
      <c r="AM662" s="471">
        <v>2.6383870250102123E-2</v>
      </c>
      <c r="AN662" s="477">
        <v>1033.0769556530499</v>
      </c>
      <c r="AO662" s="473">
        <v>0.99993024245634454</v>
      </c>
      <c r="AP662" s="474">
        <v>2.6383902522822387E-2</v>
      </c>
      <c r="AQ662" s="352"/>
      <c r="AR662" s="352"/>
      <c r="AS662" s="352"/>
      <c r="AT662" s="352"/>
      <c r="AU662" s="352"/>
      <c r="AV662" s="352"/>
      <c r="AW662" s="352" t="s">
        <v>254</v>
      </c>
    </row>
    <row r="663" spans="2:49" x14ac:dyDescent="0.2">
      <c r="B663" s="460" t="s">
        <v>2558</v>
      </c>
      <c r="C663" s="460">
        <v>6000</v>
      </c>
      <c r="D663" s="460" t="s">
        <v>2310</v>
      </c>
      <c r="E663" s="460" t="s">
        <v>2296</v>
      </c>
      <c r="F663" s="460">
        <v>1</v>
      </c>
      <c r="G663" s="460">
        <v>2</v>
      </c>
      <c r="H663" s="461" t="s">
        <v>746</v>
      </c>
      <c r="I663" s="461" t="s">
        <v>762</v>
      </c>
      <c r="J663" s="461" t="s">
        <v>700</v>
      </c>
      <c r="K663" s="594"/>
      <c r="L663" s="594"/>
      <c r="M663" s="352">
        <v>6000</v>
      </c>
      <c r="N663" s="352" t="s">
        <v>871</v>
      </c>
      <c r="O663" s="460">
        <v>1311</v>
      </c>
      <c r="P663" s="460" t="s">
        <v>710</v>
      </c>
      <c r="Q663" s="460" t="s">
        <v>2553</v>
      </c>
      <c r="R663" s="460">
        <v>1311</v>
      </c>
      <c r="S663" s="460" t="s">
        <v>2296</v>
      </c>
      <c r="T663" s="462">
        <v>1</v>
      </c>
      <c r="U663" s="460" t="s">
        <v>2296</v>
      </c>
      <c r="V663" s="475">
        <v>0</v>
      </c>
      <c r="W663" s="463" t="s">
        <v>2268</v>
      </c>
      <c r="X663" s="463" t="s">
        <v>2268</v>
      </c>
      <c r="Y663" s="463" t="s">
        <v>2554</v>
      </c>
      <c r="Z663" s="463"/>
      <c r="AA663" s="463"/>
      <c r="AB663" s="464">
        <v>0</v>
      </c>
      <c r="AC663" s="465">
        <v>0</v>
      </c>
      <c r="AD663" s="465">
        <v>0</v>
      </c>
      <c r="AE663" s="476">
        <v>0</v>
      </c>
      <c r="AF663" s="467">
        <v>0</v>
      </c>
      <c r="AG663" s="468">
        <v>0</v>
      </c>
      <c r="AH663" s="218">
        <v>0</v>
      </c>
      <c r="AI663" s="470">
        <v>0</v>
      </c>
      <c r="AJ663" s="471">
        <v>0</v>
      </c>
      <c r="AK663" s="218">
        <v>0</v>
      </c>
      <c r="AL663" s="470">
        <v>0</v>
      </c>
      <c r="AM663" s="471">
        <v>0</v>
      </c>
      <c r="AN663" s="477">
        <v>89.542310327212888</v>
      </c>
      <c r="AO663" s="483">
        <v>1.6851806570705178E-2</v>
      </c>
      <c r="AP663" s="474">
        <v>6.6516932742880187E-3</v>
      </c>
      <c r="AQ663" s="352"/>
      <c r="AR663" s="352"/>
      <c r="AS663" s="352"/>
      <c r="AT663" s="352"/>
      <c r="AU663" s="352"/>
      <c r="AV663" s="352"/>
      <c r="AW663" s="352" t="s">
        <v>254</v>
      </c>
    </row>
    <row r="664" spans="2:49" x14ac:dyDescent="0.2">
      <c r="B664" s="460" t="s">
        <v>2559</v>
      </c>
      <c r="C664" s="460">
        <v>6000</v>
      </c>
      <c r="D664" s="460" t="s">
        <v>2311</v>
      </c>
      <c r="E664" s="460" t="s">
        <v>2299</v>
      </c>
      <c r="F664" s="460">
        <v>2</v>
      </c>
      <c r="G664" s="460">
        <v>2</v>
      </c>
      <c r="H664" s="461" t="s">
        <v>746</v>
      </c>
      <c r="I664" s="461" t="s">
        <v>762</v>
      </c>
      <c r="J664" s="461" t="s">
        <v>700</v>
      </c>
      <c r="K664" s="594"/>
      <c r="L664" s="594"/>
      <c r="M664" s="352">
        <v>6000</v>
      </c>
      <c r="N664" s="352" t="s">
        <v>871</v>
      </c>
      <c r="O664" s="460">
        <v>1311</v>
      </c>
      <c r="P664" s="460" t="s">
        <v>710</v>
      </c>
      <c r="Q664" s="460" t="s">
        <v>2553</v>
      </c>
      <c r="R664" s="460">
        <v>1311</v>
      </c>
      <c r="S664" s="460" t="s">
        <v>2296</v>
      </c>
      <c r="T664" s="462">
        <v>0.55517361979372948</v>
      </c>
      <c r="U664" s="460" t="s">
        <v>2299</v>
      </c>
      <c r="V664" s="475">
        <v>0</v>
      </c>
      <c r="W664" s="463" t="s">
        <v>2268</v>
      </c>
      <c r="X664" s="463" t="s">
        <v>2268</v>
      </c>
      <c r="Y664" s="463" t="s">
        <v>2554</v>
      </c>
      <c r="Z664" s="463"/>
      <c r="AA664" s="463"/>
      <c r="AB664" s="464">
        <v>0</v>
      </c>
      <c r="AC664" s="465">
        <v>0</v>
      </c>
      <c r="AD664" s="465">
        <v>0</v>
      </c>
      <c r="AE664" s="476">
        <v>0</v>
      </c>
      <c r="AF664" s="467">
        <v>0</v>
      </c>
      <c r="AG664" s="468">
        <v>0</v>
      </c>
      <c r="AH664" s="218">
        <v>0</v>
      </c>
      <c r="AI664" s="470">
        <v>0</v>
      </c>
      <c r="AJ664" s="471">
        <v>0</v>
      </c>
      <c r="AK664" s="218">
        <v>0</v>
      </c>
      <c r="AL664" s="470">
        <v>0</v>
      </c>
      <c r="AM664" s="471">
        <v>0</v>
      </c>
      <c r="AN664" s="477">
        <v>35.591616862809737</v>
      </c>
      <c r="AO664" s="473">
        <v>9.3556784539221474E-3</v>
      </c>
      <c r="AP664" s="474">
        <v>1.1276084532512569E-2</v>
      </c>
      <c r="AQ664" s="352"/>
      <c r="AR664" s="352"/>
      <c r="AS664" s="352"/>
      <c r="AT664" s="352"/>
      <c r="AU664" s="352"/>
      <c r="AV664" s="352"/>
      <c r="AW664" s="352" t="s">
        <v>254</v>
      </c>
    </row>
    <row r="665" spans="2:49" x14ac:dyDescent="0.2">
      <c r="B665" s="460" t="s">
        <v>2560</v>
      </c>
      <c r="C665" s="460">
        <v>6000</v>
      </c>
      <c r="D665" s="460" t="s">
        <v>2312</v>
      </c>
      <c r="E665" s="460" t="s">
        <v>2302</v>
      </c>
      <c r="F665" s="460">
        <v>3</v>
      </c>
      <c r="G665" s="460">
        <v>2</v>
      </c>
      <c r="H665" s="461" t="s">
        <v>746</v>
      </c>
      <c r="I665" s="461" t="s">
        <v>762</v>
      </c>
      <c r="J665" s="461" t="s">
        <v>700</v>
      </c>
      <c r="K665" s="594"/>
      <c r="L665" s="594"/>
      <c r="M665" s="352">
        <v>6000</v>
      </c>
      <c r="N665" s="352" t="s">
        <v>871</v>
      </c>
      <c r="O665" s="460">
        <v>1311</v>
      </c>
      <c r="P665" s="460" t="s">
        <v>710</v>
      </c>
      <c r="Q665" s="460" t="s">
        <v>2553</v>
      </c>
      <c r="R665" s="460">
        <v>1311</v>
      </c>
      <c r="S665" s="460" t="s">
        <v>2296</v>
      </c>
      <c r="T665" s="462">
        <v>0.28481449642268464</v>
      </c>
      <c r="U665" s="460" t="s">
        <v>2302</v>
      </c>
      <c r="V665" s="475">
        <v>0</v>
      </c>
      <c r="W665" s="463" t="s">
        <v>2268</v>
      </c>
      <c r="X665" s="463" t="s">
        <v>2268</v>
      </c>
      <c r="Y665" s="463" t="s">
        <v>2554</v>
      </c>
      <c r="Z665" s="463"/>
      <c r="AA665" s="463"/>
      <c r="AB665" s="464">
        <v>0</v>
      </c>
      <c r="AC665" s="465">
        <v>0</v>
      </c>
      <c r="AD665" s="465">
        <v>0</v>
      </c>
      <c r="AE665" s="476">
        <v>0</v>
      </c>
      <c r="AF665" s="467">
        <v>0</v>
      </c>
      <c r="AG665" s="468">
        <v>0</v>
      </c>
      <c r="AH665" s="218">
        <v>0</v>
      </c>
      <c r="AI665" s="470">
        <v>0</v>
      </c>
      <c r="AJ665" s="471">
        <v>0</v>
      </c>
      <c r="AK665" s="218">
        <v>0</v>
      </c>
      <c r="AL665" s="470">
        <v>0</v>
      </c>
      <c r="AM665" s="471">
        <v>0</v>
      </c>
      <c r="AN665" s="477">
        <v>4.3662144862659922</v>
      </c>
      <c r="AO665" s="473">
        <v>4.7996388022478837E-3</v>
      </c>
      <c r="AP665" s="474">
        <v>5.7521643037021656E-3</v>
      </c>
      <c r="AQ665" s="352"/>
      <c r="AR665" s="352"/>
      <c r="AS665" s="352"/>
      <c r="AT665" s="352"/>
      <c r="AU665" s="352"/>
      <c r="AV665" s="352"/>
      <c r="AW665" s="352" t="s">
        <v>254</v>
      </c>
    </row>
    <row r="666" spans="2:49" x14ac:dyDescent="0.2">
      <c r="B666" s="460" t="s">
        <v>2561</v>
      </c>
      <c r="C666" s="460">
        <v>6000</v>
      </c>
      <c r="D666" s="460" t="s">
        <v>2313</v>
      </c>
      <c r="E666" s="460" t="s">
        <v>2305</v>
      </c>
      <c r="F666" s="460">
        <v>4</v>
      </c>
      <c r="G666" s="460">
        <v>2</v>
      </c>
      <c r="H666" s="461" t="s">
        <v>746</v>
      </c>
      <c r="I666" s="461" t="s">
        <v>762</v>
      </c>
      <c r="J666" s="461" t="s">
        <v>700</v>
      </c>
      <c r="K666" s="594"/>
      <c r="L666" s="594"/>
      <c r="M666" s="352">
        <v>6000</v>
      </c>
      <c r="N666" s="352" t="s">
        <v>871</v>
      </c>
      <c r="O666" s="460">
        <v>1311</v>
      </c>
      <c r="P666" s="460" t="s">
        <v>710</v>
      </c>
      <c r="Q666" s="460" t="s">
        <v>2553</v>
      </c>
      <c r="R666" s="460">
        <v>1311</v>
      </c>
      <c r="S666" s="460" t="s">
        <v>2305</v>
      </c>
      <c r="T666" s="462">
        <v>1</v>
      </c>
      <c r="U666" s="460" t="s">
        <v>2305</v>
      </c>
      <c r="V666" s="475">
        <v>0</v>
      </c>
      <c r="W666" s="463" t="s">
        <v>2268</v>
      </c>
      <c r="X666" s="463" t="s">
        <v>2268</v>
      </c>
      <c r="Y666" s="463" t="s">
        <v>2554</v>
      </c>
      <c r="Z666" s="463"/>
      <c r="AA666" s="463"/>
      <c r="AB666" s="464">
        <v>0</v>
      </c>
      <c r="AC666" s="465">
        <v>0</v>
      </c>
      <c r="AD666" s="465">
        <v>0</v>
      </c>
      <c r="AE666" s="476">
        <v>0</v>
      </c>
      <c r="AF666" s="467">
        <v>0</v>
      </c>
      <c r="AG666" s="468">
        <v>0</v>
      </c>
      <c r="AH666" s="218">
        <v>0</v>
      </c>
      <c r="AI666" s="470">
        <v>0</v>
      </c>
      <c r="AJ666" s="471">
        <v>0</v>
      </c>
      <c r="AK666" s="218">
        <v>0</v>
      </c>
      <c r="AL666" s="470">
        <v>0</v>
      </c>
      <c r="AM666" s="471">
        <v>0</v>
      </c>
      <c r="AN666" s="477">
        <v>6.6064110067295345E-2</v>
      </c>
      <c r="AO666" s="473">
        <v>6.3944415017460512E-5</v>
      </c>
      <c r="AP666" s="474">
        <v>6.4481554000043453E-3</v>
      </c>
      <c r="AQ666" s="352"/>
      <c r="AR666" s="352"/>
      <c r="AS666" s="352"/>
      <c r="AT666" s="352"/>
      <c r="AU666" s="352"/>
      <c r="AV666" s="352"/>
      <c r="AW666" s="352" t="s">
        <v>254</v>
      </c>
    </row>
    <row r="667" spans="2:49" x14ac:dyDescent="0.2">
      <c r="B667" s="460" t="s">
        <v>2558</v>
      </c>
      <c r="C667" s="460">
        <v>6000</v>
      </c>
      <c r="D667" s="460" t="s">
        <v>2314</v>
      </c>
      <c r="E667" s="460" t="s">
        <v>2296</v>
      </c>
      <c r="F667" s="460">
        <v>1</v>
      </c>
      <c r="G667" s="460">
        <v>2</v>
      </c>
      <c r="H667" s="461" t="s">
        <v>748</v>
      </c>
      <c r="I667" s="461" t="s">
        <v>765</v>
      </c>
      <c r="J667" s="461" t="s">
        <v>700</v>
      </c>
      <c r="K667" s="594"/>
      <c r="L667" s="594"/>
      <c r="M667" s="352">
        <v>6000</v>
      </c>
      <c r="N667" s="352" t="s">
        <v>871</v>
      </c>
      <c r="O667" s="460">
        <v>1311</v>
      </c>
      <c r="P667" s="460" t="s">
        <v>710</v>
      </c>
      <c r="Q667" s="460" t="s">
        <v>2553</v>
      </c>
      <c r="R667" s="460">
        <v>1311</v>
      </c>
      <c r="S667" s="460" t="s">
        <v>2296</v>
      </c>
      <c r="T667" s="462">
        <v>1</v>
      </c>
      <c r="U667" s="460" t="s">
        <v>2296</v>
      </c>
      <c r="V667" s="475">
        <v>0</v>
      </c>
      <c r="W667" s="463" t="s">
        <v>2268</v>
      </c>
      <c r="X667" s="463" t="s">
        <v>2268</v>
      </c>
      <c r="Y667" s="463" t="s">
        <v>2554</v>
      </c>
      <c r="Z667" s="463"/>
      <c r="AA667" s="463"/>
      <c r="AB667" s="464">
        <v>0</v>
      </c>
      <c r="AC667" s="465">
        <v>0</v>
      </c>
      <c r="AD667" s="465">
        <v>0</v>
      </c>
      <c r="AE667" s="476">
        <v>0</v>
      </c>
      <c r="AF667" s="467">
        <v>0</v>
      </c>
      <c r="AG667" s="468">
        <v>0</v>
      </c>
      <c r="AH667" s="218">
        <v>0</v>
      </c>
      <c r="AI667" s="470">
        <v>0</v>
      </c>
      <c r="AJ667" s="471">
        <v>0</v>
      </c>
      <c r="AK667" s="218">
        <v>0</v>
      </c>
      <c r="AL667" s="470">
        <v>0</v>
      </c>
      <c r="AM667" s="471">
        <v>0</v>
      </c>
      <c r="AN667" s="477">
        <v>8.1402100297466333</v>
      </c>
      <c r="AO667" s="483">
        <v>1.5319824155186539E-3</v>
      </c>
      <c r="AP667" s="474">
        <v>2.4867226630463412E-3</v>
      </c>
      <c r="AQ667" s="352"/>
      <c r="AR667" s="352"/>
      <c r="AS667" s="352"/>
      <c r="AT667" s="352"/>
      <c r="AU667" s="352"/>
      <c r="AV667" s="352"/>
      <c r="AW667" s="352" t="s">
        <v>254</v>
      </c>
    </row>
    <row r="668" spans="2:49" x14ac:dyDescent="0.2">
      <c r="B668" s="460" t="s">
        <v>2559</v>
      </c>
      <c r="C668" s="460">
        <v>6000</v>
      </c>
      <c r="D668" s="460" t="s">
        <v>2315</v>
      </c>
      <c r="E668" s="460" t="s">
        <v>2299</v>
      </c>
      <c r="F668" s="460">
        <v>2</v>
      </c>
      <c r="G668" s="460">
        <v>2</v>
      </c>
      <c r="H668" s="461" t="s">
        <v>748</v>
      </c>
      <c r="I668" s="461" t="s">
        <v>765</v>
      </c>
      <c r="J668" s="461" t="s">
        <v>700</v>
      </c>
      <c r="K668" s="594"/>
      <c r="L668" s="594"/>
      <c r="M668" s="352">
        <v>6000</v>
      </c>
      <c r="N668" s="352" t="s">
        <v>871</v>
      </c>
      <c r="O668" s="460">
        <v>1311</v>
      </c>
      <c r="P668" s="460" t="s">
        <v>710</v>
      </c>
      <c r="Q668" s="460" t="s">
        <v>2553</v>
      </c>
      <c r="R668" s="460">
        <v>1311</v>
      </c>
      <c r="S668" s="460" t="s">
        <v>2296</v>
      </c>
      <c r="T668" s="462">
        <v>0.55517361979372948</v>
      </c>
      <c r="U668" s="460" t="s">
        <v>2299</v>
      </c>
      <c r="V668" s="475">
        <v>0</v>
      </c>
      <c r="W668" s="463" t="s">
        <v>2268</v>
      </c>
      <c r="X668" s="463" t="s">
        <v>2268</v>
      </c>
      <c r="Y668" s="463" t="s">
        <v>2554</v>
      </c>
      <c r="Z668" s="463"/>
      <c r="AA668" s="463"/>
      <c r="AB668" s="464">
        <v>0</v>
      </c>
      <c r="AC668" s="465">
        <v>0</v>
      </c>
      <c r="AD668" s="465">
        <v>0</v>
      </c>
      <c r="AE668" s="476">
        <v>0</v>
      </c>
      <c r="AF668" s="467">
        <v>0</v>
      </c>
      <c r="AG668" s="468">
        <v>0</v>
      </c>
      <c r="AH668" s="218">
        <v>0</v>
      </c>
      <c r="AI668" s="470">
        <v>0</v>
      </c>
      <c r="AJ668" s="471">
        <v>0</v>
      </c>
      <c r="AK668" s="218">
        <v>0</v>
      </c>
      <c r="AL668" s="470">
        <v>0</v>
      </c>
      <c r="AM668" s="471">
        <v>0</v>
      </c>
      <c r="AN668" s="477">
        <v>3.2356015329827064</v>
      </c>
      <c r="AO668" s="473">
        <v>8.5051622308383228E-4</v>
      </c>
      <c r="AP668" s="474">
        <v>2.9977269230505831E-3</v>
      </c>
      <c r="AQ668" s="352"/>
      <c r="AR668" s="352"/>
      <c r="AS668" s="352"/>
      <c r="AT668" s="352"/>
      <c r="AU668" s="352"/>
      <c r="AV668" s="352"/>
      <c r="AW668" s="352" t="s">
        <v>254</v>
      </c>
    </row>
    <row r="669" spans="2:49" x14ac:dyDescent="0.2">
      <c r="B669" s="460" t="s">
        <v>2560</v>
      </c>
      <c r="C669" s="460">
        <v>6000</v>
      </c>
      <c r="D669" s="460" t="s">
        <v>2316</v>
      </c>
      <c r="E669" s="460" t="s">
        <v>2302</v>
      </c>
      <c r="F669" s="460">
        <v>3</v>
      </c>
      <c r="G669" s="460">
        <v>2</v>
      </c>
      <c r="H669" s="461" t="s">
        <v>748</v>
      </c>
      <c r="I669" s="461" t="s">
        <v>765</v>
      </c>
      <c r="J669" s="461" t="s">
        <v>700</v>
      </c>
      <c r="K669" s="594"/>
      <c r="L669" s="594"/>
      <c r="M669" s="352">
        <v>6000</v>
      </c>
      <c r="N669" s="352" t="s">
        <v>871</v>
      </c>
      <c r="O669" s="460">
        <v>1311</v>
      </c>
      <c r="P669" s="460" t="s">
        <v>710</v>
      </c>
      <c r="Q669" s="460" t="s">
        <v>2553</v>
      </c>
      <c r="R669" s="460">
        <v>1311</v>
      </c>
      <c r="S669" s="460" t="s">
        <v>2296</v>
      </c>
      <c r="T669" s="462">
        <v>0.28481449642268464</v>
      </c>
      <c r="U669" s="460" t="s">
        <v>2302</v>
      </c>
      <c r="V669" s="475">
        <v>0</v>
      </c>
      <c r="W669" s="463" t="s">
        <v>2268</v>
      </c>
      <c r="X669" s="463" t="s">
        <v>2268</v>
      </c>
      <c r="Y669" s="463" t="s">
        <v>2554</v>
      </c>
      <c r="Z669" s="463"/>
      <c r="AA669" s="463"/>
      <c r="AB669" s="464">
        <v>0</v>
      </c>
      <c r="AC669" s="465">
        <v>0</v>
      </c>
      <c r="AD669" s="465">
        <v>0</v>
      </c>
      <c r="AE669" s="476">
        <v>0</v>
      </c>
      <c r="AF669" s="467">
        <v>0</v>
      </c>
      <c r="AG669" s="468">
        <v>0</v>
      </c>
      <c r="AH669" s="218">
        <v>0</v>
      </c>
      <c r="AI669" s="470">
        <v>0</v>
      </c>
      <c r="AJ669" s="471">
        <v>0</v>
      </c>
      <c r="AK669" s="218">
        <v>0</v>
      </c>
      <c r="AL669" s="470">
        <v>0</v>
      </c>
      <c r="AM669" s="471">
        <v>0</v>
      </c>
      <c r="AN669" s="477">
        <v>0.39692858966054501</v>
      </c>
      <c r="AO669" s="473">
        <v>4.3633080020435337E-4</v>
      </c>
      <c r="AP669" s="474">
        <v>1.6984310776899179E-3</v>
      </c>
      <c r="AQ669" s="352"/>
      <c r="AR669" s="352"/>
      <c r="AS669" s="352"/>
      <c r="AT669" s="352"/>
      <c r="AU669" s="352"/>
      <c r="AV669" s="352"/>
      <c r="AW669" s="352" t="s">
        <v>254</v>
      </c>
    </row>
    <row r="670" spans="2:49" x14ac:dyDescent="0.2">
      <c r="B670" s="460" t="s">
        <v>2561</v>
      </c>
      <c r="C670" s="460">
        <v>6000</v>
      </c>
      <c r="D670" s="460" t="s">
        <v>2317</v>
      </c>
      <c r="E670" s="460" t="s">
        <v>2305</v>
      </c>
      <c r="F670" s="460">
        <v>4</v>
      </c>
      <c r="G670" s="460">
        <v>2</v>
      </c>
      <c r="H670" s="461" t="s">
        <v>748</v>
      </c>
      <c r="I670" s="461" t="s">
        <v>765</v>
      </c>
      <c r="J670" s="461" t="s">
        <v>700</v>
      </c>
      <c r="K670" s="594"/>
      <c r="L670" s="594"/>
      <c r="M670" s="352">
        <v>6000</v>
      </c>
      <c r="N670" s="352" t="s">
        <v>871</v>
      </c>
      <c r="O670" s="460">
        <v>1311</v>
      </c>
      <c r="P670" s="460" t="s">
        <v>710</v>
      </c>
      <c r="Q670" s="460" t="s">
        <v>2553</v>
      </c>
      <c r="R670" s="460">
        <v>1311</v>
      </c>
      <c r="S670" s="460" t="s">
        <v>2305</v>
      </c>
      <c r="T670" s="462">
        <v>1</v>
      </c>
      <c r="U670" s="460" t="s">
        <v>2305</v>
      </c>
      <c r="V670" s="475">
        <v>0</v>
      </c>
      <c r="W670" s="463" t="s">
        <v>2268</v>
      </c>
      <c r="X670" s="463" t="s">
        <v>2268</v>
      </c>
      <c r="Y670" s="463" t="s">
        <v>2554</v>
      </c>
      <c r="Z670" s="463"/>
      <c r="AA670" s="463"/>
      <c r="AB670" s="464">
        <v>0</v>
      </c>
      <c r="AC670" s="465">
        <v>0</v>
      </c>
      <c r="AD670" s="465">
        <v>0</v>
      </c>
      <c r="AE670" s="476">
        <v>0</v>
      </c>
      <c r="AF670" s="467">
        <v>0</v>
      </c>
      <c r="AG670" s="468">
        <v>0</v>
      </c>
      <c r="AH670" s="218">
        <v>0</v>
      </c>
      <c r="AI670" s="470">
        <v>0</v>
      </c>
      <c r="AJ670" s="471">
        <v>0</v>
      </c>
      <c r="AK670" s="218">
        <v>0</v>
      </c>
      <c r="AL670" s="470">
        <v>0</v>
      </c>
      <c r="AM670" s="471">
        <v>0</v>
      </c>
      <c r="AN670" s="477">
        <v>6.0058281879359458E-3</v>
      </c>
      <c r="AO670" s="473">
        <v>5.8131286379509604E-6</v>
      </c>
      <c r="AP670" s="474">
        <v>4.9049295897132684E-3</v>
      </c>
      <c r="AQ670" s="352"/>
      <c r="AR670" s="352"/>
      <c r="AS670" s="352"/>
      <c r="AT670" s="352"/>
      <c r="AU670" s="352"/>
      <c r="AV670" s="352"/>
      <c r="AW670" s="352" t="s">
        <v>254</v>
      </c>
    </row>
    <row r="671" spans="2:49" x14ac:dyDescent="0.2">
      <c r="B671" s="460" t="s">
        <v>2562</v>
      </c>
      <c r="C671" s="460">
        <v>6000</v>
      </c>
      <c r="D671" s="460" t="s">
        <v>2323</v>
      </c>
      <c r="E671" s="460" t="s">
        <v>2324</v>
      </c>
      <c r="F671" s="460">
        <v>1</v>
      </c>
      <c r="G671" s="460">
        <v>3</v>
      </c>
      <c r="H671" s="461" t="s">
        <v>700</v>
      </c>
      <c r="I671" s="461" t="s">
        <v>872</v>
      </c>
      <c r="J671" s="461" t="s">
        <v>700</v>
      </c>
      <c r="K671" s="594"/>
      <c r="L671" s="594"/>
      <c r="M671" s="352">
        <v>6000</v>
      </c>
      <c r="N671" s="352" t="s">
        <v>871</v>
      </c>
      <c r="O671" s="460">
        <v>1311</v>
      </c>
      <c r="P671" s="460" t="s">
        <v>710</v>
      </c>
      <c r="Q671" s="460" t="s">
        <v>2553</v>
      </c>
      <c r="R671" s="460">
        <v>1311</v>
      </c>
      <c r="S671" s="460" t="s">
        <v>2324</v>
      </c>
      <c r="T671" s="462">
        <v>1</v>
      </c>
      <c r="U671" s="460" t="s">
        <v>2324</v>
      </c>
      <c r="V671" s="475">
        <v>0</v>
      </c>
      <c r="W671" s="463" t="s">
        <v>2554</v>
      </c>
      <c r="X671" s="463" t="s">
        <v>2554</v>
      </c>
      <c r="Y671" s="463" t="s">
        <v>2268</v>
      </c>
      <c r="Z671" s="463"/>
      <c r="AA671" s="463"/>
      <c r="AB671" s="464">
        <v>1866.3942303959288</v>
      </c>
      <c r="AC671" s="465">
        <v>9.604146528006835E-2</v>
      </c>
      <c r="AD671" s="465">
        <v>1.5999999999999997E-2</v>
      </c>
      <c r="AE671" s="476">
        <v>1119.8365382375573</v>
      </c>
      <c r="AF671" s="467">
        <v>5.7624879168041009E-2</v>
      </c>
      <c r="AG671" s="468">
        <v>1.0283501815208082E-2</v>
      </c>
      <c r="AH671" s="218">
        <v>1119.8365382375573</v>
      </c>
      <c r="AI671" s="470">
        <v>5.7624879168041009E-2</v>
      </c>
      <c r="AJ671" s="471">
        <v>9.8200793276179178E-3</v>
      </c>
      <c r="AK671" s="218">
        <v>1119.8365382375573</v>
      </c>
      <c r="AL671" s="470">
        <v>5.7624879168041009E-2</v>
      </c>
      <c r="AM671" s="471">
        <v>9.8200793276179178E-3</v>
      </c>
      <c r="AN671" s="477">
        <v>0</v>
      </c>
      <c r="AO671" s="473">
        <v>0</v>
      </c>
      <c r="AP671" s="474">
        <v>0</v>
      </c>
      <c r="AQ671" s="352"/>
      <c r="AR671" s="352"/>
      <c r="AS671" s="352"/>
      <c r="AT671" s="352"/>
      <c r="AU671" s="352"/>
      <c r="AV671" s="352"/>
      <c r="AW671" s="352" t="s">
        <v>254</v>
      </c>
    </row>
    <row r="672" spans="2:49" x14ac:dyDescent="0.2">
      <c r="B672" s="460" t="s">
        <v>2563</v>
      </c>
      <c r="C672" s="460">
        <v>6000</v>
      </c>
      <c r="D672" s="460" t="s">
        <v>2326</v>
      </c>
      <c r="E672" s="460" t="s">
        <v>2327</v>
      </c>
      <c r="F672" s="460">
        <v>2</v>
      </c>
      <c r="G672" s="460">
        <v>3</v>
      </c>
      <c r="H672" s="461" t="s">
        <v>700</v>
      </c>
      <c r="I672" s="461" t="s">
        <v>872</v>
      </c>
      <c r="J672" s="461" t="s">
        <v>700</v>
      </c>
      <c r="K672" s="594"/>
      <c r="L672" s="594"/>
      <c r="M672" s="352">
        <v>6000</v>
      </c>
      <c r="N672" s="352" t="s">
        <v>871</v>
      </c>
      <c r="O672" s="460">
        <v>1311</v>
      </c>
      <c r="P672" s="460" t="s">
        <v>710</v>
      </c>
      <c r="Q672" s="460" t="s">
        <v>2553</v>
      </c>
      <c r="R672" s="460">
        <v>1311</v>
      </c>
      <c r="S672" s="460" t="s">
        <v>2324</v>
      </c>
      <c r="T672" s="462">
        <v>1</v>
      </c>
      <c r="U672" s="460" t="s">
        <v>2327</v>
      </c>
      <c r="V672" s="475">
        <v>0</v>
      </c>
      <c r="W672" s="463" t="s">
        <v>2554</v>
      </c>
      <c r="X672" s="463" t="s">
        <v>2554</v>
      </c>
      <c r="Y672" s="463" t="s">
        <v>2268</v>
      </c>
      <c r="Z672" s="463"/>
      <c r="AA672" s="463"/>
      <c r="AB672" s="464">
        <v>1083.2902547356455</v>
      </c>
      <c r="AC672" s="465">
        <v>7.3548084151891055E-2</v>
      </c>
      <c r="AD672" s="465">
        <v>1.6E-2</v>
      </c>
      <c r="AE672" s="476">
        <v>649.97415284138731</v>
      </c>
      <c r="AF672" s="467">
        <v>4.412885049113463E-2</v>
      </c>
      <c r="AG672" s="468">
        <v>1.0397863763848148E-2</v>
      </c>
      <c r="AH672" s="218">
        <v>848.75725524188101</v>
      </c>
      <c r="AI672" s="470">
        <v>5.7624879168041009E-2</v>
      </c>
      <c r="AJ672" s="471">
        <v>1.1426980948182553E-2</v>
      </c>
      <c r="AK672" s="218">
        <v>848.75725524188101</v>
      </c>
      <c r="AL672" s="470">
        <v>5.7624879168041009E-2</v>
      </c>
      <c r="AM672" s="471">
        <v>1.1426980948182553E-2</v>
      </c>
      <c r="AN672" s="477">
        <v>0</v>
      </c>
      <c r="AO672" s="473">
        <v>0</v>
      </c>
      <c r="AP672" s="474">
        <v>0</v>
      </c>
      <c r="AQ672" s="352"/>
      <c r="AR672" s="352"/>
      <c r="AS672" s="352"/>
      <c r="AT672" s="352"/>
      <c r="AU672" s="352"/>
      <c r="AV672" s="352"/>
      <c r="AW672" s="352" t="s">
        <v>254</v>
      </c>
    </row>
    <row r="673" spans="2:49" x14ac:dyDescent="0.2">
      <c r="B673" s="460" t="s">
        <v>2564</v>
      </c>
      <c r="C673" s="460">
        <v>6000</v>
      </c>
      <c r="D673" s="460" t="s">
        <v>2329</v>
      </c>
      <c r="E673" s="460" t="s">
        <v>2330</v>
      </c>
      <c r="F673" s="460">
        <v>3</v>
      </c>
      <c r="G673" s="460">
        <v>3</v>
      </c>
      <c r="H673" s="461" t="s">
        <v>700</v>
      </c>
      <c r="I673" s="461" t="s">
        <v>872</v>
      </c>
      <c r="J673" s="461" t="s">
        <v>700</v>
      </c>
      <c r="K673" s="594"/>
      <c r="L673" s="594"/>
      <c r="M673" s="352">
        <v>6000</v>
      </c>
      <c r="N673" s="352" t="s">
        <v>871</v>
      </c>
      <c r="O673" s="460">
        <v>1311</v>
      </c>
      <c r="P673" s="460" t="s">
        <v>710</v>
      </c>
      <c r="Q673" s="460" t="s">
        <v>2553</v>
      </c>
      <c r="R673" s="460">
        <v>1311</v>
      </c>
      <c r="S673" s="460" t="s">
        <v>2324</v>
      </c>
      <c r="T673" s="462">
        <v>1</v>
      </c>
      <c r="U673" s="460" t="s">
        <v>2330</v>
      </c>
      <c r="V673" s="475">
        <v>0</v>
      </c>
      <c r="W673" s="463" t="s">
        <v>2554</v>
      </c>
      <c r="X673" s="463" t="s">
        <v>2554</v>
      </c>
      <c r="Y673" s="463" t="s">
        <v>2268</v>
      </c>
      <c r="Z673" s="463"/>
      <c r="AA673" s="463"/>
      <c r="AB673" s="464">
        <v>423.71522679387454</v>
      </c>
      <c r="AC673" s="465">
        <v>0.1490606627831528</v>
      </c>
      <c r="AD673" s="465">
        <v>1.6E-2</v>
      </c>
      <c r="AE673" s="476">
        <v>254.22913607632475</v>
      </c>
      <c r="AF673" s="467">
        <v>8.9436397669891685E-2</v>
      </c>
      <c r="AG673" s="468">
        <v>1.0288923112051021E-2</v>
      </c>
      <c r="AH673" s="218">
        <v>254.22913607632475</v>
      </c>
      <c r="AI673" s="470">
        <v>8.9436397669891685E-2</v>
      </c>
      <c r="AJ673" s="471">
        <v>8.9570891563140048E-3</v>
      </c>
      <c r="AK673" s="218">
        <v>254.22913607632475</v>
      </c>
      <c r="AL673" s="470">
        <v>8.9436397669891685E-2</v>
      </c>
      <c r="AM673" s="471">
        <v>8.9570891563140048E-3</v>
      </c>
      <c r="AN673" s="477">
        <v>0</v>
      </c>
      <c r="AO673" s="473">
        <v>0</v>
      </c>
      <c r="AP673" s="474">
        <v>0</v>
      </c>
      <c r="AQ673" s="352"/>
      <c r="AR673" s="352"/>
      <c r="AS673" s="352"/>
      <c r="AT673" s="352"/>
      <c r="AU673" s="352"/>
      <c r="AV673" s="352"/>
      <c r="AW673" s="352" t="s">
        <v>254</v>
      </c>
    </row>
    <row r="674" spans="2:49" x14ac:dyDescent="0.2">
      <c r="B674" s="460" t="s">
        <v>2565</v>
      </c>
      <c r="C674" s="460">
        <v>6000</v>
      </c>
      <c r="D674" s="460" t="s">
        <v>2332</v>
      </c>
      <c r="E674" s="460" t="s">
        <v>2333</v>
      </c>
      <c r="F674" s="460">
        <v>4</v>
      </c>
      <c r="G674" s="460">
        <v>3</v>
      </c>
      <c r="H674" s="461" t="s">
        <v>700</v>
      </c>
      <c r="I674" s="461" t="s">
        <v>872</v>
      </c>
      <c r="J674" s="461" t="s">
        <v>700</v>
      </c>
      <c r="K674" s="594"/>
      <c r="L674" s="594"/>
      <c r="M674" s="352">
        <v>6000</v>
      </c>
      <c r="N674" s="352" t="s">
        <v>871</v>
      </c>
      <c r="O674" s="460">
        <v>1311</v>
      </c>
      <c r="P674" s="460" t="s">
        <v>710</v>
      </c>
      <c r="Q674" s="460" t="s">
        <v>2553</v>
      </c>
      <c r="R674" s="460">
        <v>1311</v>
      </c>
      <c r="S674" s="460" t="s">
        <v>2333</v>
      </c>
      <c r="T674" s="462">
        <v>1</v>
      </c>
      <c r="U674" s="460" t="s">
        <v>2333</v>
      </c>
      <c r="V674" s="475">
        <v>0</v>
      </c>
      <c r="W674" s="463" t="s">
        <v>2554</v>
      </c>
      <c r="X674" s="463" t="s">
        <v>2554</v>
      </c>
      <c r="Y674" s="463" t="s">
        <v>2268</v>
      </c>
      <c r="Z674" s="463"/>
      <c r="AA674" s="463"/>
      <c r="AB674" s="464">
        <v>231.98981149356237</v>
      </c>
      <c r="AC674" s="465">
        <v>7.1120428994334767E-2</v>
      </c>
      <c r="AD674" s="465">
        <v>1.6000000000000004E-2</v>
      </c>
      <c r="AE674" s="476">
        <v>139.19388689613743</v>
      </c>
      <c r="AF674" s="467">
        <v>4.2672257396600861E-2</v>
      </c>
      <c r="AG674" s="468">
        <v>1.0594817671448219E-2</v>
      </c>
      <c r="AH674" s="218">
        <v>139.19388689613743</v>
      </c>
      <c r="AI674" s="470">
        <v>4.2672257396600861E-2</v>
      </c>
      <c r="AJ674" s="471">
        <v>1.0265050949146258E-2</v>
      </c>
      <c r="AK674" s="218">
        <v>139.19388689613743</v>
      </c>
      <c r="AL674" s="470">
        <v>4.2672257396600861E-2</v>
      </c>
      <c r="AM674" s="471">
        <v>1.0265050949146258E-2</v>
      </c>
      <c r="AN674" s="477">
        <v>0</v>
      </c>
      <c r="AO674" s="473">
        <v>0</v>
      </c>
      <c r="AP674" s="474">
        <v>0</v>
      </c>
      <c r="AQ674" s="352"/>
      <c r="AR674" s="352"/>
      <c r="AS674" s="352"/>
      <c r="AT674" s="352"/>
      <c r="AU674" s="352"/>
      <c r="AV674" s="352"/>
      <c r="AW674" s="352" t="s">
        <v>254</v>
      </c>
    </row>
    <row r="675" spans="2:49" x14ac:dyDescent="0.2">
      <c r="B675" s="460" t="s">
        <v>2562</v>
      </c>
      <c r="C675" s="460">
        <v>6000</v>
      </c>
      <c r="D675" s="460" t="s">
        <v>2334</v>
      </c>
      <c r="E675" s="460" t="s">
        <v>2324</v>
      </c>
      <c r="F675" s="460">
        <v>1</v>
      </c>
      <c r="G675" s="460">
        <v>3</v>
      </c>
      <c r="H675" s="461" t="s">
        <v>712</v>
      </c>
      <c r="I675" s="461" t="s">
        <v>713</v>
      </c>
      <c r="J675" s="461" t="s">
        <v>712</v>
      </c>
      <c r="K675" s="594"/>
      <c r="L675" s="594"/>
      <c r="M675" s="352">
        <v>6000</v>
      </c>
      <c r="N675" s="352" t="s">
        <v>871</v>
      </c>
      <c r="O675" s="460">
        <v>1311</v>
      </c>
      <c r="P675" s="460" t="s">
        <v>710</v>
      </c>
      <c r="Q675" s="460" t="s">
        <v>2280</v>
      </c>
      <c r="R675" s="460">
        <v>1311</v>
      </c>
      <c r="S675" s="460" t="s">
        <v>2324</v>
      </c>
      <c r="T675" s="462">
        <v>1</v>
      </c>
      <c r="U675" s="460" t="s">
        <v>2324</v>
      </c>
      <c r="V675" s="475">
        <v>0</v>
      </c>
      <c r="W675" s="463" t="s">
        <v>713</v>
      </c>
      <c r="X675" s="463" t="s">
        <v>713</v>
      </c>
      <c r="Y675" s="463" t="s">
        <v>713</v>
      </c>
      <c r="Z675" s="463"/>
      <c r="AA675" s="463"/>
      <c r="AB675" s="464">
        <v>17566.818548618852</v>
      </c>
      <c r="AC675" s="465">
        <v>0.90395853471993159</v>
      </c>
      <c r="AD675" s="465">
        <v>4.3862520596787122E-2</v>
      </c>
      <c r="AE675" s="476">
        <v>18313.376240777223</v>
      </c>
      <c r="AF675" s="467">
        <v>0.94237512083195896</v>
      </c>
      <c r="AG675" s="468">
        <v>4.4858188718325233E-2</v>
      </c>
      <c r="AH675" s="218">
        <v>18313.376240777223</v>
      </c>
      <c r="AI675" s="470">
        <v>0.94237512083195896</v>
      </c>
      <c r="AJ675" s="471">
        <v>4.5430052066870015E-2</v>
      </c>
      <c r="AK675" s="218">
        <v>18313.376240777223</v>
      </c>
      <c r="AL675" s="470">
        <v>0.94237512083195896</v>
      </c>
      <c r="AM675" s="471">
        <v>4.5430052066870015E-2</v>
      </c>
      <c r="AN675" s="477">
        <v>18313.376240777223</v>
      </c>
      <c r="AO675" s="473">
        <v>0.94237512083195896</v>
      </c>
      <c r="AP675" s="474">
        <v>4.5407943404749948E-2</v>
      </c>
      <c r="AQ675" s="352"/>
      <c r="AR675" s="352"/>
      <c r="AS675" s="352"/>
      <c r="AT675" s="352"/>
      <c r="AU675" s="352"/>
      <c r="AV675" s="352"/>
      <c r="AW675" s="352" t="s">
        <v>254</v>
      </c>
    </row>
    <row r="676" spans="2:49" x14ac:dyDescent="0.2">
      <c r="B676" s="460" t="s">
        <v>2563</v>
      </c>
      <c r="C676" s="460">
        <v>6000</v>
      </c>
      <c r="D676" s="460" t="s">
        <v>2335</v>
      </c>
      <c r="E676" s="460" t="s">
        <v>2327</v>
      </c>
      <c r="F676" s="460">
        <v>2</v>
      </c>
      <c r="G676" s="460">
        <v>3</v>
      </c>
      <c r="H676" s="461" t="s">
        <v>712</v>
      </c>
      <c r="I676" s="461" t="s">
        <v>713</v>
      </c>
      <c r="J676" s="461" t="s">
        <v>712</v>
      </c>
      <c r="K676" s="594"/>
      <c r="L676" s="594"/>
      <c r="M676" s="352">
        <v>6000</v>
      </c>
      <c r="N676" s="352" t="s">
        <v>871</v>
      </c>
      <c r="O676" s="460">
        <v>1311</v>
      </c>
      <c r="P676" s="460" t="s">
        <v>710</v>
      </c>
      <c r="Q676" s="460" t="s">
        <v>2280</v>
      </c>
      <c r="R676" s="460">
        <v>1311</v>
      </c>
      <c r="S676" s="460" t="s">
        <v>2324</v>
      </c>
      <c r="T676" s="462">
        <v>1</v>
      </c>
      <c r="U676" s="460" t="s">
        <v>2327</v>
      </c>
      <c r="V676" s="475">
        <v>0</v>
      </c>
      <c r="W676" s="463" t="s">
        <v>713</v>
      </c>
      <c r="X676" s="463" t="s">
        <v>713</v>
      </c>
      <c r="Y676" s="463" t="s">
        <v>713</v>
      </c>
      <c r="Z676" s="463"/>
      <c r="AA676" s="463"/>
      <c r="AB676" s="464">
        <v>13645.716859826864</v>
      </c>
      <c r="AC676" s="465">
        <v>0.92645191584810893</v>
      </c>
      <c r="AD676" s="465">
        <v>4.3701752261029632E-2</v>
      </c>
      <c r="AE676" s="476">
        <v>14079.032961721123</v>
      </c>
      <c r="AF676" s="467">
        <v>0.95587114950886543</v>
      </c>
      <c r="AG676" s="468">
        <v>4.4351550232464773E-2</v>
      </c>
      <c r="AH676" s="218">
        <v>13880.249859320627</v>
      </c>
      <c r="AI676" s="470">
        <v>0.94237512083195896</v>
      </c>
      <c r="AJ676" s="471">
        <v>4.5472796153883353E-2</v>
      </c>
      <c r="AK676" s="218">
        <v>13880.249859320627</v>
      </c>
      <c r="AL676" s="470">
        <v>0.94237512083195896</v>
      </c>
      <c r="AM676" s="471">
        <v>4.5472796153883353E-2</v>
      </c>
      <c r="AN676" s="477">
        <v>13880.249859320627</v>
      </c>
      <c r="AO676" s="473">
        <v>0.94237512083195896</v>
      </c>
      <c r="AP676" s="474">
        <v>4.5454967915260679E-2</v>
      </c>
      <c r="AQ676" s="352"/>
      <c r="AR676" s="352"/>
      <c r="AS676" s="352"/>
      <c r="AT676" s="352"/>
      <c r="AU676" s="352"/>
      <c r="AV676" s="352"/>
      <c r="AW676" s="352" t="s">
        <v>254</v>
      </c>
    </row>
    <row r="677" spans="2:49" x14ac:dyDescent="0.2">
      <c r="B677" s="460" t="s">
        <v>2564</v>
      </c>
      <c r="C677" s="460">
        <v>6000</v>
      </c>
      <c r="D677" s="460" t="s">
        <v>2336</v>
      </c>
      <c r="E677" s="460" t="s">
        <v>2330</v>
      </c>
      <c r="F677" s="460">
        <v>3</v>
      </c>
      <c r="G677" s="460">
        <v>3</v>
      </c>
      <c r="H677" s="461" t="s">
        <v>712</v>
      </c>
      <c r="I677" s="461" t="s">
        <v>713</v>
      </c>
      <c r="J677" s="461" t="s">
        <v>712</v>
      </c>
      <c r="K677" s="594"/>
      <c r="L677" s="594"/>
      <c r="M677" s="352">
        <v>6000</v>
      </c>
      <c r="N677" s="352" t="s">
        <v>871</v>
      </c>
      <c r="O677" s="460">
        <v>1311</v>
      </c>
      <c r="P677" s="460" t="s">
        <v>710</v>
      </c>
      <c r="Q677" s="460" t="s">
        <v>2280</v>
      </c>
      <c r="R677" s="460">
        <v>1311</v>
      </c>
      <c r="S677" s="460" t="s">
        <v>2324</v>
      </c>
      <c r="T677" s="462">
        <v>1</v>
      </c>
      <c r="U677" s="460" t="s">
        <v>2330</v>
      </c>
      <c r="V677" s="475">
        <v>0</v>
      </c>
      <c r="W677" s="463" t="s">
        <v>713</v>
      </c>
      <c r="X677" s="463" t="s">
        <v>713</v>
      </c>
      <c r="Y677" s="463" t="s">
        <v>713</v>
      </c>
      <c r="Z677" s="463"/>
      <c r="AA677" s="463"/>
      <c r="AB677" s="464">
        <v>2418.8538245075924</v>
      </c>
      <c r="AC677" s="465">
        <v>0.85093933721684722</v>
      </c>
      <c r="AD677" s="465">
        <v>2.1417168057371684E-2</v>
      </c>
      <c r="AE677" s="476">
        <v>2588.3399152251422</v>
      </c>
      <c r="AF677" s="467">
        <v>0.91056360233010836</v>
      </c>
      <c r="AG677" s="468">
        <v>2.2563587886753392E-2</v>
      </c>
      <c r="AH677" s="218">
        <v>2588.3399152251422</v>
      </c>
      <c r="AI677" s="470">
        <v>0.91056360233010836</v>
      </c>
      <c r="AJ677" s="471">
        <v>2.3425094817768936E-2</v>
      </c>
      <c r="AK677" s="218">
        <v>2588.3399152251422</v>
      </c>
      <c r="AL677" s="470">
        <v>0.91056360233010836</v>
      </c>
      <c r="AM677" s="471">
        <v>2.3425094817768936E-2</v>
      </c>
      <c r="AN677" s="477">
        <v>2588.3399152251422</v>
      </c>
      <c r="AO677" s="473">
        <v>0.91056360233010836</v>
      </c>
      <c r="AP677" s="474">
        <v>2.3485557574578392E-2</v>
      </c>
      <c r="AQ677" s="352"/>
      <c r="AR677" s="352"/>
      <c r="AS677" s="352"/>
      <c r="AT677" s="352"/>
      <c r="AU677" s="352"/>
      <c r="AV677" s="352"/>
      <c r="AW677" s="352" t="s">
        <v>254</v>
      </c>
    </row>
    <row r="678" spans="2:49" x14ac:dyDescent="0.2">
      <c r="B678" s="460" t="s">
        <v>2565</v>
      </c>
      <c r="C678" s="460">
        <v>6000</v>
      </c>
      <c r="D678" s="460" t="s">
        <v>2337</v>
      </c>
      <c r="E678" s="460" t="s">
        <v>2333</v>
      </c>
      <c r="F678" s="460">
        <v>4</v>
      </c>
      <c r="G678" s="460">
        <v>3</v>
      </c>
      <c r="H678" s="461" t="s">
        <v>712</v>
      </c>
      <c r="I678" s="461" t="s">
        <v>713</v>
      </c>
      <c r="J678" s="461" t="s">
        <v>712</v>
      </c>
      <c r="K678" s="594"/>
      <c r="L678" s="594"/>
      <c r="M678" s="352">
        <v>6000</v>
      </c>
      <c r="N678" s="352" t="s">
        <v>871</v>
      </c>
      <c r="O678" s="460">
        <v>1311</v>
      </c>
      <c r="P678" s="460" t="s">
        <v>710</v>
      </c>
      <c r="Q678" s="460" t="s">
        <v>2280</v>
      </c>
      <c r="R678" s="460">
        <v>1311</v>
      </c>
      <c r="S678" s="460" t="s">
        <v>2333</v>
      </c>
      <c r="T678" s="462">
        <v>1</v>
      </c>
      <c r="U678" s="460" t="s">
        <v>2333</v>
      </c>
      <c r="V678" s="475">
        <v>0</v>
      </c>
      <c r="W678" s="463" t="s">
        <v>713</v>
      </c>
      <c r="X678" s="463" t="s">
        <v>713</v>
      </c>
      <c r="Y678" s="463" t="s">
        <v>713</v>
      </c>
      <c r="Z678" s="463"/>
      <c r="AA678" s="463"/>
      <c r="AB678" s="464">
        <v>3029.9394931235679</v>
      </c>
      <c r="AC678" s="465">
        <v>0.92887957100566532</v>
      </c>
      <c r="AD678" s="465">
        <v>2.3035026015548955E-2</v>
      </c>
      <c r="AE678" s="476">
        <v>3122.7354177209927</v>
      </c>
      <c r="AF678" s="467">
        <v>0.95732774260339915</v>
      </c>
      <c r="AG678" s="468">
        <v>2.3497299786997612E-2</v>
      </c>
      <c r="AH678" s="218">
        <v>3122.7354177209927</v>
      </c>
      <c r="AI678" s="470">
        <v>0.95732774260339915</v>
      </c>
      <c r="AJ678" s="471">
        <v>2.3572160602475512E-2</v>
      </c>
      <c r="AK678" s="218">
        <v>3122.7354177209927</v>
      </c>
      <c r="AL678" s="470">
        <v>0.95732774260339915</v>
      </c>
      <c r="AM678" s="471">
        <v>2.3572160602475512E-2</v>
      </c>
      <c r="AN678" s="477">
        <v>3122.7354177209927</v>
      </c>
      <c r="AO678" s="473">
        <v>0.95732774260339915</v>
      </c>
      <c r="AP678" s="474">
        <v>2.3579651451555557E-2</v>
      </c>
      <c r="AQ678" s="352"/>
      <c r="AR678" s="352"/>
      <c r="AS678" s="352"/>
      <c r="AT678" s="352"/>
      <c r="AU678" s="352"/>
      <c r="AV678" s="352"/>
      <c r="AW678" s="352" t="s">
        <v>254</v>
      </c>
    </row>
    <row r="679" spans="2:49" x14ac:dyDescent="0.2">
      <c r="B679" s="460" t="s">
        <v>2562</v>
      </c>
      <c r="C679" s="460">
        <v>6000</v>
      </c>
      <c r="D679" s="460" t="s">
        <v>2338</v>
      </c>
      <c r="E679" s="460" t="s">
        <v>2324</v>
      </c>
      <c r="F679" s="460">
        <v>1</v>
      </c>
      <c r="G679" s="460">
        <v>3</v>
      </c>
      <c r="H679" s="461" t="s">
        <v>746</v>
      </c>
      <c r="I679" s="461" t="s">
        <v>762</v>
      </c>
      <c r="J679" s="461" t="s">
        <v>700</v>
      </c>
      <c r="K679" s="594"/>
      <c r="L679" s="594"/>
      <c r="M679" s="352">
        <v>6000</v>
      </c>
      <c r="N679" s="352" t="s">
        <v>871</v>
      </c>
      <c r="O679" s="460">
        <v>1311</v>
      </c>
      <c r="P679" s="460" t="s">
        <v>710</v>
      </c>
      <c r="Q679" s="460" t="s">
        <v>2553</v>
      </c>
      <c r="R679" s="460">
        <v>1311</v>
      </c>
      <c r="S679" s="460" t="s">
        <v>2324</v>
      </c>
      <c r="T679" s="462">
        <v>1</v>
      </c>
      <c r="U679" s="460" t="s">
        <v>2324</v>
      </c>
      <c r="V679" s="475">
        <v>0</v>
      </c>
      <c r="W679" s="463" t="s">
        <v>2268</v>
      </c>
      <c r="X679" s="463" t="s">
        <v>2268</v>
      </c>
      <c r="Y679" s="463" t="s">
        <v>2554</v>
      </c>
      <c r="Z679" s="463"/>
      <c r="AA679" s="463"/>
      <c r="AB679" s="464">
        <v>0</v>
      </c>
      <c r="AC679" s="465">
        <v>0</v>
      </c>
      <c r="AD679" s="465">
        <v>0</v>
      </c>
      <c r="AE679" s="476">
        <v>0</v>
      </c>
      <c r="AF679" s="467">
        <v>0</v>
      </c>
      <c r="AG679" s="468">
        <v>0</v>
      </c>
      <c r="AH679" s="218">
        <v>0</v>
      </c>
      <c r="AI679" s="470">
        <v>0</v>
      </c>
      <c r="AJ679" s="471">
        <v>0</v>
      </c>
      <c r="AK679" s="218">
        <v>0</v>
      </c>
      <c r="AL679" s="470">
        <v>0</v>
      </c>
      <c r="AM679" s="471">
        <v>0</v>
      </c>
      <c r="AN679" s="477">
        <v>1026.516826717761</v>
      </c>
      <c r="AO679" s="473">
        <v>5.2822805904037595E-2</v>
      </c>
      <c r="AP679" s="474">
        <v>1.0847976975790581E-2</v>
      </c>
      <c r="AQ679" s="352"/>
      <c r="AR679" s="352"/>
      <c r="AS679" s="352"/>
      <c r="AT679" s="352"/>
      <c r="AU679" s="352"/>
      <c r="AV679" s="352"/>
      <c r="AW679" s="352" t="s">
        <v>254</v>
      </c>
    </row>
    <row r="680" spans="2:49" x14ac:dyDescent="0.2">
      <c r="B680" s="460" t="s">
        <v>2563</v>
      </c>
      <c r="C680" s="460">
        <v>6000</v>
      </c>
      <c r="D680" s="460" t="s">
        <v>2339</v>
      </c>
      <c r="E680" s="460" t="s">
        <v>2327</v>
      </c>
      <c r="F680" s="460">
        <v>2</v>
      </c>
      <c r="G680" s="460">
        <v>3</v>
      </c>
      <c r="H680" s="461" t="s">
        <v>746</v>
      </c>
      <c r="I680" s="461" t="s">
        <v>762</v>
      </c>
      <c r="J680" s="461" t="s">
        <v>700</v>
      </c>
      <c r="K680" s="594"/>
      <c r="L680" s="594"/>
      <c r="M680" s="352">
        <v>6000</v>
      </c>
      <c r="N680" s="352" t="s">
        <v>871</v>
      </c>
      <c r="O680" s="460">
        <v>1311</v>
      </c>
      <c r="P680" s="460" t="s">
        <v>710</v>
      </c>
      <c r="Q680" s="460" t="s">
        <v>2553</v>
      </c>
      <c r="R680" s="460">
        <v>1311</v>
      </c>
      <c r="S680" s="460" t="s">
        <v>2324</v>
      </c>
      <c r="T680" s="462">
        <v>1</v>
      </c>
      <c r="U680" s="460" t="s">
        <v>2327</v>
      </c>
      <c r="V680" s="475">
        <v>0</v>
      </c>
      <c r="W680" s="463" t="s">
        <v>2268</v>
      </c>
      <c r="X680" s="463" t="s">
        <v>2268</v>
      </c>
      <c r="Y680" s="463" t="s">
        <v>2554</v>
      </c>
      <c r="Z680" s="463"/>
      <c r="AA680" s="463"/>
      <c r="AB680" s="464">
        <v>0</v>
      </c>
      <c r="AC680" s="465">
        <v>0</v>
      </c>
      <c r="AD680" s="465">
        <v>0</v>
      </c>
      <c r="AE680" s="476">
        <v>0</v>
      </c>
      <c r="AF680" s="467">
        <v>0</v>
      </c>
      <c r="AG680" s="468">
        <v>0</v>
      </c>
      <c r="AH680" s="218">
        <v>0</v>
      </c>
      <c r="AI680" s="470">
        <v>0</v>
      </c>
      <c r="AJ680" s="471">
        <v>0</v>
      </c>
      <c r="AK680" s="218">
        <v>0</v>
      </c>
      <c r="AL680" s="470">
        <v>0</v>
      </c>
      <c r="AM680" s="471">
        <v>0</v>
      </c>
      <c r="AN680" s="477">
        <v>778.02748397172434</v>
      </c>
      <c r="AO680" s="473">
        <v>5.2822805904037595E-2</v>
      </c>
      <c r="AP680" s="474">
        <v>1.2367809505693158E-2</v>
      </c>
      <c r="AQ680" s="352"/>
      <c r="AR680" s="352"/>
      <c r="AS680" s="352"/>
      <c r="AT680" s="352"/>
      <c r="AU680" s="352"/>
      <c r="AV680" s="352"/>
      <c r="AW680" s="352" t="s">
        <v>254</v>
      </c>
    </row>
    <row r="681" spans="2:49" x14ac:dyDescent="0.2">
      <c r="B681" s="460" t="s">
        <v>2564</v>
      </c>
      <c r="C681" s="460">
        <v>6000</v>
      </c>
      <c r="D681" s="460" t="s">
        <v>2340</v>
      </c>
      <c r="E681" s="460" t="s">
        <v>2330</v>
      </c>
      <c r="F681" s="460">
        <v>3</v>
      </c>
      <c r="G681" s="460">
        <v>3</v>
      </c>
      <c r="H681" s="461" t="s">
        <v>746</v>
      </c>
      <c r="I681" s="461" t="s">
        <v>762</v>
      </c>
      <c r="J681" s="461" t="s">
        <v>700</v>
      </c>
      <c r="K681" s="594"/>
      <c r="L681" s="594"/>
      <c r="M681" s="352">
        <v>6000</v>
      </c>
      <c r="N681" s="352" t="s">
        <v>871</v>
      </c>
      <c r="O681" s="460">
        <v>1311</v>
      </c>
      <c r="P681" s="460" t="s">
        <v>710</v>
      </c>
      <c r="Q681" s="460" t="s">
        <v>2553</v>
      </c>
      <c r="R681" s="460">
        <v>1311</v>
      </c>
      <c r="S681" s="460" t="s">
        <v>2324</v>
      </c>
      <c r="T681" s="462">
        <v>1</v>
      </c>
      <c r="U681" s="460" t="s">
        <v>2330</v>
      </c>
      <c r="V681" s="475">
        <v>0</v>
      </c>
      <c r="W681" s="463" t="s">
        <v>2268</v>
      </c>
      <c r="X681" s="463" t="s">
        <v>2268</v>
      </c>
      <c r="Y681" s="463" t="s">
        <v>2554</v>
      </c>
      <c r="Z681" s="463"/>
      <c r="AA681" s="463"/>
      <c r="AB681" s="464">
        <v>0</v>
      </c>
      <c r="AC681" s="465">
        <v>0</v>
      </c>
      <c r="AD681" s="465">
        <v>0</v>
      </c>
      <c r="AE681" s="476">
        <v>0</v>
      </c>
      <c r="AF681" s="467">
        <v>0</v>
      </c>
      <c r="AG681" s="468">
        <v>0</v>
      </c>
      <c r="AH681" s="218">
        <v>0</v>
      </c>
      <c r="AI681" s="470">
        <v>0</v>
      </c>
      <c r="AJ681" s="471">
        <v>0</v>
      </c>
      <c r="AK681" s="218">
        <v>0</v>
      </c>
      <c r="AL681" s="470">
        <v>0</v>
      </c>
      <c r="AM681" s="471">
        <v>0</v>
      </c>
      <c r="AN681" s="477">
        <v>233.04337473663099</v>
      </c>
      <c r="AO681" s="473">
        <v>8.1983364530734043E-2</v>
      </c>
      <c r="AP681" s="474">
        <v>9.3221597141087062E-3</v>
      </c>
      <c r="AQ681" s="352"/>
      <c r="AR681" s="352"/>
      <c r="AS681" s="352"/>
      <c r="AT681" s="352"/>
      <c r="AU681" s="352"/>
      <c r="AV681" s="352"/>
      <c r="AW681" s="352" t="s">
        <v>254</v>
      </c>
    </row>
    <row r="682" spans="2:49" x14ac:dyDescent="0.2">
      <c r="B682" s="460" t="s">
        <v>2565</v>
      </c>
      <c r="C682" s="460">
        <v>6000</v>
      </c>
      <c r="D682" s="460" t="s">
        <v>2341</v>
      </c>
      <c r="E682" s="460" t="s">
        <v>2333</v>
      </c>
      <c r="F682" s="460">
        <v>4</v>
      </c>
      <c r="G682" s="460">
        <v>3</v>
      </c>
      <c r="H682" s="461" t="s">
        <v>746</v>
      </c>
      <c r="I682" s="461" t="s">
        <v>762</v>
      </c>
      <c r="J682" s="461" t="s">
        <v>700</v>
      </c>
      <c r="K682" s="594"/>
      <c r="L682" s="594"/>
      <c r="M682" s="352">
        <v>6000</v>
      </c>
      <c r="N682" s="352" t="s">
        <v>871</v>
      </c>
      <c r="O682" s="460">
        <v>1311</v>
      </c>
      <c r="P682" s="460" t="s">
        <v>710</v>
      </c>
      <c r="Q682" s="460" t="s">
        <v>2553</v>
      </c>
      <c r="R682" s="460">
        <v>1311</v>
      </c>
      <c r="S682" s="460" t="s">
        <v>2333</v>
      </c>
      <c r="T682" s="462">
        <v>1</v>
      </c>
      <c r="U682" s="460" t="s">
        <v>2333</v>
      </c>
      <c r="V682" s="475">
        <v>0</v>
      </c>
      <c r="W682" s="463" t="s">
        <v>2268</v>
      </c>
      <c r="X682" s="463" t="s">
        <v>2268</v>
      </c>
      <c r="Y682" s="463" t="s">
        <v>2554</v>
      </c>
      <c r="Z682" s="463"/>
      <c r="AA682" s="463"/>
      <c r="AB682" s="464">
        <v>0</v>
      </c>
      <c r="AC682" s="465">
        <v>0</v>
      </c>
      <c r="AD682" s="465">
        <v>0</v>
      </c>
      <c r="AE682" s="476">
        <v>0</v>
      </c>
      <c r="AF682" s="467">
        <v>0</v>
      </c>
      <c r="AG682" s="468">
        <v>0</v>
      </c>
      <c r="AH682" s="218">
        <v>0</v>
      </c>
      <c r="AI682" s="470">
        <v>0</v>
      </c>
      <c r="AJ682" s="471">
        <v>0</v>
      </c>
      <c r="AK682" s="218">
        <v>0</v>
      </c>
      <c r="AL682" s="470">
        <v>0</v>
      </c>
      <c r="AM682" s="471">
        <v>0</v>
      </c>
      <c r="AN682" s="477">
        <v>127.59439632145933</v>
      </c>
      <c r="AO682" s="473">
        <v>3.9116235946884126E-2</v>
      </c>
      <c r="AP682" s="474">
        <v>1.0636217779391567E-2</v>
      </c>
      <c r="AQ682" s="352"/>
      <c r="AR682" s="352"/>
      <c r="AS682" s="352"/>
      <c r="AT682" s="352"/>
      <c r="AU682" s="352"/>
      <c r="AV682" s="352"/>
      <c r="AW682" s="352" t="s">
        <v>254</v>
      </c>
    </row>
    <row r="683" spans="2:49" x14ac:dyDescent="0.2">
      <c r="B683" s="460" t="s">
        <v>2562</v>
      </c>
      <c r="C683" s="460">
        <v>6000</v>
      </c>
      <c r="D683" s="460" t="s">
        <v>2342</v>
      </c>
      <c r="E683" s="460" t="s">
        <v>2324</v>
      </c>
      <c r="F683" s="460">
        <v>1</v>
      </c>
      <c r="G683" s="460">
        <v>3</v>
      </c>
      <c r="H683" s="461" t="s">
        <v>748</v>
      </c>
      <c r="I683" s="461" t="s">
        <v>765</v>
      </c>
      <c r="J683" s="461" t="s">
        <v>700</v>
      </c>
      <c r="K683" s="594"/>
      <c r="L683" s="594"/>
      <c r="M683" s="352">
        <v>6000</v>
      </c>
      <c r="N683" s="352" t="s">
        <v>871</v>
      </c>
      <c r="O683" s="460">
        <v>1311</v>
      </c>
      <c r="P683" s="460" t="s">
        <v>710</v>
      </c>
      <c r="Q683" s="460" t="s">
        <v>2553</v>
      </c>
      <c r="R683" s="460">
        <v>1311</v>
      </c>
      <c r="S683" s="460" t="s">
        <v>2324</v>
      </c>
      <c r="T683" s="462">
        <v>1</v>
      </c>
      <c r="U683" s="460" t="s">
        <v>2324</v>
      </c>
      <c r="V683" s="475">
        <v>0</v>
      </c>
      <c r="W683" s="463" t="s">
        <v>2268</v>
      </c>
      <c r="X683" s="463" t="s">
        <v>2268</v>
      </c>
      <c r="Y683" s="463" t="s">
        <v>2554</v>
      </c>
      <c r="Z683" s="463"/>
      <c r="AA683" s="463"/>
      <c r="AB683" s="464">
        <v>0</v>
      </c>
      <c r="AC683" s="465">
        <v>0</v>
      </c>
      <c r="AD683" s="465">
        <v>0</v>
      </c>
      <c r="AE683" s="476">
        <v>0</v>
      </c>
      <c r="AF683" s="467">
        <v>0</v>
      </c>
      <c r="AG683" s="468">
        <v>0</v>
      </c>
      <c r="AH683" s="218">
        <v>0</v>
      </c>
      <c r="AI683" s="470">
        <v>0</v>
      </c>
      <c r="AJ683" s="471">
        <v>0</v>
      </c>
      <c r="AK683" s="218">
        <v>0</v>
      </c>
      <c r="AL683" s="470">
        <v>0</v>
      </c>
      <c r="AM683" s="471">
        <v>0</v>
      </c>
      <c r="AN683" s="477">
        <v>93.319711519796527</v>
      </c>
      <c r="AO683" s="473">
        <v>4.802073264003422E-3</v>
      </c>
      <c r="AP683" s="474">
        <v>4.857460382380668E-3</v>
      </c>
      <c r="AQ683" s="352"/>
      <c r="AR683" s="352"/>
      <c r="AS683" s="352"/>
      <c r="AT683" s="352"/>
      <c r="AU683" s="352"/>
      <c r="AV683" s="352"/>
      <c r="AW683" s="352" t="s">
        <v>254</v>
      </c>
    </row>
    <row r="684" spans="2:49" x14ac:dyDescent="0.2">
      <c r="B684" s="460" t="s">
        <v>2563</v>
      </c>
      <c r="C684" s="460">
        <v>6000</v>
      </c>
      <c r="D684" s="460" t="s">
        <v>2343</v>
      </c>
      <c r="E684" s="460" t="s">
        <v>2327</v>
      </c>
      <c r="F684" s="460">
        <v>2</v>
      </c>
      <c r="G684" s="460">
        <v>3</v>
      </c>
      <c r="H684" s="461" t="s">
        <v>748</v>
      </c>
      <c r="I684" s="461" t="s">
        <v>765</v>
      </c>
      <c r="J684" s="461" t="s">
        <v>700</v>
      </c>
      <c r="K684" s="594"/>
      <c r="L684" s="594"/>
      <c r="M684" s="352">
        <v>6000</v>
      </c>
      <c r="N684" s="352" t="s">
        <v>871</v>
      </c>
      <c r="O684" s="460">
        <v>1311</v>
      </c>
      <c r="P684" s="460" t="s">
        <v>710</v>
      </c>
      <c r="Q684" s="460" t="s">
        <v>2553</v>
      </c>
      <c r="R684" s="460">
        <v>1311</v>
      </c>
      <c r="S684" s="460" t="s">
        <v>2324</v>
      </c>
      <c r="T684" s="462">
        <v>1</v>
      </c>
      <c r="U684" s="460" t="s">
        <v>2327</v>
      </c>
      <c r="V684" s="475">
        <v>0</v>
      </c>
      <c r="W684" s="463" t="s">
        <v>2268</v>
      </c>
      <c r="X684" s="463" t="s">
        <v>2268</v>
      </c>
      <c r="Y684" s="463" t="s">
        <v>2554</v>
      </c>
      <c r="Z684" s="463"/>
      <c r="AA684" s="463"/>
      <c r="AB684" s="464">
        <v>0</v>
      </c>
      <c r="AC684" s="465">
        <v>0</v>
      </c>
      <c r="AD684" s="465">
        <v>0</v>
      </c>
      <c r="AE684" s="476">
        <v>0</v>
      </c>
      <c r="AF684" s="467">
        <v>0</v>
      </c>
      <c r="AG684" s="468">
        <v>0</v>
      </c>
      <c r="AH684" s="218">
        <v>0</v>
      </c>
      <c r="AI684" s="470">
        <v>0</v>
      </c>
      <c r="AJ684" s="471">
        <v>0</v>
      </c>
      <c r="AK684" s="218">
        <v>0</v>
      </c>
      <c r="AL684" s="470">
        <v>0</v>
      </c>
      <c r="AM684" s="471">
        <v>0</v>
      </c>
      <c r="AN684" s="477">
        <v>70.729771270156817</v>
      </c>
      <c r="AO684" s="473">
        <v>4.802073264003422E-3</v>
      </c>
      <c r="AP684" s="474">
        <v>6.2874178060583147E-3</v>
      </c>
      <c r="AQ684" s="352"/>
      <c r="AR684" s="352"/>
      <c r="AS684" s="352"/>
      <c r="AT684" s="352"/>
      <c r="AU684" s="352"/>
      <c r="AV684" s="352"/>
      <c r="AW684" s="352" t="s">
        <v>254</v>
      </c>
    </row>
    <row r="685" spans="2:49" x14ac:dyDescent="0.2">
      <c r="B685" s="460" t="s">
        <v>2564</v>
      </c>
      <c r="C685" s="460">
        <v>6000</v>
      </c>
      <c r="D685" s="460" t="s">
        <v>2344</v>
      </c>
      <c r="E685" s="460" t="s">
        <v>2330</v>
      </c>
      <c r="F685" s="460">
        <v>3</v>
      </c>
      <c r="G685" s="460">
        <v>3</v>
      </c>
      <c r="H685" s="461" t="s">
        <v>748</v>
      </c>
      <c r="I685" s="461" t="s">
        <v>765</v>
      </c>
      <c r="J685" s="461" t="s">
        <v>700</v>
      </c>
      <c r="K685" s="594"/>
      <c r="L685" s="594"/>
      <c r="M685" s="352">
        <v>6000</v>
      </c>
      <c r="N685" s="352" t="s">
        <v>871</v>
      </c>
      <c r="O685" s="460">
        <v>1311</v>
      </c>
      <c r="P685" s="460" t="s">
        <v>710</v>
      </c>
      <c r="Q685" s="460" t="s">
        <v>2553</v>
      </c>
      <c r="R685" s="460">
        <v>1311</v>
      </c>
      <c r="S685" s="460" t="s">
        <v>2324</v>
      </c>
      <c r="T685" s="462">
        <v>1</v>
      </c>
      <c r="U685" s="460" t="s">
        <v>2330</v>
      </c>
      <c r="V685" s="475">
        <v>0</v>
      </c>
      <c r="W685" s="463" t="s">
        <v>2268</v>
      </c>
      <c r="X685" s="463" t="s">
        <v>2268</v>
      </c>
      <c r="Y685" s="463" t="s">
        <v>2554</v>
      </c>
      <c r="Z685" s="463"/>
      <c r="AA685" s="463"/>
      <c r="AB685" s="464">
        <v>0</v>
      </c>
      <c r="AC685" s="465">
        <v>0</v>
      </c>
      <c r="AD685" s="465">
        <v>0</v>
      </c>
      <c r="AE685" s="476">
        <v>0</v>
      </c>
      <c r="AF685" s="467">
        <v>0</v>
      </c>
      <c r="AG685" s="468">
        <v>0</v>
      </c>
      <c r="AH685" s="218">
        <v>0</v>
      </c>
      <c r="AI685" s="470">
        <v>0</v>
      </c>
      <c r="AJ685" s="471">
        <v>0</v>
      </c>
      <c r="AK685" s="218">
        <v>0</v>
      </c>
      <c r="AL685" s="470">
        <v>0</v>
      </c>
      <c r="AM685" s="471">
        <v>0</v>
      </c>
      <c r="AN685" s="477">
        <v>21.185761339693745</v>
      </c>
      <c r="AO685" s="473">
        <v>7.4530331391576467E-3</v>
      </c>
      <c r="AP685" s="474">
        <v>5.7748724143065382E-3</v>
      </c>
      <c r="AQ685" s="352"/>
      <c r="AR685" s="352"/>
      <c r="AS685" s="352"/>
      <c r="AT685" s="352"/>
      <c r="AU685" s="352"/>
      <c r="AV685" s="352"/>
      <c r="AW685" s="352" t="s">
        <v>254</v>
      </c>
    </row>
    <row r="686" spans="2:49" x14ac:dyDescent="0.2">
      <c r="B686" s="460" t="s">
        <v>2565</v>
      </c>
      <c r="C686" s="460">
        <v>6000</v>
      </c>
      <c r="D686" s="460" t="s">
        <v>2345</v>
      </c>
      <c r="E686" s="460" t="s">
        <v>2333</v>
      </c>
      <c r="F686" s="460">
        <v>4</v>
      </c>
      <c r="G686" s="460">
        <v>3</v>
      </c>
      <c r="H686" s="461" t="s">
        <v>748</v>
      </c>
      <c r="I686" s="461" t="s">
        <v>765</v>
      </c>
      <c r="J686" s="461" t="s">
        <v>700</v>
      </c>
      <c r="K686" s="594"/>
      <c r="L686" s="594"/>
      <c r="M686" s="352">
        <v>6000</v>
      </c>
      <c r="N686" s="352" t="s">
        <v>871</v>
      </c>
      <c r="O686" s="460">
        <v>1311</v>
      </c>
      <c r="P686" s="460" t="s">
        <v>710</v>
      </c>
      <c r="Q686" s="460" t="s">
        <v>2553</v>
      </c>
      <c r="R686" s="460">
        <v>1311</v>
      </c>
      <c r="S686" s="460" t="s">
        <v>2333</v>
      </c>
      <c r="T686" s="462">
        <v>1</v>
      </c>
      <c r="U686" s="460" t="s">
        <v>2333</v>
      </c>
      <c r="V686" s="475">
        <v>0</v>
      </c>
      <c r="W686" s="463" t="s">
        <v>2268</v>
      </c>
      <c r="X686" s="463" t="s">
        <v>2268</v>
      </c>
      <c r="Y686" s="463" t="s">
        <v>2554</v>
      </c>
      <c r="Z686" s="463"/>
      <c r="AA686" s="463"/>
      <c r="AB686" s="464">
        <v>0</v>
      </c>
      <c r="AC686" s="465">
        <v>0</v>
      </c>
      <c r="AD686" s="465">
        <v>0</v>
      </c>
      <c r="AE686" s="476">
        <v>0</v>
      </c>
      <c r="AF686" s="467">
        <v>0</v>
      </c>
      <c r="AG686" s="468">
        <v>0</v>
      </c>
      <c r="AH686" s="218">
        <v>0</v>
      </c>
      <c r="AI686" s="470">
        <v>0</v>
      </c>
      <c r="AJ686" s="471">
        <v>0</v>
      </c>
      <c r="AK686" s="218">
        <v>0</v>
      </c>
      <c r="AL686" s="470">
        <v>0</v>
      </c>
      <c r="AM686" s="471">
        <v>0</v>
      </c>
      <c r="AN686" s="477">
        <v>11.59949057467813</v>
      </c>
      <c r="AO686" s="473">
        <v>3.5560214497167416E-3</v>
      </c>
      <c r="AP686" s="474">
        <v>7.2232873734123897E-3</v>
      </c>
      <c r="AQ686" s="352"/>
      <c r="AR686" s="352"/>
      <c r="AS686" s="352"/>
      <c r="AT686" s="352"/>
      <c r="AU686" s="352"/>
      <c r="AV686" s="352"/>
      <c r="AW686" s="352" t="s">
        <v>254</v>
      </c>
    </row>
    <row r="687" spans="2:49" x14ac:dyDescent="0.2">
      <c r="B687" s="460" t="s">
        <v>2566</v>
      </c>
      <c r="C687" s="460">
        <v>6000</v>
      </c>
      <c r="D687" s="460" t="s">
        <v>2351</v>
      </c>
      <c r="E687" s="460" t="s">
        <v>1136</v>
      </c>
      <c r="F687" s="460">
        <v>1</v>
      </c>
      <c r="G687" s="460">
        <v>4</v>
      </c>
      <c r="H687" s="461" t="s">
        <v>700</v>
      </c>
      <c r="I687" s="461" t="s">
        <v>872</v>
      </c>
      <c r="J687" s="461" t="s">
        <v>700</v>
      </c>
      <c r="K687" s="594"/>
      <c r="L687" s="594"/>
      <c r="M687" s="352">
        <v>6000</v>
      </c>
      <c r="N687" s="352" t="s">
        <v>871</v>
      </c>
      <c r="O687" s="460">
        <v>1311</v>
      </c>
      <c r="P687" s="460" t="s">
        <v>710</v>
      </c>
      <c r="Q687" s="460" t="s">
        <v>2553</v>
      </c>
      <c r="R687" s="460">
        <v>1311</v>
      </c>
      <c r="S687" s="460" t="s">
        <v>1136</v>
      </c>
      <c r="T687" s="462">
        <v>1</v>
      </c>
      <c r="U687" s="460" t="s">
        <v>1136</v>
      </c>
      <c r="V687" s="475">
        <v>0</v>
      </c>
      <c r="W687" s="463" t="s">
        <v>2554</v>
      </c>
      <c r="X687" s="463" t="s">
        <v>2554</v>
      </c>
      <c r="Y687" s="463" t="s">
        <v>2268</v>
      </c>
      <c r="Z687" s="463"/>
      <c r="AA687" s="463"/>
      <c r="AB687" s="464">
        <v>3.8558522549737893</v>
      </c>
      <c r="AC687" s="465">
        <v>1.1616843112538452E-2</v>
      </c>
      <c r="AD687" s="465">
        <v>1.0970706418002702E-2</v>
      </c>
      <c r="AE687" s="476">
        <v>2.3135113529842735</v>
      </c>
      <c r="AF687" s="467">
        <v>6.9701058675230715E-3</v>
      </c>
      <c r="AG687" s="468">
        <v>7.1554999777318331E-3</v>
      </c>
      <c r="AH687" s="218">
        <v>2.3135113529842735</v>
      </c>
      <c r="AI687" s="470">
        <v>6.9701058675230715E-3</v>
      </c>
      <c r="AJ687" s="471">
        <v>1.8067749205357552E-3</v>
      </c>
      <c r="AK687" s="218">
        <v>2.3135113529842735</v>
      </c>
      <c r="AL687" s="470">
        <v>6.9701058675230715E-3</v>
      </c>
      <c r="AM687" s="471">
        <v>1.8067749205357552E-3</v>
      </c>
      <c r="AN687" s="477">
        <v>0</v>
      </c>
      <c r="AO687" s="473">
        <v>0</v>
      </c>
      <c r="AP687" s="474">
        <v>0</v>
      </c>
      <c r="AQ687" s="352"/>
      <c r="AR687" s="352"/>
      <c r="AS687" s="352"/>
      <c r="AT687" s="352"/>
      <c r="AU687" s="352"/>
      <c r="AV687" s="352"/>
      <c r="AW687" s="352" t="s">
        <v>254</v>
      </c>
    </row>
    <row r="688" spans="2:49" x14ac:dyDescent="0.2">
      <c r="B688" s="460" t="s">
        <v>2567</v>
      </c>
      <c r="C688" s="460">
        <v>6000</v>
      </c>
      <c r="D688" s="460" t="s">
        <v>2353</v>
      </c>
      <c r="E688" s="460" t="s">
        <v>1137</v>
      </c>
      <c r="F688" s="460">
        <v>2</v>
      </c>
      <c r="G688" s="460">
        <v>4</v>
      </c>
      <c r="H688" s="461" t="s">
        <v>700</v>
      </c>
      <c r="I688" s="461" t="s">
        <v>872</v>
      </c>
      <c r="J688" s="461" t="s">
        <v>700</v>
      </c>
      <c r="K688" s="594"/>
      <c r="L688" s="594"/>
      <c r="M688" s="352">
        <v>6000</v>
      </c>
      <c r="N688" s="352" t="s">
        <v>871</v>
      </c>
      <c r="O688" s="460">
        <v>1311</v>
      </c>
      <c r="P688" s="460" t="s">
        <v>710</v>
      </c>
      <c r="Q688" s="460" t="s">
        <v>2553</v>
      </c>
      <c r="R688" s="460">
        <v>1311</v>
      </c>
      <c r="S688" s="460" t="s">
        <v>1137</v>
      </c>
      <c r="T688" s="462">
        <v>1</v>
      </c>
      <c r="U688" s="460" t="s">
        <v>1137</v>
      </c>
      <c r="V688" s="475">
        <v>0</v>
      </c>
      <c r="W688" s="463" t="s">
        <v>2554</v>
      </c>
      <c r="X688" s="463" t="s">
        <v>2554</v>
      </c>
      <c r="Y688" s="463" t="s">
        <v>2268</v>
      </c>
      <c r="Z688" s="463"/>
      <c r="AA688" s="463"/>
      <c r="AB688" s="464">
        <v>48.582691669554251</v>
      </c>
      <c r="AC688" s="465">
        <v>6.8973388827572382E-2</v>
      </c>
      <c r="AD688" s="465">
        <v>1.0970706418002711E-2</v>
      </c>
      <c r="AE688" s="476">
        <v>29.149615001732549</v>
      </c>
      <c r="AF688" s="467">
        <v>4.1384033296543429E-2</v>
      </c>
      <c r="AG688" s="468">
        <v>7.0914475380245033E-3</v>
      </c>
      <c r="AH688" s="218">
        <v>29.149615001732549</v>
      </c>
      <c r="AI688" s="470">
        <v>4.1384033296543429E-2</v>
      </c>
      <c r="AJ688" s="471">
        <v>6.0225852885616177E-3</v>
      </c>
      <c r="AK688" s="218">
        <v>29.149615001732549</v>
      </c>
      <c r="AL688" s="470">
        <v>4.1384033296543429E-2</v>
      </c>
      <c r="AM688" s="471">
        <v>6.0225852885616177E-3</v>
      </c>
      <c r="AN688" s="477">
        <v>0</v>
      </c>
      <c r="AO688" s="473">
        <v>0</v>
      </c>
      <c r="AP688" s="474">
        <v>0</v>
      </c>
      <c r="AQ688" s="352"/>
      <c r="AR688" s="352"/>
      <c r="AS688" s="352"/>
      <c r="AT688" s="352"/>
      <c r="AU688" s="352"/>
      <c r="AV688" s="352"/>
      <c r="AW688" s="352" t="s">
        <v>254</v>
      </c>
    </row>
    <row r="689" spans="2:49" x14ac:dyDescent="0.2">
      <c r="B689" s="460" t="s">
        <v>2568</v>
      </c>
      <c r="C689" s="460">
        <v>6000</v>
      </c>
      <c r="D689" s="460" t="s">
        <v>2355</v>
      </c>
      <c r="E689" s="460" t="s">
        <v>1138</v>
      </c>
      <c r="F689" s="460">
        <v>3</v>
      </c>
      <c r="G689" s="460">
        <v>4</v>
      </c>
      <c r="H689" s="461" t="s">
        <v>700</v>
      </c>
      <c r="I689" s="461" t="s">
        <v>872</v>
      </c>
      <c r="J689" s="461" t="s">
        <v>700</v>
      </c>
      <c r="K689" s="594"/>
      <c r="L689" s="594"/>
      <c r="M689" s="352">
        <v>6000</v>
      </c>
      <c r="N689" s="352" t="s">
        <v>871</v>
      </c>
      <c r="O689" s="460">
        <v>1311</v>
      </c>
      <c r="P689" s="460" t="s">
        <v>710</v>
      </c>
      <c r="Q689" s="460" t="s">
        <v>2553</v>
      </c>
      <c r="R689" s="460">
        <v>1311</v>
      </c>
      <c r="S689" s="460" t="s">
        <v>1138</v>
      </c>
      <c r="T689" s="462">
        <v>1</v>
      </c>
      <c r="U689" s="460" t="s">
        <v>1138</v>
      </c>
      <c r="V689" s="475">
        <v>0</v>
      </c>
      <c r="W689" s="463" t="s">
        <v>2554</v>
      </c>
      <c r="X689" s="463" t="s">
        <v>2554</v>
      </c>
      <c r="Y689" s="463" t="s">
        <v>2268</v>
      </c>
      <c r="Z689" s="463"/>
      <c r="AA689" s="463"/>
      <c r="AB689" s="464">
        <v>26.14761437138856</v>
      </c>
      <c r="AC689" s="465">
        <v>4.5554203037193694E-2</v>
      </c>
      <c r="AD689" s="465">
        <v>1.0970706418002713E-2</v>
      </c>
      <c r="AE689" s="476">
        <v>15.688568622833136</v>
      </c>
      <c r="AF689" s="467">
        <v>2.7332521822316217E-2</v>
      </c>
      <c r="AG689" s="468">
        <v>7.1015448226752912E-3</v>
      </c>
      <c r="AH689" s="218">
        <v>15.688568622833136</v>
      </c>
      <c r="AI689" s="470">
        <v>2.7332521822316217E-2</v>
      </c>
      <c r="AJ689" s="471">
        <v>5.406377786056708E-3</v>
      </c>
      <c r="AK689" s="218">
        <v>15.688568622833136</v>
      </c>
      <c r="AL689" s="470">
        <v>2.7332521822316217E-2</v>
      </c>
      <c r="AM689" s="471">
        <v>5.406377786056708E-3</v>
      </c>
      <c r="AN689" s="477">
        <v>0</v>
      </c>
      <c r="AO689" s="473">
        <v>0</v>
      </c>
      <c r="AP689" s="474">
        <v>0</v>
      </c>
      <c r="AQ689" s="352"/>
      <c r="AR689" s="352"/>
      <c r="AS689" s="352"/>
      <c r="AT689" s="352"/>
      <c r="AU689" s="352"/>
      <c r="AV689" s="352"/>
      <c r="AW689" s="352" t="s">
        <v>254</v>
      </c>
    </row>
    <row r="690" spans="2:49" x14ac:dyDescent="0.2">
      <c r="B690" s="460" t="s">
        <v>2569</v>
      </c>
      <c r="C690" s="460">
        <v>6000</v>
      </c>
      <c r="D690" s="460" t="s">
        <v>2357</v>
      </c>
      <c r="E690" s="460" t="s">
        <v>1139</v>
      </c>
      <c r="F690" s="460">
        <v>4</v>
      </c>
      <c r="G690" s="460">
        <v>4</v>
      </c>
      <c r="H690" s="461" t="s">
        <v>700</v>
      </c>
      <c r="I690" s="461" t="s">
        <v>872</v>
      </c>
      <c r="J690" s="461" t="s">
        <v>700</v>
      </c>
      <c r="K690" s="594"/>
      <c r="L690" s="594"/>
      <c r="M690" s="352">
        <v>6000</v>
      </c>
      <c r="N690" s="352" t="s">
        <v>871</v>
      </c>
      <c r="O690" s="460">
        <v>1311</v>
      </c>
      <c r="P690" s="460" t="s">
        <v>710</v>
      </c>
      <c r="Q690" s="460" t="s">
        <v>2553</v>
      </c>
      <c r="R690" s="460">
        <v>1311</v>
      </c>
      <c r="S690" s="460" t="s">
        <v>1139</v>
      </c>
      <c r="T690" s="462">
        <v>1</v>
      </c>
      <c r="U690" s="460" t="s">
        <v>1139</v>
      </c>
      <c r="V690" s="475">
        <v>0</v>
      </c>
      <c r="W690" s="463" t="s">
        <v>2554</v>
      </c>
      <c r="X690" s="463" t="s">
        <v>2554</v>
      </c>
      <c r="Y690" s="463" t="s">
        <v>2268</v>
      </c>
      <c r="Z690" s="463"/>
      <c r="AA690" s="463"/>
      <c r="AB690" s="464">
        <v>0</v>
      </c>
      <c r="AC690" s="465">
        <v>0</v>
      </c>
      <c r="AD690" s="465">
        <v>0</v>
      </c>
      <c r="AE690" s="476">
        <v>0</v>
      </c>
      <c r="AF690" s="467">
        <v>0</v>
      </c>
      <c r="AG690" s="468">
        <v>0</v>
      </c>
      <c r="AH690" s="218">
        <v>0</v>
      </c>
      <c r="AI690" s="470">
        <v>0</v>
      </c>
      <c r="AJ690" s="471">
        <v>0</v>
      </c>
      <c r="AK690" s="218">
        <v>0</v>
      </c>
      <c r="AL690" s="470">
        <v>0</v>
      </c>
      <c r="AM690" s="471">
        <v>0</v>
      </c>
      <c r="AN690" s="477">
        <v>0</v>
      </c>
      <c r="AO690" s="473">
        <v>0</v>
      </c>
      <c r="AP690" s="474">
        <v>0</v>
      </c>
      <c r="AQ690" s="352"/>
      <c r="AR690" s="352"/>
      <c r="AS690" s="352"/>
      <c r="AT690" s="352"/>
      <c r="AU690" s="352"/>
      <c r="AV690" s="352"/>
      <c r="AW690" s="352" t="s">
        <v>254</v>
      </c>
    </row>
    <row r="691" spans="2:49" x14ac:dyDescent="0.2">
      <c r="B691" s="460" t="s">
        <v>2566</v>
      </c>
      <c r="C691" s="460">
        <v>6000</v>
      </c>
      <c r="D691" s="460" t="s">
        <v>2358</v>
      </c>
      <c r="E691" s="460" t="s">
        <v>1136</v>
      </c>
      <c r="F691" s="460">
        <v>1</v>
      </c>
      <c r="G691" s="460">
        <v>4</v>
      </c>
      <c r="H691" s="461" t="s">
        <v>712</v>
      </c>
      <c r="I691" s="461" t="s">
        <v>713</v>
      </c>
      <c r="J691" s="461" t="s">
        <v>712</v>
      </c>
      <c r="K691" s="594"/>
      <c r="L691" s="594"/>
      <c r="M691" s="352">
        <v>6000</v>
      </c>
      <c r="N691" s="352" t="s">
        <v>871</v>
      </c>
      <c r="O691" s="460">
        <v>1311</v>
      </c>
      <c r="P691" s="460" t="s">
        <v>710</v>
      </c>
      <c r="Q691" s="460" t="s">
        <v>2280</v>
      </c>
      <c r="R691" s="460">
        <v>1311</v>
      </c>
      <c r="S691" s="460" t="s">
        <v>1136</v>
      </c>
      <c r="T691" s="462">
        <v>1</v>
      </c>
      <c r="U691" s="460" t="s">
        <v>1136</v>
      </c>
      <c r="V691" s="475">
        <v>0</v>
      </c>
      <c r="W691" s="463" t="s">
        <v>713</v>
      </c>
      <c r="X691" s="463" t="s">
        <v>713</v>
      </c>
      <c r="Y691" s="463" t="s">
        <v>713</v>
      </c>
      <c r="Z691" s="463"/>
      <c r="AA691" s="463"/>
      <c r="AB691" s="464">
        <v>328.06326015965777</v>
      </c>
      <c r="AC691" s="465">
        <v>0.98838315688746148</v>
      </c>
      <c r="AD691" s="465">
        <v>2.1620584016321352E-3</v>
      </c>
      <c r="AE691" s="476">
        <v>329.60560106164729</v>
      </c>
      <c r="AF691" s="467">
        <v>0.99302989413247689</v>
      </c>
      <c r="AG691" s="468">
        <v>2.1718201045458387E-3</v>
      </c>
      <c r="AH691" s="218">
        <v>329.60560106164729</v>
      </c>
      <c r="AI691" s="470">
        <v>0.99302989413247689</v>
      </c>
      <c r="AJ691" s="471">
        <v>2.1938927943144235E-3</v>
      </c>
      <c r="AK691" s="218">
        <v>329.60560106164729</v>
      </c>
      <c r="AL691" s="470">
        <v>0.99302989413247689</v>
      </c>
      <c r="AM691" s="471">
        <v>2.1938927943144235E-3</v>
      </c>
      <c r="AN691" s="477">
        <v>329.60560106164729</v>
      </c>
      <c r="AO691" s="473">
        <v>0.99302989413247689</v>
      </c>
      <c r="AP691" s="474">
        <v>2.19032302437567E-3</v>
      </c>
      <c r="AQ691" s="352"/>
      <c r="AR691" s="352"/>
      <c r="AS691" s="352"/>
      <c r="AT691" s="352"/>
      <c r="AU691" s="352"/>
      <c r="AV691" s="352"/>
      <c r="AW691" s="352" t="s">
        <v>254</v>
      </c>
    </row>
    <row r="692" spans="2:49" x14ac:dyDescent="0.2">
      <c r="B692" s="460" t="s">
        <v>2567</v>
      </c>
      <c r="C692" s="460">
        <v>6000</v>
      </c>
      <c r="D692" s="460" t="s">
        <v>2359</v>
      </c>
      <c r="E692" s="460" t="s">
        <v>1137</v>
      </c>
      <c r="F692" s="460">
        <v>2</v>
      </c>
      <c r="G692" s="460">
        <v>4</v>
      </c>
      <c r="H692" s="461" t="s">
        <v>712</v>
      </c>
      <c r="I692" s="461" t="s">
        <v>713</v>
      </c>
      <c r="J692" s="461" t="s">
        <v>712</v>
      </c>
      <c r="K692" s="594"/>
      <c r="L692" s="594"/>
      <c r="M692" s="352">
        <v>6000</v>
      </c>
      <c r="N692" s="352" t="s">
        <v>871</v>
      </c>
      <c r="O692" s="460">
        <v>1311</v>
      </c>
      <c r="P692" s="460" t="s">
        <v>710</v>
      </c>
      <c r="Q692" s="460" t="s">
        <v>2280</v>
      </c>
      <c r="R692" s="460">
        <v>1311</v>
      </c>
      <c r="S692" s="460" t="s">
        <v>1137</v>
      </c>
      <c r="T692" s="462">
        <v>1</v>
      </c>
      <c r="U692" s="460" t="s">
        <v>1137</v>
      </c>
      <c r="V692" s="475">
        <v>0</v>
      </c>
      <c r="W692" s="463" t="s">
        <v>713</v>
      </c>
      <c r="X692" s="463" t="s">
        <v>713</v>
      </c>
      <c r="Y692" s="463" t="s">
        <v>713</v>
      </c>
      <c r="Z692" s="463"/>
      <c r="AA692" s="463"/>
      <c r="AB692" s="464">
        <v>655.78594231197815</v>
      </c>
      <c r="AC692" s="465">
        <v>0.93102661117242758</v>
      </c>
      <c r="AD692" s="465">
        <v>3.7925005671014282E-3</v>
      </c>
      <c r="AE692" s="476">
        <v>675.2190189797999</v>
      </c>
      <c r="AF692" s="467">
        <v>0.95861596670345661</v>
      </c>
      <c r="AG692" s="468">
        <v>3.8977195977406838E-3</v>
      </c>
      <c r="AH692" s="218">
        <v>675.2190189797999</v>
      </c>
      <c r="AI692" s="470">
        <v>0.95861596670345661</v>
      </c>
      <c r="AJ692" s="471">
        <v>3.916215132766407E-3</v>
      </c>
      <c r="AK692" s="218">
        <v>675.2190189797999</v>
      </c>
      <c r="AL692" s="470">
        <v>0.95861596670345661</v>
      </c>
      <c r="AM692" s="471">
        <v>3.916215132766407E-3</v>
      </c>
      <c r="AN692" s="477">
        <v>675.2190189797999</v>
      </c>
      <c r="AO692" s="473">
        <v>0.95861596670345661</v>
      </c>
      <c r="AP692" s="474">
        <v>3.9129836934890397E-3</v>
      </c>
      <c r="AQ692" s="352"/>
      <c r="AR692" s="352"/>
      <c r="AS692" s="352"/>
      <c r="AT692" s="352"/>
      <c r="AU692" s="352"/>
      <c r="AV692" s="352"/>
      <c r="AW692" s="352" t="s">
        <v>254</v>
      </c>
    </row>
    <row r="693" spans="2:49" x14ac:dyDescent="0.2">
      <c r="B693" s="460" t="s">
        <v>2568</v>
      </c>
      <c r="C693" s="460">
        <v>6000</v>
      </c>
      <c r="D693" s="460" t="s">
        <v>2360</v>
      </c>
      <c r="E693" s="460" t="s">
        <v>1138</v>
      </c>
      <c r="F693" s="460">
        <v>3</v>
      </c>
      <c r="G693" s="460">
        <v>4</v>
      </c>
      <c r="H693" s="461" t="s">
        <v>712</v>
      </c>
      <c r="I693" s="461" t="s">
        <v>713</v>
      </c>
      <c r="J693" s="461" t="s">
        <v>712</v>
      </c>
      <c r="K693" s="594"/>
      <c r="L693" s="594"/>
      <c r="M693" s="352">
        <v>6000</v>
      </c>
      <c r="N693" s="352" t="s">
        <v>871</v>
      </c>
      <c r="O693" s="460">
        <v>1311</v>
      </c>
      <c r="P693" s="460" t="s">
        <v>710</v>
      </c>
      <c r="Q693" s="460" t="s">
        <v>2280</v>
      </c>
      <c r="R693" s="460">
        <v>1311</v>
      </c>
      <c r="S693" s="460" t="s">
        <v>1138</v>
      </c>
      <c r="T693" s="462">
        <v>1</v>
      </c>
      <c r="U693" s="460" t="s">
        <v>1138</v>
      </c>
      <c r="V693" s="475">
        <v>0</v>
      </c>
      <c r="W693" s="463" t="s">
        <v>713</v>
      </c>
      <c r="X693" s="463" t="s">
        <v>713</v>
      </c>
      <c r="Y693" s="463" t="s">
        <v>713</v>
      </c>
      <c r="Z693" s="463"/>
      <c r="AA693" s="463"/>
      <c r="AB693" s="464">
        <v>547.84144982187115</v>
      </c>
      <c r="AC693" s="465">
        <v>0.95444579696280618</v>
      </c>
      <c r="AD693" s="465">
        <v>6.8368129504126325E-3</v>
      </c>
      <c r="AE693" s="476">
        <v>558.30049557042662</v>
      </c>
      <c r="AF693" s="467">
        <v>0.97266747817768373</v>
      </c>
      <c r="AG693" s="468">
        <v>6.9522211445214527E-3</v>
      </c>
      <c r="AH693" s="218">
        <v>558.30049557042662</v>
      </c>
      <c r="AI693" s="470">
        <v>0.97266747817768373</v>
      </c>
      <c r="AJ693" s="471">
        <v>7.0337385288907085E-3</v>
      </c>
      <c r="AK693" s="218">
        <v>558.30049557042662</v>
      </c>
      <c r="AL693" s="470">
        <v>0.97266747817768373</v>
      </c>
      <c r="AM693" s="471">
        <v>7.0337385288907085E-3</v>
      </c>
      <c r="AN693" s="477">
        <v>558.30049557042662</v>
      </c>
      <c r="AO693" s="473">
        <v>0.97266747817768373</v>
      </c>
      <c r="AP693" s="474">
        <v>7.033208437613547E-3</v>
      </c>
      <c r="AQ693" s="352"/>
      <c r="AR693" s="352"/>
      <c r="AS693" s="352"/>
      <c r="AT693" s="352"/>
      <c r="AU693" s="352"/>
      <c r="AV693" s="352"/>
      <c r="AW693" s="352" t="s">
        <v>254</v>
      </c>
    </row>
    <row r="694" spans="2:49" x14ac:dyDescent="0.2">
      <c r="B694" s="460" t="s">
        <v>2569</v>
      </c>
      <c r="C694" s="460">
        <v>6000</v>
      </c>
      <c r="D694" s="460" t="s">
        <v>2361</v>
      </c>
      <c r="E694" s="460" t="s">
        <v>1139</v>
      </c>
      <c r="F694" s="460">
        <v>4</v>
      </c>
      <c r="G694" s="460">
        <v>4</v>
      </c>
      <c r="H694" s="461" t="s">
        <v>712</v>
      </c>
      <c r="I694" s="461" t="s">
        <v>713</v>
      </c>
      <c r="J694" s="461" t="s">
        <v>712</v>
      </c>
      <c r="K694" s="594"/>
      <c r="L694" s="594"/>
      <c r="M694" s="352">
        <v>6000</v>
      </c>
      <c r="N694" s="352" t="s">
        <v>871</v>
      </c>
      <c r="O694" s="460">
        <v>1311</v>
      </c>
      <c r="P694" s="460" t="s">
        <v>710</v>
      </c>
      <c r="Q694" s="460" t="s">
        <v>2280</v>
      </c>
      <c r="R694" s="460">
        <v>1311</v>
      </c>
      <c r="S694" s="460" t="s">
        <v>1139</v>
      </c>
      <c r="T694" s="462">
        <v>1</v>
      </c>
      <c r="U694" s="460" t="s">
        <v>1139</v>
      </c>
      <c r="V694" s="475">
        <v>0</v>
      </c>
      <c r="W694" s="463" t="s">
        <v>713</v>
      </c>
      <c r="X694" s="463" t="s">
        <v>713</v>
      </c>
      <c r="Y694" s="463" t="s">
        <v>713</v>
      </c>
      <c r="Z694" s="463"/>
      <c r="AA694" s="463"/>
      <c r="AB694" s="464">
        <v>643.88011887307448</v>
      </c>
      <c r="AC694" s="465">
        <v>1</v>
      </c>
      <c r="AD694" s="465">
        <v>7.1291922020211953E-3</v>
      </c>
      <c r="AE694" s="476">
        <v>643.88011887307448</v>
      </c>
      <c r="AF694" s="467">
        <v>1</v>
      </c>
      <c r="AG694" s="468">
        <v>7.1291922020211953E-3</v>
      </c>
      <c r="AH694" s="218">
        <v>643.88011887307448</v>
      </c>
      <c r="AI694" s="470">
        <v>1</v>
      </c>
      <c r="AJ694" s="471">
        <v>7.282525850141339E-3</v>
      </c>
      <c r="AK694" s="218">
        <v>643.88011887307448</v>
      </c>
      <c r="AL694" s="470">
        <v>1</v>
      </c>
      <c r="AM694" s="471">
        <v>7.282525850141339E-3</v>
      </c>
      <c r="AN694" s="477">
        <v>643.88011887307448</v>
      </c>
      <c r="AO694" s="473">
        <v>1</v>
      </c>
      <c r="AP694" s="474">
        <v>7.282525850141339E-3</v>
      </c>
      <c r="AQ694" s="352"/>
      <c r="AR694" s="352"/>
      <c r="AS694" s="352"/>
      <c r="AT694" s="352"/>
      <c r="AU694" s="352"/>
      <c r="AV694" s="352"/>
      <c r="AW694" s="352" t="s">
        <v>254</v>
      </c>
    </row>
    <row r="695" spans="2:49" x14ac:dyDescent="0.2">
      <c r="B695" s="460" t="s">
        <v>2566</v>
      </c>
      <c r="C695" s="460">
        <v>6000</v>
      </c>
      <c r="D695" s="460" t="s">
        <v>2362</v>
      </c>
      <c r="E695" s="460" t="s">
        <v>1136</v>
      </c>
      <c r="F695" s="460">
        <v>1</v>
      </c>
      <c r="G695" s="460">
        <v>4</v>
      </c>
      <c r="H695" s="461" t="s">
        <v>746</v>
      </c>
      <c r="I695" s="461" t="s">
        <v>762</v>
      </c>
      <c r="J695" s="461" t="s">
        <v>700</v>
      </c>
      <c r="K695" s="594"/>
      <c r="L695" s="594"/>
      <c r="M695" s="352">
        <v>6000</v>
      </c>
      <c r="N695" s="352" t="s">
        <v>871</v>
      </c>
      <c r="O695" s="460">
        <v>1311</v>
      </c>
      <c r="P695" s="460" t="s">
        <v>710</v>
      </c>
      <c r="Q695" s="460" t="s">
        <v>2553</v>
      </c>
      <c r="R695" s="460">
        <v>1311</v>
      </c>
      <c r="S695" s="460" t="s">
        <v>1136</v>
      </c>
      <c r="T695" s="462">
        <v>1</v>
      </c>
      <c r="U695" s="460" t="s">
        <v>1136</v>
      </c>
      <c r="V695" s="475">
        <v>0</v>
      </c>
      <c r="W695" s="463" t="s">
        <v>2268</v>
      </c>
      <c r="X695" s="463" t="s">
        <v>2268</v>
      </c>
      <c r="Y695" s="463" t="s">
        <v>2554</v>
      </c>
      <c r="Z695" s="463"/>
      <c r="AA695" s="463"/>
      <c r="AB695" s="464">
        <v>0</v>
      </c>
      <c r="AC695" s="465">
        <v>0</v>
      </c>
      <c r="AD695" s="465">
        <v>0</v>
      </c>
      <c r="AE695" s="476">
        <v>0</v>
      </c>
      <c r="AF695" s="467">
        <v>0</v>
      </c>
      <c r="AG695" s="468">
        <v>0</v>
      </c>
      <c r="AH695" s="218">
        <v>0</v>
      </c>
      <c r="AI695" s="470">
        <v>0</v>
      </c>
      <c r="AJ695" s="471">
        <v>0</v>
      </c>
      <c r="AK695" s="218">
        <v>0</v>
      </c>
      <c r="AL695" s="470">
        <v>0</v>
      </c>
      <c r="AM695" s="471">
        <v>0</v>
      </c>
      <c r="AN695" s="477">
        <v>2.1207187402355845</v>
      </c>
      <c r="AO695" s="473">
        <v>6.3892637118961497E-3</v>
      </c>
      <c r="AP695" s="474">
        <v>9.5654830614701064E-3</v>
      </c>
      <c r="AQ695" s="352"/>
      <c r="AR695" s="352"/>
      <c r="AS695" s="352"/>
      <c r="AT695" s="352"/>
      <c r="AU695" s="352"/>
      <c r="AV695" s="352"/>
      <c r="AW695" s="352" t="s">
        <v>254</v>
      </c>
    </row>
    <row r="696" spans="2:49" x14ac:dyDescent="0.2">
      <c r="B696" s="460" t="s">
        <v>2567</v>
      </c>
      <c r="C696" s="460">
        <v>6000</v>
      </c>
      <c r="D696" s="460" t="s">
        <v>2363</v>
      </c>
      <c r="E696" s="460" t="s">
        <v>1137</v>
      </c>
      <c r="F696" s="460">
        <v>2</v>
      </c>
      <c r="G696" s="460">
        <v>4</v>
      </c>
      <c r="H696" s="461" t="s">
        <v>746</v>
      </c>
      <c r="I696" s="461" t="s">
        <v>762</v>
      </c>
      <c r="J696" s="461" t="s">
        <v>700</v>
      </c>
      <c r="K696" s="594"/>
      <c r="L696" s="594"/>
      <c r="M696" s="352">
        <v>6000</v>
      </c>
      <c r="N696" s="352" t="s">
        <v>871</v>
      </c>
      <c r="O696" s="460">
        <v>1311</v>
      </c>
      <c r="P696" s="460" t="s">
        <v>710</v>
      </c>
      <c r="Q696" s="460" t="s">
        <v>2553</v>
      </c>
      <c r="R696" s="460">
        <v>1311</v>
      </c>
      <c r="S696" s="460" t="s">
        <v>1137</v>
      </c>
      <c r="T696" s="462">
        <v>1</v>
      </c>
      <c r="U696" s="460" t="s">
        <v>1137</v>
      </c>
      <c r="V696" s="475">
        <v>0</v>
      </c>
      <c r="W696" s="463" t="s">
        <v>2268</v>
      </c>
      <c r="X696" s="463" t="s">
        <v>2268</v>
      </c>
      <c r="Y696" s="463" t="s">
        <v>2554</v>
      </c>
      <c r="Z696" s="463"/>
      <c r="AA696" s="463"/>
      <c r="AB696" s="464">
        <v>0</v>
      </c>
      <c r="AC696" s="465">
        <v>0</v>
      </c>
      <c r="AD696" s="465">
        <v>0</v>
      </c>
      <c r="AE696" s="476">
        <v>0</v>
      </c>
      <c r="AF696" s="467">
        <v>0</v>
      </c>
      <c r="AG696" s="468">
        <v>0</v>
      </c>
      <c r="AH696" s="218">
        <v>0</v>
      </c>
      <c r="AI696" s="470">
        <v>0</v>
      </c>
      <c r="AJ696" s="471">
        <v>0</v>
      </c>
      <c r="AK696" s="218">
        <v>0</v>
      </c>
      <c r="AL696" s="470">
        <v>0</v>
      </c>
      <c r="AM696" s="471">
        <v>0</v>
      </c>
      <c r="AN696" s="477">
        <v>26.720480418254837</v>
      </c>
      <c r="AO696" s="473">
        <v>3.7935363855164814E-2</v>
      </c>
      <c r="AP696" s="474">
        <v>7.3017339832576432E-3</v>
      </c>
      <c r="AQ696" s="352"/>
      <c r="AR696" s="352"/>
      <c r="AS696" s="352"/>
      <c r="AT696" s="352"/>
      <c r="AU696" s="352"/>
      <c r="AV696" s="352"/>
      <c r="AW696" s="352" t="s">
        <v>254</v>
      </c>
    </row>
    <row r="697" spans="2:49" x14ac:dyDescent="0.2">
      <c r="B697" s="460" t="s">
        <v>2568</v>
      </c>
      <c r="C697" s="460">
        <v>6000</v>
      </c>
      <c r="D697" s="460" t="s">
        <v>2364</v>
      </c>
      <c r="E697" s="460" t="s">
        <v>1138</v>
      </c>
      <c r="F697" s="460">
        <v>3</v>
      </c>
      <c r="G697" s="460">
        <v>4</v>
      </c>
      <c r="H697" s="461" t="s">
        <v>746</v>
      </c>
      <c r="I697" s="461" t="s">
        <v>762</v>
      </c>
      <c r="J697" s="461" t="s">
        <v>700</v>
      </c>
      <c r="K697" s="594"/>
      <c r="L697" s="594"/>
      <c r="M697" s="352">
        <v>6000</v>
      </c>
      <c r="N697" s="352" t="s">
        <v>871</v>
      </c>
      <c r="O697" s="460">
        <v>1311</v>
      </c>
      <c r="P697" s="460" t="s">
        <v>710</v>
      </c>
      <c r="Q697" s="460" t="s">
        <v>2553</v>
      </c>
      <c r="R697" s="460">
        <v>1311</v>
      </c>
      <c r="S697" s="460" t="s">
        <v>1138</v>
      </c>
      <c r="T697" s="462">
        <v>1</v>
      </c>
      <c r="U697" s="460" t="s">
        <v>1138</v>
      </c>
      <c r="V697" s="475">
        <v>0</v>
      </c>
      <c r="W697" s="463" t="s">
        <v>2268</v>
      </c>
      <c r="X697" s="463" t="s">
        <v>2268</v>
      </c>
      <c r="Y697" s="463" t="s">
        <v>2554</v>
      </c>
      <c r="Z697" s="463"/>
      <c r="AA697" s="463"/>
      <c r="AB697" s="464">
        <v>0</v>
      </c>
      <c r="AC697" s="465">
        <v>0</v>
      </c>
      <c r="AD697" s="465">
        <v>0</v>
      </c>
      <c r="AE697" s="476">
        <v>0</v>
      </c>
      <c r="AF697" s="467">
        <v>0</v>
      </c>
      <c r="AG697" s="468">
        <v>0</v>
      </c>
      <c r="AH697" s="218">
        <v>0</v>
      </c>
      <c r="AI697" s="470">
        <v>0</v>
      </c>
      <c r="AJ697" s="471">
        <v>0</v>
      </c>
      <c r="AK697" s="218">
        <v>0</v>
      </c>
      <c r="AL697" s="470">
        <v>0</v>
      </c>
      <c r="AM697" s="471">
        <v>0</v>
      </c>
      <c r="AN697" s="477">
        <v>14.38118790426371</v>
      </c>
      <c r="AO697" s="473">
        <v>2.5054811670456534E-2</v>
      </c>
      <c r="AP697" s="474">
        <v>7.4434008104610483E-3</v>
      </c>
      <c r="AQ697" s="352"/>
      <c r="AR697" s="352"/>
      <c r="AS697" s="352"/>
      <c r="AT697" s="352"/>
      <c r="AU697" s="352"/>
      <c r="AV697" s="352"/>
      <c r="AW697" s="352" t="s">
        <v>254</v>
      </c>
    </row>
    <row r="698" spans="2:49" x14ac:dyDescent="0.2">
      <c r="B698" s="460" t="s">
        <v>2569</v>
      </c>
      <c r="C698" s="460">
        <v>6000</v>
      </c>
      <c r="D698" s="460" t="s">
        <v>2365</v>
      </c>
      <c r="E698" s="460" t="s">
        <v>1139</v>
      </c>
      <c r="F698" s="460">
        <v>4</v>
      </c>
      <c r="G698" s="460">
        <v>4</v>
      </c>
      <c r="H698" s="461" t="s">
        <v>746</v>
      </c>
      <c r="I698" s="461" t="s">
        <v>762</v>
      </c>
      <c r="J698" s="461" t="s">
        <v>700</v>
      </c>
      <c r="K698" s="594"/>
      <c r="L698" s="594"/>
      <c r="M698" s="352">
        <v>6000</v>
      </c>
      <c r="N698" s="352" t="s">
        <v>871</v>
      </c>
      <c r="O698" s="460">
        <v>1311</v>
      </c>
      <c r="P698" s="460" t="s">
        <v>710</v>
      </c>
      <c r="Q698" s="460" t="s">
        <v>2553</v>
      </c>
      <c r="R698" s="460">
        <v>1311</v>
      </c>
      <c r="S698" s="460" t="s">
        <v>1139</v>
      </c>
      <c r="T698" s="462">
        <v>1</v>
      </c>
      <c r="U698" s="460" t="s">
        <v>1139</v>
      </c>
      <c r="V698" s="475">
        <v>0</v>
      </c>
      <c r="W698" s="463" t="s">
        <v>2268</v>
      </c>
      <c r="X698" s="463" t="s">
        <v>2268</v>
      </c>
      <c r="Y698" s="463" t="s">
        <v>2554</v>
      </c>
      <c r="Z698" s="463"/>
      <c r="AA698" s="463"/>
      <c r="AB698" s="464">
        <v>0</v>
      </c>
      <c r="AC698" s="465">
        <v>0</v>
      </c>
      <c r="AD698" s="465">
        <v>0</v>
      </c>
      <c r="AE698" s="476">
        <v>0</v>
      </c>
      <c r="AF698" s="467">
        <v>0</v>
      </c>
      <c r="AG698" s="468">
        <v>0</v>
      </c>
      <c r="AH698" s="218">
        <v>0</v>
      </c>
      <c r="AI698" s="470">
        <v>0</v>
      </c>
      <c r="AJ698" s="471">
        <v>0</v>
      </c>
      <c r="AK698" s="218">
        <v>0</v>
      </c>
      <c r="AL698" s="470">
        <v>0</v>
      </c>
      <c r="AM698" s="471">
        <v>0</v>
      </c>
      <c r="AN698" s="477">
        <v>0</v>
      </c>
      <c r="AO698" s="473">
        <v>0</v>
      </c>
      <c r="AP698" s="474">
        <v>0</v>
      </c>
      <c r="AQ698" s="352"/>
      <c r="AR698" s="352"/>
      <c r="AS698" s="352"/>
      <c r="AT698" s="352"/>
      <c r="AU698" s="352"/>
      <c r="AV698" s="352"/>
      <c r="AW698" s="352" t="s">
        <v>254</v>
      </c>
    </row>
    <row r="699" spans="2:49" x14ac:dyDescent="0.2">
      <c r="B699" s="460" t="s">
        <v>2566</v>
      </c>
      <c r="C699" s="460">
        <v>6000</v>
      </c>
      <c r="D699" s="460" t="s">
        <v>2366</v>
      </c>
      <c r="E699" s="460" t="s">
        <v>1136</v>
      </c>
      <c r="F699" s="460">
        <v>1</v>
      </c>
      <c r="G699" s="460">
        <v>4</v>
      </c>
      <c r="H699" s="461" t="s">
        <v>748</v>
      </c>
      <c r="I699" s="461" t="s">
        <v>765</v>
      </c>
      <c r="J699" s="461" t="s">
        <v>700</v>
      </c>
      <c r="K699" s="594"/>
      <c r="L699" s="594"/>
      <c r="M699" s="352">
        <v>6000</v>
      </c>
      <c r="N699" s="352" t="s">
        <v>871</v>
      </c>
      <c r="O699" s="460">
        <v>1311</v>
      </c>
      <c r="P699" s="460" t="s">
        <v>710</v>
      </c>
      <c r="Q699" s="460" t="s">
        <v>2553</v>
      </c>
      <c r="R699" s="460">
        <v>1311</v>
      </c>
      <c r="S699" s="460" t="s">
        <v>1136</v>
      </c>
      <c r="T699" s="462">
        <v>1</v>
      </c>
      <c r="U699" s="460" t="s">
        <v>1136</v>
      </c>
      <c r="V699" s="475">
        <v>0</v>
      </c>
      <c r="W699" s="463" t="s">
        <v>2268</v>
      </c>
      <c r="X699" s="463" t="s">
        <v>2268</v>
      </c>
      <c r="Y699" s="463" t="s">
        <v>2554</v>
      </c>
      <c r="Z699" s="463"/>
      <c r="AA699" s="463"/>
      <c r="AB699" s="464">
        <v>0</v>
      </c>
      <c r="AC699" s="465">
        <v>0</v>
      </c>
      <c r="AD699" s="465">
        <v>0</v>
      </c>
      <c r="AE699" s="476">
        <v>0</v>
      </c>
      <c r="AF699" s="467">
        <v>0</v>
      </c>
      <c r="AG699" s="468">
        <v>0</v>
      </c>
      <c r="AH699" s="218">
        <v>0</v>
      </c>
      <c r="AI699" s="470">
        <v>0</v>
      </c>
      <c r="AJ699" s="471">
        <v>0</v>
      </c>
      <c r="AK699" s="218">
        <v>0</v>
      </c>
      <c r="AL699" s="470">
        <v>0</v>
      </c>
      <c r="AM699" s="471">
        <v>0</v>
      </c>
      <c r="AN699" s="477">
        <v>0.19279261274868964</v>
      </c>
      <c r="AO699" s="473">
        <v>5.8084215562692317E-4</v>
      </c>
      <c r="AP699" s="474">
        <v>2.3687419108213474E-4</v>
      </c>
      <c r="AQ699" s="352"/>
      <c r="AR699" s="352"/>
      <c r="AS699" s="352"/>
      <c r="AT699" s="352"/>
      <c r="AU699" s="352"/>
      <c r="AV699" s="352"/>
      <c r="AW699" s="352" t="s">
        <v>254</v>
      </c>
    </row>
    <row r="700" spans="2:49" x14ac:dyDescent="0.2">
      <c r="B700" s="460" t="s">
        <v>2567</v>
      </c>
      <c r="C700" s="460">
        <v>6000</v>
      </c>
      <c r="D700" s="460" t="s">
        <v>2367</v>
      </c>
      <c r="E700" s="460" t="s">
        <v>1137</v>
      </c>
      <c r="F700" s="460">
        <v>2</v>
      </c>
      <c r="G700" s="460">
        <v>4</v>
      </c>
      <c r="H700" s="461" t="s">
        <v>748</v>
      </c>
      <c r="I700" s="461" t="s">
        <v>765</v>
      </c>
      <c r="J700" s="461" t="s">
        <v>700</v>
      </c>
      <c r="K700" s="594"/>
      <c r="L700" s="594"/>
      <c r="M700" s="352">
        <v>6000</v>
      </c>
      <c r="N700" s="352" t="s">
        <v>871</v>
      </c>
      <c r="O700" s="460">
        <v>1311</v>
      </c>
      <c r="P700" s="460" t="s">
        <v>710</v>
      </c>
      <c r="Q700" s="460" t="s">
        <v>2553</v>
      </c>
      <c r="R700" s="460">
        <v>1311</v>
      </c>
      <c r="S700" s="460" t="s">
        <v>1137</v>
      </c>
      <c r="T700" s="462">
        <v>1</v>
      </c>
      <c r="U700" s="460" t="s">
        <v>1137</v>
      </c>
      <c r="V700" s="475">
        <v>0</v>
      </c>
      <c r="W700" s="463" t="s">
        <v>2268</v>
      </c>
      <c r="X700" s="463" t="s">
        <v>2268</v>
      </c>
      <c r="Y700" s="463" t="s">
        <v>2554</v>
      </c>
      <c r="Z700" s="463"/>
      <c r="AA700" s="463"/>
      <c r="AB700" s="464">
        <v>0</v>
      </c>
      <c r="AC700" s="465">
        <v>0</v>
      </c>
      <c r="AD700" s="465">
        <v>0</v>
      </c>
      <c r="AE700" s="476">
        <v>0</v>
      </c>
      <c r="AF700" s="467">
        <v>0</v>
      </c>
      <c r="AG700" s="468">
        <v>0</v>
      </c>
      <c r="AH700" s="218">
        <v>0</v>
      </c>
      <c r="AI700" s="470">
        <v>0</v>
      </c>
      <c r="AJ700" s="471">
        <v>0</v>
      </c>
      <c r="AK700" s="218">
        <v>0</v>
      </c>
      <c r="AL700" s="470">
        <v>0</v>
      </c>
      <c r="AM700" s="471">
        <v>0</v>
      </c>
      <c r="AN700" s="477">
        <v>2.4291345834777145</v>
      </c>
      <c r="AO700" s="473">
        <v>3.4486694413786221E-3</v>
      </c>
      <c r="AP700" s="474">
        <v>2.3397693602197401E-3</v>
      </c>
      <c r="AQ700" s="352"/>
      <c r="AR700" s="352"/>
      <c r="AS700" s="352"/>
      <c r="AT700" s="352"/>
      <c r="AU700" s="352"/>
      <c r="AV700" s="352"/>
      <c r="AW700" s="352" t="s">
        <v>254</v>
      </c>
    </row>
    <row r="701" spans="2:49" x14ac:dyDescent="0.2">
      <c r="B701" s="460" t="s">
        <v>2568</v>
      </c>
      <c r="C701" s="460">
        <v>6000</v>
      </c>
      <c r="D701" s="460" t="s">
        <v>2368</v>
      </c>
      <c r="E701" s="460" t="s">
        <v>1138</v>
      </c>
      <c r="F701" s="460">
        <v>3</v>
      </c>
      <c r="G701" s="460">
        <v>4</v>
      </c>
      <c r="H701" s="461" t="s">
        <v>748</v>
      </c>
      <c r="I701" s="461" t="s">
        <v>765</v>
      </c>
      <c r="J701" s="461" t="s">
        <v>700</v>
      </c>
      <c r="K701" s="594"/>
      <c r="L701" s="594"/>
      <c r="M701" s="352">
        <v>6000</v>
      </c>
      <c r="N701" s="352" t="s">
        <v>871</v>
      </c>
      <c r="O701" s="460">
        <v>1311</v>
      </c>
      <c r="P701" s="460" t="s">
        <v>710</v>
      </c>
      <c r="Q701" s="460" t="s">
        <v>2553</v>
      </c>
      <c r="R701" s="460">
        <v>1311</v>
      </c>
      <c r="S701" s="460" t="s">
        <v>1138</v>
      </c>
      <c r="T701" s="462">
        <v>1</v>
      </c>
      <c r="U701" s="460" t="s">
        <v>1138</v>
      </c>
      <c r="V701" s="475">
        <v>0</v>
      </c>
      <c r="W701" s="463" t="s">
        <v>2268</v>
      </c>
      <c r="X701" s="463" t="s">
        <v>2268</v>
      </c>
      <c r="Y701" s="463" t="s">
        <v>2554</v>
      </c>
      <c r="Z701" s="463"/>
      <c r="AA701" s="463"/>
      <c r="AB701" s="464">
        <v>0</v>
      </c>
      <c r="AC701" s="465">
        <v>0</v>
      </c>
      <c r="AD701" s="465">
        <v>0</v>
      </c>
      <c r="AE701" s="476">
        <v>0</v>
      </c>
      <c r="AF701" s="467">
        <v>0</v>
      </c>
      <c r="AG701" s="468">
        <v>0</v>
      </c>
      <c r="AH701" s="218">
        <v>0</v>
      </c>
      <c r="AI701" s="470">
        <v>0</v>
      </c>
      <c r="AJ701" s="471">
        <v>0</v>
      </c>
      <c r="AK701" s="218">
        <v>0</v>
      </c>
      <c r="AL701" s="470">
        <v>0</v>
      </c>
      <c r="AM701" s="471">
        <v>0</v>
      </c>
      <c r="AN701" s="477">
        <v>1.3073807185694293</v>
      </c>
      <c r="AO701" s="473">
        <v>2.2777101518596868E-3</v>
      </c>
      <c r="AP701" s="474">
        <v>1.3564735125597362E-3</v>
      </c>
      <c r="AQ701" s="352"/>
      <c r="AR701" s="352"/>
      <c r="AS701" s="352"/>
      <c r="AT701" s="352"/>
      <c r="AU701" s="352"/>
      <c r="AV701" s="352"/>
      <c r="AW701" s="352" t="s">
        <v>254</v>
      </c>
    </row>
    <row r="702" spans="2:49" x14ac:dyDescent="0.2">
      <c r="B702" s="460" t="s">
        <v>2569</v>
      </c>
      <c r="C702" s="460">
        <v>6000</v>
      </c>
      <c r="D702" s="460" t="s">
        <v>2369</v>
      </c>
      <c r="E702" s="460" t="s">
        <v>1139</v>
      </c>
      <c r="F702" s="460">
        <v>4</v>
      </c>
      <c r="G702" s="460">
        <v>4</v>
      </c>
      <c r="H702" s="461" t="s">
        <v>748</v>
      </c>
      <c r="I702" s="461" t="s">
        <v>765</v>
      </c>
      <c r="J702" s="461" t="s">
        <v>700</v>
      </c>
      <c r="K702" s="594"/>
      <c r="L702" s="594"/>
      <c r="M702" s="352">
        <v>6000</v>
      </c>
      <c r="N702" s="352" t="s">
        <v>871</v>
      </c>
      <c r="O702" s="460">
        <v>1311</v>
      </c>
      <c r="P702" s="460" t="s">
        <v>710</v>
      </c>
      <c r="Q702" s="460" t="s">
        <v>2553</v>
      </c>
      <c r="R702" s="460">
        <v>1311</v>
      </c>
      <c r="S702" s="460" t="s">
        <v>1139</v>
      </c>
      <c r="T702" s="462">
        <v>1</v>
      </c>
      <c r="U702" s="460" t="s">
        <v>1139</v>
      </c>
      <c r="V702" s="475">
        <v>0</v>
      </c>
      <c r="W702" s="463" t="s">
        <v>2268</v>
      </c>
      <c r="X702" s="463" t="s">
        <v>2268</v>
      </c>
      <c r="Y702" s="463" t="s">
        <v>2554</v>
      </c>
      <c r="Z702" s="463"/>
      <c r="AA702" s="463"/>
      <c r="AB702" s="464">
        <v>0</v>
      </c>
      <c r="AC702" s="465">
        <v>0</v>
      </c>
      <c r="AD702" s="465">
        <v>0</v>
      </c>
      <c r="AE702" s="476">
        <v>0</v>
      </c>
      <c r="AF702" s="467">
        <v>0</v>
      </c>
      <c r="AG702" s="468">
        <v>0</v>
      </c>
      <c r="AH702" s="218">
        <v>0</v>
      </c>
      <c r="AI702" s="470">
        <v>0</v>
      </c>
      <c r="AJ702" s="471">
        <v>0</v>
      </c>
      <c r="AK702" s="218">
        <v>0</v>
      </c>
      <c r="AL702" s="470">
        <v>0</v>
      </c>
      <c r="AM702" s="471">
        <v>0</v>
      </c>
      <c r="AN702" s="477">
        <v>0</v>
      </c>
      <c r="AO702" s="473">
        <v>0</v>
      </c>
      <c r="AP702" s="474">
        <v>0</v>
      </c>
      <c r="AQ702" s="352"/>
      <c r="AR702" s="352"/>
      <c r="AS702" s="352"/>
      <c r="AT702" s="352"/>
      <c r="AU702" s="352"/>
      <c r="AV702" s="352"/>
      <c r="AW702" s="352" t="s">
        <v>254</v>
      </c>
    </row>
    <row r="703" spans="2:49" x14ac:dyDescent="0.2">
      <c r="B703" s="460" t="s">
        <v>2566</v>
      </c>
      <c r="C703" s="460">
        <v>6000</v>
      </c>
      <c r="D703" s="460" t="s">
        <v>2570</v>
      </c>
      <c r="E703" s="460" t="s">
        <v>1136</v>
      </c>
      <c r="F703" s="460">
        <v>1</v>
      </c>
      <c r="G703" s="460">
        <v>4</v>
      </c>
      <c r="H703" s="461" t="s">
        <v>719</v>
      </c>
      <c r="I703" s="461" t="s">
        <v>720</v>
      </c>
      <c r="J703" s="461" t="s">
        <v>719</v>
      </c>
      <c r="K703" s="594"/>
      <c r="L703" s="594"/>
      <c r="M703" s="352">
        <v>6000</v>
      </c>
      <c r="N703" s="352" t="s">
        <v>871</v>
      </c>
      <c r="O703" s="460">
        <v>1311</v>
      </c>
      <c r="P703" s="460" t="s">
        <v>710</v>
      </c>
      <c r="Q703" s="460" t="s">
        <v>2571</v>
      </c>
      <c r="R703" s="460">
        <v>1311</v>
      </c>
      <c r="S703" s="460" t="s">
        <v>1136</v>
      </c>
      <c r="T703" s="462">
        <v>1</v>
      </c>
      <c r="U703" s="460" t="s">
        <v>1136</v>
      </c>
      <c r="V703" s="475">
        <v>0</v>
      </c>
      <c r="W703" s="463" t="s">
        <v>2278</v>
      </c>
      <c r="X703" s="463" t="s">
        <v>2278</v>
      </c>
      <c r="Y703" s="463" t="s">
        <v>2278</v>
      </c>
      <c r="Z703" s="463"/>
      <c r="AA703" s="463"/>
      <c r="AB703" s="464">
        <v>0</v>
      </c>
      <c r="AC703" s="465">
        <v>0</v>
      </c>
      <c r="AD703" s="465">
        <v>0</v>
      </c>
      <c r="AE703" s="476">
        <v>0</v>
      </c>
      <c r="AF703" s="467">
        <v>0</v>
      </c>
      <c r="AG703" s="468">
        <v>0</v>
      </c>
      <c r="AH703" s="218">
        <v>0</v>
      </c>
      <c r="AI703" s="470">
        <v>0</v>
      </c>
      <c r="AJ703" s="471">
        <v>0</v>
      </c>
      <c r="AK703" s="218">
        <v>0</v>
      </c>
      <c r="AL703" s="470">
        <v>0</v>
      </c>
      <c r="AM703" s="471">
        <v>0</v>
      </c>
      <c r="AN703" s="477">
        <v>0</v>
      </c>
      <c r="AO703" s="473">
        <v>0</v>
      </c>
      <c r="AP703" s="474">
        <v>0</v>
      </c>
      <c r="AQ703" s="352"/>
      <c r="AR703" s="352"/>
      <c r="AS703" s="352"/>
      <c r="AT703" s="352"/>
      <c r="AU703" s="352"/>
      <c r="AV703" s="352"/>
      <c r="AW703" s="352" t="s">
        <v>254</v>
      </c>
    </row>
    <row r="704" spans="2:49" x14ac:dyDescent="0.2">
      <c r="B704" s="460" t="s">
        <v>2567</v>
      </c>
      <c r="C704" s="460">
        <v>6000</v>
      </c>
      <c r="D704" s="460" t="s">
        <v>2572</v>
      </c>
      <c r="E704" s="460" t="s">
        <v>1137</v>
      </c>
      <c r="F704" s="460">
        <v>2</v>
      </c>
      <c r="G704" s="460">
        <v>4</v>
      </c>
      <c r="H704" s="461" t="s">
        <v>719</v>
      </c>
      <c r="I704" s="461" t="s">
        <v>720</v>
      </c>
      <c r="J704" s="461" t="s">
        <v>719</v>
      </c>
      <c r="K704" s="594"/>
      <c r="L704" s="594"/>
      <c r="M704" s="352">
        <v>6000</v>
      </c>
      <c r="N704" s="352" t="s">
        <v>871</v>
      </c>
      <c r="O704" s="460">
        <v>1311</v>
      </c>
      <c r="P704" s="460" t="s">
        <v>710</v>
      </c>
      <c r="Q704" s="460" t="s">
        <v>2571</v>
      </c>
      <c r="R704" s="460">
        <v>1311</v>
      </c>
      <c r="S704" s="460" t="s">
        <v>1137</v>
      </c>
      <c r="T704" s="462">
        <v>1</v>
      </c>
      <c r="U704" s="460" t="s">
        <v>1137</v>
      </c>
      <c r="V704" s="475">
        <v>0</v>
      </c>
      <c r="W704" s="463" t="s">
        <v>2278</v>
      </c>
      <c r="X704" s="463" t="s">
        <v>2278</v>
      </c>
      <c r="Y704" s="463" t="s">
        <v>2278</v>
      </c>
      <c r="Z704" s="463"/>
      <c r="AA704" s="463"/>
      <c r="AB704" s="464">
        <v>0</v>
      </c>
      <c r="AC704" s="465">
        <v>0</v>
      </c>
      <c r="AD704" s="465">
        <v>0</v>
      </c>
      <c r="AE704" s="476">
        <v>0</v>
      </c>
      <c r="AF704" s="467">
        <v>0</v>
      </c>
      <c r="AG704" s="468">
        <v>0</v>
      </c>
      <c r="AH704" s="218">
        <v>0</v>
      </c>
      <c r="AI704" s="470">
        <v>0</v>
      </c>
      <c r="AJ704" s="471">
        <v>0</v>
      </c>
      <c r="AK704" s="218">
        <v>0</v>
      </c>
      <c r="AL704" s="470">
        <v>0</v>
      </c>
      <c r="AM704" s="471">
        <v>0</v>
      </c>
      <c r="AN704" s="477">
        <v>0</v>
      </c>
      <c r="AO704" s="473">
        <v>0</v>
      </c>
      <c r="AP704" s="474">
        <v>0</v>
      </c>
      <c r="AQ704" s="352"/>
      <c r="AR704" s="352"/>
      <c r="AS704" s="352"/>
      <c r="AT704" s="352"/>
      <c r="AU704" s="352"/>
      <c r="AV704" s="352"/>
      <c r="AW704" s="352" t="s">
        <v>254</v>
      </c>
    </row>
    <row r="705" spans="2:49" x14ac:dyDescent="0.2">
      <c r="B705" s="460" t="s">
        <v>2568</v>
      </c>
      <c r="C705" s="460">
        <v>6000</v>
      </c>
      <c r="D705" s="460" t="s">
        <v>2573</v>
      </c>
      <c r="E705" s="460" t="s">
        <v>1138</v>
      </c>
      <c r="F705" s="460">
        <v>3</v>
      </c>
      <c r="G705" s="460">
        <v>4</v>
      </c>
      <c r="H705" s="461" t="s">
        <v>719</v>
      </c>
      <c r="I705" s="461" t="s">
        <v>720</v>
      </c>
      <c r="J705" s="461" t="s">
        <v>719</v>
      </c>
      <c r="K705" s="594"/>
      <c r="L705" s="594"/>
      <c r="M705" s="352">
        <v>6000</v>
      </c>
      <c r="N705" s="352" t="s">
        <v>871</v>
      </c>
      <c r="O705" s="460">
        <v>1311</v>
      </c>
      <c r="P705" s="460" t="s">
        <v>710</v>
      </c>
      <c r="Q705" s="460" t="s">
        <v>2571</v>
      </c>
      <c r="R705" s="460">
        <v>1311</v>
      </c>
      <c r="S705" s="460" t="s">
        <v>1138</v>
      </c>
      <c r="T705" s="462">
        <v>1</v>
      </c>
      <c r="U705" s="460" t="s">
        <v>1138</v>
      </c>
      <c r="V705" s="475">
        <v>0</v>
      </c>
      <c r="W705" s="463" t="s">
        <v>2278</v>
      </c>
      <c r="X705" s="463" t="s">
        <v>2278</v>
      </c>
      <c r="Y705" s="463" t="s">
        <v>2278</v>
      </c>
      <c r="Z705" s="463"/>
      <c r="AA705" s="463"/>
      <c r="AB705" s="464">
        <v>0</v>
      </c>
      <c r="AC705" s="465">
        <v>0</v>
      </c>
      <c r="AD705" s="465">
        <v>0</v>
      </c>
      <c r="AE705" s="476">
        <v>0</v>
      </c>
      <c r="AF705" s="467">
        <v>0</v>
      </c>
      <c r="AG705" s="468">
        <v>0</v>
      </c>
      <c r="AH705" s="218">
        <v>0</v>
      </c>
      <c r="AI705" s="470">
        <v>0</v>
      </c>
      <c r="AJ705" s="471">
        <v>0</v>
      </c>
      <c r="AK705" s="218">
        <v>0</v>
      </c>
      <c r="AL705" s="470">
        <v>0</v>
      </c>
      <c r="AM705" s="471">
        <v>0</v>
      </c>
      <c r="AN705" s="477">
        <v>0</v>
      </c>
      <c r="AO705" s="473">
        <v>0</v>
      </c>
      <c r="AP705" s="474">
        <v>0</v>
      </c>
      <c r="AQ705" s="352"/>
      <c r="AR705" s="352"/>
      <c r="AS705" s="352"/>
      <c r="AT705" s="352"/>
      <c r="AU705" s="352"/>
      <c r="AV705" s="352"/>
      <c r="AW705" s="352" t="s">
        <v>254</v>
      </c>
    </row>
    <row r="706" spans="2:49" x14ac:dyDescent="0.2">
      <c r="B706" s="460" t="s">
        <v>2569</v>
      </c>
      <c r="C706" s="460">
        <v>6000</v>
      </c>
      <c r="D706" s="460" t="s">
        <v>2574</v>
      </c>
      <c r="E706" s="460" t="s">
        <v>1139</v>
      </c>
      <c r="F706" s="460">
        <v>4</v>
      </c>
      <c r="G706" s="460">
        <v>4</v>
      </c>
      <c r="H706" s="461" t="s">
        <v>719</v>
      </c>
      <c r="I706" s="461" t="s">
        <v>720</v>
      </c>
      <c r="J706" s="461" t="s">
        <v>719</v>
      </c>
      <c r="K706" s="594"/>
      <c r="L706" s="594"/>
      <c r="M706" s="352">
        <v>6000</v>
      </c>
      <c r="N706" s="352" t="s">
        <v>871</v>
      </c>
      <c r="O706" s="460">
        <v>1311</v>
      </c>
      <c r="P706" s="460" t="s">
        <v>710</v>
      </c>
      <c r="Q706" s="460" t="s">
        <v>2571</v>
      </c>
      <c r="R706" s="460">
        <v>1311</v>
      </c>
      <c r="S706" s="460" t="s">
        <v>1139</v>
      </c>
      <c r="T706" s="462">
        <v>1</v>
      </c>
      <c r="U706" s="460" t="s">
        <v>1139</v>
      </c>
      <c r="V706" s="475">
        <v>0</v>
      </c>
      <c r="W706" s="463" t="s">
        <v>2278</v>
      </c>
      <c r="X706" s="463" t="s">
        <v>2278</v>
      </c>
      <c r="Y706" s="463" t="s">
        <v>2278</v>
      </c>
      <c r="Z706" s="463"/>
      <c r="AA706" s="463"/>
      <c r="AB706" s="464">
        <v>0</v>
      </c>
      <c r="AC706" s="465">
        <v>0</v>
      </c>
      <c r="AD706" s="465">
        <v>0</v>
      </c>
      <c r="AE706" s="476">
        <v>0</v>
      </c>
      <c r="AF706" s="467">
        <v>0</v>
      </c>
      <c r="AG706" s="468">
        <v>0</v>
      </c>
      <c r="AH706" s="218">
        <v>0</v>
      </c>
      <c r="AI706" s="470">
        <v>0</v>
      </c>
      <c r="AJ706" s="471">
        <v>0</v>
      </c>
      <c r="AK706" s="218">
        <v>0</v>
      </c>
      <c r="AL706" s="470">
        <v>0</v>
      </c>
      <c r="AM706" s="471">
        <v>0</v>
      </c>
      <c r="AN706" s="477">
        <v>0</v>
      </c>
      <c r="AO706" s="473">
        <v>0</v>
      </c>
      <c r="AP706" s="474">
        <v>0</v>
      </c>
      <c r="AQ706" s="352"/>
      <c r="AR706" s="352"/>
      <c r="AS706" s="352"/>
      <c r="AT706" s="352"/>
      <c r="AU706" s="352"/>
      <c r="AV706" s="352"/>
      <c r="AW706" s="352" t="s">
        <v>254</v>
      </c>
    </row>
    <row r="707" spans="2:49" x14ac:dyDescent="0.2">
      <c r="B707" s="460" t="s">
        <v>2575</v>
      </c>
      <c r="C707" s="460">
        <v>6000</v>
      </c>
      <c r="D707" s="460" t="s">
        <v>2375</v>
      </c>
      <c r="E707" s="460" t="s">
        <v>2376</v>
      </c>
      <c r="F707" s="460">
        <v>1</v>
      </c>
      <c r="G707" s="460">
        <v>5</v>
      </c>
      <c r="H707" s="461" t="s">
        <v>754</v>
      </c>
      <c r="I707" s="461" t="s">
        <v>1991</v>
      </c>
      <c r="J707" s="461" t="s">
        <v>754</v>
      </c>
      <c r="K707" s="594"/>
      <c r="L707" s="594"/>
      <c r="M707" s="352">
        <v>6000</v>
      </c>
      <c r="N707" s="352" t="s">
        <v>871</v>
      </c>
      <c r="O707" s="460">
        <v>1311</v>
      </c>
      <c r="P707" s="460" t="s">
        <v>710</v>
      </c>
      <c r="Q707" s="460" t="s">
        <v>2377</v>
      </c>
      <c r="R707" s="460">
        <v>1311</v>
      </c>
      <c r="S707" s="460" t="s">
        <v>2376</v>
      </c>
      <c r="T707" s="462">
        <v>1</v>
      </c>
      <c r="U707" s="460" t="s">
        <v>2376</v>
      </c>
      <c r="V707" s="475">
        <v>0</v>
      </c>
      <c r="W707" s="463" t="s">
        <v>2278</v>
      </c>
      <c r="X707" s="463" t="s">
        <v>2278</v>
      </c>
      <c r="Y707" s="463" t="s">
        <v>2278</v>
      </c>
      <c r="Z707" s="463"/>
      <c r="AA707" s="463"/>
      <c r="AB707" s="464">
        <v>0</v>
      </c>
      <c r="AC707" s="465">
        <v>0</v>
      </c>
      <c r="AD707" s="465">
        <v>0</v>
      </c>
      <c r="AE707" s="476">
        <v>0</v>
      </c>
      <c r="AF707" s="467">
        <v>0</v>
      </c>
      <c r="AG707" s="468">
        <v>0</v>
      </c>
      <c r="AH707" s="218">
        <v>0</v>
      </c>
      <c r="AI707" s="470">
        <v>0</v>
      </c>
      <c r="AJ707" s="471">
        <v>0</v>
      </c>
      <c r="AK707" s="218">
        <v>0</v>
      </c>
      <c r="AL707" s="470">
        <v>0</v>
      </c>
      <c r="AM707" s="471">
        <v>0</v>
      </c>
      <c r="AN707" s="477">
        <v>0</v>
      </c>
      <c r="AO707" s="473">
        <v>0</v>
      </c>
      <c r="AP707" s="474">
        <v>0</v>
      </c>
      <c r="AQ707" s="352"/>
      <c r="AR707" s="352"/>
      <c r="AS707" s="352"/>
      <c r="AT707" s="352"/>
      <c r="AU707" s="352"/>
      <c r="AV707" s="352"/>
      <c r="AW707" s="352" t="s">
        <v>127</v>
      </c>
    </row>
    <row r="708" spans="2:49" x14ac:dyDescent="0.2">
      <c r="B708" s="460" t="s">
        <v>2576</v>
      </c>
      <c r="C708" s="460">
        <v>6000</v>
      </c>
      <c r="D708" s="460" t="s">
        <v>2379</v>
      </c>
      <c r="E708" s="460" t="s">
        <v>2380</v>
      </c>
      <c r="F708" s="460">
        <v>2</v>
      </c>
      <c r="G708" s="460">
        <v>5</v>
      </c>
      <c r="H708" s="461" t="s">
        <v>754</v>
      </c>
      <c r="I708" s="461" t="s">
        <v>1991</v>
      </c>
      <c r="J708" s="461" t="s">
        <v>754</v>
      </c>
      <c r="K708" s="594"/>
      <c r="L708" s="594"/>
      <c r="M708" s="352">
        <v>6000</v>
      </c>
      <c r="N708" s="352" t="s">
        <v>871</v>
      </c>
      <c r="O708" s="460">
        <v>1311</v>
      </c>
      <c r="P708" s="460" t="s">
        <v>710</v>
      </c>
      <c r="Q708" s="460" t="s">
        <v>2377</v>
      </c>
      <c r="R708" s="460">
        <v>1311</v>
      </c>
      <c r="S708" s="460" t="s">
        <v>2380</v>
      </c>
      <c r="T708" s="462">
        <v>1</v>
      </c>
      <c r="U708" s="460" t="s">
        <v>2380</v>
      </c>
      <c r="V708" s="475">
        <v>0</v>
      </c>
      <c r="W708" s="463" t="s">
        <v>2278</v>
      </c>
      <c r="X708" s="463" t="s">
        <v>2278</v>
      </c>
      <c r="Y708" s="463" t="s">
        <v>2278</v>
      </c>
      <c r="Z708" s="463"/>
      <c r="AA708" s="463"/>
      <c r="AB708" s="464">
        <v>0</v>
      </c>
      <c r="AC708" s="465">
        <v>0</v>
      </c>
      <c r="AD708" s="465">
        <v>0</v>
      </c>
      <c r="AE708" s="476">
        <v>0</v>
      </c>
      <c r="AF708" s="467">
        <v>0</v>
      </c>
      <c r="AG708" s="468">
        <v>0</v>
      </c>
      <c r="AH708" s="218">
        <v>0</v>
      </c>
      <c r="AI708" s="470">
        <v>0</v>
      </c>
      <c r="AJ708" s="471">
        <v>0</v>
      </c>
      <c r="AK708" s="218">
        <v>0</v>
      </c>
      <c r="AL708" s="470">
        <v>0</v>
      </c>
      <c r="AM708" s="471">
        <v>0</v>
      </c>
      <c r="AN708" s="477">
        <v>0</v>
      </c>
      <c r="AO708" s="473">
        <v>0</v>
      </c>
      <c r="AP708" s="474">
        <v>0</v>
      </c>
      <c r="AQ708" s="352"/>
      <c r="AR708" s="352"/>
      <c r="AS708" s="352"/>
      <c r="AT708" s="352"/>
      <c r="AU708" s="352"/>
      <c r="AV708" s="352"/>
      <c r="AW708" s="352" t="s">
        <v>127</v>
      </c>
    </row>
    <row r="709" spans="2:49" x14ac:dyDescent="0.2">
      <c r="B709" s="460" t="s">
        <v>2577</v>
      </c>
      <c r="C709" s="460">
        <v>6000</v>
      </c>
      <c r="D709" s="460" t="s">
        <v>2382</v>
      </c>
      <c r="E709" s="460" t="s">
        <v>2383</v>
      </c>
      <c r="F709" s="460">
        <v>3</v>
      </c>
      <c r="G709" s="460">
        <v>5</v>
      </c>
      <c r="H709" s="461" t="s">
        <v>754</v>
      </c>
      <c r="I709" s="461" t="s">
        <v>1991</v>
      </c>
      <c r="J709" s="461" t="s">
        <v>754</v>
      </c>
      <c r="K709" s="594"/>
      <c r="L709" s="594"/>
      <c r="M709" s="352">
        <v>6000</v>
      </c>
      <c r="N709" s="352" t="s">
        <v>871</v>
      </c>
      <c r="O709" s="460">
        <v>1311</v>
      </c>
      <c r="P709" s="460" t="s">
        <v>710</v>
      </c>
      <c r="Q709" s="460" t="s">
        <v>2377</v>
      </c>
      <c r="R709" s="460">
        <v>1311</v>
      </c>
      <c r="S709" s="460" t="s">
        <v>2383</v>
      </c>
      <c r="T709" s="462">
        <v>1</v>
      </c>
      <c r="U709" s="460" t="s">
        <v>2383</v>
      </c>
      <c r="V709" s="475">
        <v>0</v>
      </c>
      <c r="W709" s="463" t="s">
        <v>2278</v>
      </c>
      <c r="X709" s="463" t="s">
        <v>2278</v>
      </c>
      <c r="Y709" s="463" t="s">
        <v>2278</v>
      </c>
      <c r="Z709" s="463"/>
      <c r="AA709" s="463"/>
      <c r="AB709" s="464">
        <v>0</v>
      </c>
      <c r="AC709" s="465">
        <v>0</v>
      </c>
      <c r="AD709" s="465">
        <v>0</v>
      </c>
      <c r="AE709" s="476">
        <v>0</v>
      </c>
      <c r="AF709" s="467">
        <v>0</v>
      </c>
      <c r="AG709" s="468">
        <v>0</v>
      </c>
      <c r="AH709" s="218">
        <v>0</v>
      </c>
      <c r="AI709" s="470">
        <v>0</v>
      </c>
      <c r="AJ709" s="471">
        <v>0</v>
      </c>
      <c r="AK709" s="218">
        <v>0</v>
      </c>
      <c r="AL709" s="470">
        <v>0</v>
      </c>
      <c r="AM709" s="471">
        <v>0</v>
      </c>
      <c r="AN709" s="477">
        <v>0</v>
      </c>
      <c r="AO709" s="473">
        <v>0</v>
      </c>
      <c r="AP709" s="474">
        <v>0</v>
      </c>
      <c r="AQ709" s="352"/>
      <c r="AR709" s="352"/>
      <c r="AS709" s="352"/>
      <c r="AT709" s="352"/>
      <c r="AU709" s="352"/>
      <c r="AV709" s="352"/>
      <c r="AW709" s="352" t="s">
        <v>127</v>
      </c>
    </row>
    <row r="710" spans="2:49" x14ac:dyDescent="0.2">
      <c r="B710" s="460" t="s">
        <v>2578</v>
      </c>
      <c r="C710" s="460">
        <v>6000</v>
      </c>
      <c r="D710" s="460" t="s">
        <v>2385</v>
      </c>
      <c r="E710" s="460" t="s">
        <v>2386</v>
      </c>
      <c r="F710" s="460">
        <v>4</v>
      </c>
      <c r="G710" s="460">
        <v>5</v>
      </c>
      <c r="H710" s="461" t="s">
        <v>754</v>
      </c>
      <c r="I710" s="461" t="s">
        <v>1991</v>
      </c>
      <c r="J710" s="461" t="s">
        <v>754</v>
      </c>
      <c r="K710" s="594"/>
      <c r="L710" s="594"/>
      <c r="M710" s="352">
        <v>6000</v>
      </c>
      <c r="N710" s="352" t="s">
        <v>871</v>
      </c>
      <c r="O710" s="460">
        <v>1311</v>
      </c>
      <c r="P710" s="460" t="s">
        <v>710</v>
      </c>
      <c r="Q710" s="460" t="s">
        <v>2377</v>
      </c>
      <c r="R710" s="460">
        <v>1311</v>
      </c>
      <c r="S710" s="460" t="s">
        <v>2386</v>
      </c>
      <c r="T710" s="462">
        <v>1</v>
      </c>
      <c r="U710" s="460" t="s">
        <v>2386</v>
      </c>
      <c r="V710" s="475">
        <v>0</v>
      </c>
      <c r="W710" s="463" t="s">
        <v>2278</v>
      </c>
      <c r="X710" s="463" t="s">
        <v>2278</v>
      </c>
      <c r="Y710" s="463" t="s">
        <v>2278</v>
      </c>
      <c r="Z710" s="463"/>
      <c r="AA710" s="463"/>
      <c r="AB710" s="464">
        <v>0</v>
      </c>
      <c r="AC710" s="465">
        <v>0</v>
      </c>
      <c r="AD710" s="465">
        <v>0</v>
      </c>
      <c r="AE710" s="476">
        <v>0</v>
      </c>
      <c r="AF710" s="467">
        <v>0</v>
      </c>
      <c r="AG710" s="468">
        <v>0</v>
      </c>
      <c r="AH710" s="218">
        <v>0</v>
      </c>
      <c r="AI710" s="470">
        <v>0</v>
      </c>
      <c r="AJ710" s="471">
        <v>0</v>
      </c>
      <c r="AK710" s="218">
        <v>0</v>
      </c>
      <c r="AL710" s="470">
        <v>0</v>
      </c>
      <c r="AM710" s="471">
        <v>0</v>
      </c>
      <c r="AN710" s="477">
        <v>0</v>
      </c>
      <c r="AO710" s="473">
        <v>0</v>
      </c>
      <c r="AP710" s="474">
        <v>0</v>
      </c>
      <c r="AQ710" s="352"/>
      <c r="AR710" s="352"/>
      <c r="AS710" s="352"/>
      <c r="AT710" s="352"/>
      <c r="AU710" s="352"/>
      <c r="AV710" s="352"/>
      <c r="AW710" s="352" t="s">
        <v>127</v>
      </c>
    </row>
    <row r="711" spans="2:49" x14ac:dyDescent="0.2">
      <c r="B711" s="460" t="s">
        <v>2579</v>
      </c>
      <c r="C711" s="460">
        <v>8000</v>
      </c>
      <c r="D711" s="460" t="s">
        <v>2264</v>
      </c>
      <c r="E711" s="460" t="s">
        <v>2265</v>
      </c>
      <c r="F711" s="460">
        <v>1</v>
      </c>
      <c r="G711" s="460">
        <v>1</v>
      </c>
      <c r="H711" s="461" t="s">
        <v>700</v>
      </c>
      <c r="I711" s="461" t="s">
        <v>872</v>
      </c>
      <c r="J711" s="461" t="s">
        <v>700</v>
      </c>
      <c r="K711" s="594"/>
      <c r="L711" s="594"/>
      <c r="M711" s="352">
        <v>8000</v>
      </c>
      <c r="N711" s="352" t="s">
        <v>760</v>
      </c>
      <c r="O711" s="460">
        <v>1411</v>
      </c>
      <c r="P711" s="460" t="s">
        <v>743</v>
      </c>
      <c r="Q711" s="460" t="s">
        <v>2553</v>
      </c>
      <c r="R711" s="460">
        <v>1411</v>
      </c>
      <c r="S711" s="460" t="s">
        <v>2265</v>
      </c>
      <c r="T711" s="462">
        <v>1</v>
      </c>
      <c r="U711" s="460" t="s">
        <v>2265</v>
      </c>
      <c r="V711" s="475">
        <v>0</v>
      </c>
      <c r="W711" s="463" t="s">
        <v>2554</v>
      </c>
      <c r="X711" s="463" t="s">
        <v>2554</v>
      </c>
      <c r="Y711" s="463" t="s">
        <v>2268</v>
      </c>
      <c r="Z711" s="463"/>
      <c r="AA711" s="463"/>
      <c r="AB711" s="464">
        <v>709.81504894581315</v>
      </c>
      <c r="AC711" s="465">
        <v>0.21440057034799856</v>
      </c>
      <c r="AD711" s="465">
        <v>6.5824238508016258E-3</v>
      </c>
      <c r="AE711" s="476">
        <v>425.88902936748786</v>
      </c>
      <c r="AF711" s="467">
        <v>0.12864034220879914</v>
      </c>
      <c r="AG711" s="468">
        <v>4.2188437844339587E-3</v>
      </c>
      <c r="AH711" s="218">
        <v>425.88902936748786</v>
      </c>
      <c r="AI711" s="470">
        <v>0.12864034220879914</v>
      </c>
      <c r="AJ711" s="471">
        <v>4.060996353738364E-3</v>
      </c>
      <c r="AK711" s="218">
        <v>425.88902936748786</v>
      </c>
      <c r="AL711" s="470">
        <v>0.12864034220879914</v>
      </c>
      <c r="AM711" s="471">
        <v>4.060996353738364E-3</v>
      </c>
      <c r="AN711" s="477">
        <v>0</v>
      </c>
      <c r="AO711" s="473">
        <v>0</v>
      </c>
      <c r="AP711" s="474">
        <v>0</v>
      </c>
      <c r="AQ711" s="352"/>
      <c r="AR711" s="352"/>
      <c r="AS711" s="352"/>
      <c r="AT711" s="352"/>
      <c r="AU711" s="352"/>
      <c r="AV711" s="352"/>
      <c r="AW711" s="352" t="s">
        <v>254</v>
      </c>
    </row>
    <row r="712" spans="2:49" x14ac:dyDescent="0.2">
      <c r="B712" s="460" t="s">
        <v>2580</v>
      </c>
      <c r="C712" s="460">
        <v>8000</v>
      </c>
      <c r="D712" s="460" t="s">
        <v>2270</v>
      </c>
      <c r="E712" s="460" t="s">
        <v>2271</v>
      </c>
      <c r="F712" s="460">
        <v>2</v>
      </c>
      <c r="G712" s="460">
        <v>1</v>
      </c>
      <c r="H712" s="461" t="s">
        <v>700</v>
      </c>
      <c r="I712" s="461" t="s">
        <v>872</v>
      </c>
      <c r="J712" s="461" t="s">
        <v>700</v>
      </c>
      <c r="K712" s="594"/>
      <c r="L712" s="594"/>
      <c r="M712" s="352">
        <v>8000</v>
      </c>
      <c r="N712" s="352" t="s">
        <v>760</v>
      </c>
      <c r="O712" s="460">
        <v>1411</v>
      </c>
      <c r="P712" s="460" t="s">
        <v>743</v>
      </c>
      <c r="Q712" s="460" t="s">
        <v>2553</v>
      </c>
      <c r="R712" s="460">
        <v>1411</v>
      </c>
      <c r="S712" s="460" t="s">
        <v>2265</v>
      </c>
      <c r="T712" s="462">
        <v>1</v>
      </c>
      <c r="U712" s="460" t="s">
        <v>2271</v>
      </c>
      <c r="V712" s="475">
        <v>0</v>
      </c>
      <c r="W712" s="463" t="s">
        <v>2554</v>
      </c>
      <c r="X712" s="463" t="s">
        <v>2554</v>
      </c>
      <c r="Y712" s="463" t="s">
        <v>2268</v>
      </c>
      <c r="Z712" s="463"/>
      <c r="AA712" s="463"/>
      <c r="AB712" s="464">
        <v>530.54998191423385</v>
      </c>
      <c r="AC712" s="465">
        <v>0.16847867486566867</v>
      </c>
      <c r="AD712" s="465">
        <v>6.5824238508016206E-3</v>
      </c>
      <c r="AE712" s="476">
        <v>318.32998914854028</v>
      </c>
      <c r="AF712" s="467">
        <v>0.10108720491940119</v>
      </c>
      <c r="AG712" s="468">
        <v>4.2798706008721869E-3</v>
      </c>
      <c r="AH712" s="218">
        <v>405.09655769038062</v>
      </c>
      <c r="AI712" s="470">
        <v>0.12864034220879914</v>
      </c>
      <c r="AJ712" s="471">
        <v>4.7827317858012905E-3</v>
      </c>
      <c r="AK712" s="218">
        <v>405.09655769038062</v>
      </c>
      <c r="AL712" s="470">
        <v>0.12864034220879914</v>
      </c>
      <c r="AM712" s="471">
        <v>4.7827317858012905E-3</v>
      </c>
      <c r="AN712" s="477">
        <v>0</v>
      </c>
      <c r="AO712" s="473">
        <v>0</v>
      </c>
      <c r="AP712" s="474">
        <v>0</v>
      </c>
      <c r="AQ712" s="352"/>
      <c r="AR712" s="352"/>
      <c r="AS712" s="352"/>
      <c r="AT712" s="352"/>
      <c r="AU712" s="352"/>
      <c r="AV712" s="352"/>
      <c r="AW712" s="352" t="s">
        <v>254</v>
      </c>
    </row>
    <row r="713" spans="2:49" x14ac:dyDescent="0.2">
      <c r="B713" s="460" t="s">
        <v>2581</v>
      </c>
      <c r="C713" s="460">
        <v>8000</v>
      </c>
      <c r="D713" s="460" t="s">
        <v>2273</v>
      </c>
      <c r="E713" s="460" t="s">
        <v>2274</v>
      </c>
      <c r="F713" s="460">
        <v>3</v>
      </c>
      <c r="G713" s="460">
        <v>1</v>
      </c>
      <c r="H713" s="461" t="s">
        <v>700</v>
      </c>
      <c r="I713" s="461" t="s">
        <v>872</v>
      </c>
      <c r="J713" s="461" t="s">
        <v>700</v>
      </c>
      <c r="K713" s="594"/>
      <c r="L713" s="594"/>
      <c r="M713" s="352">
        <v>8000</v>
      </c>
      <c r="N713" s="352" t="s">
        <v>760</v>
      </c>
      <c r="O713" s="460">
        <v>1411</v>
      </c>
      <c r="P713" s="460" t="s">
        <v>743</v>
      </c>
      <c r="Q713" s="460" t="s">
        <v>2553</v>
      </c>
      <c r="R713" s="460">
        <v>1411</v>
      </c>
      <c r="S713" s="460" t="s">
        <v>2265</v>
      </c>
      <c r="T713" s="462">
        <v>0.74223365950407583</v>
      </c>
      <c r="U713" s="460" t="s">
        <v>2274</v>
      </c>
      <c r="V713" s="475">
        <v>0</v>
      </c>
      <c r="W713" s="463" t="s">
        <v>2554</v>
      </c>
      <c r="X713" s="463" t="s">
        <v>2554</v>
      </c>
      <c r="Y713" s="463" t="s">
        <v>2268</v>
      </c>
      <c r="Z713" s="463"/>
      <c r="AA713" s="463"/>
      <c r="AB713" s="464">
        <v>133.05982742604289</v>
      </c>
      <c r="AC713" s="465">
        <v>0.10422858847755148</v>
      </c>
      <c r="AD713" s="465">
        <v>6.5824238508016214E-3</v>
      </c>
      <c r="AE713" s="476">
        <v>79.835896455625729</v>
      </c>
      <c r="AF713" s="467">
        <v>6.2537153086530892E-2</v>
      </c>
      <c r="AG713" s="468">
        <v>4.2779464184908812E-3</v>
      </c>
      <c r="AH713" s="218">
        <v>121.89276579365063</v>
      </c>
      <c r="AI713" s="470">
        <v>9.5481191957493619E-2</v>
      </c>
      <c r="AJ713" s="471">
        <v>4.729937249207665E-3</v>
      </c>
      <c r="AK713" s="218">
        <v>121.89276579365063</v>
      </c>
      <c r="AL713" s="470">
        <v>9.5481191957493619E-2</v>
      </c>
      <c r="AM713" s="471">
        <v>4.729937249207665E-3</v>
      </c>
      <c r="AN713" s="477">
        <v>0</v>
      </c>
      <c r="AO713" s="473">
        <v>0</v>
      </c>
      <c r="AP713" s="474">
        <v>0</v>
      </c>
      <c r="AQ713" s="352"/>
      <c r="AR713" s="352"/>
      <c r="AS713" s="352"/>
      <c r="AT713" s="352"/>
      <c r="AU713" s="352"/>
      <c r="AV713" s="352"/>
      <c r="AW713" s="352" t="s">
        <v>254</v>
      </c>
    </row>
    <row r="714" spans="2:49" x14ac:dyDescent="0.2">
      <c r="B714" s="460" t="s">
        <v>2582</v>
      </c>
      <c r="C714" s="460">
        <v>8000</v>
      </c>
      <c r="D714" s="460" t="s">
        <v>2276</v>
      </c>
      <c r="E714" s="460" t="s">
        <v>2277</v>
      </c>
      <c r="F714" s="460">
        <v>4</v>
      </c>
      <c r="G714" s="460">
        <v>1</v>
      </c>
      <c r="H714" s="461" t="s">
        <v>700</v>
      </c>
      <c r="I714" s="461" t="s">
        <v>872</v>
      </c>
      <c r="J714" s="461" t="s">
        <v>700</v>
      </c>
      <c r="K714" s="594"/>
      <c r="L714" s="594"/>
      <c r="M714" s="352">
        <v>8000</v>
      </c>
      <c r="N714" s="352" t="s">
        <v>760</v>
      </c>
      <c r="O714" s="460">
        <v>1411</v>
      </c>
      <c r="P714" s="460" t="s">
        <v>743</v>
      </c>
      <c r="Q714" s="460" t="s">
        <v>2553</v>
      </c>
      <c r="R714" s="460">
        <v>1411</v>
      </c>
      <c r="S714" s="460" t="s">
        <v>2277</v>
      </c>
      <c r="T714" s="462">
        <v>1</v>
      </c>
      <c r="U714" s="460" t="s">
        <v>2277</v>
      </c>
      <c r="V714" s="475">
        <v>0</v>
      </c>
      <c r="W714" s="463" t="s">
        <v>2554</v>
      </c>
      <c r="X714" s="463" t="s">
        <v>2554</v>
      </c>
      <c r="Y714" s="463" t="s">
        <v>2268</v>
      </c>
      <c r="Z714" s="463"/>
      <c r="AA714" s="463"/>
      <c r="AB714" s="464">
        <v>1.6308428761012315</v>
      </c>
      <c r="AC714" s="465">
        <v>1.1267488840993425E-3</v>
      </c>
      <c r="AD714" s="465">
        <v>6.5824238508016249E-3</v>
      </c>
      <c r="AE714" s="476">
        <v>0.9785057256607389</v>
      </c>
      <c r="AF714" s="467">
        <v>6.760493304596055E-4</v>
      </c>
      <c r="AG714" s="468">
        <v>4.415281732843339E-3</v>
      </c>
      <c r="AH714" s="218">
        <v>0.9785057256607389</v>
      </c>
      <c r="AI714" s="470">
        <v>6.760493304596055E-4</v>
      </c>
      <c r="AJ714" s="471">
        <v>4.2318564197734495E-3</v>
      </c>
      <c r="AK714" s="218">
        <v>0.9785057256607389</v>
      </c>
      <c r="AL714" s="470">
        <v>6.760493304596055E-4</v>
      </c>
      <c r="AM714" s="471">
        <v>4.2318564197734495E-3</v>
      </c>
      <c r="AN714" s="477">
        <v>0</v>
      </c>
      <c r="AO714" s="473">
        <v>0</v>
      </c>
      <c r="AP714" s="474">
        <v>0</v>
      </c>
      <c r="AQ714" s="352"/>
      <c r="AR714" s="352"/>
      <c r="AS714" s="352"/>
      <c r="AT714" s="352"/>
      <c r="AU714" s="352"/>
      <c r="AV714" s="352"/>
      <c r="AW714" s="352" t="s">
        <v>254</v>
      </c>
    </row>
    <row r="715" spans="2:49" x14ac:dyDescent="0.2">
      <c r="B715" s="460" t="s">
        <v>2579</v>
      </c>
      <c r="C715" s="460">
        <v>8000</v>
      </c>
      <c r="D715" s="460" t="s">
        <v>2279</v>
      </c>
      <c r="E715" s="460" t="s">
        <v>2265</v>
      </c>
      <c r="F715" s="460">
        <v>1</v>
      </c>
      <c r="G715" s="460">
        <v>1</v>
      </c>
      <c r="H715" s="461" t="s">
        <v>712</v>
      </c>
      <c r="I715" s="461" t="s">
        <v>713</v>
      </c>
      <c r="J715" s="461" t="s">
        <v>712</v>
      </c>
      <c r="K715" s="594"/>
      <c r="L715" s="594"/>
      <c r="M715" s="352">
        <v>8000</v>
      </c>
      <c r="N715" s="352" t="s">
        <v>760</v>
      </c>
      <c r="O715" s="460">
        <v>1411</v>
      </c>
      <c r="P715" s="460" t="s">
        <v>743</v>
      </c>
      <c r="Q715" s="460" t="s">
        <v>2280</v>
      </c>
      <c r="R715" s="460">
        <v>1411</v>
      </c>
      <c r="S715" s="460" t="s">
        <v>2265</v>
      </c>
      <c r="T715" s="462">
        <v>1</v>
      </c>
      <c r="U715" s="460" t="s">
        <v>2265</v>
      </c>
      <c r="V715" s="475">
        <v>0</v>
      </c>
      <c r="W715" s="463" t="s">
        <v>713</v>
      </c>
      <c r="X715" s="463" t="s">
        <v>713</v>
      </c>
      <c r="Y715" s="463" t="s">
        <v>713</v>
      </c>
      <c r="Z715" s="463"/>
      <c r="AA715" s="463"/>
      <c r="AB715" s="464">
        <v>2600.8806632609958</v>
      </c>
      <c r="AC715" s="465">
        <v>0.78559942965200147</v>
      </c>
      <c r="AD715" s="465">
        <v>9.6081029617673119E-3</v>
      </c>
      <c r="AE715" s="476">
        <v>2884.8066828393207</v>
      </c>
      <c r="AF715" s="467">
        <v>0.87135965779120084</v>
      </c>
      <c r="AG715" s="468">
        <v>1.0392619026582128E-2</v>
      </c>
      <c r="AH715" s="218">
        <v>2884.8066828393207</v>
      </c>
      <c r="AI715" s="470">
        <v>0.87135965779120084</v>
      </c>
      <c r="AJ715" s="471">
        <v>1.0541631995954226E-2</v>
      </c>
      <c r="AK715" s="218">
        <v>2884.8066828393207</v>
      </c>
      <c r="AL715" s="470">
        <v>0.87135965779120084</v>
      </c>
      <c r="AM715" s="471">
        <v>1.0541631995954226E-2</v>
      </c>
      <c r="AN715" s="477">
        <v>2884.8066828393207</v>
      </c>
      <c r="AO715" s="473">
        <v>0.87135965779120084</v>
      </c>
      <c r="AP715" s="474">
        <v>1.0538197109464751E-2</v>
      </c>
      <c r="AQ715" s="352"/>
      <c r="AR715" s="352"/>
      <c r="AS715" s="352"/>
      <c r="AT715" s="352"/>
      <c r="AU715" s="352"/>
      <c r="AV715" s="352"/>
      <c r="AW715" s="352" t="s">
        <v>254</v>
      </c>
    </row>
    <row r="716" spans="2:49" x14ac:dyDescent="0.2">
      <c r="B716" s="460" t="s">
        <v>2580</v>
      </c>
      <c r="C716" s="460">
        <v>8000</v>
      </c>
      <c r="D716" s="460" t="s">
        <v>2281</v>
      </c>
      <c r="E716" s="460" t="s">
        <v>2271</v>
      </c>
      <c r="F716" s="460">
        <v>2</v>
      </c>
      <c r="G716" s="460">
        <v>1</v>
      </c>
      <c r="H716" s="461" t="s">
        <v>712</v>
      </c>
      <c r="I716" s="461" t="s">
        <v>713</v>
      </c>
      <c r="J716" s="461" t="s">
        <v>712</v>
      </c>
      <c r="K716" s="594"/>
      <c r="L716" s="594"/>
      <c r="M716" s="352">
        <v>8000</v>
      </c>
      <c r="N716" s="352" t="s">
        <v>760</v>
      </c>
      <c r="O716" s="460">
        <v>1411</v>
      </c>
      <c r="P716" s="460" t="s">
        <v>743</v>
      </c>
      <c r="Q716" s="460" t="s">
        <v>2280</v>
      </c>
      <c r="R716" s="460">
        <v>1411</v>
      </c>
      <c r="S716" s="460" t="s">
        <v>2265</v>
      </c>
      <c r="T716" s="462">
        <v>1</v>
      </c>
      <c r="U716" s="460" t="s">
        <v>2271</v>
      </c>
      <c r="V716" s="475">
        <v>0</v>
      </c>
      <c r="W716" s="463" t="s">
        <v>713</v>
      </c>
      <c r="X716" s="463" t="s">
        <v>713</v>
      </c>
      <c r="Y716" s="463" t="s">
        <v>713</v>
      </c>
      <c r="Z716" s="463"/>
      <c r="AA716" s="463"/>
      <c r="AB716" s="464">
        <v>2618.5131403904238</v>
      </c>
      <c r="AC716" s="465">
        <v>0.8315213251343313</v>
      </c>
      <c r="AD716" s="465">
        <v>1.0934702963169438E-2</v>
      </c>
      <c r="AE716" s="476">
        <v>2830.7331331561172</v>
      </c>
      <c r="AF716" s="467">
        <v>0.89891279508059885</v>
      </c>
      <c r="AG716" s="468">
        <v>1.1521529322584075E-2</v>
      </c>
      <c r="AH716" s="218">
        <v>2743.9665646142766</v>
      </c>
      <c r="AI716" s="470">
        <v>0.87135965779120084</v>
      </c>
      <c r="AJ716" s="471">
        <v>1.1788479586884315E-2</v>
      </c>
      <c r="AK716" s="218">
        <v>2743.9665646142766</v>
      </c>
      <c r="AL716" s="470">
        <v>0.87135965779120084</v>
      </c>
      <c r="AM716" s="471">
        <v>1.1788479586884315E-2</v>
      </c>
      <c r="AN716" s="477">
        <v>2743.9665646142766</v>
      </c>
      <c r="AO716" s="473">
        <v>0.87135965779120084</v>
      </c>
      <c r="AP716" s="474">
        <v>1.1784340264982053E-2</v>
      </c>
      <c r="AQ716" s="352"/>
      <c r="AR716" s="352"/>
      <c r="AS716" s="352"/>
      <c r="AT716" s="352"/>
      <c r="AU716" s="352"/>
      <c r="AV716" s="352"/>
      <c r="AW716" s="352" t="s">
        <v>254</v>
      </c>
    </row>
    <row r="717" spans="2:49" x14ac:dyDescent="0.2">
      <c r="B717" s="460" t="s">
        <v>2581</v>
      </c>
      <c r="C717" s="460">
        <v>8000</v>
      </c>
      <c r="D717" s="460" t="s">
        <v>2282</v>
      </c>
      <c r="E717" s="460" t="s">
        <v>2274</v>
      </c>
      <c r="F717" s="460">
        <v>3</v>
      </c>
      <c r="G717" s="460">
        <v>1</v>
      </c>
      <c r="H717" s="461" t="s">
        <v>712</v>
      </c>
      <c r="I717" s="461" t="s">
        <v>713</v>
      </c>
      <c r="J717" s="461" t="s">
        <v>712</v>
      </c>
      <c r="K717" s="594"/>
      <c r="L717" s="594"/>
      <c r="M717" s="352">
        <v>8000</v>
      </c>
      <c r="N717" s="352" t="s">
        <v>760</v>
      </c>
      <c r="O717" s="460">
        <v>1411</v>
      </c>
      <c r="P717" s="460" t="s">
        <v>743</v>
      </c>
      <c r="Q717" s="460" t="s">
        <v>2280</v>
      </c>
      <c r="R717" s="460">
        <v>1411</v>
      </c>
      <c r="S717" s="460" t="s">
        <v>2265</v>
      </c>
      <c r="T717" s="462">
        <v>0.74223365950407583</v>
      </c>
      <c r="U717" s="460" t="s">
        <v>2274</v>
      </c>
      <c r="V717" s="475">
        <v>0</v>
      </c>
      <c r="W717" s="463" t="s">
        <v>713</v>
      </c>
      <c r="X717" s="463" t="s">
        <v>713</v>
      </c>
      <c r="Y717" s="463" t="s">
        <v>713</v>
      </c>
      <c r="Z717" s="463"/>
      <c r="AA717" s="463"/>
      <c r="AB717" s="464">
        <v>1143.5556325895268</v>
      </c>
      <c r="AC717" s="465">
        <v>0.89577141152244855</v>
      </c>
      <c r="AD717" s="465">
        <v>6.8444234222944118E-3</v>
      </c>
      <c r="AE717" s="476">
        <v>1196.7795635599439</v>
      </c>
      <c r="AF717" s="467">
        <v>0.93746284691346915</v>
      </c>
      <c r="AG717" s="468">
        <v>7.0970461862864377E-3</v>
      </c>
      <c r="AH717" s="218">
        <v>1154.722694221919</v>
      </c>
      <c r="AI717" s="470">
        <v>0.90451880804250639</v>
      </c>
      <c r="AJ717" s="471">
        <v>7.2564745452745752E-3</v>
      </c>
      <c r="AK717" s="218">
        <v>1154.722694221919</v>
      </c>
      <c r="AL717" s="470">
        <v>0.90451880804250639</v>
      </c>
      <c r="AM717" s="471">
        <v>7.2564745452745752E-3</v>
      </c>
      <c r="AN717" s="477">
        <v>1154.722694221919</v>
      </c>
      <c r="AO717" s="473">
        <v>0.90451880804250639</v>
      </c>
      <c r="AP717" s="474">
        <v>7.3088227298448586E-3</v>
      </c>
      <c r="AQ717" s="352"/>
      <c r="AR717" s="352"/>
      <c r="AS717" s="352"/>
      <c r="AT717" s="352"/>
      <c r="AU717" s="352"/>
      <c r="AV717" s="352"/>
      <c r="AW717" s="352" t="s">
        <v>254</v>
      </c>
    </row>
    <row r="718" spans="2:49" x14ac:dyDescent="0.2">
      <c r="B718" s="460" t="s">
        <v>2582</v>
      </c>
      <c r="C718" s="460">
        <v>8000</v>
      </c>
      <c r="D718" s="460" t="s">
        <v>2283</v>
      </c>
      <c r="E718" s="460" t="s">
        <v>2277</v>
      </c>
      <c r="F718" s="460">
        <v>4</v>
      </c>
      <c r="G718" s="460">
        <v>1</v>
      </c>
      <c r="H718" s="461" t="s">
        <v>712</v>
      </c>
      <c r="I718" s="461" t="s">
        <v>713</v>
      </c>
      <c r="J718" s="461" t="s">
        <v>712</v>
      </c>
      <c r="K718" s="594"/>
      <c r="L718" s="594"/>
      <c r="M718" s="352">
        <v>8000</v>
      </c>
      <c r="N718" s="352" t="s">
        <v>760</v>
      </c>
      <c r="O718" s="460">
        <v>1411</v>
      </c>
      <c r="P718" s="460" t="s">
        <v>743</v>
      </c>
      <c r="Q718" s="460" t="s">
        <v>2280</v>
      </c>
      <c r="R718" s="460">
        <v>1411</v>
      </c>
      <c r="S718" s="460" t="s">
        <v>2277</v>
      </c>
      <c r="T718" s="462">
        <v>1</v>
      </c>
      <c r="U718" s="460" t="s">
        <v>2277</v>
      </c>
      <c r="V718" s="475">
        <v>0</v>
      </c>
      <c r="W718" s="463" t="s">
        <v>713</v>
      </c>
      <c r="X718" s="463" t="s">
        <v>713</v>
      </c>
      <c r="Y718" s="463" t="s">
        <v>713</v>
      </c>
      <c r="Z718" s="463"/>
      <c r="AA718" s="463"/>
      <c r="AB718" s="464">
        <v>1445.7572123646478</v>
      </c>
      <c r="AC718" s="465">
        <v>0.99887325111590064</v>
      </c>
      <c r="AD718" s="465">
        <v>7.5082146004579629E-3</v>
      </c>
      <c r="AE718" s="476">
        <v>1446.4095495150882</v>
      </c>
      <c r="AF718" s="467">
        <v>0.99932395066954038</v>
      </c>
      <c r="AG718" s="468">
        <v>7.5105828181667869E-3</v>
      </c>
      <c r="AH718" s="218">
        <v>1446.4095495150882</v>
      </c>
      <c r="AI718" s="470">
        <v>0.99932395066954038</v>
      </c>
      <c r="AJ718" s="471">
        <v>7.510957455416311E-3</v>
      </c>
      <c r="AK718" s="218">
        <v>1446.4095495150882</v>
      </c>
      <c r="AL718" s="470">
        <v>0.99932395066954038</v>
      </c>
      <c r="AM718" s="471">
        <v>7.510957455416311E-3</v>
      </c>
      <c r="AN718" s="477">
        <v>1446.4095495150882</v>
      </c>
      <c r="AO718" s="473">
        <v>0.99932395066954038</v>
      </c>
      <c r="AP718" s="474">
        <v>7.5109949081596768E-3</v>
      </c>
      <c r="AQ718" s="352"/>
      <c r="AR718" s="352"/>
      <c r="AS718" s="352"/>
      <c r="AT718" s="352"/>
      <c r="AU718" s="352"/>
      <c r="AV718" s="352"/>
      <c r="AW718" s="352" t="s">
        <v>254</v>
      </c>
    </row>
    <row r="719" spans="2:49" x14ac:dyDescent="0.2">
      <c r="B719" s="460" t="s">
        <v>2579</v>
      </c>
      <c r="C719" s="460">
        <v>8000</v>
      </c>
      <c r="D719" s="460" t="s">
        <v>2284</v>
      </c>
      <c r="E719" s="460" t="s">
        <v>2265</v>
      </c>
      <c r="F719" s="460">
        <v>1</v>
      </c>
      <c r="G719" s="460">
        <v>1</v>
      </c>
      <c r="H719" s="461" t="s">
        <v>746</v>
      </c>
      <c r="I719" s="461" t="s">
        <v>762</v>
      </c>
      <c r="J719" s="461" t="s">
        <v>700</v>
      </c>
      <c r="K719" s="594"/>
      <c r="L719" s="594"/>
      <c r="M719" s="352">
        <v>8000</v>
      </c>
      <c r="N719" s="352" t="s">
        <v>760</v>
      </c>
      <c r="O719" s="460">
        <v>1411</v>
      </c>
      <c r="P719" s="460" t="s">
        <v>743</v>
      </c>
      <c r="Q719" s="460" t="s">
        <v>2553</v>
      </c>
      <c r="R719" s="460">
        <v>1411</v>
      </c>
      <c r="S719" s="460" t="s">
        <v>2265</v>
      </c>
      <c r="T719" s="462">
        <v>1</v>
      </c>
      <c r="U719" s="460" t="s">
        <v>2265</v>
      </c>
      <c r="V719" s="475">
        <v>0</v>
      </c>
      <c r="W719" s="463" t="s">
        <v>2268</v>
      </c>
      <c r="X719" s="463" t="s">
        <v>2268</v>
      </c>
      <c r="Y719" s="463" t="s">
        <v>2554</v>
      </c>
      <c r="Z719" s="463"/>
      <c r="AA719" s="463"/>
      <c r="AB719" s="464">
        <v>0</v>
      </c>
      <c r="AC719" s="465">
        <v>0</v>
      </c>
      <c r="AD719" s="465">
        <v>0</v>
      </c>
      <c r="AE719" s="476">
        <v>0</v>
      </c>
      <c r="AF719" s="467">
        <v>0</v>
      </c>
      <c r="AG719" s="468">
        <v>0</v>
      </c>
      <c r="AH719" s="218">
        <v>0</v>
      </c>
      <c r="AI719" s="470">
        <v>0</v>
      </c>
      <c r="AJ719" s="471">
        <v>0</v>
      </c>
      <c r="AK719" s="218">
        <v>0</v>
      </c>
      <c r="AL719" s="470">
        <v>0</v>
      </c>
      <c r="AM719" s="471">
        <v>0</v>
      </c>
      <c r="AN719" s="477">
        <v>390.39827692019725</v>
      </c>
      <c r="AO719" s="473">
        <v>0.11792031369139921</v>
      </c>
      <c r="AP719" s="474">
        <v>4.4022794045269356E-3</v>
      </c>
      <c r="AQ719" s="352"/>
      <c r="AR719" s="352"/>
      <c r="AS719" s="352"/>
      <c r="AT719" s="352"/>
      <c r="AU719" s="352"/>
      <c r="AV719" s="352"/>
      <c r="AW719" s="352" t="s">
        <v>254</v>
      </c>
    </row>
    <row r="720" spans="2:49" x14ac:dyDescent="0.2">
      <c r="B720" s="460" t="s">
        <v>2580</v>
      </c>
      <c r="C720" s="460">
        <v>8000</v>
      </c>
      <c r="D720" s="460" t="s">
        <v>2285</v>
      </c>
      <c r="E720" s="460" t="s">
        <v>2271</v>
      </c>
      <c r="F720" s="460">
        <v>2</v>
      </c>
      <c r="G720" s="460">
        <v>1</v>
      </c>
      <c r="H720" s="461" t="s">
        <v>746</v>
      </c>
      <c r="I720" s="461" t="s">
        <v>762</v>
      </c>
      <c r="J720" s="461" t="s">
        <v>700</v>
      </c>
      <c r="K720" s="594"/>
      <c r="L720" s="594"/>
      <c r="M720" s="352">
        <v>8000</v>
      </c>
      <c r="N720" s="352" t="s">
        <v>760</v>
      </c>
      <c r="O720" s="460">
        <v>1411</v>
      </c>
      <c r="P720" s="460" t="s">
        <v>743</v>
      </c>
      <c r="Q720" s="460" t="s">
        <v>2553</v>
      </c>
      <c r="R720" s="460">
        <v>1411</v>
      </c>
      <c r="S720" s="460" t="s">
        <v>2265</v>
      </c>
      <c r="T720" s="462">
        <v>1</v>
      </c>
      <c r="U720" s="460" t="s">
        <v>2271</v>
      </c>
      <c r="V720" s="475">
        <v>0</v>
      </c>
      <c r="W720" s="463" t="s">
        <v>2268</v>
      </c>
      <c r="X720" s="463" t="s">
        <v>2268</v>
      </c>
      <c r="Y720" s="463" t="s">
        <v>2554</v>
      </c>
      <c r="Z720" s="463"/>
      <c r="AA720" s="463"/>
      <c r="AB720" s="464">
        <v>0</v>
      </c>
      <c r="AC720" s="465">
        <v>0</v>
      </c>
      <c r="AD720" s="465">
        <v>0</v>
      </c>
      <c r="AE720" s="476">
        <v>0</v>
      </c>
      <c r="AF720" s="467">
        <v>0</v>
      </c>
      <c r="AG720" s="468">
        <v>0</v>
      </c>
      <c r="AH720" s="218">
        <v>0</v>
      </c>
      <c r="AI720" s="470">
        <v>0</v>
      </c>
      <c r="AJ720" s="471">
        <v>0</v>
      </c>
      <c r="AK720" s="218">
        <v>0</v>
      </c>
      <c r="AL720" s="470">
        <v>0</v>
      </c>
      <c r="AM720" s="471">
        <v>0</v>
      </c>
      <c r="AN720" s="477">
        <v>371.33851121618227</v>
      </c>
      <c r="AO720" s="473">
        <v>0.11792031369139921</v>
      </c>
      <c r="AP720" s="474">
        <v>5.3898566805337675E-3</v>
      </c>
      <c r="AQ720" s="352"/>
      <c r="AR720" s="352"/>
      <c r="AS720" s="352"/>
      <c r="AT720" s="352"/>
      <c r="AU720" s="352"/>
      <c r="AV720" s="352"/>
      <c r="AW720" s="352" t="s">
        <v>254</v>
      </c>
    </row>
    <row r="721" spans="2:49" x14ac:dyDescent="0.2">
      <c r="B721" s="460" t="s">
        <v>2581</v>
      </c>
      <c r="C721" s="460">
        <v>8000</v>
      </c>
      <c r="D721" s="460" t="s">
        <v>2286</v>
      </c>
      <c r="E721" s="460" t="s">
        <v>2274</v>
      </c>
      <c r="F721" s="460">
        <v>3</v>
      </c>
      <c r="G721" s="460">
        <v>1</v>
      </c>
      <c r="H721" s="461" t="s">
        <v>746</v>
      </c>
      <c r="I721" s="461" t="s">
        <v>762</v>
      </c>
      <c r="J721" s="461" t="s">
        <v>700</v>
      </c>
      <c r="K721" s="594"/>
      <c r="L721" s="594"/>
      <c r="M721" s="352">
        <v>8000</v>
      </c>
      <c r="N721" s="352" t="s">
        <v>760</v>
      </c>
      <c r="O721" s="460">
        <v>1411</v>
      </c>
      <c r="P721" s="460" t="s">
        <v>743</v>
      </c>
      <c r="Q721" s="460" t="s">
        <v>2553</v>
      </c>
      <c r="R721" s="460">
        <v>1411</v>
      </c>
      <c r="S721" s="460" t="s">
        <v>2265</v>
      </c>
      <c r="T721" s="462">
        <v>0.74223365950407583</v>
      </c>
      <c r="U721" s="460" t="s">
        <v>2274</v>
      </c>
      <c r="V721" s="475">
        <v>0</v>
      </c>
      <c r="W721" s="463" t="s">
        <v>2268</v>
      </c>
      <c r="X721" s="463" t="s">
        <v>2268</v>
      </c>
      <c r="Y721" s="463" t="s">
        <v>2554</v>
      </c>
      <c r="Z721" s="463"/>
      <c r="AA721" s="463"/>
      <c r="AB721" s="464">
        <v>0</v>
      </c>
      <c r="AC721" s="465">
        <v>0</v>
      </c>
      <c r="AD721" s="465">
        <v>0</v>
      </c>
      <c r="AE721" s="476">
        <v>0</v>
      </c>
      <c r="AF721" s="467">
        <v>0</v>
      </c>
      <c r="AG721" s="468">
        <v>0</v>
      </c>
      <c r="AH721" s="218">
        <v>0</v>
      </c>
      <c r="AI721" s="470">
        <v>0</v>
      </c>
      <c r="AJ721" s="471">
        <v>0</v>
      </c>
      <c r="AK721" s="218">
        <v>0</v>
      </c>
      <c r="AL721" s="470">
        <v>0</v>
      </c>
      <c r="AM721" s="471">
        <v>0</v>
      </c>
      <c r="AN721" s="477">
        <v>111.73503531084641</v>
      </c>
      <c r="AO721" s="473">
        <v>8.7524425961035823E-2</v>
      </c>
      <c r="AP721" s="474">
        <v>5.6409645098306656E-3</v>
      </c>
      <c r="AQ721" s="352"/>
      <c r="AR721" s="352"/>
      <c r="AS721" s="352"/>
      <c r="AT721" s="352"/>
      <c r="AU721" s="352"/>
      <c r="AV721" s="352"/>
      <c r="AW721" s="352" t="s">
        <v>254</v>
      </c>
    </row>
    <row r="722" spans="2:49" x14ac:dyDescent="0.2">
      <c r="B722" s="460" t="s">
        <v>2582</v>
      </c>
      <c r="C722" s="460">
        <v>8000</v>
      </c>
      <c r="D722" s="460" t="s">
        <v>2287</v>
      </c>
      <c r="E722" s="460" t="s">
        <v>2277</v>
      </c>
      <c r="F722" s="460">
        <v>4</v>
      </c>
      <c r="G722" s="460">
        <v>1</v>
      </c>
      <c r="H722" s="461" t="s">
        <v>746</v>
      </c>
      <c r="I722" s="461" t="s">
        <v>762</v>
      </c>
      <c r="J722" s="461" t="s">
        <v>700</v>
      </c>
      <c r="K722" s="594"/>
      <c r="L722" s="594"/>
      <c r="M722" s="352">
        <v>8000</v>
      </c>
      <c r="N722" s="352" t="s">
        <v>760</v>
      </c>
      <c r="O722" s="460">
        <v>1411</v>
      </c>
      <c r="P722" s="460" t="s">
        <v>743</v>
      </c>
      <c r="Q722" s="460" t="s">
        <v>2553</v>
      </c>
      <c r="R722" s="460">
        <v>1411</v>
      </c>
      <c r="S722" s="460" t="s">
        <v>2277</v>
      </c>
      <c r="T722" s="462">
        <v>1</v>
      </c>
      <c r="U722" s="460" t="s">
        <v>2277</v>
      </c>
      <c r="V722" s="475">
        <v>0</v>
      </c>
      <c r="W722" s="463" t="s">
        <v>2268</v>
      </c>
      <c r="X722" s="463" t="s">
        <v>2268</v>
      </c>
      <c r="Y722" s="463" t="s">
        <v>2554</v>
      </c>
      <c r="Z722" s="463"/>
      <c r="AA722" s="463"/>
      <c r="AB722" s="464">
        <v>0</v>
      </c>
      <c r="AC722" s="465">
        <v>0</v>
      </c>
      <c r="AD722" s="465">
        <v>0</v>
      </c>
      <c r="AE722" s="476">
        <v>0</v>
      </c>
      <c r="AF722" s="467">
        <v>0</v>
      </c>
      <c r="AG722" s="468">
        <v>0</v>
      </c>
      <c r="AH722" s="218">
        <v>0</v>
      </c>
      <c r="AI722" s="470">
        <v>0</v>
      </c>
      <c r="AJ722" s="471">
        <v>0</v>
      </c>
      <c r="AK722" s="218">
        <v>0</v>
      </c>
      <c r="AL722" s="470">
        <v>0</v>
      </c>
      <c r="AM722" s="471">
        <v>0</v>
      </c>
      <c r="AN722" s="477">
        <v>0.89696358185567726</v>
      </c>
      <c r="AO722" s="473">
        <v>6.1971188625463837E-4</v>
      </c>
      <c r="AP722" s="474">
        <v>4.7018171047426933E-3</v>
      </c>
      <c r="AQ722" s="352"/>
      <c r="AR722" s="352"/>
      <c r="AS722" s="352"/>
      <c r="AT722" s="352"/>
      <c r="AU722" s="352"/>
      <c r="AV722" s="352"/>
      <c r="AW722" s="352" t="s">
        <v>254</v>
      </c>
    </row>
    <row r="723" spans="2:49" x14ac:dyDescent="0.2">
      <c r="B723" s="460" t="s">
        <v>2579</v>
      </c>
      <c r="C723" s="460">
        <v>8000</v>
      </c>
      <c r="D723" s="460" t="s">
        <v>2288</v>
      </c>
      <c r="E723" s="460" t="s">
        <v>2265</v>
      </c>
      <c r="F723" s="460">
        <v>1</v>
      </c>
      <c r="G723" s="460">
        <v>1</v>
      </c>
      <c r="H723" s="461" t="s">
        <v>748</v>
      </c>
      <c r="I723" s="461" t="s">
        <v>765</v>
      </c>
      <c r="J723" s="461" t="s">
        <v>700</v>
      </c>
      <c r="K723" s="594"/>
      <c r="L723" s="594"/>
      <c r="M723" s="352">
        <v>8000</v>
      </c>
      <c r="N723" s="352" t="s">
        <v>760</v>
      </c>
      <c r="O723" s="460">
        <v>1411</v>
      </c>
      <c r="P723" s="460" t="s">
        <v>743</v>
      </c>
      <c r="Q723" s="460" t="s">
        <v>2553</v>
      </c>
      <c r="R723" s="460">
        <v>1411</v>
      </c>
      <c r="S723" s="460" t="s">
        <v>2265</v>
      </c>
      <c r="T723" s="462">
        <v>1</v>
      </c>
      <c r="U723" s="460" t="s">
        <v>2265</v>
      </c>
      <c r="V723" s="475">
        <v>0</v>
      </c>
      <c r="W723" s="463" t="s">
        <v>2268</v>
      </c>
      <c r="X723" s="463" t="s">
        <v>2268</v>
      </c>
      <c r="Y723" s="463" t="s">
        <v>2554</v>
      </c>
      <c r="Z723" s="463"/>
      <c r="AA723" s="463"/>
      <c r="AB723" s="464">
        <v>0</v>
      </c>
      <c r="AC723" s="465">
        <v>0</v>
      </c>
      <c r="AD723" s="465">
        <v>0</v>
      </c>
      <c r="AE723" s="476">
        <v>0</v>
      </c>
      <c r="AF723" s="467">
        <v>0</v>
      </c>
      <c r="AG723" s="468">
        <v>0</v>
      </c>
      <c r="AH723" s="218">
        <v>0</v>
      </c>
      <c r="AI723" s="470">
        <v>0</v>
      </c>
      <c r="AJ723" s="471">
        <v>0</v>
      </c>
      <c r="AK723" s="218">
        <v>0</v>
      </c>
      <c r="AL723" s="470">
        <v>0</v>
      </c>
      <c r="AM723" s="471">
        <v>0</v>
      </c>
      <c r="AN723" s="477">
        <v>35.490752447290681</v>
      </c>
      <c r="AO723" s="473">
        <v>1.0720028517399937E-2</v>
      </c>
      <c r="AP723" s="474">
        <v>2.203997450566232E-3</v>
      </c>
      <c r="AQ723" s="352"/>
      <c r="AR723" s="352"/>
      <c r="AS723" s="352"/>
      <c r="AT723" s="352"/>
      <c r="AU723" s="352"/>
      <c r="AV723" s="352"/>
      <c r="AW723" s="352" t="s">
        <v>254</v>
      </c>
    </row>
    <row r="724" spans="2:49" x14ac:dyDescent="0.2">
      <c r="B724" s="460" t="s">
        <v>2580</v>
      </c>
      <c r="C724" s="460">
        <v>8000</v>
      </c>
      <c r="D724" s="460" t="s">
        <v>2291</v>
      </c>
      <c r="E724" s="460" t="s">
        <v>2271</v>
      </c>
      <c r="F724" s="460">
        <v>2</v>
      </c>
      <c r="G724" s="460">
        <v>1</v>
      </c>
      <c r="H724" s="461" t="s">
        <v>748</v>
      </c>
      <c r="I724" s="461" t="s">
        <v>765</v>
      </c>
      <c r="J724" s="461" t="s">
        <v>700</v>
      </c>
      <c r="K724" s="594"/>
      <c r="L724" s="594"/>
      <c r="M724" s="352">
        <v>8000</v>
      </c>
      <c r="N724" s="352" t="s">
        <v>760</v>
      </c>
      <c r="O724" s="460">
        <v>1411</v>
      </c>
      <c r="P724" s="460" t="s">
        <v>743</v>
      </c>
      <c r="Q724" s="460" t="s">
        <v>2553</v>
      </c>
      <c r="R724" s="460">
        <v>1411</v>
      </c>
      <c r="S724" s="460" t="s">
        <v>2265</v>
      </c>
      <c r="T724" s="462">
        <v>1</v>
      </c>
      <c r="U724" s="460" t="s">
        <v>2271</v>
      </c>
      <c r="V724" s="475">
        <v>0</v>
      </c>
      <c r="W724" s="463" t="s">
        <v>2268</v>
      </c>
      <c r="X724" s="463" t="s">
        <v>2268</v>
      </c>
      <c r="Y724" s="463" t="s">
        <v>2554</v>
      </c>
      <c r="Z724" s="463"/>
      <c r="AA724" s="463"/>
      <c r="AB724" s="464">
        <v>0</v>
      </c>
      <c r="AC724" s="465">
        <v>0</v>
      </c>
      <c r="AD724" s="465">
        <v>0</v>
      </c>
      <c r="AE724" s="476">
        <v>0</v>
      </c>
      <c r="AF724" s="467">
        <v>0</v>
      </c>
      <c r="AG724" s="468">
        <v>0</v>
      </c>
      <c r="AH724" s="218">
        <v>0</v>
      </c>
      <c r="AI724" s="470">
        <v>0</v>
      </c>
      <c r="AJ724" s="471">
        <v>0</v>
      </c>
      <c r="AK724" s="218">
        <v>0</v>
      </c>
      <c r="AL724" s="470">
        <v>0</v>
      </c>
      <c r="AM724" s="471">
        <v>0</v>
      </c>
      <c r="AN724" s="477">
        <v>33.758046474198416</v>
      </c>
      <c r="AO724" s="473">
        <v>1.0720028517399937E-2</v>
      </c>
      <c r="AP724" s="474">
        <v>2.1471493984683535E-3</v>
      </c>
      <c r="AQ724" s="352"/>
      <c r="AR724" s="352"/>
      <c r="AS724" s="352"/>
      <c r="AT724" s="352"/>
      <c r="AU724" s="352"/>
      <c r="AV724" s="352"/>
      <c r="AW724" s="352" t="s">
        <v>254</v>
      </c>
    </row>
    <row r="725" spans="2:49" x14ac:dyDescent="0.2">
      <c r="B725" s="460" t="s">
        <v>2581</v>
      </c>
      <c r="C725" s="460">
        <v>8000</v>
      </c>
      <c r="D725" s="460" t="s">
        <v>2292</v>
      </c>
      <c r="E725" s="460" t="s">
        <v>2274</v>
      </c>
      <c r="F725" s="460">
        <v>3</v>
      </c>
      <c r="G725" s="460">
        <v>1</v>
      </c>
      <c r="H725" s="461" t="s">
        <v>748</v>
      </c>
      <c r="I725" s="461" t="s">
        <v>765</v>
      </c>
      <c r="J725" s="461" t="s">
        <v>700</v>
      </c>
      <c r="K725" s="594"/>
      <c r="L725" s="594"/>
      <c r="M725" s="352">
        <v>8000</v>
      </c>
      <c r="N725" s="352" t="s">
        <v>760</v>
      </c>
      <c r="O725" s="460">
        <v>1411</v>
      </c>
      <c r="P725" s="460" t="s">
        <v>743</v>
      </c>
      <c r="Q725" s="460" t="s">
        <v>2553</v>
      </c>
      <c r="R725" s="460">
        <v>1411</v>
      </c>
      <c r="S725" s="460" t="s">
        <v>2265</v>
      </c>
      <c r="T725" s="462">
        <v>0.74223365950407583</v>
      </c>
      <c r="U725" s="460" t="s">
        <v>2274</v>
      </c>
      <c r="V725" s="475">
        <v>0</v>
      </c>
      <c r="W725" s="463" t="s">
        <v>2268</v>
      </c>
      <c r="X725" s="463" t="s">
        <v>2268</v>
      </c>
      <c r="Y725" s="463" t="s">
        <v>2554</v>
      </c>
      <c r="Z725" s="463"/>
      <c r="AA725" s="463"/>
      <c r="AB725" s="464">
        <v>0</v>
      </c>
      <c r="AC725" s="465">
        <v>0</v>
      </c>
      <c r="AD725" s="465">
        <v>0</v>
      </c>
      <c r="AE725" s="476">
        <v>0</v>
      </c>
      <c r="AF725" s="467">
        <v>0</v>
      </c>
      <c r="AG725" s="468">
        <v>0</v>
      </c>
      <c r="AH725" s="218">
        <v>0</v>
      </c>
      <c r="AI725" s="470">
        <v>0</v>
      </c>
      <c r="AJ725" s="471">
        <v>0</v>
      </c>
      <c r="AK725" s="218">
        <v>0</v>
      </c>
      <c r="AL725" s="470">
        <v>0</v>
      </c>
      <c r="AM725" s="471">
        <v>0</v>
      </c>
      <c r="AN725" s="477">
        <v>10.157730482804226</v>
      </c>
      <c r="AO725" s="473">
        <v>7.956765996457808E-3</v>
      </c>
      <c r="AP725" s="474">
        <v>1.4301758396903287E-3</v>
      </c>
      <c r="AQ725" s="352"/>
      <c r="AR725" s="352"/>
      <c r="AS725" s="352"/>
      <c r="AT725" s="352"/>
      <c r="AU725" s="352"/>
      <c r="AV725" s="352"/>
      <c r="AW725" s="352" t="s">
        <v>254</v>
      </c>
    </row>
    <row r="726" spans="2:49" x14ac:dyDescent="0.2">
      <c r="B726" s="460" t="s">
        <v>2582</v>
      </c>
      <c r="C726" s="460">
        <v>8000</v>
      </c>
      <c r="D726" s="460" t="s">
        <v>2293</v>
      </c>
      <c r="E726" s="460" t="s">
        <v>2277</v>
      </c>
      <c r="F726" s="460">
        <v>4</v>
      </c>
      <c r="G726" s="460">
        <v>1</v>
      </c>
      <c r="H726" s="461" t="s">
        <v>748</v>
      </c>
      <c r="I726" s="461" t="s">
        <v>765</v>
      </c>
      <c r="J726" s="461" t="s">
        <v>700</v>
      </c>
      <c r="K726" s="594"/>
      <c r="L726" s="594"/>
      <c r="M726" s="352">
        <v>8000</v>
      </c>
      <c r="N726" s="352" t="s">
        <v>760</v>
      </c>
      <c r="O726" s="460">
        <v>1411</v>
      </c>
      <c r="P726" s="460" t="s">
        <v>743</v>
      </c>
      <c r="Q726" s="460" t="s">
        <v>2553</v>
      </c>
      <c r="R726" s="460">
        <v>1411</v>
      </c>
      <c r="S726" s="460" t="s">
        <v>2277</v>
      </c>
      <c r="T726" s="462">
        <v>1</v>
      </c>
      <c r="U726" s="460" t="s">
        <v>2277</v>
      </c>
      <c r="V726" s="475">
        <v>0</v>
      </c>
      <c r="W726" s="463" t="s">
        <v>2268</v>
      </c>
      <c r="X726" s="463" t="s">
        <v>2268</v>
      </c>
      <c r="Y726" s="463" t="s">
        <v>2554</v>
      </c>
      <c r="Z726" s="463"/>
      <c r="AA726" s="463"/>
      <c r="AB726" s="464">
        <v>0</v>
      </c>
      <c r="AC726" s="465">
        <v>0</v>
      </c>
      <c r="AD726" s="465">
        <v>0</v>
      </c>
      <c r="AE726" s="476">
        <v>0</v>
      </c>
      <c r="AF726" s="467">
        <v>0</v>
      </c>
      <c r="AG726" s="468">
        <v>0</v>
      </c>
      <c r="AH726" s="218">
        <v>0</v>
      </c>
      <c r="AI726" s="470">
        <v>0</v>
      </c>
      <c r="AJ726" s="471">
        <v>0</v>
      </c>
      <c r="AK726" s="218">
        <v>0</v>
      </c>
      <c r="AL726" s="470">
        <v>0</v>
      </c>
      <c r="AM726" s="471">
        <v>0</v>
      </c>
      <c r="AN726" s="477">
        <v>8.154214380506164E-2</v>
      </c>
      <c r="AO726" s="473">
        <v>5.6337444204967175E-5</v>
      </c>
      <c r="AP726" s="474">
        <v>1.9689303301274621E-3</v>
      </c>
      <c r="AQ726" s="352"/>
      <c r="AR726" s="352"/>
      <c r="AS726" s="352"/>
      <c r="AT726" s="352"/>
      <c r="AU726" s="352"/>
      <c r="AV726" s="352"/>
      <c r="AW726" s="352" t="s">
        <v>254</v>
      </c>
    </row>
    <row r="727" spans="2:49" x14ac:dyDescent="0.2">
      <c r="B727" s="460" t="s">
        <v>2583</v>
      </c>
      <c r="C727" s="460">
        <v>8000</v>
      </c>
      <c r="D727" s="460" t="s">
        <v>2295</v>
      </c>
      <c r="E727" s="460" t="s">
        <v>2296</v>
      </c>
      <c r="F727" s="460">
        <v>1</v>
      </c>
      <c r="G727" s="460">
        <v>2</v>
      </c>
      <c r="H727" s="461" t="s">
        <v>700</v>
      </c>
      <c r="I727" s="461" t="s">
        <v>872</v>
      </c>
      <c r="J727" s="461" t="s">
        <v>700</v>
      </c>
      <c r="K727" s="594"/>
      <c r="L727" s="594"/>
      <c r="M727" s="352">
        <v>8000</v>
      </c>
      <c r="N727" s="352" t="s">
        <v>760</v>
      </c>
      <c r="O727" s="460">
        <v>1411</v>
      </c>
      <c r="P727" s="460" t="s">
        <v>743</v>
      </c>
      <c r="Q727" s="460" t="s">
        <v>2553</v>
      </c>
      <c r="R727" s="460">
        <v>1411</v>
      </c>
      <c r="S727" s="460" t="s">
        <v>2296</v>
      </c>
      <c r="T727" s="462">
        <v>1</v>
      </c>
      <c r="U727" s="460" t="s">
        <v>2296</v>
      </c>
      <c r="V727" s="475">
        <v>0</v>
      </c>
      <c r="W727" s="463" t="s">
        <v>2554</v>
      </c>
      <c r="X727" s="463" t="s">
        <v>2554</v>
      </c>
      <c r="Y727" s="463" t="s">
        <v>2268</v>
      </c>
      <c r="Z727" s="463"/>
      <c r="AA727" s="463"/>
      <c r="AB727" s="464">
        <v>274.25060920408185</v>
      </c>
      <c r="AC727" s="465">
        <v>0.11799258104771215</v>
      </c>
      <c r="AD727" s="465">
        <v>1.602E-2</v>
      </c>
      <c r="AE727" s="476">
        <v>164.55036552244908</v>
      </c>
      <c r="AF727" s="467">
        <v>7.0795548628627289E-2</v>
      </c>
      <c r="AG727" s="468">
        <v>1.068426160635831E-2</v>
      </c>
      <c r="AH727" s="218">
        <v>164.55036552244908</v>
      </c>
      <c r="AI727" s="470">
        <v>7.0795548628627289E-2</v>
      </c>
      <c r="AJ727" s="471">
        <v>9.815979456126972E-3</v>
      </c>
      <c r="AK727" s="218">
        <v>164.55036552244908</v>
      </c>
      <c r="AL727" s="470">
        <v>7.0795548628627289E-2</v>
      </c>
      <c r="AM727" s="471">
        <v>9.815979456126972E-3</v>
      </c>
      <c r="AN727" s="477">
        <v>0</v>
      </c>
      <c r="AO727" s="473">
        <v>0</v>
      </c>
      <c r="AP727" s="474">
        <v>0</v>
      </c>
      <c r="AQ727" s="352"/>
      <c r="AR727" s="352"/>
      <c r="AS727" s="352"/>
      <c r="AT727" s="352"/>
      <c r="AU727" s="352"/>
      <c r="AV727" s="352"/>
      <c r="AW727" s="352" t="s">
        <v>254</v>
      </c>
    </row>
    <row r="728" spans="2:49" x14ac:dyDescent="0.2">
      <c r="B728" s="460" t="s">
        <v>2584</v>
      </c>
      <c r="C728" s="460">
        <v>8000</v>
      </c>
      <c r="D728" s="460" t="s">
        <v>2298</v>
      </c>
      <c r="E728" s="460" t="s">
        <v>2299</v>
      </c>
      <c r="F728" s="460">
        <v>2</v>
      </c>
      <c r="G728" s="460">
        <v>2</v>
      </c>
      <c r="H728" s="461" t="s">
        <v>700</v>
      </c>
      <c r="I728" s="461" t="s">
        <v>872</v>
      </c>
      <c r="J728" s="461" t="s">
        <v>700</v>
      </c>
      <c r="K728" s="594"/>
      <c r="L728" s="594"/>
      <c r="M728" s="352">
        <v>8000</v>
      </c>
      <c r="N728" s="352" t="s">
        <v>760</v>
      </c>
      <c r="O728" s="460">
        <v>1411</v>
      </c>
      <c r="P728" s="460" t="s">
        <v>743</v>
      </c>
      <c r="Q728" s="460" t="s">
        <v>2553</v>
      </c>
      <c r="R728" s="460">
        <v>1411</v>
      </c>
      <c r="S728" s="460" t="s">
        <v>2296</v>
      </c>
      <c r="T728" s="462">
        <v>0.55517361979372948</v>
      </c>
      <c r="U728" s="460" t="s">
        <v>2299</v>
      </c>
      <c r="V728" s="475">
        <v>0</v>
      </c>
      <c r="W728" s="463" t="s">
        <v>2554</v>
      </c>
      <c r="X728" s="463" t="s">
        <v>2554</v>
      </c>
      <c r="Y728" s="463" t="s">
        <v>2268</v>
      </c>
      <c r="Z728" s="463"/>
      <c r="AA728" s="463"/>
      <c r="AB728" s="464">
        <v>52.944774867082174</v>
      </c>
      <c r="AC728" s="465">
        <v>3.0838480352415262E-2</v>
      </c>
      <c r="AD728" s="465">
        <v>1.6020000000000003E-2</v>
      </c>
      <c r="AE728" s="476">
        <v>31.766864920249304</v>
      </c>
      <c r="AF728" s="467">
        <v>1.8503088211449158E-2</v>
      </c>
      <c r="AG728" s="468">
        <v>1.0786519401109605E-2</v>
      </c>
      <c r="AH728" s="218">
        <v>67.4784208023556</v>
      </c>
      <c r="AI728" s="470">
        <v>3.930382099743801E-2</v>
      </c>
      <c r="AJ728" s="471">
        <v>1.5890329927351288E-2</v>
      </c>
      <c r="AK728" s="218">
        <v>67.4784208023556</v>
      </c>
      <c r="AL728" s="470">
        <v>3.930382099743801E-2</v>
      </c>
      <c r="AM728" s="471">
        <v>1.5890329927351288E-2</v>
      </c>
      <c r="AN728" s="477">
        <v>0</v>
      </c>
      <c r="AO728" s="473">
        <v>0</v>
      </c>
      <c r="AP728" s="474">
        <v>0</v>
      </c>
      <c r="AQ728" s="352"/>
      <c r="AR728" s="352"/>
      <c r="AS728" s="352"/>
      <c r="AT728" s="352"/>
      <c r="AU728" s="352"/>
      <c r="AV728" s="352"/>
      <c r="AW728" s="352" t="s">
        <v>254</v>
      </c>
    </row>
    <row r="729" spans="2:49" x14ac:dyDescent="0.2">
      <c r="B729" s="460" t="s">
        <v>2585</v>
      </c>
      <c r="C729" s="460">
        <v>8000</v>
      </c>
      <c r="D729" s="460" t="s">
        <v>2301</v>
      </c>
      <c r="E729" s="460" t="s">
        <v>2302</v>
      </c>
      <c r="F729" s="460">
        <v>3</v>
      </c>
      <c r="G729" s="460">
        <v>2</v>
      </c>
      <c r="H729" s="461" t="s">
        <v>700</v>
      </c>
      <c r="I729" s="461" t="s">
        <v>872</v>
      </c>
      <c r="J729" s="461" t="s">
        <v>700</v>
      </c>
      <c r="K729" s="594"/>
      <c r="L729" s="594"/>
      <c r="M729" s="352">
        <v>8000</v>
      </c>
      <c r="N729" s="352" t="s">
        <v>760</v>
      </c>
      <c r="O729" s="460">
        <v>1411</v>
      </c>
      <c r="P729" s="460" t="s">
        <v>743</v>
      </c>
      <c r="Q729" s="460" t="s">
        <v>2553</v>
      </c>
      <c r="R729" s="460">
        <v>1411</v>
      </c>
      <c r="S729" s="460" t="s">
        <v>2296</v>
      </c>
      <c r="T729" s="462">
        <v>0.28481449642268464</v>
      </c>
      <c r="U729" s="460" t="s">
        <v>2302</v>
      </c>
      <c r="V729" s="475">
        <v>0</v>
      </c>
      <c r="W729" s="463" t="s">
        <v>2554</v>
      </c>
      <c r="X729" s="463" t="s">
        <v>2554</v>
      </c>
      <c r="Y729" s="463" t="s">
        <v>2268</v>
      </c>
      <c r="Z729" s="463"/>
      <c r="AA729" s="463"/>
      <c r="AB729" s="464">
        <v>8.2359201113485039</v>
      </c>
      <c r="AC729" s="465">
        <v>1.8191114454138749E-2</v>
      </c>
      <c r="AD729" s="465">
        <v>1.602E-2</v>
      </c>
      <c r="AE729" s="476">
        <v>4.941552066809102</v>
      </c>
      <c r="AF729" s="467">
        <v>1.0914668672483249E-2</v>
      </c>
      <c r="AG729" s="468">
        <v>1.0846550548174655E-2</v>
      </c>
      <c r="AH729" s="218">
        <v>9.1289506798758886</v>
      </c>
      <c r="AI729" s="470">
        <v>2.0163598531630165E-2</v>
      </c>
      <c r="AJ729" s="471">
        <v>9.4769364422180955E-3</v>
      </c>
      <c r="AK729" s="218">
        <v>9.1289506798758886</v>
      </c>
      <c r="AL729" s="470">
        <v>2.0163598531630165E-2</v>
      </c>
      <c r="AM729" s="471">
        <v>9.4769364422180955E-3</v>
      </c>
      <c r="AN729" s="477">
        <v>0</v>
      </c>
      <c r="AO729" s="473">
        <v>0</v>
      </c>
      <c r="AP729" s="474">
        <v>0</v>
      </c>
      <c r="AQ729" s="352"/>
      <c r="AR729" s="352"/>
      <c r="AS729" s="352"/>
      <c r="AT729" s="352"/>
      <c r="AU729" s="352"/>
      <c r="AV729" s="352"/>
      <c r="AW729" s="352" t="s">
        <v>254</v>
      </c>
    </row>
    <row r="730" spans="2:49" x14ac:dyDescent="0.2">
      <c r="B730" s="460" t="s">
        <v>2586</v>
      </c>
      <c r="C730" s="460">
        <v>8000</v>
      </c>
      <c r="D730" s="460" t="s">
        <v>2304</v>
      </c>
      <c r="E730" s="460" t="s">
        <v>2305</v>
      </c>
      <c r="F730" s="460">
        <v>4</v>
      </c>
      <c r="G730" s="460">
        <v>2</v>
      </c>
      <c r="H730" s="461" t="s">
        <v>700</v>
      </c>
      <c r="I730" s="461" t="s">
        <v>872</v>
      </c>
      <c r="J730" s="461" t="s">
        <v>700</v>
      </c>
      <c r="K730" s="594"/>
      <c r="L730" s="594"/>
      <c r="M730" s="352">
        <v>8000</v>
      </c>
      <c r="N730" s="352" t="s">
        <v>760</v>
      </c>
      <c r="O730" s="460">
        <v>1411</v>
      </c>
      <c r="P730" s="460" t="s">
        <v>743</v>
      </c>
      <c r="Q730" s="460" t="s">
        <v>2553</v>
      </c>
      <c r="R730" s="460">
        <v>1411</v>
      </c>
      <c r="S730" s="460" t="s">
        <v>2305</v>
      </c>
      <c r="T730" s="462">
        <v>1</v>
      </c>
      <c r="U730" s="460" t="s">
        <v>2305</v>
      </c>
      <c r="V730" s="475">
        <v>0</v>
      </c>
      <c r="W730" s="463" t="s">
        <v>2554</v>
      </c>
      <c r="X730" s="463" t="s">
        <v>2554</v>
      </c>
      <c r="Y730" s="463" t="s">
        <v>2268</v>
      </c>
      <c r="Z730" s="463"/>
      <c r="AA730" s="463"/>
      <c r="AB730" s="464">
        <v>0.20234146702572822</v>
      </c>
      <c r="AC730" s="465">
        <v>3.9351891810450001E-4</v>
      </c>
      <c r="AD730" s="465">
        <v>1.6020000000000003E-2</v>
      </c>
      <c r="AE730" s="476">
        <v>0.12140488021543694</v>
      </c>
      <c r="AF730" s="467">
        <v>2.3611135086270001E-4</v>
      </c>
      <c r="AG730" s="468">
        <v>1.0673349674621189E-2</v>
      </c>
      <c r="AH730" s="218">
        <v>0.12140488021543694</v>
      </c>
      <c r="AI730" s="470">
        <v>2.3611135086270001E-4</v>
      </c>
      <c r="AJ730" s="471">
        <v>1.062905729041975E-2</v>
      </c>
      <c r="AK730" s="218">
        <v>0.12140488021543694</v>
      </c>
      <c r="AL730" s="470">
        <v>2.3611135086270001E-4</v>
      </c>
      <c r="AM730" s="471">
        <v>1.062905729041975E-2</v>
      </c>
      <c r="AN730" s="477">
        <v>0</v>
      </c>
      <c r="AO730" s="473">
        <v>0</v>
      </c>
      <c r="AP730" s="474">
        <v>0</v>
      </c>
      <c r="AQ730" s="352"/>
      <c r="AR730" s="352"/>
      <c r="AS730" s="352"/>
      <c r="AT730" s="352"/>
      <c r="AU730" s="352"/>
      <c r="AV730" s="352"/>
      <c r="AW730" s="352" t="s">
        <v>254</v>
      </c>
    </row>
    <row r="731" spans="2:49" x14ac:dyDescent="0.2">
      <c r="B731" s="460" t="s">
        <v>2583</v>
      </c>
      <c r="C731" s="460">
        <v>8000</v>
      </c>
      <c r="D731" s="460" t="s">
        <v>2306</v>
      </c>
      <c r="E731" s="460" t="s">
        <v>2296</v>
      </c>
      <c r="F731" s="460">
        <v>1</v>
      </c>
      <c r="G731" s="460">
        <v>2</v>
      </c>
      <c r="H731" s="461" t="s">
        <v>712</v>
      </c>
      <c r="I731" s="461" t="s">
        <v>713</v>
      </c>
      <c r="J731" s="461" t="s">
        <v>712</v>
      </c>
      <c r="K731" s="594"/>
      <c r="L731" s="594"/>
      <c r="M731" s="352">
        <v>8000</v>
      </c>
      <c r="N731" s="352" t="s">
        <v>760</v>
      </c>
      <c r="O731" s="460">
        <v>1411</v>
      </c>
      <c r="P731" s="460" t="s">
        <v>743</v>
      </c>
      <c r="Q731" s="460" t="s">
        <v>2280</v>
      </c>
      <c r="R731" s="460">
        <v>1411</v>
      </c>
      <c r="S731" s="460" t="s">
        <v>2296</v>
      </c>
      <c r="T731" s="462">
        <v>1</v>
      </c>
      <c r="U731" s="460" t="s">
        <v>2296</v>
      </c>
      <c r="V731" s="475">
        <v>0</v>
      </c>
      <c r="W731" s="463" t="s">
        <v>713</v>
      </c>
      <c r="X731" s="463" t="s">
        <v>713</v>
      </c>
      <c r="Y731" s="463" t="s">
        <v>713</v>
      </c>
      <c r="Z731" s="463"/>
      <c r="AA731" s="463"/>
      <c r="AB731" s="464">
        <v>2050.0532306550049</v>
      </c>
      <c r="AC731" s="465">
        <v>0.88200741895228796</v>
      </c>
      <c r="AD731" s="465">
        <v>1.7730862991615127E-2</v>
      </c>
      <c r="AE731" s="476">
        <v>2159.7534743366377</v>
      </c>
      <c r="AF731" s="467">
        <v>0.92920445137137275</v>
      </c>
      <c r="AG731" s="468">
        <v>1.8406150490907464E-2</v>
      </c>
      <c r="AH731" s="218">
        <v>2159.7534743366377</v>
      </c>
      <c r="AI731" s="470">
        <v>0.92920445137137275</v>
      </c>
      <c r="AJ731" s="471">
        <v>1.8622360143499425E-2</v>
      </c>
      <c r="AK731" s="218">
        <v>2159.7534743366377</v>
      </c>
      <c r="AL731" s="470">
        <v>0.92920445137137275</v>
      </c>
      <c r="AM731" s="471">
        <v>1.8622360143499425E-2</v>
      </c>
      <c r="AN731" s="477">
        <v>2159.7534743366373</v>
      </c>
      <c r="AO731" s="473">
        <v>0.92920445137137264</v>
      </c>
      <c r="AP731" s="474">
        <v>1.8617789959961037E-2</v>
      </c>
      <c r="AQ731" s="352"/>
      <c r="AR731" s="352"/>
      <c r="AS731" s="352"/>
      <c r="AT731" s="352"/>
      <c r="AU731" s="352"/>
      <c r="AV731" s="352"/>
      <c r="AW731" s="352" t="s">
        <v>254</v>
      </c>
    </row>
    <row r="732" spans="2:49" x14ac:dyDescent="0.2">
      <c r="B732" s="460" t="s">
        <v>2584</v>
      </c>
      <c r="C732" s="460">
        <v>8000</v>
      </c>
      <c r="D732" s="460" t="s">
        <v>2307</v>
      </c>
      <c r="E732" s="460" t="s">
        <v>2299</v>
      </c>
      <c r="F732" s="460">
        <v>2</v>
      </c>
      <c r="G732" s="460">
        <v>2</v>
      </c>
      <c r="H732" s="461" t="s">
        <v>712</v>
      </c>
      <c r="I732" s="461" t="s">
        <v>713</v>
      </c>
      <c r="J732" s="461" t="s">
        <v>712</v>
      </c>
      <c r="K732" s="594"/>
      <c r="L732" s="594"/>
      <c r="M732" s="352">
        <v>8000</v>
      </c>
      <c r="N732" s="352" t="s">
        <v>760</v>
      </c>
      <c r="O732" s="460">
        <v>1411</v>
      </c>
      <c r="P732" s="460" t="s">
        <v>743</v>
      </c>
      <c r="Q732" s="460" t="s">
        <v>2280</v>
      </c>
      <c r="R732" s="460">
        <v>1411</v>
      </c>
      <c r="S732" s="460" t="s">
        <v>2296</v>
      </c>
      <c r="T732" s="462">
        <v>0.55517361979372948</v>
      </c>
      <c r="U732" s="460" t="s">
        <v>2299</v>
      </c>
      <c r="V732" s="475">
        <v>0</v>
      </c>
      <c r="W732" s="463" t="s">
        <v>713</v>
      </c>
      <c r="X732" s="463" t="s">
        <v>713</v>
      </c>
      <c r="Y732" s="463" t="s">
        <v>713</v>
      </c>
      <c r="Z732" s="463"/>
      <c r="AA732" s="463"/>
      <c r="AB732" s="464">
        <v>1663.8964657531142</v>
      </c>
      <c r="AC732" s="465">
        <v>0.96916151964758468</v>
      </c>
      <c r="AD732" s="465">
        <v>1.9245878662834646E-2</v>
      </c>
      <c r="AE732" s="476">
        <v>1685.074375699947</v>
      </c>
      <c r="AF732" s="467">
        <v>0.98149691178855081</v>
      </c>
      <c r="AG732" s="468">
        <v>1.9410044617427159E-2</v>
      </c>
      <c r="AH732" s="218">
        <v>1649.3628198178408</v>
      </c>
      <c r="AI732" s="470">
        <v>0.96069617900256199</v>
      </c>
      <c r="AJ732" s="471">
        <v>1.9323771947582277E-2</v>
      </c>
      <c r="AK732" s="218">
        <v>1649.3628198178408</v>
      </c>
      <c r="AL732" s="470">
        <v>0.96069617900256199</v>
      </c>
      <c r="AM732" s="471">
        <v>1.9323771947582277E-2</v>
      </c>
      <c r="AN732" s="477">
        <v>1649.3628198178408</v>
      </c>
      <c r="AO732" s="473">
        <v>0.96069617900256199</v>
      </c>
      <c r="AP732" s="474">
        <v>1.9321332617013458E-2</v>
      </c>
      <c r="AQ732" s="352"/>
      <c r="AR732" s="352"/>
      <c r="AS732" s="352"/>
      <c r="AT732" s="352"/>
      <c r="AU732" s="352"/>
      <c r="AV732" s="352"/>
      <c r="AW732" s="352" t="s">
        <v>254</v>
      </c>
    </row>
    <row r="733" spans="2:49" x14ac:dyDescent="0.2">
      <c r="B733" s="460" t="s">
        <v>2585</v>
      </c>
      <c r="C733" s="460">
        <v>8000</v>
      </c>
      <c r="D733" s="460" t="s">
        <v>2308</v>
      </c>
      <c r="E733" s="460" t="s">
        <v>2302</v>
      </c>
      <c r="F733" s="460">
        <v>3</v>
      </c>
      <c r="G733" s="460">
        <v>2</v>
      </c>
      <c r="H733" s="461" t="s">
        <v>712</v>
      </c>
      <c r="I733" s="461" t="s">
        <v>713</v>
      </c>
      <c r="J733" s="461" t="s">
        <v>712</v>
      </c>
      <c r="K733" s="594"/>
      <c r="L733" s="594"/>
      <c r="M733" s="352">
        <v>8000</v>
      </c>
      <c r="N733" s="352" t="s">
        <v>760</v>
      </c>
      <c r="O733" s="460">
        <v>1411</v>
      </c>
      <c r="P733" s="460" t="s">
        <v>743</v>
      </c>
      <c r="Q733" s="460" t="s">
        <v>2280</v>
      </c>
      <c r="R733" s="460">
        <v>1411</v>
      </c>
      <c r="S733" s="460" t="s">
        <v>2296</v>
      </c>
      <c r="T733" s="462">
        <v>0.28481449642268464</v>
      </c>
      <c r="U733" s="460" t="s">
        <v>2302</v>
      </c>
      <c r="V733" s="475">
        <v>0</v>
      </c>
      <c r="W733" s="463" t="s">
        <v>713</v>
      </c>
      <c r="X733" s="463" t="s">
        <v>713</v>
      </c>
      <c r="Y733" s="463" t="s">
        <v>713</v>
      </c>
      <c r="Z733" s="463"/>
      <c r="AA733" s="463"/>
      <c r="AB733" s="464">
        <v>444.50820021794277</v>
      </c>
      <c r="AC733" s="465">
        <v>0.98180888554586132</v>
      </c>
      <c r="AD733" s="465">
        <v>1.292963276276542E-2</v>
      </c>
      <c r="AE733" s="476">
        <v>447.80256826248217</v>
      </c>
      <c r="AF733" s="467">
        <v>0.98908533132751675</v>
      </c>
      <c r="AG733" s="468">
        <v>1.300332533886051E-2</v>
      </c>
      <c r="AH733" s="218">
        <v>443.61516964941535</v>
      </c>
      <c r="AI733" s="470">
        <v>0.97983640146836981</v>
      </c>
      <c r="AJ733" s="471">
        <v>1.3074481067920767E-2</v>
      </c>
      <c r="AK733" s="218">
        <v>443.61516964941535</v>
      </c>
      <c r="AL733" s="470">
        <v>0.97983640146836981</v>
      </c>
      <c r="AM733" s="471">
        <v>1.3074481067920767E-2</v>
      </c>
      <c r="AN733" s="477">
        <v>443.61516964941535</v>
      </c>
      <c r="AO733" s="473">
        <v>0.97983640146836981</v>
      </c>
      <c r="AP733" s="474">
        <v>1.3085850055234594E-2</v>
      </c>
      <c r="AQ733" s="352"/>
      <c r="AR733" s="352"/>
      <c r="AS733" s="352"/>
      <c r="AT733" s="352"/>
      <c r="AU733" s="352"/>
      <c r="AV733" s="352"/>
      <c r="AW733" s="352" t="s">
        <v>254</v>
      </c>
    </row>
    <row r="734" spans="2:49" x14ac:dyDescent="0.2">
      <c r="B734" s="460" t="s">
        <v>2586</v>
      </c>
      <c r="C734" s="460">
        <v>8000</v>
      </c>
      <c r="D734" s="460" t="s">
        <v>2309</v>
      </c>
      <c r="E734" s="460" t="s">
        <v>2305</v>
      </c>
      <c r="F734" s="460">
        <v>4</v>
      </c>
      <c r="G734" s="460">
        <v>2</v>
      </c>
      <c r="H734" s="461" t="s">
        <v>712</v>
      </c>
      <c r="I734" s="461" t="s">
        <v>713</v>
      </c>
      <c r="J734" s="461" t="s">
        <v>712</v>
      </c>
      <c r="K734" s="594"/>
      <c r="L734" s="594"/>
      <c r="M734" s="352">
        <v>8000</v>
      </c>
      <c r="N734" s="352" t="s">
        <v>760</v>
      </c>
      <c r="O734" s="460">
        <v>1411</v>
      </c>
      <c r="P734" s="460" t="s">
        <v>743</v>
      </c>
      <c r="Q734" s="460" t="s">
        <v>2280</v>
      </c>
      <c r="R734" s="460">
        <v>1411</v>
      </c>
      <c r="S734" s="460" t="s">
        <v>2305</v>
      </c>
      <c r="T734" s="462">
        <v>1</v>
      </c>
      <c r="U734" s="460" t="s">
        <v>2305</v>
      </c>
      <c r="V734" s="475">
        <v>0</v>
      </c>
      <c r="W734" s="463" t="s">
        <v>713</v>
      </c>
      <c r="X734" s="463" t="s">
        <v>713</v>
      </c>
      <c r="Y734" s="463" t="s">
        <v>713</v>
      </c>
      <c r="Z734" s="463"/>
      <c r="AA734" s="463"/>
      <c r="AB734" s="464">
        <v>513.98251145025108</v>
      </c>
      <c r="AC734" s="465">
        <v>0.99960648108189554</v>
      </c>
      <c r="AD734" s="465">
        <v>1.3127063186677395E-2</v>
      </c>
      <c r="AE734" s="476">
        <v>514.06344803706133</v>
      </c>
      <c r="AF734" s="467">
        <v>0.99976388864913734</v>
      </c>
      <c r="AG734" s="468">
        <v>1.3128709164147731E-2</v>
      </c>
      <c r="AH734" s="218">
        <v>514.06344803706133</v>
      </c>
      <c r="AI734" s="470">
        <v>0.99976388864913734</v>
      </c>
      <c r="AJ734" s="471">
        <v>1.312872505684364E-2</v>
      </c>
      <c r="AK734" s="218">
        <v>514.06344803706133</v>
      </c>
      <c r="AL734" s="470">
        <v>0.99976388864913734</v>
      </c>
      <c r="AM734" s="471">
        <v>1.312872505684364E-2</v>
      </c>
      <c r="AN734" s="477">
        <v>514.06344803706133</v>
      </c>
      <c r="AO734" s="473">
        <v>0.99976388864913734</v>
      </c>
      <c r="AP734" s="474">
        <v>1.3128741115885287E-2</v>
      </c>
      <c r="AQ734" s="352"/>
      <c r="AR734" s="352"/>
      <c r="AS734" s="352"/>
      <c r="AT734" s="352"/>
      <c r="AU734" s="352"/>
      <c r="AV734" s="352"/>
      <c r="AW734" s="352" t="s">
        <v>254</v>
      </c>
    </row>
    <row r="735" spans="2:49" x14ac:dyDescent="0.2">
      <c r="B735" s="460" t="s">
        <v>2583</v>
      </c>
      <c r="C735" s="460">
        <v>8000</v>
      </c>
      <c r="D735" s="460" t="s">
        <v>2310</v>
      </c>
      <c r="E735" s="460" t="s">
        <v>2296</v>
      </c>
      <c r="F735" s="460">
        <v>1</v>
      </c>
      <c r="G735" s="460">
        <v>2</v>
      </c>
      <c r="H735" s="461" t="s">
        <v>746</v>
      </c>
      <c r="I735" s="461" t="s">
        <v>762</v>
      </c>
      <c r="J735" s="461" t="s">
        <v>700</v>
      </c>
      <c r="K735" s="594"/>
      <c r="L735" s="594"/>
      <c r="M735" s="352">
        <v>8000</v>
      </c>
      <c r="N735" s="352" t="s">
        <v>760</v>
      </c>
      <c r="O735" s="460">
        <v>1411</v>
      </c>
      <c r="P735" s="460" t="s">
        <v>743</v>
      </c>
      <c r="Q735" s="460" t="s">
        <v>2553</v>
      </c>
      <c r="R735" s="460">
        <v>1411</v>
      </c>
      <c r="S735" s="460" t="s">
        <v>2296</v>
      </c>
      <c r="T735" s="462">
        <v>1</v>
      </c>
      <c r="U735" s="460" t="s">
        <v>2296</v>
      </c>
      <c r="V735" s="475">
        <v>0</v>
      </c>
      <c r="W735" s="463" t="s">
        <v>2268</v>
      </c>
      <c r="X735" s="463" t="s">
        <v>2268</v>
      </c>
      <c r="Y735" s="463" t="s">
        <v>2554</v>
      </c>
      <c r="Z735" s="463"/>
      <c r="AA735" s="463"/>
      <c r="AB735" s="464">
        <v>0</v>
      </c>
      <c r="AC735" s="465">
        <v>0</v>
      </c>
      <c r="AD735" s="465">
        <v>0</v>
      </c>
      <c r="AE735" s="476">
        <v>0</v>
      </c>
      <c r="AF735" s="467">
        <v>0</v>
      </c>
      <c r="AG735" s="468">
        <v>0</v>
      </c>
      <c r="AH735" s="218">
        <v>0</v>
      </c>
      <c r="AI735" s="470">
        <v>0</v>
      </c>
      <c r="AJ735" s="471">
        <v>0</v>
      </c>
      <c r="AK735" s="218">
        <v>0</v>
      </c>
      <c r="AL735" s="470">
        <v>0</v>
      </c>
      <c r="AM735" s="471">
        <v>0</v>
      </c>
      <c r="AN735" s="477">
        <v>150.83783506224503</v>
      </c>
      <c r="AO735" s="473">
        <v>6.489591957624169E-2</v>
      </c>
      <c r="AP735" s="474">
        <v>1.120506059454196E-2</v>
      </c>
      <c r="AQ735" s="352"/>
      <c r="AR735" s="352"/>
      <c r="AS735" s="352"/>
      <c r="AT735" s="352"/>
      <c r="AU735" s="352"/>
      <c r="AV735" s="352"/>
      <c r="AW735" s="352" t="s">
        <v>254</v>
      </c>
    </row>
    <row r="736" spans="2:49" x14ac:dyDescent="0.2">
      <c r="B736" s="460" t="s">
        <v>2584</v>
      </c>
      <c r="C736" s="460">
        <v>8000</v>
      </c>
      <c r="D736" s="460" t="s">
        <v>2311</v>
      </c>
      <c r="E736" s="460" t="s">
        <v>2299</v>
      </c>
      <c r="F736" s="460">
        <v>2</v>
      </c>
      <c r="G736" s="460">
        <v>2</v>
      </c>
      <c r="H736" s="461" t="s">
        <v>746</v>
      </c>
      <c r="I736" s="461" t="s">
        <v>762</v>
      </c>
      <c r="J736" s="461" t="s">
        <v>700</v>
      </c>
      <c r="K736" s="594"/>
      <c r="L736" s="594"/>
      <c r="M736" s="352">
        <v>8000</v>
      </c>
      <c r="N736" s="352" t="s">
        <v>760</v>
      </c>
      <c r="O736" s="460">
        <v>1411</v>
      </c>
      <c r="P736" s="460" t="s">
        <v>743</v>
      </c>
      <c r="Q736" s="460" t="s">
        <v>2553</v>
      </c>
      <c r="R736" s="460">
        <v>1411</v>
      </c>
      <c r="S736" s="460" t="s">
        <v>2296</v>
      </c>
      <c r="T736" s="462">
        <v>0.55517361979372948</v>
      </c>
      <c r="U736" s="460" t="s">
        <v>2299</v>
      </c>
      <c r="V736" s="475">
        <v>0</v>
      </c>
      <c r="W736" s="463" t="s">
        <v>2268</v>
      </c>
      <c r="X736" s="463" t="s">
        <v>2268</v>
      </c>
      <c r="Y736" s="463" t="s">
        <v>2554</v>
      </c>
      <c r="Z736" s="463"/>
      <c r="AA736" s="463"/>
      <c r="AB736" s="464">
        <v>0</v>
      </c>
      <c r="AC736" s="465">
        <v>0</v>
      </c>
      <c r="AD736" s="465">
        <v>0</v>
      </c>
      <c r="AE736" s="476">
        <v>0</v>
      </c>
      <c r="AF736" s="467">
        <v>0</v>
      </c>
      <c r="AG736" s="468">
        <v>0</v>
      </c>
      <c r="AH736" s="218">
        <v>0</v>
      </c>
      <c r="AI736" s="470">
        <v>0</v>
      </c>
      <c r="AJ736" s="471">
        <v>0</v>
      </c>
      <c r="AK736" s="218">
        <v>0</v>
      </c>
      <c r="AL736" s="470">
        <v>0</v>
      </c>
      <c r="AM736" s="471">
        <v>0</v>
      </c>
      <c r="AN736" s="477">
        <v>61.855219068825974</v>
      </c>
      <c r="AO736" s="473">
        <v>3.6028502580984847E-2</v>
      </c>
      <c r="AP736" s="474">
        <v>1.9596880964572821E-2</v>
      </c>
      <c r="AQ736" s="352"/>
      <c r="AR736" s="352"/>
      <c r="AS736" s="352"/>
      <c r="AT736" s="352"/>
      <c r="AU736" s="352"/>
      <c r="AV736" s="352"/>
      <c r="AW736" s="352" t="s">
        <v>254</v>
      </c>
    </row>
    <row r="737" spans="2:49" x14ac:dyDescent="0.2">
      <c r="B737" s="460" t="s">
        <v>2585</v>
      </c>
      <c r="C737" s="460">
        <v>8000</v>
      </c>
      <c r="D737" s="460" t="s">
        <v>2312</v>
      </c>
      <c r="E737" s="460" t="s">
        <v>2302</v>
      </c>
      <c r="F737" s="460">
        <v>3</v>
      </c>
      <c r="G737" s="460">
        <v>2</v>
      </c>
      <c r="H737" s="461" t="s">
        <v>746</v>
      </c>
      <c r="I737" s="461" t="s">
        <v>762</v>
      </c>
      <c r="J737" s="461" t="s">
        <v>700</v>
      </c>
      <c r="K737" s="594"/>
      <c r="L737" s="594"/>
      <c r="M737" s="352">
        <v>8000</v>
      </c>
      <c r="N737" s="352" t="s">
        <v>760</v>
      </c>
      <c r="O737" s="460">
        <v>1411</v>
      </c>
      <c r="P737" s="460" t="s">
        <v>743</v>
      </c>
      <c r="Q737" s="460" t="s">
        <v>2553</v>
      </c>
      <c r="R737" s="460">
        <v>1411</v>
      </c>
      <c r="S737" s="460" t="s">
        <v>2296</v>
      </c>
      <c r="T737" s="462">
        <v>0.28481449642268464</v>
      </c>
      <c r="U737" s="460" t="s">
        <v>2302</v>
      </c>
      <c r="V737" s="475">
        <v>0</v>
      </c>
      <c r="W737" s="463" t="s">
        <v>2268</v>
      </c>
      <c r="X737" s="463" t="s">
        <v>2268</v>
      </c>
      <c r="Y737" s="463" t="s">
        <v>2554</v>
      </c>
      <c r="Z737" s="463"/>
      <c r="AA737" s="463"/>
      <c r="AB737" s="464">
        <v>0</v>
      </c>
      <c r="AC737" s="465">
        <v>0</v>
      </c>
      <c r="AD737" s="465">
        <v>0</v>
      </c>
      <c r="AE737" s="476">
        <v>0</v>
      </c>
      <c r="AF737" s="467">
        <v>0</v>
      </c>
      <c r="AG737" s="468">
        <v>0</v>
      </c>
      <c r="AH737" s="218">
        <v>0</v>
      </c>
      <c r="AI737" s="470">
        <v>0</v>
      </c>
      <c r="AJ737" s="471">
        <v>0</v>
      </c>
      <c r="AK737" s="218">
        <v>0</v>
      </c>
      <c r="AL737" s="470">
        <v>0</v>
      </c>
      <c r="AM737" s="471">
        <v>0</v>
      </c>
      <c r="AN737" s="477">
        <v>8.3682047898862315</v>
      </c>
      <c r="AO737" s="473">
        <v>1.8483298653994319E-2</v>
      </c>
      <c r="AP737" s="474">
        <v>1.1024490214547062E-2</v>
      </c>
      <c r="AQ737" s="352"/>
      <c r="AR737" s="352"/>
      <c r="AS737" s="352"/>
      <c r="AT737" s="352"/>
      <c r="AU737" s="352"/>
      <c r="AV737" s="352"/>
      <c r="AW737" s="352" t="s">
        <v>254</v>
      </c>
    </row>
    <row r="738" spans="2:49" x14ac:dyDescent="0.2">
      <c r="B738" s="460" t="s">
        <v>2586</v>
      </c>
      <c r="C738" s="460">
        <v>8000</v>
      </c>
      <c r="D738" s="460" t="s">
        <v>2313</v>
      </c>
      <c r="E738" s="460" t="s">
        <v>2305</v>
      </c>
      <c r="F738" s="460">
        <v>4</v>
      </c>
      <c r="G738" s="460">
        <v>2</v>
      </c>
      <c r="H738" s="461" t="s">
        <v>746</v>
      </c>
      <c r="I738" s="461" t="s">
        <v>762</v>
      </c>
      <c r="J738" s="461" t="s">
        <v>700</v>
      </c>
      <c r="K738" s="594"/>
      <c r="L738" s="594"/>
      <c r="M738" s="352">
        <v>8000</v>
      </c>
      <c r="N738" s="352" t="s">
        <v>760</v>
      </c>
      <c r="O738" s="460">
        <v>1411</v>
      </c>
      <c r="P738" s="460" t="s">
        <v>743</v>
      </c>
      <c r="Q738" s="460" t="s">
        <v>2553</v>
      </c>
      <c r="R738" s="460">
        <v>1411</v>
      </c>
      <c r="S738" s="460" t="s">
        <v>2305</v>
      </c>
      <c r="T738" s="462">
        <v>1</v>
      </c>
      <c r="U738" s="460" t="s">
        <v>2305</v>
      </c>
      <c r="V738" s="475">
        <v>0</v>
      </c>
      <c r="W738" s="463" t="s">
        <v>2268</v>
      </c>
      <c r="X738" s="463" t="s">
        <v>2268</v>
      </c>
      <c r="Y738" s="463" t="s">
        <v>2554</v>
      </c>
      <c r="Z738" s="463"/>
      <c r="AA738" s="463"/>
      <c r="AB738" s="464">
        <v>0</v>
      </c>
      <c r="AC738" s="465">
        <v>0</v>
      </c>
      <c r="AD738" s="465">
        <v>0</v>
      </c>
      <c r="AE738" s="476">
        <v>0</v>
      </c>
      <c r="AF738" s="467">
        <v>0</v>
      </c>
      <c r="AG738" s="468">
        <v>0</v>
      </c>
      <c r="AH738" s="218">
        <v>0</v>
      </c>
      <c r="AI738" s="470">
        <v>0</v>
      </c>
      <c r="AJ738" s="471">
        <v>0</v>
      </c>
      <c r="AK738" s="218">
        <v>0</v>
      </c>
      <c r="AL738" s="470">
        <v>0</v>
      </c>
      <c r="AM738" s="471">
        <v>0</v>
      </c>
      <c r="AN738" s="477">
        <v>0.11128780686415053</v>
      </c>
      <c r="AO738" s="473">
        <v>2.1643540495747503E-4</v>
      </c>
      <c r="AP738" s="474">
        <v>1.0862192377294388E-2</v>
      </c>
      <c r="AQ738" s="352"/>
      <c r="AR738" s="352"/>
      <c r="AS738" s="352"/>
      <c r="AT738" s="352"/>
      <c r="AU738" s="352"/>
      <c r="AV738" s="352"/>
      <c r="AW738" s="352" t="s">
        <v>254</v>
      </c>
    </row>
    <row r="739" spans="2:49" x14ac:dyDescent="0.2">
      <c r="B739" s="460" t="s">
        <v>2583</v>
      </c>
      <c r="C739" s="460">
        <v>8000</v>
      </c>
      <c r="D739" s="460" t="s">
        <v>2314</v>
      </c>
      <c r="E739" s="460" t="s">
        <v>2296</v>
      </c>
      <c r="F739" s="460">
        <v>1</v>
      </c>
      <c r="G739" s="460">
        <v>2</v>
      </c>
      <c r="H739" s="461" t="s">
        <v>748</v>
      </c>
      <c r="I739" s="461" t="s">
        <v>765</v>
      </c>
      <c r="J739" s="461" t="s">
        <v>700</v>
      </c>
      <c r="K739" s="594"/>
      <c r="L739" s="594"/>
      <c r="M739" s="352">
        <v>8000</v>
      </c>
      <c r="N739" s="352" t="s">
        <v>760</v>
      </c>
      <c r="O739" s="460">
        <v>1411</v>
      </c>
      <c r="P739" s="460" t="s">
        <v>743</v>
      </c>
      <c r="Q739" s="460" t="s">
        <v>2553</v>
      </c>
      <c r="R739" s="460">
        <v>1411</v>
      </c>
      <c r="S739" s="460" t="s">
        <v>2296</v>
      </c>
      <c r="T739" s="462">
        <v>1</v>
      </c>
      <c r="U739" s="460" t="s">
        <v>2296</v>
      </c>
      <c r="V739" s="475">
        <v>0</v>
      </c>
      <c r="W739" s="463" t="s">
        <v>2268</v>
      </c>
      <c r="X739" s="463" t="s">
        <v>2268</v>
      </c>
      <c r="Y739" s="463" t="s">
        <v>2554</v>
      </c>
      <c r="Z739" s="463"/>
      <c r="AA739" s="463"/>
      <c r="AB739" s="464">
        <v>0</v>
      </c>
      <c r="AC739" s="465">
        <v>0</v>
      </c>
      <c r="AD739" s="465">
        <v>0</v>
      </c>
      <c r="AE739" s="476">
        <v>0</v>
      </c>
      <c r="AF739" s="467">
        <v>0</v>
      </c>
      <c r="AG739" s="468">
        <v>0</v>
      </c>
      <c r="AH739" s="218">
        <v>0</v>
      </c>
      <c r="AI739" s="470">
        <v>0</v>
      </c>
      <c r="AJ739" s="471">
        <v>0</v>
      </c>
      <c r="AK739" s="218">
        <v>0</v>
      </c>
      <c r="AL739" s="470">
        <v>0</v>
      </c>
      <c r="AM739" s="471">
        <v>0</v>
      </c>
      <c r="AN739" s="477">
        <v>13.712530460204105</v>
      </c>
      <c r="AO739" s="473">
        <v>5.8996290523856132E-3</v>
      </c>
      <c r="AP739" s="474">
        <v>4.1889902273398926E-3</v>
      </c>
      <c r="AQ739" s="352"/>
      <c r="AR739" s="352"/>
      <c r="AS739" s="352"/>
      <c r="AT739" s="352"/>
      <c r="AU739" s="352"/>
      <c r="AV739" s="352"/>
      <c r="AW739" s="352" t="s">
        <v>254</v>
      </c>
    </row>
    <row r="740" spans="2:49" x14ac:dyDescent="0.2">
      <c r="B740" s="460" t="s">
        <v>2584</v>
      </c>
      <c r="C740" s="460">
        <v>8000</v>
      </c>
      <c r="D740" s="460" t="s">
        <v>2315</v>
      </c>
      <c r="E740" s="460" t="s">
        <v>2299</v>
      </c>
      <c r="F740" s="460">
        <v>2</v>
      </c>
      <c r="G740" s="460">
        <v>2</v>
      </c>
      <c r="H740" s="461" t="s">
        <v>748</v>
      </c>
      <c r="I740" s="461" t="s">
        <v>765</v>
      </c>
      <c r="J740" s="461" t="s">
        <v>700</v>
      </c>
      <c r="K740" s="594"/>
      <c r="L740" s="594"/>
      <c r="M740" s="352">
        <v>8000</v>
      </c>
      <c r="N740" s="352" t="s">
        <v>760</v>
      </c>
      <c r="O740" s="460">
        <v>1411</v>
      </c>
      <c r="P740" s="460" t="s">
        <v>743</v>
      </c>
      <c r="Q740" s="460" t="s">
        <v>2553</v>
      </c>
      <c r="R740" s="460">
        <v>1411</v>
      </c>
      <c r="S740" s="460" t="s">
        <v>2296</v>
      </c>
      <c r="T740" s="462">
        <v>0.55517361979372948</v>
      </c>
      <c r="U740" s="460" t="s">
        <v>2299</v>
      </c>
      <c r="V740" s="475">
        <v>0</v>
      </c>
      <c r="W740" s="463" t="s">
        <v>2268</v>
      </c>
      <c r="X740" s="463" t="s">
        <v>2268</v>
      </c>
      <c r="Y740" s="463" t="s">
        <v>2554</v>
      </c>
      <c r="Z740" s="463"/>
      <c r="AA740" s="463"/>
      <c r="AB740" s="464">
        <v>0</v>
      </c>
      <c r="AC740" s="465">
        <v>0</v>
      </c>
      <c r="AD740" s="465">
        <v>0</v>
      </c>
      <c r="AE740" s="476">
        <v>0</v>
      </c>
      <c r="AF740" s="467">
        <v>0</v>
      </c>
      <c r="AG740" s="468">
        <v>0</v>
      </c>
      <c r="AH740" s="218">
        <v>0</v>
      </c>
      <c r="AI740" s="470">
        <v>0</v>
      </c>
      <c r="AJ740" s="471">
        <v>0</v>
      </c>
      <c r="AK740" s="218">
        <v>0</v>
      </c>
      <c r="AL740" s="470">
        <v>0</v>
      </c>
      <c r="AM740" s="471">
        <v>0</v>
      </c>
      <c r="AN740" s="477">
        <v>5.6232017335296387</v>
      </c>
      <c r="AO740" s="473">
        <v>3.2753184164531707E-3</v>
      </c>
      <c r="AP740" s="474">
        <v>5.2097957855790781E-3</v>
      </c>
      <c r="AQ740" s="352"/>
      <c r="AR740" s="352"/>
      <c r="AS740" s="352"/>
      <c r="AT740" s="352"/>
      <c r="AU740" s="352"/>
      <c r="AV740" s="352"/>
      <c r="AW740" s="352" t="s">
        <v>254</v>
      </c>
    </row>
    <row r="741" spans="2:49" x14ac:dyDescent="0.2">
      <c r="B741" s="460" t="s">
        <v>2585</v>
      </c>
      <c r="C741" s="460">
        <v>8000</v>
      </c>
      <c r="D741" s="460" t="s">
        <v>2316</v>
      </c>
      <c r="E741" s="460" t="s">
        <v>2302</v>
      </c>
      <c r="F741" s="460">
        <v>3</v>
      </c>
      <c r="G741" s="460">
        <v>2</v>
      </c>
      <c r="H741" s="461" t="s">
        <v>748</v>
      </c>
      <c r="I741" s="461" t="s">
        <v>765</v>
      </c>
      <c r="J741" s="461" t="s">
        <v>700</v>
      </c>
      <c r="K741" s="594"/>
      <c r="L741" s="594"/>
      <c r="M741" s="352">
        <v>8000</v>
      </c>
      <c r="N741" s="352" t="s">
        <v>760</v>
      </c>
      <c r="O741" s="460">
        <v>1411</v>
      </c>
      <c r="P741" s="460" t="s">
        <v>743</v>
      </c>
      <c r="Q741" s="460" t="s">
        <v>2553</v>
      </c>
      <c r="R741" s="460">
        <v>1411</v>
      </c>
      <c r="S741" s="460" t="s">
        <v>2296</v>
      </c>
      <c r="T741" s="462">
        <v>0.28481449642268464</v>
      </c>
      <c r="U741" s="460" t="s">
        <v>2302</v>
      </c>
      <c r="V741" s="475">
        <v>0</v>
      </c>
      <c r="W741" s="463" t="s">
        <v>2268</v>
      </c>
      <c r="X741" s="463" t="s">
        <v>2268</v>
      </c>
      <c r="Y741" s="463" t="s">
        <v>2554</v>
      </c>
      <c r="Z741" s="463"/>
      <c r="AA741" s="463"/>
      <c r="AB741" s="464">
        <v>0</v>
      </c>
      <c r="AC741" s="465">
        <v>0</v>
      </c>
      <c r="AD741" s="465">
        <v>0</v>
      </c>
      <c r="AE741" s="476">
        <v>0</v>
      </c>
      <c r="AF741" s="467">
        <v>0</v>
      </c>
      <c r="AG741" s="468">
        <v>0</v>
      </c>
      <c r="AH741" s="218">
        <v>0</v>
      </c>
      <c r="AI741" s="470">
        <v>0</v>
      </c>
      <c r="AJ741" s="471">
        <v>0</v>
      </c>
      <c r="AK741" s="218">
        <v>0</v>
      </c>
      <c r="AL741" s="470">
        <v>0</v>
      </c>
      <c r="AM741" s="471">
        <v>0</v>
      </c>
      <c r="AN741" s="477">
        <v>0.76074588998965798</v>
      </c>
      <c r="AO741" s="473">
        <v>1.6802998776358484E-3</v>
      </c>
      <c r="AP741" s="474">
        <v>3.2551811470378036E-3</v>
      </c>
      <c r="AQ741" s="352"/>
      <c r="AR741" s="352"/>
      <c r="AS741" s="352"/>
      <c r="AT741" s="352"/>
      <c r="AU741" s="352"/>
      <c r="AV741" s="352"/>
      <c r="AW741" s="352" t="s">
        <v>254</v>
      </c>
    </row>
    <row r="742" spans="2:49" x14ac:dyDescent="0.2">
      <c r="B742" s="460" t="s">
        <v>2586</v>
      </c>
      <c r="C742" s="460">
        <v>8000</v>
      </c>
      <c r="D742" s="460" t="s">
        <v>2317</v>
      </c>
      <c r="E742" s="460" t="s">
        <v>2305</v>
      </c>
      <c r="F742" s="460">
        <v>4</v>
      </c>
      <c r="G742" s="460">
        <v>2</v>
      </c>
      <c r="H742" s="461" t="s">
        <v>748</v>
      </c>
      <c r="I742" s="461" t="s">
        <v>765</v>
      </c>
      <c r="J742" s="461" t="s">
        <v>700</v>
      </c>
      <c r="K742" s="594"/>
      <c r="L742" s="594"/>
      <c r="M742" s="352">
        <v>8000</v>
      </c>
      <c r="N742" s="352" t="s">
        <v>760</v>
      </c>
      <c r="O742" s="460">
        <v>1411</v>
      </c>
      <c r="P742" s="460" t="s">
        <v>743</v>
      </c>
      <c r="Q742" s="460" t="s">
        <v>2553</v>
      </c>
      <c r="R742" s="460">
        <v>1411</v>
      </c>
      <c r="S742" s="460" t="s">
        <v>2305</v>
      </c>
      <c r="T742" s="462">
        <v>1</v>
      </c>
      <c r="U742" s="460" t="s">
        <v>2305</v>
      </c>
      <c r="V742" s="475">
        <v>0</v>
      </c>
      <c r="W742" s="463" t="s">
        <v>2268</v>
      </c>
      <c r="X742" s="463" t="s">
        <v>2268</v>
      </c>
      <c r="Y742" s="463" t="s">
        <v>2554</v>
      </c>
      <c r="Z742" s="463"/>
      <c r="AA742" s="463"/>
      <c r="AB742" s="464">
        <v>0</v>
      </c>
      <c r="AC742" s="465">
        <v>0</v>
      </c>
      <c r="AD742" s="465">
        <v>0</v>
      </c>
      <c r="AE742" s="476">
        <v>0</v>
      </c>
      <c r="AF742" s="467">
        <v>0</v>
      </c>
      <c r="AG742" s="468">
        <v>0</v>
      </c>
      <c r="AH742" s="218">
        <v>0</v>
      </c>
      <c r="AI742" s="470">
        <v>0</v>
      </c>
      <c r="AJ742" s="471">
        <v>0</v>
      </c>
      <c r="AK742" s="218">
        <v>0</v>
      </c>
      <c r="AL742" s="470">
        <v>0</v>
      </c>
      <c r="AM742" s="471">
        <v>0</v>
      </c>
      <c r="AN742" s="477">
        <v>1.0117073351286419E-2</v>
      </c>
      <c r="AO742" s="473">
        <v>1.9675945905225018E-5</v>
      </c>
      <c r="AP742" s="474">
        <v>8.262562778886073E-3</v>
      </c>
      <c r="AQ742" s="352"/>
      <c r="AR742" s="352"/>
      <c r="AS742" s="352"/>
      <c r="AT742" s="352"/>
      <c r="AU742" s="352"/>
      <c r="AV742" s="352"/>
      <c r="AW742" s="352" t="s">
        <v>254</v>
      </c>
    </row>
    <row r="743" spans="2:49" x14ac:dyDescent="0.2">
      <c r="B743" s="460" t="s">
        <v>2587</v>
      </c>
      <c r="C743" s="460">
        <v>8000</v>
      </c>
      <c r="D743" s="460" t="s">
        <v>2323</v>
      </c>
      <c r="E743" s="460" t="s">
        <v>2324</v>
      </c>
      <c r="F743" s="460">
        <v>1</v>
      </c>
      <c r="G743" s="460">
        <v>3</v>
      </c>
      <c r="H743" s="461" t="s">
        <v>700</v>
      </c>
      <c r="I743" s="461" t="s">
        <v>872</v>
      </c>
      <c r="J743" s="461" t="s">
        <v>700</v>
      </c>
      <c r="K743" s="594"/>
      <c r="L743" s="594"/>
      <c r="M743" s="352">
        <v>8000</v>
      </c>
      <c r="N743" s="352" t="s">
        <v>760</v>
      </c>
      <c r="O743" s="460">
        <v>1411</v>
      </c>
      <c r="P743" s="460" t="s">
        <v>743</v>
      </c>
      <c r="Q743" s="460" t="s">
        <v>2553</v>
      </c>
      <c r="R743" s="460">
        <v>1411</v>
      </c>
      <c r="S743" s="460" t="s">
        <v>2324</v>
      </c>
      <c r="T743" s="462">
        <v>1</v>
      </c>
      <c r="U743" s="460" t="s">
        <v>2324</v>
      </c>
      <c r="V743" s="475">
        <v>0</v>
      </c>
      <c r="W743" s="463" t="s">
        <v>2554</v>
      </c>
      <c r="X743" s="463" t="s">
        <v>2554</v>
      </c>
      <c r="Y743" s="463" t="s">
        <v>2268</v>
      </c>
      <c r="Z743" s="463"/>
      <c r="AA743" s="463"/>
      <c r="AB743" s="464">
        <v>1119.8365382375571</v>
      </c>
      <c r="AC743" s="465">
        <v>0.15684105283813468</v>
      </c>
      <c r="AD743" s="465">
        <v>9.5999999999999957E-3</v>
      </c>
      <c r="AE743" s="476">
        <v>671.90192294253427</v>
      </c>
      <c r="AF743" s="467">
        <v>9.4104631702880803E-2</v>
      </c>
      <c r="AG743" s="468">
        <v>6.170101089124848E-3</v>
      </c>
      <c r="AH743" s="218">
        <v>671.90192294253427</v>
      </c>
      <c r="AI743" s="470">
        <v>9.4104631702880803E-2</v>
      </c>
      <c r="AJ743" s="471">
        <v>5.8920475965707503E-3</v>
      </c>
      <c r="AK743" s="218">
        <v>671.90192294253427</v>
      </c>
      <c r="AL743" s="470">
        <v>9.4104631702880803E-2</v>
      </c>
      <c r="AM743" s="471">
        <v>5.8920475965707503E-3</v>
      </c>
      <c r="AN743" s="477">
        <v>0</v>
      </c>
      <c r="AO743" s="473">
        <v>0</v>
      </c>
      <c r="AP743" s="474">
        <v>0</v>
      </c>
      <c r="AQ743" s="352"/>
      <c r="AR743" s="352"/>
      <c r="AS743" s="352"/>
      <c r="AT743" s="352"/>
      <c r="AU743" s="352"/>
      <c r="AV743" s="352"/>
      <c r="AW743" s="352" t="s">
        <v>254</v>
      </c>
    </row>
    <row r="744" spans="2:49" x14ac:dyDescent="0.2">
      <c r="B744" s="460" t="s">
        <v>2588</v>
      </c>
      <c r="C744" s="460">
        <v>8000</v>
      </c>
      <c r="D744" s="460" t="s">
        <v>2326</v>
      </c>
      <c r="E744" s="460" t="s">
        <v>2327</v>
      </c>
      <c r="F744" s="460">
        <v>2</v>
      </c>
      <c r="G744" s="460">
        <v>3</v>
      </c>
      <c r="H744" s="461" t="s">
        <v>700</v>
      </c>
      <c r="I744" s="461" t="s">
        <v>872</v>
      </c>
      <c r="J744" s="461" t="s">
        <v>700</v>
      </c>
      <c r="K744" s="594"/>
      <c r="L744" s="594"/>
      <c r="M744" s="352">
        <v>8000</v>
      </c>
      <c r="N744" s="352" t="s">
        <v>760</v>
      </c>
      <c r="O744" s="460">
        <v>1411</v>
      </c>
      <c r="P744" s="460" t="s">
        <v>743</v>
      </c>
      <c r="Q744" s="460" t="s">
        <v>2553</v>
      </c>
      <c r="R744" s="460">
        <v>1411</v>
      </c>
      <c r="S744" s="460" t="s">
        <v>2324</v>
      </c>
      <c r="T744" s="462">
        <v>1</v>
      </c>
      <c r="U744" s="460" t="s">
        <v>2327</v>
      </c>
      <c r="V744" s="475">
        <v>0</v>
      </c>
      <c r="W744" s="463" t="s">
        <v>2554</v>
      </c>
      <c r="X744" s="463" t="s">
        <v>2554</v>
      </c>
      <c r="Y744" s="463" t="s">
        <v>2268</v>
      </c>
      <c r="Z744" s="463"/>
      <c r="AA744" s="463"/>
      <c r="AB744" s="464">
        <v>649.97415284138719</v>
      </c>
      <c r="AC744" s="465">
        <v>0.13381824891256439</v>
      </c>
      <c r="AD744" s="465">
        <v>9.5999999999999992E-3</v>
      </c>
      <c r="AE744" s="476">
        <v>389.98449170483224</v>
      </c>
      <c r="AF744" s="467">
        <v>8.0290949347538623E-2</v>
      </c>
      <c r="AG744" s="468">
        <v>6.2387182583088863E-3</v>
      </c>
      <c r="AH744" s="218">
        <v>457.07949974368381</v>
      </c>
      <c r="AI744" s="470">
        <v>9.4104631702880803E-2</v>
      </c>
      <c r="AJ744" s="471">
        <v>6.1537485578104572E-3</v>
      </c>
      <c r="AK744" s="218">
        <v>457.07949974368381</v>
      </c>
      <c r="AL744" s="470">
        <v>9.4104631702880803E-2</v>
      </c>
      <c r="AM744" s="471">
        <v>6.1537485578104572E-3</v>
      </c>
      <c r="AN744" s="477">
        <v>0</v>
      </c>
      <c r="AO744" s="473">
        <v>0</v>
      </c>
      <c r="AP744" s="474">
        <v>0</v>
      </c>
      <c r="AQ744" s="352"/>
      <c r="AR744" s="352"/>
      <c r="AS744" s="352"/>
      <c r="AT744" s="352"/>
      <c r="AU744" s="352"/>
      <c r="AV744" s="352"/>
      <c r="AW744" s="352" t="s">
        <v>254</v>
      </c>
    </row>
    <row r="745" spans="2:49" x14ac:dyDescent="0.2">
      <c r="B745" s="460" t="s">
        <v>2589</v>
      </c>
      <c r="C745" s="460">
        <v>8000</v>
      </c>
      <c r="D745" s="460" t="s">
        <v>2329</v>
      </c>
      <c r="E745" s="460" t="s">
        <v>2330</v>
      </c>
      <c r="F745" s="460">
        <v>3</v>
      </c>
      <c r="G745" s="460">
        <v>3</v>
      </c>
      <c r="H745" s="461" t="s">
        <v>700</v>
      </c>
      <c r="I745" s="461" t="s">
        <v>872</v>
      </c>
      <c r="J745" s="461" t="s">
        <v>700</v>
      </c>
      <c r="K745" s="594"/>
      <c r="L745" s="594"/>
      <c r="M745" s="352">
        <v>8000</v>
      </c>
      <c r="N745" s="352" t="s">
        <v>760</v>
      </c>
      <c r="O745" s="460">
        <v>1411</v>
      </c>
      <c r="P745" s="460" t="s">
        <v>743</v>
      </c>
      <c r="Q745" s="460" t="s">
        <v>2553</v>
      </c>
      <c r="R745" s="460">
        <v>1411</v>
      </c>
      <c r="S745" s="460" t="s">
        <v>2324</v>
      </c>
      <c r="T745" s="462">
        <v>1</v>
      </c>
      <c r="U745" s="460" t="s">
        <v>2330</v>
      </c>
      <c r="V745" s="475">
        <v>0</v>
      </c>
      <c r="W745" s="463" t="s">
        <v>2554</v>
      </c>
      <c r="X745" s="463" t="s">
        <v>2554</v>
      </c>
      <c r="Y745" s="463" t="s">
        <v>2268</v>
      </c>
      <c r="Z745" s="463"/>
      <c r="AA745" s="463"/>
      <c r="AB745" s="464">
        <v>254.22913607632469</v>
      </c>
      <c r="AC745" s="465">
        <v>0.1833349436959413</v>
      </c>
      <c r="AD745" s="465">
        <v>9.5999999999999992E-3</v>
      </c>
      <c r="AE745" s="476">
        <v>152.53748164579483</v>
      </c>
      <c r="AF745" s="467">
        <v>0.11000096621756478</v>
      </c>
      <c r="AG745" s="468">
        <v>6.1733538672306123E-3</v>
      </c>
      <c r="AH745" s="218">
        <v>152.53748164579483</v>
      </c>
      <c r="AI745" s="470">
        <v>0.11000096621756478</v>
      </c>
      <c r="AJ745" s="471">
        <v>5.3742534937884015E-3</v>
      </c>
      <c r="AK745" s="218">
        <v>152.53748164579483</v>
      </c>
      <c r="AL745" s="470">
        <v>0.11000096621756478</v>
      </c>
      <c r="AM745" s="471">
        <v>5.3742534937884015E-3</v>
      </c>
      <c r="AN745" s="477">
        <v>0</v>
      </c>
      <c r="AO745" s="473">
        <v>0</v>
      </c>
      <c r="AP745" s="474">
        <v>0</v>
      </c>
      <c r="AQ745" s="352"/>
      <c r="AR745" s="352"/>
      <c r="AS745" s="352"/>
      <c r="AT745" s="352"/>
      <c r="AU745" s="352"/>
      <c r="AV745" s="352"/>
      <c r="AW745" s="352" t="s">
        <v>254</v>
      </c>
    </row>
    <row r="746" spans="2:49" x14ac:dyDescent="0.2">
      <c r="B746" s="460" t="s">
        <v>2590</v>
      </c>
      <c r="C746" s="460">
        <v>8000</v>
      </c>
      <c r="D746" s="460" t="s">
        <v>2332</v>
      </c>
      <c r="E746" s="460" t="s">
        <v>2333</v>
      </c>
      <c r="F746" s="460">
        <v>4</v>
      </c>
      <c r="G746" s="460">
        <v>3</v>
      </c>
      <c r="H746" s="461" t="s">
        <v>700</v>
      </c>
      <c r="I746" s="461" t="s">
        <v>872</v>
      </c>
      <c r="J746" s="461" t="s">
        <v>700</v>
      </c>
      <c r="K746" s="594"/>
      <c r="L746" s="594"/>
      <c r="M746" s="352">
        <v>8000</v>
      </c>
      <c r="N746" s="352" t="s">
        <v>760</v>
      </c>
      <c r="O746" s="460">
        <v>1411</v>
      </c>
      <c r="P746" s="460" t="s">
        <v>743</v>
      </c>
      <c r="Q746" s="460" t="s">
        <v>2553</v>
      </c>
      <c r="R746" s="460">
        <v>1411</v>
      </c>
      <c r="S746" s="460" t="s">
        <v>2333</v>
      </c>
      <c r="T746" s="462">
        <v>1</v>
      </c>
      <c r="U746" s="460" t="s">
        <v>2333</v>
      </c>
      <c r="V746" s="475">
        <v>0</v>
      </c>
      <c r="W746" s="463" t="s">
        <v>2554</v>
      </c>
      <c r="X746" s="463" t="s">
        <v>2554</v>
      </c>
      <c r="Y746" s="463" t="s">
        <v>2268</v>
      </c>
      <c r="Z746" s="463"/>
      <c r="AA746" s="463"/>
      <c r="AB746" s="464">
        <v>139.1938868961374</v>
      </c>
      <c r="AC746" s="465">
        <v>8.7473513144617779E-2</v>
      </c>
      <c r="AD746" s="465">
        <v>9.6000000000000009E-3</v>
      </c>
      <c r="AE746" s="476">
        <v>83.51633213768244</v>
      </c>
      <c r="AF746" s="467">
        <v>5.2484107886770666E-2</v>
      </c>
      <c r="AG746" s="468">
        <v>6.3568906028689306E-3</v>
      </c>
      <c r="AH746" s="218">
        <v>83.51633213768244</v>
      </c>
      <c r="AI746" s="470">
        <v>5.2484107886770666E-2</v>
      </c>
      <c r="AJ746" s="471">
        <v>6.1590305694877532E-3</v>
      </c>
      <c r="AK746" s="218">
        <v>83.51633213768244</v>
      </c>
      <c r="AL746" s="470">
        <v>5.2484107886770666E-2</v>
      </c>
      <c r="AM746" s="471">
        <v>6.1590305694877532E-3</v>
      </c>
      <c r="AN746" s="477">
        <v>0</v>
      </c>
      <c r="AO746" s="473">
        <v>0</v>
      </c>
      <c r="AP746" s="474">
        <v>0</v>
      </c>
      <c r="AQ746" s="352"/>
      <c r="AR746" s="352"/>
      <c r="AS746" s="352"/>
      <c r="AT746" s="352"/>
      <c r="AU746" s="352"/>
      <c r="AV746" s="352"/>
      <c r="AW746" s="352" t="s">
        <v>254</v>
      </c>
    </row>
    <row r="747" spans="2:49" x14ac:dyDescent="0.2">
      <c r="B747" s="460" t="s">
        <v>2587</v>
      </c>
      <c r="C747" s="460">
        <v>8000</v>
      </c>
      <c r="D747" s="460" t="s">
        <v>2334</v>
      </c>
      <c r="E747" s="460" t="s">
        <v>2324</v>
      </c>
      <c r="F747" s="460">
        <v>1</v>
      </c>
      <c r="G747" s="460">
        <v>3</v>
      </c>
      <c r="H747" s="461" t="s">
        <v>712</v>
      </c>
      <c r="I747" s="461" t="s">
        <v>713</v>
      </c>
      <c r="J747" s="461" t="s">
        <v>712</v>
      </c>
      <c r="K747" s="594"/>
      <c r="L747" s="594"/>
      <c r="M747" s="352">
        <v>8000</v>
      </c>
      <c r="N747" s="352" t="s">
        <v>760</v>
      </c>
      <c r="O747" s="460">
        <v>1411</v>
      </c>
      <c r="P747" s="460" t="s">
        <v>743</v>
      </c>
      <c r="Q747" s="460" t="s">
        <v>2280</v>
      </c>
      <c r="R747" s="460">
        <v>1411</v>
      </c>
      <c r="S747" s="460" t="s">
        <v>2324</v>
      </c>
      <c r="T747" s="462">
        <v>1</v>
      </c>
      <c r="U747" s="460" t="s">
        <v>2324</v>
      </c>
      <c r="V747" s="475">
        <v>0</v>
      </c>
      <c r="W747" s="463" t="s">
        <v>713</v>
      </c>
      <c r="X747" s="463" t="s">
        <v>713</v>
      </c>
      <c r="Y747" s="463" t="s">
        <v>713</v>
      </c>
      <c r="Z747" s="463"/>
      <c r="AA747" s="463"/>
      <c r="AB747" s="464">
        <v>6020.1087629028698</v>
      </c>
      <c r="AC747" s="465">
        <v>0.84315894716186535</v>
      </c>
      <c r="AD747" s="465">
        <v>1.5031586048259524E-2</v>
      </c>
      <c r="AE747" s="476">
        <v>6468.0433781978918</v>
      </c>
      <c r="AF747" s="467">
        <v>0.90589536829711914</v>
      </c>
      <c r="AG747" s="468">
        <v>1.5843321661871843E-2</v>
      </c>
      <c r="AH747" s="218">
        <v>6468.0433781978918</v>
      </c>
      <c r="AI747" s="470">
        <v>0.90589536829711914</v>
      </c>
      <c r="AJ747" s="471">
        <v>1.6045296267545764E-2</v>
      </c>
      <c r="AK747" s="218">
        <v>6468.0433781978918</v>
      </c>
      <c r="AL747" s="470">
        <v>0.90589536829711914</v>
      </c>
      <c r="AM747" s="471">
        <v>1.6045296267545764E-2</v>
      </c>
      <c r="AN747" s="477">
        <v>6468.0433781978918</v>
      </c>
      <c r="AO747" s="473">
        <v>0.90589536829711914</v>
      </c>
      <c r="AP747" s="474">
        <v>1.6037487779162935E-2</v>
      </c>
      <c r="AQ747" s="352"/>
      <c r="AR747" s="352"/>
      <c r="AS747" s="352"/>
      <c r="AT747" s="352"/>
      <c r="AU747" s="352"/>
      <c r="AV747" s="352"/>
      <c r="AW747" s="352" t="s">
        <v>254</v>
      </c>
    </row>
    <row r="748" spans="2:49" x14ac:dyDescent="0.2">
      <c r="B748" s="460" t="s">
        <v>2588</v>
      </c>
      <c r="C748" s="460">
        <v>8000</v>
      </c>
      <c r="D748" s="460" t="s">
        <v>2335</v>
      </c>
      <c r="E748" s="460" t="s">
        <v>2327</v>
      </c>
      <c r="F748" s="460">
        <v>2</v>
      </c>
      <c r="G748" s="460">
        <v>3</v>
      </c>
      <c r="H748" s="461" t="s">
        <v>712</v>
      </c>
      <c r="I748" s="461" t="s">
        <v>713</v>
      </c>
      <c r="J748" s="461" t="s">
        <v>712</v>
      </c>
      <c r="K748" s="594"/>
      <c r="L748" s="594"/>
      <c r="M748" s="352">
        <v>8000</v>
      </c>
      <c r="N748" s="352" t="s">
        <v>760</v>
      </c>
      <c r="O748" s="460">
        <v>1411</v>
      </c>
      <c r="P748" s="460" t="s">
        <v>743</v>
      </c>
      <c r="Q748" s="460" t="s">
        <v>2280</v>
      </c>
      <c r="R748" s="460">
        <v>1411</v>
      </c>
      <c r="S748" s="460" t="s">
        <v>2324</v>
      </c>
      <c r="T748" s="462">
        <v>1</v>
      </c>
      <c r="U748" s="460" t="s">
        <v>2327</v>
      </c>
      <c r="V748" s="475">
        <v>0</v>
      </c>
      <c r="W748" s="463" t="s">
        <v>713</v>
      </c>
      <c r="X748" s="463" t="s">
        <v>713</v>
      </c>
      <c r="Y748" s="463" t="s">
        <v>713</v>
      </c>
      <c r="Z748" s="463"/>
      <c r="AA748" s="463"/>
      <c r="AB748" s="464">
        <v>4207.1672170630591</v>
      </c>
      <c r="AC748" s="465">
        <v>0.86618175108743567</v>
      </c>
      <c r="AD748" s="465">
        <v>1.3473867392200025E-2</v>
      </c>
      <c r="AE748" s="476">
        <v>4467.1568781996139</v>
      </c>
      <c r="AF748" s="467">
        <v>0.91970905065246134</v>
      </c>
      <c r="AG748" s="468">
        <v>1.4072367982832708E-2</v>
      </c>
      <c r="AH748" s="218">
        <v>4400.0618701607618</v>
      </c>
      <c r="AI748" s="470">
        <v>0.90589536829711914</v>
      </c>
      <c r="AJ748" s="471">
        <v>1.4414950632314353E-2</v>
      </c>
      <c r="AK748" s="218">
        <v>4400.0618701607618</v>
      </c>
      <c r="AL748" s="470">
        <v>0.90589536829711914</v>
      </c>
      <c r="AM748" s="471">
        <v>1.4414950632314353E-2</v>
      </c>
      <c r="AN748" s="477">
        <v>4400.0618701607618</v>
      </c>
      <c r="AO748" s="473">
        <v>0.90589536829711914</v>
      </c>
      <c r="AP748" s="474">
        <v>1.4409299051559623E-2</v>
      </c>
      <c r="AQ748" s="352"/>
      <c r="AR748" s="352"/>
      <c r="AS748" s="352"/>
      <c r="AT748" s="352"/>
      <c r="AU748" s="352"/>
      <c r="AV748" s="352"/>
      <c r="AW748" s="352" t="s">
        <v>254</v>
      </c>
    </row>
    <row r="749" spans="2:49" x14ac:dyDescent="0.2">
      <c r="B749" s="460" t="s">
        <v>2589</v>
      </c>
      <c r="C749" s="460">
        <v>8000</v>
      </c>
      <c r="D749" s="460" t="s">
        <v>2336</v>
      </c>
      <c r="E749" s="460" t="s">
        <v>2330</v>
      </c>
      <c r="F749" s="460">
        <v>3</v>
      </c>
      <c r="G749" s="460">
        <v>3</v>
      </c>
      <c r="H749" s="461" t="s">
        <v>712</v>
      </c>
      <c r="I749" s="461" t="s">
        <v>713</v>
      </c>
      <c r="J749" s="461" t="s">
        <v>712</v>
      </c>
      <c r="K749" s="594"/>
      <c r="L749" s="594"/>
      <c r="M749" s="352">
        <v>8000</v>
      </c>
      <c r="N749" s="352" t="s">
        <v>760</v>
      </c>
      <c r="O749" s="460">
        <v>1411</v>
      </c>
      <c r="P749" s="460" t="s">
        <v>743</v>
      </c>
      <c r="Q749" s="460" t="s">
        <v>2280</v>
      </c>
      <c r="R749" s="460">
        <v>1411</v>
      </c>
      <c r="S749" s="460" t="s">
        <v>2324</v>
      </c>
      <c r="T749" s="462">
        <v>1</v>
      </c>
      <c r="U749" s="460" t="s">
        <v>2330</v>
      </c>
      <c r="V749" s="475">
        <v>0</v>
      </c>
      <c r="W749" s="463" t="s">
        <v>713</v>
      </c>
      <c r="X749" s="463" t="s">
        <v>713</v>
      </c>
      <c r="Y749" s="463" t="s">
        <v>713</v>
      </c>
      <c r="Z749" s="463"/>
      <c r="AA749" s="463"/>
      <c r="AB749" s="464">
        <v>1132.4630621003662</v>
      </c>
      <c r="AC749" s="465">
        <v>0.81666505630405872</v>
      </c>
      <c r="AD749" s="465">
        <v>1.0027125853587586E-2</v>
      </c>
      <c r="AE749" s="476">
        <v>1234.1547165308962</v>
      </c>
      <c r="AF749" s="467">
        <v>0.88999903378243528</v>
      </c>
      <c r="AG749" s="468">
        <v>1.0758617231258776E-2</v>
      </c>
      <c r="AH749" s="218">
        <v>1234.1547165308962</v>
      </c>
      <c r="AI749" s="470">
        <v>0.88999903378243528</v>
      </c>
      <c r="AJ749" s="471">
        <v>1.1169395134107911E-2</v>
      </c>
      <c r="AK749" s="218">
        <v>1234.1547165308962</v>
      </c>
      <c r="AL749" s="470">
        <v>0.88999903378243528</v>
      </c>
      <c r="AM749" s="471">
        <v>1.1169395134107911E-2</v>
      </c>
      <c r="AN749" s="477">
        <v>1234.1547165308959</v>
      </c>
      <c r="AO749" s="473">
        <v>0.88999903378243517</v>
      </c>
      <c r="AP749" s="474">
        <v>1.11982245765053E-2</v>
      </c>
      <c r="AQ749" s="352"/>
      <c r="AR749" s="352"/>
      <c r="AS749" s="352"/>
      <c r="AT749" s="352"/>
      <c r="AU749" s="352"/>
      <c r="AV749" s="352"/>
      <c r="AW749" s="352" t="s">
        <v>254</v>
      </c>
    </row>
    <row r="750" spans="2:49" x14ac:dyDescent="0.2">
      <c r="B750" s="460" t="s">
        <v>2590</v>
      </c>
      <c r="C750" s="460">
        <v>8000</v>
      </c>
      <c r="D750" s="460" t="s">
        <v>2337</v>
      </c>
      <c r="E750" s="460" t="s">
        <v>2333</v>
      </c>
      <c r="F750" s="460">
        <v>4</v>
      </c>
      <c r="G750" s="460">
        <v>3</v>
      </c>
      <c r="H750" s="461" t="s">
        <v>712</v>
      </c>
      <c r="I750" s="461" t="s">
        <v>713</v>
      </c>
      <c r="J750" s="461" t="s">
        <v>712</v>
      </c>
      <c r="K750" s="594"/>
      <c r="L750" s="594"/>
      <c r="M750" s="352">
        <v>8000</v>
      </c>
      <c r="N750" s="352" t="s">
        <v>760</v>
      </c>
      <c r="O750" s="460">
        <v>1411</v>
      </c>
      <c r="P750" s="460" t="s">
        <v>743</v>
      </c>
      <c r="Q750" s="460" t="s">
        <v>2280</v>
      </c>
      <c r="R750" s="460">
        <v>1411</v>
      </c>
      <c r="S750" s="460" t="s">
        <v>2333</v>
      </c>
      <c r="T750" s="462">
        <v>1</v>
      </c>
      <c r="U750" s="460" t="s">
        <v>2333</v>
      </c>
      <c r="V750" s="475">
        <v>0</v>
      </c>
      <c r="W750" s="463" t="s">
        <v>713</v>
      </c>
      <c r="X750" s="463" t="s">
        <v>713</v>
      </c>
      <c r="Y750" s="463" t="s">
        <v>713</v>
      </c>
      <c r="Z750" s="463"/>
      <c r="AA750" s="463"/>
      <c r="AB750" s="464">
        <v>1452.0750800425931</v>
      </c>
      <c r="AC750" s="465">
        <v>0.91252648685538218</v>
      </c>
      <c r="AD750" s="465">
        <v>1.1039358152604321E-2</v>
      </c>
      <c r="AE750" s="476">
        <v>1507.7526348010481</v>
      </c>
      <c r="AF750" s="467">
        <v>0.94751589211322929</v>
      </c>
      <c r="AG750" s="468">
        <v>1.1345218510510759E-2</v>
      </c>
      <c r="AH750" s="218">
        <v>1507.7526348010481</v>
      </c>
      <c r="AI750" s="470">
        <v>0.94751589211322929</v>
      </c>
      <c r="AJ750" s="471">
        <v>1.1381363613019167E-2</v>
      </c>
      <c r="AK750" s="218">
        <v>1507.7526348010481</v>
      </c>
      <c r="AL750" s="470">
        <v>0.94751589211322929</v>
      </c>
      <c r="AM750" s="471">
        <v>1.1381363613019167E-2</v>
      </c>
      <c r="AN750" s="477">
        <v>1507.7526348010481</v>
      </c>
      <c r="AO750" s="473">
        <v>0.94751589211322929</v>
      </c>
      <c r="AP750" s="474">
        <v>1.1384980425181107E-2</v>
      </c>
      <c r="AQ750" s="352"/>
      <c r="AR750" s="352"/>
      <c r="AS750" s="352"/>
      <c r="AT750" s="352"/>
      <c r="AU750" s="352"/>
      <c r="AV750" s="352"/>
      <c r="AW750" s="352" t="s">
        <v>254</v>
      </c>
    </row>
    <row r="751" spans="2:49" x14ac:dyDescent="0.2">
      <c r="B751" s="460" t="s">
        <v>2587</v>
      </c>
      <c r="C751" s="460">
        <v>8000</v>
      </c>
      <c r="D751" s="460" t="s">
        <v>2338</v>
      </c>
      <c r="E751" s="460" t="s">
        <v>2324</v>
      </c>
      <c r="F751" s="460">
        <v>1</v>
      </c>
      <c r="G751" s="460">
        <v>3</v>
      </c>
      <c r="H751" s="461" t="s">
        <v>746</v>
      </c>
      <c r="I751" s="461" t="s">
        <v>762</v>
      </c>
      <c r="J751" s="461" t="s">
        <v>700</v>
      </c>
      <c r="K751" s="594"/>
      <c r="L751" s="594"/>
      <c r="M751" s="352">
        <v>8000</v>
      </c>
      <c r="N751" s="352" t="s">
        <v>760</v>
      </c>
      <c r="O751" s="460">
        <v>1411</v>
      </c>
      <c r="P751" s="460" t="s">
        <v>743</v>
      </c>
      <c r="Q751" s="460" t="s">
        <v>2553</v>
      </c>
      <c r="R751" s="460">
        <v>1411</v>
      </c>
      <c r="S751" s="460" t="s">
        <v>2324</v>
      </c>
      <c r="T751" s="462">
        <v>1</v>
      </c>
      <c r="U751" s="460" t="s">
        <v>2324</v>
      </c>
      <c r="V751" s="475">
        <v>0</v>
      </c>
      <c r="W751" s="463" t="s">
        <v>2268</v>
      </c>
      <c r="X751" s="463" t="s">
        <v>2268</v>
      </c>
      <c r="Y751" s="463" t="s">
        <v>2554</v>
      </c>
      <c r="Z751" s="463"/>
      <c r="AA751" s="463"/>
      <c r="AB751" s="464">
        <v>0</v>
      </c>
      <c r="AC751" s="465">
        <v>0</v>
      </c>
      <c r="AD751" s="465">
        <v>0</v>
      </c>
      <c r="AE751" s="476">
        <v>0</v>
      </c>
      <c r="AF751" s="467">
        <v>0</v>
      </c>
      <c r="AG751" s="468">
        <v>0</v>
      </c>
      <c r="AH751" s="218">
        <v>0</v>
      </c>
      <c r="AI751" s="470">
        <v>0</v>
      </c>
      <c r="AJ751" s="471">
        <v>0</v>
      </c>
      <c r="AK751" s="218">
        <v>0</v>
      </c>
      <c r="AL751" s="470">
        <v>0</v>
      </c>
      <c r="AM751" s="471">
        <v>0</v>
      </c>
      <c r="AN751" s="477">
        <v>615.9100960306564</v>
      </c>
      <c r="AO751" s="473">
        <v>8.6262579060974079E-2</v>
      </c>
      <c r="AP751" s="474">
        <v>6.5087861854743467E-3</v>
      </c>
      <c r="AQ751" s="352"/>
      <c r="AR751" s="352"/>
      <c r="AS751" s="352"/>
      <c r="AT751" s="352"/>
      <c r="AU751" s="352"/>
      <c r="AV751" s="352"/>
      <c r="AW751" s="352" t="s">
        <v>254</v>
      </c>
    </row>
    <row r="752" spans="2:49" x14ac:dyDescent="0.2">
      <c r="B752" s="460" t="s">
        <v>2588</v>
      </c>
      <c r="C752" s="460">
        <v>8000</v>
      </c>
      <c r="D752" s="460" t="s">
        <v>2339</v>
      </c>
      <c r="E752" s="460" t="s">
        <v>2327</v>
      </c>
      <c r="F752" s="460">
        <v>2</v>
      </c>
      <c r="G752" s="460">
        <v>3</v>
      </c>
      <c r="H752" s="461" t="s">
        <v>746</v>
      </c>
      <c r="I752" s="461" t="s">
        <v>762</v>
      </c>
      <c r="J752" s="461" t="s">
        <v>700</v>
      </c>
      <c r="K752" s="594"/>
      <c r="L752" s="594"/>
      <c r="M752" s="352">
        <v>8000</v>
      </c>
      <c r="N752" s="352" t="s">
        <v>760</v>
      </c>
      <c r="O752" s="460">
        <v>1411</v>
      </c>
      <c r="P752" s="460" t="s">
        <v>743</v>
      </c>
      <c r="Q752" s="460" t="s">
        <v>2553</v>
      </c>
      <c r="R752" s="460">
        <v>1411</v>
      </c>
      <c r="S752" s="460" t="s">
        <v>2324</v>
      </c>
      <c r="T752" s="462">
        <v>1</v>
      </c>
      <c r="U752" s="460" t="s">
        <v>2327</v>
      </c>
      <c r="V752" s="475">
        <v>0</v>
      </c>
      <c r="W752" s="463" t="s">
        <v>2268</v>
      </c>
      <c r="X752" s="463" t="s">
        <v>2268</v>
      </c>
      <c r="Y752" s="463" t="s">
        <v>2554</v>
      </c>
      <c r="Z752" s="463"/>
      <c r="AA752" s="463"/>
      <c r="AB752" s="464">
        <v>0</v>
      </c>
      <c r="AC752" s="465">
        <v>0</v>
      </c>
      <c r="AD752" s="465">
        <v>0</v>
      </c>
      <c r="AE752" s="476">
        <v>0</v>
      </c>
      <c r="AF752" s="467">
        <v>0</v>
      </c>
      <c r="AG752" s="468">
        <v>0</v>
      </c>
      <c r="AH752" s="218">
        <v>0</v>
      </c>
      <c r="AI752" s="470">
        <v>0</v>
      </c>
      <c r="AJ752" s="471">
        <v>0</v>
      </c>
      <c r="AK752" s="218">
        <v>0</v>
      </c>
      <c r="AL752" s="470">
        <v>0</v>
      </c>
      <c r="AM752" s="471">
        <v>0</v>
      </c>
      <c r="AN752" s="477">
        <v>418.98954143171022</v>
      </c>
      <c r="AO752" s="473">
        <v>8.6262579060974079E-2</v>
      </c>
      <c r="AP752" s="474">
        <v>6.6604110266796825E-3</v>
      </c>
      <c r="AQ752" s="352"/>
      <c r="AR752" s="352"/>
      <c r="AS752" s="352"/>
      <c r="AT752" s="352"/>
      <c r="AU752" s="352"/>
      <c r="AV752" s="352"/>
      <c r="AW752" s="352" t="s">
        <v>254</v>
      </c>
    </row>
    <row r="753" spans="2:49" x14ac:dyDescent="0.2">
      <c r="B753" s="460" t="s">
        <v>2589</v>
      </c>
      <c r="C753" s="460">
        <v>8000</v>
      </c>
      <c r="D753" s="460" t="s">
        <v>2340</v>
      </c>
      <c r="E753" s="460" t="s">
        <v>2330</v>
      </c>
      <c r="F753" s="460">
        <v>3</v>
      </c>
      <c r="G753" s="460">
        <v>3</v>
      </c>
      <c r="H753" s="461" t="s">
        <v>746</v>
      </c>
      <c r="I753" s="461" t="s">
        <v>762</v>
      </c>
      <c r="J753" s="461" t="s">
        <v>700</v>
      </c>
      <c r="K753" s="594"/>
      <c r="L753" s="594"/>
      <c r="M753" s="352">
        <v>8000</v>
      </c>
      <c r="N753" s="352" t="s">
        <v>760</v>
      </c>
      <c r="O753" s="460">
        <v>1411</v>
      </c>
      <c r="P753" s="460" t="s">
        <v>743</v>
      </c>
      <c r="Q753" s="460" t="s">
        <v>2553</v>
      </c>
      <c r="R753" s="460">
        <v>1411</v>
      </c>
      <c r="S753" s="460" t="s">
        <v>2324</v>
      </c>
      <c r="T753" s="462">
        <v>1</v>
      </c>
      <c r="U753" s="460" t="s">
        <v>2330</v>
      </c>
      <c r="V753" s="475">
        <v>0</v>
      </c>
      <c r="W753" s="463" t="s">
        <v>2268</v>
      </c>
      <c r="X753" s="463" t="s">
        <v>2268</v>
      </c>
      <c r="Y753" s="463" t="s">
        <v>2554</v>
      </c>
      <c r="Z753" s="463"/>
      <c r="AA753" s="463"/>
      <c r="AB753" s="464">
        <v>0</v>
      </c>
      <c r="AC753" s="465">
        <v>0</v>
      </c>
      <c r="AD753" s="465">
        <v>0</v>
      </c>
      <c r="AE753" s="476">
        <v>0</v>
      </c>
      <c r="AF753" s="467">
        <v>0</v>
      </c>
      <c r="AG753" s="468">
        <v>0</v>
      </c>
      <c r="AH753" s="218">
        <v>0</v>
      </c>
      <c r="AI753" s="470">
        <v>0</v>
      </c>
      <c r="AJ753" s="471">
        <v>0</v>
      </c>
      <c r="AK753" s="218">
        <v>0</v>
      </c>
      <c r="AL753" s="470">
        <v>0</v>
      </c>
      <c r="AM753" s="471">
        <v>0</v>
      </c>
      <c r="AN753" s="477">
        <v>139.82602484197861</v>
      </c>
      <c r="AO753" s="473">
        <v>0.10083421903276772</v>
      </c>
      <c r="AP753" s="474">
        <v>5.5932958284652242E-3</v>
      </c>
      <c r="AQ753" s="352"/>
      <c r="AR753" s="352"/>
      <c r="AS753" s="352"/>
      <c r="AT753" s="352"/>
      <c r="AU753" s="352"/>
      <c r="AV753" s="352"/>
      <c r="AW753" s="352" t="s">
        <v>254</v>
      </c>
    </row>
    <row r="754" spans="2:49" x14ac:dyDescent="0.2">
      <c r="B754" s="460" t="s">
        <v>2590</v>
      </c>
      <c r="C754" s="460">
        <v>8000</v>
      </c>
      <c r="D754" s="460" t="s">
        <v>2341</v>
      </c>
      <c r="E754" s="460" t="s">
        <v>2333</v>
      </c>
      <c r="F754" s="460">
        <v>4</v>
      </c>
      <c r="G754" s="460">
        <v>3</v>
      </c>
      <c r="H754" s="461" t="s">
        <v>746</v>
      </c>
      <c r="I754" s="461" t="s">
        <v>762</v>
      </c>
      <c r="J754" s="461" t="s">
        <v>700</v>
      </c>
      <c r="K754" s="594"/>
      <c r="L754" s="594"/>
      <c r="M754" s="352">
        <v>8000</v>
      </c>
      <c r="N754" s="352" t="s">
        <v>760</v>
      </c>
      <c r="O754" s="460">
        <v>1411</v>
      </c>
      <c r="P754" s="460" t="s">
        <v>743</v>
      </c>
      <c r="Q754" s="460" t="s">
        <v>2553</v>
      </c>
      <c r="R754" s="460">
        <v>1411</v>
      </c>
      <c r="S754" s="460" t="s">
        <v>2333</v>
      </c>
      <c r="T754" s="462">
        <v>1</v>
      </c>
      <c r="U754" s="460" t="s">
        <v>2333</v>
      </c>
      <c r="V754" s="475">
        <v>0</v>
      </c>
      <c r="W754" s="463" t="s">
        <v>2268</v>
      </c>
      <c r="X754" s="463" t="s">
        <v>2268</v>
      </c>
      <c r="Y754" s="463" t="s">
        <v>2554</v>
      </c>
      <c r="Z754" s="463"/>
      <c r="AA754" s="463"/>
      <c r="AB754" s="464">
        <v>0</v>
      </c>
      <c r="AC754" s="465">
        <v>0</v>
      </c>
      <c r="AD754" s="465">
        <v>0</v>
      </c>
      <c r="AE754" s="476">
        <v>0</v>
      </c>
      <c r="AF754" s="467">
        <v>0</v>
      </c>
      <c r="AG754" s="468">
        <v>0</v>
      </c>
      <c r="AH754" s="218">
        <v>0</v>
      </c>
      <c r="AI754" s="470">
        <v>0</v>
      </c>
      <c r="AJ754" s="471">
        <v>0</v>
      </c>
      <c r="AK754" s="218">
        <v>0</v>
      </c>
      <c r="AL754" s="470">
        <v>0</v>
      </c>
      <c r="AM754" s="471">
        <v>0</v>
      </c>
      <c r="AN754" s="477">
        <v>76.556637792875577</v>
      </c>
      <c r="AO754" s="473">
        <v>4.8110432229539785E-2</v>
      </c>
      <c r="AP754" s="474">
        <v>6.3817306676349382E-3</v>
      </c>
      <c r="AQ754" s="352"/>
      <c r="AR754" s="352"/>
      <c r="AS754" s="352"/>
      <c r="AT754" s="352"/>
      <c r="AU754" s="352"/>
      <c r="AV754" s="352"/>
      <c r="AW754" s="352" t="s">
        <v>254</v>
      </c>
    </row>
    <row r="755" spans="2:49" x14ac:dyDescent="0.2">
      <c r="B755" s="460" t="s">
        <v>2587</v>
      </c>
      <c r="C755" s="460">
        <v>8000</v>
      </c>
      <c r="D755" s="460" t="s">
        <v>2342</v>
      </c>
      <c r="E755" s="460" t="s">
        <v>2324</v>
      </c>
      <c r="F755" s="460">
        <v>1</v>
      </c>
      <c r="G755" s="460">
        <v>3</v>
      </c>
      <c r="H755" s="461" t="s">
        <v>748</v>
      </c>
      <c r="I755" s="461" t="s">
        <v>765</v>
      </c>
      <c r="J755" s="461" t="s">
        <v>700</v>
      </c>
      <c r="K755" s="594"/>
      <c r="L755" s="594"/>
      <c r="M755" s="352">
        <v>8000</v>
      </c>
      <c r="N755" s="352" t="s">
        <v>760</v>
      </c>
      <c r="O755" s="460">
        <v>1411</v>
      </c>
      <c r="P755" s="460" t="s">
        <v>743</v>
      </c>
      <c r="Q755" s="460" t="s">
        <v>2553</v>
      </c>
      <c r="R755" s="460">
        <v>1411</v>
      </c>
      <c r="S755" s="460" t="s">
        <v>2324</v>
      </c>
      <c r="T755" s="462">
        <v>1</v>
      </c>
      <c r="U755" s="460" t="s">
        <v>2324</v>
      </c>
      <c r="V755" s="475">
        <v>0</v>
      </c>
      <c r="W755" s="463" t="s">
        <v>2268</v>
      </c>
      <c r="X755" s="463" t="s">
        <v>2268</v>
      </c>
      <c r="Y755" s="463" t="s">
        <v>2554</v>
      </c>
      <c r="Z755" s="463"/>
      <c r="AA755" s="463"/>
      <c r="AB755" s="464">
        <v>0</v>
      </c>
      <c r="AC755" s="465">
        <v>0</v>
      </c>
      <c r="AD755" s="465">
        <v>0</v>
      </c>
      <c r="AE755" s="476">
        <v>0</v>
      </c>
      <c r="AF755" s="467">
        <v>0</v>
      </c>
      <c r="AG755" s="468">
        <v>0</v>
      </c>
      <c r="AH755" s="218">
        <v>0</v>
      </c>
      <c r="AI755" s="470">
        <v>0</v>
      </c>
      <c r="AJ755" s="471">
        <v>0</v>
      </c>
      <c r="AK755" s="218">
        <v>0</v>
      </c>
      <c r="AL755" s="470">
        <v>0</v>
      </c>
      <c r="AM755" s="471">
        <v>0</v>
      </c>
      <c r="AN755" s="477">
        <v>55.991826911877908</v>
      </c>
      <c r="AO755" s="473">
        <v>7.8420526419067417E-3</v>
      </c>
      <c r="AP755" s="474">
        <v>2.9144762294284004E-3</v>
      </c>
      <c r="AQ755" s="352"/>
      <c r="AR755" s="352"/>
      <c r="AS755" s="352"/>
      <c r="AT755" s="352"/>
      <c r="AU755" s="352"/>
      <c r="AV755" s="352"/>
      <c r="AW755" s="352" t="s">
        <v>254</v>
      </c>
    </row>
    <row r="756" spans="2:49" x14ac:dyDescent="0.2">
      <c r="B756" s="460" t="s">
        <v>2588</v>
      </c>
      <c r="C756" s="460">
        <v>8000</v>
      </c>
      <c r="D756" s="460" t="s">
        <v>2343</v>
      </c>
      <c r="E756" s="460" t="s">
        <v>2327</v>
      </c>
      <c r="F756" s="460">
        <v>2</v>
      </c>
      <c r="G756" s="460">
        <v>3</v>
      </c>
      <c r="H756" s="461" t="s">
        <v>748</v>
      </c>
      <c r="I756" s="461" t="s">
        <v>765</v>
      </c>
      <c r="J756" s="461" t="s">
        <v>700</v>
      </c>
      <c r="K756" s="594"/>
      <c r="L756" s="594"/>
      <c r="M756" s="352">
        <v>8000</v>
      </c>
      <c r="N756" s="352" t="s">
        <v>760</v>
      </c>
      <c r="O756" s="460">
        <v>1411</v>
      </c>
      <c r="P756" s="460" t="s">
        <v>743</v>
      </c>
      <c r="Q756" s="460" t="s">
        <v>2553</v>
      </c>
      <c r="R756" s="460">
        <v>1411</v>
      </c>
      <c r="S756" s="460" t="s">
        <v>2324</v>
      </c>
      <c r="T756" s="462">
        <v>1</v>
      </c>
      <c r="U756" s="460" t="s">
        <v>2327</v>
      </c>
      <c r="V756" s="475">
        <v>0</v>
      </c>
      <c r="W756" s="463" t="s">
        <v>2268</v>
      </c>
      <c r="X756" s="463" t="s">
        <v>2268</v>
      </c>
      <c r="Y756" s="463" t="s">
        <v>2554</v>
      </c>
      <c r="Z756" s="463"/>
      <c r="AA756" s="463"/>
      <c r="AB756" s="464">
        <v>0</v>
      </c>
      <c r="AC756" s="465">
        <v>0</v>
      </c>
      <c r="AD756" s="465">
        <v>0</v>
      </c>
      <c r="AE756" s="476">
        <v>0</v>
      </c>
      <c r="AF756" s="467">
        <v>0</v>
      </c>
      <c r="AG756" s="468">
        <v>0</v>
      </c>
      <c r="AH756" s="218">
        <v>0</v>
      </c>
      <c r="AI756" s="470">
        <v>0</v>
      </c>
      <c r="AJ756" s="471">
        <v>0</v>
      </c>
      <c r="AK756" s="218">
        <v>0</v>
      </c>
      <c r="AL756" s="470">
        <v>0</v>
      </c>
      <c r="AM756" s="471">
        <v>0</v>
      </c>
      <c r="AN756" s="477">
        <v>38.089958311973689</v>
      </c>
      <c r="AO756" s="473">
        <v>7.8420526419067417E-3</v>
      </c>
      <c r="AP756" s="474">
        <v>3.3859501850781442E-3</v>
      </c>
      <c r="AQ756" s="352"/>
      <c r="AR756" s="352"/>
      <c r="AS756" s="352"/>
      <c r="AT756" s="352"/>
      <c r="AU756" s="352"/>
      <c r="AV756" s="352"/>
      <c r="AW756" s="352" t="s">
        <v>254</v>
      </c>
    </row>
    <row r="757" spans="2:49" x14ac:dyDescent="0.2">
      <c r="B757" s="460" t="s">
        <v>2589</v>
      </c>
      <c r="C757" s="460">
        <v>8000</v>
      </c>
      <c r="D757" s="460" t="s">
        <v>2344</v>
      </c>
      <c r="E757" s="460" t="s">
        <v>2330</v>
      </c>
      <c r="F757" s="460">
        <v>3</v>
      </c>
      <c r="G757" s="460">
        <v>3</v>
      </c>
      <c r="H757" s="461" t="s">
        <v>748</v>
      </c>
      <c r="I757" s="461" t="s">
        <v>765</v>
      </c>
      <c r="J757" s="461" t="s">
        <v>700</v>
      </c>
      <c r="K757" s="594"/>
      <c r="L757" s="594"/>
      <c r="M757" s="352">
        <v>8000</v>
      </c>
      <c r="N757" s="352" t="s">
        <v>760</v>
      </c>
      <c r="O757" s="460">
        <v>1411</v>
      </c>
      <c r="P757" s="460" t="s">
        <v>743</v>
      </c>
      <c r="Q757" s="460" t="s">
        <v>2553</v>
      </c>
      <c r="R757" s="460">
        <v>1411</v>
      </c>
      <c r="S757" s="460" t="s">
        <v>2324</v>
      </c>
      <c r="T757" s="462">
        <v>1</v>
      </c>
      <c r="U757" s="460" t="s">
        <v>2330</v>
      </c>
      <c r="V757" s="475">
        <v>0</v>
      </c>
      <c r="W757" s="463" t="s">
        <v>2268</v>
      </c>
      <c r="X757" s="463" t="s">
        <v>2268</v>
      </c>
      <c r="Y757" s="463" t="s">
        <v>2554</v>
      </c>
      <c r="Z757" s="463"/>
      <c r="AA757" s="463"/>
      <c r="AB757" s="464">
        <v>0</v>
      </c>
      <c r="AC757" s="465">
        <v>0</v>
      </c>
      <c r="AD757" s="465">
        <v>0</v>
      </c>
      <c r="AE757" s="476">
        <v>0</v>
      </c>
      <c r="AF757" s="467">
        <v>0</v>
      </c>
      <c r="AG757" s="468">
        <v>0</v>
      </c>
      <c r="AH757" s="218">
        <v>0</v>
      </c>
      <c r="AI757" s="470">
        <v>0</v>
      </c>
      <c r="AJ757" s="471">
        <v>0</v>
      </c>
      <c r="AK757" s="218">
        <v>0</v>
      </c>
      <c r="AL757" s="470">
        <v>0</v>
      </c>
      <c r="AM757" s="471">
        <v>0</v>
      </c>
      <c r="AN757" s="477">
        <v>12.711456803816246</v>
      </c>
      <c r="AO757" s="473">
        <v>9.1667471847970729E-3</v>
      </c>
      <c r="AP757" s="474">
        <v>3.4649234485839226E-3</v>
      </c>
      <c r="AQ757" s="352"/>
      <c r="AR757" s="352"/>
      <c r="AS757" s="352"/>
      <c r="AT757" s="352"/>
      <c r="AU757" s="352"/>
      <c r="AV757" s="352"/>
      <c r="AW757" s="352" t="s">
        <v>254</v>
      </c>
    </row>
    <row r="758" spans="2:49" x14ac:dyDescent="0.2">
      <c r="B758" s="460" t="s">
        <v>2590</v>
      </c>
      <c r="C758" s="460">
        <v>8000</v>
      </c>
      <c r="D758" s="460" t="s">
        <v>2345</v>
      </c>
      <c r="E758" s="460" t="s">
        <v>2333</v>
      </c>
      <c r="F758" s="460">
        <v>4</v>
      </c>
      <c r="G758" s="460">
        <v>3</v>
      </c>
      <c r="H758" s="461" t="s">
        <v>748</v>
      </c>
      <c r="I758" s="461" t="s">
        <v>765</v>
      </c>
      <c r="J758" s="461" t="s">
        <v>700</v>
      </c>
      <c r="K758" s="594"/>
      <c r="L758" s="594"/>
      <c r="M758" s="352">
        <v>8000</v>
      </c>
      <c r="N758" s="352" t="s">
        <v>760</v>
      </c>
      <c r="O758" s="460">
        <v>1411</v>
      </c>
      <c r="P758" s="460" t="s">
        <v>743</v>
      </c>
      <c r="Q758" s="460" t="s">
        <v>2553</v>
      </c>
      <c r="R758" s="460">
        <v>1411</v>
      </c>
      <c r="S758" s="460" t="s">
        <v>2333</v>
      </c>
      <c r="T758" s="462">
        <v>1</v>
      </c>
      <c r="U758" s="460" t="s">
        <v>2333</v>
      </c>
      <c r="V758" s="475">
        <v>0</v>
      </c>
      <c r="W758" s="463" t="s">
        <v>2268</v>
      </c>
      <c r="X758" s="463" t="s">
        <v>2268</v>
      </c>
      <c r="Y758" s="463" t="s">
        <v>2554</v>
      </c>
      <c r="Z758" s="463"/>
      <c r="AA758" s="463"/>
      <c r="AB758" s="464">
        <v>0</v>
      </c>
      <c r="AC758" s="465">
        <v>0</v>
      </c>
      <c r="AD758" s="465">
        <v>0</v>
      </c>
      <c r="AE758" s="476">
        <v>0</v>
      </c>
      <c r="AF758" s="467">
        <v>0</v>
      </c>
      <c r="AG758" s="468">
        <v>0</v>
      </c>
      <c r="AH758" s="218">
        <v>0</v>
      </c>
      <c r="AI758" s="470">
        <v>0</v>
      </c>
      <c r="AJ758" s="471">
        <v>0</v>
      </c>
      <c r="AK758" s="218">
        <v>0</v>
      </c>
      <c r="AL758" s="470">
        <v>0</v>
      </c>
      <c r="AM758" s="471">
        <v>0</v>
      </c>
      <c r="AN758" s="477">
        <v>6.9596943448068753</v>
      </c>
      <c r="AO758" s="473">
        <v>4.3736756572308926E-3</v>
      </c>
      <c r="AP758" s="474">
        <v>4.3339724240474319E-3</v>
      </c>
      <c r="AQ758" s="352"/>
      <c r="AR758" s="352"/>
      <c r="AS758" s="352"/>
      <c r="AT758" s="352"/>
      <c r="AU758" s="352"/>
      <c r="AV758" s="352"/>
      <c r="AW758" s="352" t="s">
        <v>254</v>
      </c>
    </row>
    <row r="759" spans="2:49" x14ac:dyDescent="0.2">
      <c r="B759" s="460" t="s">
        <v>2591</v>
      </c>
      <c r="C759" s="460">
        <v>8000</v>
      </c>
      <c r="D759" s="460" t="s">
        <v>2351</v>
      </c>
      <c r="E759" s="460" t="s">
        <v>1136</v>
      </c>
      <c r="F759" s="460">
        <v>1</v>
      </c>
      <c r="G759" s="460">
        <v>4</v>
      </c>
      <c r="H759" s="461" t="s">
        <v>700</v>
      </c>
      <c r="I759" s="461" t="s">
        <v>872</v>
      </c>
      <c r="J759" s="461" t="s">
        <v>700</v>
      </c>
      <c r="K759" s="594"/>
      <c r="L759" s="594"/>
      <c r="M759" s="352">
        <v>8000</v>
      </c>
      <c r="N759" s="352" t="s">
        <v>760</v>
      </c>
      <c r="O759" s="460">
        <v>1411</v>
      </c>
      <c r="P759" s="460" t="s">
        <v>743</v>
      </c>
      <c r="Q759" s="460" t="s">
        <v>2553</v>
      </c>
      <c r="R759" s="460">
        <v>1411</v>
      </c>
      <c r="S759" s="460" t="s">
        <v>1136</v>
      </c>
      <c r="T759" s="462">
        <v>1</v>
      </c>
      <c r="U759" s="460" t="s">
        <v>1136</v>
      </c>
      <c r="V759" s="475">
        <v>0</v>
      </c>
      <c r="W759" s="463" t="s">
        <v>2554</v>
      </c>
      <c r="X759" s="463" t="s">
        <v>2554</v>
      </c>
      <c r="Y759" s="463" t="s">
        <v>2268</v>
      </c>
      <c r="Z759" s="463"/>
      <c r="AA759" s="463"/>
      <c r="AB759" s="464">
        <v>2.3135113529842735</v>
      </c>
      <c r="AC759" s="465">
        <v>2.6567305930891918E-3</v>
      </c>
      <c r="AD759" s="465">
        <v>6.5824238508016206E-3</v>
      </c>
      <c r="AE759" s="476">
        <v>1.3881068117905642</v>
      </c>
      <c r="AF759" s="467">
        <v>1.5940383558535152E-3</v>
      </c>
      <c r="AG759" s="468">
        <v>4.2932999866390998E-3</v>
      </c>
      <c r="AH759" s="218">
        <v>1.3881068117905642</v>
      </c>
      <c r="AI759" s="470">
        <v>1.5940383558535152E-3</v>
      </c>
      <c r="AJ759" s="471">
        <v>1.0840649523214531E-3</v>
      </c>
      <c r="AK759" s="218">
        <v>1.3881068117905642</v>
      </c>
      <c r="AL759" s="470">
        <v>1.5940383558535152E-3</v>
      </c>
      <c r="AM759" s="471">
        <v>1.0840649523214531E-3</v>
      </c>
      <c r="AN759" s="477">
        <v>0</v>
      </c>
      <c r="AO759" s="473">
        <v>0</v>
      </c>
      <c r="AP759" s="474">
        <v>0</v>
      </c>
      <c r="AQ759" s="352"/>
      <c r="AR759" s="352"/>
      <c r="AS759" s="352"/>
      <c r="AT759" s="352"/>
      <c r="AU759" s="352"/>
      <c r="AV759" s="352"/>
      <c r="AW759" s="352" t="s">
        <v>254</v>
      </c>
    </row>
    <row r="760" spans="2:49" x14ac:dyDescent="0.2">
      <c r="B760" s="460" t="s">
        <v>2592</v>
      </c>
      <c r="C760" s="460">
        <v>8000</v>
      </c>
      <c r="D760" s="460" t="s">
        <v>2353</v>
      </c>
      <c r="E760" s="460" t="s">
        <v>1137</v>
      </c>
      <c r="F760" s="460">
        <v>2</v>
      </c>
      <c r="G760" s="460">
        <v>4</v>
      </c>
      <c r="H760" s="461" t="s">
        <v>700</v>
      </c>
      <c r="I760" s="461" t="s">
        <v>872</v>
      </c>
      <c r="J760" s="461" t="s">
        <v>700</v>
      </c>
      <c r="K760" s="594"/>
      <c r="L760" s="594"/>
      <c r="M760" s="352">
        <v>8000</v>
      </c>
      <c r="N760" s="352" t="s">
        <v>760</v>
      </c>
      <c r="O760" s="460">
        <v>1411</v>
      </c>
      <c r="P760" s="460" t="s">
        <v>743</v>
      </c>
      <c r="Q760" s="460" t="s">
        <v>2553</v>
      </c>
      <c r="R760" s="460">
        <v>1411</v>
      </c>
      <c r="S760" s="460" t="s">
        <v>1137</v>
      </c>
      <c r="T760" s="462">
        <v>1</v>
      </c>
      <c r="U760" s="460" t="s">
        <v>1137</v>
      </c>
      <c r="V760" s="475">
        <v>0</v>
      </c>
      <c r="W760" s="463" t="s">
        <v>2554</v>
      </c>
      <c r="X760" s="463" t="s">
        <v>2554</v>
      </c>
      <c r="Y760" s="463" t="s">
        <v>2268</v>
      </c>
      <c r="Z760" s="463"/>
      <c r="AA760" s="463"/>
      <c r="AB760" s="464">
        <v>29.149615001732549</v>
      </c>
      <c r="AC760" s="465">
        <v>2.1427176202248214E-2</v>
      </c>
      <c r="AD760" s="465">
        <v>6.5824238508016266E-3</v>
      </c>
      <c r="AE760" s="476">
        <v>17.48976900103953</v>
      </c>
      <c r="AF760" s="467">
        <v>1.2856305721348929E-2</v>
      </c>
      <c r="AG760" s="468">
        <v>4.2548685228147023E-3</v>
      </c>
      <c r="AH760" s="218">
        <v>17.48976900103953</v>
      </c>
      <c r="AI760" s="470">
        <v>1.2856305721348929E-2</v>
      </c>
      <c r="AJ760" s="471">
        <v>3.6135511731369709E-3</v>
      </c>
      <c r="AK760" s="218">
        <v>17.48976900103953</v>
      </c>
      <c r="AL760" s="470">
        <v>1.2856305721348929E-2</v>
      </c>
      <c r="AM760" s="471">
        <v>3.6135511731369709E-3</v>
      </c>
      <c r="AN760" s="477">
        <v>0</v>
      </c>
      <c r="AO760" s="473">
        <v>0</v>
      </c>
      <c r="AP760" s="474">
        <v>0</v>
      </c>
      <c r="AQ760" s="352"/>
      <c r="AR760" s="352"/>
      <c r="AS760" s="352"/>
      <c r="AT760" s="352"/>
      <c r="AU760" s="352"/>
      <c r="AV760" s="352"/>
      <c r="AW760" s="352" t="s">
        <v>254</v>
      </c>
    </row>
    <row r="761" spans="2:49" x14ac:dyDescent="0.2">
      <c r="B761" s="460" t="s">
        <v>2593</v>
      </c>
      <c r="C761" s="460">
        <v>8000</v>
      </c>
      <c r="D761" s="460" t="s">
        <v>2355</v>
      </c>
      <c r="E761" s="460" t="s">
        <v>1138</v>
      </c>
      <c r="F761" s="460">
        <v>3</v>
      </c>
      <c r="G761" s="460">
        <v>4</v>
      </c>
      <c r="H761" s="461" t="s">
        <v>700</v>
      </c>
      <c r="I761" s="461" t="s">
        <v>872</v>
      </c>
      <c r="J761" s="461" t="s">
        <v>700</v>
      </c>
      <c r="K761" s="594"/>
      <c r="L761" s="594"/>
      <c r="M761" s="352">
        <v>8000</v>
      </c>
      <c r="N761" s="352" t="s">
        <v>760</v>
      </c>
      <c r="O761" s="460">
        <v>1411</v>
      </c>
      <c r="P761" s="460" t="s">
        <v>743</v>
      </c>
      <c r="Q761" s="460" t="s">
        <v>2553</v>
      </c>
      <c r="R761" s="460">
        <v>1411</v>
      </c>
      <c r="S761" s="460" t="s">
        <v>1138</v>
      </c>
      <c r="T761" s="462">
        <v>1</v>
      </c>
      <c r="U761" s="460" t="s">
        <v>1138</v>
      </c>
      <c r="V761" s="475">
        <v>0</v>
      </c>
      <c r="W761" s="463" t="s">
        <v>2554</v>
      </c>
      <c r="X761" s="463" t="s">
        <v>2554</v>
      </c>
      <c r="Y761" s="463" t="s">
        <v>2268</v>
      </c>
      <c r="Z761" s="463"/>
      <c r="AA761" s="463"/>
      <c r="AB761" s="464">
        <v>15.688568622833134</v>
      </c>
      <c r="AC761" s="465">
        <v>1.4359060352436271E-2</v>
      </c>
      <c r="AD761" s="465">
        <v>6.5824238508016275E-3</v>
      </c>
      <c r="AE761" s="476">
        <v>9.4131411736998789</v>
      </c>
      <c r="AF761" s="467">
        <v>8.6154362114617619E-3</v>
      </c>
      <c r="AG761" s="468">
        <v>4.2609268936051733E-3</v>
      </c>
      <c r="AH761" s="218">
        <v>9.4131411736998789</v>
      </c>
      <c r="AI761" s="470">
        <v>8.6154362114617619E-3</v>
      </c>
      <c r="AJ761" s="471">
        <v>3.243826671634024E-3</v>
      </c>
      <c r="AK761" s="218">
        <v>9.4131411736998789</v>
      </c>
      <c r="AL761" s="470">
        <v>8.6154362114617619E-3</v>
      </c>
      <c r="AM761" s="471">
        <v>3.243826671634024E-3</v>
      </c>
      <c r="AN761" s="477">
        <v>0</v>
      </c>
      <c r="AO761" s="473">
        <v>0</v>
      </c>
      <c r="AP761" s="474">
        <v>0</v>
      </c>
      <c r="AQ761" s="352"/>
      <c r="AR761" s="352"/>
      <c r="AS761" s="352"/>
      <c r="AT761" s="352"/>
      <c r="AU761" s="352"/>
      <c r="AV761" s="352"/>
      <c r="AW761" s="352" t="s">
        <v>254</v>
      </c>
    </row>
    <row r="762" spans="2:49" x14ac:dyDescent="0.2">
      <c r="B762" s="460" t="s">
        <v>2594</v>
      </c>
      <c r="C762" s="460">
        <v>8000</v>
      </c>
      <c r="D762" s="460" t="s">
        <v>2357</v>
      </c>
      <c r="E762" s="460" t="s">
        <v>1139</v>
      </c>
      <c r="F762" s="460">
        <v>4</v>
      </c>
      <c r="G762" s="460">
        <v>4</v>
      </c>
      <c r="H762" s="461" t="s">
        <v>700</v>
      </c>
      <c r="I762" s="461" t="s">
        <v>872</v>
      </c>
      <c r="J762" s="461" t="s">
        <v>700</v>
      </c>
      <c r="K762" s="594"/>
      <c r="L762" s="594"/>
      <c r="M762" s="352">
        <v>8000</v>
      </c>
      <c r="N762" s="352" t="s">
        <v>760</v>
      </c>
      <c r="O762" s="460">
        <v>1411</v>
      </c>
      <c r="P762" s="460" t="s">
        <v>743</v>
      </c>
      <c r="Q762" s="460" t="s">
        <v>2553</v>
      </c>
      <c r="R762" s="460">
        <v>1411</v>
      </c>
      <c r="S762" s="460" t="s">
        <v>1139</v>
      </c>
      <c r="T762" s="462">
        <v>1</v>
      </c>
      <c r="U762" s="460" t="s">
        <v>1139</v>
      </c>
      <c r="V762" s="475">
        <v>0</v>
      </c>
      <c r="W762" s="463" t="s">
        <v>2554</v>
      </c>
      <c r="X762" s="463" t="s">
        <v>2554</v>
      </c>
      <c r="Y762" s="463" t="s">
        <v>2268</v>
      </c>
      <c r="Z762" s="463"/>
      <c r="AA762" s="463"/>
      <c r="AB762" s="464">
        <v>0</v>
      </c>
      <c r="AC762" s="465">
        <v>0</v>
      </c>
      <c r="AD762" s="465">
        <v>0</v>
      </c>
      <c r="AE762" s="476">
        <v>0</v>
      </c>
      <c r="AF762" s="467">
        <v>0</v>
      </c>
      <c r="AG762" s="468">
        <v>0</v>
      </c>
      <c r="AH762" s="218">
        <v>0</v>
      </c>
      <c r="AI762" s="470">
        <v>0</v>
      </c>
      <c r="AJ762" s="471">
        <v>0</v>
      </c>
      <c r="AK762" s="218">
        <v>0</v>
      </c>
      <c r="AL762" s="470">
        <v>0</v>
      </c>
      <c r="AM762" s="471">
        <v>0</v>
      </c>
      <c r="AN762" s="477">
        <v>0</v>
      </c>
      <c r="AO762" s="473">
        <v>0</v>
      </c>
      <c r="AP762" s="474">
        <v>0</v>
      </c>
      <c r="AQ762" s="352"/>
      <c r="AR762" s="352"/>
      <c r="AS762" s="352"/>
      <c r="AT762" s="352"/>
      <c r="AU762" s="352"/>
      <c r="AV762" s="352"/>
      <c r="AW762" s="352" t="s">
        <v>254</v>
      </c>
    </row>
    <row r="763" spans="2:49" x14ac:dyDescent="0.2">
      <c r="B763" s="460" t="s">
        <v>2591</v>
      </c>
      <c r="C763" s="460">
        <v>8000</v>
      </c>
      <c r="D763" s="460" t="s">
        <v>2358</v>
      </c>
      <c r="E763" s="460" t="s">
        <v>1136</v>
      </c>
      <c r="F763" s="460">
        <v>1</v>
      </c>
      <c r="G763" s="460">
        <v>4</v>
      </c>
      <c r="H763" s="461" t="s">
        <v>712</v>
      </c>
      <c r="I763" s="461" t="s">
        <v>713</v>
      </c>
      <c r="J763" s="461" t="s">
        <v>712</v>
      </c>
      <c r="K763" s="594"/>
      <c r="L763" s="594"/>
      <c r="M763" s="352">
        <v>8000</v>
      </c>
      <c r="N763" s="352" t="s">
        <v>760</v>
      </c>
      <c r="O763" s="460">
        <v>1411</v>
      </c>
      <c r="P763" s="460" t="s">
        <v>743</v>
      </c>
      <c r="Q763" s="460" t="s">
        <v>2280</v>
      </c>
      <c r="R763" s="460">
        <v>1411</v>
      </c>
      <c r="S763" s="460" t="s">
        <v>1136</v>
      </c>
      <c r="T763" s="462">
        <v>1</v>
      </c>
      <c r="U763" s="460" t="s">
        <v>1136</v>
      </c>
      <c r="V763" s="475">
        <v>0</v>
      </c>
      <c r="W763" s="463" t="s">
        <v>713</v>
      </c>
      <c r="X763" s="463" t="s">
        <v>713</v>
      </c>
      <c r="Y763" s="463" t="s">
        <v>713</v>
      </c>
      <c r="Z763" s="463"/>
      <c r="AA763" s="463"/>
      <c r="AB763" s="464">
        <v>868.49791341183163</v>
      </c>
      <c r="AC763" s="465">
        <v>0.99734326940691076</v>
      </c>
      <c r="AD763" s="465">
        <v>5.7237229477576741E-3</v>
      </c>
      <c r="AE763" s="476">
        <v>869.42331795302539</v>
      </c>
      <c r="AF763" s="467">
        <v>0.99840596164414652</v>
      </c>
      <c r="AG763" s="468">
        <v>5.7287589628616997E-3</v>
      </c>
      <c r="AH763" s="218">
        <v>869.42331795302539</v>
      </c>
      <c r="AI763" s="470">
        <v>0.99840596164414652</v>
      </c>
      <c r="AJ763" s="471">
        <v>5.7869816117273104E-3</v>
      </c>
      <c r="AK763" s="218">
        <v>869.42331795302539</v>
      </c>
      <c r="AL763" s="470">
        <v>0.99840596164414652</v>
      </c>
      <c r="AM763" s="471">
        <v>5.7869816117273104E-3</v>
      </c>
      <c r="AN763" s="477">
        <v>869.42331795302539</v>
      </c>
      <c r="AO763" s="473">
        <v>0.99840596164414652</v>
      </c>
      <c r="AP763" s="474">
        <v>5.7775653845318882E-3</v>
      </c>
      <c r="AQ763" s="352"/>
      <c r="AR763" s="352"/>
      <c r="AS763" s="352"/>
      <c r="AT763" s="352"/>
      <c r="AU763" s="352"/>
      <c r="AV763" s="352"/>
      <c r="AW763" s="352" t="s">
        <v>254</v>
      </c>
    </row>
    <row r="764" spans="2:49" x14ac:dyDescent="0.2">
      <c r="B764" s="460" t="s">
        <v>2592</v>
      </c>
      <c r="C764" s="460">
        <v>8000</v>
      </c>
      <c r="D764" s="460" t="s">
        <v>2359</v>
      </c>
      <c r="E764" s="460" t="s">
        <v>1137</v>
      </c>
      <c r="F764" s="460">
        <v>2</v>
      </c>
      <c r="G764" s="460">
        <v>4</v>
      </c>
      <c r="H764" s="461" t="s">
        <v>712</v>
      </c>
      <c r="I764" s="461" t="s">
        <v>713</v>
      </c>
      <c r="J764" s="461" t="s">
        <v>712</v>
      </c>
      <c r="K764" s="594"/>
      <c r="L764" s="594"/>
      <c r="M764" s="352">
        <v>8000</v>
      </c>
      <c r="N764" s="352" t="s">
        <v>760</v>
      </c>
      <c r="O764" s="460">
        <v>1411</v>
      </c>
      <c r="P764" s="460" t="s">
        <v>743</v>
      </c>
      <c r="Q764" s="460" t="s">
        <v>2280</v>
      </c>
      <c r="R764" s="460">
        <v>1411</v>
      </c>
      <c r="S764" s="460" t="s">
        <v>1137</v>
      </c>
      <c r="T764" s="462">
        <v>1</v>
      </c>
      <c r="U764" s="460" t="s">
        <v>1137</v>
      </c>
      <c r="V764" s="475">
        <v>0</v>
      </c>
      <c r="W764" s="463" t="s">
        <v>713</v>
      </c>
      <c r="X764" s="463" t="s">
        <v>713</v>
      </c>
      <c r="Y764" s="463" t="s">
        <v>713</v>
      </c>
      <c r="Z764" s="463"/>
      <c r="AA764" s="463"/>
      <c r="AB764" s="464">
        <v>1331.2543284107489</v>
      </c>
      <c r="AC764" s="465">
        <v>0.97857282379775168</v>
      </c>
      <c r="AD764" s="465">
        <v>7.698827421726174E-3</v>
      </c>
      <c r="AE764" s="476">
        <v>1342.914174411442</v>
      </c>
      <c r="AF764" s="467">
        <v>0.98714369427865112</v>
      </c>
      <c r="AG764" s="468">
        <v>7.7520074946879113E-3</v>
      </c>
      <c r="AH764" s="218">
        <v>1342.914174411442</v>
      </c>
      <c r="AI764" s="470">
        <v>0.98714369427865112</v>
      </c>
      <c r="AJ764" s="471">
        <v>7.788792471786001E-3</v>
      </c>
      <c r="AK764" s="218">
        <v>1342.914174411442</v>
      </c>
      <c r="AL764" s="470">
        <v>0.98714369427865112</v>
      </c>
      <c r="AM764" s="471">
        <v>7.788792471786001E-3</v>
      </c>
      <c r="AN764" s="477">
        <v>1342.914174411442</v>
      </c>
      <c r="AO764" s="473">
        <v>0.98714369427865112</v>
      </c>
      <c r="AP764" s="474">
        <v>7.7823656006710817E-3</v>
      </c>
      <c r="AQ764" s="352"/>
      <c r="AR764" s="352"/>
      <c r="AS764" s="352"/>
      <c r="AT764" s="352"/>
      <c r="AU764" s="352"/>
      <c r="AV764" s="352"/>
      <c r="AW764" s="352" t="s">
        <v>254</v>
      </c>
    </row>
    <row r="765" spans="2:49" x14ac:dyDescent="0.2">
      <c r="B765" s="460" t="s">
        <v>2593</v>
      </c>
      <c r="C765" s="460">
        <v>8000</v>
      </c>
      <c r="D765" s="460" t="s">
        <v>2360</v>
      </c>
      <c r="E765" s="460" t="s">
        <v>1138</v>
      </c>
      <c r="F765" s="460">
        <v>3</v>
      </c>
      <c r="G765" s="460">
        <v>4</v>
      </c>
      <c r="H765" s="461" t="s">
        <v>712</v>
      </c>
      <c r="I765" s="461" t="s">
        <v>713</v>
      </c>
      <c r="J765" s="461" t="s">
        <v>712</v>
      </c>
      <c r="K765" s="594"/>
      <c r="L765" s="594"/>
      <c r="M765" s="352">
        <v>8000</v>
      </c>
      <c r="N765" s="352" t="s">
        <v>760</v>
      </c>
      <c r="O765" s="460">
        <v>1411</v>
      </c>
      <c r="P765" s="460" t="s">
        <v>743</v>
      </c>
      <c r="Q765" s="460" t="s">
        <v>2280</v>
      </c>
      <c r="R765" s="460">
        <v>1411</v>
      </c>
      <c r="S765" s="460" t="s">
        <v>1138</v>
      </c>
      <c r="T765" s="462">
        <v>1</v>
      </c>
      <c r="U765" s="460" t="s">
        <v>1138</v>
      </c>
      <c r="V765" s="475">
        <v>0</v>
      </c>
      <c r="W765" s="463" t="s">
        <v>713</v>
      </c>
      <c r="X765" s="463" t="s">
        <v>713</v>
      </c>
      <c r="Y765" s="463" t="s">
        <v>713</v>
      </c>
      <c r="Z765" s="463"/>
      <c r="AA765" s="463"/>
      <c r="AB765" s="464">
        <v>1076.9016314156595</v>
      </c>
      <c r="AC765" s="465">
        <v>0.98564093964756372</v>
      </c>
      <c r="AD765" s="465">
        <v>1.3439244187122003E-2</v>
      </c>
      <c r="AE765" s="476">
        <v>1083.1770588647928</v>
      </c>
      <c r="AF765" s="467">
        <v>0.99138456378853823</v>
      </c>
      <c r="AG765" s="468">
        <v>1.3488231716875559E-2</v>
      </c>
      <c r="AH765" s="218">
        <v>1083.1770588647928</v>
      </c>
      <c r="AI765" s="470">
        <v>0.99138456378853823</v>
      </c>
      <c r="AJ765" s="471">
        <v>1.364638626151236E-2</v>
      </c>
      <c r="AK765" s="218">
        <v>1083.1770588647928</v>
      </c>
      <c r="AL765" s="470">
        <v>0.99138456378853823</v>
      </c>
      <c r="AM765" s="471">
        <v>1.364638626151236E-2</v>
      </c>
      <c r="AN765" s="477">
        <v>1083.1770588647928</v>
      </c>
      <c r="AO765" s="473">
        <v>0.99138456378853823</v>
      </c>
      <c r="AP765" s="474">
        <v>1.3645357814081126E-2</v>
      </c>
      <c r="AQ765" s="352"/>
      <c r="AR765" s="352"/>
      <c r="AS765" s="352"/>
      <c r="AT765" s="352"/>
      <c r="AU765" s="352"/>
      <c r="AV765" s="352"/>
      <c r="AW765" s="352" t="s">
        <v>254</v>
      </c>
    </row>
    <row r="766" spans="2:49" x14ac:dyDescent="0.2">
      <c r="B766" s="460" t="s">
        <v>2594</v>
      </c>
      <c r="C766" s="460">
        <v>8000</v>
      </c>
      <c r="D766" s="460" t="s">
        <v>2361</v>
      </c>
      <c r="E766" s="460" t="s">
        <v>1139</v>
      </c>
      <c r="F766" s="460">
        <v>4</v>
      </c>
      <c r="G766" s="460">
        <v>4</v>
      </c>
      <c r="H766" s="461" t="s">
        <v>712</v>
      </c>
      <c r="I766" s="461" t="s">
        <v>713</v>
      </c>
      <c r="J766" s="461" t="s">
        <v>712</v>
      </c>
      <c r="K766" s="594"/>
      <c r="L766" s="594"/>
      <c r="M766" s="352">
        <v>8000</v>
      </c>
      <c r="N766" s="352" t="s">
        <v>760</v>
      </c>
      <c r="O766" s="460">
        <v>1411</v>
      </c>
      <c r="P766" s="460" t="s">
        <v>743</v>
      </c>
      <c r="Q766" s="460" t="s">
        <v>2280</v>
      </c>
      <c r="R766" s="460">
        <v>1411</v>
      </c>
      <c r="S766" s="460" t="s">
        <v>1139</v>
      </c>
      <c r="T766" s="462">
        <v>1</v>
      </c>
      <c r="U766" s="460" t="s">
        <v>1139</v>
      </c>
      <c r="V766" s="475">
        <v>0</v>
      </c>
      <c r="W766" s="463" t="s">
        <v>713</v>
      </c>
      <c r="X766" s="463" t="s">
        <v>713</v>
      </c>
      <c r="Y766" s="463" t="s">
        <v>713</v>
      </c>
      <c r="Z766" s="463"/>
      <c r="AA766" s="463"/>
      <c r="AB766" s="464">
        <v>1225.6280681394239</v>
      </c>
      <c r="AC766" s="465">
        <v>1</v>
      </c>
      <c r="AD766" s="465">
        <v>1.3570442400443673E-2</v>
      </c>
      <c r="AE766" s="476">
        <v>1225.6280681394239</v>
      </c>
      <c r="AF766" s="467">
        <v>1</v>
      </c>
      <c r="AG766" s="468">
        <v>1.3570442400443673E-2</v>
      </c>
      <c r="AH766" s="218">
        <v>1225.6280681394239</v>
      </c>
      <c r="AI766" s="470">
        <v>1</v>
      </c>
      <c r="AJ766" s="471">
        <v>1.3862313538280916E-2</v>
      </c>
      <c r="AK766" s="218">
        <v>1225.6280681394239</v>
      </c>
      <c r="AL766" s="470">
        <v>1</v>
      </c>
      <c r="AM766" s="471">
        <v>1.3862313538280916E-2</v>
      </c>
      <c r="AN766" s="477">
        <v>1225.6280681394239</v>
      </c>
      <c r="AO766" s="473">
        <v>1</v>
      </c>
      <c r="AP766" s="474">
        <v>1.3862313538280916E-2</v>
      </c>
      <c r="AQ766" s="352"/>
      <c r="AR766" s="352"/>
      <c r="AS766" s="352"/>
      <c r="AT766" s="352"/>
      <c r="AU766" s="352"/>
      <c r="AV766" s="352"/>
      <c r="AW766" s="352" t="s">
        <v>254</v>
      </c>
    </row>
    <row r="767" spans="2:49" x14ac:dyDescent="0.2">
      <c r="B767" s="460" t="s">
        <v>2591</v>
      </c>
      <c r="C767" s="460">
        <v>8000</v>
      </c>
      <c r="D767" s="460" t="s">
        <v>2362</v>
      </c>
      <c r="E767" s="460" t="s">
        <v>1136</v>
      </c>
      <c r="F767" s="460">
        <v>1</v>
      </c>
      <c r="G767" s="460">
        <v>4</v>
      </c>
      <c r="H767" s="461" t="s">
        <v>746</v>
      </c>
      <c r="I767" s="461" t="s">
        <v>762</v>
      </c>
      <c r="J767" s="461" t="s">
        <v>700</v>
      </c>
      <c r="K767" s="594"/>
      <c r="L767" s="594"/>
      <c r="M767" s="352">
        <v>8000</v>
      </c>
      <c r="N767" s="352" t="s">
        <v>760</v>
      </c>
      <c r="O767" s="460">
        <v>1411</v>
      </c>
      <c r="P767" s="460" t="s">
        <v>743</v>
      </c>
      <c r="Q767" s="460" t="s">
        <v>2553</v>
      </c>
      <c r="R767" s="460">
        <v>1411</v>
      </c>
      <c r="S767" s="460" t="s">
        <v>1136</v>
      </c>
      <c r="T767" s="462">
        <v>1</v>
      </c>
      <c r="U767" s="460" t="s">
        <v>1136</v>
      </c>
      <c r="V767" s="475">
        <v>0</v>
      </c>
      <c r="W767" s="463" t="s">
        <v>2268</v>
      </c>
      <c r="X767" s="463" t="s">
        <v>2268</v>
      </c>
      <c r="Y767" s="463" t="s">
        <v>2554</v>
      </c>
      <c r="Z767" s="463"/>
      <c r="AA767" s="463"/>
      <c r="AB767" s="464">
        <v>0</v>
      </c>
      <c r="AC767" s="465">
        <v>0</v>
      </c>
      <c r="AD767" s="465">
        <v>0</v>
      </c>
      <c r="AE767" s="476">
        <v>0</v>
      </c>
      <c r="AF767" s="467">
        <v>0</v>
      </c>
      <c r="AG767" s="468">
        <v>0</v>
      </c>
      <c r="AH767" s="218">
        <v>0</v>
      </c>
      <c r="AI767" s="470">
        <v>0</v>
      </c>
      <c r="AJ767" s="471">
        <v>0</v>
      </c>
      <c r="AK767" s="218">
        <v>0</v>
      </c>
      <c r="AL767" s="470">
        <v>0</v>
      </c>
      <c r="AM767" s="471">
        <v>0</v>
      </c>
      <c r="AN767" s="477">
        <v>1.2724312441413506</v>
      </c>
      <c r="AO767" s="473">
        <v>1.4612018261990556E-3</v>
      </c>
      <c r="AP767" s="474">
        <v>5.7392898368820635E-3</v>
      </c>
      <c r="AQ767" s="352"/>
      <c r="AR767" s="352"/>
      <c r="AS767" s="352"/>
      <c r="AT767" s="352"/>
      <c r="AU767" s="352"/>
      <c r="AV767" s="352"/>
      <c r="AW767" s="352" t="s">
        <v>254</v>
      </c>
    </row>
    <row r="768" spans="2:49" x14ac:dyDescent="0.2">
      <c r="B768" s="460" t="s">
        <v>2592</v>
      </c>
      <c r="C768" s="460">
        <v>8000</v>
      </c>
      <c r="D768" s="460" t="s">
        <v>2363</v>
      </c>
      <c r="E768" s="460" t="s">
        <v>1137</v>
      </c>
      <c r="F768" s="460">
        <v>2</v>
      </c>
      <c r="G768" s="460">
        <v>4</v>
      </c>
      <c r="H768" s="461" t="s">
        <v>746</v>
      </c>
      <c r="I768" s="461" t="s">
        <v>762</v>
      </c>
      <c r="J768" s="461" t="s">
        <v>700</v>
      </c>
      <c r="K768" s="594"/>
      <c r="L768" s="594"/>
      <c r="M768" s="352">
        <v>8000</v>
      </c>
      <c r="N768" s="352" t="s">
        <v>760</v>
      </c>
      <c r="O768" s="460">
        <v>1411</v>
      </c>
      <c r="P768" s="460" t="s">
        <v>743</v>
      </c>
      <c r="Q768" s="460" t="s">
        <v>2553</v>
      </c>
      <c r="R768" s="460">
        <v>1411</v>
      </c>
      <c r="S768" s="460" t="s">
        <v>1137</v>
      </c>
      <c r="T768" s="462">
        <v>1</v>
      </c>
      <c r="U768" s="460" t="s">
        <v>1137</v>
      </c>
      <c r="V768" s="475">
        <v>0</v>
      </c>
      <c r="W768" s="463" t="s">
        <v>2268</v>
      </c>
      <c r="X768" s="463" t="s">
        <v>2268</v>
      </c>
      <c r="Y768" s="463" t="s">
        <v>2554</v>
      </c>
      <c r="Z768" s="463"/>
      <c r="AA768" s="463"/>
      <c r="AB768" s="464">
        <v>0</v>
      </c>
      <c r="AC768" s="465">
        <v>0</v>
      </c>
      <c r="AD768" s="465">
        <v>0</v>
      </c>
      <c r="AE768" s="476">
        <v>0</v>
      </c>
      <c r="AF768" s="467">
        <v>0</v>
      </c>
      <c r="AG768" s="468">
        <v>0</v>
      </c>
      <c r="AH768" s="218">
        <v>0</v>
      </c>
      <c r="AI768" s="470">
        <v>0</v>
      </c>
      <c r="AJ768" s="471">
        <v>0</v>
      </c>
      <c r="AK768" s="218">
        <v>0</v>
      </c>
      <c r="AL768" s="470">
        <v>0</v>
      </c>
      <c r="AM768" s="471">
        <v>0</v>
      </c>
      <c r="AN768" s="477">
        <v>16.032288250952902</v>
      </c>
      <c r="AO768" s="473">
        <v>1.1784946911236518E-2</v>
      </c>
      <c r="AP768" s="474">
        <v>4.3810403899545861E-3</v>
      </c>
      <c r="AQ768" s="352"/>
      <c r="AR768" s="352"/>
      <c r="AS768" s="352"/>
      <c r="AT768" s="352"/>
      <c r="AU768" s="352"/>
      <c r="AV768" s="352"/>
      <c r="AW768" s="352" t="s">
        <v>254</v>
      </c>
    </row>
    <row r="769" spans="2:49" x14ac:dyDescent="0.2">
      <c r="B769" s="460" t="s">
        <v>2593</v>
      </c>
      <c r="C769" s="460">
        <v>8000</v>
      </c>
      <c r="D769" s="460" t="s">
        <v>2364</v>
      </c>
      <c r="E769" s="460" t="s">
        <v>1138</v>
      </c>
      <c r="F769" s="460">
        <v>3</v>
      </c>
      <c r="G769" s="460">
        <v>4</v>
      </c>
      <c r="H769" s="461" t="s">
        <v>746</v>
      </c>
      <c r="I769" s="461" t="s">
        <v>762</v>
      </c>
      <c r="J769" s="461" t="s">
        <v>700</v>
      </c>
      <c r="K769" s="594"/>
      <c r="L769" s="594"/>
      <c r="M769" s="352">
        <v>8000</v>
      </c>
      <c r="N769" s="352" t="s">
        <v>760</v>
      </c>
      <c r="O769" s="460">
        <v>1411</v>
      </c>
      <c r="P769" s="460" t="s">
        <v>743</v>
      </c>
      <c r="Q769" s="460" t="s">
        <v>2553</v>
      </c>
      <c r="R769" s="460">
        <v>1411</v>
      </c>
      <c r="S769" s="460" t="s">
        <v>1138</v>
      </c>
      <c r="T769" s="462">
        <v>1</v>
      </c>
      <c r="U769" s="460" t="s">
        <v>1138</v>
      </c>
      <c r="V769" s="475">
        <v>0</v>
      </c>
      <c r="W769" s="463" t="s">
        <v>2268</v>
      </c>
      <c r="X769" s="463" t="s">
        <v>2268</v>
      </c>
      <c r="Y769" s="463" t="s">
        <v>2554</v>
      </c>
      <c r="Z769" s="463"/>
      <c r="AA769" s="463"/>
      <c r="AB769" s="464">
        <v>0</v>
      </c>
      <c r="AC769" s="465">
        <v>0</v>
      </c>
      <c r="AD769" s="465">
        <v>0</v>
      </c>
      <c r="AE769" s="476">
        <v>0</v>
      </c>
      <c r="AF769" s="467">
        <v>0</v>
      </c>
      <c r="AG769" s="468">
        <v>0</v>
      </c>
      <c r="AH769" s="218">
        <v>0</v>
      </c>
      <c r="AI769" s="470">
        <v>0</v>
      </c>
      <c r="AJ769" s="471">
        <v>0</v>
      </c>
      <c r="AK769" s="218">
        <v>0</v>
      </c>
      <c r="AL769" s="470">
        <v>0</v>
      </c>
      <c r="AM769" s="471">
        <v>0</v>
      </c>
      <c r="AN769" s="477">
        <v>8.6287127425582248</v>
      </c>
      <c r="AO769" s="473">
        <v>7.8974831938399496E-3</v>
      </c>
      <c r="AP769" s="474">
        <v>4.4660404862766285E-3</v>
      </c>
      <c r="AQ769" s="352"/>
      <c r="AR769" s="352"/>
      <c r="AS769" s="352"/>
      <c r="AT769" s="352"/>
      <c r="AU769" s="352"/>
      <c r="AV769" s="352"/>
      <c r="AW769" s="352" t="s">
        <v>254</v>
      </c>
    </row>
    <row r="770" spans="2:49" x14ac:dyDescent="0.2">
      <c r="B770" s="460" t="s">
        <v>2594</v>
      </c>
      <c r="C770" s="460">
        <v>8000</v>
      </c>
      <c r="D770" s="460" t="s">
        <v>2365</v>
      </c>
      <c r="E770" s="460" t="s">
        <v>1139</v>
      </c>
      <c r="F770" s="460">
        <v>4</v>
      </c>
      <c r="G770" s="460">
        <v>4</v>
      </c>
      <c r="H770" s="461" t="s">
        <v>746</v>
      </c>
      <c r="I770" s="461" t="s">
        <v>762</v>
      </c>
      <c r="J770" s="461" t="s">
        <v>700</v>
      </c>
      <c r="K770" s="594"/>
      <c r="L770" s="594"/>
      <c r="M770" s="352">
        <v>8000</v>
      </c>
      <c r="N770" s="352" t="s">
        <v>760</v>
      </c>
      <c r="O770" s="460">
        <v>1411</v>
      </c>
      <c r="P770" s="460" t="s">
        <v>743</v>
      </c>
      <c r="Q770" s="460" t="s">
        <v>2553</v>
      </c>
      <c r="R770" s="460">
        <v>1411</v>
      </c>
      <c r="S770" s="460" t="s">
        <v>1139</v>
      </c>
      <c r="T770" s="462">
        <v>1</v>
      </c>
      <c r="U770" s="460" t="s">
        <v>1139</v>
      </c>
      <c r="V770" s="475">
        <v>0</v>
      </c>
      <c r="W770" s="463" t="s">
        <v>2268</v>
      </c>
      <c r="X770" s="463" t="s">
        <v>2268</v>
      </c>
      <c r="Y770" s="463" t="s">
        <v>2554</v>
      </c>
      <c r="Z770" s="463"/>
      <c r="AA770" s="463"/>
      <c r="AB770" s="464">
        <v>0</v>
      </c>
      <c r="AC770" s="465">
        <v>0</v>
      </c>
      <c r="AD770" s="465">
        <v>0</v>
      </c>
      <c r="AE770" s="476">
        <v>0</v>
      </c>
      <c r="AF770" s="467">
        <v>0</v>
      </c>
      <c r="AG770" s="468">
        <v>0</v>
      </c>
      <c r="AH770" s="218">
        <v>0</v>
      </c>
      <c r="AI770" s="470">
        <v>0</v>
      </c>
      <c r="AJ770" s="471">
        <v>0</v>
      </c>
      <c r="AK770" s="218">
        <v>0</v>
      </c>
      <c r="AL770" s="470">
        <v>0</v>
      </c>
      <c r="AM770" s="471">
        <v>0</v>
      </c>
      <c r="AN770" s="477">
        <v>0</v>
      </c>
      <c r="AO770" s="473">
        <v>0</v>
      </c>
      <c r="AP770" s="474">
        <v>0</v>
      </c>
      <c r="AQ770" s="352"/>
      <c r="AR770" s="352"/>
      <c r="AS770" s="352"/>
      <c r="AT770" s="352"/>
      <c r="AU770" s="352"/>
      <c r="AV770" s="352"/>
      <c r="AW770" s="352" t="s">
        <v>254</v>
      </c>
    </row>
    <row r="771" spans="2:49" x14ac:dyDescent="0.2">
      <c r="B771" s="460" t="s">
        <v>2591</v>
      </c>
      <c r="C771" s="460">
        <v>8000</v>
      </c>
      <c r="D771" s="460" t="s">
        <v>2366</v>
      </c>
      <c r="E771" s="460" t="s">
        <v>1136</v>
      </c>
      <c r="F771" s="460">
        <v>1</v>
      </c>
      <c r="G771" s="460">
        <v>4</v>
      </c>
      <c r="H771" s="461" t="s">
        <v>748</v>
      </c>
      <c r="I771" s="461" t="s">
        <v>765</v>
      </c>
      <c r="J771" s="461" t="s">
        <v>700</v>
      </c>
      <c r="K771" s="594"/>
      <c r="L771" s="594"/>
      <c r="M771" s="352">
        <v>8000</v>
      </c>
      <c r="N771" s="352" t="s">
        <v>760</v>
      </c>
      <c r="O771" s="460">
        <v>1411</v>
      </c>
      <c r="P771" s="460" t="s">
        <v>743</v>
      </c>
      <c r="Q771" s="460" t="s">
        <v>2553</v>
      </c>
      <c r="R771" s="460">
        <v>1411</v>
      </c>
      <c r="S771" s="460" t="s">
        <v>1136</v>
      </c>
      <c r="T771" s="462">
        <v>1</v>
      </c>
      <c r="U771" s="460" t="s">
        <v>1136</v>
      </c>
      <c r="V771" s="475">
        <v>0</v>
      </c>
      <c r="W771" s="463" t="s">
        <v>2268</v>
      </c>
      <c r="X771" s="463" t="s">
        <v>2268</v>
      </c>
      <c r="Y771" s="463" t="s">
        <v>2554</v>
      </c>
      <c r="Z771" s="463"/>
      <c r="AA771" s="463"/>
      <c r="AB771" s="464">
        <v>0</v>
      </c>
      <c r="AC771" s="465">
        <v>0</v>
      </c>
      <c r="AD771" s="465">
        <v>0</v>
      </c>
      <c r="AE771" s="476">
        <v>0</v>
      </c>
      <c r="AF771" s="467">
        <v>0</v>
      </c>
      <c r="AG771" s="468">
        <v>0</v>
      </c>
      <c r="AH771" s="218">
        <v>0</v>
      </c>
      <c r="AI771" s="470">
        <v>0</v>
      </c>
      <c r="AJ771" s="471">
        <v>0</v>
      </c>
      <c r="AK771" s="218">
        <v>0</v>
      </c>
      <c r="AL771" s="470">
        <v>0</v>
      </c>
      <c r="AM771" s="471">
        <v>0</v>
      </c>
      <c r="AN771" s="477">
        <v>0.11567556764921379</v>
      </c>
      <c r="AO771" s="473">
        <v>1.3283652965445972E-4</v>
      </c>
      <c r="AP771" s="474">
        <v>1.4212451464928086E-4</v>
      </c>
      <c r="AQ771" s="352"/>
      <c r="AR771" s="352"/>
      <c r="AS771" s="352"/>
      <c r="AT771" s="352"/>
      <c r="AU771" s="352"/>
      <c r="AV771" s="352"/>
      <c r="AW771" s="352" t="s">
        <v>254</v>
      </c>
    </row>
    <row r="772" spans="2:49" x14ac:dyDescent="0.2">
      <c r="B772" s="460" t="s">
        <v>2592</v>
      </c>
      <c r="C772" s="460">
        <v>8000</v>
      </c>
      <c r="D772" s="460" t="s">
        <v>2367</v>
      </c>
      <c r="E772" s="460" t="s">
        <v>1137</v>
      </c>
      <c r="F772" s="460">
        <v>2</v>
      </c>
      <c r="G772" s="460">
        <v>4</v>
      </c>
      <c r="H772" s="461" t="s">
        <v>748</v>
      </c>
      <c r="I772" s="461" t="s">
        <v>765</v>
      </c>
      <c r="J772" s="461" t="s">
        <v>700</v>
      </c>
      <c r="K772" s="594"/>
      <c r="L772" s="594"/>
      <c r="M772" s="352">
        <v>8000</v>
      </c>
      <c r="N772" s="352" t="s">
        <v>760</v>
      </c>
      <c r="O772" s="460">
        <v>1411</v>
      </c>
      <c r="P772" s="460" t="s">
        <v>743</v>
      </c>
      <c r="Q772" s="460" t="s">
        <v>2553</v>
      </c>
      <c r="R772" s="460">
        <v>1411</v>
      </c>
      <c r="S772" s="460" t="s">
        <v>1137</v>
      </c>
      <c r="T772" s="462">
        <v>1</v>
      </c>
      <c r="U772" s="460" t="s">
        <v>1137</v>
      </c>
      <c r="V772" s="475">
        <v>0</v>
      </c>
      <c r="W772" s="463" t="s">
        <v>2268</v>
      </c>
      <c r="X772" s="463" t="s">
        <v>2268</v>
      </c>
      <c r="Y772" s="463" t="s">
        <v>2554</v>
      </c>
      <c r="Z772" s="463"/>
      <c r="AA772" s="463"/>
      <c r="AB772" s="464">
        <v>0</v>
      </c>
      <c r="AC772" s="465">
        <v>0</v>
      </c>
      <c r="AD772" s="465">
        <v>0</v>
      </c>
      <c r="AE772" s="476">
        <v>0</v>
      </c>
      <c r="AF772" s="467">
        <v>0</v>
      </c>
      <c r="AG772" s="468">
        <v>0</v>
      </c>
      <c r="AH772" s="218">
        <v>0</v>
      </c>
      <c r="AI772" s="470">
        <v>0</v>
      </c>
      <c r="AJ772" s="471">
        <v>0</v>
      </c>
      <c r="AK772" s="218">
        <v>0</v>
      </c>
      <c r="AL772" s="470">
        <v>0</v>
      </c>
      <c r="AM772" s="471">
        <v>0</v>
      </c>
      <c r="AN772" s="477">
        <v>1.4574807500866289</v>
      </c>
      <c r="AO772" s="473">
        <v>1.0713588101124117E-3</v>
      </c>
      <c r="AP772" s="474">
        <v>1.4038616161318445E-3</v>
      </c>
      <c r="AQ772" s="352"/>
      <c r="AR772" s="352"/>
      <c r="AS772" s="352"/>
      <c r="AT772" s="352"/>
      <c r="AU772" s="352"/>
      <c r="AV772" s="352"/>
      <c r="AW772" s="352" t="s">
        <v>254</v>
      </c>
    </row>
    <row r="773" spans="2:49" x14ac:dyDescent="0.2">
      <c r="B773" s="460" t="s">
        <v>2593</v>
      </c>
      <c r="C773" s="460">
        <v>8000</v>
      </c>
      <c r="D773" s="460" t="s">
        <v>2368</v>
      </c>
      <c r="E773" s="460" t="s">
        <v>1138</v>
      </c>
      <c r="F773" s="460">
        <v>3</v>
      </c>
      <c r="G773" s="460">
        <v>4</v>
      </c>
      <c r="H773" s="461" t="s">
        <v>748</v>
      </c>
      <c r="I773" s="461" t="s">
        <v>765</v>
      </c>
      <c r="J773" s="461" t="s">
        <v>700</v>
      </c>
      <c r="K773" s="594"/>
      <c r="L773" s="594"/>
      <c r="M773" s="352">
        <v>8000</v>
      </c>
      <c r="N773" s="352" t="s">
        <v>760</v>
      </c>
      <c r="O773" s="460">
        <v>1411</v>
      </c>
      <c r="P773" s="460" t="s">
        <v>743</v>
      </c>
      <c r="Q773" s="460" t="s">
        <v>2553</v>
      </c>
      <c r="R773" s="460">
        <v>1411</v>
      </c>
      <c r="S773" s="460" t="s">
        <v>1138</v>
      </c>
      <c r="T773" s="462">
        <v>1</v>
      </c>
      <c r="U773" s="460" t="s">
        <v>1138</v>
      </c>
      <c r="V773" s="475">
        <v>0</v>
      </c>
      <c r="W773" s="463" t="s">
        <v>2268</v>
      </c>
      <c r="X773" s="463" t="s">
        <v>2268</v>
      </c>
      <c r="Y773" s="463" t="s">
        <v>2554</v>
      </c>
      <c r="Z773" s="463"/>
      <c r="AA773" s="463"/>
      <c r="AB773" s="464">
        <v>0</v>
      </c>
      <c r="AC773" s="465">
        <v>0</v>
      </c>
      <c r="AD773" s="465">
        <v>0</v>
      </c>
      <c r="AE773" s="476">
        <v>0</v>
      </c>
      <c r="AF773" s="467">
        <v>0</v>
      </c>
      <c r="AG773" s="468">
        <v>0</v>
      </c>
      <c r="AH773" s="218">
        <v>0</v>
      </c>
      <c r="AI773" s="470">
        <v>0</v>
      </c>
      <c r="AJ773" s="471">
        <v>0</v>
      </c>
      <c r="AK773" s="218">
        <v>0</v>
      </c>
      <c r="AL773" s="470">
        <v>0</v>
      </c>
      <c r="AM773" s="471">
        <v>0</v>
      </c>
      <c r="AN773" s="477">
        <v>0.78442843114165739</v>
      </c>
      <c r="AO773" s="473">
        <v>7.1795301762181418E-4</v>
      </c>
      <c r="AP773" s="474">
        <v>8.1388410753584152E-4</v>
      </c>
      <c r="AQ773" s="352"/>
      <c r="AR773" s="352"/>
      <c r="AS773" s="352"/>
      <c r="AT773" s="352"/>
      <c r="AU773" s="352"/>
      <c r="AV773" s="352"/>
      <c r="AW773" s="352" t="s">
        <v>254</v>
      </c>
    </row>
    <row r="774" spans="2:49" x14ac:dyDescent="0.2">
      <c r="B774" s="460" t="s">
        <v>2594</v>
      </c>
      <c r="C774" s="460">
        <v>8000</v>
      </c>
      <c r="D774" s="460" t="s">
        <v>2369</v>
      </c>
      <c r="E774" s="460" t="s">
        <v>1139</v>
      </c>
      <c r="F774" s="460">
        <v>4</v>
      </c>
      <c r="G774" s="460">
        <v>4</v>
      </c>
      <c r="H774" s="461" t="s">
        <v>748</v>
      </c>
      <c r="I774" s="461" t="s">
        <v>765</v>
      </c>
      <c r="J774" s="461" t="s">
        <v>700</v>
      </c>
      <c r="K774" s="594"/>
      <c r="L774" s="594"/>
      <c r="M774" s="352">
        <v>8000</v>
      </c>
      <c r="N774" s="352" t="s">
        <v>760</v>
      </c>
      <c r="O774" s="460">
        <v>1411</v>
      </c>
      <c r="P774" s="460" t="s">
        <v>743</v>
      </c>
      <c r="Q774" s="460" t="s">
        <v>2553</v>
      </c>
      <c r="R774" s="460">
        <v>1411</v>
      </c>
      <c r="S774" s="460" t="s">
        <v>1139</v>
      </c>
      <c r="T774" s="462">
        <v>1</v>
      </c>
      <c r="U774" s="460" t="s">
        <v>1139</v>
      </c>
      <c r="V774" s="475">
        <v>0</v>
      </c>
      <c r="W774" s="463" t="s">
        <v>2268</v>
      </c>
      <c r="X774" s="463" t="s">
        <v>2268</v>
      </c>
      <c r="Y774" s="463" t="s">
        <v>2554</v>
      </c>
      <c r="Z774" s="463"/>
      <c r="AA774" s="463"/>
      <c r="AB774" s="464">
        <v>0</v>
      </c>
      <c r="AC774" s="465">
        <v>0</v>
      </c>
      <c r="AD774" s="465">
        <v>0</v>
      </c>
      <c r="AE774" s="476">
        <v>0</v>
      </c>
      <c r="AF774" s="467">
        <v>0</v>
      </c>
      <c r="AG774" s="468">
        <v>0</v>
      </c>
      <c r="AH774" s="218">
        <v>0</v>
      </c>
      <c r="AI774" s="470">
        <v>0</v>
      </c>
      <c r="AJ774" s="471">
        <v>0</v>
      </c>
      <c r="AK774" s="218">
        <v>0</v>
      </c>
      <c r="AL774" s="470">
        <v>0</v>
      </c>
      <c r="AM774" s="471">
        <v>0</v>
      </c>
      <c r="AN774" s="477">
        <v>0</v>
      </c>
      <c r="AO774" s="473">
        <v>0</v>
      </c>
      <c r="AP774" s="474">
        <v>0</v>
      </c>
      <c r="AQ774" s="352"/>
      <c r="AR774" s="352"/>
      <c r="AS774" s="352"/>
      <c r="AT774" s="352"/>
      <c r="AU774" s="352"/>
      <c r="AV774" s="352"/>
      <c r="AW774" s="352" t="s">
        <v>254</v>
      </c>
    </row>
    <row r="775" spans="2:49" x14ac:dyDescent="0.2">
      <c r="B775" s="460" t="s">
        <v>2591</v>
      </c>
      <c r="C775" s="460">
        <v>8000</v>
      </c>
      <c r="D775" s="460" t="s">
        <v>2370</v>
      </c>
      <c r="E775" s="460" t="s">
        <v>1136</v>
      </c>
      <c r="F775" s="460">
        <v>1</v>
      </c>
      <c r="G775" s="460">
        <v>4</v>
      </c>
      <c r="H775" s="461" t="s">
        <v>752</v>
      </c>
      <c r="I775" s="461" t="s">
        <v>964</v>
      </c>
      <c r="J775" s="461" t="s">
        <v>752</v>
      </c>
      <c r="K775" s="594"/>
      <c r="L775" s="594"/>
      <c r="M775" s="352">
        <v>8000</v>
      </c>
      <c r="N775" s="352" t="s">
        <v>760</v>
      </c>
      <c r="O775" s="460">
        <v>1411</v>
      </c>
      <c r="P775" s="460" t="s">
        <v>743</v>
      </c>
      <c r="Q775" s="460" t="s">
        <v>2553</v>
      </c>
      <c r="R775" s="460">
        <v>1411</v>
      </c>
      <c r="S775" s="460" t="s">
        <v>1136</v>
      </c>
      <c r="T775" s="462">
        <v>1</v>
      </c>
      <c r="U775" s="460" t="s">
        <v>1136</v>
      </c>
      <c r="V775" s="475">
        <v>0</v>
      </c>
      <c r="W775" s="463" t="s">
        <v>2278</v>
      </c>
      <c r="X775" s="463" t="s">
        <v>2278</v>
      </c>
      <c r="Y775" s="463" t="s">
        <v>2278</v>
      </c>
      <c r="Z775" s="463"/>
      <c r="AA775" s="463"/>
      <c r="AB775" s="464">
        <v>0</v>
      </c>
      <c r="AC775" s="465">
        <v>0</v>
      </c>
      <c r="AD775" s="465">
        <v>0</v>
      </c>
      <c r="AE775" s="476">
        <v>0</v>
      </c>
      <c r="AF775" s="467">
        <v>0</v>
      </c>
      <c r="AG775" s="468">
        <v>0</v>
      </c>
      <c r="AH775" s="218">
        <v>0</v>
      </c>
      <c r="AI775" s="470">
        <v>0</v>
      </c>
      <c r="AJ775" s="471">
        <v>0</v>
      </c>
      <c r="AK775" s="218">
        <v>0</v>
      </c>
      <c r="AL775" s="470">
        <v>0</v>
      </c>
      <c r="AM775" s="471">
        <v>0</v>
      </c>
      <c r="AN775" s="477">
        <v>0</v>
      </c>
      <c r="AO775" s="473">
        <v>0</v>
      </c>
      <c r="AP775" s="474">
        <v>0</v>
      </c>
      <c r="AQ775" s="352"/>
      <c r="AR775" s="352"/>
      <c r="AS775" s="352"/>
      <c r="AT775" s="352"/>
      <c r="AU775" s="352"/>
      <c r="AV775" s="352"/>
      <c r="AW775" s="352" t="s">
        <v>254</v>
      </c>
    </row>
    <row r="776" spans="2:49" x14ac:dyDescent="0.2">
      <c r="B776" s="460" t="s">
        <v>2592</v>
      </c>
      <c r="C776" s="460">
        <v>8000</v>
      </c>
      <c r="D776" s="460" t="s">
        <v>2371</v>
      </c>
      <c r="E776" s="460" t="s">
        <v>1137</v>
      </c>
      <c r="F776" s="460">
        <v>2</v>
      </c>
      <c r="G776" s="460">
        <v>4</v>
      </c>
      <c r="H776" s="461" t="s">
        <v>752</v>
      </c>
      <c r="I776" s="461" t="s">
        <v>964</v>
      </c>
      <c r="J776" s="461" t="s">
        <v>752</v>
      </c>
      <c r="K776" s="594"/>
      <c r="L776" s="594"/>
      <c r="M776" s="352">
        <v>8000</v>
      </c>
      <c r="N776" s="352" t="s">
        <v>760</v>
      </c>
      <c r="O776" s="460">
        <v>1411</v>
      </c>
      <c r="P776" s="460" t="s">
        <v>743</v>
      </c>
      <c r="Q776" s="460" t="s">
        <v>2553</v>
      </c>
      <c r="R776" s="460">
        <v>1411</v>
      </c>
      <c r="S776" s="460" t="s">
        <v>1137</v>
      </c>
      <c r="T776" s="462">
        <v>1</v>
      </c>
      <c r="U776" s="460" t="s">
        <v>1137</v>
      </c>
      <c r="V776" s="475">
        <v>0</v>
      </c>
      <c r="W776" s="463" t="s">
        <v>2278</v>
      </c>
      <c r="X776" s="463" t="s">
        <v>2278</v>
      </c>
      <c r="Y776" s="463" t="s">
        <v>2278</v>
      </c>
      <c r="Z776" s="463"/>
      <c r="AA776" s="463"/>
      <c r="AB776" s="464">
        <v>0</v>
      </c>
      <c r="AC776" s="465">
        <v>0</v>
      </c>
      <c r="AD776" s="465">
        <v>0</v>
      </c>
      <c r="AE776" s="476">
        <v>0</v>
      </c>
      <c r="AF776" s="467">
        <v>0</v>
      </c>
      <c r="AG776" s="468">
        <v>0</v>
      </c>
      <c r="AH776" s="218">
        <v>0</v>
      </c>
      <c r="AI776" s="470">
        <v>0</v>
      </c>
      <c r="AJ776" s="471">
        <v>0</v>
      </c>
      <c r="AK776" s="218">
        <v>0</v>
      </c>
      <c r="AL776" s="470">
        <v>0</v>
      </c>
      <c r="AM776" s="471">
        <v>0</v>
      </c>
      <c r="AN776" s="477">
        <v>0</v>
      </c>
      <c r="AO776" s="473">
        <v>0</v>
      </c>
      <c r="AP776" s="474">
        <v>0</v>
      </c>
      <c r="AQ776" s="352"/>
      <c r="AR776" s="352"/>
      <c r="AS776" s="352"/>
      <c r="AT776" s="352"/>
      <c r="AU776" s="352"/>
      <c r="AV776" s="352"/>
      <c r="AW776" s="352" t="s">
        <v>254</v>
      </c>
    </row>
    <row r="777" spans="2:49" x14ac:dyDescent="0.2">
      <c r="B777" s="460" t="s">
        <v>2593</v>
      </c>
      <c r="C777" s="460">
        <v>8000</v>
      </c>
      <c r="D777" s="460" t="s">
        <v>2372</v>
      </c>
      <c r="E777" s="460" t="s">
        <v>1138</v>
      </c>
      <c r="F777" s="460">
        <v>3</v>
      </c>
      <c r="G777" s="460">
        <v>4</v>
      </c>
      <c r="H777" s="461" t="s">
        <v>752</v>
      </c>
      <c r="I777" s="461" t="s">
        <v>964</v>
      </c>
      <c r="J777" s="461" t="s">
        <v>752</v>
      </c>
      <c r="K777" s="594"/>
      <c r="L777" s="594"/>
      <c r="M777" s="352">
        <v>8000</v>
      </c>
      <c r="N777" s="352" t="s">
        <v>760</v>
      </c>
      <c r="O777" s="460">
        <v>1411</v>
      </c>
      <c r="P777" s="460" t="s">
        <v>743</v>
      </c>
      <c r="Q777" s="460" t="s">
        <v>2553</v>
      </c>
      <c r="R777" s="460">
        <v>1411</v>
      </c>
      <c r="S777" s="460" t="s">
        <v>1138</v>
      </c>
      <c r="T777" s="462">
        <v>1</v>
      </c>
      <c r="U777" s="460" t="s">
        <v>1138</v>
      </c>
      <c r="V777" s="475">
        <v>0</v>
      </c>
      <c r="W777" s="463" t="s">
        <v>2278</v>
      </c>
      <c r="X777" s="463" t="s">
        <v>2278</v>
      </c>
      <c r="Y777" s="463" t="s">
        <v>2278</v>
      </c>
      <c r="Z777" s="463"/>
      <c r="AA777" s="463"/>
      <c r="AB777" s="464">
        <v>0</v>
      </c>
      <c r="AC777" s="465">
        <v>0</v>
      </c>
      <c r="AD777" s="465">
        <v>0</v>
      </c>
      <c r="AE777" s="476">
        <v>0</v>
      </c>
      <c r="AF777" s="467">
        <v>0</v>
      </c>
      <c r="AG777" s="468">
        <v>0</v>
      </c>
      <c r="AH777" s="218">
        <v>0</v>
      </c>
      <c r="AI777" s="470">
        <v>0</v>
      </c>
      <c r="AJ777" s="471">
        <v>0</v>
      </c>
      <c r="AK777" s="218">
        <v>0</v>
      </c>
      <c r="AL777" s="470">
        <v>0</v>
      </c>
      <c r="AM777" s="471">
        <v>0</v>
      </c>
      <c r="AN777" s="477">
        <v>0</v>
      </c>
      <c r="AO777" s="473">
        <v>0</v>
      </c>
      <c r="AP777" s="474">
        <v>0</v>
      </c>
      <c r="AQ777" s="352"/>
      <c r="AR777" s="352"/>
      <c r="AS777" s="352"/>
      <c r="AT777" s="352"/>
      <c r="AU777" s="352"/>
      <c r="AV777" s="352"/>
      <c r="AW777" s="352" t="s">
        <v>254</v>
      </c>
    </row>
    <row r="778" spans="2:49" x14ac:dyDescent="0.2">
      <c r="B778" s="460" t="s">
        <v>2594</v>
      </c>
      <c r="C778" s="460">
        <v>8000</v>
      </c>
      <c r="D778" s="460" t="s">
        <v>2373</v>
      </c>
      <c r="E778" s="460" t="s">
        <v>1139</v>
      </c>
      <c r="F778" s="460">
        <v>4</v>
      </c>
      <c r="G778" s="460">
        <v>4</v>
      </c>
      <c r="H778" s="461" t="s">
        <v>752</v>
      </c>
      <c r="I778" s="461" t="s">
        <v>964</v>
      </c>
      <c r="J778" s="461" t="s">
        <v>752</v>
      </c>
      <c r="K778" s="594"/>
      <c r="L778" s="594"/>
      <c r="M778" s="352">
        <v>8000</v>
      </c>
      <c r="N778" s="352" t="s">
        <v>760</v>
      </c>
      <c r="O778" s="460">
        <v>1411</v>
      </c>
      <c r="P778" s="460" t="s">
        <v>743</v>
      </c>
      <c r="Q778" s="460" t="s">
        <v>2553</v>
      </c>
      <c r="R778" s="460">
        <v>1411</v>
      </c>
      <c r="S778" s="460" t="s">
        <v>1139</v>
      </c>
      <c r="T778" s="462">
        <v>1</v>
      </c>
      <c r="U778" s="460" t="s">
        <v>1139</v>
      </c>
      <c r="V778" s="475">
        <v>0</v>
      </c>
      <c r="W778" s="463" t="s">
        <v>2278</v>
      </c>
      <c r="X778" s="463" t="s">
        <v>2278</v>
      </c>
      <c r="Y778" s="463" t="s">
        <v>2278</v>
      </c>
      <c r="Z778" s="463"/>
      <c r="AA778" s="463"/>
      <c r="AB778" s="464">
        <v>0</v>
      </c>
      <c r="AC778" s="465">
        <v>0</v>
      </c>
      <c r="AD778" s="465">
        <v>0</v>
      </c>
      <c r="AE778" s="476">
        <v>0</v>
      </c>
      <c r="AF778" s="467">
        <v>0</v>
      </c>
      <c r="AG778" s="468">
        <v>0</v>
      </c>
      <c r="AH778" s="218">
        <v>0</v>
      </c>
      <c r="AI778" s="470">
        <v>0</v>
      </c>
      <c r="AJ778" s="471">
        <v>0</v>
      </c>
      <c r="AK778" s="218">
        <v>0</v>
      </c>
      <c r="AL778" s="470">
        <v>0</v>
      </c>
      <c r="AM778" s="471">
        <v>0</v>
      </c>
      <c r="AN778" s="477">
        <v>0</v>
      </c>
      <c r="AO778" s="473">
        <v>0</v>
      </c>
      <c r="AP778" s="474">
        <v>0</v>
      </c>
      <c r="AQ778" s="352"/>
      <c r="AR778" s="352"/>
      <c r="AS778" s="352"/>
      <c r="AT778" s="352"/>
      <c r="AU778" s="352"/>
      <c r="AV778" s="352"/>
      <c r="AW778" s="352" t="s">
        <v>254</v>
      </c>
    </row>
    <row r="779" spans="2:49" x14ac:dyDescent="0.2">
      <c r="B779" s="460" t="s">
        <v>2595</v>
      </c>
      <c r="C779" s="460">
        <v>8000</v>
      </c>
      <c r="D779" s="460" t="s">
        <v>2375</v>
      </c>
      <c r="E779" s="460" t="s">
        <v>2376</v>
      </c>
      <c r="F779" s="460">
        <v>1</v>
      </c>
      <c r="G779" s="460">
        <v>5</v>
      </c>
      <c r="H779" s="461" t="s">
        <v>754</v>
      </c>
      <c r="I779" s="461" t="s">
        <v>1991</v>
      </c>
      <c r="J779" s="461" t="s">
        <v>754</v>
      </c>
      <c r="K779" s="594"/>
      <c r="L779" s="594"/>
      <c r="M779" s="352">
        <v>8000</v>
      </c>
      <c r="N779" s="352" t="s">
        <v>760</v>
      </c>
      <c r="O779" s="460">
        <v>1411</v>
      </c>
      <c r="P779" s="460" t="s">
        <v>743</v>
      </c>
      <c r="Q779" s="460" t="s">
        <v>2377</v>
      </c>
      <c r="R779" s="460">
        <v>1411</v>
      </c>
      <c r="S779" s="460" t="s">
        <v>2376</v>
      </c>
      <c r="T779" s="462">
        <v>1</v>
      </c>
      <c r="U779" s="460" t="s">
        <v>2376</v>
      </c>
      <c r="V779" s="475">
        <v>0</v>
      </c>
      <c r="W779" s="463" t="s">
        <v>2278</v>
      </c>
      <c r="X779" s="463" t="s">
        <v>2278</v>
      </c>
      <c r="Y779" s="463" t="s">
        <v>2278</v>
      </c>
      <c r="Z779" s="463"/>
      <c r="AA779" s="463"/>
      <c r="AB779" s="464">
        <v>0</v>
      </c>
      <c r="AC779" s="465">
        <v>0</v>
      </c>
      <c r="AD779" s="465">
        <v>0</v>
      </c>
      <c r="AE779" s="476">
        <v>0</v>
      </c>
      <c r="AF779" s="467">
        <v>0</v>
      </c>
      <c r="AG779" s="468">
        <v>0</v>
      </c>
      <c r="AH779" s="218">
        <v>0</v>
      </c>
      <c r="AI779" s="470">
        <v>0</v>
      </c>
      <c r="AJ779" s="471">
        <v>0</v>
      </c>
      <c r="AK779" s="218">
        <v>0</v>
      </c>
      <c r="AL779" s="470">
        <v>0</v>
      </c>
      <c r="AM779" s="471">
        <v>0</v>
      </c>
      <c r="AN779" s="477">
        <v>0</v>
      </c>
      <c r="AO779" s="473">
        <v>0</v>
      </c>
      <c r="AP779" s="474">
        <v>0</v>
      </c>
      <c r="AQ779" s="352"/>
      <c r="AR779" s="352"/>
      <c r="AS779" s="352"/>
      <c r="AT779" s="352"/>
      <c r="AU779" s="352"/>
      <c r="AV779" s="352"/>
      <c r="AW779" s="352" t="s">
        <v>127</v>
      </c>
    </row>
    <row r="780" spans="2:49" x14ac:dyDescent="0.2">
      <c r="B780" s="460" t="s">
        <v>2596</v>
      </c>
      <c r="C780" s="460">
        <v>8000</v>
      </c>
      <c r="D780" s="460" t="s">
        <v>2379</v>
      </c>
      <c r="E780" s="460" t="s">
        <v>2380</v>
      </c>
      <c r="F780" s="460">
        <v>2</v>
      </c>
      <c r="G780" s="460">
        <v>5</v>
      </c>
      <c r="H780" s="461" t="s">
        <v>754</v>
      </c>
      <c r="I780" s="461" t="s">
        <v>1991</v>
      </c>
      <c r="J780" s="461" t="s">
        <v>754</v>
      </c>
      <c r="K780" s="594"/>
      <c r="L780" s="594"/>
      <c r="M780" s="352">
        <v>8000</v>
      </c>
      <c r="N780" s="352" t="s">
        <v>760</v>
      </c>
      <c r="O780" s="460">
        <v>1411</v>
      </c>
      <c r="P780" s="460" t="s">
        <v>743</v>
      </c>
      <c r="Q780" s="460" t="s">
        <v>2377</v>
      </c>
      <c r="R780" s="460">
        <v>1411</v>
      </c>
      <c r="S780" s="460" t="s">
        <v>2380</v>
      </c>
      <c r="T780" s="462">
        <v>1</v>
      </c>
      <c r="U780" s="460" t="s">
        <v>2380</v>
      </c>
      <c r="V780" s="475">
        <v>0</v>
      </c>
      <c r="W780" s="463" t="s">
        <v>2278</v>
      </c>
      <c r="X780" s="463" t="s">
        <v>2278</v>
      </c>
      <c r="Y780" s="463" t="s">
        <v>2278</v>
      </c>
      <c r="Z780" s="463"/>
      <c r="AA780" s="463"/>
      <c r="AB780" s="464">
        <v>0</v>
      </c>
      <c r="AC780" s="465">
        <v>0</v>
      </c>
      <c r="AD780" s="465">
        <v>0</v>
      </c>
      <c r="AE780" s="476">
        <v>0</v>
      </c>
      <c r="AF780" s="467">
        <v>0</v>
      </c>
      <c r="AG780" s="468">
        <v>0</v>
      </c>
      <c r="AH780" s="218">
        <v>0</v>
      </c>
      <c r="AI780" s="470">
        <v>0</v>
      </c>
      <c r="AJ780" s="471">
        <v>0</v>
      </c>
      <c r="AK780" s="218">
        <v>0</v>
      </c>
      <c r="AL780" s="470">
        <v>0</v>
      </c>
      <c r="AM780" s="471">
        <v>0</v>
      </c>
      <c r="AN780" s="477">
        <v>0</v>
      </c>
      <c r="AO780" s="473">
        <v>0</v>
      </c>
      <c r="AP780" s="474">
        <v>0</v>
      </c>
      <c r="AQ780" s="352"/>
      <c r="AR780" s="352"/>
      <c r="AS780" s="352"/>
      <c r="AT780" s="352"/>
      <c r="AU780" s="352"/>
      <c r="AV780" s="352"/>
      <c r="AW780" s="352" t="s">
        <v>127</v>
      </c>
    </row>
    <row r="781" spans="2:49" x14ac:dyDescent="0.2">
      <c r="B781" s="460" t="s">
        <v>2597</v>
      </c>
      <c r="C781" s="460">
        <v>8000</v>
      </c>
      <c r="D781" s="460" t="s">
        <v>2382</v>
      </c>
      <c r="E781" s="460" t="s">
        <v>2383</v>
      </c>
      <c r="F781" s="460">
        <v>3</v>
      </c>
      <c r="G781" s="460">
        <v>5</v>
      </c>
      <c r="H781" s="461" t="s">
        <v>754</v>
      </c>
      <c r="I781" s="461" t="s">
        <v>1991</v>
      </c>
      <c r="J781" s="461" t="s">
        <v>754</v>
      </c>
      <c r="K781" s="594"/>
      <c r="L781" s="594"/>
      <c r="M781" s="352">
        <v>8000</v>
      </c>
      <c r="N781" s="352" t="s">
        <v>760</v>
      </c>
      <c r="O781" s="460">
        <v>1411</v>
      </c>
      <c r="P781" s="460" t="s">
        <v>743</v>
      </c>
      <c r="Q781" s="460" t="s">
        <v>2377</v>
      </c>
      <c r="R781" s="460">
        <v>1411</v>
      </c>
      <c r="S781" s="460" t="s">
        <v>2383</v>
      </c>
      <c r="T781" s="462">
        <v>1</v>
      </c>
      <c r="U781" s="460" t="s">
        <v>2383</v>
      </c>
      <c r="V781" s="475">
        <v>0</v>
      </c>
      <c r="W781" s="463" t="s">
        <v>2278</v>
      </c>
      <c r="X781" s="463" t="s">
        <v>2278</v>
      </c>
      <c r="Y781" s="463" t="s">
        <v>2278</v>
      </c>
      <c r="Z781" s="463"/>
      <c r="AA781" s="463"/>
      <c r="AB781" s="464">
        <v>0</v>
      </c>
      <c r="AC781" s="465">
        <v>0</v>
      </c>
      <c r="AD781" s="465">
        <v>0</v>
      </c>
      <c r="AE781" s="476">
        <v>0</v>
      </c>
      <c r="AF781" s="467">
        <v>0</v>
      </c>
      <c r="AG781" s="468">
        <v>0</v>
      </c>
      <c r="AH781" s="218">
        <v>0</v>
      </c>
      <c r="AI781" s="470">
        <v>0</v>
      </c>
      <c r="AJ781" s="471">
        <v>0</v>
      </c>
      <c r="AK781" s="218">
        <v>0</v>
      </c>
      <c r="AL781" s="470">
        <v>0</v>
      </c>
      <c r="AM781" s="471">
        <v>0</v>
      </c>
      <c r="AN781" s="477">
        <v>0</v>
      </c>
      <c r="AO781" s="473">
        <v>0</v>
      </c>
      <c r="AP781" s="474">
        <v>0</v>
      </c>
      <c r="AQ781" s="352"/>
      <c r="AR781" s="352"/>
      <c r="AS781" s="352"/>
      <c r="AT781" s="352"/>
      <c r="AU781" s="352"/>
      <c r="AV781" s="352"/>
      <c r="AW781" s="352" t="s">
        <v>127</v>
      </c>
    </row>
    <row r="782" spans="2:49" x14ac:dyDescent="0.2">
      <c r="B782" s="460" t="s">
        <v>2598</v>
      </c>
      <c r="C782" s="460">
        <v>8000</v>
      </c>
      <c r="D782" s="460" t="s">
        <v>2385</v>
      </c>
      <c r="E782" s="460" t="s">
        <v>2386</v>
      </c>
      <c r="F782" s="460">
        <v>4</v>
      </c>
      <c r="G782" s="460">
        <v>5</v>
      </c>
      <c r="H782" s="461" t="s">
        <v>754</v>
      </c>
      <c r="I782" s="461" t="s">
        <v>1991</v>
      </c>
      <c r="J782" s="461" t="s">
        <v>754</v>
      </c>
      <c r="K782" s="594"/>
      <c r="L782" s="594"/>
      <c r="M782" s="352">
        <v>8000</v>
      </c>
      <c r="N782" s="352" t="s">
        <v>760</v>
      </c>
      <c r="O782" s="460">
        <v>1411</v>
      </c>
      <c r="P782" s="460" t="s">
        <v>743</v>
      </c>
      <c r="Q782" s="460" t="s">
        <v>2377</v>
      </c>
      <c r="R782" s="460">
        <v>1411</v>
      </c>
      <c r="S782" s="460" t="s">
        <v>2386</v>
      </c>
      <c r="T782" s="462">
        <v>1</v>
      </c>
      <c r="U782" s="460" t="s">
        <v>2386</v>
      </c>
      <c r="V782" s="475">
        <v>0</v>
      </c>
      <c r="W782" s="463" t="s">
        <v>2278</v>
      </c>
      <c r="X782" s="463" t="s">
        <v>2278</v>
      </c>
      <c r="Y782" s="463" t="s">
        <v>2278</v>
      </c>
      <c r="Z782" s="463"/>
      <c r="AA782" s="463"/>
      <c r="AB782" s="464">
        <v>0</v>
      </c>
      <c r="AC782" s="465">
        <v>0</v>
      </c>
      <c r="AD782" s="465">
        <v>0</v>
      </c>
      <c r="AE782" s="476">
        <v>0</v>
      </c>
      <c r="AF782" s="467">
        <v>0</v>
      </c>
      <c r="AG782" s="468">
        <v>0</v>
      </c>
      <c r="AH782" s="218">
        <v>0</v>
      </c>
      <c r="AI782" s="470">
        <v>0</v>
      </c>
      <c r="AJ782" s="471">
        <v>0</v>
      </c>
      <c r="AK782" s="218">
        <v>0</v>
      </c>
      <c r="AL782" s="470">
        <v>0</v>
      </c>
      <c r="AM782" s="471">
        <v>0</v>
      </c>
      <c r="AN782" s="477">
        <v>0</v>
      </c>
      <c r="AO782" s="473">
        <v>0</v>
      </c>
      <c r="AP782" s="474">
        <v>0</v>
      </c>
      <c r="AQ782" s="352"/>
      <c r="AR782" s="352"/>
      <c r="AS782" s="352"/>
      <c r="AT782" s="352"/>
      <c r="AU782" s="352"/>
      <c r="AV782" s="352"/>
      <c r="AW782" s="352" t="s">
        <v>127</v>
      </c>
    </row>
    <row r="783" spans="2:49" x14ac:dyDescent="0.2">
      <c r="B783" s="460" t="s">
        <v>2599</v>
      </c>
      <c r="C783" s="460">
        <v>2111</v>
      </c>
      <c r="D783" s="460" t="s">
        <v>2264</v>
      </c>
      <c r="E783" s="460" t="s">
        <v>2265</v>
      </c>
      <c r="F783" s="460">
        <v>1</v>
      </c>
      <c r="G783" s="460">
        <v>1</v>
      </c>
      <c r="H783" s="461" t="s">
        <v>700</v>
      </c>
      <c r="I783" s="461" t="s">
        <v>872</v>
      </c>
      <c r="J783" s="461" t="s">
        <v>700</v>
      </c>
      <c r="K783" s="594"/>
      <c r="L783" s="594"/>
      <c r="M783" s="352">
        <v>2000</v>
      </c>
      <c r="N783" s="352" t="s">
        <v>703</v>
      </c>
      <c r="O783" s="460">
        <v>2111</v>
      </c>
      <c r="P783" s="460" t="s">
        <v>1873</v>
      </c>
      <c r="Q783" s="460" t="s">
        <v>2266</v>
      </c>
      <c r="R783" s="460">
        <v>2111</v>
      </c>
      <c r="S783" s="460" t="s">
        <v>2265</v>
      </c>
      <c r="T783" s="462">
        <v>1</v>
      </c>
      <c r="U783" s="460" t="s">
        <v>2265</v>
      </c>
      <c r="V783" s="475">
        <v>0</v>
      </c>
      <c r="W783" s="463" t="s">
        <v>2267</v>
      </c>
      <c r="X783" s="463" t="s">
        <v>2267</v>
      </c>
      <c r="Y783" s="463" t="s">
        <v>2268</v>
      </c>
      <c r="Z783" s="463"/>
      <c r="AA783" s="463"/>
      <c r="AB783" s="464">
        <v>382.31503468221683</v>
      </c>
      <c r="AC783" s="465">
        <v>0.46003930478582672</v>
      </c>
      <c r="AD783" s="465">
        <v>3.5453736949502004E-3</v>
      </c>
      <c r="AE783" s="476">
        <v>382.31503468221683</v>
      </c>
      <c r="AF783" s="467">
        <v>0.46003930478582672</v>
      </c>
      <c r="AG783" s="468">
        <v>3.7872011170613494E-3</v>
      </c>
      <c r="AH783" s="218">
        <v>382.31503468221683</v>
      </c>
      <c r="AI783" s="470">
        <v>0.46003930478582672</v>
      </c>
      <c r="AJ783" s="471">
        <v>3.6455035344058143E-3</v>
      </c>
      <c r="AK783" s="218">
        <v>382.31503468221683</v>
      </c>
      <c r="AL783" s="470">
        <v>0.46003930478582672</v>
      </c>
      <c r="AM783" s="471">
        <v>3.6455035344058143E-3</v>
      </c>
      <c r="AN783" s="477">
        <v>0</v>
      </c>
      <c r="AO783" s="473">
        <v>0</v>
      </c>
      <c r="AP783" s="474">
        <v>0</v>
      </c>
      <c r="AQ783" s="352"/>
      <c r="AR783" s="352"/>
      <c r="AS783" s="352"/>
      <c r="AT783" s="352"/>
      <c r="AU783" s="352"/>
      <c r="AV783" s="352"/>
      <c r="AW783" s="352" t="s">
        <v>254</v>
      </c>
    </row>
    <row r="784" spans="2:49" x14ac:dyDescent="0.2">
      <c r="B784" s="460" t="s">
        <v>2600</v>
      </c>
      <c r="C784" s="460">
        <v>2111</v>
      </c>
      <c r="D784" s="460" t="s">
        <v>2270</v>
      </c>
      <c r="E784" s="460" t="s">
        <v>2271</v>
      </c>
      <c r="F784" s="460">
        <v>2</v>
      </c>
      <c r="G784" s="460">
        <v>1</v>
      </c>
      <c r="H784" s="461" t="s">
        <v>700</v>
      </c>
      <c r="I784" s="461" t="s">
        <v>872</v>
      </c>
      <c r="J784" s="461" t="s">
        <v>700</v>
      </c>
      <c r="K784" s="594"/>
      <c r="L784" s="594"/>
      <c r="M784" s="352">
        <v>2000</v>
      </c>
      <c r="N784" s="352" t="s">
        <v>703</v>
      </c>
      <c r="O784" s="460">
        <v>2111</v>
      </c>
      <c r="P784" s="460" t="s">
        <v>1873</v>
      </c>
      <c r="Q784" s="460" t="s">
        <v>2266</v>
      </c>
      <c r="R784" s="460">
        <v>2111</v>
      </c>
      <c r="S784" s="460" t="s">
        <v>2265</v>
      </c>
      <c r="T784" s="462">
        <v>1</v>
      </c>
      <c r="U784" s="460" t="s">
        <v>2271</v>
      </c>
      <c r="V784" s="475">
        <v>0</v>
      </c>
      <c r="W784" s="463" t="s">
        <v>2267</v>
      </c>
      <c r="X784" s="463" t="s">
        <v>2267</v>
      </c>
      <c r="Y784" s="463" t="s">
        <v>2268</v>
      </c>
      <c r="Z784" s="463"/>
      <c r="AA784" s="463"/>
      <c r="AB784" s="464">
        <v>480.75715273866302</v>
      </c>
      <c r="AC784" s="465">
        <v>0.44689366740016279</v>
      </c>
      <c r="AD784" s="465">
        <v>5.9646545217336725E-3</v>
      </c>
      <c r="AE784" s="476">
        <v>480.75715273866302</v>
      </c>
      <c r="AF784" s="467">
        <v>0.44689366740016279</v>
      </c>
      <c r="AG784" s="468">
        <v>6.4636649838388585E-3</v>
      </c>
      <c r="AH784" s="218">
        <v>494.89890425918236</v>
      </c>
      <c r="AI784" s="470">
        <v>0.46003930478582672</v>
      </c>
      <c r="AJ784" s="471">
        <v>5.8429741631320382E-3</v>
      </c>
      <c r="AK784" s="218">
        <v>494.89890425918236</v>
      </c>
      <c r="AL784" s="470">
        <v>0.46003930478582672</v>
      </c>
      <c r="AM784" s="471">
        <v>5.8429741631320382E-3</v>
      </c>
      <c r="AN784" s="477">
        <v>0</v>
      </c>
      <c r="AO784" s="473">
        <v>0</v>
      </c>
      <c r="AP784" s="474">
        <v>0</v>
      </c>
      <c r="AQ784" s="352"/>
      <c r="AR784" s="352"/>
      <c r="AS784" s="352"/>
      <c r="AT784" s="352"/>
      <c r="AU784" s="352"/>
      <c r="AV784" s="352"/>
      <c r="AW784" s="352" t="s">
        <v>254</v>
      </c>
    </row>
    <row r="785" spans="2:49" x14ac:dyDescent="0.2">
      <c r="B785" s="460" t="s">
        <v>2601</v>
      </c>
      <c r="C785" s="460">
        <v>2111</v>
      </c>
      <c r="D785" s="460" t="s">
        <v>2273</v>
      </c>
      <c r="E785" s="460" t="s">
        <v>2274</v>
      </c>
      <c r="F785" s="460">
        <v>3</v>
      </c>
      <c r="G785" s="460">
        <v>1</v>
      </c>
      <c r="H785" s="461" t="s">
        <v>700</v>
      </c>
      <c r="I785" s="461" t="s">
        <v>872</v>
      </c>
      <c r="J785" s="461" t="s">
        <v>700</v>
      </c>
      <c r="K785" s="594"/>
      <c r="L785" s="594"/>
      <c r="M785" s="352">
        <v>2000</v>
      </c>
      <c r="N785" s="352" t="s">
        <v>703</v>
      </c>
      <c r="O785" s="460">
        <v>2111</v>
      </c>
      <c r="P785" s="460" t="s">
        <v>1873</v>
      </c>
      <c r="Q785" s="460" t="s">
        <v>2266</v>
      </c>
      <c r="R785" s="460">
        <v>2111</v>
      </c>
      <c r="S785" s="460" t="s">
        <v>2265</v>
      </c>
      <c r="T785" s="462">
        <v>0.74223365950407583</v>
      </c>
      <c r="U785" s="460" t="s">
        <v>2274</v>
      </c>
      <c r="V785" s="475">
        <v>0</v>
      </c>
      <c r="W785" s="463" t="s">
        <v>2267</v>
      </c>
      <c r="X785" s="463" t="s">
        <v>2267</v>
      </c>
      <c r="Y785" s="463" t="s">
        <v>2268</v>
      </c>
      <c r="Z785" s="463"/>
      <c r="AA785" s="463"/>
      <c r="AB785" s="464">
        <v>102.88643169585376</v>
      </c>
      <c r="AC785" s="465">
        <v>0.13491396193028576</v>
      </c>
      <c r="AD785" s="465">
        <v>5.0897563526082533E-3</v>
      </c>
      <c r="AE785" s="476">
        <v>102.88643169585376</v>
      </c>
      <c r="AF785" s="467">
        <v>0.13491396193028576</v>
      </c>
      <c r="AG785" s="468">
        <v>5.5130919990260732E-3</v>
      </c>
      <c r="AH785" s="218">
        <v>260.3974895164813</v>
      </c>
      <c r="AI785" s="470">
        <v>0.34145665670689507</v>
      </c>
      <c r="AJ785" s="471">
        <v>1.0104486326524265E-2</v>
      </c>
      <c r="AK785" s="218">
        <v>260.3974895164813</v>
      </c>
      <c r="AL785" s="470">
        <v>0.34145665670689507</v>
      </c>
      <c r="AM785" s="471">
        <v>1.0104486326524265E-2</v>
      </c>
      <c r="AN785" s="477">
        <v>0</v>
      </c>
      <c r="AO785" s="473">
        <v>0</v>
      </c>
      <c r="AP785" s="474">
        <v>0</v>
      </c>
      <c r="AQ785" s="352"/>
      <c r="AR785" s="352"/>
      <c r="AS785" s="352"/>
      <c r="AT785" s="352"/>
      <c r="AU785" s="352"/>
      <c r="AV785" s="352"/>
      <c r="AW785" s="352" t="s">
        <v>254</v>
      </c>
    </row>
    <row r="786" spans="2:49" x14ac:dyDescent="0.2">
      <c r="B786" s="460" t="s">
        <v>2602</v>
      </c>
      <c r="C786" s="460">
        <v>2111</v>
      </c>
      <c r="D786" s="460" t="s">
        <v>2276</v>
      </c>
      <c r="E786" s="460" t="s">
        <v>2277</v>
      </c>
      <c r="F786" s="460">
        <v>4</v>
      </c>
      <c r="G786" s="460">
        <v>1</v>
      </c>
      <c r="H786" s="461" t="s">
        <v>700</v>
      </c>
      <c r="I786" s="461" t="s">
        <v>872</v>
      </c>
      <c r="J786" s="461" t="s">
        <v>700</v>
      </c>
      <c r="K786" s="594"/>
      <c r="L786" s="594"/>
      <c r="M786" s="352">
        <v>2000</v>
      </c>
      <c r="N786" s="352" t="s">
        <v>703</v>
      </c>
      <c r="O786" s="460">
        <v>2111</v>
      </c>
      <c r="P786" s="460" t="s">
        <v>1873</v>
      </c>
      <c r="Q786" s="460" t="s">
        <v>2266</v>
      </c>
      <c r="R786" s="460">
        <v>2111</v>
      </c>
      <c r="S786" s="460" t="s">
        <v>2277</v>
      </c>
      <c r="T786" s="462">
        <v>1</v>
      </c>
      <c r="U786" s="460" t="s">
        <v>2277</v>
      </c>
      <c r="V786" s="475">
        <v>0</v>
      </c>
      <c r="W786" s="463" t="s">
        <v>2278</v>
      </c>
      <c r="X786" s="463" t="s">
        <v>2278</v>
      </c>
      <c r="Y786" s="463" t="s">
        <v>2268</v>
      </c>
      <c r="Z786" s="463"/>
      <c r="AA786" s="463"/>
      <c r="AB786" s="464">
        <v>0.42949746303480196</v>
      </c>
      <c r="AC786" s="465">
        <v>5.7387138406819218E-4</v>
      </c>
      <c r="AD786" s="465">
        <v>1.7335418304047464E-3</v>
      </c>
      <c r="AE786" s="476">
        <v>0.42949746303480196</v>
      </c>
      <c r="AF786" s="467">
        <v>5.7387138406819218E-4</v>
      </c>
      <c r="AG786" s="468">
        <v>1.9380083867772985E-3</v>
      </c>
      <c r="AH786" s="218">
        <v>0.42949746303480196</v>
      </c>
      <c r="AI786" s="470">
        <v>5.7387138406819218E-4</v>
      </c>
      <c r="AJ786" s="471">
        <v>1.8574971495367756E-3</v>
      </c>
      <c r="AK786" s="218">
        <v>0.42949746303480196</v>
      </c>
      <c r="AL786" s="470">
        <v>5.7387138406819218E-4</v>
      </c>
      <c r="AM786" s="471">
        <v>1.8574971495367756E-3</v>
      </c>
      <c r="AN786" s="477">
        <v>0</v>
      </c>
      <c r="AO786" s="473">
        <v>0</v>
      </c>
      <c r="AP786" s="474">
        <v>0</v>
      </c>
      <c r="AQ786" s="352"/>
      <c r="AR786" s="352"/>
      <c r="AS786" s="352"/>
      <c r="AT786" s="352"/>
      <c r="AU786" s="352"/>
      <c r="AV786" s="352"/>
      <c r="AW786" s="352" t="s">
        <v>254</v>
      </c>
    </row>
    <row r="787" spans="2:49" x14ac:dyDescent="0.2">
      <c r="B787" s="460" t="s">
        <v>2599</v>
      </c>
      <c r="C787" s="460">
        <v>2111</v>
      </c>
      <c r="D787" s="460" t="s">
        <v>2279</v>
      </c>
      <c r="E787" s="460" t="s">
        <v>2265</v>
      </c>
      <c r="F787" s="460">
        <v>1</v>
      </c>
      <c r="G787" s="460">
        <v>1</v>
      </c>
      <c r="H787" s="461" t="s">
        <v>712</v>
      </c>
      <c r="I787" s="461" t="s">
        <v>713</v>
      </c>
      <c r="J787" s="461" t="s">
        <v>712</v>
      </c>
      <c r="K787" s="594"/>
      <c r="L787" s="594"/>
      <c r="M787" s="352">
        <v>2000</v>
      </c>
      <c r="N787" s="352" t="s">
        <v>703</v>
      </c>
      <c r="O787" s="460">
        <v>2111</v>
      </c>
      <c r="P787" s="460" t="s">
        <v>1873</v>
      </c>
      <c r="Q787" s="460" t="s">
        <v>2280</v>
      </c>
      <c r="R787" s="460">
        <v>2111</v>
      </c>
      <c r="S787" s="460" t="s">
        <v>2265</v>
      </c>
      <c r="T787" s="462">
        <v>1</v>
      </c>
      <c r="U787" s="460" t="s">
        <v>2265</v>
      </c>
      <c r="V787" s="475">
        <v>0</v>
      </c>
      <c r="W787" s="463" t="s">
        <v>713</v>
      </c>
      <c r="X787" s="463" t="s">
        <v>713</v>
      </c>
      <c r="Y787" s="463" t="s">
        <v>713</v>
      </c>
      <c r="Z787" s="463"/>
      <c r="AA787" s="463"/>
      <c r="AB787" s="464">
        <v>448.73359682592195</v>
      </c>
      <c r="AC787" s="465">
        <v>0.53996069521417334</v>
      </c>
      <c r="AD787" s="465">
        <v>1.6576995098659729E-3</v>
      </c>
      <c r="AE787" s="476">
        <v>448.73359682592195</v>
      </c>
      <c r="AF787" s="467">
        <v>0.53996069521417334</v>
      </c>
      <c r="AG787" s="468">
        <v>1.6165787967635059E-3</v>
      </c>
      <c r="AH787" s="218">
        <v>448.73359682592195</v>
      </c>
      <c r="AI787" s="470">
        <v>0.53996069521417334</v>
      </c>
      <c r="AJ787" s="471">
        <v>1.6397578631868546E-3</v>
      </c>
      <c r="AK787" s="218">
        <v>448.73359682592195</v>
      </c>
      <c r="AL787" s="470">
        <v>0.53996069521417334</v>
      </c>
      <c r="AM787" s="471">
        <v>1.6397578631868546E-3</v>
      </c>
      <c r="AN787" s="477">
        <v>448.73359682592195</v>
      </c>
      <c r="AO787" s="473">
        <v>0.53996069521417334</v>
      </c>
      <c r="AP787" s="474">
        <v>1.6392235643105104E-3</v>
      </c>
      <c r="AQ787" s="352"/>
      <c r="AR787" s="352"/>
      <c r="AS787" s="352"/>
      <c r="AT787" s="352"/>
      <c r="AU787" s="352"/>
      <c r="AV787" s="352"/>
      <c r="AW787" s="352" t="s">
        <v>254</v>
      </c>
    </row>
    <row r="788" spans="2:49" x14ac:dyDescent="0.2">
      <c r="B788" s="460" t="s">
        <v>2600</v>
      </c>
      <c r="C788" s="460">
        <v>2111</v>
      </c>
      <c r="D788" s="460" t="s">
        <v>2281</v>
      </c>
      <c r="E788" s="460" t="s">
        <v>2271</v>
      </c>
      <c r="F788" s="460">
        <v>2</v>
      </c>
      <c r="G788" s="460">
        <v>1</v>
      </c>
      <c r="H788" s="461" t="s">
        <v>712</v>
      </c>
      <c r="I788" s="461" t="s">
        <v>713</v>
      </c>
      <c r="J788" s="461" t="s">
        <v>712</v>
      </c>
      <c r="K788" s="594"/>
      <c r="L788" s="594"/>
      <c r="M788" s="352">
        <v>2000</v>
      </c>
      <c r="N788" s="352" t="s">
        <v>703</v>
      </c>
      <c r="O788" s="460">
        <v>2111</v>
      </c>
      <c r="P788" s="460" t="s">
        <v>1873</v>
      </c>
      <c r="Q788" s="460" t="s">
        <v>2280</v>
      </c>
      <c r="R788" s="460">
        <v>2111</v>
      </c>
      <c r="S788" s="460" t="s">
        <v>2265</v>
      </c>
      <c r="T788" s="462">
        <v>1</v>
      </c>
      <c r="U788" s="460" t="s">
        <v>2271</v>
      </c>
      <c r="V788" s="475">
        <v>0</v>
      </c>
      <c r="W788" s="463" t="s">
        <v>713</v>
      </c>
      <c r="X788" s="463" t="s">
        <v>713</v>
      </c>
      <c r="Y788" s="463" t="s">
        <v>713</v>
      </c>
      <c r="Z788" s="463"/>
      <c r="AA788" s="463"/>
      <c r="AB788" s="464">
        <v>595.01811061537728</v>
      </c>
      <c r="AC788" s="465">
        <v>0.55310633259983721</v>
      </c>
      <c r="AD788" s="465">
        <v>2.4847483852287796E-3</v>
      </c>
      <c r="AE788" s="476">
        <v>595.01811061537728</v>
      </c>
      <c r="AF788" s="467">
        <v>0.55310633259983721</v>
      </c>
      <c r="AG788" s="468">
        <v>2.4218173478190454E-3</v>
      </c>
      <c r="AH788" s="218">
        <v>580.876359094858</v>
      </c>
      <c r="AI788" s="470">
        <v>0.53996069521417334</v>
      </c>
      <c r="AJ788" s="471">
        <v>2.4955293515597191E-3</v>
      </c>
      <c r="AK788" s="218">
        <v>580.876359094858</v>
      </c>
      <c r="AL788" s="470">
        <v>0.53996069521417334</v>
      </c>
      <c r="AM788" s="471">
        <v>2.4955293515597191E-3</v>
      </c>
      <c r="AN788" s="477">
        <v>580.876359094858</v>
      </c>
      <c r="AO788" s="473">
        <v>0.53996069521417334</v>
      </c>
      <c r="AP788" s="474">
        <v>2.4946530893389203E-3</v>
      </c>
      <c r="AQ788" s="352"/>
      <c r="AR788" s="352"/>
      <c r="AS788" s="352"/>
      <c r="AT788" s="352"/>
      <c r="AU788" s="352"/>
      <c r="AV788" s="352"/>
      <c r="AW788" s="352" t="s">
        <v>254</v>
      </c>
    </row>
    <row r="789" spans="2:49" x14ac:dyDescent="0.2">
      <c r="B789" s="460" t="s">
        <v>2601</v>
      </c>
      <c r="C789" s="460">
        <v>2111</v>
      </c>
      <c r="D789" s="460" t="s">
        <v>2282</v>
      </c>
      <c r="E789" s="460" t="s">
        <v>2274</v>
      </c>
      <c r="F789" s="460">
        <v>3</v>
      </c>
      <c r="G789" s="460">
        <v>1</v>
      </c>
      <c r="H789" s="461" t="s">
        <v>712</v>
      </c>
      <c r="I789" s="461" t="s">
        <v>713</v>
      </c>
      <c r="J789" s="461" t="s">
        <v>712</v>
      </c>
      <c r="K789" s="594"/>
      <c r="L789" s="594"/>
      <c r="M789" s="352">
        <v>2000</v>
      </c>
      <c r="N789" s="352" t="s">
        <v>703</v>
      </c>
      <c r="O789" s="460">
        <v>2111</v>
      </c>
      <c r="P789" s="460" t="s">
        <v>1873</v>
      </c>
      <c r="Q789" s="460" t="s">
        <v>2280</v>
      </c>
      <c r="R789" s="460">
        <v>2111</v>
      </c>
      <c r="S789" s="460" t="s">
        <v>2265</v>
      </c>
      <c r="T789" s="462">
        <v>0.74223365950407583</v>
      </c>
      <c r="U789" s="460" t="s">
        <v>2274</v>
      </c>
      <c r="V789" s="475">
        <v>0</v>
      </c>
      <c r="W789" s="463" t="s">
        <v>713</v>
      </c>
      <c r="X789" s="463" t="s">
        <v>713</v>
      </c>
      <c r="Y789" s="463" t="s">
        <v>713</v>
      </c>
      <c r="Z789" s="463"/>
      <c r="AA789" s="463"/>
      <c r="AB789" s="464">
        <v>659.7213089990521</v>
      </c>
      <c r="AC789" s="465">
        <v>0.86508603806971429</v>
      </c>
      <c r="AD789" s="465">
        <v>3.9485721995657598E-3</v>
      </c>
      <c r="AE789" s="476">
        <v>659.7213089990521</v>
      </c>
      <c r="AF789" s="467">
        <v>0.86508603806971429</v>
      </c>
      <c r="AG789" s="468">
        <v>3.9122263970787679E-3</v>
      </c>
      <c r="AH789" s="218">
        <v>502.21025117842453</v>
      </c>
      <c r="AI789" s="470">
        <v>0.65854334329310493</v>
      </c>
      <c r="AJ789" s="471">
        <v>3.1559749559679283E-3</v>
      </c>
      <c r="AK789" s="218">
        <v>502.21025117842453</v>
      </c>
      <c r="AL789" s="470">
        <v>0.65854334329310493</v>
      </c>
      <c r="AM789" s="471">
        <v>3.1559749559679283E-3</v>
      </c>
      <c r="AN789" s="477">
        <v>502.21025117842453</v>
      </c>
      <c r="AO789" s="473">
        <v>0.65854334329310493</v>
      </c>
      <c r="AP789" s="474">
        <v>3.1787421493844319E-3</v>
      </c>
      <c r="AQ789" s="352"/>
      <c r="AR789" s="352"/>
      <c r="AS789" s="352"/>
      <c r="AT789" s="352"/>
      <c r="AU789" s="352"/>
      <c r="AV789" s="352"/>
      <c r="AW789" s="352" t="s">
        <v>254</v>
      </c>
    </row>
    <row r="790" spans="2:49" x14ac:dyDescent="0.2">
      <c r="B790" s="460" t="s">
        <v>2602</v>
      </c>
      <c r="C790" s="460">
        <v>2111</v>
      </c>
      <c r="D790" s="460" t="s">
        <v>2283</v>
      </c>
      <c r="E790" s="460" t="s">
        <v>2277</v>
      </c>
      <c r="F790" s="460">
        <v>4</v>
      </c>
      <c r="G790" s="460">
        <v>1</v>
      </c>
      <c r="H790" s="461" t="s">
        <v>712</v>
      </c>
      <c r="I790" s="461" t="s">
        <v>713</v>
      </c>
      <c r="J790" s="461" t="s">
        <v>712</v>
      </c>
      <c r="K790" s="594"/>
      <c r="L790" s="594"/>
      <c r="M790" s="352">
        <v>2000</v>
      </c>
      <c r="N790" s="352" t="s">
        <v>703</v>
      </c>
      <c r="O790" s="460">
        <v>2111</v>
      </c>
      <c r="P790" s="460" t="s">
        <v>1873</v>
      </c>
      <c r="Q790" s="460" t="s">
        <v>2280</v>
      </c>
      <c r="R790" s="460">
        <v>2111</v>
      </c>
      <c r="S790" s="460" t="s">
        <v>2277</v>
      </c>
      <c r="T790" s="462">
        <v>1</v>
      </c>
      <c r="U790" s="460" t="s">
        <v>2277</v>
      </c>
      <c r="V790" s="475">
        <v>0</v>
      </c>
      <c r="W790" s="463" t="s">
        <v>713</v>
      </c>
      <c r="X790" s="463" t="s">
        <v>713</v>
      </c>
      <c r="Y790" s="463" t="s">
        <v>713</v>
      </c>
      <c r="Z790" s="463"/>
      <c r="AA790" s="463"/>
      <c r="AB790" s="464">
        <v>747.9916208545942</v>
      </c>
      <c r="AC790" s="465">
        <v>0.99942612861593183</v>
      </c>
      <c r="AD790" s="465">
        <v>3.8845260882601064E-3</v>
      </c>
      <c r="AE790" s="476">
        <v>747.9916208545942</v>
      </c>
      <c r="AF790" s="467">
        <v>0.99942612861593183</v>
      </c>
      <c r="AG790" s="468">
        <v>3.8839988422412161E-3</v>
      </c>
      <c r="AH790" s="218">
        <v>747.9916208545942</v>
      </c>
      <c r="AI790" s="470">
        <v>0.99942612861593183</v>
      </c>
      <c r="AJ790" s="471">
        <v>3.8841925809534618E-3</v>
      </c>
      <c r="AK790" s="218">
        <v>747.9916208545942</v>
      </c>
      <c r="AL790" s="470">
        <v>0.99942612861593183</v>
      </c>
      <c r="AM790" s="471">
        <v>3.8841925809534618E-3</v>
      </c>
      <c r="AN790" s="477">
        <v>747.9916208545942</v>
      </c>
      <c r="AO790" s="473">
        <v>0.99942612861593183</v>
      </c>
      <c r="AP790" s="474">
        <v>3.8842119491457041E-3</v>
      </c>
      <c r="AQ790" s="352"/>
      <c r="AR790" s="352"/>
      <c r="AS790" s="352"/>
      <c r="AT790" s="352"/>
      <c r="AU790" s="352"/>
      <c r="AV790" s="352"/>
      <c r="AW790" s="352" t="s">
        <v>254</v>
      </c>
    </row>
    <row r="791" spans="2:49" x14ac:dyDescent="0.2">
      <c r="B791" s="460" t="s">
        <v>2599</v>
      </c>
      <c r="C791" s="460">
        <v>2111</v>
      </c>
      <c r="D791" s="460" t="s">
        <v>2284</v>
      </c>
      <c r="E791" s="460" t="s">
        <v>2265</v>
      </c>
      <c r="F791" s="460">
        <v>1</v>
      </c>
      <c r="G791" s="460">
        <v>1</v>
      </c>
      <c r="H791" s="461" t="s">
        <v>746</v>
      </c>
      <c r="I791" s="461" t="s">
        <v>762</v>
      </c>
      <c r="J791" s="461" t="s">
        <v>700</v>
      </c>
      <c r="K791" s="594"/>
      <c r="L791" s="594"/>
      <c r="M791" s="352">
        <v>2000</v>
      </c>
      <c r="N791" s="352" t="s">
        <v>703</v>
      </c>
      <c r="O791" s="460">
        <v>2111</v>
      </c>
      <c r="P791" s="460" t="s">
        <v>1873</v>
      </c>
      <c r="Q791" s="460" t="s">
        <v>2289</v>
      </c>
      <c r="R791" s="460">
        <v>2111</v>
      </c>
      <c r="S791" s="460" t="s">
        <v>2265</v>
      </c>
      <c r="T791" s="462">
        <v>1</v>
      </c>
      <c r="U791" s="460" t="s">
        <v>2265</v>
      </c>
      <c r="V791" s="475">
        <v>0</v>
      </c>
      <c r="W791" s="463" t="s">
        <v>2268</v>
      </c>
      <c r="X791" s="463" t="s">
        <v>2268</v>
      </c>
      <c r="Y791" s="463" t="s">
        <v>2290</v>
      </c>
      <c r="Z791" s="463"/>
      <c r="AA791" s="463"/>
      <c r="AB791" s="464">
        <v>0</v>
      </c>
      <c r="AC791" s="465">
        <v>0</v>
      </c>
      <c r="AD791" s="465">
        <v>0</v>
      </c>
      <c r="AE791" s="476">
        <v>0</v>
      </c>
      <c r="AF791" s="467">
        <v>0</v>
      </c>
      <c r="AG791" s="468">
        <v>0</v>
      </c>
      <c r="AH791" s="218">
        <v>0</v>
      </c>
      <c r="AI791" s="470">
        <v>0</v>
      </c>
      <c r="AJ791" s="471">
        <v>0</v>
      </c>
      <c r="AK791" s="218">
        <v>0</v>
      </c>
      <c r="AL791" s="470">
        <v>0</v>
      </c>
      <c r="AM791" s="471">
        <v>0</v>
      </c>
      <c r="AN791" s="477">
        <v>0</v>
      </c>
      <c r="AO791" s="473">
        <v>0</v>
      </c>
      <c r="AP791" s="474">
        <v>0</v>
      </c>
      <c r="AQ791" s="352"/>
      <c r="AR791" s="352"/>
      <c r="AS791" s="352"/>
      <c r="AT791" s="352"/>
      <c r="AU791" s="352"/>
      <c r="AV791" s="352"/>
      <c r="AW791" s="352" t="s">
        <v>254</v>
      </c>
    </row>
    <row r="792" spans="2:49" x14ac:dyDescent="0.2">
      <c r="B792" s="460" t="s">
        <v>2600</v>
      </c>
      <c r="C792" s="460">
        <v>2111</v>
      </c>
      <c r="D792" s="460" t="s">
        <v>2285</v>
      </c>
      <c r="E792" s="460" t="s">
        <v>2271</v>
      </c>
      <c r="F792" s="460">
        <v>2</v>
      </c>
      <c r="G792" s="460">
        <v>1</v>
      </c>
      <c r="H792" s="461" t="s">
        <v>746</v>
      </c>
      <c r="I792" s="461" t="s">
        <v>762</v>
      </c>
      <c r="J792" s="461" t="s">
        <v>700</v>
      </c>
      <c r="K792" s="594"/>
      <c r="L792" s="594"/>
      <c r="M792" s="352">
        <v>2000</v>
      </c>
      <c r="N792" s="352" t="s">
        <v>703</v>
      </c>
      <c r="O792" s="460">
        <v>2111</v>
      </c>
      <c r="P792" s="460" t="s">
        <v>1873</v>
      </c>
      <c r="Q792" s="460" t="s">
        <v>2289</v>
      </c>
      <c r="R792" s="460">
        <v>2111</v>
      </c>
      <c r="S792" s="460" t="s">
        <v>2265</v>
      </c>
      <c r="T792" s="462">
        <v>1</v>
      </c>
      <c r="U792" s="460" t="s">
        <v>2271</v>
      </c>
      <c r="V792" s="475">
        <v>0</v>
      </c>
      <c r="W792" s="463" t="s">
        <v>2268</v>
      </c>
      <c r="X792" s="463" t="s">
        <v>2268</v>
      </c>
      <c r="Y792" s="463" t="s">
        <v>2290</v>
      </c>
      <c r="Z792" s="463"/>
      <c r="AA792" s="463"/>
      <c r="AB792" s="464">
        <v>0</v>
      </c>
      <c r="AC792" s="465">
        <v>0</v>
      </c>
      <c r="AD792" s="465">
        <v>0</v>
      </c>
      <c r="AE792" s="476">
        <v>0</v>
      </c>
      <c r="AF792" s="467">
        <v>0</v>
      </c>
      <c r="AG792" s="468">
        <v>0</v>
      </c>
      <c r="AH792" s="218">
        <v>0</v>
      </c>
      <c r="AI792" s="470">
        <v>0</v>
      </c>
      <c r="AJ792" s="471">
        <v>0</v>
      </c>
      <c r="AK792" s="218">
        <v>0</v>
      </c>
      <c r="AL792" s="470">
        <v>0</v>
      </c>
      <c r="AM792" s="471">
        <v>0</v>
      </c>
      <c r="AN792" s="477">
        <v>0</v>
      </c>
      <c r="AO792" s="473">
        <v>0</v>
      </c>
      <c r="AP792" s="474">
        <v>0</v>
      </c>
      <c r="AQ792" s="352"/>
      <c r="AR792" s="352"/>
      <c r="AS792" s="352"/>
      <c r="AT792" s="352"/>
      <c r="AU792" s="352"/>
      <c r="AV792" s="352"/>
      <c r="AW792" s="352" t="s">
        <v>254</v>
      </c>
    </row>
    <row r="793" spans="2:49" x14ac:dyDescent="0.2">
      <c r="B793" s="460" t="s">
        <v>2601</v>
      </c>
      <c r="C793" s="460">
        <v>2111</v>
      </c>
      <c r="D793" s="460" t="s">
        <v>2286</v>
      </c>
      <c r="E793" s="460" t="s">
        <v>2274</v>
      </c>
      <c r="F793" s="460">
        <v>3</v>
      </c>
      <c r="G793" s="460">
        <v>1</v>
      </c>
      <c r="H793" s="461" t="s">
        <v>746</v>
      </c>
      <c r="I793" s="461" t="s">
        <v>762</v>
      </c>
      <c r="J793" s="461" t="s">
        <v>700</v>
      </c>
      <c r="K793" s="594"/>
      <c r="L793" s="594"/>
      <c r="M793" s="352">
        <v>2000</v>
      </c>
      <c r="N793" s="352" t="s">
        <v>703</v>
      </c>
      <c r="O793" s="460">
        <v>2111</v>
      </c>
      <c r="P793" s="460" t="s">
        <v>1873</v>
      </c>
      <c r="Q793" s="460" t="s">
        <v>2289</v>
      </c>
      <c r="R793" s="460">
        <v>2111</v>
      </c>
      <c r="S793" s="460" t="s">
        <v>2265</v>
      </c>
      <c r="T793" s="462">
        <v>0.74223365950407583</v>
      </c>
      <c r="U793" s="460" t="s">
        <v>2274</v>
      </c>
      <c r="V793" s="475">
        <v>0</v>
      </c>
      <c r="W793" s="463" t="s">
        <v>2268</v>
      </c>
      <c r="X793" s="463" t="s">
        <v>2268</v>
      </c>
      <c r="Y793" s="463" t="s">
        <v>2290</v>
      </c>
      <c r="Z793" s="463"/>
      <c r="AA793" s="463"/>
      <c r="AB793" s="464">
        <v>0</v>
      </c>
      <c r="AC793" s="465">
        <v>0</v>
      </c>
      <c r="AD793" s="465">
        <v>0</v>
      </c>
      <c r="AE793" s="476">
        <v>0</v>
      </c>
      <c r="AF793" s="467">
        <v>0</v>
      </c>
      <c r="AG793" s="468">
        <v>0</v>
      </c>
      <c r="AH793" s="218">
        <v>0</v>
      </c>
      <c r="AI793" s="470">
        <v>0</v>
      </c>
      <c r="AJ793" s="471">
        <v>0</v>
      </c>
      <c r="AK793" s="218">
        <v>0</v>
      </c>
      <c r="AL793" s="470">
        <v>0</v>
      </c>
      <c r="AM793" s="471">
        <v>0</v>
      </c>
      <c r="AN793" s="477">
        <v>0</v>
      </c>
      <c r="AO793" s="473">
        <v>0</v>
      </c>
      <c r="AP793" s="474">
        <v>0</v>
      </c>
      <c r="AQ793" s="352"/>
      <c r="AR793" s="352"/>
      <c r="AS793" s="352"/>
      <c r="AT793" s="352"/>
      <c r="AU793" s="352"/>
      <c r="AV793" s="352"/>
      <c r="AW793" s="352" t="s">
        <v>254</v>
      </c>
    </row>
    <row r="794" spans="2:49" x14ac:dyDescent="0.2">
      <c r="B794" s="460" t="s">
        <v>2602</v>
      </c>
      <c r="C794" s="460">
        <v>2111</v>
      </c>
      <c r="D794" s="460" t="s">
        <v>2287</v>
      </c>
      <c r="E794" s="460" t="s">
        <v>2277</v>
      </c>
      <c r="F794" s="460">
        <v>4</v>
      </c>
      <c r="G794" s="460">
        <v>1</v>
      </c>
      <c r="H794" s="461" t="s">
        <v>746</v>
      </c>
      <c r="I794" s="461" t="s">
        <v>762</v>
      </c>
      <c r="J794" s="461" t="s">
        <v>700</v>
      </c>
      <c r="K794" s="594"/>
      <c r="L794" s="594"/>
      <c r="M794" s="352">
        <v>2000</v>
      </c>
      <c r="N794" s="352" t="s">
        <v>703</v>
      </c>
      <c r="O794" s="460">
        <v>2111</v>
      </c>
      <c r="P794" s="460" t="s">
        <v>1873</v>
      </c>
      <c r="Q794" s="460" t="s">
        <v>2289</v>
      </c>
      <c r="R794" s="460">
        <v>2111</v>
      </c>
      <c r="S794" s="460" t="s">
        <v>2277</v>
      </c>
      <c r="T794" s="462">
        <v>1</v>
      </c>
      <c r="U794" s="460" t="s">
        <v>2277</v>
      </c>
      <c r="V794" s="475">
        <v>0</v>
      </c>
      <c r="W794" s="463" t="s">
        <v>2268</v>
      </c>
      <c r="X794" s="463" t="s">
        <v>2268</v>
      </c>
      <c r="Y794" s="463" t="s">
        <v>2290</v>
      </c>
      <c r="Z794" s="463"/>
      <c r="AA794" s="463"/>
      <c r="AB794" s="464">
        <v>0</v>
      </c>
      <c r="AC794" s="465">
        <v>0</v>
      </c>
      <c r="AD794" s="465">
        <v>0</v>
      </c>
      <c r="AE794" s="476">
        <v>0</v>
      </c>
      <c r="AF794" s="467">
        <v>0</v>
      </c>
      <c r="AG794" s="468">
        <v>0</v>
      </c>
      <c r="AH794" s="218">
        <v>0</v>
      </c>
      <c r="AI794" s="470">
        <v>0</v>
      </c>
      <c r="AJ794" s="471">
        <v>0</v>
      </c>
      <c r="AK794" s="218">
        <v>0</v>
      </c>
      <c r="AL794" s="470">
        <v>0</v>
      </c>
      <c r="AM794" s="471">
        <v>0</v>
      </c>
      <c r="AN794" s="477">
        <v>0</v>
      </c>
      <c r="AO794" s="473">
        <v>0</v>
      </c>
      <c r="AP794" s="474">
        <v>0</v>
      </c>
      <c r="AQ794" s="352"/>
      <c r="AR794" s="352"/>
      <c r="AS794" s="352"/>
      <c r="AT794" s="352"/>
      <c r="AU794" s="352"/>
      <c r="AV794" s="352"/>
      <c r="AW794" s="352" t="s">
        <v>254</v>
      </c>
    </row>
    <row r="795" spans="2:49" x14ac:dyDescent="0.2">
      <c r="B795" s="460" t="s">
        <v>2599</v>
      </c>
      <c r="C795" s="460">
        <v>2111</v>
      </c>
      <c r="D795" s="460" t="s">
        <v>2288</v>
      </c>
      <c r="E795" s="460" t="s">
        <v>2265</v>
      </c>
      <c r="F795" s="460">
        <v>1</v>
      </c>
      <c r="G795" s="460">
        <v>1</v>
      </c>
      <c r="H795" s="461" t="s">
        <v>748</v>
      </c>
      <c r="I795" s="461" t="s">
        <v>765</v>
      </c>
      <c r="J795" s="461" t="s">
        <v>700</v>
      </c>
      <c r="K795" s="594"/>
      <c r="L795" s="594"/>
      <c r="M795" s="352">
        <v>2000</v>
      </c>
      <c r="N795" s="352" t="s">
        <v>703</v>
      </c>
      <c r="O795" s="460">
        <v>2111</v>
      </c>
      <c r="P795" s="460" t="s">
        <v>1873</v>
      </c>
      <c r="Q795" s="460" t="s">
        <v>2266</v>
      </c>
      <c r="R795" s="460">
        <v>2111</v>
      </c>
      <c r="S795" s="460" t="s">
        <v>2265</v>
      </c>
      <c r="T795" s="462">
        <v>1</v>
      </c>
      <c r="U795" s="460" t="s">
        <v>2265</v>
      </c>
      <c r="V795" s="475">
        <v>0</v>
      </c>
      <c r="W795" s="463" t="s">
        <v>2268</v>
      </c>
      <c r="X795" s="463" t="s">
        <v>2268</v>
      </c>
      <c r="Y795" s="463" t="s">
        <v>2267</v>
      </c>
      <c r="Z795" s="463"/>
      <c r="AA795" s="463"/>
      <c r="AB795" s="464">
        <v>0</v>
      </c>
      <c r="AC795" s="465">
        <v>0</v>
      </c>
      <c r="AD795" s="465">
        <v>0</v>
      </c>
      <c r="AE795" s="476">
        <v>0</v>
      </c>
      <c r="AF795" s="467">
        <v>0</v>
      </c>
      <c r="AG795" s="468">
        <v>0</v>
      </c>
      <c r="AH795" s="218">
        <v>0</v>
      </c>
      <c r="AI795" s="470">
        <v>0</v>
      </c>
      <c r="AJ795" s="471">
        <v>0</v>
      </c>
      <c r="AK795" s="218">
        <v>0</v>
      </c>
      <c r="AL795" s="470">
        <v>0</v>
      </c>
      <c r="AM795" s="471">
        <v>0</v>
      </c>
      <c r="AN795" s="477">
        <v>382.31503468221683</v>
      </c>
      <c r="AO795" s="473">
        <v>0.46003930478582672</v>
      </c>
      <c r="AP795" s="474">
        <v>2.3741997665565728E-2</v>
      </c>
      <c r="AQ795" s="352"/>
      <c r="AR795" s="352"/>
      <c r="AS795" s="352"/>
      <c r="AT795" s="352"/>
      <c r="AU795" s="352"/>
      <c r="AV795" s="352"/>
      <c r="AW795" s="352" t="s">
        <v>254</v>
      </c>
    </row>
    <row r="796" spans="2:49" x14ac:dyDescent="0.2">
      <c r="B796" s="460" t="s">
        <v>2600</v>
      </c>
      <c r="C796" s="460">
        <v>2111</v>
      </c>
      <c r="D796" s="460" t="s">
        <v>2291</v>
      </c>
      <c r="E796" s="460" t="s">
        <v>2271</v>
      </c>
      <c r="F796" s="460">
        <v>2</v>
      </c>
      <c r="G796" s="460">
        <v>1</v>
      </c>
      <c r="H796" s="461" t="s">
        <v>748</v>
      </c>
      <c r="I796" s="461" t="s">
        <v>765</v>
      </c>
      <c r="J796" s="461" t="s">
        <v>700</v>
      </c>
      <c r="K796" s="594"/>
      <c r="L796" s="594"/>
      <c r="M796" s="352">
        <v>2000</v>
      </c>
      <c r="N796" s="352" t="s">
        <v>703</v>
      </c>
      <c r="O796" s="460">
        <v>2111</v>
      </c>
      <c r="P796" s="460" t="s">
        <v>1873</v>
      </c>
      <c r="Q796" s="460" t="s">
        <v>2266</v>
      </c>
      <c r="R796" s="460">
        <v>2111</v>
      </c>
      <c r="S796" s="460" t="s">
        <v>2265</v>
      </c>
      <c r="T796" s="462">
        <v>1</v>
      </c>
      <c r="U796" s="460" t="s">
        <v>2271</v>
      </c>
      <c r="V796" s="475">
        <v>0</v>
      </c>
      <c r="W796" s="463" t="s">
        <v>2268</v>
      </c>
      <c r="X796" s="463" t="s">
        <v>2268</v>
      </c>
      <c r="Y796" s="463" t="s">
        <v>2267</v>
      </c>
      <c r="Z796" s="463"/>
      <c r="AA796" s="463"/>
      <c r="AB796" s="464">
        <v>0</v>
      </c>
      <c r="AC796" s="465">
        <v>0</v>
      </c>
      <c r="AD796" s="465">
        <v>0</v>
      </c>
      <c r="AE796" s="476">
        <v>0</v>
      </c>
      <c r="AF796" s="467">
        <v>0</v>
      </c>
      <c r="AG796" s="468">
        <v>0</v>
      </c>
      <c r="AH796" s="218">
        <v>0</v>
      </c>
      <c r="AI796" s="470">
        <v>0</v>
      </c>
      <c r="AJ796" s="471">
        <v>0</v>
      </c>
      <c r="AK796" s="218">
        <v>0</v>
      </c>
      <c r="AL796" s="470">
        <v>0</v>
      </c>
      <c r="AM796" s="471">
        <v>0</v>
      </c>
      <c r="AN796" s="477">
        <v>494.89890425918236</v>
      </c>
      <c r="AO796" s="473">
        <v>0.46003930478582672</v>
      </c>
      <c r="AP796" s="474">
        <v>3.14775881772342E-2</v>
      </c>
      <c r="AQ796" s="352"/>
      <c r="AR796" s="352"/>
      <c r="AS796" s="352"/>
      <c r="AT796" s="352"/>
      <c r="AU796" s="352"/>
      <c r="AV796" s="352"/>
      <c r="AW796" s="352" t="s">
        <v>254</v>
      </c>
    </row>
    <row r="797" spans="2:49" x14ac:dyDescent="0.2">
      <c r="B797" s="460" t="s">
        <v>2601</v>
      </c>
      <c r="C797" s="460">
        <v>2111</v>
      </c>
      <c r="D797" s="460" t="s">
        <v>2292</v>
      </c>
      <c r="E797" s="460" t="s">
        <v>2274</v>
      </c>
      <c r="F797" s="460">
        <v>3</v>
      </c>
      <c r="G797" s="460">
        <v>1</v>
      </c>
      <c r="H797" s="461" t="s">
        <v>748</v>
      </c>
      <c r="I797" s="461" t="s">
        <v>765</v>
      </c>
      <c r="J797" s="461" t="s">
        <v>700</v>
      </c>
      <c r="K797" s="594"/>
      <c r="L797" s="594"/>
      <c r="M797" s="352">
        <v>2000</v>
      </c>
      <c r="N797" s="352" t="s">
        <v>703</v>
      </c>
      <c r="O797" s="460">
        <v>2111</v>
      </c>
      <c r="P797" s="460" t="s">
        <v>1873</v>
      </c>
      <c r="Q797" s="460" t="s">
        <v>2266</v>
      </c>
      <c r="R797" s="460">
        <v>2111</v>
      </c>
      <c r="S797" s="460" t="s">
        <v>2265</v>
      </c>
      <c r="T797" s="462">
        <v>0.74223365950407583</v>
      </c>
      <c r="U797" s="460" t="s">
        <v>2274</v>
      </c>
      <c r="V797" s="475">
        <v>0</v>
      </c>
      <c r="W797" s="463" t="s">
        <v>2268</v>
      </c>
      <c r="X797" s="463" t="s">
        <v>2268</v>
      </c>
      <c r="Y797" s="463" t="s">
        <v>2267</v>
      </c>
      <c r="Z797" s="463"/>
      <c r="AA797" s="463"/>
      <c r="AB797" s="464">
        <v>0</v>
      </c>
      <c r="AC797" s="465">
        <v>0</v>
      </c>
      <c r="AD797" s="465">
        <v>0</v>
      </c>
      <c r="AE797" s="476">
        <v>0</v>
      </c>
      <c r="AF797" s="467">
        <v>0</v>
      </c>
      <c r="AG797" s="468">
        <v>0</v>
      </c>
      <c r="AH797" s="218">
        <v>0</v>
      </c>
      <c r="AI797" s="470">
        <v>0</v>
      </c>
      <c r="AJ797" s="471">
        <v>0</v>
      </c>
      <c r="AK797" s="218">
        <v>0</v>
      </c>
      <c r="AL797" s="470">
        <v>0</v>
      </c>
      <c r="AM797" s="471">
        <v>0</v>
      </c>
      <c r="AN797" s="477">
        <v>260.3974895164813</v>
      </c>
      <c r="AO797" s="473">
        <v>0.34145665670689507</v>
      </c>
      <c r="AP797" s="474">
        <v>3.6663130494842142E-2</v>
      </c>
      <c r="AQ797" s="352"/>
      <c r="AR797" s="352"/>
      <c r="AS797" s="352"/>
      <c r="AT797" s="352"/>
      <c r="AU797" s="352"/>
      <c r="AV797" s="352"/>
      <c r="AW797" s="352" t="s">
        <v>254</v>
      </c>
    </row>
    <row r="798" spans="2:49" x14ac:dyDescent="0.2">
      <c r="B798" s="460" t="s">
        <v>2602</v>
      </c>
      <c r="C798" s="460">
        <v>2111</v>
      </c>
      <c r="D798" s="460" t="s">
        <v>2293</v>
      </c>
      <c r="E798" s="460" t="s">
        <v>2277</v>
      </c>
      <c r="F798" s="460">
        <v>4</v>
      </c>
      <c r="G798" s="460">
        <v>1</v>
      </c>
      <c r="H798" s="461" t="s">
        <v>748</v>
      </c>
      <c r="I798" s="461" t="s">
        <v>765</v>
      </c>
      <c r="J798" s="461" t="s">
        <v>700</v>
      </c>
      <c r="K798" s="594"/>
      <c r="L798" s="594"/>
      <c r="M798" s="352">
        <v>2000</v>
      </c>
      <c r="N798" s="352" t="s">
        <v>703</v>
      </c>
      <c r="O798" s="460">
        <v>2111</v>
      </c>
      <c r="P798" s="460" t="s">
        <v>1873</v>
      </c>
      <c r="Q798" s="460" t="s">
        <v>2266</v>
      </c>
      <c r="R798" s="460">
        <v>2111</v>
      </c>
      <c r="S798" s="460" t="s">
        <v>2277</v>
      </c>
      <c r="T798" s="462">
        <v>1</v>
      </c>
      <c r="U798" s="460" t="s">
        <v>2277</v>
      </c>
      <c r="V798" s="475">
        <v>0</v>
      </c>
      <c r="W798" s="463" t="s">
        <v>2268</v>
      </c>
      <c r="X798" s="463" t="s">
        <v>2268</v>
      </c>
      <c r="Y798" s="463" t="s">
        <v>2278</v>
      </c>
      <c r="Z798" s="463"/>
      <c r="AA798" s="463"/>
      <c r="AB798" s="464">
        <v>0</v>
      </c>
      <c r="AC798" s="465">
        <v>0</v>
      </c>
      <c r="AD798" s="465">
        <v>0</v>
      </c>
      <c r="AE798" s="476">
        <v>0</v>
      </c>
      <c r="AF798" s="467">
        <v>0</v>
      </c>
      <c r="AG798" s="468">
        <v>0</v>
      </c>
      <c r="AH798" s="218">
        <v>0</v>
      </c>
      <c r="AI798" s="470">
        <v>0</v>
      </c>
      <c r="AJ798" s="471">
        <v>0</v>
      </c>
      <c r="AK798" s="218">
        <v>0</v>
      </c>
      <c r="AL798" s="470">
        <v>0</v>
      </c>
      <c r="AM798" s="471">
        <v>0</v>
      </c>
      <c r="AN798" s="477">
        <v>0.42949746303480196</v>
      </c>
      <c r="AO798" s="473">
        <v>5.7387138406819218E-4</v>
      </c>
      <c r="AP798" s="474">
        <v>1.0370718038805441E-2</v>
      </c>
      <c r="AQ798" s="352"/>
      <c r="AR798" s="352"/>
      <c r="AS798" s="352"/>
      <c r="AT798" s="352"/>
      <c r="AU798" s="352"/>
      <c r="AV798" s="352"/>
      <c r="AW798" s="352" t="s">
        <v>254</v>
      </c>
    </row>
    <row r="799" spans="2:49" x14ac:dyDescent="0.2">
      <c r="B799" s="460" t="s">
        <v>2603</v>
      </c>
      <c r="C799" s="460">
        <v>2111</v>
      </c>
      <c r="D799" s="460" t="s">
        <v>2295</v>
      </c>
      <c r="E799" s="460" t="s">
        <v>2296</v>
      </c>
      <c r="F799" s="460">
        <v>1</v>
      </c>
      <c r="G799" s="460">
        <v>2</v>
      </c>
      <c r="H799" s="461" t="s">
        <v>700</v>
      </c>
      <c r="I799" s="461" t="s">
        <v>872</v>
      </c>
      <c r="J799" s="461" t="s">
        <v>700</v>
      </c>
      <c r="K799" s="594"/>
      <c r="L799" s="594"/>
      <c r="M799" s="352">
        <v>2000</v>
      </c>
      <c r="N799" s="352" t="s">
        <v>703</v>
      </c>
      <c r="O799" s="460">
        <v>2111</v>
      </c>
      <c r="P799" s="460" t="s">
        <v>1873</v>
      </c>
      <c r="Q799" s="460" t="s">
        <v>2266</v>
      </c>
      <c r="R799" s="460">
        <v>2111</v>
      </c>
      <c r="S799" s="460" t="s">
        <v>2296</v>
      </c>
      <c r="T799" s="462">
        <v>1</v>
      </c>
      <c r="U799" s="460" t="s">
        <v>2296</v>
      </c>
      <c r="V799" s="475">
        <v>0</v>
      </c>
      <c r="W799" s="463" t="s">
        <v>2267</v>
      </c>
      <c r="X799" s="463" t="s">
        <v>2267</v>
      </c>
      <c r="Y799" s="463" t="s">
        <v>2268</v>
      </c>
      <c r="Z799" s="463"/>
      <c r="AA799" s="463"/>
      <c r="AB799" s="464">
        <v>47.907839626025158</v>
      </c>
      <c r="AC799" s="465">
        <v>0.12301930925401336</v>
      </c>
      <c r="AD799" s="465">
        <v>2.7984754274066347E-3</v>
      </c>
      <c r="AE799" s="476">
        <v>47.907839626025158</v>
      </c>
      <c r="AF799" s="467">
        <v>0.12301930925401336</v>
      </c>
      <c r="AG799" s="468">
        <v>3.1106578823738946E-3</v>
      </c>
      <c r="AH799" s="218">
        <v>47.907839626025158</v>
      </c>
      <c r="AI799" s="470">
        <v>0.12301930925401336</v>
      </c>
      <c r="AJ799" s="471">
        <v>2.8578628073137415E-3</v>
      </c>
      <c r="AK799" s="218">
        <v>47.907839626025158</v>
      </c>
      <c r="AL799" s="470">
        <v>0.12301930925401336</v>
      </c>
      <c r="AM799" s="471">
        <v>2.8578628073137415E-3</v>
      </c>
      <c r="AN799" s="477">
        <v>0</v>
      </c>
      <c r="AO799" s="473">
        <v>0</v>
      </c>
      <c r="AP799" s="474">
        <v>0</v>
      </c>
      <c r="AQ799" s="352"/>
      <c r="AR799" s="352"/>
      <c r="AS799" s="352"/>
      <c r="AT799" s="352"/>
      <c r="AU799" s="352"/>
      <c r="AV799" s="352"/>
      <c r="AW799" s="352" t="s">
        <v>254</v>
      </c>
    </row>
    <row r="800" spans="2:49" x14ac:dyDescent="0.2">
      <c r="B800" s="460" t="s">
        <v>2604</v>
      </c>
      <c r="C800" s="460">
        <v>2111</v>
      </c>
      <c r="D800" s="460" t="s">
        <v>2298</v>
      </c>
      <c r="E800" s="460" t="s">
        <v>2299</v>
      </c>
      <c r="F800" s="460">
        <v>2</v>
      </c>
      <c r="G800" s="460">
        <v>2</v>
      </c>
      <c r="H800" s="461" t="s">
        <v>700</v>
      </c>
      <c r="I800" s="461" t="s">
        <v>872</v>
      </c>
      <c r="J800" s="461" t="s">
        <v>700</v>
      </c>
      <c r="K800" s="594"/>
      <c r="L800" s="594"/>
      <c r="M800" s="352">
        <v>2000</v>
      </c>
      <c r="N800" s="352" t="s">
        <v>703</v>
      </c>
      <c r="O800" s="460">
        <v>2111</v>
      </c>
      <c r="P800" s="460" t="s">
        <v>1873</v>
      </c>
      <c r="Q800" s="460" t="s">
        <v>2266</v>
      </c>
      <c r="R800" s="460">
        <v>2111</v>
      </c>
      <c r="S800" s="460" t="s">
        <v>2296</v>
      </c>
      <c r="T800" s="462">
        <v>0.55517361979372948</v>
      </c>
      <c r="U800" s="460" t="s">
        <v>2299</v>
      </c>
      <c r="V800" s="475">
        <v>0</v>
      </c>
      <c r="W800" s="463" t="s">
        <v>2267</v>
      </c>
      <c r="X800" s="463" t="s">
        <v>2267</v>
      </c>
      <c r="Y800" s="463" t="s">
        <v>2268</v>
      </c>
      <c r="Z800" s="463"/>
      <c r="AA800" s="463"/>
      <c r="AB800" s="464">
        <v>16.342743195142557</v>
      </c>
      <c r="AC800" s="465">
        <v>6.7533788651300969E-2</v>
      </c>
      <c r="AD800" s="465">
        <v>4.9449779821230623E-3</v>
      </c>
      <c r="AE800" s="476">
        <v>16.342743195142557</v>
      </c>
      <c r="AF800" s="467">
        <v>6.7533788651300969E-2</v>
      </c>
      <c r="AG800" s="468">
        <v>5.5492198233697693E-3</v>
      </c>
      <c r="AH800" s="218">
        <v>16.527453644177324</v>
      </c>
      <c r="AI800" s="470">
        <v>6.8297075223074835E-2</v>
      </c>
      <c r="AJ800" s="471">
        <v>3.8920100402796329E-3</v>
      </c>
      <c r="AK800" s="218">
        <v>16.527453644177324</v>
      </c>
      <c r="AL800" s="470">
        <v>6.8297075223074835E-2</v>
      </c>
      <c r="AM800" s="471">
        <v>3.8920100402796329E-3</v>
      </c>
      <c r="AN800" s="477">
        <v>0</v>
      </c>
      <c r="AO800" s="473">
        <v>0</v>
      </c>
      <c r="AP800" s="474">
        <v>0</v>
      </c>
      <c r="AQ800" s="352"/>
      <c r="AR800" s="352"/>
      <c r="AS800" s="352"/>
      <c r="AT800" s="352"/>
      <c r="AU800" s="352"/>
      <c r="AV800" s="352"/>
      <c r="AW800" s="352" t="s">
        <v>254</v>
      </c>
    </row>
    <row r="801" spans="2:49" x14ac:dyDescent="0.2">
      <c r="B801" s="460" t="s">
        <v>2605</v>
      </c>
      <c r="C801" s="460">
        <v>2111</v>
      </c>
      <c r="D801" s="460" t="s">
        <v>2301</v>
      </c>
      <c r="E801" s="460" t="s">
        <v>2302</v>
      </c>
      <c r="F801" s="460">
        <v>3</v>
      </c>
      <c r="G801" s="460">
        <v>2</v>
      </c>
      <c r="H801" s="461" t="s">
        <v>700</v>
      </c>
      <c r="I801" s="461" t="s">
        <v>872</v>
      </c>
      <c r="J801" s="461" t="s">
        <v>700</v>
      </c>
      <c r="K801" s="594"/>
      <c r="L801" s="594"/>
      <c r="M801" s="352">
        <v>2000</v>
      </c>
      <c r="N801" s="352" t="s">
        <v>703</v>
      </c>
      <c r="O801" s="460">
        <v>2111</v>
      </c>
      <c r="P801" s="460" t="s">
        <v>1873</v>
      </c>
      <c r="Q801" s="460" t="s">
        <v>2266</v>
      </c>
      <c r="R801" s="460">
        <v>2111</v>
      </c>
      <c r="S801" s="460" t="s">
        <v>2296</v>
      </c>
      <c r="T801" s="462">
        <v>0.28481449642268464</v>
      </c>
      <c r="U801" s="460" t="s">
        <v>2302</v>
      </c>
      <c r="V801" s="475">
        <v>0</v>
      </c>
      <c r="W801" s="463" t="s">
        <v>2267</v>
      </c>
      <c r="X801" s="463" t="s">
        <v>2267</v>
      </c>
      <c r="Y801" s="463" t="s">
        <v>2268</v>
      </c>
      <c r="Z801" s="463"/>
      <c r="AA801" s="463"/>
      <c r="AB801" s="464">
        <v>1.2969043482677618</v>
      </c>
      <c r="AC801" s="465">
        <v>9.4438166214835736E-3</v>
      </c>
      <c r="AD801" s="465">
        <v>2.5226577453830753E-3</v>
      </c>
      <c r="AE801" s="476">
        <v>1.2969043482677618</v>
      </c>
      <c r="AF801" s="467">
        <v>9.4438166214835736E-3</v>
      </c>
      <c r="AG801" s="468">
        <v>2.8466640398503787E-3</v>
      </c>
      <c r="AH801" s="218">
        <v>4.8116693449795331</v>
      </c>
      <c r="AI801" s="470">
        <v>3.5037682615448325E-2</v>
      </c>
      <c r="AJ801" s="471">
        <v>4.9950849952406749E-3</v>
      </c>
      <c r="AK801" s="218">
        <v>4.8116693449795331</v>
      </c>
      <c r="AL801" s="470">
        <v>3.5037682615448325E-2</v>
      </c>
      <c r="AM801" s="471">
        <v>4.9950849952406749E-3</v>
      </c>
      <c r="AN801" s="477">
        <v>0</v>
      </c>
      <c r="AO801" s="473">
        <v>0</v>
      </c>
      <c r="AP801" s="474">
        <v>0</v>
      </c>
      <c r="AQ801" s="352"/>
      <c r="AR801" s="352"/>
      <c r="AS801" s="352"/>
      <c r="AT801" s="352"/>
      <c r="AU801" s="352"/>
      <c r="AV801" s="352"/>
      <c r="AW801" s="352" t="s">
        <v>254</v>
      </c>
    </row>
    <row r="802" spans="2:49" x14ac:dyDescent="0.2">
      <c r="B802" s="460" t="s">
        <v>2606</v>
      </c>
      <c r="C802" s="460">
        <v>2111</v>
      </c>
      <c r="D802" s="460" t="s">
        <v>2304</v>
      </c>
      <c r="E802" s="460" t="s">
        <v>2305</v>
      </c>
      <c r="F802" s="460">
        <v>4</v>
      </c>
      <c r="G802" s="460">
        <v>2</v>
      </c>
      <c r="H802" s="461" t="s">
        <v>700</v>
      </c>
      <c r="I802" s="461" t="s">
        <v>872</v>
      </c>
      <c r="J802" s="461" t="s">
        <v>700</v>
      </c>
      <c r="K802" s="594"/>
      <c r="L802" s="594"/>
      <c r="M802" s="352">
        <v>2000</v>
      </c>
      <c r="N802" s="352" t="s">
        <v>703</v>
      </c>
      <c r="O802" s="460">
        <v>2111</v>
      </c>
      <c r="P802" s="460" t="s">
        <v>1873</v>
      </c>
      <c r="Q802" s="460" t="s">
        <v>2266</v>
      </c>
      <c r="R802" s="460">
        <v>2111</v>
      </c>
      <c r="S802" s="460" t="s">
        <v>2305</v>
      </c>
      <c r="T802" s="462">
        <v>1</v>
      </c>
      <c r="U802" s="460" t="s">
        <v>2305</v>
      </c>
      <c r="V802" s="475">
        <v>0</v>
      </c>
      <c r="W802" s="463" t="s">
        <v>2278</v>
      </c>
      <c r="X802" s="463" t="s">
        <v>2278</v>
      </c>
      <c r="Y802" s="463" t="s">
        <v>2268</v>
      </c>
      <c r="Z802" s="463"/>
      <c r="AA802" s="463"/>
      <c r="AB802" s="464">
        <v>0</v>
      </c>
      <c r="AC802" s="465">
        <v>0</v>
      </c>
      <c r="AD802" s="465">
        <v>0</v>
      </c>
      <c r="AE802" s="476">
        <v>0</v>
      </c>
      <c r="AF802" s="467">
        <v>0</v>
      </c>
      <c r="AG802" s="468">
        <v>0</v>
      </c>
      <c r="AH802" s="218">
        <v>0</v>
      </c>
      <c r="AI802" s="470">
        <v>0</v>
      </c>
      <c r="AJ802" s="471">
        <v>0</v>
      </c>
      <c r="AK802" s="218">
        <v>0</v>
      </c>
      <c r="AL802" s="470">
        <v>0</v>
      </c>
      <c r="AM802" s="471">
        <v>0</v>
      </c>
      <c r="AN802" s="477">
        <v>0</v>
      </c>
      <c r="AO802" s="473">
        <v>0</v>
      </c>
      <c r="AP802" s="474">
        <v>0</v>
      </c>
      <c r="AQ802" s="352"/>
      <c r="AR802" s="352"/>
      <c r="AS802" s="352"/>
      <c r="AT802" s="352"/>
      <c r="AU802" s="352"/>
      <c r="AV802" s="352"/>
      <c r="AW802" s="352" t="s">
        <v>254</v>
      </c>
    </row>
    <row r="803" spans="2:49" x14ac:dyDescent="0.2">
      <c r="B803" s="460" t="s">
        <v>2603</v>
      </c>
      <c r="C803" s="460">
        <v>2111</v>
      </c>
      <c r="D803" s="460" t="s">
        <v>2306</v>
      </c>
      <c r="E803" s="460" t="s">
        <v>2296</v>
      </c>
      <c r="F803" s="460">
        <v>1</v>
      </c>
      <c r="G803" s="460">
        <v>2</v>
      </c>
      <c r="H803" s="461" t="s">
        <v>712</v>
      </c>
      <c r="I803" s="461" t="s">
        <v>713</v>
      </c>
      <c r="J803" s="461" t="s">
        <v>712</v>
      </c>
      <c r="K803" s="594"/>
      <c r="L803" s="594"/>
      <c r="M803" s="352">
        <v>2000</v>
      </c>
      <c r="N803" s="352" t="s">
        <v>703</v>
      </c>
      <c r="O803" s="460">
        <v>2111</v>
      </c>
      <c r="P803" s="460" t="s">
        <v>1873</v>
      </c>
      <c r="Q803" s="460" t="s">
        <v>2280</v>
      </c>
      <c r="R803" s="460">
        <v>2111</v>
      </c>
      <c r="S803" s="460" t="s">
        <v>2296</v>
      </c>
      <c r="T803" s="462">
        <v>1</v>
      </c>
      <c r="U803" s="460" t="s">
        <v>2296</v>
      </c>
      <c r="V803" s="475">
        <v>0</v>
      </c>
      <c r="W803" s="463" t="s">
        <v>713</v>
      </c>
      <c r="X803" s="463" t="s">
        <v>713</v>
      </c>
      <c r="Y803" s="463" t="s">
        <v>713</v>
      </c>
      <c r="Z803" s="463"/>
      <c r="AA803" s="463"/>
      <c r="AB803" s="464">
        <v>341.52565594907878</v>
      </c>
      <c r="AC803" s="465">
        <v>0.87698069074598661</v>
      </c>
      <c r="AD803" s="465">
        <v>2.9538475017157565E-3</v>
      </c>
      <c r="AE803" s="476">
        <v>341.52565594907878</v>
      </c>
      <c r="AF803" s="467">
        <v>0.87698069074598661</v>
      </c>
      <c r="AG803" s="468">
        <v>2.9105972948303325E-3</v>
      </c>
      <c r="AH803" s="218">
        <v>341.52565594907878</v>
      </c>
      <c r="AI803" s="470">
        <v>0.87698069074598661</v>
      </c>
      <c r="AJ803" s="471">
        <v>2.9447869115164092E-3</v>
      </c>
      <c r="AK803" s="218">
        <v>341.52565594907878</v>
      </c>
      <c r="AL803" s="470">
        <v>0.87698069074598661</v>
      </c>
      <c r="AM803" s="471">
        <v>2.9447869115164092E-3</v>
      </c>
      <c r="AN803" s="477">
        <v>341.52565594907878</v>
      </c>
      <c r="AO803" s="473">
        <v>0.87698069074598661</v>
      </c>
      <c r="AP803" s="474">
        <v>2.9440642202697921E-3</v>
      </c>
      <c r="AQ803" s="352"/>
      <c r="AR803" s="352"/>
      <c r="AS803" s="352"/>
      <c r="AT803" s="352"/>
      <c r="AU803" s="352"/>
      <c r="AV803" s="352"/>
      <c r="AW803" s="352" t="s">
        <v>254</v>
      </c>
    </row>
    <row r="804" spans="2:49" x14ac:dyDescent="0.2">
      <c r="B804" s="460" t="s">
        <v>2604</v>
      </c>
      <c r="C804" s="460">
        <v>2111</v>
      </c>
      <c r="D804" s="460" t="s">
        <v>2307</v>
      </c>
      <c r="E804" s="460" t="s">
        <v>2299</v>
      </c>
      <c r="F804" s="460">
        <v>2</v>
      </c>
      <c r="G804" s="460">
        <v>2</v>
      </c>
      <c r="H804" s="461" t="s">
        <v>712</v>
      </c>
      <c r="I804" s="461" t="s">
        <v>713</v>
      </c>
      <c r="J804" s="461" t="s">
        <v>712</v>
      </c>
      <c r="K804" s="594"/>
      <c r="L804" s="594"/>
      <c r="M804" s="352">
        <v>2000</v>
      </c>
      <c r="N804" s="352" t="s">
        <v>703</v>
      </c>
      <c r="O804" s="460">
        <v>2111</v>
      </c>
      <c r="P804" s="460" t="s">
        <v>1873</v>
      </c>
      <c r="Q804" s="460" t="s">
        <v>2280</v>
      </c>
      <c r="R804" s="460">
        <v>2111</v>
      </c>
      <c r="S804" s="460" t="s">
        <v>2296</v>
      </c>
      <c r="T804" s="462">
        <v>0.55517361979372948</v>
      </c>
      <c r="U804" s="460" t="s">
        <v>2299</v>
      </c>
      <c r="V804" s="475">
        <v>0</v>
      </c>
      <c r="W804" s="463" t="s">
        <v>713</v>
      </c>
      <c r="X804" s="463" t="s">
        <v>713</v>
      </c>
      <c r="Y804" s="463" t="s">
        <v>713</v>
      </c>
      <c r="Z804" s="463"/>
      <c r="AA804" s="463"/>
      <c r="AB804" s="464">
        <v>225.6508354492525</v>
      </c>
      <c r="AC804" s="465">
        <v>0.932466211348699</v>
      </c>
      <c r="AD804" s="465">
        <v>2.610047372904249E-3</v>
      </c>
      <c r="AE804" s="476">
        <v>225.6508354492525</v>
      </c>
      <c r="AF804" s="467">
        <v>0.932466211348699</v>
      </c>
      <c r="AG804" s="468">
        <v>2.5992281689111696E-3</v>
      </c>
      <c r="AH804" s="218">
        <v>225.46612500021774</v>
      </c>
      <c r="AI804" s="470">
        <v>0.93170292477692518</v>
      </c>
      <c r="AJ804" s="471">
        <v>2.6415388591640907E-3</v>
      </c>
      <c r="AK804" s="218">
        <v>225.46612500021774</v>
      </c>
      <c r="AL804" s="470">
        <v>0.93170292477692518</v>
      </c>
      <c r="AM804" s="471">
        <v>2.6415388591640907E-3</v>
      </c>
      <c r="AN804" s="477">
        <v>225.46612500021774</v>
      </c>
      <c r="AO804" s="473">
        <v>0.93170292477692518</v>
      </c>
      <c r="AP804" s="474">
        <v>2.6412054052967317E-3</v>
      </c>
      <c r="AQ804" s="352"/>
      <c r="AR804" s="352"/>
      <c r="AS804" s="352"/>
      <c r="AT804" s="352"/>
      <c r="AU804" s="352"/>
      <c r="AV804" s="352"/>
      <c r="AW804" s="352" t="s">
        <v>254</v>
      </c>
    </row>
    <row r="805" spans="2:49" x14ac:dyDescent="0.2">
      <c r="B805" s="460" t="s">
        <v>2605</v>
      </c>
      <c r="C805" s="460">
        <v>2111</v>
      </c>
      <c r="D805" s="460" t="s">
        <v>2308</v>
      </c>
      <c r="E805" s="460" t="s">
        <v>2302</v>
      </c>
      <c r="F805" s="460">
        <v>3</v>
      </c>
      <c r="G805" s="460">
        <v>2</v>
      </c>
      <c r="H805" s="461" t="s">
        <v>712</v>
      </c>
      <c r="I805" s="461" t="s">
        <v>713</v>
      </c>
      <c r="J805" s="461" t="s">
        <v>712</v>
      </c>
      <c r="K805" s="594"/>
      <c r="L805" s="594"/>
      <c r="M805" s="352">
        <v>2000</v>
      </c>
      <c r="N805" s="352" t="s">
        <v>703</v>
      </c>
      <c r="O805" s="460">
        <v>2111</v>
      </c>
      <c r="P805" s="460" t="s">
        <v>1873</v>
      </c>
      <c r="Q805" s="460" t="s">
        <v>2280</v>
      </c>
      <c r="R805" s="460">
        <v>2111</v>
      </c>
      <c r="S805" s="460" t="s">
        <v>2296</v>
      </c>
      <c r="T805" s="462">
        <v>0.28481449642268464</v>
      </c>
      <c r="U805" s="460" t="s">
        <v>2302</v>
      </c>
      <c r="V805" s="475">
        <v>0</v>
      </c>
      <c r="W805" s="463" t="s">
        <v>713</v>
      </c>
      <c r="X805" s="463" t="s">
        <v>713</v>
      </c>
      <c r="Y805" s="463" t="s">
        <v>713</v>
      </c>
      <c r="Z805" s="463"/>
      <c r="AA805" s="463"/>
      <c r="AB805" s="464">
        <v>136.03150854334396</v>
      </c>
      <c r="AC805" s="465">
        <v>0.99055618337851647</v>
      </c>
      <c r="AD805" s="465">
        <v>3.9568166543790754E-3</v>
      </c>
      <c r="AE805" s="476">
        <v>136.03150854334396</v>
      </c>
      <c r="AF805" s="467">
        <v>0.99055618337851647</v>
      </c>
      <c r="AG805" s="468">
        <v>3.9500933833149779E-3</v>
      </c>
      <c r="AH805" s="218">
        <v>132.51674354663217</v>
      </c>
      <c r="AI805" s="470">
        <v>0.96496231738455163</v>
      </c>
      <c r="AJ805" s="471">
        <v>3.9056095760931723E-3</v>
      </c>
      <c r="AK805" s="218">
        <v>132.51674354663217</v>
      </c>
      <c r="AL805" s="470">
        <v>0.96496231738455163</v>
      </c>
      <c r="AM805" s="471">
        <v>3.9056095760931723E-3</v>
      </c>
      <c r="AN805" s="477">
        <v>132.51674354663217</v>
      </c>
      <c r="AO805" s="473">
        <v>0.96496231738455163</v>
      </c>
      <c r="AP805" s="474">
        <v>3.9090057204978872E-3</v>
      </c>
      <c r="AQ805" s="352"/>
      <c r="AR805" s="352"/>
      <c r="AS805" s="352"/>
      <c r="AT805" s="352"/>
      <c r="AU805" s="352"/>
      <c r="AV805" s="352"/>
      <c r="AW805" s="352" t="s">
        <v>254</v>
      </c>
    </row>
    <row r="806" spans="2:49" x14ac:dyDescent="0.2">
      <c r="B806" s="460" t="s">
        <v>2606</v>
      </c>
      <c r="C806" s="460">
        <v>2111</v>
      </c>
      <c r="D806" s="460" t="s">
        <v>2309</v>
      </c>
      <c r="E806" s="460" t="s">
        <v>2305</v>
      </c>
      <c r="F806" s="460">
        <v>4</v>
      </c>
      <c r="G806" s="460">
        <v>2</v>
      </c>
      <c r="H806" s="461" t="s">
        <v>712</v>
      </c>
      <c r="I806" s="461" t="s">
        <v>713</v>
      </c>
      <c r="J806" s="461" t="s">
        <v>712</v>
      </c>
      <c r="K806" s="594"/>
      <c r="L806" s="594"/>
      <c r="M806" s="352">
        <v>2000</v>
      </c>
      <c r="N806" s="352" t="s">
        <v>703</v>
      </c>
      <c r="O806" s="460">
        <v>2111</v>
      </c>
      <c r="P806" s="460" t="s">
        <v>1873</v>
      </c>
      <c r="Q806" s="460" t="s">
        <v>2280</v>
      </c>
      <c r="R806" s="460">
        <v>2111</v>
      </c>
      <c r="S806" s="460" t="s">
        <v>2305</v>
      </c>
      <c r="T806" s="462">
        <v>1</v>
      </c>
      <c r="U806" s="460" t="s">
        <v>2305</v>
      </c>
      <c r="V806" s="475">
        <v>0</v>
      </c>
      <c r="W806" s="463" t="s">
        <v>713</v>
      </c>
      <c r="X806" s="463" t="s">
        <v>713</v>
      </c>
      <c r="Y806" s="463" t="s">
        <v>713</v>
      </c>
      <c r="Z806" s="463"/>
      <c r="AA806" s="463"/>
      <c r="AB806" s="464">
        <v>154.23244205497937</v>
      </c>
      <c r="AC806" s="465">
        <v>1</v>
      </c>
      <c r="AD806" s="465">
        <v>3.9390815196778135E-3</v>
      </c>
      <c r="AE806" s="476">
        <v>154.23244205497937</v>
      </c>
      <c r="AF806" s="467">
        <v>1</v>
      </c>
      <c r="AG806" s="468">
        <v>3.9389551681762612E-3</v>
      </c>
      <c r="AH806" s="218">
        <v>154.23244205497937</v>
      </c>
      <c r="AI806" s="470">
        <v>1</v>
      </c>
      <c r="AJ806" s="471">
        <v>3.9389599363995418E-3</v>
      </c>
      <c r="AK806" s="218">
        <v>154.23244205497937</v>
      </c>
      <c r="AL806" s="470">
        <v>1</v>
      </c>
      <c r="AM806" s="471">
        <v>3.9389599363995418E-3</v>
      </c>
      <c r="AN806" s="477">
        <v>154.23244205497937</v>
      </c>
      <c r="AO806" s="473">
        <v>1</v>
      </c>
      <c r="AP806" s="474">
        <v>3.9389647545308827E-3</v>
      </c>
      <c r="AQ806" s="352"/>
      <c r="AR806" s="352"/>
      <c r="AS806" s="352"/>
      <c r="AT806" s="352"/>
      <c r="AU806" s="352"/>
      <c r="AV806" s="352"/>
      <c r="AW806" s="352" t="s">
        <v>254</v>
      </c>
    </row>
    <row r="807" spans="2:49" x14ac:dyDescent="0.2">
      <c r="B807" s="460" t="s">
        <v>2603</v>
      </c>
      <c r="C807" s="460">
        <v>2111</v>
      </c>
      <c r="D807" s="460" t="s">
        <v>2310</v>
      </c>
      <c r="E807" s="460" t="s">
        <v>2296</v>
      </c>
      <c r="F807" s="460">
        <v>1</v>
      </c>
      <c r="G807" s="460">
        <v>2</v>
      </c>
      <c r="H807" s="461" t="s">
        <v>746</v>
      </c>
      <c r="I807" s="461" t="s">
        <v>762</v>
      </c>
      <c r="J807" s="461" t="s">
        <v>700</v>
      </c>
      <c r="K807" s="594"/>
      <c r="L807" s="594"/>
      <c r="M807" s="352">
        <v>2000</v>
      </c>
      <c r="N807" s="352" t="s">
        <v>703</v>
      </c>
      <c r="O807" s="460">
        <v>2111</v>
      </c>
      <c r="P807" s="460" t="s">
        <v>1873</v>
      </c>
      <c r="Q807" s="460" t="s">
        <v>2289</v>
      </c>
      <c r="R807" s="460">
        <v>2111</v>
      </c>
      <c r="S807" s="460" t="s">
        <v>2296</v>
      </c>
      <c r="T807" s="462">
        <v>1</v>
      </c>
      <c r="U807" s="460" t="s">
        <v>2296</v>
      </c>
      <c r="V807" s="475">
        <v>0</v>
      </c>
      <c r="W807" s="463" t="s">
        <v>2268</v>
      </c>
      <c r="X807" s="463" t="s">
        <v>2268</v>
      </c>
      <c r="Y807" s="463" t="s">
        <v>2290</v>
      </c>
      <c r="Z807" s="463"/>
      <c r="AA807" s="463"/>
      <c r="AB807" s="464">
        <v>0</v>
      </c>
      <c r="AC807" s="465">
        <v>0</v>
      </c>
      <c r="AD807" s="465">
        <v>0</v>
      </c>
      <c r="AE807" s="476">
        <v>0</v>
      </c>
      <c r="AF807" s="467">
        <v>0</v>
      </c>
      <c r="AG807" s="468">
        <v>0</v>
      </c>
      <c r="AH807" s="218">
        <v>0</v>
      </c>
      <c r="AI807" s="470">
        <v>0</v>
      </c>
      <c r="AJ807" s="471">
        <v>0</v>
      </c>
      <c r="AK807" s="218">
        <v>0</v>
      </c>
      <c r="AL807" s="470">
        <v>0</v>
      </c>
      <c r="AM807" s="471">
        <v>0</v>
      </c>
      <c r="AN807" s="477">
        <v>0</v>
      </c>
      <c r="AO807" s="473">
        <v>0</v>
      </c>
      <c r="AP807" s="474">
        <v>0</v>
      </c>
      <c r="AQ807" s="352"/>
      <c r="AR807" s="352"/>
      <c r="AS807" s="352"/>
      <c r="AT807" s="352"/>
      <c r="AU807" s="352"/>
      <c r="AV807" s="352"/>
      <c r="AW807" s="352" t="s">
        <v>254</v>
      </c>
    </row>
    <row r="808" spans="2:49" x14ac:dyDescent="0.2">
      <c r="B808" s="460" t="s">
        <v>2604</v>
      </c>
      <c r="C808" s="460">
        <v>2111</v>
      </c>
      <c r="D808" s="460" t="s">
        <v>2311</v>
      </c>
      <c r="E808" s="460" t="s">
        <v>2299</v>
      </c>
      <c r="F808" s="460">
        <v>2</v>
      </c>
      <c r="G808" s="460">
        <v>2</v>
      </c>
      <c r="H808" s="461" t="s">
        <v>746</v>
      </c>
      <c r="I808" s="461" t="s">
        <v>762</v>
      </c>
      <c r="J808" s="461" t="s">
        <v>700</v>
      </c>
      <c r="K808" s="594"/>
      <c r="L808" s="594"/>
      <c r="M808" s="352">
        <v>2000</v>
      </c>
      <c r="N808" s="352" t="s">
        <v>703</v>
      </c>
      <c r="O808" s="460">
        <v>2111</v>
      </c>
      <c r="P808" s="460" t="s">
        <v>1873</v>
      </c>
      <c r="Q808" s="460" t="s">
        <v>2289</v>
      </c>
      <c r="R808" s="460">
        <v>2111</v>
      </c>
      <c r="S808" s="460" t="s">
        <v>2296</v>
      </c>
      <c r="T808" s="462">
        <v>0.55517361979372948</v>
      </c>
      <c r="U808" s="460" t="s">
        <v>2299</v>
      </c>
      <c r="V808" s="475">
        <v>0</v>
      </c>
      <c r="W808" s="463" t="s">
        <v>2268</v>
      </c>
      <c r="X808" s="463" t="s">
        <v>2268</v>
      </c>
      <c r="Y808" s="463" t="s">
        <v>2290</v>
      </c>
      <c r="Z808" s="463"/>
      <c r="AA808" s="463"/>
      <c r="AB808" s="464">
        <v>0</v>
      </c>
      <c r="AC808" s="465">
        <v>0</v>
      </c>
      <c r="AD808" s="465">
        <v>0</v>
      </c>
      <c r="AE808" s="476">
        <v>0</v>
      </c>
      <c r="AF808" s="467">
        <v>0</v>
      </c>
      <c r="AG808" s="468">
        <v>0</v>
      </c>
      <c r="AH808" s="218">
        <v>0</v>
      </c>
      <c r="AI808" s="470">
        <v>0</v>
      </c>
      <c r="AJ808" s="471">
        <v>0</v>
      </c>
      <c r="AK808" s="218">
        <v>0</v>
      </c>
      <c r="AL808" s="470">
        <v>0</v>
      </c>
      <c r="AM808" s="471">
        <v>0</v>
      </c>
      <c r="AN808" s="477">
        <v>0</v>
      </c>
      <c r="AO808" s="473">
        <v>0</v>
      </c>
      <c r="AP808" s="474">
        <v>0</v>
      </c>
      <c r="AQ808" s="352"/>
      <c r="AR808" s="352"/>
      <c r="AS808" s="352"/>
      <c r="AT808" s="352"/>
      <c r="AU808" s="352"/>
      <c r="AV808" s="352"/>
      <c r="AW808" s="352" t="s">
        <v>254</v>
      </c>
    </row>
    <row r="809" spans="2:49" x14ac:dyDescent="0.2">
      <c r="B809" s="460" t="s">
        <v>2605</v>
      </c>
      <c r="C809" s="460">
        <v>2111</v>
      </c>
      <c r="D809" s="460" t="s">
        <v>2312</v>
      </c>
      <c r="E809" s="460" t="s">
        <v>2302</v>
      </c>
      <c r="F809" s="460">
        <v>3</v>
      </c>
      <c r="G809" s="460">
        <v>2</v>
      </c>
      <c r="H809" s="461" t="s">
        <v>746</v>
      </c>
      <c r="I809" s="461" t="s">
        <v>762</v>
      </c>
      <c r="J809" s="461" t="s">
        <v>700</v>
      </c>
      <c r="K809" s="594"/>
      <c r="L809" s="594"/>
      <c r="M809" s="352">
        <v>2000</v>
      </c>
      <c r="N809" s="352" t="s">
        <v>703</v>
      </c>
      <c r="O809" s="460">
        <v>2111</v>
      </c>
      <c r="P809" s="460" t="s">
        <v>1873</v>
      </c>
      <c r="Q809" s="460" t="s">
        <v>2289</v>
      </c>
      <c r="R809" s="460">
        <v>2111</v>
      </c>
      <c r="S809" s="460" t="s">
        <v>2296</v>
      </c>
      <c r="T809" s="462">
        <v>0.28481449642268464</v>
      </c>
      <c r="U809" s="460" t="s">
        <v>2302</v>
      </c>
      <c r="V809" s="475">
        <v>0</v>
      </c>
      <c r="W809" s="463" t="s">
        <v>2268</v>
      </c>
      <c r="X809" s="463" t="s">
        <v>2268</v>
      </c>
      <c r="Y809" s="463" t="s">
        <v>2290</v>
      </c>
      <c r="Z809" s="463"/>
      <c r="AA809" s="463"/>
      <c r="AB809" s="464">
        <v>0</v>
      </c>
      <c r="AC809" s="465">
        <v>0</v>
      </c>
      <c r="AD809" s="465">
        <v>0</v>
      </c>
      <c r="AE809" s="476">
        <v>0</v>
      </c>
      <c r="AF809" s="467">
        <v>0</v>
      </c>
      <c r="AG809" s="468">
        <v>0</v>
      </c>
      <c r="AH809" s="218">
        <v>0</v>
      </c>
      <c r="AI809" s="470">
        <v>0</v>
      </c>
      <c r="AJ809" s="471">
        <v>0</v>
      </c>
      <c r="AK809" s="218">
        <v>0</v>
      </c>
      <c r="AL809" s="470">
        <v>0</v>
      </c>
      <c r="AM809" s="471">
        <v>0</v>
      </c>
      <c r="AN809" s="477">
        <v>0</v>
      </c>
      <c r="AO809" s="473">
        <v>0</v>
      </c>
      <c r="AP809" s="474">
        <v>0</v>
      </c>
      <c r="AQ809" s="352"/>
      <c r="AR809" s="352"/>
      <c r="AS809" s="352"/>
      <c r="AT809" s="352"/>
      <c r="AU809" s="352"/>
      <c r="AV809" s="352"/>
      <c r="AW809" s="352" t="s">
        <v>254</v>
      </c>
    </row>
    <row r="810" spans="2:49" x14ac:dyDescent="0.2">
      <c r="B810" s="460" t="s">
        <v>2606</v>
      </c>
      <c r="C810" s="460">
        <v>2111</v>
      </c>
      <c r="D810" s="460" t="s">
        <v>2313</v>
      </c>
      <c r="E810" s="460" t="s">
        <v>2305</v>
      </c>
      <c r="F810" s="460">
        <v>4</v>
      </c>
      <c r="G810" s="460">
        <v>2</v>
      </c>
      <c r="H810" s="461" t="s">
        <v>746</v>
      </c>
      <c r="I810" s="461" t="s">
        <v>762</v>
      </c>
      <c r="J810" s="461" t="s">
        <v>700</v>
      </c>
      <c r="K810" s="594"/>
      <c r="L810" s="594"/>
      <c r="M810" s="352">
        <v>2000</v>
      </c>
      <c r="N810" s="352" t="s">
        <v>703</v>
      </c>
      <c r="O810" s="460">
        <v>2111</v>
      </c>
      <c r="P810" s="460" t="s">
        <v>1873</v>
      </c>
      <c r="Q810" s="460" t="s">
        <v>2289</v>
      </c>
      <c r="R810" s="460">
        <v>2111</v>
      </c>
      <c r="S810" s="460" t="s">
        <v>2305</v>
      </c>
      <c r="T810" s="462">
        <v>1</v>
      </c>
      <c r="U810" s="460" t="s">
        <v>2305</v>
      </c>
      <c r="V810" s="475">
        <v>0</v>
      </c>
      <c r="W810" s="463" t="s">
        <v>2268</v>
      </c>
      <c r="X810" s="463" t="s">
        <v>2268</v>
      </c>
      <c r="Y810" s="463" t="s">
        <v>2290</v>
      </c>
      <c r="Z810" s="463"/>
      <c r="AA810" s="463"/>
      <c r="AB810" s="464">
        <v>0</v>
      </c>
      <c r="AC810" s="465">
        <v>0</v>
      </c>
      <c r="AD810" s="465">
        <v>0</v>
      </c>
      <c r="AE810" s="476">
        <v>0</v>
      </c>
      <c r="AF810" s="467">
        <v>0</v>
      </c>
      <c r="AG810" s="468">
        <v>0</v>
      </c>
      <c r="AH810" s="218">
        <v>0</v>
      </c>
      <c r="AI810" s="470">
        <v>0</v>
      </c>
      <c r="AJ810" s="471">
        <v>0</v>
      </c>
      <c r="AK810" s="218">
        <v>0</v>
      </c>
      <c r="AL810" s="470">
        <v>0</v>
      </c>
      <c r="AM810" s="471">
        <v>0</v>
      </c>
      <c r="AN810" s="477">
        <v>0</v>
      </c>
      <c r="AO810" s="473">
        <v>0</v>
      </c>
      <c r="AP810" s="474">
        <v>0</v>
      </c>
      <c r="AQ810" s="352"/>
      <c r="AR810" s="352"/>
      <c r="AS810" s="352"/>
      <c r="AT810" s="352"/>
      <c r="AU810" s="352"/>
      <c r="AV810" s="352"/>
      <c r="AW810" s="352" t="s">
        <v>254</v>
      </c>
    </row>
    <row r="811" spans="2:49" x14ac:dyDescent="0.2">
      <c r="B811" s="460" t="s">
        <v>2603</v>
      </c>
      <c r="C811" s="460">
        <v>2111</v>
      </c>
      <c r="D811" s="460" t="s">
        <v>2314</v>
      </c>
      <c r="E811" s="460" t="s">
        <v>2296</v>
      </c>
      <c r="F811" s="460">
        <v>1</v>
      </c>
      <c r="G811" s="460">
        <v>2</v>
      </c>
      <c r="H811" s="461" t="s">
        <v>748</v>
      </c>
      <c r="I811" s="461" t="s">
        <v>765</v>
      </c>
      <c r="J811" s="461" t="s">
        <v>700</v>
      </c>
      <c r="K811" s="594"/>
      <c r="L811" s="594"/>
      <c r="M811" s="352">
        <v>2000</v>
      </c>
      <c r="N811" s="352" t="s">
        <v>703</v>
      </c>
      <c r="O811" s="460">
        <v>2111</v>
      </c>
      <c r="P811" s="460" t="s">
        <v>1873</v>
      </c>
      <c r="Q811" s="460" t="s">
        <v>2266</v>
      </c>
      <c r="R811" s="460">
        <v>2111</v>
      </c>
      <c r="S811" s="460" t="s">
        <v>2296</v>
      </c>
      <c r="T811" s="462">
        <v>1</v>
      </c>
      <c r="U811" s="460" t="s">
        <v>2296</v>
      </c>
      <c r="V811" s="475">
        <v>0</v>
      </c>
      <c r="W811" s="463" t="s">
        <v>2268</v>
      </c>
      <c r="X811" s="463" t="s">
        <v>2268</v>
      </c>
      <c r="Y811" s="463" t="s">
        <v>2267</v>
      </c>
      <c r="Z811" s="463"/>
      <c r="AA811" s="463"/>
      <c r="AB811" s="464">
        <v>0</v>
      </c>
      <c r="AC811" s="465">
        <v>0</v>
      </c>
      <c r="AD811" s="465">
        <v>0</v>
      </c>
      <c r="AE811" s="476">
        <v>0</v>
      </c>
      <c r="AF811" s="467">
        <v>0</v>
      </c>
      <c r="AG811" s="468">
        <v>0</v>
      </c>
      <c r="AH811" s="218">
        <v>0</v>
      </c>
      <c r="AI811" s="470">
        <v>0</v>
      </c>
      <c r="AJ811" s="471">
        <v>0</v>
      </c>
      <c r="AK811" s="218">
        <v>0</v>
      </c>
      <c r="AL811" s="470">
        <v>0</v>
      </c>
      <c r="AM811" s="471">
        <v>0</v>
      </c>
      <c r="AN811" s="477">
        <v>47.907839626025158</v>
      </c>
      <c r="AO811" s="473">
        <v>0.12301930925401336</v>
      </c>
      <c r="AP811" s="474">
        <v>1.4635188785090155E-2</v>
      </c>
      <c r="AQ811" s="352"/>
      <c r="AR811" s="352"/>
      <c r="AS811" s="352"/>
      <c r="AT811" s="352"/>
      <c r="AU811" s="352"/>
      <c r="AV811" s="352"/>
      <c r="AW811" s="352" t="s">
        <v>254</v>
      </c>
    </row>
    <row r="812" spans="2:49" x14ac:dyDescent="0.2">
      <c r="B812" s="460" t="s">
        <v>2604</v>
      </c>
      <c r="C812" s="460">
        <v>2111</v>
      </c>
      <c r="D812" s="460" t="s">
        <v>2315</v>
      </c>
      <c r="E812" s="460" t="s">
        <v>2299</v>
      </c>
      <c r="F812" s="460">
        <v>2</v>
      </c>
      <c r="G812" s="460">
        <v>2</v>
      </c>
      <c r="H812" s="461" t="s">
        <v>748</v>
      </c>
      <c r="I812" s="461" t="s">
        <v>765</v>
      </c>
      <c r="J812" s="461" t="s">
        <v>700</v>
      </c>
      <c r="K812" s="594"/>
      <c r="L812" s="594"/>
      <c r="M812" s="352">
        <v>2000</v>
      </c>
      <c r="N812" s="352" t="s">
        <v>703</v>
      </c>
      <c r="O812" s="460">
        <v>2111</v>
      </c>
      <c r="P812" s="460" t="s">
        <v>1873</v>
      </c>
      <c r="Q812" s="460" t="s">
        <v>2266</v>
      </c>
      <c r="R812" s="460">
        <v>2111</v>
      </c>
      <c r="S812" s="460" t="s">
        <v>2296</v>
      </c>
      <c r="T812" s="462">
        <v>0.55517361979372948</v>
      </c>
      <c r="U812" s="460" t="s">
        <v>2299</v>
      </c>
      <c r="V812" s="475">
        <v>0</v>
      </c>
      <c r="W812" s="463" t="s">
        <v>2268</v>
      </c>
      <c r="X812" s="463" t="s">
        <v>2268</v>
      </c>
      <c r="Y812" s="463" t="s">
        <v>2267</v>
      </c>
      <c r="Z812" s="463"/>
      <c r="AA812" s="463"/>
      <c r="AB812" s="464">
        <v>0</v>
      </c>
      <c r="AC812" s="465">
        <v>0</v>
      </c>
      <c r="AD812" s="465">
        <v>0</v>
      </c>
      <c r="AE812" s="476">
        <v>0</v>
      </c>
      <c r="AF812" s="467">
        <v>0</v>
      </c>
      <c r="AG812" s="468">
        <v>0</v>
      </c>
      <c r="AH812" s="218">
        <v>0</v>
      </c>
      <c r="AI812" s="470">
        <v>0</v>
      </c>
      <c r="AJ812" s="471">
        <v>0</v>
      </c>
      <c r="AK812" s="218">
        <v>0</v>
      </c>
      <c r="AL812" s="470">
        <v>0</v>
      </c>
      <c r="AM812" s="471">
        <v>0</v>
      </c>
      <c r="AN812" s="477">
        <v>16.527453644177324</v>
      </c>
      <c r="AO812" s="473">
        <v>6.8297075223074835E-2</v>
      </c>
      <c r="AP812" s="474">
        <v>1.5312390062118826E-2</v>
      </c>
      <c r="AQ812" s="352"/>
      <c r="AR812" s="352"/>
      <c r="AS812" s="352"/>
      <c r="AT812" s="352"/>
      <c r="AU812" s="352"/>
      <c r="AV812" s="352"/>
      <c r="AW812" s="352" t="s">
        <v>254</v>
      </c>
    </row>
    <row r="813" spans="2:49" x14ac:dyDescent="0.2">
      <c r="B813" s="460" t="s">
        <v>2605</v>
      </c>
      <c r="C813" s="460">
        <v>2111</v>
      </c>
      <c r="D813" s="460" t="s">
        <v>2316</v>
      </c>
      <c r="E813" s="460" t="s">
        <v>2302</v>
      </c>
      <c r="F813" s="460">
        <v>3</v>
      </c>
      <c r="G813" s="460">
        <v>2</v>
      </c>
      <c r="H813" s="461" t="s">
        <v>748</v>
      </c>
      <c r="I813" s="461" t="s">
        <v>765</v>
      </c>
      <c r="J813" s="461" t="s">
        <v>700</v>
      </c>
      <c r="K813" s="594"/>
      <c r="L813" s="594"/>
      <c r="M813" s="352">
        <v>2000</v>
      </c>
      <c r="N813" s="352" t="s">
        <v>703</v>
      </c>
      <c r="O813" s="460">
        <v>2111</v>
      </c>
      <c r="P813" s="460" t="s">
        <v>1873</v>
      </c>
      <c r="Q813" s="460" t="s">
        <v>2266</v>
      </c>
      <c r="R813" s="460">
        <v>2111</v>
      </c>
      <c r="S813" s="460" t="s">
        <v>2296</v>
      </c>
      <c r="T813" s="462">
        <v>0.28481449642268464</v>
      </c>
      <c r="U813" s="460" t="s">
        <v>2302</v>
      </c>
      <c r="V813" s="475">
        <v>0</v>
      </c>
      <c r="W813" s="463" t="s">
        <v>2268</v>
      </c>
      <c r="X813" s="463" t="s">
        <v>2268</v>
      </c>
      <c r="Y813" s="463" t="s">
        <v>2267</v>
      </c>
      <c r="Z813" s="463"/>
      <c r="AA813" s="463"/>
      <c r="AB813" s="464">
        <v>0</v>
      </c>
      <c r="AC813" s="465">
        <v>0</v>
      </c>
      <c r="AD813" s="465">
        <v>0</v>
      </c>
      <c r="AE813" s="476">
        <v>0</v>
      </c>
      <c r="AF813" s="467">
        <v>0</v>
      </c>
      <c r="AG813" s="468">
        <v>0</v>
      </c>
      <c r="AH813" s="218">
        <v>0</v>
      </c>
      <c r="AI813" s="470">
        <v>0</v>
      </c>
      <c r="AJ813" s="471">
        <v>0</v>
      </c>
      <c r="AK813" s="218">
        <v>0</v>
      </c>
      <c r="AL813" s="470">
        <v>0</v>
      </c>
      <c r="AM813" s="471">
        <v>0</v>
      </c>
      <c r="AN813" s="477">
        <v>4.8116693449795331</v>
      </c>
      <c r="AO813" s="473">
        <v>3.5037682615448325E-2</v>
      </c>
      <c r="AP813" s="474">
        <v>2.0588813615240228E-2</v>
      </c>
      <c r="AQ813" s="352"/>
      <c r="AR813" s="352"/>
      <c r="AS813" s="352"/>
      <c r="AT813" s="352"/>
      <c r="AU813" s="352"/>
      <c r="AV813" s="352"/>
      <c r="AW813" s="352" t="s">
        <v>254</v>
      </c>
    </row>
    <row r="814" spans="2:49" x14ac:dyDescent="0.2">
      <c r="B814" s="460" t="s">
        <v>2606</v>
      </c>
      <c r="C814" s="460">
        <v>2111</v>
      </c>
      <c r="D814" s="460" t="s">
        <v>2317</v>
      </c>
      <c r="E814" s="460" t="s">
        <v>2305</v>
      </c>
      <c r="F814" s="460">
        <v>4</v>
      </c>
      <c r="G814" s="460">
        <v>2</v>
      </c>
      <c r="H814" s="461" t="s">
        <v>748</v>
      </c>
      <c r="I814" s="461" t="s">
        <v>765</v>
      </c>
      <c r="J814" s="461" t="s">
        <v>700</v>
      </c>
      <c r="K814" s="594"/>
      <c r="L814" s="594"/>
      <c r="M814" s="352">
        <v>2000</v>
      </c>
      <c r="N814" s="352" t="s">
        <v>703</v>
      </c>
      <c r="O814" s="460">
        <v>2111</v>
      </c>
      <c r="P814" s="460" t="s">
        <v>1873</v>
      </c>
      <c r="Q814" s="460" t="s">
        <v>2266</v>
      </c>
      <c r="R814" s="460">
        <v>2111</v>
      </c>
      <c r="S814" s="460" t="s">
        <v>2305</v>
      </c>
      <c r="T814" s="462">
        <v>1</v>
      </c>
      <c r="U814" s="460" t="s">
        <v>2305</v>
      </c>
      <c r="V814" s="475">
        <v>0</v>
      </c>
      <c r="W814" s="463" t="s">
        <v>2268</v>
      </c>
      <c r="X814" s="463" t="s">
        <v>2268</v>
      </c>
      <c r="Y814" s="463" t="s">
        <v>2278</v>
      </c>
      <c r="Z814" s="463"/>
      <c r="AA814" s="463"/>
      <c r="AB814" s="464">
        <v>0</v>
      </c>
      <c r="AC814" s="465">
        <v>0</v>
      </c>
      <c r="AD814" s="465">
        <v>0</v>
      </c>
      <c r="AE814" s="476">
        <v>0</v>
      </c>
      <c r="AF814" s="467">
        <v>0</v>
      </c>
      <c r="AG814" s="468">
        <v>0</v>
      </c>
      <c r="AH814" s="218">
        <v>0</v>
      </c>
      <c r="AI814" s="470">
        <v>0</v>
      </c>
      <c r="AJ814" s="471">
        <v>0</v>
      </c>
      <c r="AK814" s="218">
        <v>0</v>
      </c>
      <c r="AL814" s="470">
        <v>0</v>
      </c>
      <c r="AM814" s="471">
        <v>0</v>
      </c>
      <c r="AN814" s="477">
        <v>0</v>
      </c>
      <c r="AO814" s="473">
        <v>0</v>
      </c>
      <c r="AP814" s="474">
        <v>0</v>
      </c>
      <c r="AQ814" s="352"/>
      <c r="AR814" s="352"/>
      <c r="AS814" s="352"/>
      <c r="AT814" s="352"/>
      <c r="AU814" s="352"/>
      <c r="AV814" s="352"/>
      <c r="AW814" s="352" t="s">
        <v>254</v>
      </c>
    </row>
    <row r="815" spans="2:49" x14ac:dyDescent="0.2">
      <c r="B815" s="460" t="s">
        <v>2607</v>
      </c>
      <c r="C815" s="460">
        <v>2111</v>
      </c>
      <c r="D815" s="460" t="s">
        <v>2323</v>
      </c>
      <c r="E815" s="460" t="s">
        <v>2324</v>
      </c>
      <c r="F815" s="460">
        <v>1</v>
      </c>
      <c r="G815" s="460">
        <v>3</v>
      </c>
      <c r="H815" s="461" t="s">
        <v>700</v>
      </c>
      <c r="I815" s="461" t="s">
        <v>872</v>
      </c>
      <c r="J815" s="461" t="s">
        <v>700</v>
      </c>
      <c r="K815" s="594"/>
      <c r="L815" s="594"/>
      <c r="M815" s="352">
        <v>2000</v>
      </c>
      <c r="N815" s="352" t="s">
        <v>703</v>
      </c>
      <c r="O815" s="460">
        <v>2111</v>
      </c>
      <c r="P815" s="460" t="s">
        <v>1873</v>
      </c>
      <c r="Q815" s="460" t="s">
        <v>2266</v>
      </c>
      <c r="R815" s="460">
        <v>2111</v>
      </c>
      <c r="S815" s="460" t="s">
        <v>2324</v>
      </c>
      <c r="T815" s="462">
        <v>1</v>
      </c>
      <c r="U815" s="460" t="s">
        <v>2324</v>
      </c>
      <c r="V815" s="475">
        <v>0</v>
      </c>
      <c r="W815" s="463" t="s">
        <v>2267</v>
      </c>
      <c r="X815" s="463" t="s">
        <v>2267</v>
      </c>
      <c r="Y815" s="463" t="s">
        <v>2268</v>
      </c>
      <c r="Z815" s="463"/>
      <c r="AA815" s="463"/>
      <c r="AB815" s="464">
        <v>290.23700825909219</v>
      </c>
      <c r="AC815" s="465">
        <v>0.21320767442135666</v>
      </c>
      <c r="AD815" s="465">
        <v>2.4881089196039574E-3</v>
      </c>
      <c r="AE815" s="476">
        <v>290.23700825909219</v>
      </c>
      <c r="AF815" s="467">
        <v>0.21320767442135666</v>
      </c>
      <c r="AG815" s="468">
        <v>2.6652575615815333E-3</v>
      </c>
      <c r="AH815" s="218">
        <v>290.23700825909219</v>
      </c>
      <c r="AI815" s="470">
        <v>0.21320767442135666</v>
      </c>
      <c r="AJ815" s="471">
        <v>2.545148642319227E-3</v>
      </c>
      <c r="AK815" s="218">
        <v>290.23700825909219</v>
      </c>
      <c r="AL815" s="470">
        <v>0.21320767442135666</v>
      </c>
      <c r="AM815" s="471">
        <v>2.545148642319227E-3</v>
      </c>
      <c r="AN815" s="477">
        <v>0</v>
      </c>
      <c r="AO815" s="473">
        <v>0</v>
      </c>
      <c r="AP815" s="474">
        <v>0</v>
      </c>
      <c r="AQ815" s="352"/>
      <c r="AR815" s="352"/>
      <c r="AS815" s="352"/>
      <c r="AT815" s="352"/>
      <c r="AU815" s="352"/>
      <c r="AV815" s="352"/>
      <c r="AW815" s="352" t="s">
        <v>254</v>
      </c>
    </row>
    <row r="816" spans="2:49" x14ac:dyDescent="0.2">
      <c r="B816" s="460" t="s">
        <v>2608</v>
      </c>
      <c r="C816" s="460">
        <v>2111</v>
      </c>
      <c r="D816" s="460" t="s">
        <v>2326</v>
      </c>
      <c r="E816" s="460" t="s">
        <v>2327</v>
      </c>
      <c r="F816" s="460">
        <v>2</v>
      </c>
      <c r="G816" s="460">
        <v>3</v>
      </c>
      <c r="H816" s="461" t="s">
        <v>700</v>
      </c>
      <c r="I816" s="461" t="s">
        <v>872</v>
      </c>
      <c r="J816" s="461" t="s">
        <v>700</v>
      </c>
      <c r="K816" s="594"/>
      <c r="L816" s="594"/>
      <c r="M816" s="352">
        <v>2000</v>
      </c>
      <c r="N816" s="352" t="s">
        <v>703</v>
      </c>
      <c r="O816" s="460">
        <v>2111</v>
      </c>
      <c r="P816" s="460" t="s">
        <v>1873</v>
      </c>
      <c r="Q816" s="460" t="s">
        <v>2266</v>
      </c>
      <c r="R816" s="460">
        <v>2111</v>
      </c>
      <c r="S816" s="460" t="s">
        <v>2324</v>
      </c>
      <c r="T816" s="462">
        <v>1</v>
      </c>
      <c r="U816" s="460" t="s">
        <v>2327</v>
      </c>
      <c r="V816" s="475">
        <v>0</v>
      </c>
      <c r="W816" s="463" t="s">
        <v>2267</v>
      </c>
      <c r="X816" s="463" t="s">
        <v>2267</v>
      </c>
      <c r="Y816" s="463" t="s">
        <v>2268</v>
      </c>
      <c r="Z816" s="463"/>
      <c r="AA816" s="463"/>
      <c r="AB816" s="464">
        <v>154.7234781971213</v>
      </c>
      <c r="AC816" s="465">
        <v>0.16919443413490767</v>
      </c>
      <c r="AD816" s="465">
        <v>2.2852376270642754E-3</v>
      </c>
      <c r="AE816" s="476">
        <v>154.7234781971213</v>
      </c>
      <c r="AF816" s="467">
        <v>0.16919443413490767</v>
      </c>
      <c r="AG816" s="468">
        <v>2.4751655743993702E-3</v>
      </c>
      <c r="AH816" s="218">
        <v>194.97232951817108</v>
      </c>
      <c r="AI816" s="470">
        <v>0.21320767442135666</v>
      </c>
      <c r="AJ816" s="471">
        <v>2.6249496909360572E-3</v>
      </c>
      <c r="AK816" s="218">
        <v>194.97232951817108</v>
      </c>
      <c r="AL816" s="470">
        <v>0.21320767442135666</v>
      </c>
      <c r="AM816" s="471">
        <v>2.6249496909360572E-3</v>
      </c>
      <c r="AN816" s="477">
        <v>0</v>
      </c>
      <c r="AO816" s="473">
        <v>0</v>
      </c>
      <c r="AP816" s="474">
        <v>0</v>
      </c>
      <c r="AQ816" s="352"/>
      <c r="AR816" s="352"/>
      <c r="AS816" s="352"/>
      <c r="AT816" s="352"/>
      <c r="AU816" s="352"/>
      <c r="AV816" s="352"/>
      <c r="AW816" s="352" t="s">
        <v>254</v>
      </c>
    </row>
    <row r="817" spans="2:49" x14ac:dyDescent="0.2">
      <c r="B817" s="460" t="s">
        <v>2609</v>
      </c>
      <c r="C817" s="460">
        <v>2111</v>
      </c>
      <c r="D817" s="460" t="s">
        <v>2329</v>
      </c>
      <c r="E817" s="460" t="s">
        <v>2330</v>
      </c>
      <c r="F817" s="460">
        <v>3</v>
      </c>
      <c r="G817" s="460">
        <v>3</v>
      </c>
      <c r="H817" s="461" t="s">
        <v>700</v>
      </c>
      <c r="I817" s="461" t="s">
        <v>872</v>
      </c>
      <c r="J817" s="461" t="s">
        <v>700</v>
      </c>
      <c r="K817" s="594"/>
      <c r="L817" s="594"/>
      <c r="M817" s="352">
        <v>2000</v>
      </c>
      <c r="N817" s="352" t="s">
        <v>703</v>
      </c>
      <c r="O817" s="460">
        <v>2111</v>
      </c>
      <c r="P817" s="460" t="s">
        <v>1873</v>
      </c>
      <c r="Q817" s="460" t="s">
        <v>2266</v>
      </c>
      <c r="R817" s="460">
        <v>2111</v>
      </c>
      <c r="S817" s="460" t="s">
        <v>2324</v>
      </c>
      <c r="T817" s="462">
        <v>1</v>
      </c>
      <c r="U817" s="460" t="s">
        <v>2330</v>
      </c>
      <c r="V817" s="475">
        <v>0</v>
      </c>
      <c r="W817" s="463" t="s">
        <v>2267</v>
      </c>
      <c r="X817" s="463" t="s">
        <v>2267</v>
      </c>
      <c r="Y817" s="463" t="s">
        <v>2268</v>
      </c>
      <c r="Z817" s="463"/>
      <c r="AA817" s="463"/>
      <c r="AB817" s="464">
        <v>21.847747853020227</v>
      </c>
      <c r="AC817" s="465">
        <v>9.7386684536229381E-2</v>
      </c>
      <c r="AD817" s="465">
        <v>8.2499741227939547E-4</v>
      </c>
      <c r="AE817" s="476">
        <v>21.847747853020227</v>
      </c>
      <c r="AF817" s="467">
        <v>9.7386684536229381E-2</v>
      </c>
      <c r="AG817" s="468">
        <v>8.8420155651914125E-4</v>
      </c>
      <c r="AH817" s="218">
        <v>47.831051372877788</v>
      </c>
      <c r="AI817" s="470">
        <v>0.21320767442135666</v>
      </c>
      <c r="AJ817" s="471">
        <v>1.6852002024601901E-3</v>
      </c>
      <c r="AK817" s="218">
        <v>47.831051372877788</v>
      </c>
      <c r="AL817" s="470">
        <v>0.21320767442135666</v>
      </c>
      <c r="AM817" s="471">
        <v>1.6852002024601901E-3</v>
      </c>
      <c r="AN817" s="477">
        <v>0</v>
      </c>
      <c r="AO817" s="473">
        <v>0</v>
      </c>
      <c r="AP817" s="474">
        <v>0</v>
      </c>
      <c r="AQ817" s="352"/>
      <c r="AR817" s="352"/>
      <c r="AS817" s="352"/>
      <c r="AT817" s="352"/>
      <c r="AU817" s="352"/>
      <c r="AV817" s="352"/>
      <c r="AW817" s="352" t="s">
        <v>254</v>
      </c>
    </row>
    <row r="818" spans="2:49" x14ac:dyDescent="0.2">
      <c r="B818" s="460" t="s">
        <v>2610</v>
      </c>
      <c r="C818" s="460">
        <v>2111</v>
      </c>
      <c r="D818" s="460" t="s">
        <v>2332</v>
      </c>
      <c r="E818" s="460" t="s">
        <v>2333</v>
      </c>
      <c r="F818" s="460">
        <v>4</v>
      </c>
      <c r="G818" s="460">
        <v>3</v>
      </c>
      <c r="H818" s="461" t="s">
        <v>700</v>
      </c>
      <c r="I818" s="461" t="s">
        <v>872</v>
      </c>
      <c r="J818" s="461" t="s">
        <v>700</v>
      </c>
      <c r="K818" s="594"/>
      <c r="L818" s="594"/>
      <c r="M818" s="352">
        <v>2000</v>
      </c>
      <c r="N818" s="352" t="s">
        <v>703</v>
      </c>
      <c r="O818" s="460">
        <v>2111</v>
      </c>
      <c r="P818" s="460" t="s">
        <v>1873</v>
      </c>
      <c r="Q818" s="460" t="s">
        <v>2266</v>
      </c>
      <c r="R818" s="460">
        <v>2111</v>
      </c>
      <c r="S818" s="460" t="s">
        <v>2333</v>
      </c>
      <c r="T818" s="462">
        <v>1</v>
      </c>
      <c r="U818" s="460" t="s">
        <v>2333</v>
      </c>
      <c r="V818" s="475">
        <v>0</v>
      </c>
      <c r="W818" s="463" t="s">
        <v>2278</v>
      </c>
      <c r="X818" s="463" t="s">
        <v>2278</v>
      </c>
      <c r="Y818" s="463" t="s">
        <v>2268</v>
      </c>
      <c r="Z818" s="463"/>
      <c r="AA818" s="463"/>
      <c r="AB818" s="464">
        <v>0.49899962072007809</v>
      </c>
      <c r="AC818" s="465">
        <v>2.1687638200402156E-3</v>
      </c>
      <c r="AD818" s="465">
        <v>3.4415278326750151E-5</v>
      </c>
      <c r="AE818" s="476">
        <v>0.49899962072007803</v>
      </c>
      <c r="AF818" s="467">
        <v>2.1687638200402156E-3</v>
      </c>
      <c r="AG818" s="468">
        <v>3.7981624894173056E-5</v>
      </c>
      <c r="AH818" s="218">
        <v>0.49899962072007803</v>
      </c>
      <c r="AI818" s="470">
        <v>2.1687638200402156E-3</v>
      </c>
      <c r="AJ818" s="471">
        <v>3.6799435984701993E-5</v>
      </c>
      <c r="AK818" s="218">
        <v>0.49899962072007803</v>
      </c>
      <c r="AL818" s="470">
        <v>2.1687638200402156E-3</v>
      </c>
      <c r="AM818" s="471">
        <v>3.6799435984701993E-5</v>
      </c>
      <c r="AN818" s="477">
        <v>0</v>
      </c>
      <c r="AO818" s="473">
        <v>0</v>
      </c>
      <c r="AP818" s="474">
        <v>0</v>
      </c>
      <c r="AQ818" s="352"/>
      <c r="AR818" s="352"/>
      <c r="AS818" s="352"/>
      <c r="AT818" s="352"/>
      <c r="AU818" s="352"/>
      <c r="AV818" s="352"/>
      <c r="AW818" s="352" t="s">
        <v>254</v>
      </c>
    </row>
    <row r="819" spans="2:49" x14ac:dyDescent="0.2">
      <c r="B819" s="460" t="s">
        <v>2607</v>
      </c>
      <c r="C819" s="460">
        <v>2111</v>
      </c>
      <c r="D819" s="460" t="s">
        <v>2334</v>
      </c>
      <c r="E819" s="460" t="s">
        <v>2324</v>
      </c>
      <c r="F819" s="460">
        <v>1</v>
      </c>
      <c r="G819" s="460">
        <v>3</v>
      </c>
      <c r="H819" s="461" t="s">
        <v>712</v>
      </c>
      <c r="I819" s="461" t="s">
        <v>713</v>
      </c>
      <c r="J819" s="461" t="s">
        <v>712</v>
      </c>
      <c r="K819" s="594"/>
      <c r="L819" s="594"/>
      <c r="M819" s="352">
        <v>2000</v>
      </c>
      <c r="N819" s="352" t="s">
        <v>703</v>
      </c>
      <c r="O819" s="460">
        <v>2111</v>
      </c>
      <c r="P819" s="460" t="s">
        <v>1873</v>
      </c>
      <c r="Q819" s="460" t="s">
        <v>2280</v>
      </c>
      <c r="R819" s="460">
        <v>2111</v>
      </c>
      <c r="S819" s="460" t="s">
        <v>2324</v>
      </c>
      <c r="T819" s="462">
        <v>1</v>
      </c>
      <c r="U819" s="460" t="s">
        <v>2324</v>
      </c>
      <c r="V819" s="475">
        <v>0</v>
      </c>
      <c r="W819" s="463" t="s">
        <v>713</v>
      </c>
      <c r="X819" s="463" t="s">
        <v>713</v>
      </c>
      <c r="Y819" s="463" t="s">
        <v>713</v>
      </c>
      <c r="Z819" s="463"/>
      <c r="AA819" s="463"/>
      <c r="AB819" s="464">
        <v>1071.0508020732157</v>
      </c>
      <c r="AC819" s="465">
        <v>0.78679232557864343</v>
      </c>
      <c r="AD819" s="465">
        <v>2.6743025628755863E-3</v>
      </c>
      <c r="AE819" s="476">
        <v>1071.0508020732157</v>
      </c>
      <c r="AF819" s="467">
        <v>0.78679232557864331</v>
      </c>
      <c r="AG819" s="468">
        <v>2.6235140028049169E-3</v>
      </c>
      <c r="AH819" s="218">
        <v>1071.0508020732157</v>
      </c>
      <c r="AI819" s="470">
        <v>0.78679232557864331</v>
      </c>
      <c r="AJ819" s="471">
        <v>2.6569592119286916E-3</v>
      </c>
      <c r="AK819" s="218">
        <v>1071.0508020732157</v>
      </c>
      <c r="AL819" s="470">
        <v>0.78679232557864331</v>
      </c>
      <c r="AM819" s="471">
        <v>2.6569592119286916E-3</v>
      </c>
      <c r="AN819" s="477">
        <v>1071.0508020732157</v>
      </c>
      <c r="AO819" s="473">
        <v>0.78679232557864331</v>
      </c>
      <c r="AP819" s="474">
        <v>2.6556661952841839E-3</v>
      </c>
      <c r="AQ819" s="352"/>
      <c r="AR819" s="352"/>
      <c r="AS819" s="352"/>
      <c r="AT819" s="352"/>
      <c r="AU819" s="352"/>
      <c r="AV819" s="352"/>
      <c r="AW819" s="352" t="s">
        <v>254</v>
      </c>
    </row>
    <row r="820" spans="2:49" x14ac:dyDescent="0.2">
      <c r="B820" s="460" t="s">
        <v>2608</v>
      </c>
      <c r="C820" s="460">
        <v>2111</v>
      </c>
      <c r="D820" s="460" t="s">
        <v>2335</v>
      </c>
      <c r="E820" s="460" t="s">
        <v>2327</v>
      </c>
      <c r="F820" s="460">
        <v>2</v>
      </c>
      <c r="G820" s="460">
        <v>3</v>
      </c>
      <c r="H820" s="461" t="s">
        <v>712</v>
      </c>
      <c r="I820" s="461" t="s">
        <v>713</v>
      </c>
      <c r="J820" s="461" t="s">
        <v>712</v>
      </c>
      <c r="K820" s="594"/>
      <c r="L820" s="594"/>
      <c r="M820" s="352">
        <v>2000</v>
      </c>
      <c r="N820" s="352" t="s">
        <v>703</v>
      </c>
      <c r="O820" s="460">
        <v>2111</v>
      </c>
      <c r="P820" s="460" t="s">
        <v>1873</v>
      </c>
      <c r="Q820" s="460" t="s">
        <v>2280</v>
      </c>
      <c r="R820" s="460">
        <v>2111</v>
      </c>
      <c r="S820" s="460" t="s">
        <v>2324</v>
      </c>
      <c r="T820" s="462">
        <v>1</v>
      </c>
      <c r="U820" s="460" t="s">
        <v>2327</v>
      </c>
      <c r="V820" s="475">
        <v>0</v>
      </c>
      <c r="W820" s="463" t="s">
        <v>713</v>
      </c>
      <c r="X820" s="463" t="s">
        <v>713</v>
      </c>
      <c r="Y820" s="463" t="s">
        <v>713</v>
      </c>
      <c r="Z820" s="463"/>
      <c r="AA820" s="463"/>
      <c r="AB820" s="464">
        <v>759.74796401209517</v>
      </c>
      <c r="AC820" s="465">
        <v>0.83080556586509235</v>
      </c>
      <c r="AD820" s="465">
        <v>2.4331676851530033E-3</v>
      </c>
      <c r="AE820" s="476">
        <v>759.74796401209517</v>
      </c>
      <c r="AF820" s="467">
        <v>0.83080556586509235</v>
      </c>
      <c r="AG820" s="468">
        <v>2.3933461965399104E-3</v>
      </c>
      <c r="AH820" s="218">
        <v>719.4991126910453</v>
      </c>
      <c r="AI820" s="470">
        <v>0.78679232557864331</v>
      </c>
      <c r="AJ820" s="471">
        <v>2.3571359893301822E-3</v>
      </c>
      <c r="AK820" s="218">
        <v>719.4991126910453</v>
      </c>
      <c r="AL820" s="470">
        <v>0.78679232557864331</v>
      </c>
      <c r="AM820" s="471">
        <v>2.3571359893301822E-3</v>
      </c>
      <c r="AN820" s="477">
        <v>719.4991126910453</v>
      </c>
      <c r="AO820" s="473">
        <v>0.78679232557864331</v>
      </c>
      <c r="AP820" s="474">
        <v>2.3562118415662824E-3</v>
      </c>
      <c r="AQ820" s="352"/>
      <c r="AR820" s="352"/>
      <c r="AS820" s="352"/>
      <c r="AT820" s="352"/>
      <c r="AU820" s="352"/>
      <c r="AV820" s="352"/>
      <c r="AW820" s="352" t="s">
        <v>254</v>
      </c>
    </row>
    <row r="821" spans="2:49" x14ac:dyDescent="0.2">
      <c r="B821" s="460" t="s">
        <v>2609</v>
      </c>
      <c r="C821" s="460">
        <v>2111</v>
      </c>
      <c r="D821" s="460" t="s">
        <v>2336</v>
      </c>
      <c r="E821" s="460" t="s">
        <v>2330</v>
      </c>
      <c r="F821" s="460">
        <v>3</v>
      </c>
      <c r="G821" s="460">
        <v>3</v>
      </c>
      <c r="H821" s="461" t="s">
        <v>712</v>
      </c>
      <c r="I821" s="461" t="s">
        <v>713</v>
      </c>
      <c r="J821" s="461" t="s">
        <v>712</v>
      </c>
      <c r="K821" s="594"/>
      <c r="L821" s="594"/>
      <c r="M821" s="352">
        <v>2000</v>
      </c>
      <c r="N821" s="352" t="s">
        <v>703</v>
      </c>
      <c r="O821" s="460">
        <v>2111</v>
      </c>
      <c r="P821" s="460" t="s">
        <v>1873</v>
      </c>
      <c r="Q821" s="460" t="s">
        <v>2280</v>
      </c>
      <c r="R821" s="460">
        <v>2111</v>
      </c>
      <c r="S821" s="460" t="s">
        <v>2324</v>
      </c>
      <c r="T821" s="462">
        <v>1</v>
      </c>
      <c r="U821" s="460" t="s">
        <v>2330</v>
      </c>
      <c r="V821" s="475">
        <v>0</v>
      </c>
      <c r="W821" s="463" t="s">
        <v>713</v>
      </c>
      <c r="X821" s="463" t="s">
        <v>713</v>
      </c>
      <c r="Y821" s="463" t="s">
        <v>713</v>
      </c>
      <c r="Z821" s="463"/>
      <c r="AA821" s="463"/>
      <c r="AB821" s="464">
        <v>202.49244769899613</v>
      </c>
      <c r="AC821" s="465">
        <v>0.90261331546377066</v>
      </c>
      <c r="AD821" s="465">
        <v>1.7929213988781628E-3</v>
      </c>
      <c r="AE821" s="476">
        <v>202.49244769899613</v>
      </c>
      <c r="AF821" s="467">
        <v>0.90261331546377066</v>
      </c>
      <c r="AG821" s="468">
        <v>1.7652071558239256E-3</v>
      </c>
      <c r="AH821" s="218">
        <v>176.50914417913856</v>
      </c>
      <c r="AI821" s="470">
        <v>0.78679232557864331</v>
      </c>
      <c r="AJ821" s="471">
        <v>1.5974499385796146E-3</v>
      </c>
      <c r="AK821" s="218">
        <v>176.50914417913856</v>
      </c>
      <c r="AL821" s="470">
        <v>0.78679232557864331</v>
      </c>
      <c r="AM821" s="471">
        <v>1.5974499385796146E-3</v>
      </c>
      <c r="AN821" s="477">
        <v>176.50914417913856</v>
      </c>
      <c r="AO821" s="473">
        <v>0.78679232557864331</v>
      </c>
      <c r="AP821" s="474">
        <v>1.6015731332946412E-3</v>
      </c>
      <c r="AQ821" s="352"/>
      <c r="AR821" s="352"/>
      <c r="AS821" s="352"/>
      <c r="AT821" s="352"/>
      <c r="AU821" s="352"/>
      <c r="AV821" s="352"/>
      <c r="AW821" s="352" t="s">
        <v>254</v>
      </c>
    </row>
    <row r="822" spans="2:49" x14ac:dyDescent="0.2">
      <c r="B822" s="460" t="s">
        <v>2610</v>
      </c>
      <c r="C822" s="460">
        <v>2111</v>
      </c>
      <c r="D822" s="460" t="s">
        <v>2337</v>
      </c>
      <c r="E822" s="460" t="s">
        <v>2333</v>
      </c>
      <c r="F822" s="460">
        <v>4</v>
      </c>
      <c r="G822" s="460">
        <v>3</v>
      </c>
      <c r="H822" s="461" t="s">
        <v>712</v>
      </c>
      <c r="I822" s="461" t="s">
        <v>713</v>
      </c>
      <c r="J822" s="461" t="s">
        <v>712</v>
      </c>
      <c r="K822" s="594"/>
      <c r="L822" s="594"/>
      <c r="M822" s="352">
        <v>2000</v>
      </c>
      <c r="N822" s="352" t="s">
        <v>703</v>
      </c>
      <c r="O822" s="460">
        <v>2111</v>
      </c>
      <c r="P822" s="460" t="s">
        <v>1873</v>
      </c>
      <c r="Q822" s="460" t="s">
        <v>2280</v>
      </c>
      <c r="R822" s="460">
        <v>2111</v>
      </c>
      <c r="S822" s="460" t="s">
        <v>2333</v>
      </c>
      <c r="T822" s="462">
        <v>1</v>
      </c>
      <c r="U822" s="460" t="s">
        <v>2333</v>
      </c>
      <c r="V822" s="475">
        <v>0</v>
      </c>
      <c r="W822" s="463" t="s">
        <v>713</v>
      </c>
      <c r="X822" s="463" t="s">
        <v>713</v>
      </c>
      <c r="Y822" s="463" t="s">
        <v>713</v>
      </c>
      <c r="Z822" s="463"/>
      <c r="AA822" s="463"/>
      <c r="AB822" s="464">
        <v>229.58581464495919</v>
      </c>
      <c r="AC822" s="465">
        <v>0.99783123617995984</v>
      </c>
      <c r="AD822" s="465">
        <v>1.74541941353941E-3</v>
      </c>
      <c r="AE822" s="476">
        <v>229.58581464495919</v>
      </c>
      <c r="AF822" s="467">
        <v>0.99783123617995984</v>
      </c>
      <c r="AG822" s="468">
        <v>1.7275388375656065E-3</v>
      </c>
      <c r="AH822" s="218">
        <v>229.58581464495919</v>
      </c>
      <c r="AI822" s="470">
        <v>0.99783123617995984</v>
      </c>
      <c r="AJ822" s="471">
        <v>1.733042660018494E-3</v>
      </c>
      <c r="AK822" s="218">
        <v>229.58581464495919</v>
      </c>
      <c r="AL822" s="470">
        <v>0.99783123617995984</v>
      </c>
      <c r="AM822" s="471">
        <v>1.733042660018494E-3</v>
      </c>
      <c r="AN822" s="477">
        <v>229.58581464495919</v>
      </c>
      <c r="AO822" s="473">
        <v>0.99783123617995984</v>
      </c>
      <c r="AP822" s="474">
        <v>1.733593392776276E-3</v>
      </c>
      <c r="AQ822" s="352"/>
      <c r="AR822" s="352"/>
      <c r="AS822" s="352"/>
      <c r="AT822" s="352"/>
      <c r="AU822" s="352"/>
      <c r="AV822" s="352"/>
      <c r="AW822" s="352" t="s">
        <v>254</v>
      </c>
    </row>
    <row r="823" spans="2:49" x14ac:dyDescent="0.2">
      <c r="B823" s="460" t="s">
        <v>2607</v>
      </c>
      <c r="C823" s="460">
        <v>2111</v>
      </c>
      <c r="D823" s="460" t="s">
        <v>2338</v>
      </c>
      <c r="E823" s="460" t="s">
        <v>2324</v>
      </c>
      <c r="F823" s="460">
        <v>1</v>
      </c>
      <c r="G823" s="460">
        <v>3</v>
      </c>
      <c r="H823" s="461" t="s">
        <v>746</v>
      </c>
      <c r="I823" s="461" t="s">
        <v>762</v>
      </c>
      <c r="J823" s="461" t="s">
        <v>700</v>
      </c>
      <c r="K823" s="594"/>
      <c r="L823" s="594"/>
      <c r="M823" s="352">
        <v>2000</v>
      </c>
      <c r="N823" s="352" t="s">
        <v>703</v>
      </c>
      <c r="O823" s="460">
        <v>2111</v>
      </c>
      <c r="P823" s="460" t="s">
        <v>1873</v>
      </c>
      <c r="Q823" s="460" t="s">
        <v>2289</v>
      </c>
      <c r="R823" s="460">
        <v>2111</v>
      </c>
      <c r="S823" s="460" t="s">
        <v>2324</v>
      </c>
      <c r="T823" s="462">
        <v>1</v>
      </c>
      <c r="U823" s="460" t="s">
        <v>2324</v>
      </c>
      <c r="V823" s="475">
        <v>0</v>
      </c>
      <c r="W823" s="463" t="s">
        <v>2268</v>
      </c>
      <c r="X823" s="463" t="s">
        <v>2268</v>
      </c>
      <c r="Y823" s="463" t="s">
        <v>2290</v>
      </c>
      <c r="Z823" s="463"/>
      <c r="AA823" s="463"/>
      <c r="AB823" s="464">
        <v>0</v>
      </c>
      <c r="AC823" s="465">
        <v>0</v>
      </c>
      <c r="AD823" s="465">
        <v>0</v>
      </c>
      <c r="AE823" s="476">
        <v>0</v>
      </c>
      <c r="AF823" s="467">
        <v>0</v>
      </c>
      <c r="AG823" s="468">
        <v>0</v>
      </c>
      <c r="AH823" s="218">
        <v>0</v>
      </c>
      <c r="AI823" s="470">
        <v>0</v>
      </c>
      <c r="AJ823" s="471">
        <v>0</v>
      </c>
      <c r="AK823" s="218">
        <v>0</v>
      </c>
      <c r="AL823" s="470">
        <v>0</v>
      </c>
      <c r="AM823" s="471">
        <v>0</v>
      </c>
      <c r="AN823" s="477">
        <v>0</v>
      </c>
      <c r="AO823" s="473">
        <v>0</v>
      </c>
      <c r="AP823" s="474">
        <v>0</v>
      </c>
      <c r="AQ823" s="352"/>
      <c r="AR823" s="352"/>
      <c r="AS823" s="352"/>
      <c r="AT823" s="352"/>
      <c r="AU823" s="352"/>
      <c r="AV823" s="352"/>
      <c r="AW823" s="352" t="s">
        <v>254</v>
      </c>
    </row>
    <row r="824" spans="2:49" x14ac:dyDescent="0.2">
      <c r="B824" s="460" t="s">
        <v>2608</v>
      </c>
      <c r="C824" s="460">
        <v>2111</v>
      </c>
      <c r="D824" s="460" t="s">
        <v>2339</v>
      </c>
      <c r="E824" s="460" t="s">
        <v>2327</v>
      </c>
      <c r="F824" s="460">
        <v>2</v>
      </c>
      <c r="G824" s="460">
        <v>3</v>
      </c>
      <c r="H824" s="461" t="s">
        <v>746</v>
      </c>
      <c r="I824" s="461" t="s">
        <v>762</v>
      </c>
      <c r="J824" s="461" t="s">
        <v>700</v>
      </c>
      <c r="K824" s="594"/>
      <c r="L824" s="594"/>
      <c r="M824" s="352">
        <v>2000</v>
      </c>
      <c r="N824" s="352" t="s">
        <v>703</v>
      </c>
      <c r="O824" s="460">
        <v>2111</v>
      </c>
      <c r="P824" s="460" t="s">
        <v>1873</v>
      </c>
      <c r="Q824" s="460" t="s">
        <v>2289</v>
      </c>
      <c r="R824" s="460">
        <v>2111</v>
      </c>
      <c r="S824" s="460" t="s">
        <v>2324</v>
      </c>
      <c r="T824" s="462">
        <v>1</v>
      </c>
      <c r="U824" s="460" t="s">
        <v>2327</v>
      </c>
      <c r="V824" s="475">
        <v>0</v>
      </c>
      <c r="W824" s="463" t="s">
        <v>2268</v>
      </c>
      <c r="X824" s="463" t="s">
        <v>2268</v>
      </c>
      <c r="Y824" s="463" t="s">
        <v>2290</v>
      </c>
      <c r="Z824" s="463"/>
      <c r="AA824" s="463"/>
      <c r="AB824" s="464">
        <v>0</v>
      </c>
      <c r="AC824" s="465">
        <v>0</v>
      </c>
      <c r="AD824" s="465">
        <v>0</v>
      </c>
      <c r="AE824" s="476">
        <v>0</v>
      </c>
      <c r="AF824" s="467">
        <v>0</v>
      </c>
      <c r="AG824" s="468">
        <v>0</v>
      </c>
      <c r="AH824" s="218">
        <v>0</v>
      </c>
      <c r="AI824" s="470">
        <v>0</v>
      </c>
      <c r="AJ824" s="471">
        <v>0</v>
      </c>
      <c r="AK824" s="218">
        <v>0</v>
      </c>
      <c r="AL824" s="470">
        <v>0</v>
      </c>
      <c r="AM824" s="471">
        <v>0</v>
      </c>
      <c r="AN824" s="477">
        <v>0</v>
      </c>
      <c r="AO824" s="473">
        <v>0</v>
      </c>
      <c r="AP824" s="474">
        <v>0</v>
      </c>
      <c r="AQ824" s="352"/>
      <c r="AR824" s="352"/>
      <c r="AS824" s="352"/>
      <c r="AT824" s="352"/>
      <c r="AU824" s="352"/>
      <c r="AV824" s="352"/>
      <c r="AW824" s="352" t="s">
        <v>254</v>
      </c>
    </row>
    <row r="825" spans="2:49" x14ac:dyDescent="0.2">
      <c r="B825" s="460" t="s">
        <v>2609</v>
      </c>
      <c r="C825" s="460">
        <v>2111</v>
      </c>
      <c r="D825" s="460" t="s">
        <v>2340</v>
      </c>
      <c r="E825" s="460" t="s">
        <v>2330</v>
      </c>
      <c r="F825" s="460">
        <v>3</v>
      </c>
      <c r="G825" s="460">
        <v>3</v>
      </c>
      <c r="H825" s="461" t="s">
        <v>746</v>
      </c>
      <c r="I825" s="461" t="s">
        <v>762</v>
      </c>
      <c r="J825" s="461" t="s">
        <v>700</v>
      </c>
      <c r="K825" s="594"/>
      <c r="L825" s="594"/>
      <c r="M825" s="352">
        <v>2000</v>
      </c>
      <c r="N825" s="352" t="s">
        <v>703</v>
      </c>
      <c r="O825" s="460">
        <v>2111</v>
      </c>
      <c r="P825" s="460" t="s">
        <v>1873</v>
      </c>
      <c r="Q825" s="460" t="s">
        <v>2289</v>
      </c>
      <c r="R825" s="460">
        <v>2111</v>
      </c>
      <c r="S825" s="460" t="s">
        <v>2324</v>
      </c>
      <c r="T825" s="462">
        <v>1</v>
      </c>
      <c r="U825" s="460" t="s">
        <v>2330</v>
      </c>
      <c r="V825" s="475">
        <v>0</v>
      </c>
      <c r="W825" s="463" t="s">
        <v>2268</v>
      </c>
      <c r="X825" s="463" t="s">
        <v>2268</v>
      </c>
      <c r="Y825" s="463" t="s">
        <v>2290</v>
      </c>
      <c r="Z825" s="463"/>
      <c r="AA825" s="463"/>
      <c r="AB825" s="464">
        <v>0</v>
      </c>
      <c r="AC825" s="465">
        <v>0</v>
      </c>
      <c r="AD825" s="465">
        <v>0</v>
      </c>
      <c r="AE825" s="476">
        <v>0</v>
      </c>
      <c r="AF825" s="467">
        <v>0</v>
      </c>
      <c r="AG825" s="468">
        <v>0</v>
      </c>
      <c r="AH825" s="218">
        <v>0</v>
      </c>
      <c r="AI825" s="470">
        <v>0</v>
      </c>
      <c r="AJ825" s="471">
        <v>0</v>
      </c>
      <c r="AK825" s="218">
        <v>0</v>
      </c>
      <c r="AL825" s="470">
        <v>0</v>
      </c>
      <c r="AM825" s="471">
        <v>0</v>
      </c>
      <c r="AN825" s="477">
        <v>0</v>
      </c>
      <c r="AO825" s="473">
        <v>0</v>
      </c>
      <c r="AP825" s="474">
        <v>0</v>
      </c>
      <c r="AQ825" s="352"/>
      <c r="AR825" s="352"/>
      <c r="AS825" s="352"/>
      <c r="AT825" s="352"/>
      <c r="AU825" s="352"/>
      <c r="AV825" s="352"/>
      <c r="AW825" s="352" t="s">
        <v>254</v>
      </c>
    </row>
    <row r="826" spans="2:49" x14ac:dyDescent="0.2">
      <c r="B826" s="460" t="s">
        <v>2610</v>
      </c>
      <c r="C826" s="460">
        <v>2111</v>
      </c>
      <c r="D826" s="460" t="s">
        <v>2341</v>
      </c>
      <c r="E826" s="460" t="s">
        <v>2333</v>
      </c>
      <c r="F826" s="460">
        <v>4</v>
      </c>
      <c r="G826" s="460">
        <v>3</v>
      </c>
      <c r="H826" s="461" t="s">
        <v>746</v>
      </c>
      <c r="I826" s="461" t="s">
        <v>762</v>
      </c>
      <c r="J826" s="461" t="s">
        <v>700</v>
      </c>
      <c r="K826" s="594"/>
      <c r="L826" s="594"/>
      <c r="M826" s="352">
        <v>2000</v>
      </c>
      <c r="N826" s="352" t="s">
        <v>703</v>
      </c>
      <c r="O826" s="460">
        <v>2111</v>
      </c>
      <c r="P826" s="460" t="s">
        <v>1873</v>
      </c>
      <c r="Q826" s="460" t="s">
        <v>2289</v>
      </c>
      <c r="R826" s="460">
        <v>2111</v>
      </c>
      <c r="S826" s="460" t="s">
        <v>2333</v>
      </c>
      <c r="T826" s="462">
        <v>1</v>
      </c>
      <c r="U826" s="460" t="s">
        <v>2333</v>
      </c>
      <c r="V826" s="475">
        <v>0</v>
      </c>
      <c r="W826" s="463" t="s">
        <v>2268</v>
      </c>
      <c r="X826" s="463" t="s">
        <v>2268</v>
      </c>
      <c r="Y826" s="463" t="s">
        <v>2290</v>
      </c>
      <c r="Z826" s="463"/>
      <c r="AA826" s="463"/>
      <c r="AB826" s="464">
        <v>0</v>
      </c>
      <c r="AC826" s="465">
        <v>0</v>
      </c>
      <c r="AD826" s="465">
        <v>0</v>
      </c>
      <c r="AE826" s="476">
        <v>0</v>
      </c>
      <c r="AF826" s="467">
        <v>0</v>
      </c>
      <c r="AG826" s="468">
        <v>0</v>
      </c>
      <c r="AH826" s="218">
        <v>0</v>
      </c>
      <c r="AI826" s="470">
        <v>0</v>
      </c>
      <c r="AJ826" s="471">
        <v>0</v>
      </c>
      <c r="AK826" s="218">
        <v>0</v>
      </c>
      <c r="AL826" s="470">
        <v>0</v>
      </c>
      <c r="AM826" s="471">
        <v>0</v>
      </c>
      <c r="AN826" s="477">
        <v>0</v>
      </c>
      <c r="AO826" s="473">
        <v>0</v>
      </c>
      <c r="AP826" s="474">
        <v>0</v>
      </c>
      <c r="AQ826" s="352"/>
      <c r="AR826" s="352"/>
      <c r="AS826" s="352"/>
      <c r="AT826" s="352"/>
      <c r="AU826" s="352"/>
      <c r="AV826" s="352"/>
      <c r="AW826" s="352" t="s">
        <v>254</v>
      </c>
    </row>
    <row r="827" spans="2:49" x14ac:dyDescent="0.2">
      <c r="B827" s="460" t="s">
        <v>2607</v>
      </c>
      <c r="C827" s="460">
        <v>2111</v>
      </c>
      <c r="D827" s="460" t="s">
        <v>2342</v>
      </c>
      <c r="E827" s="460" t="s">
        <v>2324</v>
      </c>
      <c r="F827" s="460">
        <v>1</v>
      </c>
      <c r="G827" s="460">
        <v>3</v>
      </c>
      <c r="H827" s="461" t="s">
        <v>748</v>
      </c>
      <c r="I827" s="461" t="s">
        <v>765</v>
      </c>
      <c r="J827" s="461" t="s">
        <v>700</v>
      </c>
      <c r="K827" s="594"/>
      <c r="L827" s="594"/>
      <c r="M827" s="352">
        <v>2000</v>
      </c>
      <c r="N827" s="352" t="s">
        <v>703</v>
      </c>
      <c r="O827" s="460">
        <v>2111</v>
      </c>
      <c r="P827" s="460" t="s">
        <v>1873</v>
      </c>
      <c r="Q827" s="460" t="s">
        <v>2266</v>
      </c>
      <c r="R827" s="460">
        <v>2111</v>
      </c>
      <c r="S827" s="460" t="s">
        <v>2324</v>
      </c>
      <c r="T827" s="462">
        <v>1</v>
      </c>
      <c r="U827" s="460" t="s">
        <v>2324</v>
      </c>
      <c r="V827" s="475">
        <v>0</v>
      </c>
      <c r="W827" s="463" t="s">
        <v>2268</v>
      </c>
      <c r="X827" s="463" t="s">
        <v>2268</v>
      </c>
      <c r="Y827" s="463" t="s">
        <v>2267</v>
      </c>
      <c r="Z827" s="463"/>
      <c r="AA827" s="463"/>
      <c r="AB827" s="464">
        <v>0</v>
      </c>
      <c r="AC827" s="465">
        <v>0</v>
      </c>
      <c r="AD827" s="465">
        <v>0</v>
      </c>
      <c r="AE827" s="476">
        <v>0</v>
      </c>
      <c r="AF827" s="467">
        <v>0</v>
      </c>
      <c r="AG827" s="468">
        <v>0</v>
      </c>
      <c r="AH827" s="218">
        <v>0</v>
      </c>
      <c r="AI827" s="470">
        <v>0</v>
      </c>
      <c r="AJ827" s="471">
        <v>0</v>
      </c>
      <c r="AK827" s="218">
        <v>0</v>
      </c>
      <c r="AL827" s="470">
        <v>0</v>
      </c>
      <c r="AM827" s="471">
        <v>0</v>
      </c>
      <c r="AN827" s="477">
        <v>290.23700825909219</v>
      </c>
      <c r="AO827" s="473">
        <v>0.21320767442135666</v>
      </c>
      <c r="AP827" s="474">
        <v>1.5107363130030227E-2</v>
      </c>
      <c r="AQ827" s="352"/>
      <c r="AR827" s="352"/>
      <c r="AS827" s="352"/>
      <c r="AT827" s="352"/>
      <c r="AU827" s="352"/>
      <c r="AV827" s="352"/>
      <c r="AW827" s="352" t="s">
        <v>254</v>
      </c>
    </row>
    <row r="828" spans="2:49" x14ac:dyDescent="0.2">
      <c r="B828" s="460" t="s">
        <v>2608</v>
      </c>
      <c r="C828" s="460">
        <v>2111</v>
      </c>
      <c r="D828" s="460" t="s">
        <v>2343</v>
      </c>
      <c r="E828" s="460" t="s">
        <v>2327</v>
      </c>
      <c r="F828" s="460">
        <v>2</v>
      </c>
      <c r="G828" s="460">
        <v>3</v>
      </c>
      <c r="H828" s="461" t="s">
        <v>748</v>
      </c>
      <c r="I828" s="461" t="s">
        <v>765</v>
      </c>
      <c r="J828" s="461" t="s">
        <v>700</v>
      </c>
      <c r="K828" s="594"/>
      <c r="L828" s="594"/>
      <c r="M828" s="352">
        <v>2000</v>
      </c>
      <c r="N828" s="352" t="s">
        <v>703</v>
      </c>
      <c r="O828" s="460">
        <v>2111</v>
      </c>
      <c r="P828" s="460" t="s">
        <v>1873</v>
      </c>
      <c r="Q828" s="460" t="s">
        <v>2266</v>
      </c>
      <c r="R828" s="460">
        <v>2111</v>
      </c>
      <c r="S828" s="460" t="s">
        <v>2324</v>
      </c>
      <c r="T828" s="462">
        <v>1</v>
      </c>
      <c r="U828" s="460" t="s">
        <v>2327</v>
      </c>
      <c r="V828" s="475">
        <v>0</v>
      </c>
      <c r="W828" s="463" t="s">
        <v>2268</v>
      </c>
      <c r="X828" s="463" t="s">
        <v>2268</v>
      </c>
      <c r="Y828" s="463" t="s">
        <v>2267</v>
      </c>
      <c r="Z828" s="463"/>
      <c r="AA828" s="463"/>
      <c r="AB828" s="464">
        <v>0</v>
      </c>
      <c r="AC828" s="465">
        <v>0</v>
      </c>
      <c r="AD828" s="465">
        <v>0</v>
      </c>
      <c r="AE828" s="476">
        <v>0</v>
      </c>
      <c r="AF828" s="467">
        <v>0</v>
      </c>
      <c r="AG828" s="468">
        <v>0</v>
      </c>
      <c r="AH828" s="218">
        <v>0</v>
      </c>
      <c r="AI828" s="470">
        <v>0</v>
      </c>
      <c r="AJ828" s="471">
        <v>0</v>
      </c>
      <c r="AK828" s="218">
        <v>0</v>
      </c>
      <c r="AL828" s="470">
        <v>0</v>
      </c>
      <c r="AM828" s="471">
        <v>0</v>
      </c>
      <c r="AN828" s="477">
        <v>194.97232951817108</v>
      </c>
      <c r="AO828" s="473">
        <v>0.21320767442135666</v>
      </c>
      <c r="AP828" s="474">
        <v>1.7331775209888926E-2</v>
      </c>
      <c r="AQ828" s="352"/>
      <c r="AR828" s="352"/>
      <c r="AS828" s="352"/>
      <c r="AT828" s="352"/>
      <c r="AU828" s="352"/>
      <c r="AV828" s="352"/>
      <c r="AW828" s="352" t="s">
        <v>254</v>
      </c>
    </row>
    <row r="829" spans="2:49" x14ac:dyDescent="0.2">
      <c r="B829" s="460" t="s">
        <v>2609</v>
      </c>
      <c r="C829" s="460">
        <v>2111</v>
      </c>
      <c r="D829" s="460" t="s">
        <v>2344</v>
      </c>
      <c r="E829" s="460" t="s">
        <v>2330</v>
      </c>
      <c r="F829" s="460">
        <v>3</v>
      </c>
      <c r="G829" s="460">
        <v>3</v>
      </c>
      <c r="H829" s="461" t="s">
        <v>748</v>
      </c>
      <c r="I829" s="461" t="s">
        <v>765</v>
      </c>
      <c r="J829" s="461" t="s">
        <v>700</v>
      </c>
      <c r="K829" s="594"/>
      <c r="L829" s="594"/>
      <c r="M829" s="352">
        <v>2000</v>
      </c>
      <c r="N829" s="352" t="s">
        <v>703</v>
      </c>
      <c r="O829" s="460">
        <v>2111</v>
      </c>
      <c r="P829" s="460" t="s">
        <v>1873</v>
      </c>
      <c r="Q829" s="460" t="s">
        <v>2266</v>
      </c>
      <c r="R829" s="460">
        <v>2111</v>
      </c>
      <c r="S829" s="460" t="s">
        <v>2324</v>
      </c>
      <c r="T829" s="462">
        <v>1</v>
      </c>
      <c r="U829" s="460" t="s">
        <v>2330</v>
      </c>
      <c r="V829" s="475">
        <v>0</v>
      </c>
      <c r="W829" s="463" t="s">
        <v>2268</v>
      </c>
      <c r="X829" s="463" t="s">
        <v>2268</v>
      </c>
      <c r="Y829" s="463" t="s">
        <v>2267</v>
      </c>
      <c r="Z829" s="463"/>
      <c r="AA829" s="463"/>
      <c r="AB829" s="464">
        <v>0</v>
      </c>
      <c r="AC829" s="465">
        <v>0</v>
      </c>
      <c r="AD829" s="465">
        <v>0</v>
      </c>
      <c r="AE829" s="476">
        <v>0</v>
      </c>
      <c r="AF829" s="467">
        <v>0</v>
      </c>
      <c r="AG829" s="468">
        <v>0</v>
      </c>
      <c r="AH829" s="218">
        <v>0</v>
      </c>
      <c r="AI829" s="470">
        <v>0</v>
      </c>
      <c r="AJ829" s="471">
        <v>0</v>
      </c>
      <c r="AK829" s="218">
        <v>0</v>
      </c>
      <c r="AL829" s="470">
        <v>0</v>
      </c>
      <c r="AM829" s="471">
        <v>0</v>
      </c>
      <c r="AN829" s="477">
        <v>47.831051372877788</v>
      </c>
      <c r="AO829" s="473">
        <v>0.21320767442135666</v>
      </c>
      <c r="AP829" s="474">
        <v>1.3037918000283852E-2</v>
      </c>
      <c r="AQ829" s="352"/>
      <c r="AR829" s="352"/>
      <c r="AS829" s="352"/>
      <c r="AT829" s="352"/>
      <c r="AU829" s="352"/>
      <c r="AV829" s="352"/>
      <c r="AW829" s="352" t="s">
        <v>254</v>
      </c>
    </row>
    <row r="830" spans="2:49" x14ac:dyDescent="0.2">
      <c r="B830" s="460" t="s">
        <v>2610</v>
      </c>
      <c r="C830" s="460">
        <v>2111</v>
      </c>
      <c r="D830" s="460" t="s">
        <v>2345</v>
      </c>
      <c r="E830" s="460" t="s">
        <v>2333</v>
      </c>
      <c r="F830" s="460">
        <v>4</v>
      </c>
      <c r="G830" s="460">
        <v>3</v>
      </c>
      <c r="H830" s="461" t="s">
        <v>748</v>
      </c>
      <c r="I830" s="461" t="s">
        <v>765</v>
      </c>
      <c r="J830" s="461" t="s">
        <v>700</v>
      </c>
      <c r="K830" s="594"/>
      <c r="L830" s="594"/>
      <c r="M830" s="352">
        <v>2000</v>
      </c>
      <c r="N830" s="352" t="s">
        <v>703</v>
      </c>
      <c r="O830" s="460">
        <v>2111</v>
      </c>
      <c r="P830" s="460" t="s">
        <v>1873</v>
      </c>
      <c r="Q830" s="460" t="s">
        <v>2266</v>
      </c>
      <c r="R830" s="460">
        <v>2111</v>
      </c>
      <c r="S830" s="460" t="s">
        <v>2333</v>
      </c>
      <c r="T830" s="462">
        <v>1</v>
      </c>
      <c r="U830" s="460" t="s">
        <v>2333</v>
      </c>
      <c r="V830" s="475">
        <v>0</v>
      </c>
      <c r="W830" s="463" t="s">
        <v>2268</v>
      </c>
      <c r="X830" s="463" t="s">
        <v>2268</v>
      </c>
      <c r="Y830" s="463" t="s">
        <v>2278</v>
      </c>
      <c r="Z830" s="463"/>
      <c r="AA830" s="463"/>
      <c r="AB830" s="464">
        <v>0</v>
      </c>
      <c r="AC830" s="465">
        <v>0</v>
      </c>
      <c r="AD830" s="465">
        <v>0</v>
      </c>
      <c r="AE830" s="476">
        <v>0</v>
      </c>
      <c r="AF830" s="467">
        <v>0</v>
      </c>
      <c r="AG830" s="468">
        <v>0</v>
      </c>
      <c r="AH830" s="218">
        <v>0</v>
      </c>
      <c r="AI830" s="470">
        <v>0</v>
      </c>
      <c r="AJ830" s="471">
        <v>0</v>
      </c>
      <c r="AK830" s="218">
        <v>0</v>
      </c>
      <c r="AL830" s="470">
        <v>0</v>
      </c>
      <c r="AM830" s="471">
        <v>0</v>
      </c>
      <c r="AN830" s="477">
        <v>0.49899962072007803</v>
      </c>
      <c r="AO830" s="473">
        <v>2.1687638200402156E-3</v>
      </c>
      <c r="AP830" s="474">
        <v>3.1073930673760893E-4</v>
      </c>
      <c r="AQ830" s="352"/>
      <c r="AR830" s="352"/>
      <c r="AS830" s="352"/>
      <c r="AT830" s="352"/>
      <c r="AU830" s="352"/>
      <c r="AV830" s="352"/>
      <c r="AW830" s="352" t="s">
        <v>254</v>
      </c>
    </row>
    <row r="831" spans="2:49" x14ac:dyDescent="0.2">
      <c r="B831" s="460" t="s">
        <v>2607</v>
      </c>
      <c r="C831" s="460">
        <v>2111</v>
      </c>
      <c r="D831" s="460" t="s">
        <v>2346</v>
      </c>
      <c r="E831" s="460" t="s">
        <v>2324</v>
      </c>
      <c r="F831" s="460">
        <v>1</v>
      </c>
      <c r="G831" s="460">
        <v>3</v>
      </c>
      <c r="H831" s="461" t="s">
        <v>752</v>
      </c>
      <c r="I831" s="461" t="s">
        <v>964</v>
      </c>
      <c r="J831" s="461" t="s">
        <v>752</v>
      </c>
      <c r="K831" s="594"/>
      <c r="L831" s="594"/>
      <c r="M831" s="352">
        <v>2000</v>
      </c>
      <c r="N831" s="352" t="s">
        <v>703</v>
      </c>
      <c r="O831" s="460">
        <v>2111</v>
      </c>
      <c r="P831" s="460" t="s">
        <v>1873</v>
      </c>
      <c r="Q831" s="460" t="s">
        <v>2266</v>
      </c>
      <c r="R831" s="460">
        <v>2111</v>
      </c>
      <c r="S831" s="460" t="s">
        <v>2324</v>
      </c>
      <c r="T831" s="462">
        <v>1</v>
      </c>
      <c r="U831" s="460" t="s">
        <v>2324</v>
      </c>
      <c r="V831" s="475">
        <v>0</v>
      </c>
      <c r="W831" s="463" t="s">
        <v>2278</v>
      </c>
      <c r="X831" s="463" t="s">
        <v>2278</v>
      </c>
      <c r="Y831" s="463" t="s">
        <v>2278</v>
      </c>
      <c r="Z831" s="463"/>
      <c r="AA831" s="463"/>
      <c r="AB831" s="464">
        <v>0</v>
      </c>
      <c r="AC831" s="465">
        <v>0</v>
      </c>
      <c r="AD831" s="465">
        <v>0</v>
      </c>
      <c r="AE831" s="476">
        <v>0</v>
      </c>
      <c r="AF831" s="467">
        <v>0</v>
      </c>
      <c r="AG831" s="468">
        <v>0</v>
      </c>
      <c r="AH831" s="218">
        <v>0</v>
      </c>
      <c r="AI831" s="470">
        <v>0</v>
      </c>
      <c r="AJ831" s="471">
        <v>0</v>
      </c>
      <c r="AK831" s="218">
        <v>0</v>
      </c>
      <c r="AL831" s="470">
        <v>0</v>
      </c>
      <c r="AM831" s="471">
        <v>0</v>
      </c>
      <c r="AN831" s="477">
        <v>0</v>
      </c>
      <c r="AO831" s="473">
        <v>0</v>
      </c>
      <c r="AP831" s="474">
        <v>0</v>
      </c>
      <c r="AQ831" s="352"/>
      <c r="AR831" s="352"/>
      <c r="AS831" s="352"/>
      <c r="AT831" s="352"/>
      <c r="AU831" s="352"/>
      <c r="AV831" s="352"/>
      <c r="AW831" s="352" t="s">
        <v>254</v>
      </c>
    </row>
    <row r="832" spans="2:49" x14ac:dyDescent="0.2">
      <c r="B832" s="460" t="s">
        <v>2608</v>
      </c>
      <c r="C832" s="460">
        <v>2111</v>
      </c>
      <c r="D832" s="460" t="s">
        <v>2347</v>
      </c>
      <c r="E832" s="460" t="s">
        <v>2327</v>
      </c>
      <c r="F832" s="460">
        <v>2</v>
      </c>
      <c r="G832" s="460">
        <v>3</v>
      </c>
      <c r="H832" s="461" t="s">
        <v>752</v>
      </c>
      <c r="I832" s="461" t="s">
        <v>964</v>
      </c>
      <c r="J832" s="461" t="s">
        <v>752</v>
      </c>
      <c r="K832" s="594"/>
      <c r="L832" s="594"/>
      <c r="M832" s="352">
        <v>2000</v>
      </c>
      <c r="N832" s="352" t="s">
        <v>703</v>
      </c>
      <c r="O832" s="460">
        <v>2111</v>
      </c>
      <c r="P832" s="460" t="s">
        <v>1873</v>
      </c>
      <c r="Q832" s="460" t="s">
        <v>2266</v>
      </c>
      <c r="R832" s="460">
        <v>2111</v>
      </c>
      <c r="S832" s="460" t="s">
        <v>2324</v>
      </c>
      <c r="T832" s="462">
        <v>1</v>
      </c>
      <c r="U832" s="460" t="s">
        <v>2327</v>
      </c>
      <c r="V832" s="475">
        <v>0</v>
      </c>
      <c r="W832" s="463" t="s">
        <v>2278</v>
      </c>
      <c r="X832" s="463" t="s">
        <v>2278</v>
      </c>
      <c r="Y832" s="463" t="s">
        <v>2278</v>
      </c>
      <c r="Z832" s="463"/>
      <c r="AA832" s="463"/>
      <c r="AB832" s="464">
        <v>0</v>
      </c>
      <c r="AC832" s="465">
        <v>0</v>
      </c>
      <c r="AD832" s="465">
        <v>0</v>
      </c>
      <c r="AE832" s="476">
        <v>0</v>
      </c>
      <c r="AF832" s="467">
        <v>0</v>
      </c>
      <c r="AG832" s="468">
        <v>0</v>
      </c>
      <c r="AH832" s="218">
        <v>0</v>
      </c>
      <c r="AI832" s="470">
        <v>0</v>
      </c>
      <c r="AJ832" s="471">
        <v>0</v>
      </c>
      <c r="AK832" s="218">
        <v>0</v>
      </c>
      <c r="AL832" s="470">
        <v>0</v>
      </c>
      <c r="AM832" s="471">
        <v>0</v>
      </c>
      <c r="AN832" s="477">
        <v>0</v>
      </c>
      <c r="AO832" s="473">
        <v>0</v>
      </c>
      <c r="AP832" s="474">
        <v>0</v>
      </c>
      <c r="AQ832" s="352"/>
      <c r="AR832" s="352"/>
      <c r="AS832" s="352"/>
      <c r="AT832" s="352"/>
      <c r="AU832" s="352"/>
      <c r="AV832" s="352"/>
      <c r="AW832" s="352" t="s">
        <v>254</v>
      </c>
    </row>
    <row r="833" spans="2:49" x14ac:dyDescent="0.2">
      <c r="B833" s="460" t="s">
        <v>2609</v>
      </c>
      <c r="C833" s="460">
        <v>2111</v>
      </c>
      <c r="D833" s="460" t="s">
        <v>2348</v>
      </c>
      <c r="E833" s="460" t="s">
        <v>2330</v>
      </c>
      <c r="F833" s="460">
        <v>3</v>
      </c>
      <c r="G833" s="460">
        <v>3</v>
      </c>
      <c r="H833" s="461" t="s">
        <v>752</v>
      </c>
      <c r="I833" s="461" t="s">
        <v>964</v>
      </c>
      <c r="J833" s="461" t="s">
        <v>752</v>
      </c>
      <c r="K833" s="594"/>
      <c r="L833" s="594"/>
      <c r="M833" s="352">
        <v>2000</v>
      </c>
      <c r="N833" s="352" t="s">
        <v>703</v>
      </c>
      <c r="O833" s="460">
        <v>2111</v>
      </c>
      <c r="P833" s="460" t="s">
        <v>1873</v>
      </c>
      <c r="Q833" s="460" t="s">
        <v>2266</v>
      </c>
      <c r="R833" s="460">
        <v>2111</v>
      </c>
      <c r="S833" s="460" t="s">
        <v>2324</v>
      </c>
      <c r="T833" s="462">
        <v>1</v>
      </c>
      <c r="U833" s="460" t="s">
        <v>2330</v>
      </c>
      <c r="V833" s="475">
        <v>0</v>
      </c>
      <c r="W833" s="463" t="s">
        <v>2278</v>
      </c>
      <c r="X833" s="463" t="s">
        <v>2278</v>
      </c>
      <c r="Y833" s="463" t="s">
        <v>2278</v>
      </c>
      <c r="Z833" s="463"/>
      <c r="AA833" s="463"/>
      <c r="AB833" s="464">
        <v>0</v>
      </c>
      <c r="AC833" s="465">
        <v>0</v>
      </c>
      <c r="AD833" s="465">
        <v>0</v>
      </c>
      <c r="AE833" s="476">
        <v>0</v>
      </c>
      <c r="AF833" s="467">
        <v>0</v>
      </c>
      <c r="AG833" s="468">
        <v>0</v>
      </c>
      <c r="AH833" s="218">
        <v>0</v>
      </c>
      <c r="AI833" s="470">
        <v>0</v>
      </c>
      <c r="AJ833" s="471">
        <v>0</v>
      </c>
      <c r="AK833" s="218">
        <v>0</v>
      </c>
      <c r="AL833" s="470">
        <v>0</v>
      </c>
      <c r="AM833" s="471">
        <v>0</v>
      </c>
      <c r="AN833" s="477">
        <v>0</v>
      </c>
      <c r="AO833" s="473">
        <v>0</v>
      </c>
      <c r="AP833" s="474">
        <v>0</v>
      </c>
      <c r="AQ833" s="352"/>
      <c r="AR833" s="352"/>
      <c r="AS833" s="352"/>
      <c r="AT833" s="352"/>
      <c r="AU833" s="352"/>
      <c r="AV833" s="352"/>
      <c r="AW833" s="352" t="s">
        <v>254</v>
      </c>
    </row>
    <row r="834" spans="2:49" x14ac:dyDescent="0.2">
      <c r="B834" s="460" t="s">
        <v>2610</v>
      </c>
      <c r="C834" s="460">
        <v>2111</v>
      </c>
      <c r="D834" s="460" t="s">
        <v>2349</v>
      </c>
      <c r="E834" s="460" t="s">
        <v>2333</v>
      </c>
      <c r="F834" s="460">
        <v>4</v>
      </c>
      <c r="G834" s="460">
        <v>3</v>
      </c>
      <c r="H834" s="461" t="s">
        <v>752</v>
      </c>
      <c r="I834" s="461" t="s">
        <v>964</v>
      </c>
      <c r="J834" s="461" t="s">
        <v>752</v>
      </c>
      <c r="K834" s="594"/>
      <c r="L834" s="594"/>
      <c r="M834" s="352">
        <v>2000</v>
      </c>
      <c r="N834" s="352" t="s">
        <v>703</v>
      </c>
      <c r="O834" s="460">
        <v>2111</v>
      </c>
      <c r="P834" s="460" t="s">
        <v>1873</v>
      </c>
      <c r="Q834" s="460" t="s">
        <v>2266</v>
      </c>
      <c r="R834" s="460">
        <v>2111</v>
      </c>
      <c r="S834" s="460" t="s">
        <v>2333</v>
      </c>
      <c r="T834" s="462">
        <v>1</v>
      </c>
      <c r="U834" s="460" t="s">
        <v>2333</v>
      </c>
      <c r="V834" s="475">
        <v>0</v>
      </c>
      <c r="W834" s="463" t="s">
        <v>2278</v>
      </c>
      <c r="X834" s="463" t="s">
        <v>2278</v>
      </c>
      <c r="Y834" s="463" t="s">
        <v>2278</v>
      </c>
      <c r="Z834" s="463"/>
      <c r="AA834" s="463"/>
      <c r="AB834" s="464">
        <v>0</v>
      </c>
      <c r="AC834" s="465">
        <v>0</v>
      </c>
      <c r="AD834" s="465">
        <v>0</v>
      </c>
      <c r="AE834" s="476">
        <v>0</v>
      </c>
      <c r="AF834" s="467">
        <v>0</v>
      </c>
      <c r="AG834" s="468">
        <v>0</v>
      </c>
      <c r="AH834" s="218">
        <v>0</v>
      </c>
      <c r="AI834" s="470">
        <v>0</v>
      </c>
      <c r="AJ834" s="471">
        <v>0</v>
      </c>
      <c r="AK834" s="218">
        <v>0</v>
      </c>
      <c r="AL834" s="470">
        <v>0</v>
      </c>
      <c r="AM834" s="471">
        <v>0</v>
      </c>
      <c r="AN834" s="477">
        <v>0</v>
      </c>
      <c r="AO834" s="473">
        <v>0</v>
      </c>
      <c r="AP834" s="474">
        <v>0</v>
      </c>
      <c r="AQ834" s="352"/>
      <c r="AR834" s="352"/>
      <c r="AS834" s="352"/>
      <c r="AT834" s="352"/>
      <c r="AU834" s="352"/>
      <c r="AV834" s="352"/>
      <c r="AW834" s="352" t="s">
        <v>254</v>
      </c>
    </row>
    <row r="835" spans="2:49" x14ac:dyDescent="0.2">
      <c r="B835" s="460" t="s">
        <v>2611</v>
      </c>
      <c r="C835" s="460">
        <v>2111</v>
      </c>
      <c r="D835" s="460" t="s">
        <v>2351</v>
      </c>
      <c r="E835" s="460" t="s">
        <v>1136</v>
      </c>
      <c r="F835" s="460">
        <v>1</v>
      </c>
      <c r="G835" s="460">
        <v>4</v>
      </c>
      <c r="H835" s="461" t="s">
        <v>700</v>
      </c>
      <c r="I835" s="461" t="s">
        <v>872</v>
      </c>
      <c r="J835" s="461" t="s">
        <v>700</v>
      </c>
      <c r="K835" s="594"/>
      <c r="L835" s="594"/>
      <c r="M835" s="352">
        <v>2000</v>
      </c>
      <c r="N835" s="352" t="s">
        <v>703</v>
      </c>
      <c r="O835" s="460">
        <v>2111</v>
      </c>
      <c r="P835" s="460" t="s">
        <v>1873</v>
      </c>
      <c r="Q835" s="460" t="s">
        <v>2266</v>
      </c>
      <c r="R835" s="460">
        <v>2111</v>
      </c>
      <c r="S835" s="460" t="s">
        <v>1136</v>
      </c>
      <c r="T835" s="462">
        <v>1</v>
      </c>
      <c r="U835" s="460" t="s">
        <v>1136</v>
      </c>
      <c r="V835" s="475">
        <v>0</v>
      </c>
      <c r="W835" s="463" t="s">
        <v>2267</v>
      </c>
      <c r="X835" s="463" t="s">
        <v>2267</v>
      </c>
      <c r="Y835" s="463" t="s">
        <v>2268</v>
      </c>
      <c r="Z835" s="463"/>
      <c r="AA835" s="463"/>
      <c r="AB835" s="464">
        <v>6.6318928698245552</v>
      </c>
      <c r="AC835" s="465">
        <v>0.10397087744537047</v>
      </c>
      <c r="AD835" s="465">
        <v>1.8869122792928482E-2</v>
      </c>
      <c r="AE835" s="476">
        <v>6.6318928698245552</v>
      </c>
      <c r="AF835" s="467">
        <v>0.10397087744537047</v>
      </c>
      <c r="AG835" s="468">
        <v>2.0511898167751109E-2</v>
      </c>
      <c r="AH835" s="218">
        <v>6.6318928698245552</v>
      </c>
      <c r="AI835" s="470">
        <v>0.10397087744537047</v>
      </c>
      <c r="AJ835" s="471">
        <v>5.1792863248423205E-3</v>
      </c>
      <c r="AK835" s="218">
        <v>6.6318928698245552</v>
      </c>
      <c r="AL835" s="470">
        <v>0.10397087744537047</v>
      </c>
      <c r="AM835" s="471">
        <v>5.1792863248423205E-3</v>
      </c>
      <c r="AN835" s="477">
        <v>0</v>
      </c>
      <c r="AO835" s="473">
        <v>0</v>
      </c>
      <c r="AP835" s="474">
        <v>0</v>
      </c>
      <c r="AQ835" s="352"/>
      <c r="AR835" s="352"/>
      <c r="AS835" s="352"/>
      <c r="AT835" s="352"/>
      <c r="AU835" s="352"/>
      <c r="AV835" s="352"/>
      <c r="AW835" s="352" t="s">
        <v>254</v>
      </c>
    </row>
    <row r="836" spans="2:49" x14ac:dyDescent="0.2">
      <c r="B836" s="460" t="s">
        <v>2612</v>
      </c>
      <c r="C836" s="460">
        <v>2111</v>
      </c>
      <c r="D836" s="460" t="s">
        <v>2353</v>
      </c>
      <c r="E836" s="460" t="s">
        <v>1137</v>
      </c>
      <c r="F836" s="460">
        <v>2</v>
      </c>
      <c r="G836" s="460">
        <v>4</v>
      </c>
      <c r="H836" s="461" t="s">
        <v>700</v>
      </c>
      <c r="I836" s="461" t="s">
        <v>872</v>
      </c>
      <c r="J836" s="461" t="s">
        <v>700</v>
      </c>
      <c r="K836" s="594"/>
      <c r="L836" s="594"/>
      <c r="M836" s="352">
        <v>2000</v>
      </c>
      <c r="N836" s="352" t="s">
        <v>703</v>
      </c>
      <c r="O836" s="460">
        <v>2111</v>
      </c>
      <c r="P836" s="460" t="s">
        <v>1873</v>
      </c>
      <c r="Q836" s="460" t="s">
        <v>2266</v>
      </c>
      <c r="R836" s="460">
        <v>2111</v>
      </c>
      <c r="S836" s="460" t="s">
        <v>1137</v>
      </c>
      <c r="T836" s="462">
        <v>1</v>
      </c>
      <c r="U836" s="460" t="s">
        <v>1137</v>
      </c>
      <c r="V836" s="475">
        <v>0</v>
      </c>
      <c r="W836" s="463" t="s">
        <v>2267</v>
      </c>
      <c r="X836" s="463" t="s">
        <v>2267</v>
      </c>
      <c r="Y836" s="463" t="s">
        <v>2268</v>
      </c>
      <c r="Z836" s="463"/>
      <c r="AA836" s="463"/>
      <c r="AB836" s="464">
        <v>20.566114940099066</v>
      </c>
      <c r="AC836" s="465">
        <v>0.16946623525930871</v>
      </c>
      <c r="AD836" s="465">
        <v>4.6441397422226525E-3</v>
      </c>
      <c r="AE836" s="476">
        <v>20.566114940099066</v>
      </c>
      <c r="AF836" s="467">
        <v>0.16946623525930871</v>
      </c>
      <c r="AG836" s="468">
        <v>5.0032744909332778E-3</v>
      </c>
      <c r="AH836" s="218">
        <v>20.566114940099066</v>
      </c>
      <c r="AI836" s="470">
        <v>0.16946623525930871</v>
      </c>
      <c r="AJ836" s="471">
        <v>4.2491532486362534E-3</v>
      </c>
      <c r="AK836" s="218">
        <v>20.566114940099066</v>
      </c>
      <c r="AL836" s="470">
        <v>0.16946623525930871</v>
      </c>
      <c r="AM836" s="471">
        <v>4.2491532486362534E-3</v>
      </c>
      <c r="AN836" s="477">
        <v>0</v>
      </c>
      <c r="AO836" s="473">
        <v>0</v>
      </c>
      <c r="AP836" s="474">
        <v>0</v>
      </c>
      <c r="AQ836" s="352"/>
      <c r="AR836" s="352"/>
      <c r="AS836" s="352"/>
      <c r="AT836" s="352"/>
      <c r="AU836" s="352"/>
      <c r="AV836" s="352"/>
      <c r="AW836" s="352" t="s">
        <v>254</v>
      </c>
    </row>
    <row r="837" spans="2:49" x14ac:dyDescent="0.2">
      <c r="B837" s="460" t="s">
        <v>2613</v>
      </c>
      <c r="C837" s="460">
        <v>2111</v>
      </c>
      <c r="D837" s="460" t="s">
        <v>2355</v>
      </c>
      <c r="E837" s="460" t="s">
        <v>1138</v>
      </c>
      <c r="F837" s="460">
        <v>3</v>
      </c>
      <c r="G837" s="460">
        <v>4</v>
      </c>
      <c r="H837" s="461" t="s">
        <v>700</v>
      </c>
      <c r="I837" s="461" t="s">
        <v>872</v>
      </c>
      <c r="J837" s="461" t="s">
        <v>700</v>
      </c>
      <c r="K837" s="594"/>
      <c r="L837" s="594"/>
      <c r="M837" s="352">
        <v>2000</v>
      </c>
      <c r="N837" s="352" t="s">
        <v>703</v>
      </c>
      <c r="O837" s="460">
        <v>2111</v>
      </c>
      <c r="P837" s="460" t="s">
        <v>1873</v>
      </c>
      <c r="Q837" s="460" t="s">
        <v>2266</v>
      </c>
      <c r="R837" s="460">
        <v>2111</v>
      </c>
      <c r="S837" s="460" t="s">
        <v>1138</v>
      </c>
      <c r="T837" s="462">
        <v>1</v>
      </c>
      <c r="U837" s="460" t="s">
        <v>1138</v>
      </c>
      <c r="V837" s="475">
        <v>0</v>
      </c>
      <c r="W837" s="463" t="s">
        <v>2267</v>
      </c>
      <c r="X837" s="463" t="s">
        <v>2267</v>
      </c>
      <c r="Y837" s="463" t="s">
        <v>2268</v>
      </c>
      <c r="Z837" s="463"/>
      <c r="AA837" s="463"/>
      <c r="AB837" s="464">
        <v>16.068847358934882</v>
      </c>
      <c r="AC837" s="465">
        <v>0.12399022656180793</v>
      </c>
      <c r="AD837" s="465">
        <v>6.7419766999268016E-3</v>
      </c>
      <c r="AE837" s="476">
        <v>16.068847358934882</v>
      </c>
      <c r="AF837" s="467">
        <v>0.12399022656180793</v>
      </c>
      <c r="AG837" s="468">
        <v>7.27368076155288E-3</v>
      </c>
      <c r="AH837" s="218">
        <v>16.068847358934882</v>
      </c>
      <c r="AI837" s="470">
        <v>0.12399022656180793</v>
      </c>
      <c r="AJ837" s="471">
        <v>5.5374241906584638E-3</v>
      </c>
      <c r="AK837" s="218">
        <v>16.068847358934882</v>
      </c>
      <c r="AL837" s="470">
        <v>0.12399022656180793</v>
      </c>
      <c r="AM837" s="471">
        <v>5.5374241906584638E-3</v>
      </c>
      <c r="AN837" s="477">
        <v>0</v>
      </c>
      <c r="AO837" s="473">
        <v>0</v>
      </c>
      <c r="AP837" s="474">
        <v>0</v>
      </c>
      <c r="AQ837" s="352"/>
      <c r="AR837" s="352"/>
      <c r="AS837" s="352"/>
      <c r="AT837" s="352"/>
      <c r="AU837" s="352"/>
      <c r="AV837" s="352"/>
      <c r="AW837" s="352" t="s">
        <v>254</v>
      </c>
    </row>
    <row r="838" spans="2:49" x14ac:dyDescent="0.2">
      <c r="B838" s="460" t="s">
        <v>2614</v>
      </c>
      <c r="C838" s="460">
        <v>2111</v>
      </c>
      <c r="D838" s="460" t="s">
        <v>2357</v>
      </c>
      <c r="E838" s="460" t="s">
        <v>1139</v>
      </c>
      <c r="F838" s="460">
        <v>4</v>
      </c>
      <c r="G838" s="460">
        <v>4</v>
      </c>
      <c r="H838" s="461" t="s">
        <v>700</v>
      </c>
      <c r="I838" s="461" t="s">
        <v>872</v>
      </c>
      <c r="J838" s="461" t="s">
        <v>700</v>
      </c>
      <c r="K838" s="594"/>
      <c r="L838" s="594"/>
      <c r="M838" s="352">
        <v>2000</v>
      </c>
      <c r="N838" s="352" t="s">
        <v>703</v>
      </c>
      <c r="O838" s="460">
        <v>2111</v>
      </c>
      <c r="P838" s="460" t="s">
        <v>1873</v>
      </c>
      <c r="Q838" s="460" t="s">
        <v>2266</v>
      </c>
      <c r="R838" s="460">
        <v>2111</v>
      </c>
      <c r="S838" s="460" t="s">
        <v>1139</v>
      </c>
      <c r="T838" s="462">
        <v>1</v>
      </c>
      <c r="U838" s="460" t="s">
        <v>1139</v>
      </c>
      <c r="V838" s="475">
        <v>0</v>
      </c>
      <c r="W838" s="463" t="s">
        <v>2267</v>
      </c>
      <c r="X838" s="463" t="s">
        <v>2267</v>
      </c>
      <c r="Y838" s="463" t="s">
        <v>2268</v>
      </c>
      <c r="Z838" s="463"/>
      <c r="AA838" s="463"/>
      <c r="AB838" s="464">
        <v>0</v>
      </c>
      <c r="AC838" s="465">
        <v>0</v>
      </c>
      <c r="AD838" s="465">
        <v>0</v>
      </c>
      <c r="AE838" s="476">
        <v>0</v>
      </c>
      <c r="AF838" s="467">
        <v>0</v>
      </c>
      <c r="AG838" s="468">
        <v>0</v>
      </c>
      <c r="AH838" s="218">
        <v>0</v>
      </c>
      <c r="AI838" s="470">
        <v>0</v>
      </c>
      <c r="AJ838" s="471">
        <v>0</v>
      </c>
      <c r="AK838" s="218">
        <v>0</v>
      </c>
      <c r="AL838" s="470">
        <v>0</v>
      </c>
      <c r="AM838" s="471">
        <v>0</v>
      </c>
      <c r="AN838" s="477">
        <v>0</v>
      </c>
      <c r="AO838" s="473">
        <v>0</v>
      </c>
      <c r="AP838" s="474">
        <v>0</v>
      </c>
      <c r="AQ838" s="352"/>
      <c r="AR838" s="352"/>
      <c r="AS838" s="352"/>
      <c r="AT838" s="352"/>
      <c r="AU838" s="352"/>
      <c r="AV838" s="352"/>
      <c r="AW838" s="352" t="s">
        <v>254</v>
      </c>
    </row>
    <row r="839" spans="2:49" x14ac:dyDescent="0.2">
      <c r="B839" s="460" t="s">
        <v>2611</v>
      </c>
      <c r="C839" s="460">
        <v>2111</v>
      </c>
      <c r="D839" s="460" t="s">
        <v>2358</v>
      </c>
      <c r="E839" s="460" t="s">
        <v>1136</v>
      </c>
      <c r="F839" s="460">
        <v>1</v>
      </c>
      <c r="G839" s="460">
        <v>4</v>
      </c>
      <c r="H839" s="461" t="s">
        <v>712</v>
      </c>
      <c r="I839" s="461" t="s">
        <v>713</v>
      </c>
      <c r="J839" s="461" t="s">
        <v>712</v>
      </c>
      <c r="K839" s="594"/>
      <c r="L839" s="594"/>
      <c r="M839" s="352">
        <v>2000</v>
      </c>
      <c r="N839" s="352" t="s">
        <v>703</v>
      </c>
      <c r="O839" s="460">
        <v>2111</v>
      </c>
      <c r="P839" s="460" t="s">
        <v>1873</v>
      </c>
      <c r="Q839" s="460" t="s">
        <v>2280</v>
      </c>
      <c r="R839" s="460">
        <v>2111</v>
      </c>
      <c r="S839" s="460" t="s">
        <v>1136</v>
      </c>
      <c r="T839" s="462">
        <v>1</v>
      </c>
      <c r="U839" s="460" t="s">
        <v>1136</v>
      </c>
      <c r="V839" s="475">
        <v>0</v>
      </c>
      <c r="W839" s="463" t="s">
        <v>713</v>
      </c>
      <c r="X839" s="463" t="s">
        <v>713</v>
      </c>
      <c r="Y839" s="463" t="s">
        <v>713</v>
      </c>
      <c r="Z839" s="463"/>
      <c r="AA839" s="463"/>
      <c r="AB839" s="464">
        <v>54.518126781159275</v>
      </c>
      <c r="AC839" s="465">
        <v>0.8547028110037963</v>
      </c>
      <c r="AD839" s="465">
        <v>3.5929464942550146E-4</v>
      </c>
      <c r="AE839" s="476">
        <v>54.518126781159268</v>
      </c>
      <c r="AF839" s="467">
        <v>0.85470281100379619</v>
      </c>
      <c r="AG839" s="468">
        <v>3.592280089419815E-4</v>
      </c>
      <c r="AH839" s="218">
        <v>54.518126781159268</v>
      </c>
      <c r="AI839" s="470">
        <v>0.85470281100379619</v>
      </c>
      <c r="AJ839" s="471">
        <v>3.6287892292927089E-4</v>
      </c>
      <c r="AK839" s="218">
        <v>54.518126781159268</v>
      </c>
      <c r="AL839" s="470">
        <v>0.85470281100379619</v>
      </c>
      <c r="AM839" s="471">
        <v>3.6287892292927089E-4</v>
      </c>
      <c r="AN839" s="477">
        <v>54.518126781159268</v>
      </c>
      <c r="AO839" s="473">
        <v>0.85470281100379619</v>
      </c>
      <c r="AP839" s="474">
        <v>3.6228846824805892E-4</v>
      </c>
      <c r="AQ839" s="352"/>
      <c r="AR839" s="352"/>
      <c r="AS839" s="352"/>
      <c r="AT839" s="352"/>
      <c r="AU839" s="352"/>
      <c r="AV839" s="352"/>
      <c r="AW839" s="352" t="s">
        <v>254</v>
      </c>
    </row>
    <row r="840" spans="2:49" x14ac:dyDescent="0.2">
      <c r="B840" s="460" t="s">
        <v>2612</v>
      </c>
      <c r="C840" s="460">
        <v>2111</v>
      </c>
      <c r="D840" s="460" t="s">
        <v>2359</v>
      </c>
      <c r="E840" s="460" t="s">
        <v>1137</v>
      </c>
      <c r="F840" s="460">
        <v>2</v>
      </c>
      <c r="G840" s="460">
        <v>4</v>
      </c>
      <c r="H840" s="461" t="s">
        <v>712</v>
      </c>
      <c r="I840" s="461" t="s">
        <v>713</v>
      </c>
      <c r="J840" s="461" t="s">
        <v>712</v>
      </c>
      <c r="K840" s="594"/>
      <c r="L840" s="594"/>
      <c r="M840" s="352">
        <v>2000</v>
      </c>
      <c r="N840" s="352" t="s">
        <v>703</v>
      </c>
      <c r="O840" s="460">
        <v>2111</v>
      </c>
      <c r="P840" s="460" t="s">
        <v>1873</v>
      </c>
      <c r="Q840" s="460" t="s">
        <v>2280</v>
      </c>
      <c r="R840" s="460">
        <v>2111</v>
      </c>
      <c r="S840" s="460" t="s">
        <v>1137</v>
      </c>
      <c r="T840" s="462">
        <v>1</v>
      </c>
      <c r="U840" s="460" t="s">
        <v>1137</v>
      </c>
      <c r="V840" s="475">
        <v>0</v>
      </c>
      <c r="W840" s="463" t="s">
        <v>713</v>
      </c>
      <c r="X840" s="463" t="s">
        <v>713</v>
      </c>
      <c r="Y840" s="463" t="s">
        <v>713</v>
      </c>
      <c r="Z840" s="463"/>
      <c r="AA840" s="463"/>
      <c r="AB840" s="464">
        <v>99.611609140567268</v>
      </c>
      <c r="AC840" s="465">
        <v>0.82080667342085578</v>
      </c>
      <c r="AD840" s="465">
        <v>5.7606767663184613E-4</v>
      </c>
      <c r="AE840" s="476">
        <v>99.611609140567268</v>
      </c>
      <c r="AF840" s="467">
        <v>0.82080667342085578</v>
      </c>
      <c r="AG840" s="468">
        <v>5.7501064128243897E-4</v>
      </c>
      <c r="AH840" s="218">
        <v>99.611609140567268</v>
      </c>
      <c r="AI840" s="470">
        <v>0.82080667342085578</v>
      </c>
      <c r="AJ840" s="471">
        <v>5.7773919298794579E-4</v>
      </c>
      <c r="AK840" s="218">
        <v>99.611609140567268</v>
      </c>
      <c r="AL840" s="470">
        <v>0.82080667342085578</v>
      </c>
      <c r="AM840" s="471">
        <v>5.7773919298794579E-4</v>
      </c>
      <c r="AN840" s="477">
        <v>99.611609140567268</v>
      </c>
      <c r="AO840" s="473">
        <v>0.82080667342085578</v>
      </c>
      <c r="AP840" s="474">
        <v>5.7726247527530657E-4</v>
      </c>
      <c r="AQ840" s="352"/>
      <c r="AR840" s="352"/>
      <c r="AS840" s="352"/>
      <c r="AT840" s="352"/>
      <c r="AU840" s="352"/>
      <c r="AV840" s="352"/>
      <c r="AW840" s="352" t="s">
        <v>254</v>
      </c>
    </row>
    <row r="841" spans="2:49" x14ac:dyDescent="0.2">
      <c r="B841" s="460" t="s">
        <v>2613</v>
      </c>
      <c r="C841" s="460">
        <v>2111</v>
      </c>
      <c r="D841" s="460" t="s">
        <v>2360</v>
      </c>
      <c r="E841" s="460" t="s">
        <v>1138</v>
      </c>
      <c r="F841" s="460">
        <v>3</v>
      </c>
      <c r="G841" s="460">
        <v>4</v>
      </c>
      <c r="H841" s="461" t="s">
        <v>712</v>
      </c>
      <c r="I841" s="461" t="s">
        <v>713</v>
      </c>
      <c r="J841" s="461" t="s">
        <v>712</v>
      </c>
      <c r="K841" s="594"/>
      <c r="L841" s="594"/>
      <c r="M841" s="352">
        <v>2000</v>
      </c>
      <c r="N841" s="352" t="s">
        <v>703</v>
      </c>
      <c r="O841" s="460">
        <v>2111</v>
      </c>
      <c r="P841" s="460" t="s">
        <v>1873</v>
      </c>
      <c r="Q841" s="460" t="s">
        <v>2280</v>
      </c>
      <c r="R841" s="460">
        <v>2111</v>
      </c>
      <c r="S841" s="460" t="s">
        <v>1138</v>
      </c>
      <c r="T841" s="462">
        <v>1</v>
      </c>
      <c r="U841" s="460" t="s">
        <v>1138</v>
      </c>
      <c r="V841" s="475">
        <v>0</v>
      </c>
      <c r="W841" s="463" t="s">
        <v>713</v>
      </c>
      <c r="X841" s="463" t="s">
        <v>713</v>
      </c>
      <c r="Y841" s="463" t="s">
        <v>713</v>
      </c>
      <c r="Z841" s="463"/>
      <c r="AA841" s="463"/>
      <c r="AB841" s="464">
        <v>108.33422855547944</v>
      </c>
      <c r="AC841" s="465">
        <v>0.83592713546585951</v>
      </c>
      <c r="AD841" s="465">
        <v>1.3519620631149529E-3</v>
      </c>
      <c r="AE841" s="476">
        <v>108.33422855547944</v>
      </c>
      <c r="AF841" s="467">
        <v>0.83592713546585951</v>
      </c>
      <c r="AG841" s="468">
        <v>1.3490289197563795E-3</v>
      </c>
      <c r="AH841" s="218">
        <v>108.33422855547944</v>
      </c>
      <c r="AI841" s="470">
        <v>0.83592713546585951</v>
      </c>
      <c r="AJ841" s="471">
        <v>1.3648467866928594E-3</v>
      </c>
      <c r="AK841" s="218">
        <v>108.33422855547944</v>
      </c>
      <c r="AL841" s="470">
        <v>0.83592713546585951</v>
      </c>
      <c r="AM841" s="471">
        <v>1.3648467866928594E-3</v>
      </c>
      <c r="AN841" s="477">
        <v>108.33422855547944</v>
      </c>
      <c r="AO841" s="473">
        <v>0.83592713546585951</v>
      </c>
      <c r="AP841" s="474">
        <v>1.3647439262619069E-3</v>
      </c>
      <c r="AQ841" s="352"/>
      <c r="AR841" s="352"/>
      <c r="AS841" s="352"/>
      <c r="AT841" s="352"/>
      <c r="AU841" s="352"/>
      <c r="AV841" s="352"/>
      <c r="AW841" s="352" t="s">
        <v>254</v>
      </c>
    </row>
    <row r="842" spans="2:49" x14ac:dyDescent="0.2">
      <c r="B842" s="460" t="s">
        <v>2614</v>
      </c>
      <c r="C842" s="460">
        <v>2111</v>
      </c>
      <c r="D842" s="460" t="s">
        <v>2361</v>
      </c>
      <c r="E842" s="460" t="s">
        <v>1139</v>
      </c>
      <c r="F842" s="460">
        <v>4</v>
      </c>
      <c r="G842" s="460">
        <v>4</v>
      </c>
      <c r="H842" s="461" t="s">
        <v>712</v>
      </c>
      <c r="I842" s="461" t="s">
        <v>713</v>
      </c>
      <c r="J842" s="461" t="s">
        <v>712</v>
      </c>
      <c r="K842" s="594"/>
      <c r="L842" s="594"/>
      <c r="M842" s="352">
        <v>2000</v>
      </c>
      <c r="N842" s="352" t="s">
        <v>703</v>
      </c>
      <c r="O842" s="460">
        <v>2111</v>
      </c>
      <c r="P842" s="460" t="s">
        <v>1873</v>
      </c>
      <c r="Q842" s="460" t="s">
        <v>2280</v>
      </c>
      <c r="R842" s="460">
        <v>2111</v>
      </c>
      <c r="S842" s="460" t="s">
        <v>1139</v>
      </c>
      <c r="T842" s="462">
        <v>1</v>
      </c>
      <c r="U842" s="460" t="s">
        <v>1139</v>
      </c>
      <c r="V842" s="475">
        <v>0</v>
      </c>
      <c r="W842" s="463" t="s">
        <v>713</v>
      </c>
      <c r="X842" s="463" t="s">
        <v>713</v>
      </c>
      <c r="Y842" s="463" t="s">
        <v>713</v>
      </c>
      <c r="Z842" s="463"/>
      <c r="AA842" s="463"/>
      <c r="AB842" s="464">
        <v>122.8292827681902</v>
      </c>
      <c r="AC842" s="465">
        <v>0.6260813986423539</v>
      </c>
      <c r="AD842" s="465">
        <v>1.3599947245202268E-3</v>
      </c>
      <c r="AE842" s="476">
        <v>122.8292827681902</v>
      </c>
      <c r="AF842" s="467">
        <v>0.6260813986423539</v>
      </c>
      <c r="AG842" s="468">
        <v>1.3599947245202268E-3</v>
      </c>
      <c r="AH842" s="218">
        <v>122.8292827681902</v>
      </c>
      <c r="AI842" s="470">
        <v>0.6260813986423539</v>
      </c>
      <c r="AJ842" s="471">
        <v>1.3892452969028477E-3</v>
      </c>
      <c r="AK842" s="218">
        <v>122.8292827681902</v>
      </c>
      <c r="AL842" s="470">
        <v>0.6260813986423539</v>
      </c>
      <c r="AM842" s="471">
        <v>1.3892452969028477E-3</v>
      </c>
      <c r="AN842" s="477">
        <v>122.8292827681902</v>
      </c>
      <c r="AO842" s="473">
        <v>0.6260813986423539</v>
      </c>
      <c r="AP842" s="474">
        <v>1.3892452969028477E-3</v>
      </c>
      <c r="AQ842" s="352"/>
      <c r="AR842" s="352"/>
      <c r="AS842" s="352"/>
      <c r="AT842" s="352"/>
      <c r="AU842" s="352"/>
      <c r="AV842" s="352"/>
      <c r="AW842" s="352" t="s">
        <v>254</v>
      </c>
    </row>
    <row r="843" spans="2:49" x14ac:dyDescent="0.2">
      <c r="B843" s="460" t="s">
        <v>2611</v>
      </c>
      <c r="C843" s="460">
        <v>2111</v>
      </c>
      <c r="D843" s="460" t="s">
        <v>2362</v>
      </c>
      <c r="E843" s="460" t="s">
        <v>1136</v>
      </c>
      <c r="F843" s="460">
        <v>1</v>
      </c>
      <c r="G843" s="460">
        <v>4</v>
      </c>
      <c r="H843" s="461" t="s">
        <v>746</v>
      </c>
      <c r="I843" s="461" t="s">
        <v>762</v>
      </c>
      <c r="J843" s="461" t="s">
        <v>700</v>
      </c>
      <c r="K843" s="594"/>
      <c r="L843" s="594"/>
      <c r="M843" s="352">
        <v>2000</v>
      </c>
      <c r="N843" s="352" t="s">
        <v>703</v>
      </c>
      <c r="O843" s="460">
        <v>2111</v>
      </c>
      <c r="P843" s="460" t="s">
        <v>1873</v>
      </c>
      <c r="Q843" s="460" t="s">
        <v>2289</v>
      </c>
      <c r="R843" s="460">
        <v>2111</v>
      </c>
      <c r="S843" s="460" t="s">
        <v>1136</v>
      </c>
      <c r="T843" s="462">
        <v>1</v>
      </c>
      <c r="U843" s="460" t="s">
        <v>1136</v>
      </c>
      <c r="V843" s="475">
        <v>0</v>
      </c>
      <c r="W843" s="463" t="s">
        <v>2268</v>
      </c>
      <c r="X843" s="463" t="s">
        <v>2268</v>
      </c>
      <c r="Y843" s="463" t="s">
        <v>2290</v>
      </c>
      <c r="Z843" s="463"/>
      <c r="AA843" s="463"/>
      <c r="AB843" s="464">
        <v>0</v>
      </c>
      <c r="AC843" s="465">
        <v>0</v>
      </c>
      <c r="AD843" s="465">
        <v>0</v>
      </c>
      <c r="AE843" s="476">
        <v>0</v>
      </c>
      <c r="AF843" s="467">
        <v>0</v>
      </c>
      <c r="AG843" s="468">
        <v>0</v>
      </c>
      <c r="AH843" s="218">
        <v>0</v>
      </c>
      <c r="AI843" s="470">
        <v>0</v>
      </c>
      <c r="AJ843" s="471">
        <v>0</v>
      </c>
      <c r="AK843" s="218">
        <v>0</v>
      </c>
      <c r="AL843" s="470">
        <v>0</v>
      </c>
      <c r="AM843" s="471">
        <v>0</v>
      </c>
      <c r="AN843" s="477">
        <v>0</v>
      </c>
      <c r="AO843" s="473">
        <v>0</v>
      </c>
      <c r="AP843" s="474">
        <v>0</v>
      </c>
      <c r="AQ843" s="352"/>
      <c r="AR843" s="352"/>
      <c r="AS843" s="352"/>
      <c r="AT843" s="352"/>
      <c r="AU843" s="352"/>
      <c r="AV843" s="352"/>
      <c r="AW843" s="352" t="s">
        <v>254</v>
      </c>
    </row>
    <row r="844" spans="2:49" x14ac:dyDescent="0.2">
      <c r="B844" s="460" t="s">
        <v>2612</v>
      </c>
      <c r="C844" s="460">
        <v>2111</v>
      </c>
      <c r="D844" s="460" t="s">
        <v>2363</v>
      </c>
      <c r="E844" s="460" t="s">
        <v>1137</v>
      </c>
      <c r="F844" s="460">
        <v>2</v>
      </c>
      <c r="G844" s="460">
        <v>4</v>
      </c>
      <c r="H844" s="461" t="s">
        <v>746</v>
      </c>
      <c r="I844" s="461" t="s">
        <v>762</v>
      </c>
      <c r="J844" s="461" t="s">
        <v>700</v>
      </c>
      <c r="K844" s="594"/>
      <c r="L844" s="594"/>
      <c r="M844" s="352">
        <v>2000</v>
      </c>
      <c r="N844" s="352" t="s">
        <v>703</v>
      </c>
      <c r="O844" s="460">
        <v>2111</v>
      </c>
      <c r="P844" s="460" t="s">
        <v>1873</v>
      </c>
      <c r="Q844" s="460" t="s">
        <v>2289</v>
      </c>
      <c r="R844" s="460">
        <v>2111</v>
      </c>
      <c r="S844" s="460" t="s">
        <v>1137</v>
      </c>
      <c r="T844" s="462">
        <v>1</v>
      </c>
      <c r="U844" s="460" t="s">
        <v>1137</v>
      </c>
      <c r="V844" s="475">
        <v>0</v>
      </c>
      <c r="W844" s="463" t="s">
        <v>2268</v>
      </c>
      <c r="X844" s="463" t="s">
        <v>2268</v>
      </c>
      <c r="Y844" s="463" t="s">
        <v>2290</v>
      </c>
      <c r="Z844" s="463"/>
      <c r="AA844" s="463"/>
      <c r="AB844" s="464">
        <v>0</v>
      </c>
      <c r="AC844" s="465">
        <v>0</v>
      </c>
      <c r="AD844" s="465">
        <v>0</v>
      </c>
      <c r="AE844" s="476">
        <v>0</v>
      </c>
      <c r="AF844" s="467">
        <v>0</v>
      </c>
      <c r="AG844" s="468">
        <v>0</v>
      </c>
      <c r="AH844" s="218">
        <v>0</v>
      </c>
      <c r="AI844" s="470">
        <v>0</v>
      </c>
      <c r="AJ844" s="471">
        <v>0</v>
      </c>
      <c r="AK844" s="218">
        <v>0</v>
      </c>
      <c r="AL844" s="470">
        <v>0</v>
      </c>
      <c r="AM844" s="471">
        <v>0</v>
      </c>
      <c r="AN844" s="477">
        <v>0</v>
      </c>
      <c r="AO844" s="473">
        <v>0</v>
      </c>
      <c r="AP844" s="474">
        <v>0</v>
      </c>
      <c r="AQ844" s="352"/>
      <c r="AR844" s="352"/>
      <c r="AS844" s="352"/>
      <c r="AT844" s="352"/>
      <c r="AU844" s="352"/>
      <c r="AV844" s="352"/>
      <c r="AW844" s="352" t="s">
        <v>254</v>
      </c>
    </row>
    <row r="845" spans="2:49" x14ac:dyDescent="0.2">
      <c r="B845" s="460" t="s">
        <v>2613</v>
      </c>
      <c r="C845" s="460">
        <v>2111</v>
      </c>
      <c r="D845" s="460" t="s">
        <v>2364</v>
      </c>
      <c r="E845" s="460" t="s">
        <v>1138</v>
      </c>
      <c r="F845" s="460">
        <v>3</v>
      </c>
      <c r="G845" s="460">
        <v>4</v>
      </c>
      <c r="H845" s="461" t="s">
        <v>746</v>
      </c>
      <c r="I845" s="461" t="s">
        <v>762</v>
      </c>
      <c r="J845" s="461" t="s">
        <v>700</v>
      </c>
      <c r="K845" s="594"/>
      <c r="L845" s="594"/>
      <c r="M845" s="352">
        <v>2000</v>
      </c>
      <c r="N845" s="352" t="s">
        <v>703</v>
      </c>
      <c r="O845" s="460">
        <v>2111</v>
      </c>
      <c r="P845" s="460" t="s">
        <v>1873</v>
      </c>
      <c r="Q845" s="460" t="s">
        <v>2289</v>
      </c>
      <c r="R845" s="460">
        <v>2111</v>
      </c>
      <c r="S845" s="460" t="s">
        <v>1138</v>
      </c>
      <c r="T845" s="462">
        <v>1</v>
      </c>
      <c r="U845" s="460" t="s">
        <v>1138</v>
      </c>
      <c r="V845" s="475">
        <v>0</v>
      </c>
      <c r="W845" s="463" t="s">
        <v>2268</v>
      </c>
      <c r="X845" s="463" t="s">
        <v>2268</v>
      </c>
      <c r="Y845" s="463" t="s">
        <v>2290</v>
      </c>
      <c r="Z845" s="463"/>
      <c r="AA845" s="463"/>
      <c r="AB845" s="464">
        <v>0</v>
      </c>
      <c r="AC845" s="465">
        <v>0</v>
      </c>
      <c r="AD845" s="465">
        <v>0</v>
      </c>
      <c r="AE845" s="476">
        <v>0</v>
      </c>
      <c r="AF845" s="467">
        <v>0</v>
      </c>
      <c r="AG845" s="468">
        <v>0</v>
      </c>
      <c r="AH845" s="218">
        <v>0</v>
      </c>
      <c r="AI845" s="470">
        <v>0</v>
      </c>
      <c r="AJ845" s="471">
        <v>0</v>
      </c>
      <c r="AK845" s="218">
        <v>0</v>
      </c>
      <c r="AL845" s="470">
        <v>0</v>
      </c>
      <c r="AM845" s="471">
        <v>0</v>
      </c>
      <c r="AN845" s="477">
        <v>0</v>
      </c>
      <c r="AO845" s="473">
        <v>0</v>
      </c>
      <c r="AP845" s="474">
        <v>0</v>
      </c>
      <c r="AQ845" s="352"/>
      <c r="AR845" s="352"/>
      <c r="AS845" s="352"/>
      <c r="AT845" s="352"/>
      <c r="AU845" s="352"/>
      <c r="AV845" s="352"/>
      <c r="AW845" s="352" t="s">
        <v>254</v>
      </c>
    </row>
    <row r="846" spans="2:49" x14ac:dyDescent="0.2">
      <c r="B846" s="460" t="s">
        <v>2614</v>
      </c>
      <c r="C846" s="460">
        <v>2111</v>
      </c>
      <c r="D846" s="460" t="s">
        <v>2365</v>
      </c>
      <c r="E846" s="460" t="s">
        <v>1139</v>
      </c>
      <c r="F846" s="460">
        <v>4</v>
      </c>
      <c r="G846" s="460">
        <v>4</v>
      </c>
      <c r="H846" s="461" t="s">
        <v>746</v>
      </c>
      <c r="I846" s="461" t="s">
        <v>762</v>
      </c>
      <c r="J846" s="461" t="s">
        <v>700</v>
      </c>
      <c r="K846" s="594"/>
      <c r="L846" s="594"/>
      <c r="M846" s="352">
        <v>2000</v>
      </c>
      <c r="N846" s="352" t="s">
        <v>703</v>
      </c>
      <c r="O846" s="460">
        <v>2111</v>
      </c>
      <c r="P846" s="460" t="s">
        <v>1873</v>
      </c>
      <c r="Q846" s="460" t="s">
        <v>2289</v>
      </c>
      <c r="R846" s="460">
        <v>2111</v>
      </c>
      <c r="S846" s="460" t="s">
        <v>1139</v>
      </c>
      <c r="T846" s="462">
        <v>1</v>
      </c>
      <c r="U846" s="460" t="s">
        <v>1139</v>
      </c>
      <c r="V846" s="475">
        <v>0</v>
      </c>
      <c r="W846" s="463" t="s">
        <v>2268</v>
      </c>
      <c r="X846" s="463" t="s">
        <v>2268</v>
      </c>
      <c r="Y846" s="463" t="s">
        <v>2290</v>
      </c>
      <c r="Z846" s="463"/>
      <c r="AA846" s="463"/>
      <c r="AB846" s="464">
        <v>0</v>
      </c>
      <c r="AC846" s="465">
        <v>0</v>
      </c>
      <c r="AD846" s="465">
        <v>0</v>
      </c>
      <c r="AE846" s="476">
        <v>0</v>
      </c>
      <c r="AF846" s="467">
        <v>0</v>
      </c>
      <c r="AG846" s="468">
        <v>0</v>
      </c>
      <c r="AH846" s="218">
        <v>0</v>
      </c>
      <c r="AI846" s="470">
        <v>0</v>
      </c>
      <c r="AJ846" s="471">
        <v>0</v>
      </c>
      <c r="AK846" s="218">
        <v>0</v>
      </c>
      <c r="AL846" s="470">
        <v>0</v>
      </c>
      <c r="AM846" s="471">
        <v>0</v>
      </c>
      <c r="AN846" s="477">
        <v>0</v>
      </c>
      <c r="AO846" s="473">
        <v>0</v>
      </c>
      <c r="AP846" s="474">
        <v>0</v>
      </c>
      <c r="AQ846" s="352"/>
      <c r="AR846" s="352"/>
      <c r="AS846" s="352"/>
      <c r="AT846" s="352"/>
      <c r="AU846" s="352"/>
      <c r="AV846" s="352"/>
      <c r="AW846" s="352" t="s">
        <v>254</v>
      </c>
    </row>
    <row r="847" spans="2:49" x14ac:dyDescent="0.2">
      <c r="B847" s="460" t="s">
        <v>2611</v>
      </c>
      <c r="C847" s="460">
        <v>2111</v>
      </c>
      <c r="D847" s="460" t="s">
        <v>2366</v>
      </c>
      <c r="E847" s="460" t="s">
        <v>1136</v>
      </c>
      <c r="F847" s="460">
        <v>1</v>
      </c>
      <c r="G847" s="460">
        <v>4</v>
      </c>
      <c r="H847" s="461" t="s">
        <v>748</v>
      </c>
      <c r="I847" s="461" t="s">
        <v>765</v>
      </c>
      <c r="J847" s="461" t="s">
        <v>700</v>
      </c>
      <c r="K847" s="594"/>
      <c r="L847" s="594"/>
      <c r="M847" s="352">
        <v>2000</v>
      </c>
      <c r="N847" s="352" t="s">
        <v>703</v>
      </c>
      <c r="O847" s="460">
        <v>2111</v>
      </c>
      <c r="P847" s="460" t="s">
        <v>1873</v>
      </c>
      <c r="Q847" s="460" t="s">
        <v>2266</v>
      </c>
      <c r="R847" s="460">
        <v>2111</v>
      </c>
      <c r="S847" s="460" t="s">
        <v>1136</v>
      </c>
      <c r="T847" s="462">
        <v>1</v>
      </c>
      <c r="U847" s="460" t="s">
        <v>1136</v>
      </c>
      <c r="V847" s="475">
        <v>0</v>
      </c>
      <c r="W847" s="463" t="s">
        <v>2268</v>
      </c>
      <c r="X847" s="463" t="s">
        <v>2268</v>
      </c>
      <c r="Y847" s="463" t="s">
        <v>2267</v>
      </c>
      <c r="Z847" s="463"/>
      <c r="AA847" s="463"/>
      <c r="AB847" s="464">
        <v>0</v>
      </c>
      <c r="AC847" s="465">
        <v>0</v>
      </c>
      <c r="AD847" s="465">
        <v>0</v>
      </c>
      <c r="AE847" s="476">
        <v>0</v>
      </c>
      <c r="AF847" s="467">
        <v>0</v>
      </c>
      <c r="AG847" s="468">
        <v>0</v>
      </c>
      <c r="AH847" s="218">
        <v>0</v>
      </c>
      <c r="AI847" s="470">
        <v>0</v>
      </c>
      <c r="AJ847" s="471">
        <v>0</v>
      </c>
      <c r="AK847" s="218">
        <v>0</v>
      </c>
      <c r="AL847" s="470">
        <v>0</v>
      </c>
      <c r="AM847" s="471">
        <v>0</v>
      </c>
      <c r="AN847" s="477">
        <v>6.6318928698245552</v>
      </c>
      <c r="AO847" s="473">
        <v>0.10397087744537047</v>
      </c>
      <c r="AP847" s="474">
        <v>8.148259606454997E-3</v>
      </c>
      <c r="AQ847" s="352"/>
      <c r="AR847" s="352"/>
      <c r="AS847" s="352"/>
      <c r="AT847" s="352"/>
      <c r="AU847" s="352"/>
      <c r="AV847" s="352"/>
      <c r="AW847" s="352" t="s">
        <v>254</v>
      </c>
    </row>
    <row r="848" spans="2:49" x14ac:dyDescent="0.2">
      <c r="B848" s="460" t="s">
        <v>2612</v>
      </c>
      <c r="C848" s="460">
        <v>2111</v>
      </c>
      <c r="D848" s="460" t="s">
        <v>2367</v>
      </c>
      <c r="E848" s="460" t="s">
        <v>1137</v>
      </c>
      <c r="F848" s="460">
        <v>2</v>
      </c>
      <c r="G848" s="460">
        <v>4</v>
      </c>
      <c r="H848" s="461" t="s">
        <v>748</v>
      </c>
      <c r="I848" s="461" t="s">
        <v>765</v>
      </c>
      <c r="J848" s="461" t="s">
        <v>700</v>
      </c>
      <c r="K848" s="594"/>
      <c r="L848" s="594"/>
      <c r="M848" s="352">
        <v>2000</v>
      </c>
      <c r="N848" s="352" t="s">
        <v>703</v>
      </c>
      <c r="O848" s="460">
        <v>2111</v>
      </c>
      <c r="P848" s="460" t="s">
        <v>1873</v>
      </c>
      <c r="Q848" s="460" t="s">
        <v>2266</v>
      </c>
      <c r="R848" s="460">
        <v>2111</v>
      </c>
      <c r="S848" s="460" t="s">
        <v>1137</v>
      </c>
      <c r="T848" s="462">
        <v>1</v>
      </c>
      <c r="U848" s="460" t="s">
        <v>1137</v>
      </c>
      <c r="V848" s="475">
        <v>0</v>
      </c>
      <c r="W848" s="463" t="s">
        <v>2268</v>
      </c>
      <c r="X848" s="463" t="s">
        <v>2268</v>
      </c>
      <c r="Y848" s="463" t="s">
        <v>2267</v>
      </c>
      <c r="Z848" s="463"/>
      <c r="AA848" s="463"/>
      <c r="AB848" s="464">
        <v>0</v>
      </c>
      <c r="AC848" s="465">
        <v>0</v>
      </c>
      <c r="AD848" s="465">
        <v>0</v>
      </c>
      <c r="AE848" s="476">
        <v>0</v>
      </c>
      <c r="AF848" s="467">
        <v>0</v>
      </c>
      <c r="AG848" s="468">
        <v>0</v>
      </c>
      <c r="AH848" s="218">
        <v>0</v>
      </c>
      <c r="AI848" s="470">
        <v>0</v>
      </c>
      <c r="AJ848" s="471">
        <v>0</v>
      </c>
      <c r="AK848" s="218">
        <v>0</v>
      </c>
      <c r="AL848" s="470">
        <v>0</v>
      </c>
      <c r="AM848" s="471">
        <v>0</v>
      </c>
      <c r="AN848" s="477">
        <v>20.566114940099066</v>
      </c>
      <c r="AO848" s="473">
        <v>0.16946623525930871</v>
      </c>
      <c r="AP848" s="474">
        <v>1.9809509906490819E-2</v>
      </c>
      <c r="AQ848" s="352"/>
      <c r="AR848" s="352"/>
      <c r="AS848" s="352"/>
      <c r="AT848" s="352"/>
      <c r="AU848" s="352"/>
      <c r="AV848" s="352"/>
      <c r="AW848" s="352" t="s">
        <v>254</v>
      </c>
    </row>
    <row r="849" spans="2:49" x14ac:dyDescent="0.2">
      <c r="B849" s="460" t="s">
        <v>2613</v>
      </c>
      <c r="C849" s="460">
        <v>2111</v>
      </c>
      <c r="D849" s="460" t="s">
        <v>2368</v>
      </c>
      <c r="E849" s="460" t="s">
        <v>1138</v>
      </c>
      <c r="F849" s="460">
        <v>3</v>
      </c>
      <c r="G849" s="460">
        <v>4</v>
      </c>
      <c r="H849" s="461" t="s">
        <v>748</v>
      </c>
      <c r="I849" s="461" t="s">
        <v>765</v>
      </c>
      <c r="J849" s="461" t="s">
        <v>700</v>
      </c>
      <c r="K849" s="594"/>
      <c r="L849" s="594"/>
      <c r="M849" s="352">
        <v>2000</v>
      </c>
      <c r="N849" s="352" t="s">
        <v>703</v>
      </c>
      <c r="O849" s="460">
        <v>2111</v>
      </c>
      <c r="P849" s="460" t="s">
        <v>1873</v>
      </c>
      <c r="Q849" s="460" t="s">
        <v>2266</v>
      </c>
      <c r="R849" s="460">
        <v>2111</v>
      </c>
      <c r="S849" s="460" t="s">
        <v>1138</v>
      </c>
      <c r="T849" s="462">
        <v>1</v>
      </c>
      <c r="U849" s="460" t="s">
        <v>1138</v>
      </c>
      <c r="V849" s="475">
        <v>0</v>
      </c>
      <c r="W849" s="463" t="s">
        <v>2268</v>
      </c>
      <c r="X849" s="463" t="s">
        <v>2268</v>
      </c>
      <c r="Y849" s="463" t="s">
        <v>2267</v>
      </c>
      <c r="Z849" s="463"/>
      <c r="AA849" s="463"/>
      <c r="AB849" s="464">
        <v>0</v>
      </c>
      <c r="AC849" s="465">
        <v>0</v>
      </c>
      <c r="AD849" s="465">
        <v>0</v>
      </c>
      <c r="AE849" s="476">
        <v>0</v>
      </c>
      <c r="AF849" s="467">
        <v>0</v>
      </c>
      <c r="AG849" s="468">
        <v>0</v>
      </c>
      <c r="AH849" s="218">
        <v>0</v>
      </c>
      <c r="AI849" s="470">
        <v>0</v>
      </c>
      <c r="AJ849" s="471">
        <v>0</v>
      </c>
      <c r="AK849" s="218">
        <v>0</v>
      </c>
      <c r="AL849" s="470">
        <v>0</v>
      </c>
      <c r="AM849" s="471">
        <v>0</v>
      </c>
      <c r="AN849" s="477">
        <v>16.068847358934882</v>
      </c>
      <c r="AO849" s="473">
        <v>0.12399022656180793</v>
      </c>
      <c r="AP849" s="474">
        <v>1.6672240541845729E-2</v>
      </c>
      <c r="AQ849" s="352"/>
      <c r="AR849" s="352"/>
      <c r="AS849" s="352"/>
      <c r="AT849" s="352"/>
      <c r="AU849" s="352"/>
      <c r="AV849" s="352"/>
      <c r="AW849" s="352" t="s">
        <v>254</v>
      </c>
    </row>
    <row r="850" spans="2:49" x14ac:dyDescent="0.2">
      <c r="B850" s="460" t="s">
        <v>2614</v>
      </c>
      <c r="C850" s="460">
        <v>2111</v>
      </c>
      <c r="D850" s="460" t="s">
        <v>2369</v>
      </c>
      <c r="E850" s="460" t="s">
        <v>1139</v>
      </c>
      <c r="F850" s="460">
        <v>4</v>
      </c>
      <c r="G850" s="460">
        <v>4</v>
      </c>
      <c r="H850" s="461" t="s">
        <v>748</v>
      </c>
      <c r="I850" s="461" t="s">
        <v>765</v>
      </c>
      <c r="J850" s="461" t="s">
        <v>700</v>
      </c>
      <c r="K850" s="594"/>
      <c r="L850" s="594"/>
      <c r="M850" s="352">
        <v>2000</v>
      </c>
      <c r="N850" s="352" t="s">
        <v>703</v>
      </c>
      <c r="O850" s="460">
        <v>2111</v>
      </c>
      <c r="P850" s="460" t="s">
        <v>1873</v>
      </c>
      <c r="Q850" s="460" t="s">
        <v>2266</v>
      </c>
      <c r="R850" s="460">
        <v>2111</v>
      </c>
      <c r="S850" s="460" t="s">
        <v>1139</v>
      </c>
      <c r="T850" s="462">
        <v>1</v>
      </c>
      <c r="U850" s="460" t="s">
        <v>1139</v>
      </c>
      <c r="V850" s="475">
        <v>0</v>
      </c>
      <c r="W850" s="463" t="s">
        <v>2268</v>
      </c>
      <c r="X850" s="463" t="s">
        <v>2268</v>
      </c>
      <c r="Y850" s="463" t="s">
        <v>2267</v>
      </c>
      <c r="Z850" s="463"/>
      <c r="AA850" s="463"/>
      <c r="AB850" s="464">
        <v>0</v>
      </c>
      <c r="AC850" s="465">
        <v>0</v>
      </c>
      <c r="AD850" s="465">
        <v>0</v>
      </c>
      <c r="AE850" s="476">
        <v>0</v>
      </c>
      <c r="AF850" s="467">
        <v>0</v>
      </c>
      <c r="AG850" s="468">
        <v>0</v>
      </c>
      <c r="AH850" s="218">
        <v>0</v>
      </c>
      <c r="AI850" s="470">
        <v>0</v>
      </c>
      <c r="AJ850" s="471">
        <v>0</v>
      </c>
      <c r="AK850" s="218">
        <v>0</v>
      </c>
      <c r="AL850" s="470">
        <v>0</v>
      </c>
      <c r="AM850" s="471">
        <v>0</v>
      </c>
      <c r="AN850" s="477">
        <v>0</v>
      </c>
      <c r="AO850" s="473">
        <v>0</v>
      </c>
      <c r="AP850" s="474">
        <v>0</v>
      </c>
      <c r="AQ850" s="352"/>
      <c r="AR850" s="352"/>
      <c r="AS850" s="352"/>
      <c r="AT850" s="352"/>
      <c r="AU850" s="352"/>
      <c r="AV850" s="352"/>
      <c r="AW850" s="352" t="s">
        <v>254</v>
      </c>
    </row>
    <row r="851" spans="2:49" x14ac:dyDescent="0.2">
      <c r="B851" s="460" t="s">
        <v>2611</v>
      </c>
      <c r="C851" s="460">
        <v>2111</v>
      </c>
      <c r="D851" s="460" t="s">
        <v>2370</v>
      </c>
      <c r="E851" s="460" t="s">
        <v>1136</v>
      </c>
      <c r="F851" s="460">
        <v>1</v>
      </c>
      <c r="G851" s="460">
        <v>4</v>
      </c>
      <c r="H851" s="461" t="s">
        <v>752</v>
      </c>
      <c r="I851" s="461" t="s">
        <v>964</v>
      </c>
      <c r="J851" s="461" t="s">
        <v>752</v>
      </c>
      <c r="K851" s="594"/>
      <c r="L851" s="594"/>
      <c r="M851" s="352">
        <v>2000</v>
      </c>
      <c r="N851" s="352" t="s">
        <v>703</v>
      </c>
      <c r="O851" s="460">
        <v>2111</v>
      </c>
      <c r="P851" s="460" t="s">
        <v>1873</v>
      </c>
      <c r="Q851" s="460" t="s">
        <v>2266</v>
      </c>
      <c r="R851" s="460">
        <v>2111</v>
      </c>
      <c r="S851" s="460" t="s">
        <v>1136</v>
      </c>
      <c r="T851" s="462">
        <v>1</v>
      </c>
      <c r="U851" s="460" t="s">
        <v>1136</v>
      </c>
      <c r="V851" s="475">
        <v>0</v>
      </c>
      <c r="W851" s="463" t="s">
        <v>2267</v>
      </c>
      <c r="X851" s="463" t="s">
        <v>2267</v>
      </c>
      <c r="Y851" s="463" t="s">
        <v>2267</v>
      </c>
      <c r="Z851" s="463"/>
      <c r="AA851" s="463"/>
      <c r="AB851" s="464">
        <v>2.6360426846847114</v>
      </c>
      <c r="AC851" s="465">
        <v>4.1326311550833293E-2</v>
      </c>
      <c r="AD851" s="465">
        <v>8.5365169516482466E-4</v>
      </c>
      <c r="AE851" s="476">
        <v>2.6360426846847114</v>
      </c>
      <c r="AF851" s="467">
        <v>4.1326311550833293E-2</v>
      </c>
      <c r="AG851" s="468">
        <v>8.5365169516482466E-4</v>
      </c>
      <c r="AH851" s="218">
        <v>2.6360426846847114</v>
      </c>
      <c r="AI851" s="470">
        <v>4.1326311550833293E-2</v>
      </c>
      <c r="AJ851" s="471">
        <v>7.2068014457536374E-4</v>
      </c>
      <c r="AK851" s="218">
        <v>2.6360426846847114</v>
      </c>
      <c r="AL851" s="470">
        <v>4.1326311550833293E-2</v>
      </c>
      <c r="AM851" s="471">
        <v>7.2068014457536374E-4</v>
      </c>
      <c r="AN851" s="477">
        <v>2.6360426846847114</v>
      </c>
      <c r="AO851" s="473">
        <v>4.1326311550833293E-2</v>
      </c>
      <c r="AP851" s="474">
        <v>7.2068014457536374E-4</v>
      </c>
      <c r="AQ851" s="352"/>
      <c r="AR851" s="352"/>
      <c r="AS851" s="352"/>
      <c r="AT851" s="352"/>
      <c r="AU851" s="352"/>
      <c r="AV851" s="352"/>
      <c r="AW851" s="352" t="s">
        <v>254</v>
      </c>
    </row>
    <row r="852" spans="2:49" x14ac:dyDescent="0.2">
      <c r="B852" s="460" t="s">
        <v>2612</v>
      </c>
      <c r="C852" s="460">
        <v>2111</v>
      </c>
      <c r="D852" s="460" t="s">
        <v>2371</v>
      </c>
      <c r="E852" s="460" t="s">
        <v>1137</v>
      </c>
      <c r="F852" s="460">
        <v>2</v>
      </c>
      <c r="G852" s="460">
        <v>4</v>
      </c>
      <c r="H852" s="461" t="s">
        <v>752</v>
      </c>
      <c r="I852" s="461" t="s">
        <v>964</v>
      </c>
      <c r="J852" s="461" t="s">
        <v>752</v>
      </c>
      <c r="K852" s="594"/>
      <c r="L852" s="594"/>
      <c r="M852" s="352">
        <v>2000</v>
      </c>
      <c r="N852" s="352" t="s">
        <v>703</v>
      </c>
      <c r="O852" s="460">
        <v>2111</v>
      </c>
      <c r="P852" s="460" t="s">
        <v>1873</v>
      </c>
      <c r="Q852" s="460" t="s">
        <v>2266</v>
      </c>
      <c r="R852" s="460">
        <v>2111</v>
      </c>
      <c r="S852" s="460" t="s">
        <v>1137</v>
      </c>
      <c r="T852" s="462">
        <v>1</v>
      </c>
      <c r="U852" s="460" t="s">
        <v>1137</v>
      </c>
      <c r="V852" s="475">
        <v>0</v>
      </c>
      <c r="W852" s="463" t="s">
        <v>2267</v>
      </c>
      <c r="X852" s="463" t="s">
        <v>2267</v>
      </c>
      <c r="Y852" s="463" t="s">
        <v>2267</v>
      </c>
      <c r="Z852" s="463"/>
      <c r="AA852" s="463"/>
      <c r="AB852" s="464">
        <v>1.1804621599722944</v>
      </c>
      <c r="AC852" s="465">
        <v>9.7270913198354864E-3</v>
      </c>
      <c r="AD852" s="465">
        <v>1.1550697142846241E-4</v>
      </c>
      <c r="AE852" s="476">
        <v>1.1804621599722944</v>
      </c>
      <c r="AF852" s="467">
        <v>9.7270913198354864E-3</v>
      </c>
      <c r="AG852" s="468">
        <v>1.1550697142846241E-4</v>
      </c>
      <c r="AH852" s="218">
        <v>1.1804621599722944</v>
      </c>
      <c r="AI852" s="470">
        <v>9.7270913198354864E-3</v>
      </c>
      <c r="AJ852" s="471">
        <v>1.1451382637053878E-4</v>
      </c>
      <c r="AK852" s="218">
        <v>1.1804621599722944</v>
      </c>
      <c r="AL852" s="470">
        <v>9.7270913198354864E-3</v>
      </c>
      <c r="AM852" s="471">
        <v>1.1451382637053878E-4</v>
      </c>
      <c r="AN852" s="477">
        <v>1.1804621599722944</v>
      </c>
      <c r="AO852" s="473">
        <v>9.7270913198354864E-3</v>
      </c>
      <c r="AP852" s="474">
        <v>1.1451382637053878E-4</v>
      </c>
      <c r="AQ852" s="352"/>
      <c r="AR852" s="352"/>
      <c r="AS852" s="352"/>
      <c r="AT852" s="352"/>
      <c r="AU852" s="352"/>
      <c r="AV852" s="352"/>
      <c r="AW852" s="352" t="s">
        <v>254</v>
      </c>
    </row>
    <row r="853" spans="2:49" x14ac:dyDescent="0.2">
      <c r="B853" s="460" t="s">
        <v>2613</v>
      </c>
      <c r="C853" s="460">
        <v>2111</v>
      </c>
      <c r="D853" s="460" t="s">
        <v>2372</v>
      </c>
      <c r="E853" s="460" t="s">
        <v>1138</v>
      </c>
      <c r="F853" s="460">
        <v>3</v>
      </c>
      <c r="G853" s="460">
        <v>4</v>
      </c>
      <c r="H853" s="461" t="s">
        <v>752</v>
      </c>
      <c r="I853" s="461" t="s">
        <v>964</v>
      </c>
      <c r="J853" s="461" t="s">
        <v>752</v>
      </c>
      <c r="K853" s="594"/>
      <c r="L853" s="594"/>
      <c r="M853" s="352">
        <v>2000</v>
      </c>
      <c r="N853" s="352" t="s">
        <v>703</v>
      </c>
      <c r="O853" s="460">
        <v>2111</v>
      </c>
      <c r="P853" s="460" t="s">
        <v>1873</v>
      </c>
      <c r="Q853" s="460" t="s">
        <v>2266</v>
      </c>
      <c r="R853" s="460">
        <v>2111</v>
      </c>
      <c r="S853" s="460" t="s">
        <v>1138</v>
      </c>
      <c r="T853" s="462">
        <v>1</v>
      </c>
      <c r="U853" s="460" t="s">
        <v>1138</v>
      </c>
      <c r="V853" s="475">
        <v>0</v>
      </c>
      <c r="W853" s="463" t="s">
        <v>2267</v>
      </c>
      <c r="X853" s="463" t="s">
        <v>2267</v>
      </c>
      <c r="Y853" s="463" t="s">
        <v>2267</v>
      </c>
      <c r="Z853" s="463"/>
      <c r="AA853" s="463"/>
      <c r="AB853" s="464">
        <v>5.1946174241385954</v>
      </c>
      <c r="AC853" s="465">
        <v>4.0082637972332587E-2</v>
      </c>
      <c r="AD853" s="465">
        <v>8.9723221620931876E-4</v>
      </c>
      <c r="AE853" s="476">
        <v>5.1946174241385954</v>
      </c>
      <c r="AF853" s="467">
        <v>4.0082637972332587E-2</v>
      </c>
      <c r="AG853" s="468">
        <v>8.9723221620931876E-4</v>
      </c>
      <c r="AH853" s="218">
        <v>5.1946174241385954</v>
      </c>
      <c r="AI853" s="470">
        <v>4.0082637972332587E-2</v>
      </c>
      <c r="AJ853" s="471">
        <v>8.6180340999180035E-4</v>
      </c>
      <c r="AK853" s="218">
        <v>5.1946174241385954</v>
      </c>
      <c r="AL853" s="470">
        <v>4.0082637972332587E-2</v>
      </c>
      <c r="AM853" s="471">
        <v>8.6180340999180035E-4</v>
      </c>
      <c r="AN853" s="477">
        <v>5.1946174241385954</v>
      </c>
      <c r="AO853" s="473">
        <v>4.0082637972332587E-2</v>
      </c>
      <c r="AP853" s="474">
        <v>8.6180340999180035E-4</v>
      </c>
      <c r="AQ853" s="352"/>
      <c r="AR853" s="352"/>
      <c r="AS853" s="352"/>
      <c r="AT853" s="352"/>
      <c r="AU853" s="352"/>
      <c r="AV853" s="352"/>
      <c r="AW853" s="352" t="s">
        <v>254</v>
      </c>
    </row>
    <row r="854" spans="2:49" x14ac:dyDescent="0.2">
      <c r="B854" s="460" t="s">
        <v>2614</v>
      </c>
      <c r="C854" s="460">
        <v>2111</v>
      </c>
      <c r="D854" s="460" t="s">
        <v>2373</v>
      </c>
      <c r="E854" s="460" t="s">
        <v>1139</v>
      </c>
      <c r="F854" s="460">
        <v>4</v>
      </c>
      <c r="G854" s="460">
        <v>4</v>
      </c>
      <c r="H854" s="461" t="s">
        <v>752</v>
      </c>
      <c r="I854" s="461" t="s">
        <v>964</v>
      </c>
      <c r="J854" s="461" t="s">
        <v>752</v>
      </c>
      <c r="K854" s="594"/>
      <c r="L854" s="594"/>
      <c r="M854" s="352">
        <v>2000</v>
      </c>
      <c r="N854" s="352" t="s">
        <v>703</v>
      </c>
      <c r="O854" s="460">
        <v>2111</v>
      </c>
      <c r="P854" s="460" t="s">
        <v>1873</v>
      </c>
      <c r="Q854" s="460" t="s">
        <v>2266</v>
      </c>
      <c r="R854" s="460">
        <v>2111</v>
      </c>
      <c r="S854" s="460" t="s">
        <v>1139</v>
      </c>
      <c r="T854" s="462">
        <v>1</v>
      </c>
      <c r="U854" s="460" t="s">
        <v>1139</v>
      </c>
      <c r="V854" s="475">
        <v>0</v>
      </c>
      <c r="W854" s="463" t="s">
        <v>2267</v>
      </c>
      <c r="X854" s="463" t="s">
        <v>2267</v>
      </c>
      <c r="Y854" s="463" t="s">
        <v>2267</v>
      </c>
      <c r="Z854" s="463"/>
      <c r="AA854" s="463"/>
      <c r="AB854" s="464">
        <v>73.35811879739417</v>
      </c>
      <c r="AC854" s="465">
        <v>0.3739186013576461</v>
      </c>
      <c r="AD854" s="465">
        <v>2.9245881439522916E-3</v>
      </c>
      <c r="AE854" s="476">
        <v>73.35811879739417</v>
      </c>
      <c r="AF854" s="467">
        <v>0.3739186013576461</v>
      </c>
      <c r="AG854" s="468">
        <v>2.9245881439522916E-3</v>
      </c>
      <c r="AH854" s="218">
        <v>73.35811879739417</v>
      </c>
      <c r="AI854" s="470">
        <v>0.3739186013576461</v>
      </c>
      <c r="AJ854" s="471">
        <v>2.7184942724836113E-3</v>
      </c>
      <c r="AK854" s="218">
        <v>73.35811879739417</v>
      </c>
      <c r="AL854" s="470">
        <v>0.3739186013576461</v>
      </c>
      <c r="AM854" s="471">
        <v>2.7184942724836113E-3</v>
      </c>
      <c r="AN854" s="477">
        <v>73.35811879739417</v>
      </c>
      <c r="AO854" s="473">
        <v>0.3739186013576461</v>
      </c>
      <c r="AP854" s="474">
        <v>2.7184942724836113E-3</v>
      </c>
      <c r="AQ854" s="352"/>
      <c r="AR854" s="352"/>
      <c r="AS854" s="352"/>
      <c r="AT854" s="352"/>
      <c r="AU854" s="352"/>
      <c r="AV854" s="352"/>
      <c r="AW854" s="352" t="s">
        <v>254</v>
      </c>
    </row>
    <row r="855" spans="2:49" x14ac:dyDescent="0.2">
      <c r="B855" s="460" t="s">
        <v>2615</v>
      </c>
      <c r="C855" s="460">
        <v>2111</v>
      </c>
      <c r="D855" s="460" t="s">
        <v>2375</v>
      </c>
      <c r="E855" s="460" t="s">
        <v>2376</v>
      </c>
      <c r="F855" s="460">
        <v>1</v>
      </c>
      <c r="G855" s="460">
        <v>5</v>
      </c>
      <c r="H855" s="461" t="s">
        <v>754</v>
      </c>
      <c r="I855" s="461" t="s">
        <v>1991</v>
      </c>
      <c r="J855" s="461" t="s">
        <v>754</v>
      </c>
      <c r="K855" s="594"/>
      <c r="L855" s="594"/>
      <c r="M855" s="352">
        <v>2000</v>
      </c>
      <c r="N855" s="352" t="s">
        <v>703</v>
      </c>
      <c r="O855" s="460">
        <v>2111</v>
      </c>
      <c r="P855" s="460" t="s">
        <v>1873</v>
      </c>
      <c r="Q855" s="460" t="s">
        <v>2377</v>
      </c>
      <c r="R855" s="460">
        <v>2111</v>
      </c>
      <c r="S855" s="460" t="s">
        <v>2376</v>
      </c>
      <c r="T855" s="462">
        <v>1</v>
      </c>
      <c r="U855" s="460" t="s">
        <v>2376</v>
      </c>
      <c r="V855" s="475">
        <v>0</v>
      </c>
      <c r="W855" s="463" t="s">
        <v>2278</v>
      </c>
      <c r="X855" s="463" t="s">
        <v>2278</v>
      </c>
      <c r="Y855" s="463" t="s">
        <v>2278</v>
      </c>
      <c r="Z855" s="463"/>
      <c r="AA855" s="463"/>
      <c r="AB855" s="464">
        <v>301.87791739572447</v>
      </c>
      <c r="AC855" s="465">
        <v>1</v>
      </c>
      <c r="AD855" s="465">
        <v>5.0748842716036985E-4</v>
      </c>
      <c r="AE855" s="476">
        <v>301.87791739572447</v>
      </c>
      <c r="AF855" s="467">
        <v>1</v>
      </c>
      <c r="AG855" s="468">
        <v>5.0748842716036985E-4</v>
      </c>
      <c r="AH855" s="218">
        <v>301.87791739572447</v>
      </c>
      <c r="AI855" s="470">
        <v>1</v>
      </c>
      <c r="AJ855" s="471">
        <v>5.0748842716036985E-4</v>
      </c>
      <c r="AK855" s="218">
        <v>301.87791739572447</v>
      </c>
      <c r="AL855" s="470">
        <v>1</v>
      </c>
      <c r="AM855" s="471">
        <v>5.0748842716036985E-4</v>
      </c>
      <c r="AN855" s="477">
        <v>301.87791739572447</v>
      </c>
      <c r="AO855" s="473">
        <v>1</v>
      </c>
      <c r="AP855" s="474">
        <v>5.0748842716036985E-4</v>
      </c>
      <c r="AQ855" s="352"/>
      <c r="AR855" s="352"/>
      <c r="AS855" s="352"/>
      <c r="AT855" s="352"/>
      <c r="AU855" s="352"/>
      <c r="AV855" s="352"/>
      <c r="AW855" s="352" t="s">
        <v>127</v>
      </c>
    </row>
    <row r="856" spans="2:49" x14ac:dyDescent="0.2">
      <c r="B856" s="460" t="s">
        <v>2616</v>
      </c>
      <c r="C856" s="460">
        <v>2111</v>
      </c>
      <c r="D856" s="460" t="s">
        <v>2379</v>
      </c>
      <c r="E856" s="460" t="s">
        <v>2380</v>
      </c>
      <c r="F856" s="460">
        <v>2</v>
      </c>
      <c r="G856" s="460">
        <v>5</v>
      </c>
      <c r="H856" s="461" t="s">
        <v>754</v>
      </c>
      <c r="I856" s="461" t="s">
        <v>1991</v>
      </c>
      <c r="J856" s="461" t="s">
        <v>754</v>
      </c>
      <c r="K856" s="594"/>
      <c r="L856" s="594"/>
      <c r="M856" s="352">
        <v>2000</v>
      </c>
      <c r="N856" s="352" t="s">
        <v>703</v>
      </c>
      <c r="O856" s="460">
        <v>2111</v>
      </c>
      <c r="P856" s="460" t="s">
        <v>1873</v>
      </c>
      <c r="Q856" s="460" t="s">
        <v>2377</v>
      </c>
      <c r="R856" s="460">
        <v>2111</v>
      </c>
      <c r="S856" s="460" t="s">
        <v>2380</v>
      </c>
      <c r="T856" s="462">
        <v>1</v>
      </c>
      <c r="U856" s="460" t="s">
        <v>2380</v>
      </c>
      <c r="V856" s="475">
        <v>0</v>
      </c>
      <c r="W856" s="463" t="s">
        <v>2278</v>
      </c>
      <c r="X856" s="463" t="s">
        <v>2278</v>
      </c>
      <c r="Y856" s="463" t="s">
        <v>2278</v>
      </c>
      <c r="Z856" s="463"/>
      <c r="AA856" s="463"/>
      <c r="AB856" s="464">
        <v>192.86832575612041</v>
      </c>
      <c r="AC856" s="465">
        <v>1</v>
      </c>
      <c r="AD856" s="465">
        <v>3.7979702072769844E-4</v>
      </c>
      <c r="AE856" s="476">
        <v>192.86832575612041</v>
      </c>
      <c r="AF856" s="467">
        <v>1</v>
      </c>
      <c r="AG856" s="468">
        <v>3.7979702072769844E-4</v>
      </c>
      <c r="AH856" s="218">
        <v>192.86832575612041</v>
      </c>
      <c r="AI856" s="470">
        <v>1</v>
      </c>
      <c r="AJ856" s="471">
        <v>3.7979702072769844E-4</v>
      </c>
      <c r="AK856" s="218">
        <v>192.86832575612041</v>
      </c>
      <c r="AL856" s="470">
        <v>1</v>
      </c>
      <c r="AM856" s="471">
        <v>3.7979702072769844E-4</v>
      </c>
      <c r="AN856" s="477">
        <v>192.86832575612041</v>
      </c>
      <c r="AO856" s="473">
        <v>1</v>
      </c>
      <c r="AP856" s="474">
        <v>3.7979702072769844E-4</v>
      </c>
      <c r="AQ856" s="352"/>
      <c r="AR856" s="352"/>
      <c r="AS856" s="352"/>
      <c r="AT856" s="352"/>
      <c r="AU856" s="352"/>
      <c r="AV856" s="352"/>
      <c r="AW856" s="352" t="s">
        <v>127</v>
      </c>
    </row>
    <row r="857" spans="2:49" x14ac:dyDescent="0.2">
      <c r="B857" s="460" t="s">
        <v>2617</v>
      </c>
      <c r="C857" s="460">
        <v>2111</v>
      </c>
      <c r="D857" s="460" t="s">
        <v>2382</v>
      </c>
      <c r="E857" s="460" t="s">
        <v>2383</v>
      </c>
      <c r="F857" s="460">
        <v>3</v>
      </c>
      <c r="G857" s="460">
        <v>5</v>
      </c>
      <c r="H857" s="461" t="s">
        <v>754</v>
      </c>
      <c r="I857" s="461" t="s">
        <v>1991</v>
      </c>
      <c r="J857" s="461" t="s">
        <v>754</v>
      </c>
      <c r="K857" s="594"/>
      <c r="L857" s="594"/>
      <c r="M857" s="352">
        <v>2000</v>
      </c>
      <c r="N857" s="352" t="s">
        <v>703</v>
      </c>
      <c r="O857" s="460">
        <v>2111</v>
      </c>
      <c r="P857" s="460" t="s">
        <v>1873</v>
      </c>
      <c r="Q857" s="460" t="s">
        <v>2377</v>
      </c>
      <c r="R857" s="460">
        <v>2111</v>
      </c>
      <c r="S857" s="460" t="s">
        <v>2383</v>
      </c>
      <c r="T857" s="462">
        <v>1</v>
      </c>
      <c r="U857" s="460" t="s">
        <v>2383</v>
      </c>
      <c r="V857" s="475">
        <v>0</v>
      </c>
      <c r="W857" s="463" t="s">
        <v>2278</v>
      </c>
      <c r="X857" s="463" t="s">
        <v>2278</v>
      </c>
      <c r="Y857" s="463" t="s">
        <v>2278</v>
      </c>
      <c r="Z857" s="463"/>
      <c r="AA857" s="463"/>
      <c r="AB857" s="464">
        <v>31.263040764487677</v>
      </c>
      <c r="AC857" s="465">
        <v>1</v>
      </c>
      <c r="AD857" s="465">
        <v>2.7788648135324885E-4</v>
      </c>
      <c r="AE857" s="476">
        <v>31.263040764487677</v>
      </c>
      <c r="AF857" s="467">
        <v>1</v>
      </c>
      <c r="AG857" s="468">
        <v>2.7788648135324885E-4</v>
      </c>
      <c r="AH857" s="218">
        <v>31.263040764487677</v>
      </c>
      <c r="AI857" s="470">
        <v>1</v>
      </c>
      <c r="AJ857" s="471">
        <v>2.7788648135324885E-4</v>
      </c>
      <c r="AK857" s="218">
        <v>31.263040764487677</v>
      </c>
      <c r="AL857" s="470">
        <v>1</v>
      </c>
      <c r="AM857" s="471">
        <v>2.7788648135324885E-4</v>
      </c>
      <c r="AN857" s="477">
        <v>31.263040764487677</v>
      </c>
      <c r="AO857" s="473">
        <v>1</v>
      </c>
      <c r="AP857" s="474">
        <v>2.7788648135324885E-4</v>
      </c>
      <c r="AQ857" s="352"/>
      <c r="AR857" s="352"/>
      <c r="AS857" s="352"/>
      <c r="AT857" s="352"/>
      <c r="AU857" s="352"/>
      <c r="AV857" s="352"/>
      <c r="AW857" s="352" t="s">
        <v>127</v>
      </c>
    </row>
    <row r="858" spans="2:49" x14ac:dyDescent="0.2">
      <c r="B858" s="460" t="s">
        <v>2618</v>
      </c>
      <c r="C858" s="460">
        <v>2111</v>
      </c>
      <c r="D858" s="460" t="s">
        <v>2385</v>
      </c>
      <c r="E858" s="460" t="s">
        <v>2386</v>
      </c>
      <c r="F858" s="460">
        <v>4</v>
      </c>
      <c r="G858" s="460">
        <v>5</v>
      </c>
      <c r="H858" s="461" t="s">
        <v>754</v>
      </c>
      <c r="I858" s="461" t="s">
        <v>1991</v>
      </c>
      <c r="J858" s="461" t="s">
        <v>754</v>
      </c>
      <c r="K858" s="594"/>
      <c r="L858" s="594"/>
      <c r="M858" s="352">
        <v>2000</v>
      </c>
      <c r="N858" s="352" t="s">
        <v>703</v>
      </c>
      <c r="O858" s="460">
        <v>2111</v>
      </c>
      <c r="P858" s="460" t="s">
        <v>1873</v>
      </c>
      <c r="Q858" s="460" t="s">
        <v>2377</v>
      </c>
      <c r="R858" s="460">
        <v>2111</v>
      </c>
      <c r="S858" s="460" t="s">
        <v>2386</v>
      </c>
      <c r="T858" s="462">
        <v>1</v>
      </c>
      <c r="U858" s="460" t="s">
        <v>2386</v>
      </c>
      <c r="V858" s="475">
        <v>0</v>
      </c>
      <c r="W858" s="463" t="s">
        <v>2278</v>
      </c>
      <c r="X858" s="463" t="s">
        <v>2278</v>
      </c>
      <c r="Y858" s="463" t="s">
        <v>2278</v>
      </c>
      <c r="Z858" s="463"/>
      <c r="AA858" s="463"/>
      <c r="AB858" s="464">
        <v>55.619330410830571</v>
      </c>
      <c r="AC858" s="465">
        <v>1</v>
      </c>
      <c r="AD858" s="465">
        <v>1.0317795978809958E-3</v>
      </c>
      <c r="AE858" s="476">
        <v>55.619330410830571</v>
      </c>
      <c r="AF858" s="467">
        <v>1</v>
      </c>
      <c r="AG858" s="468">
        <v>1.0317795978809958E-3</v>
      </c>
      <c r="AH858" s="218">
        <v>55.619330410830571</v>
      </c>
      <c r="AI858" s="470">
        <v>1</v>
      </c>
      <c r="AJ858" s="471">
        <v>1.0317795978809958E-3</v>
      </c>
      <c r="AK858" s="218">
        <v>55.619330410830571</v>
      </c>
      <c r="AL858" s="470">
        <v>1</v>
      </c>
      <c r="AM858" s="471">
        <v>1.0317795978809958E-3</v>
      </c>
      <c r="AN858" s="477">
        <v>55.619330410830571</v>
      </c>
      <c r="AO858" s="473">
        <v>1</v>
      </c>
      <c r="AP858" s="474">
        <v>1.0317795978809958E-3</v>
      </c>
      <c r="AQ858" s="352"/>
      <c r="AR858" s="352"/>
      <c r="AS858" s="352"/>
      <c r="AT858" s="352"/>
      <c r="AU858" s="352"/>
      <c r="AV858" s="352"/>
      <c r="AW858" s="352" t="s">
        <v>127</v>
      </c>
    </row>
    <row r="859" spans="2:49" x14ac:dyDescent="0.2">
      <c r="B859" s="460" t="s">
        <v>2619</v>
      </c>
      <c r="C859" s="460">
        <v>2111</v>
      </c>
      <c r="D859" s="460" t="s">
        <v>2388</v>
      </c>
      <c r="E859" s="460" t="s">
        <v>2389</v>
      </c>
      <c r="F859" s="460">
        <v>1</v>
      </c>
      <c r="G859" s="460">
        <v>6</v>
      </c>
      <c r="H859" s="461" t="s">
        <v>754</v>
      </c>
      <c r="I859" s="461" t="s">
        <v>1991</v>
      </c>
      <c r="J859" s="461" t="s">
        <v>754</v>
      </c>
      <c r="K859" s="594"/>
      <c r="L859" s="594"/>
      <c r="M859" s="352">
        <v>2000</v>
      </c>
      <c r="N859" s="352" t="s">
        <v>703</v>
      </c>
      <c r="O859" s="460">
        <v>2111</v>
      </c>
      <c r="P859" s="460" t="s">
        <v>1873</v>
      </c>
      <c r="Q859" s="460" t="s">
        <v>2377</v>
      </c>
      <c r="R859" s="460">
        <v>2111</v>
      </c>
      <c r="S859" s="460" t="s">
        <v>2389</v>
      </c>
      <c r="T859" s="462">
        <v>1</v>
      </c>
      <c r="U859" s="460" t="s">
        <v>2389</v>
      </c>
      <c r="V859" s="475">
        <v>0</v>
      </c>
      <c r="W859" s="463" t="s">
        <v>2278</v>
      </c>
      <c r="X859" s="463" t="s">
        <v>2278</v>
      </c>
      <c r="Y859" s="463" t="s">
        <v>2278</v>
      </c>
      <c r="Z859" s="463"/>
      <c r="AA859" s="463"/>
      <c r="AB859" s="464">
        <v>3237.3640015237834</v>
      </c>
      <c r="AC859" s="465">
        <v>1</v>
      </c>
      <c r="AD859" s="465">
        <v>0.10822989264645461</v>
      </c>
      <c r="AE859" s="476">
        <v>3237.3640015237834</v>
      </c>
      <c r="AF859" s="467">
        <v>1</v>
      </c>
      <c r="AG859" s="468">
        <v>0.10822989264645461</v>
      </c>
      <c r="AH859" s="218">
        <v>3237.3640015237834</v>
      </c>
      <c r="AI859" s="470">
        <v>1</v>
      </c>
      <c r="AJ859" s="471">
        <v>0.10822989264645461</v>
      </c>
      <c r="AK859" s="218">
        <v>3237.3640015237834</v>
      </c>
      <c r="AL859" s="470">
        <v>1</v>
      </c>
      <c r="AM859" s="471">
        <v>0.10822989264645461</v>
      </c>
      <c r="AN859" s="477">
        <v>3237.3640015237834</v>
      </c>
      <c r="AO859" s="473">
        <v>1</v>
      </c>
      <c r="AP859" s="474">
        <v>0.10822989264645461</v>
      </c>
      <c r="AQ859" s="352"/>
      <c r="AR859" s="352"/>
      <c r="AS859" s="352"/>
      <c r="AT859" s="352"/>
      <c r="AU859" s="352"/>
      <c r="AV859" s="352"/>
      <c r="AW859" s="352" t="s">
        <v>127</v>
      </c>
    </row>
    <row r="860" spans="2:49" x14ac:dyDescent="0.2">
      <c r="B860" s="460" t="s">
        <v>2620</v>
      </c>
      <c r="C860" s="460">
        <v>2111</v>
      </c>
      <c r="D860" s="460" t="s">
        <v>2391</v>
      </c>
      <c r="E860" s="460" t="s">
        <v>2392</v>
      </c>
      <c r="F860" s="460">
        <v>2</v>
      </c>
      <c r="G860" s="460">
        <v>6</v>
      </c>
      <c r="H860" s="461" t="s">
        <v>754</v>
      </c>
      <c r="I860" s="461" t="s">
        <v>1991</v>
      </c>
      <c r="J860" s="461" t="s">
        <v>754</v>
      </c>
      <c r="K860" s="594"/>
      <c r="L860" s="594"/>
      <c r="M860" s="352">
        <v>2000</v>
      </c>
      <c r="N860" s="352" t="s">
        <v>703</v>
      </c>
      <c r="O860" s="460">
        <v>2111</v>
      </c>
      <c r="P860" s="460" t="s">
        <v>1873</v>
      </c>
      <c r="Q860" s="460" t="s">
        <v>2377</v>
      </c>
      <c r="R860" s="460">
        <v>2111</v>
      </c>
      <c r="S860" s="460" t="s">
        <v>2392</v>
      </c>
      <c r="T860" s="462">
        <v>1</v>
      </c>
      <c r="U860" s="460" t="s">
        <v>2392</v>
      </c>
      <c r="V860" s="475">
        <v>0</v>
      </c>
      <c r="W860" s="463" t="s">
        <v>2278</v>
      </c>
      <c r="X860" s="463" t="s">
        <v>2278</v>
      </c>
      <c r="Y860" s="463" t="s">
        <v>2278</v>
      </c>
      <c r="Z860" s="463"/>
      <c r="AA860" s="463"/>
      <c r="AB860" s="464">
        <v>2577.4976527854537</v>
      </c>
      <c r="AC860" s="465">
        <v>1</v>
      </c>
      <c r="AD860" s="465">
        <v>0.11078410708034907</v>
      </c>
      <c r="AE860" s="476">
        <v>2577.4976527854537</v>
      </c>
      <c r="AF860" s="467">
        <v>1</v>
      </c>
      <c r="AG860" s="468">
        <v>0.11078410708034907</v>
      </c>
      <c r="AH860" s="218">
        <v>2577.4976527854537</v>
      </c>
      <c r="AI860" s="470">
        <v>1</v>
      </c>
      <c r="AJ860" s="471">
        <v>0.11078410708034907</v>
      </c>
      <c r="AK860" s="218">
        <v>2577.4976527854537</v>
      </c>
      <c r="AL860" s="470">
        <v>1</v>
      </c>
      <c r="AM860" s="471">
        <v>0.11078410708034907</v>
      </c>
      <c r="AN860" s="477">
        <v>2577.4976527854537</v>
      </c>
      <c r="AO860" s="473">
        <v>1</v>
      </c>
      <c r="AP860" s="474">
        <v>0.11078410708034907</v>
      </c>
      <c r="AQ860" s="352"/>
      <c r="AR860" s="352"/>
      <c r="AS860" s="352"/>
      <c r="AT860" s="352"/>
      <c r="AU860" s="352"/>
      <c r="AV860" s="352"/>
      <c r="AW860" s="352" t="s">
        <v>127</v>
      </c>
    </row>
    <row r="861" spans="2:49" x14ac:dyDescent="0.2">
      <c r="B861" s="460" t="s">
        <v>2621</v>
      </c>
      <c r="C861" s="460">
        <v>2111</v>
      </c>
      <c r="D861" s="460" t="s">
        <v>2394</v>
      </c>
      <c r="E861" s="460" t="s">
        <v>2395</v>
      </c>
      <c r="F861" s="460">
        <v>3</v>
      </c>
      <c r="G861" s="460">
        <v>6</v>
      </c>
      <c r="H861" s="461" t="s">
        <v>754</v>
      </c>
      <c r="I861" s="461" t="s">
        <v>1991</v>
      </c>
      <c r="J861" s="461" t="s">
        <v>754</v>
      </c>
      <c r="K861" s="594"/>
      <c r="L861" s="594"/>
      <c r="M861" s="352">
        <v>2000</v>
      </c>
      <c r="N861" s="352" t="s">
        <v>703</v>
      </c>
      <c r="O861" s="460">
        <v>2111</v>
      </c>
      <c r="P861" s="460" t="s">
        <v>1873</v>
      </c>
      <c r="Q861" s="460" t="s">
        <v>2377</v>
      </c>
      <c r="R861" s="460">
        <v>2111</v>
      </c>
      <c r="S861" s="460" t="s">
        <v>2395</v>
      </c>
      <c r="T861" s="462">
        <v>1</v>
      </c>
      <c r="U861" s="460" t="s">
        <v>2395</v>
      </c>
      <c r="V861" s="475">
        <v>0</v>
      </c>
      <c r="W861" s="463" t="s">
        <v>2278</v>
      </c>
      <c r="X861" s="463" t="s">
        <v>2278</v>
      </c>
      <c r="Y861" s="463" t="s">
        <v>2278</v>
      </c>
      <c r="Z861" s="463"/>
      <c r="AA861" s="463"/>
      <c r="AB861" s="464">
        <v>1201.8698701119713</v>
      </c>
      <c r="AC861" s="465">
        <v>1</v>
      </c>
      <c r="AD861" s="465">
        <v>0.11413315449284618</v>
      </c>
      <c r="AE861" s="476">
        <v>1201.8698701119713</v>
      </c>
      <c r="AF861" s="467">
        <v>1</v>
      </c>
      <c r="AG861" s="468">
        <v>0.11413315449284618</v>
      </c>
      <c r="AH861" s="218">
        <v>1201.8698701119713</v>
      </c>
      <c r="AI861" s="470">
        <v>1</v>
      </c>
      <c r="AJ861" s="471">
        <v>0.11413315449284618</v>
      </c>
      <c r="AK861" s="218">
        <v>1201.8698701119713</v>
      </c>
      <c r="AL861" s="470">
        <v>1</v>
      </c>
      <c r="AM861" s="471">
        <v>0.11413315449284618</v>
      </c>
      <c r="AN861" s="477">
        <v>1201.8698701119713</v>
      </c>
      <c r="AO861" s="473">
        <v>1</v>
      </c>
      <c r="AP861" s="474">
        <v>0.11413315449284618</v>
      </c>
      <c r="AQ861" s="352"/>
      <c r="AR861" s="352"/>
      <c r="AS861" s="352"/>
      <c r="AT861" s="352"/>
      <c r="AU861" s="352"/>
      <c r="AV861" s="352"/>
      <c r="AW861" s="352" t="s">
        <v>127</v>
      </c>
    </row>
    <row r="862" spans="2:49" x14ac:dyDescent="0.2">
      <c r="B862" s="460" t="s">
        <v>2622</v>
      </c>
      <c r="C862" s="460">
        <v>2111</v>
      </c>
      <c r="D862" s="460" t="s">
        <v>2397</v>
      </c>
      <c r="E862" s="460" t="s">
        <v>2398</v>
      </c>
      <c r="F862" s="460">
        <v>4</v>
      </c>
      <c r="G862" s="460">
        <v>6</v>
      </c>
      <c r="H862" s="461" t="s">
        <v>754</v>
      </c>
      <c r="I862" s="461" t="s">
        <v>1991</v>
      </c>
      <c r="J862" s="461" t="s">
        <v>754</v>
      </c>
      <c r="K862" s="594"/>
      <c r="L862" s="594"/>
      <c r="M862" s="352">
        <v>2000</v>
      </c>
      <c r="N862" s="352" t="s">
        <v>703</v>
      </c>
      <c r="O862" s="460">
        <v>2111</v>
      </c>
      <c r="P862" s="460" t="s">
        <v>1873</v>
      </c>
      <c r="Q862" s="460" t="s">
        <v>2377</v>
      </c>
      <c r="R862" s="460">
        <v>2111</v>
      </c>
      <c r="S862" s="460" t="s">
        <v>2398</v>
      </c>
      <c r="T862" s="462">
        <v>1</v>
      </c>
      <c r="U862" s="460" t="s">
        <v>2398</v>
      </c>
      <c r="V862" s="475">
        <v>0</v>
      </c>
      <c r="W862" s="463" t="s">
        <v>2278</v>
      </c>
      <c r="X862" s="463" t="s">
        <v>2278</v>
      </c>
      <c r="Y862" s="463" t="s">
        <v>2278</v>
      </c>
      <c r="Z862" s="463"/>
      <c r="AA862" s="463"/>
      <c r="AB862" s="464">
        <v>2055.9500648880962</v>
      </c>
      <c r="AC862" s="465">
        <v>1</v>
      </c>
      <c r="AD862" s="465">
        <v>0.16311958281837294</v>
      </c>
      <c r="AE862" s="476">
        <v>2055.9500648880962</v>
      </c>
      <c r="AF862" s="467">
        <v>1</v>
      </c>
      <c r="AG862" s="468">
        <v>0.16311958281837294</v>
      </c>
      <c r="AH862" s="218">
        <v>2055.9500648880962</v>
      </c>
      <c r="AI862" s="470">
        <v>1</v>
      </c>
      <c r="AJ862" s="471">
        <v>0.16311958281837294</v>
      </c>
      <c r="AK862" s="218">
        <v>2055.9500648880962</v>
      </c>
      <c r="AL862" s="470">
        <v>1</v>
      </c>
      <c r="AM862" s="471">
        <v>0.16311958281837294</v>
      </c>
      <c r="AN862" s="477">
        <v>2055.9500648880962</v>
      </c>
      <c r="AO862" s="473">
        <v>1</v>
      </c>
      <c r="AP862" s="474">
        <v>0.16311958281837294</v>
      </c>
      <c r="AQ862" s="352"/>
      <c r="AR862" s="352"/>
      <c r="AS862" s="352"/>
      <c r="AT862" s="352"/>
      <c r="AU862" s="352"/>
      <c r="AV862" s="352"/>
      <c r="AW862" s="352" t="s">
        <v>127</v>
      </c>
    </row>
    <row r="863" spans="2:49" x14ac:dyDescent="0.2">
      <c r="B863" s="460" t="s">
        <v>2623</v>
      </c>
      <c r="C863" s="460">
        <v>2112</v>
      </c>
      <c r="D863" s="460" t="s">
        <v>2264</v>
      </c>
      <c r="E863" s="460" t="s">
        <v>2265</v>
      </c>
      <c r="F863" s="460">
        <v>1</v>
      </c>
      <c r="G863" s="460">
        <v>1</v>
      </c>
      <c r="H863" s="461" t="s">
        <v>700</v>
      </c>
      <c r="I863" s="461" t="s">
        <v>872</v>
      </c>
      <c r="J863" s="461" t="s">
        <v>700</v>
      </c>
      <c r="K863" s="594"/>
      <c r="L863" s="594"/>
      <c r="M863" s="352">
        <v>2000</v>
      </c>
      <c r="N863" s="352" t="s">
        <v>703</v>
      </c>
      <c r="O863" s="460">
        <v>2112</v>
      </c>
      <c r="P863" s="460" t="s">
        <v>1874</v>
      </c>
      <c r="Q863" s="460" t="s">
        <v>2266</v>
      </c>
      <c r="R863" s="460">
        <v>2112</v>
      </c>
      <c r="S863" s="460" t="s">
        <v>2265</v>
      </c>
      <c r="T863" s="462">
        <v>1</v>
      </c>
      <c r="U863" s="460" t="s">
        <v>2265</v>
      </c>
      <c r="V863" s="475">
        <v>0</v>
      </c>
      <c r="W863" s="463" t="s">
        <v>2267</v>
      </c>
      <c r="X863" s="463" t="s">
        <v>2267</v>
      </c>
      <c r="Y863" s="463" t="s">
        <v>2268</v>
      </c>
      <c r="Z863" s="463"/>
      <c r="AA863" s="463"/>
      <c r="AB863" s="464">
        <v>3.7619761285254891</v>
      </c>
      <c r="AC863" s="465">
        <v>0.46003930478582672</v>
      </c>
      <c r="AD863" s="465">
        <v>3.4886441801042918E-5</v>
      </c>
      <c r="AE863" s="476">
        <v>3.7619761285254891</v>
      </c>
      <c r="AF863" s="467">
        <v>0.46003930478582672</v>
      </c>
      <c r="AG863" s="468">
        <v>3.7266021222922547E-5</v>
      </c>
      <c r="AH863" s="218">
        <v>3.7619761285254891</v>
      </c>
      <c r="AI863" s="470">
        <v>0.46003930478582672</v>
      </c>
      <c r="AJ863" s="471">
        <v>3.5871718422712307E-5</v>
      </c>
      <c r="AK863" s="218">
        <v>3.7619761285254891</v>
      </c>
      <c r="AL863" s="470">
        <v>0.46003930478582672</v>
      </c>
      <c r="AM863" s="471">
        <v>3.5871718422712307E-5</v>
      </c>
      <c r="AN863" s="477">
        <v>0</v>
      </c>
      <c r="AO863" s="473">
        <v>0</v>
      </c>
      <c r="AP863" s="474">
        <v>0</v>
      </c>
      <c r="AQ863" s="352"/>
      <c r="AR863" s="352"/>
      <c r="AS863" s="352"/>
      <c r="AT863" s="352"/>
      <c r="AU863" s="352"/>
      <c r="AV863" s="352"/>
      <c r="AW863" s="352" t="s">
        <v>254</v>
      </c>
    </row>
    <row r="864" spans="2:49" x14ac:dyDescent="0.2">
      <c r="B864" s="460" t="s">
        <v>2624</v>
      </c>
      <c r="C864" s="460">
        <v>2112</v>
      </c>
      <c r="D864" s="460" t="s">
        <v>2270</v>
      </c>
      <c r="E864" s="460" t="s">
        <v>2271</v>
      </c>
      <c r="F864" s="460">
        <v>2</v>
      </c>
      <c r="G864" s="460">
        <v>1</v>
      </c>
      <c r="H864" s="461" t="s">
        <v>700</v>
      </c>
      <c r="I864" s="461" t="s">
        <v>872</v>
      </c>
      <c r="J864" s="461" t="s">
        <v>700</v>
      </c>
      <c r="K864" s="594"/>
      <c r="L864" s="594"/>
      <c r="M864" s="352">
        <v>2000</v>
      </c>
      <c r="N864" s="352" t="s">
        <v>703</v>
      </c>
      <c r="O864" s="460">
        <v>2112</v>
      </c>
      <c r="P864" s="460" t="s">
        <v>1874</v>
      </c>
      <c r="Q864" s="460" t="s">
        <v>2266</v>
      </c>
      <c r="R864" s="460">
        <v>2112</v>
      </c>
      <c r="S864" s="460" t="s">
        <v>2265</v>
      </c>
      <c r="T864" s="462">
        <v>1</v>
      </c>
      <c r="U864" s="460" t="s">
        <v>2271</v>
      </c>
      <c r="V864" s="475">
        <v>0</v>
      </c>
      <c r="W864" s="463" t="s">
        <v>2267</v>
      </c>
      <c r="X864" s="463" t="s">
        <v>2267</v>
      </c>
      <c r="Y864" s="463" t="s">
        <v>2268</v>
      </c>
      <c r="Z864" s="463"/>
      <c r="AA864" s="463"/>
      <c r="AB864" s="464">
        <v>4.4919039465073185</v>
      </c>
      <c r="AC864" s="465">
        <v>0.44689366740016273</v>
      </c>
      <c r="AD864" s="465">
        <v>5.5730122855379648E-5</v>
      </c>
      <c r="AE864" s="476">
        <v>4.4919039465073185</v>
      </c>
      <c r="AF864" s="467">
        <v>0.44689366740016273</v>
      </c>
      <c r="AG864" s="468">
        <v>6.0392574680193563E-5</v>
      </c>
      <c r="AH864" s="218">
        <v>4.6240359160551074</v>
      </c>
      <c r="AI864" s="470">
        <v>0.46003930478582672</v>
      </c>
      <c r="AJ864" s="471">
        <v>5.4593215208969186E-5</v>
      </c>
      <c r="AK864" s="218">
        <v>4.6240359160551074</v>
      </c>
      <c r="AL864" s="470">
        <v>0.46003930478582672</v>
      </c>
      <c r="AM864" s="471">
        <v>5.4593215208969186E-5</v>
      </c>
      <c r="AN864" s="477">
        <v>0</v>
      </c>
      <c r="AO864" s="473">
        <v>0</v>
      </c>
      <c r="AP864" s="474">
        <v>0</v>
      </c>
      <c r="AQ864" s="352"/>
      <c r="AR864" s="352"/>
      <c r="AS864" s="352"/>
      <c r="AT864" s="352"/>
      <c r="AU864" s="352"/>
      <c r="AV864" s="352"/>
      <c r="AW864" s="352" t="s">
        <v>254</v>
      </c>
    </row>
    <row r="865" spans="2:49" x14ac:dyDescent="0.2">
      <c r="B865" s="460" t="s">
        <v>2625</v>
      </c>
      <c r="C865" s="460">
        <v>2112</v>
      </c>
      <c r="D865" s="460" t="s">
        <v>2273</v>
      </c>
      <c r="E865" s="460" t="s">
        <v>2274</v>
      </c>
      <c r="F865" s="460">
        <v>3</v>
      </c>
      <c r="G865" s="460">
        <v>1</v>
      </c>
      <c r="H865" s="461" t="s">
        <v>700</v>
      </c>
      <c r="I865" s="461" t="s">
        <v>872</v>
      </c>
      <c r="J865" s="461" t="s">
        <v>700</v>
      </c>
      <c r="K865" s="594"/>
      <c r="L865" s="594"/>
      <c r="M865" s="352">
        <v>2000</v>
      </c>
      <c r="N865" s="352" t="s">
        <v>703</v>
      </c>
      <c r="O865" s="460">
        <v>2112</v>
      </c>
      <c r="P865" s="460" t="s">
        <v>1874</v>
      </c>
      <c r="Q865" s="460" t="s">
        <v>2266</v>
      </c>
      <c r="R865" s="460">
        <v>2112</v>
      </c>
      <c r="S865" s="460" t="s">
        <v>2265</v>
      </c>
      <c r="T865" s="462">
        <v>0.74223365950407583</v>
      </c>
      <c r="U865" s="460" t="s">
        <v>2274</v>
      </c>
      <c r="V865" s="475">
        <v>0</v>
      </c>
      <c r="W865" s="463" t="s">
        <v>2267</v>
      </c>
      <c r="X865" s="463" t="s">
        <v>2267</v>
      </c>
      <c r="Y865" s="463" t="s">
        <v>2268</v>
      </c>
      <c r="Z865" s="463"/>
      <c r="AA865" s="463"/>
      <c r="AB865" s="464">
        <v>0.97440465935362863</v>
      </c>
      <c r="AC865" s="465">
        <v>0.13491396193028576</v>
      </c>
      <c r="AD865" s="465">
        <v>4.8203463014609298E-5</v>
      </c>
      <c r="AE865" s="476">
        <v>0.97440465935362863</v>
      </c>
      <c r="AF865" s="467">
        <v>0.13491396193028576</v>
      </c>
      <c r="AG865" s="468">
        <v>5.2212740229698366E-5</v>
      </c>
      <c r="AH865" s="218">
        <v>2.4661417728910533</v>
      </c>
      <c r="AI865" s="470">
        <v>0.34145665670689507</v>
      </c>
      <c r="AJ865" s="471">
        <v>9.5696375067666527E-5</v>
      </c>
      <c r="AK865" s="218">
        <v>2.4661417728910533</v>
      </c>
      <c r="AL865" s="470">
        <v>0.34145665670689507</v>
      </c>
      <c r="AM865" s="471">
        <v>9.5696375067666527E-5</v>
      </c>
      <c r="AN865" s="477">
        <v>0</v>
      </c>
      <c r="AO865" s="473">
        <v>0</v>
      </c>
      <c r="AP865" s="474">
        <v>0</v>
      </c>
      <c r="AQ865" s="352"/>
      <c r="AR865" s="352"/>
      <c r="AS865" s="352"/>
      <c r="AT865" s="352"/>
      <c r="AU865" s="352"/>
      <c r="AV865" s="352"/>
      <c r="AW865" s="352" t="s">
        <v>254</v>
      </c>
    </row>
    <row r="866" spans="2:49" x14ac:dyDescent="0.2">
      <c r="B866" s="460" t="s">
        <v>2626</v>
      </c>
      <c r="C866" s="460">
        <v>2112</v>
      </c>
      <c r="D866" s="460" t="s">
        <v>2276</v>
      </c>
      <c r="E866" s="460" t="s">
        <v>2277</v>
      </c>
      <c r="F866" s="460">
        <v>4</v>
      </c>
      <c r="G866" s="460">
        <v>1</v>
      </c>
      <c r="H866" s="461" t="s">
        <v>700</v>
      </c>
      <c r="I866" s="461" t="s">
        <v>872</v>
      </c>
      <c r="J866" s="461" t="s">
        <v>700</v>
      </c>
      <c r="K866" s="594"/>
      <c r="L866" s="594"/>
      <c r="M866" s="352">
        <v>2000</v>
      </c>
      <c r="N866" s="352" t="s">
        <v>703</v>
      </c>
      <c r="O866" s="460">
        <v>2112</v>
      </c>
      <c r="P866" s="460" t="s">
        <v>1874</v>
      </c>
      <c r="Q866" s="460" t="s">
        <v>2266</v>
      </c>
      <c r="R866" s="460">
        <v>2112</v>
      </c>
      <c r="S866" s="460" t="s">
        <v>2277</v>
      </c>
      <c r="T866" s="462">
        <v>1</v>
      </c>
      <c r="U866" s="460" t="s">
        <v>2277</v>
      </c>
      <c r="V866" s="475">
        <v>0</v>
      </c>
      <c r="W866" s="463" t="s">
        <v>2278</v>
      </c>
      <c r="X866" s="463" t="s">
        <v>2278</v>
      </c>
      <c r="Y866" s="463" t="s">
        <v>2268</v>
      </c>
      <c r="Z866" s="463"/>
      <c r="AA866" s="463"/>
      <c r="AB866" s="464">
        <v>4.0675276465079865E-3</v>
      </c>
      <c r="AC866" s="465">
        <v>5.7387138406819218E-4</v>
      </c>
      <c r="AD866" s="465">
        <v>1.6417394579529815E-5</v>
      </c>
      <c r="AE866" s="476">
        <v>4.0675276465079865E-3</v>
      </c>
      <c r="AF866" s="467">
        <v>5.7387138406819218E-4</v>
      </c>
      <c r="AG866" s="468">
        <v>1.8353781735242188E-5</v>
      </c>
      <c r="AH866" s="218">
        <v>4.0675276465079865E-3</v>
      </c>
      <c r="AI866" s="470">
        <v>5.7387138406819218E-4</v>
      </c>
      <c r="AJ866" s="471">
        <v>1.7591305326146715E-5</v>
      </c>
      <c r="AK866" s="218">
        <v>4.0675276465079865E-3</v>
      </c>
      <c r="AL866" s="470">
        <v>5.7387138406819218E-4</v>
      </c>
      <c r="AM866" s="471">
        <v>1.7591305326146715E-5</v>
      </c>
      <c r="AN866" s="477">
        <v>0</v>
      </c>
      <c r="AO866" s="473">
        <v>0</v>
      </c>
      <c r="AP866" s="474">
        <v>0</v>
      </c>
      <c r="AQ866" s="352"/>
      <c r="AR866" s="352"/>
      <c r="AS866" s="352"/>
      <c r="AT866" s="352"/>
      <c r="AU866" s="352"/>
      <c r="AV866" s="352"/>
      <c r="AW866" s="352" t="s">
        <v>254</v>
      </c>
    </row>
    <row r="867" spans="2:49" x14ac:dyDescent="0.2">
      <c r="B867" s="460" t="s">
        <v>2623</v>
      </c>
      <c r="C867" s="460">
        <v>2112</v>
      </c>
      <c r="D867" s="460" t="s">
        <v>2279</v>
      </c>
      <c r="E867" s="460" t="s">
        <v>2265</v>
      </c>
      <c r="F867" s="460">
        <v>1</v>
      </c>
      <c r="G867" s="460">
        <v>1</v>
      </c>
      <c r="H867" s="461" t="s">
        <v>712</v>
      </c>
      <c r="I867" s="461" t="s">
        <v>713</v>
      </c>
      <c r="J867" s="461" t="s">
        <v>712</v>
      </c>
      <c r="K867" s="594"/>
      <c r="L867" s="594"/>
      <c r="M867" s="352">
        <v>2000</v>
      </c>
      <c r="N867" s="352" t="s">
        <v>703</v>
      </c>
      <c r="O867" s="460">
        <v>2112</v>
      </c>
      <c r="P867" s="460" t="s">
        <v>1874</v>
      </c>
      <c r="Q867" s="460" t="s">
        <v>2280</v>
      </c>
      <c r="R867" s="460">
        <v>2112</v>
      </c>
      <c r="S867" s="460" t="s">
        <v>2265</v>
      </c>
      <c r="T867" s="462">
        <v>1</v>
      </c>
      <c r="U867" s="460" t="s">
        <v>2265</v>
      </c>
      <c r="V867" s="475">
        <v>0</v>
      </c>
      <c r="W867" s="463" t="s">
        <v>713</v>
      </c>
      <c r="X867" s="463" t="s">
        <v>713</v>
      </c>
      <c r="Y867" s="463" t="s">
        <v>713</v>
      </c>
      <c r="Z867" s="463"/>
      <c r="AA867" s="463"/>
      <c r="AB867" s="464">
        <v>4.4155341176411804</v>
      </c>
      <c r="AC867" s="465">
        <v>0.53996069521417334</v>
      </c>
      <c r="AD867" s="465">
        <v>1.631174664519221E-5</v>
      </c>
      <c r="AE867" s="476">
        <v>4.4155341176411804</v>
      </c>
      <c r="AF867" s="467">
        <v>0.53996069521417334</v>
      </c>
      <c r="AG867" s="468">
        <v>1.5907119238352165E-5</v>
      </c>
      <c r="AH867" s="218">
        <v>4.4155341176411804</v>
      </c>
      <c r="AI867" s="470">
        <v>0.53996069521417334</v>
      </c>
      <c r="AJ867" s="471">
        <v>1.6135201020797959E-5</v>
      </c>
      <c r="AK867" s="218">
        <v>4.4155341176411804</v>
      </c>
      <c r="AL867" s="470">
        <v>0.53996069521417334</v>
      </c>
      <c r="AM867" s="471">
        <v>1.6135201020797959E-5</v>
      </c>
      <c r="AN867" s="477">
        <v>4.4155341176411804</v>
      </c>
      <c r="AO867" s="473">
        <v>0.53996069521417334</v>
      </c>
      <c r="AP867" s="474">
        <v>1.6129943525183182E-5</v>
      </c>
      <c r="AQ867" s="352"/>
      <c r="AR867" s="352"/>
      <c r="AS867" s="352"/>
      <c r="AT867" s="352"/>
      <c r="AU867" s="352"/>
      <c r="AV867" s="352"/>
      <c r="AW867" s="352" t="s">
        <v>254</v>
      </c>
    </row>
    <row r="868" spans="2:49" x14ac:dyDescent="0.2">
      <c r="B868" s="460" t="s">
        <v>2624</v>
      </c>
      <c r="C868" s="460">
        <v>2112</v>
      </c>
      <c r="D868" s="460" t="s">
        <v>2281</v>
      </c>
      <c r="E868" s="460" t="s">
        <v>2271</v>
      </c>
      <c r="F868" s="460">
        <v>2</v>
      </c>
      <c r="G868" s="460">
        <v>1</v>
      </c>
      <c r="H868" s="461" t="s">
        <v>712</v>
      </c>
      <c r="I868" s="461" t="s">
        <v>713</v>
      </c>
      <c r="J868" s="461" t="s">
        <v>712</v>
      </c>
      <c r="K868" s="594"/>
      <c r="L868" s="594"/>
      <c r="M868" s="352">
        <v>2000</v>
      </c>
      <c r="N868" s="352" t="s">
        <v>703</v>
      </c>
      <c r="O868" s="460">
        <v>2112</v>
      </c>
      <c r="P868" s="460" t="s">
        <v>1874</v>
      </c>
      <c r="Q868" s="460" t="s">
        <v>2280</v>
      </c>
      <c r="R868" s="460">
        <v>2112</v>
      </c>
      <c r="S868" s="460" t="s">
        <v>2265</v>
      </c>
      <c r="T868" s="462">
        <v>1</v>
      </c>
      <c r="U868" s="460" t="s">
        <v>2271</v>
      </c>
      <c r="V868" s="475">
        <v>0</v>
      </c>
      <c r="W868" s="463" t="s">
        <v>713</v>
      </c>
      <c r="X868" s="463" t="s">
        <v>713</v>
      </c>
      <c r="Y868" s="463" t="s">
        <v>713</v>
      </c>
      <c r="Z868" s="463"/>
      <c r="AA868" s="463"/>
      <c r="AB868" s="464">
        <v>5.5594892017538884</v>
      </c>
      <c r="AC868" s="465">
        <v>0.55310633259983721</v>
      </c>
      <c r="AD868" s="465">
        <v>2.3215985480623813E-5</v>
      </c>
      <c r="AE868" s="476">
        <v>5.5594892017538893</v>
      </c>
      <c r="AF868" s="467">
        <v>0.55310633259983732</v>
      </c>
      <c r="AG868" s="468">
        <v>2.2627995944351125E-5</v>
      </c>
      <c r="AH868" s="218">
        <v>5.4273572322060994</v>
      </c>
      <c r="AI868" s="470">
        <v>0.53996069521417334</v>
      </c>
      <c r="AJ868" s="471">
        <v>2.3316716306849154E-5</v>
      </c>
      <c r="AK868" s="218">
        <v>5.4273572322060994</v>
      </c>
      <c r="AL868" s="470">
        <v>0.53996069521417334</v>
      </c>
      <c r="AM868" s="471">
        <v>2.3316716306849154E-5</v>
      </c>
      <c r="AN868" s="477">
        <v>5.4273572322060994</v>
      </c>
      <c r="AO868" s="473">
        <v>0.53996069521417334</v>
      </c>
      <c r="AP868" s="474">
        <v>2.3308529042852432E-5</v>
      </c>
      <c r="AQ868" s="352"/>
      <c r="AR868" s="352"/>
      <c r="AS868" s="352"/>
      <c r="AT868" s="352"/>
      <c r="AU868" s="352"/>
      <c r="AV868" s="352"/>
      <c r="AW868" s="352" t="s">
        <v>254</v>
      </c>
    </row>
    <row r="869" spans="2:49" x14ac:dyDescent="0.2">
      <c r="B869" s="460" t="s">
        <v>2625</v>
      </c>
      <c r="C869" s="460">
        <v>2112</v>
      </c>
      <c r="D869" s="460" t="s">
        <v>2282</v>
      </c>
      <c r="E869" s="460" t="s">
        <v>2274</v>
      </c>
      <c r="F869" s="460">
        <v>3</v>
      </c>
      <c r="G869" s="460">
        <v>1</v>
      </c>
      <c r="H869" s="461" t="s">
        <v>712</v>
      </c>
      <c r="I869" s="461" t="s">
        <v>713</v>
      </c>
      <c r="J869" s="461" t="s">
        <v>712</v>
      </c>
      <c r="K869" s="594"/>
      <c r="L869" s="594"/>
      <c r="M869" s="352">
        <v>2000</v>
      </c>
      <c r="N869" s="352" t="s">
        <v>703</v>
      </c>
      <c r="O869" s="460">
        <v>2112</v>
      </c>
      <c r="P869" s="460" t="s">
        <v>1874</v>
      </c>
      <c r="Q869" s="460" t="s">
        <v>2280</v>
      </c>
      <c r="R869" s="460">
        <v>2112</v>
      </c>
      <c r="S869" s="460" t="s">
        <v>2265</v>
      </c>
      <c r="T869" s="462">
        <v>0.74223365950407583</v>
      </c>
      <c r="U869" s="460" t="s">
        <v>2274</v>
      </c>
      <c r="V869" s="475">
        <v>0</v>
      </c>
      <c r="W869" s="463" t="s">
        <v>713</v>
      </c>
      <c r="X869" s="463" t="s">
        <v>713</v>
      </c>
      <c r="Y869" s="463" t="s">
        <v>713</v>
      </c>
      <c r="Z869" s="463"/>
      <c r="AA869" s="463"/>
      <c r="AB869" s="464">
        <v>6.2480106148871046</v>
      </c>
      <c r="AC869" s="465">
        <v>0.86508603806971429</v>
      </c>
      <c r="AD869" s="465">
        <v>3.7395670990173272E-5</v>
      </c>
      <c r="AE869" s="476">
        <v>6.2480106148871046</v>
      </c>
      <c r="AF869" s="467">
        <v>0.86508603806971429</v>
      </c>
      <c r="AG869" s="468">
        <v>3.7051451458914138E-5</v>
      </c>
      <c r="AH869" s="218">
        <v>4.7562735013496793</v>
      </c>
      <c r="AI869" s="470">
        <v>0.65854334329310493</v>
      </c>
      <c r="AJ869" s="471">
        <v>2.9889234675658793E-5</v>
      </c>
      <c r="AK869" s="218">
        <v>4.7562735013496793</v>
      </c>
      <c r="AL869" s="470">
        <v>0.65854334329310493</v>
      </c>
      <c r="AM869" s="471">
        <v>2.9889234675658793E-5</v>
      </c>
      <c r="AN869" s="477">
        <v>4.7562735013496793</v>
      </c>
      <c r="AO869" s="473">
        <v>0.65854334329310493</v>
      </c>
      <c r="AP869" s="474">
        <v>3.0104855520699143E-5</v>
      </c>
      <c r="AQ869" s="352"/>
      <c r="AR869" s="352"/>
      <c r="AS869" s="352"/>
      <c r="AT869" s="352"/>
      <c r="AU869" s="352"/>
      <c r="AV869" s="352"/>
      <c r="AW869" s="352" t="s">
        <v>254</v>
      </c>
    </row>
    <row r="870" spans="2:49" x14ac:dyDescent="0.2">
      <c r="B870" s="460" t="s">
        <v>2626</v>
      </c>
      <c r="C870" s="460">
        <v>2112</v>
      </c>
      <c r="D870" s="460" t="s">
        <v>2283</v>
      </c>
      <c r="E870" s="460" t="s">
        <v>2277</v>
      </c>
      <c r="F870" s="460">
        <v>4</v>
      </c>
      <c r="G870" s="460">
        <v>1</v>
      </c>
      <c r="H870" s="461" t="s">
        <v>712</v>
      </c>
      <c r="I870" s="461" t="s">
        <v>713</v>
      </c>
      <c r="J870" s="461" t="s">
        <v>712</v>
      </c>
      <c r="K870" s="594"/>
      <c r="L870" s="594"/>
      <c r="M870" s="352">
        <v>2000</v>
      </c>
      <c r="N870" s="352" t="s">
        <v>703</v>
      </c>
      <c r="O870" s="460">
        <v>2112</v>
      </c>
      <c r="P870" s="460" t="s">
        <v>1874</v>
      </c>
      <c r="Q870" s="460" t="s">
        <v>2280</v>
      </c>
      <c r="R870" s="460">
        <v>2112</v>
      </c>
      <c r="S870" s="460" t="s">
        <v>2277</v>
      </c>
      <c r="T870" s="462">
        <v>1</v>
      </c>
      <c r="U870" s="460" t="s">
        <v>2277</v>
      </c>
      <c r="V870" s="475">
        <v>0</v>
      </c>
      <c r="W870" s="463" t="s">
        <v>713</v>
      </c>
      <c r="X870" s="463" t="s">
        <v>713</v>
      </c>
      <c r="Y870" s="463" t="s">
        <v>713</v>
      </c>
      <c r="Z870" s="463"/>
      <c r="AA870" s="463"/>
      <c r="AB870" s="464">
        <v>7.0838057474994942</v>
      </c>
      <c r="AC870" s="465">
        <v>0.99942612861593183</v>
      </c>
      <c r="AD870" s="465">
        <v>3.6788150379130888E-5</v>
      </c>
      <c r="AE870" s="476">
        <v>7.0838057474994942</v>
      </c>
      <c r="AF870" s="467">
        <v>0.99942612861593183</v>
      </c>
      <c r="AG870" s="468">
        <v>3.6783157130176183E-5</v>
      </c>
      <c r="AH870" s="218">
        <v>7.0838057474994942</v>
      </c>
      <c r="AI870" s="470">
        <v>0.99942612861593183</v>
      </c>
      <c r="AJ870" s="471">
        <v>3.6784991919985398E-5</v>
      </c>
      <c r="AK870" s="218">
        <v>7.0838057474994942</v>
      </c>
      <c r="AL870" s="470">
        <v>0.99942612861593183</v>
      </c>
      <c r="AM870" s="471">
        <v>3.6784991919985398E-5</v>
      </c>
      <c r="AN870" s="477">
        <v>7.0838057474994942</v>
      </c>
      <c r="AO870" s="473">
        <v>0.99942612861593183</v>
      </c>
      <c r="AP870" s="474">
        <v>3.6785175345183883E-5</v>
      </c>
      <c r="AQ870" s="352"/>
      <c r="AR870" s="352"/>
      <c r="AS870" s="352"/>
      <c r="AT870" s="352"/>
      <c r="AU870" s="352"/>
      <c r="AV870" s="352"/>
      <c r="AW870" s="352" t="s">
        <v>254</v>
      </c>
    </row>
    <row r="871" spans="2:49" x14ac:dyDescent="0.2">
      <c r="B871" s="460" t="s">
        <v>2623</v>
      </c>
      <c r="C871" s="460">
        <v>2112</v>
      </c>
      <c r="D871" s="460" t="s">
        <v>2284</v>
      </c>
      <c r="E871" s="460" t="s">
        <v>2265</v>
      </c>
      <c r="F871" s="460">
        <v>1</v>
      </c>
      <c r="G871" s="460">
        <v>1</v>
      </c>
      <c r="H871" s="461" t="s">
        <v>746</v>
      </c>
      <c r="I871" s="461" t="s">
        <v>762</v>
      </c>
      <c r="J871" s="461" t="s">
        <v>700</v>
      </c>
      <c r="K871" s="594"/>
      <c r="L871" s="594"/>
      <c r="M871" s="352">
        <v>2000</v>
      </c>
      <c r="N871" s="352" t="s">
        <v>703</v>
      </c>
      <c r="O871" s="460">
        <v>2112</v>
      </c>
      <c r="P871" s="460" t="s">
        <v>1874</v>
      </c>
      <c r="Q871" s="460" t="s">
        <v>2289</v>
      </c>
      <c r="R871" s="460">
        <v>2112</v>
      </c>
      <c r="S871" s="460" t="s">
        <v>2265</v>
      </c>
      <c r="T871" s="462">
        <v>1</v>
      </c>
      <c r="U871" s="460" t="s">
        <v>2265</v>
      </c>
      <c r="V871" s="475">
        <v>0</v>
      </c>
      <c r="W871" s="463" t="s">
        <v>2268</v>
      </c>
      <c r="X871" s="463" t="s">
        <v>2268</v>
      </c>
      <c r="Y871" s="463" t="s">
        <v>2290</v>
      </c>
      <c r="Z871" s="463"/>
      <c r="AA871" s="463"/>
      <c r="AB871" s="464">
        <v>0</v>
      </c>
      <c r="AC871" s="465">
        <v>0</v>
      </c>
      <c r="AD871" s="465">
        <v>0</v>
      </c>
      <c r="AE871" s="476">
        <v>0</v>
      </c>
      <c r="AF871" s="467">
        <v>0</v>
      </c>
      <c r="AG871" s="468">
        <v>0</v>
      </c>
      <c r="AH871" s="218">
        <v>0</v>
      </c>
      <c r="AI871" s="470">
        <v>0</v>
      </c>
      <c r="AJ871" s="471">
        <v>0</v>
      </c>
      <c r="AK871" s="218">
        <v>0</v>
      </c>
      <c r="AL871" s="470">
        <v>0</v>
      </c>
      <c r="AM871" s="471">
        <v>0</v>
      </c>
      <c r="AN871" s="477">
        <v>0</v>
      </c>
      <c r="AO871" s="473">
        <v>0</v>
      </c>
      <c r="AP871" s="474">
        <v>0</v>
      </c>
      <c r="AQ871" s="352"/>
      <c r="AR871" s="352"/>
      <c r="AS871" s="352"/>
      <c r="AT871" s="352"/>
      <c r="AU871" s="352"/>
      <c r="AV871" s="352"/>
      <c r="AW871" s="352" t="s">
        <v>254</v>
      </c>
    </row>
    <row r="872" spans="2:49" x14ac:dyDescent="0.2">
      <c r="B872" s="460" t="s">
        <v>2624</v>
      </c>
      <c r="C872" s="460">
        <v>2112</v>
      </c>
      <c r="D872" s="460" t="s">
        <v>2285</v>
      </c>
      <c r="E872" s="460" t="s">
        <v>2271</v>
      </c>
      <c r="F872" s="460">
        <v>2</v>
      </c>
      <c r="G872" s="460">
        <v>1</v>
      </c>
      <c r="H872" s="461" t="s">
        <v>746</v>
      </c>
      <c r="I872" s="461" t="s">
        <v>762</v>
      </c>
      <c r="J872" s="461" t="s">
        <v>700</v>
      </c>
      <c r="K872" s="594"/>
      <c r="L872" s="594"/>
      <c r="M872" s="352">
        <v>2000</v>
      </c>
      <c r="N872" s="352" t="s">
        <v>703</v>
      </c>
      <c r="O872" s="460">
        <v>2112</v>
      </c>
      <c r="P872" s="460" t="s">
        <v>1874</v>
      </c>
      <c r="Q872" s="460" t="s">
        <v>2289</v>
      </c>
      <c r="R872" s="460">
        <v>2112</v>
      </c>
      <c r="S872" s="460" t="s">
        <v>2265</v>
      </c>
      <c r="T872" s="462">
        <v>1</v>
      </c>
      <c r="U872" s="460" t="s">
        <v>2271</v>
      </c>
      <c r="V872" s="475">
        <v>0</v>
      </c>
      <c r="W872" s="463" t="s">
        <v>2268</v>
      </c>
      <c r="X872" s="463" t="s">
        <v>2268</v>
      </c>
      <c r="Y872" s="463" t="s">
        <v>2290</v>
      </c>
      <c r="Z872" s="463"/>
      <c r="AA872" s="463"/>
      <c r="AB872" s="464">
        <v>0</v>
      </c>
      <c r="AC872" s="465">
        <v>0</v>
      </c>
      <c r="AD872" s="465">
        <v>0</v>
      </c>
      <c r="AE872" s="476">
        <v>0</v>
      </c>
      <c r="AF872" s="467">
        <v>0</v>
      </c>
      <c r="AG872" s="468">
        <v>0</v>
      </c>
      <c r="AH872" s="218">
        <v>0</v>
      </c>
      <c r="AI872" s="470">
        <v>0</v>
      </c>
      <c r="AJ872" s="471">
        <v>0</v>
      </c>
      <c r="AK872" s="218">
        <v>0</v>
      </c>
      <c r="AL872" s="470">
        <v>0</v>
      </c>
      <c r="AM872" s="471">
        <v>0</v>
      </c>
      <c r="AN872" s="477">
        <v>0</v>
      </c>
      <c r="AO872" s="473">
        <v>0</v>
      </c>
      <c r="AP872" s="474">
        <v>0</v>
      </c>
      <c r="AQ872" s="352"/>
      <c r="AR872" s="352"/>
      <c r="AS872" s="352"/>
      <c r="AT872" s="352"/>
      <c r="AU872" s="352"/>
      <c r="AV872" s="352"/>
      <c r="AW872" s="352" t="s">
        <v>254</v>
      </c>
    </row>
    <row r="873" spans="2:49" x14ac:dyDescent="0.2">
      <c r="B873" s="460" t="s">
        <v>2625</v>
      </c>
      <c r="C873" s="460">
        <v>2112</v>
      </c>
      <c r="D873" s="460" t="s">
        <v>2286</v>
      </c>
      <c r="E873" s="460" t="s">
        <v>2274</v>
      </c>
      <c r="F873" s="460">
        <v>3</v>
      </c>
      <c r="G873" s="460">
        <v>1</v>
      </c>
      <c r="H873" s="461" t="s">
        <v>746</v>
      </c>
      <c r="I873" s="461" t="s">
        <v>762</v>
      </c>
      <c r="J873" s="461" t="s">
        <v>700</v>
      </c>
      <c r="K873" s="594"/>
      <c r="L873" s="594"/>
      <c r="M873" s="352">
        <v>2000</v>
      </c>
      <c r="N873" s="352" t="s">
        <v>703</v>
      </c>
      <c r="O873" s="460">
        <v>2112</v>
      </c>
      <c r="P873" s="460" t="s">
        <v>1874</v>
      </c>
      <c r="Q873" s="460" t="s">
        <v>2289</v>
      </c>
      <c r="R873" s="460">
        <v>2112</v>
      </c>
      <c r="S873" s="460" t="s">
        <v>2265</v>
      </c>
      <c r="T873" s="462">
        <v>0.74223365950407583</v>
      </c>
      <c r="U873" s="460" t="s">
        <v>2274</v>
      </c>
      <c r="V873" s="475">
        <v>0</v>
      </c>
      <c r="W873" s="463" t="s">
        <v>2268</v>
      </c>
      <c r="X873" s="463" t="s">
        <v>2268</v>
      </c>
      <c r="Y873" s="463" t="s">
        <v>2290</v>
      </c>
      <c r="Z873" s="463"/>
      <c r="AA873" s="463"/>
      <c r="AB873" s="464">
        <v>0</v>
      </c>
      <c r="AC873" s="465">
        <v>0</v>
      </c>
      <c r="AD873" s="465">
        <v>0</v>
      </c>
      <c r="AE873" s="476">
        <v>0</v>
      </c>
      <c r="AF873" s="467">
        <v>0</v>
      </c>
      <c r="AG873" s="468">
        <v>0</v>
      </c>
      <c r="AH873" s="218">
        <v>0</v>
      </c>
      <c r="AI873" s="470">
        <v>0</v>
      </c>
      <c r="AJ873" s="471">
        <v>0</v>
      </c>
      <c r="AK873" s="218">
        <v>0</v>
      </c>
      <c r="AL873" s="470">
        <v>0</v>
      </c>
      <c r="AM873" s="471">
        <v>0</v>
      </c>
      <c r="AN873" s="477">
        <v>0</v>
      </c>
      <c r="AO873" s="473">
        <v>0</v>
      </c>
      <c r="AP873" s="474">
        <v>0</v>
      </c>
      <c r="AQ873" s="352"/>
      <c r="AR873" s="352"/>
      <c r="AS873" s="352"/>
      <c r="AT873" s="352"/>
      <c r="AU873" s="352"/>
      <c r="AV873" s="352"/>
      <c r="AW873" s="352" t="s">
        <v>254</v>
      </c>
    </row>
    <row r="874" spans="2:49" x14ac:dyDescent="0.2">
      <c r="B874" s="460" t="s">
        <v>2626</v>
      </c>
      <c r="C874" s="460">
        <v>2112</v>
      </c>
      <c r="D874" s="460" t="s">
        <v>2287</v>
      </c>
      <c r="E874" s="460" t="s">
        <v>2277</v>
      </c>
      <c r="F874" s="460">
        <v>4</v>
      </c>
      <c r="G874" s="460">
        <v>1</v>
      </c>
      <c r="H874" s="461" t="s">
        <v>746</v>
      </c>
      <c r="I874" s="461" t="s">
        <v>762</v>
      </c>
      <c r="J874" s="461" t="s">
        <v>700</v>
      </c>
      <c r="K874" s="594"/>
      <c r="L874" s="594"/>
      <c r="M874" s="352">
        <v>2000</v>
      </c>
      <c r="N874" s="352" t="s">
        <v>703</v>
      </c>
      <c r="O874" s="460">
        <v>2112</v>
      </c>
      <c r="P874" s="460" t="s">
        <v>1874</v>
      </c>
      <c r="Q874" s="460" t="s">
        <v>2289</v>
      </c>
      <c r="R874" s="460">
        <v>2112</v>
      </c>
      <c r="S874" s="460" t="s">
        <v>2277</v>
      </c>
      <c r="T874" s="462">
        <v>1</v>
      </c>
      <c r="U874" s="460" t="s">
        <v>2277</v>
      </c>
      <c r="V874" s="475">
        <v>0</v>
      </c>
      <c r="W874" s="463" t="s">
        <v>2268</v>
      </c>
      <c r="X874" s="463" t="s">
        <v>2268</v>
      </c>
      <c r="Y874" s="463" t="s">
        <v>2290</v>
      </c>
      <c r="Z874" s="463"/>
      <c r="AA874" s="463"/>
      <c r="AB874" s="464">
        <v>0</v>
      </c>
      <c r="AC874" s="465">
        <v>0</v>
      </c>
      <c r="AD874" s="465">
        <v>0</v>
      </c>
      <c r="AE874" s="476">
        <v>0</v>
      </c>
      <c r="AF874" s="467">
        <v>0</v>
      </c>
      <c r="AG874" s="468">
        <v>0</v>
      </c>
      <c r="AH874" s="218">
        <v>0</v>
      </c>
      <c r="AI874" s="470">
        <v>0</v>
      </c>
      <c r="AJ874" s="471">
        <v>0</v>
      </c>
      <c r="AK874" s="218">
        <v>0</v>
      </c>
      <c r="AL874" s="470">
        <v>0</v>
      </c>
      <c r="AM874" s="471">
        <v>0</v>
      </c>
      <c r="AN874" s="477">
        <v>0</v>
      </c>
      <c r="AO874" s="473">
        <v>0</v>
      </c>
      <c r="AP874" s="474">
        <v>0</v>
      </c>
      <c r="AQ874" s="352"/>
      <c r="AR874" s="352"/>
      <c r="AS874" s="352"/>
      <c r="AT874" s="352"/>
      <c r="AU874" s="352"/>
      <c r="AV874" s="352"/>
      <c r="AW874" s="352" t="s">
        <v>254</v>
      </c>
    </row>
    <row r="875" spans="2:49" x14ac:dyDescent="0.2">
      <c r="B875" s="460" t="s">
        <v>2623</v>
      </c>
      <c r="C875" s="460">
        <v>2112</v>
      </c>
      <c r="D875" s="460" t="s">
        <v>2288</v>
      </c>
      <c r="E875" s="460" t="s">
        <v>2265</v>
      </c>
      <c r="F875" s="460">
        <v>1</v>
      </c>
      <c r="G875" s="460">
        <v>1</v>
      </c>
      <c r="H875" s="461" t="s">
        <v>748</v>
      </c>
      <c r="I875" s="461" t="s">
        <v>765</v>
      </c>
      <c r="J875" s="461" t="s">
        <v>700</v>
      </c>
      <c r="K875" s="594"/>
      <c r="L875" s="594"/>
      <c r="M875" s="352">
        <v>2000</v>
      </c>
      <c r="N875" s="352" t="s">
        <v>703</v>
      </c>
      <c r="O875" s="460">
        <v>2112</v>
      </c>
      <c r="P875" s="460" t="s">
        <v>1874</v>
      </c>
      <c r="Q875" s="460" t="s">
        <v>2266</v>
      </c>
      <c r="R875" s="460">
        <v>2112</v>
      </c>
      <c r="S875" s="460" t="s">
        <v>2265</v>
      </c>
      <c r="T875" s="462">
        <v>1</v>
      </c>
      <c r="U875" s="460" t="s">
        <v>2265</v>
      </c>
      <c r="V875" s="475">
        <v>0</v>
      </c>
      <c r="W875" s="463" t="s">
        <v>2268</v>
      </c>
      <c r="X875" s="463" t="s">
        <v>2268</v>
      </c>
      <c r="Y875" s="463" t="s">
        <v>2267</v>
      </c>
      <c r="Z875" s="463"/>
      <c r="AA875" s="463"/>
      <c r="AB875" s="464">
        <v>0</v>
      </c>
      <c r="AC875" s="465">
        <v>0</v>
      </c>
      <c r="AD875" s="465">
        <v>0</v>
      </c>
      <c r="AE875" s="476">
        <v>0</v>
      </c>
      <c r="AF875" s="467">
        <v>0</v>
      </c>
      <c r="AG875" s="468">
        <v>0</v>
      </c>
      <c r="AH875" s="218">
        <v>0</v>
      </c>
      <c r="AI875" s="470">
        <v>0</v>
      </c>
      <c r="AJ875" s="471">
        <v>0</v>
      </c>
      <c r="AK875" s="218">
        <v>0</v>
      </c>
      <c r="AL875" s="470">
        <v>0</v>
      </c>
      <c r="AM875" s="471">
        <v>0</v>
      </c>
      <c r="AN875" s="477">
        <v>3.7619761285254891</v>
      </c>
      <c r="AO875" s="473">
        <v>0.46003930478582672</v>
      </c>
      <c r="AP875" s="474">
        <v>2.3362102025521172E-4</v>
      </c>
      <c r="AQ875" s="352"/>
      <c r="AR875" s="352"/>
      <c r="AS875" s="352"/>
      <c r="AT875" s="352"/>
      <c r="AU875" s="352"/>
      <c r="AV875" s="352"/>
      <c r="AW875" s="352" t="s">
        <v>254</v>
      </c>
    </row>
    <row r="876" spans="2:49" x14ac:dyDescent="0.2">
      <c r="B876" s="460" t="s">
        <v>2624</v>
      </c>
      <c r="C876" s="460">
        <v>2112</v>
      </c>
      <c r="D876" s="460" t="s">
        <v>2291</v>
      </c>
      <c r="E876" s="460" t="s">
        <v>2271</v>
      </c>
      <c r="F876" s="460">
        <v>2</v>
      </c>
      <c r="G876" s="460">
        <v>1</v>
      </c>
      <c r="H876" s="461" t="s">
        <v>748</v>
      </c>
      <c r="I876" s="461" t="s">
        <v>765</v>
      </c>
      <c r="J876" s="461" t="s">
        <v>700</v>
      </c>
      <c r="K876" s="594"/>
      <c r="L876" s="594"/>
      <c r="M876" s="352">
        <v>2000</v>
      </c>
      <c r="N876" s="352" t="s">
        <v>703</v>
      </c>
      <c r="O876" s="460">
        <v>2112</v>
      </c>
      <c r="P876" s="460" t="s">
        <v>1874</v>
      </c>
      <c r="Q876" s="460" t="s">
        <v>2266</v>
      </c>
      <c r="R876" s="460">
        <v>2112</v>
      </c>
      <c r="S876" s="460" t="s">
        <v>2265</v>
      </c>
      <c r="T876" s="462">
        <v>1</v>
      </c>
      <c r="U876" s="460" t="s">
        <v>2271</v>
      </c>
      <c r="V876" s="475">
        <v>0</v>
      </c>
      <c r="W876" s="463" t="s">
        <v>2268</v>
      </c>
      <c r="X876" s="463" t="s">
        <v>2268</v>
      </c>
      <c r="Y876" s="463" t="s">
        <v>2267</v>
      </c>
      <c r="Z876" s="463"/>
      <c r="AA876" s="463"/>
      <c r="AB876" s="464">
        <v>0</v>
      </c>
      <c r="AC876" s="465">
        <v>0</v>
      </c>
      <c r="AD876" s="465">
        <v>0</v>
      </c>
      <c r="AE876" s="476">
        <v>0</v>
      </c>
      <c r="AF876" s="467">
        <v>0</v>
      </c>
      <c r="AG876" s="468">
        <v>0</v>
      </c>
      <c r="AH876" s="218">
        <v>0</v>
      </c>
      <c r="AI876" s="470">
        <v>0</v>
      </c>
      <c r="AJ876" s="471">
        <v>0</v>
      </c>
      <c r="AK876" s="218">
        <v>0</v>
      </c>
      <c r="AL876" s="470">
        <v>0</v>
      </c>
      <c r="AM876" s="471">
        <v>0</v>
      </c>
      <c r="AN876" s="477">
        <v>4.6240359160551074</v>
      </c>
      <c r="AO876" s="473">
        <v>0.46003930478582672</v>
      </c>
      <c r="AP876" s="474">
        <v>2.9410753798334347E-4</v>
      </c>
      <c r="AQ876" s="352"/>
      <c r="AR876" s="352"/>
      <c r="AS876" s="352"/>
      <c r="AT876" s="352"/>
      <c r="AU876" s="352"/>
      <c r="AV876" s="352"/>
      <c r="AW876" s="352" t="s">
        <v>254</v>
      </c>
    </row>
    <row r="877" spans="2:49" x14ac:dyDescent="0.2">
      <c r="B877" s="460" t="s">
        <v>2625</v>
      </c>
      <c r="C877" s="460">
        <v>2112</v>
      </c>
      <c r="D877" s="460" t="s">
        <v>2292</v>
      </c>
      <c r="E877" s="460" t="s">
        <v>2274</v>
      </c>
      <c r="F877" s="460">
        <v>3</v>
      </c>
      <c r="G877" s="460">
        <v>1</v>
      </c>
      <c r="H877" s="461" t="s">
        <v>748</v>
      </c>
      <c r="I877" s="461" t="s">
        <v>765</v>
      </c>
      <c r="J877" s="461" t="s">
        <v>700</v>
      </c>
      <c r="K877" s="594"/>
      <c r="L877" s="594"/>
      <c r="M877" s="352">
        <v>2000</v>
      </c>
      <c r="N877" s="352" t="s">
        <v>703</v>
      </c>
      <c r="O877" s="460">
        <v>2112</v>
      </c>
      <c r="P877" s="460" t="s">
        <v>1874</v>
      </c>
      <c r="Q877" s="460" t="s">
        <v>2266</v>
      </c>
      <c r="R877" s="460">
        <v>2112</v>
      </c>
      <c r="S877" s="460" t="s">
        <v>2265</v>
      </c>
      <c r="T877" s="462">
        <v>0.74223365950407583</v>
      </c>
      <c r="U877" s="460" t="s">
        <v>2274</v>
      </c>
      <c r="V877" s="475">
        <v>0</v>
      </c>
      <c r="W877" s="463" t="s">
        <v>2268</v>
      </c>
      <c r="X877" s="463" t="s">
        <v>2268</v>
      </c>
      <c r="Y877" s="463" t="s">
        <v>2267</v>
      </c>
      <c r="Z877" s="463"/>
      <c r="AA877" s="463"/>
      <c r="AB877" s="464">
        <v>0</v>
      </c>
      <c r="AC877" s="465">
        <v>0</v>
      </c>
      <c r="AD877" s="465">
        <v>0</v>
      </c>
      <c r="AE877" s="476">
        <v>0</v>
      </c>
      <c r="AF877" s="467">
        <v>0</v>
      </c>
      <c r="AG877" s="468">
        <v>0</v>
      </c>
      <c r="AH877" s="218">
        <v>0</v>
      </c>
      <c r="AI877" s="470">
        <v>0</v>
      </c>
      <c r="AJ877" s="471">
        <v>0</v>
      </c>
      <c r="AK877" s="218">
        <v>0</v>
      </c>
      <c r="AL877" s="470">
        <v>0</v>
      </c>
      <c r="AM877" s="471">
        <v>0</v>
      </c>
      <c r="AN877" s="477">
        <v>2.4661417728910533</v>
      </c>
      <c r="AO877" s="473">
        <v>0.34145665670689507</v>
      </c>
      <c r="AP877" s="474">
        <v>3.472248438576568E-4</v>
      </c>
      <c r="AQ877" s="352"/>
      <c r="AR877" s="352"/>
      <c r="AS877" s="352"/>
      <c r="AT877" s="352"/>
      <c r="AU877" s="352"/>
      <c r="AV877" s="352"/>
      <c r="AW877" s="352" t="s">
        <v>254</v>
      </c>
    </row>
    <row r="878" spans="2:49" x14ac:dyDescent="0.2">
      <c r="B878" s="460" t="s">
        <v>2626</v>
      </c>
      <c r="C878" s="460">
        <v>2112</v>
      </c>
      <c r="D878" s="460" t="s">
        <v>2293</v>
      </c>
      <c r="E878" s="460" t="s">
        <v>2277</v>
      </c>
      <c r="F878" s="460">
        <v>4</v>
      </c>
      <c r="G878" s="460">
        <v>1</v>
      </c>
      <c r="H878" s="461" t="s">
        <v>748</v>
      </c>
      <c r="I878" s="461" t="s">
        <v>765</v>
      </c>
      <c r="J878" s="461" t="s">
        <v>700</v>
      </c>
      <c r="K878" s="594"/>
      <c r="L878" s="594"/>
      <c r="M878" s="352">
        <v>2000</v>
      </c>
      <c r="N878" s="352" t="s">
        <v>703</v>
      </c>
      <c r="O878" s="460">
        <v>2112</v>
      </c>
      <c r="P878" s="460" t="s">
        <v>1874</v>
      </c>
      <c r="Q878" s="460" t="s">
        <v>2266</v>
      </c>
      <c r="R878" s="460">
        <v>2112</v>
      </c>
      <c r="S878" s="460" t="s">
        <v>2277</v>
      </c>
      <c r="T878" s="462">
        <v>1</v>
      </c>
      <c r="U878" s="460" t="s">
        <v>2277</v>
      </c>
      <c r="V878" s="475">
        <v>0</v>
      </c>
      <c r="W878" s="463" t="s">
        <v>2268</v>
      </c>
      <c r="X878" s="463" t="s">
        <v>2268</v>
      </c>
      <c r="Y878" s="463" t="s">
        <v>2278</v>
      </c>
      <c r="Z878" s="463"/>
      <c r="AA878" s="463"/>
      <c r="AB878" s="464">
        <v>0</v>
      </c>
      <c r="AC878" s="465">
        <v>0</v>
      </c>
      <c r="AD878" s="465">
        <v>0</v>
      </c>
      <c r="AE878" s="476">
        <v>0</v>
      </c>
      <c r="AF878" s="467">
        <v>0</v>
      </c>
      <c r="AG878" s="468">
        <v>0</v>
      </c>
      <c r="AH878" s="218">
        <v>0</v>
      </c>
      <c r="AI878" s="470">
        <v>0</v>
      </c>
      <c r="AJ878" s="471">
        <v>0</v>
      </c>
      <c r="AK878" s="218">
        <v>0</v>
      </c>
      <c r="AL878" s="470">
        <v>0</v>
      </c>
      <c r="AM878" s="471">
        <v>0</v>
      </c>
      <c r="AN878" s="477">
        <v>4.0675276465079865E-3</v>
      </c>
      <c r="AO878" s="473">
        <v>5.7387138406819218E-4</v>
      </c>
      <c r="AP878" s="474">
        <v>9.8215207230600417E-5</v>
      </c>
      <c r="AQ878" s="352"/>
      <c r="AR878" s="352"/>
      <c r="AS878" s="352"/>
      <c r="AT878" s="352"/>
      <c r="AU878" s="352"/>
      <c r="AV878" s="352"/>
      <c r="AW878" s="352" t="s">
        <v>254</v>
      </c>
    </row>
    <row r="879" spans="2:49" x14ac:dyDescent="0.2">
      <c r="B879" s="460" t="s">
        <v>2627</v>
      </c>
      <c r="C879" s="460">
        <v>2112</v>
      </c>
      <c r="D879" s="460" t="s">
        <v>2295</v>
      </c>
      <c r="E879" s="460" t="s">
        <v>2296</v>
      </c>
      <c r="F879" s="460">
        <v>1</v>
      </c>
      <c r="G879" s="460">
        <v>2</v>
      </c>
      <c r="H879" s="461" t="s">
        <v>700</v>
      </c>
      <c r="I879" s="461" t="s">
        <v>872</v>
      </c>
      <c r="J879" s="461" t="s">
        <v>700</v>
      </c>
      <c r="K879" s="594"/>
      <c r="L879" s="594"/>
      <c r="M879" s="352">
        <v>2000</v>
      </c>
      <c r="N879" s="352" t="s">
        <v>703</v>
      </c>
      <c r="O879" s="460">
        <v>2112</v>
      </c>
      <c r="P879" s="460" t="s">
        <v>1874</v>
      </c>
      <c r="Q879" s="460" t="s">
        <v>2266</v>
      </c>
      <c r="R879" s="460">
        <v>2112</v>
      </c>
      <c r="S879" s="460" t="s">
        <v>2296</v>
      </c>
      <c r="T879" s="462">
        <v>1</v>
      </c>
      <c r="U879" s="460" t="s">
        <v>2296</v>
      </c>
      <c r="V879" s="475">
        <v>0</v>
      </c>
      <c r="W879" s="463" t="s">
        <v>2267</v>
      </c>
      <c r="X879" s="463" t="s">
        <v>2267</v>
      </c>
      <c r="Y879" s="463" t="s">
        <v>2268</v>
      </c>
      <c r="Z879" s="463"/>
      <c r="AA879" s="463"/>
      <c r="AB879" s="464">
        <v>0.46886034644229985</v>
      </c>
      <c r="AC879" s="465">
        <v>0.12301930925401335</v>
      </c>
      <c r="AD879" s="465">
        <v>2.738787990956211E-5</v>
      </c>
      <c r="AE879" s="476">
        <v>0.46886034644229985</v>
      </c>
      <c r="AF879" s="467">
        <v>0.12301930925401335</v>
      </c>
      <c r="AG879" s="468">
        <v>3.0443120453317374E-5</v>
      </c>
      <c r="AH879" s="218">
        <v>0.46886034644229985</v>
      </c>
      <c r="AI879" s="470">
        <v>0.12301930925401335</v>
      </c>
      <c r="AJ879" s="471">
        <v>2.7969087238778026E-5</v>
      </c>
      <c r="AK879" s="218">
        <v>0.46886034644229985</v>
      </c>
      <c r="AL879" s="470">
        <v>0.12301930925401335</v>
      </c>
      <c r="AM879" s="471">
        <v>2.7969087238778026E-5</v>
      </c>
      <c r="AN879" s="477">
        <v>0</v>
      </c>
      <c r="AO879" s="473">
        <v>0</v>
      </c>
      <c r="AP879" s="474">
        <v>0</v>
      </c>
      <c r="AQ879" s="352"/>
      <c r="AR879" s="352"/>
      <c r="AS879" s="352"/>
      <c r="AT879" s="352"/>
      <c r="AU879" s="352"/>
      <c r="AV879" s="352"/>
      <c r="AW879" s="352" t="s">
        <v>254</v>
      </c>
    </row>
    <row r="880" spans="2:49" x14ac:dyDescent="0.2">
      <c r="B880" s="460" t="s">
        <v>2628</v>
      </c>
      <c r="C880" s="460">
        <v>2112</v>
      </c>
      <c r="D880" s="460" t="s">
        <v>2298</v>
      </c>
      <c r="E880" s="460" t="s">
        <v>2299</v>
      </c>
      <c r="F880" s="460">
        <v>2</v>
      </c>
      <c r="G880" s="460">
        <v>2</v>
      </c>
      <c r="H880" s="461" t="s">
        <v>700</v>
      </c>
      <c r="I880" s="461" t="s">
        <v>872</v>
      </c>
      <c r="J880" s="461" t="s">
        <v>700</v>
      </c>
      <c r="K880" s="594"/>
      <c r="L880" s="594"/>
      <c r="M880" s="352">
        <v>2000</v>
      </c>
      <c r="N880" s="352" t="s">
        <v>703</v>
      </c>
      <c r="O880" s="460">
        <v>2112</v>
      </c>
      <c r="P880" s="460" t="s">
        <v>1874</v>
      </c>
      <c r="Q880" s="460" t="s">
        <v>2266</v>
      </c>
      <c r="R880" s="460">
        <v>2112</v>
      </c>
      <c r="S880" s="460" t="s">
        <v>2296</v>
      </c>
      <c r="T880" s="462">
        <v>0.55517361979372948</v>
      </c>
      <c r="U880" s="460" t="s">
        <v>2299</v>
      </c>
      <c r="V880" s="475">
        <v>0</v>
      </c>
      <c r="W880" s="463" t="s">
        <v>2267</v>
      </c>
      <c r="X880" s="463" t="s">
        <v>2267</v>
      </c>
      <c r="Y880" s="463" t="s">
        <v>2268</v>
      </c>
      <c r="Z880" s="463"/>
      <c r="AA880" s="463"/>
      <c r="AB880" s="464">
        <v>0.15771415225570026</v>
      </c>
      <c r="AC880" s="465">
        <v>6.7533788651300983E-2</v>
      </c>
      <c r="AD880" s="465">
        <v>4.7721058885967465E-5</v>
      </c>
      <c r="AE880" s="476">
        <v>0.15771415225570026</v>
      </c>
      <c r="AF880" s="467">
        <v>6.7533788651300983E-2</v>
      </c>
      <c r="AG880" s="468">
        <v>5.3552239649914888E-5</v>
      </c>
      <c r="AH880" s="218">
        <v>0.15949668359296965</v>
      </c>
      <c r="AI880" s="470">
        <v>6.8297075223074835E-2</v>
      </c>
      <c r="AJ880" s="471">
        <v>3.7559487825508949E-5</v>
      </c>
      <c r="AK880" s="218">
        <v>0.15949668359296965</v>
      </c>
      <c r="AL880" s="470">
        <v>6.8297075223074835E-2</v>
      </c>
      <c r="AM880" s="471">
        <v>3.7559487825508949E-5</v>
      </c>
      <c r="AN880" s="477">
        <v>0</v>
      </c>
      <c r="AO880" s="473">
        <v>0</v>
      </c>
      <c r="AP880" s="474">
        <v>0</v>
      </c>
      <c r="AQ880" s="352"/>
      <c r="AR880" s="352"/>
      <c r="AS880" s="352"/>
      <c r="AT880" s="352"/>
      <c r="AU880" s="352"/>
      <c r="AV880" s="352"/>
      <c r="AW880" s="352" t="s">
        <v>254</v>
      </c>
    </row>
    <row r="881" spans="2:49" x14ac:dyDescent="0.2">
      <c r="B881" s="460" t="s">
        <v>2629</v>
      </c>
      <c r="C881" s="460">
        <v>2112</v>
      </c>
      <c r="D881" s="460" t="s">
        <v>2301</v>
      </c>
      <c r="E881" s="460" t="s">
        <v>2302</v>
      </c>
      <c r="F881" s="460">
        <v>3</v>
      </c>
      <c r="G881" s="460">
        <v>2</v>
      </c>
      <c r="H881" s="461" t="s">
        <v>700</v>
      </c>
      <c r="I881" s="461" t="s">
        <v>872</v>
      </c>
      <c r="J881" s="461" t="s">
        <v>700</v>
      </c>
      <c r="K881" s="594"/>
      <c r="L881" s="594"/>
      <c r="M881" s="352">
        <v>2000</v>
      </c>
      <c r="N881" s="352" t="s">
        <v>703</v>
      </c>
      <c r="O881" s="460">
        <v>2112</v>
      </c>
      <c r="P881" s="460" t="s">
        <v>1874</v>
      </c>
      <c r="Q881" s="460" t="s">
        <v>2266</v>
      </c>
      <c r="R881" s="460">
        <v>2112</v>
      </c>
      <c r="S881" s="460" t="s">
        <v>2296</v>
      </c>
      <c r="T881" s="462">
        <v>0.28481449642268464</v>
      </c>
      <c r="U881" s="460" t="s">
        <v>2302</v>
      </c>
      <c r="V881" s="475">
        <v>0</v>
      </c>
      <c r="W881" s="463" t="s">
        <v>2267</v>
      </c>
      <c r="X881" s="463" t="s">
        <v>2267</v>
      </c>
      <c r="Y881" s="463" t="s">
        <v>2268</v>
      </c>
      <c r="Z881" s="463"/>
      <c r="AA881" s="463"/>
      <c r="AB881" s="464">
        <v>1.1908417208860329E-2</v>
      </c>
      <c r="AC881" s="465">
        <v>9.4438166214835736E-3</v>
      </c>
      <c r="AD881" s="465">
        <v>2.3163513135960519E-5</v>
      </c>
      <c r="AE881" s="476">
        <v>1.1908417208860329E-2</v>
      </c>
      <c r="AF881" s="467">
        <v>9.4438166214835736E-3</v>
      </c>
      <c r="AG881" s="468">
        <v>2.6138599261600438E-5</v>
      </c>
      <c r="AH881" s="218">
        <v>4.4181643856490344E-2</v>
      </c>
      <c r="AI881" s="470">
        <v>3.5037682615448318E-2</v>
      </c>
      <c r="AJ881" s="471">
        <v>4.5865800509108134E-5</v>
      </c>
      <c r="AK881" s="218">
        <v>4.4181643856490344E-2</v>
      </c>
      <c r="AL881" s="470">
        <v>3.5037682615448318E-2</v>
      </c>
      <c r="AM881" s="471">
        <v>4.5865800509108134E-5</v>
      </c>
      <c r="AN881" s="477">
        <v>0</v>
      </c>
      <c r="AO881" s="473">
        <v>0</v>
      </c>
      <c r="AP881" s="474">
        <v>0</v>
      </c>
      <c r="AQ881" s="352"/>
      <c r="AR881" s="352"/>
      <c r="AS881" s="352"/>
      <c r="AT881" s="352"/>
      <c r="AU881" s="352"/>
      <c r="AV881" s="352"/>
      <c r="AW881" s="352" t="s">
        <v>254</v>
      </c>
    </row>
    <row r="882" spans="2:49" x14ac:dyDescent="0.2">
      <c r="B882" s="460" t="s">
        <v>2630</v>
      </c>
      <c r="C882" s="460">
        <v>2112</v>
      </c>
      <c r="D882" s="460" t="s">
        <v>2304</v>
      </c>
      <c r="E882" s="460" t="s">
        <v>2305</v>
      </c>
      <c r="F882" s="460">
        <v>4</v>
      </c>
      <c r="G882" s="460">
        <v>2</v>
      </c>
      <c r="H882" s="461" t="s">
        <v>700</v>
      </c>
      <c r="I882" s="461" t="s">
        <v>872</v>
      </c>
      <c r="J882" s="461" t="s">
        <v>700</v>
      </c>
      <c r="K882" s="594"/>
      <c r="L882" s="594"/>
      <c r="M882" s="352">
        <v>2000</v>
      </c>
      <c r="N882" s="352" t="s">
        <v>703</v>
      </c>
      <c r="O882" s="460">
        <v>2112</v>
      </c>
      <c r="P882" s="460" t="s">
        <v>1874</v>
      </c>
      <c r="Q882" s="460" t="s">
        <v>2266</v>
      </c>
      <c r="R882" s="460">
        <v>2112</v>
      </c>
      <c r="S882" s="460" t="s">
        <v>2305</v>
      </c>
      <c r="T882" s="462">
        <v>1</v>
      </c>
      <c r="U882" s="460" t="s">
        <v>2305</v>
      </c>
      <c r="V882" s="475">
        <v>0</v>
      </c>
      <c r="W882" s="463" t="s">
        <v>2278</v>
      </c>
      <c r="X882" s="463" t="s">
        <v>2278</v>
      </c>
      <c r="Y882" s="463" t="s">
        <v>2268</v>
      </c>
      <c r="Z882" s="463"/>
      <c r="AA882" s="463"/>
      <c r="AB882" s="464">
        <v>0</v>
      </c>
      <c r="AC882" s="465">
        <v>0</v>
      </c>
      <c r="AD882" s="465">
        <v>0</v>
      </c>
      <c r="AE882" s="476">
        <v>0</v>
      </c>
      <c r="AF882" s="467">
        <v>0</v>
      </c>
      <c r="AG882" s="468">
        <v>0</v>
      </c>
      <c r="AH882" s="218">
        <v>0</v>
      </c>
      <c r="AI882" s="470">
        <v>0</v>
      </c>
      <c r="AJ882" s="471">
        <v>0</v>
      </c>
      <c r="AK882" s="218">
        <v>0</v>
      </c>
      <c r="AL882" s="470">
        <v>0</v>
      </c>
      <c r="AM882" s="471">
        <v>0</v>
      </c>
      <c r="AN882" s="477">
        <v>0</v>
      </c>
      <c r="AO882" s="473">
        <v>0</v>
      </c>
      <c r="AP882" s="474">
        <v>0</v>
      </c>
      <c r="AQ882" s="352"/>
      <c r="AR882" s="352"/>
      <c r="AS882" s="352"/>
      <c r="AT882" s="352"/>
      <c r="AU882" s="352"/>
      <c r="AV882" s="352"/>
      <c r="AW882" s="352" t="s">
        <v>254</v>
      </c>
    </row>
    <row r="883" spans="2:49" x14ac:dyDescent="0.2">
      <c r="B883" s="460" t="s">
        <v>2627</v>
      </c>
      <c r="C883" s="460">
        <v>2112</v>
      </c>
      <c r="D883" s="460" t="s">
        <v>2306</v>
      </c>
      <c r="E883" s="460" t="s">
        <v>2296</v>
      </c>
      <c r="F883" s="460">
        <v>1</v>
      </c>
      <c r="G883" s="460">
        <v>2</v>
      </c>
      <c r="H883" s="461" t="s">
        <v>712</v>
      </c>
      <c r="I883" s="461" t="s">
        <v>713</v>
      </c>
      <c r="J883" s="461" t="s">
        <v>712</v>
      </c>
      <c r="K883" s="594"/>
      <c r="L883" s="594"/>
      <c r="M883" s="352">
        <v>2000</v>
      </c>
      <c r="N883" s="352" t="s">
        <v>703</v>
      </c>
      <c r="O883" s="460">
        <v>2112</v>
      </c>
      <c r="P883" s="460" t="s">
        <v>1874</v>
      </c>
      <c r="Q883" s="460" t="s">
        <v>2280</v>
      </c>
      <c r="R883" s="460">
        <v>2112</v>
      </c>
      <c r="S883" s="460" t="s">
        <v>2296</v>
      </c>
      <c r="T883" s="462">
        <v>1</v>
      </c>
      <c r="U883" s="460" t="s">
        <v>2296</v>
      </c>
      <c r="V883" s="475">
        <v>0</v>
      </c>
      <c r="W883" s="463" t="s">
        <v>713</v>
      </c>
      <c r="X883" s="463" t="s">
        <v>713</v>
      </c>
      <c r="Y883" s="463" t="s">
        <v>713</v>
      </c>
      <c r="Z883" s="463"/>
      <c r="AA883" s="463"/>
      <c r="AB883" s="464">
        <v>3.342414072878209</v>
      </c>
      <c r="AC883" s="465">
        <v>0.87698069074598661</v>
      </c>
      <c r="AD883" s="465">
        <v>2.8908462034673431E-5</v>
      </c>
      <c r="AE883" s="476">
        <v>3.342414072878209</v>
      </c>
      <c r="AF883" s="467">
        <v>0.87698069074598661</v>
      </c>
      <c r="AG883" s="468">
        <v>2.8485184609886669E-5</v>
      </c>
      <c r="AH883" s="218">
        <v>3.342414072878209</v>
      </c>
      <c r="AI883" s="470">
        <v>0.87698069074598661</v>
      </c>
      <c r="AJ883" s="471">
        <v>2.8819788625623904E-5</v>
      </c>
      <c r="AK883" s="218">
        <v>3.342414072878209</v>
      </c>
      <c r="AL883" s="470">
        <v>0.87698069074598661</v>
      </c>
      <c r="AM883" s="471">
        <v>2.8819788625623904E-5</v>
      </c>
      <c r="AN883" s="477">
        <v>3.342414072878209</v>
      </c>
      <c r="AO883" s="473">
        <v>0.87698069074598661</v>
      </c>
      <c r="AP883" s="474">
        <v>2.8812715852756149E-5</v>
      </c>
      <c r="AQ883" s="352"/>
      <c r="AR883" s="352"/>
      <c r="AS883" s="352"/>
      <c r="AT883" s="352"/>
      <c r="AU883" s="352"/>
      <c r="AV883" s="352"/>
      <c r="AW883" s="352" t="s">
        <v>254</v>
      </c>
    </row>
    <row r="884" spans="2:49" x14ac:dyDescent="0.2">
      <c r="B884" s="460" t="s">
        <v>2628</v>
      </c>
      <c r="C884" s="460">
        <v>2112</v>
      </c>
      <c r="D884" s="460" t="s">
        <v>2307</v>
      </c>
      <c r="E884" s="460" t="s">
        <v>2299</v>
      </c>
      <c r="F884" s="460">
        <v>2</v>
      </c>
      <c r="G884" s="460">
        <v>2</v>
      </c>
      <c r="H884" s="461" t="s">
        <v>712</v>
      </c>
      <c r="I884" s="461" t="s">
        <v>713</v>
      </c>
      <c r="J884" s="461" t="s">
        <v>712</v>
      </c>
      <c r="K884" s="594"/>
      <c r="L884" s="594"/>
      <c r="M884" s="352">
        <v>2000</v>
      </c>
      <c r="N884" s="352" t="s">
        <v>703</v>
      </c>
      <c r="O884" s="460">
        <v>2112</v>
      </c>
      <c r="P884" s="460" t="s">
        <v>1874</v>
      </c>
      <c r="Q884" s="460" t="s">
        <v>2280</v>
      </c>
      <c r="R884" s="460">
        <v>2112</v>
      </c>
      <c r="S884" s="460" t="s">
        <v>2296</v>
      </c>
      <c r="T884" s="462">
        <v>0.55517361979372948</v>
      </c>
      <c r="U884" s="460" t="s">
        <v>2299</v>
      </c>
      <c r="V884" s="475">
        <v>0</v>
      </c>
      <c r="W884" s="463" t="s">
        <v>713</v>
      </c>
      <c r="X884" s="463" t="s">
        <v>713</v>
      </c>
      <c r="Y884" s="463" t="s">
        <v>713</v>
      </c>
      <c r="Z884" s="463"/>
      <c r="AA884" s="463"/>
      <c r="AB884" s="464">
        <v>2.1776228013695427</v>
      </c>
      <c r="AC884" s="465">
        <v>0.932466211348699</v>
      </c>
      <c r="AD884" s="465">
        <v>2.518802405750098E-5</v>
      </c>
      <c r="AE884" s="476">
        <v>2.1776228013695427</v>
      </c>
      <c r="AF884" s="467">
        <v>0.932466211348699</v>
      </c>
      <c r="AG884" s="468">
        <v>2.5083614316402113E-5</v>
      </c>
      <c r="AH884" s="218">
        <v>2.1758402700322734</v>
      </c>
      <c r="AI884" s="470">
        <v>0.93170292477692518</v>
      </c>
      <c r="AJ884" s="471">
        <v>2.5491929772682206E-5</v>
      </c>
      <c r="AK884" s="218">
        <v>2.1758402700322734</v>
      </c>
      <c r="AL884" s="470">
        <v>0.93170292477692518</v>
      </c>
      <c r="AM884" s="471">
        <v>2.5491929772682206E-5</v>
      </c>
      <c r="AN884" s="477">
        <v>2.1758402700322734</v>
      </c>
      <c r="AO884" s="473">
        <v>0.93170292477692518</v>
      </c>
      <c r="AP884" s="474">
        <v>2.5488711806556264E-5</v>
      </c>
      <c r="AQ884" s="352"/>
      <c r="AR884" s="352"/>
      <c r="AS884" s="352"/>
      <c r="AT884" s="352"/>
      <c r="AU884" s="352"/>
      <c r="AV884" s="352"/>
      <c r="AW884" s="352" t="s">
        <v>254</v>
      </c>
    </row>
    <row r="885" spans="2:49" x14ac:dyDescent="0.2">
      <c r="B885" s="460" t="s">
        <v>2629</v>
      </c>
      <c r="C885" s="460">
        <v>2112</v>
      </c>
      <c r="D885" s="460" t="s">
        <v>2308</v>
      </c>
      <c r="E885" s="460" t="s">
        <v>2302</v>
      </c>
      <c r="F885" s="460">
        <v>3</v>
      </c>
      <c r="G885" s="460">
        <v>2</v>
      </c>
      <c r="H885" s="461" t="s">
        <v>712</v>
      </c>
      <c r="I885" s="461" t="s">
        <v>713</v>
      </c>
      <c r="J885" s="461" t="s">
        <v>712</v>
      </c>
      <c r="K885" s="594"/>
      <c r="L885" s="594"/>
      <c r="M885" s="352">
        <v>2000</v>
      </c>
      <c r="N885" s="352" t="s">
        <v>703</v>
      </c>
      <c r="O885" s="460">
        <v>2112</v>
      </c>
      <c r="P885" s="460" t="s">
        <v>1874</v>
      </c>
      <c r="Q885" s="460" t="s">
        <v>2280</v>
      </c>
      <c r="R885" s="460">
        <v>2112</v>
      </c>
      <c r="S885" s="460" t="s">
        <v>2296</v>
      </c>
      <c r="T885" s="462">
        <v>0.28481449642268464</v>
      </c>
      <c r="U885" s="460" t="s">
        <v>2302</v>
      </c>
      <c r="V885" s="475">
        <v>0</v>
      </c>
      <c r="W885" s="463" t="s">
        <v>713</v>
      </c>
      <c r="X885" s="463" t="s">
        <v>713</v>
      </c>
      <c r="Y885" s="463" t="s">
        <v>713</v>
      </c>
      <c r="Z885" s="463"/>
      <c r="AA885" s="463"/>
      <c r="AB885" s="464">
        <v>1.2490666404569226</v>
      </c>
      <c r="AC885" s="465">
        <v>0.99055618337851636</v>
      </c>
      <c r="AD885" s="465">
        <v>3.6332227278171283E-5</v>
      </c>
      <c r="AE885" s="476">
        <v>1.2490666404569226</v>
      </c>
      <c r="AF885" s="467">
        <v>0.99055618337851647</v>
      </c>
      <c r="AG885" s="468">
        <v>3.6270492951390391E-5</v>
      </c>
      <c r="AH885" s="218">
        <v>1.2167934138092926</v>
      </c>
      <c r="AI885" s="470">
        <v>0.96496231738455163</v>
      </c>
      <c r="AJ885" s="471">
        <v>3.5862034350612839E-5</v>
      </c>
      <c r="AK885" s="218">
        <v>1.2167934138092926</v>
      </c>
      <c r="AL885" s="470">
        <v>0.96496231738455163</v>
      </c>
      <c r="AM885" s="471">
        <v>3.5862034350612839E-5</v>
      </c>
      <c r="AN885" s="477">
        <v>1.2167934138092926</v>
      </c>
      <c r="AO885" s="473">
        <v>0.96496231738455163</v>
      </c>
      <c r="AP885" s="474">
        <v>3.5893218380897645E-5</v>
      </c>
      <c r="AQ885" s="352"/>
      <c r="AR885" s="352"/>
      <c r="AS885" s="352"/>
      <c r="AT885" s="352"/>
      <c r="AU885" s="352"/>
      <c r="AV885" s="352"/>
      <c r="AW885" s="352" t="s">
        <v>254</v>
      </c>
    </row>
    <row r="886" spans="2:49" x14ac:dyDescent="0.2">
      <c r="B886" s="460" t="s">
        <v>2630</v>
      </c>
      <c r="C886" s="460">
        <v>2112</v>
      </c>
      <c r="D886" s="460" t="s">
        <v>2309</v>
      </c>
      <c r="E886" s="460" t="s">
        <v>2305</v>
      </c>
      <c r="F886" s="460">
        <v>4</v>
      </c>
      <c r="G886" s="460">
        <v>2</v>
      </c>
      <c r="H886" s="461" t="s">
        <v>712</v>
      </c>
      <c r="I886" s="461" t="s">
        <v>713</v>
      </c>
      <c r="J886" s="461" t="s">
        <v>712</v>
      </c>
      <c r="K886" s="594"/>
      <c r="L886" s="594"/>
      <c r="M886" s="352">
        <v>2000</v>
      </c>
      <c r="N886" s="352" t="s">
        <v>703</v>
      </c>
      <c r="O886" s="460">
        <v>2112</v>
      </c>
      <c r="P886" s="460" t="s">
        <v>1874</v>
      </c>
      <c r="Q886" s="460" t="s">
        <v>2280</v>
      </c>
      <c r="R886" s="460">
        <v>2112</v>
      </c>
      <c r="S886" s="460" t="s">
        <v>2305</v>
      </c>
      <c r="T886" s="462">
        <v>1</v>
      </c>
      <c r="U886" s="460" t="s">
        <v>2305</v>
      </c>
      <c r="V886" s="475">
        <v>0</v>
      </c>
      <c r="W886" s="463" t="s">
        <v>713</v>
      </c>
      <c r="X886" s="463" t="s">
        <v>713</v>
      </c>
      <c r="Y886" s="463" t="s">
        <v>713</v>
      </c>
      <c r="Z886" s="463"/>
      <c r="AA886" s="463"/>
      <c r="AB886" s="464">
        <v>1.4185742408760504</v>
      </c>
      <c r="AC886" s="465">
        <v>1</v>
      </c>
      <c r="AD886" s="465">
        <v>3.6230247683777951E-5</v>
      </c>
      <c r="AE886" s="476">
        <v>1.4185742408760504</v>
      </c>
      <c r="AF886" s="467">
        <v>1</v>
      </c>
      <c r="AG886" s="468">
        <v>3.6229085548347752E-5</v>
      </c>
      <c r="AH886" s="218">
        <v>1.4185742408760504</v>
      </c>
      <c r="AI886" s="470">
        <v>1</v>
      </c>
      <c r="AJ886" s="471">
        <v>3.622912940474159E-5</v>
      </c>
      <c r="AK886" s="218">
        <v>1.4185742408760504</v>
      </c>
      <c r="AL886" s="470">
        <v>1</v>
      </c>
      <c r="AM886" s="471">
        <v>3.622912940474159E-5</v>
      </c>
      <c r="AN886" s="477">
        <v>1.4185742408760504</v>
      </c>
      <c r="AO886" s="473">
        <v>1</v>
      </c>
      <c r="AP886" s="474">
        <v>3.622917372017172E-5</v>
      </c>
      <c r="AQ886" s="352"/>
      <c r="AR886" s="352"/>
      <c r="AS886" s="352"/>
      <c r="AT886" s="352"/>
      <c r="AU886" s="352"/>
      <c r="AV886" s="352"/>
      <c r="AW886" s="352" t="s">
        <v>254</v>
      </c>
    </row>
    <row r="887" spans="2:49" x14ac:dyDescent="0.2">
      <c r="B887" s="460" t="s">
        <v>2627</v>
      </c>
      <c r="C887" s="460">
        <v>2112</v>
      </c>
      <c r="D887" s="460" t="s">
        <v>2310</v>
      </c>
      <c r="E887" s="460" t="s">
        <v>2296</v>
      </c>
      <c r="F887" s="460">
        <v>1</v>
      </c>
      <c r="G887" s="460">
        <v>2</v>
      </c>
      <c r="H887" s="461" t="s">
        <v>746</v>
      </c>
      <c r="I887" s="461" t="s">
        <v>762</v>
      </c>
      <c r="J887" s="461" t="s">
        <v>700</v>
      </c>
      <c r="K887" s="594"/>
      <c r="L887" s="594"/>
      <c r="M887" s="352">
        <v>2000</v>
      </c>
      <c r="N887" s="352" t="s">
        <v>703</v>
      </c>
      <c r="O887" s="460">
        <v>2112</v>
      </c>
      <c r="P887" s="460" t="s">
        <v>1874</v>
      </c>
      <c r="Q887" s="460" t="s">
        <v>2289</v>
      </c>
      <c r="R887" s="460">
        <v>2112</v>
      </c>
      <c r="S887" s="460" t="s">
        <v>2296</v>
      </c>
      <c r="T887" s="462">
        <v>1</v>
      </c>
      <c r="U887" s="460" t="s">
        <v>2296</v>
      </c>
      <c r="V887" s="475">
        <v>0</v>
      </c>
      <c r="W887" s="463" t="s">
        <v>2268</v>
      </c>
      <c r="X887" s="463" t="s">
        <v>2268</v>
      </c>
      <c r="Y887" s="463" t="s">
        <v>2290</v>
      </c>
      <c r="Z887" s="463"/>
      <c r="AA887" s="463"/>
      <c r="AB887" s="464">
        <v>0</v>
      </c>
      <c r="AC887" s="465">
        <v>0</v>
      </c>
      <c r="AD887" s="465">
        <v>0</v>
      </c>
      <c r="AE887" s="476">
        <v>0</v>
      </c>
      <c r="AF887" s="467">
        <v>0</v>
      </c>
      <c r="AG887" s="468">
        <v>0</v>
      </c>
      <c r="AH887" s="218">
        <v>0</v>
      </c>
      <c r="AI887" s="470">
        <v>0</v>
      </c>
      <c r="AJ887" s="471">
        <v>0</v>
      </c>
      <c r="AK887" s="218">
        <v>0</v>
      </c>
      <c r="AL887" s="470">
        <v>0</v>
      </c>
      <c r="AM887" s="471">
        <v>0</v>
      </c>
      <c r="AN887" s="477">
        <v>0</v>
      </c>
      <c r="AO887" s="473">
        <v>0</v>
      </c>
      <c r="AP887" s="474">
        <v>0</v>
      </c>
      <c r="AQ887" s="352"/>
      <c r="AR887" s="352"/>
      <c r="AS887" s="352"/>
      <c r="AT887" s="352"/>
      <c r="AU887" s="352"/>
      <c r="AV887" s="352"/>
      <c r="AW887" s="352" t="s">
        <v>254</v>
      </c>
    </row>
    <row r="888" spans="2:49" x14ac:dyDescent="0.2">
      <c r="B888" s="460" t="s">
        <v>2628</v>
      </c>
      <c r="C888" s="460">
        <v>2112</v>
      </c>
      <c r="D888" s="460" t="s">
        <v>2311</v>
      </c>
      <c r="E888" s="460" t="s">
        <v>2299</v>
      </c>
      <c r="F888" s="460">
        <v>2</v>
      </c>
      <c r="G888" s="460">
        <v>2</v>
      </c>
      <c r="H888" s="461" t="s">
        <v>746</v>
      </c>
      <c r="I888" s="461" t="s">
        <v>762</v>
      </c>
      <c r="J888" s="461" t="s">
        <v>700</v>
      </c>
      <c r="K888" s="594"/>
      <c r="L888" s="594"/>
      <c r="M888" s="352">
        <v>2000</v>
      </c>
      <c r="N888" s="352" t="s">
        <v>703</v>
      </c>
      <c r="O888" s="460">
        <v>2112</v>
      </c>
      <c r="P888" s="460" t="s">
        <v>1874</v>
      </c>
      <c r="Q888" s="460" t="s">
        <v>2289</v>
      </c>
      <c r="R888" s="460">
        <v>2112</v>
      </c>
      <c r="S888" s="460" t="s">
        <v>2296</v>
      </c>
      <c r="T888" s="462">
        <v>0.55517361979372948</v>
      </c>
      <c r="U888" s="460" t="s">
        <v>2299</v>
      </c>
      <c r="V888" s="475">
        <v>0</v>
      </c>
      <c r="W888" s="463" t="s">
        <v>2268</v>
      </c>
      <c r="X888" s="463" t="s">
        <v>2268</v>
      </c>
      <c r="Y888" s="463" t="s">
        <v>2290</v>
      </c>
      <c r="Z888" s="463"/>
      <c r="AA888" s="463"/>
      <c r="AB888" s="464">
        <v>0</v>
      </c>
      <c r="AC888" s="465">
        <v>0</v>
      </c>
      <c r="AD888" s="465">
        <v>0</v>
      </c>
      <c r="AE888" s="476">
        <v>0</v>
      </c>
      <c r="AF888" s="467">
        <v>0</v>
      </c>
      <c r="AG888" s="468">
        <v>0</v>
      </c>
      <c r="AH888" s="218">
        <v>0</v>
      </c>
      <c r="AI888" s="470">
        <v>0</v>
      </c>
      <c r="AJ888" s="471">
        <v>0</v>
      </c>
      <c r="AK888" s="218">
        <v>0</v>
      </c>
      <c r="AL888" s="470">
        <v>0</v>
      </c>
      <c r="AM888" s="471">
        <v>0</v>
      </c>
      <c r="AN888" s="477">
        <v>0</v>
      </c>
      <c r="AO888" s="473">
        <v>0</v>
      </c>
      <c r="AP888" s="474">
        <v>0</v>
      </c>
      <c r="AQ888" s="352"/>
      <c r="AR888" s="352"/>
      <c r="AS888" s="352"/>
      <c r="AT888" s="352"/>
      <c r="AU888" s="352"/>
      <c r="AV888" s="352"/>
      <c r="AW888" s="352" t="s">
        <v>254</v>
      </c>
    </row>
    <row r="889" spans="2:49" x14ac:dyDescent="0.2">
      <c r="B889" s="460" t="s">
        <v>2629</v>
      </c>
      <c r="C889" s="460">
        <v>2112</v>
      </c>
      <c r="D889" s="460" t="s">
        <v>2312</v>
      </c>
      <c r="E889" s="460" t="s">
        <v>2302</v>
      </c>
      <c r="F889" s="460">
        <v>3</v>
      </c>
      <c r="G889" s="460">
        <v>2</v>
      </c>
      <c r="H889" s="461" t="s">
        <v>746</v>
      </c>
      <c r="I889" s="461" t="s">
        <v>762</v>
      </c>
      <c r="J889" s="461" t="s">
        <v>700</v>
      </c>
      <c r="K889" s="594"/>
      <c r="L889" s="594"/>
      <c r="M889" s="352">
        <v>2000</v>
      </c>
      <c r="N889" s="352" t="s">
        <v>703</v>
      </c>
      <c r="O889" s="460">
        <v>2112</v>
      </c>
      <c r="P889" s="460" t="s">
        <v>1874</v>
      </c>
      <c r="Q889" s="460" t="s">
        <v>2289</v>
      </c>
      <c r="R889" s="460">
        <v>2112</v>
      </c>
      <c r="S889" s="460" t="s">
        <v>2296</v>
      </c>
      <c r="T889" s="462">
        <v>0.28481449642268464</v>
      </c>
      <c r="U889" s="460" t="s">
        <v>2302</v>
      </c>
      <c r="V889" s="475">
        <v>0</v>
      </c>
      <c r="W889" s="463" t="s">
        <v>2268</v>
      </c>
      <c r="X889" s="463" t="s">
        <v>2268</v>
      </c>
      <c r="Y889" s="463" t="s">
        <v>2290</v>
      </c>
      <c r="Z889" s="463"/>
      <c r="AA889" s="463"/>
      <c r="AB889" s="464">
        <v>0</v>
      </c>
      <c r="AC889" s="465">
        <v>0</v>
      </c>
      <c r="AD889" s="465">
        <v>0</v>
      </c>
      <c r="AE889" s="476">
        <v>0</v>
      </c>
      <c r="AF889" s="467">
        <v>0</v>
      </c>
      <c r="AG889" s="468">
        <v>0</v>
      </c>
      <c r="AH889" s="218">
        <v>0</v>
      </c>
      <c r="AI889" s="470">
        <v>0</v>
      </c>
      <c r="AJ889" s="471">
        <v>0</v>
      </c>
      <c r="AK889" s="218">
        <v>0</v>
      </c>
      <c r="AL889" s="470">
        <v>0</v>
      </c>
      <c r="AM889" s="471">
        <v>0</v>
      </c>
      <c r="AN889" s="477">
        <v>0</v>
      </c>
      <c r="AO889" s="473">
        <v>0</v>
      </c>
      <c r="AP889" s="474">
        <v>0</v>
      </c>
      <c r="AQ889" s="352"/>
      <c r="AR889" s="352"/>
      <c r="AS889" s="352"/>
      <c r="AT889" s="352"/>
      <c r="AU889" s="352"/>
      <c r="AV889" s="352"/>
      <c r="AW889" s="352" t="s">
        <v>254</v>
      </c>
    </row>
    <row r="890" spans="2:49" x14ac:dyDescent="0.2">
      <c r="B890" s="460" t="s">
        <v>2630</v>
      </c>
      <c r="C890" s="460">
        <v>2112</v>
      </c>
      <c r="D890" s="460" t="s">
        <v>2313</v>
      </c>
      <c r="E890" s="460" t="s">
        <v>2305</v>
      </c>
      <c r="F890" s="460">
        <v>4</v>
      </c>
      <c r="G890" s="460">
        <v>2</v>
      </c>
      <c r="H890" s="461" t="s">
        <v>746</v>
      </c>
      <c r="I890" s="461" t="s">
        <v>762</v>
      </c>
      <c r="J890" s="461" t="s">
        <v>700</v>
      </c>
      <c r="K890" s="594"/>
      <c r="L890" s="594"/>
      <c r="M890" s="352">
        <v>2000</v>
      </c>
      <c r="N890" s="352" t="s">
        <v>703</v>
      </c>
      <c r="O890" s="460">
        <v>2112</v>
      </c>
      <c r="P890" s="460" t="s">
        <v>1874</v>
      </c>
      <c r="Q890" s="460" t="s">
        <v>2289</v>
      </c>
      <c r="R890" s="460">
        <v>2112</v>
      </c>
      <c r="S890" s="460" t="s">
        <v>2305</v>
      </c>
      <c r="T890" s="462">
        <v>1</v>
      </c>
      <c r="U890" s="460" t="s">
        <v>2305</v>
      </c>
      <c r="V890" s="475">
        <v>0</v>
      </c>
      <c r="W890" s="463" t="s">
        <v>2268</v>
      </c>
      <c r="X890" s="463" t="s">
        <v>2268</v>
      </c>
      <c r="Y890" s="463" t="s">
        <v>2290</v>
      </c>
      <c r="Z890" s="463"/>
      <c r="AA890" s="463"/>
      <c r="AB890" s="464">
        <v>0</v>
      </c>
      <c r="AC890" s="465">
        <v>0</v>
      </c>
      <c r="AD890" s="465">
        <v>0</v>
      </c>
      <c r="AE890" s="476">
        <v>0</v>
      </c>
      <c r="AF890" s="467">
        <v>0</v>
      </c>
      <c r="AG890" s="468">
        <v>0</v>
      </c>
      <c r="AH890" s="218">
        <v>0</v>
      </c>
      <c r="AI890" s="470">
        <v>0</v>
      </c>
      <c r="AJ890" s="471">
        <v>0</v>
      </c>
      <c r="AK890" s="218">
        <v>0</v>
      </c>
      <c r="AL890" s="470">
        <v>0</v>
      </c>
      <c r="AM890" s="471">
        <v>0</v>
      </c>
      <c r="AN890" s="477">
        <v>0</v>
      </c>
      <c r="AO890" s="473">
        <v>0</v>
      </c>
      <c r="AP890" s="474">
        <v>0</v>
      </c>
      <c r="AQ890" s="352"/>
      <c r="AR890" s="352"/>
      <c r="AS890" s="352"/>
      <c r="AT890" s="352"/>
      <c r="AU890" s="352"/>
      <c r="AV890" s="352"/>
      <c r="AW890" s="352" t="s">
        <v>254</v>
      </c>
    </row>
    <row r="891" spans="2:49" x14ac:dyDescent="0.2">
      <c r="B891" s="460" t="s">
        <v>2627</v>
      </c>
      <c r="C891" s="460">
        <v>2112</v>
      </c>
      <c r="D891" s="460" t="s">
        <v>2314</v>
      </c>
      <c r="E891" s="460" t="s">
        <v>2296</v>
      </c>
      <c r="F891" s="460">
        <v>1</v>
      </c>
      <c r="G891" s="460">
        <v>2</v>
      </c>
      <c r="H891" s="461" t="s">
        <v>748</v>
      </c>
      <c r="I891" s="461" t="s">
        <v>765</v>
      </c>
      <c r="J891" s="461" t="s">
        <v>700</v>
      </c>
      <c r="K891" s="594"/>
      <c r="L891" s="594"/>
      <c r="M891" s="352">
        <v>2000</v>
      </c>
      <c r="N891" s="352" t="s">
        <v>703</v>
      </c>
      <c r="O891" s="460">
        <v>2112</v>
      </c>
      <c r="P891" s="460" t="s">
        <v>1874</v>
      </c>
      <c r="Q891" s="460" t="s">
        <v>2266</v>
      </c>
      <c r="R891" s="460">
        <v>2112</v>
      </c>
      <c r="S891" s="460" t="s">
        <v>2296</v>
      </c>
      <c r="T891" s="462">
        <v>1</v>
      </c>
      <c r="U891" s="460" t="s">
        <v>2296</v>
      </c>
      <c r="V891" s="475">
        <v>0</v>
      </c>
      <c r="W891" s="463" t="s">
        <v>2268</v>
      </c>
      <c r="X891" s="463" t="s">
        <v>2268</v>
      </c>
      <c r="Y891" s="463" t="s">
        <v>2267</v>
      </c>
      <c r="Z891" s="463"/>
      <c r="AA891" s="463"/>
      <c r="AB891" s="464">
        <v>0</v>
      </c>
      <c r="AC891" s="465">
        <v>0</v>
      </c>
      <c r="AD891" s="465">
        <v>0</v>
      </c>
      <c r="AE891" s="476">
        <v>0</v>
      </c>
      <c r="AF891" s="467">
        <v>0</v>
      </c>
      <c r="AG891" s="468">
        <v>0</v>
      </c>
      <c r="AH891" s="218">
        <v>0</v>
      </c>
      <c r="AI891" s="470">
        <v>0</v>
      </c>
      <c r="AJ891" s="471">
        <v>0</v>
      </c>
      <c r="AK891" s="218">
        <v>0</v>
      </c>
      <c r="AL891" s="470">
        <v>0</v>
      </c>
      <c r="AM891" s="471">
        <v>0</v>
      </c>
      <c r="AN891" s="477">
        <v>0.46886034644229985</v>
      </c>
      <c r="AO891" s="473">
        <v>0.12301930925401335</v>
      </c>
      <c r="AP891" s="474">
        <v>1.4323041359390033E-4</v>
      </c>
      <c r="AQ891" s="352"/>
      <c r="AR891" s="352"/>
      <c r="AS891" s="352"/>
      <c r="AT891" s="352"/>
      <c r="AU891" s="352"/>
      <c r="AV891" s="352"/>
      <c r="AW891" s="352" t="s">
        <v>254</v>
      </c>
    </row>
    <row r="892" spans="2:49" x14ac:dyDescent="0.2">
      <c r="B892" s="460" t="s">
        <v>2628</v>
      </c>
      <c r="C892" s="460">
        <v>2112</v>
      </c>
      <c r="D892" s="460" t="s">
        <v>2315</v>
      </c>
      <c r="E892" s="460" t="s">
        <v>2299</v>
      </c>
      <c r="F892" s="460">
        <v>2</v>
      </c>
      <c r="G892" s="460">
        <v>2</v>
      </c>
      <c r="H892" s="461" t="s">
        <v>748</v>
      </c>
      <c r="I892" s="461" t="s">
        <v>765</v>
      </c>
      <c r="J892" s="461" t="s">
        <v>700</v>
      </c>
      <c r="K892" s="594"/>
      <c r="L892" s="594"/>
      <c r="M892" s="352">
        <v>2000</v>
      </c>
      <c r="N892" s="352" t="s">
        <v>703</v>
      </c>
      <c r="O892" s="460">
        <v>2112</v>
      </c>
      <c r="P892" s="460" t="s">
        <v>1874</v>
      </c>
      <c r="Q892" s="460" t="s">
        <v>2266</v>
      </c>
      <c r="R892" s="460">
        <v>2112</v>
      </c>
      <c r="S892" s="460" t="s">
        <v>2296</v>
      </c>
      <c r="T892" s="462">
        <v>0.55517361979372948</v>
      </c>
      <c r="U892" s="460" t="s">
        <v>2299</v>
      </c>
      <c r="V892" s="475">
        <v>0</v>
      </c>
      <c r="W892" s="463" t="s">
        <v>2268</v>
      </c>
      <c r="X892" s="463" t="s">
        <v>2268</v>
      </c>
      <c r="Y892" s="463" t="s">
        <v>2267</v>
      </c>
      <c r="Z892" s="463"/>
      <c r="AA892" s="463"/>
      <c r="AB892" s="464">
        <v>0</v>
      </c>
      <c r="AC892" s="465">
        <v>0</v>
      </c>
      <c r="AD892" s="465">
        <v>0</v>
      </c>
      <c r="AE892" s="476">
        <v>0</v>
      </c>
      <c r="AF892" s="467">
        <v>0</v>
      </c>
      <c r="AG892" s="468">
        <v>0</v>
      </c>
      <c r="AH892" s="218">
        <v>0</v>
      </c>
      <c r="AI892" s="470">
        <v>0</v>
      </c>
      <c r="AJ892" s="471">
        <v>0</v>
      </c>
      <c r="AK892" s="218">
        <v>0</v>
      </c>
      <c r="AL892" s="470">
        <v>0</v>
      </c>
      <c r="AM892" s="471">
        <v>0</v>
      </c>
      <c r="AN892" s="477">
        <v>0.15949668359296965</v>
      </c>
      <c r="AO892" s="473">
        <v>6.8297075223074835E-2</v>
      </c>
      <c r="AP892" s="474">
        <v>1.4777082334460644E-4</v>
      </c>
      <c r="AQ892" s="352"/>
      <c r="AR892" s="352"/>
      <c r="AS892" s="352"/>
      <c r="AT892" s="352"/>
      <c r="AU892" s="352"/>
      <c r="AV892" s="352"/>
      <c r="AW892" s="352" t="s">
        <v>254</v>
      </c>
    </row>
    <row r="893" spans="2:49" x14ac:dyDescent="0.2">
      <c r="B893" s="460" t="s">
        <v>2629</v>
      </c>
      <c r="C893" s="460">
        <v>2112</v>
      </c>
      <c r="D893" s="460" t="s">
        <v>2316</v>
      </c>
      <c r="E893" s="460" t="s">
        <v>2302</v>
      </c>
      <c r="F893" s="460">
        <v>3</v>
      </c>
      <c r="G893" s="460">
        <v>2</v>
      </c>
      <c r="H893" s="461" t="s">
        <v>748</v>
      </c>
      <c r="I893" s="461" t="s">
        <v>765</v>
      </c>
      <c r="J893" s="461" t="s">
        <v>700</v>
      </c>
      <c r="K893" s="594"/>
      <c r="L893" s="594"/>
      <c r="M893" s="352">
        <v>2000</v>
      </c>
      <c r="N893" s="352" t="s">
        <v>703</v>
      </c>
      <c r="O893" s="460">
        <v>2112</v>
      </c>
      <c r="P893" s="460" t="s">
        <v>1874</v>
      </c>
      <c r="Q893" s="460" t="s">
        <v>2266</v>
      </c>
      <c r="R893" s="460">
        <v>2112</v>
      </c>
      <c r="S893" s="460" t="s">
        <v>2296</v>
      </c>
      <c r="T893" s="462">
        <v>0.28481449642268464</v>
      </c>
      <c r="U893" s="460" t="s">
        <v>2302</v>
      </c>
      <c r="V893" s="475">
        <v>0</v>
      </c>
      <c r="W893" s="463" t="s">
        <v>2268</v>
      </c>
      <c r="X893" s="463" t="s">
        <v>2268</v>
      </c>
      <c r="Y893" s="463" t="s">
        <v>2267</v>
      </c>
      <c r="Z893" s="463"/>
      <c r="AA893" s="463"/>
      <c r="AB893" s="464">
        <v>0</v>
      </c>
      <c r="AC893" s="465">
        <v>0</v>
      </c>
      <c r="AD893" s="465">
        <v>0</v>
      </c>
      <c r="AE893" s="476">
        <v>0</v>
      </c>
      <c r="AF893" s="467">
        <v>0</v>
      </c>
      <c r="AG893" s="468">
        <v>0</v>
      </c>
      <c r="AH893" s="218">
        <v>0</v>
      </c>
      <c r="AI893" s="470">
        <v>0</v>
      </c>
      <c r="AJ893" s="471">
        <v>0</v>
      </c>
      <c r="AK893" s="218">
        <v>0</v>
      </c>
      <c r="AL893" s="470">
        <v>0</v>
      </c>
      <c r="AM893" s="471">
        <v>0</v>
      </c>
      <c r="AN893" s="477">
        <v>4.4181643856490344E-2</v>
      </c>
      <c r="AO893" s="473">
        <v>3.5037682615448318E-2</v>
      </c>
      <c r="AP893" s="474">
        <v>1.8905032024391368E-4</v>
      </c>
      <c r="AQ893" s="352"/>
      <c r="AR893" s="352"/>
      <c r="AS893" s="352"/>
      <c r="AT893" s="352"/>
      <c r="AU893" s="352"/>
      <c r="AV893" s="352"/>
      <c r="AW893" s="352" t="s">
        <v>254</v>
      </c>
    </row>
    <row r="894" spans="2:49" x14ac:dyDescent="0.2">
      <c r="B894" s="460" t="s">
        <v>2630</v>
      </c>
      <c r="C894" s="460">
        <v>2112</v>
      </c>
      <c r="D894" s="460" t="s">
        <v>2317</v>
      </c>
      <c r="E894" s="460" t="s">
        <v>2305</v>
      </c>
      <c r="F894" s="460">
        <v>4</v>
      </c>
      <c r="G894" s="460">
        <v>2</v>
      </c>
      <c r="H894" s="461" t="s">
        <v>748</v>
      </c>
      <c r="I894" s="461" t="s">
        <v>765</v>
      </c>
      <c r="J894" s="461" t="s">
        <v>700</v>
      </c>
      <c r="K894" s="594"/>
      <c r="L894" s="594"/>
      <c r="M894" s="352">
        <v>2000</v>
      </c>
      <c r="N894" s="352" t="s">
        <v>703</v>
      </c>
      <c r="O894" s="460">
        <v>2112</v>
      </c>
      <c r="P894" s="460" t="s">
        <v>1874</v>
      </c>
      <c r="Q894" s="460" t="s">
        <v>2266</v>
      </c>
      <c r="R894" s="460">
        <v>2112</v>
      </c>
      <c r="S894" s="460" t="s">
        <v>2305</v>
      </c>
      <c r="T894" s="462">
        <v>1</v>
      </c>
      <c r="U894" s="460" t="s">
        <v>2305</v>
      </c>
      <c r="V894" s="475">
        <v>0</v>
      </c>
      <c r="W894" s="463" t="s">
        <v>2268</v>
      </c>
      <c r="X894" s="463" t="s">
        <v>2268</v>
      </c>
      <c r="Y894" s="463" t="s">
        <v>2278</v>
      </c>
      <c r="Z894" s="463"/>
      <c r="AA894" s="463"/>
      <c r="AB894" s="464">
        <v>0</v>
      </c>
      <c r="AC894" s="465">
        <v>0</v>
      </c>
      <c r="AD894" s="465">
        <v>0</v>
      </c>
      <c r="AE894" s="476">
        <v>0</v>
      </c>
      <c r="AF894" s="467">
        <v>0</v>
      </c>
      <c r="AG894" s="468">
        <v>0</v>
      </c>
      <c r="AH894" s="218">
        <v>0</v>
      </c>
      <c r="AI894" s="470">
        <v>0</v>
      </c>
      <c r="AJ894" s="471">
        <v>0</v>
      </c>
      <c r="AK894" s="218">
        <v>0</v>
      </c>
      <c r="AL894" s="470">
        <v>0</v>
      </c>
      <c r="AM894" s="471">
        <v>0</v>
      </c>
      <c r="AN894" s="477">
        <v>0</v>
      </c>
      <c r="AO894" s="473">
        <v>0</v>
      </c>
      <c r="AP894" s="474">
        <v>0</v>
      </c>
      <c r="AQ894" s="352"/>
      <c r="AR894" s="352"/>
      <c r="AS894" s="352"/>
      <c r="AT894" s="352"/>
      <c r="AU894" s="352"/>
      <c r="AV894" s="352"/>
      <c r="AW894" s="352" t="s">
        <v>254</v>
      </c>
    </row>
    <row r="895" spans="2:49" x14ac:dyDescent="0.2">
      <c r="B895" s="460" t="s">
        <v>2631</v>
      </c>
      <c r="C895" s="460">
        <v>2112</v>
      </c>
      <c r="D895" s="460" t="s">
        <v>2323</v>
      </c>
      <c r="E895" s="460" t="s">
        <v>2324</v>
      </c>
      <c r="F895" s="460">
        <v>1</v>
      </c>
      <c r="G895" s="460">
        <v>3</v>
      </c>
      <c r="H895" s="461" t="s">
        <v>700</v>
      </c>
      <c r="I895" s="461" t="s">
        <v>872</v>
      </c>
      <c r="J895" s="461" t="s">
        <v>700</v>
      </c>
      <c r="K895" s="594"/>
      <c r="L895" s="594"/>
      <c r="M895" s="352">
        <v>2000</v>
      </c>
      <c r="N895" s="352" t="s">
        <v>703</v>
      </c>
      <c r="O895" s="460">
        <v>2112</v>
      </c>
      <c r="P895" s="460" t="s">
        <v>1874</v>
      </c>
      <c r="Q895" s="460" t="s">
        <v>2266</v>
      </c>
      <c r="R895" s="460">
        <v>2112</v>
      </c>
      <c r="S895" s="460" t="s">
        <v>2324</v>
      </c>
      <c r="T895" s="462">
        <v>1</v>
      </c>
      <c r="U895" s="460" t="s">
        <v>2324</v>
      </c>
      <c r="V895" s="475">
        <v>0</v>
      </c>
      <c r="W895" s="463" t="s">
        <v>2267</v>
      </c>
      <c r="X895" s="463" t="s">
        <v>2267</v>
      </c>
      <c r="Y895" s="463" t="s">
        <v>2268</v>
      </c>
      <c r="Z895" s="463"/>
      <c r="AA895" s="463"/>
      <c r="AB895" s="464">
        <v>2.9327087756461037</v>
      </c>
      <c r="AC895" s="465">
        <v>0.21320767442135666</v>
      </c>
      <c r="AD895" s="465">
        <v>2.5141173095238049E-5</v>
      </c>
      <c r="AE895" s="476">
        <v>2.9327087756461037</v>
      </c>
      <c r="AF895" s="467">
        <v>0.21320767442135666</v>
      </c>
      <c r="AG895" s="468">
        <v>2.693117699597303E-5</v>
      </c>
      <c r="AH895" s="218">
        <v>2.9327087756461037</v>
      </c>
      <c r="AI895" s="470">
        <v>0.21320767442135666</v>
      </c>
      <c r="AJ895" s="471">
        <v>2.5717532727563646E-5</v>
      </c>
      <c r="AK895" s="218">
        <v>2.9327087756461037</v>
      </c>
      <c r="AL895" s="470">
        <v>0.21320767442135666</v>
      </c>
      <c r="AM895" s="471">
        <v>2.5717532727563646E-5</v>
      </c>
      <c r="AN895" s="477">
        <v>0</v>
      </c>
      <c r="AO895" s="473">
        <v>0</v>
      </c>
      <c r="AP895" s="474">
        <v>0</v>
      </c>
      <c r="AQ895" s="352"/>
      <c r="AR895" s="352"/>
      <c r="AS895" s="352"/>
      <c r="AT895" s="352"/>
      <c r="AU895" s="352"/>
      <c r="AV895" s="352"/>
      <c r="AW895" s="352" t="s">
        <v>254</v>
      </c>
    </row>
    <row r="896" spans="2:49" x14ac:dyDescent="0.2">
      <c r="B896" s="460" t="s">
        <v>2632</v>
      </c>
      <c r="C896" s="460">
        <v>2112</v>
      </c>
      <c r="D896" s="460" t="s">
        <v>2326</v>
      </c>
      <c r="E896" s="460" t="s">
        <v>2327</v>
      </c>
      <c r="F896" s="460">
        <v>2</v>
      </c>
      <c r="G896" s="460">
        <v>3</v>
      </c>
      <c r="H896" s="461" t="s">
        <v>700</v>
      </c>
      <c r="I896" s="461" t="s">
        <v>872</v>
      </c>
      <c r="J896" s="461" t="s">
        <v>700</v>
      </c>
      <c r="K896" s="594"/>
      <c r="L896" s="594"/>
      <c r="M896" s="352">
        <v>2000</v>
      </c>
      <c r="N896" s="352" t="s">
        <v>703</v>
      </c>
      <c r="O896" s="460">
        <v>2112</v>
      </c>
      <c r="P896" s="460" t="s">
        <v>1874</v>
      </c>
      <c r="Q896" s="460" t="s">
        <v>2266</v>
      </c>
      <c r="R896" s="460">
        <v>2112</v>
      </c>
      <c r="S896" s="460" t="s">
        <v>2324</v>
      </c>
      <c r="T896" s="462">
        <v>1</v>
      </c>
      <c r="U896" s="460" t="s">
        <v>2327</v>
      </c>
      <c r="V896" s="475">
        <v>0</v>
      </c>
      <c r="W896" s="463" t="s">
        <v>2267</v>
      </c>
      <c r="X896" s="463" t="s">
        <v>2267</v>
      </c>
      <c r="Y896" s="463" t="s">
        <v>2268</v>
      </c>
      <c r="Z896" s="463"/>
      <c r="AA896" s="463"/>
      <c r="AB896" s="464">
        <v>1.4555974550381894</v>
      </c>
      <c r="AC896" s="465">
        <v>0.16919443413490762</v>
      </c>
      <c r="AD896" s="465">
        <v>2.1498909621682477E-5</v>
      </c>
      <c r="AE896" s="476">
        <v>1.4555974550381894</v>
      </c>
      <c r="AF896" s="467">
        <v>0.16919443413490762</v>
      </c>
      <c r="AG896" s="468">
        <v>2.3285701387243595E-5</v>
      </c>
      <c r="AH896" s="218">
        <v>1.8342479755266865</v>
      </c>
      <c r="AI896" s="470">
        <v>0.21320767442135666</v>
      </c>
      <c r="AJ896" s="471">
        <v>2.4694830637545072E-5</v>
      </c>
      <c r="AK896" s="218">
        <v>1.8342479755266865</v>
      </c>
      <c r="AL896" s="470">
        <v>0.21320767442135666</v>
      </c>
      <c r="AM896" s="471">
        <v>2.4694830637545072E-5</v>
      </c>
      <c r="AN896" s="477">
        <v>0</v>
      </c>
      <c r="AO896" s="473">
        <v>0</v>
      </c>
      <c r="AP896" s="474">
        <v>0</v>
      </c>
      <c r="AQ896" s="352"/>
      <c r="AR896" s="352"/>
      <c r="AS896" s="352"/>
      <c r="AT896" s="352"/>
      <c r="AU896" s="352"/>
      <c r="AV896" s="352"/>
      <c r="AW896" s="352" t="s">
        <v>254</v>
      </c>
    </row>
    <row r="897" spans="2:49" x14ac:dyDescent="0.2">
      <c r="B897" s="460" t="s">
        <v>2633</v>
      </c>
      <c r="C897" s="460">
        <v>2112</v>
      </c>
      <c r="D897" s="460" t="s">
        <v>2329</v>
      </c>
      <c r="E897" s="460" t="s">
        <v>2330</v>
      </c>
      <c r="F897" s="460">
        <v>3</v>
      </c>
      <c r="G897" s="460">
        <v>3</v>
      </c>
      <c r="H897" s="461" t="s">
        <v>700</v>
      </c>
      <c r="I897" s="461" t="s">
        <v>872</v>
      </c>
      <c r="J897" s="461" t="s">
        <v>700</v>
      </c>
      <c r="K897" s="594"/>
      <c r="L897" s="594"/>
      <c r="M897" s="352">
        <v>2000</v>
      </c>
      <c r="N897" s="352" t="s">
        <v>703</v>
      </c>
      <c r="O897" s="460">
        <v>2112</v>
      </c>
      <c r="P897" s="460" t="s">
        <v>1874</v>
      </c>
      <c r="Q897" s="460" t="s">
        <v>2266</v>
      </c>
      <c r="R897" s="460">
        <v>2112</v>
      </c>
      <c r="S897" s="460" t="s">
        <v>2324</v>
      </c>
      <c r="T897" s="462">
        <v>1</v>
      </c>
      <c r="U897" s="460" t="s">
        <v>2330</v>
      </c>
      <c r="V897" s="475">
        <v>0</v>
      </c>
      <c r="W897" s="463" t="s">
        <v>2267</v>
      </c>
      <c r="X897" s="463" t="s">
        <v>2267</v>
      </c>
      <c r="Y897" s="463" t="s">
        <v>2268</v>
      </c>
      <c r="Z897" s="463"/>
      <c r="AA897" s="463"/>
      <c r="AB897" s="464">
        <v>0.20581105958011636</v>
      </c>
      <c r="AC897" s="465">
        <v>9.7386684536229368E-2</v>
      </c>
      <c r="AD897" s="465">
        <v>7.7716748066828432E-6</v>
      </c>
      <c r="AE897" s="476">
        <v>0.20581105958011636</v>
      </c>
      <c r="AF897" s="467">
        <v>9.7386684536229368E-2</v>
      </c>
      <c r="AG897" s="468">
        <v>8.3293921393566405E-6</v>
      </c>
      <c r="AH897" s="218">
        <v>0.45058005200852336</v>
      </c>
      <c r="AI897" s="470">
        <v>0.21320767442135666</v>
      </c>
      <c r="AJ897" s="471">
        <v>1.5874992772997071E-5</v>
      </c>
      <c r="AK897" s="218">
        <v>0.45058005200852336</v>
      </c>
      <c r="AL897" s="470">
        <v>0.21320767442135666</v>
      </c>
      <c r="AM897" s="471">
        <v>1.5874992772997071E-5</v>
      </c>
      <c r="AN897" s="477">
        <v>0</v>
      </c>
      <c r="AO897" s="473">
        <v>0</v>
      </c>
      <c r="AP897" s="474">
        <v>0</v>
      </c>
      <c r="AQ897" s="352"/>
      <c r="AR897" s="352"/>
      <c r="AS897" s="352"/>
      <c r="AT897" s="352"/>
      <c r="AU897" s="352"/>
      <c r="AV897" s="352"/>
      <c r="AW897" s="352" t="s">
        <v>254</v>
      </c>
    </row>
    <row r="898" spans="2:49" x14ac:dyDescent="0.2">
      <c r="B898" s="460" t="s">
        <v>2634</v>
      </c>
      <c r="C898" s="460">
        <v>2112</v>
      </c>
      <c r="D898" s="460" t="s">
        <v>2332</v>
      </c>
      <c r="E898" s="460" t="s">
        <v>2333</v>
      </c>
      <c r="F898" s="460">
        <v>4</v>
      </c>
      <c r="G898" s="460">
        <v>3</v>
      </c>
      <c r="H898" s="461" t="s">
        <v>700</v>
      </c>
      <c r="I898" s="461" t="s">
        <v>872</v>
      </c>
      <c r="J898" s="461" t="s">
        <v>700</v>
      </c>
      <c r="K898" s="594"/>
      <c r="L898" s="594"/>
      <c r="M898" s="352">
        <v>2000</v>
      </c>
      <c r="N898" s="352" t="s">
        <v>703</v>
      </c>
      <c r="O898" s="460">
        <v>2112</v>
      </c>
      <c r="P898" s="460" t="s">
        <v>1874</v>
      </c>
      <c r="Q898" s="460" t="s">
        <v>2266</v>
      </c>
      <c r="R898" s="460">
        <v>2112</v>
      </c>
      <c r="S898" s="460" t="s">
        <v>2333</v>
      </c>
      <c r="T898" s="462">
        <v>1</v>
      </c>
      <c r="U898" s="460" t="s">
        <v>2333</v>
      </c>
      <c r="V898" s="475">
        <v>0</v>
      </c>
      <c r="W898" s="463" t="s">
        <v>2278</v>
      </c>
      <c r="X898" s="463" t="s">
        <v>2278</v>
      </c>
      <c r="Y898" s="463" t="s">
        <v>2268</v>
      </c>
      <c r="Z898" s="463"/>
      <c r="AA898" s="463"/>
      <c r="AB898" s="464">
        <v>4.7576177897184031E-3</v>
      </c>
      <c r="AC898" s="465">
        <v>2.1687638200402152E-3</v>
      </c>
      <c r="AD898" s="465">
        <v>3.2812598167746182E-7</v>
      </c>
      <c r="AE898" s="476">
        <v>4.7576177897184031E-3</v>
      </c>
      <c r="AF898" s="467">
        <v>2.1687638200402152E-3</v>
      </c>
      <c r="AG898" s="468">
        <v>3.6212864053517354E-7</v>
      </c>
      <c r="AH898" s="218">
        <v>4.7576177897184031E-3</v>
      </c>
      <c r="AI898" s="470">
        <v>2.1687638200402152E-3</v>
      </c>
      <c r="AJ898" s="471">
        <v>3.5085728329768496E-7</v>
      </c>
      <c r="AK898" s="218">
        <v>4.7576177897184031E-3</v>
      </c>
      <c r="AL898" s="470">
        <v>2.1687638200402152E-3</v>
      </c>
      <c r="AM898" s="471">
        <v>3.5085728329768496E-7</v>
      </c>
      <c r="AN898" s="477">
        <v>0</v>
      </c>
      <c r="AO898" s="473">
        <v>0</v>
      </c>
      <c r="AP898" s="474">
        <v>0</v>
      </c>
      <c r="AQ898" s="352"/>
      <c r="AR898" s="352"/>
      <c r="AS898" s="352"/>
      <c r="AT898" s="352"/>
      <c r="AU898" s="352"/>
      <c r="AV898" s="352"/>
      <c r="AW898" s="352" t="s">
        <v>254</v>
      </c>
    </row>
    <row r="899" spans="2:49" x14ac:dyDescent="0.2">
      <c r="B899" s="460" t="s">
        <v>2631</v>
      </c>
      <c r="C899" s="460">
        <v>2112</v>
      </c>
      <c r="D899" s="460" t="s">
        <v>2334</v>
      </c>
      <c r="E899" s="460" t="s">
        <v>2324</v>
      </c>
      <c r="F899" s="460">
        <v>1</v>
      </c>
      <c r="G899" s="460">
        <v>3</v>
      </c>
      <c r="H899" s="461" t="s">
        <v>712</v>
      </c>
      <c r="I899" s="461" t="s">
        <v>713</v>
      </c>
      <c r="J899" s="461" t="s">
        <v>712</v>
      </c>
      <c r="K899" s="594"/>
      <c r="L899" s="594"/>
      <c r="M899" s="352">
        <v>2000</v>
      </c>
      <c r="N899" s="352" t="s">
        <v>703</v>
      </c>
      <c r="O899" s="460">
        <v>2112</v>
      </c>
      <c r="P899" s="460" t="s">
        <v>1874</v>
      </c>
      <c r="Q899" s="460" t="s">
        <v>2280</v>
      </c>
      <c r="R899" s="460">
        <v>2112</v>
      </c>
      <c r="S899" s="460" t="s">
        <v>2324</v>
      </c>
      <c r="T899" s="462">
        <v>1</v>
      </c>
      <c r="U899" s="460" t="s">
        <v>2324</v>
      </c>
      <c r="V899" s="475">
        <v>0</v>
      </c>
      <c r="W899" s="463" t="s">
        <v>713</v>
      </c>
      <c r="X899" s="463" t="s">
        <v>713</v>
      </c>
      <c r="Y899" s="463" t="s">
        <v>713</v>
      </c>
      <c r="Z899" s="463"/>
      <c r="AA899" s="463"/>
      <c r="AB899" s="464">
        <v>10.822465767697347</v>
      </c>
      <c r="AC899" s="465">
        <v>0.78679232557864331</v>
      </c>
      <c r="AD899" s="465">
        <v>2.7022572489710755E-5</v>
      </c>
      <c r="AE899" s="476">
        <v>10.822465767697347</v>
      </c>
      <c r="AF899" s="467">
        <v>0.78679232557864331</v>
      </c>
      <c r="AG899" s="468">
        <v>2.6509377922570242E-5</v>
      </c>
      <c r="AH899" s="218">
        <v>10.822465767697347</v>
      </c>
      <c r="AI899" s="470">
        <v>0.78679232557864331</v>
      </c>
      <c r="AJ899" s="471">
        <v>2.684732606670579E-5</v>
      </c>
      <c r="AK899" s="218">
        <v>10.822465767697347</v>
      </c>
      <c r="AL899" s="470">
        <v>0.78679232557864331</v>
      </c>
      <c r="AM899" s="471">
        <v>2.684732606670579E-5</v>
      </c>
      <c r="AN899" s="477">
        <v>10.822465767697347</v>
      </c>
      <c r="AO899" s="473">
        <v>0.78679232557864331</v>
      </c>
      <c r="AP899" s="474">
        <v>2.683426074025707E-5</v>
      </c>
      <c r="AQ899" s="352"/>
      <c r="AR899" s="352"/>
      <c r="AS899" s="352"/>
      <c r="AT899" s="352"/>
      <c r="AU899" s="352"/>
      <c r="AV899" s="352"/>
      <c r="AW899" s="352" t="s">
        <v>254</v>
      </c>
    </row>
    <row r="900" spans="2:49" x14ac:dyDescent="0.2">
      <c r="B900" s="460" t="s">
        <v>2632</v>
      </c>
      <c r="C900" s="460">
        <v>2112</v>
      </c>
      <c r="D900" s="460" t="s">
        <v>2335</v>
      </c>
      <c r="E900" s="460" t="s">
        <v>2327</v>
      </c>
      <c r="F900" s="460">
        <v>2</v>
      </c>
      <c r="G900" s="460">
        <v>3</v>
      </c>
      <c r="H900" s="461" t="s">
        <v>712</v>
      </c>
      <c r="I900" s="461" t="s">
        <v>713</v>
      </c>
      <c r="J900" s="461" t="s">
        <v>712</v>
      </c>
      <c r="K900" s="594"/>
      <c r="L900" s="594"/>
      <c r="M900" s="352">
        <v>2000</v>
      </c>
      <c r="N900" s="352" t="s">
        <v>703</v>
      </c>
      <c r="O900" s="460">
        <v>2112</v>
      </c>
      <c r="P900" s="460" t="s">
        <v>1874</v>
      </c>
      <c r="Q900" s="460" t="s">
        <v>2280</v>
      </c>
      <c r="R900" s="460">
        <v>2112</v>
      </c>
      <c r="S900" s="460" t="s">
        <v>2324</v>
      </c>
      <c r="T900" s="462">
        <v>1</v>
      </c>
      <c r="U900" s="460" t="s">
        <v>2327</v>
      </c>
      <c r="V900" s="475">
        <v>0</v>
      </c>
      <c r="W900" s="463" t="s">
        <v>713</v>
      </c>
      <c r="X900" s="463" t="s">
        <v>713</v>
      </c>
      <c r="Y900" s="463" t="s">
        <v>713</v>
      </c>
      <c r="Z900" s="463"/>
      <c r="AA900" s="463"/>
      <c r="AB900" s="464">
        <v>7.1475073839635757</v>
      </c>
      <c r="AC900" s="465">
        <v>0.83080556586509224</v>
      </c>
      <c r="AD900" s="465">
        <v>2.289059638174402E-5</v>
      </c>
      <c r="AE900" s="476">
        <v>7.1475073839635765</v>
      </c>
      <c r="AF900" s="467">
        <v>0.83080556586509235</v>
      </c>
      <c r="AG900" s="468">
        <v>2.2515966376288721E-5</v>
      </c>
      <c r="AH900" s="218">
        <v>6.7688568634750794</v>
      </c>
      <c r="AI900" s="470">
        <v>0.78679232557864331</v>
      </c>
      <c r="AJ900" s="471">
        <v>2.2175310348677096E-5</v>
      </c>
      <c r="AK900" s="218">
        <v>6.7688568634750794</v>
      </c>
      <c r="AL900" s="470">
        <v>0.78679232557864331</v>
      </c>
      <c r="AM900" s="471">
        <v>2.2175310348677096E-5</v>
      </c>
      <c r="AN900" s="477">
        <v>6.7688568634750794</v>
      </c>
      <c r="AO900" s="473">
        <v>0.78679232557864331</v>
      </c>
      <c r="AP900" s="474">
        <v>2.216661621156949E-5</v>
      </c>
      <c r="AQ900" s="352"/>
      <c r="AR900" s="352"/>
      <c r="AS900" s="352"/>
      <c r="AT900" s="352"/>
      <c r="AU900" s="352"/>
      <c r="AV900" s="352"/>
      <c r="AW900" s="352" t="s">
        <v>254</v>
      </c>
    </row>
    <row r="901" spans="2:49" x14ac:dyDescent="0.2">
      <c r="B901" s="460" t="s">
        <v>2633</v>
      </c>
      <c r="C901" s="460">
        <v>2112</v>
      </c>
      <c r="D901" s="460" t="s">
        <v>2336</v>
      </c>
      <c r="E901" s="460" t="s">
        <v>2330</v>
      </c>
      <c r="F901" s="460">
        <v>3</v>
      </c>
      <c r="G901" s="460">
        <v>3</v>
      </c>
      <c r="H901" s="461" t="s">
        <v>712</v>
      </c>
      <c r="I901" s="461" t="s">
        <v>713</v>
      </c>
      <c r="J901" s="461" t="s">
        <v>712</v>
      </c>
      <c r="K901" s="594"/>
      <c r="L901" s="594"/>
      <c r="M901" s="352">
        <v>2000</v>
      </c>
      <c r="N901" s="352" t="s">
        <v>703</v>
      </c>
      <c r="O901" s="460">
        <v>2112</v>
      </c>
      <c r="P901" s="460" t="s">
        <v>1874</v>
      </c>
      <c r="Q901" s="460" t="s">
        <v>2280</v>
      </c>
      <c r="R901" s="460">
        <v>2112</v>
      </c>
      <c r="S901" s="460" t="s">
        <v>2324</v>
      </c>
      <c r="T901" s="462">
        <v>1</v>
      </c>
      <c r="U901" s="460" t="s">
        <v>2330</v>
      </c>
      <c r="V901" s="475">
        <v>0</v>
      </c>
      <c r="W901" s="463" t="s">
        <v>713</v>
      </c>
      <c r="X901" s="463" t="s">
        <v>713</v>
      </c>
      <c r="Y901" s="463" t="s">
        <v>713</v>
      </c>
      <c r="Z901" s="463"/>
      <c r="AA901" s="463"/>
      <c r="AB901" s="464">
        <v>1.9075277460299196</v>
      </c>
      <c r="AC901" s="465">
        <v>0.90261331546377055</v>
      </c>
      <c r="AD901" s="465">
        <v>1.6889752450890184E-5</v>
      </c>
      <c r="AE901" s="476">
        <v>1.9075277460299198</v>
      </c>
      <c r="AF901" s="467">
        <v>0.90261331546377066</v>
      </c>
      <c r="AG901" s="468">
        <v>1.6628677590139038E-5</v>
      </c>
      <c r="AH901" s="218">
        <v>1.6627587536015127</v>
      </c>
      <c r="AI901" s="470">
        <v>0.78679232557864331</v>
      </c>
      <c r="AJ901" s="471">
        <v>1.5048364101282541E-5</v>
      </c>
      <c r="AK901" s="218">
        <v>1.6627587536015127</v>
      </c>
      <c r="AL901" s="470">
        <v>0.78679232557864331</v>
      </c>
      <c r="AM901" s="471">
        <v>1.5048364101282541E-5</v>
      </c>
      <c r="AN901" s="477">
        <v>1.6627587536015127</v>
      </c>
      <c r="AO901" s="473">
        <v>0.78679232557864331</v>
      </c>
      <c r="AP901" s="474">
        <v>1.5087205590980412E-5</v>
      </c>
      <c r="AQ901" s="352"/>
      <c r="AR901" s="352"/>
      <c r="AS901" s="352"/>
      <c r="AT901" s="352"/>
      <c r="AU901" s="352"/>
      <c r="AV901" s="352"/>
      <c r="AW901" s="352" t="s">
        <v>254</v>
      </c>
    </row>
    <row r="902" spans="2:49" x14ac:dyDescent="0.2">
      <c r="B902" s="460" t="s">
        <v>2634</v>
      </c>
      <c r="C902" s="460">
        <v>2112</v>
      </c>
      <c r="D902" s="460" t="s">
        <v>2337</v>
      </c>
      <c r="E902" s="460" t="s">
        <v>2333</v>
      </c>
      <c r="F902" s="460">
        <v>4</v>
      </c>
      <c r="G902" s="460">
        <v>3</v>
      </c>
      <c r="H902" s="461" t="s">
        <v>712</v>
      </c>
      <c r="I902" s="461" t="s">
        <v>713</v>
      </c>
      <c r="J902" s="461" t="s">
        <v>712</v>
      </c>
      <c r="K902" s="594"/>
      <c r="L902" s="594"/>
      <c r="M902" s="352">
        <v>2000</v>
      </c>
      <c r="N902" s="352" t="s">
        <v>703</v>
      </c>
      <c r="O902" s="460">
        <v>2112</v>
      </c>
      <c r="P902" s="460" t="s">
        <v>1874</v>
      </c>
      <c r="Q902" s="460" t="s">
        <v>2280</v>
      </c>
      <c r="R902" s="460">
        <v>2112</v>
      </c>
      <c r="S902" s="460" t="s">
        <v>2333</v>
      </c>
      <c r="T902" s="462">
        <v>1</v>
      </c>
      <c r="U902" s="460" t="s">
        <v>2333</v>
      </c>
      <c r="V902" s="475">
        <v>0</v>
      </c>
      <c r="W902" s="463" t="s">
        <v>713</v>
      </c>
      <c r="X902" s="463" t="s">
        <v>713</v>
      </c>
      <c r="Y902" s="463" t="s">
        <v>713</v>
      </c>
      <c r="Z902" s="463"/>
      <c r="AA902" s="463"/>
      <c r="AB902" s="464">
        <v>2.1889426578033069</v>
      </c>
      <c r="AC902" s="465">
        <v>0.99783123617995972</v>
      </c>
      <c r="AD902" s="465">
        <v>1.6641372272772215E-5</v>
      </c>
      <c r="AE902" s="476">
        <v>2.1889426578033073</v>
      </c>
      <c r="AF902" s="467">
        <v>0.99783123617995984</v>
      </c>
      <c r="AG902" s="468">
        <v>1.6470893292807024E-5</v>
      </c>
      <c r="AH902" s="218">
        <v>2.1889426578033073</v>
      </c>
      <c r="AI902" s="470">
        <v>0.99783123617995984</v>
      </c>
      <c r="AJ902" s="471">
        <v>1.6523368450153885E-5</v>
      </c>
      <c r="AK902" s="218">
        <v>2.1889426578033073</v>
      </c>
      <c r="AL902" s="470">
        <v>0.99783123617995984</v>
      </c>
      <c r="AM902" s="471">
        <v>1.6523368450153885E-5</v>
      </c>
      <c r="AN902" s="477">
        <v>2.1889426578033073</v>
      </c>
      <c r="AO902" s="473">
        <v>0.99783123617995984</v>
      </c>
      <c r="AP902" s="474">
        <v>1.6528619307783839E-5</v>
      </c>
      <c r="AQ902" s="352"/>
      <c r="AR902" s="352"/>
      <c r="AS902" s="352"/>
      <c r="AT902" s="352"/>
      <c r="AU902" s="352"/>
      <c r="AV902" s="352"/>
      <c r="AW902" s="352" t="s">
        <v>254</v>
      </c>
    </row>
    <row r="903" spans="2:49" x14ac:dyDescent="0.2">
      <c r="B903" s="460" t="s">
        <v>2631</v>
      </c>
      <c r="C903" s="460">
        <v>2112</v>
      </c>
      <c r="D903" s="460" t="s">
        <v>2338</v>
      </c>
      <c r="E903" s="460" t="s">
        <v>2324</v>
      </c>
      <c r="F903" s="460">
        <v>1</v>
      </c>
      <c r="G903" s="460">
        <v>3</v>
      </c>
      <c r="H903" s="461" t="s">
        <v>746</v>
      </c>
      <c r="I903" s="461" t="s">
        <v>762</v>
      </c>
      <c r="J903" s="461" t="s">
        <v>700</v>
      </c>
      <c r="K903" s="594"/>
      <c r="L903" s="594"/>
      <c r="M903" s="352">
        <v>2000</v>
      </c>
      <c r="N903" s="352" t="s">
        <v>703</v>
      </c>
      <c r="O903" s="460">
        <v>2112</v>
      </c>
      <c r="P903" s="460" t="s">
        <v>1874</v>
      </c>
      <c r="Q903" s="460" t="s">
        <v>2289</v>
      </c>
      <c r="R903" s="460">
        <v>2112</v>
      </c>
      <c r="S903" s="460" t="s">
        <v>2324</v>
      </c>
      <c r="T903" s="462">
        <v>1</v>
      </c>
      <c r="U903" s="460" t="s">
        <v>2324</v>
      </c>
      <c r="V903" s="475">
        <v>0</v>
      </c>
      <c r="W903" s="463" t="s">
        <v>2268</v>
      </c>
      <c r="X903" s="463" t="s">
        <v>2268</v>
      </c>
      <c r="Y903" s="463" t="s">
        <v>2290</v>
      </c>
      <c r="Z903" s="463"/>
      <c r="AA903" s="463"/>
      <c r="AB903" s="464">
        <v>0</v>
      </c>
      <c r="AC903" s="465">
        <v>0</v>
      </c>
      <c r="AD903" s="465">
        <v>0</v>
      </c>
      <c r="AE903" s="476">
        <v>0</v>
      </c>
      <c r="AF903" s="467">
        <v>0</v>
      </c>
      <c r="AG903" s="468">
        <v>0</v>
      </c>
      <c r="AH903" s="218">
        <v>0</v>
      </c>
      <c r="AI903" s="470">
        <v>0</v>
      </c>
      <c r="AJ903" s="471">
        <v>0</v>
      </c>
      <c r="AK903" s="218">
        <v>0</v>
      </c>
      <c r="AL903" s="470">
        <v>0</v>
      </c>
      <c r="AM903" s="471">
        <v>0</v>
      </c>
      <c r="AN903" s="477">
        <v>0</v>
      </c>
      <c r="AO903" s="473">
        <v>0</v>
      </c>
      <c r="AP903" s="474">
        <v>0</v>
      </c>
      <c r="AQ903" s="352"/>
      <c r="AR903" s="352"/>
      <c r="AS903" s="352"/>
      <c r="AT903" s="352"/>
      <c r="AU903" s="352"/>
      <c r="AV903" s="352"/>
      <c r="AW903" s="352" t="s">
        <v>254</v>
      </c>
    </row>
    <row r="904" spans="2:49" x14ac:dyDescent="0.2">
      <c r="B904" s="460" t="s">
        <v>2632</v>
      </c>
      <c r="C904" s="460">
        <v>2112</v>
      </c>
      <c r="D904" s="460" t="s">
        <v>2339</v>
      </c>
      <c r="E904" s="460" t="s">
        <v>2327</v>
      </c>
      <c r="F904" s="460">
        <v>2</v>
      </c>
      <c r="G904" s="460">
        <v>3</v>
      </c>
      <c r="H904" s="461" t="s">
        <v>746</v>
      </c>
      <c r="I904" s="461" t="s">
        <v>762</v>
      </c>
      <c r="J904" s="461" t="s">
        <v>700</v>
      </c>
      <c r="K904" s="594"/>
      <c r="L904" s="594"/>
      <c r="M904" s="352">
        <v>2000</v>
      </c>
      <c r="N904" s="352" t="s">
        <v>703</v>
      </c>
      <c r="O904" s="460">
        <v>2112</v>
      </c>
      <c r="P904" s="460" t="s">
        <v>1874</v>
      </c>
      <c r="Q904" s="460" t="s">
        <v>2289</v>
      </c>
      <c r="R904" s="460">
        <v>2112</v>
      </c>
      <c r="S904" s="460" t="s">
        <v>2324</v>
      </c>
      <c r="T904" s="462">
        <v>1</v>
      </c>
      <c r="U904" s="460" t="s">
        <v>2327</v>
      </c>
      <c r="V904" s="475">
        <v>0</v>
      </c>
      <c r="W904" s="463" t="s">
        <v>2268</v>
      </c>
      <c r="X904" s="463" t="s">
        <v>2268</v>
      </c>
      <c r="Y904" s="463" t="s">
        <v>2290</v>
      </c>
      <c r="Z904" s="463"/>
      <c r="AA904" s="463"/>
      <c r="AB904" s="464">
        <v>0</v>
      </c>
      <c r="AC904" s="465">
        <v>0</v>
      </c>
      <c r="AD904" s="465">
        <v>0</v>
      </c>
      <c r="AE904" s="476">
        <v>0</v>
      </c>
      <c r="AF904" s="467">
        <v>0</v>
      </c>
      <c r="AG904" s="468">
        <v>0</v>
      </c>
      <c r="AH904" s="218">
        <v>0</v>
      </c>
      <c r="AI904" s="470">
        <v>0</v>
      </c>
      <c r="AJ904" s="471">
        <v>0</v>
      </c>
      <c r="AK904" s="218">
        <v>0</v>
      </c>
      <c r="AL904" s="470">
        <v>0</v>
      </c>
      <c r="AM904" s="471">
        <v>0</v>
      </c>
      <c r="AN904" s="477">
        <v>0</v>
      </c>
      <c r="AO904" s="473">
        <v>0</v>
      </c>
      <c r="AP904" s="474">
        <v>0</v>
      </c>
      <c r="AQ904" s="352"/>
      <c r="AR904" s="352"/>
      <c r="AS904" s="352"/>
      <c r="AT904" s="352"/>
      <c r="AU904" s="352"/>
      <c r="AV904" s="352"/>
      <c r="AW904" s="352" t="s">
        <v>254</v>
      </c>
    </row>
    <row r="905" spans="2:49" x14ac:dyDescent="0.2">
      <c r="B905" s="460" t="s">
        <v>2633</v>
      </c>
      <c r="C905" s="460">
        <v>2112</v>
      </c>
      <c r="D905" s="460" t="s">
        <v>2340</v>
      </c>
      <c r="E905" s="460" t="s">
        <v>2330</v>
      </c>
      <c r="F905" s="460">
        <v>3</v>
      </c>
      <c r="G905" s="460">
        <v>3</v>
      </c>
      <c r="H905" s="461" t="s">
        <v>746</v>
      </c>
      <c r="I905" s="461" t="s">
        <v>762</v>
      </c>
      <c r="J905" s="461" t="s">
        <v>700</v>
      </c>
      <c r="K905" s="594"/>
      <c r="L905" s="594"/>
      <c r="M905" s="352">
        <v>2000</v>
      </c>
      <c r="N905" s="352" t="s">
        <v>703</v>
      </c>
      <c r="O905" s="460">
        <v>2112</v>
      </c>
      <c r="P905" s="460" t="s">
        <v>1874</v>
      </c>
      <c r="Q905" s="460" t="s">
        <v>2289</v>
      </c>
      <c r="R905" s="460">
        <v>2112</v>
      </c>
      <c r="S905" s="460" t="s">
        <v>2324</v>
      </c>
      <c r="T905" s="462">
        <v>1</v>
      </c>
      <c r="U905" s="460" t="s">
        <v>2330</v>
      </c>
      <c r="V905" s="475">
        <v>0</v>
      </c>
      <c r="W905" s="463" t="s">
        <v>2268</v>
      </c>
      <c r="X905" s="463" t="s">
        <v>2268</v>
      </c>
      <c r="Y905" s="463" t="s">
        <v>2290</v>
      </c>
      <c r="Z905" s="463"/>
      <c r="AA905" s="463"/>
      <c r="AB905" s="464">
        <v>0</v>
      </c>
      <c r="AC905" s="465">
        <v>0</v>
      </c>
      <c r="AD905" s="465">
        <v>0</v>
      </c>
      <c r="AE905" s="476">
        <v>0</v>
      </c>
      <c r="AF905" s="467">
        <v>0</v>
      </c>
      <c r="AG905" s="468">
        <v>0</v>
      </c>
      <c r="AH905" s="218">
        <v>0</v>
      </c>
      <c r="AI905" s="470">
        <v>0</v>
      </c>
      <c r="AJ905" s="471">
        <v>0</v>
      </c>
      <c r="AK905" s="218">
        <v>0</v>
      </c>
      <c r="AL905" s="470">
        <v>0</v>
      </c>
      <c r="AM905" s="471">
        <v>0</v>
      </c>
      <c r="AN905" s="477">
        <v>0</v>
      </c>
      <c r="AO905" s="473">
        <v>0</v>
      </c>
      <c r="AP905" s="474">
        <v>0</v>
      </c>
      <c r="AQ905" s="352"/>
      <c r="AR905" s="352"/>
      <c r="AS905" s="352"/>
      <c r="AT905" s="352"/>
      <c r="AU905" s="352"/>
      <c r="AV905" s="352"/>
      <c r="AW905" s="352" t="s">
        <v>254</v>
      </c>
    </row>
    <row r="906" spans="2:49" x14ac:dyDescent="0.2">
      <c r="B906" s="460" t="s">
        <v>2634</v>
      </c>
      <c r="C906" s="460">
        <v>2112</v>
      </c>
      <c r="D906" s="460" t="s">
        <v>2341</v>
      </c>
      <c r="E906" s="460" t="s">
        <v>2333</v>
      </c>
      <c r="F906" s="460">
        <v>4</v>
      </c>
      <c r="G906" s="460">
        <v>3</v>
      </c>
      <c r="H906" s="461" t="s">
        <v>746</v>
      </c>
      <c r="I906" s="461" t="s">
        <v>762</v>
      </c>
      <c r="J906" s="461" t="s">
        <v>700</v>
      </c>
      <c r="K906" s="594"/>
      <c r="L906" s="594"/>
      <c r="M906" s="352">
        <v>2000</v>
      </c>
      <c r="N906" s="352" t="s">
        <v>703</v>
      </c>
      <c r="O906" s="460">
        <v>2112</v>
      </c>
      <c r="P906" s="460" t="s">
        <v>1874</v>
      </c>
      <c r="Q906" s="460" t="s">
        <v>2289</v>
      </c>
      <c r="R906" s="460">
        <v>2112</v>
      </c>
      <c r="S906" s="460" t="s">
        <v>2333</v>
      </c>
      <c r="T906" s="462">
        <v>1</v>
      </c>
      <c r="U906" s="460" t="s">
        <v>2333</v>
      </c>
      <c r="V906" s="475">
        <v>0</v>
      </c>
      <c r="W906" s="463" t="s">
        <v>2268</v>
      </c>
      <c r="X906" s="463" t="s">
        <v>2268</v>
      </c>
      <c r="Y906" s="463" t="s">
        <v>2290</v>
      </c>
      <c r="Z906" s="463"/>
      <c r="AA906" s="463"/>
      <c r="AB906" s="464">
        <v>0</v>
      </c>
      <c r="AC906" s="465">
        <v>0</v>
      </c>
      <c r="AD906" s="465">
        <v>0</v>
      </c>
      <c r="AE906" s="476">
        <v>0</v>
      </c>
      <c r="AF906" s="467">
        <v>0</v>
      </c>
      <c r="AG906" s="468">
        <v>0</v>
      </c>
      <c r="AH906" s="218">
        <v>0</v>
      </c>
      <c r="AI906" s="470">
        <v>0</v>
      </c>
      <c r="AJ906" s="471">
        <v>0</v>
      </c>
      <c r="AK906" s="218">
        <v>0</v>
      </c>
      <c r="AL906" s="470">
        <v>0</v>
      </c>
      <c r="AM906" s="471">
        <v>0</v>
      </c>
      <c r="AN906" s="477">
        <v>0</v>
      </c>
      <c r="AO906" s="473">
        <v>0</v>
      </c>
      <c r="AP906" s="474">
        <v>0</v>
      </c>
      <c r="AQ906" s="352"/>
      <c r="AR906" s="352"/>
      <c r="AS906" s="352"/>
      <c r="AT906" s="352"/>
      <c r="AU906" s="352"/>
      <c r="AV906" s="352"/>
      <c r="AW906" s="352" t="s">
        <v>254</v>
      </c>
    </row>
    <row r="907" spans="2:49" x14ac:dyDescent="0.2">
      <c r="B907" s="460" t="s">
        <v>2631</v>
      </c>
      <c r="C907" s="460">
        <v>2112</v>
      </c>
      <c r="D907" s="460" t="s">
        <v>2342</v>
      </c>
      <c r="E907" s="460" t="s">
        <v>2324</v>
      </c>
      <c r="F907" s="460">
        <v>1</v>
      </c>
      <c r="G907" s="460">
        <v>3</v>
      </c>
      <c r="H907" s="461" t="s">
        <v>748</v>
      </c>
      <c r="I907" s="461" t="s">
        <v>765</v>
      </c>
      <c r="J907" s="461" t="s">
        <v>700</v>
      </c>
      <c r="K907" s="594"/>
      <c r="L907" s="594"/>
      <c r="M907" s="352">
        <v>2000</v>
      </c>
      <c r="N907" s="352" t="s">
        <v>703</v>
      </c>
      <c r="O907" s="460">
        <v>2112</v>
      </c>
      <c r="P907" s="460" t="s">
        <v>1874</v>
      </c>
      <c r="Q907" s="460" t="s">
        <v>2266</v>
      </c>
      <c r="R907" s="460">
        <v>2112</v>
      </c>
      <c r="S907" s="460" t="s">
        <v>2324</v>
      </c>
      <c r="T907" s="462">
        <v>1</v>
      </c>
      <c r="U907" s="460" t="s">
        <v>2324</v>
      </c>
      <c r="V907" s="475">
        <v>0</v>
      </c>
      <c r="W907" s="463" t="s">
        <v>2268</v>
      </c>
      <c r="X907" s="463" t="s">
        <v>2268</v>
      </c>
      <c r="Y907" s="463" t="s">
        <v>2267</v>
      </c>
      <c r="Z907" s="463"/>
      <c r="AA907" s="463"/>
      <c r="AB907" s="464">
        <v>0</v>
      </c>
      <c r="AC907" s="465">
        <v>0</v>
      </c>
      <c r="AD907" s="465">
        <v>0</v>
      </c>
      <c r="AE907" s="476">
        <v>0</v>
      </c>
      <c r="AF907" s="467">
        <v>0</v>
      </c>
      <c r="AG907" s="468">
        <v>0</v>
      </c>
      <c r="AH907" s="218">
        <v>0</v>
      </c>
      <c r="AI907" s="470">
        <v>0</v>
      </c>
      <c r="AJ907" s="471">
        <v>0</v>
      </c>
      <c r="AK907" s="218">
        <v>0</v>
      </c>
      <c r="AL907" s="470">
        <v>0</v>
      </c>
      <c r="AM907" s="471">
        <v>0</v>
      </c>
      <c r="AN907" s="477">
        <v>2.9327087756461037</v>
      </c>
      <c r="AO907" s="473">
        <v>0.21320767442135666</v>
      </c>
      <c r="AP907" s="474">
        <v>1.5265281534586686E-4</v>
      </c>
      <c r="AQ907" s="352"/>
      <c r="AR907" s="352"/>
      <c r="AS907" s="352"/>
      <c r="AT907" s="352"/>
      <c r="AU907" s="352"/>
      <c r="AV907" s="352"/>
      <c r="AW907" s="352" t="s">
        <v>254</v>
      </c>
    </row>
    <row r="908" spans="2:49" x14ac:dyDescent="0.2">
      <c r="B908" s="460" t="s">
        <v>2632</v>
      </c>
      <c r="C908" s="460">
        <v>2112</v>
      </c>
      <c r="D908" s="460" t="s">
        <v>2343</v>
      </c>
      <c r="E908" s="460" t="s">
        <v>2327</v>
      </c>
      <c r="F908" s="460">
        <v>2</v>
      </c>
      <c r="G908" s="460">
        <v>3</v>
      </c>
      <c r="H908" s="461" t="s">
        <v>748</v>
      </c>
      <c r="I908" s="461" t="s">
        <v>765</v>
      </c>
      <c r="J908" s="461" t="s">
        <v>700</v>
      </c>
      <c r="K908" s="594"/>
      <c r="L908" s="594"/>
      <c r="M908" s="352">
        <v>2000</v>
      </c>
      <c r="N908" s="352" t="s">
        <v>703</v>
      </c>
      <c r="O908" s="460">
        <v>2112</v>
      </c>
      <c r="P908" s="460" t="s">
        <v>1874</v>
      </c>
      <c r="Q908" s="460" t="s">
        <v>2266</v>
      </c>
      <c r="R908" s="460">
        <v>2112</v>
      </c>
      <c r="S908" s="460" t="s">
        <v>2324</v>
      </c>
      <c r="T908" s="462">
        <v>1</v>
      </c>
      <c r="U908" s="460" t="s">
        <v>2327</v>
      </c>
      <c r="V908" s="475">
        <v>0</v>
      </c>
      <c r="W908" s="463" t="s">
        <v>2268</v>
      </c>
      <c r="X908" s="463" t="s">
        <v>2268</v>
      </c>
      <c r="Y908" s="463" t="s">
        <v>2267</v>
      </c>
      <c r="Z908" s="463"/>
      <c r="AA908" s="463"/>
      <c r="AB908" s="464">
        <v>0</v>
      </c>
      <c r="AC908" s="465">
        <v>0</v>
      </c>
      <c r="AD908" s="465">
        <v>0</v>
      </c>
      <c r="AE908" s="476">
        <v>0</v>
      </c>
      <c r="AF908" s="467">
        <v>0</v>
      </c>
      <c r="AG908" s="468">
        <v>0</v>
      </c>
      <c r="AH908" s="218">
        <v>0</v>
      </c>
      <c r="AI908" s="470">
        <v>0</v>
      </c>
      <c r="AJ908" s="471">
        <v>0</v>
      </c>
      <c r="AK908" s="218">
        <v>0</v>
      </c>
      <c r="AL908" s="470">
        <v>0</v>
      </c>
      <c r="AM908" s="471">
        <v>0</v>
      </c>
      <c r="AN908" s="477">
        <v>1.8342479755266865</v>
      </c>
      <c r="AO908" s="473">
        <v>0.21320767442135666</v>
      </c>
      <c r="AP908" s="474">
        <v>1.6305274532845714E-4</v>
      </c>
      <c r="AQ908" s="352"/>
      <c r="AR908" s="352"/>
      <c r="AS908" s="352"/>
      <c r="AT908" s="352"/>
      <c r="AU908" s="352"/>
      <c r="AV908" s="352"/>
      <c r="AW908" s="352" t="s">
        <v>254</v>
      </c>
    </row>
    <row r="909" spans="2:49" x14ac:dyDescent="0.2">
      <c r="B909" s="460" t="s">
        <v>2633</v>
      </c>
      <c r="C909" s="460">
        <v>2112</v>
      </c>
      <c r="D909" s="460" t="s">
        <v>2344</v>
      </c>
      <c r="E909" s="460" t="s">
        <v>2330</v>
      </c>
      <c r="F909" s="460">
        <v>3</v>
      </c>
      <c r="G909" s="460">
        <v>3</v>
      </c>
      <c r="H909" s="461" t="s">
        <v>748</v>
      </c>
      <c r="I909" s="461" t="s">
        <v>765</v>
      </c>
      <c r="J909" s="461" t="s">
        <v>700</v>
      </c>
      <c r="K909" s="594"/>
      <c r="L909" s="594"/>
      <c r="M909" s="352">
        <v>2000</v>
      </c>
      <c r="N909" s="352" t="s">
        <v>703</v>
      </c>
      <c r="O909" s="460">
        <v>2112</v>
      </c>
      <c r="P909" s="460" t="s">
        <v>1874</v>
      </c>
      <c r="Q909" s="460" t="s">
        <v>2266</v>
      </c>
      <c r="R909" s="460">
        <v>2112</v>
      </c>
      <c r="S909" s="460" t="s">
        <v>2324</v>
      </c>
      <c r="T909" s="462">
        <v>1</v>
      </c>
      <c r="U909" s="460" t="s">
        <v>2330</v>
      </c>
      <c r="V909" s="475">
        <v>0</v>
      </c>
      <c r="W909" s="463" t="s">
        <v>2268</v>
      </c>
      <c r="X909" s="463" t="s">
        <v>2268</v>
      </c>
      <c r="Y909" s="463" t="s">
        <v>2267</v>
      </c>
      <c r="Z909" s="463"/>
      <c r="AA909" s="463"/>
      <c r="AB909" s="464">
        <v>0</v>
      </c>
      <c r="AC909" s="465">
        <v>0</v>
      </c>
      <c r="AD909" s="465">
        <v>0</v>
      </c>
      <c r="AE909" s="476">
        <v>0</v>
      </c>
      <c r="AF909" s="467">
        <v>0</v>
      </c>
      <c r="AG909" s="468">
        <v>0</v>
      </c>
      <c r="AH909" s="218">
        <v>0</v>
      </c>
      <c r="AI909" s="470">
        <v>0</v>
      </c>
      <c r="AJ909" s="471">
        <v>0</v>
      </c>
      <c r="AK909" s="218">
        <v>0</v>
      </c>
      <c r="AL909" s="470">
        <v>0</v>
      </c>
      <c r="AM909" s="471">
        <v>0</v>
      </c>
      <c r="AN909" s="477">
        <v>0.45058005200852336</v>
      </c>
      <c r="AO909" s="473">
        <v>0.21320767442135666</v>
      </c>
      <c r="AP909" s="474">
        <v>1.2282033536862457E-4</v>
      </c>
      <c r="AQ909" s="352"/>
      <c r="AR909" s="352"/>
      <c r="AS909" s="352"/>
      <c r="AT909" s="352"/>
      <c r="AU909" s="352"/>
      <c r="AV909" s="352"/>
      <c r="AW909" s="352" t="s">
        <v>254</v>
      </c>
    </row>
    <row r="910" spans="2:49" x14ac:dyDescent="0.2">
      <c r="B910" s="460" t="s">
        <v>2634</v>
      </c>
      <c r="C910" s="460">
        <v>2112</v>
      </c>
      <c r="D910" s="460" t="s">
        <v>2345</v>
      </c>
      <c r="E910" s="460" t="s">
        <v>2333</v>
      </c>
      <c r="F910" s="460">
        <v>4</v>
      </c>
      <c r="G910" s="460">
        <v>3</v>
      </c>
      <c r="H910" s="461" t="s">
        <v>748</v>
      </c>
      <c r="I910" s="461" t="s">
        <v>765</v>
      </c>
      <c r="J910" s="461" t="s">
        <v>700</v>
      </c>
      <c r="K910" s="594"/>
      <c r="L910" s="594"/>
      <c r="M910" s="352">
        <v>2000</v>
      </c>
      <c r="N910" s="352" t="s">
        <v>703</v>
      </c>
      <c r="O910" s="460">
        <v>2112</v>
      </c>
      <c r="P910" s="460" t="s">
        <v>1874</v>
      </c>
      <c r="Q910" s="460" t="s">
        <v>2266</v>
      </c>
      <c r="R910" s="460">
        <v>2112</v>
      </c>
      <c r="S910" s="460" t="s">
        <v>2333</v>
      </c>
      <c r="T910" s="462">
        <v>1</v>
      </c>
      <c r="U910" s="460" t="s">
        <v>2333</v>
      </c>
      <c r="V910" s="475">
        <v>0</v>
      </c>
      <c r="W910" s="463" t="s">
        <v>2268</v>
      </c>
      <c r="X910" s="463" t="s">
        <v>2268</v>
      </c>
      <c r="Y910" s="463" t="s">
        <v>2278</v>
      </c>
      <c r="Z910" s="463"/>
      <c r="AA910" s="463"/>
      <c r="AB910" s="464">
        <v>0</v>
      </c>
      <c r="AC910" s="465">
        <v>0</v>
      </c>
      <c r="AD910" s="465">
        <v>0</v>
      </c>
      <c r="AE910" s="476">
        <v>0</v>
      </c>
      <c r="AF910" s="467">
        <v>0</v>
      </c>
      <c r="AG910" s="468">
        <v>0</v>
      </c>
      <c r="AH910" s="218">
        <v>0</v>
      </c>
      <c r="AI910" s="470">
        <v>0</v>
      </c>
      <c r="AJ910" s="471">
        <v>0</v>
      </c>
      <c r="AK910" s="218">
        <v>0</v>
      </c>
      <c r="AL910" s="470">
        <v>0</v>
      </c>
      <c r="AM910" s="471">
        <v>0</v>
      </c>
      <c r="AN910" s="477">
        <v>4.7576177897184031E-3</v>
      </c>
      <c r="AO910" s="473">
        <v>2.1687638200402152E-3</v>
      </c>
      <c r="AP910" s="474">
        <v>2.9626853254241903E-6</v>
      </c>
      <c r="AQ910" s="352"/>
      <c r="AR910" s="352"/>
      <c r="AS910" s="352"/>
      <c r="AT910" s="352"/>
      <c r="AU910" s="352"/>
      <c r="AV910" s="352"/>
      <c r="AW910" s="352" t="s">
        <v>254</v>
      </c>
    </row>
    <row r="911" spans="2:49" x14ac:dyDescent="0.2">
      <c r="B911" s="460" t="s">
        <v>2631</v>
      </c>
      <c r="C911" s="460">
        <v>2112</v>
      </c>
      <c r="D911" s="460" t="s">
        <v>2346</v>
      </c>
      <c r="E911" s="460" t="s">
        <v>2324</v>
      </c>
      <c r="F911" s="460">
        <v>1</v>
      </c>
      <c r="G911" s="460">
        <v>3</v>
      </c>
      <c r="H911" s="461" t="s">
        <v>752</v>
      </c>
      <c r="I911" s="461" t="s">
        <v>964</v>
      </c>
      <c r="J911" s="461" t="s">
        <v>752</v>
      </c>
      <c r="K911" s="594"/>
      <c r="L911" s="594"/>
      <c r="M911" s="352">
        <v>2000</v>
      </c>
      <c r="N911" s="352" t="s">
        <v>703</v>
      </c>
      <c r="O911" s="460">
        <v>2112</v>
      </c>
      <c r="P911" s="460" t="s">
        <v>1874</v>
      </c>
      <c r="Q911" s="460" t="s">
        <v>2266</v>
      </c>
      <c r="R911" s="460">
        <v>2112</v>
      </c>
      <c r="S911" s="460" t="s">
        <v>2324</v>
      </c>
      <c r="T911" s="462">
        <v>1</v>
      </c>
      <c r="U911" s="460" t="s">
        <v>2324</v>
      </c>
      <c r="V911" s="475">
        <v>0</v>
      </c>
      <c r="W911" s="463" t="s">
        <v>2278</v>
      </c>
      <c r="X911" s="463" t="s">
        <v>2278</v>
      </c>
      <c r="Y911" s="463" t="s">
        <v>2278</v>
      </c>
      <c r="Z911" s="463"/>
      <c r="AA911" s="463"/>
      <c r="AB911" s="464">
        <v>0</v>
      </c>
      <c r="AC911" s="465">
        <v>0</v>
      </c>
      <c r="AD911" s="465">
        <v>0</v>
      </c>
      <c r="AE911" s="476">
        <v>0</v>
      </c>
      <c r="AF911" s="467">
        <v>0</v>
      </c>
      <c r="AG911" s="468">
        <v>0</v>
      </c>
      <c r="AH911" s="218">
        <v>0</v>
      </c>
      <c r="AI911" s="470">
        <v>0</v>
      </c>
      <c r="AJ911" s="471">
        <v>0</v>
      </c>
      <c r="AK911" s="218">
        <v>0</v>
      </c>
      <c r="AL911" s="470">
        <v>0</v>
      </c>
      <c r="AM911" s="471">
        <v>0</v>
      </c>
      <c r="AN911" s="477">
        <v>0</v>
      </c>
      <c r="AO911" s="473">
        <v>0</v>
      </c>
      <c r="AP911" s="474">
        <v>0</v>
      </c>
      <c r="AQ911" s="352"/>
      <c r="AR911" s="352"/>
      <c r="AS911" s="352"/>
      <c r="AT911" s="352"/>
      <c r="AU911" s="352"/>
      <c r="AV911" s="352"/>
      <c r="AW911" s="352" t="s">
        <v>254</v>
      </c>
    </row>
    <row r="912" spans="2:49" x14ac:dyDescent="0.2">
      <c r="B912" s="460" t="s">
        <v>2632</v>
      </c>
      <c r="C912" s="460">
        <v>2112</v>
      </c>
      <c r="D912" s="460" t="s">
        <v>2347</v>
      </c>
      <c r="E912" s="460" t="s">
        <v>2327</v>
      </c>
      <c r="F912" s="460">
        <v>2</v>
      </c>
      <c r="G912" s="460">
        <v>3</v>
      </c>
      <c r="H912" s="461" t="s">
        <v>752</v>
      </c>
      <c r="I912" s="461" t="s">
        <v>964</v>
      </c>
      <c r="J912" s="461" t="s">
        <v>752</v>
      </c>
      <c r="K912" s="594"/>
      <c r="L912" s="594"/>
      <c r="M912" s="352">
        <v>2000</v>
      </c>
      <c r="N912" s="352" t="s">
        <v>703</v>
      </c>
      <c r="O912" s="460">
        <v>2112</v>
      </c>
      <c r="P912" s="460" t="s">
        <v>1874</v>
      </c>
      <c r="Q912" s="460" t="s">
        <v>2266</v>
      </c>
      <c r="R912" s="460">
        <v>2112</v>
      </c>
      <c r="S912" s="460" t="s">
        <v>2324</v>
      </c>
      <c r="T912" s="462">
        <v>1</v>
      </c>
      <c r="U912" s="460" t="s">
        <v>2327</v>
      </c>
      <c r="V912" s="475">
        <v>0</v>
      </c>
      <c r="W912" s="463" t="s">
        <v>2278</v>
      </c>
      <c r="X912" s="463" t="s">
        <v>2278</v>
      </c>
      <c r="Y912" s="463" t="s">
        <v>2278</v>
      </c>
      <c r="Z912" s="463"/>
      <c r="AA912" s="463"/>
      <c r="AB912" s="464">
        <v>0</v>
      </c>
      <c r="AC912" s="465">
        <v>0</v>
      </c>
      <c r="AD912" s="465">
        <v>0</v>
      </c>
      <c r="AE912" s="476">
        <v>0</v>
      </c>
      <c r="AF912" s="467">
        <v>0</v>
      </c>
      <c r="AG912" s="468">
        <v>0</v>
      </c>
      <c r="AH912" s="218">
        <v>0</v>
      </c>
      <c r="AI912" s="470">
        <v>0</v>
      </c>
      <c r="AJ912" s="471">
        <v>0</v>
      </c>
      <c r="AK912" s="218">
        <v>0</v>
      </c>
      <c r="AL912" s="470">
        <v>0</v>
      </c>
      <c r="AM912" s="471">
        <v>0</v>
      </c>
      <c r="AN912" s="477">
        <v>0</v>
      </c>
      <c r="AO912" s="473">
        <v>0</v>
      </c>
      <c r="AP912" s="474">
        <v>0</v>
      </c>
      <c r="AQ912" s="352"/>
      <c r="AR912" s="352"/>
      <c r="AS912" s="352"/>
      <c r="AT912" s="352"/>
      <c r="AU912" s="352"/>
      <c r="AV912" s="352"/>
      <c r="AW912" s="352" t="s">
        <v>254</v>
      </c>
    </row>
    <row r="913" spans="2:49" x14ac:dyDescent="0.2">
      <c r="B913" s="460" t="s">
        <v>2633</v>
      </c>
      <c r="C913" s="460">
        <v>2112</v>
      </c>
      <c r="D913" s="460" t="s">
        <v>2348</v>
      </c>
      <c r="E913" s="460" t="s">
        <v>2330</v>
      </c>
      <c r="F913" s="460">
        <v>3</v>
      </c>
      <c r="G913" s="460">
        <v>3</v>
      </c>
      <c r="H913" s="461" t="s">
        <v>752</v>
      </c>
      <c r="I913" s="461" t="s">
        <v>964</v>
      </c>
      <c r="J913" s="461" t="s">
        <v>752</v>
      </c>
      <c r="K913" s="594"/>
      <c r="L913" s="594"/>
      <c r="M913" s="352">
        <v>2000</v>
      </c>
      <c r="N913" s="352" t="s">
        <v>703</v>
      </c>
      <c r="O913" s="460">
        <v>2112</v>
      </c>
      <c r="P913" s="460" t="s">
        <v>1874</v>
      </c>
      <c r="Q913" s="460" t="s">
        <v>2266</v>
      </c>
      <c r="R913" s="460">
        <v>2112</v>
      </c>
      <c r="S913" s="460" t="s">
        <v>2324</v>
      </c>
      <c r="T913" s="462">
        <v>1</v>
      </c>
      <c r="U913" s="460" t="s">
        <v>2330</v>
      </c>
      <c r="V913" s="475">
        <v>0</v>
      </c>
      <c r="W913" s="463" t="s">
        <v>2278</v>
      </c>
      <c r="X913" s="463" t="s">
        <v>2278</v>
      </c>
      <c r="Y913" s="463" t="s">
        <v>2278</v>
      </c>
      <c r="Z913" s="463"/>
      <c r="AA913" s="463"/>
      <c r="AB913" s="464">
        <v>0</v>
      </c>
      <c r="AC913" s="465">
        <v>0</v>
      </c>
      <c r="AD913" s="465">
        <v>0</v>
      </c>
      <c r="AE913" s="476">
        <v>0</v>
      </c>
      <c r="AF913" s="467">
        <v>0</v>
      </c>
      <c r="AG913" s="468">
        <v>0</v>
      </c>
      <c r="AH913" s="218">
        <v>0</v>
      </c>
      <c r="AI913" s="470">
        <v>0</v>
      </c>
      <c r="AJ913" s="471">
        <v>0</v>
      </c>
      <c r="AK913" s="218">
        <v>0</v>
      </c>
      <c r="AL913" s="470">
        <v>0</v>
      </c>
      <c r="AM913" s="471">
        <v>0</v>
      </c>
      <c r="AN913" s="477">
        <v>0</v>
      </c>
      <c r="AO913" s="473">
        <v>0</v>
      </c>
      <c r="AP913" s="474">
        <v>0</v>
      </c>
      <c r="AQ913" s="352"/>
      <c r="AR913" s="352"/>
      <c r="AS913" s="352"/>
      <c r="AT913" s="352"/>
      <c r="AU913" s="352"/>
      <c r="AV913" s="352"/>
      <c r="AW913" s="352" t="s">
        <v>254</v>
      </c>
    </row>
    <row r="914" spans="2:49" x14ac:dyDescent="0.2">
      <c r="B914" s="460" t="s">
        <v>2634</v>
      </c>
      <c r="C914" s="460">
        <v>2112</v>
      </c>
      <c r="D914" s="460" t="s">
        <v>2349</v>
      </c>
      <c r="E914" s="460" t="s">
        <v>2333</v>
      </c>
      <c r="F914" s="460">
        <v>4</v>
      </c>
      <c r="G914" s="460">
        <v>3</v>
      </c>
      <c r="H914" s="461" t="s">
        <v>752</v>
      </c>
      <c r="I914" s="461" t="s">
        <v>964</v>
      </c>
      <c r="J914" s="461" t="s">
        <v>752</v>
      </c>
      <c r="K914" s="594"/>
      <c r="L914" s="594"/>
      <c r="M914" s="352">
        <v>2000</v>
      </c>
      <c r="N914" s="352" t="s">
        <v>703</v>
      </c>
      <c r="O914" s="460">
        <v>2112</v>
      </c>
      <c r="P914" s="460" t="s">
        <v>1874</v>
      </c>
      <c r="Q914" s="460" t="s">
        <v>2266</v>
      </c>
      <c r="R914" s="460">
        <v>2112</v>
      </c>
      <c r="S914" s="460" t="s">
        <v>2333</v>
      </c>
      <c r="T914" s="462">
        <v>1</v>
      </c>
      <c r="U914" s="460" t="s">
        <v>2333</v>
      </c>
      <c r="V914" s="475">
        <v>0</v>
      </c>
      <c r="W914" s="463" t="s">
        <v>2278</v>
      </c>
      <c r="X914" s="463" t="s">
        <v>2278</v>
      </c>
      <c r="Y914" s="463" t="s">
        <v>2278</v>
      </c>
      <c r="Z914" s="463"/>
      <c r="AA914" s="463"/>
      <c r="AB914" s="464">
        <v>0</v>
      </c>
      <c r="AC914" s="465">
        <v>0</v>
      </c>
      <c r="AD914" s="465">
        <v>0</v>
      </c>
      <c r="AE914" s="476">
        <v>0</v>
      </c>
      <c r="AF914" s="467">
        <v>0</v>
      </c>
      <c r="AG914" s="468">
        <v>0</v>
      </c>
      <c r="AH914" s="218">
        <v>0</v>
      </c>
      <c r="AI914" s="470">
        <v>0</v>
      </c>
      <c r="AJ914" s="471">
        <v>0</v>
      </c>
      <c r="AK914" s="218">
        <v>0</v>
      </c>
      <c r="AL914" s="470">
        <v>0</v>
      </c>
      <c r="AM914" s="471">
        <v>0</v>
      </c>
      <c r="AN914" s="477">
        <v>0</v>
      </c>
      <c r="AO914" s="473">
        <v>0</v>
      </c>
      <c r="AP914" s="474">
        <v>0</v>
      </c>
      <c r="AQ914" s="352"/>
      <c r="AR914" s="352"/>
      <c r="AS914" s="352"/>
      <c r="AT914" s="352"/>
      <c r="AU914" s="352"/>
      <c r="AV914" s="352"/>
      <c r="AW914" s="352" t="s">
        <v>254</v>
      </c>
    </row>
    <row r="915" spans="2:49" x14ac:dyDescent="0.2">
      <c r="B915" s="460" t="s">
        <v>2635</v>
      </c>
      <c r="C915" s="460">
        <v>2112</v>
      </c>
      <c r="D915" s="460" t="s">
        <v>2351</v>
      </c>
      <c r="E915" s="460" t="s">
        <v>1136</v>
      </c>
      <c r="F915" s="460">
        <v>1</v>
      </c>
      <c r="G915" s="460">
        <v>4</v>
      </c>
      <c r="H915" s="461" t="s">
        <v>700</v>
      </c>
      <c r="I915" s="461" t="s">
        <v>872</v>
      </c>
      <c r="J915" s="461" t="s">
        <v>700</v>
      </c>
      <c r="K915" s="594"/>
      <c r="L915" s="594"/>
      <c r="M915" s="352">
        <v>2000</v>
      </c>
      <c r="N915" s="352" t="s">
        <v>703</v>
      </c>
      <c r="O915" s="460">
        <v>2112</v>
      </c>
      <c r="P915" s="460" t="s">
        <v>1874</v>
      </c>
      <c r="Q915" s="460" t="s">
        <v>2266</v>
      </c>
      <c r="R915" s="460">
        <v>2112</v>
      </c>
      <c r="S915" s="460" t="s">
        <v>1136</v>
      </c>
      <c r="T915" s="462">
        <v>1</v>
      </c>
      <c r="U915" s="460" t="s">
        <v>1136</v>
      </c>
      <c r="V915" s="475">
        <v>0</v>
      </c>
      <c r="W915" s="463" t="s">
        <v>2267</v>
      </c>
      <c r="X915" s="463" t="s">
        <v>2267</v>
      </c>
      <c r="Y915" s="463" t="s">
        <v>2268</v>
      </c>
      <c r="Z915" s="463"/>
      <c r="AA915" s="463"/>
      <c r="AB915" s="464">
        <v>6.697147209825835E-2</v>
      </c>
      <c r="AC915" s="465">
        <v>0.10397087744537047</v>
      </c>
      <c r="AD915" s="465">
        <v>1.9054785043273037E-4</v>
      </c>
      <c r="AE915" s="476">
        <v>6.697147209825835E-2</v>
      </c>
      <c r="AF915" s="467">
        <v>0.10397087744537047</v>
      </c>
      <c r="AG915" s="468">
        <v>2.0713724464312721E-4</v>
      </c>
      <c r="AH915" s="218">
        <v>6.697147209825835E-2</v>
      </c>
      <c r="AI915" s="470">
        <v>0.10397087744537047</v>
      </c>
      <c r="AJ915" s="471">
        <v>5.2302477799561419E-5</v>
      </c>
      <c r="AK915" s="218">
        <v>6.697147209825835E-2</v>
      </c>
      <c r="AL915" s="470">
        <v>0.10397087744537047</v>
      </c>
      <c r="AM915" s="471">
        <v>5.2302477799561419E-5</v>
      </c>
      <c r="AN915" s="477">
        <v>0</v>
      </c>
      <c r="AO915" s="473">
        <v>0</v>
      </c>
      <c r="AP915" s="474">
        <v>0</v>
      </c>
      <c r="AQ915" s="352"/>
      <c r="AR915" s="352"/>
      <c r="AS915" s="352"/>
      <c r="AT915" s="352"/>
      <c r="AU915" s="352"/>
      <c r="AV915" s="352"/>
      <c r="AW915" s="352" t="s">
        <v>254</v>
      </c>
    </row>
    <row r="916" spans="2:49" x14ac:dyDescent="0.2">
      <c r="B916" s="460" t="s">
        <v>2636</v>
      </c>
      <c r="C916" s="460">
        <v>2112</v>
      </c>
      <c r="D916" s="460" t="s">
        <v>2353</v>
      </c>
      <c r="E916" s="460" t="s">
        <v>1137</v>
      </c>
      <c r="F916" s="460">
        <v>2</v>
      </c>
      <c r="G916" s="460">
        <v>4</v>
      </c>
      <c r="H916" s="461" t="s">
        <v>700</v>
      </c>
      <c r="I916" s="461" t="s">
        <v>872</v>
      </c>
      <c r="J916" s="461" t="s">
        <v>700</v>
      </c>
      <c r="K916" s="594"/>
      <c r="L916" s="594"/>
      <c r="M916" s="352">
        <v>2000</v>
      </c>
      <c r="N916" s="352" t="s">
        <v>703</v>
      </c>
      <c r="O916" s="460">
        <v>2112</v>
      </c>
      <c r="P916" s="460" t="s">
        <v>1874</v>
      </c>
      <c r="Q916" s="460" t="s">
        <v>2266</v>
      </c>
      <c r="R916" s="460">
        <v>2112</v>
      </c>
      <c r="S916" s="460" t="s">
        <v>1137</v>
      </c>
      <c r="T916" s="462">
        <v>1</v>
      </c>
      <c r="U916" s="460" t="s">
        <v>1137</v>
      </c>
      <c r="V916" s="475">
        <v>0</v>
      </c>
      <c r="W916" s="463" t="s">
        <v>2267</v>
      </c>
      <c r="X916" s="463" t="s">
        <v>2267</v>
      </c>
      <c r="Y916" s="463" t="s">
        <v>2268</v>
      </c>
      <c r="Z916" s="463"/>
      <c r="AA916" s="463"/>
      <c r="AB916" s="464">
        <v>0.19529153145572428</v>
      </c>
      <c r="AC916" s="465">
        <v>0.16946623525930871</v>
      </c>
      <c r="AD916" s="465">
        <v>4.4099780886894405E-5</v>
      </c>
      <c r="AE916" s="476">
        <v>0.19529153145572428</v>
      </c>
      <c r="AF916" s="467">
        <v>0.16946623525930871</v>
      </c>
      <c r="AG916" s="468">
        <v>4.7510049441696475E-5</v>
      </c>
      <c r="AH916" s="218">
        <v>0.19529153145572428</v>
      </c>
      <c r="AI916" s="470">
        <v>0.16946623525930871</v>
      </c>
      <c r="AJ916" s="471">
        <v>4.0349071651752751E-5</v>
      </c>
      <c r="AK916" s="218">
        <v>0.19529153145572428</v>
      </c>
      <c r="AL916" s="470">
        <v>0.16946623525930871</v>
      </c>
      <c r="AM916" s="471">
        <v>4.0349071651752751E-5</v>
      </c>
      <c r="AN916" s="477">
        <v>0</v>
      </c>
      <c r="AO916" s="473">
        <v>0</v>
      </c>
      <c r="AP916" s="474">
        <v>0</v>
      </c>
      <c r="AQ916" s="352"/>
      <c r="AR916" s="352"/>
      <c r="AS916" s="352"/>
      <c r="AT916" s="352"/>
      <c r="AU916" s="352"/>
      <c r="AV916" s="352"/>
      <c r="AW916" s="352" t="s">
        <v>254</v>
      </c>
    </row>
    <row r="917" spans="2:49" x14ac:dyDescent="0.2">
      <c r="B917" s="460" t="s">
        <v>2637</v>
      </c>
      <c r="C917" s="460">
        <v>2112</v>
      </c>
      <c r="D917" s="460" t="s">
        <v>2355</v>
      </c>
      <c r="E917" s="460" t="s">
        <v>1138</v>
      </c>
      <c r="F917" s="460">
        <v>3</v>
      </c>
      <c r="G917" s="460">
        <v>4</v>
      </c>
      <c r="H917" s="461" t="s">
        <v>700</v>
      </c>
      <c r="I917" s="461" t="s">
        <v>872</v>
      </c>
      <c r="J917" s="461" t="s">
        <v>700</v>
      </c>
      <c r="K917" s="594"/>
      <c r="L917" s="594"/>
      <c r="M917" s="352">
        <v>2000</v>
      </c>
      <c r="N917" s="352" t="s">
        <v>703</v>
      </c>
      <c r="O917" s="460">
        <v>2112</v>
      </c>
      <c r="P917" s="460" t="s">
        <v>1874</v>
      </c>
      <c r="Q917" s="460" t="s">
        <v>2266</v>
      </c>
      <c r="R917" s="460">
        <v>2112</v>
      </c>
      <c r="S917" s="460" t="s">
        <v>1138</v>
      </c>
      <c r="T917" s="462">
        <v>1</v>
      </c>
      <c r="U917" s="460" t="s">
        <v>1138</v>
      </c>
      <c r="V917" s="475">
        <v>0</v>
      </c>
      <c r="W917" s="463" t="s">
        <v>2267</v>
      </c>
      <c r="X917" s="463" t="s">
        <v>2267</v>
      </c>
      <c r="Y917" s="463" t="s">
        <v>2268</v>
      </c>
      <c r="Z917" s="463"/>
      <c r="AA917" s="463"/>
      <c r="AB917" s="464">
        <v>0.15926087863425584</v>
      </c>
      <c r="AC917" s="465">
        <v>0.12399022656180794</v>
      </c>
      <c r="AD917" s="465">
        <v>6.6820793612491886E-5</v>
      </c>
      <c r="AE917" s="476">
        <v>0.15926087863425584</v>
      </c>
      <c r="AF917" s="467">
        <v>0.12399022656180794</v>
      </c>
      <c r="AG917" s="468">
        <v>7.2090596364142689E-5</v>
      </c>
      <c r="AH917" s="218">
        <v>0.15926087863425584</v>
      </c>
      <c r="AI917" s="470">
        <v>0.12399022656180794</v>
      </c>
      <c r="AJ917" s="471">
        <v>5.4882283854945158E-5</v>
      </c>
      <c r="AK917" s="218">
        <v>0.15926087863425584</v>
      </c>
      <c r="AL917" s="470">
        <v>0.12399022656180794</v>
      </c>
      <c r="AM917" s="471">
        <v>5.4882283854945158E-5</v>
      </c>
      <c r="AN917" s="477">
        <v>0</v>
      </c>
      <c r="AO917" s="473">
        <v>0</v>
      </c>
      <c r="AP917" s="474">
        <v>0</v>
      </c>
      <c r="AQ917" s="352"/>
      <c r="AR917" s="352"/>
      <c r="AS917" s="352"/>
      <c r="AT917" s="352"/>
      <c r="AU917" s="352"/>
      <c r="AV917" s="352"/>
      <c r="AW917" s="352" t="s">
        <v>254</v>
      </c>
    </row>
    <row r="918" spans="2:49" x14ac:dyDescent="0.2">
      <c r="B918" s="460" t="s">
        <v>2638</v>
      </c>
      <c r="C918" s="460">
        <v>2112</v>
      </c>
      <c r="D918" s="460" t="s">
        <v>2357</v>
      </c>
      <c r="E918" s="460" t="s">
        <v>1139</v>
      </c>
      <c r="F918" s="460">
        <v>4</v>
      </c>
      <c r="G918" s="460">
        <v>4</v>
      </c>
      <c r="H918" s="461" t="s">
        <v>700</v>
      </c>
      <c r="I918" s="461" t="s">
        <v>872</v>
      </c>
      <c r="J918" s="461" t="s">
        <v>700</v>
      </c>
      <c r="K918" s="594"/>
      <c r="L918" s="594"/>
      <c r="M918" s="352">
        <v>2000</v>
      </c>
      <c r="N918" s="352" t="s">
        <v>703</v>
      </c>
      <c r="O918" s="460">
        <v>2112</v>
      </c>
      <c r="P918" s="460" t="s">
        <v>1874</v>
      </c>
      <c r="Q918" s="460" t="s">
        <v>2266</v>
      </c>
      <c r="R918" s="460">
        <v>2112</v>
      </c>
      <c r="S918" s="460" t="s">
        <v>1139</v>
      </c>
      <c r="T918" s="462">
        <v>1</v>
      </c>
      <c r="U918" s="460" t="s">
        <v>1139</v>
      </c>
      <c r="V918" s="475">
        <v>0</v>
      </c>
      <c r="W918" s="463" t="s">
        <v>2267</v>
      </c>
      <c r="X918" s="463" t="s">
        <v>2267</v>
      </c>
      <c r="Y918" s="463" t="s">
        <v>2268</v>
      </c>
      <c r="Z918" s="463"/>
      <c r="AA918" s="463"/>
      <c r="AB918" s="464">
        <v>0</v>
      </c>
      <c r="AC918" s="465">
        <v>0</v>
      </c>
      <c r="AD918" s="465">
        <v>0</v>
      </c>
      <c r="AE918" s="476">
        <v>0</v>
      </c>
      <c r="AF918" s="467">
        <v>0</v>
      </c>
      <c r="AG918" s="468">
        <v>0</v>
      </c>
      <c r="AH918" s="218">
        <v>0</v>
      </c>
      <c r="AI918" s="470">
        <v>0</v>
      </c>
      <c r="AJ918" s="471">
        <v>0</v>
      </c>
      <c r="AK918" s="218">
        <v>0</v>
      </c>
      <c r="AL918" s="470">
        <v>0</v>
      </c>
      <c r="AM918" s="471">
        <v>0</v>
      </c>
      <c r="AN918" s="477">
        <v>0</v>
      </c>
      <c r="AO918" s="473">
        <v>0</v>
      </c>
      <c r="AP918" s="474">
        <v>0</v>
      </c>
      <c r="AQ918" s="352"/>
      <c r="AR918" s="352"/>
      <c r="AS918" s="352"/>
      <c r="AT918" s="352"/>
      <c r="AU918" s="352"/>
      <c r="AV918" s="352"/>
      <c r="AW918" s="352" t="s">
        <v>254</v>
      </c>
    </row>
    <row r="919" spans="2:49" x14ac:dyDescent="0.2">
      <c r="B919" s="460" t="s">
        <v>2635</v>
      </c>
      <c r="C919" s="460">
        <v>2112</v>
      </c>
      <c r="D919" s="460" t="s">
        <v>2358</v>
      </c>
      <c r="E919" s="460" t="s">
        <v>1136</v>
      </c>
      <c r="F919" s="460">
        <v>1</v>
      </c>
      <c r="G919" s="460">
        <v>4</v>
      </c>
      <c r="H919" s="461" t="s">
        <v>712</v>
      </c>
      <c r="I919" s="461" t="s">
        <v>713</v>
      </c>
      <c r="J919" s="461" t="s">
        <v>712</v>
      </c>
      <c r="K919" s="594"/>
      <c r="L919" s="594"/>
      <c r="M919" s="352">
        <v>2000</v>
      </c>
      <c r="N919" s="352" t="s">
        <v>703</v>
      </c>
      <c r="O919" s="460">
        <v>2112</v>
      </c>
      <c r="P919" s="460" t="s">
        <v>1874</v>
      </c>
      <c r="Q919" s="460" t="s">
        <v>2280</v>
      </c>
      <c r="R919" s="460">
        <v>2112</v>
      </c>
      <c r="S919" s="460" t="s">
        <v>1136</v>
      </c>
      <c r="T919" s="462">
        <v>1</v>
      </c>
      <c r="U919" s="460" t="s">
        <v>1136</v>
      </c>
      <c r="V919" s="475">
        <v>0</v>
      </c>
      <c r="W919" s="463" t="s">
        <v>713</v>
      </c>
      <c r="X919" s="463" t="s">
        <v>713</v>
      </c>
      <c r="Y919" s="463" t="s">
        <v>713</v>
      </c>
      <c r="Z919" s="463"/>
      <c r="AA919" s="463"/>
      <c r="AB919" s="464">
        <v>0.55054556493013884</v>
      </c>
      <c r="AC919" s="465">
        <v>0.85470281100379619</v>
      </c>
      <c r="AD919" s="465">
        <v>3.6282991992435565E-6</v>
      </c>
      <c r="AE919" s="476">
        <v>0.55054556493013884</v>
      </c>
      <c r="AF919" s="467">
        <v>0.85470281100379619</v>
      </c>
      <c r="AG919" s="468">
        <v>3.6276262373350528E-6</v>
      </c>
      <c r="AH919" s="218">
        <v>0.55054556493013884</v>
      </c>
      <c r="AI919" s="470">
        <v>0.85470281100379619</v>
      </c>
      <c r="AJ919" s="471">
        <v>3.6644946079544599E-6</v>
      </c>
      <c r="AK919" s="218">
        <v>0.55054556493013884</v>
      </c>
      <c r="AL919" s="470">
        <v>0.85470281100379619</v>
      </c>
      <c r="AM919" s="471">
        <v>3.6644946079544599E-6</v>
      </c>
      <c r="AN919" s="477">
        <v>0.55054556493013884</v>
      </c>
      <c r="AO919" s="473">
        <v>0.85470281100379619</v>
      </c>
      <c r="AP919" s="474">
        <v>3.6585319635052405E-6</v>
      </c>
      <c r="AQ919" s="352"/>
      <c r="AR919" s="352"/>
      <c r="AS919" s="352"/>
      <c r="AT919" s="352"/>
      <c r="AU919" s="352"/>
      <c r="AV919" s="352"/>
      <c r="AW919" s="352" t="s">
        <v>254</v>
      </c>
    </row>
    <row r="920" spans="2:49" x14ac:dyDescent="0.2">
      <c r="B920" s="460" t="s">
        <v>2636</v>
      </c>
      <c r="C920" s="460">
        <v>2112</v>
      </c>
      <c r="D920" s="460" t="s">
        <v>2359</v>
      </c>
      <c r="E920" s="460" t="s">
        <v>1137</v>
      </c>
      <c r="F920" s="460">
        <v>2</v>
      </c>
      <c r="G920" s="460">
        <v>4</v>
      </c>
      <c r="H920" s="461" t="s">
        <v>712</v>
      </c>
      <c r="I920" s="461" t="s">
        <v>713</v>
      </c>
      <c r="J920" s="461" t="s">
        <v>712</v>
      </c>
      <c r="K920" s="594"/>
      <c r="L920" s="594"/>
      <c r="M920" s="352">
        <v>2000</v>
      </c>
      <c r="N920" s="352" t="s">
        <v>703</v>
      </c>
      <c r="O920" s="460">
        <v>2112</v>
      </c>
      <c r="P920" s="460" t="s">
        <v>1874</v>
      </c>
      <c r="Q920" s="460" t="s">
        <v>2280</v>
      </c>
      <c r="R920" s="460">
        <v>2112</v>
      </c>
      <c r="S920" s="460" t="s">
        <v>1137</v>
      </c>
      <c r="T920" s="462">
        <v>1</v>
      </c>
      <c r="U920" s="460" t="s">
        <v>1137</v>
      </c>
      <c r="V920" s="475">
        <v>0</v>
      </c>
      <c r="W920" s="463" t="s">
        <v>713</v>
      </c>
      <c r="X920" s="463" t="s">
        <v>713</v>
      </c>
      <c r="Y920" s="463" t="s">
        <v>713</v>
      </c>
      <c r="Z920" s="463"/>
      <c r="AA920" s="463"/>
      <c r="AB920" s="464">
        <v>0.94589103272495378</v>
      </c>
      <c r="AC920" s="465">
        <v>0.82080667342085589</v>
      </c>
      <c r="AD920" s="465">
        <v>5.4702183236476789E-6</v>
      </c>
      <c r="AE920" s="476">
        <v>0.94589103272495378</v>
      </c>
      <c r="AF920" s="467">
        <v>0.82080667342085589</v>
      </c>
      <c r="AG920" s="468">
        <v>5.4601809367717513E-6</v>
      </c>
      <c r="AH920" s="218">
        <v>0.94589103272495378</v>
      </c>
      <c r="AI920" s="470">
        <v>0.82080667342085589</v>
      </c>
      <c r="AJ920" s="471">
        <v>5.486090693805424E-6</v>
      </c>
      <c r="AK920" s="218">
        <v>0.94589103272495378</v>
      </c>
      <c r="AL920" s="470">
        <v>0.82080667342085589</v>
      </c>
      <c r="AM920" s="471">
        <v>5.486090693805424E-6</v>
      </c>
      <c r="AN920" s="477">
        <v>0.94589103272495378</v>
      </c>
      <c r="AO920" s="473">
        <v>0.82080667342085589</v>
      </c>
      <c r="AP920" s="474">
        <v>5.4815638819868314E-6</v>
      </c>
      <c r="AQ920" s="352"/>
      <c r="AR920" s="352"/>
      <c r="AS920" s="352"/>
      <c r="AT920" s="352"/>
      <c r="AU920" s="352"/>
      <c r="AV920" s="352"/>
      <c r="AW920" s="352" t="s">
        <v>254</v>
      </c>
    </row>
    <row r="921" spans="2:49" x14ac:dyDescent="0.2">
      <c r="B921" s="460" t="s">
        <v>2637</v>
      </c>
      <c r="C921" s="460">
        <v>2112</v>
      </c>
      <c r="D921" s="460" t="s">
        <v>2360</v>
      </c>
      <c r="E921" s="460" t="s">
        <v>1138</v>
      </c>
      <c r="F921" s="460">
        <v>3</v>
      </c>
      <c r="G921" s="460">
        <v>4</v>
      </c>
      <c r="H921" s="461" t="s">
        <v>712</v>
      </c>
      <c r="I921" s="461" t="s">
        <v>713</v>
      </c>
      <c r="J921" s="461" t="s">
        <v>712</v>
      </c>
      <c r="K921" s="594"/>
      <c r="L921" s="594"/>
      <c r="M921" s="352">
        <v>2000</v>
      </c>
      <c r="N921" s="352" t="s">
        <v>703</v>
      </c>
      <c r="O921" s="460">
        <v>2112</v>
      </c>
      <c r="P921" s="460" t="s">
        <v>1874</v>
      </c>
      <c r="Q921" s="460" t="s">
        <v>2280</v>
      </c>
      <c r="R921" s="460">
        <v>2112</v>
      </c>
      <c r="S921" s="460" t="s">
        <v>1138</v>
      </c>
      <c r="T921" s="462">
        <v>1</v>
      </c>
      <c r="U921" s="460" t="s">
        <v>1138</v>
      </c>
      <c r="V921" s="475">
        <v>0</v>
      </c>
      <c r="W921" s="463" t="s">
        <v>713</v>
      </c>
      <c r="X921" s="463" t="s">
        <v>713</v>
      </c>
      <c r="Y921" s="463" t="s">
        <v>713</v>
      </c>
      <c r="Z921" s="463"/>
      <c r="AA921" s="463"/>
      <c r="AB921" s="464">
        <v>1.0737176127518819</v>
      </c>
      <c r="AC921" s="465">
        <v>0.83592713546585962</v>
      </c>
      <c r="AD921" s="465">
        <v>1.3399509077553445E-5</v>
      </c>
      <c r="AE921" s="476">
        <v>1.0737176127518817</v>
      </c>
      <c r="AF921" s="467">
        <v>0.83592713546585951</v>
      </c>
      <c r="AG921" s="468">
        <v>1.3370438231461491E-5</v>
      </c>
      <c r="AH921" s="218">
        <v>1.0737176127518817</v>
      </c>
      <c r="AI921" s="470">
        <v>0.83592713546585951</v>
      </c>
      <c r="AJ921" s="471">
        <v>1.3527211603574133E-5</v>
      </c>
      <c r="AK921" s="218">
        <v>1.0737176127518817</v>
      </c>
      <c r="AL921" s="470">
        <v>0.83592713546585951</v>
      </c>
      <c r="AM921" s="471">
        <v>1.3527211603574133E-5</v>
      </c>
      <c r="AN921" s="477">
        <v>1.0737176127518817</v>
      </c>
      <c r="AO921" s="473">
        <v>0.83592713546585951</v>
      </c>
      <c r="AP921" s="474">
        <v>1.3526192137632099E-5</v>
      </c>
      <c r="AQ921" s="352"/>
      <c r="AR921" s="352"/>
      <c r="AS921" s="352"/>
      <c r="AT921" s="352"/>
      <c r="AU921" s="352"/>
      <c r="AV921" s="352"/>
      <c r="AW921" s="352" t="s">
        <v>254</v>
      </c>
    </row>
    <row r="922" spans="2:49" x14ac:dyDescent="0.2">
      <c r="B922" s="460" t="s">
        <v>2638</v>
      </c>
      <c r="C922" s="460">
        <v>2112</v>
      </c>
      <c r="D922" s="460" t="s">
        <v>2361</v>
      </c>
      <c r="E922" s="460" t="s">
        <v>1139</v>
      </c>
      <c r="F922" s="460">
        <v>4</v>
      </c>
      <c r="G922" s="460">
        <v>4</v>
      </c>
      <c r="H922" s="461" t="s">
        <v>712</v>
      </c>
      <c r="I922" s="461" t="s">
        <v>713</v>
      </c>
      <c r="J922" s="461" t="s">
        <v>712</v>
      </c>
      <c r="K922" s="594"/>
      <c r="L922" s="594"/>
      <c r="M922" s="352">
        <v>2000</v>
      </c>
      <c r="N922" s="352" t="s">
        <v>703</v>
      </c>
      <c r="O922" s="460">
        <v>2112</v>
      </c>
      <c r="P922" s="460" t="s">
        <v>1874</v>
      </c>
      <c r="Q922" s="460" t="s">
        <v>2280</v>
      </c>
      <c r="R922" s="460">
        <v>2112</v>
      </c>
      <c r="S922" s="460" t="s">
        <v>1139</v>
      </c>
      <c r="T922" s="462">
        <v>1</v>
      </c>
      <c r="U922" s="460" t="s">
        <v>1139</v>
      </c>
      <c r="V922" s="475">
        <v>0</v>
      </c>
      <c r="W922" s="463" t="s">
        <v>713</v>
      </c>
      <c r="X922" s="463" t="s">
        <v>713</v>
      </c>
      <c r="Y922" s="463" t="s">
        <v>713</v>
      </c>
      <c r="Z922" s="463"/>
      <c r="AA922" s="463"/>
      <c r="AB922" s="464">
        <v>1.2044574840576097</v>
      </c>
      <c r="AC922" s="465">
        <v>0.6260813986423539</v>
      </c>
      <c r="AD922" s="465">
        <v>1.3336036711365306E-5</v>
      </c>
      <c r="AE922" s="476">
        <v>1.2044574840576097</v>
      </c>
      <c r="AF922" s="467">
        <v>0.6260813986423539</v>
      </c>
      <c r="AG922" s="468">
        <v>1.3336036711365306E-5</v>
      </c>
      <c r="AH922" s="218">
        <v>1.2044574840576097</v>
      </c>
      <c r="AI922" s="470">
        <v>0.6260813986423539</v>
      </c>
      <c r="AJ922" s="471">
        <v>1.3622866285105523E-5</v>
      </c>
      <c r="AK922" s="218">
        <v>1.2044574840576097</v>
      </c>
      <c r="AL922" s="470">
        <v>0.6260813986423539</v>
      </c>
      <c r="AM922" s="471">
        <v>1.3622866285105523E-5</v>
      </c>
      <c r="AN922" s="477">
        <v>1.2044574840576097</v>
      </c>
      <c r="AO922" s="473">
        <v>0.6260813986423539</v>
      </c>
      <c r="AP922" s="474">
        <v>1.3622866285105523E-5</v>
      </c>
      <c r="AQ922" s="352"/>
      <c r="AR922" s="352"/>
      <c r="AS922" s="352"/>
      <c r="AT922" s="352"/>
      <c r="AU922" s="352"/>
      <c r="AV922" s="352"/>
      <c r="AW922" s="352" t="s">
        <v>254</v>
      </c>
    </row>
    <row r="923" spans="2:49" x14ac:dyDescent="0.2">
      <c r="B923" s="460" t="s">
        <v>2635</v>
      </c>
      <c r="C923" s="460">
        <v>2112</v>
      </c>
      <c r="D923" s="460" t="s">
        <v>2362</v>
      </c>
      <c r="E923" s="460" t="s">
        <v>1136</v>
      </c>
      <c r="F923" s="460">
        <v>1</v>
      </c>
      <c r="G923" s="460">
        <v>4</v>
      </c>
      <c r="H923" s="461" t="s">
        <v>746</v>
      </c>
      <c r="I923" s="461" t="s">
        <v>762</v>
      </c>
      <c r="J923" s="461" t="s">
        <v>700</v>
      </c>
      <c r="K923" s="594"/>
      <c r="L923" s="594"/>
      <c r="M923" s="352">
        <v>2000</v>
      </c>
      <c r="N923" s="352" t="s">
        <v>703</v>
      </c>
      <c r="O923" s="460">
        <v>2112</v>
      </c>
      <c r="P923" s="460" t="s">
        <v>1874</v>
      </c>
      <c r="Q923" s="460" t="s">
        <v>2289</v>
      </c>
      <c r="R923" s="460">
        <v>2112</v>
      </c>
      <c r="S923" s="460" t="s">
        <v>1136</v>
      </c>
      <c r="T923" s="462">
        <v>1</v>
      </c>
      <c r="U923" s="460" t="s">
        <v>1136</v>
      </c>
      <c r="V923" s="475">
        <v>0</v>
      </c>
      <c r="W923" s="463" t="s">
        <v>2268</v>
      </c>
      <c r="X923" s="463" t="s">
        <v>2268</v>
      </c>
      <c r="Y923" s="463" t="s">
        <v>2290</v>
      </c>
      <c r="Z923" s="463"/>
      <c r="AA923" s="463"/>
      <c r="AB923" s="464">
        <v>0</v>
      </c>
      <c r="AC923" s="465">
        <v>0</v>
      </c>
      <c r="AD923" s="465">
        <v>0</v>
      </c>
      <c r="AE923" s="476">
        <v>0</v>
      </c>
      <c r="AF923" s="467">
        <v>0</v>
      </c>
      <c r="AG923" s="468">
        <v>0</v>
      </c>
      <c r="AH923" s="218">
        <v>0</v>
      </c>
      <c r="AI923" s="470">
        <v>0</v>
      </c>
      <c r="AJ923" s="471">
        <v>0</v>
      </c>
      <c r="AK923" s="218">
        <v>0</v>
      </c>
      <c r="AL923" s="470">
        <v>0</v>
      </c>
      <c r="AM923" s="471">
        <v>0</v>
      </c>
      <c r="AN923" s="477">
        <v>0</v>
      </c>
      <c r="AO923" s="473">
        <v>0</v>
      </c>
      <c r="AP923" s="474">
        <v>0</v>
      </c>
      <c r="AQ923" s="352"/>
      <c r="AR923" s="352"/>
      <c r="AS923" s="352"/>
      <c r="AT923" s="352"/>
      <c r="AU923" s="352"/>
      <c r="AV923" s="352"/>
      <c r="AW923" s="352" t="s">
        <v>254</v>
      </c>
    </row>
    <row r="924" spans="2:49" x14ac:dyDescent="0.2">
      <c r="B924" s="460" t="s">
        <v>2636</v>
      </c>
      <c r="C924" s="460">
        <v>2112</v>
      </c>
      <c r="D924" s="460" t="s">
        <v>2363</v>
      </c>
      <c r="E924" s="460" t="s">
        <v>1137</v>
      </c>
      <c r="F924" s="460">
        <v>2</v>
      </c>
      <c r="G924" s="460">
        <v>4</v>
      </c>
      <c r="H924" s="461" t="s">
        <v>746</v>
      </c>
      <c r="I924" s="461" t="s">
        <v>762</v>
      </c>
      <c r="J924" s="461" t="s">
        <v>700</v>
      </c>
      <c r="K924" s="594"/>
      <c r="L924" s="594"/>
      <c r="M924" s="352">
        <v>2000</v>
      </c>
      <c r="N924" s="352" t="s">
        <v>703</v>
      </c>
      <c r="O924" s="460">
        <v>2112</v>
      </c>
      <c r="P924" s="460" t="s">
        <v>1874</v>
      </c>
      <c r="Q924" s="460" t="s">
        <v>2289</v>
      </c>
      <c r="R924" s="460">
        <v>2112</v>
      </c>
      <c r="S924" s="460" t="s">
        <v>1137</v>
      </c>
      <c r="T924" s="462">
        <v>1</v>
      </c>
      <c r="U924" s="460" t="s">
        <v>1137</v>
      </c>
      <c r="V924" s="475">
        <v>0</v>
      </c>
      <c r="W924" s="463" t="s">
        <v>2268</v>
      </c>
      <c r="X924" s="463" t="s">
        <v>2268</v>
      </c>
      <c r="Y924" s="463" t="s">
        <v>2290</v>
      </c>
      <c r="Z924" s="463"/>
      <c r="AA924" s="463"/>
      <c r="AB924" s="464">
        <v>0</v>
      </c>
      <c r="AC924" s="465">
        <v>0</v>
      </c>
      <c r="AD924" s="465">
        <v>0</v>
      </c>
      <c r="AE924" s="476">
        <v>0</v>
      </c>
      <c r="AF924" s="467">
        <v>0</v>
      </c>
      <c r="AG924" s="468">
        <v>0</v>
      </c>
      <c r="AH924" s="218">
        <v>0</v>
      </c>
      <c r="AI924" s="470">
        <v>0</v>
      </c>
      <c r="AJ924" s="471">
        <v>0</v>
      </c>
      <c r="AK924" s="218">
        <v>0</v>
      </c>
      <c r="AL924" s="470">
        <v>0</v>
      </c>
      <c r="AM924" s="471">
        <v>0</v>
      </c>
      <c r="AN924" s="477">
        <v>0</v>
      </c>
      <c r="AO924" s="473">
        <v>0</v>
      </c>
      <c r="AP924" s="474">
        <v>0</v>
      </c>
      <c r="AQ924" s="352"/>
      <c r="AR924" s="352"/>
      <c r="AS924" s="352"/>
      <c r="AT924" s="352"/>
      <c r="AU924" s="352"/>
      <c r="AV924" s="352"/>
      <c r="AW924" s="352" t="s">
        <v>254</v>
      </c>
    </row>
    <row r="925" spans="2:49" x14ac:dyDescent="0.2">
      <c r="B925" s="460" t="s">
        <v>2637</v>
      </c>
      <c r="C925" s="460">
        <v>2112</v>
      </c>
      <c r="D925" s="460" t="s">
        <v>2364</v>
      </c>
      <c r="E925" s="460" t="s">
        <v>1138</v>
      </c>
      <c r="F925" s="460">
        <v>3</v>
      </c>
      <c r="G925" s="460">
        <v>4</v>
      </c>
      <c r="H925" s="461" t="s">
        <v>746</v>
      </c>
      <c r="I925" s="461" t="s">
        <v>762</v>
      </c>
      <c r="J925" s="461" t="s">
        <v>700</v>
      </c>
      <c r="K925" s="594"/>
      <c r="L925" s="594"/>
      <c r="M925" s="352">
        <v>2000</v>
      </c>
      <c r="N925" s="352" t="s">
        <v>703</v>
      </c>
      <c r="O925" s="460">
        <v>2112</v>
      </c>
      <c r="P925" s="460" t="s">
        <v>1874</v>
      </c>
      <c r="Q925" s="460" t="s">
        <v>2289</v>
      </c>
      <c r="R925" s="460">
        <v>2112</v>
      </c>
      <c r="S925" s="460" t="s">
        <v>1138</v>
      </c>
      <c r="T925" s="462">
        <v>1</v>
      </c>
      <c r="U925" s="460" t="s">
        <v>1138</v>
      </c>
      <c r="V925" s="475">
        <v>0</v>
      </c>
      <c r="W925" s="463" t="s">
        <v>2268</v>
      </c>
      <c r="X925" s="463" t="s">
        <v>2268</v>
      </c>
      <c r="Y925" s="463" t="s">
        <v>2290</v>
      </c>
      <c r="Z925" s="463"/>
      <c r="AA925" s="463"/>
      <c r="AB925" s="464">
        <v>0</v>
      </c>
      <c r="AC925" s="465">
        <v>0</v>
      </c>
      <c r="AD925" s="465">
        <v>0</v>
      </c>
      <c r="AE925" s="476">
        <v>0</v>
      </c>
      <c r="AF925" s="467">
        <v>0</v>
      </c>
      <c r="AG925" s="468">
        <v>0</v>
      </c>
      <c r="AH925" s="218">
        <v>0</v>
      </c>
      <c r="AI925" s="470">
        <v>0</v>
      </c>
      <c r="AJ925" s="471">
        <v>0</v>
      </c>
      <c r="AK925" s="218">
        <v>0</v>
      </c>
      <c r="AL925" s="470">
        <v>0</v>
      </c>
      <c r="AM925" s="471">
        <v>0</v>
      </c>
      <c r="AN925" s="477">
        <v>0</v>
      </c>
      <c r="AO925" s="473">
        <v>0</v>
      </c>
      <c r="AP925" s="474">
        <v>0</v>
      </c>
      <c r="AQ925" s="352"/>
      <c r="AR925" s="352"/>
      <c r="AS925" s="352"/>
      <c r="AT925" s="352"/>
      <c r="AU925" s="352"/>
      <c r="AV925" s="352"/>
      <c r="AW925" s="352" t="s">
        <v>254</v>
      </c>
    </row>
    <row r="926" spans="2:49" x14ac:dyDescent="0.2">
      <c r="B926" s="460" t="s">
        <v>2638</v>
      </c>
      <c r="C926" s="460">
        <v>2112</v>
      </c>
      <c r="D926" s="460" t="s">
        <v>2365</v>
      </c>
      <c r="E926" s="460" t="s">
        <v>1139</v>
      </c>
      <c r="F926" s="460">
        <v>4</v>
      </c>
      <c r="G926" s="460">
        <v>4</v>
      </c>
      <c r="H926" s="461" t="s">
        <v>746</v>
      </c>
      <c r="I926" s="461" t="s">
        <v>762</v>
      </c>
      <c r="J926" s="461" t="s">
        <v>700</v>
      </c>
      <c r="K926" s="594"/>
      <c r="L926" s="594"/>
      <c r="M926" s="352">
        <v>2000</v>
      </c>
      <c r="N926" s="352" t="s">
        <v>703</v>
      </c>
      <c r="O926" s="460">
        <v>2112</v>
      </c>
      <c r="P926" s="460" t="s">
        <v>1874</v>
      </c>
      <c r="Q926" s="460" t="s">
        <v>2289</v>
      </c>
      <c r="R926" s="460">
        <v>2112</v>
      </c>
      <c r="S926" s="460" t="s">
        <v>1139</v>
      </c>
      <c r="T926" s="462">
        <v>1</v>
      </c>
      <c r="U926" s="460" t="s">
        <v>1139</v>
      </c>
      <c r="V926" s="475">
        <v>0</v>
      </c>
      <c r="W926" s="463" t="s">
        <v>2268</v>
      </c>
      <c r="X926" s="463" t="s">
        <v>2268</v>
      </c>
      <c r="Y926" s="463" t="s">
        <v>2290</v>
      </c>
      <c r="Z926" s="463"/>
      <c r="AA926" s="463"/>
      <c r="AB926" s="464">
        <v>0</v>
      </c>
      <c r="AC926" s="465">
        <v>0</v>
      </c>
      <c r="AD926" s="465">
        <v>0</v>
      </c>
      <c r="AE926" s="476">
        <v>0</v>
      </c>
      <c r="AF926" s="467">
        <v>0</v>
      </c>
      <c r="AG926" s="468">
        <v>0</v>
      </c>
      <c r="AH926" s="218">
        <v>0</v>
      </c>
      <c r="AI926" s="470">
        <v>0</v>
      </c>
      <c r="AJ926" s="471">
        <v>0</v>
      </c>
      <c r="AK926" s="218">
        <v>0</v>
      </c>
      <c r="AL926" s="470">
        <v>0</v>
      </c>
      <c r="AM926" s="471">
        <v>0</v>
      </c>
      <c r="AN926" s="477">
        <v>0</v>
      </c>
      <c r="AO926" s="473">
        <v>0</v>
      </c>
      <c r="AP926" s="474">
        <v>0</v>
      </c>
      <c r="AQ926" s="352"/>
      <c r="AR926" s="352"/>
      <c r="AS926" s="352"/>
      <c r="AT926" s="352"/>
      <c r="AU926" s="352"/>
      <c r="AV926" s="352"/>
      <c r="AW926" s="352" t="s">
        <v>254</v>
      </c>
    </row>
    <row r="927" spans="2:49" x14ac:dyDescent="0.2">
      <c r="B927" s="460" t="s">
        <v>2635</v>
      </c>
      <c r="C927" s="460">
        <v>2112</v>
      </c>
      <c r="D927" s="460" t="s">
        <v>2366</v>
      </c>
      <c r="E927" s="460" t="s">
        <v>1136</v>
      </c>
      <c r="F927" s="460">
        <v>1</v>
      </c>
      <c r="G927" s="460">
        <v>4</v>
      </c>
      <c r="H927" s="461" t="s">
        <v>748</v>
      </c>
      <c r="I927" s="461" t="s">
        <v>765</v>
      </c>
      <c r="J927" s="461" t="s">
        <v>700</v>
      </c>
      <c r="K927" s="594"/>
      <c r="L927" s="594"/>
      <c r="M927" s="352">
        <v>2000</v>
      </c>
      <c r="N927" s="352" t="s">
        <v>703</v>
      </c>
      <c r="O927" s="460">
        <v>2112</v>
      </c>
      <c r="P927" s="460" t="s">
        <v>1874</v>
      </c>
      <c r="Q927" s="460" t="s">
        <v>2266</v>
      </c>
      <c r="R927" s="460">
        <v>2112</v>
      </c>
      <c r="S927" s="460" t="s">
        <v>1136</v>
      </c>
      <c r="T927" s="462">
        <v>1</v>
      </c>
      <c r="U927" s="460" t="s">
        <v>1136</v>
      </c>
      <c r="V927" s="475">
        <v>0</v>
      </c>
      <c r="W927" s="463" t="s">
        <v>2268</v>
      </c>
      <c r="X927" s="463" t="s">
        <v>2268</v>
      </c>
      <c r="Y927" s="463" t="s">
        <v>2267</v>
      </c>
      <c r="Z927" s="463"/>
      <c r="AA927" s="463"/>
      <c r="AB927" s="464">
        <v>0</v>
      </c>
      <c r="AC927" s="465">
        <v>0</v>
      </c>
      <c r="AD927" s="465">
        <v>0</v>
      </c>
      <c r="AE927" s="476">
        <v>0</v>
      </c>
      <c r="AF927" s="467">
        <v>0</v>
      </c>
      <c r="AG927" s="468">
        <v>0</v>
      </c>
      <c r="AH927" s="218">
        <v>0</v>
      </c>
      <c r="AI927" s="470">
        <v>0</v>
      </c>
      <c r="AJ927" s="471">
        <v>0</v>
      </c>
      <c r="AK927" s="218">
        <v>0</v>
      </c>
      <c r="AL927" s="470">
        <v>0</v>
      </c>
      <c r="AM927" s="471">
        <v>0</v>
      </c>
      <c r="AN927" s="477">
        <v>6.697147209825835E-2</v>
      </c>
      <c r="AO927" s="473">
        <v>0.10397087744537047</v>
      </c>
      <c r="AP927" s="474">
        <v>8.2284341981160919E-5</v>
      </c>
      <c r="AQ927" s="352"/>
      <c r="AR927" s="352"/>
      <c r="AS927" s="352"/>
      <c r="AT927" s="352"/>
      <c r="AU927" s="352"/>
      <c r="AV927" s="352"/>
      <c r="AW927" s="352" t="s">
        <v>254</v>
      </c>
    </row>
    <row r="928" spans="2:49" x14ac:dyDescent="0.2">
      <c r="B928" s="460" t="s">
        <v>2636</v>
      </c>
      <c r="C928" s="460">
        <v>2112</v>
      </c>
      <c r="D928" s="460" t="s">
        <v>2367</v>
      </c>
      <c r="E928" s="460" t="s">
        <v>1137</v>
      </c>
      <c r="F928" s="460">
        <v>2</v>
      </c>
      <c r="G928" s="460">
        <v>4</v>
      </c>
      <c r="H928" s="461" t="s">
        <v>748</v>
      </c>
      <c r="I928" s="461" t="s">
        <v>765</v>
      </c>
      <c r="J928" s="461" t="s">
        <v>700</v>
      </c>
      <c r="K928" s="594"/>
      <c r="L928" s="594"/>
      <c r="M928" s="352">
        <v>2000</v>
      </c>
      <c r="N928" s="352" t="s">
        <v>703</v>
      </c>
      <c r="O928" s="460">
        <v>2112</v>
      </c>
      <c r="P928" s="460" t="s">
        <v>1874</v>
      </c>
      <c r="Q928" s="460" t="s">
        <v>2266</v>
      </c>
      <c r="R928" s="460">
        <v>2112</v>
      </c>
      <c r="S928" s="460" t="s">
        <v>1137</v>
      </c>
      <c r="T928" s="462">
        <v>1</v>
      </c>
      <c r="U928" s="460" t="s">
        <v>1137</v>
      </c>
      <c r="V928" s="475">
        <v>0</v>
      </c>
      <c r="W928" s="463" t="s">
        <v>2268</v>
      </c>
      <c r="X928" s="463" t="s">
        <v>2268</v>
      </c>
      <c r="Y928" s="463" t="s">
        <v>2267</v>
      </c>
      <c r="Z928" s="463"/>
      <c r="AA928" s="463"/>
      <c r="AB928" s="464">
        <v>0</v>
      </c>
      <c r="AC928" s="465">
        <v>0</v>
      </c>
      <c r="AD928" s="465">
        <v>0</v>
      </c>
      <c r="AE928" s="476">
        <v>0</v>
      </c>
      <c r="AF928" s="467">
        <v>0</v>
      </c>
      <c r="AG928" s="468">
        <v>0</v>
      </c>
      <c r="AH928" s="218">
        <v>0</v>
      </c>
      <c r="AI928" s="470">
        <v>0</v>
      </c>
      <c r="AJ928" s="471">
        <v>0</v>
      </c>
      <c r="AK928" s="218">
        <v>0</v>
      </c>
      <c r="AL928" s="470">
        <v>0</v>
      </c>
      <c r="AM928" s="471">
        <v>0</v>
      </c>
      <c r="AN928" s="477">
        <v>0.19529153145572428</v>
      </c>
      <c r="AO928" s="473">
        <v>0.16946623525930871</v>
      </c>
      <c r="AP928" s="474">
        <v>1.8810696810232349E-4</v>
      </c>
      <c r="AQ928" s="352"/>
      <c r="AR928" s="352"/>
      <c r="AS928" s="352"/>
      <c r="AT928" s="352"/>
      <c r="AU928" s="352"/>
      <c r="AV928" s="352"/>
      <c r="AW928" s="352" t="s">
        <v>254</v>
      </c>
    </row>
    <row r="929" spans="2:49" x14ac:dyDescent="0.2">
      <c r="B929" s="460" t="s">
        <v>2637</v>
      </c>
      <c r="C929" s="460">
        <v>2112</v>
      </c>
      <c r="D929" s="460" t="s">
        <v>2368</v>
      </c>
      <c r="E929" s="460" t="s">
        <v>1138</v>
      </c>
      <c r="F929" s="460">
        <v>3</v>
      </c>
      <c r="G929" s="460">
        <v>4</v>
      </c>
      <c r="H929" s="461" t="s">
        <v>748</v>
      </c>
      <c r="I929" s="461" t="s">
        <v>765</v>
      </c>
      <c r="J929" s="461" t="s">
        <v>700</v>
      </c>
      <c r="K929" s="594"/>
      <c r="L929" s="594"/>
      <c r="M929" s="352">
        <v>2000</v>
      </c>
      <c r="N929" s="352" t="s">
        <v>703</v>
      </c>
      <c r="O929" s="460">
        <v>2112</v>
      </c>
      <c r="P929" s="460" t="s">
        <v>1874</v>
      </c>
      <c r="Q929" s="460" t="s">
        <v>2266</v>
      </c>
      <c r="R929" s="460">
        <v>2112</v>
      </c>
      <c r="S929" s="460" t="s">
        <v>1138</v>
      </c>
      <c r="T929" s="462">
        <v>1</v>
      </c>
      <c r="U929" s="460" t="s">
        <v>1138</v>
      </c>
      <c r="V929" s="475">
        <v>0</v>
      </c>
      <c r="W929" s="463" t="s">
        <v>2268</v>
      </c>
      <c r="X929" s="463" t="s">
        <v>2268</v>
      </c>
      <c r="Y929" s="463" t="s">
        <v>2267</v>
      </c>
      <c r="Z929" s="463"/>
      <c r="AA929" s="463"/>
      <c r="AB929" s="464">
        <v>0</v>
      </c>
      <c r="AC929" s="465">
        <v>0</v>
      </c>
      <c r="AD929" s="465">
        <v>0</v>
      </c>
      <c r="AE929" s="476">
        <v>0</v>
      </c>
      <c r="AF929" s="467">
        <v>0</v>
      </c>
      <c r="AG929" s="468">
        <v>0</v>
      </c>
      <c r="AH929" s="218">
        <v>0</v>
      </c>
      <c r="AI929" s="470">
        <v>0</v>
      </c>
      <c r="AJ929" s="471">
        <v>0</v>
      </c>
      <c r="AK929" s="218">
        <v>0</v>
      </c>
      <c r="AL929" s="470">
        <v>0</v>
      </c>
      <c r="AM929" s="471">
        <v>0</v>
      </c>
      <c r="AN929" s="477">
        <v>0.15926087863425584</v>
      </c>
      <c r="AO929" s="473">
        <v>0.12399022656180794</v>
      </c>
      <c r="AP929" s="474">
        <v>1.652412035652079E-4</v>
      </c>
      <c r="AQ929" s="352"/>
      <c r="AR929" s="352"/>
      <c r="AS929" s="352"/>
      <c r="AT929" s="352"/>
      <c r="AU929" s="352"/>
      <c r="AV929" s="352"/>
      <c r="AW929" s="352" t="s">
        <v>254</v>
      </c>
    </row>
    <row r="930" spans="2:49" x14ac:dyDescent="0.2">
      <c r="B930" s="460" t="s">
        <v>2638</v>
      </c>
      <c r="C930" s="460">
        <v>2112</v>
      </c>
      <c r="D930" s="460" t="s">
        <v>2369</v>
      </c>
      <c r="E930" s="460" t="s">
        <v>1139</v>
      </c>
      <c r="F930" s="460">
        <v>4</v>
      </c>
      <c r="G930" s="460">
        <v>4</v>
      </c>
      <c r="H930" s="461" t="s">
        <v>748</v>
      </c>
      <c r="I930" s="461" t="s">
        <v>765</v>
      </c>
      <c r="J930" s="461" t="s">
        <v>700</v>
      </c>
      <c r="K930" s="594"/>
      <c r="L930" s="594"/>
      <c r="M930" s="352">
        <v>2000</v>
      </c>
      <c r="N930" s="352" t="s">
        <v>703</v>
      </c>
      <c r="O930" s="460">
        <v>2112</v>
      </c>
      <c r="P930" s="460" t="s">
        <v>1874</v>
      </c>
      <c r="Q930" s="460" t="s">
        <v>2266</v>
      </c>
      <c r="R930" s="460">
        <v>2112</v>
      </c>
      <c r="S930" s="460" t="s">
        <v>1139</v>
      </c>
      <c r="T930" s="462">
        <v>1</v>
      </c>
      <c r="U930" s="460" t="s">
        <v>1139</v>
      </c>
      <c r="V930" s="475">
        <v>0</v>
      </c>
      <c r="W930" s="463" t="s">
        <v>2268</v>
      </c>
      <c r="X930" s="463" t="s">
        <v>2268</v>
      </c>
      <c r="Y930" s="463" t="s">
        <v>2267</v>
      </c>
      <c r="Z930" s="463"/>
      <c r="AA930" s="463"/>
      <c r="AB930" s="464">
        <v>0</v>
      </c>
      <c r="AC930" s="465">
        <v>0</v>
      </c>
      <c r="AD930" s="465">
        <v>0</v>
      </c>
      <c r="AE930" s="476">
        <v>0</v>
      </c>
      <c r="AF930" s="467">
        <v>0</v>
      </c>
      <c r="AG930" s="468">
        <v>0</v>
      </c>
      <c r="AH930" s="218">
        <v>0</v>
      </c>
      <c r="AI930" s="470">
        <v>0</v>
      </c>
      <c r="AJ930" s="471">
        <v>0</v>
      </c>
      <c r="AK930" s="218">
        <v>0</v>
      </c>
      <c r="AL930" s="470">
        <v>0</v>
      </c>
      <c r="AM930" s="471">
        <v>0</v>
      </c>
      <c r="AN930" s="477">
        <v>0</v>
      </c>
      <c r="AO930" s="473">
        <v>0</v>
      </c>
      <c r="AP930" s="474">
        <v>0</v>
      </c>
      <c r="AQ930" s="352"/>
      <c r="AR930" s="352"/>
      <c r="AS930" s="352"/>
      <c r="AT930" s="352"/>
      <c r="AU930" s="352"/>
      <c r="AV930" s="352"/>
      <c r="AW930" s="352" t="s">
        <v>254</v>
      </c>
    </row>
    <row r="931" spans="2:49" x14ac:dyDescent="0.2">
      <c r="B931" s="460" t="s">
        <v>2635</v>
      </c>
      <c r="C931" s="460">
        <v>2112</v>
      </c>
      <c r="D931" s="460" t="s">
        <v>2370</v>
      </c>
      <c r="E931" s="460" t="s">
        <v>1136</v>
      </c>
      <c r="F931" s="460">
        <v>1</v>
      </c>
      <c r="G931" s="460">
        <v>4</v>
      </c>
      <c r="H931" s="461" t="s">
        <v>752</v>
      </c>
      <c r="I931" s="461" t="s">
        <v>964</v>
      </c>
      <c r="J931" s="461" t="s">
        <v>752</v>
      </c>
      <c r="K931" s="594"/>
      <c r="L931" s="594"/>
      <c r="M931" s="352">
        <v>2000</v>
      </c>
      <c r="N931" s="352" t="s">
        <v>703</v>
      </c>
      <c r="O931" s="460">
        <v>2112</v>
      </c>
      <c r="P931" s="460" t="s">
        <v>1874</v>
      </c>
      <c r="Q931" s="460" t="s">
        <v>2266</v>
      </c>
      <c r="R931" s="460">
        <v>2112</v>
      </c>
      <c r="S931" s="460" t="s">
        <v>1136</v>
      </c>
      <c r="T931" s="462">
        <v>1</v>
      </c>
      <c r="U931" s="460" t="s">
        <v>1136</v>
      </c>
      <c r="V931" s="475">
        <v>0</v>
      </c>
      <c r="W931" s="463" t="s">
        <v>2267</v>
      </c>
      <c r="X931" s="463" t="s">
        <v>2267</v>
      </c>
      <c r="Y931" s="463" t="s">
        <v>2267</v>
      </c>
      <c r="Z931" s="463"/>
      <c r="AA931" s="463"/>
      <c r="AB931" s="464">
        <v>2.6619799591523025E-2</v>
      </c>
      <c r="AC931" s="465">
        <v>4.1326311550833286E-2</v>
      </c>
      <c r="AD931" s="465">
        <v>8.6205117915112538E-6</v>
      </c>
      <c r="AE931" s="476">
        <v>2.6619799591523025E-2</v>
      </c>
      <c r="AF931" s="467">
        <v>4.1326311550833286E-2</v>
      </c>
      <c r="AG931" s="468">
        <v>8.6205117915112538E-6</v>
      </c>
      <c r="AH931" s="218">
        <v>2.6619799591523025E-2</v>
      </c>
      <c r="AI931" s="470">
        <v>4.1326311550833286E-2</v>
      </c>
      <c r="AJ931" s="471">
        <v>7.2777125839601502E-6</v>
      </c>
      <c r="AK931" s="218">
        <v>2.6619799591523025E-2</v>
      </c>
      <c r="AL931" s="470">
        <v>4.1326311550833286E-2</v>
      </c>
      <c r="AM931" s="471">
        <v>7.2777125839601502E-6</v>
      </c>
      <c r="AN931" s="477">
        <v>2.6619799591523025E-2</v>
      </c>
      <c r="AO931" s="473">
        <v>4.1326311550833286E-2</v>
      </c>
      <c r="AP931" s="474">
        <v>7.2777125839601502E-6</v>
      </c>
      <c r="AQ931" s="352"/>
      <c r="AR931" s="352"/>
      <c r="AS931" s="352"/>
      <c r="AT931" s="352"/>
      <c r="AU931" s="352"/>
      <c r="AV931" s="352"/>
      <c r="AW931" s="352" t="s">
        <v>254</v>
      </c>
    </row>
    <row r="932" spans="2:49" x14ac:dyDescent="0.2">
      <c r="B932" s="460" t="s">
        <v>2636</v>
      </c>
      <c r="C932" s="460">
        <v>2112</v>
      </c>
      <c r="D932" s="460" t="s">
        <v>2371</v>
      </c>
      <c r="E932" s="460" t="s">
        <v>1137</v>
      </c>
      <c r="F932" s="460">
        <v>2</v>
      </c>
      <c r="G932" s="460">
        <v>4</v>
      </c>
      <c r="H932" s="461" t="s">
        <v>752</v>
      </c>
      <c r="I932" s="461" t="s">
        <v>964</v>
      </c>
      <c r="J932" s="461" t="s">
        <v>752</v>
      </c>
      <c r="K932" s="594"/>
      <c r="L932" s="594"/>
      <c r="M932" s="352">
        <v>2000</v>
      </c>
      <c r="N932" s="352" t="s">
        <v>703</v>
      </c>
      <c r="O932" s="460">
        <v>2112</v>
      </c>
      <c r="P932" s="460" t="s">
        <v>1874</v>
      </c>
      <c r="Q932" s="460" t="s">
        <v>2266</v>
      </c>
      <c r="R932" s="460">
        <v>2112</v>
      </c>
      <c r="S932" s="460" t="s">
        <v>1137</v>
      </c>
      <c r="T932" s="462">
        <v>1</v>
      </c>
      <c r="U932" s="460" t="s">
        <v>1137</v>
      </c>
      <c r="V932" s="475">
        <v>0</v>
      </c>
      <c r="W932" s="463" t="s">
        <v>2267</v>
      </c>
      <c r="X932" s="463" t="s">
        <v>2267</v>
      </c>
      <c r="Y932" s="463" t="s">
        <v>2267</v>
      </c>
      <c r="Z932" s="463"/>
      <c r="AA932" s="463"/>
      <c r="AB932" s="464">
        <v>1.1209422086669068E-2</v>
      </c>
      <c r="AC932" s="465">
        <v>9.7270913198354708E-3</v>
      </c>
      <c r="AD932" s="465">
        <v>1.0968300726597182E-6</v>
      </c>
      <c r="AE932" s="476">
        <v>1.1209422086669068E-2</v>
      </c>
      <c r="AF932" s="467">
        <v>9.7270913198354708E-3</v>
      </c>
      <c r="AG932" s="468">
        <v>1.0968300726597182E-6</v>
      </c>
      <c r="AH932" s="218">
        <v>1.1209422086669068E-2</v>
      </c>
      <c r="AI932" s="470">
        <v>9.7270913198354708E-3</v>
      </c>
      <c r="AJ932" s="471">
        <v>1.0873993746458008E-6</v>
      </c>
      <c r="AK932" s="218">
        <v>1.1209422086669068E-2</v>
      </c>
      <c r="AL932" s="470">
        <v>9.7270913198354708E-3</v>
      </c>
      <c r="AM932" s="471">
        <v>1.0873993746458008E-6</v>
      </c>
      <c r="AN932" s="477">
        <v>1.1209422086669068E-2</v>
      </c>
      <c r="AO932" s="473">
        <v>9.7270913198354708E-3</v>
      </c>
      <c r="AP932" s="474">
        <v>1.0873993746458008E-6</v>
      </c>
      <c r="AQ932" s="352"/>
      <c r="AR932" s="352"/>
      <c r="AS932" s="352"/>
      <c r="AT932" s="352"/>
      <c r="AU932" s="352"/>
      <c r="AV932" s="352"/>
      <c r="AW932" s="352" t="s">
        <v>254</v>
      </c>
    </row>
    <row r="933" spans="2:49" x14ac:dyDescent="0.2">
      <c r="B933" s="460" t="s">
        <v>2637</v>
      </c>
      <c r="C933" s="460">
        <v>2112</v>
      </c>
      <c r="D933" s="460" t="s">
        <v>2372</v>
      </c>
      <c r="E933" s="460" t="s">
        <v>1138</v>
      </c>
      <c r="F933" s="460">
        <v>3</v>
      </c>
      <c r="G933" s="460">
        <v>4</v>
      </c>
      <c r="H933" s="461" t="s">
        <v>752</v>
      </c>
      <c r="I933" s="461" t="s">
        <v>964</v>
      </c>
      <c r="J933" s="461" t="s">
        <v>752</v>
      </c>
      <c r="K933" s="594"/>
      <c r="L933" s="594"/>
      <c r="M933" s="352">
        <v>2000</v>
      </c>
      <c r="N933" s="352" t="s">
        <v>703</v>
      </c>
      <c r="O933" s="460">
        <v>2112</v>
      </c>
      <c r="P933" s="460" t="s">
        <v>1874</v>
      </c>
      <c r="Q933" s="460" t="s">
        <v>2266</v>
      </c>
      <c r="R933" s="460">
        <v>2112</v>
      </c>
      <c r="S933" s="460" t="s">
        <v>1138</v>
      </c>
      <c r="T933" s="462">
        <v>1</v>
      </c>
      <c r="U933" s="460" t="s">
        <v>1138</v>
      </c>
      <c r="V933" s="475">
        <v>0</v>
      </c>
      <c r="W933" s="463" t="s">
        <v>2267</v>
      </c>
      <c r="X933" s="463" t="s">
        <v>2267</v>
      </c>
      <c r="Y933" s="463" t="s">
        <v>2267</v>
      </c>
      <c r="Z933" s="463"/>
      <c r="AA933" s="463"/>
      <c r="AB933" s="464">
        <v>5.1484671965417478E-2</v>
      </c>
      <c r="AC933" s="465">
        <v>4.0082637972332587E-2</v>
      </c>
      <c r="AD933" s="465">
        <v>8.8926098991787534E-6</v>
      </c>
      <c r="AE933" s="476">
        <v>5.1484671965417478E-2</v>
      </c>
      <c r="AF933" s="467">
        <v>4.0082637972332587E-2</v>
      </c>
      <c r="AG933" s="468">
        <v>8.8926098991787534E-6</v>
      </c>
      <c r="AH933" s="218">
        <v>5.1484671965417478E-2</v>
      </c>
      <c r="AI933" s="470">
        <v>4.0082637972332587E-2</v>
      </c>
      <c r="AJ933" s="471">
        <v>8.5414694171561029E-6</v>
      </c>
      <c r="AK933" s="218">
        <v>5.1484671965417478E-2</v>
      </c>
      <c r="AL933" s="470">
        <v>4.0082637972332587E-2</v>
      </c>
      <c r="AM933" s="471">
        <v>8.5414694171561029E-6</v>
      </c>
      <c r="AN933" s="477">
        <v>5.1484671965417478E-2</v>
      </c>
      <c r="AO933" s="473">
        <v>4.0082637972332587E-2</v>
      </c>
      <c r="AP933" s="474">
        <v>8.5414694171561029E-6</v>
      </c>
      <c r="AQ933" s="352"/>
      <c r="AR933" s="352"/>
      <c r="AS933" s="352"/>
      <c r="AT933" s="352"/>
      <c r="AU933" s="352"/>
      <c r="AV933" s="352"/>
      <c r="AW933" s="352" t="s">
        <v>254</v>
      </c>
    </row>
    <row r="934" spans="2:49" x14ac:dyDescent="0.2">
      <c r="B934" s="460" t="s">
        <v>2638</v>
      </c>
      <c r="C934" s="460">
        <v>2112</v>
      </c>
      <c r="D934" s="460" t="s">
        <v>2373</v>
      </c>
      <c r="E934" s="460" t="s">
        <v>1139</v>
      </c>
      <c r="F934" s="460">
        <v>4</v>
      </c>
      <c r="G934" s="460">
        <v>4</v>
      </c>
      <c r="H934" s="461" t="s">
        <v>752</v>
      </c>
      <c r="I934" s="461" t="s">
        <v>964</v>
      </c>
      <c r="J934" s="461" t="s">
        <v>752</v>
      </c>
      <c r="K934" s="594"/>
      <c r="L934" s="594"/>
      <c r="M934" s="352">
        <v>2000</v>
      </c>
      <c r="N934" s="352" t="s">
        <v>703</v>
      </c>
      <c r="O934" s="460">
        <v>2112</v>
      </c>
      <c r="P934" s="460" t="s">
        <v>1874</v>
      </c>
      <c r="Q934" s="460" t="s">
        <v>2266</v>
      </c>
      <c r="R934" s="460">
        <v>2112</v>
      </c>
      <c r="S934" s="460" t="s">
        <v>1139</v>
      </c>
      <c r="T934" s="462">
        <v>1</v>
      </c>
      <c r="U934" s="460" t="s">
        <v>1139</v>
      </c>
      <c r="V934" s="475">
        <v>0</v>
      </c>
      <c r="W934" s="463" t="s">
        <v>2267</v>
      </c>
      <c r="X934" s="463" t="s">
        <v>2267</v>
      </c>
      <c r="Y934" s="463" t="s">
        <v>2267</v>
      </c>
      <c r="Z934" s="463"/>
      <c r="AA934" s="463"/>
      <c r="AB934" s="464">
        <v>0.71934585312738542</v>
      </c>
      <c r="AC934" s="465">
        <v>0.37391860135764615</v>
      </c>
      <c r="AD934" s="465">
        <v>2.8678357459901613E-5</v>
      </c>
      <c r="AE934" s="476">
        <v>0.71934585312738542</v>
      </c>
      <c r="AF934" s="467">
        <v>0.37391860135764615</v>
      </c>
      <c r="AG934" s="468">
        <v>2.8678357459901613E-5</v>
      </c>
      <c r="AH934" s="218">
        <v>0.71934585312738542</v>
      </c>
      <c r="AI934" s="470">
        <v>0.37391860135764615</v>
      </c>
      <c r="AJ934" s="471">
        <v>2.6657411800084205E-5</v>
      </c>
      <c r="AK934" s="218">
        <v>0.71934585312738542</v>
      </c>
      <c r="AL934" s="470">
        <v>0.37391860135764615</v>
      </c>
      <c r="AM934" s="471">
        <v>2.6657411800084205E-5</v>
      </c>
      <c r="AN934" s="477">
        <v>0.71934585312738542</v>
      </c>
      <c r="AO934" s="473">
        <v>0.37391860135764615</v>
      </c>
      <c r="AP934" s="474">
        <v>2.6657411800084205E-5</v>
      </c>
      <c r="AQ934" s="352"/>
      <c r="AR934" s="352"/>
      <c r="AS934" s="352"/>
      <c r="AT934" s="352"/>
      <c r="AU934" s="352"/>
      <c r="AV934" s="352"/>
      <c r="AW934" s="352" t="s">
        <v>254</v>
      </c>
    </row>
    <row r="935" spans="2:49" x14ac:dyDescent="0.2">
      <c r="B935" s="460" t="s">
        <v>2639</v>
      </c>
      <c r="C935" s="460">
        <v>2112</v>
      </c>
      <c r="D935" s="460" t="s">
        <v>2375</v>
      </c>
      <c r="E935" s="460" t="s">
        <v>2376</v>
      </c>
      <c r="F935" s="460">
        <v>1</v>
      </c>
      <c r="G935" s="460">
        <v>5</v>
      </c>
      <c r="H935" s="461" t="s">
        <v>754</v>
      </c>
      <c r="I935" s="461" t="s">
        <v>1991</v>
      </c>
      <c r="J935" s="461" t="s">
        <v>754</v>
      </c>
      <c r="K935" s="594"/>
      <c r="L935" s="594"/>
      <c r="M935" s="352">
        <v>2000</v>
      </c>
      <c r="N935" s="352" t="s">
        <v>703</v>
      </c>
      <c r="O935" s="460">
        <v>2112</v>
      </c>
      <c r="P935" s="460" t="s">
        <v>1874</v>
      </c>
      <c r="Q935" s="460" t="s">
        <v>2377</v>
      </c>
      <c r="R935" s="460">
        <v>2112</v>
      </c>
      <c r="S935" s="460" t="s">
        <v>2376</v>
      </c>
      <c r="T935" s="462">
        <v>1</v>
      </c>
      <c r="U935" s="460" t="s">
        <v>2376</v>
      </c>
      <c r="V935" s="475">
        <v>0</v>
      </c>
      <c r="W935" s="463" t="s">
        <v>2278</v>
      </c>
      <c r="X935" s="463" t="s">
        <v>2278</v>
      </c>
      <c r="Y935" s="463" t="s">
        <v>2278</v>
      </c>
      <c r="Z935" s="463"/>
      <c r="AA935" s="463"/>
      <c r="AB935" s="464">
        <v>2.9460051368462059</v>
      </c>
      <c r="AC935" s="465">
        <v>1</v>
      </c>
      <c r="AD935" s="465">
        <v>4.952543485797964E-6</v>
      </c>
      <c r="AE935" s="476">
        <v>2.9460051368462059</v>
      </c>
      <c r="AF935" s="467">
        <v>1</v>
      </c>
      <c r="AG935" s="468">
        <v>4.952543485797964E-6</v>
      </c>
      <c r="AH935" s="218">
        <v>2.9460051368462059</v>
      </c>
      <c r="AI935" s="470">
        <v>1</v>
      </c>
      <c r="AJ935" s="471">
        <v>4.952543485797964E-6</v>
      </c>
      <c r="AK935" s="218">
        <v>2.9460051368462059</v>
      </c>
      <c r="AL935" s="470">
        <v>1</v>
      </c>
      <c r="AM935" s="471">
        <v>4.952543485797964E-6</v>
      </c>
      <c r="AN935" s="477">
        <v>2.9460051368462059</v>
      </c>
      <c r="AO935" s="473">
        <v>1</v>
      </c>
      <c r="AP935" s="474">
        <v>4.952543485797964E-6</v>
      </c>
      <c r="AQ935" s="352"/>
      <c r="AR935" s="352"/>
      <c r="AS935" s="352"/>
      <c r="AT935" s="352"/>
      <c r="AU935" s="352"/>
      <c r="AV935" s="352"/>
      <c r="AW935" s="352" t="s">
        <v>127</v>
      </c>
    </row>
    <row r="936" spans="2:49" x14ac:dyDescent="0.2">
      <c r="B936" s="460" t="s">
        <v>2640</v>
      </c>
      <c r="C936" s="460">
        <v>2112</v>
      </c>
      <c r="D936" s="460" t="s">
        <v>2379</v>
      </c>
      <c r="E936" s="460" t="s">
        <v>2380</v>
      </c>
      <c r="F936" s="460">
        <v>2</v>
      </c>
      <c r="G936" s="460">
        <v>5</v>
      </c>
      <c r="H936" s="461" t="s">
        <v>754</v>
      </c>
      <c r="I936" s="461" t="s">
        <v>1991</v>
      </c>
      <c r="J936" s="461" t="s">
        <v>754</v>
      </c>
      <c r="K936" s="594"/>
      <c r="L936" s="594"/>
      <c r="M936" s="352">
        <v>2000</v>
      </c>
      <c r="N936" s="352" t="s">
        <v>703</v>
      </c>
      <c r="O936" s="460">
        <v>2112</v>
      </c>
      <c r="P936" s="460" t="s">
        <v>1874</v>
      </c>
      <c r="Q936" s="460" t="s">
        <v>2377</v>
      </c>
      <c r="R936" s="460">
        <v>2112</v>
      </c>
      <c r="S936" s="460" t="s">
        <v>2380</v>
      </c>
      <c r="T936" s="462">
        <v>1</v>
      </c>
      <c r="U936" s="460" t="s">
        <v>2380</v>
      </c>
      <c r="V936" s="475">
        <v>0</v>
      </c>
      <c r="W936" s="463" t="s">
        <v>2278</v>
      </c>
      <c r="X936" s="463" t="s">
        <v>2278</v>
      </c>
      <c r="Y936" s="463" t="s">
        <v>2278</v>
      </c>
      <c r="Z936" s="463"/>
      <c r="AA936" s="463"/>
      <c r="AB936" s="464">
        <v>1.6921881238956438</v>
      </c>
      <c r="AC936" s="465">
        <v>1</v>
      </c>
      <c r="AD936" s="465">
        <v>3.3322631149866978E-6</v>
      </c>
      <c r="AE936" s="476">
        <v>1.6921881238956438</v>
      </c>
      <c r="AF936" s="467">
        <v>1</v>
      </c>
      <c r="AG936" s="468">
        <v>3.3322631149866978E-6</v>
      </c>
      <c r="AH936" s="218">
        <v>1.6921881238956438</v>
      </c>
      <c r="AI936" s="470">
        <v>1</v>
      </c>
      <c r="AJ936" s="471">
        <v>3.3322631149866978E-6</v>
      </c>
      <c r="AK936" s="218">
        <v>1.6921881238956438</v>
      </c>
      <c r="AL936" s="470">
        <v>1</v>
      </c>
      <c r="AM936" s="471">
        <v>3.3322631149866978E-6</v>
      </c>
      <c r="AN936" s="477">
        <v>1.6921881238956438</v>
      </c>
      <c r="AO936" s="473">
        <v>1</v>
      </c>
      <c r="AP936" s="474">
        <v>3.3322631149866978E-6</v>
      </c>
      <c r="AQ936" s="352"/>
      <c r="AR936" s="352"/>
      <c r="AS936" s="352"/>
      <c r="AT936" s="352"/>
      <c r="AU936" s="352"/>
      <c r="AV936" s="352"/>
      <c r="AW936" s="352" t="s">
        <v>127</v>
      </c>
    </row>
    <row r="937" spans="2:49" x14ac:dyDescent="0.2">
      <c r="B937" s="460" t="s">
        <v>2641</v>
      </c>
      <c r="C937" s="460">
        <v>2112</v>
      </c>
      <c r="D937" s="460" t="s">
        <v>2382</v>
      </c>
      <c r="E937" s="460" t="s">
        <v>2383</v>
      </c>
      <c r="F937" s="460">
        <v>3</v>
      </c>
      <c r="G937" s="460">
        <v>5</v>
      </c>
      <c r="H937" s="461" t="s">
        <v>754</v>
      </c>
      <c r="I937" s="461" t="s">
        <v>1991</v>
      </c>
      <c r="J937" s="461" t="s">
        <v>754</v>
      </c>
      <c r="K937" s="594"/>
      <c r="L937" s="594"/>
      <c r="M937" s="352">
        <v>2000</v>
      </c>
      <c r="N937" s="352" t="s">
        <v>703</v>
      </c>
      <c r="O937" s="460">
        <v>2112</v>
      </c>
      <c r="P937" s="460" t="s">
        <v>1874</v>
      </c>
      <c r="Q937" s="460" t="s">
        <v>2377</v>
      </c>
      <c r="R937" s="460">
        <v>2112</v>
      </c>
      <c r="S937" s="460" t="s">
        <v>2383</v>
      </c>
      <c r="T937" s="462">
        <v>1</v>
      </c>
      <c r="U937" s="460" t="s">
        <v>2383</v>
      </c>
      <c r="V937" s="475">
        <v>0</v>
      </c>
      <c r="W937" s="463" t="s">
        <v>2278</v>
      </c>
      <c r="X937" s="463" t="s">
        <v>2278</v>
      </c>
      <c r="Y937" s="463" t="s">
        <v>2278</v>
      </c>
      <c r="Z937" s="463"/>
      <c r="AA937" s="463"/>
      <c r="AB937" s="464">
        <v>0.25968864079776899</v>
      </c>
      <c r="AC937" s="465">
        <v>1</v>
      </c>
      <c r="AD937" s="465">
        <v>2.3082835474107908E-6</v>
      </c>
      <c r="AE937" s="476">
        <v>0.25968864079776899</v>
      </c>
      <c r="AF937" s="467">
        <v>1</v>
      </c>
      <c r="AG937" s="468">
        <v>2.3082835474107908E-6</v>
      </c>
      <c r="AH937" s="218">
        <v>0.25968864079776899</v>
      </c>
      <c r="AI937" s="470">
        <v>1</v>
      </c>
      <c r="AJ937" s="471">
        <v>2.3082835474107908E-6</v>
      </c>
      <c r="AK937" s="218">
        <v>0.25968864079776899</v>
      </c>
      <c r="AL937" s="470">
        <v>1</v>
      </c>
      <c r="AM937" s="471">
        <v>2.3082835474107908E-6</v>
      </c>
      <c r="AN937" s="477">
        <v>0.25968864079776899</v>
      </c>
      <c r="AO937" s="473">
        <v>1</v>
      </c>
      <c r="AP937" s="474">
        <v>2.3082835474107908E-6</v>
      </c>
      <c r="AQ937" s="352"/>
      <c r="AR937" s="352"/>
      <c r="AS937" s="352"/>
      <c r="AT937" s="352"/>
      <c r="AU937" s="352"/>
      <c r="AV937" s="352"/>
      <c r="AW937" s="352" t="s">
        <v>127</v>
      </c>
    </row>
    <row r="938" spans="2:49" x14ac:dyDescent="0.2">
      <c r="B938" s="460" t="s">
        <v>2642</v>
      </c>
      <c r="C938" s="460">
        <v>2112</v>
      </c>
      <c r="D938" s="460" t="s">
        <v>2385</v>
      </c>
      <c r="E938" s="460" t="s">
        <v>2386</v>
      </c>
      <c r="F938" s="460">
        <v>4</v>
      </c>
      <c r="G938" s="460">
        <v>5</v>
      </c>
      <c r="H938" s="461" t="s">
        <v>754</v>
      </c>
      <c r="I938" s="461" t="s">
        <v>1991</v>
      </c>
      <c r="J938" s="461" t="s">
        <v>754</v>
      </c>
      <c r="K938" s="594"/>
      <c r="L938" s="594"/>
      <c r="M938" s="352">
        <v>2000</v>
      </c>
      <c r="N938" s="352" t="s">
        <v>703</v>
      </c>
      <c r="O938" s="460">
        <v>2112</v>
      </c>
      <c r="P938" s="460" t="s">
        <v>1874</v>
      </c>
      <c r="Q938" s="460" t="s">
        <v>2377</v>
      </c>
      <c r="R938" s="460">
        <v>2112</v>
      </c>
      <c r="S938" s="460" t="s">
        <v>2386</v>
      </c>
      <c r="T938" s="462">
        <v>1</v>
      </c>
      <c r="U938" s="460" t="s">
        <v>2386</v>
      </c>
      <c r="V938" s="475">
        <v>0</v>
      </c>
      <c r="W938" s="463" t="s">
        <v>2278</v>
      </c>
      <c r="X938" s="463" t="s">
        <v>2278</v>
      </c>
      <c r="Y938" s="463" t="s">
        <v>2278</v>
      </c>
      <c r="Z938" s="463"/>
      <c r="AA938" s="463"/>
      <c r="AB938" s="464">
        <v>0.21860031121587611</v>
      </c>
      <c r="AC938" s="465">
        <v>1</v>
      </c>
      <c r="AD938" s="465">
        <v>4.0551969888342472E-6</v>
      </c>
      <c r="AE938" s="476">
        <v>0.21860031121587611</v>
      </c>
      <c r="AF938" s="467">
        <v>1</v>
      </c>
      <c r="AG938" s="468">
        <v>4.0551969888342472E-6</v>
      </c>
      <c r="AH938" s="218">
        <v>0.21860031121587611</v>
      </c>
      <c r="AI938" s="470">
        <v>1</v>
      </c>
      <c r="AJ938" s="471">
        <v>4.0551969888342472E-6</v>
      </c>
      <c r="AK938" s="218">
        <v>0.21860031121587611</v>
      </c>
      <c r="AL938" s="470">
        <v>1</v>
      </c>
      <c r="AM938" s="471">
        <v>4.0551969888342472E-6</v>
      </c>
      <c r="AN938" s="477">
        <v>0.21860031121587611</v>
      </c>
      <c r="AO938" s="473">
        <v>1</v>
      </c>
      <c r="AP938" s="474">
        <v>4.0551969888342472E-6</v>
      </c>
      <c r="AQ938" s="352"/>
      <c r="AR938" s="352"/>
      <c r="AS938" s="352"/>
      <c r="AT938" s="352"/>
      <c r="AU938" s="352"/>
      <c r="AV938" s="352"/>
      <c r="AW938" s="352" t="s">
        <v>127</v>
      </c>
    </row>
    <row r="939" spans="2:49" x14ac:dyDescent="0.2">
      <c r="B939" s="460" t="s">
        <v>2643</v>
      </c>
      <c r="C939" s="460">
        <v>2112</v>
      </c>
      <c r="D939" s="460" t="s">
        <v>2388</v>
      </c>
      <c r="E939" s="460" t="s">
        <v>2389</v>
      </c>
      <c r="F939" s="460">
        <v>1</v>
      </c>
      <c r="G939" s="460">
        <v>6</v>
      </c>
      <c r="H939" s="461" t="s">
        <v>754</v>
      </c>
      <c r="I939" s="461" t="s">
        <v>1991</v>
      </c>
      <c r="J939" s="461" t="s">
        <v>754</v>
      </c>
      <c r="K939" s="594"/>
      <c r="L939" s="594"/>
      <c r="M939" s="352">
        <v>2000</v>
      </c>
      <c r="N939" s="352" t="s">
        <v>703</v>
      </c>
      <c r="O939" s="460">
        <v>2112</v>
      </c>
      <c r="P939" s="460" t="s">
        <v>1874</v>
      </c>
      <c r="Q939" s="460" t="s">
        <v>2377</v>
      </c>
      <c r="R939" s="460">
        <v>2112</v>
      </c>
      <c r="S939" s="460" t="s">
        <v>2389</v>
      </c>
      <c r="T939" s="462">
        <v>1</v>
      </c>
      <c r="U939" s="460" t="s">
        <v>2389</v>
      </c>
      <c r="V939" s="475">
        <v>0</v>
      </c>
      <c r="W939" s="463" t="s">
        <v>2278</v>
      </c>
      <c r="X939" s="463" t="s">
        <v>2278</v>
      </c>
      <c r="Y939" s="463" t="s">
        <v>2278</v>
      </c>
      <c r="Z939" s="463"/>
      <c r="AA939" s="463"/>
      <c r="AB939" s="464">
        <v>33.722541682539408</v>
      </c>
      <c r="AC939" s="465">
        <v>1</v>
      </c>
      <c r="AD939" s="465">
        <v>1.1273947150672353E-3</v>
      </c>
      <c r="AE939" s="476">
        <v>33.722541682539408</v>
      </c>
      <c r="AF939" s="467">
        <v>1</v>
      </c>
      <c r="AG939" s="468">
        <v>1.1273947150672353E-3</v>
      </c>
      <c r="AH939" s="218">
        <v>33.722541682539408</v>
      </c>
      <c r="AI939" s="470">
        <v>1</v>
      </c>
      <c r="AJ939" s="471">
        <v>1.1273947150672353E-3</v>
      </c>
      <c r="AK939" s="218">
        <v>33.722541682539408</v>
      </c>
      <c r="AL939" s="470">
        <v>1</v>
      </c>
      <c r="AM939" s="471">
        <v>1.1273947150672353E-3</v>
      </c>
      <c r="AN939" s="477">
        <v>33.722541682539408</v>
      </c>
      <c r="AO939" s="473">
        <v>1</v>
      </c>
      <c r="AP939" s="474">
        <v>1.1273947150672353E-3</v>
      </c>
      <c r="AQ939" s="352"/>
      <c r="AR939" s="352"/>
      <c r="AS939" s="352"/>
      <c r="AT939" s="352"/>
      <c r="AU939" s="352"/>
      <c r="AV939" s="352"/>
      <c r="AW939" s="352" t="s">
        <v>127</v>
      </c>
    </row>
    <row r="940" spans="2:49" x14ac:dyDescent="0.2">
      <c r="B940" s="460" t="s">
        <v>2644</v>
      </c>
      <c r="C940" s="460">
        <v>2112</v>
      </c>
      <c r="D940" s="460" t="s">
        <v>2391</v>
      </c>
      <c r="E940" s="460" t="s">
        <v>2392</v>
      </c>
      <c r="F940" s="460">
        <v>2</v>
      </c>
      <c r="G940" s="460">
        <v>6</v>
      </c>
      <c r="H940" s="461" t="s">
        <v>754</v>
      </c>
      <c r="I940" s="461" t="s">
        <v>1991</v>
      </c>
      <c r="J940" s="461" t="s">
        <v>754</v>
      </c>
      <c r="K940" s="594"/>
      <c r="L940" s="594"/>
      <c r="M940" s="352">
        <v>2000</v>
      </c>
      <c r="N940" s="352" t="s">
        <v>703</v>
      </c>
      <c r="O940" s="460">
        <v>2112</v>
      </c>
      <c r="P940" s="460" t="s">
        <v>1874</v>
      </c>
      <c r="Q940" s="460" t="s">
        <v>2377</v>
      </c>
      <c r="R940" s="460">
        <v>2112</v>
      </c>
      <c r="S940" s="460" t="s">
        <v>2392</v>
      </c>
      <c r="T940" s="462">
        <v>1</v>
      </c>
      <c r="U940" s="460" t="s">
        <v>2392</v>
      </c>
      <c r="V940" s="475">
        <v>0</v>
      </c>
      <c r="W940" s="463" t="s">
        <v>2278</v>
      </c>
      <c r="X940" s="463" t="s">
        <v>2278</v>
      </c>
      <c r="Y940" s="463" t="s">
        <v>2278</v>
      </c>
      <c r="Z940" s="463"/>
      <c r="AA940" s="463"/>
      <c r="AB940" s="464">
        <v>26.848933883181811</v>
      </c>
      <c r="AC940" s="465">
        <v>1</v>
      </c>
      <c r="AD940" s="465">
        <v>1.1540011154203029E-3</v>
      </c>
      <c r="AE940" s="476">
        <v>26.848933883181811</v>
      </c>
      <c r="AF940" s="467">
        <v>1</v>
      </c>
      <c r="AG940" s="468">
        <v>1.1540011154203029E-3</v>
      </c>
      <c r="AH940" s="218">
        <v>26.848933883181811</v>
      </c>
      <c r="AI940" s="470">
        <v>1</v>
      </c>
      <c r="AJ940" s="471">
        <v>1.1540011154203029E-3</v>
      </c>
      <c r="AK940" s="218">
        <v>26.848933883181811</v>
      </c>
      <c r="AL940" s="470">
        <v>1</v>
      </c>
      <c r="AM940" s="471">
        <v>1.1540011154203029E-3</v>
      </c>
      <c r="AN940" s="477">
        <v>26.848933883181811</v>
      </c>
      <c r="AO940" s="473">
        <v>1</v>
      </c>
      <c r="AP940" s="474">
        <v>1.1540011154203029E-3</v>
      </c>
      <c r="AQ940" s="352"/>
      <c r="AR940" s="352"/>
      <c r="AS940" s="352"/>
      <c r="AT940" s="352"/>
      <c r="AU940" s="352"/>
      <c r="AV940" s="352"/>
      <c r="AW940" s="352" t="s">
        <v>127</v>
      </c>
    </row>
    <row r="941" spans="2:49" x14ac:dyDescent="0.2">
      <c r="B941" s="460" t="s">
        <v>2645</v>
      </c>
      <c r="C941" s="460">
        <v>2112</v>
      </c>
      <c r="D941" s="460" t="s">
        <v>2394</v>
      </c>
      <c r="E941" s="460" t="s">
        <v>2395</v>
      </c>
      <c r="F941" s="460">
        <v>3</v>
      </c>
      <c r="G941" s="460">
        <v>6</v>
      </c>
      <c r="H941" s="461" t="s">
        <v>754</v>
      </c>
      <c r="I941" s="461" t="s">
        <v>1991</v>
      </c>
      <c r="J941" s="461" t="s">
        <v>754</v>
      </c>
      <c r="K941" s="594"/>
      <c r="L941" s="594"/>
      <c r="M941" s="352">
        <v>2000</v>
      </c>
      <c r="N941" s="352" t="s">
        <v>703</v>
      </c>
      <c r="O941" s="460">
        <v>2112</v>
      </c>
      <c r="P941" s="460" t="s">
        <v>1874</v>
      </c>
      <c r="Q941" s="460" t="s">
        <v>2377</v>
      </c>
      <c r="R941" s="460">
        <v>2112</v>
      </c>
      <c r="S941" s="460" t="s">
        <v>2395</v>
      </c>
      <c r="T941" s="462">
        <v>1</v>
      </c>
      <c r="U941" s="460" t="s">
        <v>2395</v>
      </c>
      <c r="V941" s="475">
        <v>0</v>
      </c>
      <c r="W941" s="463" t="s">
        <v>2278</v>
      </c>
      <c r="X941" s="463" t="s">
        <v>2278</v>
      </c>
      <c r="Y941" s="463" t="s">
        <v>2278</v>
      </c>
      <c r="Z941" s="463"/>
      <c r="AA941" s="463"/>
      <c r="AB941" s="464">
        <v>12.519477813666366</v>
      </c>
      <c r="AC941" s="465">
        <v>1</v>
      </c>
      <c r="AD941" s="465">
        <v>1.1888870259671477E-3</v>
      </c>
      <c r="AE941" s="476">
        <v>12.519477813666366</v>
      </c>
      <c r="AF941" s="467">
        <v>1</v>
      </c>
      <c r="AG941" s="468">
        <v>1.1888870259671477E-3</v>
      </c>
      <c r="AH941" s="218">
        <v>12.519477813666366</v>
      </c>
      <c r="AI941" s="470">
        <v>1</v>
      </c>
      <c r="AJ941" s="471">
        <v>1.1888870259671477E-3</v>
      </c>
      <c r="AK941" s="218">
        <v>12.519477813666366</v>
      </c>
      <c r="AL941" s="470">
        <v>1</v>
      </c>
      <c r="AM941" s="471">
        <v>1.1888870259671477E-3</v>
      </c>
      <c r="AN941" s="477">
        <v>12.519477813666366</v>
      </c>
      <c r="AO941" s="473">
        <v>1</v>
      </c>
      <c r="AP941" s="474">
        <v>1.1888870259671477E-3</v>
      </c>
      <c r="AQ941" s="352"/>
      <c r="AR941" s="352"/>
      <c r="AS941" s="352"/>
      <c r="AT941" s="352"/>
      <c r="AU941" s="352"/>
      <c r="AV941" s="352"/>
      <c r="AW941" s="352" t="s">
        <v>127</v>
      </c>
    </row>
    <row r="942" spans="2:49" x14ac:dyDescent="0.2">
      <c r="B942" s="460" t="s">
        <v>2646</v>
      </c>
      <c r="C942" s="460">
        <v>2112</v>
      </c>
      <c r="D942" s="460" t="s">
        <v>2397</v>
      </c>
      <c r="E942" s="460" t="s">
        <v>2398</v>
      </c>
      <c r="F942" s="460">
        <v>4</v>
      </c>
      <c r="G942" s="460">
        <v>6</v>
      </c>
      <c r="H942" s="461" t="s">
        <v>754</v>
      </c>
      <c r="I942" s="461" t="s">
        <v>1991</v>
      </c>
      <c r="J942" s="461" t="s">
        <v>754</v>
      </c>
      <c r="K942" s="594"/>
      <c r="L942" s="594"/>
      <c r="M942" s="352">
        <v>2000</v>
      </c>
      <c r="N942" s="352" t="s">
        <v>703</v>
      </c>
      <c r="O942" s="460">
        <v>2112</v>
      </c>
      <c r="P942" s="460" t="s">
        <v>1874</v>
      </c>
      <c r="Q942" s="460" t="s">
        <v>2377</v>
      </c>
      <c r="R942" s="460">
        <v>2112</v>
      </c>
      <c r="S942" s="460" t="s">
        <v>2398</v>
      </c>
      <c r="T942" s="462">
        <v>1</v>
      </c>
      <c r="U942" s="460" t="s">
        <v>2398</v>
      </c>
      <c r="V942" s="475">
        <v>0</v>
      </c>
      <c r="W942" s="463" t="s">
        <v>2278</v>
      </c>
      <c r="X942" s="463" t="s">
        <v>2278</v>
      </c>
      <c r="Y942" s="463" t="s">
        <v>2278</v>
      </c>
      <c r="Z942" s="463"/>
      <c r="AA942" s="463"/>
      <c r="AB942" s="464">
        <v>21.416146509251003</v>
      </c>
      <c r="AC942" s="465">
        <v>1</v>
      </c>
      <c r="AD942" s="465">
        <v>1.6991623210247182E-3</v>
      </c>
      <c r="AE942" s="476">
        <v>21.416146509251003</v>
      </c>
      <c r="AF942" s="467">
        <v>1</v>
      </c>
      <c r="AG942" s="468">
        <v>1.6991623210247182E-3</v>
      </c>
      <c r="AH942" s="218">
        <v>21.416146509251003</v>
      </c>
      <c r="AI942" s="470">
        <v>1</v>
      </c>
      <c r="AJ942" s="471">
        <v>1.6991623210247182E-3</v>
      </c>
      <c r="AK942" s="218">
        <v>21.416146509251003</v>
      </c>
      <c r="AL942" s="470">
        <v>1</v>
      </c>
      <c r="AM942" s="471">
        <v>1.6991623210247182E-3</v>
      </c>
      <c r="AN942" s="477">
        <v>21.416146509251003</v>
      </c>
      <c r="AO942" s="473">
        <v>1</v>
      </c>
      <c r="AP942" s="474">
        <v>1.6991623210247182E-3</v>
      </c>
      <c r="AQ942" s="352"/>
      <c r="AR942" s="352"/>
      <c r="AS942" s="352"/>
      <c r="AT942" s="352"/>
      <c r="AU942" s="352"/>
      <c r="AV942" s="352"/>
      <c r="AW942" s="352" t="s">
        <v>127</v>
      </c>
    </row>
    <row r="943" spans="2:49" x14ac:dyDescent="0.2">
      <c r="B943" s="460" t="s">
        <v>2647</v>
      </c>
      <c r="C943" s="460">
        <v>2113</v>
      </c>
      <c r="D943" s="460" t="s">
        <v>2264</v>
      </c>
      <c r="E943" s="460" t="s">
        <v>2265</v>
      </c>
      <c r="F943" s="460">
        <v>1</v>
      </c>
      <c r="G943" s="460">
        <v>1</v>
      </c>
      <c r="H943" s="461" t="s">
        <v>700</v>
      </c>
      <c r="I943" s="461" t="s">
        <v>872</v>
      </c>
      <c r="J943" s="461" t="s">
        <v>700</v>
      </c>
      <c r="K943" s="594"/>
      <c r="L943" s="594"/>
      <c r="M943" s="352">
        <v>2000</v>
      </c>
      <c r="N943" s="352" t="s">
        <v>703</v>
      </c>
      <c r="O943" s="460">
        <v>2113</v>
      </c>
      <c r="P943" s="460" t="s">
        <v>1875</v>
      </c>
      <c r="Q943" s="460" t="s">
        <v>2266</v>
      </c>
      <c r="R943" s="460">
        <v>2113</v>
      </c>
      <c r="S943" s="460" t="s">
        <v>2265</v>
      </c>
      <c r="T943" s="462">
        <v>1</v>
      </c>
      <c r="U943" s="460" t="s">
        <v>2265</v>
      </c>
      <c r="V943" s="475">
        <v>0</v>
      </c>
      <c r="W943" s="463" t="s">
        <v>2267</v>
      </c>
      <c r="X943" s="463" t="s">
        <v>2267</v>
      </c>
      <c r="Y943" s="463" t="s">
        <v>2268</v>
      </c>
      <c r="Z943" s="463"/>
      <c r="AA943" s="463"/>
      <c r="AB943" s="464">
        <v>3.7619761285254891</v>
      </c>
      <c r="AC943" s="465">
        <v>0.46003930478582672</v>
      </c>
      <c r="AD943" s="465">
        <v>3.4886441801042918E-5</v>
      </c>
      <c r="AE943" s="476">
        <v>3.7619761285254891</v>
      </c>
      <c r="AF943" s="467">
        <v>0.46003930478582672</v>
      </c>
      <c r="AG943" s="468">
        <v>3.7266021222922547E-5</v>
      </c>
      <c r="AH943" s="218">
        <v>3.7619761285254891</v>
      </c>
      <c r="AI943" s="470">
        <v>0.46003930478582672</v>
      </c>
      <c r="AJ943" s="471">
        <v>3.5871718422712307E-5</v>
      </c>
      <c r="AK943" s="218">
        <v>3.7619761285254891</v>
      </c>
      <c r="AL943" s="470">
        <v>0.46003930478582672</v>
      </c>
      <c r="AM943" s="471">
        <v>3.5871718422712307E-5</v>
      </c>
      <c r="AN943" s="477">
        <v>0</v>
      </c>
      <c r="AO943" s="473">
        <v>0</v>
      </c>
      <c r="AP943" s="474">
        <v>0</v>
      </c>
      <c r="AQ943" s="352"/>
      <c r="AR943" s="352"/>
      <c r="AS943" s="352"/>
      <c r="AT943" s="352"/>
      <c r="AU943" s="352"/>
      <c r="AV943" s="352"/>
      <c r="AW943" s="352" t="s">
        <v>254</v>
      </c>
    </row>
    <row r="944" spans="2:49" x14ac:dyDescent="0.2">
      <c r="B944" s="460" t="s">
        <v>2648</v>
      </c>
      <c r="C944" s="460">
        <v>2113</v>
      </c>
      <c r="D944" s="460" t="s">
        <v>2270</v>
      </c>
      <c r="E944" s="460" t="s">
        <v>2271</v>
      </c>
      <c r="F944" s="460">
        <v>2</v>
      </c>
      <c r="G944" s="460">
        <v>1</v>
      </c>
      <c r="H944" s="461" t="s">
        <v>700</v>
      </c>
      <c r="I944" s="461" t="s">
        <v>872</v>
      </c>
      <c r="J944" s="461" t="s">
        <v>700</v>
      </c>
      <c r="K944" s="594"/>
      <c r="L944" s="594"/>
      <c r="M944" s="352">
        <v>2000</v>
      </c>
      <c r="N944" s="352" t="s">
        <v>703</v>
      </c>
      <c r="O944" s="460">
        <v>2113</v>
      </c>
      <c r="P944" s="460" t="s">
        <v>1875</v>
      </c>
      <c r="Q944" s="460" t="s">
        <v>2266</v>
      </c>
      <c r="R944" s="460">
        <v>2113</v>
      </c>
      <c r="S944" s="460" t="s">
        <v>2265</v>
      </c>
      <c r="T944" s="462">
        <v>1</v>
      </c>
      <c r="U944" s="460" t="s">
        <v>2271</v>
      </c>
      <c r="V944" s="475">
        <v>0</v>
      </c>
      <c r="W944" s="463" t="s">
        <v>2267</v>
      </c>
      <c r="X944" s="463" t="s">
        <v>2267</v>
      </c>
      <c r="Y944" s="463" t="s">
        <v>2268</v>
      </c>
      <c r="Z944" s="463"/>
      <c r="AA944" s="463"/>
      <c r="AB944" s="464">
        <v>4.4919039465073185</v>
      </c>
      <c r="AC944" s="465">
        <v>0.44689366740016273</v>
      </c>
      <c r="AD944" s="465">
        <v>5.5730122855379648E-5</v>
      </c>
      <c r="AE944" s="476">
        <v>4.4919039465073185</v>
      </c>
      <c r="AF944" s="467">
        <v>0.44689366740016273</v>
      </c>
      <c r="AG944" s="468">
        <v>6.0392574680193563E-5</v>
      </c>
      <c r="AH944" s="218">
        <v>4.6240359160551074</v>
      </c>
      <c r="AI944" s="470">
        <v>0.46003930478582672</v>
      </c>
      <c r="AJ944" s="471">
        <v>5.4593215208969186E-5</v>
      </c>
      <c r="AK944" s="218">
        <v>4.6240359160551074</v>
      </c>
      <c r="AL944" s="470">
        <v>0.46003930478582672</v>
      </c>
      <c r="AM944" s="471">
        <v>5.4593215208969186E-5</v>
      </c>
      <c r="AN944" s="477">
        <v>0</v>
      </c>
      <c r="AO944" s="473">
        <v>0</v>
      </c>
      <c r="AP944" s="474">
        <v>0</v>
      </c>
      <c r="AQ944" s="352"/>
      <c r="AR944" s="352"/>
      <c r="AS944" s="352"/>
      <c r="AT944" s="352"/>
      <c r="AU944" s="352"/>
      <c r="AV944" s="352"/>
      <c r="AW944" s="352" t="s">
        <v>254</v>
      </c>
    </row>
    <row r="945" spans="2:49" x14ac:dyDescent="0.2">
      <c r="B945" s="460" t="s">
        <v>2649</v>
      </c>
      <c r="C945" s="460">
        <v>2113</v>
      </c>
      <c r="D945" s="460" t="s">
        <v>2273</v>
      </c>
      <c r="E945" s="460" t="s">
        <v>2274</v>
      </c>
      <c r="F945" s="460">
        <v>3</v>
      </c>
      <c r="G945" s="460">
        <v>1</v>
      </c>
      <c r="H945" s="461" t="s">
        <v>700</v>
      </c>
      <c r="I945" s="461" t="s">
        <v>872</v>
      </c>
      <c r="J945" s="461" t="s">
        <v>700</v>
      </c>
      <c r="K945" s="594"/>
      <c r="L945" s="594"/>
      <c r="M945" s="352">
        <v>2000</v>
      </c>
      <c r="N945" s="352" t="s">
        <v>703</v>
      </c>
      <c r="O945" s="460">
        <v>2113</v>
      </c>
      <c r="P945" s="460" t="s">
        <v>1875</v>
      </c>
      <c r="Q945" s="460" t="s">
        <v>2266</v>
      </c>
      <c r="R945" s="460">
        <v>2113</v>
      </c>
      <c r="S945" s="460" t="s">
        <v>2265</v>
      </c>
      <c r="T945" s="462">
        <v>0.74223365950407583</v>
      </c>
      <c r="U945" s="460" t="s">
        <v>2274</v>
      </c>
      <c r="V945" s="475">
        <v>0</v>
      </c>
      <c r="W945" s="463" t="s">
        <v>2267</v>
      </c>
      <c r="X945" s="463" t="s">
        <v>2267</v>
      </c>
      <c r="Y945" s="463" t="s">
        <v>2268</v>
      </c>
      <c r="Z945" s="463"/>
      <c r="AA945" s="463"/>
      <c r="AB945" s="464">
        <v>0.97440465935362863</v>
      </c>
      <c r="AC945" s="465">
        <v>0.13491396193028576</v>
      </c>
      <c r="AD945" s="465">
        <v>4.8203463014609298E-5</v>
      </c>
      <c r="AE945" s="476">
        <v>0.97440465935362863</v>
      </c>
      <c r="AF945" s="467">
        <v>0.13491396193028576</v>
      </c>
      <c r="AG945" s="468">
        <v>5.2212740229698366E-5</v>
      </c>
      <c r="AH945" s="218">
        <v>2.4661417728910533</v>
      </c>
      <c r="AI945" s="470">
        <v>0.34145665670689507</v>
      </c>
      <c r="AJ945" s="471">
        <v>9.5696375067666527E-5</v>
      </c>
      <c r="AK945" s="218">
        <v>2.4661417728910533</v>
      </c>
      <c r="AL945" s="470">
        <v>0.34145665670689507</v>
      </c>
      <c r="AM945" s="471">
        <v>9.5696375067666527E-5</v>
      </c>
      <c r="AN945" s="477">
        <v>0</v>
      </c>
      <c r="AO945" s="473">
        <v>0</v>
      </c>
      <c r="AP945" s="474">
        <v>0</v>
      </c>
      <c r="AQ945" s="352"/>
      <c r="AR945" s="352"/>
      <c r="AS945" s="352"/>
      <c r="AT945" s="352"/>
      <c r="AU945" s="352"/>
      <c r="AV945" s="352"/>
      <c r="AW945" s="352" t="s">
        <v>254</v>
      </c>
    </row>
    <row r="946" spans="2:49" x14ac:dyDescent="0.2">
      <c r="B946" s="460" t="s">
        <v>2650</v>
      </c>
      <c r="C946" s="460">
        <v>2113</v>
      </c>
      <c r="D946" s="460" t="s">
        <v>2276</v>
      </c>
      <c r="E946" s="460" t="s">
        <v>2277</v>
      </c>
      <c r="F946" s="460">
        <v>4</v>
      </c>
      <c r="G946" s="460">
        <v>1</v>
      </c>
      <c r="H946" s="461" t="s">
        <v>700</v>
      </c>
      <c r="I946" s="461" t="s">
        <v>872</v>
      </c>
      <c r="J946" s="461" t="s">
        <v>700</v>
      </c>
      <c r="K946" s="594"/>
      <c r="L946" s="594"/>
      <c r="M946" s="352">
        <v>2000</v>
      </c>
      <c r="N946" s="352" t="s">
        <v>703</v>
      </c>
      <c r="O946" s="460">
        <v>2113</v>
      </c>
      <c r="P946" s="460" t="s">
        <v>1875</v>
      </c>
      <c r="Q946" s="460" t="s">
        <v>2266</v>
      </c>
      <c r="R946" s="460">
        <v>2113</v>
      </c>
      <c r="S946" s="460" t="s">
        <v>2277</v>
      </c>
      <c r="T946" s="462">
        <v>1</v>
      </c>
      <c r="U946" s="460" t="s">
        <v>2277</v>
      </c>
      <c r="V946" s="475">
        <v>0</v>
      </c>
      <c r="W946" s="463" t="s">
        <v>2278</v>
      </c>
      <c r="X946" s="463" t="s">
        <v>2278</v>
      </c>
      <c r="Y946" s="463" t="s">
        <v>2268</v>
      </c>
      <c r="Z946" s="463"/>
      <c r="AA946" s="463"/>
      <c r="AB946" s="464">
        <v>4.0675276465079865E-3</v>
      </c>
      <c r="AC946" s="465">
        <v>5.7387138406819218E-4</v>
      </c>
      <c r="AD946" s="465">
        <v>1.6417394579529815E-5</v>
      </c>
      <c r="AE946" s="476">
        <v>4.0675276465079865E-3</v>
      </c>
      <c r="AF946" s="467">
        <v>5.7387138406819218E-4</v>
      </c>
      <c r="AG946" s="468">
        <v>1.8353781735242188E-5</v>
      </c>
      <c r="AH946" s="218">
        <v>4.0675276465079865E-3</v>
      </c>
      <c r="AI946" s="470">
        <v>5.7387138406819218E-4</v>
      </c>
      <c r="AJ946" s="471">
        <v>1.7591305326146715E-5</v>
      </c>
      <c r="AK946" s="218">
        <v>4.0675276465079865E-3</v>
      </c>
      <c r="AL946" s="470">
        <v>5.7387138406819218E-4</v>
      </c>
      <c r="AM946" s="471">
        <v>1.7591305326146715E-5</v>
      </c>
      <c r="AN946" s="477">
        <v>0</v>
      </c>
      <c r="AO946" s="473">
        <v>0</v>
      </c>
      <c r="AP946" s="474">
        <v>0</v>
      </c>
      <c r="AQ946" s="352"/>
      <c r="AR946" s="352"/>
      <c r="AS946" s="352"/>
      <c r="AT946" s="352"/>
      <c r="AU946" s="352"/>
      <c r="AV946" s="352"/>
      <c r="AW946" s="352" t="s">
        <v>254</v>
      </c>
    </row>
    <row r="947" spans="2:49" x14ac:dyDescent="0.2">
      <c r="B947" s="460" t="s">
        <v>2647</v>
      </c>
      <c r="C947" s="460">
        <v>2113</v>
      </c>
      <c r="D947" s="460" t="s">
        <v>2279</v>
      </c>
      <c r="E947" s="460" t="s">
        <v>2265</v>
      </c>
      <c r="F947" s="460">
        <v>1</v>
      </c>
      <c r="G947" s="460">
        <v>1</v>
      </c>
      <c r="H947" s="461" t="s">
        <v>712</v>
      </c>
      <c r="I947" s="461" t="s">
        <v>713</v>
      </c>
      <c r="J947" s="461" t="s">
        <v>712</v>
      </c>
      <c r="K947" s="594"/>
      <c r="L947" s="594"/>
      <c r="M947" s="352">
        <v>2000</v>
      </c>
      <c r="N947" s="352" t="s">
        <v>703</v>
      </c>
      <c r="O947" s="460">
        <v>2113</v>
      </c>
      <c r="P947" s="460" t="s">
        <v>1875</v>
      </c>
      <c r="Q947" s="460" t="s">
        <v>2280</v>
      </c>
      <c r="R947" s="460">
        <v>2113</v>
      </c>
      <c r="S947" s="460" t="s">
        <v>2265</v>
      </c>
      <c r="T947" s="462">
        <v>1</v>
      </c>
      <c r="U947" s="460" t="s">
        <v>2265</v>
      </c>
      <c r="V947" s="475">
        <v>0</v>
      </c>
      <c r="W947" s="463" t="s">
        <v>713</v>
      </c>
      <c r="X947" s="463" t="s">
        <v>713</v>
      </c>
      <c r="Y947" s="463" t="s">
        <v>713</v>
      </c>
      <c r="Z947" s="463"/>
      <c r="AA947" s="463"/>
      <c r="AB947" s="464">
        <v>4.4155341176411804</v>
      </c>
      <c r="AC947" s="465">
        <v>0.53996069521417334</v>
      </c>
      <c r="AD947" s="465">
        <v>1.631174664519221E-5</v>
      </c>
      <c r="AE947" s="476">
        <v>4.4155341176411804</v>
      </c>
      <c r="AF947" s="467">
        <v>0.53996069521417334</v>
      </c>
      <c r="AG947" s="468">
        <v>1.5907119238352165E-5</v>
      </c>
      <c r="AH947" s="218">
        <v>4.4155341176411804</v>
      </c>
      <c r="AI947" s="470">
        <v>0.53996069521417334</v>
      </c>
      <c r="AJ947" s="471">
        <v>1.6135201020797959E-5</v>
      </c>
      <c r="AK947" s="218">
        <v>4.4155341176411804</v>
      </c>
      <c r="AL947" s="470">
        <v>0.53996069521417334</v>
      </c>
      <c r="AM947" s="471">
        <v>1.6135201020797959E-5</v>
      </c>
      <c r="AN947" s="477">
        <v>4.4155341176411804</v>
      </c>
      <c r="AO947" s="473">
        <v>0.53996069521417334</v>
      </c>
      <c r="AP947" s="474">
        <v>1.6129943525183182E-5</v>
      </c>
      <c r="AQ947" s="352"/>
      <c r="AR947" s="352"/>
      <c r="AS947" s="352"/>
      <c r="AT947" s="352"/>
      <c r="AU947" s="352"/>
      <c r="AV947" s="352"/>
      <c r="AW947" s="352" t="s">
        <v>254</v>
      </c>
    </row>
    <row r="948" spans="2:49" x14ac:dyDescent="0.2">
      <c r="B948" s="460" t="s">
        <v>2648</v>
      </c>
      <c r="C948" s="460">
        <v>2113</v>
      </c>
      <c r="D948" s="460" t="s">
        <v>2281</v>
      </c>
      <c r="E948" s="460" t="s">
        <v>2271</v>
      </c>
      <c r="F948" s="460">
        <v>2</v>
      </c>
      <c r="G948" s="460">
        <v>1</v>
      </c>
      <c r="H948" s="461" t="s">
        <v>712</v>
      </c>
      <c r="I948" s="461" t="s">
        <v>713</v>
      </c>
      <c r="J948" s="461" t="s">
        <v>712</v>
      </c>
      <c r="K948" s="594"/>
      <c r="L948" s="594"/>
      <c r="M948" s="352">
        <v>2000</v>
      </c>
      <c r="N948" s="352" t="s">
        <v>703</v>
      </c>
      <c r="O948" s="460">
        <v>2113</v>
      </c>
      <c r="P948" s="460" t="s">
        <v>1875</v>
      </c>
      <c r="Q948" s="460" t="s">
        <v>2280</v>
      </c>
      <c r="R948" s="460">
        <v>2113</v>
      </c>
      <c r="S948" s="460" t="s">
        <v>2265</v>
      </c>
      <c r="T948" s="462">
        <v>1</v>
      </c>
      <c r="U948" s="460" t="s">
        <v>2271</v>
      </c>
      <c r="V948" s="475">
        <v>0</v>
      </c>
      <c r="W948" s="463" t="s">
        <v>713</v>
      </c>
      <c r="X948" s="463" t="s">
        <v>713</v>
      </c>
      <c r="Y948" s="463" t="s">
        <v>713</v>
      </c>
      <c r="Z948" s="463"/>
      <c r="AA948" s="463"/>
      <c r="AB948" s="464">
        <v>5.5594892017538884</v>
      </c>
      <c r="AC948" s="465">
        <v>0.55310633259983721</v>
      </c>
      <c r="AD948" s="465">
        <v>2.3215985480623813E-5</v>
      </c>
      <c r="AE948" s="476">
        <v>5.5594892017538893</v>
      </c>
      <c r="AF948" s="467">
        <v>0.55310633259983732</v>
      </c>
      <c r="AG948" s="468">
        <v>2.2627995944351125E-5</v>
      </c>
      <c r="AH948" s="218">
        <v>5.4273572322060994</v>
      </c>
      <c r="AI948" s="470">
        <v>0.53996069521417334</v>
      </c>
      <c r="AJ948" s="471">
        <v>2.3316716306849154E-5</v>
      </c>
      <c r="AK948" s="218">
        <v>5.4273572322060994</v>
      </c>
      <c r="AL948" s="470">
        <v>0.53996069521417334</v>
      </c>
      <c r="AM948" s="471">
        <v>2.3316716306849154E-5</v>
      </c>
      <c r="AN948" s="477">
        <v>5.4273572322060994</v>
      </c>
      <c r="AO948" s="473">
        <v>0.53996069521417334</v>
      </c>
      <c r="AP948" s="474">
        <v>2.3308529042852432E-5</v>
      </c>
      <c r="AQ948" s="352"/>
      <c r="AR948" s="352"/>
      <c r="AS948" s="352"/>
      <c r="AT948" s="352"/>
      <c r="AU948" s="352"/>
      <c r="AV948" s="352"/>
      <c r="AW948" s="352" t="s">
        <v>254</v>
      </c>
    </row>
    <row r="949" spans="2:49" x14ac:dyDescent="0.2">
      <c r="B949" s="460" t="s">
        <v>2649</v>
      </c>
      <c r="C949" s="460">
        <v>2113</v>
      </c>
      <c r="D949" s="460" t="s">
        <v>2282</v>
      </c>
      <c r="E949" s="460" t="s">
        <v>2274</v>
      </c>
      <c r="F949" s="460">
        <v>3</v>
      </c>
      <c r="G949" s="460">
        <v>1</v>
      </c>
      <c r="H949" s="461" t="s">
        <v>712</v>
      </c>
      <c r="I949" s="461" t="s">
        <v>713</v>
      </c>
      <c r="J949" s="461" t="s">
        <v>712</v>
      </c>
      <c r="K949" s="594"/>
      <c r="L949" s="594"/>
      <c r="M949" s="352">
        <v>2000</v>
      </c>
      <c r="N949" s="352" t="s">
        <v>703</v>
      </c>
      <c r="O949" s="460">
        <v>2113</v>
      </c>
      <c r="P949" s="460" t="s">
        <v>1875</v>
      </c>
      <c r="Q949" s="460" t="s">
        <v>2280</v>
      </c>
      <c r="R949" s="460">
        <v>2113</v>
      </c>
      <c r="S949" s="460" t="s">
        <v>2265</v>
      </c>
      <c r="T949" s="462">
        <v>0.74223365950407583</v>
      </c>
      <c r="U949" s="460" t="s">
        <v>2274</v>
      </c>
      <c r="V949" s="475">
        <v>0</v>
      </c>
      <c r="W949" s="463" t="s">
        <v>713</v>
      </c>
      <c r="X949" s="463" t="s">
        <v>713</v>
      </c>
      <c r="Y949" s="463" t="s">
        <v>713</v>
      </c>
      <c r="Z949" s="463"/>
      <c r="AA949" s="463"/>
      <c r="AB949" s="464">
        <v>6.2480106148871046</v>
      </c>
      <c r="AC949" s="465">
        <v>0.86508603806971429</v>
      </c>
      <c r="AD949" s="465">
        <v>3.7395670990173272E-5</v>
      </c>
      <c r="AE949" s="476">
        <v>6.2480106148871046</v>
      </c>
      <c r="AF949" s="467">
        <v>0.86508603806971429</v>
      </c>
      <c r="AG949" s="468">
        <v>3.7051451458914138E-5</v>
      </c>
      <c r="AH949" s="218">
        <v>4.7562735013496793</v>
      </c>
      <c r="AI949" s="470">
        <v>0.65854334329310493</v>
      </c>
      <c r="AJ949" s="471">
        <v>2.9889234675658793E-5</v>
      </c>
      <c r="AK949" s="218">
        <v>4.7562735013496793</v>
      </c>
      <c r="AL949" s="470">
        <v>0.65854334329310493</v>
      </c>
      <c r="AM949" s="471">
        <v>2.9889234675658793E-5</v>
      </c>
      <c r="AN949" s="477">
        <v>4.7562735013496793</v>
      </c>
      <c r="AO949" s="473">
        <v>0.65854334329310493</v>
      </c>
      <c r="AP949" s="474">
        <v>3.0104855520699143E-5</v>
      </c>
      <c r="AQ949" s="352"/>
      <c r="AR949" s="352"/>
      <c r="AS949" s="352"/>
      <c r="AT949" s="352"/>
      <c r="AU949" s="352"/>
      <c r="AV949" s="352"/>
      <c r="AW949" s="352" t="s">
        <v>254</v>
      </c>
    </row>
    <row r="950" spans="2:49" x14ac:dyDescent="0.2">
      <c r="B950" s="460" t="s">
        <v>2650</v>
      </c>
      <c r="C950" s="460">
        <v>2113</v>
      </c>
      <c r="D950" s="460" t="s">
        <v>2283</v>
      </c>
      <c r="E950" s="460" t="s">
        <v>2277</v>
      </c>
      <c r="F950" s="460">
        <v>4</v>
      </c>
      <c r="G950" s="460">
        <v>1</v>
      </c>
      <c r="H950" s="461" t="s">
        <v>712</v>
      </c>
      <c r="I950" s="461" t="s">
        <v>713</v>
      </c>
      <c r="J950" s="461" t="s">
        <v>712</v>
      </c>
      <c r="K950" s="594"/>
      <c r="L950" s="594"/>
      <c r="M950" s="352">
        <v>2000</v>
      </c>
      <c r="N950" s="352" t="s">
        <v>703</v>
      </c>
      <c r="O950" s="460">
        <v>2113</v>
      </c>
      <c r="P950" s="460" t="s">
        <v>1875</v>
      </c>
      <c r="Q950" s="460" t="s">
        <v>2280</v>
      </c>
      <c r="R950" s="460">
        <v>2113</v>
      </c>
      <c r="S950" s="460" t="s">
        <v>2277</v>
      </c>
      <c r="T950" s="462">
        <v>1</v>
      </c>
      <c r="U950" s="460" t="s">
        <v>2277</v>
      </c>
      <c r="V950" s="475">
        <v>0</v>
      </c>
      <c r="W950" s="463" t="s">
        <v>713</v>
      </c>
      <c r="X950" s="463" t="s">
        <v>713</v>
      </c>
      <c r="Y950" s="463" t="s">
        <v>713</v>
      </c>
      <c r="Z950" s="463"/>
      <c r="AA950" s="463"/>
      <c r="AB950" s="464">
        <v>7.0838057474994942</v>
      </c>
      <c r="AC950" s="465">
        <v>0.99942612861593183</v>
      </c>
      <c r="AD950" s="465">
        <v>3.6788150379130888E-5</v>
      </c>
      <c r="AE950" s="476">
        <v>7.0838057474994942</v>
      </c>
      <c r="AF950" s="467">
        <v>0.99942612861593183</v>
      </c>
      <c r="AG950" s="468">
        <v>3.6783157130176183E-5</v>
      </c>
      <c r="AH950" s="218">
        <v>7.0838057474994942</v>
      </c>
      <c r="AI950" s="470">
        <v>0.99942612861593183</v>
      </c>
      <c r="AJ950" s="471">
        <v>3.6784991919985398E-5</v>
      </c>
      <c r="AK950" s="218">
        <v>7.0838057474994942</v>
      </c>
      <c r="AL950" s="470">
        <v>0.99942612861593183</v>
      </c>
      <c r="AM950" s="471">
        <v>3.6784991919985398E-5</v>
      </c>
      <c r="AN950" s="477">
        <v>7.0838057474994942</v>
      </c>
      <c r="AO950" s="473">
        <v>0.99942612861593183</v>
      </c>
      <c r="AP950" s="474">
        <v>3.6785175345183883E-5</v>
      </c>
      <c r="AQ950" s="352"/>
      <c r="AR950" s="352"/>
      <c r="AS950" s="352"/>
      <c r="AT950" s="352"/>
      <c r="AU950" s="352"/>
      <c r="AV950" s="352"/>
      <c r="AW950" s="352" t="s">
        <v>254</v>
      </c>
    </row>
    <row r="951" spans="2:49" x14ac:dyDescent="0.2">
      <c r="B951" s="460" t="s">
        <v>2647</v>
      </c>
      <c r="C951" s="460">
        <v>2113</v>
      </c>
      <c r="D951" s="460" t="s">
        <v>2284</v>
      </c>
      <c r="E951" s="460" t="s">
        <v>2265</v>
      </c>
      <c r="F951" s="460">
        <v>1</v>
      </c>
      <c r="G951" s="460">
        <v>1</v>
      </c>
      <c r="H951" s="461" t="s">
        <v>746</v>
      </c>
      <c r="I951" s="461" t="s">
        <v>762</v>
      </c>
      <c r="J951" s="461" t="s">
        <v>700</v>
      </c>
      <c r="K951" s="594"/>
      <c r="L951" s="594"/>
      <c r="M951" s="352">
        <v>2000</v>
      </c>
      <c r="N951" s="352" t="s">
        <v>703</v>
      </c>
      <c r="O951" s="460">
        <v>2113</v>
      </c>
      <c r="P951" s="460" t="s">
        <v>1875</v>
      </c>
      <c r="Q951" s="460" t="s">
        <v>2289</v>
      </c>
      <c r="R951" s="460">
        <v>2113</v>
      </c>
      <c r="S951" s="460" t="s">
        <v>2265</v>
      </c>
      <c r="T951" s="462">
        <v>1</v>
      </c>
      <c r="U951" s="460" t="s">
        <v>2265</v>
      </c>
      <c r="V951" s="475">
        <v>0</v>
      </c>
      <c r="W951" s="463" t="s">
        <v>2268</v>
      </c>
      <c r="X951" s="463" t="s">
        <v>2268</v>
      </c>
      <c r="Y951" s="463" t="s">
        <v>2290</v>
      </c>
      <c r="Z951" s="463"/>
      <c r="AA951" s="463"/>
      <c r="AB951" s="464">
        <v>0</v>
      </c>
      <c r="AC951" s="465">
        <v>0</v>
      </c>
      <c r="AD951" s="465">
        <v>0</v>
      </c>
      <c r="AE951" s="476">
        <v>0</v>
      </c>
      <c r="AF951" s="467">
        <v>0</v>
      </c>
      <c r="AG951" s="468">
        <v>0</v>
      </c>
      <c r="AH951" s="218">
        <v>0</v>
      </c>
      <c r="AI951" s="470">
        <v>0</v>
      </c>
      <c r="AJ951" s="471">
        <v>0</v>
      </c>
      <c r="AK951" s="218">
        <v>0</v>
      </c>
      <c r="AL951" s="470">
        <v>0</v>
      </c>
      <c r="AM951" s="471">
        <v>0</v>
      </c>
      <c r="AN951" s="477">
        <v>0</v>
      </c>
      <c r="AO951" s="473">
        <v>0</v>
      </c>
      <c r="AP951" s="474">
        <v>0</v>
      </c>
      <c r="AQ951" s="352"/>
      <c r="AR951" s="352"/>
      <c r="AS951" s="352"/>
      <c r="AT951" s="352"/>
      <c r="AU951" s="352"/>
      <c r="AV951" s="352"/>
      <c r="AW951" s="352" t="s">
        <v>254</v>
      </c>
    </row>
    <row r="952" spans="2:49" x14ac:dyDescent="0.2">
      <c r="B952" s="460" t="s">
        <v>2648</v>
      </c>
      <c r="C952" s="460">
        <v>2113</v>
      </c>
      <c r="D952" s="460" t="s">
        <v>2285</v>
      </c>
      <c r="E952" s="460" t="s">
        <v>2271</v>
      </c>
      <c r="F952" s="460">
        <v>2</v>
      </c>
      <c r="G952" s="460">
        <v>1</v>
      </c>
      <c r="H952" s="461" t="s">
        <v>746</v>
      </c>
      <c r="I952" s="461" t="s">
        <v>762</v>
      </c>
      <c r="J952" s="461" t="s">
        <v>700</v>
      </c>
      <c r="K952" s="594"/>
      <c r="L952" s="594"/>
      <c r="M952" s="352">
        <v>2000</v>
      </c>
      <c r="N952" s="352" t="s">
        <v>703</v>
      </c>
      <c r="O952" s="460">
        <v>2113</v>
      </c>
      <c r="P952" s="460" t="s">
        <v>1875</v>
      </c>
      <c r="Q952" s="460" t="s">
        <v>2289</v>
      </c>
      <c r="R952" s="460">
        <v>2113</v>
      </c>
      <c r="S952" s="460" t="s">
        <v>2265</v>
      </c>
      <c r="T952" s="462">
        <v>1</v>
      </c>
      <c r="U952" s="460" t="s">
        <v>2271</v>
      </c>
      <c r="V952" s="475">
        <v>0</v>
      </c>
      <c r="W952" s="463" t="s">
        <v>2268</v>
      </c>
      <c r="X952" s="463" t="s">
        <v>2268</v>
      </c>
      <c r="Y952" s="463" t="s">
        <v>2290</v>
      </c>
      <c r="Z952" s="463"/>
      <c r="AA952" s="463"/>
      <c r="AB952" s="464">
        <v>0</v>
      </c>
      <c r="AC952" s="465">
        <v>0</v>
      </c>
      <c r="AD952" s="465">
        <v>0</v>
      </c>
      <c r="AE952" s="476">
        <v>0</v>
      </c>
      <c r="AF952" s="467">
        <v>0</v>
      </c>
      <c r="AG952" s="468">
        <v>0</v>
      </c>
      <c r="AH952" s="218">
        <v>0</v>
      </c>
      <c r="AI952" s="470">
        <v>0</v>
      </c>
      <c r="AJ952" s="471">
        <v>0</v>
      </c>
      <c r="AK952" s="218">
        <v>0</v>
      </c>
      <c r="AL952" s="470">
        <v>0</v>
      </c>
      <c r="AM952" s="471">
        <v>0</v>
      </c>
      <c r="AN952" s="477">
        <v>0</v>
      </c>
      <c r="AO952" s="473">
        <v>0</v>
      </c>
      <c r="AP952" s="474">
        <v>0</v>
      </c>
      <c r="AQ952" s="352"/>
      <c r="AR952" s="352"/>
      <c r="AS952" s="352"/>
      <c r="AT952" s="352"/>
      <c r="AU952" s="352"/>
      <c r="AV952" s="352"/>
      <c r="AW952" s="352" t="s">
        <v>254</v>
      </c>
    </row>
    <row r="953" spans="2:49" x14ac:dyDescent="0.2">
      <c r="B953" s="460" t="s">
        <v>2649</v>
      </c>
      <c r="C953" s="460">
        <v>2113</v>
      </c>
      <c r="D953" s="460" t="s">
        <v>2286</v>
      </c>
      <c r="E953" s="460" t="s">
        <v>2274</v>
      </c>
      <c r="F953" s="460">
        <v>3</v>
      </c>
      <c r="G953" s="460">
        <v>1</v>
      </c>
      <c r="H953" s="461" t="s">
        <v>746</v>
      </c>
      <c r="I953" s="461" t="s">
        <v>762</v>
      </c>
      <c r="J953" s="461" t="s">
        <v>700</v>
      </c>
      <c r="K953" s="594"/>
      <c r="L953" s="594"/>
      <c r="M953" s="352">
        <v>2000</v>
      </c>
      <c r="N953" s="352" t="s">
        <v>703</v>
      </c>
      <c r="O953" s="460">
        <v>2113</v>
      </c>
      <c r="P953" s="460" t="s">
        <v>1875</v>
      </c>
      <c r="Q953" s="460" t="s">
        <v>2289</v>
      </c>
      <c r="R953" s="460">
        <v>2113</v>
      </c>
      <c r="S953" s="460" t="s">
        <v>2265</v>
      </c>
      <c r="T953" s="462">
        <v>0.74223365950407583</v>
      </c>
      <c r="U953" s="460" t="s">
        <v>2274</v>
      </c>
      <c r="V953" s="475">
        <v>0</v>
      </c>
      <c r="W953" s="463" t="s">
        <v>2268</v>
      </c>
      <c r="X953" s="463" t="s">
        <v>2268</v>
      </c>
      <c r="Y953" s="463" t="s">
        <v>2290</v>
      </c>
      <c r="Z953" s="463"/>
      <c r="AA953" s="463"/>
      <c r="AB953" s="464">
        <v>0</v>
      </c>
      <c r="AC953" s="465">
        <v>0</v>
      </c>
      <c r="AD953" s="465">
        <v>0</v>
      </c>
      <c r="AE953" s="476">
        <v>0</v>
      </c>
      <c r="AF953" s="467">
        <v>0</v>
      </c>
      <c r="AG953" s="468">
        <v>0</v>
      </c>
      <c r="AH953" s="218">
        <v>0</v>
      </c>
      <c r="AI953" s="470">
        <v>0</v>
      </c>
      <c r="AJ953" s="471">
        <v>0</v>
      </c>
      <c r="AK953" s="218">
        <v>0</v>
      </c>
      <c r="AL953" s="470">
        <v>0</v>
      </c>
      <c r="AM953" s="471">
        <v>0</v>
      </c>
      <c r="AN953" s="477">
        <v>0</v>
      </c>
      <c r="AO953" s="473">
        <v>0</v>
      </c>
      <c r="AP953" s="474">
        <v>0</v>
      </c>
      <c r="AQ953" s="352"/>
      <c r="AR953" s="352"/>
      <c r="AS953" s="352"/>
      <c r="AT953" s="352"/>
      <c r="AU953" s="352"/>
      <c r="AV953" s="352"/>
      <c r="AW953" s="352" t="s">
        <v>254</v>
      </c>
    </row>
    <row r="954" spans="2:49" x14ac:dyDescent="0.2">
      <c r="B954" s="460" t="s">
        <v>2650</v>
      </c>
      <c r="C954" s="460">
        <v>2113</v>
      </c>
      <c r="D954" s="460" t="s">
        <v>2287</v>
      </c>
      <c r="E954" s="460" t="s">
        <v>2277</v>
      </c>
      <c r="F954" s="460">
        <v>4</v>
      </c>
      <c r="G954" s="460">
        <v>1</v>
      </c>
      <c r="H954" s="461" t="s">
        <v>746</v>
      </c>
      <c r="I954" s="461" t="s">
        <v>762</v>
      </c>
      <c r="J954" s="461" t="s">
        <v>700</v>
      </c>
      <c r="K954" s="594"/>
      <c r="L954" s="594"/>
      <c r="M954" s="352">
        <v>2000</v>
      </c>
      <c r="N954" s="352" t="s">
        <v>703</v>
      </c>
      <c r="O954" s="460">
        <v>2113</v>
      </c>
      <c r="P954" s="460" t="s">
        <v>1875</v>
      </c>
      <c r="Q954" s="460" t="s">
        <v>2289</v>
      </c>
      <c r="R954" s="460">
        <v>2113</v>
      </c>
      <c r="S954" s="460" t="s">
        <v>2277</v>
      </c>
      <c r="T954" s="462">
        <v>1</v>
      </c>
      <c r="U954" s="460" t="s">
        <v>2277</v>
      </c>
      <c r="V954" s="475">
        <v>0</v>
      </c>
      <c r="W954" s="463" t="s">
        <v>2268</v>
      </c>
      <c r="X954" s="463" t="s">
        <v>2268</v>
      </c>
      <c r="Y954" s="463" t="s">
        <v>2290</v>
      </c>
      <c r="Z954" s="463"/>
      <c r="AA954" s="463"/>
      <c r="AB954" s="464">
        <v>0</v>
      </c>
      <c r="AC954" s="465">
        <v>0</v>
      </c>
      <c r="AD954" s="465">
        <v>0</v>
      </c>
      <c r="AE954" s="476">
        <v>0</v>
      </c>
      <c r="AF954" s="467">
        <v>0</v>
      </c>
      <c r="AG954" s="468">
        <v>0</v>
      </c>
      <c r="AH954" s="218">
        <v>0</v>
      </c>
      <c r="AI954" s="470">
        <v>0</v>
      </c>
      <c r="AJ954" s="471">
        <v>0</v>
      </c>
      <c r="AK954" s="218">
        <v>0</v>
      </c>
      <c r="AL954" s="470">
        <v>0</v>
      </c>
      <c r="AM954" s="471">
        <v>0</v>
      </c>
      <c r="AN954" s="477">
        <v>0</v>
      </c>
      <c r="AO954" s="473">
        <v>0</v>
      </c>
      <c r="AP954" s="474">
        <v>0</v>
      </c>
      <c r="AQ954" s="352"/>
      <c r="AR954" s="352"/>
      <c r="AS954" s="352"/>
      <c r="AT954" s="352"/>
      <c r="AU954" s="352"/>
      <c r="AV954" s="352"/>
      <c r="AW954" s="352" t="s">
        <v>254</v>
      </c>
    </row>
    <row r="955" spans="2:49" x14ac:dyDescent="0.2">
      <c r="B955" s="460" t="s">
        <v>2647</v>
      </c>
      <c r="C955" s="460">
        <v>2113</v>
      </c>
      <c r="D955" s="460" t="s">
        <v>2288</v>
      </c>
      <c r="E955" s="460" t="s">
        <v>2265</v>
      </c>
      <c r="F955" s="460">
        <v>1</v>
      </c>
      <c r="G955" s="460">
        <v>1</v>
      </c>
      <c r="H955" s="461" t="s">
        <v>748</v>
      </c>
      <c r="I955" s="461" t="s">
        <v>765</v>
      </c>
      <c r="J955" s="461" t="s">
        <v>700</v>
      </c>
      <c r="K955" s="594"/>
      <c r="L955" s="594"/>
      <c r="M955" s="352">
        <v>2000</v>
      </c>
      <c r="N955" s="352" t="s">
        <v>703</v>
      </c>
      <c r="O955" s="460">
        <v>2113</v>
      </c>
      <c r="P955" s="460" t="s">
        <v>1875</v>
      </c>
      <c r="Q955" s="460" t="s">
        <v>2266</v>
      </c>
      <c r="R955" s="460">
        <v>2113</v>
      </c>
      <c r="S955" s="460" t="s">
        <v>2265</v>
      </c>
      <c r="T955" s="462">
        <v>1</v>
      </c>
      <c r="U955" s="460" t="s">
        <v>2265</v>
      </c>
      <c r="V955" s="475">
        <v>0</v>
      </c>
      <c r="W955" s="463" t="s">
        <v>2268</v>
      </c>
      <c r="X955" s="463" t="s">
        <v>2268</v>
      </c>
      <c r="Y955" s="463" t="s">
        <v>2267</v>
      </c>
      <c r="Z955" s="463"/>
      <c r="AA955" s="463"/>
      <c r="AB955" s="464">
        <v>0</v>
      </c>
      <c r="AC955" s="465">
        <v>0</v>
      </c>
      <c r="AD955" s="465">
        <v>0</v>
      </c>
      <c r="AE955" s="476">
        <v>0</v>
      </c>
      <c r="AF955" s="467">
        <v>0</v>
      </c>
      <c r="AG955" s="468">
        <v>0</v>
      </c>
      <c r="AH955" s="218">
        <v>0</v>
      </c>
      <c r="AI955" s="470">
        <v>0</v>
      </c>
      <c r="AJ955" s="471">
        <v>0</v>
      </c>
      <c r="AK955" s="218">
        <v>0</v>
      </c>
      <c r="AL955" s="470">
        <v>0</v>
      </c>
      <c r="AM955" s="471">
        <v>0</v>
      </c>
      <c r="AN955" s="477">
        <v>3.7619761285254891</v>
      </c>
      <c r="AO955" s="473">
        <v>0.46003930478582672</v>
      </c>
      <c r="AP955" s="474">
        <v>2.3362102025521172E-4</v>
      </c>
      <c r="AQ955" s="352"/>
      <c r="AR955" s="352"/>
      <c r="AS955" s="352"/>
      <c r="AT955" s="352"/>
      <c r="AU955" s="352"/>
      <c r="AV955" s="352"/>
      <c r="AW955" s="352" t="s">
        <v>254</v>
      </c>
    </row>
    <row r="956" spans="2:49" x14ac:dyDescent="0.2">
      <c r="B956" s="460" t="s">
        <v>2648</v>
      </c>
      <c r="C956" s="460">
        <v>2113</v>
      </c>
      <c r="D956" s="460" t="s">
        <v>2291</v>
      </c>
      <c r="E956" s="460" t="s">
        <v>2271</v>
      </c>
      <c r="F956" s="460">
        <v>2</v>
      </c>
      <c r="G956" s="460">
        <v>1</v>
      </c>
      <c r="H956" s="461" t="s">
        <v>748</v>
      </c>
      <c r="I956" s="461" t="s">
        <v>765</v>
      </c>
      <c r="J956" s="461" t="s">
        <v>700</v>
      </c>
      <c r="K956" s="594"/>
      <c r="L956" s="594"/>
      <c r="M956" s="352">
        <v>2000</v>
      </c>
      <c r="N956" s="352" t="s">
        <v>703</v>
      </c>
      <c r="O956" s="460">
        <v>2113</v>
      </c>
      <c r="P956" s="460" t="s">
        <v>1875</v>
      </c>
      <c r="Q956" s="460" t="s">
        <v>2266</v>
      </c>
      <c r="R956" s="460">
        <v>2113</v>
      </c>
      <c r="S956" s="460" t="s">
        <v>2265</v>
      </c>
      <c r="T956" s="462">
        <v>1</v>
      </c>
      <c r="U956" s="460" t="s">
        <v>2271</v>
      </c>
      <c r="V956" s="475">
        <v>0</v>
      </c>
      <c r="W956" s="463" t="s">
        <v>2268</v>
      </c>
      <c r="X956" s="463" t="s">
        <v>2268</v>
      </c>
      <c r="Y956" s="463" t="s">
        <v>2267</v>
      </c>
      <c r="Z956" s="463"/>
      <c r="AA956" s="463"/>
      <c r="AB956" s="464">
        <v>0</v>
      </c>
      <c r="AC956" s="465">
        <v>0</v>
      </c>
      <c r="AD956" s="465">
        <v>0</v>
      </c>
      <c r="AE956" s="476">
        <v>0</v>
      </c>
      <c r="AF956" s="467">
        <v>0</v>
      </c>
      <c r="AG956" s="468">
        <v>0</v>
      </c>
      <c r="AH956" s="218">
        <v>0</v>
      </c>
      <c r="AI956" s="470">
        <v>0</v>
      </c>
      <c r="AJ956" s="471">
        <v>0</v>
      </c>
      <c r="AK956" s="218">
        <v>0</v>
      </c>
      <c r="AL956" s="470">
        <v>0</v>
      </c>
      <c r="AM956" s="471">
        <v>0</v>
      </c>
      <c r="AN956" s="477">
        <v>4.6240359160551074</v>
      </c>
      <c r="AO956" s="473">
        <v>0.46003930478582672</v>
      </c>
      <c r="AP956" s="474">
        <v>2.9410753798334347E-4</v>
      </c>
      <c r="AQ956" s="352"/>
      <c r="AR956" s="352"/>
      <c r="AS956" s="352"/>
      <c r="AT956" s="352"/>
      <c r="AU956" s="352"/>
      <c r="AV956" s="352"/>
      <c r="AW956" s="352" t="s">
        <v>254</v>
      </c>
    </row>
    <row r="957" spans="2:49" x14ac:dyDescent="0.2">
      <c r="B957" s="460" t="s">
        <v>2649</v>
      </c>
      <c r="C957" s="460">
        <v>2113</v>
      </c>
      <c r="D957" s="460" t="s">
        <v>2292</v>
      </c>
      <c r="E957" s="460" t="s">
        <v>2274</v>
      </c>
      <c r="F957" s="460">
        <v>3</v>
      </c>
      <c r="G957" s="460">
        <v>1</v>
      </c>
      <c r="H957" s="461" t="s">
        <v>748</v>
      </c>
      <c r="I957" s="461" t="s">
        <v>765</v>
      </c>
      <c r="J957" s="461" t="s">
        <v>700</v>
      </c>
      <c r="K957" s="594"/>
      <c r="L957" s="594"/>
      <c r="M957" s="352">
        <v>2000</v>
      </c>
      <c r="N957" s="352" t="s">
        <v>703</v>
      </c>
      <c r="O957" s="460">
        <v>2113</v>
      </c>
      <c r="P957" s="460" t="s">
        <v>1875</v>
      </c>
      <c r="Q957" s="460" t="s">
        <v>2266</v>
      </c>
      <c r="R957" s="460">
        <v>2113</v>
      </c>
      <c r="S957" s="460" t="s">
        <v>2265</v>
      </c>
      <c r="T957" s="462">
        <v>0.74223365950407583</v>
      </c>
      <c r="U957" s="460" t="s">
        <v>2274</v>
      </c>
      <c r="V957" s="475">
        <v>0</v>
      </c>
      <c r="W957" s="463" t="s">
        <v>2268</v>
      </c>
      <c r="X957" s="463" t="s">
        <v>2268</v>
      </c>
      <c r="Y957" s="463" t="s">
        <v>2267</v>
      </c>
      <c r="Z957" s="463"/>
      <c r="AA957" s="463"/>
      <c r="AB957" s="464">
        <v>0</v>
      </c>
      <c r="AC957" s="465">
        <v>0</v>
      </c>
      <c r="AD957" s="465">
        <v>0</v>
      </c>
      <c r="AE957" s="476">
        <v>0</v>
      </c>
      <c r="AF957" s="467">
        <v>0</v>
      </c>
      <c r="AG957" s="468">
        <v>0</v>
      </c>
      <c r="AH957" s="218">
        <v>0</v>
      </c>
      <c r="AI957" s="470">
        <v>0</v>
      </c>
      <c r="AJ957" s="471">
        <v>0</v>
      </c>
      <c r="AK957" s="218">
        <v>0</v>
      </c>
      <c r="AL957" s="470">
        <v>0</v>
      </c>
      <c r="AM957" s="471">
        <v>0</v>
      </c>
      <c r="AN957" s="477">
        <v>2.4661417728910533</v>
      </c>
      <c r="AO957" s="473">
        <v>0.34145665670689507</v>
      </c>
      <c r="AP957" s="474">
        <v>3.472248438576568E-4</v>
      </c>
      <c r="AQ957" s="352"/>
      <c r="AR957" s="352"/>
      <c r="AS957" s="352"/>
      <c r="AT957" s="352"/>
      <c r="AU957" s="352"/>
      <c r="AV957" s="352"/>
      <c r="AW957" s="352" t="s">
        <v>254</v>
      </c>
    </row>
    <row r="958" spans="2:49" x14ac:dyDescent="0.2">
      <c r="B958" s="460" t="s">
        <v>2650</v>
      </c>
      <c r="C958" s="460">
        <v>2113</v>
      </c>
      <c r="D958" s="460" t="s">
        <v>2293</v>
      </c>
      <c r="E958" s="460" t="s">
        <v>2277</v>
      </c>
      <c r="F958" s="460">
        <v>4</v>
      </c>
      <c r="G958" s="460">
        <v>1</v>
      </c>
      <c r="H958" s="461" t="s">
        <v>748</v>
      </c>
      <c r="I958" s="461" t="s">
        <v>765</v>
      </c>
      <c r="J958" s="461" t="s">
        <v>700</v>
      </c>
      <c r="K958" s="594"/>
      <c r="L958" s="594"/>
      <c r="M958" s="352">
        <v>2000</v>
      </c>
      <c r="N958" s="352" t="s">
        <v>703</v>
      </c>
      <c r="O958" s="460">
        <v>2113</v>
      </c>
      <c r="P958" s="460" t="s">
        <v>1875</v>
      </c>
      <c r="Q958" s="460" t="s">
        <v>2266</v>
      </c>
      <c r="R958" s="460">
        <v>2113</v>
      </c>
      <c r="S958" s="460" t="s">
        <v>2277</v>
      </c>
      <c r="T958" s="462">
        <v>1</v>
      </c>
      <c r="U958" s="460" t="s">
        <v>2277</v>
      </c>
      <c r="V958" s="475">
        <v>0</v>
      </c>
      <c r="W958" s="463" t="s">
        <v>2268</v>
      </c>
      <c r="X958" s="463" t="s">
        <v>2268</v>
      </c>
      <c r="Y958" s="463" t="s">
        <v>2278</v>
      </c>
      <c r="Z958" s="463"/>
      <c r="AA958" s="463"/>
      <c r="AB958" s="464">
        <v>0</v>
      </c>
      <c r="AC958" s="465">
        <v>0</v>
      </c>
      <c r="AD958" s="465">
        <v>0</v>
      </c>
      <c r="AE958" s="476">
        <v>0</v>
      </c>
      <c r="AF958" s="467">
        <v>0</v>
      </c>
      <c r="AG958" s="468">
        <v>0</v>
      </c>
      <c r="AH958" s="218">
        <v>0</v>
      </c>
      <c r="AI958" s="470">
        <v>0</v>
      </c>
      <c r="AJ958" s="471">
        <v>0</v>
      </c>
      <c r="AK958" s="218">
        <v>0</v>
      </c>
      <c r="AL958" s="470">
        <v>0</v>
      </c>
      <c r="AM958" s="471">
        <v>0</v>
      </c>
      <c r="AN958" s="477">
        <v>4.0675276465079865E-3</v>
      </c>
      <c r="AO958" s="473">
        <v>5.7387138406819218E-4</v>
      </c>
      <c r="AP958" s="474">
        <v>9.8215207230600417E-5</v>
      </c>
      <c r="AQ958" s="352"/>
      <c r="AR958" s="352"/>
      <c r="AS958" s="352"/>
      <c r="AT958" s="352"/>
      <c r="AU958" s="352"/>
      <c r="AV958" s="352"/>
      <c r="AW958" s="352" t="s">
        <v>254</v>
      </c>
    </row>
    <row r="959" spans="2:49" x14ac:dyDescent="0.2">
      <c r="B959" s="460" t="s">
        <v>2651</v>
      </c>
      <c r="C959" s="460">
        <v>2113</v>
      </c>
      <c r="D959" s="460" t="s">
        <v>2295</v>
      </c>
      <c r="E959" s="460" t="s">
        <v>2296</v>
      </c>
      <c r="F959" s="460">
        <v>1</v>
      </c>
      <c r="G959" s="460">
        <v>2</v>
      </c>
      <c r="H959" s="461" t="s">
        <v>700</v>
      </c>
      <c r="I959" s="461" t="s">
        <v>872</v>
      </c>
      <c r="J959" s="461" t="s">
        <v>700</v>
      </c>
      <c r="K959" s="594"/>
      <c r="L959" s="594"/>
      <c r="M959" s="352">
        <v>2000</v>
      </c>
      <c r="N959" s="352" t="s">
        <v>703</v>
      </c>
      <c r="O959" s="460">
        <v>2113</v>
      </c>
      <c r="P959" s="460" t="s">
        <v>1875</v>
      </c>
      <c r="Q959" s="460" t="s">
        <v>2266</v>
      </c>
      <c r="R959" s="460">
        <v>2113</v>
      </c>
      <c r="S959" s="460" t="s">
        <v>2296</v>
      </c>
      <c r="T959" s="462">
        <v>1</v>
      </c>
      <c r="U959" s="460" t="s">
        <v>2296</v>
      </c>
      <c r="V959" s="475">
        <v>0</v>
      </c>
      <c r="W959" s="463" t="s">
        <v>2267</v>
      </c>
      <c r="X959" s="463" t="s">
        <v>2267</v>
      </c>
      <c r="Y959" s="463" t="s">
        <v>2268</v>
      </c>
      <c r="Z959" s="463"/>
      <c r="AA959" s="463"/>
      <c r="AB959" s="464">
        <v>0.46886034644229985</v>
      </c>
      <c r="AC959" s="465">
        <v>0.12301930925401335</v>
      </c>
      <c r="AD959" s="465">
        <v>2.738787990956211E-5</v>
      </c>
      <c r="AE959" s="476">
        <v>0.46886034644229985</v>
      </c>
      <c r="AF959" s="467">
        <v>0.12301930925401335</v>
      </c>
      <c r="AG959" s="468">
        <v>3.0443120453317374E-5</v>
      </c>
      <c r="AH959" s="218">
        <v>0.46886034644229985</v>
      </c>
      <c r="AI959" s="470">
        <v>0.12301930925401335</v>
      </c>
      <c r="AJ959" s="471">
        <v>2.7969087238778026E-5</v>
      </c>
      <c r="AK959" s="218">
        <v>0.46886034644229985</v>
      </c>
      <c r="AL959" s="470">
        <v>0.12301930925401335</v>
      </c>
      <c r="AM959" s="471">
        <v>2.7969087238778026E-5</v>
      </c>
      <c r="AN959" s="477">
        <v>0</v>
      </c>
      <c r="AO959" s="473">
        <v>0</v>
      </c>
      <c r="AP959" s="474">
        <v>0</v>
      </c>
      <c r="AQ959" s="352"/>
      <c r="AR959" s="352"/>
      <c r="AS959" s="352"/>
      <c r="AT959" s="352"/>
      <c r="AU959" s="352"/>
      <c r="AV959" s="352"/>
      <c r="AW959" s="352" t="s">
        <v>254</v>
      </c>
    </row>
    <row r="960" spans="2:49" x14ac:dyDescent="0.2">
      <c r="B960" s="460" t="s">
        <v>2652</v>
      </c>
      <c r="C960" s="460">
        <v>2113</v>
      </c>
      <c r="D960" s="460" t="s">
        <v>2298</v>
      </c>
      <c r="E960" s="460" t="s">
        <v>2299</v>
      </c>
      <c r="F960" s="460">
        <v>2</v>
      </c>
      <c r="G960" s="460">
        <v>2</v>
      </c>
      <c r="H960" s="461" t="s">
        <v>700</v>
      </c>
      <c r="I960" s="461" t="s">
        <v>872</v>
      </c>
      <c r="J960" s="461" t="s">
        <v>700</v>
      </c>
      <c r="K960" s="594"/>
      <c r="L960" s="594"/>
      <c r="M960" s="352">
        <v>2000</v>
      </c>
      <c r="N960" s="352" t="s">
        <v>703</v>
      </c>
      <c r="O960" s="460">
        <v>2113</v>
      </c>
      <c r="P960" s="460" t="s">
        <v>1875</v>
      </c>
      <c r="Q960" s="460" t="s">
        <v>2266</v>
      </c>
      <c r="R960" s="460">
        <v>2113</v>
      </c>
      <c r="S960" s="460" t="s">
        <v>2296</v>
      </c>
      <c r="T960" s="462">
        <v>0.55517361979372948</v>
      </c>
      <c r="U960" s="460" t="s">
        <v>2299</v>
      </c>
      <c r="V960" s="475">
        <v>0</v>
      </c>
      <c r="W960" s="463" t="s">
        <v>2267</v>
      </c>
      <c r="X960" s="463" t="s">
        <v>2267</v>
      </c>
      <c r="Y960" s="463" t="s">
        <v>2268</v>
      </c>
      <c r="Z960" s="463"/>
      <c r="AA960" s="463"/>
      <c r="AB960" s="464">
        <v>0.15771415225570026</v>
      </c>
      <c r="AC960" s="465">
        <v>6.7533788651300983E-2</v>
      </c>
      <c r="AD960" s="465">
        <v>4.7721058885967465E-5</v>
      </c>
      <c r="AE960" s="476">
        <v>0.15771415225570026</v>
      </c>
      <c r="AF960" s="467">
        <v>6.7533788651300983E-2</v>
      </c>
      <c r="AG960" s="468">
        <v>5.3552239649914888E-5</v>
      </c>
      <c r="AH960" s="218">
        <v>0.15949668359296965</v>
      </c>
      <c r="AI960" s="470">
        <v>6.8297075223074835E-2</v>
      </c>
      <c r="AJ960" s="471">
        <v>3.7559487825508949E-5</v>
      </c>
      <c r="AK960" s="218">
        <v>0.15949668359296965</v>
      </c>
      <c r="AL960" s="470">
        <v>6.8297075223074835E-2</v>
      </c>
      <c r="AM960" s="471">
        <v>3.7559487825508949E-5</v>
      </c>
      <c r="AN960" s="477">
        <v>0</v>
      </c>
      <c r="AO960" s="473">
        <v>0</v>
      </c>
      <c r="AP960" s="474">
        <v>0</v>
      </c>
      <c r="AQ960" s="352"/>
      <c r="AR960" s="352"/>
      <c r="AS960" s="352"/>
      <c r="AT960" s="352"/>
      <c r="AU960" s="352"/>
      <c r="AV960" s="352"/>
      <c r="AW960" s="352" t="s">
        <v>254</v>
      </c>
    </row>
    <row r="961" spans="2:49" x14ac:dyDescent="0.2">
      <c r="B961" s="460" t="s">
        <v>2653</v>
      </c>
      <c r="C961" s="460">
        <v>2113</v>
      </c>
      <c r="D961" s="460" t="s">
        <v>2301</v>
      </c>
      <c r="E961" s="460" t="s">
        <v>2302</v>
      </c>
      <c r="F961" s="460">
        <v>3</v>
      </c>
      <c r="G961" s="460">
        <v>2</v>
      </c>
      <c r="H961" s="461" t="s">
        <v>700</v>
      </c>
      <c r="I961" s="461" t="s">
        <v>872</v>
      </c>
      <c r="J961" s="461" t="s">
        <v>700</v>
      </c>
      <c r="K961" s="594"/>
      <c r="L961" s="594"/>
      <c r="M961" s="352">
        <v>2000</v>
      </c>
      <c r="N961" s="352" t="s">
        <v>703</v>
      </c>
      <c r="O961" s="460">
        <v>2113</v>
      </c>
      <c r="P961" s="460" t="s">
        <v>1875</v>
      </c>
      <c r="Q961" s="460" t="s">
        <v>2266</v>
      </c>
      <c r="R961" s="460">
        <v>2113</v>
      </c>
      <c r="S961" s="460" t="s">
        <v>2296</v>
      </c>
      <c r="T961" s="462">
        <v>0.28481449642268464</v>
      </c>
      <c r="U961" s="460" t="s">
        <v>2302</v>
      </c>
      <c r="V961" s="475">
        <v>0</v>
      </c>
      <c r="W961" s="463" t="s">
        <v>2267</v>
      </c>
      <c r="X961" s="463" t="s">
        <v>2267</v>
      </c>
      <c r="Y961" s="463" t="s">
        <v>2268</v>
      </c>
      <c r="Z961" s="463"/>
      <c r="AA961" s="463"/>
      <c r="AB961" s="464">
        <v>1.1908417208860329E-2</v>
      </c>
      <c r="AC961" s="465">
        <v>9.4438166214835736E-3</v>
      </c>
      <c r="AD961" s="465">
        <v>2.3163513135960519E-5</v>
      </c>
      <c r="AE961" s="476">
        <v>1.1908417208860329E-2</v>
      </c>
      <c r="AF961" s="467">
        <v>9.4438166214835736E-3</v>
      </c>
      <c r="AG961" s="468">
        <v>2.6138599261600438E-5</v>
      </c>
      <c r="AH961" s="218">
        <v>4.4181643856490344E-2</v>
      </c>
      <c r="AI961" s="470">
        <v>3.5037682615448318E-2</v>
      </c>
      <c r="AJ961" s="471">
        <v>4.5865800509108134E-5</v>
      </c>
      <c r="AK961" s="218">
        <v>4.4181643856490344E-2</v>
      </c>
      <c r="AL961" s="470">
        <v>3.5037682615448318E-2</v>
      </c>
      <c r="AM961" s="471">
        <v>4.5865800509108134E-5</v>
      </c>
      <c r="AN961" s="477">
        <v>0</v>
      </c>
      <c r="AO961" s="473">
        <v>0</v>
      </c>
      <c r="AP961" s="474">
        <v>0</v>
      </c>
      <c r="AQ961" s="352"/>
      <c r="AR961" s="352"/>
      <c r="AS961" s="352"/>
      <c r="AT961" s="352"/>
      <c r="AU961" s="352"/>
      <c r="AV961" s="352"/>
      <c r="AW961" s="352" t="s">
        <v>254</v>
      </c>
    </row>
    <row r="962" spans="2:49" x14ac:dyDescent="0.2">
      <c r="B962" s="460" t="s">
        <v>2654</v>
      </c>
      <c r="C962" s="460">
        <v>2113</v>
      </c>
      <c r="D962" s="460" t="s">
        <v>2304</v>
      </c>
      <c r="E962" s="460" t="s">
        <v>2305</v>
      </c>
      <c r="F962" s="460">
        <v>4</v>
      </c>
      <c r="G962" s="460">
        <v>2</v>
      </c>
      <c r="H962" s="461" t="s">
        <v>700</v>
      </c>
      <c r="I962" s="461" t="s">
        <v>872</v>
      </c>
      <c r="J962" s="461" t="s">
        <v>700</v>
      </c>
      <c r="K962" s="594"/>
      <c r="L962" s="594"/>
      <c r="M962" s="352">
        <v>2000</v>
      </c>
      <c r="N962" s="352" t="s">
        <v>703</v>
      </c>
      <c r="O962" s="460">
        <v>2113</v>
      </c>
      <c r="P962" s="460" t="s">
        <v>1875</v>
      </c>
      <c r="Q962" s="460" t="s">
        <v>2266</v>
      </c>
      <c r="R962" s="460">
        <v>2113</v>
      </c>
      <c r="S962" s="460" t="s">
        <v>2305</v>
      </c>
      <c r="T962" s="462">
        <v>1</v>
      </c>
      <c r="U962" s="460" t="s">
        <v>2305</v>
      </c>
      <c r="V962" s="475">
        <v>0</v>
      </c>
      <c r="W962" s="463" t="s">
        <v>2278</v>
      </c>
      <c r="X962" s="463" t="s">
        <v>2278</v>
      </c>
      <c r="Y962" s="463" t="s">
        <v>2268</v>
      </c>
      <c r="Z962" s="463"/>
      <c r="AA962" s="463"/>
      <c r="AB962" s="464">
        <v>0</v>
      </c>
      <c r="AC962" s="465">
        <v>0</v>
      </c>
      <c r="AD962" s="465">
        <v>0</v>
      </c>
      <c r="AE962" s="476">
        <v>0</v>
      </c>
      <c r="AF962" s="467">
        <v>0</v>
      </c>
      <c r="AG962" s="468">
        <v>0</v>
      </c>
      <c r="AH962" s="218">
        <v>0</v>
      </c>
      <c r="AI962" s="470">
        <v>0</v>
      </c>
      <c r="AJ962" s="471">
        <v>0</v>
      </c>
      <c r="AK962" s="218">
        <v>0</v>
      </c>
      <c r="AL962" s="470">
        <v>0</v>
      </c>
      <c r="AM962" s="471">
        <v>0</v>
      </c>
      <c r="AN962" s="477">
        <v>0</v>
      </c>
      <c r="AO962" s="473">
        <v>0</v>
      </c>
      <c r="AP962" s="474">
        <v>0</v>
      </c>
      <c r="AQ962" s="352"/>
      <c r="AR962" s="352"/>
      <c r="AS962" s="352"/>
      <c r="AT962" s="352"/>
      <c r="AU962" s="352"/>
      <c r="AV962" s="352"/>
      <c r="AW962" s="352" t="s">
        <v>254</v>
      </c>
    </row>
    <row r="963" spans="2:49" x14ac:dyDescent="0.2">
      <c r="B963" s="460" t="s">
        <v>2651</v>
      </c>
      <c r="C963" s="460">
        <v>2113</v>
      </c>
      <c r="D963" s="460" t="s">
        <v>2306</v>
      </c>
      <c r="E963" s="460" t="s">
        <v>2296</v>
      </c>
      <c r="F963" s="460">
        <v>1</v>
      </c>
      <c r="G963" s="460">
        <v>2</v>
      </c>
      <c r="H963" s="461" t="s">
        <v>712</v>
      </c>
      <c r="I963" s="461" t="s">
        <v>713</v>
      </c>
      <c r="J963" s="461" t="s">
        <v>712</v>
      </c>
      <c r="K963" s="594"/>
      <c r="L963" s="594"/>
      <c r="M963" s="352">
        <v>2000</v>
      </c>
      <c r="N963" s="352" t="s">
        <v>703</v>
      </c>
      <c r="O963" s="460">
        <v>2113</v>
      </c>
      <c r="P963" s="460" t="s">
        <v>1875</v>
      </c>
      <c r="Q963" s="460" t="s">
        <v>2280</v>
      </c>
      <c r="R963" s="460">
        <v>2113</v>
      </c>
      <c r="S963" s="460" t="s">
        <v>2296</v>
      </c>
      <c r="T963" s="462">
        <v>1</v>
      </c>
      <c r="U963" s="460" t="s">
        <v>2296</v>
      </c>
      <c r="V963" s="475">
        <v>0</v>
      </c>
      <c r="W963" s="463" t="s">
        <v>713</v>
      </c>
      <c r="X963" s="463" t="s">
        <v>713</v>
      </c>
      <c r="Y963" s="463" t="s">
        <v>713</v>
      </c>
      <c r="Z963" s="463"/>
      <c r="AA963" s="463"/>
      <c r="AB963" s="464">
        <v>3.342414072878209</v>
      </c>
      <c r="AC963" s="465">
        <v>0.87698069074598661</v>
      </c>
      <c r="AD963" s="465">
        <v>2.8908462034673431E-5</v>
      </c>
      <c r="AE963" s="476">
        <v>3.342414072878209</v>
      </c>
      <c r="AF963" s="467">
        <v>0.87698069074598661</v>
      </c>
      <c r="AG963" s="468">
        <v>2.8485184609886669E-5</v>
      </c>
      <c r="AH963" s="218">
        <v>3.342414072878209</v>
      </c>
      <c r="AI963" s="470">
        <v>0.87698069074598661</v>
      </c>
      <c r="AJ963" s="471">
        <v>2.8819788625623904E-5</v>
      </c>
      <c r="AK963" s="218">
        <v>3.342414072878209</v>
      </c>
      <c r="AL963" s="470">
        <v>0.87698069074598661</v>
      </c>
      <c r="AM963" s="471">
        <v>2.8819788625623904E-5</v>
      </c>
      <c r="AN963" s="477">
        <v>3.342414072878209</v>
      </c>
      <c r="AO963" s="473">
        <v>0.87698069074598661</v>
      </c>
      <c r="AP963" s="474">
        <v>2.8812715852756149E-5</v>
      </c>
      <c r="AQ963" s="352"/>
      <c r="AR963" s="352"/>
      <c r="AS963" s="352"/>
      <c r="AT963" s="352"/>
      <c r="AU963" s="352"/>
      <c r="AV963" s="352"/>
      <c r="AW963" s="352" t="s">
        <v>254</v>
      </c>
    </row>
    <row r="964" spans="2:49" x14ac:dyDescent="0.2">
      <c r="B964" s="460" t="s">
        <v>2652</v>
      </c>
      <c r="C964" s="460">
        <v>2113</v>
      </c>
      <c r="D964" s="460" t="s">
        <v>2307</v>
      </c>
      <c r="E964" s="460" t="s">
        <v>2299</v>
      </c>
      <c r="F964" s="460">
        <v>2</v>
      </c>
      <c r="G964" s="460">
        <v>2</v>
      </c>
      <c r="H964" s="461" t="s">
        <v>712</v>
      </c>
      <c r="I964" s="461" t="s">
        <v>713</v>
      </c>
      <c r="J964" s="461" t="s">
        <v>712</v>
      </c>
      <c r="K964" s="594"/>
      <c r="L964" s="594"/>
      <c r="M964" s="352">
        <v>2000</v>
      </c>
      <c r="N964" s="352" t="s">
        <v>703</v>
      </c>
      <c r="O964" s="460">
        <v>2113</v>
      </c>
      <c r="P964" s="460" t="s">
        <v>1875</v>
      </c>
      <c r="Q964" s="460" t="s">
        <v>2280</v>
      </c>
      <c r="R964" s="460">
        <v>2113</v>
      </c>
      <c r="S964" s="460" t="s">
        <v>2296</v>
      </c>
      <c r="T964" s="462">
        <v>0.55517361979372948</v>
      </c>
      <c r="U964" s="460" t="s">
        <v>2299</v>
      </c>
      <c r="V964" s="475">
        <v>0</v>
      </c>
      <c r="W964" s="463" t="s">
        <v>713</v>
      </c>
      <c r="X964" s="463" t="s">
        <v>713</v>
      </c>
      <c r="Y964" s="463" t="s">
        <v>713</v>
      </c>
      <c r="Z964" s="463"/>
      <c r="AA964" s="463"/>
      <c r="AB964" s="464">
        <v>2.1776228013695427</v>
      </c>
      <c r="AC964" s="465">
        <v>0.932466211348699</v>
      </c>
      <c r="AD964" s="465">
        <v>2.518802405750098E-5</v>
      </c>
      <c r="AE964" s="476">
        <v>2.1776228013695427</v>
      </c>
      <c r="AF964" s="467">
        <v>0.932466211348699</v>
      </c>
      <c r="AG964" s="468">
        <v>2.5083614316402113E-5</v>
      </c>
      <c r="AH964" s="218">
        <v>2.1758402700322734</v>
      </c>
      <c r="AI964" s="470">
        <v>0.93170292477692518</v>
      </c>
      <c r="AJ964" s="471">
        <v>2.5491929772682206E-5</v>
      </c>
      <c r="AK964" s="218">
        <v>2.1758402700322734</v>
      </c>
      <c r="AL964" s="470">
        <v>0.93170292477692518</v>
      </c>
      <c r="AM964" s="471">
        <v>2.5491929772682206E-5</v>
      </c>
      <c r="AN964" s="477">
        <v>2.1758402700322734</v>
      </c>
      <c r="AO964" s="473">
        <v>0.93170292477692518</v>
      </c>
      <c r="AP964" s="474">
        <v>2.5488711806556264E-5</v>
      </c>
      <c r="AQ964" s="352"/>
      <c r="AR964" s="352"/>
      <c r="AS964" s="352"/>
      <c r="AT964" s="352"/>
      <c r="AU964" s="352"/>
      <c r="AV964" s="352"/>
      <c r="AW964" s="352" t="s">
        <v>254</v>
      </c>
    </row>
    <row r="965" spans="2:49" x14ac:dyDescent="0.2">
      <c r="B965" s="460" t="s">
        <v>2653</v>
      </c>
      <c r="C965" s="460">
        <v>2113</v>
      </c>
      <c r="D965" s="460" t="s">
        <v>2308</v>
      </c>
      <c r="E965" s="460" t="s">
        <v>2302</v>
      </c>
      <c r="F965" s="460">
        <v>3</v>
      </c>
      <c r="G965" s="460">
        <v>2</v>
      </c>
      <c r="H965" s="461" t="s">
        <v>712</v>
      </c>
      <c r="I965" s="461" t="s">
        <v>713</v>
      </c>
      <c r="J965" s="461" t="s">
        <v>712</v>
      </c>
      <c r="K965" s="594"/>
      <c r="L965" s="594"/>
      <c r="M965" s="352">
        <v>2000</v>
      </c>
      <c r="N965" s="352" t="s">
        <v>703</v>
      </c>
      <c r="O965" s="460">
        <v>2113</v>
      </c>
      <c r="P965" s="460" t="s">
        <v>1875</v>
      </c>
      <c r="Q965" s="460" t="s">
        <v>2280</v>
      </c>
      <c r="R965" s="460">
        <v>2113</v>
      </c>
      <c r="S965" s="460" t="s">
        <v>2296</v>
      </c>
      <c r="T965" s="462">
        <v>0.28481449642268464</v>
      </c>
      <c r="U965" s="460" t="s">
        <v>2302</v>
      </c>
      <c r="V965" s="475">
        <v>0</v>
      </c>
      <c r="W965" s="463" t="s">
        <v>713</v>
      </c>
      <c r="X965" s="463" t="s">
        <v>713</v>
      </c>
      <c r="Y965" s="463" t="s">
        <v>713</v>
      </c>
      <c r="Z965" s="463"/>
      <c r="AA965" s="463"/>
      <c r="AB965" s="464">
        <v>1.2490666404569226</v>
      </c>
      <c r="AC965" s="465">
        <v>0.99055618337851636</v>
      </c>
      <c r="AD965" s="465">
        <v>3.6332227278171283E-5</v>
      </c>
      <c r="AE965" s="476">
        <v>1.2490666404569226</v>
      </c>
      <c r="AF965" s="467">
        <v>0.99055618337851647</v>
      </c>
      <c r="AG965" s="468">
        <v>3.6270492951390391E-5</v>
      </c>
      <c r="AH965" s="218">
        <v>1.2167934138092926</v>
      </c>
      <c r="AI965" s="470">
        <v>0.96496231738455163</v>
      </c>
      <c r="AJ965" s="471">
        <v>3.5862034350612839E-5</v>
      </c>
      <c r="AK965" s="218">
        <v>1.2167934138092926</v>
      </c>
      <c r="AL965" s="470">
        <v>0.96496231738455163</v>
      </c>
      <c r="AM965" s="471">
        <v>3.5862034350612839E-5</v>
      </c>
      <c r="AN965" s="477">
        <v>1.2167934138092926</v>
      </c>
      <c r="AO965" s="473">
        <v>0.96496231738455163</v>
      </c>
      <c r="AP965" s="474">
        <v>3.5893218380897645E-5</v>
      </c>
      <c r="AQ965" s="352"/>
      <c r="AR965" s="352"/>
      <c r="AS965" s="352"/>
      <c r="AT965" s="352"/>
      <c r="AU965" s="352"/>
      <c r="AV965" s="352"/>
      <c r="AW965" s="352" t="s">
        <v>254</v>
      </c>
    </row>
    <row r="966" spans="2:49" x14ac:dyDescent="0.2">
      <c r="B966" s="460" t="s">
        <v>2654</v>
      </c>
      <c r="C966" s="460">
        <v>2113</v>
      </c>
      <c r="D966" s="460" t="s">
        <v>2309</v>
      </c>
      <c r="E966" s="460" t="s">
        <v>2305</v>
      </c>
      <c r="F966" s="460">
        <v>4</v>
      </c>
      <c r="G966" s="460">
        <v>2</v>
      </c>
      <c r="H966" s="461" t="s">
        <v>712</v>
      </c>
      <c r="I966" s="461" t="s">
        <v>713</v>
      </c>
      <c r="J966" s="461" t="s">
        <v>712</v>
      </c>
      <c r="K966" s="594"/>
      <c r="L966" s="594"/>
      <c r="M966" s="352">
        <v>2000</v>
      </c>
      <c r="N966" s="352" t="s">
        <v>703</v>
      </c>
      <c r="O966" s="460">
        <v>2113</v>
      </c>
      <c r="P966" s="460" t="s">
        <v>1875</v>
      </c>
      <c r="Q966" s="460" t="s">
        <v>2280</v>
      </c>
      <c r="R966" s="460">
        <v>2113</v>
      </c>
      <c r="S966" s="460" t="s">
        <v>2305</v>
      </c>
      <c r="T966" s="462">
        <v>1</v>
      </c>
      <c r="U966" s="460" t="s">
        <v>2305</v>
      </c>
      <c r="V966" s="475">
        <v>0</v>
      </c>
      <c r="W966" s="463" t="s">
        <v>713</v>
      </c>
      <c r="X966" s="463" t="s">
        <v>713</v>
      </c>
      <c r="Y966" s="463" t="s">
        <v>713</v>
      </c>
      <c r="Z966" s="463"/>
      <c r="AA966" s="463"/>
      <c r="AB966" s="464">
        <v>1.4185742408760504</v>
      </c>
      <c r="AC966" s="465">
        <v>1</v>
      </c>
      <c r="AD966" s="465">
        <v>3.6230247683777951E-5</v>
      </c>
      <c r="AE966" s="476">
        <v>1.4185742408760504</v>
      </c>
      <c r="AF966" s="467">
        <v>1</v>
      </c>
      <c r="AG966" s="468">
        <v>3.6229085548347752E-5</v>
      </c>
      <c r="AH966" s="218">
        <v>1.4185742408760504</v>
      </c>
      <c r="AI966" s="470">
        <v>1</v>
      </c>
      <c r="AJ966" s="471">
        <v>3.622912940474159E-5</v>
      </c>
      <c r="AK966" s="218">
        <v>1.4185742408760504</v>
      </c>
      <c r="AL966" s="470">
        <v>1</v>
      </c>
      <c r="AM966" s="471">
        <v>3.622912940474159E-5</v>
      </c>
      <c r="AN966" s="477">
        <v>1.4185742408760504</v>
      </c>
      <c r="AO966" s="473">
        <v>1</v>
      </c>
      <c r="AP966" s="474">
        <v>3.622917372017172E-5</v>
      </c>
      <c r="AQ966" s="352"/>
      <c r="AR966" s="352"/>
      <c r="AS966" s="352"/>
      <c r="AT966" s="352"/>
      <c r="AU966" s="352"/>
      <c r="AV966" s="352"/>
      <c r="AW966" s="352" t="s">
        <v>254</v>
      </c>
    </row>
    <row r="967" spans="2:49" x14ac:dyDescent="0.2">
      <c r="B967" s="460" t="s">
        <v>2651</v>
      </c>
      <c r="C967" s="460">
        <v>2113</v>
      </c>
      <c r="D967" s="460" t="s">
        <v>2310</v>
      </c>
      <c r="E967" s="460" t="s">
        <v>2296</v>
      </c>
      <c r="F967" s="460">
        <v>1</v>
      </c>
      <c r="G967" s="460">
        <v>2</v>
      </c>
      <c r="H967" s="461" t="s">
        <v>746</v>
      </c>
      <c r="I967" s="461" t="s">
        <v>762</v>
      </c>
      <c r="J967" s="461" t="s">
        <v>700</v>
      </c>
      <c r="K967" s="594"/>
      <c r="L967" s="594"/>
      <c r="M967" s="352">
        <v>2000</v>
      </c>
      <c r="N967" s="352" t="s">
        <v>703</v>
      </c>
      <c r="O967" s="460">
        <v>2113</v>
      </c>
      <c r="P967" s="460" t="s">
        <v>1875</v>
      </c>
      <c r="Q967" s="460" t="s">
        <v>2289</v>
      </c>
      <c r="R967" s="460">
        <v>2113</v>
      </c>
      <c r="S967" s="460" t="s">
        <v>2296</v>
      </c>
      <c r="T967" s="462">
        <v>1</v>
      </c>
      <c r="U967" s="460" t="s">
        <v>2296</v>
      </c>
      <c r="V967" s="475">
        <v>0</v>
      </c>
      <c r="W967" s="463" t="s">
        <v>2268</v>
      </c>
      <c r="X967" s="463" t="s">
        <v>2268</v>
      </c>
      <c r="Y967" s="463" t="s">
        <v>2290</v>
      </c>
      <c r="Z967" s="463"/>
      <c r="AA967" s="463"/>
      <c r="AB967" s="464">
        <v>0</v>
      </c>
      <c r="AC967" s="465">
        <v>0</v>
      </c>
      <c r="AD967" s="465">
        <v>0</v>
      </c>
      <c r="AE967" s="476">
        <v>0</v>
      </c>
      <c r="AF967" s="467">
        <v>0</v>
      </c>
      <c r="AG967" s="468">
        <v>0</v>
      </c>
      <c r="AH967" s="218">
        <v>0</v>
      </c>
      <c r="AI967" s="470">
        <v>0</v>
      </c>
      <c r="AJ967" s="471">
        <v>0</v>
      </c>
      <c r="AK967" s="218">
        <v>0</v>
      </c>
      <c r="AL967" s="470">
        <v>0</v>
      </c>
      <c r="AM967" s="471">
        <v>0</v>
      </c>
      <c r="AN967" s="477">
        <v>0</v>
      </c>
      <c r="AO967" s="473">
        <v>0</v>
      </c>
      <c r="AP967" s="474">
        <v>0</v>
      </c>
      <c r="AQ967" s="352"/>
      <c r="AR967" s="352"/>
      <c r="AS967" s="352"/>
      <c r="AT967" s="352"/>
      <c r="AU967" s="352"/>
      <c r="AV967" s="352"/>
      <c r="AW967" s="352" t="s">
        <v>254</v>
      </c>
    </row>
    <row r="968" spans="2:49" x14ac:dyDescent="0.2">
      <c r="B968" s="460" t="s">
        <v>2652</v>
      </c>
      <c r="C968" s="460">
        <v>2113</v>
      </c>
      <c r="D968" s="460" t="s">
        <v>2311</v>
      </c>
      <c r="E968" s="460" t="s">
        <v>2299</v>
      </c>
      <c r="F968" s="460">
        <v>2</v>
      </c>
      <c r="G968" s="460">
        <v>2</v>
      </c>
      <c r="H968" s="461" t="s">
        <v>746</v>
      </c>
      <c r="I968" s="461" t="s">
        <v>762</v>
      </c>
      <c r="J968" s="461" t="s">
        <v>700</v>
      </c>
      <c r="K968" s="594"/>
      <c r="L968" s="594"/>
      <c r="M968" s="352">
        <v>2000</v>
      </c>
      <c r="N968" s="352" t="s">
        <v>703</v>
      </c>
      <c r="O968" s="460">
        <v>2113</v>
      </c>
      <c r="P968" s="460" t="s">
        <v>1875</v>
      </c>
      <c r="Q968" s="460" t="s">
        <v>2289</v>
      </c>
      <c r="R968" s="460">
        <v>2113</v>
      </c>
      <c r="S968" s="460" t="s">
        <v>2296</v>
      </c>
      <c r="T968" s="462">
        <v>0.55517361979372948</v>
      </c>
      <c r="U968" s="460" t="s">
        <v>2299</v>
      </c>
      <c r="V968" s="475">
        <v>0</v>
      </c>
      <c r="W968" s="463" t="s">
        <v>2268</v>
      </c>
      <c r="X968" s="463" t="s">
        <v>2268</v>
      </c>
      <c r="Y968" s="463" t="s">
        <v>2290</v>
      </c>
      <c r="Z968" s="463"/>
      <c r="AA968" s="463"/>
      <c r="AB968" s="464">
        <v>0</v>
      </c>
      <c r="AC968" s="465">
        <v>0</v>
      </c>
      <c r="AD968" s="465">
        <v>0</v>
      </c>
      <c r="AE968" s="476">
        <v>0</v>
      </c>
      <c r="AF968" s="467">
        <v>0</v>
      </c>
      <c r="AG968" s="468">
        <v>0</v>
      </c>
      <c r="AH968" s="218">
        <v>0</v>
      </c>
      <c r="AI968" s="470">
        <v>0</v>
      </c>
      <c r="AJ968" s="471">
        <v>0</v>
      </c>
      <c r="AK968" s="218">
        <v>0</v>
      </c>
      <c r="AL968" s="470">
        <v>0</v>
      </c>
      <c r="AM968" s="471">
        <v>0</v>
      </c>
      <c r="AN968" s="477">
        <v>0</v>
      </c>
      <c r="AO968" s="473">
        <v>0</v>
      </c>
      <c r="AP968" s="474">
        <v>0</v>
      </c>
      <c r="AQ968" s="352"/>
      <c r="AR968" s="352"/>
      <c r="AS968" s="352"/>
      <c r="AT968" s="352"/>
      <c r="AU968" s="352"/>
      <c r="AV968" s="352"/>
      <c r="AW968" s="352" t="s">
        <v>254</v>
      </c>
    </row>
    <row r="969" spans="2:49" x14ac:dyDescent="0.2">
      <c r="B969" s="460" t="s">
        <v>2653</v>
      </c>
      <c r="C969" s="460">
        <v>2113</v>
      </c>
      <c r="D969" s="460" t="s">
        <v>2312</v>
      </c>
      <c r="E969" s="460" t="s">
        <v>2302</v>
      </c>
      <c r="F969" s="460">
        <v>3</v>
      </c>
      <c r="G969" s="460">
        <v>2</v>
      </c>
      <c r="H969" s="461" t="s">
        <v>746</v>
      </c>
      <c r="I969" s="461" t="s">
        <v>762</v>
      </c>
      <c r="J969" s="461" t="s">
        <v>700</v>
      </c>
      <c r="K969" s="594"/>
      <c r="L969" s="594"/>
      <c r="M969" s="352">
        <v>2000</v>
      </c>
      <c r="N969" s="352" t="s">
        <v>703</v>
      </c>
      <c r="O969" s="460">
        <v>2113</v>
      </c>
      <c r="P969" s="460" t="s">
        <v>1875</v>
      </c>
      <c r="Q969" s="460" t="s">
        <v>2289</v>
      </c>
      <c r="R969" s="460">
        <v>2113</v>
      </c>
      <c r="S969" s="460" t="s">
        <v>2296</v>
      </c>
      <c r="T969" s="462">
        <v>0.28481449642268464</v>
      </c>
      <c r="U969" s="460" t="s">
        <v>2302</v>
      </c>
      <c r="V969" s="475">
        <v>0</v>
      </c>
      <c r="W969" s="463" t="s">
        <v>2268</v>
      </c>
      <c r="X969" s="463" t="s">
        <v>2268</v>
      </c>
      <c r="Y969" s="463" t="s">
        <v>2290</v>
      </c>
      <c r="Z969" s="463"/>
      <c r="AA969" s="463"/>
      <c r="AB969" s="464">
        <v>0</v>
      </c>
      <c r="AC969" s="465">
        <v>0</v>
      </c>
      <c r="AD969" s="465">
        <v>0</v>
      </c>
      <c r="AE969" s="476">
        <v>0</v>
      </c>
      <c r="AF969" s="467">
        <v>0</v>
      </c>
      <c r="AG969" s="468">
        <v>0</v>
      </c>
      <c r="AH969" s="218">
        <v>0</v>
      </c>
      <c r="AI969" s="470">
        <v>0</v>
      </c>
      <c r="AJ969" s="471">
        <v>0</v>
      </c>
      <c r="AK969" s="218">
        <v>0</v>
      </c>
      <c r="AL969" s="470">
        <v>0</v>
      </c>
      <c r="AM969" s="471">
        <v>0</v>
      </c>
      <c r="AN969" s="477">
        <v>0</v>
      </c>
      <c r="AO969" s="473">
        <v>0</v>
      </c>
      <c r="AP969" s="474">
        <v>0</v>
      </c>
      <c r="AQ969" s="352"/>
      <c r="AR969" s="352"/>
      <c r="AS969" s="352"/>
      <c r="AT969" s="352"/>
      <c r="AU969" s="352"/>
      <c r="AV969" s="352"/>
      <c r="AW969" s="352" t="s">
        <v>254</v>
      </c>
    </row>
    <row r="970" spans="2:49" x14ac:dyDescent="0.2">
      <c r="B970" s="460" t="s">
        <v>2654</v>
      </c>
      <c r="C970" s="460">
        <v>2113</v>
      </c>
      <c r="D970" s="460" t="s">
        <v>2313</v>
      </c>
      <c r="E970" s="460" t="s">
        <v>2305</v>
      </c>
      <c r="F970" s="460">
        <v>4</v>
      </c>
      <c r="G970" s="460">
        <v>2</v>
      </c>
      <c r="H970" s="461" t="s">
        <v>746</v>
      </c>
      <c r="I970" s="461" t="s">
        <v>762</v>
      </c>
      <c r="J970" s="461" t="s">
        <v>700</v>
      </c>
      <c r="K970" s="594"/>
      <c r="L970" s="594"/>
      <c r="M970" s="352">
        <v>2000</v>
      </c>
      <c r="N970" s="352" t="s">
        <v>703</v>
      </c>
      <c r="O970" s="460">
        <v>2113</v>
      </c>
      <c r="P970" s="460" t="s">
        <v>1875</v>
      </c>
      <c r="Q970" s="460" t="s">
        <v>2289</v>
      </c>
      <c r="R970" s="460">
        <v>2113</v>
      </c>
      <c r="S970" s="460" t="s">
        <v>2305</v>
      </c>
      <c r="T970" s="462">
        <v>1</v>
      </c>
      <c r="U970" s="460" t="s">
        <v>2305</v>
      </c>
      <c r="V970" s="475">
        <v>0</v>
      </c>
      <c r="W970" s="463" t="s">
        <v>2268</v>
      </c>
      <c r="X970" s="463" t="s">
        <v>2268</v>
      </c>
      <c r="Y970" s="463" t="s">
        <v>2290</v>
      </c>
      <c r="Z970" s="463"/>
      <c r="AA970" s="463"/>
      <c r="AB970" s="464">
        <v>0</v>
      </c>
      <c r="AC970" s="465">
        <v>0</v>
      </c>
      <c r="AD970" s="465">
        <v>0</v>
      </c>
      <c r="AE970" s="476">
        <v>0</v>
      </c>
      <c r="AF970" s="467">
        <v>0</v>
      </c>
      <c r="AG970" s="468">
        <v>0</v>
      </c>
      <c r="AH970" s="218">
        <v>0</v>
      </c>
      <c r="AI970" s="470">
        <v>0</v>
      </c>
      <c r="AJ970" s="471">
        <v>0</v>
      </c>
      <c r="AK970" s="218">
        <v>0</v>
      </c>
      <c r="AL970" s="470">
        <v>0</v>
      </c>
      <c r="AM970" s="471">
        <v>0</v>
      </c>
      <c r="AN970" s="477">
        <v>0</v>
      </c>
      <c r="AO970" s="473">
        <v>0</v>
      </c>
      <c r="AP970" s="474">
        <v>0</v>
      </c>
      <c r="AQ970" s="352"/>
      <c r="AR970" s="352"/>
      <c r="AS970" s="352"/>
      <c r="AT970" s="352"/>
      <c r="AU970" s="352"/>
      <c r="AV970" s="352"/>
      <c r="AW970" s="352" t="s">
        <v>254</v>
      </c>
    </row>
    <row r="971" spans="2:49" x14ac:dyDescent="0.2">
      <c r="B971" s="460" t="s">
        <v>2651</v>
      </c>
      <c r="C971" s="460">
        <v>2113</v>
      </c>
      <c r="D971" s="460" t="s">
        <v>2314</v>
      </c>
      <c r="E971" s="460" t="s">
        <v>2296</v>
      </c>
      <c r="F971" s="460">
        <v>1</v>
      </c>
      <c r="G971" s="460">
        <v>2</v>
      </c>
      <c r="H971" s="461" t="s">
        <v>748</v>
      </c>
      <c r="I971" s="461" t="s">
        <v>765</v>
      </c>
      <c r="J971" s="461" t="s">
        <v>700</v>
      </c>
      <c r="K971" s="594"/>
      <c r="L971" s="594"/>
      <c r="M971" s="352">
        <v>2000</v>
      </c>
      <c r="N971" s="352" t="s">
        <v>703</v>
      </c>
      <c r="O971" s="460">
        <v>2113</v>
      </c>
      <c r="P971" s="460" t="s">
        <v>1875</v>
      </c>
      <c r="Q971" s="460" t="s">
        <v>2266</v>
      </c>
      <c r="R971" s="460">
        <v>2113</v>
      </c>
      <c r="S971" s="460" t="s">
        <v>2296</v>
      </c>
      <c r="T971" s="462">
        <v>1</v>
      </c>
      <c r="U971" s="460" t="s">
        <v>2296</v>
      </c>
      <c r="V971" s="475">
        <v>0</v>
      </c>
      <c r="W971" s="463" t="s">
        <v>2268</v>
      </c>
      <c r="X971" s="463" t="s">
        <v>2268</v>
      </c>
      <c r="Y971" s="463" t="s">
        <v>2267</v>
      </c>
      <c r="Z971" s="463"/>
      <c r="AA971" s="463"/>
      <c r="AB971" s="464">
        <v>0</v>
      </c>
      <c r="AC971" s="465">
        <v>0</v>
      </c>
      <c r="AD971" s="465">
        <v>0</v>
      </c>
      <c r="AE971" s="476">
        <v>0</v>
      </c>
      <c r="AF971" s="467">
        <v>0</v>
      </c>
      <c r="AG971" s="468">
        <v>0</v>
      </c>
      <c r="AH971" s="218">
        <v>0</v>
      </c>
      <c r="AI971" s="470">
        <v>0</v>
      </c>
      <c r="AJ971" s="471">
        <v>0</v>
      </c>
      <c r="AK971" s="218">
        <v>0</v>
      </c>
      <c r="AL971" s="470">
        <v>0</v>
      </c>
      <c r="AM971" s="471">
        <v>0</v>
      </c>
      <c r="AN971" s="477">
        <v>0.46886034644229985</v>
      </c>
      <c r="AO971" s="473">
        <v>0.12301930925401335</v>
      </c>
      <c r="AP971" s="474">
        <v>1.4323041359390033E-4</v>
      </c>
      <c r="AQ971" s="352"/>
      <c r="AR971" s="352"/>
      <c r="AS971" s="352"/>
      <c r="AT971" s="352"/>
      <c r="AU971" s="352"/>
      <c r="AV971" s="352"/>
      <c r="AW971" s="352" t="s">
        <v>254</v>
      </c>
    </row>
    <row r="972" spans="2:49" x14ac:dyDescent="0.2">
      <c r="B972" s="460" t="s">
        <v>2652</v>
      </c>
      <c r="C972" s="460">
        <v>2113</v>
      </c>
      <c r="D972" s="460" t="s">
        <v>2315</v>
      </c>
      <c r="E972" s="460" t="s">
        <v>2299</v>
      </c>
      <c r="F972" s="460">
        <v>2</v>
      </c>
      <c r="G972" s="460">
        <v>2</v>
      </c>
      <c r="H972" s="461" t="s">
        <v>748</v>
      </c>
      <c r="I972" s="461" t="s">
        <v>765</v>
      </c>
      <c r="J972" s="461" t="s">
        <v>700</v>
      </c>
      <c r="K972" s="594"/>
      <c r="L972" s="594"/>
      <c r="M972" s="352">
        <v>2000</v>
      </c>
      <c r="N972" s="352" t="s">
        <v>703</v>
      </c>
      <c r="O972" s="460">
        <v>2113</v>
      </c>
      <c r="P972" s="460" t="s">
        <v>1875</v>
      </c>
      <c r="Q972" s="460" t="s">
        <v>2266</v>
      </c>
      <c r="R972" s="460">
        <v>2113</v>
      </c>
      <c r="S972" s="460" t="s">
        <v>2296</v>
      </c>
      <c r="T972" s="462">
        <v>0.55517361979372948</v>
      </c>
      <c r="U972" s="460" t="s">
        <v>2299</v>
      </c>
      <c r="V972" s="475">
        <v>0</v>
      </c>
      <c r="W972" s="463" t="s">
        <v>2268</v>
      </c>
      <c r="X972" s="463" t="s">
        <v>2268</v>
      </c>
      <c r="Y972" s="463" t="s">
        <v>2267</v>
      </c>
      <c r="Z972" s="463"/>
      <c r="AA972" s="463"/>
      <c r="AB972" s="464">
        <v>0</v>
      </c>
      <c r="AC972" s="465">
        <v>0</v>
      </c>
      <c r="AD972" s="465">
        <v>0</v>
      </c>
      <c r="AE972" s="476">
        <v>0</v>
      </c>
      <c r="AF972" s="467">
        <v>0</v>
      </c>
      <c r="AG972" s="468">
        <v>0</v>
      </c>
      <c r="AH972" s="218">
        <v>0</v>
      </c>
      <c r="AI972" s="470">
        <v>0</v>
      </c>
      <c r="AJ972" s="471">
        <v>0</v>
      </c>
      <c r="AK972" s="218">
        <v>0</v>
      </c>
      <c r="AL972" s="470">
        <v>0</v>
      </c>
      <c r="AM972" s="471">
        <v>0</v>
      </c>
      <c r="AN972" s="477">
        <v>0.15949668359296965</v>
      </c>
      <c r="AO972" s="473">
        <v>6.8297075223074835E-2</v>
      </c>
      <c r="AP972" s="474">
        <v>1.4777082334460644E-4</v>
      </c>
      <c r="AQ972" s="352"/>
      <c r="AR972" s="352"/>
      <c r="AS972" s="352"/>
      <c r="AT972" s="352"/>
      <c r="AU972" s="352"/>
      <c r="AV972" s="352"/>
      <c r="AW972" s="352" t="s">
        <v>254</v>
      </c>
    </row>
    <row r="973" spans="2:49" x14ac:dyDescent="0.2">
      <c r="B973" s="460" t="s">
        <v>2653</v>
      </c>
      <c r="C973" s="460">
        <v>2113</v>
      </c>
      <c r="D973" s="460" t="s">
        <v>2316</v>
      </c>
      <c r="E973" s="460" t="s">
        <v>2302</v>
      </c>
      <c r="F973" s="460">
        <v>3</v>
      </c>
      <c r="G973" s="460">
        <v>2</v>
      </c>
      <c r="H973" s="461" t="s">
        <v>748</v>
      </c>
      <c r="I973" s="461" t="s">
        <v>765</v>
      </c>
      <c r="J973" s="461" t="s">
        <v>700</v>
      </c>
      <c r="K973" s="594"/>
      <c r="L973" s="594"/>
      <c r="M973" s="352">
        <v>2000</v>
      </c>
      <c r="N973" s="352" t="s">
        <v>703</v>
      </c>
      <c r="O973" s="460">
        <v>2113</v>
      </c>
      <c r="P973" s="460" t="s">
        <v>1875</v>
      </c>
      <c r="Q973" s="460" t="s">
        <v>2266</v>
      </c>
      <c r="R973" s="460">
        <v>2113</v>
      </c>
      <c r="S973" s="460" t="s">
        <v>2296</v>
      </c>
      <c r="T973" s="462">
        <v>0.28481449642268464</v>
      </c>
      <c r="U973" s="460" t="s">
        <v>2302</v>
      </c>
      <c r="V973" s="475">
        <v>0</v>
      </c>
      <c r="W973" s="463" t="s">
        <v>2268</v>
      </c>
      <c r="X973" s="463" t="s">
        <v>2268</v>
      </c>
      <c r="Y973" s="463" t="s">
        <v>2267</v>
      </c>
      <c r="Z973" s="463"/>
      <c r="AA973" s="463"/>
      <c r="AB973" s="464">
        <v>0</v>
      </c>
      <c r="AC973" s="465">
        <v>0</v>
      </c>
      <c r="AD973" s="465">
        <v>0</v>
      </c>
      <c r="AE973" s="476">
        <v>0</v>
      </c>
      <c r="AF973" s="467">
        <v>0</v>
      </c>
      <c r="AG973" s="468">
        <v>0</v>
      </c>
      <c r="AH973" s="218">
        <v>0</v>
      </c>
      <c r="AI973" s="470">
        <v>0</v>
      </c>
      <c r="AJ973" s="471">
        <v>0</v>
      </c>
      <c r="AK973" s="218">
        <v>0</v>
      </c>
      <c r="AL973" s="470">
        <v>0</v>
      </c>
      <c r="AM973" s="471">
        <v>0</v>
      </c>
      <c r="AN973" s="477">
        <v>4.4181643856490344E-2</v>
      </c>
      <c r="AO973" s="473">
        <v>3.5037682615448318E-2</v>
      </c>
      <c r="AP973" s="474">
        <v>1.8905032024391368E-4</v>
      </c>
      <c r="AQ973" s="352"/>
      <c r="AR973" s="352"/>
      <c r="AS973" s="352"/>
      <c r="AT973" s="352"/>
      <c r="AU973" s="352"/>
      <c r="AV973" s="352"/>
      <c r="AW973" s="352" t="s">
        <v>254</v>
      </c>
    </row>
    <row r="974" spans="2:49" x14ac:dyDescent="0.2">
      <c r="B974" s="460" t="s">
        <v>2654</v>
      </c>
      <c r="C974" s="460">
        <v>2113</v>
      </c>
      <c r="D974" s="460" t="s">
        <v>2317</v>
      </c>
      <c r="E974" s="460" t="s">
        <v>2305</v>
      </c>
      <c r="F974" s="460">
        <v>4</v>
      </c>
      <c r="G974" s="460">
        <v>2</v>
      </c>
      <c r="H974" s="461" t="s">
        <v>748</v>
      </c>
      <c r="I974" s="461" t="s">
        <v>765</v>
      </c>
      <c r="J974" s="461" t="s">
        <v>700</v>
      </c>
      <c r="K974" s="594"/>
      <c r="L974" s="594"/>
      <c r="M974" s="352">
        <v>2000</v>
      </c>
      <c r="N974" s="352" t="s">
        <v>703</v>
      </c>
      <c r="O974" s="460">
        <v>2113</v>
      </c>
      <c r="P974" s="460" t="s">
        <v>1875</v>
      </c>
      <c r="Q974" s="460" t="s">
        <v>2266</v>
      </c>
      <c r="R974" s="460">
        <v>2113</v>
      </c>
      <c r="S974" s="460" t="s">
        <v>2305</v>
      </c>
      <c r="T974" s="462">
        <v>1</v>
      </c>
      <c r="U974" s="460" t="s">
        <v>2305</v>
      </c>
      <c r="V974" s="475">
        <v>0</v>
      </c>
      <c r="W974" s="463" t="s">
        <v>2268</v>
      </c>
      <c r="X974" s="463" t="s">
        <v>2268</v>
      </c>
      <c r="Y974" s="463" t="s">
        <v>2278</v>
      </c>
      <c r="Z974" s="463"/>
      <c r="AA974" s="463"/>
      <c r="AB974" s="464">
        <v>0</v>
      </c>
      <c r="AC974" s="465">
        <v>0</v>
      </c>
      <c r="AD974" s="465">
        <v>0</v>
      </c>
      <c r="AE974" s="476">
        <v>0</v>
      </c>
      <c r="AF974" s="467">
        <v>0</v>
      </c>
      <c r="AG974" s="468">
        <v>0</v>
      </c>
      <c r="AH974" s="218">
        <v>0</v>
      </c>
      <c r="AI974" s="470">
        <v>0</v>
      </c>
      <c r="AJ974" s="471">
        <v>0</v>
      </c>
      <c r="AK974" s="218">
        <v>0</v>
      </c>
      <c r="AL974" s="470">
        <v>0</v>
      </c>
      <c r="AM974" s="471">
        <v>0</v>
      </c>
      <c r="AN974" s="477">
        <v>0</v>
      </c>
      <c r="AO974" s="473">
        <v>0</v>
      </c>
      <c r="AP974" s="474">
        <v>0</v>
      </c>
      <c r="AQ974" s="352"/>
      <c r="AR974" s="352"/>
      <c r="AS974" s="352"/>
      <c r="AT974" s="352"/>
      <c r="AU974" s="352"/>
      <c r="AV974" s="352"/>
      <c r="AW974" s="352" t="s">
        <v>254</v>
      </c>
    </row>
    <row r="975" spans="2:49" x14ac:dyDescent="0.2">
      <c r="B975" s="460" t="s">
        <v>2655</v>
      </c>
      <c r="C975" s="460">
        <v>2113</v>
      </c>
      <c r="D975" s="460" t="s">
        <v>2323</v>
      </c>
      <c r="E975" s="460" t="s">
        <v>2324</v>
      </c>
      <c r="F975" s="460">
        <v>1</v>
      </c>
      <c r="G975" s="460">
        <v>3</v>
      </c>
      <c r="H975" s="461" t="s">
        <v>700</v>
      </c>
      <c r="I975" s="461" t="s">
        <v>872</v>
      </c>
      <c r="J975" s="461" t="s">
        <v>700</v>
      </c>
      <c r="K975" s="594"/>
      <c r="L975" s="594"/>
      <c r="M975" s="352">
        <v>2000</v>
      </c>
      <c r="N975" s="352" t="s">
        <v>703</v>
      </c>
      <c r="O975" s="460">
        <v>2113</v>
      </c>
      <c r="P975" s="460" t="s">
        <v>1875</v>
      </c>
      <c r="Q975" s="460" t="s">
        <v>2266</v>
      </c>
      <c r="R975" s="460">
        <v>2113</v>
      </c>
      <c r="S975" s="460" t="s">
        <v>2324</v>
      </c>
      <c r="T975" s="462">
        <v>1</v>
      </c>
      <c r="U975" s="460" t="s">
        <v>2324</v>
      </c>
      <c r="V975" s="475">
        <v>0</v>
      </c>
      <c r="W975" s="463" t="s">
        <v>2267</v>
      </c>
      <c r="X975" s="463" t="s">
        <v>2267</v>
      </c>
      <c r="Y975" s="463" t="s">
        <v>2268</v>
      </c>
      <c r="Z975" s="463"/>
      <c r="AA975" s="463"/>
      <c r="AB975" s="464">
        <v>2.9327087756461037</v>
      </c>
      <c r="AC975" s="465">
        <v>0.21320767442135666</v>
      </c>
      <c r="AD975" s="465">
        <v>2.5141173095238049E-5</v>
      </c>
      <c r="AE975" s="476">
        <v>2.9327087756461037</v>
      </c>
      <c r="AF975" s="467">
        <v>0.21320767442135666</v>
      </c>
      <c r="AG975" s="468">
        <v>2.693117699597303E-5</v>
      </c>
      <c r="AH975" s="218">
        <v>2.9327087756461037</v>
      </c>
      <c r="AI975" s="470">
        <v>0.21320767442135666</v>
      </c>
      <c r="AJ975" s="471">
        <v>2.5717532727563646E-5</v>
      </c>
      <c r="AK975" s="218">
        <v>2.9327087756461037</v>
      </c>
      <c r="AL975" s="470">
        <v>0.21320767442135666</v>
      </c>
      <c r="AM975" s="471">
        <v>2.5717532727563646E-5</v>
      </c>
      <c r="AN975" s="477">
        <v>0</v>
      </c>
      <c r="AO975" s="473">
        <v>0</v>
      </c>
      <c r="AP975" s="474">
        <v>0</v>
      </c>
      <c r="AQ975" s="352"/>
      <c r="AR975" s="352"/>
      <c r="AS975" s="352"/>
      <c r="AT975" s="352"/>
      <c r="AU975" s="352"/>
      <c r="AV975" s="352"/>
      <c r="AW975" s="352" t="s">
        <v>254</v>
      </c>
    </row>
    <row r="976" spans="2:49" x14ac:dyDescent="0.2">
      <c r="B976" s="460" t="s">
        <v>2656</v>
      </c>
      <c r="C976" s="460">
        <v>2113</v>
      </c>
      <c r="D976" s="460" t="s">
        <v>2326</v>
      </c>
      <c r="E976" s="460" t="s">
        <v>2327</v>
      </c>
      <c r="F976" s="460">
        <v>2</v>
      </c>
      <c r="G976" s="460">
        <v>3</v>
      </c>
      <c r="H976" s="461" t="s">
        <v>700</v>
      </c>
      <c r="I976" s="461" t="s">
        <v>872</v>
      </c>
      <c r="J976" s="461" t="s">
        <v>700</v>
      </c>
      <c r="K976" s="594"/>
      <c r="L976" s="594"/>
      <c r="M976" s="352">
        <v>2000</v>
      </c>
      <c r="N976" s="352" t="s">
        <v>703</v>
      </c>
      <c r="O976" s="460">
        <v>2113</v>
      </c>
      <c r="P976" s="460" t="s">
        <v>1875</v>
      </c>
      <c r="Q976" s="460" t="s">
        <v>2266</v>
      </c>
      <c r="R976" s="460">
        <v>2113</v>
      </c>
      <c r="S976" s="460" t="s">
        <v>2324</v>
      </c>
      <c r="T976" s="462">
        <v>1</v>
      </c>
      <c r="U976" s="460" t="s">
        <v>2327</v>
      </c>
      <c r="V976" s="475">
        <v>0</v>
      </c>
      <c r="W976" s="463" t="s">
        <v>2267</v>
      </c>
      <c r="X976" s="463" t="s">
        <v>2267</v>
      </c>
      <c r="Y976" s="463" t="s">
        <v>2268</v>
      </c>
      <c r="Z976" s="463"/>
      <c r="AA976" s="463"/>
      <c r="AB976" s="464">
        <v>1.4555974550381894</v>
      </c>
      <c r="AC976" s="465">
        <v>0.16919443413490762</v>
      </c>
      <c r="AD976" s="465">
        <v>2.1498909621682477E-5</v>
      </c>
      <c r="AE976" s="476">
        <v>1.4555974550381894</v>
      </c>
      <c r="AF976" s="467">
        <v>0.16919443413490762</v>
      </c>
      <c r="AG976" s="468">
        <v>2.3285701387243595E-5</v>
      </c>
      <c r="AH976" s="218">
        <v>1.8342479755266865</v>
      </c>
      <c r="AI976" s="470">
        <v>0.21320767442135666</v>
      </c>
      <c r="AJ976" s="471">
        <v>2.4694830637545072E-5</v>
      </c>
      <c r="AK976" s="218">
        <v>1.8342479755266865</v>
      </c>
      <c r="AL976" s="470">
        <v>0.21320767442135666</v>
      </c>
      <c r="AM976" s="471">
        <v>2.4694830637545072E-5</v>
      </c>
      <c r="AN976" s="477">
        <v>0</v>
      </c>
      <c r="AO976" s="473">
        <v>0</v>
      </c>
      <c r="AP976" s="474">
        <v>0</v>
      </c>
      <c r="AQ976" s="352"/>
      <c r="AR976" s="352"/>
      <c r="AS976" s="352"/>
      <c r="AT976" s="352"/>
      <c r="AU976" s="352"/>
      <c r="AV976" s="352"/>
      <c r="AW976" s="352" t="s">
        <v>254</v>
      </c>
    </row>
    <row r="977" spans="2:49" x14ac:dyDescent="0.2">
      <c r="B977" s="460" t="s">
        <v>2657</v>
      </c>
      <c r="C977" s="460">
        <v>2113</v>
      </c>
      <c r="D977" s="460" t="s">
        <v>2329</v>
      </c>
      <c r="E977" s="460" t="s">
        <v>2330</v>
      </c>
      <c r="F977" s="460">
        <v>3</v>
      </c>
      <c r="G977" s="460">
        <v>3</v>
      </c>
      <c r="H977" s="461" t="s">
        <v>700</v>
      </c>
      <c r="I977" s="461" t="s">
        <v>872</v>
      </c>
      <c r="J977" s="461" t="s">
        <v>700</v>
      </c>
      <c r="K977" s="594"/>
      <c r="L977" s="594"/>
      <c r="M977" s="352">
        <v>2000</v>
      </c>
      <c r="N977" s="352" t="s">
        <v>703</v>
      </c>
      <c r="O977" s="460">
        <v>2113</v>
      </c>
      <c r="P977" s="460" t="s">
        <v>1875</v>
      </c>
      <c r="Q977" s="460" t="s">
        <v>2266</v>
      </c>
      <c r="R977" s="460">
        <v>2113</v>
      </c>
      <c r="S977" s="460" t="s">
        <v>2324</v>
      </c>
      <c r="T977" s="462">
        <v>1</v>
      </c>
      <c r="U977" s="460" t="s">
        <v>2330</v>
      </c>
      <c r="V977" s="475">
        <v>0</v>
      </c>
      <c r="W977" s="463" t="s">
        <v>2267</v>
      </c>
      <c r="X977" s="463" t="s">
        <v>2267</v>
      </c>
      <c r="Y977" s="463" t="s">
        <v>2268</v>
      </c>
      <c r="Z977" s="463"/>
      <c r="AA977" s="463"/>
      <c r="AB977" s="464">
        <v>0.20581105958011636</v>
      </c>
      <c r="AC977" s="465">
        <v>9.7386684536229368E-2</v>
      </c>
      <c r="AD977" s="465">
        <v>7.7716748066828432E-6</v>
      </c>
      <c r="AE977" s="476">
        <v>0.20581105958011636</v>
      </c>
      <c r="AF977" s="467">
        <v>9.7386684536229368E-2</v>
      </c>
      <c r="AG977" s="468">
        <v>8.3293921393566405E-6</v>
      </c>
      <c r="AH977" s="218">
        <v>0.45058005200852336</v>
      </c>
      <c r="AI977" s="470">
        <v>0.21320767442135666</v>
      </c>
      <c r="AJ977" s="471">
        <v>1.5874992772997071E-5</v>
      </c>
      <c r="AK977" s="218">
        <v>0.45058005200852336</v>
      </c>
      <c r="AL977" s="470">
        <v>0.21320767442135666</v>
      </c>
      <c r="AM977" s="471">
        <v>1.5874992772997071E-5</v>
      </c>
      <c r="AN977" s="477">
        <v>0</v>
      </c>
      <c r="AO977" s="473">
        <v>0</v>
      </c>
      <c r="AP977" s="474">
        <v>0</v>
      </c>
      <c r="AQ977" s="352"/>
      <c r="AR977" s="352"/>
      <c r="AS977" s="352"/>
      <c r="AT977" s="352"/>
      <c r="AU977" s="352"/>
      <c r="AV977" s="352"/>
      <c r="AW977" s="352" t="s">
        <v>254</v>
      </c>
    </row>
    <row r="978" spans="2:49" x14ac:dyDescent="0.2">
      <c r="B978" s="460" t="s">
        <v>2658</v>
      </c>
      <c r="C978" s="460">
        <v>2113</v>
      </c>
      <c r="D978" s="460" t="s">
        <v>2332</v>
      </c>
      <c r="E978" s="460" t="s">
        <v>2333</v>
      </c>
      <c r="F978" s="460">
        <v>4</v>
      </c>
      <c r="G978" s="460">
        <v>3</v>
      </c>
      <c r="H978" s="461" t="s">
        <v>700</v>
      </c>
      <c r="I978" s="461" t="s">
        <v>872</v>
      </c>
      <c r="J978" s="461" t="s">
        <v>700</v>
      </c>
      <c r="K978" s="594"/>
      <c r="L978" s="594"/>
      <c r="M978" s="352">
        <v>2000</v>
      </c>
      <c r="N978" s="352" t="s">
        <v>703</v>
      </c>
      <c r="O978" s="460">
        <v>2113</v>
      </c>
      <c r="P978" s="460" t="s">
        <v>1875</v>
      </c>
      <c r="Q978" s="460" t="s">
        <v>2266</v>
      </c>
      <c r="R978" s="460">
        <v>2113</v>
      </c>
      <c r="S978" s="460" t="s">
        <v>2333</v>
      </c>
      <c r="T978" s="462">
        <v>1</v>
      </c>
      <c r="U978" s="460" t="s">
        <v>2333</v>
      </c>
      <c r="V978" s="475">
        <v>0</v>
      </c>
      <c r="W978" s="463" t="s">
        <v>2278</v>
      </c>
      <c r="X978" s="463" t="s">
        <v>2278</v>
      </c>
      <c r="Y978" s="463" t="s">
        <v>2268</v>
      </c>
      <c r="Z978" s="463"/>
      <c r="AA978" s="463"/>
      <c r="AB978" s="464">
        <v>4.7576177897184031E-3</v>
      </c>
      <c r="AC978" s="465">
        <v>2.1687638200402152E-3</v>
      </c>
      <c r="AD978" s="465">
        <v>3.2812598167746182E-7</v>
      </c>
      <c r="AE978" s="476">
        <v>4.7576177897184031E-3</v>
      </c>
      <c r="AF978" s="467">
        <v>2.1687638200402152E-3</v>
      </c>
      <c r="AG978" s="468">
        <v>3.6212864053517354E-7</v>
      </c>
      <c r="AH978" s="218">
        <v>4.7576177897184031E-3</v>
      </c>
      <c r="AI978" s="470">
        <v>2.1687638200402152E-3</v>
      </c>
      <c r="AJ978" s="471">
        <v>3.5085728329768496E-7</v>
      </c>
      <c r="AK978" s="218">
        <v>4.7576177897184031E-3</v>
      </c>
      <c r="AL978" s="470">
        <v>2.1687638200402152E-3</v>
      </c>
      <c r="AM978" s="471">
        <v>3.5085728329768496E-7</v>
      </c>
      <c r="AN978" s="477">
        <v>0</v>
      </c>
      <c r="AO978" s="473">
        <v>0</v>
      </c>
      <c r="AP978" s="474">
        <v>0</v>
      </c>
      <c r="AQ978" s="352"/>
      <c r="AR978" s="352"/>
      <c r="AS978" s="352"/>
      <c r="AT978" s="352"/>
      <c r="AU978" s="352"/>
      <c r="AV978" s="352"/>
      <c r="AW978" s="352" t="s">
        <v>254</v>
      </c>
    </row>
    <row r="979" spans="2:49" x14ac:dyDescent="0.2">
      <c r="B979" s="460" t="s">
        <v>2655</v>
      </c>
      <c r="C979" s="460">
        <v>2113</v>
      </c>
      <c r="D979" s="460" t="s">
        <v>2334</v>
      </c>
      <c r="E979" s="460" t="s">
        <v>2324</v>
      </c>
      <c r="F979" s="460">
        <v>1</v>
      </c>
      <c r="G979" s="460">
        <v>3</v>
      </c>
      <c r="H979" s="461" t="s">
        <v>712</v>
      </c>
      <c r="I979" s="461" t="s">
        <v>713</v>
      </c>
      <c r="J979" s="461" t="s">
        <v>712</v>
      </c>
      <c r="K979" s="594"/>
      <c r="L979" s="594"/>
      <c r="M979" s="352">
        <v>2000</v>
      </c>
      <c r="N979" s="352" t="s">
        <v>703</v>
      </c>
      <c r="O979" s="460">
        <v>2113</v>
      </c>
      <c r="P979" s="460" t="s">
        <v>1875</v>
      </c>
      <c r="Q979" s="460" t="s">
        <v>2280</v>
      </c>
      <c r="R979" s="460">
        <v>2113</v>
      </c>
      <c r="S979" s="460" t="s">
        <v>2324</v>
      </c>
      <c r="T979" s="462">
        <v>1</v>
      </c>
      <c r="U979" s="460" t="s">
        <v>2324</v>
      </c>
      <c r="V979" s="475">
        <v>0</v>
      </c>
      <c r="W979" s="463" t="s">
        <v>713</v>
      </c>
      <c r="X979" s="463" t="s">
        <v>713</v>
      </c>
      <c r="Y979" s="463" t="s">
        <v>713</v>
      </c>
      <c r="Z979" s="463"/>
      <c r="AA979" s="463"/>
      <c r="AB979" s="464">
        <v>10.822465767697347</v>
      </c>
      <c r="AC979" s="465">
        <v>0.78679232557864331</v>
      </c>
      <c r="AD979" s="465">
        <v>2.7022572489710755E-5</v>
      </c>
      <c r="AE979" s="476">
        <v>10.822465767697347</v>
      </c>
      <c r="AF979" s="467">
        <v>0.78679232557864331</v>
      </c>
      <c r="AG979" s="468">
        <v>2.6509377922570242E-5</v>
      </c>
      <c r="AH979" s="218">
        <v>10.822465767697347</v>
      </c>
      <c r="AI979" s="470">
        <v>0.78679232557864331</v>
      </c>
      <c r="AJ979" s="471">
        <v>2.684732606670579E-5</v>
      </c>
      <c r="AK979" s="218">
        <v>10.822465767697347</v>
      </c>
      <c r="AL979" s="470">
        <v>0.78679232557864331</v>
      </c>
      <c r="AM979" s="471">
        <v>2.684732606670579E-5</v>
      </c>
      <c r="AN979" s="477">
        <v>10.822465767697347</v>
      </c>
      <c r="AO979" s="473">
        <v>0.78679232557864331</v>
      </c>
      <c r="AP979" s="474">
        <v>2.683426074025707E-5</v>
      </c>
      <c r="AQ979" s="352"/>
      <c r="AR979" s="352"/>
      <c r="AS979" s="352"/>
      <c r="AT979" s="352"/>
      <c r="AU979" s="352"/>
      <c r="AV979" s="352"/>
      <c r="AW979" s="352" t="s">
        <v>254</v>
      </c>
    </row>
    <row r="980" spans="2:49" x14ac:dyDescent="0.2">
      <c r="B980" s="460" t="s">
        <v>2656</v>
      </c>
      <c r="C980" s="460">
        <v>2113</v>
      </c>
      <c r="D980" s="460" t="s">
        <v>2335</v>
      </c>
      <c r="E980" s="460" t="s">
        <v>2327</v>
      </c>
      <c r="F980" s="460">
        <v>2</v>
      </c>
      <c r="G980" s="460">
        <v>3</v>
      </c>
      <c r="H980" s="461" t="s">
        <v>712</v>
      </c>
      <c r="I980" s="461" t="s">
        <v>713</v>
      </c>
      <c r="J980" s="461" t="s">
        <v>712</v>
      </c>
      <c r="K980" s="594"/>
      <c r="L980" s="594"/>
      <c r="M980" s="352">
        <v>2000</v>
      </c>
      <c r="N980" s="352" t="s">
        <v>703</v>
      </c>
      <c r="O980" s="460">
        <v>2113</v>
      </c>
      <c r="P980" s="460" t="s">
        <v>1875</v>
      </c>
      <c r="Q980" s="460" t="s">
        <v>2280</v>
      </c>
      <c r="R980" s="460">
        <v>2113</v>
      </c>
      <c r="S980" s="460" t="s">
        <v>2324</v>
      </c>
      <c r="T980" s="462">
        <v>1</v>
      </c>
      <c r="U980" s="460" t="s">
        <v>2327</v>
      </c>
      <c r="V980" s="475">
        <v>0</v>
      </c>
      <c r="W980" s="463" t="s">
        <v>713</v>
      </c>
      <c r="X980" s="463" t="s">
        <v>713</v>
      </c>
      <c r="Y980" s="463" t="s">
        <v>713</v>
      </c>
      <c r="Z980" s="463"/>
      <c r="AA980" s="463"/>
      <c r="AB980" s="464">
        <v>7.1475073839635757</v>
      </c>
      <c r="AC980" s="465">
        <v>0.83080556586509224</v>
      </c>
      <c r="AD980" s="465">
        <v>2.289059638174402E-5</v>
      </c>
      <c r="AE980" s="476">
        <v>7.1475073839635765</v>
      </c>
      <c r="AF980" s="467">
        <v>0.83080556586509235</v>
      </c>
      <c r="AG980" s="468">
        <v>2.2515966376288721E-5</v>
      </c>
      <c r="AH980" s="218">
        <v>6.7688568634750794</v>
      </c>
      <c r="AI980" s="470">
        <v>0.78679232557864331</v>
      </c>
      <c r="AJ980" s="471">
        <v>2.2175310348677096E-5</v>
      </c>
      <c r="AK980" s="218">
        <v>6.7688568634750794</v>
      </c>
      <c r="AL980" s="470">
        <v>0.78679232557864331</v>
      </c>
      <c r="AM980" s="471">
        <v>2.2175310348677096E-5</v>
      </c>
      <c r="AN980" s="477">
        <v>6.7688568634750794</v>
      </c>
      <c r="AO980" s="473">
        <v>0.78679232557864331</v>
      </c>
      <c r="AP980" s="474">
        <v>2.216661621156949E-5</v>
      </c>
      <c r="AQ980" s="352"/>
      <c r="AR980" s="352"/>
      <c r="AS980" s="352"/>
      <c r="AT980" s="352"/>
      <c r="AU980" s="352"/>
      <c r="AV980" s="352"/>
      <c r="AW980" s="352" t="s">
        <v>254</v>
      </c>
    </row>
    <row r="981" spans="2:49" x14ac:dyDescent="0.2">
      <c r="B981" s="460" t="s">
        <v>2657</v>
      </c>
      <c r="C981" s="460">
        <v>2113</v>
      </c>
      <c r="D981" s="460" t="s">
        <v>2336</v>
      </c>
      <c r="E981" s="460" t="s">
        <v>2330</v>
      </c>
      <c r="F981" s="460">
        <v>3</v>
      </c>
      <c r="G981" s="460">
        <v>3</v>
      </c>
      <c r="H981" s="461" t="s">
        <v>712</v>
      </c>
      <c r="I981" s="461" t="s">
        <v>713</v>
      </c>
      <c r="J981" s="461" t="s">
        <v>712</v>
      </c>
      <c r="K981" s="594"/>
      <c r="L981" s="594"/>
      <c r="M981" s="352">
        <v>2000</v>
      </c>
      <c r="N981" s="352" t="s">
        <v>703</v>
      </c>
      <c r="O981" s="460">
        <v>2113</v>
      </c>
      <c r="P981" s="460" t="s">
        <v>1875</v>
      </c>
      <c r="Q981" s="460" t="s">
        <v>2280</v>
      </c>
      <c r="R981" s="460">
        <v>2113</v>
      </c>
      <c r="S981" s="460" t="s">
        <v>2324</v>
      </c>
      <c r="T981" s="462">
        <v>1</v>
      </c>
      <c r="U981" s="460" t="s">
        <v>2330</v>
      </c>
      <c r="V981" s="475">
        <v>0</v>
      </c>
      <c r="W981" s="463" t="s">
        <v>713</v>
      </c>
      <c r="X981" s="463" t="s">
        <v>713</v>
      </c>
      <c r="Y981" s="463" t="s">
        <v>713</v>
      </c>
      <c r="Z981" s="463"/>
      <c r="AA981" s="463"/>
      <c r="AB981" s="464">
        <v>1.9075277460299196</v>
      </c>
      <c r="AC981" s="465">
        <v>0.90261331546377055</v>
      </c>
      <c r="AD981" s="465">
        <v>1.6889752450890184E-5</v>
      </c>
      <c r="AE981" s="476">
        <v>1.9075277460299198</v>
      </c>
      <c r="AF981" s="467">
        <v>0.90261331546377066</v>
      </c>
      <c r="AG981" s="468">
        <v>1.6628677590139038E-5</v>
      </c>
      <c r="AH981" s="218">
        <v>1.6627587536015127</v>
      </c>
      <c r="AI981" s="470">
        <v>0.78679232557864331</v>
      </c>
      <c r="AJ981" s="471">
        <v>1.5048364101282541E-5</v>
      </c>
      <c r="AK981" s="218">
        <v>1.6627587536015127</v>
      </c>
      <c r="AL981" s="470">
        <v>0.78679232557864331</v>
      </c>
      <c r="AM981" s="471">
        <v>1.5048364101282541E-5</v>
      </c>
      <c r="AN981" s="477">
        <v>1.6627587536015127</v>
      </c>
      <c r="AO981" s="473">
        <v>0.78679232557864331</v>
      </c>
      <c r="AP981" s="474">
        <v>1.5087205590980412E-5</v>
      </c>
      <c r="AQ981" s="352"/>
      <c r="AR981" s="352"/>
      <c r="AS981" s="352"/>
      <c r="AT981" s="352"/>
      <c r="AU981" s="352"/>
      <c r="AV981" s="352"/>
      <c r="AW981" s="352" t="s">
        <v>254</v>
      </c>
    </row>
    <row r="982" spans="2:49" x14ac:dyDescent="0.2">
      <c r="B982" s="460" t="s">
        <v>2658</v>
      </c>
      <c r="C982" s="460">
        <v>2113</v>
      </c>
      <c r="D982" s="460" t="s">
        <v>2337</v>
      </c>
      <c r="E982" s="460" t="s">
        <v>2333</v>
      </c>
      <c r="F982" s="460">
        <v>4</v>
      </c>
      <c r="G982" s="460">
        <v>3</v>
      </c>
      <c r="H982" s="461" t="s">
        <v>712</v>
      </c>
      <c r="I982" s="461" t="s">
        <v>713</v>
      </c>
      <c r="J982" s="461" t="s">
        <v>712</v>
      </c>
      <c r="K982" s="594"/>
      <c r="L982" s="594"/>
      <c r="M982" s="352">
        <v>2000</v>
      </c>
      <c r="N982" s="352" t="s">
        <v>703</v>
      </c>
      <c r="O982" s="460">
        <v>2113</v>
      </c>
      <c r="P982" s="460" t="s">
        <v>1875</v>
      </c>
      <c r="Q982" s="460" t="s">
        <v>2280</v>
      </c>
      <c r="R982" s="460">
        <v>2113</v>
      </c>
      <c r="S982" s="460" t="s">
        <v>2333</v>
      </c>
      <c r="T982" s="462">
        <v>1</v>
      </c>
      <c r="U982" s="460" t="s">
        <v>2333</v>
      </c>
      <c r="V982" s="475">
        <v>0</v>
      </c>
      <c r="W982" s="463" t="s">
        <v>713</v>
      </c>
      <c r="X982" s="463" t="s">
        <v>713</v>
      </c>
      <c r="Y982" s="463" t="s">
        <v>713</v>
      </c>
      <c r="Z982" s="463"/>
      <c r="AA982" s="463"/>
      <c r="AB982" s="464">
        <v>2.1889426578033069</v>
      </c>
      <c r="AC982" s="465">
        <v>0.99783123617995972</v>
      </c>
      <c r="AD982" s="465">
        <v>1.6641372272772215E-5</v>
      </c>
      <c r="AE982" s="476">
        <v>2.1889426578033073</v>
      </c>
      <c r="AF982" s="467">
        <v>0.99783123617995984</v>
      </c>
      <c r="AG982" s="468">
        <v>1.6470893292807024E-5</v>
      </c>
      <c r="AH982" s="218">
        <v>2.1889426578033073</v>
      </c>
      <c r="AI982" s="470">
        <v>0.99783123617995984</v>
      </c>
      <c r="AJ982" s="471">
        <v>1.6523368450153885E-5</v>
      </c>
      <c r="AK982" s="218">
        <v>2.1889426578033073</v>
      </c>
      <c r="AL982" s="470">
        <v>0.99783123617995984</v>
      </c>
      <c r="AM982" s="471">
        <v>1.6523368450153885E-5</v>
      </c>
      <c r="AN982" s="477">
        <v>2.1889426578033073</v>
      </c>
      <c r="AO982" s="473">
        <v>0.99783123617995984</v>
      </c>
      <c r="AP982" s="474">
        <v>1.6528619307783839E-5</v>
      </c>
      <c r="AQ982" s="352"/>
      <c r="AR982" s="352"/>
      <c r="AS982" s="352"/>
      <c r="AT982" s="352"/>
      <c r="AU982" s="352"/>
      <c r="AV982" s="352"/>
      <c r="AW982" s="352" t="s">
        <v>254</v>
      </c>
    </row>
    <row r="983" spans="2:49" x14ac:dyDescent="0.2">
      <c r="B983" s="460" t="s">
        <v>2655</v>
      </c>
      <c r="C983" s="460">
        <v>2113</v>
      </c>
      <c r="D983" s="460" t="s">
        <v>2338</v>
      </c>
      <c r="E983" s="460" t="s">
        <v>2324</v>
      </c>
      <c r="F983" s="460">
        <v>1</v>
      </c>
      <c r="G983" s="460">
        <v>3</v>
      </c>
      <c r="H983" s="461" t="s">
        <v>746</v>
      </c>
      <c r="I983" s="461" t="s">
        <v>762</v>
      </c>
      <c r="J983" s="461" t="s">
        <v>700</v>
      </c>
      <c r="K983" s="594"/>
      <c r="L983" s="594"/>
      <c r="M983" s="352">
        <v>2000</v>
      </c>
      <c r="N983" s="352" t="s">
        <v>703</v>
      </c>
      <c r="O983" s="460">
        <v>2113</v>
      </c>
      <c r="P983" s="460" t="s">
        <v>1875</v>
      </c>
      <c r="Q983" s="460" t="s">
        <v>2289</v>
      </c>
      <c r="R983" s="460">
        <v>2113</v>
      </c>
      <c r="S983" s="460" t="s">
        <v>2324</v>
      </c>
      <c r="T983" s="462">
        <v>1</v>
      </c>
      <c r="U983" s="460" t="s">
        <v>2324</v>
      </c>
      <c r="V983" s="475">
        <v>0</v>
      </c>
      <c r="W983" s="463" t="s">
        <v>2268</v>
      </c>
      <c r="X983" s="463" t="s">
        <v>2268</v>
      </c>
      <c r="Y983" s="463" t="s">
        <v>2290</v>
      </c>
      <c r="Z983" s="463"/>
      <c r="AA983" s="463"/>
      <c r="AB983" s="464">
        <v>0</v>
      </c>
      <c r="AC983" s="465">
        <v>0</v>
      </c>
      <c r="AD983" s="465">
        <v>0</v>
      </c>
      <c r="AE983" s="476">
        <v>0</v>
      </c>
      <c r="AF983" s="467">
        <v>0</v>
      </c>
      <c r="AG983" s="468">
        <v>0</v>
      </c>
      <c r="AH983" s="218">
        <v>0</v>
      </c>
      <c r="AI983" s="470">
        <v>0</v>
      </c>
      <c r="AJ983" s="471">
        <v>0</v>
      </c>
      <c r="AK983" s="218">
        <v>0</v>
      </c>
      <c r="AL983" s="470">
        <v>0</v>
      </c>
      <c r="AM983" s="471">
        <v>0</v>
      </c>
      <c r="AN983" s="477">
        <v>0</v>
      </c>
      <c r="AO983" s="473">
        <v>0</v>
      </c>
      <c r="AP983" s="474">
        <v>0</v>
      </c>
      <c r="AQ983" s="352"/>
      <c r="AR983" s="352"/>
      <c r="AS983" s="352"/>
      <c r="AT983" s="352"/>
      <c r="AU983" s="352"/>
      <c r="AV983" s="352"/>
      <c r="AW983" s="352" t="s">
        <v>254</v>
      </c>
    </row>
    <row r="984" spans="2:49" x14ac:dyDescent="0.2">
      <c r="B984" s="460" t="s">
        <v>2656</v>
      </c>
      <c r="C984" s="460">
        <v>2113</v>
      </c>
      <c r="D984" s="460" t="s">
        <v>2339</v>
      </c>
      <c r="E984" s="460" t="s">
        <v>2327</v>
      </c>
      <c r="F984" s="460">
        <v>2</v>
      </c>
      <c r="G984" s="460">
        <v>3</v>
      </c>
      <c r="H984" s="461" t="s">
        <v>746</v>
      </c>
      <c r="I984" s="461" t="s">
        <v>762</v>
      </c>
      <c r="J984" s="461" t="s">
        <v>700</v>
      </c>
      <c r="K984" s="594"/>
      <c r="L984" s="594"/>
      <c r="M984" s="352">
        <v>2000</v>
      </c>
      <c r="N984" s="352" t="s">
        <v>703</v>
      </c>
      <c r="O984" s="460">
        <v>2113</v>
      </c>
      <c r="P984" s="460" t="s">
        <v>1875</v>
      </c>
      <c r="Q984" s="460" t="s">
        <v>2289</v>
      </c>
      <c r="R984" s="460">
        <v>2113</v>
      </c>
      <c r="S984" s="460" t="s">
        <v>2324</v>
      </c>
      <c r="T984" s="462">
        <v>1</v>
      </c>
      <c r="U984" s="460" t="s">
        <v>2327</v>
      </c>
      <c r="V984" s="475">
        <v>0</v>
      </c>
      <c r="W984" s="463" t="s">
        <v>2268</v>
      </c>
      <c r="X984" s="463" t="s">
        <v>2268</v>
      </c>
      <c r="Y984" s="463" t="s">
        <v>2290</v>
      </c>
      <c r="Z984" s="463"/>
      <c r="AA984" s="463"/>
      <c r="AB984" s="464">
        <v>0</v>
      </c>
      <c r="AC984" s="465">
        <v>0</v>
      </c>
      <c r="AD984" s="465">
        <v>0</v>
      </c>
      <c r="AE984" s="476">
        <v>0</v>
      </c>
      <c r="AF984" s="467">
        <v>0</v>
      </c>
      <c r="AG984" s="468">
        <v>0</v>
      </c>
      <c r="AH984" s="218">
        <v>0</v>
      </c>
      <c r="AI984" s="470">
        <v>0</v>
      </c>
      <c r="AJ984" s="471">
        <v>0</v>
      </c>
      <c r="AK984" s="218">
        <v>0</v>
      </c>
      <c r="AL984" s="470">
        <v>0</v>
      </c>
      <c r="AM984" s="471">
        <v>0</v>
      </c>
      <c r="AN984" s="477">
        <v>0</v>
      </c>
      <c r="AO984" s="473">
        <v>0</v>
      </c>
      <c r="AP984" s="474">
        <v>0</v>
      </c>
      <c r="AQ984" s="352"/>
      <c r="AR984" s="352"/>
      <c r="AS984" s="352"/>
      <c r="AT984" s="352"/>
      <c r="AU984" s="352"/>
      <c r="AV984" s="352"/>
      <c r="AW984" s="352" t="s">
        <v>254</v>
      </c>
    </row>
    <row r="985" spans="2:49" x14ac:dyDescent="0.2">
      <c r="B985" s="460" t="s">
        <v>2657</v>
      </c>
      <c r="C985" s="460">
        <v>2113</v>
      </c>
      <c r="D985" s="460" t="s">
        <v>2340</v>
      </c>
      <c r="E985" s="460" t="s">
        <v>2330</v>
      </c>
      <c r="F985" s="460">
        <v>3</v>
      </c>
      <c r="G985" s="460">
        <v>3</v>
      </c>
      <c r="H985" s="461" t="s">
        <v>746</v>
      </c>
      <c r="I985" s="461" t="s">
        <v>762</v>
      </c>
      <c r="J985" s="461" t="s">
        <v>700</v>
      </c>
      <c r="K985" s="594"/>
      <c r="L985" s="594"/>
      <c r="M985" s="352">
        <v>2000</v>
      </c>
      <c r="N985" s="352" t="s">
        <v>703</v>
      </c>
      <c r="O985" s="460">
        <v>2113</v>
      </c>
      <c r="P985" s="460" t="s">
        <v>1875</v>
      </c>
      <c r="Q985" s="460" t="s">
        <v>2289</v>
      </c>
      <c r="R985" s="460">
        <v>2113</v>
      </c>
      <c r="S985" s="460" t="s">
        <v>2324</v>
      </c>
      <c r="T985" s="462">
        <v>1</v>
      </c>
      <c r="U985" s="460" t="s">
        <v>2330</v>
      </c>
      <c r="V985" s="475">
        <v>0</v>
      </c>
      <c r="W985" s="463" t="s">
        <v>2268</v>
      </c>
      <c r="X985" s="463" t="s">
        <v>2268</v>
      </c>
      <c r="Y985" s="463" t="s">
        <v>2290</v>
      </c>
      <c r="Z985" s="463"/>
      <c r="AA985" s="463"/>
      <c r="AB985" s="464">
        <v>0</v>
      </c>
      <c r="AC985" s="465">
        <v>0</v>
      </c>
      <c r="AD985" s="465">
        <v>0</v>
      </c>
      <c r="AE985" s="476">
        <v>0</v>
      </c>
      <c r="AF985" s="467">
        <v>0</v>
      </c>
      <c r="AG985" s="468">
        <v>0</v>
      </c>
      <c r="AH985" s="218">
        <v>0</v>
      </c>
      <c r="AI985" s="470">
        <v>0</v>
      </c>
      <c r="AJ985" s="471">
        <v>0</v>
      </c>
      <c r="AK985" s="218">
        <v>0</v>
      </c>
      <c r="AL985" s="470">
        <v>0</v>
      </c>
      <c r="AM985" s="471">
        <v>0</v>
      </c>
      <c r="AN985" s="477">
        <v>0</v>
      </c>
      <c r="AO985" s="473">
        <v>0</v>
      </c>
      <c r="AP985" s="474">
        <v>0</v>
      </c>
      <c r="AQ985" s="352"/>
      <c r="AR985" s="352"/>
      <c r="AS985" s="352"/>
      <c r="AT985" s="352"/>
      <c r="AU985" s="352"/>
      <c r="AV985" s="352"/>
      <c r="AW985" s="352" t="s">
        <v>254</v>
      </c>
    </row>
    <row r="986" spans="2:49" x14ac:dyDescent="0.2">
      <c r="B986" s="460" t="s">
        <v>2658</v>
      </c>
      <c r="C986" s="460">
        <v>2113</v>
      </c>
      <c r="D986" s="460" t="s">
        <v>2341</v>
      </c>
      <c r="E986" s="460" t="s">
        <v>2333</v>
      </c>
      <c r="F986" s="460">
        <v>4</v>
      </c>
      <c r="G986" s="460">
        <v>3</v>
      </c>
      <c r="H986" s="461" t="s">
        <v>746</v>
      </c>
      <c r="I986" s="461" t="s">
        <v>762</v>
      </c>
      <c r="J986" s="461" t="s">
        <v>700</v>
      </c>
      <c r="K986" s="594"/>
      <c r="L986" s="594"/>
      <c r="M986" s="352">
        <v>2000</v>
      </c>
      <c r="N986" s="352" t="s">
        <v>703</v>
      </c>
      <c r="O986" s="460">
        <v>2113</v>
      </c>
      <c r="P986" s="460" t="s">
        <v>1875</v>
      </c>
      <c r="Q986" s="460" t="s">
        <v>2289</v>
      </c>
      <c r="R986" s="460">
        <v>2113</v>
      </c>
      <c r="S986" s="460" t="s">
        <v>2333</v>
      </c>
      <c r="T986" s="462">
        <v>1</v>
      </c>
      <c r="U986" s="460" t="s">
        <v>2333</v>
      </c>
      <c r="V986" s="475">
        <v>0</v>
      </c>
      <c r="W986" s="463" t="s">
        <v>2268</v>
      </c>
      <c r="X986" s="463" t="s">
        <v>2268</v>
      </c>
      <c r="Y986" s="463" t="s">
        <v>2290</v>
      </c>
      <c r="Z986" s="463"/>
      <c r="AA986" s="463"/>
      <c r="AB986" s="464">
        <v>0</v>
      </c>
      <c r="AC986" s="465">
        <v>0</v>
      </c>
      <c r="AD986" s="465">
        <v>0</v>
      </c>
      <c r="AE986" s="476">
        <v>0</v>
      </c>
      <c r="AF986" s="467">
        <v>0</v>
      </c>
      <c r="AG986" s="468">
        <v>0</v>
      </c>
      <c r="AH986" s="218">
        <v>0</v>
      </c>
      <c r="AI986" s="470">
        <v>0</v>
      </c>
      <c r="AJ986" s="471">
        <v>0</v>
      </c>
      <c r="AK986" s="218">
        <v>0</v>
      </c>
      <c r="AL986" s="470">
        <v>0</v>
      </c>
      <c r="AM986" s="471">
        <v>0</v>
      </c>
      <c r="AN986" s="477">
        <v>0</v>
      </c>
      <c r="AO986" s="473">
        <v>0</v>
      </c>
      <c r="AP986" s="474">
        <v>0</v>
      </c>
      <c r="AQ986" s="352"/>
      <c r="AR986" s="352"/>
      <c r="AS986" s="352"/>
      <c r="AT986" s="352"/>
      <c r="AU986" s="352"/>
      <c r="AV986" s="352"/>
      <c r="AW986" s="352" t="s">
        <v>254</v>
      </c>
    </row>
    <row r="987" spans="2:49" x14ac:dyDescent="0.2">
      <c r="B987" s="460" t="s">
        <v>2655</v>
      </c>
      <c r="C987" s="460">
        <v>2113</v>
      </c>
      <c r="D987" s="460" t="s">
        <v>2342</v>
      </c>
      <c r="E987" s="460" t="s">
        <v>2324</v>
      </c>
      <c r="F987" s="460">
        <v>1</v>
      </c>
      <c r="G987" s="460">
        <v>3</v>
      </c>
      <c r="H987" s="461" t="s">
        <v>748</v>
      </c>
      <c r="I987" s="461" t="s">
        <v>765</v>
      </c>
      <c r="J987" s="461" t="s">
        <v>700</v>
      </c>
      <c r="K987" s="594"/>
      <c r="L987" s="594"/>
      <c r="M987" s="352">
        <v>2000</v>
      </c>
      <c r="N987" s="352" t="s">
        <v>703</v>
      </c>
      <c r="O987" s="460">
        <v>2113</v>
      </c>
      <c r="P987" s="460" t="s">
        <v>1875</v>
      </c>
      <c r="Q987" s="460" t="s">
        <v>2266</v>
      </c>
      <c r="R987" s="460">
        <v>2113</v>
      </c>
      <c r="S987" s="460" t="s">
        <v>2324</v>
      </c>
      <c r="T987" s="462">
        <v>1</v>
      </c>
      <c r="U987" s="460" t="s">
        <v>2324</v>
      </c>
      <c r="V987" s="475">
        <v>0</v>
      </c>
      <c r="W987" s="463" t="s">
        <v>2268</v>
      </c>
      <c r="X987" s="463" t="s">
        <v>2268</v>
      </c>
      <c r="Y987" s="463" t="s">
        <v>2267</v>
      </c>
      <c r="Z987" s="463"/>
      <c r="AA987" s="463"/>
      <c r="AB987" s="464">
        <v>0</v>
      </c>
      <c r="AC987" s="465">
        <v>0</v>
      </c>
      <c r="AD987" s="465">
        <v>0</v>
      </c>
      <c r="AE987" s="476">
        <v>0</v>
      </c>
      <c r="AF987" s="467">
        <v>0</v>
      </c>
      <c r="AG987" s="468">
        <v>0</v>
      </c>
      <c r="AH987" s="218">
        <v>0</v>
      </c>
      <c r="AI987" s="470">
        <v>0</v>
      </c>
      <c r="AJ987" s="471">
        <v>0</v>
      </c>
      <c r="AK987" s="218">
        <v>0</v>
      </c>
      <c r="AL987" s="470">
        <v>0</v>
      </c>
      <c r="AM987" s="471">
        <v>0</v>
      </c>
      <c r="AN987" s="477">
        <v>2.9327087756461037</v>
      </c>
      <c r="AO987" s="473">
        <v>0.21320767442135666</v>
      </c>
      <c r="AP987" s="474">
        <v>1.5265281534586686E-4</v>
      </c>
      <c r="AQ987" s="352"/>
      <c r="AR987" s="352"/>
      <c r="AS987" s="352"/>
      <c r="AT987" s="352"/>
      <c r="AU987" s="352"/>
      <c r="AV987" s="352"/>
      <c r="AW987" s="352" t="s">
        <v>254</v>
      </c>
    </row>
    <row r="988" spans="2:49" x14ac:dyDescent="0.2">
      <c r="B988" s="460" t="s">
        <v>2656</v>
      </c>
      <c r="C988" s="460">
        <v>2113</v>
      </c>
      <c r="D988" s="460" t="s">
        <v>2343</v>
      </c>
      <c r="E988" s="460" t="s">
        <v>2327</v>
      </c>
      <c r="F988" s="460">
        <v>2</v>
      </c>
      <c r="G988" s="460">
        <v>3</v>
      </c>
      <c r="H988" s="461" t="s">
        <v>748</v>
      </c>
      <c r="I988" s="461" t="s">
        <v>765</v>
      </c>
      <c r="J988" s="461" t="s">
        <v>700</v>
      </c>
      <c r="K988" s="594"/>
      <c r="L988" s="594"/>
      <c r="M988" s="352">
        <v>2000</v>
      </c>
      <c r="N988" s="352" t="s">
        <v>703</v>
      </c>
      <c r="O988" s="460">
        <v>2113</v>
      </c>
      <c r="P988" s="460" t="s">
        <v>1875</v>
      </c>
      <c r="Q988" s="460" t="s">
        <v>2266</v>
      </c>
      <c r="R988" s="460">
        <v>2113</v>
      </c>
      <c r="S988" s="460" t="s">
        <v>2324</v>
      </c>
      <c r="T988" s="462">
        <v>1</v>
      </c>
      <c r="U988" s="460" t="s">
        <v>2327</v>
      </c>
      <c r="V988" s="475">
        <v>0</v>
      </c>
      <c r="W988" s="463" t="s">
        <v>2268</v>
      </c>
      <c r="X988" s="463" t="s">
        <v>2268</v>
      </c>
      <c r="Y988" s="463" t="s">
        <v>2267</v>
      </c>
      <c r="Z988" s="463"/>
      <c r="AA988" s="463"/>
      <c r="AB988" s="464">
        <v>0</v>
      </c>
      <c r="AC988" s="465">
        <v>0</v>
      </c>
      <c r="AD988" s="465">
        <v>0</v>
      </c>
      <c r="AE988" s="476">
        <v>0</v>
      </c>
      <c r="AF988" s="467">
        <v>0</v>
      </c>
      <c r="AG988" s="468">
        <v>0</v>
      </c>
      <c r="AH988" s="218">
        <v>0</v>
      </c>
      <c r="AI988" s="470">
        <v>0</v>
      </c>
      <c r="AJ988" s="471">
        <v>0</v>
      </c>
      <c r="AK988" s="218">
        <v>0</v>
      </c>
      <c r="AL988" s="470">
        <v>0</v>
      </c>
      <c r="AM988" s="471">
        <v>0</v>
      </c>
      <c r="AN988" s="477">
        <v>1.8342479755266865</v>
      </c>
      <c r="AO988" s="473">
        <v>0.21320767442135666</v>
      </c>
      <c r="AP988" s="474">
        <v>1.6305274532845714E-4</v>
      </c>
      <c r="AQ988" s="352"/>
      <c r="AR988" s="352"/>
      <c r="AS988" s="352"/>
      <c r="AT988" s="352"/>
      <c r="AU988" s="352"/>
      <c r="AV988" s="352"/>
      <c r="AW988" s="352" t="s">
        <v>254</v>
      </c>
    </row>
    <row r="989" spans="2:49" x14ac:dyDescent="0.2">
      <c r="B989" s="460" t="s">
        <v>2657</v>
      </c>
      <c r="C989" s="460">
        <v>2113</v>
      </c>
      <c r="D989" s="460" t="s">
        <v>2344</v>
      </c>
      <c r="E989" s="460" t="s">
        <v>2330</v>
      </c>
      <c r="F989" s="460">
        <v>3</v>
      </c>
      <c r="G989" s="460">
        <v>3</v>
      </c>
      <c r="H989" s="461" t="s">
        <v>748</v>
      </c>
      <c r="I989" s="461" t="s">
        <v>765</v>
      </c>
      <c r="J989" s="461" t="s">
        <v>700</v>
      </c>
      <c r="K989" s="594"/>
      <c r="L989" s="594"/>
      <c r="M989" s="352">
        <v>2000</v>
      </c>
      <c r="N989" s="352" t="s">
        <v>703</v>
      </c>
      <c r="O989" s="460">
        <v>2113</v>
      </c>
      <c r="P989" s="460" t="s">
        <v>1875</v>
      </c>
      <c r="Q989" s="460" t="s">
        <v>2266</v>
      </c>
      <c r="R989" s="460">
        <v>2113</v>
      </c>
      <c r="S989" s="460" t="s">
        <v>2324</v>
      </c>
      <c r="T989" s="462">
        <v>1</v>
      </c>
      <c r="U989" s="460" t="s">
        <v>2330</v>
      </c>
      <c r="V989" s="475">
        <v>0</v>
      </c>
      <c r="W989" s="463" t="s">
        <v>2268</v>
      </c>
      <c r="X989" s="463" t="s">
        <v>2268</v>
      </c>
      <c r="Y989" s="463" t="s">
        <v>2267</v>
      </c>
      <c r="Z989" s="463"/>
      <c r="AA989" s="463"/>
      <c r="AB989" s="464">
        <v>0</v>
      </c>
      <c r="AC989" s="465">
        <v>0</v>
      </c>
      <c r="AD989" s="465">
        <v>0</v>
      </c>
      <c r="AE989" s="476">
        <v>0</v>
      </c>
      <c r="AF989" s="467">
        <v>0</v>
      </c>
      <c r="AG989" s="468">
        <v>0</v>
      </c>
      <c r="AH989" s="218">
        <v>0</v>
      </c>
      <c r="AI989" s="470">
        <v>0</v>
      </c>
      <c r="AJ989" s="471">
        <v>0</v>
      </c>
      <c r="AK989" s="218">
        <v>0</v>
      </c>
      <c r="AL989" s="470">
        <v>0</v>
      </c>
      <c r="AM989" s="471">
        <v>0</v>
      </c>
      <c r="AN989" s="477">
        <v>0.45058005200852336</v>
      </c>
      <c r="AO989" s="473">
        <v>0.21320767442135666</v>
      </c>
      <c r="AP989" s="474">
        <v>1.2282033536862457E-4</v>
      </c>
      <c r="AQ989" s="352"/>
      <c r="AR989" s="352"/>
      <c r="AS989" s="352"/>
      <c r="AT989" s="352"/>
      <c r="AU989" s="352"/>
      <c r="AV989" s="352"/>
      <c r="AW989" s="352" t="s">
        <v>254</v>
      </c>
    </row>
    <row r="990" spans="2:49" x14ac:dyDescent="0.2">
      <c r="B990" s="460" t="s">
        <v>2658</v>
      </c>
      <c r="C990" s="460">
        <v>2113</v>
      </c>
      <c r="D990" s="460" t="s">
        <v>2345</v>
      </c>
      <c r="E990" s="460" t="s">
        <v>2333</v>
      </c>
      <c r="F990" s="460">
        <v>4</v>
      </c>
      <c r="G990" s="460">
        <v>3</v>
      </c>
      <c r="H990" s="461" t="s">
        <v>748</v>
      </c>
      <c r="I990" s="461" t="s">
        <v>765</v>
      </c>
      <c r="J990" s="461" t="s">
        <v>700</v>
      </c>
      <c r="K990" s="594"/>
      <c r="L990" s="594"/>
      <c r="M990" s="352">
        <v>2000</v>
      </c>
      <c r="N990" s="352" t="s">
        <v>703</v>
      </c>
      <c r="O990" s="460">
        <v>2113</v>
      </c>
      <c r="P990" s="460" t="s">
        <v>1875</v>
      </c>
      <c r="Q990" s="460" t="s">
        <v>2266</v>
      </c>
      <c r="R990" s="460">
        <v>2113</v>
      </c>
      <c r="S990" s="460" t="s">
        <v>2333</v>
      </c>
      <c r="T990" s="462">
        <v>1</v>
      </c>
      <c r="U990" s="460" t="s">
        <v>2333</v>
      </c>
      <c r="V990" s="475">
        <v>0</v>
      </c>
      <c r="W990" s="463" t="s">
        <v>2268</v>
      </c>
      <c r="X990" s="463" t="s">
        <v>2268</v>
      </c>
      <c r="Y990" s="463" t="s">
        <v>2278</v>
      </c>
      <c r="Z990" s="463"/>
      <c r="AA990" s="463"/>
      <c r="AB990" s="464">
        <v>0</v>
      </c>
      <c r="AC990" s="465">
        <v>0</v>
      </c>
      <c r="AD990" s="465">
        <v>0</v>
      </c>
      <c r="AE990" s="476">
        <v>0</v>
      </c>
      <c r="AF990" s="467">
        <v>0</v>
      </c>
      <c r="AG990" s="468">
        <v>0</v>
      </c>
      <c r="AH990" s="218">
        <v>0</v>
      </c>
      <c r="AI990" s="470">
        <v>0</v>
      </c>
      <c r="AJ990" s="471">
        <v>0</v>
      </c>
      <c r="AK990" s="218">
        <v>0</v>
      </c>
      <c r="AL990" s="470">
        <v>0</v>
      </c>
      <c r="AM990" s="471">
        <v>0</v>
      </c>
      <c r="AN990" s="477">
        <v>4.7576177897184031E-3</v>
      </c>
      <c r="AO990" s="473">
        <v>2.1687638200402152E-3</v>
      </c>
      <c r="AP990" s="474">
        <v>2.9626853254241903E-6</v>
      </c>
      <c r="AQ990" s="352"/>
      <c r="AR990" s="352"/>
      <c r="AS990" s="352"/>
      <c r="AT990" s="352"/>
      <c r="AU990" s="352"/>
      <c r="AV990" s="352"/>
      <c r="AW990" s="352" t="s">
        <v>254</v>
      </c>
    </row>
    <row r="991" spans="2:49" x14ac:dyDescent="0.2">
      <c r="B991" s="460" t="s">
        <v>2655</v>
      </c>
      <c r="C991" s="460">
        <v>2113</v>
      </c>
      <c r="D991" s="460" t="s">
        <v>2346</v>
      </c>
      <c r="E991" s="460" t="s">
        <v>2324</v>
      </c>
      <c r="F991" s="460">
        <v>1</v>
      </c>
      <c r="G991" s="460">
        <v>3</v>
      </c>
      <c r="H991" s="461" t="s">
        <v>752</v>
      </c>
      <c r="I991" s="461" t="s">
        <v>964</v>
      </c>
      <c r="J991" s="461" t="s">
        <v>752</v>
      </c>
      <c r="K991" s="594"/>
      <c r="L991" s="594"/>
      <c r="M991" s="352">
        <v>2000</v>
      </c>
      <c r="N991" s="352" t="s">
        <v>703</v>
      </c>
      <c r="O991" s="460">
        <v>2113</v>
      </c>
      <c r="P991" s="460" t="s">
        <v>1875</v>
      </c>
      <c r="Q991" s="460" t="s">
        <v>2266</v>
      </c>
      <c r="R991" s="460">
        <v>2113</v>
      </c>
      <c r="S991" s="460" t="s">
        <v>2324</v>
      </c>
      <c r="T991" s="462">
        <v>1</v>
      </c>
      <c r="U991" s="460" t="s">
        <v>2324</v>
      </c>
      <c r="V991" s="475">
        <v>0</v>
      </c>
      <c r="W991" s="463" t="s">
        <v>2278</v>
      </c>
      <c r="X991" s="463" t="s">
        <v>2278</v>
      </c>
      <c r="Y991" s="463" t="s">
        <v>2278</v>
      </c>
      <c r="Z991" s="463"/>
      <c r="AA991" s="463"/>
      <c r="AB991" s="464">
        <v>0</v>
      </c>
      <c r="AC991" s="465">
        <v>0</v>
      </c>
      <c r="AD991" s="465">
        <v>0</v>
      </c>
      <c r="AE991" s="476">
        <v>0</v>
      </c>
      <c r="AF991" s="467">
        <v>0</v>
      </c>
      <c r="AG991" s="468">
        <v>0</v>
      </c>
      <c r="AH991" s="218">
        <v>0</v>
      </c>
      <c r="AI991" s="470">
        <v>0</v>
      </c>
      <c r="AJ991" s="471">
        <v>0</v>
      </c>
      <c r="AK991" s="218">
        <v>0</v>
      </c>
      <c r="AL991" s="470">
        <v>0</v>
      </c>
      <c r="AM991" s="471">
        <v>0</v>
      </c>
      <c r="AN991" s="477">
        <v>0</v>
      </c>
      <c r="AO991" s="473">
        <v>0</v>
      </c>
      <c r="AP991" s="474">
        <v>0</v>
      </c>
      <c r="AQ991" s="352"/>
      <c r="AR991" s="352"/>
      <c r="AS991" s="352"/>
      <c r="AT991" s="352"/>
      <c r="AU991" s="352"/>
      <c r="AV991" s="352"/>
      <c r="AW991" s="352" t="s">
        <v>254</v>
      </c>
    </row>
    <row r="992" spans="2:49" x14ac:dyDescent="0.2">
      <c r="B992" s="460" t="s">
        <v>2656</v>
      </c>
      <c r="C992" s="460">
        <v>2113</v>
      </c>
      <c r="D992" s="460" t="s">
        <v>2347</v>
      </c>
      <c r="E992" s="460" t="s">
        <v>2327</v>
      </c>
      <c r="F992" s="460">
        <v>2</v>
      </c>
      <c r="G992" s="460">
        <v>3</v>
      </c>
      <c r="H992" s="461" t="s">
        <v>752</v>
      </c>
      <c r="I992" s="461" t="s">
        <v>964</v>
      </c>
      <c r="J992" s="461" t="s">
        <v>752</v>
      </c>
      <c r="K992" s="594"/>
      <c r="L992" s="594"/>
      <c r="M992" s="352">
        <v>2000</v>
      </c>
      <c r="N992" s="352" t="s">
        <v>703</v>
      </c>
      <c r="O992" s="460">
        <v>2113</v>
      </c>
      <c r="P992" s="460" t="s">
        <v>1875</v>
      </c>
      <c r="Q992" s="460" t="s">
        <v>2266</v>
      </c>
      <c r="R992" s="460">
        <v>2113</v>
      </c>
      <c r="S992" s="460" t="s">
        <v>2324</v>
      </c>
      <c r="T992" s="462">
        <v>1</v>
      </c>
      <c r="U992" s="460" t="s">
        <v>2327</v>
      </c>
      <c r="V992" s="475">
        <v>0</v>
      </c>
      <c r="W992" s="463" t="s">
        <v>2278</v>
      </c>
      <c r="X992" s="463" t="s">
        <v>2278</v>
      </c>
      <c r="Y992" s="463" t="s">
        <v>2278</v>
      </c>
      <c r="Z992" s="463"/>
      <c r="AA992" s="463"/>
      <c r="AB992" s="464">
        <v>0</v>
      </c>
      <c r="AC992" s="465">
        <v>0</v>
      </c>
      <c r="AD992" s="465">
        <v>0</v>
      </c>
      <c r="AE992" s="476">
        <v>0</v>
      </c>
      <c r="AF992" s="467">
        <v>0</v>
      </c>
      <c r="AG992" s="468">
        <v>0</v>
      </c>
      <c r="AH992" s="218">
        <v>0</v>
      </c>
      <c r="AI992" s="470">
        <v>0</v>
      </c>
      <c r="AJ992" s="471">
        <v>0</v>
      </c>
      <c r="AK992" s="218">
        <v>0</v>
      </c>
      <c r="AL992" s="470">
        <v>0</v>
      </c>
      <c r="AM992" s="471">
        <v>0</v>
      </c>
      <c r="AN992" s="477">
        <v>0</v>
      </c>
      <c r="AO992" s="473">
        <v>0</v>
      </c>
      <c r="AP992" s="474">
        <v>0</v>
      </c>
      <c r="AQ992" s="352"/>
      <c r="AR992" s="352"/>
      <c r="AS992" s="352"/>
      <c r="AT992" s="352"/>
      <c r="AU992" s="352"/>
      <c r="AV992" s="352"/>
      <c r="AW992" s="352" t="s">
        <v>254</v>
      </c>
    </row>
    <row r="993" spans="2:49" x14ac:dyDescent="0.2">
      <c r="B993" s="460" t="s">
        <v>2657</v>
      </c>
      <c r="C993" s="460">
        <v>2113</v>
      </c>
      <c r="D993" s="460" t="s">
        <v>2348</v>
      </c>
      <c r="E993" s="460" t="s">
        <v>2330</v>
      </c>
      <c r="F993" s="460">
        <v>3</v>
      </c>
      <c r="G993" s="460">
        <v>3</v>
      </c>
      <c r="H993" s="461" t="s">
        <v>752</v>
      </c>
      <c r="I993" s="461" t="s">
        <v>964</v>
      </c>
      <c r="J993" s="461" t="s">
        <v>752</v>
      </c>
      <c r="K993" s="594"/>
      <c r="L993" s="594"/>
      <c r="M993" s="352">
        <v>2000</v>
      </c>
      <c r="N993" s="352" t="s">
        <v>703</v>
      </c>
      <c r="O993" s="460">
        <v>2113</v>
      </c>
      <c r="P993" s="460" t="s">
        <v>1875</v>
      </c>
      <c r="Q993" s="460" t="s">
        <v>2266</v>
      </c>
      <c r="R993" s="460">
        <v>2113</v>
      </c>
      <c r="S993" s="460" t="s">
        <v>2324</v>
      </c>
      <c r="T993" s="462">
        <v>1</v>
      </c>
      <c r="U993" s="460" t="s">
        <v>2330</v>
      </c>
      <c r="V993" s="475">
        <v>0</v>
      </c>
      <c r="W993" s="463" t="s">
        <v>2278</v>
      </c>
      <c r="X993" s="463" t="s">
        <v>2278</v>
      </c>
      <c r="Y993" s="463" t="s">
        <v>2278</v>
      </c>
      <c r="Z993" s="463"/>
      <c r="AA993" s="463"/>
      <c r="AB993" s="464">
        <v>0</v>
      </c>
      <c r="AC993" s="465">
        <v>0</v>
      </c>
      <c r="AD993" s="465">
        <v>0</v>
      </c>
      <c r="AE993" s="476">
        <v>0</v>
      </c>
      <c r="AF993" s="467">
        <v>0</v>
      </c>
      <c r="AG993" s="468">
        <v>0</v>
      </c>
      <c r="AH993" s="218">
        <v>0</v>
      </c>
      <c r="AI993" s="470">
        <v>0</v>
      </c>
      <c r="AJ993" s="471">
        <v>0</v>
      </c>
      <c r="AK993" s="218">
        <v>0</v>
      </c>
      <c r="AL993" s="470">
        <v>0</v>
      </c>
      <c r="AM993" s="471">
        <v>0</v>
      </c>
      <c r="AN993" s="477">
        <v>0</v>
      </c>
      <c r="AO993" s="473">
        <v>0</v>
      </c>
      <c r="AP993" s="474">
        <v>0</v>
      </c>
      <c r="AQ993" s="352"/>
      <c r="AR993" s="352"/>
      <c r="AS993" s="352"/>
      <c r="AT993" s="352"/>
      <c r="AU993" s="352"/>
      <c r="AV993" s="352"/>
      <c r="AW993" s="352" t="s">
        <v>254</v>
      </c>
    </row>
    <row r="994" spans="2:49" x14ac:dyDescent="0.2">
      <c r="B994" s="460" t="s">
        <v>2658</v>
      </c>
      <c r="C994" s="460">
        <v>2113</v>
      </c>
      <c r="D994" s="460" t="s">
        <v>2349</v>
      </c>
      <c r="E994" s="460" t="s">
        <v>2333</v>
      </c>
      <c r="F994" s="460">
        <v>4</v>
      </c>
      <c r="G994" s="460">
        <v>3</v>
      </c>
      <c r="H994" s="461" t="s">
        <v>752</v>
      </c>
      <c r="I994" s="461" t="s">
        <v>964</v>
      </c>
      <c r="J994" s="461" t="s">
        <v>752</v>
      </c>
      <c r="K994" s="594"/>
      <c r="L994" s="594"/>
      <c r="M994" s="352">
        <v>2000</v>
      </c>
      <c r="N994" s="352" t="s">
        <v>703</v>
      </c>
      <c r="O994" s="460">
        <v>2113</v>
      </c>
      <c r="P994" s="460" t="s">
        <v>1875</v>
      </c>
      <c r="Q994" s="460" t="s">
        <v>2266</v>
      </c>
      <c r="R994" s="460">
        <v>2113</v>
      </c>
      <c r="S994" s="460" t="s">
        <v>2333</v>
      </c>
      <c r="T994" s="462">
        <v>1</v>
      </c>
      <c r="U994" s="460" t="s">
        <v>2333</v>
      </c>
      <c r="V994" s="475">
        <v>0</v>
      </c>
      <c r="W994" s="463" t="s">
        <v>2278</v>
      </c>
      <c r="X994" s="463" t="s">
        <v>2278</v>
      </c>
      <c r="Y994" s="463" t="s">
        <v>2278</v>
      </c>
      <c r="Z994" s="463"/>
      <c r="AA994" s="463"/>
      <c r="AB994" s="464">
        <v>0</v>
      </c>
      <c r="AC994" s="465">
        <v>0</v>
      </c>
      <c r="AD994" s="465">
        <v>0</v>
      </c>
      <c r="AE994" s="476">
        <v>0</v>
      </c>
      <c r="AF994" s="467">
        <v>0</v>
      </c>
      <c r="AG994" s="468">
        <v>0</v>
      </c>
      <c r="AH994" s="218">
        <v>0</v>
      </c>
      <c r="AI994" s="470">
        <v>0</v>
      </c>
      <c r="AJ994" s="471">
        <v>0</v>
      </c>
      <c r="AK994" s="218">
        <v>0</v>
      </c>
      <c r="AL994" s="470">
        <v>0</v>
      </c>
      <c r="AM994" s="471">
        <v>0</v>
      </c>
      <c r="AN994" s="477">
        <v>0</v>
      </c>
      <c r="AO994" s="473">
        <v>0</v>
      </c>
      <c r="AP994" s="474">
        <v>0</v>
      </c>
      <c r="AQ994" s="352"/>
      <c r="AR994" s="352"/>
      <c r="AS994" s="352"/>
      <c r="AT994" s="352"/>
      <c r="AU994" s="352"/>
      <c r="AV994" s="352"/>
      <c r="AW994" s="352" t="s">
        <v>254</v>
      </c>
    </row>
    <row r="995" spans="2:49" x14ac:dyDescent="0.2">
      <c r="B995" s="460" t="s">
        <v>2659</v>
      </c>
      <c r="C995" s="460">
        <v>2113</v>
      </c>
      <c r="D995" s="460" t="s">
        <v>2351</v>
      </c>
      <c r="E995" s="460" t="s">
        <v>1136</v>
      </c>
      <c r="F995" s="460">
        <v>1</v>
      </c>
      <c r="G995" s="460">
        <v>4</v>
      </c>
      <c r="H995" s="461" t="s">
        <v>700</v>
      </c>
      <c r="I995" s="461" t="s">
        <v>872</v>
      </c>
      <c r="J995" s="461" t="s">
        <v>700</v>
      </c>
      <c r="K995" s="594"/>
      <c r="L995" s="594"/>
      <c r="M995" s="352">
        <v>2000</v>
      </c>
      <c r="N995" s="352" t="s">
        <v>703</v>
      </c>
      <c r="O995" s="460">
        <v>2113</v>
      </c>
      <c r="P995" s="460" t="s">
        <v>1875</v>
      </c>
      <c r="Q995" s="460" t="s">
        <v>2266</v>
      </c>
      <c r="R995" s="460">
        <v>2113</v>
      </c>
      <c r="S995" s="460" t="s">
        <v>1136</v>
      </c>
      <c r="T995" s="462">
        <v>1</v>
      </c>
      <c r="U995" s="460" t="s">
        <v>1136</v>
      </c>
      <c r="V995" s="475">
        <v>0</v>
      </c>
      <c r="W995" s="463" t="s">
        <v>2267</v>
      </c>
      <c r="X995" s="463" t="s">
        <v>2267</v>
      </c>
      <c r="Y995" s="463" t="s">
        <v>2268</v>
      </c>
      <c r="Z995" s="463"/>
      <c r="AA995" s="463"/>
      <c r="AB995" s="464">
        <v>6.697147209825835E-2</v>
      </c>
      <c r="AC995" s="465">
        <v>0.10397087744537047</v>
      </c>
      <c r="AD995" s="465">
        <v>1.9054785043273037E-4</v>
      </c>
      <c r="AE995" s="476">
        <v>6.697147209825835E-2</v>
      </c>
      <c r="AF995" s="467">
        <v>0.10397087744537047</v>
      </c>
      <c r="AG995" s="468">
        <v>2.0713724464312721E-4</v>
      </c>
      <c r="AH995" s="218">
        <v>6.697147209825835E-2</v>
      </c>
      <c r="AI995" s="470">
        <v>0.10397087744537047</v>
      </c>
      <c r="AJ995" s="471">
        <v>5.2302477799561419E-5</v>
      </c>
      <c r="AK995" s="218">
        <v>6.697147209825835E-2</v>
      </c>
      <c r="AL995" s="470">
        <v>0.10397087744537047</v>
      </c>
      <c r="AM995" s="471">
        <v>5.2302477799561419E-5</v>
      </c>
      <c r="AN995" s="477">
        <v>0</v>
      </c>
      <c r="AO995" s="473">
        <v>0</v>
      </c>
      <c r="AP995" s="474">
        <v>0</v>
      </c>
      <c r="AQ995" s="352"/>
      <c r="AR995" s="352"/>
      <c r="AS995" s="352"/>
      <c r="AT995" s="352"/>
      <c r="AU995" s="352"/>
      <c r="AV995" s="352"/>
      <c r="AW995" s="352" t="s">
        <v>254</v>
      </c>
    </row>
    <row r="996" spans="2:49" x14ac:dyDescent="0.2">
      <c r="B996" s="460" t="s">
        <v>2660</v>
      </c>
      <c r="C996" s="460">
        <v>2113</v>
      </c>
      <c r="D996" s="460" t="s">
        <v>2353</v>
      </c>
      <c r="E996" s="460" t="s">
        <v>1137</v>
      </c>
      <c r="F996" s="460">
        <v>2</v>
      </c>
      <c r="G996" s="460">
        <v>4</v>
      </c>
      <c r="H996" s="461" t="s">
        <v>700</v>
      </c>
      <c r="I996" s="461" t="s">
        <v>872</v>
      </c>
      <c r="J996" s="461" t="s">
        <v>700</v>
      </c>
      <c r="K996" s="594"/>
      <c r="L996" s="594"/>
      <c r="M996" s="352">
        <v>2000</v>
      </c>
      <c r="N996" s="352" t="s">
        <v>703</v>
      </c>
      <c r="O996" s="460">
        <v>2113</v>
      </c>
      <c r="P996" s="460" t="s">
        <v>1875</v>
      </c>
      <c r="Q996" s="460" t="s">
        <v>2266</v>
      </c>
      <c r="R996" s="460">
        <v>2113</v>
      </c>
      <c r="S996" s="460" t="s">
        <v>1137</v>
      </c>
      <c r="T996" s="462">
        <v>1</v>
      </c>
      <c r="U996" s="460" t="s">
        <v>1137</v>
      </c>
      <c r="V996" s="475">
        <v>0</v>
      </c>
      <c r="W996" s="463" t="s">
        <v>2267</v>
      </c>
      <c r="X996" s="463" t="s">
        <v>2267</v>
      </c>
      <c r="Y996" s="463" t="s">
        <v>2268</v>
      </c>
      <c r="Z996" s="463"/>
      <c r="AA996" s="463"/>
      <c r="AB996" s="464">
        <v>0.19529153145572428</v>
      </c>
      <c r="AC996" s="465">
        <v>0.16946623525930871</v>
      </c>
      <c r="AD996" s="465">
        <v>4.4099780886894405E-5</v>
      </c>
      <c r="AE996" s="476">
        <v>0.19529153145572428</v>
      </c>
      <c r="AF996" s="467">
        <v>0.16946623525930871</v>
      </c>
      <c r="AG996" s="468">
        <v>4.7510049441696475E-5</v>
      </c>
      <c r="AH996" s="218">
        <v>0.19529153145572428</v>
      </c>
      <c r="AI996" s="470">
        <v>0.16946623525930871</v>
      </c>
      <c r="AJ996" s="471">
        <v>4.0349071651752751E-5</v>
      </c>
      <c r="AK996" s="218">
        <v>0.19529153145572428</v>
      </c>
      <c r="AL996" s="470">
        <v>0.16946623525930871</v>
      </c>
      <c r="AM996" s="471">
        <v>4.0349071651752751E-5</v>
      </c>
      <c r="AN996" s="477">
        <v>0</v>
      </c>
      <c r="AO996" s="473">
        <v>0</v>
      </c>
      <c r="AP996" s="474">
        <v>0</v>
      </c>
      <c r="AQ996" s="352"/>
      <c r="AR996" s="352"/>
      <c r="AS996" s="352"/>
      <c r="AT996" s="352"/>
      <c r="AU996" s="352"/>
      <c r="AV996" s="352"/>
      <c r="AW996" s="352" t="s">
        <v>254</v>
      </c>
    </row>
    <row r="997" spans="2:49" x14ac:dyDescent="0.2">
      <c r="B997" s="460" t="s">
        <v>2661</v>
      </c>
      <c r="C997" s="460">
        <v>2113</v>
      </c>
      <c r="D997" s="460" t="s">
        <v>2355</v>
      </c>
      <c r="E997" s="460" t="s">
        <v>1138</v>
      </c>
      <c r="F997" s="460">
        <v>3</v>
      </c>
      <c r="G997" s="460">
        <v>4</v>
      </c>
      <c r="H997" s="461" t="s">
        <v>700</v>
      </c>
      <c r="I997" s="461" t="s">
        <v>872</v>
      </c>
      <c r="J997" s="461" t="s">
        <v>700</v>
      </c>
      <c r="K997" s="594"/>
      <c r="L997" s="594"/>
      <c r="M997" s="352">
        <v>2000</v>
      </c>
      <c r="N997" s="352" t="s">
        <v>703</v>
      </c>
      <c r="O997" s="460">
        <v>2113</v>
      </c>
      <c r="P997" s="460" t="s">
        <v>1875</v>
      </c>
      <c r="Q997" s="460" t="s">
        <v>2266</v>
      </c>
      <c r="R997" s="460">
        <v>2113</v>
      </c>
      <c r="S997" s="460" t="s">
        <v>1138</v>
      </c>
      <c r="T997" s="462">
        <v>1</v>
      </c>
      <c r="U997" s="460" t="s">
        <v>1138</v>
      </c>
      <c r="V997" s="475">
        <v>0</v>
      </c>
      <c r="W997" s="463" t="s">
        <v>2267</v>
      </c>
      <c r="X997" s="463" t="s">
        <v>2267</v>
      </c>
      <c r="Y997" s="463" t="s">
        <v>2268</v>
      </c>
      <c r="Z997" s="463"/>
      <c r="AA997" s="463"/>
      <c r="AB997" s="464">
        <v>0.15926087863425584</v>
      </c>
      <c r="AC997" s="465">
        <v>0.12399022656180794</v>
      </c>
      <c r="AD997" s="465">
        <v>6.6820793612491886E-5</v>
      </c>
      <c r="AE997" s="476">
        <v>0.15926087863425584</v>
      </c>
      <c r="AF997" s="467">
        <v>0.12399022656180794</v>
      </c>
      <c r="AG997" s="468">
        <v>7.2090596364142689E-5</v>
      </c>
      <c r="AH997" s="218">
        <v>0.15926087863425584</v>
      </c>
      <c r="AI997" s="470">
        <v>0.12399022656180794</v>
      </c>
      <c r="AJ997" s="471">
        <v>5.4882283854945158E-5</v>
      </c>
      <c r="AK997" s="218">
        <v>0.15926087863425584</v>
      </c>
      <c r="AL997" s="470">
        <v>0.12399022656180794</v>
      </c>
      <c r="AM997" s="471">
        <v>5.4882283854945158E-5</v>
      </c>
      <c r="AN997" s="477">
        <v>0</v>
      </c>
      <c r="AO997" s="473">
        <v>0</v>
      </c>
      <c r="AP997" s="474">
        <v>0</v>
      </c>
      <c r="AQ997" s="352"/>
      <c r="AR997" s="352"/>
      <c r="AS997" s="352"/>
      <c r="AT997" s="352"/>
      <c r="AU997" s="352"/>
      <c r="AV997" s="352"/>
      <c r="AW997" s="352" t="s">
        <v>254</v>
      </c>
    </row>
    <row r="998" spans="2:49" x14ac:dyDescent="0.2">
      <c r="B998" s="460" t="s">
        <v>2662</v>
      </c>
      <c r="C998" s="460">
        <v>2113</v>
      </c>
      <c r="D998" s="460" t="s">
        <v>2357</v>
      </c>
      <c r="E998" s="460" t="s">
        <v>1139</v>
      </c>
      <c r="F998" s="460">
        <v>4</v>
      </c>
      <c r="G998" s="460">
        <v>4</v>
      </c>
      <c r="H998" s="461" t="s">
        <v>700</v>
      </c>
      <c r="I998" s="461" t="s">
        <v>872</v>
      </c>
      <c r="J998" s="461" t="s">
        <v>700</v>
      </c>
      <c r="K998" s="594"/>
      <c r="L998" s="594"/>
      <c r="M998" s="352">
        <v>2000</v>
      </c>
      <c r="N998" s="352" t="s">
        <v>703</v>
      </c>
      <c r="O998" s="460">
        <v>2113</v>
      </c>
      <c r="P998" s="460" t="s">
        <v>1875</v>
      </c>
      <c r="Q998" s="460" t="s">
        <v>2266</v>
      </c>
      <c r="R998" s="460">
        <v>2113</v>
      </c>
      <c r="S998" s="460" t="s">
        <v>1139</v>
      </c>
      <c r="T998" s="462">
        <v>1</v>
      </c>
      <c r="U998" s="460" t="s">
        <v>1139</v>
      </c>
      <c r="V998" s="475">
        <v>0</v>
      </c>
      <c r="W998" s="463" t="s">
        <v>2267</v>
      </c>
      <c r="X998" s="463" t="s">
        <v>2267</v>
      </c>
      <c r="Y998" s="463" t="s">
        <v>2268</v>
      </c>
      <c r="Z998" s="463"/>
      <c r="AA998" s="463"/>
      <c r="AB998" s="464">
        <v>0</v>
      </c>
      <c r="AC998" s="465">
        <v>0</v>
      </c>
      <c r="AD998" s="465">
        <v>0</v>
      </c>
      <c r="AE998" s="476">
        <v>0</v>
      </c>
      <c r="AF998" s="467">
        <v>0</v>
      </c>
      <c r="AG998" s="468">
        <v>0</v>
      </c>
      <c r="AH998" s="218">
        <v>0</v>
      </c>
      <c r="AI998" s="470">
        <v>0</v>
      </c>
      <c r="AJ998" s="471">
        <v>0</v>
      </c>
      <c r="AK998" s="218">
        <v>0</v>
      </c>
      <c r="AL998" s="470">
        <v>0</v>
      </c>
      <c r="AM998" s="471">
        <v>0</v>
      </c>
      <c r="AN998" s="477">
        <v>0</v>
      </c>
      <c r="AO998" s="473">
        <v>0</v>
      </c>
      <c r="AP998" s="474">
        <v>0</v>
      </c>
      <c r="AQ998" s="352"/>
      <c r="AR998" s="352"/>
      <c r="AS998" s="352"/>
      <c r="AT998" s="352"/>
      <c r="AU998" s="352"/>
      <c r="AV998" s="352"/>
      <c r="AW998" s="352" t="s">
        <v>254</v>
      </c>
    </row>
    <row r="999" spans="2:49" x14ac:dyDescent="0.2">
      <c r="B999" s="460" t="s">
        <v>2659</v>
      </c>
      <c r="C999" s="460">
        <v>2113</v>
      </c>
      <c r="D999" s="460" t="s">
        <v>2358</v>
      </c>
      <c r="E999" s="460" t="s">
        <v>1136</v>
      </c>
      <c r="F999" s="460">
        <v>1</v>
      </c>
      <c r="G999" s="460">
        <v>4</v>
      </c>
      <c r="H999" s="461" t="s">
        <v>712</v>
      </c>
      <c r="I999" s="461" t="s">
        <v>713</v>
      </c>
      <c r="J999" s="461" t="s">
        <v>712</v>
      </c>
      <c r="K999" s="594"/>
      <c r="L999" s="594"/>
      <c r="M999" s="352">
        <v>2000</v>
      </c>
      <c r="N999" s="352" t="s">
        <v>703</v>
      </c>
      <c r="O999" s="460">
        <v>2113</v>
      </c>
      <c r="P999" s="460" t="s">
        <v>1875</v>
      </c>
      <c r="Q999" s="460" t="s">
        <v>2280</v>
      </c>
      <c r="R999" s="460">
        <v>2113</v>
      </c>
      <c r="S999" s="460" t="s">
        <v>1136</v>
      </c>
      <c r="T999" s="462">
        <v>1</v>
      </c>
      <c r="U999" s="460" t="s">
        <v>1136</v>
      </c>
      <c r="V999" s="475">
        <v>0</v>
      </c>
      <c r="W999" s="463" t="s">
        <v>713</v>
      </c>
      <c r="X999" s="463" t="s">
        <v>713</v>
      </c>
      <c r="Y999" s="463" t="s">
        <v>713</v>
      </c>
      <c r="Z999" s="463"/>
      <c r="AA999" s="463"/>
      <c r="AB999" s="464">
        <v>0.55054556493013884</v>
      </c>
      <c r="AC999" s="465">
        <v>0.85470281100379619</v>
      </c>
      <c r="AD999" s="465">
        <v>3.6282991992435565E-6</v>
      </c>
      <c r="AE999" s="476">
        <v>0.55054556493013884</v>
      </c>
      <c r="AF999" s="467">
        <v>0.85470281100379619</v>
      </c>
      <c r="AG999" s="468">
        <v>3.6276262373350528E-6</v>
      </c>
      <c r="AH999" s="218">
        <v>0.55054556493013884</v>
      </c>
      <c r="AI999" s="470">
        <v>0.85470281100379619</v>
      </c>
      <c r="AJ999" s="471">
        <v>3.6644946079544599E-6</v>
      </c>
      <c r="AK999" s="218">
        <v>0.55054556493013884</v>
      </c>
      <c r="AL999" s="470">
        <v>0.85470281100379619</v>
      </c>
      <c r="AM999" s="471">
        <v>3.6644946079544599E-6</v>
      </c>
      <c r="AN999" s="477">
        <v>0.55054556493013884</v>
      </c>
      <c r="AO999" s="473">
        <v>0.85470281100379619</v>
      </c>
      <c r="AP999" s="474">
        <v>3.6585319635052405E-6</v>
      </c>
      <c r="AQ999" s="352"/>
      <c r="AR999" s="352"/>
      <c r="AS999" s="352"/>
      <c r="AT999" s="352"/>
      <c r="AU999" s="352"/>
      <c r="AV999" s="352"/>
      <c r="AW999" s="352" t="s">
        <v>254</v>
      </c>
    </row>
    <row r="1000" spans="2:49" x14ac:dyDescent="0.2">
      <c r="B1000" s="460" t="s">
        <v>2660</v>
      </c>
      <c r="C1000" s="460">
        <v>2113</v>
      </c>
      <c r="D1000" s="460" t="s">
        <v>2359</v>
      </c>
      <c r="E1000" s="460" t="s">
        <v>1137</v>
      </c>
      <c r="F1000" s="460">
        <v>2</v>
      </c>
      <c r="G1000" s="460">
        <v>4</v>
      </c>
      <c r="H1000" s="461" t="s">
        <v>712</v>
      </c>
      <c r="I1000" s="461" t="s">
        <v>713</v>
      </c>
      <c r="J1000" s="461" t="s">
        <v>712</v>
      </c>
      <c r="K1000" s="594"/>
      <c r="L1000" s="594"/>
      <c r="M1000" s="352">
        <v>2000</v>
      </c>
      <c r="N1000" s="352" t="s">
        <v>703</v>
      </c>
      <c r="O1000" s="460">
        <v>2113</v>
      </c>
      <c r="P1000" s="460" t="s">
        <v>1875</v>
      </c>
      <c r="Q1000" s="460" t="s">
        <v>2280</v>
      </c>
      <c r="R1000" s="460">
        <v>2113</v>
      </c>
      <c r="S1000" s="460" t="s">
        <v>1137</v>
      </c>
      <c r="T1000" s="462">
        <v>1</v>
      </c>
      <c r="U1000" s="460" t="s">
        <v>1137</v>
      </c>
      <c r="V1000" s="475">
        <v>0</v>
      </c>
      <c r="W1000" s="463" t="s">
        <v>713</v>
      </c>
      <c r="X1000" s="463" t="s">
        <v>713</v>
      </c>
      <c r="Y1000" s="463" t="s">
        <v>713</v>
      </c>
      <c r="Z1000" s="463"/>
      <c r="AA1000" s="463"/>
      <c r="AB1000" s="464">
        <v>0.94589103272495378</v>
      </c>
      <c r="AC1000" s="465">
        <v>0.82080667342085589</v>
      </c>
      <c r="AD1000" s="465">
        <v>5.4702183236476789E-6</v>
      </c>
      <c r="AE1000" s="476">
        <v>0.94589103272495378</v>
      </c>
      <c r="AF1000" s="467">
        <v>0.82080667342085589</v>
      </c>
      <c r="AG1000" s="468">
        <v>5.4601809367717513E-6</v>
      </c>
      <c r="AH1000" s="218">
        <v>0.94589103272495378</v>
      </c>
      <c r="AI1000" s="470">
        <v>0.82080667342085589</v>
      </c>
      <c r="AJ1000" s="471">
        <v>5.486090693805424E-6</v>
      </c>
      <c r="AK1000" s="218">
        <v>0.94589103272495378</v>
      </c>
      <c r="AL1000" s="470">
        <v>0.82080667342085589</v>
      </c>
      <c r="AM1000" s="471">
        <v>5.486090693805424E-6</v>
      </c>
      <c r="AN1000" s="477">
        <v>0.94589103272495378</v>
      </c>
      <c r="AO1000" s="473">
        <v>0.82080667342085589</v>
      </c>
      <c r="AP1000" s="474">
        <v>5.4815638819868314E-6</v>
      </c>
      <c r="AQ1000" s="352"/>
      <c r="AR1000" s="352"/>
      <c r="AS1000" s="352"/>
      <c r="AT1000" s="352"/>
      <c r="AU1000" s="352"/>
      <c r="AV1000" s="352"/>
      <c r="AW1000" s="352" t="s">
        <v>254</v>
      </c>
    </row>
    <row r="1001" spans="2:49" x14ac:dyDescent="0.2">
      <c r="B1001" s="460" t="s">
        <v>2661</v>
      </c>
      <c r="C1001" s="460">
        <v>2113</v>
      </c>
      <c r="D1001" s="460" t="s">
        <v>2360</v>
      </c>
      <c r="E1001" s="460" t="s">
        <v>1138</v>
      </c>
      <c r="F1001" s="460">
        <v>3</v>
      </c>
      <c r="G1001" s="460">
        <v>4</v>
      </c>
      <c r="H1001" s="461" t="s">
        <v>712</v>
      </c>
      <c r="I1001" s="461" t="s">
        <v>713</v>
      </c>
      <c r="J1001" s="461" t="s">
        <v>712</v>
      </c>
      <c r="K1001" s="594"/>
      <c r="L1001" s="594"/>
      <c r="M1001" s="352">
        <v>2000</v>
      </c>
      <c r="N1001" s="352" t="s">
        <v>703</v>
      </c>
      <c r="O1001" s="460">
        <v>2113</v>
      </c>
      <c r="P1001" s="460" t="s">
        <v>1875</v>
      </c>
      <c r="Q1001" s="460" t="s">
        <v>2280</v>
      </c>
      <c r="R1001" s="460">
        <v>2113</v>
      </c>
      <c r="S1001" s="460" t="s">
        <v>1138</v>
      </c>
      <c r="T1001" s="462">
        <v>1</v>
      </c>
      <c r="U1001" s="460" t="s">
        <v>1138</v>
      </c>
      <c r="V1001" s="475">
        <v>0</v>
      </c>
      <c r="W1001" s="463" t="s">
        <v>713</v>
      </c>
      <c r="X1001" s="463" t="s">
        <v>713</v>
      </c>
      <c r="Y1001" s="463" t="s">
        <v>713</v>
      </c>
      <c r="Z1001" s="463"/>
      <c r="AA1001" s="463"/>
      <c r="AB1001" s="464">
        <v>1.0737176127518819</v>
      </c>
      <c r="AC1001" s="465">
        <v>0.83592713546585962</v>
      </c>
      <c r="AD1001" s="465">
        <v>1.3399509077553445E-5</v>
      </c>
      <c r="AE1001" s="476">
        <v>1.0737176127518817</v>
      </c>
      <c r="AF1001" s="467">
        <v>0.83592713546585951</v>
      </c>
      <c r="AG1001" s="468">
        <v>1.3370438231461491E-5</v>
      </c>
      <c r="AH1001" s="218">
        <v>1.0737176127518817</v>
      </c>
      <c r="AI1001" s="470">
        <v>0.83592713546585951</v>
      </c>
      <c r="AJ1001" s="471">
        <v>1.3527211603574133E-5</v>
      </c>
      <c r="AK1001" s="218">
        <v>1.0737176127518817</v>
      </c>
      <c r="AL1001" s="470">
        <v>0.83592713546585951</v>
      </c>
      <c r="AM1001" s="471">
        <v>1.3527211603574133E-5</v>
      </c>
      <c r="AN1001" s="477">
        <v>1.0737176127518817</v>
      </c>
      <c r="AO1001" s="473">
        <v>0.83592713546585951</v>
      </c>
      <c r="AP1001" s="474">
        <v>1.3526192137632099E-5</v>
      </c>
      <c r="AQ1001" s="352"/>
      <c r="AR1001" s="352"/>
      <c r="AS1001" s="352"/>
      <c r="AT1001" s="352"/>
      <c r="AU1001" s="352"/>
      <c r="AV1001" s="352"/>
      <c r="AW1001" s="352" t="s">
        <v>254</v>
      </c>
    </row>
    <row r="1002" spans="2:49" x14ac:dyDescent="0.2">
      <c r="B1002" s="460" t="s">
        <v>2662</v>
      </c>
      <c r="C1002" s="460">
        <v>2113</v>
      </c>
      <c r="D1002" s="460" t="s">
        <v>2361</v>
      </c>
      <c r="E1002" s="460" t="s">
        <v>1139</v>
      </c>
      <c r="F1002" s="460">
        <v>4</v>
      </c>
      <c r="G1002" s="460">
        <v>4</v>
      </c>
      <c r="H1002" s="461" t="s">
        <v>712</v>
      </c>
      <c r="I1002" s="461" t="s">
        <v>713</v>
      </c>
      <c r="J1002" s="461" t="s">
        <v>712</v>
      </c>
      <c r="K1002" s="594"/>
      <c r="L1002" s="594"/>
      <c r="M1002" s="352">
        <v>2000</v>
      </c>
      <c r="N1002" s="352" t="s">
        <v>703</v>
      </c>
      <c r="O1002" s="460">
        <v>2113</v>
      </c>
      <c r="P1002" s="460" t="s">
        <v>1875</v>
      </c>
      <c r="Q1002" s="460" t="s">
        <v>2280</v>
      </c>
      <c r="R1002" s="460">
        <v>2113</v>
      </c>
      <c r="S1002" s="460" t="s">
        <v>1139</v>
      </c>
      <c r="T1002" s="462">
        <v>1</v>
      </c>
      <c r="U1002" s="460" t="s">
        <v>1139</v>
      </c>
      <c r="V1002" s="475">
        <v>0</v>
      </c>
      <c r="W1002" s="463" t="s">
        <v>713</v>
      </c>
      <c r="X1002" s="463" t="s">
        <v>713</v>
      </c>
      <c r="Y1002" s="463" t="s">
        <v>713</v>
      </c>
      <c r="Z1002" s="463"/>
      <c r="AA1002" s="463"/>
      <c r="AB1002" s="464">
        <v>1.2044574840576097</v>
      </c>
      <c r="AC1002" s="465">
        <v>0.6260813986423539</v>
      </c>
      <c r="AD1002" s="465">
        <v>1.3336036711365306E-5</v>
      </c>
      <c r="AE1002" s="476">
        <v>1.2044574840576097</v>
      </c>
      <c r="AF1002" s="467">
        <v>0.6260813986423539</v>
      </c>
      <c r="AG1002" s="468">
        <v>1.3336036711365306E-5</v>
      </c>
      <c r="AH1002" s="218">
        <v>1.2044574840576097</v>
      </c>
      <c r="AI1002" s="470">
        <v>0.6260813986423539</v>
      </c>
      <c r="AJ1002" s="471">
        <v>1.3622866285105523E-5</v>
      </c>
      <c r="AK1002" s="218">
        <v>1.2044574840576097</v>
      </c>
      <c r="AL1002" s="470">
        <v>0.6260813986423539</v>
      </c>
      <c r="AM1002" s="471">
        <v>1.3622866285105523E-5</v>
      </c>
      <c r="AN1002" s="477">
        <v>1.2044574840576097</v>
      </c>
      <c r="AO1002" s="473">
        <v>0.6260813986423539</v>
      </c>
      <c r="AP1002" s="474">
        <v>1.3622866285105523E-5</v>
      </c>
      <c r="AQ1002" s="352"/>
      <c r="AR1002" s="352"/>
      <c r="AS1002" s="352"/>
      <c r="AT1002" s="352"/>
      <c r="AU1002" s="352"/>
      <c r="AV1002" s="352"/>
      <c r="AW1002" s="352" t="s">
        <v>254</v>
      </c>
    </row>
    <row r="1003" spans="2:49" x14ac:dyDescent="0.2">
      <c r="B1003" s="460" t="s">
        <v>2659</v>
      </c>
      <c r="C1003" s="460">
        <v>2113</v>
      </c>
      <c r="D1003" s="460" t="s">
        <v>2362</v>
      </c>
      <c r="E1003" s="460" t="s">
        <v>1136</v>
      </c>
      <c r="F1003" s="460">
        <v>1</v>
      </c>
      <c r="G1003" s="460">
        <v>4</v>
      </c>
      <c r="H1003" s="461" t="s">
        <v>746</v>
      </c>
      <c r="I1003" s="461" t="s">
        <v>762</v>
      </c>
      <c r="J1003" s="461" t="s">
        <v>700</v>
      </c>
      <c r="K1003" s="594"/>
      <c r="L1003" s="594"/>
      <c r="M1003" s="352">
        <v>2000</v>
      </c>
      <c r="N1003" s="352" t="s">
        <v>703</v>
      </c>
      <c r="O1003" s="460">
        <v>2113</v>
      </c>
      <c r="P1003" s="460" t="s">
        <v>1875</v>
      </c>
      <c r="Q1003" s="460" t="s">
        <v>2289</v>
      </c>
      <c r="R1003" s="460">
        <v>2113</v>
      </c>
      <c r="S1003" s="460" t="s">
        <v>1136</v>
      </c>
      <c r="T1003" s="462">
        <v>1</v>
      </c>
      <c r="U1003" s="460" t="s">
        <v>1136</v>
      </c>
      <c r="V1003" s="475">
        <v>0</v>
      </c>
      <c r="W1003" s="463" t="s">
        <v>2268</v>
      </c>
      <c r="X1003" s="463" t="s">
        <v>2268</v>
      </c>
      <c r="Y1003" s="463" t="s">
        <v>2290</v>
      </c>
      <c r="Z1003" s="463"/>
      <c r="AA1003" s="463"/>
      <c r="AB1003" s="464">
        <v>0</v>
      </c>
      <c r="AC1003" s="465">
        <v>0</v>
      </c>
      <c r="AD1003" s="465">
        <v>0</v>
      </c>
      <c r="AE1003" s="476">
        <v>0</v>
      </c>
      <c r="AF1003" s="467">
        <v>0</v>
      </c>
      <c r="AG1003" s="468">
        <v>0</v>
      </c>
      <c r="AH1003" s="218">
        <v>0</v>
      </c>
      <c r="AI1003" s="470">
        <v>0</v>
      </c>
      <c r="AJ1003" s="471">
        <v>0</v>
      </c>
      <c r="AK1003" s="218">
        <v>0</v>
      </c>
      <c r="AL1003" s="470">
        <v>0</v>
      </c>
      <c r="AM1003" s="471">
        <v>0</v>
      </c>
      <c r="AN1003" s="477">
        <v>0</v>
      </c>
      <c r="AO1003" s="473">
        <v>0</v>
      </c>
      <c r="AP1003" s="474">
        <v>0</v>
      </c>
      <c r="AQ1003" s="352"/>
      <c r="AR1003" s="352"/>
      <c r="AS1003" s="352"/>
      <c r="AT1003" s="352"/>
      <c r="AU1003" s="352"/>
      <c r="AV1003" s="352"/>
      <c r="AW1003" s="352" t="s">
        <v>254</v>
      </c>
    </row>
    <row r="1004" spans="2:49" x14ac:dyDescent="0.2">
      <c r="B1004" s="460" t="s">
        <v>2660</v>
      </c>
      <c r="C1004" s="460">
        <v>2113</v>
      </c>
      <c r="D1004" s="460" t="s">
        <v>2363</v>
      </c>
      <c r="E1004" s="460" t="s">
        <v>1137</v>
      </c>
      <c r="F1004" s="460">
        <v>2</v>
      </c>
      <c r="G1004" s="460">
        <v>4</v>
      </c>
      <c r="H1004" s="461" t="s">
        <v>746</v>
      </c>
      <c r="I1004" s="461" t="s">
        <v>762</v>
      </c>
      <c r="J1004" s="461" t="s">
        <v>700</v>
      </c>
      <c r="K1004" s="594"/>
      <c r="L1004" s="594"/>
      <c r="M1004" s="352">
        <v>2000</v>
      </c>
      <c r="N1004" s="352" t="s">
        <v>703</v>
      </c>
      <c r="O1004" s="460">
        <v>2113</v>
      </c>
      <c r="P1004" s="460" t="s">
        <v>1875</v>
      </c>
      <c r="Q1004" s="460" t="s">
        <v>2289</v>
      </c>
      <c r="R1004" s="460">
        <v>2113</v>
      </c>
      <c r="S1004" s="460" t="s">
        <v>1137</v>
      </c>
      <c r="T1004" s="462">
        <v>1</v>
      </c>
      <c r="U1004" s="460" t="s">
        <v>1137</v>
      </c>
      <c r="V1004" s="475">
        <v>0</v>
      </c>
      <c r="W1004" s="463" t="s">
        <v>2268</v>
      </c>
      <c r="X1004" s="463" t="s">
        <v>2268</v>
      </c>
      <c r="Y1004" s="463" t="s">
        <v>2290</v>
      </c>
      <c r="Z1004" s="463"/>
      <c r="AA1004" s="463"/>
      <c r="AB1004" s="464">
        <v>0</v>
      </c>
      <c r="AC1004" s="465">
        <v>0</v>
      </c>
      <c r="AD1004" s="465">
        <v>0</v>
      </c>
      <c r="AE1004" s="476">
        <v>0</v>
      </c>
      <c r="AF1004" s="467">
        <v>0</v>
      </c>
      <c r="AG1004" s="468">
        <v>0</v>
      </c>
      <c r="AH1004" s="218">
        <v>0</v>
      </c>
      <c r="AI1004" s="470">
        <v>0</v>
      </c>
      <c r="AJ1004" s="471">
        <v>0</v>
      </c>
      <c r="AK1004" s="218">
        <v>0</v>
      </c>
      <c r="AL1004" s="470">
        <v>0</v>
      </c>
      <c r="AM1004" s="471">
        <v>0</v>
      </c>
      <c r="AN1004" s="477">
        <v>0</v>
      </c>
      <c r="AO1004" s="473">
        <v>0</v>
      </c>
      <c r="AP1004" s="474">
        <v>0</v>
      </c>
      <c r="AQ1004" s="352"/>
      <c r="AR1004" s="352"/>
      <c r="AS1004" s="352"/>
      <c r="AT1004" s="352"/>
      <c r="AU1004" s="352"/>
      <c r="AV1004" s="352"/>
      <c r="AW1004" s="352" t="s">
        <v>254</v>
      </c>
    </row>
    <row r="1005" spans="2:49" x14ac:dyDescent="0.2">
      <c r="B1005" s="460" t="s">
        <v>2661</v>
      </c>
      <c r="C1005" s="460">
        <v>2113</v>
      </c>
      <c r="D1005" s="460" t="s">
        <v>2364</v>
      </c>
      <c r="E1005" s="460" t="s">
        <v>1138</v>
      </c>
      <c r="F1005" s="460">
        <v>3</v>
      </c>
      <c r="G1005" s="460">
        <v>4</v>
      </c>
      <c r="H1005" s="461" t="s">
        <v>746</v>
      </c>
      <c r="I1005" s="461" t="s">
        <v>762</v>
      </c>
      <c r="J1005" s="461" t="s">
        <v>700</v>
      </c>
      <c r="K1005" s="594"/>
      <c r="L1005" s="594"/>
      <c r="M1005" s="352">
        <v>2000</v>
      </c>
      <c r="N1005" s="352" t="s">
        <v>703</v>
      </c>
      <c r="O1005" s="460">
        <v>2113</v>
      </c>
      <c r="P1005" s="460" t="s">
        <v>1875</v>
      </c>
      <c r="Q1005" s="460" t="s">
        <v>2289</v>
      </c>
      <c r="R1005" s="460">
        <v>2113</v>
      </c>
      <c r="S1005" s="460" t="s">
        <v>1138</v>
      </c>
      <c r="T1005" s="462">
        <v>1</v>
      </c>
      <c r="U1005" s="460" t="s">
        <v>1138</v>
      </c>
      <c r="V1005" s="475">
        <v>0</v>
      </c>
      <c r="W1005" s="463" t="s">
        <v>2268</v>
      </c>
      <c r="X1005" s="463" t="s">
        <v>2268</v>
      </c>
      <c r="Y1005" s="463" t="s">
        <v>2290</v>
      </c>
      <c r="Z1005" s="463"/>
      <c r="AA1005" s="463"/>
      <c r="AB1005" s="464">
        <v>0</v>
      </c>
      <c r="AC1005" s="465">
        <v>0</v>
      </c>
      <c r="AD1005" s="465">
        <v>0</v>
      </c>
      <c r="AE1005" s="476">
        <v>0</v>
      </c>
      <c r="AF1005" s="467">
        <v>0</v>
      </c>
      <c r="AG1005" s="468">
        <v>0</v>
      </c>
      <c r="AH1005" s="218">
        <v>0</v>
      </c>
      <c r="AI1005" s="470">
        <v>0</v>
      </c>
      <c r="AJ1005" s="471">
        <v>0</v>
      </c>
      <c r="AK1005" s="218">
        <v>0</v>
      </c>
      <c r="AL1005" s="470">
        <v>0</v>
      </c>
      <c r="AM1005" s="471">
        <v>0</v>
      </c>
      <c r="AN1005" s="477">
        <v>0</v>
      </c>
      <c r="AO1005" s="473">
        <v>0</v>
      </c>
      <c r="AP1005" s="474">
        <v>0</v>
      </c>
      <c r="AQ1005" s="352"/>
      <c r="AR1005" s="352"/>
      <c r="AS1005" s="352"/>
      <c r="AT1005" s="352"/>
      <c r="AU1005" s="352"/>
      <c r="AV1005" s="352"/>
      <c r="AW1005" s="352" t="s">
        <v>254</v>
      </c>
    </row>
    <row r="1006" spans="2:49" x14ac:dyDescent="0.2">
      <c r="B1006" s="460" t="s">
        <v>2662</v>
      </c>
      <c r="C1006" s="460">
        <v>2113</v>
      </c>
      <c r="D1006" s="460" t="s">
        <v>2365</v>
      </c>
      <c r="E1006" s="460" t="s">
        <v>1139</v>
      </c>
      <c r="F1006" s="460">
        <v>4</v>
      </c>
      <c r="G1006" s="460">
        <v>4</v>
      </c>
      <c r="H1006" s="461" t="s">
        <v>746</v>
      </c>
      <c r="I1006" s="461" t="s">
        <v>762</v>
      </c>
      <c r="J1006" s="461" t="s">
        <v>700</v>
      </c>
      <c r="K1006" s="594"/>
      <c r="L1006" s="594"/>
      <c r="M1006" s="352">
        <v>2000</v>
      </c>
      <c r="N1006" s="352" t="s">
        <v>703</v>
      </c>
      <c r="O1006" s="460">
        <v>2113</v>
      </c>
      <c r="P1006" s="460" t="s">
        <v>1875</v>
      </c>
      <c r="Q1006" s="460" t="s">
        <v>2289</v>
      </c>
      <c r="R1006" s="460">
        <v>2113</v>
      </c>
      <c r="S1006" s="460" t="s">
        <v>1139</v>
      </c>
      <c r="T1006" s="462">
        <v>1</v>
      </c>
      <c r="U1006" s="460" t="s">
        <v>1139</v>
      </c>
      <c r="V1006" s="475">
        <v>0</v>
      </c>
      <c r="W1006" s="463" t="s">
        <v>2268</v>
      </c>
      <c r="X1006" s="463" t="s">
        <v>2268</v>
      </c>
      <c r="Y1006" s="463" t="s">
        <v>2290</v>
      </c>
      <c r="Z1006" s="463"/>
      <c r="AA1006" s="463"/>
      <c r="AB1006" s="464">
        <v>0</v>
      </c>
      <c r="AC1006" s="465">
        <v>0</v>
      </c>
      <c r="AD1006" s="465">
        <v>0</v>
      </c>
      <c r="AE1006" s="476">
        <v>0</v>
      </c>
      <c r="AF1006" s="467">
        <v>0</v>
      </c>
      <c r="AG1006" s="468">
        <v>0</v>
      </c>
      <c r="AH1006" s="218">
        <v>0</v>
      </c>
      <c r="AI1006" s="470">
        <v>0</v>
      </c>
      <c r="AJ1006" s="471">
        <v>0</v>
      </c>
      <c r="AK1006" s="218">
        <v>0</v>
      </c>
      <c r="AL1006" s="470">
        <v>0</v>
      </c>
      <c r="AM1006" s="471">
        <v>0</v>
      </c>
      <c r="AN1006" s="477">
        <v>0</v>
      </c>
      <c r="AO1006" s="473">
        <v>0</v>
      </c>
      <c r="AP1006" s="474">
        <v>0</v>
      </c>
      <c r="AQ1006" s="352"/>
      <c r="AR1006" s="352"/>
      <c r="AS1006" s="352"/>
      <c r="AT1006" s="352"/>
      <c r="AU1006" s="352"/>
      <c r="AV1006" s="352"/>
      <c r="AW1006" s="352" t="s">
        <v>254</v>
      </c>
    </row>
    <row r="1007" spans="2:49" x14ac:dyDescent="0.2">
      <c r="B1007" s="460" t="s">
        <v>2659</v>
      </c>
      <c r="C1007" s="460">
        <v>2113</v>
      </c>
      <c r="D1007" s="460" t="s">
        <v>2366</v>
      </c>
      <c r="E1007" s="460" t="s">
        <v>1136</v>
      </c>
      <c r="F1007" s="460">
        <v>1</v>
      </c>
      <c r="G1007" s="460">
        <v>4</v>
      </c>
      <c r="H1007" s="461" t="s">
        <v>748</v>
      </c>
      <c r="I1007" s="461" t="s">
        <v>765</v>
      </c>
      <c r="J1007" s="461" t="s">
        <v>700</v>
      </c>
      <c r="K1007" s="594"/>
      <c r="L1007" s="594"/>
      <c r="M1007" s="352">
        <v>2000</v>
      </c>
      <c r="N1007" s="352" t="s">
        <v>703</v>
      </c>
      <c r="O1007" s="460">
        <v>2113</v>
      </c>
      <c r="P1007" s="460" t="s">
        <v>1875</v>
      </c>
      <c r="Q1007" s="460" t="s">
        <v>2266</v>
      </c>
      <c r="R1007" s="460">
        <v>2113</v>
      </c>
      <c r="S1007" s="460" t="s">
        <v>1136</v>
      </c>
      <c r="T1007" s="462">
        <v>1</v>
      </c>
      <c r="U1007" s="460" t="s">
        <v>1136</v>
      </c>
      <c r="V1007" s="475">
        <v>0</v>
      </c>
      <c r="W1007" s="463" t="s">
        <v>2268</v>
      </c>
      <c r="X1007" s="463" t="s">
        <v>2268</v>
      </c>
      <c r="Y1007" s="463" t="s">
        <v>2267</v>
      </c>
      <c r="Z1007" s="463"/>
      <c r="AA1007" s="463"/>
      <c r="AB1007" s="464">
        <v>0</v>
      </c>
      <c r="AC1007" s="465">
        <v>0</v>
      </c>
      <c r="AD1007" s="465">
        <v>0</v>
      </c>
      <c r="AE1007" s="476">
        <v>0</v>
      </c>
      <c r="AF1007" s="467">
        <v>0</v>
      </c>
      <c r="AG1007" s="468">
        <v>0</v>
      </c>
      <c r="AH1007" s="218">
        <v>0</v>
      </c>
      <c r="AI1007" s="470">
        <v>0</v>
      </c>
      <c r="AJ1007" s="471">
        <v>0</v>
      </c>
      <c r="AK1007" s="218">
        <v>0</v>
      </c>
      <c r="AL1007" s="470">
        <v>0</v>
      </c>
      <c r="AM1007" s="471">
        <v>0</v>
      </c>
      <c r="AN1007" s="477">
        <v>6.697147209825835E-2</v>
      </c>
      <c r="AO1007" s="473">
        <v>0.10397087744537047</v>
      </c>
      <c r="AP1007" s="474">
        <v>8.2284341981160919E-5</v>
      </c>
      <c r="AQ1007" s="352"/>
      <c r="AR1007" s="352"/>
      <c r="AS1007" s="352"/>
      <c r="AT1007" s="352"/>
      <c r="AU1007" s="352"/>
      <c r="AV1007" s="352"/>
      <c r="AW1007" s="352" t="s">
        <v>254</v>
      </c>
    </row>
    <row r="1008" spans="2:49" x14ac:dyDescent="0.2">
      <c r="B1008" s="460" t="s">
        <v>2660</v>
      </c>
      <c r="C1008" s="460">
        <v>2113</v>
      </c>
      <c r="D1008" s="460" t="s">
        <v>2367</v>
      </c>
      <c r="E1008" s="460" t="s">
        <v>1137</v>
      </c>
      <c r="F1008" s="460">
        <v>2</v>
      </c>
      <c r="G1008" s="460">
        <v>4</v>
      </c>
      <c r="H1008" s="461" t="s">
        <v>748</v>
      </c>
      <c r="I1008" s="461" t="s">
        <v>765</v>
      </c>
      <c r="J1008" s="461" t="s">
        <v>700</v>
      </c>
      <c r="K1008" s="594"/>
      <c r="L1008" s="594"/>
      <c r="M1008" s="352">
        <v>2000</v>
      </c>
      <c r="N1008" s="352" t="s">
        <v>703</v>
      </c>
      <c r="O1008" s="460">
        <v>2113</v>
      </c>
      <c r="P1008" s="460" t="s">
        <v>1875</v>
      </c>
      <c r="Q1008" s="460" t="s">
        <v>2266</v>
      </c>
      <c r="R1008" s="460">
        <v>2113</v>
      </c>
      <c r="S1008" s="460" t="s">
        <v>1137</v>
      </c>
      <c r="T1008" s="462">
        <v>1</v>
      </c>
      <c r="U1008" s="460" t="s">
        <v>1137</v>
      </c>
      <c r="V1008" s="475">
        <v>0</v>
      </c>
      <c r="W1008" s="463" t="s">
        <v>2268</v>
      </c>
      <c r="X1008" s="463" t="s">
        <v>2268</v>
      </c>
      <c r="Y1008" s="463" t="s">
        <v>2267</v>
      </c>
      <c r="Z1008" s="463"/>
      <c r="AA1008" s="463"/>
      <c r="AB1008" s="464">
        <v>0</v>
      </c>
      <c r="AC1008" s="465">
        <v>0</v>
      </c>
      <c r="AD1008" s="465">
        <v>0</v>
      </c>
      <c r="AE1008" s="476">
        <v>0</v>
      </c>
      <c r="AF1008" s="467">
        <v>0</v>
      </c>
      <c r="AG1008" s="468">
        <v>0</v>
      </c>
      <c r="AH1008" s="218">
        <v>0</v>
      </c>
      <c r="AI1008" s="470">
        <v>0</v>
      </c>
      <c r="AJ1008" s="471">
        <v>0</v>
      </c>
      <c r="AK1008" s="218">
        <v>0</v>
      </c>
      <c r="AL1008" s="470">
        <v>0</v>
      </c>
      <c r="AM1008" s="471">
        <v>0</v>
      </c>
      <c r="AN1008" s="477">
        <v>0.19529153145572428</v>
      </c>
      <c r="AO1008" s="473">
        <v>0.16946623525930871</v>
      </c>
      <c r="AP1008" s="474">
        <v>1.8810696810232349E-4</v>
      </c>
      <c r="AQ1008" s="352"/>
      <c r="AR1008" s="352"/>
      <c r="AS1008" s="352"/>
      <c r="AT1008" s="352"/>
      <c r="AU1008" s="352"/>
      <c r="AV1008" s="352"/>
      <c r="AW1008" s="352" t="s">
        <v>254</v>
      </c>
    </row>
    <row r="1009" spans="2:49" x14ac:dyDescent="0.2">
      <c r="B1009" s="460" t="s">
        <v>2661</v>
      </c>
      <c r="C1009" s="460">
        <v>2113</v>
      </c>
      <c r="D1009" s="460" t="s">
        <v>2368</v>
      </c>
      <c r="E1009" s="460" t="s">
        <v>1138</v>
      </c>
      <c r="F1009" s="460">
        <v>3</v>
      </c>
      <c r="G1009" s="460">
        <v>4</v>
      </c>
      <c r="H1009" s="461" t="s">
        <v>748</v>
      </c>
      <c r="I1009" s="461" t="s">
        <v>765</v>
      </c>
      <c r="J1009" s="461" t="s">
        <v>700</v>
      </c>
      <c r="K1009" s="594"/>
      <c r="L1009" s="594"/>
      <c r="M1009" s="352">
        <v>2000</v>
      </c>
      <c r="N1009" s="352" t="s">
        <v>703</v>
      </c>
      <c r="O1009" s="460">
        <v>2113</v>
      </c>
      <c r="P1009" s="460" t="s">
        <v>1875</v>
      </c>
      <c r="Q1009" s="460" t="s">
        <v>2266</v>
      </c>
      <c r="R1009" s="460">
        <v>2113</v>
      </c>
      <c r="S1009" s="460" t="s">
        <v>1138</v>
      </c>
      <c r="T1009" s="462">
        <v>1</v>
      </c>
      <c r="U1009" s="460" t="s">
        <v>1138</v>
      </c>
      <c r="V1009" s="475">
        <v>0</v>
      </c>
      <c r="W1009" s="463" t="s">
        <v>2268</v>
      </c>
      <c r="X1009" s="463" t="s">
        <v>2268</v>
      </c>
      <c r="Y1009" s="463" t="s">
        <v>2267</v>
      </c>
      <c r="Z1009" s="463"/>
      <c r="AA1009" s="463"/>
      <c r="AB1009" s="464">
        <v>0</v>
      </c>
      <c r="AC1009" s="465">
        <v>0</v>
      </c>
      <c r="AD1009" s="465">
        <v>0</v>
      </c>
      <c r="AE1009" s="476">
        <v>0</v>
      </c>
      <c r="AF1009" s="467">
        <v>0</v>
      </c>
      <c r="AG1009" s="468">
        <v>0</v>
      </c>
      <c r="AH1009" s="218">
        <v>0</v>
      </c>
      <c r="AI1009" s="470">
        <v>0</v>
      </c>
      <c r="AJ1009" s="471">
        <v>0</v>
      </c>
      <c r="AK1009" s="218">
        <v>0</v>
      </c>
      <c r="AL1009" s="470">
        <v>0</v>
      </c>
      <c r="AM1009" s="471">
        <v>0</v>
      </c>
      <c r="AN1009" s="477">
        <v>0.15926087863425584</v>
      </c>
      <c r="AO1009" s="473">
        <v>0.12399022656180794</v>
      </c>
      <c r="AP1009" s="474">
        <v>1.652412035652079E-4</v>
      </c>
      <c r="AQ1009" s="352"/>
      <c r="AR1009" s="352"/>
      <c r="AS1009" s="352"/>
      <c r="AT1009" s="352"/>
      <c r="AU1009" s="352"/>
      <c r="AV1009" s="352"/>
      <c r="AW1009" s="352" t="s">
        <v>254</v>
      </c>
    </row>
    <row r="1010" spans="2:49" x14ac:dyDescent="0.2">
      <c r="B1010" s="460" t="s">
        <v>2662</v>
      </c>
      <c r="C1010" s="460">
        <v>2113</v>
      </c>
      <c r="D1010" s="460" t="s">
        <v>2369</v>
      </c>
      <c r="E1010" s="460" t="s">
        <v>1139</v>
      </c>
      <c r="F1010" s="460">
        <v>4</v>
      </c>
      <c r="G1010" s="460">
        <v>4</v>
      </c>
      <c r="H1010" s="461" t="s">
        <v>748</v>
      </c>
      <c r="I1010" s="461" t="s">
        <v>765</v>
      </c>
      <c r="J1010" s="461" t="s">
        <v>700</v>
      </c>
      <c r="K1010" s="594"/>
      <c r="L1010" s="594"/>
      <c r="M1010" s="352">
        <v>2000</v>
      </c>
      <c r="N1010" s="352" t="s">
        <v>703</v>
      </c>
      <c r="O1010" s="460">
        <v>2113</v>
      </c>
      <c r="P1010" s="460" t="s">
        <v>1875</v>
      </c>
      <c r="Q1010" s="460" t="s">
        <v>2266</v>
      </c>
      <c r="R1010" s="460">
        <v>2113</v>
      </c>
      <c r="S1010" s="460" t="s">
        <v>1139</v>
      </c>
      <c r="T1010" s="462">
        <v>1</v>
      </c>
      <c r="U1010" s="460" t="s">
        <v>1139</v>
      </c>
      <c r="V1010" s="475">
        <v>0</v>
      </c>
      <c r="W1010" s="463" t="s">
        <v>2268</v>
      </c>
      <c r="X1010" s="463" t="s">
        <v>2268</v>
      </c>
      <c r="Y1010" s="463" t="s">
        <v>2267</v>
      </c>
      <c r="Z1010" s="463"/>
      <c r="AA1010" s="463"/>
      <c r="AB1010" s="464">
        <v>0</v>
      </c>
      <c r="AC1010" s="465">
        <v>0</v>
      </c>
      <c r="AD1010" s="465">
        <v>0</v>
      </c>
      <c r="AE1010" s="476">
        <v>0</v>
      </c>
      <c r="AF1010" s="467">
        <v>0</v>
      </c>
      <c r="AG1010" s="468">
        <v>0</v>
      </c>
      <c r="AH1010" s="218">
        <v>0</v>
      </c>
      <c r="AI1010" s="470">
        <v>0</v>
      </c>
      <c r="AJ1010" s="471">
        <v>0</v>
      </c>
      <c r="AK1010" s="218">
        <v>0</v>
      </c>
      <c r="AL1010" s="470">
        <v>0</v>
      </c>
      <c r="AM1010" s="471">
        <v>0</v>
      </c>
      <c r="AN1010" s="477">
        <v>0</v>
      </c>
      <c r="AO1010" s="473">
        <v>0</v>
      </c>
      <c r="AP1010" s="474">
        <v>0</v>
      </c>
      <c r="AQ1010" s="352"/>
      <c r="AR1010" s="352"/>
      <c r="AS1010" s="352"/>
      <c r="AT1010" s="352"/>
      <c r="AU1010" s="352"/>
      <c r="AV1010" s="352"/>
      <c r="AW1010" s="352" t="s">
        <v>254</v>
      </c>
    </row>
    <row r="1011" spans="2:49" x14ac:dyDescent="0.2">
      <c r="B1011" s="460" t="s">
        <v>2659</v>
      </c>
      <c r="C1011" s="460">
        <v>2113</v>
      </c>
      <c r="D1011" s="460" t="s">
        <v>2370</v>
      </c>
      <c r="E1011" s="460" t="s">
        <v>1136</v>
      </c>
      <c r="F1011" s="460">
        <v>1</v>
      </c>
      <c r="G1011" s="460">
        <v>4</v>
      </c>
      <c r="H1011" s="461" t="s">
        <v>752</v>
      </c>
      <c r="I1011" s="461" t="s">
        <v>964</v>
      </c>
      <c r="J1011" s="461" t="s">
        <v>752</v>
      </c>
      <c r="K1011" s="594"/>
      <c r="L1011" s="594"/>
      <c r="M1011" s="352">
        <v>2000</v>
      </c>
      <c r="N1011" s="352" t="s">
        <v>703</v>
      </c>
      <c r="O1011" s="460">
        <v>2113</v>
      </c>
      <c r="P1011" s="460" t="s">
        <v>1875</v>
      </c>
      <c r="Q1011" s="460" t="s">
        <v>2266</v>
      </c>
      <c r="R1011" s="460">
        <v>2113</v>
      </c>
      <c r="S1011" s="460" t="s">
        <v>1136</v>
      </c>
      <c r="T1011" s="462">
        <v>1</v>
      </c>
      <c r="U1011" s="460" t="s">
        <v>1136</v>
      </c>
      <c r="V1011" s="475">
        <v>0</v>
      </c>
      <c r="W1011" s="463" t="s">
        <v>2267</v>
      </c>
      <c r="X1011" s="463" t="s">
        <v>2267</v>
      </c>
      <c r="Y1011" s="463" t="s">
        <v>2267</v>
      </c>
      <c r="Z1011" s="463"/>
      <c r="AA1011" s="463"/>
      <c r="AB1011" s="464">
        <v>2.6619799591523025E-2</v>
      </c>
      <c r="AC1011" s="465">
        <v>4.1326311550833286E-2</v>
      </c>
      <c r="AD1011" s="465">
        <v>8.6205117915112538E-6</v>
      </c>
      <c r="AE1011" s="476">
        <v>2.6619799591523025E-2</v>
      </c>
      <c r="AF1011" s="467">
        <v>4.1326311550833286E-2</v>
      </c>
      <c r="AG1011" s="468">
        <v>8.6205117915112538E-6</v>
      </c>
      <c r="AH1011" s="218">
        <v>2.6619799591523025E-2</v>
      </c>
      <c r="AI1011" s="470">
        <v>4.1326311550833286E-2</v>
      </c>
      <c r="AJ1011" s="471">
        <v>7.2777125839601502E-6</v>
      </c>
      <c r="AK1011" s="218">
        <v>2.6619799591523025E-2</v>
      </c>
      <c r="AL1011" s="470">
        <v>4.1326311550833286E-2</v>
      </c>
      <c r="AM1011" s="471">
        <v>7.2777125839601502E-6</v>
      </c>
      <c r="AN1011" s="477">
        <v>2.6619799591523025E-2</v>
      </c>
      <c r="AO1011" s="473">
        <v>4.1326311550833286E-2</v>
      </c>
      <c r="AP1011" s="474">
        <v>7.2777125839601502E-6</v>
      </c>
      <c r="AQ1011" s="352"/>
      <c r="AR1011" s="352"/>
      <c r="AS1011" s="352"/>
      <c r="AT1011" s="352"/>
      <c r="AU1011" s="352"/>
      <c r="AV1011" s="352"/>
      <c r="AW1011" s="352" t="s">
        <v>254</v>
      </c>
    </row>
    <row r="1012" spans="2:49" x14ac:dyDescent="0.2">
      <c r="B1012" s="460" t="s">
        <v>2660</v>
      </c>
      <c r="C1012" s="460">
        <v>2113</v>
      </c>
      <c r="D1012" s="460" t="s">
        <v>2371</v>
      </c>
      <c r="E1012" s="460" t="s">
        <v>1137</v>
      </c>
      <c r="F1012" s="460">
        <v>2</v>
      </c>
      <c r="G1012" s="460">
        <v>4</v>
      </c>
      <c r="H1012" s="461" t="s">
        <v>752</v>
      </c>
      <c r="I1012" s="461" t="s">
        <v>964</v>
      </c>
      <c r="J1012" s="461" t="s">
        <v>752</v>
      </c>
      <c r="K1012" s="594"/>
      <c r="L1012" s="594"/>
      <c r="M1012" s="352">
        <v>2000</v>
      </c>
      <c r="N1012" s="352" t="s">
        <v>703</v>
      </c>
      <c r="O1012" s="460">
        <v>2113</v>
      </c>
      <c r="P1012" s="460" t="s">
        <v>1875</v>
      </c>
      <c r="Q1012" s="460" t="s">
        <v>2266</v>
      </c>
      <c r="R1012" s="460">
        <v>2113</v>
      </c>
      <c r="S1012" s="460" t="s">
        <v>1137</v>
      </c>
      <c r="T1012" s="462">
        <v>1</v>
      </c>
      <c r="U1012" s="460" t="s">
        <v>1137</v>
      </c>
      <c r="V1012" s="475">
        <v>0</v>
      </c>
      <c r="W1012" s="463" t="s">
        <v>2267</v>
      </c>
      <c r="X1012" s="463" t="s">
        <v>2267</v>
      </c>
      <c r="Y1012" s="463" t="s">
        <v>2267</v>
      </c>
      <c r="Z1012" s="463"/>
      <c r="AA1012" s="463"/>
      <c r="AB1012" s="464">
        <v>1.1209422086669068E-2</v>
      </c>
      <c r="AC1012" s="465">
        <v>9.7270913198354708E-3</v>
      </c>
      <c r="AD1012" s="465">
        <v>1.0968300726597182E-6</v>
      </c>
      <c r="AE1012" s="476">
        <v>1.1209422086669068E-2</v>
      </c>
      <c r="AF1012" s="467">
        <v>9.7270913198354708E-3</v>
      </c>
      <c r="AG1012" s="468">
        <v>1.0968300726597182E-6</v>
      </c>
      <c r="AH1012" s="218">
        <v>1.1209422086669068E-2</v>
      </c>
      <c r="AI1012" s="470">
        <v>9.7270913198354708E-3</v>
      </c>
      <c r="AJ1012" s="471">
        <v>1.0873993746458008E-6</v>
      </c>
      <c r="AK1012" s="218">
        <v>1.1209422086669068E-2</v>
      </c>
      <c r="AL1012" s="470">
        <v>9.7270913198354708E-3</v>
      </c>
      <c r="AM1012" s="471">
        <v>1.0873993746458008E-6</v>
      </c>
      <c r="AN1012" s="477">
        <v>1.1209422086669068E-2</v>
      </c>
      <c r="AO1012" s="473">
        <v>9.7270913198354708E-3</v>
      </c>
      <c r="AP1012" s="474">
        <v>1.0873993746458008E-6</v>
      </c>
      <c r="AQ1012" s="352"/>
      <c r="AR1012" s="352"/>
      <c r="AS1012" s="352"/>
      <c r="AT1012" s="352"/>
      <c r="AU1012" s="352"/>
      <c r="AV1012" s="352"/>
      <c r="AW1012" s="352" t="s">
        <v>254</v>
      </c>
    </row>
    <row r="1013" spans="2:49" x14ac:dyDescent="0.2">
      <c r="B1013" s="460" t="s">
        <v>2661</v>
      </c>
      <c r="C1013" s="460">
        <v>2113</v>
      </c>
      <c r="D1013" s="460" t="s">
        <v>2372</v>
      </c>
      <c r="E1013" s="460" t="s">
        <v>1138</v>
      </c>
      <c r="F1013" s="460">
        <v>3</v>
      </c>
      <c r="G1013" s="460">
        <v>4</v>
      </c>
      <c r="H1013" s="461" t="s">
        <v>752</v>
      </c>
      <c r="I1013" s="461" t="s">
        <v>964</v>
      </c>
      <c r="J1013" s="461" t="s">
        <v>752</v>
      </c>
      <c r="K1013" s="594"/>
      <c r="L1013" s="594"/>
      <c r="M1013" s="352">
        <v>2000</v>
      </c>
      <c r="N1013" s="352" t="s">
        <v>703</v>
      </c>
      <c r="O1013" s="460">
        <v>2113</v>
      </c>
      <c r="P1013" s="460" t="s">
        <v>1875</v>
      </c>
      <c r="Q1013" s="460" t="s">
        <v>2266</v>
      </c>
      <c r="R1013" s="460">
        <v>2113</v>
      </c>
      <c r="S1013" s="460" t="s">
        <v>1138</v>
      </c>
      <c r="T1013" s="462">
        <v>1</v>
      </c>
      <c r="U1013" s="460" t="s">
        <v>1138</v>
      </c>
      <c r="V1013" s="475">
        <v>0</v>
      </c>
      <c r="W1013" s="463" t="s">
        <v>2267</v>
      </c>
      <c r="X1013" s="463" t="s">
        <v>2267</v>
      </c>
      <c r="Y1013" s="463" t="s">
        <v>2267</v>
      </c>
      <c r="Z1013" s="463"/>
      <c r="AA1013" s="463"/>
      <c r="AB1013" s="464">
        <v>5.1484671965417478E-2</v>
      </c>
      <c r="AC1013" s="465">
        <v>4.0082637972332587E-2</v>
      </c>
      <c r="AD1013" s="465">
        <v>8.8926098991787534E-6</v>
      </c>
      <c r="AE1013" s="476">
        <v>5.1484671965417478E-2</v>
      </c>
      <c r="AF1013" s="467">
        <v>4.0082637972332587E-2</v>
      </c>
      <c r="AG1013" s="468">
        <v>8.8926098991787534E-6</v>
      </c>
      <c r="AH1013" s="218">
        <v>5.1484671965417478E-2</v>
      </c>
      <c r="AI1013" s="470">
        <v>4.0082637972332587E-2</v>
      </c>
      <c r="AJ1013" s="471">
        <v>8.5414694171561029E-6</v>
      </c>
      <c r="AK1013" s="218">
        <v>5.1484671965417478E-2</v>
      </c>
      <c r="AL1013" s="470">
        <v>4.0082637972332587E-2</v>
      </c>
      <c r="AM1013" s="471">
        <v>8.5414694171561029E-6</v>
      </c>
      <c r="AN1013" s="477">
        <v>5.1484671965417478E-2</v>
      </c>
      <c r="AO1013" s="473">
        <v>4.0082637972332587E-2</v>
      </c>
      <c r="AP1013" s="474">
        <v>8.5414694171561029E-6</v>
      </c>
      <c r="AQ1013" s="352"/>
      <c r="AR1013" s="352"/>
      <c r="AS1013" s="352"/>
      <c r="AT1013" s="352"/>
      <c r="AU1013" s="352"/>
      <c r="AV1013" s="352"/>
      <c r="AW1013" s="352" t="s">
        <v>254</v>
      </c>
    </row>
    <row r="1014" spans="2:49" x14ac:dyDescent="0.2">
      <c r="B1014" s="460" t="s">
        <v>2662</v>
      </c>
      <c r="C1014" s="460">
        <v>2113</v>
      </c>
      <c r="D1014" s="460" t="s">
        <v>2373</v>
      </c>
      <c r="E1014" s="460" t="s">
        <v>1139</v>
      </c>
      <c r="F1014" s="460">
        <v>4</v>
      </c>
      <c r="G1014" s="460">
        <v>4</v>
      </c>
      <c r="H1014" s="461" t="s">
        <v>752</v>
      </c>
      <c r="I1014" s="461" t="s">
        <v>964</v>
      </c>
      <c r="J1014" s="461" t="s">
        <v>752</v>
      </c>
      <c r="K1014" s="594"/>
      <c r="L1014" s="594"/>
      <c r="M1014" s="352">
        <v>2000</v>
      </c>
      <c r="N1014" s="352" t="s">
        <v>703</v>
      </c>
      <c r="O1014" s="460">
        <v>2113</v>
      </c>
      <c r="P1014" s="460" t="s">
        <v>1875</v>
      </c>
      <c r="Q1014" s="460" t="s">
        <v>2266</v>
      </c>
      <c r="R1014" s="460">
        <v>2113</v>
      </c>
      <c r="S1014" s="460" t="s">
        <v>1139</v>
      </c>
      <c r="T1014" s="462">
        <v>1</v>
      </c>
      <c r="U1014" s="460" t="s">
        <v>1139</v>
      </c>
      <c r="V1014" s="475">
        <v>0</v>
      </c>
      <c r="W1014" s="463" t="s">
        <v>2267</v>
      </c>
      <c r="X1014" s="463" t="s">
        <v>2267</v>
      </c>
      <c r="Y1014" s="463" t="s">
        <v>2267</v>
      </c>
      <c r="Z1014" s="463"/>
      <c r="AA1014" s="463"/>
      <c r="AB1014" s="464">
        <v>0.71934585312738542</v>
      </c>
      <c r="AC1014" s="465">
        <v>0.37391860135764615</v>
      </c>
      <c r="AD1014" s="465">
        <v>2.8678357459901613E-5</v>
      </c>
      <c r="AE1014" s="476">
        <v>0.71934585312738542</v>
      </c>
      <c r="AF1014" s="467">
        <v>0.37391860135764615</v>
      </c>
      <c r="AG1014" s="468">
        <v>2.8678357459901613E-5</v>
      </c>
      <c r="AH1014" s="218">
        <v>0.71934585312738542</v>
      </c>
      <c r="AI1014" s="470">
        <v>0.37391860135764615</v>
      </c>
      <c r="AJ1014" s="471">
        <v>2.6657411800084205E-5</v>
      </c>
      <c r="AK1014" s="218">
        <v>0.71934585312738542</v>
      </c>
      <c r="AL1014" s="470">
        <v>0.37391860135764615</v>
      </c>
      <c r="AM1014" s="471">
        <v>2.6657411800084205E-5</v>
      </c>
      <c r="AN1014" s="477">
        <v>0.71934585312738542</v>
      </c>
      <c r="AO1014" s="473">
        <v>0.37391860135764615</v>
      </c>
      <c r="AP1014" s="474">
        <v>2.6657411800084205E-5</v>
      </c>
      <c r="AQ1014" s="352"/>
      <c r="AR1014" s="352"/>
      <c r="AS1014" s="352"/>
      <c r="AT1014" s="352"/>
      <c r="AU1014" s="352"/>
      <c r="AV1014" s="352"/>
      <c r="AW1014" s="352" t="s">
        <v>254</v>
      </c>
    </row>
    <row r="1015" spans="2:49" x14ac:dyDescent="0.2">
      <c r="B1015" s="460" t="s">
        <v>2663</v>
      </c>
      <c r="C1015" s="460">
        <v>2113</v>
      </c>
      <c r="D1015" s="460" t="s">
        <v>2375</v>
      </c>
      <c r="E1015" s="460" t="s">
        <v>2376</v>
      </c>
      <c r="F1015" s="460">
        <v>1</v>
      </c>
      <c r="G1015" s="460">
        <v>5</v>
      </c>
      <c r="H1015" s="461" t="s">
        <v>754</v>
      </c>
      <c r="I1015" s="461" t="s">
        <v>1991</v>
      </c>
      <c r="J1015" s="461" t="s">
        <v>754</v>
      </c>
      <c r="K1015" s="594"/>
      <c r="L1015" s="594"/>
      <c r="M1015" s="352">
        <v>2000</v>
      </c>
      <c r="N1015" s="352" t="s">
        <v>703</v>
      </c>
      <c r="O1015" s="460">
        <v>2113</v>
      </c>
      <c r="P1015" s="460" t="s">
        <v>1875</v>
      </c>
      <c r="Q1015" s="460" t="s">
        <v>2377</v>
      </c>
      <c r="R1015" s="460">
        <v>2113</v>
      </c>
      <c r="S1015" s="460" t="s">
        <v>2376</v>
      </c>
      <c r="T1015" s="462">
        <v>1</v>
      </c>
      <c r="U1015" s="460" t="s">
        <v>2376</v>
      </c>
      <c r="V1015" s="475">
        <v>0</v>
      </c>
      <c r="W1015" s="463" t="s">
        <v>2278</v>
      </c>
      <c r="X1015" s="463" t="s">
        <v>2278</v>
      </c>
      <c r="Y1015" s="463" t="s">
        <v>2278</v>
      </c>
      <c r="Z1015" s="463"/>
      <c r="AA1015" s="463"/>
      <c r="AB1015" s="464">
        <v>2.9460051368462059</v>
      </c>
      <c r="AC1015" s="465">
        <v>1</v>
      </c>
      <c r="AD1015" s="465">
        <v>4.952543485797964E-6</v>
      </c>
      <c r="AE1015" s="476">
        <v>2.9460051368462059</v>
      </c>
      <c r="AF1015" s="467">
        <v>1</v>
      </c>
      <c r="AG1015" s="468">
        <v>4.952543485797964E-6</v>
      </c>
      <c r="AH1015" s="218">
        <v>2.9460051368462059</v>
      </c>
      <c r="AI1015" s="470">
        <v>1</v>
      </c>
      <c r="AJ1015" s="471">
        <v>4.952543485797964E-6</v>
      </c>
      <c r="AK1015" s="218">
        <v>2.9460051368462059</v>
      </c>
      <c r="AL1015" s="470">
        <v>1</v>
      </c>
      <c r="AM1015" s="471">
        <v>4.952543485797964E-6</v>
      </c>
      <c r="AN1015" s="477">
        <v>2.9460051368462059</v>
      </c>
      <c r="AO1015" s="473">
        <v>1</v>
      </c>
      <c r="AP1015" s="474">
        <v>4.952543485797964E-6</v>
      </c>
      <c r="AQ1015" s="352"/>
      <c r="AR1015" s="352"/>
      <c r="AS1015" s="352"/>
      <c r="AT1015" s="352"/>
      <c r="AU1015" s="352"/>
      <c r="AV1015" s="352"/>
      <c r="AW1015" s="352" t="s">
        <v>127</v>
      </c>
    </row>
    <row r="1016" spans="2:49" x14ac:dyDescent="0.2">
      <c r="B1016" s="460" t="s">
        <v>2664</v>
      </c>
      <c r="C1016" s="460">
        <v>2113</v>
      </c>
      <c r="D1016" s="460" t="s">
        <v>2379</v>
      </c>
      <c r="E1016" s="460" t="s">
        <v>2380</v>
      </c>
      <c r="F1016" s="460">
        <v>2</v>
      </c>
      <c r="G1016" s="460">
        <v>5</v>
      </c>
      <c r="H1016" s="461" t="s">
        <v>754</v>
      </c>
      <c r="I1016" s="461" t="s">
        <v>1991</v>
      </c>
      <c r="J1016" s="461" t="s">
        <v>754</v>
      </c>
      <c r="K1016" s="594"/>
      <c r="L1016" s="594"/>
      <c r="M1016" s="352">
        <v>2000</v>
      </c>
      <c r="N1016" s="352" t="s">
        <v>703</v>
      </c>
      <c r="O1016" s="460">
        <v>2113</v>
      </c>
      <c r="P1016" s="460" t="s">
        <v>1875</v>
      </c>
      <c r="Q1016" s="460" t="s">
        <v>2377</v>
      </c>
      <c r="R1016" s="460">
        <v>2113</v>
      </c>
      <c r="S1016" s="460" t="s">
        <v>2380</v>
      </c>
      <c r="T1016" s="462">
        <v>1</v>
      </c>
      <c r="U1016" s="460" t="s">
        <v>2380</v>
      </c>
      <c r="V1016" s="475">
        <v>0</v>
      </c>
      <c r="W1016" s="463" t="s">
        <v>2278</v>
      </c>
      <c r="X1016" s="463" t="s">
        <v>2278</v>
      </c>
      <c r="Y1016" s="463" t="s">
        <v>2278</v>
      </c>
      <c r="Z1016" s="463"/>
      <c r="AA1016" s="463"/>
      <c r="AB1016" s="464">
        <v>1.6921881238956438</v>
      </c>
      <c r="AC1016" s="465">
        <v>1</v>
      </c>
      <c r="AD1016" s="465">
        <v>3.3322631149866978E-6</v>
      </c>
      <c r="AE1016" s="476">
        <v>1.6921881238956438</v>
      </c>
      <c r="AF1016" s="467">
        <v>1</v>
      </c>
      <c r="AG1016" s="468">
        <v>3.3322631149866978E-6</v>
      </c>
      <c r="AH1016" s="218">
        <v>1.6921881238956438</v>
      </c>
      <c r="AI1016" s="470">
        <v>1</v>
      </c>
      <c r="AJ1016" s="471">
        <v>3.3322631149866978E-6</v>
      </c>
      <c r="AK1016" s="218">
        <v>1.6921881238956438</v>
      </c>
      <c r="AL1016" s="470">
        <v>1</v>
      </c>
      <c r="AM1016" s="471">
        <v>3.3322631149866978E-6</v>
      </c>
      <c r="AN1016" s="477">
        <v>1.6921881238956438</v>
      </c>
      <c r="AO1016" s="473">
        <v>1</v>
      </c>
      <c r="AP1016" s="474">
        <v>3.3322631149866978E-6</v>
      </c>
      <c r="AQ1016" s="352"/>
      <c r="AR1016" s="352"/>
      <c r="AS1016" s="352"/>
      <c r="AT1016" s="352"/>
      <c r="AU1016" s="352"/>
      <c r="AV1016" s="352"/>
      <c r="AW1016" s="352" t="s">
        <v>127</v>
      </c>
    </row>
    <row r="1017" spans="2:49" x14ac:dyDescent="0.2">
      <c r="B1017" s="460" t="s">
        <v>2665</v>
      </c>
      <c r="C1017" s="460">
        <v>2113</v>
      </c>
      <c r="D1017" s="460" t="s">
        <v>2382</v>
      </c>
      <c r="E1017" s="460" t="s">
        <v>2383</v>
      </c>
      <c r="F1017" s="460">
        <v>3</v>
      </c>
      <c r="G1017" s="460">
        <v>5</v>
      </c>
      <c r="H1017" s="461" t="s">
        <v>754</v>
      </c>
      <c r="I1017" s="461" t="s">
        <v>1991</v>
      </c>
      <c r="J1017" s="461" t="s">
        <v>754</v>
      </c>
      <c r="K1017" s="594"/>
      <c r="L1017" s="594"/>
      <c r="M1017" s="352">
        <v>2000</v>
      </c>
      <c r="N1017" s="352" t="s">
        <v>703</v>
      </c>
      <c r="O1017" s="460">
        <v>2113</v>
      </c>
      <c r="P1017" s="460" t="s">
        <v>1875</v>
      </c>
      <c r="Q1017" s="460" t="s">
        <v>2377</v>
      </c>
      <c r="R1017" s="460">
        <v>2113</v>
      </c>
      <c r="S1017" s="460" t="s">
        <v>2383</v>
      </c>
      <c r="T1017" s="462">
        <v>1</v>
      </c>
      <c r="U1017" s="460" t="s">
        <v>2383</v>
      </c>
      <c r="V1017" s="475">
        <v>0</v>
      </c>
      <c r="W1017" s="463" t="s">
        <v>2278</v>
      </c>
      <c r="X1017" s="463" t="s">
        <v>2278</v>
      </c>
      <c r="Y1017" s="463" t="s">
        <v>2278</v>
      </c>
      <c r="Z1017" s="463"/>
      <c r="AA1017" s="463"/>
      <c r="AB1017" s="464">
        <v>0.25968864079776899</v>
      </c>
      <c r="AC1017" s="465">
        <v>1</v>
      </c>
      <c r="AD1017" s="465">
        <v>2.3082835474107908E-6</v>
      </c>
      <c r="AE1017" s="476">
        <v>0.25968864079776899</v>
      </c>
      <c r="AF1017" s="467">
        <v>1</v>
      </c>
      <c r="AG1017" s="468">
        <v>2.3082835474107908E-6</v>
      </c>
      <c r="AH1017" s="218">
        <v>0.25968864079776899</v>
      </c>
      <c r="AI1017" s="470">
        <v>1</v>
      </c>
      <c r="AJ1017" s="471">
        <v>2.3082835474107908E-6</v>
      </c>
      <c r="AK1017" s="218">
        <v>0.25968864079776899</v>
      </c>
      <c r="AL1017" s="470">
        <v>1</v>
      </c>
      <c r="AM1017" s="471">
        <v>2.3082835474107908E-6</v>
      </c>
      <c r="AN1017" s="477">
        <v>0.25968864079776899</v>
      </c>
      <c r="AO1017" s="473">
        <v>1</v>
      </c>
      <c r="AP1017" s="474">
        <v>2.3082835474107908E-6</v>
      </c>
      <c r="AQ1017" s="352"/>
      <c r="AR1017" s="352"/>
      <c r="AS1017" s="352"/>
      <c r="AT1017" s="352"/>
      <c r="AU1017" s="352"/>
      <c r="AV1017" s="352"/>
      <c r="AW1017" s="352" t="s">
        <v>127</v>
      </c>
    </row>
    <row r="1018" spans="2:49" x14ac:dyDescent="0.2">
      <c r="B1018" s="460" t="s">
        <v>2666</v>
      </c>
      <c r="C1018" s="460">
        <v>2113</v>
      </c>
      <c r="D1018" s="460" t="s">
        <v>2385</v>
      </c>
      <c r="E1018" s="460" t="s">
        <v>2386</v>
      </c>
      <c r="F1018" s="460">
        <v>4</v>
      </c>
      <c r="G1018" s="460">
        <v>5</v>
      </c>
      <c r="H1018" s="461" t="s">
        <v>754</v>
      </c>
      <c r="I1018" s="461" t="s">
        <v>1991</v>
      </c>
      <c r="J1018" s="461" t="s">
        <v>754</v>
      </c>
      <c r="K1018" s="594"/>
      <c r="L1018" s="594"/>
      <c r="M1018" s="352">
        <v>2000</v>
      </c>
      <c r="N1018" s="352" t="s">
        <v>703</v>
      </c>
      <c r="O1018" s="460">
        <v>2113</v>
      </c>
      <c r="P1018" s="460" t="s">
        <v>1875</v>
      </c>
      <c r="Q1018" s="460" t="s">
        <v>2377</v>
      </c>
      <c r="R1018" s="460">
        <v>2113</v>
      </c>
      <c r="S1018" s="460" t="s">
        <v>2386</v>
      </c>
      <c r="T1018" s="462">
        <v>1</v>
      </c>
      <c r="U1018" s="460" t="s">
        <v>2386</v>
      </c>
      <c r="V1018" s="475">
        <v>0</v>
      </c>
      <c r="W1018" s="463" t="s">
        <v>2278</v>
      </c>
      <c r="X1018" s="463" t="s">
        <v>2278</v>
      </c>
      <c r="Y1018" s="463" t="s">
        <v>2278</v>
      </c>
      <c r="Z1018" s="463"/>
      <c r="AA1018" s="463"/>
      <c r="AB1018" s="464">
        <v>0.21860031121587611</v>
      </c>
      <c r="AC1018" s="465">
        <v>1</v>
      </c>
      <c r="AD1018" s="465">
        <v>4.0551969888342472E-6</v>
      </c>
      <c r="AE1018" s="476">
        <v>0.21860031121587611</v>
      </c>
      <c r="AF1018" s="467">
        <v>1</v>
      </c>
      <c r="AG1018" s="468">
        <v>4.0551969888342472E-6</v>
      </c>
      <c r="AH1018" s="218">
        <v>0.21860031121587611</v>
      </c>
      <c r="AI1018" s="470">
        <v>1</v>
      </c>
      <c r="AJ1018" s="471">
        <v>4.0551969888342472E-6</v>
      </c>
      <c r="AK1018" s="218">
        <v>0.21860031121587611</v>
      </c>
      <c r="AL1018" s="470">
        <v>1</v>
      </c>
      <c r="AM1018" s="471">
        <v>4.0551969888342472E-6</v>
      </c>
      <c r="AN1018" s="477">
        <v>0.21860031121587611</v>
      </c>
      <c r="AO1018" s="473">
        <v>1</v>
      </c>
      <c r="AP1018" s="474">
        <v>4.0551969888342472E-6</v>
      </c>
      <c r="AQ1018" s="352"/>
      <c r="AR1018" s="352"/>
      <c r="AS1018" s="352"/>
      <c r="AT1018" s="352"/>
      <c r="AU1018" s="352"/>
      <c r="AV1018" s="352"/>
      <c r="AW1018" s="352" t="s">
        <v>127</v>
      </c>
    </row>
    <row r="1019" spans="2:49" x14ac:dyDescent="0.2">
      <c r="B1019" s="460" t="s">
        <v>2667</v>
      </c>
      <c r="C1019" s="460">
        <v>2113</v>
      </c>
      <c r="D1019" s="460" t="s">
        <v>2388</v>
      </c>
      <c r="E1019" s="460" t="s">
        <v>2389</v>
      </c>
      <c r="F1019" s="460">
        <v>1</v>
      </c>
      <c r="G1019" s="460">
        <v>6</v>
      </c>
      <c r="H1019" s="461" t="s">
        <v>754</v>
      </c>
      <c r="I1019" s="461" t="s">
        <v>1991</v>
      </c>
      <c r="J1019" s="461" t="s">
        <v>754</v>
      </c>
      <c r="K1019" s="594"/>
      <c r="L1019" s="594"/>
      <c r="M1019" s="352">
        <v>2000</v>
      </c>
      <c r="N1019" s="352" t="s">
        <v>703</v>
      </c>
      <c r="O1019" s="460">
        <v>2113</v>
      </c>
      <c r="P1019" s="460" t="s">
        <v>1875</v>
      </c>
      <c r="Q1019" s="460" t="s">
        <v>2377</v>
      </c>
      <c r="R1019" s="460">
        <v>2113</v>
      </c>
      <c r="S1019" s="460" t="s">
        <v>2389</v>
      </c>
      <c r="T1019" s="462">
        <v>1</v>
      </c>
      <c r="U1019" s="460" t="s">
        <v>2389</v>
      </c>
      <c r="V1019" s="475">
        <v>0</v>
      </c>
      <c r="W1019" s="463" t="s">
        <v>2278</v>
      </c>
      <c r="X1019" s="463" t="s">
        <v>2278</v>
      </c>
      <c r="Y1019" s="463" t="s">
        <v>2278</v>
      </c>
      <c r="Z1019" s="463"/>
      <c r="AA1019" s="463"/>
      <c r="AB1019" s="464">
        <v>33.722541682539408</v>
      </c>
      <c r="AC1019" s="465">
        <v>1</v>
      </c>
      <c r="AD1019" s="465">
        <v>1.1273947150672353E-3</v>
      </c>
      <c r="AE1019" s="476">
        <v>33.722541682539408</v>
      </c>
      <c r="AF1019" s="467">
        <v>1</v>
      </c>
      <c r="AG1019" s="468">
        <v>1.1273947150672353E-3</v>
      </c>
      <c r="AH1019" s="218">
        <v>33.722541682539408</v>
      </c>
      <c r="AI1019" s="470">
        <v>1</v>
      </c>
      <c r="AJ1019" s="471">
        <v>1.1273947150672353E-3</v>
      </c>
      <c r="AK1019" s="218">
        <v>33.722541682539408</v>
      </c>
      <c r="AL1019" s="470">
        <v>1</v>
      </c>
      <c r="AM1019" s="471">
        <v>1.1273947150672353E-3</v>
      </c>
      <c r="AN1019" s="477">
        <v>33.722541682539408</v>
      </c>
      <c r="AO1019" s="473">
        <v>1</v>
      </c>
      <c r="AP1019" s="474">
        <v>1.1273947150672353E-3</v>
      </c>
      <c r="AQ1019" s="352"/>
      <c r="AR1019" s="352"/>
      <c r="AS1019" s="352"/>
      <c r="AT1019" s="352"/>
      <c r="AU1019" s="352"/>
      <c r="AV1019" s="352"/>
      <c r="AW1019" s="352" t="s">
        <v>127</v>
      </c>
    </row>
    <row r="1020" spans="2:49" x14ac:dyDescent="0.2">
      <c r="B1020" s="460" t="s">
        <v>2668</v>
      </c>
      <c r="C1020" s="460">
        <v>2113</v>
      </c>
      <c r="D1020" s="460" t="s">
        <v>2391</v>
      </c>
      <c r="E1020" s="460" t="s">
        <v>2392</v>
      </c>
      <c r="F1020" s="460">
        <v>2</v>
      </c>
      <c r="G1020" s="460">
        <v>6</v>
      </c>
      <c r="H1020" s="461" t="s">
        <v>754</v>
      </c>
      <c r="I1020" s="461" t="s">
        <v>1991</v>
      </c>
      <c r="J1020" s="461" t="s">
        <v>754</v>
      </c>
      <c r="K1020" s="594"/>
      <c r="L1020" s="594"/>
      <c r="M1020" s="352">
        <v>2000</v>
      </c>
      <c r="N1020" s="352" t="s">
        <v>703</v>
      </c>
      <c r="O1020" s="460">
        <v>2113</v>
      </c>
      <c r="P1020" s="460" t="s">
        <v>1875</v>
      </c>
      <c r="Q1020" s="460" t="s">
        <v>2377</v>
      </c>
      <c r="R1020" s="460">
        <v>2113</v>
      </c>
      <c r="S1020" s="460" t="s">
        <v>2392</v>
      </c>
      <c r="T1020" s="462">
        <v>1</v>
      </c>
      <c r="U1020" s="460" t="s">
        <v>2392</v>
      </c>
      <c r="V1020" s="475">
        <v>0</v>
      </c>
      <c r="W1020" s="463" t="s">
        <v>2278</v>
      </c>
      <c r="X1020" s="463" t="s">
        <v>2278</v>
      </c>
      <c r="Y1020" s="463" t="s">
        <v>2278</v>
      </c>
      <c r="Z1020" s="463"/>
      <c r="AA1020" s="463"/>
      <c r="AB1020" s="464">
        <v>26.848933883181811</v>
      </c>
      <c r="AC1020" s="465">
        <v>1</v>
      </c>
      <c r="AD1020" s="465">
        <v>1.1540011154203029E-3</v>
      </c>
      <c r="AE1020" s="476">
        <v>26.848933883181811</v>
      </c>
      <c r="AF1020" s="467">
        <v>1</v>
      </c>
      <c r="AG1020" s="468">
        <v>1.1540011154203029E-3</v>
      </c>
      <c r="AH1020" s="218">
        <v>26.848933883181811</v>
      </c>
      <c r="AI1020" s="470">
        <v>1</v>
      </c>
      <c r="AJ1020" s="471">
        <v>1.1540011154203029E-3</v>
      </c>
      <c r="AK1020" s="218">
        <v>26.848933883181811</v>
      </c>
      <c r="AL1020" s="470">
        <v>1</v>
      </c>
      <c r="AM1020" s="471">
        <v>1.1540011154203029E-3</v>
      </c>
      <c r="AN1020" s="477">
        <v>26.848933883181811</v>
      </c>
      <c r="AO1020" s="473">
        <v>1</v>
      </c>
      <c r="AP1020" s="474">
        <v>1.1540011154203029E-3</v>
      </c>
      <c r="AQ1020" s="352"/>
      <c r="AR1020" s="352"/>
      <c r="AS1020" s="352"/>
      <c r="AT1020" s="352"/>
      <c r="AU1020" s="352"/>
      <c r="AV1020" s="352"/>
      <c r="AW1020" s="352" t="s">
        <v>127</v>
      </c>
    </row>
    <row r="1021" spans="2:49" x14ac:dyDescent="0.2">
      <c r="B1021" s="460" t="s">
        <v>2669</v>
      </c>
      <c r="C1021" s="460">
        <v>2113</v>
      </c>
      <c r="D1021" s="460" t="s">
        <v>2394</v>
      </c>
      <c r="E1021" s="460" t="s">
        <v>2395</v>
      </c>
      <c r="F1021" s="460">
        <v>3</v>
      </c>
      <c r="G1021" s="460">
        <v>6</v>
      </c>
      <c r="H1021" s="461" t="s">
        <v>754</v>
      </c>
      <c r="I1021" s="461" t="s">
        <v>1991</v>
      </c>
      <c r="J1021" s="461" t="s">
        <v>754</v>
      </c>
      <c r="K1021" s="594"/>
      <c r="L1021" s="594"/>
      <c r="M1021" s="352">
        <v>2000</v>
      </c>
      <c r="N1021" s="352" t="s">
        <v>703</v>
      </c>
      <c r="O1021" s="460">
        <v>2113</v>
      </c>
      <c r="P1021" s="460" t="s">
        <v>1875</v>
      </c>
      <c r="Q1021" s="460" t="s">
        <v>2377</v>
      </c>
      <c r="R1021" s="460">
        <v>2113</v>
      </c>
      <c r="S1021" s="460" t="s">
        <v>2395</v>
      </c>
      <c r="T1021" s="462">
        <v>1</v>
      </c>
      <c r="U1021" s="460" t="s">
        <v>2395</v>
      </c>
      <c r="V1021" s="475">
        <v>0</v>
      </c>
      <c r="W1021" s="463" t="s">
        <v>2278</v>
      </c>
      <c r="X1021" s="463" t="s">
        <v>2278</v>
      </c>
      <c r="Y1021" s="463" t="s">
        <v>2278</v>
      </c>
      <c r="Z1021" s="463"/>
      <c r="AA1021" s="463"/>
      <c r="AB1021" s="464">
        <v>12.519477813666366</v>
      </c>
      <c r="AC1021" s="465">
        <v>1</v>
      </c>
      <c r="AD1021" s="465">
        <v>1.1888870259671477E-3</v>
      </c>
      <c r="AE1021" s="476">
        <v>12.519477813666366</v>
      </c>
      <c r="AF1021" s="467">
        <v>1</v>
      </c>
      <c r="AG1021" s="468">
        <v>1.1888870259671477E-3</v>
      </c>
      <c r="AH1021" s="218">
        <v>12.519477813666366</v>
      </c>
      <c r="AI1021" s="470">
        <v>1</v>
      </c>
      <c r="AJ1021" s="471">
        <v>1.1888870259671477E-3</v>
      </c>
      <c r="AK1021" s="218">
        <v>12.519477813666366</v>
      </c>
      <c r="AL1021" s="470">
        <v>1</v>
      </c>
      <c r="AM1021" s="471">
        <v>1.1888870259671477E-3</v>
      </c>
      <c r="AN1021" s="477">
        <v>12.519477813666366</v>
      </c>
      <c r="AO1021" s="473">
        <v>1</v>
      </c>
      <c r="AP1021" s="474">
        <v>1.1888870259671477E-3</v>
      </c>
      <c r="AQ1021" s="352"/>
      <c r="AR1021" s="352"/>
      <c r="AS1021" s="352"/>
      <c r="AT1021" s="352"/>
      <c r="AU1021" s="352"/>
      <c r="AV1021" s="352"/>
      <c r="AW1021" s="352" t="s">
        <v>127</v>
      </c>
    </row>
    <row r="1022" spans="2:49" x14ac:dyDescent="0.2">
      <c r="B1022" s="460" t="s">
        <v>2670</v>
      </c>
      <c r="C1022" s="460">
        <v>2113</v>
      </c>
      <c r="D1022" s="460" t="s">
        <v>2397</v>
      </c>
      <c r="E1022" s="460" t="s">
        <v>2398</v>
      </c>
      <c r="F1022" s="460">
        <v>4</v>
      </c>
      <c r="G1022" s="460">
        <v>6</v>
      </c>
      <c r="H1022" s="461" t="s">
        <v>754</v>
      </c>
      <c r="I1022" s="461" t="s">
        <v>1991</v>
      </c>
      <c r="J1022" s="461" t="s">
        <v>754</v>
      </c>
      <c r="K1022" s="594"/>
      <c r="L1022" s="594"/>
      <c r="M1022" s="352">
        <v>2000</v>
      </c>
      <c r="N1022" s="352" t="s">
        <v>703</v>
      </c>
      <c r="O1022" s="460">
        <v>2113</v>
      </c>
      <c r="P1022" s="460" t="s">
        <v>1875</v>
      </c>
      <c r="Q1022" s="460" t="s">
        <v>2377</v>
      </c>
      <c r="R1022" s="460">
        <v>2113</v>
      </c>
      <c r="S1022" s="460" t="s">
        <v>2398</v>
      </c>
      <c r="T1022" s="462">
        <v>1</v>
      </c>
      <c r="U1022" s="460" t="s">
        <v>2398</v>
      </c>
      <c r="V1022" s="475">
        <v>0</v>
      </c>
      <c r="W1022" s="463" t="s">
        <v>2278</v>
      </c>
      <c r="X1022" s="463" t="s">
        <v>2278</v>
      </c>
      <c r="Y1022" s="463" t="s">
        <v>2278</v>
      </c>
      <c r="Z1022" s="463"/>
      <c r="AA1022" s="463"/>
      <c r="AB1022" s="464">
        <v>21.416146509251003</v>
      </c>
      <c r="AC1022" s="465">
        <v>1</v>
      </c>
      <c r="AD1022" s="465">
        <v>1.6991623210247182E-3</v>
      </c>
      <c r="AE1022" s="476">
        <v>21.416146509251003</v>
      </c>
      <c r="AF1022" s="467">
        <v>1</v>
      </c>
      <c r="AG1022" s="468">
        <v>1.6991623210247182E-3</v>
      </c>
      <c r="AH1022" s="218">
        <v>21.416146509251003</v>
      </c>
      <c r="AI1022" s="470">
        <v>1</v>
      </c>
      <c r="AJ1022" s="471">
        <v>1.6991623210247182E-3</v>
      </c>
      <c r="AK1022" s="218">
        <v>21.416146509251003</v>
      </c>
      <c r="AL1022" s="470">
        <v>1</v>
      </c>
      <c r="AM1022" s="471">
        <v>1.6991623210247182E-3</v>
      </c>
      <c r="AN1022" s="477">
        <v>21.416146509251003</v>
      </c>
      <c r="AO1022" s="473">
        <v>1</v>
      </c>
      <c r="AP1022" s="474">
        <v>1.6991623210247182E-3</v>
      </c>
      <c r="AQ1022" s="352"/>
      <c r="AR1022" s="352"/>
      <c r="AS1022" s="352"/>
      <c r="AT1022" s="352"/>
      <c r="AU1022" s="352"/>
      <c r="AV1022" s="352"/>
      <c r="AW1022" s="352" t="s">
        <v>127</v>
      </c>
    </row>
    <row r="1023" spans="2:49" x14ac:dyDescent="0.2">
      <c r="B1023" s="460" t="s">
        <v>2671</v>
      </c>
      <c r="C1023" s="460">
        <v>2114</v>
      </c>
      <c r="D1023" s="460" t="s">
        <v>2264</v>
      </c>
      <c r="E1023" s="460" t="s">
        <v>2265</v>
      </c>
      <c r="F1023" s="460">
        <v>1</v>
      </c>
      <c r="G1023" s="460">
        <v>1</v>
      </c>
      <c r="H1023" s="461" t="s">
        <v>700</v>
      </c>
      <c r="I1023" s="461" t="s">
        <v>872</v>
      </c>
      <c r="J1023" s="461" t="s">
        <v>700</v>
      </c>
      <c r="K1023" s="594"/>
      <c r="L1023" s="594"/>
      <c r="M1023" s="352">
        <v>2000</v>
      </c>
      <c r="N1023" s="352" t="s">
        <v>703</v>
      </c>
      <c r="O1023" s="460">
        <v>2114</v>
      </c>
      <c r="P1023" s="460" t="s">
        <v>756</v>
      </c>
      <c r="Q1023" s="460" t="s">
        <v>2440</v>
      </c>
      <c r="R1023" s="460">
        <v>2114</v>
      </c>
      <c r="S1023" s="460" t="s">
        <v>2265</v>
      </c>
      <c r="T1023" s="462">
        <v>1</v>
      </c>
      <c r="U1023" s="460" t="s">
        <v>2265</v>
      </c>
      <c r="V1023" s="475">
        <v>0</v>
      </c>
      <c r="W1023" s="463" t="s">
        <v>2267</v>
      </c>
      <c r="X1023" s="463" t="s">
        <v>2267</v>
      </c>
      <c r="Y1023" s="463" t="s">
        <v>2268</v>
      </c>
      <c r="Z1023" s="463"/>
      <c r="AA1023" s="463"/>
      <c r="AB1023" s="464">
        <v>7.5239522570509783</v>
      </c>
      <c r="AC1023" s="465">
        <v>0.4600393047858265</v>
      </c>
      <c r="AD1023" s="465">
        <v>6.9772883602085836E-5</v>
      </c>
      <c r="AE1023" s="476">
        <v>7.5239522570509783</v>
      </c>
      <c r="AF1023" s="467">
        <v>0.4600393047858265</v>
      </c>
      <c r="AG1023" s="468">
        <v>7.4532042445845094E-5</v>
      </c>
      <c r="AH1023" s="218">
        <v>7.5239522570509783</v>
      </c>
      <c r="AI1023" s="470">
        <v>0.4600393047858265</v>
      </c>
      <c r="AJ1023" s="471">
        <v>7.1743436845424615E-5</v>
      </c>
      <c r="AK1023" s="218">
        <v>7.5239522570509783</v>
      </c>
      <c r="AL1023" s="470">
        <v>0.4600393047858265</v>
      </c>
      <c r="AM1023" s="471">
        <v>7.1743436845424615E-5</v>
      </c>
      <c r="AN1023" s="477">
        <v>0</v>
      </c>
      <c r="AO1023" s="473">
        <v>0</v>
      </c>
      <c r="AP1023" s="474">
        <v>0</v>
      </c>
      <c r="AQ1023" s="352"/>
      <c r="AR1023" s="352"/>
      <c r="AS1023" s="352"/>
      <c r="AT1023" s="352"/>
      <c r="AU1023" s="352"/>
      <c r="AV1023" s="352"/>
      <c r="AW1023" s="352" t="s">
        <v>254</v>
      </c>
    </row>
    <row r="1024" spans="2:49" x14ac:dyDescent="0.2">
      <c r="B1024" s="460" t="s">
        <v>2672</v>
      </c>
      <c r="C1024" s="460">
        <v>2114</v>
      </c>
      <c r="D1024" s="460" t="s">
        <v>2270</v>
      </c>
      <c r="E1024" s="460" t="s">
        <v>2271</v>
      </c>
      <c r="F1024" s="460">
        <v>2</v>
      </c>
      <c r="G1024" s="460">
        <v>1</v>
      </c>
      <c r="H1024" s="461" t="s">
        <v>700</v>
      </c>
      <c r="I1024" s="461" t="s">
        <v>872</v>
      </c>
      <c r="J1024" s="461" t="s">
        <v>700</v>
      </c>
      <c r="K1024" s="594"/>
      <c r="L1024" s="594"/>
      <c r="M1024" s="352">
        <v>2000</v>
      </c>
      <c r="N1024" s="352" t="s">
        <v>703</v>
      </c>
      <c r="O1024" s="460">
        <v>2114</v>
      </c>
      <c r="P1024" s="460" t="s">
        <v>756</v>
      </c>
      <c r="Q1024" s="460" t="s">
        <v>2440</v>
      </c>
      <c r="R1024" s="460">
        <v>2114</v>
      </c>
      <c r="S1024" s="460" t="s">
        <v>2265</v>
      </c>
      <c r="T1024" s="462">
        <v>1</v>
      </c>
      <c r="U1024" s="460" t="s">
        <v>2271</v>
      </c>
      <c r="V1024" s="475">
        <v>0</v>
      </c>
      <c r="W1024" s="463" t="s">
        <v>2267</v>
      </c>
      <c r="X1024" s="463" t="s">
        <v>2267</v>
      </c>
      <c r="Y1024" s="463" t="s">
        <v>2268</v>
      </c>
      <c r="Z1024" s="463"/>
      <c r="AA1024" s="463"/>
      <c r="AB1024" s="464">
        <v>8.983807893014637</v>
      </c>
      <c r="AC1024" s="465">
        <v>0.44689366740016256</v>
      </c>
      <c r="AD1024" s="465">
        <v>1.114602457107593E-4</v>
      </c>
      <c r="AE1024" s="476">
        <v>8.983807893014637</v>
      </c>
      <c r="AF1024" s="467">
        <v>0.44689366740016256</v>
      </c>
      <c r="AG1024" s="468">
        <v>1.2078514936038713E-4</v>
      </c>
      <c r="AH1024" s="218">
        <v>9.2480718321102149</v>
      </c>
      <c r="AI1024" s="470">
        <v>0.4600393047858265</v>
      </c>
      <c r="AJ1024" s="471">
        <v>1.0918643041793837E-4</v>
      </c>
      <c r="AK1024" s="218">
        <v>9.2480718321102149</v>
      </c>
      <c r="AL1024" s="470">
        <v>0.4600393047858265</v>
      </c>
      <c r="AM1024" s="471">
        <v>1.0918643041793837E-4</v>
      </c>
      <c r="AN1024" s="477">
        <v>0</v>
      </c>
      <c r="AO1024" s="473">
        <v>0</v>
      </c>
      <c r="AP1024" s="474">
        <v>0</v>
      </c>
      <c r="AQ1024" s="352"/>
      <c r="AR1024" s="352"/>
      <c r="AS1024" s="352"/>
      <c r="AT1024" s="352"/>
      <c r="AU1024" s="352"/>
      <c r="AV1024" s="352"/>
      <c r="AW1024" s="352" t="s">
        <v>254</v>
      </c>
    </row>
    <row r="1025" spans="2:49" x14ac:dyDescent="0.2">
      <c r="B1025" s="460" t="s">
        <v>2673</v>
      </c>
      <c r="C1025" s="460">
        <v>2114</v>
      </c>
      <c r="D1025" s="460" t="s">
        <v>2273</v>
      </c>
      <c r="E1025" s="460" t="s">
        <v>2274</v>
      </c>
      <c r="F1025" s="460">
        <v>3</v>
      </c>
      <c r="G1025" s="460">
        <v>1</v>
      </c>
      <c r="H1025" s="461" t="s">
        <v>700</v>
      </c>
      <c r="I1025" s="461" t="s">
        <v>872</v>
      </c>
      <c r="J1025" s="461" t="s">
        <v>700</v>
      </c>
      <c r="K1025" s="594"/>
      <c r="L1025" s="594"/>
      <c r="M1025" s="352">
        <v>2000</v>
      </c>
      <c r="N1025" s="352" t="s">
        <v>703</v>
      </c>
      <c r="O1025" s="460">
        <v>2114</v>
      </c>
      <c r="P1025" s="460" t="s">
        <v>756</v>
      </c>
      <c r="Q1025" s="460" t="s">
        <v>2440</v>
      </c>
      <c r="R1025" s="460">
        <v>2114</v>
      </c>
      <c r="S1025" s="460" t="s">
        <v>2265</v>
      </c>
      <c r="T1025" s="462">
        <v>0.74223365950407583</v>
      </c>
      <c r="U1025" s="460" t="s">
        <v>2274</v>
      </c>
      <c r="V1025" s="475">
        <v>0</v>
      </c>
      <c r="W1025" s="463" t="s">
        <v>2267</v>
      </c>
      <c r="X1025" s="463" t="s">
        <v>2267</v>
      </c>
      <c r="Y1025" s="463" t="s">
        <v>2268</v>
      </c>
      <c r="Z1025" s="463"/>
      <c r="AA1025" s="463"/>
      <c r="AB1025" s="464">
        <v>1.948809318707257</v>
      </c>
      <c r="AC1025" s="465">
        <v>0.13491396193028565</v>
      </c>
      <c r="AD1025" s="465">
        <v>9.6406926029218582E-5</v>
      </c>
      <c r="AE1025" s="476">
        <v>1.948809318707257</v>
      </c>
      <c r="AF1025" s="467">
        <v>0.13491396193028565</v>
      </c>
      <c r="AG1025" s="468">
        <v>1.0442548045939672E-4</v>
      </c>
      <c r="AH1025" s="218">
        <v>4.9322835457821075</v>
      </c>
      <c r="AI1025" s="470">
        <v>0.3414566567068949</v>
      </c>
      <c r="AJ1025" s="471">
        <v>1.9139275013533311E-4</v>
      </c>
      <c r="AK1025" s="218">
        <v>4.9322835457821075</v>
      </c>
      <c r="AL1025" s="470">
        <v>0.3414566567068949</v>
      </c>
      <c r="AM1025" s="471">
        <v>1.9139275013533311E-4</v>
      </c>
      <c r="AN1025" s="477">
        <v>0</v>
      </c>
      <c r="AO1025" s="473">
        <v>0</v>
      </c>
      <c r="AP1025" s="474">
        <v>0</v>
      </c>
      <c r="AQ1025" s="352"/>
      <c r="AR1025" s="352"/>
      <c r="AS1025" s="352"/>
      <c r="AT1025" s="352"/>
      <c r="AU1025" s="352"/>
      <c r="AV1025" s="352"/>
      <c r="AW1025" s="352" t="s">
        <v>254</v>
      </c>
    </row>
    <row r="1026" spans="2:49" x14ac:dyDescent="0.2">
      <c r="B1026" s="460" t="s">
        <v>2674</v>
      </c>
      <c r="C1026" s="460">
        <v>2114</v>
      </c>
      <c r="D1026" s="460" t="s">
        <v>2276</v>
      </c>
      <c r="E1026" s="460" t="s">
        <v>2277</v>
      </c>
      <c r="F1026" s="460">
        <v>4</v>
      </c>
      <c r="G1026" s="460">
        <v>1</v>
      </c>
      <c r="H1026" s="461" t="s">
        <v>700</v>
      </c>
      <c r="I1026" s="461" t="s">
        <v>872</v>
      </c>
      <c r="J1026" s="461" t="s">
        <v>700</v>
      </c>
      <c r="K1026" s="594"/>
      <c r="L1026" s="594"/>
      <c r="M1026" s="352">
        <v>2000</v>
      </c>
      <c r="N1026" s="352" t="s">
        <v>703</v>
      </c>
      <c r="O1026" s="460">
        <v>2114</v>
      </c>
      <c r="P1026" s="460" t="s">
        <v>756</v>
      </c>
      <c r="Q1026" s="460" t="s">
        <v>2440</v>
      </c>
      <c r="R1026" s="460">
        <v>2114</v>
      </c>
      <c r="S1026" s="460" t="s">
        <v>2277</v>
      </c>
      <c r="T1026" s="462">
        <v>1</v>
      </c>
      <c r="U1026" s="460" t="s">
        <v>2277</v>
      </c>
      <c r="V1026" s="475">
        <v>0</v>
      </c>
      <c r="W1026" s="463" t="s">
        <v>2278</v>
      </c>
      <c r="X1026" s="463" t="s">
        <v>2278</v>
      </c>
      <c r="Y1026" s="463" t="s">
        <v>2268</v>
      </c>
      <c r="Z1026" s="463"/>
      <c r="AA1026" s="463"/>
      <c r="AB1026" s="464">
        <v>8.135055293015973E-3</v>
      </c>
      <c r="AC1026" s="465">
        <v>5.7387138406819163E-4</v>
      </c>
      <c r="AD1026" s="465">
        <v>3.2834789159059631E-5</v>
      </c>
      <c r="AE1026" s="476">
        <v>8.135055293015973E-3</v>
      </c>
      <c r="AF1026" s="467">
        <v>5.7387138406819163E-4</v>
      </c>
      <c r="AG1026" s="468">
        <v>3.6707563470484375E-5</v>
      </c>
      <c r="AH1026" s="218">
        <v>8.135055293015973E-3</v>
      </c>
      <c r="AI1026" s="470">
        <v>5.7387138406819163E-4</v>
      </c>
      <c r="AJ1026" s="471">
        <v>3.518261065229343E-5</v>
      </c>
      <c r="AK1026" s="218">
        <v>8.135055293015973E-3</v>
      </c>
      <c r="AL1026" s="470">
        <v>5.7387138406819163E-4</v>
      </c>
      <c r="AM1026" s="471">
        <v>3.518261065229343E-5</v>
      </c>
      <c r="AN1026" s="477">
        <v>0</v>
      </c>
      <c r="AO1026" s="473">
        <v>0</v>
      </c>
      <c r="AP1026" s="474">
        <v>0</v>
      </c>
      <c r="AQ1026" s="352"/>
      <c r="AR1026" s="352"/>
      <c r="AS1026" s="352"/>
      <c r="AT1026" s="352"/>
      <c r="AU1026" s="352"/>
      <c r="AV1026" s="352"/>
      <c r="AW1026" s="352" t="s">
        <v>254</v>
      </c>
    </row>
    <row r="1027" spans="2:49" x14ac:dyDescent="0.2">
      <c r="B1027" s="460" t="s">
        <v>2671</v>
      </c>
      <c r="C1027" s="460">
        <v>2114</v>
      </c>
      <c r="D1027" s="460" t="s">
        <v>2279</v>
      </c>
      <c r="E1027" s="460" t="s">
        <v>2265</v>
      </c>
      <c r="F1027" s="460">
        <v>1</v>
      </c>
      <c r="G1027" s="460">
        <v>1</v>
      </c>
      <c r="H1027" s="461" t="s">
        <v>712</v>
      </c>
      <c r="I1027" s="461" t="s">
        <v>713</v>
      </c>
      <c r="J1027" s="461" t="s">
        <v>712</v>
      </c>
      <c r="K1027" s="594"/>
      <c r="L1027" s="594"/>
      <c r="M1027" s="352">
        <v>2000</v>
      </c>
      <c r="N1027" s="352" t="s">
        <v>703</v>
      </c>
      <c r="O1027" s="460">
        <v>2114</v>
      </c>
      <c r="P1027" s="460" t="s">
        <v>756</v>
      </c>
      <c r="Q1027" s="460" t="s">
        <v>2280</v>
      </c>
      <c r="R1027" s="460">
        <v>2114</v>
      </c>
      <c r="S1027" s="460" t="s">
        <v>2265</v>
      </c>
      <c r="T1027" s="462">
        <v>1</v>
      </c>
      <c r="U1027" s="460" t="s">
        <v>2265</v>
      </c>
      <c r="V1027" s="475">
        <v>0</v>
      </c>
      <c r="W1027" s="463" t="s">
        <v>713</v>
      </c>
      <c r="X1027" s="463" t="s">
        <v>713</v>
      </c>
      <c r="Y1027" s="463" t="s">
        <v>713</v>
      </c>
      <c r="Z1027" s="463"/>
      <c r="AA1027" s="463"/>
      <c r="AB1027" s="464">
        <v>8.831068235282368</v>
      </c>
      <c r="AC1027" s="465">
        <v>0.53996069521417356</v>
      </c>
      <c r="AD1027" s="465">
        <v>3.2623493290384447E-5</v>
      </c>
      <c r="AE1027" s="476">
        <v>8.831068235282368</v>
      </c>
      <c r="AF1027" s="467">
        <v>0.53996069521417356</v>
      </c>
      <c r="AG1027" s="468">
        <v>3.1814238476704358E-5</v>
      </c>
      <c r="AH1027" s="218">
        <v>8.831068235282368</v>
      </c>
      <c r="AI1027" s="470">
        <v>0.53996069521417356</v>
      </c>
      <c r="AJ1027" s="471">
        <v>3.2270402041595946E-5</v>
      </c>
      <c r="AK1027" s="218">
        <v>8.831068235282368</v>
      </c>
      <c r="AL1027" s="470">
        <v>0.53996069521417356</v>
      </c>
      <c r="AM1027" s="471">
        <v>3.2270402041595946E-5</v>
      </c>
      <c r="AN1027" s="477">
        <v>8.831068235282368</v>
      </c>
      <c r="AO1027" s="473">
        <v>0.53996069521417356</v>
      </c>
      <c r="AP1027" s="474">
        <v>3.2259887050366392E-5</v>
      </c>
      <c r="AQ1027" s="352"/>
      <c r="AR1027" s="352"/>
      <c r="AS1027" s="352"/>
      <c r="AT1027" s="352"/>
      <c r="AU1027" s="352"/>
      <c r="AV1027" s="352"/>
      <c r="AW1027" s="352" t="s">
        <v>254</v>
      </c>
    </row>
    <row r="1028" spans="2:49" x14ac:dyDescent="0.2">
      <c r="B1028" s="460" t="s">
        <v>2672</v>
      </c>
      <c r="C1028" s="460">
        <v>2114</v>
      </c>
      <c r="D1028" s="460" t="s">
        <v>2281</v>
      </c>
      <c r="E1028" s="460" t="s">
        <v>2271</v>
      </c>
      <c r="F1028" s="460">
        <v>2</v>
      </c>
      <c r="G1028" s="460">
        <v>1</v>
      </c>
      <c r="H1028" s="461" t="s">
        <v>712</v>
      </c>
      <c r="I1028" s="461" t="s">
        <v>713</v>
      </c>
      <c r="J1028" s="461" t="s">
        <v>712</v>
      </c>
      <c r="K1028" s="594"/>
      <c r="L1028" s="594"/>
      <c r="M1028" s="352">
        <v>2000</v>
      </c>
      <c r="N1028" s="352" t="s">
        <v>703</v>
      </c>
      <c r="O1028" s="460">
        <v>2114</v>
      </c>
      <c r="P1028" s="460" t="s">
        <v>756</v>
      </c>
      <c r="Q1028" s="460" t="s">
        <v>2280</v>
      </c>
      <c r="R1028" s="460">
        <v>2114</v>
      </c>
      <c r="S1028" s="460" t="s">
        <v>2265</v>
      </c>
      <c r="T1028" s="462">
        <v>1</v>
      </c>
      <c r="U1028" s="460" t="s">
        <v>2271</v>
      </c>
      <c r="V1028" s="475">
        <v>0</v>
      </c>
      <c r="W1028" s="463" t="s">
        <v>713</v>
      </c>
      <c r="X1028" s="463" t="s">
        <v>713</v>
      </c>
      <c r="Y1028" s="463" t="s">
        <v>713</v>
      </c>
      <c r="Z1028" s="463"/>
      <c r="AA1028" s="463"/>
      <c r="AB1028" s="464">
        <v>11.118978403507784</v>
      </c>
      <c r="AC1028" s="465">
        <v>0.55310633259983744</v>
      </c>
      <c r="AD1028" s="465">
        <v>4.6431970961247652E-5</v>
      </c>
      <c r="AE1028" s="476">
        <v>11.118978403507784</v>
      </c>
      <c r="AF1028" s="467">
        <v>0.55310633259983744</v>
      </c>
      <c r="AG1028" s="468">
        <v>4.5255991888702269E-5</v>
      </c>
      <c r="AH1028" s="218">
        <v>10.854714464412208</v>
      </c>
      <c r="AI1028" s="470">
        <v>0.53996069521417356</v>
      </c>
      <c r="AJ1028" s="471">
        <v>4.6633432613698342E-5</v>
      </c>
      <c r="AK1028" s="218">
        <v>10.854714464412208</v>
      </c>
      <c r="AL1028" s="470">
        <v>0.53996069521417356</v>
      </c>
      <c r="AM1028" s="471">
        <v>4.6633432613698342E-5</v>
      </c>
      <c r="AN1028" s="477">
        <v>10.854714464412208</v>
      </c>
      <c r="AO1028" s="473">
        <v>0.53996069521417356</v>
      </c>
      <c r="AP1028" s="474">
        <v>4.6617058085704904E-5</v>
      </c>
      <c r="AQ1028" s="352"/>
      <c r="AR1028" s="352"/>
      <c r="AS1028" s="352"/>
      <c r="AT1028" s="352"/>
      <c r="AU1028" s="352"/>
      <c r="AV1028" s="352"/>
      <c r="AW1028" s="352" t="s">
        <v>254</v>
      </c>
    </row>
    <row r="1029" spans="2:49" x14ac:dyDescent="0.2">
      <c r="B1029" s="460" t="s">
        <v>2673</v>
      </c>
      <c r="C1029" s="460">
        <v>2114</v>
      </c>
      <c r="D1029" s="460" t="s">
        <v>2282</v>
      </c>
      <c r="E1029" s="460" t="s">
        <v>2274</v>
      </c>
      <c r="F1029" s="460">
        <v>3</v>
      </c>
      <c r="G1029" s="460">
        <v>1</v>
      </c>
      <c r="H1029" s="461" t="s">
        <v>712</v>
      </c>
      <c r="I1029" s="461" t="s">
        <v>713</v>
      </c>
      <c r="J1029" s="461" t="s">
        <v>712</v>
      </c>
      <c r="K1029" s="594"/>
      <c r="L1029" s="594"/>
      <c r="M1029" s="352">
        <v>2000</v>
      </c>
      <c r="N1029" s="352" t="s">
        <v>703</v>
      </c>
      <c r="O1029" s="460">
        <v>2114</v>
      </c>
      <c r="P1029" s="460" t="s">
        <v>756</v>
      </c>
      <c r="Q1029" s="460" t="s">
        <v>2280</v>
      </c>
      <c r="R1029" s="460">
        <v>2114</v>
      </c>
      <c r="S1029" s="460" t="s">
        <v>2265</v>
      </c>
      <c r="T1029" s="462">
        <v>0.74223365950407583</v>
      </c>
      <c r="U1029" s="460" t="s">
        <v>2274</v>
      </c>
      <c r="V1029" s="475">
        <v>0</v>
      </c>
      <c r="W1029" s="463" t="s">
        <v>713</v>
      </c>
      <c r="X1029" s="463" t="s">
        <v>713</v>
      </c>
      <c r="Y1029" s="463" t="s">
        <v>713</v>
      </c>
      <c r="Z1029" s="463"/>
      <c r="AA1029" s="463"/>
      <c r="AB1029" s="464">
        <v>12.496021229774218</v>
      </c>
      <c r="AC1029" s="465">
        <v>0.8650860380697144</v>
      </c>
      <c r="AD1029" s="465">
        <v>7.4791341980346598E-5</v>
      </c>
      <c r="AE1029" s="476">
        <v>12.496021229774216</v>
      </c>
      <c r="AF1029" s="467">
        <v>0.86508603806971429</v>
      </c>
      <c r="AG1029" s="468">
        <v>7.4102902917828317E-5</v>
      </c>
      <c r="AH1029" s="218">
        <v>9.5125470026993693</v>
      </c>
      <c r="AI1029" s="470">
        <v>0.65854334329310515</v>
      </c>
      <c r="AJ1029" s="471">
        <v>5.9778469351317654E-5</v>
      </c>
      <c r="AK1029" s="218">
        <v>9.5125470026993693</v>
      </c>
      <c r="AL1029" s="470">
        <v>0.65854334329310515</v>
      </c>
      <c r="AM1029" s="471">
        <v>5.9778469351317654E-5</v>
      </c>
      <c r="AN1029" s="477">
        <v>9.5125470026993693</v>
      </c>
      <c r="AO1029" s="473">
        <v>0.65854334329310515</v>
      </c>
      <c r="AP1029" s="474">
        <v>6.0209711041398353E-5</v>
      </c>
      <c r="AQ1029" s="352"/>
      <c r="AR1029" s="352"/>
      <c r="AS1029" s="352"/>
      <c r="AT1029" s="352"/>
      <c r="AU1029" s="352"/>
      <c r="AV1029" s="352"/>
      <c r="AW1029" s="352" t="s">
        <v>254</v>
      </c>
    </row>
    <row r="1030" spans="2:49" x14ac:dyDescent="0.2">
      <c r="B1030" s="460" t="s">
        <v>2674</v>
      </c>
      <c r="C1030" s="460">
        <v>2114</v>
      </c>
      <c r="D1030" s="460" t="s">
        <v>2283</v>
      </c>
      <c r="E1030" s="460" t="s">
        <v>2277</v>
      </c>
      <c r="F1030" s="460">
        <v>4</v>
      </c>
      <c r="G1030" s="460">
        <v>1</v>
      </c>
      <c r="H1030" s="461" t="s">
        <v>712</v>
      </c>
      <c r="I1030" s="461" t="s">
        <v>713</v>
      </c>
      <c r="J1030" s="461" t="s">
        <v>712</v>
      </c>
      <c r="K1030" s="594"/>
      <c r="L1030" s="594"/>
      <c r="M1030" s="352">
        <v>2000</v>
      </c>
      <c r="N1030" s="352" t="s">
        <v>703</v>
      </c>
      <c r="O1030" s="460">
        <v>2114</v>
      </c>
      <c r="P1030" s="460" t="s">
        <v>756</v>
      </c>
      <c r="Q1030" s="460" t="s">
        <v>2280</v>
      </c>
      <c r="R1030" s="460">
        <v>2114</v>
      </c>
      <c r="S1030" s="460" t="s">
        <v>2277</v>
      </c>
      <c r="T1030" s="462">
        <v>1</v>
      </c>
      <c r="U1030" s="460" t="s">
        <v>2277</v>
      </c>
      <c r="V1030" s="475">
        <v>0</v>
      </c>
      <c r="W1030" s="463" t="s">
        <v>713</v>
      </c>
      <c r="X1030" s="463" t="s">
        <v>713</v>
      </c>
      <c r="Y1030" s="463" t="s">
        <v>713</v>
      </c>
      <c r="Z1030" s="463"/>
      <c r="AA1030" s="463"/>
      <c r="AB1030" s="464">
        <v>14.167611494999001</v>
      </c>
      <c r="AC1030" s="465">
        <v>0.99942612861593183</v>
      </c>
      <c r="AD1030" s="465">
        <v>7.3576300758261843E-5</v>
      </c>
      <c r="AE1030" s="476">
        <v>14.167611494999001</v>
      </c>
      <c r="AF1030" s="467">
        <v>0.99942612861593183</v>
      </c>
      <c r="AG1030" s="468">
        <v>7.3566314260352435E-5</v>
      </c>
      <c r="AH1030" s="218">
        <v>14.167611494999001</v>
      </c>
      <c r="AI1030" s="470">
        <v>0.99942612861593183</v>
      </c>
      <c r="AJ1030" s="471">
        <v>7.3569983839970863E-5</v>
      </c>
      <c r="AK1030" s="218">
        <v>14.167611494999001</v>
      </c>
      <c r="AL1030" s="470">
        <v>0.99942612861593183</v>
      </c>
      <c r="AM1030" s="471">
        <v>7.3569983839970863E-5</v>
      </c>
      <c r="AN1030" s="477">
        <v>14.167611494999001</v>
      </c>
      <c r="AO1030" s="473">
        <v>0.99942612861593183</v>
      </c>
      <c r="AP1030" s="474">
        <v>7.3570350690367833E-5</v>
      </c>
      <c r="AQ1030" s="352"/>
      <c r="AR1030" s="352"/>
      <c r="AS1030" s="352"/>
      <c r="AT1030" s="352"/>
      <c r="AU1030" s="352"/>
      <c r="AV1030" s="352"/>
      <c r="AW1030" s="352" t="s">
        <v>254</v>
      </c>
    </row>
    <row r="1031" spans="2:49" x14ac:dyDescent="0.2">
      <c r="B1031" s="460" t="s">
        <v>2671</v>
      </c>
      <c r="C1031" s="460">
        <v>2114</v>
      </c>
      <c r="D1031" s="460" t="s">
        <v>2284</v>
      </c>
      <c r="E1031" s="460" t="s">
        <v>2265</v>
      </c>
      <c r="F1031" s="460">
        <v>1</v>
      </c>
      <c r="G1031" s="460">
        <v>1</v>
      </c>
      <c r="H1031" s="461" t="s">
        <v>746</v>
      </c>
      <c r="I1031" s="461" t="s">
        <v>762</v>
      </c>
      <c r="J1031" s="461" t="s">
        <v>700</v>
      </c>
      <c r="K1031" s="594"/>
      <c r="L1031" s="594"/>
      <c r="M1031" s="352">
        <v>2000</v>
      </c>
      <c r="N1031" s="352" t="s">
        <v>703</v>
      </c>
      <c r="O1031" s="460">
        <v>2114</v>
      </c>
      <c r="P1031" s="460" t="s">
        <v>756</v>
      </c>
      <c r="Q1031" s="460" t="s">
        <v>2444</v>
      </c>
      <c r="R1031" s="460">
        <v>2114</v>
      </c>
      <c r="S1031" s="460" t="s">
        <v>2265</v>
      </c>
      <c r="T1031" s="462">
        <v>1</v>
      </c>
      <c r="U1031" s="460" t="s">
        <v>2265</v>
      </c>
      <c r="V1031" s="475">
        <v>0</v>
      </c>
      <c r="W1031" s="463" t="s">
        <v>2268</v>
      </c>
      <c r="X1031" s="463" t="s">
        <v>2268</v>
      </c>
      <c r="Y1031" s="463" t="s">
        <v>2290</v>
      </c>
      <c r="Z1031" s="463"/>
      <c r="AA1031" s="463"/>
      <c r="AB1031" s="464">
        <v>0</v>
      </c>
      <c r="AC1031" s="465">
        <v>0</v>
      </c>
      <c r="AD1031" s="465">
        <v>0</v>
      </c>
      <c r="AE1031" s="476">
        <v>0</v>
      </c>
      <c r="AF1031" s="467">
        <v>0</v>
      </c>
      <c r="AG1031" s="468">
        <v>0</v>
      </c>
      <c r="AH1031" s="218">
        <v>0</v>
      </c>
      <c r="AI1031" s="470">
        <v>0</v>
      </c>
      <c r="AJ1031" s="471">
        <v>0</v>
      </c>
      <c r="AK1031" s="218">
        <v>0</v>
      </c>
      <c r="AL1031" s="470">
        <v>0</v>
      </c>
      <c r="AM1031" s="471">
        <v>0</v>
      </c>
      <c r="AN1031" s="477">
        <v>0</v>
      </c>
      <c r="AO1031" s="473">
        <v>0</v>
      </c>
      <c r="AP1031" s="474">
        <v>0</v>
      </c>
      <c r="AQ1031" s="352"/>
      <c r="AR1031" s="352"/>
      <c r="AS1031" s="352"/>
      <c r="AT1031" s="352"/>
      <c r="AU1031" s="352"/>
      <c r="AV1031" s="352"/>
      <c r="AW1031" s="352" t="s">
        <v>254</v>
      </c>
    </row>
    <row r="1032" spans="2:49" x14ac:dyDescent="0.2">
      <c r="B1032" s="460" t="s">
        <v>2672</v>
      </c>
      <c r="C1032" s="460">
        <v>2114</v>
      </c>
      <c r="D1032" s="460" t="s">
        <v>2285</v>
      </c>
      <c r="E1032" s="460" t="s">
        <v>2271</v>
      </c>
      <c r="F1032" s="460">
        <v>2</v>
      </c>
      <c r="G1032" s="460">
        <v>1</v>
      </c>
      <c r="H1032" s="461" t="s">
        <v>746</v>
      </c>
      <c r="I1032" s="461" t="s">
        <v>762</v>
      </c>
      <c r="J1032" s="461" t="s">
        <v>700</v>
      </c>
      <c r="K1032" s="594"/>
      <c r="L1032" s="594"/>
      <c r="M1032" s="352">
        <v>2000</v>
      </c>
      <c r="N1032" s="352" t="s">
        <v>703</v>
      </c>
      <c r="O1032" s="460">
        <v>2114</v>
      </c>
      <c r="P1032" s="460" t="s">
        <v>756</v>
      </c>
      <c r="Q1032" s="460" t="s">
        <v>2444</v>
      </c>
      <c r="R1032" s="460">
        <v>2114</v>
      </c>
      <c r="S1032" s="460" t="s">
        <v>2265</v>
      </c>
      <c r="T1032" s="462">
        <v>1</v>
      </c>
      <c r="U1032" s="460" t="s">
        <v>2271</v>
      </c>
      <c r="V1032" s="475">
        <v>0</v>
      </c>
      <c r="W1032" s="463" t="s">
        <v>2268</v>
      </c>
      <c r="X1032" s="463" t="s">
        <v>2268</v>
      </c>
      <c r="Y1032" s="463" t="s">
        <v>2290</v>
      </c>
      <c r="Z1032" s="463"/>
      <c r="AA1032" s="463"/>
      <c r="AB1032" s="464">
        <v>0</v>
      </c>
      <c r="AC1032" s="465">
        <v>0</v>
      </c>
      <c r="AD1032" s="465">
        <v>0</v>
      </c>
      <c r="AE1032" s="476">
        <v>0</v>
      </c>
      <c r="AF1032" s="467">
        <v>0</v>
      </c>
      <c r="AG1032" s="468">
        <v>0</v>
      </c>
      <c r="AH1032" s="218">
        <v>0</v>
      </c>
      <c r="AI1032" s="470">
        <v>0</v>
      </c>
      <c r="AJ1032" s="471">
        <v>0</v>
      </c>
      <c r="AK1032" s="218">
        <v>0</v>
      </c>
      <c r="AL1032" s="470">
        <v>0</v>
      </c>
      <c r="AM1032" s="471">
        <v>0</v>
      </c>
      <c r="AN1032" s="477">
        <v>0</v>
      </c>
      <c r="AO1032" s="473">
        <v>0</v>
      </c>
      <c r="AP1032" s="474">
        <v>0</v>
      </c>
      <c r="AQ1032" s="352"/>
      <c r="AR1032" s="352"/>
      <c r="AS1032" s="352"/>
      <c r="AT1032" s="352"/>
      <c r="AU1032" s="352"/>
      <c r="AV1032" s="352"/>
      <c r="AW1032" s="352" t="s">
        <v>254</v>
      </c>
    </row>
    <row r="1033" spans="2:49" x14ac:dyDescent="0.2">
      <c r="B1033" s="460" t="s">
        <v>2673</v>
      </c>
      <c r="C1033" s="460">
        <v>2114</v>
      </c>
      <c r="D1033" s="460" t="s">
        <v>2286</v>
      </c>
      <c r="E1033" s="460" t="s">
        <v>2274</v>
      </c>
      <c r="F1033" s="460">
        <v>3</v>
      </c>
      <c r="G1033" s="460">
        <v>1</v>
      </c>
      <c r="H1033" s="461" t="s">
        <v>746</v>
      </c>
      <c r="I1033" s="461" t="s">
        <v>762</v>
      </c>
      <c r="J1033" s="461" t="s">
        <v>700</v>
      </c>
      <c r="K1033" s="594"/>
      <c r="L1033" s="594"/>
      <c r="M1033" s="352">
        <v>2000</v>
      </c>
      <c r="N1033" s="352" t="s">
        <v>703</v>
      </c>
      <c r="O1033" s="460">
        <v>2114</v>
      </c>
      <c r="P1033" s="460" t="s">
        <v>756</v>
      </c>
      <c r="Q1033" s="460" t="s">
        <v>2444</v>
      </c>
      <c r="R1033" s="460">
        <v>2114</v>
      </c>
      <c r="S1033" s="460" t="s">
        <v>2265</v>
      </c>
      <c r="T1033" s="462">
        <v>0.74223365950407583</v>
      </c>
      <c r="U1033" s="460" t="s">
        <v>2274</v>
      </c>
      <c r="V1033" s="475">
        <v>0</v>
      </c>
      <c r="W1033" s="463" t="s">
        <v>2268</v>
      </c>
      <c r="X1033" s="463" t="s">
        <v>2268</v>
      </c>
      <c r="Y1033" s="463" t="s">
        <v>2290</v>
      </c>
      <c r="Z1033" s="463"/>
      <c r="AA1033" s="463"/>
      <c r="AB1033" s="464">
        <v>0</v>
      </c>
      <c r="AC1033" s="465">
        <v>0</v>
      </c>
      <c r="AD1033" s="465">
        <v>0</v>
      </c>
      <c r="AE1033" s="476">
        <v>0</v>
      </c>
      <c r="AF1033" s="467">
        <v>0</v>
      </c>
      <c r="AG1033" s="468">
        <v>0</v>
      </c>
      <c r="AH1033" s="218">
        <v>0</v>
      </c>
      <c r="AI1033" s="470">
        <v>0</v>
      </c>
      <c r="AJ1033" s="471">
        <v>0</v>
      </c>
      <c r="AK1033" s="218">
        <v>0</v>
      </c>
      <c r="AL1033" s="470">
        <v>0</v>
      </c>
      <c r="AM1033" s="471">
        <v>0</v>
      </c>
      <c r="AN1033" s="477">
        <v>0</v>
      </c>
      <c r="AO1033" s="473">
        <v>0</v>
      </c>
      <c r="AP1033" s="474">
        <v>0</v>
      </c>
      <c r="AQ1033" s="352"/>
      <c r="AR1033" s="352"/>
      <c r="AS1033" s="352"/>
      <c r="AT1033" s="352"/>
      <c r="AU1033" s="352"/>
      <c r="AV1033" s="352"/>
      <c r="AW1033" s="352" t="s">
        <v>254</v>
      </c>
    </row>
    <row r="1034" spans="2:49" x14ac:dyDescent="0.2">
      <c r="B1034" s="460" t="s">
        <v>2674</v>
      </c>
      <c r="C1034" s="460">
        <v>2114</v>
      </c>
      <c r="D1034" s="460" t="s">
        <v>2287</v>
      </c>
      <c r="E1034" s="460" t="s">
        <v>2277</v>
      </c>
      <c r="F1034" s="460">
        <v>4</v>
      </c>
      <c r="G1034" s="460">
        <v>1</v>
      </c>
      <c r="H1034" s="461" t="s">
        <v>746</v>
      </c>
      <c r="I1034" s="461" t="s">
        <v>762</v>
      </c>
      <c r="J1034" s="461" t="s">
        <v>700</v>
      </c>
      <c r="K1034" s="594"/>
      <c r="L1034" s="594"/>
      <c r="M1034" s="352">
        <v>2000</v>
      </c>
      <c r="N1034" s="352" t="s">
        <v>703</v>
      </c>
      <c r="O1034" s="460">
        <v>2114</v>
      </c>
      <c r="P1034" s="460" t="s">
        <v>756</v>
      </c>
      <c r="Q1034" s="460" t="s">
        <v>2444</v>
      </c>
      <c r="R1034" s="460">
        <v>2114</v>
      </c>
      <c r="S1034" s="460" t="s">
        <v>2277</v>
      </c>
      <c r="T1034" s="462">
        <v>1</v>
      </c>
      <c r="U1034" s="460" t="s">
        <v>2277</v>
      </c>
      <c r="V1034" s="475">
        <v>0</v>
      </c>
      <c r="W1034" s="463" t="s">
        <v>2268</v>
      </c>
      <c r="X1034" s="463" t="s">
        <v>2268</v>
      </c>
      <c r="Y1034" s="463" t="s">
        <v>2290</v>
      </c>
      <c r="Z1034" s="463"/>
      <c r="AA1034" s="463"/>
      <c r="AB1034" s="464">
        <v>0</v>
      </c>
      <c r="AC1034" s="465">
        <v>0</v>
      </c>
      <c r="AD1034" s="465">
        <v>0</v>
      </c>
      <c r="AE1034" s="476">
        <v>0</v>
      </c>
      <c r="AF1034" s="467">
        <v>0</v>
      </c>
      <c r="AG1034" s="468">
        <v>0</v>
      </c>
      <c r="AH1034" s="218">
        <v>0</v>
      </c>
      <c r="AI1034" s="470">
        <v>0</v>
      </c>
      <c r="AJ1034" s="471">
        <v>0</v>
      </c>
      <c r="AK1034" s="218">
        <v>0</v>
      </c>
      <c r="AL1034" s="470">
        <v>0</v>
      </c>
      <c r="AM1034" s="471">
        <v>0</v>
      </c>
      <c r="AN1034" s="477">
        <v>0</v>
      </c>
      <c r="AO1034" s="473">
        <v>0</v>
      </c>
      <c r="AP1034" s="474">
        <v>0</v>
      </c>
      <c r="AQ1034" s="352"/>
      <c r="AR1034" s="352"/>
      <c r="AS1034" s="352"/>
      <c r="AT1034" s="352"/>
      <c r="AU1034" s="352"/>
      <c r="AV1034" s="352"/>
      <c r="AW1034" s="352" t="s">
        <v>254</v>
      </c>
    </row>
    <row r="1035" spans="2:49" x14ac:dyDescent="0.2">
      <c r="B1035" s="460" t="s">
        <v>2671</v>
      </c>
      <c r="C1035" s="460">
        <v>2114</v>
      </c>
      <c r="D1035" s="460" t="s">
        <v>2288</v>
      </c>
      <c r="E1035" s="460" t="s">
        <v>2265</v>
      </c>
      <c r="F1035" s="460">
        <v>1</v>
      </c>
      <c r="G1035" s="460">
        <v>1</v>
      </c>
      <c r="H1035" s="461" t="s">
        <v>748</v>
      </c>
      <c r="I1035" s="461" t="s">
        <v>765</v>
      </c>
      <c r="J1035" s="461" t="s">
        <v>700</v>
      </c>
      <c r="K1035" s="594"/>
      <c r="L1035" s="594"/>
      <c r="M1035" s="352">
        <v>2000</v>
      </c>
      <c r="N1035" s="352" t="s">
        <v>703</v>
      </c>
      <c r="O1035" s="460">
        <v>2114</v>
      </c>
      <c r="P1035" s="460" t="s">
        <v>756</v>
      </c>
      <c r="Q1035" s="460" t="s">
        <v>2440</v>
      </c>
      <c r="R1035" s="460">
        <v>2114</v>
      </c>
      <c r="S1035" s="460" t="s">
        <v>2265</v>
      </c>
      <c r="T1035" s="462">
        <v>1</v>
      </c>
      <c r="U1035" s="460" t="s">
        <v>2265</v>
      </c>
      <c r="V1035" s="475">
        <v>0</v>
      </c>
      <c r="W1035" s="463" t="s">
        <v>2268</v>
      </c>
      <c r="X1035" s="463" t="s">
        <v>2268</v>
      </c>
      <c r="Y1035" s="463" t="s">
        <v>2267</v>
      </c>
      <c r="Z1035" s="463"/>
      <c r="AA1035" s="463"/>
      <c r="AB1035" s="464">
        <v>0</v>
      </c>
      <c r="AC1035" s="465">
        <v>0</v>
      </c>
      <c r="AD1035" s="465">
        <v>0</v>
      </c>
      <c r="AE1035" s="476">
        <v>0</v>
      </c>
      <c r="AF1035" s="467">
        <v>0</v>
      </c>
      <c r="AG1035" s="468">
        <v>0</v>
      </c>
      <c r="AH1035" s="218">
        <v>0</v>
      </c>
      <c r="AI1035" s="470">
        <v>0</v>
      </c>
      <c r="AJ1035" s="471">
        <v>0</v>
      </c>
      <c r="AK1035" s="218">
        <v>0</v>
      </c>
      <c r="AL1035" s="470">
        <v>0</v>
      </c>
      <c r="AM1035" s="471">
        <v>0</v>
      </c>
      <c r="AN1035" s="477">
        <v>7.5239522570509783</v>
      </c>
      <c r="AO1035" s="473">
        <v>0.4600393047858265</v>
      </c>
      <c r="AP1035" s="474">
        <v>4.6724204051042345E-4</v>
      </c>
      <c r="AQ1035" s="352"/>
      <c r="AR1035" s="352"/>
      <c r="AS1035" s="352"/>
      <c r="AT1035" s="352"/>
      <c r="AU1035" s="352"/>
      <c r="AV1035" s="352"/>
      <c r="AW1035" s="352" t="s">
        <v>254</v>
      </c>
    </row>
    <row r="1036" spans="2:49" x14ac:dyDescent="0.2">
      <c r="B1036" s="460" t="s">
        <v>2672</v>
      </c>
      <c r="C1036" s="460">
        <v>2114</v>
      </c>
      <c r="D1036" s="460" t="s">
        <v>2291</v>
      </c>
      <c r="E1036" s="460" t="s">
        <v>2271</v>
      </c>
      <c r="F1036" s="460">
        <v>2</v>
      </c>
      <c r="G1036" s="460">
        <v>1</v>
      </c>
      <c r="H1036" s="461" t="s">
        <v>748</v>
      </c>
      <c r="I1036" s="461" t="s">
        <v>765</v>
      </c>
      <c r="J1036" s="461" t="s">
        <v>700</v>
      </c>
      <c r="K1036" s="594"/>
      <c r="L1036" s="594"/>
      <c r="M1036" s="352">
        <v>2000</v>
      </c>
      <c r="N1036" s="352" t="s">
        <v>703</v>
      </c>
      <c r="O1036" s="460">
        <v>2114</v>
      </c>
      <c r="P1036" s="460" t="s">
        <v>756</v>
      </c>
      <c r="Q1036" s="460" t="s">
        <v>2440</v>
      </c>
      <c r="R1036" s="460">
        <v>2114</v>
      </c>
      <c r="S1036" s="460" t="s">
        <v>2265</v>
      </c>
      <c r="T1036" s="462">
        <v>1</v>
      </c>
      <c r="U1036" s="460" t="s">
        <v>2271</v>
      </c>
      <c r="V1036" s="475">
        <v>0</v>
      </c>
      <c r="W1036" s="463" t="s">
        <v>2268</v>
      </c>
      <c r="X1036" s="463" t="s">
        <v>2268</v>
      </c>
      <c r="Y1036" s="463" t="s">
        <v>2267</v>
      </c>
      <c r="Z1036" s="463"/>
      <c r="AA1036" s="463"/>
      <c r="AB1036" s="464">
        <v>0</v>
      </c>
      <c r="AC1036" s="465">
        <v>0</v>
      </c>
      <c r="AD1036" s="465">
        <v>0</v>
      </c>
      <c r="AE1036" s="476">
        <v>0</v>
      </c>
      <c r="AF1036" s="467">
        <v>0</v>
      </c>
      <c r="AG1036" s="468">
        <v>0</v>
      </c>
      <c r="AH1036" s="218">
        <v>0</v>
      </c>
      <c r="AI1036" s="470">
        <v>0</v>
      </c>
      <c r="AJ1036" s="471">
        <v>0</v>
      </c>
      <c r="AK1036" s="218">
        <v>0</v>
      </c>
      <c r="AL1036" s="470">
        <v>0</v>
      </c>
      <c r="AM1036" s="471">
        <v>0</v>
      </c>
      <c r="AN1036" s="477">
        <v>9.2480718321102149</v>
      </c>
      <c r="AO1036" s="473">
        <v>0.4600393047858265</v>
      </c>
      <c r="AP1036" s="474">
        <v>5.8821507596668694E-4</v>
      </c>
      <c r="AQ1036" s="352"/>
      <c r="AR1036" s="352"/>
      <c r="AS1036" s="352"/>
      <c r="AT1036" s="352"/>
      <c r="AU1036" s="352"/>
      <c r="AV1036" s="352"/>
      <c r="AW1036" s="352" t="s">
        <v>254</v>
      </c>
    </row>
    <row r="1037" spans="2:49" x14ac:dyDescent="0.2">
      <c r="B1037" s="460" t="s">
        <v>2673</v>
      </c>
      <c r="C1037" s="460">
        <v>2114</v>
      </c>
      <c r="D1037" s="460" t="s">
        <v>2292</v>
      </c>
      <c r="E1037" s="460" t="s">
        <v>2274</v>
      </c>
      <c r="F1037" s="460">
        <v>3</v>
      </c>
      <c r="G1037" s="460">
        <v>1</v>
      </c>
      <c r="H1037" s="461" t="s">
        <v>748</v>
      </c>
      <c r="I1037" s="461" t="s">
        <v>765</v>
      </c>
      <c r="J1037" s="461" t="s">
        <v>700</v>
      </c>
      <c r="K1037" s="594"/>
      <c r="L1037" s="594"/>
      <c r="M1037" s="352">
        <v>2000</v>
      </c>
      <c r="N1037" s="352" t="s">
        <v>703</v>
      </c>
      <c r="O1037" s="460">
        <v>2114</v>
      </c>
      <c r="P1037" s="460" t="s">
        <v>756</v>
      </c>
      <c r="Q1037" s="460" t="s">
        <v>2440</v>
      </c>
      <c r="R1037" s="460">
        <v>2114</v>
      </c>
      <c r="S1037" s="460" t="s">
        <v>2265</v>
      </c>
      <c r="T1037" s="462">
        <v>0.74223365950407583</v>
      </c>
      <c r="U1037" s="460" t="s">
        <v>2274</v>
      </c>
      <c r="V1037" s="475">
        <v>0</v>
      </c>
      <c r="W1037" s="463" t="s">
        <v>2268</v>
      </c>
      <c r="X1037" s="463" t="s">
        <v>2268</v>
      </c>
      <c r="Y1037" s="463" t="s">
        <v>2267</v>
      </c>
      <c r="Z1037" s="463"/>
      <c r="AA1037" s="463"/>
      <c r="AB1037" s="464">
        <v>0</v>
      </c>
      <c r="AC1037" s="465">
        <v>0</v>
      </c>
      <c r="AD1037" s="465">
        <v>0</v>
      </c>
      <c r="AE1037" s="476">
        <v>0</v>
      </c>
      <c r="AF1037" s="467">
        <v>0</v>
      </c>
      <c r="AG1037" s="468">
        <v>0</v>
      </c>
      <c r="AH1037" s="218">
        <v>0</v>
      </c>
      <c r="AI1037" s="470">
        <v>0</v>
      </c>
      <c r="AJ1037" s="471">
        <v>0</v>
      </c>
      <c r="AK1037" s="218">
        <v>0</v>
      </c>
      <c r="AL1037" s="470">
        <v>0</v>
      </c>
      <c r="AM1037" s="471">
        <v>0</v>
      </c>
      <c r="AN1037" s="477">
        <v>4.9322835457821075</v>
      </c>
      <c r="AO1037" s="473">
        <v>0.3414566567068949</v>
      </c>
      <c r="AP1037" s="474">
        <v>6.9444968771531371E-4</v>
      </c>
      <c r="AQ1037" s="352"/>
      <c r="AR1037" s="352"/>
      <c r="AS1037" s="352"/>
      <c r="AT1037" s="352"/>
      <c r="AU1037" s="352"/>
      <c r="AV1037" s="352"/>
      <c r="AW1037" s="352" t="s">
        <v>254</v>
      </c>
    </row>
    <row r="1038" spans="2:49" x14ac:dyDescent="0.2">
      <c r="B1038" s="460" t="s">
        <v>2674</v>
      </c>
      <c r="C1038" s="460">
        <v>2114</v>
      </c>
      <c r="D1038" s="460" t="s">
        <v>2293</v>
      </c>
      <c r="E1038" s="460" t="s">
        <v>2277</v>
      </c>
      <c r="F1038" s="460">
        <v>4</v>
      </c>
      <c r="G1038" s="460">
        <v>1</v>
      </c>
      <c r="H1038" s="461" t="s">
        <v>748</v>
      </c>
      <c r="I1038" s="461" t="s">
        <v>765</v>
      </c>
      <c r="J1038" s="461" t="s">
        <v>700</v>
      </c>
      <c r="K1038" s="594"/>
      <c r="L1038" s="594"/>
      <c r="M1038" s="352">
        <v>2000</v>
      </c>
      <c r="N1038" s="352" t="s">
        <v>703</v>
      </c>
      <c r="O1038" s="460">
        <v>2114</v>
      </c>
      <c r="P1038" s="460" t="s">
        <v>756</v>
      </c>
      <c r="Q1038" s="460" t="s">
        <v>2440</v>
      </c>
      <c r="R1038" s="460">
        <v>2114</v>
      </c>
      <c r="S1038" s="460" t="s">
        <v>2277</v>
      </c>
      <c r="T1038" s="462">
        <v>1</v>
      </c>
      <c r="U1038" s="460" t="s">
        <v>2277</v>
      </c>
      <c r="V1038" s="475">
        <v>0</v>
      </c>
      <c r="W1038" s="463" t="s">
        <v>2268</v>
      </c>
      <c r="X1038" s="463" t="s">
        <v>2268</v>
      </c>
      <c r="Y1038" s="463" t="s">
        <v>2278</v>
      </c>
      <c r="Z1038" s="463"/>
      <c r="AA1038" s="463"/>
      <c r="AB1038" s="464">
        <v>0</v>
      </c>
      <c r="AC1038" s="465">
        <v>0</v>
      </c>
      <c r="AD1038" s="465">
        <v>0</v>
      </c>
      <c r="AE1038" s="476">
        <v>0</v>
      </c>
      <c r="AF1038" s="467">
        <v>0</v>
      </c>
      <c r="AG1038" s="468">
        <v>0</v>
      </c>
      <c r="AH1038" s="218">
        <v>0</v>
      </c>
      <c r="AI1038" s="470">
        <v>0</v>
      </c>
      <c r="AJ1038" s="471">
        <v>0</v>
      </c>
      <c r="AK1038" s="218">
        <v>0</v>
      </c>
      <c r="AL1038" s="470">
        <v>0</v>
      </c>
      <c r="AM1038" s="471">
        <v>0</v>
      </c>
      <c r="AN1038" s="477">
        <v>8.135055293015973E-3</v>
      </c>
      <c r="AO1038" s="473">
        <v>5.7387138406819163E-4</v>
      </c>
      <c r="AP1038" s="474">
        <v>1.9643041446120083E-4</v>
      </c>
      <c r="AQ1038" s="352"/>
      <c r="AR1038" s="352"/>
      <c r="AS1038" s="352"/>
      <c r="AT1038" s="352"/>
      <c r="AU1038" s="352"/>
      <c r="AV1038" s="352"/>
      <c r="AW1038" s="352" t="s">
        <v>254</v>
      </c>
    </row>
    <row r="1039" spans="2:49" x14ac:dyDescent="0.2">
      <c r="B1039" s="460" t="s">
        <v>2675</v>
      </c>
      <c r="C1039" s="460">
        <v>2114</v>
      </c>
      <c r="D1039" s="460" t="s">
        <v>2295</v>
      </c>
      <c r="E1039" s="460" t="s">
        <v>2296</v>
      </c>
      <c r="F1039" s="460">
        <v>1</v>
      </c>
      <c r="G1039" s="460">
        <v>2</v>
      </c>
      <c r="H1039" s="461" t="s">
        <v>700</v>
      </c>
      <c r="I1039" s="461" t="s">
        <v>872</v>
      </c>
      <c r="J1039" s="461" t="s">
        <v>700</v>
      </c>
      <c r="K1039" s="594"/>
      <c r="L1039" s="594"/>
      <c r="M1039" s="352">
        <v>2000</v>
      </c>
      <c r="N1039" s="352" t="s">
        <v>703</v>
      </c>
      <c r="O1039" s="460">
        <v>2114</v>
      </c>
      <c r="P1039" s="460" t="s">
        <v>756</v>
      </c>
      <c r="Q1039" s="460" t="s">
        <v>2440</v>
      </c>
      <c r="R1039" s="460">
        <v>2114</v>
      </c>
      <c r="S1039" s="460" t="s">
        <v>2296</v>
      </c>
      <c r="T1039" s="462">
        <v>1</v>
      </c>
      <c r="U1039" s="460" t="s">
        <v>2296</v>
      </c>
      <c r="V1039" s="475">
        <v>0</v>
      </c>
      <c r="W1039" s="463" t="s">
        <v>2267</v>
      </c>
      <c r="X1039" s="463" t="s">
        <v>2267</v>
      </c>
      <c r="Y1039" s="463" t="s">
        <v>2268</v>
      </c>
      <c r="Z1039" s="463"/>
      <c r="AA1039" s="463"/>
      <c r="AB1039" s="464">
        <v>0.93772069288459969</v>
      </c>
      <c r="AC1039" s="465">
        <v>0.12301930925401325</v>
      </c>
      <c r="AD1039" s="465">
        <v>5.4775759819124221E-5</v>
      </c>
      <c r="AE1039" s="476">
        <v>0.93772069288459969</v>
      </c>
      <c r="AF1039" s="467">
        <v>0.12301930925401325</v>
      </c>
      <c r="AG1039" s="468">
        <v>6.0886240906634749E-5</v>
      </c>
      <c r="AH1039" s="218">
        <v>0.93772069288459969</v>
      </c>
      <c r="AI1039" s="470">
        <v>0.12301930925401325</v>
      </c>
      <c r="AJ1039" s="471">
        <v>5.5938174477556052E-5</v>
      </c>
      <c r="AK1039" s="218">
        <v>0.93772069288459969</v>
      </c>
      <c r="AL1039" s="470">
        <v>0.12301930925401325</v>
      </c>
      <c r="AM1039" s="471">
        <v>5.5938174477556052E-5</v>
      </c>
      <c r="AN1039" s="477">
        <v>0</v>
      </c>
      <c r="AO1039" s="473">
        <v>0</v>
      </c>
      <c r="AP1039" s="474">
        <v>0</v>
      </c>
      <c r="AQ1039" s="352"/>
      <c r="AR1039" s="352"/>
      <c r="AS1039" s="352"/>
      <c r="AT1039" s="352"/>
      <c r="AU1039" s="352"/>
      <c r="AV1039" s="352"/>
      <c r="AW1039" s="352" t="s">
        <v>254</v>
      </c>
    </row>
    <row r="1040" spans="2:49" x14ac:dyDescent="0.2">
      <c r="B1040" s="460" t="s">
        <v>2676</v>
      </c>
      <c r="C1040" s="460">
        <v>2114</v>
      </c>
      <c r="D1040" s="460" t="s">
        <v>2298</v>
      </c>
      <c r="E1040" s="460" t="s">
        <v>2299</v>
      </c>
      <c r="F1040" s="460">
        <v>2</v>
      </c>
      <c r="G1040" s="460">
        <v>2</v>
      </c>
      <c r="H1040" s="461" t="s">
        <v>700</v>
      </c>
      <c r="I1040" s="461" t="s">
        <v>872</v>
      </c>
      <c r="J1040" s="461" t="s">
        <v>700</v>
      </c>
      <c r="K1040" s="594"/>
      <c r="L1040" s="594"/>
      <c r="M1040" s="352">
        <v>2000</v>
      </c>
      <c r="N1040" s="352" t="s">
        <v>703</v>
      </c>
      <c r="O1040" s="460">
        <v>2114</v>
      </c>
      <c r="P1040" s="460" t="s">
        <v>756</v>
      </c>
      <c r="Q1040" s="460" t="s">
        <v>2440</v>
      </c>
      <c r="R1040" s="460">
        <v>2114</v>
      </c>
      <c r="S1040" s="460" t="s">
        <v>2296</v>
      </c>
      <c r="T1040" s="462">
        <v>0.55517361979372948</v>
      </c>
      <c r="U1040" s="460" t="s">
        <v>2299</v>
      </c>
      <c r="V1040" s="475">
        <v>0</v>
      </c>
      <c r="W1040" s="463" t="s">
        <v>2267</v>
      </c>
      <c r="X1040" s="463" t="s">
        <v>2267</v>
      </c>
      <c r="Y1040" s="463" t="s">
        <v>2268</v>
      </c>
      <c r="Z1040" s="463"/>
      <c r="AA1040" s="463"/>
      <c r="AB1040" s="464">
        <v>0.31542830451140047</v>
      </c>
      <c r="AC1040" s="465">
        <v>6.7533788651300913E-2</v>
      </c>
      <c r="AD1040" s="465">
        <v>9.5442117771934917E-5</v>
      </c>
      <c r="AE1040" s="476">
        <v>0.31542830451140047</v>
      </c>
      <c r="AF1040" s="467">
        <v>6.7533788651300913E-2</v>
      </c>
      <c r="AG1040" s="468">
        <v>1.0710447929982976E-4</v>
      </c>
      <c r="AH1040" s="218">
        <v>0.31899336718593935</v>
      </c>
      <c r="AI1040" s="470">
        <v>6.829707522307478E-2</v>
      </c>
      <c r="AJ1040" s="471">
        <v>7.5118975651017911E-5</v>
      </c>
      <c r="AK1040" s="218">
        <v>0.31899336718593935</v>
      </c>
      <c r="AL1040" s="470">
        <v>6.829707522307478E-2</v>
      </c>
      <c r="AM1040" s="471">
        <v>7.5118975651017911E-5</v>
      </c>
      <c r="AN1040" s="477">
        <v>0</v>
      </c>
      <c r="AO1040" s="473">
        <v>0</v>
      </c>
      <c r="AP1040" s="474">
        <v>0</v>
      </c>
      <c r="AQ1040" s="352"/>
      <c r="AR1040" s="352"/>
      <c r="AS1040" s="352"/>
      <c r="AT1040" s="352"/>
      <c r="AU1040" s="352"/>
      <c r="AV1040" s="352"/>
      <c r="AW1040" s="352" t="s">
        <v>254</v>
      </c>
    </row>
    <row r="1041" spans="2:49" x14ac:dyDescent="0.2">
      <c r="B1041" s="460" t="s">
        <v>2677</v>
      </c>
      <c r="C1041" s="460">
        <v>2114</v>
      </c>
      <c r="D1041" s="460" t="s">
        <v>2301</v>
      </c>
      <c r="E1041" s="460" t="s">
        <v>2302</v>
      </c>
      <c r="F1041" s="460">
        <v>3</v>
      </c>
      <c r="G1041" s="460">
        <v>2</v>
      </c>
      <c r="H1041" s="461" t="s">
        <v>700</v>
      </c>
      <c r="I1041" s="461" t="s">
        <v>872</v>
      </c>
      <c r="J1041" s="461" t="s">
        <v>700</v>
      </c>
      <c r="K1041" s="594"/>
      <c r="L1041" s="594"/>
      <c r="M1041" s="352">
        <v>2000</v>
      </c>
      <c r="N1041" s="352" t="s">
        <v>703</v>
      </c>
      <c r="O1041" s="460">
        <v>2114</v>
      </c>
      <c r="P1041" s="460" t="s">
        <v>756</v>
      </c>
      <c r="Q1041" s="460" t="s">
        <v>2440</v>
      </c>
      <c r="R1041" s="460">
        <v>2114</v>
      </c>
      <c r="S1041" s="460" t="s">
        <v>2296</v>
      </c>
      <c r="T1041" s="462">
        <v>0.28481449642268464</v>
      </c>
      <c r="U1041" s="460" t="s">
        <v>2302</v>
      </c>
      <c r="V1041" s="475">
        <v>0</v>
      </c>
      <c r="W1041" s="463" t="s">
        <v>2267</v>
      </c>
      <c r="X1041" s="463" t="s">
        <v>2267</v>
      </c>
      <c r="Y1041" s="463" t="s">
        <v>2268</v>
      </c>
      <c r="Z1041" s="463"/>
      <c r="AA1041" s="463"/>
      <c r="AB1041" s="464">
        <v>2.3816834417720659E-2</v>
      </c>
      <c r="AC1041" s="465">
        <v>9.4438166214835684E-3</v>
      </c>
      <c r="AD1041" s="465">
        <v>4.6327026271921039E-5</v>
      </c>
      <c r="AE1041" s="476">
        <v>2.3816834417720659E-2</v>
      </c>
      <c r="AF1041" s="467">
        <v>9.4438166214835684E-3</v>
      </c>
      <c r="AG1041" s="468">
        <v>5.2277198523200877E-5</v>
      </c>
      <c r="AH1041" s="218">
        <v>8.8363287712980673E-2</v>
      </c>
      <c r="AI1041" s="470">
        <v>3.503768261544829E-2</v>
      </c>
      <c r="AJ1041" s="471">
        <v>9.1731601018216254E-5</v>
      </c>
      <c r="AK1041" s="218">
        <v>8.8363287712980673E-2</v>
      </c>
      <c r="AL1041" s="470">
        <v>3.503768261544829E-2</v>
      </c>
      <c r="AM1041" s="471">
        <v>9.1731601018216254E-5</v>
      </c>
      <c r="AN1041" s="477">
        <v>0</v>
      </c>
      <c r="AO1041" s="473">
        <v>0</v>
      </c>
      <c r="AP1041" s="474">
        <v>0</v>
      </c>
      <c r="AQ1041" s="352"/>
      <c r="AR1041" s="352"/>
      <c r="AS1041" s="352"/>
      <c r="AT1041" s="352"/>
      <c r="AU1041" s="352"/>
      <c r="AV1041" s="352"/>
      <c r="AW1041" s="352" t="s">
        <v>254</v>
      </c>
    </row>
    <row r="1042" spans="2:49" x14ac:dyDescent="0.2">
      <c r="B1042" s="460" t="s">
        <v>2678</v>
      </c>
      <c r="C1042" s="460">
        <v>2114</v>
      </c>
      <c r="D1042" s="460" t="s">
        <v>2304</v>
      </c>
      <c r="E1042" s="460" t="s">
        <v>2305</v>
      </c>
      <c r="F1042" s="460">
        <v>4</v>
      </c>
      <c r="G1042" s="460">
        <v>2</v>
      </c>
      <c r="H1042" s="461" t="s">
        <v>700</v>
      </c>
      <c r="I1042" s="461" t="s">
        <v>872</v>
      </c>
      <c r="J1042" s="461" t="s">
        <v>700</v>
      </c>
      <c r="K1042" s="594"/>
      <c r="L1042" s="594"/>
      <c r="M1042" s="352">
        <v>2000</v>
      </c>
      <c r="N1042" s="352" t="s">
        <v>703</v>
      </c>
      <c r="O1042" s="460">
        <v>2114</v>
      </c>
      <c r="P1042" s="460" t="s">
        <v>756</v>
      </c>
      <c r="Q1042" s="460" t="s">
        <v>2440</v>
      </c>
      <c r="R1042" s="460">
        <v>2114</v>
      </c>
      <c r="S1042" s="460" t="s">
        <v>2305</v>
      </c>
      <c r="T1042" s="462">
        <v>1</v>
      </c>
      <c r="U1042" s="460" t="s">
        <v>2305</v>
      </c>
      <c r="V1042" s="475">
        <v>0</v>
      </c>
      <c r="W1042" s="463" t="s">
        <v>2278</v>
      </c>
      <c r="X1042" s="463" t="s">
        <v>2278</v>
      </c>
      <c r="Y1042" s="463" t="s">
        <v>2268</v>
      </c>
      <c r="Z1042" s="463"/>
      <c r="AA1042" s="463"/>
      <c r="AB1042" s="464">
        <v>0</v>
      </c>
      <c r="AC1042" s="465">
        <v>0</v>
      </c>
      <c r="AD1042" s="465">
        <v>0</v>
      </c>
      <c r="AE1042" s="476">
        <v>0</v>
      </c>
      <c r="AF1042" s="467">
        <v>0</v>
      </c>
      <c r="AG1042" s="468">
        <v>0</v>
      </c>
      <c r="AH1042" s="218">
        <v>0</v>
      </c>
      <c r="AI1042" s="470">
        <v>0</v>
      </c>
      <c r="AJ1042" s="471">
        <v>0</v>
      </c>
      <c r="AK1042" s="218">
        <v>0</v>
      </c>
      <c r="AL1042" s="470">
        <v>0</v>
      </c>
      <c r="AM1042" s="471">
        <v>0</v>
      </c>
      <c r="AN1042" s="477">
        <v>0</v>
      </c>
      <c r="AO1042" s="473">
        <v>0</v>
      </c>
      <c r="AP1042" s="474">
        <v>0</v>
      </c>
      <c r="AQ1042" s="352"/>
      <c r="AR1042" s="352"/>
      <c r="AS1042" s="352"/>
      <c r="AT1042" s="352"/>
      <c r="AU1042" s="352"/>
      <c r="AV1042" s="352"/>
      <c r="AW1042" s="352" t="s">
        <v>254</v>
      </c>
    </row>
    <row r="1043" spans="2:49" x14ac:dyDescent="0.2">
      <c r="B1043" s="460" t="s">
        <v>2675</v>
      </c>
      <c r="C1043" s="460">
        <v>2114</v>
      </c>
      <c r="D1043" s="460" t="s">
        <v>2306</v>
      </c>
      <c r="E1043" s="460" t="s">
        <v>2296</v>
      </c>
      <c r="F1043" s="460">
        <v>1</v>
      </c>
      <c r="G1043" s="460">
        <v>2</v>
      </c>
      <c r="H1043" s="461" t="s">
        <v>712</v>
      </c>
      <c r="I1043" s="461" t="s">
        <v>713</v>
      </c>
      <c r="J1043" s="461" t="s">
        <v>712</v>
      </c>
      <c r="K1043" s="594"/>
      <c r="L1043" s="594"/>
      <c r="M1043" s="352">
        <v>2000</v>
      </c>
      <c r="N1043" s="352" t="s">
        <v>703</v>
      </c>
      <c r="O1043" s="460">
        <v>2114</v>
      </c>
      <c r="P1043" s="460" t="s">
        <v>756</v>
      </c>
      <c r="Q1043" s="460" t="s">
        <v>2280</v>
      </c>
      <c r="R1043" s="460">
        <v>2114</v>
      </c>
      <c r="S1043" s="460" t="s">
        <v>2296</v>
      </c>
      <c r="T1043" s="462">
        <v>1</v>
      </c>
      <c r="U1043" s="460" t="s">
        <v>2296</v>
      </c>
      <c r="V1043" s="475">
        <v>0</v>
      </c>
      <c r="W1043" s="463" t="s">
        <v>713</v>
      </c>
      <c r="X1043" s="463" t="s">
        <v>713</v>
      </c>
      <c r="Y1043" s="463" t="s">
        <v>713</v>
      </c>
      <c r="Z1043" s="463"/>
      <c r="AA1043" s="463"/>
      <c r="AB1043" s="464">
        <v>6.6848281457564243</v>
      </c>
      <c r="AC1043" s="465">
        <v>0.87698069074598672</v>
      </c>
      <c r="AD1043" s="465">
        <v>5.7816924069346917E-5</v>
      </c>
      <c r="AE1043" s="476">
        <v>6.6848281457564243</v>
      </c>
      <c r="AF1043" s="467">
        <v>0.87698069074598672</v>
      </c>
      <c r="AG1043" s="468">
        <v>5.6970369219773392E-5</v>
      </c>
      <c r="AH1043" s="218">
        <v>6.6848281457564243</v>
      </c>
      <c r="AI1043" s="470">
        <v>0.87698069074598672</v>
      </c>
      <c r="AJ1043" s="471">
        <v>5.7639577251247861E-5</v>
      </c>
      <c r="AK1043" s="218">
        <v>6.6848281457564243</v>
      </c>
      <c r="AL1043" s="470">
        <v>0.87698069074598672</v>
      </c>
      <c r="AM1043" s="471">
        <v>5.7639577251247861E-5</v>
      </c>
      <c r="AN1043" s="477">
        <v>6.6848281457564243</v>
      </c>
      <c r="AO1043" s="473">
        <v>0.87698069074598672</v>
      </c>
      <c r="AP1043" s="474">
        <v>5.7625431705512353E-5</v>
      </c>
      <c r="AQ1043" s="352"/>
      <c r="AR1043" s="352"/>
      <c r="AS1043" s="352"/>
      <c r="AT1043" s="352"/>
      <c r="AU1043" s="352"/>
      <c r="AV1043" s="352"/>
      <c r="AW1043" s="352" t="s">
        <v>254</v>
      </c>
    </row>
    <row r="1044" spans="2:49" x14ac:dyDescent="0.2">
      <c r="B1044" s="460" t="s">
        <v>2676</v>
      </c>
      <c r="C1044" s="460">
        <v>2114</v>
      </c>
      <c r="D1044" s="460" t="s">
        <v>2307</v>
      </c>
      <c r="E1044" s="460" t="s">
        <v>2299</v>
      </c>
      <c r="F1044" s="460">
        <v>2</v>
      </c>
      <c r="G1044" s="460">
        <v>2</v>
      </c>
      <c r="H1044" s="461" t="s">
        <v>712</v>
      </c>
      <c r="I1044" s="461" t="s">
        <v>713</v>
      </c>
      <c r="J1044" s="461" t="s">
        <v>712</v>
      </c>
      <c r="K1044" s="594"/>
      <c r="L1044" s="594"/>
      <c r="M1044" s="352">
        <v>2000</v>
      </c>
      <c r="N1044" s="352" t="s">
        <v>703</v>
      </c>
      <c r="O1044" s="460">
        <v>2114</v>
      </c>
      <c r="P1044" s="460" t="s">
        <v>756</v>
      </c>
      <c r="Q1044" s="460" t="s">
        <v>2280</v>
      </c>
      <c r="R1044" s="460">
        <v>2114</v>
      </c>
      <c r="S1044" s="460" t="s">
        <v>2296</v>
      </c>
      <c r="T1044" s="462">
        <v>0.55517361979372948</v>
      </c>
      <c r="U1044" s="460" t="s">
        <v>2299</v>
      </c>
      <c r="V1044" s="475">
        <v>0</v>
      </c>
      <c r="W1044" s="463" t="s">
        <v>713</v>
      </c>
      <c r="X1044" s="463" t="s">
        <v>713</v>
      </c>
      <c r="Y1044" s="463" t="s">
        <v>713</v>
      </c>
      <c r="Z1044" s="463"/>
      <c r="AA1044" s="463"/>
      <c r="AB1044" s="464">
        <v>4.3552456027390898</v>
      </c>
      <c r="AC1044" s="465">
        <v>0.932466211348699</v>
      </c>
      <c r="AD1044" s="465">
        <v>5.0376048115002007E-5</v>
      </c>
      <c r="AE1044" s="476">
        <v>4.3552456027390907</v>
      </c>
      <c r="AF1044" s="467">
        <v>0.93246621134869911</v>
      </c>
      <c r="AG1044" s="468">
        <v>5.0167228632804288E-5</v>
      </c>
      <c r="AH1044" s="218">
        <v>4.3516805400645513</v>
      </c>
      <c r="AI1044" s="470">
        <v>0.93170292477692518</v>
      </c>
      <c r="AJ1044" s="471">
        <v>5.0983859545364466E-5</v>
      </c>
      <c r="AK1044" s="218">
        <v>4.3516805400645513</v>
      </c>
      <c r="AL1044" s="470">
        <v>0.93170292477692518</v>
      </c>
      <c r="AM1044" s="471">
        <v>5.0983859545364466E-5</v>
      </c>
      <c r="AN1044" s="477">
        <v>4.3516805400645513</v>
      </c>
      <c r="AO1044" s="473">
        <v>0.93170292477692518</v>
      </c>
      <c r="AP1044" s="474">
        <v>5.0977423613112582E-5</v>
      </c>
      <c r="AQ1044" s="352"/>
      <c r="AR1044" s="352"/>
      <c r="AS1044" s="352"/>
      <c r="AT1044" s="352"/>
      <c r="AU1044" s="352"/>
      <c r="AV1044" s="352"/>
      <c r="AW1044" s="352" t="s">
        <v>254</v>
      </c>
    </row>
    <row r="1045" spans="2:49" x14ac:dyDescent="0.2">
      <c r="B1045" s="460" t="s">
        <v>2677</v>
      </c>
      <c r="C1045" s="460">
        <v>2114</v>
      </c>
      <c r="D1045" s="460" t="s">
        <v>2308</v>
      </c>
      <c r="E1045" s="460" t="s">
        <v>2302</v>
      </c>
      <c r="F1045" s="460">
        <v>3</v>
      </c>
      <c r="G1045" s="460">
        <v>2</v>
      </c>
      <c r="H1045" s="461" t="s">
        <v>712</v>
      </c>
      <c r="I1045" s="461" t="s">
        <v>713</v>
      </c>
      <c r="J1045" s="461" t="s">
        <v>712</v>
      </c>
      <c r="K1045" s="594"/>
      <c r="L1045" s="594"/>
      <c r="M1045" s="352">
        <v>2000</v>
      </c>
      <c r="N1045" s="352" t="s">
        <v>703</v>
      </c>
      <c r="O1045" s="460">
        <v>2114</v>
      </c>
      <c r="P1045" s="460" t="s">
        <v>756</v>
      </c>
      <c r="Q1045" s="460" t="s">
        <v>2280</v>
      </c>
      <c r="R1045" s="460">
        <v>2114</v>
      </c>
      <c r="S1045" s="460" t="s">
        <v>2296</v>
      </c>
      <c r="T1045" s="462">
        <v>0.28481449642268464</v>
      </c>
      <c r="U1045" s="460" t="s">
        <v>2302</v>
      </c>
      <c r="V1045" s="475">
        <v>0</v>
      </c>
      <c r="W1045" s="463" t="s">
        <v>713</v>
      </c>
      <c r="X1045" s="463" t="s">
        <v>713</v>
      </c>
      <c r="Y1045" s="463" t="s">
        <v>713</v>
      </c>
      <c r="Z1045" s="463"/>
      <c r="AA1045" s="463"/>
      <c r="AB1045" s="464">
        <v>2.4981332809138466</v>
      </c>
      <c r="AC1045" s="465">
        <v>0.99055618337851636</v>
      </c>
      <c r="AD1045" s="465">
        <v>7.2664454556342606E-5</v>
      </c>
      <c r="AE1045" s="476">
        <v>2.4981332809138466</v>
      </c>
      <c r="AF1045" s="467">
        <v>0.99055618337851647</v>
      </c>
      <c r="AG1045" s="468">
        <v>7.2540985902780822E-5</v>
      </c>
      <c r="AH1045" s="218">
        <v>2.4335868276185866</v>
      </c>
      <c r="AI1045" s="470">
        <v>0.96496231738455174</v>
      </c>
      <c r="AJ1045" s="471">
        <v>7.1724068701225718E-5</v>
      </c>
      <c r="AK1045" s="218">
        <v>2.4335868276185866</v>
      </c>
      <c r="AL1045" s="470">
        <v>0.96496231738455174</v>
      </c>
      <c r="AM1045" s="471">
        <v>7.1724068701225718E-5</v>
      </c>
      <c r="AN1045" s="477">
        <v>2.4335868276185866</v>
      </c>
      <c r="AO1045" s="473">
        <v>0.96496231738455174</v>
      </c>
      <c r="AP1045" s="474">
        <v>7.178643676179533E-5</v>
      </c>
      <c r="AQ1045" s="352"/>
      <c r="AR1045" s="352"/>
      <c r="AS1045" s="352"/>
      <c r="AT1045" s="352"/>
      <c r="AU1045" s="352"/>
      <c r="AV1045" s="352"/>
      <c r="AW1045" s="352" t="s">
        <v>254</v>
      </c>
    </row>
    <row r="1046" spans="2:49" x14ac:dyDescent="0.2">
      <c r="B1046" s="460" t="s">
        <v>2678</v>
      </c>
      <c r="C1046" s="460">
        <v>2114</v>
      </c>
      <c r="D1046" s="460" t="s">
        <v>2309</v>
      </c>
      <c r="E1046" s="460" t="s">
        <v>2305</v>
      </c>
      <c r="F1046" s="460">
        <v>4</v>
      </c>
      <c r="G1046" s="460">
        <v>2</v>
      </c>
      <c r="H1046" s="461" t="s">
        <v>712</v>
      </c>
      <c r="I1046" s="461" t="s">
        <v>713</v>
      </c>
      <c r="J1046" s="461" t="s">
        <v>712</v>
      </c>
      <c r="K1046" s="594"/>
      <c r="L1046" s="594"/>
      <c r="M1046" s="352">
        <v>2000</v>
      </c>
      <c r="N1046" s="352" t="s">
        <v>703</v>
      </c>
      <c r="O1046" s="460">
        <v>2114</v>
      </c>
      <c r="P1046" s="460" t="s">
        <v>756</v>
      </c>
      <c r="Q1046" s="460" t="s">
        <v>2280</v>
      </c>
      <c r="R1046" s="460">
        <v>2114</v>
      </c>
      <c r="S1046" s="460" t="s">
        <v>2305</v>
      </c>
      <c r="T1046" s="462">
        <v>1</v>
      </c>
      <c r="U1046" s="460" t="s">
        <v>2305</v>
      </c>
      <c r="V1046" s="475">
        <v>0</v>
      </c>
      <c r="W1046" s="463" t="s">
        <v>713</v>
      </c>
      <c r="X1046" s="463" t="s">
        <v>713</v>
      </c>
      <c r="Y1046" s="463" t="s">
        <v>713</v>
      </c>
      <c r="Z1046" s="463"/>
      <c r="AA1046" s="463"/>
      <c r="AB1046" s="464">
        <v>2.8371484817521035</v>
      </c>
      <c r="AC1046" s="465">
        <v>1</v>
      </c>
      <c r="AD1046" s="465">
        <v>7.246049536755597E-5</v>
      </c>
      <c r="AE1046" s="476">
        <v>2.8371484817521035</v>
      </c>
      <c r="AF1046" s="467">
        <v>1</v>
      </c>
      <c r="AG1046" s="468">
        <v>7.2458171096695571E-5</v>
      </c>
      <c r="AH1046" s="218">
        <v>2.8371484817521035</v>
      </c>
      <c r="AI1046" s="470">
        <v>1</v>
      </c>
      <c r="AJ1046" s="471">
        <v>7.2458258809483247E-5</v>
      </c>
      <c r="AK1046" s="218">
        <v>2.8371484817521035</v>
      </c>
      <c r="AL1046" s="470">
        <v>1</v>
      </c>
      <c r="AM1046" s="471">
        <v>7.2458258809483247E-5</v>
      </c>
      <c r="AN1046" s="477">
        <v>2.8371484817521035</v>
      </c>
      <c r="AO1046" s="473">
        <v>1</v>
      </c>
      <c r="AP1046" s="474">
        <v>7.2458347440343507E-5</v>
      </c>
      <c r="AQ1046" s="352"/>
      <c r="AR1046" s="352"/>
      <c r="AS1046" s="352"/>
      <c r="AT1046" s="352"/>
      <c r="AU1046" s="352"/>
      <c r="AV1046" s="352"/>
      <c r="AW1046" s="352" t="s">
        <v>254</v>
      </c>
    </row>
    <row r="1047" spans="2:49" x14ac:dyDescent="0.2">
      <c r="B1047" s="460" t="s">
        <v>2675</v>
      </c>
      <c r="C1047" s="460">
        <v>2114</v>
      </c>
      <c r="D1047" s="460" t="s">
        <v>2310</v>
      </c>
      <c r="E1047" s="460" t="s">
        <v>2296</v>
      </c>
      <c r="F1047" s="460">
        <v>1</v>
      </c>
      <c r="G1047" s="460">
        <v>2</v>
      </c>
      <c r="H1047" s="461" t="s">
        <v>746</v>
      </c>
      <c r="I1047" s="461" t="s">
        <v>762</v>
      </c>
      <c r="J1047" s="461" t="s">
        <v>700</v>
      </c>
      <c r="K1047" s="594"/>
      <c r="L1047" s="594"/>
      <c r="M1047" s="352">
        <v>2000</v>
      </c>
      <c r="N1047" s="352" t="s">
        <v>703</v>
      </c>
      <c r="O1047" s="460">
        <v>2114</v>
      </c>
      <c r="P1047" s="460" t="s">
        <v>756</v>
      </c>
      <c r="Q1047" s="460" t="s">
        <v>2444</v>
      </c>
      <c r="R1047" s="460">
        <v>2114</v>
      </c>
      <c r="S1047" s="460" t="s">
        <v>2296</v>
      </c>
      <c r="T1047" s="462">
        <v>1</v>
      </c>
      <c r="U1047" s="460" t="s">
        <v>2296</v>
      </c>
      <c r="V1047" s="475">
        <v>0</v>
      </c>
      <c r="W1047" s="463" t="s">
        <v>2268</v>
      </c>
      <c r="X1047" s="463" t="s">
        <v>2268</v>
      </c>
      <c r="Y1047" s="463" t="s">
        <v>2290</v>
      </c>
      <c r="Z1047" s="463"/>
      <c r="AA1047" s="463"/>
      <c r="AB1047" s="464">
        <v>0</v>
      </c>
      <c r="AC1047" s="465">
        <v>0</v>
      </c>
      <c r="AD1047" s="465">
        <v>0</v>
      </c>
      <c r="AE1047" s="476">
        <v>0</v>
      </c>
      <c r="AF1047" s="467">
        <v>0</v>
      </c>
      <c r="AG1047" s="468">
        <v>0</v>
      </c>
      <c r="AH1047" s="218">
        <v>0</v>
      </c>
      <c r="AI1047" s="470">
        <v>0</v>
      </c>
      <c r="AJ1047" s="471">
        <v>0</v>
      </c>
      <c r="AK1047" s="218">
        <v>0</v>
      </c>
      <c r="AL1047" s="470">
        <v>0</v>
      </c>
      <c r="AM1047" s="471">
        <v>0</v>
      </c>
      <c r="AN1047" s="477">
        <v>0</v>
      </c>
      <c r="AO1047" s="473">
        <v>0</v>
      </c>
      <c r="AP1047" s="474">
        <v>0</v>
      </c>
      <c r="AQ1047" s="352"/>
      <c r="AR1047" s="352"/>
      <c r="AS1047" s="352"/>
      <c r="AT1047" s="352"/>
      <c r="AU1047" s="352"/>
      <c r="AV1047" s="352"/>
      <c r="AW1047" s="352" t="s">
        <v>254</v>
      </c>
    </row>
    <row r="1048" spans="2:49" x14ac:dyDescent="0.2">
      <c r="B1048" s="460" t="s">
        <v>2676</v>
      </c>
      <c r="C1048" s="460">
        <v>2114</v>
      </c>
      <c r="D1048" s="460" t="s">
        <v>2311</v>
      </c>
      <c r="E1048" s="460" t="s">
        <v>2299</v>
      </c>
      <c r="F1048" s="460">
        <v>2</v>
      </c>
      <c r="G1048" s="460">
        <v>2</v>
      </c>
      <c r="H1048" s="461" t="s">
        <v>746</v>
      </c>
      <c r="I1048" s="461" t="s">
        <v>762</v>
      </c>
      <c r="J1048" s="461" t="s">
        <v>700</v>
      </c>
      <c r="K1048" s="594"/>
      <c r="L1048" s="594"/>
      <c r="M1048" s="352">
        <v>2000</v>
      </c>
      <c r="N1048" s="352" t="s">
        <v>703</v>
      </c>
      <c r="O1048" s="460">
        <v>2114</v>
      </c>
      <c r="P1048" s="460" t="s">
        <v>756</v>
      </c>
      <c r="Q1048" s="460" t="s">
        <v>2444</v>
      </c>
      <c r="R1048" s="460">
        <v>2114</v>
      </c>
      <c r="S1048" s="460" t="s">
        <v>2296</v>
      </c>
      <c r="T1048" s="462">
        <v>0.55517361979372948</v>
      </c>
      <c r="U1048" s="460" t="s">
        <v>2299</v>
      </c>
      <c r="V1048" s="475">
        <v>0</v>
      </c>
      <c r="W1048" s="463" t="s">
        <v>2268</v>
      </c>
      <c r="X1048" s="463" t="s">
        <v>2268</v>
      </c>
      <c r="Y1048" s="463" t="s">
        <v>2290</v>
      </c>
      <c r="Z1048" s="463"/>
      <c r="AA1048" s="463"/>
      <c r="AB1048" s="464">
        <v>0</v>
      </c>
      <c r="AC1048" s="465">
        <v>0</v>
      </c>
      <c r="AD1048" s="465">
        <v>0</v>
      </c>
      <c r="AE1048" s="476">
        <v>0</v>
      </c>
      <c r="AF1048" s="467">
        <v>0</v>
      </c>
      <c r="AG1048" s="468">
        <v>0</v>
      </c>
      <c r="AH1048" s="218">
        <v>0</v>
      </c>
      <c r="AI1048" s="470">
        <v>0</v>
      </c>
      <c r="AJ1048" s="471">
        <v>0</v>
      </c>
      <c r="AK1048" s="218">
        <v>0</v>
      </c>
      <c r="AL1048" s="470">
        <v>0</v>
      </c>
      <c r="AM1048" s="471">
        <v>0</v>
      </c>
      <c r="AN1048" s="477">
        <v>0</v>
      </c>
      <c r="AO1048" s="473">
        <v>0</v>
      </c>
      <c r="AP1048" s="474">
        <v>0</v>
      </c>
      <c r="AQ1048" s="352"/>
      <c r="AR1048" s="352"/>
      <c r="AS1048" s="352"/>
      <c r="AT1048" s="352"/>
      <c r="AU1048" s="352"/>
      <c r="AV1048" s="352"/>
      <c r="AW1048" s="352" t="s">
        <v>254</v>
      </c>
    </row>
    <row r="1049" spans="2:49" x14ac:dyDescent="0.2">
      <c r="B1049" s="460" t="s">
        <v>2677</v>
      </c>
      <c r="C1049" s="460">
        <v>2114</v>
      </c>
      <c r="D1049" s="460" t="s">
        <v>2312</v>
      </c>
      <c r="E1049" s="460" t="s">
        <v>2302</v>
      </c>
      <c r="F1049" s="460">
        <v>3</v>
      </c>
      <c r="G1049" s="460">
        <v>2</v>
      </c>
      <c r="H1049" s="461" t="s">
        <v>746</v>
      </c>
      <c r="I1049" s="461" t="s">
        <v>762</v>
      </c>
      <c r="J1049" s="461" t="s">
        <v>700</v>
      </c>
      <c r="K1049" s="594"/>
      <c r="L1049" s="594"/>
      <c r="M1049" s="352">
        <v>2000</v>
      </c>
      <c r="N1049" s="352" t="s">
        <v>703</v>
      </c>
      <c r="O1049" s="460">
        <v>2114</v>
      </c>
      <c r="P1049" s="460" t="s">
        <v>756</v>
      </c>
      <c r="Q1049" s="460" t="s">
        <v>2444</v>
      </c>
      <c r="R1049" s="460">
        <v>2114</v>
      </c>
      <c r="S1049" s="460" t="s">
        <v>2296</v>
      </c>
      <c r="T1049" s="462">
        <v>0.28481449642268464</v>
      </c>
      <c r="U1049" s="460" t="s">
        <v>2302</v>
      </c>
      <c r="V1049" s="475">
        <v>0</v>
      </c>
      <c r="W1049" s="463" t="s">
        <v>2268</v>
      </c>
      <c r="X1049" s="463" t="s">
        <v>2268</v>
      </c>
      <c r="Y1049" s="463" t="s">
        <v>2290</v>
      </c>
      <c r="Z1049" s="463"/>
      <c r="AA1049" s="463"/>
      <c r="AB1049" s="464">
        <v>0</v>
      </c>
      <c r="AC1049" s="465">
        <v>0</v>
      </c>
      <c r="AD1049" s="465">
        <v>0</v>
      </c>
      <c r="AE1049" s="476">
        <v>0</v>
      </c>
      <c r="AF1049" s="467">
        <v>0</v>
      </c>
      <c r="AG1049" s="468">
        <v>0</v>
      </c>
      <c r="AH1049" s="218">
        <v>0</v>
      </c>
      <c r="AI1049" s="470">
        <v>0</v>
      </c>
      <c r="AJ1049" s="471">
        <v>0</v>
      </c>
      <c r="AK1049" s="218">
        <v>0</v>
      </c>
      <c r="AL1049" s="470">
        <v>0</v>
      </c>
      <c r="AM1049" s="471">
        <v>0</v>
      </c>
      <c r="AN1049" s="477">
        <v>0</v>
      </c>
      <c r="AO1049" s="473">
        <v>0</v>
      </c>
      <c r="AP1049" s="474">
        <v>0</v>
      </c>
      <c r="AQ1049" s="352"/>
      <c r="AR1049" s="352"/>
      <c r="AS1049" s="352"/>
      <c r="AT1049" s="352"/>
      <c r="AU1049" s="352"/>
      <c r="AV1049" s="352"/>
      <c r="AW1049" s="352" t="s">
        <v>254</v>
      </c>
    </row>
    <row r="1050" spans="2:49" x14ac:dyDescent="0.2">
      <c r="B1050" s="460" t="s">
        <v>2678</v>
      </c>
      <c r="C1050" s="460">
        <v>2114</v>
      </c>
      <c r="D1050" s="460" t="s">
        <v>2313</v>
      </c>
      <c r="E1050" s="460" t="s">
        <v>2305</v>
      </c>
      <c r="F1050" s="460">
        <v>4</v>
      </c>
      <c r="G1050" s="460">
        <v>2</v>
      </c>
      <c r="H1050" s="461" t="s">
        <v>746</v>
      </c>
      <c r="I1050" s="461" t="s">
        <v>762</v>
      </c>
      <c r="J1050" s="461" t="s">
        <v>700</v>
      </c>
      <c r="K1050" s="594"/>
      <c r="L1050" s="594"/>
      <c r="M1050" s="352">
        <v>2000</v>
      </c>
      <c r="N1050" s="352" t="s">
        <v>703</v>
      </c>
      <c r="O1050" s="460">
        <v>2114</v>
      </c>
      <c r="P1050" s="460" t="s">
        <v>756</v>
      </c>
      <c r="Q1050" s="460" t="s">
        <v>2444</v>
      </c>
      <c r="R1050" s="460">
        <v>2114</v>
      </c>
      <c r="S1050" s="460" t="s">
        <v>2305</v>
      </c>
      <c r="T1050" s="462">
        <v>1</v>
      </c>
      <c r="U1050" s="460" t="s">
        <v>2305</v>
      </c>
      <c r="V1050" s="475">
        <v>0</v>
      </c>
      <c r="W1050" s="463" t="s">
        <v>2268</v>
      </c>
      <c r="X1050" s="463" t="s">
        <v>2268</v>
      </c>
      <c r="Y1050" s="463" t="s">
        <v>2290</v>
      </c>
      <c r="Z1050" s="463"/>
      <c r="AA1050" s="463"/>
      <c r="AB1050" s="464">
        <v>0</v>
      </c>
      <c r="AC1050" s="465">
        <v>0</v>
      </c>
      <c r="AD1050" s="465">
        <v>0</v>
      </c>
      <c r="AE1050" s="476">
        <v>0</v>
      </c>
      <c r="AF1050" s="467">
        <v>0</v>
      </c>
      <c r="AG1050" s="468">
        <v>0</v>
      </c>
      <c r="AH1050" s="218">
        <v>0</v>
      </c>
      <c r="AI1050" s="470">
        <v>0</v>
      </c>
      <c r="AJ1050" s="471">
        <v>0</v>
      </c>
      <c r="AK1050" s="218">
        <v>0</v>
      </c>
      <c r="AL1050" s="470">
        <v>0</v>
      </c>
      <c r="AM1050" s="471">
        <v>0</v>
      </c>
      <c r="AN1050" s="477">
        <v>0</v>
      </c>
      <c r="AO1050" s="473">
        <v>0</v>
      </c>
      <c r="AP1050" s="474">
        <v>0</v>
      </c>
      <c r="AQ1050" s="352"/>
      <c r="AR1050" s="352"/>
      <c r="AS1050" s="352"/>
      <c r="AT1050" s="352"/>
      <c r="AU1050" s="352"/>
      <c r="AV1050" s="352"/>
      <c r="AW1050" s="352" t="s">
        <v>254</v>
      </c>
    </row>
    <row r="1051" spans="2:49" x14ac:dyDescent="0.2">
      <c r="B1051" s="460" t="s">
        <v>2675</v>
      </c>
      <c r="C1051" s="460">
        <v>2114</v>
      </c>
      <c r="D1051" s="460" t="s">
        <v>2314</v>
      </c>
      <c r="E1051" s="460" t="s">
        <v>2296</v>
      </c>
      <c r="F1051" s="460">
        <v>1</v>
      </c>
      <c r="G1051" s="460">
        <v>2</v>
      </c>
      <c r="H1051" s="461" t="s">
        <v>748</v>
      </c>
      <c r="I1051" s="461" t="s">
        <v>765</v>
      </c>
      <c r="J1051" s="461" t="s">
        <v>700</v>
      </c>
      <c r="K1051" s="594"/>
      <c r="L1051" s="594"/>
      <c r="M1051" s="352">
        <v>2000</v>
      </c>
      <c r="N1051" s="352" t="s">
        <v>703</v>
      </c>
      <c r="O1051" s="460">
        <v>2114</v>
      </c>
      <c r="P1051" s="460" t="s">
        <v>756</v>
      </c>
      <c r="Q1051" s="460" t="s">
        <v>2440</v>
      </c>
      <c r="R1051" s="460">
        <v>2114</v>
      </c>
      <c r="S1051" s="460" t="s">
        <v>2296</v>
      </c>
      <c r="T1051" s="462">
        <v>1</v>
      </c>
      <c r="U1051" s="460" t="s">
        <v>2296</v>
      </c>
      <c r="V1051" s="475">
        <v>0</v>
      </c>
      <c r="W1051" s="463" t="s">
        <v>2268</v>
      </c>
      <c r="X1051" s="463" t="s">
        <v>2268</v>
      </c>
      <c r="Y1051" s="463" t="s">
        <v>2267</v>
      </c>
      <c r="Z1051" s="463"/>
      <c r="AA1051" s="463"/>
      <c r="AB1051" s="464">
        <v>0</v>
      </c>
      <c r="AC1051" s="465">
        <v>0</v>
      </c>
      <c r="AD1051" s="465">
        <v>0</v>
      </c>
      <c r="AE1051" s="476">
        <v>0</v>
      </c>
      <c r="AF1051" s="467">
        <v>0</v>
      </c>
      <c r="AG1051" s="468">
        <v>0</v>
      </c>
      <c r="AH1051" s="218">
        <v>0</v>
      </c>
      <c r="AI1051" s="470">
        <v>0</v>
      </c>
      <c r="AJ1051" s="471">
        <v>0</v>
      </c>
      <c r="AK1051" s="218">
        <v>0</v>
      </c>
      <c r="AL1051" s="470">
        <v>0</v>
      </c>
      <c r="AM1051" s="471">
        <v>0</v>
      </c>
      <c r="AN1051" s="477">
        <v>0.93772069288459969</v>
      </c>
      <c r="AO1051" s="473">
        <v>0.12301930925401325</v>
      </c>
      <c r="AP1051" s="474">
        <v>2.8646082718780067E-4</v>
      </c>
      <c r="AQ1051" s="352"/>
      <c r="AR1051" s="352"/>
      <c r="AS1051" s="352"/>
      <c r="AT1051" s="352"/>
      <c r="AU1051" s="352"/>
      <c r="AV1051" s="352"/>
      <c r="AW1051" s="352" t="s">
        <v>254</v>
      </c>
    </row>
    <row r="1052" spans="2:49" x14ac:dyDescent="0.2">
      <c r="B1052" s="460" t="s">
        <v>2676</v>
      </c>
      <c r="C1052" s="460">
        <v>2114</v>
      </c>
      <c r="D1052" s="460" t="s">
        <v>2315</v>
      </c>
      <c r="E1052" s="460" t="s">
        <v>2299</v>
      </c>
      <c r="F1052" s="460">
        <v>2</v>
      </c>
      <c r="G1052" s="460">
        <v>2</v>
      </c>
      <c r="H1052" s="461" t="s">
        <v>748</v>
      </c>
      <c r="I1052" s="461" t="s">
        <v>765</v>
      </c>
      <c r="J1052" s="461" t="s">
        <v>700</v>
      </c>
      <c r="K1052" s="594"/>
      <c r="L1052" s="594"/>
      <c r="M1052" s="352">
        <v>2000</v>
      </c>
      <c r="N1052" s="352" t="s">
        <v>703</v>
      </c>
      <c r="O1052" s="460">
        <v>2114</v>
      </c>
      <c r="P1052" s="460" t="s">
        <v>756</v>
      </c>
      <c r="Q1052" s="460" t="s">
        <v>2440</v>
      </c>
      <c r="R1052" s="460">
        <v>2114</v>
      </c>
      <c r="S1052" s="460" t="s">
        <v>2296</v>
      </c>
      <c r="T1052" s="462">
        <v>0.55517361979372948</v>
      </c>
      <c r="U1052" s="460" t="s">
        <v>2299</v>
      </c>
      <c r="V1052" s="475">
        <v>0</v>
      </c>
      <c r="W1052" s="463" t="s">
        <v>2268</v>
      </c>
      <c r="X1052" s="463" t="s">
        <v>2268</v>
      </c>
      <c r="Y1052" s="463" t="s">
        <v>2267</v>
      </c>
      <c r="Z1052" s="463"/>
      <c r="AA1052" s="463"/>
      <c r="AB1052" s="464">
        <v>0</v>
      </c>
      <c r="AC1052" s="465">
        <v>0</v>
      </c>
      <c r="AD1052" s="465">
        <v>0</v>
      </c>
      <c r="AE1052" s="476">
        <v>0</v>
      </c>
      <c r="AF1052" s="467">
        <v>0</v>
      </c>
      <c r="AG1052" s="468">
        <v>0</v>
      </c>
      <c r="AH1052" s="218">
        <v>0</v>
      </c>
      <c r="AI1052" s="470">
        <v>0</v>
      </c>
      <c r="AJ1052" s="471">
        <v>0</v>
      </c>
      <c r="AK1052" s="218">
        <v>0</v>
      </c>
      <c r="AL1052" s="470">
        <v>0</v>
      </c>
      <c r="AM1052" s="471">
        <v>0</v>
      </c>
      <c r="AN1052" s="477">
        <v>0.31899336718593935</v>
      </c>
      <c r="AO1052" s="473">
        <v>6.829707522307478E-2</v>
      </c>
      <c r="AP1052" s="474">
        <v>2.9554164668921294E-4</v>
      </c>
      <c r="AQ1052" s="352"/>
      <c r="AR1052" s="352"/>
      <c r="AS1052" s="352"/>
      <c r="AT1052" s="352"/>
      <c r="AU1052" s="352"/>
      <c r="AV1052" s="352"/>
      <c r="AW1052" s="352" t="s">
        <v>254</v>
      </c>
    </row>
    <row r="1053" spans="2:49" x14ac:dyDescent="0.2">
      <c r="B1053" s="460" t="s">
        <v>2677</v>
      </c>
      <c r="C1053" s="460">
        <v>2114</v>
      </c>
      <c r="D1053" s="460" t="s">
        <v>2316</v>
      </c>
      <c r="E1053" s="460" t="s">
        <v>2302</v>
      </c>
      <c r="F1053" s="460">
        <v>3</v>
      </c>
      <c r="G1053" s="460">
        <v>2</v>
      </c>
      <c r="H1053" s="461" t="s">
        <v>748</v>
      </c>
      <c r="I1053" s="461" t="s">
        <v>765</v>
      </c>
      <c r="J1053" s="461" t="s">
        <v>700</v>
      </c>
      <c r="K1053" s="594"/>
      <c r="L1053" s="594"/>
      <c r="M1053" s="352">
        <v>2000</v>
      </c>
      <c r="N1053" s="352" t="s">
        <v>703</v>
      </c>
      <c r="O1053" s="460">
        <v>2114</v>
      </c>
      <c r="P1053" s="460" t="s">
        <v>756</v>
      </c>
      <c r="Q1053" s="460" t="s">
        <v>2440</v>
      </c>
      <c r="R1053" s="460">
        <v>2114</v>
      </c>
      <c r="S1053" s="460" t="s">
        <v>2296</v>
      </c>
      <c r="T1053" s="462">
        <v>0.28481449642268464</v>
      </c>
      <c r="U1053" s="460" t="s">
        <v>2302</v>
      </c>
      <c r="V1053" s="475">
        <v>0</v>
      </c>
      <c r="W1053" s="463" t="s">
        <v>2268</v>
      </c>
      <c r="X1053" s="463" t="s">
        <v>2268</v>
      </c>
      <c r="Y1053" s="463" t="s">
        <v>2267</v>
      </c>
      <c r="Z1053" s="463"/>
      <c r="AA1053" s="463"/>
      <c r="AB1053" s="464">
        <v>0</v>
      </c>
      <c r="AC1053" s="465">
        <v>0</v>
      </c>
      <c r="AD1053" s="465">
        <v>0</v>
      </c>
      <c r="AE1053" s="476">
        <v>0</v>
      </c>
      <c r="AF1053" s="467">
        <v>0</v>
      </c>
      <c r="AG1053" s="468">
        <v>0</v>
      </c>
      <c r="AH1053" s="218">
        <v>0</v>
      </c>
      <c r="AI1053" s="470">
        <v>0</v>
      </c>
      <c r="AJ1053" s="471">
        <v>0</v>
      </c>
      <c r="AK1053" s="218">
        <v>0</v>
      </c>
      <c r="AL1053" s="470">
        <v>0</v>
      </c>
      <c r="AM1053" s="471">
        <v>0</v>
      </c>
      <c r="AN1053" s="477">
        <v>8.8363287712980673E-2</v>
      </c>
      <c r="AO1053" s="473">
        <v>3.503768261544829E-2</v>
      </c>
      <c r="AP1053" s="474">
        <v>3.781006404878273E-4</v>
      </c>
      <c r="AQ1053" s="352"/>
      <c r="AR1053" s="352"/>
      <c r="AS1053" s="352"/>
      <c r="AT1053" s="352"/>
      <c r="AU1053" s="352"/>
      <c r="AV1053" s="352"/>
      <c r="AW1053" s="352" t="s">
        <v>254</v>
      </c>
    </row>
    <row r="1054" spans="2:49" x14ac:dyDescent="0.2">
      <c r="B1054" s="460" t="s">
        <v>2678</v>
      </c>
      <c r="C1054" s="460">
        <v>2114</v>
      </c>
      <c r="D1054" s="460" t="s">
        <v>2317</v>
      </c>
      <c r="E1054" s="460" t="s">
        <v>2305</v>
      </c>
      <c r="F1054" s="460">
        <v>4</v>
      </c>
      <c r="G1054" s="460">
        <v>2</v>
      </c>
      <c r="H1054" s="461" t="s">
        <v>748</v>
      </c>
      <c r="I1054" s="461" t="s">
        <v>765</v>
      </c>
      <c r="J1054" s="461" t="s">
        <v>700</v>
      </c>
      <c r="K1054" s="594"/>
      <c r="L1054" s="594"/>
      <c r="M1054" s="352">
        <v>2000</v>
      </c>
      <c r="N1054" s="352" t="s">
        <v>703</v>
      </c>
      <c r="O1054" s="460">
        <v>2114</v>
      </c>
      <c r="P1054" s="460" t="s">
        <v>756</v>
      </c>
      <c r="Q1054" s="460" t="s">
        <v>2440</v>
      </c>
      <c r="R1054" s="460">
        <v>2114</v>
      </c>
      <c r="S1054" s="460" t="s">
        <v>2305</v>
      </c>
      <c r="T1054" s="462">
        <v>1</v>
      </c>
      <c r="U1054" s="460" t="s">
        <v>2305</v>
      </c>
      <c r="V1054" s="475">
        <v>0</v>
      </c>
      <c r="W1054" s="463" t="s">
        <v>2268</v>
      </c>
      <c r="X1054" s="463" t="s">
        <v>2268</v>
      </c>
      <c r="Y1054" s="463" t="s">
        <v>2278</v>
      </c>
      <c r="Z1054" s="463"/>
      <c r="AA1054" s="463"/>
      <c r="AB1054" s="464">
        <v>0</v>
      </c>
      <c r="AC1054" s="465">
        <v>0</v>
      </c>
      <c r="AD1054" s="465">
        <v>0</v>
      </c>
      <c r="AE1054" s="476">
        <v>0</v>
      </c>
      <c r="AF1054" s="467">
        <v>0</v>
      </c>
      <c r="AG1054" s="468">
        <v>0</v>
      </c>
      <c r="AH1054" s="218">
        <v>0</v>
      </c>
      <c r="AI1054" s="470">
        <v>0</v>
      </c>
      <c r="AJ1054" s="471">
        <v>0</v>
      </c>
      <c r="AK1054" s="218">
        <v>0</v>
      </c>
      <c r="AL1054" s="470">
        <v>0</v>
      </c>
      <c r="AM1054" s="471">
        <v>0</v>
      </c>
      <c r="AN1054" s="477">
        <v>0</v>
      </c>
      <c r="AO1054" s="473">
        <v>0</v>
      </c>
      <c r="AP1054" s="474">
        <v>0</v>
      </c>
      <c r="AQ1054" s="352"/>
      <c r="AR1054" s="352"/>
      <c r="AS1054" s="352"/>
      <c r="AT1054" s="352"/>
      <c r="AU1054" s="352"/>
      <c r="AV1054" s="352"/>
      <c r="AW1054" s="352" t="s">
        <v>254</v>
      </c>
    </row>
    <row r="1055" spans="2:49" x14ac:dyDescent="0.2">
      <c r="B1055" s="460" t="s">
        <v>2679</v>
      </c>
      <c r="C1055" s="460">
        <v>2114</v>
      </c>
      <c r="D1055" s="460" t="s">
        <v>2323</v>
      </c>
      <c r="E1055" s="460" t="s">
        <v>2324</v>
      </c>
      <c r="F1055" s="460">
        <v>1</v>
      </c>
      <c r="G1055" s="460">
        <v>3</v>
      </c>
      <c r="H1055" s="461" t="s">
        <v>700</v>
      </c>
      <c r="I1055" s="461" t="s">
        <v>872</v>
      </c>
      <c r="J1055" s="461" t="s">
        <v>700</v>
      </c>
      <c r="K1055" s="594"/>
      <c r="L1055" s="594"/>
      <c r="M1055" s="352">
        <v>2000</v>
      </c>
      <c r="N1055" s="352" t="s">
        <v>703</v>
      </c>
      <c r="O1055" s="460">
        <v>2114</v>
      </c>
      <c r="P1055" s="460" t="s">
        <v>756</v>
      </c>
      <c r="Q1055" s="460" t="s">
        <v>2440</v>
      </c>
      <c r="R1055" s="460">
        <v>2114</v>
      </c>
      <c r="S1055" s="460" t="s">
        <v>2324</v>
      </c>
      <c r="T1055" s="462">
        <v>1</v>
      </c>
      <c r="U1055" s="460" t="s">
        <v>2324</v>
      </c>
      <c r="V1055" s="475">
        <v>0</v>
      </c>
      <c r="W1055" s="463" t="s">
        <v>2267</v>
      </c>
      <c r="X1055" s="463" t="s">
        <v>2267</v>
      </c>
      <c r="Y1055" s="463" t="s">
        <v>2268</v>
      </c>
      <c r="Z1055" s="463"/>
      <c r="AA1055" s="463"/>
      <c r="AB1055" s="464">
        <v>5.8654175512922073</v>
      </c>
      <c r="AC1055" s="465">
        <v>0.21320767442135652</v>
      </c>
      <c r="AD1055" s="465">
        <v>5.0282346190476097E-5</v>
      </c>
      <c r="AE1055" s="476">
        <v>5.8654175512922073</v>
      </c>
      <c r="AF1055" s="467">
        <v>0.21320767442135652</v>
      </c>
      <c r="AG1055" s="468">
        <v>5.386235399194606E-5</v>
      </c>
      <c r="AH1055" s="218">
        <v>5.8654175512922073</v>
      </c>
      <c r="AI1055" s="470">
        <v>0.21320767442135652</v>
      </c>
      <c r="AJ1055" s="471">
        <v>5.1435065455127292E-5</v>
      </c>
      <c r="AK1055" s="218">
        <v>5.8654175512922073</v>
      </c>
      <c r="AL1055" s="470">
        <v>0.21320767442135652</v>
      </c>
      <c r="AM1055" s="471">
        <v>5.1435065455127292E-5</v>
      </c>
      <c r="AN1055" s="477">
        <v>0</v>
      </c>
      <c r="AO1055" s="473">
        <v>0</v>
      </c>
      <c r="AP1055" s="474">
        <v>0</v>
      </c>
      <c r="AQ1055" s="352"/>
      <c r="AR1055" s="352"/>
      <c r="AS1055" s="352"/>
      <c r="AT1055" s="352"/>
      <c r="AU1055" s="352"/>
      <c r="AV1055" s="352"/>
      <c r="AW1055" s="352" t="s">
        <v>254</v>
      </c>
    </row>
    <row r="1056" spans="2:49" x14ac:dyDescent="0.2">
      <c r="B1056" s="460" t="s">
        <v>2680</v>
      </c>
      <c r="C1056" s="460">
        <v>2114</v>
      </c>
      <c r="D1056" s="460" t="s">
        <v>2326</v>
      </c>
      <c r="E1056" s="460" t="s">
        <v>2327</v>
      </c>
      <c r="F1056" s="460">
        <v>2</v>
      </c>
      <c r="G1056" s="460">
        <v>3</v>
      </c>
      <c r="H1056" s="461" t="s">
        <v>700</v>
      </c>
      <c r="I1056" s="461" t="s">
        <v>872</v>
      </c>
      <c r="J1056" s="461" t="s">
        <v>700</v>
      </c>
      <c r="K1056" s="594"/>
      <c r="L1056" s="594"/>
      <c r="M1056" s="352">
        <v>2000</v>
      </c>
      <c r="N1056" s="352" t="s">
        <v>703</v>
      </c>
      <c r="O1056" s="460">
        <v>2114</v>
      </c>
      <c r="P1056" s="460" t="s">
        <v>756</v>
      </c>
      <c r="Q1056" s="460" t="s">
        <v>2440</v>
      </c>
      <c r="R1056" s="460">
        <v>2114</v>
      </c>
      <c r="S1056" s="460" t="s">
        <v>2324</v>
      </c>
      <c r="T1056" s="462">
        <v>1</v>
      </c>
      <c r="U1056" s="460" t="s">
        <v>2327</v>
      </c>
      <c r="V1056" s="475">
        <v>0</v>
      </c>
      <c r="W1056" s="463" t="s">
        <v>2267</v>
      </c>
      <c r="X1056" s="463" t="s">
        <v>2267</v>
      </c>
      <c r="Y1056" s="463" t="s">
        <v>2268</v>
      </c>
      <c r="Z1056" s="463"/>
      <c r="AA1056" s="463"/>
      <c r="AB1056" s="464">
        <v>2.9111949100763788</v>
      </c>
      <c r="AC1056" s="465">
        <v>0.16919443413490753</v>
      </c>
      <c r="AD1056" s="465">
        <v>4.2997819243364955E-5</v>
      </c>
      <c r="AE1056" s="476">
        <v>2.9111949100763788</v>
      </c>
      <c r="AF1056" s="467">
        <v>0.16919443413490753</v>
      </c>
      <c r="AG1056" s="468">
        <v>4.6571402774487189E-5</v>
      </c>
      <c r="AH1056" s="218">
        <v>3.668495951053373</v>
      </c>
      <c r="AI1056" s="470">
        <v>0.21320767442135652</v>
      </c>
      <c r="AJ1056" s="471">
        <v>4.9389661275090144E-5</v>
      </c>
      <c r="AK1056" s="218">
        <v>3.668495951053373</v>
      </c>
      <c r="AL1056" s="470">
        <v>0.21320767442135652</v>
      </c>
      <c r="AM1056" s="471">
        <v>4.9389661275090144E-5</v>
      </c>
      <c r="AN1056" s="477">
        <v>0</v>
      </c>
      <c r="AO1056" s="473">
        <v>0</v>
      </c>
      <c r="AP1056" s="474">
        <v>0</v>
      </c>
      <c r="AQ1056" s="352"/>
      <c r="AR1056" s="352"/>
      <c r="AS1056" s="352"/>
      <c r="AT1056" s="352"/>
      <c r="AU1056" s="352"/>
      <c r="AV1056" s="352"/>
      <c r="AW1056" s="352" t="s">
        <v>254</v>
      </c>
    </row>
    <row r="1057" spans="2:49" x14ac:dyDescent="0.2">
      <c r="B1057" s="460" t="s">
        <v>2681</v>
      </c>
      <c r="C1057" s="460">
        <v>2114</v>
      </c>
      <c r="D1057" s="460" t="s">
        <v>2329</v>
      </c>
      <c r="E1057" s="460" t="s">
        <v>2330</v>
      </c>
      <c r="F1057" s="460">
        <v>3</v>
      </c>
      <c r="G1057" s="460">
        <v>3</v>
      </c>
      <c r="H1057" s="461" t="s">
        <v>700</v>
      </c>
      <c r="I1057" s="461" t="s">
        <v>872</v>
      </c>
      <c r="J1057" s="461" t="s">
        <v>700</v>
      </c>
      <c r="K1057" s="594"/>
      <c r="L1057" s="594"/>
      <c r="M1057" s="352">
        <v>2000</v>
      </c>
      <c r="N1057" s="352" t="s">
        <v>703</v>
      </c>
      <c r="O1057" s="460">
        <v>2114</v>
      </c>
      <c r="P1057" s="460" t="s">
        <v>756</v>
      </c>
      <c r="Q1057" s="460" t="s">
        <v>2440</v>
      </c>
      <c r="R1057" s="460">
        <v>2114</v>
      </c>
      <c r="S1057" s="460" t="s">
        <v>2324</v>
      </c>
      <c r="T1057" s="462">
        <v>1</v>
      </c>
      <c r="U1057" s="460" t="s">
        <v>2330</v>
      </c>
      <c r="V1057" s="475">
        <v>0</v>
      </c>
      <c r="W1057" s="463" t="s">
        <v>2267</v>
      </c>
      <c r="X1057" s="463" t="s">
        <v>2267</v>
      </c>
      <c r="Y1057" s="463" t="s">
        <v>2268</v>
      </c>
      <c r="Z1057" s="463"/>
      <c r="AA1057" s="463"/>
      <c r="AB1057" s="464">
        <v>0.41162211916023284</v>
      </c>
      <c r="AC1057" s="465">
        <v>9.7386684536229298E-2</v>
      </c>
      <c r="AD1057" s="465">
        <v>1.554334961336569E-5</v>
      </c>
      <c r="AE1057" s="476">
        <v>0.41162211916023284</v>
      </c>
      <c r="AF1057" s="467">
        <v>9.7386684536229298E-2</v>
      </c>
      <c r="AG1057" s="468">
        <v>1.6658784278713284E-5</v>
      </c>
      <c r="AH1057" s="218">
        <v>0.90116010401704705</v>
      </c>
      <c r="AI1057" s="470">
        <v>0.21320767442135652</v>
      </c>
      <c r="AJ1057" s="471">
        <v>3.1749985545994156E-5</v>
      </c>
      <c r="AK1057" s="218">
        <v>0.90116010401704705</v>
      </c>
      <c r="AL1057" s="470">
        <v>0.21320767442135652</v>
      </c>
      <c r="AM1057" s="471">
        <v>3.1749985545994156E-5</v>
      </c>
      <c r="AN1057" s="477">
        <v>0</v>
      </c>
      <c r="AO1057" s="473">
        <v>0</v>
      </c>
      <c r="AP1057" s="474">
        <v>0</v>
      </c>
      <c r="AQ1057" s="352"/>
      <c r="AR1057" s="352"/>
      <c r="AS1057" s="352"/>
      <c r="AT1057" s="352"/>
      <c r="AU1057" s="352"/>
      <c r="AV1057" s="352"/>
      <c r="AW1057" s="352" t="s">
        <v>254</v>
      </c>
    </row>
    <row r="1058" spans="2:49" x14ac:dyDescent="0.2">
      <c r="B1058" s="460" t="s">
        <v>2682</v>
      </c>
      <c r="C1058" s="460">
        <v>2114</v>
      </c>
      <c r="D1058" s="460" t="s">
        <v>2332</v>
      </c>
      <c r="E1058" s="460" t="s">
        <v>2333</v>
      </c>
      <c r="F1058" s="460">
        <v>4</v>
      </c>
      <c r="G1058" s="460">
        <v>3</v>
      </c>
      <c r="H1058" s="461" t="s">
        <v>700</v>
      </c>
      <c r="I1058" s="461" t="s">
        <v>872</v>
      </c>
      <c r="J1058" s="461" t="s">
        <v>700</v>
      </c>
      <c r="K1058" s="594"/>
      <c r="L1058" s="594"/>
      <c r="M1058" s="352">
        <v>2000</v>
      </c>
      <c r="N1058" s="352" t="s">
        <v>703</v>
      </c>
      <c r="O1058" s="460">
        <v>2114</v>
      </c>
      <c r="P1058" s="460" t="s">
        <v>756</v>
      </c>
      <c r="Q1058" s="460" t="s">
        <v>2440</v>
      </c>
      <c r="R1058" s="460">
        <v>2114</v>
      </c>
      <c r="S1058" s="460" t="s">
        <v>2333</v>
      </c>
      <c r="T1058" s="462">
        <v>1</v>
      </c>
      <c r="U1058" s="460" t="s">
        <v>2333</v>
      </c>
      <c r="V1058" s="475">
        <v>0</v>
      </c>
      <c r="W1058" s="463" t="s">
        <v>2278</v>
      </c>
      <c r="X1058" s="463" t="s">
        <v>2278</v>
      </c>
      <c r="Y1058" s="463" t="s">
        <v>2268</v>
      </c>
      <c r="Z1058" s="463"/>
      <c r="AA1058" s="463"/>
      <c r="AB1058" s="464">
        <v>9.5152355794368062E-3</v>
      </c>
      <c r="AC1058" s="465">
        <v>2.1687638200402135E-3</v>
      </c>
      <c r="AD1058" s="465">
        <v>6.5625196335492363E-7</v>
      </c>
      <c r="AE1058" s="476">
        <v>9.5152355794368062E-3</v>
      </c>
      <c r="AF1058" s="467">
        <v>2.1687638200402135E-3</v>
      </c>
      <c r="AG1058" s="468">
        <v>7.2425728107034708E-7</v>
      </c>
      <c r="AH1058" s="218">
        <v>9.5152355794368062E-3</v>
      </c>
      <c r="AI1058" s="470">
        <v>2.1687638200402135E-3</v>
      </c>
      <c r="AJ1058" s="471">
        <v>7.0171456659536992E-7</v>
      </c>
      <c r="AK1058" s="218">
        <v>9.5152355794368062E-3</v>
      </c>
      <c r="AL1058" s="470">
        <v>2.1687638200402135E-3</v>
      </c>
      <c r="AM1058" s="471">
        <v>7.0171456659536992E-7</v>
      </c>
      <c r="AN1058" s="477">
        <v>0</v>
      </c>
      <c r="AO1058" s="473">
        <v>0</v>
      </c>
      <c r="AP1058" s="474">
        <v>0</v>
      </c>
      <c r="AQ1058" s="352"/>
      <c r="AR1058" s="352"/>
      <c r="AS1058" s="352"/>
      <c r="AT1058" s="352"/>
      <c r="AU1058" s="352"/>
      <c r="AV1058" s="352"/>
      <c r="AW1058" s="352" t="s">
        <v>254</v>
      </c>
    </row>
    <row r="1059" spans="2:49" x14ac:dyDescent="0.2">
      <c r="B1059" s="460" t="s">
        <v>2679</v>
      </c>
      <c r="C1059" s="460">
        <v>2114</v>
      </c>
      <c r="D1059" s="460" t="s">
        <v>2334</v>
      </c>
      <c r="E1059" s="460" t="s">
        <v>2324</v>
      </c>
      <c r="F1059" s="460">
        <v>1</v>
      </c>
      <c r="G1059" s="460">
        <v>3</v>
      </c>
      <c r="H1059" s="461" t="s">
        <v>712</v>
      </c>
      <c r="I1059" s="461" t="s">
        <v>713</v>
      </c>
      <c r="J1059" s="461" t="s">
        <v>712</v>
      </c>
      <c r="K1059" s="594"/>
      <c r="L1059" s="594"/>
      <c r="M1059" s="352">
        <v>2000</v>
      </c>
      <c r="N1059" s="352" t="s">
        <v>703</v>
      </c>
      <c r="O1059" s="460">
        <v>2114</v>
      </c>
      <c r="P1059" s="460" t="s">
        <v>756</v>
      </c>
      <c r="Q1059" s="460" t="s">
        <v>2280</v>
      </c>
      <c r="R1059" s="460">
        <v>2114</v>
      </c>
      <c r="S1059" s="460" t="s">
        <v>2324</v>
      </c>
      <c r="T1059" s="462">
        <v>1</v>
      </c>
      <c r="U1059" s="460" t="s">
        <v>2324</v>
      </c>
      <c r="V1059" s="475">
        <v>0</v>
      </c>
      <c r="W1059" s="463" t="s">
        <v>713</v>
      </c>
      <c r="X1059" s="463" t="s">
        <v>713</v>
      </c>
      <c r="Y1059" s="463" t="s">
        <v>713</v>
      </c>
      <c r="Z1059" s="463"/>
      <c r="AA1059" s="463"/>
      <c r="AB1059" s="464">
        <v>21.644931535394711</v>
      </c>
      <c r="AC1059" s="465">
        <v>0.78679232557864343</v>
      </c>
      <c r="AD1059" s="465">
        <v>5.4045144979421557E-5</v>
      </c>
      <c r="AE1059" s="476">
        <v>21.644931535394711</v>
      </c>
      <c r="AF1059" s="467">
        <v>0.78679232557864354</v>
      </c>
      <c r="AG1059" s="468">
        <v>5.3018755845140532E-5</v>
      </c>
      <c r="AH1059" s="218">
        <v>21.644931535394711</v>
      </c>
      <c r="AI1059" s="470">
        <v>0.78679232557864354</v>
      </c>
      <c r="AJ1059" s="471">
        <v>5.3694652133411621E-5</v>
      </c>
      <c r="AK1059" s="218">
        <v>21.644931535394711</v>
      </c>
      <c r="AL1059" s="470">
        <v>0.78679232557864354</v>
      </c>
      <c r="AM1059" s="471">
        <v>5.3694652133411621E-5</v>
      </c>
      <c r="AN1059" s="477">
        <v>21.644931535394711</v>
      </c>
      <c r="AO1059" s="473">
        <v>0.78679232557864354</v>
      </c>
      <c r="AP1059" s="474">
        <v>5.3668521480514188E-5</v>
      </c>
      <c r="AQ1059" s="352"/>
      <c r="AR1059" s="352"/>
      <c r="AS1059" s="352"/>
      <c r="AT1059" s="352"/>
      <c r="AU1059" s="352"/>
      <c r="AV1059" s="352"/>
      <c r="AW1059" s="352" t="s">
        <v>254</v>
      </c>
    </row>
    <row r="1060" spans="2:49" x14ac:dyDescent="0.2">
      <c r="B1060" s="460" t="s">
        <v>2680</v>
      </c>
      <c r="C1060" s="460">
        <v>2114</v>
      </c>
      <c r="D1060" s="460" t="s">
        <v>2335</v>
      </c>
      <c r="E1060" s="460" t="s">
        <v>2327</v>
      </c>
      <c r="F1060" s="460">
        <v>2</v>
      </c>
      <c r="G1060" s="460">
        <v>3</v>
      </c>
      <c r="H1060" s="461" t="s">
        <v>712</v>
      </c>
      <c r="I1060" s="461" t="s">
        <v>713</v>
      </c>
      <c r="J1060" s="461" t="s">
        <v>712</v>
      </c>
      <c r="K1060" s="594"/>
      <c r="L1060" s="594"/>
      <c r="M1060" s="352">
        <v>2000</v>
      </c>
      <c r="N1060" s="352" t="s">
        <v>703</v>
      </c>
      <c r="O1060" s="460">
        <v>2114</v>
      </c>
      <c r="P1060" s="460" t="s">
        <v>756</v>
      </c>
      <c r="Q1060" s="460" t="s">
        <v>2280</v>
      </c>
      <c r="R1060" s="460">
        <v>2114</v>
      </c>
      <c r="S1060" s="460" t="s">
        <v>2324</v>
      </c>
      <c r="T1060" s="462">
        <v>1</v>
      </c>
      <c r="U1060" s="460" t="s">
        <v>2327</v>
      </c>
      <c r="V1060" s="475">
        <v>0</v>
      </c>
      <c r="W1060" s="463" t="s">
        <v>713</v>
      </c>
      <c r="X1060" s="463" t="s">
        <v>713</v>
      </c>
      <c r="Y1060" s="463" t="s">
        <v>713</v>
      </c>
      <c r="Z1060" s="463"/>
      <c r="AA1060" s="463"/>
      <c r="AB1060" s="464">
        <v>14.295014767927164</v>
      </c>
      <c r="AC1060" s="465">
        <v>0.83080556586509247</v>
      </c>
      <c r="AD1060" s="465">
        <v>4.5781192763488081E-5</v>
      </c>
      <c r="AE1060" s="476">
        <v>14.295014767927164</v>
      </c>
      <c r="AF1060" s="467">
        <v>0.83080556586509247</v>
      </c>
      <c r="AG1060" s="468">
        <v>4.5031932752577477E-5</v>
      </c>
      <c r="AH1060" s="218">
        <v>13.537713726950171</v>
      </c>
      <c r="AI1060" s="470">
        <v>0.78679232557864354</v>
      </c>
      <c r="AJ1060" s="471">
        <v>4.4350620697354233E-5</v>
      </c>
      <c r="AK1060" s="218">
        <v>13.537713726950171</v>
      </c>
      <c r="AL1060" s="470">
        <v>0.78679232557864354</v>
      </c>
      <c r="AM1060" s="471">
        <v>4.4350620697354233E-5</v>
      </c>
      <c r="AN1060" s="477">
        <v>13.537713726950171</v>
      </c>
      <c r="AO1060" s="473">
        <v>0.78679232557864354</v>
      </c>
      <c r="AP1060" s="474">
        <v>4.4333232423139021E-5</v>
      </c>
      <c r="AQ1060" s="352"/>
      <c r="AR1060" s="352"/>
      <c r="AS1060" s="352"/>
      <c r="AT1060" s="352"/>
      <c r="AU1060" s="352"/>
      <c r="AV1060" s="352"/>
      <c r="AW1060" s="352" t="s">
        <v>254</v>
      </c>
    </row>
    <row r="1061" spans="2:49" x14ac:dyDescent="0.2">
      <c r="B1061" s="460" t="s">
        <v>2681</v>
      </c>
      <c r="C1061" s="460">
        <v>2114</v>
      </c>
      <c r="D1061" s="460" t="s">
        <v>2336</v>
      </c>
      <c r="E1061" s="460" t="s">
        <v>2330</v>
      </c>
      <c r="F1061" s="460">
        <v>3</v>
      </c>
      <c r="G1061" s="460">
        <v>3</v>
      </c>
      <c r="H1061" s="461" t="s">
        <v>712</v>
      </c>
      <c r="I1061" s="461" t="s">
        <v>713</v>
      </c>
      <c r="J1061" s="461" t="s">
        <v>712</v>
      </c>
      <c r="K1061" s="594"/>
      <c r="L1061" s="594"/>
      <c r="M1061" s="352">
        <v>2000</v>
      </c>
      <c r="N1061" s="352" t="s">
        <v>703</v>
      </c>
      <c r="O1061" s="460">
        <v>2114</v>
      </c>
      <c r="P1061" s="460" t="s">
        <v>756</v>
      </c>
      <c r="Q1061" s="460" t="s">
        <v>2280</v>
      </c>
      <c r="R1061" s="460">
        <v>2114</v>
      </c>
      <c r="S1061" s="460" t="s">
        <v>2324</v>
      </c>
      <c r="T1061" s="462">
        <v>1</v>
      </c>
      <c r="U1061" s="460" t="s">
        <v>2330</v>
      </c>
      <c r="V1061" s="475">
        <v>0</v>
      </c>
      <c r="W1061" s="463" t="s">
        <v>713</v>
      </c>
      <c r="X1061" s="463" t="s">
        <v>713</v>
      </c>
      <c r="Y1061" s="463" t="s">
        <v>713</v>
      </c>
      <c r="Z1061" s="463"/>
      <c r="AA1061" s="463"/>
      <c r="AB1061" s="464">
        <v>3.8150554920598436</v>
      </c>
      <c r="AC1061" s="465">
        <v>0.90261331546377066</v>
      </c>
      <c r="AD1061" s="465">
        <v>3.3779504901780402E-5</v>
      </c>
      <c r="AE1061" s="476">
        <v>3.8150554920598436</v>
      </c>
      <c r="AF1061" s="467">
        <v>0.90261331546377066</v>
      </c>
      <c r="AG1061" s="468">
        <v>3.325735518027811E-5</v>
      </c>
      <c r="AH1061" s="218">
        <v>3.3255175072030299</v>
      </c>
      <c r="AI1061" s="470">
        <v>0.78679232557864354</v>
      </c>
      <c r="AJ1061" s="471">
        <v>3.0096728202565123E-5</v>
      </c>
      <c r="AK1061" s="218">
        <v>3.3255175072030299</v>
      </c>
      <c r="AL1061" s="470">
        <v>0.78679232557864354</v>
      </c>
      <c r="AM1061" s="471">
        <v>3.0096728202565123E-5</v>
      </c>
      <c r="AN1061" s="477">
        <v>3.3255175072030299</v>
      </c>
      <c r="AO1061" s="473">
        <v>0.78679232557864354</v>
      </c>
      <c r="AP1061" s="474">
        <v>3.0174411181960865E-5</v>
      </c>
      <c r="AQ1061" s="352"/>
      <c r="AR1061" s="352"/>
      <c r="AS1061" s="352"/>
      <c r="AT1061" s="352"/>
      <c r="AU1061" s="352"/>
      <c r="AV1061" s="352"/>
      <c r="AW1061" s="352" t="s">
        <v>254</v>
      </c>
    </row>
    <row r="1062" spans="2:49" x14ac:dyDescent="0.2">
      <c r="B1062" s="460" t="s">
        <v>2682</v>
      </c>
      <c r="C1062" s="460">
        <v>2114</v>
      </c>
      <c r="D1062" s="460" t="s">
        <v>2337</v>
      </c>
      <c r="E1062" s="460" t="s">
        <v>2333</v>
      </c>
      <c r="F1062" s="460">
        <v>4</v>
      </c>
      <c r="G1062" s="460">
        <v>3</v>
      </c>
      <c r="H1062" s="461" t="s">
        <v>712</v>
      </c>
      <c r="I1062" s="461" t="s">
        <v>713</v>
      </c>
      <c r="J1062" s="461" t="s">
        <v>712</v>
      </c>
      <c r="K1062" s="594"/>
      <c r="L1062" s="594"/>
      <c r="M1062" s="352">
        <v>2000</v>
      </c>
      <c r="N1062" s="352" t="s">
        <v>703</v>
      </c>
      <c r="O1062" s="460">
        <v>2114</v>
      </c>
      <c r="P1062" s="460" t="s">
        <v>756</v>
      </c>
      <c r="Q1062" s="460" t="s">
        <v>2280</v>
      </c>
      <c r="R1062" s="460">
        <v>2114</v>
      </c>
      <c r="S1062" s="460" t="s">
        <v>2333</v>
      </c>
      <c r="T1062" s="462">
        <v>1</v>
      </c>
      <c r="U1062" s="460" t="s">
        <v>2333</v>
      </c>
      <c r="V1062" s="475">
        <v>0</v>
      </c>
      <c r="W1062" s="463" t="s">
        <v>713</v>
      </c>
      <c r="X1062" s="463" t="s">
        <v>713</v>
      </c>
      <c r="Y1062" s="463" t="s">
        <v>713</v>
      </c>
      <c r="Z1062" s="463"/>
      <c r="AA1062" s="463"/>
      <c r="AB1062" s="464">
        <v>4.3778853156066173</v>
      </c>
      <c r="AC1062" s="465">
        <v>0.99783123617995972</v>
      </c>
      <c r="AD1062" s="465">
        <v>3.3282744545544457E-5</v>
      </c>
      <c r="AE1062" s="476">
        <v>4.3778853156066182</v>
      </c>
      <c r="AF1062" s="467">
        <v>0.99783123617995984</v>
      </c>
      <c r="AG1062" s="468">
        <v>3.2941786585614075E-5</v>
      </c>
      <c r="AH1062" s="218">
        <v>4.3778853156066182</v>
      </c>
      <c r="AI1062" s="470">
        <v>0.99783123617995984</v>
      </c>
      <c r="AJ1062" s="471">
        <v>3.3046736900307791E-5</v>
      </c>
      <c r="AK1062" s="218">
        <v>4.3778853156066182</v>
      </c>
      <c r="AL1062" s="470">
        <v>0.99783123617995984</v>
      </c>
      <c r="AM1062" s="471">
        <v>3.3046736900307791E-5</v>
      </c>
      <c r="AN1062" s="477">
        <v>4.3778853156066182</v>
      </c>
      <c r="AO1062" s="473">
        <v>0.99783123617995984</v>
      </c>
      <c r="AP1062" s="474">
        <v>3.3057238615567706E-5</v>
      </c>
      <c r="AQ1062" s="352"/>
      <c r="AR1062" s="352"/>
      <c r="AS1062" s="352"/>
      <c r="AT1062" s="352"/>
      <c r="AU1062" s="352"/>
      <c r="AV1062" s="352"/>
      <c r="AW1062" s="352" t="s">
        <v>254</v>
      </c>
    </row>
    <row r="1063" spans="2:49" x14ac:dyDescent="0.2">
      <c r="B1063" s="460" t="s">
        <v>2679</v>
      </c>
      <c r="C1063" s="460">
        <v>2114</v>
      </c>
      <c r="D1063" s="460" t="s">
        <v>2338</v>
      </c>
      <c r="E1063" s="460" t="s">
        <v>2324</v>
      </c>
      <c r="F1063" s="460">
        <v>1</v>
      </c>
      <c r="G1063" s="460">
        <v>3</v>
      </c>
      <c r="H1063" s="461" t="s">
        <v>746</v>
      </c>
      <c r="I1063" s="461" t="s">
        <v>762</v>
      </c>
      <c r="J1063" s="461" t="s">
        <v>700</v>
      </c>
      <c r="K1063" s="594"/>
      <c r="L1063" s="594"/>
      <c r="M1063" s="352">
        <v>2000</v>
      </c>
      <c r="N1063" s="352" t="s">
        <v>703</v>
      </c>
      <c r="O1063" s="460">
        <v>2114</v>
      </c>
      <c r="P1063" s="460" t="s">
        <v>756</v>
      </c>
      <c r="Q1063" s="460" t="s">
        <v>2444</v>
      </c>
      <c r="R1063" s="460">
        <v>2114</v>
      </c>
      <c r="S1063" s="460" t="s">
        <v>2324</v>
      </c>
      <c r="T1063" s="462">
        <v>1</v>
      </c>
      <c r="U1063" s="460" t="s">
        <v>2324</v>
      </c>
      <c r="V1063" s="475">
        <v>0</v>
      </c>
      <c r="W1063" s="463" t="s">
        <v>2268</v>
      </c>
      <c r="X1063" s="463" t="s">
        <v>2268</v>
      </c>
      <c r="Y1063" s="463" t="s">
        <v>2290</v>
      </c>
      <c r="Z1063" s="463"/>
      <c r="AA1063" s="463"/>
      <c r="AB1063" s="464">
        <v>0</v>
      </c>
      <c r="AC1063" s="465">
        <v>0</v>
      </c>
      <c r="AD1063" s="465">
        <v>0</v>
      </c>
      <c r="AE1063" s="476">
        <v>0</v>
      </c>
      <c r="AF1063" s="467">
        <v>0</v>
      </c>
      <c r="AG1063" s="468">
        <v>0</v>
      </c>
      <c r="AH1063" s="218">
        <v>0</v>
      </c>
      <c r="AI1063" s="470">
        <v>0</v>
      </c>
      <c r="AJ1063" s="471">
        <v>0</v>
      </c>
      <c r="AK1063" s="218">
        <v>0</v>
      </c>
      <c r="AL1063" s="470">
        <v>0</v>
      </c>
      <c r="AM1063" s="471">
        <v>0</v>
      </c>
      <c r="AN1063" s="477">
        <v>0</v>
      </c>
      <c r="AO1063" s="473">
        <v>0</v>
      </c>
      <c r="AP1063" s="474">
        <v>0</v>
      </c>
      <c r="AQ1063" s="352"/>
      <c r="AR1063" s="352"/>
      <c r="AS1063" s="352"/>
      <c r="AT1063" s="352"/>
      <c r="AU1063" s="352"/>
      <c r="AV1063" s="352"/>
      <c r="AW1063" s="352" t="s">
        <v>254</v>
      </c>
    </row>
    <row r="1064" spans="2:49" x14ac:dyDescent="0.2">
      <c r="B1064" s="460" t="s">
        <v>2680</v>
      </c>
      <c r="C1064" s="460">
        <v>2114</v>
      </c>
      <c r="D1064" s="460" t="s">
        <v>2339</v>
      </c>
      <c r="E1064" s="460" t="s">
        <v>2327</v>
      </c>
      <c r="F1064" s="460">
        <v>2</v>
      </c>
      <c r="G1064" s="460">
        <v>3</v>
      </c>
      <c r="H1064" s="461" t="s">
        <v>746</v>
      </c>
      <c r="I1064" s="461" t="s">
        <v>762</v>
      </c>
      <c r="J1064" s="461" t="s">
        <v>700</v>
      </c>
      <c r="K1064" s="594"/>
      <c r="L1064" s="594"/>
      <c r="M1064" s="352">
        <v>2000</v>
      </c>
      <c r="N1064" s="352" t="s">
        <v>703</v>
      </c>
      <c r="O1064" s="460">
        <v>2114</v>
      </c>
      <c r="P1064" s="460" t="s">
        <v>756</v>
      </c>
      <c r="Q1064" s="460" t="s">
        <v>2444</v>
      </c>
      <c r="R1064" s="460">
        <v>2114</v>
      </c>
      <c r="S1064" s="460" t="s">
        <v>2324</v>
      </c>
      <c r="T1064" s="462">
        <v>1</v>
      </c>
      <c r="U1064" s="460" t="s">
        <v>2327</v>
      </c>
      <c r="V1064" s="475">
        <v>0</v>
      </c>
      <c r="W1064" s="463" t="s">
        <v>2268</v>
      </c>
      <c r="X1064" s="463" t="s">
        <v>2268</v>
      </c>
      <c r="Y1064" s="463" t="s">
        <v>2290</v>
      </c>
      <c r="Z1064" s="463"/>
      <c r="AA1064" s="463"/>
      <c r="AB1064" s="464">
        <v>0</v>
      </c>
      <c r="AC1064" s="465">
        <v>0</v>
      </c>
      <c r="AD1064" s="465">
        <v>0</v>
      </c>
      <c r="AE1064" s="476">
        <v>0</v>
      </c>
      <c r="AF1064" s="467">
        <v>0</v>
      </c>
      <c r="AG1064" s="468">
        <v>0</v>
      </c>
      <c r="AH1064" s="218">
        <v>0</v>
      </c>
      <c r="AI1064" s="470">
        <v>0</v>
      </c>
      <c r="AJ1064" s="471">
        <v>0</v>
      </c>
      <c r="AK1064" s="218">
        <v>0</v>
      </c>
      <c r="AL1064" s="470">
        <v>0</v>
      </c>
      <c r="AM1064" s="471">
        <v>0</v>
      </c>
      <c r="AN1064" s="477">
        <v>0</v>
      </c>
      <c r="AO1064" s="473">
        <v>0</v>
      </c>
      <c r="AP1064" s="474">
        <v>0</v>
      </c>
      <c r="AQ1064" s="352"/>
      <c r="AR1064" s="352"/>
      <c r="AS1064" s="352"/>
      <c r="AT1064" s="352"/>
      <c r="AU1064" s="352"/>
      <c r="AV1064" s="352"/>
      <c r="AW1064" s="352" t="s">
        <v>254</v>
      </c>
    </row>
    <row r="1065" spans="2:49" x14ac:dyDescent="0.2">
      <c r="B1065" s="460" t="s">
        <v>2681</v>
      </c>
      <c r="C1065" s="460">
        <v>2114</v>
      </c>
      <c r="D1065" s="460" t="s">
        <v>2340</v>
      </c>
      <c r="E1065" s="460" t="s">
        <v>2330</v>
      </c>
      <c r="F1065" s="460">
        <v>3</v>
      </c>
      <c r="G1065" s="460">
        <v>3</v>
      </c>
      <c r="H1065" s="461" t="s">
        <v>746</v>
      </c>
      <c r="I1065" s="461" t="s">
        <v>762</v>
      </c>
      <c r="J1065" s="461" t="s">
        <v>700</v>
      </c>
      <c r="K1065" s="594"/>
      <c r="L1065" s="594"/>
      <c r="M1065" s="352">
        <v>2000</v>
      </c>
      <c r="N1065" s="352" t="s">
        <v>703</v>
      </c>
      <c r="O1065" s="460">
        <v>2114</v>
      </c>
      <c r="P1065" s="460" t="s">
        <v>756</v>
      </c>
      <c r="Q1065" s="460" t="s">
        <v>2444</v>
      </c>
      <c r="R1065" s="460">
        <v>2114</v>
      </c>
      <c r="S1065" s="460" t="s">
        <v>2324</v>
      </c>
      <c r="T1065" s="462">
        <v>1</v>
      </c>
      <c r="U1065" s="460" t="s">
        <v>2330</v>
      </c>
      <c r="V1065" s="475">
        <v>0</v>
      </c>
      <c r="W1065" s="463" t="s">
        <v>2268</v>
      </c>
      <c r="X1065" s="463" t="s">
        <v>2268</v>
      </c>
      <c r="Y1065" s="463" t="s">
        <v>2290</v>
      </c>
      <c r="Z1065" s="463"/>
      <c r="AA1065" s="463"/>
      <c r="AB1065" s="464">
        <v>0</v>
      </c>
      <c r="AC1065" s="465">
        <v>0</v>
      </c>
      <c r="AD1065" s="465">
        <v>0</v>
      </c>
      <c r="AE1065" s="476">
        <v>0</v>
      </c>
      <c r="AF1065" s="467">
        <v>0</v>
      </c>
      <c r="AG1065" s="468">
        <v>0</v>
      </c>
      <c r="AH1065" s="218">
        <v>0</v>
      </c>
      <c r="AI1065" s="470">
        <v>0</v>
      </c>
      <c r="AJ1065" s="471">
        <v>0</v>
      </c>
      <c r="AK1065" s="218">
        <v>0</v>
      </c>
      <c r="AL1065" s="470">
        <v>0</v>
      </c>
      <c r="AM1065" s="471">
        <v>0</v>
      </c>
      <c r="AN1065" s="477">
        <v>0</v>
      </c>
      <c r="AO1065" s="473">
        <v>0</v>
      </c>
      <c r="AP1065" s="474">
        <v>0</v>
      </c>
      <c r="AQ1065" s="352"/>
      <c r="AR1065" s="352"/>
      <c r="AS1065" s="352"/>
      <c r="AT1065" s="352"/>
      <c r="AU1065" s="352"/>
      <c r="AV1065" s="352"/>
      <c r="AW1065" s="352" t="s">
        <v>254</v>
      </c>
    </row>
    <row r="1066" spans="2:49" x14ac:dyDescent="0.2">
      <c r="B1066" s="460" t="s">
        <v>2682</v>
      </c>
      <c r="C1066" s="460">
        <v>2114</v>
      </c>
      <c r="D1066" s="460" t="s">
        <v>2341</v>
      </c>
      <c r="E1066" s="460" t="s">
        <v>2333</v>
      </c>
      <c r="F1066" s="460">
        <v>4</v>
      </c>
      <c r="G1066" s="460">
        <v>3</v>
      </c>
      <c r="H1066" s="461" t="s">
        <v>746</v>
      </c>
      <c r="I1066" s="461" t="s">
        <v>762</v>
      </c>
      <c r="J1066" s="461" t="s">
        <v>700</v>
      </c>
      <c r="K1066" s="594"/>
      <c r="L1066" s="594"/>
      <c r="M1066" s="352">
        <v>2000</v>
      </c>
      <c r="N1066" s="352" t="s">
        <v>703</v>
      </c>
      <c r="O1066" s="460">
        <v>2114</v>
      </c>
      <c r="P1066" s="460" t="s">
        <v>756</v>
      </c>
      <c r="Q1066" s="460" t="s">
        <v>2444</v>
      </c>
      <c r="R1066" s="460">
        <v>2114</v>
      </c>
      <c r="S1066" s="460" t="s">
        <v>2333</v>
      </c>
      <c r="T1066" s="462">
        <v>1</v>
      </c>
      <c r="U1066" s="460" t="s">
        <v>2333</v>
      </c>
      <c r="V1066" s="475">
        <v>0</v>
      </c>
      <c r="W1066" s="463" t="s">
        <v>2268</v>
      </c>
      <c r="X1066" s="463" t="s">
        <v>2268</v>
      </c>
      <c r="Y1066" s="463" t="s">
        <v>2290</v>
      </c>
      <c r="Z1066" s="463"/>
      <c r="AA1066" s="463"/>
      <c r="AB1066" s="464">
        <v>0</v>
      </c>
      <c r="AC1066" s="465">
        <v>0</v>
      </c>
      <c r="AD1066" s="465">
        <v>0</v>
      </c>
      <c r="AE1066" s="476">
        <v>0</v>
      </c>
      <c r="AF1066" s="467">
        <v>0</v>
      </c>
      <c r="AG1066" s="468">
        <v>0</v>
      </c>
      <c r="AH1066" s="218">
        <v>0</v>
      </c>
      <c r="AI1066" s="470">
        <v>0</v>
      </c>
      <c r="AJ1066" s="471">
        <v>0</v>
      </c>
      <c r="AK1066" s="218">
        <v>0</v>
      </c>
      <c r="AL1066" s="470">
        <v>0</v>
      </c>
      <c r="AM1066" s="471">
        <v>0</v>
      </c>
      <c r="AN1066" s="477">
        <v>0</v>
      </c>
      <c r="AO1066" s="473">
        <v>0</v>
      </c>
      <c r="AP1066" s="474">
        <v>0</v>
      </c>
      <c r="AQ1066" s="352"/>
      <c r="AR1066" s="352"/>
      <c r="AS1066" s="352"/>
      <c r="AT1066" s="352"/>
      <c r="AU1066" s="352"/>
      <c r="AV1066" s="352"/>
      <c r="AW1066" s="352" t="s">
        <v>254</v>
      </c>
    </row>
    <row r="1067" spans="2:49" x14ac:dyDescent="0.2">
      <c r="B1067" s="460" t="s">
        <v>2679</v>
      </c>
      <c r="C1067" s="460">
        <v>2114</v>
      </c>
      <c r="D1067" s="460" t="s">
        <v>2342</v>
      </c>
      <c r="E1067" s="460" t="s">
        <v>2324</v>
      </c>
      <c r="F1067" s="460">
        <v>1</v>
      </c>
      <c r="G1067" s="460">
        <v>3</v>
      </c>
      <c r="H1067" s="461" t="s">
        <v>748</v>
      </c>
      <c r="I1067" s="461" t="s">
        <v>765</v>
      </c>
      <c r="J1067" s="461" t="s">
        <v>700</v>
      </c>
      <c r="K1067" s="594"/>
      <c r="L1067" s="594"/>
      <c r="M1067" s="352">
        <v>2000</v>
      </c>
      <c r="N1067" s="352" t="s">
        <v>703</v>
      </c>
      <c r="O1067" s="460">
        <v>2114</v>
      </c>
      <c r="P1067" s="460" t="s">
        <v>756</v>
      </c>
      <c r="Q1067" s="460" t="s">
        <v>2440</v>
      </c>
      <c r="R1067" s="460">
        <v>2114</v>
      </c>
      <c r="S1067" s="460" t="s">
        <v>2324</v>
      </c>
      <c r="T1067" s="462">
        <v>1</v>
      </c>
      <c r="U1067" s="460" t="s">
        <v>2324</v>
      </c>
      <c r="V1067" s="475">
        <v>0</v>
      </c>
      <c r="W1067" s="463" t="s">
        <v>2268</v>
      </c>
      <c r="X1067" s="463" t="s">
        <v>2268</v>
      </c>
      <c r="Y1067" s="463" t="s">
        <v>2267</v>
      </c>
      <c r="Z1067" s="463"/>
      <c r="AA1067" s="463"/>
      <c r="AB1067" s="464">
        <v>0</v>
      </c>
      <c r="AC1067" s="465">
        <v>0</v>
      </c>
      <c r="AD1067" s="465">
        <v>0</v>
      </c>
      <c r="AE1067" s="476">
        <v>0</v>
      </c>
      <c r="AF1067" s="467">
        <v>0</v>
      </c>
      <c r="AG1067" s="468">
        <v>0</v>
      </c>
      <c r="AH1067" s="218">
        <v>0</v>
      </c>
      <c r="AI1067" s="470">
        <v>0</v>
      </c>
      <c r="AJ1067" s="471">
        <v>0</v>
      </c>
      <c r="AK1067" s="218">
        <v>0</v>
      </c>
      <c r="AL1067" s="470">
        <v>0</v>
      </c>
      <c r="AM1067" s="471">
        <v>0</v>
      </c>
      <c r="AN1067" s="477">
        <v>5.8654175512922073</v>
      </c>
      <c r="AO1067" s="473">
        <v>0.21320767442135652</v>
      </c>
      <c r="AP1067" s="474">
        <v>3.0530563069173372E-4</v>
      </c>
      <c r="AQ1067" s="352"/>
      <c r="AR1067" s="352"/>
      <c r="AS1067" s="352"/>
      <c r="AT1067" s="352"/>
      <c r="AU1067" s="352"/>
      <c r="AV1067" s="352"/>
      <c r="AW1067" s="352" t="s">
        <v>254</v>
      </c>
    </row>
    <row r="1068" spans="2:49" x14ac:dyDescent="0.2">
      <c r="B1068" s="460" t="s">
        <v>2680</v>
      </c>
      <c r="C1068" s="460">
        <v>2114</v>
      </c>
      <c r="D1068" s="460" t="s">
        <v>2343</v>
      </c>
      <c r="E1068" s="460" t="s">
        <v>2327</v>
      </c>
      <c r="F1068" s="460">
        <v>2</v>
      </c>
      <c r="G1068" s="460">
        <v>3</v>
      </c>
      <c r="H1068" s="461" t="s">
        <v>748</v>
      </c>
      <c r="I1068" s="461" t="s">
        <v>765</v>
      </c>
      <c r="J1068" s="461" t="s">
        <v>700</v>
      </c>
      <c r="K1068" s="594"/>
      <c r="L1068" s="594"/>
      <c r="M1068" s="352">
        <v>2000</v>
      </c>
      <c r="N1068" s="352" t="s">
        <v>703</v>
      </c>
      <c r="O1068" s="460">
        <v>2114</v>
      </c>
      <c r="P1068" s="460" t="s">
        <v>756</v>
      </c>
      <c r="Q1068" s="460" t="s">
        <v>2440</v>
      </c>
      <c r="R1068" s="460">
        <v>2114</v>
      </c>
      <c r="S1068" s="460" t="s">
        <v>2324</v>
      </c>
      <c r="T1068" s="462">
        <v>1</v>
      </c>
      <c r="U1068" s="460" t="s">
        <v>2327</v>
      </c>
      <c r="V1068" s="475">
        <v>0</v>
      </c>
      <c r="W1068" s="463" t="s">
        <v>2268</v>
      </c>
      <c r="X1068" s="463" t="s">
        <v>2268</v>
      </c>
      <c r="Y1068" s="463" t="s">
        <v>2267</v>
      </c>
      <c r="Z1068" s="463"/>
      <c r="AA1068" s="463"/>
      <c r="AB1068" s="464">
        <v>0</v>
      </c>
      <c r="AC1068" s="465">
        <v>0</v>
      </c>
      <c r="AD1068" s="465">
        <v>0</v>
      </c>
      <c r="AE1068" s="476">
        <v>0</v>
      </c>
      <c r="AF1068" s="467">
        <v>0</v>
      </c>
      <c r="AG1068" s="468">
        <v>0</v>
      </c>
      <c r="AH1068" s="218">
        <v>0</v>
      </c>
      <c r="AI1068" s="470">
        <v>0</v>
      </c>
      <c r="AJ1068" s="471">
        <v>0</v>
      </c>
      <c r="AK1068" s="218">
        <v>0</v>
      </c>
      <c r="AL1068" s="470">
        <v>0</v>
      </c>
      <c r="AM1068" s="471">
        <v>0</v>
      </c>
      <c r="AN1068" s="477">
        <v>3.668495951053373</v>
      </c>
      <c r="AO1068" s="473">
        <v>0.21320767442135652</v>
      </c>
      <c r="AP1068" s="474">
        <v>3.2610549065691428E-4</v>
      </c>
      <c r="AQ1068" s="352"/>
      <c r="AR1068" s="352"/>
      <c r="AS1068" s="352"/>
      <c r="AT1068" s="352"/>
      <c r="AU1068" s="352"/>
      <c r="AV1068" s="352"/>
      <c r="AW1068" s="352" t="s">
        <v>254</v>
      </c>
    </row>
    <row r="1069" spans="2:49" x14ac:dyDescent="0.2">
      <c r="B1069" s="460" t="s">
        <v>2681</v>
      </c>
      <c r="C1069" s="460">
        <v>2114</v>
      </c>
      <c r="D1069" s="460" t="s">
        <v>2344</v>
      </c>
      <c r="E1069" s="460" t="s">
        <v>2330</v>
      </c>
      <c r="F1069" s="460">
        <v>3</v>
      </c>
      <c r="G1069" s="460">
        <v>3</v>
      </c>
      <c r="H1069" s="461" t="s">
        <v>748</v>
      </c>
      <c r="I1069" s="461" t="s">
        <v>765</v>
      </c>
      <c r="J1069" s="461" t="s">
        <v>700</v>
      </c>
      <c r="K1069" s="594"/>
      <c r="L1069" s="594"/>
      <c r="M1069" s="352">
        <v>2000</v>
      </c>
      <c r="N1069" s="352" t="s">
        <v>703</v>
      </c>
      <c r="O1069" s="460">
        <v>2114</v>
      </c>
      <c r="P1069" s="460" t="s">
        <v>756</v>
      </c>
      <c r="Q1069" s="460" t="s">
        <v>2440</v>
      </c>
      <c r="R1069" s="460">
        <v>2114</v>
      </c>
      <c r="S1069" s="460" t="s">
        <v>2324</v>
      </c>
      <c r="T1069" s="462">
        <v>1</v>
      </c>
      <c r="U1069" s="460" t="s">
        <v>2330</v>
      </c>
      <c r="V1069" s="475">
        <v>0</v>
      </c>
      <c r="W1069" s="463" t="s">
        <v>2268</v>
      </c>
      <c r="X1069" s="463" t="s">
        <v>2268</v>
      </c>
      <c r="Y1069" s="463" t="s">
        <v>2267</v>
      </c>
      <c r="Z1069" s="463"/>
      <c r="AA1069" s="463"/>
      <c r="AB1069" s="464">
        <v>0</v>
      </c>
      <c r="AC1069" s="465">
        <v>0</v>
      </c>
      <c r="AD1069" s="465">
        <v>0</v>
      </c>
      <c r="AE1069" s="476">
        <v>0</v>
      </c>
      <c r="AF1069" s="467">
        <v>0</v>
      </c>
      <c r="AG1069" s="468">
        <v>0</v>
      </c>
      <c r="AH1069" s="218">
        <v>0</v>
      </c>
      <c r="AI1069" s="470">
        <v>0</v>
      </c>
      <c r="AJ1069" s="471">
        <v>0</v>
      </c>
      <c r="AK1069" s="218">
        <v>0</v>
      </c>
      <c r="AL1069" s="470">
        <v>0</v>
      </c>
      <c r="AM1069" s="471">
        <v>0</v>
      </c>
      <c r="AN1069" s="477">
        <v>0.90116010401704705</v>
      </c>
      <c r="AO1069" s="473">
        <v>0.21320767442135652</v>
      </c>
      <c r="AP1069" s="474">
        <v>2.4564067073724926E-4</v>
      </c>
      <c r="AQ1069" s="352"/>
      <c r="AR1069" s="352"/>
      <c r="AS1069" s="352"/>
      <c r="AT1069" s="352"/>
      <c r="AU1069" s="352"/>
      <c r="AV1069" s="352"/>
      <c r="AW1069" s="352" t="s">
        <v>254</v>
      </c>
    </row>
    <row r="1070" spans="2:49" x14ac:dyDescent="0.2">
      <c r="B1070" s="460" t="s">
        <v>2682</v>
      </c>
      <c r="C1070" s="460">
        <v>2114</v>
      </c>
      <c r="D1070" s="460" t="s">
        <v>2345</v>
      </c>
      <c r="E1070" s="460" t="s">
        <v>2333</v>
      </c>
      <c r="F1070" s="460">
        <v>4</v>
      </c>
      <c r="G1070" s="460">
        <v>3</v>
      </c>
      <c r="H1070" s="461" t="s">
        <v>748</v>
      </c>
      <c r="I1070" s="461" t="s">
        <v>765</v>
      </c>
      <c r="J1070" s="461" t="s">
        <v>700</v>
      </c>
      <c r="K1070" s="594"/>
      <c r="L1070" s="594"/>
      <c r="M1070" s="352">
        <v>2000</v>
      </c>
      <c r="N1070" s="352" t="s">
        <v>703</v>
      </c>
      <c r="O1070" s="460">
        <v>2114</v>
      </c>
      <c r="P1070" s="460" t="s">
        <v>756</v>
      </c>
      <c r="Q1070" s="460" t="s">
        <v>2440</v>
      </c>
      <c r="R1070" s="460">
        <v>2114</v>
      </c>
      <c r="S1070" s="460" t="s">
        <v>2333</v>
      </c>
      <c r="T1070" s="462">
        <v>1</v>
      </c>
      <c r="U1070" s="460" t="s">
        <v>2333</v>
      </c>
      <c r="V1070" s="475">
        <v>0</v>
      </c>
      <c r="W1070" s="463" t="s">
        <v>2268</v>
      </c>
      <c r="X1070" s="463" t="s">
        <v>2268</v>
      </c>
      <c r="Y1070" s="463" t="s">
        <v>2278</v>
      </c>
      <c r="Z1070" s="463"/>
      <c r="AA1070" s="463"/>
      <c r="AB1070" s="464">
        <v>0</v>
      </c>
      <c r="AC1070" s="465">
        <v>0</v>
      </c>
      <c r="AD1070" s="465">
        <v>0</v>
      </c>
      <c r="AE1070" s="476">
        <v>0</v>
      </c>
      <c r="AF1070" s="467">
        <v>0</v>
      </c>
      <c r="AG1070" s="468">
        <v>0</v>
      </c>
      <c r="AH1070" s="218">
        <v>0</v>
      </c>
      <c r="AI1070" s="470">
        <v>0</v>
      </c>
      <c r="AJ1070" s="471">
        <v>0</v>
      </c>
      <c r="AK1070" s="218">
        <v>0</v>
      </c>
      <c r="AL1070" s="470">
        <v>0</v>
      </c>
      <c r="AM1070" s="471">
        <v>0</v>
      </c>
      <c r="AN1070" s="477">
        <v>9.5152355794368062E-3</v>
      </c>
      <c r="AO1070" s="473">
        <v>2.1687638200402135E-3</v>
      </c>
      <c r="AP1070" s="474">
        <v>5.9253706508483807E-6</v>
      </c>
      <c r="AQ1070" s="352"/>
      <c r="AR1070" s="352"/>
      <c r="AS1070" s="352"/>
      <c r="AT1070" s="352"/>
      <c r="AU1070" s="352"/>
      <c r="AV1070" s="352"/>
      <c r="AW1070" s="352" t="s">
        <v>254</v>
      </c>
    </row>
    <row r="1071" spans="2:49" x14ac:dyDescent="0.2">
      <c r="B1071" s="460" t="s">
        <v>2679</v>
      </c>
      <c r="C1071" s="460">
        <v>2114</v>
      </c>
      <c r="D1071" s="460" t="s">
        <v>2346</v>
      </c>
      <c r="E1071" s="460" t="s">
        <v>2324</v>
      </c>
      <c r="F1071" s="460">
        <v>1</v>
      </c>
      <c r="G1071" s="460">
        <v>3</v>
      </c>
      <c r="H1071" s="461" t="s">
        <v>752</v>
      </c>
      <c r="I1071" s="461" t="s">
        <v>964</v>
      </c>
      <c r="J1071" s="461" t="s">
        <v>752</v>
      </c>
      <c r="K1071" s="594"/>
      <c r="L1071" s="594"/>
      <c r="M1071" s="352">
        <v>2000</v>
      </c>
      <c r="N1071" s="352" t="s">
        <v>703</v>
      </c>
      <c r="O1071" s="460">
        <v>2114</v>
      </c>
      <c r="P1071" s="460" t="s">
        <v>756</v>
      </c>
      <c r="Q1071" s="460" t="s">
        <v>2440</v>
      </c>
      <c r="R1071" s="460">
        <v>2114</v>
      </c>
      <c r="S1071" s="460" t="s">
        <v>2324</v>
      </c>
      <c r="T1071" s="462">
        <v>1</v>
      </c>
      <c r="U1071" s="460" t="s">
        <v>2324</v>
      </c>
      <c r="V1071" s="475">
        <v>0</v>
      </c>
      <c r="W1071" s="463" t="s">
        <v>2278</v>
      </c>
      <c r="X1071" s="463" t="s">
        <v>2278</v>
      </c>
      <c r="Y1071" s="463" t="s">
        <v>2278</v>
      </c>
      <c r="Z1071" s="463"/>
      <c r="AA1071" s="463"/>
      <c r="AB1071" s="464">
        <v>0</v>
      </c>
      <c r="AC1071" s="465">
        <v>0</v>
      </c>
      <c r="AD1071" s="465">
        <v>0</v>
      </c>
      <c r="AE1071" s="476">
        <v>0</v>
      </c>
      <c r="AF1071" s="467">
        <v>0</v>
      </c>
      <c r="AG1071" s="468">
        <v>0</v>
      </c>
      <c r="AH1071" s="218">
        <v>0</v>
      </c>
      <c r="AI1071" s="470">
        <v>0</v>
      </c>
      <c r="AJ1071" s="471">
        <v>0</v>
      </c>
      <c r="AK1071" s="218">
        <v>0</v>
      </c>
      <c r="AL1071" s="470">
        <v>0</v>
      </c>
      <c r="AM1071" s="471">
        <v>0</v>
      </c>
      <c r="AN1071" s="477">
        <v>0</v>
      </c>
      <c r="AO1071" s="473">
        <v>0</v>
      </c>
      <c r="AP1071" s="474">
        <v>0</v>
      </c>
      <c r="AQ1071" s="352"/>
      <c r="AR1071" s="352"/>
      <c r="AS1071" s="352"/>
      <c r="AT1071" s="352"/>
      <c r="AU1071" s="352"/>
      <c r="AV1071" s="352"/>
      <c r="AW1071" s="352" t="s">
        <v>254</v>
      </c>
    </row>
    <row r="1072" spans="2:49" x14ac:dyDescent="0.2">
      <c r="B1072" s="460" t="s">
        <v>2680</v>
      </c>
      <c r="C1072" s="460">
        <v>2114</v>
      </c>
      <c r="D1072" s="460" t="s">
        <v>2347</v>
      </c>
      <c r="E1072" s="460" t="s">
        <v>2327</v>
      </c>
      <c r="F1072" s="460">
        <v>2</v>
      </c>
      <c r="G1072" s="460">
        <v>3</v>
      </c>
      <c r="H1072" s="461" t="s">
        <v>752</v>
      </c>
      <c r="I1072" s="461" t="s">
        <v>964</v>
      </c>
      <c r="J1072" s="461" t="s">
        <v>752</v>
      </c>
      <c r="K1072" s="594"/>
      <c r="L1072" s="594"/>
      <c r="M1072" s="352">
        <v>2000</v>
      </c>
      <c r="N1072" s="352" t="s">
        <v>703</v>
      </c>
      <c r="O1072" s="460">
        <v>2114</v>
      </c>
      <c r="P1072" s="460" t="s">
        <v>756</v>
      </c>
      <c r="Q1072" s="460" t="s">
        <v>2440</v>
      </c>
      <c r="R1072" s="460">
        <v>2114</v>
      </c>
      <c r="S1072" s="460" t="s">
        <v>2324</v>
      </c>
      <c r="T1072" s="462">
        <v>1</v>
      </c>
      <c r="U1072" s="460" t="s">
        <v>2327</v>
      </c>
      <c r="V1072" s="475">
        <v>0</v>
      </c>
      <c r="W1072" s="463" t="s">
        <v>2278</v>
      </c>
      <c r="X1072" s="463" t="s">
        <v>2278</v>
      </c>
      <c r="Y1072" s="463" t="s">
        <v>2278</v>
      </c>
      <c r="Z1072" s="463"/>
      <c r="AA1072" s="463"/>
      <c r="AB1072" s="464">
        <v>0</v>
      </c>
      <c r="AC1072" s="465">
        <v>0</v>
      </c>
      <c r="AD1072" s="465">
        <v>0</v>
      </c>
      <c r="AE1072" s="476">
        <v>0</v>
      </c>
      <c r="AF1072" s="467">
        <v>0</v>
      </c>
      <c r="AG1072" s="468">
        <v>0</v>
      </c>
      <c r="AH1072" s="218">
        <v>0</v>
      </c>
      <c r="AI1072" s="470">
        <v>0</v>
      </c>
      <c r="AJ1072" s="471">
        <v>0</v>
      </c>
      <c r="AK1072" s="218">
        <v>0</v>
      </c>
      <c r="AL1072" s="470">
        <v>0</v>
      </c>
      <c r="AM1072" s="471">
        <v>0</v>
      </c>
      <c r="AN1072" s="477">
        <v>0</v>
      </c>
      <c r="AO1072" s="473">
        <v>0</v>
      </c>
      <c r="AP1072" s="474">
        <v>0</v>
      </c>
      <c r="AQ1072" s="352"/>
      <c r="AR1072" s="352"/>
      <c r="AS1072" s="352"/>
      <c r="AT1072" s="352"/>
      <c r="AU1072" s="352"/>
      <c r="AV1072" s="352"/>
      <c r="AW1072" s="352" t="s">
        <v>254</v>
      </c>
    </row>
    <row r="1073" spans="2:49" x14ac:dyDescent="0.2">
      <c r="B1073" s="460" t="s">
        <v>2681</v>
      </c>
      <c r="C1073" s="460">
        <v>2114</v>
      </c>
      <c r="D1073" s="460" t="s">
        <v>2348</v>
      </c>
      <c r="E1073" s="460" t="s">
        <v>2330</v>
      </c>
      <c r="F1073" s="460">
        <v>3</v>
      </c>
      <c r="G1073" s="460">
        <v>3</v>
      </c>
      <c r="H1073" s="461" t="s">
        <v>752</v>
      </c>
      <c r="I1073" s="461" t="s">
        <v>964</v>
      </c>
      <c r="J1073" s="461" t="s">
        <v>752</v>
      </c>
      <c r="K1073" s="594"/>
      <c r="L1073" s="594"/>
      <c r="M1073" s="352">
        <v>2000</v>
      </c>
      <c r="N1073" s="352" t="s">
        <v>703</v>
      </c>
      <c r="O1073" s="460">
        <v>2114</v>
      </c>
      <c r="P1073" s="460" t="s">
        <v>756</v>
      </c>
      <c r="Q1073" s="460" t="s">
        <v>2440</v>
      </c>
      <c r="R1073" s="460">
        <v>2114</v>
      </c>
      <c r="S1073" s="460" t="s">
        <v>2324</v>
      </c>
      <c r="T1073" s="462">
        <v>1</v>
      </c>
      <c r="U1073" s="460" t="s">
        <v>2330</v>
      </c>
      <c r="V1073" s="475">
        <v>0</v>
      </c>
      <c r="W1073" s="463" t="s">
        <v>2278</v>
      </c>
      <c r="X1073" s="463" t="s">
        <v>2278</v>
      </c>
      <c r="Y1073" s="463" t="s">
        <v>2278</v>
      </c>
      <c r="Z1073" s="463"/>
      <c r="AA1073" s="463"/>
      <c r="AB1073" s="464">
        <v>0</v>
      </c>
      <c r="AC1073" s="465">
        <v>0</v>
      </c>
      <c r="AD1073" s="465">
        <v>0</v>
      </c>
      <c r="AE1073" s="476">
        <v>0</v>
      </c>
      <c r="AF1073" s="467">
        <v>0</v>
      </c>
      <c r="AG1073" s="468">
        <v>0</v>
      </c>
      <c r="AH1073" s="218">
        <v>0</v>
      </c>
      <c r="AI1073" s="470">
        <v>0</v>
      </c>
      <c r="AJ1073" s="471">
        <v>0</v>
      </c>
      <c r="AK1073" s="218">
        <v>0</v>
      </c>
      <c r="AL1073" s="470">
        <v>0</v>
      </c>
      <c r="AM1073" s="471">
        <v>0</v>
      </c>
      <c r="AN1073" s="477">
        <v>0</v>
      </c>
      <c r="AO1073" s="473">
        <v>0</v>
      </c>
      <c r="AP1073" s="474">
        <v>0</v>
      </c>
      <c r="AQ1073" s="352"/>
      <c r="AR1073" s="352"/>
      <c r="AS1073" s="352"/>
      <c r="AT1073" s="352"/>
      <c r="AU1073" s="352"/>
      <c r="AV1073" s="352"/>
      <c r="AW1073" s="352" t="s">
        <v>254</v>
      </c>
    </row>
    <row r="1074" spans="2:49" x14ac:dyDescent="0.2">
      <c r="B1074" s="460" t="s">
        <v>2682</v>
      </c>
      <c r="C1074" s="460">
        <v>2114</v>
      </c>
      <c r="D1074" s="460" t="s">
        <v>2349</v>
      </c>
      <c r="E1074" s="460" t="s">
        <v>2333</v>
      </c>
      <c r="F1074" s="460">
        <v>4</v>
      </c>
      <c r="G1074" s="460">
        <v>3</v>
      </c>
      <c r="H1074" s="461" t="s">
        <v>752</v>
      </c>
      <c r="I1074" s="461" t="s">
        <v>964</v>
      </c>
      <c r="J1074" s="461" t="s">
        <v>752</v>
      </c>
      <c r="K1074" s="594"/>
      <c r="L1074" s="594"/>
      <c r="M1074" s="352">
        <v>2000</v>
      </c>
      <c r="N1074" s="352" t="s">
        <v>703</v>
      </c>
      <c r="O1074" s="460">
        <v>2114</v>
      </c>
      <c r="P1074" s="460" t="s">
        <v>756</v>
      </c>
      <c r="Q1074" s="460" t="s">
        <v>2440</v>
      </c>
      <c r="R1074" s="460">
        <v>2114</v>
      </c>
      <c r="S1074" s="460" t="s">
        <v>2333</v>
      </c>
      <c r="T1074" s="462">
        <v>1</v>
      </c>
      <c r="U1074" s="460" t="s">
        <v>2333</v>
      </c>
      <c r="V1074" s="475">
        <v>0</v>
      </c>
      <c r="W1074" s="463" t="s">
        <v>2278</v>
      </c>
      <c r="X1074" s="463" t="s">
        <v>2278</v>
      </c>
      <c r="Y1074" s="463" t="s">
        <v>2278</v>
      </c>
      <c r="Z1074" s="463"/>
      <c r="AA1074" s="463"/>
      <c r="AB1074" s="464">
        <v>0</v>
      </c>
      <c r="AC1074" s="465">
        <v>0</v>
      </c>
      <c r="AD1074" s="465">
        <v>0</v>
      </c>
      <c r="AE1074" s="476">
        <v>0</v>
      </c>
      <c r="AF1074" s="467">
        <v>0</v>
      </c>
      <c r="AG1074" s="468">
        <v>0</v>
      </c>
      <c r="AH1074" s="218">
        <v>0</v>
      </c>
      <c r="AI1074" s="470">
        <v>0</v>
      </c>
      <c r="AJ1074" s="471">
        <v>0</v>
      </c>
      <c r="AK1074" s="218">
        <v>0</v>
      </c>
      <c r="AL1074" s="470">
        <v>0</v>
      </c>
      <c r="AM1074" s="471">
        <v>0</v>
      </c>
      <c r="AN1074" s="477">
        <v>0</v>
      </c>
      <c r="AO1074" s="473">
        <v>0</v>
      </c>
      <c r="AP1074" s="474">
        <v>0</v>
      </c>
      <c r="AQ1074" s="352"/>
      <c r="AR1074" s="352"/>
      <c r="AS1074" s="352"/>
      <c r="AT1074" s="352"/>
      <c r="AU1074" s="352"/>
      <c r="AV1074" s="352"/>
      <c r="AW1074" s="352" t="s">
        <v>254</v>
      </c>
    </row>
    <row r="1075" spans="2:49" x14ac:dyDescent="0.2">
      <c r="B1075" s="460" t="s">
        <v>2683</v>
      </c>
      <c r="C1075" s="460">
        <v>2114</v>
      </c>
      <c r="D1075" s="460" t="s">
        <v>2351</v>
      </c>
      <c r="E1075" s="460" t="s">
        <v>1136</v>
      </c>
      <c r="F1075" s="460">
        <v>1</v>
      </c>
      <c r="G1075" s="460">
        <v>4</v>
      </c>
      <c r="H1075" s="461" t="s">
        <v>700</v>
      </c>
      <c r="I1075" s="461" t="s">
        <v>872</v>
      </c>
      <c r="J1075" s="461" t="s">
        <v>700</v>
      </c>
      <c r="K1075" s="594"/>
      <c r="L1075" s="594"/>
      <c r="M1075" s="352">
        <v>2000</v>
      </c>
      <c r="N1075" s="352" t="s">
        <v>703</v>
      </c>
      <c r="O1075" s="460">
        <v>2114</v>
      </c>
      <c r="P1075" s="460" t="s">
        <v>756</v>
      </c>
      <c r="Q1075" s="460" t="s">
        <v>2440</v>
      </c>
      <c r="R1075" s="460">
        <v>2114</v>
      </c>
      <c r="S1075" s="460" t="s">
        <v>1136</v>
      </c>
      <c r="T1075" s="462">
        <v>1</v>
      </c>
      <c r="U1075" s="460" t="s">
        <v>1136</v>
      </c>
      <c r="V1075" s="475">
        <v>0</v>
      </c>
      <c r="W1075" s="463" t="s">
        <v>2267</v>
      </c>
      <c r="X1075" s="463" t="s">
        <v>2267</v>
      </c>
      <c r="Y1075" s="463" t="s">
        <v>2268</v>
      </c>
      <c r="Z1075" s="463"/>
      <c r="AA1075" s="463"/>
      <c r="AB1075" s="464">
        <v>0.1339429441965167</v>
      </c>
      <c r="AC1075" s="465">
        <v>0.10397087744537038</v>
      </c>
      <c r="AD1075" s="465">
        <v>3.8109570086546074E-4</v>
      </c>
      <c r="AE1075" s="476">
        <v>0.1339429441965167</v>
      </c>
      <c r="AF1075" s="467">
        <v>0.10397087744537038</v>
      </c>
      <c r="AG1075" s="468">
        <v>4.1427448928625443E-4</v>
      </c>
      <c r="AH1075" s="218">
        <v>0.1339429441965167</v>
      </c>
      <c r="AI1075" s="470">
        <v>0.10397087744537038</v>
      </c>
      <c r="AJ1075" s="471">
        <v>1.0460495559912284E-4</v>
      </c>
      <c r="AK1075" s="218">
        <v>0.1339429441965167</v>
      </c>
      <c r="AL1075" s="470">
        <v>0.10397087744537038</v>
      </c>
      <c r="AM1075" s="471">
        <v>1.0460495559912284E-4</v>
      </c>
      <c r="AN1075" s="477">
        <v>0</v>
      </c>
      <c r="AO1075" s="473">
        <v>0</v>
      </c>
      <c r="AP1075" s="474">
        <v>0</v>
      </c>
      <c r="AQ1075" s="352"/>
      <c r="AR1075" s="352"/>
      <c r="AS1075" s="352"/>
      <c r="AT1075" s="352"/>
      <c r="AU1075" s="352"/>
      <c r="AV1075" s="352"/>
      <c r="AW1075" s="352" t="s">
        <v>254</v>
      </c>
    </row>
    <row r="1076" spans="2:49" x14ac:dyDescent="0.2">
      <c r="B1076" s="460" t="s">
        <v>2684</v>
      </c>
      <c r="C1076" s="460">
        <v>2114</v>
      </c>
      <c r="D1076" s="460" t="s">
        <v>2353</v>
      </c>
      <c r="E1076" s="460" t="s">
        <v>1137</v>
      </c>
      <c r="F1076" s="460">
        <v>2</v>
      </c>
      <c r="G1076" s="460">
        <v>4</v>
      </c>
      <c r="H1076" s="461" t="s">
        <v>700</v>
      </c>
      <c r="I1076" s="461" t="s">
        <v>872</v>
      </c>
      <c r="J1076" s="461" t="s">
        <v>700</v>
      </c>
      <c r="K1076" s="594"/>
      <c r="L1076" s="594"/>
      <c r="M1076" s="352">
        <v>2000</v>
      </c>
      <c r="N1076" s="352" t="s">
        <v>703</v>
      </c>
      <c r="O1076" s="460">
        <v>2114</v>
      </c>
      <c r="P1076" s="460" t="s">
        <v>756</v>
      </c>
      <c r="Q1076" s="460" t="s">
        <v>2440</v>
      </c>
      <c r="R1076" s="460">
        <v>2114</v>
      </c>
      <c r="S1076" s="460" t="s">
        <v>1137</v>
      </c>
      <c r="T1076" s="462">
        <v>1</v>
      </c>
      <c r="U1076" s="460" t="s">
        <v>1137</v>
      </c>
      <c r="V1076" s="475">
        <v>0</v>
      </c>
      <c r="W1076" s="463" t="s">
        <v>2267</v>
      </c>
      <c r="X1076" s="463" t="s">
        <v>2267</v>
      </c>
      <c r="Y1076" s="463" t="s">
        <v>2268</v>
      </c>
      <c r="Z1076" s="463"/>
      <c r="AA1076" s="463"/>
      <c r="AB1076" s="464">
        <v>0.39058306291144856</v>
      </c>
      <c r="AC1076" s="465">
        <v>0.16946623525930865</v>
      </c>
      <c r="AD1076" s="465">
        <v>8.8199561773788811E-5</v>
      </c>
      <c r="AE1076" s="476">
        <v>0.39058306291144862</v>
      </c>
      <c r="AF1076" s="467">
        <v>0.16946623525930865</v>
      </c>
      <c r="AG1076" s="468">
        <v>9.5020098883392964E-5</v>
      </c>
      <c r="AH1076" s="218">
        <v>0.39058306291144862</v>
      </c>
      <c r="AI1076" s="470">
        <v>0.16946623525930865</v>
      </c>
      <c r="AJ1076" s="471">
        <v>8.0698143303505515E-5</v>
      </c>
      <c r="AK1076" s="218">
        <v>0.39058306291144862</v>
      </c>
      <c r="AL1076" s="470">
        <v>0.16946623525930865</v>
      </c>
      <c r="AM1076" s="471">
        <v>8.0698143303505515E-5</v>
      </c>
      <c r="AN1076" s="477">
        <v>0</v>
      </c>
      <c r="AO1076" s="473">
        <v>0</v>
      </c>
      <c r="AP1076" s="474">
        <v>0</v>
      </c>
      <c r="AQ1076" s="352"/>
      <c r="AR1076" s="352"/>
      <c r="AS1076" s="352"/>
      <c r="AT1076" s="352"/>
      <c r="AU1076" s="352"/>
      <c r="AV1076" s="352"/>
      <c r="AW1076" s="352" t="s">
        <v>254</v>
      </c>
    </row>
    <row r="1077" spans="2:49" x14ac:dyDescent="0.2">
      <c r="B1077" s="460" t="s">
        <v>2685</v>
      </c>
      <c r="C1077" s="460">
        <v>2114</v>
      </c>
      <c r="D1077" s="460" t="s">
        <v>2355</v>
      </c>
      <c r="E1077" s="460" t="s">
        <v>1138</v>
      </c>
      <c r="F1077" s="460">
        <v>3</v>
      </c>
      <c r="G1077" s="460">
        <v>4</v>
      </c>
      <c r="H1077" s="461" t="s">
        <v>700</v>
      </c>
      <c r="I1077" s="461" t="s">
        <v>872</v>
      </c>
      <c r="J1077" s="461" t="s">
        <v>700</v>
      </c>
      <c r="K1077" s="594"/>
      <c r="L1077" s="594"/>
      <c r="M1077" s="352">
        <v>2000</v>
      </c>
      <c r="N1077" s="352" t="s">
        <v>703</v>
      </c>
      <c r="O1077" s="460">
        <v>2114</v>
      </c>
      <c r="P1077" s="460" t="s">
        <v>756</v>
      </c>
      <c r="Q1077" s="460" t="s">
        <v>2440</v>
      </c>
      <c r="R1077" s="460">
        <v>2114</v>
      </c>
      <c r="S1077" s="460" t="s">
        <v>1138</v>
      </c>
      <c r="T1077" s="462">
        <v>1</v>
      </c>
      <c r="U1077" s="460" t="s">
        <v>1138</v>
      </c>
      <c r="V1077" s="475">
        <v>0</v>
      </c>
      <c r="W1077" s="463" t="s">
        <v>2267</v>
      </c>
      <c r="X1077" s="463" t="s">
        <v>2267</v>
      </c>
      <c r="Y1077" s="463" t="s">
        <v>2268</v>
      </c>
      <c r="Z1077" s="463"/>
      <c r="AA1077" s="463"/>
      <c r="AB1077" s="464">
        <v>0.31852175726851162</v>
      </c>
      <c r="AC1077" s="465">
        <v>0.12399022656180782</v>
      </c>
      <c r="AD1077" s="465">
        <v>1.3364158722498374E-4</v>
      </c>
      <c r="AE1077" s="476">
        <v>0.31852175726851162</v>
      </c>
      <c r="AF1077" s="467">
        <v>0.12399022656180782</v>
      </c>
      <c r="AG1077" s="468">
        <v>1.4418119272828535E-4</v>
      </c>
      <c r="AH1077" s="218">
        <v>0.31852175726851162</v>
      </c>
      <c r="AI1077" s="470">
        <v>0.12399022656180782</v>
      </c>
      <c r="AJ1077" s="471">
        <v>1.0976456770989029E-4</v>
      </c>
      <c r="AK1077" s="218">
        <v>0.31852175726851162</v>
      </c>
      <c r="AL1077" s="470">
        <v>0.12399022656180782</v>
      </c>
      <c r="AM1077" s="471">
        <v>1.0976456770989029E-4</v>
      </c>
      <c r="AN1077" s="477">
        <v>0</v>
      </c>
      <c r="AO1077" s="473">
        <v>0</v>
      </c>
      <c r="AP1077" s="474">
        <v>0</v>
      </c>
      <c r="AQ1077" s="352"/>
      <c r="AR1077" s="352"/>
      <c r="AS1077" s="352"/>
      <c r="AT1077" s="352"/>
      <c r="AU1077" s="352"/>
      <c r="AV1077" s="352"/>
      <c r="AW1077" s="352" t="s">
        <v>254</v>
      </c>
    </row>
    <row r="1078" spans="2:49" x14ac:dyDescent="0.2">
      <c r="B1078" s="460" t="s">
        <v>2686</v>
      </c>
      <c r="C1078" s="460">
        <v>2114</v>
      </c>
      <c r="D1078" s="460" t="s">
        <v>2357</v>
      </c>
      <c r="E1078" s="460" t="s">
        <v>1139</v>
      </c>
      <c r="F1078" s="460">
        <v>4</v>
      </c>
      <c r="G1078" s="460">
        <v>4</v>
      </c>
      <c r="H1078" s="461" t="s">
        <v>700</v>
      </c>
      <c r="I1078" s="461" t="s">
        <v>872</v>
      </c>
      <c r="J1078" s="461" t="s">
        <v>700</v>
      </c>
      <c r="K1078" s="594"/>
      <c r="L1078" s="594"/>
      <c r="M1078" s="352">
        <v>2000</v>
      </c>
      <c r="N1078" s="352" t="s">
        <v>703</v>
      </c>
      <c r="O1078" s="460">
        <v>2114</v>
      </c>
      <c r="P1078" s="460" t="s">
        <v>756</v>
      </c>
      <c r="Q1078" s="460" t="s">
        <v>2440</v>
      </c>
      <c r="R1078" s="460">
        <v>2114</v>
      </c>
      <c r="S1078" s="460" t="s">
        <v>1139</v>
      </c>
      <c r="T1078" s="462">
        <v>1</v>
      </c>
      <c r="U1078" s="460" t="s">
        <v>1139</v>
      </c>
      <c r="V1078" s="475">
        <v>0</v>
      </c>
      <c r="W1078" s="463" t="s">
        <v>2267</v>
      </c>
      <c r="X1078" s="463" t="s">
        <v>2267</v>
      </c>
      <c r="Y1078" s="463" t="s">
        <v>2268</v>
      </c>
      <c r="Z1078" s="463"/>
      <c r="AA1078" s="463"/>
      <c r="AB1078" s="464">
        <v>0</v>
      </c>
      <c r="AC1078" s="465">
        <v>0</v>
      </c>
      <c r="AD1078" s="465">
        <v>0</v>
      </c>
      <c r="AE1078" s="476">
        <v>0</v>
      </c>
      <c r="AF1078" s="467">
        <v>0</v>
      </c>
      <c r="AG1078" s="468">
        <v>0</v>
      </c>
      <c r="AH1078" s="218">
        <v>0</v>
      </c>
      <c r="AI1078" s="470">
        <v>0</v>
      </c>
      <c r="AJ1078" s="471">
        <v>0</v>
      </c>
      <c r="AK1078" s="218">
        <v>0</v>
      </c>
      <c r="AL1078" s="470">
        <v>0</v>
      </c>
      <c r="AM1078" s="471">
        <v>0</v>
      </c>
      <c r="AN1078" s="477">
        <v>0</v>
      </c>
      <c r="AO1078" s="473">
        <v>0</v>
      </c>
      <c r="AP1078" s="474">
        <v>0</v>
      </c>
      <c r="AQ1078" s="352"/>
      <c r="AR1078" s="352"/>
      <c r="AS1078" s="352"/>
      <c r="AT1078" s="352"/>
      <c r="AU1078" s="352"/>
      <c r="AV1078" s="352"/>
      <c r="AW1078" s="352" t="s">
        <v>254</v>
      </c>
    </row>
    <row r="1079" spans="2:49" x14ac:dyDescent="0.2">
      <c r="B1079" s="460" t="s">
        <v>2683</v>
      </c>
      <c r="C1079" s="460">
        <v>2114</v>
      </c>
      <c r="D1079" s="460" t="s">
        <v>2358</v>
      </c>
      <c r="E1079" s="460" t="s">
        <v>1136</v>
      </c>
      <c r="F1079" s="460">
        <v>1</v>
      </c>
      <c r="G1079" s="460">
        <v>4</v>
      </c>
      <c r="H1079" s="461" t="s">
        <v>712</v>
      </c>
      <c r="I1079" s="461" t="s">
        <v>713</v>
      </c>
      <c r="J1079" s="461" t="s">
        <v>712</v>
      </c>
      <c r="K1079" s="594"/>
      <c r="L1079" s="594"/>
      <c r="M1079" s="352">
        <v>2000</v>
      </c>
      <c r="N1079" s="352" t="s">
        <v>703</v>
      </c>
      <c r="O1079" s="460">
        <v>2114</v>
      </c>
      <c r="P1079" s="460" t="s">
        <v>756</v>
      </c>
      <c r="Q1079" s="460" t="s">
        <v>2280</v>
      </c>
      <c r="R1079" s="460">
        <v>2114</v>
      </c>
      <c r="S1079" s="460" t="s">
        <v>1136</v>
      </c>
      <c r="T1079" s="462">
        <v>1</v>
      </c>
      <c r="U1079" s="460" t="s">
        <v>1136</v>
      </c>
      <c r="V1079" s="475">
        <v>0</v>
      </c>
      <c r="W1079" s="463" t="s">
        <v>713</v>
      </c>
      <c r="X1079" s="463" t="s">
        <v>713</v>
      </c>
      <c r="Y1079" s="463" t="s">
        <v>713</v>
      </c>
      <c r="Z1079" s="463"/>
      <c r="AA1079" s="463"/>
      <c r="AB1079" s="464">
        <v>1.1010911298602788</v>
      </c>
      <c r="AC1079" s="465">
        <v>0.8547028110037963</v>
      </c>
      <c r="AD1079" s="465">
        <v>7.2565983984871206E-6</v>
      </c>
      <c r="AE1079" s="476">
        <v>1.101091129860279</v>
      </c>
      <c r="AF1079" s="467">
        <v>0.85470281100379641</v>
      </c>
      <c r="AG1079" s="468">
        <v>7.2552524746701149E-6</v>
      </c>
      <c r="AH1079" s="218">
        <v>1.101091129860279</v>
      </c>
      <c r="AI1079" s="470">
        <v>0.85470281100379641</v>
      </c>
      <c r="AJ1079" s="471">
        <v>7.3289892159089282E-6</v>
      </c>
      <c r="AK1079" s="218">
        <v>1.101091129860279</v>
      </c>
      <c r="AL1079" s="470">
        <v>0.85470281100379641</v>
      </c>
      <c r="AM1079" s="471">
        <v>7.3289892159089282E-6</v>
      </c>
      <c r="AN1079" s="477">
        <v>1.101091129860279</v>
      </c>
      <c r="AO1079" s="473">
        <v>0.85470281100379641</v>
      </c>
      <c r="AP1079" s="474">
        <v>7.3170639270104904E-6</v>
      </c>
      <c r="AQ1079" s="352"/>
      <c r="AR1079" s="352"/>
      <c r="AS1079" s="352"/>
      <c r="AT1079" s="352"/>
      <c r="AU1079" s="352"/>
      <c r="AV1079" s="352"/>
      <c r="AW1079" s="352" t="s">
        <v>254</v>
      </c>
    </row>
    <row r="1080" spans="2:49" x14ac:dyDescent="0.2">
      <c r="B1080" s="460" t="s">
        <v>2684</v>
      </c>
      <c r="C1080" s="460">
        <v>2114</v>
      </c>
      <c r="D1080" s="460" t="s">
        <v>2359</v>
      </c>
      <c r="E1080" s="460" t="s">
        <v>1137</v>
      </c>
      <c r="F1080" s="460">
        <v>2</v>
      </c>
      <c r="G1080" s="460">
        <v>4</v>
      </c>
      <c r="H1080" s="461" t="s">
        <v>712</v>
      </c>
      <c r="I1080" s="461" t="s">
        <v>713</v>
      </c>
      <c r="J1080" s="461" t="s">
        <v>712</v>
      </c>
      <c r="K1080" s="594"/>
      <c r="L1080" s="594"/>
      <c r="M1080" s="352">
        <v>2000</v>
      </c>
      <c r="N1080" s="352" t="s">
        <v>703</v>
      </c>
      <c r="O1080" s="460">
        <v>2114</v>
      </c>
      <c r="P1080" s="460" t="s">
        <v>756</v>
      </c>
      <c r="Q1080" s="460" t="s">
        <v>2280</v>
      </c>
      <c r="R1080" s="460">
        <v>2114</v>
      </c>
      <c r="S1080" s="460" t="s">
        <v>1137</v>
      </c>
      <c r="T1080" s="462">
        <v>1</v>
      </c>
      <c r="U1080" s="460" t="s">
        <v>1137</v>
      </c>
      <c r="V1080" s="475">
        <v>0</v>
      </c>
      <c r="W1080" s="463" t="s">
        <v>713</v>
      </c>
      <c r="X1080" s="463" t="s">
        <v>713</v>
      </c>
      <c r="Y1080" s="463" t="s">
        <v>713</v>
      </c>
      <c r="Z1080" s="463"/>
      <c r="AA1080" s="463"/>
      <c r="AB1080" s="464">
        <v>1.8917820654499087</v>
      </c>
      <c r="AC1080" s="465">
        <v>0.820806673420856</v>
      </c>
      <c r="AD1080" s="465">
        <v>1.0940436647295365E-5</v>
      </c>
      <c r="AE1080" s="476">
        <v>1.8917820654499082</v>
      </c>
      <c r="AF1080" s="467">
        <v>0.82080667342085589</v>
      </c>
      <c r="AG1080" s="468">
        <v>1.0920361873543506E-5</v>
      </c>
      <c r="AH1080" s="218">
        <v>1.8917820654499082</v>
      </c>
      <c r="AI1080" s="470">
        <v>0.82080667342085589</v>
      </c>
      <c r="AJ1080" s="471">
        <v>1.0972181387610853E-5</v>
      </c>
      <c r="AK1080" s="218">
        <v>1.8917820654499082</v>
      </c>
      <c r="AL1080" s="470">
        <v>0.82080667342085589</v>
      </c>
      <c r="AM1080" s="471">
        <v>1.0972181387610853E-5</v>
      </c>
      <c r="AN1080" s="477">
        <v>1.8917820654499082</v>
      </c>
      <c r="AO1080" s="473">
        <v>0.82080667342085589</v>
      </c>
      <c r="AP1080" s="474">
        <v>1.0963127763973666E-5</v>
      </c>
      <c r="AQ1080" s="352"/>
      <c r="AR1080" s="352"/>
      <c r="AS1080" s="352"/>
      <c r="AT1080" s="352"/>
      <c r="AU1080" s="352"/>
      <c r="AV1080" s="352"/>
      <c r="AW1080" s="352" t="s">
        <v>254</v>
      </c>
    </row>
    <row r="1081" spans="2:49" x14ac:dyDescent="0.2">
      <c r="B1081" s="460" t="s">
        <v>2685</v>
      </c>
      <c r="C1081" s="460">
        <v>2114</v>
      </c>
      <c r="D1081" s="460" t="s">
        <v>2360</v>
      </c>
      <c r="E1081" s="460" t="s">
        <v>1138</v>
      </c>
      <c r="F1081" s="460">
        <v>3</v>
      </c>
      <c r="G1081" s="460">
        <v>4</v>
      </c>
      <c r="H1081" s="461" t="s">
        <v>712</v>
      </c>
      <c r="I1081" s="461" t="s">
        <v>713</v>
      </c>
      <c r="J1081" s="461" t="s">
        <v>712</v>
      </c>
      <c r="K1081" s="594"/>
      <c r="L1081" s="594"/>
      <c r="M1081" s="352">
        <v>2000</v>
      </c>
      <c r="N1081" s="352" t="s">
        <v>703</v>
      </c>
      <c r="O1081" s="460">
        <v>2114</v>
      </c>
      <c r="P1081" s="460" t="s">
        <v>756</v>
      </c>
      <c r="Q1081" s="460" t="s">
        <v>2280</v>
      </c>
      <c r="R1081" s="460">
        <v>2114</v>
      </c>
      <c r="S1081" s="460" t="s">
        <v>1138</v>
      </c>
      <c r="T1081" s="462">
        <v>1</v>
      </c>
      <c r="U1081" s="460" t="s">
        <v>1138</v>
      </c>
      <c r="V1081" s="475">
        <v>0</v>
      </c>
      <c r="W1081" s="463" t="s">
        <v>713</v>
      </c>
      <c r="X1081" s="463" t="s">
        <v>713</v>
      </c>
      <c r="Y1081" s="463" t="s">
        <v>713</v>
      </c>
      <c r="Z1081" s="463"/>
      <c r="AA1081" s="463"/>
      <c r="AB1081" s="464">
        <v>2.1474352255037661</v>
      </c>
      <c r="AC1081" s="465">
        <v>0.83592713546585973</v>
      </c>
      <c r="AD1081" s="465">
        <v>2.679901815510692E-5</v>
      </c>
      <c r="AE1081" s="476">
        <v>2.1474352255037656</v>
      </c>
      <c r="AF1081" s="467">
        <v>0.83592713546585962</v>
      </c>
      <c r="AG1081" s="468">
        <v>2.6740876462923009E-5</v>
      </c>
      <c r="AH1081" s="218">
        <v>2.1474352255037656</v>
      </c>
      <c r="AI1081" s="470">
        <v>0.83592713546585962</v>
      </c>
      <c r="AJ1081" s="471">
        <v>2.7054423207148293E-5</v>
      </c>
      <c r="AK1081" s="218">
        <v>2.1474352255037656</v>
      </c>
      <c r="AL1081" s="470">
        <v>0.83592713546585962</v>
      </c>
      <c r="AM1081" s="471">
        <v>2.7054423207148293E-5</v>
      </c>
      <c r="AN1081" s="477">
        <v>2.1474352255037656</v>
      </c>
      <c r="AO1081" s="473">
        <v>0.83592713546585962</v>
      </c>
      <c r="AP1081" s="474">
        <v>2.7052384275264225E-5</v>
      </c>
      <c r="AQ1081" s="352"/>
      <c r="AR1081" s="352"/>
      <c r="AS1081" s="352"/>
      <c r="AT1081" s="352"/>
      <c r="AU1081" s="352"/>
      <c r="AV1081" s="352"/>
      <c r="AW1081" s="352" t="s">
        <v>254</v>
      </c>
    </row>
    <row r="1082" spans="2:49" x14ac:dyDescent="0.2">
      <c r="B1082" s="460" t="s">
        <v>2686</v>
      </c>
      <c r="C1082" s="460">
        <v>2114</v>
      </c>
      <c r="D1082" s="460" t="s">
        <v>2361</v>
      </c>
      <c r="E1082" s="460" t="s">
        <v>1139</v>
      </c>
      <c r="F1082" s="460">
        <v>4</v>
      </c>
      <c r="G1082" s="460">
        <v>4</v>
      </c>
      <c r="H1082" s="461" t="s">
        <v>712</v>
      </c>
      <c r="I1082" s="461" t="s">
        <v>713</v>
      </c>
      <c r="J1082" s="461" t="s">
        <v>712</v>
      </c>
      <c r="K1082" s="594"/>
      <c r="L1082" s="594"/>
      <c r="M1082" s="352">
        <v>2000</v>
      </c>
      <c r="N1082" s="352" t="s">
        <v>703</v>
      </c>
      <c r="O1082" s="460">
        <v>2114</v>
      </c>
      <c r="P1082" s="460" t="s">
        <v>756</v>
      </c>
      <c r="Q1082" s="460" t="s">
        <v>2280</v>
      </c>
      <c r="R1082" s="460">
        <v>2114</v>
      </c>
      <c r="S1082" s="460" t="s">
        <v>1139</v>
      </c>
      <c r="T1082" s="462">
        <v>1</v>
      </c>
      <c r="U1082" s="460" t="s">
        <v>1139</v>
      </c>
      <c r="V1082" s="475">
        <v>0</v>
      </c>
      <c r="W1082" s="463" t="s">
        <v>713</v>
      </c>
      <c r="X1082" s="463" t="s">
        <v>713</v>
      </c>
      <c r="Y1082" s="463" t="s">
        <v>713</v>
      </c>
      <c r="Z1082" s="463"/>
      <c r="AA1082" s="463"/>
      <c r="AB1082" s="464">
        <v>2.4089149681152215</v>
      </c>
      <c r="AC1082" s="465">
        <v>0.62608139864235413</v>
      </c>
      <c r="AD1082" s="465">
        <v>2.6672073422730638E-5</v>
      </c>
      <c r="AE1082" s="476">
        <v>2.4089149681152215</v>
      </c>
      <c r="AF1082" s="467">
        <v>0.62608139864235413</v>
      </c>
      <c r="AG1082" s="468">
        <v>2.6672073422730638E-5</v>
      </c>
      <c r="AH1082" s="218">
        <v>2.4089149681152215</v>
      </c>
      <c r="AI1082" s="470">
        <v>0.62608139864235413</v>
      </c>
      <c r="AJ1082" s="471">
        <v>2.7245732570211071E-5</v>
      </c>
      <c r="AK1082" s="218">
        <v>2.4089149681152215</v>
      </c>
      <c r="AL1082" s="470">
        <v>0.62608139864235413</v>
      </c>
      <c r="AM1082" s="471">
        <v>2.7245732570211071E-5</v>
      </c>
      <c r="AN1082" s="477">
        <v>2.4089149681152215</v>
      </c>
      <c r="AO1082" s="473">
        <v>0.62608139864235413</v>
      </c>
      <c r="AP1082" s="474">
        <v>2.7245732570211071E-5</v>
      </c>
      <c r="AQ1082" s="352"/>
      <c r="AR1082" s="352"/>
      <c r="AS1082" s="352"/>
      <c r="AT1082" s="352"/>
      <c r="AU1082" s="352"/>
      <c r="AV1082" s="352"/>
      <c r="AW1082" s="352" t="s">
        <v>254</v>
      </c>
    </row>
    <row r="1083" spans="2:49" x14ac:dyDescent="0.2">
      <c r="B1083" s="460" t="s">
        <v>2683</v>
      </c>
      <c r="C1083" s="460">
        <v>2114</v>
      </c>
      <c r="D1083" s="460" t="s">
        <v>2362</v>
      </c>
      <c r="E1083" s="460" t="s">
        <v>1136</v>
      </c>
      <c r="F1083" s="460">
        <v>1</v>
      </c>
      <c r="G1083" s="460">
        <v>4</v>
      </c>
      <c r="H1083" s="461" t="s">
        <v>746</v>
      </c>
      <c r="I1083" s="461" t="s">
        <v>762</v>
      </c>
      <c r="J1083" s="461" t="s">
        <v>700</v>
      </c>
      <c r="K1083" s="594"/>
      <c r="L1083" s="594"/>
      <c r="M1083" s="352">
        <v>2000</v>
      </c>
      <c r="N1083" s="352" t="s">
        <v>703</v>
      </c>
      <c r="O1083" s="460">
        <v>2114</v>
      </c>
      <c r="P1083" s="460" t="s">
        <v>756</v>
      </c>
      <c r="Q1083" s="460" t="s">
        <v>2444</v>
      </c>
      <c r="R1083" s="460">
        <v>2114</v>
      </c>
      <c r="S1083" s="460" t="s">
        <v>1136</v>
      </c>
      <c r="T1083" s="462">
        <v>1</v>
      </c>
      <c r="U1083" s="460" t="s">
        <v>1136</v>
      </c>
      <c r="V1083" s="475">
        <v>0</v>
      </c>
      <c r="W1083" s="463" t="s">
        <v>2268</v>
      </c>
      <c r="X1083" s="463" t="s">
        <v>2268</v>
      </c>
      <c r="Y1083" s="463" t="s">
        <v>2290</v>
      </c>
      <c r="Z1083" s="463"/>
      <c r="AA1083" s="463"/>
      <c r="AB1083" s="464">
        <v>0</v>
      </c>
      <c r="AC1083" s="465">
        <v>0</v>
      </c>
      <c r="AD1083" s="465">
        <v>0</v>
      </c>
      <c r="AE1083" s="476">
        <v>0</v>
      </c>
      <c r="AF1083" s="467">
        <v>0</v>
      </c>
      <c r="AG1083" s="468">
        <v>0</v>
      </c>
      <c r="AH1083" s="218">
        <v>0</v>
      </c>
      <c r="AI1083" s="470">
        <v>0</v>
      </c>
      <c r="AJ1083" s="471">
        <v>0</v>
      </c>
      <c r="AK1083" s="218">
        <v>0</v>
      </c>
      <c r="AL1083" s="470">
        <v>0</v>
      </c>
      <c r="AM1083" s="471">
        <v>0</v>
      </c>
      <c r="AN1083" s="477">
        <v>0</v>
      </c>
      <c r="AO1083" s="473">
        <v>0</v>
      </c>
      <c r="AP1083" s="474">
        <v>0</v>
      </c>
      <c r="AQ1083" s="352"/>
      <c r="AR1083" s="352"/>
      <c r="AS1083" s="352"/>
      <c r="AT1083" s="352"/>
      <c r="AU1083" s="352"/>
      <c r="AV1083" s="352"/>
      <c r="AW1083" s="352" t="s">
        <v>254</v>
      </c>
    </row>
    <row r="1084" spans="2:49" x14ac:dyDescent="0.2">
      <c r="B1084" s="460" t="s">
        <v>2684</v>
      </c>
      <c r="C1084" s="460">
        <v>2114</v>
      </c>
      <c r="D1084" s="460" t="s">
        <v>2363</v>
      </c>
      <c r="E1084" s="460" t="s">
        <v>1137</v>
      </c>
      <c r="F1084" s="460">
        <v>2</v>
      </c>
      <c r="G1084" s="460">
        <v>4</v>
      </c>
      <c r="H1084" s="461" t="s">
        <v>746</v>
      </c>
      <c r="I1084" s="461" t="s">
        <v>762</v>
      </c>
      <c r="J1084" s="461" t="s">
        <v>700</v>
      </c>
      <c r="K1084" s="594"/>
      <c r="L1084" s="594"/>
      <c r="M1084" s="352">
        <v>2000</v>
      </c>
      <c r="N1084" s="352" t="s">
        <v>703</v>
      </c>
      <c r="O1084" s="460">
        <v>2114</v>
      </c>
      <c r="P1084" s="460" t="s">
        <v>756</v>
      </c>
      <c r="Q1084" s="460" t="s">
        <v>2444</v>
      </c>
      <c r="R1084" s="460">
        <v>2114</v>
      </c>
      <c r="S1084" s="460" t="s">
        <v>1137</v>
      </c>
      <c r="T1084" s="462">
        <v>1</v>
      </c>
      <c r="U1084" s="460" t="s">
        <v>1137</v>
      </c>
      <c r="V1084" s="475">
        <v>0</v>
      </c>
      <c r="W1084" s="463" t="s">
        <v>2268</v>
      </c>
      <c r="X1084" s="463" t="s">
        <v>2268</v>
      </c>
      <c r="Y1084" s="463" t="s">
        <v>2290</v>
      </c>
      <c r="Z1084" s="463"/>
      <c r="AA1084" s="463"/>
      <c r="AB1084" s="464">
        <v>0</v>
      </c>
      <c r="AC1084" s="465">
        <v>0</v>
      </c>
      <c r="AD1084" s="465">
        <v>0</v>
      </c>
      <c r="AE1084" s="476">
        <v>0</v>
      </c>
      <c r="AF1084" s="467">
        <v>0</v>
      </c>
      <c r="AG1084" s="468">
        <v>0</v>
      </c>
      <c r="AH1084" s="218">
        <v>0</v>
      </c>
      <c r="AI1084" s="470">
        <v>0</v>
      </c>
      <c r="AJ1084" s="471">
        <v>0</v>
      </c>
      <c r="AK1084" s="218">
        <v>0</v>
      </c>
      <c r="AL1084" s="470">
        <v>0</v>
      </c>
      <c r="AM1084" s="471">
        <v>0</v>
      </c>
      <c r="AN1084" s="477">
        <v>0</v>
      </c>
      <c r="AO1084" s="473">
        <v>0</v>
      </c>
      <c r="AP1084" s="474">
        <v>0</v>
      </c>
      <c r="AQ1084" s="352"/>
      <c r="AR1084" s="352"/>
      <c r="AS1084" s="352"/>
      <c r="AT1084" s="352"/>
      <c r="AU1084" s="352"/>
      <c r="AV1084" s="352"/>
      <c r="AW1084" s="352" t="s">
        <v>254</v>
      </c>
    </row>
    <row r="1085" spans="2:49" x14ac:dyDescent="0.2">
      <c r="B1085" s="460" t="s">
        <v>2685</v>
      </c>
      <c r="C1085" s="460">
        <v>2114</v>
      </c>
      <c r="D1085" s="460" t="s">
        <v>2364</v>
      </c>
      <c r="E1085" s="460" t="s">
        <v>1138</v>
      </c>
      <c r="F1085" s="460">
        <v>3</v>
      </c>
      <c r="G1085" s="460">
        <v>4</v>
      </c>
      <c r="H1085" s="461" t="s">
        <v>746</v>
      </c>
      <c r="I1085" s="461" t="s">
        <v>762</v>
      </c>
      <c r="J1085" s="461" t="s">
        <v>700</v>
      </c>
      <c r="K1085" s="594"/>
      <c r="L1085" s="594"/>
      <c r="M1085" s="352">
        <v>2000</v>
      </c>
      <c r="N1085" s="352" t="s">
        <v>703</v>
      </c>
      <c r="O1085" s="460">
        <v>2114</v>
      </c>
      <c r="P1085" s="460" t="s">
        <v>756</v>
      </c>
      <c r="Q1085" s="460" t="s">
        <v>2444</v>
      </c>
      <c r="R1085" s="460">
        <v>2114</v>
      </c>
      <c r="S1085" s="460" t="s">
        <v>1138</v>
      </c>
      <c r="T1085" s="462">
        <v>1</v>
      </c>
      <c r="U1085" s="460" t="s">
        <v>1138</v>
      </c>
      <c r="V1085" s="475">
        <v>0</v>
      </c>
      <c r="W1085" s="463" t="s">
        <v>2268</v>
      </c>
      <c r="X1085" s="463" t="s">
        <v>2268</v>
      </c>
      <c r="Y1085" s="463" t="s">
        <v>2290</v>
      </c>
      <c r="Z1085" s="463"/>
      <c r="AA1085" s="463"/>
      <c r="AB1085" s="464">
        <v>0</v>
      </c>
      <c r="AC1085" s="465">
        <v>0</v>
      </c>
      <c r="AD1085" s="465">
        <v>0</v>
      </c>
      <c r="AE1085" s="476">
        <v>0</v>
      </c>
      <c r="AF1085" s="467">
        <v>0</v>
      </c>
      <c r="AG1085" s="468">
        <v>0</v>
      </c>
      <c r="AH1085" s="218">
        <v>0</v>
      </c>
      <c r="AI1085" s="470">
        <v>0</v>
      </c>
      <c r="AJ1085" s="471">
        <v>0</v>
      </c>
      <c r="AK1085" s="218">
        <v>0</v>
      </c>
      <c r="AL1085" s="470">
        <v>0</v>
      </c>
      <c r="AM1085" s="471">
        <v>0</v>
      </c>
      <c r="AN1085" s="477">
        <v>0</v>
      </c>
      <c r="AO1085" s="473">
        <v>0</v>
      </c>
      <c r="AP1085" s="474">
        <v>0</v>
      </c>
      <c r="AQ1085" s="352"/>
      <c r="AR1085" s="352"/>
      <c r="AS1085" s="352"/>
      <c r="AT1085" s="352"/>
      <c r="AU1085" s="352"/>
      <c r="AV1085" s="352"/>
      <c r="AW1085" s="352" t="s">
        <v>254</v>
      </c>
    </row>
    <row r="1086" spans="2:49" x14ac:dyDescent="0.2">
      <c r="B1086" s="460" t="s">
        <v>2686</v>
      </c>
      <c r="C1086" s="460">
        <v>2114</v>
      </c>
      <c r="D1086" s="460" t="s">
        <v>2365</v>
      </c>
      <c r="E1086" s="460" t="s">
        <v>1139</v>
      </c>
      <c r="F1086" s="460">
        <v>4</v>
      </c>
      <c r="G1086" s="460">
        <v>4</v>
      </c>
      <c r="H1086" s="461" t="s">
        <v>746</v>
      </c>
      <c r="I1086" s="461" t="s">
        <v>762</v>
      </c>
      <c r="J1086" s="461" t="s">
        <v>700</v>
      </c>
      <c r="K1086" s="594"/>
      <c r="L1086" s="594"/>
      <c r="M1086" s="352">
        <v>2000</v>
      </c>
      <c r="N1086" s="352" t="s">
        <v>703</v>
      </c>
      <c r="O1086" s="460">
        <v>2114</v>
      </c>
      <c r="P1086" s="460" t="s">
        <v>756</v>
      </c>
      <c r="Q1086" s="460" t="s">
        <v>2444</v>
      </c>
      <c r="R1086" s="460">
        <v>2114</v>
      </c>
      <c r="S1086" s="460" t="s">
        <v>1139</v>
      </c>
      <c r="T1086" s="462">
        <v>1</v>
      </c>
      <c r="U1086" s="460" t="s">
        <v>1139</v>
      </c>
      <c r="V1086" s="475">
        <v>0</v>
      </c>
      <c r="W1086" s="463" t="s">
        <v>2268</v>
      </c>
      <c r="X1086" s="463" t="s">
        <v>2268</v>
      </c>
      <c r="Y1086" s="463" t="s">
        <v>2290</v>
      </c>
      <c r="Z1086" s="463"/>
      <c r="AA1086" s="463"/>
      <c r="AB1086" s="464">
        <v>0</v>
      </c>
      <c r="AC1086" s="465">
        <v>0</v>
      </c>
      <c r="AD1086" s="465">
        <v>0</v>
      </c>
      <c r="AE1086" s="476">
        <v>0</v>
      </c>
      <c r="AF1086" s="467">
        <v>0</v>
      </c>
      <c r="AG1086" s="468">
        <v>0</v>
      </c>
      <c r="AH1086" s="218">
        <v>0</v>
      </c>
      <c r="AI1086" s="470">
        <v>0</v>
      </c>
      <c r="AJ1086" s="471">
        <v>0</v>
      </c>
      <c r="AK1086" s="218">
        <v>0</v>
      </c>
      <c r="AL1086" s="470">
        <v>0</v>
      </c>
      <c r="AM1086" s="471">
        <v>0</v>
      </c>
      <c r="AN1086" s="477">
        <v>0</v>
      </c>
      <c r="AO1086" s="473">
        <v>0</v>
      </c>
      <c r="AP1086" s="474">
        <v>0</v>
      </c>
      <c r="AQ1086" s="352"/>
      <c r="AR1086" s="352"/>
      <c r="AS1086" s="352"/>
      <c r="AT1086" s="352"/>
      <c r="AU1086" s="352"/>
      <c r="AV1086" s="352"/>
      <c r="AW1086" s="352" t="s">
        <v>254</v>
      </c>
    </row>
    <row r="1087" spans="2:49" x14ac:dyDescent="0.2">
      <c r="B1087" s="460" t="s">
        <v>2683</v>
      </c>
      <c r="C1087" s="460">
        <v>2114</v>
      </c>
      <c r="D1087" s="460" t="s">
        <v>2366</v>
      </c>
      <c r="E1087" s="460" t="s">
        <v>1136</v>
      </c>
      <c r="F1087" s="460">
        <v>1</v>
      </c>
      <c r="G1087" s="460">
        <v>4</v>
      </c>
      <c r="H1087" s="461" t="s">
        <v>748</v>
      </c>
      <c r="I1087" s="461" t="s">
        <v>765</v>
      </c>
      <c r="J1087" s="461" t="s">
        <v>700</v>
      </c>
      <c r="K1087" s="594"/>
      <c r="L1087" s="594"/>
      <c r="M1087" s="352">
        <v>2000</v>
      </c>
      <c r="N1087" s="352" t="s">
        <v>703</v>
      </c>
      <c r="O1087" s="460">
        <v>2114</v>
      </c>
      <c r="P1087" s="460" t="s">
        <v>756</v>
      </c>
      <c r="Q1087" s="460" t="s">
        <v>2440</v>
      </c>
      <c r="R1087" s="460">
        <v>2114</v>
      </c>
      <c r="S1087" s="460" t="s">
        <v>1136</v>
      </c>
      <c r="T1087" s="462">
        <v>1</v>
      </c>
      <c r="U1087" s="460" t="s">
        <v>1136</v>
      </c>
      <c r="V1087" s="475">
        <v>0</v>
      </c>
      <c r="W1087" s="463" t="s">
        <v>2268</v>
      </c>
      <c r="X1087" s="463" t="s">
        <v>2268</v>
      </c>
      <c r="Y1087" s="463" t="s">
        <v>2267</v>
      </c>
      <c r="Z1087" s="463"/>
      <c r="AA1087" s="463"/>
      <c r="AB1087" s="464">
        <v>0</v>
      </c>
      <c r="AC1087" s="465">
        <v>0</v>
      </c>
      <c r="AD1087" s="465">
        <v>0</v>
      </c>
      <c r="AE1087" s="476">
        <v>0</v>
      </c>
      <c r="AF1087" s="467">
        <v>0</v>
      </c>
      <c r="AG1087" s="468">
        <v>0</v>
      </c>
      <c r="AH1087" s="218">
        <v>0</v>
      </c>
      <c r="AI1087" s="470">
        <v>0</v>
      </c>
      <c r="AJ1087" s="471">
        <v>0</v>
      </c>
      <c r="AK1087" s="218">
        <v>0</v>
      </c>
      <c r="AL1087" s="470">
        <v>0</v>
      </c>
      <c r="AM1087" s="471">
        <v>0</v>
      </c>
      <c r="AN1087" s="477">
        <v>0.1339429441965167</v>
      </c>
      <c r="AO1087" s="473">
        <v>0.10397087744537038</v>
      </c>
      <c r="AP1087" s="474">
        <v>1.6456868396232184E-4</v>
      </c>
      <c r="AQ1087" s="352"/>
      <c r="AR1087" s="352"/>
      <c r="AS1087" s="352"/>
      <c r="AT1087" s="352"/>
      <c r="AU1087" s="352"/>
      <c r="AV1087" s="352"/>
      <c r="AW1087" s="352" t="s">
        <v>254</v>
      </c>
    </row>
    <row r="1088" spans="2:49" x14ac:dyDescent="0.2">
      <c r="B1088" s="460" t="s">
        <v>2684</v>
      </c>
      <c r="C1088" s="460">
        <v>2114</v>
      </c>
      <c r="D1088" s="460" t="s">
        <v>2367</v>
      </c>
      <c r="E1088" s="460" t="s">
        <v>1137</v>
      </c>
      <c r="F1088" s="460">
        <v>2</v>
      </c>
      <c r="G1088" s="460">
        <v>4</v>
      </c>
      <c r="H1088" s="461" t="s">
        <v>748</v>
      </c>
      <c r="I1088" s="461" t="s">
        <v>765</v>
      </c>
      <c r="J1088" s="461" t="s">
        <v>700</v>
      </c>
      <c r="K1088" s="594"/>
      <c r="L1088" s="594"/>
      <c r="M1088" s="352">
        <v>2000</v>
      </c>
      <c r="N1088" s="352" t="s">
        <v>703</v>
      </c>
      <c r="O1088" s="460">
        <v>2114</v>
      </c>
      <c r="P1088" s="460" t="s">
        <v>756</v>
      </c>
      <c r="Q1088" s="460" t="s">
        <v>2440</v>
      </c>
      <c r="R1088" s="460">
        <v>2114</v>
      </c>
      <c r="S1088" s="460" t="s">
        <v>1137</v>
      </c>
      <c r="T1088" s="462">
        <v>1</v>
      </c>
      <c r="U1088" s="460" t="s">
        <v>1137</v>
      </c>
      <c r="V1088" s="475">
        <v>0</v>
      </c>
      <c r="W1088" s="463" t="s">
        <v>2268</v>
      </c>
      <c r="X1088" s="463" t="s">
        <v>2268</v>
      </c>
      <c r="Y1088" s="463" t="s">
        <v>2267</v>
      </c>
      <c r="Z1088" s="463"/>
      <c r="AA1088" s="463"/>
      <c r="AB1088" s="464">
        <v>0</v>
      </c>
      <c r="AC1088" s="465">
        <v>0</v>
      </c>
      <c r="AD1088" s="465">
        <v>0</v>
      </c>
      <c r="AE1088" s="476">
        <v>0</v>
      </c>
      <c r="AF1088" s="467">
        <v>0</v>
      </c>
      <c r="AG1088" s="468">
        <v>0</v>
      </c>
      <c r="AH1088" s="218">
        <v>0</v>
      </c>
      <c r="AI1088" s="470">
        <v>0</v>
      </c>
      <c r="AJ1088" s="471">
        <v>0</v>
      </c>
      <c r="AK1088" s="218">
        <v>0</v>
      </c>
      <c r="AL1088" s="470">
        <v>0</v>
      </c>
      <c r="AM1088" s="471">
        <v>0</v>
      </c>
      <c r="AN1088" s="477">
        <v>0.39058306291144862</v>
      </c>
      <c r="AO1088" s="473">
        <v>0.16946623525930865</v>
      </c>
      <c r="AP1088" s="474">
        <v>3.7621393620464703E-4</v>
      </c>
      <c r="AQ1088" s="352"/>
      <c r="AR1088" s="352"/>
      <c r="AS1088" s="352"/>
      <c r="AT1088" s="352"/>
      <c r="AU1088" s="352"/>
      <c r="AV1088" s="352"/>
      <c r="AW1088" s="352" t="s">
        <v>254</v>
      </c>
    </row>
    <row r="1089" spans="2:49" x14ac:dyDescent="0.2">
      <c r="B1089" s="460" t="s">
        <v>2685</v>
      </c>
      <c r="C1089" s="460">
        <v>2114</v>
      </c>
      <c r="D1089" s="460" t="s">
        <v>2368</v>
      </c>
      <c r="E1089" s="460" t="s">
        <v>1138</v>
      </c>
      <c r="F1089" s="460">
        <v>3</v>
      </c>
      <c r="G1089" s="460">
        <v>4</v>
      </c>
      <c r="H1089" s="461" t="s">
        <v>748</v>
      </c>
      <c r="I1089" s="461" t="s">
        <v>765</v>
      </c>
      <c r="J1089" s="461" t="s">
        <v>700</v>
      </c>
      <c r="K1089" s="594"/>
      <c r="L1089" s="594"/>
      <c r="M1089" s="352">
        <v>2000</v>
      </c>
      <c r="N1089" s="352" t="s">
        <v>703</v>
      </c>
      <c r="O1089" s="460">
        <v>2114</v>
      </c>
      <c r="P1089" s="460" t="s">
        <v>756</v>
      </c>
      <c r="Q1089" s="460" t="s">
        <v>2440</v>
      </c>
      <c r="R1089" s="460">
        <v>2114</v>
      </c>
      <c r="S1089" s="460" t="s">
        <v>1138</v>
      </c>
      <c r="T1089" s="462">
        <v>1</v>
      </c>
      <c r="U1089" s="460" t="s">
        <v>1138</v>
      </c>
      <c r="V1089" s="475">
        <v>0</v>
      </c>
      <c r="W1089" s="463" t="s">
        <v>2268</v>
      </c>
      <c r="X1089" s="463" t="s">
        <v>2268</v>
      </c>
      <c r="Y1089" s="463" t="s">
        <v>2267</v>
      </c>
      <c r="Z1089" s="463"/>
      <c r="AA1089" s="463"/>
      <c r="AB1089" s="464">
        <v>0</v>
      </c>
      <c r="AC1089" s="465">
        <v>0</v>
      </c>
      <c r="AD1089" s="465">
        <v>0</v>
      </c>
      <c r="AE1089" s="476">
        <v>0</v>
      </c>
      <c r="AF1089" s="467">
        <v>0</v>
      </c>
      <c r="AG1089" s="468">
        <v>0</v>
      </c>
      <c r="AH1089" s="218">
        <v>0</v>
      </c>
      <c r="AI1089" s="470">
        <v>0</v>
      </c>
      <c r="AJ1089" s="471">
        <v>0</v>
      </c>
      <c r="AK1089" s="218">
        <v>0</v>
      </c>
      <c r="AL1089" s="470">
        <v>0</v>
      </c>
      <c r="AM1089" s="471">
        <v>0</v>
      </c>
      <c r="AN1089" s="477">
        <v>0.31852175726851162</v>
      </c>
      <c r="AO1089" s="473">
        <v>0.12399022656180782</v>
      </c>
      <c r="AP1089" s="474">
        <v>3.3048240713041575E-4</v>
      </c>
      <c r="AQ1089" s="352"/>
      <c r="AR1089" s="352"/>
      <c r="AS1089" s="352"/>
      <c r="AT1089" s="352"/>
      <c r="AU1089" s="352"/>
      <c r="AV1089" s="352"/>
      <c r="AW1089" s="352" t="s">
        <v>254</v>
      </c>
    </row>
    <row r="1090" spans="2:49" x14ac:dyDescent="0.2">
      <c r="B1090" s="460" t="s">
        <v>2686</v>
      </c>
      <c r="C1090" s="460">
        <v>2114</v>
      </c>
      <c r="D1090" s="460" t="s">
        <v>2369</v>
      </c>
      <c r="E1090" s="460" t="s">
        <v>1139</v>
      </c>
      <c r="F1090" s="460">
        <v>4</v>
      </c>
      <c r="G1090" s="460">
        <v>4</v>
      </c>
      <c r="H1090" s="461" t="s">
        <v>748</v>
      </c>
      <c r="I1090" s="461" t="s">
        <v>765</v>
      </c>
      <c r="J1090" s="461" t="s">
        <v>700</v>
      </c>
      <c r="K1090" s="594"/>
      <c r="L1090" s="594"/>
      <c r="M1090" s="352">
        <v>2000</v>
      </c>
      <c r="N1090" s="352" t="s">
        <v>703</v>
      </c>
      <c r="O1090" s="460">
        <v>2114</v>
      </c>
      <c r="P1090" s="460" t="s">
        <v>756</v>
      </c>
      <c r="Q1090" s="460" t="s">
        <v>2440</v>
      </c>
      <c r="R1090" s="460">
        <v>2114</v>
      </c>
      <c r="S1090" s="460" t="s">
        <v>1139</v>
      </c>
      <c r="T1090" s="462">
        <v>1</v>
      </c>
      <c r="U1090" s="460" t="s">
        <v>1139</v>
      </c>
      <c r="V1090" s="475">
        <v>0</v>
      </c>
      <c r="W1090" s="463" t="s">
        <v>2268</v>
      </c>
      <c r="X1090" s="463" t="s">
        <v>2268</v>
      </c>
      <c r="Y1090" s="463" t="s">
        <v>2267</v>
      </c>
      <c r="Z1090" s="463"/>
      <c r="AA1090" s="463"/>
      <c r="AB1090" s="464">
        <v>0</v>
      </c>
      <c r="AC1090" s="465">
        <v>0</v>
      </c>
      <c r="AD1090" s="465">
        <v>0</v>
      </c>
      <c r="AE1090" s="476">
        <v>0</v>
      </c>
      <c r="AF1090" s="467">
        <v>0</v>
      </c>
      <c r="AG1090" s="468">
        <v>0</v>
      </c>
      <c r="AH1090" s="218">
        <v>0</v>
      </c>
      <c r="AI1090" s="470">
        <v>0</v>
      </c>
      <c r="AJ1090" s="471">
        <v>0</v>
      </c>
      <c r="AK1090" s="218">
        <v>0</v>
      </c>
      <c r="AL1090" s="470">
        <v>0</v>
      </c>
      <c r="AM1090" s="471">
        <v>0</v>
      </c>
      <c r="AN1090" s="477">
        <v>0</v>
      </c>
      <c r="AO1090" s="473">
        <v>0</v>
      </c>
      <c r="AP1090" s="474">
        <v>0</v>
      </c>
      <c r="AQ1090" s="352"/>
      <c r="AR1090" s="352"/>
      <c r="AS1090" s="352"/>
      <c r="AT1090" s="352"/>
      <c r="AU1090" s="352"/>
      <c r="AV1090" s="352"/>
      <c r="AW1090" s="352" t="s">
        <v>254</v>
      </c>
    </row>
    <row r="1091" spans="2:49" x14ac:dyDescent="0.2">
      <c r="B1091" s="460" t="s">
        <v>2683</v>
      </c>
      <c r="C1091" s="460">
        <v>2114</v>
      </c>
      <c r="D1091" s="460" t="s">
        <v>2370</v>
      </c>
      <c r="E1091" s="460" t="s">
        <v>1136</v>
      </c>
      <c r="F1091" s="460">
        <v>1</v>
      </c>
      <c r="G1091" s="460">
        <v>4</v>
      </c>
      <c r="H1091" s="461" t="s">
        <v>752</v>
      </c>
      <c r="I1091" s="461" t="s">
        <v>964</v>
      </c>
      <c r="J1091" s="461" t="s">
        <v>752</v>
      </c>
      <c r="K1091" s="594"/>
      <c r="L1091" s="594"/>
      <c r="M1091" s="352">
        <v>2000</v>
      </c>
      <c r="N1091" s="352" t="s">
        <v>703</v>
      </c>
      <c r="O1091" s="460">
        <v>2114</v>
      </c>
      <c r="P1091" s="460" t="s">
        <v>756</v>
      </c>
      <c r="Q1091" s="460" t="s">
        <v>2440</v>
      </c>
      <c r="R1091" s="460">
        <v>2114</v>
      </c>
      <c r="S1091" s="460" t="s">
        <v>1136</v>
      </c>
      <c r="T1091" s="462">
        <v>1</v>
      </c>
      <c r="U1091" s="460" t="s">
        <v>1136</v>
      </c>
      <c r="V1091" s="475">
        <v>0</v>
      </c>
      <c r="W1091" s="463" t="s">
        <v>2267</v>
      </c>
      <c r="X1091" s="463" t="s">
        <v>2267</v>
      </c>
      <c r="Y1091" s="463" t="s">
        <v>2267</v>
      </c>
      <c r="Z1091" s="463"/>
      <c r="AA1091" s="463"/>
      <c r="AB1091" s="464">
        <v>5.3239599183046049E-2</v>
      </c>
      <c r="AC1091" s="465">
        <v>4.1326311550833252E-2</v>
      </c>
      <c r="AD1091" s="465">
        <v>1.7241023583022508E-5</v>
      </c>
      <c r="AE1091" s="476">
        <v>5.3239599183046049E-2</v>
      </c>
      <c r="AF1091" s="467">
        <v>4.1326311550833252E-2</v>
      </c>
      <c r="AG1091" s="468">
        <v>1.7241023583022508E-5</v>
      </c>
      <c r="AH1091" s="218">
        <v>5.3239599183046049E-2</v>
      </c>
      <c r="AI1091" s="470">
        <v>4.1326311550833252E-2</v>
      </c>
      <c r="AJ1091" s="471">
        <v>1.45554251679203E-5</v>
      </c>
      <c r="AK1091" s="218">
        <v>5.3239599183046049E-2</v>
      </c>
      <c r="AL1091" s="470">
        <v>4.1326311550833252E-2</v>
      </c>
      <c r="AM1091" s="471">
        <v>1.45554251679203E-5</v>
      </c>
      <c r="AN1091" s="477">
        <v>5.3239599183046049E-2</v>
      </c>
      <c r="AO1091" s="473">
        <v>4.1326311550833252E-2</v>
      </c>
      <c r="AP1091" s="474">
        <v>1.45554251679203E-5</v>
      </c>
      <c r="AQ1091" s="352"/>
      <c r="AR1091" s="352"/>
      <c r="AS1091" s="352"/>
      <c r="AT1091" s="352"/>
      <c r="AU1091" s="352"/>
      <c r="AV1091" s="352"/>
      <c r="AW1091" s="352" t="s">
        <v>254</v>
      </c>
    </row>
    <row r="1092" spans="2:49" x14ac:dyDescent="0.2">
      <c r="B1092" s="460" t="s">
        <v>2684</v>
      </c>
      <c r="C1092" s="460">
        <v>2114</v>
      </c>
      <c r="D1092" s="460" t="s">
        <v>2371</v>
      </c>
      <c r="E1092" s="460" t="s">
        <v>1137</v>
      </c>
      <c r="F1092" s="460">
        <v>2</v>
      </c>
      <c r="G1092" s="460">
        <v>4</v>
      </c>
      <c r="H1092" s="461" t="s">
        <v>752</v>
      </c>
      <c r="I1092" s="461" t="s">
        <v>964</v>
      </c>
      <c r="J1092" s="461" t="s">
        <v>752</v>
      </c>
      <c r="K1092" s="594"/>
      <c r="L1092" s="594"/>
      <c r="M1092" s="352">
        <v>2000</v>
      </c>
      <c r="N1092" s="352" t="s">
        <v>703</v>
      </c>
      <c r="O1092" s="460">
        <v>2114</v>
      </c>
      <c r="P1092" s="460" t="s">
        <v>756</v>
      </c>
      <c r="Q1092" s="460" t="s">
        <v>2440</v>
      </c>
      <c r="R1092" s="460">
        <v>2114</v>
      </c>
      <c r="S1092" s="460" t="s">
        <v>1137</v>
      </c>
      <c r="T1092" s="462">
        <v>1</v>
      </c>
      <c r="U1092" s="460" t="s">
        <v>1137</v>
      </c>
      <c r="V1092" s="475">
        <v>0</v>
      </c>
      <c r="W1092" s="463" t="s">
        <v>2267</v>
      </c>
      <c r="X1092" s="463" t="s">
        <v>2267</v>
      </c>
      <c r="Y1092" s="463" t="s">
        <v>2267</v>
      </c>
      <c r="Z1092" s="463"/>
      <c r="AA1092" s="463"/>
      <c r="AB1092" s="464">
        <v>2.2418844173338129E-2</v>
      </c>
      <c r="AC1092" s="465">
        <v>9.7270913198354639E-3</v>
      </c>
      <c r="AD1092" s="465">
        <v>2.1936601453194356E-6</v>
      </c>
      <c r="AE1092" s="476">
        <v>2.2418844173338129E-2</v>
      </c>
      <c r="AF1092" s="467">
        <v>9.7270913198354639E-3</v>
      </c>
      <c r="AG1092" s="468">
        <v>2.1936601453194356E-6</v>
      </c>
      <c r="AH1092" s="218">
        <v>2.2418844173338129E-2</v>
      </c>
      <c r="AI1092" s="470">
        <v>9.7270913198354639E-3</v>
      </c>
      <c r="AJ1092" s="471">
        <v>2.1747987492916008E-6</v>
      </c>
      <c r="AK1092" s="218">
        <v>2.2418844173338129E-2</v>
      </c>
      <c r="AL1092" s="470">
        <v>9.7270913198354639E-3</v>
      </c>
      <c r="AM1092" s="471">
        <v>2.1747987492916008E-6</v>
      </c>
      <c r="AN1092" s="477">
        <v>2.2418844173338129E-2</v>
      </c>
      <c r="AO1092" s="473">
        <v>9.7270913198354639E-3</v>
      </c>
      <c r="AP1092" s="474">
        <v>2.1747987492916008E-6</v>
      </c>
      <c r="AQ1092" s="352"/>
      <c r="AR1092" s="352"/>
      <c r="AS1092" s="352"/>
      <c r="AT1092" s="352"/>
      <c r="AU1092" s="352"/>
      <c r="AV1092" s="352"/>
      <c r="AW1092" s="352" t="s">
        <v>254</v>
      </c>
    </row>
    <row r="1093" spans="2:49" x14ac:dyDescent="0.2">
      <c r="B1093" s="460" t="s">
        <v>2685</v>
      </c>
      <c r="C1093" s="460">
        <v>2114</v>
      </c>
      <c r="D1093" s="460" t="s">
        <v>2372</v>
      </c>
      <c r="E1093" s="460" t="s">
        <v>1138</v>
      </c>
      <c r="F1093" s="460">
        <v>3</v>
      </c>
      <c r="G1093" s="460">
        <v>4</v>
      </c>
      <c r="H1093" s="461" t="s">
        <v>752</v>
      </c>
      <c r="I1093" s="461" t="s">
        <v>964</v>
      </c>
      <c r="J1093" s="461" t="s">
        <v>752</v>
      </c>
      <c r="K1093" s="594"/>
      <c r="L1093" s="594"/>
      <c r="M1093" s="352">
        <v>2000</v>
      </c>
      <c r="N1093" s="352" t="s">
        <v>703</v>
      </c>
      <c r="O1093" s="460">
        <v>2114</v>
      </c>
      <c r="P1093" s="460" t="s">
        <v>756</v>
      </c>
      <c r="Q1093" s="460" t="s">
        <v>2440</v>
      </c>
      <c r="R1093" s="460">
        <v>2114</v>
      </c>
      <c r="S1093" s="460" t="s">
        <v>1138</v>
      </c>
      <c r="T1093" s="462">
        <v>1</v>
      </c>
      <c r="U1093" s="460" t="s">
        <v>1138</v>
      </c>
      <c r="V1093" s="475">
        <v>0</v>
      </c>
      <c r="W1093" s="463" t="s">
        <v>2267</v>
      </c>
      <c r="X1093" s="463" t="s">
        <v>2267</v>
      </c>
      <c r="Y1093" s="463" t="s">
        <v>2267</v>
      </c>
      <c r="Z1093" s="463"/>
      <c r="AA1093" s="463"/>
      <c r="AB1093" s="464">
        <v>0.10296934393083493</v>
      </c>
      <c r="AC1093" s="465">
        <v>4.0082637972332545E-2</v>
      </c>
      <c r="AD1093" s="465">
        <v>1.77852197983575E-5</v>
      </c>
      <c r="AE1093" s="476">
        <v>0.10296934393083493</v>
      </c>
      <c r="AF1093" s="467">
        <v>4.0082637972332545E-2</v>
      </c>
      <c r="AG1093" s="468">
        <v>1.77852197983575E-5</v>
      </c>
      <c r="AH1093" s="218">
        <v>0.10296934393083493</v>
      </c>
      <c r="AI1093" s="470">
        <v>4.0082637972332545E-2</v>
      </c>
      <c r="AJ1093" s="471">
        <v>1.7082938834312202E-5</v>
      </c>
      <c r="AK1093" s="218">
        <v>0.10296934393083493</v>
      </c>
      <c r="AL1093" s="470">
        <v>4.0082637972332545E-2</v>
      </c>
      <c r="AM1093" s="471">
        <v>1.7082938834312202E-5</v>
      </c>
      <c r="AN1093" s="477">
        <v>0.10296934393083493</v>
      </c>
      <c r="AO1093" s="473">
        <v>4.0082637972332545E-2</v>
      </c>
      <c r="AP1093" s="474">
        <v>1.7082938834312202E-5</v>
      </c>
      <c r="AQ1093" s="352"/>
      <c r="AR1093" s="352"/>
      <c r="AS1093" s="352"/>
      <c r="AT1093" s="352"/>
      <c r="AU1093" s="352"/>
      <c r="AV1093" s="352"/>
      <c r="AW1093" s="352" t="s">
        <v>254</v>
      </c>
    </row>
    <row r="1094" spans="2:49" x14ac:dyDescent="0.2">
      <c r="B1094" s="460" t="s">
        <v>2686</v>
      </c>
      <c r="C1094" s="460">
        <v>2114</v>
      </c>
      <c r="D1094" s="460" t="s">
        <v>2373</v>
      </c>
      <c r="E1094" s="460" t="s">
        <v>1139</v>
      </c>
      <c r="F1094" s="460">
        <v>4</v>
      </c>
      <c r="G1094" s="460">
        <v>4</v>
      </c>
      <c r="H1094" s="461" t="s">
        <v>752</v>
      </c>
      <c r="I1094" s="461" t="s">
        <v>964</v>
      </c>
      <c r="J1094" s="461" t="s">
        <v>752</v>
      </c>
      <c r="K1094" s="594"/>
      <c r="L1094" s="594"/>
      <c r="M1094" s="352">
        <v>2000</v>
      </c>
      <c r="N1094" s="352" t="s">
        <v>703</v>
      </c>
      <c r="O1094" s="460">
        <v>2114</v>
      </c>
      <c r="P1094" s="460" t="s">
        <v>756</v>
      </c>
      <c r="Q1094" s="460" t="s">
        <v>2440</v>
      </c>
      <c r="R1094" s="460">
        <v>2114</v>
      </c>
      <c r="S1094" s="460" t="s">
        <v>1139</v>
      </c>
      <c r="T1094" s="462">
        <v>1</v>
      </c>
      <c r="U1094" s="460" t="s">
        <v>1139</v>
      </c>
      <c r="V1094" s="475">
        <v>0</v>
      </c>
      <c r="W1094" s="463" t="s">
        <v>2267</v>
      </c>
      <c r="X1094" s="463" t="s">
        <v>2267</v>
      </c>
      <c r="Y1094" s="463" t="s">
        <v>2267</v>
      </c>
      <c r="Z1094" s="463"/>
      <c r="AA1094" s="463"/>
      <c r="AB1094" s="464">
        <v>1.4386917062547708</v>
      </c>
      <c r="AC1094" s="465">
        <v>0.37391860135764587</v>
      </c>
      <c r="AD1094" s="465">
        <v>5.7356714919803226E-5</v>
      </c>
      <c r="AE1094" s="476">
        <v>1.4386917062547708</v>
      </c>
      <c r="AF1094" s="467">
        <v>0.37391860135764587</v>
      </c>
      <c r="AG1094" s="468">
        <v>5.7356714919803226E-5</v>
      </c>
      <c r="AH1094" s="218">
        <v>1.4386917062547708</v>
      </c>
      <c r="AI1094" s="470">
        <v>0.37391860135764587</v>
      </c>
      <c r="AJ1094" s="471">
        <v>5.331482360016841E-5</v>
      </c>
      <c r="AK1094" s="218">
        <v>1.4386917062547708</v>
      </c>
      <c r="AL1094" s="470">
        <v>0.37391860135764587</v>
      </c>
      <c r="AM1094" s="471">
        <v>5.331482360016841E-5</v>
      </c>
      <c r="AN1094" s="477">
        <v>1.4386917062547708</v>
      </c>
      <c r="AO1094" s="473">
        <v>0.37391860135764587</v>
      </c>
      <c r="AP1094" s="474">
        <v>5.331482360016841E-5</v>
      </c>
      <c r="AQ1094" s="352"/>
      <c r="AR1094" s="352"/>
      <c r="AS1094" s="352"/>
      <c r="AT1094" s="352"/>
      <c r="AU1094" s="352"/>
      <c r="AV1094" s="352"/>
      <c r="AW1094" s="352" t="s">
        <v>254</v>
      </c>
    </row>
    <row r="1095" spans="2:49" x14ac:dyDescent="0.2">
      <c r="B1095" s="460" t="s">
        <v>2687</v>
      </c>
      <c r="C1095" s="460">
        <v>2114</v>
      </c>
      <c r="D1095" s="460" t="s">
        <v>2375</v>
      </c>
      <c r="E1095" s="460" t="s">
        <v>2376</v>
      </c>
      <c r="F1095" s="460">
        <v>1</v>
      </c>
      <c r="G1095" s="460">
        <v>5</v>
      </c>
      <c r="H1095" s="461" t="s">
        <v>754</v>
      </c>
      <c r="I1095" s="461" t="s">
        <v>1991</v>
      </c>
      <c r="J1095" s="461" t="s">
        <v>754</v>
      </c>
      <c r="K1095" s="594"/>
      <c r="L1095" s="594"/>
      <c r="M1095" s="352">
        <v>2000</v>
      </c>
      <c r="N1095" s="352" t="s">
        <v>703</v>
      </c>
      <c r="O1095" s="460">
        <v>2114</v>
      </c>
      <c r="P1095" s="460" t="s">
        <v>756</v>
      </c>
      <c r="Q1095" s="460" t="s">
        <v>2377</v>
      </c>
      <c r="R1095" s="460">
        <v>2114</v>
      </c>
      <c r="S1095" s="460" t="s">
        <v>2376</v>
      </c>
      <c r="T1095" s="462">
        <v>1</v>
      </c>
      <c r="U1095" s="460" t="s">
        <v>2376</v>
      </c>
      <c r="V1095" s="475">
        <v>0</v>
      </c>
      <c r="W1095" s="463" t="s">
        <v>2278</v>
      </c>
      <c r="X1095" s="463" t="s">
        <v>2278</v>
      </c>
      <c r="Y1095" s="463" t="s">
        <v>2278</v>
      </c>
      <c r="Z1095" s="463"/>
      <c r="AA1095" s="463"/>
      <c r="AB1095" s="464">
        <v>5.8920102736924118</v>
      </c>
      <c r="AC1095" s="465">
        <v>1</v>
      </c>
      <c r="AD1095" s="465">
        <v>9.905086971595928E-6</v>
      </c>
      <c r="AE1095" s="476">
        <v>5.8920102736924118</v>
      </c>
      <c r="AF1095" s="467">
        <v>1</v>
      </c>
      <c r="AG1095" s="468">
        <v>9.905086971595928E-6</v>
      </c>
      <c r="AH1095" s="218">
        <v>5.8920102736924118</v>
      </c>
      <c r="AI1095" s="470">
        <v>1</v>
      </c>
      <c r="AJ1095" s="471">
        <v>9.905086971595928E-6</v>
      </c>
      <c r="AK1095" s="218">
        <v>5.8920102736924118</v>
      </c>
      <c r="AL1095" s="470">
        <v>1</v>
      </c>
      <c r="AM1095" s="471">
        <v>9.905086971595928E-6</v>
      </c>
      <c r="AN1095" s="477">
        <v>5.8920102736924118</v>
      </c>
      <c r="AO1095" s="473">
        <v>1</v>
      </c>
      <c r="AP1095" s="474">
        <v>9.905086971595928E-6</v>
      </c>
      <c r="AQ1095" s="352"/>
      <c r="AR1095" s="352"/>
      <c r="AS1095" s="352"/>
      <c r="AT1095" s="352"/>
      <c r="AU1095" s="352"/>
      <c r="AV1095" s="352"/>
      <c r="AW1095" s="352" t="s">
        <v>127</v>
      </c>
    </row>
    <row r="1096" spans="2:49" x14ac:dyDescent="0.2">
      <c r="B1096" s="460" t="s">
        <v>2688</v>
      </c>
      <c r="C1096" s="460">
        <v>2114</v>
      </c>
      <c r="D1096" s="460" t="s">
        <v>2379</v>
      </c>
      <c r="E1096" s="460" t="s">
        <v>2380</v>
      </c>
      <c r="F1096" s="460">
        <v>2</v>
      </c>
      <c r="G1096" s="460">
        <v>5</v>
      </c>
      <c r="H1096" s="461" t="s">
        <v>754</v>
      </c>
      <c r="I1096" s="461" t="s">
        <v>1991</v>
      </c>
      <c r="J1096" s="461" t="s">
        <v>754</v>
      </c>
      <c r="K1096" s="594"/>
      <c r="L1096" s="594"/>
      <c r="M1096" s="352">
        <v>2000</v>
      </c>
      <c r="N1096" s="352" t="s">
        <v>703</v>
      </c>
      <c r="O1096" s="460">
        <v>2114</v>
      </c>
      <c r="P1096" s="460" t="s">
        <v>756</v>
      </c>
      <c r="Q1096" s="460" t="s">
        <v>2377</v>
      </c>
      <c r="R1096" s="460">
        <v>2114</v>
      </c>
      <c r="S1096" s="460" t="s">
        <v>2380</v>
      </c>
      <c r="T1096" s="462">
        <v>1</v>
      </c>
      <c r="U1096" s="460" t="s">
        <v>2380</v>
      </c>
      <c r="V1096" s="475">
        <v>0</v>
      </c>
      <c r="W1096" s="463" t="s">
        <v>2278</v>
      </c>
      <c r="X1096" s="463" t="s">
        <v>2278</v>
      </c>
      <c r="Y1096" s="463" t="s">
        <v>2278</v>
      </c>
      <c r="Z1096" s="463"/>
      <c r="AA1096" s="463"/>
      <c r="AB1096" s="464">
        <v>3.3843762477912875</v>
      </c>
      <c r="AC1096" s="465">
        <v>1</v>
      </c>
      <c r="AD1096" s="465">
        <v>6.6645262299733955E-6</v>
      </c>
      <c r="AE1096" s="476">
        <v>3.3843762477912875</v>
      </c>
      <c r="AF1096" s="467">
        <v>1</v>
      </c>
      <c r="AG1096" s="468">
        <v>6.6645262299733955E-6</v>
      </c>
      <c r="AH1096" s="218">
        <v>3.3843762477912875</v>
      </c>
      <c r="AI1096" s="470">
        <v>1</v>
      </c>
      <c r="AJ1096" s="471">
        <v>6.6645262299733955E-6</v>
      </c>
      <c r="AK1096" s="218">
        <v>3.3843762477912875</v>
      </c>
      <c r="AL1096" s="470">
        <v>1</v>
      </c>
      <c r="AM1096" s="471">
        <v>6.6645262299733955E-6</v>
      </c>
      <c r="AN1096" s="477">
        <v>3.3843762477912875</v>
      </c>
      <c r="AO1096" s="473">
        <v>1</v>
      </c>
      <c r="AP1096" s="474">
        <v>6.6645262299733955E-6</v>
      </c>
      <c r="AQ1096" s="352"/>
      <c r="AR1096" s="352"/>
      <c r="AS1096" s="352"/>
      <c r="AT1096" s="352"/>
      <c r="AU1096" s="352"/>
      <c r="AV1096" s="352"/>
      <c r="AW1096" s="352" t="s">
        <v>127</v>
      </c>
    </row>
    <row r="1097" spans="2:49" x14ac:dyDescent="0.2">
      <c r="B1097" s="460" t="s">
        <v>2689</v>
      </c>
      <c r="C1097" s="460">
        <v>2114</v>
      </c>
      <c r="D1097" s="460" t="s">
        <v>2382</v>
      </c>
      <c r="E1097" s="460" t="s">
        <v>2383</v>
      </c>
      <c r="F1097" s="460">
        <v>3</v>
      </c>
      <c r="G1097" s="460">
        <v>5</v>
      </c>
      <c r="H1097" s="461" t="s">
        <v>754</v>
      </c>
      <c r="I1097" s="461" t="s">
        <v>1991</v>
      </c>
      <c r="J1097" s="461" t="s">
        <v>754</v>
      </c>
      <c r="K1097" s="594"/>
      <c r="L1097" s="594"/>
      <c r="M1097" s="352">
        <v>2000</v>
      </c>
      <c r="N1097" s="352" t="s">
        <v>703</v>
      </c>
      <c r="O1097" s="460">
        <v>2114</v>
      </c>
      <c r="P1097" s="460" t="s">
        <v>756</v>
      </c>
      <c r="Q1097" s="460" t="s">
        <v>2377</v>
      </c>
      <c r="R1097" s="460">
        <v>2114</v>
      </c>
      <c r="S1097" s="460" t="s">
        <v>2383</v>
      </c>
      <c r="T1097" s="462">
        <v>1</v>
      </c>
      <c r="U1097" s="460" t="s">
        <v>2383</v>
      </c>
      <c r="V1097" s="475">
        <v>0</v>
      </c>
      <c r="W1097" s="463" t="s">
        <v>2278</v>
      </c>
      <c r="X1097" s="463" t="s">
        <v>2278</v>
      </c>
      <c r="Y1097" s="463" t="s">
        <v>2278</v>
      </c>
      <c r="Z1097" s="463"/>
      <c r="AA1097" s="463"/>
      <c r="AB1097" s="464">
        <v>0.51937728159553798</v>
      </c>
      <c r="AC1097" s="465">
        <v>1</v>
      </c>
      <c r="AD1097" s="465">
        <v>4.6165670948215816E-6</v>
      </c>
      <c r="AE1097" s="476">
        <v>0.51937728159553798</v>
      </c>
      <c r="AF1097" s="467">
        <v>1</v>
      </c>
      <c r="AG1097" s="468">
        <v>4.6165670948215816E-6</v>
      </c>
      <c r="AH1097" s="218">
        <v>0.51937728159553798</v>
      </c>
      <c r="AI1097" s="470">
        <v>1</v>
      </c>
      <c r="AJ1097" s="471">
        <v>4.6165670948215816E-6</v>
      </c>
      <c r="AK1097" s="218">
        <v>0.51937728159553798</v>
      </c>
      <c r="AL1097" s="470">
        <v>1</v>
      </c>
      <c r="AM1097" s="471">
        <v>4.6165670948215816E-6</v>
      </c>
      <c r="AN1097" s="477">
        <v>0.51937728159553798</v>
      </c>
      <c r="AO1097" s="473">
        <v>1</v>
      </c>
      <c r="AP1097" s="474">
        <v>4.6165670948215816E-6</v>
      </c>
      <c r="AQ1097" s="352"/>
      <c r="AR1097" s="352"/>
      <c r="AS1097" s="352"/>
      <c r="AT1097" s="352"/>
      <c r="AU1097" s="352"/>
      <c r="AV1097" s="352"/>
      <c r="AW1097" s="352" t="s">
        <v>127</v>
      </c>
    </row>
    <row r="1098" spans="2:49" x14ac:dyDescent="0.2">
      <c r="B1098" s="460" t="s">
        <v>2690</v>
      </c>
      <c r="C1098" s="460">
        <v>2114</v>
      </c>
      <c r="D1098" s="460" t="s">
        <v>2385</v>
      </c>
      <c r="E1098" s="460" t="s">
        <v>2386</v>
      </c>
      <c r="F1098" s="460">
        <v>4</v>
      </c>
      <c r="G1098" s="460">
        <v>5</v>
      </c>
      <c r="H1098" s="461" t="s">
        <v>754</v>
      </c>
      <c r="I1098" s="461" t="s">
        <v>1991</v>
      </c>
      <c r="J1098" s="461" t="s">
        <v>754</v>
      </c>
      <c r="K1098" s="594"/>
      <c r="L1098" s="594"/>
      <c r="M1098" s="352">
        <v>2000</v>
      </c>
      <c r="N1098" s="352" t="s">
        <v>703</v>
      </c>
      <c r="O1098" s="460">
        <v>2114</v>
      </c>
      <c r="P1098" s="460" t="s">
        <v>756</v>
      </c>
      <c r="Q1098" s="460" t="s">
        <v>2377</v>
      </c>
      <c r="R1098" s="460">
        <v>2114</v>
      </c>
      <c r="S1098" s="460" t="s">
        <v>2386</v>
      </c>
      <c r="T1098" s="462">
        <v>1</v>
      </c>
      <c r="U1098" s="460" t="s">
        <v>2386</v>
      </c>
      <c r="V1098" s="475">
        <v>0</v>
      </c>
      <c r="W1098" s="463" t="s">
        <v>2278</v>
      </c>
      <c r="X1098" s="463" t="s">
        <v>2278</v>
      </c>
      <c r="Y1098" s="463" t="s">
        <v>2278</v>
      </c>
      <c r="Z1098" s="463"/>
      <c r="AA1098" s="463"/>
      <c r="AB1098" s="464">
        <v>0.43720062243175223</v>
      </c>
      <c r="AC1098" s="465">
        <v>1</v>
      </c>
      <c r="AD1098" s="465">
        <v>8.1103939776684944E-6</v>
      </c>
      <c r="AE1098" s="476">
        <v>0.43720062243175223</v>
      </c>
      <c r="AF1098" s="467">
        <v>1</v>
      </c>
      <c r="AG1098" s="468">
        <v>8.1103939776684944E-6</v>
      </c>
      <c r="AH1098" s="218">
        <v>0.43720062243175223</v>
      </c>
      <c r="AI1098" s="470">
        <v>1</v>
      </c>
      <c r="AJ1098" s="471">
        <v>8.1103939776684944E-6</v>
      </c>
      <c r="AK1098" s="218">
        <v>0.43720062243175223</v>
      </c>
      <c r="AL1098" s="470">
        <v>1</v>
      </c>
      <c r="AM1098" s="471">
        <v>8.1103939776684944E-6</v>
      </c>
      <c r="AN1098" s="477">
        <v>0.43720062243175223</v>
      </c>
      <c r="AO1098" s="473">
        <v>1</v>
      </c>
      <c r="AP1098" s="474">
        <v>8.1103939776684944E-6</v>
      </c>
      <c r="AQ1098" s="352"/>
      <c r="AR1098" s="352"/>
      <c r="AS1098" s="352"/>
      <c r="AT1098" s="352"/>
      <c r="AU1098" s="352"/>
      <c r="AV1098" s="352"/>
      <c r="AW1098" s="352" t="s">
        <v>127</v>
      </c>
    </row>
    <row r="1099" spans="2:49" x14ac:dyDescent="0.2">
      <c r="B1099" s="460" t="s">
        <v>2691</v>
      </c>
      <c r="C1099" s="460">
        <v>2114</v>
      </c>
      <c r="D1099" s="460" t="s">
        <v>2388</v>
      </c>
      <c r="E1099" s="460" t="s">
        <v>2389</v>
      </c>
      <c r="F1099" s="460">
        <v>1</v>
      </c>
      <c r="G1099" s="460">
        <v>6</v>
      </c>
      <c r="H1099" s="461" t="s">
        <v>754</v>
      </c>
      <c r="I1099" s="461" t="s">
        <v>1991</v>
      </c>
      <c r="J1099" s="461" t="s">
        <v>754</v>
      </c>
      <c r="K1099" s="594"/>
      <c r="L1099" s="594"/>
      <c r="M1099" s="352">
        <v>2000</v>
      </c>
      <c r="N1099" s="352" t="s">
        <v>703</v>
      </c>
      <c r="O1099" s="460">
        <v>2114</v>
      </c>
      <c r="P1099" s="460" t="s">
        <v>756</v>
      </c>
      <c r="Q1099" s="460" t="s">
        <v>2377</v>
      </c>
      <c r="R1099" s="460">
        <v>2114</v>
      </c>
      <c r="S1099" s="460" t="s">
        <v>2389</v>
      </c>
      <c r="T1099" s="462">
        <v>1</v>
      </c>
      <c r="U1099" s="460" t="s">
        <v>2389</v>
      </c>
      <c r="V1099" s="475">
        <v>0</v>
      </c>
      <c r="W1099" s="463" t="s">
        <v>2278</v>
      </c>
      <c r="X1099" s="463" t="s">
        <v>2278</v>
      </c>
      <c r="Y1099" s="463" t="s">
        <v>2278</v>
      </c>
      <c r="Z1099" s="463"/>
      <c r="AA1099" s="463"/>
      <c r="AB1099" s="464">
        <v>67.445083365078816</v>
      </c>
      <c r="AC1099" s="465">
        <v>1</v>
      </c>
      <c r="AD1099" s="465">
        <v>2.2547894301344707E-3</v>
      </c>
      <c r="AE1099" s="476">
        <v>67.445083365078816</v>
      </c>
      <c r="AF1099" s="467">
        <v>1</v>
      </c>
      <c r="AG1099" s="468">
        <v>2.2547894301344707E-3</v>
      </c>
      <c r="AH1099" s="218">
        <v>67.445083365078816</v>
      </c>
      <c r="AI1099" s="470">
        <v>1</v>
      </c>
      <c r="AJ1099" s="471">
        <v>2.2547894301344707E-3</v>
      </c>
      <c r="AK1099" s="218">
        <v>67.445083365078816</v>
      </c>
      <c r="AL1099" s="470">
        <v>1</v>
      </c>
      <c r="AM1099" s="471">
        <v>2.2547894301344707E-3</v>
      </c>
      <c r="AN1099" s="477">
        <v>67.445083365078816</v>
      </c>
      <c r="AO1099" s="473">
        <v>1</v>
      </c>
      <c r="AP1099" s="474">
        <v>2.2547894301344707E-3</v>
      </c>
      <c r="AQ1099" s="352"/>
      <c r="AR1099" s="352"/>
      <c r="AS1099" s="352"/>
      <c r="AT1099" s="352"/>
      <c r="AU1099" s="352"/>
      <c r="AV1099" s="352"/>
      <c r="AW1099" s="352" t="s">
        <v>127</v>
      </c>
    </row>
    <row r="1100" spans="2:49" x14ac:dyDescent="0.2">
      <c r="B1100" s="460" t="s">
        <v>2692</v>
      </c>
      <c r="C1100" s="460">
        <v>2114</v>
      </c>
      <c r="D1100" s="460" t="s">
        <v>2391</v>
      </c>
      <c r="E1100" s="460" t="s">
        <v>2392</v>
      </c>
      <c r="F1100" s="460">
        <v>2</v>
      </c>
      <c r="G1100" s="460">
        <v>6</v>
      </c>
      <c r="H1100" s="461" t="s">
        <v>754</v>
      </c>
      <c r="I1100" s="461" t="s">
        <v>1991</v>
      </c>
      <c r="J1100" s="461" t="s">
        <v>754</v>
      </c>
      <c r="K1100" s="594"/>
      <c r="L1100" s="594"/>
      <c r="M1100" s="352">
        <v>2000</v>
      </c>
      <c r="N1100" s="352" t="s">
        <v>703</v>
      </c>
      <c r="O1100" s="460">
        <v>2114</v>
      </c>
      <c r="P1100" s="460" t="s">
        <v>756</v>
      </c>
      <c r="Q1100" s="460" t="s">
        <v>2377</v>
      </c>
      <c r="R1100" s="460">
        <v>2114</v>
      </c>
      <c r="S1100" s="460" t="s">
        <v>2392</v>
      </c>
      <c r="T1100" s="462">
        <v>1</v>
      </c>
      <c r="U1100" s="460" t="s">
        <v>2392</v>
      </c>
      <c r="V1100" s="475">
        <v>0</v>
      </c>
      <c r="W1100" s="463" t="s">
        <v>2278</v>
      </c>
      <c r="X1100" s="463" t="s">
        <v>2278</v>
      </c>
      <c r="Y1100" s="463" t="s">
        <v>2278</v>
      </c>
      <c r="Z1100" s="463"/>
      <c r="AA1100" s="463"/>
      <c r="AB1100" s="464">
        <v>53.697867766363622</v>
      </c>
      <c r="AC1100" s="465">
        <v>1</v>
      </c>
      <c r="AD1100" s="465">
        <v>2.3080022308406057E-3</v>
      </c>
      <c r="AE1100" s="476">
        <v>53.697867766363622</v>
      </c>
      <c r="AF1100" s="467">
        <v>1</v>
      </c>
      <c r="AG1100" s="468">
        <v>2.3080022308406057E-3</v>
      </c>
      <c r="AH1100" s="218">
        <v>53.697867766363622</v>
      </c>
      <c r="AI1100" s="470">
        <v>1</v>
      </c>
      <c r="AJ1100" s="471">
        <v>2.3080022308406057E-3</v>
      </c>
      <c r="AK1100" s="218">
        <v>53.697867766363622</v>
      </c>
      <c r="AL1100" s="470">
        <v>1</v>
      </c>
      <c r="AM1100" s="471">
        <v>2.3080022308406057E-3</v>
      </c>
      <c r="AN1100" s="477">
        <v>53.697867766363622</v>
      </c>
      <c r="AO1100" s="473">
        <v>1</v>
      </c>
      <c r="AP1100" s="474">
        <v>2.3080022308406057E-3</v>
      </c>
      <c r="AQ1100" s="352"/>
      <c r="AR1100" s="352"/>
      <c r="AS1100" s="352"/>
      <c r="AT1100" s="352"/>
      <c r="AU1100" s="352"/>
      <c r="AV1100" s="352"/>
      <c r="AW1100" s="352" t="s">
        <v>127</v>
      </c>
    </row>
    <row r="1101" spans="2:49" x14ac:dyDescent="0.2">
      <c r="B1101" s="460" t="s">
        <v>2693</v>
      </c>
      <c r="C1101" s="460">
        <v>2114</v>
      </c>
      <c r="D1101" s="460" t="s">
        <v>2394</v>
      </c>
      <c r="E1101" s="460" t="s">
        <v>2395</v>
      </c>
      <c r="F1101" s="460">
        <v>3</v>
      </c>
      <c r="G1101" s="460">
        <v>6</v>
      </c>
      <c r="H1101" s="461" t="s">
        <v>754</v>
      </c>
      <c r="I1101" s="461" t="s">
        <v>1991</v>
      </c>
      <c r="J1101" s="461" t="s">
        <v>754</v>
      </c>
      <c r="K1101" s="594"/>
      <c r="L1101" s="594"/>
      <c r="M1101" s="352">
        <v>2000</v>
      </c>
      <c r="N1101" s="352" t="s">
        <v>703</v>
      </c>
      <c r="O1101" s="460">
        <v>2114</v>
      </c>
      <c r="P1101" s="460" t="s">
        <v>756</v>
      </c>
      <c r="Q1101" s="460" t="s">
        <v>2377</v>
      </c>
      <c r="R1101" s="460">
        <v>2114</v>
      </c>
      <c r="S1101" s="460" t="s">
        <v>2395</v>
      </c>
      <c r="T1101" s="462">
        <v>1</v>
      </c>
      <c r="U1101" s="460" t="s">
        <v>2395</v>
      </c>
      <c r="V1101" s="475">
        <v>0</v>
      </c>
      <c r="W1101" s="463" t="s">
        <v>2278</v>
      </c>
      <c r="X1101" s="463" t="s">
        <v>2278</v>
      </c>
      <c r="Y1101" s="463" t="s">
        <v>2278</v>
      </c>
      <c r="Z1101" s="463"/>
      <c r="AA1101" s="463"/>
      <c r="AB1101" s="464">
        <v>25.038955627332733</v>
      </c>
      <c r="AC1101" s="465">
        <v>1</v>
      </c>
      <c r="AD1101" s="465">
        <v>2.3777740519342954E-3</v>
      </c>
      <c r="AE1101" s="476">
        <v>25.038955627332733</v>
      </c>
      <c r="AF1101" s="467">
        <v>1</v>
      </c>
      <c r="AG1101" s="468">
        <v>2.3777740519342954E-3</v>
      </c>
      <c r="AH1101" s="218">
        <v>25.038955627332733</v>
      </c>
      <c r="AI1101" s="470">
        <v>1</v>
      </c>
      <c r="AJ1101" s="471">
        <v>2.3777740519342954E-3</v>
      </c>
      <c r="AK1101" s="218">
        <v>25.038955627332733</v>
      </c>
      <c r="AL1101" s="470">
        <v>1</v>
      </c>
      <c r="AM1101" s="471">
        <v>2.3777740519342954E-3</v>
      </c>
      <c r="AN1101" s="477">
        <v>25.038955627332733</v>
      </c>
      <c r="AO1101" s="473">
        <v>1</v>
      </c>
      <c r="AP1101" s="474">
        <v>2.3777740519342954E-3</v>
      </c>
      <c r="AQ1101" s="352"/>
      <c r="AR1101" s="352"/>
      <c r="AS1101" s="352"/>
      <c r="AT1101" s="352"/>
      <c r="AU1101" s="352"/>
      <c r="AV1101" s="352"/>
      <c r="AW1101" s="352" t="s">
        <v>127</v>
      </c>
    </row>
    <row r="1102" spans="2:49" x14ac:dyDescent="0.2">
      <c r="B1102" s="460" t="s">
        <v>2694</v>
      </c>
      <c r="C1102" s="460">
        <v>2114</v>
      </c>
      <c r="D1102" s="460" t="s">
        <v>2397</v>
      </c>
      <c r="E1102" s="460" t="s">
        <v>2398</v>
      </c>
      <c r="F1102" s="460">
        <v>4</v>
      </c>
      <c r="G1102" s="460">
        <v>6</v>
      </c>
      <c r="H1102" s="461" t="s">
        <v>754</v>
      </c>
      <c r="I1102" s="461" t="s">
        <v>1991</v>
      </c>
      <c r="J1102" s="461" t="s">
        <v>754</v>
      </c>
      <c r="K1102" s="594"/>
      <c r="L1102" s="594"/>
      <c r="M1102" s="352">
        <v>2000</v>
      </c>
      <c r="N1102" s="352" t="s">
        <v>703</v>
      </c>
      <c r="O1102" s="460">
        <v>2114</v>
      </c>
      <c r="P1102" s="460" t="s">
        <v>756</v>
      </c>
      <c r="Q1102" s="460" t="s">
        <v>2377</v>
      </c>
      <c r="R1102" s="460">
        <v>2114</v>
      </c>
      <c r="S1102" s="460" t="s">
        <v>2398</v>
      </c>
      <c r="T1102" s="462">
        <v>1</v>
      </c>
      <c r="U1102" s="460" t="s">
        <v>2398</v>
      </c>
      <c r="V1102" s="475">
        <v>0</v>
      </c>
      <c r="W1102" s="463" t="s">
        <v>2278</v>
      </c>
      <c r="X1102" s="463" t="s">
        <v>2278</v>
      </c>
      <c r="Y1102" s="463" t="s">
        <v>2278</v>
      </c>
      <c r="Z1102" s="463"/>
      <c r="AA1102" s="463"/>
      <c r="AB1102" s="464">
        <v>42.832293018502007</v>
      </c>
      <c r="AC1102" s="465">
        <v>1</v>
      </c>
      <c r="AD1102" s="465">
        <v>3.3983246420494365E-3</v>
      </c>
      <c r="AE1102" s="476">
        <v>42.832293018502007</v>
      </c>
      <c r="AF1102" s="467">
        <v>1</v>
      </c>
      <c r="AG1102" s="468">
        <v>3.3983246420494365E-3</v>
      </c>
      <c r="AH1102" s="218">
        <v>42.832293018502007</v>
      </c>
      <c r="AI1102" s="470">
        <v>1</v>
      </c>
      <c r="AJ1102" s="471">
        <v>3.3983246420494365E-3</v>
      </c>
      <c r="AK1102" s="218">
        <v>42.832293018502007</v>
      </c>
      <c r="AL1102" s="470">
        <v>1</v>
      </c>
      <c r="AM1102" s="471">
        <v>3.3983246420494365E-3</v>
      </c>
      <c r="AN1102" s="477">
        <v>42.832293018502007</v>
      </c>
      <c r="AO1102" s="473">
        <v>1</v>
      </c>
      <c r="AP1102" s="474">
        <v>3.3983246420494365E-3</v>
      </c>
      <c r="AQ1102" s="352"/>
      <c r="AR1102" s="352"/>
      <c r="AS1102" s="352"/>
      <c r="AT1102" s="352"/>
      <c r="AU1102" s="352"/>
      <c r="AV1102" s="352"/>
      <c r="AW1102" s="352" t="s">
        <v>127</v>
      </c>
    </row>
    <row r="1103" spans="2:49" x14ac:dyDescent="0.2">
      <c r="B1103" s="460" t="s">
        <v>2695</v>
      </c>
      <c r="C1103" s="460">
        <v>2121</v>
      </c>
      <c r="D1103" s="460" t="s">
        <v>2264</v>
      </c>
      <c r="E1103" s="460" t="s">
        <v>2265</v>
      </c>
      <c r="F1103" s="460">
        <v>1</v>
      </c>
      <c r="G1103" s="460">
        <v>1</v>
      </c>
      <c r="H1103" s="461" t="s">
        <v>700</v>
      </c>
      <c r="I1103" s="461" t="s">
        <v>872</v>
      </c>
      <c r="J1103" s="461" t="s">
        <v>700</v>
      </c>
      <c r="K1103" s="594"/>
      <c r="L1103" s="594"/>
      <c r="M1103" s="352">
        <v>2000</v>
      </c>
      <c r="N1103" s="352" t="s">
        <v>703</v>
      </c>
      <c r="O1103" s="460">
        <v>2121</v>
      </c>
      <c r="P1103" s="460" t="s">
        <v>1876</v>
      </c>
      <c r="Q1103" s="460" t="s">
        <v>2266</v>
      </c>
      <c r="R1103" s="460">
        <v>2121</v>
      </c>
      <c r="S1103" s="460" t="s">
        <v>2265</v>
      </c>
      <c r="T1103" s="462">
        <v>1</v>
      </c>
      <c r="U1103" s="460" t="s">
        <v>2265</v>
      </c>
      <c r="V1103" s="475">
        <v>0</v>
      </c>
      <c r="W1103" s="463" t="s">
        <v>2267</v>
      </c>
      <c r="X1103" s="463" t="s">
        <v>2267</v>
      </c>
      <c r="Y1103" s="463" t="s">
        <v>2268</v>
      </c>
      <c r="Z1103" s="463"/>
      <c r="AA1103" s="463"/>
      <c r="AB1103" s="464">
        <v>1227.7126888794803</v>
      </c>
      <c r="AC1103" s="465">
        <v>0.60332411112119988</v>
      </c>
      <c r="AD1103" s="465">
        <v>1.1385114047968024E-2</v>
      </c>
      <c r="AE1103" s="476">
        <v>1227.7126888794803</v>
      </c>
      <c r="AF1103" s="467">
        <v>0.60332411112119988</v>
      </c>
      <c r="AG1103" s="468">
        <v>1.2161684592444919E-2</v>
      </c>
      <c r="AH1103" s="218">
        <v>1227.7126888794803</v>
      </c>
      <c r="AI1103" s="470">
        <v>0.60332411112119988</v>
      </c>
      <c r="AJ1103" s="471">
        <v>1.1706656920424774E-2</v>
      </c>
      <c r="AK1103" s="218">
        <v>1227.7126888794803</v>
      </c>
      <c r="AL1103" s="470">
        <v>0.60332411112119988</v>
      </c>
      <c r="AM1103" s="471">
        <v>1.1706656920424774E-2</v>
      </c>
      <c r="AN1103" s="477">
        <v>0</v>
      </c>
      <c r="AO1103" s="473">
        <v>0</v>
      </c>
      <c r="AP1103" s="474">
        <v>0</v>
      </c>
      <c r="AQ1103" s="352"/>
      <c r="AR1103" s="352"/>
      <c r="AS1103" s="352"/>
      <c r="AT1103" s="352"/>
      <c r="AU1103" s="352"/>
      <c r="AV1103" s="352"/>
      <c r="AW1103" s="352" t="s">
        <v>254</v>
      </c>
    </row>
    <row r="1104" spans="2:49" x14ac:dyDescent="0.2">
      <c r="B1104" s="460" t="s">
        <v>2696</v>
      </c>
      <c r="C1104" s="460">
        <v>2121</v>
      </c>
      <c r="D1104" s="460" t="s">
        <v>2270</v>
      </c>
      <c r="E1104" s="460" t="s">
        <v>2271</v>
      </c>
      <c r="F1104" s="460">
        <v>2</v>
      </c>
      <c r="G1104" s="460">
        <v>1</v>
      </c>
      <c r="H1104" s="461" t="s">
        <v>700</v>
      </c>
      <c r="I1104" s="461" t="s">
        <v>872</v>
      </c>
      <c r="J1104" s="461" t="s">
        <v>700</v>
      </c>
      <c r="K1104" s="594"/>
      <c r="L1104" s="594"/>
      <c r="M1104" s="352">
        <v>2000</v>
      </c>
      <c r="N1104" s="352" t="s">
        <v>703</v>
      </c>
      <c r="O1104" s="460">
        <v>2121</v>
      </c>
      <c r="P1104" s="460" t="s">
        <v>1876</v>
      </c>
      <c r="Q1104" s="460" t="s">
        <v>2266</v>
      </c>
      <c r="R1104" s="460">
        <v>2121</v>
      </c>
      <c r="S1104" s="460" t="s">
        <v>2265</v>
      </c>
      <c r="T1104" s="462">
        <v>1</v>
      </c>
      <c r="U1104" s="460" t="s">
        <v>2271</v>
      </c>
      <c r="V1104" s="475">
        <v>0</v>
      </c>
      <c r="W1104" s="463" t="s">
        <v>2267</v>
      </c>
      <c r="X1104" s="463" t="s">
        <v>2267</v>
      </c>
      <c r="Y1104" s="463" t="s">
        <v>2268</v>
      </c>
      <c r="Z1104" s="463"/>
      <c r="AA1104" s="463"/>
      <c r="AB1104" s="464">
        <v>1477.8758024128288</v>
      </c>
      <c r="AC1104" s="465">
        <v>0.57653115612220229</v>
      </c>
      <c r="AD1104" s="465">
        <v>1.8335699296842818E-2</v>
      </c>
      <c r="AE1104" s="476">
        <v>1477.8758024128288</v>
      </c>
      <c r="AF1104" s="467">
        <v>0.57653115612220229</v>
      </c>
      <c r="AG1104" s="468">
        <v>1.9869686847303634E-2</v>
      </c>
      <c r="AH1104" s="218">
        <v>1546.5566697825732</v>
      </c>
      <c r="AI1104" s="470">
        <v>0.60332411112119988</v>
      </c>
      <c r="AJ1104" s="471">
        <v>1.8259265853267322E-2</v>
      </c>
      <c r="AK1104" s="218">
        <v>1546.5566697825732</v>
      </c>
      <c r="AL1104" s="470">
        <v>0.60332411112119988</v>
      </c>
      <c r="AM1104" s="471">
        <v>1.8259265853267322E-2</v>
      </c>
      <c r="AN1104" s="477">
        <v>0</v>
      </c>
      <c r="AO1104" s="473">
        <v>0</v>
      </c>
      <c r="AP1104" s="474">
        <v>0</v>
      </c>
      <c r="AQ1104" s="352"/>
      <c r="AR1104" s="352"/>
      <c r="AS1104" s="352"/>
      <c r="AT1104" s="352"/>
      <c r="AU1104" s="352"/>
      <c r="AV1104" s="352"/>
      <c r="AW1104" s="352" t="s">
        <v>254</v>
      </c>
    </row>
    <row r="1105" spans="2:49" x14ac:dyDescent="0.2">
      <c r="B1105" s="460" t="s">
        <v>2697</v>
      </c>
      <c r="C1105" s="460">
        <v>2121</v>
      </c>
      <c r="D1105" s="460" t="s">
        <v>2273</v>
      </c>
      <c r="E1105" s="460" t="s">
        <v>2274</v>
      </c>
      <c r="F1105" s="460">
        <v>3</v>
      </c>
      <c r="G1105" s="460">
        <v>1</v>
      </c>
      <c r="H1105" s="461" t="s">
        <v>700</v>
      </c>
      <c r="I1105" s="461" t="s">
        <v>872</v>
      </c>
      <c r="J1105" s="461" t="s">
        <v>700</v>
      </c>
      <c r="K1105" s="594"/>
      <c r="L1105" s="594"/>
      <c r="M1105" s="352">
        <v>2000</v>
      </c>
      <c r="N1105" s="352" t="s">
        <v>703</v>
      </c>
      <c r="O1105" s="460">
        <v>2121</v>
      </c>
      <c r="P1105" s="460" t="s">
        <v>1876</v>
      </c>
      <c r="Q1105" s="460" t="s">
        <v>2266</v>
      </c>
      <c r="R1105" s="460">
        <v>2121</v>
      </c>
      <c r="S1105" s="460" t="s">
        <v>2265</v>
      </c>
      <c r="T1105" s="462">
        <v>0.74223365950407583</v>
      </c>
      <c r="U1105" s="460" t="s">
        <v>2274</v>
      </c>
      <c r="V1105" s="475">
        <v>0</v>
      </c>
      <c r="W1105" s="463" t="s">
        <v>2267</v>
      </c>
      <c r="X1105" s="463" t="s">
        <v>2267</v>
      </c>
      <c r="Y1105" s="463" t="s">
        <v>2268</v>
      </c>
      <c r="Z1105" s="463"/>
      <c r="AA1105" s="463"/>
      <c r="AB1105" s="464">
        <v>321.75599569574177</v>
      </c>
      <c r="AC1105" s="465">
        <v>0.28890561268521203</v>
      </c>
      <c r="AD1105" s="465">
        <v>1.5917158327769975E-2</v>
      </c>
      <c r="AE1105" s="476">
        <v>321.75599569574177</v>
      </c>
      <c r="AF1105" s="467">
        <v>0.28890561268521203</v>
      </c>
      <c r="AG1105" s="468">
        <v>1.724105284118185E-2</v>
      </c>
      <c r="AH1105" s="218">
        <v>498.72598443061156</v>
      </c>
      <c r="AI1105" s="470">
        <v>0.44780746286453188</v>
      </c>
      <c r="AJ1105" s="471">
        <v>1.9352605509825822E-2</v>
      </c>
      <c r="AK1105" s="218">
        <v>498.72598443061156</v>
      </c>
      <c r="AL1105" s="470">
        <v>0.44780746286453188</v>
      </c>
      <c r="AM1105" s="471">
        <v>1.9352605509825822E-2</v>
      </c>
      <c r="AN1105" s="477">
        <v>0</v>
      </c>
      <c r="AO1105" s="473">
        <v>0</v>
      </c>
      <c r="AP1105" s="474">
        <v>0</v>
      </c>
      <c r="AQ1105" s="352"/>
      <c r="AR1105" s="352"/>
      <c r="AS1105" s="352"/>
      <c r="AT1105" s="352"/>
      <c r="AU1105" s="352"/>
      <c r="AV1105" s="352"/>
      <c r="AW1105" s="352" t="s">
        <v>254</v>
      </c>
    </row>
    <row r="1106" spans="2:49" x14ac:dyDescent="0.2">
      <c r="B1106" s="460" t="s">
        <v>2698</v>
      </c>
      <c r="C1106" s="460">
        <v>2121</v>
      </c>
      <c r="D1106" s="460" t="s">
        <v>2276</v>
      </c>
      <c r="E1106" s="460" t="s">
        <v>2277</v>
      </c>
      <c r="F1106" s="460">
        <v>4</v>
      </c>
      <c r="G1106" s="460">
        <v>1</v>
      </c>
      <c r="H1106" s="461" t="s">
        <v>700</v>
      </c>
      <c r="I1106" s="461" t="s">
        <v>872</v>
      </c>
      <c r="J1106" s="461" t="s">
        <v>700</v>
      </c>
      <c r="K1106" s="594"/>
      <c r="L1106" s="594"/>
      <c r="M1106" s="352">
        <v>2000</v>
      </c>
      <c r="N1106" s="352" t="s">
        <v>703</v>
      </c>
      <c r="O1106" s="460">
        <v>2121</v>
      </c>
      <c r="P1106" s="460" t="s">
        <v>1876</v>
      </c>
      <c r="Q1106" s="460" t="s">
        <v>2266</v>
      </c>
      <c r="R1106" s="460">
        <v>2121</v>
      </c>
      <c r="S1106" s="460" t="s">
        <v>2277</v>
      </c>
      <c r="T1106" s="462">
        <v>1</v>
      </c>
      <c r="U1106" s="460" t="s">
        <v>2277</v>
      </c>
      <c r="V1106" s="475">
        <v>0</v>
      </c>
      <c r="W1106" s="463" t="s">
        <v>2278</v>
      </c>
      <c r="X1106" s="463" t="s">
        <v>2278</v>
      </c>
      <c r="Y1106" s="463" t="s">
        <v>2268</v>
      </c>
      <c r="Z1106" s="463"/>
      <c r="AA1106" s="463"/>
      <c r="AB1106" s="464">
        <v>1.3750312143711503</v>
      </c>
      <c r="AC1106" s="465">
        <v>1.5290224501460171E-3</v>
      </c>
      <c r="AD1106" s="465">
        <v>5.549914337984057E-3</v>
      </c>
      <c r="AE1106" s="476">
        <v>1.3750312143711503</v>
      </c>
      <c r="AF1106" s="467">
        <v>1.5290224501460171E-3</v>
      </c>
      <c r="AG1106" s="468">
        <v>6.2045116790734886E-3</v>
      </c>
      <c r="AH1106" s="218">
        <v>1.3750312143711503</v>
      </c>
      <c r="AI1106" s="470">
        <v>1.5290224501460171E-3</v>
      </c>
      <c r="AJ1106" s="471">
        <v>5.9467558741122155E-3</v>
      </c>
      <c r="AK1106" s="218">
        <v>1.3750312143711503</v>
      </c>
      <c r="AL1106" s="470">
        <v>1.5290224501460171E-3</v>
      </c>
      <c r="AM1106" s="471">
        <v>5.9467558741122155E-3</v>
      </c>
      <c r="AN1106" s="477">
        <v>0</v>
      </c>
      <c r="AO1106" s="473">
        <v>0</v>
      </c>
      <c r="AP1106" s="474">
        <v>0</v>
      </c>
      <c r="AQ1106" s="352"/>
      <c r="AR1106" s="352"/>
      <c r="AS1106" s="352"/>
      <c r="AT1106" s="352"/>
      <c r="AU1106" s="352"/>
      <c r="AV1106" s="352"/>
      <c r="AW1106" s="352" t="s">
        <v>254</v>
      </c>
    </row>
    <row r="1107" spans="2:49" x14ac:dyDescent="0.2">
      <c r="B1107" s="460" t="s">
        <v>2695</v>
      </c>
      <c r="C1107" s="460">
        <v>2121</v>
      </c>
      <c r="D1107" s="460" t="s">
        <v>2279</v>
      </c>
      <c r="E1107" s="460" t="s">
        <v>2265</v>
      </c>
      <c r="F1107" s="460">
        <v>1</v>
      </c>
      <c r="G1107" s="460">
        <v>1</v>
      </c>
      <c r="H1107" s="461" t="s">
        <v>712</v>
      </c>
      <c r="I1107" s="461" t="s">
        <v>713</v>
      </c>
      <c r="J1107" s="461" t="s">
        <v>712</v>
      </c>
      <c r="K1107" s="594"/>
      <c r="L1107" s="594"/>
      <c r="M1107" s="352">
        <v>2000</v>
      </c>
      <c r="N1107" s="352" t="s">
        <v>703</v>
      </c>
      <c r="O1107" s="460">
        <v>2121</v>
      </c>
      <c r="P1107" s="460" t="s">
        <v>1876</v>
      </c>
      <c r="Q1107" s="460" t="s">
        <v>2280</v>
      </c>
      <c r="R1107" s="460">
        <v>2121</v>
      </c>
      <c r="S1107" s="460" t="s">
        <v>2265</v>
      </c>
      <c r="T1107" s="462">
        <v>1</v>
      </c>
      <c r="U1107" s="460" t="s">
        <v>2265</v>
      </c>
      <c r="V1107" s="475">
        <v>0</v>
      </c>
      <c r="W1107" s="463" t="s">
        <v>713</v>
      </c>
      <c r="X1107" s="463" t="s">
        <v>713</v>
      </c>
      <c r="Y1107" s="463" t="s">
        <v>713</v>
      </c>
      <c r="Z1107" s="463"/>
      <c r="AA1107" s="463"/>
      <c r="AB1107" s="464">
        <v>807.20132541034309</v>
      </c>
      <c r="AC1107" s="465">
        <v>0.39667588887880012</v>
      </c>
      <c r="AD1107" s="465">
        <v>2.9819412920289541E-3</v>
      </c>
      <c r="AE1107" s="476">
        <v>807.20132541034309</v>
      </c>
      <c r="AF1107" s="467">
        <v>0.39667588887880012</v>
      </c>
      <c r="AG1107" s="468">
        <v>2.9079715818202344E-3</v>
      </c>
      <c r="AH1107" s="218">
        <v>807.20132541034309</v>
      </c>
      <c r="AI1107" s="470">
        <v>0.39667588887880012</v>
      </c>
      <c r="AJ1107" s="471">
        <v>2.9496670850565564E-3</v>
      </c>
      <c r="AK1107" s="218">
        <v>807.20132541034309</v>
      </c>
      <c r="AL1107" s="470">
        <v>0.39667588887880012</v>
      </c>
      <c r="AM1107" s="471">
        <v>2.9496670850565564E-3</v>
      </c>
      <c r="AN1107" s="477">
        <v>807.20132541034309</v>
      </c>
      <c r="AO1107" s="473">
        <v>0.39667588887880012</v>
      </c>
      <c r="AP1107" s="474">
        <v>2.9487059652201966E-3</v>
      </c>
      <c r="AQ1107" s="352"/>
      <c r="AR1107" s="352"/>
      <c r="AS1107" s="352"/>
      <c r="AT1107" s="352"/>
      <c r="AU1107" s="352"/>
      <c r="AV1107" s="352"/>
      <c r="AW1107" s="352" t="s">
        <v>254</v>
      </c>
    </row>
    <row r="1108" spans="2:49" x14ac:dyDescent="0.2">
      <c r="B1108" s="460" t="s">
        <v>2696</v>
      </c>
      <c r="C1108" s="460">
        <v>2121</v>
      </c>
      <c r="D1108" s="460" t="s">
        <v>2281</v>
      </c>
      <c r="E1108" s="460" t="s">
        <v>2271</v>
      </c>
      <c r="F1108" s="460">
        <v>2</v>
      </c>
      <c r="G1108" s="460">
        <v>1</v>
      </c>
      <c r="H1108" s="461" t="s">
        <v>712</v>
      </c>
      <c r="I1108" s="461" t="s">
        <v>713</v>
      </c>
      <c r="J1108" s="461" t="s">
        <v>712</v>
      </c>
      <c r="K1108" s="594"/>
      <c r="L1108" s="594"/>
      <c r="M1108" s="352">
        <v>2000</v>
      </c>
      <c r="N1108" s="352" t="s">
        <v>703</v>
      </c>
      <c r="O1108" s="460">
        <v>2121</v>
      </c>
      <c r="P1108" s="460" t="s">
        <v>1876</v>
      </c>
      <c r="Q1108" s="460" t="s">
        <v>2280</v>
      </c>
      <c r="R1108" s="460">
        <v>2121</v>
      </c>
      <c r="S1108" s="460" t="s">
        <v>2265</v>
      </c>
      <c r="T1108" s="462">
        <v>1</v>
      </c>
      <c r="U1108" s="460" t="s">
        <v>2271</v>
      </c>
      <c r="V1108" s="475">
        <v>0</v>
      </c>
      <c r="W1108" s="463" t="s">
        <v>713</v>
      </c>
      <c r="X1108" s="463" t="s">
        <v>713</v>
      </c>
      <c r="Y1108" s="463" t="s">
        <v>713</v>
      </c>
      <c r="Z1108" s="463"/>
      <c r="AA1108" s="463"/>
      <c r="AB1108" s="464">
        <v>1085.5169764842344</v>
      </c>
      <c r="AC1108" s="465">
        <v>0.42346884387779771</v>
      </c>
      <c r="AD1108" s="465">
        <v>4.5330327032703311E-3</v>
      </c>
      <c r="AE1108" s="476">
        <v>1085.5169764842344</v>
      </c>
      <c r="AF1108" s="467">
        <v>0.42346884387779771</v>
      </c>
      <c r="AG1108" s="468">
        <v>4.418224921393943E-3</v>
      </c>
      <c r="AH1108" s="218">
        <v>1016.8361091144901</v>
      </c>
      <c r="AI1108" s="470">
        <v>0.39667588887880012</v>
      </c>
      <c r="AJ1108" s="471">
        <v>4.3684758663187504E-3</v>
      </c>
      <c r="AK1108" s="218">
        <v>1016.8361091144901</v>
      </c>
      <c r="AL1108" s="470">
        <v>0.39667588887880012</v>
      </c>
      <c r="AM1108" s="471">
        <v>4.3684758663187504E-3</v>
      </c>
      <c r="AN1108" s="477">
        <v>1016.8361091144901</v>
      </c>
      <c r="AO1108" s="473">
        <v>0.39667588887880012</v>
      </c>
      <c r="AP1108" s="474">
        <v>4.3669419511348897E-3</v>
      </c>
      <c r="AQ1108" s="352"/>
      <c r="AR1108" s="352"/>
      <c r="AS1108" s="352"/>
      <c r="AT1108" s="352"/>
      <c r="AU1108" s="352"/>
      <c r="AV1108" s="352"/>
      <c r="AW1108" s="352" t="s">
        <v>254</v>
      </c>
    </row>
    <row r="1109" spans="2:49" x14ac:dyDescent="0.2">
      <c r="B1109" s="460" t="s">
        <v>2697</v>
      </c>
      <c r="C1109" s="460">
        <v>2121</v>
      </c>
      <c r="D1109" s="460" t="s">
        <v>2282</v>
      </c>
      <c r="E1109" s="460" t="s">
        <v>2274</v>
      </c>
      <c r="F1109" s="460">
        <v>3</v>
      </c>
      <c r="G1109" s="460">
        <v>1</v>
      </c>
      <c r="H1109" s="461" t="s">
        <v>712</v>
      </c>
      <c r="I1109" s="461" t="s">
        <v>713</v>
      </c>
      <c r="J1109" s="461" t="s">
        <v>712</v>
      </c>
      <c r="K1109" s="594"/>
      <c r="L1109" s="594"/>
      <c r="M1109" s="352">
        <v>2000</v>
      </c>
      <c r="N1109" s="352" t="s">
        <v>703</v>
      </c>
      <c r="O1109" s="460">
        <v>2121</v>
      </c>
      <c r="P1109" s="460" t="s">
        <v>1876</v>
      </c>
      <c r="Q1109" s="460" t="s">
        <v>2280</v>
      </c>
      <c r="R1109" s="460">
        <v>2121</v>
      </c>
      <c r="S1109" s="460" t="s">
        <v>2265</v>
      </c>
      <c r="T1109" s="462">
        <v>0.74223365950407583</v>
      </c>
      <c r="U1109" s="460" t="s">
        <v>2274</v>
      </c>
      <c r="V1109" s="475">
        <v>0</v>
      </c>
      <c r="W1109" s="463" t="s">
        <v>713</v>
      </c>
      <c r="X1109" s="463" t="s">
        <v>713</v>
      </c>
      <c r="Y1109" s="463" t="s">
        <v>713</v>
      </c>
      <c r="Z1109" s="463"/>
      <c r="AA1109" s="463"/>
      <c r="AB1109" s="464">
        <v>791.95028610752354</v>
      </c>
      <c r="AC1109" s="465">
        <v>0.71109438731478802</v>
      </c>
      <c r="AD1109" s="465">
        <v>4.7399907210922149E-3</v>
      </c>
      <c r="AE1109" s="476">
        <v>791.95028610752343</v>
      </c>
      <c r="AF1109" s="467">
        <v>0.71109438731478791</v>
      </c>
      <c r="AG1109" s="468">
        <v>4.6963600723838178E-3</v>
      </c>
      <c r="AH1109" s="218">
        <v>614.98029737265369</v>
      </c>
      <c r="AI1109" s="470">
        <v>0.55219253713546812</v>
      </c>
      <c r="AJ1109" s="471">
        <v>3.8646411784060883E-3</v>
      </c>
      <c r="AK1109" s="218">
        <v>614.98029737265369</v>
      </c>
      <c r="AL1109" s="470">
        <v>0.55219253713546812</v>
      </c>
      <c r="AM1109" s="471">
        <v>3.8646411784060883E-3</v>
      </c>
      <c r="AN1109" s="477">
        <v>614.98029737265369</v>
      </c>
      <c r="AO1109" s="473">
        <v>0.55219253713546812</v>
      </c>
      <c r="AP1109" s="474">
        <v>3.8925206877246819E-3</v>
      </c>
      <c r="AQ1109" s="352"/>
      <c r="AR1109" s="352"/>
      <c r="AS1109" s="352"/>
      <c r="AT1109" s="352"/>
      <c r="AU1109" s="352"/>
      <c r="AV1109" s="352"/>
      <c r="AW1109" s="352" t="s">
        <v>254</v>
      </c>
    </row>
    <row r="1110" spans="2:49" x14ac:dyDescent="0.2">
      <c r="B1110" s="460" t="s">
        <v>2698</v>
      </c>
      <c r="C1110" s="460">
        <v>2121</v>
      </c>
      <c r="D1110" s="460" t="s">
        <v>2283</v>
      </c>
      <c r="E1110" s="460" t="s">
        <v>2277</v>
      </c>
      <c r="F1110" s="460">
        <v>4</v>
      </c>
      <c r="G1110" s="460">
        <v>1</v>
      </c>
      <c r="H1110" s="461" t="s">
        <v>712</v>
      </c>
      <c r="I1110" s="461" t="s">
        <v>713</v>
      </c>
      <c r="J1110" s="461" t="s">
        <v>712</v>
      </c>
      <c r="K1110" s="594"/>
      <c r="L1110" s="594"/>
      <c r="M1110" s="352">
        <v>2000</v>
      </c>
      <c r="N1110" s="352" t="s">
        <v>703</v>
      </c>
      <c r="O1110" s="460">
        <v>2121</v>
      </c>
      <c r="P1110" s="460" t="s">
        <v>1876</v>
      </c>
      <c r="Q1110" s="460" t="s">
        <v>2280</v>
      </c>
      <c r="R1110" s="460">
        <v>2121</v>
      </c>
      <c r="S1110" s="460" t="s">
        <v>2277</v>
      </c>
      <c r="T1110" s="462">
        <v>1</v>
      </c>
      <c r="U1110" s="460" t="s">
        <v>2277</v>
      </c>
      <c r="V1110" s="475">
        <v>0</v>
      </c>
      <c r="W1110" s="463" t="s">
        <v>713</v>
      </c>
      <c r="X1110" s="463" t="s">
        <v>713</v>
      </c>
      <c r="Y1110" s="463" t="s">
        <v>713</v>
      </c>
      <c r="Z1110" s="463"/>
      <c r="AA1110" s="463"/>
      <c r="AB1110" s="464">
        <v>897.91275507015257</v>
      </c>
      <c r="AC1110" s="465">
        <v>0.99847097754985403</v>
      </c>
      <c r="AD1110" s="465">
        <v>4.6631077472050423E-3</v>
      </c>
      <c r="AE1110" s="476">
        <v>897.91275507015257</v>
      </c>
      <c r="AF1110" s="467">
        <v>0.99847097754985403</v>
      </c>
      <c r="AG1110" s="468">
        <v>4.6624748244393022E-3</v>
      </c>
      <c r="AH1110" s="218">
        <v>897.91275507015257</v>
      </c>
      <c r="AI1110" s="470">
        <v>0.99847097754985403</v>
      </c>
      <c r="AJ1110" s="471">
        <v>4.6627073945056325E-3</v>
      </c>
      <c r="AK1110" s="218">
        <v>897.91275507015257</v>
      </c>
      <c r="AL1110" s="470">
        <v>0.99847097754985403</v>
      </c>
      <c r="AM1110" s="471">
        <v>4.6627073945056325E-3</v>
      </c>
      <c r="AN1110" s="477">
        <v>897.91275507015257</v>
      </c>
      <c r="AO1110" s="473">
        <v>0.99847097754985403</v>
      </c>
      <c r="AP1110" s="474">
        <v>4.6627306446950356E-3</v>
      </c>
      <c r="AQ1110" s="352"/>
      <c r="AR1110" s="352"/>
      <c r="AS1110" s="352"/>
      <c r="AT1110" s="352"/>
      <c r="AU1110" s="352"/>
      <c r="AV1110" s="352"/>
      <c r="AW1110" s="352" t="s">
        <v>254</v>
      </c>
    </row>
    <row r="1111" spans="2:49" x14ac:dyDescent="0.2">
      <c r="B1111" s="460" t="s">
        <v>2695</v>
      </c>
      <c r="C1111" s="460">
        <v>2121</v>
      </c>
      <c r="D1111" s="460" t="s">
        <v>2284</v>
      </c>
      <c r="E1111" s="460" t="s">
        <v>2265</v>
      </c>
      <c r="F1111" s="460">
        <v>1</v>
      </c>
      <c r="G1111" s="460">
        <v>1</v>
      </c>
      <c r="H1111" s="461" t="s">
        <v>746</v>
      </c>
      <c r="I1111" s="461" t="s">
        <v>762</v>
      </c>
      <c r="J1111" s="461" t="s">
        <v>700</v>
      </c>
      <c r="K1111" s="594"/>
      <c r="L1111" s="594"/>
      <c r="M1111" s="352">
        <v>2000</v>
      </c>
      <c r="N1111" s="352" t="s">
        <v>703</v>
      </c>
      <c r="O1111" s="460">
        <v>2121</v>
      </c>
      <c r="P1111" s="460" t="s">
        <v>1876</v>
      </c>
      <c r="Q1111" s="460" t="s">
        <v>2289</v>
      </c>
      <c r="R1111" s="460">
        <v>2121</v>
      </c>
      <c r="S1111" s="460" t="s">
        <v>2265</v>
      </c>
      <c r="T1111" s="462">
        <v>1</v>
      </c>
      <c r="U1111" s="460" t="s">
        <v>2265</v>
      </c>
      <c r="V1111" s="475">
        <v>0</v>
      </c>
      <c r="W1111" s="463" t="s">
        <v>2268</v>
      </c>
      <c r="X1111" s="463" t="s">
        <v>2268</v>
      </c>
      <c r="Y1111" s="463" t="s">
        <v>2290</v>
      </c>
      <c r="Z1111" s="463"/>
      <c r="AA1111" s="463"/>
      <c r="AB1111" s="464">
        <v>0</v>
      </c>
      <c r="AC1111" s="465">
        <v>0</v>
      </c>
      <c r="AD1111" s="465">
        <v>0</v>
      </c>
      <c r="AE1111" s="476">
        <v>0</v>
      </c>
      <c r="AF1111" s="467">
        <v>0</v>
      </c>
      <c r="AG1111" s="468">
        <v>0</v>
      </c>
      <c r="AH1111" s="218">
        <v>0</v>
      </c>
      <c r="AI1111" s="470">
        <v>0</v>
      </c>
      <c r="AJ1111" s="471">
        <v>0</v>
      </c>
      <c r="AK1111" s="218">
        <v>0</v>
      </c>
      <c r="AL1111" s="470">
        <v>0</v>
      </c>
      <c r="AM1111" s="471">
        <v>0</v>
      </c>
      <c r="AN1111" s="477">
        <v>0</v>
      </c>
      <c r="AO1111" s="473">
        <v>0</v>
      </c>
      <c r="AP1111" s="474">
        <v>0</v>
      </c>
      <c r="AQ1111" s="352"/>
      <c r="AR1111" s="352"/>
      <c r="AS1111" s="352"/>
      <c r="AT1111" s="352"/>
      <c r="AU1111" s="352"/>
      <c r="AV1111" s="352"/>
      <c r="AW1111" s="352" t="s">
        <v>254</v>
      </c>
    </row>
    <row r="1112" spans="2:49" x14ac:dyDescent="0.2">
      <c r="B1112" s="460" t="s">
        <v>2696</v>
      </c>
      <c r="C1112" s="460">
        <v>2121</v>
      </c>
      <c r="D1112" s="460" t="s">
        <v>2285</v>
      </c>
      <c r="E1112" s="460" t="s">
        <v>2271</v>
      </c>
      <c r="F1112" s="460">
        <v>2</v>
      </c>
      <c r="G1112" s="460">
        <v>1</v>
      </c>
      <c r="H1112" s="461" t="s">
        <v>746</v>
      </c>
      <c r="I1112" s="461" t="s">
        <v>762</v>
      </c>
      <c r="J1112" s="461" t="s">
        <v>700</v>
      </c>
      <c r="K1112" s="594"/>
      <c r="L1112" s="594"/>
      <c r="M1112" s="352">
        <v>2000</v>
      </c>
      <c r="N1112" s="352" t="s">
        <v>703</v>
      </c>
      <c r="O1112" s="460">
        <v>2121</v>
      </c>
      <c r="P1112" s="460" t="s">
        <v>1876</v>
      </c>
      <c r="Q1112" s="460" t="s">
        <v>2289</v>
      </c>
      <c r="R1112" s="460">
        <v>2121</v>
      </c>
      <c r="S1112" s="460" t="s">
        <v>2265</v>
      </c>
      <c r="T1112" s="462">
        <v>1</v>
      </c>
      <c r="U1112" s="460" t="s">
        <v>2271</v>
      </c>
      <c r="V1112" s="475">
        <v>0</v>
      </c>
      <c r="W1112" s="463" t="s">
        <v>2268</v>
      </c>
      <c r="X1112" s="463" t="s">
        <v>2268</v>
      </c>
      <c r="Y1112" s="463" t="s">
        <v>2290</v>
      </c>
      <c r="Z1112" s="463"/>
      <c r="AA1112" s="463"/>
      <c r="AB1112" s="464">
        <v>0</v>
      </c>
      <c r="AC1112" s="465">
        <v>0</v>
      </c>
      <c r="AD1112" s="465">
        <v>0</v>
      </c>
      <c r="AE1112" s="476">
        <v>0</v>
      </c>
      <c r="AF1112" s="467">
        <v>0</v>
      </c>
      <c r="AG1112" s="468">
        <v>0</v>
      </c>
      <c r="AH1112" s="218">
        <v>0</v>
      </c>
      <c r="AI1112" s="470">
        <v>0</v>
      </c>
      <c r="AJ1112" s="471">
        <v>0</v>
      </c>
      <c r="AK1112" s="218">
        <v>0</v>
      </c>
      <c r="AL1112" s="470">
        <v>0</v>
      </c>
      <c r="AM1112" s="471">
        <v>0</v>
      </c>
      <c r="AN1112" s="477">
        <v>0</v>
      </c>
      <c r="AO1112" s="473">
        <v>0</v>
      </c>
      <c r="AP1112" s="474">
        <v>0</v>
      </c>
      <c r="AQ1112" s="352"/>
      <c r="AR1112" s="352"/>
      <c r="AS1112" s="352"/>
      <c r="AT1112" s="352"/>
      <c r="AU1112" s="352"/>
      <c r="AV1112" s="352"/>
      <c r="AW1112" s="352" t="s">
        <v>254</v>
      </c>
    </row>
    <row r="1113" spans="2:49" x14ac:dyDescent="0.2">
      <c r="B1113" s="460" t="s">
        <v>2697</v>
      </c>
      <c r="C1113" s="460">
        <v>2121</v>
      </c>
      <c r="D1113" s="460" t="s">
        <v>2286</v>
      </c>
      <c r="E1113" s="460" t="s">
        <v>2274</v>
      </c>
      <c r="F1113" s="460">
        <v>3</v>
      </c>
      <c r="G1113" s="460">
        <v>1</v>
      </c>
      <c r="H1113" s="461" t="s">
        <v>746</v>
      </c>
      <c r="I1113" s="461" t="s">
        <v>762</v>
      </c>
      <c r="J1113" s="461" t="s">
        <v>700</v>
      </c>
      <c r="K1113" s="594"/>
      <c r="L1113" s="594"/>
      <c r="M1113" s="352">
        <v>2000</v>
      </c>
      <c r="N1113" s="352" t="s">
        <v>703</v>
      </c>
      <c r="O1113" s="460">
        <v>2121</v>
      </c>
      <c r="P1113" s="460" t="s">
        <v>1876</v>
      </c>
      <c r="Q1113" s="460" t="s">
        <v>2289</v>
      </c>
      <c r="R1113" s="460">
        <v>2121</v>
      </c>
      <c r="S1113" s="460" t="s">
        <v>2265</v>
      </c>
      <c r="T1113" s="462">
        <v>0.74223365950407583</v>
      </c>
      <c r="U1113" s="460" t="s">
        <v>2274</v>
      </c>
      <c r="V1113" s="475">
        <v>0</v>
      </c>
      <c r="W1113" s="463" t="s">
        <v>2268</v>
      </c>
      <c r="X1113" s="463" t="s">
        <v>2268</v>
      </c>
      <c r="Y1113" s="463" t="s">
        <v>2290</v>
      </c>
      <c r="Z1113" s="463"/>
      <c r="AA1113" s="463"/>
      <c r="AB1113" s="464">
        <v>0</v>
      </c>
      <c r="AC1113" s="465">
        <v>0</v>
      </c>
      <c r="AD1113" s="465">
        <v>0</v>
      </c>
      <c r="AE1113" s="476">
        <v>0</v>
      </c>
      <c r="AF1113" s="467">
        <v>0</v>
      </c>
      <c r="AG1113" s="468">
        <v>0</v>
      </c>
      <c r="AH1113" s="218">
        <v>0</v>
      </c>
      <c r="AI1113" s="470">
        <v>0</v>
      </c>
      <c r="AJ1113" s="471">
        <v>0</v>
      </c>
      <c r="AK1113" s="218">
        <v>0</v>
      </c>
      <c r="AL1113" s="470">
        <v>0</v>
      </c>
      <c r="AM1113" s="471">
        <v>0</v>
      </c>
      <c r="AN1113" s="477">
        <v>0</v>
      </c>
      <c r="AO1113" s="473">
        <v>0</v>
      </c>
      <c r="AP1113" s="474">
        <v>0</v>
      </c>
      <c r="AQ1113" s="352"/>
      <c r="AR1113" s="352"/>
      <c r="AS1113" s="352"/>
      <c r="AT1113" s="352"/>
      <c r="AU1113" s="352"/>
      <c r="AV1113" s="352"/>
      <c r="AW1113" s="352" t="s">
        <v>254</v>
      </c>
    </row>
    <row r="1114" spans="2:49" x14ac:dyDescent="0.2">
      <c r="B1114" s="460" t="s">
        <v>2698</v>
      </c>
      <c r="C1114" s="460">
        <v>2121</v>
      </c>
      <c r="D1114" s="460" t="s">
        <v>2287</v>
      </c>
      <c r="E1114" s="460" t="s">
        <v>2277</v>
      </c>
      <c r="F1114" s="460">
        <v>4</v>
      </c>
      <c r="G1114" s="460">
        <v>1</v>
      </c>
      <c r="H1114" s="461" t="s">
        <v>746</v>
      </c>
      <c r="I1114" s="461" t="s">
        <v>762</v>
      </c>
      <c r="J1114" s="461" t="s">
        <v>700</v>
      </c>
      <c r="K1114" s="594"/>
      <c r="L1114" s="594"/>
      <c r="M1114" s="352">
        <v>2000</v>
      </c>
      <c r="N1114" s="352" t="s">
        <v>703</v>
      </c>
      <c r="O1114" s="460">
        <v>2121</v>
      </c>
      <c r="P1114" s="460" t="s">
        <v>1876</v>
      </c>
      <c r="Q1114" s="460" t="s">
        <v>2289</v>
      </c>
      <c r="R1114" s="460">
        <v>2121</v>
      </c>
      <c r="S1114" s="460" t="s">
        <v>2277</v>
      </c>
      <c r="T1114" s="462">
        <v>1</v>
      </c>
      <c r="U1114" s="460" t="s">
        <v>2277</v>
      </c>
      <c r="V1114" s="475">
        <v>0</v>
      </c>
      <c r="W1114" s="463" t="s">
        <v>2268</v>
      </c>
      <c r="X1114" s="463" t="s">
        <v>2268</v>
      </c>
      <c r="Y1114" s="463" t="s">
        <v>2290</v>
      </c>
      <c r="Z1114" s="463"/>
      <c r="AA1114" s="463"/>
      <c r="AB1114" s="464">
        <v>0</v>
      </c>
      <c r="AC1114" s="465">
        <v>0</v>
      </c>
      <c r="AD1114" s="465">
        <v>0</v>
      </c>
      <c r="AE1114" s="476">
        <v>0</v>
      </c>
      <c r="AF1114" s="467">
        <v>0</v>
      </c>
      <c r="AG1114" s="468">
        <v>0</v>
      </c>
      <c r="AH1114" s="218">
        <v>0</v>
      </c>
      <c r="AI1114" s="470">
        <v>0</v>
      </c>
      <c r="AJ1114" s="471">
        <v>0</v>
      </c>
      <c r="AK1114" s="218">
        <v>0</v>
      </c>
      <c r="AL1114" s="470">
        <v>0</v>
      </c>
      <c r="AM1114" s="471">
        <v>0</v>
      </c>
      <c r="AN1114" s="477">
        <v>0</v>
      </c>
      <c r="AO1114" s="473">
        <v>0</v>
      </c>
      <c r="AP1114" s="474">
        <v>0</v>
      </c>
      <c r="AQ1114" s="352"/>
      <c r="AR1114" s="352"/>
      <c r="AS1114" s="352"/>
      <c r="AT1114" s="352"/>
      <c r="AU1114" s="352"/>
      <c r="AV1114" s="352"/>
      <c r="AW1114" s="352" t="s">
        <v>254</v>
      </c>
    </row>
    <row r="1115" spans="2:49" x14ac:dyDescent="0.2">
      <c r="B1115" s="460" t="s">
        <v>2695</v>
      </c>
      <c r="C1115" s="460">
        <v>2121</v>
      </c>
      <c r="D1115" s="460" t="s">
        <v>2288</v>
      </c>
      <c r="E1115" s="460" t="s">
        <v>2265</v>
      </c>
      <c r="F1115" s="460">
        <v>1</v>
      </c>
      <c r="G1115" s="460">
        <v>1</v>
      </c>
      <c r="H1115" s="461" t="s">
        <v>748</v>
      </c>
      <c r="I1115" s="461" t="s">
        <v>765</v>
      </c>
      <c r="J1115" s="461" t="s">
        <v>700</v>
      </c>
      <c r="K1115" s="594"/>
      <c r="L1115" s="594"/>
      <c r="M1115" s="352">
        <v>2000</v>
      </c>
      <c r="N1115" s="352" t="s">
        <v>703</v>
      </c>
      <c r="O1115" s="460">
        <v>2121</v>
      </c>
      <c r="P1115" s="460" t="s">
        <v>1876</v>
      </c>
      <c r="Q1115" s="460" t="s">
        <v>2266</v>
      </c>
      <c r="R1115" s="460">
        <v>2121</v>
      </c>
      <c r="S1115" s="460" t="s">
        <v>2265</v>
      </c>
      <c r="T1115" s="462">
        <v>1</v>
      </c>
      <c r="U1115" s="460" t="s">
        <v>2265</v>
      </c>
      <c r="V1115" s="475">
        <v>0</v>
      </c>
      <c r="W1115" s="463" t="s">
        <v>2268</v>
      </c>
      <c r="X1115" s="463" t="s">
        <v>2268</v>
      </c>
      <c r="Y1115" s="463" t="s">
        <v>2267</v>
      </c>
      <c r="Z1115" s="463"/>
      <c r="AA1115" s="463"/>
      <c r="AB1115" s="464">
        <v>0</v>
      </c>
      <c r="AC1115" s="465">
        <v>0</v>
      </c>
      <c r="AD1115" s="465">
        <v>0</v>
      </c>
      <c r="AE1115" s="476">
        <v>0</v>
      </c>
      <c r="AF1115" s="467">
        <v>0</v>
      </c>
      <c r="AG1115" s="468">
        <v>0</v>
      </c>
      <c r="AH1115" s="218">
        <v>0</v>
      </c>
      <c r="AI1115" s="470">
        <v>0</v>
      </c>
      <c r="AJ1115" s="471">
        <v>0</v>
      </c>
      <c r="AK1115" s="218">
        <v>0</v>
      </c>
      <c r="AL1115" s="470">
        <v>0</v>
      </c>
      <c r="AM1115" s="471">
        <v>0</v>
      </c>
      <c r="AN1115" s="477">
        <v>1227.7126888794803</v>
      </c>
      <c r="AO1115" s="473">
        <v>0.60332411112119988</v>
      </c>
      <c r="AP1115" s="474">
        <v>7.6241709451971659E-2</v>
      </c>
      <c r="AQ1115" s="352"/>
      <c r="AR1115" s="352"/>
      <c r="AS1115" s="352"/>
      <c r="AT1115" s="352"/>
      <c r="AU1115" s="352"/>
      <c r="AV1115" s="352"/>
      <c r="AW1115" s="352" t="s">
        <v>254</v>
      </c>
    </row>
    <row r="1116" spans="2:49" x14ac:dyDescent="0.2">
      <c r="B1116" s="460" t="s">
        <v>2696</v>
      </c>
      <c r="C1116" s="460">
        <v>2121</v>
      </c>
      <c r="D1116" s="460" t="s">
        <v>2291</v>
      </c>
      <c r="E1116" s="460" t="s">
        <v>2271</v>
      </c>
      <c r="F1116" s="460">
        <v>2</v>
      </c>
      <c r="G1116" s="460">
        <v>1</v>
      </c>
      <c r="H1116" s="461" t="s">
        <v>748</v>
      </c>
      <c r="I1116" s="461" t="s">
        <v>765</v>
      </c>
      <c r="J1116" s="461" t="s">
        <v>700</v>
      </c>
      <c r="K1116" s="594"/>
      <c r="L1116" s="594"/>
      <c r="M1116" s="352">
        <v>2000</v>
      </c>
      <c r="N1116" s="352" t="s">
        <v>703</v>
      </c>
      <c r="O1116" s="460">
        <v>2121</v>
      </c>
      <c r="P1116" s="460" t="s">
        <v>1876</v>
      </c>
      <c r="Q1116" s="460" t="s">
        <v>2266</v>
      </c>
      <c r="R1116" s="460">
        <v>2121</v>
      </c>
      <c r="S1116" s="460" t="s">
        <v>2265</v>
      </c>
      <c r="T1116" s="462">
        <v>1</v>
      </c>
      <c r="U1116" s="460" t="s">
        <v>2271</v>
      </c>
      <c r="V1116" s="475">
        <v>0</v>
      </c>
      <c r="W1116" s="463" t="s">
        <v>2268</v>
      </c>
      <c r="X1116" s="463" t="s">
        <v>2268</v>
      </c>
      <c r="Y1116" s="463" t="s">
        <v>2267</v>
      </c>
      <c r="Z1116" s="463"/>
      <c r="AA1116" s="463"/>
      <c r="AB1116" s="464">
        <v>0</v>
      </c>
      <c r="AC1116" s="465">
        <v>0</v>
      </c>
      <c r="AD1116" s="465">
        <v>0</v>
      </c>
      <c r="AE1116" s="476">
        <v>0</v>
      </c>
      <c r="AF1116" s="467">
        <v>0</v>
      </c>
      <c r="AG1116" s="468">
        <v>0</v>
      </c>
      <c r="AH1116" s="218">
        <v>0</v>
      </c>
      <c r="AI1116" s="470">
        <v>0</v>
      </c>
      <c r="AJ1116" s="471">
        <v>0</v>
      </c>
      <c r="AK1116" s="218">
        <v>0</v>
      </c>
      <c r="AL1116" s="470">
        <v>0</v>
      </c>
      <c r="AM1116" s="471">
        <v>0</v>
      </c>
      <c r="AN1116" s="477">
        <v>1546.5566697825732</v>
      </c>
      <c r="AO1116" s="473">
        <v>0.60332411112119988</v>
      </c>
      <c r="AP1116" s="474">
        <v>9.8367310020705853E-2</v>
      </c>
      <c r="AQ1116" s="352"/>
      <c r="AR1116" s="352"/>
      <c r="AS1116" s="352"/>
      <c r="AT1116" s="352"/>
      <c r="AU1116" s="352"/>
      <c r="AV1116" s="352"/>
      <c r="AW1116" s="352" t="s">
        <v>254</v>
      </c>
    </row>
    <row r="1117" spans="2:49" x14ac:dyDescent="0.2">
      <c r="B1117" s="460" t="s">
        <v>2697</v>
      </c>
      <c r="C1117" s="460">
        <v>2121</v>
      </c>
      <c r="D1117" s="460" t="s">
        <v>2292</v>
      </c>
      <c r="E1117" s="460" t="s">
        <v>2274</v>
      </c>
      <c r="F1117" s="460">
        <v>3</v>
      </c>
      <c r="G1117" s="460">
        <v>1</v>
      </c>
      <c r="H1117" s="461" t="s">
        <v>748</v>
      </c>
      <c r="I1117" s="461" t="s">
        <v>765</v>
      </c>
      <c r="J1117" s="461" t="s">
        <v>700</v>
      </c>
      <c r="K1117" s="594"/>
      <c r="L1117" s="594"/>
      <c r="M1117" s="352">
        <v>2000</v>
      </c>
      <c r="N1117" s="352" t="s">
        <v>703</v>
      </c>
      <c r="O1117" s="460">
        <v>2121</v>
      </c>
      <c r="P1117" s="460" t="s">
        <v>1876</v>
      </c>
      <c r="Q1117" s="460" t="s">
        <v>2266</v>
      </c>
      <c r="R1117" s="460">
        <v>2121</v>
      </c>
      <c r="S1117" s="460" t="s">
        <v>2265</v>
      </c>
      <c r="T1117" s="462">
        <v>0.74223365950407583</v>
      </c>
      <c r="U1117" s="460" t="s">
        <v>2274</v>
      </c>
      <c r="V1117" s="475">
        <v>0</v>
      </c>
      <c r="W1117" s="463" t="s">
        <v>2268</v>
      </c>
      <c r="X1117" s="463" t="s">
        <v>2268</v>
      </c>
      <c r="Y1117" s="463" t="s">
        <v>2267</v>
      </c>
      <c r="Z1117" s="463"/>
      <c r="AA1117" s="463"/>
      <c r="AB1117" s="464">
        <v>0</v>
      </c>
      <c r="AC1117" s="465">
        <v>0</v>
      </c>
      <c r="AD1117" s="465">
        <v>0</v>
      </c>
      <c r="AE1117" s="476">
        <v>0</v>
      </c>
      <c r="AF1117" s="467">
        <v>0</v>
      </c>
      <c r="AG1117" s="468">
        <v>0</v>
      </c>
      <c r="AH1117" s="218">
        <v>0</v>
      </c>
      <c r="AI1117" s="470">
        <v>0</v>
      </c>
      <c r="AJ1117" s="471">
        <v>0</v>
      </c>
      <c r="AK1117" s="218">
        <v>0</v>
      </c>
      <c r="AL1117" s="470">
        <v>0</v>
      </c>
      <c r="AM1117" s="471">
        <v>0</v>
      </c>
      <c r="AN1117" s="477">
        <v>498.72598443061156</v>
      </c>
      <c r="AO1117" s="473">
        <v>0.44780746286453188</v>
      </c>
      <c r="AP1117" s="474">
        <v>7.0219017404124479E-2</v>
      </c>
      <c r="AQ1117" s="352"/>
      <c r="AR1117" s="352"/>
      <c r="AS1117" s="352"/>
      <c r="AT1117" s="352"/>
      <c r="AU1117" s="352"/>
      <c r="AV1117" s="352"/>
      <c r="AW1117" s="352" t="s">
        <v>254</v>
      </c>
    </row>
    <row r="1118" spans="2:49" x14ac:dyDescent="0.2">
      <c r="B1118" s="460" t="s">
        <v>2698</v>
      </c>
      <c r="C1118" s="460">
        <v>2121</v>
      </c>
      <c r="D1118" s="460" t="s">
        <v>2293</v>
      </c>
      <c r="E1118" s="460" t="s">
        <v>2277</v>
      </c>
      <c r="F1118" s="460">
        <v>4</v>
      </c>
      <c r="G1118" s="460">
        <v>1</v>
      </c>
      <c r="H1118" s="461" t="s">
        <v>748</v>
      </c>
      <c r="I1118" s="461" t="s">
        <v>765</v>
      </c>
      <c r="J1118" s="461" t="s">
        <v>700</v>
      </c>
      <c r="K1118" s="594"/>
      <c r="L1118" s="594"/>
      <c r="M1118" s="352">
        <v>2000</v>
      </c>
      <c r="N1118" s="352" t="s">
        <v>703</v>
      </c>
      <c r="O1118" s="460">
        <v>2121</v>
      </c>
      <c r="P1118" s="460" t="s">
        <v>1876</v>
      </c>
      <c r="Q1118" s="460" t="s">
        <v>2266</v>
      </c>
      <c r="R1118" s="460">
        <v>2121</v>
      </c>
      <c r="S1118" s="460" t="s">
        <v>2277</v>
      </c>
      <c r="T1118" s="462">
        <v>1</v>
      </c>
      <c r="U1118" s="460" t="s">
        <v>2277</v>
      </c>
      <c r="V1118" s="475">
        <v>0</v>
      </c>
      <c r="W1118" s="463" t="s">
        <v>2268</v>
      </c>
      <c r="X1118" s="463" t="s">
        <v>2268</v>
      </c>
      <c r="Y1118" s="463" t="s">
        <v>2278</v>
      </c>
      <c r="Z1118" s="463"/>
      <c r="AA1118" s="463"/>
      <c r="AB1118" s="464">
        <v>0</v>
      </c>
      <c r="AC1118" s="465">
        <v>0</v>
      </c>
      <c r="AD1118" s="465">
        <v>0</v>
      </c>
      <c r="AE1118" s="476">
        <v>0</v>
      </c>
      <c r="AF1118" s="467">
        <v>0</v>
      </c>
      <c r="AG1118" s="468">
        <v>0</v>
      </c>
      <c r="AH1118" s="218">
        <v>0</v>
      </c>
      <c r="AI1118" s="470">
        <v>0</v>
      </c>
      <c r="AJ1118" s="471">
        <v>0</v>
      </c>
      <c r="AK1118" s="218">
        <v>0</v>
      </c>
      <c r="AL1118" s="470">
        <v>0</v>
      </c>
      <c r="AM1118" s="471">
        <v>0</v>
      </c>
      <c r="AN1118" s="477">
        <v>1.3750312143711503</v>
      </c>
      <c r="AO1118" s="473">
        <v>1.5290224501460171E-3</v>
      </c>
      <c r="AP1118" s="474">
        <v>3.320173515819802E-2</v>
      </c>
      <c r="AQ1118" s="352"/>
      <c r="AR1118" s="352"/>
      <c r="AS1118" s="352"/>
      <c r="AT1118" s="352"/>
      <c r="AU1118" s="352"/>
      <c r="AV1118" s="352"/>
      <c r="AW1118" s="352" t="s">
        <v>254</v>
      </c>
    </row>
    <row r="1119" spans="2:49" x14ac:dyDescent="0.2">
      <c r="B1119" s="460" t="s">
        <v>2699</v>
      </c>
      <c r="C1119" s="460">
        <v>2121</v>
      </c>
      <c r="D1119" s="460" t="s">
        <v>2295</v>
      </c>
      <c r="E1119" s="460" t="s">
        <v>2296</v>
      </c>
      <c r="F1119" s="460">
        <v>1</v>
      </c>
      <c r="G1119" s="460">
        <v>2</v>
      </c>
      <c r="H1119" s="461" t="s">
        <v>700</v>
      </c>
      <c r="I1119" s="461" t="s">
        <v>872</v>
      </c>
      <c r="J1119" s="461" t="s">
        <v>700</v>
      </c>
      <c r="K1119" s="594"/>
      <c r="L1119" s="594"/>
      <c r="M1119" s="352">
        <v>2000</v>
      </c>
      <c r="N1119" s="352" t="s">
        <v>703</v>
      </c>
      <c r="O1119" s="460">
        <v>2121</v>
      </c>
      <c r="P1119" s="460" t="s">
        <v>1876</v>
      </c>
      <c r="Q1119" s="460" t="s">
        <v>2266</v>
      </c>
      <c r="R1119" s="460">
        <v>2121</v>
      </c>
      <c r="S1119" s="460" t="s">
        <v>2296</v>
      </c>
      <c r="T1119" s="462">
        <v>1</v>
      </c>
      <c r="U1119" s="460" t="s">
        <v>2296</v>
      </c>
      <c r="V1119" s="475">
        <v>0</v>
      </c>
      <c r="W1119" s="463" t="s">
        <v>2267</v>
      </c>
      <c r="X1119" s="463" t="s">
        <v>2267</v>
      </c>
      <c r="Y1119" s="463" t="s">
        <v>2268</v>
      </c>
      <c r="Z1119" s="463"/>
      <c r="AA1119" s="463"/>
      <c r="AB1119" s="464">
        <v>153.30181342832006</v>
      </c>
      <c r="AC1119" s="465">
        <v>0.31889432105417648</v>
      </c>
      <c r="AD1119" s="465">
        <v>8.9549301576724982E-3</v>
      </c>
      <c r="AE1119" s="476">
        <v>153.30181342832006</v>
      </c>
      <c r="AF1119" s="467">
        <v>0.31889432105417648</v>
      </c>
      <c r="AG1119" s="468">
        <v>9.9538926832335051E-3</v>
      </c>
      <c r="AH1119" s="218">
        <v>153.30181342832006</v>
      </c>
      <c r="AI1119" s="470">
        <v>0.31889432105417648</v>
      </c>
      <c r="AJ1119" s="471">
        <v>9.1449657156434799E-3</v>
      </c>
      <c r="AK1119" s="218">
        <v>153.30181342832006</v>
      </c>
      <c r="AL1119" s="470">
        <v>0.31889432105417648</v>
      </c>
      <c r="AM1119" s="471">
        <v>9.1449657156434799E-3</v>
      </c>
      <c r="AN1119" s="477">
        <v>0</v>
      </c>
      <c r="AO1119" s="473">
        <v>0</v>
      </c>
      <c r="AP1119" s="474">
        <v>0</v>
      </c>
      <c r="AQ1119" s="352"/>
      <c r="AR1119" s="352"/>
      <c r="AS1119" s="352"/>
      <c r="AT1119" s="352"/>
      <c r="AU1119" s="352"/>
      <c r="AV1119" s="352"/>
      <c r="AW1119" s="352" t="s">
        <v>254</v>
      </c>
    </row>
    <row r="1120" spans="2:49" x14ac:dyDescent="0.2">
      <c r="B1120" s="460" t="s">
        <v>2700</v>
      </c>
      <c r="C1120" s="460">
        <v>2121</v>
      </c>
      <c r="D1120" s="460" t="s">
        <v>2298</v>
      </c>
      <c r="E1120" s="460" t="s">
        <v>2299</v>
      </c>
      <c r="F1120" s="460">
        <v>2</v>
      </c>
      <c r="G1120" s="460">
        <v>2</v>
      </c>
      <c r="H1120" s="461" t="s">
        <v>700</v>
      </c>
      <c r="I1120" s="461" t="s">
        <v>872</v>
      </c>
      <c r="J1120" s="461" t="s">
        <v>700</v>
      </c>
      <c r="K1120" s="594"/>
      <c r="L1120" s="594"/>
      <c r="M1120" s="352">
        <v>2000</v>
      </c>
      <c r="N1120" s="352" t="s">
        <v>703</v>
      </c>
      <c r="O1120" s="460">
        <v>2121</v>
      </c>
      <c r="P1120" s="460" t="s">
        <v>1876</v>
      </c>
      <c r="Q1120" s="460" t="s">
        <v>2266</v>
      </c>
      <c r="R1120" s="460">
        <v>2121</v>
      </c>
      <c r="S1120" s="460" t="s">
        <v>2296</v>
      </c>
      <c r="T1120" s="462">
        <v>0.55517361979372948</v>
      </c>
      <c r="U1120" s="460" t="s">
        <v>2299</v>
      </c>
      <c r="V1120" s="475">
        <v>0</v>
      </c>
      <c r="W1120" s="463" t="s">
        <v>2267</v>
      </c>
      <c r="X1120" s="463" t="s">
        <v>2267</v>
      </c>
      <c r="Y1120" s="463" t="s">
        <v>2268</v>
      </c>
      <c r="Z1120" s="463"/>
      <c r="AA1120" s="463"/>
      <c r="AB1120" s="464">
        <v>50.380359677173644</v>
      </c>
      <c r="AC1120" s="465">
        <v>0.15514841418528044</v>
      </c>
      <c r="AD1120" s="465">
        <v>1.5244060703903819E-2</v>
      </c>
      <c r="AE1120" s="476">
        <v>50.380359677173644</v>
      </c>
      <c r="AF1120" s="467">
        <v>0.15514841418528044</v>
      </c>
      <c r="AG1120" s="468">
        <v>1.7106778665662823E-2</v>
      </c>
      <c r="AH1120" s="218">
        <v>57.489632129316156</v>
      </c>
      <c r="AI1120" s="470">
        <v>0.17704171455131087</v>
      </c>
      <c r="AJ1120" s="471">
        <v>1.3538094268871781E-2</v>
      </c>
      <c r="AK1120" s="218">
        <v>57.489632129316156</v>
      </c>
      <c r="AL1120" s="470">
        <v>0.17704171455131087</v>
      </c>
      <c r="AM1120" s="471">
        <v>1.3538094268871781E-2</v>
      </c>
      <c r="AN1120" s="477">
        <v>0</v>
      </c>
      <c r="AO1120" s="473">
        <v>0</v>
      </c>
      <c r="AP1120" s="474">
        <v>0</v>
      </c>
      <c r="AQ1120" s="352"/>
      <c r="AR1120" s="352"/>
      <c r="AS1120" s="352"/>
      <c r="AT1120" s="352"/>
      <c r="AU1120" s="352"/>
      <c r="AV1120" s="352"/>
      <c r="AW1120" s="352" t="s">
        <v>254</v>
      </c>
    </row>
    <row r="1121" spans="2:49" x14ac:dyDescent="0.2">
      <c r="B1121" s="460" t="s">
        <v>2701</v>
      </c>
      <c r="C1121" s="460">
        <v>2121</v>
      </c>
      <c r="D1121" s="460" t="s">
        <v>2301</v>
      </c>
      <c r="E1121" s="460" t="s">
        <v>2302</v>
      </c>
      <c r="F1121" s="460">
        <v>3</v>
      </c>
      <c r="G1121" s="460">
        <v>2</v>
      </c>
      <c r="H1121" s="461" t="s">
        <v>700</v>
      </c>
      <c r="I1121" s="461" t="s">
        <v>872</v>
      </c>
      <c r="J1121" s="461" t="s">
        <v>700</v>
      </c>
      <c r="K1121" s="594"/>
      <c r="L1121" s="594"/>
      <c r="M1121" s="352">
        <v>2000</v>
      </c>
      <c r="N1121" s="352" t="s">
        <v>703</v>
      </c>
      <c r="O1121" s="460">
        <v>2121</v>
      </c>
      <c r="P1121" s="460" t="s">
        <v>1876</v>
      </c>
      <c r="Q1121" s="460" t="s">
        <v>2266</v>
      </c>
      <c r="R1121" s="460">
        <v>2121</v>
      </c>
      <c r="S1121" s="460" t="s">
        <v>2296</v>
      </c>
      <c r="T1121" s="462">
        <v>0.28481449642268464</v>
      </c>
      <c r="U1121" s="460" t="s">
        <v>2302</v>
      </c>
      <c r="V1121" s="475">
        <v>0</v>
      </c>
      <c r="W1121" s="463" t="s">
        <v>2267</v>
      </c>
      <c r="X1121" s="463" t="s">
        <v>2267</v>
      </c>
      <c r="Y1121" s="463" t="s">
        <v>2268</v>
      </c>
      <c r="Z1121" s="463"/>
      <c r="AA1121" s="463"/>
      <c r="AB1121" s="464">
        <v>3.9736529831121814</v>
      </c>
      <c r="AC1121" s="465">
        <v>1.988569931210598E-2</v>
      </c>
      <c r="AD1121" s="465">
        <v>7.7293028500532834E-3</v>
      </c>
      <c r="AE1121" s="476">
        <v>3.9736529831121814</v>
      </c>
      <c r="AF1121" s="467">
        <v>1.988569931210598E-2</v>
      </c>
      <c r="AG1121" s="468">
        <v>8.7220426618033059E-3</v>
      </c>
      <c r="AH1121" s="218">
        <v>18.14921915821477</v>
      </c>
      <c r="AI1121" s="470">
        <v>9.0825725463099194E-2</v>
      </c>
      <c r="AJ1121" s="471">
        <v>1.8841047834495122E-2</v>
      </c>
      <c r="AK1121" s="218">
        <v>18.14921915821477</v>
      </c>
      <c r="AL1121" s="470">
        <v>9.0825725463099194E-2</v>
      </c>
      <c r="AM1121" s="471">
        <v>1.8841047834495122E-2</v>
      </c>
      <c r="AN1121" s="477">
        <v>0</v>
      </c>
      <c r="AO1121" s="473">
        <v>0</v>
      </c>
      <c r="AP1121" s="474">
        <v>0</v>
      </c>
      <c r="AQ1121" s="352"/>
      <c r="AR1121" s="352"/>
      <c r="AS1121" s="352"/>
      <c r="AT1121" s="352"/>
      <c r="AU1121" s="352"/>
      <c r="AV1121" s="352"/>
      <c r="AW1121" s="352" t="s">
        <v>254</v>
      </c>
    </row>
    <row r="1122" spans="2:49" x14ac:dyDescent="0.2">
      <c r="B1122" s="460" t="s">
        <v>2702</v>
      </c>
      <c r="C1122" s="460">
        <v>2121</v>
      </c>
      <c r="D1122" s="460" t="s">
        <v>2304</v>
      </c>
      <c r="E1122" s="460" t="s">
        <v>2305</v>
      </c>
      <c r="F1122" s="460">
        <v>4</v>
      </c>
      <c r="G1122" s="460">
        <v>2</v>
      </c>
      <c r="H1122" s="461" t="s">
        <v>700</v>
      </c>
      <c r="I1122" s="461" t="s">
        <v>872</v>
      </c>
      <c r="J1122" s="461" t="s">
        <v>700</v>
      </c>
      <c r="K1122" s="594"/>
      <c r="L1122" s="594"/>
      <c r="M1122" s="352">
        <v>2000</v>
      </c>
      <c r="N1122" s="352" t="s">
        <v>703</v>
      </c>
      <c r="O1122" s="460">
        <v>2121</v>
      </c>
      <c r="P1122" s="460" t="s">
        <v>1876</v>
      </c>
      <c r="Q1122" s="460" t="s">
        <v>2266</v>
      </c>
      <c r="R1122" s="460">
        <v>2121</v>
      </c>
      <c r="S1122" s="460" t="s">
        <v>2305</v>
      </c>
      <c r="T1122" s="462">
        <v>1</v>
      </c>
      <c r="U1122" s="460" t="s">
        <v>2305</v>
      </c>
      <c r="V1122" s="475">
        <v>0</v>
      </c>
      <c r="W1122" s="463" t="s">
        <v>2278</v>
      </c>
      <c r="X1122" s="463" t="s">
        <v>2278</v>
      </c>
      <c r="Y1122" s="463" t="s">
        <v>2268</v>
      </c>
      <c r="Z1122" s="463"/>
      <c r="AA1122" s="463"/>
      <c r="AB1122" s="464">
        <v>0</v>
      </c>
      <c r="AC1122" s="465">
        <v>0</v>
      </c>
      <c r="AD1122" s="465">
        <v>0</v>
      </c>
      <c r="AE1122" s="476">
        <v>0</v>
      </c>
      <c r="AF1122" s="467">
        <v>0</v>
      </c>
      <c r="AG1122" s="468">
        <v>0</v>
      </c>
      <c r="AH1122" s="218">
        <v>0</v>
      </c>
      <c r="AI1122" s="470">
        <v>0</v>
      </c>
      <c r="AJ1122" s="471">
        <v>0</v>
      </c>
      <c r="AK1122" s="218">
        <v>0</v>
      </c>
      <c r="AL1122" s="470">
        <v>0</v>
      </c>
      <c r="AM1122" s="471">
        <v>0</v>
      </c>
      <c r="AN1122" s="477">
        <v>0</v>
      </c>
      <c r="AO1122" s="473">
        <v>0</v>
      </c>
      <c r="AP1122" s="474">
        <v>0</v>
      </c>
      <c r="AQ1122" s="352"/>
      <c r="AR1122" s="352"/>
      <c r="AS1122" s="352"/>
      <c r="AT1122" s="352"/>
      <c r="AU1122" s="352"/>
      <c r="AV1122" s="352"/>
      <c r="AW1122" s="352" t="s">
        <v>254</v>
      </c>
    </row>
    <row r="1123" spans="2:49" x14ac:dyDescent="0.2">
      <c r="B1123" s="460" t="s">
        <v>2699</v>
      </c>
      <c r="C1123" s="460">
        <v>2121</v>
      </c>
      <c r="D1123" s="460" t="s">
        <v>2306</v>
      </c>
      <c r="E1123" s="460" t="s">
        <v>2296</v>
      </c>
      <c r="F1123" s="460">
        <v>1</v>
      </c>
      <c r="G1123" s="460">
        <v>2</v>
      </c>
      <c r="H1123" s="461" t="s">
        <v>712</v>
      </c>
      <c r="I1123" s="461" t="s">
        <v>713</v>
      </c>
      <c r="J1123" s="461" t="s">
        <v>712</v>
      </c>
      <c r="K1123" s="594"/>
      <c r="L1123" s="594"/>
      <c r="M1123" s="352">
        <v>2000</v>
      </c>
      <c r="N1123" s="352" t="s">
        <v>703</v>
      </c>
      <c r="O1123" s="460">
        <v>2121</v>
      </c>
      <c r="P1123" s="460" t="s">
        <v>1876</v>
      </c>
      <c r="Q1123" s="460" t="s">
        <v>2280</v>
      </c>
      <c r="R1123" s="460">
        <v>2121</v>
      </c>
      <c r="S1123" s="460" t="s">
        <v>2296</v>
      </c>
      <c r="T1123" s="462">
        <v>1</v>
      </c>
      <c r="U1123" s="460" t="s">
        <v>2296</v>
      </c>
      <c r="V1123" s="475">
        <v>0</v>
      </c>
      <c r="W1123" s="463" t="s">
        <v>713</v>
      </c>
      <c r="X1123" s="463" t="s">
        <v>713</v>
      </c>
      <c r="Y1123" s="463" t="s">
        <v>713</v>
      </c>
      <c r="Z1123" s="463"/>
      <c r="AA1123" s="463"/>
      <c r="AB1123" s="464">
        <v>327.42739153696948</v>
      </c>
      <c r="AC1123" s="465">
        <v>0.68110567894582341</v>
      </c>
      <c r="AD1123" s="465">
        <v>2.8319119387885416E-3</v>
      </c>
      <c r="AE1123" s="476">
        <v>327.42739153696948</v>
      </c>
      <c r="AF1123" s="467">
        <v>0.68110567894582352</v>
      </c>
      <c r="AG1123" s="468">
        <v>2.7904471112499625E-3</v>
      </c>
      <c r="AH1123" s="218">
        <v>327.42739153696948</v>
      </c>
      <c r="AI1123" s="470">
        <v>0.68110567894582352</v>
      </c>
      <c r="AJ1123" s="471">
        <v>2.8232253720165273E-3</v>
      </c>
      <c r="AK1123" s="218">
        <v>327.42739153696948</v>
      </c>
      <c r="AL1123" s="470">
        <v>0.68110567894582352</v>
      </c>
      <c r="AM1123" s="471">
        <v>2.8232253720165273E-3</v>
      </c>
      <c r="AN1123" s="477">
        <v>327.42739153696948</v>
      </c>
      <c r="AO1123" s="473">
        <v>0.68110567894582352</v>
      </c>
      <c r="AP1123" s="474">
        <v>2.8225325136451442E-3</v>
      </c>
      <c r="AQ1123" s="352"/>
      <c r="AR1123" s="352"/>
      <c r="AS1123" s="352"/>
      <c r="AT1123" s="352"/>
      <c r="AU1123" s="352"/>
      <c r="AV1123" s="352"/>
      <c r="AW1123" s="352" t="s">
        <v>254</v>
      </c>
    </row>
    <row r="1124" spans="2:49" x14ac:dyDescent="0.2">
      <c r="B1124" s="460" t="s">
        <v>2700</v>
      </c>
      <c r="C1124" s="460">
        <v>2121</v>
      </c>
      <c r="D1124" s="460" t="s">
        <v>2307</v>
      </c>
      <c r="E1124" s="460" t="s">
        <v>2299</v>
      </c>
      <c r="F1124" s="460">
        <v>2</v>
      </c>
      <c r="G1124" s="460">
        <v>2</v>
      </c>
      <c r="H1124" s="461" t="s">
        <v>712</v>
      </c>
      <c r="I1124" s="461" t="s">
        <v>713</v>
      </c>
      <c r="J1124" s="461" t="s">
        <v>712</v>
      </c>
      <c r="K1124" s="594"/>
      <c r="L1124" s="594"/>
      <c r="M1124" s="352">
        <v>2000</v>
      </c>
      <c r="N1124" s="352" t="s">
        <v>703</v>
      </c>
      <c r="O1124" s="460">
        <v>2121</v>
      </c>
      <c r="P1124" s="460" t="s">
        <v>1876</v>
      </c>
      <c r="Q1124" s="460" t="s">
        <v>2280</v>
      </c>
      <c r="R1124" s="460">
        <v>2121</v>
      </c>
      <c r="S1124" s="460" t="s">
        <v>2296</v>
      </c>
      <c r="T1124" s="462">
        <v>0.55517361979372948</v>
      </c>
      <c r="U1124" s="460" t="s">
        <v>2299</v>
      </c>
      <c r="V1124" s="475">
        <v>0</v>
      </c>
      <c r="W1124" s="463" t="s">
        <v>713</v>
      </c>
      <c r="X1124" s="463" t="s">
        <v>713</v>
      </c>
      <c r="Y1124" s="463" t="s">
        <v>713</v>
      </c>
      <c r="Z1124" s="463"/>
      <c r="AA1124" s="463"/>
      <c r="AB1124" s="464">
        <v>274.34329245766997</v>
      </c>
      <c r="AC1124" s="465">
        <v>0.84485158581471953</v>
      </c>
      <c r="AD1124" s="465">
        <v>3.1732609734302477E-3</v>
      </c>
      <c r="AE1124" s="476">
        <v>274.34329245766997</v>
      </c>
      <c r="AF1124" s="467">
        <v>0.84485158581471953</v>
      </c>
      <c r="AG1124" s="468">
        <v>3.1601071287333149E-3</v>
      </c>
      <c r="AH1124" s="218">
        <v>267.23402000552744</v>
      </c>
      <c r="AI1124" s="470">
        <v>0.8229582854486891</v>
      </c>
      <c r="AJ1124" s="471">
        <v>3.1308873931041883E-3</v>
      </c>
      <c r="AK1124" s="218">
        <v>267.23402000552744</v>
      </c>
      <c r="AL1124" s="470">
        <v>0.8229582854486891</v>
      </c>
      <c r="AM1124" s="471">
        <v>3.1308873931041883E-3</v>
      </c>
      <c r="AN1124" s="477">
        <v>267.23402000552744</v>
      </c>
      <c r="AO1124" s="473">
        <v>0.8229582854486891</v>
      </c>
      <c r="AP1124" s="474">
        <v>3.1304921664710933E-3</v>
      </c>
      <c r="AQ1124" s="352"/>
      <c r="AR1124" s="352"/>
      <c r="AS1124" s="352"/>
      <c r="AT1124" s="352"/>
      <c r="AU1124" s="352"/>
      <c r="AV1124" s="352"/>
      <c r="AW1124" s="352" t="s">
        <v>254</v>
      </c>
    </row>
    <row r="1125" spans="2:49" x14ac:dyDescent="0.2">
      <c r="B1125" s="460" t="s">
        <v>2701</v>
      </c>
      <c r="C1125" s="460">
        <v>2121</v>
      </c>
      <c r="D1125" s="460" t="s">
        <v>2308</v>
      </c>
      <c r="E1125" s="460" t="s">
        <v>2302</v>
      </c>
      <c r="F1125" s="460">
        <v>3</v>
      </c>
      <c r="G1125" s="460">
        <v>2</v>
      </c>
      <c r="H1125" s="461" t="s">
        <v>712</v>
      </c>
      <c r="I1125" s="461" t="s">
        <v>713</v>
      </c>
      <c r="J1125" s="461" t="s">
        <v>712</v>
      </c>
      <c r="K1125" s="594"/>
      <c r="L1125" s="594"/>
      <c r="M1125" s="352">
        <v>2000</v>
      </c>
      <c r="N1125" s="352" t="s">
        <v>703</v>
      </c>
      <c r="O1125" s="460">
        <v>2121</v>
      </c>
      <c r="P1125" s="460" t="s">
        <v>1876</v>
      </c>
      <c r="Q1125" s="460" t="s">
        <v>2280</v>
      </c>
      <c r="R1125" s="460">
        <v>2121</v>
      </c>
      <c r="S1125" s="460" t="s">
        <v>2296</v>
      </c>
      <c r="T1125" s="462">
        <v>0.28481449642268464</v>
      </c>
      <c r="U1125" s="460" t="s">
        <v>2302</v>
      </c>
      <c r="V1125" s="475">
        <v>0</v>
      </c>
      <c r="W1125" s="463" t="s">
        <v>713</v>
      </c>
      <c r="X1125" s="463" t="s">
        <v>713</v>
      </c>
      <c r="Y1125" s="463" t="s">
        <v>713</v>
      </c>
      <c r="Z1125" s="463"/>
      <c r="AA1125" s="463"/>
      <c r="AB1125" s="464">
        <v>195.85100094259153</v>
      </c>
      <c r="AC1125" s="465">
        <v>0.98011430068789407</v>
      </c>
      <c r="AD1125" s="465">
        <v>5.6968162053391879E-3</v>
      </c>
      <c r="AE1125" s="476">
        <v>195.85100094259153</v>
      </c>
      <c r="AF1125" s="467">
        <v>0.98011430068789407</v>
      </c>
      <c r="AG1125" s="468">
        <v>5.6871363937895554E-3</v>
      </c>
      <c r="AH1125" s="218">
        <v>181.67543476748892</v>
      </c>
      <c r="AI1125" s="470">
        <v>0.90917427453690081</v>
      </c>
      <c r="AJ1125" s="471">
        <v>5.3544427577871014E-3</v>
      </c>
      <c r="AK1125" s="218">
        <v>181.67543476748892</v>
      </c>
      <c r="AL1125" s="470">
        <v>0.90917427453690081</v>
      </c>
      <c r="AM1125" s="471">
        <v>5.3544427577871014E-3</v>
      </c>
      <c r="AN1125" s="477">
        <v>181.67543476748892</v>
      </c>
      <c r="AO1125" s="473">
        <v>0.90917427453690081</v>
      </c>
      <c r="AP1125" s="474">
        <v>5.3590987430969317E-3</v>
      </c>
      <c r="AQ1125" s="352"/>
      <c r="AR1125" s="352"/>
      <c r="AS1125" s="352"/>
      <c r="AT1125" s="352"/>
      <c r="AU1125" s="352"/>
      <c r="AV1125" s="352"/>
      <c r="AW1125" s="352" t="s">
        <v>254</v>
      </c>
    </row>
    <row r="1126" spans="2:49" x14ac:dyDescent="0.2">
      <c r="B1126" s="460" t="s">
        <v>2702</v>
      </c>
      <c r="C1126" s="460">
        <v>2121</v>
      </c>
      <c r="D1126" s="460" t="s">
        <v>2309</v>
      </c>
      <c r="E1126" s="460" t="s">
        <v>2305</v>
      </c>
      <c r="F1126" s="460">
        <v>4</v>
      </c>
      <c r="G1126" s="460">
        <v>2</v>
      </c>
      <c r="H1126" s="461" t="s">
        <v>712</v>
      </c>
      <c r="I1126" s="461" t="s">
        <v>713</v>
      </c>
      <c r="J1126" s="461" t="s">
        <v>712</v>
      </c>
      <c r="K1126" s="594"/>
      <c r="L1126" s="594"/>
      <c r="M1126" s="352">
        <v>2000</v>
      </c>
      <c r="N1126" s="352" t="s">
        <v>703</v>
      </c>
      <c r="O1126" s="460">
        <v>2121</v>
      </c>
      <c r="P1126" s="460" t="s">
        <v>1876</v>
      </c>
      <c r="Q1126" s="460" t="s">
        <v>2280</v>
      </c>
      <c r="R1126" s="460">
        <v>2121</v>
      </c>
      <c r="S1126" s="460" t="s">
        <v>2305</v>
      </c>
      <c r="T1126" s="462">
        <v>1</v>
      </c>
      <c r="U1126" s="460" t="s">
        <v>2305</v>
      </c>
      <c r="V1126" s="475">
        <v>0</v>
      </c>
      <c r="W1126" s="463" t="s">
        <v>713</v>
      </c>
      <c r="X1126" s="463" t="s">
        <v>713</v>
      </c>
      <c r="Y1126" s="463" t="s">
        <v>713</v>
      </c>
      <c r="Z1126" s="463"/>
      <c r="AA1126" s="463"/>
      <c r="AB1126" s="464">
        <v>222.05574633220493</v>
      </c>
      <c r="AC1126" s="465">
        <v>1</v>
      </c>
      <c r="AD1126" s="465">
        <v>5.6712820925421724E-3</v>
      </c>
      <c r="AE1126" s="476">
        <v>222.05574633220493</v>
      </c>
      <c r="AF1126" s="467">
        <v>1</v>
      </c>
      <c r="AG1126" s="468">
        <v>5.6711001783054295E-3</v>
      </c>
      <c r="AH1126" s="218">
        <v>222.05574633220493</v>
      </c>
      <c r="AI1126" s="470">
        <v>1</v>
      </c>
      <c r="AJ1126" s="471">
        <v>5.6711070433421579E-3</v>
      </c>
      <c r="AK1126" s="218">
        <v>222.05574633220493</v>
      </c>
      <c r="AL1126" s="470">
        <v>1</v>
      </c>
      <c r="AM1126" s="471">
        <v>5.6711070433421579E-3</v>
      </c>
      <c r="AN1126" s="477">
        <v>222.05574633220493</v>
      </c>
      <c r="AO1126" s="473">
        <v>1</v>
      </c>
      <c r="AP1126" s="474">
        <v>5.6711139802338821E-3</v>
      </c>
      <c r="AQ1126" s="352"/>
      <c r="AR1126" s="352"/>
      <c r="AS1126" s="352"/>
      <c r="AT1126" s="352"/>
      <c r="AU1126" s="352"/>
      <c r="AV1126" s="352"/>
      <c r="AW1126" s="352" t="s">
        <v>254</v>
      </c>
    </row>
    <row r="1127" spans="2:49" x14ac:dyDescent="0.2">
      <c r="B1127" s="460" t="s">
        <v>2699</v>
      </c>
      <c r="C1127" s="460">
        <v>2121</v>
      </c>
      <c r="D1127" s="460" t="s">
        <v>2310</v>
      </c>
      <c r="E1127" s="460" t="s">
        <v>2296</v>
      </c>
      <c r="F1127" s="460">
        <v>1</v>
      </c>
      <c r="G1127" s="460">
        <v>2</v>
      </c>
      <c r="H1127" s="461" t="s">
        <v>746</v>
      </c>
      <c r="I1127" s="461" t="s">
        <v>762</v>
      </c>
      <c r="J1127" s="461" t="s">
        <v>700</v>
      </c>
      <c r="K1127" s="594"/>
      <c r="L1127" s="594"/>
      <c r="M1127" s="352">
        <v>2000</v>
      </c>
      <c r="N1127" s="352" t="s">
        <v>703</v>
      </c>
      <c r="O1127" s="460">
        <v>2121</v>
      </c>
      <c r="P1127" s="460" t="s">
        <v>1876</v>
      </c>
      <c r="Q1127" s="460" t="s">
        <v>2289</v>
      </c>
      <c r="R1127" s="460">
        <v>2121</v>
      </c>
      <c r="S1127" s="460" t="s">
        <v>2296</v>
      </c>
      <c r="T1127" s="462">
        <v>1</v>
      </c>
      <c r="U1127" s="460" t="s">
        <v>2296</v>
      </c>
      <c r="V1127" s="475">
        <v>0</v>
      </c>
      <c r="W1127" s="463" t="s">
        <v>2268</v>
      </c>
      <c r="X1127" s="463" t="s">
        <v>2268</v>
      </c>
      <c r="Y1127" s="463" t="s">
        <v>2290</v>
      </c>
      <c r="Z1127" s="463"/>
      <c r="AA1127" s="463"/>
      <c r="AB1127" s="464">
        <v>0</v>
      </c>
      <c r="AC1127" s="465">
        <v>0</v>
      </c>
      <c r="AD1127" s="465">
        <v>0</v>
      </c>
      <c r="AE1127" s="476">
        <v>0</v>
      </c>
      <c r="AF1127" s="467">
        <v>0</v>
      </c>
      <c r="AG1127" s="468">
        <v>0</v>
      </c>
      <c r="AH1127" s="218">
        <v>0</v>
      </c>
      <c r="AI1127" s="470">
        <v>0</v>
      </c>
      <c r="AJ1127" s="471">
        <v>0</v>
      </c>
      <c r="AK1127" s="218">
        <v>0</v>
      </c>
      <c r="AL1127" s="470">
        <v>0</v>
      </c>
      <c r="AM1127" s="471">
        <v>0</v>
      </c>
      <c r="AN1127" s="477">
        <v>0</v>
      </c>
      <c r="AO1127" s="473">
        <v>0</v>
      </c>
      <c r="AP1127" s="474">
        <v>0</v>
      </c>
      <c r="AQ1127" s="352"/>
      <c r="AR1127" s="352"/>
      <c r="AS1127" s="352"/>
      <c r="AT1127" s="352"/>
      <c r="AU1127" s="352"/>
      <c r="AV1127" s="352"/>
      <c r="AW1127" s="352" t="s">
        <v>254</v>
      </c>
    </row>
    <row r="1128" spans="2:49" x14ac:dyDescent="0.2">
      <c r="B1128" s="460" t="s">
        <v>2700</v>
      </c>
      <c r="C1128" s="460">
        <v>2121</v>
      </c>
      <c r="D1128" s="460" t="s">
        <v>2311</v>
      </c>
      <c r="E1128" s="460" t="s">
        <v>2299</v>
      </c>
      <c r="F1128" s="460">
        <v>2</v>
      </c>
      <c r="G1128" s="460">
        <v>2</v>
      </c>
      <c r="H1128" s="461" t="s">
        <v>746</v>
      </c>
      <c r="I1128" s="461" t="s">
        <v>762</v>
      </c>
      <c r="J1128" s="461" t="s">
        <v>700</v>
      </c>
      <c r="K1128" s="594"/>
      <c r="L1128" s="594"/>
      <c r="M1128" s="352">
        <v>2000</v>
      </c>
      <c r="N1128" s="352" t="s">
        <v>703</v>
      </c>
      <c r="O1128" s="460">
        <v>2121</v>
      </c>
      <c r="P1128" s="460" t="s">
        <v>1876</v>
      </c>
      <c r="Q1128" s="460" t="s">
        <v>2289</v>
      </c>
      <c r="R1128" s="460">
        <v>2121</v>
      </c>
      <c r="S1128" s="460" t="s">
        <v>2296</v>
      </c>
      <c r="T1128" s="462">
        <v>0.55517361979372948</v>
      </c>
      <c r="U1128" s="460" t="s">
        <v>2299</v>
      </c>
      <c r="V1128" s="475">
        <v>0</v>
      </c>
      <c r="W1128" s="463" t="s">
        <v>2268</v>
      </c>
      <c r="X1128" s="463" t="s">
        <v>2268</v>
      </c>
      <c r="Y1128" s="463" t="s">
        <v>2290</v>
      </c>
      <c r="Z1128" s="463"/>
      <c r="AA1128" s="463"/>
      <c r="AB1128" s="464">
        <v>0</v>
      </c>
      <c r="AC1128" s="465">
        <v>0</v>
      </c>
      <c r="AD1128" s="465">
        <v>0</v>
      </c>
      <c r="AE1128" s="476">
        <v>0</v>
      </c>
      <c r="AF1128" s="467">
        <v>0</v>
      </c>
      <c r="AG1128" s="468">
        <v>0</v>
      </c>
      <c r="AH1128" s="218">
        <v>0</v>
      </c>
      <c r="AI1128" s="470">
        <v>0</v>
      </c>
      <c r="AJ1128" s="471">
        <v>0</v>
      </c>
      <c r="AK1128" s="218">
        <v>0</v>
      </c>
      <c r="AL1128" s="470">
        <v>0</v>
      </c>
      <c r="AM1128" s="471">
        <v>0</v>
      </c>
      <c r="AN1128" s="477">
        <v>0</v>
      </c>
      <c r="AO1128" s="473">
        <v>0</v>
      </c>
      <c r="AP1128" s="474">
        <v>0</v>
      </c>
      <c r="AQ1128" s="352"/>
      <c r="AR1128" s="352"/>
      <c r="AS1128" s="352"/>
      <c r="AT1128" s="352"/>
      <c r="AU1128" s="352"/>
      <c r="AV1128" s="352"/>
      <c r="AW1128" s="352" t="s">
        <v>254</v>
      </c>
    </row>
    <row r="1129" spans="2:49" x14ac:dyDescent="0.2">
      <c r="B1129" s="460" t="s">
        <v>2701</v>
      </c>
      <c r="C1129" s="460">
        <v>2121</v>
      </c>
      <c r="D1129" s="460" t="s">
        <v>2312</v>
      </c>
      <c r="E1129" s="460" t="s">
        <v>2302</v>
      </c>
      <c r="F1129" s="460">
        <v>3</v>
      </c>
      <c r="G1129" s="460">
        <v>2</v>
      </c>
      <c r="H1129" s="461" t="s">
        <v>746</v>
      </c>
      <c r="I1129" s="461" t="s">
        <v>762</v>
      </c>
      <c r="J1129" s="461" t="s">
        <v>700</v>
      </c>
      <c r="K1129" s="594"/>
      <c r="L1129" s="594"/>
      <c r="M1129" s="352">
        <v>2000</v>
      </c>
      <c r="N1129" s="352" t="s">
        <v>703</v>
      </c>
      <c r="O1129" s="460">
        <v>2121</v>
      </c>
      <c r="P1129" s="460" t="s">
        <v>1876</v>
      </c>
      <c r="Q1129" s="460" t="s">
        <v>2289</v>
      </c>
      <c r="R1129" s="460">
        <v>2121</v>
      </c>
      <c r="S1129" s="460" t="s">
        <v>2296</v>
      </c>
      <c r="T1129" s="462">
        <v>0.28481449642268464</v>
      </c>
      <c r="U1129" s="460" t="s">
        <v>2302</v>
      </c>
      <c r="V1129" s="475">
        <v>0</v>
      </c>
      <c r="W1129" s="463" t="s">
        <v>2268</v>
      </c>
      <c r="X1129" s="463" t="s">
        <v>2268</v>
      </c>
      <c r="Y1129" s="463" t="s">
        <v>2290</v>
      </c>
      <c r="Z1129" s="463"/>
      <c r="AA1129" s="463"/>
      <c r="AB1129" s="464">
        <v>0</v>
      </c>
      <c r="AC1129" s="465">
        <v>0</v>
      </c>
      <c r="AD1129" s="465">
        <v>0</v>
      </c>
      <c r="AE1129" s="476">
        <v>0</v>
      </c>
      <c r="AF1129" s="467">
        <v>0</v>
      </c>
      <c r="AG1129" s="468">
        <v>0</v>
      </c>
      <c r="AH1129" s="218">
        <v>0</v>
      </c>
      <c r="AI1129" s="470">
        <v>0</v>
      </c>
      <c r="AJ1129" s="471">
        <v>0</v>
      </c>
      <c r="AK1129" s="218">
        <v>0</v>
      </c>
      <c r="AL1129" s="470">
        <v>0</v>
      </c>
      <c r="AM1129" s="471">
        <v>0</v>
      </c>
      <c r="AN1129" s="477">
        <v>0</v>
      </c>
      <c r="AO1129" s="473">
        <v>0</v>
      </c>
      <c r="AP1129" s="474">
        <v>0</v>
      </c>
      <c r="AQ1129" s="352"/>
      <c r="AR1129" s="352"/>
      <c r="AS1129" s="352"/>
      <c r="AT1129" s="352"/>
      <c r="AU1129" s="352"/>
      <c r="AV1129" s="352"/>
      <c r="AW1129" s="352" t="s">
        <v>254</v>
      </c>
    </row>
    <row r="1130" spans="2:49" x14ac:dyDescent="0.2">
      <c r="B1130" s="460" t="s">
        <v>2702</v>
      </c>
      <c r="C1130" s="460">
        <v>2121</v>
      </c>
      <c r="D1130" s="460" t="s">
        <v>2313</v>
      </c>
      <c r="E1130" s="460" t="s">
        <v>2305</v>
      </c>
      <c r="F1130" s="460">
        <v>4</v>
      </c>
      <c r="G1130" s="460">
        <v>2</v>
      </c>
      <c r="H1130" s="461" t="s">
        <v>746</v>
      </c>
      <c r="I1130" s="461" t="s">
        <v>762</v>
      </c>
      <c r="J1130" s="461" t="s">
        <v>700</v>
      </c>
      <c r="K1130" s="594"/>
      <c r="L1130" s="594"/>
      <c r="M1130" s="352">
        <v>2000</v>
      </c>
      <c r="N1130" s="352" t="s">
        <v>703</v>
      </c>
      <c r="O1130" s="460">
        <v>2121</v>
      </c>
      <c r="P1130" s="460" t="s">
        <v>1876</v>
      </c>
      <c r="Q1130" s="460" t="s">
        <v>2289</v>
      </c>
      <c r="R1130" s="460">
        <v>2121</v>
      </c>
      <c r="S1130" s="460" t="s">
        <v>2305</v>
      </c>
      <c r="T1130" s="462">
        <v>1</v>
      </c>
      <c r="U1130" s="460" t="s">
        <v>2305</v>
      </c>
      <c r="V1130" s="475">
        <v>0</v>
      </c>
      <c r="W1130" s="463" t="s">
        <v>2268</v>
      </c>
      <c r="X1130" s="463" t="s">
        <v>2268</v>
      </c>
      <c r="Y1130" s="463" t="s">
        <v>2290</v>
      </c>
      <c r="Z1130" s="463"/>
      <c r="AA1130" s="463"/>
      <c r="AB1130" s="464">
        <v>0</v>
      </c>
      <c r="AC1130" s="465">
        <v>0</v>
      </c>
      <c r="AD1130" s="465">
        <v>0</v>
      </c>
      <c r="AE1130" s="476">
        <v>0</v>
      </c>
      <c r="AF1130" s="467">
        <v>0</v>
      </c>
      <c r="AG1130" s="468">
        <v>0</v>
      </c>
      <c r="AH1130" s="218">
        <v>0</v>
      </c>
      <c r="AI1130" s="470">
        <v>0</v>
      </c>
      <c r="AJ1130" s="471">
        <v>0</v>
      </c>
      <c r="AK1130" s="218">
        <v>0</v>
      </c>
      <c r="AL1130" s="470">
        <v>0</v>
      </c>
      <c r="AM1130" s="471">
        <v>0</v>
      </c>
      <c r="AN1130" s="477">
        <v>0</v>
      </c>
      <c r="AO1130" s="473">
        <v>0</v>
      </c>
      <c r="AP1130" s="474">
        <v>0</v>
      </c>
      <c r="AQ1130" s="352"/>
      <c r="AR1130" s="352"/>
      <c r="AS1130" s="352"/>
      <c r="AT1130" s="352"/>
      <c r="AU1130" s="352"/>
      <c r="AV1130" s="352"/>
      <c r="AW1130" s="352" t="s">
        <v>254</v>
      </c>
    </row>
    <row r="1131" spans="2:49" x14ac:dyDescent="0.2">
      <c r="B1131" s="460" t="s">
        <v>2699</v>
      </c>
      <c r="C1131" s="460">
        <v>2121</v>
      </c>
      <c r="D1131" s="460" t="s">
        <v>2314</v>
      </c>
      <c r="E1131" s="460" t="s">
        <v>2296</v>
      </c>
      <c r="F1131" s="460">
        <v>1</v>
      </c>
      <c r="G1131" s="460">
        <v>2</v>
      </c>
      <c r="H1131" s="461" t="s">
        <v>748</v>
      </c>
      <c r="I1131" s="461" t="s">
        <v>765</v>
      </c>
      <c r="J1131" s="461" t="s">
        <v>700</v>
      </c>
      <c r="K1131" s="594"/>
      <c r="L1131" s="594"/>
      <c r="M1131" s="352">
        <v>2000</v>
      </c>
      <c r="N1131" s="352" t="s">
        <v>703</v>
      </c>
      <c r="O1131" s="460">
        <v>2121</v>
      </c>
      <c r="P1131" s="460" t="s">
        <v>1876</v>
      </c>
      <c r="Q1131" s="460" t="s">
        <v>2266</v>
      </c>
      <c r="R1131" s="460">
        <v>2121</v>
      </c>
      <c r="S1131" s="460" t="s">
        <v>2296</v>
      </c>
      <c r="T1131" s="462">
        <v>1</v>
      </c>
      <c r="U1131" s="460" t="s">
        <v>2296</v>
      </c>
      <c r="V1131" s="475">
        <v>0</v>
      </c>
      <c r="W1131" s="463" t="s">
        <v>2268</v>
      </c>
      <c r="X1131" s="463" t="s">
        <v>2268</v>
      </c>
      <c r="Y1131" s="463" t="s">
        <v>2267</v>
      </c>
      <c r="Z1131" s="463"/>
      <c r="AA1131" s="463"/>
      <c r="AB1131" s="464">
        <v>0</v>
      </c>
      <c r="AC1131" s="465">
        <v>0</v>
      </c>
      <c r="AD1131" s="465">
        <v>0</v>
      </c>
      <c r="AE1131" s="476">
        <v>0</v>
      </c>
      <c r="AF1131" s="467">
        <v>0</v>
      </c>
      <c r="AG1131" s="468">
        <v>0</v>
      </c>
      <c r="AH1131" s="218">
        <v>0</v>
      </c>
      <c r="AI1131" s="470">
        <v>0</v>
      </c>
      <c r="AJ1131" s="471">
        <v>0</v>
      </c>
      <c r="AK1131" s="218">
        <v>0</v>
      </c>
      <c r="AL1131" s="470">
        <v>0</v>
      </c>
      <c r="AM1131" s="471">
        <v>0</v>
      </c>
      <c r="AN1131" s="477">
        <v>153.30181342832006</v>
      </c>
      <c r="AO1131" s="473">
        <v>0.31889432105417648</v>
      </c>
      <c r="AP1131" s="474">
        <v>4.6831604141075338E-2</v>
      </c>
      <c r="AQ1131" s="352"/>
      <c r="AR1131" s="352"/>
      <c r="AS1131" s="352"/>
      <c r="AT1131" s="352"/>
      <c r="AU1131" s="352"/>
      <c r="AV1131" s="352"/>
      <c r="AW1131" s="352" t="s">
        <v>254</v>
      </c>
    </row>
    <row r="1132" spans="2:49" x14ac:dyDescent="0.2">
      <c r="B1132" s="460" t="s">
        <v>2700</v>
      </c>
      <c r="C1132" s="460">
        <v>2121</v>
      </c>
      <c r="D1132" s="460" t="s">
        <v>2315</v>
      </c>
      <c r="E1132" s="460" t="s">
        <v>2299</v>
      </c>
      <c r="F1132" s="460">
        <v>2</v>
      </c>
      <c r="G1132" s="460">
        <v>2</v>
      </c>
      <c r="H1132" s="461" t="s">
        <v>748</v>
      </c>
      <c r="I1132" s="461" t="s">
        <v>765</v>
      </c>
      <c r="J1132" s="461" t="s">
        <v>700</v>
      </c>
      <c r="K1132" s="594"/>
      <c r="L1132" s="594"/>
      <c r="M1132" s="352">
        <v>2000</v>
      </c>
      <c r="N1132" s="352" t="s">
        <v>703</v>
      </c>
      <c r="O1132" s="460">
        <v>2121</v>
      </c>
      <c r="P1132" s="460" t="s">
        <v>1876</v>
      </c>
      <c r="Q1132" s="460" t="s">
        <v>2266</v>
      </c>
      <c r="R1132" s="460">
        <v>2121</v>
      </c>
      <c r="S1132" s="460" t="s">
        <v>2296</v>
      </c>
      <c r="T1132" s="462">
        <v>0.55517361979372948</v>
      </c>
      <c r="U1132" s="460" t="s">
        <v>2299</v>
      </c>
      <c r="V1132" s="475">
        <v>0</v>
      </c>
      <c r="W1132" s="463" t="s">
        <v>2268</v>
      </c>
      <c r="X1132" s="463" t="s">
        <v>2268</v>
      </c>
      <c r="Y1132" s="463" t="s">
        <v>2267</v>
      </c>
      <c r="Z1132" s="463"/>
      <c r="AA1132" s="463"/>
      <c r="AB1132" s="464">
        <v>0</v>
      </c>
      <c r="AC1132" s="465">
        <v>0</v>
      </c>
      <c r="AD1132" s="465">
        <v>0</v>
      </c>
      <c r="AE1132" s="476">
        <v>0</v>
      </c>
      <c r="AF1132" s="467">
        <v>0</v>
      </c>
      <c r="AG1132" s="468">
        <v>0</v>
      </c>
      <c r="AH1132" s="218">
        <v>0</v>
      </c>
      <c r="AI1132" s="470">
        <v>0</v>
      </c>
      <c r="AJ1132" s="471">
        <v>0</v>
      </c>
      <c r="AK1132" s="218">
        <v>0</v>
      </c>
      <c r="AL1132" s="470">
        <v>0</v>
      </c>
      <c r="AM1132" s="471">
        <v>0</v>
      </c>
      <c r="AN1132" s="477">
        <v>57.489632129316156</v>
      </c>
      <c r="AO1132" s="473">
        <v>0.17704171455131087</v>
      </c>
      <c r="AP1132" s="474">
        <v>5.3263115458922601E-2</v>
      </c>
      <c r="AQ1132" s="352"/>
      <c r="AR1132" s="352"/>
      <c r="AS1132" s="352"/>
      <c r="AT1132" s="352"/>
      <c r="AU1132" s="352"/>
      <c r="AV1132" s="352"/>
      <c r="AW1132" s="352" t="s">
        <v>254</v>
      </c>
    </row>
    <row r="1133" spans="2:49" x14ac:dyDescent="0.2">
      <c r="B1133" s="460" t="s">
        <v>2701</v>
      </c>
      <c r="C1133" s="460">
        <v>2121</v>
      </c>
      <c r="D1133" s="460" t="s">
        <v>2316</v>
      </c>
      <c r="E1133" s="460" t="s">
        <v>2302</v>
      </c>
      <c r="F1133" s="460">
        <v>3</v>
      </c>
      <c r="G1133" s="460">
        <v>2</v>
      </c>
      <c r="H1133" s="461" t="s">
        <v>748</v>
      </c>
      <c r="I1133" s="461" t="s">
        <v>765</v>
      </c>
      <c r="J1133" s="461" t="s">
        <v>700</v>
      </c>
      <c r="K1133" s="594"/>
      <c r="L1133" s="594"/>
      <c r="M1133" s="352">
        <v>2000</v>
      </c>
      <c r="N1133" s="352" t="s">
        <v>703</v>
      </c>
      <c r="O1133" s="460">
        <v>2121</v>
      </c>
      <c r="P1133" s="460" t="s">
        <v>1876</v>
      </c>
      <c r="Q1133" s="460" t="s">
        <v>2266</v>
      </c>
      <c r="R1133" s="460">
        <v>2121</v>
      </c>
      <c r="S1133" s="460" t="s">
        <v>2296</v>
      </c>
      <c r="T1133" s="462">
        <v>0.28481449642268464</v>
      </c>
      <c r="U1133" s="460" t="s">
        <v>2302</v>
      </c>
      <c r="V1133" s="475">
        <v>0</v>
      </c>
      <c r="W1133" s="463" t="s">
        <v>2268</v>
      </c>
      <c r="X1133" s="463" t="s">
        <v>2268</v>
      </c>
      <c r="Y1133" s="463" t="s">
        <v>2267</v>
      </c>
      <c r="Z1133" s="463"/>
      <c r="AA1133" s="463"/>
      <c r="AB1133" s="464">
        <v>0</v>
      </c>
      <c r="AC1133" s="465">
        <v>0</v>
      </c>
      <c r="AD1133" s="465">
        <v>0</v>
      </c>
      <c r="AE1133" s="476">
        <v>0</v>
      </c>
      <c r="AF1133" s="467">
        <v>0</v>
      </c>
      <c r="AG1133" s="468">
        <v>0</v>
      </c>
      <c r="AH1133" s="218">
        <v>0</v>
      </c>
      <c r="AI1133" s="470">
        <v>0</v>
      </c>
      <c r="AJ1133" s="471">
        <v>0</v>
      </c>
      <c r="AK1133" s="218">
        <v>0</v>
      </c>
      <c r="AL1133" s="470">
        <v>0</v>
      </c>
      <c r="AM1133" s="471">
        <v>0</v>
      </c>
      <c r="AN1133" s="477">
        <v>18.14921915821477</v>
      </c>
      <c r="AO1133" s="473">
        <v>9.0825725463099194E-2</v>
      </c>
      <c r="AP1133" s="474">
        <v>7.7659303605414398E-2</v>
      </c>
      <c r="AQ1133" s="352"/>
      <c r="AR1133" s="352"/>
      <c r="AS1133" s="352"/>
      <c r="AT1133" s="352"/>
      <c r="AU1133" s="352"/>
      <c r="AV1133" s="352"/>
      <c r="AW1133" s="352" t="s">
        <v>254</v>
      </c>
    </row>
    <row r="1134" spans="2:49" x14ac:dyDescent="0.2">
      <c r="B1134" s="460" t="s">
        <v>2702</v>
      </c>
      <c r="C1134" s="460">
        <v>2121</v>
      </c>
      <c r="D1134" s="460" t="s">
        <v>2317</v>
      </c>
      <c r="E1134" s="460" t="s">
        <v>2305</v>
      </c>
      <c r="F1134" s="460">
        <v>4</v>
      </c>
      <c r="G1134" s="460">
        <v>2</v>
      </c>
      <c r="H1134" s="461" t="s">
        <v>748</v>
      </c>
      <c r="I1134" s="461" t="s">
        <v>765</v>
      </c>
      <c r="J1134" s="461" t="s">
        <v>700</v>
      </c>
      <c r="K1134" s="594"/>
      <c r="L1134" s="594"/>
      <c r="M1134" s="352">
        <v>2000</v>
      </c>
      <c r="N1134" s="352" t="s">
        <v>703</v>
      </c>
      <c r="O1134" s="460">
        <v>2121</v>
      </c>
      <c r="P1134" s="460" t="s">
        <v>1876</v>
      </c>
      <c r="Q1134" s="460" t="s">
        <v>2266</v>
      </c>
      <c r="R1134" s="460">
        <v>2121</v>
      </c>
      <c r="S1134" s="460" t="s">
        <v>2305</v>
      </c>
      <c r="T1134" s="462">
        <v>1</v>
      </c>
      <c r="U1134" s="460" t="s">
        <v>2305</v>
      </c>
      <c r="V1134" s="475">
        <v>0</v>
      </c>
      <c r="W1134" s="463" t="s">
        <v>2268</v>
      </c>
      <c r="X1134" s="463" t="s">
        <v>2268</v>
      </c>
      <c r="Y1134" s="463" t="s">
        <v>2278</v>
      </c>
      <c r="Z1134" s="463"/>
      <c r="AA1134" s="463"/>
      <c r="AB1134" s="464">
        <v>0</v>
      </c>
      <c r="AC1134" s="465">
        <v>0</v>
      </c>
      <c r="AD1134" s="465">
        <v>0</v>
      </c>
      <c r="AE1134" s="476">
        <v>0</v>
      </c>
      <c r="AF1134" s="467">
        <v>0</v>
      </c>
      <c r="AG1134" s="468">
        <v>0</v>
      </c>
      <c r="AH1134" s="218">
        <v>0</v>
      </c>
      <c r="AI1134" s="470">
        <v>0</v>
      </c>
      <c r="AJ1134" s="471">
        <v>0</v>
      </c>
      <c r="AK1134" s="218">
        <v>0</v>
      </c>
      <c r="AL1134" s="470">
        <v>0</v>
      </c>
      <c r="AM1134" s="471">
        <v>0</v>
      </c>
      <c r="AN1134" s="477">
        <v>0</v>
      </c>
      <c r="AO1134" s="473">
        <v>0</v>
      </c>
      <c r="AP1134" s="474">
        <v>0</v>
      </c>
      <c r="AQ1134" s="352"/>
      <c r="AR1134" s="352"/>
      <c r="AS1134" s="352"/>
      <c r="AT1134" s="352"/>
      <c r="AU1134" s="352"/>
      <c r="AV1134" s="352"/>
      <c r="AW1134" s="352" t="s">
        <v>254</v>
      </c>
    </row>
    <row r="1135" spans="2:49" x14ac:dyDescent="0.2">
      <c r="B1135" s="460" t="s">
        <v>2703</v>
      </c>
      <c r="C1135" s="460">
        <v>2121</v>
      </c>
      <c r="D1135" s="460" t="s">
        <v>2323</v>
      </c>
      <c r="E1135" s="460" t="s">
        <v>2324</v>
      </c>
      <c r="F1135" s="460">
        <v>1</v>
      </c>
      <c r="G1135" s="460">
        <v>3</v>
      </c>
      <c r="H1135" s="461" t="s">
        <v>700</v>
      </c>
      <c r="I1135" s="461" t="s">
        <v>872</v>
      </c>
      <c r="J1135" s="461" t="s">
        <v>700</v>
      </c>
      <c r="K1135" s="594"/>
      <c r="L1135" s="594"/>
      <c r="M1135" s="352">
        <v>2000</v>
      </c>
      <c r="N1135" s="352" t="s">
        <v>703</v>
      </c>
      <c r="O1135" s="460">
        <v>2121</v>
      </c>
      <c r="P1135" s="460" t="s">
        <v>1876</v>
      </c>
      <c r="Q1135" s="460" t="s">
        <v>2266</v>
      </c>
      <c r="R1135" s="460">
        <v>2121</v>
      </c>
      <c r="S1135" s="460" t="s">
        <v>2324</v>
      </c>
      <c r="T1135" s="462">
        <v>1</v>
      </c>
      <c r="U1135" s="460" t="s">
        <v>2324</v>
      </c>
      <c r="V1135" s="475">
        <v>0</v>
      </c>
      <c r="W1135" s="463" t="s">
        <v>2267</v>
      </c>
      <c r="X1135" s="463" t="s">
        <v>2267</v>
      </c>
      <c r="Y1135" s="463" t="s">
        <v>2268</v>
      </c>
      <c r="Z1135" s="463"/>
      <c r="AA1135" s="463"/>
      <c r="AB1135" s="464">
        <v>961.36002771899257</v>
      </c>
      <c r="AC1135" s="465">
        <v>0.39805965484959044</v>
      </c>
      <c r="AD1135" s="465">
        <v>8.2414316295013716E-3</v>
      </c>
      <c r="AE1135" s="476">
        <v>961.36002771899257</v>
      </c>
      <c r="AF1135" s="467">
        <v>0.39805965484959044</v>
      </c>
      <c r="AG1135" s="468">
        <v>8.8282059501969441E-3</v>
      </c>
      <c r="AH1135" s="218">
        <v>961.36002771899257</v>
      </c>
      <c r="AI1135" s="470">
        <v>0.39805965484959044</v>
      </c>
      <c r="AJ1135" s="471">
        <v>8.4303658723794677E-3</v>
      </c>
      <c r="AK1135" s="218">
        <v>961.36002771899257</v>
      </c>
      <c r="AL1135" s="470">
        <v>0.39805965484959044</v>
      </c>
      <c r="AM1135" s="471">
        <v>8.4303658723794677E-3</v>
      </c>
      <c r="AN1135" s="477">
        <v>0</v>
      </c>
      <c r="AO1135" s="473">
        <v>0</v>
      </c>
      <c r="AP1135" s="474">
        <v>0</v>
      </c>
      <c r="AQ1135" s="352"/>
      <c r="AR1135" s="352"/>
      <c r="AS1135" s="352"/>
      <c r="AT1135" s="352"/>
      <c r="AU1135" s="352"/>
      <c r="AV1135" s="352"/>
      <c r="AW1135" s="352" t="s">
        <v>254</v>
      </c>
    </row>
    <row r="1136" spans="2:49" x14ac:dyDescent="0.2">
      <c r="B1136" s="460" t="s">
        <v>2704</v>
      </c>
      <c r="C1136" s="460">
        <v>2121</v>
      </c>
      <c r="D1136" s="460" t="s">
        <v>2326</v>
      </c>
      <c r="E1136" s="460" t="s">
        <v>2327</v>
      </c>
      <c r="F1136" s="460">
        <v>2</v>
      </c>
      <c r="G1136" s="460">
        <v>3</v>
      </c>
      <c r="H1136" s="461" t="s">
        <v>700</v>
      </c>
      <c r="I1136" s="461" t="s">
        <v>872</v>
      </c>
      <c r="J1136" s="461" t="s">
        <v>700</v>
      </c>
      <c r="K1136" s="594"/>
      <c r="L1136" s="594"/>
      <c r="M1136" s="352">
        <v>2000</v>
      </c>
      <c r="N1136" s="352" t="s">
        <v>703</v>
      </c>
      <c r="O1136" s="460">
        <v>2121</v>
      </c>
      <c r="P1136" s="460" t="s">
        <v>1876</v>
      </c>
      <c r="Q1136" s="460" t="s">
        <v>2266</v>
      </c>
      <c r="R1136" s="460">
        <v>2121</v>
      </c>
      <c r="S1136" s="460" t="s">
        <v>2324</v>
      </c>
      <c r="T1136" s="462">
        <v>1</v>
      </c>
      <c r="U1136" s="460" t="s">
        <v>2327</v>
      </c>
      <c r="V1136" s="475">
        <v>0</v>
      </c>
      <c r="W1136" s="463" t="s">
        <v>2267</v>
      </c>
      <c r="X1136" s="463" t="s">
        <v>2267</v>
      </c>
      <c r="Y1136" s="463" t="s">
        <v>2268</v>
      </c>
      <c r="Z1136" s="463"/>
      <c r="AA1136" s="463"/>
      <c r="AB1136" s="464">
        <v>475.79346832099321</v>
      </c>
      <c r="AC1136" s="465">
        <v>0.36862671158690091</v>
      </c>
      <c r="AD1136" s="465">
        <v>7.0273829750214199E-3</v>
      </c>
      <c r="AE1136" s="476">
        <v>475.79346832099321</v>
      </c>
      <c r="AF1136" s="467">
        <v>0.36862671158690091</v>
      </c>
      <c r="AG1136" s="468">
        <v>7.6114344573602714E-3</v>
      </c>
      <c r="AH1136" s="218">
        <v>513.78312484253024</v>
      </c>
      <c r="AI1136" s="470">
        <v>0.39805965484959044</v>
      </c>
      <c r="AJ1136" s="471">
        <v>6.9171602867773565E-3</v>
      </c>
      <c r="AK1136" s="218">
        <v>513.78312484253024</v>
      </c>
      <c r="AL1136" s="470">
        <v>0.39805965484959044</v>
      </c>
      <c r="AM1136" s="471">
        <v>6.9171602867773565E-3</v>
      </c>
      <c r="AN1136" s="477">
        <v>0</v>
      </c>
      <c r="AO1136" s="473">
        <v>0</v>
      </c>
      <c r="AP1136" s="474">
        <v>0</v>
      </c>
      <c r="AQ1136" s="352"/>
      <c r="AR1136" s="352"/>
      <c r="AS1136" s="352"/>
      <c r="AT1136" s="352"/>
      <c r="AU1136" s="352"/>
      <c r="AV1136" s="352"/>
      <c r="AW1136" s="352" t="s">
        <v>254</v>
      </c>
    </row>
    <row r="1137" spans="2:49" x14ac:dyDescent="0.2">
      <c r="B1137" s="460" t="s">
        <v>2705</v>
      </c>
      <c r="C1137" s="460">
        <v>2121</v>
      </c>
      <c r="D1137" s="460" t="s">
        <v>2329</v>
      </c>
      <c r="E1137" s="460" t="s">
        <v>2330</v>
      </c>
      <c r="F1137" s="460">
        <v>3</v>
      </c>
      <c r="G1137" s="460">
        <v>3</v>
      </c>
      <c r="H1137" s="461" t="s">
        <v>700</v>
      </c>
      <c r="I1137" s="461" t="s">
        <v>872</v>
      </c>
      <c r="J1137" s="461" t="s">
        <v>700</v>
      </c>
      <c r="K1137" s="594"/>
      <c r="L1137" s="594"/>
      <c r="M1137" s="352">
        <v>2000</v>
      </c>
      <c r="N1137" s="352" t="s">
        <v>703</v>
      </c>
      <c r="O1137" s="460">
        <v>2121</v>
      </c>
      <c r="P1137" s="460" t="s">
        <v>1876</v>
      </c>
      <c r="Q1137" s="460" t="s">
        <v>2266</v>
      </c>
      <c r="R1137" s="460">
        <v>2121</v>
      </c>
      <c r="S1137" s="460" t="s">
        <v>2324</v>
      </c>
      <c r="T1137" s="462">
        <v>1</v>
      </c>
      <c r="U1137" s="460" t="s">
        <v>2330</v>
      </c>
      <c r="V1137" s="475">
        <v>0</v>
      </c>
      <c r="W1137" s="463" t="s">
        <v>2267</v>
      </c>
      <c r="X1137" s="463" t="s">
        <v>2267</v>
      </c>
      <c r="Y1137" s="463" t="s">
        <v>2268</v>
      </c>
      <c r="Z1137" s="463"/>
      <c r="AA1137" s="463"/>
      <c r="AB1137" s="464">
        <v>70.169796033053686</v>
      </c>
      <c r="AC1137" s="465">
        <v>0.16899414979815094</v>
      </c>
      <c r="AD1137" s="465">
        <v>2.6496964601062803E-3</v>
      </c>
      <c r="AE1137" s="476">
        <v>70.169796033053686</v>
      </c>
      <c r="AF1137" s="467">
        <v>0.16899414979815094</v>
      </c>
      <c r="AG1137" s="468">
        <v>2.8398461612820082E-3</v>
      </c>
      <c r="AH1137" s="218">
        <v>165.2824362449565</v>
      </c>
      <c r="AI1137" s="470">
        <v>0.39805965484959044</v>
      </c>
      <c r="AJ1137" s="471">
        <v>5.8232881575556294E-3</v>
      </c>
      <c r="AK1137" s="218">
        <v>165.2824362449565</v>
      </c>
      <c r="AL1137" s="470">
        <v>0.39805965484959044</v>
      </c>
      <c r="AM1137" s="471">
        <v>5.8232881575556294E-3</v>
      </c>
      <c r="AN1137" s="477">
        <v>0</v>
      </c>
      <c r="AO1137" s="473">
        <v>0</v>
      </c>
      <c r="AP1137" s="474">
        <v>0</v>
      </c>
      <c r="AQ1137" s="352"/>
      <c r="AR1137" s="352"/>
      <c r="AS1137" s="352"/>
      <c r="AT1137" s="352"/>
      <c r="AU1137" s="352"/>
      <c r="AV1137" s="352"/>
      <c r="AW1137" s="352" t="s">
        <v>254</v>
      </c>
    </row>
    <row r="1138" spans="2:49" x14ac:dyDescent="0.2">
      <c r="B1138" s="460" t="s">
        <v>2706</v>
      </c>
      <c r="C1138" s="460">
        <v>2121</v>
      </c>
      <c r="D1138" s="460" t="s">
        <v>2332</v>
      </c>
      <c r="E1138" s="460" t="s">
        <v>2333</v>
      </c>
      <c r="F1138" s="460">
        <v>4</v>
      </c>
      <c r="G1138" s="460">
        <v>3</v>
      </c>
      <c r="H1138" s="461" t="s">
        <v>700</v>
      </c>
      <c r="I1138" s="461" t="s">
        <v>872</v>
      </c>
      <c r="J1138" s="461" t="s">
        <v>700</v>
      </c>
      <c r="K1138" s="594"/>
      <c r="L1138" s="594"/>
      <c r="M1138" s="352">
        <v>2000</v>
      </c>
      <c r="N1138" s="352" t="s">
        <v>703</v>
      </c>
      <c r="O1138" s="460">
        <v>2121</v>
      </c>
      <c r="P1138" s="460" t="s">
        <v>1876</v>
      </c>
      <c r="Q1138" s="460" t="s">
        <v>2266</v>
      </c>
      <c r="R1138" s="460">
        <v>2121</v>
      </c>
      <c r="S1138" s="460" t="s">
        <v>2333</v>
      </c>
      <c r="T1138" s="462">
        <v>1</v>
      </c>
      <c r="U1138" s="460" t="s">
        <v>2333</v>
      </c>
      <c r="V1138" s="475">
        <v>0</v>
      </c>
      <c r="W1138" s="463" t="s">
        <v>2278</v>
      </c>
      <c r="X1138" s="463" t="s">
        <v>2278</v>
      </c>
      <c r="Y1138" s="463" t="s">
        <v>2268</v>
      </c>
      <c r="Z1138" s="463"/>
      <c r="AA1138" s="463"/>
      <c r="AB1138" s="464">
        <v>1.5333091507476628</v>
      </c>
      <c r="AC1138" s="465">
        <v>3.9040203178163178E-3</v>
      </c>
      <c r="AD1138" s="465">
        <v>1.0575010279123137E-4</v>
      </c>
      <c r="AE1138" s="476">
        <v>1.5333091507476628</v>
      </c>
      <c r="AF1138" s="467">
        <v>3.9040203178163178E-3</v>
      </c>
      <c r="AG1138" s="468">
        <v>1.1670865185520871E-4</v>
      </c>
      <c r="AH1138" s="218">
        <v>1.5333091507476628</v>
      </c>
      <c r="AI1138" s="470">
        <v>3.9040203178163178E-3</v>
      </c>
      <c r="AJ1138" s="471">
        <v>1.1307606177390038E-4</v>
      </c>
      <c r="AK1138" s="218">
        <v>1.5333091507476628</v>
      </c>
      <c r="AL1138" s="470">
        <v>3.9040203178163178E-3</v>
      </c>
      <c r="AM1138" s="471">
        <v>1.1307606177390038E-4</v>
      </c>
      <c r="AN1138" s="477">
        <v>0</v>
      </c>
      <c r="AO1138" s="473">
        <v>0</v>
      </c>
      <c r="AP1138" s="474">
        <v>0</v>
      </c>
      <c r="AQ1138" s="352"/>
      <c r="AR1138" s="352"/>
      <c r="AS1138" s="352"/>
      <c r="AT1138" s="352"/>
      <c r="AU1138" s="352"/>
      <c r="AV1138" s="352"/>
      <c r="AW1138" s="352" t="s">
        <v>254</v>
      </c>
    </row>
    <row r="1139" spans="2:49" x14ac:dyDescent="0.2">
      <c r="B1139" s="460" t="s">
        <v>2703</v>
      </c>
      <c r="C1139" s="460">
        <v>2121</v>
      </c>
      <c r="D1139" s="460" t="s">
        <v>2334</v>
      </c>
      <c r="E1139" s="460" t="s">
        <v>2324</v>
      </c>
      <c r="F1139" s="460">
        <v>1</v>
      </c>
      <c r="G1139" s="460">
        <v>3</v>
      </c>
      <c r="H1139" s="461" t="s">
        <v>712</v>
      </c>
      <c r="I1139" s="461" t="s">
        <v>713</v>
      </c>
      <c r="J1139" s="461" t="s">
        <v>712</v>
      </c>
      <c r="K1139" s="594"/>
      <c r="L1139" s="594"/>
      <c r="M1139" s="352">
        <v>2000</v>
      </c>
      <c r="N1139" s="352" t="s">
        <v>703</v>
      </c>
      <c r="O1139" s="460">
        <v>2121</v>
      </c>
      <c r="P1139" s="460" t="s">
        <v>1876</v>
      </c>
      <c r="Q1139" s="460" t="s">
        <v>2280</v>
      </c>
      <c r="R1139" s="460">
        <v>2121</v>
      </c>
      <c r="S1139" s="460" t="s">
        <v>2324</v>
      </c>
      <c r="T1139" s="462">
        <v>1</v>
      </c>
      <c r="U1139" s="460" t="s">
        <v>2324</v>
      </c>
      <c r="V1139" s="475">
        <v>0</v>
      </c>
      <c r="W1139" s="463" t="s">
        <v>713</v>
      </c>
      <c r="X1139" s="463" t="s">
        <v>713</v>
      </c>
      <c r="Y1139" s="463" t="s">
        <v>713</v>
      </c>
      <c r="Z1139" s="463"/>
      <c r="AA1139" s="463"/>
      <c r="AB1139" s="464">
        <v>1453.7554355204284</v>
      </c>
      <c r="AC1139" s="465">
        <v>0.60194034515040962</v>
      </c>
      <c r="AD1139" s="465">
        <v>3.6298762668223392E-3</v>
      </c>
      <c r="AE1139" s="476">
        <v>1453.7554355204281</v>
      </c>
      <c r="AF1139" s="467">
        <v>0.60194034515040951</v>
      </c>
      <c r="AG1139" s="468">
        <v>3.5609400920656674E-3</v>
      </c>
      <c r="AH1139" s="218">
        <v>1453.7554355204281</v>
      </c>
      <c r="AI1139" s="470">
        <v>0.60194034515040951</v>
      </c>
      <c r="AJ1139" s="471">
        <v>3.6063358421661203E-3</v>
      </c>
      <c r="AK1139" s="218">
        <v>1453.7554355204281</v>
      </c>
      <c r="AL1139" s="470">
        <v>0.60194034515040951</v>
      </c>
      <c r="AM1139" s="471">
        <v>3.6063358421661203E-3</v>
      </c>
      <c r="AN1139" s="477">
        <v>1453.7554355204281</v>
      </c>
      <c r="AO1139" s="473">
        <v>0.60194034515040951</v>
      </c>
      <c r="AP1139" s="474">
        <v>3.6045808087246316E-3</v>
      </c>
      <c r="AQ1139" s="352"/>
      <c r="AR1139" s="352"/>
      <c r="AS1139" s="352"/>
      <c r="AT1139" s="352"/>
      <c r="AU1139" s="352"/>
      <c r="AV1139" s="352"/>
      <c r="AW1139" s="352" t="s">
        <v>254</v>
      </c>
    </row>
    <row r="1140" spans="2:49" x14ac:dyDescent="0.2">
      <c r="B1140" s="460" t="s">
        <v>2704</v>
      </c>
      <c r="C1140" s="460">
        <v>2121</v>
      </c>
      <c r="D1140" s="460" t="s">
        <v>2335</v>
      </c>
      <c r="E1140" s="460" t="s">
        <v>2327</v>
      </c>
      <c r="F1140" s="460">
        <v>2</v>
      </c>
      <c r="G1140" s="460">
        <v>3</v>
      </c>
      <c r="H1140" s="461" t="s">
        <v>712</v>
      </c>
      <c r="I1140" s="461" t="s">
        <v>713</v>
      </c>
      <c r="J1140" s="461" t="s">
        <v>712</v>
      </c>
      <c r="K1140" s="594"/>
      <c r="L1140" s="594"/>
      <c r="M1140" s="352">
        <v>2000</v>
      </c>
      <c r="N1140" s="352" t="s">
        <v>703</v>
      </c>
      <c r="O1140" s="460">
        <v>2121</v>
      </c>
      <c r="P1140" s="460" t="s">
        <v>1876</v>
      </c>
      <c r="Q1140" s="460" t="s">
        <v>2280</v>
      </c>
      <c r="R1140" s="460">
        <v>2121</v>
      </c>
      <c r="S1140" s="460" t="s">
        <v>2324</v>
      </c>
      <c r="T1140" s="462">
        <v>1</v>
      </c>
      <c r="U1140" s="460" t="s">
        <v>2327</v>
      </c>
      <c r="V1140" s="475">
        <v>0</v>
      </c>
      <c r="W1140" s="463" t="s">
        <v>713</v>
      </c>
      <c r="X1140" s="463" t="s">
        <v>713</v>
      </c>
      <c r="Y1140" s="463" t="s">
        <v>713</v>
      </c>
      <c r="Z1140" s="463"/>
      <c r="AA1140" s="463"/>
      <c r="AB1140" s="464">
        <v>814.92544424166454</v>
      </c>
      <c r="AC1140" s="465">
        <v>0.63137328841309903</v>
      </c>
      <c r="AD1140" s="465">
        <v>2.6098790002235623E-3</v>
      </c>
      <c r="AE1140" s="476">
        <v>814.92544424166465</v>
      </c>
      <c r="AF1140" s="467">
        <v>0.63137328841309914</v>
      </c>
      <c r="AG1140" s="468">
        <v>2.5671654348893187E-3</v>
      </c>
      <c r="AH1140" s="218">
        <v>776.93578772012745</v>
      </c>
      <c r="AI1140" s="470">
        <v>0.60194034515040951</v>
      </c>
      <c r="AJ1140" s="471">
        <v>2.5453030786711899E-3</v>
      </c>
      <c r="AK1140" s="218">
        <v>776.93578772012745</v>
      </c>
      <c r="AL1140" s="470">
        <v>0.60194034515040951</v>
      </c>
      <c r="AM1140" s="471">
        <v>2.5453030786711899E-3</v>
      </c>
      <c r="AN1140" s="477">
        <v>776.93578772012745</v>
      </c>
      <c r="AO1140" s="473">
        <v>0.60194034515040951</v>
      </c>
      <c r="AP1140" s="474">
        <v>2.5443051573975561E-3</v>
      </c>
      <c r="AQ1140" s="352"/>
      <c r="AR1140" s="352"/>
      <c r="AS1140" s="352"/>
      <c r="AT1140" s="352"/>
      <c r="AU1140" s="352"/>
      <c r="AV1140" s="352"/>
      <c r="AW1140" s="352" t="s">
        <v>254</v>
      </c>
    </row>
    <row r="1141" spans="2:49" x14ac:dyDescent="0.2">
      <c r="B1141" s="460" t="s">
        <v>2705</v>
      </c>
      <c r="C1141" s="460">
        <v>2121</v>
      </c>
      <c r="D1141" s="460" t="s">
        <v>2336</v>
      </c>
      <c r="E1141" s="460" t="s">
        <v>2330</v>
      </c>
      <c r="F1141" s="460">
        <v>3</v>
      </c>
      <c r="G1141" s="460">
        <v>3</v>
      </c>
      <c r="H1141" s="461" t="s">
        <v>712</v>
      </c>
      <c r="I1141" s="461" t="s">
        <v>713</v>
      </c>
      <c r="J1141" s="461" t="s">
        <v>712</v>
      </c>
      <c r="K1141" s="594"/>
      <c r="L1141" s="594"/>
      <c r="M1141" s="352">
        <v>2000</v>
      </c>
      <c r="N1141" s="352" t="s">
        <v>703</v>
      </c>
      <c r="O1141" s="460">
        <v>2121</v>
      </c>
      <c r="P1141" s="460" t="s">
        <v>1876</v>
      </c>
      <c r="Q1141" s="460" t="s">
        <v>2280</v>
      </c>
      <c r="R1141" s="460">
        <v>2121</v>
      </c>
      <c r="S1141" s="460" t="s">
        <v>2324</v>
      </c>
      <c r="T1141" s="462">
        <v>1</v>
      </c>
      <c r="U1141" s="460" t="s">
        <v>2330</v>
      </c>
      <c r="V1141" s="475">
        <v>0</v>
      </c>
      <c r="W1141" s="463" t="s">
        <v>713</v>
      </c>
      <c r="X1141" s="463" t="s">
        <v>713</v>
      </c>
      <c r="Y1141" s="463" t="s">
        <v>713</v>
      </c>
      <c r="Z1141" s="463"/>
      <c r="AA1141" s="463"/>
      <c r="AB1141" s="464">
        <v>345.05047115883139</v>
      </c>
      <c r="AC1141" s="465">
        <v>0.83100585020184914</v>
      </c>
      <c r="AD1141" s="465">
        <v>3.0551676394039067E-3</v>
      </c>
      <c r="AE1141" s="476">
        <v>345.05047115883139</v>
      </c>
      <c r="AF1141" s="467">
        <v>0.83100585020184903</v>
      </c>
      <c r="AG1141" s="468">
        <v>3.0079421120702164E-3</v>
      </c>
      <c r="AH1141" s="218">
        <v>249.93783094692856</v>
      </c>
      <c r="AI1141" s="470">
        <v>0.60194034515040951</v>
      </c>
      <c r="AJ1141" s="471">
        <v>2.2619971024825901E-3</v>
      </c>
      <c r="AK1141" s="218">
        <v>249.93783094692856</v>
      </c>
      <c r="AL1141" s="470">
        <v>0.60194034515040951</v>
      </c>
      <c r="AM1141" s="471">
        <v>2.2619971024825901E-3</v>
      </c>
      <c r="AN1141" s="477">
        <v>249.93783094692856</v>
      </c>
      <c r="AO1141" s="473">
        <v>0.60194034515040951</v>
      </c>
      <c r="AP1141" s="474">
        <v>2.2678355668207303E-3</v>
      </c>
      <c r="AQ1141" s="352"/>
      <c r="AR1141" s="352"/>
      <c r="AS1141" s="352"/>
      <c r="AT1141" s="352"/>
      <c r="AU1141" s="352"/>
      <c r="AV1141" s="352"/>
      <c r="AW1141" s="352" t="s">
        <v>254</v>
      </c>
    </row>
    <row r="1142" spans="2:49" x14ac:dyDescent="0.2">
      <c r="B1142" s="460" t="s">
        <v>2706</v>
      </c>
      <c r="C1142" s="460">
        <v>2121</v>
      </c>
      <c r="D1142" s="460" t="s">
        <v>2337</v>
      </c>
      <c r="E1142" s="460" t="s">
        <v>2333</v>
      </c>
      <c r="F1142" s="460">
        <v>4</v>
      </c>
      <c r="G1142" s="460">
        <v>3</v>
      </c>
      <c r="H1142" s="461" t="s">
        <v>712</v>
      </c>
      <c r="I1142" s="461" t="s">
        <v>713</v>
      </c>
      <c r="J1142" s="461" t="s">
        <v>712</v>
      </c>
      <c r="K1142" s="594"/>
      <c r="L1142" s="594"/>
      <c r="M1142" s="352">
        <v>2000</v>
      </c>
      <c r="N1142" s="352" t="s">
        <v>703</v>
      </c>
      <c r="O1142" s="460">
        <v>2121</v>
      </c>
      <c r="P1142" s="460" t="s">
        <v>1876</v>
      </c>
      <c r="Q1142" s="460" t="s">
        <v>2280</v>
      </c>
      <c r="R1142" s="460">
        <v>2121</v>
      </c>
      <c r="S1142" s="460" t="s">
        <v>2333</v>
      </c>
      <c r="T1142" s="462">
        <v>1</v>
      </c>
      <c r="U1142" s="460" t="s">
        <v>2333</v>
      </c>
      <c r="V1142" s="475">
        <v>0</v>
      </c>
      <c r="W1142" s="463" t="s">
        <v>713</v>
      </c>
      <c r="X1142" s="463" t="s">
        <v>713</v>
      </c>
      <c r="Y1142" s="463" t="s">
        <v>713</v>
      </c>
      <c r="Z1142" s="463"/>
      <c r="AA1142" s="463"/>
      <c r="AB1142" s="464">
        <v>391.21801536216037</v>
      </c>
      <c r="AC1142" s="465">
        <v>0.99609597968218377</v>
      </c>
      <c r="AD1142" s="465">
        <v>2.9742234728022919E-3</v>
      </c>
      <c r="AE1142" s="476">
        <v>391.21801536216032</v>
      </c>
      <c r="AF1142" s="467">
        <v>0.99609597968218366</v>
      </c>
      <c r="AG1142" s="468">
        <v>2.9437546763880994E-3</v>
      </c>
      <c r="AH1142" s="218">
        <v>391.21801536216032</v>
      </c>
      <c r="AI1142" s="470">
        <v>0.99609597968218366</v>
      </c>
      <c r="AJ1142" s="471">
        <v>2.9531332806379054E-3</v>
      </c>
      <c r="AK1142" s="218">
        <v>391.21801536216032</v>
      </c>
      <c r="AL1142" s="470">
        <v>0.99609597968218366</v>
      </c>
      <c r="AM1142" s="471">
        <v>2.9531332806379054E-3</v>
      </c>
      <c r="AN1142" s="477">
        <v>391.21801536216032</v>
      </c>
      <c r="AO1142" s="473">
        <v>0.99609597968218366</v>
      </c>
      <c r="AP1142" s="474">
        <v>2.9540717383419561E-3</v>
      </c>
      <c r="AQ1142" s="352"/>
      <c r="AR1142" s="352"/>
      <c r="AS1142" s="352"/>
      <c r="AT1142" s="352"/>
      <c r="AU1142" s="352"/>
      <c r="AV1142" s="352"/>
      <c r="AW1142" s="352" t="s">
        <v>254</v>
      </c>
    </row>
    <row r="1143" spans="2:49" x14ac:dyDescent="0.2">
      <c r="B1143" s="460" t="s">
        <v>2703</v>
      </c>
      <c r="C1143" s="460">
        <v>2121</v>
      </c>
      <c r="D1143" s="460" t="s">
        <v>2338</v>
      </c>
      <c r="E1143" s="460" t="s">
        <v>2324</v>
      </c>
      <c r="F1143" s="460">
        <v>1</v>
      </c>
      <c r="G1143" s="460">
        <v>3</v>
      </c>
      <c r="H1143" s="461" t="s">
        <v>746</v>
      </c>
      <c r="I1143" s="461" t="s">
        <v>762</v>
      </c>
      <c r="J1143" s="461" t="s">
        <v>700</v>
      </c>
      <c r="K1143" s="594"/>
      <c r="L1143" s="594"/>
      <c r="M1143" s="352">
        <v>2000</v>
      </c>
      <c r="N1143" s="352" t="s">
        <v>703</v>
      </c>
      <c r="O1143" s="460">
        <v>2121</v>
      </c>
      <c r="P1143" s="460" t="s">
        <v>1876</v>
      </c>
      <c r="Q1143" s="460" t="s">
        <v>2289</v>
      </c>
      <c r="R1143" s="460">
        <v>2121</v>
      </c>
      <c r="S1143" s="460" t="s">
        <v>2324</v>
      </c>
      <c r="T1143" s="462">
        <v>1</v>
      </c>
      <c r="U1143" s="460" t="s">
        <v>2324</v>
      </c>
      <c r="V1143" s="475">
        <v>0</v>
      </c>
      <c r="W1143" s="463" t="s">
        <v>2268</v>
      </c>
      <c r="X1143" s="463" t="s">
        <v>2268</v>
      </c>
      <c r="Y1143" s="463" t="s">
        <v>2290</v>
      </c>
      <c r="Z1143" s="463"/>
      <c r="AA1143" s="463"/>
      <c r="AB1143" s="464">
        <v>0</v>
      </c>
      <c r="AC1143" s="465">
        <v>0</v>
      </c>
      <c r="AD1143" s="465">
        <v>0</v>
      </c>
      <c r="AE1143" s="476">
        <v>0</v>
      </c>
      <c r="AF1143" s="467">
        <v>0</v>
      </c>
      <c r="AG1143" s="468">
        <v>0</v>
      </c>
      <c r="AH1143" s="218">
        <v>0</v>
      </c>
      <c r="AI1143" s="470">
        <v>0</v>
      </c>
      <c r="AJ1143" s="471">
        <v>0</v>
      </c>
      <c r="AK1143" s="218">
        <v>0</v>
      </c>
      <c r="AL1143" s="470">
        <v>0</v>
      </c>
      <c r="AM1143" s="471">
        <v>0</v>
      </c>
      <c r="AN1143" s="477">
        <v>0</v>
      </c>
      <c r="AO1143" s="473">
        <v>0</v>
      </c>
      <c r="AP1143" s="474">
        <v>0</v>
      </c>
      <c r="AQ1143" s="352"/>
      <c r="AR1143" s="352"/>
      <c r="AS1143" s="352"/>
      <c r="AT1143" s="352"/>
      <c r="AU1143" s="352"/>
      <c r="AV1143" s="352"/>
      <c r="AW1143" s="352" t="s">
        <v>254</v>
      </c>
    </row>
    <row r="1144" spans="2:49" x14ac:dyDescent="0.2">
      <c r="B1144" s="460" t="s">
        <v>2704</v>
      </c>
      <c r="C1144" s="460">
        <v>2121</v>
      </c>
      <c r="D1144" s="460" t="s">
        <v>2339</v>
      </c>
      <c r="E1144" s="460" t="s">
        <v>2327</v>
      </c>
      <c r="F1144" s="460">
        <v>2</v>
      </c>
      <c r="G1144" s="460">
        <v>3</v>
      </c>
      <c r="H1144" s="461" t="s">
        <v>746</v>
      </c>
      <c r="I1144" s="461" t="s">
        <v>762</v>
      </c>
      <c r="J1144" s="461" t="s">
        <v>700</v>
      </c>
      <c r="K1144" s="594"/>
      <c r="L1144" s="594"/>
      <c r="M1144" s="352">
        <v>2000</v>
      </c>
      <c r="N1144" s="352" t="s">
        <v>703</v>
      </c>
      <c r="O1144" s="460">
        <v>2121</v>
      </c>
      <c r="P1144" s="460" t="s">
        <v>1876</v>
      </c>
      <c r="Q1144" s="460" t="s">
        <v>2289</v>
      </c>
      <c r="R1144" s="460">
        <v>2121</v>
      </c>
      <c r="S1144" s="460" t="s">
        <v>2324</v>
      </c>
      <c r="T1144" s="462">
        <v>1</v>
      </c>
      <c r="U1144" s="460" t="s">
        <v>2327</v>
      </c>
      <c r="V1144" s="475">
        <v>0</v>
      </c>
      <c r="W1144" s="463" t="s">
        <v>2268</v>
      </c>
      <c r="X1144" s="463" t="s">
        <v>2268</v>
      </c>
      <c r="Y1144" s="463" t="s">
        <v>2290</v>
      </c>
      <c r="Z1144" s="463"/>
      <c r="AA1144" s="463"/>
      <c r="AB1144" s="464">
        <v>0</v>
      </c>
      <c r="AC1144" s="465">
        <v>0</v>
      </c>
      <c r="AD1144" s="465">
        <v>0</v>
      </c>
      <c r="AE1144" s="476">
        <v>0</v>
      </c>
      <c r="AF1144" s="467">
        <v>0</v>
      </c>
      <c r="AG1144" s="468">
        <v>0</v>
      </c>
      <c r="AH1144" s="218">
        <v>0</v>
      </c>
      <c r="AI1144" s="470">
        <v>0</v>
      </c>
      <c r="AJ1144" s="471">
        <v>0</v>
      </c>
      <c r="AK1144" s="218">
        <v>0</v>
      </c>
      <c r="AL1144" s="470">
        <v>0</v>
      </c>
      <c r="AM1144" s="471">
        <v>0</v>
      </c>
      <c r="AN1144" s="477">
        <v>0</v>
      </c>
      <c r="AO1144" s="473">
        <v>0</v>
      </c>
      <c r="AP1144" s="474">
        <v>0</v>
      </c>
      <c r="AQ1144" s="352"/>
      <c r="AR1144" s="352"/>
      <c r="AS1144" s="352"/>
      <c r="AT1144" s="352"/>
      <c r="AU1144" s="352"/>
      <c r="AV1144" s="352"/>
      <c r="AW1144" s="352" t="s">
        <v>254</v>
      </c>
    </row>
    <row r="1145" spans="2:49" x14ac:dyDescent="0.2">
      <c r="B1145" s="460" t="s">
        <v>2705</v>
      </c>
      <c r="C1145" s="460">
        <v>2121</v>
      </c>
      <c r="D1145" s="460" t="s">
        <v>2340</v>
      </c>
      <c r="E1145" s="460" t="s">
        <v>2330</v>
      </c>
      <c r="F1145" s="460">
        <v>3</v>
      </c>
      <c r="G1145" s="460">
        <v>3</v>
      </c>
      <c r="H1145" s="461" t="s">
        <v>746</v>
      </c>
      <c r="I1145" s="461" t="s">
        <v>762</v>
      </c>
      <c r="J1145" s="461" t="s">
        <v>700</v>
      </c>
      <c r="K1145" s="594"/>
      <c r="L1145" s="594"/>
      <c r="M1145" s="352">
        <v>2000</v>
      </c>
      <c r="N1145" s="352" t="s">
        <v>703</v>
      </c>
      <c r="O1145" s="460">
        <v>2121</v>
      </c>
      <c r="P1145" s="460" t="s">
        <v>1876</v>
      </c>
      <c r="Q1145" s="460" t="s">
        <v>2289</v>
      </c>
      <c r="R1145" s="460">
        <v>2121</v>
      </c>
      <c r="S1145" s="460" t="s">
        <v>2324</v>
      </c>
      <c r="T1145" s="462">
        <v>1</v>
      </c>
      <c r="U1145" s="460" t="s">
        <v>2330</v>
      </c>
      <c r="V1145" s="475">
        <v>0</v>
      </c>
      <c r="W1145" s="463" t="s">
        <v>2268</v>
      </c>
      <c r="X1145" s="463" t="s">
        <v>2268</v>
      </c>
      <c r="Y1145" s="463" t="s">
        <v>2290</v>
      </c>
      <c r="Z1145" s="463"/>
      <c r="AA1145" s="463"/>
      <c r="AB1145" s="464">
        <v>0</v>
      </c>
      <c r="AC1145" s="465">
        <v>0</v>
      </c>
      <c r="AD1145" s="465">
        <v>0</v>
      </c>
      <c r="AE1145" s="476">
        <v>0</v>
      </c>
      <c r="AF1145" s="467">
        <v>0</v>
      </c>
      <c r="AG1145" s="468">
        <v>0</v>
      </c>
      <c r="AH1145" s="218">
        <v>0</v>
      </c>
      <c r="AI1145" s="470">
        <v>0</v>
      </c>
      <c r="AJ1145" s="471">
        <v>0</v>
      </c>
      <c r="AK1145" s="218">
        <v>0</v>
      </c>
      <c r="AL1145" s="470">
        <v>0</v>
      </c>
      <c r="AM1145" s="471">
        <v>0</v>
      </c>
      <c r="AN1145" s="477">
        <v>0</v>
      </c>
      <c r="AO1145" s="473">
        <v>0</v>
      </c>
      <c r="AP1145" s="474">
        <v>0</v>
      </c>
      <c r="AQ1145" s="352"/>
      <c r="AR1145" s="352"/>
      <c r="AS1145" s="352"/>
      <c r="AT1145" s="352"/>
      <c r="AU1145" s="352"/>
      <c r="AV1145" s="352"/>
      <c r="AW1145" s="352" t="s">
        <v>254</v>
      </c>
    </row>
    <row r="1146" spans="2:49" x14ac:dyDescent="0.2">
      <c r="B1146" s="460" t="s">
        <v>2706</v>
      </c>
      <c r="C1146" s="460">
        <v>2121</v>
      </c>
      <c r="D1146" s="460" t="s">
        <v>2341</v>
      </c>
      <c r="E1146" s="460" t="s">
        <v>2333</v>
      </c>
      <c r="F1146" s="460">
        <v>4</v>
      </c>
      <c r="G1146" s="460">
        <v>3</v>
      </c>
      <c r="H1146" s="461" t="s">
        <v>746</v>
      </c>
      <c r="I1146" s="461" t="s">
        <v>762</v>
      </c>
      <c r="J1146" s="461" t="s">
        <v>700</v>
      </c>
      <c r="K1146" s="594"/>
      <c r="L1146" s="594"/>
      <c r="M1146" s="352">
        <v>2000</v>
      </c>
      <c r="N1146" s="352" t="s">
        <v>703</v>
      </c>
      <c r="O1146" s="460">
        <v>2121</v>
      </c>
      <c r="P1146" s="460" t="s">
        <v>1876</v>
      </c>
      <c r="Q1146" s="460" t="s">
        <v>2289</v>
      </c>
      <c r="R1146" s="460">
        <v>2121</v>
      </c>
      <c r="S1146" s="460" t="s">
        <v>2333</v>
      </c>
      <c r="T1146" s="462">
        <v>1</v>
      </c>
      <c r="U1146" s="460" t="s">
        <v>2333</v>
      </c>
      <c r="V1146" s="475">
        <v>0</v>
      </c>
      <c r="W1146" s="463" t="s">
        <v>2268</v>
      </c>
      <c r="X1146" s="463" t="s">
        <v>2268</v>
      </c>
      <c r="Y1146" s="463" t="s">
        <v>2290</v>
      </c>
      <c r="Z1146" s="463"/>
      <c r="AA1146" s="463"/>
      <c r="AB1146" s="464">
        <v>0</v>
      </c>
      <c r="AC1146" s="465">
        <v>0</v>
      </c>
      <c r="AD1146" s="465">
        <v>0</v>
      </c>
      <c r="AE1146" s="476">
        <v>0</v>
      </c>
      <c r="AF1146" s="467">
        <v>0</v>
      </c>
      <c r="AG1146" s="468">
        <v>0</v>
      </c>
      <c r="AH1146" s="218">
        <v>0</v>
      </c>
      <c r="AI1146" s="470">
        <v>0</v>
      </c>
      <c r="AJ1146" s="471">
        <v>0</v>
      </c>
      <c r="AK1146" s="218">
        <v>0</v>
      </c>
      <c r="AL1146" s="470">
        <v>0</v>
      </c>
      <c r="AM1146" s="471">
        <v>0</v>
      </c>
      <c r="AN1146" s="477">
        <v>0</v>
      </c>
      <c r="AO1146" s="473">
        <v>0</v>
      </c>
      <c r="AP1146" s="474">
        <v>0</v>
      </c>
      <c r="AQ1146" s="352"/>
      <c r="AR1146" s="352"/>
      <c r="AS1146" s="352"/>
      <c r="AT1146" s="352"/>
      <c r="AU1146" s="352"/>
      <c r="AV1146" s="352"/>
      <c r="AW1146" s="352" t="s">
        <v>254</v>
      </c>
    </row>
    <row r="1147" spans="2:49" x14ac:dyDescent="0.2">
      <c r="B1147" s="460" t="s">
        <v>2703</v>
      </c>
      <c r="C1147" s="460">
        <v>2121</v>
      </c>
      <c r="D1147" s="460" t="s">
        <v>2342</v>
      </c>
      <c r="E1147" s="460" t="s">
        <v>2324</v>
      </c>
      <c r="F1147" s="460">
        <v>1</v>
      </c>
      <c r="G1147" s="460">
        <v>3</v>
      </c>
      <c r="H1147" s="461" t="s">
        <v>748</v>
      </c>
      <c r="I1147" s="461" t="s">
        <v>765</v>
      </c>
      <c r="J1147" s="461" t="s">
        <v>700</v>
      </c>
      <c r="K1147" s="594"/>
      <c r="L1147" s="594"/>
      <c r="M1147" s="352">
        <v>2000</v>
      </c>
      <c r="N1147" s="352" t="s">
        <v>703</v>
      </c>
      <c r="O1147" s="460">
        <v>2121</v>
      </c>
      <c r="P1147" s="460" t="s">
        <v>1876</v>
      </c>
      <c r="Q1147" s="460" t="s">
        <v>2266</v>
      </c>
      <c r="R1147" s="460">
        <v>2121</v>
      </c>
      <c r="S1147" s="460" t="s">
        <v>2324</v>
      </c>
      <c r="T1147" s="462">
        <v>1</v>
      </c>
      <c r="U1147" s="460" t="s">
        <v>2324</v>
      </c>
      <c r="V1147" s="475">
        <v>0</v>
      </c>
      <c r="W1147" s="463" t="s">
        <v>2268</v>
      </c>
      <c r="X1147" s="463" t="s">
        <v>2268</v>
      </c>
      <c r="Y1147" s="463" t="s">
        <v>2267</v>
      </c>
      <c r="Z1147" s="463"/>
      <c r="AA1147" s="463"/>
      <c r="AB1147" s="464">
        <v>0</v>
      </c>
      <c r="AC1147" s="465">
        <v>0</v>
      </c>
      <c r="AD1147" s="465">
        <v>0</v>
      </c>
      <c r="AE1147" s="476">
        <v>0</v>
      </c>
      <c r="AF1147" s="467">
        <v>0</v>
      </c>
      <c r="AG1147" s="468">
        <v>0</v>
      </c>
      <c r="AH1147" s="218">
        <v>0</v>
      </c>
      <c r="AI1147" s="470">
        <v>0</v>
      </c>
      <c r="AJ1147" s="471">
        <v>0</v>
      </c>
      <c r="AK1147" s="218">
        <v>0</v>
      </c>
      <c r="AL1147" s="470">
        <v>0</v>
      </c>
      <c r="AM1147" s="471">
        <v>0</v>
      </c>
      <c r="AN1147" s="477">
        <v>961.36002771899257</v>
      </c>
      <c r="AO1147" s="473">
        <v>0.39805965484959044</v>
      </c>
      <c r="AP1147" s="474">
        <v>5.0040534543002294E-2</v>
      </c>
      <c r="AQ1147" s="352"/>
      <c r="AR1147" s="352"/>
      <c r="AS1147" s="352"/>
      <c r="AT1147" s="352"/>
      <c r="AU1147" s="352"/>
      <c r="AV1147" s="352"/>
      <c r="AW1147" s="352" t="s">
        <v>254</v>
      </c>
    </row>
    <row r="1148" spans="2:49" x14ac:dyDescent="0.2">
      <c r="B1148" s="460" t="s">
        <v>2704</v>
      </c>
      <c r="C1148" s="460">
        <v>2121</v>
      </c>
      <c r="D1148" s="460" t="s">
        <v>2343</v>
      </c>
      <c r="E1148" s="460" t="s">
        <v>2327</v>
      </c>
      <c r="F1148" s="460">
        <v>2</v>
      </c>
      <c r="G1148" s="460">
        <v>3</v>
      </c>
      <c r="H1148" s="461" t="s">
        <v>748</v>
      </c>
      <c r="I1148" s="461" t="s">
        <v>765</v>
      </c>
      <c r="J1148" s="461" t="s">
        <v>700</v>
      </c>
      <c r="K1148" s="594"/>
      <c r="L1148" s="594"/>
      <c r="M1148" s="352">
        <v>2000</v>
      </c>
      <c r="N1148" s="352" t="s">
        <v>703</v>
      </c>
      <c r="O1148" s="460">
        <v>2121</v>
      </c>
      <c r="P1148" s="460" t="s">
        <v>1876</v>
      </c>
      <c r="Q1148" s="460" t="s">
        <v>2266</v>
      </c>
      <c r="R1148" s="460">
        <v>2121</v>
      </c>
      <c r="S1148" s="460" t="s">
        <v>2324</v>
      </c>
      <c r="T1148" s="462">
        <v>1</v>
      </c>
      <c r="U1148" s="460" t="s">
        <v>2327</v>
      </c>
      <c r="V1148" s="475">
        <v>0</v>
      </c>
      <c r="W1148" s="463" t="s">
        <v>2268</v>
      </c>
      <c r="X1148" s="463" t="s">
        <v>2268</v>
      </c>
      <c r="Y1148" s="463" t="s">
        <v>2267</v>
      </c>
      <c r="Z1148" s="463"/>
      <c r="AA1148" s="463"/>
      <c r="AB1148" s="464">
        <v>0</v>
      </c>
      <c r="AC1148" s="465">
        <v>0</v>
      </c>
      <c r="AD1148" s="465">
        <v>0</v>
      </c>
      <c r="AE1148" s="476">
        <v>0</v>
      </c>
      <c r="AF1148" s="467">
        <v>0</v>
      </c>
      <c r="AG1148" s="468">
        <v>0</v>
      </c>
      <c r="AH1148" s="218">
        <v>0</v>
      </c>
      <c r="AI1148" s="470">
        <v>0</v>
      </c>
      <c r="AJ1148" s="471">
        <v>0</v>
      </c>
      <c r="AK1148" s="218">
        <v>0</v>
      </c>
      <c r="AL1148" s="470">
        <v>0</v>
      </c>
      <c r="AM1148" s="471">
        <v>0</v>
      </c>
      <c r="AN1148" s="477">
        <v>513.78312484253024</v>
      </c>
      <c r="AO1148" s="473">
        <v>0.39805965484959044</v>
      </c>
      <c r="AP1148" s="474">
        <v>4.5671986627082509E-2</v>
      </c>
      <c r="AQ1148" s="352"/>
      <c r="AR1148" s="352"/>
      <c r="AS1148" s="352"/>
      <c r="AT1148" s="352"/>
      <c r="AU1148" s="352"/>
      <c r="AV1148" s="352"/>
      <c r="AW1148" s="352" t="s">
        <v>254</v>
      </c>
    </row>
    <row r="1149" spans="2:49" x14ac:dyDescent="0.2">
      <c r="B1149" s="460" t="s">
        <v>2705</v>
      </c>
      <c r="C1149" s="460">
        <v>2121</v>
      </c>
      <c r="D1149" s="460" t="s">
        <v>2344</v>
      </c>
      <c r="E1149" s="460" t="s">
        <v>2330</v>
      </c>
      <c r="F1149" s="460">
        <v>3</v>
      </c>
      <c r="G1149" s="460">
        <v>3</v>
      </c>
      <c r="H1149" s="461" t="s">
        <v>748</v>
      </c>
      <c r="I1149" s="461" t="s">
        <v>765</v>
      </c>
      <c r="J1149" s="461" t="s">
        <v>700</v>
      </c>
      <c r="K1149" s="594"/>
      <c r="L1149" s="594"/>
      <c r="M1149" s="352">
        <v>2000</v>
      </c>
      <c r="N1149" s="352" t="s">
        <v>703</v>
      </c>
      <c r="O1149" s="460">
        <v>2121</v>
      </c>
      <c r="P1149" s="460" t="s">
        <v>1876</v>
      </c>
      <c r="Q1149" s="460" t="s">
        <v>2266</v>
      </c>
      <c r="R1149" s="460">
        <v>2121</v>
      </c>
      <c r="S1149" s="460" t="s">
        <v>2324</v>
      </c>
      <c r="T1149" s="462">
        <v>1</v>
      </c>
      <c r="U1149" s="460" t="s">
        <v>2330</v>
      </c>
      <c r="V1149" s="475">
        <v>0</v>
      </c>
      <c r="W1149" s="463" t="s">
        <v>2268</v>
      </c>
      <c r="X1149" s="463" t="s">
        <v>2268</v>
      </c>
      <c r="Y1149" s="463" t="s">
        <v>2267</v>
      </c>
      <c r="Z1149" s="463"/>
      <c r="AA1149" s="463"/>
      <c r="AB1149" s="464">
        <v>0</v>
      </c>
      <c r="AC1149" s="465">
        <v>0</v>
      </c>
      <c r="AD1149" s="465">
        <v>0</v>
      </c>
      <c r="AE1149" s="476">
        <v>0</v>
      </c>
      <c r="AF1149" s="467">
        <v>0</v>
      </c>
      <c r="AG1149" s="468">
        <v>0</v>
      </c>
      <c r="AH1149" s="218">
        <v>0</v>
      </c>
      <c r="AI1149" s="470">
        <v>0</v>
      </c>
      <c r="AJ1149" s="471">
        <v>0</v>
      </c>
      <c r="AK1149" s="218">
        <v>0</v>
      </c>
      <c r="AL1149" s="470">
        <v>0</v>
      </c>
      <c r="AM1149" s="471">
        <v>0</v>
      </c>
      <c r="AN1149" s="477">
        <v>165.2824362449565</v>
      </c>
      <c r="AO1149" s="473">
        <v>0.39805965484959044</v>
      </c>
      <c r="AP1149" s="474">
        <v>4.5053135751701813E-2</v>
      </c>
      <c r="AQ1149" s="352"/>
      <c r="AR1149" s="352"/>
      <c r="AS1149" s="352"/>
      <c r="AT1149" s="352"/>
      <c r="AU1149" s="352"/>
      <c r="AV1149" s="352"/>
      <c r="AW1149" s="352" t="s">
        <v>254</v>
      </c>
    </row>
    <row r="1150" spans="2:49" x14ac:dyDescent="0.2">
      <c r="B1150" s="460" t="s">
        <v>2706</v>
      </c>
      <c r="C1150" s="460">
        <v>2121</v>
      </c>
      <c r="D1150" s="460" t="s">
        <v>2345</v>
      </c>
      <c r="E1150" s="460" t="s">
        <v>2333</v>
      </c>
      <c r="F1150" s="460">
        <v>4</v>
      </c>
      <c r="G1150" s="460">
        <v>3</v>
      </c>
      <c r="H1150" s="461" t="s">
        <v>748</v>
      </c>
      <c r="I1150" s="461" t="s">
        <v>765</v>
      </c>
      <c r="J1150" s="461" t="s">
        <v>700</v>
      </c>
      <c r="K1150" s="594"/>
      <c r="L1150" s="594"/>
      <c r="M1150" s="352">
        <v>2000</v>
      </c>
      <c r="N1150" s="352" t="s">
        <v>703</v>
      </c>
      <c r="O1150" s="460">
        <v>2121</v>
      </c>
      <c r="P1150" s="460" t="s">
        <v>1876</v>
      </c>
      <c r="Q1150" s="460" t="s">
        <v>2266</v>
      </c>
      <c r="R1150" s="460">
        <v>2121</v>
      </c>
      <c r="S1150" s="460" t="s">
        <v>2333</v>
      </c>
      <c r="T1150" s="462">
        <v>1</v>
      </c>
      <c r="U1150" s="460" t="s">
        <v>2333</v>
      </c>
      <c r="V1150" s="475">
        <v>0</v>
      </c>
      <c r="W1150" s="463" t="s">
        <v>2268</v>
      </c>
      <c r="X1150" s="463" t="s">
        <v>2268</v>
      </c>
      <c r="Y1150" s="463" t="s">
        <v>2278</v>
      </c>
      <c r="Z1150" s="463"/>
      <c r="AA1150" s="463"/>
      <c r="AB1150" s="464">
        <v>0</v>
      </c>
      <c r="AC1150" s="465">
        <v>0</v>
      </c>
      <c r="AD1150" s="465">
        <v>0</v>
      </c>
      <c r="AE1150" s="476">
        <v>0</v>
      </c>
      <c r="AF1150" s="467">
        <v>0</v>
      </c>
      <c r="AG1150" s="468">
        <v>0</v>
      </c>
      <c r="AH1150" s="218">
        <v>0</v>
      </c>
      <c r="AI1150" s="470">
        <v>0</v>
      </c>
      <c r="AJ1150" s="471">
        <v>0</v>
      </c>
      <c r="AK1150" s="218">
        <v>0</v>
      </c>
      <c r="AL1150" s="470">
        <v>0</v>
      </c>
      <c r="AM1150" s="471">
        <v>0</v>
      </c>
      <c r="AN1150" s="477">
        <v>1.5333091507476628</v>
      </c>
      <c r="AO1150" s="473">
        <v>3.9040203178163178E-3</v>
      </c>
      <c r="AP1150" s="474">
        <v>9.5482922778620377E-4</v>
      </c>
      <c r="AQ1150" s="352"/>
      <c r="AR1150" s="352"/>
      <c r="AS1150" s="352"/>
      <c r="AT1150" s="352"/>
      <c r="AU1150" s="352"/>
      <c r="AV1150" s="352"/>
      <c r="AW1150" s="352" t="s">
        <v>254</v>
      </c>
    </row>
    <row r="1151" spans="2:49" x14ac:dyDescent="0.2">
      <c r="B1151" s="460" t="s">
        <v>2703</v>
      </c>
      <c r="C1151" s="460">
        <v>2121</v>
      </c>
      <c r="D1151" s="460" t="s">
        <v>2346</v>
      </c>
      <c r="E1151" s="460" t="s">
        <v>2324</v>
      </c>
      <c r="F1151" s="460">
        <v>1</v>
      </c>
      <c r="G1151" s="460">
        <v>3</v>
      </c>
      <c r="H1151" s="461" t="s">
        <v>752</v>
      </c>
      <c r="I1151" s="461" t="s">
        <v>964</v>
      </c>
      <c r="J1151" s="461" t="s">
        <v>752</v>
      </c>
      <c r="K1151" s="594"/>
      <c r="L1151" s="594"/>
      <c r="M1151" s="352">
        <v>2000</v>
      </c>
      <c r="N1151" s="352" t="s">
        <v>703</v>
      </c>
      <c r="O1151" s="460">
        <v>2121</v>
      </c>
      <c r="P1151" s="460" t="s">
        <v>1876</v>
      </c>
      <c r="Q1151" s="460" t="s">
        <v>2266</v>
      </c>
      <c r="R1151" s="460">
        <v>2121</v>
      </c>
      <c r="S1151" s="460" t="s">
        <v>2324</v>
      </c>
      <c r="T1151" s="462">
        <v>1</v>
      </c>
      <c r="U1151" s="460" t="s">
        <v>2324</v>
      </c>
      <c r="V1151" s="475">
        <v>0</v>
      </c>
      <c r="W1151" s="463" t="s">
        <v>2278</v>
      </c>
      <c r="X1151" s="463" t="s">
        <v>2278</v>
      </c>
      <c r="Y1151" s="463" t="s">
        <v>2278</v>
      </c>
      <c r="Z1151" s="463"/>
      <c r="AA1151" s="463"/>
      <c r="AB1151" s="464">
        <v>0</v>
      </c>
      <c r="AC1151" s="465">
        <v>0</v>
      </c>
      <c r="AD1151" s="465">
        <v>0</v>
      </c>
      <c r="AE1151" s="476">
        <v>0</v>
      </c>
      <c r="AF1151" s="467">
        <v>0</v>
      </c>
      <c r="AG1151" s="468">
        <v>0</v>
      </c>
      <c r="AH1151" s="218">
        <v>0</v>
      </c>
      <c r="AI1151" s="470">
        <v>0</v>
      </c>
      <c r="AJ1151" s="471">
        <v>0</v>
      </c>
      <c r="AK1151" s="218">
        <v>0</v>
      </c>
      <c r="AL1151" s="470">
        <v>0</v>
      </c>
      <c r="AM1151" s="471">
        <v>0</v>
      </c>
      <c r="AN1151" s="477">
        <v>0</v>
      </c>
      <c r="AO1151" s="473">
        <v>0</v>
      </c>
      <c r="AP1151" s="474">
        <v>0</v>
      </c>
      <c r="AQ1151" s="352"/>
      <c r="AR1151" s="352"/>
      <c r="AS1151" s="352"/>
      <c r="AT1151" s="352"/>
      <c r="AU1151" s="352"/>
      <c r="AV1151" s="352"/>
      <c r="AW1151" s="352" t="s">
        <v>254</v>
      </c>
    </row>
    <row r="1152" spans="2:49" x14ac:dyDescent="0.2">
      <c r="B1152" s="460" t="s">
        <v>2704</v>
      </c>
      <c r="C1152" s="460">
        <v>2121</v>
      </c>
      <c r="D1152" s="460" t="s">
        <v>2347</v>
      </c>
      <c r="E1152" s="460" t="s">
        <v>2327</v>
      </c>
      <c r="F1152" s="460">
        <v>2</v>
      </c>
      <c r="G1152" s="460">
        <v>3</v>
      </c>
      <c r="H1152" s="461" t="s">
        <v>752</v>
      </c>
      <c r="I1152" s="461" t="s">
        <v>964</v>
      </c>
      <c r="J1152" s="461" t="s">
        <v>752</v>
      </c>
      <c r="K1152" s="594"/>
      <c r="L1152" s="594"/>
      <c r="M1152" s="352">
        <v>2000</v>
      </c>
      <c r="N1152" s="352" t="s">
        <v>703</v>
      </c>
      <c r="O1152" s="460">
        <v>2121</v>
      </c>
      <c r="P1152" s="460" t="s">
        <v>1876</v>
      </c>
      <c r="Q1152" s="460" t="s">
        <v>2266</v>
      </c>
      <c r="R1152" s="460">
        <v>2121</v>
      </c>
      <c r="S1152" s="460" t="s">
        <v>2324</v>
      </c>
      <c r="T1152" s="462">
        <v>1</v>
      </c>
      <c r="U1152" s="460" t="s">
        <v>2327</v>
      </c>
      <c r="V1152" s="475">
        <v>0</v>
      </c>
      <c r="W1152" s="463" t="s">
        <v>2278</v>
      </c>
      <c r="X1152" s="463" t="s">
        <v>2278</v>
      </c>
      <c r="Y1152" s="463" t="s">
        <v>2278</v>
      </c>
      <c r="Z1152" s="463"/>
      <c r="AA1152" s="463"/>
      <c r="AB1152" s="464">
        <v>0</v>
      </c>
      <c r="AC1152" s="465">
        <v>0</v>
      </c>
      <c r="AD1152" s="465">
        <v>0</v>
      </c>
      <c r="AE1152" s="476">
        <v>0</v>
      </c>
      <c r="AF1152" s="467">
        <v>0</v>
      </c>
      <c r="AG1152" s="468">
        <v>0</v>
      </c>
      <c r="AH1152" s="218">
        <v>0</v>
      </c>
      <c r="AI1152" s="470">
        <v>0</v>
      </c>
      <c r="AJ1152" s="471">
        <v>0</v>
      </c>
      <c r="AK1152" s="218">
        <v>0</v>
      </c>
      <c r="AL1152" s="470">
        <v>0</v>
      </c>
      <c r="AM1152" s="471">
        <v>0</v>
      </c>
      <c r="AN1152" s="477">
        <v>0</v>
      </c>
      <c r="AO1152" s="473">
        <v>0</v>
      </c>
      <c r="AP1152" s="474">
        <v>0</v>
      </c>
      <c r="AQ1152" s="352"/>
      <c r="AR1152" s="352"/>
      <c r="AS1152" s="352"/>
      <c r="AT1152" s="352"/>
      <c r="AU1152" s="352"/>
      <c r="AV1152" s="352"/>
      <c r="AW1152" s="352" t="s">
        <v>254</v>
      </c>
    </row>
    <row r="1153" spans="2:49" x14ac:dyDescent="0.2">
      <c r="B1153" s="460" t="s">
        <v>2705</v>
      </c>
      <c r="C1153" s="460">
        <v>2121</v>
      </c>
      <c r="D1153" s="460" t="s">
        <v>2348</v>
      </c>
      <c r="E1153" s="460" t="s">
        <v>2330</v>
      </c>
      <c r="F1153" s="460">
        <v>3</v>
      </c>
      <c r="G1153" s="460">
        <v>3</v>
      </c>
      <c r="H1153" s="461" t="s">
        <v>752</v>
      </c>
      <c r="I1153" s="461" t="s">
        <v>964</v>
      </c>
      <c r="J1153" s="461" t="s">
        <v>752</v>
      </c>
      <c r="K1153" s="594"/>
      <c r="L1153" s="594"/>
      <c r="M1153" s="352">
        <v>2000</v>
      </c>
      <c r="N1153" s="352" t="s">
        <v>703</v>
      </c>
      <c r="O1153" s="460">
        <v>2121</v>
      </c>
      <c r="P1153" s="460" t="s">
        <v>1876</v>
      </c>
      <c r="Q1153" s="460" t="s">
        <v>2266</v>
      </c>
      <c r="R1153" s="460">
        <v>2121</v>
      </c>
      <c r="S1153" s="460" t="s">
        <v>2324</v>
      </c>
      <c r="T1153" s="462">
        <v>1</v>
      </c>
      <c r="U1153" s="460" t="s">
        <v>2330</v>
      </c>
      <c r="V1153" s="475">
        <v>0</v>
      </c>
      <c r="W1153" s="463" t="s">
        <v>2278</v>
      </c>
      <c r="X1153" s="463" t="s">
        <v>2278</v>
      </c>
      <c r="Y1153" s="463" t="s">
        <v>2278</v>
      </c>
      <c r="Z1153" s="463"/>
      <c r="AA1153" s="463"/>
      <c r="AB1153" s="464">
        <v>0</v>
      </c>
      <c r="AC1153" s="465">
        <v>0</v>
      </c>
      <c r="AD1153" s="465">
        <v>0</v>
      </c>
      <c r="AE1153" s="476">
        <v>0</v>
      </c>
      <c r="AF1153" s="467">
        <v>0</v>
      </c>
      <c r="AG1153" s="468">
        <v>0</v>
      </c>
      <c r="AH1153" s="218">
        <v>0</v>
      </c>
      <c r="AI1153" s="470">
        <v>0</v>
      </c>
      <c r="AJ1153" s="471">
        <v>0</v>
      </c>
      <c r="AK1153" s="218">
        <v>0</v>
      </c>
      <c r="AL1153" s="470">
        <v>0</v>
      </c>
      <c r="AM1153" s="471">
        <v>0</v>
      </c>
      <c r="AN1153" s="477">
        <v>0</v>
      </c>
      <c r="AO1153" s="473">
        <v>0</v>
      </c>
      <c r="AP1153" s="474">
        <v>0</v>
      </c>
      <c r="AQ1153" s="352"/>
      <c r="AR1153" s="352"/>
      <c r="AS1153" s="352"/>
      <c r="AT1153" s="352"/>
      <c r="AU1153" s="352"/>
      <c r="AV1153" s="352"/>
      <c r="AW1153" s="352" t="s">
        <v>254</v>
      </c>
    </row>
    <row r="1154" spans="2:49" x14ac:dyDescent="0.2">
      <c r="B1154" s="460" t="s">
        <v>2706</v>
      </c>
      <c r="C1154" s="460">
        <v>2121</v>
      </c>
      <c r="D1154" s="460" t="s">
        <v>2349</v>
      </c>
      <c r="E1154" s="460" t="s">
        <v>2333</v>
      </c>
      <c r="F1154" s="460">
        <v>4</v>
      </c>
      <c r="G1154" s="460">
        <v>3</v>
      </c>
      <c r="H1154" s="461" t="s">
        <v>752</v>
      </c>
      <c r="I1154" s="461" t="s">
        <v>964</v>
      </c>
      <c r="J1154" s="461" t="s">
        <v>752</v>
      </c>
      <c r="K1154" s="594"/>
      <c r="L1154" s="594"/>
      <c r="M1154" s="352">
        <v>2000</v>
      </c>
      <c r="N1154" s="352" t="s">
        <v>703</v>
      </c>
      <c r="O1154" s="460">
        <v>2121</v>
      </c>
      <c r="P1154" s="460" t="s">
        <v>1876</v>
      </c>
      <c r="Q1154" s="460" t="s">
        <v>2266</v>
      </c>
      <c r="R1154" s="460">
        <v>2121</v>
      </c>
      <c r="S1154" s="460" t="s">
        <v>2333</v>
      </c>
      <c r="T1154" s="462">
        <v>1</v>
      </c>
      <c r="U1154" s="460" t="s">
        <v>2333</v>
      </c>
      <c r="V1154" s="475">
        <v>0</v>
      </c>
      <c r="W1154" s="463" t="s">
        <v>2278</v>
      </c>
      <c r="X1154" s="463" t="s">
        <v>2278</v>
      </c>
      <c r="Y1154" s="463" t="s">
        <v>2278</v>
      </c>
      <c r="Z1154" s="463"/>
      <c r="AA1154" s="463"/>
      <c r="AB1154" s="464">
        <v>0</v>
      </c>
      <c r="AC1154" s="465">
        <v>0</v>
      </c>
      <c r="AD1154" s="465">
        <v>0</v>
      </c>
      <c r="AE1154" s="476">
        <v>0</v>
      </c>
      <c r="AF1154" s="467">
        <v>0</v>
      </c>
      <c r="AG1154" s="468">
        <v>0</v>
      </c>
      <c r="AH1154" s="218">
        <v>0</v>
      </c>
      <c r="AI1154" s="470">
        <v>0</v>
      </c>
      <c r="AJ1154" s="471">
        <v>0</v>
      </c>
      <c r="AK1154" s="218">
        <v>0</v>
      </c>
      <c r="AL1154" s="470">
        <v>0</v>
      </c>
      <c r="AM1154" s="471">
        <v>0</v>
      </c>
      <c r="AN1154" s="477">
        <v>0</v>
      </c>
      <c r="AO1154" s="473">
        <v>0</v>
      </c>
      <c r="AP1154" s="474">
        <v>0</v>
      </c>
      <c r="AQ1154" s="352"/>
      <c r="AR1154" s="352"/>
      <c r="AS1154" s="352"/>
      <c r="AT1154" s="352"/>
      <c r="AU1154" s="352"/>
      <c r="AV1154" s="352"/>
      <c r="AW1154" s="352" t="s">
        <v>254</v>
      </c>
    </row>
    <row r="1155" spans="2:49" x14ac:dyDescent="0.2">
      <c r="B1155" s="460" t="s">
        <v>2707</v>
      </c>
      <c r="C1155" s="460">
        <v>2121</v>
      </c>
      <c r="D1155" s="460" t="s">
        <v>2351</v>
      </c>
      <c r="E1155" s="460" t="s">
        <v>1136</v>
      </c>
      <c r="F1155" s="460">
        <v>1</v>
      </c>
      <c r="G1155" s="460">
        <v>4</v>
      </c>
      <c r="H1155" s="461" t="s">
        <v>700</v>
      </c>
      <c r="I1155" s="461" t="s">
        <v>872</v>
      </c>
      <c r="J1155" s="461" t="s">
        <v>700</v>
      </c>
      <c r="K1155" s="594"/>
      <c r="L1155" s="594"/>
      <c r="M1155" s="352">
        <v>2000</v>
      </c>
      <c r="N1155" s="352" t="s">
        <v>703</v>
      </c>
      <c r="O1155" s="460">
        <v>2121</v>
      </c>
      <c r="P1155" s="460" t="s">
        <v>1876</v>
      </c>
      <c r="Q1155" s="460" t="s">
        <v>2266</v>
      </c>
      <c r="R1155" s="460">
        <v>2121</v>
      </c>
      <c r="S1155" s="460" t="s">
        <v>1136</v>
      </c>
      <c r="T1155" s="462">
        <v>1</v>
      </c>
      <c r="U1155" s="460" t="s">
        <v>1136</v>
      </c>
      <c r="V1155" s="475">
        <v>0</v>
      </c>
      <c r="W1155" s="463" t="s">
        <v>2267</v>
      </c>
      <c r="X1155" s="463" t="s">
        <v>2267</v>
      </c>
      <c r="Y1155" s="463" t="s">
        <v>2268</v>
      </c>
      <c r="Z1155" s="463"/>
      <c r="AA1155" s="463"/>
      <c r="AB1155" s="464">
        <v>23.171848306545392</v>
      </c>
      <c r="AC1155" s="465">
        <v>0.21797147323899202</v>
      </c>
      <c r="AD1155" s="465">
        <v>6.5928756633682431E-2</v>
      </c>
      <c r="AE1155" s="476">
        <v>23.171848306545392</v>
      </c>
      <c r="AF1155" s="467">
        <v>0.21797147323899202</v>
      </c>
      <c r="AG1155" s="468">
        <v>7.1668617414655092E-2</v>
      </c>
      <c r="AH1155" s="218">
        <v>23.171848306545392</v>
      </c>
      <c r="AI1155" s="470">
        <v>0.21797147323899202</v>
      </c>
      <c r="AJ1155" s="471">
        <v>1.8096437836244202E-2</v>
      </c>
      <c r="AK1155" s="218">
        <v>23.171848306545392</v>
      </c>
      <c r="AL1155" s="470">
        <v>0.21797147323899202</v>
      </c>
      <c r="AM1155" s="471">
        <v>1.8096437836244202E-2</v>
      </c>
      <c r="AN1155" s="477">
        <v>0</v>
      </c>
      <c r="AO1155" s="473">
        <v>0</v>
      </c>
      <c r="AP1155" s="474">
        <v>0</v>
      </c>
      <c r="AQ1155" s="352"/>
      <c r="AR1155" s="352"/>
      <c r="AS1155" s="352"/>
      <c r="AT1155" s="352"/>
      <c r="AU1155" s="352"/>
      <c r="AV1155" s="352"/>
      <c r="AW1155" s="352" t="s">
        <v>254</v>
      </c>
    </row>
    <row r="1156" spans="2:49" x14ac:dyDescent="0.2">
      <c r="B1156" s="460" t="s">
        <v>2708</v>
      </c>
      <c r="C1156" s="460">
        <v>2121</v>
      </c>
      <c r="D1156" s="460" t="s">
        <v>2353</v>
      </c>
      <c r="E1156" s="460" t="s">
        <v>1137</v>
      </c>
      <c r="F1156" s="460">
        <v>2</v>
      </c>
      <c r="G1156" s="460">
        <v>4</v>
      </c>
      <c r="H1156" s="461" t="s">
        <v>700</v>
      </c>
      <c r="I1156" s="461" t="s">
        <v>872</v>
      </c>
      <c r="J1156" s="461" t="s">
        <v>700</v>
      </c>
      <c r="K1156" s="594"/>
      <c r="L1156" s="594"/>
      <c r="M1156" s="352">
        <v>2000</v>
      </c>
      <c r="N1156" s="352" t="s">
        <v>703</v>
      </c>
      <c r="O1156" s="460">
        <v>2121</v>
      </c>
      <c r="P1156" s="460" t="s">
        <v>1876</v>
      </c>
      <c r="Q1156" s="460" t="s">
        <v>2266</v>
      </c>
      <c r="R1156" s="460">
        <v>2121</v>
      </c>
      <c r="S1156" s="460" t="s">
        <v>1137</v>
      </c>
      <c r="T1156" s="462">
        <v>1</v>
      </c>
      <c r="U1156" s="460" t="s">
        <v>1137</v>
      </c>
      <c r="V1156" s="475">
        <v>0</v>
      </c>
      <c r="W1156" s="463" t="s">
        <v>2267</v>
      </c>
      <c r="X1156" s="463" t="s">
        <v>2267</v>
      </c>
      <c r="Y1156" s="463" t="s">
        <v>2268</v>
      </c>
      <c r="Z1156" s="463"/>
      <c r="AA1156" s="463"/>
      <c r="AB1156" s="464">
        <v>65.789200610991315</v>
      </c>
      <c r="AC1156" s="465">
        <v>0.19860338608785305</v>
      </c>
      <c r="AD1156" s="465">
        <v>1.4856196323732683E-2</v>
      </c>
      <c r="AE1156" s="476">
        <v>65.789200610991315</v>
      </c>
      <c r="AF1156" s="467">
        <v>0.19860338608785305</v>
      </c>
      <c r="AG1156" s="468">
        <v>1.600503693354732E-2</v>
      </c>
      <c r="AH1156" s="218">
        <v>65.789200610991315</v>
      </c>
      <c r="AI1156" s="470">
        <v>0.19860338608785305</v>
      </c>
      <c r="AJ1156" s="471">
        <v>1.3592669121785497E-2</v>
      </c>
      <c r="AK1156" s="218">
        <v>65.789200610991315</v>
      </c>
      <c r="AL1156" s="470">
        <v>0.19860338608785305</v>
      </c>
      <c r="AM1156" s="471">
        <v>1.3592669121785497E-2</v>
      </c>
      <c r="AN1156" s="477">
        <v>0</v>
      </c>
      <c r="AO1156" s="473">
        <v>0</v>
      </c>
      <c r="AP1156" s="474">
        <v>0</v>
      </c>
      <c r="AQ1156" s="352"/>
      <c r="AR1156" s="352"/>
      <c r="AS1156" s="352"/>
      <c r="AT1156" s="352"/>
      <c r="AU1156" s="352"/>
      <c r="AV1156" s="352"/>
      <c r="AW1156" s="352" t="s">
        <v>254</v>
      </c>
    </row>
    <row r="1157" spans="2:49" x14ac:dyDescent="0.2">
      <c r="B1157" s="460" t="s">
        <v>2709</v>
      </c>
      <c r="C1157" s="460">
        <v>2121</v>
      </c>
      <c r="D1157" s="460" t="s">
        <v>2355</v>
      </c>
      <c r="E1157" s="460" t="s">
        <v>1138</v>
      </c>
      <c r="F1157" s="460">
        <v>3</v>
      </c>
      <c r="G1157" s="460">
        <v>4</v>
      </c>
      <c r="H1157" s="461" t="s">
        <v>700</v>
      </c>
      <c r="I1157" s="461" t="s">
        <v>872</v>
      </c>
      <c r="J1157" s="461" t="s">
        <v>700</v>
      </c>
      <c r="K1157" s="594"/>
      <c r="L1157" s="594"/>
      <c r="M1157" s="352">
        <v>2000</v>
      </c>
      <c r="N1157" s="352" t="s">
        <v>703</v>
      </c>
      <c r="O1157" s="460">
        <v>2121</v>
      </c>
      <c r="P1157" s="460" t="s">
        <v>1876</v>
      </c>
      <c r="Q1157" s="460" t="s">
        <v>2266</v>
      </c>
      <c r="R1157" s="460">
        <v>2121</v>
      </c>
      <c r="S1157" s="460" t="s">
        <v>1138</v>
      </c>
      <c r="T1157" s="462">
        <v>1</v>
      </c>
      <c r="U1157" s="460" t="s">
        <v>1138</v>
      </c>
      <c r="V1157" s="475">
        <v>0</v>
      </c>
      <c r="W1157" s="463" t="s">
        <v>2267</v>
      </c>
      <c r="X1157" s="463" t="s">
        <v>2267</v>
      </c>
      <c r="Y1157" s="463" t="s">
        <v>2268</v>
      </c>
      <c r="Z1157" s="463"/>
      <c r="AA1157" s="463"/>
      <c r="AB1157" s="464">
        <v>49.72423149503004</v>
      </c>
      <c r="AC1157" s="465">
        <v>0.2611278453350192</v>
      </c>
      <c r="AD1157" s="465">
        <v>2.0862704254568275E-2</v>
      </c>
      <c r="AE1157" s="476">
        <v>49.72423149503004</v>
      </c>
      <c r="AF1157" s="467">
        <v>0.2611278453350192</v>
      </c>
      <c r="AG1157" s="468">
        <v>2.2508035450800094E-2</v>
      </c>
      <c r="AH1157" s="218">
        <v>49.72423149503004</v>
      </c>
      <c r="AI1157" s="470">
        <v>0.2611278453350192</v>
      </c>
      <c r="AJ1157" s="471">
        <v>1.7135277732872305E-2</v>
      </c>
      <c r="AK1157" s="218">
        <v>49.72423149503004</v>
      </c>
      <c r="AL1157" s="470">
        <v>0.2611278453350192</v>
      </c>
      <c r="AM1157" s="471">
        <v>1.7135277732872305E-2</v>
      </c>
      <c r="AN1157" s="477">
        <v>0</v>
      </c>
      <c r="AO1157" s="473">
        <v>0</v>
      </c>
      <c r="AP1157" s="474">
        <v>0</v>
      </c>
      <c r="AQ1157" s="352"/>
      <c r="AR1157" s="352"/>
      <c r="AS1157" s="352"/>
      <c r="AT1157" s="352"/>
      <c r="AU1157" s="352"/>
      <c r="AV1157" s="352"/>
      <c r="AW1157" s="352" t="s">
        <v>254</v>
      </c>
    </row>
    <row r="1158" spans="2:49" x14ac:dyDescent="0.2">
      <c r="B1158" s="460" t="s">
        <v>2710</v>
      </c>
      <c r="C1158" s="460">
        <v>2121</v>
      </c>
      <c r="D1158" s="460" t="s">
        <v>2357</v>
      </c>
      <c r="E1158" s="460" t="s">
        <v>1139</v>
      </c>
      <c r="F1158" s="460">
        <v>4</v>
      </c>
      <c r="G1158" s="460">
        <v>4</v>
      </c>
      <c r="H1158" s="461" t="s">
        <v>700</v>
      </c>
      <c r="I1158" s="461" t="s">
        <v>872</v>
      </c>
      <c r="J1158" s="461" t="s">
        <v>700</v>
      </c>
      <c r="K1158" s="594"/>
      <c r="L1158" s="594"/>
      <c r="M1158" s="352">
        <v>2000</v>
      </c>
      <c r="N1158" s="352" t="s">
        <v>703</v>
      </c>
      <c r="O1158" s="460">
        <v>2121</v>
      </c>
      <c r="P1158" s="460" t="s">
        <v>1876</v>
      </c>
      <c r="Q1158" s="460" t="s">
        <v>2266</v>
      </c>
      <c r="R1158" s="460">
        <v>2121</v>
      </c>
      <c r="S1158" s="460" t="s">
        <v>1139</v>
      </c>
      <c r="T1158" s="462">
        <v>1</v>
      </c>
      <c r="U1158" s="460" t="s">
        <v>1139</v>
      </c>
      <c r="V1158" s="475">
        <v>0</v>
      </c>
      <c r="W1158" s="463" t="s">
        <v>2267</v>
      </c>
      <c r="X1158" s="463" t="s">
        <v>2267</v>
      </c>
      <c r="Y1158" s="463" t="s">
        <v>2268</v>
      </c>
      <c r="Z1158" s="463"/>
      <c r="AA1158" s="463"/>
      <c r="AB1158" s="464">
        <v>0</v>
      </c>
      <c r="AC1158" s="465">
        <v>0</v>
      </c>
      <c r="AD1158" s="465">
        <v>0</v>
      </c>
      <c r="AE1158" s="476">
        <v>0</v>
      </c>
      <c r="AF1158" s="467">
        <v>0</v>
      </c>
      <c r="AG1158" s="468">
        <v>0</v>
      </c>
      <c r="AH1158" s="218">
        <v>0</v>
      </c>
      <c r="AI1158" s="470">
        <v>0</v>
      </c>
      <c r="AJ1158" s="471">
        <v>0</v>
      </c>
      <c r="AK1158" s="218">
        <v>0</v>
      </c>
      <c r="AL1158" s="470">
        <v>0</v>
      </c>
      <c r="AM1158" s="471">
        <v>0</v>
      </c>
      <c r="AN1158" s="477">
        <v>0</v>
      </c>
      <c r="AO1158" s="473">
        <v>0</v>
      </c>
      <c r="AP1158" s="474">
        <v>0</v>
      </c>
      <c r="AQ1158" s="352"/>
      <c r="AR1158" s="352"/>
      <c r="AS1158" s="352"/>
      <c r="AT1158" s="352"/>
      <c r="AU1158" s="352"/>
      <c r="AV1158" s="352"/>
      <c r="AW1158" s="352" t="s">
        <v>254</v>
      </c>
    </row>
    <row r="1159" spans="2:49" x14ac:dyDescent="0.2">
      <c r="B1159" s="460" t="s">
        <v>2707</v>
      </c>
      <c r="C1159" s="460">
        <v>2121</v>
      </c>
      <c r="D1159" s="460" t="s">
        <v>2358</v>
      </c>
      <c r="E1159" s="460" t="s">
        <v>1136</v>
      </c>
      <c r="F1159" s="460">
        <v>1</v>
      </c>
      <c r="G1159" s="460">
        <v>4</v>
      </c>
      <c r="H1159" s="461" t="s">
        <v>712</v>
      </c>
      <c r="I1159" s="461" t="s">
        <v>713</v>
      </c>
      <c r="J1159" s="461" t="s">
        <v>712</v>
      </c>
      <c r="K1159" s="594"/>
      <c r="L1159" s="594"/>
      <c r="M1159" s="352">
        <v>2000</v>
      </c>
      <c r="N1159" s="352" t="s">
        <v>703</v>
      </c>
      <c r="O1159" s="460">
        <v>2121</v>
      </c>
      <c r="P1159" s="460" t="s">
        <v>1876</v>
      </c>
      <c r="Q1159" s="460" t="s">
        <v>2280</v>
      </c>
      <c r="R1159" s="460">
        <v>2121</v>
      </c>
      <c r="S1159" s="460" t="s">
        <v>1136</v>
      </c>
      <c r="T1159" s="462">
        <v>1</v>
      </c>
      <c r="U1159" s="460" t="s">
        <v>1136</v>
      </c>
      <c r="V1159" s="475">
        <v>0</v>
      </c>
      <c r="W1159" s="463" t="s">
        <v>713</v>
      </c>
      <c r="X1159" s="463" t="s">
        <v>713</v>
      </c>
      <c r="Y1159" s="463" t="s">
        <v>713</v>
      </c>
      <c r="Z1159" s="463"/>
      <c r="AA1159" s="463"/>
      <c r="AB1159" s="464">
        <v>73.924605838707919</v>
      </c>
      <c r="AC1159" s="465">
        <v>0.69538929437594155</v>
      </c>
      <c r="AD1159" s="465">
        <v>4.8719053472534135E-4</v>
      </c>
      <c r="AE1159" s="476">
        <v>73.924605838707933</v>
      </c>
      <c r="AF1159" s="467">
        <v>0.69538929437594166</v>
      </c>
      <c r="AG1159" s="468">
        <v>4.8710017264270999E-4</v>
      </c>
      <c r="AH1159" s="218">
        <v>73.924605838707933</v>
      </c>
      <c r="AI1159" s="470">
        <v>0.69538929437594166</v>
      </c>
      <c r="AJ1159" s="471">
        <v>4.9205067981154154E-4</v>
      </c>
      <c r="AK1159" s="218">
        <v>73.924605838707933</v>
      </c>
      <c r="AL1159" s="470">
        <v>0.69538929437594166</v>
      </c>
      <c r="AM1159" s="471">
        <v>4.9205067981154154E-4</v>
      </c>
      <c r="AN1159" s="477">
        <v>73.924605838707933</v>
      </c>
      <c r="AO1159" s="473">
        <v>0.69538929437594166</v>
      </c>
      <c r="AP1159" s="474">
        <v>4.9125004464391317E-4</v>
      </c>
      <c r="AQ1159" s="352"/>
      <c r="AR1159" s="352"/>
      <c r="AS1159" s="352"/>
      <c r="AT1159" s="352"/>
      <c r="AU1159" s="352"/>
      <c r="AV1159" s="352"/>
      <c r="AW1159" s="352" t="s">
        <v>254</v>
      </c>
    </row>
    <row r="1160" spans="2:49" x14ac:dyDescent="0.2">
      <c r="B1160" s="460" t="s">
        <v>2708</v>
      </c>
      <c r="C1160" s="460">
        <v>2121</v>
      </c>
      <c r="D1160" s="460" t="s">
        <v>2359</v>
      </c>
      <c r="E1160" s="460" t="s">
        <v>1137</v>
      </c>
      <c r="F1160" s="460">
        <v>2</v>
      </c>
      <c r="G1160" s="460">
        <v>4</v>
      </c>
      <c r="H1160" s="461" t="s">
        <v>712</v>
      </c>
      <c r="I1160" s="461" t="s">
        <v>713</v>
      </c>
      <c r="J1160" s="461" t="s">
        <v>712</v>
      </c>
      <c r="K1160" s="594"/>
      <c r="L1160" s="594"/>
      <c r="M1160" s="352">
        <v>2000</v>
      </c>
      <c r="N1160" s="352" t="s">
        <v>703</v>
      </c>
      <c r="O1160" s="460">
        <v>2121</v>
      </c>
      <c r="P1160" s="460" t="s">
        <v>1876</v>
      </c>
      <c r="Q1160" s="460" t="s">
        <v>2280</v>
      </c>
      <c r="R1160" s="460">
        <v>2121</v>
      </c>
      <c r="S1160" s="460" t="s">
        <v>1137</v>
      </c>
      <c r="T1160" s="462">
        <v>1</v>
      </c>
      <c r="U1160" s="460" t="s">
        <v>1137</v>
      </c>
      <c r="V1160" s="475">
        <v>0</v>
      </c>
      <c r="W1160" s="463" t="s">
        <v>713</v>
      </c>
      <c r="X1160" s="463" t="s">
        <v>713</v>
      </c>
      <c r="Y1160" s="463" t="s">
        <v>713</v>
      </c>
      <c r="Z1160" s="463"/>
      <c r="AA1160" s="463"/>
      <c r="AB1160" s="464">
        <v>261.69381347363122</v>
      </c>
      <c r="AC1160" s="465">
        <v>0.78999709665757933</v>
      </c>
      <c r="AD1160" s="465">
        <v>1.5134114227985853E-3</v>
      </c>
      <c r="AE1160" s="476">
        <v>261.69381347363122</v>
      </c>
      <c r="AF1160" s="467">
        <v>0.78999709665757945</v>
      </c>
      <c r="AG1160" s="468">
        <v>1.5106344411400271E-3</v>
      </c>
      <c r="AH1160" s="218">
        <v>261.69381347363122</v>
      </c>
      <c r="AI1160" s="470">
        <v>0.78999709665757945</v>
      </c>
      <c r="AJ1160" s="471">
        <v>1.5178027331416797E-3</v>
      </c>
      <c r="AK1160" s="218">
        <v>261.69381347363122</v>
      </c>
      <c r="AL1160" s="470">
        <v>0.78999709665757945</v>
      </c>
      <c r="AM1160" s="471">
        <v>1.5178027331416797E-3</v>
      </c>
      <c r="AN1160" s="477">
        <v>261.69381347363122</v>
      </c>
      <c r="AO1160" s="473">
        <v>0.78999709665757945</v>
      </c>
      <c r="AP1160" s="474">
        <v>1.5165503281534725E-3</v>
      </c>
      <c r="AQ1160" s="352"/>
      <c r="AR1160" s="352"/>
      <c r="AS1160" s="352"/>
      <c r="AT1160" s="352"/>
      <c r="AU1160" s="352"/>
      <c r="AV1160" s="352"/>
      <c r="AW1160" s="352" t="s">
        <v>254</v>
      </c>
    </row>
    <row r="1161" spans="2:49" x14ac:dyDescent="0.2">
      <c r="B1161" s="460" t="s">
        <v>2709</v>
      </c>
      <c r="C1161" s="460">
        <v>2121</v>
      </c>
      <c r="D1161" s="460" t="s">
        <v>2360</v>
      </c>
      <c r="E1161" s="460" t="s">
        <v>1138</v>
      </c>
      <c r="F1161" s="460">
        <v>3</v>
      </c>
      <c r="G1161" s="460">
        <v>4</v>
      </c>
      <c r="H1161" s="461" t="s">
        <v>712</v>
      </c>
      <c r="I1161" s="461" t="s">
        <v>713</v>
      </c>
      <c r="J1161" s="461" t="s">
        <v>712</v>
      </c>
      <c r="K1161" s="594"/>
      <c r="L1161" s="594"/>
      <c r="M1161" s="352">
        <v>2000</v>
      </c>
      <c r="N1161" s="352" t="s">
        <v>703</v>
      </c>
      <c r="O1161" s="460">
        <v>2121</v>
      </c>
      <c r="P1161" s="460" t="s">
        <v>1876</v>
      </c>
      <c r="Q1161" s="460" t="s">
        <v>2280</v>
      </c>
      <c r="R1161" s="460">
        <v>2121</v>
      </c>
      <c r="S1161" s="460" t="s">
        <v>1138</v>
      </c>
      <c r="T1161" s="462">
        <v>1</v>
      </c>
      <c r="U1161" s="460" t="s">
        <v>1138</v>
      </c>
      <c r="V1161" s="475">
        <v>0</v>
      </c>
      <c r="W1161" s="463" t="s">
        <v>713</v>
      </c>
      <c r="X1161" s="463" t="s">
        <v>713</v>
      </c>
      <c r="Y1161" s="463" t="s">
        <v>713</v>
      </c>
      <c r="Z1161" s="463"/>
      <c r="AA1161" s="463"/>
      <c r="AB1161" s="464">
        <v>124.622312090077</v>
      </c>
      <c r="AC1161" s="465">
        <v>0.6544566875810387</v>
      </c>
      <c r="AD1161" s="465">
        <v>1.5552299620352468E-3</v>
      </c>
      <c r="AE1161" s="476">
        <v>124.622312090077</v>
      </c>
      <c r="AF1161" s="467">
        <v>0.6544566875810387</v>
      </c>
      <c r="AG1161" s="468">
        <v>1.5518558196989686E-3</v>
      </c>
      <c r="AH1161" s="218">
        <v>124.622312090077</v>
      </c>
      <c r="AI1161" s="470">
        <v>0.6544566875810387</v>
      </c>
      <c r="AJ1161" s="471">
        <v>1.570051907641274E-3</v>
      </c>
      <c r="AK1161" s="218">
        <v>124.622312090077</v>
      </c>
      <c r="AL1161" s="470">
        <v>0.6544566875810387</v>
      </c>
      <c r="AM1161" s="471">
        <v>1.570051907641274E-3</v>
      </c>
      <c r="AN1161" s="477">
        <v>124.622312090077</v>
      </c>
      <c r="AO1161" s="473">
        <v>0.6544566875810387</v>
      </c>
      <c r="AP1161" s="474">
        <v>1.5699335821138872E-3</v>
      </c>
      <c r="AQ1161" s="352"/>
      <c r="AR1161" s="352"/>
      <c r="AS1161" s="352"/>
      <c r="AT1161" s="352"/>
      <c r="AU1161" s="352"/>
      <c r="AV1161" s="352"/>
      <c r="AW1161" s="352" t="s">
        <v>254</v>
      </c>
    </row>
    <row r="1162" spans="2:49" x14ac:dyDescent="0.2">
      <c r="B1162" s="460" t="s">
        <v>2710</v>
      </c>
      <c r="C1162" s="460">
        <v>2121</v>
      </c>
      <c r="D1162" s="460" t="s">
        <v>2361</v>
      </c>
      <c r="E1162" s="460" t="s">
        <v>1139</v>
      </c>
      <c r="F1162" s="460">
        <v>4</v>
      </c>
      <c r="G1162" s="460">
        <v>4</v>
      </c>
      <c r="H1162" s="461" t="s">
        <v>712</v>
      </c>
      <c r="I1162" s="461" t="s">
        <v>713</v>
      </c>
      <c r="J1162" s="461" t="s">
        <v>712</v>
      </c>
      <c r="K1162" s="594"/>
      <c r="L1162" s="594"/>
      <c r="M1162" s="352">
        <v>2000</v>
      </c>
      <c r="N1162" s="352" t="s">
        <v>703</v>
      </c>
      <c r="O1162" s="460">
        <v>2121</v>
      </c>
      <c r="P1162" s="460" t="s">
        <v>1876</v>
      </c>
      <c r="Q1162" s="460" t="s">
        <v>2280</v>
      </c>
      <c r="R1162" s="460">
        <v>2121</v>
      </c>
      <c r="S1162" s="460" t="s">
        <v>1139</v>
      </c>
      <c r="T1162" s="462">
        <v>1</v>
      </c>
      <c r="U1162" s="460" t="s">
        <v>1139</v>
      </c>
      <c r="V1162" s="475">
        <v>0</v>
      </c>
      <c r="W1162" s="463" t="s">
        <v>713</v>
      </c>
      <c r="X1162" s="463" t="s">
        <v>713</v>
      </c>
      <c r="Y1162" s="463" t="s">
        <v>713</v>
      </c>
      <c r="Z1162" s="463"/>
      <c r="AA1162" s="463"/>
      <c r="AB1162" s="464">
        <v>141.29670202154671</v>
      </c>
      <c r="AC1162" s="465">
        <v>0.37721471441247911</v>
      </c>
      <c r="AD1162" s="465">
        <v>1.5644703364756233E-3</v>
      </c>
      <c r="AE1162" s="476">
        <v>141.29670202154671</v>
      </c>
      <c r="AF1162" s="467">
        <v>0.37721471441247911</v>
      </c>
      <c r="AG1162" s="468">
        <v>1.5644703364756233E-3</v>
      </c>
      <c r="AH1162" s="218">
        <v>141.29670202154671</v>
      </c>
      <c r="AI1162" s="470">
        <v>0.37721471441247911</v>
      </c>
      <c r="AJ1162" s="471">
        <v>1.5981187411293156E-3</v>
      </c>
      <c r="AK1162" s="218">
        <v>141.29670202154671</v>
      </c>
      <c r="AL1162" s="470">
        <v>0.37721471441247911</v>
      </c>
      <c r="AM1162" s="471">
        <v>1.5981187411293156E-3</v>
      </c>
      <c r="AN1162" s="477">
        <v>141.29670202154671</v>
      </c>
      <c r="AO1162" s="473">
        <v>0.37721471441247911</v>
      </c>
      <c r="AP1162" s="474">
        <v>1.5981187411293156E-3</v>
      </c>
      <c r="AQ1162" s="352"/>
      <c r="AR1162" s="352"/>
      <c r="AS1162" s="352"/>
      <c r="AT1162" s="352"/>
      <c r="AU1162" s="352"/>
      <c r="AV1162" s="352"/>
      <c r="AW1162" s="352" t="s">
        <v>254</v>
      </c>
    </row>
    <row r="1163" spans="2:49" x14ac:dyDescent="0.2">
      <c r="B1163" s="460" t="s">
        <v>2707</v>
      </c>
      <c r="C1163" s="460">
        <v>2121</v>
      </c>
      <c r="D1163" s="460" t="s">
        <v>2362</v>
      </c>
      <c r="E1163" s="460" t="s">
        <v>1136</v>
      </c>
      <c r="F1163" s="460">
        <v>1</v>
      </c>
      <c r="G1163" s="460">
        <v>4</v>
      </c>
      <c r="H1163" s="461" t="s">
        <v>746</v>
      </c>
      <c r="I1163" s="461" t="s">
        <v>762</v>
      </c>
      <c r="J1163" s="461" t="s">
        <v>700</v>
      </c>
      <c r="K1163" s="594"/>
      <c r="L1163" s="594"/>
      <c r="M1163" s="352">
        <v>2000</v>
      </c>
      <c r="N1163" s="352" t="s">
        <v>703</v>
      </c>
      <c r="O1163" s="460">
        <v>2121</v>
      </c>
      <c r="P1163" s="460" t="s">
        <v>1876</v>
      </c>
      <c r="Q1163" s="460" t="s">
        <v>2289</v>
      </c>
      <c r="R1163" s="460">
        <v>2121</v>
      </c>
      <c r="S1163" s="460" t="s">
        <v>1136</v>
      </c>
      <c r="T1163" s="462">
        <v>1</v>
      </c>
      <c r="U1163" s="460" t="s">
        <v>1136</v>
      </c>
      <c r="V1163" s="475">
        <v>0</v>
      </c>
      <c r="W1163" s="463" t="s">
        <v>2268</v>
      </c>
      <c r="X1163" s="463" t="s">
        <v>2268</v>
      </c>
      <c r="Y1163" s="463" t="s">
        <v>2290</v>
      </c>
      <c r="Z1163" s="463"/>
      <c r="AA1163" s="463"/>
      <c r="AB1163" s="464">
        <v>0</v>
      </c>
      <c r="AC1163" s="465">
        <v>0</v>
      </c>
      <c r="AD1163" s="465">
        <v>0</v>
      </c>
      <c r="AE1163" s="476">
        <v>0</v>
      </c>
      <c r="AF1163" s="467">
        <v>0</v>
      </c>
      <c r="AG1163" s="468">
        <v>0</v>
      </c>
      <c r="AH1163" s="218">
        <v>0</v>
      </c>
      <c r="AI1163" s="470">
        <v>0</v>
      </c>
      <c r="AJ1163" s="471">
        <v>0</v>
      </c>
      <c r="AK1163" s="218">
        <v>0</v>
      </c>
      <c r="AL1163" s="470">
        <v>0</v>
      </c>
      <c r="AM1163" s="471">
        <v>0</v>
      </c>
      <c r="AN1163" s="477">
        <v>0</v>
      </c>
      <c r="AO1163" s="473">
        <v>0</v>
      </c>
      <c r="AP1163" s="474">
        <v>0</v>
      </c>
      <c r="AQ1163" s="352"/>
      <c r="AR1163" s="352"/>
      <c r="AS1163" s="352"/>
      <c r="AT1163" s="352"/>
      <c r="AU1163" s="352"/>
      <c r="AV1163" s="352"/>
      <c r="AW1163" s="352" t="s">
        <v>254</v>
      </c>
    </row>
    <row r="1164" spans="2:49" x14ac:dyDescent="0.2">
      <c r="B1164" s="460" t="s">
        <v>2708</v>
      </c>
      <c r="C1164" s="460">
        <v>2121</v>
      </c>
      <c r="D1164" s="460" t="s">
        <v>2363</v>
      </c>
      <c r="E1164" s="460" t="s">
        <v>1137</v>
      </c>
      <c r="F1164" s="460">
        <v>2</v>
      </c>
      <c r="G1164" s="460">
        <v>4</v>
      </c>
      <c r="H1164" s="461" t="s">
        <v>746</v>
      </c>
      <c r="I1164" s="461" t="s">
        <v>762</v>
      </c>
      <c r="J1164" s="461" t="s">
        <v>700</v>
      </c>
      <c r="K1164" s="594"/>
      <c r="L1164" s="594"/>
      <c r="M1164" s="352">
        <v>2000</v>
      </c>
      <c r="N1164" s="352" t="s">
        <v>703</v>
      </c>
      <c r="O1164" s="460">
        <v>2121</v>
      </c>
      <c r="P1164" s="460" t="s">
        <v>1876</v>
      </c>
      <c r="Q1164" s="460" t="s">
        <v>2289</v>
      </c>
      <c r="R1164" s="460">
        <v>2121</v>
      </c>
      <c r="S1164" s="460" t="s">
        <v>1137</v>
      </c>
      <c r="T1164" s="462">
        <v>1</v>
      </c>
      <c r="U1164" s="460" t="s">
        <v>1137</v>
      </c>
      <c r="V1164" s="475">
        <v>0</v>
      </c>
      <c r="W1164" s="463" t="s">
        <v>2268</v>
      </c>
      <c r="X1164" s="463" t="s">
        <v>2268</v>
      </c>
      <c r="Y1164" s="463" t="s">
        <v>2290</v>
      </c>
      <c r="Z1164" s="463"/>
      <c r="AA1164" s="463"/>
      <c r="AB1164" s="464">
        <v>0</v>
      </c>
      <c r="AC1164" s="465">
        <v>0</v>
      </c>
      <c r="AD1164" s="465">
        <v>0</v>
      </c>
      <c r="AE1164" s="476">
        <v>0</v>
      </c>
      <c r="AF1164" s="467">
        <v>0</v>
      </c>
      <c r="AG1164" s="468">
        <v>0</v>
      </c>
      <c r="AH1164" s="218">
        <v>0</v>
      </c>
      <c r="AI1164" s="470">
        <v>0</v>
      </c>
      <c r="AJ1164" s="471">
        <v>0</v>
      </c>
      <c r="AK1164" s="218">
        <v>0</v>
      </c>
      <c r="AL1164" s="470">
        <v>0</v>
      </c>
      <c r="AM1164" s="471">
        <v>0</v>
      </c>
      <c r="AN1164" s="477">
        <v>0</v>
      </c>
      <c r="AO1164" s="473">
        <v>0</v>
      </c>
      <c r="AP1164" s="474">
        <v>0</v>
      </c>
      <c r="AQ1164" s="352"/>
      <c r="AR1164" s="352"/>
      <c r="AS1164" s="352"/>
      <c r="AT1164" s="352"/>
      <c r="AU1164" s="352"/>
      <c r="AV1164" s="352"/>
      <c r="AW1164" s="352" t="s">
        <v>254</v>
      </c>
    </row>
    <row r="1165" spans="2:49" x14ac:dyDescent="0.2">
      <c r="B1165" s="460" t="s">
        <v>2709</v>
      </c>
      <c r="C1165" s="460">
        <v>2121</v>
      </c>
      <c r="D1165" s="460" t="s">
        <v>2364</v>
      </c>
      <c r="E1165" s="460" t="s">
        <v>1138</v>
      </c>
      <c r="F1165" s="460">
        <v>3</v>
      </c>
      <c r="G1165" s="460">
        <v>4</v>
      </c>
      <c r="H1165" s="461" t="s">
        <v>746</v>
      </c>
      <c r="I1165" s="461" t="s">
        <v>762</v>
      </c>
      <c r="J1165" s="461" t="s">
        <v>700</v>
      </c>
      <c r="K1165" s="594"/>
      <c r="L1165" s="594"/>
      <c r="M1165" s="352">
        <v>2000</v>
      </c>
      <c r="N1165" s="352" t="s">
        <v>703</v>
      </c>
      <c r="O1165" s="460">
        <v>2121</v>
      </c>
      <c r="P1165" s="460" t="s">
        <v>1876</v>
      </c>
      <c r="Q1165" s="460" t="s">
        <v>2289</v>
      </c>
      <c r="R1165" s="460">
        <v>2121</v>
      </c>
      <c r="S1165" s="460" t="s">
        <v>1138</v>
      </c>
      <c r="T1165" s="462">
        <v>1</v>
      </c>
      <c r="U1165" s="460" t="s">
        <v>1138</v>
      </c>
      <c r="V1165" s="475">
        <v>0</v>
      </c>
      <c r="W1165" s="463" t="s">
        <v>2268</v>
      </c>
      <c r="X1165" s="463" t="s">
        <v>2268</v>
      </c>
      <c r="Y1165" s="463" t="s">
        <v>2290</v>
      </c>
      <c r="Z1165" s="463"/>
      <c r="AA1165" s="463"/>
      <c r="AB1165" s="464">
        <v>0</v>
      </c>
      <c r="AC1165" s="465">
        <v>0</v>
      </c>
      <c r="AD1165" s="465">
        <v>0</v>
      </c>
      <c r="AE1165" s="476">
        <v>0</v>
      </c>
      <c r="AF1165" s="467">
        <v>0</v>
      </c>
      <c r="AG1165" s="468">
        <v>0</v>
      </c>
      <c r="AH1165" s="218">
        <v>0</v>
      </c>
      <c r="AI1165" s="470">
        <v>0</v>
      </c>
      <c r="AJ1165" s="471">
        <v>0</v>
      </c>
      <c r="AK1165" s="218">
        <v>0</v>
      </c>
      <c r="AL1165" s="470">
        <v>0</v>
      </c>
      <c r="AM1165" s="471">
        <v>0</v>
      </c>
      <c r="AN1165" s="477">
        <v>0</v>
      </c>
      <c r="AO1165" s="473">
        <v>0</v>
      </c>
      <c r="AP1165" s="474">
        <v>0</v>
      </c>
      <c r="AQ1165" s="352"/>
      <c r="AR1165" s="352"/>
      <c r="AS1165" s="352"/>
      <c r="AT1165" s="352"/>
      <c r="AU1165" s="352"/>
      <c r="AV1165" s="352"/>
      <c r="AW1165" s="352" t="s">
        <v>254</v>
      </c>
    </row>
    <row r="1166" spans="2:49" x14ac:dyDescent="0.2">
      <c r="B1166" s="460" t="s">
        <v>2710</v>
      </c>
      <c r="C1166" s="460">
        <v>2121</v>
      </c>
      <c r="D1166" s="460" t="s">
        <v>2365</v>
      </c>
      <c r="E1166" s="460" t="s">
        <v>1139</v>
      </c>
      <c r="F1166" s="460">
        <v>4</v>
      </c>
      <c r="G1166" s="460">
        <v>4</v>
      </c>
      <c r="H1166" s="461" t="s">
        <v>746</v>
      </c>
      <c r="I1166" s="461" t="s">
        <v>762</v>
      </c>
      <c r="J1166" s="461" t="s">
        <v>700</v>
      </c>
      <c r="K1166" s="594"/>
      <c r="L1166" s="594"/>
      <c r="M1166" s="352">
        <v>2000</v>
      </c>
      <c r="N1166" s="352" t="s">
        <v>703</v>
      </c>
      <c r="O1166" s="460">
        <v>2121</v>
      </c>
      <c r="P1166" s="460" t="s">
        <v>1876</v>
      </c>
      <c r="Q1166" s="460" t="s">
        <v>2289</v>
      </c>
      <c r="R1166" s="460">
        <v>2121</v>
      </c>
      <c r="S1166" s="460" t="s">
        <v>1139</v>
      </c>
      <c r="T1166" s="462">
        <v>1</v>
      </c>
      <c r="U1166" s="460" t="s">
        <v>1139</v>
      </c>
      <c r="V1166" s="475">
        <v>0</v>
      </c>
      <c r="W1166" s="463" t="s">
        <v>2268</v>
      </c>
      <c r="X1166" s="463" t="s">
        <v>2268</v>
      </c>
      <c r="Y1166" s="463" t="s">
        <v>2290</v>
      </c>
      <c r="Z1166" s="463"/>
      <c r="AA1166" s="463"/>
      <c r="AB1166" s="464">
        <v>0</v>
      </c>
      <c r="AC1166" s="465">
        <v>0</v>
      </c>
      <c r="AD1166" s="465">
        <v>0</v>
      </c>
      <c r="AE1166" s="476">
        <v>0</v>
      </c>
      <c r="AF1166" s="467">
        <v>0</v>
      </c>
      <c r="AG1166" s="468">
        <v>0</v>
      </c>
      <c r="AH1166" s="218">
        <v>0</v>
      </c>
      <c r="AI1166" s="470">
        <v>0</v>
      </c>
      <c r="AJ1166" s="471">
        <v>0</v>
      </c>
      <c r="AK1166" s="218">
        <v>0</v>
      </c>
      <c r="AL1166" s="470">
        <v>0</v>
      </c>
      <c r="AM1166" s="471">
        <v>0</v>
      </c>
      <c r="AN1166" s="477">
        <v>0</v>
      </c>
      <c r="AO1166" s="473">
        <v>0</v>
      </c>
      <c r="AP1166" s="474">
        <v>0</v>
      </c>
      <c r="AQ1166" s="352"/>
      <c r="AR1166" s="352"/>
      <c r="AS1166" s="352"/>
      <c r="AT1166" s="352"/>
      <c r="AU1166" s="352"/>
      <c r="AV1166" s="352"/>
      <c r="AW1166" s="352" t="s">
        <v>254</v>
      </c>
    </row>
    <row r="1167" spans="2:49" x14ac:dyDescent="0.2">
      <c r="B1167" s="460" t="s">
        <v>2707</v>
      </c>
      <c r="C1167" s="460">
        <v>2121</v>
      </c>
      <c r="D1167" s="460" t="s">
        <v>2366</v>
      </c>
      <c r="E1167" s="460" t="s">
        <v>1136</v>
      </c>
      <c r="F1167" s="460">
        <v>1</v>
      </c>
      <c r="G1167" s="460">
        <v>4</v>
      </c>
      <c r="H1167" s="461" t="s">
        <v>748</v>
      </c>
      <c r="I1167" s="461" t="s">
        <v>765</v>
      </c>
      <c r="J1167" s="461" t="s">
        <v>700</v>
      </c>
      <c r="K1167" s="594"/>
      <c r="L1167" s="594"/>
      <c r="M1167" s="352">
        <v>2000</v>
      </c>
      <c r="N1167" s="352" t="s">
        <v>703</v>
      </c>
      <c r="O1167" s="460">
        <v>2121</v>
      </c>
      <c r="P1167" s="460" t="s">
        <v>1876</v>
      </c>
      <c r="Q1167" s="460" t="s">
        <v>2266</v>
      </c>
      <c r="R1167" s="460">
        <v>2121</v>
      </c>
      <c r="S1167" s="460" t="s">
        <v>1136</v>
      </c>
      <c r="T1167" s="462">
        <v>1</v>
      </c>
      <c r="U1167" s="460" t="s">
        <v>1136</v>
      </c>
      <c r="V1167" s="475">
        <v>0</v>
      </c>
      <c r="W1167" s="463" t="s">
        <v>2268</v>
      </c>
      <c r="X1167" s="463" t="s">
        <v>2268</v>
      </c>
      <c r="Y1167" s="463" t="s">
        <v>2267</v>
      </c>
      <c r="Z1167" s="463"/>
      <c r="AA1167" s="463"/>
      <c r="AB1167" s="464">
        <v>0</v>
      </c>
      <c r="AC1167" s="465">
        <v>0</v>
      </c>
      <c r="AD1167" s="465">
        <v>0</v>
      </c>
      <c r="AE1167" s="476">
        <v>0</v>
      </c>
      <c r="AF1167" s="467">
        <v>0</v>
      </c>
      <c r="AG1167" s="468">
        <v>0</v>
      </c>
      <c r="AH1167" s="218">
        <v>0</v>
      </c>
      <c r="AI1167" s="470">
        <v>0</v>
      </c>
      <c r="AJ1167" s="471">
        <v>0</v>
      </c>
      <c r="AK1167" s="218">
        <v>0</v>
      </c>
      <c r="AL1167" s="470">
        <v>0</v>
      </c>
      <c r="AM1167" s="471">
        <v>0</v>
      </c>
      <c r="AN1167" s="477">
        <v>23.171848306545392</v>
      </c>
      <c r="AO1167" s="473">
        <v>0.21797147323899202</v>
      </c>
      <c r="AP1167" s="474">
        <v>2.847003702701871E-2</v>
      </c>
      <c r="AQ1167" s="352"/>
      <c r="AR1167" s="352"/>
      <c r="AS1167" s="352"/>
      <c r="AT1167" s="352"/>
      <c r="AU1167" s="352"/>
      <c r="AV1167" s="352"/>
      <c r="AW1167" s="352" t="s">
        <v>254</v>
      </c>
    </row>
    <row r="1168" spans="2:49" x14ac:dyDescent="0.2">
      <c r="B1168" s="460" t="s">
        <v>2708</v>
      </c>
      <c r="C1168" s="460">
        <v>2121</v>
      </c>
      <c r="D1168" s="460" t="s">
        <v>2367</v>
      </c>
      <c r="E1168" s="460" t="s">
        <v>1137</v>
      </c>
      <c r="F1168" s="460">
        <v>2</v>
      </c>
      <c r="G1168" s="460">
        <v>4</v>
      </c>
      <c r="H1168" s="461" t="s">
        <v>748</v>
      </c>
      <c r="I1168" s="461" t="s">
        <v>765</v>
      </c>
      <c r="J1168" s="461" t="s">
        <v>700</v>
      </c>
      <c r="K1168" s="594"/>
      <c r="L1168" s="594"/>
      <c r="M1168" s="352">
        <v>2000</v>
      </c>
      <c r="N1168" s="352" t="s">
        <v>703</v>
      </c>
      <c r="O1168" s="460">
        <v>2121</v>
      </c>
      <c r="P1168" s="460" t="s">
        <v>1876</v>
      </c>
      <c r="Q1168" s="460" t="s">
        <v>2266</v>
      </c>
      <c r="R1168" s="460">
        <v>2121</v>
      </c>
      <c r="S1168" s="460" t="s">
        <v>1137</v>
      </c>
      <c r="T1168" s="462">
        <v>1</v>
      </c>
      <c r="U1168" s="460" t="s">
        <v>1137</v>
      </c>
      <c r="V1168" s="475">
        <v>0</v>
      </c>
      <c r="W1168" s="463" t="s">
        <v>2268</v>
      </c>
      <c r="X1168" s="463" t="s">
        <v>2268</v>
      </c>
      <c r="Y1168" s="463" t="s">
        <v>2267</v>
      </c>
      <c r="Z1168" s="463"/>
      <c r="AA1168" s="463"/>
      <c r="AB1168" s="464">
        <v>0</v>
      </c>
      <c r="AC1168" s="465">
        <v>0</v>
      </c>
      <c r="AD1168" s="465">
        <v>0</v>
      </c>
      <c r="AE1168" s="476">
        <v>0</v>
      </c>
      <c r="AF1168" s="467">
        <v>0</v>
      </c>
      <c r="AG1168" s="468">
        <v>0</v>
      </c>
      <c r="AH1168" s="218">
        <v>0</v>
      </c>
      <c r="AI1168" s="470">
        <v>0</v>
      </c>
      <c r="AJ1168" s="471">
        <v>0</v>
      </c>
      <c r="AK1168" s="218">
        <v>0</v>
      </c>
      <c r="AL1168" s="470">
        <v>0</v>
      </c>
      <c r="AM1168" s="471">
        <v>0</v>
      </c>
      <c r="AN1168" s="477">
        <v>65.789200610991315</v>
      </c>
      <c r="AO1168" s="473">
        <v>0.19860338608785305</v>
      </c>
      <c r="AP1168" s="474">
        <v>6.3368887368343507E-2</v>
      </c>
      <c r="AQ1168" s="352"/>
      <c r="AR1168" s="352"/>
      <c r="AS1168" s="352"/>
      <c r="AT1168" s="352"/>
      <c r="AU1168" s="352"/>
      <c r="AV1168" s="352"/>
      <c r="AW1168" s="352" t="s">
        <v>254</v>
      </c>
    </row>
    <row r="1169" spans="2:49" x14ac:dyDescent="0.2">
      <c r="B1169" s="460" t="s">
        <v>2709</v>
      </c>
      <c r="C1169" s="460">
        <v>2121</v>
      </c>
      <c r="D1169" s="460" t="s">
        <v>2368</v>
      </c>
      <c r="E1169" s="460" t="s">
        <v>1138</v>
      </c>
      <c r="F1169" s="460">
        <v>3</v>
      </c>
      <c r="G1169" s="460">
        <v>4</v>
      </c>
      <c r="H1169" s="461" t="s">
        <v>748</v>
      </c>
      <c r="I1169" s="461" t="s">
        <v>765</v>
      </c>
      <c r="J1169" s="461" t="s">
        <v>700</v>
      </c>
      <c r="K1169" s="594"/>
      <c r="L1169" s="594"/>
      <c r="M1169" s="352">
        <v>2000</v>
      </c>
      <c r="N1169" s="352" t="s">
        <v>703</v>
      </c>
      <c r="O1169" s="460">
        <v>2121</v>
      </c>
      <c r="P1169" s="460" t="s">
        <v>1876</v>
      </c>
      <c r="Q1169" s="460" t="s">
        <v>2266</v>
      </c>
      <c r="R1169" s="460">
        <v>2121</v>
      </c>
      <c r="S1169" s="460" t="s">
        <v>1138</v>
      </c>
      <c r="T1169" s="462">
        <v>1</v>
      </c>
      <c r="U1169" s="460" t="s">
        <v>1138</v>
      </c>
      <c r="V1169" s="475">
        <v>0</v>
      </c>
      <c r="W1169" s="463" t="s">
        <v>2268</v>
      </c>
      <c r="X1169" s="463" t="s">
        <v>2268</v>
      </c>
      <c r="Y1169" s="463" t="s">
        <v>2267</v>
      </c>
      <c r="Z1169" s="463"/>
      <c r="AA1169" s="463"/>
      <c r="AB1169" s="464">
        <v>0</v>
      </c>
      <c r="AC1169" s="465">
        <v>0</v>
      </c>
      <c r="AD1169" s="465">
        <v>0</v>
      </c>
      <c r="AE1169" s="476">
        <v>0</v>
      </c>
      <c r="AF1169" s="467">
        <v>0</v>
      </c>
      <c r="AG1169" s="468">
        <v>0</v>
      </c>
      <c r="AH1169" s="218">
        <v>0</v>
      </c>
      <c r="AI1169" s="470">
        <v>0</v>
      </c>
      <c r="AJ1169" s="471">
        <v>0</v>
      </c>
      <c r="AK1169" s="218">
        <v>0</v>
      </c>
      <c r="AL1169" s="470">
        <v>0</v>
      </c>
      <c r="AM1169" s="471">
        <v>0</v>
      </c>
      <c r="AN1169" s="477">
        <v>49.72423149503004</v>
      </c>
      <c r="AO1169" s="473">
        <v>0.2611278453350192</v>
      </c>
      <c r="AP1169" s="474">
        <v>5.1591401033665239E-2</v>
      </c>
      <c r="AQ1169" s="352"/>
      <c r="AR1169" s="352"/>
      <c r="AS1169" s="352"/>
      <c r="AT1169" s="352"/>
      <c r="AU1169" s="352"/>
      <c r="AV1169" s="352"/>
      <c r="AW1169" s="352" t="s">
        <v>254</v>
      </c>
    </row>
    <row r="1170" spans="2:49" x14ac:dyDescent="0.2">
      <c r="B1170" s="460" t="s">
        <v>2710</v>
      </c>
      <c r="C1170" s="460">
        <v>2121</v>
      </c>
      <c r="D1170" s="460" t="s">
        <v>2369</v>
      </c>
      <c r="E1170" s="460" t="s">
        <v>1139</v>
      </c>
      <c r="F1170" s="460">
        <v>4</v>
      </c>
      <c r="G1170" s="460">
        <v>4</v>
      </c>
      <c r="H1170" s="461" t="s">
        <v>748</v>
      </c>
      <c r="I1170" s="461" t="s">
        <v>765</v>
      </c>
      <c r="J1170" s="461" t="s">
        <v>700</v>
      </c>
      <c r="K1170" s="594"/>
      <c r="L1170" s="594"/>
      <c r="M1170" s="352">
        <v>2000</v>
      </c>
      <c r="N1170" s="352" t="s">
        <v>703</v>
      </c>
      <c r="O1170" s="460">
        <v>2121</v>
      </c>
      <c r="P1170" s="460" t="s">
        <v>1876</v>
      </c>
      <c r="Q1170" s="460" t="s">
        <v>2266</v>
      </c>
      <c r="R1170" s="460">
        <v>2121</v>
      </c>
      <c r="S1170" s="460" t="s">
        <v>1139</v>
      </c>
      <c r="T1170" s="462">
        <v>1</v>
      </c>
      <c r="U1170" s="460" t="s">
        <v>1139</v>
      </c>
      <c r="V1170" s="475">
        <v>0</v>
      </c>
      <c r="W1170" s="463" t="s">
        <v>2268</v>
      </c>
      <c r="X1170" s="463" t="s">
        <v>2268</v>
      </c>
      <c r="Y1170" s="463" t="s">
        <v>2267</v>
      </c>
      <c r="Z1170" s="463"/>
      <c r="AA1170" s="463"/>
      <c r="AB1170" s="464">
        <v>0</v>
      </c>
      <c r="AC1170" s="465">
        <v>0</v>
      </c>
      <c r="AD1170" s="465">
        <v>0</v>
      </c>
      <c r="AE1170" s="476">
        <v>0</v>
      </c>
      <c r="AF1170" s="467">
        <v>0</v>
      </c>
      <c r="AG1170" s="468">
        <v>0</v>
      </c>
      <c r="AH1170" s="218">
        <v>0</v>
      </c>
      <c r="AI1170" s="470">
        <v>0</v>
      </c>
      <c r="AJ1170" s="471">
        <v>0</v>
      </c>
      <c r="AK1170" s="218">
        <v>0</v>
      </c>
      <c r="AL1170" s="470">
        <v>0</v>
      </c>
      <c r="AM1170" s="471">
        <v>0</v>
      </c>
      <c r="AN1170" s="477">
        <v>0</v>
      </c>
      <c r="AO1170" s="473">
        <v>0</v>
      </c>
      <c r="AP1170" s="474">
        <v>0</v>
      </c>
      <c r="AQ1170" s="352"/>
      <c r="AR1170" s="352"/>
      <c r="AS1170" s="352"/>
      <c r="AT1170" s="352"/>
      <c r="AU1170" s="352"/>
      <c r="AV1170" s="352"/>
      <c r="AW1170" s="352" t="s">
        <v>254</v>
      </c>
    </row>
    <row r="1171" spans="2:49" x14ac:dyDescent="0.2">
      <c r="B1171" s="460" t="s">
        <v>2707</v>
      </c>
      <c r="C1171" s="460">
        <v>2121</v>
      </c>
      <c r="D1171" s="460" t="s">
        <v>2370</v>
      </c>
      <c r="E1171" s="460" t="s">
        <v>1136</v>
      </c>
      <c r="F1171" s="460">
        <v>1</v>
      </c>
      <c r="G1171" s="460">
        <v>4</v>
      </c>
      <c r="H1171" s="461" t="s">
        <v>752</v>
      </c>
      <c r="I1171" s="461" t="s">
        <v>964</v>
      </c>
      <c r="J1171" s="461" t="s">
        <v>752</v>
      </c>
      <c r="K1171" s="594"/>
      <c r="L1171" s="594"/>
      <c r="M1171" s="352">
        <v>2000</v>
      </c>
      <c r="N1171" s="352" t="s">
        <v>703</v>
      </c>
      <c r="O1171" s="460">
        <v>2121</v>
      </c>
      <c r="P1171" s="460" t="s">
        <v>1876</v>
      </c>
      <c r="Q1171" s="460" t="s">
        <v>2266</v>
      </c>
      <c r="R1171" s="460">
        <v>2121</v>
      </c>
      <c r="S1171" s="460" t="s">
        <v>1136</v>
      </c>
      <c r="T1171" s="462">
        <v>1</v>
      </c>
      <c r="U1171" s="460" t="s">
        <v>1136</v>
      </c>
      <c r="V1171" s="475">
        <v>0</v>
      </c>
      <c r="W1171" s="463" t="s">
        <v>2267</v>
      </c>
      <c r="X1171" s="463" t="s">
        <v>2267</v>
      </c>
      <c r="Y1171" s="463" t="s">
        <v>2267</v>
      </c>
      <c r="Z1171" s="463"/>
      <c r="AA1171" s="463"/>
      <c r="AB1171" s="464">
        <v>9.2103389511942915</v>
      </c>
      <c r="AC1171" s="465">
        <v>8.663923238506635E-2</v>
      </c>
      <c r="AD1171" s="465">
        <v>2.9826609047000387E-3</v>
      </c>
      <c r="AE1171" s="476">
        <v>9.2103389511942915</v>
      </c>
      <c r="AF1171" s="467">
        <v>8.663923238506635E-2</v>
      </c>
      <c r="AG1171" s="468">
        <v>2.9826609047000387E-3</v>
      </c>
      <c r="AH1171" s="218">
        <v>9.2103389511942915</v>
      </c>
      <c r="AI1171" s="470">
        <v>8.663923238506635E-2</v>
      </c>
      <c r="AJ1171" s="471">
        <v>2.5180580138172994E-3</v>
      </c>
      <c r="AK1171" s="218">
        <v>9.2103389511942915</v>
      </c>
      <c r="AL1171" s="470">
        <v>8.663923238506635E-2</v>
      </c>
      <c r="AM1171" s="471">
        <v>2.5180580138172994E-3</v>
      </c>
      <c r="AN1171" s="477">
        <v>9.2103389511942915</v>
      </c>
      <c r="AO1171" s="473">
        <v>8.663923238506635E-2</v>
      </c>
      <c r="AP1171" s="474">
        <v>2.5180580138172994E-3</v>
      </c>
      <c r="AQ1171" s="352"/>
      <c r="AR1171" s="352"/>
      <c r="AS1171" s="352"/>
      <c r="AT1171" s="352"/>
      <c r="AU1171" s="352"/>
      <c r="AV1171" s="352"/>
      <c r="AW1171" s="352" t="s">
        <v>254</v>
      </c>
    </row>
    <row r="1172" spans="2:49" x14ac:dyDescent="0.2">
      <c r="B1172" s="460" t="s">
        <v>2708</v>
      </c>
      <c r="C1172" s="460">
        <v>2121</v>
      </c>
      <c r="D1172" s="460" t="s">
        <v>2371</v>
      </c>
      <c r="E1172" s="460" t="s">
        <v>1137</v>
      </c>
      <c r="F1172" s="460">
        <v>2</v>
      </c>
      <c r="G1172" s="460">
        <v>4</v>
      </c>
      <c r="H1172" s="461" t="s">
        <v>752</v>
      </c>
      <c r="I1172" s="461" t="s">
        <v>964</v>
      </c>
      <c r="J1172" s="461" t="s">
        <v>752</v>
      </c>
      <c r="K1172" s="594"/>
      <c r="L1172" s="594"/>
      <c r="M1172" s="352">
        <v>2000</v>
      </c>
      <c r="N1172" s="352" t="s">
        <v>703</v>
      </c>
      <c r="O1172" s="460">
        <v>2121</v>
      </c>
      <c r="P1172" s="460" t="s">
        <v>1876</v>
      </c>
      <c r="Q1172" s="460" t="s">
        <v>2266</v>
      </c>
      <c r="R1172" s="460">
        <v>2121</v>
      </c>
      <c r="S1172" s="460" t="s">
        <v>1137</v>
      </c>
      <c r="T1172" s="462">
        <v>1</v>
      </c>
      <c r="U1172" s="460" t="s">
        <v>1137</v>
      </c>
      <c r="V1172" s="475">
        <v>0</v>
      </c>
      <c r="W1172" s="463" t="s">
        <v>2267</v>
      </c>
      <c r="X1172" s="463" t="s">
        <v>2267</v>
      </c>
      <c r="Y1172" s="463" t="s">
        <v>2267</v>
      </c>
      <c r="Z1172" s="463"/>
      <c r="AA1172" s="463"/>
      <c r="AB1172" s="464">
        <v>3.776195070498189</v>
      </c>
      <c r="AC1172" s="465">
        <v>1.1399517254567518E-2</v>
      </c>
      <c r="AD1172" s="465">
        <v>3.6949668604927753E-4</v>
      </c>
      <c r="AE1172" s="476">
        <v>3.776195070498189</v>
      </c>
      <c r="AF1172" s="467">
        <v>1.1399517254567518E-2</v>
      </c>
      <c r="AG1172" s="468">
        <v>3.6949668604927753E-4</v>
      </c>
      <c r="AH1172" s="218">
        <v>3.776195070498189</v>
      </c>
      <c r="AI1172" s="470">
        <v>1.1399517254567518E-2</v>
      </c>
      <c r="AJ1172" s="471">
        <v>3.6631970198389347E-4</v>
      </c>
      <c r="AK1172" s="218">
        <v>3.776195070498189</v>
      </c>
      <c r="AL1172" s="470">
        <v>1.1399517254567518E-2</v>
      </c>
      <c r="AM1172" s="471">
        <v>3.6631970198389347E-4</v>
      </c>
      <c r="AN1172" s="477">
        <v>3.776195070498189</v>
      </c>
      <c r="AO1172" s="473">
        <v>1.1399517254567518E-2</v>
      </c>
      <c r="AP1172" s="474">
        <v>3.6631970198389347E-4</v>
      </c>
      <c r="AQ1172" s="352"/>
      <c r="AR1172" s="352"/>
      <c r="AS1172" s="352"/>
      <c r="AT1172" s="352"/>
      <c r="AU1172" s="352"/>
      <c r="AV1172" s="352"/>
      <c r="AW1172" s="352" t="s">
        <v>254</v>
      </c>
    </row>
    <row r="1173" spans="2:49" x14ac:dyDescent="0.2">
      <c r="B1173" s="460" t="s">
        <v>2709</v>
      </c>
      <c r="C1173" s="460">
        <v>2121</v>
      </c>
      <c r="D1173" s="460" t="s">
        <v>2372</v>
      </c>
      <c r="E1173" s="460" t="s">
        <v>1138</v>
      </c>
      <c r="F1173" s="460">
        <v>3</v>
      </c>
      <c r="G1173" s="460">
        <v>4</v>
      </c>
      <c r="H1173" s="461" t="s">
        <v>752</v>
      </c>
      <c r="I1173" s="461" t="s">
        <v>964</v>
      </c>
      <c r="J1173" s="461" t="s">
        <v>752</v>
      </c>
      <c r="K1173" s="594"/>
      <c r="L1173" s="594"/>
      <c r="M1173" s="352">
        <v>2000</v>
      </c>
      <c r="N1173" s="352" t="s">
        <v>703</v>
      </c>
      <c r="O1173" s="460">
        <v>2121</v>
      </c>
      <c r="P1173" s="460" t="s">
        <v>1876</v>
      </c>
      <c r="Q1173" s="460" t="s">
        <v>2266</v>
      </c>
      <c r="R1173" s="460">
        <v>2121</v>
      </c>
      <c r="S1173" s="460" t="s">
        <v>1138</v>
      </c>
      <c r="T1173" s="462">
        <v>1</v>
      </c>
      <c r="U1173" s="460" t="s">
        <v>1138</v>
      </c>
      <c r="V1173" s="475">
        <v>0</v>
      </c>
      <c r="W1173" s="463" t="s">
        <v>2267</v>
      </c>
      <c r="X1173" s="463" t="s">
        <v>2267</v>
      </c>
      <c r="Y1173" s="463" t="s">
        <v>2267</v>
      </c>
      <c r="Z1173" s="463"/>
      <c r="AA1173" s="463"/>
      <c r="AB1173" s="464">
        <v>16.074479616135033</v>
      </c>
      <c r="AC1173" s="465">
        <v>8.4415467083942139E-2</v>
      </c>
      <c r="AD1173" s="465">
        <v>2.776439493575986E-3</v>
      </c>
      <c r="AE1173" s="476">
        <v>16.074479616135033</v>
      </c>
      <c r="AF1173" s="467">
        <v>8.4415467083942139E-2</v>
      </c>
      <c r="AG1173" s="468">
        <v>2.776439493575986E-3</v>
      </c>
      <c r="AH1173" s="218">
        <v>16.074479616135033</v>
      </c>
      <c r="AI1173" s="470">
        <v>8.4415467083942139E-2</v>
      </c>
      <c r="AJ1173" s="471">
        <v>2.6668068533124084E-3</v>
      </c>
      <c r="AK1173" s="218">
        <v>16.074479616135033</v>
      </c>
      <c r="AL1173" s="470">
        <v>8.4415467083942139E-2</v>
      </c>
      <c r="AM1173" s="471">
        <v>2.6668068533124084E-3</v>
      </c>
      <c r="AN1173" s="477">
        <v>16.074479616135033</v>
      </c>
      <c r="AO1173" s="473">
        <v>8.4415467083942139E-2</v>
      </c>
      <c r="AP1173" s="474">
        <v>2.6668068533124084E-3</v>
      </c>
      <c r="AQ1173" s="352"/>
      <c r="AR1173" s="352"/>
      <c r="AS1173" s="352"/>
      <c r="AT1173" s="352"/>
      <c r="AU1173" s="352"/>
      <c r="AV1173" s="352"/>
      <c r="AW1173" s="352" t="s">
        <v>254</v>
      </c>
    </row>
    <row r="1174" spans="2:49" x14ac:dyDescent="0.2">
      <c r="B1174" s="460" t="s">
        <v>2710</v>
      </c>
      <c r="C1174" s="460">
        <v>2121</v>
      </c>
      <c r="D1174" s="460" t="s">
        <v>2373</v>
      </c>
      <c r="E1174" s="460" t="s">
        <v>1139</v>
      </c>
      <c r="F1174" s="460">
        <v>4</v>
      </c>
      <c r="G1174" s="460">
        <v>4</v>
      </c>
      <c r="H1174" s="461" t="s">
        <v>752</v>
      </c>
      <c r="I1174" s="461" t="s">
        <v>964</v>
      </c>
      <c r="J1174" s="461" t="s">
        <v>752</v>
      </c>
      <c r="K1174" s="594"/>
      <c r="L1174" s="594"/>
      <c r="M1174" s="352">
        <v>2000</v>
      </c>
      <c r="N1174" s="352" t="s">
        <v>703</v>
      </c>
      <c r="O1174" s="460">
        <v>2121</v>
      </c>
      <c r="P1174" s="460" t="s">
        <v>1876</v>
      </c>
      <c r="Q1174" s="460" t="s">
        <v>2266</v>
      </c>
      <c r="R1174" s="460">
        <v>2121</v>
      </c>
      <c r="S1174" s="460" t="s">
        <v>1139</v>
      </c>
      <c r="T1174" s="462">
        <v>1</v>
      </c>
      <c r="U1174" s="460" t="s">
        <v>1139</v>
      </c>
      <c r="V1174" s="475">
        <v>0</v>
      </c>
      <c r="W1174" s="463" t="s">
        <v>2267</v>
      </c>
      <c r="X1174" s="463" t="s">
        <v>2267</v>
      </c>
      <c r="Y1174" s="463" t="s">
        <v>2267</v>
      </c>
      <c r="Z1174" s="463"/>
      <c r="AA1174" s="463"/>
      <c r="AB1174" s="464">
        <v>233.28227547571151</v>
      </c>
      <c r="AC1174" s="465">
        <v>0.62278528558752089</v>
      </c>
      <c r="AD1174" s="465">
        <v>9.3003281468378302E-3</v>
      </c>
      <c r="AE1174" s="476">
        <v>233.28227547571151</v>
      </c>
      <c r="AF1174" s="467">
        <v>0.62278528558752089</v>
      </c>
      <c r="AG1174" s="468">
        <v>9.3003281468378302E-3</v>
      </c>
      <c r="AH1174" s="218">
        <v>233.28227547571151</v>
      </c>
      <c r="AI1174" s="470">
        <v>0.62278528558752089</v>
      </c>
      <c r="AJ1174" s="471">
        <v>8.6449399214309323E-3</v>
      </c>
      <c r="AK1174" s="218">
        <v>233.28227547571151</v>
      </c>
      <c r="AL1174" s="470">
        <v>0.62278528558752089</v>
      </c>
      <c r="AM1174" s="471">
        <v>8.6449399214309323E-3</v>
      </c>
      <c r="AN1174" s="477">
        <v>233.28227547571151</v>
      </c>
      <c r="AO1174" s="473">
        <v>0.62278528558752089</v>
      </c>
      <c r="AP1174" s="474">
        <v>8.6449399214309323E-3</v>
      </c>
      <c r="AQ1174" s="352"/>
      <c r="AR1174" s="352"/>
      <c r="AS1174" s="352"/>
      <c r="AT1174" s="352"/>
      <c r="AU1174" s="352"/>
      <c r="AV1174" s="352"/>
      <c r="AW1174" s="352" t="s">
        <v>254</v>
      </c>
    </row>
    <row r="1175" spans="2:49" x14ac:dyDescent="0.2">
      <c r="B1175" s="460" t="s">
        <v>2711</v>
      </c>
      <c r="C1175" s="460">
        <v>2121</v>
      </c>
      <c r="D1175" s="460" t="s">
        <v>2375</v>
      </c>
      <c r="E1175" s="460" t="s">
        <v>2376</v>
      </c>
      <c r="F1175" s="460">
        <v>1</v>
      </c>
      <c r="G1175" s="460">
        <v>5</v>
      </c>
      <c r="H1175" s="461" t="s">
        <v>754</v>
      </c>
      <c r="I1175" s="461" t="s">
        <v>1991</v>
      </c>
      <c r="J1175" s="461" t="s">
        <v>754</v>
      </c>
      <c r="K1175" s="594"/>
      <c r="L1175" s="594"/>
      <c r="M1175" s="352">
        <v>2000</v>
      </c>
      <c r="N1175" s="352" t="s">
        <v>703</v>
      </c>
      <c r="O1175" s="460">
        <v>2121</v>
      </c>
      <c r="P1175" s="460" t="s">
        <v>1876</v>
      </c>
      <c r="Q1175" s="460" t="s">
        <v>2377</v>
      </c>
      <c r="R1175" s="460">
        <v>2121</v>
      </c>
      <c r="S1175" s="460" t="s">
        <v>2376</v>
      </c>
      <c r="T1175" s="462">
        <v>1</v>
      </c>
      <c r="U1175" s="460" t="s">
        <v>2376</v>
      </c>
      <c r="V1175" s="475">
        <v>0</v>
      </c>
      <c r="W1175" s="463" t="s">
        <v>2278</v>
      </c>
      <c r="X1175" s="463" t="s">
        <v>2278</v>
      </c>
      <c r="Y1175" s="463" t="s">
        <v>2278</v>
      </c>
      <c r="Z1175" s="463"/>
      <c r="AA1175" s="463"/>
      <c r="AB1175" s="464">
        <v>1050.9213129342465</v>
      </c>
      <c r="AC1175" s="465">
        <v>1</v>
      </c>
      <c r="AD1175" s="465">
        <v>1.7667089026296074E-3</v>
      </c>
      <c r="AE1175" s="476">
        <v>1050.9213129342465</v>
      </c>
      <c r="AF1175" s="467">
        <v>1</v>
      </c>
      <c r="AG1175" s="468">
        <v>1.7667089026296074E-3</v>
      </c>
      <c r="AH1175" s="218">
        <v>1050.9213129342465</v>
      </c>
      <c r="AI1175" s="470">
        <v>1</v>
      </c>
      <c r="AJ1175" s="471">
        <v>1.7667089026296074E-3</v>
      </c>
      <c r="AK1175" s="218">
        <v>1050.9213129342465</v>
      </c>
      <c r="AL1175" s="470">
        <v>1</v>
      </c>
      <c r="AM1175" s="471">
        <v>1.7667089026296074E-3</v>
      </c>
      <c r="AN1175" s="477">
        <v>1050.9213129342465</v>
      </c>
      <c r="AO1175" s="473">
        <v>1</v>
      </c>
      <c r="AP1175" s="474">
        <v>1.7667089026296074E-3</v>
      </c>
      <c r="AQ1175" s="352"/>
      <c r="AR1175" s="352"/>
      <c r="AS1175" s="352"/>
      <c r="AT1175" s="352"/>
      <c r="AU1175" s="352"/>
      <c r="AV1175" s="352"/>
      <c r="AW1175" s="352" t="s">
        <v>127</v>
      </c>
    </row>
    <row r="1176" spans="2:49" x14ac:dyDescent="0.2">
      <c r="B1176" s="460" t="s">
        <v>2712</v>
      </c>
      <c r="C1176" s="460">
        <v>2121</v>
      </c>
      <c r="D1176" s="460" t="s">
        <v>2379</v>
      </c>
      <c r="E1176" s="460" t="s">
        <v>2380</v>
      </c>
      <c r="F1176" s="460">
        <v>2</v>
      </c>
      <c r="G1176" s="460">
        <v>5</v>
      </c>
      <c r="H1176" s="461" t="s">
        <v>754</v>
      </c>
      <c r="I1176" s="461" t="s">
        <v>1991</v>
      </c>
      <c r="J1176" s="461" t="s">
        <v>754</v>
      </c>
      <c r="K1176" s="594"/>
      <c r="L1176" s="594"/>
      <c r="M1176" s="352">
        <v>2000</v>
      </c>
      <c r="N1176" s="352" t="s">
        <v>703</v>
      </c>
      <c r="O1176" s="460">
        <v>2121</v>
      </c>
      <c r="P1176" s="460" t="s">
        <v>1876</v>
      </c>
      <c r="Q1176" s="460" t="s">
        <v>2377</v>
      </c>
      <c r="R1176" s="460">
        <v>2121</v>
      </c>
      <c r="S1176" s="460" t="s">
        <v>2380</v>
      </c>
      <c r="T1176" s="462">
        <v>1</v>
      </c>
      <c r="U1176" s="460" t="s">
        <v>2380</v>
      </c>
      <c r="V1176" s="475">
        <v>0</v>
      </c>
      <c r="W1176" s="463" t="s">
        <v>2278</v>
      </c>
      <c r="X1176" s="463" t="s">
        <v>2278</v>
      </c>
      <c r="Y1176" s="463" t="s">
        <v>2278</v>
      </c>
      <c r="Z1176" s="463"/>
      <c r="AA1176" s="463"/>
      <c r="AB1176" s="464">
        <v>717.8339581386316</v>
      </c>
      <c r="AC1176" s="465">
        <v>1</v>
      </c>
      <c r="AD1176" s="465">
        <v>1.4135612864860062E-3</v>
      </c>
      <c r="AE1176" s="476">
        <v>717.8339581386316</v>
      </c>
      <c r="AF1176" s="467">
        <v>1</v>
      </c>
      <c r="AG1176" s="468">
        <v>1.4135612864860062E-3</v>
      </c>
      <c r="AH1176" s="218">
        <v>717.8339581386316</v>
      </c>
      <c r="AI1176" s="470">
        <v>1</v>
      </c>
      <c r="AJ1176" s="471">
        <v>1.4135612864860062E-3</v>
      </c>
      <c r="AK1176" s="218">
        <v>717.8339581386316</v>
      </c>
      <c r="AL1176" s="470">
        <v>1</v>
      </c>
      <c r="AM1176" s="471">
        <v>1.4135612864860062E-3</v>
      </c>
      <c r="AN1176" s="477">
        <v>717.8339581386316</v>
      </c>
      <c r="AO1176" s="473">
        <v>1</v>
      </c>
      <c r="AP1176" s="474">
        <v>1.4135612864860062E-3</v>
      </c>
      <c r="AQ1176" s="352"/>
      <c r="AR1176" s="352"/>
      <c r="AS1176" s="352"/>
      <c r="AT1176" s="352"/>
      <c r="AU1176" s="352"/>
      <c r="AV1176" s="352"/>
      <c r="AW1176" s="352" t="s">
        <v>127</v>
      </c>
    </row>
    <row r="1177" spans="2:49" x14ac:dyDescent="0.2">
      <c r="B1177" s="460" t="s">
        <v>2713</v>
      </c>
      <c r="C1177" s="460">
        <v>2121</v>
      </c>
      <c r="D1177" s="460" t="s">
        <v>2382</v>
      </c>
      <c r="E1177" s="460" t="s">
        <v>2383</v>
      </c>
      <c r="F1177" s="460">
        <v>3</v>
      </c>
      <c r="G1177" s="460">
        <v>5</v>
      </c>
      <c r="H1177" s="461" t="s">
        <v>754</v>
      </c>
      <c r="I1177" s="461" t="s">
        <v>1991</v>
      </c>
      <c r="J1177" s="461" t="s">
        <v>754</v>
      </c>
      <c r="K1177" s="594"/>
      <c r="L1177" s="594"/>
      <c r="M1177" s="352">
        <v>2000</v>
      </c>
      <c r="N1177" s="352" t="s">
        <v>703</v>
      </c>
      <c r="O1177" s="460">
        <v>2121</v>
      </c>
      <c r="P1177" s="460" t="s">
        <v>1876</v>
      </c>
      <c r="Q1177" s="460" t="s">
        <v>2377</v>
      </c>
      <c r="R1177" s="460">
        <v>2121</v>
      </c>
      <c r="S1177" s="460" t="s">
        <v>2383</v>
      </c>
      <c r="T1177" s="462">
        <v>1</v>
      </c>
      <c r="U1177" s="460" t="s">
        <v>2383</v>
      </c>
      <c r="V1177" s="475">
        <v>0</v>
      </c>
      <c r="W1177" s="463" t="s">
        <v>2278</v>
      </c>
      <c r="X1177" s="463" t="s">
        <v>2278</v>
      </c>
      <c r="Y1177" s="463" t="s">
        <v>2278</v>
      </c>
      <c r="Z1177" s="463"/>
      <c r="AA1177" s="463"/>
      <c r="AB1177" s="464">
        <v>114.50065871738781</v>
      </c>
      <c r="AC1177" s="465">
        <v>1</v>
      </c>
      <c r="AD1177" s="465">
        <v>1.0177572106084773E-3</v>
      </c>
      <c r="AE1177" s="476">
        <v>114.50065871738781</v>
      </c>
      <c r="AF1177" s="467">
        <v>1</v>
      </c>
      <c r="AG1177" s="468">
        <v>1.0177572106084773E-3</v>
      </c>
      <c r="AH1177" s="218">
        <v>114.50065871738781</v>
      </c>
      <c r="AI1177" s="470">
        <v>1</v>
      </c>
      <c r="AJ1177" s="471">
        <v>1.0177572106084773E-3</v>
      </c>
      <c r="AK1177" s="218">
        <v>114.50065871738781</v>
      </c>
      <c r="AL1177" s="470">
        <v>1</v>
      </c>
      <c r="AM1177" s="471">
        <v>1.0177572106084773E-3</v>
      </c>
      <c r="AN1177" s="477">
        <v>114.50065871738781</v>
      </c>
      <c r="AO1177" s="473">
        <v>1</v>
      </c>
      <c r="AP1177" s="474">
        <v>1.0177572106084773E-3</v>
      </c>
      <c r="AQ1177" s="352"/>
      <c r="AR1177" s="352"/>
      <c r="AS1177" s="352"/>
      <c r="AT1177" s="352"/>
      <c r="AU1177" s="352"/>
      <c r="AV1177" s="352"/>
      <c r="AW1177" s="352" t="s">
        <v>127</v>
      </c>
    </row>
    <row r="1178" spans="2:49" x14ac:dyDescent="0.2">
      <c r="B1178" s="460" t="s">
        <v>2714</v>
      </c>
      <c r="C1178" s="460">
        <v>2121</v>
      </c>
      <c r="D1178" s="460" t="s">
        <v>2385</v>
      </c>
      <c r="E1178" s="460" t="s">
        <v>2386</v>
      </c>
      <c r="F1178" s="460">
        <v>4</v>
      </c>
      <c r="G1178" s="460">
        <v>5</v>
      </c>
      <c r="H1178" s="461" t="s">
        <v>754</v>
      </c>
      <c r="I1178" s="461" t="s">
        <v>1991</v>
      </c>
      <c r="J1178" s="461" t="s">
        <v>754</v>
      </c>
      <c r="K1178" s="594"/>
      <c r="L1178" s="594"/>
      <c r="M1178" s="352">
        <v>2000</v>
      </c>
      <c r="N1178" s="352" t="s">
        <v>703</v>
      </c>
      <c r="O1178" s="460">
        <v>2121</v>
      </c>
      <c r="P1178" s="460" t="s">
        <v>1876</v>
      </c>
      <c r="Q1178" s="460" t="s">
        <v>2377</v>
      </c>
      <c r="R1178" s="460">
        <v>2121</v>
      </c>
      <c r="S1178" s="460" t="s">
        <v>2386</v>
      </c>
      <c r="T1178" s="462">
        <v>1</v>
      </c>
      <c r="U1178" s="460" t="s">
        <v>2386</v>
      </c>
      <c r="V1178" s="475">
        <v>0</v>
      </c>
      <c r="W1178" s="463" t="s">
        <v>2278</v>
      </c>
      <c r="X1178" s="463" t="s">
        <v>2278</v>
      </c>
      <c r="Y1178" s="463" t="s">
        <v>2278</v>
      </c>
      <c r="Z1178" s="463"/>
      <c r="AA1178" s="463"/>
      <c r="AB1178" s="464">
        <v>199.71500700156784</v>
      </c>
      <c r="AC1178" s="465">
        <v>1</v>
      </c>
      <c r="AD1178" s="465">
        <v>3.7048606679154156E-3</v>
      </c>
      <c r="AE1178" s="476">
        <v>199.71500700156784</v>
      </c>
      <c r="AF1178" s="467">
        <v>1</v>
      </c>
      <c r="AG1178" s="468">
        <v>3.7048606679154156E-3</v>
      </c>
      <c r="AH1178" s="218">
        <v>199.71500700156784</v>
      </c>
      <c r="AI1178" s="470">
        <v>1</v>
      </c>
      <c r="AJ1178" s="471">
        <v>3.7048606679154156E-3</v>
      </c>
      <c r="AK1178" s="218">
        <v>199.71500700156784</v>
      </c>
      <c r="AL1178" s="470">
        <v>1</v>
      </c>
      <c r="AM1178" s="471">
        <v>3.7048606679154156E-3</v>
      </c>
      <c r="AN1178" s="477">
        <v>199.71500700156784</v>
      </c>
      <c r="AO1178" s="473">
        <v>1</v>
      </c>
      <c r="AP1178" s="474">
        <v>3.7048606679154156E-3</v>
      </c>
      <c r="AQ1178" s="352"/>
      <c r="AR1178" s="352"/>
      <c r="AS1178" s="352"/>
      <c r="AT1178" s="352"/>
      <c r="AU1178" s="352"/>
      <c r="AV1178" s="352"/>
      <c r="AW1178" s="352" t="s">
        <v>127</v>
      </c>
    </row>
    <row r="1179" spans="2:49" x14ac:dyDescent="0.2">
      <c r="B1179" s="460" t="s">
        <v>2715</v>
      </c>
      <c r="C1179" s="460">
        <v>2121</v>
      </c>
      <c r="D1179" s="460" t="s">
        <v>2388</v>
      </c>
      <c r="E1179" s="460" t="s">
        <v>2389</v>
      </c>
      <c r="F1179" s="460">
        <v>1</v>
      </c>
      <c r="G1179" s="460">
        <v>6</v>
      </c>
      <c r="H1179" s="461" t="s">
        <v>754</v>
      </c>
      <c r="I1179" s="461" t="s">
        <v>1991</v>
      </c>
      <c r="J1179" s="461" t="s">
        <v>754</v>
      </c>
      <c r="K1179" s="594"/>
      <c r="L1179" s="594"/>
      <c r="M1179" s="352">
        <v>2000</v>
      </c>
      <c r="N1179" s="352" t="s">
        <v>703</v>
      </c>
      <c r="O1179" s="460">
        <v>2121</v>
      </c>
      <c r="P1179" s="460" t="s">
        <v>1876</v>
      </c>
      <c r="Q1179" s="460" t="s">
        <v>2377</v>
      </c>
      <c r="R1179" s="460">
        <v>2121</v>
      </c>
      <c r="S1179" s="460" t="s">
        <v>2389</v>
      </c>
      <c r="T1179" s="462">
        <v>1</v>
      </c>
      <c r="U1179" s="460" t="s">
        <v>2389</v>
      </c>
      <c r="V1179" s="475">
        <v>0</v>
      </c>
      <c r="W1179" s="463" t="s">
        <v>2278</v>
      </c>
      <c r="X1179" s="463" t="s">
        <v>2278</v>
      </c>
      <c r="Y1179" s="463" t="s">
        <v>2278</v>
      </c>
      <c r="Z1179" s="463"/>
      <c r="AA1179" s="463"/>
      <c r="AB1179" s="464">
        <v>0</v>
      </c>
      <c r="AC1179" s="465">
        <v>0</v>
      </c>
      <c r="AD1179" s="465">
        <v>0</v>
      </c>
      <c r="AE1179" s="476">
        <v>0</v>
      </c>
      <c r="AF1179" s="467">
        <v>0</v>
      </c>
      <c r="AG1179" s="468">
        <v>0</v>
      </c>
      <c r="AH1179" s="218">
        <v>0</v>
      </c>
      <c r="AI1179" s="470">
        <v>0</v>
      </c>
      <c r="AJ1179" s="471">
        <v>0</v>
      </c>
      <c r="AK1179" s="218">
        <v>0</v>
      </c>
      <c r="AL1179" s="470">
        <v>0</v>
      </c>
      <c r="AM1179" s="471">
        <v>0</v>
      </c>
      <c r="AN1179" s="477">
        <v>0</v>
      </c>
      <c r="AO1179" s="473">
        <v>0</v>
      </c>
      <c r="AP1179" s="474">
        <v>0</v>
      </c>
      <c r="AQ1179" s="352"/>
      <c r="AR1179" s="352"/>
      <c r="AS1179" s="352"/>
      <c r="AT1179" s="352"/>
      <c r="AU1179" s="352"/>
      <c r="AV1179" s="352"/>
      <c r="AW1179" s="352" t="s">
        <v>127</v>
      </c>
    </row>
    <row r="1180" spans="2:49" x14ac:dyDescent="0.2">
      <c r="B1180" s="460" t="s">
        <v>2716</v>
      </c>
      <c r="C1180" s="460">
        <v>2121</v>
      </c>
      <c r="D1180" s="460" t="s">
        <v>2391</v>
      </c>
      <c r="E1180" s="460" t="s">
        <v>2392</v>
      </c>
      <c r="F1180" s="460">
        <v>2</v>
      </c>
      <c r="G1180" s="460">
        <v>6</v>
      </c>
      <c r="H1180" s="461" t="s">
        <v>754</v>
      </c>
      <c r="I1180" s="461" t="s">
        <v>1991</v>
      </c>
      <c r="J1180" s="461" t="s">
        <v>754</v>
      </c>
      <c r="K1180" s="594"/>
      <c r="L1180" s="594"/>
      <c r="M1180" s="352">
        <v>2000</v>
      </c>
      <c r="N1180" s="352" t="s">
        <v>703</v>
      </c>
      <c r="O1180" s="460">
        <v>2121</v>
      </c>
      <c r="P1180" s="460" t="s">
        <v>1876</v>
      </c>
      <c r="Q1180" s="460" t="s">
        <v>2377</v>
      </c>
      <c r="R1180" s="460">
        <v>2121</v>
      </c>
      <c r="S1180" s="460" t="s">
        <v>2392</v>
      </c>
      <c r="T1180" s="462">
        <v>1</v>
      </c>
      <c r="U1180" s="460" t="s">
        <v>2392</v>
      </c>
      <c r="V1180" s="475">
        <v>0</v>
      </c>
      <c r="W1180" s="463" t="s">
        <v>2278</v>
      </c>
      <c r="X1180" s="463" t="s">
        <v>2278</v>
      </c>
      <c r="Y1180" s="463" t="s">
        <v>2278</v>
      </c>
      <c r="Z1180" s="463"/>
      <c r="AA1180" s="463"/>
      <c r="AB1180" s="464">
        <v>0</v>
      </c>
      <c r="AC1180" s="465">
        <v>0</v>
      </c>
      <c r="AD1180" s="465">
        <v>0</v>
      </c>
      <c r="AE1180" s="476">
        <v>0</v>
      </c>
      <c r="AF1180" s="467">
        <v>0</v>
      </c>
      <c r="AG1180" s="468">
        <v>0</v>
      </c>
      <c r="AH1180" s="218">
        <v>0</v>
      </c>
      <c r="AI1180" s="470">
        <v>0</v>
      </c>
      <c r="AJ1180" s="471">
        <v>0</v>
      </c>
      <c r="AK1180" s="218">
        <v>0</v>
      </c>
      <c r="AL1180" s="470">
        <v>0</v>
      </c>
      <c r="AM1180" s="471">
        <v>0</v>
      </c>
      <c r="AN1180" s="477">
        <v>0</v>
      </c>
      <c r="AO1180" s="473">
        <v>0</v>
      </c>
      <c r="AP1180" s="474">
        <v>0</v>
      </c>
      <c r="AQ1180" s="352"/>
      <c r="AR1180" s="352"/>
      <c r="AS1180" s="352"/>
      <c r="AT1180" s="352"/>
      <c r="AU1180" s="352"/>
      <c r="AV1180" s="352"/>
      <c r="AW1180" s="352" t="s">
        <v>127</v>
      </c>
    </row>
    <row r="1181" spans="2:49" x14ac:dyDescent="0.2">
      <c r="B1181" s="460" t="s">
        <v>2717</v>
      </c>
      <c r="C1181" s="460">
        <v>2121</v>
      </c>
      <c r="D1181" s="460" t="s">
        <v>2394</v>
      </c>
      <c r="E1181" s="460" t="s">
        <v>2395</v>
      </c>
      <c r="F1181" s="460">
        <v>3</v>
      </c>
      <c r="G1181" s="460">
        <v>6</v>
      </c>
      <c r="H1181" s="461" t="s">
        <v>754</v>
      </c>
      <c r="I1181" s="461" t="s">
        <v>1991</v>
      </c>
      <c r="J1181" s="461" t="s">
        <v>754</v>
      </c>
      <c r="K1181" s="594"/>
      <c r="L1181" s="594"/>
      <c r="M1181" s="352">
        <v>2000</v>
      </c>
      <c r="N1181" s="352" t="s">
        <v>703</v>
      </c>
      <c r="O1181" s="460">
        <v>2121</v>
      </c>
      <c r="P1181" s="460" t="s">
        <v>1876</v>
      </c>
      <c r="Q1181" s="460" t="s">
        <v>2377</v>
      </c>
      <c r="R1181" s="460">
        <v>2121</v>
      </c>
      <c r="S1181" s="460" t="s">
        <v>2395</v>
      </c>
      <c r="T1181" s="462">
        <v>1</v>
      </c>
      <c r="U1181" s="460" t="s">
        <v>2395</v>
      </c>
      <c r="V1181" s="475">
        <v>0</v>
      </c>
      <c r="W1181" s="463" t="s">
        <v>2278</v>
      </c>
      <c r="X1181" s="463" t="s">
        <v>2278</v>
      </c>
      <c r="Y1181" s="463" t="s">
        <v>2278</v>
      </c>
      <c r="Z1181" s="463"/>
      <c r="AA1181" s="463"/>
      <c r="AB1181" s="464">
        <v>0</v>
      </c>
      <c r="AC1181" s="465">
        <v>0</v>
      </c>
      <c r="AD1181" s="465">
        <v>0</v>
      </c>
      <c r="AE1181" s="476">
        <v>0</v>
      </c>
      <c r="AF1181" s="467">
        <v>0</v>
      </c>
      <c r="AG1181" s="468">
        <v>0</v>
      </c>
      <c r="AH1181" s="218">
        <v>0</v>
      </c>
      <c r="AI1181" s="470">
        <v>0</v>
      </c>
      <c r="AJ1181" s="471">
        <v>0</v>
      </c>
      <c r="AK1181" s="218">
        <v>0</v>
      </c>
      <c r="AL1181" s="470">
        <v>0</v>
      </c>
      <c r="AM1181" s="471">
        <v>0</v>
      </c>
      <c r="AN1181" s="477">
        <v>0</v>
      </c>
      <c r="AO1181" s="473">
        <v>0</v>
      </c>
      <c r="AP1181" s="474">
        <v>0</v>
      </c>
      <c r="AQ1181" s="352"/>
      <c r="AR1181" s="352"/>
      <c r="AS1181" s="352"/>
      <c r="AT1181" s="352"/>
      <c r="AU1181" s="352"/>
      <c r="AV1181" s="352"/>
      <c r="AW1181" s="352" t="s">
        <v>127</v>
      </c>
    </row>
    <row r="1182" spans="2:49" x14ac:dyDescent="0.2">
      <c r="B1182" s="460" t="s">
        <v>2718</v>
      </c>
      <c r="C1182" s="460">
        <v>2121</v>
      </c>
      <c r="D1182" s="460" t="s">
        <v>2397</v>
      </c>
      <c r="E1182" s="460" t="s">
        <v>2398</v>
      </c>
      <c r="F1182" s="460">
        <v>4</v>
      </c>
      <c r="G1182" s="460">
        <v>6</v>
      </c>
      <c r="H1182" s="461" t="s">
        <v>754</v>
      </c>
      <c r="I1182" s="461" t="s">
        <v>1991</v>
      </c>
      <c r="J1182" s="461" t="s">
        <v>754</v>
      </c>
      <c r="K1182" s="594"/>
      <c r="L1182" s="594"/>
      <c r="M1182" s="352">
        <v>2000</v>
      </c>
      <c r="N1182" s="352" t="s">
        <v>703</v>
      </c>
      <c r="O1182" s="460">
        <v>2121</v>
      </c>
      <c r="P1182" s="460" t="s">
        <v>1876</v>
      </c>
      <c r="Q1182" s="460" t="s">
        <v>2377</v>
      </c>
      <c r="R1182" s="460">
        <v>2121</v>
      </c>
      <c r="S1182" s="460" t="s">
        <v>2398</v>
      </c>
      <c r="T1182" s="462">
        <v>1</v>
      </c>
      <c r="U1182" s="460" t="s">
        <v>2398</v>
      </c>
      <c r="V1182" s="475">
        <v>0</v>
      </c>
      <c r="W1182" s="463" t="s">
        <v>2278</v>
      </c>
      <c r="X1182" s="463" t="s">
        <v>2278</v>
      </c>
      <c r="Y1182" s="463" t="s">
        <v>2278</v>
      </c>
      <c r="Z1182" s="463"/>
      <c r="AA1182" s="463"/>
      <c r="AB1182" s="464">
        <v>0</v>
      </c>
      <c r="AC1182" s="465">
        <v>0</v>
      </c>
      <c r="AD1182" s="465">
        <v>0</v>
      </c>
      <c r="AE1182" s="476">
        <v>0</v>
      </c>
      <c r="AF1182" s="467">
        <v>0</v>
      </c>
      <c r="AG1182" s="468">
        <v>0</v>
      </c>
      <c r="AH1182" s="218">
        <v>0</v>
      </c>
      <c r="AI1182" s="470">
        <v>0</v>
      </c>
      <c r="AJ1182" s="471">
        <v>0</v>
      </c>
      <c r="AK1182" s="218">
        <v>0</v>
      </c>
      <c r="AL1182" s="470">
        <v>0</v>
      </c>
      <c r="AM1182" s="471">
        <v>0</v>
      </c>
      <c r="AN1182" s="477">
        <v>0</v>
      </c>
      <c r="AO1182" s="473">
        <v>0</v>
      </c>
      <c r="AP1182" s="474">
        <v>0</v>
      </c>
      <c r="AQ1182" s="352"/>
      <c r="AR1182" s="352"/>
      <c r="AS1182" s="352"/>
      <c r="AT1182" s="352"/>
      <c r="AU1182" s="352"/>
      <c r="AV1182" s="352"/>
      <c r="AW1182" s="352" t="s">
        <v>127</v>
      </c>
    </row>
    <row r="1183" spans="2:49" x14ac:dyDescent="0.2">
      <c r="B1183" s="460" t="s">
        <v>2719</v>
      </c>
      <c r="C1183" s="460">
        <v>2122</v>
      </c>
      <c r="D1183" s="460" t="s">
        <v>2264</v>
      </c>
      <c r="E1183" s="460" t="s">
        <v>2265</v>
      </c>
      <c r="F1183" s="460">
        <v>1</v>
      </c>
      <c r="G1183" s="460">
        <v>1</v>
      </c>
      <c r="H1183" s="461" t="s">
        <v>700</v>
      </c>
      <c r="I1183" s="461" t="s">
        <v>872</v>
      </c>
      <c r="J1183" s="461" t="s">
        <v>700</v>
      </c>
      <c r="K1183" s="594"/>
      <c r="L1183" s="594"/>
      <c r="M1183" s="352">
        <v>2000</v>
      </c>
      <c r="N1183" s="352" t="s">
        <v>703</v>
      </c>
      <c r="O1183" s="460">
        <v>2122</v>
      </c>
      <c r="P1183" s="460" t="s">
        <v>1877</v>
      </c>
      <c r="Q1183" s="460" t="s">
        <v>2266</v>
      </c>
      <c r="R1183" s="460">
        <v>2122</v>
      </c>
      <c r="S1183" s="460" t="s">
        <v>2265</v>
      </c>
      <c r="T1183" s="462">
        <v>1</v>
      </c>
      <c r="U1183" s="460" t="s">
        <v>2265</v>
      </c>
      <c r="V1183" s="475">
        <v>0</v>
      </c>
      <c r="W1183" s="463" t="s">
        <v>2267</v>
      </c>
      <c r="X1183" s="463" t="s">
        <v>2267</v>
      </c>
      <c r="Y1183" s="463" t="s">
        <v>2268</v>
      </c>
      <c r="Z1183" s="463"/>
      <c r="AA1183" s="463"/>
      <c r="AB1183" s="464">
        <v>1175.3745867055381</v>
      </c>
      <c r="AC1183" s="465">
        <v>0.65977905713854978</v>
      </c>
      <c r="AD1183" s="465">
        <v>1.0899760049673534E-2</v>
      </c>
      <c r="AE1183" s="476">
        <v>1175.3745867055381</v>
      </c>
      <c r="AF1183" s="467">
        <v>0.65977905713854978</v>
      </c>
      <c r="AG1183" s="468">
        <v>1.1643224942583691E-2</v>
      </c>
      <c r="AH1183" s="218">
        <v>1175.3745867055381</v>
      </c>
      <c r="AI1183" s="470">
        <v>0.65977905713854978</v>
      </c>
      <c r="AJ1183" s="471">
        <v>1.1207595363460917E-2</v>
      </c>
      <c r="AK1183" s="218">
        <v>1175.3745867055381</v>
      </c>
      <c r="AL1183" s="470">
        <v>0.65977905713854978</v>
      </c>
      <c r="AM1183" s="471">
        <v>1.1207595363460917E-2</v>
      </c>
      <c r="AN1183" s="477">
        <v>0</v>
      </c>
      <c r="AO1183" s="473">
        <v>0</v>
      </c>
      <c r="AP1183" s="474">
        <v>0</v>
      </c>
      <c r="AQ1183" s="352"/>
      <c r="AR1183" s="352"/>
      <c r="AS1183" s="352"/>
      <c r="AT1183" s="352"/>
      <c r="AU1183" s="352"/>
      <c r="AV1183" s="352"/>
      <c r="AW1183" s="352" t="s">
        <v>254</v>
      </c>
    </row>
    <row r="1184" spans="2:49" x14ac:dyDescent="0.2">
      <c r="B1184" s="460" t="s">
        <v>2720</v>
      </c>
      <c r="C1184" s="460">
        <v>2122</v>
      </c>
      <c r="D1184" s="460" t="s">
        <v>2270</v>
      </c>
      <c r="E1184" s="460" t="s">
        <v>2271</v>
      </c>
      <c r="F1184" s="460">
        <v>2</v>
      </c>
      <c r="G1184" s="460">
        <v>1</v>
      </c>
      <c r="H1184" s="461" t="s">
        <v>700</v>
      </c>
      <c r="I1184" s="461" t="s">
        <v>872</v>
      </c>
      <c r="J1184" s="461" t="s">
        <v>700</v>
      </c>
      <c r="K1184" s="594"/>
      <c r="L1184" s="594"/>
      <c r="M1184" s="352">
        <v>2000</v>
      </c>
      <c r="N1184" s="352" t="s">
        <v>703</v>
      </c>
      <c r="O1184" s="460">
        <v>2122</v>
      </c>
      <c r="P1184" s="460" t="s">
        <v>1877</v>
      </c>
      <c r="Q1184" s="460" t="s">
        <v>2266</v>
      </c>
      <c r="R1184" s="460">
        <v>2122</v>
      </c>
      <c r="S1184" s="460" t="s">
        <v>2265</v>
      </c>
      <c r="T1184" s="462">
        <v>1</v>
      </c>
      <c r="U1184" s="460" t="s">
        <v>2271</v>
      </c>
      <c r="V1184" s="475">
        <v>0</v>
      </c>
      <c r="W1184" s="463" t="s">
        <v>2267</v>
      </c>
      <c r="X1184" s="463" t="s">
        <v>2267</v>
      </c>
      <c r="Y1184" s="463" t="s">
        <v>2268</v>
      </c>
      <c r="Z1184" s="463"/>
      <c r="AA1184" s="463"/>
      <c r="AB1184" s="464">
        <v>1414.8731019864977</v>
      </c>
      <c r="AC1184" s="465">
        <v>0.63448914785625676</v>
      </c>
      <c r="AD1184" s="465">
        <v>1.7554037828389067E-2</v>
      </c>
      <c r="AE1184" s="476">
        <v>1414.8731019864977</v>
      </c>
      <c r="AF1184" s="467">
        <v>0.63448914785625676</v>
      </c>
      <c r="AG1184" s="468">
        <v>1.9022630602142925E-2</v>
      </c>
      <c r="AH1184" s="218">
        <v>1471.2680971035795</v>
      </c>
      <c r="AI1184" s="470">
        <v>0.65977905713854978</v>
      </c>
      <c r="AJ1184" s="471">
        <v>1.7370378888360922E-2</v>
      </c>
      <c r="AK1184" s="218">
        <v>1471.2680971035795</v>
      </c>
      <c r="AL1184" s="470">
        <v>0.65977905713854978</v>
      </c>
      <c r="AM1184" s="471">
        <v>1.7370378888360922E-2</v>
      </c>
      <c r="AN1184" s="477">
        <v>0</v>
      </c>
      <c r="AO1184" s="473">
        <v>0</v>
      </c>
      <c r="AP1184" s="474">
        <v>0</v>
      </c>
      <c r="AQ1184" s="352"/>
      <c r="AR1184" s="352"/>
      <c r="AS1184" s="352"/>
      <c r="AT1184" s="352"/>
      <c r="AU1184" s="352"/>
      <c r="AV1184" s="352"/>
      <c r="AW1184" s="352" t="s">
        <v>254</v>
      </c>
    </row>
    <row r="1185" spans="2:49" x14ac:dyDescent="0.2">
      <c r="B1185" s="460" t="s">
        <v>2721</v>
      </c>
      <c r="C1185" s="460">
        <v>2122</v>
      </c>
      <c r="D1185" s="460" t="s">
        <v>2273</v>
      </c>
      <c r="E1185" s="460" t="s">
        <v>2274</v>
      </c>
      <c r="F1185" s="460">
        <v>3</v>
      </c>
      <c r="G1185" s="460">
        <v>1</v>
      </c>
      <c r="H1185" s="461" t="s">
        <v>700</v>
      </c>
      <c r="I1185" s="461" t="s">
        <v>872</v>
      </c>
      <c r="J1185" s="461" t="s">
        <v>700</v>
      </c>
      <c r="K1185" s="594"/>
      <c r="L1185" s="594"/>
      <c r="M1185" s="352">
        <v>2000</v>
      </c>
      <c r="N1185" s="352" t="s">
        <v>703</v>
      </c>
      <c r="O1185" s="460">
        <v>2122</v>
      </c>
      <c r="P1185" s="460" t="s">
        <v>1877</v>
      </c>
      <c r="Q1185" s="460" t="s">
        <v>2266</v>
      </c>
      <c r="R1185" s="460">
        <v>2122</v>
      </c>
      <c r="S1185" s="460" t="s">
        <v>2265</v>
      </c>
      <c r="T1185" s="462">
        <v>0.74223365950407583</v>
      </c>
      <c r="U1185" s="460" t="s">
        <v>2274</v>
      </c>
      <c r="V1185" s="475">
        <v>0</v>
      </c>
      <c r="W1185" s="463" t="s">
        <v>2267</v>
      </c>
      <c r="X1185" s="463" t="s">
        <v>2267</v>
      </c>
      <c r="Y1185" s="463" t="s">
        <v>2268</v>
      </c>
      <c r="Z1185" s="463"/>
      <c r="AA1185" s="463"/>
      <c r="AB1185" s="464">
        <v>308.03935145940005</v>
      </c>
      <c r="AC1185" s="465">
        <v>0.34124963795784996</v>
      </c>
      <c r="AD1185" s="465">
        <v>1.5238600659983729E-2</v>
      </c>
      <c r="AE1185" s="476">
        <v>308.03935145940005</v>
      </c>
      <c r="AF1185" s="467">
        <v>0.34124963795784996</v>
      </c>
      <c r="AG1185" s="468">
        <v>1.6506056784399464E-2</v>
      </c>
      <c r="AH1185" s="218">
        <v>442.05180911052827</v>
      </c>
      <c r="AI1185" s="470">
        <v>0.48971022404409453</v>
      </c>
      <c r="AJ1185" s="471">
        <v>1.7153415991324052E-2</v>
      </c>
      <c r="AK1185" s="218">
        <v>442.05180911052827</v>
      </c>
      <c r="AL1185" s="470">
        <v>0.48971022404409453</v>
      </c>
      <c r="AM1185" s="471">
        <v>1.7153415991324052E-2</v>
      </c>
      <c r="AN1185" s="477">
        <v>0</v>
      </c>
      <c r="AO1185" s="473">
        <v>0</v>
      </c>
      <c r="AP1185" s="474">
        <v>0</v>
      </c>
      <c r="AQ1185" s="352"/>
      <c r="AR1185" s="352"/>
      <c r="AS1185" s="352"/>
      <c r="AT1185" s="352"/>
      <c r="AU1185" s="352"/>
      <c r="AV1185" s="352"/>
      <c r="AW1185" s="352" t="s">
        <v>254</v>
      </c>
    </row>
    <row r="1186" spans="2:49" x14ac:dyDescent="0.2">
      <c r="B1186" s="460" t="s">
        <v>2722</v>
      </c>
      <c r="C1186" s="460">
        <v>2122</v>
      </c>
      <c r="D1186" s="460" t="s">
        <v>2276</v>
      </c>
      <c r="E1186" s="460" t="s">
        <v>2277</v>
      </c>
      <c r="F1186" s="460">
        <v>4</v>
      </c>
      <c r="G1186" s="460">
        <v>1</v>
      </c>
      <c r="H1186" s="461" t="s">
        <v>700</v>
      </c>
      <c r="I1186" s="461" t="s">
        <v>872</v>
      </c>
      <c r="J1186" s="461" t="s">
        <v>700</v>
      </c>
      <c r="K1186" s="594"/>
      <c r="L1186" s="594"/>
      <c r="M1186" s="352">
        <v>2000</v>
      </c>
      <c r="N1186" s="352" t="s">
        <v>703</v>
      </c>
      <c r="O1186" s="460">
        <v>2122</v>
      </c>
      <c r="P1186" s="460" t="s">
        <v>1877</v>
      </c>
      <c r="Q1186" s="460" t="s">
        <v>2266</v>
      </c>
      <c r="R1186" s="460">
        <v>2122</v>
      </c>
      <c r="S1186" s="460" t="s">
        <v>2277</v>
      </c>
      <c r="T1186" s="462">
        <v>1</v>
      </c>
      <c r="U1186" s="460" t="s">
        <v>2277</v>
      </c>
      <c r="V1186" s="475">
        <v>0</v>
      </c>
      <c r="W1186" s="463" t="s">
        <v>2278</v>
      </c>
      <c r="X1186" s="463" t="s">
        <v>2278</v>
      </c>
      <c r="Y1186" s="463" t="s">
        <v>2268</v>
      </c>
      <c r="Z1186" s="463"/>
      <c r="AA1186" s="463"/>
      <c r="AB1186" s="464">
        <v>1.3164128382299045</v>
      </c>
      <c r="AC1186" s="465">
        <v>1.9487398563543768E-3</v>
      </c>
      <c r="AD1186" s="465">
        <v>5.3133182790615508E-3</v>
      </c>
      <c r="AE1186" s="476">
        <v>1.3164128382299045</v>
      </c>
      <c r="AF1186" s="467">
        <v>1.9487398563543768E-3</v>
      </c>
      <c r="AG1186" s="468">
        <v>5.9400097568076621E-3</v>
      </c>
      <c r="AH1186" s="218">
        <v>1.3164128382299045</v>
      </c>
      <c r="AI1186" s="470">
        <v>1.9487398563543768E-3</v>
      </c>
      <c r="AJ1186" s="471">
        <v>5.693242230926817E-3</v>
      </c>
      <c r="AK1186" s="218">
        <v>1.3164128382299045</v>
      </c>
      <c r="AL1186" s="470">
        <v>1.9487398563543768E-3</v>
      </c>
      <c r="AM1186" s="471">
        <v>5.693242230926817E-3</v>
      </c>
      <c r="AN1186" s="477">
        <v>0</v>
      </c>
      <c r="AO1186" s="473">
        <v>0</v>
      </c>
      <c r="AP1186" s="474">
        <v>0</v>
      </c>
      <c r="AQ1186" s="352"/>
      <c r="AR1186" s="352"/>
      <c r="AS1186" s="352"/>
      <c r="AT1186" s="352"/>
      <c r="AU1186" s="352"/>
      <c r="AV1186" s="352"/>
      <c r="AW1186" s="352" t="s">
        <v>254</v>
      </c>
    </row>
    <row r="1187" spans="2:49" x14ac:dyDescent="0.2">
      <c r="B1187" s="460" t="s">
        <v>2719</v>
      </c>
      <c r="C1187" s="460">
        <v>2122</v>
      </c>
      <c r="D1187" s="460" t="s">
        <v>2279</v>
      </c>
      <c r="E1187" s="460" t="s">
        <v>2265</v>
      </c>
      <c r="F1187" s="460">
        <v>1</v>
      </c>
      <c r="G1187" s="460">
        <v>1</v>
      </c>
      <c r="H1187" s="461" t="s">
        <v>712</v>
      </c>
      <c r="I1187" s="461" t="s">
        <v>713</v>
      </c>
      <c r="J1187" s="461" t="s">
        <v>712</v>
      </c>
      <c r="K1187" s="594"/>
      <c r="L1187" s="594"/>
      <c r="M1187" s="352">
        <v>2000</v>
      </c>
      <c r="N1187" s="352" t="s">
        <v>703</v>
      </c>
      <c r="O1187" s="460">
        <v>2122</v>
      </c>
      <c r="P1187" s="460" t="s">
        <v>1877</v>
      </c>
      <c r="Q1187" s="460" t="s">
        <v>2280</v>
      </c>
      <c r="R1187" s="460">
        <v>2122</v>
      </c>
      <c r="S1187" s="460" t="s">
        <v>2265</v>
      </c>
      <c r="T1187" s="462">
        <v>1</v>
      </c>
      <c r="U1187" s="460" t="s">
        <v>2265</v>
      </c>
      <c r="V1187" s="475">
        <v>0</v>
      </c>
      <c r="W1187" s="463" t="s">
        <v>713</v>
      </c>
      <c r="X1187" s="463" t="s">
        <v>713</v>
      </c>
      <c r="Y1187" s="463" t="s">
        <v>713</v>
      </c>
      <c r="Z1187" s="463"/>
      <c r="AA1187" s="463"/>
      <c r="AB1187" s="464">
        <v>606.09236649409377</v>
      </c>
      <c r="AC1187" s="465">
        <v>0.34022094286145022</v>
      </c>
      <c r="AD1187" s="465">
        <v>2.2390100183662634E-3</v>
      </c>
      <c r="AE1187" s="476">
        <v>606.09236649409377</v>
      </c>
      <c r="AF1187" s="467">
        <v>0.34022094286145022</v>
      </c>
      <c r="AG1187" s="468">
        <v>2.1834693802404593E-3</v>
      </c>
      <c r="AH1187" s="218">
        <v>606.09236649409377</v>
      </c>
      <c r="AI1187" s="470">
        <v>0.34022094286145022</v>
      </c>
      <c r="AJ1187" s="471">
        <v>2.2147767200987253E-3</v>
      </c>
      <c r="AK1187" s="218">
        <v>606.09236649409377</v>
      </c>
      <c r="AL1187" s="470">
        <v>0.34022094286145022</v>
      </c>
      <c r="AM1187" s="471">
        <v>2.2147767200987253E-3</v>
      </c>
      <c r="AN1187" s="477">
        <v>606.09236649409377</v>
      </c>
      <c r="AO1187" s="473">
        <v>0.34022094286145022</v>
      </c>
      <c r="AP1187" s="474">
        <v>2.2140550570169562E-3</v>
      </c>
      <c r="AQ1187" s="352"/>
      <c r="AR1187" s="352"/>
      <c r="AS1187" s="352"/>
      <c r="AT1187" s="352"/>
      <c r="AU1187" s="352"/>
      <c r="AV1187" s="352"/>
      <c r="AW1187" s="352" t="s">
        <v>254</v>
      </c>
    </row>
    <row r="1188" spans="2:49" x14ac:dyDescent="0.2">
      <c r="B1188" s="460" t="s">
        <v>2720</v>
      </c>
      <c r="C1188" s="460">
        <v>2122</v>
      </c>
      <c r="D1188" s="460" t="s">
        <v>2281</v>
      </c>
      <c r="E1188" s="460" t="s">
        <v>2271</v>
      </c>
      <c r="F1188" s="460">
        <v>2</v>
      </c>
      <c r="G1188" s="460">
        <v>1</v>
      </c>
      <c r="H1188" s="461" t="s">
        <v>712</v>
      </c>
      <c r="I1188" s="461" t="s">
        <v>713</v>
      </c>
      <c r="J1188" s="461" t="s">
        <v>712</v>
      </c>
      <c r="K1188" s="594"/>
      <c r="L1188" s="594"/>
      <c r="M1188" s="352">
        <v>2000</v>
      </c>
      <c r="N1188" s="352" t="s">
        <v>703</v>
      </c>
      <c r="O1188" s="460">
        <v>2122</v>
      </c>
      <c r="P1188" s="460" t="s">
        <v>1877</v>
      </c>
      <c r="Q1188" s="460" t="s">
        <v>2280</v>
      </c>
      <c r="R1188" s="460">
        <v>2122</v>
      </c>
      <c r="S1188" s="460" t="s">
        <v>2265</v>
      </c>
      <c r="T1188" s="462">
        <v>1</v>
      </c>
      <c r="U1188" s="460" t="s">
        <v>2271</v>
      </c>
      <c r="V1188" s="475">
        <v>0</v>
      </c>
      <c r="W1188" s="463" t="s">
        <v>713</v>
      </c>
      <c r="X1188" s="463" t="s">
        <v>713</v>
      </c>
      <c r="Y1188" s="463" t="s">
        <v>713</v>
      </c>
      <c r="Z1188" s="463"/>
      <c r="AA1188" s="463"/>
      <c r="AB1188" s="464">
        <v>815.06748370660318</v>
      </c>
      <c r="AC1188" s="465">
        <v>0.36551085214374324</v>
      </c>
      <c r="AD1188" s="465">
        <v>3.4036570952402337E-3</v>
      </c>
      <c r="AE1188" s="476">
        <v>815.06748370660318</v>
      </c>
      <c r="AF1188" s="467">
        <v>0.36551085214374324</v>
      </c>
      <c r="AG1188" s="468">
        <v>3.3174529253275726E-3</v>
      </c>
      <c r="AH1188" s="218">
        <v>758.67248858952121</v>
      </c>
      <c r="AI1188" s="470">
        <v>0.34022094286145022</v>
      </c>
      <c r="AJ1188" s="471">
        <v>3.2593673917909083E-3</v>
      </c>
      <c r="AK1188" s="218">
        <v>758.67248858952121</v>
      </c>
      <c r="AL1188" s="470">
        <v>0.34022094286145022</v>
      </c>
      <c r="AM1188" s="471">
        <v>3.2593673917909083E-3</v>
      </c>
      <c r="AN1188" s="477">
        <v>758.67248858952121</v>
      </c>
      <c r="AO1188" s="473">
        <v>0.34022094286145022</v>
      </c>
      <c r="AP1188" s="474">
        <v>3.2582229209765917E-3</v>
      </c>
      <c r="AQ1188" s="352"/>
      <c r="AR1188" s="352"/>
      <c r="AS1188" s="352"/>
      <c r="AT1188" s="352"/>
      <c r="AU1188" s="352"/>
      <c r="AV1188" s="352"/>
      <c r="AW1188" s="352" t="s">
        <v>254</v>
      </c>
    </row>
    <row r="1189" spans="2:49" x14ac:dyDescent="0.2">
      <c r="B1189" s="460" t="s">
        <v>2721</v>
      </c>
      <c r="C1189" s="460">
        <v>2122</v>
      </c>
      <c r="D1189" s="460" t="s">
        <v>2282</v>
      </c>
      <c r="E1189" s="460" t="s">
        <v>2274</v>
      </c>
      <c r="F1189" s="460">
        <v>3</v>
      </c>
      <c r="G1189" s="460">
        <v>1</v>
      </c>
      <c r="H1189" s="461" t="s">
        <v>712</v>
      </c>
      <c r="I1189" s="461" t="s">
        <v>713</v>
      </c>
      <c r="J1189" s="461" t="s">
        <v>712</v>
      </c>
      <c r="K1189" s="594"/>
      <c r="L1189" s="594"/>
      <c r="M1189" s="352">
        <v>2000</v>
      </c>
      <c r="N1189" s="352" t="s">
        <v>703</v>
      </c>
      <c r="O1189" s="460">
        <v>2122</v>
      </c>
      <c r="P1189" s="460" t="s">
        <v>1877</v>
      </c>
      <c r="Q1189" s="460" t="s">
        <v>2280</v>
      </c>
      <c r="R1189" s="460">
        <v>2122</v>
      </c>
      <c r="S1189" s="460" t="s">
        <v>2265</v>
      </c>
      <c r="T1189" s="462">
        <v>0.74223365950407583</v>
      </c>
      <c r="U1189" s="460" t="s">
        <v>2274</v>
      </c>
      <c r="V1189" s="475">
        <v>0</v>
      </c>
      <c r="W1189" s="463" t="s">
        <v>713</v>
      </c>
      <c r="X1189" s="463" t="s">
        <v>713</v>
      </c>
      <c r="Y1189" s="463" t="s">
        <v>713</v>
      </c>
      <c r="Z1189" s="463"/>
      <c r="AA1189" s="463"/>
      <c r="AB1189" s="464">
        <v>594.64102441677312</v>
      </c>
      <c r="AC1189" s="465">
        <v>0.65875036204214998</v>
      </c>
      <c r="AD1189" s="465">
        <v>3.55905286930295E-3</v>
      </c>
      <c r="AE1189" s="476">
        <v>594.64102441677312</v>
      </c>
      <c r="AF1189" s="467">
        <v>0.65875036204214998</v>
      </c>
      <c r="AG1189" s="468">
        <v>3.5262925128777406E-3</v>
      </c>
      <c r="AH1189" s="218">
        <v>460.62856676564502</v>
      </c>
      <c r="AI1189" s="470">
        <v>0.51028977595590552</v>
      </c>
      <c r="AJ1189" s="471">
        <v>2.8946685522739293E-3</v>
      </c>
      <c r="AK1189" s="218">
        <v>460.62856676564502</v>
      </c>
      <c r="AL1189" s="470">
        <v>0.51028977595590552</v>
      </c>
      <c r="AM1189" s="471">
        <v>2.8946685522739293E-3</v>
      </c>
      <c r="AN1189" s="477">
        <v>460.62856676564502</v>
      </c>
      <c r="AO1189" s="473">
        <v>0.51028977595590552</v>
      </c>
      <c r="AP1189" s="474">
        <v>2.9155506821151905E-3</v>
      </c>
      <c r="AQ1189" s="352"/>
      <c r="AR1189" s="352"/>
      <c r="AS1189" s="352"/>
      <c r="AT1189" s="352"/>
      <c r="AU1189" s="352"/>
      <c r="AV1189" s="352"/>
      <c r="AW1189" s="352" t="s">
        <v>254</v>
      </c>
    </row>
    <row r="1190" spans="2:49" x14ac:dyDescent="0.2">
      <c r="B1190" s="460" t="s">
        <v>2722</v>
      </c>
      <c r="C1190" s="460">
        <v>2122</v>
      </c>
      <c r="D1190" s="460" t="s">
        <v>2283</v>
      </c>
      <c r="E1190" s="460" t="s">
        <v>2277</v>
      </c>
      <c r="F1190" s="460">
        <v>4</v>
      </c>
      <c r="G1190" s="460">
        <v>1</v>
      </c>
      <c r="H1190" s="461" t="s">
        <v>712</v>
      </c>
      <c r="I1190" s="461" t="s">
        <v>713</v>
      </c>
      <c r="J1190" s="461" t="s">
        <v>712</v>
      </c>
      <c r="K1190" s="594"/>
      <c r="L1190" s="594"/>
      <c r="M1190" s="352">
        <v>2000</v>
      </c>
      <c r="N1190" s="352" t="s">
        <v>703</v>
      </c>
      <c r="O1190" s="460">
        <v>2122</v>
      </c>
      <c r="P1190" s="460" t="s">
        <v>1877</v>
      </c>
      <c r="Q1190" s="460" t="s">
        <v>2280</v>
      </c>
      <c r="R1190" s="460">
        <v>2122</v>
      </c>
      <c r="S1190" s="460" t="s">
        <v>2277</v>
      </c>
      <c r="T1190" s="462">
        <v>1</v>
      </c>
      <c r="U1190" s="460" t="s">
        <v>2277</v>
      </c>
      <c r="V1190" s="475">
        <v>0</v>
      </c>
      <c r="W1190" s="463" t="s">
        <v>713</v>
      </c>
      <c r="X1190" s="463" t="s">
        <v>713</v>
      </c>
      <c r="Y1190" s="463" t="s">
        <v>713</v>
      </c>
      <c r="Z1190" s="463"/>
      <c r="AA1190" s="463"/>
      <c r="AB1190" s="464">
        <v>674.20363358428028</v>
      </c>
      <c r="AC1190" s="465">
        <v>0.99805126014364565</v>
      </c>
      <c r="AD1190" s="465">
        <v>3.5013247881917212E-3</v>
      </c>
      <c r="AE1190" s="476">
        <v>674.20363358428028</v>
      </c>
      <c r="AF1190" s="467">
        <v>0.99805126014364565</v>
      </c>
      <c r="AG1190" s="468">
        <v>3.5008495540155382E-3</v>
      </c>
      <c r="AH1190" s="218">
        <v>674.20363358428028</v>
      </c>
      <c r="AI1190" s="470">
        <v>0.99805126014364565</v>
      </c>
      <c r="AJ1190" s="471">
        <v>3.5010241807628445E-3</v>
      </c>
      <c r="AK1190" s="218">
        <v>674.20363358428028</v>
      </c>
      <c r="AL1190" s="470">
        <v>0.99805126014364565</v>
      </c>
      <c r="AM1190" s="471">
        <v>3.5010241807628445E-3</v>
      </c>
      <c r="AN1190" s="477">
        <v>674.20363358428028</v>
      </c>
      <c r="AO1190" s="473">
        <v>0.99805126014364565</v>
      </c>
      <c r="AP1190" s="474">
        <v>3.5010416383188135E-3</v>
      </c>
      <c r="AQ1190" s="352"/>
      <c r="AR1190" s="352"/>
      <c r="AS1190" s="352"/>
      <c r="AT1190" s="352"/>
      <c r="AU1190" s="352"/>
      <c r="AV1190" s="352"/>
      <c r="AW1190" s="352" t="s">
        <v>254</v>
      </c>
    </row>
    <row r="1191" spans="2:49" x14ac:dyDescent="0.2">
      <c r="B1191" s="460" t="s">
        <v>2719</v>
      </c>
      <c r="C1191" s="460">
        <v>2122</v>
      </c>
      <c r="D1191" s="460" t="s">
        <v>2284</v>
      </c>
      <c r="E1191" s="460" t="s">
        <v>2265</v>
      </c>
      <c r="F1191" s="460">
        <v>1</v>
      </c>
      <c r="G1191" s="460">
        <v>1</v>
      </c>
      <c r="H1191" s="461" t="s">
        <v>746</v>
      </c>
      <c r="I1191" s="461" t="s">
        <v>762</v>
      </c>
      <c r="J1191" s="461" t="s">
        <v>700</v>
      </c>
      <c r="K1191" s="594"/>
      <c r="L1191" s="594"/>
      <c r="M1191" s="352">
        <v>2000</v>
      </c>
      <c r="N1191" s="352" t="s">
        <v>703</v>
      </c>
      <c r="O1191" s="460">
        <v>2122</v>
      </c>
      <c r="P1191" s="460" t="s">
        <v>1877</v>
      </c>
      <c r="Q1191" s="460" t="s">
        <v>2289</v>
      </c>
      <c r="R1191" s="460">
        <v>2122</v>
      </c>
      <c r="S1191" s="460" t="s">
        <v>2265</v>
      </c>
      <c r="T1191" s="462">
        <v>1</v>
      </c>
      <c r="U1191" s="460" t="s">
        <v>2265</v>
      </c>
      <c r="V1191" s="475">
        <v>0</v>
      </c>
      <c r="W1191" s="463" t="s">
        <v>2268</v>
      </c>
      <c r="X1191" s="463" t="s">
        <v>2268</v>
      </c>
      <c r="Y1191" s="463" t="s">
        <v>2290</v>
      </c>
      <c r="Z1191" s="463"/>
      <c r="AA1191" s="463"/>
      <c r="AB1191" s="464">
        <v>0</v>
      </c>
      <c r="AC1191" s="465">
        <v>0</v>
      </c>
      <c r="AD1191" s="465">
        <v>0</v>
      </c>
      <c r="AE1191" s="476">
        <v>0</v>
      </c>
      <c r="AF1191" s="467">
        <v>0</v>
      </c>
      <c r="AG1191" s="468">
        <v>0</v>
      </c>
      <c r="AH1191" s="218">
        <v>0</v>
      </c>
      <c r="AI1191" s="470">
        <v>0</v>
      </c>
      <c r="AJ1191" s="471">
        <v>0</v>
      </c>
      <c r="AK1191" s="218">
        <v>0</v>
      </c>
      <c r="AL1191" s="470">
        <v>0</v>
      </c>
      <c r="AM1191" s="471">
        <v>0</v>
      </c>
      <c r="AN1191" s="477">
        <v>0</v>
      </c>
      <c r="AO1191" s="473">
        <v>0</v>
      </c>
      <c r="AP1191" s="474">
        <v>0</v>
      </c>
      <c r="AQ1191" s="352"/>
      <c r="AR1191" s="352"/>
      <c r="AS1191" s="352"/>
      <c r="AT1191" s="352"/>
      <c r="AU1191" s="352"/>
      <c r="AV1191" s="352"/>
      <c r="AW1191" s="352" t="s">
        <v>254</v>
      </c>
    </row>
    <row r="1192" spans="2:49" x14ac:dyDescent="0.2">
      <c r="B1192" s="460" t="s">
        <v>2720</v>
      </c>
      <c r="C1192" s="460">
        <v>2122</v>
      </c>
      <c r="D1192" s="460" t="s">
        <v>2285</v>
      </c>
      <c r="E1192" s="460" t="s">
        <v>2271</v>
      </c>
      <c r="F1192" s="460">
        <v>2</v>
      </c>
      <c r="G1192" s="460">
        <v>1</v>
      </c>
      <c r="H1192" s="461" t="s">
        <v>746</v>
      </c>
      <c r="I1192" s="461" t="s">
        <v>762</v>
      </c>
      <c r="J1192" s="461" t="s">
        <v>700</v>
      </c>
      <c r="K1192" s="594"/>
      <c r="L1192" s="594"/>
      <c r="M1192" s="352">
        <v>2000</v>
      </c>
      <c r="N1192" s="352" t="s">
        <v>703</v>
      </c>
      <c r="O1192" s="460">
        <v>2122</v>
      </c>
      <c r="P1192" s="460" t="s">
        <v>1877</v>
      </c>
      <c r="Q1192" s="460" t="s">
        <v>2289</v>
      </c>
      <c r="R1192" s="460">
        <v>2122</v>
      </c>
      <c r="S1192" s="460" t="s">
        <v>2265</v>
      </c>
      <c r="T1192" s="462">
        <v>1</v>
      </c>
      <c r="U1192" s="460" t="s">
        <v>2271</v>
      </c>
      <c r="V1192" s="475">
        <v>0</v>
      </c>
      <c r="W1192" s="463" t="s">
        <v>2268</v>
      </c>
      <c r="X1192" s="463" t="s">
        <v>2268</v>
      </c>
      <c r="Y1192" s="463" t="s">
        <v>2290</v>
      </c>
      <c r="Z1192" s="463"/>
      <c r="AA1192" s="463"/>
      <c r="AB1192" s="464">
        <v>0</v>
      </c>
      <c r="AC1192" s="465">
        <v>0</v>
      </c>
      <c r="AD1192" s="465">
        <v>0</v>
      </c>
      <c r="AE1192" s="476">
        <v>0</v>
      </c>
      <c r="AF1192" s="467">
        <v>0</v>
      </c>
      <c r="AG1192" s="468">
        <v>0</v>
      </c>
      <c r="AH1192" s="218">
        <v>0</v>
      </c>
      <c r="AI1192" s="470">
        <v>0</v>
      </c>
      <c r="AJ1192" s="471">
        <v>0</v>
      </c>
      <c r="AK1192" s="218">
        <v>0</v>
      </c>
      <c r="AL1192" s="470">
        <v>0</v>
      </c>
      <c r="AM1192" s="471">
        <v>0</v>
      </c>
      <c r="AN1192" s="477">
        <v>0</v>
      </c>
      <c r="AO1192" s="473">
        <v>0</v>
      </c>
      <c r="AP1192" s="474">
        <v>0</v>
      </c>
      <c r="AQ1192" s="352"/>
      <c r="AR1192" s="352"/>
      <c r="AS1192" s="352"/>
      <c r="AT1192" s="352"/>
      <c r="AU1192" s="352"/>
      <c r="AV1192" s="352"/>
      <c r="AW1192" s="352" t="s">
        <v>254</v>
      </c>
    </row>
    <row r="1193" spans="2:49" x14ac:dyDescent="0.2">
      <c r="B1193" s="460" t="s">
        <v>2721</v>
      </c>
      <c r="C1193" s="460">
        <v>2122</v>
      </c>
      <c r="D1193" s="460" t="s">
        <v>2286</v>
      </c>
      <c r="E1193" s="460" t="s">
        <v>2274</v>
      </c>
      <c r="F1193" s="460">
        <v>3</v>
      </c>
      <c r="G1193" s="460">
        <v>1</v>
      </c>
      <c r="H1193" s="461" t="s">
        <v>746</v>
      </c>
      <c r="I1193" s="461" t="s">
        <v>762</v>
      </c>
      <c r="J1193" s="461" t="s">
        <v>700</v>
      </c>
      <c r="K1193" s="594"/>
      <c r="L1193" s="594"/>
      <c r="M1193" s="352">
        <v>2000</v>
      </c>
      <c r="N1193" s="352" t="s">
        <v>703</v>
      </c>
      <c r="O1193" s="460">
        <v>2122</v>
      </c>
      <c r="P1193" s="460" t="s">
        <v>1877</v>
      </c>
      <c r="Q1193" s="460" t="s">
        <v>2289</v>
      </c>
      <c r="R1193" s="460">
        <v>2122</v>
      </c>
      <c r="S1193" s="460" t="s">
        <v>2265</v>
      </c>
      <c r="T1193" s="462">
        <v>0.74223365950407583</v>
      </c>
      <c r="U1193" s="460" t="s">
        <v>2274</v>
      </c>
      <c r="V1193" s="475">
        <v>0</v>
      </c>
      <c r="W1193" s="463" t="s">
        <v>2268</v>
      </c>
      <c r="X1193" s="463" t="s">
        <v>2268</v>
      </c>
      <c r="Y1193" s="463" t="s">
        <v>2290</v>
      </c>
      <c r="Z1193" s="463"/>
      <c r="AA1193" s="463"/>
      <c r="AB1193" s="464">
        <v>0</v>
      </c>
      <c r="AC1193" s="465">
        <v>0</v>
      </c>
      <c r="AD1193" s="465">
        <v>0</v>
      </c>
      <c r="AE1193" s="476">
        <v>0</v>
      </c>
      <c r="AF1193" s="467">
        <v>0</v>
      </c>
      <c r="AG1193" s="468">
        <v>0</v>
      </c>
      <c r="AH1193" s="218">
        <v>0</v>
      </c>
      <c r="AI1193" s="470">
        <v>0</v>
      </c>
      <c r="AJ1193" s="471">
        <v>0</v>
      </c>
      <c r="AK1193" s="218">
        <v>0</v>
      </c>
      <c r="AL1193" s="470">
        <v>0</v>
      </c>
      <c r="AM1193" s="471">
        <v>0</v>
      </c>
      <c r="AN1193" s="477">
        <v>0</v>
      </c>
      <c r="AO1193" s="473">
        <v>0</v>
      </c>
      <c r="AP1193" s="474">
        <v>0</v>
      </c>
      <c r="AQ1193" s="352"/>
      <c r="AR1193" s="352"/>
      <c r="AS1193" s="352"/>
      <c r="AT1193" s="352"/>
      <c r="AU1193" s="352"/>
      <c r="AV1193" s="352"/>
      <c r="AW1193" s="352" t="s">
        <v>254</v>
      </c>
    </row>
    <row r="1194" spans="2:49" x14ac:dyDescent="0.2">
      <c r="B1194" s="460" t="s">
        <v>2722</v>
      </c>
      <c r="C1194" s="460">
        <v>2122</v>
      </c>
      <c r="D1194" s="460" t="s">
        <v>2287</v>
      </c>
      <c r="E1194" s="460" t="s">
        <v>2277</v>
      </c>
      <c r="F1194" s="460">
        <v>4</v>
      </c>
      <c r="G1194" s="460">
        <v>1</v>
      </c>
      <c r="H1194" s="461" t="s">
        <v>746</v>
      </c>
      <c r="I1194" s="461" t="s">
        <v>762</v>
      </c>
      <c r="J1194" s="461" t="s">
        <v>700</v>
      </c>
      <c r="K1194" s="594"/>
      <c r="L1194" s="594"/>
      <c r="M1194" s="352">
        <v>2000</v>
      </c>
      <c r="N1194" s="352" t="s">
        <v>703</v>
      </c>
      <c r="O1194" s="460">
        <v>2122</v>
      </c>
      <c r="P1194" s="460" t="s">
        <v>1877</v>
      </c>
      <c r="Q1194" s="460" t="s">
        <v>2289</v>
      </c>
      <c r="R1194" s="460">
        <v>2122</v>
      </c>
      <c r="S1194" s="460" t="s">
        <v>2277</v>
      </c>
      <c r="T1194" s="462">
        <v>1</v>
      </c>
      <c r="U1194" s="460" t="s">
        <v>2277</v>
      </c>
      <c r="V1194" s="475">
        <v>0</v>
      </c>
      <c r="W1194" s="463" t="s">
        <v>2268</v>
      </c>
      <c r="X1194" s="463" t="s">
        <v>2268</v>
      </c>
      <c r="Y1194" s="463" t="s">
        <v>2290</v>
      </c>
      <c r="Z1194" s="463"/>
      <c r="AA1194" s="463"/>
      <c r="AB1194" s="464">
        <v>0</v>
      </c>
      <c r="AC1194" s="465">
        <v>0</v>
      </c>
      <c r="AD1194" s="465">
        <v>0</v>
      </c>
      <c r="AE1194" s="476">
        <v>0</v>
      </c>
      <c r="AF1194" s="467">
        <v>0</v>
      </c>
      <c r="AG1194" s="468">
        <v>0</v>
      </c>
      <c r="AH1194" s="218">
        <v>0</v>
      </c>
      <c r="AI1194" s="470">
        <v>0</v>
      </c>
      <c r="AJ1194" s="471">
        <v>0</v>
      </c>
      <c r="AK1194" s="218">
        <v>0</v>
      </c>
      <c r="AL1194" s="470">
        <v>0</v>
      </c>
      <c r="AM1194" s="471">
        <v>0</v>
      </c>
      <c r="AN1194" s="477">
        <v>0</v>
      </c>
      <c r="AO1194" s="473">
        <v>0</v>
      </c>
      <c r="AP1194" s="474">
        <v>0</v>
      </c>
      <c r="AQ1194" s="352"/>
      <c r="AR1194" s="352"/>
      <c r="AS1194" s="352"/>
      <c r="AT1194" s="352"/>
      <c r="AU1194" s="352"/>
      <c r="AV1194" s="352"/>
      <c r="AW1194" s="352" t="s">
        <v>254</v>
      </c>
    </row>
    <row r="1195" spans="2:49" x14ac:dyDescent="0.2">
      <c r="B1195" s="460" t="s">
        <v>2719</v>
      </c>
      <c r="C1195" s="460">
        <v>2122</v>
      </c>
      <c r="D1195" s="460" t="s">
        <v>2288</v>
      </c>
      <c r="E1195" s="460" t="s">
        <v>2265</v>
      </c>
      <c r="F1195" s="460">
        <v>1</v>
      </c>
      <c r="G1195" s="460">
        <v>1</v>
      </c>
      <c r="H1195" s="461" t="s">
        <v>748</v>
      </c>
      <c r="I1195" s="461" t="s">
        <v>765</v>
      </c>
      <c r="J1195" s="461" t="s">
        <v>700</v>
      </c>
      <c r="K1195" s="594"/>
      <c r="L1195" s="594"/>
      <c r="M1195" s="352">
        <v>2000</v>
      </c>
      <c r="N1195" s="352" t="s">
        <v>703</v>
      </c>
      <c r="O1195" s="460">
        <v>2122</v>
      </c>
      <c r="P1195" s="460" t="s">
        <v>1877</v>
      </c>
      <c r="Q1195" s="460" t="s">
        <v>2266</v>
      </c>
      <c r="R1195" s="460">
        <v>2122</v>
      </c>
      <c r="S1195" s="460" t="s">
        <v>2265</v>
      </c>
      <c r="T1195" s="462">
        <v>1</v>
      </c>
      <c r="U1195" s="460" t="s">
        <v>2265</v>
      </c>
      <c r="V1195" s="475">
        <v>0</v>
      </c>
      <c r="W1195" s="463" t="s">
        <v>2268</v>
      </c>
      <c r="X1195" s="463" t="s">
        <v>2268</v>
      </c>
      <c r="Y1195" s="463" t="s">
        <v>2267</v>
      </c>
      <c r="Z1195" s="463"/>
      <c r="AA1195" s="463"/>
      <c r="AB1195" s="464">
        <v>0</v>
      </c>
      <c r="AC1195" s="465">
        <v>0</v>
      </c>
      <c r="AD1195" s="465">
        <v>0</v>
      </c>
      <c r="AE1195" s="476">
        <v>0</v>
      </c>
      <c r="AF1195" s="467">
        <v>0</v>
      </c>
      <c r="AG1195" s="468">
        <v>0</v>
      </c>
      <c r="AH1195" s="218">
        <v>0</v>
      </c>
      <c r="AI1195" s="470">
        <v>0</v>
      </c>
      <c r="AJ1195" s="471">
        <v>0</v>
      </c>
      <c r="AK1195" s="218">
        <v>0</v>
      </c>
      <c r="AL1195" s="470">
        <v>0</v>
      </c>
      <c r="AM1195" s="471">
        <v>0</v>
      </c>
      <c r="AN1195" s="477">
        <v>1175.3745867055381</v>
      </c>
      <c r="AO1195" s="473">
        <v>0.65977905713854978</v>
      </c>
      <c r="AP1195" s="474">
        <v>7.2991481271260053E-2</v>
      </c>
      <c r="AQ1195" s="352"/>
      <c r="AR1195" s="352"/>
      <c r="AS1195" s="352"/>
      <c r="AT1195" s="352"/>
      <c r="AU1195" s="352"/>
      <c r="AV1195" s="352"/>
      <c r="AW1195" s="352" t="s">
        <v>254</v>
      </c>
    </row>
    <row r="1196" spans="2:49" x14ac:dyDescent="0.2">
      <c r="B1196" s="460" t="s">
        <v>2720</v>
      </c>
      <c r="C1196" s="460">
        <v>2122</v>
      </c>
      <c r="D1196" s="460" t="s">
        <v>2291</v>
      </c>
      <c r="E1196" s="460" t="s">
        <v>2271</v>
      </c>
      <c r="F1196" s="460">
        <v>2</v>
      </c>
      <c r="G1196" s="460">
        <v>1</v>
      </c>
      <c r="H1196" s="461" t="s">
        <v>748</v>
      </c>
      <c r="I1196" s="461" t="s">
        <v>765</v>
      </c>
      <c r="J1196" s="461" t="s">
        <v>700</v>
      </c>
      <c r="K1196" s="594"/>
      <c r="L1196" s="594"/>
      <c r="M1196" s="352">
        <v>2000</v>
      </c>
      <c r="N1196" s="352" t="s">
        <v>703</v>
      </c>
      <c r="O1196" s="460">
        <v>2122</v>
      </c>
      <c r="P1196" s="460" t="s">
        <v>1877</v>
      </c>
      <c r="Q1196" s="460" t="s">
        <v>2266</v>
      </c>
      <c r="R1196" s="460">
        <v>2122</v>
      </c>
      <c r="S1196" s="460" t="s">
        <v>2265</v>
      </c>
      <c r="T1196" s="462">
        <v>1</v>
      </c>
      <c r="U1196" s="460" t="s">
        <v>2271</v>
      </c>
      <c r="V1196" s="475">
        <v>0</v>
      </c>
      <c r="W1196" s="463" t="s">
        <v>2268</v>
      </c>
      <c r="X1196" s="463" t="s">
        <v>2268</v>
      </c>
      <c r="Y1196" s="463" t="s">
        <v>2267</v>
      </c>
      <c r="Z1196" s="463"/>
      <c r="AA1196" s="463"/>
      <c r="AB1196" s="464">
        <v>0</v>
      </c>
      <c r="AC1196" s="465">
        <v>0</v>
      </c>
      <c r="AD1196" s="465">
        <v>0</v>
      </c>
      <c r="AE1196" s="476">
        <v>0</v>
      </c>
      <c r="AF1196" s="467">
        <v>0</v>
      </c>
      <c r="AG1196" s="468">
        <v>0</v>
      </c>
      <c r="AH1196" s="218">
        <v>0</v>
      </c>
      <c r="AI1196" s="470">
        <v>0</v>
      </c>
      <c r="AJ1196" s="471">
        <v>0</v>
      </c>
      <c r="AK1196" s="218">
        <v>0</v>
      </c>
      <c r="AL1196" s="470">
        <v>0</v>
      </c>
      <c r="AM1196" s="471">
        <v>0</v>
      </c>
      <c r="AN1196" s="477">
        <v>1471.2680971035795</v>
      </c>
      <c r="AO1196" s="473">
        <v>0.65977905713854978</v>
      </c>
      <c r="AP1196" s="474">
        <v>9.3578649821935256E-2</v>
      </c>
      <c r="AQ1196" s="352"/>
      <c r="AR1196" s="352"/>
      <c r="AS1196" s="352"/>
      <c r="AT1196" s="352"/>
      <c r="AU1196" s="352"/>
      <c r="AV1196" s="352"/>
      <c r="AW1196" s="352" t="s">
        <v>254</v>
      </c>
    </row>
    <row r="1197" spans="2:49" x14ac:dyDescent="0.2">
      <c r="B1197" s="460" t="s">
        <v>2721</v>
      </c>
      <c r="C1197" s="460">
        <v>2122</v>
      </c>
      <c r="D1197" s="460" t="s">
        <v>2292</v>
      </c>
      <c r="E1197" s="460" t="s">
        <v>2274</v>
      </c>
      <c r="F1197" s="460">
        <v>3</v>
      </c>
      <c r="G1197" s="460">
        <v>1</v>
      </c>
      <c r="H1197" s="461" t="s">
        <v>748</v>
      </c>
      <c r="I1197" s="461" t="s">
        <v>765</v>
      </c>
      <c r="J1197" s="461" t="s">
        <v>700</v>
      </c>
      <c r="K1197" s="594"/>
      <c r="L1197" s="594"/>
      <c r="M1197" s="352">
        <v>2000</v>
      </c>
      <c r="N1197" s="352" t="s">
        <v>703</v>
      </c>
      <c r="O1197" s="460">
        <v>2122</v>
      </c>
      <c r="P1197" s="460" t="s">
        <v>1877</v>
      </c>
      <c r="Q1197" s="460" t="s">
        <v>2266</v>
      </c>
      <c r="R1197" s="460">
        <v>2122</v>
      </c>
      <c r="S1197" s="460" t="s">
        <v>2265</v>
      </c>
      <c r="T1197" s="462">
        <v>0.74223365950407583</v>
      </c>
      <c r="U1197" s="460" t="s">
        <v>2274</v>
      </c>
      <c r="V1197" s="475">
        <v>0</v>
      </c>
      <c r="W1197" s="463" t="s">
        <v>2268</v>
      </c>
      <c r="X1197" s="463" t="s">
        <v>2268</v>
      </c>
      <c r="Y1197" s="463" t="s">
        <v>2267</v>
      </c>
      <c r="Z1197" s="463"/>
      <c r="AA1197" s="463"/>
      <c r="AB1197" s="464">
        <v>0</v>
      </c>
      <c r="AC1197" s="465">
        <v>0</v>
      </c>
      <c r="AD1197" s="465">
        <v>0</v>
      </c>
      <c r="AE1197" s="476">
        <v>0</v>
      </c>
      <c r="AF1197" s="467">
        <v>0</v>
      </c>
      <c r="AG1197" s="468">
        <v>0</v>
      </c>
      <c r="AH1197" s="218">
        <v>0</v>
      </c>
      <c r="AI1197" s="470">
        <v>0</v>
      </c>
      <c r="AJ1197" s="471">
        <v>0</v>
      </c>
      <c r="AK1197" s="218">
        <v>0</v>
      </c>
      <c r="AL1197" s="470">
        <v>0</v>
      </c>
      <c r="AM1197" s="471">
        <v>0</v>
      </c>
      <c r="AN1197" s="477">
        <v>442.05180911052827</v>
      </c>
      <c r="AO1197" s="473">
        <v>0.48971022404409453</v>
      </c>
      <c r="AP1197" s="474">
        <v>6.2239475476489031E-2</v>
      </c>
      <c r="AQ1197" s="352"/>
      <c r="AR1197" s="352"/>
      <c r="AS1197" s="352"/>
      <c r="AT1197" s="352"/>
      <c r="AU1197" s="352"/>
      <c r="AV1197" s="352"/>
      <c r="AW1197" s="352" t="s">
        <v>254</v>
      </c>
    </row>
    <row r="1198" spans="2:49" x14ac:dyDescent="0.2">
      <c r="B1198" s="460" t="s">
        <v>2722</v>
      </c>
      <c r="C1198" s="460">
        <v>2122</v>
      </c>
      <c r="D1198" s="460" t="s">
        <v>2293</v>
      </c>
      <c r="E1198" s="460" t="s">
        <v>2277</v>
      </c>
      <c r="F1198" s="460">
        <v>4</v>
      </c>
      <c r="G1198" s="460">
        <v>1</v>
      </c>
      <c r="H1198" s="461" t="s">
        <v>748</v>
      </c>
      <c r="I1198" s="461" t="s">
        <v>765</v>
      </c>
      <c r="J1198" s="461" t="s">
        <v>700</v>
      </c>
      <c r="K1198" s="594"/>
      <c r="L1198" s="594"/>
      <c r="M1198" s="352">
        <v>2000</v>
      </c>
      <c r="N1198" s="352" t="s">
        <v>703</v>
      </c>
      <c r="O1198" s="460">
        <v>2122</v>
      </c>
      <c r="P1198" s="460" t="s">
        <v>1877</v>
      </c>
      <c r="Q1198" s="460" t="s">
        <v>2266</v>
      </c>
      <c r="R1198" s="460">
        <v>2122</v>
      </c>
      <c r="S1198" s="460" t="s">
        <v>2277</v>
      </c>
      <c r="T1198" s="462">
        <v>1</v>
      </c>
      <c r="U1198" s="460" t="s">
        <v>2277</v>
      </c>
      <c r="V1198" s="475">
        <v>0</v>
      </c>
      <c r="W1198" s="463" t="s">
        <v>2268</v>
      </c>
      <c r="X1198" s="463" t="s">
        <v>2268</v>
      </c>
      <c r="Y1198" s="463" t="s">
        <v>2278</v>
      </c>
      <c r="Z1198" s="463"/>
      <c r="AA1198" s="463"/>
      <c r="AB1198" s="464">
        <v>0</v>
      </c>
      <c r="AC1198" s="465">
        <v>0</v>
      </c>
      <c r="AD1198" s="465">
        <v>0</v>
      </c>
      <c r="AE1198" s="476">
        <v>0</v>
      </c>
      <c r="AF1198" s="467">
        <v>0</v>
      </c>
      <c r="AG1198" s="468">
        <v>0</v>
      </c>
      <c r="AH1198" s="218">
        <v>0</v>
      </c>
      <c r="AI1198" s="470">
        <v>0</v>
      </c>
      <c r="AJ1198" s="471">
        <v>0</v>
      </c>
      <c r="AK1198" s="218">
        <v>0</v>
      </c>
      <c r="AL1198" s="470">
        <v>0</v>
      </c>
      <c r="AM1198" s="471">
        <v>0</v>
      </c>
      <c r="AN1198" s="477">
        <v>1.3164128382299045</v>
      </c>
      <c r="AO1198" s="473">
        <v>1.9487398563543768E-3</v>
      </c>
      <c r="AP1198" s="474">
        <v>3.1786325980788649E-2</v>
      </c>
      <c r="AQ1198" s="352"/>
      <c r="AR1198" s="352"/>
      <c r="AS1198" s="352"/>
      <c r="AT1198" s="352"/>
      <c r="AU1198" s="352"/>
      <c r="AV1198" s="352"/>
      <c r="AW1198" s="352" t="s">
        <v>254</v>
      </c>
    </row>
    <row r="1199" spans="2:49" x14ac:dyDescent="0.2">
      <c r="B1199" s="460" t="s">
        <v>2723</v>
      </c>
      <c r="C1199" s="460">
        <v>2122</v>
      </c>
      <c r="D1199" s="460" t="s">
        <v>2295</v>
      </c>
      <c r="E1199" s="460" t="s">
        <v>2296</v>
      </c>
      <c r="F1199" s="460">
        <v>1</v>
      </c>
      <c r="G1199" s="460">
        <v>2</v>
      </c>
      <c r="H1199" s="461" t="s">
        <v>700</v>
      </c>
      <c r="I1199" s="461" t="s">
        <v>872</v>
      </c>
      <c r="J1199" s="461" t="s">
        <v>700</v>
      </c>
      <c r="K1199" s="594"/>
      <c r="L1199" s="594"/>
      <c r="M1199" s="352">
        <v>2000</v>
      </c>
      <c r="N1199" s="352" t="s">
        <v>703</v>
      </c>
      <c r="O1199" s="460">
        <v>2122</v>
      </c>
      <c r="P1199" s="460" t="s">
        <v>1877</v>
      </c>
      <c r="Q1199" s="460" t="s">
        <v>2266</v>
      </c>
      <c r="R1199" s="460">
        <v>2122</v>
      </c>
      <c r="S1199" s="460" t="s">
        <v>2296</v>
      </c>
      <c r="T1199" s="462">
        <v>1</v>
      </c>
      <c r="U1199" s="460" t="s">
        <v>2296</v>
      </c>
      <c r="V1199" s="475">
        <v>0</v>
      </c>
      <c r="W1199" s="463" t="s">
        <v>2267</v>
      </c>
      <c r="X1199" s="463" t="s">
        <v>2267</v>
      </c>
      <c r="Y1199" s="463" t="s">
        <v>2268</v>
      </c>
      <c r="Z1199" s="463"/>
      <c r="AA1199" s="463"/>
      <c r="AB1199" s="464">
        <v>146.76646843487126</v>
      </c>
      <c r="AC1199" s="465">
        <v>0.37381544398627964</v>
      </c>
      <c r="AD1199" s="465">
        <v>8.5731763045128109E-3</v>
      </c>
      <c r="AE1199" s="476">
        <v>146.76646843487126</v>
      </c>
      <c r="AF1199" s="467">
        <v>0.37381544398627964</v>
      </c>
      <c r="AG1199" s="468">
        <v>9.5295524796969473E-3</v>
      </c>
      <c r="AH1199" s="218">
        <v>146.76646843487126</v>
      </c>
      <c r="AI1199" s="470">
        <v>0.37381544398627964</v>
      </c>
      <c r="AJ1199" s="471">
        <v>8.7551105367095639E-3</v>
      </c>
      <c r="AK1199" s="218">
        <v>146.76646843487126</v>
      </c>
      <c r="AL1199" s="470">
        <v>0.37381544398627964</v>
      </c>
      <c r="AM1199" s="471">
        <v>8.7551105367095639E-3</v>
      </c>
      <c r="AN1199" s="477">
        <v>0</v>
      </c>
      <c r="AO1199" s="473">
        <v>0</v>
      </c>
      <c r="AP1199" s="474">
        <v>0</v>
      </c>
      <c r="AQ1199" s="352"/>
      <c r="AR1199" s="352"/>
      <c r="AS1199" s="352"/>
      <c r="AT1199" s="352"/>
      <c r="AU1199" s="352"/>
      <c r="AV1199" s="352"/>
      <c r="AW1199" s="352" t="s">
        <v>254</v>
      </c>
    </row>
    <row r="1200" spans="2:49" x14ac:dyDescent="0.2">
      <c r="B1200" s="460" t="s">
        <v>2724</v>
      </c>
      <c r="C1200" s="460">
        <v>2122</v>
      </c>
      <c r="D1200" s="460" t="s">
        <v>2298</v>
      </c>
      <c r="E1200" s="460" t="s">
        <v>2299</v>
      </c>
      <c r="F1200" s="460">
        <v>2</v>
      </c>
      <c r="G1200" s="460">
        <v>2</v>
      </c>
      <c r="H1200" s="461" t="s">
        <v>700</v>
      </c>
      <c r="I1200" s="461" t="s">
        <v>872</v>
      </c>
      <c r="J1200" s="461" t="s">
        <v>700</v>
      </c>
      <c r="K1200" s="594"/>
      <c r="L1200" s="594"/>
      <c r="M1200" s="352">
        <v>2000</v>
      </c>
      <c r="N1200" s="352" t="s">
        <v>703</v>
      </c>
      <c r="O1200" s="460">
        <v>2122</v>
      </c>
      <c r="P1200" s="460" t="s">
        <v>1877</v>
      </c>
      <c r="Q1200" s="460" t="s">
        <v>2266</v>
      </c>
      <c r="R1200" s="460">
        <v>2122</v>
      </c>
      <c r="S1200" s="460" t="s">
        <v>2296</v>
      </c>
      <c r="T1200" s="462">
        <v>0.55517361979372948</v>
      </c>
      <c r="U1200" s="460" t="s">
        <v>2299</v>
      </c>
      <c r="V1200" s="475">
        <v>0</v>
      </c>
      <c r="W1200" s="463" t="s">
        <v>2267</v>
      </c>
      <c r="X1200" s="463" t="s">
        <v>2267</v>
      </c>
      <c r="Y1200" s="463" t="s">
        <v>2268</v>
      </c>
      <c r="Z1200" s="463"/>
      <c r="AA1200" s="463"/>
      <c r="AB1200" s="464">
        <v>48.232615798473098</v>
      </c>
      <c r="AC1200" s="465">
        <v>0.1897240794265346</v>
      </c>
      <c r="AD1200" s="465">
        <v>1.4594197577218304E-2</v>
      </c>
      <c r="AE1200" s="476">
        <v>48.232615798473098</v>
      </c>
      <c r="AF1200" s="467">
        <v>0.1897240794265346</v>
      </c>
      <c r="AG1200" s="468">
        <v>1.637750679466209E-2</v>
      </c>
      <c r="AH1200" s="218">
        <v>52.759955797387384</v>
      </c>
      <c r="AI1200" s="470">
        <v>0.20753247317266299</v>
      </c>
      <c r="AJ1200" s="471">
        <v>1.2424314241564011E-2</v>
      </c>
      <c r="AK1200" s="218">
        <v>52.759955797387384</v>
      </c>
      <c r="AL1200" s="470">
        <v>0.20753247317266299</v>
      </c>
      <c r="AM1200" s="471">
        <v>1.2424314241564011E-2</v>
      </c>
      <c r="AN1200" s="477">
        <v>0</v>
      </c>
      <c r="AO1200" s="473">
        <v>0</v>
      </c>
      <c r="AP1200" s="474">
        <v>0</v>
      </c>
      <c r="AQ1200" s="352"/>
      <c r="AR1200" s="352"/>
      <c r="AS1200" s="352"/>
      <c r="AT1200" s="352"/>
      <c r="AU1200" s="352"/>
      <c r="AV1200" s="352"/>
      <c r="AW1200" s="352" t="s">
        <v>254</v>
      </c>
    </row>
    <row r="1201" spans="2:49" x14ac:dyDescent="0.2">
      <c r="B1201" s="460" t="s">
        <v>2725</v>
      </c>
      <c r="C1201" s="460">
        <v>2122</v>
      </c>
      <c r="D1201" s="460" t="s">
        <v>2301</v>
      </c>
      <c r="E1201" s="460" t="s">
        <v>2302</v>
      </c>
      <c r="F1201" s="460">
        <v>3</v>
      </c>
      <c r="G1201" s="460">
        <v>2</v>
      </c>
      <c r="H1201" s="461" t="s">
        <v>700</v>
      </c>
      <c r="I1201" s="461" t="s">
        <v>872</v>
      </c>
      <c r="J1201" s="461" t="s">
        <v>700</v>
      </c>
      <c r="K1201" s="594"/>
      <c r="L1201" s="594"/>
      <c r="M1201" s="352">
        <v>2000</v>
      </c>
      <c r="N1201" s="352" t="s">
        <v>703</v>
      </c>
      <c r="O1201" s="460">
        <v>2122</v>
      </c>
      <c r="P1201" s="460" t="s">
        <v>1877</v>
      </c>
      <c r="Q1201" s="460" t="s">
        <v>2266</v>
      </c>
      <c r="R1201" s="460">
        <v>2122</v>
      </c>
      <c r="S1201" s="460" t="s">
        <v>2296</v>
      </c>
      <c r="T1201" s="462">
        <v>0.28481449642268464</v>
      </c>
      <c r="U1201" s="460" t="s">
        <v>2302</v>
      </c>
      <c r="V1201" s="475">
        <v>0</v>
      </c>
      <c r="W1201" s="463" t="s">
        <v>2267</v>
      </c>
      <c r="X1201" s="463" t="s">
        <v>2267</v>
      </c>
      <c r="Y1201" s="463" t="s">
        <v>2268</v>
      </c>
      <c r="Z1201" s="463"/>
      <c r="AA1201" s="463"/>
      <c r="AB1201" s="464">
        <v>3.8042538576345972</v>
      </c>
      <c r="AC1201" s="465">
        <v>2.52170721327666E-2</v>
      </c>
      <c r="AD1201" s="465">
        <v>7.3997981980579936E-3</v>
      </c>
      <c r="AE1201" s="476">
        <v>3.8042538576345972</v>
      </c>
      <c r="AF1201" s="467">
        <v>2.52170721327666E-2</v>
      </c>
      <c r="AG1201" s="468">
        <v>8.350216937320824E-3</v>
      </c>
      <c r="AH1201" s="218">
        <v>16.061797978591212</v>
      </c>
      <c r="AI1201" s="470">
        <v>0.10646805743397451</v>
      </c>
      <c r="AJ1201" s="471">
        <v>1.6674056408959088E-2</v>
      </c>
      <c r="AK1201" s="218">
        <v>16.061797978591212</v>
      </c>
      <c r="AL1201" s="470">
        <v>0.10646805743397451</v>
      </c>
      <c r="AM1201" s="471">
        <v>1.6674056408959088E-2</v>
      </c>
      <c r="AN1201" s="477">
        <v>0</v>
      </c>
      <c r="AO1201" s="473">
        <v>0</v>
      </c>
      <c r="AP1201" s="474">
        <v>0</v>
      </c>
      <c r="AQ1201" s="352"/>
      <c r="AR1201" s="352"/>
      <c r="AS1201" s="352"/>
      <c r="AT1201" s="352"/>
      <c r="AU1201" s="352"/>
      <c r="AV1201" s="352"/>
      <c r="AW1201" s="352" t="s">
        <v>254</v>
      </c>
    </row>
    <row r="1202" spans="2:49" x14ac:dyDescent="0.2">
      <c r="B1202" s="460" t="s">
        <v>2726</v>
      </c>
      <c r="C1202" s="460">
        <v>2122</v>
      </c>
      <c r="D1202" s="460" t="s">
        <v>2304</v>
      </c>
      <c r="E1202" s="460" t="s">
        <v>2305</v>
      </c>
      <c r="F1202" s="460">
        <v>4</v>
      </c>
      <c r="G1202" s="460">
        <v>2</v>
      </c>
      <c r="H1202" s="461" t="s">
        <v>700</v>
      </c>
      <c r="I1202" s="461" t="s">
        <v>872</v>
      </c>
      <c r="J1202" s="461" t="s">
        <v>700</v>
      </c>
      <c r="K1202" s="594"/>
      <c r="L1202" s="594"/>
      <c r="M1202" s="352">
        <v>2000</v>
      </c>
      <c r="N1202" s="352" t="s">
        <v>703</v>
      </c>
      <c r="O1202" s="460">
        <v>2122</v>
      </c>
      <c r="P1202" s="460" t="s">
        <v>1877</v>
      </c>
      <c r="Q1202" s="460" t="s">
        <v>2266</v>
      </c>
      <c r="R1202" s="460">
        <v>2122</v>
      </c>
      <c r="S1202" s="460" t="s">
        <v>2305</v>
      </c>
      <c r="T1202" s="462">
        <v>1</v>
      </c>
      <c r="U1202" s="460" t="s">
        <v>2305</v>
      </c>
      <c r="V1202" s="475">
        <v>0</v>
      </c>
      <c r="W1202" s="463" t="s">
        <v>2278</v>
      </c>
      <c r="X1202" s="463" t="s">
        <v>2278</v>
      </c>
      <c r="Y1202" s="463" t="s">
        <v>2268</v>
      </c>
      <c r="Z1202" s="463"/>
      <c r="AA1202" s="463"/>
      <c r="AB1202" s="464">
        <v>0</v>
      </c>
      <c r="AC1202" s="465">
        <v>0</v>
      </c>
      <c r="AD1202" s="465">
        <v>0</v>
      </c>
      <c r="AE1202" s="476">
        <v>0</v>
      </c>
      <c r="AF1202" s="467">
        <v>0</v>
      </c>
      <c r="AG1202" s="468">
        <v>0</v>
      </c>
      <c r="AH1202" s="218">
        <v>0</v>
      </c>
      <c r="AI1202" s="470">
        <v>0</v>
      </c>
      <c r="AJ1202" s="471">
        <v>0</v>
      </c>
      <c r="AK1202" s="218">
        <v>0</v>
      </c>
      <c r="AL1202" s="470">
        <v>0</v>
      </c>
      <c r="AM1202" s="471">
        <v>0</v>
      </c>
      <c r="AN1202" s="477">
        <v>0</v>
      </c>
      <c r="AO1202" s="473">
        <v>0</v>
      </c>
      <c r="AP1202" s="474">
        <v>0</v>
      </c>
      <c r="AQ1202" s="352"/>
      <c r="AR1202" s="352"/>
      <c r="AS1202" s="352"/>
      <c r="AT1202" s="352"/>
      <c r="AU1202" s="352"/>
      <c r="AV1202" s="352"/>
      <c r="AW1202" s="352" t="s">
        <v>254</v>
      </c>
    </row>
    <row r="1203" spans="2:49" x14ac:dyDescent="0.2">
      <c r="B1203" s="460" t="s">
        <v>2723</v>
      </c>
      <c r="C1203" s="460">
        <v>2122</v>
      </c>
      <c r="D1203" s="460" t="s">
        <v>2306</v>
      </c>
      <c r="E1203" s="460" t="s">
        <v>2296</v>
      </c>
      <c r="F1203" s="460">
        <v>1</v>
      </c>
      <c r="G1203" s="460">
        <v>2</v>
      </c>
      <c r="H1203" s="461" t="s">
        <v>712</v>
      </c>
      <c r="I1203" s="461" t="s">
        <v>713</v>
      </c>
      <c r="J1203" s="461" t="s">
        <v>712</v>
      </c>
      <c r="K1203" s="594"/>
      <c r="L1203" s="594"/>
      <c r="M1203" s="352">
        <v>2000</v>
      </c>
      <c r="N1203" s="352" t="s">
        <v>703</v>
      </c>
      <c r="O1203" s="460">
        <v>2122</v>
      </c>
      <c r="P1203" s="460" t="s">
        <v>1877</v>
      </c>
      <c r="Q1203" s="460" t="s">
        <v>2280</v>
      </c>
      <c r="R1203" s="460">
        <v>2122</v>
      </c>
      <c r="S1203" s="460" t="s">
        <v>2296</v>
      </c>
      <c r="T1203" s="462">
        <v>1</v>
      </c>
      <c r="U1203" s="460" t="s">
        <v>2296</v>
      </c>
      <c r="V1203" s="475">
        <v>0</v>
      </c>
      <c r="W1203" s="463" t="s">
        <v>713</v>
      </c>
      <c r="X1203" s="463" t="s">
        <v>713</v>
      </c>
      <c r="Y1203" s="463" t="s">
        <v>713</v>
      </c>
      <c r="Z1203" s="463"/>
      <c r="AA1203" s="463"/>
      <c r="AB1203" s="464">
        <v>245.85098703938175</v>
      </c>
      <c r="AC1203" s="465">
        <v>0.62618455601372036</v>
      </c>
      <c r="AD1203" s="465">
        <v>2.1263595024583084E-3</v>
      </c>
      <c r="AE1203" s="476">
        <v>245.85098703938175</v>
      </c>
      <c r="AF1203" s="467">
        <v>0.62618455601372036</v>
      </c>
      <c r="AG1203" s="468">
        <v>2.0952253669483706E-3</v>
      </c>
      <c r="AH1203" s="218">
        <v>245.85098703938175</v>
      </c>
      <c r="AI1203" s="470">
        <v>0.62618455601372036</v>
      </c>
      <c r="AJ1203" s="471">
        <v>2.1198371372864195E-3</v>
      </c>
      <c r="AK1203" s="218">
        <v>245.85098703938175</v>
      </c>
      <c r="AL1203" s="470">
        <v>0.62618455601372036</v>
      </c>
      <c r="AM1203" s="471">
        <v>2.1198371372864195E-3</v>
      </c>
      <c r="AN1203" s="477">
        <v>245.85098703938175</v>
      </c>
      <c r="AO1203" s="473">
        <v>0.62618455601372036</v>
      </c>
      <c r="AP1203" s="474">
        <v>2.1193169000708234E-3</v>
      </c>
      <c r="AQ1203" s="352"/>
      <c r="AR1203" s="352"/>
      <c r="AS1203" s="352"/>
      <c r="AT1203" s="352"/>
      <c r="AU1203" s="352"/>
      <c r="AV1203" s="352"/>
      <c r="AW1203" s="352" t="s">
        <v>254</v>
      </c>
    </row>
    <row r="1204" spans="2:49" x14ac:dyDescent="0.2">
      <c r="B1204" s="460" t="s">
        <v>2724</v>
      </c>
      <c r="C1204" s="460">
        <v>2122</v>
      </c>
      <c r="D1204" s="460" t="s">
        <v>2307</v>
      </c>
      <c r="E1204" s="460" t="s">
        <v>2299</v>
      </c>
      <c r="F1204" s="460">
        <v>2</v>
      </c>
      <c r="G1204" s="460">
        <v>2</v>
      </c>
      <c r="H1204" s="461" t="s">
        <v>712</v>
      </c>
      <c r="I1204" s="461" t="s">
        <v>713</v>
      </c>
      <c r="J1204" s="461" t="s">
        <v>712</v>
      </c>
      <c r="K1204" s="594"/>
      <c r="L1204" s="594"/>
      <c r="M1204" s="352">
        <v>2000</v>
      </c>
      <c r="N1204" s="352" t="s">
        <v>703</v>
      </c>
      <c r="O1204" s="460">
        <v>2122</v>
      </c>
      <c r="P1204" s="460" t="s">
        <v>1877</v>
      </c>
      <c r="Q1204" s="460" t="s">
        <v>2280</v>
      </c>
      <c r="R1204" s="460">
        <v>2122</v>
      </c>
      <c r="S1204" s="460" t="s">
        <v>2296</v>
      </c>
      <c r="T1204" s="462">
        <v>0.55517361979372948</v>
      </c>
      <c r="U1204" s="460" t="s">
        <v>2299</v>
      </c>
      <c r="V1204" s="475">
        <v>0</v>
      </c>
      <c r="W1204" s="463" t="s">
        <v>713</v>
      </c>
      <c r="X1204" s="463" t="s">
        <v>713</v>
      </c>
      <c r="Y1204" s="463" t="s">
        <v>713</v>
      </c>
      <c r="Z1204" s="463"/>
      <c r="AA1204" s="463"/>
      <c r="AB1204" s="464">
        <v>205.99244590303772</v>
      </c>
      <c r="AC1204" s="465">
        <v>0.81027592057346542</v>
      </c>
      <c r="AD1204" s="465">
        <v>2.3826636457911919E-3</v>
      </c>
      <c r="AE1204" s="476">
        <v>205.99244590303772</v>
      </c>
      <c r="AF1204" s="467">
        <v>0.81027592057346542</v>
      </c>
      <c r="AG1204" s="468">
        <v>2.3727869959271606E-3</v>
      </c>
      <c r="AH1204" s="218">
        <v>201.46510590412342</v>
      </c>
      <c r="AI1204" s="470">
        <v>0.79246752682733701</v>
      </c>
      <c r="AJ1204" s="471">
        <v>2.3603452891685479E-3</v>
      </c>
      <c r="AK1204" s="218">
        <v>201.46510590412342</v>
      </c>
      <c r="AL1204" s="470">
        <v>0.79246752682733701</v>
      </c>
      <c r="AM1204" s="471">
        <v>2.3603452891685479E-3</v>
      </c>
      <c r="AN1204" s="477">
        <v>201.46510590412342</v>
      </c>
      <c r="AO1204" s="473">
        <v>0.79246752682733701</v>
      </c>
      <c r="AP1204" s="474">
        <v>2.3600473316873448E-3</v>
      </c>
      <c r="AQ1204" s="352"/>
      <c r="AR1204" s="352"/>
      <c r="AS1204" s="352"/>
      <c r="AT1204" s="352"/>
      <c r="AU1204" s="352"/>
      <c r="AV1204" s="352"/>
      <c r="AW1204" s="352" t="s">
        <v>254</v>
      </c>
    </row>
    <row r="1205" spans="2:49" x14ac:dyDescent="0.2">
      <c r="B1205" s="460" t="s">
        <v>2725</v>
      </c>
      <c r="C1205" s="460">
        <v>2122</v>
      </c>
      <c r="D1205" s="460" t="s">
        <v>2308</v>
      </c>
      <c r="E1205" s="460" t="s">
        <v>2302</v>
      </c>
      <c r="F1205" s="460">
        <v>3</v>
      </c>
      <c r="G1205" s="460">
        <v>2</v>
      </c>
      <c r="H1205" s="461" t="s">
        <v>712</v>
      </c>
      <c r="I1205" s="461" t="s">
        <v>713</v>
      </c>
      <c r="J1205" s="461" t="s">
        <v>712</v>
      </c>
      <c r="K1205" s="594"/>
      <c r="L1205" s="594"/>
      <c r="M1205" s="352">
        <v>2000</v>
      </c>
      <c r="N1205" s="352" t="s">
        <v>703</v>
      </c>
      <c r="O1205" s="460">
        <v>2122</v>
      </c>
      <c r="P1205" s="460" t="s">
        <v>1877</v>
      </c>
      <c r="Q1205" s="460" t="s">
        <v>2280</v>
      </c>
      <c r="R1205" s="460">
        <v>2122</v>
      </c>
      <c r="S1205" s="460" t="s">
        <v>2296</v>
      </c>
      <c r="T1205" s="462">
        <v>0.28481449642268464</v>
      </c>
      <c r="U1205" s="460" t="s">
        <v>2302</v>
      </c>
      <c r="V1205" s="475">
        <v>0</v>
      </c>
      <c r="W1205" s="463" t="s">
        <v>713</v>
      </c>
      <c r="X1205" s="463" t="s">
        <v>713</v>
      </c>
      <c r="Y1205" s="463" t="s">
        <v>713</v>
      </c>
      <c r="Z1205" s="463"/>
      <c r="AA1205" s="463"/>
      <c r="AB1205" s="464">
        <v>147.05599818135687</v>
      </c>
      <c r="AC1205" s="465">
        <v>0.97478292786723342</v>
      </c>
      <c r="AD1205" s="465">
        <v>4.277491508850895E-3</v>
      </c>
      <c r="AE1205" s="476">
        <v>147.05599818135687</v>
      </c>
      <c r="AF1205" s="467">
        <v>0.97478292786723342</v>
      </c>
      <c r="AG1205" s="468">
        <v>4.2702233593761019E-3</v>
      </c>
      <c r="AH1205" s="218">
        <v>134.79845406040025</v>
      </c>
      <c r="AI1205" s="470">
        <v>0.89353194256602553</v>
      </c>
      <c r="AJ1205" s="471">
        <v>3.9728574588432427E-3</v>
      </c>
      <c r="AK1205" s="218">
        <v>134.79845406040025</v>
      </c>
      <c r="AL1205" s="470">
        <v>0.89353194256602553</v>
      </c>
      <c r="AM1205" s="471">
        <v>3.9728574588432427E-3</v>
      </c>
      <c r="AN1205" s="477">
        <v>134.79845406040025</v>
      </c>
      <c r="AO1205" s="473">
        <v>0.89353194256602553</v>
      </c>
      <c r="AP1205" s="474">
        <v>3.9763120790162797E-3</v>
      </c>
      <c r="AQ1205" s="352"/>
      <c r="AR1205" s="352"/>
      <c r="AS1205" s="352"/>
      <c r="AT1205" s="352"/>
      <c r="AU1205" s="352"/>
      <c r="AV1205" s="352"/>
      <c r="AW1205" s="352" t="s">
        <v>254</v>
      </c>
    </row>
    <row r="1206" spans="2:49" x14ac:dyDescent="0.2">
      <c r="B1206" s="460" t="s">
        <v>2726</v>
      </c>
      <c r="C1206" s="460">
        <v>2122</v>
      </c>
      <c r="D1206" s="460" t="s">
        <v>2309</v>
      </c>
      <c r="E1206" s="460" t="s">
        <v>2305</v>
      </c>
      <c r="F1206" s="460">
        <v>4</v>
      </c>
      <c r="G1206" s="460">
        <v>2</v>
      </c>
      <c r="H1206" s="461" t="s">
        <v>712</v>
      </c>
      <c r="I1206" s="461" t="s">
        <v>713</v>
      </c>
      <c r="J1206" s="461" t="s">
        <v>712</v>
      </c>
      <c r="K1206" s="594"/>
      <c r="L1206" s="594"/>
      <c r="M1206" s="352">
        <v>2000</v>
      </c>
      <c r="N1206" s="352" t="s">
        <v>703</v>
      </c>
      <c r="O1206" s="460">
        <v>2122</v>
      </c>
      <c r="P1206" s="460" t="s">
        <v>1877</v>
      </c>
      <c r="Q1206" s="460" t="s">
        <v>2280</v>
      </c>
      <c r="R1206" s="460">
        <v>2122</v>
      </c>
      <c r="S1206" s="460" t="s">
        <v>2305</v>
      </c>
      <c r="T1206" s="462">
        <v>1</v>
      </c>
      <c r="U1206" s="460" t="s">
        <v>2305</v>
      </c>
      <c r="V1206" s="475">
        <v>0</v>
      </c>
      <c r="W1206" s="463" t="s">
        <v>713</v>
      </c>
      <c r="X1206" s="463" t="s">
        <v>713</v>
      </c>
      <c r="Y1206" s="463" t="s">
        <v>713</v>
      </c>
      <c r="Z1206" s="463"/>
      <c r="AA1206" s="463"/>
      <c r="AB1206" s="464">
        <v>166.73200173411627</v>
      </c>
      <c r="AC1206" s="465">
        <v>1</v>
      </c>
      <c r="AD1206" s="465">
        <v>4.2583190541431405E-3</v>
      </c>
      <c r="AE1206" s="476">
        <v>166.73200173411627</v>
      </c>
      <c r="AF1206" s="467">
        <v>1</v>
      </c>
      <c r="AG1206" s="468">
        <v>4.2581824626550255E-3</v>
      </c>
      <c r="AH1206" s="218">
        <v>166.73200173411627</v>
      </c>
      <c r="AI1206" s="470">
        <v>1</v>
      </c>
      <c r="AJ1206" s="471">
        <v>4.2581876173125137E-3</v>
      </c>
      <c r="AK1206" s="218">
        <v>166.73200173411627</v>
      </c>
      <c r="AL1206" s="470">
        <v>1</v>
      </c>
      <c r="AM1206" s="471">
        <v>4.2581876173125137E-3</v>
      </c>
      <c r="AN1206" s="477">
        <v>166.73200173411627</v>
      </c>
      <c r="AO1206" s="473">
        <v>1</v>
      </c>
      <c r="AP1206" s="474">
        <v>4.2581928259227929E-3</v>
      </c>
      <c r="AQ1206" s="352"/>
      <c r="AR1206" s="352"/>
      <c r="AS1206" s="352"/>
      <c r="AT1206" s="352"/>
      <c r="AU1206" s="352"/>
      <c r="AV1206" s="352"/>
      <c r="AW1206" s="352" t="s">
        <v>254</v>
      </c>
    </row>
    <row r="1207" spans="2:49" x14ac:dyDescent="0.2">
      <c r="B1207" s="460" t="s">
        <v>2723</v>
      </c>
      <c r="C1207" s="460">
        <v>2122</v>
      </c>
      <c r="D1207" s="460" t="s">
        <v>2310</v>
      </c>
      <c r="E1207" s="460" t="s">
        <v>2296</v>
      </c>
      <c r="F1207" s="460">
        <v>1</v>
      </c>
      <c r="G1207" s="460">
        <v>2</v>
      </c>
      <c r="H1207" s="461" t="s">
        <v>746</v>
      </c>
      <c r="I1207" s="461" t="s">
        <v>762</v>
      </c>
      <c r="J1207" s="461" t="s">
        <v>700</v>
      </c>
      <c r="K1207" s="594"/>
      <c r="L1207" s="594"/>
      <c r="M1207" s="352">
        <v>2000</v>
      </c>
      <c r="N1207" s="352" t="s">
        <v>703</v>
      </c>
      <c r="O1207" s="460">
        <v>2122</v>
      </c>
      <c r="P1207" s="460" t="s">
        <v>1877</v>
      </c>
      <c r="Q1207" s="460" t="s">
        <v>2289</v>
      </c>
      <c r="R1207" s="460">
        <v>2122</v>
      </c>
      <c r="S1207" s="460" t="s">
        <v>2296</v>
      </c>
      <c r="T1207" s="462">
        <v>1</v>
      </c>
      <c r="U1207" s="460" t="s">
        <v>2296</v>
      </c>
      <c r="V1207" s="475">
        <v>0</v>
      </c>
      <c r="W1207" s="463" t="s">
        <v>2268</v>
      </c>
      <c r="X1207" s="463" t="s">
        <v>2268</v>
      </c>
      <c r="Y1207" s="463" t="s">
        <v>2290</v>
      </c>
      <c r="Z1207" s="463"/>
      <c r="AA1207" s="463"/>
      <c r="AB1207" s="464">
        <v>0</v>
      </c>
      <c r="AC1207" s="465">
        <v>0</v>
      </c>
      <c r="AD1207" s="465">
        <v>0</v>
      </c>
      <c r="AE1207" s="476">
        <v>0</v>
      </c>
      <c r="AF1207" s="467">
        <v>0</v>
      </c>
      <c r="AG1207" s="468">
        <v>0</v>
      </c>
      <c r="AH1207" s="218">
        <v>0</v>
      </c>
      <c r="AI1207" s="470">
        <v>0</v>
      </c>
      <c r="AJ1207" s="471">
        <v>0</v>
      </c>
      <c r="AK1207" s="218">
        <v>0</v>
      </c>
      <c r="AL1207" s="470">
        <v>0</v>
      </c>
      <c r="AM1207" s="471">
        <v>0</v>
      </c>
      <c r="AN1207" s="477">
        <v>0</v>
      </c>
      <c r="AO1207" s="473">
        <v>0</v>
      </c>
      <c r="AP1207" s="474">
        <v>0</v>
      </c>
      <c r="AQ1207" s="352"/>
      <c r="AR1207" s="352"/>
      <c r="AS1207" s="352"/>
      <c r="AT1207" s="352"/>
      <c r="AU1207" s="352"/>
      <c r="AV1207" s="352"/>
      <c r="AW1207" s="352" t="s">
        <v>254</v>
      </c>
    </row>
    <row r="1208" spans="2:49" x14ac:dyDescent="0.2">
      <c r="B1208" s="460" t="s">
        <v>2724</v>
      </c>
      <c r="C1208" s="460">
        <v>2122</v>
      </c>
      <c r="D1208" s="460" t="s">
        <v>2311</v>
      </c>
      <c r="E1208" s="460" t="s">
        <v>2299</v>
      </c>
      <c r="F1208" s="460">
        <v>2</v>
      </c>
      <c r="G1208" s="460">
        <v>2</v>
      </c>
      <c r="H1208" s="461" t="s">
        <v>746</v>
      </c>
      <c r="I1208" s="461" t="s">
        <v>762</v>
      </c>
      <c r="J1208" s="461" t="s">
        <v>700</v>
      </c>
      <c r="K1208" s="594"/>
      <c r="L1208" s="594"/>
      <c r="M1208" s="352">
        <v>2000</v>
      </c>
      <c r="N1208" s="352" t="s">
        <v>703</v>
      </c>
      <c r="O1208" s="460">
        <v>2122</v>
      </c>
      <c r="P1208" s="460" t="s">
        <v>1877</v>
      </c>
      <c r="Q1208" s="460" t="s">
        <v>2289</v>
      </c>
      <c r="R1208" s="460">
        <v>2122</v>
      </c>
      <c r="S1208" s="460" t="s">
        <v>2296</v>
      </c>
      <c r="T1208" s="462">
        <v>0.55517361979372948</v>
      </c>
      <c r="U1208" s="460" t="s">
        <v>2299</v>
      </c>
      <c r="V1208" s="475">
        <v>0</v>
      </c>
      <c r="W1208" s="463" t="s">
        <v>2268</v>
      </c>
      <c r="X1208" s="463" t="s">
        <v>2268</v>
      </c>
      <c r="Y1208" s="463" t="s">
        <v>2290</v>
      </c>
      <c r="Z1208" s="463"/>
      <c r="AA1208" s="463"/>
      <c r="AB1208" s="464">
        <v>0</v>
      </c>
      <c r="AC1208" s="465">
        <v>0</v>
      </c>
      <c r="AD1208" s="465">
        <v>0</v>
      </c>
      <c r="AE1208" s="476">
        <v>0</v>
      </c>
      <c r="AF1208" s="467">
        <v>0</v>
      </c>
      <c r="AG1208" s="468">
        <v>0</v>
      </c>
      <c r="AH1208" s="218">
        <v>0</v>
      </c>
      <c r="AI1208" s="470">
        <v>0</v>
      </c>
      <c r="AJ1208" s="471">
        <v>0</v>
      </c>
      <c r="AK1208" s="218">
        <v>0</v>
      </c>
      <c r="AL1208" s="470">
        <v>0</v>
      </c>
      <c r="AM1208" s="471">
        <v>0</v>
      </c>
      <c r="AN1208" s="477">
        <v>0</v>
      </c>
      <c r="AO1208" s="473">
        <v>0</v>
      </c>
      <c r="AP1208" s="474">
        <v>0</v>
      </c>
      <c r="AQ1208" s="352"/>
      <c r="AR1208" s="352"/>
      <c r="AS1208" s="352"/>
      <c r="AT1208" s="352"/>
      <c r="AU1208" s="352"/>
      <c r="AV1208" s="352"/>
      <c r="AW1208" s="352" t="s">
        <v>254</v>
      </c>
    </row>
    <row r="1209" spans="2:49" x14ac:dyDescent="0.2">
      <c r="B1209" s="460" t="s">
        <v>2725</v>
      </c>
      <c r="C1209" s="460">
        <v>2122</v>
      </c>
      <c r="D1209" s="460" t="s">
        <v>2312</v>
      </c>
      <c r="E1209" s="460" t="s">
        <v>2302</v>
      </c>
      <c r="F1209" s="460">
        <v>3</v>
      </c>
      <c r="G1209" s="460">
        <v>2</v>
      </c>
      <c r="H1209" s="461" t="s">
        <v>746</v>
      </c>
      <c r="I1209" s="461" t="s">
        <v>762</v>
      </c>
      <c r="J1209" s="461" t="s">
        <v>700</v>
      </c>
      <c r="K1209" s="594"/>
      <c r="L1209" s="594"/>
      <c r="M1209" s="352">
        <v>2000</v>
      </c>
      <c r="N1209" s="352" t="s">
        <v>703</v>
      </c>
      <c r="O1209" s="460">
        <v>2122</v>
      </c>
      <c r="P1209" s="460" t="s">
        <v>1877</v>
      </c>
      <c r="Q1209" s="460" t="s">
        <v>2289</v>
      </c>
      <c r="R1209" s="460">
        <v>2122</v>
      </c>
      <c r="S1209" s="460" t="s">
        <v>2296</v>
      </c>
      <c r="T1209" s="462">
        <v>0.28481449642268464</v>
      </c>
      <c r="U1209" s="460" t="s">
        <v>2302</v>
      </c>
      <c r="V1209" s="475">
        <v>0</v>
      </c>
      <c r="W1209" s="463" t="s">
        <v>2268</v>
      </c>
      <c r="X1209" s="463" t="s">
        <v>2268</v>
      </c>
      <c r="Y1209" s="463" t="s">
        <v>2290</v>
      </c>
      <c r="Z1209" s="463"/>
      <c r="AA1209" s="463"/>
      <c r="AB1209" s="464">
        <v>0</v>
      </c>
      <c r="AC1209" s="465">
        <v>0</v>
      </c>
      <c r="AD1209" s="465">
        <v>0</v>
      </c>
      <c r="AE1209" s="476">
        <v>0</v>
      </c>
      <c r="AF1209" s="467">
        <v>0</v>
      </c>
      <c r="AG1209" s="468">
        <v>0</v>
      </c>
      <c r="AH1209" s="218">
        <v>0</v>
      </c>
      <c r="AI1209" s="470">
        <v>0</v>
      </c>
      <c r="AJ1209" s="471">
        <v>0</v>
      </c>
      <c r="AK1209" s="218">
        <v>0</v>
      </c>
      <c r="AL1209" s="470">
        <v>0</v>
      </c>
      <c r="AM1209" s="471">
        <v>0</v>
      </c>
      <c r="AN1209" s="477">
        <v>0</v>
      </c>
      <c r="AO1209" s="473">
        <v>0</v>
      </c>
      <c r="AP1209" s="474">
        <v>0</v>
      </c>
      <c r="AQ1209" s="352"/>
      <c r="AR1209" s="352"/>
      <c r="AS1209" s="352"/>
      <c r="AT1209" s="352"/>
      <c r="AU1209" s="352"/>
      <c r="AV1209" s="352"/>
      <c r="AW1209" s="352" t="s">
        <v>254</v>
      </c>
    </row>
    <row r="1210" spans="2:49" x14ac:dyDescent="0.2">
      <c r="B1210" s="460" t="s">
        <v>2726</v>
      </c>
      <c r="C1210" s="460">
        <v>2122</v>
      </c>
      <c r="D1210" s="460" t="s">
        <v>2313</v>
      </c>
      <c r="E1210" s="460" t="s">
        <v>2305</v>
      </c>
      <c r="F1210" s="460">
        <v>4</v>
      </c>
      <c r="G1210" s="460">
        <v>2</v>
      </c>
      <c r="H1210" s="461" t="s">
        <v>746</v>
      </c>
      <c r="I1210" s="461" t="s">
        <v>762</v>
      </c>
      <c r="J1210" s="461" t="s">
        <v>700</v>
      </c>
      <c r="K1210" s="594"/>
      <c r="L1210" s="594"/>
      <c r="M1210" s="352">
        <v>2000</v>
      </c>
      <c r="N1210" s="352" t="s">
        <v>703</v>
      </c>
      <c r="O1210" s="460">
        <v>2122</v>
      </c>
      <c r="P1210" s="460" t="s">
        <v>1877</v>
      </c>
      <c r="Q1210" s="460" t="s">
        <v>2289</v>
      </c>
      <c r="R1210" s="460">
        <v>2122</v>
      </c>
      <c r="S1210" s="460" t="s">
        <v>2305</v>
      </c>
      <c r="T1210" s="462">
        <v>1</v>
      </c>
      <c r="U1210" s="460" t="s">
        <v>2305</v>
      </c>
      <c r="V1210" s="475">
        <v>0</v>
      </c>
      <c r="W1210" s="463" t="s">
        <v>2268</v>
      </c>
      <c r="X1210" s="463" t="s">
        <v>2268</v>
      </c>
      <c r="Y1210" s="463" t="s">
        <v>2290</v>
      </c>
      <c r="Z1210" s="463"/>
      <c r="AA1210" s="463"/>
      <c r="AB1210" s="464">
        <v>0</v>
      </c>
      <c r="AC1210" s="465">
        <v>0</v>
      </c>
      <c r="AD1210" s="465">
        <v>0</v>
      </c>
      <c r="AE1210" s="476">
        <v>0</v>
      </c>
      <c r="AF1210" s="467">
        <v>0</v>
      </c>
      <c r="AG1210" s="468">
        <v>0</v>
      </c>
      <c r="AH1210" s="218">
        <v>0</v>
      </c>
      <c r="AI1210" s="470">
        <v>0</v>
      </c>
      <c r="AJ1210" s="471">
        <v>0</v>
      </c>
      <c r="AK1210" s="218">
        <v>0</v>
      </c>
      <c r="AL1210" s="470">
        <v>0</v>
      </c>
      <c r="AM1210" s="471">
        <v>0</v>
      </c>
      <c r="AN1210" s="477">
        <v>0</v>
      </c>
      <c r="AO1210" s="473">
        <v>0</v>
      </c>
      <c r="AP1210" s="474">
        <v>0</v>
      </c>
      <c r="AQ1210" s="352"/>
      <c r="AR1210" s="352"/>
      <c r="AS1210" s="352"/>
      <c r="AT1210" s="352"/>
      <c r="AU1210" s="352"/>
      <c r="AV1210" s="352"/>
      <c r="AW1210" s="352" t="s">
        <v>254</v>
      </c>
    </row>
    <row r="1211" spans="2:49" x14ac:dyDescent="0.2">
      <c r="B1211" s="460" t="s">
        <v>2723</v>
      </c>
      <c r="C1211" s="460">
        <v>2122</v>
      </c>
      <c r="D1211" s="460" t="s">
        <v>2314</v>
      </c>
      <c r="E1211" s="460" t="s">
        <v>2296</v>
      </c>
      <c r="F1211" s="460">
        <v>1</v>
      </c>
      <c r="G1211" s="460">
        <v>2</v>
      </c>
      <c r="H1211" s="461" t="s">
        <v>748</v>
      </c>
      <c r="I1211" s="461" t="s">
        <v>765</v>
      </c>
      <c r="J1211" s="461" t="s">
        <v>700</v>
      </c>
      <c r="K1211" s="594"/>
      <c r="L1211" s="594"/>
      <c r="M1211" s="352">
        <v>2000</v>
      </c>
      <c r="N1211" s="352" t="s">
        <v>703</v>
      </c>
      <c r="O1211" s="460">
        <v>2122</v>
      </c>
      <c r="P1211" s="460" t="s">
        <v>1877</v>
      </c>
      <c r="Q1211" s="460" t="s">
        <v>2266</v>
      </c>
      <c r="R1211" s="460">
        <v>2122</v>
      </c>
      <c r="S1211" s="460" t="s">
        <v>2296</v>
      </c>
      <c r="T1211" s="462">
        <v>1</v>
      </c>
      <c r="U1211" s="460" t="s">
        <v>2296</v>
      </c>
      <c r="V1211" s="475">
        <v>0</v>
      </c>
      <c r="W1211" s="463" t="s">
        <v>2268</v>
      </c>
      <c r="X1211" s="463" t="s">
        <v>2268</v>
      </c>
      <c r="Y1211" s="463" t="s">
        <v>2267</v>
      </c>
      <c r="Z1211" s="463"/>
      <c r="AA1211" s="463"/>
      <c r="AB1211" s="464">
        <v>0</v>
      </c>
      <c r="AC1211" s="465">
        <v>0</v>
      </c>
      <c r="AD1211" s="465">
        <v>0</v>
      </c>
      <c r="AE1211" s="476">
        <v>0</v>
      </c>
      <c r="AF1211" s="467">
        <v>0</v>
      </c>
      <c r="AG1211" s="468">
        <v>0</v>
      </c>
      <c r="AH1211" s="218">
        <v>0</v>
      </c>
      <c r="AI1211" s="470">
        <v>0</v>
      </c>
      <c r="AJ1211" s="471">
        <v>0</v>
      </c>
      <c r="AK1211" s="218">
        <v>0</v>
      </c>
      <c r="AL1211" s="470">
        <v>0</v>
      </c>
      <c r="AM1211" s="471">
        <v>0</v>
      </c>
      <c r="AN1211" s="477">
        <v>146.76646843487126</v>
      </c>
      <c r="AO1211" s="473">
        <v>0.37381544398627964</v>
      </c>
      <c r="AP1211" s="474">
        <v>4.4835145763877739E-2</v>
      </c>
      <c r="AQ1211" s="352"/>
      <c r="AR1211" s="352"/>
      <c r="AS1211" s="352"/>
      <c r="AT1211" s="352"/>
      <c r="AU1211" s="352"/>
      <c r="AV1211" s="352"/>
      <c r="AW1211" s="352" t="s">
        <v>254</v>
      </c>
    </row>
    <row r="1212" spans="2:49" x14ac:dyDescent="0.2">
      <c r="B1212" s="460" t="s">
        <v>2724</v>
      </c>
      <c r="C1212" s="460">
        <v>2122</v>
      </c>
      <c r="D1212" s="460" t="s">
        <v>2315</v>
      </c>
      <c r="E1212" s="460" t="s">
        <v>2299</v>
      </c>
      <c r="F1212" s="460">
        <v>2</v>
      </c>
      <c r="G1212" s="460">
        <v>2</v>
      </c>
      <c r="H1212" s="461" t="s">
        <v>748</v>
      </c>
      <c r="I1212" s="461" t="s">
        <v>765</v>
      </c>
      <c r="J1212" s="461" t="s">
        <v>700</v>
      </c>
      <c r="K1212" s="594"/>
      <c r="L1212" s="594"/>
      <c r="M1212" s="352">
        <v>2000</v>
      </c>
      <c r="N1212" s="352" t="s">
        <v>703</v>
      </c>
      <c r="O1212" s="460">
        <v>2122</v>
      </c>
      <c r="P1212" s="460" t="s">
        <v>1877</v>
      </c>
      <c r="Q1212" s="460" t="s">
        <v>2266</v>
      </c>
      <c r="R1212" s="460">
        <v>2122</v>
      </c>
      <c r="S1212" s="460" t="s">
        <v>2296</v>
      </c>
      <c r="T1212" s="462">
        <v>0.55517361979372948</v>
      </c>
      <c r="U1212" s="460" t="s">
        <v>2299</v>
      </c>
      <c r="V1212" s="475">
        <v>0</v>
      </c>
      <c r="W1212" s="463" t="s">
        <v>2268</v>
      </c>
      <c r="X1212" s="463" t="s">
        <v>2268</v>
      </c>
      <c r="Y1212" s="463" t="s">
        <v>2267</v>
      </c>
      <c r="Z1212" s="463"/>
      <c r="AA1212" s="463"/>
      <c r="AB1212" s="464">
        <v>0</v>
      </c>
      <c r="AC1212" s="465">
        <v>0</v>
      </c>
      <c r="AD1212" s="465">
        <v>0</v>
      </c>
      <c r="AE1212" s="476">
        <v>0</v>
      </c>
      <c r="AF1212" s="467">
        <v>0</v>
      </c>
      <c r="AG1212" s="468">
        <v>0</v>
      </c>
      <c r="AH1212" s="218">
        <v>0</v>
      </c>
      <c r="AI1212" s="470">
        <v>0</v>
      </c>
      <c r="AJ1212" s="471">
        <v>0</v>
      </c>
      <c r="AK1212" s="218">
        <v>0</v>
      </c>
      <c r="AL1212" s="470">
        <v>0</v>
      </c>
      <c r="AM1212" s="471">
        <v>0</v>
      </c>
      <c r="AN1212" s="477">
        <v>52.759955797387384</v>
      </c>
      <c r="AO1212" s="473">
        <v>0.20753247317266299</v>
      </c>
      <c r="AP1212" s="474">
        <v>4.8881154969347758E-2</v>
      </c>
      <c r="AQ1212" s="352"/>
      <c r="AR1212" s="352"/>
      <c r="AS1212" s="352"/>
      <c r="AT1212" s="352"/>
      <c r="AU1212" s="352"/>
      <c r="AV1212" s="352"/>
      <c r="AW1212" s="352" t="s">
        <v>254</v>
      </c>
    </row>
    <row r="1213" spans="2:49" x14ac:dyDescent="0.2">
      <c r="B1213" s="460" t="s">
        <v>2725</v>
      </c>
      <c r="C1213" s="460">
        <v>2122</v>
      </c>
      <c r="D1213" s="460" t="s">
        <v>2316</v>
      </c>
      <c r="E1213" s="460" t="s">
        <v>2302</v>
      </c>
      <c r="F1213" s="460">
        <v>3</v>
      </c>
      <c r="G1213" s="460">
        <v>2</v>
      </c>
      <c r="H1213" s="461" t="s">
        <v>748</v>
      </c>
      <c r="I1213" s="461" t="s">
        <v>765</v>
      </c>
      <c r="J1213" s="461" t="s">
        <v>700</v>
      </c>
      <c r="K1213" s="594"/>
      <c r="L1213" s="594"/>
      <c r="M1213" s="352">
        <v>2000</v>
      </c>
      <c r="N1213" s="352" t="s">
        <v>703</v>
      </c>
      <c r="O1213" s="460">
        <v>2122</v>
      </c>
      <c r="P1213" s="460" t="s">
        <v>1877</v>
      </c>
      <c r="Q1213" s="460" t="s">
        <v>2266</v>
      </c>
      <c r="R1213" s="460">
        <v>2122</v>
      </c>
      <c r="S1213" s="460" t="s">
        <v>2296</v>
      </c>
      <c r="T1213" s="462">
        <v>0.28481449642268464</v>
      </c>
      <c r="U1213" s="460" t="s">
        <v>2302</v>
      </c>
      <c r="V1213" s="475">
        <v>0</v>
      </c>
      <c r="W1213" s="463" t="s">
        <v>2268</v>
      </c>
      <c r="X1213" s="463" t="s">
        <v>2268</v>
      </c>
      <c r="Y1213" s="463" t="s">
        <v>2267</v>
      </c>
      <c r="Z1213" s="463"/>
      <c r="AA1213" s="463"/>
      <c r="AB1213" s="464">
        <v>0</v>
      </c>
      <c r="AC1213" s="465">
        <v>0</v>
      </c>
      <c r="AD1213" s="465">
        <v>0</v>
      </c>
      <c r="AE1213" s="476">
        <v>0</v>
      </c>
      <c r="AF1213" s="467">
        <v>0</v>
      </c>
      <c r="AG1213" s="468">
        <v>0</v>
      </c>
      <c r="AH1213" s="218">
        <v>0</v>
      </c>
      <c r="AI1213" s="470">
        <v>0</v>
      </c>
      <c r="AJ1213" s="471">
        <v>0</v>
      </c>
      <c r="AK1213" s="218">
        <v>0</v>
      </c>
      <c r="AL1213" s="470">
        <v>0</v>
      </c>
      <c r="AM1213" s="471">
        <v>0</v>
      </c>
      <c r="AN1213" s="477">
        <v>16.061797978591212</v>
      </c>
      <c r="AO1213" s="473">
        <v>0.10646805743397451</v>
      </c>
      <c r="AP1213" s="474">
        <v>6.8727366989982414E-2</v>
      </c>
      <c r="AQ1213" s="352"/>
      <c r="AR1213" s="352"/>
      <c r="AS1213" s="352"/>
      <c r="AT1213" s="352"/>
      <c r="AU1213" s="352"/>
      <c r="AV1213" s="352"/>
      <c r="AW1213" s="352" t="s">
        <v>254</v>
      </c>
    </row>
    <row r="1214" spans="2:49" x14ac:dyDescent="0.2">
      <c r="B1214" s="460" t="s">
        <v>2726</v>
      </c>
      <c r="C1214" s="460">
        <v>2122</v>
      </c>
      <c r="D1214" s="460" t="s">
        <v>2317</v>
      </c>
      <c r="E1214" s="460" t="s">
        <v>2305</v>
      </c>
      <c r="F1214" s="460">
        <v>4</v>
      </c>
      <c r="G1214" s="460">
        <v>2</v>
      </c>
      <c r="H1214" s="461" t="s">
        <v>748</v>
      </c>
      <c r="I1214" s="461" t="s">
        <v>765</v>
      </c>
      <c r="J1214" s="461" t="s">
        <v>700</v>
      </c>
      <c r="K1214" s="594"/>
      <c r="L1214" s="594"/>
      <c r="M1214" s="352">
        <v>2000</v>
      </c>
      <c r="N1214" s="352" t="s">
        <v>703</v>
      </c>
      <c r="O1214" s="460">
        <v>2122</v>
      </c>
      <c r="P1214" s="460" t="s">
        <v>1877</v>
      </c>
      <c r="Q1214" s="460" t="s">
        <v>2266</v>
      </c>
      <c r="R1214" s="460">
        <v>2122</v>
      </c>
      <c r="S1214" s="460" t="s">
        <v>2305</v>
      </c>
      <c r="T1214" s="462">
        <v>1</v>
      </c>
      <c r="U1214" s="460" t="s">
        <v>2305</v>
      </c>
      <c r="V1214" s="475">
        <v>0</v>
      </c>
      <c r="W1214" s="463" t="s">
        <v>2268</v>
      </c>
      <c r="X1214" s="463" t="s">
        <v>2268</v>
      </c>
      <c r="Y1214" s="463" t="s">
        <v>2278</v>
      </c>
      <c r="Z1214" s="463"/>
      <c r="AA1214" s="463"/>
      <c r="AB1214" s="464">
        <v>0</v>
      </c>
      <c r="AC1214" s="465">
        <v>0</v>
      </c>
      <c r="AD1214" s="465">
        <v>0</v>
      </c>
      <c r="AE1214" s="476">
        <v>0</v>
      </c>
      <c r="AF1214" s="467">
        <v>0</v>
      </c>
      <c r="AG1214" s="468">
        <v>0</v>
      </c>
      <c r="AH1214" s="218">
        <v>0</v>
      </c>
      <c r="AI1214" s="470">
        <v>0</v>
      </c>
      <c r="AJ1214" s="471">
        <v>0</v>
      </c>
      <c r="AK1214" s="218">
        <v>0</v>
      </c>
      <c r="AL1214" s="470">
        <v>0</v>
      </c>
      <c r="AM1214" s="471">
        <v>0</v>
      </c>
      <c r="AN1214" s="477">
        <v>0</v>
      </c>
      <c r="AO1214" s="473">
        <v>0</v>
      </c>
      <c r="AP1214" s="474">
        <v>0</v>
      </c>
      <c r="AQ1214" s="352"/>
      <c r="AR1214" s="352"/>
      <c r="AS1214" s="352"/>
      <c r="AT1214" s="352"/>
      <c r="AU1214" s="352"/>
      <c r="AV1214" s="352"/>
      <c r="AW1214" s="352" t="s">
        <v>254</v>
      </c>
    </row>
    <row r="1215" spans="2:49" x14ac:dyDescent="0.2">
      <c r="B1215" s="460" t="s">
        <v>2727</v>
      </c>
      <c r="C1215" s="460">
        <v>2122</v>
      </c>
      <c r="D1215" s="460" t="s">
        <v>2323</v>
      </c>
      <c r="E1215" s="460" t="s">
        <v>2324</v>
      </c>
      <c r="F1215" s="460">
        <v>1</v>
      </c>
      <c r="G1215" s="460">
        <v>3</v>
      </c>
      <c r="H1215" s="461" t="s">
        <v>700</v>
      </c>
      <c r="I1215" s="461" t="s">
        <v>872</v>
      </c>
      <c r="J1215" s="461" t="s">
        <v>700</v>
      </c>
      <c r="K1215" s="594"/>
      <c r="L1215" s="594"/>
      <c r="M1215" s="352">
        <v>2000</v>
      </c>
      <c r="N1215" s="352" t="s">
        <v>703</v>
      </c>
      <c r="O1215" s="460">
        <v>2122</v>
      </c>
      <c r="P1215" s="460" t="s">
        <v>1877</v>
      </c>
      <c r="Q1215" s="460" t="s">
        <v>2266</v>
      </c>
      <c r="R1215" s="460">
        <v>2122</v>
      </c>
      <c r="S1215" s="460" t="s">
        <v>2324</v>
      </c>
      <c r="T1215" s="462">
        <v>1</v>
      </c>
      <c r="U1215" s="460" t="s">
        <v>2324</v>
      </c>
      <c r="V1215" s="475">
        <v>0</v>
      </c>
      <c r="W1215" s="463" t="s">
        <v>2267</v>
      </c>
      <c r="X1215" s="463" t="s">
        <v>2267</v>
      </c>
      <c r="Y1215" s="463" t="s">
        <v>2268</v>
      </c>
      <c r="Z1215" s="463"/>
      <c r="AA1215" s="463"/>
      <c r="AB1215" s="464">
        <v>920.37669357863808</v>
      </c>
      <c r="AC1215" s="465">
        <v>0.45745768582944307</v>
      </c>
      <c r="AD1215" s="465">
        <v>7.890094631365363E-3</v>
      </c>
      <c r="AE1215" s="476">
        <v>920.37669357863808</v>
      </c>
      <c r="AF1215" s="467">
        <v>0.45745768582944307</v>
      </c>
      <c r="AG1215" s="468">
        <v>8.4518544233134658E-3</v>
      </c>
      <c r="AH1215" s="218">
        <v>920.37669357863808</v>
      </c>
      <c r="AI1215" s="470">
        <v>0.45745768582944307</v>
      </c>
      <c r="AJ1215" s="471">
        <v>8.0709744981687648E-3</v>
      </c>
      <c r="AK1215" s="218">
        <v>920.37669357863808</v>
      </c>
      <c r="AL1215" s="470">
        <v>0.45745768582944307</v>
      </c>
      <c r="AM1215" s="471">
        <v>8.0709744981687648E-3</v>
      </c>
      <c r="AN1215" s="477">
        <v>0</v>
      </c>
      <c r="AO1215" s="473">
        <v>0</v>
      </c>
      <c r="AP1215" s="474">
        <v>0</v>
      </c>
      <c r="AQ1215" s="352"/>
      <c r="AR1215" s="352"/>
      <c r="AS1215" s="352"/>
      <c r="AT1215" s="352"/>
      <c r="AU1215" s="352"/>
      <c r="AV1215" s="352"/>
      <c r="AW1215" s="352" t="s">
        <v>254</v>
      </c>
    </row>
    <row r="1216" spans="2:49" x14ac:dyDescent="0.2">
      <c r="B1216" s="460" t="s">
        <v>2728</v>
      </c>
      <c r="C1216" s="460">
        <v>2122</v>
      </c>
      <c r="D1216" s="460" t="s">
        <v>2326</v>
      </c>
      <c r="E1216" s="460" t="s">
        <v>2327</v>
      </c>
      <c r="F1216" s="460">
        <v>2</v>
      </c>
      <c r="G1216" s="460">
        <v>3</v>
      </c>
      <c r="H1216" s="461" t="s">
        <v>700</v>
      </c>
      <c r="I1216" s="461" t="s">
        <v>872</v>
      </c>
      <c r="J1216" s="461" t="s">
        <v>700</v>
      </c>
      <c r="K1216" s="594"/>
      <c r="L1216" s="594"/>
      <c r="M1216" s="352">
        <v>2000</v>
      </c>
      <c r="N1216" s="352" t="s">
        <v>703</v>
      </c>
      <c r="O1216" s="460">
        <v>2122</v>
      </c>
      <c r="P1216" s="460" t="s">
        <v>1877</v>
      </c>
      <c r="Q1216" s="460" t="s">
        <v>2266</v>
      </c>
      <c r="R1216" s="460">
        <v>2122</v>
      </c>
      <c r="S1216" s="460" t="s">
        <v>2324</v>
      </c>
      <c r="T1216" s="462">
        <v>1</v>
      </c>
      <c r="U1216" s="460" t="s">
        <v>2327</v>
      </c>
      <c r="V1216" s="475">
        <v>0</v>
      </c>
      <c r="W1216" s="463" t="s">
        <v>2267</v>
      </c>
      <c r="X1216" s="463" t="s">
        <v>2267</v>
      </c>
      <c r="Y1216" s="463" t="s">
        <v>2268</v>
      </c>
      <c r="Z1216" s="463"/>
      <c r="AA1216" s="463"/>
      <c r="AB1216" s="464">
        <v>455.51011751404957</v>
      </c>
      <c r="AC1216" s="465">
        <v>0.42674647125367549</v>
      </c>
      <c r="AD1216" s="465">
        <v>6.7278015733680894E-3</v>
      </c>
      <c r="AE1216" s="476">
        <v>455.51011751404957</v>
      </c>
      <c r="AF1216" s="467">
        <v>0.42674647125367549</v>
      </c>
      <c r="AG1216" s="468">
        <v>7.2869546031338129E-3</v>
      </c>
      <c r="AH1216" s="218">
        <v>488.29133517546359</v>
      </c>
      <c r="AI1216" s="470">
        <v>0.45745768582944307</v>
      </c>
      <c r="AJ1216" s="471">
        <v>6.5739594563141946E-3</v>
      </c>
      <c r="AK1216" s="218">
        <v>488.29133517546359</v>
      </c>
      <c r="AL1216" s="470">
        <v>0.45745768582944307</v>
      </c>
      <c r="AM1216" s="471">
        <v>6.5739594563141946E-3</v>
      </c>
      <c r="AN1216" s="477">
        <v>0</v>
      </c>
      <c r="AO1216" s="473">
        <v>0</v>
      </c>
      <c r="AP1216" s="474">
        <v>0</v>
      </c>
      <c r="AQ1216" s="352"/>
      <c r="AR1216" s="352"/>
      <c r="AS1216" s="352"/>
      <c r="AT1216" s="352"/>
      <c r="AU1216" s="352"/>
      <c r="AV1216" s="352"/>
      <c r="AW1216" s="352" t="s">
        <v>254</v>
      </c>
    </row>
    <row r="1217" spans="2:49" x14ac:dyDescent="0.2">
      <c r="B1217" s="460" t="s">
        <v>2729</v>
      </c>
      <c r="C1217" s="460">
        <v>2122</v>
      </c>
      <c r="D1217" s="460" t="s">
        <v>2329</v>
      </c>
      <c r="E1217" s="460" t="s">
        <v>2330</v>
      </c>
      <c r="F1217" s="460">
        <v>3</v>
      </c>
      <c r="G1217" s="460">
        <v>3</v>
      </c>
      <c r="H1217" s="461" t="s">
        <v>700</v>
      </c>
      <c r="I1217" s="461" t="s">
        <v>872</v>
      </c>
      <c r="J1217" s="461" t="s">
        <v>700</v>
      </c>
      <c r="K1217" s="594"/>
      <c r="L1217" s="594"/>
      <c r="M1217" s="352">
        <v>2000</v>
      </c>
      <c r="N1217" s="352" t="s">
        <v>703</v>
      </c>
      <c r="O1217" s="460">
        <v>2122</v>
      </c>
      <c r="P1217" s="460" t="s">
        <v>1877</v>
      </c>
      <c r="Q1217" s="460" t="s">
        <v>2266</v>
      </c>
      <c r="R1217" s="460">
        <v>2122</v>
      </c>
      <c r="S1217" s="460" t="s">
        <v>2324</v>
      </c>
      <c r="T1217" s="462">
        <v>1</v>
      </c>
      <c r="U1217" s="460" t="s">
        <v>2330</v>
      </c>
      <c r="V1217" s="475">
        <v>0</v>
      </c>
      <c r="W1217" s="463" t="s">
        <v>2267</v>
      </c>
      <c r="X1217" s="463" t="s">
        <v>2267</v>
      </c>
      <c r="Y1217" s="463" t="s">
        <v>2268</v>
      </c>
      <c r="Z1217" s="463"/>
      <c r="AA1217" s="463"/>
      <c r="AB1217" s="464">
        <v>67.178417034067721</v>
      </c>
      <c r="AC1217" s="465">
        <v>0.2059034044909597</v>
      </c>
      <c r="AD1217" s="465">
        <v>2.5367383671296997E-3</v>
      </c>
      <c r="AE1217" s="476">
        <v>67.178417034067721</v>
      </c>
      <c r="AF1217" s="467">
        <v>0.2059034044909597</v>
      </c>
      <c r="AG1217" s="468">
        <v>2.7187818765403468E-3</v>
      </c>
      <c r="AH1217" s="218">
        <v>149.25097168774172</v>
      </c>
      <c r="AI1217" s="470">
        <v>0.45745768582944307</v>
      </c>
      <c r="AJ1217" s="471">
        <v>5.2584620343132079E-3</v>
      </c>
      <c r="AK1217" s="218">
        <v>149.25097168774172</v>
      </c>
      <c r="AL1217" s="470">
        <v>0.45745768582944307</v>
      </c>
      <c r="AM1217" s="471">
        <v>5.2584620343132079E-3</v>
      </c>
      <c r="AN1217" s="477">
        <v>0</v>
      </c>
      <c r="AO1217" s="473">
        <v>0</v>
      </c>
      <c r="AP1217" s="474">
        <v>0</v>
      </c>
      <c r="AQ1217" s="352"/>
      <c r="AR1217" s="352"/>
      <c r="AS1217" s="352"/>
      <c r="AT1217" s="352"/>
      <c r="AU1217" s="352"/>
      <c r="AV1217" s="352"/>
      <c r="AW1217" s="352" t="s">
        <v>254</v>
      </c>
    </row>
    <row r="1218" spans="2:49" x14ac:dyDescent="0.2">
      <c r="B1218" s="460" t="s">
        <v>2730</v>
      </c>
      <c r="C1218" s="460">
        <v>2122</v>
      </c>
      <c r="D1218" s="460" t="s">
        <v>2332</v>
      </c>
      <c r="E1218" s="460" t="s">
        <v>2333</v>
      </c>
      <c r="F1218" s="460">
        <v>4</v>
      </c>
      <c r="G1218" s="460">
        <v>3</v>
      </c>
      <c r="H1218" s="461" t="s">
        <v>700</v>
      </c>
      <c r="I1218" s="461" t="s">
        <v>872</v>
      </c>
      <c r="J1218" s="461" t="s">
        <v>700</v>
      </c>
      <c r="K1218" s="594"/>
      <c r="L1218" s="594"/>
      <c r="M1218" s="352">
        <v>2000</v>
      </c>
      <c r="N1218" s="352" t="s">
        <v>703</v>
      </c>
      <c r="O1218" s="460">
        <v>2122</v>
      </c>
      <c r="P1218" s="460" t="s">
        <v>1877</v>
      </c>
      <c r="Q1218" s="460" t="s">
        <v>2266</v>
      </c>
      <c r="R1218" s="460">
        <v>2122</v>
      </c>
      <c r="S1218" s="460" t="s">
        <v>2333</v>
      </c>
      <c r="T1218" s="462">
        <v>1</v>
      </c>
      <c r="U1218" s="460" t="s">
        <v>2333</v>
      </c>
      <c r="V1218" s="475">
        <v>0</v>
      </c>
      <c r="W1218" s="463" t="s">
        <v>2278</v>
      </c>
      <c r="X1218" s="463" t="s">
        <v>2278</v>
      </c>
      <c r="Y1218" s="463" t="s">
        <v>2268</v>
      </c>
      <c r="Z1218" s="463"/>
      <c r="AA1218" s="463"/>
      <c r="AB1218" s="464">
        <v>1.467943294612938</v>
      </c>
      <c r="AC1218" s="465">
        <v>4.9724291137002267E-3</v>
      </c>
      <c r="AD1218" s="465">
        <v>1.0124191473149574E-4</v>
      </c>
      <c r="AE1218" s="476">
        <v>1.467943294612938</v>
      </c>
      <c r="AF1218" s="467">
        <v>4.9724291137002267E-3</v>
      </c>
      <c r="AG1218" s="468">
        <v>1.1173329450921924E-4</v>
      </c>
      <c r="AH1218" s="218">
        <v>1.467943294612938</v>
      </c>
      <c r="AI1218" s="470">
        <v>4.9724291137002267E-3</v>
      </c>
      <c r="AJ1218" s="471">
        <v>1.0825556384457548E-4</v>
      </c>
      <c r="AK1218" s="218">
        <v>1.467943294612938</v>
      </c>
      <c r="AL1218" s="470">
        <v>4.9724291137002267E-3</v>
      </c>
      <c r="AM1218" s="471">
        <v>1.0825556384457548E-4</v>
      </c>
      <c r="AN1218" s="477">
        <v>0</v>
      </c>
      <c r="AO1218" s="473">
        <v>0</v>
      </c>
      <c r="AP1218" s="474">
        <v>0</v>
      </c>
      <c r="AQ1218" s="352"/>
      <c r="AR1218" s="352"/>
      <c r="AS1218" s="352"/>
      <c r="AT1218" s="352"/>
      <c r="AU1218" s="352"/>
      <c r="AV1218" s="352"/>
      <c r="AW1218" s="352" t="s">
        <v>254</v>
      </c>
    </row>
    <row r="1219" spans="2:49" x14ac:dyDescent="0.2">
      <c r="B1219" s="460" t="s">
        <v>2727</v>
      </c>
      <c r="C1219" s="460">
        <v>2122</v>
      </c>
      <c r="D1219" s="460" t="s">
        <v>2334</v>
      </c>
      <c r="E1219" s="460" t="s">
        <v>2324</v>
      </c>
      <c r="F1219" s="460">
        <v>1</v>
      </c>
      <c r="G1219" s="460">
        <v>3</v>
      </c>
      <c r="H1219" s="461" t="s">
        <v>712</v>
      </c>
      <c r="I1219" s="461" t="s">
        <v>713</v>
      </c>
      <c r="J1219" s="461" t="s">
        <v>712</v>
      </c>
      <c r="K1219" s="594"/>
      <c r="L1219" s="594"/>
      <c r="M1219" s="352">
        <v>2000</v>
      </c>
      <c r="N1219" s="352" t="s">
        <v>703</v>
      </c>
      <c r="O1219" s="460">
        <v>2122</v>
      </c>
      <c r="P1219" s="460" t="s">
        <v>1877</v>
      </c>
      <c r="Q1219" s="460" t="s">
        <v>2280</v>
      </c>
      <c r="R1219" s="460">
        <v>2122</v>
      </c>
      <c r="S1219" s="460" t="s">
        <v>2324</v>
      </c>
      <c r="T1219" s="462">
        <v>1</v>
      </c>
      <c r="U1219" s="460" t="s">
        <v>2324</v>
      </c>
      <c r="V1219" s="475">
        <v>0</v>
      </c>
      <c r="W1219" s="463" t="s">
        <v>713</v>
      </c>
      <c r="X1219" s="463" t="s">
        <v>713</v>
      </c>
      <c r="Y1219" s="463" t="s">
        <v>713</v>
      </c>
      <c r="Z1219" s="463"/>
      <c r="AA1219" s="463"/>
      <c r="AB1219" s="464">
        <v>1091.5617262772873</v>
      </c>
      <c r="AC1219" s="465">
        <v>0.54254231417055687</v>
      </c>
      <c r="AD1219" s="465">
        <v>2.7255162093802331E-3</v>
      </c>
      <c r="AE1219" s="476">
        <v>1091.5617262772876</v>
      </c>
      <c r="AF1219" s="467">
        <v>0.54254231417055698</v>
      </c>
      <c r="AG1219" s="468">
        <v>2.6737550340946489E-3</v>
      </c>
      <c r="AH1219" s="218">
        <v>1091.5617262772876</v>
      </c>
      <c r="AI1219" s="470">
        <v>0.54254231417055698</v>
      </c>
      <c r="AJ1219" s="471">
        <v>2.7078407283830856E-3</v>
      </c>
      <c r="AK1219" s="218">
        <v>1091.5617262772876</v>
      </c>
      <c r="AL1219" s="470">
        <v>0.54254231417055698</v>
      </c>
      <c r="AM1219" s="471">
        <v>2.7078407283830856E-3</v>
      </c>
      <c r="AN1219" s="477">
        <v>1091.5617262772876</v>
      </c>
      <c r="AO1219" s="473">
        <v>0.54254231417055698</v>
      </c>
      <c r="AP1219" s="474">
        <v>2.7065229501060401E-3</v>
      </c>
      <c r="AQ1219" s="352"/>
      <c r="AR1219" s="352"/>
      <c r="AS1219" s="352"/>
      <c r="AT1219" s="352"/>
      <c r="AU1219" s="352"/>
      <c r="AV1219" s="352"/>
      <c r="AW1219" s="352" t="s">
        <v>254</v>
      </c>
    </row>
    <row r="1220" spans="2:49" x14ac:dyDescent="0.2">
      <c r="B1220" s="460" t="s">
        <v>2728</v>
      </c>
      <c r="C1220" s="460">
        <v>2122</v>
      </c>
      <c r="D1220" s="460" t="s">
        <v>2335</v>
      </c>
      <c r="E1220" s="460" t="s">
        <v>2327</v>
      </c>
      <c r="F1220" s="460">
        <v>2</v>
      </c>
      <c r="G1220" s="460">
        <v>3</v>
      </c>
      <c r="H1220" s="461" t="s">
        <v>712</v>
      </c>
      <c r="I1220" s="461" t="s">
        <v>713</v>
      </c>
      <c r="J1220" s="461" t="s">
        <v>712</v>
      </c>
      <c r="K1220" s="594"/>
      <c r="L1220" s="594"/>
      <c r="M1220" s="352">
        <v>2000</v>
      </c>
      <c r="N1220" s="352" t="s">
        <v>703</v>
      </c>
      <c r="O1220" s="460">
        <v>2122</v>
      </c>
      <c r="P1220" s="460" t="s">
        <v>1877</v>
      </c>
      <c r="Q1220" s="460" t="s">
        <v>2280</v>
      </c>
      <c r="R1220" s="460">
        <v>2122</v>
      </c>
      <c r="S1220" s="460" t="s">
        <v>2324</v>
      </c>
      <c r="T1220" s="462">
        <v>1</v>
      </c>
      <c r="U1220" s="460" t="s">
        <v>2327</v>
      </c>
      <c r="V1220" s="475">
        <v>0</v>
      </c>
      <c r="W1220" s="463" t="s">
        <v>713</v>
      </c>
      <c r="X1220" s="463" t="s">
        <v>713</v>
      </c>
      <c r="Y1220" s="463" t="s">
        <v>713</v>
      </c>
      <c r="Z1220" s="463"/>
      <c r="AA1220" s="463"/>
      <c r="AB1220" s="464">
        <v>611.89207136843515</v>
      </c>
      <c r="AC1220" s="465">
        <v>0.57325352874632451</v>
      </c>
      <c r="AD1220" s="465">
        <v>1.9596446260845913E-3</v>
      </c>
      <c r="AE1220" s="476">
        <v>611.89207136843515</v>
      </c>
      <c r="AF1220" s="467">
        <v>0.57325352874632451</v>
      </c>
      <c r="AG1220" s="468">
        <v>1.9275728676770199E-3</v>
      </c>
      <c r="AH1220" s="218">
        <v>579.11085370702131</v>
      </c>
      <c r="AI1220" s="470">
        <v>0.54254231417055698</v>
      </c>
      <c r="AJ1220" s="471">
        <v>1.8972129513531435E-3</v>
      </c>
      <c r="AK1220" s="218">
        <v>579.11085370702131</v>
      </c>
      <c r="AL1220" s="470">
        <v>0.54254231417055698</v>
      </c>
      <c r="AM1220" s="471">
        <v>1.8972129513531435E-3</v>
      </c>
      <c r="AN1220" s="477">
        <v>579.11085370702131</v>
      </c>
      <c r="AO1220" s="473">
        <v>0.54254231417055698</v>
      </c>
      <c r="AP1220" s="474">
        <v>1.8964691227770364E-3</v>
      </c>
      <c r="AQ1220" s="352"/>
      <c r="AR1220" s="352"/>
      <c r="AS1220" s="352"/>
      <c r="AT1220" s="352"/>
      <c r="AU1220" s="352"/>
      <c r="AV1220" s="352"/>
      <c r="AW1220" s="352" t="s">
        <v>254</v>
      </c>
    </row>
    <row r="1221" spans="2:49" x14ac:dyDescent="0.2">
      <c r="B1221" s="460" t="s">
        <v>2729</v>
      </c>
      <c r="C1221" s="460">
        <v>2122</v>
      </c>
      <c r="D1221" s="460" t="s">
        <v>2336</v>
      </c>
      <c r="E1221" s="460" t="s">
        <v>2330</v>
      </c>
      <c r="F1221" s="460">
        <v>3</v>
      </c>
      <c r="G1221" s="460">
        <v>3</v>
      </c>
      <c r="H1221" s="461" t="s">
        <v>712</v>
      </c>
      <c r="I1221" s="461" t="s">
        <v>713</v>
      </c>
      <c r="J1221" s="461" t="s">
        <v>712</v>
      </c>
      <c r="K1221" s="594"/>
      <c r="L1221" s="594"/>
      <c r="M1221" s="352">
        <v>2000</v>
      </c>
      <c r="N1221" s="352" t="s">
        <v>703</v>
      </c>
      <c r="O1221" s="460">
        <v>2122</v>
      </c>
      <c r="P1221" s="460" t="s">
        <v>1877</v>
      </c>
      <c r="Q1221" s="460" t="s">
        <v>2280</v>
      </c>
      <c r="R1221" s="460">
        <v>2122</v>
      </c>
      <c r="S1221" s="460" t="s">
        <v>2324</v>
      </c>
      <c r="T1221" s="462">
        <v>1</v>
      </c>
      <c r="U1221" s="460" t="s">
        <v>2330</v>
      </c>
      <c r="V1221" s="475">
        <v>0</v>
      </c>
      <c r="W1221" s="463" t="s">
        <v>713</v>
      </c>
      <c r="X1221" s="463" t="s">
        <v>713</v>
      </c>
      <c r="Y1221" s="463" t="s">
        <v>713</v>
      </c>
      <c r="Z1221" s="463"/>
      <c r="AA1221" s="463"/>
      <c r="AB1221" s="464">
        <v>259.08339102174432</v>
      </c>
      <c r="AC1221" s="465">
        <v>0.79409659550904033</v>
      </c>
      <c r="AD1221" s="465">
        <v>2.2939924976723303E-3</v>
      </c>
      <c r="AE1221" s="476">
        <v>259.08339102174432</v>
      </c>
      <c r="AF1221" s="467">
        <v>0.79409659550904033</v>
      </c>
      <c r="AG1221" s="468">
        <v>2.2585329032445618E-3</v>
      </c>
      <c r="AH1221" s="218">
        <v>177.01083636807033</v>
      </c>
      <c r="AI1221" s="470">
        <v>0.54254231417055698</v>
      </c>
      <c r="AJ1221" s="471">
        <v>1.601990372788403E-3</v>
      </c>
      <c r="AK1221" s="218">
        <v>177.01083636807033</v>
      </c>
      <c r="AL1221" s="470">
        <v>0.54254231417055698</v>
      </c>
      <c r="AM1221" s="471">
        <v>1.601990372788403E-3</v>
      </c>
      <c r="AN1221" s="477">
        <v>177.01083636807033</v>
      </c>
      <c r="AO1221" s="473">
        <v>0.54254231417055698</v>
      </c>
      <c r="AP1221" s="474">
        <v>1.6061252868655714E-3</v>
      </c>
      <c r="AQ1221" s="352"/>
      <c r="AR1221" s="352"/>
      <c r="AS1221" s="352"/>
      <c r="AT1221" s="352"/>
      <c r="AU1221" s="352"/>
      <c r="AV1221" s="352"/>
      <c r="AW1221" s="352" t="s">
        <v>254</v>
      </c>
    </row>
    <row r="1222" spans="2:49" x14ac:dyDescent="0.2">
      <c r="B1222" s="460" t="s">
        <v>2730</v>
      </c>
      <c r="C1222" s="460">
        <v>2122</v>
      </c>
      <c r="D1222" s="460" t="s">
        <v>2337</v>
      </c>
      <c r="E1222" s="460" t="s">
        <v>2333</v>
      </c>
      <c r="F1222" s="460">
        <v>4</v>
      </c>
      <c r="G1222" s="460">
        <v>3</v>
      </c>
      <c r="H1222" s="461" t="s">
        <v>712</v>
      </c>
      <c r="I1222" s="461" t="s">
        <v>713</v>
      </c>
      <c r="J1222" s="461" t="s">
        <v>712</v>
      </c>
      <c r="K1222" s="594"/>
      <c r="L1222" s="594"/>
      <c r="M1222" s="352">
        <v>2000</v>
      </c>
      <c r="N1222" s="352" t="s">
        <v>703</v>
      </c>
      <c r="O1222" s="460">
        <v>2122</v>
      </c>
      <c r="P1222" s="460" t="s">
        <v>1877</v>
      </c>
      <c r="Q1222" s="460" t="s">
        <v>2280</v>
      </c>
      <c r="R1222" s="460">
        <v>2122</v>
      </c>
      <c r="S1222" s="460" t="s">
        <v>2333</v>
      </c>
      <c r="T1222" s="462">
        <v>1</v>
      </c>
      <c r="U1222" s="460" t="s">
        <v>2333</v>
      </c>
      <c r="V1222" s="475">
        <v>0</v>
      </c>
      <c r="W1222" s="463" t="s">
        <v>713</v>
      </c>
      <c r="X1222" s="463" t="s">
        <v>713</v>
      </c>
      <c r="Y1222" s="463" t="s">
        <v>713</v>
      </c>
      <c r="Z1222" s="463"/>
      <c r="AA1222" s="463"/>
      <c r="AB1222" s="464">
        <v>293.74859193329098</v>
      </c>
      <c r="AC1222" s="465">
        <v>0.99502757088629978</v>
      </c>
      <c r="AD1222" s="465">
        <v>2.2332150435910628E-3</v>
      </c>
      <c r="AE1222" s="476">
        <v>293.74859193329098</v>
      </c>
      <c r="AF1222" s="467">
        <v>0.99502757088629978</v>
      </c>
      <c r="AG1222" s="468">
        <v>2.2103373495863895E-3</v>
      </c>
      <c r="AH1222" s="218">
        <v>293.74859193329098</v>
      </c>
      <c r="AI1222" s="470">
        <v>0.99502757088629978</v>
      </c>
      <c r="AJ1222" s="471">
        <v>2.217379335600581E-3</v>
      </c>
      <c r="AK1222" s="218">
        <v>293.74859193329098</v>
      </c>
      <c r="AL1222" s="470">
        <v>0.99502757088629978</v>
      </c>
      <c r="AM1222" s="471">
        <v>2.217379335600581E-3</v>
      </c>
      <c r="AN1222" s="477">
        <v>293.74859193329098</v>
      </c>
      <c r="AO1222" s="473">
        <v>0.99502757088629978</v>
      </c>
      <c r="AP1222" s="474">
        <v>2.2180839826728758E-3</v>
      </c>
      <c r="AQ1222" s="352"/>
      <c r="AR1222" s="352"/>
      <c r="AS1222" s="352"/>
      <c r="AT1222" s="352"/>
      <c r="AU1222" s="352"/>
      <c r="AV1222" s="352"/>
      <c r="AW1222" s="352" t="s">
        <v>254</v>
      </c>
    </row>
    <row r="1223" spans="2:49" x14ac:dyDescent="0.2">
      <c r="B1223" s="460" t="s">
        <v>2727</v>
      </c>
      <c r="C1223" s="460">
        <v>2122</v>
      </c>
      <c r="D1223" s="460" t="s">
        <v>2338</v>
      </c>
      <c r="E1223" s="460" t="s">
        <v>2324</v>
      </c>
      <c r="F1223" s="460">
        <v>1</v>
      </c>
      <c r="G1223" s="460">
        <v>3</v>
      </c>
      <c r="H1223" s="461" t="s">
        <v>746</v>
      </c>
      <c r="I1223" s="461" t="s">
        <v>762</v>
      </c>
      <c r="J1223" s="461" t="s">
        <v>700</v>
      </c>
      <c r="K1223" s="594"/>
      <c r="L1223" s="594"/>
      <c r="M1223" s="352">
        <v>2000</v>
      </c>
      <c r="N1223" s="352" t="s">
        <v>703</v>
      </c>
      <c r="O1223" s="460">
        <v>2122</v>
      </c>
      <c r="P1223" s="460" t="s">
        <v>1877</v>
      </c>
      <c r="Q1223" s="460" t="s">
        <v>2289</v>
      </c>
      <c r="R1223" s="460">
        <v>2122</v>
      </c>
      <c r="S1223" s="460" t="s">
        <v>2324</v>
      </c>
      <c r="T1223" s="462">
        <v>1</v>
      </c>
      <c r="U1223" s="460" t="s">
        <v>2324</v>
      </c>
      <c r="V1223" s="475">
        <v>0</v>
      </c>
      <c r="W1223" s="463" t="s">
        <v>2268</v>
      </c>
      <c r="X1223" s="463" t="s">
        <v>2268</v>
      </c>
      <c r="Y1223" s="463" t="s">
        <v>2290</v>
      </c>
      <c r="Z1223" s="463"/>
      <c r="AA1223" s="463"/>
      <c r="AB1223" s="464">
        <v>0</v>
      </c>
      <c r="AC1223" s="465">
        <v>0</v>
      </c>
      <c r="AD1223" s="465">
        <v>0</v>
      </c>
      <c r="AE1223" s="476">
        <v>0</v>
      </c>
      <c r="AF1223" s="467">
        <v>0</v>
      </c>
      <c r="AG1223" s="468">
        <v>0</v>
      </c>
      <c r="AH1223" s="218">
        <v>0</v>
      </c>
      <c r="AI1223" s="470">
        <v>0</v>
      </c>
      <c r="AJ1223" s="471">
        <v>0</v>
      </c>
      <c r="AK1223" s="218">
        <v>0</v>
      </c>
      <c r="AL1223" s="470">
        <v>0</v>
      </c>
      <c r="AM1223" s="471">
        <v>0</v>
      </c>
      <c r="AN1223" s="477">
        <v>0</v>
      </c>
      <c r="AO1223" s="473">
        <v>0</v>
      </c>
      <c r="AP1223" s="474">
        <v>0</v>
      </c>
      <c r="AQ1223" s="352"/>
      <c r="AR1223" s="352"/>
      <c r="AS1223" s="352"/>
      <c r="AT1223" s="352"/>
      <c r="AU1223" s="352"/>
      <c r="AV1223" s="352"/>
      <c r="AW1223" s="352" t="s">
        <v>254</v>
      </c>
    </row>
    <row r="1224" spans="2:49" x14ac:dyDescent="0.2">
      <c r="B1224" s="460" t="s">
        <v>2728</v>
      </c>
      <c r="C1224" s="460">
        <v>2122</v>
      </c>
      <c r="D1224" s="460" t="s">
        <v>2339</v>
      </c>
      <c r="E1224" s="460" t="s">
        <v>2327</v>
      </c>
      <c r="F1224" s="460">
        <v>2</v>
      </c>
      <c r="G1224" s="460">
        <v>3</v>
      </c>
      <c r="H1224" s="461" t="s">
        <v>746</v>
      </c>
      <c r="I1224" s="461" t="s">
        <v>762</v>
      </c>
      <c r="J1224" s="461" t="s">
        <v>700</v>
      </c>
      <c r="K1224" s="594"/>
      <c r="L1224" s="594"/>
      <c r="M1224" s="352">
        <v>2000</v>
      </c>
      <c r="N1224" s="352" t="s">
        <v>703</v>
      </c>
      <c r="O1224" s="460">
        <v>2122</v>
      </c>
      <c r="P1224" s="460" t="s">
        <v>1877</v>
      </c>
      <c r="Q1224" s="460" t="s">
        <v>2289</v>
      </c>
      <c r="R1224" s="460">
        <v>2122</v>
      </c>
      <c r="S1224" s="460" t="s">
        <v>2324</v>
      </c>
      <c r="T1224" s="462">
        <v>1</v>
      </c>
      <c r="U1224" s="460" t="s">
        <v>2327</v>
      </c>
      <c r="V1224" s="475">
        <v>0</v>
      </c>
      <c r="W1224" s="463" t="s">
        <v>2268</v>
      </c>
      <c r="X1224" s="463" t="s">
        <v>2268</v>
      </c>
      <c r="Y1224" s="463" t="s">
        <v>2290</v>
      </c>
      <c r="Z1224" s="463"/>
      <c r="AA1224" s="463"/>
      <c r="AB1224" s="464">
        <v>0</v>
      </c>
      <c r="AC1224" s="465">
        <v>0</v>
      </c>
      <c r="AD1224" s="465">
        <v>0</v>
      </c>
      <c r="AE1224" s="476">
        <v>0</v>
      </c>
      <c r="AF1224" s="467">
        <v>0</v>
      </c>
      <c r="AG1224" s="468">
        <v>0</v>
      </c>
      <c r="AH1224" s="218">
        <v>0</v>
      </c>
      <c r="AI1224" s="470">
        <v>0</v>
      </c>
      <c r="AJ1224" s="471">
        <v>0</v>
      </c>
      <c r="AK1224" s="218">
        <v>0</v>
      </c>
      <c r="AL1224" s="470">
        <v>0</v>
      </c>
      <c r="AM1224" s="471">
        <v>0</v>
      </c>
      <c r="AN1224" s="477">
        <v>0</v>
      </c>
      <c r="AO1224" s="473">
        <v>0</v>
      </c>
      <c r="AP1224" s="474">
        <v>0</v>
      </c>
      <c r="AQ1224" s="352"/>
      <c r="AR1224" s="352"/>
      <c r="AS1224" s="352"/>
      <c r="AT1224" s="352"/>
      <c r="AU1224" s="352"/>
      <c r="AV1224" s="352"/>
      <c r="AW1224" s="352" t="s">
        <v>254</v>
      </c>
    </row>
    <row r="1225" spans="2:49" x14ac:dyDescent="0.2">
      <c r="B1225" s="460" t="s">
        <v>2729</v>
      </c>
      <c r="C1225" s="460">
        <v>2122</v>
      </c>
      <c r="D1225" s="460" t="s">
        <v>2340</v>
      </c>
      <c r="E1225" s="460" t="s">
        <v>2330</v>
      </c>
      <c r="F1225" s="460">
        <v>3</v>
      </c>
      <c r="G1225" s="460">
        <v>3</v>
      </c>
      <c r="H1225" s="461" t="s">
        <v>746</v>
      </c>
      <c r="I1225" s="461" t="s">
        <v>762</v>
      </c>
      <c r="J1225" s="461" t="s">
        <v>700</v>
      </c>
      <c r="K1225" s="594"/>
      <c r="L1225" s="594"/>
      <c r="M1225" s="352">
        <v>2000</v>
      </c>
      <c r="N1225" s="352" t="s">
        <v>703</v>
      </c>
      <c r="O1225" s="460">
        <v>2122</v>
      </c>
      <c r="P1225" s="460" t="s">
        <v>1877</v>
      </c>
      <c r="Q1225" s="460" t="s">
        <v>2289</v>
      </c>
      <c r="R1225" s="460">
        <v>2122</v>
      </c>
      <c r="S1225" s="460" t="s">
        <v>2324</v>
      </c>
      <c r="T1225" s="462">
        <v>1</v>
      </c>
      <c r="U1225" s="460" t="s">
        <v>2330</v>
      </c>
      <c r="V1225" s="475">
        <v>0</v>
      </c>
      <c r="W1225" s="463" t="s">
        <v>2268</v>
      </c>
      <c r="X1225" s="463" t="s">
        <v>2268</v>
      </c>
      <c r="Y1225" s="463" t="s">
        <v>2290</v>
      </c>
      <c r="Z1225" s="463"/>
      <c r="AA1225" s="463"/>
      <c r="AB1225" s="464">
        <v>0</v>
      </c>
      <c r="AC1225" s="465">
        <v>0</v>
      </c>
      <c r="AD1225" s="465">
        <v>0</v>
      </c>
      <c r="AE1225" s="476">
        <v>0</v>
      </c>
      <c r="AF1225" s="467">
        <v>0</v>
      </c>
      <c r="AG1225" s="468">
        <v>0</v>
      </c>
      <c r="AH1225" s="218">
        <v>0</v>
      </c>
      <c r="AI1225" s="470">
        <v>0</v>
      </c>
      <c r="AJ1225" s="471">
        <v>0</v>
      </c>
      <c r="AK1225" s="218">
        <v>0</v>
      </c>
      <c r="AL1225" s="470">
        <v>0</v>
      </c>
      <c r="AM1225" s="471">
        <v>0</v>
      </c>
      <c r="AN1225" s="477">
        <v>0</v>
      </c>
      <c r="AO1225" s="473">
        <v>0</v>
      </c>
      <c r="AP1225" s="474">
        <v>0</v>
      </c>
      <c r="AQ1225" s="352"/>
      <c r="AR1225" s="352"/>
      <c r="AS1225" s="352"/>
      <c r="AT1225" s="352"/>
      <c r="AU1225" s="352"/>
      <c r="AV1225" s="352"/>
      <c r="AW1225" s="352" t="s">
        <v>254</v>
      </c>
    </row>
    <row r="1226" spans="2:49" x14ac:dyDescent="0.2">
      <c r="B1226" s="460" t="s">
        <v>2730</v>
      </c>
      <c r="C1226" s="460">
        <v>2122</v>
      </c>
      <c r="D1226" s="460" t="s">
        <v>2341</v>
      </c>
      <c r="E1226" s="460" t="s">
        <v>2333</v>
      </c>
      <c r="F1226" s="460">
        <v>4</v>
      </c>
      <c r="G1226" s="460">
        <v>3</v>
      </c>
      <c r="H1226" s="461" t="s">
        <v>746</v>
      </c>
      <c r="I1226" s="461" t="s">
        <v>762</v>
      </c>
      <c r="J1226" s="461" t="s">
        <v>700</v>
      </c>
      <c r="K1226" s="594"/>
      <c r="L1226" s="594"/>
      <c r="M1226" s="352">
        <v>2000</v>
      </c>
      <c r="N1226" s="352" t="s">
        <v>703</v>
      </c>
      <c r="O1226" s="460">
        <v>2122</v>
      </c>
      <c r="P1226" s="460" t="s">
        <v>1877</v>
      </c>
      <c r="Q1226" s="460" t="s">
        <v>2289</v>
      </c>
      <c r="R1226" s="460">
        <v>2122</v>
      </c>
      <c r="S1226" s="460" t="s">
        <v>2333</v>
      </c>
      <c r="T1226" s="462">
        <v>1</v>
      </c>
      <c r="U1226" s="460" t="s">
        <v>2333</v>
      </c>
      <c r="V1226" s="475">
        <v>0</v>
      </c>
      <c r="W1226" s="463" t="s">
        <v>2268</v>
      </c>
      <c r="X1226" s="463" t="s">
        <v>2268</v>
      </c>
      <c r="Y1226" s="463" t="s">
        <v>2290</v>
      </c>
      <c r="Z1226" s="463"/>
      <c r="AA1226" s="463"/>
      <c r="AB1226" s="464">
        <v>0</v>
      </c>
      <c r="AC1226" s="465">
        <v>0</v>
      </c>
      <c r="AD1226" s="465">
        <v>0</v>
      </c>
      <c r="AE1226" s="476">
        <v>0</v>
      </c>
      <c r="AF1226" s="467">
        <v>0</v>
      </c>
      <c r="AG1226" s="468">
        <v>0</v>
      </c>
      <c r="AH1226" s="218">
        <v>0</v>
      </c>
      <c r="AI1226" s="470">
        <v>0</v>
      </c>
      <c r="AJ1226" s="471">
        <v>0</v>
      </c>
      <c r="AK1226" s="218">
        <v>0</v>
      </c>
      <c r="AL1226" s="470">
        <v>0</v>
      </c>
      <c r="AM1226" s="471">
        <v>0</v>
      </c>
      <c r="AN1226" s="477">
        <v>0</v>
      </c>
      <c r="AO1226" s="473">
        <v>0</v>
      </c>
      <c r="AP1226" s="474">
        <v>0</v>
      </c>
      <c r="AQ1226" s="352"/>
      <c r="AR1226" s="352"/>
      <c r="AS1226" s="352"/>
      <c r="AT1226" s="352"/>
      <c r="AU1226" s="352"/>
      <c r="AV1226" s="352"/>
      <c r="AW1226" s="352" t="s">
        <v>254</v>
      </c>
    </row>
    <row r="1227" spans="2:49" x14ac:dyDescent="0.2">
      <c r="B1227" s="460" t="s">
        <v>2727</v>
      </c>
      <c r="C1227" s="460">
        <v>2122</v>
      </c>
      <c r="D1227" s="460" t="s">
        <v>2342</v>
      </c>
      <c r="E1227" s="460" t="s">
        <v>2324</v>
      </c>
      <c r="F1227" s="460">
        <v>1</v>
      </c>
      <c r="G1227" s="460">
        <v>3</v>
      </c>
      <c r="H1227" s="461" t="s">
        <v>748</v>
      </c>
      <c r="I1227" s="461" t="s">
        <v>765</v>
      </c>
      <c r="J1227" s="461" t="s">
        <v>700</v>
      </c>
      <c r="K1227" s="594"/>
      <c r="L1227" s="594"/>
      <c r="M1227" s="352">
        <v>2000</v>
      </c>
      <c r="N1227" s="352" t="s">
        <v>703</v>
      </c>
      <c r="O1227" s="460">
        <v>2122</v>
      </c>
      <c r="P1227" s="460" t="s">
        <v>1877</v>
      </c>
      <c r="Q1227" s="460" t="s">
        <v>2266</v>
      </c>
      <c r="R1227" s="460">
        <v>2122</v>
      </c>
      <c r="S1227" s="460" t="s">
        <v>2324</v>
      </c>
      <c r="T1227" s="462">
        <v>1</v>
      </c>
      <c r="U1227" s="460" t="s">
        <v>2324</v>
      </c>
      <c r="V1227" s="475">
        <v>0</v>
      </c>
      <c r="W1227" s="463" t="s">
        <v>2268</v>
      </c>
      <c r="X1227" s="463" t="s">
        <v>2268</v>
      </c>
      <c r="Y1227" s="463" t="s">
        <v>2267</v>
      </c>
      <c r="Z1227" s="463"/>
      <c r="AA1227" s="463"/>
      <c r="AB1227" s="464">
        <v>0</v>
      </c>
      <c r="AC1227" s="465">
        <v>0</v>
      </c>
      <c r="AD1227" s="465">
        <v>0</v>
      </c>
      <c r="AE1227" s="476">
        <v>0</v>
      </c>
      <c r="AF1227" s="467">
        <v>0</v>
      </c>
      <c r="AG1227" s="468">
        <v>0</v>
      </c>
      <c r="AH1227" s="218">
        <v>0</v>
      </c>
      <c r="AI1227" s="470">
        <v>0</v>
      </c>
      <c r="AJ1227" s="471">
        <v>0</v>
      </c>
      <c r="AK1227" s="218">
        <v>0</v>
      </c>
      <c r="AL1227" s="470">
        <v>0</v>
      </c>
      <c r="AM1227" s="471">
        <v>0</v>
      </c>
      <c r="AN1227" s="477">
        <v>920.37669357863808</v>
      </c>
      <c r="AO1227" s="473">
        <v>0.45745768582944307</v>
      </c>
      <c r="AP1227" s="474">
        <v>4.7907277606364526E-2</v>
      </c>
      <c r="AQ1227" s="352"/>
      <c r="AR1227" s="352"/>
      <c r="AS1227" s="352"/>
      <c r="AT1227" s="352"/>
      <c r="AU1227" s="352"/>
      <c r="AV1227" s="352"/>
      <c r="AW1227" s="352" t="s">
        <v>254</v>
      </c>
    </row>
    <row r="1228" spans="2:49" x14ac:dyDescent="0.2">
      <c r="B1228" s="460" t="s">
        <v>2728</v>
      </c>
      <c r="C1228" s="460">
        <v>2122</v>
      </c>
      <c r="D1228" s="460" t="s">
        <v>2343</v>
      </c>
      <c r="E1228" s="460" t="s">
        <v>2327</v>
      </c>
      <c r="F1228" s="460">
        <v>2</v>
      </c>
      <c r="G1228" s="460">
        <v>3</v>
      </c>
      <c r="H1228" s="461" t="s">
        <v>748</v>
      </c>
      <c r="I1228" s="461" t="s">
        <v>765</v>
      </c>
      <c r="J1228" s="461" t="s">
        <v>700</v>
      </c>
      <c r="K1228" s="594"/>
      <c r="L1228" s="594"/>
      <c r="M1228" s="352">
        <v>2000</v>
      </c>
      <c r="N1228" s="352" t="s">
        <v>703</v>
      </c>
      <c r="O1228" s="460">
        <v>2122</v>
      </c>
      <c r="P1228" s="460" t="s">
        <v>1877</v>
      </c>
      <c r="Q1228" s="460" t="s">
        <v>2266</v>
      </c>
      <c r="R1228" s="460">
        <v>2122</v>
      </c>
      <c r="S1228" s="460" t="s">
        <v>2324</v>
      </c>
      <c r="T1228" s="462">
        <v>1</v>
      </c>
      <c r="U1228" s="460" t="s">
        <v>2327</v>
      </c>
      <c r="V1228" s="475">
        <v>0</v>
      </c>
      <c r="W1228" s="463" t="s">
        <v>2268</v>
      </c>
      <c r="X1228" s="463" t="s">
        <v>2268</v>
      </c>
      <c r="Y1228" s="463" t="s">
        <v>2267</v>
      </c>
      <c r="Z1228" s="463"/>
      <c r="AA1228" s="463"/>
      <c r="AB1228" s="464">
        <v>0</v>
      </c>
      <c r="AC1228" s="465">
        <v>0</v>
      </c>
      <c r="AD1228" s="465">
        <v>0</v>
      </c>
      <c r="AE1228" s="476">
        <v>0</v>
      </c>
      <c r="AF1228" s="467">
        <v>0</v>
      </c>
      <c r="AG1228" s="468">
        <v>0</v>
      </c>
      <c r="AH1228" s="218">
        <v>0</v>
      </c>
      <c r="AI1228" s="470">
        <v>0</v>
      </c>
      <c r="AJ1228" s="471">
        <v>0</v>
      </c>
      <c r="AK1228" s="218">
        <v>0</v>
      </c>
      <c r="AL1228" s="470">
        <v>0</v>
      </c>
      <c r="AM1228" s="471">
        <v>0</v>
      </c>
      <c r="AN1228" s="477">
        <v>488.29133517546359</v>
      </c>
      <c r="AO1228" s="473">
        <v>0.45745768582944307</v>
      </c>
      <c r="AP1228" s="474">
        <v>4.3405931903834245E-2</v>
      </c>
      <c r="AQ1228" s="352"/>
      <c r="AR1228" s="352"/>
      <c r="AS1228" s="352"/>
      <c r="AT1228" s="352"/>
      <c r="AU1228" s="352"/>
      <c r="AV1228" s="352"/>
      <c r="AW1228" s="352" t="s">
        <v>254</v>
      </c>
    </row>
    <row r="1229" spans="2:49" x14ac:dyDescent="0.2">
      <c r="B1229" s="460" t="s">
        <v>2729</v>
      </c>
      <c r="C1229" s="460">
        <v>2122</v>
      </c>
      <c r="D1229" s="460" t="s">
        <v>2344</v>
      </c>
      <c r="E1229" s="460" t="s">
        <v>2330</v>
      </c>
      <c r="F1229" s="460">
        <v>3</v>
      </c>
      <c r="G1229" s="460">
        <v>3</v>
      </c>
      <c r="H1229" s="461" t="s">
        <v>748</v>
      </c>
      <c r="I1229" s="461" t="s">
        <v>765</v>
      </c>
      <c r="J1229" s="461" t="s">
        <v>700</v>
      </c>
      <c r="K1229" s="594"/>
      <c r="L1229" s="594"/>
      <c r="M1229" s="352">
        <v>2000</v>
      </c>
      <c r="N1229" s="352" t="s">
        <v>703</v>
      </c>
      <c r="O1229" s="460">
        <v>2122</v>
      </c>
      <c r="P1229" s="460" t="s">
        <v>1877</v>
      </c>
      <c r="Q1229" s="460" t="s">
        <v>2266</v>
      </c>
      <c r="R1229" s="460">
        <v>2122</v>
      </c>
      <c r="S1229" s="460" t="s">
        <v>2324</v>
      </c>
      <c r="T1229" s="462">
        <v>1</v>
      </c>
      <c r="U1229" s="460" t="s">
        <v>2330</v>
      </c>
      <c r="V1229" s="475">
        <v>0</v>
      </c>
      <c r="W1229" s="463" t="s">
        <v>2268</v>
      </c>
      <c r="X1229" s="463" t="s">
        <v>2268</v>
      </c>
      <c r="Y1229" s="463" t="s">
        <v>2267</v>
      </c>
      <c r="Z1229" s="463"/>
      <c r="AA1229" s="463"/>
      <c r="AB1229" s="464">
        <v>0</v>
      </c>
      <c r="AC1229" s="465">
        <v>0</v>
      </c>
      <c r="AD1229" s="465">
        <v>0</v>
      </c>
      <c r="AE1229" s="476">
        <v>0</v>
      </c>
      <c r="AF1229" s="467">
        <v>0</v>
      </c>
      <c r="AG1229" s="468">
        <v>0</v>
      </c>
      <c r="AH1229" s="218">
        <v>0</v>
      </c>
      <c r="AI1229" s="470">
        <v>0</v>
      </c>
      <c r="AJ1229" s="471">
        <v>0</v>
      </c>
      <c r="AK1229" s="218">
        <v>0</v>
      </c>
      <c r="AL1229" s="470">
        <v>0</v>
      </c>
      <c r="AM1229" s="471">
        <v>0</v>
      </c>
      <c r="AN1229" s="477">
        <v>149.25097168774172</v>
      </c>
      <c r="AO1229" s="473">
        <v>0.45745768582944307</v>
      </c>
      <c r="AP1229" s="474">
        <v>4.0683235565063966E-2</v>
      </c>
      <c r="AQ1229" s="352"/>
      <c r="AR1229" s="352"/>
      <c r="AS1229" s="352"/>
      <c r="AT1229" s="352"/>
      <c r="AU1229" s="352"/>
      <c r="AV1229" s="352"/>
      <c r="AW1229" s="352" t="s">
        <v>254</v>
      </c>
    </row>
    <row r="1230" spans="2:49" x14ac:dyDescent="0.2">
      <c r="B1230" s="460" t="s">
        <v>2730</v>
      </c>
      <c r="C1230" s="460">
        <v>2122</v>
      </c>
      <c r="D1230" s="460" t="s">
        <v>2345</v>
      </c>
      <c r="E1230" s="460" t="s">
        <v>2333</v>
      </c>
      <c r="F1230" s="460">
        <v>4</v>
      </c>
      <c r="G1230" s="460">
        <v>3</v>
      </c>
      <c r="H1230" s="461" t="s">
        <v>748</v>
      </c>
      <c r="I1230" s="461" t="s">
        <v>765</v>
      </c>
      <c r="J1230" s="461" t="s">
        <v>700</v>
      </c>
      <c r="K1230" s="594"/>
      <c r="L1230" s="594"/>
      <c r="M1230" s="352">
        <v>2000</v>
      </c>
      <c r="N1230" s="352" t="s">
        <v>703</v>
      </c>
      <c r="O1230" s="460">
        <v>2122</v>
      </c>
      <c r="P1230" s="460" t="s">
        <v>1877</v>
      </c>
      <c r="Q1230" s="460" t="s">
        <v>2266</v>
      </c>
      <c r="R1230" s="460">
        <v>2122</v>
      </c>
      <c r="S1230" s="460" t="s">
        <v>2333</v>
      </c>
      <c r="T1230" s="462">
        <v>1</v>
      </c>
      <c r="U1230" s="460" t="s">
        <v>2333</v>
      </c>
      <c r="V1230" s="475">
        <v>0</v>
      </c>
      <c r="W1230" s="463" t="s">
        <v>2268</v>
      </c>
      <c r="X1230" s="463" t="s">
        <v>2268</v>
      </c>
      <c r="Y1230" s="463" t="s">
        <v>2278</v>
      </c>
      <c r="Z1230" s="463"/>
      <c r="AA1230" s="463"/>
      <c r="AB1230" s="464">
        <v>0</v>
      </c>
      <c r="AC1230" s="465">
        <v>0</v>
      </c>
      <c r="AD1230" s="465">
        <v>0</v>
      </c>
      <c r="AE1230" s="476">
        <v>0</v>
      </c>
      <c r="AF1230" s="467">
        <v>0</v>
      </c>
      <c r="AG1230" s="468">
        <v>0</v>
      </c>
      <c r="AH1230" s="218">
        <v>0</v>
      </c>
      <c r="AI1230" s="470">
        <v>0</v>
      </c>
      <c r="AJ1230" s="471">
        <v>0</v>
      </c>
      <c r="AK1230" s="218">
        <v>0</v>
      </c>
      <c r="AL1230" s="470">
        <v>0</v>
      </c>
      <c r="AM1230" s="471">
        <v>0</v>
      </c>
      <c r="AN1230" s="477">
        <v>1.467943294612938</v>
      </c>
      <c r="AO1230" s="473">
        <v>4.9724291137002267E-3</v>
      </c>
      <c r="AP1230" s="474">
        <v>9.1412430542513277E-4</v>
      </c>
      <c r="AQ1230" s="352"/>
      <c r="AR1230" s="352"/>
      <c r="AS1230" s="352"/>
      <c r="AT1230" s="352"/>
      <c r="AU1230" s="352"/>
      <c r="AV1230" s="352"/>
      <c r="AW1230" s="352" t="s">
        <v>254</v>
      </c>
    </row>
    <row r="1231" spans="2:49" x14ac:dyDescent="0.2">
      <c r="B1231" s="460" t="s">
        <v>2727</v>
      </c>
      <c r="C1231" s="460">
        <v>2122</v>
      </c>
      <c r="D1231" s="460" t="s">
        <v>2346</v>
      </c>
      <c r="E1231" s="460" t="s">
        <v>2324</v>
      </c>
      <c r="F1231" s="460">
        <v>1</v>
      </c>
      <c r="G1231" s="460">
        <v>3</v>
      </c>
      <c r="H1231" s="461" t="s">
        <v>752</v>
      </c>
      <c r="I1231" s="461" t="s">
        <v>964</v>
      </c>
      <c r="J1231" s="461" t="s">
        <v>752</v>
      </c>
      <c r="K1231" s="594"/>
      <c r="L1231" s="594"/>
      <c r="M1231" s="352">
        <v>2000</v>
      </c>
      <c r="N1231" s="352" t="s">
        <v>703</v>
      </c>
      <c r="O1231" s="460">
        <v>2122</v>
      </c>
      <c r="P1231" s="460" t="s">
        <v>1877</v>
      </c>
      <c r="Q1231" s="460" t="s">
        <v>2266</v>
      </c>
      <c r="R1231" s="460">
        <v>2122</v>
      </c>
      <c r="S1231" s="460" t="s">
        <v>2324</v>
      </c>
      <c r="T1231" s="462">
        <v>1</v>
      </c>
      <c r="U1231" s="460" t="s">
        <v>2324</v>
      </c>
      <c r="V1231" s="475">
        <v>0</v>
      </c>
      <c r="W1231" s="463" t="s">
        <v>2278</v>
      </c>
      <c r="X1231" s="463" t="s">
        <v>2278</v>
      </c>
      <c r="Y1231" s="463" t="s">
        <v>2278</v>
      </c>
      <c r="Z1231" s="463"/>
      <c r="AA1231" s="463"/>
      <c r="AB1231" s="464">
        <v>0</v>
      </c>
      <c r="AC1231" s="465">
        <v>0</v>
      </c>
      <c r="AD1231" s="465">
        <v>0</v>
      </c>
      <c r="AE1231" s="476">
        <v>0</v>
      </c>
      <c r="AF1231" s="467">
        <v>0</v>
      </c>
      <c r="AG1231" s="468">
        <v>0</v>
      </c>
      <c r="AH1231" s="218">
        <v>0</v>
      </c>
      <c r="AI1231" s="470">
        <v>0</v>
      </c>
      <c r="AJ1231" s="471">
        <v>0</v>
      </c>
      <c r="AK1231" s="218">
        <v>0</v>
      </c>
      <c r="AL1231" s="470">
        <v>0</v>
      </c>
      <c r="AM1231" s="471">
        <v>0</v>
      </c>
      <c r="AN1231" s="477">
        <v>0</v>
      </c>
      <c r="AO1231" s="473">
        <v>0</v>
      </c>
      <c r="AP1231" s="474">
        <v>0</v>
      </c>
      <c r="AQ1231" s="352"/>
      <c r="AR1231" s="352"/>
      <c r="AS1231" s="352"/>
      <c r="AT1231" s="352"/>
      <c r="AU1231" s="352"/>
      <c r="AV1231" s="352"/>
      <c r="AW1231" s="352" t="s">
        <v>254</v>
      </c>
    </row>
    <row r="1232" spans="2:49" x14ac:dyDescent="0.2">
      <c r="B1232" s="460" t="s">
        <v>2728</v>
      </c>
      <c r="C1232" s="460">
        <v>2122</v>
      </c>
      <c r="D1232" s="460" t="s">
        <v>2347</v>
      </c>
      <c r="E1232" s="460" t="s">
        <v>2327</v>
      </c>
      <c r="F1232" s="460">
        <v>2</v>
      </c>
      <c r="G1232" s="460">
        <v>3</v>
      </c>
      <c r="H1232" s="461" t="s">
        <v>752</v>
      </c>
      <c r="I1232" s="461" t="s">
        <v>964</v>
      </c>
      <c r="J1232" s="461" t="s">
        <v>752</v>
      </c>
      <c r="K1232" s="594"/>
      <c r="L1232" s="594"/>
      <c r="M1232" s="352">
        <v>2000</v>
      </c>
      <c r="N1232" s="352" t="s">
        <v>703</v>
      </c>
      <c r="O1232" s="460">
        <v>2122</v>
      </c>
      <c r="P1232" s="460" t="s">
        <v>1877</v>
      </c>
      <c r="Q1232" s="460" t="s">
        <v>2266</v>
      </c>
      <c r="R1232" s="460">
        <v>2122</v>
      </c>
      <c r="S1232" s="460" t="s">
        <v>2324</v>
      </c>
      <c r="T1232" s="462">
        <v>1</v>
      </c>
      <c r="U1232" s="460" t="s">
        <v>2327</v>
      </c>
      <c r="V1232" s="475">
        <v>0</v>
      </c>
      <c r="W1232" s="463" t="s">
        <v>2278</v>
      </c>
      <c r="X1232" s="463" t="s">
        <v>2278</v>
      </c>
      <c r="Y1232" s="463" t="s">
        <v>2278</v>
      </c>
      <c r="Z1232" s="463"/>
      <c r="AA1232" s="463"/>
      <c r="AB1232" s="464">
        <v>0</v>
      </c>
      <c r="AC1232" s="465">
        <v>0</v>
      </c>
      <c r="AD1232" s="465">
        <v>0</v>
      </c>
      <c r="AE1232" s="476">
        <v>0</v>
      </c>
      <c r="AF1232" s="467">
        <v>0</v>
      </c>
      <c r="AG1232" s="468">
        <v>0</v>
      </c>
      <c r="AH1232" s="218">
        <v>0</v>
      </c>
      <c r="AI1232" s="470">
        <v>0</v>
      </c>
      <c r="AJ1232" s="471">
        <v>0</v>
      </c>
      <c r="AK1232" s="218">
        <v>0</v>
      </c>
      <c r="AL1232" s="470">
        <v>0</v>
      </c>
      <c r="AM1232" s="471">
        <v>0</v>
      </c>
      <c r="AN1232" s="477">
        <v>0</v>
      </c>
      <c r="AO1232" s="473">
        <v>0</v>
      </c>
      <c r="AP1232" s="474">
        <v>0</v>
      </c>
      <c r="AQ1232" s="352"/>
      <c r="AR1232" s="352"/>
      <c r="AS1232" s="352"/>
      <c r="AT1232" s="352"/>
      <c r="AU1232" s="352"/>
      <c r="AV1232" s="352"/>
      <c r="AW1232" s="352" t="s">
        <v>254</v>
      </c>
    </row>
    <row r="1233" spans="2:49" x14ac:dyDescent="0.2">
      <c r="B1233" s="460" t="s">
        <v>2729</v>
      </c>
      <c r="C1233" s="460">
        <v>2122</v>
      </c>
      <c r="D1233" s="460" t="s">
        <v>2348</v>
      </c>
      <c r="E1233" s="460" t="s">
        <v>2330</v>
      </c>
      <c r="F1233" s="460">
        <v>3</v>
      </c>
      <c r="G1233" s="460">
        <v>3</v>
      </c>
      <c r="H1233" s="461" t="s">
        <v>752</v>
      </c>
      <c r="I1233" s="461" t="s">
        <v>964</v>
      </c>
      <c r="J1233" s="461" t="s">
        <v>752</v>
      </c>
      <c r="K1233" s="594"/>
      <c r="L1233" s="594"/>
      <c r="M1233" s="352">
        <v>2000</v>
      </c>
      <c r="N1233" s="352" t="s">
        <v>703</v>
      </c>
      <c r="O1233" s="460">
        <v>2122</v>
      </c>
      <c r="P1233" s="460" t="s">
        <v>1877</v>
      </c>
      <c r="Q1233" s="460" t="s">
        <v>2266</v>
      </c>
      <c r="R1233" s="460">
        <v>2122</v>
      </c>
      <c r="S1233" s="460" t="s">
        <v>2324</v>
      </c>
      <c r="T1233" s="462">
        <v>1</v>
      </c>
      <c r="U1233" s="460" t="s">
        <v>2330</v>
      </c>
      <c r="V1233" s="475">
        <v>0</v>
      </c>
      <c r="W1233" s="463" t="s">
        <v>2278</v>
      </c>
      <c r="X1233" s="463" t="s">
        <v>2278</v>
      </c>
      <c r="Y1233" s="463" t="s">
        <v>2278</v>
      </c>
      <c r="Z1233" s="463"/>
      <c r="AA1233" s="463"/>
      <c r="AB1233" s="464">
        <v>0</v>
      </c>
      <c r="AC1233" s="465">
        <v>0</v>
      </c>
      <c r="AD1233" s="465">
        <v>0</v>
      </c>
      <c r="AE1233" s="476">
        <v>0</v>
      </c>
      <c r="AF1233" s="467">
        <v>0</v>
      </c>
      <c r="AG1233" s="468">
        <v>0</v>
      </c>
      <c r="AH1233" s="218">
        <v>0</v>
      </c>
      <c r="AI1233" s="470">
        <v>0</v>
      </c>
      <c r="AJ1233" s="471">
        <v>0</v>
      </c>
      <c r="AK1233" s="218">
        <v>0</v>
      </c>
      <c r="AL1233" s="470">
        <v>0</v>
      </c>
      <c r="AM1233" s="471">
        <v>0</v>
      </c>
      <c r="AN1233" s="477">
        <v>0</v>
      </c>
      <c r="AO1233" s="473">
        <v>0</v>
      </c>
      <c r="AP1233" s="474">
        <v>0</v>
      </c>
      <c r="AQ1233" s="352"/>
      <c r="AR1233" s="352"/>
      <c r="AS1233" s="352"/>
      <c r="AT1233" s="352"/>
      <c r="AU1233" s="352"/>
      <c r="AV1233" s="352"/>
      <c r="AW1233" s="352" t="s">
        <v>254</v>
      </c>
    </row>
    <row r="1234" spans="2:49" x14ac:dyDescent="0.2">
      <c r="B1234" s="460" t="s">
        <v>2730</v>
      </c>
      <c r="C1234" s="460">
        <v>2122</v>
      </c>
      <c r="D1234" s="460" t="s">
        <v>2349</v>
      </c>
      <c r="E1234" s="460" t="s">
        <v>2333</v>
      </c>
      <c r="F1234" s="460">
        <v>4</v>
      </c>
      <c r="G1234" s="460">
        <v>3</v>
      </c>
      <c r="H1234" s="461" t="s">
        <v>752</v>
      </c>
      <c r="I1234" s="461" t="s">
        <v>964</v>
      </c>
      <c r="J1234" s="461" t="s">
        <v>752</v>
      </c>
      <c r="K1234" s="594"/>
      <c r="L1234" s="594"/>
      <c r="M1234" s="352">
        <v>2000</v>
      </c>
      <c r="N1234" s="352" t="s">
        <v>703</v>
      </c>
      <c r="O1234" s="460">
        <v>2122</v>
      </c>
      <c r="P1234" s="460" t="s">
        <v>1877</v>
      </c>
      <c r="Q1234" s="460" t="s">
        <v>2266</v>
      </c>
      <c r="R1234" s="460">
        <v>2122</v>
      </c>
      <c r="S1234" s="460" t="s">
        <v>2333</v>
      </c>
      <c r="T1234" s="462">
        <v>1</v>
      </c>
      <c r="U1234" s="460" t="s">
        <v>2333</v>
      </c>
      <c r="V1234" s="475">
        <v>0</v>
      </c>
      <c r="W1234" s="463" t="s">
        <v>2278</v>
      </c>
      <c r="X1234" s="463" t="s">
        <v>2278</v>
      </c>
      <c r="Y1234" s="463" t="s">
        <v>2278</v>
      </c>
      <c r="Z1234" s="463"/>
      <c r="AA1234" s="463"/>
      <c r="AB1234" s="464">
        <v>0</v>
      </c>
      <c r="AC1234" s="465">
        <v>0</v>
      </c>
      <c r="AD1234" s="465">
        <v>0</v>
      </c>
      <c r="AE1234" s="476">
        <v>0</v>
      </c>
      <c r="AF1234" s="467">
        <v>0</v>
      </c>
      <c r="AG1234" s="468">
        <v>0</v>
      </c>
      <c r="AH1234" s="218">
        <v>0</v>
      </c>
      <c r="AI1234" s="470">
        <v>0</v>
      </c>
      <c r="AJ1234" s="471">
        <v>0</v>
      </c>
      <c r="AK1234" s="218">
        <v>0</v>
      </c>
      <c r="AL1234" s="470">
        <v>0</v>
      </c>
      <c r="AM1234" s="471">
        <v>0</v>
      </c>
      <c r="AN1234" s="477">
        <v>0</v>
      </c>
      <c r="AO1234" s="473">
        <v>0</v>
      </c>
      <c r="AP1234" s="474">
        <v>0</v>
      </c>
      <c r="AQ1234" s="352"/>
      <c r="AR1234" s="352"/>
      <c r="AS1234" s="352"/>
      <c r="AT1234" s="352"/>
      <c r="AU1234" s="352"/>
      <c r="AV1234" s="352"/>
      <c r="AW1234" s="352" t="s">
        <v>254</v>
      </c>
    </row>
    <row r="1235" spans="2:49" x14ac:dyDescent="0.2">
      <c r="B1235" s="460" t="s">
        <v>2731</v>
      </c>
      <c r="C1235" s="460">
        <v>2122</v>
      </c>
      <c r="D1235" s="460" t="s">
        <v>2351</v>
      </c>
      <c r="E1235" s="460" t="s">
        <v>1136</v>
      </c>
      <c r="F1235" s="460">
        <v>1</v>
      </c>
      <c r="G1235" s="460">
        <v>4</v>
      </c>
      <c r="H1235" s="461" t="s">
        <v>700</v>
      </c>
      <c r="I1235" s="461" t="s">
        <v>872</v>
      </c>
      <c r="J1235" s="461" t="s">
        <v>700</v>
      </c>
      <c r="K1235" s="594"/>
      <c r="L1235" s="594"/>
      <c r="M1235" s="352">
        <v>2000</v>
      </c>
      <c r="N1235" s="352" t="s">
        <v>703</v>
      </c>
      <c r="O1235" s="460">
        <v>2122</v>
      </c>
      <c r="P1235" s="460" t="s">
        <v>1877</v>
      </c>
      <c r="Q1235" s="460" t="s">
        <v>2266</v>
      </c>
      <c r="R1235" s="460">
        <v>2122</v>
      </c>
      <c r="S1235" s="460" t="s">
        <v>1136</v>
      </c>
      <c r="T1235" s="462">
        <v>1</v>
      </c>
      <c r="U1235" s="460" t="s">
        <v>1136</v>
      </c>
      <c r="V1235" s="475">
        <v>0</v>
      </c>
      <c r="W1235" s="463" t="s">
        <v>2267</v>
      </c>
      <c r="X1235" s="463" t="s">
        <v>2267</v>
      </c>
      <c r="Y1235" s="463" t="s">
        <v>2268</v>
      </c>
      <c r="Z1235" s="463"/>
      <c r="AA1235" s="463"/>
      <c r="AB1235" s="464">
        <v>22.184019008035861</v>
      </c>
      <c r="AC1235" s="465">
        <v>0.25643748668276356</v>
      </c>
      <c r="AD1235" s="465">
        <v>6.3118175597785542E-2</v>
      </c>
      <c r="AE1235" s="476">
        <v>22.184019008035861</v>
      </c>
      <c r="AF1235" s="467">
        <v>0.25643748668276356</v>
      </c>
      <c r="AG1235" s="468">
        <v>6.8613342793084717E-2</v>
      </c>
      <c r="AH1235" s="218">
        <v>22.184019008035861</v>
      </c>
      <c r="AI1235" s="470">
        <v>0.25643748668276356</v>
      </c>
      <c r="AJ1235" s="471">
        <v>1.7324976222271485E-2</v>
      </c>
      <c r="AK1235" s="218">
        <v>22.184019008035861</v>
      </c>
      <c r="AL1235" s="470">
        <v>0.25643748668276356</v>
      </c>
      <c r="AM1235" s="471">
        <v>1.7324976222271485E-2</v>
      </c>
      <c r="AN1235" s="477">
        <v>0</v>
      </c>
      <c r="AO1235" s="473">
        <v>0</v>
      </c>
      <c r="AP1235" s="474">
        <v>0</v>
      </c>
      <c r="AQ1235" s="352"/>
      <c r="AR1235" s="352"/>
      <c r="AS1235" s="352"/>
      <c r="AT1235" s="352"/>
      <c r="AU1235" s="352"/>
      <c r="AV1235" s="352"/>
      <c r="AW1235" s="352" t="s">
        <v>254</v>
      </c>
    </row>
    <row r="1236" spans="2:49" x14ac:dyDescent="0.2">
      <c r="B1236" s="460" t="s">
        <v>2732</v>
      </c>
      <c r="C1236" s="460">
        <v>2122</v>
      </c>
      <c r="D1236" s="460" t="s">
        <v>2353</v>
      </c>
      <c r="E1236" s="460" t="s">
        <v>1137</v>
      </c>
      <c r="F1236" s="460">
        <v>2</v>
      </c>
      <c r="G1236" s="460">
        <v>4</v>
      </c>
      <c r="H1236" s="461" t="s">
        <v>700</v>
      </c>
      <c r="I1236" s="461" t="s">
        <v>872</v>
      </c>
      <c r="J1236" s="461" t="s">
        <v>700</v>
      </c>
      <c r="K1236" s="594"/>
      <c r="L1236" s="594"/>
      <c r="M1236" s="352">
        <v>2000</v>
      </c>
      <c r="N1236" s="352" t="s">
        <v>703</v>
      </c>
      <c r="O1236" s="460">
        <v>2122</v>
      </c>
      <c r="P1236" s="460" t="s">
        <v>1877</v>
      </c>
      <c r="Q1236" s="460" t="s">
        <v>2266</v>
      </c>
      <c r="R1236" s="460">
        <v>2122</v>
      </c>
      <c r="S1236" s="460" t="s">
        <v>1137</v>
      </c>
      <c r="T1236" s="462">
        <v>1</v>
      </c>
      <c r="U1236" s="460" t="s">
        <v>1137</v>
      </c>
      <c r="V1236" s="475">
        <v>0</v>
      </c>
      <c r="W1236" s="463" t="s">
        <v>2267</v>
      </c>
      <c r="X1236" s="463" t="s">
        <v>2267</v>
      </c>
      <c r="Y1236" s="463" t="s">
        <v>2268</v>
      </c>
      <c r="Z1236" s="463"/>
      <c r="AA1236" s="463"/>
      <c r="AB1236" s="464">
        <v>62.98456892907663</v>
      </c>
      <c r="AC1236" s="465">
        <v>0.23939922885314491</v>
      </c>
      <c r="AD1236" s="465">
        <v>1.4222868079958217E-2</v>
      </c>
      <c r="AE1236" s="476">
        <v>62.98456892907663</v>
      </c>
      <c r="AF1236" s="467">
        <v>0.23939922885314491</v>
      </c>
      <c r="AG1236" s="468">
        <v>1.5322732949957922E-2</v>
      </c>
      <c r="AH1236" s="218">
        <v>62.98456892907663</v>
      </c>
      <c r="AI1236" s="470">
        <v>0.23939922885314491</v>
      </c>
      <c r="AJ1236" s="471">
        <v>1.3013205773596189E-2</v>
      </c>
      <c r="AK1236" s="218">
        <v>62.98456892907663</v>
      </c>
      <c r="AL1236" s="470">
        <v>0.23939922885314491</v>
      </c>
      <c r="AM1236" s="471">
        <v>1.3013205773596189E-2</v>
      </c>
      <c r="AN1236" s="477">
        <v>0</v>
      </c>
      <c r="AO1236" s="473">
        <v>0</v>
      </c>
      <c r="AP1236" s="474">
        <v>0</v>
      </c>
      <c r="AQ1236" s="352"/>
      <c r="AR1236" s="352"/>
      <c r="AS1236" s="352"/>
      <c r="AT1236" s="352"/>
      <c r="AU1236" s="352"/>
      <c r="AV1236" s="352"/>
      <c r="AW1236" s="352" t="s">
        <v>254</v>
      </c>
    </row>
    <row r="1237" spans="2:49" x14ac:dyDescent="0.2">
      <c r="B1237" s="460" t="s">
        <v>2733</v>
      </c>
      <c r="C1237" s="460">
        <v>2122</v>
      </c>
      <c r="D1237" s="460" t="s">
        <v>2355</v>
      </c>
      <c r="E1237" s="460" t="s">
        <v>1138</v>
      </c>
      <c r="F1237" s="460">
        <v>3</v>
      </c>
      <c r="G1237" s="460">
        <v>4</v>
      </c>
      <c r="H1237" s="461" t="s">
        <v>700</v>
      </c>
      <c r="I1237" s="461" t="s">
        <v>872</v>
      </c>
      <c r="J1237" s="461" t="s">
        <v>700</v>
      </c>
      <c r="K1237" s="594"/>
      <c r="L1237" s="594"/>
      <c r="M1237" s="352">
        <v>2000</v>
      </c>
      <c r="N1237" s="352" t="s">
        <v>703</v>
      </c>
      <c r="O1237" s="460">
        <v>2122</v>
      </c>
      <c r="P1237" s="460" t="s">
        <v>1877</v>
      </c>
      <c r="Q1237" s="460" t="s">
        <v>2266</v>
      </c>
      <c r="R1237" s="460">
        <v>2122</v>
      </c>
      <c r="S1237" s="460" t="s">
        <v>1138</v>
      </c>
      <c r="T1237" s="462">
        <v>1</v>
      </c>
      <c r="U1237" s="460" t="s">
        <v>1138</v>
      </c>
      <c r="V1237" s="475">
        <v>0</v>
      </c>
      <c r="W1237" s="463" t="s">
        <v>2267</v>
      </c>
      <c r="X1237" s="463" t="s">
        <v>2267</v>
      </c>
      <c r="Y1237" s="463" t="s">
        <v>2268</v>
      </c>
      <c r="Z1237" s="463"/>
      <c r="AA1237" s="463"/>
      <c r="AB1237" s="464">
        <v>47.604458740312566</v>
      </c>
      <c r="AC1237" s="465">
        <v>0.30405138894205569</v>
      </c>
      <c r="AD1237" s="465">
        <v>1.9973315102862987E-2</v>
      </c>
      <c r="AE1237" s="476">
        <v>47.604458740312566</v>
      </c>
      <c r="AF1237" s="467">
        <v>0.30405138894205569</v>
      </c>
      <c r="AG1237" s="468">
        <v>2.1548504878354951E-2</v>
      </c>
      <c r="AH1237" s="218">
        <v>47.604458740312566</v>
      </c>
      <c r="AI1237" s="470">
        <v>0.30405138894205569</v>
      </c>
      <c r="AJ1237" s="471">
        <v>1.6404790930149366E-2</v>
      </c>
      <c r="AK1237" s="218">
        <v>47.604458740312566</v>
      </c>
      <c r="AL1237" s="470">
        <v>0.30405138894205569</v>
      </c>
      <c r="AM1237" s="471">
        <v>1.6404790930149366E-2</v>
      </c>
      <c r="AN1237" s="477">
        <v>0</v>
      </c>
      <c r="AO1237" s="473">
        <v>0</v>
      </c>
      <c r="AP1237" s="474">
        <v>0</v>
      </c>
      <c r="AQ1237" s="352"/>
      <c r="AR1237" s="352"/>
      <c r="AS1237" s="352"/>
      <c r="AT1237" s="352"/>
      <c r="AU1237" s="352"/>
      <c r="AV1237" s="352"/>
      <c r="AW1237" s="352" t="s">
        <v>254</v>
      </c>
    </row>
    <row r="1238" spans="2:49" x14ac:dyDescent="0.2">
      <c r="B1238" s="460" t="s">
        <v>2734</v>
      </c>
      <c r="C1238" s="460">
        <v>2122</v>
      </c>
      <c r="D1238" s="460" t="s">
        <v>2357</v>
      </c>
      <c r="E1238" s="460" t="s">
        <v>1139</v>
      </c>
      <c r="F1238" s="460">
        <v>4</v>
      </c>
      <c r="G1238" s="460">
        <v>4</v>
      </c>
      <c r="H1238" s="461" t="s">
        <v>700</v>
      </c>
      <c r="I1238" s="461" t="s">
        <v>872</v>
      </c>
      <c r="J1238" s="461" t="s">
        <v>700</v>
      </c>
      <c r="K1238" s="594"/>
      <c r="L1238" s="594"/>
      <c r="M1238" s="352">
        <v>2000</v>
      </c>
      <c r="N1238" s="352" t="s">
        <v>703</v>
      </c>
      <c r="O1238" s="460">
        <v>2122</v>
      </c>
      <c r="P1238" s="460" t="s">
        <v>1877</v>
      </c>
      <c r="Q1238" s="460" t="s">
        <v>2266</v>
      </c>
      <c r="R1238" s="460">
        <v>2122</v>
      </c>
      <c r="S1238" s="460" t="s">
        <v>1139</v>
      </c>
      <c r="T1238" s="462">
        <v>1</v>
      </c>
      <c r="U1238" s="460" t="s">
        <v>1139</v>
      </c>
      <c r="V1238" s="475">
        <v>0</v>
      </c>
      <c r="W1238" s="463" t="s">
        <v>2267</v>
      </c>
      <c r="X1238" s="463" t="s">
        <v>2267</v>
      </c>
      <c r="Y1238" s="463" t="s">
        <v>2268</v>
      </c>
      <c r="Z1238" s="463"/>
      <c r="AA1238" s="463"/>
      <c r="AB1238" s="464">
        <v>0</v>
      </c>
      <c r="AC1238" s="465">
        <v>0</v>
      </c>
      <c r="AD1238" s="465">
        <v>0</v>
      </c>
      <c r="AE1238" s="476">
        <v>0</v>
      </c>
      <c r="AF1238" s="467">
        <v>0</v>
      </c>
      <c r="AG1238" s="468">
        <v>0</v>
      </c>
      <c r="AH1238" s="218">
        <v>0</v>
      </c>
      <c r="AI1238" s="470">
        <v>0</v>
      </c>
      <c r="AJ1238" s="471">
        <v>0</v>
      </c>
      <c r="AK1238" s="218">
        <v>0</v>
      </c>
      <c r="AL1238" s="470">
        <v>0</v>
      </c>
      <c r="AM1238" s="471">
        <v>0</v>
      </c>
      <c r="AN1238" s="477">
        <v>0</v>
      </c>
      <c r="AO1238" s="473">
        <v>0</v>
      </c>
      <c r="AP1238" s="474">
        <v>0</v>
      </c>
      <c r="AQ1238" s="352"/>
      <c r="AR1238" s="352"/>
      <c r="AS1238" s="352"/>
      <c r="AT1238" s="352"/>
      <c r="AU1238" s="352"/>
      <c r="AV1238" s="352"/>
      <c r="AW1238" s="352" t="s">
        <v>254</v>
      </c>
    </row>
    <row r="1239" spans="2:49" x14ac:dyDescent="0.2">
      <c r="B1239" s="460" t="s">
        <v>2731</v>
      </c>
      <c r="C1239" s="460">
        <v>2122</v>
      </c>
      <c r="D1239" s="460" t="s">
        <v>2358</v>
      </c>
      <c r="E1239" s="460" t="s">
        <v>1136</v>
      </c>
      <c r="F1239" s="460">
        <v>1</v>
      </c>
      <c r="G1239" s="460">
        <v>4</v>
      </c>
      <c r="H1239" s="461" t="s">
        <v>712</v>
      </c>
      <c r="I1239" s="461" t="s">
        <v>713</v>
      </c>
      <c r="J1239" s="461" t="s">
        <v>712</v>
      </c>
      <c r="K1239" s="594"/>
      <c r="L1239" s="594"/>
      <c r="M1239" s="352">
        <v>2000</v>
      </c>
      <c r="N1239" s="352" t="s">
        <v>703</v>
      </c>
      <c r="O1239" s="460">
        <v>2122</v>
      </c>
      <c r="P1239" s="460" t="s">
        <v>1877</v>
      </c>
      <c r="Q1239" s="460" t="s">
        <v>2280</v>
      </c>
      <c r="R1239" s="460">
        <v>2122</v>
      </c>
      <c r="S1239" s="460" t="s">
        <v>1136</v>
      </c>
      <c r="T1239" s="462">
        <v>1</v>
      </c>
      <c r="U1239" s="460" t="s">
        <v>1136</v>
      </c>
      <c r="V1239" s="475">
        <v>0</v>
      </c>
      <c r="W1239" s="463" t="s">
        <v>713</v>
      </c>
      <c r="X1239" s="463" t="s">
        <v>713</v>
      </c>
      <c r="Y1239" s="463" t="s">
        <v>713</v>
      </c>
      <c r="Z1239" s="463"/>
      <c r="AA1239" s="463"/>
      <c r="AB1239" s="464">
        <v>55.50677121615076</v>
      </c>
      <c r="AC1239" s="465">
        <v>0.64163382204950259</v>
      </c>
      <c r="AD1239" s="465">
        <v>3.6581018245367396E-4</v>
      </c>
      <c r="AE1239" s="476">
        <v>55.506771216150767</v>
      </c>
      <c r="AF1239" s="467">
        <v>0.6416338220495027</v>
      </c>
      <c r="AG1239" s="468">
        <v>3.6574233349607278E-4</v>
      </c>
      <c r="AH1239" s="218">
        <v>55.506771216150767</v>
      </c>
      <c r="AI1239" s="470">
        <v>0.6416338220495027</v>
      </c>
      <c r="AJ1239" s="471">
        <v>3.6945945400969154E-4</v>
      </c>
      <c r="AK1239" s="218">
        <v>55.506771216150767</v>
      </c>
      <c r="AL1239" s="470">
        <v>0.6416338220495027</v>
      </c>
      <c r="AM1239" s="471">
        <v>3.6945945400969154E-4</v>
      </c>
      <c r="AN1239" s="477">
        <v>55.506771216150767</v>
      </c>
      <c r="AO1239" s="473">
        <v>0.6416338220495027</v>
      </c>
      <c r="AP1239" s="474">
        <v>3.6885829188548476E-4</v>
      </c>
      <c r="AQ1239" s="352"/>
      <c r="AR1239" s="352"/>
      <c r="AS1239" s="352"/>
      <c r="AT1239" s="352"/>
      <c r="AU1239" s="352"/>
      <c r="AV1239" s="352"/>
      <c r="AW1239" s="352" t="s">
        <v>254</v>
      </c>
    </row>
    <row r="1240" spans="2:49" x14ac:dyDescent="0.2">
      <c r="B1240" s="460" t="s">
        <v>2732</v>
      </c>
      <c r="C1240" s="460">
        <v>2122</v>
      </c>
      <c r="D1240" s="460" t="s">
        <v>2359</v>
      </c>
      <c r="E1240" s="460" t="s">
        <v>1137</v>
      </c>
      <c r="F1240" s="460">
        <v>2</v>
      </c>
      <c r="G1240" s="460">
        <v>4</v>
      </c>
      <c r="H1240" s="461" t="s">
        <v>712</v>
      </c>
      <c r="I1240" s="461" t="s">
        <v>713</v>
      </c>
      <c r="J1240" s="461" t="s">
        <v>712</v>
      </c>
      <c r="K1240" s="594"/>
      <c r="L1240" s="594"/>
      <c r="M1240" s="352">
        <v>2000</v>
      </c>
      <c r="N1240" s="352" t="s">
        <v>703</v>
      </c>
      <c r="O1240" s="460">
        <v>2122</v>
      </c>
      <c r="P1240" s="460" t="s">
        <v>1877</v>
      </c>
      <c r="Q1240" s="460" t="s">
        <v>2280</v>
      </c>
      <c r="R1240" s="460">
        <v>2122</v>
      </c>
      <c r="S1240" s="460" t="s">
        <v>1137</v>
      </c>
      <c r="T1240" s="462">
        <v>1</v>
      </c>
      <c r="U1240" s="460" t="s">
        <v>1137</v>
      </c>
      <c r="V1240" s="475">
        <v>0</v>
      </c>
      <c r="W1240" s="463" t="s">
        <v>713</v>
      </c>
      <c r="X1240" s="463" t="s">
        <v>713</v>
      </c>
      <c r="Y1240" s="463" t="s">
        <v>713</v>
      </c>
      <c r="Z1240" s="463"/>
      <c r="AA1240" s="463"/>
      <c r="AB1240" s="464">
        <v>196.49450231572271</v>
      </c>
      <c r="AC1240" s="465">
        <v>0.74685963765563457</v>
      </c>
      <c r="AD1240" s="465">
        <v>1.1363548124216627E-3</v>
      </c>
      <c r="AE1240" s="476">
        <v>196.49450231572274</v>
      </c>
      <c r="AF1240" s="467">
        <v>0.74685963765563468</v>
      </c>
      <c r="AG1240" s="468">
        <v>1.1342696976774688E-3</v>
      </c>
      <c r="AH1240" s="218">
        <v>196.49450231572274</v>
      </c>
      <c r="AI1240" s="470">
        <v>0.74685963765563468</v>
      </c>
      <c r="AJ1240" s="471">
        <v>1.1396520563607794E-3</v>
      </c>
      <c r="AK1240" s="218">
        <v>196.49450231572274</v>
      </c>
      <c r="AL1240" s="470">
        <v>0.74685963765563468</v>
      </c>
      <c r="AM1240" s="471">
        <v>1.1396520563607794E-3</v>
      </c>
      <c r="AN1240" s="477">
        <v>196.49450231572274</v>
      </c>
      <c r="AO1240" s="473">
        <v>0.74685963765563468</v>
      </c>
      <c r="AP1240" s="474">
        <v>1.1387116799277681E-3</v>
      </c>
      <c r="AQ1240" s="352"/>
      <c r="AR1240" s="352"/>
      <c r="AS1240" s="352"/>
      <c r="AT1240" s="352"/>
      <c r="AU1240" s="352"/>
      <c r="AV1240" s="352"/>
      <c r="AW1240" s="352" t="s">
        <v>254</v>
      </c>
    </row>
    <row r="1241" spans="2:49" x14ac:dyDescent="0.2">
      <c r="B1241" s="460" t="s">
        <v>2733</v>
      </c>
      <c r="C1241" s="460">
        <v>2122</v>
      </c>
      <c r="D1241" s="460" t="s">
        <v>2360</v>
      </c>
      <c r="E1241" s="460" t="s">
        <v>1138</v>
      </c>
      <c r="F1241" s="460">
        <v>3</v>
      </c>
      <c r="G1241" s="460">
        <v>4</v>
      </c>
      <c r="H1241" s="461" t="s">
        <v>712</v>
      </c>
      <c r="I1241" s="461" t="s">
        <v>713</v>
      </c>
      <c r="J1241" s="461" t="s">
        <v>712</v>
      </c>
      <c r="K1241" s="594"/>
      <c r="L1241" s="594"/>
      <c r="M1241" s="352">
        <v>2000</v>
      </c>
      <c r="N1241" s="352" t="s">
        <v>703</v>
      </c>
      <c r="O1241" s="460">
        <v>2122</v>
      </c>
      <c r="P1241" s="460" t="s">
        <v>1877</v>
      </c>
      <c r="Q1241" s="460" t="s">
        <v>2280</v>
      </c>
      <c r="R1241" s="460">
        <v>2122</v>
      </c>
      <c r="S1241" s="460" t="s">
        <v>1138</v>
      </c>
      <c r="T1241" s="462">
        <v>1</v>
      </c>
      <c r="U1241" s="460" t="s">
        <v>1138</v>
      </c>
      <c r="V1241" s="475">
        <v>0</v>
      </c>
      <c r="W1241" s="463" t="s">
        <v>713</v>
      </c>
      <c r="X1241" s="463" t="s">
        <v>713</v>
      </c>
      <c r="Y1241" s="463" t="s">
        <v>713</v>
      </c>
      <c r="Z1241" s="463"/>
      <c r="AA1241" s="463"/>
      <c r="AB1241" s="464">
        <v>93.573473772782847</v>
      </c>
      <c r="AC1241" s="465">
        <v>0.5976571401420967</v>
      </c>
      <c r="AD1241" s="465">
        <v>1.1677545346612042E-3</v>
      </c>
      <c r="AE1241" s="476">
        <v>93.573473772782847</v>
      </c>
      <c r="AF1241" s="467">
        <v>0.5976571401420967</v>
      </c>
      <c r="AG1241" s="468">
        <v>1.1652210379372696E-3</v>
      </c>
      <c r="AH1241" s="218">
        <v>93.573473772782847</v>
      </c>
      <c r="AI1241" s="470">
        <v>0.5976571401420967</v>
      </c>
      <c r="AJ1241" s="471">
        <v>1.1788836889447863E-3</v>
      </c>
      <c r="AK1241" s="218">
        <v>93.573473772782847</v>
      </c>
      <c r="AL1241" s="470">
        <v>0.5976571401420967</v>
      </c>
      <c r="AM1241" s="471">
        <v>1.1788836889447863E-3</v>
      </c>
      <c r="AN1241" s="477">
        <v>93.573473772782847</v>
      </c>
      <c r="AO1241" s="473">
        <v>0.5976571401420967</v>
      </c>
      <c r="AP1241" s="474">
        <v>1.1787948434527722E-3</v>
      </c>
      <c r="AQ1241" s="352"/>
      <c r="AR1241" s="352"/>
      <c r="AS1241" s="352"/>
      <c r="AT1241" s="352"/>
      <c r="AU1241" s="352"/>
      <c r="AV1241" s="352"/>
      <c r="AW1241" s="352" t="s">
        <v>254</v>
      </c>
    </row>
    <row r="1242" spans="2:49" x14ac:dyDescent="0.2">
      <c r="B1242" s="460" t="s">
        <v>2734</v>
      </c>
      <c r="C1242" s="460">
        <v>2122</v>
      </c>
      <c r="D1242" s="460" t="s">
        <v>2361</v>
      </c>
      <c r="E1242" s="460" t="s">
        <v>1139</v>
      </c>
      <c r="F1242" s="460">
        <v>4</v>
      </c>
      <c r="G1242" s="460">
        <v>4</v>
      </c>
      <c r="H1242" s="461" t="s">
        <v>712</v>
      </c>
      <c r="I1242" s="461" t="s">
        <v>713</v>
      </c>
      <c r="J1242" s="461" t="s">
        <v>712</v>
      </c>
      <c r="K1242" s="594"/>
      <c r="L1242" s="594"/>
      <c r="M1242" s="352">
        <v>2000</v>
      </c>
      <c r="N1242" s="352" t="s">
        <v>703</v>
      </c>
      <c r="O1242" s="460">
        <v>2122</v>
      </c>
      <c r="P1242" s="460" t="s">
        <v>1877</v>
      </c>
      <c r="Q1242" s="460" t="s">
        <v>2280</v>
      </c>
      <c r="R1242" s="460">
        <v>2122</v>
      </c>
      <c r="S1242" s="460" t="s">
        <v>1139</v>
      </c>
      <c r="T1242" s="462">
        <v>1</v>
      </c>
      <c r="U1242" s="460" t="s">
        <v>1139</v>
      </c>
      <c r="V1242" s="475">
        <v>0</v>
      </c>
      <c r="W1242" s="463" t="s">
        <v>713</v>
      </c>
      <c r="X1242" s="463" t="s">
        <v>713</v>
      </c>
      <c r="Y1242" s="463" t="s">
        <v>713</v>
      </c>
      <c r="Z1242" s="463"/>
      <c r="AA1242" s="463"/>
      <c r="AB1242" s="464">
        <v>106.09354792934128</v>
      </c>
      <c r="AC1242" s="465">
        <v>0.32205102553126624</v>
      </c>
      <c r="AD1242" s="465">
        <v>1.1746927299237208E-3</v>
      </c>
      <c r="AE1242" s="476">
        <v>106.0935479293413</v>
      </c>
      <c r="AF1242" s="467">
        <v>0.3220510255312663</v>
      </c>
      <c r="AG1242" s="468">
        <v>1.174692729923721E-3</v>
      </c>
      <c r="AH1242" s="218">
        <v>106.0935479293413</v>
      </c>
      <c r="AI1242" s="470">
        <v>0.3220510255312663</v>
      </c>
      <c r="AJ1242" s="471">
        <v>1.1999578534602068E-3</v>
      </c>
      <c r="AK1242" s="218">
        <v>106.0935479293413</v>
      </c>
      <c r="AL1242" s="470">
        <v>0.3220510255312663</v>
      </c>
      <c r="AM1242" s="471">
        <v>1.1999578534602068E-3</v>
      </c>
      <c r="AN1242" s="477">
        <v>106.0935479293413</v>
      </c>
      <c r="AO1242" s="473">
        <v>0.3220510255312663</v>
      </c>
      <c r="AP1242" s="474">
        <v>1.1999578534602068E-3</v>
      </c>
      <c r="AQ1242" s="352"/>
      <c r="AR1242" s="352"/>
      <c r="AS1242" s="352"/>
      <c r="AT1242" s="352"/>
      <c r="AU1242" s="352"/>
      <c r="AV1242" s="352"/>
      <c r="AW1242" s="352" t="s">
        <v>254</v>
      </c>
    </row>
    <row r="1243" spans="2:49" x14ac:dyDescent="0.2">
      <c r="B1243" s="460" t="s">
        <v>2731</v>
      </c>
      <c r="C1243" s="460">
        <v>2122</v>
      </c>
      <c r="D1243" s="460" t="s">
        <v>2362</v>
      </c>
      <c r="E1243" s="460" t="s">
        <v>1136</v>
      </c>
      <c r="F1243" s="460">
        <v>1</v>
      </c>
      <c r="G1243" s="460">
        <v>4</v>
      </c>
      <c r="H1243" s="461" t="s">
        <v>746</v>
      </c>
      <c r="I1243" s="461" t="s">
        <v>762</v>
      </c>
      <c r="J1243" s="461" t="s">
        <v>700</v>
      </c>
      <c r="K1243" s="594"/>
      <c r="L1243" s="594"/>
      <c r="M1243" s="352">
        <v>2000</v>
      </c>
      <c r="N1243" s="352" t="s">
        <v>703</v>
      </c>
      <c r="O1243" s="460">
        <v>2122</v>
      </c>
      <c r="P1243" s="460" t="s">
        <v>1877</v>
      </c>
      <c r="Q1243" s="460" t="s">
        <v>2289</v>
      </c>
      <c r="R1243" s="460">
        <v>2122</v>
      </c>
      <c r="S1243" s="460" t="s">
        <v>1136</v>
      </c>
      <c r="T1243" s="462">
        <v>1</v>
      </c>
      <c r="U1243" s="460" t="s">
        <v>1136</v>
      </c>
      <c r="V1243" s="475">
        <v>0</v>
      </c>
      <c r="W1243" s="463" t="s">
        <v>2268</v>
      </c>
      <c r="X1243" s="463" t="s">
        <v>2268</v>
      </c>
      <c r="Y1243" s="463" t="s">
        <v>2290</v>
      </c>
      <c r="Z1243" s="463"/>
      <c r="AA1243" s="463"/>
      <c r="AB1243" s="464">
        <v>0</v>
      </c>
      <c r="AC1243" s="465">
        <v>0</v>
      </c>
      <c r="AD1243" s="465">
        <v>0</v>
      </c>
      <c r="AE1243" s="476">
        <v>0</v>
      </c>
      <c r="AF1243" s="467">
        <v>0</v>
      </c>
      <c r="AG1243" s="468">
        <v>0</v>
      </c>
      <c r="AH1243" s="218">
        <v>0</v>
      </c>
      <c r="AI1243" s="470">
        <v>0</v>
      </c>
      <c r="AJ1243" s="471">
        <v>0</v>
      </c>
      <c r="AK1243" s="218">
        <v>0</v>
      </c>
      <c r="AL1243" s="470">
        <v>0</v>
      </c>
      <c r="AM1243" s="471">
        <v>0</v>
      </c>
      <c r="AN1243" s="477">
        <v>0</v>
      </c>
      <c r="AO1243" s="473">
        <v>0</v>
      </c>
      <c r="AP1243" s="474">
        <v>0</v>
      </c>
      <c r="AQ1243" s="352"/>
      <c r="AR1243" s="352"/>
      <c r="AS1243" s="352"/>
      <c r="AT1243" s="352"/>
      <c r="AU1243" s="352"/>
      <c r="AV1243" s="352"/>
      <c r="AW1243" s="352" t="s">
        <v>254</v>
      </c>
    </row>
    <row r="1244" spans="2:49" x14ac:dyDescent="0.2">
      <c r="B1244" s="460" t="s">
        <v>2732</v>
      </c>
      <c r="C1244" s="460">
        <v>2122</v>
      </c>
      <c r="D1244" s="460" t="s">
        <v>2363</v>
      </c>
      <c r="E1244" s="460" t="s">
        <v>1137</v>
      </c>
      <c r="F1244" s="460">
        <v>2</v>
      </c>
      <c r="G1244" s="460">
        <v>4</v>
      </c>
      <c r="H1244" s="461" t="s">
        <v>746</v>
      </c>
      <c r="I1244" s="461" t="s">
        <v>762</v>
      </c>
      <c r="J1244" s="461" t="s">
        <v>700</v>
      </c>
      <c r="K1244" s="594"/>
      <c r="L1244" s="594"/>
      <c r="M1244" s="352">
        <v>2000</v>
      </c>
      <c r="N1244" s="352" t="s">
        <v>703</v>
      </c>
      <c r="O1244" s="460">
        <v>2122</v>
      </c>
      <c r="P1244" s="460" t="s">
        <v>1877</v>
      </c>
      <c r="Q1244" s="460" t="s">
        <v>2289</v>
      </c>
      <c r="R1244" s="460">
        <v>2122</v>
      </c>
      <c r="S1244" s="460" t="s">
        <v>1137</v>
      </c>
      <c r="T1244" s="462">
        <v>1</v>
      </c>
      <c r="U1244" s="460" t="s">
        <v>1137</v>
      </c>
      <c r="V1244" s="475">
        <v>0</v>
      </c>
      <c r="W1244" s="463" t="s">
        <v>2268</v>
      </c>
      <c r="X1244" s="463" t="s">
        <v>2268</v>
      </c>
      <c r="Y1244" s="463" t="s">
        <v>2290</v>
      </c>
      <c r="Z1244" s="463"/>
      <c r="AA1244" s="463"/>
      <c r="AB1244" s="464">
        <v>0</v>
      </c>
      <c r="AC1244" s="465">
        <v>0</v>
      </c>
      <c r="AD1244" s="465">
        <v>0</v>
      </c>
      <c r="AE1244" s="476">
        <v>0</v>
      </c>
      <c r="AF1244" s="467">
        <v>0</v>
      </c>
      <c r="AG1244" s="468">
        <v>0</v>
      </c>
      <c r="AH1244" s="218">
        <v>0</v>
      </c>
      <c r="AI1244" s="470">
        <v>0</v>
      </c>
      <c r="AJ1244" s="471">
        <v>0</v>
      </c>
      <c r="AK1244" s="218">
        <v>0</v>
      </c>
      <c r="AL1244" s="470">
        <v>0</v>
      </c>
      <c r="AM1244" s="471">
        <v>0</v>
      </c>
      <c r="AN1244" s="477">
        <v>0</v>
      </c>
      <c r="AO1244" s="473">
        <v>0</v>
      </c>
      <c r="AP1244" s="474">
        <v>0</v>
      </c>
      <c r="AQ1244" s="352"/>
      <c r="AR1244" s="352"/>
      <c r="AS1244" s="352"/>
      <c r="AT1244" s="352"/>
      <c r="AU1244" s="352"/>
      <c r="AV1244" s="352"/>
      <c r="AW1244" s="352" t="s">
        <v>254</v>
      </c>
    </row>
    <row r="1245" spans="2:49" x14ac:dyDescent="0.2">
      <c r="B1245" s="460" t="s">
        <v>2733</v>
      </c>
      <c r="C1245" s="460">
        <v>2122</v>
      </c>
      <c r="D1245" s="460" t="s">
        <v>2364</v>
      </c>
      <c r="E1245" s="460" t="s">
        <v>1138</v>
      </c>
      <c r="F1245" s="460">
        <v>3</v>
      </c>
      <c r="G1245" s="460">
        <v>4</v>
      </c>
      <c r="H1245" s="461" t="s">
        <v>746</v>
      </c>
      <c r="I1245" s="461" t="s">
        <v>762</v>
      </c>
      <c r="J1245" s="461" t="s">
        <v>700</v>
      </c>
      <c r="K1245" s="594"/>
      <c r="L1245" s="594"/>
      <c r="M1245" s="352">
        <v>2000</v>
      </c>
      <c r="N1245" s="352" t="s">
        <v>703</v>
      </c>
      <c r="O1245" s="460">
        <v>2122</v>
      </c>
      <c r="P1245" s="460" t="s">
        <v>1877</v>
      </c>
      <c r="Q1245" s="460" t="s">
        <v>2289</v>
      </c>
      <c r="R1245" s="460">
        <v>2122</v>
      </c>
      <c r="S1245" s="460" t="s">
        <v>1138</v>
      </c>
      <c r="T1245" s="462">
        <v>1</v>
      </c>
      <c r="U1245" s="460" t="s">
        <v>1138</v>
      </c>
      <c r="V1245" s="475">
        <v>0</v>
      </c>
      <c r="W1245" s="463" t="s">
        <v>2268</v>
      </c>
      <c r="X1245" s="463" t="s">
        <v>2268</v>
      </c>
      <c r="Y1245" s="463" t="s">
        <v>2290</v>
      </c>
      <c r="Z1245" s="463"/>
      <c r="AA1245" s="463"/>
      <c r="AB1245" s="464">
        <v>0</v>
      </c>
      <c r="AC1245" s="465">
        <v>0</v>
      </c>
      <c r="AD1245" s="465">
        <v>0</v>
      </c>
      <c r="AE1245" s="476">
        <v>0</v>
      </c>
      <c r="AF1245" s="467">
        <v>0</v>
      </c>
      <c r="AG1245" s="468">
        <v>0</v>
      </c>
      <c r="AH1245" s="218">
        <v>0</v>
      </c>
      <c r="AI1245" s="470">
        <v>0</v>
      </c>
      <c r="AJ1245" s="471">
        <v>0</v>
      </c>
      <c r="AK1245" s="218">
        <v>0</v>
      </c>
      <c r="AL1245" s="470">
        <v>0</v>
      </c>
      <c r="AM1245" s="471">
        <v>0</v>
      </c>
      <c r="AN1245" s="477">
        <v>0</v>
      </c>
      <c r="AO1245" s="473">
        <v>0</v>
      </c>
      <c r="AP1245" s="474">
        <v>0</v>
      </c>
      <c r="AQ1245" s="352"/>
      <c r="AR1245" s="352"/>
      <c r="AS1245" s="352"/>
      <c r="AT1245" s="352"/>
      <c r="AU1245" s="352"/>
      <c r="AV1245" s="352"/>
      <c r="AW1245" s="352" t="s">
        <v>254</v>
      </c>
    </row>
    <row r="1246" spans="2:49" x14ac:dyDescent="0.2">
      <c r="B1246" s="460" t="s">
        <v>2734</v>
      </c>
      <c r="C1246" s="460">
        <v>2122</v>
      </c>
      <c r="D1246" s="460" t="s">
        <v>2365</v>
      </c>
      <c r="E1246" s="460" t="s">
        <v>1139</v>
      </c>
      <c r="F1246" s="460">
        <v>4</v>
      </c>
      <c r="G1246" s="460">
        <v>4</v>
      </c>
      <c r="H1246" s="461" t="s">
        <v>746</v>
      </c>
      <c r="I1246" s="461" t="s">
        <v>762</v>
      </c>
      <c r="J1246" s="461" t="s">
        <v>700</v>
      </c>
      <c r="K1246" s="594"/>
      <c r="L1246" s="594"/>
      <c r="M1246" s="352">
        <v>2000</v>
      </c>
      <c r="N1246" s="352" t="s">
        <v>703</v>
      </c>
      <c r="O1246" s="460">
        <v>2122</v>
      </c>
      <c r="P1246" s="460" t="s">
        <v>1877</v>
      </c>
      <c r="Q1246" s="460" t="s">
        <v>2289</v>
      </c>
      <c r="R1246" s="460">
        <v>2122</v>
      </c>
      <c r="S1246" s="460" t="s">
        <v>1139</v>
      </c>
      <c r="T1246" s="462">
        <v>1</v>
      </c>
      <c r="U1246" s="460" t="s">
        <v>1139</v>
      </c>
      <c r="V1246" s="475">
        <v>0</v>
      </c>
      <c r="W1246" s="463" t="s">
        <v>2268</v>
      </c>
      <c r="X1246" s="463" t="s">
        <v>2268</v>
      </c>
      <c r="Y1246" s="463" t="s">
        <v>2290</v>
      </c>
      <c r="Z1246" s="463"/>
      <c r="AA1246" s="463"/>
      <c r="AB1246" s="464">
        <v>0</v>
      </c>
      <c r="AC1246" s="465">
        <v>0</v>
      </c>
      <c r="AD1246" s="465">
        <v>0</v>
      </c>
      <c r="AE1246" s="476">
        <v>0</v>
      </c>
      <c r="AF1246" s="467">
        <v>0</v>
      </c>
      <c r="AG1246" s="468">
        <v>0</v>
      </c>
      <c r="AH1246" s="218">
        <v>0</v>
      </c>
      <c r="AI1246" s="470">
        <v>0</v>
      </c>
      <c r="AJ1246" s="471">
        <v>0</v>
      </c>
      <c r="AK1246" s="218">
        <v>0</v>
      </c>
      <c r="AL1246" s="470">
        <v>0</v>
      </c>
      <c r="AM1246" s="471">
        <v>0</v>
      </c>
      <c r="AN1246" s="477">
        <v>0</v>
      </c>
      <c r="AO1246" s="473">
        <v>0</v>
      </c>
      <c r="AP1246" s="474">
        <v>0</v>
      </c>
      <c r="AQ1246" s="352"/>
      <c r="AR1246" s="352"/>
      <c r="AS1246" s="352"/>
      <c r="AT1246" s="352"/>
      <c r="AU1246" s="352"/>
      <c r="AV1246" s="352"/>
      <c r="AW1246" s="352" t="s">
        <v>254</v>
      </c>
    </row>
    <row r="1247" spans="2:49" x14ac:dyDescent="0.2">
      <c r="B1247" s="460" t="s">
        <v>2731</v>
      </c>
      <c r="C1247" s="460">
        <v>2122</v>
      </c>
      <c r="D1247" s="460" t="s">
        <v>2366</v>
      </c>
      <c r="E1247" s="460" t="s">
        <v>1136</v>
      </c>
      <c r="F1247" s="460">
        <v>1</v>
      </c>
      <c r="G1247" s="460">
        <v>4</v>
      </c>
      <c r="H1247" s="461" t="s">
        <v>748</v>
      </c>
      <c r="I1247" s="461" t="s">
        <v>765</v>
      </c>
      <c r="J1247" s="461" t="s">
        <v>700</v>
      </c>
      <c r="K1247" s="594"/>
      <c r="L1247" s="594"/>
      <c r="M1247" s="352">
        <v>2000</v>
      </c>
      <c r="N1247" s="352" t="s">
        <v>703</v>
      </c>
      <c r="O1247" s="460">
        <v>2122</v>
      </c>
      <c r="P1247" s="460" t="s">
        <v>1877</v>
      </c>
      <c r="Q1247" s="460" t="s">
        <v>2266</v>
      </c>
      <c r="R1247" s="460">
        <v>2122</v>
      </c>
      <c r="S1247" s="460" t="s">
        <v>1136</v>
      </c>
      <c r="T1247" s="462">
        <v>1</v>
      </c>
      <c r="U1247" s="460" t="s">
        <v>1136</v>
      </c>
      <c r="V1247" s="475">
        <v>0</v>
      </c>
      <c r="W1247" s="463" t="s">
        <v>2268</v>
      </c>
      <c r="X1247" s="463" t="s">
        <v>2268</v>
      </c>
      <c r="Y1247" s="463" t="s">
        <v>2267</v>
      </c>
      <c r="Z1247" s="463"/>
      <c r="AA1247" s="463"/>
      <c r="AB1247" s="464">
        <v>0</v>
      </c>
      <c r="AC1247" s="465">
        <v>0</v>
      </c>
      <c r="AD1247" s="465">
        <v>0</v>
      </c>
      <c r="AE1247" s="476">
        <v>0</v>
      </c>
      <c r="AF1247" s="467">
        <v>0</v>
      </c>
      <c r="AG1247" s="468">
        <v>0</v>
      </c>
      <c r="AH1247" s="218">
        <v>0</v>
      </c>
      <c r="AI1247" s="470">
        <v>0</v>
      </c>
      <c r="AJ1247" s="471">
        <v>0</v>
      </c>
      <c r="AK1247" s="218">
        <v>0</v>
      </c>
      <c r="AL1247" s="470">
        <v>0</v>
      </c>
      <c r="AM1247" s="471">
        <v>0</v>
      </c>
      <c r="AN1247" s="477">
        <v>22.184019008035861</v>
      </c>
      <c r="AO1247" s="473">
        <v>0.25643748668276356</v>
      </c>
      <c r="AP1247" s="474">
        <v>2.7256342878287546E-2</v>
      </c>
      <c r="AQ1247" s="352"/>
      <c r="AR1247" s="352"/>
      <c r="AS1247" s="352"/>
      <c r="AT1247" s="352"/>
      <c r="AU1247" s="352"/>
      <c r="AV1247" s="352"/>
      <c r="AW1247" s="352" t="s">
        <v>254</v>
      </c>
    </row>
    <row r="1248" spans="2:49" x14ac:dyDescent="0.2">
      <c r="B1248" s="460" t="s">
        <v>2732</v>
      </c>
      <c r="C1248" s="460">
        <v>2122</v>
      </c>
      <c r="D1248" s="460" t="s">
        <v>2367</v>
      </c>
      <c r="E1248" s="460" t="s">
        <v>1137</v>
      </c>
      <c r="F1248" s="460">
        <v>2</v>
      </c>
      <c r="G1248" s="460">
        <v>4</v>
      </c>
      <c r="H1248" s="461" t="s">
        <v>748</v>
      </c>
      <c r="I1248" s="461" t="s">
        <v>765</v>
      </c>
      <c r="J1248" s="461" t="s">
        <v>700</v>
      </c>
      <c r="K1248" s="594"/>
      <c r="L1248" s="594"/>
      <c r="M1248" s="352">
        <v>2000</v>
      </c>
      <c r="N1248" s="352" t="s">
        <v>703</v>
      </c>
      <c r="O1248" s="460">
        <v>2122</v>
      </c>
      <c r="P1248" s="460" t="s">
        <v>1877</v>
      </c>
      <c r="Q1248" s="460" t="s">
        <v>2266</v>
      </c>
      <c r="R1248" s="460">
        <v>2122</v>
      </c>
      <c r="S1248" s="460" t="s">
        <v>1137</v>
      </c>
      <c r="T1248" s="462">
        <v>1</v>
      </c>
      <c r="U1248" s="460" t="s">
        <v>1137</v>
      </c>
      <c r="V1248" s="475">
        <v>0</v>
      </c>
      <c r="W1248" s="463" t="s">
        <v>2268</v>
      </c>
      <c r="X1248" s="463" t="s">
        <v>2268</v>
      </c>
      <c r="Y1248" s="463" t="s">
        <v>2267</v>
      </c>
      <c r="Z1248" s="463"/>
      <c r="AA1248" s="463"/>
      <c r="AB1248" s="464">
        <v>0</v>
      </c>
      <c r="AC1248" s="465">
        <v>0</v>
      </c>
      <c r="AD1248" s="465">
        <v>0</v>
      </c>
      <c r="AE1248" s="476">
        <v>0</v>
      </c>
      <c r="AF1248" s="467">
        <v>0</v>
      </c>
      <c r="AG1248" s="468">
        <v>0</v>
      </c>
      <c r="AH1248" s="218">
        <v>0</v>
      </c>
      <c r="AI1248" s="470">
        <v>0</v>
      </c>
      <c r="AJ1248" s="471">
        <v>0</v>
      </c>
      <c r="AK1248" s="218">
        <v>0</v>
      </c>
      <c r="AL1248" s="470">
        <v>0</v>
      </c>
      <c r="AM1248" s="471">
        <v>0</v>
      </c>
      <c r="AN1248" s="477">
        <v>62.98456892907663</v>
      </c>
      <c r="AO1248" s="473">
        <v>0.23939922885314491</v>
      </c>
      <c r="AP1248" s="474">
        <v>6.0667435040144109E-2</v>
      </c>
      <c r="AQ1248" s="352"/>
      <c r="AR1248" s="352"/>
      <c r="AS1248" s="352"/>
      <c r="AT1248" s="352"/>
      <c r="AU1248" s="352"/>
      <c r="AV1248" s="352"/>
      <c r="AW1248" s="352" t="s">
        <v>254</v>
      </c>
    </row>
    <row r="1249" spans="2:49" x14ac:dyDescent="0.2">
      <c r="B1249" s="460" t="s">
        <v>2733</v>
      </c>
      <c r="C1249" s="460">
        <v>2122</v>
      </c>
      <c r="D1249" s="460" t="s">
        <v>2368</v>
      </c>
      <c r="E1249" s="460" t="s">
        <v>1138</v>
      </c>
      <c r="F1249" s="460">
        <v>3</v>
      </c>
      <c r="G1249" s="460">
        <v>4</v>
      </c>
      <c r="H1249" s="461" t="s">
        <v>748</v>
      </c>
      <c r="I1249" s="461" t="s">
        <v>765</v>
      </c>
      <c r="J1249" s="461" t="s">
        <v>700</v>
      </c>
      <c r="K1249" s="594"/>
      <c r="L1249" s="594"/>
      <c r="M1249" s="352">
        <v>2000</v>
      </c>
      <c r="N1249" s="352" t="s">
        <v>703</v>
      </c>
      <c r="O1249" s="460">
        <v>2122</v>
      </c>
      <c r="P1249" s="460" t="s">
        <v>1877</v>
      </c>
      <c r="Q1249" s="460" t="s">
        <v>2266</v>
      </c>
      <c r="R1249" s="460">
        <v>2122</v>
      </c>
      <c r="S1249" s="460" t="s">
        <v>1138</v>
      </c>
      <c r="T1249" s="462">
        <v>1</v>
      </c>
      <c r="U1249" s="460" t="s">
        <v>1138</v>
      </c>
      <c r="V1249" s="475">
        <v>0</v>
      </c>
      <c r="W1249" s="463" t="s">
        <v>2268</v>
      </c>
      <c r="X1249" s="463" t="s">
        <v>2268</v>
      </c>
      <c r="Y1249" s="463" t="s">
        <v>2267</v>
      </c>
      <c r="Z1249" s="463"/>
      <c r="AA1249" s="463"/>
      <c r="AB1249" s="464">
        <v>0</v>
      </c>
      <c r="AC1249" s="465">
        <v>0</v>
      </c>
      <c r="AD1249" s="465">
        <v>0</v>
      </c>
      <c r="AE1249" s="476">
        <v>0</v>
      </c>
      <c r="AF1249" s="467">
        <v>0</v>
      </c>
      <c r="AG1249" s="468">
        <v>0</v>
      </c>
      <c r="AH1249" s="218">
        <v>0</v>
      </c>
      <c r="AI1249" s="470">
        <v>0</v>
      </c>
      <c r="AJ1249" s="471">
        <v>0</v>
      </c>
      <c r="AK1249" s="218">
        <v>0</v>
      </c>
      <c r="AL1249" s="470">
        <v>0</v>
      </c>
      <c r="AM1249" s="471">
        <v>0</v>
      </c>
      <c r="AN1249" s="477">
        <v>47.604458740312566</v>
      </c>
      <c r="AO1249" s="473">
        <v>0.30405138894205569</v>
      </c>
      <c r="AP1249" s="474">
        <v>4.9392029761335027E-2</v>
      </c>
      <c r="AQ1249" s="352"/>
      <c r="AR1249" s="352"/>
      <c r="AS1249" s="352"/>
      <c r="AT1249" s="352"/>
      <c r="AU1249" s="352"/>
      <c r="AV1249" s="352"/>
      <c r="AW1249" s="352" t="s">
        <v>254</v>
      </c>
    </row>
    <row r="1250" spans="2:49" x14ac:dyDescent="0.2">
      <c r="B1250" s="460" t="s">
        <v>2734</v>
      </c>
      <c r="C1250" s="460">
        <v>2122</v>
      </c>
      <c r="D1250" s="460" t="s">
        <v>2369</v>
      </c>
      <c r="E1250" s="460" t="s">
        <v>1139</v>
      </c>
      <c r="F1250" s="460">
        <v>4</v>
      </c>
      <c r="G1250" s="460">
        <v>4</v>
      </c>
      <c r="H1250" s="461" t="s">
        <v>748</v>
      </c>
      <c r="I1250" s="461" t="s">
        <v>765</v>
      </c>
      <c r="J1250" s="461" t="s">
        <v>700</v>
      </c>
      <c r="K1250" s="594"/>
      <c r="L1250" s="594"/>
      <c r="M1250" s="352">
        <v>2000</v>
      </c>
      <c r="N1250" s="352" t="s">
        <v>703</v>
      </c>
      <c r="O1250" s="460">
        <v>2122</v>
      </c>
      <c r="P1250" s="460" t="s">
        <v>1877</v>
      </c>
      <c r="Q1250" s="460" t="s">
        <v>2266</v>
      </c>
      <c r="R1250" s="460">
        <v>2122</v>
      </c>
      <c r="S1250" s="460" t="s">
        <v>1139</v>
      </c>
      <c r="T1250" s="462">
        <v>1</v>
      </c>
      <c r="U1250" s="460" t="s">
        <v>1139</v>
      </c>
      <c r="V1250" s="475">
        <v>0</v>
      </c>
      <c r="W1250" s="463" t="s">
        <v>2268</v>
      </c>
      <c r="X1250" s="463" t="s">
        <v>2268</v>
      </c>
      <c r="Y1250" s="463" t="s">
        <v>2267</v>
      </c>
      <c r="Z1250" s="463"/>
      <c r="AA1250" s="463"/>
      <c r="AB1250" s="464">
        <v>0</v>
      </c>
      <c r="AC1250" s="465">
        <v>0</v>
      </c>
      <c r="AD1250" s="465">
        <v>0</v>
      </c>
      <c r="AE1250" s="476">
        <v>0</v>
      </c>
      <c r="AF1250" s="467">
        <v>0</v>
      </c>
      <c r="AG1250" s="468">
        <v>0</v>
      </c>
      <c r="AH1250" s="218">
        <v>0</v>
      </c>
      <c r="AI1250" s="470">
        <v>0</v>
      </c>
      <c r="AJ1250" s="471">
        <v>0</v>
      </c>
      <c r="AK1250" s="218">
        <v>0</v>
      </c>
      <c r="AL1250" s="470">
        <v>0</v>
      </c>
      <c r="AM1250" s="471">
        <v>0</v>
      </c>
      <c r="AN1250" s="477">
        <v>0</v>
      </c>
      <c r="AO1250" s="473">
        <v>0</v>
      </c>
      <c r="AP1250" s="474">
        <v>0</v>
      </c>
      <c r="AQ1250" s="352"/>
      <c r="AR1250" s="352"/>
      <c r="AS1250" s="352"/>
      <c r="AT1250" s="352"/>
      <c r="AU1250" s="352"/>
      <c r="AV1250" s="352"/>
      <c r="AW1250" s="352" t="s">
        <v>254</v>
      </c>
    </row>
    <row r="1251" spans="2:49" x14ac:dyDescent="0.2">
      <c r="B1251" s="460" t="s">
        <v>2731</v>
      </c>
      <c r="C1251" s="460">
        <v>2122</v>
      </c>
      <c r="D1251" s="460" t="s">
        <v>2370</v>
      </c>
      <c r="E1251" s="460" t="s">
        <v>1136</v>
      </c>
      <c r="F1251" s="460">
        <v>1</v>
      </c>
      <c r="G1251" s="460">
        <v>4</v>
      </c>
      <c r="H1251" s="461" t="s">
        <v>752</v>
      </c>
      <c r="I1251" s="461" t="s">
        <v>964</v>
      </c>
      <c r="J1251" s="461" t="s">
        <v>752</v>
      </c>
      <c r="K1251" s="594"/>
      <c r="L1251" s="594"/>
      <c r="M1251" s="352">
        <v>2000</v>
      </c>
      <c r="N1251" s="352" t="s">
        <v>703</v>
      </c>
      <c r="O1251" s="460">
        <v>2122</v>
      </c>
      <c r="P1251" s="460" t="s">
        <v>1877</v>
      </c>
      <c r="Q1251" s="460" t="s">
        <v>2266</v>
      </c>
      <c r="R1251" s="460">
        <v>2122</v>
      </c>
      <c r="S1251" s="460" t="s">
        <v>1136</v>
      </c>
      <c r="T1251" s="462">
        <v>1</v>
      </c>
      <c r="U1251" s="460" t="s">
        <v>1136</v>
      </c>
      <c r="V1251" s="475">
        <v>0</v>
      </c>
      <c r="W1251" s="463" t="s">
        <v>2267</v>
      </c>
      <c r="X1251" s="463" t="s">
        <v>2267</v>
      </c>
      <c r="Y1251" s="463" t="s">
        <v>2267</v>
      </c>
      <c r="Z1251" s="463"/>
      <c r="AA1251" s="463"/>
      <c r="AB1251" s="464">
        <v>8.8176968734096146</v>
      </c>
      <c r="AC1251" s="465">
        <v>0.10192869126773373</v>
      </c>
      <c r="AD1251" s="465">
        <v>2.8555083448263668E-3</v>
      </c>
      <c r="AE1251" s="476">
        <v>8.8176968734096146</v>
      </c>
      <c r="AF1251" s="467">
        <v>0.10192869126773373</v>
      </c>
      <c r="AG1251" s="468">
        <v>2.8555083448263668E-3</v>
      </c>
      <c r="AH1251" s="218">
        <v>8.8176968734096146</v>
      </c>
      <c r="AI1251" s="470">
        <v>0.10192869126773373</v>
      </c>
      <c r="AJ1251" s="471">
        <v>2.4107117439604907E-3</v>
      </c>
      <c r="AK1251" s="218">
        <v>8.8176968734096146</v>
      </c>
      <c r="AL1251" s="470">
        <v>0.10192869126773373</v>
      </c>
      <c r="AM1251" s="471">
        <v>2.4107117439604907E-3</v>
      </c>
      <c r="AN1251" s="477">
        <v>8.8176968734096146</v>
      </c>
      <c r="AO1251" s="473">
        <v>0.10192869126773373</v>
      </c>
      <c r="AP1251" s="474">
        <v>2.4107117439604907E-3</v>
      </c>
      <c r="AQ1251" s="352"/>
      <c r="AR1251" s="352"/>
      <c r="AS1251" s="352"/>
      <c r="AT1251" s="352"/>
      <c r="AU1251" s="352"/>
      <c r="AV1251" s="352"/>
      <c r="AW1251" s="352" t="s">
        <v>254</v>
      </c>
    </row>
    <row r="1252" spans="2:49" x14ac:dyDescent="0.2">
      <c r="B1252" s="460" t="s">
        <v>2732</v>
      </c>
      <c r="C1252" s="460">
        <v>2122</v>
      </c>
      <c r="D1252" s="460" t="s">
        <v>2371</v>
      </c>
      <c r="E1252" s="460" t="s">
        <v>1137</v>
      </c>
      <c r="F1252" s="460">
        <v>2</v>
      </c>
      <c r="G1252" s="460">
        <v>4</v>
      </c>
      <c r="H1252" s="461" t="s">
        <v>752</v>
      </c>
      <c r="I1252" s="461" t="s">
        <v>964</v>
      </c>
      <c r="J1252" s="461" t="s">
        <v>752</v>
      </c>
      <c r="K1252" s="594"/>
      <c r="L1252" s="594"/>
      <c r="M1252" s="352">
        <v>2000</v>
      </c>
      <c r="N1252" s="352" t="s">
        <v>703</v>
      </c>
      <c r="O1252" s="460">
        <v>2122</v>
      </c>
      <c r="P1252" s="460" t="s">
        <v>1877</v>
      </c>
      <c r="Q1252" s="460" t="s">
        <v>2266</v>
      </c>
      <c r="R1252" s="460">
        <v>2122</v>
      </c>
      <c r="S1252" s="460" t="s">
        <v>1137</v>
      </c>
      <c r="T1252" s="462">
        <v>1</v>
      </c>
      <c r="U1252" s="460" t="s">
        <v>1137</v>
      </c>
      <c r="V1252" s="475">
        <v>0</v>
      </c>
      <c r="W1252" s="463" t="s">
        <v>2267</v>
      </c>
      <c r="X1252" s="463" t="s">
        <v>2267</v>
      </c>
      <c r="Y1252" s="463" t="s">
        <v>2267</v>
      </c>
      <c r="Z1252" s="463"/>
      <c r="AA1252" s="463"/>
      <c r="AB1252" s="464">
        <v>3.6152136900671947</v>
      </c>
      <c r="AC1252" s="465">
        <v>1.3741133491220466E-2</v>
      </c>
      <c r="AD1252" s="465">
        <v>3.5374482856458383E-4</v>
      </c>
      <c r="AE1252" s="476">
        <v>3.6152136900671947</v>
      </c>
      <c r="AF1252" s="467">
        <v>1.3741133491220466E-2</v>
      </c>
      <c r="AG1252" s="468">
        <v>3.5374482856458383E-4</v>
      </c>
      <c r="AH1252" s="218">
        <v>3.6152136900671947</v>
      </c>
      <c r="AI1252" s="470">
        <v>1.3741133491220466E-2</v>
      </c>
      <c r="AJ1252" s="471">
        <v>3.507032811678317E-4</v>
      </c>
      <c r="AK1252" s="218">
        <v>3.6152136900671947</v>
      </c>
      <c r="AL1252" s="470">
        <v>1.3741133491220466E-2</v>
      </c>
      <c r="AM1252" s="471">
        <v>3.507032811678317E-4</v>
      </c>
      <c r="AN1252" s="477">
        <v>3.6152136900671947</v>
      </c>
      <c r="AO1252" s="473">
        <v>1.3741133491220466E-2</v>
      </c>
      <c r="AP1252" s="474">
        <v>3.507032811678317E-4</v>
      </c>
      <c r="AQ1252" s="352"/>
      <c r="AR1252" s="352"/>
      <c r="AS1252" s="352"/>
      <c r="AT1252" s="352"/>
      <c r="AU1252" s="352"/>
      <c r="AV1252" s="352"/>
      <c r="AW1252" s="352" t="s">
        <v>254</v>
      </c>
    </row>
    <row r="1253" spans="2:49" x14ac:dyDescent="0.2">
      <c r="B1253" s="460" t="s">
        <v>2733</v>
      </c>
      <c r="C1253" s="460">
        <v>2122</v>
      </c>
      <c r="D1253" s="460" t="s">
        <v>2372</v>
      </c>
      <c r="E1253" s="460" t="s">
        <v>1138</v>
      </c>
      <c r="F1253" s="460">
        <v>3</v>
      </c>
      <c r="G1253" s="460">
        <v>4</v>
      </c>
      <c r="H1253" s="461" t="s">
        <v>752</v>
      </c>
      <c r="I1253" s="461" t="s">
        <v>964</v>
      </c>
      <c r="J1253" s="461" t="s">
        <v>752</v>
      </c>
      <c r="K1253" s="594"/>
      <c r="L1253" s="594"/>
      <c r="M1253" s="352">
        <v>2000</v>
      </c>
      <c r="N1253" s="352" t="s">
        <v>703</v>
      </c>
      <c r="O1253" s="460">
        <v>2122</v>
      </c>
      <c r="P1253" s="460" t="s">
        <v>1877</v>
      </c>
      <c r="Q1253" s="460" t="s">
        <v>2266</v>
      </c>
      <c r="R1253" s="460">
        <v>2122</v>
      </c>
      <c r="S1253" s="460" t="s">
        <v>1138</v>
      </c>
      <c r="T1253" s="462">
        <v>1</v>
      </c>
      <c r="U1253" s="460" t="s">
        <v>1138</v>
      </c>
      <c r="V1253" s="475">
        <v>0</v>
      </c>
      <c r="W1253" s="463" t="s">
        <v>2267</v>
      </c>
      <c r="X1253" s="463" t="s">
        <v>2267</v>
      </c>
      <c r="Y1253" s="463" t="s">
        <v>2267</v>
      </c>
      <c r="Z1253" s="463"/>
      <c r="AA1253" s="463"/>
      <c r="AB1253" s="464">
        <v>15.389215250813473</v>
      </c>
      <c r="AC1253" s="465">
        <v>9.8291470915847667E-2</v>
      </c>
      <c r="AD1253" s="465">
        <v>2.6580782717601772E-3</v>
      </c>
      <c r="AE1253" s="476">
        <v>15.389215250813473</v>
      </c>
      <c r="AF1253" s="467">
        <v>9.8291470915847667E-2</v>
      </c>
      <c r="AG1253" s="468">
        <v>2.6580782717601772E-3</v>
      </c>
      <c r="AH1253" s="218">
        <v>15.389215250813473</v>
      </c>
      <c r="AI1253" s="470">
        <v>9.8291470915847667E-2</v>
      </c>
      <c r="AJ1253" s="471">
        <v>2.5531193343748771E-3</v>
      </c>
      <c r="AK1253" s="218">
        <v>15.389215250813473</v>
      </c>
      <c r="AL1253" s="470">
        <v>9.8291470915847667E-2</v>
      </c>
      <c r="AM1253" s="471">
        <v>2.5531193343748771E-3</v>
      </c>
      <c r="AN1253" s="477">
        <v>15.389215250813473</v>
      </c>
      <c r="AO1253" s="473">
        <v>9.8291470915847667E-2</v>
      </c>
      <c r="AP1253" s="474">
        <v>2.5531193343748771E-3</v>
      </c>
      <c r="AQ1253" s="352"/>
      <c r="AR1253" s="352"/>
      <c r="AS1253" s="352"/>
      <c r="AT1253" s="352"/>
      <c r="AU1253" s="352"/>
      <c r="AV1253" s="352"/>
      <c r="AW1253" s="352" t="s">
        <v>254</v>
      </c>
    </row>
    <row r="1254" spans="2:49" x14ac:dyDescent="0.2">
      <c r="B1254" s="460" t="s">
        <v>2734</v>
      </c>
      <c r="C1254" s="460">
        <v>2122</v>
      </c>
      <c r="D1254" s="460" t="s">
        <v>2373</v>
      </c>
      <c r="E1254" s="460" t="s">
        <v>1139</v>
      </c>
      <c r="F1254" s="460">
        <v>4</v>
      </c>
      <c r="G1254" s="460">
        <v>4</v>
      </c>
      <c r="H1254" s="461" t="s">
        <v>752</v>
      </c>
      <c r="I1254" s="461" t="s">
        <v>964</v>
      </c>
      <c r="J1254" s="461" t="s">
        <v>752</v>
      </c>
      <c r="K1254" s="594"/>
      <c r="L1254" s="594"/>
      <c r="M1254" s="352">
        <v>2000</v>
      </c>
      <c r="N1254" s="352" t="s">
        <v>703</v>
      </c>
      <c r="O1254" s="460">
        <v>2122</v>
      </c>
      <c r="P1254" s="460" t="s">
        <v>1877</v>
      </c>
      <c r="Q1254" s="460" t="s">
        <v>2266</v>
      </c>
      <c r="R1254" s="460">
        <v>2122</v>
      </c>
      <c r="S1254" s="460" t="s">
        <v>1139</v>
      </c>
      <c r="T1254" s="462">
        <v>1</v>
      </c>
      <c r="U1254" s="460" t="s">
        <v>1139</v>
      </c>
      <c r="V1254" s="475">
        <v>0</v>
      </c>
      <c r="W1254" s="463" t="s">
        <v>2267</v>
      </c>
      <c r="X1254" s="463" t="s">
        <v>2267</v>
      </c>
      <c r="Y1254" s="463" t="s">
        <v>2267</v>
      </c>
      <c r="Z1254" s="463"/>
      <c r="AA1254" s="463"/>
      <c r="AB1254" s="464">
        <v>223.3373171154937</v>
      </c>
      <c r="AC1254" s="465">
        <v>0.6779489744687337</v>
      </c>
      <c r="AD1254" s="465">
        <v>8.9038497775830103E-3</v>
      </c>
      <c r="AE1254" s="476">
        <v>223.3373171154937</v>
      </c>
      <c r="AF1254" s="467">
        <v>0.6779489744687337</v>
      </c>
      <c r="AG1254" s="468">
        <v>8.9038497775830103E-3</v>
      </c>
      <c r="AH1254" s="218">
        <v>223.3373171154937</v>
      </c>
      <c r="AI1254" s="470">
        <v>0.6779489744687337</v>
      </c>
      <c r="AJ1254" s="471">
        <v>8.2764011313754202E-3</v>
      </c>
      <c r="AK1254" s="218">
        <v>223.3373171154937</v>
      </c>
      <c r="AL1254" s="470">
        <v>0.6779489744687337</v>
      </c>
      <c r="AM1254" s="471">
        <v>8.2764011313754202E-3</v>
      </c>
      <c r="AN1254" s="477">
        <v>223.3373171154937</v>
      </c>
      <c r="AO1254" s="473">
        <v>0.6779489744687337</v>
      </c>
      <c r="AP1254" s="474">
        <v>8.2764011313754202E-3</v>
      </c>
      <c r="AQ1254" s="352"/>
      <c r="AR1254" s="352"/>
      <c r="AS1254" s="352"/>
      <c r="AT1254" s="352"/>
      <c r="AU1254" s="352"/>
      <c r="AV1254" s="352"/>
      <c r="AW1254" s="352" t="s">
        <v>254</v>
      </c>
    </row>
    <row r="1255" spans="2:49" x14ac:dyDescent="0.2">
      <c r="B1255" s="460" t="s">
        <v>2735</v>
      </c>
      <c r="C1255" s="460">
        <v>2122</v>
      </c>
      <c r="D1255" s="460" t="s">
        <v>2375</v>
      </c>
      <c r="E1255" s="460" t="s">
        <v>2376</v>
      </c>
      <c r="F1255" s="460">
        <v>1</v>
      </c>
      <c r="G1255" s="460">
        <v>5</v>
      </c>
      <c r="H1255" s="461" t="s">
        <v>754</v>
      </c>
      <c r="I1255" s="461" t="s">
        <v>1991</v>
      </c>
      <c r="J1255" s="461" t="s">
        <v>754</v>
      </c>
      <c r="K1255" s="594"/>
      <c r="L1255" s="594"/>
      <c r="M1255" s="352">
        <v>2000</v>
      </c>
      <c r="N1255" s="352" t="s">
        <v>703</v>
      </c>
      <c r="O1255" s="460">
        <v>2122</v>
      </c>
      <c r="P1255" s="460" t="s">
        <v>1877</v>
      </c>
      <c r="Q1255" s="460" t="s">
        <v>2377</v>
      </c>
      <c r="R1255" s="460">
        <v>2122</v>
      </c>
      <c r="S1255" s="460" t="s">
        <v>2376</v>
      </c>
      <c r="T1255" s="462">
        <v>1</v>
      </c>
      <c r="U1255" s="460" t="s">
        <v>2376</v>
      </c>
      <c r="V1255" s="475">
        <v>0</v>
      </c>
      <c r="W1255" s="463" t="s">
        <v>2278</v>
      </c>
      <c r="X1255" s="463" t="s">
        <v>2278</v>
      </c>
      <c r="Y1255" s="463" t="s">
        <v>2278</v>
      </c>
      <c r="Z1255" s="463"/>
      <c r="AA1255" s="463"/>
      <c r="AB1255" s="464">
        <v>1006.1199293928519</v>
      </c>
      <c r="AC1255" s="465">
        <v>1</v>
      </c>
      <c r="AD1255" s="465">
        <v>1.6913930800475053E-3</v>
      </c>
      <c r="AE1255" s="476">
        <v>1006.1199293928519</v>
      </c>
      <c r="AF1255" s="467">
        <v>1</v>
      </c>
      <c r="AG1255" s="468">
        <v>1.6913930800475053E-3</v>
      </c>
      <c r="AH1255" s="218">
        <v>1006.1199293928519</v>
      </c>
      <c r="AI1255" s="470">
        <v>1</v>
      </c>
      <c r="AJ1255" s="471">
        <v>1.6913930800475053E-3</v>
      </c>
      <c r="AK1255" s="218">
        <v>1006.1199293928519</v>
      </c>
      <c r="AL1255" s="470">
        <v>1</v>
      </c>
      <c r="AM1255" s="471">
        <v>1.6913930800475053E-3</v>
      </c>
      <c r="AN1255" s="477">
        <v>1006.1199293928519</v>
      </c>
      <c r="AO1255" s="473">
        <v>1</v>
      </c>
      <c r="AP1255" s="474">
        <v>1.6913930800475053E-3</v>
      </c>
      <c r="AQ1255" s="352"/>
      <c r="AR1255" s="352"/>
      <c r="AS1255" s="352"/>
      <c r="AT1255" s="352"/>
      <c r="AU1255" s="352"/>
      <c r="AV1255" s="352"/>
      <c r="AW1255" s="352" t="s">
        <v>127</v>
      </c>
    </row>
    <row r="1256" spans="2:49" x14ac:dyDescent="0.2">
      <c r="B1256" s="460" t="s">
        <v>2736</v>
      </c>
      <c r="C1256" s="460">
        <v>2122</v>
      </c>
      <c r="D1256" s="460" t="s">
        <v>2379</v>
      </c>
      <c r="E1256" s="460" t="s">
        <v>2380</v>
      </c>
      <c r="F1256" s="460">
        <v>2</v>
      </c>
      <c r="G1256" s="460">
        <v>5</v>
      </c>
      <c r="H1256" s="461" t="s">
        <v>754</v>
      </c>
      <c r="I1256" s="461" t="s">
        <v>1991</v>
      </c>
      <c r="J1256" s="461" t="s">
        <v>754</v>
      </c>
      <c r="K1256" s="594"/>
      <c r="L1256" s="594"/>
      <c r="M1256" s="352">
        <v>2000</v>
      </c>
      <c r="N1256" s="352" t="s">
        <v>703</v>
      </c>
      <c r="O1256" s="460">
        <v>2122</v>
      </c>
      <c r="P1256" s="460" t="s">
        <v>1877</v>
      </c>
      <c r="Q1256" s="460" t="s">
        <v>2377</v>
      </c>
      <c r="R1256" s="460">
        <v>2122</v>
      </c>
      <c r="S1256" s="460" t="s">
        <v>2380</v>
      </c>
      <c r="T1256" s="462">
        <v>1</v>
      </c>
      <c r="U1256" s="460" t="s">
        <v>2380</v>
      </c>
      <c r="V1256" s="475">
        <v>0</v>
      </c>
      <c r="W1256" s="463" t="s">
        <v>2278</v>
      </c>
      <c r="X1256" s="463" t="s">
        <v>2278</v>
      </c>
      <c r="Y1256" s="463" t="s">
        <v>2278</v>
      </c>
      <c r="Z1256" s="463"/>
      <c r="AA1256" s="463"/>
      <c r="AB1256" s="464">
        <v>687.23228122733804</v>
      </c>
      <c r="AC1256" s="465">
        <v>1</v>
      </c>
      <c r="AD1256" s="465">
        <v>1.3533003510803796E-3</v>
      </c>
      <c r="AE1256" s="476">
        <v>687.23228122733804</v>
      </c>
      <c r="AF1256" s="467">
        <v>1</v>
      </c>
      <c r="AG1256" s="468">
        <v>1.3533003510803796E-3</v>
      </c>
      <c r="AH1256" s="218">
        <v>687.23228122733804</v>
      </c>
      <c r="AI1256" s="470">
        <v>1</v>
      </c>
      <c r="AJ1256" s="471">
        <v>1.3533003510803796E-3</v>
      </c>
      <c r="AK1256" s="218">
        <v>687.23228122733804</v>
      </c>
      <c r="AL1256" s="470">
        <v>1</v>
      </c>
      <c r="AM1256" s="471">
        <v>1.3533003510803796E-3</v>
      </c>
      <c r="AN1256" s="477">
        <v>687.23228122733804</v>
      </c>
      <c r="AO1256" s="473">
        <v>1</v>
      </c>
      <c r="AP1256" s="474">
        <v>1.3533003510803796E-3</v>
      </c>
      <c r="AQ1256" s="352"/>
      <c r="AR1256" s="352"/>
      <c r="AS1256" s="352"/>
      <c r="AT1256" s="352"/>
      <c r="AU1256" s="352"/>
      <c r="AV1256" s="352"/>
      <c r="AW1256" s="352" t="s">
        <v>127</v>
      </c>
    </row>
    <row r="1257" spans="2:49" x14ac:dyDescent="0.2">
      <c r="B1257" s="460" t="s">
        <v>2737</v>
      </c>
      <c r="C1257" s="460">
        <v>2122</v>
      </c>
      <c r="D1257" s="460" t="s">
        <v>2382</v>
      </c>
      <c r="E1257" s="460" t="s">
        <v>2383</v>
      </c>
      <c r="F1257" s="460">
        <v>3</v>
      </c>
      <c r="G1257" s="460">
        <v>5</v>
      </c>
      <c r="H1257" s="461" t="s">
        <v>754</v>
      </c>
      <c r="I1257" s="461" t="s">
        <v>1991</v>
      </c>
      <c r="J1257" s="461" t="s">
        <v>754</v>
      </c>
      <c r="K1257" s="594"/>
      <c r="L1257" s="594"/>
      <c r="M1257" s="352">
        <v>2000</v>
      </c>
      <c r="N1257" s="352" t="s">
        <v>703</v>
      </c>
      <c r="O1257" s="460">
        <v>2122</v>
      </c>
      <c r="P1257" s="460" t="s">
        <v>1877</v>
      </c>
      <c r="Q1257" s="460" t="s">
        <v>2377</v>
      </c>
      <c r="R1257" s="460">
        <v>2122</v>
      </c>
      <c r="S1257" s="460" t="s">
        <v>2383</v>
      </c>
      <c r="T1257" s="462">
        <v>1</v>
      </c>
      <c r="U1257" s="460" t="s">
        <v>2383</v>
      </c>
      <c r="V1257" s="475">
        <v>0</v>
      </c>
      <c r="W1257" s="463" t="s">
        <v>2278</v>
      </c>
      <c r="X1257" s="463" t="s">
        <v>2278</v>
      </c>
      <c r="Y1257" s="463" t="s">
        <v>2278</v>
      </c>
      <c r="Z1257" s="463"/>
      <c r="AA1257" s="463"/>
      <c r="AB1257" s="464">
        <v>109.61942939621507</v>
      </c>
      <c r="AC1257" s="465">
        <v>1</v>
      </c>
      <c r="AD1257" s="465">
        <v>9.7436963193507479E-4</v>
      </c>
      <c r="AE1257" s="476">
        <v>109.61942939621507</v>
      </c>
      <c r="AF1257" s="467">
        <v>1</v>
      </c>
      <c r="AG1257" s="468">
        <v>9.7436963193507479E-4</v>
      </c>
      <c r="AH1257" s="218">
        <v>109.61942939621507</v>
      </c>
      <c r="AI1257" s="470">
        <v>1</v>
      </c>
      <c r="AJ1257" s="471">
        <v>9.7436963193507479E-4</v>
      </c>
      <c r="AK1257" s="218">
        <v>109.61942939621507</v>
      </c>
      <c r="AL1257" s="470">
        <v>1</v>
      </c>
      <c r="AM1257" s="471">
        <v>9.7436963193507479E-4</v>
      </c>
      <c r="AN1257" s="477">
        <v>109.61942939621507</v>
      </c>
      <c r="AO1257" s="473">
        <v>1</v>
      </c>
      <c r="AP1257" s="474">
        <v>9.7436963193507479E-4</v>
      </c>
      <c r="AQ1257" s="352"/>
      <c r="AR1257" s="352"/>
      <c r="AS1257" s="352"/>
      <c r="AT1257" s="352"/>
      <c r="AU1257" s="352"/>
      <c r="AV1257" s="352"/>
      <c r="AW1257" s="352" t="s">
        <v>127</v>
      </c>
    </row>
    <row r="1258" spans="2:49" x14ac:dyDescent="0.2">
      <c r="B1258" s="460" t="s">
        <v>2738</v>
      </c>
      <c r="C1258" s="460">
        <v>2122</v>
      </c>
      <c r="D1258" s="460" t="s">
        <v>2385</v>
      </c>
      <c r="E1258" s="460" t="s">
        <v>2386</v>
      </c>
      <c r="F1258" s="460">
        <v>4</v>
      </c>
      <c r="G1258" s="460">
        <v>5</v>
      </c>
      <c r="H1258" s="461" t="s">
        <v>754</v>
      </c>
      <c r="I1258" s="461" t="s">
        <v>1991</v>
      </c>
      <c r="J1258" s="461" t="s">
        <v>754</v>
      </c>
      <c r="K1258" s="594"/>
      <c r="L1258" s="594"/>
      <c r="M1258" s="352">
        <v>2000</v>
      </c>
      <c r="N1258" s="352" t="s">
        <v>703</v>
      </c>
      <c r="O1258" s="460">
        <v>2122</v>
      </c>
      <c r="P1258" s="460" t="s">
        <v>1877</v>
      </c>
      <c r="Q1258" s="460" t="s">
        <v>2377</v>
      </c>
      <c r="R1258" s="460">
        <v>2122</v>
      </c>
      <c r="S1258" s="460" t="s">
        <v>2386</v>
      </c>
      <c r="T1258" s="462">
        <v>1</v>
      </c>
      <c r="U1258" s="460" t="s">
        <v>2386</v>
      </c>
      <c r="V1258" s="475">
        <v>0</v>
      </c>
      <c r="W1258" s="463" t="s">
        <v>2278</v>
      </c>
      <c r="X1258" s="463" t="s">
        <v>2278</v>
      </c>
      <c r="Y1258" s="463" t="s">
        <v>2278</v>
      </c>
      <c r="Z1258" s="463"/>
      <c r="AA1258" s="463"/>
      <c r="AB1258" s="464">
        <v>191.2010407154836</v>
      </c>
      <c r="AC1258" s="465">
        <v>1</v>
      </c>
      <c r="AD1258" s="465">
        <v>3.5469203143343561E-3</v>
      </c>
      <c r="AE1258" s="476">
        <v>191.2010407154836</v>
      </c>
      <c r="AF1258" s="467">
        <v>1</v>
      </c>
      <c r="AG1258" s="468">
        <v>3.5469203143343561E-3</v>
      </c>
      <c r="AH1258" s="218">
        <v>191.2010407154836</v>
      </c>
      <c r="AI1258" s="470">
        <v>1</v>
      </c>
      <c r="AJ1258" s="471">
        <v>3.5469203143343561E-3</v>
      </c>
      <c r="AK1258" s="218">
        <v>191.2010407154836</v>
      </c>
      <c r="AL1258" s="470">
        <v>1</v>
      </c>
      <c r="AM1258" s="471">
        <v>3.5469203143343561E-3</v>
      </c>
      <c r="AN1258" s="477">
        <v>191.2010407154836</v>
      </c>
      <c r="AO1258" s="473">
        <v>1</v>
      </c>
      <c r="AP1258" s="474">
        <v>3.5469203143343561E-3</v>
      </c>
      <c r="AQ1258" s="352"/>
      <c r="AR1258" s="352"/>
      <c r="AS1258" s="352"/>
      <c r="AT1258" s="352"/>
      <c r="AU1258" s="352"/>
      <c r="AV1258" s="352"/>
      <c r="AW1258" s="352" t="s">
        <v>127</v>
      </c>
    </row>
    <row r="1259" spans="2:49" x14ac:dyDescent="0.2">
      <c r="B1259" s="460" t="s">
        <v>2739</v>
      </c>
      <c r="C1259" s="460">
        <v>2122</v>
      </c>
      <c r="D1259" s="460" t="s">
        <v>2388</v>
      </c>
      <c r="E1259" s="460" t="s">
        <v>2389</v>
      </c>
      <c r="F1259" s="460">
        <v>1</v>
      </c>
      <c r="G1259" s="460">
        <v>6</v>
      </c>
      <c r="H1259" s="461" t="s">
        <v>754</v>
      </c>
      <c r="I1259" s="461" t="s">
        <v>1991</v>
      </c>
      <c r="J1259" s="461" t="s">
        <v>754</v>
      </c>
      <c r="K1259" s="594"/>
      <c r="L1259" s="594"/>
      <c r="M1259" s="352">
        <v>2000</v>
      </c>
      <c r="N1259" s="352" t="s">
        <v>703</v>
      </c>
      <c r="O1259" s="460">
        <v>2122</v>
      </c>
      <c r="P1259" s="460" t="s">
        <v>1877</v>
      </c>
      <c r="Q1259" s="460" t="s">
        <v>2377</v>
      </c>
      <c r="R1259" s="460">
        <v>2122</v>
      </c>
      <c r="S1259" s="460" t="s">
        <v>2389</v>
      </c>
      <c r="T1259" s="462">
        <v>1</v>
      </c>
      <c r="U1259" s="460" t="s">
        <v>2389</v>
      </c>
      <c r="V1259" s="475">
        <v>0</v>
      </c>
      <c r="W1259" s="463" t="s">
        <v>2278</v>
      </c>
      <c r="X1259" s="463" t="s">
        <v>2278</v>
      </c>
      <c r="Y1259" s="463" t="s">
        <v>2278</v>
      </c>
      <c r="Z1259" s="463"/>
      <c r="AA1259" s="463"/>
      <c r="AB1259" s="464">
        <v>0</v>
      </c>
      <c r="AC1259" s="465">
        <v>0</v>
      </c>
      <c r="AD1259" s="465">
        <v>0</v>
      </c>
      <c r="AE1259" s="476">
        <v>0</v>
      </c>
      <c r="AF1259" s="467">
        <v>0</v>
      </c>
      <c r="AG1259" s="468">
        <v>0</v>
      </c>
      <c r="AH1259" s="218">
        <v>0</v>
      </c>
      <c r="AI1259" s="470">
        <v>0</v>
      </c>
      <c r="AJ1259" s="471">
        <v>0</v>
      </c>
      <c r="AK1259" s="218">
        <v>0</v>
      </c>
      <c r="AL1259" s="470">
        <v>0</v>
      </c>
      <c r="AM1259" s="471">
        <v>0</v>
      </c>
      <c r="AN1259" s="477">
        <v>0</v>
      </c>
      <c r="AO1259" s="473">
        <v>0</v>
      </c>
      <c r="AP1259" s="474">
        <v>0</v>
      </c>
      <c r="AQ1259" s="352"/>
      <c r="AR1259" s="352"/>
      <c r="AS1259" s="352"/>
      <c r="AT1259" s="352"/>
      <c r="AU1259" s="352"/>
      <c r="AV1259" s="352"/>
      <c r="AW1259" s="352" t="s">
        <v>127</v>
      </c>
    </row>
    <row r="1260" spans="2:49" x14ac:dyDescent="0.2">
      <c r="B1260" s="460" t="s">
        <v>2740</v>
      </c>
      <c r="C1260" s="460">
        <v>2122</v>
      </c>
      <c r="D1260" s="460" t="s">
        <v>2391</v>
      </c>
      <c r="E1260" s="460" t="s">
        <v>2392</v>
      </c>
      <c r="F1260" s="460">
        <v>2</v>
      </c>
      <c r="G1260" s="460">
        <v>6</v>
      </c>
      <c r="H1260" s="461" t="s">
        <v>754</v>
      </c>
      <c r="I1260" s="461" t="s">
        <v>1991</v>
      </c>
      <c r="J1260" s="461" t="s">
        <v>754</v>
      </c>
      <c r="K1260" s="594"/>
      <c r="L1260" s="594"/>
      <c r="M1260" s="352">
        <v>2000</v>
      </c>
      <c r="N1260" s="352" t="s">
        <v>703</v>
      </c>
      <c r="O1260" s="460">
        <v>2122</v>
      </c>
      <c r="P1260" s="460" t="s">
        <v>1877</v>
      </c>
      <c r="Q1260" s="460" t="s">
        <v>2377</v>
      </c>
      <c r="R1260" s="460">
        <v>2122</v>
      </c>
      <c r="S1260" s="460" t="s">
        <v>2392</v>
      </c>
      <c r="T1260" s="462">
        <v>1</v>
      </c>
      <c r="U1260" s="460" t="s">
        <v>2392</v>
      </c>
      <c r="V1260" s="475">
        <v>0</v>
      </c>
      <c r="W1260" s="463" t="s">
        <v>2278</v>
      </c>
      <c r="X1260" s="463" t="s">
        <v>2278</v>
      </c>
      <c r="Y1260" s="463" t="s">
        <v>2278</v>
      </c>
      <c r="Z1260" s="463"/>
      <c r="AA1260" s="463"/>
      <c r="AB1260" s="464">
        <v>0</v>
      </c>
      <c r="AC1260" s="465">
        <v>0</v>
      </c>
      <c r="AD1260" s="465">
        <v>0</v>
      </c>
      <c r="AE1260" s="476">
        <v>0</v>
      </c>
      <c r="AF1260" s="467">
        <v>0</v>
      </c>
      <c r="AG1260" s="468">
        <v>0</v>
      </c>
      <c r="AH1260" s="218">
        <v>0</v>
      </c>
      <c r="AI1260" s="470">
        <v>0</v>
      </c>
      <c r="AJ1260" s="471">
        <v>0</v>
      </c>
      <c r="AK1260" s="218">
        <v>0</v>
      </c>
      <c r="AL1260" s="470">
        <v>0</v>
      </c>
      <c r="AM1260" s="471">
        <v>0</v>
      </c>
      <c r="AN1260" s="477">
        <v>0</v>
      </c>
      <c r="AO1260" s="473">
        <v>0</v>
      </c>
      <c r="AP1260" s="474">
        <v>0</v>
      </c>
      <c r="AQ1260" s="352"/>
      <c r="AR1260" s="352"/>
      <c r="AS1260" s="352"/>
      <c r="AT1260" s="352"/>
      <c r="AU1260" s="352"/>
      <c r="AV1260" s="352"/>
      <c r="AW1260" s="352" t="s">
        <v>127</v>
      </c>
    </row>
    <row r="1261" spans="2:49" x14ac:dyDescent="0.2">
      <c r="B1261" s="460" t="s">
        <v>2741</v>
      </c>
      <c r="C1261" s="460">
        <v>2122</v>
      </c>
      <c r="D1261" s="460" t="s">
        <v>2394</v>
      </c>
      <c r="E1261" s="460" t="s">
        <v>2395</v>
      </c>
      <c r="F1261" s="460">
        <v>3</v>
      </c>
      <c r="G1261" s="460">
        <v>6</v>
      </c>
      <c r="H1261" s="461" t="s">
        <v>754</v>
      </c>
      <c r="I1261" s="461" t="s">
        <v>1991</v>
      </c>
      <c r="J1261" s="461" t="s">
        <v>754</v>
      </c>
      <c r="K1261" s="594"/>
      <c r="L1261" s="594"/>
      <c r="M1261" s="352">
        <v>2000</v>
      </c>
      <c r="N1261" s="352" t="s">
        <v>703</v>
      </c>
      <c r="O1261" s="460">
        <v>2122</v>
      </c>
      <c r="P1261" s="460" t="s">
        <v>1877</v>
      </c>
      <c r="Q1261" s="460" t="s">
        <v>2377</v>
      </c>
      <c r="R1261" s="460">
        <v>2122</v>
      </c>
      <c r="S1261" s="460" t="s">
        <v>2395</v>
      </c>
      <c r="T1261" s="462">
        <v>1</v>
      </c>
      <c r="U1261" s="460" t="s">
        <v>2395</v>
      </c>
      <c r="V1261" s="475">
        <v>0</v>
      </c>
      <c r="W1261" s="463" t="s">
        <v>2278</v>
      </c>
      <c r="X1261" s="463" t="s">
        <v>2278</v>
      </c>
      <c r="Y1261" s="463" t="s">
        <v>2278</v>
      </c>
      <c r="Z1261" s="463"/>
      <c r="AA1261" s="463"/>
      <c r="AB1261" s="464">
        <v>0</v>
      </c>
      <c r="AC1261" s="465">
        <v>0</v>
      </c>
      <c r="AD1261" s="465">
        <v>0</v>
      </c>
      <c r="AE1261" s="476">
        <v>0</v>
      </c>
      <c r="AF1261" s="467">
        <v>0</v>
      </c>
      <c r="AG1261" s="468">
        <v>0</v>
      </c>
      <c r="AH1261" s="218">
        <v>0</v>
      </c>
      <c r="AI1261" s="470">
        <v>0</v>
      </c>
      <c r="AJ1261" s="471">
        <v>0</v>
      </c>
      <c r="AK1261" s="218">
        <v>0</v>
      </c>
      <c r="AL1261" s="470">
        <v>0</v>
      </c>
      <c r="AM1261" s="471">
        <v>0</v>
      </c>
      <c r="AN1261" s="477">
        <v>0</v>
      </c>
      <c r="AO1261" s="473">
        <v>0</v>
      </c>
      <c r="AP1261" s="474">
        <v>0</v>
      </c>
      <c r="AQ1261" s="352"/>
      <c r="AR1261" s="352"/>
      <c r="AS1261" s="352"/>
      <c r="AT1261" s="352"/>
      <c r="AU1261" s="352"/>
      <c r="AV1261" s="352"/>
      <c r="AW1261" s="352" t="s">
        <v>127</v>
      </c>
    </row>
    <row r="1262" spans="2:49" x14ac:dyDescent="0.2">
      <c r="B1262" s="460" t="s">
        <v>2742</v>
      </c>
      <c r="C1262" s="460">
        <v>2122</v>
      </c>
      <c r="D1262" s="460" t="s">
        <v>2397</v>
      </c>
      <c r="E1262" s="460" t="s">
        <v>2398</v>
      </c>
      <c r="F1262" s="460">
        <v>4</v>
      </c>
      <c r="G1262" s="460">
        <v>6</v>
      </c>
      <c r="H1262" s="461" t="s">
        <v>754</v>
      </c>
      <c r="I1262" s="461" t="s">
        <v>1991</v>
      </c>
      <c r="J1262" s="461" t="s">
        <v>754</v>
      </c>
      <c r="K1262" s="594"/>
      <c r="L1262" s="594"/>
      <c r="M1262" s="352">
        <v>2000</v>
      </c>
      <c r="N1262" s="352" t="s">
        <v>703</v>
      </c>
      <c r="O1262" s="460">
        <v>2122</v>
      </c>
      <c r="P1262" s="460" t="s">
        <v>1877</v>
      </c>
      <c r="Q1262" s="460" t="s">
        <v>2377</v>
      </c>
      <c r="R1262" s="460">
        <v>2122</v>
      </c>
      <c r="S1262" s="460" t="s">
        <v>2398</v>
      </c>
      <c r="T1262" s="462">
        <v>1</v>
      </c>
      <c r="U1262" s="460" t="s">
        <v>2398</v>
      </c>
      <c r="V1262" s="475">
        <v>0</v>
      </c>
      <c r="W1262" s="463" t="s">
        <v>2278</v>
      </c>
      <c r="X1262" s="463" t="s">
        <v>2278</v>
      </c>
      <c r="Y1262" s="463" t="s">
        <v>2278</v>
      </c>
      <c r="Z1262" s="463"/>
      <c r="AA1262" s="463"/>
      <c r="AB1262" s="464">
        <v>0</v>
      </c>
      <c r="AC1262" s="465">
        <v>0</v>
      </c>
      <c r="AD1262" s="465">
        <v>0</v>
      </c>
      <c r="AE1262" s="476">
        <v>0</v>
      </c>
      <c r="AF1262" s="467">
        <v>0</v>
      </c>
      <c r="AG1262" s="468">
        <v>0</v>
      </c>
      <c r="AH1262" s="218">
        <v>0</v>
      </c>
      <c r="AI1262" s="470">
        <v>0</v>
      </c>
      <c r="AJ1262" s="471">
        <v>0</v>
      </c>
      <c r="AK1262" s="218">
        <v>0</v>
      </c>
      <c r="AL1262" s="470">
        <v>0</v>
      </c>
      <c r="AM1262" s="471">
        <v>0</v>
      </c>
      <c r="AN1262" s="477">
        <v>0</v>
      </c>
      <c r="AO1262" s="473">
        <v>0</v>
      </c>
      <c r="AP1262" s="474">
        <v>0</v>
      </c>
      <c r="AQ1262" s="352"/>
      <c r="AR1262" s="352"/>
      <c r="AS1262" s="352"/>
      <c r="AT1262" s="352"/>
      <c r="AU1262" s="352"/>
      <c r="AV1262" s="352"/>
      <c r="AW1262" s="352" t="s">
        <v>127</v>
      </c>
    </row>
    <row r="1263" spans="2:49" x14ac:dyDescent="0.2">
      <c r="B1263" s="460" t="s">
        <v>2743</v>
      </c>
      <c r="C1263" s="460">
        <v>2123</v>
      </c>
      <c r="D1263" s="460" t="s">
        <v>2264</v>
      </c>
      <c r="E1263" s="460" t="s">
        <v>2265</v>
      </c>
      <c r="F1263" s="460">
        <v>1</v>
      </c>
      <c r="G1263" s="460">
        <v>1</v>
      </c>
      <c r="H1263" s="461" t="s">
        <v>700</v>
      </c>
      <c r="I1263" s="461" t="s">
        <v>872</v>
      </c>
      <c r="J1263" s="461" t="s">
        <v>700</v>
      </c>
      <c r="K1263" s="594"/>
      <c r="L1263" s="594"/>
      <c r="M1263" s="352">
        <v>2000</v>
      </c>
      <c r="N1263" s="352" t="s">
        <v>703</v>
      </c>
      <c r="O1263" s="460">
        <v>2123</v>
      </c>
      <c r="P1263" s="460" t="s">
        <v>1878</v>
      </c>
      <c r="Q1263" s="460" t="s">
        <v>2266</v>
      </c>
      <c r="R1263" s="460">
        <v>2123</v>
      </c>
      <c r="S1263" s="460" t="s">
        <v>2265</v>
      </c>
      <c r="T1263" s="462">
        <v>1</v>
      </c>
      <c r="U1263" s="460" t="s">
        <v>2265</v>
      </c>
      <c r="V1263" s="475">
        <v>0</v>
      </c>
      <c r="W1263" s="463" t="s">
        <v>2267</v>
      </c>
      <c r="X1263" s="463" t="s">
        <v>2267</v>
      </c>
      <c r="Y1263" s="463" t="s">
        <v>2268</v>
      </c>
      <c r="Z1263" s="463"/>
      <c r="AA1263" s="463"/>
      <c r="AB1263" s="464">
        <v>44.759168396044338</v>
      </c>
      <c r="AC1263" s="465">
        <v>0.64158889231579042</v>
      </c>
      <c r="AD1263" s="465">
        <v>4.1507124712237539E-4</v>
      </c>
      <c r="AE1263" s="476">
        <v>44.759168396044338</v>
      </c>
      <c r="AF1263" s="467">
        <v>0.64158889231579042</v>
      </c>
      <c r="AG1263" s="468">
        <v>4.4338296214046569E-4</v>
      </c>
      <c r="AH1263" s="218">
        <v>44.759168396044338</v>
      </c>
      <c r="AI1263" s="470">
        <v>0.64158889231579042</v>
      </c>
      <c r="AJ1263" s="471">
        <v>4.2679385266779414E-4</v>
      </c>
      <c r="AK1263" s="218">
        <v>44.759168396044338</v>
      </c>
      <c r="AL1263" s="470">
        <v>0.64158889231579042</v>
      </c>
      <c r="AM1263" s="471">
        <v>4.2679385266779414E-4</v>
      </c>
      <c r="AN1263" s="477">
        <v>0</v>
      </c>
      <c r="AO1263" s="473">
        <v>0</v>
      </c>
      <c r="AP1263" s="474">
        <v>0</v>
      </c>
      <c r="AQ1263" s="352"/>
      <c r="AR1263" s="352"/>
      <c r="AS1263" s="352"/>
      <c r="AT1263" s="352"/>
      <c r="AU1263" s="352"/>
      <c r="AV1263" s="352"/>
      <c r="AW1263" s="352" t="s">
        <v>254</v>
      </c>
    </row>
    <row r="1264" spans="2:49" x14ac:dyDescent="0.2">
      <c r="B1264" s="460" t="s">
        <v>2744</v>
      </c>
      <c r="C1264" s="460">
        <v>2123</v>
      </c>
      <c r="D1264" s="460" t="s">
        <v>2270</v>
      </c>
      <c r="E1264" s="460" t="s">
        <v>2271</v>
      </c>
      <c r="F1264" s="460">
        <v>2</v>
      </c>
      <c r="G1264" s="460">
        <v>1</v>
      </c>
      <c r="H1264" s="461" t="s">
        <v>700</v>
      </c>
      <c r="I1264" s="461" t="s">
        <v>872</v>
      </c>
      <c r="J1264" s="461" t="s">
        <v>700</v>
      </c>
      <c r="K1264" s="594"/>
      <c r="L1264" s="594"/>
      <c r="M1264" s="352">
        <v>2000</v>
      </c>
      <c r="N1264" s="352" t="s">
        <v>703</v>
      </c>
      <c r="O1264" s="460">
        <v>2123</v>
      </c>
      <c r="P1264" s="460" t="s">
        <v>1878</v>
      </c>
      <c r="Q1264" s="460" t="s">
        <v>2266</v>
      </c>
      <c r="R1264" s="460">
        <v>2123</v>
      </c>
      <c r="S1264" s="460" t="s">
        <v>2265</v>
      </c>
      <c r="T1264" s="462">
        <v>1</v>
      </c>
      <c r="U1264" s="460" t="s">
        <v>2271</v>
      </c>
      <c r="V1264" s="475">
        <v>0</v>
      </c>
      <c r="W1264" s="463" t="s">
        <v>2267</v>
      </c>
      <c r="X1264" s="463" t="s">
        <v>2267</v>
      </c>
      <c r="Y1264" s="463" t="s">
        <v>2268</v>
      </c>
      <c r="Z1264" s="463"/>
      <c r="AA1264" s="463"/>
      <c r="AB1264" s="464">
        <v>53.879456087570411</v>
      </c>
      <c r="AC1264" s="465">
        <v>0.61573434897395318</v>
      </c>
      <c r="AD1264" s="465">
        <v>6.6847126361107721E-4</v>
      </c>
      <c r="AE1264" s="476">
        <v>53.879456087570411</v>
      </c>
      <c r="AF1264" s="467">
        <v>0.61573434897395318</v>
      </c>
      <c r="AG1264" s="468">
        <v>7.2439640612237302E-4</v>
      </c>
      <c r="AH1264" s="218">
        <v>56.141842025551647</v>
      </c>
      <c r="AI1264" s="470">
        <v>0.64158889231579042</v>
      </c>
      <c r="AJ1264" s="471">
        <v>6.6283301418292105E-4</v>
      </c>
      <c r="AK1264" s="218">
        <v>56.141842025551647</v>
      </c>
      <c r="AL1264" s="470">
        <v>0.64158889231579042</v>
      </c>
      <c r="AM1264" s="471">
        <v>6.6283301418292105E-4</v>
      </c>
      <c r="AN1264" s="477">
        <v>0</v>
      </c>
      <c r="AO1264" s="473">
        <v>0</v>
      </c>
      <c r="AP1264" s="474">
        <v>0</v>
      </c>
      <c r="AQ1264" s="352"/>
      <c r="AR1264" s="352"/>
      <c r="AS1264" s="352"/>
      <c r="AT1264" s="352"/>
      <c r="AU1264" s="352"/>
      <c r="AV1264" s="352"/>
      <c r="AW1264" s="352" t="s">
        <v>254</v>
      </c>
    </row>
    <row r="1265" spans="2:49" x14ac:dyDescent="0.2">
      <c r="B1265" s="460" t="s">
        <v>2745</v>
      </c>
      <c r="C1265" s="460">
        <v>2123</v>
      </c>
      <c r="D1265" s="460" t="s">
        <v>2273</v>
      </c>
      <c r="E1265" s="460" t="s">
        <v>2274</v>
      </c>
      <c r="F1265" s="460">
        <v>3</v>
      </c>
      <c r="G1265" s="460">
        <v>1</v>
      </c>
      <c r="H1265" s="461" t="s">
        <v>700</v>
      </c>
      <c r="I1265" s="461" t="s">
        <v>872</v>
      </c>
      <c r="J1265" s="461" t="s">
        <v>700</v>
      </c>
      <c r="K1265" s="594"/>
      <c r="L1265" s="594"/>
      <c r="M1265" s="352">
        <v>2000</v>
      </c>
      <c r="N1265" s="352" t="s">
        <v>703</v>
      </c>
      <c r="O1265" s="460">
        <v>2123</v>
      </c>
      <c r="P1265" s="460" t="s">
        <v>1878</v>
      </c>
      <c r="Q1265" s="460" t="s">
        <v>2266</v>
      </c>
      <c r="R1265" s="460">
        <v>2123</v>
      </c>
      <c r="S1265" s="460" t="s">
        <v>2265</v>
      </c>
      <c r="T1265" s="462">
        <v>0.74223365950407583</v>
      </c>
      <c r="U1265" s="460" t="s">
        <v>2274</v>
      </c>
      <c r="V1265" s="475">
        <v>0</v>
      </c>
      <c r="W1265" s="463" t="s">
        <v>2267</v>
      </c>
      <c r="X1265" s="463" t="s">
        <v>2267</v>
      </c>
      <c r="Y1265" s="463" t="s">
        <v>2268</v>
      </c>
      <c r="Z1265" s="463"/>
      <c r="AA1265" s="463"/>
      <c r="AB1265" s="464">
        <v>11.730375456921228</v>
      </c>
      <c r="AC1265" s="465">
        <v>0.32349130351549021</v>
      </c>
      <c r="AD1265" s="465">
        <v>5.80297635132688E-4</v>
      </c>
      <c r="AE1265" s="476">
        <v>11.730375456921228</v>
      </c>
      <c r="AF1265" s="467">
        <v>0.32349130351549021</v>
      </c>
      <c r="AG1265" s="468">
        <v>6.2856333931668874E-4</v>
      </c>
      <c r="AH1265" s="218">
        <v>17.268188656727947</v>
      </c>
      <c r="AI1265" s="470">
        <v>0.47620887144071555</v>
      </c>
      <c r="AJ1265" s="471">
        <v>6.7007626106435722E-4</v>
      </c>
      <c r="AK1265" s="218">
        <v>17.268188656727947</v>
      </c>
      <c r="AL1265" s="470">
        <v>0.47620887144071555</v>
      </c>
      <c r="AM1265" s="471">
        <v>6.7007626106435722E-4</v>
      </c>
      <c r="AN1265" s="477">
        <v>0</v>
      </c>
      <c r="AO1265" s="473">
        <v>0</v>
      </c>
      <c r="AP1265" s="474">
        <v>0</v>
      </c>
      <c r="AQ1265" s="352"/>
      <c r="AR1265" s="352"/>
      <c r="AS1265" s="352"/>
      <c r="AT1265" s="352"/>
      <c r="AU1265" s="352"/>
      <c r="AV1265" s="352"/>
      <c r="AW1265" s="352" t="s">
        <v>254</v>
      </c>
    </row>
    <row r="1266" spans="2:49" x14ac:dyDescent="0.2">
      <c r="B1266" s="460" t="s">
        <v>2746</v>
      </c>
      <c r="C1266" s="460">
        <v>2123</v>
      </c>
      <c r="D1266" s="460" t="s">
        <v>2276</v>
      </c>
      <c r="E1266" s="460" t="s">
        <v>2277</v>
      </c>
      <c r="F1266" s="460">
        <v>4</v>
      </c>
      <c r="G1266" s="460">
        <v>1</v>
      </c>
      <c r="H1266" s="461" t="s">
        <v>700</v>
      </c>
      <c r="I1266" s="461" t="s">
        <v>872</v>
      </c>
      <c r="J1266" s="461" t="s">
        <v>700</v>
      </c>
      <c r="K1266" s="594"/>
      <c r="L1266" s="594"/>
      <c r="M1266" s="352">
        <v>2000</v>
      </c>
      <c r="N1266" s="352" t="s">
        <v>703</v>
      </c>
      <c r="O1266" s="460">
        <v>2123</v>
      </c>
      <c r="P1266" s="460" t="s">
        <v>1878</v>
      </c>
      <c r="Q1266" s="460" t="s">
        <v>2266</v>
      </c>
      <c r="R1266" s="460">
        <v>2123</v>
      </c>
      <c r="S1266" s="460" t="s">
        <v>2277</v>
      </c>
      <c r="T1266" s="462">
        <v>1</v>
      </c>
      <c r="U1266" s="460" t="s">
        <v>2277</v>
      </c>
      <c r="V1266" s="475">
        <v>0</v>
      </c>
      <c r="W1266" s="463" t="s">
        <v>2278</v>
      </c>
      <c r="X1266" s="463" t="s">
        <v>2278</v>
      </c>
      <c r="Y1266" s="463" t="s">
        <v>2268</v>
      </c>
      <c r="Z1266" s="463"/>
      <c r="AA1266" s="463"/>
      <c r="AB1266" s="464">
        <v>5.0130013505054929E-2</v>
      </c>
      <c r="AC1266" s="465">
        <v>1.7991064820584561E-3</v>
      </c>
      <c r="AD1266" s="465">
        <v>2.0233524723457078E-4</v>
      </c>
      <c r="AE1266" s="476">
        <v>5.0130013505054929E-2</v>
      </c>
      <c r="AF1266" s="467">
        <v>1.7991064820584561E-3</v>
      </c>
      <c r="AG1266" s="468">
        <v>2.262001407775102E-4</v>
      </c>
      <c r="AH1266" s="218">
        <v>5.0130013505054929E-2</v>
      </c>
      <c r="AI1266" s="470">
        <v>1.7991064820584561E-3</v>
      </c>
      <c r="AJ1266" s="471">
        <v>2.1680304357079384E-4</v>
      </c>
      <c r="AK1266" s="218">
        <v>5.0130013505054929E-2</v>
      </c>
      <c r="AL1266" s="470">
        <v>1.7991064820584561E-3</v>
      </c>
      <c r="AM1266" s="471">
        <v>2.1680304357079384E-4</v>
      </c>
      <c r="AN1266" s="477">
        <v>0</v>
      </c>
      <c r="AO1266" s="473">
        <v>0</v>
      </c>
      <c r="AP1266" s="474">
        <v>0</v>
      </c>
      <c r="AQ1266" s="352"/>
      <c r="AR1266" s="352"/>
      <c r="AS1266" s="352"/>
      <c r="AT1266" s="352"/>
      <c r="AU1266" s="352"/>
      <c r="AV1266" s="352"/>
      <c r="AW1266" s="352" t="s">
        <v>254</v>
      </c>
    </row>
    <row r="1267" spans="2:49" x14ac:dyDescent="0.2">
      <c r="B1267" s="460" t="s">
        <v>2743</v>
      </c>
      <c r="C1267" s="460">
        <v>2123</v>
      </c>
      <c r="D1267" s="460" t="s">
        <v>2279</v>
      </c>
      <c r="E1267" s="460" t="s">
        <v>2265</v>
      </c>
      <c r="F1267" s="460">
        <v>1</v>
      </c>
      <c r="G1267" s="460">
        <v>1</v>
      </c>
      <c r="H1267" s="461" t="s">
        <v>712</v>
      </c>
      <c r="I1267" s="461" t="s">
        <v>713</v>
      </c>
      <c r="J1267" s="461" t="s">
        <v>712</v>
      </c>
      <c r="K1267" s="594"/>
      <c r="L1267" s="594"/>
      <c r="M1267" s="352">
        <v>2000</v>
      </c>
      <c r="N1267" s="352" t="s">
        <v>703</v>
      </c>
      <c r="O1267" s="460">
        <v>2123</v>
      </c>
      <c r="P1267" s="460" t="s">
        <v>1878</v>
      </c>
      <c r="Q1267" s="460" t="s">
        <v>2280</v>
      </c>
      <c r="R1267" s="460">
        <v>2123</v>
      </c>
      <c r="S1267" s="460" t="s">
        <v>2265</v>
      </c>
      <c r="T1267" s="462">
        <v>1</v>
      </c>
      <c r="U1267" s="460" t="s">
        <v>2265</v>
      </c>
      <c r="V1267" s="475">
        <v>0</v>
      </c>
      <c r="W1267" s="463" t="s">
        <v>713</v>
      </c>
      <c r="X1267" s="463" t="s">
        <v>713</v>
      </c>
      <c r="Y1267" s="463" t="s">
        <v>713</v>
      </c>
      <c r="Z1267" s="463"/>
      <c r="AA1267" s="463"/>
      <c r="AB1267" s="464">
        <v>25.003835502741758</v>
      </c>
      <c r="AC1267" s="465">
        <v>0.35841110768420958</v>
      </c>
      <c r="AD1267" s="465">
        <v>9.2368492466018208E-5</v>
      </c>
      <c r="AE1267" s="476">
        <v>25.003835502741758</v>
      </c>
      <c r="AF1267" s="467">
        <v>0.35841110768420958</v>
      </c>
      <c r="AG1267" s="468">
        <v>9.0077209724003272E-5</v>
      </c>
      <c r="AH1267" s="218">
        <v>25.003835502741758</v>
      </c>
      <c r="AI1267" s="470">
        <v>0.35841110768420958</v>
      </c>
      <c r="AJ1267" s="471">
        <v>9.1368767940406154E-5</v>
      </c>
      <c r="AK1267" s="218">
        <v>25.003835502741758</v>
      </c>
      <c r="AL1267" s="470">
        <v>0.35841110768420958</v>
      </c>
      <c r="AM1267" s="471">
        <v>9.1368767940406154E-5</v>
      </c>
      <c r="AN1267" s="477">
        <v>25.003835502741758</v>
      </c>
      <c r="AO1267" s="473">
        <v>0.35841110768420958</v>
      </c>
      <c r="AP1267" s="474">
        <v>9.1338996331353681E-5</v>
      </c>
      <c r="AQ1267" s="352"/>
      <c r="AR1267" s="352"/>
      <c r="AS1267" s="352"/>
      <c r="AT1267" s="352"/>
      <c r="AU1267" s="352"/>
      <c r="AV1267" s="352"/>
      <c r="AW1267" s="352" t="s">
        <v>254</v>
      </c>
    </row>
    <row r="1268" spans="2:49" x14ac:dyDescent="0.2">
      <c r="B1268" s="460" t="s">
        <v>2744</v>
      </c>
      <c r="C1268" s="460">
        <v>2123</v>
      </c>
      <c r="D1268" s="460" t="s">
        <v>2281</v>
      </c>
      <c r="E1268" s="460" t="s">
        <v>2271</v>
      </c>
      <c r="F1268" s="460">
        <v>2</v>
      </c>
      <c r="G1268" s="460">
        <v>1</v>
      </c>
      <c r="H1268" s="461" t="s">
        <v>712</v>
      </c>
      <c r="I1268" s="461" t="s">
        <v>713</v>
      </c>
      <c r="J1268" s="461" t="s">
        <v>712</v>
      </c>
      <c r="K1268" s="594"/>
      <c r="L1268" s="594"/>
      <c r="M1268" s="352">
        <v>2000</v>
      </c>
      <c r="N1268" s="352" t="s">
        <v>703</v>
      </c>
      <c r="O1268" s="460">
        <v>2123</v>
      </c>
      <c r="P1268" s="460" t="s">
        <v>1878</v>
      </c>
      <c r="Q1268" s="460" t="s">
        <v>2280</v>
      </c>
      <c r="R1268" s="460">
        <v>2123</v>
      </c>
      <c r="S1268" s="460" t="s">
        <v>2265</v>
      </c>
      <c r="T1268" s="462">
        <v>1</v>
      </c>
      <c r="U1268" s="460" t="s">
        <v>2271</v>
      </c>
      <c r="V1268" s="475">
        <v>0</v>
      </c>
      <c r="W1268" s="463" t="s">
        <v>713</v>
      </c>
      <c r="X1268" s="463" t="s">
        <v>713</v>
      </c>
      <c r="Y1268" s="463" t="s">
        <v>713</v>
      </c>
      <c r="Z1268" s="463"/>
      <c r="AA1268" s="463"/>
      <c r="AB1268" s="464">
        <v>33.624929817412813</v>
      </c>
      <c r="AC1268" s="465">
        <v>0.38426565102604682</v>
      </c>
      <c r="AD1268" s="465">
        <v>1.4041503708322309E-4</v>
      </c>
      <c r="AE1268" s="476">
        <v>33.624929817412813</v>
      </c>
      <c r="AF1268" s="467">
        <v>0.38426565102604682</v>
      </c>
      <c r="AG1268" s="468">
        <v>1.3685875589028451E-4</v>
      </c>
      <c r="AH1268" s="218">
        <v>31.362543879431573</v>
      </c>
      <c r="AI1268" s="470">
        <v>0.35841110768420958</v>
      </c>
      <c r="AJ1268" s="471">
        <v>1.3473805150662042E-4</v>
      </c>
      <c r="AK1268" s="218">
        <v>31.362543879431573</v>
      </c>
      <c r="AL1268" s="470">
        <v>0.35841110768420958</v>
      </c>
      <c r="AM1268" s="471">
        <v>1.3473805150662042E-4</v>
      </c>
      <c r="AN1268" s="477">
        <v>31.362543879431573</v>
      </c>
      <c r="AO1268" s="473">
        <v>0.35841110768420958</v>
      </c>
      <c r="AP1268" s="474">
        <v>1.3469074055667485E-4</v>
      </c>
      <c r="AQ1268" s="352"/>
      <c r="AR1268" s="352"/>
      <c r="AS1268" s="352"/>
      <c r="AT1268" s="352"/>
      <c r="AU1268" s="352"/>
      <c r="AV1268" s="352"/>
      <c r="AW1268" s="352" t="s">
        <v>254</v>
      </c>
    </row>
    <row r="1269" spans="2:49" x14ac:dyDescent="0.2">
      <c r="B1269" s="460" t="s">
        <v>2745</v>
      </c>
      <c r="C1269" s="460">
        <v>2123</v>
      </c>
      <c r="D1269" s="460" t="s">
        <v>2282</v>
      </c>
      <c r="E1269" s="460" t="s">
        <v>2274</v>
      </c>
      <c r="F1269" s="460">
        <v>3</v>
      </c>
      <c r="G1269" s="460">
        <v>1</v>
      </c>
      <c r="H1269" s="461" t="s">
        <v>712</v>
      </c>
      <c r="I1269" s="461" t="s">
        <v>713</v>
      </c>
      <c r="J1269" s="461" t="s">
        <v>712</v>
      </c>
      <c r="K1269" s="594"/>
      <c r="L1269" s="594"/>
      <c r="M1269" s="352">
        <v>2000</v>
      </c>
      <c r="N1269" s="352" t="s">
        <v>703</v>
      </c>
      <c r="O1269" s="460">
        <v>2123</v>
      </c>
      <c r="P1269" s="460" t="s">
        <v>1878</v>
      </c>
      <c r="Q1269" s="460" t="s">
        <v>2280</v>
      </c>
      <c r="R1269" s="460">
        <v>2123</v>
      </c>
      <c r="S1269" s="460" t="s">
        <v>2265</v>
      </c>
      <c r="T1269" s="462">
        <v>0.74223365950407583</v>
      </c>
      <c r="U1269" s="460" t="s">
        <v>2274</v>
      </c>
      <c r="V1269" s="475">
        <v>0</v>
      </c>
      <c r="W1269" s="463" t="s">
        <v>713</v>
      </c>
      <c r="X1269" s="463" t="s">
        <v>713</v>
      </c>
      <c r="Y1269" s="463" t="s">
        <v>713</v>
      </c>
      <c r="Z1269" s="463"/>
      <c r="AA1269" s="463"/>
      <c r="AB1269" s="464">
        <v>24.531419928126969</v>
      </c>
      <c r="AC1269" s="465">
        <v>0.67650869648450984</v>
      </c>
      <c r="AD1269" s="465">
        <v>1.4682576024570214E-4</v>
      </c>
      <c r="AE1269" s="476">
        <v>24.531419928126965</v>
      </c>
      <c r="AF1269" s="467">
        <v>0.67650869648450973</v>
      </c>
      <c r="AG1269" s="468">
        <v>1.4547425904167714E-4</v>
      </c>
      <c r="AH1269" s="218">
        <v>18.993606728320248</v>
      </c>
      <c r="AI1269" s="470">
        <v>0.52379112855928445</v>
      </c>
      <c r="AJ1269" s="471">
        <v>1.193590672779518E-4</v>
      </c>
      <c r="AK1269" s="218">
        <v>18.993606728320248</v>
      </c>
      <c r="AL1269" s="470">
        <v>0.52379112855928445</v>
      </c>
      <c r="AM1269" s="471">
        <v>1.193590672779518E-4</v>
      </c>
      <c r="AN1269" s="477">
        <v>18.993606728320248</v>
      </c>
      <c r="AO1269" s="473">
        <v>0.52379112855928445</v>
      </c>
      <c r="AP1269" s="474">
        <v>1.2022012321427723E-4</v>
      </c>
      <c r="AQ1269" s="352"/>
      <c r="AR1269" s="352"/>
      <c r="AS1269" s="352"/>
      <c r="AT1269" s="352"/>
      <c r="AU1269" s="352"/>
      <c r="AV1269" s="352"/>
      <c r="AW1269" s="352" t="s">
        <v>254</v>
      </c>
    </row>
    <row r="1270" spans="2:49" x14ac:dyDescent="0.2">
      <c r="B1270" s="460" t="s">
        <v>2746</v>
      </c>
      <c r="C1270" s="460">
        <v>2123</v>
      </c>
      <c r="D1270" s="460" t="s">
        <v>2283</v>
      </c>
      <c r="E1270" s="460" t="s">
        <v>2277</v>
      </c>
      <c r="F1270" s="460">
        <v>4</v>
      </c>
      <c r="G1270" s="460">
        <v>1</v>
      </c>
      <c r="H1270" s="461" t="s">
        <v>712</v>
      </c>
      <c r="I1270" s="461" t="s">
        <v>713</v>
      </c>
      <c r="J1270" s="461" t="s">
        <v>712</v>
      </c>
      <c r="K1270" s="594"/>
      <c r="L1270" s="594"/>
      <c r="M1270" s="352">
        <v>2000</v>
      </c>
      <c r="N1270" s="352" t="s">
        <v>703</v>
      </c>
      <c r="O1270" s="460">
        <v>2123</v>
      </c>
      <c r="P1270" s="460" t="s">
        <v>1878</v>
      </c>
      <c r="Q1270" s="460" t="s">
        <v>2280</v>
      </c>
      <c r="R1270" s="460">
        <v>2123</v>
      </c>
      <c r="S1270" s="460" t="s">
        <v>2277</v>
      </c>
      <c r="T1270" s="462">
        <v>1</v>
      </c>
      <c r="U1270" s="460" t="s">
        <v>2277</v>
      </c>
      <c r="V1270" s="475">
        <v>0</v>
      </c>
      <c r="W1270" s="463" t="s">
        <v>713</v>
      </c>
      <c r="X1270" s="463" t="s">
        <v>713</v>
      </c>
      <c r="Y1270" s="463" t="s">
        <v>713</v>
      </c>
      <c r="Z1270" s="463"/>
      <c r="AA1270" s="463"/>
      <c r="AB1270" s="464">
        <v>27.813709067158165</v>
      </c>
      <c r="AC1270" s="465">
        <v>0.99820089351794161</v>
      </c>
      <c r="AD1270" s="465">
        <v>1.4444423636619265E-4</v>
      </c>
      <c r="AE1270" s="476">
        <v>27.813709067158161</v>
      </c>
      <c r="AF1270" s="467">
        <v>0.9982008935179415</v>
      </c>
      <c r="AG1270" s="468">
        <v>1.4442463097628266E-4</v>
      </c>
      <c r="AH1270" s="218">
        <v>27.813709067158161</v>
      </c>
      <c r="AI1270" s="470">
        <v>0.9982008935179415</v>
      </c>
      <c r="AJ1270" s="471">
        <v>1.4443183505722052E-4</v>
      </c>
      <c r="AK1270" s="218">
        <v>27.813709067158161</v>
      </c>
      <c r="AL1270" s="470">
        <v>0.9982008935179415</v>
      </c>
      <c r="AM1270" s="471">
        <v>1.4443183505722052E-4</v>
      </c>
      <c r="AN1270" s="477">
        <v>27.813709067158161</v>
      </c>
      <c r="AO1270" s="473">
        <v>0.9982008935179415</v>
      </c>
      <c r="AP1270" s="474">
        <v>1.4443255525414404E-4</v>
      </c>
      <c r="AQ1270" s="352"/>
      <c r="AR1270" s="352"/>
      <c r="AS1270" s="352"/>
      <c r="AT1270" s="352"/>
      <c r="AU1270" s="352"/>
      <c r="AV1270" s="352"/>
      <c r="AW1270" s="352" t="s">
        <v>254</v>
      </c>
    </row>
    <row r="1271" spans="2:49" x14ac:dyDescent="0.2">
      <c r="B1271" s="460" t="s">
        <v>2743</v>
      </c>
      <c r="C1271" s="460">
        <v>2123</v>
      </c>
      <c r="D1271" s="460" t="s">
        <v>2284</v>
      </c>
      <c r="E1271" s="460" t="s">
        <v>2265</v>
      </c>
      <c r="F1271" s="460">
        <v>1</v>
      </c>
      <c r="G1271" s="460">
        <v>1</v>
      </c>
      <c r="H1271" s="461" t="s">
        <v>746</v>
      </c>
      <c r="I1271" s="461" t="s">
        <v>762</v>
      </c>
      <c r="J1271" s="461" t="s">
        <v>700</v>
      </c>
      <c r="K1271" s="594"/>
      <c r="L1271" s="594"/>
      <c r="M1271" s="352">
        <v>2000</v>
      </c>
      <c r="N1271" s="352" t="s">
        <v>703</v>
      </c>
      <c r="O1271" s="460">
        <v>2123</v>
      </c>
      <c r="P1271" s="460" t="s">
        <v>1878</v>
      </c>
      <c r="Q1271" s="460" t="s">
        <v>2289</v>
      </c>
      <c r="R1271" s="460">
        <v>2123</v>
      </c>
      <c r="S1271" s="460" t="s">
        <v>2265</v>
      </c>
      <c r="T1271" s="462">
        <v>1</v>
      </c>
      <c r="U1271" s="460" t="s">
        <v>2265</v>
      </c>
      <c r="V1271" s="475">
        <v>0</v>
      </c>
      <c r="W1271" s="463" t="s">
        <v>2268</v>
      </c>
      <c r="X1271" s="463" t="s">
        <v>2268</v>
      </c>
      <c r="Y1271" s="463" t="s">
        <v>2290</v>
      </c>
      <c r="Z1271" s="463"/>
      <c r="AA1271" s="463"/>
      <c r="AB1271" s="464">
        <v>0</v>
      </c>
      <c r="AC1271" s="465">
        <v>0</v>
      </c>
      <c r="AD1271" s="465">
        <v>0</v>
      </c>
      <c r="AE1271" s="476">
        <v>0</v>
      </c>
      <c r="AF1271" s="467">
        <v>0</v>
      </c>
      <c r="AG1271" s="468">
        <v>0</v>
      </c>
      <c r="AH1271" s="218">
        <v>0</v>
      </c>
      <c r="AI1271" s="470">
        <v>0</v>
      </c>
      <c r="AJ1271" s="471">
        <v>0</v>
      </c>
      <c r="AK1271" s="218">
        <v>0</v>
      </c>
      <c r="AL1271" s="470">
        <v>0</v>
      </c>
      <c r="AM1271" s="471">
        <v>0</v>
      </c>
      <c r="AN1271" s="477">
        <v>0</v>
      </c>
      <c r="AO1271" s="473">
        <v>0</v>
      </c>
      <c r="AP1271" s="474">
        <v>0</v>
      </c>
      <c r="AQ1271" s="352"/>
      <c r="AR1271" s="352"/>
      <c r="AS1271" s="352"/>
      <c r="AT1271" s="352"/>
      <c r="AU1271" s="352"/>
      <c r="AV1271" s="352"/>
      <c r="AW1271" s="352" t="s">
        <v>254</v>
      </c>
    </row>
    <row r="1272" spans="2:49" x14ac:dyDescent="0.2">
      <c r="B1272" s="460" t="s">
        <v>2744</v>
      </c>
      <c r="C1272" s="460">
        <v>2123</v>
      </c>
      <c r="D1272" s="460" t="s">
        <v>2285</v>
      </c>
      <c r="E1272" s="460" t="s">
        <v>2271</v>
      </c>
      <c r="F1272" s="460">
        <v>2</v>
      </c>
      <c r="G1272" s="460">
        <v>1</v>
      </c>
      <c r="H1272" s="461" t="s">
        <v>746</v>
      </c>
      <c r="I1272" s="461" t="s">
        <v>762</v>
      </c>
      <c r="J1272" s="461" t="s">
        <v>700</v>
      </c>
      <c r="K1272" s="594"/>
      <c r="L1272" s="594"/>
      <c r="M1272" s="352">
        <v>2000</v>
      </c>
      <c r="N1272" s="352" t="s">
        <v>703</v>
      </c>
      <c r="O1272" s="460">
        <v>2123</v>
      </c>
      <c r="P1272" s="460" t="s">
        <v>1878</v>
      </c>
      <c r="Q1272" s="460" t="s">
        <v>2289</v>
      </c>
      <c r="R1272" s="460">
        <v>2123</v>
      </c>
      <c r="S1272" s="460" t="s">
        <v>2265</v>
      </c>
      <c r="T1272" s="462">
        <v>1</v>
      </c>
      <c r="U1272" s="460" t="s">
        <v>2271</v>
      </c>
      <c r="V1272" s="475">
        <v>0</v>
      </c>
      <c r="W1272" s="463" t="s">
        <v>2268</v>
      </c>
      <c r="X1272" s="463" t="s">
        <v>2268</v>
      </c>
      <c r="Y1272" s="463" t="s">
        <v>2290</v>
      </c>
      <c r="Z1272" s="463"/>
      <c r="AA1272" s="463"/>
      <c r="AB1272" s="464">
        <v>0</v>
      </c>
      <c r="AC1272" s="465">
        <v>0</v>
      </c>
      <c r="AD1272" s="465">
        <v>0</v>
      </c>
      <c r="AE1272" s="476">
        <v>0</v>
      </c>
      <c r="AF1272" s="467">
        <v>0</v>
      </c>
      <c r="AG1272" s="468">
        <v>0</v>
      </c>
      <c r="AH1272" s="218">
        <v>0</v>
      </c>
      <c r="AI1272" s="470">
        <v>0</v>
      </c>
      <c r="AJ1272" s="471">
        <v>0</v>
      </c>
      <c r="AK1272" s="218">
        <v>0</v>
      </c>
      <c r="AL1272" s="470">
        <v>0</v>
      </c>
      <c r="AM1272" s="471">
        <v>0</v>
      </c>
      <c r="AN1272" s="477">
        <v>0</v>
      </c>
      <c r="AO1272" s="473">
        <v>0</v>
      </c>
      <c r="AP1272" s="474">
        <v>0</v>
      </c>
      <c r="AQ1272" s="352"/>
      <c r="AR1272" s="352"/>
      <c r="AS1272" s="352"/>
      <c r="AT1272" s="352"/>
      <c r="AU1272" s="352"/>
      <c r="AV1272" s="352"/>
      <c r="AW1272" s="352" t="s">
        <v>254</v>
      </c>
    </row>
    <row r="1273" spans="2:49" x14ac:dyDescent="0.2">
      <c r="B1273" s="460" t="s">
        <v>2745</v>
      </c>
      <c r="C1273" s="460">
        <v>2123</v>
      </c>
      <c r="D1273" s="460" t="s">
        <v>2286</v>
      </c>
      <c r="E1273" s="460" t="s">
        <v>2274</v>
      </c>
      <c r="F1273" s="460">
        <v>3</v>
      </c>
      <c r="G1273" s="460">
        <v>1</v>
      </c>
      <c r="H1273" s="461" t="s">
        <v>746</v>
      </c>
      <c r="I1273" s="461" t="s">
        <v>762</v>
      </c>
      <c r="J1273" s="461" t="s">
        <v>700</v>
      </c>
      <c r="K1273" s="594"/>
      <c r="L1273" s="594"/>
      <c r="M1273" s="352">
        <v>2000</v>
      </c>
      <c r="N1273" s="352" t="s">
        <v>703</v>
      </c>
      <c r="O1273" s="460">
        <v>2123</v>
      </c>
      <c r="P1273" s="460" t="s">
        <v>1878</v>
      </c>
      <c r="Q1273" s="460" t="s">
        <v>2289</v>
      </c>
      <c r="R1273" s="460">
        <v>2123</v>
      </c>
      <c r="S1273" s="460" t="s">
        <v>2265</v>
      </c>
      <c r="T1273" s="462">
        <v>0.74223365950407583</v>
      </c>
      <c r="U1273" s="460" t="s">
        <v>2274</v>
      </c>
      <c r="V1273" s="475">
        <v>0</v>
      </c>
      <c r="W1273" s="463" t="s">
        <v>2268</v>
      </c>
      <c r="X1273" s="463" t="s">
        <v>2268</v>
      </c>
      <c r="Y1273" s="463" t="s">
        <v>2290</v>
      </c>
      <c r="Z1273" s="463"/>
      <c r="AA1273" s="463"/>
      <c r="AB1273" s="464">
        <v>0</v>
      </c>
      <c r="AC1273" s="465">
        <v>0</v>
      </c>
      <c r="AD1273" s="465">
        <v>0</v>
      </c>
      <c r="AE1273" s="476">
        <v>0</v>
      </c>
      <c r="AF1273" s="467">
        <v>0</v>
      </c>
      <c r="AG1273" s="468">
        <v>0</v>
      </c>
      <c r="AH1273" s="218">
        <v>0</v>
      </c>
      <c r="AI1273" s="470">
        <v>0</v>
      </c>
      <c r="AJ1273" s="471">
        <v>0</v>
      </c>
      <c r="AK1273" s="218">
        <v>0</v>
      </c>
      <c r="AL1273" s="470">
        <v>0</v>
      </c>
      <c r="AM1273" s="471">
        <v>0</v>
      </c>
      <c r="AN1273" s="477">
        <v>0</v>
      </c>
      <c r="AO1273" s="473">
        <v>0</v>
      </c>
      <c r="AP1273" s="474">
        <v>0</v>
      </c>
      <c r="AQ1273" s="352"/>
      <c r="AR1273" s="352"/>
      <c r="AS1273" s="352"/>
      <c r="AT1273" s="352"/>
      <c r="AU1273" s="352"/>
      <c r="AV1273" s="352"/>
      <c r="AW1273" s="352" t="s">
        <v>254</v>
      </c>
    </row>
    <row r="1274" spans="2:49" x14ac:dyDescent="0.2">
      <c r="B1274" s="460" t="s">
        <v>2746</v>
      </c>
      <c r="C1274" s="460">
        <v>2123</v>
      </c>
      <c r="D1274" s="460" t="s">
        <v>2287</v>
      </c>
      <c r="E1274" s="460" t="s">
        <v>2277</v>
      </c>
      <c r="F1274" s="460">
        <v>4</v>
      </c>
      <c r="G1274" s="460">
        <v>1</v>
      </c>
      <c r="H1274" s="461" t="s">
        <v>746</v>
      </c>
      <c r="I1274" s="461" t="s">
        <v>762</v>
      </c>
      <c r="J1274" s="461" t="s">
        <v>700</v>
      </c>
      <c r="K1274" s="594"/>
      <c r="L1274" s="594"/>
      <c r="M1274" s="352">
        <v>2000</v>
      </c>
      <c r="N1274" s="352" t="s">
        <v>703</v>
      </c>
      <c r="O1274" s="460">
        <v>2123</v>
      </c>
      <c r="P1274" s="460" t="s">
        <v>1878</v>
      </c>
      <c r="Q1274" s="460" t="s">
        <v>2289</v>
      </c>
      <c r="R1274" s="460">
        <v>2123</v>
      </c>
      <c r="S1274" s="460" t="s">
        <v>2277</v>
      </c>
      <c r="T1274" s="462">
        <v>1</v>
      </c>
      <c r="U1274" s="460" t="s">
        <v>2277</v>
      </c>
      <c r="V1274" s="475">
        <v>0</v>
      </c>
      <c r="W1274" s="463" t="s">
        <v>2268</v>
      </c>
      <c r="X1274" s="463" t="s">
        <v>2268</v>
      </c>
      <c r="Y1274" s="463" t="s">
        <v>2290</v>
      </c>
      <c r="Z1274" s="463"/>
      <c r="AA1274" s="463"/>
      <c r="AB1274" s="464">
        <v>0</v>
      </c>
      <c r="AC1274" s="465">
        <v>0</v>
      </c>
      <c r="AD1274" s="465">
        <v>0</v>
      </c>
      <c r="AE1274" s="476">
        <v>0</v>
      </c>
      <c r="AF1274" s="467">
        <v>0</v>
      </c>
      <c r="AG1274" s="468">
        <v>0</v>
      </c>
      <c r="AH1274" s="218">
        <v>0</v>
      </c>
      <c r="AI1274" s="470">
        <v>0</v>
      </c>
      <c r="AJ1274" s="471">
        <v>0</v>
      </c>
      <c r="AK1274" s="218">
        <v>0</v>
      </c>
      <c r="AL1274" s="470">
        <v>0</v>
      </c>
      <c r="AM1274" s="471">
        <v>0</v>
      </c>
      <c r="AN1274" s="477">
        <v>0</v>
      </c>
      <c r="AO1274" s="473">
        <v>0</v>
      </c>
      <c r="AP1274" s="474">
        <v>0</v>
      </c>
      <c r="AQ1274" s="352"/>
      <c r="AR1274" s="352"/>
      <c r="AS1274" s="352"/>
      <c r="AT1274" s="352"/>
      <c r="AU1274" s="352"/>
      <c r="AV1274" s="352"/>
      <c r="AW1274" s="352" t="s">
        <v>254</v>
      </c>
    </row>
    <row r="1275" spans="2:49" x14ac:dyDescent="0.2">
      <c r="B1275" s="460" t="s">
        <v>2743</v>
      </c>
      <c r="C1275" s="460">
        <v>2123</v>
      </c>
      <c r="D1275" s="460" t="s">
        <v>2288</v>
      </c>
      <c r="E1275" s="460" t="s">
        <v>2265</v>
      </c>
      <c r="F1275" s="460">
        <v>1</v>
      </c>
      <c r="G1275" s="460">
        <v>1</v>
      </c>
      <c r="H1275" s="461" t="s">
        <v>748</v>
      </c>
      <c r="I1275" s="461" t="s">
        <v>765</v>
      </c>
      <c r="J1275" s="461" t="s">
        <v>700</v>
      </c>
      <c r="K1275" s="594"/>
      <c r="L1275" s="594"/>
      <c r="M1275" s="352">
        <v>2000</v>
      </c>
      <c r="N1275" s="352" t="s">
        <v>703</v>
      </c>
      <c r="O1275" s="460">
        <v>2123</v>
      </c>
      <c r="P1275" s="460" t="s">
        <v>1878</v>
      </c>
      <c r="Q1275" s="460" t="s">
        <v>2266</v>
      </c>
      <c r="R1275" s="460">
        <v>2123</v>
      </c>
      <c r="S1275" s="460" t="s">
        <v>2265</v>
      </c>
      <c r="T1275" s="462">
        <v>1</v>
      </c>
      <c r="U1275" s="460" t="s">
        <v>2265</v>
      </c>
      <c r="V1275" s="475">
        <v>0</v>
      </c>
      <c r="W1275" s="463" t="s">
        <v>2268</v>
      </c>
      <c r="X1275" s="463" t="s">
        <v>2268</v>
      </c>
      <c r="Y1275" s="463" t="s">
        <v>2267</v>
      </c>
      <c r="Z1275" s="463"/>
      <c r="AA1275" s="463"/>
      <c r="AB1275" s="464">
        <v>0</v>
      </c>
      <c r="AC1275" s="465">
        <v>0</v>
      </c>
      <c r="AD1275" s="465">
        <v>0</v>
      </c>
      <c r="AE1275" s="476">
        <v>0</v>
      </c>
      <c r="AF1275" s="467">
        <v>0</v>
      </c>
      <c r="AG1275" s="468">
        <v>0</v>
      </c>
      <c r="AH1275" s="218">
        <v>0</v>
      </c>
      <c r="AI1275" s="470">
        <v>0</v>
      </c>
      <c r="AJ1275" s="471">
        <v>0</v>
      </c>
      <c r="AK1275" s="218">
        <v>0</v>
      </c>
      <c r="AL1275" s="470">
        <v>0</v>
      </c>
      <c r="AM1275" s="471">
        <v>0</v>
      </c>
      <c r="AN1275" s="477">
        <v>44.759168396044338</v>
      </c>
      <c r="AO1275" s="473">
        <v>0.64158889231579042</v>
      </c>
      <c r="AP1275" s="474">
        <v>2.7795717541028672E-3</v>
      </c>
      <c r="AQ1275" s="352"/>
      <c r="AR1275" s="352"/>
      <c r="AS1275" s="352"/>
      <c r="AT1275" s="352"/>
      <c r="AU1275" s="352"/>
      <c r="AV1275" s="352"/>
      <c r="AW1275" s="352" t="s">
        <v>254</v>
      </c>
    </row>
    <row r="1276" spans="2:49" x14ac:dyDescent="0.2">
      <c r="B1276" s="460" t="s">
        <v>2744</v>
      </c>
      <c r="C1276" s="460">
        <v>2123</v>
      </c>
      <c r="D1276" s="460" t="s">
        <v>2291</v>
      </c>
      <c r="E1276" s="460" t="s">
        <v>2271</v>
      </c>
      <c r="F1276" s="460">
        <v>2</v>
      </c>
      <c r="G1276" s="460">
        <v>1</v>
      </c>
      <c r="H1276" s="461" t="s">
        <v>748</v>
      </c>
      <c r="I1276" s="461" t="s">
        <v>765</v>
      </c>
      <c r="J1276" s="461" t="s">
        <v>700</v>
      </c>
      <c r="K1276" s="594"/>
      <c r="L1276" s="594"/>
      <c r="M1276" s="352">
        <v>2000</v>
      </c>
      <c r="N1276" s="352" t="s">
        <v>703</v>
      </c>
      <c r="O1276" s="460">
        <v>2123</v>
      </c>
      <c r="P1276" s="460" t="s">
        <v>1878</v>
      </c>
      <c r="Q1276" s="460" t="s">
        <v>2266</v>
      </c>
      <c r="R1276" s="460">
        <v>2123</v>
      </c>
      <c r="S1276" s="460" t="s">
        <v>2265</v>
      </c>
      <c r="T1276" s="462">
        <v>1</v>
      </c>
      <c r="U1276" s="460" t="s">
        <v>2271</v>
      </c>
      <c r="V1276" s="475">
        <v>0</v>
      </c>
      <c r="W1276" s="463" t="s">
        <v>2268</v>
      </c>
      <c r="X1276" s="463" t="s">
        <v>2268</v>
      </c>
      <c r="Y1276" s="463" t="s">
        <v>2267</v>
      </c>
      <c r="Z1276" s="463"/>
      <c r="AA1276" s="463"/>
      <c r="AB1276" s="464">
        <v>0</v>
      </c>
      <c r="AC1276" s="465">
        <v>0</v>
      </c>
      <c r="AD1276" s="465">
        <v>0</v>
      </c>
      <c r="AE1276" s="476">
        <v>0</v>
      </c>
      <c r="AF1276" s="467">
        <v>0</v>
      </c>
      <c r="AG1276" s="468">
        <v>0</v>
      </c>
      <c r="AH1276" s="218">
        <v>0</v>
      </c>
      <c r="AI1276" s="470">
        <v>0</v>
      </c>
      <c r="AJ1276" s="471">
        <v>0</v>
      </c>
      <c r="AK1276" s="218">
        <v>0</v>
      </c>
      <c r="AL1276" s="470">
        <v>0</v>
      </c>
      <c r="AM1276" s="471">
        <v>0</v>
      </c>
      <c r="AN1276" s="477">
        <v>56.141842025551647</v>
      </c>
      <c r="AO1276" s="473">
        <v>0.64158889231579042</v>
      </c>
      <c r="AP1276" s="474">
        <v>3.5708500616646204E-3</v>
      </c>
      <c r="AQ1276" s="352"/>
      <c r="AR1276" s="352"/>
      <c r="AS1276" s="352"/>
      <c r="AT1276" s="352"/>
      <c r="AU1276" s="352"/>
      <c r="AV1276" s="352"/>
      <c r="AW1276" s="352" t="s">
        <v>254</v>
      </c>
    </row>
    <row r="1277" spans="2:49" x14ac:dyDescent="0.2">
      <c r="B1277" s="460" t="s">
        <v>2745</v>
      </c>
      <c r="C1277" s="460">
        <v>2123</v>
      </c>
      <c r="D1277" s="460" t="s">
        <v>2292</v>
      </c>
      <c r="E1277" s="460" t="s">
        <v>2274</v>
      </c>
      <c r="F1277" s="460">
        <v>3</v>
      </c>
      <c r="G1277" s="460">
        <v>1</v>
      </c>
      <c r="H1277" s="461" t="s">
        <v>748</v>
      </c>
      <c r="I1277" s="461" t="s">
        <v>765</v>
      </c>
      <c r="J1277" s="461" t="s">
        <v>700</v>
      </c>
      <c r="K1277" s="594"/>
      <c r="L1277" s="594"/>
      <c r="M1277" s="352">
        <v>2000</v>
      </c>
      <c r="N1277" s="352" t="s">
        <v>703</v>
      </c>
      <c r="O1277" s="460">
        <v>2123</v>
      </c>
      <c r="P1277" s="460" t="s">
        <v>1878</v>
      </c>
      <c r="Q1277" s="460" t="s">
        <v>2266</v>
      </c>
      <c r="R1277" s="460">
        <v>2123</v>
      </c>
      <c r="S1277" s="460" t="s">
        <v>2265</v>
      </c>
      <c r="T1277" s="462">
        <v>0.74223365950407583</v>
      </c>
      <c r="U1277" s="460" t="s">
        <v>2274</v>
      </c>
      <c r="V1277" s="475">
        <v>0</v>
      </c>
      <c r="W1277" s="463" t="s">
        <v>2268</v>
      </c>
      <c r="X1277" s="463" t="s">
        <v>2268</v>
      </c>
      <c r="Y1277" s="463" t="s">
        <v>2267</v>
      </c>
      <c r="Z1277" s="463"/>
      <c r="AA1277" s="463"/>
      <c r="AB1277" s="464">
        <v>0</v>
      </c>
      <c r="AC1277" s="465">
        <v>0</v>
      </c>
      <c r="AD1277" s="465">
        <v>0</v>
      </c>
      <c r="AE1277" s="476">
        <v>0</v>
      </c>
      <c r="AF1277" s="467">
        <v>0</v>
      </c>
      <c r="AG1277" s="468">
        <v>0</v>
      </c>
      <c r="AH1277" s="218">
        <v>0</v>
      </c>
      <c r="AI1277" s="470">
        <v>0</v>
      </c>
      <c r="AJ1277" s="471">
        <v>0</v>
      </c>
      <c r="AK1277" s="218">
        <v>0</v>
      </c>
      <c r="AL1277" s="470">
        <v>0</v>
      </c>
      <c r="AM1277" s="471">
        <v>0</v>
      </c>
      <c r="AN1277" s="477">
        <v>17.268188656727947</v>
      </c>
      <c r="AO1277" s="473">
        <v>0.47620887144071555</v>
      </c>
      <c r="AP1277" s="474">
        <v>2.4313055218264635E-3</v>
      </c>
      <c r="AQ1277" s="352"/>
      <c r="AR1277" s="352"/>
      <c r="AS1277" s="352"/>
      <c r="AT1277" s="352"/>
      <c r="AU1277" s="352"/>
      <c r="AV1277" s="352"/>
      <c r="AW1277" s="352" t="s">
        <v>254</v>
      </c>
    </row>
    <row r="1278" spans="2:49" x14ac:dyDescent="0.2">
      <c r="B1278" s="460" t="s">
        <v>2746</v>
      </c>
      <c r="C1278" s="460">
        <v>2123</v>
      </c>
      <c r="D1278" s="460" t="s">
        <v>2293</v>
      </c>
      <c r="E1278" s="460" t="s">
        <v>2277</v>
      </c>
      <c r="F1278" s="460">
        <v>4</v>
      </c>
      <c r="G1278" s="460">
        <v>1</v>
      </c>
      <c r="H1278" s="461" t="s">
        <v>748</v>
      </c>
      <c r="I1278" s="461" t="s">
        <v>765</v>
      </c>
      <c r="J1278" s="461" t="s">
        <v>700</v>
      </c>
      <c r="K1278" s="594"/>
      <c r="L1278" s="594"/>
      <c r="M1278" s="352">
        <v>2000</v>
      </c>
      <c r="N1278" s="352" t="s">
        <v>703</v>
      </c>
      <c r="O1278" s="460">
        <v>2123</v>
      </c>
      <c r="P1278" s="460" t="s">
        <v>1878</v>
      </c>
      <c r="Q1278" s="460" t="s">
        <v>2266</v>
      </c>
      <c r="R1278" s="460">
        <v>2123</v>
      </c>
      <c r="S1278" s="460" t="s">
        <v>2277</v>
      </c>
      <c r="T1278" s="462">
        <v>1</v>
      </c>
      <c r="U1278" s="460" t="s">
        <v>2277</v>
      </c>
      <c r="V1278" s="475">
        <v>0</v>
      </c>
      <c r="W1278" s="463" t="s">
        <v>2268</v>
      </c>
      <c r="X1278" s="463" t="s">
        <v>2268</v>
      </c>
      <c r="Y1278" s="463" t="s">
        <v>2278</v>
      </c>
      <c r="Z1278" s="463"/>
      <c r="AA1278" s="463"/>
      <c r="AB1278" s="464">
        <v>0</v>
      </c>
      <c r="AC1278" s="465">
        <v>0</v>
      </c>
      <c r="AD1278" s="465">
        <v>0</v>
      </c>
      <c r="AE1278" s="476">
        <v>0</v>
      </c>
      <c r="AF1278" s="467">
        <v>0</v>
      </c>
      <c r="AG1278" s="468">
        <v>0</v>
      </c>
      <c r="AH1278" s="218">
        <v>0</v>
      </c>
      <c r="AI1278" s="470">
        <v>0</v>
      </c>
      <c r="AJ1278" s="471">
        <v>0</v>
      </c>
      <c r="AK1278" s="218">
        <v>0</v>
      </c>
      <c r="AL1278" s="470">
        <v>0</v>
      </c>
      <c r="AM1278" s="471">
        <v>0</v>
      </c>
      <c r="AN1278" s="477">
        <v>5.0130013505054929E-2</v>
      </c>
      <c r="AO1278" s="473">
        <v>1.7991064820584561E-3</v>
      </c>
      <c r="AP1278" s="474">
        <v>1.2104477443684169E-3</v>
      </c>
      <c r="AQ1278" s="352"/>
      <c r="AR1278" s="352"/>
      <c r="AS1278" s="352"/>
      <c r="AT1278" s="352"/>
      <c r="AU1278" s="352"/>
      <c r="AV1278" s="352"/>
      <c r="AW1278" s="352" t="s">
        <v>254</v>
      </c>
    </row>
    <row r="1279" spans="2:49" x14ac:dyDescent="0.2">
      <c r="B1279" s="460" t="s">
        <v>2747</v>
      </c>
      <c r="C1279" s="460">
        <v>2123</v>
      </c>
      <c r="D1279" s="460" t="s">
        <v>2295</v>
      </c>
      <c r="E1279" s="460" t="s">
        <v>2296</v>
      </c>
      <c r="F1279" s="460">
        <v>1</v>
      </c>
      <c r="G1279" s="460">
        <v>2</v>
      </c>
      <c r="H1279" s="461" t="s">
        <v>700</v>
      </c>
      <c r="I1279" s="461" t="s">
        <v>872</v>
      </c>
      <c r="J1279" s="461" t="s">
        <v>700</v>
      </c>
      <c r="K1279" s="594"/>
      <c r="L1279" s="594"/>
      <c r="M1279" s="352">
        <v>2000</v>
      </c>
      <c r="N1279" s="352" t="s">
        <v>703</v>
      </c>
      <c r="O1279" s="460">
        <v>2123</v>
      </c>
      <c r="P1279" s="460" t="s">
        <v>1878</v>
      </c>
      <c r="Q1279" s="460" t="s">
        <v>2266</v>
      </c>
      <c r="R1279" s="460">
        <v>2123</v>
      </c>
      <c r="S1279" s="460" t="s">
        <v>2296</v>
      </c>
      <c r="T1279" s="462">
        <v>1</v>
      </c>
      <c r="U1279" s="460" t="s">
        <v>2296</v>
      </c>
      <c r="V1279" s="475">
        <v>0</v>
      </c>
      <c r="W1279" s="463" t="s">
        <v>2267</v>
      </c>
      <c r="X1279" s="463" t="s">
        <v>2267</v>
      </c>
      <c r="Y1279" s="463" t="s">
        <v>2268</v>
      </c>
      <c r="Z1279" s="463"/>
      <c r="AA1279" s="463"/>
      <c r="AB1279" s="464">
        <v>5.5889800152833065</v>
      </c>
      <c r="AC1279" s="465">
        <v>0.35527639469667205</v>
      </c>
      <c r="AD1279" s="465">
        <v>3.2647314842685114E-4</v>
      </c>
      <c r="AE1279" s="476">
        <v>5.5889800152833065</v>
      </c>
      <c r="AF1279" s="467">
        <v>0.35527639469667205</v>
      </c>
      <c r="AG1279" s="468">
        <v>3.6289268885184397E-4</v>
      </c>
      <c r="AH1279" s="218">
        <v>5.5889800152833065</v>
      </c>
      <c r="AI1279" s="470">
        <v>0.35527639469667205</v>
      </c>
      <c r="AJ1279" s="471">
        <v>3.3340134393831288E-4</v>
      </c>
      <c r="AK1279" s="218">
        <v>5.5889800152833065</v>
      </c>
      <c r="AL1279" s="470">
        <v>0.35527639469667205</v>
      </c>
      <c r="AM1279" s="471">
        <v>3.3340134393831288E-4</v>
      </c>
      <c r="AN1279" s="477">
        <v>0</v>
      </c>
      <c r="AO1279" s="473">
        <v>0</v>
      </c>
      <c r="AP1279" s="474">
        <v>0</v>
      </c>
      <c r="AQ1279" s="352"/>
      <c r="AR1279" s="352"/>
      <c r="AS1279" s="352"/>
      <c r="AT1279" s="352"/>
      <c r="AU1279" s="352"/>
      <c r="AV1279" s="352"/>
      <c r="AW1279" s="352" t="s">
        <v>254</v>
      </c>
    </row>
    <row r="1280" spans="2:49" x14ac:dyDescent="0.2">
      <c r="B1280" s="460" t="s">
        <v>2748</v>
      </c>
      <c r="C1280" s="460">
        <v>2123</v>
      </c>
      <c r="D1280" s="460" t="s">
        <v>2298</v>
      </c>
      <c r="E1280" s="460" t="s">
        <v>2299</v>
      </c>
      <c r="F1280" s="460">
        <v>2</v>
      </c>
      <c r="G1280" s="460">
        <v>2</v>
      </c>
      <c r="H1280" s="461" t="s">
        <v>700</v>
      </c>
      <c r="I1280" s="461" t="s">
        <v>872</v>
      </c>
      <c r="J1280" s="461" t="s">
        <v>700</v>
      </c>
      <c r="K1280" s="594"/>
      <c r="L1280" s="594"/>
      <c r="M1280" s="352">
        <v>2000</v>
      </c>
      <c r="N1280" s="352" t="s">
        <v>703</v>
      </c>
      <c r="O1280" s="460">
        <v>2123</v>
      </c>
      <c r="P1280" s="460" t="s">
        <v>1878</v>
      </c>
      <c r="Q1280" s="460" t="s">
        <v>2266</v>
      </c>
      <c r="R1280" s="460">
        <v>2123</v>
      </c>
      <c r="S1280" s="460" t="s">
        <v>2296</v>
      </c>
      <c r="T1280" s="462">
        <v>0.55517361979372948</v>
      </c>
      <c r="U1280" s="460" t="s">
        <v>2299</v>
      </c>
      <c r="V1280" s="475">
        <v>0</v>
      </c>
      <c r="W1280" s="463" t="s">
        <v>2267</v>
      </c>
      <c r="X1280" s="463" t="s">
        <v>2267</v>
      </c>
      <c r="Y1280" s="463" t="s">
        <v>2268</v>
      </c>
      <c r="Z1280" s="463"/>
      <c r="AA1280" s="463"/>
      <c r="AB1280" s="464">
        <v>1.8367351116180077</v>
      </c>
      <c r="AC1280" s="465">
        <v>0.17772364679998998</v>
      </c>
      <c r="AD1280" s="465">
        <v>5.5575827004630146E-4</v>
      </c>
      <c r="AE1280" s="476">
        <v>1.8367351116180077</v>
      </c>
      <c r="AF1280" s="467">
        <v>0.17772364679998998</v>
      </c>
      <c r="AG1280" s="468">
        <v>6.2366805682288198E-4</v>
      </c>
      <c r="AH1280" s="218">
        <v>2.0384332117940489</v>
      </c>
      <c r="AI1280" s="470">
        <v>0.19724008207101718</v>
      </c>
      <c r="AJ1280" s="471">
        <v>4.800257013297951E-4</v>
      </c>
      <c r="AK1280" s="218">
        <v>2.0384332117940489</v>
      </c>
      <c r="AL1280" s="470">
        <v>0.19724008207101718</v>
      </c>
      <c r="AM1280" s="471">
        <v>4.800257013297951E-4</v>
      </c>
      <c r="AN1280" s="477">
        <v>0</v>
      </c>
      <c r="AO1280" s="473">
        <v>0</v>
      </c>
      <c r="AP1280" s="474">
        <v>0</v>
      </c>
      <c r="AQ1280" s="352"/>
      <c r="AR1280" s="352"/>
      <c r="AS1280" s="352"/>
      <c r="AT1280" s="352"/>
      <c r="AU1280" s="352"/>
      <c r="AV1280" s="352"/>
      <c r="AW1280" s="352" t="s">
        <v>254</v>
      </c>
    </row>
    <row r="1281" spans="2:49" x14ac:dyDescent="0.2">
      <c r="B1281" s="460" t="s">
        <v>2749</v>
      </c>
      <c r="C1281" s="460">
        <v>2123</v>
      </c>
      <c r="D1281" s="460" t="s">
        <v>2301</v>
      </c>
      <c r="E1281" s="460" t="s">
        <v>2302</v>
      </c>
      <c r="F1281" s="460">
        <v>3</v>
      </c>
      <c r="G1281" s="460">
        <v>2</v>
      </c>
      <c r="H1281" s="461" t="s">
        <v>700</v>
      </c>
      <c r="I1281" s="461" t="s">
        <v>872</v>
      </c>
      <c r="J1281" s="461" t="s">
        <v>700</v>
      </c>
      <c r="K1281" s="594"/>
      <c r="L1281" s="594"/>
      <c r="M1281" s="352">
        <v>2000</v>
      </c>
      <c r="N1281" s="352" t="s">
        <v>703</v>
      </c>
      <c r="O1281" s="460">
        <v>2123</v>
      </c>
      <c r="P1281" s="460" t="s">
        <v>1878</v>
      </c>
      <c r="Q1281" s="460" t="s">
        <v>2266</v>
      </c>
      <c r="R1281" s="460">
        <v>2123</v>
      </c>
      <c r="S1281" s="460" t="s">
        <v>2296</v>
      </c>
      <c r="T1281" s="462">
        <v>0.28481449642268464</v>
      </c>
      <c r="U1281" s="460" t="s">
        <v>2302</v>
      </c>
      <c r="V1281" s="475">
        <v>0</v>
      </c>
      <c r="W1281" s="463" t="s">
        <v>2267</v>
      </c>
      <c r="X1281" s="463" t="s">
        <v>2267</v>
      </c>
      <c r="Y1281" s="463" t="s">
        <v>2268</v>
      </c>
      <c r="Z1281" s="463"/>
      <c r="AA1281" s="463"/>
      <c r="AB1281" s="464">
        <v>0.14486891324784668</v>
      </c>
      <c r="AC1281" s="465">
        <v>2.3322537823986595E-2</v>
      </c>
      <c r="AD1281" s="465">
        <v>2.8179000753450836E-4</v>
      </c>
      <c r="AE1281" s="476">
        <v>0.14486891324784668</v>
      </c>
      <c r="AF1281" s="467">
        <v>2.3322537823986595E-2</v>
      </c>
      <c r="AG1281" s="468">
        <v>3.1798268421697482E-4</v>
      </c>
      <c r="AH1281" s="218">
        <v>0.62853264518026486</v>
      </c>
      <c r="AI1281" s="470">
        <v>0.1011878674463996</v>
      </c>
      <c r="AJ1281" s="471">
        <v>6.5249163229278936E-4</v>
      </c>
      <c r="AK1281" s="218">
        <v>0.62853264518026486</v>
      </c>
      <c r="AL1281" s="470">
        <v>0.1011878674463996</v>
      </c>
      <c r="AM1281" s="471">
        <v>6.5249163229278936E-4</v>
      </c>
      <c r="AN1281" s="477">
        <v>0</v>
      </c>
      <c r="AO1281" s="473">
        <v>0</v>
      </c>
      <c r="AP1281" s="474">
        <v>0</v>
      </c>
      <c r="AQ1281" s="352"/>
      <c r="AR1281" s="352"/>
      <c r="AS1281" s="352"/>
      <c r="AT1281" s="352"/>
      <c r="AU1281" s="352"/>
      <c r="AV1281" s="352"/>
      <c r="AW1281" s="352" t="s">
        <v>254</v>
      </c>
    </row>
    <row r="1282" spans="2:49" x14ac:dyDescent="0.2">
      <c r="B1282" s="460" t="s">
        <v>2750</v>
      </c>
      <c r="C1282" s="460">
        <v>2123</v>
      </c>
      <c r="D1282" s="460" t="s">
        <v>2304</v>
      </c>
      <c r="E1282" s="460" t="s">
        <v>2305</v>
      </c>
      <c r="F1282" s="460">
        <v>4</v>
      </c>
      <c r="G1282" s="460">
        <v>2</v>
      </c>
      <c r="H1282" s="461" t="s">
        <v>700</v>
      </c>
      <c r="I1282" s="461" t="s">
        <v>872</v>
      </c>
      <c r="J1282" s="461" t="s">
        <v>700</v>
      </c>
      <c r="K1282" s="594"/>
      <c r="L1282" s="594"/>
      <c r="M1282" s="352">
        <v>2000</v>
      </c>
      <c r="N1282" s="352" t="s">
        <v>703</v>
      </c>
      <c r="O1282" s="460">
        <v>2123</v>
      </c>
      <c r="P1282" s="460" t="s">
        <v>1878</v>
      </c>
      <c r="Q1282" s="460" t="s">
        <v>2266</v>
      </c>
      <c r="R1282" s="460">
        <v>2123</v>
      </c>
      <c r="S1282" s="460" t="s">
        <v>2305</v>
      </c>
      <c r="T1282" s="462">
        <v>1</v>
      </c>
      <c r="U1282" s="460" t="s">
        <v>2305</v>
      </c>
      <c r="V1282" s="475">
        <v>0</v>
      </c>
      <c r="W1282" s="463" t="s">
        <v>2278</v>
      </c>
      <c r="X1282" s="463" t="s">
        <v>2278</v>
      </c>
      <c r="Y1282" s="463" t="s">
        <v>2268</v>
      </c>
      <c r="Z1282" s="463"/>
      <c r="AA1282" s="463"/>
      <c r="AB1282" s="464">
        <v>0</v>
      </c>
      <c r="AC1282" s="465">
        <v>0</v>
      </c>
      <c r="AD1282" s="465">
        <v>0</v>
      </c>
      <c r="AE1282" s="476">
        <v>0</v>
      </c>
      <c r="AF1282" s="467">
        <v>0</v>
      </c>
      <c r="AG1282" s="468">
        <v>0</v>
      </c>
      <c r="AH1282" s="218">
        <v>0</v>
      </c>
      <c r="AI1282" s="470">
        <v>0</v>
      </c>
      <c r="AJ1282" s="471">
        <v>0</v>
      </c>
      <c r="AK1282" s="218">
        <v>0</v>
      </c>
      <c r="AL1282" s="470">
        <v>0</v>
      </c>
      <c r="AM1282" s="471">
        <v>0</v>
      </c>
      <c r="AN1282" s="477">
        <v>0</v>
      </c>
      <c r="AO1282" s="473">
        <v>0</v>
      </c>
      <c r="AP1282" s="474">
        <v>0</v>
      </c>
      <c r="AQ1282" s="352"/>
      <c r="AR1282" s="352"/>
      <c r="AS1282" s="352"/>
      <c r="AT1282" s="352"/>
      <c r="AU1282" s="352"/>
      <c r="AV1282" s="352"/>
      <c r="AW1282" s="352" t="s">
        <v>254</v>
      </c>
    </row>
    <row r="1283" spans="2:49" x14ac:dyDescent="0.2">
      <c r="B1283" s="460" t="s">
        <v>2747</v>
      </c>
      <c r="C1283" s="460">
        <v>2123</v>
      </c>
      <c r="D1283" s="460" t="s">
        <v>2306</v>
      </c>
      <c r="E1283" s="460" t="s">
        <v>2296</v>
      </c>
      <c r="F1283" s="460">
        <v>1</v>
      </c>
      <c r="G1283" s="460">
        <v>2</v>
      </c>
      <c r="H1283" s="461" t="s">
        <v>712</v>
      </c>
      <c r="I1283" s="461" t="s">
        <v>713</v>
      </c>
      <c r="J1283" s="461" t="s">
        <v>712</v>
      </c>
      <c r="K1283" s="594"/>
      <c r="L1283" s="594"/>
      <c r="M1283" s="352">
        <v>2000</v>
      </c>
      <c r="N1283" s="352" t="s">
        <v>703</v>
      </c>
      <c r="O1283" s="460">
        <v>2123</v>
      </c>
      <c r="P1283" s="460" t="s">
        <v>1878</v>
      </c>
      <c r="Q1283" s="460" t="s">
        <v>2280</v>
      </c>
      <c r="R1283" s="460">
        <v>2123</v>
      </c>
      <c r="S1283" s="460" t="s">
        <v>2296</v>
      </c>
      <c r="T1283" s="462">
        <v>1</v>
      </c>
      <c r="U1283" s="460" t="s">
        <v>2296</v>
      </c>
      <c r="V1283" s="475">
        <v>0</v>
      </c>
      <c r="W1283" s="463" t="s">
        <v>713</v>
      </c>
      <c r="X1283" s="463" t="s">
        <v>713</v>
      </c>
      <c r="Y1283" s="463" t="s">
        <v>713</v>
      </c>
      <c r="Z1283" s="463"/>
      <c r="AA1283" s="463"/>
      <c r="AB1283" s="464">
        <v>10.142377594487158</v>
      </c>
      <c r="AC1283" s="465">
        <v>0.64472360530332795</v>
      </c>
      <c r="AD1283" s="465">
        <v>8.7721189307665446E-5</v>
      </c>
      <c r="AE1283" s="476">
        <v>10.142377594487158</v>
      </c>
      <c r="AF1283" s="467">
        <v>0.64472360530332795</v>
      </c>
      <c r="AG1283" s="468">
        <v>8.6436776492315891E-5</v>
      </c>
      <c r="AH1283" s="218">
        <v>10.142377594487158</v>
      </c>
      <c r="AI1283" s="470">
        <v>0.64472360530332795</v>
      </c>
      <c r="AJ1283" s="471">
        <v>8.7452114567803462E-5</v>
      </c>
      <c r="AK1283" s="218">
        <v>10.142377594487158</v>
      </c>
      <c r="AL1283" s="470">
        <v>0.64472360530332795</v>
      </c>
      <c r="AM1283" s="471">
        <v>8.7452114567803462E-5</v>
      </c>
      <c r="AN1283" s="477">
        <v>10.142377594487158</v>
      </c>
      <c r="AO1283" s="473">
        <v>0.64472360530332795</v>
      </c>
      <c r="AP1283" s="474">
        <v>8.7430652615005068E-5</v>
      </c>
      <c r="AQ1283" s="352"/>
      <c r="AR1283" s="352"/>
      <c r="AS1283" s="352"/>
      <c r="AT1283" s="352"/>
      <c r="AU1283" s="352"/>
      <c r="AV1283" s="352"/>
      <c r="AW1283" s="352" t="s">
        <v>254</v>
      </c>
    </row>
    <row r="1284" spans="2:49" x14ac:dyDescent="0.2">
      <c r="B1284" s="460" t="s">
        <v>2748</v>
      </c>
      <c r="C1284" s="460">
        <v>2123</v>
      </c>
      <c r="D1284" s="460" t="s">
        <v>2307</v>
      </c>
      <c r="E1284" s="460" t="s">
        <v>2299</v>
      </c>
      <c r="F1284" s="460">
        <v>2</v>
      </c>
      <c r="G1284" s="460">
        <v>2</v>
      </c>
      <c r="H1284" s="461" t="s">
        <v>712</v>
      </c>
      <c r="I1284" s="461" t="s">
        <v>713</v>
      </c>
      <c r="J1284" s="461" t="s">
        <v>712</v>
      </c>
      <c r="K1284" s="594"/>
      <c r="L1284" s="594"/>
      <c r="M1284" s="352">
        <v>2000</v>
      </c>
      <c r="N1284" s="352" t="s">
        <v>703</v>
      </c>
      <c r="O1284" s="460">
        <v>2123</v>
      </c>
      <c r="P1284" s="460" t="s">
        <v>1878</v>
      </c>
      <c r="Q1284" s="460" t="s">
        <v>2280</v>
      </c>
      <c r="R1284" s="460">
        <v>2123</v>
      </c>
      <c r="S1284" s="460" t="s">
        <v>2296</v>
      </c>
      <c r="T1284" s="462">
        <v>0.55517361979372948</v>
      </c>
      <c r="U1284" s="460" t="s">
        <v>2299</v>
      </c>
      <c r="V1284" s="475">
        <v>0</v>
      </c>
      <c r="W1284" s="463" t="s">
        <v>713</v>
      </c>
      <c r="X1284" s="463" t="s">
        <v>713</v>
      </c>
      <c r="Y1284" s="463" t="s">
        <v>713</v>
      </c>
      <c r="Z1284" s="463"/>
      <c r="AA1284" s="463"/>
      <c r="AB1284" s="464">
        <v>8.4980466953582336</v>
      </c>
      <c r="AC1284" s="465">
        <v>0.82227635320001002</v>
      </c>
      <c r="AD1284" s="465">
        <v>9.8294803154077442E-5</v>
      </c>
      <c r="AE1284" s="476">
        <v>8.4980466953582336</v>
      </c>
      <c r="AF1284" s="467">
        <v>0.82227635320001002</v>
      </c>
      <c r="AG1284" s="468">
        <v>9.7887350194478389E-5</v>
      </c>
      <c r="AH1284" s="218">
        <v>8.2963485951821934</v>
      </c>
      <c r="AI1284" s="470">
        <v>0.80275991792898282</v>
      </c>
      <c r="AJ1284" s="471">
        <v>9.7199201003361432E-5</v>
      </c>
      <c r="AK1284" s="218">
        <v>8.2963485951821934</v>
      </c>
      <c r="AL1284" s="470">
        <v>0.80275991792898282</v>
      </c>
      <c r="AM1284" s="471">
        <v>9.7199201003361432E-5</v>
      </c>
      <c r="AN1284" s="477">
        <v>8.2963485951821934</v>
      </c>
      <c r="AO1284" s="473">
        <v>0.80275991792898282</v>
      </c>
      <c r="AP1284" s="474">
        <v>9.7186931091311352E-5</v>
      </c>
      <c r="AQ1284" s="352"/>
      <c r="AR1284" s="352"/>
      <c r="AS1284" s="352"/>
      <c r="AT1284" s="352"/>
      <c r="AU1284" s="352"/>
      <c r="AV1284" s="352"/>
      <c r="AW1284" s="352" t="s">
        <v>254</v>
      </c>
    </row>
    <row r="1285" spans="2:49" x14ac:dyDescent="0.2">
      <c r="B1285" s="460" t="s">
        <v>2749</v>
      </c>
      <c r="C1285" s="460">
        <v>2123</v>
      </c>
      <c r="D1285" s="460" t="s">
        <v>2308</v>
      </c>
      <c r="E1285" s="460" t="s">
        <v>2302</v>
      </c>
      <c r="F1285" s="460">
        <v>3</v>
      </c>
      <c r="G1285" s="460">
        <v>2</v>
      </c>
      <c r="H1285" s="461" t="s">
        <v>712</v>
      </c>
      <c r="I1285" s="461" t="s">
        <v>713</v>
      </c>
      <c r="J1285" s="461" t="s">
        <v>712</v>
      </c>
      <c r="K1285" s="594"/>
      <c r="L1285" s="594"/>
      <c r="M1285" s="352">
        <v>2000</v>
      </c>
      <c r="N1285" s="352" t="s">
        <v>703</v>
      </c>
      <c r="O1285" s="460">
        <v>2123</v>
      </c>
      <c r="P1285" s="460" t="s">
        <v>1878</v>
      </c>
      <c r="Q1285" s="460" t="s">
        <v>2280</v>
      </c>
      <c r="R1285" s="460">
        <v>2123</v>
      </c>
      <c r="S1285" s="460" t="s">
        <v>2296</v>
      </c>
      <c r="T1285" s="462">
        <v>0.28481449642268464</v>
      </c>
      <c r="U1285" s="460" t="s">
        <v>2302</v>
      </c>
      <c r="V1285" s="475">
        <v>0</v>
      </c>
      <c r="W1285" s="463" t="s">
        <v>713</v>
      </c>
      <c r="X1285" s="463" t="s">
        <v>713</v>
      </c>
      <c r="Y1285" s="463" t="s">
        <v>713</v>
      </c>
      <c r="Z1285" s="463"/>
      <c r="AA1285" s="463"/>
      <c r="AB1285" s="464">
        <v>6.066672658306727</v>
      </c>
      <c r="AC1285" s="465">
        <v>0.97667746217601337</v>
      </c>
      <c r="AD1285" s="465">
        <v>1.7646434762138633E-4</v>
      </c>
      <c r="AE1285" s="476">
        <v>6.066672658306727</v>
      </c>
      <c r="AF1285" s="467">
        <v>0.97667746217601337</v>
      </c>
      <c r="AG1285" s="468">
        <v>1.7616450617159496E-4</v>
      </c>
      <c r="AH1285" s="218">
        <v>5.5830089263743092</v>
      </c>
      <c r="AI1285" s="470">
        <v>0.89881213255360037</v>
      </c>
      <c r="AJ1285" s="471">
        <v>1.6454564564958571E-4</v>
      </c>
      <c r="AK1285" s="218">
        <v>5.5830089263743092</v>
      </c>
      <c r="AL1285" s="470">
        <v>0.89881213255360037</v>
      </c>
      <c r="AM1285" s="471">
        <v>1.6454564564958571E-4</v>
      </c>
      <c r="AN1285" s="477">
        <v>5.5830089263743092</v>
      </c>
      <c r="AO1285" s="473">
        <v>0.89881213255360037</v>
      </c>
      <c r="AP1285" s="474">
        <v>1.6468872722568938E-4</v>
      </c>
      <c r="AQ1285" s="352"/>
      <c r="AR1285" s="352"/>
      <c r="AS1285" s="352"/>
      <c r="AT1285" s="352"/>
      <c r="AU1285" s="352"/>
      <c r="AV1285" s="352"/>
      <c r="AW1285" s="352" t="s">
        <v>254</v>
      </c>
    </row>
    <row r="1286" spans="2:49" x14ac:dyDescent="0.2">
      <c r="B1286" s="460" t="s">
        <v>2750</v>
      </c>
      <c r="C1286" s="460">
        <v>2123</v>
      </c>
      <c r="D1286" s="460" t="s">
        <v>2309</v>
      </c>
      <c r="E1286" s="460" t="s">
        <v>2305</v>
      </c>
      <c r="F1286" s="460">
        <v>4</v>
      </c>
      <c r="G1286" s="460">
        <v>2</v>
      </c>
      <c r="H1286" s="461" t="s">
        <v>712</v>
      </c>
      <c r="I1286" s="461" t="s">
        <v>713</v>
      </c>
      <c r="J1286" s="461" t="s">
        <v>712</v>
      </c>
      <c r="K1286" s="594"/>
      <c r="L1286" s="594"/>
      <c r="M1286" s="352">
        <v>2000</v>
      </c>
      <c r="N1286" s="352" t="s">
        <v>703</v>
      </c>
      <c r="O1286" s="460">
        <v>2123</v>
      </c>
      <c r="P1286" s="460" t="s">
        <v>1878</v>
      </c>
      <c r="Q1286" s="460" t="s">
        <v>2280</v>
      </c>
      <c r="R1286" s="460">
        <v>2123</v>
      </c>
      <c r="S1286" s="460" t="s">
        <v>2305</v>
      </c>
      <c r="T1286" s="462">
        <v>1</v>
      </c>
      <c r="U1286" s="460" t="s">
        <v>2305</v>
      </c>
      <c r="V1286" s="475">
        <v>0</v>
      </c>
      <c r="W1286" s="463" t="s">
        <v>713</v>
      </c>
      <c r="X1286" s="463" t="s">
        <v>713</v>
      </c>
      <c r="Y1286" s="463" t="s">
        <v>713</v>
      </c>
      <c r="Z1286" s="463"/>
      <c r="AA1286" s="463"/>
      <c r="AB1286" s="464">
        <v>6.8783897882061886</v>
      </c>
      <c r="AC1286" s="465">
        <v>1</v>
      </c>
      <c r="AD1286" s="465">
        <v>1.7567340397946348E-4</v>
      </c>
      <c r="AE1286" s="476">
        <v>6.8783897882061886</v>
      </c>
      <c r="AF1286" s="467">
        <v>1</v>
      </c>
      <c r="AG1286" s="468">
        <v>1.7566776901144755E-4</v>
      </c>
      <c r="AH1286" s="218">
        <v>6.8783897882061886</v>
      </c>
      <c r="AI1286" s="470">
        <v>1</v>
      </c>
      <c r="AJ1286" s="471">
        <v>1.7566798166254667E-4</v>
      </c>
      <c r="AK1286" s="218">
        <v>6.8783897882061886</v>
      </c>
      <c r="AL1286" s="470">
        <v>1</v>
      </c>
      <c r="AM1286" s="471">
        <v>1.7566798166254667E-4</v>
      </c>
      <c r="AN1286" s="477">
        <v>6.8783897882061886</v>
      </c>
      <c r="AO1286" s="473">
        <v>1</v>
      </c>
      <c r="AP1286" s="474">
        <v>1.7566819653942324E-4</v>
      </c>
      <c r="AQ1286" s="352"/>
      <c r="AR1286" s="352"/>
      <c r="AS1286" s="352"/>
      <c r="AT1286" s="352"/>
      <c r="AU1286" s="352"/>
      <c r="AV1286" s="352"/>
      <c r="AW1286" s="352" t="s">
        <v>254</v>
      </c>
    </row>
    <row r="1287" spans="2:49" x14ac:dyDescent="0.2">
      <c r="B1287" s="460" t="s">
        <v>2747</v>
      </c>
      <c r="C1287" s="460">
        <v>2123</v>
      </c>
      <c r="D1287" s="460" t="s">
        <v>2310</v>
      </c>
      <c r="E1287" s="460" t="s">
        <v>2296</v>
      </c>
      <c r="F1287" s="460">
        <v>1</v>
      </c>
      <c r="G1287" s="460">
        <v>2</v>
      </c>
      <c r="H1287" s="461" t="s">
        <v>746</v>
      </c>
      <c r="I1287" s="461" t="s">
        <v>762</v>
      </c>
      <c r="J1287" s="461" t="s">
        <v>700</v>
      </c>
      <c r="K1287" s="594"/>
      <c r="L1287" s="594"/>
      <c r="M1287" s="352">
        <v>2000</v>
      </c>
      <c r="N1287" s="352" t="s">
        <v>703</v>
      </c>
      <c r="O1287" s="460">
        <v>2123</v>
      </c>
      <c r="P1287" s="460" t="s">
        <v>1878</v>
      </c>
      <c r="Q1287" s="460" t="s">
        <v>2289</v>
      </c>
      <c r="R1287" s="460">
        <v>2123</v>
      </c>
      <c r="S1287" s="460" t="s">
        <v>2296</v>
      </c>
      <c r="T1287" s="462">
        <v>1</v>
      </c>
      <c r="U1287" s="460" t="s">
        <v>2296</v>
      </c>
      <c r="V1287" s="475">
        <v>0</v>
      </c>
      <c r="W1287" s="463" t="s">
        <v>2268</v>
      </c>
      <c r="X1287" s="463" t="s">
        <v>2268</v>
      </c>
      <c r="Y1287" s="463" t="s">
        <v>2290</v>
      </c>
      <c r="Z1287" s="463"/>
      <c r="AA1287" s="463"/>
      <c r="AB1287" s="464">
        <v>0</v>
      </c>
      <c r="AC1287" s="465">
        <v>0</v>
      </c>
      <c r="AD1287" s="465">
        <v>0</v>
      </c>
      <c r="AE1287" s="476">
        <v>0</v>
      </c>
      <c r="AF1287" s="467">
        <v>0</v>
      </c>
      <c r="AG1287" s="468">
        <v>0</v>
      </c>
      <c r="AH1287" s="218">
        <v>0</v>
      </c>
      <c r="AI1287" s="470">
        <v>0</v>
      </c>
      <c r="AJ1287" s="471">
        <v>0</v>
      </c>
      <c r="AK1287" s="218">
        <v>0</v>
      </c>
      <c r="AL1287" s="470">
        <v>0</v>
      </c>
      <c r="AM1287" s="471">
        <v>0</v>
      </c>
      <c r="AN1287" s="477">
        <v>0</v>
      </c>
      <c r="AO1287" s="473">
        <v>0</v>
      </c>
      <c r="AP1287" s="474">
        <v>0</v>
      </c>
      <c r="AQ1287" s="352"/>
      <c r="AR1287" s="352"/>
      <c r="AS1287" s="352"/>
      <c r="AT1287" s="352"/>
      <c r="AU1287" s="352"/>
      <c r="AV1287" s="352"/>
      <c r="AW1287" s="352" t="s">
        <v>254</v>
      </c>
    </row>
    <row r="1288" spans="2:49" x14ac:dyDescent="0.2">
      <c r="B1288" s="460" t="s">
        <v>2748</v>
      </c>
      <c r="C1288" s="460">
        <v>2123</v>
      </c>
      <c r="D1288" s="460" t="s">
        <v>2311</v>
      </c>
      <c r="E1288" s="460" t="s">
        <v>2299</v>
      </c>
      <c r="F1288" s="460">
        <v>2</v>
      </c>
      <c r="G1288" s="460">
        <v>2</v>
      </c>
      <c r="H1288" s="461" t="s">
        <v>746</v>
      </c>
      <c r="I1288" s="461" t="s">
        <v>762</v>
      </c>
      <c r="J1288" s="461" t="s">
        <v>700</v>
      </c>
      <c r="K1288" s="594"/>
      <c r="L1288" s="594"/>
      <c r="M1288" s="352">
        <v>2000</v>
      </c>
      <c r="N1288" s="352" t="s">
        <v>703</v>
      </c>
      <c r="O1288" s="460">
        <v>2123</v>
      </c>
      <c r="P1288" s="460" t="s">
        <v>1878</v>
      </c>
      <c r="Q1288" s="460" t="s">
        <v>2289</v>
      </c>
      <c r="R1288" s="460">
        <v>2123</v>
      </c>
      <c r="S1288" s="460" t="s">
        <v>2296</v>
      </c>
      <c r="T1288" s="462">
        <v>0.55517361979372948</v>
      </c>
      <c r="U1288" s="460" t="s">
        <v>2299</v>
      </c>
      <c r="V1288" s="475">
        <v>0</v>
      </c>
      <c r="W1288" s="463" t="s">
        <v>2268</v>
      </c>
      <c r="X1288" s="463" t="s">
        <v>2268</v>
      </c>
      <c r="Y1288" s="463" t="s">
        <v>2290</v>
      </c>
      <c r="Z1288" s="463"/>
      <c r="AA1288" s="463"/>
      <c r="AB1288" s="464">
        <v>0</v>
      </c>
      <c r="AC1288" s="465">
        <v>0</v>
      </c>
      <c r="AD1288" s="465">
        <v>0</v>
      </c>
      <c r="AE1288" s="476">
        <v>0</v>
      </c>
      <c r="AF1288" s="467">
        <v>0</v>
      </c>
      <c r="AG1288" s="468">
        <v>0</v>
      </c>
      <c r="AH1288" s="218">
        <v>0</v>
      </c>
      <c r="AI1288" s="470">
        <v>0</v>
      </c>
      <c r="AJ1288" s="471">
        <v>0</v>
      </c>
      <c r="AK1288" s="218">
        <v>0</v>
      </c>
      <c r="AL1288" s="470">
        <v>0</v>
      </c>
      <c r="AM1288" s="471">
        <v>0</v>
      </c>
      <c r="AN1288" s="477">
        <v>0</v>
      </c>
      <c r="AO1288" s="473">
        <v>0</v>
      </c>
      <c r="AP1288" s="474">
        <v>0</v>
      </c>
      <c r="AQ1288" s="352"/>
      <c r="AR1288" s="352"/>
      <c r="AS1288" s="352"/>
      <c r="AT1288" s="352"/>
      <c r="AU1288" s="352"/>
      <c r="AV1288" s="352"/>
      <c r="AW1288" s="352" t="s">
        <v>254</v>
      </c>
    </row>
    <row r="1289" spans="2:49" x14ac:dyDescent="0.2">
      <c r="B1289" s="460" t="s">
        <v>2749</v>
      </c>
      <c r="C1289" s="460">
        <v>2123</v>
      </c>
      <c r="D1289" s="460" t="s">
        <v>2312</v>
      </c>
      <c r="E1289" s="460" t="s">
        <v>2302</v>
      </c>
      <c r="F1289" s="460">
        <v>3</v>
      </c>
      <c r="G1289" s="460">
        <v>2</v>
      </c>
      <c r="H1289" s="461" t="s">
        <v>746</v>
      </c>
      <c r="I1289" s="461" t="s">
        <v>762</v>
      </c>
      <c r="J1289" s="461" t="s">
        <v>700</v>
      </c>
      <c r="K1289" s="594"/>
      <c r="L1289" s="594"/>
      <c r="M1289" s="352">
        <v>2000</v>
      </c>
      <c r="N1289" s="352" t="s">
        <v>703</v>
      </c>
      <c r="O1289" s="460">
        <v>2123</v>
      </c>
      <c r="P1289" s="460" t="s">
        <v>1878</v>
      </c>
      <c r="Q1289" s="460" t="s">
        <v>2289</v>
      </c>
      <c r="R1289" s="460">
        <v>2123</v>
      </c>
      <c r="S1289" s="460" t="s">
        <v>2296</v>
      </c>
      <c r="T1289" s="462">
        <v>0.28481449642268464</v>
      </c>
      <c r="U1289" s="460" t="s">
        <v>2302</v>
      </c>
      <c r="V1289" s="475">
        <v>0</v>
      </c>
      <c r="W1289" s="463" t="s">
        <v>2268</v>
      </c>
      <c r="X1289" s="463" t="s">
        <v>2268</v>
      </c>
      <c r="Y1289" s="463" t="s">
        <v>2290</v>
      </c>
      <c r="Z1289" s="463"/>
      <c r="AA1289" s="463"/>
      <c r="AB1289" s="464">
        <v>0</v>
      </c>
      <c r="AC1289" s="465">
        <v>0</v>
      </c>
      <c r="AD1289" s="465">
        <v>0</v>
      </c>
      <c r="AE1289" s="476">
        <v>0</v>
      </c>
      <c r="AF1289" s="467">
        <v>0</v>
      </c>
      <c r="AG1289" s="468">
        <v>0</v>
      </c>
      <c r="AH1289" s="218">
        <v>0</v>
      </c>
      <c r="AI1289" s="470">
        <v>0</v>
      </c>
      <c r="AJ1289" s="471">
        <v>0</v>
      </c>
      <c r="AK1289" s="218">
        <v>0</v>
      </c>
      <c r="AL1289" s="470">
        <v>0</v>
      </c>
      <c r="AM1289" s="471">
        <v>0</v>
      </c>
      <c r="AN1289" s="477">
        <v>0</v>
      </c>
      <c r="AO1289" s="473">
        <v>0</v>
      </c>
      <c r="AP1289" s="474">
        <v>0</v>
      </c>
      <c r="AQ1289" s="352"/>
      <c r="AR1289" s="352"/>
      <c r="AS1289" s="352"/>
      <c r="AT1289" s="352"/>
      <c r="AU1289" s="352"/>
      <c r="AV1289" s="352"/>
      <c r="AW1289" s="352" t="s">
        <v>254</v>
      </c>
    </row>
    <row r="1290" spans="2:49" x14ac:dyDescent="0.2">
      <c r="B1290" s="460" t="s">
        <v>2750</v>
      </c>
      <c r="C1290" s="460">
        <v>2123</v>
      </c>
      <c r="D1290" s="460" t="s">
        <v>2313</v>
      </c>
      <c r="E1290" s="460" t="s">
        <v>2305</v>
      </c>
      <c r="F1290" s="460">
        <v>4</v>
      </c>
      <c r="G1290" s="460">
        <v>2</v>
      </c>
      <c r="H1290" s="461" t="s">
        <v>746</v>
      </c>
      <c r="I1290" s="461" t="s">
        <v>762</v>
      </c>
      <c r="J1290" s="461" t="s">
        <v>700</v>
      </c>
      <c r="K1290" s="594"/>
      <c r="L1290" s="594"/>
      <c r="M1290" s="352">
        <v>2000</v>
      </c>
      <c r="N1290" s="352" t="s">
        <v>703</v>
      </c>
      <c r="O1290" s="460">
        <v>2123</v>
      </c>
      <c r="P1290" s="460" t="s">
        <v>1878</v>
      </c>
      <c r="Q1290" s="460" t="s">
        <v>2289</v>
      </c>
      <c r="R1290" s="460">
        <v>2123</v>
      </c>
      <c r="S1290" s="460" t="s">
        <v>2305</v>
      </c>
      <c r="T1290" s="462">
        <v>1</v>
      </c>
      <c r="U1290" s="460" t="s">
        <v>2305</v>
      </c>
      <c r="V1290" s="475">
        <v>0</v>
      </c>
      <c r="W1290" s="463" t="s">
        <v>2268</v>
      </c>
      <c r="X1290" s="463" t="s">
        <v>2268</v>
      </c>
      <c r="Y1290" s="463" t="s">
        <v>2290</v>
      </c>
      <c r="Z1290" s="463"/>
      <c r="AA1290" s="463"/>
      <c r="AB1290" s="464">
        <v>0</v>
      </c>
      <c r="AC1290" s="465">
        <v>0</v>
      </c>
      <c r="AD1290" s="465">
        <v>0</v>
      </c>
      <c r="AE1290" s="476">
        <v>0</v>
      </c>
      <c r="AF1290" s="467">
        <v>0</v>
      </c>
      <c r="AG1290" s="468">
        <v>0</v>
      </c>
      <c r="AH1290" s="218">
        <v>0</v>
      </c>
      <c r="AI1290" s="470">
        <v>0</v>
      </c>
      <c r="AJ1290" s="471">
        <v>0</v>
      </c>
      <c r="AK1290" s="218">
        <v>0</v>
      </c>
      <c r="AL1290" s="470">
        <v>0</v>
      </c>
      <c r="AM1290" s="471">
        <v>0</v>
      </c>
      <c r="AN1290" s="477">
        <v>0</v>
      </c>
      <c r="AO1290" s="473">
        <v>0</v>
      </c>
      <c r="AP1290" s="474">
        <v>0</v>
      </c>
      <c r="AQ1290" s="352"/>
      <c r="AR1290" s="352"/>
      <c r="AS1290" s="352"/>
      <c r="AT1290" s="352"/>
      <c r="AU1290" s="352"/>
      <c r="AV1290" s="352"/>
      <c r="AW1290" s="352" t="s">
        <v>254</v>
      </c>
    </row>
    <row r="1291" spans="2:49" x14ac:dyDescent="0.2">
      <c r="B1291" s="460" t="s">
        <v>2747</v>
      </c>
      <c r="C1291" s="460">
        <v>2123</v>
      </c>
      <c r="D1291" s="460" t="s">
        <v>2314</v>
      </c>
      <c r="E1291" s="460" t="s">
        <v>2296</v>
      </c>
      <c r="F1291" s="460">
        <v>1</v>
      </c>
      <c r="G1291" s="460">
        <v>2</v>
      </c>
      <c r="H1291" s="461" t="s">
        <v>748</v>
      </c>
      <c r="I1291" s="461" t="s">
        <v>765</v>
      </c>
      <c r="J1291" s="461" t="s">
        <v>700</v>
      </c>
      <c r="K1291" s="594"/>
      <c r="L1291" s="594"/>
      <c r="M1291" s="352">
        <v>2000</v>
      </c>
      <c r="N1291" s="352" t="s">
        <v>703</v>
      </c>
      <c r="O1291" s="460">
        <v>2123</v>
      </c>
      <c r="P1291" s="460" t="s">
        <v>1878</v>
      </c>
      <c r="Q1291" s="460" t="s">
        <v>2266</v>
      </c>
      <c r="R1291" s="460">
        <v>2123</v>
      </c>
      <c r="S1291" s="460" t="s">
        <v>2296</v>
      </c>
      <c r="T1291" s="462">
        <v>1</v>
      </c>
      <c r="U1291" s="460" t="s">
        <v>2296</v>
      </c>
      <c r="V1291" s="475">
        <v>0</v>
      </c>
      <c r="W1291" s="463" t="s">
        <v>2268</v>
      </c>
      <c r="X1291" s="463" t="s">
        <v>2268</v>
      </c>
      <c r="Y1291" s="463" t="s">
        <v>2267</v>
      </c>
      <c r="Z1291" s="463"/>
      <c r="AA1291" s="463"/>
      <c r="AB1291" s="464">
        <v>0</v>
      </c>
      <c r="AC1291" s="465">
        <v>0</v>
      </c>
      <c r="AD1291" s="465">
        <v>0</v>
      </c>
      <c r="AE1291" s="476">
        <v>0</v>
      </c>
      <c r="AF1291" s="467">
        <v>0</v>
      </c>
      <c r="AG1291" s="468">
        <v>0</v>
      </c>
      <c r="AH1291" s="218">
        <v>0</v>
      </c>
      <c r="AI1291" s="470">
        <v>0</v>
      </c>
      <c r="AJ1291" s="471">
        <v>0</v>
      </c>
      <c r="AK1291" s="218">
        <v>0</v>
      </c>
      <c r="AL1291" s="470">
        <v>0</v>
      </c>
      <c r="AM1291" s="471">
        <v>0</v>
      </c>
      <c r="AN1291" s="477">
        <v>5.5889800152833065</v>
      </c>
      <c r="AO1291" s="473">
        <v>0.35527639469667205</v>
      </c>
      <c r="AP1291" s="474">
        <v>1.707356839262128E-3</v>
      </c>
      <c r="AQ1291" s="352"/>
      <c r="AR1291" s="352"/>
      <c r="AS1291" s="352"/>
      <c r="AT1291" s="352"/>
      <c r="AU1291" s="352"/>
      <c r="AV1291" s="352"/>
      <c r="AW1291" s="352" t="s">
        <v>254</v>
      </c>
    </row>
    <row r="1292" spans="2:49" x14ac:dyDescent="0.2">
      <c r="B1292" s="460" t="s">
        <v>2748</v>
      </c>
      <c r="C1292" s="460">
        <v>2123</v>
      </c>
      <c r="D1292" s="460" t="s">
        <v>2315</v>
      </c>
      <c r="E1292" s="460" t="s">
        <v>2299</v>
      </c>
      <c r="F1292" s="460">
        <v>2</v>
      </c>
      <c r="G1292" s="460">
        <v>2</v>
      </c>
      <c r="H1292" s="461" t="s">
        <v>748</v>
      </c>
      <c r="I1292" s="461" t="s">
        <v>765</v>
      </c>
      <c r="J1292" s="461" t="s">
        <v>700</v>
      </c>
      <c r="K1292" s="594"/>
      <c r="L1292" s="594"/>
      <c r="M1292" s="352">
        <v>2000</v>
      </c>
      <c r="N1292" s="352" t="s">
        <v>703</v>
      </c>
      <c r="O1292" s="460">
        <v>2123</v>
      </c>
      <c r="P1292" s="460" t="s">
        <v>1878</v>
      </c>
      <c r="Q1292" s="460" t="s">
        <v>2266</v>
      </c>
      <c r="R1292" s="460">
        <v>2123</v>
      </c>
      <c r="S1292" s="460" t="s">
        <v>2296</v>
      </c>
      <c r="T1292" s="462">
        <v>0.55517361979372948</v>
      </c>
      <c r="U1292" s="460" t="s">
        <v>2299</v>
      </c>
      <c r="V1292" s="475">
        <v>0</v>
      </c>
      <c r="W1292" s="463" t="s">
        <v>2268</v>
      </c>
      <c r="X1292" s="463" t="s">
        <v>2268</v>
      </c>
      <c r="Y1292" s="463" t="s">
        <v>2267</v>
      </c>
      <c r="Z1292" s="463"/>
      <c r="AA1292" s="463"/>
      <c r="AB1292" s="464">
        <v>0</v>
      </c>
      <c r="AC1292" s="465">
        <v>0</v>
      </c>
      <c r="AD1292" s="465">
        <v>0</v>
      </c>
      <c r="AE1292" s="476">
        <v>0</v>
      </c>
      <c r="AF1292" s="467">
        <v>0</v>
      </c>
      <c r="AG1292" s="468">
        <v>0</v>
      </c>
      <c r="AH1292" s="218">
        <v>0</v>
      </c>
      <c r="AI1292" s="470">
        <v>0</v>
      </c>
      <c r="AJ1292" s="471">
        <v>0</v>
      </c>
      <c r="AK1292" s="218">
        <v>0</v>
      </c>
      <c r="AL1292" s="470">
        <v>0</v>
      </c>
      <c r="AM1292" s="471">
        <v>0</v>
      </c>
      <c r="AN1292" s="477">
        <v>2.0384332117940489</v>
      </c>
      <c r="AO1292" s="473">
        <v>0.19724008207101718</v>
      </c>
      <c r="AP1292" s="474">
        <v>1.8885718953787355E-3</v>
      </c>
      <c r="AQ1292" s="352"/>
      <c r="AR1292" s="352"/>
      <c r="AS1292" s="352"/>
      <c r="AT1292" s="352"/>
      <c r="AU1292" s="352"/>
      <c r="AV1292" s="352"/>
      <c r="AW1292" s="352" t="s">
        <v>254</v>
      </c>
    </row>
    <row r="1293" spans="2:49" x14ac:dyDescent="0.2">
      <c r="B1293" s="460" t="s">
        <v>2749</v>
      </c>
      <c r="C1293" s="460">
        <v>2123</v>
      </c>
      <c r="D1293" s="460" t="s">
        <v>2316</v>
      </c>
      <c r="E1293" s="460" t="s">
        <v>2302</v>
      </c>
      <c r="F1293" s="460">
        <v>3</v>
      </c>
      <c r="G1293" s="460">
        <v>2</v>
      </c>
      <c r="H1293" s="461" t="s">
        <v>748</v>
      </c>
      <c r="I1293" s="461" t="s">
        <v>765</v>
      </c>
      <c r="J1293" s="461" t="s">
        <v>700</v>
      </c>
      <c r="K1293" s="594"/>
      <c r="L1293" s="594"/>
      <c r="M1293" s="352">
        <v>2000</v>
      </c>
      <c r="N1293" s="352" t="s">
        <v>703</v>
      </c>
      <c r="O1293" s="460">
        <v>2123</v>
      </c>
      <c r="P1293" s="460" t="s">
        <v>1878</v>
      </c>
      <c r="Q1293" s="460" t="s">
        <v>2266</v>
      </c>
      <c r="R1293" s="460">
        <v>2123</v>
      </c>
      <c r="S1293" s="460" t="s">
        <v>2296</v>
      </c>
      <c r="T1293" s="462">
        <v>0.28481449642268464</v>
      </c>
      <c r="U1293" s="460" t="s">
        <v>2302</v>
      </c>
      <c r="V1293" s="475">
        <v>0</v>
      </c>
      <c r="W1293" s="463" t="s">
        <v>2268</v>
      </c>
      <c r="X1293" s="463" t="s">
        <v>2268</v>
      </c>
      <c r="Y1293" s="463" t="s">
        <v>2267</v>
      </c>
      <c r="Z1293" s="463"/>
      <c r="AA1293" s="463"/>
      <c r="AB1293" s="464">
        <v>0</v>
      </c>
      <c r="AC1293" s="465">
        <v>0</v>
      </c>
      <c r="AD1293" s="465">
        <v>0</v>
      </c>
      <c r="AE1293" s="476">
        <v>0</v>
      </c>
      <c r="AF1293" s="467">
        <v>0</v>
      </c>
      <c r="AG1293" s="468">
        <v>0</v>
      </c>
      <c r="AH1293" s="218">
        <v>0</v>
      </c>
      <c r="AI1293" s="470">
        <v>0</v>
      </c>
      <c r="AJ1293" s="471">
        <v>0</v>
      </c>
      <c r="AK1293" s="218">
        <v>0</v>
      </c>
      <c r="AL1293" s="470">
        <v>0</v>
      </c>
      <c r="AM1293" s="471">
        <v>0</v>
      </c>
      <c r="AN1293" s="477">
        <v>0.62853264518026486</v>
      </c>
      <c r="AO1293" s="473">
        <v>0.1011878674463996</v>
      </c>
      <c r="AP1293" s="474">
        <v>2.6894494519272573E-3</v>
      </c>
      <c r="AQ1293" s="352"/>
      <c r="AR1293" s="352"/>
      <c r="AS1293" s="352"/>
      <c r="AT1293" s="352"/>
      <c r="AU1293" s="352"/>
      <c r="AV1293" s="352"/>
      <c r="AW1293" s="352" t="s">
        <v>254</v>
      </c>
    </row>
    <row r="1294" spans="2:49" x14ac:dyDescent="0.2">
      <c r="B1294" s="460" t="s">
        <v>2750</v>
      </c>
      <c r="C1294" s="460">
        <v>2123</v>
      </c>
      <c r="D1294" s="460" t="s">
        <v>2317</v>
      </c>
      <c r="E1294" s="460" t="s">
        <v>2305</v>
      </c>
      <c r="F1294" s="460">
        <v>4</v>
      </c>
      <c r="G1294" s="460">
        <v>2</v>
      </c>
      <c r="H1294" s="461" t="s">
        <v>748</v>
      </c>
      <c r="I1294" s="461" t="s">
        <v>765</v>
      </c>
      <c r="J1294" s="461" t="s">
        <v>700</v>
      </c>
      <c r="K1294" s="594"/>
      <c r="L1294" s="594"/>
      <c r="M1294" s="352">
        <v>2000</v>
      </c>
      <c r="N1294" s="352" t="s">
        <v>703</v>
      </c>
      <c r="O1294" s="460">
        <v>2123</v>
      </c>
      <c r="P1294" s="460" t="s">
        <v>1878</v>
      </c>
      <c r="Q1294" s="460" t="s">
        <v>2266</v>
      </c>
      <c r="R1294" s="460">
        <v>2123</v>
      </c>
      <c r="S1294" s="460" t="s">
        <v>2305</v>
      </c>
      <c r="T1294" s="462">
        <v>1</v>
      </c>
      <c r="U1294" s="460" t="s">
        <v>2305</v>
      </c>
      <c r="V1294" s="475">
        <v>0</v>
      </c>
      <c r="W1294" s="463" t="s">
        <v>2268</v>
      </c>
      <c r="X1294" s="463" t="s">
        <v>2268</v>
      </c>
      <c r="Y1294" s="463" t="s">
        <v>2278</v>
      </c>
      <c r="Z1294" s="463"/>
      <c r="AA1294" s="463"/>
      <c r="AB1294" s="464">
        <v>0</v>
      </c>
      <c r="AC1294" s="465">
        <v>0</v>
      </c>
      <c r="AD1294" s="465">
        <v>0</v>
      </c>
      <c r="AE1294" s="476">
        <v>0</v>
      </c>
      <c r="AF1294" s="467">
        <v>0</v>
      </c>
      <c r="AG1294" s="468">
        <v>0</v>
      </c>
      <c r="AH1294" s="218">
        <v>0</v>
      </c>
      <c r="AI1294" s="470">
        <v>0</v>
      </c>
      <c r="AJ1294" s="471">
        <v>0</v>
      </c>
      <c r="AK1294" s="218">
        <v>0</v>
      </c>
      <c r="AL1294" s="470">
        <v>0</v>
      </c>
      <c r="AM1294" s="471">
        <v>0</v>
      </c>
      <c r="AN1294" s="477">
        <v>0</v>
      </c>
      <c r="AO1294" s="473">
        <v>0</v>
      </c>
      <c r="AP1294" s="474">
        <v>0</v>
      </c>
      <c r="AQ1294" s="352"/>
      <c r="AR1294" s="352"/>
      <c r="AS1294" s="352"/>
      <c r="AT1294" s="352"/>
      <c r="AU1294" s="352"/>
      <c r="AV1294" s="352"/>
      <c r="AW1294" s="352" t="s">
        <v>254</v>
      </c>
    </row>
    <row r="1295" spans="2:49" x14ac:dyDescent="0.2">
      <c r="B1295" s="460" t="s">
        <v>2751</v>
      </c>
      <c r="C1295" s="460">
        <v>2123</v>
      </c>
      <c r="D1295" s="460" t="s">
        <v>2323</v>
      </c>
      <c r="E1295" s="460" t="s">
        <v>2324</v>
      </c>
      <c r="F1295" s="460">
        <v>1</v>
      </c>
      <c r="G1295" s="460">
        <v>3</v>
      </c>
      <c r="H1295" s="461" t="s">
        <v>700</v>
      </c>
      <c r="I1295" s="461" t="s">
        <v>872</v>
      </c>
      <c r="J1295" s="461" t="s">
        <v>700</v>
      </c>
      <c r="K1295" s="594"/>
      <c r="L1295" s="594"/>
      <c r="M1295" s="352">
        <v>2000</v>
      </c>
      <c r="N1295" s="352" t="s">
        <v>703</v>
      </c>
      <c r="O1295" s="460">
        <v>2123</v>
      </c>
      <c r="P1295" s="460" t="s">
        <v>1878</v>
      </c>
      <c r="Q1295" s="460" t="s">
        <v>2266</v>
      </c>
      <c r="R1295" s="460">
        <v>2123</v>
      </c>
      <c r="S1295" s="460" t="s">
        <v>2324</v>
      </c>
      <c r="T1295" s="462">
        <v>1</v>
      </c>
      <c r="U1295" s="460" t="s">
        <v>2324</v>
      </c>
      <c r="V1295" s="475">
        <v>0</v>
      </c>
      <c r="W1295" s="463" t="s">
        <v>2267</v>
      </c>
      <c r="X1295" s="463" t="s">
        <v>2267</v>
      </c>
      <c r="Y1295" s="463" t="s">
        <v>2268</v>
      </c>
      <c r="Z1295" s="463"/>
      <c r="AA1295" s="463"/>
      <c r="AB1295" s="464">
        <v>35.048652473546518</v>
      </c>
      <c r="AC1295" s="465">
        <v>0.43766981943934058</v>
      </c>
      <c r="AD1295" s="465">
        <v>3.0046087286595557E-4</v>
      </c>
      <c r="AE1295" s="476">
        <v>35.048652473546518</v>
      </c>
      <c r="AF1295" s="467">
        <v>0.43766981943934058</v>
      </c>
      <c r="AG1295" s="468">
        <v>3.2185311786625618E-4</v>
      </c>
      <c r="AH1295" s="218">
        <v>35.048652473546518</v>
      </c>
      <c r="AI1295" s="470">
        <v>0.43766981943934058</v>
      </c>
      <c r="AJ1295" s="471">
        <v>3.0734891733218817E-4</v>
      </c>
      <c r="AK1295" s="218">
        <v>35.048652473546518</v>
      </c>
      <c r="AL1295" s="470">
        <v>0.43766981943934058</v>
      </c>
      <c r="AM1295" s="471">
        <v>3.0734891733218817E-4</v>
      </c>
      <c r="AN1295" s="477">
        <v>0</v>
      </c>
      <c r="AO1295" s="473">
        <v>0</v>
      </c>
      <c r="AP1295" s="474">
        <v>0</v>
      </c>
      <c r="AQ1295" s="352"/>
      <c r="AR1295" s="352"/>
      <c r="AS1295" s="352"/>
      <c r="AT1295" s="352"/>
      <c r="AU1295" s="352"/>
      <c r="AV1295" s="352"/>
      <c r="AW1295" s="352" t="s">
        <v>254</v>
      </c>
    </row>
    <row r="1296" spans="2:49" x14ac:dyDescent="0.2">
      <c r="B1296" s="460" t="s">
        <v>2752</v>
      </c>
      <c r="C1296" s="460">
        <v>2123</v>
      </c>
      <c r="D1296" s="460" t="s">
        <v>2326</v>
      </c>
      <c r="E1296" s="460" t="s">
        <v>2327</v>
      </c>
      <c r="F1296" s="460">
        <v>2</v>
      </c>
      <c r="G1296" s="460">
        <v>3</v>
      </c>
      <c r="H1296" s="461" t="s">
        <v>700</v>
      </c>
      <c r="I1296" s="461" t="s">
        <v>872</v>
      </c>
      <c r="J1296" s="461" t="s">
        <v>700</v>
      </c>
      <c r="K1296" s="594"/>
      <c r="L1296" s="594"/>
      <c r="M1296" s="352">
        <v>2000</v>
      </c>
      <c r="N1296" s="352" t="s">
        <v>703</v>
      </c>
      <c r="O1296" s="460">
        <v>2123</v>
      </c>
      <c r="P1296" s="460" t="s">
        <v>1878</v>
      </c>
      <c r="Q1296" s="460" t="s">
        <v>2266</v>
      </c>
      <c r="R1296" s="460">
        <v>2123</v>
      </c>
      <c r="S1296" s="460" t="s">
        <v>2324</v>
      </c>
      <c r="T1296" s="462">
        <v>1</v>
      </c>
      <c r="U1296" s="460" t="s">
        <v>2327</v>
      </c>
      <c r="V1296" s="475">
        <v>0</v>
      </c>
      <c r="W1296" s="463" t="s">
        <v>2267</v>
      </c>
      <c r="X1296" s="463" t="s">
        <v>2267</v>
      </c>
      <c r="Y1296" s="463" t="s">
        <v>2268</v>
      </c>
      <c r="Z1296" s="463"/>
      <c r="AA1296" s="463"/>
      <c r="AB1296" s="464">
        <v>17.346175667333096</v>
      </c>
      <c r="AC1296" s="465">
        <v>0.40728977931893456</v>
      </c>
      <c r="AD1296" s="465">
        <v>2.5619985914583637E-4</v>
      </c>
      <c r="AE1296" s="476">
        <v>17.346175667333096</v>
      </c>
      <c r="AF1296" s="467">
        <v>0.40728977931893456</v>
      </c>
      <c r="AG1296" s="468">
        <v>2.7749283663703033E-4</v>
      </c>
      <c r="AH1296" s="218">
        <v>18.640039494680781</v>
      </c>
      <c r="AI1296" s="470">
        <v>0.43766981943934058</v>
      </c>
      <c r="AJ1296" s="471">
        <v>2.5095440994891586E-4</v>
      </c>
      <c r="AK1296" s="218">
        <v>18.640039494680781</v>
      </c>
      <c r="AL1296" s="470">
        <v>0.43766981943934058</v>
      </c>
      <c r="AM1296" s="471">
        <v>2.5095440994891586E-4</v>
      </c>
      <c r="AN1296" s="477">
        <v>0</v>
      </c>
      <c r="AO1296" s="473">
        <v>0</v>
      </c>
      <c r="AP1296" s="474">
        <v>0</v>
      </c>
      <c r="AQ1296" s="352"/>
      <c r="AR1296" s="352"/>
      <c r="AS1296" s="352"/>
      <c r="AT1296" s="352"/>
      <c r="AU1296" s="352"/>
      <c r="AV1296" s="352"/>
      <c r="AW1296" s="352" t="s">
        <v>254</v>
      </c>
    </row>
    <row r="1297" spans="2:49" x14ac:dyDescent="0.2">
      <c r="B1297" s="460" t="s">
        <v>2753</v>
      </c>
      <c r="C1297" s="460">
        <v>2123</v>
      </c>
      <c r="D1297" s="460" t="s">
        <v>2329</v>
      </c>
      <c r="E1297" s="460" t="s">
        <v>2330</v>
      </c>
      <c r="F1297" s="460">
        <v>3</v>
      </c>
      <c r="G1297" s="460">
        <v>3</v>
      </c>
      <c r="H1297" s="461" t="s">
        <v>700</v>
      </c>
      <c r="I1297" s="461" t="s">
        <v>872</v>
      </c>
      <c r="J1297" s="461" t="s">
        <v>700</v>
      </c>
      <c r="K1297" s="594"/>
      <c r="L1297" s="594"/>
      <c r="M1297" s="352">
        <v>2000</v>
      </c>
      <c r="N1297" s="352" t="s">
        <v>703</v>
      </c>
      <c r="O1297" s="460">
        <v>2123</v>
      </c>
      <c r="P1297" s="460" t="s">
        <v>1878</v>
      </c>
      <c r="Q1297" s="460" t="s">
        <v>2266</v>
      </c>
      <c r="R1297" s="460">
        <v>2123</v>
      </c>
      <c r="S1297" s="460" t="s">
        <v>2324</v>
      </c>
      <c r="T1297" s="462">
        <v>1</v>
      </c>
      <c r="U1297" s="460" t="s">
        <v>2330</v>
      </c>
      <c r="V1297" s="475">
        <v>0</v>
      </c>
      <c r="W1297" s="463" t="s">
        <v>2267</v>
      </c>
      <c r="X1297" s="463" t="s">
        <v>2267</v>
      </c>
      <c r="Y1297" s="463" t="s">
        <v>2268</v>
      </c>
      <c r="Z1297" s="463"/>
      <c r="AA1297" s="463"/>
      <c r="AB1297" s="464">
        <v>2.5582057963627096</v>
      </c>
      <c r="AC1297" s="465">
        <v>0.19312351094479199</v>
      </c>
      <c r="AD1297" s="465">
        <v>9.6600948357504441E-5</v>
      </c>
      <c r="AE1297" s="476">
        <v>2.5582057963627096</v>
      </c>
      <c r="AF1297" s="467">
        <v>0.19312351094479199</v>
      </c>
      <c r="AG1297" s="468">
        <v>1.0353330522933067E-4</v>
      </c>
      <c r="AH1297" s="218">
        <v>5.7975824046758069</v>
      </c>
      <c r="AI1297" s="470">
        <v>0.43766981943934058</v>
      </c>
      <c r="AJ1297" s="471">
        <v>2.0426243542033773E-4</v>
      </c>
      <c r="AK1297" s="218">
        <v>5.7975824046758069</v>
      </c>
      <c r="AL1297" s="470">
        <v>0.43766981943934058</v>
      </c>
      <c r="AM1297" s="471">
        <v>2.0426243542033773E-4</v>
      </c>
      <c r="AN1297" s="477">
        <v>0</v>
      </c>
      <c r="AO1297" s="473">
        <v>0</v>
      </c>
      <c r="AP1297" s="474">
        <v>0</v>
      </c>
      <c r="AQ1297" s="352"/>
      <c r="AR1297" s="352"/>
      <c r="AS1297" s="352"/>
      <c r="AT1297" s="352"/>
      <c r="AU1297" s="352"/>
      <c r="AV1297" s="352"/>
      <c r="AW1297" s="352" t="s">
        <v>254</v>
      </c>
    </row>
    <row r="1298" spans="2:49" x14ac:dyDescent="0.2">
      <c r="B1298" s="460" t="s">
        <v>2754</v>
      </c>
      <c r="C1298" s="460">
        <v>2123</v>
      </c>
      <c r="D1298" s="460" t="s">
        <v>2332</v>
      </c>
      <c r="E1298" s="460" t="s">
        <v>2333</v>
      </c>
      <c r="F1298" s="460">
        <v>4</v>
      </c>
      <c r="G1298" s="460">
        <v>3</v>
      </c>
      <c r="H1298" s="461" t="s">
        <v>700</v>
      </c>
      <c r="I1298" s="461" t="s">
        <v>872</v>
      </c>
      <c r="J1298" s="461" t="s">
        <v>700</v>
      </c>
      <c r="K1298" s="594"/>
      <c r="L1298" s="594"/>
      <c r="M1298" s="352">
        <v>2000</v>
      </c>
      <c r="N1298" s="352" t="s">
        <v>703</v>
      </c>
      <c r="O1298" s="460">
        <v>2123</v>
      </c>
      <c r="P1298" s="460" t="s">
        <v>1878</v>
      </c>
      <c r="Q1298" s="460" t="s">
        <v>2266</v>
      </c>
      <c r="R1298" s="460">
        <v>2123</v>
      </c>
      <c r="S1298" s="460" t="s">
        <v>2333</v>
      </c>
      <c r="T1298" s="462">
        <v>1</v>
      </c>
      <c r="U1298" s="460" t="s">
        <v>2333</v>
      </c>
      <c r="V1298" s="475">
        <v>0</v>
      </c>
      <c r="W1298" s="463" t="s">
        <v>2278</v>
      </c>
      <c r="X1298" s="463" t="s">
        <v>2278</v>
      </c>
      <c r="Y1298" s="463" t="s">
        <v>2268</v>
      </c>
      <c r="Z1298" s="463"/>
      <c r="AA1298" s="463"/>
      <c r="AB1298" s="464">
        <v>5.5900409846010385E-2</v>
      </c>
      <c r="AC1298" s="465">
        <v>4.591690863210156E-3</v>
      </c>
      <c r="AD1298" s="465">
        <v>3.855369991371305E-6</v>
      </c>
      <c r="AE1298" s="476">
        <v>5.5900409846010385E-2</v>
      </c>
      <c r="AF1298" s="467">
        <v>4.591690863210156E-3</v>
      </c>
      <c r="AG1298" s="468">
        <v>4.2548898035991531E-6</v>
      </c>
      <c r="AH1298" s="218">
        <v>5.5900409846010385E-2</v>
      </c>
      <c r="AI1298" s="470">
        <v>4.591690863210156E-3</v>
      </c>
      <c r="AJ1298" s="471">
        <v>4.1224551447120843E-6</v>
      </c>
      <c r="AK1298" s="218">
        <v>5.5900409846010385E-2</v>
      </c>
      <c r="AL1298" s="470">
        <v>4.591690863210156E-3</v>
      </c>
      <c r="AM1298" s="471">
        <v>4.1224551447120843E-6</v>
      </c>
      <c r="AN1298" s="477">
        <v>0</v>
      </c>
      <c r="AO1298" s="473">
        <v>0</v>
      </c>
      <c r="AP1298" s="474">
        <v>0</v>
      </c>
      <c r="AQ1298" s="352"/>
      <c r="AR1298" s="352"/>
      <c r="AS1298" s="352"/>
      <c r="AT1298" s="352"/>
      <c r="AU1298" s="352"/>
      <c r="AV1298" s="352"/>
      <c r="AW1298" s="352" t="s">
        <v>254</v>
      </c>
    </row>
    <row r="1299" spans="2:49" x14ac:dyDescent="0.2">
      <c r="B1299" s="460" t="s">
        <v>2751</v>
      </c>
      <c r="C1299" s="460">
        <v>2123</v>
      </c>
      <c r="D1299" s="460" t="s">
        <v>2334</v>
      </c>
      <c r="E1299" s="460" t="s">
        <v>2324</v>
      </c>
      <c r="F1299" s="460">
        <v>1</v>
      </c>
      <c r="G1299" s="460">
        <v>3</v>
      </c>
      <c r="H1299" s="461" t="s">
        <v>712</v>
      </c>
      <c r="I1299" s="461" t="s">
        <v>713</v>
      </c>
      <c r="J1299" s="461" t="s">
        <v>712</v>
      </c>
      <c r="K1299" s="594"/>
      <c r="L1299" s="594"/>
      <c r="M1299" s="352">
        <v>2000</v>
      </c>
      <c r="N1299" s="352" t="s">
        <v>703</v>
      </c>
      <c r="O1299" s="460">
        <v>2123</v>
      </c>
      <c r="P1299" s="460" t="s">
        <v>1878</v>
      </c>
      <c r="Q1299" s="460" t="s">
        <v>2280</v>
      </c>
      <c r="R1299" s="460">
        <v>2123</v>
      </c>
      <c r="S1299" s="460" t="s">
        <v>2324</v>
      </c>
      <c r="T1299" s="462">
        <v>1</v>
      </c>
      <c r="U1299" s="460" t="s">
        <v>2324</v>
      </c>
      <c r="V1299" s="475">
        <v>0</v>
      </c>
      <c r="W1299" s="463" t="s">
        <v>713</v>
      </c>
      <c r="X1299" s="463" t="s">
        <v>713</v>
      </c>
      <c r="Y1299" s="463" t="s">
        <v>713</v>
      </c>
      <c r="Z1299" s="463"/>
      <c r="AA1299" s="463"/>
      <c r="AB1299" s="464">
        <v>45.031469382797596</v>
      </c>
      <c r="AC1299" s="465">
        <v>0.56233018056065953</v>
      </c>
      <c r="AD1299" s="465">
        <v>1.1243889995447371E-4</v>
      </c>
      <c r="AE1299" s="476">
        <v>45.031469382797589</v>
      </c>
      <c r="AF1299" s="467">
        <v>0.56233018056065942</v>
      </c>
      <c r="AG1299" s="468">
        <v>1.1030353580237963E-4</v>
      </c>
      <c r="AH1299" s="218">
        <v>45.031469382797589</v>
      </c>
      <c r="AI1299" s="470">
        <v>0.56233018056065942</v>
      </c>
      <c r="AJ1299" s="471">
        <v>1.1170971271550384E-4</v>
      </c>
      <c r="AK1299" s="218">
        <v>45.031469382797589</v>
      </c>
      <c r="AL1299" s="470">
        <v>0.56233018056065942</v>
      </c>
      <c r="AM1299" s="471">
        <v>1.1170971271550384E-4</v>
      </c>
      <c r="AN1299" s="477">
        <v>45.031469382797589</v>
      </c>
      <c r="AO1299" s="473">
        <v>0.56233018056065942</v>
      </c>
      <c r="AP1299" s="474">
        <v>1.116553488708329E-4</v>
      </c>
      <c r="AQ1299" s="352"/>
      <c r="AR1299" s="352"/>
      <c r="AS1299" s="352"/>
      <c r="AT1299" s="352"/>
      <c r="AU1299" s="352"/>
      <c r="AV1299" s="352"/>
      <c r="AW1299" s="352" t="s">
        <v>254</v>
      </c>
    </row>
    <row r="1300" spans="2:49" x14ac:dyDescent="0.2">
      <c r="B1300" s="460" t="s">
        <v>2752</v>
      </c>
      <c r="C1300" s="460">
        <v>2123</v>
      </c>
      <c r="D1300" s="460" t="s">
        <v>2335</v>
      </c>
      <c r="E1300" s="460" t="s">
        <v>2327</v>
      </c>
      <c r="F1300" s="460">
        <v>2</v>
      </c>
      <c r="G1300" s="460">
        <v>3</v>
      </c>
      <c r="H1300" s="461" t="s">
        <v>712</v>
      </c>
      <c r="I1300" s="461" t="s">
        <v>713</v>
      </c>
      <c r="J1300" s="461" t="s">
        <v>712</v>
      </c>
      <c r="K1300" s="594"/>
      <c r="L1300" s="594"/>
      <c r="M1300" s="352">
        <v>2000</v>
      </c>
      <c r="N1300" s="352" t="s">
        <v>703</v>
      </c>
      <c r="O1300" s="460">
        <v>2123</v>
      </c>
      <c r="P1300" s="460" t="s">
        <v>1878</v>
      </c>
      <c r="Q1300" s="460" t="s">
        <v>2280</v>
      </c>
      <c r="R1300" s="460">
        <v>2123</v>
      </c>
      <c r="S1300" s="460" t="s">
        <v>2324</v>
      </c>
      <c r="T1300" s="462">
        <v>1</v>
      </c>
      <c r="U1300" s="460" t="s">
        <v>2327</v>
      </c>
      <c r="V1300" s="475">
        <v>0</v>
      </c>
      <c r="W1300" s="463" t="s">
        <v>713</v>
      </c>
      <c r="X1300" s="463" t="s">
        <v>713</v>
      </c>
      <c r="Y1300" s="463" t="s">
        <v>713</v>
      </c>
      <c r="Z1300" s="463"/>
      <c r="AA1300" s="463"/>
      <c r="AB1300" s="464">
        <v>25.243097494245323</v>
      </c>
      <c r="AC1300" s="465">
        <v>0.59271022068106549</v>
      </c>
      <c r="AD1300" s="465">
        <v>8.0843506011931424E-5</v>
      </c>
      <c r="AE1300" s="476">
        <v>25.243097494245323</v>
      </c>
      <c r="AF1300" s="467">
        <v>0.59271022068106549</v>
      </c>
      <c r="AG1300" s="468">
        <v>7.9520412345292403E-5</v>
      </c>
      <c r="AH1300" s="218">
        <v>23.949233666897637</v>
      </c>
      <c r="AI1300" s="470">
        <v>0.56233018056065942</v>
      </c>
      <c r="AJ1300" s="471">
        <v>7.8459583337058157E-5</v>
      </c>
      <c r="AK1300" s="218">
        <v>23.949233666897637</v>
      </c>
      <c r="AL1300" s="470">
        <v>0.56233018056065942</v>
      </c>
      <c r="AM1300" s="471">
        <v>7.8459583337058157E-5</v>
      </c>
      <c r="AN1300" s="477">
        <v>23.949233666897637</v>
      </c>
      <c r="AO1300" s="473">
        <v>0.56233018056065942</v>
      </c>
      <c r="AP1300" s="474">
        <v>7.842882217231176E-5</v>
      </c>
      <c r="AQ1300" s="352"/>
      <c r="AR1300" s="352"/>
      <c r="AS1300" s="352"/>
      <c r="AT1300" s="352"/>
      <c r="AU1300" s="352"/>
      <c r="AV1300" s="352"/>
      <c r="AW1300" s="352" t="s">
        <v>254</v>
      </c>
    </row>
    <row r="1301" spans="2:49" x14ac:dyDescent="0.2">
      <c r="B1301" s="460" t="s">
        <v>2753</v>
      </c>
      <c r="C1301" s="460">
        <v>2123</v>
      </c>
      <c r="D1301" s="460" t="s">
        <v>2336</v>
      </c>
      <c r="E1301" s="460" t="s">
        <v>2330</v>
      </c>
      <c r="F1301" s="460">
        <v>3</v>
      </c>
      <c r="G1301" s="460">
        <v>3</v>
      </c>
      <c r="H1301" s="461" t="s">
        <v>712</v>
      </c>
      <c r="I1301" s="461" t="s">
        <v>713</v>
      </c>
      <c r="J1301" s="461" t="s">
        <v>712</v>
      </c>
      <c r="K1301" s="594"/>
      <c r="L1301" s="594"/>
      <c r="M1301" s="352">
        <v>2000</v>
      </c>
      <c r="N1301" s="352" t="s">
        <v>703</v>
      </c>
      <c r="O1301" s="460">
        <v>2123</v>
      </c>
      <c r="P1301" s="460" t="s">
        <v>1878</v>
      </c>
      <c r="Q1301" s="460" t="s">
        <v>2280</v>
      </c>
      <c r="R1301" s="460">
        <v>2123</v>
      </c>
      <c r="S1301" s="460" t="s">
        <v>2324</v>
      </c>
      <c r="T1301" s="462">
        <v>1</v>
      </c>
      <c r="U1301" s="460" t="s">
        <v>2330</v>
      </c>
      <c r="V1301" s="475">
        <v>0</v>
      </c>
      <c r="W1301" s="463" t="s">
        <v>713</v>
      </c>
      <c r="X1301" s="463" t="s">
        <v>713</v>
      </c>
      <c r="Y1301" s="463" t="s">
        <v>713</v>
      </c>
      <c r="Z1301" s="463"/>
      <c r="AA1301" s="463"/>
      <c r="AB1301" s="464">
        <v>10.688269393776212</v>
      </c>
      <c r="AC1301" s="465">
        <v>0.80687648905520792</v>
      </c>
      <c r="AD1301" s="465">
        <v>9.4636748831057268E-5</v>
      </c>
      <c r="AE1301" s="476">
        <v>10.688269393776212</v>
      </c>
      <c r="AF1301" s="467">
        <v>0.80687648905520803</v>
      </c>
      <c r="AG1301" s="468">
        <v>9.3173892812601692E-5</v>
      </c>
      <c r="AH1301" s="218">
        <v>7.4488927854631148</v>
      </c>
      <c r="AI1301" s="470">
        <v>0.56233018056065942</v>
      </c>
      <c r="AJ1301" s="471">
        <v>6.7414259912493223E-5</v>
      </c>
      <c r="AK1301" s="218">
        <v>7.4488927854631148</v>
      </c>
      <c r="AL1301" s="470">
        <v>0.56233018056065942</v>
      </c>
      <c r="AM1301" s="471">
        <v>6.7414259912493223E-5</v>
      </c>
      <c r="AN1301" s="477">
        <v>7.4488927854631148</v>
      </c>
      <c r="AO1301" s="473">
        <v>0.56233018056065942</v>
      </c>
      <c r="AP1301" s="474">
        <v>6.7588263562608089E-5</v>
      </c>
      <c r="AQ1301" s="352"/>
      <c r="AR1301" s="352"/>
      <c r="AS1301" s="352"/>
      <c r="AT1301" s="352"/>
      <c r="AU1301" s="352"/>
      <c r="AV1301" s="352"/>
      <c r="AW1301" s="352" t="s">
        <v>254</v>
      </c>
    </row>
    <row r="1302" spans="2:49" x14ac:dyDescent="0.2">
      <c r="B1302" s="460" t="s">
        <v>2754</v>
      </c>
      <c r="C1302" s="460">
        <v>2123</v>
      </c>
      <c r="D1302" s="460" t="s">
        <v>2337</v>
      </c>
      <c r="E1302" s="460" t="s">
        <v>2333</v>
      </c>
      <c r="F1302" s="460">
        <v>4</v>
      </c>
      <c r="G1302" s="460">
        <v>3</v>
      </c>
      <c r="H1302" s="461" t="s">
        <v>712</v>
      </c>
      <c r="I1302" s="461" t="s">
        <v>713</v>
      </c>
      <c r="J1302" s="461" t="s">
        <v>712</v>
      </c>
      <c r="K1302" s="594"/>
      <c r="L1302" s="594"/>
      <c r="M1302" s="352">
        <v>2000</v>
      </c>
      <c r="N1302" s="352" t="s">
        <v>703</v>
      </c>
      <c r="O1302" s="460">
        <v>2123</v>
      </c>
      <c r="P1302" s="460" t="s">
        <v>1878</v>
      </c>
      <c r="Q1302" s="460" t="s">
        <v>2280</v>
      </c>
      <c r="R1302" s="460">
        <v>2123</v>
      </c>
      <c r="S1302" s="460" t="s">
        <v>2333</v>
      </c>
      <c r="T1302" s="462">
        <v>1</v>
      </c>
      <c r="U1302" s="460" t="s">
        <v>2333</v>
      </c>
      <c r="V1302" s="475">
        <v>0</v>
      </c>
      <c r="W1302" s="463" t="s">
        <v>713</v>
      </c>
      <c r="X1302" s="463" t="s">
        <v>713</v>
      </c>
      <c r="Y1302" s="463" t="s">
        <v>713</v>
      </c>
      <c r="Z1302" s="463"/>
      <c r="AA1302" s="463"/>
      <c r="AB1302" s="464">
        <v>12.118353369714647</v>
      </c>
      <c r="AC1302" s="465">
        <v>0.99540830913678979</v>
      </c>
      <c r="AD1302" s="465">
        <v>9.2129425610813017E-5</v>
      </c>
      <c r="AE1302" s="476">
        <v>12.118353369714647</v>
      </c>
      <c r="AF1302" s="467">
        <v>0.99540830913678979</v>
      </c>
      <c r="AG1302" s="468">
        <v>9.1185625409395226E-5</v>
      </c>
      <c r="AH1302" s="218">
        <v>12.118353369714647</v>
      </c>
      <c r="AI1302" s="470">
        <v>0.99540830913678979</v>
      </c>
      <c r="AJ1302" s="471">
        <v>9.1476136674089014E-5</v>
      </c>
      <c r="AK1302" s="218">
        <v>12.118353369714647</v>
      </c>
      <c r="AL1302" s="470">
        <v>0.99540830913678979</v>
      </c>
      <c r="AM1302" s="471">
        <v>9.1476136674089014E-5</v>
      </c>
      <c r="AN1302" s="477">
        <v>12.118353369714647</v>
      </c>
      <c r="AO1302" s="473">
        <v>0.99540830913678979</v>
      </c>
      <c r="AP1302" s="474">
        <v>9.1505206301850629E-5</v>
      </c>
      <c r="AQ1302" s="352"/>
      <c r="AR1302" s="352"/>
      <c r="AS1302" s="352"/>
      <c r="AT1302" s="352"/>
      <c r="AU1302" s="352"/>
      <c r="AV1302" s="352"/>
      <c r="AW1302" s="352" t="s">
        <v>254</v>
      </c>
    </row>
    <row r="1303" spans="2:49" x14ac:dyDescent="0.2">
      <c r="B1303" s="460" t="s">
        <v>2751</v>
      </c>
      <c r="C1303" s="460">
        <v>2123</v>
      </c>
      <c r="D1303" s="460" t="s">
        <v>2338</v>
      </c>
      <c r="E1303" s="460" t="s">
        <v>2324</v>
      </c>
      <c r="F1303" s="460">
        <v>1</v>
      </c>
      <c r="G1303" s="460">
        <v>3</v>
      </c>
      <c r="H1303" s="461" t="s">
        <v>746</v>
      </c>
      <c r="I1303" s="461" t="s">
        <v>762</v>
      </c>
      <c r="J1303" s="461" t="s">
        <v>700</v>
      </c>
      <c r="K1303" s="594"/>
      <c r="L1303" s="594"/>
      <c r="M1303" s="352">
        <v>2000</v>
      </c>
      <c r="N1303" s="352" t="s">
        <v>703</v>
      </c>
      <c r="O1303" s="460">
        <v>2123</v>
      </c>
      <c r="P1303" s="460" t="s">
        <v>1878</v>
      </c>
      <c r="Q1303" s="460" t="s">
        <v>2289</v>
      </c>
      <c r="R1303" s="460">
        <v>2123</v>
      </c>
      <c r="S1303" s="460" t="s">
        <v>2324</v>
      </c>
      <c r="T1303" s="462">
        <v>1</v>
      </c>
      <c r="U1303" s="460" t="s">
        <v>2324</v>
      </c>
      <c r="V1303" s="475">
        <v>0</v>
      </c>
      <c r="W1303" s="463" t="s">
        <v>2268</v>
      </c>
      <c r="X1303" s="463" t="s">
        <v>2268</v>
      </c>
      <c r="Y1303" s="463" t="s">
        <v>2290</v>
      </c>
      <c r="Z1303" s="463"/>
      <c r="AA1303" s="463"/>
      <c r="AB1303" s="464">
        <v>0</v>
      </c>
      <c r="AC1303" s="465">
        <v>0</v>
      </c>
      <c r="AD1303" s="465">
        <v>0</v>
      </c>
      <c r="AE1303" s="476">
        <v>0</v>
      </c>
      <c r="AF1303" s="467">
        <v>0</v>
      </c>
      <c r="AG1303" s="468">
        <v>0</v>
      </c>
      <c r="AH1303" s="218">
        <v>0</v>
      </c>
      <c r="AI1303" s="470">
        <v>0</v>
      </c>
      <c r="AJ1303" s="471">
        <v>0</v>
      </c>
      <c r="AK1303" s="218">
        <v>0</v>
      </c>
      <c r="AL1303" s="470">
        <v>0</v>
      </c>
      <c r="AM1303" s="471">
        <v>0</v>
      </c>
      <c r="AN1303" s="477">
        <v>0</v>
      </c>
      <c r="AO1303" s="473">
        <v>0</v>
      </c>
      <c r="AP1303" s="474">
        <v>0</v>
      </c>
      <c r="AQ1303" s="352"/>
      <c r="AR1303" s="352"/>
      <c r="AS1303" s="352"/>
      <c r="AT1303" s="352"/>
      <c r="AU1303" s="352"/>
      <c r="AV1303" s="352"/>
      <c r="AW1303" s="352" t="s">
        <v>254</v>
      </c>
    </row>
    <row r="1304" spans="2:49" x14ac:dyDescent="0.2">
      <c r="B1304" s="460" t="s">
        <v>2752</v>
      </c>
      <c r="C1304" s="460">
        <v>2123</v>
      </c>
      <c r="D1304" s="460" t="s">
        <v>2339</v>
      </c>
      <c r="E1304" s="460" t="s">
        <v>2327</v>
      </c>
      <c r="F1304" s="460">
        <v>2</v>
      </c>
      <c r="G1304" s="460">
        <v>3</v>
      </c>
      <c r="H1304" s="461" t="s">
        <v>746</v>
      </c>
      <c r="I1304" s="461" t="s">
        <v>762</v>
      </c>
      <c r="J1304" s="461" t="s">
        <v>700</v>
      </c>
      <c r="K1304" s="594"/>
      <c r="L1304" s="594"/>
      <c r="M1304" s="352">
        <v>2000</v>
      </c>
      <c r="N1304" s="352" t="s">
        <v>703</v>
      </c>
      <c r="O1304" s="460">
        <v>2123</v>
      </c>
      <c r="P1304" s="460" t="s">
        <v>1878</v>
      </c>
      <c r="Q1304" s="460" t="s">
        <v>2289</v>
      </c>
      <c r="R1304" s="460">
        <v>2123</v>
      </c>
      <c r="S1304" s="460" t="s">
        <v>2324</v>
      </c>
      <c r="T1304" s="462">
        <v>1</v>
      </c>
      <c r="U1304" s="460" t="s">
        <v>2327</v>
      </c>
      <c r="V1304" s="475">
        <v>0</v>
      </c>
      <c r="W1304" s="463" t="s">
        <v>2268</v>
      </c>
      <c r="X1304" s="463" t="s">
        <v>2268</v>
      </c>
      <c r="Y1304" s="463" t="s">
        <v>2290</v>
      </c>
      <c r="Z1304" s="463"/>
      <c r="AA1304" s="463"/>
      <c r="AB1304" s="464">
        <v>0</v>
      </c>
      <c r="AC1304" s="465">
        <v>0</v>
      </c>
      <c r="AD1304" s="465">
        <v>0</v>
      </c>
      <c r="AE1304" s="476">
        <v>0</v>
      </c>
      <c r="AF1304" s="467">
        <v>0</v>
      </c>
      <c r="AG1304" s="468">
        <v>0</v>
      </c>
      <c r="AH1304" s="218">
        <v>0</v>
      </c>
      <c r="AI1304" s="470">
        <v>0</v>
      </c>
      <c r="AJ1304" s="471">
        <v>0</v>
      </c>
      <c r="AK1304" s="218">
        <v>0</v>
      </c>
      <c r="AL1304" s="470">
        <v>0</v>
      </c>
      <c r="AM1304" s="471">
        <v>0</v>
      </c>
      <c r="AN1304" s="477">
        <v>0</v>
      </c>
      <c r="AO1304" s="473">
        <v>0</v>
      </c>
      <c r="AP1304" s="474">
        <v>0</v>
      </c>
      <c r="AQ1304" s="352"/>
      <c r="AR1304" s="352"/>
      <c r="AS1304" s="352"/>
      <c r="AT1304" s="352"/>
      <c r="AU1304" s="352"/>
      <c r="AV1304" s="352"/>
      <c r="AW1304" s="352" t="s">
        <v>254</v>
      </c>
    </row>
    <row r="1305" spans="2:49" x14ac:dyDescent="0.2">
      <c r="B1305" s="460" t="s">
        <v>2753</v>
      </c>
      <c r="C1305" s="460">
        <v>2123</v>
      </c>
      <c r="D1305" s="460" t="s">
        <v>2340</v>
      </c>
      <c r="E1305" s="460" t="s">
        <v>2330</v>
      </c>
      <c r="F1305" s="460">
        <v>3</v>
      </c>
      <c r="G1305" s="460">
        <v>3</v>
      </c>
      <c r="H1305" s="461" t="s">
        <v>746</v>
      </c>
      <c r="I1305" s="461" t="s">
        <v>762</v>
      </c>
      <c r="J1305" s="461" t="s">
        <v>700</v>
      </c>
      <c r="K1305" s="594"/>
      <c r="L1305" s="594"/>
      <c r="M1305" s="352">
        <v>2000</v>
      </c>
      <c r="N1305" s="352" t="s">
        <v>703</v>
      </c>
      <c r="O1305" s="460">
        <v>2123</v>
      </c>
      <c r="P1305" s="460" t="s">
        <v>1878</v>
      </c>
      <c r="Q1305" s="460" t="s">
        <v>2289</v>
      </c>
      <c r="R1305" s="460">
        <v>2123</v>
      </c>
      <c r="S1305" s="460" t="s">
        <v>2324</v>
      </c>
      <c r="T1305" s="462">
        <v>1</v>
      </c>
      <c r="U1305" s="460" t="s">
        <v>2330</v>
      </c>
      <c r="V1305" s="475">
        <v>0</v>
      </c>
      <c r="W1305" s="463" t="s">
        <v>2268</v>
      </c>
      <c r="X1305" s="463" t="s">
        <v>2268</v>
      </c>
      <c r="Y1305" s="463" t="s">
        <v>2290</v>
      </c>
      <c r="Z1305" s="463"/>
      <c r="AA1305" s="463"/>
      <c r="AB1305" s="464">
        <v>0</v>
      </c>
      <c r="AC1305" s="465">
        <v>0</v>
      </c>
      <c r="AD1305" s="465">
        <v>0</v>
      </c>
      <c r="AE1305" s="476">
        <v>0</v>
      </c>
      <c r="AF1305" s="467">
        <v>0</v>
      </c>
      <c r="AG1305" s="468">
        <v>0</v>
      </c>
      <c r="AH1305" s="218">
        <v>0</v>
      </c>
      <c r="AI1305" s="470">
        <v>0</v>
      </c>
      <c r="AJ1305" s="471">
        <v>0</v>
      </c>
      <c r="AK1305" s="218">
        <v>0</v>
      </c>
      <c r="AL1305" s="470">
        <v>0</v>
      </c>
      <c r="AM1305" s="471">
        <v>0</v>
      </c>
      <c r="AN1305" s="477">
        <v>0</v>
      </c>
      <c r="AO1305" s="473">
        <v>0</v>
      </c>
      <c r="AP1305" s="474">
        <v>0</v>
      </c>
      <c r="AQ1305" s="352"/>
      <c r="AR1305" s="352"/>
      <c r="AS1305" s="352"/>
      <c r="AT1305" s="352"/>
      <c r="AU1305" s="352"/>
      <c r="AV1305" s="352"/>
      <c r="AW1305" s="352" t="s">
        <v>254</v>
      </c>
    </row>
    <row r="1306" spans="2:49" x14ac:dyDescent="0.2">
      <c r="B1306" s="460" t="s">
        <v>2754</v>
      </c>
      <c r="C1306" s="460">
        <v>2123</v>
      </c>
      <c r="D1306" s="460" t="s">
        <v>2341</v>
      </c>
      <c r="E1306" s="460" t="s">
        <v>2333</v>
      </c>
      <c r="F1306" s="460">
        <v>4</v>
      </c>
      <c r="G1306" s="460">
        <v>3</v>
      </c>
      <c r="H1306" s="461" t="s">
        <v>746</v>
      </c>
      <c r="I1306" s="461" t="s">
        <v>762</v>
      </c>
      <c r="J1306" s="461" t="s">
        <v>700</v>
      </c>
      <c r="K1306" s="594"/>
      <c r="L1306" s="594"/>
      <c r="M1306" s="352">
        <v>2000</v>
      </c>
      <c r="N1306" s="352" t="s">
        <v>703</v>
      </c>
      <c r="O1306" s="460">
        <v>2123</v>
      </c>
      <c r="P1306" s="460" t="s">
        <v>1878</v>
      </c>
      <c r="Q1306" s="460" t="s">
        <v>2289</v>
      </c>
      <c r="R1306" s="460">
        <v>2123</v>
      </c>
      <c r="S1306" s="460" t="s">
        <v>2333</v>
      </c>
      <c r="T1306" s="462">
        <v>1</v>
      </c>
      <c r="U1306" s="460" t="s">
        <v>2333</v>
      </c>
      <c r="V1306" s="475">
        <v>0</v>
      </c>
      <c r="W1306" s="463" t="s">
        <v>2268</v>
      </c>
      <c r="X1306" s="463" t="s">
        <v>2268</v>
      </c>
      <c r="Y1306" s="463" t="s">
        <v>2290</v>
      </c>
      <c r="Z1306" s="463"/>
      <c r="AA1306" s="463"/>
      <c r="AB1306" s="464">
        <v>0</v>
      </c>
      <c r="AC1306" s="465">
        <v>0</v>
      </c>
      <c r="AD1306" s="465">
        <v>0</v>
      </c>
      <c r="AE1306" s="476">
        <v>0</v>
      </c>
      <c r="AF1306" s="467">
        <v>0</v>
      </c>
      <c r="AG1306" s="468">
        <v>0</v>
      </c>
      <c r="AH1306" s="218">
        <v>0</v>
      </c>
      <c r="AI1306" s="470">
        <v>0</v>
      </c>
      <c r="AJ1306" s="471">
        <v>0</v>
      </c>
      <c r="AK1306" s="218">
        <v>0</v>
      </c>
      <c r="AL1306" s="470">
        <v>0</v>
      </c>
      <c r="AM1306" s="471">
        <v>0</v>
      </c>
      <c r="AN1306" s="477">
        <v>0</v>
      </c>
      <c r="AO1306" s="473">
        <v>0</v>
      </c>
      <c r="AP1306" s="474">
        <v>0</v>
      </c>
      <c r="AQ1306" s="352"/>
      <c r="AR1306" s="352"/>
      <c r="AS1306" s="352"/>
      <c r="AT1306" s="352"/>
      <c r="AU1306" s="352"/>
      <c r="AV1306" s="352"/>
      <c r="AW1306" s="352" t="s">
        <v>254</v>
      </c>
    </row>
    <row r="1307" spans="2:49" x14ac:dyDescent="0.2">
      <c r="B1307" s="460" t="s">
        <v>2751</v>
      </c>
      <c r="C1307" s="460">
        <v>2123</v>
      </c>
      <c r="D1307" s="460" t="s">
        <v>2342</v>
      </c>
      <c r="E1307" s="460" t="s">
        <v>2324</v>
      </c>
      <c r="F1307" s="460">
        <v>1</v>
      </c>
      <c r="G1307" s="460">
        <v>3</v>
      </c>
      <c r="H1307" s="461" t="s">
        <v>748</v>
      </c>
      <c r="I1307" s="461" t="s">
        <v>765</v>
      </c>
      <c r="J1307" s="461" t="s">
        <v>700</v>
      </c>
      <c r="K1307" s="594"/>
      <c r="L1307" s="594"/>
      <c r="M1307" s="352">
        <v>2000</v>
      </c>
      <c r="N1307" s="352" t="s">
        <v>703</v>
      </c>
      <c r="O1307" s="460">
        <v>2123</v>
      </c>
      <c r="P1307" s="460" t="s">
        <v>1878</v>
      </c>
      <c r="Q1307" s="460" t="s">
        <v>2266</v>
      </c>
      <c r="R1307" s="460">
        <v>2123</v>
      </c>
      <c r="S1307" s="460" t="s">
        <v>2324</v>
      </c>
      <c r="T1307" s="462">
        <v>1</v>
      </c>
      <c r="U1307" s="460" t="s">
        <v>2324</v>
      </c>
      <c r="V1307" s="475">
        <v>0</v>
      </c>
      <c r="W1307" s="463" t="s">
        <v>2268</v>
      </c>
      <c r="X1307" s="463" t="s">
        <v>2268</v>
      </c>
      <c r="Y1307" s="463" t="s">
        <v>2267</v>
      </c>
      <c r="Z1307" s="463"/>
      <c r="AA1307" s="463"/>
      <c r="AB1307" s="464">
        <v>0</v>
      </c>
      <c r="AC1307" s="465">
        <v>0</v>
      </c>
      <c r="AD1307" s="465">
        <v>0</v>
      </c>
      <c r="AE1307" s="476">
        <v>0</v>
      </c>
      <c r="AF1307" s="467">
        <v>0</v>
      </c>
      <c r="AG1307" s="468">
        <v>0</v>
      </c>
      <c r="AH1307" s="218">
        <v>0</v>
      </c>
      <c r="AI1307" s="470">
        <v>0</v>
      </c>
      <c r="AJ1307" s="471">
        <v>0</v>
      </c>
      <c r="AK1307" s="218">
        <v>0</v>
      </c>
      <c r="AL1307" s="470">
        <v>0</v>
      </c>
      <c r="AM1307" s="471">
        <v>0</v>
      </c>
      <c r="AN1307" s="477">
        <v>35.048652473546518</v>
      </c>
      <c r="AO1307" s="473">
        <v>0.43766981943934058</v>
      </c>
      <c r="AP1307" s="474">
        <v>1.8243459830023659E-3</v>
      </c>
      <c r="AQ1307" s="352"/>
      <c r="AR1307" s="352"/>
      <c r="AS1307" s="352"/>
      <c r="AT1307" s="352"/>
      <c r="AU1307" s="352"/>
      <c r="AV1307" s="352"/>
      <c r="AW1307" s="352" t="s">
        <v>254</v>
      </c>
    </row>
    <row r="1308" spans="2:49" x14ac:dyDescent="0.2">
      <c r="B1308" s="460" t="s">
        <v>2752</v>
      </c>
      <c r="C1308" s="460">
        <v>2123</v>
      </c>
      <c r="D1308" s="460" t="s">
        <v>2343</v>
      </c>
      <c r="E1308" s="460" t="s">
        <v>2327</v>
      </c>
      <c r="F1308" s="460">
        <v>2</v>
      </c>
      <c r="G1308" s="460">
        <v>3</v>
      </c>
      <c r="H1308" s="461" t="s">
        <v>748</v>
      </c>
      <c r="I1308" s="461" t="s">
        <v>765</v>
      </c>
      <c r="J1308" s="461" t="s">
        <v>700</v>
      </c>
      <c r="K1308" s="594"/>
      <c r="L1308" s="594"/>
      <c r="M1308" s="352">
        <v>2000</v>
      </c>
      <c r="N1308" s="352" t="s">
        <v>703</v>
      </c>
      <c r="O1308" s="460">
        <v>2123</v>
      </c>
      <c r="P1308" s="460" t="s">
        <v>1878</v>
      </c>
      <c r="Q1308" s="460" t="s">
        <v>2266</v>
      </c>
      <c r="R1308" s="460">
        <v>2123</v>
      </c>
      <c r="S1308" s="460" t="s">
        <v>2324</v>
      </c>
      <c r="T1308" s="462">
        <v>1</v>
      </c>
      <c r="U1308" s="460" t="s">
        <v>2327</v>
      </c>
      <c r="V1308" s="475">
        <v>0</v>
      </c>
      <c r="W1308" s="463" t="s">
        <v>2268</v>
      </c>
      <c r="X1308" s="463" t="s">
        <v>2268</v>
      </c>
      <c r="Y1308" s="463" t="s">
        <v>2267</v>
      </c>
      <c r="Z1308" s="463"/>
      <c r="AA1308" s="463"/>
      <c r="AB1308" s="464">
        <v>0</v>
      </c>
      <c r="AC1308" s="465">
        <v>0</v>
      </c>
      <c r="AD1308" s="465">
        <v>0</v>
      </c>
      <c r="AE1308" s="476">
        <v>0</v>
      </c>
      <c r="AF1308" s="467">
        <v>0</v>
      </c>
      <c r="AG1308" s="468">
        <v>0</v>
      </c>
      <c r="AH1308" s="218">
        <v>0</v>
      </c>
      <c r="AI1308" s="470">
        <v>0</v>
      </c>
      <c r="AJ1308" s="471">
        <v>0</v>
      </c>
      <c r="AK1308" s="218">
        <v>0</v>
      </c>
      <c r="AL1308" s="470">
        <v>0</v>
      </c>
      <c r="AM1308" s="471">
        <v>0</v>
      </c>
      <c r="AN1308" s="477">
        <v>18.640039494680781</v>
      </c>
      <c r="AO1308" s="473">
        <v>0.43766981943934058</v>
      </c>
      <c r="AP1308" s="474">
        <v>1.6569785836976923E-3</v>
      </c>
      <c r="AQ1308" s="352"/>
      <c r="AR1308" s="352"/>
      <c r="AS1308" s="352"/>
      <c r="AT1308" s="352"/>
      <c r="AU1308" s="352"/>
      <c r="AV1308" s="352"/>
      <c r="AW1308" s="352" t="s">
        <v>254</v>
      </c>
    </row>
    <row r="1309" spans="2:49" x14ac:dyDescent="0.2">
      <c r="B1309" s="460" t="s">
        <v>2753</v>
      </c>
      <c r="C1309" s="460">
        <v>2123</v>
      </c>
      <c r="D1309" s="460" t="s">
        <v>2344</v>
      </c>
      <c r="E1309" s="460" t="s">
        <v>2330</v>
      </c>
      <c r="F1309" s="460">
        <v>3</v>
      </c>
      <c r="G1309" s="460">
        <v>3</v>
      </c>
      <c r="H1309" s="461" t="s">
        <v>748</v>
      </c>
      <c r="I1309" s="461" t="s">
        <v>765</v>
      </c>
      <c r="J1309" s="461" t="s">
        <v>700</v>
      </c>
      <c r="K1309" s="594"/>
      <c r="L1309" s="594"/>
      <c r="M1309" s="352">
        <v>2000</v>
      </c>
      <c r="N1309" s="352" t="s">
        <v>703</v>
      </c>
      <c r="O1309" s="460">
        <v>2123</v>
      </c>
      <c r="P1309" s="460" t="s">
        <v>1878</v>
      </c>
      <c r="Q1309" s="460" t="s">
        <v>2266</v>
      </c>
      <c r="R1309" s="460">
        <v>2123</v>
      </c>
      <c r="S1309" s="460" t="s">
        <v>2324</v>
      </c>
      <c r="T1309" s="462">
        <v>1</v>
      </c>
      <c r="U1309" s="460" t="s">
        <v>2330</v>
      </c>
      <c r="V1309" s="475">
        <v>0</v>
      </c>
      <c r="W1309" s="463" t="s">
        <v>2268</v>
      </c>
      <c r="X1309" s="463" t="s">
        <v>2268</v>
      </c>
      <c r="Y1309" s="463" t="s">
        <v>2267</v>
      </c>
      <c r="Z1309" s="463"/>
      <c r="AA1309" s="463"/>
      <c r="AB1309" s="464">
        <v>0</v>
      </c>
      <c r="AC1309" s="465">
        <v>0</v>
      </c>
      <c r="AD1309" s="465">
        <v>0</v>
      </c>
      <c r="AE1309" s="476">
        <v>0</v>
      </c>
      <c r="AF1309" s="467">
        <v>0</v>
      </c>
      <c r="AG1309" s="468">
        <v>0</v>
      </c>
      <c r="AH1309" s="218">
        <v>0</v>
      </c>
      <c r="AI1309" s="470">
        <v>0</v>
      </c>
      <c r="AJ1309" s="471">
        <v>0</v>
      </c>
      <c r="AK1309" s="218">
        <v>0</v>
      </c>
      <c r="AL1309" s="470">
        <v>0</v>
      </c>
      <c r="AM1309" s="471">
        <v>0</v>
      </c>
      <c r="AN1309" s="477">
        <v>5.7975824046758069</v>
      </c>
      <c r="AO1309" s="473">
        <v>0.43766981943934058</v>
      </c>
      <c r="AP1309" s="474">
        <v>1.5803207711824088E-3</v>
      </c>
      <c r="AQ1309" s="352"/>
      <c r="AR1309" s="352"/>
      <c r="AS1309" s="352"/>
      <c r="AT1309" s="352"/>
      <c r="AU1309" s="352"/>
      <c r="AV1309" s="352"/>
      <c r="AW1309" s="352" t="s">
        <v>254</v>
      </c>
    </row>
    <row r="1310" spans="2:49" x14ac:dyDescent="0.2">
      <c r="B1310" s="460" t="s">
        <v>2754</v>
      </c>
      <c r="C1310" s="460">
        <v>2123</v>
      </c>
      <c r="D1310" s="460" t="s">
        <v>2345</v>
      </c>
      <c r="E1310" s="460" t="s">
        <v>2333</v>
      </c>
      <c r="F1310" s="460">
        <v>4</v>
      </c>
      <c r="G1310" s="460">
        <v>3</v>
      </c>
      <c r="H1310" s="461" t="s">
        <v>748</v>
      </c>
      <c r="I1310" s="461" t="s">
        <v>765</v>
      </c>
      <c r="J1310" s="461" t="s">
        <v>700</v>
      </c>
      <c r="K1310" s="594"/>
      <c r="L1310" s="594"/>
      <c r="M1310" s="352">
        <v>2000</v>
      </c>
      <c r="N1310" s="352" t="s">
        <v>703</v>
      </c>
      <c r="O1310" s="460">
        <v>2123</v>
      </c>
      <c r="P1310" s="460" t="s">
        <v>1878</v>
      </c>
      <c r="Q1310" s="460" t="s">
        <v>2266</v>
      </c>
      <c r="R1310" s="460">
        <v>2123</v>
      </c>
      <c r="S1310" s="460" t="s">
        <v>2333</v>
      </c>
      <c r="T1310" s="462">
        <v>1</v>
      </c>
      <c r="U1310" s="460" t="s">
        <v>2333</v>
      </c>
      <c r="V1310" s="475">
        <v>0</v>
      </c>
      <c r="W1310" s="463" t="s">
        <v>2268</v>
      </c>
      <c r="X1310" s="463" t="s">
        <v>2268</v>
      </c>
      <c r="Y1310" s="463" t="s">
        <v>2278</v>
      </c>
      <c r="Z1310" s="463"/>
      <c r="AA1310" s="463"/>
      <c r="AB1310" s="464">
        <v>0</v>
      </c>
      <c r="AC1310" s="465">
        <v>0</v>
      </c>
      <c r="AD1310" s="465">
        <v>0</v>
      </c>
      <c r="AE1310" s="476">
        <v>0</v>
      </c>
      <c r="AF1310" s="467">
        <v>0</v>
      </c>
      <c r="AG1310" s="468">
        <v>0</v>
      </c>
      <c r="AH1310" s="218">
        <v>0</v>
      </c>
      <c r="AI1310" s="470">
        <v>0</v>
      </c>
      <c r="AJ1310" s="471">
        <v>0</v>
      </c>
      <c r="AK1310" s="218">
        <v>0</v>
      </c>
      <c r="AL1310" s="470">
        <v>0</v>
      </c>
      <c r="AM1310" s="471">
        <v>0</v>
      </c>
      <c r="AN1310" s="477">
        <v>5.5900409846010385E-2</v>
      </c>
      <c r="AO1310" s="473">
        <v>4.591690863210156E-3</v>
      </c>
      <c r="AP1310" s="474">
        <v>3.4810556723131686E-5</v>
      </c>
      <c r="AQ1310" s="352"/>
      <c r="AR1310" s="352"/>
      <c r="AS1310" s="352"/>
      <c r="AT1310" s="352"/>
      <c r="AU1310" s="352"/>
      <c r="AV1310" s="352"/>
      <c r="AW1310" s="352" t="s">
        <v>254</v>
      </c>
    </row>
    <row r="1311" spans="2:49" x14ac:dyDescent="0.2">
      <c r="B1311" s="460" t="s">
        <v>2751</v>
      </c>
      <c r="C1311" s="460">
        <v>2123</v>
      </c>
      <c r="D1311" s="460" t="s">
        <v>2346</v>
      </c>
      <c r="E1311" s="460" t="s">
        <v>2324</v>
      </c>
      <c r="F1311" s="460">
        <v>1</v>
      </c>
      <c r="G1311" s="460">
        <v>3</v>
      </c>
      <c r="H1311" s="461" t="s">
        <v>752</v>
      </c>
      <c r="I1311" s="461" t="s">
        <v>964</v>
      </c>
      <c r="J1311" s="461" t="s">
        <v>752</v>
      </c>
      <c r="K1311" s="594"/>
      <c r="L1311" s="594"/>
      <c r="M1311" s="352">
        <v>2000</v>
      </c>
      <c r="N1311" s="352" t="s">
        <v>703</v>
      </c>
      <c r="O1311" s="460">
        <v>2123</v>
      </c>
      <c r="P1311" s="460" t="s">
        <v>1878</v>
      </c>
      <c r="Q1311" s="460" t="s">
        <v>2266</v>
      </c>
      <c r="R1311" s="460">
        <v>2123</v>
      </c>
      <c r="S1311" s="460" t="s">
        <v>2324</v>
      </c>
      <c r="T1311" s="462">
        <v>1</v>
      </c>
      <c r="U1311" s="460" t="s">
        <v>2324</v>
      </c>
      <c r="V1311" s="475">
        <v>0</v>
      </c>
      <c r="W1311" s="463" t="s">
        <v>2278</v>
      </c>
      <c r="X1311" s="463" t="s">
        <v>2278</v>
      </c>
      <c r="Y1311" s="463" t="s">
        <v>2278</v>
      </c>
      <c r="Z1311" s="463"/>
      <c r="AA1311" s="463"/>
      <c r="AB1311" s="464">
        <v>0</v>
      </c>
      <c r="AC1311" s="465">
        <v>0</v>
      </c>
      <c r="AD1311" s="465">
        <v>0</v>
      </c>
      <c r="AE1311" s="476">
        <v>0</v>
      </c>
      <c r="AF1311" s="467">
        <v>0</v>
      </c>
      <c r="AG1311" s="468">
        <v>0</v>
      </c>
      <c r="AH1311" s="218">
        <v>0</v>
      </c>
      <c r="AI1311" s="470">
        <v>0</v>
      </c>
      <c r="AJ1311" s="471">
        <v>0</v>
      </c>
      <c r="AK1311" s="218">
        <v>0</v>
      </c>
      <c r="AL1311" s="470">
        <v>0</v>
      </c>
      <c r="AM1311" s="471">
        <v>0</v>
      </c>
      <c r="AN1311" s="477">
        <v>0</v>
      </c>
      <c r="AO1311" s="473">
        <v>0</v>
      </c>
      <c r="AP1311" s="474">
        <v>0</v>
      </c>
      <c r="AQ1311" s="352"/>
      <c r="AR1311" s="352"/>
      <c r="AS1311" s="352"/>
      <c r="AT1311" s="352"/>
      <c r="AU1311" s="352"/>
      <c r="AV1311" s="352"/>
      <c r="AW1311" s="352" t="s">
        <v>254</v>
      </c>
    </row>
    <row r="1312" spans="2:49" x14ac:dyDescent="0.2">
      <c r="B1312" s="460" t="s">
        <v>2752</v>
      </c>
      <c r="C1312" s="460">
        <v>2123</v>
      </c>
      <c r="D1312" s="460" t="s">
        <v>2347</v>
      </c>
      <c r="E1312" s="460" t="s">
        <v>2327</v>
      </c>
      <c r="F1312" s="460">
        <v>2</v>
      </c>
      <c r="G1312" s="460">
        <v>3</v>
      </c>
      <c r="H1312" s="461" t="s">
        <v>752</v>
      </c>
      <c r="I1312" s="461" t="s">
        <v>964</v>
      </c>
      <c r="J1312" s="461" t="s">
        <v>752</v>
      </c>
      <c r="K1312" s="594"/>
      <c r="L1312" s="594"/>
      <c r="M1312" s="352">
        <v>2000</v>
      </c>
      <c r="N1312" s="352" t="s">
        <v>703</v>
      </c>
      <c r="O1312" s="460">
        <v>2123</v>
      </c>
      <c r="P1312" s="460" t="s">
        <v>1878</v>
      </c>
      <c r="Q1312" s="460" t="s">
        <v>2266</v>
      </c>
      <c r="R1312" s="460">
        <v>2123</v>
      </c>
      <c r="S1312" s="460" t="s">
        <v>2324</v>
      </c>
      <c r="T1312" s="462">
        <v>1</v>
      </c>
      <c r="U1312" s="460" t="s">
        <v>2327</v>
      </c>
      <c r="V1312" s="475">
        <v>0</v>
      </c>
      <c r="W1312" s="463" t="s">
        <v>2278</v>
      </c>
      <c r="X1312" s="463" t="s">
        <v>2278</v>
      </c>
      <c r="Y1312" s="463" t="s">
        <v>2278</v>
      </c>
      <c r="Z1312" s="463"/>
      <c r="AA1312" s="463"/>
      <c r="AB1312" s="464">
        <v>0</v>
      </c>
      <c r="AC1312" s="465">
        <v>0</v>
      </c>
      <c r="AD1312" s="465">
        <v>0</v>
      </c>
      <c r="AE1312" s="476">
        <v>0</v>
      </c>
      <c r="AF1312" s="467">
        <v>0</v>
      </c>
      <c r="AG1312" s="468">
        <v>0</v>
      </c>
      <c r="AH1312" s="218">
        <v>0</v>
      </c>
      <c r="AI1312" s="470">
        <v>0</v>
      </c>
      <c r="AJ1312" s="471">
        <v>0</v>
      </c>
      <c r="AK1312" s="218">
        <v>0</v>
      </c>
      <c r="AL1312" s="470">
        <v>0</v>
      </c>
      <c r="AM1312" s="471">
        <v>0</v>
      </c>
      <c r="AN1312" s="477">
        <v>0</v>
      </c>
      <c r="AO1312" s="473">
        <v>0</v>
      </c>
      <c r="AP1312" s="474">
        <v>0</v>
      </c>
      <c r="AQ1312" s="352"/>
      <c r="AR1312" s="352"/>
      <c r="AS1312" s="352"/>
      <c r="AT1312" s="352"/>
      <c r="AU1312" s="352"/>
      <c r="AV1312" s="352"/>
      <c r="AW1312" s="352" t="s">
        <v>254</v>
      </c>
    </row>
    <row r="1313" spans="2:49" x14ac:dyDescent="0.2">
      <c r="B1313" s="460" t="s">
        <v>2753</v>
      </c>
      <c r="C1313" s="460">
        <v>2123</v>
      </c>
      <c r="D1313" s="460" t="s">
        <v>2348</v>
      </c>
      <c r="E1313" s="460" t="s">
        <v>2330</v>
      </c>
      <c r="F1313" s="460">
        <v>3</v>
      </c>
      <c r="G1313" s="460">
        <v>3</v>
      </c>
      <c r="H1313" s="461" t="s">
        <v>752</v>
      </c>
      <c r="I1313" s="461" t="s">
        <v>964</v>
      </c>
      <c r="J1313" s="461" t="s">
        <v>752</v>
      </c>
      <c r="K1313" s="594"/>
      <c r="L1313" s="594"/>
      <c r="M1313" s="352">
        <v>2000</v>
      </c>
      <c r="N1313" s="352" t="s">
        <v>703</v>
      </c>
      <c r="O1313" s="460">
        <v>2123</v>
      </c>
      <c r="P1313" s="460" t="s">
        <v>1878</v>
      </c>
      <c r="Q1313" s="460" t="s">
        <v>2266</v>
      </c>
      <c r="R1313" s="460">
        <v>2123</v>
      </c>
      <c r="S1313" s="460" t="s">
        <v>2324</v>
      </c>
      <c r="T1313" s="462">
        <v>1</v>
      </c>
      <c r="U1313" s="460" t="s">
        <v>2330</v>
      </c>
      <c r="V1313" s="475">
        <v>0</v>
      </c>
      <c r="W1313" s="463" t="s">
        <v>2278</v>
      </c>
      <c r="X1313" s="463" t="s">
        <v>2278</v>
      </c>
      <c r="Y1313" s="463" t="s">
        <v>2278</v>
      </c>
      <c r="Z1313" s="463"/>
      <c r="AA1313" s="463"/>
      <c r="AB1313" s="464">
        <v>0</v>
      </c>
      <c r="AC1313" s="465">
        <v>0</v>
      </c>
      <c r="AD1313" s="465">
        <v>0</v>
      </c>
      <c r="AE1313" s="476">
        <v>0</v>
      </c>
      <c r="AF1313" s="467">
        <v>0</v>
      </c>
      <c r="AG1313" s="468">
        <v>0</v>
      </c>
      <c r="AH1313" s="218">
        <v>0</v>
      </c>
      <c r="AI1313" s="470">
        <v>0</v>
      </c>
      <c r="AJ1313" s="471">
        <v>0</v>
      </c>
      <c r="AK1313" s="218">
        <v>0</v>
      </c>
      <c r="AL1313" s="470">
        <v>0</v>
      </c>
      <c r="AM1313" s="471">
        <v>0</v>
      </c>
      <c r="AN1313" s="477">
        <v>0</v>
      </c>
      <c r="AO1313" s="473">
        <v>0</v>
      </c>
      <c r="AP1313" s="474">
        <v>0</v>
      </c>
      <c r="AQ1313" s="352"/>
      <c r="AR1313" s="352"/>
      <c r="AS1313" s="352"/>
      <c r="AT1313" s="352"/>
      <c r="AU1313" s="352"/>
      <c r="AV1313" s="352"/>
      <c r="AW1313" s="352" t="s">
        <v>254</v>
      </c>
    </row>
    <row r="1314" spans="2:49" x14ac:dyDescent="0.2">
      <c r="B1314" s="460" t="s">
        <v>2754</v>
      </c>
      <c r="C1314" s="460">
        <v>2123</v>
      </c>
      <c r="D1314" s="460" t="s">
        <v>2349</v>
      </c>
      <c r="E1314" s="460" t="s">
        <v>2333</v>
      </c>
      <c r="F1314" s="460">
        <v>4</v>
      </c>
      <c r="G1314" s="460">
        <v>3</v>
      </c>
      <c r="H1314" s="461" t="s">
        <v>752</v>
      </c>
      <c r="I1314" s="461" t="s">
        <v>964</v>
      </c>
      <c r="J1314" s="461" t="s">
        <v>752</v>
      </c>
      <c r="K1314" s="594"/>
      <c r="L1314" s="594"/>
      <c r="M1314" s="352">
        <v>2000</v>
      </c>
      <c r="N1314" s="352" t="s">
        <v>703</v>
      </c>
      <c r="O1314" s="460">
        <v>2123</v>
      </c>
      <c r="P1314" s="460" t="s">
        <v>1878</v>
      </c>
      <c r="Q1314" s="460" t="s">
        <v>2266</v>
      </c>
      <c r="R1314" s="460">
        <v>2123</v>
      </c>
      <c r="S1314" s="460" t="s">
        <v>2333</v>
      </c>
      <c r="T1314" s="462">
        <v>1</v>
      </c>
      <c r="U1314" s="460" t="s">
        <v>2333</v>
      </c>
      <c r="V1314" s="475">
        <v>0</v>
      </c>
      <c r="W1314" s="463" t="s">
        <v>2278</v>
      </c>
      <c r="X1314" s="463" t="s">
        <v>2278</v>
      </c>
      <c r="Y1314" s="463" t="s">
        <v>2278</v>
      </c>
      <c r="Z1314" s="463"/>
      <c r="AA1314" s="463"/>
      <c r="AB1314" s="464">
        <v>0</v>
      </c>
      <c r="AC1314" s="465">
        <v>0</v>
      </c>
      <c r="AD1314" s="465">
        <v>0</v>
      </c>
      <c r="AE1314" s="476">
        <v>0</v>
      </c>
      <c r="AF1314" s="467">
        <v>0</v>
      </c>
      <c r="AG1314" s="468">
        <v>0</v>
      </c>
      <c r="AH1314" s="218">
        <v>0</v>
      </c>
      <c r="AI1314" s="470">
        <v>0</v>
      </c>
      <c r="AJ1314" s="471">
        <v>0</v>
      </c>
      <c r="AK1314" s="218">
        <v>0</v>
      </c>
      <c r="AL1314" s="470">
        <v>0</v>
      </c>
      <c r="AM1314" s="471">
        <v>0</v>
      </c>
      <c r="AN1314" s="477">
        <v>0</v>
      </c>
      <c r="AO1314" s="473">
        <v>0</v>
      </c>
      <c r="AP1314" s="474">
        <v>0</v>
      </c>
      <c r="AQ1314" s="352"/>
      <c r="AR1314" s="352"/>
      <c r="AS1314" s="352"/>
      <c r="AT1314" s="352"/>
      <c r="AU1314" s="352"/>
      <c r="AV1314" s="352"/>
      <c r="AW1314" s="352" t="s">
        <v>254</v>
      </c>
    </row>
    <row r="1315" spans="2:49" x14ac:dyDescent="0.2">
      <c r="B1315" s="460" t="s">
        <v>2755</v>
      </c>
      <c r="C1315" s="460">
        <v>2123</v>
      </c>
      <c r="D1315" s="460" t="s">
        <v>2351</v>
      </c>
      <c r="E1315" s="460" t="s">
        <v>1136</v>
      </c>
      <c r="F1315" s="460">
        <v>1</v>
      </c>
      <c r="G1315" s="460">
        <v>4</v>
      </c>
      <c r="H1315" s="461" t="s">
        <v>700</v>
      </c>
      <c r="I1315" s="461" t="s">
        <v>872</v>
      </c>
      <c r="J1315" s="461" t="s">
        <v>700</v>
      </c>
      <c r="K1315" s="594"/>
      <c r="L1315" s="594"/>
      <c r="M1315" s="352">
        <v>2000</v>
      </c>
      <c r="N1315" s="352" t="s">
        <v>703</v>
      </c>
      <c r="O1315" s="460">
        <v>2123</v>
      </c>
      <c r="P1315" s="460" t="s">
        <v>1878</v>
      </c>
      <c r="Q1315" s="460" t="s">
        <v>2266</v>
      </c>
      <c r="R1315" s="460">
        <v>2123</v>
      </c>
      <c r="S1315" s="460" t="s">
        <v>1136</v>
      </c>
      <c r="T1315" s="462">
        <v>1</v>
      </c>
      <c r="U1315" s="460" t="s">
        <v>1136</v>
      </c>
      <c r="V1315" s="475">
        <v>0</v>
      </c>
      <c r="W1315" s="463" t="s">
        <v>2267</v>
      </c>
      <c r="X1315" s="463" t="s">
        <v>2267</v>
      </c>
      <c r="Y1315" s="463" t="s">
        <v>2268</v>
      </c>
      <c r="Z1315" s="463"/>
      <c r="AA1315" s="463"/>
      <c r="AB1315" s="464">
        <v>0.84478450845601161</v>
      </c>
      <c r="AC1315" s="465">
        <v>0.24342184590300597</v>
      </c>
      <c r="AD1315" s="465">
        <v>2.4035886792064401E-3</v>
      </c>
      <c r="AE1315" s="476">
        <v>0.84478450845601161</v>
      </c>
      <c r="AF1315" s="467">
        <v>0.24342184590300597</v>
      </c>
      <c r="AG1315" s="468">
        <v>2.6128488730551213E-3</v>
      </c>
      <c r="AH1315" s="218">
        <v>0.84478450845601161</v>
      </c>
      <c r="AI1315" s="470">
        <v>0.24342184590300597</v>
      </c>
      <c r="AJ1315" s="471">
        <v>6.597484214488844E-4</v>
      </c>
      <c r="AK1315" s="218">
        <v>0.84478450845601161</v>
      </c>
      <c r="AL1315" s="470">
        <v>0.24342184590300597</v>
      </c>
      <c r="AM1315" s="471">
        <v>6.597484214488844E-4</v>
      </c>
      <c r="AN1315" s="477">
        <v>0</v>
      </c>
      <c r="AO1315" s="473">
        <v>0</v>
      </c>
      <c r="AP1315" s="474">
        <v>0</v>
      </c>
      <c r="AQ1315" s="352"/>
      <c r="AR1315" s="352"/>
      <c r="AS1315" s="352"/>
      <c r="AT1315" s="352"/>
      <c r="AU1315" s="352"/>
      <c r="AV1315" s="352"/>
      <c r="AW1315" s="352" t="s">
        <v>254</v>
      </c>
    </row>
    <row r="1316" spans="2:49" x14ac:dyDescent="0.2">
      <c r="B1316" s="460" t="s">
        <v>2756</v>
      </c>
      <c r="C1316" s="460">
        <v>2123</v>
      </c>
      <c r="D1316" s="460" t="s">
        <v>2353</v>
      </c>
      <c r="E1316" s="460" t="s">
        <v>1137</v>
      </c>
      <c r="F1316" s="460">
        <v>2</v>
      </c>
      <c r="G1316" s="460">
        <v>4</v>
      </c>
      <c r="H1316" s="461" t="s">
        <v>700</v>
      </c>
      <c r="I1316" s="461" t="s">
        <v>872</v>
      </c>
      <c r="J1316" s="461" t="s">
        <v>700</v>
      </c>
      <c r="K1316" s="594"/>
      <c r="L1316" s="594"/>
      <c r="M1316" s="352">
        <v>2000</v>
      </c>
      <c r="N1316" s="352" t="s">
        <v>703</v>
      </c>
      <c r="O1316" s="460">
        <v>2123</v>
      </c>
      <c r="P1316" s="460" t="s">
        <v>1878</v>
      </c>
      <c r="Q1316" s="460" t="s">
        <v>2266</v>
      </c>
      <c r="R1316" s="460">
        <v>2123</v>
      </c>
      <c r="S1316" s="460" t="s">
        <v>1137</v>
      </c>
      <c r="T1316" s="462">
        <v>1</v>
      </c>
      <c r="U1316" s="460" t="s">
        <v>1137</v>
      </c>
      <c r="V1316" s="475">
        <v>0</v>
      </c>
      <c r="W1316" s="463" t="s">
        <v>2267</v>
      </c>
      <c r="X1316" s="463" t="s">
        <v>2267</v>
      </c>
      <c r="Y1316" s="463" t="s">
        <v>2268</v>
      </c>
      <c r="Z1316" s="463"/>
      <c r="AA1316" s="463"/>
      <c r="AB1316" s="464">
        <v>2.3985008344876442</v>
      </c>
      <c r="AC1316" s="465">
        <v>0.22537243116345271</v>
      </c>
      <c r="AD1316" s="465">
        <v>5.4161775715256253E-4</v>
      </c>
      <c r="AE1316" s="476">
        <v>2.3985008344876442</v>
      </c>
      <c r="AF1316" s="467">
        <v>0.22537243116345271</v>
      </c>
      <c r="AG1316" s="468">
        <v>5.8350145745205122E-4</v>
      </c>
      <c r="AH1316" s="218">
        <v>2.3985008344876442</v>
      </c>
      <c r="AI1316" s="470">
        <v>0.22537243116345271</v>
      </c>
      <c r="AJ1316" s="471">
        <v>4.9555288601683012E-4</v>
      </c>
      <c r="AK1316" s="218">
        <v>2.3985008344876442</v>
      </c>
      <c r="AL1316" s="470">
        <v>0.22537243116345271</v>
      </c>
      <c r="AM1316" s="471">
        <v>4.9555288601683012E-4</v>
      </c>
      <c r="AN1316" s="477">
        <v>0</v>
      </c>
      <c r="AO1316" s="473">
        <v>0</v>
      </c>
      <c r="AP1316" s="474">
        <v>0</v>
      </c>
      <c r="AQ1316" s="352"/>
      <c r="AR1316" s="352"/>
      <c r="AS1316" s="352"/>
      <c r="AT1316" s="352"/>
      <c r="AU1316" s="352"/>
      <c r="AV1316" s="352"/>
      <c r="AW1316" s="352" t="s">
        <v>254</v>
      </c>
    </row>
    <row r="1317" spans="2:49" x14ac:dyDescent="0.2">
      <c r="B1317" s="460" t="s">
        <v>2757</v>
      </c>
      <c r="C1317" s="460">
        <v>2123</v>
      </c>
      <c r="D1317" s="460" t="s">
        <v>2355</v>
      </c>
      <c r="E1317" s="460" t="s">
        <v>1138</v>
      </c>
      <c r="F1317" s="460">
        <v>3</v>
      </c>
      <c r="G1317" s="460">
        <v>4</v>
      </c>
      <c r="H1317" s="461" t="s">
        <v>700</v>
      </c>
      <c r="I1317" s="461" t="s">
        <v>872</v>
      </c>
      <c r="J1317" s="461" t="s">
        <v>700</v>
      </c>
      <c r="K1317" s="594"/>
      <c r="L1317" s="594"/>
      <c r="M1317" s="352">
        <v>2000</v>
      </c>
      <c r="N1317" s="352" t="s">
        <v>703</v>
      </c>
      <c r="O1317" s="460">
        <v>2123</v>
      </c>
      <c r="P1317" s="460" t="s">
        <v>1878</v>
      </c>
      <c r="Q1317" s="460" t="s">
        <v>2266</v>
      </c>
      <c r="R1317" s="460">
        <v>2123</v>
      </c>
      <c r="S1317" s="460" t="s">
        <v>1138</v>
      </c>
      <c r="T1317" s="462">
        <v>1</v>
      </c>
      <c r="U1317" s="460" t="s">
        <v>1138</v>
      </c>
      <c r="V1317" s="475">
        <v>0</v>
      </c>
      <c r="W1317" s="463" t="s">
        <v>2267</v>
      </c>
      <c r="X1317" s="463" t="s">
        <v>2267</v>
      </c>
      <c r="Y1317" s="463" t="s">
        <v>2268</v>
      </c>
      <c r="Z1317" s="463"/>
      <c r="AA1317" s="463"/>
      <c r="AB1317" s="464">
        <v>1.8128144076455177</v>
      </c>
      <c r="AC1317" s="465">
        <v>0.28962660490881664</v>
      </c>
      <c r="AD1317" s="465">
        <v>7.6059920320556299E-4</v>
      </c>
      <c r="AE1317" s="476">
        <v>1.8128144076455177</v>
      </c>
      <c r="AF1317" s="467">
        <v>0.28962660490881664</v>
      </c>
      <c r="AG1317" s="468">
        <v>8.2058364154073964E-4</v>
      </c>
      <c r="AH1317" s="218">
        <v>1.8128144076455177</v>
      </c>
      <c r="AI1317" s="470">
        <v>0.28962660490881664</v>
      </c>
      <c r="AJ1317" s="471">
        <v>6.2470705769003402E-4</v>
      </c>
      <c r="AK1317" s="218">
        <v>1.8128144076455177</v>
      </c>
      <c r="AL1317" s="470">
        <v>0.28962660490881664</v>
      </c>
      <c r="AM1317" s="471">
        <v>6.2470705769003402E-4</v>
      </c>
      <c r="AN1317" s="477">
        <v>0</v>
      </c>
      <c r="AO1317" s="473">
        <v>0</v>
      </c>
      <c r="AP1317" s="474">
        <v>0</v>
      </c>
      <c r="AQ1317" s="352"/>
      <c r="AR1317" s="352"/>
      <c r="AS1317" s="352"/>
      <c r="AT1317" s="352"/>
      <c r="AU1317" s="352"/>
      <c r="AV1317" s="352"/>
      <c r="AW1317" s="352" t="s">
        <v>254</v>
      </c>
    </row>
    <row r="1318" spans="2:49" x14ac:dyDescent="0.2">
      <c r="B1318" s="460" t="s">
        <v>2758</v>
      </c>
      <c r="C1318" s="460">
        <v>2123</v>
      </c>
      <c r="D1318" s="460" t="s">
        <v>2357</v>
      </c>
      <c r="E1318" s="460" t="s">
        <v>1139</v>
      </c>
      <c r="F1318" s="460">
        <v>4</v>
      </c>
      <c r="G1318" s="460">
        <v>4</v>
      </c>
      <c r="H1318" s="461" t="s">
        <v>700</v>
      </c>
      <c r="I1318" s="461" t="s">
        <v>872</v>
      </c>
      <c r="J1318" s="461" t="s">
        <v>700</v>
      </c>
      <c r="K1318" s="594"/>
      <c r="L1318" s="594"/>
      <c r="M1318" s="352">
        <v>2000</v>
      </c>
      <c r="N1318" s="352" t="s">
        <v>703</v>
      </c>
      <c r="O1318" s="460">
        <v>2123</v>
      </c>
      <c r="P1318" s="460" t="s">
        <v>1878</v>
      </c>
      <c r="Q1318" s="460" t="s">
        <v>2266</v>
      </c>
      <c r="R1318" s="460">
        <v>2123</v>
      </c>
      <c r="S1318" s="460" t="s">
        <v>1139</v>
      </c>
      <c r="T1318" s="462">
        <v>1</v>
      </c>
      <c r="U1318" s="460" t="s">
        <v>1139</v>
      </c>
      <c r="V1318" s="475">
        <v>0</v>
      </c>
      <c r="W1318" s="463" t="s">
        <v>2267</v>
      </c>
      <c r="X1318" s="463" t="s">
        <v>2267</v>
      </c>
      <c r="Y1318" s="463" t="s">
        <v>2268</v>
      </c>
      <c r="Z1318" s="463"/>
      <c r="AA1318" s="463"/>
      <c r="AB1318" s="464">
        <v>0</v>
      </c>
      <c r="AC1318" s="465">
        <v>0</v>
      </c>
      <c r="AD1318" s="465">
        <v>0</v>
      </c>
      <c r="AE1318" s="476">
        <v>0</v>
      </c>
      <c r="AF1318" s="467">
        <v>0</v>
      </c>
      <c r="AG1318" s="468">
        <v>0</v>
      </c>
      <c r="AH1318" s="218">
        <v>0</v>
      </c>
      <c r="AI1318" s="470">
        <v>0</v>
      </c>
      <c r="AJ1318" s="471">
        <v>0</v>
      </c>
      <c r="AK1318" s="218">
        <v>0</v>
      </c>
      <c r="AL1318" s="470">
        <v>0</v>
      </c>
      <c r="AM1318" s="471">
        <v>0</v>
      </c>
      <c r="AN1318" s="477">
        <v>0</v>
      </c>
      <c r="AO1318" s="473">
        <v>0</v>
      </c>
      <c r="AP1318" s="474">
        <v>0</v>
      </c>
      <c r="AQ1318" s="352"/>
      <c r="AR1318" s="352"/>
      <c r="AS1318" s="352"/>
      <c r="AT1318" s="352"/>
      <c r="AU1318" s="352"/>
      <c r="AV1318" s="352"/>
      <c r="AW1318" s="352" t="s">
        <v>254</v>
      </c>
    </row>
    <row r="1319" spans="2:49" x14ac:dyDescent="0.2">
      <c r="B1319" s="460" t="s">
        <v>2755</v>
      </c>
      <c r="C1319" s="460">
        <v>2123</v>
      </c>
      <c r="D1319" s="460" t="s">
        <v>2358</v>
      </c>
      <c r="E1319" s="460" t="s">
        <v>1136</v>
      </c>
      <c r="F1319" s="460">
        <v>1</v>
      </c>
      <c r="G1319" s="460">
        <v>4</v>
      </c>
      <c r="H1319" s="461" t="s">
        <v>712</v>
      </c>
      <c r="I1319" s="461" t="s">
        <v>713</v>
      </c>
      <c r="J1319" s="461" t="s">
        <v>712</v>
      </c>
      <c r="K1319" s="594"/>
      <c r="L1319" s="594"/>
      <c r="M1319" s="352">
        <v>2000</v>
      </c>
      <c r="N1319" s="352" t="s">
        <v>703</v>
      </c>
      <c r="O1319" s="460">
        <v>2123</v>
      </c>
      <c r="P1319" s="460" t="s">
        <v>1878</v>
      </c>
      <c r="Q1319" s="460" t="s">
        <v>2280</v>
      </c>
      <c r="R1319" s="460">
        <v>2123</v>
      </c>
      <c r="S1319" s="460" t="s">
        <v>1136</v>
      </c>
      <c r="T1319" s="462">
        <v>1</v>
      </c>
      <c r="U1319" s="460" t="s">
        <v>1136</v>
      </c>
      <c r="V1319" s="475">
        <v>0</v>
      </c>
      <c r="W1319" s="463" t="s">
        <v>713</v>
      </c>
      <c r="X1319" s="463" t="s">
        <v>713</v>
      </c>
      <c r="Y1319" s="463" t="s">
        <v>713</v>
      </c>
      <c r="Z1319" s="463"/>
      <c r="AA1319" s="463"/>
      <c r="AB1319" s="464">
        <v>2.2898855908796194</v>
      </c>
      <c r="AC1319" s="465">
        <v>0.65982291561829354</v>
      </c>
      <c r="AD1319" s="465">
        <v>1.5091194235307608E-5</v>
      </c>
      <c r="AE1319" s="476">
        <v>2.2898855908796194</v>
      </c>
      <c r="AF1319" s="467">
        <v>0.65982291561829354</v>
      </c>
      <c r="AG1319" s="468">
        <v>1.5088395183102566E-5</v>
      </c>
      <c r="AH1319" s="218">
        <v>2.2898855908796194</v>
      </c>
      <c r="AI1319" s="470">
        <v>0.65982291561829354</v>
      </c>
      <c r="AJ1319" s="471">
        <v>1.5241741892291482E-5</v>
      </c>
      <c r="AK1319" s="218">
        <v>2.2898855908796194</v>
      </c>
      <c r="AL1319" s="470">
        <v>0.65982291561829354</v>
      </c>
      <c r="AM1319" s="471">
        <v>1.5241741892291482E-5</v>
      </c>
      <c r="AN1319" s="477">
        <v>2.2898855908796194</v>
      </c>
      <c r="AO1319" s="473">
        <v>0.65982291561829354</v>
      </c>
      <c r="AP1319" s="474">
        <v>1.5216941449825766E-5</v>
      </c>
      <c r="AQ1319" s="352"/>
      <c r="AR1319" s="352"/>
      <c r="AS1319" s="352"/>
      <c r="AT1319" s="352"/>
      <c r="AU1319" s="352"/>
      <c r="AV1319" s="352"/>
      <c r="AW1319" s="352" t="s">
        <v>254</v>
      </c>
    </row>
    <row r="1320" spans="2:49" x14ac:dyDescent="0.2">
      <c r="B1320" s="460" t="s">
        <v>2756</v>
      </c>
      <c r="C1320" s="460">
        <v>2123</v>
      </c>
      <c r="D1320" s="460" t="s">
        <v>2359</v>
      </c>
      <c r="E1320" s="460" t="s">
        <v>1137</v>
      </c>
      <c r="F1320" s="460">
        <v>2</v>
      </c>
      <c r="G1320" s="460">
        <v>4</v>
      </c>
      <c r="H1320" s="461" t="s">
        <v>712</v>
      </c>
      <c r="I1320" s="461" t="s">
        <v>713</v>
      </c>
      <c r="J1320" s="461" t="s">
        <v>712</v>
      </c>
      <c r="K1320" s="594"/>
      <c r="L1320" s="594"/>
      <c r="M1320" s="352">
        <v>2000</v>
      </c>
      <c r="N1320" s="352" t="s">
        <v>703</v>
      </c>
      <c r="O1320" s="460">
        <v>2123</v>
      </c>
      <c r="P1320" s="460" t="s">
        <v>1878</v>
      </c>
      <c r="Q1320" s="460" t="s">
        <v>2280</v>
      </c>
      <c r="R1320" s="460">
        <v>2123</v>
      </c>
      <c r="S1320" s="460" t="s">
        <v>1137</v>
      </c>
      <c r="T1320" s="462">
        <v>1</v>
      </c>
      <c r="U1320" s="460" t="s">
        <v>1137</v>
      </c>
      <c r="V1320" s="475">
        <v>0</v>
      </c>
      <c r="W1320" s="463" t="s">
        <v>713</v>
      </c>
      <c r="X1320" s="463" t="s">
        <v>713</v>
      </c>
      <c r="Y1320" s="463" t="s">
        <v>713</v>
      </c>
      <c r="Z1320" s="463"/>
      <c r="AA1320" s="463"/>
      <c r="AB1320" s="464">
        <v>8.1062169476165451</v>
      </c>
      <c r="AC1320" s="465">
        <v>0.76169155113635001</v>
      </c>
      <c r="AD1320" s="465">
        <v>4.6879370824112021E-5</v>
      </c>
      <c r="AE1320" s="476">
        <v>8.1062169476165451</v>
      </c>
      <c r="AF1320" s="467">
        <v>0.7616915511363499</v>
      </c>
      <c r="AG1320" s="468">
        <v>4.6793351152935909E-5</v>
      </c>
      <c r="AH1320" s="218">
        <v>8.1062169476165451</v>
      </c>
      <c r="AI1320" s="470">
        <v>0.7616915511363499</v>
      </c>
      <c r="AJ1320" s="471">
        <v>4.7015395875116985E-5</v>
      </c>
      <c r="AK1320" s="218">
        <v>8.1062169476165451</v>
      </c>
      <c r="AL1320" s="470">
        <v>0.7616915511363499</v>
      </c>
      <c r="AM1320" s="471">
        <v>4.7015395875116985E-5</v>
      </c>
      <c r="AN1320" s="477">
        <v>8.1062169476165451</v>
      </c>
      <c r="AO1320" s="473">
        <v>0.7616915511363499</v>
      </c>
      <c r="AP1320" s="474">
        <v>4.6976601429020131E-5</v>
      </c>
      <c r="AQ1320" s="352"/>
      <c r="AR1320" s="352"/>
      <c r="AS1320" s="352"/>
      <c r="AT1320" s="352"/>
      <c r="AU1320" s="352"/>
      <c r="AV1320" s="352"/>
      <c r="AW1320" s="352" t="s">
        <v>254</v>
      </c>
    </row>
    <row r="1321" spans="2:49" x14ac:dyDescent="0.2">
      <c r="B1321" s="460" t="s">
        <v>2757</v>
      </c>
      <c r="C1321" s="460">
        <v>2123</v>
      </c>
      <c r="D1321" s="460" t="s">
        <v>2360</v>
      </c>
      <c r="E1321" s="460" t="s">
        <v>1138</v>
      </c>
      <c r="F1321" s="460">
        <v>3</v>
      </c>
      <c r="G1321" s="460">
        <v>4</v>
      </c>
      <c r="H1321" s="461" t="s">
        <v>712</v>
      </c>
      <c r="I1321" s="461" t="s">
        <v>713</v>
      </c>
      <c r="J1321" s="461" t="s">
        <v>712</v>
      </c>
      <c r="K1321" s="594"/>
      <c r="L1321" s="594"/>
      <c r="M1321" s="352">
        <v>2000</v>
      </c>
      <c r="N1321" s="352" t="s">
        <v>703</v>
      </c>
      <c r="O1321" s="460">
        <v>2123</v>
      </c>
      <c r="P1321" s="460" t="s">
        <v>1878</v>
      </c>
      <c r="Q1321" s="460" t="s">
        <v>2280</v>
      </c>
      <c r="R1321" s="460">
        <v>2123</v>
      </c>
      <c r="S1321" s="460" t="s">
        <v>1138</v>
      </c>
      <c r="T1321" s="462">
        <v>1</v>
      </c>
      <c r="U1321" s="460" t="s">
        <v>1138</v>
      </c>
      <c r="V1321" s="475">
        <v>0</v>
      </c>
      <c r="W1321" s="463" t="s">
        <v>713</v>
      </c>
      <c r="X1321" s="463" t="s">
        <v>713</v>
      </c>
      <c r="Y1321" s="463" t="s">
        <v>713</v>
      </c>
      <c r="Z1321" s="463"/>
      <c r="AA1321" s="463"/>
      <c r="AB1321" s="464">
        <v>3.860295682601345</v>
      </c>
      <c r="AC1321" s="465">
        <v>0.61674506103915283</v>
      </c>
      <c r="AD1321" s="465">
        <v>4.8174740198669092E-5</v>
      </c>
      <c r="AE1321" s="476">
        <v>3.860295682601345</v>
      </c>
      <c r="AF1321" s="467">
        <v>0.61674506103915283</v>
      </c>
      <c r="AG1321" s="468">
        <v>4.8070222902570437E-5</v>
      </c>
      <c r="AH1321" s="218">
        <v>3.860295682601345</v>
      </c>
      <c r="AI1321" s="470">
        <v>0.61674506103915283</v>
      </c>
      <c r="AJ1321" s="471">
        <v>4.8633864184343037E-5</v>
      </c>
      <c r="AK1321" s="218">
        <v>3.860295682601345</v>
      </c>
      <c r="AL1321" s="470">
        <v>0.61674506103915283</v>
      </c>
      <c r="AM1321" s="471">
        <v>4.8633864184343037E-5</v>
      </c>
      <c r="AN1321" s="477">
        <v>3.860295682601345</v>
      </c>
      <c r="AO1321" s="473">
        <v>0.61674506103915283</v>
      </c>
      <c r="AP1321" s="474">
        <v>4.8630198937607903E-5</v>
      </c>
      <c r="AQ1321" s="352"/>
      <c r="AR1321" s="352"/>
      <c r="AS1321" s="352"/>
      <c r="AT1321" s="352"/>
      <c r="AU1321" s="352"/>
      <c r="AV1321" s="352"/>
      <c r="AW1321" s="352" t="s">
        <v>254</v>
      </c>
    </row>
    <row r="1322" spans="2:49" x14ac:dyDescent="0.2">
      <c r="B1322" s="460" t="s">
        <v>2758</v>
      </c>
      <c r="C1322" s="460">
        <v>2123</v>
      </c>
      <c r="D1322" s="460" t="s">
        <v>2361</v>
      </c>
      <c r="E1322" s="460" t="s">
        <v>1139</v>
      </c>
      <c r="F1322" s="460">
        <v>4</v>
      </c>
      <c r="G1322" s="460">
        <v>4</v>
      </c>
      <c r="H1322" s="461" t="s">
        <v>712</v>
      </c>
      <c r="I1322" s="461" t="s">
        <v>713</v>
      </c>
      <c r="J1322" s="461" t="s">
        <v>712</v>
      </c>
      <c r="K1322" s="594"/>
      <c r="L1322" s="594"/>
      <c r="M1322" s="352">
        <v>2000</v>
      </c>
      <c r="N1322" s="352" t="s">
        <v>703</v>
      </c>
      <c r="O1322" s="460">
        <v>2123</v>
      </c>
      <c r="P1322" s="460" t="s">
        <v>1878</v>
      </c>
      <c r="Q1322" s="460" t="s">
        <v>2280</v>
      </c>
      <c r="R1322" s="460">
        <v>2123</v>
      </c>
      <c r="S1322" s="460" t="s">
        <v>1139</v>
      </c>
      <c r="T1322" s="462">
        <v>1</v>
      </c>
      <c r="U1322" s="460" t="s">
        <v>1139</v>
      </c>
      <c r="V1322" s="475">
        <v>0</v>
      </c>
      <c r="W1322" s="463" t="s">
        <v>713</v>
      </c>
      <c r="X1322" s="463" t="s">
        <v>713</v>
      </c>
      <c r="Y1322" s="463" t="s">
        <v>713</v>
      </c>
      <c r="Z1322" s="463"/>
      <c r="AA1322" s="463"/>
      <c r="AB1322" s="464">
        <v>4.3768009085350332</v>
      </c>
      <c r="AC1322" s="465">
        <v>0.33977000446043465</v>
      </c>
      <c r="AD1322" s="465">
        <v>4.8460969662394833E-5</v>
      </c>
      <c r="AE1322" s="476">
        <v>4.3768009085350341</v>
      </c>
      <c r="AF1322" s="467">
        <v>0.3397700044604347</v>
      </c>
      <c r="AG1322" s="468">
        <v>4.8460969662394839E-5</v>
      </c>
      <c r="AH1322" s="218">
        <v>4.3768009085350341</v>
      </c>
      <c r="AI1322" s="470">
        <v>0.3397700044604347</v>
      </c>
      <c r="AJ1322" s="471">
        <v>4.9503261279622941E-5</v>
      </c>
      <c r="AK1322" s="218">
        <v>4.3768009085350341</v>
      </c>
      <c r="AL1322" s="470">
        <v>0.3397700044604347</v>
      </c>
      <c r="AM1322" s="471">
        <v>4.9503261279622941E-5</v>
      </c>
      <c r="AN1322" s="477">
        <v>4.3768009085350341</v>
      </c>
      <c r="AO1322" s="473">
        <v>0.3397700044604347</v>
      </c>
      <c r="AP1322" s="474">
        <v>4.9503261279622941E-5</v>
      </c>
      <c r="AQ1322" s="352"/>
      <c r="AR1322" s="352"/>
      <c r="AS1322" s="352"/>
      <c r="AT1322" s="352"/>
      <c r="AU1322" s="352"/>
      <c r="AV1322" s="352"/>
      <c r="AW1322" s="352" t="s">
        <v>254</v>
      </c>
    </row>
    <row r="1323" spans="2:49" x14ac:dyDescent="0.2">
      <c r="B1323" s="460" t="s">
        <v>2755</v>
      </c>
      <c r="C1323" s="460">
        <v>2123</v>
      </c>
      <c r="D1323" s="460" t="s">
        <v>2362</v>
      </c>
      <c r="E1323" s="460" t="s">
        <v>1136</v>
      </c>
      <c r="F1323" s="460">
        <v>1</v>
      </c>
      <c r="G1323" s="460">
        <v>4</v>
      </c>
      <c r="H1323" s="461" t="s">
        <v>746</v>
      </c>
      <c r="I1323" s="461" t="s">
        <v>762</v>
      </c>
      <c r="J1323" s="461" t="s">
        <v>700</v>
      </c>
      <c r="K1323" s="594"/>
      <c r="L1323" s="594"/>
      <c r="M1323" s="352">
        <v>2000</v>
      </c>
      <c r="N1323" s="352" t="s">
        <v>703</v>
      </c>
      <c r="O1323" s="460">
        <v>2123</v>
      </c>
      <c r="P1323" s="460" t="s">
        <v>1878</v>
      </c>
      <c r="Q1323" s="460" t="s">
        <v>2289</v>
      </c>
      <c r="R1323" s="460">
        <v>2123</v>
      </c>
      <c r="S1323" s="460" t="s">
        <v>1136</v>
      </c>
      <c r="T1323" s="462">
        <v>1</v>
      </c>
      <c r="U1323" s="460" t="s">
        <v>1136</v>
      </c>
      <c r="V1323" s="475">
        <v>0</v>
      </c>
      <c r="W1323" s="463" t="s">
        <v>2268</v>
      </c>
      <c r="X1323" s="463" t="s">
        <v>2268</v>
      </c>
      <c r="Y1323" s="463" t="s">
        <v>2290</v>
      </c>
      <c r="Z1323" s="463"/>
      <c r="AA1323" s="463"/>
      <c r="AB1323" s="464">
        <v>0</v>
      </c>
      <c r="AC1323" s="465">
        <v>0</v>
      </c>
      <c r="AD1323" s="465">
        <v>0</v>
      </c>
      <c r="AE1323" s="476">
        <v>0</v>
      </c>
      <c r="AF1323" s="467">
        <v>0</v>
      </c>
      <c r="AG1323" s="468">
        <v>0</v>
      </c>
      <c r="AH1323" s="218">
        <v>0</v>
      </c>
      <c r="AI1323" s="470">
        <v>0</v>
      </c>
      <c r="AJ1323" s="471">
        <v>0</v>
      </c>
      <c r="AK1323" s="218">
        <v>0</v>
      </c>
      <c r="AL1323" s="470">
        <v>0</v>
      </c>
      <c r="AM1323" s="471">
        <v>0</v>
      </c>
      <c r="AN1323" s="477">
        <v>0</v>
      </c>
      <c r="AO1323" s="473">
        <v>0</v>
      </c>
      <c r="AP1323" s="474">
        <v>0</v>
      </c>
      <c r="AQ1323" s="352"/>
      <c r="AR1323" s="352"/>
      <c r="AS1323" s="352"/>
      <c r="AT1323" s="352"/>
      <c r="AU1323" s="352"/>
      <c r="AV1323" s="352"/>
      <c r="AW1323" s="352" t="s">
        <v>254</v>
      </c>
    </row>
    <row r="1324" spans="2:49" x14ac:dyDescent="0.2">
      <c r="B1324" s="460" t="s">
        <v>2756</v>
      </c>
      <c r="C1324" s="460">
        <v>2123</v>
      </c>
      <c r="D1324" s="460" t="s">
        <v>2363</v>
      </c>
      <c r="E1324" s="460" t="s">
        <v>1137</v>
      </c>
      <c r="F1324" s="460">
        <v>2</v>
      </c>
      <c r="G1324" s="460">
        <v>4</v>
      </c>
      <c r="H1324" s="461" t="s">
        <v>746</v>
      </c>
      <c r="I1324" s="461" t="s">
        <v>762</v>
      </c>
      <c r="J1324" s="461" t="s">
        <v>700</v>
      </c>
      <c r="K1324" s="594"/>
      <c r="L1324" s="594"/>
      <c r="M1324" s="352">
        <v>2000</v>
      </c>
      <c r="N1324" s="352" t="s">
        <v>703</v>
      </c>
      <c r="O1324" s="460">
        <v>2123</v>
      </c>
      <c r="P1324" s="460" t="s">
        <v>1878</v>
      </c>
      <c r="Q1324" s="460" t="s">
        <v>2289</v>
      </c>
      <c r="R1324" s="460">
        <v>2123</v>
      </c>
      <c r="S1324" s="460" t="s">
        <v>1137</v>
      </c>
      <c r="T1324" s="462">
        <v>1</v>
      </c>
      <c r="U1324" s="460" t="s">
        <v>1137</v>
      </c>
      <c r="V1324" s="475">
        <v>0</v>
      </c>
      <c r="W1324" s="463" t="s">
        <v>2268</v>
      </c>
      <c r="X1324" s="463" t="s">
        <v>2268</v>
      </c>
      <c r="Y1324" s="463" t="s">
        <v>2290</v>
      </c>
      <c r="Z1324" s="463"/>
      <c r="AA1324" s="463"/>
      <c r="AB1324" s="464">
        <v>0</v>
      </c>
      <c r="AC1324" s="465">
        <v>0</v>
      </c>
      <c r="AD1324" s="465">
        <v>0</v>
      </c>
      <c r="AE1324" s="476">
        <v>0</v>
      </c>
      <c r="AF1324" s="467">
        <v>0</v>
      </c>
      <c r="AG1324" s="468">
        <v>0</v>
      </c>
      <c r="AH1324" s="218">
        <v>0</v>
      </c>
      <c r="AI1324" s="470">
        <v>0</v>
      </c>
      <c r="AJ1324" s="471">
        <v>0</v>
      </c>
      <c r="AK1324" s="218">
        <v>0</v>
      </c>
      <c r="AL1324" s="470">
        <v>0</v>
      </c>
      <c r="AM1324" s="471">
        <v>0</v>
      </c>
      <c r="AN1324" s="477">
        <v>0</v>
      </c>
      <c r="AO1324" s="473">
        <v>0</v>
      </c>
      <c r="AP1324" s="474">
        <v>0</v>
      </c>
      <c r="AQ1324" s="352"/>
      <c r="AR1324" s="352"/>
      <c r="AS1324" s="352"/>
      <c r="AT1324" s="352"/>
      <c r="AU1324" s="352"/>
      <c r="AV1324" s="352"/>
      <c r="AW1324" s="352" t="s">
        <v>254</v>
      </c>
    </row>
    <row r="1325" spans="2:49" x14ac:dyDescent="0.2">
      <c r="B1325" s="460" t="s">
        <v>2757</v>
      </c>
      <c r="C1325" s="460">
        <v>2123</v>
      </c>
      <c r="D1325" s="460" t="s">
        <v>2364</v>
      </c>
      <c r="E1325" s="460" t="s">
        <v>1138</v>
      </c>
      <c r="F1325" s="460">
        <v>3</v>
      </c>
      <c r="G1325" s="460">
        <v>4</v>
      </c>
      <c r="H1325" s="461" t="s">
        <v>746</v>
      </c>
      <c r="I1325" s="461" t="s">
        <v>762</v>
      </c>
      <c r="J1325" s="461" t="s">
        <v>700</v>
      </c>
      <c r="K1325" s="594"/>
      <c r="L1325" s="594"/>
      <c r="M1325" s="352">
        <v>2000</v>
      </c>
      <c r="N1325" s="352" t="s">
        <v>703</v>
      </c>
      <c r="O1325" s="460">
        <v>2123</v>
      </c>
      <c r="P1325" s="460" t="s">
        <v>1878</v>
      </c>
      <c r="Q1325" s="460" t="s">
        <v>2289</v>
      </c>
      <c r="R1325" s="460">
        <v>2123</v>
      </c>
      <c r="S1325" s="460" t="s">
        <v>1138</v>
      </c>
      <c r="T1325" s="462">
        <v>1</v>
      </c>
      <c r="U1325" s="460" t="s">
        <v>1138</v>
      </c>
      <c r="V1325" s="475">
        <v>0</v>
      </c>
      <c r="W1325" s="463" t="s">
        <v>2268</v>
      </c>
      <c r="X1325" s="463" t="s">
        <v>2268</v>
      </c>
      <c r="Y1325" s="463" t="s">
        <v>2290</v>
      </c>
      <c r="Z1325" s="463"/>
      <c r="AA1325" s="463"/>
      <c r="AB1325" s="464">
        <v>0</v>
      </c>
      <c r="AC1325" s="465">
        <v>0</v>
      </c>
      <c r="AD1325" s="465">
        <v>0</v>
      </c>
      <c r="AE1325" s="476">
        <v>0</v>
      </c>
      <c r="AF1325" s="467">
        <v>0</v>
      </c>
      <c r="AG1325" s="468">
        <v>0</v>
      </c>
      <c r="AH1325" s="218">
        <v>0</v>
      </c>
      <c r="AI1325" s="470">
        <v>0</v>
      </c>
      <c r="AJ1325" s="471">
        <v>0</v>
      </c>
      <c r="AK1325" s="218">
        <v>0</v>
      </c>
      <c r="AL1325" s="470">
        <v>0</v>
      </c>
      <c r="AM1325" s="471">
        <v>0</v>
      </c>
      <c r="AN1325" s="477">
        <v>0</v>
      </c>
      <c r="AO1325" s="473">
        <v>0</v>
      </c>
      <c r="AP1325" s="474">
        <v>0</v>
      </c>
      <c r="AQ1325" s="352"/>
      <c r="AR1325" s="352"/>
      <c r="AS1325" s="352"/>
      <c r="AT1325" s="352"/>
      <c r="AU1325" s="352"/>
      <c r="AV1325" s="352"/>
      <c r="AW1325" s="352" t="s">
        <v>254</v>
      </c>
    </row>
    <row r="1326" spans="2:49" x14ac:dyDescent="0.2">
      <c r="B1326" s="460" t="s">
        <v>2758</v>
      </c>
      <c r="C1326" s="460">
        <v>2123</v>
      </c>
      <c r="D1326" s="460" t="s">
        <v>2365</v>
      </c>
      <c r="E1326" s="460" t="s">
        <v>1139</v>
      </c>
      <c r="F1326" s="460">
        <v>4</v>
      </c>
      <c r="G1326" s="460">
        <v>4</v>
      </c>
      <c r="H1326" s="461" t="s">
        <v>746</v>
      </c>
      <c r="I1326" s="461" t="s">
        <v>762</v>
      </c>
      <c r="J1326" s="461" t="s">
        <v>700</v>
      </c>
      <c r="K1326" s="594"/>
      <c r="L1326" s="594"/>
      <c r="M1326" s="352">
        <v>2000</v>
      </c>
      <c r="N1326" s="352" t="s">
        <v>703</v>
      </c>
      <c r="O1326" s="460">
        <v>2123</v>
      </c>
      <c r="P1326" s="460" t="s">
        <v>1878</v>
      </c>
      <c r="Q1326" s="460" t="s">
        <v>2289</v>
      </c>
      <c r="R1326" s="460">
        <v>2123</v>
      </c>
      <c r="S1326" s="460" t="s">
        <v>1139</v>
      </c>
      <c r="T1326" s="462">
        <v>1</v>
      </c>
      <c r="U1326" s="460" t="s">
        <v>1139</v>
      </c>
      <c r="V1326" s="475">
        <v>0</v>
      </c>
      <c r="W1326" s="463" t="s">
        <v>2268</v>
      </c>
      <c r="X1326" s="463" t="s">
        <v>2268</v>
      </c>
      <c r="Y1326" s="463" t="s">
        <v>2290</v>
      </c>
      <c r="Z1326" s="463"/>
      <c r="AA1326" s="463"/>
      <c r="AB1326" s="464">
        <v>0</v>
      </c>
      <c r="AC1326" s="465">
        <v>0</v>
      </c>
      <c r="AD1326" s="465">
        <v>0</v>
      </c>
      <c r="AE1326" s="476">
        <v>0</v>
      </c>
      <c r="AF1326" s="467">
        <v>0</v>
      </c>
      <c r="AG1326" s="468">
        <v>0</v>
      </c>
      <c r="AH1326" s="218">
        <v>0</v>
      </c>
      <c r="AI1326" s="470">
        <v>0</v>
      </c>
      <c r="AJ1326" s="471">
        <v>0</v>
      </c>
      <c r="AK1326" s="218">
        <v>0</v>
      </c>
      <c r="AL1326" s="470">
        <v>0</v>
      </c>
      <c r="AM1326" s="471">
        <v>0</v>
      </c>
      <c r="AN1326" s="477">
        <v>0</v>
      </c>
      <c r="AO1326" s="473">
        <v>0</v>
      </c>
      <c r="AP1326" s="474">
        <v>0</v>
      </c>
      <c r="AQ1326" s="352"/>
      <c r="AR1326" s="352"/>
      <c r="AS1326" s="352"/>
      <c r="AT1326" s="352"/>
      <c r="AU1326" s="352"/>
      <c r="AV1326" s="352"/>
      <c r="AW1326" s="352" t="s">
        <v>254</v>
      </c>
    </row>
    <row r="1327" spans="2:49" x14ac:dyDescent="0.2">
      <c r="B1327" s="460" t="s">
        <v>2755</v>
      </c>
      <c r="C1327" s="460">
        <v>2123</v>
      </c>
      <c r="D1327" s="460" t="s">
        <v>2366</v>
      </c>
      <c r="E1327" s="460" t="s">
        <v>1136</v>
      </c>
      <c r="F1327" s="460">
        <v>1</v>
      </c>
      <c r="G1327" s="460">
        <v>4</v>
      </c>
      <c r="H1327" s="461" t="s">
        <v>748</v>
      </c>
      <c r="I1327" s="461" t="s">
        <v>765</v>
      </c>
      <c r="J1327" s="461" t="s">
        <v>700</v>
      </c>
      <c r="K1327" s="594"/>
      <c r="L1327" s="594"/>
      <c r="M1327" s="352">
        <v>2000</v>
      </c>
      <c r="N1327" s="352" t="s">
        <v>703</v>
      </c>
      <c r="O1327" s="460">
        <v>2123</v>
      </c>
      <c r="P1327" s="460" t="s">
        <v>1878</v>
      </c>
      <c r="Q1327" s="460" t="s">
        <v>2266</v>
      </c>
      <c r="R1327" s="460">
        <v>2123</v>
      </c>
      <c r="S1327" s="460" t="s">
        <v>1136</v>
      </c>
      <c r="T1327" s="462">
        <v>1</v>
      </c>
      <c r="U1327" s="460" t="s">
        <v>1136</v>
      </c>
      <c r="V1327" s="475">
        <v>0</v>
      </c>
      <c r="W1327" s="463" t="s">
        <v>2268</v>
      </c>
      <c r="X1327" s="463" t="s">
        <v>2268</v>
      </c>
      <c r="Y1327" s="463" t="s">
        <v>2267</v>
      </c>
      <c r="Z1327" s="463"/>
      <c r="AA1327" s="463"/>
      <c r="AB1327" s="464">
        <v>0</v>
      </c>
      <c r="AC1327" s="465">
        <v>0</v>
      </c>
      <c r="AD1327" s="465">
        <v>0</v>
      </c>
      <c r="AE1327" s="476">
        <v>0</v>
      </c>
      <c r="AF1327" s="467">
        <v>0</v>
      </c>
      <c r="AG1327" s="468">
        <v>0</v>
      </c>
      <c r="AH1327" s="218">
        <v>0</v>
      </c>
      <c r="AI1327" s="470">
        <v>0</v>
      </c>
      <c r="AJ1327" s="471">
        <v>0</v>
      </c>
      <c r="AK1327" s="218">
        <v>0</v>
      </c>
      <c r="AL1327" s="470">
        <v>0</v>
      </c>
      <c r="AM1327" s="471">
        <v>0</v>
      </c>
      <c r="AN1327" s="477">
        <v>0.84478450845601161</v>
      </c>
      <c r="AO1327" s="473">
        <v>0.24342184590300597</v>
      </c>
      <c r="AP1327" s="474">
        <v>1.0379425032227883E-3</v>
      </c>
      <c r="AQ1327" s="352"/>
      <c r="AR1327" s="352"/>
      <c r="AS1327" s="352"/>
      <c r="AT1327" s="352"/>
      <c r="AU1327" s="352"/>
      <c r="AV1327" s="352"/>
      <c r="AW1327" s="352" t="s">
        <v>254</v>
      </c>
    </row>
    <row r="1328" spans="2:49" x14ac:dyDescent="0.2">
      <c r="B1328" s="460" t="s">
        <v>2756</v>
      </c>
      <c r="C1328" s="460">
        <v>2123</v>
      </c>
      <c r="D1328" s="460" t="s">
        <v>2367</v>
      </c>
      <c r="E1328" s="460" t="s">
        <v>1137</v>
      </c>
      <c r="F1328" s="460">
        <v>2</v>
      </c>
      <c r="G1328" s="460">
        <v>4</v>
      </c>
      <c r="H1328" s="461" t="s">
        <v>748</v>
      </c>
      <c r="I1328" s="461" t="s">
        <v>765</v>
      </c>
      <c r="J1328" s="461" t="s">
        <v>700</v>
      </c>
      <c r="K1328" s="594"/>
      <c r="L1328" s="594"/>
      <c r="M1328" s="352">
        <v>2000</v>
      </c>
      <c r="N1328" s="352" t="s">
        <v>703</v>
      </c>
      <c r="O1328" s="460">
        <v>2123</v>
      </c>
      <c r="P1328" s="460" t="s">
        <v>1878</v>
      </c>
      <c r="Q1328" s="460" t="s">
        <v>2266</v>
      </c>
      <c r="R1328" s="460">
        <v>2123</v>
      </c>
      <c r="S1328" s="460" t="s">
        <v>1137</v>
      </c>
      <c r="T1328" s="462">
        <v>1</v>
      </c>
      <c r="U1328" s="460" t="s">
        <v>1137</v>
      </c>
      <c r="V1328" s="475">
        <v>0</v>
      </c>
      <c r="W1328" s="463" t="s">
        <v>2268</v>
      </c>
      <c r="X1328" s="463" t="s">
        <v>2268</v>
      </c>
      <c r="Y1328" s="463" t="s">
        <v>2267</v>
      </c>
      <c r="Z1328" s="463"/>
      <c r="AA1328" s="463"/>
      <c r="AB1328" s="464">
        <v>0</v>
      </c>
      <c r="AC1328" s="465">
        <v>0</v>
      </c>
      <c r="AD1328" s="465">
        <v>0</v>
      </c>
      <c r="AE1328" s="476">
        <v>0</v>
      </c>
      <c r="AF1328" s="467">
        <v>0</v>
      </c>
      <c r="AG1328" s="468">
        <v>0</v>
      </c>
      <c r="AH1328" s="218">
        <v>0</v>
      </c>
      <c r="AI1328" s="470">
        <v>0</v>
      </c>
      <c r="AJ1328" s="471">
        <v>0</v>
      </c>
      <c r="AK1328" s="218">
        <v>0</v>
      </c>
      <c r="AL1328" s="470">
        <v>0</v>
      </c>
      <c r="AM1328" s="471">
        <v>0</v>
      </c>
      <c r="AN1328" s="477">
        <v>2.3985008344876442</v>
      </c>
      <c r="AO1328" s="473">
        <v>0.22537243116345271</v>
      </c>
      <c r="AP1328" s="474">
        <v>2.3102625935864101E-3</v>
      </c>
      <c r="AQ1328" s="352"/>
      <c r="AR1328" s="352"/>
      <c r="AS1328" s="352"/>
      <c r="AT1328" s="352"/>
      <c r="AU1328" s="352"/>
      <c r="AV1328" s="352"/>
      <c r="AW1328" s="352" t="s">
        <v>254</v>
      </c>
    </row>
    <row r="1329" spans="2:49" x14ac:dyDescent="0.2">
      <c r="B1329" s="460" t="s">
        <v>2757</v>
      </c>
      <c r="C1329" s="460">
        <v>2123</v>
      </c>
      <c r="D1329" s="460" t="s">
        <v>2368</v>
      </c>
      <c r="E1329" s="460" t="s">
        <v>1138</v>
      </c>
      <c r="F1329" s="460">
        <v>3</v>
      </c>
      <c r="G1329" s="460">
        <v>4</v>
      </c>
      <c r="H1329" s="461" t="s">
        <v>748</v>
      </c>
      <c r="I1329" s="461" t="s">
        <v>765</v>
      </c>
      <c r="J1329" s="461" t="s">
        <v>700</v>
      </c>
      <c r="K1329" s="594"/>
      <c r="L1329" s="594"/>
      <c r="M1329" s="352">
        <v>2000</v>
      </c>
      <c r="N1329" s="352" t="s">
        <v>703</v>
      </c>
      <c r="O1329" s="460">
        <v>2123</v>
      </c>
      <c r="P1329" s="460" t="s">
        <v>1878</v>
      </c>
      <c r="Q1329" s="460" t="s">
        <v>2266</v>
      </c>
      <c r="R1329" s="460">
        <v>2123</v>
      </c>
      <c r="S1329" s="460" t="s">
        <v>1138</v>
      </c>
      <c r="T1329" s="462">
        <v>1</v>
      </c>
      <c r="U1329" s="460" t="s">
        <v>1138</v>
      </c>
      <c r="V1329" s="475">
        <v>0</v>
      </c>
      <c r="W1329" s="463" t="s">
        <v>2268</v>
      </c>
      <c r="X1329" s="463" t="s">
        <v>2268</v>
      </c>
      <c r="Y1329" s="463" t="s">
        <v>2267</v>
      </c>
      <c r="Z1329" s="463"/>
      <c r="AA1329" s="463"/>
      <c r="AB1329" s="464">
        <v>0</v>
      </c>
      <c r="AC1329" s="465">
        <v>0</v>
      </c>
      <c r="AD1329" s="465">
        <v>0</v>
      </c>
      <c r="AE1329" s="476">
        <v>0</v>
      </c>
      <c r="AF1329" s="467">
        <v>0</v>
      </c>
      <c r="AG1329" s="468">
        <v>0</v>
      </c>
      <c r="AH1329" s="218">
        <v>0</v>
      </c>
      <c r="AI1329" s="470">
        <v>0</v>
      </c>
      <c r="AJ1329" s="471">
        <v>0</v>
      </c>
      <c r="AK1329" s="218">
        <v>0</v>
      </c>
      <c r="AL1329" s="470">
        <v>0</v>
      </c>
      <c r="AM1329" s="471">
        <v>0</v>
      </c>
      <c r="AN1329" s="477">
        <v>1.8128144076455177</v>
      </c>
      <c r="AO1329" s="473">
        <v>0.28962660490881664</v>
      </c>
      <c r="AP1329" s="474">
        <v>1.8808864871806845E-3</v>
      </c>
      <c r="AQ1329" s="352"/>
      <c r="AR1329" s="352"/>
      <c r="AS1329" s="352"/>
      <c r="AT1329" s="352"/>
      <c r="AU1329" s="352"/>
      <c r="AV1329" s="352"/>
      <c r="AW1329" s="352" t="s">
        <v>254</v>
      </c>
    </row>
    <row r="1330" spans="2:49" x14ac:dyDescent="0.2">
      <c r="B1330" s="460" t="s">
        <v>2758</v>
      </c>
      <c r="C1330" s="460">
        <v>2123</v>
      </c>
      <c r="D1330" s="460" t="s">
        <v>2369</v>
      </c>
      <c r="E1330" s="460" t="s">
        <v>1139</v>
      </c>
      <c r="F1330" s="460">
        <v>4</v>
      </c>
      <c r="G1330" s="460">
        <v>4</v>
      </c>
      <c r="H1330" s="461" t="s">
        <v>748</v>
      </c>
      <c r="I1330" s="461" t="s">
        <v>765</v>
      </c>
      <c r="J1330" s="461" t="s">
        <v>700</v>
      </c>
      <c r="K1330" s="594"/>
      <c r="L1330" s="594"/>
      <c r="M1330" s="352">
        <v>2000</v>
      </c>
      <c r="N1330" s="352" t="s">
        <v>703</v>
      </c>
      <c r="O1330" s="460">
        <v>2123</v>
      </c>
      <c r="P1330" s="460" t="s">
        <v>1878</v>
      </c>
      <c r="Q1330" s="460" t="s">
        <v>2266</v>
      </c>
      <c r="R1330" s="460">
        <v>2123</v>
      </c>
      <c r="S1330" s="460" t="s">
        <v>1139</v>
      </c>
      <c r="T1330" s="462">
        <v>1</v>
      </c>
      <c r="U1330" s="460" t="s">
        <v>1139</v>
      </c>
      <c r="V1330" s="475">
        <v>0</v>
      </c>
      <c r="W1330" s="463" t="s">
        <v>2268</v>
      </c>
      <c r="X1330" s="463" t="s">
        <v>2268</v>
      </c>
      <c r="Y1330" s="463" t="s">
        <v>2267</v>
      </c>
      <c r="Z1330" s="463"/>
      <c r="AA1330" s="463"/>
      <c r="AB1330" s="464">
        <v>0</v>
      </c>
      <c r="AC1330" s="465">
        <v>0</v>
      </c>
      <c r="AD1330" s="465">
        <v>0</v>
      </c>
      <c r="AE1330" s="476">
        <v>0</v>
      </c>
      <c r="AF1330" s="467">
        <v>0</v>
      </c>
      <c r="AG1330" s="468">
        <v>0</v>
      </c>
      <c r="AH1330" s="218">
        <v>0</v>
      </c>
      <c r="AI1330" s="470">
        <v>0</v>
      </c>
      <c r="AJ1330" s="471">
        <v>0</v>
      </c>
      <c r="AK1330" s="218">
        <v>0</v>
      </c>
      <c r="AL1330" s="470">
        <v>0</v>
      </c>
      <c r="AM1330" s="471">
        <v>0</v>
      </c>
      <c r="AN1330" s="477">
        <v>0</v>
      </c>
      <c r="AO1330" s="473">
        <v>0</v>
      </c>
      <c r="AP1330" s="474">
        <v>0</v>
      </c>
      <c r="AQ1330" s="352"/>
      <c r="AR1330" s="352"/>
      <c r="AS1330" s="352"/>
      <c r="AT1330" s="352"/>
      <c r="AU1330" s="352"/>
      <c r="AV1330" s="352"/>
      <c r="AW1330" s="352" t="s">
        <v>254</v>
      </c>
    </row>
    <row r="1331" spans="2:49" x14ac:dyDescent="0.2">
      <c r="B1331" s="460" t="s">
        <v>2755</v>
      </c>
      <c r="C1331" s="460">
        <v>2123</v>
      </c>
      <c r="D1331" s="460" t="s">
        <v>2370</v>
      </c>
      <c r="E1331" s="460" t="s">
        <v>1136</v>
      </c>
      <c r="F1331" s="460">
        <v>1</v>
      </c>
      <c r="G1331" s="460">
        <v>4</v>
      </c>
      <c r="H1331" s="461" t="s">
        <v>752</v>
      </c>
      <c r="I1331" s="461" t="s">
        <v>964</v>
      </c>
      <c r="J1331" s="461" t="s">
        <v>752</v>
      </c>
      <c r="K1331" s="594"/>
      <c r="L1331" s="594"/>
      <c r="M1331" s="352">
        <v>2000</v>
      </c>
      <c r="N1331" s="352" t="s">
        <v>703</v>
      </c>
      <c r="O1331" s="460">
        <v>2123</v>
      </c>
      <c r="P1331" s="460" t="s">
        <v>1878</v>
      </c>
      <c r="Q1331" s="460" t="s">
        <v>2266</v>
      </c>
      <c r="R1331" s="460">
        <v>2123</v>
      </c>
      <c r="S1331" s="460" t="s">
        <v>1136</v>
      </c>
      <c r="T1331" s="462">
        <v>1</v>
      </c>
      <c r="U1331" s="460" t="s">
        <v>1136</v>
      </c>
      <c r="V1331" s="475">
        <v>0</v>
      </c>
      <c r="W1331" s="463" t="s">
        <v>2267</v>
      </c>
      <c r="X1331" s="463" t="s">
        <v>2267</v>
      </c>
      <c r="Y1331" s="463" t="s">
        <v>2267</v>
      </c>
      <c r="Z1331" s="463"/>
      <c r="AA1331" s="463"/>
      <c r="AB1331" s="464">
        <v>0.33578467978318693</v>
      </c>
      <c r="AC1331" s="465">
        <v>9.6755238478700448E-2</v>
      </c>
      <c r="AD1331" s="465">
        <v>1.0873995431586868E-4</v>
      </c>
      <c r="AE1331" s="476">
        <v>0.33578467978318693</v>
      </c>
      <c r="AF1331" s="467">
        <v>9.6755238478700448E-2</v>
      </c>
      <c r="AG1331" s="468">
        <v>1.0873995431586868E-4</v>
      </c>
      <c r="AH1331" s="218">
        <v>0.33578467978318693</v>
      </c>
      <c r="AI1331" s="470">
        <v>9.6755238478700448E-2</v>
      </c>
      <c r="AJ1331" s="471">
        <v>9.1801757603664696E-5</v>
      </c>
      <c r="AK1331" s="218">
        <v>0.33578467978318693</v>
      </c>
      <c r="AL1331" s="470">
        <v>9.6755238478700448E-2</v>
      </c>
      <c r="AM1331" s="471">
        <v>9.1801757603664696E-5</v>
      </c>
      <c r="AN1331" s="477">
        <v>0.33578467978318693</v>
      </c>
      <c r="AO1331" s="473">
        <v>9.6755238478700448E-2</v>
      </c>
      <c r="AP1331" s="474">
        <v>9.1801757603664696E-5</v>
      </c>
      <c r="AQ1331" s="352"/>
      <c r="AR1331" s="352"/>
      <c r="AS1331" s="352"/>
      <c r="AT1331" s="352"/>
      <c r="AU1331" s="352"/>
      <c r="AV1331" s="352"/>
      <c r="AW1331" s="352" t="s">
        <v>254</v>
      </c>
    </row>
    <row r="1332" spans="2:49" x14ac:dyDescent="0.2">
      <c r="B1332" s="460" t="s">
        <v>2756</v>
      </c>
      <c r="C1332" s="460">
        <v>2123</v>
      </c>
      <c r="D1332" s="460" t="s">
        <v>2371</v>
      </c>
      <c r="E1332" s="460" t="s">
        <v>1137</v>
      </c>
      <c r="F1332" s="460">
        <v>2</v>
      </c>
      <c r="G1332" s="460">
        <v>4</v>
      </c>
      <c r="H1332" s="461" t="s">
        <v>752</v>
      </c>
      <c r="I1332" s="461" t="s">
        <v>964</v>
      </c>
      <c r="J1332" s="461" t="s">
        <v>752</v>
      </c>
      <c r="K1332" s="594"/>
      <c r="L1332" s="594"/>
      <c r="M1332" s="352">
        <v>2000</v>
      </c>
      <c r="N1332" s="352" t="s">
        <v>703</v>
      </c>
      <c r="O1332" s="460">
        <v>2123</v>
      </c>
      <c r="P1332" s="460" t="s">
        <v>1878</v>
      </c>
      <c r="Q1332" s="460" t="s">
        <v>2266</v>
      </c>
      <c r="R1332" s="460">
        <v>2123</v>
      </c>
      <c r="S1332" s="460" t="s">
        <v>1137</v>
      </c>
      <c r="T1332" s="462">
        <v>1</v>
      </c>
      <c r="U1332" s="460" t="s">
        <v>1137</v>
      </c>
      <c r="V1332" s="475">
        <v>0</v>
      </c>
      <c r="W1332" s="463" t="s">
        <v>2267</v>
      </c>
      <c r="X1332" s="463" t="s">
        <v>2267</v>
      </c>
      <c r="Y1332" s="463" t="s">
        <v>2267</v>
      </c>
      <c r="Z1332" s="463"/>
      <c r="AA1332" s="463"/>
      <c r="AB1332" s="464">
        <v>0.13767011825136621</v>
      </c>
      <c r="AC1332" s="465">
        <v>1.293601770019741E-2</v>
      </c>
      <c r="AD1332" s="465">
        <v>1.3470875183145911E-5</v>
      </c>
      <c r="AE1332" s="476">
        <v>0.13767011825136621</v>
      </c>
      <c r="AF1332" s="467">
        <v>1.293601770019741E-2</v>
      </c>
      <c r="AG1332" s="468">
        <v>1.3470875183145911E-5</v>
      </c>
      <c r="AH1332" s="218">
        <v>0.13767011825136621</v>
      </c>
      <c r="AI1332" s="470">
        <v>1.293601770019741E-2</v>
      </c>
      <c r="AJ1332" s="471">
        <v>1.3355050718625748E-5</v>
      </c>
      <c r="AK1332" s="218">
        <v>0.13767011825136621</v>
      </c>
      <c r="AL1332" s="470">
        <v>1.293601770019741E-2</v>
      </c>
      <c r="AM1332" s="471">
        <v>1.3355050718625748E-5</v>
      </c>
      <c r="AN1332" s="477">
        <v>0.13767011825136621</v>
      </c>
      <c r="AO1332" s="473">
        <v>1.293601770019741E-2</v>
      </c>
      <c r="AP1332" s="474">
        <v>1.3355050718625748E-5</v>
      </c>
      <c r="AQ1332" s="352"/>
      <c r="AR1332" s="352"/>
      <c r="AS1332" s="352"/>
      <c r="AT1332" s="352"/>
      <c r="AU1332" s="352"/>
      <c r="AV1332" s="352"/>
      <c r="AW1332" s="352" t="s">
        <v>254</v>
      </c>
    </row>
    <row r="1333" spans="2:49" x14ac:dyDescent="0.2">
      <c r="B1333" s="460" t="s">
        <v>2757</v>
      </c>
      <c r="C1333" s="460">
        <v>2123</v>
      </c>
      <c r="D1333" s="460" t="s">
        <v>2372</v>
      </c>
      <c r="E1333" s="460" t="s">
        <v>1138</v>
      </c>
      <c r="F1333" s="460">
        <v>3</v>
      </c>
      <c r="G1333" s="460">
        <v>4</v>
      </c>
      <c r="H1333" s="461" t="s">
        <v>752</v>
      </c>
      <c r="I1333" s="461" t="s">
        <v>964</v>
      </c>
      <c r="J1333" s="461" t="s">
        <v>752</v>
      </c>
      <c r="K1333" s="594"/>
      <c r="L1333" s="594"/>
      <c r="M1333" s="352">
        <v>2000</v>
      </c>
      <c r="N1333" s="352" t="s">
        <v>703</v>
      </c>
      <c r="O1333" s="460">
        <v>2123</v>
      </c>
      <c r="P1333" s="460" t="s">
        <v>1878</v>
      </c>
      <c r="Q1333" s="460" t="s">
        <v>2266</v>
      </c>
      <c r="R1333" s="460">
        <v>2123</v>
      </c>
      <c r="S1333" s="460" t="s">
        <v>1138</v>
      </c>
      <c r="T1333" s="462">
        <v>1</v>
      </c>
      <c r="U1333" s="460" t="s">
        <v>1138</v>
      </c>
      <c r="V1333" s="475">
        <v>0</v>
      </c>
      <c r="W1333" s="463" t="s">
        <v>2267</v>
      </c>
      <c r="X1333" s="463" t="s">
        <v>2267</v>
      </c>
      <c r="Y1333" s="463" t="s">
        <v>2267</v>
      </c>
      <c r="Z1333" s="463"/>
      <c r="AA1333" s="463"/>
      <c r="AB1333" s="464">
        <v>0.58603315460886207</v>
      </c>
      <c r="AC1333" s="465">
        <v>9.3628334052030526E-2</v>
      </c>
      <c r="AD1333" s="465">
        <v>1.0122166526422116E-4</v>
      </c>
      <c r="AE1333" s="476">
        <v>0.58603315460886207</v>
      </c>
      <c r="AF1333" s="467">
        <v>9.3628334052030526E-2</v>
      </c>
      <c r="AG1333" s="468">
        <v>1.0122166526422116E-4</v>
      </c>
      <c r="AH1333" s="218">
        <v>0.58603315460886207</v>
      </c>
      <c r="AI1333" s="470">
        <v>9.3628334052030526E-2</v>
      </c>
      <c r="AJ1333" s="471">
        <v>9.7224748190944803E-5</v>
      </c>
      <c r="AK1333" s="218">
        <v>0.58603315460886207</v>
      </c>
      <c r="AL1333" s="470">
        <v>9.3628334052030526E-2</v>
      </c>
      <c r="AM1333" s="471">
        <v>9.7224748190944803E-5</v>
      </c>
      <c r="AN1333" s="477">
        <v>0.58603315460886207</v>
      </c>
      <c r="AO1333" s="473">
        <v>9.3628334052030526E-2</v>
      </c>
      <c r="AP1333" s="474">
        <v>9.7224748190944803E-5</v>
      </c>
      <c r="AQ1333" s="352"/>
      <c r="AR1333" s="352"/>
      <c r="AS1333" s="352"/>
      <c r="AT1333" s="352"/>
      <c r="AU1333" s="352"/>
      <c r="AV1333" s="352"/>
      <c r="AW1333" s="352" t="s">
        <v>254</v>
      </c>
    </row>
    <row r="1334" spans="2:49" x14ac:dyDescent="0.2">
      <c r="B1334" s="460" t="s">
        <v>2758</v>
      </c>
      <c r="C1334" s="460">
        <v>2123</v>
      </c>
      <c r="D1334" s="460" t="s">
        <v>2373</v>
      </c>
      <c r="E1334" s="460" t="s">
        <v>1139</v>
      </c>
      <c r="F1334" s="460">
        <v>4</v>
      </c>
      <c r="G1334" s="460">
        <v>4</v>
      </c>
      <c r="H1334" s="461" t="s">
        <v>752</v>
      </c>
      <c r="I1334" s="461" t="s">
        <v>964</v>
      </c>
      <c r="J1334" s="461" t="s">
        <v>752</v>
      </c>
      <c r="K1334" s="594"/>
      <c r="L1334" s="594"/>
      <c r="M1334" s="352">
        <v>2000</v>
      </c>
      <c r="N1334" s="352" t="s">
        <v>703</v>
      </c>
      <c r="O1334" s="460">
        <v>2123</v>
      </c>
      <c r="P1334" s="460" t="s">
        <v>1878</v>
      </c>
      <c r="Q1334" s="460" t="s">
        <v>2266</v>
      </c>
      <c r="R1334" s="460">
        <v>2123</v>
      </c>
      <c r="S1334" s="460" t="s">
        <v>1139</v>
      </c>
      <c r="T1334" s="462">
        <v>1</v>
      </c>
      <c r="U1334" s="460" t="s">
        <v>1139</v>
      </c>
      <c r="V1334" s="475">
        <v>0</v>
      </c>
      <c r="W1334" s="463" t="s">
        <v>2267</v>
      </c>
      <c r="X1334" s="463" t="s">
        <v>2267</v>
      </c>
      <c r="Y1334" s="463" t="s">
        <v>2267</v>
      </c>
      <c r="Z1334" s="463"/>
      <c r="AA1334" s="463"/>
      <c r="AB1334" s="464">
        <v>8.5048568336942409</v>
      </c>
      <c r="AC1334" s="465">
        <v>0.6602299955395653</v>
      </c>
      <c r="AD1334" s="465">
        <v>3.3906544864557446E-4</v>
      </c>
      <c r="AE1334" s="476">
        <v>8.5048568336942409</v>
      </c>
      <c r="AF1334" s="467">
        <v>0.6602299955395653</v>
      </c>
      <c r="AG1334" s="468">
        <v>3.3906544864557446E-4</v>
      </c>
      <c r="AH1334" s="218">
        <v>8.5048568336942409</v>
      </c>
      <c r="AI1334" s="470">
        <v>0.6602299955395653</v>
      </c>
      <c r="AJ1334" s="471">
        <v>3.1517172154518471E-4</v>
      </c>
      <c r="AK1334" s="218">
        <v>8.5048568336942409</v>
      </c>
      <c r="AL1334" s="470">
        <v>0.6602299955395653</v>
      </c>
      <c r="AM1334" s="471">
        <v>3.1517172154518471E-4</v>
      </c>
      <c r="AN1334" s="477">
        <v>8.5048568336942409</v>
      </c>
      <c r="AO1334" s="473">
        <v>0.6602299955395653</v>
      </c>
      <c r="AP1334" s="474">
        <v>3.1517172154518471E-4</v>
      </c>
      <c r="AQ1334" s="352"/>
      <c r="AR1334" s="352"/>
      <c r="AS1334" s="352"/>
      <c r="AT1334" s="352"/>
      <c r="AU1334" s="352"/>
      <c r="AV1334" s="352"/>
      <c r="AW1334" s="352" t="s">
        <v>254</v>
      </c>
    </row>
    <row r="1335" spans="2:49" x14ac:dyDescent="0.2">
      <c r="B1335" s="460" t="s">
        <v>2759</v>
      </c>
      <c r="C1335" s="460">
        <v>2123</v>
      </c>
      <c r="D1335" s="460" t="s">
        <v>2375</v>
      </c>
      <c r="E1335" s="460" t="s">
        <v>2376</v>
      </c>
      <c r="F1335" s="460">
        <v>1</v>
      </c>
      <c r="G1335" s="460">
        <v>5</v>
      </c>
      <c r="H1335" s="461" t="s">
        <v>754</v>
      </c>
      <c r="I1335" s="461" t="s">
        <v>1991</v>
      </c>
      <c r="J1335" s="461" t="s">
        <v>754</v>
      </c>
      <c r="K1335" s="594"/>
      <c r="L1335" s="594"/>
      <c r="M1335" s="352">
        <v>2000</v>
      </c>
      <c r="N1335" s="352" t="s">
        <v>703</v>
      </c>
      <c r="O1335" s="460">
        <v>2123</v>
      </c>
      <c r="P1335" s="460" t="s">
        <v>1878</v>
      </c>
      <c r="Q1335" s="460" t="s">
        <v>2377</v>
      </c>
      <c r="R1335" s="460">
        <v>2123</v>
      </c>
      <c r="S1335" s="460" t="s">
        <v>2376</v>
      </c>
      <c r="T1335" s="462">
        <v>1</v>
      </c>
      <c r="U1335" s="460" t="s">
        <v>2376</v>
      </c>
      <c r="V1335" s="475">
        <v>0</v>
      </c>
      <c r="W1335" s="463" t="s">
        <v>2278</v>
      </c>
      <c r="X1335" s="463" t="s">
        <v>2278</v>
      </c>
      <c r="Y1335" s="463" t="s">
        <v>2278</v>
      </c>
      <c r="Z1335" s="463"/>
      <c r="AA1335" s="463"/>
      <c r="AB1335" s="464">
        <v>38.313820849687012</v>
      </c>
      <c r="AC1335" s="465">
        <v>1</v>
      </c>
      <c r="AD1335" s="465">
        <v>6.4409549559809009E-5</v>
      </c>
      <c r="AE1335" s="476">
        <v>38.313820849687012</v>
      </c>
      <c r="AF1335" s="467">
        <v>1</v>
      </c>
      <c r="AG1335" s="468">
        <v>6.4409549559809009E-5</v>
      </c>
      <c r="AH1335" s="218">
        <v>38.313820849687012</v>
      </c>
      <c r="AI1335" s="470">
        <v>1</v>
      </c>
      <c r="AJ1335" s="471">
        <v>6.4409549559809009E-5</v>
      </c>
      <c r="AK1335" s="218">
        <v>38.313820849687012</v>
      </c>
      <c r="AL1335" s="470">
        <v>1</v>
      </c>
      <c r="AM1335" s="471">
        <v>6.4409549559809009E-5</v>
      </c>
      <c r="AN1335" s="477">
        <v>38.313820849687012</v>
      </c>
      <c r="AO1335" s="473">
        <v>1</v>
      </c>
      <c r="AP1335" s="474">
        <v>6.4409549559809009E-5</v>
      </c>
      <c r="AQ1335" s="352"/>
      <c r="AR1335" s="352"/>
      <c r="AS1335" s="352"/>
      <c r="AT1335" s="352"/>
      <c r="AU1335" s="352"/>
      <c r="AV1335" s="352"/>
      <c r="AW1335" s="352" t="s">
        <v>127</v>
      </c>
    </row>
    <row r="1336" spans="2:49" x14ac:dyDescent="0.2">
      <c r="B1336" s="460" t="s">
        <v>2760</v>
      </c>
      <c r="C1336" s="460">
        <v>2123</v>
      </c>
      <c r="D1336" s="460" t="s">
        <v>2379</v>
      </c>
      <c r="E1336" s="460" t="s">
        <v>2380</v>
      </c>
      <c r="F1336" s="460">
        <v>2</v>
      </c>
      <c r="G1336" s="460">
        <v>5</v>
      </c>
      <c r="H1336" s="461" t="s">
        <v>754</v>
      </c>
      <c r="I1336" s="461" t="s">
        <v>1991</v>
      </c>
      <c r="J1336" s="461" t="s">
        <v>754</v>
      </c>
      <c r="K1336" s="594"/>
      <c r="L1336" s="594"/>
      <c r="M1336" s="352">
        <v>2000</v>
      </c>
      <c r="N1336" s="352" t="s">
        <v>703</v>
      </c>
      <c r="O1336" s="460">
        <v>2123</v>
      </c>
      <c r="P1336" s="460" t="s">
        <v>1878</v>
      </c>
      <c r="Q1336" s="460" t="s">
        <v>2377</v>
      </c>
      <c r="R1336" s="460">
        <v>2123</v>
      </c>
      <c r="S1336" s="460" t="s">
        <v>2380</v>
      </c>
      <c r="T1336" s="462">
        <v>1</v>
      </c>
      <c r="U1336" s="460" t="s">
        <v>2380</v>
      </c>
      <c r="V1336" s="475">
        <v>0</v>
      </c>
      <c r="W1336" s="463" t="s">
        <v>2278</v>
      </c>
      <c r="X1336" s="463" t="s">
        <v>2278</v>
      </c>
      <c r="Y1336" s="463" t="s">
        <v>2278</v>
      </c>
      <c r="Z1336" s="463"/>
      <c r="AA1336" s="463"/>
      <c r="AB1336" s="464">
        <v>26.170333909353356</v>
      </c>
      <c r="AC1336" s="465">
        <v>1</v>
      </c>
      <c r="AD1336" s="465">
        <v>5.1534718369410912E-5</v>
      </c>
      <c r="AE1336" s="476">
        <v>26.170333909353356</v>
      </c>
      <c r="AF1336" s="467">
        <v>1</v>
      </c>
      <c r="AG1336" s="468">
        <v>5.1534718369410912E-5</v>
      </c>
      <c r="AH1336" s="218">
        <v>26.170333909353356</v>
      </c>
      <c r="AI1336" s="470">
        <v>1</v>
      </c>
      <c r="AJ1336" s="471">
        <v>5.1534718369410912E-5</v>
      </c>
      <c r="AK1336" s="218">
        <v>26.170333909353356</v>
      </c>
      <c r="AL1336" s="470">
        <v>1</v>
      </c>
      <c r="AM1336" s="471">
        <v>5.1534718369410912E-5</v>
      </c>
      <c r="AN1336" s="477">
        <v>26.170333909353356</v>
      </c>
      <c r="AO1336" s="473">
        <v>1</v>
      </c>
      <c r="AP1336" s="474">
        <v>5.1534718369410912E-5</v>
      </c>
      <c r="AQ1336" s="352"/>
      <c r="AR1336" s="352"/>
      <c r="AS1336" s="352"/>
      <c r="AT1336" s="352"/>
      <c r="AU1336" s="352"/>
      <c r="AV1336" s="352"/>
      <c r="AW1336" s="352" t="s">
        <v>127</v>
      </c>
    </row>
    <row r="1337" spans="2:49" x14ac:dyDescent="0.2">
      <c r="B1337" s="460" t="s">
        <v>2761</v>
      </c>
      <c r="C1337" s="460">
        <v>2123</v>
      </c>
      <c r="D1337" s="460" t="s">
        <v>2382</v>
      </c>
      <c r="E1337" s="460" t="s">
        <v>2383</v>
      </c>
      <c r="F1337" s="460">
        <v>3</v>
      </c>
      <c r="G1337" s="460">
        <v>5</v>
      </c>
      <c r="H1337" s="461" t="s">
        <v>754</v>
      </c>
      <c r="I1337" s="461" t="s">
        <v>1991</v>
      </c>
      <c r="J1337" s="461" t="s">
        <v>754</v>
      </c>
      <c r="K1337" s="594"/>
      <c r="L1337" s="594"/>
      <c r="M1337" s="352">
        <v>2000</v>
      </c>
      <c r="N1337" s="352" t="s">
        <v>703</v>
      </c>
      <c r="O1337" s="460">
        <v>2123</v>
      </c>
      <c r="P1337" s="460" t="s">
        <v>1878</v>
      </c>
      <c r="Q1337" s="460" t="s">
        <v>2377</v>
      </c>
      <c r="R1337" s="460">
        <v>2123</v>
      </c>
      <c r="S1337" s="460" t="s">
        <v>2383</v>
      </c>
      <c r="T1337" s="462">
        <v>1</v>
      </c>
      <c r="U1337" s="460" t="s">
        <v>2383</v>
      </c>
      <c r="V1337" s="475">
        <v>0</v>
      </c>
      <c r="W1337" s="463" t="s">
        <v>2278</v>
      </c>
      <c r="X1337" s="463" t="s">
        <v>2278</v>
      </c>
      <c r="Y1337" s="463" t="s">
        <v>2278</v>
      </c>
      <c r="Z1337" s="463"/>
      <c r="AA1337" s="463"/>
      <c r="AB1337" s="464">
        <v>4.1743921940458657</v>
      </c>
      <c r="AC1337" s="465">
        <v>1</v>
      </c>
      <c r="AD1337" s="465">
        <v>3.7104745099189124E-5</v>
      </c>
      <c r="AE1337" s="476">
        <v>4.1743921940458657</v>
      </c>
      <c r="AF1337" s="467">
        <v>1</v>
      </c>
      <c r="AG1337" s="468">
        <v>3.7104745099189124E-5</v>
      </c>
      <c r="AH1337" s="218">
        <v>4.1743921940458657</v>
      </c>
      <c r="AI1337" s="470">
        <v>1</v>
      </c>
      <c r="AJ1337" s="471">
        <v>3.7104745099189124E-5</v>
      </c>
      <c r="AK1337" s="218">
        <v>4.1743921940458657</v>
      </c>
      <c r="AL1337" s="470">
        <v>1</v>
      </c>
      <c r="AM1337" s="471">
        <v>3.7104745099189124E-5</v>
      </c>
      <c r="AN1337" s="477">
        <v>4.1743921940458657</v>
      </c>
      <c r="AO1337" s="473">
        <v>1</v>
      </c>
      <c r="AP1337" s="474">
        <v>3.7104745099189124E-5</v>
      </c>
      <c r="AQ1337" s="352"/>
      <c r="AR1337" s="352"/>
      <c r="AS1337" s="352"/>
      <c r="AT1337" s="352"/>
      <c r="AU1337" s="352"/>
      <c r="AV1337" s="352"/>
      <c r="AW1337" s="352" t="s">
        <v>127</v>
      </c>
    </row>
    <row r="1338" spans="2:49" x14ac:dyDescent="0.2">
      <c r="B1338" s="460" t="s">
        <v>2762</v>
      </c>
      <c r="C1338" s="460">
        <v>2123</v>
      </c>
      <c r="D1338" s="460" t="s">
        <v>2385</v>
      </c>
      <c r="E1338" s="460" t="s">
        <v>2386</v>
      </c>
      <c r="F1338" s="460">
        <v>4</v>
      </c>
      <c r="G1338" s="460">
        <v>5</v>
      </c>
      <c r="H1338" s="461" t="s">
        <v>754</v>
      </c>
      <c r="I1338" s="461" t="s">
        <v>1991</v>
      </c>
      <c r="J1338" s="461" t="s">
        <v>754</v>
      </c>
      <c r="K1338" s="594"/>
      <c r="L1338" s="594"/>
      <c r="M1338" s="352">
        <v>2000</v>
      </c>
      <c r="N1338" s="352" t="s">
        <v>703</v>
      </c>
      <c r="O1338" s="460">
        <v>2123</v>
      </c>
      <c r="P1338" s="460" t="s">
        <v>1878</v>
      </c>
      <c r="Q1338" s="460" t="s">
        <v>2377</v>
      </c>
      <c r="R1338" s="460">
        <v>2123</v>
      </c>
      <c r="S1338" s="460" t="s">
        <v>2386</v>
      </c>
      <c r="T1338" s="462">
        <v>1</v>
      </c>
      <c r="U1338" s="460" t="s">
        <v>2386</v>
      </c>
      <c r="V1338" s="475">
        <v>0</v>
      </c>
      <c r="W1338" s="463" t="s">
        <v>2278</v>
      </c>
      <c r="X1338" s="463" t="s">
        <v>2278</v>
      </c>
      <c r="Y1338" s="463" t="s">
        <v>2278</v>
      </c>
      <c r="Z1338" s="463"/>
      <c r="AA1338" s="463"/>
      <c r="AB1338" s="464">
        <v>7.2810827081692411</v>
      </c>
      <c r="AC1338" s="465">
        <v>1</v>
      </c>
      <c r="AD1338" s="465">
        <v>1.3506945397009405E-4</v>
      </c>
      <c r="AE1338" s="476">
        <v>7.2810827081692411</v>
      </c>
      <c r="AF1338" s="467">
        <v>1</v>
      </c>
      <c r="AG1338" s="468">
        <v>1.3506945397009405E-4</v>
      </c>
      <c r="AH1338" s="218">
        <v>7.2810827081692411</v>
      </c>
      <c r="AI1338" s="470">
        <v>1</v>
      </c>
      <c r="AJ1338" s="471">
        <v>1.3506945397009405E-4</v>
      </c>
      <c r="AK1338" s="218">
        <v>7.2810827081692411</v>
      </c>
      <c r="AL1338" s="470">
        <v>1</v>
      </c>
      <c r="AM1338" s="471">
        <v>1.3506945397009405E-4</v>
      </c>
      <c r="AN1338" s="477">
        <v>7.2810827081692411</v>
      </c>
      <c r="AO1338" s="473">
        <v>1</v>
      </c>
      <c r="AP1338" s="474">
        <v>1.3506945397009405E-4</v>
      </c>
      <c r="AQ1338" s="352"/>
      <c r="AR1338" s="352"/>
      <c r="AS1338" s="352"/>
      <c r="AT1338" s="352"/>
      <c r="AU1338" s="352"/>
      <c r="AV1338" s="352"/>
      <c r="AW1338" s="352" t="s">
        <v>127</v>
      </c>
    </row>
    <row r="1339" spans="2:49" x14ac:dyDescent="0.2">
      <c r="B1339" s="460" t="s">
        <v>2763</v>
      </c>
      <c r="C1339" s="460">
        <v>2123</v>
      </c>
      <c r="D1339" s="460" t="s">
        <v>2388</v>
      </c>
      <c r="E1339" s="460" t="s">
        <v>2389</v>
      </c>
      <c r="F1339" s="460">
        <v>1</v>
      </c>
      <c r="G1339" s="460">
        <v>6</v>
      </c>
      <c r="H1339" s="461" t="s">
        <v>754</v>
      </c>
      <c r="I1339" s="461" t="s">
        <v>1991</v>
      </c>
      <c r="J1339" s="461" t="s">
        <v>754</v>
      </c>
      <c r="K1339" s="594"/>
      <c r="L1339" s="594"/>
      <c r="M1339" s="352">
        <v>2000</v>
      </c>
      <c r="N1339" s="352" t="s">
        <v>703</v>
      </c>
      <c r="O1339" s="460">
        <v>2123</v>
      </c>
      <c r="P1339" s="460" t="s">
        <v>1878</v>
      </c>
      <c r="Q1339" s="460" t="s">
        <v>2377</v>
      </c>
      <c r="R1339" s="460">
        <v>2123</v>
      </c>
      <c r="S1339" s="460" t="s">
        <v>2389</v>
      </c>
      <c r="T1339" s="462">
        <v>1</v>
      </c>
      <c r="U1339" s="460" t="s">
        <v>2389</v>
      </c>
      <c r="V1339" s="475">
        <v>0</v>
      </c>
      <c r="W1339" s="463" t="s">
        <v>2278</v>
      </c>
      <c r="X1339" s="463" t="s">
        <v>2278</v>
      </c>
      <c r="Y1339" s="463" t="s">
        <v>2278</v>
      </c>
      <c r="Z1339" s="463"/>
      <c r="AA1339" s="463"/>
      <c r="AB1339" s="464">
        <v>0</v>
      </c>
      <c r="AC1339" s="465">
        <v>0</v>
      </c>
      <c r="AD1339" s="465">
        <v>0</v>
      </c>
      <c r="AE1339" s="476">
        <v>0</v>
      </c>
      <c r="AF1339" s="467">
        <v>0</v>
      </c>
      <c r="AG1339" s="468">
        <v>0</v>
      </c>
      <c r="AH1339" s="218">
        <v>0</v>
      </c>
      <c r="AI1339" s="470">
        <v>0</v>
      </c>
      <c r="AJ1339" s="471">
        <v>0</v>
      </c>
      <c r="AK1339" s="218">
        <v>0</v>
      </c>
      <c r="AL1339" s="470">
        <v>0</v>
      </c>
      <c r="AM1339" s="471">
        <v>0</v>
      </c>
      <c r="AN1339" s="477">
        <v>0</v>
      </c>
      <c r="AO1339" s="473">
        <v>0</v>
      </c>
      <c r="AP1339" s="474">
        <v>0</v>
      </c>
      <c r="AQ1339" s="352"/>
      <c r="AR1339" s="352"/>
      <c r="AS1339" s="352"/>
      <c r="AT1339" s="352"/>
      <c r="AU1339" s="352"/>
      <c r="AV1339" s="352"/>
      <c r="AW1339" s="352" t="s">
        <v>127</v>
      </c>
    </row>
    <row r="1340" spans="2:49" x14ac:dyDescent="0.2">
      <c r="B1340" s="460" t="s">
        <v>2764</v>
      </c>
      <c r="C1340" s="460">
        <v>2123</v>
      </c>
      <c r="D1340" s="460" t="s">
        <v>2391</v>
      </c>
      <c r="E1340" s="460" t="s">
        <v>2392</v>
      </c>
      <c r="F1340" s="460">
        <v>2</v>
      </c>
      <c r="G1340" s="460">
        <v>6</v>
      </c>
      <c r="H1340" s="461" t="s">
        <v>754</v>
      </c>
      <c r="I1340" s="461" t="s">
        <v>1991</v>
      </c>
      <c r="J1340" s="461" t="s">
        <v>754</v>
      </c>
      <c r="K1340" s="594"/>
      <c r="L1340" s="594"/>
      <c r="M1340" s="352">
        <v>2000</v>
      </c>
      <c r="N1340" s="352" t="s">
        <v>703</v>
      </c>
      <c r="O1340" s="460">
        <v>2123</v>
      </c>
      <c r="P1340" s="460" t="s">
        <v>1878</v>
      </c>
      <c r="Q1340" s="460" t="s">
        <v>2377</v>
      </c>
      <c r="R1340" s="460">
        <v>2123</v>
      </c>
      <c r="S1340" s="460" t="s">
        <v>2392</v>
      </c>
      <c r="T1340" s="462">
        <v>1</v>
      </c>
      <c r="U1340" s="460" t="s">
        <v>2392</v>
      </c>
      <c r="V1340" s="475">
        <v>0</v>
      </c>
      <c r="W1340" s="463" t="s">
        <v>2278</v>
      </c>
      <c r="X1340" s="463" t="s">
        <v>2278</v>
      </c>
      <c r="Y1340" s="463" t="s">
        <v>2278</v>
      </c>
      <c r="Z1340" s="463"/>
      <c r="AA1340" s="463"/>
      <c r="AB1340" s="464">
        <v>0</v>
      </c>
      <c r="AC1340" s="465">
        <v>0</v>
      </c>
      <c r="AD1340" s="465">
        <v>0</v>
      </c>
      <c r="AE1340" s="476">
        <v>0</v>
      </c>
      <c r="AF1340" s="467">
        <v>0</v>
      </c>
      <c r="AG1340" s="468">
        <v>0</v>
      </c>
      <c r="AH1340" s="218">
        <v>0</v>
      </c>
      <c r="AI1340" s="470">
        <v>0</v>
      </c>
      <c r="AJ1340" s="471">
        <v>0</v>
      </c>
      <c r="AK1340" s="218">
        <v>0</v>
      </c>
      <c r="AL1340" s="470">
        <v>0</v>
      </c>
      <c r="AM1340" s="471">
        <v>0</v>
      </c>
      <c r="AN1340" s="477">
        <v>0</v>
      </c>
      <c r="AO1340" s="473">
        <v>0</v>
      </c>
      <c r="AP1340" s="474">
        <v>0</v>
      </c>
      <c r="AQ1340" s="352"/>
      <c r="AR1340" s="352"/>
      <c r="AS1340" s="352"/>
      <c r="AT1340" s="352"/>
      <c r="AU1340" s="352"/>
      <c r="AV1340" s="352"/>
      <c r="AW1340" s="352" t="s">
        <v>127</v>
      </c>
    </row>
    <row r="1341" spans="2:49" x14ac:dyDescent="0.2">
      <c r="B1341" s="460" t="s">
        <v>2765</v>
      </c>
      <c r="C1341" s="460">
        <v>2123</v>
      </c>
      <c r="D1341" s="460" t="s">
        <v>2394</v>
      </c>
      <c r="E1341" s="460" t="s">
        <v>2395</v>
      </c>
      <c r="F1341" s="460">
        <v>3</v>
      </c>
      <c r="G1341" s="460">
        <v>6</v>
      </c>
      <c r="H1341" s="461" t="s">
        <v>754</v>
      </c>
      <c r="I1341" s="461" t="s">
        <v>1991</v>
      </c>
      <c r="J1341" s="461" t="s">
        <v>754</v>
      </c>
      <c r="K1341" s="594"/>
      <c r="L1341" s="594"/>
      <c r="M1341" s="352">
        <v>2000</v>
      </c>
      <c r="N1341" s="352" t="s">
        <v>703</v>
      </c>
      <c r="O1341" s="460">
        <v>2123</v>
      </c>
      <c r="P1341" s="460" t="s">
        <v>1878</v>
      </c>
      <c r="Q1341" s="460" t="s">
        <v>2377</v>
      </c>
      <c r="R1341" s="460">
        <v>2123</v>
      </c>
      <c r="S1341" s="460" t="s">
        <v>2395</v>
      </c>
      <c r="T1341" s="462">
        <v>1</v>
      </c>
      <c r="U1341" s="460" t="s">
        <v>2395</v>
      </c>
      <c r="V1341" s="475">
        <v>0</v>
      </c>
      <c r="W1341" s="463" t="s">
        <v>2278</v>
      </c>
      <c r="X1341" s="463" t="s">
        <v>2278</v>
      </c>
      <c r="Y1341" s="463" t="s">
        <v>2278</v>
      </c>
      <c r="Z1341" s="463"/>
      <c r="AA1341" s="463"/>
      <c r="AB1341" s="464">
        <v>0</v>
      </c>
      <c r="AC1341" s="465">
        <v>0</v>
      </c>
      <c r="AD1341" s="465">
        <v>0</v>
      </c>
      <c r="AE1341" s="476">
        <v>0</v>
      </c>
      <c r="AF1341" s="467">
        <v>0</v>
      </c>
      <c r="AG1341" s="468">
        <v>0</v>
      </c>
      <c r="AH1341" s="218">
        <v>0</v>
      </c>
      <c r="AI1341" s="470">
        <v>0</v>
      </c>
      <c r="AJ1341" s="471">
        <v>0</v>
      </c>
      <c r="AK1341" s="218">
        <v>0</v>
      </c>
      <c r="AL1341" s="470">
        <v>0</v>
      </c>
      <c r="AM1341" s="471">
        <v>0</v>
      </c>
      <c r="AN1341" s="477">
        <v>0</v>
      </c>
      <c r="AO1341" s="473">
        <v>0</v>
      </c>
      <c r="AP1341" s="474">
        <v>0</v>
      </c>
      <c r="AQ1341" s="352"/>
      <c r="AR1341" s="352"/>
      <c r="AS1341" s="352"/>
      <c r="AT1341" s="352"/>
      <c r="AU1341" s="352"/>
      <c r="AV1341" s="352"/>
      <c r="AW1341" s="352" t="s">
        <v>127</v>
      </c>
    </row>
    <row r="1342" spans="2:49" x14ac:dyDescent="0.2">
      <c r="B1342" s="460" t="s">
        <v>2766</v>
      </c>
      <c r="C1342" s="460">
        <v>2123</v>
      </c>
      <c r="D1342" s="460" t="s">
        <v>2397</v>
      </c>
      <c r="E1342" s="460" t="s">
        <v>2398</v>
      </c>
      <c r="F1342" s="460">
        <v>4</v>
      </c>
      <c r="G1342" s="460">
        <v>6</v>
      </c>
      <c r="H1342" s="461" t="s">
        <v>754</v>
      </c>
      <c r="I1342" s="461" t="s">
        <v>1991</v>
      </c>
      <c r="J1342" s="461" t="s">
        <v>754</v>
      </c>
      <c r="K1342" s="594"/>
      <c r="L1342" s="594"/>
      <c r="M1342" s="352">
        <v>2000</v>
      </c>
      <c r="N1342" s="352" t="s">
        <v>703</v>
      </c>
      <c r="O1342" s="460">
        <v>2123</v>
      </c>
      <c r="P1342" s="460" t="s">
        <v>1878</v>
      </c>
      <c r="Q1342" s="460" t="s">
        <v>2377</v>
      </c>
      <c r="R1342" s="460">
        <v>2123</v>
      </c>
      <c r="S1342" s="460" t="s">
        <v>2398</v>
      </c>
      <c r="T1342" s="462">
        <v>1</v>
      </c>
      <c r="U1342" s="460" t="s">
        <v>2398</v>
      </c>
      <c r="V1342" s="475">
        <v>0</v>
      </c>
      <c r="W1342" s="463" t="s">
        <v>2278</v>
      </c>
      <c r="X1342" s="463" t="s">
        <v>2278</v>
      </c>
      <c r="Y1342" s="463" t="s">
        <v>2278</v>
      </c>
      <c r="Z1342" s="463"/>
      <c r="AA1342" s="463"/>
      <c r="AB1342" s="464">
        <v>0</v>
      </c>
      <c r="AC1342" s="465">
        <v>0</v>
      </c>
      <c r="AD1342" s="465">
        <v>0</v>
      </c>
      <c r="AE1342" s="476">
        <v>0</v>
      </c>
      <c r="AF1342" s="467">
        <v>0</v>
      </c>
      <c r="AG1342" s="468">
        <v>0</v>
      </c>
      <c r="AH1342" s="218">
        <v>0</v>
      </c>
      <c r="AI1342" s="470">
        <v>0</v>
      </c>
      <c r="AJ1342" s="471">
        <v>0</v>
      </c>
      <c r="AK1342" s="218">
        <v>0</v>
      </c>
      <c r="AL1342" s="470">
        <v>0</v>
      </c>
      <c r="AM1342" s="471">
        <v>0</v>
      </c>
      <c r="AN1342" s="477">
        <v>0</v>
      </c>
      <c r="AO1342" s="473">
        <v>0</v>
      </c>
      <c r="AP1342" s="474">
        <v>0</v>
      </c>
      <c r="AQ1342" s="352"/>
      <c r="AR1342" s="352"/>
      <c r="AS1342" s="352"/>
      <c r="AT1342" s="352"/>
      <c r="AU1342" s="352"/>
      <c r="AV1342" s="352"/>
      <c r="AW1342" s="352" t="s">
        <v>127</v>
      </c>
    </row>
    <row r="1343" spans="2:49" x14ac:dyDescent="0.2">
      <c r="B1343" s="460" t="s">
        <v>2767</v>
      </c>
      <c r="C1343" s="460">
        <v>2124</v>
      </c>
      <c r="D1343" s="460" t="s">
        <v>2264</v>
      </c>
      <c r="E1343" s="460" t="s">
        <v>2265</v>
      </c>
      <c r="F1343" s="460">
        <v>1</v>
      </c>
      <c r="G1343" s="460">
        <v>1</v>
      </c>
      <c r="H1343" s="461" t="s">
        <v>700</v>
      </c>
      <c r="I1343" s="461" t="s">
        <v>872</v>
      </c>
      <c r="J1343" s="461" t="s">
        <v>700</v>
      </c>
      <c r="K1343" s="594"/>
      <c r="L1343" s="594"/>
      <c r="M1343" s="352">
        <v>2000</v>
      </c>
      <c r="N1343" s="352" t="s">
        <v>703</v>
      </c>
      <c r="O1343" s="460">
        <v>2124</v>
      </c>
      <c r="P1343" s="460" t="s">
        <v>767</v>
      </c>
      <c r="Q1343" s="460" t="s">
        <v>2440</v>
      </c>
      <c r="R1343" s="460">
        <v>2124</v>
      </c>
      <c r="S1343" s="460" t="s">
        <v>2265</v>
      </c>
      <c r="T1343" s="462">
        <v>1</v>
      </c>
      <c r="U1343" s="460" t="s">
        <v>2265</v>
      </c>
      <c r="V1343" s="475">
        <v>0</v>
      </c>
      <c r="W1343" s="463" t="s">
        <v>2267</v>
      </c>
      <c r="X1343" s="463" t="s">
        <v>2267</v>
      </c>
      <c r="Y1343" s="463" t="s">
        <v>2268</v>
      </c>
      <c r="Z1343" s="463"/>
      <c r="AA1343" s="463"/>
      <c r="AB1343" s="464">
        <v>85.539213214254886</v>
      </c>
      <c r="AC1343" s="465">
        <v>0.67460123833071528</v>
      </c>
      <c r="AD1343" s="465">
        <v>7.9324234964663347E-4</v>
      </c>
      <c r="AE1343" s="476">
        <v>85.539213214254886</v>
      </c>
      <c r="AF1343" s="467">
        <v>0.67460123833071528</v>
      </c>
      <c r="AG1343" s="468">
        <v>8.4734884702310556E-4</v>
      </c>
      <c r="AH1343" s="218">
        <v>85.539213214254886</v>
      </c>
      <c r="AI1343" s="470">
        <v>0.67460123833071528</v>
      </c>
      <c r="AJ1343" s="471">
        <v>8.156454123287543E-4</v>
      </c>
      <c r="AK1343" s="218">
        <v>85.539213214254886</v>
      </c>
      <c r="AL1343" s="470">
        <v>0.67460123833071528</v>
      </c>
      <c r="AM1343" s="471">
        <v>8.156454123287543E-4</v>
      </c>
      <c r="AN1343" s="477">
        <v>0</v>
      </c>
      <c r="AO1343" s="473">
        <v>0</v>
      </c>
      <c r="AP1343" s="474">
        <v>0</v>
      </c>
      <c r="AQ1343" s="352"/>
      <c r="AR1343" s="352"/>
      <c r="AS1343" s="352"/>
      <c r="AT1343" s="352"/>
      <c r="AU1343" s="352"/>
      <c r="AV1343" s="352"/>
      <c r="AW1343" s="352" t="s">
        <v>254</v>
      </c>
    </row>
    <row r="1344" spans="2:49" x14ac:dyDescent="0.2">
      <c r="B1344" s="460" t="s">
        <v>2768</v>
      </c>
      <c r="C1344" s="460">
        <v>2124</v>
      </c>
      <c r="D1344" s="460" t="s">
        <v>2270</v>
      </c>
      <c r="E1344" s="460" t="s">
        <v>2271</v>
      </c>
      <c r="F1344" s="460">
        <v>2</v>
      </c>
      <c r="G1344" s="460">
        <v>1</v>
      </c>
      <c r="H1344" s="461" t="s">
        <v>700</v>
      </c>
      <c r="I1344" s="461" t="s">
        <v>872</v>
      </c>
      <c r="J1344" s="461" t="s">
        <v>700</v>
      </c>
      <c r="K1344" s="594"/>
      <c r="L1344" s="594"/>
      <c r="M1344" s="352">
        <v>2000</v>
      </c>
      <c r="N1344" s="352" t="s">
        <v>703</v>
      </c>
      <c r="O1344" s="460">
        <v>2124</v>
      </c>
      <c r="P1344" s="460" t="s">
        <v>767</v>
      </c>
      <c r="Q1344" s="460" t="s">
        <v>2440</v>
      </c>
      <c r="R1344" s="460">
        <v>2124</v>
      </c>
      <c r="S1344" s="460" t="s">
        <v>2265</v>
      </c>
      <c r="T1344" s="462">
        <v>1</v>
      </c>
      <c r="U1344" s="460" t="s">
        <v>2271</v>
      </c>
      <c r="V1344" s="475">
        <v>0</v>
      </c>
      <c r="W1344" s="463" t="s">
        <v>2267</v>
      </c>
      <c r="X1344" s="463" t="s">
        <v>2267</v>
      </c>
      <c r="Y1344" s="463" t="s">
        <v>2268</v>
      </c>
      <c r="Z1344" s="463"/>
      <c r="AA1344" s="463"/>
      <c r="AB1344" s="464">
        <v>92.937197644477081</v>
      </c>
      <c r="AC1344" s="465">
        <v>0.61104399322401193</v>
      </c>
      <c r="AD1344" s="465">
        <v>1.1530525817651672E-3</v>
      </c>
      <c r="AE1344" s="476">
        <v>92.937197644477081</v>
      </c>
      <c r="AF1344" s="467">
        <v>0.61104399322401193</v>
      </c>
      <c r="AG1344" s="468">
        <v>1.2495184038109634E-3</v>
      </c>
      <c r="AH1344" s="218">
        <v>102.60398484101644</v>
      </c>
      <c r="AI1344" s="470">
        <v>0.67460123833071528</v>
      </c>
      <c r="AJ1344" s="471">
        <v>1.211383632699419E-3</v>
      </c>
      <c r="AK1344" s="218">
        <v>102.60398484101644</v>
      </c>
      <c r="AL1344" s="470">
        <v>0.67460123833071528</v>
      </c>
      <c r="AM1344" s="471">
        <v>1.211383632699419E-3</v>
      </c>
      <c r="AN1344" s="477">
        <v>0</v>
      </c>
      <c r="AO1344" s="473">
        <v>0</v>
      </c>
      <c r="AP1344" s="474">
        <v>0</v>
      </c>
      <c r="AQ1344" s="352"/>
      <c r="AR1344" s="352"/>
      <c r="AS1344" s="352"/>
      <c r="AT1344" s="352"/>
      <c r="AU1344" s="352"/>
      <c r="AV1344" s="352"/>
      <c r="AW1344" s="352" t="s">
        <v>254</v>
      </c>
    </row>
    <row r="1345" spans="2:49" x14ac:dyDescent="0.2">
      <c r="B1345" s="460" t="s">
        <v>2769</v>
      </c>
      <c r="C1345" s="460">
        <v>2124</v>
      </c>
      <c r="D1345" s="460" t="s">
        <v>2273</v>
      </c>
      <c r="E1345" s="460" t="s">
        <v>2274</v>
      </c>
      <c r="F1345" s="460">
        <v>3</v>
      </c>
      <c r="G1345" s="460">
        <v>1</v>
      </c>
      <c r="H1345" s="461" t="s">
        <v>700</v>
      </c>
      <c r="I1345" s="461" t="s">
        <v>872</v>
      </c>
      <c r="J1345" s="461" t="s">
        <v>700</v>
      </c>
      <c r="K1345" s="594"/>
      <c r="L1345" s="594"/>
      <c r="M1345" s="352">
        <v>2000</v>
      </c>
      <c r="N1345" s="352" t="s">
        <v>703</v>
      </c>
      <c r="O1345" s="460">
        <v>2124</v>
      </c>
      <c r="P1345" s="460" t="s">
        <v>767</v>
      </c>
      <c r="Q1345" s="460" t="s">
        <v>2440</v>
      </c>
      <c r="R1345" s="460">
        <v>2124</v>
      </c>
      <c r="S1345" s="460" t="s">
        <v>2265</v>
      </c>
      <c r="T1345" s="462">
        <v>0.74223365950407583</v>
      </c>
      <c r="U1345" s="460" t="s">
        <v>2274</v>
      </c>
      <c r="V1345" s="475">
        <v>0</v>
      </c>
      <c r="W1345" s="463" t="s">
        <v>2267</v>
      </c>
      <c r="X1345" s="463" t="s">
        <v>2267</v>
      </c>
      <c r="Y1345" s="463" t="s">
        <v>2268</v>
      </c>
      <c r="Z1345" s="463"/>
      <c r="AA1345" s="463"/>
      <c r="AB1345" s="464">
        <v>20.784634280551977</v>
      </c>
      <c r="AC1345" s="465">
        <v>0.30123785881096438</v>
      </c>
      <c r="AD1345" s="465">
        <v>1.0282087017927156E-3</v>
      </c>
      <c r="AE1345" s="476">
        <v>20.784634280551977</v>
      </c>
      <c r="AF1345" s="467">
        <v>0.30123785881096438</v>
      </c>
      <c r="AG1345" s="468">
        <v>1.1137289831717619E-3</v>
      </c>
      <c r="AH1345" s="218">
        <v>34.54781732341781</v>
      </c>
      <c r="AI1345" s="470">
        <v>0.50071174583218803</v>
      </c>
      <c r="AJ1345" s="471">
        <v>1.3405964412480968E-3</v>
      </c>
      <c r="AK1345" s="218">
        <v>34.54781732341781</v>
      </c>
      <c r="AL1345" s="470">
        <v>0.50071174583218803</v>
      </c>
      <c r="AM1345" s="471">
        <v>1.3405964412480968E-3</v>
      </c>
      <c r="AN1345" s="477">
        <v>0</v>
      </c>
      <c r="AO1345" s="473">
        <v>0</v>
      </c>
      <c r="AP1345" s="474">
        <v>0</v>
      </c>
      <c r="AQ1345" s="352"/>
      <c r="AR1345" s="352"/>
      <c r="AS1345" s="352"/>
      <c r="AT1345" s="352"/>
      <c r="AU1345" s="352"/>
      <c r="AV1345" s="352"/>
      <c r="AW1345" s="352" t="s">
        <v>254</v>
      </c>
    </row>
    <row r="1346" spans="2:49" x14ac:dyDescent="0.2">
      <c r="B1346" s="460" t="s">
        <v>2770</v>
      </c>
      <c r="C1346" s="460">
        <v>2124</v>
      </c>
      <c r="D1346" s="460" t="s">
        <v>2276</v>
      </c>
      <c r="E1346" s="460" t="s">
        <v>2277</v>
      </c>
      <c r="F1346" s="460">
        <v>4</v>
      </c>
      <c r="G1346" s="460">
        <v>1</v>
      </c>
      <c r="H1346" s="461" t="s">
        <v>700</v>
      </c>
      <c r="I1346" s="461" t="s">
        <v>872</v>
      </c>
      <c r="J1346" s="461" t="s">
        <v>700</v>
      </c>
      <c r="K1346" s="594"/>
      <c r="L1346" s="594"/>
      <c r="M1346" s="352">
        <v>2000</v>
      </c>
      <c r="N1346" s="352" t="s">
        <v>703</v>
      </c>
      <c r="O1346" s="460">
        <v>2124</v>
      </c>
      <c r="P1346" s="460" t="s">
        <v>767</v>
      </c>
      <c r="Q1346" s="460" t="s">
        <v>2440</v>
      </c>
      <c r="R1346" s="460">
        <v>2124</v>
      </c>
      <c r="S1346" s="460" t="s">
        <v>2277</v>
      </c>
      <c r="T1346" s="462">
        <v>1</v>
      </c>
      <c r="U1346" s="460" t="s">
        <v>2277</v>
      </c>
      <c r="V1346" s="475">
        <v>0</v>
      </c>
      <c r="W1346" s="463" t="s">
        <v>2278</v>
      </c>
      <c r="X1346" s="463" t="s">
        <v>2278</v>
      </c>
      <c r="Y1346" s="463" t="s">
        <v>2268</v>
      </c>
      <c r="Z1346" s="463"/>
      <c r="AA1346" s="463"/>
      <c r="AB1346" s="464">
        <v>0.10711372045276246</v>
      </c>
      <c r="AC1346" s="465">
        <v>1.8680727496849605E-3</v>
      </c>
      <c r="AD1346" s="465">
        <v>4.3233343848668579E-4</v>
      </c>
      <c r="AE1346" s="476">
        <v>0.10711372045276246</v>
      </c>
      <c r="AF1346" s="467">
        <v>1.8680727496849605E-3</v>
      </c>
      <c r="AG1346" s="468">
        <v>4.8332599477904717E-4</v>
      </c>
      <c r="AH1346" s="218">
        <v>0.10711372045276246</v>
      </c>
      <c r="AI1346" s="470">
        <v>1.8680727496849605E-3</v>
      </c>
      <c r="AJ1346" s="471">
        <v>4.6324704460748672E-4</v>
      </c>
      <c r="AK1346" s="218">
        <v>0.10711372045276246</v>
      </c>
      <c r="AL1346" s="470">
        <v>1.8680727496849605E-3</v>
      </c>
      <c r="AM1346" s="471">
        <v>4.6324704460748672E-4</v>
      </c>
      <c r="AN1346" s="477">
        <v>0</v>
      </c>
      <c r="AO1346" s="473">
        <v>0</v>
      </c>
      <c r="AP1346" s="474">
        <v>0</v>
      </c>
      <c r="AQ1346" s="352"/>
      <c r="AR1346" s="352"/>
      <c r="AS1346" s="352"/>
      <c r="AT1346" s="352"/>
      <c r="AU1346" s="352"/>
      <c r="AV1346" s="352"/>
      <c r="AW1346" s="352" t="s">
        <v>254</v>
      </c>
    </row>
    <row r="1347" spans="2:49" x14ac:dyDescent="0.2">
      <c r="B1347" s="460" t="s">
        <v>2767</v>
      </c>
      <c r="C1347" s="460">
        <v>2124</v>
      </c>
      <c r="D1347" s="460" t="s">
        <v>2279</v>
      </c>
      <c r="E1347" s="460" t="s">
        <v>2265</v>
      </c>
      <c r="F1347" s="460">
        <v>1</v>
      </c>
      <c r="G1347" s="460">
        <v>1</v>
      </c>
      <c r="H1347" s="461" t="s">
        <v>712</v>
      </c>
      <c r="I1347" s="461" t="s">
        <v>713</v>
      </c>
      <c r="J1347" s="461" t="s">
        <v>712</v>
      </c>
      <c r="K1347" s="594"/>
      <c r="L1347" s="594"/>
      <c r="M1347" s="352">
        <v>2000</v>
      </c>
      <c r="N1347" s="352" t="s">
        <v>703</v>
      </c>
      <c r="O1347" s="460">
        <v>2124</v>
      </c>
      <c r="P1347" s="460" t="s">
        <v>767</v>
      </c>
      <c r="Q1347" s="460" t="s">
        <v>2280</v>
      </c>
      <c r="R1347" s="460">
        <v>2124</v>
      </c>
      <c r="S1347" s="460" t="s">
        <v>2265</v>
      </c>
      <c r="T1347" s="462">
        <v>1</v>
      </c>
      <c r="U1347" s="460" t="s">
        <v>2265</v>
      </c>
      <c r="V1347" s="475">
        <v>0</v>
      </c>
      <c r="W1347" s="463" t="s">
        <v>713</v>
      </c>
      <c r="X1347" s="463" t="s">
        <v>713</v>
      </c>
      <c r="Y1347" s="463" t="s">
        <v>713</v>
      </c>
      <c r="Z1347" s="463"/>
      <c r="AA1347" s="463"/>
      <c r="AB1347" s="464">
        <v>41.260455025192229</v>
      </c>
      <c r="AC1347" s="465">
        <v>0.32539876166928478</v>
      </c>
      <c r="AD1347" s="465">
        <v>1.5242325637284903E-4</v>
      </c>
      <c r="AE1347" s="476">
        <v>41.260455025192222</v>
      </c>
      <c r="AF1347" s="467">
        <v>0.32539876166928472</v>
      </c>
      <c r="AG1347" s="468">
        <v>1.4864226171238822E-4</v>
      </c>
      <c r="AH1347" s="218">
        <v>41.260455025192222</v>
      </c>
      <c r="AI1347" s="470">
        <v>0.32539876166928472</v>
      </c>
      <c r="AJ1347" s="471">
        <v>1.5077354591854392E-4</v>
      </c>
      <c r="AK1347" s="218">
        <v>41.260455025192222</v>
      </c>
      <c r="AL1347" s="470">
        <v>0.32539876166928472</v>
      </c>
      <c r="AM1347" s="471">
        <v>1.5077354591854392E-4</v>
      </c>
      <c r="AN1347" s="477">
        <v>41.260455025192222</v>
      </c>
      <c r="AO1347" s="473">
        <v>0.32539876166928472</v>
      </c>
      <c r="AP1347" s="474">
        <v>1.5072441785032403E-4</v>
      </c>
      <c r="AQ1347" s="352"/>
      <c r="AR1347" s="352"/>
      <c r="AS1347" s="352"/>
      <c r="AT1347" s="352"/>
      <c r="AU1347" s="352"/>
      <c r="AV1347" s="352"/>
      <c r="AW1347" s="352" t="s">
        <v>254</v>
      </c>
    </row>
    <row r="1348" spans="2:49" x14ac:dyDescent="0.2">
      <c r="B1348" s="460" t="s">
        <v>2768</v>
      </c>
      <c r="C1348" s="460">
        <v>2124</v>
      </c>
      <c r="D1348" s="460" t="s">
        <v>2281</v>
      </c>
      <c r="E1348" s="460" t="s">
        <v>2271</v>
      </c>
      <c r="F1348" s="460">
        <v>2</v>
      </c>
      <c r="G1348" s="460">
        <v>1</v>
      </c>
      <c r="H1348" s="461" t="s">
        <v>712</v>
      </c>
      <c r="I1348" s="461" t="s">
        <v>713</v>
      </c>
      <c r="J1348" s="461" t="s">
        <v>712</v>
      </c>
      <c r="K1348" s="594"/>
      <c r="L1348" s="594"/>
      <c r="M1348" s="352">
        <v>2000</v>
      </c>
      <c r="N1348" s="352" t="s">
        <v>703</v>
      </c>
      <c r="O1348" s="460">
        <v>2124</v>
      </c>
      <c r="P1348" s="460" t="s">
        <v>767</v>
      </c>
      <c r="Q1348" s="460" t="s">
        <v>2280</v>
      </c>
      <c r="R1348" s="460">
        <v>2124</v>
      </c>
      <c r="S1348" s="460" t="s">
        <v>2265</v>
      </c>
      <c r="T1348" s="462">
        <v>1</v>
      </c>
      <c r="U1348" s="460" t="s">
        <v>2271</v>
      </c>
      <c r="V1348" s="475">
        <v>0</v>
      </c>
      <c r="W1348" s="463" t="s">
        <v>713</v>
      </c>
      <c r="X1348" s="463" t="s">
        <v>713</v>
      </c>
      <c r="Y1348" s="463" t="s">
        <v>713</v>
      </c>
      <c r="Z1348" s="463"/>
      <c r="AA1348" s="463"/>
      <c r="AB1348" s="464">
        <v>59.158557612224712</v>
      </c>
      <c r="AC1348" s="465">
        <v>0.38895600677598796</v>
      </c>
      <c r="AD1348" s="465">
        <v>2.4704143937302243E-4</v>
      </c>
      <c r="AE1348" s="476">
        <v>59.158557612224733</v>
      </c>
      <c r="AF1348" s="467">
        <v>0.38895600677598807</v>
      </c>
      <c r="AG1348" s="468">
        <v>2.4078463922562777E-4</v>
      </c>
      <c r="AH1348" s="218">
        <v>49.491770415685373</v>
      </c>
      <c r="AI1348" s="470">
        <v>0.32539876166928472</v>
      </c>
      <c r="AJ1348" s="471">
        <v>2.1262384636457332E-4</v>
      </c>
      <c r="AK1348" s="218">
        <v>49.491770415685373</v>
      </c>
      <c r="AL1348" s="470">
        <v>0.32539876166928472</v>
      </c>
      <c r="AM1348" s="471">
        <v>2.1262384636457332E-4</v>
      </c>
      <c r="AN1348" s="477">
        <v>49.491770415685373</v>
      </c>
      <c r="AO1348" s="473">
        <v>0.32539876166928472</v>
      </c>
      <c r="AP1348" s="474">
        <v>2.125491871570213E-4</v>
      </c>
      <c r="AQ1348" s="352"/>
      <c r="AR1348" s="352"/>
      <c r="AS1348" s="352"/>
      <c r="AT1348" s="352"/>
      <c r="AU1348" s="352"/>
      <c r="AV1348" s="352"/>
      <c r="AW1348" s="352" t="s">
        <v>254</v>
      </c>
    </row>
    <row r="1349" spans="2:49" x14ac:dyDescent="0.2">
      <c r="B1349" s="460" t="s">
        <v>2769</v>
      </c>
      <c r="C1349" s="460">
        <v>2124</v>
      </c>
      <c r="D1349" s="460" t="s">
        <v>2282</v>
      </c>
      <c r="E1349" s="460" t="s">
        <v>2274</v>
      </c>
      <c r="F1349" s="460">
        <v>3</v>
      </c>
      <c r="G1349" s="460">
        <v>1</v>
      </c>
      <c r="H1349" s="461" t="s">
        <v>712</v>
      </c>
      <c r="I1349" s="461" t="s">
        <v>713</v>
      </c>
      <c r="J1349" s="461" t="s">
        <v>712</v>
      </c>
      <c r="K1349" s="594"/>
      <c r="L1349" s="594"/>
      <c r="M1349" s="352">
        <v>2000</v>
      </c>
      <c r="N1349" s="352" t="s">
        <v>703</v>
      </c>
      <c r="O1349" s="460">
        <v>2124</v>
      </c>
      <c r="P1349" s="460" t="s">
        <v>767</v>
      </c>
      <c r="Q1349" s="460" t="s">
        <v>2280</v>
      </c>
      <c r="R1349" s="460">
        <v>2124</v>
      </c>
      <c r="S1349" s="460" t="s">
        <v>2265</v>
      </c>
      <c r="T1349" s="462">
        <v>0.74223365950407583</v>
      </c>
      <c r="U1349" s="460" t="s">
        <v>2274</v>
      </c>
      <c r="V1349" s="475">
        <v>0</v>
      </c>
      <c r="W1349" s="463" t="s">
        <v>713</v>
      </c>
      <c r="X1349" s="463" t="s">
        <v>713</v>
      </c>
      <c r="Y1349" s="463" t="s">
        <v>713</v>
      </c>
      <c r="Z1349" s="463"/>
      <c r="AA1349" s="463"/>
      <c r="AB1349" s="464">
        <v>48.212783117753681</v>
      </c>
      <c r="AC1349" s="465">
        <v>0.69876214118903557</v>
      </c>
      <c r="AD1349" s="465">
        <v>2.8856375030737275E-4</v>
      </c>
      <c r="AE1349" s="476">
        <v>48.212783117753688</v>
      </c>
      <c r="AF1349" s="467">
        <v>0.69876214118903568</v>
      </c>
      <c r="AG1349" s="468">
        <v>2.8590757978711969E-4</v>
      </c>
      <c r="AH1349" s="218">
        <v>34.449600074887847</v>
      </c>
      <c r="AI1349" s="470">
        <v>0.49928825416781197</v>
      </c>
      <c r="AJ1349" s="471">
        <v>2.1648716812200293E-4</v>
      </c>
      <c r="AK1349" s="218">
        <v>34.449600074887847</v>
      </c>
      <c r="AL1349" s="470">
        <v>0.49928825416781197</v>
      </c>
      <c r="AM1349" s="471">
        <v>2.1648716812200293E-4</v>
      </c>
      <c r="AN1349" s="477">
        <v>34.449600074887847</v>
      </c>
      <c r="AO1349" s="473">
        <v>0.49928825416781197</v>
      </c>
      <c r="AP1349" s="474">
        <v>2.1804890587264776E-4</v>
      </c>
      <c r="AQ1349" s="352"/>
      <c r="AR1349" s="352"/>
      <c r="AS1349" s="352"/>
      <c r="AT1349" s="352"/>
      <c r="AU1349" s="352"/>
      <c r="AV1349" s="352"/>
      <c r="AW1349" s="352" t="s">
        <v>254</v>
      </c>
    </row>
    <row r="1350" spans="2:49" x14ac:dyDescent="0.2">
      <c r="B1350" s="460" t="s">
        <v>2770</v>
      </c>
      <c r="C1350" s="460">
        <v>2124</v>
      </c>
      <c r="D1350" s="460" t="s">
        <v>2283</v>
      </c>
      <c r="E1350" s="460" t="s">
        <v>2277</v>
      </c>
      <c r="F1350" s="460">
        <v>4</v>
      </c>
      <c r="G1350" s="460">
        <v>1</v>
      </c>
      <c r="H1350" s="461" t="s">
        <v>712</v>
      </c>
      <c r="I1350" s="461" t="s">
        <v>713</v>
      </c>
      <c r="J1350" s="461" t="s">
        <v>712</v>
      </c>
      <c r="K1350" s="594"/>
      <c r="L1350" s="594"/>
      <c r="M1350" s="352">
        <v>2000</v>
      </c>
      <c r="N1350" s="352" t="s">
        <v>703</v>
      </c>
      <c r="O1350" s="460">
        <v>2124</v>
      </c>
      <c r="P1350" s="460" t="s">
        <v>767</v>
      </c>
      <c r="Q1350" s="460" t="s">
        <v>2280</v>
      </c>
      <c r="R1350" s="460">
        <v>2124</v>
      </c>
      <c r="S1350" s="460" t="s">
        <v>2277</v>
      </c>
      <c r="T1350" s="462">
        <v>1</v>
      </c>
      <c r="U1350" s="460" t="s">
        <v>2277</v>
      </c>
      <c r="V1350" s="475">
        <v>0</v>
      </c>
      <c r="W1350" s="463" t="s">
        <v>713</v>
      </c>
      <c r="X1350" s="463" t="s">
        <v>713</v>
      </c>
      <c r="Y1350" s="463" t="s">
        <v>713</v>
      </c>
      <c r="Z1350" s="463"/>
      <c r="AA1350" s="463"/>
      <c r="AB1350" s="464">
        <v>57.232045298288106</v>
      </c>
      <c r="AC1350" s="465">
        <v>0.99813192725031497</v>
      </c>
      <c r="AD1350" s="465">
        <v>2.9722174266027249E-4</v>
      </c>
      <c r="AE1350" s="476">
        <v>57.232045298288114</v>
      </c>
      <c r="AF1350" s="467">
        <v>0.99813192725031508</v>
      </c>
      <c r="AG1350" s="468">
        <v>2.9718140080724215E-4</v>
      </c>
      <c r="AH1350" s="218">
        <v>57.232045298288114</v>
      </c>
      <c r="AI1350" s="470">
        <v>0.99813192725031508</v>
      </c>
      <c r="AJ1350" s="471">
        <v>2.9719622458660832E-4</v>
      </c>
      <c r="AK1350" s="218">
        <v>57.232045298288114</v>
      </c>
      <c r="AL1350" s="470">
        <v>0.99813192725031508</v>
      </c>
      <c r="AM1350" s="471">
        <v>2.9719622458660832E-4</v>
      </c>
      <c r="AN1350" s="477">
        <v>57.232045298288114</v>
      </c>
      <c r="AO1350" s="473">
        <v>0.99813192725031508</v>
      </c>
      <c r="AP1350" s="474">
        <v>2.9719770653002163E-4</v>
      </c>
      <c r="AQ1350" s="352"/>
      <c r="AR1350" s="352"/>
      <c r="AS1350" s="352"/>
      <c r="AT1350" s="352"/>
      <c r="AU1350" s="352"/>
      <c r="AV1350" s="352"/>
      <c r="AW1350" s="352" t="s">
        <v>254</v>
      </c>
    </row>
    <row r="1351" spans="2:49" x14ac:dyDescent="0.2">
      <c r="B1351" s="460" t="s">
        <v>2767</v>
      </c>
      <c r="C1351" s="460">
        <v>2124</v>
      </c>
      <c r="D1351" s="460" t="s">
        <v>2284</v>
      </c>
      <c r="E1351" s="460" t="s">
        <v>2265</v>
      </c>
      <c r="F1351" s="460">
        <v>1</v>
      </c>
      <c r="G1351" s="460">
        <v>1</v>
      </c>
      <c r="H1351" s="461" t="s">
        <v>746</v>
      </c>
      <c r="I1351" s="461" t="s">
        <v>762</v>
      </c>
      <c r="J1351" s="461" t="s">
        <v>700</v>
      </c>
      <c r="K1351" s="594"/>
      <c r="L1351" s="594"/>
      <c r="M1351" s="352">
        <v>2000</v>
      </c>
      <c r="N1351" s="352" t="s">
        <v>703</v>
      </c>
      <c r="O1351" s="460">
        <v>2124</v>
      </c>
      <c r="P1351" s="460" t="s">
        <v>767</v>
      </c>
      <c r="Q1351" s="460" t="s">
        <v>2444</v>
      </c>
      <c r="R1351" s="460">
        <v>2124</v>
      </c>
      <c r="S1351" s="460" t="s">
        <v>2265</v>
      </c>
      <c r="T1351" s="462">
        <v>1</v>
      </c>
      <c r="U1351" s="460" t="s">
        <v>2265</v>
      </c>
      <c r="V1351" s="475">
        <v>0</v>
      </c>
      <c r="W1351" s="463" t="s">
        <v>2268</v>
      </c>
      <c r="X1351" s="463" t="s">
        <v>2268</v>
      </c>
      <c r="Y1351" s="463" t="s">
        <v>2290</v>
      </c>
      <c r="Z1351" s="463"/>
      <c r="AA1351" s="463"/>
      <c r="AB1351" s="464">
        <v>0</v>
      </c>
      <c r="AC1351" s="465">
        <v>0</v>
      </c>
      <c r="AD1351" s="465">
        <v>0</v>
      </c>
      <c r="AE1351" s="476">
        <v>0</v>
      </c>
      <c r="AF1351" s="467">
        <v>0</v>
      </c>
      <c r="AG1351" s="468">
        <v>0</v>
      </c>
      <c r="AH1351" s="218">
        <v>0</v>
      </c>
      <c r="AI1351" s="470">
        <v>0</v>
      </c>
      <c r="AJ1351" s="471">
        <v>0</v>
      </c>
      <c r="AK1351" s="218">
        <v>0</v>
      </c>
      <c r="AL1351" s="470">
        <v>0</v>
      </c>
      <c r="AM1351" s="471">
        <v>0</v>
      </c>
      <c r="AN1351" s="477">
        <v>0</v>
      </c>
      <c r="AO1351" s="473">
        <v>0</v>
      </c>
      <c r="AP1351" s="474">
        <v>0</v>
      </c>
      <c r="AQ1351" s="352"/>
      <c r="AR1351" s="352"/>
      <c r="AS1351" s="352"/>
      <c r="AT1351" s="352"/>
      <c r="AU1351" s="352"/>
      <c r="AV1351" s="352"/>
      <c r="AW1351" s="352" t="s">
        <v>254</v>
      </c>
    </row>
    <row r="1352" spans="2:49" x14ac:dyDescent="0.2">
      <c r="B1352" s="460" t="s">
        <v>2768</v>
      </c>
      <c r="C1352" s="460">
        <v>2124</v>
      </c>
      <c r="D1352" s="460" t="s">
        <v>2285</v>
      </c>
      <c r="E1352" s="460" t="s">
        <v>2271</v>
      </c>
      <c r="F1352" s="460">
        <v>2</v>
      </c>
      <c r="G1352" s="460">
        <v>1</v>
      </c>
      <c r="H1352" s="461" t="s">
        <v>746</v>
      </c>
      <c r="I1352" s="461" t="s">
        <v>762</v>
      </c>
      <c r="J1352" s="461" t="s">
        <v>700</v>
      </c>
      <c r="K1352" s="594"/>
      <c r="L1352" s="594"/>
      <c r="M1352" s="352">
        <v>2000</v>
      </c>
      <c r="N1352" s="352" t="s">
        <v>703</v>
      </c>
      <c r="O1352" s="460">
        <v>2124</v>
      </c>
      <c r="P1352" s="460" t="s">
        <v>767</v>
      </c>
      <c r="Q1352" s="460" t="s">
        <v>2444</v>
      </c>
      <c r="R1352" s="460">
        <v>2124</v>
      </c>
      <c r="S1352" s="460" t="s">
        <v>2265</v>
      </c>
      <c r="T1352" s="462">
        <v>1</v>
      </c>
      <c r="U1352" s="460" t="s">
        <v>2271</v>
      </c>
      <c r="V1352" s="475">
        <v>0</v>
      </c>
      <c r="W1352" s="463" t="s">
        <v>2268</v>
      </c>
      <c r="X1352" s="463" t="s">
        <v>2268</v>
      </c>
      <c r="Y1352" s="463" t="s">
        <v>2290</v>
      </c>
      <c r="Z1352" s="463"/>
      <c r="AA1352" s="463"/>
      <c r="AB1352" s="464">
        <v>0</v>
      </c>
      <c r="AC1352" s="465">
        <v>0</v>
      </c>
      <c r="AD1352" s="465">
        <v>0</v>
      </c>
      <c r="AE1352" s="476">
        <v>0</v>
      </c>
      <c r="AF1352" s="467">
        <v>0</v>
      </c>
      <c r="AG1352" s="468">
        <v>0</v>
      </c>
      <c r="AH1352" s="218">
        <v>0</v>
      </c>
      <c r="AI1352" s="470">
        <v>0</v>
      </c>
      <c r="AJ1352" s="471">
        <v>0</v>
      </c>
      <c r="AK1352" s="218">
        <v>0</v>
      </c>
      <c r="AL1352" s="470">
        <v>0</v>
      </c>
      <c r="AM1352" s="471">
        <v>0</v>
      </c>
      <c r="AN1352" s="477">
        <v>0</v>
      </c>
      <c r="AO1352" s="473">
        <v>0</v>
      </c>
      <c r="AP1352" s="474">
        <v>0</v>
      </c>
      <c r="AQ1352" s="352"/>
      <c r="AR1352" s="352"/>
      <c r="AS1352" s="352"/>
      <c r="AT1352" s="352"/>
      <c r="AU1352" s="352"/>
      <c r="AV1352" s="352"/>
      <c r="AW1352" s="352" t="s">
        <v>254</v>
      </c>
    </row>
    <row r="1353" spans="2:49" x14ac:dyDescent="0.2">
      <c r="B1353" s="460" t="s">
        <v>2769</v>
      </c>
      <c r="C1353" s="460">
        <v>2124</v>
      </c>
      <c r="D1353" s="460" t="s">
        <v>2286</v>
      </c>
      <c r="E1353" s="460" t="s">
        <v>2274</v>
      </c>
      <c r="F1353" s="460">
        <v>3</v>
      </c>
      <c r="G1353" s="460">
        <v>1</v>
      </c>
      <c r="H1353" s="461" t="s">
        <v>746</v>
      </c>
      <c r="I1353" s="461" t="s">
        <v>762</v>
      </c>
      <c r="J1353" s="461" t="s">
        <v>700</v>
      </c>
      <c r="K1353" s="594"/>
      <c r="L1353" s="594"/>
      <c r="M1353" s="352">
        <v>2000</v>
      </c>
      <c r="N1353" s="352" t="s">
        <v>703</v>
      </c>
      <c r="O1353" s="460">
        <v>2124</v>
      </c>
      <c r="P1353" s="460" t="s">
        <v>767</v>
      </c>
      <c r="Q1353" s="460" t="s">
        <v>2444</v>
      </c>
      <c r="R1353" s="460">
        <v>2124</v>
      </c>
      <c r="S1353" s="460" t="s">
        <v>2265</v>
      </c>
      <c r="T1353" s="462">
        <v>0.74223365950407583</v>
      </c>
      <c r="U1353" s="460" t="s">
        <v>2274</v>
      </c>
      <c r="V1353" s="475">
        <v>0</v>
      </c>
      <c r="W1353" s="463" t="s">
        <v>2268</v>
      </c>
      <c r="X1353" s="463" t="s">
        <v>2268</v>
      </c>
      <c r="Y1353" s="463" t="s">
        <v>2290</v>
      </c>
      <c r="Z1353" s="463"/>
      <c r="AA1353" s="463"/>
      <c r="AB1353" s="464">
        <v>0</v>
      </c>
      <c r="AC1353" s="465">
        <v>0</v>
      </c>
      <c r="AD1353" s="465">
        <v>0</v>
      </c>
      <c r="AE1353" s="476">
        <v>0</v>
      </c>
      <c r="AF1353" s="467">
        <v>0</v>
      </c>
      <c r="AG1353" s="468">
        <v>0</v>
      </c>
      <c r="AH1353" s="218">
        <v>0</v>
      </c>
      <c r="AI1353" s="470">
        <v>0</v>
      </c>
      <c r="AJ1353" s="471">
        <v>0</v>
      </c>
      <c r="AK1353" s="218">
        <v>0</v>
      </c>
      <c r="AL1353" s="470">
        <v>0</v>
      </c>
      <c r="AM1353" s="471">
        <v>0</v>
      </c>
      <c r="AN1353" s="477">
        <v>0</v>
      </c>
      <c r="AO1353" s="473">
        <v>0</v>
      </c>
      <c r="AP1353" s="474">
        <v>0</v>
      </c>
      <c r="AQ1353" s="352"/>
      <c r="AR1353" s="352"/>
      <c r="AS1353" s="352"/>
      <c r="AT1353" s="352"/>
      <c r="AU1353" s="352"/>
      <c r="AV1353" s="352"/>
      <c r="AW1353" s="352" t="s">
        <v>254</v>
      </c>
    </row>
    <row r="1354" spans="2:49" x14ac:dyDescent="0.2">
      <c r="B1354" s="460" t="s">
        <v>2770</v>
      </c>
      <c r="C1354" s="460">
        <v>2124</v>
      </c>
      <c r="D1354" s="460" t="s">
        <v>2287</v>
      </c>
      <c r="E1354" s="460" t="s">
        <v>2277</v>
      </c>
      <c r="F1354" s="460">
        <v>4</v>
      </c>
      <c r="G1354" s="460">
        <v>1</v>
      </c>
      <c r="H1354" s="461" t="s">
        <v>746</v>
      </c>
      <c r="I1354" s="461" t="s">
        <v>762</v>
      </c>
      <c r="J1354" s="461" t="s">
        <v>700</v>
      </c>
      <c r="K1354" s="594"/>
      <c r="L1354" s="594"/>
      <c r="M1354" s="352">
        <v>2000</v>
      </c>
      <c r="N1354" s="352" t="s">
        <v>703</v>
      </c>
      <c r="O1354" s="460">
        <v>2124</v>
      </c>
      <c r="P1354" s="460" t="s">
        <v>767</v>
      </c>
      <c r="Q1354" s="460" t="s">
        <v>2444</v>
      </c>
      <c r="R1354" s="460">
        <v>2124</v>
      </c>
      <c r="S1354" s="460" t="s">
        <v>2277</v>
      </c>
      <c r="T1354" s="462">
        <v>1</v>
      </c>
      <c r="U1354" s="460" t="s">
        <v>2277</v>
      </c>
      <c r="V1354" s="475">
        <v>0</v>
      </c>
      <c r="W1354" s="463" t="s">
        <v>2268</v>
      </c>
      <c r="X1354" s="463" t="s">
        <v>2268</v>
      </c>
      <c r="Y1354" s="463" t="s">
        <v>2290</v>
      </c>
      <c r="Z1354" s="463"/>
      <c r="AA1354" s="463"/>
      <c r="AB1354" s="464">
        <v>0</v>
      </c>
      <c r="AC1354" s="465">
        <v>0</v>
      </c>
      <c r="AD1354" s="465">
        <v>0</v>
      </c>
      <c r="AE1354" s="476">
        <v>0</v>
      </c>
      <c r="AF1354" s="467">
        <v>0</v>
      </c>
      <c r="AG1354" s="468">
        <v>0</v>
      </c>
      <c r="AH1354" s="218">
        <v>0</v>
      </c>
      <c r="AI1354" s="470">
        <v>0</v>
      </c>
      <c r="AJ1354" s="471">
        <v>0</v>
      </c>
      <c r="AK1354" s="218">
        <v>0</v>
      </c>
      <c r="AL1354" s="470">
        <v>0</v>
      </c>
      <c r="AM1354" s="471">
        <v>0</v>
      </c>
      <c r="AN1354" s="477">
        <v>0</v>
      </c>
      <c r="AO1354" s="473">
        <v>0</v>
      </c>
      <c r="AP1354" s="474">
        <v>0</v>
      </c>
      <c r="AQ1354" s="352"/>
      <c r="AR1354" s="352"/>
      <c r="AS1354" s="352"/>
      <c r="AT1354" s="352"/>
      <c r="AU1354" s="352"/>
      <c r="AV1354" s="352"/>
      <c r="AW1354" s="352" t="s">
        <v>254</v>
      </c>
    </row>
    <row r="1355" spans="2:49" x14ac:dyDescent="0.2">
      <c r="B1355" s="460" t="s">
        <v>2767</v>
      </c>
      <c r="C1355" s="460">
        <v>2124</v>
      </c>
      <c r="D1355" s="460" t="s">
        <v>2288</v>
      </c>
      <c r="E1355" s="460" t="s">
        <v>2265</v>
      </c>
      <c r="F1355" s="460">
        <v>1</v>
      </c>
      <c r="G1355" s="460">
        <v>1</v>
      </c>
      <c r="H1355" s="461" t="s">
        <v>748</v>
      </c>
      <c r="I1355" s="461" t="s">
        <v>765</v>
      </c>
      <c r="J1355" s="461" t="s">
        <v>700</v>
      </c>
      <c r="K1355" s="594"/>
      <c r="L1355" s="594"/>
      <c r="M1355" s="352">
        <v>2000</v>
      </c>
      <c r="N1355" s="352" t="s">
        <v>703</v>
      </c>
      <c r="O1355" s="460">
        <v>2124</v>
      </c>
      <c r="P1355" s="460" t="s">
        <v>767</v>
      </c>
      <c r="Q1355" s="460" t="s">
        <v>2440</v>
      </c>
      <c r="R1355" s="460">
        <v>2124</v>
      </c>
      <c r="S1355" s="460" t="s">
        <v>2265</v>
      </c>
      <c r="T1355" s="462">
        <v>1</v>
      </c>
      <c r="U1355" s="460" t="s">
        <v>2265</v>
      </c>
      <c r="V1355" s="475">
        <v>0</v>
      </c>
      <c r="W1355" s="463" t="s">
        <v>2268</v>
      </c>
      <c r="X1355" s="463" t="s">
        <v>2268</v>
      </c>
      <c r="Y1355" s="463" t="s">
        <v>2267</v>
      </c>
      <c r="Z1355" s="463"/>
      <c r="AA1355" s="463"/>
      <c r="AB1355" s="464">
        <v>0</v>
      </c>
      <c r="AC1355" s="465">
        <v>0</v>
      </c>
      <c r="AD1355" s="465">
        <v>0</v>
      </c>
      <c r="AE1355" s="476">
        <v>0</v>
      </c>
      <c r="AF1355" s="467">
        <v>0</v>
      </c>
      <c r="AG1355" s="468">
        <v>0</v>
      </c>
      <c r="AH1355" s="218">
        <v>0</v>
      </c>
      <c r="AI1355" s="470">
        <v>0</v>
      </c>
      <c r="AJ1355" s="471">
        <v>0</v>
      </c>
      <c r="AK1355" s="218">
        <v>0</v>
      </c>
      <c r="AL1355" s="470">
        <v>0</v>
      </c>
      <c r="AM1355" s="471">
        <v>0</v>
      </c>
      <c r="AN1355" s="477">
        <v>85.539213214254886</v>
      </c>
      <c r="AO1355" s="473">
        <v>0.67460123833071528</v>
      </c>
      <c r="AP1355" s="474">
        <v>5.3120374984343592E-3</v>
      </c>
      <c r="AQ1355" s="352"/>
      <c r="AR1355" s="352"/>
      <c r="AS1355" s="352"/>
      <c r="AT1355" s="352"/>
      <c r="AU1355" s="352"/>
      <c r="AV1355" s="352"/>
      <c r="AW1355" s="352" t="s">
        <v>254</v>
      </c>
    </row>
    <row r="1356" spans="2:49" x14ac:dyDescent="0.2">
      <c r="B1356" s="460" t="s">
        <v>2768</v>
      </c>
      <c r="C1356" s="460">
        <v>2124</v>
      </c>
      <c r="D1356" s="460" t="s">
        <v>2291</v>
      </c>
      <c r="E1356" s="460" t="s">
        <v>2271</v>
      </c>
      <c r="F1356" s="460">
        <v>2</v>
      </c>
      <c r="G1356" s="460">
        <v>1</v>
      </c>
      <c r="H1356" s="461" t="s">
        <v>748</v>
      </c>
      <c r="I1356" s="461" t="s">
        <v>765</v>
      </c>
      <c r="J1356" s="461" t="s">
        <v>700</v>
      </c>
      <c r="K1356" s="594"/>
      <c r="L1356" s="594"/>
      <c r="M1356" s="352">
        <v>2000</v>
      </c>
      <c r="N1356" s="352" t="s">
        <v>703</v>
      </c>
      <c r="O1356" s="460">
        <v>2124</v>
      </c>
      <c r="P1356" s="460" t="s">
        <v>767</v>
      </c>
      <c r="Q1356" s="460" t="s">
        <v>2440</v>
      </c>
      <c r="R1356" s="460">
        <v>2124</v>
      </c>
      <c r="S1356" s="460" t="s">
        <v>2265</v>
      </c>
      <c r="T1356" s="462">
        <v>1</v>
      </c>
      <c r="U1356" s="460" t="s">
        <v>2271</v>
      </c>
      <c r="V1356" s="475">
        <v>0</v>
      </c>
      <c r="W1356" s="463" t="s">
        <v>2268</v>
      </c>
      <c r="X1356" s="463" t="s">
        <v>2268</v>
      </c>
      <c r="Y1356" s="463" t="s">
        <v>2267</v>
      </c>
      <c r="Z1356" s="463"/>
      <c r="AA1356" s="463"/>
      <c r="AB1356" s="464">
        <v>0</v>
      </c>
      <c r="AC1356" s="465">
        <v>0</v>
      </c>
      <c r="AD1356" s="465">
        <v>0</v>
      </c>
      <c r="AE1356" s="476">
        <v>0</v>
      </c>
      <c r="AF1356" s="467">
        <v>0</v>
      </c>
      <c r="AG1356" s="468">
        <v>0</v>
      </c>
      <c r="AH1356" s="218">
        <v>0</v>
      </c>
      <c r="AI1356" s="470">
        <v>0</v>
      </c>
      <c r="AJ1356" s="471">
        <v>0</v>
      </c>
      <c r="AK1356" s="218">
        <v>0</v>
      </c>
      <c r="AL1356" s="470">
        <v>0</v>
      </c>
      <c r="AM1356" s="471">
        <v>0</v>
      </c>
      <c r="AN1356" s="477">
        <v>102.60398484101644</v>
      </c>
      <c r="AO1356" s="473">
        <v>0.67460123833071528</v>
      </c>
      <c r="AP1356" s="474">
        <v>6.5260317862358081E-3</v>
      </c>
      <c r="AQ1356" s="352"/>
      <c r="AR1356" s="352"/>
      <c r="AS1356" s="352"/>
      <c r="AT1356" s="352"/>
      <c r="AU1356" s="352"/>
      <c r="AV1356" s="352"/>
      <c r="AW1356" s="352" t="s">
        <v>254</v>
      </c>
    </row>
    <row r="1357" spans="2:49" x14ac:dyDescent="0.2">
      <c r="B1357" s="460" t="s">
        <v>2769</v>
      </c>
      <c r="C1357" s="460">
        <v>2124</v>
      </c>
      <c r="D1357" s="460" t="s">
        <v>2292</v>
      </c>
      <c r="E1357" s="460" t="s">
        <v>2274</v>
      </c>
      <c r="F1357" s="460">
        <v>3</v>
      </c>
      <c r="G1357" s="460">
        <v>1</v>
      </c>
      <c r="H1357" s="461" t="s">
        <v>748</v>
      </c>
      <c r="I1357" s="461" t="s">
        <v>765</v>
      </c>
      <c r="J1357" s="461" t="s">
        <v>700</v>
      </c>
      <c r="K1357" s="594"/>
      <c r="L1357" s="594"/>
      <c r="M1357" s="352">
        <v>2000</v>
      </c>
      <c r="N1357" s="352" t="s">
        <v>703</v>
      </c>
      <c r="O1357" s="460">
        <v>2124</v>
      </c>
      <c r="P1357" s="460" t="s">
        <v>767</v>
      </c>
      <c r="Q1357" s="460" t="s">
        <v>2440</v>
      </c>
      <c r="R1357" s="460">
        <v>2124</v>
      </c>
      <c r="S1357" s="460" t="s">
        <v>2265</v>
      </c>
      <c r="T1357" s="462">
        <v>0.74223365950407583</v>
      </c>
      <c r="U1357" s="460" t="s">
        <v>2274</v>
      </c>
      <c r="V1357" s="475">
        <v>0</v>
      </c>
      <c r="W1357" s="463" t="s">
        <v>2268</v>
      </c>
      <c r="X1357" s="463" t="s">
        <v>2268</v>
      </c>
      <c r="Y1357" s="463" t="s">
        <v>2267</v>
      </c>
      <c r="Z1357" s="463"/>
      <c r="AA1357" s="463"/>
      <c r="AB1357" s="464">
        <v>0</v>
      </c>
      <c r="AC1357" s="465">
        <v>0</v>
      </c>
      <c r="AD1357" s="465">
        <v>0</v>
      </c>
      <c r="AE1357" s="476">
        <v>0</v>
      </c>
      <c r="AF1357" s="467">
        <v>0</v>
      </c>
      <c r="AG1357" s="468">
        <v>0</v>
      </c>
      <c r="AH1357" s="218">
        <v>0</v>
      </c>
      <c r="AI1357" s="470">
        <v>0</v>
      </c>
      <c r="AJ1357" s="471">
        <v>0</v>
      </c>
      <c r="AK1357" s="218">
        <v>0</v>
      </c>
      <c r="AL1357" s="470">
        <v>0</v>
      </c>
      <c r="AM1357" s="471">
        <v>0</v>
      </c>
      <c r="AN1357" s="477">
        <v>34.54781732341781</v>
      </c>
      <c r="AO1357" s="473">
        <v>0.50071174583218803</v>
      </c>
      <c r="AP1357" s="474">
        <v>4.8642217603264044E-3</v>
      </c>
      <c r="AQ1357" s="352"/>
      <c r="AR1357" s="352"/>
      <c r="AS1357" s="352"/>
      <c r="AT1357" s="352"/>
      <c r="AU1357" s="352"/>
      <c r="AV1357" s="352"/>
      <c r="AW1357" s="352" t="s">
        <v>254</v>
      </c>
    </row>
    <row r="1358" spans="2:49" x14ac:dyDescent="0.2">
      <c r="B1358" s="460" t="s">
        <v>2770</v>
      </c>
      <c r="C1358" s="460">
        <v>2124</v>
      </c>
      <c r="D1358" s="460" t="s">
        <v>2293</v>
      </c>
      <c r="E1358" s="460" t="s">
        <v>2277</v>
      </c>
      <c r="F1358" s="460">
        <v>4</v>
      </c>
      <c r="G1358" s="460">
        <v>1</v>
      </c>
      <c r="H1358" s="461" t="s">
        <v>748</v>
      </c>
      <c r="I1358" s="461" t="s">
        <v>765</v>
      </c>
      <c r="J1358" s="461" t="s">
        <v>700</v>
      </c>
      <c r="K1358" s="594"/>
      <c r="L1358" s="594"/>
      <c r="M1358" s="352">
        <v>2000</v>
      </c>
      <c r="N1358" s="352" t="s">
        <v>703</v>
      </c>
      <c r="O1358" s="460">
        <v>2124</v>
      </c>
      <c r="P1358" s="460" t="s">
        <v>767</v>
      </c>
      <c r="Q1358" s="460" t="s">
        <v>2440</v>
      </c>
      <c r="R1358" s="460">
        <v>2124</v>
      </c>
      <c r="S1358" s="460" t="s">
        <v>2277</v>
      </c>
      <c r="T1358" s="462">
        <v>1</v>
      </c>
      <c r="U1358" s="460" t="s">
        <v>2277</v>
      </c>
      <c r="V1358" s="475">
        <v>0</v>
      </c>
      <c r="W1358" s="463" t="s">
        <v>2268</v>
      </c>
      <c r="X1358" s="463" t="s">
        <v>2268</v>
      </c>
      <c r="Y1358" s="463" t="s">
        <v>2278</v>
      </c>
      <c r="Z1358" s="463"/>
      <c r="AA1358" s="463"/>
      <c r="AB1358" s="464">
        <v>0</v>
      </c>
      <c r="AC1358" s="465">
        <v>0</v>
      </c>
      <c r="AD1358" s="465">
        <v>0</v>
      </c>
      <c r="AE1358" s="476">
        <v>0</v>
      </c>
      <c r="AF1358" s="467">
        <v>0</v>
      </c>
      <c r="AG1358" s="468">
        <v>0</v>
      </c>
      <c r="AH1358" s="218">
        <v>0</v>
      </c>
      <c r="AI1358" s="470">
        <v>0</v>
      </c>
      <c r="AJ1358" s="471">
        <v>0</v>
      </c>
      <c r="AK1358" s="218">
        <v>0</v>
      </c>
      <c r="AL1358" s="470">
        <v>0</v>
      </c>
      <c r="AM1358" s="471">
        <v>0</v>
      </c>
      <c r="AN1358" s="477">
        <v>0.10711372045276246</v>
      </c>
      <c r="AO1358" s="473">
        <v>1.8680727496849605E-3</v>
      </c>
      <c r="AP1358" s="474">
        <v>2.586385924270327E-3</v>
      </c>
      <c r="AQ1358" s="352"/>
      <c r="AR1358" s="352"/>
      <c r="AS1358" s="352"/>
      <c r="AT1358" s="352"/>
      <c r="AU1358" s="352"/>
      <c r="AV1358" s="352"/>
      <c r="AW1358" s="352" t="s">
        <v>254</v>
      </c>
    </row>
    <row r="1359" spans="2:49" x14ac:dyDescent="0.2">
      <c r="B1359" s="460" t="s">
        <v>2771</v>
      </c>
      <c r="C1359" s="460">
        <v>2124</v>
      </c>
      <c r="D1359" s="460" t="s">
        <v>2295</v>
      </c>
      <c r="E1359" s="460" t="s">
        <v>2296</v>
      </c>
      <c r="F1359" s="460">
        <v>1</v>
      </c>
      <c r="G1359" s="460">
        <v>2</v>
      </c>
      <c r="H1359" s="461" t="s">
        <v>700</v>
      </c>
      <c r="I1359" s="461" t="s">
        <v>872</v>
      </c>
      <c r="J1359" s="461" t="s">
        <v>700</v>
      </c>
      <c r="K1359" s="594"/>
      <c r="L1359" s="594"/>
      <c r="M1359" s="352">
        <v>2000</v>
      </c>
      <c r="N1359" s="352" t="s">
        <v>703</v>
      </c>
      <c r="O1359" s="460">
        <v>2124</v>
      </c>
      <c r="P1359" s="460" t="s">
        <v>767</v>
      </c>
      <c r="Q1359" s="460" t="s">
        <v>2440</v>
      </c>
      <c r="R1359" s="460">
        <v>2124</v>
      </c>
      <c r="S1359" s="460" t="s">
        <v>2296</v>
      </c>
      <c r="T1359" s="462">
        <v>1</v>
      </c>
      <c r="U1359" s="460" t="s">
        <v>2296</v>
      </c>
      <c r="V1359" s="475">
        <v>0</v>
      </c>
      <c r="W1359" s="463" t="s">
        <v>2267</v>
      </c>
      <c r="X1359" s="463" t="s">
        <v>2267</v>
      </c>
      <c r="Y1359" s="463" t="s">
        <v>2268</v>
      </c>
      <c r="Z1359" s="463"/>
      <c r="AA1359" s="463"/>
      <c r="AB1359" s="464">
        <v>9.1051882934292809</v>
      </c>
      <c r="AC1359" s="465">
        <v>0.29675372014575258</v>
      </c>
      <c r="AD1359" s="465">
        <v>5.3186797609697364E-4</v>
      </c>
      <c r="AE1359" s="476">
        <v>9.1051882934292809</v>
      </c>
      <c r="AF1359" s="467">
        <v>0.29675372014575258</v>
      </c>
      <c r="AG1359" s="468">
        <v>5.91200228533541E-4</v>
      </c>
      <c r="AH1359" s="218">
        <v>9.1051882934292809</v>
      </c>
      <c r="AI1359" s="470">
        <v>0.29675372014575258</v>
      </c>
      <c r="AJ1359" s="471">
        <v>5.4315492371407887E-4</v>
      </c>
      <c r="AK1359" s="218">
        <v>9.1051882934292809</v>
      </c>
      <c r="AL1359" s="470">
        <v>0.29675372014575258</v>
      </c>
      <c r="AM1359" s="471">
        <v>5.4315492371407887E-4</v>
      </c>
      <c r="AN1359" s="477">
        <v>0</v>
      </c>
      <c r="AO1359" s="473">
        <v>0</v>
      </c>
      <c r="AP1359" s="474">
        <v>0</v>
      </c>
      <c r="AQ1359" s="352"/>
      <c r="AR1359" s="352"/>
      <c r="AS1359" s="352"/>
      <c r="AT1359" s="352"/>
      <c r="AU1359" s="352"/>
      <c r="AV1359" s="352"/>
      <c r="AW1359" s="352" t="s">
        <v>254</v>
      </c>
    </row>
    <row r="1360" spans="2:49" x14ac:dyDescent="0.2">
      <c r="B1360" s="460" t="s">
        <v>2772</v>
      </c>
      <c r="C1360" s="460">
        <v>2124</v>
      </c>
      <c r="D1360" s="460" t="s">
        <v>2298</v>
      </c>
      <c r="E1360" s="460" t="s">
        <v>2299</v>
      </c>
      <c r="F1360" s="460">
        <v>2</v>
      </c>
      <c r="G1360" s="460">
        <v>2</v>
      </c>
      <c r="H1360" s="461" t="s">
        <v>700</v>
      </c>
      <c r="I1360" s="461" t="s">
        <v>872</v>
      </c>
      <c r="J1360" s="461" t="s">
        <v>700</v>
      </c>
      <c r="K1360" s="594"/>
      <c r="L1360" s="594"/>
      <c r="M1360" s="352">
        <v>2000</v>
      </c>
      <c r="N1360" s="352" t="s">
        <v>703</v>
      </c>
      <c r="O1360" s="460">
        <v>2124</v>
      </c>
      <c r="P1360" s="460" t="s">
        <v>767</v>
      </c>
      <c r="Q1360" s="460" t="s">
        <v>2440</v>
      </c>
      <c r="R1360" s="460">
        <v>2124</v>
      </c>
      <c r="S1360" s="460" t="s">
        <v>2296</v>
      </c>
      <c r="T1360" s="462">
        <v>0.55517361979372948</v>
      </c>
      <c r="U1360" s="460" t="s">
        <v>2299</v>
      </c>
      <c r="V1360" s="475">
        <v>0</v>
      </c>
      <c r="W1360" s="463" t="s">
        <v>2267</v>
      </c>
      <c r="X1360" s="463" t="s">
        <v>2267</v>
      </c>
      <c r="Y1360" s="463" t="s">
        <v>2268</v>
      </c>
      <c r="Z1360" s="463"/>
      <c r="AA1360" s="463"/>
      <c r="AB1360" s="464">
        <v>2.9506092207441239</v>
      </c>
      <c r="AC1360" s="465">
        <v>0.14200625763379898</v>
      </c>
      <c r="AD1360" s="465">
        <v>8.9279366726913222E-4</v>
      </c>
      <c r="AE1360" s="476">
        <v>2.9506092207441239</v>
      </c>
      <c r="AF1360" s="467">
        <v>0.14200625763379898</v>
      </c>
      <c r="AG1360" s="468">
        <v>1.001886830335652E-3</v>
      </c>
      <c r="AH1360" s="218">
        <v>3.4231758252763207</v>
      </c>
      <c r="AI1360" s="470">
        <v>0.16474983700057283</v>
      </c>
      <c r="AJ1360" s="471">
        <v>8.0611538646255449E-4</v>
      </c>
      <c r="AK1360" s="218">
        <v>3.4231758252763207</v>
      </c>
      <c r="AL1360" s="470">
        <v>0.16474983700057283</v>
      </c>
      <c r="AM1360" s="471">
        <v>8.0611538646255449E-4</v>
      </c>
      <c r="AN1360" s="477">
        <v>0</v>
      </c>
      <c r="AO1360" s="473">
        <v>0</v>
      </c>
      <c r="AP1360" s="474">
        <v>0</v>
      </c>
      <c r="AQ1360" s="352"/>
      <c r="AR1360" s="352"/>
      <c r="AS1360" s="352"/>
      <c r="AT1360" s="352"/>
      <c r="AU1360" s="352"/>
      <c r="AV1360" s="352"/>
      <c r="AW1360" s="352" t="s">
        <v>254</v>
      </c>
    </row>
    <row r="1361" spans="2:49" x14ac:dyDescent="0.2">
      <c r="B1361" s="460" t="s">
        <v>2773</v>
      </c>
      <c r="C1361" s="460">
        <v>2124</v>
      </c>
      <c r="D1361" s="460" t="s">
        <v>2301</v>
      </c>
      <c r="E1361" s="460" t="s">
        <v>2302</v>
      </c>
      <c r="F1361" s="460">
        <v>3</v>
      </c>
      <c r="G1361" s="460">
        <v>2</v>
      </c>
      <c r="H1361" s="461" t="s">
        <v>700</v>
      </c>
      <c r="I1361" s="461" t="s">
        <v>872</v>
      </c>
      <c r="J1361" s="461" t="s">
        <v>700</v>
      </c>
      <c r="K1361" s="594"/>
      <c r="L1361" s="594"/>
      <c r="M1361" s="352">
        <v>2000</v>
      </c>
      <c r="N1361" s="352" t="s">
        <v>703</v>
      </c>
      <c r="O1361" s="460">
        <v>2124</v>
      </c>
      <c r="P1361" s="460" t="s">
        <v>767</v>
      </c>
      <c r="Q1361" s="460" t="s">
        <v>2440</v>
      </c>
      <c r="R1361" s="460">
        <v>2124</v>
      </c>
      <c r="S1361" s="460" t="s">
        <v>2296</v>
      </c>
      <c r="T1361" s="462">
        <v>0.28481449642268464</v>
      </c>
      <c r="U1361" s="460" t="s">
        <v>2302</v>
      </c>
      <c r="V1361" s="475">
        <v>0</v>
      </c>
      <c r="W1361" s="463" t="s">
        <v>2267</v>
      </c>
      <c r="X1361" s="463" t="s">
        <v>2267</v>
      </c>
      <c r="Y1361" s="463" t="s">
        <v>2268</v>
      </c>
      <c r="Z1361" s="463"/>
      <c r="AA1361" s="463"/>
      <c r="AB1361" s="464">
        <v>0.22143218989511673</v>
      </c>
      <c r="AC1361" s="465">
        <v>1.7957702831806813E-2</v>
      </c>
      <c r="AD1361" s="465">
        <v>4.3071613543601357E-4</v>
      </c>
      <c r="AE1361" s="476">
        <v>0.22143218989511673</v>
      </c>
      <c r="AF1361" s="467">
        <v>1.7957702831806813E-2</v>
      </c>
      <c r="AG1361" s="468">
        <v>4.8603665573461946E-4</v>
      </c>
      <c r="AH1361" s="218">
        <v>1.0421932038705517</v>
      </c>
      <c r="AI1361" s="470">
        <v>8.4519761364870799E-2</v>
      </c>
      <c r="AJ1361" s="471">
        <v>1.0819204857098804E-3</v>
      </c>
      <c r="AK1361" s="218">
        <v>1.0421932038705517</v>
      </c>
      <c r="AL1361" s="470">
        <v>8.4519761364870799E-2</v>
      </c>
      <c r="AM1361" s="471">
        <v>1.0819204857098804E-3</v>
      </c>
      <c r="AN1361" s="477">
        <v>0</v>
      </c>
      <c r="AO1361" s="473">
        <v>0</v>
      </c>
      <c r="AP1361" s="474">
        <v>0</v>
      </c>
      <c r="AQ1361" s="352"/>
      <c r="AR1361" s="352"/>
      <c r="AS1361" s="352"/>
      <c r="AT1361" s="352"/>
      <c r="AU1361" s="352"/>
      <c r="AV1361" s="352"/>
      <c r="AW1361" s="352" t="s">
        <v>254</v>
      </c>
    </row>
    <row r="1362" spans="2:49" x14ac:dyDescent="0.2">
      <c r="B1362" s="460" t="s">
        <v>2774</v>
      </c>
      <c r="C1362" s="460">
        <v>2124</v>
      </c>
      <c r="D1362" s="460" t="s">
        <v>2304</v>
      </c>
      <c r="E1362" s="460" t="s">
        <v>2305</v>
      </c>
      <c r="F1362" s="460">
        <v>4</v>
      </c>
      <c r="G1362" s="460">
        <v>2</v>
      </c>
      <c r="H1362" s="461" t="s">
        <v>700</v>
      </c>
      <c r="I1362" s="461" t="s">
        <v>872</v>
      </c>
      <c r="J1362" s="461" t="s">
        <v>700</v>
      </c>
      <c r="K1362" s="594"/>
      <c r="L1362" s="594"/>
      <c r="M1362" s="352">
        <v>2000</v>
      </c>
      <c r="N1362" s="352" t="s">
        <v>703</v>
      </c>
      <c r="O1362" s="460">
        <v>2124</v>
      </c>
      <c r="P1362" s="460" t="s">
        <v>767</v>
      </c>
      <c r="Q1362" s="460" t="s">
        <v>2440</v>
      </c>
      <c r="R1362" s="460">
        <v>2124</v>
      </c>
      <c r="S1362" s="460" t="s">
        <v>2305</v>
      </c>
      <c r="T1362" s="462">
        <v>1</v>
      </c>
      <c r="U1362" s="460" t="s">
        <v>2305</v>
      </c>
      <c r="V1362" s="475">
        <v>0</v>
      </c>
      <c r="W1362" s="463" t="s">
        <v>2278</v>
      </c>
      <c r="X1362" s="463" t="s">
        <v>2278</v>
      </c>
      <c r="Y1362" s="463" t="s">
        <v>2268</v>
      </c>
      <c r="Z1362" s="463"/>
      <c r="AA1362" s="463"/>
      <c r="AB1362" s="464">
        <v>0</v>
      </c>
      <c r="AC1362" s="465">
        <v>0</v>
      </c>
      <c r="AD1362" s="465">
        <v>0</v>
      </c>
      <c r="AE1362" s="476">
        <v>0</v>
      </c>
      <c r="AF1362" s="467">
        <v>0</v>
      </c>
      <c r="AG1362" s="468">
        <v>0</v>
      </c>
      <c r="AH1362" s="218">
        <v>0</v>
      </c>
      <c r="AI1362" s="470">
        <v>0</v>
      </c>
      <c r="AJ1362" s="471">
        <v>0</v>
      </c>
      <c r="AK1362" s="218">
        <v>0</v>
      </c>
      <c r="AL1362" s="470">
        <v>0</v>
      </c>
      <c r="AM1362" s="471">
        <v>0</v>
      </c>
      <c r="AN1362" s="477">
        <v>0</v>
      </c>
      <c r="AO1362" s="473">
        <v>0</v>
      </c>
      <c r="AP1362" s="474">
        <v>0</v>
      </c>
      <c r="AQ1362" s="352"/>
      <c r="AR1362" s="352"/>
      <c r="AS1362" s="352"/>
      <c r="AT1362" s="352"/>
      <c r="AU1362" s="352"/>
      <c r="AV1362" s="352"/>
      <c r="AW1362" s="352" t="s">
        <v>254</v>
      </c>
    </row>
    <row r="1363" spans="2:49" x14ac:dyDescent="0.2">
      <c r="B1363" s="460" t="s">
        <v>2771</v>
      </c>
      <c r="C1363" s="460">
        <v>2124</v>
      </c>
      <c r="D1363" s="460" t="s">
        <v>2306</v>
      </c>
      <c r="E1363" s="460" t="s">
        <v>2296</v>
      </c>
      <c r="F1363" s="460">
        <v>1</v>
      </c>
      <c r="G1363" s="460">
        <v>2</v>
      </c>
      <c r="H1363" s="461" t="s">
        <v>712</v>
      </c>
      <c r="I1363" s="461" t="s">
        <v>713</v>
      </c>
      <c r="J1363" s="461" t="s">
        <v>712</v>
      </c>
      <c r="K1363" s="594"/>
      <c r="L1363" s="594"/>
      <c r="M1363" s="352">
        <v>2000</v>
      </c>
      <c r="N1363" s="352" t="s">
        <v>703</v>
      </c>
      <c r="O1363" s="460">
        <v>2124</v>
      </c>
      <c r="P1363" s="460" t="s">
        <v>767</v>
      </c>
      <c r="Q1363" s="460" t="s">
        <v>2280</v>
      </c>
      <c r="R1363" s="460">
        <v>2124</v>
      </c>
      <c r="S1363" s="460" t="s">
        <v>2296</v>
      </c>
      <c r="T1363" s="462">
        <v>1</v>
      </c>
      <c r="U1363" s="460" t="s">
        <v>2296</v>
      </c>
      <c r="V1363" s="475">
        <v>0</v>
      </c>
      <c r="W1363" s="463" t="s">
        <v>713</v>
      </c>
      <c r="X1363" s="463" t="s">
        <v>713</v>
      </c>
      <c r="Y1363" s="463" t="s">
        <v>713</v>
      </c>
      <c r="Z1363" s="463"/>
      <c r="AA1363" s="463"/>
      <c r="AB1363" s="464">
        <v>21.57745416496082</v>
      </c>
      <c r="AC1363" s="465">
        <v>0.70324627985424748</v>
      </c>
      <c r="AD1363" s="465">
        <v>1.8662290216948981E-4</v>
      </c>
      <c r="AE1363" s="476">
        <v>21.577454164960816</v>
      </c>
      <c r="AF1363" s="467">
        <v>0.70324627985424737</v>
      </c>
      <c r="AG1363" s="468">
        <v>1.83890371419781E-4</v>
      </c>
      <c r="AH1363" s="218">
        <v>21.577454164960816</v>
      </c>
      <c r="AI1363" s="470">
        <v>0.70324627985424737</v>
      </c>
      <c r="AJ1363" s="471">
        <v>1.8605045770937853E-4</v>
      </c>
      <c r="AK1363" s="218">
        <v>21.577454164960816</v>
      </c>
      <c r="AL1363" s="470">
        <v>0.70324627985424737</v>
      </c>
      <c r="AM1363" s="471">
        <v>1.8605045770937853E-4</v>
      </c>
      <c r="AN1363" s="477">
        <v>21.577454164960816</v>
      </c>
      <c r="AO1363" s="473">
        <v>0.70324627985424737</v>
      </c>
      <c r="AP1363" s="474">
        <v>1.860047983658485E-4</v>
      </c>
      <c r="AQ1363" s="352"/>
      <c r="AR1363" s="352"/>
      <c r="AS1363" s="352"/>
      <c r="AT1363" s="352"/>
      <c r="AU1363" s="352"/>
      <c r="AV1363" s="352"/>
      <c r="AW1363" s="352" t="s">
        <v>254</v>
      </c>
    </row>
    <row r="1364" spans="2:49" x14ac:dyDescent="0.2">
      <c r="B1364" s="460" t="s">
        <v>2772</v>
      </c>
      <c r="C1364" s="460">
        <v>2124</v>
      </c>
      <c r="D1364" s="460" t="s">
        <v>2307</v>
      </c>
      <c r="E1364" s="460" t="s">
        <v>2299</v>
      </c>
      <c r="F1364" s="460">
        <v>2</v>
      </c>
      <c r="G1364" s="460">
        <v>2</v>
      </c>
      <c r="H1364" s="461" t="s">
        <v>712</v>
      </c>
      <c r="I1364" s="461" t="s">
        <v>713</v>
      </c>
      <c r="J1364" s="461" t="s">
        <v>712</v>
      </c>
      <c r="K1364" s="594"/>
      <c r="L1364" s="594"/>
      <c r="M1364" s="352">
        <v>2000</v>
      </c>
      <c r="N1364" s="352" t="s">
        <v>703</v>
      </c>
      <c r="O1364" s="460">
        <v>2124</v>
      </c>
      <c r="P1364" s="460" t="s">
        <v>767</v>
      </c>
      <c r="Q1364" s="460" t="s">
        <v>2280</v>
      </c>
      <c r="R1364" s="460">
        <v>2124</v>
      </c>
      <c r="S1364" s="460" t="s">
        <v>2296</v>
      </c>
      <c r="T1364" s="462">
        <v>0.55517361979372948</v>
      </c>
      <c r="U1364" s="460" t="s">
        <v>2299</v>
      </c>
      <c r="V1364" s="475">
        <v>0</v>
      </c>
      <c r="W1364" s="463" t="s">
        <v>713</v>
      </c>
      <c r="X1364" s="463" t="s">
        <v>713</v>
      </c>
      <c r="Y1364" s="463" t="s">
        <v>713</v>
      </c>
      <c r="Z1364" s="463"/>
      <c r="AA1364" s="463"/>
      <c r="AB1364" s="464">
        <v>17.827413310861893</v>
      </c>
      <c r="AC1364" s="465">
        <v>0.85799374236620107</v>
      </c>
      <c r="AD1364" s="465">
        <v>2.0620527810169675E-4</v>
      </c>
      <c r="AE1364" s="476">
        <v>17.827413310861893</v>
      </c>
      <c r="AF1364" s="467">
        <v>0.85799374236620096</v>
      </c>
      <c r="AG1364" s="468">
        <v>2.0535051316854174E-4</v>
      </c>
      <c r="AH1364" s="218">
        <v>17.354846706329695</v>
      </c>
      <c r="AI1364" s="470">
        <v>0.83525016299942711</v>
      </c>
      <c r="AJ1364" s="471">
        <v>2.0332767048514072E-4</v>
      </c>
      <c r="AK1364" s="218">
        <v>17.354846706329695</v>
      </c>
      <c r="AL1364" s="470">
        <v>0.83525016299942711</v>
      </c>
      <c r="AM1364" s="471">
        <v>2.0332767048514072E-4</v>
      </c>
      <c r="AN1364" s="477">
        <v>17.354846706329695</v>
      </c>
      <c r="AO1364" s="473">
        <v>0.83525016299942711</v>
      </c>
      <c r="AP1364" s="474">
        <v>2.0330200347750644E-4</v>
      </c>
      <c r="AQ1364" s="352"/>
      <c r="AR1364" s="352"/>
      <c r="AS1364" s="352"/>
      <c r="AT1364" s="352"/>
      <c r="AU1364" s="352"/>
      <c r="AV1364" s="352"/>
      <c r="AW1364" s="352" t="s">
        <v>254</v>
      </c>
    </row>
    <row r="1365" spans="2:49" x14ac:dyDescent="0.2">
      <c r="B1365" s="460" t="s">
        <v>2773</v>
      </c>
      <c r="C1365" s="460">
        <v>2124</v>
      </c>
      <c r="D1365" s="460" t="s">
        <v>2308</v>
      </c>
      <c r="E1365" s="460" t="s">
        <v>2302</v>
      </c>
      <c r="F1365" s="460">
        <v>3</v>
      </c>
      <c r="G1365" s="460">
        <v>2</v>
      </c>
      <c r="H1365" s="461" t="s">
        <v>712</v>
      </c>
      <c r="I1365" s="461" t="s">
        <v>713</v>
      </c>
      <c r="J1365" s="461" t="s">
        <v>712</v>
      </c>
      <c r="K1365" s="594"/>
      <c r="L1365" s="594"/>
      <c r="M1365" s="352">
        <v>2000</v>
      </c>
      <c r="N1365" s="352" t="s">
        <v>703</v>
      </c>
      <c r="O1365" s="460">
        <v>2124</v>
      </c>
      <c r="P1365" s="460" t="s">
        <v>767</v>
      </c>
      <c r="Q1365" s="460" t="s">
        <v>2280</v>
      </c>
      <c r="R1365" s="460">
        <v>2124</v>
      </c>
      <c r="S1365" s="460" t="s">
        <v>2296</v>
      </c>
      <c r="T1365" s="462">
        <v>0.28481449642268464</v>
      </c>
      <c r="U1365" s="460" t="s">
        <v>2302</v>
      </c>
      <c r="V1365" s="475">
        <v>0</v>
      </c>
      <c r="W1365" s="463" t="s">
        <v>713</v>
      </c>
      <c r="X1365" s="463" t="s">
        <v>713</v>
      </c>
      <c r="Y1365" s="463" t="s">
        <v>713</v>
      </c>
      <c r="Z1365" s="463"/>
      <c r="AA1365" s="463"/>
      <c r="AB1365" s="464">
        <v>12.10933149235685</v>
      </c>
      <c r="AC1365" s="465">
        <v>0.98204229716819325</v>
      </c>
      <c r="AD1365" s="465">
        <v>3.5223019310329527E-4</v>
      </c>
      <c r="AE1365" s="476">
        <v>12.10933149235685</v>
      </c>
      <c r="AF1365" s="467">
        <v>0.98204229716819313</v>
      </c>
      <c r="AG1365" s="468">
        <v>3.5163169707175132E-4</v>
      </c>
      <c r="AH1365" s="218">
        <v>11.288570478381414</v>
      </c>
      <c r="AI1365" s="470">
        <v>0.91548023863512917</v>
      </c>
      <c r="AJ1365" s="471">
        <v>3.3270323266926992E-4</v>
      </c>
      <c r="AK1365" s="218">
        <v>11.288570478381414</v>
      </c>
      <c r="AL1365" s="470">
        <v>0.91548023863512917</v>
      </c>
      <c r="AM1365" s="471">
        <v>3.3270323266926992E-4</v>
      </c>
      <c r="AN1365" s="477">
        <v>11.288570478381414</v>
      </c>
      <c r="AO1365" s="473">
        <v>0.91548023863512917</v>
      </c>
      <c r="AP1365" s="474">
        <v>3.3299253660506946E-4</v>
      </c>
      <c r="AQ1365" s="352"/>
      <c r="AR1365" s="352"/>
      <c r="AS1365" s="352"/>
      <c r="AT1365" s="352"/>
      <c r="AU1365" s="352"/>
      <c r="AV1365" s="352"/>
      <c r="AW1365" s="352" t="s">
        <v>254</v>
      </c>
    </row>
    <row r="1366" spans="2:49" x14ac:dyDescent="0.2">
      <c r="B1366" s="460" t="s">
        <v>2774</v>
      </c>
      <c r="C1366" s="460">
        <v>2124</v>
      </c>
      <c r="D1366" s="460" t="s">
        <v>2309</v>
      </c>
      <c r="E1366" s="460" t="s">
        <v>2305</v>
      </c>
      <c r="F1366" s="460">
        <v>4</v>
      </c>
      <c r="G1366" s="460">
        <v>2</v>
      </c>
      <c r="H1366" s="461" t="s">
        <v>712</v>
      </c>
      <c r="I1366" s="461" t="s">
        <v>713</v>
      </c>
      <c r="J1366" s="461" t="s">
        <v>712</v>
      </c>
      <c r="K1366" s="594"/>
      <c r="L1366" s="594"/>
      <c r="M1366" s="352">
        <v>2000</v>
      </c>
      <c r="N1366" s="352" t="s">
        <v>703</v>
      </c>
      <c r="O1366" s="460">
        <v>2124</v>
      </c>
      <c r="P1366" s="460" t="s">
        <v>767</v>
      </c>
      <c r="Q1366" s="460" t="s">
        <v>2280</v>
      </c>
      <c r="R1366" s="460">
        <v>2124</v>
      </c>
      <c r="S1366" s="460" t="s">
        <v>2305</v>
      </c>
      <c r="T1366" s="462">
        <v>1</v>
      </c>
      <c r="U1366" s="460" t="s">
        <v>2305</v>
      </c>
      <c r="V1366" s="475">
        <v>0</v>
      </c>
      <c r="W1366" s="463" t="s">
        <v>713</v>
      </c>
      <c r="X1366" s="463" t="s">
        <v>713</v>
      </c>
      <c r="Y1366" s="463" t="s">
        <v>713</v>
      </c>
      <c r="Z1366" s="463"/>
      <c r="AA1366" s="463"/>
      <c r="AB1366" s="464">
        <v>13.752657522742483</v>
      </c>
      <c r="AC1366" s="465">
        <v>1</v>
      </c>
      <c r="AD1366" s="465">
        <v>3.5124153111043869E-4</v>
      </c>
      <c r="AE1366" s="476">
        <v>13.752657522742483</v>
      </c>
      <c r="AF1366" s="467">
        <v>1</v>
      </c>
      <c r="AG1366" s="468">
        <v>3.5123026455130768E-4</v>
      </c>
      <c r="AH1366" s="218">
        <v>13.752657522742483</v>
      </c>
      <c r="AI1366" s="470">
        <v>1</v>
      </c>
      <c r="AJ1366" s="471">
        <v>3.5123068972606924E-4</v>
      </c>
      <c r="AK1366" s="218">
        <v>13.752657522742483</v>
      </c>
      <c r="AL1366" s="470">
        <v>1</v>
      </c>
      <c r="AM1366" s="471">
        <v>3.5123068972606924E-4</v>
      </c>
      <c r="AN1366" s="477">
        <v>13.752657522742483</v>
      </c>
      <c r="AO1366" s="473">
        <v>1</v>
      </c>
      <c r="AP1366" s="474">
        <v>3.5123111935105185E-4</v>
      </c>
      <c r="AQ1366" s="352"/>
      <c r="AR1366" s="352"/>
      <c r="AS1366" s="352"/>
      <c r="AT1366" s="352"/>
      <c r="AU1366" s="352"/>
      <c r="AV1366" s="352"/>
      <c r="AW1366" s="352" t="s">
        <v>254</v>
      </c>
    </row>
    <row r="1367" spans="2:49" x14ac:dyDescent="0.2">
      <c r="B1367" s="460" t="s">
        <v>2771</v>
      </c>
      <c r="C1367" s="460">
        <v>2124</v>
      </c>
      <c r="D1367" s="460" t="s">
        <v>2310</v>
      </c>
      <c r="E1367" s="460" t="s">
        <v>2296</v>
      </c>
      <c r="F1367" s="460">
        <v>1</v>
      </c>
      <c r="G1367" s="460">
        <v>2</v>
      </c>
      <c r="H1367" s="461" t="s">
        <v>746</v>
      </c>
      <c r="I1367" s="461" t="s">
        <v>762</v>
      </c>
      <c r="J1367" s="461" t="s">
        <v>700</v>
      </c>
      <c r="K1367" s="594"/>
      <c r="L1367" s="594"/>
      <c r="M1367" s="352">
        <v>2000</v>
      </c>
      <c r="N1367" s="352" t="s">
        <v>703</v>
      </c>
      <c r="O1367" s="460">
        <v>2124</v>
      </c>
      <c r="P1367" s="460" t="s">
        <v>767</v>
      </c>
      <c r="Q1367" s="460" t="s">
        <v>2444</v>
      </c>
      <c r="R1367" s="460">
        <v>2124</v>
      </c>
      <c r="S1367" s="460" t="s">
        <v>2296</v>
      </c>
      <c r="T1367" s="462">
        <v>1</v>
      </c>
      <c r="U1367" s="460" t="s">
        <v>2296</v>
      </c>
      <c r="V1367" s="475">
        <v>0</v>
      </c>
      <c r="W1367" s="463" t="s">
        <v>2268</v>
      </c>
      <c r="X1367" s="463" t="s">
        <v>2268</v>
      </c>
      <c r="Y1367" s="463" t="s">
        <v>2290</v>
      </c>
      <c r="Z1367" s="463"/>
      <c r="AA1367" s="463"/>
      <c r="AB1367" s="464">
        <v>0</v>
      </c>
      <c r="AC1367" s="465">
        <v>0</v>
      </c>
      <c r="AD1367" s="465">
        <v>0</v>
      </c>
      <c r="AE1367" s="476">
        <v>0</v>
      </c>
      <c r="AF1367" s="467">
        <v>0</v>
      </c>
      <c r="AG1367" s="468">
        <v>0</v>
      </c>
      <c r="AH1367" s="218">
        <v>0</v>
      </c>
      <c r="AI1367" s="470">
        <v>0</v>
      </c>
      <c r="AJ1367" s="471">
        <v>0</v>
      </c>
      <c r="AK1367" s="218">
        <v>0</v>
      </c>
      <c r="AL1367" s="470">
        <v>0</v>
      </c>
      <c r="AM1367" s="471">
        <v>0</v>
      </c>
      <c r="AN1367" s="477">
        <v>0</v>
      </c>
      <c r="AO1367" s="473">
        <v>0</v>
      </c>
      <c r="AP1367" s="474">
        <v>0</v>
      </c>
      <c r="AQ1367" s="352"/>
      <c r="AR1367" s="352"/>
      <c r="AS1367" s="352"/>
      <c r="AT1367" s="352"/>
      <c r="AU1367" s="352"/>
      <c r="AV1367" s="352"/>
      <c r="AW1367" s="352" t="s">
        <v>254</v>
      </c>
    </row>
    <row r="1368" spans="2:49" x14ac:dyDescent="0.2">
      <c r="B1368" s="460" t="s">
        <v>2772</v>
      </c>
      <c r="C1368" s="460">
        <v>2124</v>
      </c>
      <c r="D1368" s="460" t="s">
        <v>2311</v>
      </c>
      <c r="E1368" s="460" t="s">
        <v>2299</v>
      </c>
      <c r="F1368" s="460">
        <v>2</v>
      </c>
      <c r="G1368" s="460">
        <v>2</v>
      </c>
      <c r="H1368" s="461" t="s">
        <v>746</v>
      </c>
      <c r="I1368" s="461" t="s">
        <v>762</v>
      </c>
      <c r="J1368" s="461" t="s">
        <v>700</v>
      </c>
      <c r="K1368" s="594"/>
      <c r="L1368" s="594"/>
      <c r="M1368" s="352">
        <v>2000</v>
      </c>
      <c r="N1368" s="352" t="s">
        <v>703</v>
      </c>
      <c r="O1368" s="460">
        <v>2124</v>
      </c>
      <c r="P1368" s="460" t="s">
        <v>767</v>
      </c>
      <c r="Q1368" s="460" t="s">
        <v>2444</v>
      </c>
      <c r="R1368" s="460">
        <v>2124</v>
      </c>
      <c r="S1368" s="460" t="s">
        <v>2296</v>
      </c>
      <c r="T1368" s="462">
        <v>0.55517361979372948</v>
      </c>
      <c r="U1368" s="460" t="s">
        <v>2299</v>
      </c>
      <c r="V1368" s="475">
        <v>0</v>
      </c>
      <c r="W1368" s="463" t="s">
        <v>2268</v>
      </c>
      <c r="X1368" s="463" t="s">
        <v>2268</v>
      </c>
      <c r="Y1368" s="463" t="s">
        <v>2290</v>
      </c>
      <c r="Z1368" s="463"/>
      <c r="AA1368" s="463"/>
      <c r="AB1368" s="464">
        <v>0</v>
      </c>
      <c r="AC1368" s="465">
        <v>0</v>
      </c>
      <c r="AD1368" s="465">
        <v>0</v>
      </c>
      <c r="AE1368" s="476">
        <v>0</v>
      </c>
      <c r="AF1368" s="467">
        <v>0</v>
      </c>
      <c r="AG1368" s="468">
        <v>0</v>
      </c>
      <c r="AH1368" s="218">
        <v>0</v>
      </c>
      <c r="AI1368" s="470">
        <v>0</v>
      </c>
      <c r="AJ1368" s="471">
        <v>0</v>
      </c>
      <c r="AK1368" s="218">
        <v>0</v>
      </c>
      <c r="AL1368" s="470">
        <v>0</v>
      </c>
      <c r="AM1368" s="471">
        <v>0</v>
      </c>
      <c r="AN1368" s="477">
        <v>0</v>
      </c>
      <c r="AO1368" s="473">
        <v>0</v>
      </c>
      <c r="AP1368" s="474">
        <v>0</v>
      </c>
      <c r="AQ1368" s="352"/>
      <c r="AR1368" s="352"/>
      <c r="AS1368" s="352"/>
      <c r="AT1368" s="352"/>
      <c r="AU1368" s="352"/>
      <c r="AV1368" s="352"/>
      <c r="AW1368" s="352" t="s">
        <v>254</v>
      </c>
    </row>
    <row r="1369" spans="2:49" x14ac:dyDescent="0.2">
      <c r="B1369" s="460" t="s">
        <v>2773</v>
      </c>
      <c r="C1369" s="460">
        <v>2124</v>
      </c>
      <c r="D1369" s="460" t="s">
        <v>2312</v>
      </c>
      <c r="E1369" s="460" t="s">
        <v>2302</v>
      </c>
      <c r="F1369" s="460">
        <v>3</v>
      </c>
      <c r="G1369" s="460">
        <v>2</v>
      </c>
      <c r="H1369" s="461" t="s">
        <v>746</v>
      </c>
      <c r="I1369" s="461" t="s">
        <v>762</v>
      </c>
      <c r="J1369" s="461" t="s">
        <v>700</v>
      </c>
      <c r="K1369" s="594"/>
      <c r="L1369" s="594"/>
      <c r="M1369" s="352">
        <v>2000</v>
      </c>
      <c r="N1369" s="352" t="s">
        <v>703</v>
      </c>
      <c r="O1369" s="460">
        <v>2124</v>
      </c>
      <c r="P1369" s="460" t="s">
        <v>767</v>
      </c>
      <c r="Q1369" s="460" t="s">
        <v>2444</v>
      </c>
      <c r="R1369" s="460">
        <v>2124</v>
      </c>
      <c r="S1369" s="460" t="s">
        <v>2296</v>
      </c>
      <c r="T1369" s="462">
        <v>0.28481449642268464</v>
      </c>
      <c r="U1369" s="460" t="s">
        <v>2302</v>
      </c>
      <c r="V1369" s="475">
        <v>0</v>
      </c>
      <c r="W1369" s="463" t="s">
        <v>2268</v>
      </c>
      <c r="X1369" s="463" t="s">
        <v>2268</v>
      </c>
      <c r="Y1369" s="463" t="s">
        <v>2290</v>
      </c>
      <c r="Z1369" s="463"/>
      <c r="AA1369" s="463"/>
      <c r="AB1369" s="464">
        <v>0</v>
      </c>
      <c r="AC1369" s="465">
        <v>0</v>
      </c>
      <c r="AD1369" s="465">
        <v>0</v>
      </c>
      <c r="AE1369" s="476">
        <v>0</v>
      </c>
      <c r="AF1369" s="467">
        <v>0</v>
      </c>
      <c r="AG1369" s="468">
        <v>0</v>
      </c>
      <c r="AH1369" s="218">
        <v>0</v>
      </c>
      <c r="AI1369" s="470">
        <v>0</v>
      </c>
      <c r="AJ1369" s="471">
        <v>0</v>
      </c>
      <c r="AK1369" s="218">
        <v>0</v>
      </c>
      <c r="AL1369" s="470">
        <v>0</v>
      </c>
      <c r="AM1369" s="471">
        <v>0</v>
      </c>
      <c r="AN1369" s="477">
        <v>0</v>
      </c>
      <c r="AO1369" s="473">
        <v>0</v>
      </c>
      <c r="AP1369" s="474">
        <v>0</v>
      </c>
      <c r="AQ1369" s="352"/>
      <c r="AR1369" s="352"/>
      <c r="AS1369" s="352"/>
      <c r="AT1369" s="352"/>
      <c r="AU1369" s="352"/>
      <c r="AV1369" s="352"/>
      <c r="AW1369" s="352" t="s">
        <v>254</v>
      </c>
    </row>
    <row r="1370" spans="2:49" x14ac:dyDescent="0.2">
      <c r="B1370" s="460" t="s">
        <v>2774</v>
      </c>
      <c r="C1370" s="460">
        <v>2124</v>
      </c>
      <c r="D1370" s="460" t="s">
        <v>2313</v>
      </c>
      <c r="E1370" s="460" t="s">
        <v>2305</v>
      </c>
      <c r="F1370" s="460">
        <v>4</v>
      </c>
      <c r="G1370" s="460">
        <v>2</v>
      </c>
      <c r="H1370" s="461" t="s">
        <v>746</v>
      </c>
      <c r="I1370" s="461" t="s">
        <v>762</v>
      </c>
      <c r="J1370" s="461" t="s">
        <v>700</v>
      </c>
      <c r="K1370" s="594"/>
      <c r="L1370" s="594"/>
      <c r="M1370" s="352">
        <v>2000</v>
      </c>
      <c r="N1370" s="352" t="s">
        <v>703</v>
      </c>
      <c r="O1370" s="460">
        <v>2124</v>
      </c>
      <c r="P1370" s="460" t="s">
        <v>767</v>
      </c>
      <c r="Q1370" s="460" t="s">
        <v>2444</v>
      </c>
      <c r="R1370" s="460">
        <v>2124</v>
      </c>
      <c r="S1370" s="460" t="s">
        <v>2305</v>
      </c>
      <c r="T1370" s="462">
        <v>1</v>
      </c>
      <c r="U1370" s="460" t="s">
        <v>2305</v>
      </c>
      <c r="V1370" s="475">
        <v>0</v>
      </c>
      <c r="W1370" s="463" t="s">
        <v>2268</v>
      </c>
      <c r="X1370" s="463" t="s">
        <v>2268</v>
      </c>
      <c r="Y1370" s="463" t="s">
        <v>2290</v>
      </c>
      <c r="Z1370" s="463"/>
      <c r="AA1370" s="463"/>
      <c r="AB1370" s="464">
        <v>0</v>
      </c>
      <c r="AC1370" s="465">
        <v>0</v>
      </c>
      <c r="AD1370" s="465">
        <v>0</v>
      </c>
      <c r="AE1370" s="476">
        <v>0</v>
      </c>
      <c r="AF1370" s="467">
        <v>0</v>
      </c>
      <c r="AG1370" s="468">
        <v>0</v>
      </c>
      <c r="AH1370" s="218">
        <v>0</v>
      </c>
      <c r="AI1370" s="470">
        <v>0</v>
      </c>
      <c r="AJ1370" s="471">
        <v>0</v>
      </c>
      <c r="AK1370" s="218">
        <v>0</v>
      </c>
      <c r="AL1370" s="470">
        <v>0</v>
      </c>
      <c r="AM1370" s="471">
        <v>0</v>
      </c>
      <c r="AN1370" s="477">
        <v>0</v>
      </c>
      <c r="AO1370" s="473">
        <v>0</v>
      </c>
      <c r="AP1370" s="474">
        <v>0</v>
      </c>
      <c r="AQ1370" s="352"/>
      <c r="AR1370" s="352"/>
      <c r="AS1370" s="352"/>
      <c r="AT1370" s="352"/>
      <c r="AU1370" s="352"/>
      <c r="AV1370" s="352"/>
      <c r="AW1370" s="352" t="s">
        <v>254</v>
      </c>
    </row>
    <row r="1371" spans="2:49" x14ac:dyDescent="0.2">
      <c r="B1371" s="460" t="s">
        <v>2771</v>
      </c>
      <c r="C1371" s="460">
        <v>2124</v>
      </c>
      <c r="D1371" s="460" t="s">
        <v>2314</v>
      </c>
      <c r="E1371" s="460" t="s">
        <v>2296</v>
      </c>
      <c r="F1371" s="460">
        <v>1</v>
      </c>
      <c r="G1371" s="460">
        <v>2</v>
      </c>
      <c r="H1371" s="461" t="s">
        <v>748</v>
      </c>
      <c r="I1371" s="461" t="s">
        <v>765</v>
      </c>
      <c r="J1371" s="461" t="s">
        <v>700</v>
      </c>
      <c r="K1371" s="594"/>
      <c r="L1371" s="594"/>
      <c r="M1371" s="352">
        <v>2000</v>
      </c>
      <c r="N1371" s="352" t="s">
        <v>703</v>
      </c>
      <c r="O1371" s="460">
        <v>2124</v>
      </c>
      <c r="P1371" s="460" t="s">
        <v>767</v>
      </c>
      <c r="Q1371" s="460" t="s">
        <v>2440</v>
      </c>
      <c r="R1371" s="460">
        <v>2124</v>
      </c>
      <c r="S1371" s="460" t="s">
        <v>2296</v>
      </c>
      <c r="T1371" s="462">
        <v>1</v>
      </c>
      <c r="U1371" s="460" t="s">
        <v>2296</v>
      </c>
      <c r="V1371" s="475">
        <v>0</v>
      </c>
      <c r="W1371" s="463" t="s">
        <v>2268</v>
      </c>
      <c r="X1371" s="463" t="s">
        <v>2268</v>
      </c>
      <c r="Y1371" s="463" t="s">
        <v>2267</v>
      </c>
      <c r="Z1371" s="463"/>
      <c r="AA1371" s="463"/>
      <c r="AB1371" s="464">
        <v>0</v>
      </c>
      <c r="AC1371" s="465">
        <v>0</v>
      </c>
      <c r="AD1371" s="465">
        <v>0</v>
      </c>
      <c r="AE1371" s="476">
        <v>0</v>
      </c>
      <c r="AF1371" s="467">
        <v>0</v>
      </c>
      <c r="AG1371" s="468">
        <v>0</v>
      </c>
      <c r="AH1371" s="218">
        <v>0</v>
      </c>
      <c r="AI1371" s="470">
        <v>0</v>
      </c>
      <c r="AJ1371" s="471">
        <v>0</v>
      </c>
      <c r="AK1371" s="218">
        <v>0</v>
      </c>
      <c r="AL1371" s="470">
        <v>0</v>
      </c>
      <c r="AM1371" s="471">
        <v>0</v>
      </c>
      <c r="AN1371" s="477">
        <v>9.1051882934292809</v>
      </c>
      <c r="AO1371" s="473">
        <v>0.29675372014575258</v>
      </c>
      <c r="AP1371" s="474">
        <v>2.7815103047506471E-3</v>
      </c>
      <c r="AQ1371" s="352"/>
      <c r="AR1371" s="352"/>
      <c r="AS1371" s="352"/>
      <c r="AT1371" s="352"/>
      <c r="AU1371" s="352"/>
      <c r="AV1371" s="352"/>
      <c r="AW1371" s="352" t="s">
        <v>254</v>
      </c>
    </row>
    <row r="1372" spans="2:49" x14ac:dyDescent="0.2">
      <c r="B1372" s="460" t="s">
        <v>2772</v>
      </c>
      <c r="C1372" s="460">
        <v>2124</v>
      </c>
      <c r="D1372" s="460" t="s">
        <v>2315</v>
      </c>
      <c r="E1372" s="460" t="s">
        <v>2299</v>
      </c>
      <c r="F1372" s="460">
        <v>2</v>
      </c>
      <c r="G1372" s="460">
        <v>2</v>
      </c>
      <c r="H1372" s="461" t="s">
        <v>748</v>
      </c>
      <c r="I1372" s="461" t="s">
        <v>765</v>
      </c>
      <c r="J1372" s="461" t="s">
        <v>700</v>
      </c>
      <c r="K1372" s="594"/>
      <c r="L1372" s="594"/>
      <c r="M1372" s="352">
        <v>2000</v>
      </c>
      <c r="N1372" s="352" t="s">
        <v>703</v>
      </c>
      <c r="O1372" s="460">
        <v>2124</v>
      </c>
      <c r="P1372" s="460" t="s">
        <v>767</v>
      </c>
      <c r="Q1372" s="460" t="s">
        <v>2440</v>
      </c>
      <c r="R1372" s="460">
        <v>2124</v>
      </c>
      <c r="S1372" s="460" t="s">
        <v>2296</v>
      </c>
      <c r="T1372" s="462">
        <v>0.55517361979372948</v>
      </c>
      <c r="U1372" s="460" t="s">
        <v>2299</v>
      </c>
      <c r="V1372" s="475">
        <v>0</v>
      </c>
      <c r="W1372" s="463" t="s">
        <v>2268</v>
      </c>
      <c r="X1372" s="463" t="s">
        <v>2268</v>
      </c>
      <c r="Y1372" s="463" t="s">
        <v>2267</v>
      </c>
      <c r="Z1372" s="463"/>
      <c r="AA1372" s="463"/>
      <c r="AB1372" s="464">
        <v>0</v>
      </c>
      <c r="AC1372" s="465">
        <v>0</v>
      </c>
      <c r="AD1372" s="465">
        <v>0</v>
      </c>
      <c r="AE1372" s="476">
        <v>0</v>
      </c>
      <c r="AF1372" s="467">
        <v>0</v>
      </c>
      <c r="AG1372" s="468">
        <v>0</v>
      </c>
      <c r="AH1372" s="218">
        <v>0</v>
      </c>
      <c r="AI1372" s="470">
        <v>0</v>
      </c>
      <c r="AJ1372" s="471">
        <v>0</v>
      </c>
      <c r="AK1372" s="218">
        <v>0</v>
      </c>
      <c r="AL1372" s="470">
        <v>0</v>
      </c>
      <c r="AM1372" s="471">
        <v>0</v>
      </c>
      <c r="AN1372" s="477">
        <v>3.4231758252763207</v>
      </c>
      <c r="AO1372" s="473">
        <v>0.16474983700057283</v>
      </c>
      <c r="AP1372" s="474">
        <v>3.171511148440778E-3</v>
      </c>
      <c r="AQ1372" s="352"/>
      <c r="AR1372" s="352"/>
      <c r="AS1372" s="352"/>
      <c r="AT1372" s="352"/>
      <c r="AU1372" s="352"/>
      <c r="AV1372" s="352"/>
      <c r="AW1372" s="352" t="s">
        <v>254</v>
      </c>
    </row>
    <row r="1373" spans="2:49" x14ac:dyDescent="0.2">
      <c r="B1373" s="460" t="s">
        <v>2773</v>
      </c>
      <c r="C1373" s="460">
        <v>2124</v>
      </c>
      <c r="D1373" s="460" t="s">
        <v>2316</v>
      </c>
      <c r="E1373" s="460" t="s">
        <v>2302</v>
      </c>
      <c r="F1373" s="460">
        <v>3</v>
      </c>
      <c r="G1373" s="460">
        <v>2</v>
      </c>
      <c r="H1373" s="461" t="s">
        <v>748</v>
      </c>
      <c r="I1373" s="461" t="s">
        <v>765</v>
      </c>
      <c r="J1373" s="461" t="s">
        <v>700</v>
      </c>
      <c r="K1373" s="594"/>
      <c r="L1373" s="594"/>
      <c r="M1373" s="352">
        <v>2000</v>
      </c>
      <c r="N1373" s="352" t="s">
        <v>703</v>
      </c>
      <c r="O1373" s="460">
        <v>2124</v>
      </c>
      <c r="P1373" s="460" t="s">
        <v>767</v>
      </c>
      <c r="Q1373" s="460" t="s">
        <v>2440</v>
      </c>
      <c r="R1373" s="460">
        <v>2124</v>
      </c>
      <c r="S1373" s="460" t="s">
        <v>2296</v>
      </c>
      <c r="T1373" s="462">
        <v>0.28481449642268464</v>
      </c>
      <c r="U1373" s="460" t="s">
        <v>2302</v>
      </c>
      <c r="V1373" s="475">
        <v>0</v>
      </c>
      <c r="W1373" s="463" t="s">
        <v>2268</v>
      </c>
      <c r="X1373" s="463" t="s">
        <v>2268</v>
      </c>
      <c r="Y1373" s="463" t="s">
        <v>2267</v>
      </c>
      <c r="Z1373" s="463"/>
      <c r="AA1373" s="463"/>
      <c r="AB1373" s="464">
        <v>0</v>
      </c>
      <c r="AC1373" s="465">
        <v>0</v>
      </c>
      <c r="AD1373" s="465">
        <v>0</v>
      </c>
      <c r="AE1373" s="476">
        <v>0</v>
      </c>
      <c r="AF1373" s="467">
        <v>0</v>
      </c>
      <c r="AG1373" s="468">
        <v>0</v>
      </c>
      <c r="AH1373" s="218">
        <v>0</v>
      </c>
      <c r="AI1373" s="470">
        <v>0</v>
      </c>
      <c r="AJ1373" s="471">
        <v>0</v>
      </c>
      <c r="AK1373" s="218">
        <v>0</v>
      </c>
      <c r="AL1373" s="470">
        <v>0</v>
      </c>
      <c r="AM1373" s="471">
        <v>0</v>
      </c>
      <c r="AN1373" s="477">
        <v>1.0421932038705517</v>
      </c>
      <c r="AO1373" s="473">
        <v>8.4519761364870799E-2</v>
      </c>
      <c r="AP1373" s="474">
        <v>4.4594755140332943E-3</v>
      </c>
      <c r="AQ1373" s="352"/>
      <c r="AR1373" s="352"/>
      <c r="AS1373" s="352"/>
      <c r="AT1373" s="352"/>
      <c r="AU1373" s="352"/>
      <c r="AV1373" s="352"/>
      <c r="AW1373" s="352" t="s">
        <v>254</v>
      </c>
    </row>
    <row r="1374" spans="2:49" x14ac:dyDescent="0.2">
      <c r="B1374" s="460" t="s">
        <v>2774</v>
      </c>
      <c r="C1374" s="460">
        <v>2124</v>
      </c>
      <c r="D1374" s="460" t="s">
        <v>2317</v>
      </c>
      <c r="E1374" s="460" t="s">
        <v>2305</v>
      </c>
      <c r="F1374" s="460">
        <v>4</v>
      </c>
      <c r="G1374" s="460">
        <v>2</v>
      </c>
      <c r="H1374" s="461" t="s">
        <v>748</v>
      </c>
      <c r="I1374" s="461" t="s">
        <v>765</v>
      </c>
      <c r="J1374" s="461" t="s">
        <v>700</v>
      </c>
      <c r="K1374" s="594"/>
      <c r="L1374" s="594"/>
      <c r="M1374" s="352">
        <v>2000</v>
      </c>
      <c r="N1374" s="352" t="s">
        <v>703</v>
      </c>
      <c r="O1374" s="460">
        <v>2124</v>
      </c>
      <c r="P1374" s="460" t="s">
        <v>767</v>
      </c>
      <c r="Q1374" s="460" t="s">
        <v>2440</v>
      </c>
      <c r="R1374" s="460">
        <v>2124</v>
      </c>
      <c r="S1374" s="460" t="s">
        <v>2305</v>
      </c>
      <c r="T1374" s="462">
        <v>1</v>
      </c>
      <c r="U1374" s="460" t="s">
        <v>2305</v>
      </c>
      <c r="V1374" s="475">
        <v>0</v>
      </c>
      <c r="W1374" s="463" t="s">
        <v>2268</v>
      </c>
      <c r="X1374" s="463" t="s">
        <v>2268</v>
      </c>
      <c r="Y1374" s="463" t="s">
        <v>2278</v>
      </c>
      <c r="Z1374" s="463"/>
      <c r="AA1374" s="463"/>
      <c r="AB1374" s="464">
        <v>0</v>
      </c>
      <c r="AC1374" s="465">
        <v>0</v>
      </c>
      <c r="AD1374" s="465">
        <v>0</v>
      </c>
      <c r="AE1374" s="476">
        <v>0</v>
      </c>
      <c r="AF1374" s="467">
        <v>0</v>
      </c>
      <c r="AG1374" s="468">
        <v>0</v>
      </c>
      <c r="AH1374" s="218">
        <v>0</v>
      </c>
      <c r="AI1374" s="470">
        <v>0</v>
      </c>
      <c r="AJ1374" s="471">
        <v>0</v>
      </c>
      <c r="AK1374" s="218">
        <v>0</v>
      </c>
      <c r="AL1374" s="470">
        <v>0</v>
      </c>
      <c r="AM1374" s="471">
        <v>0</v>
      </c>
      <c r="AN1374" s="477">
        <v>0</v>
      </c>
      <c r="AO1374" s="473">
        <v>0</v>
      </c>
      <c r="AP1374" s="474">
        <v>0</v>
      </c>
      <c r="AQ1374" s="352"/>
      <c r="AR1374" s="352"/>
      <c r="AS1374" s="352"/>
      <c r="AT1374" s="352"/>
      <c r="AU1374" s="352"/>
      <c r="AV1374" s="352"/>
      <c r="AW1374" s="352" t="s">
        <v>254</v>
      </c>
    </row>
    <row r="1375" spans="2:49" x14ac:dyDescent="0.2">
      <c r="B1375" s="460" t="s">
        <v>2775</v>
      </c>
      <c r="C1375" s="460">
        <v>2124</v>
      </c>
      <c r="D1375" s="460" t="s">
        <v>2323</v>
      </c>
      <c r="E1375" s="460" t="s">
        <v>2324</v>
      </c>
      <c r="F1375" s="460">
        <v>1</v>
      </c>
      <c r="G1375" s="460">
        <v>3</v>
      </c>
      <c r="H1375" s="461" t="s">
        <v>700</v>
      </c>
      <c r="I1375" s="461" t="s">
        <v>872</v>
      </c>
      <c r="J1375" s="461" t="s">
        <v>700</v>
      </c>
      <c r="K1375" s="594"/>
      <c r="L1375" s="594"/>
      <c r="M1375" s="352">
        <v>2000</v>
      </c>
      <c r="N1375" s="352" t="s">
        <v>703</v>
      </c>
      <c r="O1375" s="460">
        <v>2124</v>
      </c>
      <c r="P1375" s="460" t="s">
        <v>767</v>
      </c>
      <c r="Q1375" s="460" t="s">
        <v>2440</v>
      </c>
      <c r="R1375" s="460">
        <v>2124</v>
      </c>
      <c r="S1375" s="460" t="s">
        <v>2324</v>
      </c>
      <c r="T1375" s="462">
        <v>1</v>
      </c>
      <c r="U1375" s="460" t="s">
        <v>2324</v>
      </c>
      <c r="V1375" s="475">
        <v>0</v>
      </c>
      <c r="W1375" s="463" t="s">
        <v>2267</v>
      </c>
      <c r="X1375" s="463" t="s">
        <v>2267</v>
      </c>
      <c r="Y1375" s="463" t="s">
        <v>2268</v>
      </c>
      <c r="Z1375" s="463"/>
      <c r="AA1375" s="463"/>
      <c r="AB1375" s="464">
        <v>58.953138784842693</v>
      </c>
      <c r="AC1375" s="465">
        <v>0.37343622070077093</v>
      </c>
      <c r="AD1375" s="465">
        <v>5.0538637828803504E-4</v>
      </c>
      <c r="AE1375" s="476">
        <v>58.953138784842693</v>
      </c>
      <c r="AF1375" s="467">
        <v>0.37343622070077093</v>
      </c>
      <c r="AG1375" s="468">
        <v>5.4136893109442159E-4</v>
      </c>
      <c r="AH1375" s="218">
        <v>58.953138784842693</v>
      </c>
      <c r="AI1375" s="470">
        <v>0.37343622070077093</v>
      </c>
      <c r="AJ1375" s="471">
        <v>5.1697232561312737E-4</v>
      </c>
      <c r="AK1375" s="218">
        <v>58.953138784842693</v>
      </c>
      <c r="AL1375" s="470">
        <v>0.37343622070077093</v>
      </c>
      <c r="AM1375" s="471">
        <v>5.1697232561312737E-4</v>
      </c>
      <c r="AN1375" s="477">
        <v>0</v>
      </c>
      <c r="AO1375" s="473">
        <v>0</v>
      </c>
      <c r="AP1375" s="474">
        <v>0</v>
      </c>
      <c r="AQ1375" s="352"/>
      <c r="AR1375" s="352"/>
      <c r="AS1375" s="352"/>
      <c r="AT1375" s="352"/>
      <c r="AU1375" s="352"/>
      <c r="AV1375" s="352"/>
      <c r="AW1375" s="352" t="s">
        <v>254</v>
      </c>
    </row>
    <row r="1376" spans="2:49" x14ac:dyDescent="0.2">
      <c r="B1376" s="460" t="s">
        <v>2776</v>
      </c>
      <c r="C1376" s="460">
        <v>2124</v>
      </c>
      <c r="D1376" s="460" t="s">
        <v>2326</v>
      </c>
      <c r="E1376" s="460" t="s">
        <v>2327</v>
      </c>
      <c r="F1376" s="460">
        <v>2</v>
      </c>
      <c r="G1376" s="460">
        <v>3</v>
      </c>
      <c r="H1376" s="461" t="s">
        <v>700</v>
      </c>
      <c r="I1376" s="461" t="s">
        <v>872</v>
      </c>
      <c r="J1376" s="461" t="s">
        <v>700</v>
      </c>
      <c r="K1376" s="594"/>
      <c r="L1376" s="594"/>
      <c r="M1376" s="352">
        <v>2000</v>
      </c>
      <c r="N1376" s="352" t="s">
        <v>703</v>
      </c>
      <c r="O1376" s="460">
        <v>2124</v>
      </c>
      <c r="P1376" s="460" t="s">
        <v>767</v>
      </c>
      <c r="Q1376" s="460" t="s">
        <v>2440</v>
      </c>
      <c r="R1376" s="460">
        <v>2124</v>
      </c>
      <c r="S1376" s="460" t="s">
        <v>2324</v>
      </c>
      <c r="T1376" s="462">
        <v>1</v>
      </c>
      <c r="U1376" s="460" t="s">
        <v>2327</v>
      </c>
      <c r="V1376" s="475">
        <v>0</v>
      </c>
      <c r="W1376" s="463" t="s">
        <v>2267</v>
      </c>
      <c r="X1376" s="463" t="s">
        <v>2267</v>
      </c>
      <c r="Y1376" s="463" t="s">
        <v>2268</v>
      </c>
      <c r="Z1376" s="463"/>
      <c r="AA1376" s="463"/>
      <c r="AB1376" s="464">
        <v>27.16490969295133</v>
      </c>
      <c r="AC1376" s="465">
        <v>0.34478110411859725</v>
      </c>
      <c r="AD1376" s="465">
        <v>4.0122077456820275E-4</v>
      </c>
      <c r="AE1376" s="476">
        <v>27.16490969295133</v>
      </c>
      <c r="AF1376" s="467">
        <v>0.34478110411859725</v>
      </c>
      <c r="AG1376" s="468">
        <v>4.3456655762352093E-4</v>
      </c>
      <c r="AH1376" s="218">
        <v>29.422613624220087</v>
      </c>
      <c r="AI1376" s="470">
        <v>0.37343622070077093</v>
      </c>
      <c r="AJ1376" s="471">
        <v>3.9612226376066137E-4</v>
      </c>
      <c r="AK1376" s="218">
        <v>29.422613624220087</v>
      </c>
      <c r="AL1376" s="470">
        <v>0.37343622070077093</v>
      </c>
      <c r="AM1376" s="471">
        <v>3.9612226376066137E-4</v>
      </c>
      <c r="AN1376" s="477">
        <v>0</v>
      </c>
      <c r="AO1376" s="473">
        <v>0</v>
      </c>
      <c r="AP1376" s="474">
        <v>0</v>
      </c>
      <c r="AQ1376" s="352"/>
      <c r="AR1376" s="352"/>
      <c r="AS1376" s="352"/>
      <c r="AT1376" s="352"/>
      <c r="AU1376" s="352"/>
      <c r="AV1376" s="352"/>
      <c r="AW1376" s="352" t="s">
        <v>254</v>
      </c>
    </row>
    <row r="1377" spans="2:49" x14ac:dyDescent="0.2">
      <c r="B1377" s="460" t="s">
        <v>2777</v>
      </c>
      <c r="C1377" s="460">
        <v>2124</v>
      </c>
      <c r="D1377" s="460" t="s">
        <v>2329</v>
      </c>
      <c r="E1377" s="460" t="s">
        <v>2330</v>
      </c>
      <c r="F1377" s="460">
        <v>3</v>
      </c>
      <c r="G1377" s="460">
        <v>3</v>
      </c>
      <c r="H1377" s="461" t="s">
        <v>700</v>
      </c>
      <c r="I1377" s="461" t="s">
        <v>872</v>
      </c>
      <c r="J1377" s="461" t="s">
        <v>700</v>
      </c>
      <c r="K1377" s="594"/>
      <c r="L1377" s="594"/>
      <c r="M1377" s="352">
        <v>2000</v>
      </c>
      <c r="N1377" s="352" t="s">
        <v>703</v>
      </c>
      <c r="O1377" s="460">
        <v>2124</v>
      </c>
      <c r="P1377" s="460" t="s">
        <v>767</v>
      </c>
      <c r="Q1377" s="460" t="s">
        <v>2440</v>
      </c>
      <c r="R1377" s="460">
        <v>2124</v>
      </c>
      <c r="S1377" s="460" t="s">
        <v>2324</v>
      </c>
      <c r="T1377" s="462">
        <v>1</v>
      </c>
      <c r="U1377" s="460" t="s">
        <v>2330</v>
      </c>
      <c r="V1377" s="475">
        <v>0</v>
      </c>
      <c r="W1377" s="463" t="s">
        <v>2267</v>
      </c>
      <c r="X1377" s="463" t="s">
        <v>2267</v>
      </c>
      <c r="Y1377" s="463" t="s">
        <v>2268</v>
      </c>
      <c r="Z1377" s="463"/>
      <c r="AA1377" s="463"/>
      <c r="AB1377" s="464">
        <v>4.011593970018315</v>
      </c>
      <c r="AC1377" s="465">
        <v>0.1548941880661113</v>
      </c>
      <c r="AD1377" s="465">
        <v>1.5148264556354371E-4</v>
      </c>
      <c r="AE1377" s="476">
        <v>4.011593970018315</v>
      </c>
      <c r="AF1377" s="467">
        <v>0.1548941880661113</v>
      </c>
      <c r="AG1377" s="468">
        <v>1.6235346802222689E-4</v>
      </c>
      <c r="AH1377" s="218">
        <v>9.6715991080971957</v>
      </c>
      <c r="AI1377" s="470">
        <v>0.37343622070077093</v>
      </c>
      <c r="AJ1377" s="471">
        <v>3.4075313645146358E-4</v>
      </c>
      <c r="AK1377" s="218">
        <v>9.6715991080971957</v>
      </c>
      <c r="AL1377" s="470">
        <v>0.37343622070077093</v>
      </c>
      <c r="AM1377" s="471">
        <v>3.4075313645146358E-4</v>
      </c>
      <c r="AN1377" s="477">
        <v>0</v>
      </c>
      <c r="AO1377" s="473">
        <v>0</v>
      </c>
      <c r="AP1377" s="474">
        <v>0</v>
      </c>
      <c r="AQ1377" s="352"/>
      <c r="AR1377" s="352"/>
      <c r="AS1377" s="352"/>
      <c r="AT1377" s="352"/>
      <c r="AU1377" s="352"/>
      <c r="AV1377" s="352"/>
      <c r="AW1377" s="352" t="s">
        <v>254</v>
      </c>
    </row>
    <row r="1378" spans="2:49" x14ac:dyDescent="0.2">
      <c r="B1378" s="460" t="s">
        <v>2778</v>
      </c>
      <c r="C1378" s="460">
        <v>2124</v>
      </c>
      <c r="D1378" s="460" t="s">
        <v>2332</v>
      </c>
      <c r="E1378" s="460" t="s">
        <v>2333</v>
      </c>
      <c r="F1378" s="460">
        <v>4</v>
      </c>
      <c r="G1378" s="460">
        <v>3</v>
      </c>
      <c r="H1378" s="461" t="s">
        <v>700</v>
      </c>
      <c r="I1378" s="461" t="s">
        <v>872</v>
      </c>
      <c r="J1378" s="461" t="s">
        <v>700</v>
      </c>
      <c r="K1378" s="594"/>
      <c r="L1378" s="594"/>
      <c r="M1378" s="352">
        <v>2000</v>
      </c>
      <c r="N1378" s="352" t="s">
        <v>703</v>
      </c>
      <c r="O1378" s="460">
        <v>2124</v>
      </c>
      <c r="P1378" s="460" t="s">
        <v>767</v>
      </c>
      <c r="Q1378" s="460" t="s">
        <v>2440</v>
      </c>
      <c r="R1378" s="460">
        <v>2124</v>
      </c>
      <c r="S1378" s="460" t="s">
        <v>2333</v>
      </c>
      <c r="T1378" s="462">
        <v>1</v>
      </c>
      <c r="U1378" s="460" t="s">
        <v>2333</v>
      </c>
      <c r="V1378" s="475">
        <v>0</v>
      </c>
      <c r="W1378" s="463" t="s">
        <v>2278</v>
      </c>
      <c r="X1378" s="463" t="s">
        <v>2278</v>
      </c>
      <c r="Y1378" s="463" t="s">
        <v>2268</v>
      </c>
      <c r="Z1378" s="463"/>
      <c r="AA1378" s="463"/>
      <c r="AB1378" s="464">
        <v>8.8720459716611827E-2</v>
      </c>
      <c r="AC1378" s="465">
        <v>3.5199454811891233E-3</v>
      </c>
      <c r="AD1378" s="465">
        <v>6.11892111264197E-6</v>
      </c>
      <c r="AE1378" s="476">
        <v>8.8720459716611827E-2</v>
      </c>
      <c r="AF1378" s="467">
        <v>3.5199454811891233E-3</v>
      </c>
      <c r="AG1378" s="468">
        <v>6.7530055765017428E-6</v>
      </c>
      <c r="AH1378" s="218">
        <v>8.8720459716611827E-2</v>
      </c>
      <c r="AI1378" s="470">
        <v>3.5199454811891233E-3</v>
      </c>
      <c r="AJ1378" s="471">
        <v>6.5428163515704699E-6</v>
      </c>
      <c r="AK1378" s="218">
        <v>8.8720459716611827E-2</v>
      </c>
      <c r="AL1378" s="470">
        <v>3.5199454811891233E-3</v>
      </c>
      <c r="AM1378" s="471">
        <v>6.5428163515704699E-6</v>
      </c>
      <c r="AN1378" s="477">
        <v>0</v>
      </c>
      <c r="AO1378" s="473">
        <v>0</v>
      </c>
      <c r="AP1378" s="474">
        <v>0</v>
      </c>
      <c r="AQ1378" s="352"/>
      <c r="AR1378" s="352"/>
      <c r="AS1378" s="352"/>
      <c r="AT1378" s="352"/>
      <c r="AU1378" s="352"/>
      <c r="AV1378" s="352"/>
      <c r="AW1378" s="352" t="s">
        <v>254</v>
      </c>
    </row>
    <row r="1379" spans="2:49" x14ac:dyDescent="0.2">
      <c r="B1379" s="460" t="s">
        <v>2775</v>
      </c>
      <c r="C1379" s="460">
        <v>2124</v>
      </c>
      <c r="D1379" s="460" t="s">
        <v>2334</v>
      </c>
      <c r="E1379" s="460" t="s">
        <v>2324</v>
      </c>
      <c r="F1379" s="460">
        <v>1</v>
      </c>
      <c r="G1379" s="460">
        <v>3</v>
      </c>
      <c r="H1379" s="461" t="s">
        <v>712</v>
      </c>
      <c r="I1379" s="461" t="s">
        <v>713</v>
      </c>
      <c r="J1379" s="461" t="s">
        <v>712</v>
      </c>
      <c r="K1379" s="594"/>
      <c r="L1379" s="594"/>
      <c r="M1379" s="352">
        <v>2000</v>
      </c>
      <c r="N1379" s="352" t="s">
        <v>703</v>
      </c>
      <c r="O1379" s="460">
        <v>2124</v>
      </c>
      <c r="P1379" s="460" t="s">
        <v>767</v>
      </c>
      <c r="Q1379" s="460" t="s">
        <v>2280</v>
      </c>
      <c r="R1379" s="460">
        <v>2124</v>
      </c>
      <c r="S1379" s="460" t="s">
        <v>2324</v>
      </c>
      <c r="T1379" s="462">
        <v>1</v>
      </c>
      <c r="U1379" s="460" t="s">
        <v>2324</v>
      </c>
      <c r="V1379" s="475">
        <v>0</v>
      </c>
      <c r="W1379" s="463" t="s">
        <v>713</v>
      </c>
      <c r="X1379" s="463" t="s">
        <v>713</v>
      </c>
      <c r="Y1379" s="463" t="s">
        <v>713</v>
      </c>
      <c r="Z1379" s="463"/>
      <c r="AA1379" s="463"/>
      <c r="AB1379" s="464">
        <v>98.913547725143701</v>
      </c>
      <c r="AC1379" s="465">
        <v>0.62656377929922913</v>
      </c>
      <c r="AD1379" s="465">
        <v>2.4697685083885113E-4</v>
      </c>
      <c r="AE1379" s="476">
        <v>98.913547725143701</v>
      </c>
      <c r="AF1379" s="467">
        <v>0.62656377929922913</v>
      </c>
      <c r="AG1379" s="468">
        <v>2.4228643218577019E-4</v>
      </c>
      <c r="AH1379" s="218">
        <v>98.913547725143701</v>
      </c>
      <c r="AI1379" s="470">
        <v>0.62656377929922913</v>
      </c>
      <c r="AJ1379" s="471">
        <v>2.4537515989358604E-4</v>
      </c>
      <c r="AK1379" s="218">
        <v>98.913547725143701</v>
      </c>
      <c r="AL1379" s="470">
        <v>0.62656377929922913</v>
      </c>
      <c r="AM1379" s="471">
        <v>2.4537515989358604E-4</v>
      </c>
      <c r="AN1379" s="477">
        <v>98.913547725143701</v>
      </c>
      <c r="AO1379" s="473">
        <v>0.62656377929922913</v>
      </c>
      <c r="AP1379" s="474">
        <v>2.4525574738455436E-4</v>
      </c>
      <c r="AQ1379" s="352"/>
      <c r="AR1379" s="352"/>
      <c r="AS1379" s="352"/>
      <c r="AT1379" s="352"/>
      <c r="AU1379" s="352"/>
      <c r="AV1379" s="352"/>
      <c r="AW1379" s="352" t="s">
        <v>254</v>
      </c>
    </row>
    <row r="1380" spans="2:49" x14ac:dyDescent="0.2">
      <c r="B1380" s="460" t="s">
        <v>2776</v>
      </c>
      <c r="C1380" s="460">
        <v>2124</v>
      </c>
      <c r="D1380" s="460" t="s">
        <v>2335</v>
      </c>
      <c r="E1380" s="460" t="s">
        <v>2327</v>
      </c>
      <c r="F1380" s="460">
        <v>2</v>
      </c>
      <c r="G1380" s="460">
        <v>3</v>
      </c>
      <c r="H1380" s="461" t="s">
        <v>712</v>
      </c>
      <c r="I1380" s="461" t="s">
        <v>713</v>
      </c>
      <c r="J1380" s="461" t="s">
        <v>712</v>
      </c>
      <c r="K1380" s="594"/>
      <c r="L1380" s="594"/>
      <c r="M1380" s="352">
        <v>2000</v>
      </c>
      <c r="N1380" s="352" t="s">
        <v>703</v>
      </c>
      <c r="O1380" s="460">
        <v>2124</v>
      </c>
      <c r="P1380" s="460" t="s">
        <v>767</v>
      </c>
      <c r="Q1380" s="460" t="s">
        <v>2280</v>
      </c>
      <c r="R1380" s="460">
        <v>2124</v>
      </c>
      <c r="S1380" s="460" t="s">
        <v>2324</v>
      </c>
      <c r="T1380" s="462">
        <v>1</v>
      </c>
      <c r="U1380" s="460" t="s">
        <v>2327</v>
      </c>
      <c r="V1380" s="475">
        <v>0</v>
      </c>
      <c r="W1380" s="463" t="s">
        <v>713</v>
      </c>
      <c r="X1380" s="463" t="s">
        <v>713</v>
      </c>
      <c r="Y1380" s="463" t="s">
        <v>713</v>
      </c>
      <c r="Z1380" s="463"/>
      <c r="AA1380" s="463"/>
      <c r="AB1380" s="464">
        <v>51.623949001599371</v>
      </c>
      <c r="AC1380" s="465">
        <v>0.65521889588140281</v>
      </c>
      <c r="AD1380" s="465">
        <v>1.6533078131247028E-4</v>
      </c>
      <c r="AE1380" s="476">
        <v>51.623949001599364</v>
      </c>
      <c r="AF1380" s="467">
        <v>0.6552188958814027</v>
      </c>
      <c r="AG1380" s="468">
        <v>1.6262495965225273E-4</v>
      </c>
      <c r="AH1380" s="218">
        <v>49.366245070330613</v>
      </c>
      <c r="AI1380" s="470">
        <v>0.62656377929922913</v>
      </c>
      <c r="AJ1380" s="471">
        <v>1.6172772260712506E-4</v>
      </c>
      <c r="AK1380" s="218">
        <v>49.366245070330613</v>
      </c>
      <c r="AL1380" s="470">
        <v>0.62656377929922913</v>
      </c>
      <c r="AM1380" s="471">
        <v>1.6172772260712506E-4</v>
      </c>
      <c r="AN1380" s="477">
        <v>49.366245070330613</v>
      </c>
      <c r="AO1380" s="473">
        <v>0.62656377929922913</v>
      </c>
      <c r="AP1380" s="474">
        <v>1.616643150167762E-4</v>
      </c>
      <c r="AQ1380" s="352"/>
      <c r="AR1380" s="352"/>
      <c r="AS1380" s="352"/>
      <c r="AT1380" s="352"/>
      <c r="AU1380" s="352"/>
      <c r="AV1380" s="352"/>
      <c r="AW1380" s="352" t="s">
        <v>254</v>
      </c>
    </row>
    <row r="1381" spans="2:49" x14ac:dyDescent="0.2">
      <c r="B1381" s="460" t="s">
        <v>2777</v>
      </c>
      <c r="C1381" s="460">
        <v>2124</v>
      </c>
      <c r="D1381" s="460" t="s">
        <v>2336</v>
      </c>
      <c r="E1381" s="460" t="s">
        <v>2330</v>
      </c>
      <c r="F1381" s="460">
        <v>3</v>
      </c>
      <c r="G1381" s="460">
        <v>3</v>
      </c>
      <c r="H1381" s="461" t="s">
        <v>712</v>
      </c>
      <c r="I1381" s="461" t="s">
        <v>713</v>
      </c>
      <c r="J1381" s="461" t="s">
        <v>712</v>
      </c>
      <c r="K1381" s="594"/>
      <c r="L1381" s="594"/>
      <c r="M1381" s="352">
        <v>2000</v>
      </c>
      <c r="N1381" s="352" t="s">
        <v>703</v>
      </c>
      <c r="O1381" s="460">
        <v>2124</v>
      </c>
      <c r="P1381" s="460" t="s">
        <v>767</v>
      </c>
      <c r="Q1381" s="460" t="s">
        <v>2280</v>
      </c>
      <c r="R1381" s="460">
        <v>2124</v>
      </c>
      <c r="S1381" s="460" t="s">
        <v>2324</v>
      </c>
      <c r="T1381" s="462">
        <v>1</v>
      </c>
      <c r="U1381" s="460" t="s">
        <v>2330</v>
      </c>
      <c r="V1381" s="475">
        <v>0</v>
      </c>
      <c r="W1381" s="463" t="s">
        <v>713</v>
      </c>
      <c r="X1381" s="463" t="s">
        <v>713</v>
      </c>
      <c r="Y1381" s="463" t="s">
        <v>713</v>
      </c>
      <c r="Z1381" s="463"/>
      <c r="AA1381" s="463"/>
      <c r="AB1381" s="464">
        <v>21.887337552874612</v>
      </c>
      <c r="AC1381" s="465">
        <v>0.84510581193388878</v>
      </c>
      <c r="AD1381" s="465">
        <v>1.9379624429920425E-4</v>
      </c>
      <c r="AE1381" s="476">
        <v>21.887337552874609</v>
      </c>
      <c r="AF1381" s="467">
        <v>0.84510581193388867</v>
      </c>
      <c r="AG1381" s="468">
        <v>1.9080062150120144E-4</v>
      </c>
      <c r="AH1381" s="218">
        <v>16.227332414795733</v>
      </c>
      <c r="AI1381" s="470">
        <v>0.62656377929922913</v>
      </c>
      <c r="AJ1381" s="471">
        <v>1.4686123650918575E-4</v>
      </c>
      <c r="AK1381" s="218">
        <v>16.227332414795733</v>
      </c>
      <c r="AL1381" s="470">
        <v>0.62656377929922913</v>
      </c>
      <c r="AM1381" s="471">
        <v>1.4686123650918575E-4</v>
      </c>
      <c r="AN1381" s="477">
        <v>16.227332414795733</v>
      </c>
      <c r="AO1381" s="473">
        <v>0.62656377929922913</v>
      </c>
      <c r="AP1381" s="474">
        <v>1.4724030158007952E-4</v>
      </c>
      <c r="AQ1381" s="352"/>
      <c r="AR1381" s="352"/>
      <c r="AS1381" s="352"/>
      <c r="AT1381" s="352"/>
      <c r="AU1381" s="352"/>
      <c r="AV1381" s="352"/>
      <c r="AW1381" s="352" t="s">
        <v>254</v>
      </c>
    </row>
    <row r="1382" spans="2:49" x14ac:dyDescent="0.2">
      <c r="B1382" s="460" t="s">
        <v>2778</v>
      </c>
      <c r="C1382" s="460">
        <v>2124</v>
      </c>
      <c r="D1382" s="460" t="s">
        <v>2337</v>
      </c>
      <c r="E1382" s="460" t="s">
        <v>2333</v>
      </c>
      <c r="F1382" s="460">
        <v>4</v>
      </c>
      <c r="G1382" s="460">
        <v>3</v>
      </c>
      <c r="H1382" s="461" t="s">
        <v>712</v>
      </c>
      <c r="I1382" s="461" t="s">
        <v>713</v>
      </c>
      <c r="J1382" s="461" t="s">
        <v>712</v>
      </c>
      <c r="K1382" s="594"/>
      <c r="L1382" s="594"/>
      <c r="M1382" s="352">
        <v>2000</v>
      </c>
      <c r="N1382" s="352" t="s">
        <v>703</v>
      </c>
      <c r="O1382" s="460">
        <v>2124</v>
      </c>
      <c r="P1382" s="460" t="s">
        <v>767</v>
      </c>
      <c r="Q1382" s="460" t="s">
        <v>2280</v>
      </c>
      <c r="R1382" s="460">
        <v>2124</v>
      </c>
      <c r="S1382" s="460" t="s">
        <v>2333</v>
      </c>
      <c r="T1382" s="462">
        <v>1</v>
      </c>
      <c r="U1382" s="460" t="s">
        <v>2333</v>
      </c>
      <c r="V1382" s="475">
        <v>0</v>
      </c>
      <c r="W1382" s="463" t="s">
        <v>713</v>
      </c>
      <c r="X1382" s="463" t="s">
        <v>713</v>
      </c>
      <c r="Y1382" s="463" t="s">
        <v>713</v>
      </c>
      <c r="Z1382" s="463"/>
      <c r="AA1382" s="463"/>
      <c r="AB1382" s="464">
        <v>25.11634597973287</v>
      </c>
      <c r="AC1382" s="465">
        <v>0.99648005451881083</v>
      </c>
      <c r="AD1382" s="465">
        <v>1.9094628271346811E-4</v>
      </c>
      <c r="AE1382" s="476">
        <v>25.11634597973287</v>
      </c>
      <c r="AF1382" s="467">
        <v>0.99648005451881083</v>
      </c>
      <c r="AG1382" s="468">
        <v>1.8899017434863101E-4</v>
      </c>
      <c r="AH1382" s="218">
        <v>25.11634597973287</v>
      </c>
      <c r="AI1382" s="470">
        <v>0.99648005451881083</v>
      </c>
      <c r="AJ1382" s="471">
        <v>1.8959228432285357E-4</v>
      </c>
      <c r="AK1382" s="218">
        <v>25.11634597973287</v>
      </c>
      <c r="AL1382" s="470">
        <v>0.99648005451881083</v>
      </c>
      <c r="AM1382" s="471">
        <v>1.8959228432285357E-4</v>
      </c>
      <c r="AN1382" s="477">
        <v>25.11634597973287</v>
      </c>
      <c r="AO1382" s="473">
        <v>0.99648005451881083</v>
      </c>
      <c r="AP1382" s="474">
        <v>1.8965253366582023E-4</v>
      </c>
      <c r="AQ1382" s="352"/>
      <c r="AR1382" s="352"/>
      <c r="AS1382" s="352"/>
      <c r="AT1382" s="352"/>
      <c r="AU1382" s="352"/>
      <c r="AV1382" s="352"/>
      <c r="AW1382" s="352" t="s">
        <v>254</v>
      </c>
    </row>
    <row r="1383" spans="2:49" x14ac:dyDescent="0.2">
      <c r="B1383" s="460" t="s">
        <v>2775</v>
      </c>
      <c r="C1383" s="460">
        <v>2124</v>
      </c>
      <c r="D1383" s="460" t="s">
        <v>2338</v>
      </c>
      <c r="E1383" s="460" t="s">
        <v>2324</v>
      </c>
      <c r="F1383" s="460">
        <v>1</v>
      </c>
      <c r="G1383" s="460">
        <v>3</v>
      </c>
      <c r="H1383" s="461" t="s">
        <v>746</v>
      </c>
      <c r="I1383" s="461" t="s">
        <v>762</v>
      </c>
      <c r="J1383" s="461" t="s">
        <v>700</v>
      </c>
      <c r="K1383" s="594"/>
      <c r="L1383" s="594"/>
      <c r="M1383" s="352">
        <v>2000</v>
      </c>
      <c r="N1383" s="352" t="s">
        <v>703</v>
      </c>
      <c r="O1383" s="460">
        <v>2124</v>
      </c>
      <c r="P1383" s="460" t="s">
        <v>767</v>
      </c>
      <c r="Q1383" s="460" t="s">
        <v>2444</v>
      </c>
      <c r="R1383" s="460">
        <v>2124</v>
      </c>
      <c r="S1383" s="460" t="s">
        <v>2324</v>
      </c>
      <c r="T1383" s="462">
        <v>1</v>
      </c>
      <c r="U1383" s="460" t="s">
        <v>2324</v>
      </c>
      <c r="V1383" s="475">
        <v>0</v>
      </c>
      <c r="W1383" s="463" t="s">
        <v>2268</v>
      </c>
      <c r="X1383" s="463" t="s">
        <v>2268</v>
      </c>
      <c r="Y1383" s="463" t="s">
        <v>2290</v>
      </c>
      <c r="Z1383" s="463"/>
      <c r="AA1383" s="463"/>
      <c r="AB1383" s="464">
        <v>0</v>
      </c>
      <c r="AC1383" s="465">
        <v>0</v>
      </c>
      <c r="AD1383" s="465">
        <v>0</v>
      </c>
      <c r="AE1383" s="476">
        <v>0</v>
      </c>
      <c r="AF1383" s="467">
        <v>0</v>
      </c>
      <c r="AG1383" s="468">
        <v>0</v>
      </c>
      <c r="AH1383" s="218">
        <v>0</v>
      </c>
      <c r="AI1383" s="470">
        <v>0</v>
      </c>
      <c r="AJ1383" s="471">
        <v>0</v>
      </c>
      <c r="AK1383" s="218">
        <v>0</v>
      </c>
      <c r="AL1383" s="470">
        <v>0</v>
      </c>
      <c r="AM1383" s="471">
        <v>0</v>
      </c>
      <c r="AN1383" s="477">
        <v>0</v>
      </c>
      <c r="AO1383" s="473">
        <v>0</v>
      </c>
      <c r="AP1383" s="474">
        <v>0</v>
      </c>
      <c r="AQ1383" s="352"/>
      <c r="AR1383" s="352"/>
      <c r="AS1383" s="352"/>
      <c r="AT1383" s="352"/>
      <c r="AU1383" s="352"/>
      <c r="AV1383" s="352"/>
      <c r="AW1383" s="352" t="s">
        <v>254</v>
      </c>
    </row>
    <row r="1384" spans="2:49" x14ac:dyDescent="0.2">
      <c r="B1384" s="460" t="s">
        <v>2776</v>
      </c>
      <c r="C1384" s="460">
        <v>2124</v>
      </c>
      <c r="D1384" s="460" t="s">
        <v>2339</v>
      </c>
      <c r="E1384" s="460" t="s">
        <v>2327</v>
      </c>
      <c r="F1384" s="460">
        <v>2</v>
      </c>
      <c r="G1384" s="460">
        <v>3</v>
      </c>
      <c r="H1384" s="461" t="s">
        <v>746</v>
      </c>
      <c r="I1384" s="461" t="s">
        <v>762</v>
      </c>
      <c r="J1384" s="461" t="s">
        <v>700</v>
      </c>
      <c r="K1384" s="594"/>
      <c r="L1384" s="594"/>
      <c r="M1384" s="352">
        <v>2000</v>
      </c>
      <c r="N1384" s="352" t="s">
        <v>703</v>
      </c>
      <c r="O1384" s="460">
        <v>2124</v>
      </c>
      <c r="P1384" s="460" t="s">
        <v>767</v>
      </c>
      <c r="Q1384" s="460" t="s">
        <v>2444</v>
      </c>
      <c r="R1384" s="460">
        <v>2124</v>
      </c>
      <c r="S1384" s="460" t="s">
        <v>2324</v>
      </c>
      <c r="T1384" s="462">
        <v>1</v>
      </c>
      <c r="U1384" s="460" t="s">
        <v>2327</v>
      </c>
      <c r="V1384" s="475">
        <v>0</v>
      </c>
      <c r="W1384" s="463" t="s">
        <v>2268</v>
      </c>
      <c r="X1384" s="463" t="s">
        <v>2268</v>
      </c>
      <c r="Y1384" s="463" t="s">
        <v>2290</v>
      </c>
      <c r="Z1384" s="463"/>
      <c r="AA1384" s="463"/>
      <c r="AB1384" s="464">
        <v>0</v>
      </c>
      <c r="AC1384" s="465">
        <v>0</v>
      </c>
      <c r="AD1384" s="465">
        <v>0</v>
      </c>
      <c r="AE1384" s="476">
        <v>0</v>
      </c>
      <c r="AF1384" s="467">
        <v>0</v>
      </c>
      <c r="AG1384" s="468">
        <v>0</v>
      </c>
      <c r="AH1384" s="218">
        <v>0</v>
      </c>
      <c r="AI1384" s="470">
        <v>0</v>
      </c>
      <c r="AJ1384" s="471">
        <v>0</v>
      </c>
      <c r="AK1384" s="218">
        <v>0</v>
      </c>
      <c r="AL1384" s="470">
        <v>0</v>
      </c>
      <c r="AM1384" s="471">
        <v>0</v>
      </c>
      <c r="AN1384" s="477">
        <v>0</v>
      </c>
      <c r="AO1384" s="473">
        <v>0</v>
      </c>
      <c r="AP1384" s="474">
        <v>0</v>
      </c>
      <c r="AQ1384" s="352"/>
      <c r="AR1384" s="352"/>
      <c r="AS1384" s="352"/>
      <c r="AT1384" s="352"/>
      <c r="AU1384" s="352"/>
      <c r="AV1384" s="352"/>
      <c r="AW1384" s="352" t="s">
        <v>254</v>
      </c>
    </row>
    <row r="1385" spans="2:49" x14ac:dyDescent="0.2">
      <c r="B1385" s="460" t="s">
        <v>2777</v>
      </c>
      <c r="C1385" s="460">
        <v>2124</v>
      </c>
      <c r="D1385" s="460" t="s">
        <v>2340</v>
      </c>
      <c r="E1385" s="460" t="s">
        <v>2330</v>
      </c>
      <c r="F1385" s="460">
        <v>3</v>
      </c>
      <c r="G1385" s="460">
        <v>3</v>
      </c>
      <c r="H1385" s="461" t="s">
        <v>746</v>
      </c>
      <c r="I1385" s="461" t="s">
        <v>762</v>
      </c>
      <c r="J1385" s="461" t="s">
        <v>700</v>
      </c>
      <c r="K1385" s="594"/>
      <c r="L1385" s="594"/>
      <c r="M1385" s="352">
        <v>2000</v>
      </c>
      <c r="N1385" s="352" t="s">
        <v>703</v>
      </c>
      <c r="O1385" s="460">
        <v>2124</v>
      </c>
      <c r="P1385" s="460" t="s">
        <v>767</v>
      </c>
      <c r="Q1385" s="460" t="s">
        <v>2444</v>
      </c>
      <c r="R1385" s="460">
        <v>2124</v>
      </c>
      <c r="S1385" s="460" t="s">
        <v>2324</v>
      </c>
      <c r="T1385" s="462">
        <v>1</v>
      </c>
      <c r="U1385" s="460" t="s">
        <v>2330</v>
      </c>
      <c r="V1385" s="475">
        <v>0</v>
      </c>
      <c r="W1385" s="463" t="s">
        <v>2268</v>
      </c>
      <c r="X1385" s="463" t="s">
        <v>2268</v>
      </c>
      <c r="Y1385" s="463" t="s">
        <v>2290</v>
      </c>
      <c r="Z1385" s="463"/>
      <c r="AA1385" s="463"/>
      <c r="AB1385" s="464">
        <v>0</v>
      </c>
      <c r="AC1385" s="465">
        <v>0</v>
      </c>
      <c r="AD1385" s="465">
        <v>0</v>
      </c>
      <c r="AE1385" s="476">
        <v>0</v>
      </c>
      <c r="AF1385" s="467">
        <v>0</v>
      </c>
      <c r="AG1385" s="468">
        <v>0</v>
      </c>
      <c r="AH1385" s="218">
        <v>0</v>
      </c>
      <c r="AI1385" s="470">
        <v>0</v>
      </c>
      <c r="AJ1385" s="471">
        <v>0</v>
      </c>
      <c r="AK1385" s="218">
        <v>0</v>
      </c>
      <c r="AL1385" s="470">
        <v>0</v>
      </c>
      <c r="AM1385" s="471">
        <v>0</v>
      </c>
      <c r="AN1385" s="477">
        <v>0</v>
      </c>
      <c r="AO1385" s="473">
        <v>0</v>
      </c>
      <c r="AP1385" s="474">
        <v>0</v>
      </c>
      <c r="AQ1385" s="352"/>
      <c r="AR1385" s="352"/>
      <c r="AS1385" s="352"/>
      <c r="AT1385" s="352"/>
      <c r="AU1385" s="352"/>
      <c r="AV1385" s="352"/>
      <c r="AW1385" s="352" t="s">
        <v>254</v>
      </c>
    </row>
    <row r="1386" spans="2:49" x14ac:dyDescent="0.2">
      <c r="B1386" s="460" t="s">
        <v>2778</v>
      </c>
      <c r="C1386" s="460">
        <v>2124</v>
      </c>
      <c r="D1386" s="460" t="s">
        <v>2341</v>
      </c>
      <c r="E1386" s="460" t="s">
        <v>2333</v>
      </c>
      <c r="F1386" s="460">
        <v>4</v>
      </c>
      <c r="G1386" s="460">
        <v>3</v>
      </c>
      <c r="H1386" s="461" t="s">
        <v>746</v>
      </c>
      <c r="I1386" s="461" t="s">
        <v>762</v>
      </c>
      <c r="J1386" s="461" t="s">
        <v>700</v>
      </c>
      <c r="K1386" s="594"/>
      <c r="L1386" s="594"/>
      <c r="M1386" s="352">
        <v>2000</v>
      </c>
      <c r="N1386" s="352" t="s">
        <v>703</v>
      </c>
      <c r="O1386" s="460">
        <v>2124</v>
      </c>
      <c r="P1386" s="460" t="s">
        <v>767</v>
      </c>
      <c r="Q1386" s="460" t="s">
        <v>2444</v>
      </c>
      <c r="R1386" s="460">
        <v>2124</v>
      </c>
      <c r="S1386" s="460" t="s">
        <v>2333</v>
      </c>
      <c r="T1386" s="462">
        <v>1</v>
      </c>
      <c r="U1386" s="460" t="s">
        <v>2333</v>
      </c>
      <c r="V1386" s="475">
        <v>0</v>
      </c>
      <c r="W1386" s="463" t="s">
        <v>2268</v>
      </c>
      <c r="X1386" s="463" t="s">
        <v>2268</v>
      </c>
      <c r="Y1386" s="463" t="s">
        <v>2290</v>
      </c>
      <c r="Z1386" s="463"/>
      <c r="AA1386" s="463"/>
      <c r="AB1386" s="464">
        <v>0</v>
      </c>
      <c r="AC1386" s="465">
        <v>0</v>
      </c>
      <c r="AD1386" s="465">
        <v>0</v>
      </c>
      <c r="AE1386" s="476">
        <v>0</v>
      </c>
      <c r="AF1386" s="467">
        <v>0</v>
      </c>
      <c r="AG1386" s="468">
        <v>0</v>
      </c>
      <c r="AH1386" s="218">
        <v>0</v>
      </c>
      <c r="AI1386" s="470">
        <v>0</v>
      </c>
      <c r="AJ1386" s="471">
        <v>0</v>
      </c>
      <c r="AK1386" s="218">
        <v>0</v>
      </c>
      <c r="AL1386" s="470">
        <v>0</v>
      </c>
      <c r="AM1386" s="471">
        <v>0</v>
      </c>
      <c r="AN1386" s="477">
        <v>0</v>
      </c>
      <c r="AO1386" s="473">
        <v>0</v>
      </c>
      <c r="AP1386" s="474">
        <v>0</v>
      </c>
      <c r="AQ1386" s="352"/>
      <c r="AR1386" s="352"/>
      <c r="AS1386" s="352"/>
      <c r="AT1386" s="352"/>
      <c r="AU1386" s="352"/>
      <c r="AV1386" s="352"/>
      <c r="AW1386" s="352" t="s">
        <v>254</v>
      </c>
    </row>
    <row r="1387" spans="2:49" x14ac:dyDescent="0.2">
      <c r="B1387" s="460" t="s">
        <v>2775</v>
      </c>
      <c r="C1387" s="460">
        <v>2124</v>
      </c>
      <c r="D1387" s="460" t="s">
        <v>2342</v>
      </c>
      <c r="E1387" s="460" t="s">
        <v>2324</v>
      </c>
      <c r="F1387" s="460">
        <v>1</v>
      </c>
      <c r="G1387" s="460">
        <v>3</v>
      </c>
      <c r="H1387" s="461" t="s">
        <v>748</v>
      </c>
      <c r="I1387" s="461" t="s">
        <v>765</v>
      </c>
      <c r="J1387" s="461" t="s">
        <v>700</v>
      </c>
      <c r="K1387" s="594"/>
      <c r="L1387" s="594"/>
      <c r="M1387" s="352">
        <v>2000</v>
      </c>
      <c r="N1387" s="352" t="s">
        <v>703</v>
      </c>
      <c r="O1387" s="460">
        <v>2124</v>
      </c>
      <c r="P1387" s="460" t="s">
        <v>767</v>
      </c>
      <c r="Q1387" s="460" t="s">
        <v>2440</v>
      </c>
      <c r="R1387" s="460">
        <v>2124</v>
      </c>
      <c r="S1387" s="460" t="s">
        <v>2324</v>
      </c>
      <c r="T1387" s="462">
        <v>1</v>
      </c>
      <c r="U1387" s="460" t="s">
        <v>2324</v>
      </c>
      <c r="V1387" s="475">
        <v>0</v>
      </c>
      <c r="W1387" s="463" t="s">
        <v>2268</v>
      </c>
      <c r="X1387" s="463" t="s">
        <v>2268</v>
      </c>
      <c r="Y1387" s="463" t="s">
        <v>2267</v>
      </c>
      <c r="Z1387" s="463"/>
      <c r="AA1387" s="463"/>
      <c r="AB1387" s="464">
        <v>0</v>
      </c>
      <c r="AC1387" s="465">
        <v>0</v>
      </c>
      <c r="AD1387" s="465">
        <v>0</v>
      </c>
      <c r="AE1387" s="476">
        <v>0</v>
      </c>
      <c r="AF1387" s="467">
        <v>0</v>
      </c>
      <c r="AG1387" s="468">
        <v>0</v>
      </c>
      <c r="AH1387" s="218">
        <v>0</v>
      </c>
      <c r="AI1387" s="470">
        <v>0</v>
      </c>
      <c r="AJ1387" s="471">
        <v>0</v>
      </c>
      <c r="AK1387" s="218">
        <v>0</v>
      </c>
      <c r="AL1387" s="470">
        <v>0</v>
      </c>
      <c r="AM1387" s="471">
        <v>0</v>
      </c>
      <c r="AN1387" s="477">
        <v>58.953138784842693</v>
      </c>
      <c r="AO1387" s="473">
        <v>0.37343622070077093</v>
      </c>
      <c r="AP1387" s="474">
        <v>3.068617887911222E-3</v>
      </c>
      <c r="AQ1387" s="352"/>
      <c r="AR1387" s="352"/>
      <c r="AS1387" s="352"/>
      <c r="AT1387" s="352"/>
      <c r="AU1387" s="352"/>
      <c r="AV1387" s="352"/>
      <c r="AW1387" s="352" t="s">
        <v>254</v>
      </c>
    </row>
    <row r="1388" spans="2:49" x14ac:dyDescent="0.2">
      <c r="B1388" s="460" t="s">
        <v>2776</v>
      </c>
      <c r="C1388" s="460">
        <v>2124</v>
      </c>
      <c r="D1388" s="460" t="s">
        <v>2343</v>
      </c>
      <c r="E1388" s="460" t="s">
        <v>2327</v>
      </c>
      <c r="F1388" s="460">
        <v>2</v>
      </c>
      <c r="G1388" s="460">
        <v>3</v>
      </c>
      <c r="H1388" s="461" t="s">
        <v>748</v>
      </c>
      <c r="I1388" s="461" t="s">
        <v>765</v>
      </c>
      <c r="J1388" s="461" t="s">
        <v>700</v>
      </c>
      <c r="K1388" s="594"/>
      <c r="L1388" s="594"/>
      <c r="M1388" s="352">
        <v>2000</v>
      </c>
      <c r="N1388" s="352" t="s">
        <v>703</v>
      </c>
      <c r="O1388" s="460">
        <v>2124</v>
      </c>
      <c r="P1388" s="460" t="s">
        <v>767</v>
      </c>
      <c r="Q1388" s="460" t="s">
        <v>2440</v>
      </c>
      <c r="R1388" s="460">
        <v>2124</v>
      </c>
      <c r="S1388" s="460" t="s">
        <v>2324</v>
      </c>
      <c r="T1388" s="462">
        <v>1</v>
      </c>
      <c r="U1388" s="460" t="s">
        <v>2327</v>
      </c>
      <c r="V1388" s="475">
        <v>0</v>
      </c>
      <c r="W1388" s="463" t="s">
        <v>2268</v>
      </c>
      <c r="X1388" s="463" t="s">
        <v>2268</v>
      </c>
      <c r="Y1388" s="463" t="s">
        <v>2267</v>
      </c>
      <c r="Z1388" s="463"/>
      <c r="AA1388" s="463"/>
      <c r="AB1388" s="464">
        <v>0</v>
      </c>
      <c r="AC1388" s="465">
        <v>0</v>
      </c>
      <c r="AD1388" s="465">
        <v>0</v>
      </c>
      <c r="AE1388" s="476">
        <v>0</v>
      </c>
      <c r="AF1388" s="467">
        <v>0</v>
      </c>
      <c r="AG1388" s="468">
        <v>0</v>
      </c>
      <c r="AH1388" s="218">
        <v>0</v>
      </c>
      <c r="AI1388" s="470">
        <v>0</v>
      </c>
      <c r="AJ1388" s="471">
        <v>0</v>
      </c>
      <c r="AK1388" s="218">
        <v>0</v>
      </c>
      <c r="AL1388" s="470">
        <v>0</v>
      </c>
      <c r="AM1388" s="471">
        <v>0</v>
      </c>
      <c r="AN1388" s="477">
        <v>29.422613624220087</v>
      </c>
      <c r="AO1388" s="473">
        <v>0.37343622070077093</v>
      </c>
      <c r="AP1388" s="474">
        <v>2.6154794717928006E-3</v>
      </c>
      <c r="AQ1388" s="352"/>
      <c r="AR1388" s="352"/>
      <c r="AS1388" s="352"/>
      <c r="AT1388" s="352"/>
      <c r="AU1388" s="352"/>
      <c r="AV1388" s="352"/>
      <c r="AW1388" s="352" t="s">
        <v>254</v>
      </c>
    </row>
    <row r="1389" spans="2:49" x14ac:dyDescent="0.2">
      <c r="B1389" s="460" t="s">
        <v>2777</v>
      </c>
      <c r="C1389" s="460">
        <v>2124</v>
      </c>
      <c r="D1389" s="460" t="s">
        <v>2344</v>
      </c>
      <c r="E1389" s="460" t="s">
        <v>2330</v>
      </c>
      <c r="F1389" s="460">
        <v>3</v>
      </c>
      <c r="G1389" s="460">
        <v>3</v>
      </c>
      <c r="H1389" s="461" t="s">
        <v>748</v>
      </c>
      <c r="I1389" s="461" t="s">
        <v>765</v>
      </c>
      <c r="J1389" s="461" t="s">
        <v>700</v>
      </c>
      <c r="K1389" s="594"/>
      <c r="L1389" s="594"/>
      <c r="M1389" s="352">
        <v>2000</v>
      </c>
      <c r="N1389" s="352" t="s">
        <v>703</v>
      </c>
      <c r="O1389" s="460">
        <v>2124</v>
      </c>
      <c r="P1389" s="460" t="s">
        <v>767</v>
      </c>
      <c r="Q1389" s="460" t="s">
        <v>2440</v>
      </c>
      <c r="R1389" s="460">
        <v>2124</v>
      </c>
      <c r="S1389" s="460" t="s">
        <v>2324</v>
      </c>
      <c r="T1389" s="462">
        <v>1</v>
      </c>
      <c r="U1389" s="460" t="s">
        <v>2330</v>
      </c>
      <c r="V1389" s="475">
        <v>0</v>
      </c>
      <c r="W1389" s="463" t="s">
        <v>2268</v>
      </c>
      <c r="X1389" s="463" t="s">
        <v>2268</v>
      </c>
      <c r="Y1389" s="463" t="s">
        <v>2267</v>
      </c>
      <c r="Z1389" s="463"/>
      <c r="AA1389" s="463"/>
      <c r="AB1389" s="464">
        <v>0</v>
      </c>
      <c r="AC1389" s="465">
        <v>0</v>
      </c>
      <c r="AD1389" s="465">
        <v>0</v>
      </c>
      <c r="AE1389" s="476">
        <v>0</v>
      </c>
      <c r="AF1389" s="467">
        <v>0</v>
      </c>
      <c r="AG1389" s="468">
        <v>0</v>
      </c>
      <c r="AH1389" s="218">
        <v>0</v>
      </c>
      <c r="AI1389" s="470">
        <v>0</v>
      </c>
      <c r="AJ1389" s="471">
        <v>0</v>
      </c>
      <c r="AK1389" s="218">
        <v>0</v>
      </c>
      <c r="AL1389" s="470">
        <v>0</v>
      </c>
      <c r="AM1389" s="471">
        <v>0</v>
      </c>
      <c r="AN1389" s="477">
        <v>9.6715991080971957</v>
      </c>
      <c r="AO1389" s="473">
        <v>0.37343622070077093</v>
      </c>
      <c r="AP1389" s="474">
        <v>2.6363107747719768E-3</v>
      </c>
      <c r="AQ1389" s="352"/>
      <c r="AR1389" s="352"/>
      <c r="AS1389" s="352"/>
      <c r="AT1389" s="352"/>
      <c r="AU1389" s="352"/>
      <c r="AV1389" s="352"/>
      <c r="AW1389" s="352" t="s">
        <v>254</v>
      </c>
    </row>
    <row r="1390" spans="2:49" x14ac:dyDescent="0.2">
      <c r="B1390" s="460" t="s">
        <v>2778</v>
      </c>
      <c r="C1390" s="460">
        <v>2124</v>
      </c>
      <c r="D1390" s="460" t="s">
        <v>2345</v>
      </c>
      <c r="E1390" s="460" t="s">
        <v>2333</v>
      </c>
      <c r="F1390" s="460">
        <v>4</v>
      </c>
      <c r="G1390" s="460">
        <v>3</v>
      </c>
      <c r="H1390" s="461" t="s">
        <v>748</v>
      </c>
      <c r="I1390" s="461" t="s">
        <v>765</v>
      </c>
      <c r="J1390" s="461" t="s">
        <v>700</v>
      </c>
      <c r="K1390" s="594"/>
      <c r="L1390" s="594"/>
      <c r="M1390" s="352">
        <v>2000</v>
      </c>
      <c r="N1390" s="352" t="s">
        <v>703</v>
      </c>
      <c r="O1390" s="460">
        <v>2124</v>
      </c>
      <c r="P1390" s="460" t="s">
        <v>767</v>
      </c>
      <c r="Q1390" s="460" t="s">
        <v>2440</v>
      </c>
      <c r="R1390" s="460">
        <v>2124</v>
      </c>
      <c r="S1390" s="460" t="s">
        <v>2333</v>
      </c>
      <c r="T1390" s="462">
        <v>1</v>
      </c>
      <c r="U1390" s="460" t="s">
        <v>2333</v>
      </c>
      <c r="V1390" s="475">
        <v>0</v>
      </c>
      <c r="W1390" s="463" t="s">
        <v>2268</v>
      </c>
      <c r="X1390" s="463" t="s">
        <v>2268</v>
      </c>
      <c r="Y1390" s="463" t="s">
        <v>2278</v>
      </c>
      <c r="Z1390" s="463"/>
      <c r="AA1390" s="463"/>
      <c r="AB1390" s="464">
        <v>0</v>
      </c>
      <c r="AC1390" s="465">
        <v>0</v>
      </c>
      <c r="AD1390" s="465">
        <v>0</v>
      </c>
      <c r="AE1390" s="476">
        <v>0</v>
      </c>
      <c r="AF1390" s="467">
        <v>0</v>
      </c>
      <c r="AG1390" s="468">
        <v>0</v>
      </c>
      <c r="AH1390" s="218">
        <v>0</v>
      </c>
      <c r="AI1390" s="470">
        <v>0</v>
      </c>
      <c r="AJ1390" s="471">
        <v>0</v>
      </c>
      <c r="AK1390" s="218">
        <v>0</v>
      </c>
      <c r="AL1390" s="470">
        <v>0</v>
      </c>
      <c r="AM1390" s="471">
        <v>0</v>
      </c>
      <c r="AN1390" s="477">
        <v>8.8720459716611827E-2</v>
      </c>
      <c r="AO1390" s="473">
        <v>3.5199454811891233E-3</v>
      </c>
      <c r="AP1390" s="474">
        <v>5.5248407014816473E-5</v>
      </c>
      <c r="AQ1390" s="352"/>
      <c r="AR1390" s="352"/>
      <c r="AS1390" s="352"/>
      <c r="AT1390" s="352"/>
      <c r="AU1390" s="352"/>
      <c r="AV1390" s="352"/>
      <c r="AW1390" s="352" t="s">
        <v>254</v>
      </c>
    </row>
    <row r="1391" spans="2:49" x14ac:dyDescent="0.2">
      <c r="B1391" s="460" t="s">
        <v>2775</v>
      </c>
      <c r="C1391" s="460">
        <v>2124</v>
      </c>
      <c r="D1391" s="460" t="s">
        <v>2346</v>
      </c>
      <c r="E1391" s="460" t="s">
        <v>2324</v>
      </c>
      <c r="F1391" s="460">
        <v>1</v>
      </c>
      <c r="G1391" s="460">
        <v>3</v>
      </c>
      <c r="H1391" s="461" t="s">
        <v>752</v>
      </c>
      <c r="I1391" s="461" t="s">
        <v>964</v>
      </c>
      <c r="J1391" s="461" t="s">
        <v>752</v>
      </c>
      <c r="K1391" s="594"/>
      <c r="L1391" s="594"/>
      <c r="M1391" s="352">
        <v>2000</v>
      </c>
      <c r="N1391" s="352" t="s">
        <v>703</v>
      </c>
      <c r="O1391" s="460">
        <v>2124</v>
      </c>
      <c r="P1391" s="460" t="s">
        <v>767</v>
      </c>
      <c r="Q1391" s="460" t="s">
        <v>2440</v>
      </c>
      <c r="R1391" s="460">
        <v>2124</v>
      </c>
      <c r="S1391" s="460" t="s">
        <v>2324</v>
      </c>
      <c r="T1391" s="462">
        <v>1</v>
      </c>
      <c r="U1391" s="460" t="s">
        <v>2324</v>
      </c>
      <c r="V1391" s="475">
        <v>0</v>
      </c>
      <c r="W1391" s="463" t="s">
        <v>2278</v>
      </c>
      <c r="X1391" s="463" t="s">
        <v>2278</v>
      </c>
      <c r="Y1391" s="463" t="s">
        <v>2278</v>
      </c>
      <c r="Z1391" s="463"/>
      <c r="AA1391" s="463"/>
      <c r="AB1391" s="464">
        <v>0</v>
      </c>
      <c r="AC1391" s="465">
        <v>0</v>
      </c>
      <c r="AD1391" s="465">
        <v>0</v>
      </c>
      <c r="AE1391" s="476">
        <v>0</v>
      </c>
      <c r="AF1391" s="467">
        <v>0</v>
      </c>
      <c r="AG1391" s="468">
        <v>0</v>
      </c>
      <c r="AH1391" s="218">
        <v>0</v>
      </c>
      <c r="AI1391" s="470">
        <v>0</v>
      </c>
      <c r="AJ1391" s="471">
        <v>0</v>
      </c>
      <c r="AK1391" s="218">
        <v>0</v>
      </c>
      <c r="AL1391" s="470">
        <v>0</v>
      </c>
      <c r="AM1391" s="471">
        <v>0</v>
      </c>
      <c r="AN1391" s="477">
        <v>0</v>
      </c>
      <c r="AO1391" s="473">
        <v>0</v>
      </c>
      <c r="AP1391" s="474">
        <v>0</v>
      </c>
      <c r="AQ1391" s="352"/>
      <c r="AR1391" s="352"/>
      <c r="AS1391" s="352"/>
      <c r="AT1391" s="352"/>
      <c r="AU1391" s="352"/>
      <c r="AV1391" s="352"/>
      <c r="AW1391" s="352" t="s">
        <v>254</v>
      </c>
    </row>
    <row r="1392" spans="2:49" x14ac:dyDescent="0.2">
      <c r="B1392" s="460" t="s">
        <v>2776</v>
      </c>
      <c r="C1392" s="460">
        <v>2124</v>
      </c>
      <c r="D1392" s="460" t="s">
        <v>2347</v>
      </c>
      <c r="E1392" s="460" t="s">
        <v>2327</v>
      </c>
      <c r="F1392" s="460">
        <v>2</v>
      </c>
      <c r="G1392" s="460">
        <v>3</v>
      </c>
      <c r="H1392" s="461" t="s">
        <v>752</v>
      </c>
      <c r="I1392" s="461" t="s">
        <v>964</v>
      </c>
      <c r="J1392" s="461" t="s">
        <v>752</v>
      </c>
      <c r="K1392" s="594"/>
      <c r="L1392" s="594"/>
      <c r="M1392" s="352">
        <v>2000</v>
      </c>
      <c r="N1392" s="352" t="s">
        <v>703</v>
      </c>
      <c r="O1392" s="460">
        <v>2124</v>
      </c>
      <c r="P1392" s="460" t="s">
        <v>767</v>
      </c>
      <c r="Q1392" s="460" t="s">
        <v>2440</v>
      </c>
      <c r="R1392" s="460">
        <v>2124</v>
      </c>
      <c r="S1392" s="460" t="s">
        <v>2324</v>
      </c>
      <c r="T1392" s="462">
        <v>1</v>
      </c>
      <c r="U1392" s="460" t="s">
        <v>2327</v>
      </c>
      <c r="V1392" s="475">
        <v>0</v>
      </c>
      <c r="W1392" s="463" t="s">
        <v>2278</v>
      </c>
      <c r="X1392" s="463" t="s">
        <v>2278</v>
      </c>
      <c r="Y1392" s="463" t="s">
        <v>2278</v>
      </c>
      <c r="Z1392" s="463"/>
      <c r="AA1392" s="463"/>
      <c r="AB1392" s="464">
        <v>0</v>
      </c>
      <c r="AC1392" s="465">
        <v>0</v>
      </c>
      <c r="AD1392" s="465">
        <v>0</v>
      </c>
      <c r="AE1392" s="476">
        <v>0</v>
      </c>
      <c r="AF1392" s="467">
        <v>0</v>
      </c>
      <c r="AG1392" s="468">
        <v>0</v>
      </c>
      <c r="AH1392" s="218">
        <v>0</v>
      </c>
      <c r="AI1392" s="470">
        <v>0</v>
      </c>
      <c r="AJ1392" s="471">
        <v>0</v>
      </c>
      <c r="AK1392" s="218">
        <v>0</v>
      </c>
      <c r="AL1392" s="470">
        <v>0</v>
      </c>
      <c r="AM1392" s="471">
        <v>0</v>
      </c>
      <c r="AN1392" s="477">
        <v>0</v>
      </c>
      <c r="AO1392" s="473">
        <v>0</v>
      </c>
      <c r="AP1392" s="474">
        <v>0</v>
      </c>
      <c r="AQ1392" s="352"/>
      <c r="AR1392" s="352"/>
      <c r="AS1392" s="352"/>
      <c r="AT1392" s="352"/>
      <c r="AU1392" s="352"/>
      <c r="AV1392" s="352"/>
      <c r="AW1392" s="352" t="s">
        <v>254</v>
      </c>
    </row>
    <row r="1393" spans="2:49" x14ac:dyDescent="0.2">
      <c r="B1393" s="460" t="s">
        <v>2777</v>
      </c>
      <c r="C1393" s="460">
        <v>2124</v>
      </c>
      <c r="D1393" s="460" t="s">
        <v>2348</v>
      </c>
      <c r="E1393" s="460" t="s">
        <v>2330</v>
      </c>
      <c r="F1393" s="460">
        <v>3</v>
      </c>
      <c r="G1393" s="460">
        <v>3</v>
      </c>
      <c r="H1393" s="461" t="s">
        <v>752</v>
      </c>
      <c r="I1393" s="461" t="s">
        <v>964</v>
      </c>
      <c r="J1393" s="461" t="s">
        <v>752</v>
      </c>
      <c r="K1393" s="594"/>
      <c r="L1393" s="594"/>
      <c r="M1393" s="352">
        <v>2000</v>
      </c>
      <c r="N1393" s="352" t="s">
        <v>703</v>
      </c>
      <c r="O1393" s="460">
        <v>2124</v>
      </c>
      <c r="P1393" s="460" t="s">
        <v>767</v>
      </c>
      <c r="Q1393" s="460" t="s">
        <v>2440</v>
      </c>
      <c r="R1393" s="460">
        <v>2124</v>
      </c>
      <c r="S1393" s="460" t="s">
        <v>2324</v>
      </c>
      <c r="T1393" s="462">
        <v>1</v>
      </c>
      <c r="U1393" s="460" t="s">
        <v>2330</v>
      </c>
      <c r="V1393" s="475">
        <v>0</v>
      </c>
      <c r="W1393" s="463" t="s">
        <v>2278</v>
      </c>
      <c r="X1393" s="463" t="s">
        <v>2278</v>
      </c>
      <c r="Y1393" s="463" t="s">
        <v>2278</v>
      </c>
      <c r="Z1393" s="463"/>
      <c r="AA1393" s="463"/>
      <c r="AB1393" s="464">
        <v>0</v>
      </c>
      <c r="AC1393" s="465">
        <v>0</v>
      </c>
      <c r="AD1393" s="465">
        <v>0</v>
      </c>
      <c r="AE1393" s="476">
        <v>0</v>
      </c>
      <c r="AF1393" s="467">
        <v>0</v>
      </c>
      <c r="AG1393" s="468">
        <v>0</v>
      </c>
      <c r="AH1393" s="218">
        <v>0</v>
      </c>
      <c r="AI1393" s="470">
        <v>0</v>
      </c>
      <c r="AJ1393" s="471">
        <v>0</v>
      </c>
      <c r="AK1393" s="218">
        <v>0</v>
      </c>
      <c r="AL1393" s="470">
        <v>0</v>
      </c>
      <c r="AM1393" s="471">
        <v>0</v>
      </c>
      <c r="AN1393" s="477">
        <v>0</v>
      </c>
      <c r="AO1393" s="473">
        <v>0</v>
      </c>
      <c r="AP1393" s="474">
        <v>0</v>
      </c>
      <c r="AQ1393" s="352"/>
      <c r="AR1393" s="352"/>
      <c r="AS1393" s="352"/>
      <c r="AT1393" s="352"/>
      <c r="AU1393" s="352"/>
      <c r="AV1393" s="352"/>
      <c r="AW1393" s="352" t="s">
        <v>254</v>
      </c>
    </row>
    <row r="1394" spans="2:49" x14ac:dyDescent="0.2">
      <c r="B1394" s="460" t="s">
        <v>2778</v>
      </c>
      <c r="C1394" s="460">
        <v>2124</v>
      </c>
      <c r="D1394" s="460" t="s">
        <v>2349</v>
      </c>
      <c r="E1394" s="460" t="s">
        <v>2333</v>
      </c>
      <c r="F1394" s="460">
        <v>4</v>
      </c>
      <c r="G1394" s="460">
        <v>3</v>
      </c>
      <c r="H1394" s="461" t="s">
        <v>752</v>
      </c>
      <c r="I1394" s="461" t="s">
        <v>964</v>
      </c>
      <c r="J1394" s="461" t="s">
        <v>752</v>
      </c>
      <c r="K1394" s="594"/>
      <c r="L1394" s="594"/>
      <c r="M1394" s="352">
        <v>2000</v>
      </c>
      <c r="N1394" s="352" t="s">
        <v>703</v>
      </c>
      <c r="O1394" s="460">
        <v>2124</v>
      </c>
      <c r="P1394" s="460" t="s">
        <v>767</v>
      </c>
      <c r="Q1394" s="460" t="s">
        <v>2440</v>
      </c>
      <c r="R1394" s="460">
        <v>2124</v>
      </c>
      <c r="S1394" s="460" t="s">
        <v>2333</v>
      </c>
      <c r="T1394" s="462">
        <v>1</v>
      </c>
      <c r="U1394" s="460" t="s">
        <v>2333</v>
      </c>
      <c r="V1394" s="475">
        <v>0</v>
      </c>
      <c r="W1394" s="463" t="s">
        <v>2278</v>
      </c>
      <c r="X1394" s="463" t="s">
        <v>2278</v>
      </c>
      <c r="Y1394" s="463" t="s">
        <v>2278</v>
      </c>
      <c r="Z1394" s="463"/>
      <c r="AA1394" s="463"/>
      <c r="AB1394" s="464">
        <v>0</v>
      </c>
      <c r="AC1394" s="465">
        <v>0</v>
      </c>
      <c r="AD1394" s="465">
        <v>0</v>
      </c>
      <c r="AE1394" s="476">
        <v>0</v>
      </c>
      <c r="AF1394" s="467">
        <v>0</v>
      </c>
      <c r="AG1394" s="468">
        <v>0</v>
      </c>
      <c r="AH1394" s="218">
        <v>0</v>
      </c>
      <c r="AI1394" s="470">
        <v>0</v>
      </c>
      <c r="AJ1394" s="471">
        <v>0</v>
      </c>
      <c r="AK1394" s="218">
        <v>0</v>
      </c>
      <c r="AL1394" s="470">
        <v>0</v>
      </c>
      <c r="AM1394" s="471">
        <v>0</v>
      </c>
      <c r="AN1394" s="477">
        <v>0</v>
      </c>
      <c r="AO1394" s="473">
        <v>0</v>
      </c>
      <c r="AP1394" s="474">
        <v>0</v>
      </c>
      <c r="AQ1394" s="352"/>
      <c r="AR1394" s="352"/>
      <c r="AS1394" s="352"/>
      <c r="AT1394" s="352"/>
      <c r="AU1394" s="352"/>
      <c r="AV1394" s="352"/>
      <c r="AW1394" s="352" t="s">
        <v>254</v>
      </c>
    </row>
    <row r="1395" spans="2:49" x14ac:dyDescent="0.2">
      <c r="B1395" s="460" t="s">
        <v>2779</v>
      </c>
      <c r="C1395" s="460">
        <v>2124</v>
      </c>
      <c r="D1395" s="460" t="s">
        <v>2351</v>
      </c>
      <c r="E1395" s="460" t="s">
        <v>1136</v>
      </c>
      <c r="F1395" s="460">
        <v>1</v>
      </c>
      <c r="G1395" s="460">
        <v>4</v>
      </c>
      <c r="H1395" s="461" t="s">
        <v>700</v>
      </c>
      <c r="I1395" s="461" t="s">
        <v>872</v>
      </c>
      <c r="J1395" s="461" t="s">
        <v>700</v>
      </c>
      <c r="K1395" s="594"/>
      <c r="L1395" s="594"/>
      <c r="M1395" s="352">
        <v>2000</v>
      </c>
      <c r="N1395" s="352" t="s">
        <v>703</v>
      </c>
      <c r="O1395" s="460">
        <v>2124</v>
      </c>
      <c r="P1395" s="460" t="s">
        <v>767</v>
      </c>
      <c r="Q1395" s="460" t="s">
        <v>2440</v>
      </c>
      <c r="R1395" s="460">
        <v>2124</v>
      </c>
      <c r="S1395" s="460" t="s">
        <v>1136</v>
      </c>
      <c r="T1395" s="462">
        <v>1</v>
      </c>
      <c r="U1395" s="460" t="s">
        <v>1136</v>
      </c>
      <c r="V1395" s="475">
        <v>0</v>
      </c>
      <c r="W1395" s="463" t="s">
        <v>2267</v>
      </c>
      <c r="X1395" s="463" t="s">
        <v>2267</v>
      </c>
      <c r="Y1395" s="463" t="s">
        <v>2268</v>
      </c>
      <c r="Z1395" s="463"/>
      <c r="AA1395" s="463"/>
      <c r="AB1395" s="464">
        <v>1.4599368861339392</v>
      </c>
      <c r="AC1395" s="465">
        <v>0.20822530444009393</v>
      </c>
      <c r="AD1395" s="465">
        <v>4.1538259008571275E-3</v>
      </c>
      <c r="AE1395" s="476">
        <v>1.4599368861339392</v>
      </c>
      <c r="AF1395" s="467">
        <v>0.20822530444009393</v>
      </c>
      <c r="AG1395" s="468">
        <v>4.5154644876697504E-3</v>
      </c>
      <c r="AH1395" s="218">
        <v>1.4599368861339392</v>
      </c>
      <c r="AI1395" s="470">
        <v>0.20822530444009393</v>
      </c>
      <c r="AJ1395" s="471">
        <v>1.1401618358299003E-3</v>
      </c>
      <c r="AK1395" s="218">
        <v>1.4599368861339392</v>
      </c>
      <c r="AL1395" s="470">
        <v>0.20822530444009393</v>
      </c>
      <c r="AM1395" s="471">
        <v>1.1401618358299003E-3</v>
      </c>
      <c r="AN1395" s="477">
        <v>0</v>
      </c>
      <c r="AO1395" s="473">
        <v>0</v>
      </c>
      <c r="AP1395" s="474">
        <v>0</v>
      </c>
      <c r="AQ1395" s="352"/>
      <c r="AR1395" s="352"/>
      <c r="AS1395" s="352"/>
      <c r="AT1395" s="352"/>
      <c r="AU1395" s="352"/>
      <c r="AV1395" s="352"/>
      <c r="AW1395" s="352" t="s">
        <v>254</v>
      </c>
    </row>
    <row r="1396" spans="2:49" x14ac:dyDescent="0.2">
      <c r="B1396" s="460" t="s">
        <v>2780</v>
      </c>
      <c r="C1396" s="460">
        <v>2124</v>
      </c>
      <c r="D1396" s="460" t="s">
        <v>2353</v>
      </c>
      <c r="E1396" s="460" t="s">
        <v>1137</v>
      </c>
      <c r="F1396" s="460">
        <v>2</v>
      </c>
      <c r="G1396" s="460">
        <v>4</v>
      </c>
      <c r="H1396" s="461" t="s">
        <v>700</v>
      </c>
      <c r="I1396" s="461" t="s">
        <v>872</v>
      </c>
      <c r="J1396" s="461" t="s">
        <v>700</v>
      </c>
      <c r="K1396" s="594"/>
      <c r="L1396" s="594"/>
      <c r="M1396" s="352">
        <v>2000</v>
      </c>
      <c r="N1396" s="352" t="s">
        <v>703</v>
      </c>
      <c r="O1396" s="460">
        <v>2124</v>
      </c>
      <c r="P1396" s="460" t="s">
        <v>767</v>
      </c>
      <c r="Q1396" s="460" t="s">
        <v>2440</v>
      </c>
      <c r="R1396" s="460">
        <v>2124</v>
      </c>
      <c r="S1396" s="460" t="s">
        <v>1137</v>
      </c>
      <c r="T1396" s="462">
        <v>1</v>
      </c>
      <c r="U1396" s="460" t="s">
        <v>1137</v>
      </c>
      <c r="V1396" s="475">
        <v>0</v>
      </c>
      <c r="W1396" s="463" t="s">
        <v>2267</v>
      </c>
      <c r="X1396" s="463" t="s">
        <v>2267</v>
      </c>
      <c r="Y1396" s="463" t="s">
        <v>2268</v>
      </c>
      <c r="Z1396" s="463"/>
      <c r="AA1396" s="463"/>
      <c r="AB1396" s="464">
        <v>4.2933031583259895</v>
      </c>
      <c r="AC1396" s="465">
        <v>0.20698697152956225</v>
      </c>
      <c r="AD1396" s="465">
        <v>9.6949277396656008E-4</v>
      </c>
      <c r="AE1396" s="476">
        <v>4.2933031583259895</v>
      </c>
      <c r="AF1396" s="467">
        <v>0.20698697152956225</v>
      </c>
      <c r="AG1396" s="468">
        <v>1.0444643646337721E-3</v>
      </c>
      <c r="AH1396" s="218">
        <v>4.2933031583259895</v>
      </c>
      <c r="AI1396" s="470">
        <v>0.20698697152956225</v>
      </c>
      <c r="AJ1396" s="471">
        <v>8.870369107493324E-4</v>
      </c>
      <c r="AK1396" s="218">
        <v>4.2933031583259895</v>
      </c>
      <c r="AL1396" s="470">
        <v>0.20698697152956225</v>
      </c>
      <c r="AM1396" s="471">
        <v>8.870369107493324E-4</v>
      </c>
      <c r="AN1396" s="477">
        <v>0</v>
      </c>
      <c r="AO1396" s="473">
        <v>0</v>
      </c>
      <c r="AP1396" s="474">
        <v>0</v>
      </c>
      <c r="AQ1396" s="352"/>
      <c r="AR1396" s="352"/>
      <c r="AS1396" s="352"/>
      <c r="AT1396" s="352"/>
      <c r="AU1396" s="352"/>
      <c r="AV1396" s="352"/>
      <c r="AW1396" s="352" t="s">
        <v>254</v>
      </c>
    </row>
    <row r="1397" spans="2:49" x14ac:dyDescent="0.2">
      <c r="B1397" s="460" t="s">
        <v>2781</v>
      </c>
      <c r="C1397" s="460">
        <v>2124</v>
      </c>
      <c r="D1397" s="460" t="s">
        <v>2355</v>
      </c>
      <c r="E1397" s="460" t="s">
        <v>1138</v>
      </c>
      <c r="F1397" s="460">
        <v>3</v>
      </c>
      <c r="G1397" s="460">
        <v>4</v>
      </c>
      <c r="H1397" s="461" t="s">
        <v>700</v>
      </c>
      <c r="I1397" s="461" t="s">
        <v>872</v>
      </c>
      <c r="J1397" s="461" t="s">
        <v>700</v>
      </c>
      <c r="K1397" s="594"/>
      <c r="L1397" s="594"/>
      <c r="M1397" s="352">
        <v>2000</v>
      </c>
      <c r="N1397" s="352" t="s">
        <v>703</v>
      </c>
      <c r="O1397" s="460">
        <v>2124</v>
      </c>
      <c r="P1397" s="460" t="s">
        <v>767</v>
      </c>
      <c r="Q1397" s="460" t="s">
        <v>2440</v>
      </c>
      <c r="R1397" s="460">
        <v>2124</v>
      </c>
      <c r="S1397" s="460" t="s">
        <v>1138</v>
      </c>
      <c r="T1397" s="462">
        <v>1</v>
      </c>
      <c r="U1397" s="460" t="s">
        <v>1138</v>
      </c>
      <c r="V1397" s="475">
        <v>0</v>
      </c>
      <c r="W1397" s="463" t="s">
        <v>2267</v>
      </c>
      <c r="X1397" s="463" t="s">
        <v>2267</v>
      </c>
      <c r="Y1397" s="463" t="s">
        <v>2268</v>
      </c>
      <c r="Z1397" s="463"/>
      <c r="AA1397" s="463"/>
      <c r="AB1397" s="464">
        <v>3.2610389421225103</v>
      </c>
      <c r="AC1397" s="465">
        <v>0.26567013549047047</v>
      </c>
      <c r="AD1397" s="465">
        <v>1.3682281046200214E-3</v>
      </c>
      <c r="AE1397" s="476">
        <v>3.2610389421225099</v>
      </c>
      <c r="AF1397" s="467">
        <v>0.26567013549047047</v>
      </c>
      <c r="AG1397" s="468">
        <v>1.476133022248306E-3</v>
      </c>
      <c r="AH1397" s="218">
        <v>3.2610389421225099</v>
      </c>
      <c r="AI1397" s="470">
        <v>0.26567013549047047</v>
      </c>
      <c r="AJ1397" s="471">
        <v>1.1237741899855489E-3</v>
      </c>
      <c r="AK1397" s="218">
        <v>3.2610389421225099</v>
      </c>
      <c r="AL1397" s="470">
        <v>0.26567013549047047</v>
      </c>
      <c r="AM1397" s="471">
        <v>1.1237741899855489E-3</v>
      </c>
      <c r="AN1397" s="477">
        <v>0</v>
      </c>
      <c r="AO1397" s="473">
        <v>0</v>
      </c>
      <c r="AP1397" s="474">
        <v>0</v>
      </c>
      <c r="AQ1397" s="352"/>
      <c r="AR1397" s="352"/>
      <c r="AS1397" s="352"/>
      <c r="AT1397" s="352"/>
      <c r="AU1397" s="352"/>
      <c r="AV1397" s="352"/>
      <c r="AW1397" s="352" t="s">
        <v>254</v>
      </c>
    </row>
    <row r="1398" spans="2:49" x14ac:dyDescent="0.2">
      <c r="B1398" s="460" t="s">
        <v>2782</v>
      </c>
      <c r="C1398" s="460">
        <v>2124</v>
      </c>
      <c r="D1398" s="460" t="s">
        <v>2357</v>
      </c>
      <c r="E1398" s="460" t="s">
        <v>1139</v>
      </c>
      <c r="F1398" s="460">
        <v>4</v>
      </c>
      <c r="G1398" s="460">
        <v>4</v>
      </c>
      <c r="H1398" s="461" t="s">
        <v>700</v>
      </c>
      <c r="I1398" s="461" t="s">
        <v>872</v>
      </c>
      <c r="J1398" s="461" t="s">
        <v>700</v>
      </c>
      <c r="K1398" s="594"/>
      <c r="L1398" s="594"/>
      <c r="M1398" s="352">
        <v>2000</v>
      </c>
      <c r="N1398" s="352" t="s">
        <v>703</v>
      </c>
      <c r="O1398" s="460">
        <v>2124</v>
      </c>
      <c r="P1398" s="460" t="s">
        <v>767</v>
      </c>
      <c r="Q1398" s="460" t="s">
        <v>2440</v>
      </c>
      <c r="R1398" s="460">
        <v>2124</v>
      </c>
      <c r="S1398" s="460" t="s">
        <v>1139</v>
      </c>
      <c r="T1398" s="462">
        <v>1</v>
      </c>
      <c r="U1398" s="460" t="s">
        <v>1139</v>
      </c>
      <c r="V1398" s="475">
        <v>0</v>
      </c>
      <c r="W1398" s="463" t="s">
        <v>2267</v>
      </c>
      <c r="X1398" s="463" t="s">
        <v>2267</v>
      </c>
      <c r="Y1398" s="463" t="s">
        <v>2268</v>
      </c>
      <c r="Z1398" s="463"/>
      <c r="AA1398" s="463"/>
      <c r="AB1398" s="464">
        <v>0</v>
      </c>
      <c r="AC1398" s="465">
        <v>0</v>
      </c>
      <c r="AD1398" s="465">
        <v>0</v>
      </c>
      <c r="AE1398" s="476">
        <v>0</v>
      </c>
      <c r="AF1398" s="467">
        <v>0</v>
      </c>
      <c r="AG1398" s="468">
        <v>0</v>
      </c>
      <c r="AH1398" s="218">
        <v>0</v>
      </c>
      <c r="AI1398" s="470">
        <v>0</v>
      </c>
      <c r="AJ1398" s="471">
        <v>0</v>
      </c>
      <c r="AK1398" s="218">
        <v>0</v>
      </c>
      <c r="AL1398" s="470">
        <v>0</v>
      </c>
      <c r="AM1398" s="471">
        <v>0</v>
      </c>
      <c r="AN1398" s="477">
        <v>0</v>
      </c>
      <c r="AO1398" s="473">
        <v>0</v>
      </c>
      <c r="AP1398" s="474">
        <v>0</v>
      </c>
      <c r="AQ1398" s="352"/>
      <c r="AR1398" s="352"/>
      <c r="AS1398" s="352"/>
      <c r="AT1398" s="352"/>
      <c r="AU1398" s="352"/>
      <c r="AV1398" s="352"/>
      <c r="AW1398" s="352" t="s">
        <v>254</v>
      </c>
    </row>
    <row r="1399" spans="2:49" x14ac:dyDescent="0.2">
      <c r="B1399" s="460" t="s">
        <v>2779</v>
      </c>
      <c r="C1399" s="460">
        <v>2124</v>
      </c>
      <c r="D1399" s="460" t="s">
        <v>2358</v>
      </c>
      <c r="E1399" s="460" t="s">
        <v>1136</v>
      </c>
      <c r="F1399" s="460">
        <v>1</v>
      </c>
      <c r="G1399" s="460">
        <v>4</v>
      </c>
      <c r="H1399" s="461" t="s">
        <v>712</v>
      </c>
      <c r="I1399" s="461" t="s">
        <v>713</v>
      </c>
      <c r="J1399" s="461" t="s">
        <v>712</v>
      </c>
      <c r="K1399" s="594"/>
      <c r="L1399" s="594"/>
      <c r="M1399" s="352">
        <v>2000</v>
      </c>
      <c r="N1399" s="352" t="s">
        <v>703</v>
      </c>
      <c r="O1399" s="460">
        <v>2124</v>
      </c>
      <c r="P1399" s="460" t="s">
        <v>767</v>
      </c>
      <c r="Q1399" s="460" t="s">
        <v>2280</v>
      </c>
      <c r="R1399" s="460">
        <v>2124</v>
      </c>
      <c r="S1399" s="460" t="s">
        <v>1136</v>
      </c>
      <c r="T1399" s="462">
        <v>1</v>
      </c>
      <c r="U1399" s="460" t="s">
        <v>1136</v>
      </c>
      <c r="V1399" s="475">
        <v>0</v>
      </c>
      <c r="W1399" s="463" t="s">
        <v>713</v>
      </c>
      <c r="X1399" s="463" t="s">
        <v>713</v>
      </c>
      <c r="Y1399" s="463" t="s">
        <v>713</v>
      </c>
      <c r="Z1399" s="463"/>
      <c r="AA1399" s="463"/>
      <c r="AB1399" s="464">
        <v>4.9869364555338933</v>
      </c>
      <c r="AC1399" s="465">
        <v>0.71126798119797707</v>
      </c>
      <c r="AD1399" s="465">
        <v>3.2865758441970494E-5</v>
      </c>
      <c r="AE1399" s="476">
        <v>4.9869364555338924</v>
      </c>
      <c r="AF1399" s="467">
        <v>0.71126798119797696</v>
      </c>
      <c r="AG1399" s="468">
        <v>3.2859662637211566E-5</v>
      </c>
      <c r="AH1399" s="218">
        <v>4.9869364555338924</v>
      </c>
      <c r="AI1399" s="470">
        <v>0.71126798119797696</v>
      </c>
      <c r="AJ1399" s="471">
        <v>3.3193622681956248E-5</v>
      </c>
      <c r="AK1399" s="218">
        <v>4.9869364555338924</v>
      </c>
      <c r="AL1399" s="470">
        <v>0.71126798119797696</v>
      </c>
      <c r="AM1399" s="471">
        <v>3.3193622681956248E-5</v>
      </c>
      <c r="AN1399" s="477">
        <v>4.9869364555338924</v>
      </c>
      <c r="AO1399" s="473">
        <v>0.71126798119797696</v>
      </c>
      <c r="AP1399" s="474">
        <v>3.3139612022586083E-5</v>
      </c>
      <c r="AQ1399" s="352"/>
      <c r="AR1399" s="352"/>
      <c r="AS1399" s="352"/>
      <c r="AT1399" s="352"/>
      <c r="AU1399" s="352"/>
      <c r="AV1399" s="352"/>
      <c r="AW1399" s="352" t="s">
        <v>254</v>
      </c>
    </row>
    <row r="1400" spans="2:49" x14ac:dyDescent="0.2">
      <c r="B1400" s="460" t="s">
        <v>2780</v>
      </c>
      <c r="C1400" s="460">
        <v>2124</v>
      </c>
      <c r="D1400" s="460" t="s">
        <v>2359</v>
      </c>
      <c r="E1400" s="460" t="s">
        <v>1137</v>
      </c>
      <c r="F1400" s="460">
        <v>2</v>
      </c>
      <c r="G1400" s="460">
        <v>4</v>
      </c>
      <c r="H1400" s="461" t="s">
        <v>712</v>
      </c>
      <c r="I1400" s="461" t="s">
        <v>713</v>
      </c>
      <c r="J1400" s="461" t="s">
        <v>712</v>
      </c>
      <c r="K1400" s="594"/>
      <c r="L1400" s="594"/>
      <c r="M1400" s="352">
        <v>2000</v>
      </c>
      <c r="N1400" s="352" t="s">
        <v>703</v>
      </c>
      <c r="O1400" s="460">
        <v>2124</v>
      </c>
      <c r="P1400" s="460" t="s">
        <v>767</v>
      </c>
      <c r="Q1400" s="460" t="s">
        <v>2280</v>
      </c>
      <c r="R1400" s="460">
        <v>2124</v>
      </c>
      <c r="S1400" s="460" t="s">
        <v>1137</v>
      </c>
      <c r="T1400" s="462">
        <v>1</v>
      </c>
      <c r="U1400" s="460" t="s">
        <v>1137</v>
      </c>
      <c r="V1400" s="475">
        <v>0</v>
      </c>
      <c r="W1400" s="463" t="s">
        <v>713</v>
      </c>
      <c r="X1400" s="463" t="s">
        <v>713</v>
      </c>
      <c r="Y1400" s="463" t="s">
        <v>713</v>
      </c>
      <c r="Z1400" s="463"/>
      <c r="AA1400" s="463"/>
      <c r="AB1400" s="464">
        <v>16.230981558122746</v>
      </c>
      <c r="AC1400" s="465">
        <v>0.78252142785508583</v>
      </c>
      <c r="AD1400" s="465">
        <v>9.3866005341281303E-5</v>
      </c>
      <c r="AE1400" s="476">
        <v>16.230981558122746</v>
      </c>
      <c r="AF1400" s="467">
        <v>0.78252142785508583</v>
      </c>
      <c r="AG1400" s="468">
        <v>9.3693769179145804E-5</v>
      </c>
      <c r="AH1400" s="218">
        <v>16.230981558122746</v>
      </c>
      <c r="AI1400" s="470">
        <v>0.78252142785508583</v>
      </c>
      <c r="AJ1400" s="471">
        <v>9.4138366679322416E-5</v>
      </c>
      <c r="AK1400" s="218">
        <v>16.230981558122746</v>
      </c>
      <c r="AL1400" s="470">
        <v>0.78252142785508583</v>
      </c>
      <c r="AM1400" s="471">
        <v>9.4138366679322416E-5</v>
      </c>
      <c r="AN1400" s="477">
        <v>16.230981558122746</v>
      </c>
      <c r="AO1400" s="473">
        <v>0.78252142785508583</v>
      </c>
      <c r="AP1400" s="474">
        <v>9.4060689022380266E-5</v>
      </c>
      <c r="AQ1400" s="352"/>
      <c r="AR1400" s="352"/>
      <c r="AS1400" s="352"/>
      <c r="AT1400" s="352"/>
      <c r="AU1400" s="352"/>
      <c r="AV1400" s="352"/>
      <c r="AW1400" s="352" t="s">
        <v>254</v>
      </c>
    </row>
    <row r="1401" spans="2:49" x14ac:dyDescent="0.2">
      <c r="B1401" s="460" t="s">
        <v>2781</v>
      </c>
      <c r="C1401" s="460">
        <v>2124</v>
      </c>
      <c r="D1401" s="460" t="s">
        <v>2360</v>
      </c>
      <c r="E1401" s="460" t="s">
        <v>1138</v>
      </c>
      <c r="F1401" s="460">
        <v>3</v>
      </c>
      <c r="G1401" s="460">
        <v>4</v>
      </c>
      <c r="H1401" s="461" t="s">
        <v>712</v>
      </c>
      <c r="I1401" s="461" t="s">
        <v>713</v>
      </c>
      <c r="J1401" s="461" t="s">
        <v>712</v>
      </c>
      <c r="K1401" s="594"/>
      <c r="L1401" s="594"/>
      <c r="M1401" s="352">
        <v>2000</v>
      </c>
      <c r="N1401" s="352" t="s">
        <v>703</v>
      </c>
      <c r="O1401" s="460">
        <v>2124</v>
      </c>
      <c r="P1401" s="460" t="s">
        <v>767</v>
      </c>
      <c r="Q1401" s="460" t="s">
        <v>2280</v>
      </c>
      <c r="R1401" s="460">
        <v>2124</v>
      </c>
      <c r="S1401" s="460" t="s">
        <v>1138</v>
      </c>
      <c r="T1401" s="462">
        <v>1</v>
      </c>
      <c r="U1401" s="460" t="s">
        <v>1138</v>
      </c>
      <c r="V1401" s="475">
        <v>0</v>
      </c>
      <c r="W1401" s="463" t="s">
        <v>713</v>
      </c>
      <c r="X1401" s="463" t="s">
        <v>713</v>
      </c>
      <c r="Y1401" s="463" t="s">
        <v>713</v>
      </c>
      <c r="Z1401" s="463"/>
      <c r="AA1401" s="463"/>
      <c r="AB1401" s="464">
        <v>8.0468623782569448</v>
      </c>
      <c r="AC1401" s="465">
        <v>0.65556132761581087</v>
      </c>
      <c r="AD1401" s="465">
        <v>1.0042119473753436E-4</v>
      </c>
      <c r="AE1401" s="476">
        <v>8.0468623782569448</v>
      </c>
      <c r="AF1401" s="467">
        <v>0.65556132761581087</v>
      </c>
      <c r="AG1401" s="468">
        <v>1.0020332637536613E-4</v>
      </c>
      <c r="AH1401" s="218">
        <v>8.0468623782569448</v>
      </c>
      <c r="AI1401" s="470">
        <v>0.65556132761581087</v>
      </c>
      <c r="AJ1401" s="471">
        <v>1.013782477280414E-4</v>
      </c>
      <c r="AK1401" s="218">
        <v>8.0468623782569448</v>
      </c>
      <c r="AL1401" s="470">
        <v>0.65556132761581087</v>
      </c>
      <c r="AM1401" s="471">
        <v>1.013782477280414E-4</v>
      </c>
      <c r="AN1401" s="477">
        <v>8.0468623782569448</v>
      </c>
      <c r="AO1401" s="473">
        <v>0.65556132761581087</v>
      </c>
      <c r="AP1401" s="474">
        <v>1.013706074490356E-4</v>
      </c>
      <c r="AQ1401" s="352"/>
      <c r="AR1401" s="352"/>
      <c r="AS1401" s="352"/>
      <c r="AT1401" s="352"/>
      <c r="AU1401" s="352"/>
      <c r="AV1401" s="352"/>
      <c r="AW1401" s="352" t="s">
        <v>254</v>
      </c>
    </row>
    <row r="1402" spans="2:49" x14ac:dyDescent="0.2">
      <c r="B1402" s="460" t="s">
        <v>2782</v>
      </c>
      <c r="C1402" s="460">
        <v>2124</v>
      </c>
      <c r="D1402" s="460" t="s">
        <v>2361</v>
      </c>
      <c r="E1402" s="460" t="s">
        <v>1139</v>
      </c>
      <c r="F1402" s="460">
        <v>4</v>
      </c>
      <c r="G1402" s="460">
        <v>4</v>
      </c>
      <c r="H1402" s="461" t="s">
        <v>712</v>
      </c>
      <c r="I1402" s="461" t="s">
        <v>713</v>
      </c>
      <c r="J1402" s="461" t="s">
        <v>712</v>
      </c>
      <c r="K1402" s="594"/>
      <c r="L1402" s="594"/>
      <c r="M1402" s="352">
        <v>2000</v>
      </c>
      <c r="N1402" s="352" t="s">
        <v>703</v>
      </c>
      <c r="O1402" s="460">
        <v>2124</v>
      </c>
      <c r="P1402" s="460" t="s">
        <v>767</v>
      </c>
      <c r="Q1402" s="460" t="s">
        <v>2280</v>
      </c>
      <c r="R1402" s="460">
        <v>2124</v>
      </c>
      <c r="S1402" s="460" t="s">
        <v>1139</v>
      </c>
      <c r="T1402" s="462">
        <v>1</v>
      </c>
      <c r="U1402" s="460" t="s">
        <v>1139</v>
      </c>
      <c r="V1402" s="475">
        <v>0</v>
      </c>
      <c r="W1402" s="463" t="s">
        <v>713</v>
      </c>
      <c r="X1402" s="463" t="s">
        <v>713</v>
      </c>
      <c r="Y1402" s="463" t="s">
        <v>713</v>
      </c>
      <c r="Z1402" s="463"/>
      <c r="AA1402" s="463"/>
      <c r="AB1402" s="464">
        <v>9.3297468776447907</v>
      </c>
      <c r="AC1402" s="465">
        <v>0.40192747202449813</v>
      </c>
      <c r="AD1402" s="465">
        <v>1.0330115302107718E-4</v>
      </c>
      <c r="AE1402" s="476">
        <v>9.3297468776447907</v>
      </c>
      <c r="AF1402" s="467">
        <v>0.40192747202449808</v>
      </c>
      <c r="AG1402" s="468">
        <v>1.0330115302107718E-4</v>
      </c>
      <c r="AH1402" s="218">
        <v>9.3297468776447907</v>
      </c>
      <c r="AI1402" s="470">
        <v>0.40192747202449808</v>
      </c>
      <c r="AJ1402" s="471">
        <v>1.0552293947301888E-4</v>
      </c>
      <c r="AK1402" s="218">
        <v>9.3297468776447907</v>
      </c>
      <c r="AL1402" s="470">
        <v>0.40192747202449808</v>
      </c>
      <c r="AM1402" s="471">
        <v>1.0552293947301888E-4</v>
      </c>
      <c r="AN1402" s="477">
        <v>9.3297468776447907</v>
      </c>
      <c r="AO1402" s="473">
        <v>0.40192747202449808</v>
      </c>
      <c r="AP1402" s="474">
        <v>1.0552293947301888E-4</v>
      </c>
      <c r="AQ1402" s="352"/>
      <c r="AR1402" s="352"/>
      <c r="AS1402" s="352"/>
      <c r="AT1402" s="352"/>
      <c r="AU1402" s="352"/>
      <c r="AV1402" s="352"/>
      <c r="AW1402" s="352" t="s">
        <v>254</v>
      </c>
    </row>
    <row r="1403" spans="2:49" x14ac:dyDescent="0.2">
      <c r="B1403" s="460" t="s">
        <v>2779</v>
      </c>
      <c r="C1403" s="460">
        <v>2124</v>
      </c>
      <c r="D1403" s="460" t="s">
        <v>2362</v>
      </c>
      <c r="E1403" s="460" t="s">
        <v>1136</v>
      </c>
      <c r="F1403" s="460">
        <v>1</v>
      </c>
      <c r="G1403" s="460">
        <v>4</v>
      </c>
      <c r="H1403" s="461" t="s">
        <v>746</v>
      </c>
      <c r="I1403" s="461" t="s">
        <v>762</v>
      </c>
      <c r="J1403" s="461" t="s">
        <v>700</v>
      </c>
      <c r="K1403" s="594"/>
      <c r="L1403" s="594"/>
      <c r="M1403" s="352">
        <v>2000</v>
      </c>
      <c r="N1403" s="352" t="s">
        <v>703</v>
      </c>
      <c r="O1403" s="460">
        <v>2124</v>
      </c>
      <c r="P1403" s="460" t="s">
        <v>767</v>
      </c>
      <c r="Q1403" s="460" t="s">
        <v>2444</v>
      </c>
      <c r="R1403" s="460">
        <v>2124</v>
      </c>
      <c r="S1403" s="460" t="s">
        <v>1136</v>
      </c>
      <c r="T1403" s="462">
        <v>1</v>
      </c>
      <c r="U1403" s="460" t="s">
        <v>1136</v>
      </c>
      <c r="V1403" s="475">
        <v>0</v>
      </c>
      <c r="W1403" s="463" t="s">
        <v>2268</v>
      </c>
      <c r="X1403" s="463" t="s">
        <v>2268</v>
      </c>
      <c r="Y1403" s="463" t="s">
        <v>2290</v>
      </c>
      <c r="Z1403" s="463"/>
      <c r="AA1403" s="463"/>
      <c r="AB1403" s="464">
        <v>0</v>
      </c>
      <c r="AC1403" s="465">
        <v>0</v>
      </c>
      <c r="AD1403" s="465">
        <v>0</v>
      </c>
      <c r="AE1403" s="476">
        <v>0</v>
      </c>
      <c r="AF1403" s="467">
        <v>0</v>
      </c>
      <c r="AG1403" s="468">
        <v>0</v>
      </c>
      <c r="AH1403" s="218">
        <v>0</v>
      </c>
      <c r="AI1403" s="470">
        <v>0</v>
      </c>
      <c r="AJ1403" s="471">
        <v>0</v>
      </c>
      <c r="AK1403" s="218">
        <v>0</v>
      </c>
      <c r="AL1403" s="470">
        <v>0</v>
      </c>
      <c r="AM1403" s="471">
        <v>0</v>
      </c>
      <c r="AN1403" s="477">
        <v>0</v>
      </c>
      <c r="AO1403" s="473">
        <v>0</v>
      </c>
      <c r="AP1403" s="474">
        <v>0</v>
      </c>
      <c r="AQ1403" s="352"/>
      <c r="AR1403" s="352"/>
      <c r="AS1403" s="352"/>
      <c r="AT1403" s="352"/>
      <c r="AU1403" s="352"/>
      <c r="AV1403" s="352"/>
      <c r="AW1403" s="352" t="s">
        <v>254</v>
      </c>
    </row>
    <row r="1404" spans="2:49" x14ac:dyDescent="0.2">
      <c r="B1404" s="460" t="s">
        <v>2780</v>
      </c>
      <c r="C1404" s="460">
        <v>2124</v>
      </c>
      <c r="D1404" s="460" t="s">
        <v>2363</v>
      </c>
      <c r="E1404" s="460" t="s">
        <v>1137</v>
      </c>
      <c r="F1404" s="460">
        <v>2</v>
      </c>
      <c r="G1404" s="460">
        <v>4</v>
      </c>
      <c r="H1404" s="461" t="s">
        <v>746</v>
      </c>
      <c r="I1404" s="461" t="s">
        <v>762</v>
      </c>
      <c r="J1404" s="461" t="s">
        <v>700</v>
      </c>
      <c r="K1404" s="594"/>
      <c r="L1404" s="594"/>
      <c r="M1404" s="352">
        <v>2000</v>
      </c>
      <c r="N1404" s="352" t="s">
        <v>703</v>
      </c>
      <c r="O1404" s="460">
        <v>2124</v>
      </c>
      <c r="P1404" s="460" t="s">
        <v>767</v>
      </c>
      <c r="Q1404" s="460" t="s">
        <v>2444</v>
      </c>
      <c r="R1404" s="460">
        <v>2124</v>
      </c>
      <c r="S1404" s="460" t="s">
        <v>1137</v>
      </c>
      <c r="T1404" s="462">
        <v>1</v>
      </c>
      <c r="U1404" s="460" t="s">
        <v>1137</v>
      </c>
      <c r="V1404" s="475">
        <v>0</v>
      </c>
      <c r="W1404" s="463" t="s">
        <v>2268</v>
      </c>
      <c r="X1404" s="463" t="s">
        <v>2268</v>
      </c>
      <c r="Y1404" s="463" t="s">
        <v>2290</v>
      </c>
      <c r="Z1404" s="463"/>
      <c r="AA1404" s="463"/>
      <c r="AB1404" s="464">
        <v>0</v>
      </c>
      <c r="AC1404" s="465">
        <v>0</v>
      </c>
      <c r="AD1404" s="465">
        <v>0</v>
      </c>
      <c r="AE1404" s="476">
        <v>0</v>
      </c>
      <c r="AF1404" s="467">
        <v>0</v>
      </c>
      <c r="AG1404" s="468">
        <v>0</v>
      </c>
      <c r="AH1404" s="218">
        <v>0</v>
      </c>
      <c r="AI1404" s="470">
        <v>0</v>
      </c>
      <c r="AJ1404" s="471">
        <v>0</v>
      </c>
      <c r="AK1404" s="218">
        <v>0</v>
      </c>
      <c r="AL1404" s="470">
        <v>0</v>
      </c>
      <c r="AM1404" s="471">
        <v>0</v>
      </c>
      <c r="AN1404" s="477">
        <v>0</v>
      </c>
      <c r="AO1404" s="473">
        <v>0</v>
      </c>
      <c r="AP1404" s="474">
        <v>0</v>
      </c>
      <c r="AQ1404" s="352"/>
      <c r="AR1404" s="352"/>
      <c r="AS1404" s="352"/>
      <c r="AT1404" s="352"/>
      <c r="AU1404" s="352"/>
      <c r="AV1404" s="352"/>
      <c r="AW1404" s="352" t="s">
        <v>254</v>
      </c>
    </row>
    <row r="1405" spans="2:49" x14ac:dyDescent="0.2">
      <c r="B1405" s="460" t="s">
        <v>2781</v>
      </c>
      <c r="C1405" s="460">
        <v>2124</v>
      </c>
      <c r="D1405" s="460" t="s">
        <v>2364</v>
      </c>
      <c r="E1405" s="460" t="s">
        <v>1138</v>
      </c>
      <c r="F1405" s="460">
        <v>3</v>
      </c>
      <c r="G1405" s="460">
        <v>4</v>
      </c>
      <c r="H1405" s="461" t="s">
        <v>746</v>
      </c>
      <c r="I1405" s="461" t="s">
        <v>762</v>
      </c>
      <c r="J1405" s="461" t="s">
        <v>700</v>
      </c>
      <c r="K1405" s="594"/>
      <c r="L1405" s="594"/>
      <c r="M1405" s="352">
        <v>2000</v>
      </c>
      <c r="N1405" s="352" t="s">
        <v>703</v>
      </c>
      <c r="O1405" s="460">
        <v>2124</v>
      </c>
      <c r="P1405" s="460" t="s">
        <v>767</v>
      </c>
      <c r="Q1405" s="460" t="s">
        <v>2444</v>
      </c>
      <c r="R1405" s="460">
        <v>2124</v>
      </c>
      <c r="S1405" s="460" t="s">
        <v>1138</v>
      </c>
      <c r="T1405" s="462">
        <v>1</v>
      </c>
      <c r="U1405" s="460" t="s">
        <v>1138</v>
      </c>
      <c r="V1405" s="475">
        <v>0</v>
      </c>
      <c r="W1405" s="463" t="s">
        <v>2268</v>
      </c>
      <c r="X1405" s="463" t="s">
        <v>2268</v>
      </c>
      <c r="Y1405" s="463" t="s">
        <v>2290</v>
      </c>
      <c r="Z1405" s="463"/>
      <c r="AA1405" s="463"/>
      <c r="AB1405" s="464">
        <v>0</v>
      </c>
      <c r="AC1405" s="465">
        <v>0</v>
      </c>
      <c r="AD1405" s="465">
        <v>0</v>
      </c>
      <c r="AE1405" s="476">
        <v>0</v>
      </c>
      <c r="AF1405" s="467">
        <v>0</v>
      </c>
      <c r="AG1405" s="468">
        <v>0</v>
      </c>
      <c r="AH1405" s="218">
        <v>0</v>
      </c>
      <c r="AI1405" s="470">
        <v>0</v>
      </c>
      <c r="AJ1405" s="471">
        <v>0</v>
      </c>
      <c r="AK1405" s="218">
        <v>0</v>
      </c>
      <c r="AL1405" s="470">
        <v>0</v>
      </c>
      <c r="AM1405" s="471">
        <v>0</v>
      </c>
      <c r="AN1405" s="477">
        <v>0</v>
      </c>
      <c r="AO1405" s="473">
        <v>0</v>
      </c>
      <c r="AP1405" s="474">
        <v>0</v>
      </c>
      <c r="AQ1405" s="352"/>
      <c r="AR1405" s="352"/>
      <c r="AS1405" s="352"/>
      <c r="AT1405" s="352"/>
      <c r="AU1405" s="352"/>
      <c r="AV1405" s="352"/>
      <c r="AW1405" s="352" t="s">
        <v>254</v>
      </c>
    </row>
    <row r="1406" spans="2:49" x14ac:dyDescent="0.2">
      <c r="B1406" s="460" t="s">
        <v>2782</v>
      </c>
      <c r="C1406" s="460">
        <v>2124</v>
      </c>
      <c r="D1406" s="460" t="s">
        <v>2365</v>
      </c>
      <c r="E1406" s="460" t="s">
        <v>1139</v>
      </c>
      <c r="F1406" s="460">
        <v>4</v>
      </c>
      <c r="G1406" s="460">
        <v>4</v>
      </c>
      <c r="H1406" s="461" t="s">
        <v>746</v>
      </c>
      <c r="I1406" s="461" t="s">
        <v>762</v>
      </c>
      <c r="J1406" s="461" t="s">
        <v>700</v>
      </c>
      <c r="K1406" s="594"/>
      <c r="L1406" s="594"/>
      <c r="M1406" s="352">
        <v>2000</v>
      </c>
      <c r="N1406" s="352" t="s">
        <v>703</v>
      </c>
      <c r="O1406" s="460">
        <v>2124</v>
      </c>
      <c r="P1406" s="460" t="s">
        <v>767</v>
      </c>
      <c r="Q1406" s="460" t="s">
        <v>2444</v>
      </c>
      <c r="R1406" s="460">
        <v>2124</v>
      </c>
      <c r="S1406" s="460" t="s">
        <v>1139</v>
      </c>
      <c r="T1406" s="462">
        <v>1</v>
      </c>
      <c r="U1406" s="460" t="s">
        <v>1139</v>
      </c>
      <c r="V1406" s="475">
        <v>0</v>
      </c>
      <c r="W1406" s="463" t="s">
        <v>2268</v>
      </c>
      <c r="X1406" s="463" t="s">
        <v>2268</v>
      </c>
      <c r="Y1406" s="463" t="s">
        <v>2290</v>
      </c>
      <c r="Z1406" s="463"/>
      <c r="AA1406" s="463"/>
      <c r="AB1406" s="464">
        <v>0</v>
      </c>
      <c r="AC1406" s="465">
        <v>0</v>
      </c>
      <c r="AD1406" s="465">
        <v>0</v>
      </c>
      <c r="AE1406" s="476">
        <v>0</v>
      </c>
      <c r="AF1406" s="467">
        <v>0</v>
      </c>
      <c r="AG1406" s="468">
        <v>0</v>
      </c>
      <c r="AH1406" s="218">
        <v>0</v>
      </c>
      <c r="AI1406" s="470">
        <v>0</v>
      </c>
      <c r="AJ1406" s="471">
        <v>0</v>
      </c>
      <c r="AK1406" s="218">
        <v>0</v>
      </c>
      <c r="AL1406" s="470">
        <v>0</v>
      </c>
      <c r="AM1406" s="471">
        <v>0</v>
      </c>
      <c r="AN1406" s="477">
        <v>0</v>
      </c>
      <c r="AO1406" s="473">
        <v>0</v>
      </c>
      <c r="AP1406" s="474">
        <v>0</v>
      </c>
      <c r="AQ1406" s="352"/>
      <c r="AR1406" s="352"/>
      <c r="AS1406" s="352"/>
      <c r="AT1406" s="352"/>
      <c r="AU1406" s="352"/>
      <c r="AV1406" s="352"/>
      <c r="AW1406" s="352" t="s">
        <v>254</v>
      </c>
    </row>
    <row r="1407" spans="2:49" x14ac:dyDescent="0.2">
      <c r="B1407" s="460" t="s">
        <v>2779</v>
      </c>
      <c r="C1407" s="460">
        <v>2124</v>
      </c>
      <c r="D1407" s="460" t="s">
        <v>2366</v>
      </c>
      <c r="E1407" s="460" t="s">
        <v>1136</v>
      </c>
      <c r="F1407" s="460">
        <v>1</v>
      </c>
      <c r="G1407" s="460">
        <v>4</v>
      </c>
      <c r="H1407" s="461" t="s">
        <v>748</v>
      </c>
      <c r="I1407" s="461" t="s">
        <v>765</v>
      </c>
      <c r="J1407" s="461" t="s">
        <v>700</v>
      </c>
      <c r="K1407" s="594"/>
      <c r="L1407" s="594"/>
      <c r="M1407" s="352">
        <v>2000</v>
      </c>
      <c r="N1407" s="352" t="s">
        <v>703</v>
      </c>
      <c r="O1407" s="460">
        <v>2124</v>
      </c>
      <c r="P1407" s="460" t="s">
        <v>767</v>
      </c>
      <c r="Q1407" s="460" t="s">
        <v>2440</v>
      </c>
      <c r="R1407" s="460">
        <v>2124</v>
      </c>
      <c r="S1407" s="460" t="s">
        <v>1136</v>
      </c>
      <c r="T1407" s="462">
        <v>1</v>
      </c>
      <c r="U1407" s="460" t="s">
        <v>1136</v>
      </c>
      <c r="V1407" s="475">
        <v>0</v>
      </c>
      <c r="W1407" s="463" t="s">
        <v>2268</v>
      </c>
      <c r="X1407" s="463" t="s">
        <v>2268</v>
      </c>
      <c r="Y1407" s="463" t="s">
        <v>2267</v>
      </c>
      <c r="Z1407" s="463"/>
      <c r="AA1407" s="463"/>
      <c r="AB1407" s="464">
        <v>0</v>
      </c>
      <c r="AC1407" s="465">
        <v>0</v>
      </c>
      <c r="AD1407" s="465">
        <v>0</v>
      </c>
      <c r="AE1407" s="476">
        <v>0</v>
      </c>
      <c r="AF1407" s="467">
        <v>0</v>
      </c>
      <c r="AG1407" s="468">
        <v>0</v>
      </c>
      <c r="AH1407" s="218">
        <v>0</v>
      </c>
      <c r="AI1407" s="470">
        <v>0</v>
      </c>
      <c r="AJ1407" s="471">
        <v>0</v>
      </c>
      <c r="AK1407" s="218">
        <v>0</v>
      </c>
      <c r="AL1407" s="470">
        <v>0</v>
      </c>
      <c r="AM1407" s="471">
        <v>0</v>
      </c>
      <c r="AN1407" s="477">
        <v>1.4599368861339392</v>
      </c>
      <c r="AO1407" s="473">
        <v>0.20822530444009393</v>
      </c>
      <c r="AP1407" s="474">
        <v>1.7937480280156531E-3</v>
      </c>
      <c r="AQ1407" s="352"/>
      <c r="AR1407" s="352"/>
      <c r="AS1407" s="352"/>
      <c r="AT1407" s="352"/>
      <c r="AU1407" s="352"/>
      <c r="AV1407" s="352"/>
      <c r="AW1407" s="352" t="s">
        <v>254</v>
      </c>
    </row>
    <row r="1408" spans="2:49" x14ac:dyDescent="0.2">
      <c r="B1408" s="460" t="s">
        <v>2780</v>
      </c>
      <c r="C1408" s="460">
        <v>2124</v>
      </c>
      <c r="D1408" s="460" t="s">
        <v>2367</v>
      </c>
      <c r="E1408" s="460" t="s">
        <v>1137</v>
      </c>
      <c r="F1408" s="460">
        <v>2</v>
      </c>
      <c r="G1408" s="460">
        <v>4</v>
      </c>
      <c r="H1408" s="461" t="s">
        <v>748</v>
      </c>
      <c r="I1408" s="461" t="s">
        <v>765</v>
      </c>
      <c r="J1408" s="461" t="s">
        <v>700</v>
      </c>
      <c r="K1408" s="594"/>
      <c r="L1408" s="594"/>
      <c r="M1408" s="352">
        <v>2000</v>
      </c>
      <c r="N1408" s="352" t="s">
        <v>703</v>
      </c>
      <c r="O1408" s="460">
        <v>2124</v>
      </c>
      <c r="P1408" s="460" t="s">
        <v>767</v>
      </c>
      <c r="Q1408" s="460" t="s">
        <v>2440</v>
      </c>
      <c r="R1408" s="460">
        <v>2124</v>
      </c>
      <c r="S1408" s="460" t="s">
        <v>1137</v>
      </c>
      <c r="T1408" s="462">
        <v>1</v>
      </c>
      <c r="U1408" s="460" t="s">
        <v>1137</v>
      </c>
      <c r="V1408" s="475">
        <v>0</v>
      </c>
      <c r="W1408" s="463" t="s">
        <v>2268</v>
      </c>
      <c r="X1408" s="463" t="s">
        <v>2268</v>
      </c>
      <c r="Y1408" s="463" t="s">
        <v>2267</v>
      </c>
      <c r="Z1408" s="463"/>
      <c r="AA1408" s="463"/>
      <c r="AB1408" s="464">
        <v>0</v>
      </c>
      <c r="AC1408" s="465">
        <v>0</v>
      </c>
      <c r="AD1408" s="465">
        <v>0</v>
      </c>
      <c r="AE1408" s="476">
        <v>0</v>
      </c>
      <c r="AF1408" s="467">
        <v>0</v>
      </c>
      <c r="AG1408" s="468">
        <v>0</v>
      </c>
      <c r="AH1408" s="218">
        <v>0</v>
      </c>
      <c r="AI1408" s="470">
        <v>0</v>
      </c>
      <c r="AJ1408" s="471">
        <v>0</v>
      </c>
      <c r="AK1408" s="218">
        <v>0</v>
      </c>
      <c r="AL1408" s="470">
        <v>0</v>
      </c>
      <c r="AM1408" s="471">
        <v>0</v>
      </c>
      <c r="AN1408" s="477">
        <v>4.2933031583259895</v>
      </c>
      <c r="AO1408" s="473">
        <v>0.20698697152956225</v>
      </c>
      <c r="AP1408" s="474">
        <v>4.1353571977079178E-3</v>
      </c>
      <c r="AQ1408" s="352"/>
      <c r="AR1408" s="352"/>
      <c r="AS1408" s="352"/>
      <c r="AT1408" s="352"/>
      <c r="AU1408" s="352"/>
      <c r="AV1408" s="352"/>
      <c r="AW1408" s="352" t="s">
        <v>254</v>
      </c>
    </row>
    <row r="1409" spans="2:49" x14ac:dyDescent="0.2">
      <c r="B1409" s="460" t="s">
        <v>2781</v>
      </c>
      <c r="C1409" s="460">
        <v>2124</v>
      </c>
      <c r="D1409" s="460" t="s">
        <v>2368</v>
      </c>
      <c r="E1409" s="460" t="s">
        <v>1138</v>
      </c>
      <c r="F1409" s="460">
        <v>3</v>
      </c>
      <c r="G1409" s="460">
        <v>4</v>
      </c>
      <c r="H1409" s="461" t="s">
        <v>748</v>
      </c>
      <c r="I1409" s="461" t="s">
        <v>765</v>
      </c>
      <c r="J1409" s="461" t="s">
        <v>700</v>
      </c>
      <c r="K1409" s="594"/>
      <c r="L1409" s="594"/>
      <c r="M1409" s="352">
        <v>2000</v>
      </c>
      <c r="N1409" s="352" t="s">
        <v>703</v>
      </c>
      <c r="O1409" s="460">
        <v>2124</v>
      </c>
      <c r="P1409" s="460" t="s">
        <v>767</v>
      </c>
      <c r="Q1409" s="460" t="s">
        <v>2440</v>
      </c>
      <c r="R1409" s="460">
        <v>2124</v>
      </c>
      <c r="S1409" s="460" t="s">
        <v>1138</v>
      </c>
      <c r="T1409" s="462">
        <v>1</v>
      </c>
      <c r="U1409" s="460" t="s">
        <v>1138</v>
      </c>
      <c r="V1409" s="475">
        <v>0</v>
      </c>
      <c r="W1409" s="463" t="s">
        <v>2268</v>
      </c>
      <c r="X1409" s="463" t="s">
        <v>2268</v>
      </c>
      <c r="Y1409" s="463" t="s">
        <v>2267</v>
      </c>
      <c r="Z1409" s="463"/>
      <c r="AA1409" s="463"/>
      <c r="AB1409" s="464">
        <v>0</v>
      </c>
      <c r="AC1409" s="465">
        <v>0</v>
      </c>
      <c r="AD1409" s="465">
        <v>0</v>
      </c>
      <c r="AE1409" s="476">
        <v>0</v>
      </c>
      <c r="AF1409" s="467">
        <v>0</v>
      </c>
      <c r="AG1409" s="468">
        <v>0</v>
      </c>
      <c r="AH1409" s="218">
        <v>0</v>
      </c>
      <c r="AI1409" s="470">
        <v>0</v>
      </c>
      <c r="AJ1409" s="471">
        <v>0</v>
      </c>
      <c r="AK1409" s="218">
        <v>0</v>
      </c>
      <c r="AL1409" s="470">
        <v>0</v>
      </c>
      <c r="AM1409" s="471">
        <v>0</v>
      </c>
      <c r="AN1409" s="477">
        <v>3.2610389421225099</v>
      </c>
      <c r="AO1409" s="473">
        <v>0.26567013549047047</v>
      </c>
      <c r="AP1409" s="474">
        <v>3.3834925707450642E-3</v>
      </c>
      <c r="AQ1409" s="352"/>
      <c r="AR1409" s="352"/>
      <c r="AS1409" s="352"/>
      <c r="AT1409" s="352"/>
      <c r="AU1409" s="352"/>
      <c r="AV1409" s="352"/>
      <c r="AW1409" s="352" t="s">
        <v>254</v>
      </c>
    </row>
    <row r="1410" spans="2:49" x14ac:dyDescent="0.2">
      <c r="B1410" s="460" t="s">
        <v>2782</v>
      </c>
      <c r="C1410" s="460">
        <v>2124</v>
      </c>
      <c r="D1410" s="460" t="s">
        <v>2369</v>
      </c>
      <c r="E1410" s="460" t="s">
        <v>1139</v>
      </c>
      <c r="F1410" s="460">
        <v>4</v>
      </c>
      <c r="G1410" s="460">
        <v>4</v>
      </c>
      <c r="H1410" s="461" t="s">
        <v>748</v>
      </c>
      <c r="I1410" s="461" t="s">
        <v>765</v>
      </c>
      <c r="J1410" s="461" t="s">
        <v>700</v>
      </c>
      <c r="K1410" s="594"/>
      <c r="L1410" s="594"/>
      <c r="M1410" s="352">
        <v>2000</v>
      </c>
      <c r="N1410" s="352" t="s">
        <v>703</v>
      </c>
      <c r="O1410" s="460">
        <v>2124</v>
      </c>
      <c r="P1410" s="460" t="s">
        <v>767</v>
      </c>
      <c r="Q1410" s="460" t="s">
        <v>2440</v>
      </c>
      <c r="R1410" s="460">
        <v>2124</v>
      </c>
      <c r="S1410" s="460" t="s">
        <v>1139</v>
      </c>
      <c r="T1410" s="462">
        <v>1</v>
      </c>
      <c r="U1410" s="460" t="s">
        <v>1139</v>
      </c>
      <c r="V1410" s="475">
        <v>0</v>
      </c>
      <c r="W1410" s="463" t="s">
        <v>2268</v>
      </c>
      <c r="X1410" s="463" t="s">
        <v>2268</v>
      </c>
      <c r="Y1410" s="463" t="s">
        <v>2267</v>
      </c>
      <c r="Z1410" s="463"/>
      <c r="AA1410" s="463"/>
      <c r="AB1410" s="464">
        <v>0</v>
      </c>
      <c r="AC1410" s="465">
        <v>0</v>
      </c>
      <c r="AD1410" s="465">
        <v>0</v>
      </c>
      <c r="AE1410" s="476">
        <v>0</v>
      </c>
      <c r="AF1410" s="467">
        <v>0</v>
      </c>
      <c r="AG1410" s="468">
        <v>0</v>
      </c>
      <c r="AH1410" s="218">
        <v>0</v>
      </c>
      <c r="AI1410" s="470">
        <v>0</v>
      </c>
      <c r="AJ1410" s="471">
        <v>0</v>
      </c>
      <c r="AK1410" s="218">
        <v>0</v>
      </c>
      <c r="AL1410" s="470">
        <v>0</v>
      </c>
      <c r="AM1410" s="471">
        <v>0</v>
      </c>
      <c r="AN1410" s="477">
        <v>0</v>
      </c>
      <c r="AO1410" s="473">
        <v>0</v>
      </c>
      <c r="AP1410" s="474">
        <v>0</v>
      </c>
      <c r="AQ1410" s="352"/>
      <c r="AR1410" s="352"/>
      <c r="AS1410" s="352"/>
      <c r="AT1410" s="352"/>
      <c r="AU1410" s="352"/>
      <c r="AV1410" s="352"/>
      <c r="AW1410" s="352" t="s">
        <v>254</v>
      </c>
    </row>
    <row r="1411" spans="2:49" x14ac:dyDescent="0.2">
      <c r="B1411" s="460" t="s">
        <v>2779</v>
      </c>
      <c r="C1411" s="460">
        <v>2124</v>
      </c>
      <c r="D1411" s="460" t="s">
        <v>2370</v>
      </c>
      <c r="E1411" s="460" t="s">
        <v>1136</v>
      </c>
      <c r="F1411" s="460">
        <v>1</v>
      </c>
      <c r="G1411" s="460">
        <v>4</v>
      </c>
      <c r="H1411" s="461" t="s">
        <v>752</v>
      </c>
      <c r="I1411" s="461" t="s">
        <v>964</v>
      </c>
      <c r="J1411" s="461" t="s">
        <v>752</v>
      </c>
      <c r="K1411" s="594"/>
      <c r="L1411" s="594"/>
      <c r="M1411" s="352">
        <v>2000</v>
      </c>
      <c r="N1411" s="352" t="s">
        <v>703</v>
      </c>
      <c r="O1411" s="460">
        <v>2124</v>
      </c>
      <c r="P1411" s="460" t="s">
        <v>767</v>
      </c>
      <c r="Q1411" s="460" t="s">
        <v>2440</v>
      </c>
      <c r="R1411" s="460">
        <v>2124</v>
      </c>
      <c r="S1411" s="460" t="s">
        <v>1136</v>
      </c>
      <c r="T1411" s="462">
        <v>1</v>
      </c>
      <c r="U1411" s="460" t="s">
        <v>1136</v>
      </c>
      <c r="V1411" s="475">
        <v>0</v>
      </c>
      <c r="W1411" s="463" t="s">
        <v>2267</v>
      </c>
      <c r="X1411" s="463" t="s">
        <v>2267</v>
      </c>
      <c r="Y1411" s="463" t="s">
        <v>2267</v>
      </c>
      <c r="Z1411" s="463"/>
      <c r="AA1411" s="463"/>
      <c r="AB1411" s="464">
        <v>0.56445935903166722</v>
      </c>
      <c r="AC1411" s="465">
        <v>8.0506714361929049E-2</v>
      </c>
      <c r="AD1411" s="465">
        <v>1.8279358353662844E-4</v>
      </c>
      <c r="AE1411" s="476">
        <v>0.56445935903166722</v>
      </c>
      <c r="AF1411" s="467">
        <v>8.0506714361929049E-2</v>
      </c>
      <c r="AG1411" s="468">
        <v>1.8279358353662844E-4</v>
      </c>
      <c r="AH1411" s="218">
        <v>0.56445935903166722</v>
      </c>
      <c r="AI1411" s="470">
        <v>8.0506714361929049E-2</v>
      </c>
      <c r="AJ1411" s="471">
        <v>1.5432020689092692E-4</v>
      </c>
      <c r="AK1411" s="218">
        <v>0.56445935903166722</v>
      </c>
      <c r="AL1411" s="470">
        <v>8.0506714361929049E-2</v>
      </c>
      <c r="AM1411" s="471">
        <v>1.5432020689092692E-4</v>
      </c>
      <c r="AN1411" s="477">
        <v>0.56445935903166722</v>
      </c>
      <c r="AO1411" s="473">
        <v>8.0506714361929049E-2</v>
      </c>
      <c r="AP1411" s="474">
        <v>1.5432020689092692E-4</v>
      </c>
      <c r="AQ1411" s="352"/>
      <c r="AR1411" s="352"/>
      <c r="AS1411" s="352"/>
      <c r="AT1411" s="352"/>
      <c r="AU1411" s="352"/>
      <c r="AV1411" s="352"/>
      <c r="AW1411" s="352" t="s">
        <v>254</v>
      </c>
    </row>
    <row r="1412" spans="2:49" x14ac:dyDescent="0.2">
      <c r="B1412" s="460" t="s">
        <v>2780</v>
      </c>
      <c r="C1412" s="460">
        <v>2124</v>
      </c>
      <c r="D1412" s="460" t="s">
        <v>2371</v>
      </c>
      <c r="E1412" s="460" t="s">
        <v>1137</v>
      </c>
      <c r="F1412" s="460">
        <v>2</v>
      </c>
      <c r="G1412" s="460">
        <v>4</v>
      </c>
      <c r="H1412" s="461" t="s">
        <v>752</v>
      </c>
      <c r="I1412" s="461" t="s">
        <v>964</v>
      </c>
      <c r="J1412" s="461" t="s">
        <v>752</v>
      </c>
      <c r="K1412" s="594"/>
      <c r="L1412" s="594"/>
      <c r="M1412" s="352">
        <v>2000</v>
      </c>
      <c r="N1412" s="352" t="s">
        <v>703</v>
      </c>
      <c r="O1412" s="460">
        <v>2124</v>
      </c>
      <c r="P1412" s="460" t="s">
        <v>767</v>
      </c>
      <c r="Q1412" s="460" t="s">
        <v>2440</v>
      </c>
      <c r="R1412" s="460">
        <v>2124</v>
      </c>
      <c r="S1412" s="460" t="s">
        <v>1137</v>
      </c>
      <c r="T1412" s="462">
        <v>1</v>
      </c>
      <c r="U1412" s="460" t="s">
        <v>1137</v>
      </c>
      <c r="V1412" s="475">
        <v>0</v>
      </c>
      <c r="W1412" s="463" t="s">
        <v>2278</v>
      </c>
      <c r="X1412" s="463" t="s">
        <v>2267</v>
      </c>
      <c r="Y1412" s="463" t="s">
        <v>2267</v>
      </c>
      <c r="Z1412" s="463"/>
      <c r="AA1412" s="463"/>
      <c r="AB1412" s="464">
        <v>0.2176157355457122</v>
      </c>
      <c r="AC1412" s="465">
        <v>1.049160061535187E-2</v>
      </c>
      <c r="AD1412" s="465">
        <v>2.1293469117766857E-5</v>
      </c>
      <c r="AE1412" s="476">
        <v>0.2176157355457122</v>
      </c>
      <c r="AF1412" s="467">
        <v>1.049160061535187E-2</v>
      </c>
      <c r="AG1412" s="468">
        <v>2.1293469117766857E-5</v>
      </c>
      <c r="AH1412" s="218">
        <v>0.2176157355457122</v>
      </c>
      <c r="AI1412" s="470">
        <v>1.049160061535187E-2</v>
      </c>
      <c r="AJ1412" s="471">
        <v>2.1110384899049745E-5</v>
      </c>
      <c r="AK1412" s="218">
        <v>0.2176157355457122</v>
      </c>
      <c r="AL1412" s="470">
        <v>1.049160061535187E-2</v>
      </c>
      <c r="AM1412" s="471">
        <v>2.1110384899049745E-5</v>
      </c>
      <c r="AN1412" s="477">
        <v>0.2176157355457122</v>
      </c>
      <c r="AO1412" s="473">
        <v>1.049160061535187E-2</v>
      </c>
      <c r="AP1412" s="474">
        <v>2.1110384899049745E-5</v>
      </c>
      <c r="AQ1412" s="352"/>
      <c r="AR1412" s="352"/>
      <c r="AS1412" s="352"/>
      <c r="AT1412" s="352"/>
      <c r="AU1412" s="352"/>
      <c r="AV1412" s="352"/>
      <c r="AW1412" s="352" t="s">
        <v>254</v>
      </c>
    </row>
    <row r="1413" spans="2:49" x14ac:dyDescent="0.2">
      <c r="B1413" s="460" t="s">
        <v>2781</v>
      </c>
      <c r="C1413" s="460">
        <v>2124</v>
      </c>
      <c r="D1413" s="460" t="s">
        <v>2372</v>
      </c>
      <c r="E1413" s="460" t="s">
        <v>1138</v>
      </c>
      <c r="F1413" s="460">
        <v>3</v>
      </c>
      <c r="G1413" s="460">
        <v>4</v>
      </c>
      <c r="H1413" s="461" t="s">
        <v>752</v>
      </c>
      <c r="I1413" s="461" t="s">
        <v>964</v>
      </c>
      <c r="J1413" s="461" t="s">
        <v>752</v>
      </c>
      <c r="K1413" s="594"/>
      <c r="L1413" s="594"/>
      <c r="M1413" s="352">
        <v>2000</v>
      </c>
      <c r="N1413" s="352" t="s">
        <v>703</v>
      </c>
      <c r="O1413" s="460">
        <v>2124</v>
      </c>
      <c r="P1413" s="460" t="s">
        <v>767</v>
      </c>
      <c r="Q1413" s="460" t="s">
        <v>2440</v>
      </c>
      <c r="R1413" s="460">
        <v>2124</v>
      </c>
      <c r="S1413" s="460" t="s">
        <v>1138</v>
      </c>
      <c r="T1413" s="462">
        <v>1</v>
      </c>
      <c r="U1413" s="460" t="s">
        <v>1138</v>
      </c>
      <c r="V1413" s="475">
        <v>0</v>
      </c>
      <c r="W1413" s="463" t="s">
        <v>2278</v>
      </c>
      <c r="X1413" s="479" t="s">
        <v>2503</v>
      </c>
      <c r="Y1413" s="479" t="s">
        <v>2503</v>
      </c>
      <c r="Z1413" s="479"/>
      <c r="AA1413" s="479"/>
      <c r="AB1413" s="464">
        <v>0.96686541658215064</v>
      </c>
      <c r="AC1413" s="465">
        <v>7.8768536893718641E-2</v>
      </c>
      <c r="AD1413" s="465">
        <v>1.6700032546477744E-4</v>
      </c>
      <c r="AE1413" s="476">
        <v>0.96686541658215064</v>
      </c>
      <c r="AF1413" s="467">
        <v>7.8768536893718641E-2</v>
      </c>
      <c r="AG1413" s="468">
        <v>1.6700032546477744E-4</v>
      </c>
      <c r="AH1413" s="218">
        <v>0.96686541658215064</v>
      </c>
      <c r="AI1413" s="470">
        <v>7.8768536893718641E-2</v>
      </c>
      <c r="AJ1413" s="471">
        <v>1.6040602126764214E-4</v>
      </c>
      <c r="AK1413" s="218">
        <v>0.96686541658215064</v>
      </c>
      <c r="AL1413" s="470">
        <v>7.8768536893718641E-2</v>
      </c>
      <c r="AM1413" s="471">
        <v>1.6040602126764214E-4</v>
      </c>
      <c r="AN1413" s="477">
        <v>0.96686541658215064</v>
      </c>
      <c r="AO1413" s="473">
        <v>7.8768536893718641E-2</v>
      </c>
      <c r="AP1413" s="474">
        <v>1.6040602126764214E-4</v>
      </c>
      <c r="AQ1413" s="352"/>
      <c r="AR1413" s="352"/>
      <c r="AS1413" s="352"/>
      <c r="AT1413" s="352"/>
      <c r="AU1413" s="352"/>
      <c r="AV1413" s="352"/>
      <c r="AW1413" s="352" t="s">
        <v>254</v>
      </c>
    </row>
    <row r="1414" spans="2:49" x14ac:dyDescent="0.2">
      <c r="B1414" s="460" t="s">
        <v>2782</v>
      </c>
      <c r="C1414" s="460">
        <v>2124</v>
      </c>
      <c r="D1414" s="460" t="s">
        <v>2373</v>
      </c>
      <c r="E1414" s="460" t="s">
        <v>1139</v>
      </c>
      <c r="F1414" s="460">
        <v>4</v>
      </c>
      <c r="G1414" s="460">
        <v>4</v>
      </c>
      <c r="H1414" s="461" t="s">
        <v>752</v>
      </c>
      <c r="I1414" s="461" t="s">
        <v>964</v>
      </c>
      <c r="J1414" s="461" t="s">
        <v>752</v>
      </c>
      <c r="K1414" s="594"/>
      <c r="L1414" s="594"/>
      <c r="M1414" s="352">
        <v>2000</v>
      </c>
      <c r="N1414" s="352" t="s">
        <v>703</v>
      </c>
      <c r="O1414" s="460">
        <v>2124</v>
      </c>
      <c r="P1414" s="460" t="s">
        <v>767</v>
      </c>
      <c r="Q1414" s="460" t="s">
        <v>2440</v>
      </c>
      <c r="R1414" s="460">
        <v>2124</v>
      </c>
      <c r="S1414" s="460" t="s">
        <v>1139</v>
      </c>
      <c r="T1414" s="462">
        <v>1</v>
      </c>
      <c r="U1414" s="460" t="s">
        <v>1139</v>
      </c>
      <c r="V1414" s="475">
        <v>0</v>
      </c>
      <c r="W1414" s="463" t="s">
        <v>2278</v>
      </c>
      <c r="X1414" s="479" t="s">
        <v>2503</v>
      </c>
      <c r="Y1414" s="479" t="s">
        <v>2503</v>
      </c>
      <c r="Z1414" s="479"/>
      <c r="AA1414" s="479"/>
      <c r="AB1414" s="464">
        <v>13.882766640406366</v>
      </c>
      <c r="AC1414" s="465">
        <v>0.59807252797550192</v>
      </c>
      <c r="AD1414" s="465">
        <v>5.5346804671920088E-4</v>
      </c>
      <c r="AE1414" s="476">
        <v>13.882766640406366</v>
      </c>
      <c r="AF1414" s="467">
        <v>0.59807252797550192</v>
      </c>
      <c r="AG1414" s="468">
        <v>5.5346804671920088E-4</v>
      </c>
      <c r="AH1414" s="218">
        <v>13.882766640406366</v>
      </c>
      <c r="AI1414" s="470">
        <v>0.59807252797550192</v>
      </c>
      <c r="AJ1414" s="471">
        <v>5.1446550452588567E-4</v>
      </c>
      <c r="AK1414" s="218">
        <v>13.882766640406366</v>
      </c>
      <c r="AL1414" s="470">
        <v>0.59807252797550192</v>
      </c>
      <c r="AM1414" s="471">
        <v>5.1446550452588567E-4</v>
      </c>
      <c r="AN1414" s="477">
        <v>13.882766640406366</v>
      </c>
      <c r="AO1414" s="473">
        <v>0.59807252797550192</v>
      </c>
      <c r="AP1414" s="474">
        <v>5.1446550452588567E-4</v>
      </c>
      <c r="AQ1414" s="352"/>
      <c r="AR1414" s="352"/>
      <c r="AS1414" s="352"/>
      <c r="AT1414" s="352"/>
      <c r="AU1414" s="352"/>
      <c r="AV1414" s="352"/>
      <c r="AW1414" s="352" t="s">
        <v>254</v>
      </c>
    </row>
    <row r="1415" spans="2:49" x14ac:dyDescent="0.2">
      <c r="B1415" s="460" t="s">
        <v>2783</v>
      </c>
      <c r="C1415" s="460">
        <v>2124</v>
      </c>
      <c r="D1415" s="460" t="s">
        <v>2375</v>
      </c>
      <c r="E1415" s="460" t="s">
        <v>2376</v>
      </c>
      <c r="F1415" s="460">
        <v>1</v>
      </c>
      <c r="G1415" s="460">
        <v>5</v>
      </c>
      <c r="H1415" s="461" t="s">
        <v>754</v>
      </c>
      <c r="I1415" s="461" t="s">
        <v>1991</v>
      </c>
      <c r="J1415" s="461" t="s">
        <v>754</v>
      </c>
      <c r="K1415" s="594"/>
      <c r="L1415" s="594"/>
      <c r="M1415" s="352">
        <v>2000</v>
      </c>
      <c r="N1415" s="352" t="s">
        <v>703</v>
      </c>
      <c r="O1415" s="460">
        <v>2124</v>
      </c>
      <c r="P1415" s="460" t="s">
        <v>767</v>
      </c>
      <c r="Q1415" s="460" t="s">
        <v>2377</v>
      </c>
      <c r="R1415" s="460">
        <v>2124</v>
      </c>
      <c r="S1415" s="460" t="s">
        <v>2376</v>
      </c>
      <c r="T1415" s="462">
        <v>1</v>
      </c>
      <c r="U1415" s="460" t="s">
        <v>2376</v>
      </c>
      <c r="V1415" s="475">
        <v>0</v>
      </c>
      <c r="W1415" s="463" t="s">
        <v>2278</v>
      </c>
      <c r="X1415" s="463" t="s">
        <v>2278</v>
      </c>
      <c r="Y1415" s="463" t="s">
        <v>2278</v>
      </c>
      <c r="Z1415" s="463"/>
      <c r="AA1415" s="463"/>
      <c r="AB1415" s="464">
        <v>62.241073763807272</v>
      </c>
      <c r="AC1415" s="465">
        <v>1</v>
      </c>
      <c r="AD1415" s="465">
        <v>1.046337701732617E-4</v>
      </c>
      <c r="AE1415" s="476">
        <v>62.241073763807272</v>
      </c>
      <c r="AF1415" s="467">
        <v>1</v>
      </c>
      <c r="AG1415" s="468">
        <v>1.046337701732617E-4</v>
      </c>
      <c r="AH1415" s="218">
        <v>62.241073763807272</v>
      </c>
      <c r="AI1415" s="470">
        <v>1</v>
      </c>
      <c r="AJ1415" s="471">
        <v>1.046337701732617E-4</v>
      </c>
      <c r="AK1415" s="218">
        <v>62.241073763807272</v>
      </c>
      <c r="AL1415" s="470">
        <v>1</v>
      </c>
      <c r="AM1415" s="471">
        <v>1.046337701732617E-4</v>
      </c>
      <c r="AN1415" s="477">
        <v>62.241073763807272</v>
      </c>
      <c r="AO1415" s="473">
        <v>1</v>
      </c>
      <c r="AP1415" s="474">
        <v>1.046337701732617E-4</v>
      </c>
      <c r="AQ1415" s="352"/>
      <c r="AR1415" s="352"/>
      <c r="AS1415" s="352"/>
      <c r="AT1415" s="352"/>
      <c r="AU1415" s="352"/>
      <c r="AV1415" s="352"/>
      <c r="AW1415" s="352" t="s">
        <v>127</v>
      </c>
    </row>
    <row r="1416" spans="2:49" x14ac:dyDescent="0.2">
      <c r="B1416" s="460" t="s">
        <v>2784</v>
      </c>
      <c r="C1416" s="460">
        <v>2124</v>
      </c>
      <c r="D1416" s="460" t="s">
        <v>2379</v>
      </c>
      <c r="E1416" s="460" t="s">
        <v>2380</v>
      </c>
      <c r="F1416" s="460">
        <v>2</v>
      </c>
      <c r="G1416" s="460">
        <v>5</v>
      </c>
      <c r="H1416" s="461" t="s">
        <v>754</v>
      </c>
      <c r="I1416" s="461" t="s">
        <v>1991</v>
      </c>
      <c r="J1416" s="461" t="s">
        <v>754</v>
      </c>
      <c r="K1416" s="594"/>
      <c r="L1416" s="594"/>
      <c r="M1416" s="352">
        <v>2000</v>
      </c>
      <c r="N1416" s="352" t="s">
        <v>703</v>
      </c>
      <c r="O1416" s="460">
        <v>2124</v>
      </c>
      <c r="P1416" s="460" t="s">
        <v>767</v>
      </c>
      <c r="Q1416" s="460" t="s">
        <v>2377</v>
      </c>
      <c r="R1416" s="460">
        <v>2124</v>
      </c>
      <c r="S1416" s="460" t="s">
        <v>2380</v>
      </c>
      <c r="T1416" s="462">
        <v>1</v>
      </c>
      <c r="U1416" s="460" t="s">
        <v>2380</v>
      </c>
      <c r="V1416" s="475">
        <v>0</v>
      </c>
      <c r="W1416" s="463" t="s">
        <v>2278</v>
      </c>
      <c r="X1416" s="463" t="s">
        <v>2278</v>
      </c>
      <c r="Y1416" s="463" t="s">
        <v>2278</v>
      </c>
      <c r="Z1416" s="463"/>
      <c r="AA1416" s="463"/>
      <c r="AB1416" s="464">
        <v>38.222268040492963</v>
      </c>
      <c r="AC1416" s="465">
        <v>1</v>
      </c>
      <c r="AD1416" s="465">
        <v>7.5267431654853174E-5</v>
      </c>
      <c r="AE1416" s="476">
        <v>38.222268040492963</v>
      </c>
      <c r="AF1416" s="467">
        <v>1</v>
      </c>
      <c r="AG1416" s="468">
        <v>7.5267431654853174E-5</v>
      </c>
      <c r="AH1416" s="218">
        <v>38.222268040492963</v>
      </c>
      <c r="AI1416" s="470">
        <v>1</v>
      </c>
      <c r="AJ1416" s="471">
        <v>7.5267431654853174E-5</v>
      </c>
      <c r="AK1416" s="218">
        <v>38.222268040492963</v>
      </c>
      <c r="AL1416" s="470">
        <v>1</v>
      </c>
      <c r="AM1416" s="471">
        <v>7.5267431654853174E-5</v>
      </c>
      <c r="AN1416" s="477">
        <v>38.222268040492963</v>
      </c>
      <c r="AO1416" s="473">
        <v>1</v>
      </c>
      <c r="AP1416" s="474">
        <v>7.5267431654853174E-5</v>
      </c>
      <c r="AQ1416" s="352"/>
      <c r="AR1416" s="352"/>
      <c r="AS1416" s="352"/>
      <c r="AT1416" s="352"/>
      <c r="AU1416" s="352"/>
      <c r="AV1416" s="352"/>
      <c r="AW1416" s="352" t="s">
        <v>127</v>
      </c>
    </row>
    <row r="1417" spans="2:49" x14ac:dyDescent="0.2">
      <c r="B1417" s="460" t="s">
        <v>2785</v>
      </c>
      <c r="C1417" s="460">
        <v>2124</v>
      </c>
      <c r="D1417" s="460" t="s">
        <v>2382</v>
      </c>
      <c r="E1417" s="460" t="s">
        <v>2383</v>
      </c>
      <c r="F1417" s="460">
        <v>3</v>
      </c>
      <c r="G1417" s="460">
        <v>5</v>
      </c>
      <c r="H1417" s="461" t="s">
        <v>754</v>
      </c>
      <c r="I1417" s="461" t="s">
        <v>1991</v>
      </c>
      <c r="J1417" s="461" t="s">
        <v>754</v>
      </c>
      <c r="K1417" s="594"/>
      <c r="L1417" s="594"/>
      <c r="M1417" s="352">
        <v>2000</v>
      </c>
      <c r="N1417" s="352" t="s">
        <v>703</v>
      </c>
      <c r="O1417" s="460">
        <v>2124</v>
      </c>
      <c r="P1417" s="460" t="s">
        <v>767</v>
      </c>
      <c r="Q1417" s="460" t="s">
        <v>2377</v>
      </c>
      <c r="R1417" s="460">
        <v>2124</v>
      </c>
      <c r="S1417" s="460" t="s">
        <v>2383</v>
      </c>
      <c r="T1417" s="462">
        <v>1</v>
      </c>
      <c r="U1417" s="460" t="s">
        <v>2383</v>
      </c>
      <c r="V1417" s="475">
        <v>0</v>
      </c>
      <c r="W1417" s="463" t="s">
        <v>2278</v>
      </c>
      <c r="X1417" s="463" t="s">
        <v>2278</v>
      </c>
      <c r="Y1417" s="463" t="s">
        <v>2278</v>
      </c>
      <c r="Z1417" s="463"/>
      <c r="AA1417" s="463"/>
      <c r="AB1417" s="464">
        <v>5.7721079361323024</v>
      </c>
      <c r="AC1417" s="465">
        <v>1</v>
      </c>
      <c r="AD1417" s="465">
        <v>5.1306294114070134E-5</v>
      </c>
      <c r="AE1417" s="476">
        <v>5.7721079361323024</v>
      </c>
      <c r="AF1417" s="467">
        <v>1</v>
      </c>
      <c r="AG1417" s="468">
        <v>5.1306294114070134E-5</v>
      </c>
      <c r="AH1417" s="218">
        <v>5.7721079361323024</v>
      </c>
      <c r="AI1417" s="470">
        <v>1</v>
      </c>
      <c r="AJ1417" s="471">
        <v>5.1306294114070134E-5</v>
      </c>
      <c r="AK1417" s="218">
        <v>5.7721079361323024</v>
      </c>
      <c r="AL1417" s="470">
        <v>1</v>
      </c>
      <c r="AM1417" s="471">
        <v>5.1306294114070134E-5</v>
      </c>
      <c r="AN1417" s="477">
        <v>5.7721079361323024</v>
      </c>
      <c r="AO1417" s="473">
        <v>1</v>
      </c>
      <c r="AP1417" s="474">
        <v>5.1306294114070134E-5</v>
      </c>
      <c r="AQ1417" s="352"/>
      <c r="AR1417" s="352"/>
      <c r="AS1417" s="352"/>
      <c r="AT1417" s="352"/>
      <c r="AU1417" s="352"/>
      <c r="AV1417" s="352"/>
      <c r="AW1417" s="352" t="s">
        <v>127</v>
      </c>
    </row>
    <row r="1418" spans="2:49" x14ac:dyDescent="0.2">
      <c r="B1418" s="460" t="s">
        <v>2786</v>
      </c>
      <c r="C1418" s="460">
        <v>2124</v>
      </c>
      <c r="D1418" s="460" t="s">
        <v>2385</v>
      </c>
      <c r="E1418" s="460" t="s">
        <v>2386</v>
      </c>
      <c r="F1418" s="460">
        <v>4</v>
      </c>
      <c r="G1418" s="460">
        <v>5</v>
      </c>
      <c r="H1418" s="461" t="s">
        <v>754</v>
      </c>
      <c r="I1418" s="461" t="s">
        <v>1991</v>
      </c>
      <c r="J1418" s="461" t="s">
        <v>754</v>
      </c>
      <c r="K1418" s="594"/>
      <c r="L1418" s="594"/>
      <c r="M1418" s="352">
        <v>2000</v>
      </c>
      <c r="N1418" s="352" t="s">
        <v>703</v>
      </c>
      <c r="O1418" s="460">
        <v>2124</v>
      </c>
      <c r="P1418" s="460" t="s">
        <v>767</v>
      </c>
      <c r="Q1418" s="460" t="s">
        <v>2377</v>
      </c>
      <c r="R1418" s="460">
        <v>2124</v>
      </c>
      <c r="S1418" s="460" t="s">
        <v>2386</v>
      </c>
      <c r="T1418" s="462">
        <v>1</v>
      </c>
      <c r="U1418" s="460" t="s">
        <v>2386</v>
      </c>
      <c r="V1418" s="475">
        <v>0</v>
      </c>
      <c r="W1418" s="463" t="s">
        <v>2278</v>
      </c>
      <c r="X1418" s="463" t="s">
        <v>2278</v>
      </c>
      <c r="Y1418" s="463" t="s">
        <v>2278</v>
      </c>
      <c r="Z1418" s="463"/>
      <c r="AA1418" s="463"/>
      <c r="AB1418" s="464">
        <v>4.7636565445485415</v>
      </c>
      <c r="AC1418" s="465">
        <v>1</v>
      </c>
      <c r="AD1418" s="465">
        <v>8.8369342055588247E-5</v>
      </c>
      <c r="AE1418" s="476">
        <v>4.7636565445485415</v>
      </c>
      <c r="AF1418" s="467">
        <v>1</v>
      </c>
      <c r="AG1418" s="468">
        <v>8.8369342055588247E-5</v>
      </c>
      <c r="AH1418" s="218">
        <v>4.7636565445485415</v>
      </c>
      <c r="AI1418" s="470">
        <v>1</v>
      </c>
      <c r="AJ1418" s="471">
        <v>8.8369342055588247E-5</v>
      </c>
      <c r="AK1418" s="218">
        <v>4.7636565445485415</v>
      </c>
      <c r="AL1418" s="470">
        <v>1</v>
      </c>
      <c r="AM1418" s="471">
        <v>8.8369342055588247E-5</v>
      </c>
      <c r="AN1418" s="477">
        <v>4.7636565445485415</v>
      </c>
      <c r="AO1418" s="473">
        <v>1</v>
      </c>
      <c r="AP1418" s="474">
        <v>8.8369342055588247E-5</v>
      </c>
      <c r="AQ1418" s="352"/>
      <c r="AR1418" s="352"/>
      <c r="AS1418" s="352"/>
      <c r="AT1418" s="352"/>
      <c r="AU1418" s="352"/>
      <c r="AV1418" s="352"/>
      <c r="AW1418" s="352" t="s">
        <v>127</v>
      </c>
    </row>
    <row r="1419" spans="2:49" x14ac:dyDescent="0.2">
      <c r="B1419" s="460" t="s">
        <v>2787</v>
      </c>
      <c r="C1419" s="460">
        <v>2124</v>
      </c>
      <c r="D1419" s="460" t="s">
        <v>2388</v>
      </c>
      <c r="E1419" s="460" t="s">
        <v>2389</v>
      </c>
      <c r="F1419" s="460">
        <v>1</v>
      </c>
      <c r="G1419" s="460">
        <v>6</v>
      </c>
      <c r="H1419" s="461" t="s">
        <v>754</v>
      </c>
      <c r="I1419" s="461" t="s">
        <v>1991</v>
      </c>
      <c r="J1419" s="461" t="s">
        <v>754</v>
      </c>
      <c r="K1419" s="594"/>
      <c r="L1419" s="594"/>
      <c r="M1419" s="352">
        <v>2000</v>
      </c>
      <c r="N1419" s="352" t="s">
        <v>703</v>
      </c>
      <c r="O1419" s="460">
        <v>2124</v>
      </c>
      <c r="P1419" s="460" t="s">
        <v>767</v>
      </c>
      <c r="Q1419" s="460" t="s">
        <v>2377</v>
      </c>
      <c r="R1419" s="460">
        <v>2124</v>
      </c>
      <c r="S1419" s="460" t="s">
        <v>2389</v>
      </c>
      <c r="T1419" s="462">
        <v>1</v>
      </c>
      <c r="U1419" s="460" t="s">
        <v>2389</v>
      </c>
      <c r="V1419" s="475">
        <v>0</v>
      </c>
      <c r="W1419" s="463" t="s">
        <v>2278</v>
      </c>
      <c r="X1419" s="463" t="s">
        <v>2278</v>
      </c>
      <c r="Y1419" s="463" t="s">
        <v>2278</v>
      </c>
      <c r="Z1419" s="463"/>
      <c r="AA1419" s="463"/>
      <c r="AB1419" s="464">
        <v>0</v>
      </c>
      <c r="AC1419" s="465">
        <v>0</v>
      </c>
      <c r="AD1419" s="465">
        <v>0</v>
      </c>
      <c r="AE1419" s="476">
        <v>0</v>
      </c>
      <c r="AF1419" s="467">
        <v>0</v>
      </c>
      <c r="AG1419" s="468">
        <v>0</v>
      </c>
      <c r="AH1419" s="218">
        <v>0</v>
      </c>
      <c r="AI1419" s="470">
        <v>0</v>
      </c>
      <c r="AJ1419" s="471">
        <v>0</v>
      </c>
      <c r="AK1419" s="218">
        <v>0</v>
      </c>
      <c r="AL1419" s="470">
        <v>0</v>
      </c>
      <c r="AM1419" s="471">
        <v>0</v>
      </c>
      <c r="AN1419" s="477">
        <v>0</v>
      </c>
      <c r="AO1419" s="473">
        <v>0</v>
      </c>
      <c r="AP1419" s="474">
        <v>0</v>
      </c>
      <c r="AQ1419" s="352"/>
      <c r="AR1419" s="352"/>
      <c r="AS1419" s="352"/>
      <c r="AT1419" s="352"/>
      <c r="AU1419" s="352"/>
      <c r="AV1419" s="352"/>
      <c r="AW1419" s="352" t="s">
        <v>127</v>
      </c>
    </row>
    <row r="1420" spans="2:49" x14ac:dyDescent="0.2">
      <c r="B1420" s="460" t="s">
        <v>2788</v>
      </c>
      <c r="C1420" s="460">
        <v>2124</v>
      </c>
      <c r="D1420" s="460" t="s">
        <v>2391</v>
      </c>
      <c r="E1420" s="460" t="s">
        <v>2392</v>
      </c>
      <c r="F1420" s="460">
        <v>2</v>
      </c>
      <c r="G1420" s="460">
        <v>6</v>
      </c>
      <c r="H1420" s="461" t="s">
        <v>754</v>
      </c>
      <c r="I1420" s="461" t="s">
        <v>1991</v>
      </c>
      <c r="J1420" s="461" t="s">
        <v>754</v>
      </c>
      <c r="K1420" s="594"/>
      <c r="L1420" s="594"/>
      <c r="M1420" s="352">
        <v>2000</v>
      </c>
      <c r="N1420" s="352" t="s">
        <v>703</v>
      </c>
      <c r="O1420" s="460">
        <v>2124</v>
      </c>
      <c r="P1420" s="460" t="s">
        <v>767</v>
      </c>
      <c r="Q1420" s="460" t="s">
        <v>2377</v>
      </c>
      <c r="R1420" s="460">
        <v>2124</v>
      </c>
      <c r="S1420" s="460" t="s">
        <v>2392</v>
      </c>
      <c r="T1420" s="462">
        <v>1</v>
      </c>
      <c r="U1420" s="460" t="s">
        <v>2392</v>
      </c>
      <c r="V1420" s="475">
        <v>0</v>
      </c>
      <c r="W1420" s="463" t="s">
        <v>2278</v>
      </c>
      <c r="X1420" s="463" t="s">
        <v>2278</v>
      </c>
      <c r="Y1420" s="463" t="s">
        <v>2278</v>
      </c>
      <c r="Z1420" s="463"/>
      <c r="AA1420" s="463"/>
      <c r="AB1420" s="464">
        <v>0</v>
      </c>
      <c r="AC1420" s="465">
        <v>0</v>
      </c>
      <c r="AD1420" s="465">
        <v>0</v>
      </c>
      <c r="AE1420" s="476">
        <v>0</v>
      </c>
      <c r="AF1420" s="467">
        <v>0</v>
      </c>
      <c r="AG1420" s="468">
        <v>0</v>
      </c>
      <c r="AH1420" s="218">
        <v>0</v>
      </c>
      <c r="AI1420" s="470">
        <v>0</v>
      </c>
      <c r="AJ1420" s="471">
        <v>0</v>
      </c>
      <c r="AK1420" s="218">
        <v>0</v>
      </c>
      <c r="AL1420" s="470">
        <v>0</v>
      </c>
      <c r="AM1420" s="471">
        <v>0</v>
      </c>
      <c r="AN1420" s="477">
        <v>0</v>
      </c>
      <c r="AO1420" s="473">
        <v>0</v>
      </c>
      <c r="AP1420" s="474">
        <v>0</v>
      </c>
      <c r="AQ1420" s="352"/>
      <c r="AR1420" s="352"/>
      <c r="AS1420" s="352"/>
      <c r="AT1420" s="352"/>
      <c r="AU1420" s="352"/>
      <c r="AV1420" s="352"/>
      <c r="AW1420" s="352" t="s">
        <v>127</v>
      </c>
    </row>
    <row r="1421" spans="2:49" x14ac:dyDescent="0.2">
      <c r="B1421" s="460" t="s">
        <v>2789</v>
      </c>
      <c r="C1421" s="460">
        <v>2124</v>
      </c>
      <c r="D1421" s="460" t="s">
        <v>2394</v>
      </c>
      <c r="E1421" s="460" t="s">
        <v>2395</v>
      </c>
      <c r="F1421" s="460">
        <v>3</v>
      </c>
      <c r="G1421" s="460">
        <v>6</v>
      </c>
      <c r="H1421" s="461" t="s">
        <v>754</v>
      </c>
      <c r="I1421" s="461" t="s">
        <v>1991</v>
      </c>
      <c r="J1421" s="461" t="s">
        <v>754</v>
      </c>
      <c r="K1421" s="594"/>
      <c r="L1421" s="594"/>
      <c r="M1421" s="352">
        <v>2000</v>
      </c>
      <c r="N1421" s="352" t="s">
        <v>703</v>
      </c>
      <c r="O1421" s="460">
        <v>2124</v>
      </c>
      <c r="P1421" s="460" t="s">
        <v>767</v>
      </c>
      <c r="Q1421" s="460" t="s">
        <v>2377</v>
      </c>
      <c r="R1421" s="460">
        <v>2124</v>
      </c>
      <c r="S1421" s="460" t="s">
        <v>2395</v>
      </c>
      <c r="T1421" s="462">
        <v>1</v>
      </c>
      <c r="U1421" s="460" t="s">
        <v>2395</v>
      </c>
      <c r="V1421" s="475">
        <v>0</v>
      </c>
      <c r="W1421" s="463" t="s">
        <v>2278</v>
      </c>
      <c r="X1421" s="463" t="s">
        <v>2278</v>
      </c>
      <c r="Y1421" s="463" t="s">
        <v>2278</v>
      </c>
      <c r="Z1421" s="463"/>
      <c r="AA1421" s="463"/>
      <c r="AB1421" s="464">
        <v>0</v>
      </c>
      <c r="AC1421" s="465">
        <v>0</v>
      </c>
      <c r="AD1421" s="465">
        <v>0</v>
      </c>
      <c r="AE1421" s="476">
        <v>0</v>
      </c>
      <c r="AF1421" s="467">
        <v>0</v>
      </c>
      <c r="AG1421" s="468">
        <v>0</v>
      </c>
      <c r="AH1421" s="218">
        <v>0</v>
      </c>
      <c r="AI1421" s="470">
        <v>0</v>
      </c>
      <c r="AJ1421" s="471">
        <v>0</v>
      </c>
      <c r="AK1421" s="218">
        <v>0</v>
      </c>
      <c r="AL1421" s="470">
        <v>0</v>
      </c>
      <c r="AM1421" s="471">
        <v>0</v>
      </c>
      <c r="AN1421" s="477">
        <v>0</v>
      </c>
      <c r="AO1421" s="473">
        <v>0</v>
      </c>
      <c r="AP1421" s="474">
        <v>0</v>
      </c>
      <c r="AQ1421" s="352"/>
      <c r="AR1421" s="352"/>
      <c r="AS1421" s="352"/>
      <c r="AT1421" s="352"/>
      <c r="AU1421" s="352"/>
      <c r="AV1421" s="352"/>
      <c r="AW1421" s="352" t="s">
        <v>127</v>
      </c>
    </row>
    <row r="1422" spans="2:49" x14ac:dyDescent="0.2">
      <c r="B1422" s="460" t="s">
        <v>2790</v>
      </c>
      <c r="C1422" s="460">
        <v>2124</v>
      </c>
      <c r="D1422" s="460" t="s">
        <v>2397</v>
      </c>
      <c r="E1422" s="460" t="s">
        <v>2398</v>
      </c>
      <c r="F1422" s="460">
        <v>4</v>
      </c>
      <c r="G1422" s="460">
        <v>6</v>
      </c>
      <c r="H1422" s="461" t="s">
        <v>754</v>
      </c>
      <c r="I1422" s="461" t="s">
        <v>1991</v>
      </c>
      <c r="J1422" s="461" t="s">
        <v>754</v>
      </c>
      <c r="K1422" s="594"/>
      <c r="L1422" s="594"/>
      <c r="M1422" s="352">
        <v>2000</v>
      </c>
      <c r="N1422" s="352" t="s">
        <v>703</v>
      </c>
      <c r="O1422" s="460">
        <v>2124</v>
      </c>
      <c r="P1422" s="460" t="s">
        <v>767</v>
      </c>
      <c r="Q1422" s="460" t="s">
        <v>2377</v>
      </c>
      <c r="R1422" s="460">
        <v>2124</v>
      </c>
      <c r="S1422" s="460" t="s">
        <v>2398</v>
      </c>
      <c r="T1422" s="462">
        <v>1</v>
      </c>
      <c r="U1422" s="460" t="s">
        <v>2398</v>
      </c>
      <c r="V1422" s="475">
        <v>0</v>
      </c>
      <c r="W1422" s="463" t="s">
        <v>2278</v>
      </c>
      <c r="X1422" s="463" t="s">
        <v>2278</v>
      </c>
      <c r="Y1422" s="463" t="s">
        <v>2278</v>
      </c>
      <c r="Z1422" s="463"/>
      <c r="AA1422" s="463"/>
      <c r="AB1422" s="464">
        <v>0</v>
      </c>
      <c r="AC1422" s="465">
        <v>0</v>
      </c>
      <c r="AD1422" s="465">
        <v>0</v>
      </c>
      <c r="AE1422" s="476">
        <v>0</v>
      </c>
      <c r="AF1422" s="467">
        <v>0</v>
      </c>
      <c r="AG1422" s="468">
        <v>0</v>
      </c>
      <c r="AH1422" s="218">
        <v>0</v>
      </c>
      <c r="AI1422" s="470">
        <v>0</v>
      </c>
      <c r="AJ1422" s="471">
        <v>0</v>
      </c>
      <c r="AK1422" s="218">
        <v>0</v>
      </c>
      <c r="AL1422" s="470">
        <v>0</v>
      </c>
      <c r="AM1422" s="471">
        <v>0</v>
      </c>
      <c r="AN1422" s="477">
        <v>0</v>
      </c>
      <c r="AO1422" s="473">
        <v>0</v>
      </c>
      <c r="AP1422" s="474">
        <v>0</v>
      </c>
      <c r="AQ1422" s="352"/>
      <c r="AR1422" s="352"/>
      <c r="AS1422" s="352"/>
      <c r="AT1422" s="352"/>
      <c r="AU1422" s="352"/>
      <c r="AV1422" s="352"/>
      <c r="AW1422" s="352" t="s">
        <v>127</v>
      </c>
    </row>
    <row r="1423" spans="2:49" x14ac:dyDescent="0.2">
      <c r="B1423" s="460" t="s">
        <v>2791</v>
      </c>
      <c r="C1423" s="460">
        <v>2131</v>
      </c>
      <c r="D1423" s="460" t="s">
        <v>2264</v>
      </c>
      <c r="E1423" s="460" t="s">
        <v>2265</v>
      </c>
      <c r="F1423" s="460">
        <v>1</v>
      </c>
      <c r="G1423" s="460">
        <v>1</v>
      </c>
      <c r="H1423" s="461" t="s">
        <v>700</v>
      </c>
      <c r="I1423" s="461" t="s">
        <v>872</v>
      </c>
      <c r="J1423" s="461" t="s">
        <v>700</v>
      </c>
      <c r="K1423" s="594"/>
      <c r="L1423" s="594"/>
      <c r="M1423" s="352">
        <v>2000</v>
      </c>
      <c r="N1423" s="352" t="s">
        <v>703</v>
      </c>
      <c r="O1423" s="460">
        <v>2131</v>
      </c>
      <c r="P1423" s="460" t="s">
        <v>1879</v>
      </c>
      <c r="Q1423" s="460" t="s">
        <v>2440</v>
      </c>
      <c r="R1423" s="460">
        <v>2131</v>
      </c>
      <c r="S1423" s="460" t="s">
        <v>2265</v>
      </c>
      <c r="T1423" s="462">
        <v>1</v>
      </c>
      <c r="U1423" s="460" t="s">
        <v>2265</v>
      </c>
      <c r="V1423" s="475">
        <v>0</v>
      </c>
      <c r="W1423" s="463" t="s">
        <v>2503</v>
      </c>
      <c r="X1423" s="463" t="s">
        <v>2267</v>
      </c>
      <c r="Y1423" s="463" t="s">
        <v>2268</v>
      </c>
      <c r="Z1423" s="463"/>
      <c r="AA1423" s="463"/>
      <c r="AB1423" s="464">
        <v>47.750888176367177</v>
      </c>
      <c r="AC1423" s="465">
        <v>0.52086291223607628</v>
      </c>
      <c r="AD1423" s="465">
        <v>4.4281476660137052E-4</v>
      </c>
      <c r="AE1423" s="476">
        <v>28.650532905820306</v>
      </c>
      <c r="AF1423" s="467">
        <v>0.31251774734164578</v>
      </c>
      <c r="AG1423" s="468">
        <v>2.8381130842922793E-4</v>
      </c>
      <c r="AH1423" s="218">
        <v>47.750888176367177</v>
      </c>
      <c r="AI1423" s="470">
        <v>0.52086291223607628</v>
      </c>
      <c r="AJ1423" s="471">
        <v>4.5532091554457619E-4</v>
      </c>
      <c r="AK1423" s="218">
        <v>47.750888176367177</v>
      </c>
      <c r="AL1423" s="470">
        <v>0.52086291223607628</v>
      </c>
      <c r="AM1423" s="471">
        <v>4.5532091554457619E-4</v>
      </c>
      <c r="AN1423" s="477">
        <v>0</v>
      </c>
      <c r="AO1423" s="473">
        <v>0</v>
      </c>
      <c r="AP1423" s="474">
        <v>0</v>
      </c>
      <c r="AQ1423" s="352"/>
      <c r="AR1423" s="352"/>
      <c r="AS1423" s="352"/>
      <c r="AT1423" s="352"/>
      <c r="AU1423" s="352"/>
      <c r="AV1423" s="352"/>
      <c r="AW1423" s="352" t="s">
        <v>254</v>
      </c>
    </row>
    <row r="1424" spans="2:49" x14ac:dyDescent="0.2">
      <c r="B1424" s="460" t="s">
        <v>2792</v>
      </c>
      <c r="C1424" s="460">
        <v>2131</v>
      </c>
      <c r="D1424" s="460" t="s">
        <v>2270</v>
      </c>
      <c r="E1424" s="460" t="s">
        <v>2271</v>
      </c>
      <c r="F1424" s="460">
        <v>2</v>
      </c>
      <c r="G1424" s="460">
        <v>1</v>
      </c>
      <c r="H1424" s="461" t="s">
        <v>700</v>
      </c>
      <c r="I1424" s="461" t="s">
        <v>872</v>
      </c>
      <c r="J1424" s="461" t="s">
        <v>700</v>
      </c>
      <c r="K1424" s="594"/>
      <c r="L1424" s="594"/>
      <c r="M1424" s="352">
        <v>2000</v>
      </c>
      <c r="N1424" s="352" t="s">
        <v>703</v>
      </c>
      <c r="O1424" s="460">
        <v>2131</v>
      </c>
      <c r="P1424" s="460" t="s">
        <v>1879</v>
      </c>
      <c r="Q1424" s="460" t="s">
        <v>2440</v>
      </c>
      <c r="R1424" s="460">
        <v>2131</v>
      </c>
      <c r="S1424" s="460" t="s">
        <v>2265</v>
      </c>
      <c r="T1424" s="462">
        <v>1</v>
      </c>
      <c r="U1424" s="460" t="s">
        <v>2271</v>
      </c>
      <c r="V1424" s="475">
        <v>0</v>
      </c>
      <c r="W1424" s="463" t="s">
        <v>2503</v>
      </c>
      <c r="X1424" s="463" t="s">
        <v>2267</v>
      </c>
      <c r="Y1424" s="463" t="s">
        <v>2268</v>
      </c>
      <c r="Z1424" s="463"/>
      <c r="AA1424" s="463"/>
      <c r="AB1424" s="464">
        <v>48.949260199917141</v>
      </c>
      <c r="AC1424" s="465">
        <v>0.48921047331973366</v>
      </c>
      <c r="AD1424" s="465">
        <v>6.0730334332782083E-4</v>
      </c>
      <c r="AE1424" s="476">
        <v>29.369556119950282</v>
      </c>
      <c r="AF1424" s="467">
        <v>0.29352628399184016</v>
      </c>
      <c r="AG1424" s="468">
        <v>3.948666606456215E-4</v>
      </c>
      <c r="AH1424" s="218">
        <v>52.116329494170415</v>
      </c>
      <c r="AI1424" s="470">
        <v>0.52086291223607628</v>
      </c>
      <c r="AJ1424" s="471">
        <v>6.1530620514818808E-4</v>
      </c>
      <c r="AK1424" s="218">
        <v>52.116329494170415</v>
      </c>
      <c r="AL1424" s="470">
        <v>0.52086291223607628</v>
      </c>
      <c r="AM1424" s="471">
        <v>6.1530620514818808E-4</v>
      </c>
      <c r="AN1424" s="477">
        <v>0</v>
      </c>
      <c r="AO1424" s="473">
        <v>0</v>
      </c>
      <c r="AP1424" s="474">
        <v>0</v>
      </c>
      <c r="AQ1424" s="352"/>
      <c r="AR1424" s="352"/>
      <c r="AS1424" s="352"/>
      <c r="AT1424" s="352"/>
      <c r="AU1424" s="352"/>
      <c r="AV1424" s="352"/>
      <c r="AW1424" s="352" t="s">
        <v>254</v>
      </c>
    </row>
    <row r="1425" spans="2:49" x14ac:dyDescent="0.2">
      <c r="B1425" s="460" t="s">
        <v>2793</v>
      </c>
      <c r="C1425" s="460">
        <v>2131</v>
      </c>
      <c r="D1425" s="460" t="s">
        <v>2273</v>
      </c>
      <c r="E1425" s="460" t="s">
        <v>2274</v>
      </c>
      <c r="F1425" s="460">
        <v>3</v>
      </c>
      <c r="G1425" s="460">
        <v>1</v>
      </c>
      <c r="H1425" s="461" t="s">
        <v>700</v>
      </c>
      <c r="I1425" s="461" t="s">
        <v>872</v>
      </c>
      <c r="J1425" s="461" t="s">
        <v>700</v>
      </c>
      <c r="K1425" s="594"/>
      <c r="L1425" s="594"/>
      <c r="M1425" s="352">
        <v>2000</v>
      </c>
      <c r="N1425" s="352" t="s">
        <v>703</v>
      </c>
      <c r="O1425" s="460">
        <v>2131</v>
      </c>
      <c r="P1425" s="460" t="s">
        <v>1879</v>
      </c>
      <c r="Q1425" s="460" t="s">
        <v>2440</v>
      </c>
      <c r="R1425" s="460">
        <v>2131</v>
      </c>
      <c r="S1425" s="460" t="s">
        <v>2265</v>
      </c>
      <c r="T1425" s="462">
        <v>0.74223365950407583</v>
      </c>
      <c r="U1425" s="460" t="s">
        <v>2274</v>
      </c>
      <c r="V1425" s="475">
        <v>0</v>
      </c>
      <c r="W1425" s="463" t="s">
        <v>2503</v>
      </c>
      <c r="X1425" s="463" t="s">
        <v>2267</v>
      </c>
      <c r="Y1425" s="463" t="s">
        <v>2268</v>
      </c>
      <c r="Z1425" s="463"/>
      <c r="AA1425" s="463"/>
      <c r="AB1425" s="464">
        <v>11.299320213812631</v>
      </c>
      <c r="AC1425" s="465">
        <v>0.34949238417320483</v>
      </c>
      <c r="AD1425" s="465">
        <v>5.5897348066669638E-4</v>
      </c>
      <c r="AE1425" s="476">
        <v>6.7795921282875788</v>
      </c>
      <c r="AF1425" s="467">
        <v>0.20969543050392289</v>
      </c>
      <c r="AG1425" s="468">
        <v>3.6327934114395612E-4</v>
      </c>
      <c r="AH1425" s="218">
        <v>12.499098196996256</v>
      </c>
      <c r="AI1425" s="470">
        <v>0.38660198544893315</v>
      </c>
      <c r="AJ1425" s="471">
        <v>4.8501606931751571E-4</v>
      </c>
      <c r="AK1425" s="218">
        <v>12.499098196996256</v>
      </c>
      <c r="AL1425" s="470">
        <v>0.38660198544893315</v>
      </c>
      <c r="AM1425" s="471">
        <v>4.8501606931751571E-4</v>
      </c>
      <c r="AN1425" s="477">
        <v>0</v>
      </c>
      <c r="AO1425" s="473">
        <v>0</v>
      </c>
      <c r="AP1425" s="474">
        <v>0</v>
      </c>
      <c r="AQ1425" s="352"/>
      <c r="AR1425" s="352"/>
      <c r="AS1425" s="352"/>
      <c r="AT1425" s="352"/>
      <c r="AU1425" s="352"/>
      <c r="AV1425" s="352"/>
      <c r="AW1425" s="352" t="s">
        <v>254</v>
      </c>
    </row>
    <row r="1426" spans="2:49" x14ac:dyDescent="0.2">
      <c r="B1426" s="460" t="s">
        <v>2794</v>
      </c>
      <c r="C1426" s="460">
        <v>2131</v>
      </c>
      <c r="D1426" s="460" t="s">
        <v>2276</v>
      </c>
      <c r="E1426" s="460" t="s">
        <v>2277</v>
      </c>
      <c r="F1426" s="460">
        <v>4</v>
      </c>
      <c r="G1426" s="460">
        <v>1</v>
      </c>
      <c r="H1426" s="461" t="s">
        <v>700</v>
      </c>
      <c r="I1426" s="461" t="s">
        <v>872</v>
      </c>
      <c r="J1426" s="461" t="s">
        <v>700</v>
      </c>
      <c r="K1426" s="594"/>
      <c r="L1426" s="594"/>
      <c r="M1426" s="352">
        <v>2000</v>
      </c>
      <c r="N1426" s="352" t="s">
        <v>703</v>
      </c>
      <c r="O1426" s="460">
        <v>2131</v>
      </c>
      <c r="P1426" s="460" t="s">
        <v>1879</v>
      </c>
      <c r="Q1426" s="460" t="s">
        <v>2440</v>
      </c>
      <c r="R1426" s="460">
        <v>2131</v>
      </c>
      <c r="S1426" s="460" t="s">
        <v>2277</v>
      </c>
      <c r="T1426" s="462">
        <v>1</v>
      </c>
      <c r="U1426" s="460" t="s">
        <v>2277</v>
      </c>
      <c r="V1426" s="475">
        <v>0</v>
      </c>
      <c r="W1426" s="463" t="s">
        <v>2503</v>
      </c>
      <c r="X1426" s="463" t="s">
        <v>2278</v>
      </c>
      <c r="Y1426" s="463" t="s">
        <v>2268</v>
      </c>
      <c r="Z1426" s="463"/>
      <c r="AA1426" s="463"/>
      <c r="AB1426" s="464">
        <v>5.1126308935923168E-2</v>
      </c>
      <c r="AC1426" s="465">
        <v>2.1395497025672979E-3</v>
      </c>
      <c r="AD1426" s="465">
        <v>2.0635650452593518E-4</v>
      </c>
      <c r="AE1426" s="476">
        <v>3.0675785361553898E-2</v>
      </c>
      <c r="AF1426" s="467">
        <v>1.2837298215403786E-3</v>
      </c>
      <c r="AG1426" s="468">
        <v>1.3841741667483268E-4</v>
      </c>
      <c r="AH1426" s="218">
        <v>5.1126308935923168E-2</v>
      </c>
      <c r="AI1426" s="470">
        <v>2.1395497025672979E-3</v>
      </c>
      <c r="AJ1426" s="471">
        <v>2.2111183717776403E-4</v>
      </c>
      <c r="AK1426" s="218">
        <v>5.1126308935923168E-2</v>
      </c>
      <c r="AL1426" s="470">
        <v>2.1395497025672979E-3</v>
      </c>
      <c r="AM1426" s="471">
        <v>2.2111183717776403E-4</v>
      </c>
      <c r="AN1426" s="477">
        <v>0</v>
      </c>
      <c r="AO1426" s="473">
        <v>0</v>
      </c>
      <c r="AP1426" s="474">
        <v>0</v>
      </c>
      <c r="AQ1426" s="352"/>
      <c r="AR1426" s="352"/>
      <c r="AS1426" s="352"/>
      <c r="AT1426" s="352"/>
      <c r="AU1426" s="352"/>
      <c r="AV1426" s="352"/>
      <c r="AW1426" s="352" t="s">
        <v>254</v>
      </c>
    </row>
    <row r="1427" spans="2:49" x14ac:dyDescent="0.2">
      <c r="B1427" s="460" t="s">
        <v>2791</v>
      </c>
      <c r="C1427" s="460">
        <v>2131</v>
      </c>
      <c r="D1427" s="460" t="s">
        <v>2279</v>
      </c>
      <c r="E1427" s="460" t="s">
        <v>2265</v>
      </c>
      <c r="F1427" s="460">
        <v>1</v>
      </c>
      <c r="G1427" s="460">
        <v>1</v>
      </c>
      <c r="H1427" s="461" t="s">
        <v>712</v>
      </c>
      <c r="I1427" s="461" t="s">
        <v>713</v>
      </c>
      <c r="J1427" s="461" t="s">
        <v>712</v>
      </c>
      <c r="K1427" s="594"/>
      <c r="L1427" s="594"/>
      <c r="M1427" s="352">
        <v>2000</v>
      </c>
      <c r="N1427" s="352" t="s">
        <v>703</v>
      </c>
      <c r="O1427" s="460">
        <v>2131</v>
      </c>
      <c r="P1427" s="460" t="s">
        <v>1879</v>
      </c>
      <c r="Q1427" s="460" t="s">
        <v>2280</v>
      </c>
      <c r="R1427" s="460">
        <v>2131</v>
      </c>
      <c r="S1427" s="460" t="s">
        <v>2265</v>
      </c>
      <c r="T1427" s="462">
        <v>1</v>
      </c>
      <c r="U1427" s="460" t="s">
        <v>2265</v>
      </c>
      <c r="V1427" s="475">
        <v>0</v>
      </c>
      <c r="W1427" s="463" t="s">
        <v>713</v>
      </c>
      <c r="X1427" s="463" t="s">
        <v>713</v>
      </c>
      <c r="Y1427" s="463" t="s">
        <v>713</v>
      </c>
      <c r="Z1427" s="463"/>
      <c r="AA1427" s="463"/>
      <c r="AB1427" s="464">
        <v>43.925610676990473</v>
      </c>
      <c r="AC1427" s="465">
        <v>0.47913708776392366</v>
      </c>
      <c r="AD1427" s="465">
        <v>1.6226880225787526E-4</v>
      </c>
      <c r="AE1427" s="476">
        <v>63.025965947537344</v>
      </c>
      <c r="AF1427" s="467">
        <v>0.68748225265835416</v>
      </c>
      <c r="AG1427" s="468">
        <v>2.2705329156767507E-4</v>
      </c>
      <c r="AH1427" s="218">
        <v>43.92561067699048</v>
      </c>
      <c r="AI1427" s="470">
        <v>0.47913708776392372</v>
      </c>
      <c r="AJ1427" s="471">
        <v>1.6051253129330834E-4</v>
      </c>
      <c r="AK1427" s="218">
        <v>43.92561067699048</v>
      </c>
      <c r="AL1427" s="470">
        <v>0.47913708776392372</v>
      </c>
      <c r="AM1427" s="471">
        <v>1.6051253129330834E-4</v>
      </c>
      <c r="AN1427" s="477">
        <v>43.92561067699048</v>
      </c>
      <c r="AO1427" s="473">
        <v>0.47913708776392372</v>
      </c>
      <c r="AP1427" s="474">
        <v>1.604602298730593E-4</v>
      </c>
      <c r="AQ1427" s="352"/>
      <c r="AR1427" s="352"/>
      <c r="AS1427" s="352"/>
      <c r="AT1427" s="352"/>
      <c r="AU1427" s="352"/>
      <c r="AV1427" s="352"/>
      <c r="AW1427" s="352" t="s">
        <v>254</v>
      </c>
    </row>
    <row r="1428" spans="2:49" x14ac:dyDescent="0.2">
      <c r="B1428" s="460" t="s">
        <v>2792</v>
      </c>
      <c r="C1428" s="460">
        <v>2131</v>
      </c>
      <c r="D1428" s="460" t="s">
        <v>2281</v>
      </c>
      <c r="E1428" s="460" t="s">
        <v>2271</v>
      </c>
      <c r="F1428" s="460">
        <v>2</v>
      </c>
      <c r="G1428" s="460">
        <v>1</v>
      </c>
      <c r="H1428" s="461" t="s">
        <v>712</v>
      </c>
      <c r="I1428" s="461" t="s">
        <v>713</v>
      </c>
      <c r="J1428" s="461" t="s">
        <v>712</v>
      </c>
      <c r="K1428" s="594"/>
      <c r="L1428" s="594"/>
      <c r="M1428" s="352">
        <v>2000</v>
      </c>
      <c r="N1428" s="352" t="s">
        <v>703</v>
      </c>
      <c r="O1428" s="460">
        <v>2131</v>
      </c>
      <c r="P1428" s="460" t="s">
        <v>1879</v>
      </c>
      <c r="Q1428" s="460" t="s">
        <v>2280</v>
      </c>
      <c r="R1428" s="460">
        <v>2131</v>
      </c>
      <c r="S1428" s="460" t="s">
        <v>2265</v>
      </c>
      <c r="T1428" s="462">
        <v>1</v>
      </c>
      <c r="U1428" s="460" t="s">
        <v>2271</v>
      </c>
      <c r="V1428" s="475">
        <v>0</v>
      </c>
      <c r="W1428" s="463" t="s">
        <v>713</v>
      </c>
      <c r="X1428" s="463" t="s">
        <v>713</v>
      </c>
      <c r="Y1428" s="463" t="s">
        <v>713</v>
      </c>
      <c r="Z1428" s="463"/>
      <c r="AA1428" s="463"/>
      <c r="AB1428" s="464">
        <v>51.108410004386393</v>
      </c>
      <c r="AC1428" s="465">
        <v>0.51078952668026634</v>
      </c>
      <c r="AD1428" s="465">
        <v>2.134246621479686E-4</v>
      </c>
      <c r="AE1428" s="476">
        <v>70.688114084353245</v>
      </c>
      <c r="AF1428" s="467">
        <v>0.70647371600815978</v>
      </c>
      <c r="AG1428" s="468">
        <v>2.87711748466021E-4</v>
      </c>
      <c r="AH1428" s="218">
        <v>47.941340710133119</v>
      </c>
      <c r="AI1428" s="470">
        <v>0.47913708776392372</v>
      </c>
      <c r="AJ1428" s="471">
        <v>2.0596297477433546E-4</v>
      </c>
      <c r="AK1428" s="218">
        <v>47.941340710133119</v>
      </c>
      <c r="AL1428" s="470">
        <v>0.47913708776392372</v>
      </c>
      <c r="AM1428" s="471">
        <v>2.0596297477433546E-4</v>
      </c>
      <c r="AN1428" s="477">
        <v>47.941340710133119</v>
      </c>
      <c r="AO1428" s="473">
        <v>0.47913708776392372</v>
      </c>
      <c r="AP1428" s="474">
        <v>2.0589065441730767E-4</v>
      </c>
      <c r="AQ1428" s="352"/>
      <c r="AR1428" s="352"/>
      <c r="AS1428" s="352"/>
      <c r="AT1428" s="352"/>
      <c r="AU1428" s="352"/>
      <c r="AV1428" s="352"/>
      <c r="AW1428" s="352" t="s">
        <v>254</v>
      </c>
    </row>
    <row r="1429" spans="2:49" x14ac:dyDescent="0.2">
      <c r="B1429" s="460" t="s">
        <v>2793</v>
      </c>
      <c r="C1429" s="460">
        <v>2131</v>
      </c>
      <c r="D1429" s="460" t="s">
        <v>2282</v>
      </c>
      <c r="E1429" s="460" t="s">
        <v>2274</v>
      </c>
      <c r="F1429" s="460">
        <v>3</v>
      </c>
      <c r="G1429" s="460">
        <v>1</v>
      </c>
      <c r="H1429" s="461" t="s">
        <v>712</v>
      </c>
      <c r="I1429" s="461" t="s">
        <v>713</v>
      </c>
      <c r="J1429" s="461" t="s">
        <v>712</v>
      </c>
      <c r="K1429" s="594"/>
      <c r="L1429" s="594"/>
      <c r="M1429" s="352">
        <v>2000</v>
      </c>
      <c r="N1429" s="352" t="s">
        <v>703</v>
      </c>
      <c r="O1429" s="460">
        <v>2131</v>
      </c>
      <c r="P1429" s="460" t="s">
        <v>1879</v>
      </c>
      <c r="Q1429" s="460" t="s">
        <v>2280</v>
      </c>
      <c r="R1429" s="460">
        <v>2131</v>
      </c>
      <c r="S1429" s="460" t="s">
        <v>2265</v>
      </c>
      <c r="T1429" s="462">
        <v>0.74223365950407583</v>
      </c>
      <c r="U1429" s="460" t="s">
        <v>2274</v>
      </c>
      <c r="V1429" s="475">
        <v>0</v>
      </c>
      <c r="W1429" s="463" t="s">
        <v>713</v>
      </c>
      <c r="X1429" s="463" t="s">
        <v>713</v>
      </c>
      <c r="Y1429" s="463" t="s">
        <v>713</v>
      </c>
      <c r="Z1429" s="463"/>
      <c r="AA1429" s="463"/>
      <c r="AB1429" s="464">
        <v>21.031341985146206</v>
      </c>
      <c r="AC1429" s="465">
        <v>0.65050761582679528</v>
      </c>
      <c r="AD1429" s="465">
        <v>1.2587705012606737E-4</v>
      </c>
      <c r="AE1429" s="476">
        <v>25.551070070671255</v>
      </c>
      <c r="AF1429" s="467">
        <v>0.79030456949607708</v>
      </c>
      <c r="AG1429" s="468">
        <v>1.5152090654120884E-4</v>
      </c>
      <c r="AH1429" s="218">
        <v>19.83156400196258</v>
      </c>
      <c r="AI1429" s="470">
        <v>0.61339801455106691</v>
      </c>
      <c r="AJ1429" s="471">
        <v>1.2462493384196742E-4</v>
      </c>
      <c r="AK1429" s="218">
        <v>19.83156400196258</v>
      </c>
      <c r="AL1429" s="470">
        <v>0.61339801455106691</v>
      </c>
      <c r="AM1429" s="471">
        <v>1.2462493384196742E-4</v>
      </c>
      <c r="AN1429" s="477">
        <v>19.83156400196258</v>
      </c>
      <c r="AO1429" s="473">
        <v>0.61339801455106691</v>
      </c>
      <c r="AP1429" s="474">
        <v>1.255239777231407E-4</v>
      </c>
      <c r="AQ1429" s="352"/>
      <c r="AR1429" s="352"/>
      <c r="AS1429" s="352"/>
      <c r="AT1429" s="352"/>
      <c r="AU1429" s="352"/>
      <c r="AV1429" s="352"/>
      <c r="AW1429" s="352" t="s">
        <v>254</v>
      </c>
    </row>
    <row r="1430" spans="2:49" x14ac:dyDescent="0.2">
      <c r="B1430" s="460" t="s">
        <v>2794</v>
      </c>
      <c r="C1430" s="460">
        <v>2131</v>
      </c>
      <c r="D1430" s="460" t="s">
        <v>2283</v>
      </c>
      <c r="E1430" s="460" t="s">
        <v>2277</v>
      </c>
      <c r="F1430" s="460">
        <v>4</v>
      </c>
      <c r="G1430" s="460">
        <v>1</v>
      </c>
      <c r="H1430" s="461" t="s">
        <v>712</v>
      </c>
      <c r="I1430" s="461" t="s">
        <v>713</v>
      </c>
      <c r="J1430" s="461" t="s">
        <v>712</v>
      </c>
      <c r="K1430" s="594"/>
      <c r="L1430" s="594"/>
      <c r="M1430" s="352">
        <v>2000</v>
      </c>
      <c r="N1430" s="352" t="s">
        <v>703</v>
      </c>
      <c r="O1430" s="460">
        <v>2131</v>
      </c>
      <c r="P1430" s="460" t="s">
        <v>1879</v>
      </c>
      <c r="Q1430" s="460" t="s">
        <v>2280</v>
      </c>
      <c r="R1430" s="460">
        <v>2131</v>
      </c>
      <c r="S1430" s="460" t="s">
        <v>2277</v>
      </c>
      <c r="T1430" s="462">
        <v>1</v>
      </c>
      <c r="U1430" s="460" t="s">
        <v>2277</v>
      </c>
      <c r="V1430" s="475">
        <v>0</v>
      </c>
      <c r="W1430" s="463" t="s">
        <v>713</v>
      </c>
      <c r="X1430" s="463" t="s">
        <v>713</v>
      </c>
      <c r="Y1430" s="463" t="s">
        <v>713</v>
      </c>
      <c r="Z1430" s="463"/>
      <c r="AA1430" s="463"/>
      <c r="AB1430" s="464">
        <v>23.844700403841752</v>
      </c>
      <c r="AC1430" s="465">
        <v>0.99786045029743264</v>
      </c>
      <c r="AD1430" s="465">
        <v>1.2383208341243634E-4</v>
      </c>
      <c r="AE1430" s="476">
        <v>23.865150927416124</v>
      </c>
      <c r="AF1430" s="467">
        <v>0.99871627017845965</v>
      </c>
      <c r="AG1430" s="468">
        <v>1.2392146648126023E-4</v>
      </c>
      <c r="AH1430" s="218">
        <v>23.844700403841756</v>
      </c>
      <c r="AI1430" s="470">
        <v>0.99786045029743276</v>
      </c>
      <c r="AJ1430" s="471">
        <v>1.2382145176685679E-4</v>
      </c>
      <c r="AK1430" s="218">
        <v>23.844700403841756</v>
      </c>
      <c r="AL1430" s="470">
        <v>0.99786045029743276</v>
      </c>
      <c r="AM1430" s="471">
        <v>1.2382145176685679E-4</v>
      </c>
      <c r="AN1430" s="477">
        <v>23.844700403841756</v>
      </c>
      <c r="AO1430" s="473">
        <v>0.99786045029743276</v>
      </c>
      <c r="AP1430" s="474">
        <v>1.2382206919187667E-4</v>
      </c>
      <c r="AQ1430" s="352"/>
      <c r="AR1430" s="352"/>
      <c r="AS1430" s="352"/>
      <c r="AT1430" s="352"/>
      <c r="AU1430" s="352"/>
      <c r="AV1430" s="352"/>
      <c r="AW1430" s="352" t="s">
        <v>254</v>
      </c>
    </row>
    <row r="1431" spans="2:49" x14ac:dyDescent="0.2">
      <c r="B1431" s="460" t="s">
        <v>2791</v>
      </c>
      <c r="C1431" s="460">
        <v>2131</v>
      </c>
      <c r="D1431" s="460" t="s">
        <v>2284</v>
      </c>
      <c r="E1431" s="460" t="s">
        <v>2265</v>
      </c>
      <c r="F1431" s="460">
        <v>1</v>
      </c>
      <c r="G1431" s="460">
        <v>1</v>
      </c>
      <c r="H1431" s="461" t="s">
        <v>746</v>
      </c>
      <c r="I1431" s="461" t="s">
        <v>762</v>
      </c>
      <c r="J1431" s="461" t="s">
        <v>700</v>
      </c>
      <c r="K1431" s="594"/>
      <c r="L1431" s="594"/>
      <c r="M1431" s="352">
        <v>2000</v>
      </c>
      <c r="N1431" s="352" t="s">
        <v>703</v>
      </c>
      <c r="O1431" s="460">
        <v>2131</v>
      </c>
      <c r="P1431" s="460" t="s">
        <v>1879</v>
      </c>
      <c r="Q1431" s="460" t="s">
        <v>2444</v>
      </c>
      <c r="R1431" s="460">
        <v>2131</v>
      </c>
      <c r="S1431" s="460" t="s">
        <v>2265</v>
      </c>
      <c r="T1431" s="462">
        <v>1</v>
      </c>
      <c r="U1431" s="460" t="s">
        <v>2265</v>
      </c>
      <c r="V1431" s="475">
        <v>0</v>
      </c>
      <c r="W1431" s="463" t="s">
        <v>2268</v>
      </c>
      <c r="X1431" s="463" t="s">
        <v>2268</v>
      </c>
      <c r="Y1431" s="463" t="s">
        <v>2290</v>
      </c>
      <c r="Z1431" s="463"/>
      <c r="AA1431" s="463"/>
      <c r="AB1431" s="464">
        <v>0</v>
      </c>
      <c r="AC1431" s="465">
        <v>0</v>
      </c>
      <c r="AD1431" s="465">
        <v>0</v>
      </c>
      <c r="AE1431" s="476">
        <v>0</v>
      </c>
      <c r="AF1431" s="467">
        <v>0</v>
      </c>
      <c r="AG1431" s="468">
        <v>0</v>
      </c>
      <c r="AH1431" s="218">
        <v>0</v>
      </c>
      <c r="AI1431" s="470">
        <v>0</v>
      </c>
      <c r="AJ1431" s="471">
        <v>0</v>
      </c>
      <c r="AK1431" s="218">
        <v>0</v>
      </c>
      <c r="AL1431" s="470">
        <v>0</v>
      </c>
      <c r="AM1431" s="471">
        <v>0</v>
      </c>
      <c r="AN1431" s="477">
        <v>0</v>
      </c>
      <c r="AO1431" s="473">
        <v>0</v>
      </c>
      <c r="AP1431" s="474">
        <v>0</v>
      </c>
      <c r="AQ1431" s="352"/>
      <c r="AR1431" s="352"/>
      <c r="AS1431" s="352"/>
      <c r="AT1431" s="352"/>
      <c r="AU1431" s="352"/>
      <c r="AV1431" s="352"/>
      <c r="AW1431" s="352" t="s">
        <v>254</v>
      </c>
    </row>
    <row r="1432" spans="2:49" x14ac:dyDescent="0.2">
      <c r="B1432" s="460" t="s">
        <v>2792</v>
      </c>
      <c r="C1432" s="460">
        <v>2131</v>
      </c>
      <c r="D1432" s="460" t="s">
        <v>2285</v>
      </c>
      <c r="E1432" s="460" t="s">
        <v>2271</v>
      </c>
      <c r="F1432" s="460">
        <v>2</v>
      </c>
      <c r="G1432" s="460">
        <v>1</v>
      </c>
      <c r="H1432" s="461" t="s">
        <v>746</v>
      </c>
      <c r="I1432" s="461" t="s">
        <v>762</v>
      </c>
      <c r="J1432" s="461" t="s">
        <v>700</v>
      </c>
      <c r="K1432" s="594"/>
      <c r="L1432" s="594"/>
      <c r="M1432" s="352">
        <v>2000</v>
      </c>
      <c r="N1432" s="352" t="s">
        <v>703</v>
      </c>
      <c r="O1432" s="460">
        <v>2131</v>
      </c>
      <c r="P1432" s="460" t="s">
        <v>1879</v>
      </c>
      <c r="Q1432" s="460" t="s">
        <v>2444</v>
      </c>
      <c r="R1432" s="460">
        <v>2131</v>
      </c>
      <c r="S1432" s="460" t="s">
        <v>2265</v>
      </c>
      <c r="T1432" s="462">
        <v>1</v>
      </c>
      <c r="U1432" s="460" t="s">
        <v>2271</v>
      </c>
      <c r="V1432" s="475">
        <v>0</v>
      </c>
      <c r="W1432" s="463" t="s">
        <v>2268</v>
      </c>
      <c r="X1432" s="463" t="s">
        <v>2268</v>
      </c>
      <c r="Y1432" s="463" t="s">
        <v>2290</v>
      </c>
      <c r="Z1432" s="463"/>
      <c r="AA1432" s="463"/>
      <c r="AB1432" s="464">
        <v>0</v>
      </c>
      <c r="AC1432" s="465">
        <v>0</v>
      </c>
      <c r="AD1432" s="465">
        <v>0</v>
      </c>
      <c r="AE1432" s="476">
        <v>0</v>
      </c>
      <c r="AF1432" s="467">
        <v>0</v>
      </c>
      <c r="AG1432" s="468">
        <v>0</v>
      </c>
      <c r="AH1432" s="218">
        <v>0</v>
      </c>
      <c r="AI1432" s="470">
        <v>0</v>
      </c>
      <c r="AJ1432" s="471">
        <v>0</v>
      </c>
      <c r="AK1432" s="218">
        <v>0</v>
      </c>
      <c r="AL1432" s="470">
        <v>0</v>
      </c>
      <c r="AM1432" s="471">
        <v>0</v>
      </c>
      <c r="AN1432" s="477">
        <v>0</v>
      </c>
      <c r="AO1432" s="473">
        <v>0</v>
      </c>
      <c r="AP1432" s="474">
        <v>0</v>
      </c>
      <c r="AQ1432" s="352"/>
      <c r="AR1432" s="352"/>
      <c r="AS1432" s="352"/>
      <c r="AT1432" s="352"/>
      <c r="AU1432" s="352"/>
      <c r="AV1432" s="352"/>
      <c r="AW1432" s="352" t="s">
        <v>254</v>
      </c>
    </row>
    <row r="1433" spans="2:49" x14ac:dyDescent="0.2">
      <c r="B1433" s="460" t="s">
        <v>2793</v>
      </c>
      <c r="C1433" s="460">
        <v>2131</v>
      </c>
      <c r="D1433" s="460" t="s">
        <v>2286</v>
      </c>
      <c r="E1433" s="460" t="s">
        <v>2274</v>
      </c>
      <c r="F1433" s="460">
        <v>3</v>
      </c>
      <c r="G1433" s="460">
        <v>1</v>
      </c>
      <c r="H1433" s="461" t="s">
        <v>746</v>
      </c>
      <c r="I1433" s="461" t="s">
        <v>762</v>
      </c>
      <c r="J1433" s="461" t="s">
        <v>700</v>
      </c>
      <c r="K1433" s="594"/>
      <c r="L1433" s="594"/>
      <c r="M1433" s="352">
        <v>2000</v>
      </c>
      <c r="N1433" s="352" t="s">
        <v>703</v>
      </c>
      <c r="O1433" s="460">
        <v>2131</v>
      </c>
      <c r="P1433" s="460" t="s">
        <v>1879</v>
      </c>
      <c r="Q1433" s="460" t="s">
        <v>2444</v>
      </c>
      <c r="R1433" s="460">
        <v>2131</v>
      </c>
      <c r="S1433" s="460" t="s">
        <v>2265</v>
      </c>
      <c r="T1433" s="462">
        <v>0.74223365950407583</v>
      </c>
      <c r="U1433" s="460" t="s">
        <v>2274</v>
      </c>
      <c r="V1433" s="475">
        <v>0</v>
      </c>
      <c r="W1433" s="463" t="s">
        <v>2268</v>
      </c>
      <c r="X1433" s="463" t="s">
        <v>2268</v>
      </c>
      <c r="Y1433" s="463" t="s">
        <v>2290</v>
      </c>
      <c r="Z1433" s="463"/>
      <c r="AA1433" s="463"/>
      <c r="AB1433" s="464">
        <v>0</v>
      </c>
      <c r="AC1433" s="465">
        <v>0</v>
      </c>
      <c r="AD1433" s="465">
        <v>0</v>
      </c>
      <c r="AE1433" s="476">
        <v>0</v>
      </c>
      <c r="AF1433" s="467">
        <v>0</v>
      </c>
      <c r="AG1433" s="468">
        <v>0</v>
      </c>
      <c r="AH1433" s="218">
        <v>0</v>
      </c>
      <c r="AI1433" s="470">
        <v>0</v>
      </c>
      <c r="AJ1433" s="471">
        <v>0</v>
      </c>
      <c r="AK1433" s="218">
        <v>0</v>
      </c>
      <c r="AL1433" s="470">
        <v>0</v>
      </c>
      <c r="AM1433" s="471">
        <v>0</v>
      </c>
      <c r="AN1433" s="477">
        <v>0</v>
      </c>
      <c r="AO1433" s="473">
        <v>0</v>
      </c>
      <c r="AP1433" s="474">
        <v>0</v>
      </c>
      <c r="AQ1433" s="352"/>
      <c r="AR1433" s="352"/>
      <c r="AS1433" s="352"/>
      <c r="AT1433" s="352"/>
      <c r="AU1433" s="352"/>
      <c r="AV1433" s="352"/>
      <c r="AW1433" s="352" t="s">
        <v>254</v>
      </c>
    </row>
    <row r="1434" spans="2:49" x14ac:dyDescent="0.2">
      <c r="B1434" s="460" t="s">
        <v>2794</v>
      </c>
      <c r="C1434" s="460">
        <v>2131</v>
      </c>
      <c r="D1434" s="460" t="s">
        <v>2287</v>
      </c>
      <c r="E1434" s="460" t="s">
        <v>2277</v>
      </c>
      <c r="F1434" s="460">
        <v>4</v>
      </c>
      <c r="G1434" s="460">
        <v>1</v>
      </c>
      <c r="H1434" s="461" t="s">
        <v>746</v>
      </c>
      <c r="I1434" s="461" t="s">
        <v>762</v>
      </c>
      <c r="J1434" s="461" t="s">
        <v>700</v>
      </c>
      <c r="K1434" s="594"/>
      <c r="L1434" s="594"/>
      <c r="M1434" s="352">
        <v>2000</v>
      </c>
      <c r="N1434" s="352" t="s">
        <v>703</v>
      </c>
      <c r="O1434" s="460">
        <v>2131</v>
      </c>
      <c r="P1434" s="460" t="s">
        <v>1879</v>
      </c>
      <c r="Q1434" s="460" t="s">
        <v>2444</v>
      </c>
      <c r="R1434" s="460">
        <v>2131</v>
      </c>
      <c r="S1434" s="460" t="s">
        <v>2277</v>
      </c>
      <c r="T1434" s="462">
        <v>1</v>
      </c>
      <c r="U1434" s="460" t="s">
        <v>2277</v>
      </c>
      <c r="V1434" s="475">
        <v>0</v>
      </c>
      <c r="W1434" s="463" t="s">
        <v>2268</v>
      </c>
      <c r="X1434" s="463" t="s">
        <v>2268</v>
      </c>
      <c r="Y1434" s="463" t="s">
        <v>2290</v>
      </c>
      <c r="Z1434" s="463"/>
      <c r="AA1434" s="463"/>
      <c r="AB1434" s="464">
        <v>0</v>
      </c>
      <c r="AC1434" s="465">
        <v>0</v>
      </c>
      <c r="AD1434" s="465">
        <v>0</v>
      </c>
      <c r="AE1434" s="476">
        <v>0</v>
      </c>
      <c r="AF1434" s="467">
        <v>0</v>
      </c>
      <c r="AG1434" s="468">
        <v>0</v>
      </c>
      <c r="AH1434" s="218">
        <v>0</v>
      </c>
      <c r="AI1434" s="470">
        <v>0</v>
      </c>
      <c r="AJ1434" s="471">
        <v>0</v>
      </c>
      <c r="AK1434" s="218">
        <v>0</v>
      </c>
      <c r="AL1434" s="470">
        <v>0</v>
      </c>
      <c r="AM1434" s="471">
        <v>0</v>
      </c>
      <c r="AN1434" s="477">
        <v>0</v>
      </c>
      <c r="AO1434" s="473">
        <v>0</v>
      </c>
      <c r="AP1434" s="474">
        <v>0</v>
      </c>
      <c r="AQ1434" s="352"/>
      <c r="AR1434" s="352"/>
      <c r="AS1434" s="352"/>
      <c r="AT1434" s="352"/>
      <c r="AU1434" s="352"/>
      <c r="AV1434" s="352"/>
      <c r="AW1434" s="352" t="s">
        <v>254</v>
      </c>
    </row>
    <row r="1435" spans="2:49" x14ac:dyDescent="0.2">
      <c r="B1435" s="460" t="s">
        <v>2791</v>
      </c>
      <c r="C1435" s="460">
        <v>2131</v>
      </c>
      <c r="D1435" s="460" t="s">
        <v>2288</v>
      </c>
      <c r="E1435" s="460" t="s">
        <v>2265</v>
      </c>
      <c r="F1435" s="460">
        <v>1</v>
      </c>
      <c r="G1435" s="460">
        <v>1</v>
      </c>
      <c r="H1435" s="461" t="s">
        <v>748</v>
      </c>
      <c r="I1435" s="461" t="s">
        <v>765</v>
      </c>
      <c r="J1435" s="461" t="s">
        <v>700</v>
      </c>
      <c r="K1435" s="594"/>
      <c r="L1435" s="594"/>
      <c r="M1435" s="352">
        <v>2000</v>
      </c>
      <c r="N1435" s="352" t="s">
        <v>703</v>
      </c>
      <c r="O1435" s="460">
        <v>2131</v>
      </c>
      <c r="P1435" s="460" t="s">
        <v>1879</v>
      </c>
      <c r="Q1435" s="460" t="s">
        <v>2440</v>
      </c>
      <c r="R1435" s="460">
        <v>2131</v>
      </c>
      <c r="S1435" s="460" t="s">
        <v>2265</v>
      </c>
      <c r="T1435" s="462">
        <v>1</v>
      </c>
      <c r="U1435" s="460" t="s">
        <v>2265</v>
      </c>
      <c r="V1435" s="475">
        <v>0</v>
      </c>
      <c r="W1435" s="463" t="s">
        <v>2268</v>
      </c>
      <c r="X1435" s="463" t="s">
        <v>2268</v>
      </c>
      <c r="Y1435" s="463" t="s">
        <v>2267</v>
      </c>
      <c r="Z1435" s="463"/>
      <c r="AA1435" s="463"/>
      <c r="AB1435" s="464">
        <v>0</v>
      </c>
      <c r="AC1435" s="465">
        <v>0</v>
      </c>
      <c r="AD1435" s="465">
        <v>0</v>
      </c>
      <c r="AE1435" s="476">
        <v>0</v>
      </c>
      <c r="AF1435" s="467">
        <v>0</v>
      </c>
      <c r="AG1435" s="468">
        <v>0</v>
      </c>
      <c r="AH1435" s="218">
        <v>0</v>
      </c>
      <c r="AI1435" s="470">
        <v>0</v>
      </c>
      <c r="AJ1435" s="471">
        <v>0</v>
      </c>
      <c r="AK1435" s="218">
        <v>0</v>
      </c>
      <c r="AL1435" s="470">
        <v>0</v>
      </c>
      <c r="AM1435" s="471">
        <v>0</v>
      </c>
      <c r="AN1435" s="477">
        <v>47.750888176367177</v>
      </c>
      <c r="AO1435" s="473">
        <v>0.52086291223607628</v>
      </c>
      <c r="AP1435" s="474">
        <v>2.9653593836672966E-3</v>
      </c>
      <c r="AQ1435" s="352"/>
      <c r="AR1435" s="352"/>
      <c r="AS1435" s="352"/>
      <c r="AT1435" s="352"/>
      <c r="AU1435" s="352"/>
      <c r="AV1435" s="352"/>
      <c r="AW1435" s="352" t="s">
        <v>254</v>
      </c>
    </row>
    <row r="1436" spans="2:49" x14ac:dyDescent="0.2">
      <c r="B1436" s="460" t="s">
        <v>2792</v>
      </c>
      <c r="C1436" s="460">
        <v>2131</v>
      </c>
      <c r="D1436" s="460" t="s">
        <v>2291</v>
      </c>
      <c r="E1436" s="460" t="s">
        <v>2271</v>
      </c>
      <c r="F1436" s="460">
        <v>2</v>
      </c>
      <c r="G1436" s="460">
        <v>1</v>
      </c>
      <c r="H1436" s="461" t="s">
        <v>748</v>
      </c>
      <c r="I1436" s="461" t="s">
        <v>765</v>
      </c>
      <c r="J1436" s="461" t="s">
        <v>700</v>
      </c>
      <c r="K1436" s="594"/>
      <c r="L1436" s="594"/>
      <c r="M1436" s="352">
        <v>2000</v>
      </c>
      <c r="N1436" s="352" t="s">
        <v>703</v>
      </c>
      <c r="O1436" s="460">
        <v>2131</v>
      </c>
      <c r="P1436" s="460" t="s">
        <v>1879</v>
      </c>
      <c r="Q1436" s="460" t="s">
        <v>2440</v>
      </c>
      <c r="R1436" s="460">
        <v>2131</v>
      </c>
      <c r="S1436" s="460" t="s">
        <v>2265</v>
      </c>
      <c r="T1436" s="462">
        <v>1</v>
      </c>
      <c r="U1436" s="460" t="s">
        <v>2271</v>
      </c>
      <c r="V1436" s="475">
        <v>0</v>
      </c>
      <c r="W1436" s="463" t="s">
        <v>2268</v>
      </c>
      <c r="X1436" s="463" t="s">
        <v>2268</v>
      </c>
      <c r="Y1436" s="463" t="s">
        <v>2267</v>
      </c>
      <c r="Z1436" s="463"/>
      <c r="AA1436" s="463"/>
      <c r="AB1436" s="464">
        <v>0</v>
      </c>
      <c r="AC1436" s="465">
        <v>0</v>
      </c>
      <c r="AD1436" s="465">
        <v>0</v>
      </c>
      <c r="AE1436" s="476">
        <v>0</v>
      </c>
      <c r="AF1436" s="467">
        <v>0</v>
      </c>
      <c r="AG1436" s="468">
        <v>0</v>
      </c>
      <c r="AH1436" s="218">
        <v>0</v>
      </c>
      <c r="AI1436" s="470">
        <v>0</v>
      </c>
      <c r="AJ1436" s="471">
        <v>0</v>
      </c>
      <c r="AK1436" s="218">
        <v>0</v>
      </c>
      <c r="AL1436" s="470">
        <v>0</v>
      </c>
      <c r="AM1436" s="471">
        <v>0</v>
      </c>
      <c r="AN1436" s="477">
        <v>52.116329494170415</v>
      </c>
      <c r="AO1436" s="473">
        <v>0.52086291223607628</v>
      </c>
      <c r="AP1436" s="474">
        <v>3.3148110513241307E-3</v>
      </c>
      <c r="AQ1436" s="352"/>
      <c r="AR1436" s="352"/>
      <c r="AS1436" s="352"/>
      <c r="AT1436" s="352"/>
      <c r="AU1436" s="352"/>
      <c r="AV1436" s="352"/>
      <c r="AW1436" s="352" t="s">
        <v>254</v>
      </c>
    </row>
    <row r="1437" spans="2:49" x14ac:dyDescent="0.2">
      <c r="B1437" s="460" t="s">
        <v>2793</v>
      </c>
      <c r="C1437" s="460">
        <v>2131</v>
      </c>
      <c r="D1437" s="460" t="s">
        <v>2292</v>
      </c>
      <c r="E1437" s="460" t="s">
        <v>2274</v>
      </c>
      <c r="F1437" s="460">
        <v>3</v>
      </c>
      <c r="G1437" s="460">
        <v>1</v>
      </c>
      <c r="H1437" s="461" t="s">
        <v>748</v>
      </c>
      <c r="I1437" s="461" t="s">
        <v>765</v>
      </c>
      <c r="J1437" s="461" t="s">
        <v>700</v>
      </c>
      <c r="K1437" s="594"/>
      <c r="L1437" s="594"/>
      <c r="M1437" s="352">
        <v>2000</v>
      </c>
      <c r="N1437" s="352" t="s">
        <v>703</v>
      </c>
      <c r="O1437" s="460">
        <v>2131</v>
      </c>
      <c r="P1437" s="460" t="s">
        <v>1879</v>
      </c>
      <c r="Q1437" s="460" t="s">
        <v>2440</v>
      </c>
      <c r="R1437" s="460">
        <v>2131</v>
      </c>
      <c r="S1437" s="460" t="s">
        <v>2265</v>
      </c>
      <c r="T1437" s="462">
        <v>0.74223365950407583</v>
      </c>
      <c r="U1437" s="460" t="s">
        <v>2274</v>
      </c>
      <c r="V1437" s="475">
        <v>0</v>
      </c>
      <c r="W1437" s="463" t="s">
        <v>2268</v>
      </c>
      <c r="X1437" s="463" t="s">
        <v>2268</v>
      </c>
      <c r="Y1437" s="463" t="s">
        <v>2267</v>
      </c>
      <c r="Z1437" s="463"/>
      <c r="AA1437" s="463"/>
      <c r="AB1437" s="464">
        <v>0</v>
      </c>
      <c r="AC1437" s="465">
        <v>0</v>
      </c>
      <c r="AD1437" s="465">
        <v>0</v>
      </c>
      <c r="AE1437" s="476">
        <v>0</v>
      </c>
      <c r="AF1437" s="467">
        <v>0</v>
      </c>
      <c r="AG1437" s="468">
        <v>0</v>
      </c>
      <c r="AH1437" s="218">
        <v>0</v>
      </c>
      <c r="AI1437" s="470">
        <v>0</v>
      </c>
      <c r="AJ1437" s="471">
        <v>0</v>
      </c>
      <c r="AK1437" s="218">
        <v>0</v>
      </c>
      <c r="AL1437" s="470">
        <v>0</v>
      </c>
      <c r="AM1437" s="471">
        <v>0</v>
      </c>
      <c r="AN1437" s="477">
        <v>12.499098196996256</v>
      </c>
      <c r="AO1437" s="473">
        <v>0.38660198544893315</v>
      </c>
      <c r="AP1437" s="474">
        <v>1.7598328966812698E-3</v>
      </c>
      <c r="AQ1437" s="352"/>
      <c r="AR1437" s="352"/>
      <c r="AS1437" s="352"/>
      <c r="AT1437" s="352"/>
      <c r="AU1437" s="352"/>
      <c r="AV1437" s="352"/>
      <c r="AW1437" s="352" t="s">
        <v>254</v>
      </c>
    </row>
    <row r="1438" spans="2:49" x14ac:dyDescent="0.2">
      <c r="B1438" s="460" t="s">
        <v>2794</v>
      </c>
      <c r="C1438" s="460">
        <v>2131</v>
      </c>
      <c r="D1438" s="460" t="s">
        <v>2293</v>
      </c>
      <c r="E1438" s="460" t="s">
        <v>2277</v>
      </c>
      <c r="F1438" s="460">
        <v>4</v>
      </c>
      <c r="G1438" s="460">
        <v>1</v>
      </c>
      <c r="H1438" s="461" t="s">
        <v>748</v>
      </c>
      <c r="I1438" s="461" t="s">
        <v>765</v>
      </c>
      <c r="J1438" s="461" t="s">
        <v>700</v>
      </c>
      <c r="K1438" s="594"/>
      <c r="L1438" s="594"/>
      <c r="M1438" s="352">
        <v>2000</v>
      </c>
      <c r="N1438" s="352" t="s">
        <v>703</v>
      </c>
      <c r="O1438" s="460">
        <v>2131</v>
      </c>
      <c r="P1438" s="460" t="s">
        <v>1879</v>
      </c>
      <c r="Q1438" s="460" t="s">
        <v>2440</v>
      </c>
      <c r="R1438" s="460">
        <v>2131</v>
      </c>
      <c r="S1438" s="460" t="s">
        <v>2277</v>
      </c>
      <c r="T1438" s="462">
        <v>1</v>
      </c>
      <c r="U1438" s="460" t="s">
        <v>2277</v>
      </c>
      <c r="V1438" s="475">
        <v>0</v>
      </c>
      <c r="W1438" s="463" t="s">
        <v>2268</v>
      </c>
      <c r="X1438" s="463" t="s">
        <v>2268</v>
      </c>
      <c r="Y1438" s="463" t="s">
        <v>2278</v>
      </c>
      <c r="Z1438" s="463"/>
      <c r="AA1438" s="463"/>
      <c r="AB1438" s="464">
        <v>0</v>
      </c>
      <c r="AC1438" s="465">
        <v>0</v>
      </c>
      <c r="AD1438" s="465">
        <v>0</v>
      </c>
      <c r="AE1438" s="476">
        <v>0</v>
      </c>
      <c r="AF1438" s="467">
        <v>0</v>
      </c>
      <c r="AG1438" s="468">
        <v>0</v>
      </c>
      <c r="AH1438" s="218">
        <v>0</v>
      </c>
      <c r="AI1438" s="470">
        <v>0</v>
      </c>
      <c r="AJ1438" s="471">
        <v>0</v>
      </c>
      <c r="AK1438" s="218">
        <v>0</v>
      </c>
      <c r="AL1438" s="470">
        <v>0</v>
      </c>
      <c r="AM1438" s="471">
        <v>0</v>
      </c>
      <c r="AN1438" s="477">
        <v>5.1126308935923168E-2</v>
      </c>
      <c r="AO1438" s="473">
        <v>2.1395497025672979E-3</v>
      </c>
      <c r="AP1438" s="474">
        <v>1.2345044615463888E-3</v>
      </c>
      <c r="AQ1438" s="352"/>
      <c r="AR1438" s="352"/>
      <c r="AS1438" s="352"/>
      <c r="AT1438" s="352"/>
      <c r="AU1438" s="352"/>
      <c r="AV1438" s="352"/>
      <c r="AW1438" s="352" t="s">
        <v>254</v>
      </c>
    </row>
    <row r="1439" spans="2:49" x14ac:dyDescent="0.2">
      <c r="B1439" s="460" t="s">
        <v>2795</v>
      </c>
      <c r="C1439" s="460">
        <v>2131</v>
      </c>
      <c r="D1439" s="460" t="s">
        <v>2295</v>
      </c>
      <c r="E1439" s="460" t="s">
        <v>2296</v>
      </c>
      <c r="F1439" s="460">
        <v>1</v>
      </c>
      <c r="G1439" s="460">
        <v>2</v>
      </c>
      <c r="H1439" s="461" t="s">
        <v>700</v>
      </c>
      <c r="I1439" s="461" t="s">
        <v>872</v>
      </c>
      <c r="J1439" s="461" t="s">
        <v>700</v>
      </c>
      <c r="K1439" s="594"/>
      <c r="L1439" s="594"/>
      <c r="M1439" s="352">
        <v>2000</v>
      </c>
      <c r="N1439" s="352" t="s">
        <v>703</v>
      </c>
      <c r="O1439" s="460">
        <v>2131</v>
      </c>
      <c r="P1439" s="460" t="s">
        <v>1879</v>
      </c>
      <c r="Q1439" s="460" t="s">
        <v>2440</v>
      </c>
      <c r="R1439" s="460">
        <v>2131</v>
      </c>
      <c r="S1439" s="460" t="s">
        <v>2296</v>
      </c>
      <c r="T1439" s="462">
        <v>1</v>
      </c>
      <c r="U1439" s="460" t="s">
        <v>2296</v>
      </c>
      <c r="V1439" s="475">
        <v>0</v>
      </c>
      <c r="W1439" s="463" t="s">
        <v>2503</v>
      </c>
      <c r="X1439" s="463" t="s">
        <v>2267</v>
      </c>
      <c r="Y1439" s="463" t="s">
        <v>2268</v>
      </c>
      <c r="Z1439" s="463"/>
      <c r="AA1439" s="463"/>
      <c r="AB1439" s="464">
        <v>5.8790510913415419</v>
      </c>
      <c r="AC1439" s="465">
        <v>0.15876573896972093</v>
      </c>
      <c r="AD1439" s="465">
        <v>3.4341728084624328E-4</v>
      </c>
      <c r="AE1439" s="476">
        <v>3.5274306548049248</v>
      </c>
      <c r="AF1439" s="467">
        <v>9.5259443381832551E-2</v>
      </c>
      <c r="AG1439" s="468">
        <v>2.290362090328019E-4</v>
      </c>
      <c r="AH1439" s="218">
        <v>5.8790510913415419</v>
      </c>
      <c r="AI1439" s="470">
        <v>0.15876573896972093</v>
      </c>
      <c r="AJ1439" s="471">
        <v>3.5070505344004491E-4</v>
      </c>
      <c r="AK1439" s="218">
        <v>5.8790510913415419</v>
      </c>
      <c r="AL1439" s="470">
        <v>0.15876573896972093</v>
      </c>
      <c r="AM1439" s="471">
        <v>3.5070505344004491E-4</v>
      </c>
      <c r="AN1439" s="477">
        <v>0</v>
      </c>
      <c r="AO1439" s="473">
        <v>0</v>
      </c>
      <c r="AP1439" s="474">
        <v>0</v>
      </c>
      <c r="AQ1439" s="352"/>
      <c r="AR1439" s="352"/>
      <c r="AS1439" s="352"/>
      <c r="AT1439" s="352"/>
      <c r="AU1439" s="352"/>
      <c r="AV1439" s="352"/>
      <c r="AW1439" s="352" t="s">
        <v>254</v>
      </c>
    </row>
    <row r="1440" spans="2:49" x14ac:dyDescent="0.2">
      <c r="B1440" s="460" t="s">
        <v>2796</v>
      </c>
      <c r="C1440" s="460">
        <v>2131</v>
      </c>
      <c r="D1440" s="460" t="s">
        <v>2298</v>
      </c>
      <c r="E1440" s="460" t="s">
        <v>2299</v>
      </c>
      <c r="F1440" s="460">
        <v>2</v>
      </c>
      <c r="G1440" s="460">
        <v>2</v>
      </c>
      <c r="H1440" s="461" t="s">
        <v>700</v>
      </c>
      <c r="I1440" s="461" t="s">
        <v>872</v>
      </c>
      <c r="J1440" s="461" t="s">
        <v>700</v>
      </c>
      <c r="K1440" s="594"/>
      <c r="L1440" s="594"/>
      <c r="M1440" s="352">
        <v>2000</v>
      </c>
      <c r="N1440" s="352" t="s">
        <v>703</v>
      </c>
      <c r="O1440" s="460">
        <v>2131</v>
      </c>
      <c r="P1440" s="460" t="s">
        <v>1879</v>
      </c>
      <c r="Q1440" s="460" t="s">
        <v>2440</v>
      </c>
      <c r="R1440" s="460">
        <v>2131</v>
      </c>
      <c r="S1440" s="460" t="s">
        <v>2296</v>
      </c>
      <c r="T1440" s="462">
        <v>0.55517361979372948</v>
      </c>
      <c r="U1440" s="460" t="s">
        <v>2299</v>
      </c>
      <c r="V1440" s="475">
        <v>0</v>
      </c>
      <c r="W1440" s="463" t="s">
        <v>2503</v>
      </c>
      <c r="X1440" s="463" t="s">
        <v>2267</v>
      </c>
      <c r="Y1440" s="463" t="s">
        <v>2268</v>
      </c>
      <c r="Z1440" s="463"/>
      <c r="AA1440" s="463"/>
      <c r="AB1440" s="464">
        <v>1.7372836173311073</v>
      </c>
      <c r="AC1440" s="465">
        <v>0.17323531033862263</v>
      </c>
      <c r="AD1440" s="465">
        <v>5.2566629321807042E-4</v>
      </c>
      <c r="AE1440" s="476">
        <v>1.0423701703986643</v>
      </c>
      <c r="AF1440" s="467">
        <v>0.10394118620317358</v>
      </c>
      <c r="AG1440" s="468">
        <v>3.5393943010649724E-4</v>
      </c>
      <c r="AH1440" s="218">
        <v>1.7372836173311073</v>
      </c>
      <c r="AI1440" s="470">
        <v>0.17323531033862263</v>
      </c>
      <c r="AJ1440" s="471">
        <v>4.0910871251168788E-4</v>
      </c>
      <c r="AK1440" s="218">
        <v>1.7372836173311073</v>
      </c>
      <c r="AL1440" s="470">
        <v>0.17323531033862263</v>
      </c>
      <c r="AM1440" s="471">
        <v>4.0910871251168788E-4</v>
      </c>
      <c r="AN1440" s="477">
        <v>0</v>
      </c>
      <c r="AO1440" s="473">
        <v>0</v>
      </c>
      <c r="AP1440" s="474">
        <v>0</v>
      </c>
      <c r="AQ1440" s="352"/>
      <c r="AR1440" s="352"/>
      <c r="AS1440" s="352"/>
      <c r="AT1440" s="352"/>
      <c r="AU1440" s="352"/>
      <c r="AV1440" s="352"/>
      <c r="AW1440" s="352" t="s">
        <v>254</v>
      </c>
    </row>
    <row r="1441" spans="2:49" x14ac:dyDescent="0.2">
      <c r="B1441" s="460" t="s">
        <v>2797</v>
      </c>
      <c r="C1441" s="460">
        <v>2131</v>
      </c>
      <c r="D1441" s="460" t="s">
        <v>2301</v>
      </c>
      <c r="E1441" s="460" t="s">
        <v>2302</v>
      </c>
      <c r="F1441" s="460">
        <v>3</v>
      </c>
      <c r="G1441" s="460">
        <v>2</v>
      </c>
      <c r="H1441" s="461" t="s">
        <v>700</v>
      </c>
      <c r="I1441" s="461" t="s">
        <v>872</v>
      </c>
      <c r="J1441" s="461" t="s">
        <v>700</v>
      </c>
      <c r="K1441" s="594"/>
      <c r="L1441" s="594"/>
      <c r="M1441" s="352">
        <v>2000</v>
      </c>
      <c r="N1441" s="352" t="s">
        <v>703</v>
      </c>
      <c r="O1441" s="460">
        <v>2131</v>
      </c>
      <c r="P1441" s="460" t="s">
        <v>1879</v>
      </c>
      <c r="Q1441" s="460" t="s">
        <v>2440</v>
      </c>
      <c r="R1441" s="460">
        <v>2131</v>
      </c>
      <c r="S1441" s="460" t="s">
        <v>2296</v>
      </c>
      <c r="T1441" s="462">
        <v>0.28481449642268464</v>
      </c>
      <c r="U1441" s="460" t="s">
        <v>2302</v>
      </c>
      <c r="V1441" s="475">
        <v>0</v>
      </c>
      <c r="W1441" s="463" t="s">
        <v>2503</v>
      </c>
      <c r="X1441" s="463" t="s">
        <v>2267</v>
      </c>
      <c r="Y1441" s="463" t="s">
        <v>2268</v>
      </c>
      <c r="Z1441" s="463"/>
      <c r="AA1441" s="463"/>
      <c r="AB1441" s="464">
        <v>0.12824882481151625</v>
      </c>
      <c r="AC1441" s="465">
        <v>2.3968218545505141E-2</v>
      </c>
      <c r="AD1441" s="465">
        <v>2.4946164432186201E-4</v>
      </c>
      <c r="AE1441" s="476">
        <v>7.6949294886909742E-2</v>
      </c>
      <c r="AF1441" s="467">
        <v>1.4380931127303084E-2</v>
      </c>
      <c r="AG1441" s="468">
        <v>1.6890126934880417E-4</v>
      </c>
      <c r="AH1441" s="218">
        <v>0.24195606759864455</v>
      </c>
      <c r="AI1441" s="470">
        <v>4.5218783993836463E-2</v>
      </c>
      <c r="AJ1441" s="471">
        <v>2.5117917215788417E-4</v>
      </c>
      <c r="AK1441" s="218">
        <v>0.24195606759864455</v>
      </c>
      <c r="AL1441" s="470">
        <v>4.5218783993836463E-2</v>
      </c>
      <c r="AM1441" s="471">
        <v>2.5117917215788417E-4</v>
      </c>
      <c r="AN1441" s="477">
        <v>0</v>
      </c>
      <c r="AO1441" s="473">
        <v>0</v>
      </c>
      <c r="AP1441" s="474">
        <v>0</v>
      </c>
      <c r="AQ1441" s="352"/>
      <c r="AR1441" s="352"/>
      <c r="AS1441" s="352"/>
      <c r="AT1441" s="352"/>
      <c r="AU1441" s="352"/>
      <c r="AV1441" s="352"/>
      <c r="AW1441" s="352" t="s">
        <v>254</v>
      </c>
    </row>
    <row r="1442" spans="2:49" x14ac:dyDescent="0.2">
      <c r="B1442" s="460" t="s">
        <v>2798</v>
      </c>
      <c r="C1442" s="460">
        <v>2131</v>
      </c>
      <c r="D1442" s="460" t="s">
        <v>2304</v>
      </c>
      <c r="E1442" s="460" t="s">
        <v>2305</v>
      </c>
      <c r="F1442" s="460">
        <v>4</v>
      </c>
      <c r="G1442" s="460">
        <v>2</v>
      </c>
      <c r="H1442" s="461" t="s">
        <v>700</v>
      </c>
      <c r="I1442" s="461" t="s">
        <v>872</v>
      </c>
      <c r="J1442" s="461" t="s">
        <v>700</v>
      </c>
      <c r="K1442" s="594"/>
      <c r="L1442" s="594"/>
      <c r="M1442" s="352">
        <v>2000</v>
      </c>
      <c r="N1442" s="352" t="s">
        <v>703</v>
      </c>
      <c r="O1442" s="460">
        <v>2131</v>
      </c>
      <c r="P1442" s="460" t="s">
        <v>1879</v>
      </c>
      <c r="Q1442" s="460" t="s">
        <v>2440</v>
      </c>
      <c r="R1442" s="460">
        <v>2131</v>
      </c>
      <c r="S1442" s="460" t="s">
        <v>2305</v>
      </c>
      <c r="T1442" s="462">
        <v>1</v>
      </c>
      <c r="U1442" s="460" t="s">
        <v>2305</v>
      </c>
      <c r="V1442" s="475">
        <v>0</v>
      </c>
      <c r="W1442" s="463" t="s">
        <v>2503</v>
      </c>
      <c r="X1442" s="463" t="s">
        <v>2278</v>
      </c>
      <c r="Y1442" s="463" t="s">
        <v>2268</v>
      </c>
      <c r="Z1442" s="463"/>
      <c r="AA1442" s="463"/>
      <c r="AB1442" s="464">
        <v>0</v>
      </c>
      <c r="AC1442" s="465">
        <v>0</v>
      </c>
      <c r="AD1442" s="465">
        <v>0</v>
      </c>
      <c r="AE1442" s="476">
        <v>0</v>
      </c>
      <c r="AF1442" s="467">
        <v>0</v>
      </c>
      <c r="AG1442" s="468">
        <v>0</v>
      </c>
      <c r="AH1442" s="218">
        <v>0</v>
      </c>
      <c r="AI1442" s="470">
        <v>0</v>
      </c>
      <c r="AJ1442" s="471">
        <v>0</v>
      </c>
      <c r="AK1442" s="218">
        <v>0</v>
      </c>
      <c r="AL1442" s="470">
        <v>0</v>
      </c>
      <c r="AM1442" s="471">
        <v>0</v>
      </c>
      <c r="AN1442" s="477">
        <v>0</v>
      </c>
      <c r="AO1442" s="473">
        <v>0</v>
      </c>
      <c r="AP1442" s="474">
        <v>0</v>
      </c>
      <c r="AQ1442" s="352"/>
      <c r="AR1442" s="352"/>
      <c r="AS1442" s="352"/>
      <c r="AT1442" s="352"/>
      <c r="AU1442" s="352"/>
      <c r="AV1442" s="352"/>
      <c r="AW1442" s="352" t="s">
        <v>254</v>
      </c>
    </row>
    <row r="1443" spans="2:49" x14ac:dyDescent="0.2">
      <c r="B1443" s="460" t="s">
        <v>2795</v>
      </c>
      <c r="C1443" s="460">
        <v>2131</v>
      </c>
      <c r="D1443" s="460" t="s">
        <v>2306</v>
      </c>
      <c r="E1443" s="460" t="s">
        <v>2296</v>
      </c>
      <c r="F1443" s="460">
        <v>1</v>
      </c>
      <c r="G1443" s="460">
        <v>2</v>
      </c>
      <c r="H1443" s="461" t="s">
        <v>712</v>
      </c>
      <c r="I1443" s="461" t="s">
        <v>713</v>
      </c>
      <c r="J1443" s="461" t="s">
        <v>712</v>
      </c>
      <c r="K1443" s="594"/>
      <c r="L1443" s="594"/>
      <c r="M1443" s="352">
        <v>2000</v>
      </c>
      <c r="N1443" s="352" t="s">
        <v>703</v>
      </c>
      <c r="O1443" s="460">
        <v>2131</v>
      </c>
      <c r="P1443" s="460" t="s">
        <v>1879</v>
      </c>
      <c r="Q1443" s="460" t="s">
        <v>2280</v>
      </c>
      <c r="R1443" s="460">
        <v>2131</v>
      </c>
      <c r="S1443" s="460" t="s">
        <v>2296</v>
      </c>
      <c r="T1443" s="462">
        <v>1</v>
      </c>
      <c r="U1443" s="460" t="s">
        <v>2296</v>
      </c>
      <c r="V1443" s="475">
        <v>0</v>
      </c>
      <c r="W1443" s="463" t="s">
        <v>713</v>
      </c>
      <c r="X1443" s="463" t="s">
        <v>713</v>
      </c>
      <c r="Y1443" s="463" t="s">
        <v>713</v>
      </c>
      <c r="Z1443" s="463"/>
      <c r="AA1443" s="463"/>
      <c r="AB1443" s="464">
        <v>31.150670368039361</v>
      </c>
      <c r="AC1443" s="465">
        <v>0.8412342610302791</v>
      </c>
      <c r="AD1443" s="465">
        <v>2.6942142776273121E-4</v>
      </c>
      <c r="AE1443" s="476">
        <v>33.502290804575978</v>
      </c>
      <c r="AF1443" s="467">
        <v>0.90474055661816744</v>
      </c>
      <c r="AG1443" s="468">
        <v>2.8551786750965753E-4</v>
      </c>
      <c r="AH1443" s="218">
        <v>31.150670368039361</v>
      </c>
      <c r="AI1443" s="470">
        <v>0.8412342610302791</v>
      </c>
      <c r="AJ1443" s="471">
        <v>2.685950082720624E-4</v>
      </c>
      <c r="AK1443" s="218">
        <v>31.150670368039361</v>
      </c>
      <c r="AL1443" s="470">
        <v>0.8412342610302791</v>
      </c>
      <c r="AM1443" s="471">
        <v>2.685950082720624E-4</v>
      </c>
      <c r="AN1443" s="477">
        <v>31.150670368039361</v>
      </c>
      <c r="AO1443" s="473">
        <v>0.8412342610302791</v>
      </c>
      <c r="AP1443" s="474">
        <v>2.6852909135949938E-4</v>
      </c>
      <c r="AQ1443" s="352"/>
      <c r="AR1443" s="352"/>
      <c r="AS1443" s="352"/>
      <c r="AT1443" s="352"/>
      <c r="AU1443" s="352"/>
      <c r="AV1443" s="352"/>
      <c r="AW1443" s="352" t="s">
        <v>254</v>
      </c>
    </row>
    <row r="1444" spans="2:49" x14ac:dyDescent="0.2">
      <c r="B1444" s="460" t="s">
        <v>2796</v>
      </c>
      <c r="C1444" s="460">
        <v>2131</v>
      </c>
      <c r="D1444" s="460" t="s">
        <v>2307</v>
      </c>
      <c r="E1444" s="460" t="s">
        <v>2299</v>
      </c>
      <c r="F1444" s="460">
        <v>2</v>
      </c>
      <c r="G1444" s="460">
        <v>2</v>
      </c>
      <c r="H1444" s="461" t="s">
        <v>712</v>
      </c>
      <c r="I1444" s="461" t="s">
        <v>713</v>
      </c>
      <c r="J1444" s="461" t="s">
        <v>712</v>
      </c>
      <c r="K1444" s="594"/>
      <c r="L1444" s="594"/>
      <c r="M1444" s="352">
        <v>2000</v>
      </c>
      <c r="N1444" s="352" t="s">
        <v>703</v>
      </c>
      <c r="O1444" s="460">
        <v>2131</v>
      </c>
      <c r="P1444" s="460" t="s">
        <v>1879</v>
      </c>
      <c r="Q1444" s="460" t="s">
        <v>2280</v>
      </c>
      <c r="R1444" s="460">
        <v>2131</v>
      </c>
      <c r="S1444" s="460" t="s">
        <v>2296</v>
      </c>
      <c r="T1444" s="462">
        <v>0.55517361979372948</v>
      </c>
      <c r="U1444" s="460" t="s">
        <v>2299</v>
      </c>
      <c r="V1444" s="475">
        <v>0</v>
      </c>
      <c r="W1444" s="463" t="s">
        <v>713</v>
      </c>
      <c r="X1444" s="463" t="s">
        <v>713</v>
      </c>
      <c r="Y1444" s="463" t="s">
        <v>713</v>
      </c>
      <c r="Z1444" s="463"/>
      <c r="AA1444" s="463"/>
      <c r="AB1444" s="464">
        <v>8.2911777508232447</v>
      </c>
      <c r="AC1444" s="465">
        <v>0.82676468966137739</v>
      </c>
      <c r="AD1444" s="465">
        <v>9.5902001265513415E-5</v>
      </c>
      <c r="AE1444" s="476">
        <v>8.9860911977556874</v>
      </c>
      <c r="AF1444" s="467">
        <v>0.89605881379682639</v>
      </c>
      <c r="AG1444" s="468">
        <v>1.0350904007560885E-4</v>
      </c>
      <c r="AH1444" s="218">
        <v>8.2911777508232447</v>
      </c>
      <c r="AI1444" s="470">
        <v>0.82676468966137739</v>
      </c>
      <c r="AJ1444" s="471">
        <v>9.7138619901393947E-5</v>
      </c>
      <c r="AK1444" s="218">
        <v>8.2911777508232447</v>
      </c>
      <c r="AL1444" s="470">
        <v>0.82676468966137739</v>
      </c>
      <c r="AM1444" s="471">
        <v>9.7138619901393947E-5</v>
      </c>
      <c r="AN1444" s="477">
        <v>8.2911777508232447</v>
      </c>
      <c r="AO1444" s="473">
        <v>0.82676468966137739</v>
      </c>
      <c r="AP1444" s="474">
        <v>9.7126357636781143E-5</v>
      </c>
      <c r="AQ1444" s="352"/>
      <c r="AR1444" s="352"/>
      <c r="AS1444" s="352"/>
      <c r="AT1444" s="352"/>
      <c r="AU1444" s="352"/>
      <c r="AV1444" s="352"/>
      <c r="AW1444" s="352" t="s">
        <v>254</v>
      </c>
    </row>
    <row r="1445" spans="2:49" x14ac:dyDescent="0.2">
      <c r="B1445" s="460" t="s">
        <v>2797</v>
      </c>
      <c r="C1445" s="460">
        <v>2131</v>
      </c>
      <c r="D1445" s="460" t="s">
        <v>2308</v>
      </c>
      <c r="E1445" s="460" t="s">
        <v>2302</v>
      </c>
      <c r="F1445" s="460">
        <v>3</v>
      </c>
      <c r="G1445" s="460">
        <v>2</v>
      </c>
      <c r="H1445" s="461" t="s">
        <v>712</v>
      </c>
      <c r="I1445" s="461" t="s">
        <v>713</v>
      </c>
      <c r="J1445" s="461" t="s">
        <v>712</v>
      </c>
      <c r="K1445" s="594"/>
      <c r="L1445" s="594"/>
      <c r="M1445" s="352">
        <v>2000</v>
      </c>
      <c r="N1445" s="352" t="s">
        <v>703</v>
      </c>
      <c r="O1445" s="460">
        <v>2131</v>
      </c>
      <c r="P1445" s="460" t="s">
        <v>1879</v>
      </c>
      <c r="Q1445" s="460" t="s">
        <v>2280</v>
      </c>
      <c r="R1445" s="460">
        <v>2131</v>
      </c>
      <c r="S1445" s="460" t="s">
        <v>2296</v>
      </c>
      <c r="T1445" s="462">
        <v>0.28481449642268464</v>
      </c>
      <c r="U1445" s="460" t="s">
        <v>2302</v>
      </c>
      <c r="V1445" s="475">
        <v>0</v>
      </c>
      <c r="W1445" s="463" t="s">
        <v>713</v>
      </c>
      <c r="X1445" s="463" t="s">
        <v>713</v>
      </c>
      <c r="Y1445" s="463" t="s">
        <v>713</v>
      </c>
      <c r="Z1445" s="463"/>
      <c r="AA1445" s="463"/>
      <c r="AB1445" s="464">
        <v>5.2225378666577704</v>
      </c>
      <c r="AC1445" s="465">
        <v>0.97603178145449487</v>
      </c>
      <c r="AD1445" s="465">
        <v>1.5191057594081173E-4</v>
      </c>
      <c r="AE1445" s="476">
        <v>5.273837396582377</v>
      </c>
      <c r="AF1445" s="467">
        <v>0.9856190688726969</v>
      </c>
      <c r="AG1445" s="468">
        <v>1.531420950042714E-4</v>
      </c>
      <c r="AH1445" s="218">
        <v>5.1088306238706416</v>
      </c>
      <c r="AI1445" s="470">
        <v>0.9547812160061635</v>
      </c>
      <c r="AJ1445" s="471">
        <v>1.5057039037641163E-4</v>
      </c>
      <c r="AK1445" s="218">
        <v>5.1088306238706416</v>
      </c>
      <c r="AL1445" s="470">
        <v>0.9547812160061635</v>
      </c>
      <c r="AM1445" s="471">
        <v>1.5057039037641163E-4</v>
      </c>
      <c r="AN1445" s="477">
        <v>5.1088306238706416</v>
      </c>
      <c r="AO1445" s="473">
        <v>0.9547812160061635</v>
      </c>
      <c r="AP1445" s="474">
        <v>1.5070131969201005E-4</v>
      </c>
      <c r="AQ1445" s="352"/>
      <c r="AR1445" s="352"/>
      <c r="AS1445" s="352"/>
      <c r="AT1445" s="352"/>
      <c r="AU1445" s="352"/>
      <c r="AV1445" s="352"/>
      <c r="AW1445" s="352" t="s">
        <v>254</v>
      </c>
    </row>
    <row r="1446" spans="2:49" x14ac:dyDescent="0.2">
      <c r="B1446" s="460" t="s">
        <v>2798</v>
      </c>
      <c r="C1446" s="460">
        <v>2131</v>
      </c>
      <c r="D1446" s="460" t="s">
        <v>2309</v>
      </c>
      <c r="E1446" s="460" t="s">
        <v>2305</v>
      </c>
      <c r="F1446" s="460">
        <v>4</v>
      </c>
      <c r="G1446" s="460">
        <v>2</v>
      </c>
      <c r="H1446" s="461" t="s">
        <v>712</v>
      </c>
      <c r="I1446" s="461" t="s">
        <v>713</v>
      </c>
      <c r="J1446" s="461" t="s">
        <v>712</v>
      </c>
      <c r="K1446" s="594"/>
      <c r="L1446" s="594"/>
      <c r="M1446" s="352">
        <v>2000</v>
      </c>
      <c r="N1446" s="352" t="s">
        <v>703</v>
      </c>
      <c r="O1446" s="460">
        <v>2131</v>
      </c>
      <c r="P1446" s="460" t="s">
        <v>1879</v>
      </c>
      <c r="Q1446" s="460" t="s">
        <v>2280</v>
      </c>
      <c r="R1446" s="460">
        <v>2131</v>
      </c>
      <c r="S1446" s="460" t="s">
        <v>2305</v>
      </c>
      <c r="T1446" s="462">
        <v>1</v>
      </c>
      <c r="U1446" s="460" t="s">
        <v>2305</v>
      </c>
      <c r="V1446" s="475">
        <v>0</v>
      </c>
      <c r="W1446" s="463" t="s">
        <v>713</v>
      </c>
      <c r="X1446" s="463" t="s">
        <v>713</v>
      </c>
      <c r="Y1446" s="463" t="s">
        <v>713</v>
      </c>
      <c r="Z1446" s="463"/>
      <c r="AA1446" s="463"/>
      <c r="AB1446" s="464">
        <v>5.9312749613826377</v>
      </c>
      <c r="AC1446" s="465">
        <v>1</v>
      </c>
      <c r="AD1446" s="465">
        <v>1.5148418372433977E-4</v>
      </c>
      <c r="AE1446" s="476">
        <v>5.9312749613826377</v>
      </c>
      <c r="AF1446" s="467">
        <v>1</v>
      </c>
      <c r="AG1446" s="468">
        <v>1.5147932465910352E-4</v>
      </c>
      <c r="AH1446" s="218">
        <v>5.9312749613826377</v>
      </c>
      <c r="AI1446" s="470">
        <v>1</v>
      </c>
      <c r="AJ1446" s="471">
        <v>1.5147950802936585E-4</v>
      </c>
      <c r="AK1446" s="218">
        <v>5.9312749613826377</v>
      </c>
      <c r="AL1446" s="470">
        <v>1</v>
      </c>
      <c r="AM1446" s="471">
        <v>1.5147950802936585E-4</v>
      </c>
      <c r="AN1446" s="477">
        <v>5.9312749613826377</v>
      </c>
      <c r="AO1446" s="473">
        <v>1</v>
      </c>
      <c r="AP1446" s="474">
        <v>1.5147969331892882E-4</v>
      </c>
      <c r="AQ1446" s="352"/>
      <c r="AR1446" s="352"/>
      <c r="AS1446" s="352"/>
      <c r="AT1446" s="352"/>
      <c r="AU1446" s="352"/>
      <c r="AV1446" s="352"/>
      <c r="AW1446" s="352" t="s">
        <v>254</v>
      </c>
    </row>
    <row r="1447" spans="2:49" x14ac:dyDescent="0.2">
      <c r="B1447" s="460" t="s">
        <v>2795</v>
      </c>
      <c r="C1447" s="460">
        <v>2131</v>
      </c>
      <c r="D1447" s="460" t="s">
        <v>2310</v>
      </c>
      <c r="E1447" s="460" t="s">
        <v>2296</v>
      </c>
      <c r="F1447" s="460">
        <v>1</v>
      </c>
      <c r="G1447" s="460">
        <v>2</v>
      </c>
      <c r="H1447" s="461" t="s">
        <v>746</v>
      </c>
      <c r="I1447" s="461" t="s">
        <v>762</v>
      </c>
      <c r="J1447" s="461" t="s">
        <v>700</v>
      </c>
      <c r="K1447" s="594"/>
      <c r="L1447" s="594"/>
      <c r="M1447" s="352">
        <v>2000</v>
      </c>
      <c r="N1447" s="352" t="s">
        <v>703</v>
      </c>
      <c r="O1447" s="460">
        <v>2131</v>
      </c>
      <c r="P1447" s="460" t="s">
        <v>1879</v>
      </c>
      <c r="Q1447" s="460" t="s">
        <v>2444</v>
      </c>
      <c r="R1447" s="460">
        <v>2131</v>
      </c>
      <c r="S1447" s="460" t="s">
        <v>2296</v>
      </c>
      <c r="T1447" s="462">
        <v>1</v>
      </c>
      <c r="U1447" s="460" t="s">
        <v>2296</v>
      </c>
      <c r="V1447" s="475">
        <v>0</v>
      </c>
      <c r="W1447" s="463" t="s">
        <v>2268</v>
      </c>
      <c r="X1447" s="463" t="s">
        <v>2268</v>
      </c>
      <c r="Y1447" s="463" t="s">
        <v>2290</v>
      </c>
      <c r="Z1447" s="463"/>
      <c r="AA1447" s="463"/>
      <c r="AB1447" s="464">
        <v>0</v>
      </c>
      <c r="AC1447" s="465">
        <v>0</v>
      </c>
      <c r="AD1447" s="465">
        <v>0</v>
      </c>
      <c r="AE1447" s="476">
        <v>0</v>
      </c>
      <c r="AF1447" s="467">
        <v>0</v>
      </c>
      <c r="AG1447" s="468">
        <v>0</v>
      </c>
      <c r="AH1447" s="218">
        <v>0</v>
      </c>
      <c r="AI1447" s="470">
        <v>0</v>
      </c>
      <c r="AJ1447" s="471">
        <v>0</v>
      </c>
      <c r="AK1447" s="218">
        <v>0</v>
      </c>
      <c r="AL1447" s="470">
        <v>0</v>
      </c>
      <c r="AM1447" s="471">
        <v>0</v>
      </c>
      <c r="AN1447" s="477">
        <v>0</v>
      </c>
      <c r="AO1447" s="473">
        <v>0</v>
      </c>
      <c r="AP1447" s="474">
        <v>0</v>
      </c>
      <c r="AQ1447" s="352"/>
      <c r="AR1447" s="352"/>
      <c r="AS1447" s="352"/>
      <c r="AT1447" s="352"/>
      <c r="AU1447" s="352"/>
      <c r="AV1447" s="352"/>
      <c r="AW1447" s="352" t="s">
        <v>254</v>
      </c>
    </row>
    <row r="1448" spans="2:49" x14ac:dyDescent="0.2">
      <c r="B1448" s="460" t="s">
        <v>2796</v>
      </c>
      <c r="C1448" s="460">
        <v>2131</v>
      </c>
      <c r="D1448" s="460" t="s">
        <v>2311</v>
      </c>
      <c r="E1448" s="460" t="s">
        <v>2299</v>
      </c>
      <c r="F1448" s="460">
        <v>2</v>
      </c>
      <c r="G1448" s="460">
        <v>2</v>
      </c>
      <c r="H1448" s="461" t="s">
        <v>746</v>
      </c>
      <c r="I1448" s="461" t="s">
        <v>762</v>
      </c>
      <c r="J1448" s="461" t="s">
        <v>700</v>
      </c>
      <c r="K1448" s="594"/>
      <c r="L1448" s="594"/>
      <c r="M1448" s="352">
        <v>2000</v>
      </c>
      <c r="N1448" s="352" t="s">
        <v>703</v>
      </c>
      <c r="O1448" s="460">
        <v>2131</v>
      </c>
      <c r="P1448" s="460" t="s">
        <v>1879</v>
      </c>
      <c r="Q1448" s="460" t="s">
        <v>2444</v>
      </c>
      <c r="R1448" s="460">
        <v>2131</v>
      </c>
      <c r="S1448" s="460" t="s">
        <v>2296</v>
      </c>
      <c r="T1448" s="462">
        <v>0.55517361979372948</v>
      </c>
      <c r="U1448" s="460" t="s">
        <v>2299</v>
      </c>
      <c r="V1448" s="475">
        <v>0</v>
      </c>
      <c r="W1448" s="463" t="s">
        <v>2268</v>
      </c>
      <c r="X1448" s="463" t="s">
        <v>2268</v>
      </c>
      <c r="Y1448" s="463" t="s">
        <v>2290</v>
      </c>
      <c r="Z1448" s="463"/>
      <c r="AA1448" s="463"/>
      <c r="AB1448" s="464">
        <v>0</v>
      </c>
      <c r="AC1448" s="465">
        <v>0</v>
      </c>
      <c r="AD1448" s="465">
        <v>0</v>
      </c>
      <c r="AE1448" s="476">
        <v>0</v>
      </c>
      <c r="AF1448" s="467">
        <v>0</v>
      </c>
      <c r="AG1448" s="468">
        <v>0</v>
      </c>
      <c r="AH1448" s="218">
        <v>0</v>
      </c>
      <c r="AI1448" s="470">
        <v>0</v>
      </c>
      <c r="AJ1448" s="471">
        <v>0</v>
      </c>
      <c r="AK1448" s="218">
        <v>0</v>
      </c>
      <c r="AL1448" s="470">
        <v>0</v>
      </c>
      <c r="AM1448" s="471">
        <v>0</v>
      </c>
      <c r="AN1448" s="477">
        <v>0</v>
      </c>
      <c r="AO1448" s="473">
        <v>0</v>
      </c>
      <c r="AP1448" s="474">
        <v>0</v>
      </c>
      <c r="AQ1448" s="352"/>
      <c r="AR1448" s="352"/>
      <c r="AS1448" s="352"/>
      <c r="AT1448" s="352"/>
      <c r="AU1448" s="352"/>
      <c r="AV1448" s="352"/>
      <c r="AW1448" s="352" t="s">
        <v>254</v>
      </c>
    </row>
    <row r="1449" spans="2:49" x14ac:dyDescent="0.2">
      <c r="B1449" s="460" t="s">
        <v>2797</v>
      </c>
      <c r="C1449" s="460">
        <v>2131</v>
      </c>
      <c r="D1449" s="460" t="s">
        <v>2312</v>
      </c>
      <c r="E1449" s="460" t="s">
        <v>2302</v>
      </c>
      <c r="F1449" s="460">
        <v>3</v>
      </c>
      <c r="G1449" s="460">
        <v>2</v>
      </c>
      <c r="H1449" s="461" t="s">
        <v>746</v>
      </c>
      <c r="I1449" s="461" t="s">
        <v>762</v>
      </c>
      <c r="J1449" s="461" t="s">
        <v>700</v>
      </c>
      <c r="K1449" s="594"/>
      <c r="L1449" s="594"/>
      <c r="M1449" s="352">
        <v>2000</v>
      </c>
      <c r="N1449" s="352" t="s">
        <v>703</v>
      </c>
      <c r="O1449" s="460">
        <v>2131</v>
      </c>
      <c r="P1449" s="460" t="s">
        <v>1879</v>
      </c>
      <c r="Q1449" s="460" t="s">
        <v>2444</v>
      </c>
      <c r="R1449" s="460">
        <v>2131</v>
      </c>
      <c r="S1449" s="460" t="s">
        <v>2296</v>
      </c>
      <c r="T1449" s="462">
        <v>0.28481449642268464</v>
      </c>
      <c r="U1449" s="460" t="s">
        <v>2302</v>
      </c>
      <c r="V1449" s="475">
        <v>0</v>
      </c>
      <c r="W1449" s="463" t="s">
        <v>2268</v>
      </c>
      <c r="X1449" s="463" t="s">
        <v>2268</v>
      </c>
      <c r="Y1449" s="463" t="s">
        <v>2290</v>
      </c>
      <c r="Z1449" s="463"/>
      <c r="AA1449" s="463"/>
      <c r="AB1449" s="464">
        <v>0</v>
      </c>
      <c r="AC1449" s="465">
        <v>0</v>
      </c>
      <c r="AD1449" s="465">
        <v>0</v>
      </c>
      <c r="AE1449" s="476">
        <v>0</v>
      </c>
      <c r="AF1449" s="467">
        <v>0</v>
      </c>
      <c r="AG1449" s="468">
        <v>0</v>
      </c>
      <c r="AH1449" s="218">
        <v>0</v>
      </c>
      <c r="AI1449" s="470">
        <v>0</v>
      </c>
      <c r="AJ1449" s="471">
        <v>0</v>
      </c>
      <c r="AK1449" s="218">
        <v>0</v>
      </c>
      <c r="AL1449" s="470">
        <v>0</v>
      </c>
      <c r="AM1449" s="471">
        <v>0</v>
      </c>
      <c r="AN1449" s="477">
        <v>0</v>
      </c>
      <c r="AO1449" s="473">
        <v>0</v>
      </c>
      <c r="AP1449" s="474">
        <v>0</v>
      </c>
      <c r="AQ1449" s="352"/>
      <c r="AR1449" s="352"/>
      <c r="AS1449" s="352"/>
      <c r="AT1449" s="352"/>
      <c r="AU1449" s="352"/>
      <c r="AV1449" s="352"/>
      <c r="AW1449" s="352" t="s">
        <v>254</v>
      </c>
    </row>
    <row r="1450" spans="2:49" x14ac:dyDescent="0.2">
      <c r="B1450" s="460" t="s">
        <v>2798</v>
      </c>
      <c r="C1450" s="460">
        <v>2131</v>
      </c>
      <c r="D1450" s="460" t="s">
        <v>2313</v>
      </c>
      <c r="E1450" s="460" t="s">
        <v>2305</v>
      </c>
      <c r="F1450" s="460">
        <v>4</v>
      </c>
      <c r="G1450" s="460">
        <v>2</v>
      </c>
      <c r="H1450" s="461" t="s">
        <v>746</v>
      </c>
      <c r="I1450" s="461" t="s">
        <v>762</v>
      </c>
      <c r="J1450" s="461" t="s">
        <v>700</v>
      </c>
      <c r="K1450" s="594"/>
      <c r="L1450" s="594"/>
      <c r="M1450" s="352">
        <v>2000</v>
      </c>
      <c r="N1450" s="352" t="s">
        <v>703</v>
      </c>
      <c r="O1450" s="460">
        <v>2131</v>
      </c>
      <c r="P1450" s="460" t="s">
        <v>1879</v>
      </c>
      <c r="Q1450" s="460" t="s">
        <v>2444</v>
      </c>
      <c r="R1450" s="460">
        <v>2131</v>
      </c>
      <c r="S1450" s="460" t="s">
        <v>2305</v>
      </c>
      <c r="T1450" s="462">
        <v>1</v>
      </c>
      <c r="U1450" s="460" t="s">
        <v>2305</v>
      </c>
      <c r="V1450" s="475">
        <v>0</v>
      </c>
      <c r="W1450" s="463" t="s">
        <v>2268</v>
      </c>
      <c r="X1450" s="463" t="s">
        <v>2268</v>
      </c>
      <c r="Y1450" s="463" t="s">
        <v>2290</v>
      </c>
      <c r="Z1450" s="463"/>
      <c r="AA1450" s="463"/>
      <c r="AB1450" s="464">
        <v>0</v>
      </c>
      <c r="AC1450" s="465">
        <v>0</v>
      </c>
      <c r="AD1450" s="465">
        <v>0</v>
      </c>
      <c r="AE1450" s="476">
        <v>0</v>
      </c>
      <c r="AF1450" s="467">
        <v>0</v>
      </c>
      <c r="AG1450" s="468">
        <v>0</v>
      </c>
      <c r="AH1450" s="218">
        <v>0</v>
      </c>
      <c r="AI1450" s="470">
        <v>0</v>
      </c>
      <c r="AJ1450" s="471">
        <v>0</v>
      </c>
      <c r="AK1450" s="218">
        <v>0</v>
      </c>
      <c r="AL1450" s="470">
        <v>0</v>
      </c>
      <c r="AM1450" s="471">
        <v>0</v>
      </c>
      <c r="AN1450" s="477">
        <v>0</v>
      </c>
      <c r="AO1450" s="473">
        <v>0</v>
      </c>
      <c r="AP1450" s="474">
        <v>0</v>
      </c>
      <c r="AQ1450" s="352"/>
      <c r="AR1450" s="352"/>
      <c r="AS1450" s="352"/>
      <c r="AT1450" s="352"/>
      <c r="AU1450" s="352"/>
      <c r="AV1450" s="352"/>
      <c r="AW1450" s="352" t="s">
        <v>254</v>
      </c>
    </row>
    <row r="1451" spans="2:49" x14ac:dyDescent="0.2">
      <c r="B1451" s="460" t="s">
        <v>2795</v>
      </c>
      <c r="C1451" s="460">
        <v>2131</v>
      </c>
      <c r="D1451" s="460" t="s">
        <v>2314</v>
      </c>
      <c r="E1451" s="460" t="s">
        <v>2296</v>
      </c>
      <c r="F1451" s="460">
        <v>1</v>
      </c>
      <c r="G1451" s="460">
        <v>2</v>
      </c>
      <c r="H1451" s="461" t="s">
        <v>748</v>
      </c>
      <c r="I1451" s="461" t="s">
        <v>765</v>
      </c>
      <c r="J1451" s="461" t="s">
        <v>700</v>
      </c>
      <c r="K1451" s="594"/>
      <c r="L1451" s="594"/>
      <c r="M1451" s="352">
        <v>2000</v>
      </c>
      <c r="N1451" s="352" t="s">
        <v>703</v>
      </c>
      <c r="O1451" s="460">
        <v>2131</v>
      </c>
      <c r="P1451" s="460" t="s">
        <v>1879</v>
      </c>
      <c r="Q1451" s="460" t="s">
        <v>2440</v>
      </c>
      <c r="R1451" s="460">
        <v>2131</v>
      </c>
      <c r="S1451" s="460" t="s">
        <v>2296</v>
      </c>
      <c r="T1451" s="462">
        <v>1</v>
      </c>
      <c r="U1451" s="460" t="s">
        <v>2296</v>
      </c>
      <c r="V1451" s="475">
        <v>0</v>
      </c>
      <c r="W1451" s="463" t="s">
        <v>2268</v>
      </c>
      <c r="X1451" s="463" t="s">
        <v>2268</v>
      </c>
      <c r="Y1451" s="463" t="s">
        <v>2267</v>
      </c>
      <c r="Z1451" s="463"/>
      <c r="AA1451" s="463"/>
      <c r="AB1451" s="464">
        <v>0</v>
      </c>
      <c r="AC1451" s="465">
        <v>0</v>
      </c>
      <c r="AD1451" s="465">
        <v>0</v>
      </c>
      <c r="AE1451" s="476">
        <v>0</v>
      </c>
      <c r="AF1451" s="467">
        <v>0</v>
      </c>
      <c r="AG1451" s="468">
        <v>0</v>
      </c>
      <c r="AH1451" s="218">
        <v>0</v>
      </c>
      <c r="AI1451" s="470">
        <v>0</v>
      </c>
      <c r="AJ1451" s="471">
        <v>0</v>
      </c>
      <c r="AK1451" s="218">
        <v>0</v>
      </c>
      <c r="AL1451" s="470">
        <v>0</v>
      </c>
      <c r="AM1451" s="471">
        <v>0</v>
      </c>
      <c r="AN1451" s="477">
        <v>5.8790510913415419</v>
      </c>
      <c r="AO1451" s="473">
        <v>0.15876573896972093</v>
      </c>
      <c r="AP1451" s="474">
        <v>1.7959695797310252E-3</v>
      </c>
      <c r="AQ1451" s="352"/>
      <c r="AR1451" s="352"/>
      <c r="AS1451" s="352"/>
      <c r="AT1451" s="352"/>
      <c r="AU1451" s="352"/>
      <c r="AV1451" s="352"/>
      <c r="AW1451" s="352" t="s">
        <v>254</v>
      </c>
    </row>
    <row r="1452" spans="2:49" x14ac:dyDescent="0.2">
      <c r="B1452" s="460" t="s">
        <v>2796</v>
      </c>
      <c r="C1452" s="460">
        <v>2131</v>
      </c>
      <c r="D1452" s="460" t="s">
        <v>2315</v>
      </c>
      <c r="E1452" s="460" t="s">
        <v>2299</v>
      </c>
      <c r="F1452" s="460">
        <v>2</v>
      </c>
      <c r="G1452" s="460">
        <v>2</v>
      </c>
      <c r="H1452" s="461" t="s">
        <v>748</v>
      </c>
      <c r="I1452" s="461" t="s">
        <v>765</v>
      </c>
      <c r="J1452" s="461" t="s">
        <v>700</v>
      </c>
      <c r="K1452" s="594"/>
      <c r="L1452" s="594"/>
      <c r="M1452" s="352">
        <v>2000</v>
      </c>
      <c r="N1452" s="352" t="s">
        <v>703</v>
      </c>
      <c r="O1452" s="460">
        <v>2131</v>
      </c>
      <c r="P1452" s="460" t="s">
        <v>1879</v>
      </c>
      <c r="Q1452" s="460" t="s">
        <v>2440</v>
      </c>
      <c r="R1452" s="460">
        <v>2131</v>
      </c>
      <c r="S1452" s="460" t="s">
        <v>2296</v>
      </c>
      <c r="T1452" s="462">
        <v>0.55517361979372948</v>
      </c>
      <c r="U1452" s="460" t="s">
        <v>2299</v>
      </c>
      <c r="V1452" s="475">
        <v>0</v>
      </c>
      <c r="W1452" s="463" t="s">
        <v>2268</v>
      </c>
      <c r="X1452" s="463" t="s">
        <v>2268</v>
      </c>
      <c r="Y1452" s="463" t="s">
        <v>2267</v>
      </c>
      <c r="Z1452" s="463"/>
      <c r="AA1452" s="463"/>
      <c r="AB1452" s="464">
        <v>0</v>
      </c>
      <c r="AC1452" s="465">
        <v>0</v>
      </c>
      <c r="AD1452" s="465">
        <v>0</v>
      </c>
      <c r="AE1452" s="476">
        <v>0</v>
      </c>
      <c r="AF1452" s="467">
        <v>0</v>
      </c>
      <c r="AG1452" s="468">
        <v>0</v>
      </c>
      <c r="AH1452" s="218">
        <v>0</v>
      </c>
      <c r="AI1452" s="470">
        <v>0</v>
      </c>
      <c r="AJ1452" s="471">
        <v>0</v>
      </c>
      <c r="AK1452" s="218">
        <v>0</v>
      </c>
      <c r="AL1452" s="470">
        <v>0</v>
      </c>
      <c r="AM1452" s="471">
        <v>0</v>
      </c>
      <c r="AN1452" s="477">
        <v>1.7372836173311073</v>
      </c>
      <c r="AO1452" s="473">
        <v>0.17323531033862263</v>
      </c>
      <c r="AP1452" s="474">
        <v>1.6095621848241971E-3</v>
      </c>
      <c r="AQ1452" s="352"/>
      <c r="AR1452" s="352"/>
      <c r="AS1452" s="352"/>
      <c r="AT1452" s="352"/>
      <c r="AU1452" s="352"/>
      <c r="AV1452" s="352"/>
      <c r="AW1452" s="352" t="s">
        <v>254</v>
      </c>
    </row>
    <row r="1453" spans="2:49" x14ac:dyDescent="0.2">
      <c r="B1453" s="460" t="s">
        <v>2797</v>
      </c>
      <c r="C1453" s="460">
        <v>2131</v>
      </c>
      <c r="D1453" s="460" t="s">
        <v>2316</v>
      </c>
      <c r="E1453" s="460" t="s">
        <v>2302</v>
      </c>
      <c r="F1453" s="460">
        <v>3</v>
      </c>
      <c r="G1453" s="460">
        <v>2</v>
      </c>
      <c r="H1453" s="461" t="s">
        <v>748</v>
      </c>
      <c r="I1453" s="461" t="s">
        <v>765</v>
      </c>
      <c r="J1453" s="461" t="s">
        <v>700</v>
      </c>
      <c r="K1453" s="594"/>
      <c r="L1453" s="594"/>
      <c r="M1453" s="352">
        <v>2000</v>
      </c>
      <c r="N1453" s="352" t="s">
        <v>703</v>
      </c>
      <c r="O1453" s="460">
        <v>2131</v>
      </c>
      <c r="P1453" s="460" t="s">
        <v>1879</v>
      </c>
      <c r="Q1453" s="460" t="s">
        <v>2440</v>
      </c>
      <c r="R1453" s="460">
        <v>2131</v>
      </c>
      <c r="S1453" s="460" t="s">
        <v>2296</v>
      </c>
      <c r="T1453" s="462">
        <v>0.28481449642268464</v>
      </c>
      <c r="U1453" s="460" t="s">
        <v>2302</v>
      </c>
      <c r="V1453" s="475">
        <v>0</v>
      </c>
      <c r="W1453" s="463" t="s">
        <v>2268</v>
      </c>
      <c r="X1453" s="463" t="s">
        <v>2268</v>
      </c>
      <c r="Y1453" s="463" t="s">
        <v>2267</v>
      </c>
      <c r="Z1453" s="463"/>
      <c r="AA1453" s="463"/>
      <c r="AB1453" s="464">
        <v>0</v>
      </c>
      <c r="AC1453" s="465">
        <v>0</v>
      </c>
      <c r="AD1453" s="465">
        <v>0</v>
      </c>
      <c r="AE1453" s="476">
        <v>0</v>
      </c>
      <c r="AF1453" s="467">
        <v>0</v>
      </c>
      <c r="AG1453" s="468">
        <v>0</v>
      </c>
      <c r="AH1453" s="218">
        <v>0</v>
      </c>
      <c r="AI1453" s="470">
        <v>0</v>
      </c>
      <c r="AJ1453" s="471">
        <v>0</v>
      </c>
      <c r="AK1453" s="218">
        <v>0</v>
      </c>
      <c r="AL1453" s="470">
        <v>0</v>
      </c>
      <c r="AM1453" s="471">
        <v>0</v>
      </c>
      <c r="AN1453" s="477">
        <v>0.24195606759864455</v>
      </c>
      <c r="AO1453" s="473">
        <v>4.5218783993836463E-2</v>
      </c>
      <c r="AP1453" s="474">
        <v>1.0353139465127039E-3</v>
      </c>
      <c r="AQ1453" s="352"/>
      <c r="AR1453" s="352"/>
      <c r="AS1453" s="352"/>
      <c r="AT1453" s="352"/>
      <c r="AU1453" s="352"/>
      <c r="AV1453" s="352"/>
      <c r="AW1453" s="352" t="s">
        <v>254</v>
      </c>
    </row>
    <row r="1454" spans="2:49" x14ac:dyDescent="0.2">
      <c r="B1454" s="460" t="s">
        <v>2798</v>
      </c>
      <c r="C1454" s="460">
        <v>2131</v>
      </c>
      <c r="D1454" s="460" t="s">
        <v>2317</v>
      </c>
      <c r="E1454" s="460" t="s">
        <v>2305</v>
      </c>
      <c r="F1454" s="460">
        <v>4</v>
      </c>
      <c r="G1454" s="460">
        <v>2</v>
      </c>
      <c r="H1454" s="461" t="s">
        <v>748</v>
      </c>
      <c r="I1454" s="461" t="s">
        <v>765</v>
      </c>
      <c r="J1454" s="461" t="s">
        <v>700</v>
      </c>
      <c r="K1454" s="594"/>
      <c r="L1454" s="594"/>
      <c r="M1454" s="352">
        <v>2000</v>
      </c>
      <c r="N1454" s="352" t="s">
        <v>703</v>
      </c>
      <c r="O1454" s="460">
        <v>2131</v>
      </c>
      <c r="P1454" s="460" t="s">
        <v>1879</v>
      </c>
      <c r="Q1454" s="460" t="s">
        <v>2440</v>
      </c>
      <c r="R1454" s="460">
        <v>2131</v>
      </c>
      <c r="S1454" s="460" t="s">
        <v>2305</v>
      </c>
      <c r="T1454" s="462">
        <v>1</v>
      </c>
      <c r="U1454" s="460" t="s">
        <v>2305</v>
      </c>
      <c r="V1454" s="475">
        <v>0</v>
      </c>
      <c r="W1454" s="463" t="s">
        <v>2268</v>
      </c>
      <c r="X1454" s="463" t="s">
        <v>2268</v>
      </c>
      <c r="Y1454" s="463" t="s">
        <v>2278</v>
      </c>
      <c r="Z1454" s="463"/>
      <c r="AA1454" s="463"/>
      <c r="AB1454" s="464">
        <v>0</v>
      </c>
      <c r="AC1454" s="465">
        <v>0</v>
      </c>
      <c r="AD1454" s="465">
        <v>0</v>
      </c>
      <c r="AE1454" s="476">
        <v>0</v>
      </c>
      <c r="AF1454" s="467">
        <v>0</v>
      </c>
      <c r="AG1454" s="468">
        <v>0</v>
      </c>
      <c r="AH1454" s="218">
        <v>0</v>
      </c>
      <c r="AI1454" s="470">
        <v>0</v>
      </c>
      <c r="AJ1454" s="471">
        <v>0</v>
      </c>
      <c r="AK1454" s="218">
        <v>0</v>
      </c>
      <c r="AL1454" s="470">
        <v>0</v>
      </c>
      <c r="AM1454" s="471">
        <v>0</v>
      </c>
      <c r="AN1454" s="477">
        <v>0</v>
      </c>
      <c r="AO1454" s="473">
        <v>0</v>
      </c>
      <c r="AP1454" s="474">
        <v>0</v>
      </c>
      <c r="AQ1454" s="352"/>
      <c r="AR1454" s="352"/>
      <c r="AS1454" s="352"/>
      <c r="AT1454" s="352"/>
      <c r="AU1454" s="352"/>
      <c r="AV1454" s="352"/>
      <c r="AW1454" s="352" t="s">
        <v>254</v>
      </c>
    </row>
    <row r="1455" spans="2:49" x14ac:dyDescent="0.2">
      <c r="B1455" s="460" t="s">
        <v>2799</v>
      </c>
      <c r="C1455" s="460">
        <v>2131</v>
      </c>
      <c r="D1455" s="460" t="s">
        <v>2323</v>
      </c>
      <c r="E1455" s="460" t="s">
        <v>2324</v>
      </c>
      <c r="F1455" s="460">
        <v>1</v>
      </c>
      <c r="G1455" s="460">
        <v>3</v>
      </c>
      <c r="H1455" s="461" t="s">
        <v>700</v>
      </c>
      <c r="I1455" s="461" t="s">
        <v>872</v>
      </c>
      <c r="J1455" s="461" t="s">
        <v>700</v>
      </c>
      <c r="K1455" s="594"/>
      <c r="L1455" s="594"/>
      <c r="M1455" s="352">
        <v>2000</v>
      </c>
      <c r="N1455" s="352" t="s">
        <v>703</v>
      </c>
      <c r="O1455" s="460">
        <v>2131</v>
      </c>
      <c r="P1455" s="460" t="s">
        <v>1879</v>
      </c>
      <c r="Q1455" s="460" t="s">
        <v>2440</v>
      </c>
      <c r="R1455" s="460">
        <v>2131</v>
      </c>
      <c r="S1455" s="460" t="s">
        <v>2324</v>
      </c>
      <c r="T1455" s="462">
        <v>1</v>
      </c>
      <c r="U1455" s="460" t="s">
        <v>2324</v>
      </c>
      <c r="V1455" s="475">
        <v>0</v>
      </c>
      <c r="W1455" s="463" t="s">
        <v>2503</v>
      </c>
      <c r="X1455" s="463" t="s">
        <v>2267</v>
      </c>
      <c r="Y1455" s="463" t="s">
        <v>2268</v>
      </c>
      <c r="Z1455" s="463"/>
      <c r="AA1455" s="463"/>
      <c r="AB1455" s="464">
        <v>41.089805345527729</v>
      </c>
      <c r="AC1455" s="465">
        <v>0.39218095004559234</v>
      </c>
      <c r="AD1455" s="465">
        <v>3.5224974167916162E-4</v>
      </c>
      <c r="AE1455" s="476">
        <v>24.653883207316635</v>
      </c>
      <c r="AF1455" s="467">
        <v>0.23530857002735539</v>
      </c>
      <c r="AG1455" s="468">
        <v>2.2639755362276477E-4</v>
      </c>
      <c r="AH1455" s="218">
        <v>41.089805345527729</v>
      </c>
      <c r="AI1455" s="470">
        <v>0.39218095004559234</v>
      </c>
      <c r="AJ1455" s="471">
        <v>3.6032504233565494E-4</v>
      </c>
      <c r="AK1455" s="218">
        <v>41.089805345527729</v>
      </c>
      <c r="AL1455" s="470">
        <v>0.39218095004559234</v>
      </c>
      <c r="AM1455" s="471">
        <v>3.6032504233565494E-4</v>
      </c>
      <c r="AN1455" s="477">
        <v>0</v>
      </c>
      <c r="AO1455" s="473">
        <v>0</v>
      </c>
      <c r="AP1455" s="474">
        <v>0</v>
      </c>
      <c r="AQ1455" s="352"/>
      <c r="AR1455" s="352"/>
      <c r="AS1455" s="352"/>
      <c r="AT1455" s="352"/>
      <c r="AU1455" s="352"/>
      <c r="AV1455" s="352"/>
      <c r="AW1455" s="352" t="s">
        <v>254</v>
      </c>
    </row>
    <row r="1456" spans="2:49" x14ac:dyDescent="0.2">
      <c r="B1456" s="460" t="s">
        <v>2800</v>
      </c>
      <c r="C1456" s="460">
        <v>2131</v>
      </c>
      <c r="D1456" s="460" t="s">
        <v>2326</v>
      </c>
      <c r="E1456" s="460" t="s">
        <v>2327</v>
      </c>
      <c r="F1456" s="460">
        <v>2</v>
      </c>
      <c r="G1456" s="460">
        <v>3</v>
      </c>
      <c r="H1456" s="461" t="s">
        <v>700</v>
      </c>
      <c r="I1456" s="461" t="s">
        <v>872</v>
      </c>
      <c r="J1456" s="461" t="s">
        <v>700</v>
      </c>
      <c r="K1456" s="594"/>
      <c r="L1456" s="594"/>
      <c r="M1456" s="352">
        <v>2000</v>
      </c>
      <c r="N1456" s="352" t="s">
        <v>703</v>
      </c>
      <c r="O1456" s="460">
        <v>2131</v>
      </c>
      <c r="P1456" s="460" t="s">
        <v>1879</v>
      </c>
      <c r="Q1456" s="460" t="s">
        <v>2440</v>
      </c>
      <c r="R1456" s="460">
        <v>2131</v>
      </c>
      <c r="S1456" s="460" t="s">
        <v>2324</v>
      </c>
      <c r="T1456" s="462">
        <v>1</v>
      </c>
      <c r="U1456" s="460" t="s">
        <v>2327</v>
      </c>
      <c r="V1456" s="475">
        <v>0</v>
      </c>
      <c r="W1456" s="463" t="s">
        <v>2503</v>
      </c>
      <c r="X1456" s="463" t="s">
        <v>2267</v>
      </c>
      <c r="Y1456" s="463" t="s">
        <v>2268</v>
      </c>
      <c r="Z1456" s="463"/>
      <c r="AA1456" s="463"/>
      <c r="AB1456" s="464">
        <v>15.888932622403759</v>
      </c>
      <c r="AC1456" s="465">
        <v>0.16133089522507638</v>
      </c>
      <c r="AD1456" s="465">
        <v>2.3467664446081258E-4</v>
      </c>
      <c r="AE1456" s="476">
        <v>9.5333595734422563</v>
      </c>
      <c r="AF1456" s="467">
        <v>9.6798537135045826E-2</v>
      </c>
      <c r="AG1456" s="468">
        <v>1.5250848610378489E-4</v>
      </c>
      <c r="AH1456" s="218">
        <v>38.624571458375861</v>
      </c>
      <c r="AI1456" s="470">
        <v>0.39218095004559234</v>
      </c>
      <c r="AJ1456" s="471">
        <v>5.2000997866085525E-4</v>
      </c>
      <c r="AK1456" s="218">
        <v>38.624571458375861</v>
      </c>
      <c r="AL1456" s="470">
        <v>0.39218095004559234</v>
      </c>
      <c r="AM1456" s="471">
        <v>5.2000997866085525E-4</v>
      </c>
      <c r="AN1456" s="477">
        <v>0</v>
      </c>
      <c r="AO1456" s="473">
        <v>0</v>
      </c>
      <c r="AP1456" s="474">
        <v>0</v>
      </c>
      <c r="AQ1456" s="352"/>
      <c r="AR1456" s="352"/>
      <c r="AS1456" s="352"/>
      <c r="AT1456" s="352"/>
      <c r="AU1456" s="352"/>
      <c r="AV1456" s="352"/>
      <c r="AW1456" s="352" t="s">
        <v>254</v>
      </c>
    </row>
    <row r="1457" spans="2:49" x14ac:dyDescent="0.2">
      <c r="B1457" s="460" t="s">
        <v>2801</v>
      </c>
      <c r="C1457" s="460">
        <v>2131</v>
      </c>
      <c r="D1457" s="460" t="s">
        <v>2329</v>
      </c>
      <c r="E1457" s="460" t="s">
        <v>2330</v>
      </c>
      <c r="F1457" s="460">
        <v>3</v>
      </c>
      <c r="G1457" s="460">
        <v>3</v>
      </c>
      <c r="H1457" s="461" t="s">
        <v>700</v>
      </c>
      <c r="I1457" s="461" t="s">
        <v>872</v>
      </c>
      <c r="J1457" s="461" t="s">
        <v>700</v>
      </c>
      <c r="K1457" s="594"/>
      <c r="L1457" s="594"/>
      <c r="M1457" s="352">
        <v>2000</v>
      </c>
      <c r="N1457" s="352" t="s">
        <v>703</v>
      </c>
      <c r="O1457" s="460">
        <v>2131</v>
      </c>
      <c r="P1457" s="460" t="s">
        <v>1879</v>
      </c>
      <c r="Q1457" s="460" t="s">
        <v>2440</v>
      </c>
      <c r="R1457" s="460">
        <v>2131</v>
      </c>
      <c r="S1457" s="460" t="s">
        <v>2324</v>
      </c>
      <c r="T1457" s="462">
        <v>1</v>
      </c>
      <c r="U1457" s="460" t="s">
        <v>2330</v>
      </c>
      <c r="V1457" s="475">
        <v>0</v>
      </c>
      <c r="W1457" s="463" t="s">
        <v>2503</v>
      </c>
      <c r="X1457" s="463" t="s">
        <v>2267</v>
      </c>
      <c r="Y1457" s="463" t="s">
        <v>2268</v>
      </c>
      <c r="Z1457" s="463"/>
      <c r="AA1457" s="463"/>
      <c r="AB1457" s="464">
        <v>2.6111187969924918</v>
      </c>
      <c r="AC1457" s="465">
        <v>5.3260345365879869E-2</v>
      </c>
      <c r="AD1457" s="465">
        <v>9.8599007328579295E-5</v>
      </c>
      <c r="AE1457" s="476">
        <v>1.5666712781954948</v>
      </c>
      <c r="AF1457" s="467">
        <v>3.1956207219527917E-2</v>
      </c>
      <c r="AG1457" s="468">
        <v>6.3404850333019199E-5</v>
      </c>
      <c r="AH1457" s="218">
        <v>19.226894670916717</v>
      </c>
      <c r="AI1457" s="470">
        <v>0.39218095004559234</v>
      </c>
      <c r="AJ1457" s="471">
        <v>6.7740862603079687E-4</v>
      </c>
      <c r="AK1457" s="218">
        <v>19.226894670916717</v>
      </c>
      <c r="AL1457" s="470">
        <v>0.39218095004559234</v>
      </c>
      <c r="AM1457" s="471">
        <v>6.7740862603079687E-4</v>
      </c>
      <c r="AN1457" s="477">
        <v>0</v>
      </c>
      <c r="AO1457" s="473">
        <v>0</v>
      </c>
      <c r="AP1457" s="474">
        <v>0</v>
      </c>
      <c r="AQ1457" s="352"/>
      <c r="AR1457" s="352"/>
      <c r="AS1457" s="352"/>
      <c r="AT1457" s="352"/>
      <c r="AU1457" s="352"/>
      <c r="AV1457" s="352"/>
      <c r="AW1457" s="352" t="s">
        <v>254</v>
      </c>
    </row>
    <row r="1458" spans="2:49" x14ac:dyDescent="0.2">
      <c r="B1458" s="460" t="s">
        <v>2802</v>
      </c>
      <c r="C1458" s="460">
        <v>2131</v>
      </c>
      <c r="D1458" s="460" t="s">
        <v>2332</v>
      </c>
      <c r="E1458" s="460" t="s">
        <v>2333</v>
      </c>
      <c r="F1458" s="460">
        <v>4</v>
      </c>
      <c r="G1458" s="460">
        <v>3</v>
      </c>
      <c r="H1458" s="461" t="s">
        <v>700</v>
      </c>
      <c r="I1458" s="461" t="s">
        <v>872</v>
      </c>
      <c r="J1458" s="461" t="s">
        <v>700</v>
      </c>
      <c r="K1458" s="594"/>
      <c r="L1458" s="594"/>
      <c r="M1458" s="352">
        <v>2000</v>
      </c>
      <c r="N1458" s="352" t="s">
        <v>703</v>
      </c>
      <c r="O1458" s="460">
        <v>2131</v>
      </c>
      <c r="P1458" s="460" t="s">
        <v>1879</v>
      </c>
      <c r="Q1458" s="460" t="s">
        <v>2440</v>
      </c>
      <c r="R1458" s="460">
        <v>2131</v>
      </c>
      <c r="S1458" s="460" t="s">
        <v>2333</v>
      </c>
      <c r="T1458" s="462">
        <v>1</v>
      </c>
      <c r="U1458" s="460" t="s">
        <v>2333</v>
      </c>
      <c r="V1458" s="475">
        <v>0</v>
      </c>
      <c r="W1458" s="463" t="s">
        <v>2503</v>
      </c>
      <c r="X1458" s="463" t="s">
        <v>2278</v>
      </c>
      <c r="Y1458" s="463" t="s">
        <v>2268</v>
      </c>
      <c r="Z1458" s="463"/>
      <c r="AA1458" s="463"/>
      <c r="AB1458" s="464">
        <v>5.1786349580452119E-2</v>
      </c>
      <c r="AC1458" s="465">
        <v>9.7135168721803841E-4</v>
      </c>
      <c r="AD1458" s="465">
        <v>3.5716292364426827E-6</v>
      </c>
      <c r="AE1458" s="476">
        <v>3.107180974827127E-2</v>
      </c>
      <c r="AF1458" s="467">
        <v>5.8281101233082302E-4</v>
      </c>
      <c r="AG1458" s="468">
        <v>2.3650475343827522E-6</v>
      </c>
      <c r="AH1458" s="218">
        <v>5.1786349580452119E-2</v>
      </c>
      <c r="AI1458" s="470">
        <v>9.7135168721803841E-4</v>
      </c>
      <c r="AJ1458" s="471">
        <v>3.8190579253692159E-6</v>
      </c>
      <c r="AK1458" s="218">
        <v>5.1786349580452119E-2</v>
      </c>
      <c r="AL1458" s="470">
        <v>9.7135168721803841E-4</v>
      </c>
      <c r="AM1458" s="471">
        <v>3.8190579253692159E-6</v>
      </c>
      <c r="AN1458" s="477">
        <v>0</v>
      </c>
      <c r="AO1458" s="473">
        <v>0</v>
      </c>
      <c r="AP1458" s="474">
        <v>0</v>
      </c>
      <c r="AQ1458" s="352"/>
      <c r="AR1458" s="352"/>
      <c r="AS1458" s="352"/>
      <c r="AT1458" s="352"/>
      <c r="AU1458" s="352"/>
      <c r="AV1458" s="352"/>
      <c r="AW1458" s="352" t="s">
        <v>254</v>
      </c>
    </row>
    <row r="1459" spans="2:49" x14ac:dyDescent="0.2">
      <c r="B1459" s="460" t="s">
        <v>2799</v>
      </c>
      <c r="C1459" s="460">
        <v>2131</v>
      </c>
      <c r="D1459" s="460" t="s">
        <v>2334</v>
      </c>
      <c r="E1459" s="460" t="s">
        <v>2324</v>
      </c>
      <c r="F1459" s="460">
        <v>1</v>
      </c>
      <c r="G1459" s="460">
        <v>3</v>
      </c>
      <c r="H1459" s="461" t="s">
        <v>712</v>
      </c>
      <c r="I1459" s="461" t="s">
        <v>713</v>
      </c>
      <c r="J1459" s="461" t="s">
        <v>712</v>
      </c>
      <c r="K1459" s="594"/>
      <c r="L1459" s="594"/>
      <c r="M1459" s="352">
        <v>2000</v>
      </c>
      <c r="N1459" s="352" t="s">
        <v>703</v>
      </c>
      <c r="O1459" s="460">
        <v>2131</v>
      </c>
      <c r="P1459" s="460" t="s">
        <v>1879</v>
      </c>
      <c r="Q1459" s="460" t="s">
        <v>2280</v>
      </c>
      <c r="R1459" s="460">
        <v>2131</v>
      </c>
      <c r="S1459" s="460" t="s">
        <v>2324</v>
      </c>
      <c r="T1459" s="462">
        <v>1</v>
      </c>
      <c r="U1459" s="460" t="s">
        <v>2324</v>
      </c>
      <c r="V1459" s="475">
        <v>0</v>
      </c>
      <c r="W1459" s="463" t="s">
        <v>713</v>
      </c>
      <c r="X1459" s="463" t="s">
        <v>713</v>
      </c>
      <c r="Y1459" s="463" t="s">
        <v>713</v>
      </c>
      <c r="Z1459" s="463"/>
      <c r="AA1459" s="463"/>
      <c r="AB1459" s="464">
        <v>63.682762880315224</v>
      </c>
      <c r="AC1459" s="465">
        <v>0.60781904995440772</v>
      </c>
      <c r="AD1459" s="465">
        <v>1.5900924181389418E-4</v>
      </c>
      <c r="AE1459" s="476">
        <v>80.118685018526307</v>
      </c>
      <c r="AF1459" s="467">
        <v>0.76469142997264461</v>
      </c>
      <c r="AG1459" s="468">
        <v>1.9624885357963796E-4</v>
      </c>
      <c r="AH1459" s="218">
        <v>63.682762880315209</v>
      </c>
      <c r="AI1459" s="470">
        <v>0.60781904995440761</v>
      </c>
      <c r="AJ1459" s="471">
        <v>1.5797803722139185E-4</v>
      </c>
      <c r="AK1459" s="218">
        <v>63.682762880315209</v>
      </c>
      <c r="AL1459" s="470">
        <v>0.60781904995440761</v>
      </c>
      <c r="AM1459" s="471">
        <v>1.5797803722139185E-4</v>
      </c>
      <c r="AN1459" s="477">
        <v>63.682762880315209</v>
      </c>
      <c r="AO1459" s="473">
        <v>0.60781904995440761</v>
      </c>
      <c r="AP1459" s="474">
        <v>1.5790115676696977E-4</v>
      </c>
      <c r="AQ1459" s="352"/>
      <c r="AR1459" s="352"/>
      <c r="AS1459" s="352"/>
      <c r="AT1459" s="352"/>
      <c r="AU1459" s="352"/>
      <c r="AV1459" s="352"/>
      <c r="AW1459" s="352" t="s">
        <v>254</v>
      </c>
    </row>
    <row r="1460" spans="2:49" x14ac:dyDescent="0.2">
      <c r="B1460" s="460" t="s">
        <v>2800</v>
      </c>
      <c r="C1460" s="460">
        <v>2131</v>
      </c>
      <c r="D1460" s="460" t="s">
        <v>2335</v>
      </c>
      <c r="E1460" s="460" t="s">
        <v>2327</v>
      </c>
      <c r="F1460" s="460">
        <v>2</v>
      </c>
      <c r="G1460" s="460">
        <v>3</v>
      </c>
      <c r="H1460" s="461" t="s">
        <v>712</v>
      </c>
      <c r="I1460" s="461" t="s">
        <v>713</v>
      </c>
      <c r="J1460" s="461" t="s">
        <v>712</v>
      </c>
      <c r="K1460" s="594"/>
      <c r="L1460" s="594"/>
      <c r="M1460" s="352">
        <v>2000</v>
      </c>
      <c r="N1460" s="352" t="s">
        <v>703</v>
      </c>
      <c r="O1460" s="460">
        <v>2131</v>
      </c>
      <c r="P1460" s="460" t="s">
        <v>1879</v>
      </c>
      <c r="Q1460" s="460" t="s">
        <v>2280</v>
      </c>
      <c r="R1460" s="460">
        <v>2131</v>
      </c>
      <c r="S1460" s="460" t="s">
        <v>2324</v>
      </c>
      <c r="T1460" s="462">
        <v>1</v>
      </c>
      <c r="U1460" s="460" t="s">
        <v>2327</v>
      </c>
      <c r="V1460" s="475">
        <v>0</v>
      </c>
      <c r="W1460" s="463" t="s">
        <v>713</v>
      </c>
      <c r="X1460" s="463" t="s">
        <v>713</v>
      </c>
      <c r="Y1460" s="463" t="s">
        <v>713</v>
      </c>
      <c r="Z1460" s="463"/>
      <c r="AA1460" s="463"/>
      <c r="AB1460" s="464">
        <v>82.597675291330006</v>
      </c>
      <c r="AC1460" s="465">
        <v>0.83866910477492362</v>
      </c>
      <c r="AD1460" s="465">
        <v>2.645271904728992E-4</v>
      </c>
      <c r="AE1460" s="476">
        <v>88.953248340291509</v>
      </c>
      <c r="AF1460" s="467">
        <v>0.90320146286495417</v>
      </c>
      <c r="AG1460" s="468">
        <v>2.8021913670007211E-4</v>
      </c>
      <c r="AH1460" s="218">
        <v>59.862036455357895</v>
      </c>
      <c r="AI1460" s="470">
        <v>0.60781904995440761</v>
      </c>
      <c r="AJ1460" s="471">
        <v>1.9611276516488135E-4</v>
      </c>
      <c r="AK1460" s="218">
        <v>59.862036455357895</v>
      </c>
      <c r="AL1460" s="470">
        <v>0.60781904995440761</v>
      </c>
      <c r="AM1460" s="471">
        <v>1.9611276516488135E-4</v>
      </c>
      <c r="AN1460" s="477">
        <v>59.862036455357895</v>
      </c>
      <c r="AO1460" s="473">
        <v>0.60781904995440761</v>
      </c>
      <c r="AP1460" s="474">
        <v>1.9603587644305125E-4</v>
      </c>
      <c r="AQ1460" s="352"/>
      <c r="AR1460" s="352"/>
      <c r="AS1460" s="352"/>
      <c r="AT1460" s="352"/>
      <c r="AU1460" s="352"/>
      <c r="AV1460" s="352"/>
      <c r="AW1460" s="352" t="s">
        <v>254</v>
      </c>
    </row>
    <row r="1461" spans="2:49" x14ac:dyDescent="0.2">
      <c r="B1461" s="460" t="s">
        <v>2801</v>
      </c>
      <c r="C1461" s="460">
        <v>2131</v>
      </c>
      <c r="D1461" s="460" t="s">
        <v>2336</v>
      </c>
      <c r="E1461" s="460" t="s">
        <v>2330</v>
      </c>
      <c r="F1461" s="460">
        <v>3</v>
      </c>
      <c r="G1461" s="460">
        <v>3</v>
      </c>
      <c r="H1461" s="461" t="s">
        <v>712</v>
      </c>
      <c r="I1461" s="461" t="s">
        <v>713</v>
      </c>
      <c r="J1461" s="461" t="s">
        <v>712</v>
      </c>
      <c r="K1461" s="594"/>
      <c r="L1461" s="594"/>
      <c r="M1461" s="352">
        <v>2000</v>
      </c>
      <c r="N1461" s="352" t="s">
        <v>703</v>
      </c>
      <c r="O1461" s="460">
        <v>2131</v>
      </c>
      <c r="P1461" s="460" t="s">
        <v>1879</v>
      </c>
      <c r="Q1461" s="460" t="s">
        <v>2280</v>
      </c>
      <c r="R1461" s="460">
        <v>2131</v>
      </c>
      <c r="S1461" s="460" t="s">
        <v>2324</v>
      </c>
      <c r="T1461" s="462">
        <v>1</v>
      </c>
      <c r="U1461" s="460" t="s">
        <v>2330</v>
      </c>
      <c r="V1461" s="475">
        <v>0</v>
      </c>
      <c r="W1461" s="463" t="s">
        <v>713</v>
      </c>
      <c r="X1461" s="463" t="s">
        <v>713</v>
      </c>
      <c r="Y1461" s="463" t="s">
        <v>713</v>
      </c>
      <c r="Z1461" s="463"/>
      <c r="AA1461" s="463"/>
      <c r="AB1461" s="464">
        <v>46.414451335063966</v>
      </c>
      <c r="AC1461" s="465">
        <v>0.94673965463412013</v>
      </c>
      <c r="AD1461" s="465">
        <v>4.1096576174301362E-4</v>
      </c>
      <c r="AE1461" s="476">
        <v>47.458898853860958</v>
      </c>
      <c r="AF1461" s="467">
        <v>0.96804379278047203</v>
      </c>
      <c r="AG1461" s="468">
        <v>4.1371808586604679E-4</v>
      </c>
      <c r="AH1461" s="218">
        <v>29.798675461139737</v>
      </c>
      <c r="AI1461" s="470">
        <v>0.60781904995440761</v>
      </c>
      <c r="AJ1461" s="471">
        <v>2.696851344814212E-4</v>
      </c>
      <c r="AK1461" s="218">
        <v>29.798675461139737</v>
      </c>
      <c r="AL1461" s="470">
        <v>0.60781904995440761</v>
      </c>
      <c r="AM1461" s="471">
        <v>2.696851344814212E-4</v>
      </c>
      <c r="AN1461" s="477">
        <v>29.798675461139737</v>
      </c>
      <c r="AO1461" s="473">
        <v>0.60781904995440761</v>
      </c>
      <c r="AP1461" s="474">
        <v>2.703812215977434E-4</v>
      </c>
      <c r="AQ1461" s="352"/>
      <c r="AR1461" s="352"/>
      <c r="AS1461" s="352"/>
      <c r="AT1461" s="352"/>
      <c r="AU1461" s="352"/>
      <c r="AV1461" s="352"/>
      <c r="AW1461" s="352" t="s">
        <v>254</v>
      </c>
    </row>
    <row r="1462" spans="2:49" x14ac:dyDescent="0.2">
      <c r="B1462" s="460" t="s">
        <v>2802</v>
      </c>
      <c r="C1462" s="460">
        <v>2131</v>
      </c>
      <c r="D1462" s="460" t="s">
        <v>2337</v>
      </c>
      <c r="E1462" s="460" t="s">
        <v>2333</v>
      </c>
      <c r="F1462" s="460">
        <v>4</v>
      </c>
      <c r="G1462" s="460">
        <v>3</v>
      </c>
      <c r="H1462" s="461" t="s">
        <v>712</v>
      </c>
      <c r="I1462" s="461" t="s">
        <v>713</v>
      </c>
      <c r="J1462" s="461" t="s">
        <v>712</v>
      </c>
      <c r="K1462" s="594"/>
      <c r="L1462" s="594"/>
      <c r="M1462" s="352">
        <v>2000</v>
      </c>
      <c r="N1462" s="352" t="s">
        <v>703</v>
      </c>
      <c r="O1462" s="460">
        <v>2131</v>
      </c>
      <c r="P1462" s="460" t="s">
        <v>1879</v>
      </c>
      <c r="Q1462" s="460" t="s">
        <v>2280</v>
      </c>
      <c r="R1462" s="460">
        <v>2131</v>
      </c>
      <c r="S1462" s="460" t="s">
        <v>2333</v>
      </c>
      <c r="T1462" s="462">
        <v>1</v>
      </c>
      <c r="U1462" s="460" t="s">
        <v>2333</v>
      </c>
      <c r="V1462" s="475">
        <v>0</v>
      </c>
      <c r="W1462" s="463" t="s">
        <v>713</v>
      </c>
      <c r="X1462" s="463" t="s">
        <v>713</v>
      </c>
      <c r="Y1462" s="463" t="s">
        <v>713</v>
      </c>
      <c r="Z1462" s="463"/>
      <c r="AA1462" s="463"/>
      <c r="AB1462" s="464">
        <v>53.261910699496362</v>
      </c>
      <c r="AC1462" s="465">
        <v>0.99902864831278193</v>
      </c>
      <c r="AD1462" s="465">
        <v>4.0492211193826258E-4</v>
      </c>
      <c r="AE1462" s="476">
        <v>53.282625239328546</v>
      </c>
      <c r="AF1462" s="467">
        <v>0.99941718898766918</v>
      </c>
      <c r="AG1462" s="468">
        <v>4.0092984233690548E-4</v>
      </c>
      <c r="AH1462" s="218">
        <v>53.261910699496362</v>
      </c>
      <c r="AI1462" s="470">
        <v>0.99902864831278193</v>
      </c>
      <c r="AJ1462" s="471">
        <v>4.0205081284776727E-4</v>
      </c>
      <c r="AK1462" s="218">
        <v>53.261910699496362</v>
      </c>
      <c r="AL1462" s="470">
        <v>0.99902864831278193</v>
      </c>
      <c r="AM1462" s="471">
        <v>4.0205081284776727E-4</v>
      </c>
      <c r="AN1462" s="477">
        <v>53.261910699496362</v>
      </c>
      <c r="AO1462" s="473">
        <v>0.99902864831278193</v>
      </c>
      <c r="AP1462" s="474">
        <v>4.0217857805403497E-4</v>
      </c>
      <c r="AQ1462" s="352"/>
      <c r="AR1462" s="352"/>
      <c r="AS1462" s="352"/>
      <c r="AT1462" s="352"/>
      <c r="AU1462" s="352"/>
      <c r="AV1462" s="352"/>
      <c r="AW1462" s="352" t="s">
        <v>254</v>
      </c>
    </row>
    <row r="1463" spans="2:49" x14ac:dyDescent="0.2">
      <c r="B1463" s="460" t="s">
        <v>2799</v>
      </c>
      <c r="C1463" s="460">
        <v>2131</v>
      </c>
      <c r="D1463" s="460" t="s">
        <v>2338</v>
      </c>
      <c r="E1463" s="460" t="s">
        <v>2324</v>
      </c>
      <c r="F1463" s="460">
        <v>1</v>
      </c>
      <c r="G1463" s="460">
        <v>3</v>
      </c>
      <c r="H1463" s="461" t="s">
        <v>746</v>
      </c>
      <c r="I1463" s="461" t="s">
        <v>762</v>
      </c>
      <c r="J1463" s="461" t="s">
        <v>700</v>
      </c>
      <c r="K1463" s="594"/>
      <c r="L1463" s="594"/>
      <c r="M1463" s="352">
        <v>2000</v>
      </c>
      <c r="N1463" s="352" t="s">
        <v>703</v>
      </c>
      <c r="O1463" s="460">
        <v>2131</v>
      </c>
      <c r="P1463" s="460" t="s">
        <v>1879</v>
      </c>
      <c r="Q1463" s="460" t="s">
        <v>2444</v>
      </c>
      <c r="R1463" s="460">
        <v>2131</v>
      </c>
      <c r="S1463" s="460" t="s">
        <v>2324</v>
      </c>
      <c r="T1463" s="462">
        <v>1</v>
      </c>
      <c r="U1463" s="460" t="s">
        <v>2324</v>
      </c>
      <c r="V1463" s="475">
        <v>0</v>
      </c>
      <c r="W1463" s="463" t="s">
        <v>2268</v>
      </c>
      <c r="X1463" s="463" t="s">
        <v>2268</v>
      </c>
      <c r="Y1463" s="463" t="s">
        <v>2290</v>
      </c>
      <c r="Z1463" s="463"/>
      <c r="AA1463" s="463"/>
      <c r="AB1463" s="464">
        <v>0</v>
      </c>
      <c r="AC1463" s="465">
        <v>0</v>
      </c>
      <c r="AD1463" s="465">
        <v>0</v>
      </c>
      <c r="AE1463" s="476">
        <v>0</v>
      </c>
      <c r="AF1463" s="467">
        <v>0</v>
      </c>
      <c r="AG1463" s="468">
        <v>0</v>
      </c>
      <c r="AH1463" s="218">
        <v>0</v>
      </c>
      <c r="AI1463" s="470">
        <v>0</v>
      </c>
      <c r="AJ1463" s="471">
        <v>0</v>
      </c>
      <c r="AK1463" s="218">
        <v>0</v>
      </c>
      <c r="AL1463" s="470">
        <v>0</v>
      </c>
      <c r="AM1463" s="471">
        <v>0</v>
      </c>
      <c r="AN1463" s="477">
        <v>0</v>
      </c>
      <c r="AO1463" s="473">
        <v>0</v>
      </c>
      <c r="AP1463" s="474">
        <v>0</v>
      </c>
      <c r="AQ1463" s="352"/>
      <c r="AR1463" s="352"/>
      <c r="AS1463" s="352"/>
      <c r="AT1463" s="352"/>
      <c r="AU1463" s="352"/>
      <c r="AV1463" s="352"/>
      <c r="AW1463" s="352" t="s">
        <v>254</v>
      </c>
    </row>
    <row r="1464" spans="2:49" x14ac:dyDescent="0.2">
      <c r="B1464" s="460" t="s">
        <v>2800</v>
      </c>
      <c r="C1464" s="460">
        <v>2131</v>
      </c>
      <c r="D1464" s="460" t="s">
        <v>2339</v>
      </c>
      <c r="E1464" s="460" t="s">
        <v>2327</v>
      </c>
      <c r="F1464" s="460">
        <v>2</v>
      </c>
      <c r="G1464" s="460">
        <v>3</v>
      </c>
      <c r="H1464" s="461" t="s">
        <v>746</v>
      </c>
      <c r="I1464" s="461" t="s">
        <v>762</v>
      </c>
      <c r="J1464" s="461" t="s">
        <v>700</v>
      </c>
      <c r="K1464" s="594"/>
      <c r="L1464" s="594"/>
      <c r="M1464" s="352">
        <v>2000</v>
      </c>
      <c r="N1464" s="352" t="s">
        <v>703</v>
      </c>
      <c r="O1464" s="460">
        <v>2131</v>
      </c>
      <c r="P1464" s="460" t="s">
        <v>1879</v>
      </c>
      <c r="Q1464" s="460" t="s">
        <v>2444</v>
      </c>
      <c r="R1464" s="460">
        <v>2131</v>
      </c>
      <c r="S1464" s="460" t="s">
        <v>2324</v>
      </c>
      <c r="T1464" s="462">
        <v>1</v>
      </c>
      <c r="U1464" s="460" t="s">
        <v>2327</v>
      </c>
      <c r="V1464" s="475">
        <v>0</v>
      </c>
      <c r="W1464" s="463" t="s">
        <v>2268</v>
      </c>
      <c r="X1464" s="463" t="s">
        <v>2268</v>
      </c>
      <c r="Y1464" s="463" t="s">
        <v>2290</v>
      </c>
      <c r="Z1464" s="463"/>
      <c r="AA1464" s="463"/>
      <c r="AB1464" s="464">
        <v>0</v>
      </c>
      <c r="AC1464" s="465">
        <v>0</v>
      </c>
      <c r="AD1464" s="465">
        <v>0</v>
      </c>
      <c r="AE1464" s="476">
        <v>0</v>
      </c>
      <c r="AF1464" s="467">
        <v>0</v>
      </c>
      <c r="AG1464" s="468">
        <v>0</v>
      </c>
      <c r="AH1464" s="218">
        <v>0</v>
      </c>
      <c r="AI1464" s="470">
        <v>0</v>
      </c>
      <c r="AJ1464" s="471">
        <v>0</v>
      </c>
      <c r="AK1464" s="218">
        <v>0</v>
      </c>
      <c r="AL1464" s="470">
        <v>0</v>
      </c>
      <c r="AM1464" s="471">
        <v>0</v>
      </c>
      <c r="AN1464" s="477">
        <v>0</v>
      </c>
      <c r="AO1464" s="473">
        <v>0</v>
      </c>
      <c r="AP1464" s="474">
        <v>0</v>
      </c>
      <c r="AQ1464" s="352"/>
      <c r="AR1464" s="352"/>
      <c r="AS1464" s="352"/>
      <c r="AT1464" s="352"/>
      <c r="AU1464" s="352"/>
      <c r="AV1464" s="352"/>
      <c r="AW1464" s="352" t="s">
        <v>254</v>
      </c>
    </row>
    <row r="1465" spans="2:49" x14ac:dyDescent="0.2">
      <c r="B1465" s="460" t="s">
        <v>2801</v>
      </c>
      <c r="C1465" s="460">
        <v>2131</v>
      </c>
      <c r="D1465" s="460" t="s">
        <v>2340</v>
      </c>
      <c r="E1465" s="460" t="s">
        <v>2330</v>
      </c>
      <c r="F1465" s="460">
        <v>3</v>
      </c>
      <c r="G1465" s="460">
        <v>3</v>
      </c>
      <c r="H1465" s="461" t="s">
        <v>746</v>
      </c>
      <c r="I1465" s="461" t="s">
        <v>762</v>
      </c>
      <c r="J1465" s="461" t="s">
        <v>700</v>
      </c>
      <c r="K1465" s="594"/>
      <c r="L1465" s="594"/>
      <c r="M1465" s="352">
        <v>2000</v>
      </c>
      <c r="N1465" s="352" t="s">
        <v>703</v>
      </c>
      <c r="O1465" s="460">
        <v>2131</v>
      </c>
      <c r="P1465" s="460" t="s">
        <v>1879</v>
      </c>
      <c r="Q1465" s="460" t="s">
        <v>2444</v>
      </c>
      <c r="R1465" s="460">
        <v>2131</v>
      </c>
      <c r="S1465" s="460" t="s">
        <v>2324</v>
      </c>
      <c r="T1465" s="462">
        <v>1</v>
      </c>
      <c r="U1465" s="460" t="s">
        <v>2330</v>
      </c>
      <c r="V1465" s="475">
        <v>0</v>
      </c>
      <c r="W1465" s="463" t="s">
        <v>2268</v>
      </c>
      <c r="X1465" s="463" t="s">
        <v>2268</v>
      </c>
      <c r="Y1465" s="463" t="s">
        <v>2290</v>
      </c>
      <c r="Z1465" s="463"/>
      <c r="AA1465" s="463"/>
      <c r="AB1465" s="464">
        <v>0</v>
      </c>
      <c r="AC1465" s="465">
        <v>0</v>
      </c>
      <c r="AD1465" s="465">
        <v>0</v>
      </c>
      <c r="AE1465" s="476">
        <v>0</v>
      </c>
      <c r="AF1465" s="467">
        <v>0</v>
      </c>
      <c r="AG1465" s="468">
        <v>0</v>
      </c>
      <c r="AH1465" s="218">
        <v>0</v>
      </c>
      <c r="AI1465" s="470">
        <v>0</v>
      </c>
      <c r="AJ1465" s="471">
        <v>0</v>
      </c>
      <c r="AK1465" s="218">
        <v>0</v>
      </c>
      <c r="AL1465" s="470">
        <v>0</v>
      </c>
      <c r="AM1465" s="471">
        <v>0</v>
      </c>
      <c r="AN1465" s="477">
        <v>0</v>
      </c>
      <c r="AO1465" s="473">
        <v>0</v>
      </c>
      <c r="AP1465" s="474">
        <v>0</v>
      </c>
      <c r="AQ1465" s="352"/>
      <c r="AR1465" s="352"/>
      <c r="AS1465" s="352"/>
      <c r="AT1465" s="352"/>
      <c r="AU1465" s="352"/>
      <c r="AV1465" s="352"/>
      <c r="AW1465" s="352" t="s">
        <v>254</v>
      </c>
    </row>
    <row r="1466" spans="2:49" x14ac:dyDescent="0.2">
      <c r="B1466" s="460" t="s">
        <v>2802</v>
      </c>
      <c r="C1466" s="460">
        <v>2131</v>
      </c>
      <c r="D1466" s="460" t="s">
        <v>2341</v>
      </c>
      <c r="E1466" s="460" t="s">
        <v>2333</v>
      </c>
      <c r="F1466" s="460">
        <v>4</v>
      </c>
      <c r="G1466" s="460">
        <v>3</v>
      </c>
      <c r="H1466" s="461" t="s">
        <v>746</v>
      </c>
      <c r="I1466" s="461" t="s">
        <v>762</v>
      </c>
      <c r="J1466" s="461" t="s">
        <v>700</v>
      </c>
      <c r="K1466" s="594"/>
      <c r="L1466" s="594"/>
      <c r="M1466" s="352">
        <v>2000</v>
      </c>
      <c r="N1466" s="352" t="s">
        <v>703</v>
      </c>
      <c r="O1466" s="460">
        <v>2131</v>
      </c>
      <c r="P1466" s="460" t="s">
        <v>1879</v>
      </c>
      <c r="Q1466" s="460" t="s">
        <v>2444</v>
      </c>
      <c r="R1466" s="460">
        <v>2131</v>
      </c>
      <c r="S1466" s="460" t="s">
        <v>2333</v>
      </c>
      <c r="T1466" s="462">
        <v>1</v>
      </c>
      <c r="U1466" s="460" t="s">
        <v>2333</v>
      </c>
      <c r="V1466" s="475">
        <v>0</v>
      </c>
      <c r="W1466" s="463" t="s">
        <v>2268</v>
      </c>
      <c r="X1466" s="463" t="s">
        <v>2268</v>
      </c>
      <c r="Y1466" s="463" t="s">
        <v>2290</v>
      </c>
      <c r="Z1466" s="463"/>
      <c r="AA1466" s="463"/>
      <c r="AB1466" s="464">
        <v>0</v>
      </c>
      <c r="AC1466" s="465">
        <v>0</v>
      </c>
      <c r="AD1466" s="465">
        <v>0</v>
      </c>
      <c r="AE1466" s="476">
        <v>0</v>
      </c>
      <c r="AF1466" s="467">
        <v>0</v>
      </c>
      <c r="AG1466" s="468">
        <v>0</v>
      </c>
      <c r="AH1466" s="218">
        <v>0</v>
      </c>
      <c r="AI1466" s="470">
        <v>0</v>
      </c>
      <c r="AJ1466" s="471">
        <v>0</v>
      </c>
      <c r="AK1466" s="218">
        <v>0</v>
      </c>
      <c r="AL1466" s="470">
        <v>0</v>
      </c>
      <c r="AM1466" s="471">
        <v>0</v>
      </c>
      <c r="AN1466" s="477">
        <v>0</v>
      </c>
      <c r="AO1466" s="473">
        <v>0</v>
      </c>
      <c r="AP1466" s="474">
        <v>0</v>
      </c>
      <c r="AQ1466" s="352"/>
      <c r="AR1466" s="352"/>
      <c r="AS1466" s="352"/>
      <c r="AT1466" s="352"/>
      <c r="AU1466" s="352"/>
      <c r="AV1466" s="352"/>
      <c r="AW1466" s="352" t="s">
        <v>254</v>
      </c>
    </row>
    <row r="1467" spans="2:49" x14ac:dyDescent="0.2">
      <c r="B1467" s="460" t="s">
        <v>2799</v>
      </c>
      <c r="C1467" s="460">
        <v>2131</v>
      </c>
      <c r="D1467" s="460" t="s">
        <v>2342</v>
      </c>
      <c r="E1467" s="460" t="s">
        <v>2324</v>
      </c>
      <c r="F1467" s="460">
        <v>1</v>
      </c>
      <c r="G1467" s="460">
        <v>3</v>
      </c>
      <c r="H1467" s="461" t="s">
        <v>748</v>
      </c>
      <c r="I1467" s="461" t="s">
        <v>765</v>
      </c>
      <c r="J1467" s="461" t="s">
        <v>700</v>
      </c>
      <c r="K1467" s="594"/>
      <c r="L1467" s="594"/>
      <c r="M1467" s="352">
        <v>2000</v>
      </c>
      <c r="N1467" s="352" t="s">
        <v>703</v>
      </c>
      <c r="O1467" s="460">
        <v>2131</v>
      </c>
      <c r="P1467" s="460" t="s">
        <v>1879</v>
      </c>
      <c r="Q1467" s="460" t="s">
        <v>2440</v>
      </c>
      <c r="R1467" s="460">
        <v>2131</v>
      </c>
      <c r="S1467" s="460" t="s">
        <v>2324</v>
      </c>
      <c r="T1467" s="462">
        <v>1</v>
      </c>
      <c r="U1467" s="460" t="s">
        <v>2324</v>
      </c>
      <c r="V1467" s="475">
        <v>0</v>
      </c>
      <c r="W1467" s="463" t="s">
        <v>2268</v>
      </c>
      <c r="X1467" s="463" t="s">
        <v>2268</v>
      </c>
      <c r="Y1467" s="463" t="s">
        <v>2267</v>
      </c>
      <c r="Z1467" s="463"/>
      <c r="AA1467" s="463"/>
      <c r="AB1467" s="464">
        <v>0</v>
      </c>
      <c r="AC1467" s="465">
        <v>0</v>
      </c>
      <c r="AD1467" s="465">
        <v>0</v>
      </c>
      <c r="AE1467" s="476">
        <v>0</v>
      </c>
      <c r="AF1467" s="467">
        <v>0</v>
      </c>
      <c r="AG1467" s="468">
        <v>0</v>
      </c>
      <c r="AH1467" s="218">
        <v>0</v>
      </c>
      <c r="AI1467" s="470">
        <v>0</v>
      </c>
      <c r="AJ1467" s="471">
        <v>0</v>
      </c>
      <c r="AK1467" s="218">
        <v>0</v>
      </c>
      <c r="AL1467" s="470">
        <v>0</v>
      </c>
      <c r="AM1467" s="471">
        <v>0</v>
      </c>
      <c r="AN1467" s="477">
        <v>41.089805345527729</v>
      </c>
      <c r="AO1467" s="473">
        <v>0.39218095004559234</v>
      </c>
      <c r="AP1467" s="474">
        <v>2.1387989561379383E-3</v>
      </c>
      <c r="AQ1467" s="352"/>
      <c r="AR1467" s="352"/>
      <c r="AS1467" s="352"/>
      <c r="AT1467" s="352"/>
      <c r="AU1467" s="352"/>
      <c r="AV1467" s="352"/>
      <c r="AW1467" s="352" t="s">
        <v>254</v>
      </c>
    </row>
    <row r="1468" spans="2:49" x14ac:dyDescent="0.2">
      <c r="B1468" s="460" t="s">
        <v>2800</v>
      </c>
      <c r="C1468" s="460">
        <v>2131</v>
      </c>
      <c r="D1468" s="460" t="s">
        <v>2343</v>
      </c>
      <c r="E1468" s="460" t="s">
        <v>2327</v>
      </c>
      <c r="F1468" s="460">
        <v>2</v>
      </c>
      <c r="G1468" s="460">
        <v>3</v>
      </c>
      <c r="H1468" s="461" t="s">
        <v>748</v>
      </c>
      <c r="I1468" s="461" t="s">
        <v>765</v>
      </c>
      <c r="J1468" s="461" t="s">
        <v>700</v>
      </c>
      <c r="K1468" s="594"/>
      <c r="L1468" s="594"/>
      <c r="M1468" s="352">
        <v>2000</v>
      </c>
      <c r="N1468" s="352" t="s">
        <v>703</v>
      </c>
      <c r="O1468" s="460">
        <v>2131</v>
      </c>
      <c r="P1468" s="460" t="s">
        <v>1879</v>
      </c>
      <c r="Q1468" s="460" t="s">
        <v>2440</v>
      </c>
      <c r="R1468" s="460">
        <v>2131</v>
      </c>
      <c r="S1468" s="460" t="s">
        <v>2324</v>
      </c>
      <c r="T1468" s="462">
        <v>1</v>
      </c>
      <c r="U1468" s="460" t="s">
        <v>2327</v>
      </c>
      <c r="V1468" s="475">
        <v>0</v>
      </c>
      <c r="W1468" s="463" t="s">
        <v>2268</v>
      </c>
      <c r="X1468" s="463" t="s">
        <v>2268</v>
      </c>
      <c r="Y1468" s="463" t="s">
        <v>2267</v>
      </c>
      <c r="Z1468" s="463"/>
      <c r="AA1468" s="463"/>
      <c r="AB1468" s="464">
        <v>0</v>
      </c>
      <c r="AC1468" s="465">
        <v>0</v>
      </c>
      <c r="AD1468" s="465">
        <v>0</v>
      </c>
      <c r="AE1468" s="476">
        <v>0</v>
      </c>
      <c r="AF1468" s="467">
        <v>0</v>
      </c>
      <c r="AG1468" s="468">
        <v>0</v>
      </c>
      <c r="AH1468" s="218">
        <v>0</v>
      </c>
      <c r="AI1468" s="470">
        <v>0</v>
      </c>
      <c r="AJ1468" s="471">
        <v>0</v>
      </c>
      <c r="AK1468" s="218">
        <v>0</v>
      </c>
      <c r="AL1468" s="470">
        <v>0</v>
      </c>
      <c r="AM1468" s="471">
        <v>0</v>
      </c>
      <c r="AN1468" s="477">
        <v>38.624571458375861</v>
      </c>
      <c r="AO1468" s="473">
        <v>0.39218095004559234</v>
      </c>
      <c r="AP1468" s="474">
        <v>3.4334738254869763E-3</v>
      </c>
      <c r="AQ1468" s="352"/>
      <c r="AR1468" s="352"/>
      <c r="AS1468" s="352"/>
      <c r="AT1468" s="352"/>
      <c r="AU1468" s="352"/>
      <c r="AV1468" s="352"/>
      <c r="AW1468" s="352" t="s">
        <v>254</v>
      </c>
    </row>
    <row r="1469" spans="2:49" x14ac:dyDescent="0.2">
      <c r="B1469" s="460" t="s">
        <v>2801</v>
      </c>
      <c r="C1469" s="460">
        <v>2131</v>
      </c>
      <c r="D1469" s="460" t="s">
        <v>2344</v>
      </c>
      <c r="E1469" s="460" t="s">
        <v>2330</v>
      </c>
      <c r="F1469" s="460">
        <v>3</v>
      </c>
      <c r="G1469" s="460">
        <v>3</v>
      </c>
      <c r="H1469" s="461" t="s">
        <v>748</v>
      </c>
      <c r="I1469" s="461" t="s">
        <v>765</v>
      </c>
      <c r="J1469" s="461" t="s">
        <v>700</v>
      </c>
      <c r="K1469" s="594"/>
      <c r="L1469" s="594"/>
      <c r="M1469" s="352">
        <v>2000</v>
      </c>
      <c r="N1469" s="352" t="s">
        <v>703</v>
      </c>
      <c r="O1469" s="460">
        <v>2131</v>
      </c>
      <c r="P1469" s="460" t="s">
        <v>1879</v>
      </c>
      <c r="Q1469" s="460" t="s">
        <v>2440</v>
      </c>
      <c r="R1469" s="460">
        <v>2131</v>
      </c>
      <c r="S1469" s="460" t="s">
        <v>2324</v>
      </c>
      <c r="T1469" s="462">
        <v>1</v>
      </c>
      <c r="U1469" s="460" t="s">
        <v>2330</v>
      </c>
      <c r="V1469" s="475">
        <v>0</v>
      </c>
      <c r="W1469" s="463" t="s">
        <v>2268</v>
      </c>
      <c r="X1469" s="463" t="s">
        <v>2268</v>
      </c>
      <c r="Y1469" s="463" t="s">
        <v>2267</v>
      </c>
      <c r="Z1469" s="463"/>
      <c r="AA1469" s="463"/>
      <c r="AB1469" s="464">
        <v>0</v>
      </c>
      <c r="AC1469" s="465">
        <v>0</v>
      </c>
      <c r="AD1469" s="465">
        <v>0</v>
      </c>
      <c r="AE1469" s="476">
        <v>0</v>
      </c>
      <c r="AF1469" s="467">
        <v>0</v>
      </c>
      <c r="AG1469" s="468">
        <v>0</v>
      </c>
      <c r="AH1469" s="218">
        <v>0</v>
      </c>
      <c r="AI1469" s="470">
        <v>0</v>
      </c>
      <c r="AJ1469" s="471">
        <v>0</v>
      </c>
      <c r="AK1469" s="218">
        <v>0</v>
      </c>
      <c r="AL1469" s="470">
        <v>0</v>
      </c>
      <c r="AM1469" s="471">
        <v>0</v>
      </c>
      <c r="AN1469" s="477">
        <v>19.226894670916717</v>
      </c>
      <c r="AO1469" s="473">
        <v>0.39218095004559234</v>
      </c>
      <c r="AP1469" s="474">
        <v>5.2409192130293009E-3</v>
      </c>
      <c r="AQ1469" s="352"/>
      <c r="AR1469" s="352"/>
      <c r="AS1469" s="352"/>
      <c r="AT1469" s="352"/>
      <c r="AU1469" s="352"/>
      <c r="AV1469" s="352"/>
      <c r="AW1469" s="352" t="s">
        <v>254</v>
      </c>
    </row>
    <row r="1470" spans="2:49" x14ac:dyDescent="0.2">
      <c r="B1470" s="460" t="s">
        <v>2802</v>
      </c>
      <c r="C1470" s="460">
        <v>2131</v>
      </c>
      <c r="D1470" s="460" t="s">
        <v>2345</v>
      </c>
      <c r="E1470" s="460" t="s">
        <v>2333</v>
      </c>
      <c r="F1470" s="460">
        <v>4</v>
      </c>
      <c r="G1470" s="460">
        <v>3</v>
      </c>
      <c r="H1470" s="461" t="s">
        <v>748</v>
      </c>
      <c r="I1470" s="461" t="s">
        <v>765</v>
      </c>
      <c r="J1470" s="461" t="s">
        <v>700</v>
      </c>
      <c r="K1470" s="594"/>
      <c r="L1470" s="594"/>
      <c r="M1470" s="352">
        <v>2000</v>
      </c>
      <c r="N1470" s="352" t="s">
        <v>703</v>
      </c>
      <c r="O1470" s="460">
        <v>2131</v>
      </c>
      <c r="P1470" s="460" t="s">
        <v>1879</v>
      </c>
      <c r="Q1470" s="460" t="s">
        <v>2440</v>
      </c>
      <c r="R1470" s="460">
        <v>2131</v>
      </c>
      <c r="S1470" s="460" t="s">
        <v>2333</v>
      </c>
      <c r="T1470" s="462">
        <v>1</v>
      </c>
      <c r="U1470" s="460" t="s">
        <v>2333</v>
      </c>
      <c r="V1470" s="475">
        <v>0</v>
      </c>
      <c r="W1470" s="463" t="s">
        <v>2268</v>
      </c>
      <c r="X1470" s="463" t="s">
        <v>2268</v>
      </c>
      <c r="Y1470" s="463" t="s">
        <v>2278</v>
      </c>
      <c r="Z1470" s="463"/>
      <c r="AA1470" s="463"/>
      <c r="AB1470" s="464">
        <v>0</v>
      </c>
      <c r="AC1470" s="465">
        <v>0</v>
      </c>
      <c r="AD1470" s="465">
        <v>0</v>
      </c>
      <c r="AE1470" s="476">
        <v>0</v>
      </c>
      <c r="AF1470" s="467">
        <v>0</v>
      </c>
      <c r="AG1470" s="468">
        <v>0</v>
      </c>
      <c r="AH1470" s="218">
        <v>0</v>
      </c>
      <c r="AI1470" s="470">
        <v>0</v>
      </c>
      <c r="AJ1470" s="471">
        <v>0</v>
      </c>
      <c r="AK1470" s="218">
        <v>0</v>
      </c>
      <c r="AL1470" s="470">
        <v>0</v>
      </c>
      <c r="AM1470" s="471">
        <v>0</v>
      </c>
      <c r="AN1470" s="477">
        <v>5.1786349580452119E-2</v>
      </c>
      <c r="AO1470" s="473">
        <v>9.7135168721803841E-4</v>
      </c>
      <c r="AP1470" s="474">
        <v>3.224863045763367E-5</v>
      </c>
      <c r="AQ1470" s="352"/>
      <c r="AR1470" s="352"/>
      <c r="AS1470" s="352"/>
      <c r="AT1470" s="352"/>
      <c r="AU1470" s="352"/>
      <c r="AV1470" s="352"/>
      <c r="AW1470" s="352" t="s">
        <v>254</v>
      </c>
    </row>
    <row r="1471" spans="2:49" x14ac:dyDescent="0.2">
      <c r="B1471" s="460" t="s">
        <v>2799</v>
      </c>
      <c r="C1471" s="460">
        <v>2131</v>
      </c>
      <c r="D1471" s="460" t="s">
        <v>2346</v>
      </c>
      <c r="E1471" s="460" t="s">
        <v>2324</v>
      </c>
      <c r="F1471" s="460">
        <v>1</v>
      </c>
      <c r="G1471" s="460">
        <v>3</v>
      </c>
      <c r="H1471" s="461" t="s">
        <v>752</v>
      </c>
      <c r="I1471" s="461" t="s">
        <v>964</v>
      </c>
      <c r="J1471" s="461" t="s">
        <v>752</v>
      </c>
      <c r="K1471" s="594"/>
      <c r="L1471" s="594"/>
      <c r="M1471" s="352">
        <v>2000</v>
      </c>
      <c r="N1471" s="352" t="s">
        <v>703</v>
      </c>
      <c r="O1471" s="460">
        <v>2131</v>
      </c>
      <c r="P1471" s="460" t="s">
        <v>1879</v>
      </c>
      <c r="Q1471" s="460" t="s">
        <v>2440</v>
      </c>
      <c r="R1471" s="460">
        <v>2131</v>
      </c>
      <c r="S1471" s="460" t="s">
        <v>2324</v>
      </c>
      <c r="T1471" s="462">
        <v>1</v>
      </c>
      <c r="U1471" s="460" t="s">
        <v>2324</v>
      </c>
      <c r="V1471" s="475">
        <v>0</v>
      </c>
      <c r="W1471" s="463" t="s">
        <v>2278</v>
      </c>
      <c r="X1471" s="463" t="s">
        <v>2278</v>
      </c>
      <c r="Y1471" s="463" t="s">
        <v>2278</v>
      </c>
      <c r="Z1471" s="463"/>
      <c r="AA1471" s="463"/>
      <c r="AB1471" s="464">
        <v>0</v>
      </c>
      <c r="AC1471" s="465">
        <v>0</v>
      </c>
      <c r="AD1471" s="465">
        <v>0</v>
      </c>
      <c r="AE1471" s="476">
        <v>0</v>
      </c>
      <c r="AF1471" s="467">
        <v>0</v>
      </c>
      <c r="AG1471" s="468">
        <v>0</v>
      </c>
      <c r="AH1471" s="218">
        <v>0</v>
      </c>
      <c r="AI1471" s="470">
        <v>0</v>
      </c>
      <c r="AJ1471" s="471">
        <v>0</v>
      </c>
      <c r="AK1471" s="218">
        <v>0</v>
      </c>
      <c r="AL1471" s="470">
        <v>0</v>
      </c>
      <c r="AM1471" s="471">
        <v>0</v>
      </c>
      <c r="AN1471" s="477">
        <v>0</v>
      </c>
      <c r="AO1471" s="473">
        <v>0</v>
      </c>
      <c r="AP1471" s="474">
        <v>0</v>
      </c>
      <c r="AQ1471" s="352"/>
      <c r="AR1471" s="352"/>
      <c r="AS1471" s="352"/>
      <c r="AT1471" s="352"/>
      <c r="AU1471" s="352"/>
      <c r="AV1471" s="352"/>
      <c r="AW1471" s="352" t="s">
        <v>254</v>
      </c>
    </row>
    <row r="1472" spans="2:49" x14ac:dyDescent="0.2">
      <c r="B1472" s="460" t="s">
        <v>2800</v>
      </c>
      <c r="C1472" s="460">
        <v>2131</v>
      </c>
      <c r="D1472" s="460" t="s">
        <v>2347</v>
      </c>
      <c r="E1472" s="460" t="s">
        <v>2327</v>
      </c>
      <c r="F1472" s="460">
        <v>2</v>
      </c>
      <c r="G1472" s="460">
        <v>3</v>
      </c>
      <c r="H1472" s="461" t="s">
        <v>752</v>
      </c>
      <c r="I1472" s="461" t="s">
        <v>964</v>
      </c>
      <c r="J1472" s="461" t="s">
        <v>752</v>
      </c>
      <c r="K1472" s="594"/>
      <c r="L1472" s="594"/>
      <c r="M1472" s="352">
        <v>2000</v>
      </c>
      <c r="N1472" s="352" t="s">
        <v>703</v>
      </c>
      <c r="O1472" s="460">
        <v>2131</v>
      </c>
      <c r="P1472" s="460" t="s">
        <v>1879</v>
      </c>
      <c r="Q1472" s="460" t="s">
        <v>2440</v>
      </c>
      <c r="R1472" s="460">
        <v>2131</v>
      </c>
      <c r="S1472" s="460" t="s">
        <v>2324</v>
      </c>
      <c r="T1472" s="462">
        <v>1</v>
      </c>
      <c r="U1472" s="460" t="s">
        <v>2327</v>
      </c>
      <c r="V1472" s="475">
        <v>0</v>
      </c>
      <c r="W1472" s="463" t="s">
        <v>2278</v>
      </c>
      <c r="X1472" s="463" t="s">
        <v>2278</v>
      </c>
      <c r="Y1472" s="463" t="s">
        <v>2278</v>
      </c>
      <c r="Z1472" s="463"/>
      <c r="AA1472" s="463"/>
      <c r="AB1472" s="464">
        <v>0</v>
      </c>
      <c r="AC1472" s="465">
        <v>0</v>
      </c>
      <c r="AD1472" s="465">
        <v>0</v>
      </c>
      <c r="AE1472" s="476">
        <v>0</v>
      </c>
      <c r="AF1472" s="467">
        <v>0</v>
      </c>
      <c r="AG1472" s="468">
        <v>0</v>
      </c>
      <c r="AH1472" s="218">
        <v>0</v>
      </c>
      <c r="AI1472" s="470">
        <v>0</v>
      </c>
      <c r="AJ1472" s="471">
        <v>0</v>
      </c>
      <c r="AK1472" s="218">
        <v>0</v>
      </c>
      <c r="AL1472" s="470">
        <v>0</v>
      </c>
      <c r="AM1472" s="471">
        <v>0</v>
      </c>
      <c r="AN1472" s="477">
        <v>0</v>
      </c>
      <c r="AO1472" s="473">
        <v>0</v>
      </c>
      <c r="AP1472" s="474">
        <v>0</v>
      </c>
      <c r="AQ1472" s="352"/>
      <c r="AR1472" s="352"/>
      <c r="AS1472" s="352"/>
      <c r="AT1472" s="352"/>
      <c r="AU1472" s="352"/>
      <c r="AV1472" s="352"/>
      <c r="AW1472" s="352" t="s">
        <v>254</v>
      </c>
    </row>
    <row r="1473" spans="2:49" x14ac:dyDescent="0.2">
      <c r="B1473" s="460" t="s">
        <v>2801</v>
      </c>
      <c r="C1473" s="460">
        <v>2131</v>
      </c>
      <c r="D1473" s="460" t="s">
        <v>2348</v>
      </c>
      <c r="E1473" s="460" t="s">
        <v>2330</v>
      </c>
      <c r="F1473" s="460">
        <v>3</v>
      </c>
      <c r="G1473" s="460">
        <v>3</v>
      </c>
      <c r="H1473" s="461" t="s">
        <v>752</v>
      </c>
      <c r="I1473" s="461" t="s">
        <v>964</v>
      </c>
      <c r="J1473" s="461" t="s">
        <v>752</v>
      </c>
      <c r="K1473" s="594"/>
      <c r="L1473" s="594"/>
      <c r="M1473" s="352">
        <v>2000</v>
      </c>
      <c r="N1473" s="352" t="s">
        <v>703</v>
      </c>
      <c r="O1473" s="460">
        <v>2131</v>
      </c>
      <c r="P1473" s="460" t="s">
        <v>1879</v>
      </c>
      <c r="Q1473" s="460" t="s">
        <v>2440</v>
      </c>
      <c r="R1473" s="460">
        <v>2131</v>
      </c>
      <c r="S1473" s="460" t="s">
        <v>2324</v>
      </c>
      <c r="T1473" s="462">
        <v>1</v>
      </c>
      <c r="U1473" s="460" t="s">
        <v>2330</v>
      </c>
      <c r="V1473" s="475">
        <v>0</v>
      </c>
      <c r="W1473" s="463" t="s">
        <v>2278</v>
      </c>
      <c r="X1473" s="463" t="s">
        <v>2278</v>
      </c>
      <c r="Y1473" s="463" t="s">
        <v>2278</v>
      </c>
      <c r="Z1473" s="463"/>
      <c r="AA1473" s="463"/>
      <c r="AB1473" s="464">
        <v>0</v>
      </c>
      <c r="AC1473" s="465">
        <v>0</v>
      </c>
      <c r="AD1473" s="465">
        <v>0</v>
      </c>
      <c r="AE1473" s="476">
        <v>0</v>
      </c>
      <c r="AF1473" s="467">
        <v>0</v>
      </c>
      <c r="AG1473" s="468">
        <v>0</v>
      </c>
      <c r="AH1473" s="218">
        <v>0</v>
      </c>
      <c r="AI1473" s="470">
        <v>0</v>
      </c>
      <c r="AJ1473" s="471">
        <v>0</v>
      </c>
      <c r="AK1473" s="218">
        <v>0</v>
      </c>
      <c r="AL1473" s="470">
        <v>0</v>
      </c>
      <c r="AM1473" s="471">
        <v>0</v>
      </c>
      <c r="AN1473" s="477">
        <v>0</v>
      </c>
      <c r="AO1473" s="473">
        <v>0</v>
      </c>
      <c r="AP1473" s="474">
        <v>0</v>
      </c>
      <c r="AQ1473" s="352"/>
      <c r="AR1473" s="352"/>
      <c r="AS1473" s="352"/>
      <c r="AT1473" s="352"/>
      <c r="AU1473" s="352"/>
      <c r="AV1473" s="352"/>
      <c r="AW1473" s="352" t="s">
        <v>254</v>
      </c>
    </row>
    <row r="1474" spans="2:49" x14ac:dyDescent="0.2">
      <c r="B1474" s="460" t="s">
        <v>2802</v>
      </c>
      <c r="C1474" s="460">
        <v>2131</v>
      </c>
      <c r="D1474" s="460" t="s">
        <v>2349</v>
      </c>
      <c r="E1474" s="460" t="s">
        <v>2333</v>
      </c>
      <c r="F1474" s="460">
        <v>4</v>
      </c>
      <c r="G1474" s="460">
        <v>3</v>
      </c>
      <c r="H1474" s="461" t="s">
        <v>752</v>
      </c>
      <c r="I1474" s="461" t="s">
        <v>964</v>
      </c>
      <c r="J1474" s="461" t="s">
        <v>752</v>
      </c>
      <c r="K1474" s="594"/>
      <c r="L1474" s="594"/>
      <c r="M1474" s="352">
        <v>2000</v>
      </c>
      <c r="N1474" s="352" t="s">
        <v>703</v>
      </c>
      <c r="O1474" s="460">
        <v>2131</v>
      </c>
      <c r="P1474" s="460" t="s">
        <v>1879</v>
      </c>
      <c r="Q1474" s="460" t="s">
        <v>2440</v>
      </c>
      <c r="R1474" s="460">
        <v>2131</v>
      </c>
      <c r="S1474" s="460" t="s">
        <v>2333</v>
      </c>
      <c r="T1474" s="462">
        <v>1</v>
      </c>
      <c r="U1474" s="460" t="s">
        <v>2333</v>
      </c>
      <c r="V1474" s="475">
        <v>0</v>
      </c>
      <c r="W1474" s="463" t="s">
        <v>2278</v>
      </c>
      <c r="X1474" s="463" t="s">
        <v>2278</v>
      </c>
      <c r="Y1474" s="463" t="s">
        <v>2278</v>
      </c>
      <c r="Z1474" s="463"/>
      <c r="AA1474" s="463"/>
      <c r="AB1474" s="464">
        <v>0</v>
      </c>
      <c r="AC1474" s="465">
        <v>0</v>
      </c>
      <c r="AD1474" s="465">
        <v>0</v>
      </c>
      <c r="AE1474" s="476">
        <v>0</v>
      </c>
      <c r="AF1474" s="467">
        <v>0</v>
      </c>
      <c r="AG1474" s="468">
        <v>0</v>
      </c>
      <c r="AH1474" s="218">
        <v>0</v>
      </c>
      <c r="AI1474" s="470">
        <v>0</v>
      </c>
      <c r="AJ1474" s="471">
        <v>0</v>
      </c>
      <c r="AK1474" s="218">
        <v>0</v>
      </c>
      <c r="AL1474" s="470">
        <v>0</v>
      </c>
      <c r="AM1474" s="471">
        <v>0</v>
      </c>
      <c r="AN1474" s="477">
        <v>0</v>
      </c>
      <c r="AO1474" s="473">
        <v>0</v>
      </c>
      <c r="AP1474" s="474">
        <v>0</v>
      </c>
      <c r="AQ1474" s="352"/>
      <c r="AR1474" s="352"/>
      <c r="AS1474" s="352"/>
      <c r="AT1474" s="352"/>
      <c r="AU1474" s="352"/>
      <c r="AV1474" s="352"/>
      <c r="AW1474" s="352" t="s">
        <v>254</v>
      </c>
    </row>
    <row r="1475" spans="2:49" x14ac:dyDescent="0.2">
      <c r="B1475" s="460" t="s">
        <v>2803</v>
      </c>
      <c r="C1475" s="460">
        <v>2131</v>
      </c>
      <c r="D1475" s="460" t="s">
        <v>2351</v>
      </c>
      <c r="E1475" s="460" t="s">
        <v>1136</v>
      </c>
      <c r="F1475" s="460">
        <v>1</v>
      </c>
      <c r="G1475" s="460">
        <v>4</v>
      </c>
      <c r="H1475" s="461" t="s">
        <v>700</v>
      </c>
      <c r="I1475" s="461" t="s">
        <v>872</v>
      </c>
      <c r="J1475" s="461" t="s">
        <v>700</v>
      </c>
      <c r="K1475" s="594"/>
      <c r="L1475" s="594"/>
      <c r="M1475" s="352">
        <v>2000</v>
      </c>
      <c r="N1475" s="352" t="s">
        <v>703</v>
      </c>
      <c r="O1475" s="460">
        <v>2131</v>
      </c>
      <c r="P1475" s="460" t="s">
        <v>1879</v>
      </c>
      <c r="Q1475" s="460" t="s">
        <v>2440</v>
      </c>
      <c r="R1475" s="460">
        <v>2131</v>
      </c>
      <c r="S1475" s="460" t="s">
        <v>1136</v>
      </c>
      <c r="T1475" s="462">
        <v>1</v>
      </c>
      <c r="U1475" s="460" t="s">
        <v>1136</v>
      </c>
      <c r="V1475" s="475">
        <v>0</v>
      </c>
      <c r="W1475" s="463" t="s">
        <v>2503</v>
      </c>
      <c r="X1475" s="463" t="s">
        <v>2267</v>
      </c>
      <c r="Y1475" s="463" t="s">
        <v>2268</v>
      </c>
      <c r="Z1475" s="463"/>
      <c r="AA1475" s="463"/>
      <c r="AB1475" s="464">
        <v>1.0735188465010057</v>
      </c>
      <c r="AC1475" s="465">
        <v>3.8441680089396489E-2</v>
      </c>
      <c r="AD1475" s="465">
        <v>3.0543857285930936E-3</v>
      </c>
      <c r="AE1475" s="476">
        <v>0.64411130790060345</v>
      </c>
      <c r="AF1475" s="467">
        <v>2.3065008053637894E-2</v>
      </c>
      <c r="AG1475" s="468">
        <v>1.9921831995310378E-3</v>
      </c>
      <c r="AH1475" s="218">
        <v>1.0735188465010057</v>
      </c>
      <c r="AI1475" s="470">
        <v>3.8441680089396489E-2</v>
      </c>
      <c r="AJ1475" s="471">
        <v>8.3838228244634641E-4</v>
      </c>
      <c r="AK1475" s="218">
        <v>1.0735188465010057</v>
      </c>
      <c r="AL1475" s="470">
        <v>3.8441680089396489E-2</v>
      </c>
      <c r="AM1475" s="471">
        <v>8.3838228244634641E-4</v>
      </c>
      <c r="AN1475" s="477">
        <v>0</v>
      </c>
      <c r="AO1475" s="473">
        <v>0</v>
      </c>
      <c r="AP1475" s="474">
        <v>0</v>
      </c>
      <c r="AQ1475" s="352"/>
      <c r="AR1475" s="352"/>
      <c r="AS1475" s="352"/>
      <c r="AT1475" s="352"/>
      <c r="AU1475" s="352"/>
      <c r="AV1475" s="352"/>
      <c r="AW1475" s="352" t="s">
        <v>254</v>
      </c>
    </row>
    <row r="1476" spans="2:49" x14ac:dyDescent="0.2">
      <c r="B1476" s="460" t="s">
        <v>2804</v>
      </c>
      <c r="C1476" s="460">
        <v>2131</v>
      </c>
      <c r="D1476" s="460" t="s">
        <v>2353</v>
      </c>
      <c r="E1476" s="460" t="s">
        <v>1137</v>
      </c>
      <c r="F1476" s="460">
        <v>2</v>
      </c>
      <c r="G1476" s="460">
        <v>4</v>
      </c>
      <c r="H1476" s="461" t="s">
        <v>700</v>
      </c>
      <c r="I1476" s="461" t="s">
        <v>872</v>
      </c>
      <c r="J1476" s="461" t="s">
        <v>700</v>
      </c>
      <c r="K1476" s="594"/>
      <c r="L1476" s="594"/>
      <c r="M1476" s="352">
        <v>2000</v>
      </c>
      <c r="N1476" s="352" t="s">
        <v>703</v>
      </c>
      <c r="O1476" s="460">
        <v>2131</v>
      </c>
      <c r="P1476" s="460" t="s">
        <v>1879</v>
      </c>
      <c r="Q1476" s="460" t="s">
        <v>2440</v>
      </c>
      <c r="R1476" s="460">
        <v>2131</v>
      </c>
      <c r="S1476" s="460" t="s">
        <v>1137</v>
      </c>
      <c r="T1476" s="462">
        <v>1</v>
      </c>
      <c r="U1476" s="460" t="s">
        <v>1137</v>
      </c>
      <c r="V1476" s="475">
        <v>0</v>
      </c>
      <c r="W1476" s="463" t="s">
        <v>2503</v>
      </c>
      <c r="X1476" s="463" t="s">
        <v>2267</v>
      </c>
      <c r="Y1476" s="463" t="s">
        <v>2268</v>
      </c>
      <c r="Z1476" s="463"/>
      <c r="AA1476" s="463"/>
      <c r="AB1476" s="464">
        <v>2.4273235438092837</v>
      </c>
      <c r="AC1476" s="465">
        <v>6.5850987424907192E-2</v>
      </c>
      <c r="AD1476" s="465">
        <v>5.4812636075752283E-4</v>
      </c>
      <c r="AE1476" s="476">
        <v>1.4563941262855702</v>
      </c>
      <c r="AF1476" s="467">
        <v>3.9510592454944315E-2</v>
      </c>
      <c r="AG1476" s="468">
        <v>3.5430802570213357E-4</v>
      </c>
      <c r="AH1476" s="218">
        <v>2.4273235438092837</v>
      </c>
      <c r="AI1476" s="470">
        <v>6.5850987424907192E-2</v>
      </c>
      <c r="AJ1476" s="471">
        <v>5.0150792950974337E-4</v>
      </c>
      <c r="AK1476" s="218">
        <v>2.4273235438092837</v>
      </c>
      <c r="AL1476" s="470">
        <v>6.5850987424907192E-2</v>
      </c>
      <c r="AM1476" s="471">
        <v>5.0150792950974337E-4</v>
      </c>
      <c r="AN1476" s="477">
        <v>0</v>
      </c>
      <c r="AO1476" s="473">
        <v>0</v>
      </c>
      <c r="AP1476" s="474">
        <v>0</v>
      </c>
      <c r="AQ1476" s="352"/>
      <c r="AR1476" s="352"/>
      <c r="AS1476" s="352"/>
      <c r="AT1476" s="352"/>
      <c r="AU1476" s="352"/>
      <c r="AV1476" s="352"/>
      <c r="AW1476" s="352" t="s">
        <v>254</v>
      </c>
    </row>
    <row r="1477" spans="2:49" x14ac:dyDescent="0.2">
      <c r="B1477" s="460" t="s">
        <v>2805</v>
      </c>
      <c r="C1477" s="460">
        <v>2131</v>
      </c>
      <c r="D1477" s="460" t="s">
        <v>2355</v>
      </c>
      <c r="E1477" s="460" t="s">
        <v>1138</v>
      </c>
      <c r="F1477" s="460">
        <v>3</v>
      </c>
      <c r="G1477" s="460">
        <v>4</v>
      </c>
      <c r="H1477" s="461" t="s">
        <v>700</v>
      </c>
      <c r="I1477" s="461" t="s">
        <v>872</v>
      </c>
      <c r="J1477" s="461" t="s">
        <v>700</v>
      </c>
      <c r="K1477" s="594"/>
      <c r="L1477" s="594"/>
      <c r="M1477" s="352">
        <v>2000</v>
      </c>
      <c r="N1477" s="352" t="s">
        <v>703</v>
      </c>
      <c r="O1477" s="460">
        <v>2131</v>
      </c>
      <c r="P1477" s="460" t="s">
        <v>1879</v>
      </c>
      <c r="Q1477" s="460" t="s">
        <v>2440</v>
      </c>
      <c r="R1477" s="460">
        <v>2131</v>
      </c>
      <c r="S1477" s="460" t="s">
        <v>1138</v>
      </c>
      <c r="T1477" s="462">
        <v>1</v>
      </c>
      <c r="U1477" s="460" t="s">
        <v>1138</v>
      </c>
      <c r="V1477" s="475">
        <v>0</v>
      </c>
      <c r="W1477" s="463" t="s">
        <v>2503</v>
      </c>
      <c r="X1477" s="463" t="s">
        <v>2267</v>
      </c>
      <c r="Y1477" s="463" t="s">
        <v>2268</v>
      </c>
      <c r="Z1477" s="463"/>
      <c r="AA1477" s="463"/>
      <c r="AB1477" s="464">
        <v>1.7741355631463189</v>
      </c>
      <c r="AC1477" s="465">
        <v>0.12281731041714032</v>
      </c>
      <c r="AD1477" s="465">
        <v>7.4437079163572567E-4</v>
      </c>
      <c r="AE1477" s="476">
        <v>1.0644813378877913</v>
      </c>
      <c r="AF1477" s="467">
        <v>7.3690386250284193E-2</v>
      </c>
      <c r="AG1477" s="468">
        <v>4.8184522856403066E-4</v>
      </c>
      <c r="AH1477" s="218">
        <v>1.7741355631463189</v>
      </c>
      <c r="AI1477" s="470">
        <v>0.12281731041714032</v>
      </c>
      <c r="AJ1477" s="471">
        <v>6.1137808863504525E-4</v>
      </c>
      <c r="AK1477" s="218">
        <v>1.7741355631463189</v>
      </c>
      <c r="AL1477" s="470">
        <v>0.12281731041714032</v>
      </c>
      <c r="AM1477" s="471">
        <v>6.1137808863504525E-4</v>
      </c>
      <c r="AN1477" s="477">
        <v>0</v>
      </c>
      <c r="AO1477" s="473">
        <v>0</v>
      </c>
      <c r="AP1477" s="474">
        <v>0</v>
      </c>
      <c r="AQ1477" s="352"/>
      <c r="AR1477" s="352"/>
      <c r="AS1477" s="352"/>
      <c r="AT1477" s="352"/>
      <c r="AU1477" s="352"/>
      <c r="AV1477" s="352"/>
      <c r="AW1477" s="352" t="s">
        <v>254</v>
      </c>
    </row>
    <row r="1478" spans="2:49" x14ac:dyDescent="0.2">
      <c r="B1478" s="460" t="s">
        <v>2806</v>
      </c>
      <c r="C1478" s="460">
        <v>2131</v>
      </c>
      <c r="D1478" s="460" t="s">
        <v>2357</v>
      </c>
      <c r="E1478" s="460" t="s">
        <v>1139</v>
      </c>
      <c r="F1478" s="460">
        <v>4</v>
      </c>
      <c r="G1478" s="460">
        <v>4</v>
      </c>
      <c r="H1478" s="461" t="s">
        <v>700</v>
      </c>
      <c r="I1478" s="461" t="s">
        <v>872</v>
      </c>
      <c r="J1478" s="461" t="s">
        <v>700</v>
      </c>
      <c r="K1478" s="594"/>
      <c r="L1478" s="594"/>
      <c r="M1478" s="352">
        <v>2000</v>
      </c>
      <c r="N1478" s="352" t="s">
        <v>703</v>
      </c>
      <c r="O1478" s="460">
        <v>2131</v>
      </c>
      <c r="P1478" s="460" t="s">
        <v>1879</v>
      </c>
      <c r="Q1478" s="460" t="s">
        <v>2440</v>
      </c>
      <c r="R1478" s="460">
        <v>2131</v>
      </c>
      <c r="S1478" s="460" t="s">
        <v>1139</v>
      </c>
      <c r="T1478" s="462">
        <v>1</v>
      </c>
      <c r="U1478" s="460" t="s">
        <v>1139</v>
      </c>
      <c r="V1478" s="475">
        <v>0</v>
      </c>
      <c r="W1478" s="463" t="s">
        <v>2503</v>
      </c>
      <c r="X1478" s="463" t="s">
        <v>2267</v>
      </c>
      <c r="Y1478" s="463" t="s">
        <v>2268</v>
      </c>
      <c r="Z1478" s="463"/>
      <c r="AA1478" s="463"/>
      <c r="AB1478" s="464">
        <v>0</v>
      </c>
      <c r="AC1478" s="465">
        <v>0</v>
      </c>
      <c r="AD1478" s="465">
        <v>0</v>
      </c>
      <c r="AE1478" s="476">
        <v>0</v>
      </c>
      <c r="AF1478" s="467">
        <v>0</v>
      </c>
      <c r="AG1478" s="468">
        <v>0</v>
      </c>
      <c r="AH1478" s="218">
        <v>0</v>
      </c>
      <c r="AI1478" s="470">
        <v>0</v>
      </c>
      <c r="AJ1478" s="471">
        <v>0</v>
      </c>
      <c r="AK1478" s="218">
        <v>0</v>
      </c>
      <c r="AL1478" s="470">
        <v>0</v>
      </c>
      <c r="AM1478" s="471">
        <v>0</v>
      </c>
      <c r="AN1478" s="477">
        <v>0</v>
      </c>
      <c r="AO1478" s="473">
        <v>0</v>
      </c>
      <c r="AP1478" s="474">
        <v>0</v>
      </c>
      <c r="AQ1478" s="352"/>
      <c r="AR1478" s="352"/>
      <c r="AS1478" s="352"/>
      <c r="AT1478" s="352"/>
      <c r="AU1478" s="352"/>
      <c r="AV1478" s="352"/>
      <c r="AW1478" s="352" t="s">
        <v>254</v>
      </c>
    </row>
    <row r="1479" spans="2:49" x14ac:dyDescent="0.2">
      <c r="B1479" s="460" t="s">
        <v>2803</v>
      </c>
      <c r="C1479" s="460">
        <v>2131</v>
      </c>
      <c r="D1479" s="460" t="s">
        <v>2358</v>
      </c>
      <c r="E1479" s="460" t="s">
        <v>1136</v>
      </c>
      <c r="F1479" s="460">
        <v>1</v>
      </c>
      <c r="G1479" s="460">
        <v>4</v>
      </c>
      <c r="H1479" s="461" t="s">
        <v>712</v>
      </c>
      <c r="I1479" s="461" t="s">
        <v>713</v>
      </c>
      <c r="J1479" s="461" t="s">
        <v>712</v>
      </c>
      <c r="K1479" s="594"/>
      <c r="L1479" s="594"/>
      <c r="M1479" s="352">
        <v>2000</v>
      </c>
      <c r="N1479" s="352" t="s">
        <v>703</v>
      </c>
      <c r="O1479" s="460">
        <v>2131</v>
      </c>
      <c r="P1479" s="460" t="s">
        <v>1879</v>
      </c>
      <c r="Q1479" s="460" t="s">
        <v>2280</v>
      </c>
      <c r="R1479" s="460">
        <v>2131</v>
      </c>
      <c r="S1479" s="460" t="s">
        <v>1136</v>
      </c>
      <c r="T1479" s="462">
        <v>1</v>
      </c>
      <c r="U1479" s="460" t="s">
        <v>1136</v>
      </c>
      <c r="V1479" s="475">
        <v>0</v>
      </c>
      <c r="W1479" s="463" t="s">
        <v>713</v>
      </c>
      <c r="X1479" s="463" t="s">
        <v>713</v>
      </c>
      <c r="Y1479" s="463" t="s">
        <v>713</v>
      </c>
      <c r="Z1479" s="463"/>
      <c r="AA1479" s="463"/>
      <c r="AB1479" s="464">
        <v>26.425687870496226</v>
      </c>
      <c r="AC1479" s="465">
        <v>0.94627853304195286</v>
      </c>
      <c r="AD1479" s="465">
        <v>1.7415507134663468E-4</v>
      </c>
      <c r="AE1479" s="476">
        <v>26.855095409096627</v>
      </c>
      <c r="AF1479" s="467">
        <v>0.96165520507771141</v>
      </c>
      <c r="AG1479" s="468">
        <v>1.7695219963226319E-4</v>
      </c>
      <c r="AH1479" s="218">
        <v>26.425687870496223</v>
      </c>
      <c r="AI1479" s="470">
        <v>0.94627853304195275</v>
      </c>
      <c r="AJ1479" s="471">
        <v>1.7589241814200979E-4</v>
      </c>
      <c r="AK1479" s="218">
        <v>26.425687870496223</v>
      </c>
      <c r="AL1479" s="470">
        <v>0.94627853304195275</v>
      </c>
      <c r="AM1479" s="471">
        <v>1.7589241814200979E-4</v>
      </c>
      <c r="AN1479" s="477">
        <v>26.425687870496223</v>
      </c>
      <c r="AO1479" s="473">
        <v>0.94627853304195275</v>
      </c>
      <c r="AP1479" s="474">
        <v>1.7560621661549708E-4</v>
      </c>
      <c r="AQ1479" s="352"/>
      <c r="AR1479" s="352"/>
      <c r="AS1479" s="352"/>
      <c r="AT1479" s="352"/>
      <c r="AU1479" s="352"/>
      <c r="AV1479" s="352"/>
      <c r="AW1479" s="352" t="s">
        <v>254</v>
      </c>
    </row>
    <row r="1480" spans="2:49" x14ac:dyDescent="0.2">
      <c r="B1480" s="460" t="s">
        <v>2804</v>
      </c>
      <c r="C1480" s="460">
        <v>2131</v>
      </c>
      <c r="D1480" s="460" t="s">
        <v>2359</v>
      </c>
      <c r="E1480" s="460" t="s">
        <v>1137</v>
      </c>
      <c r="F1480" s="460">
        <v>2</v>
      </c>
      <c r="G1480" s="460">
        <v>4</v>
      </c>
      <c r="H1480" s="461" t="s">
        <v>712</v>
      </c>
      <c r="I1480" s="461" t="s">
        <v>713</v>
      </c>
      <c r="J1480" s="461" t="s">
        <v>712</v>
      </c>
      <c r="K1480" s="594"/>
      <c r="L1480" s="594"/>
      <c r="M1480" s="352">
        <v>2000</v>
      </c>
      <c r="N1480" s="352" t="s">
        <v>703</v>
      </c>
      <c r="O1480" s="460">
        <v>2131</v>
      </c>
      <c r="P1480" s="460" t="s">
        <v>1879</v>
      </c>
      <c r="Q1480" s="460" t="s">
        <v>2280</v>
      </c>
      <c r="R1480" s="460">
        <v>2131</v>
      </c>
      <c r="S1480" s="460" t="s">
        <v>1137</v>
      </c>
      <c r="T1480" s="462">
        <v>1</v>
      </c>
      <c r="U1480" s="460" t="s">
        <v>1137</v>
      </c>
      <c r="V1480" s="475">
        <v>0</v>
      </c>
      <c r="W1480" s="463" t="s">
        <v>713</v>
      </c>
      <c r="X1480" s="463" t="s">
        <v>713</v>
      </c>
      <c r="Y1480" s="463" t="s">
        <v>713</v>
      </c>
      <c r="Z1480" s="463"/>
      <c r="AA1480" s="463"/>
      <c r="AB1480" s="464">
        <v>34.294204602590597</v>
      </c>
      <c r="AC1480" s="465">
        <v>0.93036927104012968</v>
      </c>
      <c r="AD1480" s="465">
        <v>1.9832811594754072E-4</v>
      </c>
      <c r="AE1480" s="476">
        <v>35.265134020114317</v>
      </c>
      <c r="AF1480" s="467">
        <v>0.95670966601009277</v>
      </c>
      <c r="AG1480" s="468">
        <v>2.0356891634188903E-4</v>
      </c>
      <c r="AH1480" s="218">
        <v>34.294204602590604</v>
      </c>
      <c r="AI1480" s="470">
        <v>0.9303692710401299</v>
      </c>
      <c r="AJ1480" s="471">
        <v>1.9890358425296451E-4</v>
      </c>
      <c r="AK1480" s="218">
        <v>34.294204602590604</v>
      </c>
      <c r="AL1480" s="470">
        <v>0.9303692710401299</v>
      </c>
      <c r="AM1480" s="471">
        <v>1.9890358425296451E-4</v>
      </c>
      <c r="AN1480" s="477">
        <v>34.294204602590604</v>
      </c>
      <c r="AO1480" s="473">
        <v>0.9303692710401299</v>
      </c>
      <c r="AP1480" s="474">
        <v>1.9873946026263868E-4</v>
      </c>
      <c r="AQ1480" s="352"/>
      <c r="AR1480" s="352"/>
      <c r="AS1480" s="352"/>
      <c r="AT1480" s="352"/>
      <c r="AU1480" s="352"/>
      <c r="AV1480" s="352"/>
      <c r="AW1480" s="352" t="s">
        <v>254</v>
      </c>
    </row>
    <row r="1481" spans="2:49" x14ac:dyDescent="0.2">
      <c r="B1481" s="460" t="s">
        <v>2805</v>
      </c>
      <c r="C1481" s="460">
        <v>2131</v>
      </c>
      <c r="D1481" s="460" t="s">
        <v>2360</v>
      </c>
      <c r="E1481" s="460" t="s">
        <v>1138</v>
      </c>
      <c r="F1481" s="460">
        <v>3</v>
      </c>
      <c r="G1481" s="460">
        <v>4</v>
      </c>
      <c r="H1481" s="461" t="s">
        <v>712</v>
      </c>
      <c r="I1481" s="461" t="s">
        <v>713</v>
      </c>
      <c r="J1481" s="461" t="s">
        <v>712</v>
      </c>
      <c r="K1481" s="594"/>
      <c r="L1481" s="594"/>
      <c r="M1481" s="352">
        <v>2000</v>
      </c>
      <c r="N1481" s="352" t="s">
        <v>703</v>
      </c>
      <c r="O1481" s="460">
        <v>2131</v>
      </c>
      <c r="P1481" s="460" t="s">
        <v>1879</v>
      </c>
      <c r="Q1481" s="460" t="s">
        <v>2280</v>
      </c>
      <c r="R1481" s="460">
        <v>2131</v>
      </c>
      <c r="S1481" s="460" t="s">
        <v>1138</v>
      </c>
      <c r="T1481" s="462">
        <v>1</v>
      </c>
      <c r="U1481" s="460" t="s">
        <v>1138</v>
      </c>
      <c r="V1481" s="475">
        <v>0</v>
      </c>
      <c r="W1481" s="463" t="s">
        <v>713</v>
      </c>
      <c r="X1481" s="463" t="s">
        <v>713</v>
      </c>
      <c r="Y1481" s="463" t="s">
        <v>713</v>
      </c>
      <c r="Z1481" s="463"/>
      <c r="AA1481" s="463"/>
      <c r="AB1481" s="464">
        <v>12.097656822611089</v>
      </c>
      <c r="AC1481" s="465">
        <v>0.83747922321543722</v>
      </c>
      <c r="AD1481" s="465">
        <v>1.5097327312741293E-4</v>
      </c>
      <c r="AE1481" s="476">
        <v>12.807311047869616</v>
      </c>
      <c r="AF1481" s="467">
        <v>0.88660614738229337</v>
      </c>
      <c r="AG1481" s="468">
        <v>1.5948267891198838E-4</v>
      </c>
      <c r="AH1481" s="218">
        <v>12.097656822611091</v>
      </c>
      <c r="AI1481" s="470">
        <v>0.83747922321543733</v>
      </c>
      <c r="AJ1481" s="471">
        <v>1.5241210705993957E-4</v>
      </c>
      <c r="AK1481" s="218">
        <v>12.097656822611091</v>
      </c>
      <c r="AL1481" s="470">
        <v>0.83747922321543733</v>
      </c>
      <c r="AM1481" s="471">
        <v>1.5241210705993957E-4</v>
      </c>
      <c r="AN1481" s="477">
        <v>12.097656822611091</v>
      </c>
      <c r="AO1481" s="473">
        <v>0.83747922321543733</v>
      </c>
      <c r="AP1481" s="474">
        <v>1.5240062066075732E-4</v>
      </c>
      <c r="AQ1481" s="352"/>
      <c r="AR1481" s="352"/>
      <c r="AS1481" s="352"/>
      <c r="AT1481" s="352"/>
      <c r="AU1481" s="352"/>
      <c r="AV1481" s="352"/>
      <c r="AW1481" s="352" t="s">
        <v>254</v>
      </c>
    </row>
    <row r="1482" spans="2:49" x14ac:dyDescent="0.2">
      <c r="B1482" s="460" t="s">
        <v>2806</v>
      </c>
      <c r="C1482" s="460">
        <v>2131</v>
      </c>
      <c r="D1482" s="460" t="s">
        <v>2361</v>
      </c>
      <c r="E1482" s="460" t="s">
        <v>1139</v>
      </c>
      <c r="F1482" s="460">
        <v>4</v>
      </c>
      <c r="G1482" s="460">
        <v>4</v>
      </c>
      <c r="H1482" s="461" t="s">
        <v>712</v>
      </c>
      <c r="I1482" s="461" t="s">
        <v>713</v>
      </c>
      <c r="J1482" s="461" t="s">
        <v>712</v>
      </c>
      <c r="K1482" s="594"/>
      <c r="L1482" s="594"/>
      <c r="M1482" s="352">
        <v>2000</v>
      </c>
      <c r="N1482" s="352" t="s">
        <v>703</v>
      </c>
      <c r="O1482" s="460">
        <v>2131</v>
      </c>
      <c r="P1482" s="460" t="s">
        <v>1879</v>
      </c>
      <c r="Q1482" s="460" t="s">
        <v>2280</v>
      </c>
      <c r="R1482" s="460">
        <v>2131</v>
      </c>
      <c r="S1482" s="460" t="s">
        <v>1139</v>
      </c>
      <c r="T1482" s="462">
        <v>1</v>
      </c>
      <c r="U1482" s="460" t="s">
        <v>1139</v>
      </c>
      <c r="V1482" s="475">
        <v>0</v>
      </c>
      <c r="W1482" s="463" t="s">
        <v>713</v>
      </c>
      <c r="X1482" s="463" t="s">
        <v>713</v>
      </c>
      <c r="Y1482" s="463" t="s">
        <v>713</v>
      </c>
      <c r="Z1482" s="463"/>
      <c r="AA1482" s="463"/>
      <c r="AB1482" s="464">
        <v>13.57071275212626</v>
      </c>
      <c r="AC1482" s="465">
        <v>0.60595302712788535</v>
      </c>
      <c r="AD1482" s="465">
        <v>1.5025812522004536E-4</v>
      </c>
      <c r="AE1482" s="476">
        <v>13.570712752126264</v>
      </c>
      <c r="AF1482" s="467">
        <v>0.60595302712788546</v>
      </c>
      <c r="AG1482" s="468">
        <v>1.5025812522004542E-4</v>
      </c>
      <c r="AH1482" s="218">
        <v>13.570712752126264</v>
      </c>
      <c r="AI1482" s="470">
        <v>0.60595302712788546</v>
      </c>
      <c r="AJ1482" s="471">
        <v>1.5348985552648197E-4</v>
      </c>
      <c r="AK1482" s="218">
        <v>13.570712752126264</v>
      </c>
      <c r="AL1482" s="470">
        <v>0.60595302712788546</v>
      </c>
      <c r="AM1482" s="471">
        <v>1.5348985552648197E-4</v>
      </c>
      <c r="AN1482" s="477">
        <v>13.570712752126264</v>
      </c>
      <c r="AO1482" s="473">
        <v>0.60595302712788546</v>
      </c>
      <c r="AP1482" s="474">
        <v>1.5348985552648197E-4</v>
      </c>
      <c r="AQ1482" s="352"/>
      <c r="AR1482" s="352"/>
      <c r="AS1482" s="352"/>
      <c r="AT1482" s="352"/>
      <c r="AU1482" s="352"/>
      <c r="AV1482" s="352"/>
      <c r="AW1482" s="352" t="s">
        <v>254</v>
      </c>
    </row>
    <row r="1483" spans="2:49" x14ac:dyDescent="0.2">
      <c r="B1483" s="460" t="s">
        <v>2803</v>
      </c>
      <c r="C1483" s="460">
        <v>2131</v>
      </c>
      <c r="D1483" s="460" t="s">
        <v>2362</v>
      </c>
      <c r="E1483" s="460" t="s">
        <v>1136</v>
      </c>
      <c r="F1483" s="460">
        <v>1</v>
      </c>
      <c r="G1483" s="460">
        <v>4</v>
      </c>
      <c r="H1483" s="461" t="s">
        <v>746</v>
      </c>
      <c r="I1483" s="461" t="s">
        <v>762</v>
      </c>
      <c r="J1483" s="461" t="s">
        <v>700</v>
      </c>
      <c r="K1483" s="594"/>
      <c r="L1483" s="594"/>
      <c r="M1483" s="352">
        <v>2000</v>
      </c>
      <c r="N1483" s="352" t="s">
        <v>703</v>
      </c>
      <c r="O1483" s="460">
        <v>2131</v>
      </c>
      <c r="P1483" s="460" t="s">
        <v>1879</v>
      </c>
      <c r="Q1483" s="460" t="s">
        <v>2444</v>
      </c>
      <c r="R1483" s="460">
        <v>2131</v>
      </c>
      <c r="S1483" s="460" t="s">
        <v>1136</v>
      </c>
      <c r="T1483" s="462">
        <v>1</v>
      </c>
      <c r="U1483" s="460" t="s">
        <v>1136</v>
      </c>
      <c r="V1483" s="475">
        <v>0</v>
      </c>
      <c r="W1483" s="463" t="s">
        <v>2268</v>
      </c>
      <c r="X1483" s="463" t="s">
        <v>2268</v>
      </c>
      <c r="Y1483" s="463" t="s">
        <v>2290</v>
      </c>
      <c r="Z1483" s="463"/>
      <c r="AA1483" s="463"/>
      <c r="AB1483" s="464">
        <v>0</v>
      </c>
      <c r="AC1483" s="465">
        <v>0</v>
      </c>
      <c r="AD1483" s="465">
        <v>0</v>
      </c>
      <c r="AE1483" s="476">
        <v>0</v>
      </c>
      <c r="AF1483" s="467">
        <v>0</v>
      </c>
      <c r="AG1483" s="468">
        <v>0</v>
      </c>
      <c r="AH1483" s="218">
        <v>0</v>
      </c>
      <c r="AI1483" s="470">
        <v>0</v>
      </c>
      <c r="AJ1483" s="471">
        <v>0</v>
      </c>
      <c r="AK1483" s="218">
        <v>0</v>
      </c>
      <c r="AL1483" s="470">
        <v>0</v>
      </c>
      <c r="AM1483" s="471">
        <v>0</v>
      </c>
      <c r="AN1483" s="477">
        <v>0</v>
      </c>
      <c r="AO1483" s="473">
        <v>0</v>
      </c>
      <c r="AP1483" s="474">
        <v>0</v>
      </c>
      <c r="AQ1483" s="352"/>
      <c r="AR1483" s="352"/>
      <c r="AS1483" s="352"/>
      <c r="AT1483" s="352"/>
      <c r="AU1483" s="352"/>
      <c r="AV1483" s="352"/>
      <c r="AW1483" s="352" t="s">
        <v>254</v>
      </c>
    </row>
    <row r="1484" spans="2:49" x14ac:dyDescent="0.2">
      <c r="B1484" s="460" t="s">
        <v>2804</v>
      </c>
      <c r="C1484" s="460">
        <v>2131</v>
      </c>
      <c r="D1484" s="460" t="s">
        <v>2363</v>
      </c>
      <c r="E1484" s="460" t="s">
        <v>1137</v>
      </c>
      <c r="F1484" s="460">
        <v>2</v>
      </c>
      <c r="G1484" s="460">
        <v>4</v>
      </c>
      <c r="H1484" s="461" t="s">
        <v>746</v>
      </c>
      <c r="I1484" s="461" t="s">
        <v>762</v>
      </c>
      <c r="J1484" s="461" t="s">
        <v>700</v>
      </c>
      <c r="K1484" s="594"/>
      <c r="L1484" s="594"/>
      <c r="M1484" s="352">
        <v>2000</v>
      </c>
      <c r="N1484" s="352" t="s">
        <v>703</v>
      </c>
      <c r="O1484" s="460">
        <v>2131</v>
      </c>
      <c r="P1484" s="460" t="s">
        <v>1879</v>
      </c>
      <c r="Q1484" s="460" t="s">
        <v>2444</v>
      </c>
      <c r="R1484" s="460">
        <v>2131</v>
      </c>
      <c r="S1484" s="460" t="s">
        <v>1137</v>
      </c>
      <c r="T1484" s="462">
        <v>1</v>
      </c>
      <c r="U1484" s="460" t="s">
        <v>1137</v>
      </c>
      <c r="V1484" s="475">
        <v>0</v>
      </c>
      <c r="W1484" s="463" t="s">
        <v>2268</v>
      </c>
      <c r="X1484" s="463" t="s">
        <v>2268</v>
      </c>
      <c r="Y1484" s="463" t="s">
        <v>2290</v>
      </c>
      <c r="Z1484" s="463"/>
      <c r="AA1484" s="463"/>
      <c r="AB1484" s="464">
        <v>0</v>
      </c>
      <c r="AC1484" s="465">
        <v>0</v>
      </c>
      <c r="AD1484" s="465">
        <v>0</v>
      </c>
      <c r="AE1484" s="476">
        <v>0</v>
      </c>
      <c r="AF1484" s="467">
        <v>0</v>
      </c>
      <c r="AG1484" s="468">
        <v>0</v>
      </c>
      <c r="AH1484" s="218">
        <v>0</v>
      </c>
      <c r="AI1484" s="470">
        <v>0</v>
      </c>
      <c r="AJ1484" s="471">
        <v>0</v>
      </c>
      <c r="AK1484" s="218">
        <v>0</v>
      </c>
      <c r="AL1484" s="470">
        <v>0</v>
      </c>
      <c r="AM1484" s="471">
        <v>0</v>
      </c>
      <c r="AN1484" s="477">
        <v>0</v>
      </c>
      <c r="AO1484" s="473">
        <v>0</v>
      </c>
      <c r="AP1484" s="474">
        <v>0</v>
      </c>
      <c r="AQ1484" s="352"/>
      <c r="AR1484" s="352"/>
      <c r="AS1484" s="352"/>
      <c r="AT1484" s="352"/>
      <c r="AU1484" s="352"/>
      <c r="AV1484" s="352"/>
      <c r="AW1484" s="352" t="s">
        <v>254</v>
      </c>
    </row>
    <row r="1485" spans="2:49" x14ac:dyDescent="0.2">
      <c r="B1485" s="460" t="s">
        <v>2805</v>
      </c>
      <c r="C1485" s="460">
        <v>2131</v>
      </c>
      <c r="D1485" s="460" t="s">
        <v>2364</v>
      </c>
      <c r="E1485" s="460" t="s">
        <v>1138</v>
      </c>
      <c r="F1485" s="460">
        <v>3</v>
      </c>
      <c r="G1485" s="460">
        <v>4</v>
      </c>
      <c r="H1485" s="461" t="s">
        <v>746</v>
      </c>
      <c r="I1485" s="461" t="s">
        <v>762</v>
      </c>
      <c r="J1485" s="461" t="s">
        <v>700</v>
      </c>
      <c r="K1485" s="594"/>
      <c r="L1485" s="594"/>
      <c r="M1485" s="352">
        <v>2000</v>
      </c>
      <c r="N1485" s="352" t="s">
        <v>703</v>
      </c>
      <c r="O1485" s="460">
        <v>2131</v>
      </c>
      <c r="P1485" s="460" t="s">
        <v>1879</v>
      </c>
      <c r="Q1485" s="460" t="s">
        <v>2444</v>
      </c>
      <c r="R1485" s="460">
        <v>2131</v>
      </c>
      <c r="S1485" s="460" t="s">
        <v>1138</v>
      </c>
      <c r="T1485" s="462">
        <v>1</v>
      </c>
      <c r="U1485" s="460" t="s">
        <v>1138</v>
      </c>
      <c r="V1485" s="475">
        <v>0</v>
      </c>
      <c r="W1485" s="463" t="s">
        <v>2268</v>
      </c>
      <c r="X1485" s="463" t="s">
        <v>2268</v>
      </c>
      <c r="Y1485" s="463" t="s">
        <v>2290</v>
      </c>
      <c r="Z1485" s="463"/>
      <c r="AA1485" s="463"/>
      <c r="AB1485" s="464">
        <v>0</v>
      </c>
      <c r="AC1485" s="465">
        <v>0</v>
      </c>
      <c r="AD1485" s="465">
        <v>0</v>
      </c>
      <c r="AE1485" s="476">
        <v>0</v>
      </c>
      <c r="AF1485" s="467">
        <v>0</v>
      </c>
      <c r="AG1485" s="468">
        <v>0</v>
      </c>
      <c r="AH1485" s="218">
        <v>0</v>
      </c>
      <c r="AI1485" s="470">
        <v>0</v>
      </c>
      <c r="AJ1485" s="471">
        <v>0</v>
      </c>
      <c r="AK1485" s="218">
        <v>0</v>
      </c>
      <c r="AL1485" s="470">
        <v>0</v>
      </c>
      <c r="AM1485" s="471">
        <v>0</v>
      </c>
      <c r="AN1485" s="477">
        <v>0</v>
      </c>
      <c r="AO1485" s="473">
        <v>0</v>
      </c>
      <c r="AP1485" s="474">
        <v>0</v>
      </c>
      <c r="AQ1485" s="352"/>
      <c r="AR1485" s="352"/>
      <c r="AS1485" s="352"/>
      <c r="AT1485" s="352"/>
      <c r="AU1485" s="352"/>
      <c r="AV1485" s="352"/>
      <c r="AW1485" s="352" t="s">
        <v>254</v>
      </c>
    </row>
    <row r="1486" spans="2:49" x14ac:dyDescent="0.2">
      <c r="B1486" s="460" t="s">
        <v>2806</v>
      </c>
      <c r="C1486" s="460">
        <v>2131</v>
      </c>
      <c r="D1486" s="460" t="s">
        <v>2365</v>
      </c>
      <c r="E1486" s="460" t="s">
        <v>1139</v>
      </c>
      <c r="F1486" s="460">
        <v>4</v>
      </c>
      <c r="G1486" s="460">
        <v>4</v>
      </c>
      <c r="H1486" s="461" t="s">
        <v>746</v>
      </c>
      <c r="I1486" s="461" t="s">
        <v>762</v>
      </c>
      <c r="J1486" s="461" t="s">
        <v>700</v>
      </c>
      <c r="K1486" s="594"/>
      <c r="L1486" s="594"/>
      <c r="M1486" s="352">
        <v>2000</v>
      </c>
      <c r="N1486" s="352" t="s">
        <v>703</v>
      </c>
      <c r="O1486" s="460">
        <v>2131</v>
      </c>
      <c r="P1486" s="460" t="s">
        <v>1879</v>
      </c>
      <c r="Q1486" s="460" t="s">
        <v>2444</v>
      </c>
      <c r="R1486" s="460">
        <v>2131</v>
      </c>
      <c r="S1486" s="460" t="s">
        <v>1139</v>
      </c>
      <c r="T1486" s="462">
        <v>1</v>
      </c>
      <c r="U1486" s="460" t="s">
        <v>1139</v>
      </c>
      <c r="V1486" s="475">
        <v>0</v>
      </c>
      <c r="W1486" s="463" t="s">
        <v>2268</v>
      </c>
      <c r="X1486" s="463" t="s">
        <v>2268</v>
      </c>
      <c r="Y1486" s="463" t="s">
        <v>2290</v>
      </c>
      <c r="Z1486" s="463"/>
      <c r="AA1486" s="463"/>
      <c r="AB1486" s="464">
        <v>0</v>
      </c>
      <c r="AC1486" s="465">
        <v>0</v>
      </c>
      <c r="AD1486" s="465">
        <v>0</v>
      </c>
      <c r="AE1486" s="476">
        <v>0</v>
      </c>
      <c r="AF1486" s="467">
        <v>0</v>
      </c>
      <c r="AG1486" s="468">
        <v>0</v>
      </c>
      <c r="AH1486" s="218">
        <v>0</v>
      </c>
      <c r="AI1486" s="470">
        <v>0</v>
      </c>
      <c r="AJ1486" s="471">
        <v>0</v>
      </c>
      <c r="AK1486" s="218">
        <v>0</v>
      </c>
      <c r="AL1486" s="470">
        <v>0</v>
      </c>
      <c r="AM1486" s="471">
        <v>0</v>
      </c>
      <c r="AN1486" s="477">
        <v>0</v>
      </c>
      <c r="AO1486" s="473">
        <v>0</v>
      </c>
      <c r="AP1486" s="474">
        <v>0</v>
      </c>
      <c r="AQ1486" s="352"/>
      <c r="AR1486" s="352"/>
      <c r="AS1486" s="352"/>
      <c r="AT1486" s="352"/>
      <c r="AU1486" s="352"/>
      <c r="AV1486" s="352"/>
      <c r="AW1486" s="352" t="s">
        <v>254</v>
      </c>
    </row>
    <row r="1487" spans="2:49" x14ac:dyDescent="0.2">
      <c r="B1487" s="460" t="s">
        <v>2803</v>
      </c>
      <c r="C1487" s="460">
        <v>2131</v>
      </c>
      <c r="D1487" s="460" t="s">
        <v>2366</v>
      </c>
      <c r="E1487" s="460" t="s">
        <v>1136</v>
      </c>
      <c r="F1487" s="460">
        <v>1</v>
      </c>
      <c r="G1487" s="460">
        <v>4</v>
      </c>
      <c r="H1487" s="461" t="s">
        <v>748</v>
      </c>
      <c r="I1487" s="461" t="s">
        <v>765</v>
      </c>
      <c r="J1487" s="461" t="s">
        <v>700</v>
      </c>
      <c r="K1487" s="594"/>
      <c r="L1487" s="594"/>
      <c r="M1487" s="352">
        <v>2000</v>
      </c>
      <c r="N1487" s="352" t="s">
        <v>703</v>
      </c>
      <c r="O1487" s="460">
        <v>2131</v>
      </c>
      <c r="P1487" s="460" t="s">
        <v>1879</v>
      </c>
      <c r="Q1487" s="460" t="s">
        <v>2440</v>
      </c>
      <c r="R1487" s="460">
        <v>2131</v>
      </c>
      <c r="S1487" s="460" t="s">
        <v>1136</v>
      </c>
      <c r="T1487" s="462">
        <v>1</v>
      </c>
      <c r="U1487" s="460" t="s">
        <v>1136</v>
      </c>
      <c r="V1487" s="475">
        <v>0</v>
      </c>
      <c r="W1487" s="463" t="s">
        <v>2268</v>
      </c>
      <c r="X1487" s="463" t="s">
        <v>2268</v>
      </c>
      <c r="Y1487" s="463" t="s">
        <v>2267</v>
      </c>
      <c r="Z1487" s="463"/>
      <c r="AA1487" s="463"/>
      <c r="AB1487" s="464">
        <v>0</v>
      </c>
      <c r="AC1487" s="465">
        <v>0</v>
      </c>
      <c r="AD1487" s="465">
        <v>0</v>
      </c>
      <c r="AE1487" s="476">
        <v>0</v>
      </c>
      <c r="AF1487" s="467">
        <v>0</v>
      </c>
      <c r="AG1487" s="468">
        <v>0</v>
      </c>
      <c r="AH1487" s="218">
        <v>0</v>
      </c>
      <c r="AI1487" s="470">
        <v>0</v>
      </c>
      <c r="AJ1487" s="471">
        <v>0</v>
      </c>
      <c r="AK1487" s="218">
        <v>0</v>
      </c>
      <c r="AL1487" s="470">
        <v>0</v>
      </c>
      <c r="AM1487" s="471">
        <v>0</v>
      </c>
      <c r="AN1487" s="477">
        <v>1.0735188465010057</v>
      </c>
      <c r="AO1487" s="473">
        <v>3.8441680089396489E-2</v>
      </c>
      <c r="AP1487" s="474">
        <v>1.3189764107187267E-3</v>
      </c>
      <c r="AQ1487" s="352"/>
      <c r="AR1487" s="352"/>
      <c r="AS1487" s="352"/>
      <c r="AT1487" s="352"/>
      <c r="AU1487" s="352"/>
      <c r="AV1487" s="352"/>
      <c r="AW1487" s="352" t="s">
        <v>254</v>
      </c>
    </row>
    <row r="1488" spans="2:49" x14ac:dyDescent="0.2">
      <c r="B1488" s="460" t="s">
        <v>2804</v>
      </c>
      <c r="C1488" s="460">
        <v>2131</v>
      </c>
      <c r="D1488" s="460" t="s">
        <v>2367</v>
      </c>
      <c r="E1488" s="460" t="s">
        <v>1137</v>
      </c>
      <c r="F1488" s="460">
        <v>2</v>
      </c>
      <c r="G1488" s="460">
        <v>4</v>
      </c>
      <c r="H1488" s="461" t="s">
        <v>748</v>
      </c>
      <c r="I1488" s="461" t="s">
        <v>765</v>
      </c>
      <c r="J1488" s="461" t="s">
        <v>700</v>
      </c>
      <c r="K1488" s="594"/>
      <c r="L1488" s="594"/>
      <c r="M1488" s="352">
        <v>2000</v>
      </c>
      <c r="N1488" s="352" t="s">
        <v>703</v>
      </c>
      <c r="O1488" s="460">
        <v>2131</v>
      </c>
      <c r="P1488" s="460" t="s">
        <v>1879</v>
      </c>
      <c r="Q1488" s="460" t="s">
        <v>2440</v>
      </c>
      <c r="R1488" s="460">
        <v>2131</v>
      </c>
      <c r="S1488" s="460" t="s">
        <v>1137</v>
      </c>
      <c r="T1488" s="462">
        <v>1</v>
      </c>
      <c r="U1488" s="460" t="s">
        <v>1137</v>
      </c>
      <c r="V1488" s="475">
        <v>0</v>
      </c>
      <c r="W1488" s="463" t="s">
        <v>2268</v>
      </c>
      <c r="X1488" s="463" t="s">
        <v>2268</v>
      </c>
      <c r="Y1488" s="463" t="s">
        <v>2267</v>
      </c>
      <c r="Z1488" s="463"/>
      <c r="AA1488" s="463"/>
      <c r="AB1488" s="464">
        <v>0</v>
      </c>
      <c r="AC1488" s="465">
        <v>0</v>
      </c>
      <c r="AD1488" s="465">
        <v>0</v>
      </c>
      <c r="AE1488" s="476">
        <v>0</v>
      </c>
      <c r="AF1488" s="467">
        <v>0</v>
      </c>
      <c r="AG1488" s="468">
        <v>0</v>
      </c>
      <c r="AH1488" s="218">
        <v>0</v>
      </c>
      <c r="AI1488" s="470">
        <v>0</v>
      </c>
      <c r="AJ1488" s="471">
        <v>0</v>
      </c>
      <c r="AK1488" s="218">
        <v>0</v>
      </c>
      <c r="AL1488" s="470">
        <v>0</v>
      </c>
      <c r="AM1488" s="471">
        <v>0</v>
      </c>
      <c r="AN1488" s="477">
        <v>2.4273235438092837</v>
      </c>
      <c r="AO1488" s="473">
        <v>6.5850987424907192E-2</v>
      </c>
      <c r="AP1488" s="474">
        <v>2.3380249467339011E-3</v>
      </c>
      <c r="AQ1488" s="352"/>
      <c r="AR1488" s="352"/>
      <c r="AS1488" s="352"/>
      <c r="AT1488" s="352"/>
      <c r="AU1488" s="352"/>
      <c r="AV1488" s="352"/>
      <c r="AW1488" s="352" t="s">
        <v>254</v>
      </c>
    </row>
    <row r="1489" spans="2:49" x14ac:dyDescent="0.2">
      <c r="B1489" s="460" t="s">
        <v>2805</v>
      </c>
      <c r="C1489" s="460">
        <v>2131</v>
      </c>
      <c r="D1489" s="460" t="s">
        <v>2368</v>
      </c>
      <c r="E1489" s="460" t="s">
        <v>1138</v>
      </c>
      <c r="F1489" s="460">
        <v>3</v>
      </c>
      <c r="G1489" s="460">
        <v>4</v>
      </c>
      <c r="H1489" s="461" t="s">
        <v>748</v>
      </c>
      <c r="I1489" s="461" t="s">
        <v>765</v>
      </c>
      <c r="J1489" s="461" t="s">
        <v>700</v>
      </c>
      <c r="K1489" s="594"/>
      <c r="L1489" s="594"/>
      <c r="M1489" s="352">
        <v>2000</v>
      </c>
      <c r="N1489" s="352" t="s">
        <v>703</v>
      </c>
      <c r="O1489" s="460">
        <v>2131</v>
      </c>
      <c r="P1489" s="460" t="s">
        <v>1879</v>
      </c>
      <c r="Q1489" s="460" t="s">
        <v>2440</v>
      </c>
      <c r="R1489" s="460">
        <v>2131</v>
      </c>
      <c r="S1489" s="460" t="s">
        <v>1138</v>
      </c>
      <c r="T1489" s="462">
        <v>1</v>
      </c>
      <c r="U1489" s="460" t="s">
        <v>1138</v>
      </c>
      <c r="V1489" s="475">
        <v>0</v>
      </c>
      <c r="W1489" s="463" t="s">
        <v>2268</v>
      </c>
      <c r="X1489" s="463" t="s">
        <v>2268</v>
      </c>
      <c r="Y1489" s="463" t="s">
        <v>2267</v>
      </c>
      <c r="Z1489" s="463"/>
      <c r="AA1489" s="463"/>
      <c r="AB1489" s="464">
        <v>0</v>
      </c>
      <c r="AC1489" s="465">
        <v>0</v>
      </c>
      <c r="AD1489" s="465">
        <v>0</v>
      </c>
      <c r="AE1489" s="476">
        <v>0</v>
      </c>
      <c r="AF1489" s="467">
        <v>0</v>
      </c>
      <c r="AG1489" s="468">
        <v>0</v>
      </c>
      <c r="AH1489" s="218">
        <v>0</v>
      </c>
      <c r="AI1489" s="470">
        <v>0</v>
      </c>
      <c r="AJ1489" s="471">
        <v>0</v>
      </c>
      <c r="AK1489" s="218">
        <v>0</v>
      </c>
      <c r="AL1489" s="470">
        <v>0</v>
      </c>
      <c r="AM1489" s="471">
        <v>0</v>
      </c>
      <c r="AN1489" s="477">
        <v>1.7741355631463189</v>
      </c>
      <c r="AO1489" s="473">
        <v>0.12281731041714032</v>
      </c>
      <c r="AP1489" s="474">
        <v>1.8407552328992304E-3</v>
      </c>
      <c r="AQ1489" s="352"/>
      <c r="AR1489" s="352"/>
      <c r="AS1489" s="352"/>
      <c r="AT1489" s="352"/>
      <c r="AU1489" s="352"/>
      <c r="AV1489" s="352"/>
      <c r="AW1489" s="352" t="s">
        <v>254</v>
      </c>
    </row>
    <row r="1490" spans="2:49" x14ac:dyDescent="0.2">
      <c r="B1490" s="460" t="s">
        <v>2806</v>
      </c>
      <c r="C1490" s="460">
        <v>2131</v>
      </c>
      <c r="D1490" s="460" t="s">
        <v>2369</v>
      </c>
      <c r="E1490" s="460" t="s">
        <v>1139</v>
      </c>
      <c r="F1490" s="460">
        <v>4</v>
      </c>
      <c r="G1490" s="460">
        <v>4</v>
      </c>
      <c r="H1490" s="461" t="s">
        <v>748</v>
      </c>
      <c r="I1490" s="461" t="s">
        <v>765</v>
      </c>
      <c r="J1490" s="461" t="s">
        <v>700</v>
      </c>
      <c r="K1490" s="594"/>
      <c r="L1490" s="594"/>
      <c r="M1490" s="352">
        <v>2000</v>
      </c>
      <c r="N1490" s="352" t="s">
        <v>703</v>
      </c>
      <c r="O1490" s="460">
        <v>2131</v>
      </c>
      <c r="P1490" s="460" t="s">
        <v>1879</v>
      </c>
      <c r="Q1490" s="460" t="s">
        <v>2440</v>
      </c>
      <c r="R1490" s="460">
        <v>2131</v>
      </c>
      <c r="S1490" s="460" t="s">
        <v>1139</v>
      </c>
      <c r="T1490" s="462">
        <v>1</v>
      </c>
      <c r="U1490" s="460" t="s">
        <v>1139</v>
      </c>
      <c r="V1490" s="475">
        <v>0</v>
      </c>
      <c r="W1490" s="463" t="s">
        <v>2268</v>
      </c>
      <c r="X1490" s="463" t="s">
        <v>2268</v>
      </c>
      <c r="Y1490" s="463" t="s">
        <v>2267</v>
      </c>
      <c r="Z1490" s="463"/>
      <c r="AA1490" s="463"/>
      <c r="AB1490" s="464">
        <v>0</v>
      </c>
      <c r="AC1490" s="465">
        <v>0</v>
      </c>
      <c r="AD1490" s="465">
        <v>0</v>
      </c>
      <c r="AE1490" s="476">
        <v>0</v>
      </c>
      <c r="AF1490" s="467">
        <v>0</v>
      </c>
      <c r="AG1490" s="468">
        <v>0</v>
      </c>
      <c r="AH1490" s="218">
        <v>0</v>
      </c>
      <c r="AI1490" s="470">
        <v>0</v>
      </c>
      <c r="AJ1490" s="471">
        <v>0</v>
      </c>
      <c r="AK1490" s="218">
        <v>0</v>
      </c>
      <c r="AL1490" s="470">
        <v>0</v>
      </c>
      <c r="AM1490" s="471">
        <v>0</v>
      </c>
      <c r="AN1490" s="477">
        <v>0</v>
      </c>
      <c r="AO1490" s="473">
        <v>0</v>
      </c>
      <c r="AP1490" s="474">
        <v>0</v>
      </c>
      <c r="AQ1490" s="352"/>
      <c r="AR1490" s="352"/>
      <c r="AS1490" s="352"/>
      <c r="AT1490" s="352"/>
      <c r="AU1490" s="352"/>
      <c r="AV1490" s="352"/>
      <c r="AW1490" s="352" t="s">
        <v>254</v>
      </c>
    </row>
    <row r="1491" spans="2:49" x14ac:dyDescent="0.2">
      <c r="B1491" s="460" t="s">
        <v>2803</v>
      </c>
      <c r="C1491" s="460">
        <v>2131</v>
      </c>
      <c r="D1491" s="460" t="s">
        <v>2370</v>
      </c>
      <c r="E1491" s="460" t="s">
        <v>1136</v>
      </c>
      <c r="F1491" s="460">
        <v>1</v>
      </c>
      <c r="G1491" s="460">
        <v>4</v>
      </c>
      <c r="H1491" s="461" t="s">
        <v>752</v>
      </c>
      <c r="I1491" s="461" t="s">
        <v>964</v>
      </c>
      <c r="J1491" s="461" t="s">
        <v>752</v>
      </c>
      <c r="K1491" s="594"/>
      <c r="L1491" s="594"/>
      <c r="M1491" s="352">
        <v>2000</v>
      </c>
      <c r="N1491" s="352" t="s">
        <v>703</v>
      </c>
      <c r="O1491" s="460">
        <v>2131</v>
      </c>
      <c r="P1491" s="460" t="s">
        <v>1879</v>
      </c>
      <c r="Q1491" s="460" t="s">
        <v>2440</v>
      </c>
      <c r="R1491" s="460">
        <v>2131</v>
      </c>
      <c r="S1491" s="460" t="s">
        <v>1136</v>
      </c>
      <c r="T1491" s="462">
        <v>1</v>
      </c>
      <c r="U1491" s="460" t="s">
        <v>1136</v>
      </c>
      <c r="V1491" s="475">
        <v>0</v>
      </c>
      <c r="W1491" s="463" t="s">
        <v>2267</v>
      </c>
      <c r="X1491" s="463" t="s">
        <v>2267</v>
      </c>
      <c r="Y1491" s="463" t="s">
        <v>2267</v>
      </c>
      <c r="Z1491" s="463"/>
      <c r="AA1491" s="463"/>
      <c r="AB1491" s="464">
        <v>0.42670193227427805</v>
      </c>
      <c r="AC1491" s="465">
        <v>1.5279786868650709E-2</v>
      </c>
      <c r="AD1491" s="465">
        <v>1.381824467154298E-4</v>
      </c>
      <c r="AE1491" s="476">
        <v>0.42670193227427805</v>
      </c>
      <c r="AF1491" s="467">
        <v>1.5279786868650709E-2</v>
      </c>
      <c r="AG1491" s="468">
        <v>1.381824467154298E-4</v>
      </c>
      <c r="AH1491" s="218">
        <v>0.42670193227427805</v>
      </c>
      <c r="AI1491" s="470">
        <v>1.5279786868650709E-2</v>
      </c>
      <c r="AJ1491" s="471">
        <v>1.1665805414634048E-4</v>
      </c>
      <c r="AK1491" s="218">
        <v>0.42670193227427805</v>
      </c>
      <c r="AL1491" s="470">
        <v>1.5279786868650709E-2</v>
      </c>
      <c r="AM1491" s="471">
        <v>1.1665805414634048E-4</v>
      </c>
      <c r="AN1491" s="477">
        <v>0.42670193227427805</v>
      </c>
      <c r="AO1491" s="473">
        <v>1.5279786868650709E-2</v>
      </c>
      <c r="AP1491" s="474">
        <v>1.1665805414634048E-4</v>
      </c>
      <c r="AQ1491" s="352"/>
      <c r="AR1491" s="352"/>
      <c r="AS1491" s="352"/>
      <c r="AT1491" s="352"/>
      <c r="AU1491" s="352"/>
      <c r="AV1491" s="352"/>
      <c r="AW1491" s="352" t="s">
        <v>254</v>
      </c>
    </row>
    <row r="1492" spans="2:49" x14ac:dyDescent="0.2">
      <c r="B1492" s="460" t="s">
        <v>2804</v>
      </c>
      <c r="C1492" s="460">
        <v>2131</v>
      </c>
      <c r="D1492" s="460" t="s">
        <v>2371</v>
      </c>
      <c r="E1492" s="460" t="s">
        <v>1137</v>
      </c>
      <c r="F1492" s="460">
        <v>2</v>
      </c>
      <c r="G1492" s="460">
        <v>4</v>
      </c>
      <c r="H1492" s="461" t="s">
        <v>752</v>
      </c>
      <c r="I1492" s="461" t="s">
        <v>964</v>
      </c>
      <c r="J1492" s="461" t="s">
        <v>752</v>
      </c>
      <c r="K1492" s="594"/>
      <c r="L1492" s="594"/>
      <c r="M1492" s="352">
        <v>2000</v>
      </c>
      <c r="N1492" s="352" t="s">
        <v>703</v>
      </c>
      <c r="O1492" s="460">
        <v>2131</v>
      </c>
      <c r="P1492" s="460" t="s">
        <v>1879</v>
      </c>
      <c r="Q1492" s="460" t="s">
        <v>2440</v>
      </c>
      <c r="R1492" s="460">
        <v>2131</v>
      </c>
      <c r="S1492" s="460" t="s">
        <v>1137</v>
      </c>
      <c r="T1492" s="462">
        <v>1</v>
      </c>
      <c r="U1492" s="460" t="s">
        <v>1137</v>
      </c>
      <c r="V1492" s="475">
        <v>0</v>
      </c>
      <c r="W1492" s="463" t="s">
        <v>2278</v>
      </c>
      <c r="X1492" s="463" t="s">
        <v>2267</v>
      </c>
      <c r="Y1492" s="463" t="s">
        <v>2267</v>
      </c>
      <c r="Z1492" s="463"/>
      <c r="AA1492" s="463"/>
      <c r="AB1492" s="464">
        <v>0.13932449574566605</v>
      </c>
      <c r="AC1492" s="465">
        <v>3.7797415349629421E-3</v>
      </c>
      <c r="AD1492" s="465">
        <v>1.3632754267834629E-5</v>
      </c>
      <c r="AE1492" s="476">
        <v>0.13932449574566605</v>
      </c>
      <c r="AF1492" s="467">
        <v>3.7797415349629421E-3</v>
      </c>
      <c r="AG1492" s="468">
        <v>1.3632754267834629E-5</v>
      </c>
      <c r="AH1492" s="218">
        <v>0.13932449574566605</v>
      </c>
      <c r="AI1492" s="470">
        <v>3.7797415349629421E-3</v>
      </c>
      <c r="AJ1492" s="471">
        <v>1.351553794435607E-5</v>
      </c>
      <c r="AK1492" s="218">
        <v>0.13932449574566605</v>
      </c>
      <c r="AL1492" s="470">
        <v>3.7797415349629421E-3</v>
      </c>
      <c r="AM1492" s="471">
        <v>1.351553794435607E-5</v>
      </c>
      <c r="AN1492" s="477">
        <v>0.13932449574566605</v>
      </c>
      <c r="AO1492" s="473">
        <v>3.7797415349629421E-3</v>
      </c>
      <c r="AP1492" s="474">
        <v>1.351553794435607E-5</v>
      </c>
      <c r="AQ1492" s="352"/>
      <c r="AR1492" s="352"/>
      <c r="AS1492" s="352"/>
      <c r="AT1492" s="352"/>
      <c r="AU1492" s="352"/>
      <c r="AV1492" s="352"/>
      <c r="AW1492" s="352" t="s">
        <v>254</v>
      </c>
    </row>
    <row r="1493" spans="2:49" x14ac:dyDescent="0.2">
      <c r="B1493" s="460" t="s">
        <v>2805</v>
      </c>
      <c r="C1493" s="460">
        <v>2131</v>
      </c>
      <c r="D1493" s="460" t="s">
        <v>2372</v>
      </c>
      <c r="E1493" s="460" t="s">
        <v>1138</v>
      </c>
      <c r="F1493" s="460">
        <v>3</v>
      </c>
      <c r="G1493" s="460">
        <v>4</v>
      </c>
      <c r="H1493" s="461" t="s">
        <v>752</v>
      </c>
      <c r="I1493" s="461" t="s">
        <v>964</v>
      </c>
      <c r="J1493" s="461" t="s">
        <v>752</v>
      </c>
      <c r="K1493" s="594"/>
      <c r="L1493" s="594"/>
      <c r="M1493" s="352">
        <v>2000</v>
      </c>
      <c r="N1493" s="352" t="s">
        <v>703</v>
      </c>
      <c r="O1493" s="460">
        <v>2131</v>
      </c>
      <c r="P1493" s="460" t="s">
        <v>1879</v>
      </c>
      <c r="Q1493" s="460" t="s">
        <v>2440</v>
      </c>
      <c r="R1493" s="460">
        <v>2131</v>
      </c>
      <c r="S1493" s="460" t="s">
        <v>1138</v>
      </c>
      <c r="T1493" s="462">
        <v>1</v>
      </c>
      <c r="U1493" s="460" t="s">
        <v>1138</v>
      </c>
      <c r="V1493" s="475">
        <v>0</v>
      </c>
      <c r="W1493" s="463" t="s">
        <v>2278</v>
      </c>
      <c r="X1493" s="463" t="s">
        <v>2503</v>
      </c>
      <c r="Y1493" s="463" t="s">
        <v>2503</v>
      </c>
      <c r="Z1493" s="463"/>
      <c r="AA1493" s="463"/>
      <c r="AB1493" s="464">
        <v>0.57352934552454926</v>
      </c>
      <c r="AC1493" s="465">
        <v>3.9703466367422412E-2</v>
      </c>
      <c r="AD1493" s="465">
        <v>9.9061964285349451E-5</v>
      </c>
      <c r="AE1493" s="476">
        <v>0.57352934552454926</v>
      </c>
      <c r="AF1493" s="467">
        <v>3.9703466367422412E-2</v>
      </c>
      <c r="AG1493" s="468">
        <v>9.9061964285349451E-5</v>
      </c>
      <c r="AH1493" s="218">
        <v>0.57352934552454926</v>
      </c>
      <c r="AI1493" s="470">
        <v>3.9703466367422412E-2</v>
      </c>
      <c r="AJ1493" s="471">
        <v>9.5150326837666003E-5</v>
      </c>
      <c r="AK1493" s="218">
        <v>0.57352934552454926</v>
      </c>
      <c r="AL1493" s="470">
        <v>3.9703466367422412E-2</v>
      </c>
      <c r="AM1493" s="471">
        <v>9.5150326837666003E-5</v>
      </c>
      <c r="AN1493" s="477">
        <v>0.57352934552454926</v>
      </c>
      <c r="AO1493" s="473">
        <v>3.9703466367422412E-2</v>
      </c>
      <c r="AP1493" s="474">
        <v>9.5150326837666003E-5</v>
      </c>
      <c r="AQ1493" s="352"/>
      <c r="AR1493" s="352"/>
      <c r="AS1493" s="352"/>
      <c r="AT1493" s="352"/>
      <c r="AU1493" s="352"/>
      <c r="AV1493" s="352"/>
      <c r="AW1493" s="352" t="s">
        <v>254</v>
      </c>
    </row>
    <row r="1494" spans="2:49" x14ac:dyDescent="0.2">
      <c r="B1494" s="460" t="s">
        <v>2806</v>
      </c>
      <c r="C1494" s="460">
        <v>2131</v>
      </c>
      <c r="D1494" s="460" t="s">
        <v>2373</v>
      </c>
      <c r="E1494" s="460" t="s">
        <v>1139</v>
      </c>
      <c r="F1494" s="460">
        <v>4</v>
      </c>
      <c r="G1494" s="460">
        <v>4</v>
      </c>
      <c r="H1494" s="461" t="s">
        <v>752</v>
      </c>
      <c r="I1494" s="461" t="s">
        <v>964</v>
      </c>
      <c r="J1494" s="461" t="s">
        <v>752</v>
      </c>
      <c r="K1494" s="594"/>
      <c r="L1494" s="594"/>
      <c r="M1494" s="352">
        <v>2000</v>
      </c>
      <c r="N1494" s="352" t="s">
        <v>703</v>
      </c>
      <c r="O1494" s="460">
        <v>2131</v>
      </c>
      <c r="P1494" s="460" t="s">
        <v>1879</v>
      </c>
      <c r="Q1494" s="460" t="s">
        <v>2440</v>
      </c>
      <c r="R1494" s="460">
        <v>2131</v>
      </c>
      <c r="S1494" s="460" t="s">
        <v>1139</v>
      </c>
      <c r="T1494" s="462">
        <v>1</v>
      </c>
      <c r="U1494" s="460" t="s">
        <v>1139</v>
      </c>
      <c r="V1494" s="475">
        <v>0</v>
      </c>
      <c r="W1494" s="463" t="s">
        <v>2278</v>
      </c>
      <c r="X1494" s="463" t="s">
        <v>2503</v>
      </c>
      <c r="Y1494" s="463" t="s">
        <v>2503</v>
      </c>
      <c r="Z1494" s="463"/>
      <c r="AA1494" s="463"/>
      <c r="AB1494" s="464">
        <v>8.8249386343337406</v>
      </c>
      <c r="AC1494" s="465">
        <v>0.3940469728721146</v>
      </c>
      <c r="AD1494" s="465">
        <v>3.5182623715257792E-4</v>
      </c>
      <c r="AE1494" s="476">
        <v>8.8249386343337406</v>
      </c>
      <c r="AF1494" s="467">
        <v>0.3940469728721146</v>
      </c>
      <c r="AG1494" s="468">
        <v>3.5182623715257792E-4</v>
      </c>
      <c r="AH1494" s="218">
        <v>8.8249386343337406</v>
      </c>
      <c r="AI1494" s="470">
        <v>0.3940469728721146</v>
      </c>
      <c r="AJ1494" s="471">
        <v>3.2703326538013417E-4</v>
      </c>
      <c r="AK1494" s="218">
        <v>8.8249386343337406</v>
      </c>
      <c r="AL1494" s="470">
        <v>0.3940469728721146</v>
      </c>
      <c r="AM1494" s="471">
        <v>3.2703326538013417E-4</v>
      </c>
      <c r="AN1494" s="477">
        <v>8.8249386343337406</v>
      </c>
      <c r="AO1494" s="473">
        <v>0.3940469728721146</v>
      </c>
      <c r="AP1494" s="474">
        <v>3.2703326538013417E-4</v>
      </c>
      <c r="AQ1494" s="352"/>
      <c r="AR1494" s="352"/>
      <c r="AS1494" s="352"/>
      <c r="AT1494" s="352"/>
      <c r="AU1494" s="352"/>
      <c r="AV1494" s="352"/>
      <c r="AW1494" s="352" t="s">
        <v>254</v>
      </c>
    </row>
    <row r="1495" spans="2:49" x14ac:dyDescent="0.2">
      <c r="B1495" s="460" t="s">
        <v>2807</v>
      </c>
      <c r="C1495" s="460">
        <v>2131</v>
      </c>
      <c r="D1495" s="460" t="s">
        <v>2375</v>
      </c>
      <c r="E1495" s="460" t="s">
        <v>2376</v>
      </c>
      <c r="F1495" s="460">
        <v>1</v>
      </c>
      <c r="G1495" s="460">
        <v>5</v>
      </c>
      <c r="H1495" s="461" t="s">
        <v>754</v>
      </c>
      <c r="I1495" s="461" t="s">
        <v>1991</v>
      </c>
      <c r="J1495" s="461" t="s">
        <v>754</v>
      </c>
      <c r="K1495" s="594"/>
      <c r="L1495" s="594"/>
      <c r="M1495" s="352">
        <v>2000</v>
      </c>
      <c r="N1495" s="352" t="s">
        <v>703</v>
      </c>
      <c r="O1495" s="460">
        <v>2131</v>
      </c>
      <c r="P1495" s="460" t="s">
        <v>1879</v>
      </c>
      <c r="Q1495" s="460" t="s">
        <v>2377</v>
      </c>
      <c r="R1495" s="460">
        <v>2131</v>
      </c>
      <c r="S1495" s="460" t="s">
        <v>2376</v>
      </c>
      <c r="T1495" s="462">
        <v>1</v>
      </c>
      <c r="U1495" s="460" t="s">
        <v>2376</v>
      </c>
      <c r="V1495" s="475">
        <v>0</v>
      </c>
      <c r="W1495" s="463" t="s">
        <v>2278</v>
      </c>
      <c r="X1495" s="463" t="s">
        <v>2278</v>
      </c>
      <c r="Y1495" s="463" t="s">
        <v>2278</v>
      </c>
      <c r="Z1495" s="463"/>
      <c r="AA1495" s="463"/>
      <c r="AB1495" s="464">
        <v>104.5148874199335</v>
      </c>
      <c r="AC1495" s="465">
        <v>1</v>
      </c>
      <c r="AD1495" s="465">
        <v>1.7570048279502405E-4</v>
      </c>
      <c r="AE1495" s="476">
        <v>104.5148874199335</v>
      </c>
      <c r="AF1495" s="467">
        <v>1</v>
      </c>
      <c r="AG1495" s="468">
        <v>1.7570048279502405E-4</v>
      </c>
      <c r="AH1495" s="218">
        <v>104.5148874199335</v>
      </c>
      <c r="AI1495" s="470">
        <v>1</v>
      </c>
      <c r="AJ1495" s="471">
        <v>1.7570048279502405E-4</v>
      </c>
      <c r="AK1495" s="218">
        <v>104.5148874199335</v>
      </c>
      <c r="AL1495" s="470">
        <v>1</v>
      </c>
      <c r="AM1495" s="471">
        <v>1.7570048279502405E-4</v>
      </c>
      <c r="AN1495" s="477">
        <v>104.5148874199335</v>
      </c>
      <c r="AO1495" s="473">
        <v>1</v>
      </c>
      <c r="AP1495" s="474">
        <v>1.7570048279502405E-4</v>
      </c>
      <c r="AQ1495" s="352"/>
      <c r="AR1495" s="352"/>
      <c r="AS1495" s="352"/>
      <c r="AT1495" s="352"/>
      <c r="AU1495" s="352"/>
      <c r="AV1495" s="352"/>
      <c r="AW1495" s="352" t="s">
        <v>127</v>
      </c>
    </row>
    <row r="1496" spans="2:49" x14ac:dyDescent="0.2">
      <c r="B1496" s="460" t="s">
        <v>2808</v>
      </c>
      <c r="C1496" s="460">
        <v>2131</v>
      </c>
      <c r="D1496" s="460" t="s">
        <v>2379</v>
      </c>
      <c r="E1496" s="460" t="s">
        <v>2380</v>
      </c>
      <c r="F1496" s="460">
        <v>2</v>
      </c>
      <c r="G1496" s="460">
        <v>5</v>
      </c>
      <c r="H1496" s="461" t="s">
        <v>754</v>
      </c>
      <c r="I1496" s="461" t="s">
        <v>1991</v>
      </c>
      <c r="J1496" s="461" t="s">
        <v>754</v>
      </c>
      <c r="K1496" s="594"/>
      <c r="L1496" s="594"/>
      <c r="M1496" s="352">
        <v>2000</v>
      </c>
      <c r="N1496" s="352" t="s">
        <v>703</v>
      </c>
      <c r="O1496" s="460">
        <v>2131</v>
      </c>
      <c r="P1496" s="460" t="s">
        <v>1879</v>
      </c>
      <c r="Q1496" s="460" t="s">
        <v>2377</v>
      </c>
      <c r="R1496" s="460">
        <v>2131</v>
      </c>
      <c r="S1496" s="460" t="s">
        <v>2380</v>
      </c>
      <c r="T1496" s="462">
        <v>1</v>
      </c>
      <c r="U1496" s="460" t="s">
        <v>2380</v>
      </c>
      <c r="V1496" s="475">
        <v>0</v>
      </c>
      <c r="W1496" s="463" t="s">
        <v>2278</v>
      </c>
      <c r="X1496" s="463" t="s">
        <v>2278</v>
      </c>
      <c r="Y1496" s="463" t="s">
        <v>2278</v>
      </c>
      <c r="Z1496" s="463"/>
      <c r="AA1496" s="463"/>
      <c r="AB1496" s="464">
        <v>83.780916156367681</v>
      </c>
      <c r="AC1496" s="465">
        <v>1</v>
      </c>
      <c r="AD1496" s="465">
        <v>1.6498169010012152E-4</v>
      </c>
      <c r="AE1496" s="476">
        <v>83.780916156367681</v>
      </c>
      <c r="AF1496" s="467">
        <v>1</v>
      </c>
      <c r="AG1496" s="468">
        <v>1.6498169010012152E-4</v>
      </c>
      <c r="AH1496" s="218">
        <v>83.780916156367681</v>
      </c>
      <c r="AI1496" s="470">
        <v>1</v>
      </c>
      <c r="AJ1496" s="471">
        <v>1.6498169010012152E-4</v>
      </c>
      <c r="AK1496" s="218">
        <v>83.780916156367681</v>
      </c>
      <c r="AL1496" s="470">
        <v>1</v>
      </c>
      <c r="AM1496" s="471">
        <v>1.6498169010012152E-4</v>
      </c>
      <c r="AN1496" s="477">
        <v>83.780916156367681</v>
      </c>
      <c r="AO1496" s="473">
        <v>1</v>
      </c>
      <c r="AP1496" s="474">
        <v>1.6498169010012152E-4</v>
      </c>
      <c r="AQ1496" s="352"/>
      <c r="AR1496" s="352"/>
      <c r="AS1496" s="352"/>
      <c r="AT1496" s="352"/>
      <c r="AU1496" s="352"/>
      <c r="AV1496" s="352"/>
      <c r="AW1496" s="352" t="s">
        <v>127</v>
      </c>
    </row>
    <row r="1497" spans="2:49" x14ac:dyDescent="0.2">
      <c r="B1497" s="460" t="s">
        <v>2809</v>
      </c>
      <c r="C1497" s="460">
        <v>2131</v>
      </c>
      <c r="D1497" s="460" t="s">
        <v>2382</v>
      </c>
      <c r="E1497" s="460" t="s">
        <v>2383</v>
      </c>
      <c r="F1497" s="460">
        <v>3</v>
      </c>
      <c r="G1497" s="460">
        <v>5</v>
      </c>
      <c r="H1497" s="461" t="s">
        <v>754</v>
      </c>
      <c r="I1497" s="461" t="s">
        <v>1991</v>
      </c>
      <c r="J1497" s="461" t="s">
        <v>754</v>
      </c>
      <c r="K1497" s="594"/>
      <c r="L1497" s="594"/>
      <c r="M1497" s="352">
        <v>2000</v>
      </c>
      <c r="N1497" s="352" t="s">
        <v>703</v>
      </c>
      <c r="O1497" s="460">
        <v>2131</v>
      </c>
      <c r="P1497" s="460" t="s">
        <v>1879</v>
      </c>
      <c r="Q1497" s="460" t="s">
        <v>2377</v>
      </c>
      <c r="R1497" s="460">
        <v>2131</v>
      </c>
      <c r="S1497" s="460" t="s">
        <v>2383</v>
      </c>
      <c r="T1497" s="462">
        <v>1</v>
      </c>
      <c r="U1497" s="460" t="s">
        <v>2383</v>
      </c>
      <c r="V1497" s="475">
        <v>0</v>
      </c>
      <c r="W1497" s="463" t="s">
        <v>2278</v>
      </c>
      <c r="X1497" s="463" t="s">
        <v>2278</v>
      </c>
      <c r="Y1497" s="463" t="s">
        <v>2278</v>
      </c>
      <c r="Z1497" s="463"/>
      <c r="AA1497" s="463"/>
      <c r="AB1497" s="464">
        <v>11.957683678216796</v>
      </c>
      <c r="AC1497" s="465">
        <v>1</v>
      </c>
      <c r="AD1497" s="465">
        <v>1.0628776220160148E-4</v>
      </c>
      <c r="AE1497" s="476">
        <v>11.957683678216796</v>
      </c>
      <c r="AF1497" s="467">
        <v>1</v>
      </c>
      <c r="AG1497" s="468">
        <v>1.0628776220160148E-4</v>
      </c>
      <c r="AH1497" s="218">
        <v>11.957683678216796</v>
      </c>
      <c r="AI1497" s="470">
        <v>1</v>
      </c>
      <c r="AJ1497" s="471">
        <v>1.0628776220160148E-4</v>
      </c>
      <c r="AK1497" s="218">
        <v>11.957683678216796</v>
      </c>
      <c r="AL1497" s="470">
        <v>1</v>
      </c>
      <c r="AM1497" s="471">
        <v>1.0628776220160148E-4</v>
      </c>
      <c r="AN1497" s="477">
        <v>11.957683678216796</v>
      </c>
      <c r="AO1497" s="473">
        <v>1</v>
      </c>
      <c r="AP1497" s="474">
        <v>1.0628776220160148E-4</v>
      </c>
      <c r="AQ1497" s="352"/>
      <c r="AR1497" s="352"/>
      <c r="AS1497" s="352"/>
      <c r="AT1497" s="352"/>
      <c r="AU1497" s="352"/>
      <c r="AV1497" s="352"/>
      <c r="AW1497" s="352" t="s">
        <v>127</v>
      </c>
    </row>
    <row r="1498" spans="2:49" x14ac:dyDescent="0.2">
      <c r="B1498" s="460" t="s">
        <v>2810</v>
      </c>
      <c r="C1498" s="460">
        <v>2131</v>
      </c>
      <c r="D1498" s="460" t="s">
        <v>2385</v>
      </c>
      <c r="E1498" s="460" t="s">
        <v>2386</v>
      </c>
      <c r="F1498" s="460">
        <v>4</v>
      </c>
      <c r="G1498" s="460">
        <v>5</v>
      </c>
      <c r="H1498" s="461" t="s">
        <v>754</v>
      </c>
      <c r="I1498" s="461" t="s">
        <v>1991</v>
      </c>
      <c r="J1498" s="461" t="s">
        <v>754</v>
      </c>
      <c r="K1498" s="594"/>
      <c r="L1498" s="594"/>
      <c r="M1498" s="352">
        <v>2000</v>
      </c>
      <c r="N1498" s="352" t="s">
        <v>703</v>
      </c>
      <c r="O1498" s="460">
        <v>2131</v>
      </c>
      <c r="P1498" s="460" t="s">
        <v>1879</v>
      </c>
      <c r="Q1498" s="460" t="s">
        <v>2377</v>
      </c>
      <c r="R1498" s="460">
        <v>2131</v>
      </c>
      <c r="S1498" s="460" t="s">
        <v>2386</v>
      </c>
      <c r="T1498" s="462">
        <v>1</v>
      </c>
      <c r="U1498" s="460" t="s">
        <v>2386</v>
      </c>
      <c r="V1498" s="475">
        <v>0</v>
      </c>
      <c r="W1498" s="463" t="s">
        <v>2278</v>
      </c>
      <c r="X1498" s="463" t="s">
        <v>2278</v>
      </c>
      <c r="Y1498" s="463" t="s">
        <v>2278</v>
      </c>
      <c r="Z1498" s="463"/>
      <c r="AA1498" s="463"/>
      <c r="AB1498" s="464">
        <v>9.1509755683257801</v>
      </c>
      <c r="AC1498" s="465">
        <v>1</v>
      </c>
      <c r="AD1498" s="465">
        <v>1.6975734555530394E-4</v>
      </c>
      <c r="AE1498" s="476">
        <v>9.1509755683257801</v>
      </c>
      <c r="AF1498" s="467">
        <v>1</v>
      </c>
      <c r="AG1498" s="468">
        <v>1.6975734555530394E-4</v>
      </c>
      <c r="AH1498" s="218">
        <v>9.1509755683257801</v>
      </c>
      <c r="AI1498" s="470">
        <v>1</v>
      </c>
      <c r="AJ1498" s="471">
        <v>1.6975734555530394E-4</v>
      </c>
      <c r="AK1498" s="218">
        <v>9.1509755683257801</v>
      </c>
      <c r="AL1498" s="470">
        <v>1</v>
      </c>
      <c r="AM1498" s="471">
        <v>1.6975734555530394E-4</v>
      </c>
      <c r="AN1498" s="477">
        <v>9.1509755683257801</v>
      </c>
      <c r="AO1498" s="473">
        <v>1</v>
      </c>
      <c r="AP1498" s="474">
        <v>1.6975734555530394E-4</v>
      </c>
      <c r="AQ1498" s="352"/>
      <c r="AR1498" s="352"/>
      <c r="AS1498" s="352"/>
      <c r="AT1498" s="352"/>
      <c r="AU1498" s="352"/>
      <c r="AV1498" s="352"/>
      <c r="AW1498" s="352" t="s">
        <v>127</v>
      </c>
    </row>
    <row r="1499" spans="2:49" x14ac:dyDescent="0.2">
      <c r="B1499" s="460" t="s">
        <v>2811</v>
      </c>
      <c r="C1499" s="460">
        <v>2131</v>
      </c>
      <c r="D1499" s="460" t="s">
        <v>2388</v>
      </c>
      <c r="E1499" s="460" t="s">
        <v>2389</v>
      </c>
      <c r="F1499" s="460">
        <v>1</v>
      </c>
      <c r="G1499" s="460">
        <v>6</v>
      </c>
      <c r="H1499" s="461" t="s">
        <v>754</v>
      </c>
      <c r="I1499" s="461" t="s">
        <v>1991</v>
      </c>
      <c r="J1499" s="461" t="s">
        <v>754</v>
      </c>
      <c r="K1499" s="594"/>
      <c r="L1499" s="594"/>
      <c r="M1499" s="352">
        <v>2000</v>
      </c>
      <c r="N1499" s="352" t="s">
        <v>703</v>
      </c>
      <c r="O1499" s="460">
        <v>2131</v>
      </c>
      <c r="P1499" s="460" t="s">
        <v>1879</v>
      </c>
      <c r="Q1499" s="460" t="s">
        <v>2377</v>
      </c>
      <c r="R1499" s="460">
        <v>2131</v>
      </c>
      <c r="S1499" s="460" t="s">
        <v>2389</v>
      </c>
      <c r="T1499" s="462">
        <v>1</v>
      </c>
      <c r="U1499" s="460" t="s">
        <v>2389</v>
      </c>
      <c r="V1499" s="475">
        <v>0</v>
      </c>
      <c r="W1499" s="463" t="s">
        <v>2278</v>
      </c>
      <c r="X1499" s="463" t="s">
        <v>2278</v>
      </c>
      <c r="Y1499" s="463" t="s">
        <v>2278</v>
      </c>
      <c r="Z1499" s="463"/>
      <c r="AA1499" s="463"/>
      <c r="AB1499" s="464">
        <v>0</v>
      </c>
      <c r="AC1499" s="465">
        <v>0</v>
      </c>
      <c r="AD1499" s="465">
        <v>0</v>
      </c>
      <c r="AE1499" s="476">
        <v>0</v>
      </c>
      <c r="AF1499" s="467">
        <v>0</v>
      </c>
      <c r="AG1499" s="468">
        <v>0</v>
      </c>
      <c r="AH1499" s="218">
        <v>0</v>
      </c>
      <c r="AI1499" s="470">
        <v>0</v>
      </c>
      <c r="AJ1499" s="471">
        <v>0</v>
      </c>
      <c r="AK1499" s="218">
        <v>0</v>
      </c>
      <c r="AL1499" s="470">
        <v>0</v>
      </c>
      <c r="AM1499" s="471">
        <v>0</v>
      </c>
      <c r="AN1499" s="477">
        <v>0</v>
      </c>
      <c r="AO1499" s="473">
        <v>0</v>
      </c>
      <c r="AP1499" s="474">
        <v>0</v>
      </c>
      <c r="AQ1499" s="352"/>
      <c r="AR1499" s="352"/>
      <c r="AS1499" s="352"/>
      <c r="AT1499" s="352"/>
      <c r="AU1499" s="352"/>
      <c r="AV1499" s="352"/>
      <c r="AW1499" s="352" t="s">
        <v>127</v>
      </c>
    </row>
    <row r="1500" spans="2:49" x14ac:dyDescent="0.2">
      <c r="B1500" s="460" t="s">
        <v>2812</v>
      </c>
      <c r="C1500" s="460">
        <v>2131</v>
      </c>
      <c r="D1500" s="460" t="s">
        <v>2391</v>
      </c>
      <c r="E1500" s="460" t="s">
        <v>2392</v>
      </c>
      <c r="F1500" s="460">
        <v>2</v>
      </c>
      <c r="G1500" s="460">
        <v>6</v>
      </c>
      <c r="H1500" s="461" t="s">
        <v>754</v>
      </c>
      <c r="I1500" s="461" t="s">
        <v>1991</v>
      </c>
      <c r="J1500" s="461" t="s">
        <v>754</v>
      </c>
      <c r="K1500" s="594"/>
      <c r="L1500" s="594"/>
      <c r="M1500" s="352">
        <v>2000</v>
      </c>
      <c r="N1500" s="352" t="s">
        <v>703</v>
      </c>
      <c r="O1500" s="460">
        <v>2131</v>
      </c>
      <c r="P1500" s="460" t="s">
        <v>1879</v>
      </c>
      <c r="Q1500" s="460" t="s">
        <v>2377</v>
      </c>
      <c r="R1500" s="460">
        <v>2131</v>
      </c>
      <c r="S1500" s="460" t="s">
        <v>2392</v>
      </c>
      <c r="T1500" s="462">
        <v>1</v>
      </c>
      <c r="U1500" s="460" t="s">
        <v>2392</v>
      </c>
      <c r="V1500" s="475">
        <v>0</v>
      </c>
      <c r="W1500" s="463" t="s">
        <v>2278</v>
      </c>
      <c r="X1500" s="463" t="s">
        <v>2278</v>
      </c>
      <c r="Y1500" s="463" t="s">
        <v>2278</v>
      </c>
      <c r="Z1500" s="463"/>
      <c r="AA1500" s="463"/>
      <c r="AB1500" s="464">
        <v>0</v>
      </c>
      <c r="AC1500" s="465">
        <v>0</v>
      </c>
      <c r="AD1500" s="465">
        <v>0</v>
      </c>
      <c r="AE1500" s="476">
        <v>0</v>
      </c>
      <c r="AF1500" s="467">
        <v>0</v>
      </c>
      <c r="AG1500" s="468">
        <v>0</v>
      </c>
      <c r="AH1500" s="218">
        <v>0</v>
      </c>
      <c r="AI1500" s="470">
        <v>0</v>
      </c>
      <c r="AJ1500" s="471">
        <v>0</v>
      </c>
      <c r="AK1500" s="218">
        <v>0</v>
      </c>
      <c r="AL1500" s="470">
        <v>0</v>
      </c>
      <c r="AM1500" s="471">
        <v>0</v>
      </c>
      <c r="AN1500" s="477">
        <v>0</v>
      </c>
      <c r="AO1500" s="473">
        <v>0</v>
      </c>
      <c r="AP1500" s="474">
        <v>0</v>
      </c>
      <c r="AQ1500" s="352"/>
      <c r="AR1500" s="352"/>
      <c r="AS1500" s="352"/>
      <c r="AT1500" s="352"/>
      <c r="AU1500" s="352"/>
      <c r="AV1500" s="352"/>
      <c r="AW1500" s="352" t="s">
        <v>127</v>
      </c>
    </row>
    <row r="1501" spans="2:49" x14ac:dyDescent="0.2">
      <c r="B1501" s="460" t="s">
        <v>2813</v>
      </c>
      <c r="C1501" s="460">
        <v>2131</v>
      </c>
      <c r="D1501" s="460" t="s">
        <v>2394</v>
      </c>
      <c r="E1501" s="460" t="s">
        <v>2395</v>
      </c>
      <c r="F1501" s="460">
        <v>3</v>
      </c>
      <c r="G1501" s="460">
        <v>6</v>
      </c>
      <c r="H1501" s="461" t="s">
        <v>754</v>
      </c>
      <c r="I1501" s="461" t="s">
        <v>1991</v>
      </c>
      <c r="J1501" s="461" t="s">
        <v>754</v>
      </c>
      <c r="K1501" s="594"/>
      <c r="L1501" s="594"/>
      <c r="M1501" s="352">
        <v>2000</v>
      </c>
      <c r="N1501" s="352" t="s">
        <v>703</v>
      </c>
      <c r="O1501" s="460">
        <v>2131</v>
      </c>
      <c r="P1501" s="460" t="s">
        <v>1879</v>
      </c>
      <c r="Q1501" s="460" t="s">
        <v>2377</v>
      </c>
      <c r="R1501" s="460">
        <v>2131</v>
      </c>
      <c r="S1501" s="460" t="s">
        <v>2395</v>
      </c>
      <c r="T1501" s="462">
        <v>1</v>
      </c>
      <c r="U1501" s="460" t="s">
        <v>2395</v>
      </c>
      <c r="V1501" s="475">
        <v>0</v>
      </c>
      <c r="W1501" s="463" t="s">
        <v>2278</v>
      </c>
      <c r="X1501" s="463" t="s">
        <v>2278</v>
      </c>
      <c r="Y1501" s="463" t="s">
        <v>2278</v>
      </c>
      <c r="Z1501" s="463"/>
      <c r="AA1501" s="463"/>
      <c r="AB1501" s="464">
        <v>0</v>
      </c>
      <c r="AC1501" s="465">
        <v>0</v>
      </c>
      <c r="AD1501" s="465">
        <v>0</v>
      </c>
      <c r="AE1501" s="476">
        <v>0</v>
      </c>
      <c r="AF1501" s="467">
        <v>0</v>
      </c>
      <c r="AG1501" s="468">
        <v>0</v>
      </c>
      <c r="AH1501" s="218">
        <v>0</v>
      </c>
      <c r="AI1501" s="470">
        <v>0</v>
      </c>
      <c r="AJ1501" s="471">
        <v>0</v>
      </c>
      <c r="AK1501" s="218">
        <v>0</v>
      </c>
      <c r="AL1501" s="470">
        <v>0</v>
      </c>
      <c r="AM1501" s="471">
        <v>0</v>
      </c>
      <c r="AN1501" s="477">
        <v>0</v>
      </c>
      <c r="AO1501" s="473">
        <v>0</v>
      </c>
      <c r="AP1501" s="474">
        <v>0</v>
      </c>
      <c r="AQ1501" s="352"/>
      <c r="AR1501" s="352"/>
      <c r="AS1501" s="352"/>
      <c r="AT1501" s="352"/>
      <c r="AU1501" s="352"/>
      <c r="AV1501" s="352"/>
      <c r="AW1501" s="352" t="s">
        <v>127</v>
      </c>
    </row>
    <row r="1502" spans="2:49" x14ac:dyDescent="0.2">
      <c r="B1502" s="460" t="s">
        <v>2814</v>
      </c>
      <c r="C1502" s="460">
        <v>2131</v>
      </c>
      <c r="D1502" s="460" t="s">
        <v>2397</v>
      </c>
      <c r="E1502" s="460" t="s">
        <v>2398</v>
      </c>
      <c r="F1502" s="460">
        <v>4</v>
      </c>
      <c r="G1502" s="460">
        <v>6</v>
      </c>
      <c r="H1502" s="461" t="s">
        <v>754</v>
      </c>
      <c r="I1502" s="461" t="s">
        <v>1991</v>
      </c>
      <c r="J1502" s="461" t="s">
        <v>754</v>
      </c>
      <c r="K1502" s="594"/>
      <c r="L1502" s="594"/>
      <c r="M1502" s="352">
        <v>2000</v>
      </c>
      <c r="N1502" s="352" t="s">
        <v>703</v>
      </c>
      <c r="O1502" s="460">
        <v>2131</v>
      </c>
      <c r="P1502" s="460" t="s">
        <v>1879</v>
      </c>
      <c r="Q1502" s="460" t="s">
        <v>2377</v>
      </c>
      <c r="R1502" s="460">
        <v>2131</v>
      </c>
      <c r="S1502" s="460" t="s">
        <v>2398</v>
      </c>
      <c r="T1502" s="462">
        <v>1</v>
      </c>
      <c r="U1502" s="460" t="s">
        <v>2398</v>
      </c>
      <c r="V1502" s="475">
        <v>0</v>
      </c>
      <c r="W1502" s="463" t="s">
        <v>2278</v>
      </c>
      <c r="X1502" s="463" t="s">
        <v>2278</v>
      </c>
      <c r="Y1502" s="463" t="s">
        <v>2278</v>
      </c>
      <c r="Z1502" s="463"/>
      <c r="AA1502" s="463"/>
      <c r="AB1502" s="464">
        <v>0</v>
      </c>
      <c r="AC1502" s="465">
        <v>0</v>
      </c>
      <c r="AD1502" s="465">
        <v>0</v>
      </c>
      <c r="AE1502" s="476">
        <v>0</v>
      </c>
      <c r="AF1502" s="467">
        <v>0</v>
      </c>
      <c r="AG1502" s="468">
        <v>0</v>
      </c>
      <c r="AH1502" s="218">
        <v>0</v>
      </c>
      <c r="AI1502" s="470">
        <v>0</v>
      </c>
      <c r="AJ1502" s="471">
        <v>0</v>
      </c>
      <c r="AK1502" s="218">
        <v>0</v>
      </c>
      <c r="AL1502" s="470">
        <v>0</v>
      </c>
      <c r="AM1502" s="471">
        <v>0</v>
      </c>
      <c r="AN1502" s="477">
        <v>0</v>
      </c>
      <c r="AO1502" s="473">
        <v>0</v>
      </c>
      <c r="AP1502" s="474">
        <v>0</v>
      </c>
      <c r="AQ1502" s="352"/>
      <c r="AR1502" s="352"/>
      <c r="AS1502" s="352"/>
      <c r="AT1502" s="352"/>
      <c r="AU1502" s="352"/>
      <c r="AV1502" s="352"/>
      <c r="AW1502" s="352" t="s">
        <v>127</v>
      </c>
    </row>
    <row r="1503" spans="2:49" x14ac:dyDescent="0.2">
      <c r="B1503" s="460" t="s">
        <v>2815</v>
      </c>
      <c r="C1503" s="460">
        <v>2132</v>
      </c>
      <c r="D1503" s="460" t="s">
        <v>2264</v>
      </c>
      <c r="E1503" s="460" t="s">
        <v>2265</v>
      </c>
      <c r="F1503" s="460">
        <v>1</v>
      </c>
      <c r="G1503" s="460">
        <v>1</v>
      </c>
      <c r="H1503" s="461" t="s">
        <v>700</v>
      </c>
      <c r="I1503" s="461" t="s">
        <v>872</v>
      </c>
      <c r="J1503" s="461" t="s">
        <v>700</v>
      </c>
      <c r="K1503" s="594"/>
      <c r="L1503" s="594"/>
      <c r="M1503" s="352">
        <v>2000</v>
      </c>
      <c r="N1503" s="352" t="s">
        <v>703</v>
      </c>
      <c r="O1503" s="460">
        <v>2132</v>
      </c>
      <c r="P1503" s="460" t="s">
        <v>1880</v>
      </c>
      <c r="Q1503" s="460" t="s">
        <v>2266</v>
      </c>
      <c r="R1503" s="460">
        <v>2132</v>
      </c>
      <c r="S1503" s="460" t="s">
        <v>2265</v>
      </c>
      <c r="T1503" s="462">
        <v>1</v>
      </c>
      <c r="U1503" s="460" t="s">
        <v>2265</v>
      </c>
      <c r="V1503" s="475">
        <v>0</v>
      </c>
      <c r="W1503" s="463" t="s">
        <v>2267</v>
      </c>
      <c r="X1503" s="463" t="s">
        <v>2267</v>
      </c>
      <c r="Y1503" s="463" t="s">
        <v>2268</v>
      </c>
      <c r="Z1503" s="463"/>
      <c r="AA1503" s="463"/>
      <c r="AB1503" s="464">
        <v>292.29048424801772</v>
      </c>
      <c r="AC1503" s="465">
        <v>0.52086291223607639</v>
      </c>
      <c r="AD1503" s="465">
        <v>2.710536861304816E-3</v>
      </c>
      <c r="AE1503" s="476">
        <v>292.29048424801772</v>
      </c>
      <c r="AF1503" s="467">
        <v>0.52086291223607639</v>
      </c>
      <c r="AG1503" s="468">
        <v>2.8954206558227859E-3</v>
      </c>
      <c r="AH1503" s="218">
        <v>292.29048424801772</v>
      </c>
      <c r="AI1503" s="470">
        <v>0.52086291223607639</v>
      </c>
      <c r="AJ1503" s="471">
        <v>2.7870889102884107E-3</v>
      </c>
      <c r="AK1503" s="218">
        <v>292.29048424801772</v>
      </c>
      <c r="AL1503" s="470">
        <v>0.52086291223607639</v>
      </c>
      <c r="AM1503" s="471">
        <v>2.7870889102884107E-3</v>
      </c>
      <c r="AN1503" s="477">
        <v>0</v>
      </c>
      <c r="AO1503" s="473">
        <v>0</v>
      </c>
      <c r="AP1503" s="474">
        <v>0</v>
      </c>
      <c r="AQ1503" s="352"/>
      <c r="AR1503" s="352"/>
      <c r="AS1503" s="352"/>
      <c r="AT1503" s="352"/>
      <c r="AU1503" s="352"/>
      <c r="AV1503" s="352"/>
      <c r="AW1503" s="352" t="s">
        <v>254</v>
      </c>
    </row>
    <row r="1504" spans="2:49" x14ac:dyDescent="0.2">
      <c r="B1504" s="460" t="s">
        <v>2816</v>
      </c>
      <c r="C1504" s="460">
        <v>2132</v>
      </c>
      <c r="D1504" s="460" t="s">
        <v>2270</v>
      </c>
      <c r="E1504" s="460" t="s">
        <v>2271</v>
      </c>
      <c r="F1504" s="460">
        <v>2</v>
      </c>
      <c r="G1504" s="460">
        <v>1</v>
      </c>
      <c r="H1504" s="461" t="s">
        <v>700</v>
      </c>
      <c r="I1504" s="461" t="s">
        <v>872</v>
      </c>
      <c r="J1504" s="461" t="s">
        <v>700</v>
      </c>
      <c r="K1504" s="594"/>
      <c r="L1504" s="594"/>
      <c r="M1504" s="352">
        <v>2000</v>
      </c>
      <c r="N1504" s="352" t="s">
        <v>703</v>
      </c>
      <c r="O1504" s="460">
        <v>2132</v>
      </c>
      <c r="P1504" s="460" t="s">
        <v>1880</v>
      </c>
      <c r="Q1504" s="460" t="s">
        <v>2266</v>
      </c>
      <c r="R1504" s="460">
        <v>2132</v>
      </c>
      <c r="S1504" s="460" t="s">
        <v>2265</v>
      </c>
      <c r="T1504" s="462">
        <v>1</v>
      </c>
      <c r="U1504" s="460" t="s">
        <v>2271</v>
      </c>
      <c r="V1504" s="475">
        <v>0</v>
      </c>
      <c r="W1504" s="463" t="s">
        <v>2503</v>
      </c>
      <c r="X1504" s="463" t="s">
        <v>2267</v>
      </c>
      <c r="Y1504" s="463" t="s">
        <v>2268</v>
      </c>
      <c r="Z1504" s="463"/>
      <c r="AA1504" s="463"/>
      <c r="AB1504" s="464">
        <v>315.55081563774507</v>
      </c>
      <c r="AC1504" s="465">
        <v>0.48921047331973372</v>
      </c>
      <c r="AD1504" s="465">
        <v>3.9149736797645775E-3</v>
      </c>
      <c r="AE1504" s="476">
        <v>189.33048938264704</v>
      </c>
      <c r="AF1504" s="467">
        <v>0.29352628399184022</v>
      </c>
      <c r="AG1504" s="468">
        <v>2.5455031664623502E-3</v>
      </c>
      <c r="AH1504" s="218">
        <v>335.96728965392583</v>
      </c>
      <c r="AI1504" s="470">
        <v>0.52086291223607639</v>
      </c>
      <c r="AJ1504" s="471">
        <v>3.9665640319892946E-3</v>
      </c>
      <c r="AK1504" s="218">
        <v>335.96728965392583</v>
      </c>
      <c r="AL1504" s="470">
        <v>0.52086291223607639</v>
      </c>
      <c r="AM1504" s="471">
        <v>3.9665640319892946E-3</v>
      </c>
      <c r="AN1504" s="477">
        <v>0</v>
      </c>
      <c r="AO1504" s="473">
        <v>0</v>
      </c>
      <c r="AP1504" s="474">
        <v>0</v>
      </c>
      <c r="AQ1504" s="352"/>
      <c r="AR1504" s="352"/>
      <c r="AS1504" s="352"/>
      <c r="AT1504" s="352"/>
      <c r="AU1504" s="352"/>
      <c r="AV1504" s="352"/>
      <c r="AW1504" s="352" t="s">
        <v>254</v>
      </c>
    </row>
    <row r="1505" spans="2:49" x14ac:dyDescent="0.2">
      <c r="B1505" s="460" t="s">
        <v>2817</v>
      </c>
      <c r="C1505" s="460">
        <v>2132</v>
      </c>
      <c r="D1505" s="460" t="s">
        <v>2273</v>
      </c>
      <c r="E1505" s="460" t="s">
        <v>2274</v>
      </c>
      <c r="F1505" s="460">
        <v>3</v>
      </c>
      <c r="G1505" s="460">
        <v>1</v>
      </c>
      <c r="H1505" s="461" t="s">
        <v>700</v>
      </c>
      <c r="I1505" s="461" t="s">
        <v>872</v>
      </c>
      <c r="J1505" s="461" t="s">
        <v>700</v>
      </c>
      <c r="K1505" s="594"/>
      <c r="L1505" s="594"/>
      <c r="M1505" s="352">
        <v>2000</v>
      </c>
      <c r="N1505" s="352" t="s">
        <v>703</v>
      </c>
      <c r="O1505" s="460">
        <v>2132</v>
      </c>
      <c r="P1505" s="460" t="s">
        <v>1880</v>
      </c>
      <c r="Q1505" s="460" t="s">
        <v>2266</v>
      </c>
      <c r="R1505" s="460">
        <v>2132</v>
      </c>
      <c r="S1505" s="460" t="s">
        <v>2265</v>
      </c>
      <c r="T1505" s="462">
        <v>0.74223365950407583</v>
      </c>
      <c r="U1505" s="460" t="s">
        <v>2274</v>
      </c>
      <c r="V1505" s="475">
        <v>0</v>
      </c>
      <c r="W1505" s="463" t="s">
        <v>2503</v>
      </c>
      <c r="X1505" s="463" t="s">
        <v>2267</v>
      </c>
      <c r="Y1505" s="463" t="s">
        <v>2268</v>
      </c>
      <c r="Z1505" s="463"/>
      <c r="AA1505" s="463"/>
      <c r="AB1505" s="464">
        <v>71.86194222718737</v>
      </c>
      <c r="AC1505" s="465">
        <v>0.34949238417320472</v>
      </c>
      <c r="AD1505" s="465">
        <v>3.5549855402005749E-3</v>
      </c>
      <c r="AE1505" s="476">
        <v>43.117165336312418</v>
      </c>
      <c r="AF1505" s="467">
        <v>0.20969543050392284</v>
      </c>
      <c r="AG1505" s="468">
        <v>2.3104008499294452E-3</v>
      </c>
      <c r="AH1505" s="218">
        <v>79.492346046312477</v>
      </c>
      <c r="AI1505" s="470">
        <v>0.38660198544893326</v>
      </c>
      <c r="AJ1505" s="471">
        <v>3.0846277557428641E-3</v>
      </c>
      <c r="AK1505" s="218">
        <v>79.492346046312477</v>
      </c>
      <c r="AL1505" s="470">
        <v>0.38660198544893326</v>
      </c>
      <c r="AM1505" s="471">
        <v>3.0846277557428641E-3</v>
      </c>
      <c r="AN1505" s="477">
        <v>0</v>
      </c>
      <c r="AO1505" s="473">
        <v>0</v>
      </c>
      <c r="AP1505" s="474">
        <v>0</v>
      </c>
      <c r="AQ1505" s="352"/>
      <c r="AR1505" s="352"/>
      <c r="AS1505" s="352"/>
      <c r="AT1505" s="352"/>
      <c r="AU1505" s="352"/>
      <c r="AV1505" s="352"/>
      <c r="AW1505" s="352" t="s">
        <v>254</v>
      </c>
    </row>
    <row r="1506" spans="2:49" x14ac:dyDescent="0.2">
      <c r="B1506" s="460" t="s">
        <v>2818</v>
      </c>
      <c r="C1506" s="460">
        <v>2132</v>
      </c>
      <c r="D1506" s="460" t="s">
        <v>2276</v>
      </c>
      <c r="E1506" s="460" t="s">
        <v>2277</v>
      </c>
      <c r="F1506" s="460">
        <v>4</v>
      </c>
      <c r="G1506" s="460">
        <v>1</v>
      </c>
      <c r="H1506" s="461" t="s">
        <v>700</v>
      </c>
      <c r="I1506" s="461" t="s">
        <v>872</v>
      </c>
      <c r="J1506" s="461" t="s">
        <v>700</v>
      </c>
      <c r="K1506" s="594"/>
      <c r="L1506" s="594"/>
      <c r="M1506" s="352">
        <v>2000</v>
      </c>
      <c r="N1506" s="352" t="s">
        <v>703</v>
      </c>
      <c r="O1506" s="460">
        <v>2132</v>
      </c>
      <c r="P1506" s="460" t="s">
        <v>1880</v>
      </c>
      <c r="Q1506" s="460" t="s">
        <v>2266</v>
      </c>
      <c r="R1506" s="460">
        <v>2132</v>
      </c>
      <c r="S1506" s="460" t="s">
        <v>2277</v>
      </c>
      <c r="T1506" s="462">
        <v>1</v>
      </c>
      <c r="U1506" s="460" t="s">
        <v>2277</v>
      </c>
      <c r="V1506" s="475">
        <v>0</v>
      </c>
      <c r="W1506" s="463" t="s">
        <v>2503</v>
      </c>
      <c r="X1506" s="463" t="s">
        <v>2278</v>
      </c>
      <c r="Y1506" s="463" t="s">
        <v>2268</v>
      </c>
      <c r="Z1506" s="463"/>
      <c r="AA1506" s="463"/>
      <c r="AB1506" s="464">
        <v>0.32516396487597571</v>
      </c>
      <c r="AC1506" s="465">
        <v>2.1395497025672983E-3</v>
      </c>
      <c r="AD1506" s="465">
        <v>1.3124299521347544E-3</v>
      </c>
      <c r="AE1506" s="476">
        <v>0.19509837892558543</v>
      </c>
      <c r="AF1506" s="467">
        <v>1.2837298215403789E-3</v>
      </c>
      <c r="AG1506" s="468">
        <v>8.8033650288128122E-4</v>
      </c>
      <c r="AH1506" s="218">
        <v>0.32516396487597571</v>
      </c>
      <c r="AI1506" s="470">
        <v>2.1395497025672983E-3</v>
      </c>
      <c r="AJ1506" s="471">
        <v>1.4062740525204451E-3</v>
      </c>
      <c r="AK1506" s="218">
        <v>0.32516396487597571</v>
      </c>
      <c r="AL1506" s="470">
        <v>2.1395497025672983E-3</v>
      </c>
      <c r="AM1506" s="471">
        <v>1.4062740525204451E-3</v>
      </c>
      <c r="AN1506" s="477">
        <v>0</v>
      </c>
      <c r="AO1506" s="473">
        <v>0</v>
      </c>
      <c r="AP1506" s="474">
        <v>0</v>
      </c>
      <c r="AQ1506" s="352"/>
      <c r="AR1506" s="352"/>
      <c r="AS1506" s="352"/>
      <c r="AT1506" s="352"/>
      <c r="AU1506" s="352"/>
      <c r="AV1506" s="352"/>
      <c r="AW1506" s="352" t="s">
        <v>254</v>
      </c>
    </row>
    <row r="1507" spans="2:49" x14ac:dyDescent="0.2">
      <c r="B1507" s="460" t="s">
        <v>2815</v>
      </c>
      <c r="C1507" s="460">
        <v>2132</v>
      </c>
      <c r="D1507" s="460" t="s">
        <v>2279</v>
      </c>
      <c r="E1507" s="460" t="s">
        <v>2265</v>
      </c>
      <c r="F1507" s="460">
        <v>1</v>
      </c>
      <c r="G1507" s="460">
        <v>1</v>
      </c>
      <c r="H1507" s="461" t="s">
        <v>712</v>
      </c>
      <c r="I1507" s="461" t="s">
        <v>713</v>
      </c>
      <c r="J1507" s="461" t="s">
        <v>712</v>
      </c>
      <c r="K1507" s="594"/>
      <c r="L1507" s="594"/>
      <c r="M1507" s="352">
        <v>2000</v>
      </c>
      <c r="N1507" s="352" t="s">
        <v>703</v>
      </c>
      <c r="O1507" s="460">
        <v>2132</v>
      </c>
      <c r="P1507" s="460" t="s">
        <v>1880</v>
      </c>
      <c r="Q1507" s="460" t="s">
        <v>2280</v>
      </c>
      <c r="R1507" s="460">
        <v>2132</v>
      </c>
      <c r="S1507" s="460" t="s">
        <v>2265</v>
      </c>
      <c r="T1507" s="462">
        <v>1</v>
      </c>
      <c r="U1507" s="460" t="s">
        <v>2265</v>
      </c>
      <c r="V1507" s="475">
        <v>0</v>
      </c>
      <c r="W1507" s="463" t="s">
        <v>713</v>
      </c>
      <c r="X1507" s="463" t="s">
        <v>713</v>
      </c>
      <c r="Y1507" s="463" t="s">
        <v>713</v>
      </c>
      <c r="Z1507" s="463"/>
      <c r="AA1507" s="463"/>
      <c r="AB1507" s="464">
        <v>268.87537606099914</v>
      </c>
      <c r="AC1507" s="465">
        <v>0.47913708776392372</v>
      </c>
      <c r="AD1507" s="465">
        <v>9.9327213799918425E-4</v>
      </c>
      <c r="AE1507" s="476">
        <v>268.87537606099909</v>
      </c>
      <c r="AF1507" s="467">
        <v>0.47913708776392361</v>
      </c>
      <c r="AG1507" s="468">
        <v>9.6863313776044898E-4</v>
      </c>
      <c r="AH1507" s="218">
        <v>268.87537606099909</v>
      </c>
      <c r="AI1507" s="470">
        <v>0.47913708776392361</v>
      </c>
      <c r="AJ1507" s="471">
        <v>9.8252173501593492E-4</v>
      </c>
      <c r="AK1507" s="218">
        <v>268.87537606099909</v>
      </c>
      <c r="AL1507" s="470">
        <v>0.47913708776392361</v>
      </c>
      <c r="AM1507" s="471">
        <v>9.8252173501593492E-4</v>
      </c>
      <c r="AN1507" s="477">
        <v>268.87537606099909</v>
      </c>
      <c r="AO1507" s="473">
        <v>0.47913708776392361</v>
      </c>
      <c r="AP1507" s="474">
        <v>9.8220159002941686E-4</v>
      </c>
      <c r="AQ1507" s="352"/>
      <c r="AR1507" s="352"/>
      <c r="AS1507" s="352"/>
      <c r="AT1507" s="352"/>
      <c r="AU1507" s="352"/>
      <c r="AV1507" s="352"/>
      <c r="AW1507" s="352" t="s">
        <v>254</v>
      </c>
    </row>
    <row r="1508" spans="2:49" x14ac:dyDescent="0.2">
      <c r="B1508" s="460" t="s">
        <v>2816</v>
      </c>
      <c r="C1508" s="460">
        <v>2132</v>
      </c>
      <c r="D1508" s="460" t="s">
        <v>2281</v>
      </c>
      <c r="E1508" s="460" t="s">
        <v>2271</v>
      </c>
      <c r="F1508" s="460">
        <v>2</v>
      </c>
      <c r="G1508" s="460">
        <v>1</v>
      </c>
      <c r="H1508" s="461" t="s">
        <v>712</v>
      </c>
      <c r="I1508" s="461" t="s">
        <v>713</v>
      </c>
      <c r="J1508" s="461" t="s">
        <v>712</v>
      </c>
      <c r="K1508" s="594"/>
      <c r="L1508" s="594"/>
      <c r="M1508" s="352">
        <v>2000</v>
      </c>
      <c r="N1508" s="352" t="s">
        <v>703</v>
      </c>
      <c r="O1508" s="460">
        <v>2132</v>
      </c>
      <c r="P1508" s="460" t="s">
        <v>1880</v>
      </c>
      <c r="Q1508" s="460" t="s">
        <v>2280</v>
      </c>
      <c r="R1508" s="460">
        <v>2132</v>
      </c>
      <c r="S1508" s="460" t="s">
        <v>2265</v>
      </c>
      <c r="T1508" s="462">
        <v>1</v>
      </c>
      <c r="U1508" s="460" t="s">
        <v>2271</v>
      </c>
      <c r="V1508" s="475">
        <v>0</v>
      </c>
      <c r="W1508" s="463" t="s">
        <v>713</v>
      </c>
      <c r="X1508" s="463" t="s">
        <v>713</v>
      </c>
      <c r="Y1508" s="463" t="s">
        <v>713</v>
      </c>
      <c r="Z1508" s="463"/>
      <c r="AA1508" s="463"/>
      <c r="AB1508" s="464">
        <v>329.46974881674947</v>
      </c>
      <c r="AC1508" s="465">
        <v>0.51078952668026634</v>
      </c>
      <c r="AD1508" s="465">
        <v>1.3758395110150337E-3</v>
      </c>
      <c r="AE1508" s="476">
        <v>455.6900750718475</v>
      </c>
      <c r="AF1508" s="467">
        <v>0.70647371600815978</v>
      </c>
      <c r="AG1508" s="468">
        <v>1.8547303171942186E-3</v>
      </c>
      <c r="AH1508" s="218">
        <v>309.05327480056872</v>
      </c>
      <c r="AI1508" s="470">
        <v>0.47913708776392361</v>
      </c>
      <c r="AJ1508" s="471">
        <v>1.3277378333355866E-3</v>
      </c>
      <c r="AK1508" s="218">
        <v>309.05327480056872</v>
      </c>
      <c r="AL1508" s="470">
        <v>0.47913708776392361</v>
      </c>
      <c r="AM1508" s="471">
        <v>1.3277378333355866E-3</v>
      </c>
      <c r="AN1508" s="477">
        <v>309.05327480056872</v>
      </c>
      <c r="AO1508" s="473">
        <v>0.47913708776392361</v>
      </c>
      <c r="AP1508" s="474">
        <v>1.3272716210260618E-3</v>
      </c>
      <c r="AQ1508" s="352"/>
      <c r="AR1508" s="352"/>
      <c r="AS1508" s="352"/>
      <c r="AT1508" s="352"/>
      <c r="AU1508" s="352"/>
      <c r="AV1508" s="352"/>
      <c r="AW1508" s="352" t="s">
        <v>254</v>
      </c>
    </row>
    <row r="1509" spans="2:49" x14ac:dyDescent="0.2">
      <c r="B1509" s="460" t="s">
        <v>2817</v>
      </c>
      <c r="C1509" s="460">
        <v>2132</v>
      </c>
      <c r="D1509" s="460" t="s">
        <v>2282</v>
      </c>
      <c r="E1509" s="460" t="s">
        <v>2274</v>
      </c>
      <c r="F1509" s="460">
        <v>3</v>
      </c>
      <c r="G1509" s="460">
        <v>1</v>
      </c>
      <c r="H1509" s="461" t="s">
        <v>712</v>
      </c>
      <c r="I1509" s="461" t="s">
        <v>713</v>
      </c>
      <c r="J1509" s="461" t="s">
        <v>712</v>
      </c>
      <c r="K1509" s="594"/>
      <c r="L1509" s="594"/>
      <c r="M1509" s="352">
        <v>2000</v>
      </c>
      <c r="N1509" s="352" t="s">
        <v>703</v>
      </c>
      <c r="O1509" s="460">
        <v>2132</v>
      </c>
      <c r="P1509" s="460" t="s">
        <v>1880</v>
      </c>
      <c r="Q1509" s="460" t="s">
        <v>2280</v>
      </c>
      <c r="R1509" s="460">
        <v>2132</v>
      </c>
      <c r="S1509" s="460" t="s">
        <v>2265</v>
      </c>
      <c r="T1509" s="462">
        <v>0.74223365950407583</v>
      </c>
      <c r="U1509" s="460" t="s">
        <v>2274</v>
      </c>
      <c r="V1509" s="475">
        <v>0</v>
      </c>
      <c r="W1509" s="463" t="s">
        <v>713</v>
      </c>
      <c r="X1509" s="463" t="s">
        <v>713</v>
      </c>
      <c r="Y1509" s="463" t="s">
        <v>713</v>
      </c>
      <c r="Z1509" s="463"/>
      <c r="AA1509" s="463"/>
      <c r="AB1509" s="464">
        <v>133.75610692484608</v>
      </c>
      <c r="AC1509" s="465">
        <v>0.65050761582679528</v>
      </c>
      <c r="AD1509" s="465">
        <v>8.0055871793334975E-4</v>
      </c>
      <c r="AE1509" s="476">
        <v>162.50088381572104</v>
      </c>
      <c r="AF1509" s="467">
        <v>0.79030456949607719</v>
      </c>
      <c r="AG1509" s="468">
        <v>9.6364970865812547E-4</v>
      </c>
      <c r="AH1509" s="218">
        <v>126.12570310572096</v>
      </c>
      <c r="AI1509" s="470">
        <v>0.61339801455106668</v>
      </c>
      <c r="AJ1509" s="471">
        <v>7.9259545055380249E-4</v>
      </c>
      <c r="AK1509" s="218">
        <v>126.12570310572096</v>
      </c>
      <c r="AL1509" s="470">
        <v>0.61339801455106668</v>
      </c>
      <c r="AM1509" s="471">
        <v>7.9259545055380249E-4</v>
      </c>
      <c r="AN1509" s="477">
        <v>126.12570310572096</v>
      </c>
      <c r="AO1509" s="473">
        <v>0.61339801455106668</v>
      </c>
      <c r="AP1509" s="474">
        <v>7.9831323164381907E-4</v>
      </c>
      <c r="AQ1509" s="352"/>
      <c r="AR1509" s="352"/>
      <c r="AS1509" s="352"/>
      <c r="AT1509" s="352"/>
      <c r="AU1509" s="352"/>
      <c r="AV1509" s="352"/>
      <c r="AW1509" s="352" t="s">
        <v>254</v>
      </c>
    </row>
    <row r="1510" spans="2:49" x14ac:dyDescent="0.2">
      <c r="B1510" s="460" t="s">
        <v>2818</v>
      </c>
      <c r="C1510" s="460">
        <v>2132</v>
      </c>
      <c r="D1510" s="460" t="s">
        <v>2283</v>
      </c>
      <c r="E1510" s="460" t="s">
        <v>2277</v>
      </c>
      <c r="F1510" s="460">
        <v>4</v>
      </c>
      <c r="G1510" s="460">
        <v>1</v>
      </c>
      <c r="H1510" s="461" t="s">
        <v>712</v>
      </c>
      <c r="I1510" s="461" t="s">
        <v>713</v>
      </c>
      <c r="J1510" s="461" t="s">
        <v>712</v>
      </c>
      <c r="K1510" s="594"/>
      <c r="L1510" s="594"/>
      <c r="M1510" s="352">
        <v>2000</v>
      </c>
      <c r="N1510" s="352" t="s">
        <v>703</v>
      </c>
      <c r="O1510" s="460">
        <v>2132</v>
      </c>
      <c r="P1510" s="460" t="s">
        <v>1880</v>
      </c>
      <c r="Q1510" s="460" t="s">
        <v>2280</v>
      </c>
      <c r="R1510" s="460">
        <v>2132</v>
      </c>
      <c r="S1510" s="460" t="s">
        <v>2277</v>
      </c>
      <c r="T1510" s="462">
        <v>1</v>
      </c>
      <c r="U1510" s="460" t="s">
        <v>2277</v>
      </c>
      <c r="V1510" s="475">
        <v>0</v>
      </c>
      <c r="W1510" s="463" t="s">
        <v>713</v>
      </c>
      <c r="X1510" s="463" t="s">
        <v>713</v>
      </c>
      <c r="Y1510" s="463" t="s">
        <v>713</v>
      </c>
      <c r="Z1510" s="463"/>
      <c r="AA1510" s="463"/>
      <c r="AB1510" s="464">
        <v>151.65259307708641</v>
      </c>
      <c r="AC1510" s="465">
        <v>0.99786045029743276</v>
      </c>
      <c r="AD1510" s="465">
        <v>7.8757360074058083E-4</v>
      </c>
      <c r="AE1510" s="476">
        <v>151.78265866303678</v>
      </c>
      <c r="AF1510" s="467">
        <v>0.99871627017845965</v>
      </c>
      <c r="AG1510" s="468">
        <v>7.8814207817727545E-4</v>
      </c>
      <c r="AH1510" s="218">
        <v>151.65259307708641</v>
      </c>
      <c r="AI1510" s="470">
        <v>0.99786045029743276</v>
      </c>
      <c r="AJ1510" s="471">
        <v>7.8750598334159855E-4</v>
      </c>
      <c r="AK1510" s="218">
        <v>151.65259307708641</v>
      </c>
      <c r="AL1510" s="470">
        <v>0.99786045029743276</v>
      </c>
      <c r="AM1510" s="471">
        <v>7.8750598334159855E-4</v>
      </c>
      <c r="AN1510" s="477">
        <v>151.65259307708641</v>
      </c>
      <c r="AO1510" s="473">
        <v>0.99786045029743276</v>
      </c>
      <c r="AP1510" s="474">
        <v>7.8750991017245448E-4</v>
      </c>
      <c r="AQ1510" s="352"/>
      <c r="AR1510" s="352"/>
      <c r="AS1510" s="352"/>
      <c r="AT1510" s="352"/>
      <c r="AU1510" s="352"/>
      <c r="AV1510" s="352"/>
      <c r="AW1510" s="352" t="s">
        <v>254</v>
      </c>
    </row>
    <row r="1511" spans="2:49" x14ac:dyDescent="0.2">
      <c r="B1511" s="460" t="s">
        <v>2815</v>
      </c>
      <c r="C1511" s="460">
        <v>2132</v>
      </c>
      <c r="D1511" s="460" t="s">
        <v>2284</v>
      </c>
      <c r="E1511" s="460" t="s">
        <v>2265</v>
      </c>
      <c r="F1511" s="460">
        <v>1</v>
      </c>
      <c r="G1511" s="460">
        <v>1</v>
      </c>
      <c r="H1511" s="461" t="s">
        <v>746</v>
      </c>
      <c r="I1511" s="461" t="s">
        <v>762</v>
      </c>
      <c r="J1511" s="461" t="s">
        <v>700</v>
      </c>
      <c r="K1511" s="594"/>
      <c r="L1511" s="594"/>
      <c r="M1511" s="352">
        <v>2000</v>
      </c>
      <c r="N1511" s="352" t="s">
        <v>703</v>
      </c>
      <c r="O1511" s="460">
        <v>2132</v>
      </c>
      <c r="P1511" s="460" t="s">
        <v>1880</v>
      </c>
      <c r="Q1511" s="460" t="s">
        <v>2289</v>
      </c>
      <c r="R1511" s="460">
        <v>2132</v>
      </c>
      <c r="S1511" s="460" t="s">
        <v>2265</v>
      </c>
      <c r="T1511" s="462">
        <v>1</v>
      </c>
      <c r="U1511" s="460" t="s">
        <v>2265</v>
      </c>
      <c r="V1511" s="475">
        <v>0</v>
      </c>
      <c r="W1511" s="463" t="s">
        <v>2268</v>
      </c>
      <c r="X1511" s="463" t="s">
        <v>2268</v>
      </c>
      <c r="Y1511" s="463" t="s">
        <v>2290</v>
      </c>
      <c r="Z1511" s="463"/>
      <c r="AA1511" s="463"/>
      <c r="AB1511" s="464">
        <v>0</v>
      </c>
      <c r="AC1511" s="465">
        <v>0</v>
      </c>
      <c r="AD1511" s="465">
        <v>0</v>
      </c>
      <c r="AE1511" s="476">
        <v>0</v>
      </c>
      <c r="AF1511" s="467">
        <v>0</v>
      </c>
      <c r="AG1511" s="468">
        <v>0</v>
      </c>
      <c r="AH1511" s="218">
        <v>0</v>
      </c>
      <c r="AI1511" s="470">
        <v>0</v>
      </c>
      <c r="AJ1511" s="471">
        <v>0</v>
      </c>
      <c r="AK1511" s="218">
        <v>0</v>
      </c>
      <c r="AL1511" s="470">
        <v>0</v>
      </c>
      <c r="AM1511" s="471">
        <v>0</v>
      </c>
      <c r="AN1511" s="477">
        <v>0</v>
      </c>
      <c r="AO1511" s="473">
        <v>0</v>
      </c>
      <c r="AP1511" s="474">
        <v>0</v>
      </c>
      <c r="AQ1511" s="352"/>
      <c r="AR1511" s="352"/>
      <c r="AS1511" s="352"/>
      <c r="AT1511" s="352"/>
      <c r="AU1511" s="352"/>
      <c r="AV1511" s="352"/>
      <c r="AW1511" s="352" t="s">
        <v>254</v>
      </c>
    </row>
    <row r="1512" spans="2:49" x14ac:dyDescent="0.2">
      <c r="B1512" s="460" t="s">
        <v>2816</v>
      </c>
      <c r="C1512" s="460">
        <v>2132</v>
      </c>
      <c r="D1512" s="460" t="s">
        <v>2285</v>
      </c>
      <c r="E1512" s="460" t="s">
        <v>2271</v>
      </c>
      <c r="F1512" s="460">
        <v>2</v>
      </c>
      <c r="G1512" s="460">
        <v>1</v>
      </c>
      <c r="H1512" s="461" t="s">
        <v>746</v>
      </c>
      <c r="I1512" s="461" t="s">
        <v>762</v>
      </c>
      <c r="J1512" s="461" t="s">
        <v>700</v>
      </c>
      <c r="K1512" s="594"/>
      <c r="L1512" s="594"/>
      <c r="M1512" s="352">
        <v>2000</v>
      </c>
      <c r="N1512" s="352" t="s">
        <v>703</v>
      </c>
      <c r="O1512" s="460">
        <v>2132</v>
      </c>
      <c r="P1512" s="460" t="s">
        <v>1880</v>
      </c>
      <c r="Q1512" s="460" t="s">
        <v>2289</v>
      </c>
      <c r="R1512" s="460">
        <v>2132</v>
      </c>
      <c r="S1512" s="460" t="s">
        <v>2265</v>
      </c>
      <c r="T1512" s="462">
        <v>1</v>
      </c>
      <c r="U1512" s="460" t="s">
        <v>2271</v>
      </c>
      <c r="V1512" s="475">
        <v>0</v>
      </c>
      <c r="W1512" s="463" t="s">
        <v>2268</v>
      </c>
      <c r="X1512" s="463" t="s">
        <v>2268</v>
      </c>
      <c r="Y1512" s="463" t="s">
        <v>2290</v>
      </c>
      <c r="Z1512" s="463"/>
      <c r="AA1512" s="463"/>
      <c r="AB1512" s="464">
        <v>0</v>
      </c>
      <c r="AC1512" s="465">
        <v>0</v>
      </c>
      <c r="AD1512" s="465">
        <v>0</v>
      </c>
      <c r="AE1512" s="476">
        <v>0</v>
      </c>
      <c r="AF1512" s="467">
        <v>0</v>
      </c>
      <c r="AG1512" s="468">
        <v>0</v>
      </c>
      <c r="AH1512" s="218">
        <v>0</v>
      </c>
      <c r="AI1512" s="470">
        <v>0</v>
      </c>
      <c r="AJ1512" s="471">
        <v>0</v>
      </c>
      <c r="AK1512" s="218">
        <v>0</v>
      </c>
      <c r="AL1512" s="470">
        <v>0</v>
      </c>
      <c r="AM1512" s="471">
        <v>0</v>
      </c>
      <c r="AN1512" s="477">
        <v>0</v>
      </c>
      <c r="AO1512" s="473">
        <v>0</v>
      </c>
      <c r="AP1512" s="474">
        <v>0</v>
      </c>
      <c r="AQ1512" s="352"/>
      <c r="AR1512" s="352"/>
      <c r="AS1512" s="352"/>
      <c r="AT1512" s="352"/>
      <c r="AU1512" s="352"/>
      <c r="AV1512" s="352"/>
      <c r="AW1512" s="352" t="s">
        <v>254</v>
      </c>
    </row>
    <row r="1513" spans="2:49" x14ac:dyDescent="0.2">
      <c r="B1513" s="460" t="s">
        <v>2817</v>
      </c>
      <c r="C1513" s="460">
        <v>2132</v>
      </c>
      <c r="D1513" s="460" t="s">
        <v>2286</v>
      </c>
      <c r="E1513" s="460" t="s">
        <v>2274</v>
      </c>
      <c r="F1513" s="460">
        <v>3</v>
      </c>
      <c r="G1513" s="460">
        <v>1</v>
      </c>
      <c r="H1513" s="461" t="s">
        <v>746</v>
      </c>
      <c r="I1513" s="461" t="s">
        <v>762</v>
      </c>
      <c r="J1513" s="461" t="s">
        <v>700</v>
      </c>
      <c r="K1513" s="594"/>
      <c r="L1513" s="594"/>
      <c r="M1513" s="352">
        <v>2000</v>
      </c>
      <c r="N1513" s="352" t="s">
        <v>703</v>
      </c>
      <c r="O1513" s="460">
        <v>2132</v>
      </c>
      <c r="P1513" s="460" t="s">
        <v>1880</v>
      </c>
      <c r="Q1513" s="460" t="s">
        <v>2289</v>
      </c>
      <c r="R1513" s="460">
        <v>2132</v>
      </c>
      <c r="S1513" s="460" t="s">
        <v>2265</v>
      </c>
      <c r="T1513" s="462">
        <v>0.74223365950407583</v>
      </c>
      <c r="U1513" s="460" t="s">
        <v>2274</v>
      </c>
      <c r="V1513" s="475">
        <v>0</v>
      </c>
      <c r="W1513" s="463" t="s">
        <v>2268</v>
      </c>
      <c r="X1513" s="463" t="s">
        <v>2268</v>
      </c>
      <c r="Y1513" s="463" t="s">
        <v>2290</v>
      </c>
      <c r="Z1513" s="463"/>
      <c r="AA1513" s="463"/>
      <c r="AB1513" s="464">
        <v>0</v>
      </c>
      <c r="AC1513" s="465">
        <v>0</v>
      </c>
      <c r="AD1513" s="465">
        <v>0</v>
      </c>
      <c r="AE1513" s="476">
        <v>0</v>
      </c>
      <c r="AF1513" s="467">
        <v>0</v>
      </c>
      <c r="AG1513" s="468">
        <v>0</v>
      </c>
      <c r="AH1513" s="218">
        <v>0</v>
      </c>
      <c r="AI1513" s="470">
        <v>0</v>
      </c>
      <c r="AJ1513" s="471">
        <v>0</v>
      </c>
      <c r="AK1513" s="218">
        <v>0</v>
      </c>
      <c r="AL1513" s="470">
        <v>0</v>
      </c>
      <c r="AM1513" s="471">
        <v>0</v>
      </c>
      <c r="AN1513" s="477">
        <v>0</v>
      </c>
      <c r="AO1513" s="473">
        <v>0</v>
      </c>
      <c r="AP1513" s="474">
        <v>0</v>
      </c>
      <c r="AQ1513" s="352"/>
      <c r="AR1513" s="352"/>
      <c r="AS1513" s="352"/>
      <c r="AT1513" s="352"/>
      <c r="AU1513" s="352"/>
      <c r="AV1513" s="352"/>
      <c r="AW1513" s="352" t="s">
        <v>254</v>
      </c>
    </row>
    <row r="1514" spans="2:49" x14ac:dyDescent="0.2">
      <c r="B1514" s="460" t="s">
        <v>2818</v>
      </c>
      <c r="C1514" s="460">
        <v>2132</v>
      </c>
      <c r="D1514" s="460" t="s">
        <v>2287</v>
      </c>
      <c r="E1514" s="460" t="s">
        <v>2277</v>
      </c>
      <c r="F1514" s="460">
        <v>4</v>
      </c>
      <c r="G1514" s="460">
        <v>1</v>
      </c>
      <c r="H1514" s="461" t="s">
        <v>746</v>
      </c>
      <c r="I1514" s="461" t="s">
        <v>762</v>
      </c>
      <c r="J1514" s="461" t="s">
        <v>700</v>
      </c>
      <c r="K1514" s="594"/>
      <c r="L1514" s="594"/>
      <c r="M1514" s="352">
        <v>2000</v>
      </c>
      <c r="N1514" s="352" t="s">
        <v>703</v>
      </c>
      <c r="O1514" s="460">
        <v>2132</v>
      </c>
      <c r="P1514" s="460" t="s">
        <v>1880</v>
      </c>
      <c r="Q1514" s="460" t="s">
        <v>2289</v>
      </c>
      <c r="R1514" s="460">
        <v>2132</v>
      </c>
      <c r="S1514" s="460" t="s">
        <v>2277</v>
      </c>
      <c r="T1514" s="462">
        <v>1</v>
      </c>
      <c r="U1514" s="460" t="s">
        <v>2277</v>
      </c>
      <c r="V1514" s="475">
        <v>0</v>
      </c>
      <c r="W1514" s="463" t="s">
        <v>2268</v>
      </c>
      <c r="X1514" s="463" t="s">
        <v>2268</v>
      </c>
      <c r="Y1514" s="463" t="s">
        <v>2290</v>
      </c>
      <c r="Z1514" s="463"/>
      <c r="AA1514" s="463"/>
      <c r="AB1514" s="464">
        <v>0</v>
      </c>
      <c r="AC1514" s="465">
        <v>0</v>
      </c>
      <c r="AD1514" s="465">
        <v>0</v>
      </c>
      <c r="AE1514" s="476">
        <v>0</v>
      </c>
      <c r="AF1514" s="467">
        <v>0</v>
      </c>
      <c r="AG1514" s="468">
        <v>0</v>
      </c>
      <c r="AH1514" s="218">
        <v>0</v>
      </c>
      <c r="AI1514" s="470">
        <v>0</v>
      </c>
      <c r="AJ1514" s="471">
        <v>0</v>
      </c>
      <c r="AK1514" s="218">
        <v>0</v>
      </c>
      <c r="AL1514" s="470">
        <v>0</v>
      </c>
      <c r="AM1514" s="471">
        <v>0</v>
      </c>
      <c r="AN1514" s="477">
        <v>0</v>
      </c>
      <c r="AO1514" s="473">
        <v>0</v>
      </c>
      <c r="AP1514" s="474">
        <v>0</v>
      </c>
      <c r="AQ1514" s="352"/>
      <c r="AR1514" s="352"/>
      <c r="AS1514" s="352"/>
      <c r="AT1514" s="352"/>
      <c r="AU1514" s="352"/>
      <c r="AV1514" s="352"/>
      <c r="AW1514" s="352" t="s">
        <v>254</v>
      </c>
    </row>
    <row r="1515" spans="2:49" x14ac:dyDescent="0.2">
      <c r="B1515" s="460" t="s">
        <v>2815</v>
      </c>
      <c r="C1515" s="460">
        <v>2132</v>
      </c>
      <c r="D1515" s="460" t="s">
        <v>2288</v>
      </c>
      <c r="E1515" s="460" t="s">
        <v>2265</v>
      </c>
      <c r="F1515" s="460">
        <v>1</v>
      </c>
      <c r="G1515" s="460">
        <v>1</v>
      </c>
      <c r="H1515" s="461" t="s">
        <v>748</v>
      </c>
      <c r="I1515" s="461" t="s">
        <v>765</v>
      </c>
      <c r="J1515" s="461" t="s">
        <v>700</v>
      </c>
      <c r="K1515" s="594"/>
      <c r="L1515" s="594"/>
      <c r="M1515" s="352">
        <v>2000</v>
      </c>
      <c r="N1515" s="352" t="s">
        <v>703</v>
      </c>
      <c r="O1515" s="460">
        <v>2132</v>
      </c>
      <c r="P1515" s="460" t="s">
        <v>1880</v>
      </c>
      <c r="Q1515" s="460" t="s">
        <v>2266</v>
      </c>
      <c r="R1515" s="460">
        <v>2132</v>
      </c>
      <c r="S1515" s="460" t="s">
        <v>2265</v>
      </c>
      <c r="T1515" s="462">
        <v>1</v>
      </c>
      <c r="U1515" s="460" t="s">
        <v>2265</v>
      </c>
      <c r="V1515" s="475">
        <v>0</v>
      </c>
      <c r="W1515" s="463" t="s">
        <v>2268</v>
      </c>
      <c r="X1515" s="463" t="s">
        <v>2268</v>
      </c>
      <c r="Y1515" s="463" t="s">
        <v>2267</v>
      </c>
      <c r="Z1515" s="463"/>
      <c r="AA1515" s="463"/>
      <c r="AB1515" s="464">
        <v>0</v>
      </c>
      <c r="AC1515" s="465">
        <v>0</v>
      </c>
      <c r="AD1515" s="465">
        <v>0</v>
      </c>
      <c r="AE1515" s="476">
        <v>0</v>
      </c>
      <c r="AF1515" s="467">
        <v>0</v>
      </c>
      <c r="AG1515" s="468">
        <v>0</v>
      </c>
      <c r="AH1515" s="218">
        <v>0</v>
      </c>
      <c r="AI1515" s="470">
        <v>0</v>
      </c>
      <c r="AJ1515" s="471">
        <v>0</v>
      </c>
      <c r="AK1515" s="218">
        <v>0</v>
      </c>
      <c r="AL1515" s="470">
        <v>0</v>
      </c>
      <c r="AM1515" s="471">
        <v>0</v>
      </c>
      <c r="AN1515" s="477">
        <v>292.29048424801772</v>
      </c>
      <c r="AO1515" s="473">
        <v>0.52086291223607639</v>
      </c>
      <c r="AP1515" s="474">
        <v>1.8151417980335843E-2</v>
      </c>
      <c r="AQ1515" s="352"/>
      <c r="AR1515" s="352"/>
      <c r="AS1515" s="352"/>
      <c r="AT1515" s="352"/>
      <c r="AU1515" s="352"/>
      <c r="AV1515" s="352"/>
      <c r="AW1515" s="352" t="s">
        <v>254</v>
      </c>
    </row>
    <row r="1516" spans="2:49" x14ac:dyDescent="0.2">
      <c r="B1516" s="460" t="s">
        <v>2816</v>
      </c>
      <c r="C1516" s="460">
        <v>2132</v>
      </c>
      <c r="D1516" s="460" t="s">
        <v>2291</v>
      </c>
      <c r="E1516" s="460" t="s">
        <v>2271</v>
      </c>
      <c r="F1516" s="460">
        <v>2</v>
      </c>
      <c r="G1516" s="460">
        <v>1</v>
      </c>
      <c r="H1516" s="461" t="s">
        <v>748</v>
      </c>
      <c r="I1516" s="461" t="s">
        <v>765</v>
      </c>
      <c r="J1516" s="461" t="s">
        <v>700</v>
      </c>
      <c r="K1516" s="594"/>
      <c r="L1516" s="594"/>
      <c r="M1516" s="352">
        <v>2000</v>
      </c>
      <c r="N1516" s="352" t="s">
        <v>703</v>
      </c>
      <c r="O1516" s="460">
        <v>2132</v>
      </c>
      <c r="P1516" s="460" t="s">
        <v>1880</v>
      </c>
      <c r="Q1516" s="460" t="s">
        <v>2266</v>
      </c>
      <c r="R1516" s="460">
        <v>2132</v>
      </c>
      <c r="S1516" s="460" t="s">
        <v>2265</v>
      </c>
      <c r="T1516" s="462">
        <v>1</v>
      </c>
      <c r="U1516" s="460" t="s">
        <v>2271</v>
      </c>
      <c r="V1516" s="475">
        <v>0</v>
      </c>
      <c r="W1516" s="463" t="s">
        <v>2268</v>
      </c>
      <c r="X1516" s="463" t="s">
        <v>2268</v>
      </c>
      <c r="Y1516" s="463" t="s">
        <v>2267</v>
      </c>
      <c r="Z1516" s="463"/>
      <c r="AA1516" s="463"/>
      <c r="AB1516" s="464">
        <v>0</v>
      </c>
      <c r="AC1516" s="465">
        <v>0</v>
      </c>
      <c r="AD1516" s="465">
        <v>0</v>
      </c>
      <c r="AE1516" s="476">
        <v>0</v>
      </c>
      <c r="AF1516" s="467">
        <v>0</v>
      </c>
      <c r="AG1516" s="468">
        <v>0</v>
      </c>
      <c r="AH1516" s="218">
        <v>0</v>
      </c>
      <c r="AI1516" s="470">
        <v>0</v>
      </c>
      <c r="AJ1516" s="471">
        <v>0</v>
      </c>
      <c r="AK1516" s="218">
        <v>0</v>
      </c>
      <c r="AL1516" s="470">
        <v>0</v>
      </c>
      <c r="AM1516" s="471">
        <v>0</v>
      </c>
      <c r="AN1516" s="477">
        <v>335.96728965392583</v>
      </c>
      <c r="AO1516" s="473">
        <v>0.52086291223607639</v>
      </c>
      <c r="AP1516" s="474">
        <v>2.1368889471635188E-2</v>
      </c>
      <c r="AQ1516" s="352"/>
      <c r="AR1516" s="352"/>
      <c r="AS1516" s="352"/>
      <c r="AT1516" s="352"/>
      <c r="AU1516" s="352"/>
      <c r="AV1516" s="352"/>
      <c r="AW1516" s="352" t="s">
        <v>254</v>
      </c>
    </row>
    <row r="1517" spans="2:49" x14ac:dyDescent="0.2">
      <c r="B1517" s="460" t="s">
        <v>2817</v>
      </c>
      <c r="C1517" s="460">
        <v>2132</v>
      </c>
      <c r="D1517" s="460" t="s">
        <v>2292</v>
      </c>
      <c r="E1517" s="460" t="s">
        <v>2274</v>
      </c>
      <c r="F1517" s="460">
        <v>3</v>
      </c>
      <c r="G1517" s="460">
        <v>1</v>
      </c>
      <c r="H1517" s="461" t="s">
        <v>748</v>
      </c>
      <c r="I1517" s="461" t="s">
        <v>765</v>
      </c>
      <c r="J1517" s="461" t="s">
        <v>700</v>
      </c>
      <c r="K1517" s="594"/>
      <c r="L1517" s="594"/>
      <c r="M1517" s="352">
        <v>2000</v>
      </c>
      <c r="N1517" s="352" t="s">
        <v>703</v>
      </c>
      <c r="O1517" s="460">
        <v>2132</v>
      </c>
      <c r="P1517" s="460" t="s">
        <v>1880</v>
      </c>
      <c r="Q1517" s="460" t="s">
        <v>2266</v>
      </c>
      <c r="R1517" s="460">
        <v>2132</v>
      </c>
      <c r="S1517" s="460" t="s">
        <v>2265</v>
      </c>
      <c r="T1517" s="462">
        <v>0.74223365950407583</v>
      </c>
      <c r="U1517" s="460" t="s">
        <v>2274</v>
      </c>
      <c r="V1517" s="475">
        <v>0</v>
      </c>
      <c r="W1517" s="463" t="s">
        <v>2268</v>
      </c>
      <c r="X1517" s="463" t="s">
        <v>2268</v>
      </c>
      <c r="Y1517" s="463" t="s">
        <v>2267</v>
      </c>
      <c r="Z1517" s="463"/>
      <c r="AA1517" s="463"/>
      <c r="AB1517" s="464">
        <v>0</v>
      </c>
      <c r="AC1517" s="465">
        <v>0</v>
      </c>
      <c r="AD1517" s="465">
        <v>0</v>
      </c>
      <c r="AE1517" s="476">
        <v>0</v>
      </c>
      <c r="AF1517" s="467">
        <v>0</v>
      </c>
      <c r="AG1517" s="468">
        <v>0</v>
      </c>
      <c r="AH1517" s="218">
        <v>0</v>
      </c>
      <c r="AI1517" s="470">
        <v>0</v>
      </c>
      <c r="AJ1517" s="471">
        <v>0</v>
      </c>
      <c r="AK1517" s="218">
        <v>0</v>
      </c>
      <c r="AL1517" s="470">
        <v>0</v>
      </c>
      <c r="AM1517" s="471">
        <v>0</v>
      </c>
      <c r="AN1517" s="477">
        <v>79.492346046312477</v>
      </c>
      <c r="AO1517" s="473">
        <v>0.38660198544893326</v>
      </c>
      <c r="AP1517" s="474">
        <v>1.119226710614136E-2</v>
      </c>
      <c r="AQ1517" s="352"/>
      <c r="AR1517" s="352"/>
      <c r="AS1517" s="352"/>
      <c r="AT1517" s="352"/>
      <c r="AU1517" s="352"/>
      <c r="AV1517" s="352"/>
      <c r="AW1517" s="352" t="s">
        <v>254</v>
      </c>
    </row>
    <row r="1518" spans="2:49" x14ac:dyDescent="0.2">
      <c r="B1518" s="460" t="s">
        <v>2818</v>
      </c>
      <c r="C1518" s="460">
        <v>2132</v>
      </c>
      <c r="D1518" s="460" t="s">
        <v>2293</v>
      </c>
      <c r="E1518" s="460" t="s">
        <v>2277</v>
      </c>
      <c r="F1518" s="460">
        <v>4</v>
      </c>
      <c r="G1518" s="460">
        <v>1</v>
      </c>
      <c r="H1518" s="461" t="s">
        <v>748</v>
      </c>
      <c r="I1518" s="461" t="s">
        <v>765</v>
      </c>
      <c r="J1518" s="461" t="s">
        <v>700</v>
      </c>
      <c r="K1518" s="594"/>
      <c r="L1518" s="594"/>
      <c r="M1518" s="352">
        <v>2000</v>
      </c>
      <c r="N1518" s="352" t="s">
        <v>703</v>
      </c>
      <c r="O1518" s="460">
        <v>2132</v>
      </c>
      <c r="P1518" s="460" t="s">
        <v>1880</v>
      </c>
      <c r="Q1518" s="460" t="s">
        <v>2266</v>
      </c>
      <c r="R1518" s="460">
        <v>2132</v>
      </c>
      <c r="S1518" s="460" t="s">
        <v>2277</v>
      </c>
      <c r="T1518" s="462">
        <v>1</v>
      </c>
      <c r="U1518" s="460" t="s">
        <v>2277</v>
      </c>
      <c r="V1518" s="475">
        <v>0</v>
      </c>
      <c r="W1518" s="463" t="s">
        <v>2268</v>
      </c>
      <c r="X1518" s="463" t="s">
        <v>2268</v>
      </c>
      <c r="Y1518" s="463" t="s">
        <v>2278</v>
      </c>
      <c r="Z1518" s="463"/>
      <c r="AA1518" s="463"/>
      <c r="AB1518" s="464">
        <v>0</v>
      </c>
      <c r="AC1518" s="465">
        <v>0</v>
      </c>
      <c r="AD1518" s="465">
        <v>0</v>
      </c>
      <c r="AE1518" s="476">
        <v>0</v>
      </c>
      <c r="AF1518" s="467">
        <v>0</v>
      </c>
      <c r="AG1518" s="468">
        <v>0</v>
      </c>
      <c r="AH1518" s="218">
        <v>0</v>
      </c>
      <c r="AI1518" s="470">
        <v>0</v>
      </c>
      <c r="AJ1518" s="471">
        <v>0</v>
      </c>
      <c r="AK1518" s="218">
        <v>0</v>
      </c>
      <c r="AL1518" s="470">
        <v>0</v>
      </c>
      <c r="AM1518" s="471">
        <v>0</v>
      </c>
      <c r="AN1518" s="477">
        <v>0.32516396487597571</v>
      </c>
      <c r="AO1518" s="473">
        <v>2.1395497025672983E-3</v>
      </c>
      <c r="AP1518" s="474">
        <v>7.8514638300332257E-3</v>
      </c>
      <c r="AQ1518" s="352"/>
      <c r="AR1518" s="352"/>
      <c r="AS1518" s="352"/>
      <c r="AT1518" s="352"/>
      <c r="AU1518" s="352"/>
      <c r="AV1518" s="352"/>
      <c r="AW1518" s="352" t="s">
        <v>254</v>
      </c>
    </row>
    <row r="1519" spans="2:49" x14ac:dyDescent="0.2">
      <c r="B1519" s="460" t="s">
        <v>2819</v>
      </c>
      <c r="C1519" s="460">
        <v>2132</v>
      </c>
      <c r="D1519" s="460" t="s">
        <v>2295</v>
      </c>
      <c r="E1519" s="460" t="s">
        <v>2296</v>
      </c>
      <c r="F1519" s="460">
        <v>1</v>
      </c>
      <c r="G1519" s="460">
        <v>2</v>
      </c>
      <c r="H1519" s="461" t="s">
        <v>700</v>
      </c>
      <c r="I1519" s="461" t="s">
        <v>872</v>
      </c>
      <c r="J1519" s="461" t="s">
        <v>700</v>
      </c>
      <c r="K1519" s="594"/>
      <c r="L1519" s="594"/>
      <c r="M1519" s="352">
        <v>2000</v>
      </c>
      <c r="N1519" s="352" t="s">
        <v>703</v>
      </c>
      <c r="O1519" s="460">
        <v>2132</v>
      </c>
      <c r="P1519" s="460" t="s">
        <v>1880</v>
      </c>
      <c r="Q1519" s="460" t="s">
        <v>2266</v>
      </c>
      <c r="R1519" s="460">
        <v>2132</v>
      </c>
      <c r="S1519" s="460" t="s">
        <v>2296</v>
      </c>
      <c r="T1519" s="462">
        <v>1</v>
      </c>
      <c r="U1519" s="460" t="s">
        <v>2296</v>
      </c>
      <c r="V1519" s="475">
        <v>0</v>
      </c>
      <c r="W1519" s="463" t="s">
        <v>2267</v>
      </c>
      <c r="X1519" s="463" t="s">
        <v>2267</v>
      </c>
      <c r="Y1519" s="463" t="s">
        <v>2268</v>
      </c>
      <c r="Z1519" s="463"/>
      <c r="AA1519" s="463"/>
      <c r="AB1519" s="464">
        <v>36.182468979085705</v>
      </c>
      <c r="AC1519" s="465">
        <v>0.15876573896972093</v>
      </c>
      <c r="AD1519" s="465">
        <v>2.1135528366816323E-3</v>
      </c>
      <c r="AE1519" s="476">
        <v>36.182468979085705</v>
      </c>
      <c r="AF1519" s="467">
        <v>0.15876573896972093</v>
      </c>
      <c r="AG1519" s="468">
        <v>2.3493291121480715E-3</v>
      </c>
      <c r="AH1519" s="218">
        <v>36.182468979085705</v>
      </c>
      <c r="AI1519" s="470">
        <v>0.15876573896972093</v>
      </c>
      <c r="AJ1519" s="471">
        <v>2.1584052459743854E-3</v>
      </c>
      <c r="AK1519" s="218">
        <v>36.182468979085705</v>
      </c>
      <c r="AL1519" s="470">
        <v>0.15876573896972093</v>
      </c>
      <c r="AM1519" s="471">
        <v>2.1584052459743854E-3</v>
      </c>
      <c r="AN1519" s="477">
        <v>0</v>
      </c>
      <c r="AO1519" s="473">
        <v>0</v>
      </c>
      <c r="AP1519" s="474">
        <v>0</v>
      </c>
      <c r="AQ1519" s="352"/>
      <c r="AR1519" s="352"/>
      <c r="AS1519" s="352"/>
      <c r="AT1519" s="352"/>
      <c r="AU1519" s="352"/>
      <c r="AV1519" s="352"/>
      <c r="AW1519" s="352" t="s">
        <v>254</v>
      </c>
    </row>
    <row r="1520" spans="2:49" x14ac:dyDescent="0.2">
      <c r="B1520" s="460" t="s">
        <v>2820</v>
      </c>
      <c r="C1520" s="460">
        <v>2132</v>
      </c>
      <c r="D1520" s="460" t="s">
        <v>2298</v>
      </c>
      <c r="E1520" s="460" t="s">
        <v>2299</v>
      </c>
      <c r="F1520" s="460">
        <v>2</v>
      </c>
      <c r="G1520" s="460">
        <v>2</v>
      </c>
      <c r="H1520" s="461" t="s">
        <v>700</v>
      </c>
      <c r="I1520" s="461" t="s">
        <v>872</v>
      </c>
      <c r="J1520" s="461" t="s">
        <v>700</v>
      </c>
      <c r="K1520" s="594"/>
      <c r="L1520" s="594"/>
      <c r="M1520" s="352">
        <v>2000</v>
      </c>
      <c r="N1520" s="352" t="s">
        <v>703</v>
      </c>
      <c r="O1520" s="460">
        <v>2132</v>
      </c>
      <c r="P1520" s="460" t="s">
        <v>1880</v>
      </c>
      <c r="Q1520" s="460" t="s">
        <v>2266</v>
      </c>
      <c r="R1520" s="460">
        <v>2132</v>
      </c>
      <c r="S1520" s="460" t="s">
        <v>2296</v>
      </c>
      <c r="T1520" s="462">
        <v>0.55517361979372948</v>
      </c>
      <c r="U1520" s="460" t="s">
        <v>2299</v>
      </c>
      <c r="V1520" s="475">
        <v>0</v>
      </c>
      <c r="W1520" s="463" t="s">
        <v>2503</v>
      </c>
      <c r="X1520" s="463" t="s">
        <v>2267</v>
      </c>
      <c r="Y1520" s="463" t="s">
        <v>2268</v>
      </c>
      <c r="Z1520" s="463"/>
      <c r="AA1520" s="463"/>
      <c r="AB1520" s="464">
        <v>10.843085838872184</v>
      </c>
      <c r="AC1520" s="465">
        <v>0.17323531033862263</v>
      </c>
      <c r="AD1520" s="465">
        <v>3.2808947733713447E-3</v>
      </c>
      <c r="AE1520" s="476">
        <v>6.5058515033233109</v>
      </c>
      <c r="AF1520" s="467">
        <v>0.10394118620317358</v>
      </c>
      <c r="AG1520" s="468">
        <v>2.2090783474387706E-3</v>
      </c>
      <c r="AH1520" s="218">
        <v>10.843085838872184</v>
      </c>
      <c r="AI1520" s="470">
        <v>0.17323531033862263</v>
      </c>
      <c r="AJ1520" s="471">
        <v>2.5534120295277389E-3</v>
      </c>
      <c r="AK1520" s="218">
        <v>10.843085838872184</v>
      </c>
      <c r="AL1520" s="470">
        <v>0.17323531033862263</v>
      </c>
      <c r="AM1520" s="471">
        <v>2.5534120295277389E-3</v>
      </c>
      <c r="AN1520" s="477">
        <v>0</v>
      </c>
      <c r="AO1520" s="473">
        <v>0</v>
      </c>
      <c r="AP1520" s="474">
        <v>0</v>
      </c>
      <c r="AQ1520" s="352"/>
      <c r="AR1520" s="352"/>
      <c r="AS1520" s="352"/>
      <c r="AT1520" s="352"/>
      <c r="AU1520" s="352"/>
      <c r="AV1520" s="352"/>
      <c r="AW1520" s="352" t="s">
        <v>254</v>
      </c>
    </row>
    <row r="1521" spans="2:49" x14ac:dyDescent="0.2">
      <c r="B1521" s="460" t="s">
        <v>2821</v>
      </c>
      <c r="C1521" s="460">
        <v>2132</v>
      </c>
      <c r="D1521" s="460" t="s">
        <v>2301</v>
      </c>
      <c r="E1521" s="460" t="s">
        <v>2302</v>
      </c>
      <c r="F1521" s="460">
        <v>3</v>
      </c>
      <c r="G1521" s="460">
        <v>2</v>
      </c>
      <c r="H1521" s="461" t="s">
        <v>700</v>
      </c>
      <c r="I1521" s="461" t="s">
        <v>872</v>
      </c>
      <c r="J1521" s="461" t="s">
        <v>700</v>
      </c>
      <c r="K1521" s="594"/>
      <c r="L1521" s="594"/>
      <c r="M1521" s="352">
        <v>2000</v>
      </c>
      <c r="N1521" s="352" t="s">
        <v>703</v>
      </c>
      <c r="O1521" s="460">
        <v>2132</v>
      </c>
      <c r="P1521" s="460" t="s">
        <v>1880</v>
      </c>
      <c r="Q1521" s="460" t="s">
        <v>2266</v>
      </c>
      <c r="R1521" s="460">
        <v>2132</v>
      </c>
      <c r="S1521" s="460" t="s">
        <v>2296</v>
      </c>
      <c r="T1521" s="462">
        <v>0.28481449642268464</v>
      </c>
      <c r="U1521" s="460" t="s">
        <v>2302</v>
      </c>
      <c r="V1521" s="475">
        <v>0</v>
      </c>
      <c r="W1521" s="463" t="s">
        <v>2503</v>
      </c>
      <c r="X1521" s="463" t="s">
        <v>2267</v>
      </c>
      <c r="Y1521" s="463" t="s">
        <v>2268</v>
      </c>
      <c r="Z1521" s="463"/>
      <c r="AA1521" s="463"/>
      <c r="AB1521" s="464">
        <v>0.84126956981260759</v>
      </c>
      <c r="AC1521" s="465">
        <v>2.3968218545505147E-2</v>
      </c>
      <c r="AD1521" s="465">
        <v>1.6363852886124343E-3</v>
      </c>
      <c r="AE1521" s="476">
        <v>0.50476174188756451</v>
      </c>
      <c r="AF1521" s="467">
        <v>1.4380931127303088E-2</v>
      </c>
      <c r="AG1521" s="468">
        <v>1.1079360642462011E-3</v>
      </c>
      <c r="AH1521" s="218">
        <v>1.5871512054899064</v>
      </c>
      <c r="AI1521" s="470">
        <v>4.5218783993836463E-2</v>
      </c>
      <c r="AJ1521" s="471">
        <v>1.6476516990912441E-3</v>
      </c>
      <c r="AK1521" s="218">
        <v>1.5871512054899064</v>
      </c>
      <c r="AL1521" s="470">
        <v>4.5218783993836463E-2</v>
      </c>
      <c r="AM1521" s="471">
        <v>1.6476516990912441E-3</v>
      </c>
      <c r="AN1521" s="477">
        <v>0</v>
      </c>
      <c r="AO1521" s="473">
        <v>0</v>
      </c>
      <c r="AP1521" s="474">
        <v>0</v>
      </c>
      <c r="AQ1521" s="352"/>
      <c r="AR1521" s="352"/>
      <c r="AS1521" s="352"/>
      <c r="AT1521" s="352"/>
      <c r="AU1521" s="352"/>
      <c r="AV1521" s="352"/>
      <c r="AW1521" s="352" t="s">
        <v>254</v>
      </c>
    </row>
    <row r="1522" spans="2:49" x14ac:dyDescent="0.2">
      <c r="B1522" s="460" t="s">
        <v>2822</v>
      </c>
      <c r="C1522" s="460">
        <v>2132</v>
      </c>
      <c r="D1522" s="460" t="s">
        <v>2304</v>
      </c>
      <c r="E1522" s="460" t="s">
        <v>2305</v>
      </c>
      <c r="F1522" s="460">
        <v>4</v>
      </c>
      <c r="G1522" s="460">
        <v>2</v>
      </c>
      <c r="H1522" s="461" t="s">
        <v>700</v>
      </c>
      <c r="I1522" s="461" t="s">
        <v>872</v>
      </c>
      <c r="J1522" s="461" t="s">
        <v>700</v>
      </c>
      <c r="K1522" s="594"/>
      <c r="L1522" s="594"/>
      <c r="M1522" s="352">
        <v>2000</v>
      </c>
      <c r="N1522" s="352" t="s">
        <v>703</v>
      </c>
      <c r="O1522" s="460">
        <v>2132</v>
      </c>
      <c r="P1522" s="460" t="s">
        <v>1880</v>
      </c>
      <c r="Q1522" s="460" t="s">
        <v>2266</v>
      </c>
      <c r="R1522" s="460">
        <v>2132</v>
      </c>
      <c r="S1522" s="460" t="s">
        <v>2305</v>
      </c>
      <c r="T1522" s="462">
        <v>1</v>
      </c>
      <c r="U1522" s="460" t="s">
        <v>2305</v>
      </c>
      <c r="V1522" s="475">
        <v>0</v>
      </c>
      <c r="W1522" s="463" t="s">
        <v>2503</v>
      </c>
      <c r="X1522" s="463" t="s">
        <v>2278</v>
      </c>
      <c r="Y1522" s="463" t="s">
        <v>2268</v>
      </c>
      <c r="Z1522" s="463"/>
      <c r="AA1522" s="463"/>
      <c r="AB1522" s="464">
        <v>0</v>
      </c>
      <c r="AC1522" s="465">
        <v>0</v>
      </c>
      <c r="AD1522" s="465">
        <v>0</v>
      </c>
      <c r="AE1522" s="476">
        <v>0</v>
      </c>
      <c r="AF1522" s="467">
        <v>0</v>
      </c>
      <c r="AG1522" s="468">
        <v>0</v>
      </c>
      <c r="AH1522" s="218">
        <v>0</v>
      </c>
      <c r="AI1522" s="470">
        <v>0</v>
      </c>
      <c r="AJ1522" s="471">
        <v>0</v>
      </c>
      <c r="AK1522" s="218">
        <v>0</v>
      </c>
      <c r="AL1522" s="470">
        <v>0</v>
      </c>
      <c r="AM1522" s="471">
        <v>0</v>
      </c>
      <c r="AN1522" s="477">
        <v>0</v>
      </c>
      <c r="AO1522" s="473">
        <v>0</v>
      </c>
      <c r="AP1522" s="474">
        <v>0</v>
      </c>
      <c r="AQ1522" s="352"/>
      <c r="AR1522" s="352"/>
      <c r="AS1522" s="352"/>
      <c r="AT1522" s="352"/>
      <c r="AU1522" s="352"/>
      <c r="AV1522" s="352"/>
      <c r="AW1522" s="352" t="s">
        <v>254</v>
      </c>
    </row>
    <row r="1523" spans="2:49" x14ac:dyDescent="0.2">
      <c r="B1523" s="460" t="s">
        <v>2819</v>
      </c>
      <c r="C1523" s="460">
        <v>2132</v>
      </c>
      <c r="D1523" s="460" t="s">
        <v>2306</v>
      </c>
      <c r="E1523" s="460" t="s">
        <v>2296</v>
      </c>
      <c r="F1523" s="460">
        <v>1</v>
      </c>
      <c r="G1523" s="460">
        <v>2</v>
      </c>
      <c r="H1523" s="461" t="s">
        <v>712</v>
      </c>
      <c r="I1523" s="461" t="s">
        <v>713</v>
      </c>
      <c r="J1523" s="461" t="s">
        <v>712</v>
      </c>
      <c r="K1523" s="594"/>
      <c r="L1523" s="594"/>
      <c r="M1523" s="352">
        <v>2000</v>
      </c>
      <c r="N1523" s="352" t="s">
        <v>703</v>
      </c>
      <c r="O1523" s="460">
        <v>2132</v>
      </c>
      <c r="P1523" s="460" t="s">
        <v>1880</v>
      </c>
      <c r="Q1523" s="460" t="s">
        <v>2280</v>
      </c>
      <c r="R1523" s="460">
        <v>2132</v>
      </c>
      <c r="S1523" s="460" t="s">
        <v>2296</v>
      </c>
      <c r="T1523" s="462">
        <v>1</v>
      </c>
      <c r="U1523" s="460" t="s">
        <v>2296</v>
      </c>
      <c r="V1523" s="475">
        <v>0</v>
      </c>
      <c r="W1523" s="463" t="s">
        <v>713</v>
      </c>
      <c r="X1523" s="463" t="s">
        <v>713</v>
      </c>
      <c r="Y1523" s="463" t="s">
        <v>713</v>
      </c>
      <c r="Z1523" s="463"/>
      <c r="AA1523" s="463"/>
      <c r="AB1523" s="464">
        <v>191.71600089158494</v>
      </c>
      <c r="AC1523" s="465">
        <v>0.8412342610302791</v>
      </c>
      <c r="AD1523" s="465">
        <v>1.658147258948472E-3</v>
      </c>
      <c r="AE1523" s="476">
        <v>191.71600089158494</v>
      </c>
      <c r="AF1523" s="467">
        <v>0.8412342610302791</v>
      </c>
      <c r="AG1523" s="468">
        <v>1.6338686826325437E-3</v>
      </c>
      <c r="AH1523" s="218">
        <v>191.71600089158494</v>
      </c>
      <c r="AI1523" s="470">
        <v>0.8412342610302791</v>
      </c>
      <c r="AJ1523" s="471">
        <v>1.6530610814139933E-3</v>
      </c>
      <c r="AK1523" s="218">
        <v>191.71600089158494</v>
      </c>
      <c r="AL1523" s="470">
        <v>0.8412342610302791</v>
      </c>
      <c r="AM1523" s="471">
        <v>1.6530610814139933E-3</v>
      </c>
      <c r="AN1523" s="477">
        <v>191.71600089158494</v>
      </c>
      <c r="AO1523" s="473">
        <v>0.8412342610302791</v>
      </c>
      <c r="AP1523" s="474">
        <v>1.6526553974682417E-3</v>
      </c>
      <c r="AQ1523" s="352"/>
      <c r="AR1523" s="352"/>
      <c r="AS1523" s="352"/>
      <c r="AT1523" s="352"/>
      <c r="AU1523" s="352"/>
      <c r="AV1523" s="352"/>
      <c r="AW1523" s="352" t="s">
        <v>254</v>
      </c>
    </row>
    <row r="1524" spans="2:49" x14ac:dyDescent="0.2">
      <c r="B1524" s="460" t="s">
        <v>2820</v>
      </c>
      <c r="C1524" s="460">
        <v>2132</v>
      </c>
      <c r="D1524" s="460" t="s">
        <v>2307</v>
      </c>
      <c r="E1524" s="460" t="s">
        <v>2299</v>
      </c>
      <c r="F1524" s="460">
        <v>2</v>
      </c>
      <c r="G1524" s="460">
        <v>2</v>
      </c>
      <c r="H1524" s="461" t="s">
        <v>712</v>
      </c>
      <c r="I1524" s="461" t="s">
        <v>713</v>
      </c>
      <c r="J1524" s="461" t="s">
        <v>712</v>
      </c>
      <c r="K1524" s="594"/>
      <c r="L1524" s="594"/>
      <c r="M1524" s="352">
        <v>2000</v>
      </c>
      <c r="N1524" s="352" t="s">
        <v>703</v>
      </c>
      <c r="O1524" s="460">
        <v>2132</v>
      </c>
      <c r="P1524" s="460" t="s">
        <v>1880</v>
      </c>
      <c r="Q1524" s="460" t="s">
        <v>2280</v>
      </c>
      <c r="R1524" s="460">
        <v>2132</v>
      </c>
      <c r="S1524" s="460" t="s">
        <v>2296</v>
      </c>
      <c r="T1524" s="462">
        <v>0.55517361979372948</v>
      </c>
      <c r="U1524" s="460" t="s">
        <v>2299</v>
      </c>
      <c r="V1524" s="475">
        <v>0</v>
      </c>
      <c r="W1524" s="463" t="s">
        <v>713</v>
      </c>
      <c r="X1524" s="463" t="s">
        <v>713</v>
      </c>
      <c r="Y1524" s="463" t="s">
        <v>713</v>
      </c>
      <c r="Z1524" s="463"/>
      <c r="AA1524" s="463"/>
      <c r="AB1524" s="464">
        <v>51.748575281930677</v>
      </c>
      <c r="AC1524" s="465">
        <v>0.82676468966137739</v>
      </c>
      <c r="AD1524" s="465">
        <v>5.9856296431269585E-4</v>
      </c>
      <c r="AE1524" s="476">
        <v>56.085809617479548</v>
      </c>
      <c r="AF1524" s="467">
        <v>0.89605881379682639</v>
      </c>
      <c r="AG1524" s="468">
        <v>6.4604155328610257E-4</v>
      </c>
      <c r="AH1524" s="218">
        <v>51.748575281930677</v>
      </c>
      <c r="AI1524" s="470">
        <v>0.82676468966137739</v>
      </c>
      <c r="AJ1524" s="471">
        <v>6.0628119862115085E-4</v>
      </c>
      <c r="AK1524" s="218">
        <v>51.748575281930677</v>
      </c>
      <c r="AL1524" s="470">
        <v>0.82676468966137739</v>
      </c>
      <c r="AM1524" s="471">
        <v>6.0628119862115085E-4</v>
      </c>
      <c r="AN1524" s="477">
        <v>51.748575281930677</v>
      </c>
      <c r="AO1524" s="473">
        <v>0.82676468966137739</v>
      </c>
      <c r="AP1524" s="474">
        <v>6.0620466489548323E-4</v>
      </c>
      <c r="AQ1524" s="352"/>
      <c r="AR1524" s="352"/>
      <c r="AS1524" s="352"/>
      <c r="AT1524" s="352"/>
      <c r="AU1524" s="352"/>
      <c r="AV1524" s="352"/>
      <c r="AW1524" s="352" t="s">
        <v>254</v>
      </c>
    </row>
    <row r="1525" spans="2:49" x14ac:dyDescent="0.2">
      <c r="B1525" s="460" t="s">
        <v>2821</v>
      </c>
      <c r="C1525" s="460">
        <v>2132</v>
      </c>
      <c r="D1525" s="460" t="s">
        <v>2308</v>
      </c>
      <c r="E1525" s="460" t="s">
        <v>2302</v>
      </c>
      <c r="F1525" s="460">
        <v>3</v>
      </c>
      <c r="G1525" s="460">
        <v>2</v>
      </c>
      <c r="H1525" s="461" t="s">
        <v>712</v>
      </c>
      <c r="I1525" s="461" t="s">
        <v>713</v>
      </c>
      <c r="J1525" s="461" t="s">
        <v>712</v>
      </c>
      <c r="K1525" s="594"/>
      <c r="L1525" s="594"/>
      <c r="M1525" s="352">
        <v>2000</v>
      </c>
      <c r="N1525" s="352" t="s">
        <v>703</v>
      </c>
      <c r="O1525" s="460">
        <v>2132</v>
      </c>
      <c r="P1525" s="460" t="s">
        <v>1880</v>
      </c>
      <c r="Q1525" s="460" t="s">
        <v>2280</v>
      </c>
      <c r="R1525" s="460">
        <v>2132</v>
      </c>
      <c r="S1525" s="460" t="s">
        <v>2296</v>
      </c>
      <c r="T1525" s="462">
        <v>0.28481449642268464</v>
      </c>
      <c r="U1525" s="460" t="s">
        <v>2302</v>
      </c>
      <c r="V1525" s="475">
        <v>0</v>
      </c>
      <c r="W1525" s="463" t="s">
        <v>713</v>
      </c>
      <c r="X1525" s="463" t="s">
        <v>713</v>
      </c>
      <c r="Y1525" s="463" t="s">
        <v>713</v>
      </c>
      <c r="Z1525" s="463"/>
      <c r="AA1525" s="463"/>
      <c r="AB1525" s="464">
        <v>34.258108726300854</v>
      </c>
      <c r="AC1525" s="465">
        <v>0.97603178145449476</v>
      </c>
      <c r="AD1525" s="465">
        <v>9.9648277525765162E-4</v>
      </c>
      <c r="AE1525" s="476">
        <v>34.594616554225901</v>
      </c>
      <c r="AF1525" s="467">
        <v>0.9856190688726969</v>
      </c>
      <c r="AG1525" s="468">
        <v>1.004561130082777E-3</v>
      </c>
      <c r="AH1525" s="218">
        <v>33.512227090623554</v>
      </c>
      <c r="AI1525" s="470">
        <v>0.9547812160061635</v>
      </c>
      <c r="AJ1525" s="471">
        <v>9.876916043842427E-4</v>
      </c>
      <c r="AK1525" s="218">
        <v>33.512227090623554</v>
      </c>
      <c r="AL1525" s="470">
        <v>0.9547812160061635</v>
      </c>
      <c r="AM1525" s="471">
        <v>9.876916043842427E-4</v>
      </c>
      <c r="AN1525" s="477">
        <v>33.512227090623554</v>
      </c>
      <c r="AO1525" s="473">
        <v>0.9547812160061635</v>
      </c>
      <c r="AP1525" s="474">
        <v>9.8855045708071956E-4</v>
      </c>
      <c r="AQ1525" s="352"/>
      <c r="AR1525" s="352"/>
      <c r="AS1525" s="352"/>
      <c r="AT1525" s="352"/>
      <c r="AU1525" s="352"/>
      <c r="AV1525" s="352"/>
      <c r="AW1525" s="352" t="s">
        <v>254</v>
      </c>
    </row>
    <row r="1526" spans="2:49" x14ac:dyDescent="0.2">
      <c r="B1526" s="460" t="s">
        <v>2822</v>
      </c>
      <c r="C1526" s="460">
        <v>2132</v>
      </c>
      <c r="D1526" s="460" t="s">
        <v>2309</v>
      </c>
      <c r="E1526" s="460" t="s">
        <v>2305</v>
      </c>
      <c r="F1526" s="460">
        <v>4</v>
      </c>
      <c r="G1526" s="460">
        <v>2</v>
      </c>
      <c r="H1526" s="461" t="s">
        <v>712</v>
      </c>
      <c r="I1526" s="461" t="s">
        <v>713</v>
      </c>
      <c r="J1526" s="461" t="s">
        <v>712</v>
      </c>
      <c r="K1526" s="594"/>
      <c r="L1526" s="594"/>
      <c r="M1526" s="352">
        <v>2000</v>
      </c>
      <c r="N1526" s="352" t="s">
        <v>703</v>
      </c>
      <c r="O1526" s="460">
        <v>2132</v>
      </c>
      <c r="P1526" s="460" t="s">
        <v>1880</v>
      </c>
      <c r="Q1526" s="460" t="s">
        <v>2280</v>
      </c>
      <c r="R1526" s="460">
        <v>2132</v>
      </c>
      <c r="S1526" s="460" t="s">
        <v>2305</v>
      </c>
      <c r="T1526" s="462">
        <v>1</v>
      </c>
      <c r="U1526" s="460" t="s">
        <v>2305</v>
      </c>
      <c r="V1526" s="475">
        <v>0</v>
      </c>
      <c r="W1526" s="463" t="s">
        <v>713</v>
      </c>
      <c r="X1526" s="463" t="s">
        <v>713</v>
      </c>
      <c r="Y1526" s="463" t="s">
        <v>713</v>
      </c>
      <c r="Z1526" s="463"/>
      <c r="AA1526" s="463"/>
      <c r="AB1526" s="464">
        <v>38.841822939564189</v>
      </c>
      <c r="AC1526" s="465">
        <v>1</v>
      </c>
      <c r="AD1526" s="465">
        <v>9.9201636758947651E-4</v>
      </c>
      <c r="AE1526" s="476">
        <v>38.841822939564189</v>
      </c>
      <c r="AF1526" s="467">
        <v>1</v>
      </c>
      <c r="AG1526" s="468">
        <v>9.9198454728898692E-4</v>
      </c>
      <c r="AH1526" s="218">
        <v>38.841822939564189</v>
      </c>
      <c r="AI1526" s="470">
        <v>1</v>
      </c>
      <c r="AJ1526" s="471">
        <v>9.919857481160109E-4</v>
      </c>
      <c r="AK1526" s="218">
        <v>38.841822939564189</v>
      </c>
      <c r="AL1526" s="470">
        <v>1</v>
      </c>
      <c r="AM1526" s="471">
        <v>9.919857481160109E-4</v>
      </c>
      <c r="AN1526" s="477">
        <v>38.841822939564189</v>
      </c>
      <c r="AO1526" s="473">
        <v>1</v>
      </c>
      <c r="AP1526" s="474">
        <v>9.9198696151185672E-4</v>
      </c>
      <c r="AQ1526" s="352"/>
      <c r="AR1526" s="352"/>
      <c r="AS1526" s="352"/>
      <c r="AT1526" s="352"/>
      <c r="AU1526" s="352"/>
      <c r="AV1526" s="352"/>
      <c r="AW1526" s="352" t="s">
        <v>254</v>
      </c>
    </row>
    <row r="1527" spans="2:49" x14ac:dyDescent="0.2">
      <c r="B1527" s="460" t="s">
        <v>2819</v>
      </c>
      <c r="C1527" s="460">
        <v>2132</v>
      </c>
      <c r="D1527" s="460" t="s">
        <v>2310</v>
      </c>
      <c r="E1527" s="460" t="s">
        <v>2296</v>
      </c>
      <c r="F1527" s="460">
        <v>1</v>
      </c>
      <c r="G1527" s="460">
        <v>2</v>
      </c>
      <c r="H1527" s="461" t="s">
        <v>746</v>
      </c>
      <c r="I1527" s="461" t="s">
        <v>762</v>
      </c>
      <c r="J1527" s="461" t="s">
        <v>700</v>
      </c>
      <c r="K1527" s="594"/>
      <c r="L1527" s="594"/>
      <c r="M1527" s="352">
        <v>2000</v>
      </c>
      <c r="N1527" s="352" t="s">
        <v>703</v>
      </c>
      <c r="O1527" s="460">
        <v>2132</v>
      </c>
      <c r="P1527" s="460" t="s">
        <v>1880</v>
      </c>
      <c r="Q1527" s="460" t="s">
        <v>2289</v>
      </c>
      <c r="R1527" s="460">
        <v>2132</v>
      </c>
      <c r="S1527" s="460" t="s">
        <v>2296</v>
      </c>
      <c r="T1527" s="462">
        <v>1</v>
      </c>
      <c r="U1527" s="460" t="s">
        <v>2296</v>
      </c>
      <c r="V1527" s="475">
        <v>0</v>
      </c>
      <c r="W1527" s="463" t="s">
        <v>2268</v>
      </c>
      <c r="X1527" s="463" t="s">
        <v>2268</v>
      </c>
      <c r="Y1527" s="463" t="s">
        <v>2290</v>
      </c>
      <c r="Z1527" s="463"/>
      <c r="AA1527" s="463"/>
      <c r="AB1527" s="464">
        <v>0</v>
      </c>
      <c r="AC1527" s="465">
        <v>0</v>
      </c>
      <c r="AD1527" s="465">
        <v>0</v>
      </c>
      <c r="AE1527" s="476">
        <v>0</v>
      </c>
      <c r="AF1527" s="467">
        <v>0</v>
      </c>
      <c r="AG1527" s="468">
        <v>0</v>
      </c>
      <c r="AH1527" s="218">
        <v>0</v>
      </c>
      <c r="AI1527" s="470">
        <v>0</v>
      </c>
      <c r="AJ1527" s="471">
        <v>0</v>
      </c>
      <c r="AK1527" s="218">
        <v>0</v>
      </c>
      <c r="AL1527" s="470">
        <v>0</v>
      </c>
      <c r="AM1527" s="471">
        <v>0</v>
      </c>
      <c r="AN1527" s="477">
        <v>0</v>
      </c>
      <c r="AO1527" s="473">
        <v>0</v>
      </c>
      <c r="AP1527" s="474">
        <v>0</v>
      </c>
      <c r="AQ1527" s="352"/>
      <c r="AR1527" s="352"/>
      <c r="AS1527" s="352"/>
      <c r="AT1527" s="352"/>
      <c r="AU1527" s="352"/>
      <c r="AV1527" s="352"/>
      <c r="AW1527" s="352" t="s">
        <v>254</v>
      </c>
    </row>
    <row r="1528" spans="2:49" x14ac:dyDescent="0.2">
      <c r="B1528" s="460" t="s">
        <v>2820</v>
      </c>
      <c r="C1528" s="460">
        <v>2132</v>
      </c>
      <c r="D1528" s="460" t="s">
        <v>2311</v>
      </c>
      <c r="E1528" s="460" t="s">
        <v>2299</v>
      </c>
      <c r="F1528" s="460">
        <v>2</v>
      </c>
      <c r="G1528" s="460">
        <v>2</v>
      </c>
      <c r="H1528" s="461" t="s">
        <v>746</v>
      </c>
      <c r="I1528" s="461" t="s">
        <v>762</v>
      </c>
      <c r="J1528" s="461" t="s">
        <v>700</v>
      </c>
      <c r="K1528" s="594"/>
      <c r="L1528" s="594"/>
      <c r="M1528" s="352">
        <v>2000</v>
      </c>
      <c r="N1528" s="352" t="s">
        <v>703</v>
      </c>
      <c r="O1528" s="460">
        <v>2132</v>
      </c>
      <c r="P1528" s="460" t="s">
        <v>1880</v>
      </c>
      <c r="Q1528" s="460" t="s">
        <v>2289</v>
      </c>
      <c r="R1528" s="460">
        <v>2132</v>
      </c>
      <c r="S1528" s="460" t="s">
        <v>2296</v>
      </c>
      <c r="T1528" s="462">
        <v>0.55517361979372948</v>
      </c>
      <c r="U1528" s="460" t="s">
        <v>2299</v>
      </c>
      <c r="V1528" s="475">
        <v>0</v>
      </c>
      <c r="W1528" s="463" t="s">
        <v>2268</v>
      </c>
      <c r="X1528" s="463" t="s">
        <v>2268</v>
      </c>
      <c r="Y1528" s="463" t="s">
        <v>2290</v>
      </c>
      <c r="Z1528" s="463"/>
      <c r="AA1528" s="463"/>
      <c r="AB1528" s="464">
        <v>0</v>
      </c>
      <c r="AC1528" s="465">
        <v>0</v>
      </c>
      <c r="AD1528" s="465">
        <v>0</v>
      </c>
      <c r="AE1528" s="476">
        <v>0</v>
      </c>
      <c r="AF1528" s="467">
        <v>0</v>
      </c>
      <c r="AG1528" s="468">
        <v>0</v>
      </c>
      <c r="AH1528" s="218">
        <v>0</v>
      </c>
      <c r="AI1528" s="470">
        <v>0</v>
      </c>
      <c r="AJ1528" s="471">
        <v>0</v>
      </c>
      <c r="AK1528" s="218">
        <v>0</v>
      </c>
      <c r="AL1528" s="470">
        <v>0</v>
      </c>
      <c r="AM1528" s="471">
        <v>0</v>
      </c>
      <c r="AN1528" s="477">
        <v>0</v>
      </c>
      <c r="AO1528" s="473">
        <v>0</v>
      </c>
      <c r="AP1528" s="474">
        <v>0</v>
      </c>
      <c r="AQ1528" s="352"/>
      <c r="AR1528" s="352"/>
      <c r="AS1528" s="352"/>
      <c r="AT1528" s="352"/>
      <c r="AU1528" s="352"/>
      <c r="AV1528" s="352"/>
      <c r="AW1528" s="352" t="s">
        <v>254</v>
      </c>
    </row>
    <row r="1529" spans="2:49" x14ac:dyDescent="0.2">
      <c r="B1529" s="460" t="s">
        <v>2821</v>
      </c>
      <c r="C1529" s="460">
        <v>2132</v>
      </c>
      <c r="D1529" s="460" t="s">
        <v>2312</v>
      </c>
      <c r="E1529" s="460" t="s">
        <v>2302</v>
      </c>
      <c r="F1529" s="460">
        <v>3</v>
      </c>
      <c r="G1529" s="460">
        <v>2</v>
      </c>
      <c r="H1529" s="461" t="s">
        <v>746</v>
      </c>
      <c r="I1529" s="461" t="s">
        <v>762</v>
      </c>
      <c r="J1529" s="461" t="s">
        <v>700</v>
      </c>
      <c r="K1529" s="594"/>
      <c r="L1529" s="594"/>
      <c r="M1529" s="352">
        <v>2000</v>
      </c>
      <c r="N1529" s="352" t="s">
        <v>703</v>
      </c>
      <c r="O1529" s="460">
        <v>2132</v>
      </c>
      <c r="P1529" s="460" t="s">
        <v>1880</v>
      </c>
      <c r="Q1529" s="460" t="s">
        <v>2289</v>
      </c>
      <c r="R1529" s="460">
        <v>2132</v>
      </c>
      <c r="S1529" s="460" t="s">
        <v>2296</v>
      </c>
      <c r="T1529" s="462">
        <v>0.28481449642268464</v>
      </c>
      <c r="U1529" s="460" t="s">
        <v>2302</v>
      </c>
      <c r="V1529" s="475">
        <v>0</v>
      </c>
      <c r="W1529" s="463" t="s">
        <v>2268</v>
      </c>
      <c r="X1529" s="463" t="s">
        <v>2268</v>
      </c>
      <c r="Y1529" s="463" t="s">
        <v>2290</v>
      </c>
      <c r="Z1529" s="463"/>
      <c r="AA1529" s="463"/>
      <c r="AB1529" s="464">
        <v>0</v>
      </c>
      <c r="AC1529" s="465">
        <v>0</v>
      </c>
      <c r="AD1529" s="465">
        <v>0</v>
      </c>
      <c r="AE1529" s="476">
        <v>0</v>
      </c>
      <c r="AF1529" s="467">
        <v>0</v>
      </c>
      <c r="AG1529" s="468">
        <v>0</v>
      </c>
      <c r="AH1529" s="218">
        <v>0</v>
      </c>
      <c r="AI1529" s="470">
        <v>0</v>
      </c>
      <c r="AJ1529" s="471">
        <v>0</v>
      </c>
      <c r="AK1529" s="218">
        <v>0</v>
      </c>
      <c r="AL1529" s="470">
        <v>0</v>
      </c>
      <c r="AM1529" s="471">
        <v>0</v>
      </c>
      <c r="AN1529" s="477">
        <v>0</v>
      </c>
      <c r="AO1529" s="473">
        <v>0</v>
      </c>
      <c r="AP1529" s="474">
        <v>0</v>
      </c>
      <c r="AQ1529" s="352"/>
      <c r="AR1529" s="352"/>
      <c r="AS1529" s="352"/>
      <c r="AT1529" s="352"/>
      <c r="AU1529" s="352"/>
      <c r="AV1529" s="352"/>
      <c r="AW1529" s="352" t="s">
        <v>254</v>
      </c>
    </row>
    <row r="1530" spans="2:49" x14ac:dyDescent="0.2">
      <c r="B1530" s="460" t="s">
        <v>2822</v>
      </c>
      <c r="C1530" s="460">
        <v>2132</v>
      </c>
      <c r="D1530" s="460" t="s">
        <v>2313</v>
      </c>
      <c r="E1530" s="460" t="s">
        <v>2305</v>
      </c>
      <c r="F1530" s="460">
        <v>4</v>
      </c>
      <c r="G1530" s="460">
        <v>2</v>
      </c>
      <c r="H1530" s="461" t="s">
        <v>746</v>
      </c>
      <c r="I1530" s="461" t="s">
        <v>762</v>
      </c>
      <c r="J1530" s="461" t="s">
        <v>700</v>
      </c>
      <c r="K1530" s="594"/>
      <c r="L1530" s="594"/>
      <c r="M1530" s="352">
        <v>2000</v>
      </c>
      <c r="N1530" s="352" t="s">
        <v>703</v>
      </c>
      <c r="O1530" s="460">
        <v>2132</v>
      </c>
      <c r="P1530" s="460" t="s">
        <v>1880</v>
      </c>
      <c r="Q1530" s="460" t="s">
        <v>2289</v>
      </c>
      <c r="R1530" s="460">
        <v>2132</v>
      </c>
      <c r="S1530" s="460" t="s">
        <v>2305</v>
      </c>
      <c r="T1530" s="462">
        <v>1</v>
      </c>
      <c r="U1530" s="460" t="s">
        <v>2305</v>
      </c>
      <c r="V1530" s="475">
        <v>0</v>
      </c>
      <c r="W1530" s="463" t="s">
        <v>2268</v>
      </c>
      <c r="X1530" s="463" t="s">
        <v>2268</v>
      </c>
      <c r="Y1530" s="463" t="s">
        <v>2290</v>
      </c>
      <c r="Z1530" s="463"/>
      <c r="AA1530" s="463"/>
      <c r="AB1530" s="464">
        <v>0</v>
      </c>
      <c r="AC1530" s="465">
        <v>0</v>
      </c>
      <c r="AD1530" s="465">
        <v>0</v>
      </c>
      <c r="AE1530" s="476">
        <v>0</v>
      </c>
      <c r="AF1530" s="467">
        <v>0</v>
      </c>
      <c r="AG1530" s="468">
        <v>0</v>
      </c>
      <c r="AH1530" s="218">
        <v>0</v>
      </c>
      <c r="AI1530" s="470">
        <v>0</v>
      </c>
      <c r="AJ1530" s="471">
        <v>0</v>
      </c>
      <c r="AK1530" s="218">
        <v>0</v>
      </c>
      <c r="AL1530" s="470">
        <v>0</v>
      </c>
      <c r="AM1530" s="471">
        <v>0</v>
      </c>
      <c r="AN1530" s="477">
        <v>0</v>
      </c>
      <c r="AO1530" s="473">
        <v>0</v>
      </c>
      <c r="AP1530" s="474">
        <v>0</v>
      </c>
      <c r="AQ1530" s="352"/>
      <c r="AR1530" s="352"/>
      <c r="AS1530" s="352"/>
      <c r="AT1530" s="352"/>
      <c r="AU1530" s="352"/>
      <c r="AV1530" s="352"/>
      <c r="AW1530" s="352" t="s">
        <v>254</v>
      </c>
    </row>
    <row r="1531" spans="2:49" x14ac:dyDescent="0.2">
      <c r="B1531" s="460" t="s">
        <v>2819</v>
      </c>
      <c r="C1531" s="460">
        <v>2132</v>
      </c>
      <c r="D1531" s="460" t="s">
        <v>2314</v>
      </c>
      <c r="E1531" s="460" t="s">
        <v>2296</v>
      </c>
      <c r="F1531" s="460">
        <v>1</v>
      </c>
      <c r="G1531" s="460">
        <v>2</v>
      </c>
      <c r="H1531" s="461" t="s">
        <v>748</v>
      </c>
      <c r="I1531" s="461" t="s">
        <v>765</v>
      </c>
      <c r="J1531" s="461" t="s">
        <v>700</v>
      </c>
      <c r="K1531" s="594"/>
      <c r="L1531" s="594"/>
      <c r="M1531" s="352">
        <v>2000</v>
      </c>
      <c r="N1531" s="352" t="s">
        <v>703</v>
      </c>
      <c r="O1531" s="460">
        <v>2132</v>
      </c>
      <c r="P1531" s="460" t="s">
        <v>1880</v>
      </c>
      <c r="Q1531" s="460" t="s">
        <v>2266</v>
      </c>
      <c r="R1531" s="460">
        <v>2132</v>
      </c>
      <c r="S1531" s="460" t="s">
        <v>2296</v>
      </c>
      <c r="T1531" s="462">
        <v>1</v>
      </c>
      <c r="U1531" s="460" t="s">
        <v>2296</v>
      </c>
      <c r="V1531" s="475">
        <v>0</v>
      </c>
      <c r="W1531" s="463" t="s">
        <v>2268</v>
      </c>
      <c r="X1531" s="463" t="s">
        <v>2268</v>
      </c>
      <c r="Y1531" s="463" t="s">
        <v>2267</v>
      </c>
      <c r="Z1531" s="463"/>
      <c r="AA1531" s="463"/>
      <c r="AB1531" s="464">
        <v>0</v>
      </c>
      <c r="AC1531" s="465">
        <v>0</v>
      </c>
      <c r="AD1531" s="465">
        <v>0</v>
      </c>
      <c r="AE1531" s="476">
        <v>0</v>
      </c>
      <c r="AF1531" s="467">
        <v>0</v>
      </c>
      <c r="AG1531" s="468">
        <v>0</v>
      </c>
      <c r="AH1531" s="218">
        <v>0</v>
      </c>
      <c r="AI1531" s="470">
        <v>0</v>
      </c>
      <c r="AJ1531" s="471">
        <v>0</v>
      </c>
      <c r="AK1531" s="218">
        <v>0</v>
      </c>
      <c r="AL1531" s="470">
        <v>0</v>
      </c>
      <c r="AM1531" s="471">
        <v>0</v>
      </c>
      <c r="AN1531" s="477">
        <v>36.182468979085705</v>
      </c>
      <c r="AO1531" s="473">
        <v>0.15876573896972093</v>
      </c>
      <c r="AP1531" s="474">
        <v>1.1053248661455503E-2</v>
      </c>
      <c r="AQ1531" s="352"/>
      <c r="AR1531" s="352"/>
      <c r="AS1531" s="352"/>
      <c r="AT1531" s="352"/>
      <c r="AU1531" s="352"/>
      <c r="AV1531" s="352"/>
      <c r="AW1531" s="352" t="s">
        <v>254</v>
      </c>
    </row>
    <row r="1532" spans="2:49" x14ac:dyDescent="0.2">
      <c r="B1532" s="460" t="s">
        <v>2820</v>
      </c>
      <c r="C1532" s="460">
        <v>2132</v>
      </c>
      <c r="D1532" s="460" t="s">
        <v>2315</v>
      </c>
      <c r="E1532" s="460" t="s">
        <v>2299</v>
      </c>
      <c r="F1532" s="460">
        <v>2</v>
      </c>
      <c r="G1532" s="460">
        <v>2</v>
      </c>
      <c r="H1532" s="461" t="s">
        <v>748</v>
      </c>
      <c r="I1532" s="461" t="s">
        <v>765</v>
      </c>
      <c r="J1532" s="461" t="s">
        <v>700</v>
      </c>
      <c r="K1532" s="594"/>
      <c r="L1532" s="594"/>
      <c r="M1532" s="352">
        <v>2000</v>
      </c>
      <c r="N1532" s="352" t="s">
        <v>703</v>
      </c>
      <c r="O1532" s="460">
        <v>2132</v>
      </c>
      <c r="P1532" s="460" t="s">
        <v>1880</v>
      </c>
      <c r="Q1532" s="460" t="s">
        <v>2266</v>
      </c>
      <c r="R1532" s="460">
        <v>2132</v>
      </c>
      <c r="S1532" s="460" t="s">
        <v>2296</v>
      </c>
      <c r="T1532" s="462">
        <v>0.55517361979372948</v>
      </c>
      <c r="U1532" s="460" t="s">
        <v>2299</v>
      </c>
      <c r="V1532" s="475">
        <v>0</v>
      </c>
      <c r="W1532" s="463" t="s">
        <v>2268</v>
      </c>
      <c r="X1532" s="463" t="s">
        <v>2268</v>
      </c>
      <c r="Y1532" s="463" t="s">
        <v>2267</v>
      </c>
      <c r="Z1532" s="463"/>
      <c r="AA1532" s="463"/>
      <c r="AB1532" s="464">
        <v>0</v>
      </c>
      <c r="AC1532" s="465">
        <v>0</v>
      </c>
      <c r="AD1532" s="465">
        <v>0</v>
      </c>
      <c r="AE1532" s="476">
        <v>0</v>
      </c>
      <c r="AF1532" s="467">
        <v>0</v>
      </c>
      <c r="AG1532" s="468">
        <v>0</v>
      </c>
      <c r="AH1532" s="218">
        <v>0</v>
      </c>
      <c r="AI1532" s="470">
        <v>0</v>
      </c>
      <c r="AJ1532" s="471">
        <v>0</v>
      </c>
      <c r="AK1532" s="218">
        <v>0</v>
      </c>
      <c r="AL1532" s="470">
        <v>0</v>
      </c>
      <c r="AM1532" s="471">
        <v>0</v>
      </c>
      <c r="AN1532" s="477">
        <v>10.843085838872184</v>
      </c>
      <c r="AO1532" s="473">
        <v>0.17323531033862263</v>
      </c>
      <c r="AP1532" s="474">
        <v>1.0045925005534169E-2</v>
      </c>
      <c r="AQ1532" s="352"/>
      <c r="AR1532" s="352"/>
      <c r="AS1532" s="352"/>
      <c r="AT1532" s="352"/>
      <c r="AU1532" s="352"/>
      <c r="AV1532" s="352"/>
      <c r="AW1532" s="352" t="s">
        <v>254</v>
      </c>
    </row>
    <row r="1533" spans="2:49" x14ac:dyDescent="0.2">
      <c r="B1533" s="460" t="s">
        <v>2821</v>
      </c>
      <c r="C1533" s="460">
        <v>2132</v>
      </c>
      <c r="D1533" s="460" t="s">
        <v>2316</v>
      </c>
      <c r="E1533" s="460" t="s">
        <v>2302</v>
      </c>
      <c r="F1533" s="460">
        <v>3</v>
      </c>
      <c r="G1533" s="460">
        <v>2</v>
      </c>
      <c r="H1533" s="461" t="s">
        <v>748</v>
      </c>
      <c r="I1533" s="461" t="s">
        <v>765</v>
      </c>
      <c r="J1533" s="461" t="s">
        <v>700</v>
      </c>
      <c r="K1533" s="594"/>
      <c r="L1533" s="594"/>
      <c r="M1533" s="352">
        <v>2000</v>
      </c>
      <c r="N1533" s="352" t="s">
        <v>703</v>
      </c>
      <c r="O1533" s="460">
        <v>2132</v>
      </c>
      <c r="P1533" s="460" t="s">
        <v>1880</v>
      </c>
      <c r="Q1533" s="460" t="s">
        <v>2266</v>
      </c>
      <c r="R1533" s="460">
        <v>2132</v>
      </c>
      <c r="S1533" s="460" t="s">
        <v>2296</v>
      </c>
      <c r="T1533" s="462">
        <v>0.28481449642268464</v>
      </c>
      <c r="U1533" s="460" t="s">
        <v>2302</v>
      </c>
      <c r="V1533" s="475">
        <v>0</v>
      </c>
      <c r="W1533" s="463" t="s">
        <v>2268</v>
      </c>
      <c r="X1533" s="463" t="s">
        <v>2268</v>
      </c>
      <c r="Y1533" s="463" t="s">
        <v>2267</v>
      </c>
      <c r="Z1533" s="463"/>
      <c r="AA1533" s="463"/>
      <c r="AB1533" s="464">
        <v>0</v>
      </c>
      <c r="AC1533" s="465">
        <v>0</v>
      </c>
      <c r="AD1533" s="465">
        <v>0</v>
      </c>
      <c r="AE1533" s="476">
        <v>0</v>
      </c>
      <c r="AF1533" s="467">
        <v>0</v>
      </c>
      <c r="AG1533" s="468">
        <v>0</v>
      </c>
      <c r="AH1533" s="218">
        <v>0</v>
      </c>
      <c r="AI1533" s="470">
        <v>0</v>
      </c>
      <c r="AJ1533" s="471">
        <v>0</v>
      </c>
      <c r="AK1533" s="218">
        <v>0</v>
      </c>
      <c r="AL1533" s="470">
        <v>0</v>
      </c>
      <c r="AM1533" s="471">
        <v>0</v>
      </c>
      <c r="AN1533" s="477">
        <v>1.5871512054899064</v>
      </c>
      <c r="AO1533" s="473">
        <v>4.5218783993836463E-2</v>
      </c>
      <c r="AP1533" s="474">
        <v>6.7913146158164617E-3</v>
      </c>
      <c r="AQ1533" s="352"/>
      <c r="AR1533" s="352"/>
      <c r="AS1533" s="352"/>
      <c r="AT1533" s="352"/>
      <c r="AU1533" s="352"/>
      <c r="AV1533" s="352"/>
      <c r="AW1533" s="352" t="s">
        <v>254</v>
      </c>
    </row>
    <row r="1534" spans="2:49" x14ac:dyDescent="0.2">
      <c r="B1534" s="460" t="s">
        <v>2822</v>
      </c>
      <c r="C1534" s="460">
        <v>2132</v>
      </c>
      <c r="D1534" s="460" t="s">
        <v>2317</v>
      </c>
      <c r="E1534" s="460" t="s">
        <v>2305</v>
      </c>
      <c r="F1534" s="460">
        <v>4</v>
      </c>
      <c r="G1534" s="460">
        <v>2</v>
      </c>
      <c r="H1534" s="461" t="s">
        <v>748</v>
      </c>
      <c r="I1534" s="461" t="s">
        <v>765</v>
      </c>
      <c r="J1534" s="461" t="s">
        <v>700</v>
      </c>
      <c r="K1534" s="594"/>
      <c r="L1534" s="594"/>
      <c r="M1534" s="352">
        <v>2000</v>
      </c>
      <c r="N1534" s="352" t="s">
        <v>703</v>
      </c>
      <c r="O1534" s="460">
        <v>2132</v>
      </c>
      <c r="P1534" s="460" t="s">
        <v>1880</v>
      </c>
      <c r="Q1534" s="460" t="s">
        <v>2266</v>
      </c>
      <c r="R1534" s="460">
        <v>2132</v>
      </c>
      <c r="S1534" s="460" t="s">
        <v>2305</v>
      </c>
      <c r="T1534" s="462">
        <v>1</v>
      </c>
      <c r="U1534" s="460" t="s">
        <v>2305</v>
      </c>
      <c r="V1534" s="475">
        <v>0</v>
      </c>
      <c r="W1534" s="463" t="s">
        <v>2268</v>
      </c>
      <c r="X1534" s="463" t="s">
        <v>2268</v>
      </c>
      <c r="Y1534" s="463" t="s">
        <v>2278</v>
      </c>
      <c r="Z1534" s="463"/>
      <c r="AA1534" s="463"/>
      <c r="AB1534" s="464">
        <v>0</v>
      </c>
      <c r="AC1534" s="465">
        <v>0</v>
      </c>
      <c r="AD1534" s="465">
        <v>0</v>
      </c>
      <c r="AE1534" s="476">
        <v>0</v>
      </c>
      <c r="AF1534" s="467">
        <v>0</v>
      </c>
      <c r="AG1534" s="468">
        <v>0</v>
      </c>
      <c r="AH1534" s="218">
        <v>0</v>
      </c>
      <c r="AI1534" s="470">
        <v>0</v>
      </c>
      <c r="AJ1534" s="471">
        <v>0</v>
      </c>
      <c r="AK1534" s="218">
        <v>0</v>
      </c>
      <c r="AL1534" s="470">
        <v>0</v>
      </c>
      <c r="AM1534" s="471">
        <v>0</v>
      </c>
      <c r="AN1534" s="477">
        <v>0</v>
      </c>
      <c r="AO1534" s="473">
        <v>0</v>
      </c>
      <c r="AP1534" s="474">
        <v>0</v>
      </c>
      <c r="AQ1534" s="352"/>
      <c r="AR1534" s="352"/>
      <c r="AS1534" s="352"/>
      <c r="AT1534" s="352"/>
      <c r="AU1534" s="352"/>
      <c r="AV1534" s="352"/>
      <c r="AW1534" s="352" t="s">
        <v>254</v>
      </c>
    </row>
    <row r="1535" spans="2:49" x14ac:dyDescent="0.2">
      <c r="B1535" s="460" t="s">
        <v>2823</v>
      </c>
      <c r="C1535" s="460">
        <v>2132</v>
      </c>
      <c r="D1535" s="460" t="s">
        <v>2323</v>
      </c>
      <c r="E1535" s="460" t="s">
        <v>2324</v>
      </c>
      <c r="F1535" s="460">
        <v>1</v>
      </c>
      <c r="G1535" s="460">
        <v>3</v>
      </c>
      <c r="H1535" s="461" t="s">
        <v>700</v>
      </c>
      <c r="I1535" s="461" t="s">
        <v>872</v>
      </c>
      <c r="J1535" s="461" t="s">
        <v>700</v>
      </c>
      <c r="K1535" s="594"/>
      <c r="L1535" s="594"/>
      <c r="M1535" s="352">
        <v>2000</v>
      </c>
      <c r="N1535" s="352" t="s">
        <v>703</v>
      </c>
      <c r="O1535" s="460">
        <v>2132</v>
      </c>
      <c r="P1535" s="460" t="s">
        <v>1880</v>
      </c>
      <c r="Q1535" s="460" t="s">
        <v>2266</v>
      </c>
      <c r="R1535" s="460">
        <v>2132</v>
      </c>
      <c r="S1535" s="460" t="s">
        <v>2324</v>
      </c>
      <c r="T1535" s="462">
        <v>1</v>
      </c>
      <c r="U1535" s="460" t="s">
        <v>2324</v>
      </c>
      <c r="V1535" s="475">
        <v>0</v>
      </c>
      <c r="W1535" s="463" t="s">
        <v>2267</v>
      </c>
      <c r="X1535" s="463" t="s">
        <v>2267</v>
      </c>
      <c r="Y1535" s="463" t="s">
        <v>2268</v>
      </c>
      <c r="Z1535" s="463"/>
      <c r="AA1535" s="463"/>
      <c r="AB1535" s="464">
        <v>244.93216141995134</v>
      </c>
      <c r="AC1535" s="465">
        <v>0.39218095004559228</v>
      </c>
      <c r="AD1535" s="465">
        <v>2.0997249771222658E-3</v>
      </c>
      <c r="AE1535" s="476">
        <v>244.93216141995134</v>
      </c>
      <c r="AF1535" s="467">
        <v>0.39218095004559228</v>
      </c>
      <c r="AG1535" s="468">
        <v>2.2492214180911013E-3</v>
      </c>
      <c r="AH1535" s="218">
        <v>244.93216141995134</v>
      </c>
      <c r="AI1535" s="470">
        <v>0.39218095004559228</v>
      </c>
      <c r="AJ1535" s="471">
        <v>2.1478610251584765E-3</v>
      </c>
      <c r="AK1535" s="218">
        <v>244.93216141995134</v>
      </c>
      <c r="AL1535" s="470">
        <v>0.39218095004559228</v>
      </c>
      <c r="AM1535" s="471">
        <v>2.1478610251584765E-3</v>
      </c>
      <c r="AN1535" s="477">
        <v>0</v>
      </c>
      <c r="AO1535" s="473">
        <v>0</v>
      </c>
      <c r="AP1535" s="474">
        <v>0</v>
      </c>
      <c r="AQ1535" s="352"/>
      <c r="AR1535" s="352"/>
      <c r="AS1535" s="352"/>
      <c r="AT1535" s="352"/>
      <c r="AU1535" s="352"/>
      <c r="AV1535" s="352"/>
      <c r="AW1535" s="352" t="s">
        <v>254</v>
      </c>
    </row>
    <row r="1536" spans="2:49" x14ac:dyDescent="0.2">
      <c r="B1536" s="460" t="s">
        <v>2824</v>
      </c>
      <c r="C1536" s="460">
        <v>2132</v>
      </c>
      <c r="D1536" s="460" t="s">
        <v>2326</v>
      </c>
      <c r="E1536" s="460" t="s">
        <v>2327</v>
      </c>
      <c r="F1536" s="460">
        <v>2</v>
      </c>
      <c r="G1536" s="460">
        <v>3</v>
      </c>
      <c r="H1536" s="461" t="s">
        <v>700</v>
      </c>
      <c r="I1536" s="461" t="s">
        <v>872</v>
      </c>
      <c r="J1536" s="461" t="s">
        <v>700</v>
      </c>
      <c r="K1536" s="594"/>
      <c r="L1536" s="594"/>
      <c r="M1536" s="352">
        <v>2000</v>
      </c>
      <c r="N1536" s="352" t="s">
        <v>703</v>
      </c>
      <c r="O1536" s="460">
        <v>2132</v>
      </c>
      <c r="P1536" s="460" t="s">
        <v>1880</v>
      </c>
      <c r="Q1536" s="460" t="s">
        <v>2266</v>
      </c>
      <c r="R1536" s="460">
        <v>2132</v>
      </c>
      <c r="S1536" s="460" t="s">
        <v>2324</v>
      </c>
      <c r="T1536" s="462">
        <v>1</v>
      </c>
      <c r="U1536" s="460" t="s">
        <v>2327</v>
      </c>
      <c r="V1536" s="475">
        <v>0</v>
      </c>
      <c r="W1536" s="463" t="s">
        <v>2503</v>
      </c>
      <c r="X1536" s="463" t="s">
        <v>2267</v>
      </c>
      <c r="Y1536" s="463" t="s">
        <v>2268</v>
      </c>
      <c r="Z1536" s="463"/>
      <c r="AA1536" s="463"/>
      <c r="AB1536" s="464">
        <v>101.72730443275381</v>
      </c>
      <c r="AC1536" s="465">
        <v>0.16133089522507638</v>
      </c>
      <c r="AD1536" s="465">
        <v>1.5024937811530966E-3</v>
      </c>
      <c r="AE1536" s="476">
        <v>61.036382659652283</v>
      </c>
      <c r="AF1536" s="467">
        <v>9.6798537135045826E-2</v>
      </c>
      <c r="AG1536" s="468">
        <v>9.7642035265368553E-4</v>
      </c>
      <c r="AH1536" s="218">
        <v>247.28996168003314</v>
      </c>
      <c r="AI1536" s="470">
        <v>0.39218095004559228</v>
      </c>
      <c r="AJ1536" s="471">
        <v>3.329311959741935E-3</v>
      </c>
      <c r="AK1536" s="218">
        <v>247.28996168003314</v>
      </c>
      <c r="AL1536" s="470">
        <v>0.39218095004559228</v>
      </c>
      <c r="AM1536" s="471">
        <v>3.329311959741935E-3</v>
      </c>
      <c r="AN1536" s="477">
        <v>0</v>
      </c>
      <c r="AO1536" s="473">
        <v>0</v>
      </c>
      <c r="AP1536" s="474">
        <v>0</v>
      </c>
      <c r="AQ1536" s="352"/>
      <c r="AR1536" s="352"/>
      <c r="AS1536" s="352"/>
      <c r="AT1536" s="352"/>
      <c r="AU1536" s="352"/>
      <c r="AV1536" s="352"/>
      <c r="AW1536" s="352" t="s">
        <v>254</v>
      </c>
    </row>
    <row r="1537" spans="2:49" x14ac:dyDescent="0.2">
      <c r="B1537" s="460" t="s">
        <v>2825</v>
      </c>
      <c r="C1537" s="460">
        <v>2132</v>
      </c>
      <c r="D1537" s="460" t="s">
        <v>2329</v>
      </c>
      <c r="E1537" s="460" t="s">
        <v>2330</v>
      </c>
      <c r="F1537" s="460">
        <v>3</v>
      </c>
      <c r="G1537" s="460">
        <v>3</v>
      </c>
      <c r="H1537" s="461" t="s">
        <v>700</v>
      </c>
      <c r="I1537" s="461" t="s">
        <v>872</v>
      </c>
      <c r="J1537" s="461" t="s">
        <v>700</v>
      </c>
      <c r="K1537" s="594"/>
      <c r="L1537" s="594"/>
      <c r="M1537" s="352">
        <v>2000</v>
      </c>
      <c r="N1537" s="352" t="s">
        <v>703</v>
      </c>
      <c r="O1537" s="460">
        <v>2132</v>
      </c>
      <c r="P1537" s="460" t="s">
        <v>1880</v>
      </c>
      <c r="Q1537" s="460" t="s">
        <v>2266</v>
      </c>
      <c r="R1537" s="460">
        <v>2132</v>
      </c>
      <c r="S1537" s="460" t="s">
        <v>2324</v>
      </c>
      <c r="T1537" s="462">
        <v>1</v>
      </c>
      <c r="U1537" s="460" t="s">
        <v>2330</v>
      </c>
      <c r="V1537" s="475">
        <v>0</v>
      </c>
      <c r="W1537" s="463" t="s">
        <v>2503</v>
      </c>
      <c r="X1537" s="463" t="s">
        <v>2267</v>
      </c>
      <c r="Y1537" s="463" t="s">
        <v>2268</v>
      </c>
      <c r="Z1537" s="463"/>
      <c r="AA1537" s="463"/>
      <c r="AB1537" s="464">
        <v>16.695232776276377</v>
      </c>
      <c r="AC1537" s="465">
        <v>5.3260345365879869E-2</v>
      </c>
      <c r="AD1537" s="465">
        <v>6.3043220429359311E-4</v>
      </c>
      <c r="AE1537" s="476">
        <v>10.017139665765825</v>
      </c>
      <c r="AF1537" s="467">
        <v>3.1956207219527917E-2</v>
      </c>
      <c r="AG1537" s="468">
        <v>4.0540427983360122E-4</v>
      </c>
      <c r="AH1537" s="218">
        <v>122.93484404678557</v>
      </c>
      <c r="AI1537" s="470">
        <v>0.39218095004559228</v>
      </c>
      <c r="AJ1537" s="471">
        <v>4.3312830918562856E-3</v>
      </c>
      <c r="AK1537" s="218">
        <v>122.93484404678557</v>
      </c>
      <c r="AL1537" s="470">
        <v>0.39218095004559228</v>
      </c>
      <c r="AM1537" s="471">
        <v>4.3312830918562856E-3</v>
      </c>
      <c r="AN1537" s="477">
        <v>0</v>
      </c>
      <c r="AO1537" s="473">
        <v>0</v>
      </c>
      <c r="AP1537" s="474">
        <v>0</v>
      </c>
      <c r="AQ1537" s="352"/>
      <c r="AR1537" s="352"/>
      <c r="AS1537" s="352"/>
      <c r="AT1537" s="352"/>
      <c r="AU1537" s="352"/>
      <c r="AV1537" s="352"/>
      <c r="AW1537" s="352" t="s">
        <v>254</v>
      </c>
    </row>
    <row r="1538" spans="2:49" x14ac:dyDescent="0.2">
      <c r="B1538" s="460" t="s">
        <v>2826</v>
      </c>
      <c r="C1538" s="460">
        <v>2132</v>
      </c>
      <c r="D1538" s="460" t="s">
        <v>2332</v>
      </c>
      <c r="E1538" s="460" t="s">
        <v>2333</v>
      </c>
      <c r="F1538" s="460">
        <v>4</v>
      </c>
      <c r="G1538" s="460">
        <v>3</v>
      </c>
      <c r="H1538" s="461" t="s">
        <v>700</v>
      </c>
      <c r="I1538" s="461" t="s">
        <v>872</v>
      </c>
      <c r="J1538" s="461" t="s">
        <v>700</v>
      </c>
      <c r="K1538" s="594"/>
      <c r="L1538" s="594"/>
      <c r="M1538" s="352">
        <v>2000</v>
      </c>
      <c r="N1538" s="352" t="s">
        <v>703</v>
      </c>
      <c r="O1538" s="460">
        <v>2132</v>
      </c>
      <c r="P1538" s="460" t="s">
        <v>1880</v>
      </c>
      <c r="Q1538" s="460" t="s">
        <v>2266</v>
      </c>
      <c r="R1538" s="460">
        <v>2132</v>
      </c>
      <c r="S1538" s="460" t="s">
        <v>2333</v>
      </c>
      <c r="T1538" s="462">
        <v>1</v>
      </c>
      <c r="U1538" s="460" t="s">
        <v>2333</v>
      </c>
      <c r="V1538" s="475">
        <v>0</v>
      </c>
      <c r="W1538" s="463" t="s">
        <v>2503</v>
      </c>
      <c r="X1538" s="463" t="s">
        <v>2278</v>
      </c>
      <c r="Y1538" s="463" t="s">
        <v>2268</v>
      </c>
      <c r="Z1538" s="463"/>
      <c r="AA1538" s="463"/>
      <c r="AB1538" s="464">
        <v>0.32715521375866435</v>
      </c>
      <c r="AC1538" s="465">
        <v>9.7135168721803862E-4</v>
      </c>
      <c r="AD1538" s="465">
        <v>2.2563419429667004E-5</v>
      </c>
      <c r="AE1538" s="476">
        <v>0.1962931282551986</v>
      </c>
      <c r="AF1538" s="467">
        <v>5.8281101233082313E-4</v>
      </c>
      <c r="AG1538" s="468">
        <v>1.4940957181358376E-5</v>
      </c>
      <c r="AH1538" s="218">
        <v>0.32715521375866435</v>
      </c>
      <c r="AI1538" s="470">
        <v>9.7135168721803862E-4</v>
      </c>
      <c r="AJ1538" s="471">
        <v>2.4126526045050865E-5</v>
      </c>
      <c r="AK1538" s="218">
        <v>0.32715521375866435</v>
      </c>
      <c r="AL1538" s="470">
        <v>9.7135168721803862E-4</v>
      </c>
      <c r="AM1538" s="471">
        <v>2.4126526045050865E-5</v>
      </c>
      <c r="AN1538" s="477">
        <v>0</v>
      </c>
      <c r="AO1538" s="473">
        <v>0</v>
      </c>
      <c r="AP1538" s="474">
        <v>0</v>
      </c>
      <c r="AQ1538" s="352"/>
      <c r="AR1538" s="352"/>
      <c r="AS1538" s="352"/>
      <c r="AT1538" s="352"/>
      <c r="AU1538" s="352"/>
      <c r="AV1538" s="352"/>
      <c r="AW1538" s="352" t="s">
        <v>254</v>
      </c>
    </row>
    <row r="1539" spans="2:49" x14ac:dyDescent="0.2">
      <c r="B1539" s="460" t="s">
        <v>2823</v>
      </c>
      <c r="C1539" s="460">
        <v>2132</v>
      </c>
      <c r="D1539" s="460" t="s">
        <v>2334</v>
      </c>
      <c r="E1539" s="460" t="s">
        <v>2324</v>
      </c>
      <c r="F1539" s="460">
        <v>1</v>
      </c>
      <c r="G1539" s="460">
        <v>3</v>
      </c>
      <c r="H1539" s="461" t="s">
        <v>712</v>
      </c>
      <c r="I1539" s="461" t="s">
        <v>713</v>
      </c>
      <c r="J1539" s="461" t="s">
        <v>712</v>
      </c>
      <c r="K1539" s="594"/>
      <c r="L1539" s="594"/>
      <c r="M1539" s="352">
        <v>2000</v>
      </c>
      <c r="N1539" s="352" t="s">
        <v>703</v>
      </c>
      <c r="O1539" s="460">
        <v>2132</v>
      </c>
      <c r="P1539" s="460" t="s">
        <v>1880</v>
      </c>
      <c r="Q1539" s="460" t="s">
        <v>2280</v>
      </c>
      <c r="R1539" s="460">
        <v>2132</v>
      </c>
      <c r="S1539" s="460" t="s">
        <v>2324</v>
      </c>
      <c r="T1539" s="462">
        <v>1</v>
      </c>
      <c r="U1539" s="460" t="s">
        <v>2324</v>
      </c>
      <c r="V1539" s="475">
        <v>0</v>
      </c>
      <c r="W1539" s="463" t="s">
        <v>713</v>
      </c>
      <c r="X1539" s="463" t="s">
        <v>713</v>
      </c>
      <c r="Y1539" s="463" t="s">
        <v>713</v>
      </c>
      <c r="Z1539" s="463"/>
      <c r="AA1539" s="463"/>
      <c r="AB1539" s="464">
        <v>379.60648940303531</v>
      </c>
      <c r="AC1539" s="465">
        <v>0.60781904995440761</v>
      </c>
      <c r="AD1539" s="465">
        <v>9.4783796018794726E-4</v>
      </c>
      <c r="AE1539" s="476">
        <v>379.60648940303537</v>
      </c>
      <c r="AF1539" s="467">
        <v>0.60781904995440772</v>
      </c>
      <c r="AG1539" s="468">
        <v>9.2983725755746264E-4</v>
      </c>
      <c r="AH1539" s="218">
        <v>379.60648940303537</v>
      </c>
      <c r="AI1539" s="470">
        <v>0.60781904995440772</v>
      </c>
      <c r="AJ1539" s="471">
        <v>9.4169105421981617E-4</v>
      </c>
      <c r="AK1539" s="218">
        <v>379.60648940303537</v>
      </c>
      <c r="AL1539" s="470">
        <v>0.60781904995440772</v>
      </c>
      <c r="AM1539" s="471">
        <v>9.4169105421981617E-4</v>
      </c>
      <c r="AN1539" s="477">
        <v>379.60648940303537</v>
      </c>
      <c r="AO1539" s="473">
        <v>0.60781904995440772</v>
      </c>
      <c r="AP1539" s="474">
        <v>9.4123277762993708E-4</v>
      </c>
      <c r="AQ1539" s="352"/>
      <c r="AR1539" s="352"/>
      <c r="AS1539" s="352"/>
      <c r="AT1539" s="352"/>
      <c r="AU1539" s="352"/>
      <c r="AV1539" s="352"/>
      <c r="AW1539" s="352" t="s">
        <v>254</v>
      </c>
    </row>
    <row r="1540" spans="2:49" x14ac:dyDescent="0.2">
      <c r="B1540" s="460" t="s">
        <v>2824</v>
      </c>
      <c r="C1540" s="460">
        <v>2132</v>
      </c>
      <c r="D1540" s="460" t="s">
        <v>2335</v>
      </c>
      <c r="E1540" s="460" t="s">
        <v>2327</v>
      </c>
      <c r="F1540" s="460">
        <v>2</v>
      </c>
      <c r="G1540" s="460">
        <v>3</v>
      </c>
      <c r="H1540" s="461" t="s">
        <v>712</v>
      </c>
      <c r="I1540" s="461" t="s">
        <v>713</v>
      </c>
      <c r="J1540" s="461" t="s">
        <v>712</v>
      </c>
      <c r="K1540" s="594"/>
      <c r="L1540" s="594"/>
      <c r="M1540" s="352">
        <v>2000</v>
      </c>
      <c r="N1540" s="352" t="s">
        <v>703</v>
      </c>
      <c r="O1540" s="460">
        <v>2132</v>
      </c>
      <c r="P1540" s="460" t="s">
        <v>1880</v>
      </c>
      <c r="Q1540" s="460" t="s">
        <v>2280</v>
      </c>
      <c r="R1540" s="460">
        <v>2132</v>
      </c>
      <c r="S1540" s="460" t="s">
        <v>2324</v>
      </c>
      <c r="T1540" s="462">
        <v>1</v>
      </c>
      <c r="U1540" s="460" t="s">
        <v>2327</v>
      </c>
      <c r="V1540" s="475">
        <v>0</v>
      </c>
      <c r="W1540" s="463" t="s">
        <v>713</v>
      </c>
      <c r="X1540" s="463" t="s">
        <v>713</v>
      </c>
      <c r="Y1540" s="463" t="s">
        <v>713</v>
      </c>
      <c r="Z1540" s="463"/>
      <c r="AA1540" s="463"/>
      <c r="AB1540" s="464">
        <v>528.8233677793587</v>
      </c>
      <c r="AC1540" s="465">
        <v>0.83866910477492362</v>
      </c>
      <c r="AD1540" s="465">
        <v>1.6936089210948292E-3</v>
      </c>
      <c r="AE1540" s="476">
        <v>569.51428955246024</v>
      </c>
      <c r="AF1540" s="467">
        <v>0.90320146286495417</v>
      </c>
      <c r="AG1540" s="468">
        <v>1.7940750398033449E-3</v>
      </c>
      <c r="AH1540" s="218">
        <v>383.26071053207943</v>
      </c>
      <c r="AI1540" s="470">
        <v>0.60781904995440772</v>
      </c>
      <c r="AJ1540" s="471">
        <v>1.2555923949823448E-3</v>
      </c>
      <c r="AK1540" s="218">
        <v>383.26071053207943</v>
      </c>
      <c r="AL1540" s="470">
        <v>0.60781904995440772</v>
      </c>
      <c r="AM1540" s="471">
        <v>1.2555923949823448E-3</v>
      </c>
      <c r="AN1540" s="477">
        <v>383.26071053207943</v>
      </c>
      <c r="AO1540" s="473">
        <v>0.60781904995440772</v>
      </c>
      <c r="AP1540" s="474">
        <v>1.2551001226190001E-3</v>
      </c>
      <c r="AQ1540" s="352"/>
      <c r="AR1540" s="352"/>
      <c r="AS1540" s="352"/>
      <c r="AT1540" s="352"/>
      <c r="AU1540" s="352"/>
      <c r="AV1540" s="352"/>
      <c r="AW1540" s="352" t="s">
        <v>254</v>
      </c>
    </row>
    <row r="1541" spans="2:49" x14ac:dyDescent="0.2">
      <c r="B1541" s="460" t="s">
        <v>2825</v>
      </c>
      <c r="C1541" s="460">
        <v>2132</v>
      </c>
      <c r="D1541" s="460" t="s">
        <v>2336</v>
      </c>
      <c r="E1541" s="460" t="s">
        <v>2330</v>
      </c>
      <c r="F1541" s="460">
        <v>3</v>
      </c>
      <c r="G1541" s="460">
        <v>3</v>
      </c>
      <c r="H1541" s="461" t="s">
        <v>712</v>
      </c>
      <c r="I1541" s="461" t="s">
        <v>713</v>
      </c>
      <c r="J1541" s="461" t="s">
        <v>712</v>
      </c>
      <c r="K1541" s="594"/>
      <c r="L1541" s="594"/>
      <c r="M1541" s="352">
        <v>2000</v>
      </c>
      <c r="N1541" s="352" t="s">
        <v>703</v>
      </c>
      <c r="O1541" s="460">
        <v>2132</v>
      </c>
      <c r="P1541" s="460" t="s">
        <v>1880</v>
      </c>
      <c r="Q1541" s="460" t="s">
        <v>2280</v>
      </c>
      <c r="R1541" s="460">
        <v>2132</v>
      </c>
      <c r="S1541" s="460" t="s">
        <v>2324</v>
      </c>
      <c r="T1541" s="462">
        <v>1</v>
      </c>
      <c r="U1541" s="460" t="s">
        <v>2330</v>
      </c>
      <c r="V1541" s="475">
        <v>0</v>
      </c>
      <c r="W1541" s="463" t="s">
        <v>713</v>
      </c>
      <c r="X1541" s="463" t="s">
        <v>713</v>
      </c>
      <c r="Y1541" s="463" t="s">
        <v>713</v>
      </c>
      <c r="Z1541" s="463"/>
      <c r="AA1541" s="463"/>
      <c r="AB1541" s="464">
        <v>296.76936572728175</v>
      </c>
      <c r="AC1541" s="465">
        <v>0.94673965463412013</v>
      </c>
      <c r="AD1541" s="465">
        <v>2.6276740312551465E-3</v>
      </c>
      <c r="AE1541" s="476">
        <v>303.44745883779228</v>
      </c>
      <c r="AF1541" s="467">
        <v>0.96804379278047203</v>
      </c>
      <c r="AG1541" s="468">
        <v>2.6452721167818279E-3</v>
      </c>
      <c r="AH1541" s="218">
        <v>190.52975445677257</v>
      </c>
      <c r="AI1541" s="470">
        <v>0.60781904995440772</v>
      </c>
      <c r="AJ1541" s="471">
        <v>1.7243398123649879E-3</v>
      </c>
      <c r="AK1541" s="218">
        <v>190.52975445677257</v>
      </c>
      <c r="AL1541" s="470">
        <v>0.60781904995440772</v>
      </c>
      <c r="AM1541" s="471">
        <v>1.7243398123649879E-3</v>
      </c>
      <c r="AN1541" s="477">
        <v>190.52975445677257</v>
      </c>
      <c r="AO1541" s="473">
        <v>0.60781904995440772</v>
      </c>
      <c r="AP1541" s="474">
        <v>1.7287905238580661E-3</v>
      </c>
      <c r="AQ1541" s="352"/>
      <c r="AR1541" s="352"/>
      <c r="AS1541" s="352"/>
      <c r="AT1541" s="352"/>
      <c r="AU1541" s="352"/>
      <c r="AV1541" s="352"/>
      <c r="AW1541" s="352" t="s">
        <v>254</v>
      </c>
    </row>
    <row r="1542" spans="2:49" x14ac:dyDescent="0.2">
      <c r="B1542" s="460" t="s">
        <v>2826</v>
      </c>
      <c r="C1542" s="460">
        <v>2132</v>
      </c>
      <c r="D1542" s="460" t="s">
        <v>2337</v>
      </c>
      <c r="E1542" s="460" t="s">
        <v>2333</v>
      </c>
      <c r="F1542" s="460">
        <v>4</v>
      </c>
      <c r="G1542" s="460">
        <v>3</v>
      </c>
      <c r="H1542" s="461" t="s">
        <v>712</v>
      </c>
      <c r="I1542" s="461" t="s">
        <v>713</v>
      </c>
      <c r="J1542" s="461" t="s">
        <v>712</v>
      </c>
      <c r="K1542" s="594"/>
      <c r="L1542" s="594"/>
      <c r="M1542" s="352">
        <v>2000</v>
      </c>
      <c r="N1542" s="352" t="s">
        <v>703</v>
      </c>
      <c r="O1542" s="460">
        <v>2132</v>
      </c>
      <c r="P1542" s="460" t="s">
        <v>1880</v>
      </c>
      <c r="Q1542" s="460" t="s">
        <v>2280</v>
      </c>
      <c r="R1542" s="460">
        <v>2132</v>
      </c>
      <c r="S1542" s="460" t="s">
        <v>2333</v>
      </c>
      <c r="T1542" s="462">
        <v>1</v>
      </c>
      <c r="U1542" s="460" t="s">
        <v>2333</v>
      </c>
      <c r="V1542" s="475">
        <v>0</v>
      </c>
      <c r="W1542" s="463" t="s">
        <v>713</v>
      </c>
      <c r="X1542" s="463" t="s">
        <v>713</v>
      </c>
      <c r="Y1542" s="463" t="s">
        <v>713</v>
      </c>
      <c r="Z1542" s="463"/>
      <c r="AA1542" s="463"/>
      <c r="AB1542" s="464">
        <v>336.47692724543828</v>
      </c>
      <c r="AC1542" s="465">
        <v>0.99902864831278193</v>
      </c>
      <c r="AD1542" s="465">
        <v>2.5580559579889109E-3</v>
      </c>
      <c r="AE1542" s="476">
        <v>336.60778933094173</v>
      </c>
      <c r="AF1542" s="467">
        <v>0.99941718898766918</v>
      </c>
      <c r="AG1542" s="468">
        <v>2.5328351840707736E-3</v>
      </c>
      <c r="AH1542" s="218">
        <v>336.47692724543828</v>
      </c>
      <c r="AI1542" s="470">
        <v>0.99902864831278193</v>
      </c>
      <c r="AJ1542" s="471">
        <v>2.5399168059666833E-3</v>
      </c>
      <c r="AK1542" s="218">
        <v>336.47692724543828</v>
      </c>
      <c r="AL1542" s="470">
        <v>0.99902864831278193</v>
      </c>
      <c r="AM1542" s="471">
        <v>2.5399168059666833E-3</v>
      </c>
      <c r="AN1542" s="477">
        <v>336.47692724543828</v>
      </c>
      <c r="AO1542" s="473">
        <v>0.99902864831278193</v>
      </c>
      <c r="AP1542" s="474">
        <v>2.5407239501988228E-3</v>
      </c>
      <c r="AQ1542" s="352"/>
      <c r="AR1542" s="352"/>
      <c r="AS1542" s="352"/>
      <c r="AT1542" s="352"/>
      <c r="AU1542" s="352"/>
      <c r="AV1542" s="352"/>
      <c r="AW1542" s="352" t="s">
        <v>254</v>
      </c>
    </row>
    <row r="1543" spans="2:49" x14ac:dyDescent="0.2">
      <c r="B1543" s="460" t="s">
        <v>2823</v>
      </c>
      <c r="C1543" s="460">
        <v>2132</v>
      </c>
      <c r="D1543" s="460" t="s">
        <v>2338</v>
      </c>
      <c r="E1543" s="460" t="s">
        <v>2324</v>
      </c>
      <c r="F1543" s="460">
        <v>1</v>
      </c>
      <c r="G1543" s="460">
        <v>3</v>
      </c>
      <c r="H1543" s="461" t="s">
        <v>746</v>
      </c>
      <c r="I1543" s="461" t="s">
        <v>762</v>
      </c>
      <c r="J1543" s="461" t="s">
        <v>700</v>
      </c>
      <c r="K1543" s="594"/>
      <c r="L1543" s="594"/>
      <c r="M1543" s="352">
        <v>2000</v>
      </c>
      <c r="N1543" s="352" t="s">
        <v>703</v>
      </c>
      <c r="O1543" s="460">
        <v>2132</v>
      </c>
      <c r="P1543" s="460" t="s">
        <v>1880</v>
      </c>
      <c r="Q1543" s="460" t="s">
        <v>2289</v>
      </c>
      <c r="R1543" s="460">
        <v>2132</v>
      </c>
      <c r="S1543" s="460" t="s">
        <v>2324</v>
      </c>
      <c r="T1543" s="462">
        <v>1</v>
      </c>
      <c r="U1543" s="460" t="s">
        <v>2324</v>
      </c>
      <c r="V1543" s="475">
        <v>0</v>
      </c>
      <c r="W1543" s="463" t="s">
        <v>2268</v>
      </c>
      <c r="X1543" s="463" t="s">
        <v>2268</v>
      </c>
      <c r="Y1543" s="463" t="s">
        <v>2290</v>
      </c>
      <c r="Z1543" s="463"/>
      <c r="AA1543" s="463"/>
      <c r="AB1543" s="464">
        <v>0</v>
      </c>
      <c r="AC1543" s="465">
        <v>0</v>
      </c>
      <c r="AD1543" s="465">
        <v>0</v>
      </c>
      <c r="AE1543" s="476">
        <v>0</v>
      </c>
      <c r="AF1543" s="467">
        <v>0</v>
      </c>
      <c r="AG1543" s="468">
        <v>0</v>
      </c>
      <c r="AH1543" s="218">
        <v>0</v>
      </c>
      <c r="AI1543" s="470">
        <v>0</v>
      </c>
      <c r="AJ1543" s="471">
        <v>0</v>
      </c>
      <c r="AK1543" s="218">
        <v>0</v>
      </c>
      <c r="AL1543" s="470">
        <v>0</v>
      </c>
      <c r="AM1543" s="471">
        <v>0</v>
      </c>
      <c r="AN1543" s="477">
        <v>0</v>
      </c>
      <c r="AO1543" s="473">
        <v>0</v>
      </c>
      <c r="AP1543" s="474">
        <v>0</v>
      </c>
      <c r="AQ1543" s="352"/>
      <c r="AR1543" s="352"/>
      <c r="AS1543" s="352"/>
      <c r="AT1543" s="352"/>
      <c r="AU1543" s="352"/>
      <c r="AV1543" s="352"/>
      <c r="AW1543" s="352" t="s">
        <v>254</v>
      </c>
    </row>
    <row r="1544" spans="2:49" x14ac:dyDescent="0.2">
      <c r="B1544" s="460" t="s">
        <v>2824</v>
      </c>
      <c r="C1544" s="460">
        <v>2132</v>
      </c>
      <c r="D1544" s="460" t="s">
        <v>2339</v>
      </c>
      <c r="E1544" s="460" t="s">
        <v>2327</v>
      </c>
      <c r="F1544" s="460">
        <v>2</v>
      </c>
      <c r="G1544" s="460">
        <v>3</v>
      </c>
      <c r="H1544" s="461" t="s">
        <v>746</v>
      </c>
      <c r="I1544" s="461" t="s">
        <v>762</v>
      </c>
      <c r="J1544" s="461" t="s">
        <v>700</v>
      </c>
      <c r="K1544" s="594"/>
      <c r="L1544" s="594"/>
      <c r="M1544" s="352">
        <v>2000</v>
      </c>
      <c r="N1544" s="352" t="s">
        <v>703</v>
      </c>
      <c r="O1544" s="460">
        <v>2132</v>
      </c>
      <c r="P1544" s="460" t="s">
        <v>1880</v>
      </c>
      <c r="Q1544" s="460" t="s">
        <v>2289</v>
      </c>
      <c r="R1544" s="460">
        <v>2132</v>
      </c>
      <c r="S1544" s="460" t="s">
        <v>2324</v>
      </c>
      <c r="T1544" s="462">
        <v>1</v>
      </c>
      <c r="U1544" s="460" t="s">
        <v>2327</v>
      </c>
      <c r="V1544" s="475">
        <v>0</v>
      </c>
      <c r="W1544" s="463" t="s">
        <v>2268</v>
      </c>
      <c r="X1544" s="463" t="s">
        <v>2268</v>
      </c>
      <c r="Y1544" s="463" t="s">
        <v>2290</v>
      </c>
      <c r="Z1544" s="463"/>
      <c r="AA1544" s="463"/>
      <c r="AB1544" s="464">
        <v>0</v>
      </c>
      <c r="AC1544" s="465">
        <v>0</v>
      </c>
      <c r="AD1544" s="465">
        <v>0</v>
      </c>
      <c r="AE1544" s="476">
        <v>0</v>
      </c>
      <c r="AF1544" s="467">
        <v>0</v>
      </c>
      <c r="AG1544" s="468">
        <v>0</v>
      </c>
      <c r="AH1544" s="218">
        <v>0</v>
      </c>
      <c r="AI1544" s="470">
        <v>0</v>
      </c>
      <c r="AJ1544" s="471">
        <v>0</v>
      </c>
      <c r="AK1544" s="218">
        <v>0</v>
      </c>
      <c r="AL1544" s="470">
        <v>0</v>
      </c>
      <c r="AM1544" s="471">
        <v>0</v>
      </c>
      <c r="AN1544" s="477">
        <v>0</v>
      </c>
      <c r="AO1544" s="473">
        <v>0</v>
      </c>
      <c r="AP1544" s="474">
        <v>0</v>
      </c>
      <c r="AQ1544" s="352"/>
      <c r="AR1544" s="352"/>
      <c r="AS1544" s="352"/>
      <c r="AT1544" s="352"/>
      <c r="AU1544" s="352"/>
      <c r="AV1544" s="352"/>
      <c r="AW1544" s="352" t="s">
        <v>254</v>
      </c>
    </row>
    <row r="1545" spans="2:49" x14ac:dyDescent="0.2">
      <c r="B1545" s="460" t="s">
        <v>2825</v>
      </c>
      <c r="C1545" s="460">
        <v>2132</v>
      </c>
      <c r="D1545" s="460" t="s">
        <v>2340</v>
      </c>
      <c r="E1545" s="460" t="s">
        <v>2330</v>
      </c>
      <c r="F1545" s="460">
        <v>3</v>
      </c>
      <c r="G1545" s="460">
        <v>3</v>
      </c>
      <c r="H1545" s="461" t="s">
        <v>746</v>
      </c>
      <c r="I1545" s="461" t="s">
        <v>762</v>
      </c>
      <c r="J1545" s="461" t="s">
        <v>700</v>
      </c>
      <c r="K1545" s="594"/>
      <c r="L1545" s="594"/>
      <c r="M1545" s="352">
        <v>2000</v>
      </c>
      <c r="N1545" s="352" t="s">
        <v>703</v>
      </c>
      <c r="O1545" s="460">
        <v>2132</v>
      </c>
      <c r="P1545" s="460" t="s">
        <v>1880</v>
      </c>
      <c r="Q1545" s="460" t="s">
        <v>2289</v>
      </c>
      <c r="R1545" s="460">
        <v>2132</v>
      </c>
      <c r="S1545" s="460" t="s">
        <v>2324</v>
      </c>
      <c r="T1545" s="462">
        <v>1</v>
      </c>
      <c r="U1545" s="460" t="s">
        <v>2330</v>
      </c>
      <c r="V1545" s="475">
        <v>0</v>
      </c>
      <c r="W1545" s="463" t="s">
        <v>2268</v>
      </c>
      <c r="X1545" s="463" t="s">
        <v>2268</v>
      </c>
      <c r="Y1545" s="463" t="s">
        <v>2290</v>
      </c>
      <c r="Z1545" s="463"/>
      <c r="AA1545" s="463"/>
      <c r="AB1545" s="464">
        <v>0</v>
      </c>
      <c r="AC1545" s="465">
        <v>0</v>
      </c>
      <c r="AD1545" s="465">
        <v>0</v>
      </c>
      <c r="AE1545" s="476">
        <v>0</v>
      </c>
      <c r="AF1545" s="467">
        <v>0</v>
      </c>
      <c r="AG1545" s="468">
        <v>0</v>
      </c>
      <c r="AH1545" s="218">
        <v>0</v>
      </c>
      <c r="AI1545" s="470">
        <v>0</v>
      </c>
      <c r="AJ1545" s="471">
        <v>0</v>
      </c>
      <c r="AK1545" s="218">
        <v>0</v>
      </c>
      <c r="AL1545" s="470">
        <v>0</v>
      </c>
      <c r="AM1545" s="471">
        <v>0</v>
      </c>
      <c r="AN1545" s="477">
        <v>0</v>
      </c>
      <c r="AO1545" s="473">
        <v>0</v>
      </c>
      <c r="AP1545" s="474">
        <v>0</v>
      </c>
      <c r="AQ1545" s="352"/>
      <c r="AR1545" s="352"/>
      <c r="AS1545" s="352"/>
      <c r="AT1545" s="352"/>
      <c r="AU1545" s="352"/>
      <c r="AV1545" s="352"/>
      <c r="AW1545" s="352" t="s">
        <v>254</v>
      </c>
    </row>
    <row r="1546" spans="2:49" x14ac:dyDescent="0.2">
      <c r="B1546" s="460" t="s">
        <v>2826</v>
      </c>
      <c r="C1546" s="460">
        <v>2132</v>
      </c>
      <c r="D1546" s="460" t="s">
        <v>2341</v>
      </c>
      <c r="E1546" s="460" t="s">
        <v>2333</v>
      </c>
      <c r="F1546" s="460">
        <v>4</v>
      </c>
      <c r="G1546" s="460">
        <v>3</v>
      </c>
      <c r="H1546" s="461" t="s">
        <v>746</v>
      </c>
      <c r="I1546" s="461" t="s">
        <v>762</v>
      </c>
      <c r="J1546" s="461" t="s">
        <v>700</v>
      </c>
      <c r="K1546" s="594"/>
      <c r="L1546" s="594"/>
      <c r="M1546" s="352">
        <v>2000</v>
      </c>
      <c r="N1546" s="352" t="s">
        <v>703</v>
      </c>
      <c r="O1546" s="460">
        <v>2132</v>
      </c>
      <c r="P1546" s="460" t="s">
        <v>1880</v>
      </c>
      <c r="Q1546" s="460" t="s">
        <v>2289</v>
      </c>
      <c r="R1546" s="460">
        <v>2132</v>
      </c>
      <c r="S1546" s="460" t="s">
        <v>2333</v>
      </c>
      <c r="T1546" s="462">
        <v>1</v>
      </c>
      <c r="U1546" s="460" t="s">
        <v>2333</v>
      </c>
      <c r="V1546" s="475">
        <v>0</v>
      </c>
      <c r="W1546" s="463" t="s">
        <v>2268</v>
      </c>
      <c r="X1546" s="463" t="s">
        <v>2268</v>
      </c>
      <c r="Y1546" s="463" t="s">
        <v>2290</v>
      </c>
      <c r="Z1546" s="463"/>
      <c r="AA1546" s="463"/>
      <c r="AB1546" s="464">
        <v>0</v>
      </c>
      <c r="AC1546" s="465">
        <v>0</v>
      </c>
      <c r="AD1546" s="465">
        <v>0</v>
      </c>
      <c r="AE1546" s="476">
        <v>0</v>
      </c>
      <c r="AF1546" s="467">
        <v>0</v>
      </c>
      <c r="AG1546" s="468">
        <v>0</v>
      </c>
      <c r="AH1546" s="218">
        <v>0</v>
      </c>
      <c r="AI1546" s="470">
        <v>0</v>
      </c>
      <c r="AJ1546" s="471">
        <v>0</v>
      </c>
      <c r="AK1546" s="218">
        <v>0</v>
      </c>
      <c r="AL1546" s="470">
        <v>0</v>
      </c>
      <c r="AM1546" s="471">
        <v>0</v>
      </c>
      <c r="AN1546" s="477">
        <v>0</v>
      </c>
      <c r="AO1546" s="473">
        <v>0</v>
      </c>
      <c r="AP1546" s="474">
        <v>0</v>
      </c>
      <c r="AQ1546" s="352"/>
      <c r="AR1546" s="352"/>
      <c r="AS1546" s="352"/>
      <c r="AT1546" s="352"/>
      <c r="AU1546" s="352"/>
      <c r="AV1546" s="352"/>
      <c r="AW1546" s="352" t="s">
        <v>254</v>
      </c>
    </row>
    <row r="1547" spans="2:49" x14ac:dyDescent="0.2">
      <c r="B1547" s="460" t="s">
        <v>2823</v>
      </c>
      <c r="C1547" s="460">
        <v>2132</v>
      </c>
      <c r="D1547" s="460" t="s">
        <v>2342</v>
      </c>
      <c r="E1547" s="460" t="s">
        <v>2324</v>
      </c>
      <c r="F1547" s="460">
        <v>1</v>
      </c>
      <c r="G1547" s="460">
        <v>3</v>
      </c>
      <c r="H1547" s="461" t="s">
        <v>748</v>
      </c>
      <c r="I1547" s="461" t="s">
        <v>765</v>
      </c>
      <c r="J1547" s="461" t="s">
        <v>700</v>
      </c>
      <c r="K1547" s="594"/>
      <c r="L1547" s="594"/>
      <c r="M1547" s="352">
        <v>2000</v>
      </c>
      <c r="N1547" s="352" t="s">
        <v>703</v>
      </c>
      <c r="O1547" s="460">
        <v>2132</v>
      </c>
      <c r="P1547" s="460" t="s">
        <v>1880</v>
      </c>
      <c r="Q1547" s="460" t="s">
        <v>2266</v>
      </c>
      <c r="R1547" s="460">
        <v>2132</v>
      </c>
      <c r="S1547" s="460" t="s">
        <v>2324</v>
      </c>
      <c r="T1547" s="462">
        <v>1</v>
      </c>
      <c r="U1547" s="460" t="s">
        <v>2324</v>
      </c>
      <c r="V1547" s="475">
        <v>0</v>
      </c>
      <c r="W1547" s="463" t="s">
        <v>2268</v>
      </c>
      <c r="X1547" s="463" t="s">
        <v>2268</v>
      </c>
      <c r="Y1547" s="463" t="s">
        <v>2267</v>
      </c>
      <c r="Z1547" s="463"/>
      <c r="AA1547" s="463"/>
      <c r="AB1547" s="464">
        <v>0</v>
      </c>
      <c r="AC1547" s="465">
        <v>0</v>
      </c>
      <c r="AD1547" s="465">
        <v>0</v>
      </c>
      <c r="AE1547" s="476">
        <v>0</v>
      </c>
      <c r="AF1547" s="467">
        <v>0</v>
      </c>
      <c r="AG1547" s="468">
        <v>0</v>
      </c>
      <c r="AH1547" s="218">
        <v>0</v>
      </c>
      <c r="AI1547" s="470">
        <v>0</v>
      </c>
      <c r="AJ1547" s="471">
        <v>0</v>
      </c>
      <c r="AK1547" s="218">
        <v>0</v>
      </c>
      <c r="AL1547" s="470">
        <v>0</v>
      </c>
      <c r="AM1547" s="471">
        <v>0</v>
      </c>
      <c r="AN1547" s="477">
        <v>244.93216141995134</v>
      </c>
      <c r="AO1547" s="473">
        <v>0.39218095004559228</v>
      </c>
      <c r="AP1547" s="474">
        <v>1.2749163612833191E-2</v>
      </c>
      <c r="AQ1547" s="352"/>
      <c r="AR1547" s="352"/>
      <c r="AS1547" s="352"/>
      <c r="AT1547" s="352"/>
      <c r="AU1547" s="352"/>
      <c r="AV1547" s="352"/>
      <c r="AW1547" s="352" t="s">
        <v>254</v>
      </c>
    </row>
    <row r="1548" spans="2:49" x14ac:dyDescent="0.2">
      <c r="B1548" s="460" t="s">
        <v>2824</v>
      </c>
      <c r="C1548" s="460">
        <v>2132</v>
      </c>
      <c r="D1548" s="460" t="s">
        <v>2343</v>
      </c>
      <c r="E1548" s="460" t="s">
        <v>2327</v>
      </c>
      <c r="F1548" s="460">
        <v>2</v>
      </c>
      <c r="G1548" s="460">
        <v>3</v>
      </c>
      <c r="H1548" s="461" t="s">
        <v>748</v>
      </c>
      <c r="I1548" s="461" t="s">
        <v>765</v>
      </c>
      <c r="J1548" s="461" t="s">
        <v>700</v>
      </c>
      <c r="K1548" s="594"/>
      <c r="L1548" s="594"/>
      <c r="M1548" s="352">
        <v>2000</v>
      </c>
      <c r="N1548" s="352" t="s">
        <v>703</v>
      </c>
      <c r="O1548" s="460">
        <v>2132</v>
      </c>
      <c r="P1548" s="460" t="s">
        <v>1880</v>
      </c>
      <c r="Q1548" s="460" t="s">
        <v>2266</v>
      </c>
      <c r="R1548" s="460">
        <v>2132</v>
      </c>
      <c r="S1548" s="460" t="s">
        <v>2324</v>
      </c>
      <c r="T1548" s="462">
        <v>1</v>
      </c>
      <c r="U1548" s="460" t="s">
        <v>2327</v>
      </c>
      <c r="V1548" s="475">
        <v>0</v>
      </c>
      <c r="W1548" s="463" t="s">
        <v>2268</v>
      </c>
      <c r="X1548" s="463" t="s">
        <v>2268</v>
      </c>
      <c r="Y1548" s="463" t="s">
        <v>2267</v>
      </c>
      <c r="Z1548" s="463"/>
      <c r="AA1548" s="463"/>
      <c r="AB1548" s="464">
        <v>0</v>
      </c>
      <c r="AC1548" s="465">
        <v>0</v>
      </c>
      <c r="AD1548" s="465">
        <v>0</v>
      </c>
      <c r="AE1548" s="476">
        <v>0</v>
      </c>
      <c r="AF1548" s="467">
        <v>0</v>
      </c>
      <c r="AG1548" s="468">
        <v>0</v>
      </c>
      <c r="AH1548" s="218">
        <v>0</v>
      </c>
      <c r="AI1548" s="470">
        <v>0</v>
      </c>
      <c r="AJ1548" s="471">
        <v>0</v>
      </c>
      <c r="AK1548" s="218">
        <v>0</v>
      </c>
      <c r="AL1548" s="470">
        <v>0</v>
      </c>
      <c r="AM1548" s="471">
        <v>0</v>
      </c>
      <c r="AN1548" s="477">
        <v>247.28996168003314</v>
      </c>
      <c r="AO1548" s="473">
        <v>0.39218095004559228</v>
      </c>
      <c r="AP1548" s="474">
        <v>2.1982473298094003E-2</v>
      </c>
      <c r="AQ1548" s="352"/>
      <c r="AR1548" s="352"/>
      <c r="AS1548" s="352"/>
      <c r="AT1548" s="352"/>
      <c r="AU1548" s="352"/>
      <c r="AV1548" s="352"/>
      <c r="AW1548" s="352" t="s">
        <v>254</v>
      </c>
    </row>
    <row r="1549" spans="2:49" x14ac:dyDescent="0.2">
      <c r="B1549" s="460" t="s">
        <v>2825</v>
      </c>
      <c r="C1549" s="460">
        <v>2132</v>
      </c>
      <c r="D1549" s="460" t="s">
        <v>2344</v>
      </c>
      <c r="E1549" s="460" t="s">
        <v>2330</v>
      </c>
      <c r="F1549" s="460">
        <v>3</v>
      </c>
      <c r="G1549" s="460">
        <v>3</v>
      </c>
      <c r="H1549" s="461" t="s">
        <v>748</v>
      </c>
      <c r="I1549" s="461" t="s">
        <v>765</v>
      </c>
      <c r="J1549" s="461" t="s">
        <v>700</v>
      </c>
      <c r="K1549" s="594"/>
      <c r="L1549" s="594"/>
      <c r="M1549" s="352">
        <v>2000</v>
      </c>
      <c r="N1549" s="352" t="s">
        <v>703</v>
      </c>
      <c r="O1549" s="460">
        <v>2132</v>
      </c>
      <c r="P1549" s="460" t="s">
        <v>1880</v>
      </c>
      <c r="Q1549" s="460" t="s">
        <v>2266</v>
      </c>
      <c r="R1549" s="460">
        <v>2132</v>
      </c>
      <c r="S1549" s="460" t="s">
        <v>2324</v>
      </c>
      <c r="T1549" s="462">
        <v>1</v>
      </c>
      <c r="U1549" s="460" t="s">
        <v>2330</v>
      </c>
      <c r="V1549" s="475">
        <v>0</v>
      </c>
      <c r="W1549" s="463" t="s">
        <v>2268</v>
      </c>
      <c r="X1549" s="463" t="s">
        <v>2268</v>
      </c>
      <c r="Y1549" s="463" t="s">
        <v>2267</v>
      </c>
      <c r="Z1549" s="463"/>
      <c r="AA1549" s="463"/>
      <c r="AB1549" s="464">
        <v>0</v>
      </c>
      <c r="AC1549" s="465">
        <v>0</v>
      </c>
      <c r="AD1549" s="465">
        <v>0</v>
      </c>
      <c r="AE1549" s="476">
        <v>0</v>
      </c>
      <c r="AF1549" s="467">
        <v>0</v>
      </c>
      <c r="AG1549" s="468">
        <v>0</v>
      </c>
      <c r="AH1549" s="218">
        <v>0</v>
      </c>
      <c r="AI1549" s="470">
        <v>0</v>
      </c>
      <c r="AJ1549" s="471">
        <v>0</v>
      </c>
      <c r="AK1549" s="218">
        <v>0</v>
      </c>
      <c r="AL1549" s="470">
        <v>0</v>
      </c>
      <c r="AM1549" s="471">
        <v>0</v>
      </c>
      <c r="AN1549" s="477">
        <v>122.93484404678557</v>
      </c>
      <c r="AO1549" s="473">
        <v>0.39218095004559228</v>
      </c>
      <c r="AP1549" s="474">
        <v>3.3509913958707935E-2</v>
      </c>
      <c r="AQ1549" s="352"/>
      <c r="AR1549" s="352"/>
      <c r="AS1549" s="352"/>
      <c r="AT1549" s="352"/>
      <c r="AU1549" s="352"/>
      <c r="AV1549" s="352"/>
      <c r="AW1549" s="352" t="s">
        <v>254</v>
      </c>
    </row>
    <row r="1550" spans="2:49" x14ac:dyDescent="0.2">
      <c r="B1550" s="460" t="s">
        <v>2826</v>
      </c>
      <c r="C1550" s="460">
        <v>2132</v>
      </c>
      <c r="D1550" s="460" t="s">
        <v>2345</v>
      </c>
      <c r="E1550" s="460" t="s">
        <v>2333</v>
      </c>
      <c r="F1550" s="460">
        <v>4</v>
      </c>
      <c r="G1550" s="460">
        <v>3</v>
      </c>
      <c r="H1550" s="461" t="s">
        <v>748</v>
      </c>
      <c r="I1550" s="461" t="s">
        <v>765</v>
      </c>
      <c r="J1550" s="461" t="s">
        <v>700</v>
      </c>
      <c r="K1550" s="594"/>
      <c r="L1550" s="594"/>
      <c r="M1550" s="352">
        <v>2000</v>
      </c>
      <c r="N1550" s="352" t="s">
        <v>703</v>
      </c>
      <c r="O1550" s="460">
        <v>2132</v>
      </c>
      <c r="P1550" s="460" t="s">
        <v>1880</v>
      </c>
      <c r="Q1550" s="460" t="s">
        <v>2266</v>
      </c>
      <c r="R1550" s="460">
        <v>2132</v>
      </c>
      <c r="S1550" s="460" t="s">
        <v>2333</v>
      </c>
      <c r="T1550" s="462">
        <v>1</v>
      </c>
      <c r="U1550" s="460" t="s">
        <v>2333</v>
      </c>
      <c r="V1550" s="475">
        <v>0</v>
      </c>
      <c r="W1550" s="463" t="s">
        <v>2268</v>
      </c>
      <c r="X1550" s="463" t="s">
        <v>2268</v>
      </c>
      <c r="Y1550" s="463" t="s">
        <v>2278</v>
      </c>
      <c r="Z1550" s="463"/>
      <c r="AA1550" s="463"/>
      <c r="AB1550" s="464">
        <v>0</v>
      </c>
      <c r="AC1550" s="465">
        <v>0</v>
      </c>
      <c r="AD1550" s="465">
        <v>0</v>
      </c>
      <c r="AE1550" s="476">
        <v>0</v>
      </c>
      <c r="AF1550" s="467">
        <v>0</v>
      </c>
      <c r="AG1550" s="468">
        <v>0</v>
      </c>
      <c r="AH1550" s="218">
        <v>0</v>
      </c>
      <c r="AI1550" s="470">
        <v>0</v>
      </c>
      <c r="AJ1550" s="471">
        <v>0</v>
      </c>
      <c r="AK1550" s="218">
        <v>0</v>
      </c>
      <c r="AL1550" s="470">
        <v>0</v>
      </c>
      <c r="AM1550" s="471">
        <v>0</v>
      </c>
      <c r="AN1550" s="477">
        <v>0.32715521375866435</v>
      </c>
      <c r="AO1550" s="473">
        <v>9.7135168721803862E-4</v>
      </c>
      <c r="AP1550" s="474">
        <v>2.0372757833415157E-4</v>
      </c>
      <c r="AQ1550" s="352"/>
      <c r="AR1550" s="352"/>
      <c r="AS1550" s="352"/>
      <c r="AT1550" s="352"/>
      <c r="AU1550" s="352"/>
      <c r="AV1550" s="352"/>
      <c r="AW1550" s="352" t="s">
        <v>254</v>
      </c>
    </row>
    <row r="1551" spans="2:49" x14ac:dyDescent="0.2">
      <c r="B1551" s="460" t="s">
        <v>2823</v>
      </c>
      <c r="C1551" s="460">
        <v>2132</v>
      </c>
      <c r="D1551" s="460" t="s">
        <v>2346</v>
      </c>
      <c r="E1551" s="460" t="s">
        <v>2324</v>
      </c>
      <c r="F1551" s="460">
        <v>1</v>
      </c>
      <c r="G1551" s="460">
        <v>3</v>
      </c>
      <c r="H1551" s="461" t="s">
        <v>752</v>
      </c>
      <c r="I1551" s="461" t="s">
        <v>964</v>
      </c>
      <c r="J1551" s="461" t="s">
        <v>752</v>
      </c>
      <c r="K1551" s="594"/>
      <c r="L1551" s="594"/>
      <c r="M1551" s="352">
        <v>2000</v>
      </c>
      <c r="N1551" s="352" t="s">
        <v>703</v>
      </c>
      <c r="O1551" s="460">
        <v>2132</v>
      </c>
      <c r="P1551" s="460" t="s">
        <v>1880</v>
      </c>
      <c r="Q1551" s="460" t="s">
        <v>2266</v>
      </c>
      <c r="R1551" s="460">
        <v>2132</v>
      </c>
      <c r="S1551" s="460" t="s">
        <v>2324</v>
      </c>
      <c r="T1551" s="462">
        <v>1</v>
      </c>
      <c r="U1551" s="460" t="s">
        <v>2324</v>
      </c>
      <c r="V1551" s="475">
        <v>0</v>
      </c>
      <c r="W1551" s="463" t="s">
        <v>2278</v>
      </c>
      <c r="X1551" s="463" t="s">
        <v>2278</v>
      </c>
      <c r="Y1551" s="463" t="s">
        <v>2278</v>
      </c>
      <c r="Z1551" s="463"/>
      <c r="AA1551" s="463"/>
      <c r="AB1551" s="464">
        <v>0</v>
      </c>
      <c r="AC1551" s="465">
        <v>0</v>
      </c>
      <c r="AD1551" s="465">
        <v>0</v>
      </c>
      <c r="AE1551" s="476">
        <v>0</v>
      </c>
      <c r="AF1551" s="467">
        <v>0</v>
      </c>
      <c r="AG1551" s="468">
        <v>0</v>
      </c>
      <c r="AH1551" s="218">
        <v>0</v>
      </c>
      <c r="AI1551" s="470">
        <v>0</v>
      </c>
      <c r="AJ1551" s="471">
        <v>0</v>
      </c>
      <c r="AK1551" s="218">
        <v>0</v>
      </c>
      <c r="AL1551" s="470">
        <v>0</v>
      </c>
      <c r="AM1551" s="471">
        <v>0</v>
      </c>
      <c r="AN1551" s="477">
        <v>0</v>
      </c>
      <c r="AO1551" s="473">
        <v>0</v>
      </c>
      <c r="AP1551" s="474">
        <v>0</v>
      </c>
      <c r="AQ1551" s="352"/>
      <c r="AR1551" s="352"/>
      <c r="AS1551" s="352"/>
      <c r="AT1551" s="352"/>
      <c r="AU1551" s="352"/>
      <c r="AV1551" s="352"/>
      <c r="AW1551" s="352" t="s">
        <v>254</v>
      </c>
    </row>
    <row r="1552" spans="2:49" x14ac:dyDescent="0.2">
      <c r="B1552" s="460" t="s">
        <v>2824</v>
      </c>
      <c r="C1552" s="460">
        <v>2132</v>
      </c>
      <c r="D1552" s="460" t="s">
        <v>2347</v>
      </c>
      <c r="E1552" s="460" t="s">
        <v>2327</v>
      </c>
      <c r="F1552" s="460">
        <v>2</v>
      </c>
      <c r="G1552" s="460">
        <v>3</v>
      </c>
      <c r="H1552" s="461" t="s">
        <v>752</v>
      </c>
      <c r="I1552" s="461" t="s">
        <v>964</v>
      </c>
      <c r="J1552" s="461" t="s">
        <v>752</v>
      </c>
      <c r="K1552" s="594"/>
      <c r="L1552" s="594"/>
      <c r="M1552" s="352">
        <v>2000</v>
      </c>
      <c r="N1552" s="352" t="s">
        <v>703</v>
      </c>
      <c r="O1552" s="460">
        <v>2132</v>
      </c>
      <c r="P1552" s="460" t="s">
        <v>1880</v>
      </c>
      <c r="Q1552" s="460" t="s">
        <v>2266</v>
      </c>
      <c r="R1552" s="460">
        <v>2132</v>
      </c>
      <c r="S1552" s="460" t="s">
        <v>2324</v>
      </c>
      <c r="T1552" s="462">
        <v>1</v>
      </c>
      <c r="U1552" s="460" t="s">
        <v>2327</v>
      </c>
      <c r="V1552" s="475">
        <v>0</v>
      </c>
      <c r="W1552" s="463" t="s">
        <v>2278</v>
      </c>
      <c r="X1552" s="463" t="s">
        <v>2278</v>
      </c>
      <c r="Y1552" s="463" t="s">
        <v>2278</v>
      </c>
      <c r="Z1552" s="463"/>
      <c r="AA1552" s="463"/>
      <c r="AB1552" s="464">
        <v>0</v>
      </c>
      <c r="AC1552" s="465">
        <v>0</v>
      </c>
      <c r="AD1552" s="465">
        <v>0</v>
      </c>
      <c r="AE1552" s="476">
        <v>0</v>
      </c>
      <c r="AF1552" s="467">
        <v>0</v>
      </c>
      <c r="AG1552" s="468">
        <v>0</v>
      </c>
      <c r="AH1552" s="218">
        <v>0</v>
      </c>
      <c r="AI1552" s="470">
        <v>0</v>
      </c>
      <c r="AJ1552" s="471">
        <v>0</v>
      </c>
      <c r="AK1552" s="218">
        <v>0</v>
      </c>
      <c r="AL1552" s="470">
        <v>0</v>
      </c>
      <c r="AM1552" s="471">
        <v>0</v>
      </c>
      <c r="AN1552" s="477">
        <v>0</v>
      </c>
      <c r="AO1552" s="473">
        <v>0</v>
      </c>
      <c r="AP1552" s="474">
        <v>0</v>
      </c>
      <c r="AQ1552" s="352"/>
      <c r="AR1552" s="352"/>
      <c r="AS1552" s="352"/>
      <c r="AT1552" s="352"/>
      <c r="AU1552" s="352"/>
      <c r="AV1552" s="352"/>
      <c r="AW1552" s="352" t="s">
        <v>254</v>
      </c>
    </row>
    <row r="1553" spans="2:49" x14ac:dyDescent="0.2">
      <c r="B1553" s="460" t="s">
        <v>2825</v>
      </c>
      <c r="C1553" s="460">
        <v>2132</v>
      </c>
      <c r="D1553" s="460" t="s">
        <v>2348</v>
      </c>
      <c r="E1553" s="460" t="s">
        <v>2330</v>
      </c>
      <c r="F1553" s="460">
        <v>3</v>
      </c>
      <c r="G1553" s="460">
        <v>3</v>
      </c>
      <c r="H1553" s="461" t="s">
        <v>752</v>
      </c>
      <c r="I1553" s="461" t="s">
        <v>964</v>
      </c>
      <c r="J1553" s="461" t="s">
        <v>752</v>
      </c>
      <c r="K1553" s="594"/>
      <c r="L1553" s="594"/>
      <c r="M1553" s="352">
        <v>2000</v>
      </c>
      <c r="N1553" s="352" t="s">
        <v>703</v>
      </c>
      <c r="O1553" s="460">
        <v>2132</v>
      </c>
      <c r="P1553" s="460" t="s">
        <v>1880</v>
      </c>
      <c r="Q1553" s="460" t="s">
        <v>2266</v>
      </c>
      <c r="R1553" s="460">
        <v>2132</v>
      </c>
      <c r="S1553" s="460" t="s">
        <v>2324</v>
      </c>
      <c r="T1553" s="462">
        <v>1</v>
      </c>
      <c r="U1553" s="460" t="s">
        <v>2330</v>
      </c>
      <c r="V1553" s="475">
        <v>0</v>
      </c>
      <c r="W1553" s="463" t="s">
        <v>2278</v>
      </c>
      <c r="X1553" s="463" t="s">
        <v>2278</v>
      </c>
      <c r="Y1553" s="463" t="s">
        <v>2278</v>
      </c>
      <c r="Z1553" s="463"/>
      <c r="AA1553" s="463"/>
      <c r="AB1553" s="464">
        <v>0</v>
      </c>
      <c r="AC1553" s="465">
        <v>0</v>
      </c>
      <c r="AD1553" s="465">
        <v>0</v>
      </c>
      <c r="AE1553" s="476">
        <v>0</v>
      </c>
      <c r="AF1553" s="467">
        <v>0</v>
      </c>
      <c r="AG1553" s="468">
        <v>0</v>
      </c>
      <c r="AH1553" s="218">
        <v>0</v>
      </c>
      <c r="AI1553" s="470">
        <v>0</v>
      </c>
      <c r="AJ1553" s="471">
        <v>0</v>
      </c>
      <c r="AK1553" s="218">
        <v>0</v>
      </c>
      <c r="AL1553" s="470">
        <v>0</v>
      </c>
      <c r="AM1553" s="471">
        <v>0</v>
      </c>
      <c r="AN1553" s="477">
        <v>0</v>
      </c>
      <c r="AO1553" s="473">
        <v>0</v>
      </c>
      <c r="AP1553" s="474">
        <v>0</v>
      </c>
      <c r="AQ1553" s="352"/>
      <c r="AR1553" s="352"/>
      <c r="AS1553" s="352"/>
      <c r="AT1553" s="352"/>
      <c r="AU1553" s="352"/>
      <c r="AV1553" s="352"/>
      <c r="AW1553" s="352" t="s">
        <v>254</v>
      </c>
    </row>
    <row r="1554" spans="2:49" x14ac:dyDescent="0.2">
      <c r="B1554" s="460" t="s">
        <v>2826</v>
      </c>
      <c r="C1554" s="460">
        <v>2132</v>
      </c>
      <c r="D1554" s="460" t="s">
        <v>2349</v>
      </c>
      <c r="E1554" s="460" t="s">
        <v>2333</v>
      </c>
      <c r="F1554" s="460">
        <v>4</v>
      </c>
      <c r="G1554" s="460">
        <v>3</v>
      </c>
      <c r="H1554" s="461" t="s">
        <v>752</v>
      </c>
      <c r="I1554" s="461" t="s">
        <v>964</v>
      </c>
      <c r="J1554" s="461" t="s">
        <v>752</v>
      </c>
      <c r="K1554" s="594"/>
      <c r="L1554" s="594"/>
      <c r="M1554" s="352">
        <v>2000</v>
      </c>
      <c r="N1554" s="352" t="s">
        <v>703</v>
      </c>
      <c r="O1554" s="460">
        <v>2132</v>
      </c>
      <c r="P1554" s="460" t="s">
        <v>1880</v>
      </c>
      <c r="Q1554" s="460" t="s">
        <v>2266</v>
      </c>
      <c r="R1554" s="460">
        <v>2132</v>
      </c>
      <c r="S1554" s="460" t="s">
        <v>2333</v>
      </c>
      <c r="T1554" s="462">
        <v>1</v>
      </c>
      <c r="U1554" s="460" t="s">
        <v>2333</v>
      </c>
      <c r="V1554" s="475">
        <v>0</v>
      </c>
      <c r="W1554" s="463" t="s">
        <v>2278</v>
      </c>
      <c r="X1554" s="463" t="s">
        <v>2278</v>
      </c>
      <c r="Y1554" s="463" t="s">
        <v>2278</v>
      </c>
      <c r="Z1554" s="463"/>
      <c r="AA1554" s="463"/>
      <c r="AB1554" s="464">
        <v>0</v>
      </c>
      <c r="AC1554" s="465">
        <v>0</v>
      </c>
      <c r="AD1554" s="465">
        <v>0</v>
      </c>
      <c r="AE1554" s="476">
        <v>0</v>
      </c>
      <c r="AF1554" s="467">
        <v>0</v>
      </c>
      <c r="AG1554" s="468">
        <v>0</v>
      </c>
      <c r="AH1554" s="218">
        <v>0</v>
      </c>
      <c r="AI1554" s="470">
        <v>0</v>
      </c>
      <c r="AJ1554" s="471">
        <v>0</v>
      </c>
      <c r="AK1554" s="218">
        <v>0</v>
      </c>
      <c r="AL1554" s="470">
        <v>0</v>
      </c>
      <c r="AM1554" s="471">
        <v>0</v>
      </c>
      <c r="AN1554" s="477">
        <v>0</v>
      </c>
      <c r="AO1554" s="473">
        <v>0</v>
      </c>
      <c r="AP1554" s="474">
        <v>0</v>
      </c>
      <c r="AQ1554" s="352"/>
      <c r="AR1554" s="352"/>
      <c r="AS1554" s="352"/>
      <c r="AT1554" s="352"/>
      <c r="AU1554" s="352"/>
      <c r="AV1554" s="352"/>
      <c r="AW1554" s="352" t="s">
        <v>254</v>
      </c>
    </row>
    <row r="1555" spans="2:49" x14ac:dyDescent="0.2">
      <c r="B1555" s="460" t="s">
        <v>2827</v>
      </c>
      <c r="C1555" s="460">
        <v>2132</v>
      </c>
      <c r="D1555" s="460" t="s">
        <v>2351</v>
      </c>
      <c r="E1555" s="460" t="s">
        <v>1136</v>
      </c>
      <c r="F1555" s="460">
        <v>1</v>
      </c>
      <c r="G1555" s="460">
        <v>4</v>
      </c>
      <c r="H1555" s="461" t="s">
        <v>700</v>
      </c>
      <c r="I1555" s="461" t="s">
        <v>872</v>
      </c>
      <c r="J1555" s="461" t="s">
        <v>700</v>
      </c>
      <c r="K1555" s="594"/>
      <c r="L1555" s="594"/>
      <c r="M1555" s="352">
        <v>2000</v>
      </c>
      <c r="N1555" s="352" t="s">
        <v>703</v>
      </c>
      <c r="O1555" s="460">
        <v>2132</v>
      </c>
      <c r="P1555" s="460" t="s">
        <v>1880</v>
      </c>
      <c r="Q1555" s="460" t="s">
        <v>2266</v>
      </c>
      <c r="R1555" s="460">
        <v>2132</v>
      </c>
      <c r="S1555" s="460" t="s">
        <v>1136</v>
      </c>
      <c r="T1555" s="462">
        <v>1</v>
      </c>
      <c r="U1555" s="460" t="s">
        <v>1136</v>
      </c>
      <c r="V1555" s="475">
        <v>0</v>
      </c>
      <c r="W1555" s="463" t="s">
        <v>2267</v>
      </c>
      <c r="X1555" s="463" t="s">
        <v>2267</v>
      </c>
      <c r="Y1555" s="463" t="s">
        <v>2268</v>
      </c>
      <c r="Z1555" s="463"/>
      <c r="AA1555" s="463"/>
      <c r="AB1555" s="464">
        <v>6.4030252017195579</v>
      </c>
      <c r="AC1555" s="465">
        <v>3.8441680089396489E-2</v>
      </c>
      <c r="AD1555" s="465">
        <v>1.8217946391624724E-2</v>
      </c>
      <c r="AE1555" s="476">
        <v>6.4030252017195579</v>
      </c>
      <c r="AF1555" s="467">
        <v>3.8441680089396489E-2</v>
      </c>
      <c r="AG1555" s="468">
        <v>1.9804029329365522E-2</v>
      </c>
      <c r="AH1555" s="218">
        <v>6.4030252017195579</v>
      </c>
      <c r="AI1555" s="470">
        <v>3.8441680089396489E-2</v>
      </c>
      <c r="AJ1555" s="471">
        <v>5.0005483375312977E-3</v>
      </c>
      <c r="AK1555" s="218">
        <v>6.4030252017195579</v>
      </c>
      <c r="AL1555" s="470">
        <v>3.8441680089396489E-2</v>
      </c>
      <c r="AM1555" s="471">
        <v>5.0005483375312977E-3</v>
      </c>
      <c r="AN1555" s="477">
        <v>0</v>
      </c>
      <c r="AO1555" s="473">
        <v>0</v>
      </c>
      <c r="AP1555" s="474">
        <v>0</v>
      </c>
      <c r="AQ1555" s="352"/>
      <c r="AR1555" s="352"/>
      <c r="AS1555" s="352"/>
      <c r="AT1555" s="352"/>
      <c r="AU1555" s="352"/>
      <c r="AV1555" s="352"/>
      <c r="AW1555" s="352" t="s">
        <v>254</v>
      </c>
    </row>
    <row r="1556" spans="2:49" x14ac:dyDescent="0.2">
      <c r="B1556" s="460" t="s">
        <v>2828</v>
      </c>
      <c r="C1556" s="460">
        <v>2132</v>
      </c>
      <c r="D1556" s="460" t="s">
        <v>2353</v>
      </c>
      <c r="E1556" s="460" t="s">
        <v>1137</v>
      </c>
      <c r="F1556" s="460">
        <v>2</v>
      </c>
      <c r="G1556" s="460">
        <v>4</v>
      </c>
      <c r="H1556" s="461" t="s">
        <v>700</v>
      </c>
      <c r="I1556" s="461" t="s">
        <v>872</v>
      </c>
      <c r="J1556" s="461" t="s">
        <v>700</v>
      </c>
      <c r="K1556" s="594"/>
      <c r="L1556" s="594"/>
      <c r="M1556" s="352">
        <v>2000</v>
      </c>
      <c r="N1556" s="352" t="s">
        <v>703</v>
      </c>
      <c r="O1556" s="460">
        <v>2132</v>
      </c>
      <c r="P1556" s="460" t="s">
        <v>1880</v>
      </c>
      <c r="Q1556" s="460" t="s">
        <v>2266</v>
      </c>
      <c r="R1556" s="460">
        <v>2132</v>
      </c>
      <c r="S1556" s="460" t="s">
        <v>1137</v>
      </c>
      <c r="T1556" s="462">
        <v>1</v>
      </c>
      <c r="U1556" s="460" t="s">
        <v>1137</v>
      </c>
      <c r="V1556" s="475">
        <v>0</v>
      </c>
      <c r="W1556" s="463" t="s">
        <v>2503</v>
      </c>
      <c r="X1556" s="463" t="s">
        <v>2267</v>
      </c>
      <c r="Y1556" s="463" t="s">
        <v>2268</v>
      </c>
      <c r="Z1556" s="463"/>
      <c r="AA1556" s="463"/>
      <c r="AB1556" s="464">
        <v>15.396584753269982</v>
      </c>
      <c r="AC1556" s="465">
        <v>6.5850987424907192E-2</v>
      </c>
      <c r="AD1556" s="465">
        <v>3.4767816554280152E-3</v>
      </c>
      <c r="AE1556" s="476">
        <v>9.2379508519619886</v>
      </c>
      <c r="AF1556" s="467">
        <v>3.9510592454944315E-2</v>
      </c>
      <c r="AG1556" s="468">
        <v>2.2473862458095416E-3</v>
      </c>
      <c r="AH1556" s="218">
        <v>15.39658475326998</v>
      </c>
      <c r="AI1556" s="470">
        <v>6.5850987424907192E-2</v>
      </c>
      <c r="AJ1556" s="471">
        <v>3.181079572530358E-3</v>
      </c>
      <c r="AK1556" s="218">
        <v>15.39658475326998</v>
      </c>
      <c r="AL1556" s="470">
        <v>6.5850987424907192E-2</v>
      </c>
      <c r="AM1556" s="471">
        <v>3.181079572530358E-3</v>
      </c>
      <c r="AN1556" s="477">
        <v>0</v>
      </c>
      <c r="AO1556" s="473">
        <v>0</v>
      </c>
      <c r="AP1556" s="474">
        <v>0</v>
      </c>
      <c r="AQ1556" s="352"/>
      <c r="AR1556" s="352"/>
      <c r="AS1556" s="352"/>
      <c r="AT1556" s="352"/>
      <c r="AU1556" s="352"/>
      <c r="AV1556" s="352"/>
      <c r="AW1556" s="352" t="s">
        <v>254</v>
      </c>
    </row>
    <row r="1557" spans="2:49" x14ac:dyDescent="0.2">
      <c r="B1557" s="460" t="s">
        <v>2829</v>
      </c>
      <c r="C1557" s="460">
        <v>2132</v>
      </c>
      <c r="D1557" s="460" t="s">
        <v>2355</v>
      </c>
      <c r="E1557" s="460" t="s">
        <v>1138</v>
      </c>
      <c r="F1557" s="460">
        <v>3</v>
      </c>
      <c r="G1557" s="460">
        <v>4</v>
      </c>
      <c r="H1557" s="461" t="s">
        <v>700</v>
      </c>
      <c r="I1557" s="461" t="s">
        <v>872</v>
      </c>
      <c r="J1557" s="461" t="s">
        <v>700</v>
      </c>
      <c r="K1557" s="594"/>
      <c r="L1557" s="594"/>
      <c r="M1557" s="352">
        <v>2000</v>
      </c>
      <c r="N1557" s="352" t="s">
        <v>703</v>
      </c>
      <c r="O1557" s="460">
        <v>2132</v>
      </c>
      <c r="P1557" s="460" t="s">
        <v>1880</v>
      </c>
      <c r="Q1557" s="460" t="s">
        <v>2266</v>
      </c>
      <c r="R1557" s="460">
        <v>2132</v>
      </c>
      <c r="S1557" s="460" t="s">
        <v>1138</v>
      </c>
      <c r="T1557" s="462">
        <v>1</v>
      </c>
      <c r="U1557" s="460" t="s">
        <v>1138</v>
      </c>
      <c r="V1557" s="475">
        <v>0</v>
      </c>
      <c r="W1557" s="463" t="s">
        <v>2503</v>
      </c>
      <c r="X1557" s="463" t="s">
        <v>2267</v>
      </c>
      <c r="Y1557" s="463" t="s">
        <v>2268</v>
      </c>
      <c r="Z1557" s="463"/>
      <c r="AA1557" s="463"/>
      <c r="AB1557" s="464">
        <v>10.781775896487106</v>
      </c>
      <c r="AC1557" s="465">
        <v>0.12281731041714034</v>
      </c>
      <c r="AD1557" s="465">
        <v>4.5236898611479958E-3</v>
      </c>
      <c r="AE1557" s="476">
        <v>6.4690655378922628</v>
      </c>
      <c r="AF1557" s="467">
        <v>7.3690386250284193E-2</v>
      </c>
      <c r="AG1557" s="468">
        <v>2.928269619913213E-3</v>
      </c>
      <c r="AH1557" s="218">
        <v>10.781775896487106</v>
      </c>
      <c r="AI1557" s="470">
        <v>0.12281731041714034</v>
      </c>
      <c r="AJ1557" s="471">
        <v>3.7154666625337498E-3</v>
      </c>
      <c r="AK1557" s="218">
        <v>10.781775896487106</v>
      </c>
      <c r="AL1557" s="470">
        <v>0.12281731041714034</v>
      </c>
      <c r="AM1557" s="471">
        <v>3.7154666625337498E-3</v>
      </c>
      <c r="AN1557" s="477">
        <v>0</v>
      </c>
      <c r="AO1557" s="473">
        <v>0</v>
      </c>
      <c r="AP1557" s="474">
        <v>0</v>
      </c>
      <c r="AQ1557" s="352"/>
      <c r="AR1557" s="352"/>
      <c r="AS1557" s="352"/>
      <c r="AT1557" s="352"/>
      <c r="AU1557" s="352"/>
      <c r="AV1557" s="352"/>
      <c r="AW1557" s="352" t="s">
        <v>254</v>
      </c>
    </row>
    <row r="1558" spans="2:49" x14ac:dyDescent="0.2">
      <c r="B1558" s="460" t="s">
        <v>2830</v>
      </c>
      <c r="C1558" s="460">
        <v>2132</v>
      </c>
      <c r="D1558" s="460" t="s">
        <v>2357</v>
      </c>
      <c r="E1558" s="460" t="s">
        <v>1139</v>
      </c>
      <c r="F1558" s="460">
        <v>4</v>
      </c>
      <c r="G1558" s="460">
        <v>4</v>
      </c>
      <c r="H1558" s="461" t="s">
        <v>700</v>
      </c>
      <c r="I1558" s="461" t="s">
        <v>872</v>
      </c>
      <c r="J1558" s="461" t="s">
        <v>700</v>
      </c>
      <c r="K1558" s="594"/>
      <c r="L1558" s="594"/>
      <c r="M1558" s="352">
        <v>2000</v>
      </c>
      <c r="N1558" s="352" t="s">
        <v>703</v>
      </c>
      <c r="O1558" s="460">
        <v>2132</v>
      </c>
      <c r="P1558" s="460" t="s">
        <v>1880</v>
      </c>
      <c r="Q1558" s="460" t="s">
        <v>2266</v>
      </c>
      <c r="R1558" s="460">
        <v>2132</v>
      </c>
      <c r="S1558" s="460" t="s">
        <v>1139</v>
      </c>
      <c r="T1558" s="462">
        <v>1</v>
      </c>
      <c r="U1558" s="460" t="s">
        <v>1139</v>
      </c>
      <c r="V1558" s="475">
        <v>0</v>
      </c>
      <c r="W1558" s="463" t="s">
        <v>2503</v>
      </c>
      <c r="X1558" s="463" t="s">
        <v>2267</v>
      </c>
      <c r="Y1558" s="463" t="s">
        <v>2268</v>
      </c>
      <c r="Z1558" s="463"/>
      <c r="AA1558" s="463"/>
      <c r="AB1558" s="464">
        <v>0</v>
      </c>
      <c r="AC1558" s="465">
        <v>0</v>
      </c>
      <c r="AD1558" s="465">
        <v>0</v>
      </c>
      <c r="AE1558" s="476">
        <v>0</v>
      </c>
      <c r="AF1558" s="467">
        <v>0</v>
      </c>
      <c r="AG1558" s="468">
        <v>0</v>
      </c>
      <c r="AH1558" s="218">
        <v>0</v>
      </c>
      <c r="AI1558" s="470">
        <v>0</v>
      </c>
      <c r="AJ1558" s="471">
        <v>0</v>
      </c>
      <c r="AK1558" s="218">
        <v>0</v>
      </c>
      <c r="AL1558" s="470">
        <v>0</v>
      </c>
      <c r="AM1558" s="471">
        <v>0</v>
      </c>
      <c r="AN1558" s="477">
        <v>0</v>
      </c>
      <c r="AO1558" s="473">
        <v>0</v>
      </c>
      <c r="AP1558" s="474">
        <v>0</v>
      </c>
      <c r="AQ1558" s="352"/>
      <c r="AR1558" s="352"/>
      <c r="AS1558" s="352"/>
      <c r="AT1558" s="352"/>
      <c r="AU1558" s="352"/>
      <c r="AV1558" s="352"/>
      <c r="AW1558" s="352" t="s">
        <v>254</v>
      </c>
    </row>
    <row r="1559" spans="2:49" x14ac:dyDescent="0.2">
      <c r="B1559" s="460" t="s">
        <v>2827</v>
      </c>
      <c r="C1559" s="460">
        <v>2132</v>
      </c>
      <c r="D1559" s="460" t="s">
        <v>2358</v>
      </c>
      <c r="E1559" s="460" t="s">
        <v>1136</v>
      </c>
      <c r="F1559" s="460">
        <v>1</v>
      </c>
      <c r="G1559" s="460">
        <v>4</v>
      </c>
      <c r="H1559" s="461" t="s">
        <v>712</v>
      </c>
      <c r="I1559" s="461" t="s">
        <v>713</v>
      </c>
      <c r="J1559" s="461" t="s">
        <v>712</v>
      </c>
      <c r="K1559" s="594"/>
      <c r="L1559" s="594"/>
      <c r="M1559" s="352">
        <v>2000</v>
      </c>
      <c r="N1559" s="352" t="s">
        <v>703</v>
      </c>
      <c r="O1559" s="460">
        <v>2132</v>
      </c>
      <c r="P1559" s="460" t="s">
        <v>1880</v>
      </c>
      <c r="Q1559" s="460" t="s">
        <v>2280</v>
      </c>
      <c r="R1559" s="460">
        <v>2132</v>
      </c>
      <c r="S1559" s="460" t="s">
        <v>1136</v>
      </c>
      <c r="T1559" s="462">
        <v>1</v>
      </c>
      <c r="U1559" s="460" t="s">
        <v>1136</v>
      </c>
      <c r="V1559" s="475">
        <v>0</v>
      </c>
      <c r="W1559" s="463" t="s">
        <v>713</v>
      </c>
      <c r="X1559" s="463" t="s">
        <v>713</v>
      </c>
      <c r="Y1559" s="463" t="s">
        <v>713</v>
      </c>
      <c r="Z1559" s="463"/>
      <c r="AA1559" s="463"/>
      <c r="AB1559" s="464">
        <v>157.61655788257619</v>
      </c>
      <c r="AC1559" s="465">
        <v>0.94627853304195297</v>
      </c>
      <c r="AD1559" s="465">
        <v>1.0387514988435976E-3</v>
      </c>
      <c r="AE1559" s="476">
        <v>157.61655788257616</v>
      </c>
      <c r="AF1559" s="467">
        <v>0.94627853304195275</v>
      </c>
      <c r="AG1559" s="468">
        <v>1.0385588355176873E-3</v>
      </c>
      <c r="AH1559" s="218">
        <v>157.61655788257616</v>
      </c>
      <c r="AI1559" s="470">
        <v>0.94627853304195275</v>
      </c>
      <c r="AJ1559" s="471">
        <v>1.0491139394762624E-3</v>
      </c>
      <c r="AK1559" s="218">
        <v>157.61655788257616</v>
      </c>
      <c r="AL1559" s="470">
        <v>0.94627853304195275</v>
      </c>
      <c r="AM1559" s="471">
        <v>1.0491139394762624E-3</v>
      </c>
      <c r="AN1559" s="477">
        <v>157.61655788257616</v>
      </c>
      <c r="AO1559" s="473">
        <v>0.94627853304195275</v>
      </c>
      <c r="AP1559" s="474">
        <v>1.0474068845950141E-3</v>
      </c>
      <c r="AQ1559" s="352"/>
      <c r="AR1559" s="352"/>
      <c r="AS1559" s="352"/>
      <c r="AT1559" s="352"/>
      <c r="AU1559" s="352"/>
      <c r="AV1559" s="352"/>
      <c r="AW1559" s="352" t="s">
        <v>254</v>
      </c>
    </row>
    <row r="1560" spans="2:49" x14ac:dyDescent="0.2">
      <c r="B1560" s="460" t="s">
        <v>2828</v>
      </c>
      <c r="C1560" s="460">
        <v>2132</v>
      </c>
      <c r="D1560" s="460" t="s">
        <v>2359</v>
      </c>
      <c r="E1560" s="460" t="s">
        <v>1137</v>
      </c>
      <c r="F1560" s="460">
        <v>2</v>
      </c>
      <c r="G1560" s="460">
        <v>4</v>
      </c>
      <c r="H1560" s="461" t="s">
        <v>712</v>
      </c>
      <c r="I1560" s="461" t="s">
        <v>713</v>
      </c>
      <c r="J1560" s="461" t="s">
        <v>712</v>
      </c>
      <c r="K1560" s="594"/>
      <c r="L1560" s="594"/>
      <c r="M1560" s="352">
        <v>2000</v>
      </c>
      <c r="N1560" s="352" t="s">
        <v>703</v>
      </c>
      <c r="O1560" s="460">
        <v>2132</v>
      </c>
      <c r="P1560" s="460" t="s">
        <v>1880</v>
      </c>
      <c r="Q1560" s="460" t="s">
        <v>2280</v>
      </c>
      <c r="R1560" s="460">
        <v>2132</v>
      </c>
      <c r="S1560" s="460" t="s">
        <v>1137</v>
      </c>
      <c r="T1560" s="462">
        <v>1</v>
      </c>
      <c r="U1560" s="460" t="s">
        <v>1137</v>
      </c>
      <c r="V1560" s="475">
        <v>0</v>
      </c>
      <c r="W1560" s="463" t="s">
        <v>713</v>
      </c>
      <c r="X1560" s="463" t="s">
        <v>713</v>
      </c>
      <c r="Y1560" s="463" t="s">
        <v>713</v>
      </c>
      <c r="Z1560" s="463"/>
      <c r="AA1560" s="463"/>
      <c r="AB1560" s="464">
        <v>217.52915018536729</v>
      </c>
      <c r="AC1560" s="465">
        <v>0.93036927104012979</v>
      </c>
      <c r="AD1560" s="465">
        <v>1.2580010826865641E-3</v>
      </c>
      <c r="AE1560" s="476">
        <v>223.68778408667529</v>
      </c>
      <c r="AF1560" s="467">
        <v>0.95670966601009277</v>
      </c>
      <c r="AG1560" s="468">
        <v>1.2912436339947116E-3</v>
      </c>
      <c r="AH1560" s="218">
        <v>217.52915018536731</v>
      </c>
      <c r="AI1560" s="470">
        <v>0.9303692710401299</v>
      </c>
      <c r="AJ1560" s="471">
        <v>1.2616512951025708E-3</v>
      </c>
      <c r="AK1560" s="218">
        <v>217.52915018536731</v>
      </c>
      <c r="AL1560" s="470">
        <v>0.9303692710401299</v>
      </c>
      <c r="AM1560" s="471">
        <v>1.2616512951025708E-3</v>
      </c>
      <c r="AN1560" s="477">
        <v>217.52915018536731</v>
      </c>
      <c r="AO1560" s="473">
        <v>0.9303692710401299</v>
      </c>
      <c r="AP1560" s="474">
        <v>1.2606102517964397E-3</v>
      </c>
      <c r="AQ1560" s="352"/>
      <c r="AR1560" s="352"/>
      <c r="AS1560" s="352"/>
      <c r="AT1560" s="352"/>
      <c r="AU1560" s="352"/>
      <c r="AV1560" s="352"/>
      <c r="AW1560" s="352" t="s">
        <v>254</v>
      </c>
    </row>
    <row r="1561" spans="2:49" x14ac:dyDescent="0.2">
      <c r="B1561" s="460" t="s">
        <v>2829</v>
      </c>
      <c r="C1561" s="460">
        <v>2132</v>
      </c>
      <c r="D1561" s="460" t="s">
        <v>2360</v>
      </c>
      <c r="E1561" s="460" t="s">
        <v>1138</v>
      </c>
      <c r="F1561" s="460">
        <v>3</v>
      </c>
      <c r="G1561" s="460">
        <v>4</v>
      </c>
      <c r="H1561" s="461" t="s">
        <v>712</v>
      </c>
      <c r="I1561" s="461" t="s">
        <v>713</v>
      </c>
      <c r="J1561" s="461" t="s">
        <v>712</v>
      </c>
      <c r="K1561" s="594"/>
      <c r="L1561" s="594"/>
      <c r="M1561" s="352">
        <v>2000</v>
      </c>
      <c r="N1561" s="352" t="s">
        <v>703</v>
      </c>
      <c r="O1561" s="460">
        <v>2132</v>
      </c>
      <c r="P1561" s="460" t="s">
        <v>1880</v>
      </c>
      <c r="Q1561" s="460" t="s">
        <v>2280</v>
      </c>
      <c r="R1561" s="460">
        <v>2132</v>
      </c>
      <c r="S1561" s="460" t="s">
        <v>1138</v>
      </c>
      <c r="T1561" s="462">
        <v>1</v>
      </c>
      <c r="U1561" s="460" t="s">
        <v>1138</v>
      </c>
      <c r="V1561" s="475">
        <v>0</v>
      </c>
      <c r="W1561" s="463" t="s">
        <v>713</v>
      </c>
      <c r="X1561" s="463" t="s">
        <v>713</v>
      </c>
      <c r="Y1561" s="463" t="s">
        <v>713</v>
      </c>
      <c r="Z1561" s="463"/>
      <c r="AA1561" s="463"/>
      <c r="AB1561" s="464">
        <v>73.519874942749041</v>
      </c>
      <c r="AC1561" s="465">
        <v>0.83747922321543722</v>
      </c>
      <c r="AD1561" s="465">
        <v>9.1749471180892965E-4</v>
      </c>
      <c r="AE1561" s="476">
        <v>77.832585301343883</v>
      </c>
      <c r="AF1561" s="467">
        <v>0.88660614738229337</v>
      </c>
      <c r="AG1561" s="468">
        <v>9.6920806905591316E-4</v>
      </c>
      <c r="AH1561" s="218">
        <v>73.519874942749041</v>
      </c>
      <c r="AI1561" s="470">
        <v>0.83747922321543722</v>
      </c>
      <c r="AJ1561" s="471">
        <v>9.2623879277715709E-4</v>
      </c>
      <c r="AK1561" s="218">
        <v>73.519874942749041</v>
      </c>
      <c r="AL1561" s="470">
        <v>0.83747922321543722</v>
      </c>
      <c r="AM1561" s="471">
        <v>9.2623879277715709E-4</v>
      </c>
      <c r="AN1561" s="477">
        <v>73.519874942749041</v>
      </c>
      <c r="AO1561" s="473">
        <v>0.83747922321543722</v>
      </c>
      <c r="AP1561" s="474">
        <v>9.2616898763688872E-4</v>
      </c>
      <c r="AQ1561" s="352"/>
      <c r="AR1561" s="352"/>
      <c r="AS1561" s="352"/>
      <c r="AT1561" s="352"/>
      <c r="AU1561" s="352"/>
      <c r="AV1561" s="352"/>
      <c r="AW1561" s="352" t="s">
        <v>254</v>
      </c>
    </row>
    <row r="1562" spans="2:49" x14ac:dyDescent="0.2">
      <c r="B1562" s="460" t="s">
        <v>2830</v>
      </c>
      <c r="C1562" s="460">
        <v>2132</v>
      </c>
      <c r="D1562" s="460" t="s">
        <v>2361</v>
      </c>
      <c r="E1562" s="460" t="s">
        <v>1139</v>
      </c>
      <c r="F1562" s="460">
        <v>4</v>
      </c>
      <c r="G1562" s="460">
        <v>4</v>
      </c>
      <c r="H1562" s="461" t="s">
        <v>712</v>
      </c>
      <c r="I1562" s="461" t="s">
        <v>713</v>
      </c>
      <c r="J1562" s="461" t="s">
        <v>712</v>
      </c>
      <c r="K1562" s="594"/>
      <c r="L1562" s="594"/>
      <c r="M1562" s="352">
        <v>2000</v>
      </c>
      <c r="N1562" s="352" t="s">
        <v>703</v>
      </c>
      <c r="O1562" s="460">
        <v>2132</v>
      </c>
      <c r="P1562" s="460" t="s">
        <v>1880</v>
      </c>
      <c r="Q1562" s="460" t="s">
        <v>2280</v>
      </c>
      <c r="R1562" s="460">
        <v>2132</v>
      </c>
      <c r="S1562" s="460" t="s">
        <v>1139</v>
      </c>
      <c r="T1562" s="462">
        <v>1</v>
      </c>
      <c r="U1562" s="460" t="s">
        <v>1139</v>
      </c>
      <c r="V1562" s="475">
        <v>0</v>
      </c>
      <c r="W1562" s="463" t="s">
        <v>713</v>
      </c>
      <c r="X1562" s="463" t="s">
        <v>713</v>
      </c>
      <c r="Y1562" s="463" t="s">
        <v>713</v>
      </c>
      <c r="Z1562" s="463"/>
      <c r="AA1562" s="463"/>
      <c r="AB1562" s="464">
        <v>83.356789713052791</v>
      </c>
      <c r="AC1562" s="465">
        <v>0.60595302712788535</v>
      </c>
      <c r="AD1562" s="465">
        <v>9.2294599225692495E-4</v>
      </c>
      <c r="AE1562" s="476">
        <v>83.356789713052819</v>
      </c>
      <c r="AF1562" s="467">
        <v>0.60595302712788546</v>
      </c>
      <c r="AG1562" s="468">
        <v>9.2294599225692527E-4</v>
      </c>
      <c r="AH1562" s="218">
        <v>83.356789713052819</v>
      </c>
      <c r="AI1562" s="470">
        <v>0.60595302712788546</v>
      </c>
      <c r="AJ1562" s="471">
        <v>9.4279658289894762E-4</v>
      </c>
      <c r="AK1562" s="218">
        <v>83.356789713052819</v>
      </c>
      <c r="AL1562" s="470">
        <v>0.60595302712788546</v>
      </c>
      <c r="AM1562" s="471">
        <v>9.4279658289894762E-4</v>
      </c>
      <c r="AN1562" s="477">
        <v>83.356789713052819</v>
      </c>
      <c r="AO1562" s="473">
        <v>0.60595302712788546</v>
      </c>
      <c r="AP1562" s="474">
        <v>9.4279658289894762E-4</v>
      </c>
      <c r="AQ1562" s="352"/>
      <c r="AR1562" s="352"/>
      <c r="AS1562" s="352"/>
      <c r="AT1562" s="352"/>
      <c r="AU1562" s="352"/>
      <c r="AV1562" s="352"/>
      <c r="AW1562" s="352" t="s">
        <v>254</v>
      </c>
    </row>
    <row r="1563" spans="2:49" x14ac:dyDescent="0.2">
      <c r="B1563" s="460" t="s">
        <v>2827</v>
      </c>
      <c r="C1563" s="460">
        <v>2132</v>
      </c>
      <c r="D1563" s="460" t="s">
        <v>2362</v>
      </c>
      <c r="E1563" s="460" t="s">
        <v>1136</v>
      </c>
      <c r="F1563" s="460">
        <v>1</v>
      </c>
      <c r="G1563" s="460">
        <v>4</v>
      </c>
      <c r="H1563" s="461" t="s">
        <v>746</v>
      </c>
      <c r="I1563" s="461" t="s">
        <v>762</v>
      </c>
      <c r="J1563" s="461" t="s">
        <v>700</v>
      </c>
      <c r="K1563" s="594"/>
      <c r="L1563" s="594"/>
      <c r="M1563" s="352">
        <v>2000</v>
      </c>
      <c r="N1563" s="352" t="s">
        <v>703</v>
      </c>
      <c r="O1563" s="460">
        <v>2132</v>
      </c>
      <c r="P1563" s="460" t="s">
        <v>1880</v>
      </c>
      <c r="Q1563" s="460" t="s">
        <v>2289</v>
      </c>
      <c r="R1563" s="460">
        <v>2132</v>
      </c>
      <c r="S1563" s="460" t="s">
        <v>1136</v>
      </c>
      <c r="T1563" s="462">
        <v>1</v>
      </c>
      <c r="U1563" s="460" t="s">
        <v>1136</v>
      </c>
      <c r="V1563" s="475">
        <v>0</v>
      </c>
      <c r="W1563" s="463" t="s">
        <v>2268</v>
      </c>
      <c r="X1563" s="463" t="s">
        <v>2268</v>
      </c>
      <c r="Y1563" s="463" t="s">
        <v>2290</v>
      </c>
      <c r="Z1563" s="463"/>
      <c r="AA1563" s="463"/>
      <c r="AB1563" s="464">
        <v>0</v>
      </c>
      <c r="AC1563" s="465">
        <v>0</v>
      </c>
      <c r="AD1563" s="465">
        <v>0</v>
      </c>
      <c r="AE1563" s="476">
        <v>0</v>
      </c>
      <c r="AF1563" s="467">
        <v>0</v>
      </c>
      <c r="AG1563" s="468">
        <v>0</v>
      </c>
      <c r="AH1563" s="218">
        <v>0</v>
      </c>
      <c r="AI1563" s="470">
        <v>0</v>
      </c>
      <c r="AJ1563" s="471">
        <v>0</v>
      </c>
      <c r="AK1563" s="218">
        <v>0</v>
      </c>
      <c r="AL1563" s="470">
        <v>0</v>
      </c>
      <c r="AM1563" s="471">
        <v>0</v>
      </c>
      <c r="AN1563" s="477">
        <v>0</v>
      </c>
      <c r="AO1563" s="473">
        <v>0</v>
      </c>
      <c r="AP1563" s="474">
        <v>0</v>
      </c>
      <c r="AQ1563" s="352"/>
      <c r="AR1563" s="352"/>
      <c r="AS1563" s="352"/>
      <c r="AT1563" s="352"/>
      <c r="AU1563" s="352"/>
      <c r="AV1563" s="352"/>
      <c r="AW1563" s="352" t="s">
        <v>254</v>
      </c>
    </row>
    <row r="1564" spans="2:49" x14ac:dyDescent="0.2">
      <c r="B1564" s="460" t="s">
        <v>2828</v>
      </c>
      <c r="C1564" s="460">
        <v>2132</v>
      </c>
      <c r="D1564" s="460" t="s">
        <v>2363</v>
      </c>
      <c r="E1564" s="460" t="s">
        <v>1137</v>
      </c>
      <c r="F1564" s="460">
        <v>2</v>
      </c>
      <c r="G1564" s="460">
        <v>4</v>
      </c>
      <c r="H1564" s="461" t="s">
        <v>746</v>
      </c>
      <c r="I1564" s="461" t="s">
        <v>762</v>
      </c>
      <c r="J1564" s="461" t="s">
        <v>700</v>
      </c>
      <c r="K1564" s="594"/>
      <c r="L1564" s="594"/>
      <c r="M1564" s="352">
        <v>2000</v>
      </c>
      <c r="N1564" s="352" t="s">
        <v>703</v>
      </c>
      <c r="O1564" s="460">
        <v>2132</v>
      </c>
      <c r="P1564" s="460" t="s">
        <v>1880</v>
      </c>
      <c r="Q1564" s="460" t="s">
        <v>2289</v>
      </c>
      <c r="R1564" s="460">
        <v>2132</v>
      </c>
      <c r="S1564" s="460" t="s">
        <v>1137</v>
      </c>
      <c r="T1564" s="462">
        <v>1</v>
      </c>
      <c r="U1564" s="460" t="s">
        <v>1137</v>
      </c>
      <c r="V1564" s="475">
        <v>0</v>
      </c>
      <c r="W1564" s="463" t="s">
        <v>2268</v>
      </c>
      <c r="X1564" s="463" t="s">
        <v>2268</v>
      </c>
      <c r="Y1564" s="463" t="s">
        <v>2290</v>
      </c>
      <c r="Z1564" s="463"/>
      <c r="AA1564" s="463"/>
      <c r="AB1564" s="464">
        <v>0</v>
      </c>
      <c r="AC1564" s="465">
        <v>0</v>
      </c>
      <c r="AD1564" s="465">
        <v>0</v>
      </c>
      <c r="AE1564" s="476">
        <v>0</v>
      </c>
      <c r="AF1564" s="467">
        <v>0</v>
      </c>
      <c r="AG1564" s="468">
        <v>0</v>
      </c>
      <c r="AH1564" s="218">
        <v>0</v>
      </c>
      <c r="AI1564" s="470">
        <v>0</v>
      </c>
      <c r="AJ1564" s="471">
        <v>0</v>
      </c>
      <c r="AK1564" s="218">
        <v>0</v>
      </c>
      <c r="AL1564" s="470">
        <v>0</v>
      </c>
      <c r="AM1564" s="471">
        <v>0</v>
      </c>
      <c r="AN1564" s="477">
        <v>0</v>
      </c>
      <c r="AO1564" s="473">
        <v>0</v>
      </c>
      <c r="AP1564" s="474">
        <v>0</v>
      </c>
      <c r="AQ1564" s="352"/>
      <c r="AR1564" s="352"/>
      <c r="AS1564" s="352"/>
      <c r="AT1564" s="352"/>
      <c r="AU1564" s="352"/>
      <c r="AV1564" s="352"/>
      <c r="AW1564" s="352" t="s">
        <v>254</v>
      </c>
    </row>
    <row r="1565" spans="2:49" x14ac:dyDescent="0.2">
      <c r="B1565" s="460" t="s">
        <v>2829</v>
      </c>
      <c r="C1565" s="460">
        <v>2132</v>
      </c>
      <c r="D1565" s="460" t="s">
        <v>2364</v>
      </c>
      <c r="E1565" s="460" t="s">
        <v>1138</v>
      </c>
      <c r="F1565" s="460">
        <v>3</v>
      </c>
      <c r="G1565" s="460">
        <v>4</v>
      </c>
      <c r="H1565" s="461" t="s">
        <v>746</v>
      </c>
      <c r="I1565" s="461" t="s">
        <v>762</v>
      </c>
      <c r="J1565" s="461" t="s">
        <v>700</v>
      </c>
      <c r="K1565" s="594"/>
      <c r="L1565" s="594"/>
      <c r="M1565" s="352">
        <v>2000</v>
      </c>
      <c r="N1565" s="352" t="s">
        <v>703</v>
      </c>
      <c r="O1565" s="460">
        <v>2132</v>
      </c>
      <c r="P1565" s="460" t="s">
        <v>1880</v>
      </c>
      <c r="Q1565" s="460" t="s">
        <v>2289</v>
      </c>
      <c r="R1565" s="460">
        <v>2132</v>
      </c>
      <c r="S1565" s="460" t="s">
        <v>1138</v>
      </c>
      <c r="T1565" s="462">
        <v>1</v>
      </c>
      <c r="U1565" s="460" t="s">
        <v>1138</v>
      </c>
      <c r="V1565" s="475">
        <v>0</v>
      </c>
      <c r="W1565" s="463" t="s">
        <v>2268</v>
      </c>
      <c r="X1565" s="463" t="s">
        <v>2268</v>
      </c>
      <c r="Y1565" s="463" t="s">
        <v>2290</v>
      </c>
      <c r="Z1565" s="463"/>
      <c r="AA1565" s="463"/>
      <c r="AB1565" s="464">
        <v>0</v>
      </c>
      <c r="AC1565" s="465">
        <v>0</v>
      </c>
      <c r="AD1565" s="465">
        <v>0</v>
      </c>
      <c r="AE1565" s="476">
        <v>0</v>
      </c>
      <c r="AF1565" s="467">
        <v>0</v>
      </c>
      <c r="AG1565" s="468">
        <v>0</v>
      </c>
      <c r="AH1565" s="218">
        <v>0</v>
      </c>
      <c r="AI1565" s="470">
        <v>0</v>
      </c>
      <c r="AJ1565" s="471">
        <v>0</v>
      </c>
      <c r="AK1565" s="218">
        <v>0</v>
      </c>
      <c r="AL1565" s="470">
        <v>0</v>
      </c>
      <c r="AM1565" s="471">
        <v>0</v>
      </c>
      <c r="AN1565" s="477">
        <v>0</v>
      </c>
      <c r="AO1565" s="473">
        <v>0</v>
      </c>
      <c r="AP1565" s="474">
        <v>0</v>
      </c>
      <c r="AQ1565" s="352"/>
      <c r="AR1565" s="352"/>
      <c r="AS1565" s="352"/>
      <c r="AT1565" s="352"/>
      <c r="AU1565" s="352"/>
      <c r="AV1565" s="352"/>
      <c r="AW1565" s="352" t="s">
        <v>254</v>
      </c>
    </row>
    <row r="1566" spans="2:49" x14ac:dyDescent="0.2">
      <c r="B1566" s="460" t="s">
        <v>2830</v>
      </c>
      <c r="C1566" s="460">
        <v>2132</v>
      </c>
      <c r="D1566" s="460" t="s">
        <v>2365</v>
      </c>
      <c r="E1566" s="460" t="s">
        <v>1139</v>
      </c>
      <c r="F1566" s="460">
        <v>4</v>
      </c>
      <c r="G1566" s="460">
        <v>4</v>
      </c>
      <c r="H1566" s="461" t="s">
        <v>746</v>
      </c>
      <c r="I1566" s="461" t="s">
        <v>762</v>
      </c>
      <c r="J1566" s="461" t="s">
        <v>700</v>
      </c>
      <c r="K1566" s="594"/>
      <c r="L1566" s="594"/>
      <c r="M1566" s="352">
        <v>2000</v>
      </c>
      <c r="N1566" s="352" t="s">
        <v>703</v>
      </c>
      <c r="O1566" s="460">
        <v>2132</v>
      </c>
      <c r="P1566" s="460" t="s">
        <v>1880</v>
      </c>
      <c r="Q1566" s="460" t="s">
        <v>2289</v>
      </c>
      <c r="R1566" s="460">
        <v>2132</v>
      </c>
      <c r="S1566" s="460" t="s">
        <v>1139</v>
      </c>
      <c r="T1566" s="462">
        <v>1</v>
      </c>
      <c r="U1566" s="460" t="s">
        <v>1139</v>
      </c>
      <c r="V1566" s="475">
        <v>0</v>
      </c>
      <c r="W1566" s="463" t="s">
        <v>2268</v>
      </c>
      <c r="X1566" s="463" t="s">
        <v>2268</v>
      </c>
      <c r="Y1566" s="463" t="s">
        <v>2290</v>
      </c>
      <c r="Z1566" s="463"/>
      <c r="AA1566" s="463"/>
      <c r="AB1566" s="464">
        <v>0</v>
      </c>
      <c r="AC1566" s="465">
        <v>0</v>
      </c>
      <c r="AD1566" s="465">
        <v>0</v>
      </c>
      <c r="AE1566" s="476">
        <v>0</v>
      </c>
      <c r="AF1566" s="467">
        <v>0</v>
      </c>
      <c r="AG1566" s="468">
        <v>0</v>
      </c>
      <c r="AH1566" s="218">
        <v>0</v>
      </c>
      <c r="AI1566" s="470">
        <v>0</v>
      </c>
      <c r="AJ1566" s="471">
        <v>0</v>
      </c>
      <c r="AK1566" s="218">
        <v>0</v>
      </c>
      <c r="AL1566" s="470">
        <v>0</v>
      </c>
      <c r="AM1566" s="471">
        <v>0</v>
      </c>
      <c r="AN1566" s="477">
        <v>0</v>
      </c>
      <c r="AO1566" s="473">
        <v>0</v>
      </c>
      <c r="AP1566" s="474">
        <v>0</v>
      </c>
      <c r="AQ1566" s="352"/>
      <c r="AR1566" s="352"/>
      <c r="AS1566" s="352"/>
      <c r="AT1566" s="352"/>
      <c r="AU1566" s="352"/>
      <c r="AV1566" s="352"/>
      <c r="AW1566" s="352" t="s">
        <v>254</v>
      </c>
    </row>
    <row r="1567" spans="2:49" x14ac:dyDescent="0.2">
      <c r="B1567" s="460" t="s">
        <v>2827</v>
      </c>
      <c r="C1567" s="460">
        <v>2132</v>
      </c>
      <c r="D1567" s="460" t="s">
        <v>2366</v>
      </c>
      <c r="E1567" s="460" t="s">
        <v>1136</v>
      </c>
      <c r="F1567" s="460">
        <v>1</v>
      </c>
      <c r="G1567" s="460">
        <v>4</v>
      </c>
      <c r="H1567" s="461" t="s">
        <v>748</v>
      </c>
      <c r="I1567" s="461" t="s">
        <v>765</v>
      </c>
      <c r="J1567" s="461" t="s">
        <v>700</v>
      </c>
      <c r="K1567" s="594"/>
      <c r="L1567" s="594"/>
      <c r="M1567" s="352">
        <v>2000</v>
      </c>
      <c r="N1567" s="352" t="s">
        <v>703</v>
      </c>
      <c r="O1567" s="460">
        <v>2132</v>
      </c>
      <c r="P1567" s="460" t="s">
        <v>1880</v>
      </c>
      <c r="Q1567" s="460" t="s">
        <v>2266</v>
      </c>
      <c r="R1567" s="460">
        <v>2132</v>
      </c>
      <c r="S1567" s="460" t="s">
        <v>1136</v>
      </c>
      <c r="T1567" s="462">
        <v>1</v>
      </c>
      <c r="U1567" s="460" t="s">
        <v>1136</v>
      </c>
      <c r="V1567" s="475">
        <v>0</v>
      </c>
      <c r="W1567" s="463" t="s">
        <v>2268</v>
      </c>
      <c r="X1567" s="463" t="s">
        <v>2268</v>
      </c>
      <c r="Y1567" s="463" t="s">
        <v>2267</v>
      </c>
      <c r="Z1567" s="463"/>
      <c r="AA1567" s="463"/>
      <c r="AB1567" s="464">
        <v>0</v>
      </c>
      <c r="AC1567" s="465">
        <v>0</v>
      </c>
      <c r="AD1567" s="465">
        <v>0</v>
      </c>
      <c r="AE1567" s="476">
        <v>0</v>
      </c>
      <c r="AF1567" s="467">
        <v>0</v>
      </c>
      <c r="AG1567" s="468">
        <v>0</v>
      </c>
      <c r="AH1567" s="218">
        <v>0</v>
      </c>
      <c r="AI1567" s="470">
        <v>0</v>
      </c>
      <c r="AJ1567" s="471">
        <v>0</v>
      </c>
      <c r="AK1567" s="218">
        <v>0</v>
      </c>
      <c r="AL1567" s="470">
        <v>0</v>
      </c>
      <c r="AM1567" s="471">
        <v>0</v>
      </c>
      <c r="AN1567" s="477">
        <v>6.4030252017195579</v>
      </c>
      <c r="AO1567" s="473">
        <v>3.8441680089396489E-2</v>
      </c>
      <c r="AP1567" s="474">
        <v>7.8670618832938216E-3</v>
      </c>
      <c r="AQ1567" s="352"/>
      <c r="AR1567" s="352"/>
      <c r="AS1567" s="352"/>
      <c r="AT1567" s="352"/>
      <c r="AU1567" s="352"/>
      <c r="AV1567" s="352"/>
      <c r="AW1567" s="352" t="s">
        <v>254</v>
      </c>
    </row>
    <row r="1568" spans="2:49" x14ac:dyDescent="0.2">
      <c r="B1568" s="460" t="s">
        <v>2828</v>
      </c>
      <c r="C1568" s="460">
        <v>2132</v>
      </c>
      <c r="D1568" s="460" t="s">
        <v>2367</v>
      </c>
      <c r="E1568" s="460" t="s">
        <v>1137</v>
      </c>
      <c r="F1568" s="460">
        <v>2</v>
      </c>
      <c r="G1568" s="460">
        <v>4</v>
      </c>
      <c r="H1568" s="461" t="s">
        <v>748</v>
      </c>
      <c r="I1568" s="461" t="s">
        <v>765</v>
      </c>
      <c r="J1568" s="461" t="s">
        <v>700</v>
      </c>
      <c r="K1568" s="594"/>
      <c r="L1568" s="594"/>
      <c r="M1568" s="352">
        <v>2000</v>
      </c>
      <c r="N1568" s="352" t="s">
        <v>703</v>
      </c>
      <c r="O1568" s="460">
        <v>2132</v>
      </c>
      <c r="P1568" s="460" t="s">
        <v>1880</v>
      </c>
      <c r="Q1568" s="460" t="s">
        <v>2266</v>
      </c>
      <c r="R1568" s="460">
        <v>2132</v>
      </c>
      <c r="S1568" s="460" t="s">
        <v>1137</v>
      </c>
      <c r="T1568" s="462">
        <v>1</v>
      </c>
      <c r="U1568" s="460" t="s">
        <v>1137</v>
      </c>
      <c r="V1568" s="475">
        <v>0</v>
      </c>
      <c r="W1568" s="463" t="s">
        <v>2268</v>
      </c>
      <c r="X1568" s="463" t="s">
        <v>2268</v>
      </c>
      <c r="Y1568" s="463" t="s">
        <v>2267</v>
      </c>
      <c r="Z1568" s="463"/>
      <c r="AA1568" s="463"/>
      <c r="AB1568" s="464">
        <v>0</v>
      </c>
      <c r="AC1568" s="465">
        <v>0</v>
      </c>
      <c r="AD1568" s="465">
        <v>0</v>
      </c>
      <c r="AE1568" s="476">
        <v>0</v>
      </c>
      <c r="AF1568" s="467">
        <v>0</v>
      </c>
      <c r="AG1568" s="468">
        <v>0</v>
      </c>
      <c r="AH1568" s="218">
        <v>0</v>
      </c>
      <c r="AI1568" s="470">
        <v>0</v>
      </c>
      <c r="AJ1568" s="471">
        <v>0</v>
      </c>
      <c r="AK1568" s="218">
        <v>0</v>
      </c>
      <c r="AL1568" s="470">
        <v>0</v>
      </c>
      <c r="AM1568" s="471">
        <v>0</v>
      </c>
      <c r="AN1568" s="477">
        <v>15.39658475326998</v>
      </c>
      <c r="AO1568" s="473">
        <v>6.5850987424907192E-2</v>
      </c>
      <c r="AP1568" s="474">
        <v>1.4830161121065777E-2</v>
      </c>
      <c r="AQ1568" s="352"/>
      <c r="AR1568" s="352"/>
      <c r="AS1568" s="352"/>
      <c r="AT1568" s="352"/>
      <c r="AU1568" s="352"/>
      <c r="AV1568" s="352"/>
      <c r="AW1568" s="352" t="s">
        <v>254</v>
      </c>
    </row>
    <row r="1569" spans="2:49" x14ac:dyDescent="0.2">
      <c r="B1569" s="460" t="s">
        <v>2829</v>
      </c>
      <c r="C1569" s="460">
        <v>2132</v>
      </c>
      <c r="D1569" s="460" t="s">
        <v>2368</v>
      </c>
      <c r="E1569" s="460" t="s">
        <v>1138</v>
      </c>
      <c r="F1569" s="460">
        <v>3</v>
      </c>
      <c r="G1569" s="460">
        <v>4</v>
      </c>
      <c r="H1569" s="461" t="s">
        <v>748</v>
      </c>
      <c r="I1569" s="461" t="s">
        <v>765</v>
      </c>
      <c r="J1569" s="461" t="s">
        <v>700</v>
      </c>
      <c r="K1569" s="594"/>
      <c r="L1569" s="594"/>
      <c r="M1569" s="352">
        <v>2000</v>
      </c>
      <c r="N1569" s="352" t="s">
        <v>703</v>
      </c>
      <c r="O1569" s="460">
        <v>2132</v>
      </c>
      <c r="P1569" s="460" t="s">
        <v>1880</v>
      </c>
      <c r="Q1569" s="460" t="s">
        <v>2266</v>
      </c>
      <c r="R1569" s="460">
        <v>2132</v>
      </c>
      <c r="S1569" s="460" t="s">
        <v>1138</v>
      </c>
      <c r="T1569" s="462">
        <v>1</v>
      </c>
      <c r="U1569" s="460" t="s">
        <v>1138</v>
      </c>
      <c r="V1569" s="475">
        <v>0</v>
      </c>
      <c r="W1569" s="463" t="s">
        <v>2268</v>
      </c>
      <c r="X1569" s="463" t="s">
        <v>2268</v>
      </c>
      <c r="Y1569" s="463" t="s">
        <v>2267</v>
      </c>
      <c r="Z1569" s="463"/>
      <c r="AA1569" s="463"/>
      <c r="AB1569" s="464">
        <v>0</v>
      </c>
      <c r="AC1569" s="465">
        <v>0</v>
      </c>
      <c r="AD1569" s="465">
        <v>0</v>
      </c>
      <c r="AE1569" s="476">
        <v>0</v>
      </c>
      <c r="AF1569" s="467">
        <v>0</v>
      </c>
      <c r="AG1569" s="468">
        <v>0</v>
      </c>
      <c r="AH1569" s="218">
        <v>0</v>
      </c>
      <c r="AI1569" s="470">
        <v>0</v>
      </c>
      <c r="AJ1569" s="471">
        <v>0</v>
      </c>
      <c r="AK1569" s="218">
        <v>0</v>
      </c>
      <c r="AL1569" s="470">
        <v>0</v>
      </c>
      <c r="AM1569" s="471">
        <v>0</v>
      </c>
      <c r="AN1569" s="477">
        <v>10.781775896487106</v>
      </c>
      <c r="AO1569" s="473">
        <v>0.12281731041714034</v>
      </c>
      <c r="AP1569" s="474">
        <v>1.1186636925426771E-2</v>
      </c>
      <c r="AQ1569" s="352"/>
      <c r="AR1569" s="352"/>
      <c r="AS1569" s="352"/>
      <c r="AT1569" s="352"/>
      <c r="AU1569" s="352"/>
      <c r="AV1569" s="352"/>
      <c r="AW1569" s="352" t="s">
        <v>254</v>
      </c>
    </row>
    <row r="1570" spans="2:49" x14ac:dyDescent="0.2">
      <c r="B1570" s="460" t="s">
        <v>2830</v>
      </c>
      <c r="C1570" s="460">
        <v>2132</v>
      </c>
      <c r="D1570" s="460" t="s">
        <v>2369</v>
      </c>
      <c r="E1570" s="460" t="s">
        <v>1139</v>
      </c>
      <c r="F1570" s="460">
        <v>4</v>
      </c>
      <c r="G1570" s="460">
        <v>4</v>
      </c>
      <c r="H1570" s="461" t="s">
        <v>748</v>
      </c>
      <c r="I1570" s="461" t="s">
        <v>765</v>
      </c>
      <c r="J1570" s="461" t="s">
        <v>700</v>
      </c>
      <c r="K1570" s="594"/>
      <c r="L1570" s="594"/>
      <c r="M1570" s="352">
        <v>2000</v>
      </c>
      <c r="N1570" s="352" t="s">
        <v>703</v>
      </c>
      <c r="O1570" s="460">
        <v>2132</v>
      </c>
      <c r="P1570" s="460" t="s">
        <v>1880</v>
      </c>
      <c r="Q1570" s="460" t="s">
        <v>2266</v>
      </c>
      <c r="R1570" s="460">
        <v>2132</v>
      </c>
      <c r="S1570" s="460" t="s">
        <v>1139</v>
      </c>
      <c r="T1570" s="462">
        <v>1</v>
      </c>
      <c r="U1570" s="460" t="s">
        <v>1139</v>
      </c>
      <c r="V1570" s="475">
        <v>0</v>
      </c>
      <c r="W1570" s="463" t="s">
        <v>2268</v>
      </c>
      <c r="X1570" s="463" t="s">
        <v>2268</v>
      </c>
      <c r="Y1570" s="463" t="s">
        <v>2267</v>
      </c>
      <c r="Z1570" s="463"/>
      <c r="AA1570" s="463"/>
      <c r="AB1570" s="464">
        <v>0</v>
      </c>
      <c r="AC1570" s="465">
        <v>0</v>
      </c>
      <c r="AD1570" s="465">
        <v>0</v>
      </c>
      <c r="AE1570" s="476">
        <v>0</v>
      </c>
      <c r="AF1570" s="467">
        <v>0</v>
      </c>
      <c r="AG1570" s="468">
        <v>0</v>
      </c>
      <c r="AH1570" s="218">
        <v>0</v>
      </c>
      <c r="AI1570" s="470">
        <v>0</v>
      </c>
      <c r="AJ1570" s="471">
        <v>0</v>
      </c>
      <c r="AK1570" s="218">
        <v>0</v>
      </c>
      <c r="AL1570" s="470">
        <v>0</v>
      </c>
      <c r="AM1570" s="471">
        <v>0</v>
      </c>
      <c r="AN1570" s="477">
        <v>0</v>
      </c>
      <c r="AO1570" s="473">
        <v>0</v>
      </c>
      <c r="AP1570" s="474">
        <v>0</v>
      </c>
      <c r="AQ1570" s="352"/>
      <c r="AR1570" s="352"/>
      <c r="AS1570" s="352"/>
      <c r="AT1570" s="352"/>
      <c r="AU1570" s="352"/>
      <c r="AV1570" s="352"/>
      <c r="AW1570" s="352" t="s">
        <v>254</v>
      </c>
    </row>
    <row r="1571" spans="2:49" x14ac:dyDescent="0.2">
      <c r="B1571" s="460" t="s">
        <v>2827</v>
      </c>
      <c r="C1571" s="460">
        <v>2132</v>
      </c>
      <c r="D1571" s="460" t="s">
        <v>2370</v>
      </c>
      <c r="E1571" s="460" t="s">
        <v>1136</v>
      </c>
      <c r="F1571" s="460">
        <v>1</v>
      </c>
      <c r="G1571" s="460">
        <v>4</v>
      </c>
      <c r="H1571" s="461" t="s">
        <v>752</v>
      </c>
      <c r="I1571" s="461" t="s">
        <v>964</v>
      </c>
      <c r="J1571" s="461" t="s">
        <v>752</v>
      </c>
      <c r="K1571" s="594"/>
      <c r="L1571" s="594"/>
      <c r="M1571" s="352">
        <v>2000</v>
      </c>
      <c r="N1571" s="352" t="s">
        <v>703</v>
      </c>
      <c r="O1571" s="460">
        <v>2132</v>
      </c>
      <c r="P1571" s="460" t="s">
        <v>1880</v>
      </c>
      <c r="Q1571" s="460" t="s">
        <v>2266</v>
      </c>
      <c r="R1571" s="460">
        <v>2132</v>
      </c>
      <c r="S1571" s="460" t="s">
        <v>1136</v>
      </c>
      <c r="T1571" s="462">
        <v>1</v>
      </c>
      <c r="U1571" s="460" t="s">
        <v>1136</v>
      </c>
      <c r="V1571" s="475">
        <v>0</v>
      </c>
      <c r="W1571" s="463" t="s">
        <v>2267</v>
      </c>
      <c r="X1571" s="463" t="s">
        <v>2267</v>
      </c>
      <c r="Y1571" s="463" t="s">
        <v>2267</v>
      </c>
      <c r="Z1571" s="463"/>
      <c r="AA1571" s="463"/>
      <c r="AB1571" s="464">
        <v>2.5450724362034518</v>
      </c>
      <c r="AC1571" s="465">
        <v>1.5279786868650707E-2</v>
      </c>
      <c r="AD1571" s="465">
        <v>8.2419204063162021E-4</v>
      </c>
      <c r="AE1571" s="476">
        <v>2.5450724362034518</v>
      </c>
      <c r="AF1571" s="467">
        <v>1.5279786868650707E-2</v>
      </c>
      <c r="AG1571" s="468">
        <v>8.2419204063162021E-4</v>
      </c>
      <c r="AH1571" s="218">
        <v>2.5450724362034518</v>
      </c>
      <c r="AI1571" s="470">
        <v>1.5279786868650707E-2</v>
      </c>
      <c r="AJ1571" s="471">
        <v>6.9580935920893769E-4</v>
      </c>
      <c r="AK1571" s="218">
        <v>2.5450724362034518</v>
      </c>
      <c r="AL1571" s="470">
        <v>1.5279786868650707E-2</v>
      </c>
      <c r="AM1571" s="471">
        <v>6.9580935920893769E-4</v>
      </c>
      <c r="AN1571" s="477">
        <v>2.5450724362034518</v>
      </c>
      <c r="AO1571" s="473">
        <v>1.5279786868650707E-2</v>
      </c>
      <c r="AP1571" s="474">
        <v>6.9580935920893769E-4</v>
      </c>
      <c r="AQ1571" s="352"/>
      <c r="AR1571" s="352"/>
      <c r="AS1571" s="352"/>
      <c r="AT1571" s="352"/>
      <c r="AU1571" s="352"/>
      <c r="AV1571" s="352"/>
      <c r="AW1571" s="352" t="s">
        <v>254</v>
      </c>
    </row>
    <row r="1572" spans="2:49" x14ac:dyDescent="0.2">
      <c r="B1572" s="460" t="s">
        <v>2828</v>
      </c>
      <c r="C1572" s="460">
        <v>2132</v>
      </c>
      <c r="D1572" s="460" t="s">
        <v>2371</v>
      </c>
      <c r="E1572" s="460" t="s">
        <v>1137</v>
      </c>
      <c r="F1572" s="460">
        <v>2</v>
      </c>
      <c r="G1572" s="460">
        <v>4</v>
      </c>
      <c r="H1572" s="461" t="s">
        <v>752</v>
      </c>
      <c r="I1572" s="461" t="s">
        <v>964</v>
      </c>
      <c r="J1572" s="461" t="s">
        <v>752</v>
      </c>
      <c r="K1572" s="594"/>
      <c r="L1572" s="594"/>
      <c r="M1572" s="352">
        <v>2000</v>
      </c>
      <c r="N1572" s="352" t="s">
        <v>703</v>
      </c>
      <c r="O1572" s="460">
        <v>2132</v>
      </c>
      <c r="P1572" s="460" t="s">
        <v>1880</v>
      </c>
      <c r="Q1572" s="460" t="s">
        <v>2266</v>
      </c>
      <c r="R1572" s="460">
        <v>2132</v>
      </c>
      <c r="S1572" s="460" t="s">
        <v>1137</v>
      </c>
      <c r="T1572" s="462">
        <v>1</v>
      </c>
      <c r="U1572" s="460" t="s">
        <v>1137</v>
      </c>
      <c r="V1572" s="475">
        <v>0</v>
      </c>
      <c r="W1572" s="463" t="s">
        <v>2267</v>
      </c>
      <c r="X1572" s="463" t="s">
        <v>2267</v>
      </c>
      <c r="Y1572" s="463" t="s">
        <v>2267</v>
      </c>
      <c r="Z1572" s="463"/>
      <c r="AA1572" s="463"/>
      <c r="AB1572" s="464">
        <v>0.88373938135512653</v>
      </c>
      <c r="AC1572" s="465">
        <v>3.7797415349629417E-3</v>
      </c>
      <c r="AD1572" s="465">
        <v>8.6472961975155073E-5</v>
      </c>
      <c r="AE1572" s="476">
        <v>0.88373938135512653</v>
      </c>
      <c r="AF1572" s="467">
        <v>3.7797415349629417E-3</v>
      </c>
      <c r="AG1572" s="468">
        <v>8.6472961975155073E-5</v>
      </c>
      <c r="AH1572" s="218">
        <v>0.88373938135512653</v>
      </c>
      <c r="AI1572" s="470">
        <v>3.7797415349629417E-3</v>
      </c>
      <c r="AJ1572" s="471">
        <v>8.5729455381851035E-5</v>
      </c>
      <c r="AK1572" s="218">
        <v>0.88373938135512653</v>
      </c>
      <c r="AL1572" s="470">
        <v>3.7797415349629417E-3</v>
      </c>
      <c r="AM1572" s="471">
        <v>8.5729455381851035E-5</v>
      </c>
      <c r="AN1572" s="477">
        <v>0.88373938135512653</v>
      </c>
      <c r="AO1572" s="473">
        <v>3.7797415349629417E-3</v>
      </c>
      <c r="AP1572" s="474">
        <v>8.5729455381851035E-5</v>
      </c>
      <c r="AQ1572" s="352"/>
      <c r="AR1572" s="352"/>
      <c r="AS1572" s="352"/>
      <c r="AT1572" s="352"/>
      <c r="AU1572" s="352"/>
      <c r="AV1572" s="352"/>
      <c r="AW1572" s="352" t="s">
        <v>254</v>
      </c>
    </row>
    <row r="1573" spans="2:49" x14ac:dyDescent="0.2">
      <c r="B1573" s="460" t="s">
        <v>2829</v>
      </c>
      <c r="C1573" s="460">
        <v>2132</v>
      </c>
      <c r="D1573" s="460" t="s">
        <v>2372</v>
      </c>
      <c r="E1573" s="460" t="s">
        <v>1138</v>
      </c>
      <c r="F1573" s="460">
        <v>3</v>
      </c>
      <c r="G1573" s="460">
        <v>4</v>
      </c>
      <c r="H1573" s="461" t="s">
        <v>752</v>
      </c>
      <c r="I1573" s="461" t="s">
        <v>964</v>
      </c>
      <c r="J1573" s="461" t="s">
        <v>752</v>
      </c>
      <c r="K1573" s="594"/>
      <c r="L1573" s="594"/>
      <c r="M1573" s="352">
        <v>2000</v>
      </c>
      <c r="N1573" s="352" t="s">
        <v>703</v>
      </c>
      <c r="O1573" s="460">
        <v>2132</v>
      </c>
      <c r="P1573" s="460" t="s">
        <v>1880</v>
      </c>
      <c r="Q1573" s="460" t="s">
        <v>2266</v>
      </c>
      <c r="R1573" s="460">
        <v>2132</v>
      </c>
      <c r="S1573" s="460" t="s">
        <v>1138</v>
      </c>
      <c r="T1573" s="462">
        <v>1</v>
      </c>
      <c r="U1573" s="460" t="s">
        <v>1138</v>
      </c>
      <c r="V1573" s="475">
        <v>0</v>
      </c>
      <c r="W1573" s="463" t="s">
        <v>2267</v>
      </c>
      <c r="X1573" s="463" t="s">
        <v>2267</v>
      </c>
      <c r="Y1573" s="463" t="s">
        <v>2267</v>
      </c>
      <c r="Z1573" s="463"/>
      <c r="AA1573" s="463"/>
      <c r="AB1573" s="464">
        <v>3.4854522968573307</v>
      </c>
      <c r="AC1573" s="465">
        <v>3.9703466367422419E-2</v>
      </c>
      <c r="AD1573" s="465">
        <v>6.0201932759653526E-4</v>
      </c>
      <c r="AE1573" s="476">
        <v>3.4854522968573307</v>
      </c>
      <c r="AF1573" s="467">
        <v>3.9703466367422419E-2</v>
      </c>
      <c r="AG1573" s="468">
        <v>6.0201932759653526E-4</v>
      </c>
      <c r="AH1573" s="218">
        <v>3.4854522968573307</v>
      </c>
      <c r="AI1573" s="470">
        <v>3.9703466367422419E-2</v>
      </c>
      <c r="AJ1573" s="471">
        <v>5.7824752614837763E-4</v>
      </c>
      <c r="AK1573" s="218">
        <v>3.4854522968573307</v>
      </c>
      <c r="AL1573" s="470">
        <v>3.9703466367422419E-2</v>
      </c>
      <c r="AM1573" s="471">
        <v>5.7824752614837763E-4</v>
      </c>
      <c r="AN1573" s="477">
        <v>3.4854522968573307</v>
      </c>
      <c r="AO1573" s="473">
        <v>3.9703466367422419E-2</v>
      </c>
      <c r="AP1573" s="474">
        <v>5.7824752614837763E-4</v>
      </c>
      <c r="AQ1573" s="352"/>
      <c r="AR1573" s="352"/>
      <c r="AS1573" s="352"/>
      <c r="AT1573" s="352"/>
      <c r="AU1573" s="352"/>
      <c r="AV1573" s="352"/>
      <c r="AW1573" s="352" t="s">
        <v>254</v>
      </c>
    </row>
    <row r="1574" spans="2:49" x14ac:dyDescent="0.2">
      <c r="B1574" s="460" t="s">
        <v>2830</v>
      </c>
      <c r="C1574" s="460">
        <v>2132</v>
      </c>
      <c r="D1574" s="460" t="s">
        <v>2373</v>
      </c>
      <c r="E1574" s="460" t="s">
        <v>1139</v>
      </c>
      <c r="F1574" s="460">
        <v>4</v>
      </c>
      <c r="G1574" s="460">
        <v>4</v>
      </c>
      <c r="H1574" s="461" t="s">
        <v>752</v>
      </c>
      <c r="I1574" s="461" t="s">
        <v>964</v>
      </c>
      <c r="J1574" s="461" t="s">
        <v>752</v>
      </c>
      <c r="K1574" s="594"/>
      <c r="L1574" s="594"/>
      <c r="M1574" s="352">
        <v>2000</v>
      </c>
      <c r="N1574" s="352" t="s">
        <v>703</v>
      </c>
      <c r="O1574" s="460">
        <v>2132</v>
      </c>
      <c r="P1574" s="460" t="s">
        <v>1880</v>
      </c>
      <c r="Q1574" s="460" t="s">
        <v>2266</v>
      </c>
      <c r="R1574" s="460">
        <v>2132</v>
      </c>
      <c r="S1574" s="460" t="s">
        <v>1139</v>
      </c>
      <c r="T1574" s="462">
        <v>1</v>
      </c>
      <c r="U1574" s="460" t="s">
        <v>1139</v>
      </c>
      <c r="V1574" s="475">
        <v>0</v>
      </c>
      <c r="W1574" s="463" t="s">
        <v>2267</v>
      </c>
      <c r="X1574" s="463" t="s">
        <v>2267</v>
      </c>
      <c r="Y1574" s="463" t="s">
        <v>2267</v>
      </c>
      <c r="Z1574" s="463"/>
      <c r="AA1574" s="463"/>
      <c r="AB1574" s="464">
        <v>54.206331488189235</v>
      </c>
      <c r="AC1574" s="465">
        <v>0.3940469728721146</v>
      </c>
      <c r="AD1574" s="465">
        <v>2.1610586121401107E-3</v>
      </c>
      <c r="AE1574" s="476">
        <v>54.206331488189235</v>
      </c>
      <c r="AF1574" s="467">
        <v>0.3940469728721146</v>
      </c>
      <c r="AG1574" s="468">
        <v>2.1610586121401107E-3</v>
      </c>
      <c r="AH1574" s="218">
        <v>54.206331488189235</v>
      </c>
      <c r="AI1574" s="470">
        <v>0.3940469728721146</v>
      </c>
      <c r="AJ1574" s="471">
        <v>2.0087701824794474E-3</v>
      </c>
      <c r="AK1574" s="218">
        <v>54.206331488189235</v>
      </c>
      <c r="AL1574" s="470">
        <v>0.3940469728721146</v>
      </c>
      <c r="AM1574" s="471">
        <v>2.0087701824794474E-3</v>
      </c>
      <c r="AN1574" s="477">
        <v>54.206331488189235</v>
      </c>
      <c r="AO1574" s="473">
        <v>0.3940469728721146</v>
      </c>
      <c r="AP1574" s="474">
        <v>2.0087701824794474E-3</v>
      </c>
      <c r="AQ1574" s="352"/>
      <c r="AR1574" s="352"/>
      <c r="AS1574" s="352"/>
      <c r="AT1574" s="352"/>
      <c r="AU1574" s="352"/>
      <c r="AV1574" s="352"/>
      <c r="AW1574" s="352" t="s">
        <v>254</v>
      </c>
    </row>
    <row r="1575" spans="2:49" x14ac:dyDescent="0.2">
      <c r="B1575" s="460" t="s">
        <v>2831</v>
      </c>
      <c r="C1575" s="460">
        <v>2132</v>
      </c>
      <c r="D1575" s="460" t="s">
        <v>2375</v>
      </c>
      <c r="E1575" s="460" t="s">
        <v>2376</v>
      </c>
      <c r="F1575" s="460">
        <v>1</v>
      </c>
      <c r="G1575" s="460">
        <v>5</v>
      </c>
      <c r="H1575" s="461" t="s">
        <v>754</v>
      </c>
      <c r="I1575" s="461" t="s">
        <v>1991</v>
      </c>
      <c r="J1575" s="461" t="s">
        <v>754</v>
      </c>
      <c r="K1575" s="594"/>
      <c r="L1575" s="594"/>
      <c r="M1575" s="352">
        <v>2000</v>
      </c>
      <c r="N1575" s="352" t="s">
        <v>703</v>
      </c>
      <c r="O1575" s="460">
        <v>2132</v>
      </c>
      <c r="P1575" s="460" t="s">
        <v>1880</v>
      </c>
      <c r="Q1575" s="460" t="s">
        <v>2377</v>
      </c>
      <c r="R1575" s="460">
        <v>2132</v>
      </c>
      <c r="S1575" s="460" t="s">
        <v>2376</v>
      </c>
      <c r="T1575" s="462">
        <v>1</v>
      </c>
      <c r="U1575" s="460" t="s">
        <v>2376</v>
      </c>
      <c r="V1575" s="475">
        <v>0</v>
      </c>
      <c r="W1575" s="463" t="s">
        <v>2278</v>
      </c>
      <c r="X1575" s="463" t="s">
        <v>2278</v>
      </c>
      <c r="Y1575" s="463" t="s">
        <v>2278</v>
      </c>
      <c r="Z1575" s="463"/>
      <c r="AA1575" s="463"/>
      <c r="AB1575" s="464">
        <v>645.06560166616475</v>
      </c>
      <c r="AC1575" s="465">
        <v>1</v>
      </c>
      <c r="AD1575" s="465">
        <v>1.0844229032350417E-3</v>
      </c>
      <c r="AE1575" s="476">
        <v>645.06560166616475</v>
      </c>
      <c r="AF1575" s="467">
        <v>1</v>
      </c>
      <c r="AG1575" s="468">
        <v>1.0844229032350417E-3</v>
      </c>
      <c r="AH1575" s="218">
        <v>645.06560166616475</v>
      </c>
      <c r="AI1575" s="470">
        <v>1</v>
      </c>
      <c r="AJ1575" s="471">
        <v>1.0844229032350417E-3</v>
      </c>
      <c r="AK1575" s="218">
        <v>645.06560166616475</v>
      </c>
      <c r="AL1575" s="470">
        <v>1</v>
      </c>
      <c r="AM1575" s="471">
        <v>1.0844229032350417E-3</v>
      </c>
      <c r="AN1575" s="477">
        <v>645.06560166616475</v>
      </c>
      <c r="AO1575" s="473">
        <v>1</v>
      </c>
      <c r="AP1575" s="474">
        <v>1.0844229032350417E-3</v>
      </c>
      <c r="AQ1575" s="352"/>
      <c r="AR1575" s="352"/>
      <c r="AS1575" s="352"/>
      <c r="AT1575" s="352"/>
      <c r="AU1575" s="352"/>
      <c r="AV1575" s="352"/>
      <c r="AW1575" s="352" t="s">
        <v>127</v>
      </c>
    </row>
    <row r="1576" spans="2:49" x14ac:dyDescent="0.2">
      <c r="B1576" s="460" t="s">
        <v>2832</v>
      </c>
      <c r="C1576" s="460">
        <v>2132</v>
      </c>
      <c r="D1576" s="460" t="s">
        <v>2379</v>
      </c>
      <c r="E1576" s="460" t="s">
        <v>2380</v>
      </c>
      <c r="F1576" s="460">
        <v>2</v>
      </c>
      <c r="G1576" s="460">
        <v>5</v>
      </c>
      <c r="H1576" s="461" t="s">
        <v>754</v>
      </c>
      <c r="I1576" s="461" t="s">
        <v>1991</v>
      </c>
      <c r="J1576" s="461" t="s">
        <v>754</v>
      </c>
      <c r="K1576" s="594"/>
      <c r="L1576" s="594"/>
      <c r="M1576" s="352">
        <v>2000</v>
      </c>
      <c r="N1576" s="352" t="s">
        <v>703</v>
      </c>
      <c r="O1576" s="460">
        <v>2132</v>
      </c>
      <c r="P1576" s="460" t="s">
        <v>1880</v>
      </c>
      <c r="Q1576" s="460" t="s">
        <v>2377</v>
      </c>
      <c r="R1576" s="460">
        <v>2132</v>
      </c>
      <c r="S1576" s="460" t="s">
        <v>2380</v>
      </c>
      <c r="T1576" s="462">
        <v>1</v>
      </c>
      <c r="U1576" s="460" t="s">
        <v>2380</v>
      </c>
      <c r="V1576" s="475">
        <v>0</v>
      </c>
      <c r="W1576" s="463" t="s">
        <v>2278</v>
      </c>
      <c r="X1576" s="463" t="s">
        <v>2278</v>
      </c>
      <c r="Y1576" s="463" t="s">
        <v>2278</v>
      </c>
      <c r="Z1576" s="463"/>
      <c r="AA1576" s="463"/>
      <c r="AB1576" s="464">
        <v>575.15546927835271</v>
      </c>
      <c r="AC1576" s="465">
        <v>1</v>
      </c>
      <c r="AD1576" s="465">
        <v>1.1325982782853482E-3</v>
      </c>
      <c r="AE1576" s="476">
        <v>575.15546927835271</v>
      </c>
      <c r="AF1576" s="467">
        <v>1</v>
      </c>
      <c r="AG1576" s="468">
        <v>1.1325982782853482E-3</v>
      </c>
      <c r="AH1576" s="218">
        <v>575.15546927835271</v>
      </c>
      <c r="AI1576" s="470">
        <v>1</v>
      </c>
      <c r="AJ1576" s="471">
        <v>1.1325982782853482E-3</v>
      </c>
      <c r="AK1576" s="218">
        <v>575.15546927835271</v>
      </c>
      <c r="AL1576" s="470">
        <v>1</v>
      </c>
      <c r="AM1576" s="471">
        <v>1.1325982782853482E-3</v>
      </c>
      <c r="AN1576" s="477">
        <v>575.15546927835271</v>
      </c>
      <c r="AO1576" s="473">
        <v>1</v>
      </c>
      <c r="AP1576" s="474">
        <v>1.1325982782853482E-3</v>
      </c>
      <c r="AQ1576" s="352"/>
      <c r="AR1576" s="352"/>
      <c r="AS1576" s="352"/>
      <c r="AT1576" s="352"/>
      <c r="AU1576" s="352"/>
      <c r="AV1576" s="352"/>
      <c r="AW1576" s="352" t="s">
        <v>127</v>
      </c>
    </row>
    <row r="1577" spans="2:49" x14ac:dyDescent="0.2">
      <c r="B1577" s="460" t="s">
        <v>2833</v>
      </c>
      <c r="C1577" s="460">
        <v>2132</v>
      </c>
      <c r="D1577" s="460" t="s">
        <v>2382</v>
      </c>
      <c r="E1577" s="460" t="s">
        <v>2383</v>
      </c>
      <c r="F1577" s="460">
        <v>3</v>
      </c>
      <c r="G1577" s="460">
        <v>5</v>
      </c>
      <c r="H1577" s="461" t="s">
        <v>754</v>
      </c>
      <c r="I1577" s="461" t="s">
        <v>1991</v>
      </c>
      <c r="J1577" s="461" t="s">
        <v>754</v>
      </c>
      <c r="K1577" s="594"/>
      <c r="L1577" s="594"/>
      <c r="M1577" s="352">
        <v>2000</v>
      </c>
      <c r="N1577" s="352" t="s">
        <v>703</v>
      </c>
      <c r="O1577" s="460">
        <v>2132</v>
      </c>
      <c r="P1577" s="460" t="s">
        <v>1880</v>
      </c>
      <c r="Q1577" s="460" t="s">
        <v>2377</v>
      </c>
      <c r="R1577" s="460">
        <v>2132</v>
      </c>
      <c r="S1577" s="460" t="s">
        <v>2383</v>
      </c>
      <c r="T1577" s="462">
        <v>1</v>
      </c>
      <c r="U1577" s="460" t="s">
        <v>2383</v>
      </c>
      <c r="V1577" s="475">
        <v>0</v>
      </c>
      <c r="W1577" s="463" t="s">
        <v>2278</v>
      </c>
      <c r="X1577" s="463" t="s">
        <v>2278</v>
      </c>
      <c r="Y1577" s="463" t="s">
        <v>2278</v>
      </c>
      <c r="Z1577" s="463"/>
      <c r="AA1577" s="463"/>
      <c r="AB1577" s="464">
        <v>86.706809363648944</v>
      </c>
      <c r="AC1577" s="465">
        <v>1</v>
      </c>
      <c r="AD1577" s="465">
        <v>7.7070718568108502E-4</v>
      </c>
      <c r="AE1577" s="476">
        <v>86.706809363648944</v>
      </c>
      <c r="AF1577" s="467">
        <v>1</v>
      </c>
      <c r="AG1577" s="468">
        <v>7.7070718568108502E-4</v>
      </c>
      <c r="AH1577" s="218">
        <v>86.706809363648944</v>
      </c>
      <c r="AI1577" s="470">
        <v>1</v>
      </c>
      <c r="AJ1577" s="471">
        <v>7.7070718568108502E-4</v>
      </c>
      <c r="AK1577" s="218">
        <v>86.706809363648944</v>
      </c>
      <c r="AL1577" s="470">
        <v>1</v>
      </c>
      <c r="AM1577" s="471">
        <v>7.7070718568108502E-4</v>
      </c>
      <c r="AN1577" s="477">
        <v>86.706809363648944</v>
      </c>
      <c r="AO1577" s="473">
        <v>1</v>
      </c>
      <c r="AP1577" s="474">
        <v>7.7070718568108502E-4</v>
      </c>
      <c r="AQ1577" s="352"/>
      <c r="AR1577" s="352"/>
      <c r="AS1577" s="352"/>
      <c r="AT1577" s="352"/>
      <c r="AU1577" s="352"/>
      <c r="AV1577" s="352"/>
      <c r="AW1577" s="352" t="s">
        <v>127</v>
      </c>
    </row>
    <row r="1578" spans="2:49" x14ac:dyDescent="0.2">
      <c r="B1578" s="460" t="s">
        <v>2834</v>
      </c>
      <c r="C1578" s="460">
        <v>2132</v>
      </c>
      <c r="D1578" s="460" t="s">
        <v>2385</v>
      </c>
      <c r="E1578" s="460" t="s">
        <v>2386</v>
      </c>
      <c r="F1578" s="460">
        <v>4</v>
      </c>
      <c r="G1578" s="460">
        <v>5</v>
      </c>
      <c r="H1578" s="461" t="s">
        <v>754</v>
      </c>
      <c r="I1578" s="461" t="s">
        <v>1991</v>
      </c>
      <c r="J1578" s="461" t="s">
        <v>754</v>
      </c>
      <c r="K1578" s="594"/>
      <c r="L1578" s="594"/>
      <c r="M1578" s="352">
        <v>2000</v>
      </c>
      <c r="N1578" s="352" t="s">
        <v>703</v>
      </c>
      <c r="O1578" s="460">
        <v>2132</v>
      </c>
      <c r="P1578" s="460" t="s">
        <v>1880</v>
      </c>
      <c r="Q1578" s="460" t="s">
        <v>2377</v>
      </c>
      <c r="R1578" s="460">
        <v>2132</v>
      </c>
      <c r="S1578" s="460" t="s">
        <v>2386</v>
      </c>
      <c r="T1578" s="462">
        <v>1</v>
      </c>
      <c r="U1578" s="460" t="s">
        <v>2386</v>
      </c>
      <c r="V1578" s="475">
        <v>0</v>
      </c>
      <c r="W1578" s="463" t="s">
        <v>2278</v>
      </c>
      <c r="X1578" s="463" t="s">
        <v>2278</v>
      </c>
      <c r="Y1578" s="463" t="s">
        <v>2278</v>
      </c>
      <c r="Z1578" s="463"/>
      <c r="AA1578" s="463"/>
      <c r="AB1578" s="464">
        <v>140.23946852779716</v>
      </c>
      <c r="AC1578" s="465">
        <v>1</v>
      </c>
      <c r="AD1578" s="465">
        <v>2.6015455665478293E-3</v>
      </c>
      <c r="AE1578" s="476">
        <v>140.23946852779716</v>
      </c>
      <c r="AF1578" s="467">
        <v>1</v>
      </c>
      <c r="AG1578" s="468">
        <v>2.6015455665478293E-3</v>
      </c>
      <c r="AH1578" s="218">
        <v>140.23946852779716</v>
      </c>
      <c r="AI1578" s="470">
        <v>1</v>
      </c>
      <c r="AJ1578" s="471">
        <v>2.6015455665478293E-3</v>
      </c>
      <c r="AK1578" s="218">
        <v>140.23946852779716</v>
      </c>
      <c r="AL1578" s="470">
        <v>1</v>
      </c>
      <c r="AM1578" s="471">
        <v>2.6015455665478293E-3</v>
      </c>
      <c r="AN1578" s="477">
        <v>140.23946852779716</v>
      </c>
      <c r="AO1578" s="473">
        <v>1</v>
      </c>
      <c r="AP1578" s="474">
        <v>2.6015455665478293E-3</v>
      </c>
      <c r="AQ1578" s="352"/>
      <c r="AR1578" s="352"/>
      <c r="AS1578" s="352"/>
      <c r="AT1578" s="352"/>
      <c r="AU1578" s="352"/>
      <c r="AV1578" s="352"/>
      <c r="AW1578" s="352" t="s">
        <v>127</v>
      </c>
    </row>
    <row r="1579" spans="2:49" x14ac:dyDescent="0.2">
      <c r="B1579" s="460" t="s">
        <v>2835</v>
      </c>
      <c r="C1579" s="460">
        <v>2132</v>
      </c>
      <c r="D1579" s="460" t="s">
        <v>2388</v>
      </c>
      <c r="E1579" s="460" t="s">
        <v>2389</v>
      </c>
      <c r="F1579" s="460">
        <v>1</v>
      </c>
      <c r="G1579" s="460">
        <v>6</v>
      </c>
      <c r="H1579" s="461" t="s">
        <v>754</v>
      </c>
      <c r="I1579" s="461" t="s">
        <v>1991</v>
      </c>
      <c r="J1579" s="461" t="s">
        <v>754</v>
      </c>
      <c r="K1579" s="594"/>
      <c r="L1579" s="594"/>
      <c r="M1579" s="352">
        <v>2000</v>
      </c>
      <c r="N1579" s="352" t="s">
        <v>703</v>
      </c>
      <c r="O1579" s="460">
        <v>2132</v>
      </c>
      <c r="P1579" s="460" t="s">
        <v>1880</v>
      </c>
      <c r="Q1579" s="460" t="s">
        <v>2377</v>
      </c>
      <c r="R1579" s="460">
        <v>2132</v>
      </c>
      <c r="S1579" s="460" t="s">
        <v>2389</v>
      </c>
      <c r="T1579" s="462">
        <v>1</v>
      </c>
      <c r="U1579" s="460" t="s">
        <v>2389</v>
      </c>
      <c r="V1579" s="475">
        <v>0</v>
      </c>
      <c r="W1579" s="463" t="s">
        <v>2278</v>
      </c>
      <c r="X1579" s="463" t="s">
        <v>2278</v>
      </c>
      <c r="Y1579" s="463" t="s">
        <v>2278</v>
      </c>
      <c r="Z1579" s="463"/>
      <c r="AA1579" s="463"/>
      <c r="AB1579" s="464">
        <v>0</v>
      </c>
      <c r="AC1579" s="465">
        <v>0</v>
      </c>
      <c r="AD1579" s="465">
        <v>0</v>
      </c>
      <c r="AE1579" s="476">
        <v>0</v>
      </c>
      <c r="AF1579" s="467">
        <v>0</v>
      </c>
      <c r="AG1579" s="468">
        <v>0</v>
      </c>
      <c r="AH1579" s="218">
        <v>0</v>
      </c>
      <c r="AI1579" s="470">
        <v>0</v>
      </c>
      <c r="AJ1579" s="471">
        <v>0</v>
      </c>
      <c r="AK1579" s="218">
        <v>0</v>
      </c>
      <c r="AL1579" s="470">
        <v>0</v>
      </c>
      <c r="AM1579" s="471">
        <v>0</v>
      </c>
      <c r="AN1579" s="477">
        <v>0</v>
      </c>
      <c r="AO1579" s="473">
        <v>0</v>
      </c>
      <c r="AP1579" s="474">
        <v>0</v>
      </c>
      <c r="AQ1579" s="352"/>
      <c r="AR1579" s="352"/>
      <c r="AS1579" s="352"/>
      <c r="AT1579" s="352"/>
      <c r="AU1579" s="352"/>
      <c r="AV1579" s="352"/>
      <c r="AW1579" s="352" t="s">
        <v>127</v>
      </c>
    </row>
    <row r="1580" spans="2:49" x14ac:dyDescent="0.2">
      <c r="B1580" s="460" t="s">
        <v>2836</v>
      </c>
      <c r="C1580" s="460">
        <v>2132</v>
      </c>
      <c r="D1580" s="460" t="s">
        <v>2391</v>
      </c>
      <c r="E1580" s="460" t="s">
        <v>2392</v>
      </c>
      <c r="F1580" s="460">
        <v>2</v>
      </c>
      <c r="G1580" s="460">
        <v>6</v>
      </c>
      <c r="H1580" s="461" t="s">
        <v>754</v>
      </c>
      <c r="I1580" s="461" t="s">
        <v>1991</v>
      </c>
      <c r="J1580" s="461" t="s">
        <v>754</v>
      </c>
      <c r="K1580" s="594"/>
      <c r="L1580" s="594"/>
      <c r="M1580" s="352">
        <v>2000</v>
      </c>
      <c r="N1580" s="352" t="s">
        <v>703</v>
      </c>
      <c r="O1580" s="460">
        <v>2132</v>
      </c>
      <c r="P1580" s="460" t="s">
        <v>1880</v>
      </c>
      <c r="Q1580" s="460" t="s">
        <v>2377</v>
      </c>
      <c r="R1580" s="460">
        <v>2132</v>
      </c>
      <c r="S1580" s="460" t="s">
        <v>2392</v>
      </c>
      <c r="T1580" s="462">
        <v>1</v>
      </c>
      <c r="U1580" s="460" t="s">
        <v>2392</v>
      </c>
      <c r="V1580" s="475">
        <v>0</v>
      </c>
      <c r="W1580" s="463" t="s">
        <v>2278</v>
      </c>
      <c r="X1580" s="463" t="s">
        <v>2278</v>
      </c>
      <c r="Y1580" s="463" t="s">
        <v>2278</v>
      </c>
      <c r="Z1580" s="463"/>
      <c r="AA1580" s="463"/>
      <c r="AB1580" s="464">
        <v>0</v>
      </c>
      <c r="AC1580" s="465">
        <v>0</v>
      </c>
      <c r="AD1580" s="465">
        <v>0</v>
      </c>
      <c r="AE1580" s="476">
        <v>0</v>
      </c>
      <c r="AF1580" s="467">
        <v>0</v>
      </c>
      <c r="AG1580" s="468">
        <v>0</v>
      </c>
      <c r="AH1580" s="218">
        <v>0</v>
      </c>
      <c r="AI1580" s="470">
        <v>0</v>
      </c>
      <c r="AJ1580" s="471">
        <v>0</v>
      </c>
      <c r="AK1580" s="218">
        <v>0</v>
      </c>
      <c r="AL1580" s="470">
        <v>0</v>
      </c>
      <c r="AM1580" s="471">
        <v>0</v>
      </c>
      <c r="AN1580" s="477">
        <v>0</v>
      </c>
      <c r="AO1580" s="473">
        <v>0</v>
      </c>
      <c r="AP1580" s="474">
        <v>0</v>
      </c>
      <c r="AQ1580" s="352"/>
      <c r="AR1580" s="352"/>
      <c r="AS1580" s="352"/>
      <c r="AT1580" s="352"/>
      <c r="AU1580" s="352"/>
      <c r="AV1580" s="352"/>
      <c r="AW1580" s="352" t="s">
        <v>127</v>
      </c>
    </row>
    <row r="1581" spans="2:49" x14ac:dyDescent="0.2">
      <c r="B1581" s="460" t="s">
        <v>2837</v>
      </c>
      <c r="C1581" s="460">
        <v>2132</v>
      </c>
      <c r="D1581" s="460" t="s">
        <v>2394</v>
      </c>
      <c r="E1581" s="460" t="s">
        <v>2395</v>
      </c>
      <c r="F1581" s="460">
        <v>3</v>
      </c>
      <c r="G1581" s="460">
        <v>6</v>
      </c>
      <c r="H1581" s="461" t="s">
        <v>754</v>
      </c>
      <c r="I1581" s="461" t="s">
        <v>1991</v>
      </c>
      <c r="J1581" s="461" t="s">
        <v>754</v>
      </c>
      <c r="K1581" s="594"/>
      <c r="L1581" s="594"/>
      <c r="M1581" s="352">
        <v>2000</v>
      </c>
      <c r="N1581" s="352" t="s">
        <v>703</v>
      </c>
      <c r="O1581" s="460">
        <v>2132</v>
      </c>
      <c r="P1581" s="460" t="s">
        <v>1880</v>
      </c>
      <c r="Q1581" s="460" t="s">
        <v>2377</v>
      </c>
      <c r="R1581" s="460">
        <v>2132</v>
      </c>
      <c r="S1581" s="460" t="s">
        <v>2395</v>
      </c>
      <c r="T1581" s="462">
        <v>1</v>
      </c>
      <c r="U1581" s="460" t="s">
        <v>2395</v>
      </c>
      <c r="V1581" s="475">
        <v>0</v>
      </c>
      <c r="W1581" s="463" t="s">
        <v>2278</v>
      </c>
      <c r="X1581" s="463" t="s">
        <v>2278</v>
      </c>
      <c r="Y1581" s="463" t="s">
        <v>2278</v>
      </c>
      <c r="Z1581" s="463"/>
      <c r="AA1581" s="463"/>
      <c r="AB1581" s="464">
        <v>0</v>
      </c>
      <c r="AC1581" s="465">
        <v>0</v>
      </c>
      <c r="AD1581" s="465">
        <v>0</v>
      </c>
      <c r="AE1581" s="476">
        <v>0</v>
      </c>
      <c r="AF1581" s="467">
        <v>0</v>
      </c>
      <c r="AG1581" s="468">
        <v>0</v>
      </c>
      <c r="AH1581" s="218">
        <v>0</v>
      </c>
      <c r="AI1581" s="470">
        <v>0</v>
      </c>
      <c r="AJ1581" s="471">
        <v>0</v>
      </c>
      <c r="AK1581" s="218">
        <v>0</v>
      </c>
      <c r="AL1581" s="470">
        <v>0</v>
      </c>
      <c r="AM1581" s="471">
        <v>0</v>
      </c>
      <c r="AN1581" s="477">
        <v>0</v>
      </c>
      <c r="AO1581" s="473">
        <v>0</v>
      </c>
      <c r="AP1581" s="474">
        <v>0</v>
      </c>
      <c r="AQ1581" s="352"/>
      <c r="AR1581" s="352"/>
      <c r="AS1581" s="352"/>
      <c r="AT1581" s="352"/>
      <c r="AU1581" s="352"/>
      <c r="AV1581" s="352"/>
      <c r="AW1581" s="352" t="s">
        <v>127</v>
      </c>
    </row>
    <row r="1582" spans="2:49" x14ac:dyDescent="0.2">
      <c r="B1582" s="460" t="s">
        <v>2838</v>
      </c>
      <c r="C1582" s="460">
        <v>2132</v>
      </c>
      <c r="D1582" s="460" t="s">
        <v>2397</v>
      </c>
      <c r="E1582" s="460" t="s">
        <v>2398</v>
      </c>
      <c r="F1582" s="460">
        <v>4</v>
      </c>
      <c r="G1582" s="460">
        <v>6</v>
      </c>
      <c r="H1582" s="461" t="s">
        <v>754</v>
      </c>
      <c r="I1582" s="461" t="s">
        <v>1991</v>
      </c>
      <c r="J1582" s="461" t="s">
        <v>754</v>
      </c>
      <c r="K1582" s="594"/>
      <c r="L1582" s="594"/>
      <c r="M1582" s="352">
        <v>2000</v>
      </c>
      <c r="N1582" s="352" t="s">
        <v>703</v>
      </c>
      <c r="O1582" s="460">
        <v>2132</v>
      </c>
      <c r="P1582" s="460" t="s">
        <v>1880</v>
      </c>
      <c r="Q1582" s="460" t="s">
        <v>2377</v>
      </c>
      <c r="R1582" s="460">
        <v>2132</v>
      </c>
      <c r="S1582" s="460" t="s">
        <v>2398</v>
      </c>
      <c r="T1582" s="462">
        <v>1</v>
      </c>
      <c r="U1582" s="460" t="s">
        <v>2398</v>
      </c>
      <c r="V1582" s="475">
        <v>0</v>
      </c>
      <c r="W1582" s="463" t="s">
        <v>2278</v>
      </c>
      <c r="X1582" s="463" t="s">
        <v>2278</v>
      </c>
      <c r="Y1582" s="463" t="s">
        <v>2278</v>
      </c>
      <c r="Z1582" s="463"/>
      <c r="AA1582" s="463"/>
      <c r="AB1582" s="464">
        <v>0</v>
      </c>
      <c r="AC1582" s="465">
        <v>0</v>
      </c>
      <c r="AD1582" s="465">
        <v>0</v>
      </c>
      <c r="AE1582" s="476">
        <v>0</v>
      </c>
      <c r="AF1582" s="467">
        <v>0</v>
      </c>
      <c r="AG1582" s="468">
        <v>0</v>
      </c>
      <c r="AH1582" s="218">
        <v>0</v>
      </c>
      <c r="AI1582" s="470">
        <v>0</v>
      </c>
      <c r="AJ1582" s="471">
        <v>0</v>
      </c>
      <c r="AK1582" s="218">
        <v>0</v>
      </c>
      <c r="AL1582" s="470">
        <v>0</v>
      </c>
      <c r="AM1582" s="471">
        <v>0</v>
      </c>
      <c r="AN1582" s="477">
        <v>0</v>
      </c>
      <c r="AO1582" s="473">
        <v>0</v>
      </c>
      <c r="AP1582" s="474">
        <v>0</v>
      </c>
      <c r="AQ1582" s="352"/>
      <c r="AR1582" s="352"/>
      <c r="AS1582" s="352"/>
      <c r="AT1582" s="352"/>
      <c r="AU1582" s="352"/>
      <c r="AV1582" s="352"/>
      <c r="AW1582" s="352" t="s">
        <v>127</v>
      </c>
    </row>
    <row r="1583" spans="2:49" x14ac:dyDescent="0.2">
      <c r="B1583" s="460" t="s">
        <v>2839</v>
      </c>
      <c r="C1583" s="460">
        <v>2133</v>
      </c>
      <c r="D1583" s="460" t="s">
        <v>2264</v>
      </c>
      <c r="E1583" s="460" t="s">
        <v>2265</v>
      </c>
      <c r="F1583" s="460">
        <v>1</v>
      </c>
      <c r="G1583" s="460">
        <v>1</v>
      </c>
      <c r="H1583" s="461" t="s">
        <v>700</v>
      </c>
      <c r="I1583" s="461" t="s">
        <v>872</v>
      </c>
      <c r="J1583" s="461" t="s">
        <v>700</v>
      </c>
      <c r="K1583" s="594"/>
      <c r="L1583" s="594"/>
      <c r="M1583" s="352">
        <v>2000</v>
      </c>
      <c r="N1583" s="352" t="s">
        <v>703</v>
      </c>
      <c r="O1583" s="460">
        <v>2133</v>
      </c>
      <c r="P1583" s="460" t="s">
        <v>1881</v>
      </c>
      <c r="Q1583" s="460" t="s">
        <v>2440</v>
      </c>
      <c r="R1583" s="460">
        <v>2133</v>
      </c>
      <c r="S1583" s="460" t="s">
        <v>2265</v>
      </c>
      <c r="T1583" s="462">
        <v>1</v>
      </c>
      <c r="U1583" s="460" t="s">
        <v>2265</v>
      </c>
      <c r="V1583" s="475">
        <v>0</v>
      </c>
      <c r="W1583" s="463" t="s">
        <v>2267</v>
      </c>
      <c r="X1583" s="463" t="s">
        <v>2267</v>
      </c>
      <c r="Y1583" s="463" t="s">
        <v>2268</v>
      </c>
      <c r="Z1583" s="463"/>
      <c r="AA1583" s="463"/>
      <c r="AB1583" s="464">
        <v>463.35757341921311</v>
      </c>
      <c r="AC1583" s="465">
        <v>0.64064718417705724</v>
      </c>
      <c r="AD1583" s="465">
        <v>4.2969164252771854E-3</v>
      </c>
      <c r="AE1583" s="476">
        <v>463.35757341921317</v>
      </c>
      <c r="AF1583" s="467">
        <v>0.64064718417705724</v>
      </c>
      <c r="AG1583" s="468">
        <v>4.5900060433425203E-3</v>
      </c>
      <c r="AH1583" s="218">
        <v>463.35757341921317</v>
      </c>
      <c r="AI1583" s="470">
        <v>0.64064718417705724</v>
      </c>
      <c r="AJ1583" s="471">
        <v>4.4182716303519049E-3</v>
      </c>
      <c r="AK1583" s="218">
        <v>463.35757341921317</v>
      </c>
      <c r="AL1583" s="470">
        <v>0.64064718417705724</v>
      </c>
      <c r="AM1583" s="471">
        <v>4.4182716303519049E-3</v>
      </c>
      <c r="AN1583" s="477">
        <v>0</v>
      </c>
      <c r="AO1583" s="473">
        <v>0</v>
      </c>
      <c r="AP1583" s="474">
        <v>0</v>
      </c>
      <c r="AQ1583" s="352"/>
      <c r="AR1583" s="352"/>
      <c r="AS1583" s="352"/>
      <c r="AT1583" s="352"/>
      <c r="AU1583" s="352"/>
      <c r="AV1583" s="352"/>
      <c r="AW1583" s="352" t="s">
        <v>254</v>
      </c>
    </row>
    <row r="1584" spans="2:49" x14ac:dyDescent="0.2">
      <c r="B1584" s="460" t="s">
        <v>2840</v>
      </c>
      <c r="C1584" s="460">
        <v>2133</v>
      </c>
      <c r="D1584" s="460" t="s">
        <v>2270</v>
      </c>
      <c r="E1584" s="460" t="s">
        <v>2271</v>
      </c>
      <c r="F1584" s="460">
        <v>2</v>
      </c>
      <c r="G1584" s="460">
        <v>1</v>
      </c>
      <c r="H1584" s="461" t="s">
        <v>700</v>
      </c>
      <c r="I1584" s="461" t="s">
        <v>872</v>
      </c>
      <c r="J1584" s="461" t="s">
        <v>700</v>
      </c>
      <c r="K1584" s="594"/>
      <c r="L1584" s="594"/>
      <c r="M1584" s="352">
        <v>2000</v>
      </c>
      <c r="N1584" s="352" t="s">
        <v>703</v>
      </c>
      <c r="O1584" s="460">
        <v>2133</v>
      </c>
      <c r="P1584" s="460" t="s">
        <v>1881</v>
      </c>
      <c r="Q1584" s="460" t="s">
        <v>2440</v>
      </c>
      <c r="R1584" s="460">
        <v>2133</v>
      </c>
      <c r="S1584" s="460" t="s">
        <v>2265</v>
      </c>
      <c r="T1584" s="462">
        <v>1</v>
      </c>
      <c r="U1584" s="460" t="s">
        <v>2271</v>
      </c>
      <c r="V1584" s="475">
        <v>0</v>
      </c>
      <c r="W1584" s="463" t="s">
        <v>2503</v>
      </c>
      <c r="X1584" s="463" t="s">
        <v>2267</v>
      </c>
      <c r="Y1584" s="463" t="s">
        <v>2268</v>
      </c>
      <c r="Z1584" s="463"/>
      <c r="AA1584" s="463"/>
      <c r="AB1584" s="464">
        <v>512.86134061320092</v>
      </c>
      <c r="AC1584" s="465">
        <v>0.61690785498980028</v>
      </c>
      <c r="AD1584" s="465">
        <v>6.362964538093519E-3</v>
      </c>
      <c r="AE1584" s="476">
        <v>307.71680436792053</v>
      </c>
      <c r="AF1584" s="467">
        <v>0.37014471299388013</v>
      </c>
      <c r="AG1584" s="468">
        <v>4.1371788687934886E-3</v>
      </c>
      <c r="AH1584" s="218">
        <v>532.59683934896589</v>
      </c>
      <c r="AI1584" s="470">
        <v>0.64064718417705724</v>
      </c>
      <c r="AJ1584" s="471">
        <v>6.2880510441624266E-3</v>
      </c>
      <c r="AK1584" s="218">
        <v>532.59683934896589</v>
      </c>
      <c r="AL1584" s="470">
        <v>0.64064718417705724</v>
      </c>
      <c r="AM1584" s="471">
        <v>6.2880510441624266E-3</v>
      </c>
      <c r="AN1584" s="477">
        <v>0</v>
      </c>
      <c r="AO1584" s="473">
        <v>0</v>
      </c>
      <c r="AP1584" s="474">
        <v>0</v>
      </c>
      <c r="AQ1584" s="352"/>
      <c r="AR1584" s="352"/>
      <c r="AS1584" s="352"/>
      <c r="AT1584" s="352"/>
      <c r="AU1584" s="352"/>
      <c r="AV1584" s="352"/>
      <c r="AW1584" s="352" t="s">
        <v>254</v>
      </c>
    </row>
    <row r="1585" spans="2:49" x14ac:dyDescent="0.2">
      <c r="B1585" s="460" t="s">
        <v>2841</v>
      </c>
      <c r="C1585" s="460">
        <v>2133</v>
      </c>
      <c r="D1585" s="460" t="s">
        <v>2273</v>
      </c>
      <c r="E1585" s="460" t="s">
        <v>2274</v>
      </c>
      <c r="F1585" s="460">
        <v>3</v>
      </c>
      <c r="G1585" s="460">
        <v>1</v>
      </c>
      <c r="H1585" s="461" t="s">
        <v>700</v>
      </c>
      <c r="I1585" s="461" t="s">
        <v>872</v>
      </c>
      <c r="J1585" s="461" t="s">
        <v>700</v>
      </c>
      <c r="K1585" s="594"/>
      <c r="L1585" s="594"/>
      <c r="M1585" s="352">
        <v>2000</v>
      </c>
      <c r="N1585" s="352" t="s">
        <v>703</v>
      </c>
      <c r="O1585" s="460">
        <v>2133</v>
      </c>
      <c r="P1585" s="460" t="s">
        <v>1881</v>
      </c>
      <c r="Q1585" s="460" t="s">
        <v>2440</v>
      </c>
      <c r="R1585" s="460">
        <v>2133</v>
      </c>
      <c r="S1585" s="460" t="s">
        <v>2265</v>
      </c>
      <c r="T1585" s="462">
        <v>0.74223365950407583</v>
      </c>
      <c r="U1585" s="460" t="s">
        <v>2274</v>
      </c>
      <c r="V1585" s="475">
        <v>0</v>
      </c>
      <c r="W1585" s="463" t="s">
        <v>2503</v>
      </c>
      <c r="X1585" s="463" t="s">
        <v>2267</v>
      </c>
      <c r="Y1585" s="463" t="s">
        <v>2268</v>
      </c>
      <c r="Z1585" s="463"/>
      <c r="AA1585" s="463"/>
      <c r="AB1585" s="464">
        <v>126.65180802459044</v>
      </c>
      <c r="AC1585" s="465">
        <v>0.47790773246234841</v>
      </c>
      <c r="AD1585" s="465">
        <v>6.265421337267138E-3</v>
      </c>
      <c r="AE1585" s="476">
        <v>75.991084814754259</v>
      </c>
      <c r="AF1585" s="467">
        <v>0.28674463947740902</v>
      </c>
      <c r="AG1585" s="468">
        <v>4.0719250807336209E-3</v>
      </c>
      <c r="AH1585" s="218">
        <v>126.65180802459044</v>
      </c>
      <c r="AI1585" s="470">
        <v>0.47790773246234841</v>
      </c>
      <c r="AJ1585" s="471">
        <v>4.9146075286299988E-3</v>
      </c>
      <c r="AK1585" s="218">
        <v>126.65180802459044</v>
      </c>
      <c r="AL1585" s="470">
        <v>0.47790773246234841</v>
      </c>
      <c r="AM1585" s="471">
        <v>4.9146075286299988E-3</v>
      </c>
      <c r="AN1585" s="477">
        <v>0</v>
      </c>
      <c r="AO1585" s="473">
        <v>0</v>
      </c>
      <c r="AP1585" s="474">
        <v>0</v>
      </c>
      <c r="AQ1585" s="352"/>
      <c r="AR1585" s="352"/>
      <c r="AS1585" s="352"/>
      <c r="AT1585" s="352"/>
      <c r="AU1585" s="352"/>
      <c r="AV1585" s="352"/>
      <c r="AW1585" s="352" t="s">
        <v>254</v>
      </c>
    </row>
    <row r="1586" spans="2:49" x14ac:dyDescent="0.2">
      <c r="B1586" s="460" t="s">
        <v>2842</v>
      </c>
      <c r="C1586" s="460">
        <v>2133</v>
      </c>
      <c r="D1586" s="460" t="s">
        <v>2276</v>
      </c>
      <c r="E1586" s="460" t="s">
        <v>2277</v>
      </c>
      <c r="F1586" s="460">
        <v>4</v>
      </c>
      <c r="G1586" s="460">
        <v>1</v>
      </c>
      <c r="H1586" s="461" t="s">
        <v>700</v>
      </c>
      <c r="I1586" s="461" t="s">
        <v>872</v>
      </c>
      <c r="J1586" s="461" t="s">
        <v>700</v>
      </c>
      <c r="K1586" s="594"/>
      <c r="L1586" s="594"/>
      <c r="M1586" s="352">
        <v>2000</v>
      </c>
      <c r="N1586" s="352" t="s">
        <v>703</v>
      </c>
      <c r="O1586" s="460">
        <v>2133</v>
      </c>
      <c r="P1586" s="460" t="s">
        <v>1881</v>
      </c>
      <c r="Q1586" s="460" t="s">
        <v>2440</v>
      </c>
      <c r="R1586" s="460">
        <v>2133</v>
      </c>
      <c r="S1586" s="460" t="s">
        <v>2277</v>
      </c>
      <c r="T1586" s="462">
        <v>1</v>
      </c>
      <c r="U1586" s="460" t="s">
        <v>2277</v>
      </c>
      <c r="V1586" s="475">
        <v>0</v>
      </c>
      <c r="W1586" s="463" t="s">
        <v>2503</v>
      </c>
      <c r="X1586" s="463" t="s">
        <v>2278</v>
      </c>
      <c r="Y1586" s="463" t="s">
        <v>2268</v>
      </c>
      <c r="Z1586" s="463"/>
      <c r="AA1586" s="463"/>
      <c r="AB1586" s="464">
        <v>0.83620005179866808</v>
      </c>
      <c r="AC1586" s="465">
        <v>4.2689793811609752E-3</v>
      </c>
      <c r="AD1586" s="465">
        <v>3.37507876795572E-3</v>
      </c>
      <c r="AE1586" s="476">
        <v>0.50172003107920082</v>
      </c>
      <c r="AF1586" s="467">
        <v>2.5613876286965848E-3</v>
      </c>
      <c r="AG1586" s="468">
        <v>2.2638960919004777E-3</v>
      </c>
      <c r="AH1586" s="218">
        <v>0.83620005179866819</v>
      </c>
      <c r="AI1586" s="470">
        <v>4.2689793811609752E-3</v>
      </c>
      <c r="AJ1586" s="471">
        <v>3.6164106807137809E-3</v>
      </c>
      <c r="AK1586" s="218">
        <v>0.83620005179866819</v>
      </c>
      <c r="AL1586" s="470">
        <v>4.2689793811609752E-3</v>
      </c>
      <c r="AM1586" s="471">
        <v>3.6164106807137809E-3</v>
      </c>
      <c r="AN1586" s="477">
        <v>0</v>
      </c>
      <c r="AO1586" s="473">
        <v>0</v>
      </c>
      <c r="AP1586" s="474">
        <v>0</v>
      </c>
      <c r="AQ1586" s="352"/>
      <c r="AR1586" s="352"/>
      <c r="AS1586" s="352"/>
      <c r="AT1586" s="352"/>
      <c r="AU1586" s="352"/>
      <c r="AV1586" s="352"/>
      <c r="AW1586" s="352" t="s">
        <v>254</v>
      </c>
    </row>
    <row r="1587" spans="2:49" x14ac:dyDescent="0.2">
      <c r="B1587" s="460" t="s">
        <v>2839</v>
      </c>
      <c r="C1587" s="460">
        <v>2133</v>
      </c>
      <c r="D1587" s="460" t="s">
        <v>2279</v>
      </c>
      <c r="E1587" s="460" t="s">
        <v>2265</v>
      </c>
      <c r="F1587" s="460">
        <v>1</v>
      </c>
      <c r="G1587" s="460">
        <v>1</v>
      </c>
      <c r="H1587" s="461" t="s">
        <v>712</v>
      </c>
      <c r="I1587" s="461" t="s">
        <v>713</v>
      </c>
      <c r="J1587" s="461" t="s">
        <v>712</v>
      </c>
      <c r="K1587" s="594"/>
      <c r="L1587" s="594"/>
      <c r="M1587" s="352">
        <v>2000</v>
      </c>
      <c r="N1587" s="352" t="s">
        <v>703</v>
      </c>
      <c r="O1587" s="460">
        <v>2133</v>
      </c>
      <c r="P1587" s="460" t="s">
        <v>1881</v>
      </c>
      <c r="Q1587" s="460" t="s">
        <v>2280</v>
      </c>
      <c r="R1587" s="460">
        <v>2133</v>
      </c>
      <c r="S1587" s="460" t="s">
        <v>2265</v>
      </c>
      <c r="T1587" s="462">
        <v>1</v>
      </c>
      <c r="U1587" s="460" t="s">
        <v>2265</v>
      </c>
      <c r="V1587" s="475">
        <v>0</v>
      </c>
      <c r="W1587" s="463" t="s">
        <v>713</v>
      </c>
      <c r="X1587" s="463" t="s">
        <v>713</v>
      </c>
      <c r="Y1587" s="463" t="s">
        <v>713</v>
      </c>
      <c r="Z1587" s="463"/>
      <c r="AA1587" s="463"/>
      <c r="AB1587" s="464">
        <v>259.90725137576152</v>
      </c>
      <c r="AC1587" s="465">
        <v>0.35935281582294282</v>
      </c>
      <c r="AD1587" s="465">
        <v>9.6014233448036602E-4</v>
      </c>
      <c r="AE1587" s="476">
        <v>259.90725137576146</v>
      </c>
      <c r="AF1587" s="467">
        <v>0.35935281582294276</v>
      </c>
      <c r="AG1587" s="468">
        <v>9.3632514853157333E-4</v>
      </c>
      <c r="AH1587" s="218">
        <v>259.90725137576146</v>
      </c>
      <c r="AI1587" s="470">
        <v>0.35935281582294276</v>
      </c>
      <c r="AJ1587" s="471">
        <v>9.4975050265295384E-4</v>
      </c>
      <c r="AK1587" s="218">
        <v>259.90725137576146</v>
      </c>
      <c r="AL1587" s="470">
        <v>0.35935281582294276</v>
      </c>
      <c r="AM1587" s="471">
        <v>9.4975050265295384E-4</v>
      </c>
      <c r="AN1587" s="477">
        <v>259.90725137576146</v>
      </c>
      <c r="AO1587" s="473">
        <v>0.35935281582294276</v>
      </c>
      <c r="AP1587" s="474">
        <v>9.4944103584827051E-4</v>
      </c>
      <c r="AQ1587" s="352"/>
      <c r="AR1587" s="352"/>
      <c r="AS1587" s="352"/>
      <c r="AT1587" s="352"/>
      <c r="AU1587" s="352"/>
      <c r="AV1587" s="352"/>
      <c r="AW1587" s="352" t="s">
        <v>254</v>
      </c>
    </row>
    <row r="1588" spans="2:49" x14ac:dyDescent="0.2">
      <c r="B1588" s="460" t="s">
        <v>2840</v>
      </c>
      <c r="C1588" s="460">
        <v>2133</v>
      </c>
      <c r="D1588" s="460" t="s">
        <v>2281</v>
      </c>
      <c r="E1588" s="460" t="s">
        <v>2271</v>
      </c>
      <c r="F1588" s="460">
        <v>2</v>
      </c>
      <c r="G1588" s="460">
        <v>1</v>
      </c>
      <c r="H1588" s="461" t="s">
        <v>712</v>
      </c>
      <c r="I1588" s="461" t="s">
        <v>713</v>
      </c>
      <c r="J1588" s="461" t="s">
        <v>712</v>
      </c>
      <c r="K1588" s="594"/>
      <c r="L1588" s="594"/>
      <c r="M1588" s="352">
        <v>2000</v>
      </c>
      <c r="N1588" s="352" t="s">
        <v>703</v>
      </c>
      <c r="O1588" s="460">
        <v>2133</v>
      </c>
      <c r="P1588" s="460" t="s">
        <v>1881</v>
      </c>
      <c r="Q1588" s="460" t="s">
        <v>2280</v>
      </c>
      <c r="R1588" s="460">
        <v>2133</v>
      </c>
      <c r="S1588" s="460" t="s">
        <v>2265</v>
      </c>
      <c r="T1588" s="462">
        <v>1</v>
      </c>
      <c r="U1588" s="460" t="s">
        <v>2271</v>
      </c>
      <c r="V1588" s="475">
        <v>0</v>
      </c>
      <c r="W1588" s="463" t="s">
        <v>713</v>
      </c>
      <c r="X1588" s="463" t="s">
        <v>713</v>
      </c>
      <c r="Y1588" s="463" t="s">
        <v>713</v>
      </c>
      <c r="Z1588" s="463"/>
      <c r="AA1588" s="463"/>
      <c r="AB1588" s="464">
        <v>318.48054693932568</v>
      </c>
      <c r="AC1588" s="465">
        <v>0.38309214501019972</v>
      </c>
      <c r="AD1588" s="465">
        <v>1.3299494765223992E-3</v>
      </c>
      <c r="AE1588" s="476">
        <v>523.62508318460607</v>
      </c>
      <c r="AF1588" s="467">
        <v>0.62985528700611981</v>
      </c>
      <c r="AG1588" s="468">
        <v>2.1312364911013465E-3</v>
      </c>
      <c r="AH1588" s="218">
        <v>298.74504820356066</v>
      </c>
      <c r="AI1588" s="470">
        <v>0.35935281582294276</v>
      </c>
      <c r="AJ1588" s="471">
        <v>1.2834521921098929E-3</v>
      </c>
      <c r="AK1588" s="218">
        <v>298.74504820356066</v>
      </c>
      <c r="AL1588" s="470">
        <v>0.35935281582294276</v>
      </c>
      <c r="AM1588" s="471">
        <v>1.2834521921098929E-3</v>
      </c>
      <c r="AN1588" s="477">
        <v>298.74504820356066</v>
      </c>
      <c r="AO1588" s="473">
        <v>0.35935281582294276</v>
      </c>
      <c r="AP1588" s="474">
        <v>1.2830015299417862E-3</v>
      </c>
      <c r="AQ1588" s="352"/>
      <c r="AR1588" s="352"/>
      <c r="AS1588" s="352"/>
      <c r="AT1588" s="352"/>
      <c r="AU1588" s="352"/>
      <c r="AV1588" s="352"/>
      <c r="AW1588" s="352" t="s">
        <v>254</v>
      </c>
    </row>
    <row r="1589" spans="2:49" x14ac:dyDescent="0.2">
      <c r="B1589" s="460" t="s">
        <v>2841</v>
      </c>
      <c r="C1589" s="460">
        <v>2133</v>
      </c>
      <c r="D1589" s="460" t="s">
        <v>2282</v>
      </c>
      <c r="E1589" s="460" t="s">
        <v>2274</v>
      </c>
      <c r="F1589" s="460">
        <v>3</v>
      </c>
      <c r="G1589" s="460">
        <v>1</v>
      </c>
      <c r="H1589" s="461" t="s">
        <v>712</v>
      </c>
      <c r="I1589" s="461" t="s">
        <v>713</v>
      </c>
      <c r="J1589" s="461" t="s">
        <v>712</v>
      </c>
      <c r="K1589" s="594"/>
      <c r="L1589" s="594"/>
      <c r="M1589" s="352">
        <v>2000</v>
      </c>
      <c r="N1589" s="352" t="s">
        <v>703</v>
      </c>
      <c r="O1589" s="460">
        <v>2133</v>
      </c>
      <c r="P1589" s="460" t="s">
        <v>1881</v>
      </c>
      <c r="Q1589" s="460" t="s">
        <v>2280</v>
      </c>
      <c r="R1589" s="460">
        <v>2133</v>
      </c>
      <c r="S1589" s="460" t="s">
        <v>2265</v>
      </c>
      <c r="T1589" s="462">
        <v>0.74223365950407583</v>
      </c>
      <c r="U1589" s="460" t="s">
        <v>2274</v>
      </c>
      <c r="V1589" s="475">
        <v>0</v>
      </c>
      <c r="W1589" s="463" t="s">
        <v>713</v>
      </c>
      <c r="X1589" s="463" t="s">
        <v>713</v>
      </c>
      <c r="Y1589" s="463" t="s">
        <v>713</v>
      </c>
      <c r="Z1589" s="463"/>
      <c r="AA1589" s="463"/>
      <c r="AB1589" s="464">
        <v>138.36128848262837</v>
      </c>
      <c r="AC1589" s="465">
        <v>0.5220922675376517</v>
      </c>
      <c r="AD1589" s="465">
        <v>8.2812170797925445E-4</v>
      </c>
      <c r="AE1589" s="476">
        <v>189.02201169246453</v>
      </c>
      <c r="AF1589" s="467">
        <v>0.71325536052259098</v>
      </c>
      <c r="AG1589" s="468">
        <v>1.1209231742024173E-3</v>
      </c>
      <c r="AH1589" s="218">
        <v>138.36128848262834</v>
      </c>
      <c r="AI1589" s="470">
        <v>0.52209226753765159</v>
      </c>
      <c r="AJ1589" s="471">
        <v>8.6948595792699416E-4</v>
      </c>
      <c r="AK1589" s="218">
        <v>138.36128848262834</v>
      </c>
      <c r="AL1589" s="470">
        <v>0.52209226753765159</v>
      </c>
      <c r="AM1589" s="471">
        <v>8.6948595792699416E-4</v>
      </c>
      <c r="AN1589" s="477">
        <v>138.36128848262834</v>
      </c>
      <c r="AO1589" s="473">
        <v>0.52209226753765159</v>
      </c>
      <c r="AP1589" s="474">
        <v>8.7575842689561643E-4</v>
      </c>
      <c r="AQ1589" s="352"/>
      <c r="AR1589" s="352"/>
      <c r="AS1589" s="352"/>
      <c r="AT1589" s="352"/>
      <c r="AU1589" s="352"/>
      <c r="AV1589" s="352"/>
      <c r="AW1589" s="352" t="s">
        <v>254</v>
      </c>
    </row>
    <row r="1590" spans="2:49" x14ac:dyDescent="0.2">
      <c r="B1590" s="460" t="s">
        <v>2842</v>
      </c>
      <c r="C1590" s="460">
        <v>2133</v>
      </c>
      <c r="D1590" s="460" t="s">
        <v>2283</v>
      </c>
      <c r="E1590" s="460" t="s">
        <v>2277</v>
      </c>
      <c r="F1590" s="460">
        <v>4</v>
      </c>
      <c r="G1590" s="460">
        <v>1</v>
      </c>
      <c r="H1590" s="461" t="s">
        <v>712</v>
      </c>
      <c r="I1590" s="461" t="s">
        <v>713</v>
      </c>
      <c r="J1590" s="461" t="s">
        <v>712</v>
      </c>
      <c r="K1590" s="594"/>
      <c r="L1590" s="594"/>
      <c r="M1590" s="352">
        <v>2000</v>
      </c>
      <c r="N1590" s="352" t="s">
        <v>703</v>
      </c>
      <c r="O1590" s="460">
        <v>2133</v>
      </c>
      <c r="P1590" s="460" t="s">
        <v>1881</v>
      </c>
      <c r="Q1590" s="460" t="s">
        <v>2280</v>
      </c>
      <c r="R1590" s="460">
        <v>2133</v>
      </c>
      <c r="S1590" s="460" t="s">
        <v>2277</v>
      </c>
      <c r="T1590" s="462">
        <v>1</v>
      </c>
      <c r="U1590" s="460" t="s">
        <v>2277</v>
      </c>
      <c r="V1590" s="475">
        <v>0</v>
      </c>
      <c r="W1590" s="463" t="s">
        <v>713</v>
      </c>
      <c r="X1590" s="463" t="s">
        <v>713</v>
      </c>
      <c r="Y1590" s="463" t="s">
        <v>713</v>
      </c>
      <c r="Z1590" s="463"/>
      <c r="AA1590" s="463"/>
      <c r="AB1590" s="464">
        <v>195.04201278024794</v>
      </c>
      <c r="AC1590" s="465">
        <v>0.995731020618839</v>
      </c>
      <c r="AD1590" s="465">
        <v>1.0129067837498099E-3</v>
      </c>
      <c r="AE1590" s="476">
        <v>195.37649280096741</v>
      </c>
      <c r="AF1590" s="467">
        <v>0.99743861237130338</v>
      </c>
      <c r="AG1590" s="468">
        <v>1.0145061130138271E-3</v>
      </c>
      <c r="AH1590" s="218">
        <v>195.04201278024794</v>
      </c>
      <c r="AI1590" s="470">
        <v>0.995731020618839</v>
      </c>
      <c r="AJ1590" s="471">
        <v>1.0128198202938683E-3</v>
      </c>
      <c r="AK1590" s="218">
        <v>195.04201278024794</v>
      </c>
      <c r="AL1590" s="470">
        <v>0.995731020618839</v>
      </c>
      <c r="AM1590" s="471">
        <v>1.0128198202938683E-3</v>
      </c>
      <c r="AN1590" s="477">
        <v>195.04201278024794</v>
      </c>
      <c r="AO1590" s="473">
        <v>0.995731020618839</v>
      </c>
      <c r="AP1590" s="474">
        <v>1.0128248706327938E-3</v>
      </c>
      <c r="AQ1590" s="352"/>
      <c r="AR1590" s="352"/>
      <c r="AS1590" s="352"/>
      <c r="AT1590" s="352"/>
      <c r="AU1590" s="352"/>
      <c r="AV1590" s="352"/>
      <c r="AW1590" s="352" t="s">
        <v>254</v>
      </c>
    </row>
    <row r="1591" spans="2:49" x14ac:dyDescent="0.2">
      <c r="B1591" s="460" t="s">
        <v>2839</v>
      </c>
      <c r="C1591" s="460">
        <v>2133</v>
      </c>
      <c r="D1591" s="460" t="s">
        <v>2284</v>
      </c>
      <c r="E1591" s="460" t="s">
        <v>2265</v>
      </c>
      <c r="F1591" s="460">
        <v>1</v>
      </c>
      <c r="G1591" s="460">
        <v>1</v>
      </c>
      <c r="H1591" s="461" t="s">
        <v>746</v>
      </c>
      <c r="I1591" s="461" t="s">
        <v>762</v>
      </c>
      <c r="J1591" s="461" t="s">
        <v>700</v>
      </c>
      <c r="K1591" s="594"/>
      <c r="L1591" s="594"/>
      <c r="M1591" s="352">
        <v>2000</v>
      </c>
      <c r="N1591" s="352" t="s">
        <v>703</v>
      </c>
      <c r="O1591" s="460">
        <v>2133</v>
      </c>
      <c r="P1591" s="460" t="s">
        <v>1881</v>
      </c>
      <c r="Q1591" s="460" t="s">
        <v>2444</v>
      </c>
      <c r="R1591" s="460">
        <v>2133</v>
      </c>
      <c r="S1591" s="460" t="s">
        <v>2265</v>
      </c>
      <c r="T1591" s="462">
        <v>1</v>
      </c>
      <c r="U1591" s="460" t="s">
        <v>2265</v>
      </c>
      <c r="V1591" s="475">
        <v>0</v>
      </c>
      <c r="W1591" s="463" t="s">
        <v>2268</v>
      </c>
      <c r="X1591" s="463" t="s">
        <v>2268</v>
      </c>
      <c r="Y1591" s="463" t="s">
        <v>2290</v>
      </c>
      <c r="Z1591" s="463"/>
      <c r="AA1591" s="463"/>
      <c r="AB1591" s="464">
        <v>0</v>
      </c>
      <c r="AC1591" s="465">
        <v>0</v>
      </c>
      <c r="AD1591" s="465">
        <v>0</v>
      </c>
      <c r="AE1591" s="476">
        <v>0</v>
      </c>
      <c r="AF1591" s="467">
        <v>0</v>
      </c>
      <c r="AG1591" s="468">
        <v>0</v>
      </c>
      <c r="AH1591" s="218">
        <v>0</v>
      </c>
      <c r="AI1591" s="470">
        <v>0</v>
      </c>
      <c r="AJ1591" s="471">
        <v>0</v>
      </c>
      <c r="AK1591" s="218">
        <v>0</v>
      </c>
      <c r="AL1591" s="470">
        <v>0</v>
      </c>
      <c r="AM1591" s="471">
        <v>0</v>
      </c>
      <c r="AN1591" s="477">
        <v>0</v>
      </c>
      <c r="AO1591" s="473">
        <v>0</v>
      </c>
      <c r="AP1591" s="474">
        <v>0</v>
      </c>
      <c r="AQ1591" s="352"/>
      <c r="AR1591" s="352"/>
      <c r="AS1591" s="352"/>
      <c r="AT1591" s="352"/>
      <c r="AU1591" s="352"/>
      <c r="AV1591" s="352"/>
      <c r="AW1591" s="352" t="s">
        <v>254</v>
      </c>
    </row>
    <row r="1592" spans="2:49" x14ac:dyDescent="0.2">
      <c r="B1592" s="460" t="s">
        <v>2840</v>
      </c>
      <c r="C1592" s="460">
        <v>2133</v>
      </c>
      <c r="D1592" s="460" t="s">
        <v>2285</v>
      </c>
      <c r="E1592" s="460" t="s">
        <v>2271</v>
      </c>
      <c r="F1592" s="460">
        <v>2</v>
      </c>
      <c r="G1592" s="460">
        <v>1</v>
      </c>
      <c r="H1592" s="461" t="s">
        <v>746</v>
      </c>
      <c r="I1592" s="461" t="s">
        <v>762</v>
      </c>
      <c r="J1592" s="461" t="s">
        <v>700</v>
      </c>
      <c r="K1592" s="594"/>
      <c r="L1592" s="594"/>
      <c r="M1592" s="352">
        <v>2000</v>
      </c>
      <c r="N1592" s="352" t="s">
        <v>703</v>
      </c>
      <c r="O1592" s="460">
        <v>2133</v>
      </c>
      <c r="P1592" s="460" t="s">
        <v>1881</v>
      </c>
      <c r="Q1592" s="460" t="s">
        <v>2444</v>
      </c>
      <c r="R1592" s="460">
        <v>2133</v>
      </c>
      <c r="S1592" s="460" t="s">
        <v>2265</v>
      </c>
      <c r="T1592" s="462">
        <v>1</v>
      </c>
      <c r="U1592" s="460" t="s">
        <v>2271</v>
      </c>
      <c r="V1592" s="475">
        <v>0</v>
      </c>
      <c r="W1592" s="463" t="s">
        <v>2268</v>
      </c>
      <c r="X1592" s="463" t="s">
        <v>2268</v>
      </c>
      <c r="Y1592" s="463" t="s">
        <v>2290</v>
      </c>
      <c r="Z1592" s="463"/>
      <c r="AA1592" s="463"/>
      <c r="AB1592" s="464">
        <v>0</v>
      </c>
      <c r="AC1592" s="465">
        <v>0</v>
      </c>
      <c r="AD1592" s="465">
        <v>0</v>
      </c>
      <c r="AE1592" s="476">
        <v>0</v>
      </c>
      <c r="AF1592" s="467">
        <v>0</v>
      </c>
      <c r="AG1592" s="468">
        <v>0</v>
      </c>
      <c r="AH1592" s="218">
        <v>0</v>
      </c>
      <c r="AI1592" s="470">
        <v>0</v>
      </c>
      <c r="AJ1592" s="471">
        <v>0</v>
      </c>
      <c r="AK1592" s="218">
        <v>0</v>
      </c>
      <c r="AL1592" s="470">
        <v>0</v>
      </c>
      <c r="AM1592" s="471">
        <v>0</v>
      </c>
      <c r="AN1592" s="477">
        <v>0</v>
      </c>
      <c r="AO1592" s="473">
        <v>0</v>
      </c>
      <c r="AP1592" s="474">
        <v>0</v>
      </c>
      <c r="AQ1592" s="352"/>
      <c r="AR1592" s="352"/>
      <c r="AS1592" s="352"/>
      <c r="AT1592" s="352"/>
      <c r="AU1592" s="352"/>
      <c r="AV1592" s="352"/>
      <c r="AW1592" s="352" t="s">
        <v>254</v>
      </c>
    </row>
    <row r="1593" spans="2:49" x14ac:dyDescent="0.2">
      <c r="B1593" s="460" t="s">
        <v>2841</v>
      </c>
      <c r="C1593" s="460">
        <v>2133</v>
      </c>
      <c r="D1593" s="460" t="s">
        <v>2286</v>
      </c>
      <c r="E1593" s="460" t="s">
        <v>2274</v>
      </c>
      <c r="F1593" s="460">
        <v>3</v>
      </c>
      <c r="G1593" s="460">
        <v>1</v>
      </c>
      <c r="H1593" s="461" t="s">
        <v>746</v>
      </c>
      <c r="I1593" s="461" t="s">
        <v>762</v>
      </c>
      <c r="J1593" s="461" t="s">
        <v>700</v>
      </c>
      <c r="K1593" s="594"/>
      <c r="L1593" s="594"/>
      <c r="M1593" s="352">
        <v>2000</v>
      </c>
      <c r="N1593" s="352" t="s">
        <v>703</v>
      </c>
      <c r="O1593" s="460">
        <v>2133</v>
      </c>
      <c r="P1593" s="460" t="s">
        <v>1881</v>
      </c>
      <c r="Q1593" s="460" t="s">
        <v>2444</v>
      </c>
      <c r="R1593" s="460">
        <v>2133</v>
      </c>
      <c r="S1593" s="460" t="s">
        <v>2265</v>
      </c>
      <c r="T1593" s="462">
        <v>0.74223365950407583</v>
      </c>
      <c r="U1593" s="460" t="s">
        <v>2274</v>
      </c>
      <c r="V1593" s="475">
        <v>0</v>
      </c>
      <c r="W1593" s="463" t="s">
        <v>2268</v>
      </c>
      <c r="X1593" s="463" t="s">
        <v>2268</v>
      </c>
      <c r="Y1593" s="463" t="s">
        <v>2290</v>
      </c>
      <c r="Z1593" s="463"/>
      <c r="AA1593" s="463"/>
      <c r="AB1593" s="464">
        <v>0</v>
      </c>
      <c r="AC1593" s="465">
        <v>0</v>
      </c>
      <c r="AD1593" s="465">
        <v>0</v>
      </c>
      <c r="AE1593" s="476">
        <v>0</v>
      </c>
      <c r="AF1593" s="467">
        <v>0</v>
      </c>
      <c r="AG1593" s="468">
        <v>0</v>
      </c>
      <c r="AH1593" s="218">
        <v>0</v>
      </c>
      <c r="AI1593" s="470">
        <v>0</v>
      </c>
      <c r="AJ1593" s="471">
        <v>0</v>
      </c>
      <c r="AK1593" s="218">
        <v>0</v>
      </c>
      <c r="AL1593" s="470">
        <v>0</v>
      </c>
      <c r="AM1593" s="471">
        <v>0</v>
      </c>
      <c r="AN1593" s="477">
        <v>0</v>
      </c>
      <c r="AO1593" s="473">
        <v>0</v>
      </c>
      <c r="AP1593" s="474">
        <v>0</v>
      </c>
      <c r="AQ1593" s="352"/>
      <c r="AR1593" s="352"/>
      <c r="AS1593" s="352"/>
      <c r="AT1593" s="352"/>
      <c r="AU1593" s="352"/>
      <c r="AV1593" s="352"/>
      <c r="AW1593" s="352" t="s">
        <v>254</v>
      </c>
    </row>
    <row r="1594" spans="2:49" x14ac:dyDescent="0.2">
      <c r="B1594" s="460" t="s">
        <v>2842</v>
      </c>
      <c r="C1594" s="460">
        <v>2133</v>
      </c>
      <c r="D1594" s="460" t="s">
        <v>2287</v>
      </c>
      <c r="E1594" s="460" t="s">
        <v>2277</v>
      </c>
      <c r="F1594" s="460">
        <v>4</v>
      </c>
      <c r="G1594" s="460">
        <v>1</v>
      </c>
      <c r="H1594" s="461" t="s">
        <v>746</v>
      </c>
      <c r="I1594" s="461" t="s">
        <v>762</v>
      </c>
      <c r="J1594" s="461" t="s">
        <v>700</v>
      </c>
      <c r="K1594" s="594"/>
      <c r="L1594" s="594"/>
      <c r="M1594" s="352">
        <v>2000</v>
      </c>
      <c r="N1594" s="352" t="s">
        <v>703</v>
      </c>
      <c r="O1594" s="460">
        <v>2133</v>
      </c>
      <c r="P1594" s="460" t="s">
        <v>1881</v>
      </c>
      <c r="Q1594" s="460" t="s">
        <v>2444</v>
      </c>
      <c r="R1594" s="460">
        <v>2133</v>
      </c>
      <c r="S1594" s="460" t="s">
        <v>2277</v>
      </c>
      <c r="T1594" s="462">
        <v>1</v>
      </c>
      <c r="U1594" s="460" t="s">
        <v>2277</v>
      </c>
      <c r="V1594" s="475">
        <v>0</v>
      </c>
      <c r="W1594" s="463" t="s">
        <v>2268</v>
      </c>
      <c r="X1594" s="463" t="s">
        <v>2268</v>
      </c>
      <c r="Y1594" s="463" t="s">
        <v>2290</v>
      </c>
      <c r="Z1594" s="463"/>
      <c r="AA1594" s="463"/>
      <c r="AB1594" s="464">
        <v>0</v>
      </c>
      <c r="AC1594" s="465">
        <v>0</v>
      </c>
      <c r="AD1594" s="465">
        <v>0</v>
      </c>
      <c r="AE1594" s="476">
        <v>0</v>
      </c>
      <c r="AF1594" s="467">
        <v>0</v>
      </c>
      <c r="AG1594" s="468">
        <v>0</v>
      </c>
      <c r="AH1594" s="218">
        <v>0</v>
      </c>
      <c r="AI1594" s="470">
        <v>0</v>
      </c>
      <c r="AJ1594" s="471">
        <v>0</v>
      </c>
      <c r="AK1594" s="218">
        <v>0</v>
      </c>
      <c r="AL1594" s="470">
        <v>0</v>
      </c>
      <c r="AM1594" s="471">
        <v>0</v>
      </c>
      <c r="AN1594" s="477">
        <v>0</v>
      </c>
      <c r="AO1594" s="473">
        <v>0</v>
      </c>
      <c r="AP1594" s="474">
        <v>0</v>
      </c>
      <c r="AQ1594" s="352"/>
      <c r="AR1594" s="352"/>
      <c r="AS1594" s="352"/>
      <c r="AT1594" s="352"/>
      <c r="AU1594" s="352"/>
      <c r="AV1594" s="352"/>
      <c r="AW1594" s="352" t="s">
        <v>254</v>
      </c>
    </row>
    <row r="1595" spans="2:49" x14ac:dyDescent="0.2">
      <c r="B1595" s="460" t="s">
        <v>2839</v>
      </c>
      <c r="C1595" s="460">
        <v>2133</v>
      </c>
      <c r="D1595" s="460" t="s">
        <v>2288</v>
      </c>
      <c r="E1595" s="460" t="s">
        <v>2265</v>
      </c>
      <c r="F1595" s="460">
        <v>1</v>
      </c>
      <c r="G1595" s="460">
        <v>1</v>
      </c>
      <c r="H1595" s="461" t="s">
        <v>748</v>
      </c>
      <c r="I1595" s="461" t="s">
        <v>765</v>
      </c>
      <c r="J1595" s="461" t="s">
        <v>700</v>
      </c>
      <c r="K1595" s="594"/>
      <c r="L1595" s="594"/>
      <c r="M1595" s="352">
        <v>2000</v>
      </c>
      <c r="N1595" s="352" t="s">
        <v>703</v>
      </c>
      <c r="O1595" s="460">
        <v>2133</v>
      </c>
      <c r="P1595" s="460" t="s">
        <v>1881</v>
      </c>
      <c r="Q1595" s="460" t="s">
        <v>2440</v>
      </c>
      <c r="R1595" s="460">
        <v>2133</v>
      </c>
      <c r="S1595" s="460" t="s">
        <v>2265</v>
      </c>
      <c r="T1595" s="462">
        <v>1</v>
      </c>
      <c r="U1595" s="460" t="s">
        <v>2265</v>
      </c>
      <c r="V1595" s="475">
        <v>0</v>
      </c>
      <c r="W1595" s="463" t="s">
        <v>2268</v>
      </c>
      <c r="X1595" s="463" t="s">
        <v>2268</v>
      </c>
      <c r="Y1595" s="463" t="s">
        <v>2267</v>
      </c>
      <c r="Z1595" s="463"/>
      <c r="AA1595" s="463"/>
      <c r="AB1595" s="464">
        <v>0</v>
      </c>
      <c r="AC1595" s="465">
        <v>0</v>
      </c>
      <c r="AD1595" s="465">
        <v>0</v>
      </c>
      <c r="AE1595" s="476">
        <v>0</v>
      </c>
      <c r="AF1595" s="467">
        <v>0</v>
      </c>
      <c r="AG1595" s="468">
        <v>0</v>
      </c>
      <c r="AH1595" s="218">
        <v>0</v>
      </c>
      <c r="AI1595" s="470">
        <v>0</v>
      </c>
      <c r="AJ1595" s="471">
        <v>0</v>
      </c>
      <c r="AK1595" s="218">
        <v>0</v>
      </c>
      <c r="AL1595" s="470">
        <v>0</v>
      </c>
      <c r="AM1595" s="471">
        <v>0</v>
      </c>
      <c r="AN1595" s="477">
        <v>463.35757341921317</v>
      </c>
      <c r="AO1595" s="473">
        <v>0.64064718417705724</v>
      </c>
      <c r="AP1595" s="474">
        <v>2.8774788926585904E-2</v>
      </c>
      <c r="AQ1595" s="352"/>
      <c r="AR1595" s="352"/>
      <c r="AS1595" s="352"/>
      <c r="AT1595" s="352"/>
      <c r="AU1595" s="352"/>
      <c r="AV1595" s="352"/>
      <c r="AW1595" s="352" t="s">
        <v>254</v>
      </c>
    </row>
    <row r="1596" spans="2:49" x14ac:dyDescent="0.2">
      <c r="B1596" s="460" t="s">
        <v>2840</v>
      </c>
      <c r="C1596" s="460">
        <v>2133</v>
      </c>
      <c r="D1596" s="460" t="s">
        <v>2291</v>
      </c>
      <c r="E1596" s="460" t="s">
        <v>2271</v>
      </c>
      <c r="F1596" s="460">
        <v>2</v>
      </c>
      <c r="G1596" s="460">
        <v>1</v>
      </c>
      <c r="H1596" s="461" t="s">
        <v>748</v>
      </c>
      <c r="I1596" s="461" t="s">
        <v>765</v>
      </c>
      <c r="J1596" s="461" t="s">
        <v>700</v>
      </c>
      <c r="K1596" s="594"/>
      <c r="L1596" s="594"/>
      <c r="M1596" s="352">
        <v>2000</v>
      </c>
      <c r="N1596" s="352" t="s">
        <v>703</v>
      </c>
      <c r="O1596" s="460">
        <v>2133</v>
      </c>
      <c r="P1596" s="460" t="s">
        <v>1881</v>
      </c>
      <c r="Q1596" s="460" t="s">
        <v>2440</v>
      </c>
      <c r="R1596" s="460">
        <v>2133</v>
      </c>
      <c r="S1596" s="460" t="s">
        <v>2265</v>
      </c>
      <c r="T1596" s="462">
        <v>1</v>
      </c>
      <c r="U1596" s="460" t="s">
        <v>2271</v>
      </c>
      <c r="V1596" s="475">
        <v>0</v>
      </c>
      <c r="W1596" s="463" t="s">
        <v>2268</v>
      </c>
      <c r="X1596" s="463" t="s">
        <v>2268</v>
      </c>
      <c r="Y1596" s="463" t="s">
        <v>2267</v>
      </c>
      <c r="Z1596" s="463"/>
      <c r="AA1596" s="463"/>
      <c r="AB1596" s="464">
        <v>0</v>
      </c>
      <c r="AC1596" s="465">
        <v>0</v>
      </c>
      <c r="AD1596" s="465">
        <v>0</v>
      </c>
      <c r="AE1596" s="476">
        <v>0</v>
      </c>
      <c r="AF1596" s="467">
        <v>0</v>
      </c>
      <c r="AG1596" s="468">
        <v>0</v>
      </c>
      <c r="AH1596" s="218">
        <v>0</v>
      </c>
      <c r="AI1596" s="470">
        <v>0</v>
      </c>
      <c r="AJ1596" s="471">
        <v>0</v>
      </c>
      <c r="AK1596" s="218">
        <v>0</v>
      </c>
      <c r="AL1596" s="470">
        <v>0</v>
      </c>
      <c r="AM1596" s="471">
        <v>0</v>
      </c>
      <c r="AN1596" s="477">
        <v>532.59683934896589</v>
      </c>
      <c r="AO1596" s="473">
        <v>0.64064718417705724</v>
      </c>
      <c r="AP1596" s="474">
        <v>3.3875330555881412E-2</v>
      </c>
      <c r="AQ1596" s="352"/>
      <c r="AR1596" s="352"/>
      <c r="AS1596" s="352"/>
      <c r="AT1596" s="352"/>
      <c r="AU1596" s="352"/>
      <c r="AV1596" s="352"/>
      <c r="AW1596" s="352" t="s">
        <v>254</v>
      </c>
    </row>
    <row r="1597" spans="2:49" x14ac:dyDescent="0.2">
      <c r="B1597" s="460" t="s">
        <v>2841</v>
      </c>
      <c r="C1597" s="460">
        <v>2133</v>
      </c>
      <c r="D1597" s="460" t="s">
        <v>2292</v>
      </c>
      <c r="E1597" s="460" t="s">
        <v>2274</v>
      </c>
      <c r="F1597" s="460">
        <v>3</v>
      </c>
      <c r="G1597" s="460">
        <v>1</v>
      </c>
      <c r="H1597" s="461" t="s">
        <v>748</v>
      </c>
      <c r="I1597" s="461" t="s">
        <v>765</v>
      </c>
      <c r="J1597" s="461" t="s">
        <v>700</v>
      </c>
      <c r="K1597" s="594"/>
      <c r="L1597" s="594"/>
      <c r="M1597" s="352">
        <v>2000</v>
      </c>
      <c r="N1597" s="352" t="s">
        <v>703</v>
      </c>
      <c r="O1597" s="460">
        <v>2133</v>
      </c>
      <c r="P1597" s="460" t="s">
        <v>1881</v>
      </c>
      <c r="Q1597" s="460" t="s">
        <v>2440</v>
      </c>
      <c r="R1597" s="460">
        <v>2133</v>
      </c>
      <c r="S1597" s="460" t="s">
        <v>2265</v>
      </c>
      <c r="T1597" s="462">
        <v>0.74223365950407583</v>
      </c>
      <c r="U1597" s="460" t="s">
        <v>2274</v>
      </c>
      <c r="V1597" s="475">
        <v>0</v>
      </c>
      <c r="W1597" s="463" t="s">
        <v>2268</v>
      </c>
      <c r="X1597" s="463" t="s">
        <v>2268</v>
      </c>
      <c r="Y1597" s="463" t="s">
        <v>2267</v>
      </c>
      <c r="Z1597" s="463"/>
      <c r="AA1597" s="463"/>
      <c r="AB1597" s="464">
        <v>0</v>
      </c>
      <c r="AC1597" s="465">
        <v>0</v>
      </c>
      <c r="AD1597" s="465">
        <v>0</v>
      </c>
      <c r="AE1597" s="476">
        <v>0</v>
      </c>
      <c r="AF1597" s="467">
        <v>0</v>
      </c>
      <c r="AG1597" s="468">
        <v>0</v>
      </c>
      <c r="AH1597" s="218">
        <v>0</v>
      </c>
      <c r="AI1597" s="470">
        <v>0</v>
      </c>
      <c r="AJ1597" s="471">
        <v>0</v>
      </c>
      <c r="AK1597" s="218">
        <v>0</v>
      </c>
      <c r="AL1597" s="470">
        <v>0</v>
      </c>
      <c r="AM1597" s="471">
        <v>0</v>
      </c>
      <c r="AN1597" s="477">
        <v>126.65180802459044</v>
      </c>
      <c r="AO1597" s="473">
        <v>0.47790773246234841</v>
      </c>
      <c r="AP1597" s="474">
        <v>1.7832167943075954E-2</v>
      </c>
      <c r="AQ1597" s="352"/>
      <c r="AR1597" s="352"/>
      <c r="AS1597" s="352"/>
      <c r="AT1597" s="352"/>
      <c r="AU1597" s="352"/>
      <c r="AV1597" s="352"/>
      <c r="AW1597" s="352" t="s">
        <v>254</v>
      </c>
    </row>
    <row r="1598" spans="2:49" x14ac:dyDescent="0.2">
      <c r="B1598" s="460" t="s">
        <v>2842</v>
      </c>
      <c r="C1598" s="460">
        <v>2133</v>
      </c>
      <c r="D1598" s="460" t="s">
        <v>2293</v>
      </c>
      <c r="E1598" s="460" t="s">
        <v>2277</v>
      </c>
      <c r="F1598" s="460">
        <v>4</v>
      </c>
      <c r="G1598" s="460">
        <v>1</v>
      </c>
      <c r="H1598" s="461" t="s">
        <v>748</v>
      </c>
      <c r="I1598" s="461" t="s">
        <v>765</v>
      </c>
      <c r="J1598" s="461" t="s">
        <v>700</v>
      </c>
      <c r="K1598" s="594"/>
      <c r="L1598" s="594"/>
      <c r="M1598" s="352">
        <v>2000</v>
      </c>
      <c r="N1598" s="352" t="s">
        <v>703</v>
      </c>
      <c r="O1598" s="460">
        <v>2133</v>
      </c>
      <c r="P1598" s="460" t="s">
        <v>1881</v>
      </c>
      <c r="Q1598" s="460" t="s">
        <v>2440</v>
      </c>
      <c r="R1598" s="460">
        <v>2133</v>
      </c>
      <c r="S1598" s="460" t="s">
        <v>2277</v>
      </c>
      <c r="T1598" s="462">
        <v>1</v>
      </c>
      <c r="U1598" s="460" t="s">
        <v>2277</v>
      </c>
      <c r="V1598" s="475">
        <v>0</v>
      </c>
      <c r="W1598" s="463" t="s">
        <v>2268</v>
      </c>
      <c r="X1598" s="463" t="s">
        <v>2268</v>
      </c>
      <c r="Y1598" s="463" t="s">
        <v>2278</v>
      </c>
      <c r="Z1598" s="463"/>
      <c r="AA1598" s="463"/>
      <c r="AB1598" s="464">
        <v>0</v>
      </c>
      <c r="AC1598" s="465">
        <v>0</v>
      </c>
      <c r="AD1598" s="465">
        <v>0</v>
      </c>
      <c r="AE1598" s="476">
        <v>0</v>
      </c>
      <c r="AF1598" s="467">
        <v>0</v>
      </c>
      <c r="AG1598" s="468">
        <v>0</v>
      </c>
      <c r="AH1598" s="218">
        <v>0</v>
      </c>
      <c r="AI1598" s="470">
        <v>0</v>
      </c>
      <c r="AJ1598" s="471">
        <v>0</v>
      </c>
      <c r="AK1598" s="218">
        <v>0</v>
      </c>
      <c r="AL1598" s="470">
        <v>0</v>
      </c>
      <c r="AM1598" s="471">
        <v>0</v>
      </c>
      <c r="AN1598" s="477">
        <v>0.83620005179866819</v>
      </c>
      <c r="AO1598" s="473">
        <v>4.2689793811609752E-3</v>
      </c>
      <c r="AP1598" s="474">
        <v>2.0191027206453615E-2</v>
      </c>
      <c r="AQ1598" s="352"/>
      <c r="AR1598" s="352"/>
      <c r="AS1598" s="352"/>
      <c r="AT1598" s="352"/>
      <c r="AU1598" s="352"/>
      <c r="AV1598" s="352"/>
      <c r="AW1598" s="352" t="s">
        <v>254</v>
      </c>
    </row>
    <row r="1599" spans="2:49" x14ac:dyDescent="0.2">
      <c r="B1599" s="460" t="s">
        <v>2843</v>
      </c>
      <c r="C1599" s="460">
        <v>2133</v>
      </c>
      <c r="D1599" s="460" t="s">
        <v>2295</v>
      </c>
      <c r="E1599" s="460" t="s">
        <v>2296</v>
      </c>
      <c r="F1599" s="460">
        <v>1</v>
      </c>
      <c r="G1599" s="460">
        <v>2</v>
      </c>
      <c r="H1599" s="461" t="s">
        <v>700</v>
      </c>
      <c r="I1599" s="461" t="s">
        <v>872</v>
      </c>
      <c r="J1599" s="461" t="s">
        <v>700</v>
      </c>
      <c r="K1599" s="594"/>
      <c r="L1599" s="594"/>
      <c r="M1599" s="352">
        <v>2000</v>
      </c>
      <c r="N1599" s="352" t="s">
        <v>703</v>
      </c>
      <c r="O1599" s="460">
        <v>2133</v>
      </c>
      <c r="P1599" s="460" t="s">
        <v>1881</v>
      </c>
      <c r="Q1599" s="460" t="s">
        <v>2440</v>
      </c>
      <c r="R1599" s="460">
        <v>2133</v>
      </c>
      <c r="S1599" s="460" t="s">
        <v>2296</v>
      </c>
      <c r="T1599" s="462">
        <v>1</v>
      </c>
      <c r="U1599" s="460" t="s">
        <v>2296</v>
      </c>
      <c r="V1599" s="475">
        <v>0</v>
      </c>
      <c r="W1599" s="463" t="s">
        <v>2267</v>
      </c>
      <c r="X1599" s="463" t="s">
        <v>2267</v>
      </c>
      <c r="Y1599" s="463" t="s">
        <v>2268</v>
      </c>
      <c r="Z1599" s="463"/>
      <c r="AA1599" s="463"/>
      <c r="AB1599" s="464">
        <v>46.634175272881485</v>
      </c>
      <c r="AC1599" s="465">
        <v>0.1587657389697209</v>
      </c>
      <c r="AD1599" s="465">
        <v>2.7240759465938938E-3</v>
      </c>
      <c r="AE1599" s="476">
        <v>46.634175272881485</v>
      </c>
      <c r="AF1599" s="467">
        <v>0.1587657389697209</v>
      </c>
      <c r="AG1599" s="468">
        <v>3.0279588065956421E-3</v>
      </c>
      <c r="AH1599" s="218">
        <v>46.634175272881485</v>
      </c>
      <c r="AI1599" s="470">
        <v>0.1587657389697209</v>
      </c>
      <c r="AJ1599" s="471">
        <v>2.7818844703178637E-3</v>
      </c>
      <c r="AK1599" s="218">
        <v>46.634175272881485</v>
      </c>
      <c r="AL1599" s="470">
        <v>0.1587657389697209</v>
      </c>
      <c r="AM1599" s="471">
        <v>2.7818844703178637E-3</v>
      </c>
      <c r="AN1599" s="477">
        <v>0</v>
      </c>
      <c r="AO1599" s="473">
        <v>0</v>
      </c>
      <c r="AP1599" s="474">
        <v>0</v>
      </c>
      <c r="AQ1599" s="352"/>
      <c r="AR1599" s="352"/>
      <c r="AS1599" s="352"/>
      <c r="AT1599" s="352"/>
      <c r="AU1599" s="352"/>
      <c r="AV1599" s="352"/>
      <c r="AW1599" s="352" t="s">
        <v>254</v>
      </c>
    </row>
    <row r="1600" spans="2:49" x14ac:dyDescent="0.2">
      <c r="B1600" s="460" t="s">
        <v>2844</v>
      </c>
      <c r="C1600" s="460">
        <v>2133</v>
      </c>
      <c r="D1600" s="460" t="s">
        <v>2298</v>
      </c>
      <c r="E1600" s="460" t="s">
        <v>2299</v>
      </c>
      <c r="F1600" s="460">
        <v>2</v>
      </c>
      <c r="G1600" s="460">
        <v>2</v>
      </c>
      <c r="H1600" s="461" t="s">
        <v>700</v>
      </c>
      <c r="I1600" s="461" t="s">
        <v>872</v>
      </c>
      <c r="J1600" s="461" t="s">
        <v>700</v>
      </c>
      <c r="K1600" s="594"/>
      <c r="L1600" s="594"/>
      <c r="M1600" s="352">
        <v>2000</v>
      </c>
      <c r="N1600" s="352" t="s">
        <v>703</v>
      </c>
      <c r="O1600" s="460">
        <v>2133</v>
      </c>
      <c r="P1600" s="460" t="s">
        <v>1881</v>
      </c>
      <c r="Q1600" s="460" t="s">
        <v>2440</v>
      </c>
      <c r="R1600" s="460">
        <v>2133</v>
      </c>
      <c r="S1600" s="460" t="s">
        <v>2296</v>
      </c>
      <c r="T1600" s="462">
        <v>0.55517361979372948</v>
      </c>
      <c r="U1600" s="460" t="s">
        <v>2299</v>
      </c>
      <c r="V1600" s="475">
        <v>0</v>
      </c>
      <c r="W1600" s="463" t="s">
        <v>2503</v>
      </c>
      <c r="X1600" s="463" t="s">
        <v>2267</v>
      </c>
      <c r="Y1600" s="463" t="s">
        <v>2268</v>
      </c>
      <c r="Z1600" s="463"/>
      <c r="AA1600" s="463"/>
      <c r="AB1600" s="464">
        <v>13.975231093299545</v>
      </c>
      <c r="AC1600" s="465">
        <v>0.17323531033862266</v>
      </c>
      <c r="AD1600" s="465">
        <v>4.2286175109199613E-3</v>
      </c>
      <c r="AE1600" s="476">
        <v>8.385138655979727</v>
      </c>
      <c r="AF1600" s="467">
        <v>0.10394118620317359</v>
      </c>
      <c r="AG1600" s="468">
        <v>2.8471950575162277E-3</v>
      </c>
      <c r="AH1600" s="218">
        <v>13.975231093299545</v>
      </c>
      <c r="AI1600" s="470">
        <v>0.17323531033862266</v>
      </c>
      <c r="AJ1600" s="471">
        <v>3.2909933315415666E-3</v>
      </c>
      <c r="AK1600" s="218">
        <v>13.975231093299545</v>
      </c>
      <c r="AL1600" s="470">
        <v>0.17323531033862266</v>
      </c>
      <c r="AM1600" s="471">
        <v>3.2909933315415666E-3</v>
      </c>
      <c r="AN1600" s="477">
        <v>0</v>
      </c>
      <c r="AO1600" s="473">
        <v>0</v>
      </c>
      <c r="AP1600" s="474">
        <v>0</v>
      </c>
      <c r="AQ1600" s="352"/>
      <c r="AR1600" s="352"/>
      <c r="AS1600" s="352"/>
      <c r="AT1600" s="352"/>
      <c r="AU1600" s="352"/>
      <c r="AV1600" s="352"/>
      <c r="AW1600" s="352" t="s">
        <v>254</v>
      </c>
    </row>
    <row r="1601" spans="2:49" x14ac:dyDescent="0.2">
      <c r="B1601" s="460" t="s">
        <v>2845</v>
      </c>
      <c r="C1601" s="460">
        <v>2133</v>
      </c>
      <c r="D1601" s="460" t="s">
        <v>2301</v>
      </c>
      <c r="E1601" s="460" t="s">
        <v>2302</v>
      </c>
      <c r="F1601" s="460">
        <v>3</v>
      </c>
      <c r="G1601" s="460">
        <v>2</v>
      </c>
      <c r="H1601" s="461" t="s">
        <v>700</v>
      </c>
      <c r="I1601" s="461" t="s">
        <v>872</v>
      </c>
      <c r="J1601" s="461" t="s">
        <v>700</v>
      </c>
      <c r="K1601" s="594"/>
      <c r="L1601" s="594"/>
      <c r="M1601" s="352">
        <v>2000</v>
      </c>
      <c r="N1601" s="352" t="s">
        <v>703</v>
      </c>
      <c r="O1601" s="460">
        <v>2133</v>
      </c>
      <c r="P1601" s="460" t="s">
        <v>1881</v>
      </c>
      <c r="Q1601" s="460" t="s">
        <v>2440</v>
      </c>
      <c r="R1601" s="460">
        <v>2133</v>
      </c>
      <c r="S1601" s="460" t="s">
        <v>2296</v>
      </c>
      <c r="T1601" s="462">
        <v>0.28481449642268464</v>
      </c>
      <c r="U1601" s="460" t="s">
        <v>2302</v>
      </c>
      <c r="V1601" s="475">
        <v>0</v>
      </c>
      <c r="W1601" s="463" t="s">
        <v>2503</v>
      </c>
      <c r="X1601" s="463" t="s">
        <v>2267</v>
      </c>
      <c r="Y1601" s="463" t="s">
        <v>2268</v>
      </c>
      <c r="Z1601" s="463"/>
      <c r="AA1601" s="463"/>
      <c r="AB1601" s="464">
        <v>1.0842795883569938</v>
      </c>
      <c r="AC1601" s="465">
        <v>2.3968218545505144E-2</v>
      </c>
      <c r="AD1601" s="465">
        <v>2.1090732754369744E-3</v>
      </c>
      <c r="AE1601" s="476">
        <v>0.65056775301419623</v>
      </c>
      <c r="AF1601" s="467">
        <v>1.4380931127303086E-2</v>
      </c>
      <c r="AG1601" s="468">
        <v>1.4279756486786162E-3</v>
      </c>
      <c r="AH1601" s="218">
        <v>2.0456173829421114</v>
      </c>
      <c r="AI1601" s="470">
        <v>4.5218783993836456E-2</v>
      </c>
      <c r="AJ1601" s="471">
        <v>2.1235941131738556E-3</v>
      </c>
      <c r="AK1601" s="218">
        <v>2.0456173829421114</v>
      </c>
      <c r="AL1601" s="470">
        <v>4.5218783993836456E-2</v>
      </c>
      <c r="AM1601" s="471">
        <v>2.1235941131738556E-3</v>
      </c>
      <c r="AN1601" s="477">
        <v>0</v>
      </c>
      <c r="AO1601" s="473">
        <v>0</v>
      </c>
      <c r="AP1601" s="474">
        <v>0</v>
      </c>
      <c r="AQ1601" s="352"/>
      <c r="AR1601" s="352"/>
      <c r="AS1601" s="352"/>
      <c r="AT1601" s="352"/>
      <c r="AU1601" s="352"/>
      <c r="AV1601" s="352"/>
      <c r="AW1601" s="352" t="s">
        <v>254</v>
      </c>
    </row>
    <row r="1602" spans="2:49" x14ac:dyDescent="0.2">
      <c r="B1602" s="460" t="s">
        <v>2846</v>
      </c>
      <c r="C1602" s="460">
        <v>2133</v>
      </c>
      <c r="D1602" s="460" t="s">
        <v>2304</v>
      </c>
      <c r="E1602" s="460" t="s">
        <v>2305</v>
      </c>
      <c r="F1602" s="460">
        <v>4</v>
      </c>
      <c r="G1602" s="460">
        <v>2</v>
      </c>
      <c r="H1602" s="461" t="s">
        <v>700</v>
      </c>
      <c r="I1602" s="461" t="s">
        <v>872</v>
      </c>
      <c r="J1602" s="461" t="s">
        <v>700</v>
      </c>
      <c r="K1602" s="594"/>
      <c r="L1602" s="594"/>
      <c r="M1602" s="352">
        <v>2000</v>
      </c>
      <c r="N1602" s="352" t="s">
        <v>703</v>
      </c>
      <c r="O1602" s="460">
        <v>2133</v>
      </c>
      <c r="P1602" s="460" t="s">
        <v>1881</v>
      </c>
      <c r="Q1602" s="460" t="s">
        <v>2440</v>
      </c>
      <c r="R1602" s="460">
        <v>2133</v>
      </c>
      <c r="S1602" s="460" t="s">
        <v>2305</v>
      </c>
      <c r="T1602" s="462">
        <v>1</v>
      </c>
      <c r="U1602" s="460" t="s">
        <v>2305</v>
      </c>
      <c r="V1602" s="475">
        <v>0</v>
      </c>
      <c r="W1602" s="463" t="s">
        <v>2503</v>
      </c>
      <c r="X1602" s="463" t="s">
        <v>2278</v>
      </c>
      <c r="Y1602" s="463" t="s">
        <v>2268</v>
      </c>
      <c r="Z1602" s="463"/>
      <c r="AA1602" s="463"/>
      <c r="AB1602" s="464">
        <v>0</v>
      </c>
      <c r="AC1602" s="465">
        <v>0</v>
      </c>
      <c r="AD1602" s="465">
        <v>0</v>
      </c>
      <c r="AE1602" s="476">
        <v>0</v>
      </c>
      <c r="AF1602" s="467">
        <v>0</v>
      </c>
      <c r="AG1602" s="468">
        <v>0</v>
      </c>
      <c r="AH1602" s="218">
        <v>0</v>
      </c>
      <c r="AI1602" s="470">
        <v>0</v>
      </c>
      <c r="AJ1602" s="471">
        <v>0</v>
      </c>
      <c r="AK1602" s="218">
        <v>0</v>
      </c>
      <c r="AL1602" s="470">
        <v>0</v>
      </c>
      <c r="AM1602" s="471">
        <v>0</v>
      </c>
      <c r="AN1602" s="477">
        <v>0</v>
      </c>
      <c r="AO1602" s="473">
        <v>0</v>
      </c>
      <c r="AP1602" s="474">
        <v>0</v>
      </c>
      <c r="AQ1602" s="352"/>
      <c r="AR1602" s="352"/>
      <c r="AS1602" s="352"/>
      <c r="AT1602" s="352"/>
      <c r="AU1602" s="352"/>
      <c r="AV1602" s="352"/>
      <c r="AW1602" s="352" t="s">
        <v>254</v>
      </c>
    </row>
    <row r="1603" spans="2:49" x14ac:dyDescent="0.2">
      <c r="B1603" s="460" t="s">
        <v>2843</v>
      </c>
      <c r="C1603" s="460">
        <v>2133</v>
      </c>
      <c r="D1603" s="460" t="s">
        <v>2306</v>
      </c>
      <c r="E1603" s="460" t="s">
        <v>2296</v>
      </c>
      <c r="F1603" s="460">
        <v>1</v>
      </c>
      <c r="G1603" s="460">
        <v>2</v>
      </c>
      <c r="H1603" s="461" t="s">
        <v>712</v>
      </c>
      <c r="I1603" s="461" t="s">
        <v>713</v>
      </c>
      <c r="J1603" s="461" t="s">
        <v>712</v>
      </c>
      <c r="K1603" s="594"/>
      <c r="L1603" s="594"/>
      <c r="M1603" s="352">
        <v>2000</v>
      </c>
      <c r="N1603" s="352" t="s">
        <v>703</v>
      </c>
      <c r="O1603" s="460">
        <v>2133</v>
      </c>
      <c r="P1603" s="460" t="s">
        <v>1881</v>
      </c>
      <c r="Q1603" s="460" t="s">
        <v>2280</v>
      </c>
      <c r="R1603" s="460">
        <v>2133</v>
      </c>
      <c r="S1603" s="460" t="s">
        <v>2296</v>
      </c>
      <c r="T1603" s="462">
        <v>1</v>
      </c>
      <c r="U1603" s="460" t="s">
        <v>2296</v>
      </c>
      <c r="V1603" s="475">
        <v>0</v>
      </c>
      <c r="W1603" s="463" t="s">
        <v>713</v>
      </c>
      <c r="X1603" s="463" t="s">
        <v>713</v>
      </c>
      <c r="Y1603" s="463" t="s">
        <v>713</v>
      </c>
      <c r="Z1603" s="463"/>
      <c r="AA1603" s="463"/>
      <c r="AB1603" s="464">
        <v>247.09528786888202</v>
      </c>
      <c r="AC1603" s="465">
        <v>0.8412342610302791</v>
      </c>
      <c r="AD1603" s="465">
        <v>2.1371214315625462E-3</v>
      </c>
      <c r="AE1603" s="476">
        <v>247.09528786888202</v>
      </c>
      <c r="AF1603" s="467">
        <v>0.8412342610302791</v>
      </c>
      <c r="AG1603" s="468">
        <v>2.1058297199895333E-3</v>
      </c>
      <c r="AH1603" s="218">
        <v>247.09528786888202</v>
      </c>
      <c r="AI1603" s="470">
        <v>0.8412342610302791</v>
      </c>
      <c r="AJ1603" s="471">
        <v>2.1305660554009863E-3</v>
      </c>
      <c r="AK1603" s="218">
        <v>247.09528786888202</v>
      </c>
      <c r="AL1603" s="470">
        <v>0.8412342610302791</v>
      </c>
      <c r="AM1603" s="471">
        <v>2.1305660554009863E-3</v>
      </c>
      <c r="AN1603" s="477">
        <v>247.09528786888202</v>
      </c>
      <c r="AO1603" s="473">
        <v>0.8412342610302791</v>
      </c>
      <c r="AP1603" s="474">
        <v>2.1300431851611888E-3</v>
      </c>
      <c r="AQ1603" s="352"/>
      <c r="AR1603" s="352"/>
      <c r="AS1603" s="352"/>
      <c r="AT1603" s="352"/>
      <c r="AU1603" s="352"/>
      <c r="AV1603" s="352"/>
      <c r="AW1603" s="352" t="s">
        <v>254</v>
      </c>
    </row>
    <row r="1604" spans="2:49" x14ac:dyDescent="0.2">
      <c r="B1604" s="460" t="s">
        <v>2844</v>
      </c>
      <c r="C1604" s="460">
        <v>2133</v>
      </c>
      <c r="D1604" s="460" t="s">
        <v>2307</v>
      </c>
      <c r="E1604" s="460" t="s">
        <v>2299</v>
      </c>
      <c r="F1604" s="460">
        <v>2</v>
      </c>
      <c r="G1604" s="460">
        <v>2</v>
      </c>
      <c r="H1604" s="461" t="s">
        <v>712</v>
      </c>
      <c r="I1604" s="461" t="s">
        <v>713</v>
      </c>
      <c r="J1604" s="461" t="s">
        <v>712</v>
      </c>
      <c r="K1604" s="594"/>
      <c r="L1604" s="594"/>
      <c r="M1604" s="352">
        <v>2000</v>
      </c>
      <c r="N1604" s="352" t="s">
        <v>703</v>
      </c>
      <c r="O1604" s="460">
        <v>2133</v>
      </c>
      <c r="P1604" s="460" t="s">
        <v>1881</v>
      </c>
      <c r="Q1604" s="460" t="s">
        <v>2280</v>
      </c>
      <c r="R1604" s="460">
        <v>2133</v>
      </c>
      <c r="S1604" s="460" t="s">
        <v>2296</v>
      </c>
      <c r="T1604" s="462">
        <v>0.55517361979372948</v>
      </c>
      <c r="U1604" s="460" t="s">
        <v>2299</v>
      </c>
      <c r="V1604" s="475">
        <v>0</v>
      </c>
      <c r="W1604" s="463" t="s">
        <v>713</v>
      </c>
      <c r="X1604" s="463" t="s">
        <v>713</v>
      </c>
      <c r="Y1604" s="463" t="s">
        <v>713</v>
      </c>
      <c r="Z1604" s="463"/>
      <c r="AA1604" s="463"/>
      <c r="AB1604" s="464">
        <v>66.696723521392997</v>
      </c>
      <c r="AC1604" s="465">
        <v>0.82676468966137739</v>
      </c>
      <c r="AD1604" s="465">
        <v>7.7146449585152425E-4</v>
      </c>
      <c r="AE1604" s="476">
        <v>72.286815958712808</v>
      </c>
      <c r="AF1604" s="467">
        <v>0.89605881379682639</v>
      </c>
      <c r="AG1604" s="468">
        <v>8.3265780029890071E-4</v>
      </c>
      <c r="AH1604" s="218">
        <v>66.696723521392997</v>
      </c>
      <c r="AI1604" s="470">
        <v>0.82676468966137739</v>
      </c>
      <c r="AJ1604" s="471">
        <v>7.8141222749321252E-4</v>
      </c>
      <c r="AK1604" s="218">
        <v>66.696723521392997</v>
      </c>
      <c r="AL1604" s="470">
        <v>0.82676468966137739</v>
      </c>
      <c r="AM1604" s="471">
        <v>7.8141222749321252E-4</v>
      </c>
      <c r="AN1604" s="477">
        <v>66.696723521392997</v>
      </c>
      <c r="AO1604" s="473">
        <v>0.82676468966137739</v>
      </c>
      <c r="AP1604" s="474">
        <v>7.8131358615452634E-4</v>
      </c>
      <c r="AQ1604" s="352"/>
      <c r="AR1604" s="352"/>
      <c r="AS1604" s="352"/>
      <c r="AT1604" s="352"/>
      <c r="AU1604" s="352"/>
      <c r="AV1604" s="352"/>
      <c r="AW1604" s="352" t="s">
        <v>254</v>
      </c>
    </row>
    <row r="1605" spans="2:49" x14ac:dyDescent="0.2">
      <c r="B1605" s="460" t="s">
        <v>2845</v>
      </c>
      <c r="C1605" s="460">
        <v>2133</v>
      </c>
      <c r="D1605" s="460" t="s">
        <v>2308</v>
      </c>
      <c r="E1605" s="460" t="s">
        <v>2302</v>
      </c>
      <c r="F1605" s="460">
        <v>3</v>
      </c>
      <c r="G1605" s="460">
        <v>2</v>
      </c>
      <c r="H1605" s="461" t="s">
        <v>712</v>
      </c>
      <c r="I1605" s="461" t="s">
        <v>713</v>
      </c>
      <c r="J1605" s="461" t="s">
        <v>712</v>
      </c>
      <c r="K1605" s="594"/>
      <c r="L1605" s="594"/>
      <c r="M1605" s="352">
        <v>2000</v>
      </c>
      <c r="N1605" s="352" t="s">
        <v>703</v>
      </c>
      <c r="O1605" s="460">
        <v>2133</v>
      </c>
      <c r="P1605" s="460" t="s">
        <v>1881</v>
      </c>
      <c r="Q1605" s="460" t="s">
        <v>2280</v>
      </c>
      <c r="R1605" s="460">
        <v>2133</v>
      </c>
      <c r="S1605" s="460" t="s">
        <v>2296</v>
      </c>
      <c r="T1605" s="462">
        <v>0.28481449642268464</v>
      </c>
      <c r="U1605" s="460" t="s">
        <v>2302</v>
      </c>
      <c r="V1605" s="475">
        <v>0</v>
      </c>
      <c r="W1605" s="463" t="s">
        <v>713</v>
      </c>
      <c r="X1605" s="463" t="s">
        <v>713</v>
      </c>
      <c r="Y1605" s="463" t="s">
        <v>713</v>
      </c>
      <c r="Z1605" s="463"/>
      <c r="AA1605" s="463"/>
      <c r="AB1605" s="464">
        <v>44.153942280257148</v>
      </c>
      <c r="AC1605" s="465">
        <v>0.97603178145449487</v>
      </c>
      <c r="AD1605" s="465">
        <v>1.2843278446430374E-3</v>
      </c>
      <c r="AE1605" s="476">
        <v>44.587654115599946</v>
      </c>
      <c r="AF1605" s="467">
        <v>0.9856190688726969</v>
      </c>
      <c r="AG1605" s="468">
        <v>1.2947397215950821E-3</v>
      </c>
      <c r="AH1605" s="218">
        <v>43.192604485672028</v>
      </c>
      <c r="AI1605" s="470">
        <v>0.9547812160061635</v>
      </c>
      <c r="AJ1605" s="471">
        <v>1.2729972468443805E-3</v>
      </c>
      <c r="AK1605" s="218">
        <v>43.192604485672028</v>
      </c>
      <c r="AL1605" s="470">
        <v>0.9547812160061635</v>
      </c>
      <c r="AM1605" s="471">
        <v>1.2729972468443805E-3</v>
      </c>
      <c r="AN1605" s="477">
        <v>43.192604485672028</v>
      </c>
      <c r="AO1605" s="473">
        <v>0.9547812160061635</v>
      </c>
      <c r="AP1605" s="474">
        <v>1.2741041886399844E-3</v>
      </c>
      <c r="AQ1605" s="352"/>
      <c r="AR1605" s="352"/>
      <c r="AS1605" s="352"/>
      <c r="AT1605" s="352"/>
      <c r="AU1605" s="352"/>
      <c r="AV1605" s="352"/>
      <c r="AW1605" s="352" t="s">
        <v>254</v>
      </c>
    </row>
    <row r="1606" spans="2:49" x14ac:dyDescent="0.2">
      <c r="B1606" s="460" t="s">
        <v>2846</v>
      </c>
      <c r="C1606" s="460">
        <v>2133</v>
      </c>
      <c r="D1606" s="460" t="s">
        <v>2309</v>
      </c>
      <c r="E1606" s="460" t="s">
        <v>2305</v>
      </c>
      <c r="F1606" s="460">
        <v>4</v>
      </c>
      <c r="G1606" s="460">
        <v>2</v>
      </c>
      <c r="H1606" s="461" t="s">
        <v>712</v>
      </c>
      <c r="I1606" s="461" t="s">
        <v>713</v>
      </c>
      <c r="J1606" s="461" t="s">
        <v>712</v>
      </c>
      <c r="K1606" s="594"/>
      <c r="L1606" s="594"/>
      <c r="M1606" s="352">
        <v>2000</v>
      </c>
      <c r="N1606" s="352" t="s">
        <v>703</v>
      </c>
      <c r="O1606" s="460">
        <v>2133</v>
      </c>
      <c r="P1606" s="460" t="s">
        <v>1881</v>
      </c>
      <c r="Q1606" s="460" t="s">
        <v>2280</v>
      </c>
      <c r="R1606" s="460">
        <v>2133</v>
      </c>
      <c r="S1606" s="460" t="s">
        <v>2305</v>
      </c>
      <c r="T1606" s="462">
        <v>1</v>
      </c>
      <c r="U1606" s="460" t="s">
        <v>2305</v>
      </c>
      <c r="V1606" s="475">
        <v>0</v>
      </c>
      <c r="W1606" s="463" t="s">
        <v>713</v>
      </c>
      <c r="X1606" s="463" t="s">
        <v>713</v>
      </c>
      <c r="Y1606" s="463" t="s">
        <v>713</v>
      </c>
      <c r="Z1606" s="463"/>
      <c r="AA1606" s="463"/>
      <c r="AB1606" s="464">
        <v>50.061713033703441</v>
      </c>
      <c r="AC1606" s="465">
        <v>1</v>
      </c>
      <c r="AD1606" s="465">
        <v>1.2785712657274798E-3</v>
      </c>
      <c r="AE1606" s="476">
        <v>50.061713033703441</v>
      </c>
      <c r="AF1606" s="467">
        <v>1</v>
      </c>
      <c r="AG1606" s="468">
        <v>1.2785302537813041E-3</v>
      </c>
      <c r="AH1606" s="218">
        <v>50.061713033703441</v>
      </c>
      <c r="AI1606" s="470">
        <v>1</v>
      </c>
      <c r="AJ1606" s="471">
        <v>1.2785318014804936E-3</v>
      </c>
      <c r="AK1606" s="218">
        <v>50.061713033703441</v>
      </c>
      <c r="AL1606" s="470">
        <v>1</v>
      </c>
      <c r="AM1606" s="471">
        <v>1.2785318014804936E-3</v>
      </c>
      <c r="AN1606" s="477">
        <v>50.061713033703441</v>
      </c>
      <c r="AO1606" s="473">
        <v>1</v>
      </c>
      <c r="AP1606" s="474">
        <v>1.2785333653791478E-3</v>
      </c>
      <c r="AQ1606" s="352"/>
      <c r="AR1606" s="352"/>
      <c r="AS1606" s="352"/>
      <c r="AT1606" s="352"/>
      <c r="AU1606" s="352"/>
      <c r="AV1606" s="352"/>
      <c r="AW1606" s="352" t="s">
        <v>254</v>
      </c>
    </row>
    <row r="1607" spans="2:49" x14ac:dyDescent="0.2">
      <c r="B1607" s="460" t="s">
        <v>2843</v>
      </c>
      <c r="C1607" s="460">
        <v>2133</v>
      </c>
      <c r="D1607" s="460" t="s">
        <v>2310</v>
      </c>
      <c r="E1607" s="460" t="s">
        <v>2296</v>
      </c>
      <c r="F1607" s="460">
        <v>1</v>
      </c>
      <c r="G1607" s="460">
        <v>2</v>
      </c>
      <c r="H1607" s="461" t="s">
        <v>746</v>
      </c>
      <c r="I1607" s="461" t="s">
        <v>762</v>
      </c>
      <c r="J1607" s="461" t="s">
        <v>700</v>
      </c>
      <c r="K1607" s="594"/>
      <c r="L1607" s="594"/>
      <c r="M1607" s="352">
        <v>2000</v>
      </c>
      <c r="N1607" s="352" t="s">
        <v>703</v>
      </c>
      <c r="O1607" s="460">
        <v>2133</v>
      </c>
      <c r="P1607" s="460" t="s">
        <v>1881</v>
      </c>
      <c r="Q1607" s="460" t="s">
        <v>2444</v>
      </c>
      <c r="R1607" s="460">
        <v>2133</v>
      </c>
      <c r="S1607" s="460" t="s">
        <v>2296</v>
      </c>
      <c r="T1607" s="462">
        <v>1</v>
      </c>
      <c r="U1607" s="460" t="s">
        <v>2296</v>
      </c>
      <c r="V1607" s="475">
        <v>0</v>
      </c>
      <c r="W1607" s="463" t="s">
        <v>2268</v>
      </c>
      <c r="X1607" s="463" t="s">
        <v>2268</v>
      </c>
      <c r="Y1607" s="463" t="s">
        <v>2290</v>
      </c>
      <c r="Z1607" s="463"/>
      <c r="AA1607" s="463"/>
      <c r="AB1607" s="464">
        <v>0</v>
      </c>
      <c r="AC1607" s="465">
        <v>0</v>
      </c>
      <c r="AD1607" s="465">
        <v>0</v>
      </c>
      <c r="AE1607" s="476">
        <v>0</v>
      </c>
      <c r="AF1607" s="467">
        <v>0</v>
      </c>
      <c r="AG1607" s="468">
        <v>0</v>
      </c>
      <c r="AH1607" s="218">
        <v>0</v>
      </c>
      <c r="AI1607" s="470">
        <v>0</v>
      </c>
      <c r="AJ1607" s="471">
        <v>0</v>
      </c>
      <c r="AK1607" s="218">
        <v>0</v>
      </c>
      <c r="AL1607" s="470">
        <v>0</v>
      </c>
      <c r="AM1607" s="471">
        <v>0</v>
      </c>
      <c r="AN1607" s="477">
        <v>0</v>
      </c>
      <c r="AO1607" s="473">
        <v>0</v>
      </c>
      <c r="AP1607" s="474">
        <v>0</v>
      </c>
      <c r="AQ1607" s="352"/>
      <c r="AR1607" s="352"/>
      <c r="AS1607" s="352"/>
      <c r="AT1607" s="352"/>
      <c r="AU1607" s="352"/>
      <c r="AV1607" s="352"/>
      <c r="AW1607" s="352" t="s">
        <v>254</v>
      </c>
    </row>
    <row r="1608" spans="2:49" x14ac:dyDescent="0.2">
      <c r="B1608" s="460" t="s">
        <v>2844</v>
      </c>
      <c r="C1608" s="460">
        <v>2133</v>
      </c>
      <c r="D1608" s="460" t="s">
        <v>2311</v>
      </c>
      <c r="E1608" s="460" t="s">
        <v>2299</v>
      </c>
      <c r="F1608" s="460">
        <v>2</v>
      </c>
      <c r="G1608" s="460">
        <v>2</v>
      </c>
      <c r="H1608" s="461" t="s">
        <v>746</v>
      </c>
      <c r="I1608" s="461" t="s">
        <v>762</v>
      </c>
      <c r="J1608" s="461" t="s">
        <v>700</v>
      </c>
      <c r="K1608" s="594"/>
      <c r="L1608" s="594"/>
      <c r="M1608" s="352">
        <v>2000</v>
      </c>
      <c r="N1608" s="352" t="s">
        <v>703</v>
      </c>
      <c r="O1608" s="460">
        <v>2133</v>
      </c>
      <c r="P1608" s="460" t="s">
        <v>1881</v>
      </c>
      <c r="Q1608" s="460" t="s">
        <v>2444</v>
      </c>
      <c r="R1608" s="460">
        <v>2133</v>
      </c>
      <c r="S1608" s="460" t="s">
        <v>2296</v>
      </c>
      <c r="T1608" s="462">
        <v>0.55517361979372948</v>
      </c>
      <c r="U1608" s="460" t="s">
        <v>2299</v>
      </c>
      <c r="V1608" s="475">
        <v>0</v>
      </c>
      <c r="W1608" s="463" t="s">
        <v>2268</v>
      </c>
      <c r="X1608" s="463" t="s">
        <v>2268</v>
      </c>
      <c r="Y1608" s="463" t="s">
        <v>2290</v>
      </c>
      <c r="Z1608" s="463"/>
      <c r="AA1608" s="463"/>
      <c r="AB1608" s="464">
        <v>0</v>
      </c>
      <c r="AC1608" s="465">
        <v>0</v>
      </c>
      <c r="AD1608" s="465">
        <v>0</v>
      </c>
      <c r="AE1608" s="476">
        <v>0</v>
      </c>
      <c r="AF1608" s="467">
        <v>0</v>
      </c>
      <c r="AG1608" s="468">
        <v>0</v>
      </c>
      <c r="AH1608" s="218">
        <v>0</v>
      </c>
      <c r="AI1608" s="470">
        <v>0</v>
      </c>
      <c r="AJ1608" s="471">
        <v>0</v>
      </c>
      <c r="AK1608" s="218">
        <v>0</v>
      </c>
      <c r="AL1608" s="470">
        <v>0</v>
      </c>
      <c r="AM1608" s="471">
        <v>0</v>
      </c>
      <c r="AN1608" s="477">
        <v>0</v>
      </c>
      <c r="AO1608" s="473">
        <v>0</v>
      </c>
      <c r="AP1608" s="474">
        <v>0</v>
      </c>
      <c r="AQ1608" s="352"/>
      <c r="AR1608" s="352"/>
      <c r="AS1608" s="352"/>
      <c r="AT1608" s="352"/>
      <c r="AU1608" s="352"/>
      <c r="AV1608" s="352"/>
      <c r="AW1608" s="352" t="s">
        <v>254</v>
      </c>
    </row>
    <row r="1609" spans="2:49" x14ac:dyDescent="0.2">
      <c r="B1609" s="460" t="s">
        <v>2845</v>
      </c>
      <c r="C1609" s="460">
        <v>2133</v>
      </c>
      <c r="D1609" s="460" t="s">
        <v>2312</v>
      </c>
      <c r="E1609" s="460" t="s">
        <v>2302</v>
      </c>
      <c r="F1609" s="460">
        <v>3</v>
      </c>
      <c r="G1609" s="460">
        <v>2</v>
      </c>
      <c r="H1609" s="461" t="s">
        <v>746</v>
      </c>
      <c r="I1609" s="461" t="s">
        <v>762</v>
      </c>
      <c r="J1609" s="461" t="s">
        <v>700</v>
      </c>
      <c r="K1609" s="594"/>
      <c r="L1609" s="594"/>
      <c r="M1609" s="352">
        <v>2000</v>
      </c>
      <c r="N1609" s="352" t="s">
        <v>703</v>
      </c>
      <c r="O1609" s="460">
        <v>2133</v>
      </c>
      <c r="P1609" s="460" t="s">
        <v>1881</v>
      </c>
      <c r="Q1609" s="460" t="s">
        <v>2444</v>
      </c>
      <c r="R1609" s="460">
        <v>2133</v>
      </c>
      <c r="S1609" s="460" t="s">
        <v>2296</v>
      </c>
      <c r="T1609" s="462">
        <v>0.28481449642268464</v>
      </c>
      <c r="U1609" s="460" t="s">
        <v>2302</v>
      </c>
      <c r="V1609" s="475">
        <v>0</v>
      </c>
      <c r="W1609" s="463" t="s">
        <v>2268</v>
      </c>
      <c r="X1609" s="463" t="s">
        <v>2268</v>
      </c>
      <c r="Y1609" s="463" t="s">
        <v>2290</v>
      </c>
      <c r="Z1609" s="463"/>
      <c r="AA1609" s="463"/>
      <c r="AB1609" s="464">
        <v>0</v>
      </c>
      <c r="AC1609" s="465">
        <v>0</v>
      </c>
      <c r="AD1609" s="465">
        <v>0</v>
      </c>
      <c r="AE1609" s="476">
        <v>0</v>
      </c>
      <c r="AF1609" s="467">
        <v>0</v>
      </c>
      <c r="AG1609" s="468">
        <v>0</v>
      </c>
      <c r="AH1609" s="218">
        <v>0</v>
      </c>
      <c r="AI1609" s="470">
        <v>0</v>
      </c>
      <c r="AJ1609" s="471">
        <v>0</v>
      </c>
      <c r="AK1609" s="218">
        <v>0</v>
      </c>
      <c r="AL1609" s="470">
        <v>0</v>
      </c>
      <c r="AM1609" s="471">
        <v>0</v>
      </c>
      <c r="AN1609" s="477">
        <v>0</v>
      </c>
      <c r="AO1609" s="473">
        <v>0</v>
      </c>
      <c r="AP1609" s="474">
        <v>0</v>
      </c>
      <c r="AQ1609" s="352"/>
      <c r="AR1609" s="352"/>
      <c r="AS1609" s="352"/>
      <c r="AT1609" s="352"/>
      <c r="AU1609" s="352"/>
      <c r="AV1609" s="352"/>
      <c r="AW1609" s="352" t="s">
        <v>254</v>
      </c>
    </row>
    <row r="1610" spans="2:49" x14ac:dyDescent="0.2">
      <c r="B1610" s="460" t="s">
        <v>2846</v>
      </c>
      <c r="C1610" s="460">
        <v>2133</v>
      </c>
      <c r="D1610" s="460" t="s">
        <v>2313</v>
      </c>
      <c r="E1610" s="460" t="s">
        <v>2305</v>
      </c>
      <c r="F1610" s="460">
        <v>4</v>
      </c>
      <c r="G1610" s="460">
        <v>2</v>
      </c>
      <c r="H1610" s="461" t="s">
        <v>746</v>
      </c>
      <c r="I1610" s="461" t="s">
        <v>762</v>
      </c>
      <c r="J1610" s="461" t="s">
        <v>700</v>
      </c>
      <c r="K1610" s="594"/>
      <c r="L1610" s="594"/>
      <c r="M1610" s="352">
        <v>2000</v>
      </c>
      <c r="N1610" s="352" t="s">
        <v>703</v>
      </c>
      <c r="O1610" s="460">
        <v>2133</v>
      </c>
      <c r="P1610" s="460" t="s">
        <v>1881</v>
      </c>
      <c r="Q1610" s="460" t="s">
        <v>2444</v>
      </c>
      <c r="R1610" s="460">
        <v>2133</v>
      </c>
      <c r="S1610" s="460" t="s">
        <v>2305</v>
      </c>
      <c r="T1610" s="462">
        <v>1</v>
      </c>
      <c r="U1610" s="460" t="s">
        <v>2305</v>
      </c>
      <c r="V1610" s="475">
        <v>0</v>
      </c>
      <c r="W1610" s="463" t="s">
        <v>2268</v>
      </c>
      <c r="X1610" s="463" t="s">
        <v>2268</v>
      </c>
      <c r="Y1610" s="463" t="s">
        <v>2290</v>
      </c>
      <c r="Z1610" s="463"/>
      <c r="AA1610" s="463"/>
      <c r="AB1610" s="464">
        <v>0</v>
      </c>
      <c r="AC1610" s="465">
        <v>0</v>
      </c>
      <c r="AD1610" s="465">
        <v>0</v>
      </c>
      <c r="AE1610" s="476">
        <v>0</v>
      </c>
      <c r="AF1610" s="467">
        <v>0</v>
      </c>
      <c r="AG1610" s="468">
        <v>0</v>
      </c>
      <c r="AH1610" s="218">
        <v>0</v>
      </c>
      <c r="AI1610" s="470">
        <v>0</v>
      </c>
      <c r="AJ1610" s="471">
        <v>0</v>
      </c>
      <c r="AK1610" s="218">
        <v>0</v>
      </c>
      <c r="AL1610" s="470">
        <v>0</v>
      </c>
      <c r="AM1610" s="471">
        <v>0</v>
      </c>
      <c r="AN1610" s="477">
        <v>0</v>
      </c>
      <c r="AO1610" s="473">
        <v>0</v>
      </c>
      <c r="AP1610" s="474">
        <v>0</v>
      </c>
      <c r="AQ1610" s="352"/>
      <c r="AR1610" s="352"/>
      <c r="AS1610" s="352"/>
      <c r="AT1610" s="352"/>
      <c r="AU1610" s="352"/>
      <c r="AV1610" s="352"/>
      <c r="AW1610" s="352" t="s">
        <v>254</v>
      </c>
    </row>
    <row r="1611" spans="2:49" x14ac:dyDescent="0.2">
      <c r="B1611" s="460" t="s">
        <v>2843</v>
      </c>
      <c r="C1611" s="460">
        <v>2133</v>
      </c>
      <c r="D1611" s="460" t="s">
        <v>2314</v>
      </c>
      <c r="E1611" s="460" t="s">
        <v>2296</v>
      </c>
      <c r="F1611" s="460">
        <v>1</v>
      </c>
      <c r="G1611" s="460">
        <v>2</v>
      </c>
      <c r="H1611" s="461" t="s">
        <v>748</v>
      </c>
      <c r="I1611" s="461" t="s">
        <v>765</v>
      </c>
      <c r="J1611" s="461" t="s">
        <v>700</v>
      </c>
      <c r="K1611" s="594"/>
      <c r="L1611" s="594"/>
      <c r="M1611" s="352">
        <v>2000</v>
      </c>
      <c r="N1611" s="352" t="s">
        <v>703</v>
      </c>
      <c r="O1611" s="460">
        <v>2133</v>
      </c>
      <c r="P1611" s="460" t="s">
        <v>1881</v>
      </c>
      <c r="Q1611" s="460" t="s">
        <v>2440</v>
      </c>
      <c r="R1611" s="460">
        <v>2133</v>
      </c>
      <c r="S1611" s="460" t="s">
        <v>2296</v>
      </c>
      <c r="T1611" s="462">
        <v>1</v>
      </c>
      <c r="U1611" s="460" t="s">
        <v>2296</v>
      </c>
      <c r="V1611" s="475">
        <v>0</v>
      </c>
      <c r="W1611" s="463" t="s">
        <v>2268</v>
      </c>
      <c r="X1611" s="463" t="s">
        <v>2268</v>
      </c>
      <c r="Y1611" s="463" t="s">
        <v>2267</v>
      </c>
      <c r="Z1611" s="463"/>
      <c r="AA1611" s="463"/>
      <c r="AB1611" s="464">
        <v>0</v>
      </c>
      <c r="AC1611" s="465">
        <v>0</v>
      </c>
      <c r="AD1611" s="465">
        <v>0</v>
      </c>
      <c r="AE1611" s="476">
        <v>0</v>
      </c>
      <c r="AF1611" s="467">
        <v>0</v>
      </c>
      <c r="AG1611" s="468">
        <v>0</v>
      </c>
      <c r="AH1611" s="218">
        <v>0</v>
      </c>
      <c r="AI1611" s="470">
        <v>0</v>
      </c>
      <c r="AJ1611" s="471">
        <v>0</v>
      </c>
      <c r="AK1611" s="218">
        <v>0</v>
      </c>
      <c r="AL1611" s="470">
        <v>0</v>
      </c>
      <c r="AM1611" s="471">
        <v>0</v>
      </c>
      <c r="AN1611" s="477">
        <v>46.634175272881485</v>
      </c>
      <c r="AO1611" s="473">
        <v>0.1587657389697209</v>
      </c>
      <c r="AP1611" s="474">
        <v>1.424610177130272E-2</v>
      </c>
      <c r="AQ1611" s="352"/>
      <c r="AR1611" s="352"/>
      <c r="AS1611" s="352"/>
      <c r="AT1611" s="352"/>
      <c r="AU1611" s="352"/>
      <c r="AV1611" s="352"/>
      <c r="AW1611" s="352" t="s">
        <v>254</v>
      </c>
    </row>
    <row r="1612" spans="2:49" x14ac:dyDescent="0.2">
      <c r="B1612" s="460" t="s">
        <v>2844</v>
      </c>
      <c r="C1612" s="460">
        <v>2133</v>
      </c>
      <c r="D1612" s="460" t="s">
        <v>2315</v>
      </c>
      <c r="E1612" s="460" t="s">
        <v>2299</v>
      </c>
      <c r="F1612" s="460">
        <v>2</v>
      </c>
      <c r="G1612" s="460">
        <v>2</v>
      </c>
      <c r="H1612" s="461" t="s">
        <v>748</v>
      </c>
      <c r="I1612" s="461" t="s">
        <v>765</v>
      </c>
      <c r="J1612" s="461" t="s">
        <v>700</v>
      </c>
      <c r="K1612" s="594"/>
      <c r="L1612" s="594"/>
      <c r="M1612" s="352">
        <v>2000</v>
      </c>
      <c r="N1612" s="352" t="s">
        <v>703</v>
      </c>
      <c r="O1612" s="460">
        <v>2133</v>
      </c>
      <c r="P1612" s="460" t="s">
        <v>1881</v>
      </c>
      <c r="Q1612" s="460" t="s">
        <v>2440</v>
      </c>
      <c r="R1612" s="460">
        <v>2133</v>
      </c>
      <c r="S1612" s="460" t="s">
        <v>2296</v>
      </c>
      <c r="T1612" s="462">
        <v>0.55517361979372948</v>
      </c>
      <c r="U1612" s="460" t="s">
        <v>2299</v>
      </c>
      <c r="V1612" s="475">
        <v>0</v>
      </c>
      <c r="W1612" s="463" t="s">
        <v>2268</v>
      </c>
      <c r="X1612" s="463" t="s">
        <v>2268</v>
      </c>
      <c r="Y1612" s="463" t="s">
        <v>2267</v>
      </c>
      <c r="Z1612" s="463"/>
      <c r="AA1612" s="463"/>
      <c r="AB1612" s="464">
        <v>0</v>
      </c>
      <c r="AC1612" s="465">
        <v>0</v>
      </c>
      <c r="AD1612" s="465">
        <v>0</v>
      </c>
      <c r="AE1612" s="476">
        <v>0</v>
      </c>
      <c r="AF1612" s="467">
        <v>0</v>
      </c>
      <c r="AG1612" s="468">
        <v>0</v>
      </c>
      <c r="AH1612" s="218">
        <v>0</v>
      </c>
      <c r="AI1612" s="470">
        <v>0</v>
      </c>
      <c r="AJ1612" s="471">
        <v>0</v>
      </c>
      <c r="AK1612" s="218">
        <v>0</v>
      </c>
      <c r="AL1612" s="470">
        <v>0</v>
      </c>
      <c r="AM1612" s="471">
        <v>0</v>
      </c>
      <c r="AN1612" s="477">
        <v>13.975231093299545</v>
      </c>
      <c r="AO1612" s="473">
        <v>0.17323531033862266</v>
      </c>
      <c r="AP1612" s="474">
        <v>1.2947801537730818E-2</v>
      </c>
      <c r="AQ1612" s="352"/>
      <c r="AR1612" s="352"/>
      <c r="AS1612" s="352"/>
      <c r="AT1612" s="352"/>
      <c r="AU1612" s="352"/>
      <c r="AV1612" s="352"/>
      <c r="AW1612" s="352" t="s">
        <v>254</v>
      </c>
    </row>
    <row r="1613" spans="2:49" x14ac:dyDescent="0.2">
      <c r="B1613" s="460" t="s">
        <v>2845</v>
      </c>
      <c r="C1613" s="460">
        <v>2133</v>
      </c>
      <c r="D1613" s="460" t="s">
        <v>2316</v>
      </c>
      <c r="E1613" s="460" t="s">
        <v>2302</v>
      </c>
      <c r="F1613" s="460">
        <v>3</v>
      </c>
      <c r="G1613" s="460">
        <v>2</v>
      </c>
      <c r="H1613" s="461" t="s">
        <v>748</v>
      </c>
      <c r="I1613" s="461" t="s">
        <v>765</v>
      </c>
      <c r="J1613" s="461" t="s">
        <v>700</v>
      </c>
      <c r="K1613" s="594"/>
      <c r="L1613" s="594"/>
      <c r="M1613" s="352">
        <v>2000</v>
      </c>
      <c r="N1613" s="352" t="s">
        <v>703</v>
      </c>
      <c r="O1613" s="460">
        <v>2133</v>
      </c>
      <c r="P1613" s="460" t="s">
        <v>1881</v>
      </c>
      <c r="Q1613" s="460" t="s">
        <v>2440</v>
      </c>
      <c r="R1613" s="460">
        <v>2133</v>
      </c>
      <c r="S1613" s="460" t="s">
        <v>2296</v>
      </c>
      <c r="T1613" s="462">
        <v>0.28481449642268464</v>
      </c>
      <c r="U1613" s="460" t="s">
        <v>2302</v>
      </c>
      <c r="V1613" s="475">
        <v>0</v>
      </c>
      <c r="W1613" s="463" t="s">
        <v>2268</v>
      </c>
      <c r="X1613" s="463" t="s">
        <v>2268</v>
      </c>
      <c r="Y1613" s="463" t="s">
        <v>2267</v>
      </c>
      <c r="Z1613" s="463"/>
      <c r="AA1613" s="463"/>
      <c r="AB1613" s="464">
        <v>0</v>
      </c>
      <c r="AC1613" s="465">
        <v>0</v>
      </c>
      <c r="AD1613" s="465">
        <v>0</v>
      </c>
      <c r="AE1613" s="476">
        <v>0</v>
      </c>
      <c r="AF1613" s="467">
        <v>0</v>
      </c>
      <c r="AG1613" s="468">
        <v>0</v>
      </c>
      <c r="AH1613" s="218">
        <v>0</v>
      </c>
      <c r="AI1613" s="470">
        <v>0</v>
      </c>
      <c r="AJ1613" s="471">
        <v>0</v>
      </c>
      <c r="AK1613" s="218">
        <v>0</v>
      </c>
      <c r="AL1613" s="470">
        <v>0</v>
      </c>
      <c r="AM1613" s="471">
        <v>0</v>
      </c>
      <c r="AN1613" s="477">
        <v>2.0456173829421114</v>
      </c>
      <c r="AO1613" s="473">
        <v>4.5218783993836456E-2</v>
      </c>
      <c r="AP1613" s="474">
        <v>8.7530609453525879E-3</v>
      </c>
      <c r="AQ1613" s="352"/>
      <c r="AR1613" s="352"/>
      <c r="AS1613" s="352"/>
      <c r="AT1613" s="352"/>
      <c r="AU1613" s="352"/>
      <c r="AV1613" s="352"/>
      <c r="AW1613" s="352" t="s">
        <v>254</v>
      </c>
    </row>
    <row r="1614" spans="2:49" x14ac:dyDescent="0.2">
      <c r="B1614" s="460" t="s">
        <v>2846</v>
      </c>
      <c r="C1614" s="460">
        <v>2133</v>
      </c>
      <c r="D1614" s="460" t="s">
        <v>2317</v>
      </c>
      <c r="E1614" s="460" t="s">
        <v>2305</v>
      </c>
      <c r="F1614" s="460">
        <v>4</v>
      </c>
      <c r="G1614" s="460">
        <v>2</v>
      </c>
      <c r="H1614" s="461" t="s">
        <v>748</v>
      </c>
      <c r="I1614" s="461" t="s">
        <v>765</v>
      </c>
      <c r="J1614" s="461" t="s">
        <v>700</v>
      </c>
      <c r="K1614" s="594"/>
      <c r="L1614" s="594"/>
      <c r="M1614" s="352">
        <v>2000</v>
      </c>
      <c r="N1614" s="352" t="s">
        <v>703</v>
      </c>
      <c r="O1614" s="460">
        <v>2133</v>
      </c>
      <c r="P1614" s="460" t="s">
        <v>1881</v>
      </c>
      <c r="Q1614" s="460" t="s">
        <v>2440</v>
      </c>
      <c r="R1614" s="460">
        <v>2133</v>
      </c>
      <c r="S1614" s="460" t="s">
        <v>2305</v>
      </c>
      <c r="T1614" s="462">
        <v>1</v>
      </c>
      <c r="U1614" s="460" t="s">
        <v>2305</v>
      </c>
      <c r="V1614" s="475">
        <v>0</v>
      </c>
      <c r="W1614" s="463" t="s">
        <v>2268</v>
      </c>
      <c r="X1614" s="463" t="s">
        <v>2268</v>
      </c>
      <c r="Y1614" s="463" t="s">
        <v>2278</v>
      </c>
      <c r="Z1614" s="463"/>
      <c r="AA1614" s="463"/>
      <c r="AB1614" s="464">
        <v>0</v>
      </c>
      <c r="AC1614" s="465">
        <v>0</v>
      </c>
      <c r="AD1614" s="465">
        <v>0</v>
      </c>
      <c r="AE1614" s="476">
        <v>0</v>
      </c>
      <c r="AF1614" s="467">
        <v>0</v>
      </c>
      <c r="AG1614" s="468">
        <v>0</v>
      </c>
      <c r="AH1614" s="218">
        <v>0</v>
      </c>
      <c r="AI1614" s="470">
        <v>0</v>
      </c>
      <c r="AJ1614" s="471">
        <v>0</v>
      </c>
      <c r="AK1614" s="218">
        <v>0</v>
      </c>
      <c r="AL1614" s="470">
        <v>0</v>
      </c>
      <c r="AM1614" s="471">
        <v>0</v>
      </c>
      <c r="AN1614" s="477">
        <v>0</v>
      </c>
      <c r="AO1614" s="473">
        <v>0</v>
      </c>
      <c r="AP1614" s="474">
        <v>0</v>
      </c>
      <c r="AQ1614" s="352"/>
      <c r="AR1614" s="352"/>
      <c r="AS1614" s="352"/>
      <c r="AT1614" s="352"/>
      <c r="AU1614" s="352"/>
      <c r="AV1614" s="352"/>
      <c r="AW1614" s="352" t="s">
        <v>254</v>
      </c>
    </row>
    <row r="1615" spans="2:49" x14ac:dyDescent="0.2">
      <c r="B1615" s="460" t="s">
        <v>2847</v>
      </c>
      <c r="C1615" s="460">
        <v>2133</v>
      </c>
      <c r="D1615" s="460" t="s">
        <v>2323</v>
      </c>
      <c r="E1615" s="460" t="s">
        <v>2324</v>
      </c>
      <c r="F1615" s="460">
        <v>1</v>
      </c>
      <c r="G1615" s="460">
        <v>3</v>
      </c>
      <c r="H1615" s="461" t="s">
        <v>700</v>
      </c>
      <c r="I1615" s="461" t="s">
        <v>872</v>
      </c>
      <c r="J1615" s="461" t="s">
        <v>700</v>
      </c>
      <c r="K1615" s="594"/>
      <c r="L1615" s="594"/>
      <c r="M1615" s="352">
        <v>2000</v>
      </c>
      <c r="N1615" s="352" t="s">
        <v>703</v>
      </c>
      <c r="O1615" s="460">
        <v>2133</v>
      </c>
      <c r="P1615" s="460" t="s">
        <v>1881</v>
      </c>
      <c r="Q1615" s="460" t="s">
        <v>2440</v>
      </c>
      <c r="R1615" s="460">
        <v>2133</v>
      </c>
      <c r="S1615" s="460" t="s">
        <v>2324</v>
      </c>
      <c r="T1615" s="462">
        <v>1</v>
      </c>
      <c r="U1615" s="460" t="s">
        <v>2324</v>
      </c>
      <c r="V1615" s="475">
        <v>0</v>
      </c>
      <c r="W1615" s="463" t="s">
        <v>2267</v>
      </c>
      <c r="X1615" s="463" t="s">
        <v>2267</v>
      </c>
      <c r="Y1615" s="463" t="s">
        <v>2268</v>
      </c>
      <c r="Z1615" s="463"/>
      <c r="AA1615" s="463"/>
      <c r="AB1615" s="464">
        <v>315.68352486465233</v>
      </c>
      <c r="AC1615" s="465">
        <v>0.39218095004559228</v>
      </c>
      <c r="AD1615" s="465">
        <v>2.7062537568833742E-3</v>
      </c>
      <c r="AE1615" s="476">
        <v>315.68352486465233</v>
      </c>
      <c r="AF1615" s="467">
        <v>0.39218095004559228</v>
      </c>
      <c r="AG1615" s="468">
        <v>2.8989338980545702E-3</v>
      </c>
      <c r="AH1615" s="218">
        <v>315.68352486465233</v>
      </c>
      <c r="AI1615" s="470">
        <v>0.39218095004559228</v>
      </c>
      <c r="AJ1615" s="471">
        <v>2.7682944347144538E-3</v>
      </c>
      <c r="AK1615" s="218">
        <v>315.68352486465233</v>
      </c>
      <c r="AL1615" s="470">
        <v>0.39218095004559228</v>
      </c>
      <c r="AM1615" s="471">
        <v>2.7682944347144538E-3</v>
      </c>
      <c r="AN1615" s="477">
        <v>0</v>
      </c>
      <c r="AO1615" s="473">
        <v>0</v>
      </c>
      <c r="AP1615" s="474">
        <v>0</v>
      </c>
      <c r="AQ1615" s="352"/>
      <c r="AR1615" s="352"/>
      <c r="AS1615" s="352"/>
      <c r="AT1615" s="352"/>
      <c r="AU1615" s="352"/>
      <c r="AV1615" s="352"/>
      <c r="AW1615" s="352" t="s">
        <v>254</v>
      </c>
    </row>
    <row r="1616" spans="2:49" x14ac:dyDescent="0.2">
      <c r="B1616" s="460" t="s">
        <v>2848</v>
      </c>
      <c r="C1616" s="460">
        <v>2133</v>
      </c>
      <c r="D1616" s="460" t="s">
        <v>2326</v>
      </c>
      <c r="E1616" s="460" t="s">
        <v>2327</v>
      </c>
      <c r="F1616" s="460">
        <v>2</v>
      </c>
      <c r="G1616" s="460">
        <v>3</v>
      </c>
      <c r="H1616" s="461" t="s">
        <v>700</v>
      </c>
      <c r="I1616" s="461" t="s">
        <v>872</v>
      </c>
      <c r="J1616" s="461" t="s">
        <v>700</v>
      </c>
      <c r="K1616" s="594"/>
      <c r="L1616" s="594"/>
      <c r="M1616" s="352">
        <v>2000</v>
      </c>
      <c r="N1616" s="352" t="s">
        <v>703</v>
      </c>
      <c r="O1616" s="460">
        <v>2133</v>
      </c>
      <c r="P1616" s="460" t="s">
        <v>1881</v>
      </c>
      <c r="Q1616" s="460" t="s">
        <v>2440</v>
      </c>
      <c r="R1616" s="460">
        <v>2133</v>
      </c>
      <c r="S1616" s="460" t="s">
        <v>2324</v>
      </c>
      <c r="T1616" s="462">
        <v>1</v>
      </c>
      <c r="U1616" s="460" t="s">
        <v>2327</v>
      </c>
      <c r="V1616" s="475">
        <v>0</v>
      </c>
      <c r="W1616" s="463" t="s">
        <v>2503</v>
      </c>
      <c r="X1616" s="463" t="s">
        <v>2267</v>
      </c>
      <c r="Y1616" s="463" t="s">
        <v>2268</v>
      </c>
      <c r="Z1616" s="463"/>
      <c r="AA1616" s="463"/>
      <c r="AB1616" s="464">
        <v>131.11236128460268</v>
      </c>
      <c r="AC1616" s="465">
        <v>0.16133089522507638</v>
      </c>
      <c r="AD1616" s="465">
        <v>1.9365057253889607E-3</v>
      </c>
      <c r="AE1616" s="476">
        <v>78.667416770761619</v>
      </c>
      <c r="AF1616" s="467">
        <v>9.6798537135045826E-2</v>
      </c>
      <c r="AG1616" s="468">
        <v>1.2584701694066465E-3</v>
      </c>
      <c r="AH1616" s="218">
        <v>318.72240180394169</v>
      </c>
      <c r="AI1616" s="470">
        <v>0.39218095004559228</v>
      </c>
      <c r="AJ1616" s="471">
        <v>4.2910205370023137E-3</v>
      </c>
      <c r="AK1616" s="218">
        <v>318.72240180394169</v>
      </c>
      <c r="AL1616" s="470">
        <v>0.39218095004559228</v>
      </c>
      <c r="AM1616" s="471">
        <v>4.2910205370023137E-3</v>
      </c>
      <c r="AN1616" s="477">
        <v>0</v>
      </c>
      <c r="AO1616" s="473">
        <v>0</v>
      </c>
      <c r="AP1616" s="474">
        <v>0</v>
      </c>
      <c r="AQ1616" s="352"/>
      <c r="AR1616" s="352"/>
      <c r="AS1616" s="352"/>
      <c r="AT1616" s="352"/>
      <c r="AU1616" s="352"/>
      <c r="AV1616" s="352"/>
      <c r="AW1616" s="352" t="s">
        <v>254</v>
      </c>
    </row>
    <row r="1617" spans="2:49" x14ac:dyDescent="0.2">
      <c r="B1617" s="460" t="s">
        <v>2849</v>
      </c>
      <c r="C1617" s="460">
        <v>2133</v>
      </c>
      <c r="D1617" s="460" t="s">
        <v>2329</v>
      </c>
      <c r="E1617" s="460" t="s">
        <v>2330</v>
      </c>
      <c r="F1617" s="460">
        <v>3</v>
      </c>
      <c r="G1617" s="460">
        <v>3</v>
      </c>
      <c r="H1617" s="461" t="s">
        <v>700</v>
      </c>
      <c r="I1617" s="461" t="s">
        <v>872</v>
      </c>
      <c r="J1617" s="461" t="s">
        <v>700</v>
      </c>
      <c r="K1617" s="594"/>
      <c r="L1617" s="594"/>
      <c r="M1617" s="352">
        <v>2000</v>
      </c>
      <c r="N1617" s="352" t="s">
        <v>703</v>
      </c>
      <c r="O1617" s="460">
        <v>2133</v>
      </c>
      <c r="P1617" s="460" t="s">
        <v>1881</v>
      </c>
      <c r="Q1617" s="460" t="s">
        <v>2440</v>
      </c>
      <c r="R1617" s="460">
        <v>2133</v>
      </c>
      <c r="S1617" s="460" t="s">
        <v>2324</v>
      </c>
      <c r="T1617" s="462">
        <v>1</v>
      </c>
      <c r="U1617" s="460" t="s">
        <v>2330</v>
      </c>
      <c r="V1617" s="475">
        <v>0</v>
      </c>
      <c r="W1617" s="463" t="s">
        <v>2503</v>
      </c>
      <c r="X1617" s="463" t="s">
        <v>2267</v>
      </c>
      <c r="Y1617" s="463" t="s">
        <v>2268</v>
      </c>
      <c r="Z1617" s="463"/>
      <c r="AA1617" s="463"/>
      <c r="AB1617" s="464">
        <v>21.51783539040574</v>
      </c>
      <c r="AC1617" s="465">
        <v>5.3260345365879855E-2</v>
      </c>
      <c r="AD1617" s="465">
        <v>8.1253951823160924E-4</v>
      </c>
      <c r="AE1617" s="476">
        <v>12.910701234243442</v>
      </c>
      <c r="AF1617" s="467">
        <v>3.195620721952791E-2</v>
      </c>
      <c r="AG1617" s="468">
        <v>5.2250978928675021E-4</v>
      </c>
      <c r="AH1617" s="218">
        <v>158.44593324286231</v>
      </c>
      <c r="AI1617" s="470">
        <v>0.39218095004559228</v>
      </c>
      <c r="AJ1617" s="471">
        <v>5.5824221110739158E-3</v>
      </c>
      <c r="AK1617" s="218">
        <v>158.44593324286231</v>
      </c>
      <c r="AL1617" s="470">
        <v>0.39218095004559228</v>
      </c>
      <c r="AM1617" s="471">
        <v>5.5824221110739158E-3</v>
      </c>
      <c r="AN1617" s="477">
        <v>0</v>
      </c>
      <c r="AO1617" s="473">
        <v>0</v>
      </c>
      <c r="AP1617" s="474">
        <v>0</v>
      </c>
      <c r="AQ1617" s="352"/>
      <c r="AR1617" s="352"/>
      <c r="AS1617" s="352"/>
      <c r="AT1617" s="352"/>
      <c r="AU1617" s="352"/>
      <c r="AV1617" s="352"/>
      <c r="AW1617" s="352" t="s">
        <v>254</v>
      </c>
    </row>
    <row r="1618" spans="2:49" x14ac:dyDescent="0.2">
      <c r="B1618" s="460" t="s">
        <v>2850</v>
      </c>
      <c r="C1618" s="460">
        <v>2133</v>
      </c>
      <c r="D1618" s="460" t="s">
        <v>2332</v>
      </c>
      <c r="E1618" s="460" t="s">
        <v>2333</v>
      </c>
      <c r="F1618" s="460">
        <v>4</v>
      </c>
      <c r="G1618" s="460">
        <v>3</v>
      </c>
      <c r="H1618" s="461" t="s">
        <v>700</v>
      </c>
      <c r="I1618" s="461" t="s">
        <v>872</v>
      </c>
      <c r="J1618" s="461" t="s">
        <v>700</v>
      </c>
      <c r="K1618" s="594"/>
      <c r="L1618" s="594"/>
      <c r="M1618" s="352">
        <v>2000</v>
      </c>
      <c r="N1618" s="352" t="s">
        <v>703</v>
      </c>
      <c r="O1618" s="460">
        <v>2133</v>
      </c>
      <c r="P1618" s="460" t="s">
        <v>1881</v>
      </c>
      <c r="Q1618" s="460" t="s">
        <v>2440</v>
      </c>
      <c r="R1618" s="460">
        <v>2133</v>
      </c>
      <c r="S1618" s="460" t="s">
        <v>2333</v>
      </c>
      <c r="T1618" s="462">
        <v>1</v>
      </c>
      <c r="U1618" s="460" t="s">
        <v>2333</v>
      </c>
      <c r="V1618" s="475">
        <v>0</v>
      </c>
      <c r="W1618" s="463" t="s">
        <v>2503</v>
      </c>
      <c r="X1618" s="463" t="s">
        <v>2278</v>
      </c>
      <c r="Y1618" s="463" t="s">
        <v>2268</v>
      </c>
      <c r="Z1618" s="463"/>
      <c r="AA1618" s="463"/>
      <c r="AB1618" s="464">
        <v>0.42165761514719263</v>
      </c>
      <c r="AC1618" s="465">
        <v>9.7135168721803852E-4</v>
      </c>
      <c r="AD1618" s="465">
        <v>2.9081112652838621E-5</v>
      </c>
      <c r="AE1618" s="476">
        <v>0.25299456908831558</v>
      </c>
      <c r="AF1618" s="467">
        <v>5.8281101233082313E-4</v>
      </c>
      <c r="AG1618" s="468">
        <v>1.9256817889979437E-5</v>
      </c>
      <c r="AH1618" s="218">
        <v>0.42165761514719263</v>
      </c>
      <c r="AI1618" s="470">
        <v>9.7135168721803852E-4</v>
      </c>
      <c r="AJ1618" s="471">
        <v>3.1095739899921902E-5</v>
      </c>
      <c r="AK1618" s="218">
        <v>0.42165761514719263</v>
      </c>
      <c r="AL1618" s="470">
        <v>9.7135168721803852E-4</v>
      </c>
      <c r="AM1618" s="471">
        <v>3.1095739899921902E-5</v>
      </c>
      <c r="AN1618" s="477">
        <v>0</v>
      </c>
      <c r="AO1618" s="473">
        <v>0</v>
      </c>
      <c r="AP1618" s="474">
        <v>0</v>
      </c>
      <c r="AQ1618" s="352"/>
      <c r="AR1618" s="352"/>
      <c r="AS1618" s="352"/>
      <c r="AT1618" s="352"/>
      <c r="AU1618" s="352"/>
      <c r="AV1618" s="352"/>
      <c r="AW1618" s="352" t="s">
        <v>254</v>
      </c>
    </row>
    <row r="1619" spans="2:49" x14ac:dyDescent="0.2">
      <c r="B1619" s="460" t="s">
        <v>2847</v>
      </c>
      <c r="C1619" s="460">
        <v>2133</v>
      </c>
      <c r="D1619" s="460" t="s">
        <v>2334</v>
      </c>
      <c r="E1619" s="460" t="s">
        <v>2324</v>
      </c>
      <c r="F1619" s="460">
        <v>1</v>
      </c>
      <c r="G1619" s="460">
        <v>3</v>
      </c>
      <c r="H1619" s="461" t="s">
        <v>712</v>
      </c>
      <c r="I1619" s="461" t="s">
        <v>713</v>
      </c>
      <c r="J1619" s="461" t="s">
        <v>712</v>
      </c>
      <c r="K1619" s="594"/>
      <c r="L1619" s="594"/>
      <c r="M1619" s="352">
        <v>2000</v>
      </c>
      <c r="N1619" s="352" t="s">
        <v>703</v>
      </c>
      <c r="O1619" s="460">
        <v>2133</v>
      </c>
      <c r="P1619" s="460" t="s">
        <v>1881</v>
      </c>
      <c r="Q1619" s="460" t="s">
        <v>2280</v>
      </c>
      <c r="R1619" s="460">
        <v>2133</v>
      </c>
      <c r="S1619" s="460" t="s">
        <v>2324</v>
      </c>
      <c r="T1619" s="462">
        <v>1</v>
      </c>
      <c r="U1619" s="460" t="s">
        <v>2324</v>
      </c>
      <c r="V1619" s="475">
        <v>0</v>
      </c>
      <c r="W1619" s="463" t="s">
        <v>713</v>
      </c>
      <c r="X1619" s="463" t="s">
        <v>713</v>
      </c>
      <c r="Y1619" s="463" t="s">
        <v>713</v>
      </c>
      <c r="Z1619" s="463"/>
      <c r="AA1619" s="463"/>
      <c r="AB1619" s="464">
        <v>489.26002180163294</v>
      </c>
      <c r="AC1619" s="465">
        <v>0.60781904995440761</v>
      </c>
      <c r="AD1619" s="465">
        <v>1.2216314367945638E-3</v>
      </c>
      <c r="AE1619" s="476">
        <v>489.260021801633</v>
      </c>
      <c r="AF1619" s="467">
        <v>0.60781904995440772</v>
      </c>
      <c r="AG1619" s="468">
        <v>1.1984310321458303E-3</v>
      </c>
      <c r="AH1619" s="218">
        <v>489.260021801633</v>
      </c>
      <c r="AI1619" s="470">
        <v>0.60781904995440772</v>
      </c>
      <c r="AJ1619" s="471">
        <v>1.2137089290610687E-3</v>
      </c>
      <c r="AK1619" s="218">
        <v>489.260021801633</v>
      </c>
      <c r="AL1619" s="470">
        <v>0.60781904995440772</v>
      </c>
      <c r="AM1619" s="471">
        <v>1.2137089290610687E-3</v>
      </c>
      <c r="AN1619" s="477">
        <v>489.260021801633</v>
      </c>
      <c r="AO1619" s="473">
        <v>0.60781904995440772</v>
      </c>
      <c r="AP1619" s="474">
        <v>1.2131182742102838E-3</v>
      </c>
      <c r="AQ1619" s="352"/>
      <c r="AR1619" s="352"/>
      <c r="AS1619" s="352"/>
      <c r="AT1619" s="352"/>
      <c r="AU1619" s="352"/>
      <c r="AV1619" s="352"/>
      <c r="AW1619" s="352" t="s">
        <v>254</v>
      </c>
    </row>
    <row r="1620" spans="2:49" x14ac:dyDescent="0.2">
      <c r="B1620" s="460" t="s">
        <v>2848</v>
      </c>
      <c r="C1620" s="460">
        <v>2133</v>
      </c>
      <c r="D1620" s="460" t="s">
        <v>2335</v>
      </c>
      <c r="E1620" s="460" t="s">
        <v>2327</v>
      </c>
      <c r="F1620" s="460">
        <v>2</v>
      </c>
      <c r="G1620" s="460">
        <v>3</v>
      </c>
      <c r="H1620" s="461" t="s">
        <v>712</v>
      </c>
      <c r="I1620" s="461" t="s">
        <v>713</v>
      </c>
      <c r="J1620" s="461" t="s">
        <v>712</v>
      </c>
      <c r="K1620" s="594"/>
      <c r="L1620" s="594"/>
      <c r="M1620" s="352">
        <v>2000</v>
      </c>
      <c r="N1620" s="352" t="s">
        <v>703</v>
      </c>
      <c r="O1620" s="460">
        <v>2133</v>
      </c>
      <c r="P1620" s="460" t="s">
        <v>1881</v>
      </c>
      <c r="Q1620" s="460" t="s">
        <v>2280</v>
      </c>
      <c r="R1620" s="460">
        <v>2133</v>
      </c>
      <c r="S1620" s="460" t="s">
        <v>2324</v>
      </c>
      <c r="T1620" s="462">
        <v>1</v>
      </c>
      <c r="U1620" s="460" t="s">
        <v>2327</v>
      </c>
      <c r="V1620" s="475">
        <v>0</v>
      </c>
      <c r="W1620" s="463" t="s">
        <v>713</v>
      </c>
      <c r="X1620" s="463" t="s">
        <v>713</v>
      </c>
      <c r="Y1620" s="463" t="s">
        <v>713</v>
      </c>
      <c r="Z1620" s="463"/>
      <c r="AA1620" s="463"/>
      <c r="AB1620" s="464">
        <v>681.57984563388538</v>
      </c>
      <c r="AC1620" s="465">
        <v>0.83866910477492362</v>
      </c>
      <c r="AD1620" s="465">
        <v>2.182826586977916E-3</v>
      </c>
      <c r="AE1620" s="476">
        <v>734.02479014772643</v>
      </c>
      <c r="AF1620" s="467">
        <v>0.90320146286495417</v>
      </c>
      <c r="AG1620" s="468">
        <v>2.3123134550948254E-3</v>
      </c>
      <c r="AH1620" s="218">
        <v>493.96980511454638</v>
      </c>
      <c r="AI1620" s="470">
        <v>0.60781904995440772</v>
      </c>
      <c r="AJ1620" s="471">
        <v>1.6182841434272763E-3</v>
      </c>
      <c r="AK1620" s="218">
        <v>493.96980511454638</v>
      </c>
      <c r="AL1620" s="470">
        <v>0.60781904995440772</v>
      </c>
      <c r="AM1620" s="471">
        <v>1.6182841434272763E-3</v>
      </c>
      <c r="AN1620" s="477">
        <v>493.96980511454638</v>
      </c>
      <c r="AO1620" s="473">
        <v>0.60781904995440772</v>
      </c>
      <c r="AP1620" s="474">
        <v>1.6176496727479128E-3</v>
      </c>
      <c r="AQ1620" s="352"/>
      <c r="AR1620" s="352"/>
      <c r="AS1620" s="352"/>
      <c r="AT1620" s="352"/>
      <c r="AU1620" s="352"/>
      <c r="AV1620" s="352"/>
      <c r="AW1620" s="352" t="s">
        <v>254</v>
      </c>
    </row>
    <row r="1621" spans="2:49" x14ac:dyDescent="0.2">
      <c r="B1621" s="460" t="s">
        <v>2849</v>
      </c>
      <c r="C1621" s="460">
        <v>2133</v>
      </c>
      <c r="D1621" s="460" t="s">
        <v>2336</v>
      </c>
      <c r="E1621" s="460" t="s">
        <v>2330</v>
      </c>
      <c r="F1621" s="460">
        <v>3</v>
      </c>
      <c r="G1621" s="460">
        <v>3</v>
      </c>
      <c r="H1621" s="461" t="s">
        <v>712</v>
      </c>
      <c r="I1621" s="461" t="s">
        <v>713</v>
      </c>
      <c r="J1621" s="461" t="s">
        <v>712</v>
      </c>
      <c r="K1621" s="594"/>
      <c r="L1621" s="594"/>
      <c r="M1621" s="352">
        <v>2000</v>
      </c>
      <c r="N1621" s="352" t="s">
        <v>703</v>
      </c>
      <c r="O1621" s="460">
        <v>2133</v>
      </c>
      <c r="P1621" s="460" t="s">
        <v>1881</v>
      </c>
      <c r="Q1621" s="460" t="s">
        <v>2280</v>
      </c>
      <c r="R1621" s="460">
        <v>2133</v>
      </c>
      <c r="S1621" s="460" t="s">
        <v>2324</v>
      </c>
      <c r="T1621" s="462">
        <v>1</v>
      </c>
      <c r="U1621" s="460" t="s">
        <v>2330</v>
      </c>
      <c r="V1621" s="475">
        <v>0</v>
      </c>
      <c r="W1621" s="463" t="s">
        <v>713</v>
      </c>
      <c r="X1621" s="463" t="s">
        <v>713</v>
      </c>
      <c r="Y1621" s="463" t="s">
        <v>713</v>
      </c>
      <c r="Z1621" s="463"/>
      <c r="AA1621" s="463"/>
      <c r="AB1621" s="464">
        <v>382.49447888554892</v>
      </c>
      <c r="AC1621" s="465">
        <v>0.94673965463412013</v>
      </c>
      <c r="AD1621" s="465">
        <v>3.386706733705269E-3</v>
      </c>
      <c r="AE1621" s="476">
        <v>391.10161304171123</v>
      </c>
      <c r="AF1621" s="467">
        <v>0.96804379278047215</v>
      </c>
      <c r="AG1621" s="468">
        <v>3.4093882208473653E-3</v>
      </c>
      <c r="AH1621" s="218">
        <v>245.56638103309237</v>
      </c>
      <c r="AI1621" s="470">
        <v>0.60781904995440772</v>
      </c>
      <c r="AJ1621" s="471">
        <v>2.2224344360335688E-3</v>
      </c>
      <c r="AK1621" s="218">
        <v>245.56638103309237</v>
      </c>
      <c r="AL1621" s="470">
        <v>0.60781904995440772</v>
      </c>
      <c r="AM1621" s="471">
        <v>2.2224344360335688E-3</v>
      </c>
      <c r="AN1621" s="477">
        <v>245.56638103309237</v>
      </c>
      <c r="AO1621" s="473">
        <v>0.60781904995440772</v>
      </c>
      <c r="AP1621" s="474">
        <v>2.2281707847602739E-3</v>
      </c>
      <c r="AQ1621" s="352"/>
      <c r="AR1621" s="352"/>
      <c r="AS1621" s="352"/>
      <c r="AT1621" s="352"/>
      <c r="AU1621" s="352"/>
      <c r="AV1621" s="352"/>
      <c r="AW1621" s="352" t="s">
        <v>254</v>
      </c>
    </row>
    <row r="1622" spans="2:49" x14ac:dyDescent="0.2">
      <c r="B1622" s="460" t="s">
        <v>2850</v>
      </c>
      <c r="C1622" s="460">
        <v>2133</v>
      </c>
      <c r="D1622" s="460" t="s">
        <v>2337</v>
      </c>
      <c r="E1622" s="460" t="s">
        <v>2333</v>
      </c>
      <c r="F1622" s="460">
        <v>4</v>
      </c>
      <c r="G1622" s="460">
        <v>3</v>
      </c>
      <c r="H1622" s="461" t="s">
        <v>712</v>
      </c>
      <c r="I1622" s="461" t="s">
        <v>713</v>
      </c>
      <c r="J1622" s="461" t="s">
        <v>712</v>
      </c>
      <c r="K1622" s="594"/>
      <c r="L1622" s="594"/>
      <c r="M1622" s="352">
        <v>2000</v>
      </c>
      <c r="N1622" s="352" t="s">
        <v>703</v>
      </c>
      <c r="O1622" s="460">
        <v>2133</v>
      </c>
      <c r="P1622" s="460" t="s">
        <v>1881</v>
      </c>
      <c r="Q1622" s="460" t="s">
        <v>2280</v>
      </c>
      <c r="R1622" s="460">
        <v>2133</v>
      </c>
      <c r="S1622" s="460" t="s">
        <v>2333</v>
      </c>
      <c r="T1622" s="462">
        <v>1</v>
      </c>
      <c r="U1622" s="460" t="s">
        <v>2333</v>
      </c>
      <c r="V1622" s="475">
        <v>0</v>
      </c>
      <c r="W1622" s="463" t="s">
        <v>713</v>
      </c>
      <c r="X1622" s="463" t="s">
        <v>713</v>
      </c>
      <c r="Y1622" s="463" t="s">
        <v>713</v>
      </c>
      <c r="Z1622" s="463"/>
      <c r="AA1622" s="463"/>
      <c r="AB1622" s="464">
        <v>433.67200866016913</v>
      </c>
      <c r="AC1622" s="465">
        <v>0.99902864831278193</v>
      </c>
      <c r="AD1622" s="465">
        <v>3.2969787100943161E-3</v>
      </c>
      <c r="AE1622" s="476">
        <v>433.84067170622802</v>
      </c>
      <c r="AF1622" s="467">
        <v>0.99941718898766918</v>
      </c>
      <c r="AG1622" s="468">
        <v>3.2644726367222648E-3</v>
      </c>
      <c r="AH1622" s="218">
        <v>433.67200866016913</v>
      </c>
      <c r="AI1622" s="470">
        <v>0.99902864831278193</v>
      </c>
      <c r="AJ1622" s="471">
        <v>3.2735998634159714E-3</v>
      </c>
      <c r="AK1622" s="218">
        <v>433.67200866016913</v>
      </c>
      <c r="AL1622" s="470">
        <v>0.99902864831278193</v>
      </c>
      <c r="AM1622" s="471">
        <v>3.2735998634159714E-3</v>
      </c>
      <c r="AN1622" s="477">
        <v>433.67200866016913</v>
      </c>
      <c r="AO1622" s="473">
        <v>0.99902864831278193</v>
      </c>
      <c r="AP1622" s="474">
        <v>3.2746401601854887E-3</v>
      </c>
      <c r="AQ1622" s="352"/>
      <c r="AR1622" s="352"/>
      <c r="AS1622" s="352"/>
      <c r="AT1622" s="352"/>
      <c r="AU1622" s="352"/>
      <c r="AV1622" s="352"/>
      <c r="AW1622" s="352" t="s">
        <v>254</v>
      </c>
    </row>
    <row r="1623" spans="2:49" x14ac:dyDescent="0.2">
      <c r="B1623" s="460" t="s">
        <v>2847</v>
      </c>
      <c r="C1623" s="460">
        <v>2133</v>
      </c>
      <c r="D1623" s="460" t="s">
        <v>2338</v>
      </c>
      <c r="E1623" s="460" t="s">
        <v>2324</v>
      </c>
      <c r="F1623" s="460">
        <v>1</v>
      </c>
      <c r="G1623" s="460">
        <v>3</v>
      </c>
      <c r="H1623" s="461" t="s">
        <v>746</v>
      </c>
      <c r="I1623" s="461" t="s">
        <v>762</v>
      </c>
      <c r="J1623" s="461" t="s">
        <v>700</v>
      </c>
      <c r="K1623" s="594"/>
      <c r="L1623" s="594"/>
      <c r="M1623" s="352">
        <v>2000</v>
      </c>
      <c r="N1623" s="352" t="s">
        <v>703</v>
      </c>
      <c r="O1623" s="460">
        <v>2133</v>
      </c>
      <c r="P1623" s="460" t="s">
        <v>1881</v>
      </c>
      <c r="Q1623" s="460" t="s">
        <v>2444</v>
      </c>
      <c r="R1623" s="460">
        <v>2133</v>
      </c>
      <c r="S1623" s="460" t="s">
        <v>2324</v>
      </c>
      <c r="T1623" s="462">
        <v>1</v>
      </c>
      <c r="U1623" s="460" t="s">
        <v>2324</v>
      </c>
      <c r="V1623" s="475">
        <v>0</v>
      </c>
      <c r="W1623" s="463" t="s">
        <v>2268</v>
      </c>
      <c r="X1623" s="463" t="s">
        <v>2268</v>
      </c>
      <c r="Y1623" s="463" t="s">
        <v>2290</v>
      </c>
      <c r="Z1623" s="463"/>
      <c r="AA1623" s="463"/>
      <c r="AB1623" s="464">
        <v>0</v>
      </c>
      <c r="AC1623" s="465">
        <v>0</v>
      </c>
      <c r="AD1623" s="465">
        <v>0</v>
      </c>
      <c r="AE1623" s="476">
        <v>0</v>
      </c>
      <c r="AF1623" s="467">
        <v>0</v>
      </c>
      <c r="AG1623" s="468">
        <v>0</v>
      </c>
      <c r="AH1623" s="218">
        <v>0</v>
      </c>
      <c r="AI1623" s="470">
        <v>0</v>
      </c>
      <c r="AJ1623" s="471">
        <v>0</v>
      </c>
      <c r="AK1623" s="218">
        <v>0</v>
      </c>
      <c r="AL1623" s="470">
        <v>0</v>
      </c>
      <c r="AM1623" s="471">
        <v>0</v>
      </c>
      <c r="AN1623" s="477">
        <v>0</v>
      </c>
      <c r="AO1623" s="473">
        <v>0</v>
      </c>
      <c r="AP1623" s="474">
        <v>0</v>
      </c>
      <c r="AQ1623" s="352"/>
      <c r="AR1623" s="352"/>
      <c r="AS1623" s="352"/>
      <c r="AT1623" s="352"/>
      <c r="AU1623" s="352"/>
      <c r="AV1623" s="352"/>
      <c r="AW1623" s="352" t="s">
        <v>254</v>
      </c>
    </row>
    <row r="1624" spans="2:49" x14ac:dyDescent="0.2">
      <c r="B1624" s="460" t="s">
        <v>2848</v>
      </c>
      <c r="C1624" s="460">
        <v>2133</v>
      </c>
      <c r="D1624" s="460" t="s">
        <v>2339</v>
      </c>
      <c r="E1624" s="460" t="s">
        <v>2327</v>
      </c>
      <c r="F1624" s="460">
        <v>2</v>
      </c>
      <c r="G1624" s="460">
        <v>3</v>
      </c>
      <c r="H1624" s="461" t="s">
        <v>746</v>
      </c>
      <c r="I1624" s="461" t="s">
        <v>762</v>
      </c>
      <c r="J1624" s="461" t="s">
        <v>700</v>
      </c>
      <c r="K1624" s="594"/>
      <c r="L1624" s="594"/>
      <c r="M1624" s="352">
        <v>2000</v>
      </c>
      <c r="N1624" s="352" t="s">
        <v>703</v>
      </c>
      <c r="O1624" s="460">
        <v>2133</v>
      </c>
      <c r="P1624" s="460" t="s">
        <v>1881</v>
      </c>
      <c r="Q1624" s="460" t="s">
        <v>2444</v>
      </c>
      <c r="R1624" s="460">
        <v>2133</v>
      </c>
      <c r="S1624" s="460" t="s">
        <v>2324</v>
      </c>
      <c r="T1624" s="462">
        <v>1</v>
      </c>
      <c r="U1624" s="460" t="s">
        <v>2327</v>
      </c>
      <c r="V1624" s="475">
        <v>0</v>
      </c>
      <c r="W1624" s="463" t="s">
        <v>2268</v>
      </c>
      <c r="X1624" s="463" t="s">
        <v>2268</v>
      </c>
      <c r="Y1624" s="463" t="s">
        <v>2290</v>
      </c>
      <c r="Z1624" s="463"/>
      <c r="AA1624" s="463"/>
      <c r="AB1624" s="464">
        <v>0</v>
      </c>
      <c r="AC1624" s="465">
        <v>0</v>
      </c>
      <c r="AD1624" s="465">
        <v>0</v>
      </c>
      <c r="AE1624" s="476">
        <v>0</v>
      </c>
      <c r="AF1624" s="467">
        <v>0</v>
      </c>
      <c r="AG1624" s="468">
        <v>0</v>
      </c>
      <c r="AH1624" s="218">
        <v>0</v>
      </c>
      <c r="AI1624" s="470">
        <v>0</v>
      </c>
      <c r="AJ1624" s="471">
        <v>0</v>
      </c>
      <c r="AK1624" s="218">
        <v>0</v>
      </c>
      <c r="AL1624" s="470">
        <v>0</v>
      </c>
      <c r="AM1624" s="471">
        <v>0</v>
      </c>
      <c r="AN1624" s="477">
        <v>0</v>
      </c>
      <c r="AO1624" s="473">
        <v>0</v>
      </c>
      <c r="AP1624" s="474">
        <v>0</v>
      </c>
      <c r="AQ1624" s="352"/>
      <c r="AR1624" s="352"/>
      <c r="AS1624" s="352"/>
      <c r="AT1624" s="352"/>
      <c r="AU1624" s="352"/>
      <c r="AV1624" s="352"/>
      <c r="AW1624" s="352" t="s">
        <v>254</v>
      </c>
    </row>
    <row r="1625" spans="2:49" x14ac:dyDescent="0.2">
      <c r="B1625" s="460" t="s">
        <v>2849</v>
      </c>
      <c r="C1625" s="460">
        <v>2133</v>
      </c>
      <c r="D1625" s="460" t="s">
        <v>2340</v>
      </c>
      <c r="E1625" s="460" t="s">
        <v>2330</v>
      </c>
      <c r="F1625" s="460">
        <v>3</v>
      </c>
      <c r="G1625" s="460">
        <v>3</v>
      </c>
      <c r="H1625" s="461" t="s">
        <v>746</v>
      </c>
      <c r="I1625" s="461" t="s">
        <v>762</v>
      </c>
      <c r="J1625" s="461" t="s">
        <v>700</v>
      </c>
      <c r="K1625" s="594"/>
      <c r="L1625" s="594"/>
      <c r="M1625" s="352">
        <v>2000</v>
      </c>
      <c r="N1625" s="352" t="s">
        <v>703</v>
      </c>
      <c r="O1625" s="460">
        <v>2133</v>
      </c>
      <c r="P1625" s="460" t="s">
        <v>1881</v>
      </c>
      <c r="Q1625" s="460" t="s">
        <v>2444</v>
      </c>
      <c r="R1625" s="460">
        <v>2133</v>
      </c>
      <c r="S1625" s="460" t="s">
        <v>2324</v>
      </c>
      <c r="T1625" s="462">
        <v>1</v>
      </c>
      <c r="U1625" s="460" t="s">
        <v>2330</v>
      </c>
      <c r="V1625" s="475">
        <v>0</v>
      </c>
      <c r="W1625" s="463" t="s">
        <v>2268</v>
      </c>
      <c r="X1625" s="463" t="s">
        <v>2268</v>
      </c>
      <c r="Y1625" s="463" t="s">
        <v>2290</v>
      </c>
      <c r="Z1625" s="463"/>
      <c r="AA1625" s="463"/>
      <c r="AB1625" s="464">
        <v>0</v>
      </c>
      <c r="AC1625" s="465">
        <v>0</v>
      </c>
      <c r="AD1625" s="465">
        <v>0</v>
      </c>
      <c r="AE1625" s="476">
        <v>0</v>
      </c>
      <c r="AF1625" s="467">
        <v>0</v>
      </c>
      <c r="AG1625" s="468">
        <v>0</v>
      </c>
      <c r="AH1625" s="218">
        <v>0</v>
      </c>
      <c r="AI1625" s="470">
        <v>0</v>
      </c>
      <c r="AJ1625" s="471">
        <v>0</v>
      </c>
      <c r="AK1625" s="218">
        <v>0</v>
      </c>
      <c r="AL1625" s="470">
        <v>0</v>
      </c>
      <c r="AM1625" s="471">
        <v>0</v>
      </c>
      <c r="AN1625" s="477">
        <v>0</v>
      </c>
      <c r="AO1625" s="473">
        <v>0</v>
      </c>
      <c r="AP1625" s="474">
        <v>0</v>
      </c>
      <c r="AQ1625" s="352"/>
      <c r="AR1625" s="352"/>
      <c r="AS1625" s="352"/>
      <c r="AT1625" s="352"/>
      <c r="AU1625" s="352"/>
      <c r="AV1625" s="352"/>
      <c r="AW1625" s="352" t="s">
        <v>254</v>
      </c>
    </row>
    <row r="1626" spans="2:49" x14ac:dyDescent="0.2">
      <c r="B1626" s="460" t="s">
        <v>2850</v>
      </c>
      <c r="C1626" s="460">
        <v>2133</v>
      </c>
      <c r="D1626" s="460" t="s">
        <v>2341</v>
      </c>
      <c r="E1626" s="460" t="s">
        <v>2333</v>
      </c>
      <c r="F1626" s="460">
        <v>4</v>
      </c>
      <c r="G1626" s="460">
        <v>3</v>
      </c>
      <c r="H1626" s="461" t="s">
        <v>746</v>
      </c>
      <c r="I1626" s="461" t="s">
        <v>762</v>
      </c>
      <c r="J1626" s="461" t="s">
        <v>700</v>
      </c>
      <c r="K1626" s="594"/>
      <c r="L1626" s="594"/>
      <c r="M1626" s="352">
        <v>2000</v>
      </c>
      <c r="N1626" s="352" t="s">
        <v>703</v>
      </c>
      <c r="O1626" s="460">
        <v>2133</v>
      </c>
      <c r="P1626" s="460" t="s">
        <v>1881</v>
      </c>
      <c r="Q1626" s="460" t="s">
        <v>2444</v>
      </c>
      <c r="R1626" s="460">
        <v>2133</v>
      </c>
      <c r="S1626" s="460" t="s">
        <v>2333</v>
      </c>
      <c r="T1626" s="462">
        <v>1</v>
      </c>
      <c r="U1626" s="460" t="s">
        <v>2333</v>
      </c>
      <c r="V1626" s="475">
        <v>0</v>
      </c>
      <c r="W1626" s="463" t="s">
        <v>2268</v>
      </c>
      <c r="X1626" s="463" t="s">
        <v>2268</v>
      </c>
      <c r="Y1626" s="463" t="s">
        <v>2290</v>
      </c>
      <c r="Z1626" s="463"/>
      <c r="AA1626" s="463"/>
      <c r="AB1626" s="464">
        <v>0</v>
      </c>
      <c r="AC1626" s="465">
        <v>0</v>
      </c>
      <c r="AD1626" s="465">
        <v>0</v>
      </c>
      <c r="AE1626" s="476">
        <v>0</v>
      </c>
      <c r="AF1626" s="467">
        <v>0</v>
      </c>
      <c r="AG1626" s="468">
        <v>0</v>
      </c>
      <c r="AH1626" s="218">
        <v>0</v>
      </c>
      <c r="AI1626" s="470">
        <v>0</v>
      </c>
      <c r="AJ1626" s="471">
        <v>0</v>
      </c>
      <c r="AK1626" s="218">
        <v>0</v>
      </c>
      <c r="AL1626" s="470">
        <v>0</v>
      </c>
      <c r="AM1626" s="471">
        <v>0</v>
      </c>
      <c r="AN1626" s="477">
        <v>0</v>
      </c>
      <c r="AO1626" s="473">
        <v>0</v>
      </c>
      <c r="AP1626" s="474">
        <v>0</v>
      </c>
      <c r="AQ1626" s="352"/>
      <c r="AR1626" s="352"/>
      <c r="AS1626" s="352"/>
      <c r="AT1626" s="352"/>
      <c r="AU1626" s="352"/>
      <c r="AV1626" s="352"/>
      <c r="AW1626" s="352" t="s">
        <v>254</v>
      </c>
    </row>
    <row r="1627" spans="2:49" x14ac:dyDescent="0.2">
      <c r="B1627" s="460" t="s">
        <v>2847</v>
      </c>
      <c r="C1627" s="460">
        <v>2133</v>
      </c>
      <c r="D1627" s="460" t="s">
        <v>2342</v>
      </c>
      <c r="E1627" s="460" t="s">
        <v>2324</v>
      </c>
      <c r="F1627" s="460">
        <v>1</v>
      </c>
      <c r="G1627" s="460">
        <v>3</v>
      </c>
      <c r="H1627" s="461" t="s">
        <v>748</v>
      </c>
      <c r="I1627" s="461" t="s">
        <v>765</v>
      </c>
      <c r="J1627" s="461" t="s">
        <v>700</v>
      </c>
      <c r="K1627" s="594"/>
      <c r="L1627" s="594"/>
      <c r="M1627" s="352">
        <v>2000</v>
      </c>
      <c r="N1627" s="352" t="s">
        <v>703</v>
      </c>
      <c r="O1627" s="460">
        <v>2133</v>
      </c>
      <c r="P1627" s="460" t="s">
        <v>1881</v>
      </c>
      <c r="Q1627" s="460" t="s">
        <v>2440</v>
      </c>
      <c r="R1627" s="460">
        <v>2133</v>
      </c>
      <c r="S1627" s="460" t="s">
        <v>2324</v>
      </c>
      <c r="T1627" s="462">
        <v>1</v>
      </c>
      <c r="U1627" s="460" t="s">
        <v>2324</v>
      </c>
      <c r="V1627" s="475">
        <v>0</v>
      </c>
      <c r="W1627" s="463" t="s">
        <v>2268</v>
      </c>
      <c r="X1627" s="463" t="s">
        <v>2268</v>
      </c>
      <c r="Y1627" s="463" t="s">
        <v>2267</v>
      </c>
      <c r="Z1627" s="463"/>
      <c r="AA1627" s="463"/>
      <c r="AB1627" s="464">
        <v>0</v>
      </c>
      <c r="AC1627" s="465">
        <v>0</v>
      </c>
      <c r="AD1627" s="465">
        <v>0</v>
      </c>
      <c r="AE1627" s="476">
        <v>0</v>
      </c>
      <c r="AF1627" s="467">
        <v>0</v>
      </c>
      <c r="AG1627" s="468">
        <v>0</v>
      </c>
      <c r="AH1627" s="218">
        <v>0</v>
      </c>
      <c r="AI1627" s="470">
        <v>0</v>
      </c>
      <c r="AJ1627" s="471">
        <v>0</v>
      </c>
      <c r="AK1627" s="218">
        <v>0</v>
      </c>
      <c r="AL1627" s="470">
        <v>0</v>
      </c>
      <c r="AM1627" s="471">
        <v>0</v>
      </c>
      <c r="AN1627" s="477">
        <v>315.68352486465233</v>
      </c>
      <c r="AO1627" s="473">
        <v>0.39218095004559228</v>
      </c>
      <c r="AP1627" s="474">
        <v>1.6431900510912281E-2</v>
      </c>
      <c r="AQ1627" s="352"/>
      <c r="AR1627" s="352"/>
      <c r="AS1627" s="352"/>
      <c r="AT1627" s="352"/>
      <c r="AU1627" s="352"/>
      <c r="AV1627" s="352"/>
      <c r="AW1627" s="352" t="s">
        <v>254</v>
      </c>
    </row>
    <row r="1628" spans="2:49" x14ac:dyDescent="0.2">
      <c r="B1628" s="460" t="s">
        <v>2848</v>
      </c>
      <c r="C1628" s="460">
        <v>2133</v>
      </c>
      <c r="D1628" s="460" t="s">
        <v>2343</v>
      </c>
      <c r="E1628" s="460" t="s">
        <v>2327</v>
      </c>
      <c r="F1628" s="460">
        <v>2</v>
      </c>
      <c r="G1628" s="460">
        <v>3</v>
      </c>
      <c r="H1628" s="461" t="s">
        <v>748</v>
      </c>
      <c r="I1628" s="461" t="s">
        <v>765</v>
      </c>
      <c r="J1628" s="461" t="s">
        <v>700</v>
      </c>
      <c r="K1628" s="594"/>
      <c r="L1628" s="594"/>
      <c r="M1628" s="352">
        <v>2000</v>
      </c>
      <c r="N1628" s="352" t="s">
        <v>703</v>
      </c>
      <c r="O1628" s="460">
        <v>2133</v>
      </c>
      <c r="P1628" s="460" t="s">
        <v>1881</v>
      </c>
      <c r="Q1628" s="460" t="s">
        <v>2440</v>
      </c>
      <c r="R1628" s="460">
        <v>2133</v>
      </c>
      <c r="S1628" s="460" t="s">
        <v>2324</v>
      </c>
      <c r="T1628" s="462">
        <v>1</v>
      </c>
      <c r="U1628" s="460" t="s">
        <v>2327</v>
      </c>
      <c r="V1628" s="475">
        <v>0</v>
      </c>
      <c r="W1628" s="463" t="s">
        <v>2268</v>
      </c>
      <c r="X1628" s="463" t="s">
        <v>2268</v>
      </c>
      <c r="Y1628" s="463" t="s">
        <v>2267</v>
      </c>
      <c r="Z1628" s="463"/>
      <c r="AA1628" s="463"/>
      <c r="AB1628" s="464">
        <v>0</v>
      </c>
      <c r="AC1628" s="465">
        <v>0</v>
      </c>
      <c r="AD1628" s="465">
        <v>0</v>
      </c>
      <c r="AE1628" s="476">
        <v>0</v>
      </c>
      <c r="AF1628" s="467">
        <v>0</v>
      </c>
      <c r="AG1628" s="468">
        <v>0</v>
      </c>
      <c r="AH1628" s="218">
        <v>0</v>
      </c>
      <c r="AI1628" s="470">
        <v>0</v>
      </c>
      <c r="AJ1628" s="471">
        <v>0</v>
      </c>
      <c r="AK1628" s="218">
        <v>0</v>
      </c>
      <c r="AL1628" s="470">
        <v>0</v>
      </c>
      <c r="AM1628" s="471">
        <v>0</v>
      </c>
      <c r="AN1628" s="477">
        <v>318.72240180394169</v>
      </c>
      <c r="AO1628" s="473">
        <v>0.39218095004559228</v>
      </c>
      <c r="AP1628" s="474">
        <v>2.8332353806682014E-2</v>
      </c>
      <c r="AQ1628" s="352"/>
      <c r="AR1628" s="352"/>
      <c r="AS1628" s="352"/>
      <c r="AT1628" s="352"/>
      <c r="AU1628" s="352"/>
      <c r="AV1628" s="352"/>
      <c r="AW1628" s="352" t="s">
        <v>254</v>
      </c>
    </row>
    <row r="1629" spans="2:49" x14ac:dyDescent="0.2">
      <c r="B1629" s="460" t="s">
        <v>2849</v>
      </c>
      <c r="C1629" s="460">
        <v>2133</v>
      </c>
      <c r="D1629" s="460" t="s">
        <v>2344</v>
      </c>
      <c r="E1629" s="460" t="s">
        <v>2330</v>
      </c>
      <c r="F1629" s="460">
        <v>3</v>
      </c>
      <c r="G1629" s="460">
        <v>3</v>
      </c>
      <c r="H1629" s="461" t="s">
        <v>748</v>
      </c>
      <c r="I1629" s="461" t="s">
        <v>765</v>
      </c>
      <c r="J1629" s="461" t="s">
        <v>700</v>
      </c>
      <c r="K1629" s="594"/>
      <c r="L1629" s="594"/>
      <c r="M1629" s="352">
        <v>2000</v>
      </c>
      <c r="N1629" s="352" t="s">
        <v>703</v>
      </c>
      <c r="O1629" s="460">
        <v>2133</v>
      </c>
      <c r="P1629" s="460" t="s">
        <v>1881</v>
      </c>
      <c r="Q1629" s="460" t="s">
        <v>2440</v>
      </c>
      <c r="R1629" s="460">
        <v>2133</v>
      </c>
      <c r="S1629" s="460" t="s">
        <v>2324</v>
      </c>
      <c r="T1629" s="462">
        <v>1</v>
      </c>
      <c r="U1629" s="460" t="s">
        <v>2330</v>
      </c>
      <c r="V1629" s="475">
        <v>0</v>
      </c>
      <c r="W1629" s="463" t="s">
        <v>2268</v>
      </c>
      <c r="X1629" s="463" t="s">
        <v>2268</v>
      </c>
      <c r="Y1629" s="463" t="s">
        <v>2267</v>
      </c>
      <c r="Z1629" s="463"/>
      <c r="AA1629" s="463"/>
      <c r="AB1629" s="464">
        <v>0</v>
      </c>
      <c r="AC1629" s="465">
        <v>0</v>
      </c>
      <c r="AD1629" s="465">
        <v>0</v>
      </c>
      <c r="AE1629" s="476">
        <v>0</v>
      </c>
      <c r="AF1629" s="467">
        <v>0</v>
      </c>
      <c r="AG1629" s="468">
        <v>0</v>
      </c>
      <c r="AH1629" s="218">
        <v>0</v>
      </c>
      <c r="AI1629" s="470">
        <v>0</v>
      </c>
      <c r="AJ1629" s="471">
        <v>0</v>
      </c>
      <c r="AK1629" s="218">
        <v>0</v>
      </c>
      <c r="AL1629" s="470">
        <v>0</v>
      </c>
      <c r="AM1629" s="471">
        <v>0</v>
      </c>
      <c r="AN1629" s="477">
        <v>158.44593324286231</v>
      </c>
      <c r="AO1629" s="473">
        <v>0.39218095004559228</v>
      </c>
      <c r="AP1629" s="474">
        <v>4.3189623180022466E-2</v>
      </c>
      <c r="AQ1629" s="352"/>
      <c r="AR1629" s="352"/>
      <c r="AS1629" s="352"/>
      <c r="AT1629" s="352"/>
      <c r="AU1629" s="352"/>
      <c r="AV1629" s="352"/>
      <c r="AW1629" s="352" t="s">
        <v>254</v>
      </c>
    </row>
    <row r="1630" spans="2:49" x14ac:dyDescent="0.2">
      <c r="B1630" s="460" t="s">
        <v>2850</v>
      </c>
      <c r="C1630" s="460">
        <v>2133</v>
      </c>
      <c r="D1630" s="460" t="s">
        <v>2345</v>
      </c>
      <c r="E1630" s="460" t="s">
        <v>2333</v>
      </c>
      <c r="F1630" s="460">
        <v>4</v>
      </c>
      <c r="G1630" s="460">
        <v>3</v>
      </c>
      <c r="H1630" s="461" t="s">
        <v>748</v>
      </c>
      <c r="I1630" s="461" t="s">
        <v>765</v>
      </c>
      <c r="J1630" s="461" t="s">
        <v>700</v>
      </c>
      <c r="K1630" s="594"/>
      <c r="L1630" s="594"/>
      <c r="M1630" s="352">
        <v>2000</v>
      </c>
      <c r="N1630" s="352" t="s">
        <v>703</v>
      </c>
      <c r="O1630" s="460">
        <v>2133</v>
      </c>
      <c r="P1630" s="460" t="s">
        <v>1881</v>
      </c>
      <c r="Q1630" s="460" t="s">
        <v>2440</v>
      </c>
      <c r="R1630" s="460">
        <v>2133</v>
      </c>
      <c r="S1630" s="460" t="s">
        <v>2333</v>
      </c>
      <c r="T1630" s="462">
        <v>1</v>
      </c>
      <c r="U1630" s="460" t="s">
        <v>2333</v>
      </c>
      <c r="V1630" s="475">
        <v>0</v>
      </c>
      <c r="W1630" s="463" t="s">
        <v>2268</v>
      </c>
      <c r="X1630" s="463" t="s">
        <v>2268</v>
      </c>
      <c r="Y1630" s="463" t="s">
        <v>2278</v>
      </c>
      <c r="Z1630" s="463"/>
      <c r="AA1630" s="463"/>
      <c r="AB1630" s="464">
        <v>0</v>
      </c>
      <c r="AC1630" s="465">
        <v>0</v>
      </c>
      <c r="AD1630" s="465">
        <v>0</v>
      </c>
      <c r="AE1630" s="476">
        <v>0</v>
      </c>
      <c r="AF1630" s="467">
        <v>0</v>
      </c>
      <c r="AG1630" s="468">
        <v>0</v>
      </c>
      <c r="AH1630" s="218">
        <v>0</v>
      </c>
      <c r="AI1630" s="470">
        <v>0</v>
      </c>
      <c r="AJ1630" s="471">
        <v>0</v>
      </c>
      <c r="AK1630" s="218">
        <v>0</v>
      </c>
      <c r="AL1630" s="470">
        <v>0</v>
      </c>
      <c r="AM1630" s="471">
        <v>0</v>
      </c>
      <c r="AN1630" s="477">
        <v>0.42165761514719263</v>
      </c>
      <c r="AO1630" s="473">
        <v>9.7135168721803852E-4</v>
      </c>
      <c r="AP1630" s="474">
        <v>2.6257654228754033E-4</v>
      </c>
      <c r="AQ1630" s="352"/>
      <c r="AR1630" s="352"/>
      <c r="AS1630" s="352"/>
      <c r="AT1630" s="352"/>
      <c r="AU1630" s="352"/>
      <c r="AV1630" s="352"/>
      <c r="AW1630" s="352" t="s">
        <v>254</v>
      </c>
    </row>
    <row r="1631" spans="2:49" x14ac:dyDescent="0.2">
      <c r="B1631" s="460" t="s">
        <v>2847</v>
      </c>
      <c r="C1631" s="460">
        <v>2133</v>
      </c>
      <c r="D1631" s="460" t="s">
        <v>2346</v>
      </c>
      <c r="E1631" s="460" t="s">
        <v>2324</v>
      </c>
      <c r="F1631" s="460">
        <v>1</v>
      </c>
      <c r="G1631" s="460">
        <v>3</v>
      </c>
      <c r="H1631" s="461" t="s">
        <v>752</v>
      </c>
      <c r="I1631" s="461" t="s">
        <v>964</v>
      </c>
      <c r="J1631" s="461" t="s">
        <v>752</v>
      </c>
      <c r="K1631" s="594"/>
      <c r="L1631" s="594"/>
      <c r="M1631" s="352">
        <v>2000</v>
      </c>
      <c r="N1631" s="352" t="s">
        <v>703</v>
      </c>
      <c r="O1631" s="460">
        <v>2133</v>
      </c>
      <c r="P1631" s="460" t="s">
        <v>1881</v>
      </c>
      <c r="Q1631" s="460" t="s">
        <v>2440</v>
      </c>
      <c r="R1631" s="460">
        <v>2133</v>
      </c>
      <c r="S1631" s="460" t="s">
        <v>2324</v>
      </c>
      <c r="T1631" s="462">
        <v>1</v>
      </c>
      <c r="U1631" s="460" t="s">
        <v>2324</v>
      </c>
      <c r="V1631" s="475">
        <v>0</v>
      </c>
      <c r="W1631" s="463" t="s">
        <v>2278</v>
      </c>
      <c r="X1631" s="463" t="s">
        <v>2278</v>
      </c>
      <c r="Y1631" s="463" t="s">
        <v>2278</v>
      </c>
      <c r="Z1631" s="463"/>
      <c r="AA1631" s="463"/>
      <c r="AB1631" s="464">
        <v>0</v>
      </c>
      <c r="AC1631" s="465">
        <v>0</v>
      </c>
      <c r="AD1631" s="465">
        <v>0</v>
      </c>
      <c r="AE1631" s="476">
        <v>0</v>
      </c>
      <c r="AF1631" s="467">
        <v>0</v>
      </c>
      <c r="AG1631" s="468">
        <v>0</v>
      </c>
      <c r="AH1631" s="218">
        <v>0</v>
      </c>
      <c r="AI1631" s="470">
        <v>0</v>
      </c>
      <c r="AJ1631" s="471">
        <v>0</v>
      </c>
      <c r="AK1631" s="218">
        <v>0</v>
      </c>
      <c r="AL1631" s="470">
        <v>0</v>
      </c>
      <c r="AM1631" s="471">
        <v>0</v>
      </c>
      <c r="AN1631" s="477">
        <v>0</v>
      </c>
      <c r="AO1631" s="473">
        <v>0</v>
      </c>
      <c r="AP1631" s="474">
        <v>0</v>
      </c>
      <c r="AQ1631" s="352"/>
      <c r="AR1631" s="352"/>
      <c r="AS1631" s="352"/>
      <c r="AT1631" s="352"/>
      <c r="AU1631" s="352"/>
      <c r="AV1631" s="352"/>
      <c r="AW1631" s="352" t="s">
        <v>254</v>
      </c>
    </row>
    <row r="1632" spans="2:49" x14ac:dyDescent="0.2">
      <c r="B1632" s="460" t="s">
        <v>2848</v>
      </c>
      <c r="C1632" s="460">
        <v>2133</v>
      </c>
      <c r="D1632" s="460" t="s">
        <v>2347</v>
      </c>
      <c r="E1632" s="460" t="s">
        <v>2327</v>
      </c>
      <c r="F1632" s="460">
        <v>2</v>
      </c>
      <c r="G1632" s="460">
        <v>3</v>
      </c>
      <c r="H1632" s="461" t="s">
        <v>752</v>
      </c>
      <c r="I1632" s="461" t="s">
        <v>964</v>
      </c>
      <c r="J1632" s="461" t="s">
        <v>752</v>
      </c>
      <c r="K1632" s="594"/>
      <c r="L1632" s="594"/>
      <c r="M1632" s="352">
        <v>2000</v>
      </c>
      <c r="N1632" s="352" t="s">
        <v>703</v>
      </c>
      <c r="O1632" s="460">
        <v>2133</v>
      </c>
      <c r="P1632" s="460" t="s">
        <v>1881</v>
      </c>
      <c r="Q1632" s="460" t="s">
        <v>2440</v>
      </c>
      <c r="R1632" s="460">
        <v>2133</v>
      </c>
      <c r="S1632" s="460" t="s">
        <v>2324</v>
      </c>
      <c r="T1632" s="462">
        <v>1</v>
      </c>
      <c r="U1632" s="460" t="s">
        <v>2327</v>
      </c>
      <c r="V1632" s="475">
        <v>0</v>
      </c>
      <c r="W1632" s="463" t="s">
        <v>2278</v>
      </c>
      <c r="X1632" s="463" t="s">
        <v>2278</v>
      </c>
      <c r="Y1632" s="463" t="s">
        <v>2278</v>
      </c>
      <c r="Z1632" s="463"/>
      <c r="AA1632" s="463"/>
      <c r="AB1632" s="464">
        <v>0</v>
      </c>
      <c r="AC1632" s="465">
        <v>0</v>
      </c>
      <c r="AD1632" s="465">
        <v>0</v>
      </c>
      <c r="AE1632" s="476">
        <v>0</v>
      </c>
      <c r="AF1632" s="467">
        <v>0</v>
      </c>
      <c r="AG1632" s="468">
        <v>0</v>
      </c>
      <c r="AH1632" s="218">
        <v>0</v>
      </c>
      <c r="AI1632" s="470">
        <v>0</v>
      </c>
      <c r="AJ1632" s="471">
        <v>0</v>
      </c>
      <c r="AK1632" s="218">
        <v>0</v>
      </c>
      <c r="AL1632" s="470">
        <v>0</v>
      </c>
      <c r="AM1632" s="471">
        <v>0</v>
      </c>
      <c r="AN1632" s="477">
        <v>0</v>
      </c>
      <c r="AO1632" s="473">
        <v>0</v>
      </c>
      <c r="AP1632" s="474">
        <v>0</v>
      </c>
      <c r="AQ1632" s="352"/>
      <c r="AR1632" s="352"/>
      <c r="AS1632" s="352"/>
      <c r="AT1632" s="352"/>
      <c r="AU1632" s="352"/>
      <c r="AV1632" s="352"/>
      <c r="AW1632" s="352" t="s">
        <v>254</v>
      </c>
    </row>
    <row r="1633" spans="2:49" x14ac:dyDescent="0.2">
      <c r="B1633" s="460" t="s">
        <v>2849</v>
      </c>
      <c r="C1633" s="460">
        <v>2133</v>
      </c>
      <c r="D1633" s="460" t="s">
        <v>2348</v>
      </c>
      <c r="E1633" s="460" t="s">
        <v>2330</v>
      </c>
      <c r="F1633" s="460">
        <v>3</v>
      </c>
      <c r="G1633" s="460">
        <v>3</v>
      </c>
      <c r="H1633" s="461" t="s">
        <v>752</v>
      </c>
      <c r="I1633" s="461" t="s">
        <v>964</v>
      </c>
      <c r="J1633" s="461" t="s">
        <v>752</v>
      </c>
      <c r="K1633" s="594"/>
      <c r="L1633" s="594"/>
      <c r="M1633" s="352">
        <v>2000</v>
      </c>
      <c r="N1633" s="352" t="s">
        <v>703</v>
      </c>
      <c r="O1633" s="460">
        <v>2133</v>
      </c>
      <c r="P1633" s="460" t="s">
        <v>1881</v>
      </c>
      <c r="Q1633" s="460" t="s">
        <v>2440</v>
      </c>
      <c r="R1633" s="460">
        <v>2133</v>
      </c>
      <c r="S1633" s="460" t="s">
        <v>2324</v>
      </c>
      <c r="T1633" s="462">
        <v>1</v>
      </c>
      <c r="U1633" s="460" t="s">
        <v>2330</v>
      </c>
      <c r="V1633" s="475">
        <v>0</v>
      </c>
      <c r="W1633" s="463" t="s">
        <v>2278</v>
      </c>
      <c r="X1633" s="463" t="s">
        <v>2278</v>
      </c>
      <c r="Y1633" s="463" t="s">
        <v>2278</v>
      </c>
      <c r="Z1633" s="463"/>
      <c r="AA1633" s="463"/>
      <c r="AB1633" s="464">
        <v>0</v>
      </c>
      <c r="AC1633" s="465">
        <v>0</v>
      </c>
      <c r="AD1633" s="465">
        <v>0</v>
      </c>
      <c r="AE1633" s="476">
        <v>0</v>
      </c>
      <c r="AF1633" s="467">
        <v>0</v>
      </c>
      <c r="AG1633" s="468">
        <v>0</v>
      </c>
      <c r="AH1633" s="218">
        <v>0</v>
      </c>
      <c r="AI1633" s="470">
        <v>0</v>
      </c>
      <c r="AJ1633" s="471">
        <v>0</v>
      </c>
      <c r="AK1633" s="218">
        <v>0</v>
      </c>
      <c r="AL1633" s="470">
        <v>0</v>
      </c>
      <c r="AM1633" s="471">
        <v>0</v>
      </c>
      <c r="AN1633" s="477">
        <v>0</v>
      </c>
      <c r="AO1633" s="473">
        <v>0</v>
      </c>
      <c r="AP1633" s="474">
        <v>0</v>
      </c>
      <c r="AQ1633" s="352"/>
      <c r="AR1633" s="352"/>
      <c r="AS1633" s="352"/>
      <c r="AT1633" s="352"/>
      <c r="AU1633" s="352"/>
      <c r="AV1633" s="352"/>
      <c r="AW1633" s="352" t="s">
        <v>254</v>
      </c>
    </row>
    <row r="1634" spans="2:49" x14ac:dyDescent="0.2">
      <c r="B1634" s="460" t="s">
        <v>2850</v>
      </c>
      <c r="C1634" s="460">
        <v>2133</v>
      </c>
      <c r="D1634" s="460" t="s">
        <v>2349</v>
      </c>
      <c r="E1634" s="460" t="s">
        <v>2333</v>
      </c>
      <c r="F1634" s="460">
        <v>4</v>
      </c>
      <c r="G1634" s="460">
        <v>3</v>
      </c>
      <c r="H1634" s="461" t="s">
        <v>752</v>
      </c>
      <c r="I1634" s="461" t="s">
        <v>964</v>
      </c>
      <c r="J1634" s="461" t="s">
        <v>752</v>
      </c>
      <c r="K1634" s="594"/>
      <c r="L1634" s="594"/>
      <c r="M1634" s="352">
        <v>2000</v>
      </c>
      <c r="N1634" s="352" t="s">
        <v>703</v>
      </c>
      <c r="O1634" s="460">
        <v>2133</v>
      </c>
      <c r="P1634" s="460" t="s">
        <v>1881</v>
      </c>
      <c r="Q1634" s="460" t="s">
        <v>2440</v>
      </c>
      <c r="R1634" s="460">
        <v>2133</v>
      </c>
      <c r="S1634" s="460" t="s">
        <v>2333</v>
      </c>
      <c r="T1634" s="462">
        <v>1</v>
      </c>
      <c r="U1634" s="460" t="s">
        <v>2333</v>
      </c>
      <c r="V1634" s="475">
        <v>0</v>
      </c>
      <c r="W1634" s="463" t="s">
        <v>2278</v>
      </c>
      <c r="X1634" s="463" t="s">
        <v>2278</v>
      </c>
      <c r="Y1634" s="463" t="s">
        <v>2278</v>
      </c>
      <c r="Z1634" s="463"/>
      <c r="AA1634" s="463"/>
      <c r="AB1634" s="464">
        <v>0</v>
      </c>
      <c r="AC1634" s="465">
        <v>0</v>
      </c>
      <c r="AD1634" s="465">
        <v>0</v>
      </c>
      <c r="AE1634" s="476">
        <v>0</v>
      </c>
      <c r="AF1634" s="467">
        <v>0</v>
      </c>
      <c r="AG1634" s="468">
        <v>0</v>
      </c>
      <c r="AH1634" s="218">
        <v>0</v>
      </c>
      <c r="AI1634" s="470">
        <v>0</v>
      </c>
      <c r="AJ1634" s="471">
        <v>0</v>
      </c>
      <c r="AK1634" s="218">
        <v>0</v>
      </c>
      <c r="AL1634" s="470">
        <v>0</v>
      </c>
      <c r="AM1634" s="471">
        <v>0</v>
      </c>
      <c r="AN1634" s="477">
        <v>0</v>
      </c>
      <c r="AO1634" s="473">
        <v>0</v>
      </c>
      <c r="AP1634" s="474">
        <v>0</v>
      </c>
      <c r="AQ1634" s="352"/>
      <c r="AR1634" s="352"/>
      <c r="AS1634" s="352"/>
      <c r="AT1634" s="352"/>
      <c r="AU1634" s="352"/>
      <c r="AV1634" s="352"/>
      <c r="AW1634" s="352" t="s">
        <v>254</v>
      </c>
    </row>
    <row r="1635" spans="2:49" x14ac:dyDescent="0.2">
      <c r="B1635" s="460" t="s">
        <v>2851</v>
      </c>
      <c r="C1635" s="460">
        <v>2133</v>
      </c>
      <c r="D1635" s="460" t="s">
        <v>2351</v>
      </c>
      <c r="E1635" s="460" t="s">
        <v>1136</v>
      </c>
      <c r="F1635" s="460">
        <v>1</v>
      </c>
      <c r="G1635" s="460">
        <v>4</v>
      </c>
      <c r="H1635" s="461" t="s">
        <v>700</v>
      </c>
      <c r="I1635" s="461" t="s">
        <v>872</v>
      </c>
      <c r="J1635" s="461" t="s">
        <v>700</v>
      </c>
      <c r="K1635" s="594"/>
      <c r="L1635" s="594"/>
      <c r="M1635" s="352">
        <v>2000</v>
      </c>
      <c r="N1635" s="352" t="s">
        <v>703</v>
      </c>
      <c r="O1635" s="460">
        <v>2133</v>
      </c>
      <c r="P1635" s="460" t="s">
        <v>1881</v>
      </c>
      <c r="Q1635" s="460" t="s">
        <v>2440</v>
      </c>
      <c r="R1635" s="460">
        <v>2133</v>
      </c>
      <c r="S1635" s="460" t="s">
        <v>1136</v>
      </c>
      <c r="T1635" s="462">
        <v>1</v>
      </c>
      <c r="U1635" s="460" t="s">
        <v>1136</v>
      </c>
      <c r="V1635" s="475">
        <v>0</v>
      </c>
      <c r="W1635" s="463" t="s">
        <v>2267</v>
      </c>
      <c r="X1635" s="463" t="s">
        <v>2267</v>
      </c>
      <c r="Y1635" s="463" t="s">
        <v>2268</v>
      </c>
      <c r="Z1635" s="463"/>
      <c r="AA1635" s="463"/>
      <c r="AB1635" s="464">
        <v>8.8443198956024691</v>
      </c>
      <c r="AC1635" s="465">
        <v>4.1197938909647402E-2</v>
      </c>
      <c r="AD1635" s="465">
        <v>2.5163940583147307E-2</v>
      </c>
      <c r="AE1635" s="476">
        <v>8.8443198956024691</v>
      </c>
      <c r="AF1635" s="467">
        <v>4.1197938909647402E-2</v>
      </c>
      <c r="AG1635" s="468">
        <v>2.7354752650944468E-2</v>
      </c>
      <c r="AH1635" s="218">
        <v>8.8443198956024691</v>
      </c>
      <c r="AI1635" s="470">
        <v>4.1197938909647402E-2</v>
      </c>
      <c r="AJ1635" s="471">
        <v>6.9071177696868533E-3</v>
      </c>
      <c r="AK1635" s="218">
        <v>8.8443198956024691</v>
      </c>
      <c r="AL1635" s="470">
        <v>4.1197938909647402E-2</v>
      </c>
      <c r="AM1635" s="471">
        <v>6.9071177696868533E-3</v>
      </c>
      <c r="AN1635" s="477">
        <v>0</v>
      </c>
      <c r="AO1635" s="473">
        <v>0</v>
      </c>
      <c r="AP1635" s="474">
        <v>0</v>
      </c>
      <c r="AQ1635" s="352"/>
      <c r="AR1635" s="352"/>
      <c r="AS1635" s="352"/>
      <c r="AT1635" s="352"/>
      <c r="AU1635" s="352"/>
      <c r="AV1635" s="352"/>
      <c r="AW1635" s="352" t="s">
        <v>254</v>
      </c>
    </row>
    <row r="1636" spans="2:49" x14ac:dyDescent="0.2">
      <c r="B1636" s="460" t="s">
        <v>2852</v>
      </c>
      <c r="C1636" s="460">
        <v>2133</v>
      </c>
      <c r="D1636" s="460" t="s">
        <v>2353</v>
      </c>
      <c r="E1636" s="460" t="s">
        <v>1137</v>
      </c>
      <c r="F1636" s="460">
        <v>2</v>
      </c>
      <c r="G1636" s="460">
        <v>4</v>
      </c>
      <c r="H1636" s="461" t="s">
        <v>700</v>
      </c>
      <c r="I1636" s="461" t="s">
        <v>872</v>
      </c>
      <c r="J1636" s="461" t="s">
        <v>700</v>
      </c>
      <c r="K1636" s="594"/>
      <c r="L1636" s="594"/>
      <c r="M1636" s="352">
        <v>2000</v>
      </c>
      <c r="N1636" s="352" t="s">
        <v>703</v>
      </c>
      <c r="O1636" s="460">
        <v>2133</v>
      </c>
      <c r="P1636" s="460" t="s">
        <v>1881</v>
      </c>
      <c r="Q1636" s="460" t="s">
        <v>2440</v>
      </c>
      <c r="R1636" s="460">
        <v>2133</v>
      </c>
      <c r="S1636" s="460" t="s">
        <v>1137</v>
      </c>
      <c r="T1636" s="462">
        <v>1</v>
      </c>
      <c r="U1636" s="460" t="s">
        <v>1137</v>
      </c>
      <c r="V1636" s="475">
        <v>0</v>
      </c>
      <c r="W1636" s="463" t="s">
        <v>2503</v>
      </c>
      <c r="X1636" s="463" t="s">
        <v>2267</v>
      </c>
      <c r="Y1636" s="463" t="s">
        <v>2268</v>
      </c>
      <c r="Z1636" s="463"/>
      <c r="AA1636" s="463"/>
      <c r="AB1636" s="464">
        <v>27.299444594030003</v>
      </c>
      <c r="AC1636" s="465">
        <v>9.0591114737653328E-2</v>
      </c>
      <c r="AD1636" s="465">
        <v>6.1646273955487949E-3</v>
      </c>
      <c r="AE1636" s="476">
        <v>16.379666756418001</v>
      </c>
      <c r="AF1636" s="467">
        <v>5.4354668842591998E-2</v>
      </c>
      <c r="AG1636" s="468">
        <v>3.9848055449980511E-3</v>
      </c>
      <c r="AH1636" s="218">
        <v>27.299444594030003</v>
      </c>
      <c r="AI1636" s="470">
        <v>9.0591114737653328E-2</v>
      </c>
      <c r="AJ1636" s="471">
        <v>5.6403226385026341E-3</v>
      </c>
      <c r="AK1636" s="218">
        <v>27.299444594030003</v>
      </c>
      <c r="AL1636" s="470">
        <v>9.0591114737653328E-2</v>
      </c>
      <c r="AM1636" s="471">
        <v>5.6403226385026341E-3</v>
      </c>
      <c r="AN1636" s="477">
        <v>0</v>
      </c>
      <c r="AO1636" s="473">
        <v>0</v>
      </c>
      <c r="AP1636" s="474">
        <v>0</v>
      </c>
      <c r="AQ1636" s="352"/>
      <c r="AR1636" s="352"/>
      <c r="AS1636" s="352"/>
      <c r="AT1636" s="352"/>
      <c r="AU1636" s="352"/>
      <c r="AV1636" s="352"/>
      <c r="AW1636" s="352" t="s">
        <v>254</v>
      </c>
    </row>
    <row r="1637" spans="2:49" x14ac:dyDescent="0.2">
      <c r="B1637" s="460" t="s">
        <v>2853</v>
      </c>
      <c r="C1637" s="460">
        <v>2133</v>
      </c>
      <c r="D1637" s="460" t="s">
        <v>2355</v>
      </c>
      <c r="E1637" s="460" t="s">
        <v>1138</v>
      </c>
      <c r="F1637" s="460">
        <v>3</v>
      </c>
      <c r="G1637" s="460">
        <v>4</v>
      </c>
      <c r="H1637" s="461" t="s">
        <v>700</v>
      </c>
      <c r="I1637" s="461" t="s">
        <v>872</v>
      </c>
      <c r="J1637" s="461" t="s">
        <v>700</v>
      </c>
      <c r="K1637" s="594"/>
      <c r="L1637" s="594"/>
      <c r="M1637" s="352">
        <v>2000</v>
      </c>
      <c r="N1637" s="352" t="s">
        <v>703</v>
      </c>
      <c r="O1637" s="460">
        <v>2133</v>
      </c>
      <c r="P1637" s="460" t="s">
        <v>1881</v>
      </c>
      <c r="Q1637" s="460" t="s">
        <v>2440</v>
      </c>
      <c r="R1637" s="460">
        <v>2133</v>
      </c>
      <c r="S1637" s="460" t="s">
        <v>1138</v>
      </c>
      <c r="T1637" s="462">
        <v>1</v>
      </c>
      <c r="U1637" s="460" t="s">
        <v>1138</v>
      </c>
      <c r="V1637" s="475">
        <v>0</v>
      </c>
      <c r="W1637" s="463" t="s">
        <v>2503</v>
      </c>
      <c r="X1637" s="463" t="s">
        <v>2267</v>
      </c>
      <c r="Y1637" s="463" t="s">
        <v>2268</v>
      </c>
      <c r="Z1637" s="463"/>
      <c r="AA1637" s="463"/>
      <c r="AB1637" s="464">
        <v>17.908762752463812</v>
      </c>
      <c r="AC1637" s="465">
        <v>0.15828099177201232</v>
      </c>
      <c r="AD1637" s="465">
        <v>7.51394661388029E-3</v>
      </c>
      <c r="AE1637" s="476">
        <v>10.745257651478287</v>
      </c>
      <c r="AF1637" s="467">
        <v>9.4968595063207387E-2</v>
      </c>
      <c r="AG1637" s="468">
        <v>4.8639191170129544E-3</v>
      </c>
      <c r="AH1637" s="218">
        <v>17.908762752463812</v>
      </c>
      <c r="AI1637" s="470">
        <v>0.15828099177201232</v>
      </c>
      <c r="AJ1637" s="471">
        <v>6.1714704157118652E-3</v>
      </c>
      <c r="AK1637" s="218">
        <v>17.908762752463812</v>
      </c>
      <c r="AL1637" s="470">
        <v>0.15828099177201232</v>
      </c>
      <c r="AM1637" s="471">
        <v>6.1714704157118652E-3</v>
      </c>
      <c r="AN1637" s="477">
        <v>0</v>
      </c>
      <c r="AO1637" s="473">
        <v>0</v>
      </c>
      <c r="AP1637" s="474">
        <v>0</v>
      </c>
      <c r="AQ1637" s="352"/>
      <c r="AR1637" s="352"/>
      <c r="AS1637" s="352"/>
      <c r="AT1637" s="352"/>
      <c r="AU1637" s="352"/>
      <c r="AV1637" s="352"/>
      <c r="AW1637" s="352" t="s">
        <v>254</v>
      </c>
    </row>
    <row r="1638" spans="2:49" x14ac:dyDescent="0.2">
      <c r="B1638" s="460" t="s">
        <v>2854</v>
      </c>
      <c r="C1638" s="460">
        <v>2133</v>
      </c>
      <c r="D1638" s="460" t="s">
        <v>2357</v>
      </c>
      <c r="E1638" s="460" t="s">
        <v>1139</v>
      </c>
      <c r="F1638" s="460">
        <v>4</v>
      </c>
      <c r="G1638" s="460">
        <v>4</v>
      </c>
      <c r="H1638" s="461" t="s">
        <v>700</v>
      </c>
      <c r="I1638" s="461" t="s">
        <v>872</v>
      </c>
      <c r="J1638" s="461" t="s">
        <v>700</v>
      </c>
      <c r="K1638" s="594"/>
      <c r="L1638" s="594"/>
      <c r="M1638" s="352">
        <v>2000</v>
      </c>
      <c r="N1638" s="352" t="s">
        <v>703</v>
      </c>
      <c r="O1638" s="460">
        <v>2133</v>
      </c>
      <c r="P1638" s="460" t="s">
        <v>1881</v>
      </c>
      <c r="Q1638" s="460" t="s">
        <v>2440</v>
      </c>
      <c r="R1638" s="460">
        <v>2133</v>
      </c>
      <c r="S1638" s="460" t="s">
        <v>1139</v>
      </c>
      <c r="T1638" s="462">
        <v>1</v>
      </c>
      <c r="U1638" s="460" t="s">
        <v>1139</v>
      </c>
      <c r="V1638" s="475">
        <v>0</v>
      </c>
      <c r="W1638" s="463" t="s">
        <v>2503</v>
      </c>
      <c r="X1638" s="463" t="s">
        <v>2267</v>
      </c>
      <c r="Y1638" s="463" t="s">
        <v>2268</v>
      </c>
      <c r="Z1638" s="463"/>
      <c r="AA1638" s="463"/>
      <c r="AB1638" s="464">
        <v>0</v>
      </c>
      <c r="AC1638" s="465">
        <v>0</v>
      </c>
      <c r="AD1638" s="465">
        <v>0</v>
      </c>
      <c r="AE1638" s="476">
        <v>0</v>
      </c>
      <c r="AF1638" s="467">
        <v>0</v>
      </c>
      <c r="AG1638" s="468">
        <v>0</v>
      </c>
      <c r="AH1638" s="218">
        <v>0</v>
      </c>
      <c r="AI1638" s="470">
        <v>0</v>
      </c>
      <c r="AJ1638" s="471">
        <v>0</v>
      </c>
      <c r="AK1638" s="218">
        <v>0</v>
      </c>
      <c r="AL1638" s="470">
        <v>0</v>
      </c>
      <c r="AM1638" s="471">
        <v>0</v>
      </c>
      <c r="AN1638" s="477">
        <v>0</v>
      </c>
      <c r="AO1638" s="473">
        <v>0</v>
      </c>
      <c r="AP1638" s="474">
        <v>0</v>
      </c>
      <c r="AQ1638" s="352"/>
      <c r="AR1638" s="352"/>
      <c r="AS1638" s="352"/>
      <c r="AT1638" s="352"/>
      <c r="AU1638" s="352"/>
      <c r="AV1638" s="352"/>
      <c r="AW1638" s="352" t="s">
        <v>254</v>
      </c>
    </row>
    <row r="1639" spans="2:49" x14ac:dyDescent="0.2">
      <c r="B1639" s="460" t="s">
        <v>2851</v>
      </c>
      <c r="C1639" s="460">
        <v>2133</v>
      </c>
      <c r="D1639" s="460" t="s">
        <v>2358</v>
      </c>
      <c r="E1639" s="460" t="s">
        <v>1136</v>
      </c>
      <c r="F1639" s="460">
        <v>1</v>
      </c>
      <c r="G1639" s="460">
        <v>4</v>
      </c>
      <c r="H1639" s="461" t="s">
        <v>712</v>
      </c>
      <c r="I1639" s="461" t="s">
        <v>713</v>
      </c>
      <c r="J1639" s="461" t="s">
        <v>712</v>
      </c>
      <c r="K1639" s="594"/>
      <c r="L1639" s="594"/>
      <c r="M1639" s="352">
        <v>2000</v>
      </c>
      <c r="N1639" s="352" t="s">
        <v>703</v>
      </c>
      <c r="O1639" s="460">
        <v>2133</v>
      </c>
      <c r="P1639" s="460" t="s">
        <v>1881</v>
      </c>
      <c r="Q1639" s="460" t="s">
        <v>2280</v>
      </c>
      <c r="R1639" s="460">
        <v>2133</v>
      </c>
      <c r="S1639" s="460" t="s">
        <v>1136</v>
      </c>
      <c r="T1639" s="462">
        <v>1</v>
      </c>
      <c r="U1639" s="460" t="s">
        <v>1136</v>
      </c>
      <c r="V1639" s="475">
        <v>0</v>
      </c>
      <c r="W1639" s="463" t="s">
        <v>713</v>
      </c>
      <c r="X1639" s="463" t="s">
        <v>713</v>
      </c>
      <c r="Y1639" s="463" t="s">
        <v>713</v>
      </c>
      <c r="Z1639" s="463"/>
      <c r="AA1639" s="463"/>
      <c r="AB1639" s="464">
        <v>202.55413359742045</v>
      </c>
      <c r="AC1639" s="465">
        <v>0.94352227422170187</v>
      </c>
      <c r="AD1639" s="465">
        <v>1.3349067680315453E-3</v>
      </c>
      <c r="AE1639" s="476">
        <v>202.55413359742045</v>
      </c>
      <c r="AF1639" s="467">
        <v>0.94352227422170187</v>
      </c>
      <c r="AG1639" s="468">
        <v>1.3346591750528637E-3</v>
      </c>
      <c r="AH1639" s="218">
        <v>202.55413359742045</v>
      </c>
      <c r="AI1639" s="470">
        <v>0.94352227422170187</v>
      </c>
      <c r="AJ1639" s="471">
        <v>1.3482236124830521E-3</v>
      </c>
      <c r="AK1639" s="218">
        <v>202.55413359742045</v>
      </c>
      <c r="AL1639" s="470">
        <v>0.94352227422170187</v>
      </c>
      <c r="AM1639" s="471">
        <v>1.3482236124830521E-3</v>
      </c>
      <c r="AN1639" s="477">
        <v>202.55413359742045</v>
      </c>
      <c r="AO1639" s="473">
        <v>0.94352227422170187</v>
      </c>
      <c r="AP1639" s="474">
        <v>1.3460298643951634E-3</v>
      </c>
      <c r="AQ1639" s="352"/>
      <c r="AR1639" s="352"/>
      <c r="AS1639" s="352"/>
      <c r="AT1639" s="352"/>
      <c r="AU1639" s="352"/>
      <c r="AV1639" s="352"/>
      <c r="AW1639" s="352" t="s">
        <v>254</v>
      </c>
    </row>
    <row r="1640" spans="2:49" x14ac:dyDescent="0.2">
      <c r="B1640" s="460" t="s">
        <v>2852</v>
      </c>
      <c r="C1640" s="460">
        <v>2133</v>
      </c>
      <c r="D1640" s="460" t="s">
        <v>2359</v>
      </c>
      <c r="E1640" s="460" t="s">
        <v>1137</v>
      </c>
      <c r="F1640" s="460">
        <v>2</v>
      </c>
      <c r="G1640" s="460">
        <v>4</v>
      </c>
      <c r="H1640" s="461" t="s">
        <v>712</v>
      </c>
      <c r="I1640" s="461" t="s">
        <v>713</v>
      </c>
      <c r="J1640" s="461" t="s">
        <v>712</v>
      </c>
      <c r="K1640" s="594"/>
      <c r="L1640" s="594"/>
      <c r="M1640" s="352">
        <v>2000</v>
      </c>
      <c r="N1640" s="352" t="s">
        <v>703</v>
      </c>
      <c r="O1640" s="460">
        <v>2133</v>
      </c>
      <c r="P1640" s="460" t="s">
        <v>1881</v>
      </c>
      <c r="Q1640" s="460" t="s">
        <v>2280</v>
      </c>
      <c r="R1640" s="460">
        <v>2133</v>
      </c>
      <c r="S1640" s="460" t="s">
        <v>1137</v>
      </c>
      <c r="T1640" s="462">
        <v>1</v>
      </c>
      <c r="U1640" s="460" t="s">
        <v>1137</v>
      </c>
      <c r="V1640" s="475">
        <v>0</v>
      </c>
      <c r="W1640" s="463" t="s">
        <v>713</v>
      </c>
      <c r="X1640" s="463" t="s">
        <v>713</v>
      </c>
      <c r="Y1640" s="463" t="s">
        <v>713</v>
      </c>
      <c r="Z1640" s="463"/>
      <c r="AA1640" s="463"/>
      <c r="AB1640" s="464">
        <v>272.90946472533687</v>
      </c>
      <c r="AC1640" s="465">
        <v>0.90562914372738368</v>
      </c>
      <c r="AD1640" s="465">
        <v>1.5782730811356742E-3</v>
      </c>
      <c r="AE1640" s="476">
        <v>283.82924256294888</v>
      </c>
      <c r="AF1640" s="467">
        <v>0.94186558962244504</v>
      </c>
      <c r="AG1640" s="468">
        <v>1.6384117894383482E-3</v>
      </c>
      <c r="AH1640" s="218">
        <v>272.90946472533687</v>
      </c>
      <c r="AI1640" s="470">
        <v>0.90562914372738379</v>
      </c>
      <c r="AJ1640" s="471">
        <v>1.5828525938848263E-3</v>
      </c>
      <c r="AK1640" s="218">
        <v>272.90946472533687</v>
      </c>
      <c r="AL1640" s="470">
        <v>0.90562914372738379</v>
      </c>
      <c r="AM1640" s="471">
        <v>1.5828525938848263E-3</v>
      </c>
      <c r="AN1640" s="477">
        <v>272.90946472533687</v>
      </c>
      <c r="AO1640" s="473">
        <v>0.90562914372738379</v>
      </c>
      <c r="AP1640" s="474">
        <v>1.581546513429908E-3</v>
      </c>
      <c r="AQ1640" s="352"/>
      <c r="AR1640" s="352"/>
      <c r="AS1640" s="352"/>
      <c r="AT1640" s="352"/>
      <c r="AU1640" s="352"/>
      <c r="AV1640" s="352"/>
      <c r="AW1640" s="352" t="s">
        <v>254</v>
      </c>
    </row>
    <row r="1641" spans="2:49" x14ac:dyDescent="0.2">
      <c r="B1641" s="460" t="s">
        <v>2853</v>
      </c>
      <c r="C1641" s="460">
        <v>2133</v>
      </c>
      <c r="D1641" s="460" t="s">
        <v>2360</v>
      </c>
      <c r="E1641" s="460" t="s">
        <v>1138</v>
      </c>
      <c r="F1641" s="460">
        <v>3</v>
      </c>
      <c r="G1641" s="460">
        <v>4</v>
      </c>
      <c r="H1641" s="461" t="s">
        <v>712</v>
      </c>
      <c r="I1641" s="461" t="s">
        <v>713</v>
      </c>
      <c r="J1641" s="461" t="s">
        <v>712</v>
      </c>
      <c r="K1641" s="594"/>
      <c r="L1641" s="594"/>
      <c r="M1641" s="352">
        <v>2000</v>
      </c>
      <c r="N1641" s="352" t="s">
        <v>703</v>
      </c>
      <c r="O1641" s="460">
        <v>2133</v>
      </c>
      <c r="P1641" s="460" t="s">
        <v>1881</v>
      </c>
      <c r="Q1641" s="460" t="s">
        <v>2280</v>
      </c>
      <c r="R1641" s="460">
        <v>2133</v>
      </c>
      <c r="S1641" s="460" t="s">
        <v>1138</v>
      </c>
      <c r="T1641" s="462">
        <v>1</v>
      </c>
      <c r="U1641" s="460" t="s">
        <v>1138</v>
      </c>
      <c r="V1641" s="475">
        <v>0</v>
      </c>
      <c r="W1641" s="463" t="s">
        <v>713</v>
      </c>
      <c r="X1641" s="463" t="s">
        <v>713</v>
      </c>
      <c r="Y1641" s="463" t="s">
        <v>713</v>
      </c>
      <c r="Z1641" s="463"/>
      <c r="AA1641" s="463"/>
      <c r="AB1641" s="464">
        <v>90.744352193965071</v>
      </c>
      <c r="AC1641" s="465">
        <v>0.80201554186056534</v>
      </c>
      <c r="AD1641" s="465">
        <v>1.1324483798336674E-3</v>
      </c>
      <c r="AE1641" s="476">
        <v>97.907857294950588</v>
      </c>
      <c r="AF1641" s="467">
        <v>0.86532793856937018</v>
      </c>
      <c r="AG1641" s="468">
        <v>1.2191948262651698E-3</v>
      </c>
      <c r="AH1641" s="218">
        <v>90.744352193965057</v>
      </c>
      <c r="AI1641" s="470">
        <v>0.80201554186056523</v>
      </c>
      <c r="AJ1641" s="471">
        <v>1.1432410527484576E-3</v>
      </c>
      <c r="AK1641" s="218">
        <v>90.744352193965057</v>
      </c>
      <c r="AL1641" s="470">
        <v>0.80201554186056523</v>
      </c>
      <c r="AM1641" s="471">
        <v>1.1432410527484576E-3</v>
      </c>
      <c r="AN1641" s="477">
        <v>90.744352193965057</v>
      </c>
      <c r="AO1641" s="473">
        <v>0.80201554186056523</v>
      </c>
      <c r="AP1641" s="474">
        <v>1.1431548934311519E-3</v>
      </c>
      <c r="AQ1641" s="352"/>
      <c r="AR1641" s="352"/>
      <c r="AS1641" s="352"/>
      <c r="AT1641" s="352"/>
      <c r="AU1641" s="352"/>
      <c r="AV1641" s="352"/>
      <c r="AW1641" s="352" t="s">
        <v>254</v>
      </c>
    </row>
    <row r="1642" spans="2:49" x14ac:dyDescent="0.2">
      <c r="B1642" s="460" t="s">
        <v>2854</v>
      </c>
      <c r="C1642" s="460">
        <v>2133</v>
      </c>
      <c r="D1642" s="460" t="s">
        <v>2361</v>
      </c>
      <c r="E1642" s="460" t="s">
        <v>1139</v>
      </c>
      <c r="F1642" s="460">
        <v>4</v>
      </c>
      <c r="G1642" s="460">
        <v>4</v>
      </c>
      <c r="H1642" s="461" t="s">
        <v>712</v>
      </c>
      <c r="I1642" s="461" t="s">
        <v>713</v>
      </c>
      <c r="J1642" s="461" t="s">
        <v>712</v>
      </c>
      <c r="K1642" s="594"/>
      <c r="L1642" s="594"/>
      <c r="M1642" s="352">
        <v>2000</v>
      </c>
      <c r="N1642" s="352" t="s">
        <v>703</v>
      </c>
      <c r="O1642" s="460">
        <v>2133</v>
      </c>
      <c r="P1642" s="460" t="s">
        <v>1881</v>
      </c>
      <c r="Q1642" s="460" t="s">
        <v>2280</v>
      </c>
      <c r="R1642" s="460">
        <v>2133</v>
      </c>
      <c r="S1642" s="460" t="s">
        <v>1139</v>
      </c>
      <c r="T1642" s="462">
        <v>1</v>
      </c>
      <c r="U1642" s="460" t="s">
        <v>1139</v>
      </c>
      <c r="V1642" s="475">
        <v>0</v>
      </c>
      <c r="W1642" s="463" t="s">
        <v>713</v>
      </c>
      <c r="X1642" s="463" t="s">
        <v>713</v>
      </c>
      <c r="Y1642" s="463" t="s">
        <v>713</v>
      </c>
      <c r="Z1642" s="463"/>
      <c r="AA1642" s="463"/>
      <c r="AB1642" s="464">
        <v>107.43532023506091</v>
      </c>
      <c r="AC1642" s="465">
        <v>0.60595302712788535</v>
      </c>
      <c r="AD1642" s="465">
        <v>1.1895491486551557E-3</v>
      </c>
      <c r="AE1642" s="476">
        <v>107.43532023506093</v>
      </c>
      <c r="AF1642" s="467">
        <v>0.60595302712788546</v>
      </c>
      <c r="AG1642" s="468">
        <v>1.1895491486551557E-3</v>
      </c>
      <c r="AH1642" s="218">
        <v>107.43532023506093</v>
      </c>
      <c r="AI1642" s="470">
        <v>0.60595302712788546</v>
      </c>
      <c r="AJ1642" s="471">
        <v>1.2151338019248201E-3</v>
      </c>
      <c r="AK1642" s="218">
        <v>107.43532023506093</v>
      </c>
      <c r="AL1642" s="470">
        <v>0.60595302712788546</v>
      </c>
      <c r="AM1642" s="471">
        <v>1.2151338019248201E-3</v>
      </c>
      <c r="AN1642" s="477">
        <v>107.43532023506093</v>
      </c>
      <c r="AO1642" s="473">
        <v>0.60595302712788546</v>
      </c>
      <c r="AP1642" s="474">
        <v>1.2151338019248201E-3</v>
      </c>
      <c r="AQ1642" s="352"/>
      <c r="AR1642" s="352"/>
      <c r="AS1642" s="352"/>
      <c r="AT1642" s="352"/>
      <c r="AU1642" s="352"/>
      <c r="AV1642" s="352"/>
      <c r="AW1642" s="352" t="s">
        <v>254</v>
      </c>
    </row>
    <row r="1643" spans="2:49" x14ac:dyDescent="0.2">
      <c r="B1643" s="460" t="s">
        <v>2851</v>
      </c>
      <c r="C1643" s="460">
        <v>2133</v>
      </c>
      <c r="D1643" s="460" t="s">
        <v>2362</v>
      </c>
      <c r="E1643" s="460" t="s">
        <v>1136</v>
      </c>
      <c r="F1643" s="460">
        <v>1</v>
      </c>
      <c r="G1643" s="460">
        <v>4</v>
      </c>
      <c r="H1643" s="461" t="s">
        <v>746</v>
      </c>
      <c r="I1643" s="461" t="s">
        <v>762</v>
      </c>
      <c r="J1643" s="461" t="s">
        <v>700</v>
      </c>
      <c r="K1643" s="594"/>
      <c r="L1643" s="594"/>
      <c r="M1643" s="352">
        <v>2000</v>
      </c>
      <c r="N1643" s="352" t="s">
        <v>703</v>
      </c>
      <c r="O1643" s="460">
        <v>2133</v>
      </c>
      <c r="P1643" s="460" t="s">
        <v>1881</v>
      </c>
      <c r="Q1643" s="460" t="s">
        <v>2444</v>
      </c>
      <c r="R1643" s="460">
        <v>2133</v>
      </c>
      <c r="S1643" s="460" t="s">
        <v>1136</v>
      </c>
      <c r="T1643" s="462">
        <v>1</v>
      </c>
      <c r="U1643" s="460" t="s">
        <v>1136</v>
      </c>
      <c r="V1643" s="475">
        <v>0</v>
      </c>
      <c r="W1643" s="463" t="s">
        <v>2268</v>
      </c>
      <c r="X1643" s="463" t="s">
        <v>2268</v>
      </c>
      <c r="Y1643" s="463" t="s">
        <v>2290</v>
      </c>
      <c r="Z1643" s="463"/>
      <c r="AA1643" s="463"/>
      <c r="AB1643" s="464">
        <v>0</v>
      </c>
      <c r="AC1643" s="465">
        <v>0</v>
      </c>
      <c r="AD1643" s="465">
        <v>0</v>
      </c>
      <c r="AE1643" s="476">
        <v>0</v>
      </c>
      <c r="AF1643" s="467">
        <v>0</v>
      </c>
      <c r="AG1643" s="468">
        <v>0</v>
      </c>
      <c r="AH1643" s="218">
        <v>0</v>
      </c>
      <c r="AI1643" s="470">
        <v>0</v>
      </c>
      <c r="AJ1643" s="471">
        <v>0</v>
      </c>
      <c r="AK1643" s="218">
        <v>0</v>
      </c>
      <c r="AL1643" s="470">
        <v>0</v>
      </c>
      <c r="AM1643" s="471">
        <v>0</v>
      </c>
      <c r="AN1643" s="477">
        <v>0</v>
      </c>
      <c r="AO1643" s="473">
        <v>0</v>
      </c>
      <c r="AP1643" s="474">
        <v>0</v>
      </c>
      <c r="AQ1643" s="352"/>
      <c r="AR1643" s="352"/>
      <c r="AS1643" s="352"/>
      <c r="AT1643" s="352"/>
      <c r="AU1643" s="352"/>
      <c r="AV1643" s="352"/>
      <c r="AW1643" s="352" t="s">
        <v>254</v>
      </c>
    </row>
    <row r="1644" spans="2:49" x14ac:dyDescent="0.2">
      <c r="B1644" s="460" t="s">
        <v>2852</v>
      </c>
      <c r="C1644" s="460">
        <v>2133</v>
      </c>
      <c r="D1644" s="460" t="s">
        <v>2363</v>
      </c>
      <c r="E1644" s="460" t="s">
        <v>1137</v>
      </c>
      <c r="F1644" s="460">
        <v>2</v>
      </c>
      <c r="G1644" s="460">
        <v>4</v>
      </c>
      <c r="H1644" s="461" t="s">
        <v>746</v>
      </c>
      <c r="I1644" s="461" t="s">
        <v>762</v>
      </c>
      <c r="J1644" s="461" t="s">
        <v>700</v>
      </c>
      <c r="K1644" s="594"/>
      <c r="L1644" s="594"/>
      <c r="M1644" s="352">
        <v>2000</v>
      </c>
      <c r="N1644" s="352" t="s">
        <v>703</v>
      </c>
      <c r="O1644" s="460">
        <v>2133</v>
      </c>
      <c r="P1644" s="460" t="s">
        <v>1881</v>
      </c>
      <c r="Q1644" s="460" t="s">
        <v>2444</v>
      </c>
      <c r="R1644" s="460">
        <v>2133</v>
      </c>
      <c r="S1644" s="460" t="s">
        <v>1137</v>
      </c>
      <c r="T1644" s="462">
        <v>1</v>
      </c>
      <c r="U1644" s="460" t="s">
        <v>1137</v>
      </c>
      <c r="V1644" s="475">
        <v>0</v>
      </c>
      <c r="W1644" s="463" t="s">
        <v>2268</v>
      </c>
      <c r="X1644" s="463" t="s">
        <v>2268</v>
      </c>
      <c r="Y1644" s="463" t="s">
        <v>2290</v>
      </c>
      <c r="Z1644" s="463"/>
      <c r="AA1644" s="463"/>
      <c r="AB1644" s="464">
        <v>0</v>
      </c>
      <c r="AC1644" s="465">
        <v>0</v>
      </c>
      <c r="AD1644" s="465">
        <v>0</v>
      </c>
      <c r="AE1644" s="476">
        <v>0</v>
      </c>
      <c r="AF1644" s="467">
        <v>0</v>
      </c>
      <c r="AG1644" s="468">
        <v>0</v>
      </c>
      <c r="AH1644" s="218">
        <v>0</v>
      </c>
      <c r="AI1644" s="470">
        <v>0</v>
      </c>
      <c r="AJ1644" s="471">
        <v>0</v>
      </c>
      <c r="AK1644" s="218">
        <v>0</v>
      </c>
      <c r="AL1644" s="470">
        <v>0</v>
      </c>
      <c r="AM1644" s="471">
        <v>0</v>
      </c>
      <c r="AN1644" s="477">
        <v>0</v>
      </c>
      <c r="AO1644" s="473">
        <v>0</v>
      </c>
      <c r="AP1644" s="474">
        <v>0</v>
      </c>
      <c r="AQ1644" s="352"/>
      <c r="AR1644" s="352"/>
      <c r="AS1644" s="352"/>
      <c r="AT1644" s="352"/>
      <c r="AU1644" s="352"/>
      <c r="AV1644" s="352"/>
      <c r="AW1644" s="352" t="s">
        <v>254</v>
      </c>
    </row>
    <row r="1645" spans="2:49" x14ac:dyDescent="0.2">
      <c r="B1645" s="460" t="s">
        <v>2853</v>
      </c>
      <c r="C1645" s="460">
        <v>2133</v>
      </c>
      <c r="D1645" s="460" t="s">
        <v>2364</v>
      </c>
      <c r="E1645" s="460" t="s">
        <v>1138</v>
      </c>
      <c r="F1645" s="460">
        <v>3</v>
      </c>
      <c r="G1645" s="460">
        <v>4</v>
      </c>
      <c r="H1645" s="461" t="s">
        <v>746</v>
      </c>
      <c r="I1645" s="461" t="s">
        <v>762</v>
      </c>
      <c r="J1645" s="461" t="s">
        <v>700</v>
      </c>
      <c r="K1645" s="594"/>
      <c r="L1645" s="594"/>
      <c r="M1645" s="352">
        <v>2000</v>
      </c>
      <c r="N1645" s="352" t="s">
        <v>703</v>
      </c>
      <c r="O1645" s="460">
        <v>2133</v>
      </c>
      <c r="P1645" s="460" t="s">
        <v>1881</v>
      </c>
      <c r="Q1645" s="460" t="s">
        <v>2444</v>
      </c>
      <c r="R1645" s="460">
        <v>2133</v>
      </c>
      <c r="S1645" s="460" t="s">
        <v>1138</v>
      </c>
      <c r="T1645" s="462">
        <v>1</v>
      </c>
      <c r="U1645" s="460" t="s">
        <v>1138</v>
      </c>
      <c r="V1645" s="475">
        <v>0</v>
      </c>
      <c r="W1645" s="463" t="s">
        <v>2268</v>
      </c>
      <c r="X1645" s="463" t="s">
        <v>2268</v>
      </c>
      <c r="Y1645" s="463" t="s">
        <v>2290</v>
      </c>
      <c r="Z1645" s="463"/>
      <c r="AA1645" s="463"/>
      <c r="AB1645" s="464">
        <v>0</v>
      </c>
      <c r="AC1645" s="465">
        <v>0</v>
      </c>
      <c r="AD1645" s="465">
        <v>0</v>
      </c>
      <c r="AE1645" s="476">
        <v>0</v>
      </c>
      <c r="AF1645" s="467">
        <v>0</v>
      </c>
      <c r="AG1645" s="468">
        <v>0</v>
      </c>
      <c r="AH1645" s="218">
        <v>0</v>
      </c>
      <c r="AI1645" s="470">
        <v>0</v>
      </c>
      <c r="AJ1645" s="471">
        <v>0</v>
      </c>
      <c r="AK1645" s="218">
        <v>0</v>
      </c>
      <c r="AL1645" s="470">
        <v>0</v>
      </c>
      <c r="AM1645" s="471">
        <v>0</v>
      </c>
      <c r="AN1645" s="477">
        <v>0</v>
      </c>
      <c r="AO1645" s="473">
        <v>0</v>
      </c>
      <c r="AP1645" s="474">
        <v>0</v>
      </c>
      <c r="AQ1645" s="352"/>
      <c r="AR1645" s="352"/>
      <c r="AS1645" s="352"/>
      <c r="AT1645" s="352"/>
      <c r="AU1645" s="352"/>
      <c r="AV1645" s="352"/>
      <c r="AW1645" s="352" t="s">
        <v>254</v>
      </c>
    </row>
    <row r="1646" spans="2:49" x14ac:dyDescent="0.2">
      <c r="B1646" s="460" t="s">
        <v>2854</v>
      </c>
      <c r="C1646" s="460">
        <v>2133</v>
      </c>
      <c r="D1646" s="460" t="s">
        <v>2365</v>
      </c>
      <c r="E1646" s="460" t="s">
        <v>1139</v>
      </c>
      <c r="F1646" s="460">
        <v>4</v>
      </c>
      <c r="G1646" s="460">
        <v>4</v>
      </c>
      <c r="H1646" s="461" t="s">
        <v>746</v>
      </c>
      <c r="I1646" s="461" t="s">
        <v>762</v>
      </c>
      <c r="J1646" s="461" t="s">
        <v>700</v>
      </c>
      <c r="K1646" s="594"/>
      <c r="L1646" s="594"/>
      <c r="M1646" s="352">
        <v>2000</v>
      </c>
      <c r="N1646" s="352" t="s">
        <v>703</v>
      </c>
      <c r="O1646" s="460">
        <v>2133</v>
      </c>
      <c r="P1646" s="460" t="s">
        <v>1881</v>
      </c>
      <c r="Q1646" s="460" t="s">
        <v>2444</v>
      </c>
      <c r="R1646" s="460">
        <v>2133</v>
      </c>
      <c r="S1646" s="460" t="s">
        <v>1139</v>
      </c>
      <c r="T1646" s="462">
        <v>1</v>
      </c>
      <c r="U1646" s="460" t="s">
        <v>1139</v>
      </c>
      <c r="V1646" s="475">
        <v>0</v>
      </c>
      <c r="W1646" s="463" t="s">
        <v>2268</v>
      </c>
      <c r="X1646" s="463" t="s">
        <v>2268</v>
      </c>
      <c r="Y1646" s="463" t="s">
        <v>2290</v>
      </c>
      <c r="Z1646" s="463"/>
      <c r="AA1646" s="463"/>
      <c r="AB1646" s="464">
        <v>0</v>
      </c>
      <c r="AC1646" s="465">
        <v>0</v>
      </c>
      <c r="AD1646" s="465">
        <v>0</v>
      </c>
      <c r="AE1646" s="476">
        <v>0</v>
      </c>
      <c r="AF1646" s="467">
        <v>0</v>
      </c>
      <c r="AG1646" s="468">
        <v>0</v>
      </c>
      <c r="AH1646" s="218">
        <v>0</v>
      </c>
      <c r="AI1646" s="470">
        <v>0</v>
      </c>
      <c r="AJ1646" s="471">
        <v>0</v>
      </c>
      <c r="AK1646" s="218">
        <v>0</v>
      </c>
      <c r="AL1646" s="470">
        <v>0</v>
      </c>
      <c r="AM1646" s="471">
        <v>0</v>
      </c>
      <c r="AN1646" s="477">
        <v>0</v>
      </c>
      <c r="AO1646" s="473">
        <v>0</v>
      </c>
      <c r="AP1646" s="474">
        <v>0</v>
      </c>
      <c r="AQ1646" s="352"/>
      <c r="AR1646" s="352"/>
      <c r="AS1646" s="352"/>
      <c r="AT1646" s="352"/>
      <c r="AU1646" s="352"/>
      <c r="AV1646" s="352"/>
      <c r="AW1646" s="352" t="s">
        <v>254</v>
      </c>
    </row>
    <row r="1647" spans="2:49" x14ac:dyDescent="0.2">
      <c r="B1647" s="460" t="s">
        <v>2851</v>
      </c>
      <c r="C1647" s="460">
        <v>2133</v>
      </c>
      <c r="D1647" s="460" t="s">
        <v>2366</v>
      </c>
      <c r="E1647" s="460" t="s">
        <v>1136</v>
      </c>
      <c r="F1647" s="460">
        <v>1</v>
      </c>
      <c r="G1647" s="460">
        <v>4</v>
      </c>
      <c r="H1647" s="461" t="s">
        <v>748</v>
      </c>
      <c r="I1647" s="461" t="s">
        <v>765</v>
      </c>
      <c r="J1647" s="461" t="s">
        <v>700</v>
      </c>
      <c r="K1647" s="594"/>
      <c r="L1647" s="594"/>
      <c r="M1647" s="352">
        <v>2000</v>
      </c>
      <c r="N1647" s="352" t="s">
        <v>703</v>
      </c>
      <c r="O1647" s="460">
        <v>2133</v>
      </c>
      <c r="P1647" s="460" t="s">
        <v>1881</v>
      </c>
      <c r="Q1647" s="460" t="s">
        <v>2440</v>
      </c>
      <c r="R1647" s="460">
        <v>2133</v>
      </c>
      <c r="S1647" s="460" t="s">
        <v>1136</v>
      </c>
      <c r="T1647" s="462">
        <v>1</v>
      </c>
      <c r="U1647" s="460" t="s">
        <v>1136</v>
      </c>
      <c r="V1647" s="475">
        <v>0</v>
      </c>
      <c r="W1647" s="463" t="s">
        <v>2268</v>
      </c>
      <c r="X1647" s="463" t="s">
        <v>2268</v>
      </c>
      <c r="Y1647" s="463" t="s">
        <v>2267</v>
      </c>
      <c r="Z1647" s="463"/>
      <c r="AA1647" s="463"/>
      <c r="AB1647" s="464">
        <v>0</v>
      </c>
      <c r="AC1647" s="465">
        <v>0</v>
      </c>
      <c r="AD1647" s="465">
        <v>0</v>
      </c>
      <c r="AE1647" s="476">
        <v>0</v>
      </c>
      <c r="AF1647" s="467">
        <v>0</v>
      </c>
      <c r="AG1647" s="468">
        <v>0</v>
      </c>
      <c r="AH1647" s="218">
        <v>0</v>
      </c>
      <c r="AI1647" s="470">
        <v>0</v>
      </c>
      <c r="AJ1647" s="471">
        <v>0</v>
      </c>
      <c r="AK1647" s="218">
        <v>0</v>
      </c>
      <c r="AL1647" s="470">
        <v>0</v>
      </c>
      <c r="AM1647" s="471">
        <v>0</v>
      </c>
      <c r="AN1647" s="477">
        <v>8.8443198956024691</v>
      </c>
      <c r="AO1647" s="473">
        <v>4.1197938909647402E-2</v>
      </c>
      <c r="AP1647" s="474">
        <v>1.0866552878109196E-2</v>
      </c>
      <c r="AQ1647" s="352"/>
      <c r="AR1647" s="352"/>
      <c r="AS1647" s="352"/>
      <c r="AT1647" s="352"/>
      <c r="AU1647" s="352"/>
      <c r="AV1647" s="352"/>
      <c r="AW1647" s="352" t="s">
        <v>254</v>
      </c>
    </row>
    <row r="1648" spans="2:49" x14ac:dyDescent="0.2">
      <c r="B1648" s="460" t="s">
        <v>2852</v>
      </c>
      <c r="C1648" s="460">
        <v>2133</v>
      </c>
      <c r="D1648" s="460" t="s">
        <v>2367</v>
      </c>
      <c r="E1648" s="460" t="s">
        <v>1137</v>
      </c>
      <c r="F1648" s="460">
        <v>2</v>
      </c>
      <c r="G1648" s="460">
        <v>4</v>
      </c>
      <c r="H1648" s="461" t="s">
        <v>748</v>
      </c>
      <c r="I1648" s="461" t="s">
        <v>765</v>
      </c>
      <c r="J1648" s="461" t="s">
        <v>700</v>
      </c>
      <c r="K1648" s="594"/>
      <c r="L1648" s="594"/>
      <c r="M1648" s="352">
        <v>2000</v>
      </c>
      <c r="N1648" s="352" t="s">
        <v>703</v>
      </c>
      <c r="O1648" s="460">
        <v>2133</v>
      </c>
      <c r="P1648" s="460" t="s">
        <v>1881</v>
      </c>
      <c r="Q1648" s="460" t="s">
        <v>2440</v>
      </c>
      <c r="R1648" s="460">
        <v>2133</v>
      </c>
      <c r="S1648" s="460" t="s">
        <v>1137</v>
      </c>
      <c r="T1648" s="462">
        <v>1</v>
      </c>
      <c r="U1648" s="460" t="s">
        <v>1137</v>
      </c>
      <c r="V1648" s="475">
        <v>0</v>
      </c>
      <c r="W1648" s="463" t="s">
        <v>2268</v>
      </c>
      <c r="X1648" s="463" t="s">
        <v>2268</v>
      </c>
      <c r="Y1648" s="463" t="s">
        <v>2267</v>
      </c>
      <c r="Z1648" s="463"/>
      <c r="AA1648" s="463"/>
      <c r="AB1648" s="464">
        <v>0</v>
      </c>
      <c r="AC1648" s="465">
        <v>0</v>
      </c>
      <c r="AD1648" s="465">
        <v>0</v>
      </c>
      <c r="AE1648" s="476">
        <v>0</v>
      </c>
      <c r="AF1648" s="467">
        <v>0</v>
      </c>
      <c r="AG1648" s="468">
        <v>0</v>
      </c>
      <c r="AH1648" s="218">
        <v>0</v>
      </c>
      <c r="AI1648" s="470">
        <v>0</v>
      </c>
      <c r="AJ1648" s="471">
        <v>0</v>
      </c>
      <c r="AK1648" s="218">
        <v>0</v>
      </c>
      <c r="AL1648" s="470">
        <v>0</v>
      </c>
      <c r="AM1648" s="471">
        <v>0</v>
      </c>
      <c r="AN1648" s="477">
        <v>27.299444594030003</v>
      </c>
      <c r="AO1648" s="473">
        <v>9.0591114737653328E-2</v>
      </c>
      <c r="AP1648" s="474">
        <v>2.6295127674927293E-2</v>
      </c>
      <c r="AQ1648" s="352"/>
      <c r="AR1648" s="352"/>
      <c r="AS1648" s="352"/>
      <c r="AT1648" s="352"/>
      <c r="AU1648" s="352"/>
      <c r="AV1648" s="352"/>
      <c r="AW1648" s="352" t="s">
        <v>254</v>
      </c>
    </row>
    <row r="1649" spans="2:49" x14ac:dyDescent="0.2">
      <c r="B1649" s="460" t="s">
        <v>2853</v>
      </c>
      <c r="C1649" s="460">
        <v>2133</v>
      </c>
      <c r="D1649" s="460" t="s">
        <v>2368</v>
      </c>
      <c r="E1649" s="460" t="s">
        <v>1138</v>
      </c>
      <c r="F1649" s="460">
        <v>3</v>
      </c>
      <c r="G1649" s="460">
        <v>4</v>
      </c>
      <c r="H1649" s="461" t="s">
        <v>748</v>
      </c>
      <c r="I1649" s="461" t="s">
        <v>765</v>
      </c>
      <c r="J1649" s="461" t="s">
        <v>700</v>
      </c>
      <c r="K1649" s="594"/>
      <c r="L1649" s="594"/>
      <c r="M1649" s="352">
        <v>2000</v>
      </c>
      <c r="N1649" s="352" t="s">
        <v>703</v>
      </c>
      <c r="O1649" s="460">
        <v>2133</v>
      </c>
      <c r="P1649" s="460" t="s">
        <v>1881</v>
      </c>
      <c r="Q1649" s="460" t="s">
        <v>2440</v>
      </c>
      <c r="R1649" s="460">
        <v>2133</v>
      </c>
      <c r="S1649" s="460" t="s">
        <v>1138</v>
      </c>
      <c r="T1649" s="462">
        <v>1</v>
      </c>
      <c r="U1649" s="460" t="s">
        <v>1138</v>
      </c>
      <c r="V1649" s="475">
        <v>0</v>
      </c>
      <c r="W1649" s="463" t="s">
        <v>2268</v>
      </c>
      <c r="X1649" s="463" t="s">
        <v>2268</v>
      </c>
      <c r="Y1649" s="463" t="s">
        <v>2267</v>
      </c>
      <c r="Z1649" s="463"/>
      <c r="AA1649" s="463"/>
      <c r="AB1649" s="464">
        <v>0</v>
      </c>
      <c r="AC1649" s="465">
        <v>0</v>
      </c>
      <c r="AD1649" s="465">
        <v>0</v>
      </c>
      <c r="AE1649" s="476">
        <v>0</v>
      </c>
      <c r="AF1649" s="467">
        <v>0</v>
      </c>
      <c r="AG1649" s="468">
        <v>0</v>
      </c>
      <c r="AH1649" s="218">
        <v>0</v>
      </c>
      <c r="AI1649" s="470">
        <v>0</v>
      </c>
      <c r="AJ1649" s="471">
        <v>0</v>
      </c>
      <c r="AK1649" s="218">
        <v>0</v>
      </c>
      <c r="AL1649" s="470">
        <v>0</v>
      </c>
      <c r="AM1649" s="471">
        <v>0</v>
      </c>
      <c r="AN1649" s="477">
        <v>17.908762752463812</v>
      </c>
      <c r="AO1649" s="473">
        <v>0.15828099177201232</v>
      </c>
      <c r="AP1649" s="474">
        <v>1.8581245670362449E-2</v>
      </c>
      <c r="AQ1649" s="352"/>
      <c r="AR1649" s="352"/>
      <c r="AS1649" s="352"/>
      <c r="AT1649" s="352"/>
      <c r="AU1649" s="352"/>
      <c r="AV1649" s="352"/>
      <c r="AW1649" s="352" t="s">
        <v>254</v>
      </c>
    </row>
    <row r="1650" spans="2:49" x14ac:dyDescent="0.2">
      <c r="B1650" s="460" t="s">
        <v>2854</v>
      </c>
      <c r="C1650" s="460">
        <v>2133</v>
      </c>
      <c r="D1650" s="460" t="s">
        <v>2369</v>
      </c>
      <c r="E1650" s="460" t="s">
        <v>1139</v>
      </c>
      <c r="F1650" s="460">
        <v>4</v>
      </c>
      <c r="G1650" s="460">
        <v>4</v>
      </c>
      <c r="H1650" s="461" t="s">
        <v>748</v>
      </c>
      <c r="I1650" s="461" t="s">
        <v>765</v>
      </c>
      <c r="J1650" s="461" t="s">
        <v>700</v>
      </c>
      <c r="K1650" s="594"/>
      <c r="L1650" s="594"/>
      <c r="M1650" s="352">
        <v>2000</v>
      </c>
      <c r="N1650" s="352" t="s">
        <v>703</v>
      </c>
      <c r="O1650" s="460">
        <v>2133</v>
      </c>
      <c r="P1650" s="460" t="s">
        <v>1881</v>
      </c>
      <c r="Q1650" s="460" t="s">
        <v>2440</v>
      </c>
      <c r="R1650" s="460">
        <v>2133</v>
      </c>
      <c r="S1650" s="460" t="s">
        <v>1139</v>
      </c>
      <c r="T1650" s="462">
        <v>1</v>
      </c>
      <c r="U1650" s="460" t="s">
        <v>1139</v>
      </c>
      <c r="V1650" s="475">
        <v>0</v>
      </c>
      <c r="W1650" s="463" t="s">
        <v>2268</v>
      </c>
      <c r="X1650" s="463" t="s">
        <v>2268</v>
      </c>
      <c r="Y1650" s="463" t="s">
        <v>2267</v>
      </c>
      <c r="Z1650" s="463"/>
      <c r="AA1650" s="463"/>
      <c r="AB1650" s="464">
        <v>0</v>
      </c>
      <c r="AC1650" s="465">
        <v>0</v>
      </c>
      <c r="AD1650" s="465">
        <v>0</v>
      </c>
      <c r="AE1650" s="476">
        <v>0</v>
      </c>
      <c r="AF1650" s="467">
        <v>0</v>
      </c>
      <c r="AG1650" s="468">
        <v>0</v>
      </c>
      <c r="AH1650" s="218">
        <v>0</v>
      </c>
      <c r="AI1650" s="470">
        <v>0</v>
      </c>
      <c r="AJ1650" s="471">
        <v>0</v>
      </c>
      <c r="AK1650" s="218">
        <v>0</v>
      </c>
      <c r="AL1650" s="470">
        <v>0</v>
      </c>
      <c r="AM1650" s="471">
        <v>0</v>
      </c>
      <c r="AN1650" s="477">
        <v>0</v>
      </c>
      <c r="AO1650" s="473">
        <v>0</v>
      </c>
      <c r="AP1650" s="474">
        <v>0</v>
      </c>
      <c r="AQ1650" s="352"/>
      <c r="AR1650" s="352"/>
      <c r="AS1650" s="352"/>
      <c r="AT1650" s="352"/>
      <c r="AU1650" s="352"/>
      <c r="AV1650" s="352"/>
      <c r="AW1650" s="352" t="s">
        <v>254</v>
      </c>
    </row>
    <row r="1651" spans="2:49" x14ac:dyDescent="0.2">
      <c r="B1651" s="460" t="s">
        <v>2851</v>
      </c>
      <c r="C1651" s="460">
        <v>2133</v>
      </c>
      <c r="D1651" s="460" t="s">
        <v>2370</v>
      </c>
      <c r="E1651" s="460" t="s">
        <v>1136</v>
      </c>
      <c r="F1651" s="460">
        <v>1</v>
      </c>
      <c r="G1651" s="460">
        <v>4</v>
      </c>
      <c r="H1651" s="461" t="s">
        <v>752</v>
      </c>
      <c r="I1651" s="461" t="s">
        <v>964</v>
      </c>
      <c r="J1651" s="461" t="s">
        <v>752</v>
      </c>
      <c r="K1651" s="594"/>
      <c r="L1651" s="594"/>
      <c r="M1651" s="352">
        <v>2000</v>
      </c>
      <c r="N1651" s="352" t="s">
        <v>703</v>
      </c>
      <c r="O1651" s="460">
        <v>2133</v>
      </c>
      <c r="P1651" s="460" t="s">
        <v>1881</v>
      </c>
      <c r="Q1651" s="460" t="s">
        <v>2440</v>
      </c>
      <c r="R1651" s="460">
        <v>2133</v>
      </c>
      <c r="S1651" s="460" t="s">
        <v>1136</v>
      </c>
      <c r="T1651" s="462">
        <v>1</v>
      </c>
      <c r="U1651" s="460" t="s">
        <v>1136</v>
      </c>
      <c r="V1651" s="475">
        <v>0</v>
      </c>
      <c r="W1651" s="463" t="s">
        <v>2267</v>
      </c>
      <c r="X1651" s="463" t="s">
        <v>2267</v>
      </c>
      <c r="Y1651" s="463" t="s">
        <v>2267</v>
      </c>
      <c r="Z1651" s="463"/>
      <c r="AA1651" s="463"/>
      <c r="AB1651" s="464">
        <v>3.2802447544609312</v>
      </c>
      <c r="AC1651" s="465">
        <v>1.5279786868650707E-2</v>
      </c>
      <c r="AD1651" s="465">
        <v>1.062269026017695E-3</v>
      </c>
      <c r="AE1651" s="476">
        <v>3.2802447544609312</v>
      </c>
      <c r="AF1651" s="467">
        <v>1.5279786868650707E-2</v>
      </c>
      <c r="AG1651" s="468">
        <v>1.062269026017695E-3</v>
      </c>
      <c r="AH1651" s="218">
        <v>3.2802447544609312</v>
      </c>
      <c r="AI1651" s="470">
        <v>1.5279786868650707E-2</v>
      </c>
      <c r="AJ1651" s="471">
        <v>8.9680158732719222E-4</v>
      </c>
      <c r="AK1651" s="218">
        <v>3.2802447544609312</v>
      </c>
      <c r="AL1651" s="470">
        <v>1.5279786868650707E-2</v>
      </c>
      <c r="AM1651" s="471">
        <v>8.9680158732719222E-4</v>
      </c>
      <c r="AN1651" s="477">
        <v>3.2802447544609312</v>
      </c>
      <c r="AO1651" s="473">
        <v>1.5279786868650707E-2</v>
      </c>
      <c r="AP1651" s="474">
        <v>8.9680158732719222E-4</v>
      </c>
      <c r="AQ1651" s="352"/>
      <c r="AR1651" s="352"/>
      <c r="AS1651" s="352"/>
      <c r="AT1651" s="352"/>
      <c r="AU1651" s="352"/>
      <c r="AV1651" s="352"/>
      <c r="AW1651" s="352" t="s">
        <v>254</v>
      </c>
    </row>
    <row r="1652" spans="2:49" x14ac:dyDescent="0.2">
      <c r="B1652" s="460" t="s">
        <v>2852</v>
      </c>
      <c r="C1652" s="460">
        <v>2133</v>
      </c>
      <c r="D1652" s="460" t="s">
        <v>2371</v>
      </c>
      <c r="E1652" s="460" t="s">
        <v>1137</v>
      </c>
      <c r="F1652" s="460">
        <v>2</v>
      </c>
      <c r="G1652" s="460">
        <v>4</v>
      </c>
      <c r="H1652" s="461" t="s">
        <v>752</v>
      </c>
      <c r="I1652" s="461" t="s">
        <v>964</v>
      </c>
      <c r="J1652" s="461" t="s">
        <v>752</v>
      </c>
      <c r="K1652" s="594"/>
      <c r="L1652" s="594"/>
      <c r="M1652" s="352">
        <v>2000</v>
      </c>
      <c r="N1652" s="352" t="s">
        <v>703</v>
      </c>
      <c r="O1652" s="460">
        <v>2133</v>
      </c>
      <c r="P1652" s="460" t="s">
        <v>1881</v>
      </c>
      <c r="Q1652" s="460" t="s">
        <v>2440</v>
      </c>
      <c r="R1652" s="460">
        <v>2133</v>
      </c>
      <c r="S1652" s="460" t="s">
        <v>1137</v>
      </c>
      <c r="T1652" s="462">
        <v>1</v>
      </c>
      <c r="U1652" s="460" t="s">
        <v>1137</v>
      </c>
      <c r="V1652" s="475">
        <v>0</v>
      </c>
      <c r="W1652" s="463" t="s">
        <v>2267</v>
      </c>
      <c r="X1652" s="463" t="s">
        <v>2267</v>
      </c>
      <c r="Y1652" s="463" t="s">
        <v>2267</v>
      </c>
      <c r="Z1652" s="463"/>
      <c r="AA1652" s="463"/>
      <c r="AB1652" s="464">
        <v>1.1390172746222642</v>
      </c>
      <c r="AC1652" s="465">
        <v>3.7797415349629412E-3</v>
      </c>
      <c r="AD1652" s="465">
        <v>1.1145163331572342E-4</v>
      </c>
      <c r="AE1652" s="476">
        <v>1.1390172746222642</v>
      </c>
      <c r="AF1652" s="467">
        <v>3.7797415349629412E-3</v>
      </c>
      <c r="AG1652" s="468">
        <v>1.1145163331572342E-4</v>
      </c>
      <c r="AH1652" s="218">
        <v>1.1390172746222642</v>
      </c>
      <c r="AI1652" s="470">
        <v>3.7797415349629412E-3</v>
      </c>
      <c r="AJ1652" s="471">
        <v>1.1049335662076582E-4</v>
      </c>
      <c r="AK1652" s="218">
        <v>1.1390172746222642</v>
      </c>
      <c r="AL1652" s="470">
        <v>3.7797415349629412E-3</v>
      </c>
      <c r="AM1652" s="471">
        <v>1.1049335662076582E-4</v>
      </c>
      <c r="AN1652" s="477">
        <v>1.1390172746222642</v>
      </c>
      <c r="AO1652" s="473">
        <v>3.7797415349629412E-3</v>
      </c>
      <c r="AP1652" s="474">
        <v>1.1049335662076582E-4</v>
      </c>
      <c r="AQ1652" s="352"/>
      <c r="AR1652" s="352"/>
      <c r="AS1652" s="352"/>
      <c r="AT1652" s="352"/>
      <c r="AU1652" s="352"/>
      <c r="AV1652" s="352"/>
      <c r="AW1652" s="352" t="s">
        <v>254</v>
      </c>
    </row>
    <row r="1653" spans="2:49" x14ac:dyDescent="0.2">
      <c r="B1653" s="460" t="s">
        <v>2853</v>
      </c>
      <c r="C1653" s="460">
        <v>2133</v>
      </c>
      <c r="D1653" s="460" t="s">
        <v>2372</v>
      </c>
      <c r="E1653" s="460" t="s">
        <v>1138</v>
      </c>
      <c r="F1653" s="460">
        <v>3</v>
      </c>
      <c r="G1653" s="460">
        <v>4</v>
      </c>
      <c r="H1653" s="461" t="s">
        <v>752</v>
      </c>
      <c r="I1653" s="461" t="s">
        <v>964</v>
      </c>
      <c r="J1653" s="461" t="s">
        <v>752</v>
      </c>
      <c r="K1653" s="594"/>
      <c r="L1653" s="594"/>
      <c r="M1653" s="352">
        <v>2000</v>
      </c>
      <c r="N1653" s="352" t="s">
        <v>703</v>
      </c>
      <c r="O1653" s="460">
        <v>2133</v>
      </c>
      <c r="P1653" s="460" t="s">
        <v>1881</v>
      </c>
      <c r="Q1653" s="460" t="s">
        <v>2440</v>
      </c>
      <c r="R1653" s="460">
        <v>2133</v>
      </c>
      <c r="S1653" s="460" t="s">
        <v>1138</v>
      </c>
      <c r="T1653" s="462">
        <v>1</v>
      </c>
      <c r="U1653" s="460" t="s">
        <v>1138</v>
      </c>
      <c r="V1653" s="475">
        <v>0</v>
      </c>
      <c r="W1653" s="463" t="s">
        <v>2267</v>
      </c>
      <c r="X1653" s="463" t="s">
        <v>2267</v>
      </c>
      <c r="Y1653" s="463" t="s">
        <v>2267</v>
      </c>
      <c r="Z1653" s="463"/>
      <c r="AA1653" s="463"/>
      <c r="AB1653" s="464">
        <v>4.4922637371945129</v>
      </c>
      <c r="AC1653" s="465">
        <v>3.9703466367422405E-2</v>
      </c>
      <c r="AD1653" s="465">
        <v>7.7591926789260515E-4</v>
      </c>
      <c r="AE1653" s="476">
        <v>4.4922637371945129</v>
      </c>
      <c r="AF1653" s="467">
        <v>3.9703466367422405E-2</v>
      </c>
      <c r="AG1653" s="468">
        <v>7.7591926789260515E-4</v>
      </c>
      <c r="AH1653" s="218">
        <v>4.4922637371945129</v>
      </c>
      <c r="AI1653" s="470">
        <v>3.9703466367422405E-2</v>
      </c>
      <c r="AJ1653" s="471">
        <v>7.4528071871216353E-4</v>
      </c>
      <c r="AK1653" s="218">
        <v>4.4922637371945129</v>
      </c>
      <c r="AL1653" s="470">
        <v>3.9703466367422405E-2</v>
      </c>
      <c r="AM1653" s="471">
        <v>7.4528071871216353E-4</v>
      </c>
      <c r="AN1653" s="477">
        <v>4.4922637371945129</v>
      </c>
      <c r="AO1653" s="473">
        <v>3.9703466367422405E-2</v>
      </c>
      <c r="AP1653" s="474">
        <v>7.4528071871216353E-4</v>
      </c>
      <c r="AQ1653" s="352"/>
      <c r="AR1653" s="352"/>
      <c r="AS1653" s="352"/>
      <c r="AT1653" s="352"/>
      <c r="AU1653" s="352"/>
      <c r="AV1653" s="352"/>
      <c r="AW1653" s="352" t="s">
        <v>254</v>
      </c>
    </row>
    <row r="1654" spans="2:49" x14ac:dyDescent="0.2">
      <c r="B1654" s="460" t="s">
        <v>2854</v>
      </c>
      <c r="C1654" s="460">
        <v>2133</v>
      </c>
      <c r="D1654" s="460" t="s">
        <v>2373</v>
      </c>
      <c r="E1654" s="460" t="s">
        <v>1139</v>
      </c>
      <c r="F1654" s="460">
        <v>4</v>
      </c>
      <c r="G1654" s="460">
        <v>4</v>
      </c>
      <c r="H1654" s="461" t="s">
        <v>752</v>
      </c>
      <c r="I1654" s="461" t="s">
        <v>964</v>
      </c>
      <c r="J1654" s="461" t="s">
        <v>752</v>
      </c>
      <c r="K1654" s="594"/>
      <c r="L1654" s="594"/>
      <c r="M1654" s="352">
        <v>2000</v>
      </c>
      <c r="N1654" s="352" t="s">
        <v>703</v>
      </c>
      <c r="O1654" s="460">
        <v>2133</v>
      </c>
      <c r="P1654" s="460" t="s">
        <v>1881</v>
      </c>
      <c r="Q1654" s="460" t="s">
        <v>2440</v>
      </c>
      <c r="R1654" s="460">
        <v>2133</v>
      </c>
      <c r="S1654" s="460" t="s">
        <v>1139</v>
      </c>
      <c r="T1654" s="462">
        <v>1</v>
      </c>
      <c r="U1654" s="460" t="s">
        <v>1139</v>
      </c>
      <c r="V1654" s="475">
        <v>0</v>
      </c>
      <c r="W1654" s="463" t="s">
        <v>2267</v>
      </c>
      <c r="X1654" s="463" t="s">
        <v>2267</v>
      </c>
      <c r="Y1654" s="463" t="s">
        <v>2267</v>
      </c>
      <c r="Z1654" s="463"/>
      <c r="AA1654" s="463"/>
      <c r="AB1654" s="464">
        <v>69.864429787290021</v>
      </c>
      <c r="AC1654" s="465">
        <v>0.3940469728721146</v>
      </c>
      <c r="AD1654" s="465">
        <v>2.7853042906432024E-3</v>
      </c>
      <c r="AE1654" s="476">
        <v>69.864429787290021</v>
      </c>
      <c r="AF1654" s="467">
        <v>0.3940469728721146</v>
      </c>
      <c r="AG1654" s="468">
        <v>2.7853042906432024E-3</v>
      </c>
      <c r="AH1654" s="218">
        <v>69.864429787290021</v>
      </c>
      <c r="AI1654" s="470">
        <v>0.3940469728721146</v>
      </c>
      <c r="AJ1654" s="471">
        <v>2.5890256639709234E-3</v>
      </c>
      <c r="AK1654" s="218">
        <v>69.864429787290021</v>
      </c>
      <c r="AL1654" s="470">
        <v>0.3940469728721146</v>
      </c>
      <c r="AM1654" s="471">
        <v>2.5890256639709234E-3</v>
      </c>
      <c r="AN1654" s="477">
        <v>69.864429787290021</v>
      </c>
      <c r="AO1654" s="473">
        <v>0.3940469728721146</v>
      </c>
      <c r="AP1654" s="474">
        <v>2.5890256639709234E-3</v>
      </c>
      <c r="AQ1654" s="352"/>
      <c r="AR1654" s="352"/>
      <c r="AS1654" s="352"/>
      <c r="AT1654" s="352"/>
      <c r="AU1654" s="352"/>
      <c r="AV1654" s="352"/>
      <c r="AW1654" s="352" t="s">
        <v>254</v>
      </c>
    </row>
    <row r="1655" spans="2:49" x14ac:dyDescent="0.2">
      <c r="B1655" s="460" t="s">
        <v>2855</v>
      </c>
      <c r="C1655" s="460">
        <v>2133</v>
      </c>
      <c r="D1655" s="460" t="s">
        <v>2375</v>
      </c>
      <c r="E1655" s="460" t="s">
        <v>2376</v>
      </c>
      <c r="F1655" s="460">
        <v>1</v>
      </c>
      <c r="G1655" s="460">
        <v>5</v>
      </c>
      <c r="H1655" s="461" t="s">
        <v>754</v>
      </c>
      <c r="I1655" s="461" t="s">
        <v>1991</v>
      </c>
      <c r="J1655" s="461" t="s">
        <v>754</v>
      </c>
      <c r="K1655" s="594"/>
      <c r="L1655" s="594"/>
      <c r="M1655" s="352">
        <v>2000</v>
      </c>
      <c r="N1655" s="352" t="s">
        <v>703</v>
      </c>
      <c r="O1655" s="460">
        <v>2133</v>
      </c>
      <c r="P1655" s="460" t="s">
        <v>1881</v>
      </c>
      <c r="Q1655" s="460" t="s">
        <v>2377</v>
      </c>
      <c r="R1655" s="460">
        <v>2133</v>
      </c>
      <c r="S1655" s="460" t="s">
        <v>2376</v>
      </c>
      <c r="T1655" s="462">
        <v>1</v>
      </c>
      <c r="U1655" s="460" t="s">
        <v>2376</v>
      </c>
      <c r="V1655" s="475">
        <v>0</v>
      </c>
      <c r="W1655" s="463" t="s">
        <v>2278</v>
      </c>
      <c r="X1655" s="463" t="s">
        <v>2278</v>
      </c>
      <c r="Y1655" s="463" t="s">
        <v>2278</v>
      </c>
      <c r="Z1655" s="463"/>
      <c r="AA1655" s="463"/>
      <c r="AB1655" s="464">
        <v>831.39993426083822</v>
      </c>
      <c r="AC1655" s="465">
        <v>1</v>
      </c>
      <c r="AD1655" s="465">
        <v>1.3976704510856133E-3</v>
      </c>
      <c r="AE1655" s="476">
        <v>831.39993426083822</v>
      </c>
      <c r="AF1655" s="467">
        <v>1</v>
      </c>
      <c r="AG1655" s="468">
        <v>1.3976704510856133E-3</v>
      </c>
      <c r="AH1655" s="218">
        <v>831.39993426083822</v>
      </c>
      <c r="AI1655" s="470">
        <v>1</v>
      </c>
      <c r="AJ1655" s="471">
        <v>1.3976704510856133E-3</v>
      </c>
      <c r="AK1655" s="218">
        <v>831.39993426083822</v>
      </c>
      <c r="AL1655" s="470">
        <v>1</v>
      </c>
      <c r="AM1655" s="471">
        <v>1.3976704510856133E-3</v>
      </c>
      <c r="AN1655" s="477">
        <v>831.39993426083822</v>
      </c>
      <c r="AO1655" s="473">
        <v>1</v>
      </c>
      <c r="AP1655" s="474">
        <v>1.3976704510856133E-3</v>
      </c>
      <c r="AQ1655" s="352"/>
      <c r="AR1655" s="352"/>
      <c r="AS1655" s="352"/>
      <c r="AT1655" s="352"/>
      <c r="AU1655" s="352"/>
      <c r="AV1655" s="352"/>
      <c r="AW1655" s="352" t="s">
        <v>127</v>
      </c>
    </row>
    <row r="1656" spans="2:49" x14ac:dyDescent="0.2">
      <c r="B1656" s="460" t="s">
        <v>2856</v>
      </c>
      <c r="C1656" s="460">
        <v>2133</v>
      </c>
      <c r="D1656" s="460" t="s">
        <v>2379</v>
      </c>
      <c r="E1656" s="460" t="s">
        <v>2380</v>
      </c>
      <c r="F1656" s="460">
        <v>2</v>
      </c>
      <c r="G1656" s="460">
        <v>5</v>
      </c>
      <c r="H1656" s="461" t="s">
        <v>754</v>
      </c>
      <c r="I1656" s="461" t="s">
        <v>1991</v>
      </c>
      <c r="J1656" s="461" t="s">
        <v>754</v>
      </c>
      <c r="K1656" s="594"/>
      <c r="L1656" s="594"/>
      <c r="M1656" s="352">
        <v>2000</v>
      </c>
      <c r="N1656" s="352" t="s">
        <v>703</v>
      </c>
      <c r="O1656" s="460">
        <v>2133</v>
      </c>
      <c r="P1656" s="460" t="s">
        <v>1881</v>
      </c>
      <c r="Q1656" s="460" t="s">
        <v>2377</v>
      </c>
      <c r="R1656" s="460">
        <v>2133</v>
      </c>
      <c r="S1656" s="460" t="s">
        <v>2380</v>
      </c>
      <c r="T1656" s="462">
        <v>1</v>
      </c>
      <c r="U1656" s="460" t="s">
        <v>2380</v>
      </c>
      <c r="V1656" s="475">
        <v>0</v>
      </c>
      <c r="W1656" s="463" t="s">
        <v>2278</v>
      </c>
      <c r="X1656" s="463" t="s">
        <v>2278</v>
      </c>
      <c r="Y1656" s="463" t="s">
        <v>2278</v>
      </c>
      <c r="Z1656" s="463"/>
      <c r="AA1656" s="463"/>
      <c r="AB1656" s="464">
        <v>741.29548702126351</v>
      </c>
      <c r="AC1656" s="465">
        <v>1</v>
      </c>
      <c r="AD1656" s="465">
        <v>1.4597618159737139E-3</v>
      </c>
      <c r="AE1656" s="476">
        <v>741.29548702126351</v>
      </c>
      <c r="AF1656" s="467">
        <v>1</v>
      </c>
      <c r="AG1656" s="468">
        <v>1.4597618159737139E-3</v>
      </c>
      <c r="AH1656" s="218">
        <v>741.29548702126351</v>
      </c>
      <c r="AI1656" s="470">
        <v>1</v>
      </c>
      <c r="AJ1656" s="471">
        <v>1.4597618159737139E-3</v>
      </c>
      <c r="AK1656" s="218">
        <v>741.29548702126351</v>
      </c>
      <c r="AL1656" s="470">
        <v>1</v>
      </c>
      <c r="AM1656" s="471">
        <v>1.4597618159737139E-3</v>
      </c>
      <c r="AN1656" s="477">
        <v>741.29548702126351</v>
      </c>
      <c r="AO1656" s="473">
        <v>1</v>
      </c>
      <c r="AP1656" s="474">
        <v>1.4597618159737139E-3</v>
      </c>
      <c r="AQ1656" s="352"/>
      <c r="AR1656" s="352"/>
      <c r="AS1656" s="352"/>
      <c r="AT1656" s="352"/>
      <c r="AU1656" s="352"/>
      <c r="AV1656" s="352"/>
      <c r="AW1656" s="352" t="s">
        <v>127</v>
      </c>
    </row>
    <row r="1657" spans="2:49" x14ac:dyDescent="0.2">
      <c r="B1657" s="460" t="s">
        <v>2857</v>
      </c>
      <c r="C1657" s="460">
        <v>2133</v>
      </c>
      <c r="D1657" s="460" t="s">
        <v>2382</v>
      </c>
      <c r="E1657" s="460" t="s">
        <v>2383</v>
      </c>
      <c r="F1657" s="460">
        <v>3</v>
      </c>
      <c r="G1657" s="460">
        <v>5</v>
      </c>
      <c r="H1657" s="461" t="s">
        <v>754</v>
      </c>
      <c r="I1657" s="461" t="s">
        <v>1991</v>
      </c>
      <c r="J1657" s="461" t="s">
        <v>754</v>
      </c>
      <c r="K1657" s="594"/>
      <c r="L1657" s="594"/>
      <c r="M1657" s="352">
        <v>2000</v>
      </c>
      <c r="N1657" s="352" t="s">
        <v>703</v>
      </c>
      <c r="O1657" s="460">
        <v>2133</v>
      </c>
      <c r="P1657" s="460" t="s">
        <v>1881</v>
      </c>
      <c r="Q1657" s="460" t="s">
        <v>2377</v>
      </c>
      <c r="R1657" s="460">
        <v>2133</v>
      </c>
      <c r="S1657" s="460" t="s">
        <v>2383</v>
      </c>
      <c r="T1657" s="462">
        <v>1</v>
      </c>
      <c r="U1657" s="460" t="s">
        <v>2383</v>
      </c>
      <c r="V1657" s="475">
        <v>0</v>
      </c>
      <c r="W1657" s="463" t="s">
        <v>2278</v>
      </c>
      <c r="X1657" s="463" t="s">
        <v>2278</v>
      </c>
      <c r="Y1657" s="463" t="s">
        <v>2278</v>
      </c>
      <c r="Z1657" s="463"/>
      <c r="AA1657" s="463"/>
      <c r="AB1657" s="464">
        <v>111.75303010841969</v>
      </c>
      <c r="AC1657" s="465">
        <v>1</v>
      </c>
      <c r="AD1657" s="465">
        <v>9.933344792445154E-4</v>
      </c>
      <c r="AE1657" s="476">
        <v>111.75303010841969</v>
      </c>
      <c r="AF1657" s="467">
        <v>1</v>
      </c>
      <c r="AG1657" s="468">
        <v>9.933344792445154E-4</v>
      </c>
      <c r="AH1657" s="218">
        <v>111.75303010841969</v>
      </c>
      <c r="AI1657" s="470">
        <v>1</v>
      </c>
      <c r="AJ1657" s="471">
        <v>9.933344792445154E-4</v>
      </c>
      <c r="AK1657" s="218">
        <v>111.75303010841969</v>
      </c>
      <c r="AL1657" s="470">
        <v>1</v>
      </c>
      <c r="AM1657" s="471">
        <v>9.933344792445154E-4</v>
      </c>
      <c r="AN1657" s="477">
        <v>111.75303010841969</v>
      </c>
      <c r="AO1657" s="473">
        <v>1</v>
      </c>
      <c r="AP1657" s="474">
        <v>9.933344792445154E-4</v>
      </c>
      <c r="AQ1657" s="352"/>
      <c r="AR1657" s="352"/>
      <c r="AS1657" s="352"/>
      <c r="AT1657" s="352"/>
      <c r="AU1657" s="352"/>
      <c r="AV1657" s="352"/>
      <c r="AW1657" s="352" t="s">
        <v>127</v>
      </c>
    </row>
    <row r="1658" spans="2:49" x14ac:dyDescent="0.2">
      <c r="B1658" s="460" t="s">
        <v>2858</v>
      </c>
      <c r="C1658" s="460">
        <v>2133</v>
      </c>
      <c r="D1658" s="460" t="s">
        <v>2385</v>
      </c>
      <c r="E1658" s="460" t="s">
        <v>2386</v>
      </c>
      <c r="F1658" s="460">
        <v>4</v>
      </c>
      <c r="G1658" s="460">
        <v>5</v>
      </c>
      <c r="H1658" s="461" t="s">
        <v>754</v>
      </c>
      <c r="I1658" s="461" t="s">
        <v>1991</v>
      </c>
      <c r="J1658" s="461" t="s">
        <v>754</v>
      </c>
      <c r="K1658" s="594"/>
      <c r="L1658" s="594"/>
      <c r="M1658" s="352">
        <v>2000</v>
      </c>
      <c r="N1658" s="352" t="s">
        <v>703</v>
      </c>
      <c r="O1658" s="460">
        <v>2133</v>
      </c>
      <c r="P1658" s="460" t="s">
        <v>1881</v>
      </c>
      <c r="Q1658" s="460" t="s">
        <v>2377</v>
      </c>
      <c r="R1658" s="460">
        <v>2133</v>
      </c>
      <c r="S1658" s="460" t="s">
        <v>2386</v>
      </c>
      <c r="T1658" s="462">
        <v>1</v>
      </c>
      <c r="U1658" s="460" t="s">
        <v>2386</v>
      </c>
      <c r="V1658" s="475">
        <v>0</v>
      </c>
      <c r="W1658" s="463" t="s">
        <v>2278</v>
      </c>
      <c r="X1658" s="463" t="s">
        <v>2278</v>
      </c>
      <c r="Y1658" s="463" t="s">
        <v>2278</v>
      </c>
      <c r="Z1658" s="463"/>
      <c r="AA1658" s="463"/>
      <c r="AB1658" s="464">
        <v>180.74918987096436</v>
      </c>
      <c r="AC1658" s="465">
        <v>1</v>
      </c>
      <c r="AD1658" s="465">
        <v>3.3530307730217502E-3</v>
      </c>
      <c r="AE1658" s="476">
        <v>180.74918987096436</v>
      </c>
      <c r="AF1658" s="467">
        <v>1</v>
      </c>
      <c r="AG1658" s="468">
        <v>3.3530307730217502E-3</v>
      </c>
      <c r="AH1658" s="218">
        <v>180.74918987096436</v>
      </c>
      <c r="AI1658" s="470">
        <v>1</v>
      </c>
      <c r="AJ1658" s="471">
        <v>3.3530307730217502E-3</v>
      </c>
      <c r="AK1658" s="218">
        <v>180.74918987096436</v>
      </c>
      <c r="AL1658" s="470">
        <v>1</v>
      </c>
      <c r="AM1658" s="471">
        <v>3.3530307730217502E-3</v>
      </c>
      <c r="AN1658" s="477">
        <v>180.74918987096436</v>
      </c>
      <c r="AO1658" s="473">
        <v>1</v>
      </c>
      <c r="AP1658" s="474">
        <v>3.3530307730217502E-3</v>
      </c>
      <c r="AQ1658" s="352"/>
      <c r="AR1658" s="352"/>
      <c r="AS1658" s="352"/>
      <c r="AT1658" s="352"/>
      <c r="AU1658" s="352"/>
      <c r="AV1658" s="352"/>
      <c r="AW1658" s="352" t="s">
        <v>127</v>
      </c>
    </row>
    <row r="1659" spans="2:49" x14ac:dyDescent="0.2">
      <c r="B1659" s="460" t="s">
        <v>2859</v>
      </c>
      <c r="C1659" s="460">
        <v>2133</v>
      </c>
      <c r="D1659" s="460" t="s">
        <v>2388</v>
      </c>
      <c r="E1659" s="460" t="s">
        <v>2389</v>
      </c>
      <c r="F1659" s="460">
        <v>1</v>
      </c>
      <c r="G1659" s="460">
        <v>6</v>
      </c>
      <c r="H1659" s="461" t="s">
        <v>754</v>
      </c>
      <c r="I1659" s="461" t="s">
        <v>1991</v>
      </c>
      <c r="J1659" s="461" t="s">
        <v>754</v>
      </c>
      <c r="K1659" s="594"/>
      <c r="L1659" s="594"/>
      <c r="M1659" s="352">
        <v>2000</v>
      </c>
      <c r="N1659" s="352" t="s">
        <v>703</v>
      </c>
      <c r="O1659" s="460">
        <v>2133</v>
      </c>
      <c r="P1659" s="460" t="s">
        <v>1881</v>
      </c>
      <c r="Q1659" s="460" t="s">
        <v>2377</v>
      </c>
      <c r="R1659" s="460">
        <v>2133</v>
      </c>
      <c r="S1659" s="460" t="s">
        <v>2389</v>
      </c>
      <c r="T1659" s="462">
        <v>1</v>
      </c>
      <c r="U1659" s="460" t="s">
        <v>2389</v>
      </c>
      <c r="V1659" s="475">
        <v>0</v>
      </c>
      <c r="W1659" s="463" t="s">
        <v>2278</v>
      </c>
      <c r="X1659" s="463" t="s">
        <v>2278</v>
      </c>
      <c r="Y1659" s="463" t="s">
        <v>2278</v>
      </c>
      <c r="Z1659" s="463"/>
      <c r="AA1659" s="463"/>
      <c r="AB1659" s="464">
        <v>0</v>
      </c>
      <c r="AC1659" s="465">
        <v>0</v>
      </c>
      <c r="AD1659" s="465">
        <v>0</v>
      </c>
      <c r="AE1659" s="476">
        <v>0</v>
      </c>
      <c r="AF1659" s="467">
        <v>0</v>
      </c>
      <c r="AG1659" s="468">
        <v>0</v>
      </c>
      <c r="AH1659" s="218">
        <v>0</v>
      </c>
      <c r="AI1659" s="470">
        <v>0</v>
      </c>
      <c r="AJ1659" s="471">
        <v>0</v>
      </c>
      <c r="AK1659" s="218">
        <v>0</v>
      </c>
      <c r="AL1659" s="470">
        <v>0</v>
      </c>
      <c r="AM1659" s="471">
        <v>0</v>
      </c>
      <c r="AN1659" s="477">
        <v>0</v>
      </c>
      <c r="AO1659" s="473">
        <v>0</v>
      </c>
      <c r="AP1659" s="474">
        <v>0</v>
      </c>
      <c r="AQ1659" s="352"/>
      <c r="AR1659" s="352"/>
      <c r="AS1659" s="352"/>
      <c r="AT1659" s="352"/>
      <c r="AU1659" s="352"/>
      <c r="AV1659" s="352"/>
      <c r="AW1659" s="352" t="s">
        <v>127</v>
      </c>
    </row>
    <row r="1660" spans="2:49" x14ac:dyDescent="0.2">
      <c r="B1660" s="460" t="s">
        <v>2860</v>
      </c>
      <c r="C1660" s="460">
        <v>2133</v>
      </c>
      <c r="D1660" s="460" t="s">
        <v>2391</v>
      </c>
      <c r="E1660" s="460" t="s">
        <v>2392</v>
      </c>
      <c r="F1660" s="460">
        <v>2</v>
      </c>
      <c r="G1660" s="460">
        <v>6</v>
      </c>
      <c r="H1660" s="461" t="s">
        <v>754</v>
      </c>
      <c r="I1660" s="461" t="s">
        <v>1991</v>
      </c>
      <c r="J1660" s="461" t="s">
        <v>754</v>
      </c>
      <c r="K1660" s="594"/>
      <c r="L1660" s="594"/>
      <c r="M1660" s="352">
        <v>2000</v>
      </c>
      <c r="N1660" s="352" t="s">
        <v>703</v>
      </c>
      <c r="O1660" s="460">
        <v>2133</v>
      </c>
      <c r="P1660" s="460" t="s">
        <v>1881</v>
      </c>
      <c r="Q1660" s="460" t="s">
        <v>2377</v>
      </c>
      <c r="R1660" s="460">
        <v>2133</v>
      </c>
      <c r="S1660" s="460" t="s">
        <v>2392</v>
      </c>
      <c r="T1660" s="462">
        <v>1</v>
      </c>
      <c r="U1660" s="460" t="s">
        <v>2392</v>
      </c>
      <c r="V1660" s="475">
        <v>0</v>
      </c>
      <c r="W1660" s="463" t="s">
        <v>2278</v>
      </c>
      <c r="X1660" s="463" t="s">
        <v>2278</v>
      </c>
      <c r="Y1660" s="463" t="s">
        <v>2278</v>
      </c>
      <c r="Z1660" s="463"/>
      <c r="AA1660" s="463"/>
      <c r="AB1660" s="464">
        <v>0</v>
      </c>
      <c r="AC1660" s="465">
        <v>0</v>
      </c>
      <c r="AD1660" s="465">
        <v>0</v>
      </c>
      <c r="AE1660" s="476">
        <v>0</v>
      </c>
      <c r="AF1660" s="467">
        <v>0</v>
      </c>
      <c r="AG1660" s="468">
        <v>0</v>
      </c>
      <c r="AH1660" s="218">
        <v>0</v>
      </c>
      <c r="AI1660" s="470">
        <v>0</v>
      </c>
      <c r="AJ1660" s="471">
        <v>0</v>
      </c>
      <c r="AK1660" s="218">
        <v>0</v>
      </c>
      <c r="AL1660" s="470">
        <v>0</v>
      </c>
      <c r="AM1660" s="471">
        <v>0</v>
      </c>
      <c r="AN1660" s="477">
        <v>0</v>
      </c>
      <c r="AO1660" s="473">
        <v>0</v>
      </c>
      <c r="AP1660" s="474">
        <v>0</v>
      </c>
      <c r="AQ1660" s="352"/>
      <c r="AR1660" s="352"/>
      <c r="AS1660" s="352"/>
      <c r="AT1660" s="352"/>
      <c r="AU1660" s="352"/>
      <c r="AV1660" s="352"/>
      <c r="AW1660" s="352" t="s">
        <v>127</v>
      </c>
    </row>
    <row r="1661" spans="2:49" x14ac:dyDescent="0.2">
      <c r="B1661" s="460" t="s">
        <v>2861</v>
      </c>
      <c r="C1661" s="460">
        <v>2133</v>
      </c>
      <c r="D1661" s="460" t="s">
        <v>2394</v>
      </c>
      <c r="E1661" s="460" t="s">
        <v>2395</v>
      </c>
      <c r="F1661" s="460">
        <v>3</v>
      </c>
      <c r="G1661" s="460">
        <v>6</v>
      </c>
      <c r="H1661" s="461" t="s">
        <v>754</v>
      </c>
      <c r="I1661" s="461" t="s">
        <v>1991</v>
      </c>
      <c r="J1661" s="461" t="s">
        <v>754</v>
      </c>
      <c r="K1661" s="594"/>
      <c r="L1661" s="594"/>
      <c r="M1661" s="352">
        <v>2000</v>
      </c>
      <c r="N1661" s="352" t="s">
        <v>703</v>
      </c>
      <c r="O1661" s="460">
        <v>2133</v>
      </c>
      <c r="P1661" s="460" t="s">
        <v>1881</v>
      </c>
      <c r="Q1661" s="460" t="s">
        <v>2377</v>
      </c>
      <c r="R1661" s="460">
        <v>2133</v>
      </c>
      <c r="S1661" s="460" t="s">
        <v>2395</v>
      </c>
      <c r="T1661" s="462">
        <v>1</v>
      </c>
      <c r="U1661" s="460" t="s">
        <v>2395</v>
      </c>
      <c r="V1661" s="475">
        <v>0</v>
      </c>
      <c r="W1661" s="463" t="s">
        <v>2278</v>
      </c>
      <c r="X1661" s="463" t="s">
        <v>2278</v>
      </c>
      <c r="Y1661" s="463" t="s">
        <v>2278</v>
      </c>
      <c r="Z1661" s="463"/>
      <c r="AA1661" s="463"/>
      <c r="AB1661" s="464">
        <v>0</v>
      </c>
      <c r="AC1661" s="465">
        <v>0</v>
      </c>
      <c r="AD1661" s="465">
        <v>0</v>
      </c>
      <c r="AE1661" s="476">
        <v>0</v>
      </c>
      <c r="AF1661" s="467">
        <v>0</v>
      </c>
      <c r="AG1661" s="468">
        <v>0</v>
      </c>
      <c r="AH1661" s="218">
        <v>0</v>
      </c>
      <c r="AI1661" s="470">
        <v>0</v>
      </c>
      <c r="AJ1661" s="471">
        <v>0</v>
      </c>
      <c r="AK1661" s="218">
        <v>0</v>
      </c>
      <c r="AL1661" s="470">
        <v>0</v>
      </c>
      <c r="AM1661" s="471">
        <v>0</v>
      </c>
      <c r="AN1661" s="477">
        <v>0</v>
      </c>
      <c r="AO1661" s="473">
        <v>0</v>
      </c>
      <c r="AP1661" s="474">
        <v>0</v>
      </c>
      <c r="AQ1661" s="352"/>
      <c r="AR1661" s="352"/>
      <c r="AS1661" s="352"/>
      <c r="AT1661" s="352"/>
      <c r="AU1661" s="352"/>
      <c r="AV1661" s="352"/>
      <c r="AW1661" s="352" t="s">
        <v>127</v>
      </c>
    </row>
    <row r="1662" spans="2:49" x14ac:dyDescent="0.2">
      <c r="B1662" s="460" t="s">
        <v>2862</v>
      </c>
      <c r="C1662" s="460">
        <v>2133</v>
      </c>
      <c r="D1662" s="460" t="s">
        <v>2397</v>
      </c>
      <c r="E1662" s="460" t="s">
        <v>2398</v>
      </c>
      <c r="F1662" s="460">
        <v>4</v>
      </c>
      <c r="G1662" s="460">
        <v>6</v>
      </c>
      <c r="H1662" s="461" t="s">
        <v>754</v>
      </c>
      <c r="I1662" s="461" t="s">
        <v>1991</v>
      </c>
      <c r="J1662" s="461" t="s">
        <v>754</v>
      </c>
      <c r="K1662" s="594"/>
      <c r="L1662" s="594"/>
      <c r="M1662" s="352">
        <v>2000</v>
      </c>
      <c r="N1662" s="352" t="s">
        <v>703</v>
      </c>
      <c r="O1662" s="460">
        <v>2133</v>
      </c>
      <c r="P1662" s="460" t="s">
        <v>1881</v>
      </c>
      <c r="Q1662" s="460" t="s">
        <v>2377</v>
      </c>
      <c r="R1662" s="460">
        <v>2133</v>
      </c>
      <c r="S1662" s="460" t="s">
        <v>2398</v>
      </c>
      <c r="T1662" s="462">
        <v>1</v>
      </c>
      <c r="U1662" s="460" t="s">
        <v>2398</v>
      </c>
      <c r="V1662" s="475">
        <v>0</v>
      </c>
      <c r="W1662" s="463" t="s">
        <v>2278</v>
      </c>
      <c r="X1662" s="463" t="s">
        <v>2278</v>
      </c>
      <c r="Y1662" s="463" t="s">
        <v>2278</v>
      </c>
      <c r="Z1662" s="463"/>
      <c r="AA1662" s="463"/>
      <c r="AB1662" s="464">
        <v>0</v>
      </c>
      <c r="AC1662" s="465">
        <v>0</v>
      </c>
      <c r="AD1662" s="465">
        <v>0</v>
      </c>
      <c r="AE1662" s="476">
        <v>0</v>
      </c>
      <c r="AF1662" s="467">
        <v>0</v>
      </c>
      <c r="AG1662" s="468">
        <v>0</v>
      </c>
      <c r="AH1662" s="218">
        <v>0</v>
      </c>
      <c r="AI1662" s="470">
        <v>0</v>
      </c>
      <c r="AJ1662" s="471">
        <v>0</v>
      </c>
      <c r="AK1662" s="218">
        <v>0</v>
      </c>
      <c r="AL1662" s="470">
        <v>0</v>
      </c>
      <c r="AM1662" s="471">
        <v>0</v>
      </c>
      <c r="AN1662" s="477">
        <v>0</v>
      </c>
      <c r="AO1662" s="473">
        <v>0</v>
      </c>
      <c r="AP1662" s="474">
        <v>0</v>
      </c>
      <c r="AQ1662" s="352"/>
      <c r="AR1662" s="352"/>
      <c r="AS1662" s="352"/>
      <c r="AT1662" s="352"/>
      <c r="AU1662" s="352"/>
      <c r="AV1662" s="352"/>
      <c r="AW1662" s="352" t="s">
        <v>127</v>
      </c>
    </row>
    <row r="1663" spans="2:49" x14ac:dyDescent="0.2">
      <c r="B1663" s="460" t="s">
        <v>2863</v>
      </c>
      <c r="C1663" s="460">
        <v>2134</v>
      </c>
      <c r="D1663" s="460" t="s">
        <v>2264</v>
      </c>
      <c r="E1663" s="460" t="s">
        <v>2265</v>
      </c>
      <c r="F1663" s="460">
        <v>1</v>
      </c>
      <c r="G1663" s="460">
        <v>1</v>
      </c>
      <c r="H1663" s="461" t="s">
        <v>700</v>
      </c>
      <c r="I1663" s="461" t="s">
        <v>872</v>
      </c>
      <c r="J1663" s="461" t="s">
        <v>700</v>
      </c>
      <c r="K1663" s="594"/>
      <c r="L1663" s="594"/>
      <c r="M1663" s="352">
        <v>2000</v>
      </c>
      <c r="N1663" s="352" t="s">
        <v>703</v>
      </c>
      <c r="O1663" s="460">
        <v>2134</v>
      </c>
      <c r="P1663" s="460" t="s">
        <v>775</v>
      </c>
      <c r="Q1663" s="460" t="s">
        <v>2440</v>
      </c>
      <c r="R1663" s="460">
        <v>2134</v>
      </c>
      <c r="S1663" s="460" t="s">
        <v>2265</v>
      </c>
      <c r="T1663" s="462">
        <v>1</v>
      </c>
      <c r="U1663" s="460" t="s">
        <v>2265</v>
      </c>
      <c r="V1663" s="475">
        <v>0</v>
      </c>
      <c r="W1663" s="463" t="s">
        <v>2267</v>
      </c>
      <c r="X1663" s="463" t="s">
        <v>2267</v>
      </c>
      <c r="Y1663" s="463" t="s">
        <v>2268</v>
      </c>
      <c r="Z1663" s="463"/>
      <c r="AA1663" s="463"/>
      <c r="AB1663" s="464">
        <v>27.681674305140387</v>
      </c>
      <c r="AC1663" s="465">
        <v>0.52086291223607606</v>
      </c>
      <c r="AD1663" s="465">
        <v>2.567042125225336E-4</v>
      </c>
      <c r="AE1663" s="476">
        <v>27.681674305140387</v>
      </c>
      <c r="AF1663" s="467">
        <v>0.52086291223607606</v>
      </c>
      <c r="AG1663" s="468">
        <v>2.7421382456930231E-4</v>
      </c>
      <c r="AH1663" s="218">
        <v>27.681674305140387</v>
      </c>
      <c r="AI1663" s="470">
        <v>0.52086291223607606</v>
      </c>
      <c r="AJ1663" s="471">
        <v>2.639541539388847E-4</v>
      </c>
      <c r="AK1663" s="218">
        <v>27.681674305140387</v>
      </c>
      <c r="AL1663" s="470">
        <v>0.52086291223607606</v>
      </c>
      <c r="AM1663" s="471">
        <v>2.639541539388847E-4</v>
      </c>
      <c r="AN1663" s="477">
        <v>0</v>
      </c>
      <c r="AO1663" s="473">
        <v>0</v>
      </c>
      <c r="AP1663" s="474">
        <v>0</v>
      </c>
      <c r="AQ1663" s="352"/>
      <c r="AR1663" s="352"/>
      <c r="AS1663" s="352"/>
      <c r="AT1663" s="352"/>
      <c r="AU1663" s="352"/>
      <c r="AV1663" s="352"/>
      <c r="AW1663" s="352" t="s">
        <v>254</v>
      </c>
    </row>
    <row r="1664" spans="2:49" x14ac:dyDescent="0.2">
      <c r="B1664" s="460" t="s">
        <v>2864</v>
      </c>
      <c r="C1664" s="460">
        <v>2134</v>
      </c>
      <c r="D1664" s="460" t="s">
        <v>2270</v>
      </c>
      <c r="E1664" s="460" t="s">
        <v>2271</v>
      </c>
      <c r="F1664" s="460">
        <v>2</v>
      </c>
      <c r="G1664" s="460">
        <v>1</v>
      </c>
      <c r="H1664" s="461" t="s">
        <v>700</v>
      </c>
      <c r="I1664" s="461" t="s">
        <v>872</v>
      </c>
      <c r="J1664" s="461" t="s">
        <v>700</v>
      </c>
      <c r="K1664" s="594"/>
      <c r="L1664" s="594"/>
      <c r="M1664" s="352">
        <v>2000</v>
      </c>
      <c r="N1664" s="352" t="s">
        <v>703</v>
      </c>
      <c r="O1664" s="460">
        <v>2134</v>
      </c>
      <c r="P1664" s="460" t="s">
        <v>775</v>
      </c>
      <c r="Q1664" s="460" t="s">
        <v>2440</v>
      </c>
      <c r="R1664" s="460">
        <v>2134</v>
      </c>
      <c r="S1664" s="460" t="s">
        <v>2265</v>
      </c>
      <c r="T1664" s="462">
        <v>1</v>
      </c>
      <c r="U1664" s="460" t="s">
        <v>2271</v>
      </c>
      <c r="V1664" s="475">
        <v>0</v>
      </c>
      <c r="W1664" s="463" t="s">
        <v>2503</v>
      </c>
      <c r="X1664" s="463" t="s">
        <v>2267</v>
      </c>
      <c r="Y1664" s="463" t="s">
        <v>2268</v>
      </c>
      <c r="Z1664" s="463"/>
      <c r="AA1664" s="463"/>
      <c r="AB1664" s="464">
        <v>28.37638272458965</v>
      </c>
      <c r="AC1664" s="465">
        <v>0.48921047331973344</v>
      </c>
      <c r="AD1664" s="465">
        <v>3.5205990917554838E-4</v>
      </c>
      <c r="AE1664" s="476">
        <v>17.025829634753787</v>
      </c>
      <c r="AF1664" s="467">
        <v>0.29352628399184005</v>
      </c>
      <c r="AG1664" s="468">
        <v>2.2890820906992551E-4</v>
      </c>
      <c r="AH1664" s="218">
        <v>30.212364924156763</v>
      </c>
      <c r="AI1664" s="470">
        <v>0.52086291223607606</v>
      </c>
      <c r="AJ1664" s="471">
        <v>3.5669924936126843E-4</v>
      </c>
      <c r="AK1664" s="218">
        <v>30.212364924156763</v>
      </c>
      <c r="AL1664" s="470">
        <v>0.52086291223607606</v>
      </c>
      <c r="AM1664" s="471">
        <v>3.5669924936126843E-4</v>
      </c>
      <c r="AN1664" s="477">
        <v>0</v>
      </c>
      <c r="AO1664" s="473">
        <v>0</v>
      </c>
      <c r="AP1664" s="474">
        <v>0</v>
      </c>
      <c r="AQ1664" s="352"/>
      <c r="AR1664" s="352"/>
      <c r="AS1664" s="352"/>
      <c r="AT1664" s="352"/>
      <c r="AU1664" s="352"/>
      <c r="AV1664" s="352"/>
      <c r="AW1664" s="352" t="s">
        <v>254</v>
      </c>
    </row>
    <row r="1665" spans="2:49" x14ac:dyDescent="0.2">
      <c r="B1665" s="460" t="s">
        <v>2865</v>
      </c>
      <c r="C1665" s="460">
        <v>2134</v>
      </c>
      <c r="D1665" s="460" t="s">
        <v>2273</v>
      </c>
      <c r="E1665" s="460" t="s">
        <v>2274</v>
      </c>
      <c r="F1665" s="460">
        <v>3</v>
      </c>
      <c r="G1665" s="460">
        <v>1</v>
      </c>
      <c r="H1665" s="461" t="s">
        <v>700</v>
      </c>
      <c r="I1665" s="461" t="s">
        <v>872</v>
      </c>
      <c r="J1665" s="461" t="s">
        <v>700</v>
      </c>
      <c r="K1665" s="594"/>
      <c r="L1665" s="594"/>
      <c r="M1665" s="352">
        <v>2000</v>
      </c>
      <c r="N1665" s="352" t="s">
        <v>703</v>
      </c>
      <c r="O1665" s="460">
        <v>2134</v>
      </c>
      <c r="P1665" s="460" t="s">
        <v>775</v>
      </c>
      <c r="Q1665" s="460" t="s">
        <v>2440</v>
      </c>
      <c r="R1665" s="460">
        <v>2134</v>
      </c>
      <c r="S1665" s="460" t="s">
        <v>2265</v>
      </c>
      <c r="T1665" s="462">
        <v>0.74223365950407583</v>
      </c>
      <c r="U1665" s="460" t="s">
        <v>2274</v>
      </c>
      <c r="V1665" s="475">
        <v>0</v>
      </c>
      <c r="W1665" s="463" t="s">
        <v>2503</v>
      </c>
      <c r="X1665" s="463" t="s">
        <v>2267</v>
      </c>
      <c r="Y1665" s="463" t="s">
        <v>2268</v>
      </c>
      <c r="Z1665" s="463"/>
      <c r="AA1665" s="463"/>
      <c r="AB1665" s="464">
        <v>6.5503305587319582</v>
      </c>
      <c r="AC1665" s="465">
        <v>0.34949238417320455</v>
      </c>
      <c r="AD1665" s="465">
        <v>3.2404259748793985E-4</v>
      </c>
      <c r="AE1665" s="476">
        <v>3.9301983352391749</v>
      </c>
      <c r="AF1665" s="467">
        <v>0.20969543050392273</v>
      </c>
      <c r="AG1665" s="468">
        <v>2.1059671950374262E-4</v>
      </c>
      <c r="AH1665" s="218">
        <v>7.2458540272442065</v>
      </c>
      <c r="AI1665" s="470">
        <v>0.38660198544893298</v>
      </c>
      <c r="AJ1665" s="471">
        <v>2.8116873583624099E-4</v>
      </c>
      <c r="AK1665" s="218">
        <v>7.2458540272442065</v>
      </c>
      <c r="AL1665" s="470">
        <v>0.38660198544893298</v>
      </c>
      <c r="AM1665" s="471">
        <v>2.8116873583624099E-4</v>
      </c>
      <c r="AN1665" s="477">
        <v>0</v>
      </c>
      <c r="AO1665" s="473">
        <v>0</v>
      </c>
      <c r="AP1665" s="474">
        <v>0</v>
      </c>
      <c r="AQ1665" s="352"/>
      <c r="AR1665" s="352"/>
      <c r="AS1665" s="352"/>
      <c r="AT1665" s="352"/>
      <c r="AU1665" s="352"/>
      <c r="AV1665" s="352"/>
      <c r="AW1665" s="352" t="s">
        <v>254</v>
      </c>
    </row>
    <row r="1666" spans="2:49" x14ac:dyDescent="0.2">
      <c r="B1666" s="460" t="s">
        <v>2866</v>
      </c>
      <c r="C1666" s="460">
        <v>2134</v>
      </c>
      <c r="D1666" s="460" t="s">
        <v>2276</v>
      </c>
      <c r="E1666" s="460" t="s">
        <v>2277</v>
      </c>
      <c r="F1666" s="460">
        <v>4</v>
      </c>
      <c r="G1666" s="460">
        <v>1</v>
      </c>
      <c r="H1666" s="461" t="s">
        <v>700</v>
      </c>
      <c r="I1666" s="461" t="s">
        <v>872</v>
      </c>
      <c r="J1666" s="461" t="s">
        <v>700</v>
      </c>
      <c r="K1666" s="594"/>
      <c r="L1666" s="594"/>
      <c r="M1666" s="352">
        <v>2000</v>
      </c>
      <c r="N1666" s="352" t="s">
        <v>703</v>
      </c>
      <c r="O1666" s="460">
        <v>2134</v>
      </c>
      <c r="P1666" s="460" t="s">
        <v>775</v>
      </c>
      <c r="Q1666" s="460" t="s">
        <v>2440</v>
      </c>
      <c r="R1666" s="460">
        <v>2134</v>
      </c>
      <c r="S1666" s="460" t="s">
        <v>2277</v>
      </c>
      <c r="T1666" s="462">
        <v>1</v>
      </c>
      <c r="U1666" s="460" t="s">
        <v>2277</v>
      </c>
      <c r="V1666" s="475">
        <v>0</v>
      </c>
      <c r="W1666" s="463" t="s">
        <v>2503</v>
      </c>
      <c r="X1666" s="463" t="s">
        <v>2278</v>
      </c>
      <c r="Y1666" s="463" t="s">
        <v>2268</v>
      </c>
      <c r="Z1666" s="463"/>
      <c r="AA1666" s="463"/>
      <c r="AB1666" s="464">
        <v>2.9638439962854007E-2</v>
      </c>
      <c r="AC1666" s="465">
        <v>2.1395497025672957E-3</v>
      </c>
      <c r="AD1666" s="465">
        <v>1.1962695914546965E-4</v>
      </c>
      <c r="AE1666" s="476">
        <v>1.7783063977712402E-2</v>
      </c>
      <c r="AF1666" s="467">
        <v>1.2837298215403773E-3</v>
      </c>
      <c r="AG1666" s="468">
        <v>8.0241980681062419E-5</v>
      </c>
      <c r="AH1666" s="218">
        <v>2.9638439962854007E-2</v>
      </c>
      <c r="AI1666" s="470">
        <v>2.1395497025672957E-3</v>
      </c>
      <c r="AJ1666" s="471">
        <v>1.2818077517551537E-4</v>
      </c>
      <c r="AK1666" s="218">
        <v>2.9638439962854007E-2</v>
      </c>
      <c r="AL1666" s="470">
        <v>2.1395497025672957E-3</v>
      </c>
      <c r="AM1666" s="471">
        <v>1.2818077517551537E-4</v>
      </c>
      <c r="AN1666" s="477">
        <v>0</v>
      </c>
      <c r="AO1666" s="473">
        <v>0</v>
      </c>
      <c r="AP1666" s="474">
        <v>0</v>
      </c>
      <c r="AQ1666" s="352"/>
      <c r="AR1666" s="352"/>
      <c r="AS1666" s="352"/>
      <c r="AT1666" s="352"/>
      <c r="AU1666" s="352"/>
      <c r="AV1666" s="352"/>
      <c r="AW1666" s="352" t="s">
        <v>254</v>
      </c>
    </row>
    <row r="1667" spans="2:49" x14ac:dyDescent="0.2">
      <c r="B1667" s="460" t="s">
        <v>2863</v>
      </c>
      <c r="C1667" s="460">
        <v>2134</v>
      </c>
      <c r="D1667" s="460" t="s">
        <v>2279</v>
      </c>
      <c r="E1667" s="460" t="s">
        <v>2265</v>
      </c>
      <c r="F1667" s="460">
        <v>1</v>
      </c>
      <c r="G1667" s="460">
        <v>1</v>
      </c>
      <c r="H1667" s="461" t="s">
        <v>712</v>
      </c>
      <c r="I1667" s="461" t="s">
        <v>713</v>
      </c>
      <c r="J1667" s="461" t="s">
        <v>712</v>
      </c>
      <c r="K1667" s="594"/>
      <c r="L1667" s="594"/>
      <c r="M1667" s="352">
        <v>2000</v>
      </c>
      <c r="N1667" s="352" t="s">
        <v>703</v>
      </c>
      <c r="O1667" s="460">
        <v>2134</v>
      </c>
      <c r="P1667" s="460" t="s">
        <v>775</v>
      </c>
      <c r="Q1667" s="460" t="s">
        <v>2280</v>
      </c>
      <c r="R1667" s="460">
        <v>2134</v>
      </c>
      <c r="S1667" s="460" t="s">
        <v>2265</v>
      </c>
      <c r="T1667" s="462">
        <v>1</v>
      </c>
      <c r="U1667" s="460" t="s">
        <v>2265</v>
      </c>
      <c r="V1667" s="475">
        <v>0</v>
      </c>
      <c r="W1667" s="463" t="s">
        <v>713</v>
      </c>
      <c r="X1667" s="463" t="s">
        <v>713</v>
      </c>
      <c r="Y1667" s="463" t="s">
        <v>713</v>
      </c>
      <c r="Z1667" s="463"/>
      <c r="AA1667" s="463"/>
      <c r="AB1667" s="464">
        <v>25.464122131588699</v>
      </c>
      <c r="AC1667" s="465">
        <v>0.47913708776392394</v>
      </c>
      <c r="AD1667" s="465">
        <v>9.4068870874130657E-5</v>
      </c>
      <c r="AE1667" s="476">
        <v>25.464122131588699</v>
      </c>
      <c r="AF1667" s="467">
        <v>0.47913708776392394</v>
      </c>
      <c r="AG1667" s="468">
        <v>9.1735408730921791E-5</v>
      </c>
      <c r="AH1667" s="218">
        <v>25.464122131588699</v>
      </c>
      <c r="AI1667" s="470">
        <v>0.47913708776392394</v>
      </c>
      <c r="AJ1667" s="471">
        <v>9.3050742778729513E-5</v>
      </c>
      <c r="AK1667" s="218">
        <v>25.464122131588699</v>
      </c>
      <c r="AL1667" s="470">
        <v>0.47913708776392394</v>
      </c>
      <c r="AM1667" s="471">
        <v>9.3050742778729513E-5</v>
      </c>
      <c r="AN1667" s="477">
        <v>25.464122131588699</v>
      </c>
      <c r="AO1667" s="473">
        <v>0.47913708776392394</v>
      </c>
      <c r="AP1667" s="474">
        <v>9.3020423114817028E-5</v>
      </c>
      <c r="AQ1667" s="352"/>
      <c r="AR1667" s="352"/>
      <c r="AS1667" s="352"/>
      <c r="AT1667" s="352"/>
      <c r="AU1667" s="352"/>
      <c r="AV1667" s="352"/>
      <c r="AW1667" s="352" t="s">
        <v>254</v>
      </c>
    </row>
    <row r="1668" spans="2:49" x14ac:dyDescent="0.2">
      <c r="B1668" s="460" t="s">
        <v>2864</v>
      </c>
      <c r="C1668" s="460">
        <v>2134</v>
      </c>
      <c r="D1668" s="460" t="s">
        <v>2281</v>
      </c>
      <c r="E1668" s="460" t="s">
        <v>2271</v>
      </c>
      <c r="F1668" s="460">
        <v>2</v>
      </c>
      <c r="G1668" s="460">
        <v>1</v>
      </c>
      <c r="H1668" s="461" t="s">
        <v>712</v>
      </c>
      <c r="I1668" s="461" t="s">
        <v>713</v>
      </c>
      <c r="J1668" s="461" t="s">
        <v>712</v>
      </c>
      <c r="K1668" s="594"/>
      <c r="L1668" s="594"/>
      <c r="M1668" s="352">
        <v>2000</v>
      </c>
      <c r="N1668" s="352" t="s">
        <v>703</v>
      </c>
      <c r="O1668" s="460">
        <v>2134</v>
      </c>
      <c r="P1668" s="460" t="s">
        <v>775</v>
      </c>
      <c r="Q1668" s="460" t="s">
        <v>2280</v>
      </c>
      <c r="R1668" s="460">
        <v>2134</v>
      </c>
      <c r="S1668" s="460" t="s">
        <v>2265</v>
      </c>
      <c r="T1668" s="462">
        <v>1</v>
      </c>
      <c r="U1668" s="460" t="s">
        <v>2271</v>
      </c>
      <c r="V1668" s="475">
        <v>0</v>
      </c>
      <c r="W1668" s="463" t="s">
        <v>713</v>
      </c>
      <c r="X1668" s="463" t="s">
        <v>713</v>
      </c>
      <c r="Y1668" s="463" t="s">
        <v>713</v>
      </c>
      <c r="Z1668" s="463"/>
      <c r="AA1668" s="463"/>
      <c r="AB1668" s="464">
        <v>29.628063770658802</v>
      </c>
      <c r="AC1668" s="465">
        <v>0.51078952668026656</v>
      </c>
      <c r="AD1668" s="465">
        <v>1.2372444182490942E-4</v>
      </c>
      <c r="AE1668" s="476">
        <v>40.978616860494668</v>
      </c>
      <c r="AF1668" s="467">
        <v>0.70647371600816</v>
      </c>
      <c r="AG1668" s="468">
        <v>1.6678941940059201E-4</v>
      </c>
      <c r="AH1668" s="218">
        <v>27.792081571091689</v>
      </c>
      <c r="AI1668" s="470">
        <v>0.47913708776392394</v>
      </c>
      <c r="AJ1668" s="471">
        <v>1.1939882595613661E-4</v>
      </c>
      <c r="AK1668" s="218">
        <v>27.792081571091689</v>
      </c>
      <c r="AL1668" s="470">
        <v>0.47913708776392394</v>
      </c>
      <c r="AM1668" s="471">
        <v>1.1939882595613661E-4</v>
      </c>
      <c r="AN1668" s="477">
        <v>27.792081571091689</v>
      </c>
      <c r="AO1668" s="473">
        <v>0.47913708776392394</v>
      </c>
      <c r="AP1668" s="474">
        <v>1.1935690111148282E-4</v>
      </c>
      <c r="AQ1668" s="352"/>
      <c r="AR1668" s="352"/>
      <c r="AS1668" s="352"/>
      <c r="AT1668" s="352"/>
      <c r="AU1668" s="352"/>
      <c r="AV1668" s="352"/>
      <c r="AW1668" s="352" t="s">
        <v>254</v>
      </c>
    </row>
    <row r="1669" spans="2:49" x14ac:dyDescent="0.2">
      <c r="B1669" s="460" t="s">
        <v>2865</v>
      </c>
      <c r="C1669" s="460">
        <v>2134</v>
      </c>
      <c r="D1669" s="460" t="s">
        <v>2282</v>
      </c>
      <c r="E1669" s="460" t="s">
        <v>2274</v>
      </c>
      <c r="F1669" s="460">
        <v>3</v>
      </c>
      <c r="G1669" s="460">
        <v>1</v>
      </c>
      <c r="H1669" s="461" t="s">
        <v>712</v>
      </c>
      <c r="I1669" s="461" t="s">
        <v>713</v>
      </c>
      <c r="J1669" s="461" t="s">
        <v>712</v>
      </c>
      <c r="K1669" s="594"/>
      <c r="L1669" s="594"/>
      <c r="M1669" s="352">
        <v>2000</v>
      </c>
      <c r="N1669" s="352" t="s">
        <v>703</v>
      </c>
      <c r="O1669" s="460">
        <v>2134</v>
      </c>
      <c r="P1669" s="460" t="s">
        <v>775</v>
      </c>
      <c r="Q1669" s="460" t="s">
        <v>2280</v>
      </c>
      <c r="R1669" s="460">
        <v>2134</v>
      </c>
      <c r="S1669" s="460" t="s">
        <v>2265</v>
      </c>
      <c r="T1669" s="462">
        <v>0.74223365950407583</v>
      </c>
      <c r="U1669" s="460" t="s">
        <v>2274</v>
      </c>
      <c r="V1669" s="475">
        <v>0</v>
      </c>
      <c r="W1669" s="463" t="s">
        <v>713</v>
      </c>
      <c r="X1669" s="463" t="s">
        <v>713</v>
      </c>
      <c r="Y1669" s="463" t="s">
        <v>713</v>
      </c>
      <c r="Z1669" s="463"/>
      <c r="AA1669" s="463"/>
      <c r="AB1669" s="464">
        <v>12.192082310229694</v>
      </c>
      <c r="AC1669" s="465">
        <v>0.6505076158267955</v>
      </c>
      <c r="AD1669" s="465">
        <v>7.2972202971633308E-5</v>
      </c>
      <c r="AE1669" s="476">
        <v>14.812214533722477</v>
      </c>
      <c r="AF1669" s="467">
        <v>0.7903045694960773</v>
      </c>
      <c r="AG1669" s="468">
        <v>8.7838206690555914E-5</v>
      </c>
      <c r="AH1669" s="218">
        <v>11.496558841717444</v>
      </c>
      <c r="AI1669" s="470">
        <v>0.61339801455106702</v>
      </c>
      <c r="AJ1669" s="471">
        <v>7.2246338459111594E-5</v>
      </c>
      <c r="AK1669" s="218">
        <v>11.496558841717444</v>
      </c>
      <c r="AL1669" s="470">
        <v>0.61339801455106702</v>
      </c>
      <c r="AM1669" s="471">
        <v>7.2246338459111594E-5</v>
      </c>
      <c r="AN1669" s="477">
        <v>11.496558841717444</v>
      </c>
      <c r="AO1669" s="473">
        <v>0.61339801455106702</v>
      </c>
      <c r="AP1669" s="474">
        <v>7.2767523317762771E-5</v>
      </c>
      <c r="AQ1669" s="352"/>
      <c r="AR1669" s="352"/>
      <c r="AS1669" s="352"/>
      <c r="AT1669" s="352"/>
      <c r="AU1669" s="352"/>
      <c r="AV1669" s="352"/>
      <c r="AW1669" s="352" t="s">
        <v>254</v>
      </c>
    </row>
    <row r="1670" spans="2:49" x14ac:dyDescent="0.2">
      <c r="B1670" s="460" t="s">
        <v>2866</v>
      </c>
      <c r="C1670" s="460">
        <v>2134</v>
      </c>
      <c r="D1670" s="460" t="s">
        <v>2283</v>
      </c>
      <c r="E1670" s="460" t="s">
        <v>2277</v>
      </c>
      <c r="F1670" s="460">
        <v>4</v>
      </c>
      <c r="G1670" s="460">
        <v>1</v>
      </c>
      <c r="H1670" s="461" t="s">
        <v>712</v>
      </c>
      <c r="I1670" s="461" t="s">
        <v>713</v>
      </c>
      <c r="J1670" s="461" t="s">
        <v>712</v>
      </c>
      <c r="K1670" s="594"/>
      <c r="L1670" s="594"/>
      <c r="M1670" s="352">
        <v>2000</v>
      </c>
      <c r="N1670" s="352" t="s">
        <v>703</v>
      </c>
      <c r="O1670" s="460">
        <v>2134</v>
      </c>
      <c r="P1670" s="460" t="s">
        <v>775</v>
      </c>
      <c r="Q1670" s="460" t="s">
        <v>2280</v>
      </c>
      <c r="R1670" s="460">
        <v>2134</v>
      </c>
      <c r="S1670" s="460" t="s">
        <v>2277</v>
      </c>
      <c r="T1670" s="462">
        <v>1</v>
      </c>
      <c r="U1670" s="460" t="s">
        <v>2277</v>
      </c>
      <c r="V1670" s="475">
        <v>0</v>
      </c>
      <c r="W1670" s="463" t="s">
        <v>713</v>
      </c>
      <c r="X1670" s="463" t="s">
        <v>713</v>
      </c>
      <c r="Y1670" s="463" t="s">
        <v>713</v>
      </c>
      <c r="Z1670" s="463"/>
      <c r="AA1670" s="463"/>
      <c r="AB1670" s="464">
        <v>13.823014726864796</v>
      </c>
      <c r="AC1670" s="465">
        <v>0.99786045029743276</v>
      </c>
      <c r="AD1670" s="465">
        <v>7.1786715021702295E-5</v>
      </c>
      <c r="AE1670" s="476">
        <v>13.834870102849939</v>
      </c>
      <c r="AF1670" s="467">
        <v>0.99871627017845965</v>
      </c>
      <c r="AG1670" s="468">
        <v>7.183853129348425E-5</v>
      </c>
      <c r="AH1670" s="218">
        <v>13.823014726864796</v>
      </c>
      <c r="AI1670" s="470">
        <v>0.99786045029743276</v>
      </c>
      <c r="AJ1670" s="471">
        <v>7.1780551748902542E-5</v>
      </c>
      <c r="AK1670" s="218">
        <v>13.823014726864796</v>
      </c>
      <c r="AL1670" s="470">
        <v>0.99786045029743276</v>
      </c>
      <c r="AM1670" s="471">
        <v>7.1780551748902542E-5</v>
      </c>
      <c r="AN1670" s="477">
        <v>13.823014726864796</v>
      </c>
      <c r="AO1670" s="473">
        <v>0.99786045029743276</v>
      </c>
      <c r="AP1670" s="474">
        <v>7.1780909676450304E-5</v>
      </c>
      <c r="AQ1670" s="352"/>
      <c r="AR1670" s="352"/>
      <c r="AS1670" s="352"/>
      <c r="AT1670" s="352"/>
      <c r="AU1670" s="352"/>
      <c r="AV1670" s="352"/>
      <c r="AW1670" s="352" t="s">
        <v>254</v>
      </c>
    </row>
    <row r="1671" spans="2:49" x14ac:dyDescent="0.2">
      <c r="B1671" s="460" t="s">
        <v>2863</v>
      </c>
      <c r="C1671" s="460">
        <v>2134</v>
      </c>
      <c r="D1671" s="460" t="s">
        <v>2284</v>
      </c>
      <c r="E1671" s="460" t="s">
        <v>2265</v>
      </c>
      <c r="F1671" s="460">
        <v>1</v>
      </c>
      <c r="G1671" s="460">
        <v>1</v>
      </c>
      <c r="H1671" s="461" t="s">
        <v>746</v>
      </c>
      <c r="I1671" s="461" t="s">
        <v>762</v>
      </c>
      <c r="J1671" s="461" t="s">
        <v>700</v>
      </c>
      <c r="K1671" s="594"/>
      <c r="L1671" s="594"/>
      <c r="M1671" s="352">
        <v>2000</v>
      </c>
      <c r="N1671" s="352" t="s">
        <v>703</v>
      </c>
      <c r="O1671" s="460">
        <v>2134</v>
      </c>
      <c r="P1671" s="460" t="s">
        <v>775</v>
      </c>
      <c r="Q1671" s="460" t="s">
        <v>2444</v>
      </c>
      <c r="R1671" s="460">
        <v>2134</v>
      </c>
      <c r="S1671" s="460" t="s">
        <v>2265</v>
      </c>
      <c r="T1671" s="462">
        <v>1</v>
      </c>
      <c r="U1671" s="460" t="s">
        <v>2265</v>
      </c>
      <c r="V1671" s="475">
        <v>0</v>
      </c>
      <c r="W1671" s="463" t="s">
        <v>2268</v>
      </c>
      <c r="X1671" s="463" t="s">
        <v>2268</v>
      </c>
      <c r="Y1671" s="463" t="s">
        <v>2290</v>
      </c>
      <c r="Z1671" s="463"/>
      <c r="AA1671" s="463"/>
      <c r="AB1671" s="464">
        <v>0</v>
      </c>
      <c r="AC1671" s="465">
        <v>0</v>
      </c>
      <c r="AD1671" s="465">
        <v>0</v>
      </c>
      <c r="AE1671" s="476">
        <v>0</v>
      </c>
      <c r="AF1671" s="467">
        <v>0</v>
      </c>
      <c r="AG1671" s="468">
        <v>0</v>
      </c>
      <c r="AH1671" s="218">
        <v>0</v>
      </c>
      <c r="AI1671" s="470">
        <v>0</v>
      </c>
      <c r="AJ1671" s="471">
        <v>0</v>
      </c>
      <c r="AK1671" s="218">
        <v>0</v>
      </c>
      <c r="AL1671" s="470">
        <v>0</v>
      </c>
      <c r="AM1671" s="471">
        <v>0</v>
      </c>
      <c r="AN1671" s="477">
        <v>0</v>
      </c>
      <c r="AO1671" s="473">
        <v>0</v>
      </c>
      <c r="AP1671" s="474">
        <v>0</v>
      </c>
      <c r="AQ1671" s="352"/>
      <c r="AR1671" s="352"/>
      <c r="AS1671" s="352"/>
      <c r="AT1671" s="352"/>
      <c r="AU1671" s="352"/>
      <c r="AV1671" s="352"/>
      <c r="AW1671" s="352" t="s">
        <v>254</v>
      </c>
    </row>
    <row r="1672" spans="2:49" x14ac:dyDescent="0.2">
      <c r="B1672" s="460" t="s">
        <v>2864</v>
      </c>
      <c r="C1672" s="460">
        <v>2134</v>
      </c>
      <c r="D1672" s="460" t="s">
        <v>2285</v>
      </c>
      <c r="E1672" s="460" t="s">
        <v>2271</v>
      </c>
      <c r="F1672" s="460">
        <v>2</v>
      </c>
      <c r="G1672" s="460">
        <v>1</v>
      </c>
      <c r="H1672" s="461" t="s">
        <v>746</v>
      </c>
      <c r="I1672" s="461" t="s">
        <v>762</v>
      </c>
      <c r="J1672" s="461" t="s">
        <v>700</v>
      </c>
      <c r="K1672" s="594"/>
      <c r="L1672" s="594"/>
      <c r="M1672" s="352">
        <v>2000</v>
      </c>
      <c r="N1672" s="352" t="s">
        <v>703</v>
      </c>
      <c r="O1672" s="460">
        <v>2134</v>
      </c>
      <c r="P1672" s="460" t="s">
        <v>775</v>
      </c>
      <c r="Q1672" s="460" t="s">
        <v>2444</v>
      </c>
      <c r="R1672" s="460">
        <v>2134</v>
      </c>
      <c r="S1672" s="460" t="s">
        <v>2265</v>
      </c>
      <c r="T1672" s="462">
        <v>1</v>
      </c>
      <c r="U1672" s="460" t="s">
        <v>2271</v>
      </c>
      <c r="V1672" s="475">
        <v>0</v>
      </c>
      <c r="W1672" s="463" t="s">
        <v>2268</v>
      </c>
      <c r="X1672" s="463" t="s">
        <v>2268</v>
      </c>
      <c r="Y1672" s="463" t="s">
        <v>2290</v>
      </c>
      <c r="Z1672" s="463"/>
      <c r="AA1672" s="463"/>
      <c r="AB1672" s="464">
        <v>0</v>
      </c>
      <c r="AC1672" s="465">
        <v>0</v>
      </c>
      <c r="AD1672" s="465">
        <v>0</v>
      </c>
      <c r="AE1672" s="476">
        <v>0</v>
      </c>
      <c r="AF1672" s="467">
        <v>0</v>
      </c>
      <c r="AG1672" s="468">
        <v>0</v>
      </c>
      <c r="AH1672" s="218">
        <v>0</v>
      </c>
      <c r="AI1672" s="470">
        <v>0</v>
      </c>
      <c r="AJ1672" s="471">
        <v>0</v>
      </c>
      <c r="AK1672" s="218">
        <v>0</v>
      </c>
      <c r="AL1672" s="470">
        <v>0</v>
      </c>
      <c r="AM1672" s="471">
        <v>0</v>
      </c>
      <c r="AN1672" s="477">
        <v>0</v>
      </c>
      <c r="AO1672" s="473">
        <v>0</v>
      </c>
      <c r="AP1672" s="474">
        <v>0</v>
      </c>
      <c r="AQ1672" s="352"/>
      <c r="AR1672" s="352"/>
      <c r="AS1672" s="352"/>
      <c r="AT1672" s="352"/>
      <c r="AU1672" s="352"/>
      <c r="AV1672" s="352"/>
      <c r="AW1672" s="352" t="s">
        <v>254</v>
      </c>
    </row>
    <row r="1673" spans="2:49" x14ac:dyDescent="0.2">
      <c r="B1673" s="460" t="s">
        <v>2865</v>
      </c>
      <c r="C1673" s="460">
        <v>2134</v>
      </c>
      <c r="D1673" s="460" t="s">
        <v>2286</v>
      </c>
      <c r="E1673" s="460" t="s">
        <v>2274</v>
      </c>
      <c r="F1673" s="460">
        <v>3</v>
      </c>
      <c r="G1673" s="460">
        <v>1</v>
      </c>
      <c r="H1673" s="461" t="s">
        <v>746</v>
      </c>
      <c r="I1673" s="461" t="s">
        <v>762</v>
      </c>
      <c r="J1673" s="461" t="s">
        <v>700</v>
      </c>
      <c r="K1673" s="594"/>
      <c r="L1673" s="594"/>
      <c r="M1673" s="352">
        <v>2000</v>
      </c>
      <c r="N1673" s="352" t="s">
        <v>703</v>
      </c>
      <c r="O1673" s="460">
        <v>2134</v>
      </c>
      <c r="P1673" s="460" t="s">
        <v>775</v>
      </c>
      <c r="Q1673" s="460" t="s">
        <v>2444</v>
      </c>
      <c r="R1673" s="460">
        <v>2134</v>
      </c>
      <c r="S1673" s="460" t="s">
        <v>2265</v>
      </c>
      <c r="T1673" s="462">
        <v>0.74223365950407583</v>
      </c>
      <c r="U1673" s="460" t="s">
        <v>2274</v>
      </c>
      <c r="V1673" s="475">
        <v>0</v>
      </c>
      <c r="W1673" s="463" t="s">
        <v>2268</v>
      </c>
      <c r="X1673" s="463" t="s">
        <v>2268</v>
      </c>
      <c r="Y1673" s="463" t="s">
        <v>2290</v>
      </c>
      <c r="Z1673" s="463"/>
      <c r="AA1673" s="463"/>
      <c r="AB1673" s="464">
        <v>0</v>
      </c>
      <c r="AC1673" s="465">
        <v>0</v>
      </c>
      <c r="AD1673" s="465">
        <v>0</v>
      </c>
      <c r="AE1673" s="476">
        <v>0</v>
      </c>
      <c r="AF1673" s="467">
        <v>0</v>
      </c>
      <c r="AG1673" s="468">
        <v>0</v>
      </c>
      <c r="AH1673" s="218">
        <v>0</v>
      </c>
      <c r="AI1673" s="470">
        <v>0</v>
      </c>
      <c r="AJ1673" s="471">
        <v>0</v>
      </c>
      <c r="AK1673" s="218">
        <v>0</v>
      </c>
      <c r="AL1673" s="470">
        <v>0</v>
      </c>
      <c r="AM1673" s="471">
        <v>0</v>
      </c>
      <c r="AN1673" s="477">
        <v>0</v>
      </c>
      <c r="AO1673" s="473">
        <v>0</v>
      </c>
      <c r="AP1673" s="474">
        <v>0</v>
      </c>
      <c r="AQ1673" s="352"/>
      <c r="AR1673" s="352"/>
      <c r="AS1673" s="352"/>
      <c r="AT1673" s="352"/>
      <c r="AU1673" s="352"/>
      <c r="AV1673" s="352"/>
      <c r="AW1673" s="352" t="s">
        <v>254</v>
      </c>
    </row>
    <row r="1674" spans="2:49" x14ac:dyDescent="0.2">
      <c r="B1674" s="460" t="s">
        <v>2866</v>
      </c>
      <c r="C1674" s="460">
        <v>2134</v>
      </c>
      <c r="D1674" s="460" t="s">
        <v>2287</v>
      </c>
      <c r="E1674" s="460" t="s">
        <v>2277</v>
      </c>
      <c r="F1674" s="460">
        <v>4</v>
      </c>
      <c r="G1674" s="460">
        <v>1</v>
      </c>
      <c r="H1674" s="461" t="s">
        <v>746</v>
      </c>
      <c r="I1674" s="461" t="s">
        <v>762</v>
      </c>
      <c r="J1674" s="461" t="s">
        <v>700</v>
      </c>
      <c r="K1674" s="594"/>
      <c r="L1674" s="594"/>
      <c r="M1674" s="352">
        <v>2000</v>
      </c>
      <c r="N1674" s="352" t="s">
        <v>703</v>
      </c>
      <c r="O1674" s="460">
        <v>2134</v>
      </c>
      <c r="P1674" s="460" t="s">
        <v>775</v>
      </c>
      <c r="Q1674" s="460" t="s">
        <v>2444</v>
      </c>
      <c r="R1674" s="460">
        <v>2134</v>
      </c>
      <c r="S1674" s="460" t="s">
        <v>2277</v>
      </c>
      <c r="T1674" s="462">
        <v>1</v>
      </c>
      <c r="U1674" s="460" t="s">
        <v>2277</v>
      </c>
      <c r="V1674" s="475">
        <v>0</v>
      </c>
      <c r="W1674" s="463" t="s">
        <v>2268</v>
      </c>
      <c r="X1674" s="463" t="s">
        <v>2268</v>
      </c>
      <c r="Y1674" s="463" t="s">
        <v>2290</v>
      </c>
      <c r="Z1674" s="463"/>
      <c r="AA1674" s="463"/>
      <c r="AB1674" s="464">
        <v>0</v>
      </c>
      <c r="AC1674" s="465">
        <v>0</v>
      </c>
      <c r="AD1674" s="465">
        <v>0</v>
      </c>
      <c r="AE1674" s="476">
        <v>0</v>
      </c>
      <c r="AF1674" s="467">
        <v>0</v>
      </c>
      <c r="AG1674" s="468">
        <v>0</v>
      </c>
      <c r="AH1674" s="218">
        <v>0</v>
      </c>
      <c r="AI1674" s="470">
        <v>0</v>
      </c>
      <c r="AJ1674" s="471">
        <v>0</v>
      </c>
      <c r="AK1674" s="218">
        <v>0</v>
      </c>
      <c r="AL1674" s="470">
        <v>0</v>
      </c>
      <c r="AM1674" s="471">
        <v>0</v>
      </c>
      <c r="AN1674" s="477">
        <v>0</v>
      </c>
      <c r="AO1674" s="473">
        <v>0</v>
      </c>
      <c r="AP1674" s="474">
        <v>0</v>
      </c>
      <c r="AQ1674" s="352"/>
      <c r="AR1674" s="352"/>
      <c r="AS1674" s="352"/>
      <c r="AT1674" s="352"/>
      <c r="AU1674" s="352"/>
      <c r="AV1674" s="352"/>
      <c r="AW1674" s="352" t="s">
        <v>254</v>
      </c>
    </row>
    <row r="1675" spans="2:49" x14ac:dyDescent="0.2">
      <c r="B1675" s="460" t="s">
        <v>2863</v>
      </c>
      <c r="C1675" s="460">
        <v>2134</v>
      </c>
      <c r="D1675" s="460" t="s">
        <v>2288</v>
      </c>
      <c r="E1675" s="460" t="s">
        <v>2265</v>
      </c>
      <c r="F1675" s="460">
        <v>1</v>
      </c>
      <c r="G1675" s="460">
        <v>1</v>
      </c>
      <c r="H1675" s="461" t="s">
        <v>748</v>
      </c>
      <c r="I1675" s="461" t="s">
        <v>765</v>
      </c>
      <c r="J1675" s="461" t="s">
        <v>700</v>
      </c>
      <c r="K1675" s="594"/>
      <c r="L1675" s="594"/>
      <c r="M1675" s="352">
        <v>2000</v>
      </c>
      <c r="N1675" s="352" t="s">
        <v>703</v>
      </c>
      <c r="O1675" s="460">
        <v>2134</v>
      </c>
      <c r="P1675" s="460" t="s">
        <v>775</v>
      </c>
      <c r="Q1675" s="460" t="s">
        <v>2440</v>
      </c>
      <c r="R1675" s="460">
        <v>2134</v>
      </c>
      <c r="S1675" s="460" t="s">
        <v>2265</v>
      </c>
      <c r="T1675" s="462">
        <v>1</v>
      </c>
      <c r="U1675" s="460" t="s">
        <v>2265</v>
      </c>
      <c r="V1675" s="475">
        <v>0</v>
      </c>
      <c r="W1675" s="463" t="s">
        <v>2268</v>
      </c>
      <c r="X1675" s="463" t="s">
        <v>2268</v>
      </c>
      <c r="Y1675" s="463" t="s">
        <v>2267</v>
      </c>
      <c r="Z1675" s="463"/>
      <c r="AA1675" s="463"/>
      <c r="AB1675" s="464">
        <v>0</v>
      </c>
      <c r="AC1675" s="465">
        <v>0</v>
      </c>
      <c r="AD1675" s="465">
        <v>0</v>
      </c>
      <c r="AE1675" s="476">
        <v>0</v>
      </c>
      <c r="AF1675" s="467">
        <v>0</v>
      </c>
      <c r="AG1675" s="468">
        <v>0</v>
      </c>
      <c r="AH1675" s="218">
        <v>0</v>
      </c>
      <c r="AI1675" s="470">
        <v>0</v>
      </c>
      <c r="AJ1675" s="471">
        <v>0</v>
      </c>
      <c r="AK1675" s="218">
        <v>0</v>
      </c>
      <c r="AL1675" s="470">
        <v>0</v>
      </c>
      <c r="AM1675" s="471">
        <v>0</v>
      </c>
      <c r="AN1675" s="477">
        <v>27.681674305140387</v>
      </c>
      <c r="AO1675" s="473">
        <v>0.52086291223607606</v>
      </c>
      <c r="AP1675" s="474">
        <v>1.7190489180679976E-3</v>
      </c>
      <c r="AQ1675" s="352"/>
      <c r="AR1675" s="352"/>
      <c r="AS1675" s="352"/>
      <c r="AT1675" s="352"/>
      <c r="AU1675" s="352"/>
      <c r="AV1675" s="352"/>
      <c r="AW1675" s="352" t="s">
        <v>254</v>
      </c>
    </row>
    <row r="1676" spans="2:49" x14ac:dyDescent="0.2">
      <c r="B1676" s="460" t="s">
        <v>2864</v>
      </c>
      <c r="C1676" s="460">
        <v>2134</v>
      </c>
      <c r="D1676" s="460" t="s">
        <v>2291</v>
      </c>
      <c r="E1676" s="460" t="s">
        <v>2271</v>
      </c>
      <c r="F1676" s="460">
        <v>2</v>
      </c>
      <c r="G1676" s="460">
        <v>1</v>
      </c>
      <c r="H1676" s="461" t="s">
        <v>748</v>
      </c>
      <c r="I1676" s="461" t="s">
        <v>765</v>
      </c>
      <c r="J1676" s="461" t="s">
        <v>700</v>
      </c>
      <c r="K1676" s="594"/>
      <c r="L1676" s="594"/>
      <c r="M1676" s="352">
        <v>2000</v>
      </c>
      <c r="N1676" s="352" t="s">
        <v>703</v>
      </c>
      <c r="O1676" s="460">
        <v>2134</v>
      </c>
      <c r="P1676" s="460" t="s">
        <v>775</v>
      </c>
      <c r="Q1676" s="460" t="s">
        <v>2440</v>
      </c>
      <c r="R1676" s="460">
        <v>2134</v>
      </c>
      <c r="S1676" s="460" t="s">
        <v>2265</v>
      </c>
      <c r="T1676" s="462">
        <v>1</v>
      </c>
      <c r="U1676" s="460" t="s">
        <v>2271</v>
      </c>
      <c r="V1676" s="475">
        <v>0</v>
      </c>
      <c r="W1676" s="463" t="s">
        <v>2268</v>
      </c>
      <c r="X1676" s="463" t="s">
        <v>2268</v>
      </c>
      <c r="Y1676" s="463" t="s">
        <v>2267</v>
      </c>
      <c r="Z1676" s="463"/>
      <c r="AA1676" s="463"/>
      <c r="AB1676" s="464">
        <v>0</v>
      </c>
      <c r="AC1676" s="465">
        <v>0</v>
      </c>
      <c r="AD1676" s="465">
        <v>0</v>
      </c>
      <c r="AE1676" s="476">
        <v>0</v>
      </c>
      <c r="AF1676" s="467">
        <v>0</v>
      </c>
      <c r="AG1676" s="468">
        <v>0</v>
      </c>
      <c r="AH1676" s="218">
        <v>0</v>
      </c>
      <c r="AI1676" s="470">
        <v>0</v>
      </c>
      <c r="AJ1676" s="471">
        <v>0</v>
      </c>
      <c r="AK1676" s="218">
        <v>0</v>
      </c>
      <c r="AL1676" s="470">
        <v>0</v>
      </c>
      <c r="AM1676" s="471">
        <v>0</v>
      </c>
      <c r="AN1676" s="477">
        <v>30.212364924156763</v>
      </c>
      <c r="AO1676" s="473">
        <v>0.52086291223607606</v>
      </c>
      <c r="AP1676" s="474">
        <v>1.9216295949705106E-3</v>
      </c>
      <c r="AQ1676" s="352"/>
      <c r="AR1676" s="352"/>
      <c r="AS1676" s="352"/>
      <c r="AT1676" s="352"/>
      <c r="AU1676" s="352"/>
      <c r="AV1676" s="352"/>
      <c r="AW1676" s="352" t="s">
        <v>254</v>
      </c>
    </row>
    <row r="1677" spans="2:49" x14ac:dyDescent="0.2">
      <c r="B1677" s="460" t="s">
        <v>2865</v>
      </c>
      <c r="C1677" s="460">
        <v>2134</v>
      </c>
      <c r="D1677" s="460" t="s">
        <v>2292</v>
      </c>
      <c r="E1677" s="460" t="s">
        <v>2274</v>
      </c>
      <c r="F1677" s="460">
        <v>3</v>
      </c>
      <c r="G1677" s="460">
        <v>1</v>
      </c>
      <c r="H1677" s="461" t="s">
        <v>748</v>
      </c>
      <c r="I1677" s="461" t="s">
        <v>765</v>
      </c>
      <c r="J1677" s="461" t="s">
        <v>700</v>
      </c>
      <c r="K1677" s="594"/>
      <c r="L1677" s="594"/>
      <c r="M1677" s="352">
        <v>2000</v>
      </c>
      <c r="N1677" s="352" t="s">
        <v>703</v>
      </c>
      <c r="O1677" s="460">
        <v>2134</v>
      </c>
      <c r="P1677" s="460" t="s">
        <v>775</v>
      </c>
      <c r="Q1677" s="460" t="s">
        <v>2440</v>
      </c>
      <c r="R1677" s="460">
        <v>2134</v>
      </c>
      <c r="S1677" s="460" t="s">
        <v>2265</v>
      </c>
      <c r="T1677" s="462">
        <v>0.74223365950407583</v>
      </c>
      <c r="U1677" s="460" t="s">
        <v>2274</v>
      </c>
      <c r="V1677" s="475">
        <v>0</v>
      </c>
      <c r="W1677" s="463" t="s">
        <v>2268</v>
      </c>
      <c r="X1677" s="463" t="s">
        <v>2268</v>
      </c>
      <c r="Y1677" s="463" t="s">
        <v>2267</v>
      </c>
      <c r="Z1677" s="463"/>
      <c r="AA1677" s="463"/>
      <c r="AB1677" s="464">
        <v>0</v>
      </c>
      <c r="AC1677" s="465">
        <v>0</v>
      </c>
      <c r="AD1677" s="465">
        <v>0</v>
      </c>
      <c r="AE1677" s="476">
        <v>0</v>
      </c>
      <c r="AF1677" s="467">
        <v>0</v>
      </c>
      <c r="AG1677" s="468">
        <v>0</v>
      </c>
      <c r="AH1677" s="218">
        <v>0</v>
      </c>
      <c r="AI1677" s="470">
        <v>0</v>
      </c>
      <c r="AJ1677" s="471">
        <v>0</v>
      </c>
      <c r="AK1677" s="218">
        <v>0</v>
      </c>
      <c r="AL1677" s="470">
        <v>0</v>
      </c>
      <c r="AM1677" s="471">
        <v>0</v>
      </c>
      <c r="AN1677" s="477">
        <v>7.2458540272442065</v>
      </c>
      <c r="AO1677" s="473">
        <v>0.38660198544893298</v>
      </c>
      <c r="AP1677" s="474">
        <v>1.0201929835833448E-3</v>
      </c>
      <c r="AQ1677" s="352"/>
      <c r="AR1677" s="352"/>
      <c r="AS1677" s="352"/>
      <c r="AT1677" s="352"/>
      <c r="AU1677" s="352"/>
      <c r="AV1677" s="352"/>
      <c r="AW1677" s="352" t="s">
        <v>254</v>
      </c>
    </row>
    <row r="1678" spans="2:49" x14ac:dyDescent="0.2">
      <c r="B1678" s="460" t="s">
        <v>2866</v>
      </c>
      <c r="C1678" s="460">
        <v>2134</v>
      </c>
      <c r="D1678" s="460" t="s">
        <v>2293</v>
      </c>
      <c r="E1678" s="460" t="s">
        <v>2277</v>
      </c>
      <c r="F1678" s="460">
        <v>4</v>
      </c>
      <c r="G1678" s="460">
        <v>1</v>
      </c>
      <c r="H1678" s="461" t="s">
        <v>748</v>
      </c>
      <c r="I1678" s="461" t="s">
        <v>765</v>
      </c>
      <c r="J1678" s="461" t="s">
        <v>700</v>
      </c>
      <c r="K1678" s="594"/>
      <c r="L1678" s="594"/>
      <c r="M1678" s="352">
        <v>2000</v>
      </c>
      <c r="N1678" s="352" t="s">
        <v>703</v>
      </c>
      <c r="O1678" s="460">
        <v>2134</v>
      </c>
      <c r="P1678" s="460" t="s">
        <v>775</v>
      </c>
      <c r="Q1678" s="460" t="s">
        <v>2440</v>
      </c>
      <c r="R1678" s="460">
        <v>2134</v>
      </c>
      <c r="S1678" s="460" t="s">
        <v>2277</v>
      </c>
      <c r="T1678" s="462">
        <v>1</v>
      </c>
      <c r="U1678" s="460" t="s">
        <v>2277</v>
      </c>
      <c r="V1678" s="475">
        <v>0</v>
      </c>
      <c r="W1678" s="463" t="s">
        <v>2268</v>
      </c>
      <c r="X1678" s="463" t="s">
        <v>2268</v>
      </c>
      <c r="Y1678" s="463" t="s">
        <v>2278</v>
      </c>
      <c r="Z1678" s="463"/>
      <c r="AA1678" s="463"/>
      <c r="AB1678" s="464">
        <v>0</v>
      </c>
      <c r="AC1678" s="465">
        <v>0</v>
      </c>
      <c r="AD1678" s="465">
        <v>0</v>
      </c>
      <c r="AE1678" s="476">
        <v>0</v>
      </c>
      <c r="AF1678" s="467">
        <v>0</v>
      </c>
      <c r="AG1678" s="468">
        <v>0</v>
      </c>
      <c r="AH1678" s="218">
        <v>0</v>
      </c>
      <c r="AI1678" s="470">
        <v>0</v>
      </c>
      <c r="AJ1678" s="471">
        <v>0</v>
      </c>
      <c r="AK1678" s="218">
        <v>0</v>
      </c>
      <c r="AL1678" s="470">
        <v>0</v>
      </c>
      <c r="AM1678" s="471">
        <v>0</v>
      </c>
      <c r="AN1678" s="477">
        <v>2.9638439962854007E-2</v>
      </c>
      <c r="AO1678" s="473">
        <v>2.1395497025672957E-3</v>
      </c>
      <c r="AP1678" s="474">
        <v>7.1565476031674698E-4</v>
      </c>
      <c r="AQ1678" s="352"/>
      <c r="AR1678" s="352"/>
      <c r="AS1678" s="352"/>
      <c r="AT1678" s="352"/>
      <c r="AU1678" s="352"/>
      <c r="AV1678" s="352"/>
      <c r="AW1678" s="352" t="s">
        <v>254</v>
      </c>
    </row>
    <row r="1679" spans="2:49" x14ac:dyDescent="0.2">
      <c r="B1679" s="460" t="s">
        <v>2867</v>
      </c>
      <c r="C1679" s="460">
        <v>2134</v>
      </c>
      <c r="D1679" s="460" t="s">
        <v>2295</v>
      </c>
      <c r="E1679" s="460" t="s">
        <v>2296</v>
      </c>
      <c r="F1679" s="460">
        <v>1</v>
      </c>
      <c r="G1679" s="460">
        <v>2</v>
      </c>
      <c r="H1679" s="461" t="s">
        <v>700</v>
      </c>
      <c r="I1679" s="461" t="s">
        <v>872</v>
      </c>
      <c r="J1679" s="461" t="s">
        <v>700</v>
      </c>
      <c r="K1679" s="594"/>
      <c r="L1679" s="594"/>
      <c r="M1679" s="352">
        <v>2000</v>
      </c>
      <c r="N1679" s="352" t="s">
        <v>703</v>
      </c>
      <c r="O1679" s="460">
        <v>2134</v>
      </c>
      <c r="P1679" s="460" t="s">
        <v>775</v>
      </c>
      <c r="Q1679" s="460" t="s">
        <v>2440</v>
      </c>
      <c r="R1679" s="460">
        <v>2134</v>
      </c>
      <c r="S1679" s="460" t="s">
        <v>2296</v>
      </c>
      <c r="T1679" s="462">
        <v>1</v>
      </c>
      <c r="U1679" s="460" t="s">
        <v>2296</v>
      </c>
      <c r="V1679" s="475">
        <v>0</v>
      </c>
      <c r="W1679" s="463" t="s">
        <v>2267</v>
      </c>
      <c r="X1679" s="463" t="s">
        <v>2267</v>
      </c>
      <c r="Y1679" s="463" t="s">
        <v>2268</v>
      </c>
      <c r="Z1679" s="463"/>
      <c r="AA1679" s="463"/>
      <c r="AB1679" s="464">
        <v>3.4081455601979949</v>
      </c>
      <c r="AC1679" s="465">
        <v>0.15876573896972082</v>
      </c>
      <c r="AD1679" s="465">
        <v>1.9908248164999609E-4</v>
      </c>
      <c r="AE1679" s="476">
        <v>3.4081455601979949</v>
      </c>
      <c r="AF1679" s="467">
        <v>0.15876573896972082</v>
      </c>
      <c r="AG1679" s="468">
        <v>2.2129102322009846E-4</v>
      </c>
      <c r="AH1679" s="218">
        <v>3.4081455601979949</v>
      </c>
      <c r="AI1679" s="470">
        <v>0.15876573896972082</v>
      </c>
      <c r="AJ1679" s="471">
        <v>2.0330727735654776E-4</v>
      </c>
      <c r="AK1679" s="218">
        <v>3.4081455601979949</v>
      </c>
      <c r="AL1679" s="470">
        <v>0.15876573896972082</v>
      </c>
      <c r="AM1679" s="471">
        <v>2.0330727735654776E-4</v>
      </c>
      <c r="AN1679" s="477">
        <v>0</v>
      </c>
      <c r="AO1679" s="473">
        <v>0</v>
      </c>
      <c r="AP1679" s="474">
        <v>0</v>
      </c>
      <c r="AQ1679" s="352"/>
      <c r="AR1679" s="352"/>
      <c r="AS1679" s="352"/>
      <c r="AT1679" s="352"/>
      <c r="AU1679" s="352"/>
      <c r="AV1679" s="352"/>
      <c r="AW1679" s="352" t="s">
        <v>254</v>
      </c>
    </row>
    <row r="1680" spans="2:49" x14ac:dyDescent="0.2">
      <c r="B1680" s="460" t="s">
        <v>2868</v>
      </c>
      <c r="C1680" s="460">
        <v>2134</v>
      </c>
      <c r="D1680" s="460" t="s">
        <v>2298</v>
      </c>
      <c r="E1680" s="460" t="s">
        <v>2299</v>
      </c>
      <c r="F1680" s="460">
        <v>2</v>
      </c>
      <c r="G1680" s="460">
        <v>2</v>
      </c>
      <c r="H1680" s="461" t="s">
        <v>700</v>
      </c>
      <c r="I1680" s="461" t="s">
        <v>872</v>
      </c>
      <c r="J1680" s="461" t="s">
        <v>700</v>
      </c>
      <c r="K1680" s="594"/>
      <c r="L1680" s="594"/>
      <c r="M1680" s="352">
        <v>2000</v>
      </c>
      <c r="N1680" s="352" t="s">
        <v>703</v>
      </c>
      <c r="O1680" s="460">
        <v>2134</v>
      </c>
      <c r="P1680" s="460" t="s">
        <v>775</v>
      </c>
      <c r="Q1680" s="460" t="s">
        <v>2440</v>
      </c>
      <c r="R1680" s="460">
        <v>2134</v>
      </c>
      <c r="S1680" s="460" t="s">
        <v>2296</v>
      </c>
      <c r="T1680" s="462">
        <v>0.55517361979372948</v>
      </c>
      <c r="U1680" s="460" t="s">
        <v>2299</v>
      </c>
      <c r="V1680" s="475">
        <v>0</v>
      </c>
      <c r="W1680" s="463" t="s">
        <v>2503</v>
      </c>
      <c r="X1680" s="463" t="s">
        <v>2267</v>
      </c>
      <c r="Y1680" s="463" t="s">
        <v>2268</v>
      </c>
      <c r="Z1680" s="463"/>
      <c r="AA1680" s="463"/>
      <c r="AB1680" s="464">
        <v>1.0071209375832506</v>
      </c>
      <c r="AC1680" s="465">
        <v>0.17323531033862252</v>
      </c>
      <c r="AD1680" s="465">
        <v>3.0473408302496838E-4</v>
      </c>
      <c r="AE1680" s="476">
        <v>0.60427256254995032</v>
      </c>
      <c r="AF1680" s="467">
        <v>0.10394118620317351</v>
      </c>
      <c r="AG1680" s="468">
        <v>2.0518227832260711E-4</v>
      </c>
      <c r="AH1680" s="218">
        <v>1.0071209375832506</v>
      </c>
      <c r="AI1680" s="470">
        <v>0.17323531033862252</v>
      </c>
      <c r="AJ1680" s="471">
        <v>2.3716447102126834E-4</v>
      </c>
      <c r="AK1680" s="218">
        <v>1.0071209375832506</v>
      </c>
      <c r="AL1680" s="470">
        <v>0.17323531033862252</v>
      </c>
      <c r="AM1680" s="471">
        <v>2.3716447102126834E-4</v>
      </c>
      <c r="AN1680" s="477">
        <v>0</v>
      </c>
      <c r="AO1680" s="473">
        <v>0</v>
      </c>
      <c r="AP1680" s="474">
        <v>0</v>
      </c>
      <c r="AQ1680" s="352"/>
      <c r="AR1680" s="352"/>
      <c r="AS1680" s="352"/>
      <c r="AT1680" s="352"/>
      <c r="AU1680" s="352"/>
      <c r="AV1680" s="352"/>
      <c r="AW1680" s="352" t="s">
        <v>254</v>
      </c>
    </row>
    <row r="1681" spans="2:49" x14ac:dyDescent="0.2">
      <c r="B1681" s="460" t="s">
        <v>2869</v>
      </c>
      <c r="C1681" s="460">
        <v>2134</v>
      </c>
      <c r="D1681" s="460" t="s">
        <v>2301</v>
      </c>
      <c r="E1681" s="460" t="s">
        <v>2302</v>
      </c>
      <c r="F1681" s="460">
        <v>3</v>
      </c>
      <c r="G1681" s="460">
        <v>2</v>
      </c>
      <c r="H1681" s="461" t="s">
        <v>700</v>
      </c>
      <c r="I1681" s="461" t="s">
        <v>872</v>
      </c>
      <c r="J1681" s="461" t="s">
        <v>700</v>
      </c>
      <c r="K1681" s="594"/>
      <c r="L1681" s="594"/>
      <c r="M1681" s="352">
        <v>2000</v>
      </c>
      <c r="N1681" s="352" t="s">
        <v>703</v>
      </c>
      <c r="O1681" s="460">
        <v>2134</v>
      </c>
      <c r="P1681" s="460" t="s">
        <v>775</v>
      </c>
      <c r="Q1681" s="460" t="s">
        <v>2440</v>
      </c>
      <c r="R1681" s="460">
        <v>2134</v>
      </c>
      <c r="S1681" s="460" t="s">
        <v>2296</v>
      </c>
      <c r="T1681" s="462">
        <v>0.28481449642268464</v>
      </c>
      <c r="U1681" s="460" t="s">
        <v>2302</v>
      </c>
      <c r="V1681" s="475">
        <v>0</v>
      </c>
      <c r="W1681" s="463" t="s">
        <v>2503</v>
      </c>
      <c r="X1681" s="463" t="s">
        <v>2267</v>
      </c>
      <c r="Y1681" s="463" t="s">
        <v>2268</v>
      </c>
      <c r="Z1681" s="463"/>
      <c r="AA1681" s="463"/>
      <c r="AB1681" s="464">
        <v>7.4347144818270289E-2</v>
      </c>
      <c r="AC1681" s="465">
        <v>2.3968218545505127E-2</v>
      </c>
      <c r="AD1681" s="465">
        <v>1.4461544598368811E-4</v>
      </c>
      <c r="AE1681" s="476">
        <v>4.4608286890962169E-2</v>
      </c>
      <c r="AF1681" s="467">
        <v>1.4380931127303076E-2</v>
      </c>
      <c r="AG1681" s="468">
        <v>9.7913779332640098E-5</v>
      </c>
      <c r="AH1681" s="218">
        <v>0.14026438701370697</v>
      </c>
      <c r="AI1681" s="470">
        <v>4.5218783993836435E-2</v>
      </c>
      <c r="AJ1681" s="471">
        <v>1.4561111429442559E-4</v>
      </c>
      <c r="AK1681" s="218">
        <v>0.14026438701370697</v>
      </c>
      <c r="AL1681" s="470">
        <v>4.5218783993836435E-2</v>
      </c>
      <c r="AM1681" s="471">
        <v>1.4561111429442559E-4</v>
      </c>
      <c r="AN1681" s="477">
        <v>0</v>
      </c>
      <c r="AO1681" s="473">
        <v>0</v>
      </c>
      <c r="AP1681" s="474">
        <v>0</v>
      </c>
      <c r="AQ1681" s="352"/>
      <c r="AR1681" s="352"/>
      <c r="AS1681" s="352"/>
      <c r="AT1681" s="352"/>
      <c r="AU1681" s="352"/>
      <c r="AV1681" s="352"/>
      <c r="AW1681" s="352" t="s">
        <v>254</v>
      </c>
    </row>
    <row r="1682" spans="2:49" x14ac:dyDescent="0.2">
      <c r="B1682" s="460" t="s">
        <v>2870</v>
      </c>
      <c r="C1682" s="460">
        <v>2134</v>
      </c>
      <c r="D1682" s="460" t="s">
        <v>2304</v>
      </c>
      <c r="E1682" s="460" t="s">
        <v>2305</v>
      </c>
      <c r="F1682" s="460">
        <v>4</v>
      </c>
      <c r="G1682" s="460">
        <v>2</v>
      </c>
      <c r="H1682" s="461" t="s">
        <v>700</v>
      </c>
      <c r="I1682" s="461" t="s">
        <v>872</v>
      </c>
      <c r="J1682" s="461" t="s">
        <v>700</v>
      </c>
      <c r="K1682" s="594"/>
      <c r="L1682" s="594"/>
      <c r="M1682" s="352">
        <v>2000</v>
      </c>
      <c r="N1682" s="352" t="s">
        <v>703</v>
      </c>
      <c r="O1682" s="460">
        <v>2134</v>
      </c>
      <c r="P1682" s="460" t="s">
        <v>775</v>
      </c>
      <c r="Q1682" s="460" t="s">
        <v>2440</v>
      </c>
      <c r="R1682" s="460">
        <v>2134</v>
      </c>
      <c r="S1682" s="460" t="s">
        <v>2305</v>
      </c>
      <c r="T1682" s="462">
        <v>1</v>
      </c>
      <c r="U1682" s="460" t="s">
        <v>2305</v>
      </c>
      <c r="V1682" s="475">
        <v>0</v>
      </c>
      <c r="W1682" s="463" t="s">
        <v>2503</v>
      </c>
      <c r="X1682" s="463" t="s">
        <v>2278</v>
      </c>
      <c r="Y1682" s="463" t="s">
        <v>2268</v>
      </c>
      <c r="Z1682" s="463"/>
      <c r="AA1682" s="463"/>
      <c r="AB1682" s="464">
        <v>0</v>
      </c>
      <c r="AC1682" s="465">
        <v>0</v>
      </c>
      <c r="AD1682" s="465">
        <v>0</v>
      </c>
      <c r="AE1682" s="476">
        <v>0</v>
      </c>
      <c r="AF1682" s="467">
        <v>0</v>
      </c>
      <c r="AG1682" s="468">
        <v>0</v>
      </c>
      <c r="AH1682" s="218">
        <v>0</v>
      </c>
      <c r="AI1682" s="470">
        <v>0</v>
      </c>
      <c r="AJ1682" s="471">
        <v>0</v>
      </c>
      <c r="AK1682" s="218">
        <v>0</v>
      </c>
      <c r="AL1682" s="470">
        <v>0</v>
      </c>
      <c r="AM1682" s="471">
        <v>0</v>
      </c>
      <c r="AN1682" s="477">
        <v>0</v>
      </c>
      <c r="AO1682" s="473">
        <v>0</v>
      </c>
      <c r="AP1682" s="474">
        <v>0</v>
      </c>
      <c r="AQ1682" s="352"/>
      <c r="AR1682" s="352"/>
      <c r="AS1682" s="352"/>
      <c r="AT1682" s="352"/>
      <c r="AU1682" s="352"/>
      <c r="AV1682" s="352"/>
      <c r="AW1682" s="352" t="s">
        <v>254</v>
      </c>
    </row>
    <row r="1683" spans="2:49" x14ac:dyDescent="0.2">
      <c r="B1683" s="460" t="s">
        <v>2867</v>
      </c>
      <c r="C1683" s="460">
        <v>2134</v>
      </c>
      <c r="D1683" s="460" t="s">
        <v>2306</v>
      </c>
      <c r="E1683" s="460" t="s">
        <v>2296</v>
      </c>
      <c r="F1683" s="460">
        <v>1</v>
      </c>
      <c r="G1683" s="460">
        <v>2</v>
      </c>
      <c r="H1683" s="461" t="s">
        <v>712</v>
      </c>
      <c r="I1683" s="461" t="s">
        <v>713</v>
      </c>
      <c r="J1683" s="461" t="s">
        <v>712</v>
      </c>
      <c r="K1683" s="594"/>
      <c r="L1683" s="594"/>
      <c r="M1683" s="352">
        <v>2000</v>
      </c>
      <c r="N1683" s="352" t="s">
        <v>703</v>
      </c>
      <c r="O1683" s="460">
        <v>2134</v>
      </c>
      <c r="P1683" s="460" t="s">
        <v>775</v>
      </c>
      <c r="Q1683" s="460" t="s">
        <v>2280</v>
      </c>
      <c r="R1683" s="460">
        <v>2134</v>
      </c>
      <c r="S1683" s="460" t="s">
        <v>2296</v>
      </c>
      <c r="T1683" s="462">
        <v>1</v>
      </c>
      <c r="U1683" s="460" t="s">
        <v>2296</v>
      </c>
      <c r="V1683" s="475">
        <v>0</v>
      </c>
      <c r="W1683" s="463" t="s">
        <v>713</v>
      </c>
      <c r="X1683" s="463" t="s">
        <v>713</v>
      </c>
      <c r="Y1683" s="463" t="s">
        <v>713</v>
      </c>
      <c r="Z1683" s="463"/>
      <c r="AA1683" s="463"/>
      <c r="AB1683" s="464">
        <v>18.05835963364602</v>
      </c>
      <c r="AC1683" s="465">
        <v>0.84123426103027921</v>
      </c>
      <c r="AD1683" s="465">
        <v>1.5618633493491674E-4</v>
      </c>
      <c r="AE1683" s="476">
        <v>18.05835963364602</v>
      </c>
      <c r="AF1683" s="467">
        <v>0.84123426103027921</v>
      </c>
      <c r="AG1683" s="468">
        <v>1.5389945611172512E-4</v>
      </c>
      <c r="AH1683" s="218">
        <v>18.05835963364602</v>
      </c>
      <c r="AI1683" s="470">
        <v>0.84123426103027921</v>
      </c>
      <c r="AJ1683" s="471">
        <v>1.5570725117221022E-4</v>
      </c>
      <c r="AK1683" s="218">
        <v>18.05835963364602</v>
      </c>
      <c r="AL1683" s="470">
        <v>0.84123426103027921</v>
      </c>
      <c r="AM1683" s="471">
        <v>1.5570725117221022E-4</v>
      </c>
      <c r="AN1683" s="477">
        <v>18.05835963364602</v>
      </c>
      <c r="AO1683" s="473">
        <v>0.84123426103027921</v>
      </c>
      <c r="AP1683" s="474">
        <v>1.5566903846927512E-4</v>
      </c>
      <c r="AQ1683" s="352"/>
      <c r="AR1683" s="352"/>
      <c r="AS1683" s="352"/>
      <c r="AT1683" s="352"/>
      <c r="AU1683" s="352"/>
      <c r="AV1683" s="352"/>
      <c r="AW1683" s="352" t="s">
        <v>254</v>
      </c>
    </row>
    <row r="1684" spans="2:49" x14ac:dyDescent="0.2">
      <c r="B1684" s="460" t="s">
        <v>2868</v>
      </c>
      <c r="C1684" s="460">
        <v>2134</v>
      </c>
      <c r="D1684" s="460" t="s">
        <v>2307</v>
      </c>
      <c r="E1684" s="460" t="s">
        <v>2299</v>
      </c>
      <c r="F1684" s="460">
        <v>2</v>
      </c>
      <c r="G1684" s="460">
        <v>2</v>
      </c>
      <c r="H1684" s="461" t="s">
        <v>712</v>
      </c>
      <c r="I1684" s="461" t="s">
        <v>713</v>
      </c>
      <c r="J1684" s="461" t="s">
        <v>712</v>
      </c>
      <c r="K1684" s="594"/>
      <c r="L1684" s="594"/>
      <c r="M1684" s="352">
        <v>2000</v>
      </c>
      <c r="N1684" s="352" t="s">
        <v>703</v>
      </c>
      <c r="O1684" s="460">
        <v>2134</v>
      </c>
      <c r="P1684" s="460" t="s">
        <v>775</v>
      </c>
      <c r="Q1684" s="460" t="s">
        <v>2280</v>
      </c>
      <c r="R1684" s="460">
        <v>2134</v>
      </c>
      <c r="S1684" s="460" t="s">
        <v>2296</v>
      </c>
      <c r="T1684" s="462">
        <v>0.55517361979372948</v>
      </c>
      <c r="U1684" s="460" t="s">
        <v>2299</v>
      </c>
      <c r="V1684" s="475">
        <v>0</v>
      </c>
      <c r="W1684" s="463" t="s">
        <v>713</v>
      </c>
      <c r="X1684" s="463" t="s">
        <v>713</v>
      </c>
      <c r="Y1684" s="463" t="s">
        <v>713</v>
      </c>
      <c r="Z1684" s="463"/>
      <c r="AA1684" s="463"/>
      <c r="AB1684" s="464">
        <v>4.8064798555497106</v>
      </c>
      <c r="AC1684" s="465">
        <v>0.82676468966137751</v>
      </c>
      <c r="AD1684" s="465">
        <v>5.5595363052471582E-5</v>
      </c>
      <c r="AE1684" s="476">
        <v>5.2093282305830106</v>
      </c>
      <c r="AF1684" s="467">
        <v>0.8960588137968265</v>
      </c>
      <c r="AG1684" s="468">
        <v>6.0005240623541395E-5</v>
      </c>
      <c r="AH1684" s="218">
        <v>4.8064798555497106</v>
      </c>
      <c r="AI1684" s="470">
        <v>0.82676468966137751</v>
      </c>
      <c r="AJ1684" s="471">
        <v>5.6312243421097981E-5</v>
      </c>
      <c r="AK1684" s="218">
        <v>4.8064798555497106</v>
      </c>
      <c r="AL1684" s="470">
        <v>0.82676468966137751</v>
      </c>
      <c r="AM1684" s="471">
        <v>5.6312243421097981E-5</v>
      </c>
      <c r="AN1684" s="477">
        <v>4.8064798555497106</v>
      </c>
      <c r="AO1684" s="473">
        <v>0.82676468966137751</v>
      </c>
      <c r="AP1684" s="474">
        <v>5.6305134861902154E-5</v>
      </c>
      <c r="AQ1684" s="352"/>
      <c r="AR1684" s="352"/>
      <c r="AS1684" s="352"/>
      <c r="AT1684" s="352"/>
      <c r="AU1684" s="352"/>
      <c r="AV1684" s="352"/>
      <c r="AW1684" s="352" t="s">
        <v>254</v>
      </c>
    </row>
    <row r="1685" spans="2:49" x14ac:dyDescent="0.2">
      <c r="B1685" s="460" t="s">
        <v>2869</v>
      </c>
      <c r="C1685" s="460">
        <v>2134</v>
      </c>
      <c r="D1685" s="460" t="s">
        <v>2308</v>
      </c>
      <c r="E1685" s="460" t="s">
        <v>2302</v>
      </c>
      <c r="F1685" s="460">
        <v>3</v>
      </c>
      <c r="G1685" s="460">
        <v>2</v>
      </c>
      <c r="H1685" s="461" t="s">
        <v>712</v>
      </c>
      <c r="I1685" s="461" t="s">
        <v>713</v>
      </c>
      <c r="J1685" s="461" t="s">
        <v>712</v>
      </c>
      <c r="K1685" s="594"/>
      <c r="L1685" s="594"/>
      <c r="M1685" s="352">
        <v>2000</v>
      </c>
      <c r="N1685" s="352" t="s">
        <v>703</v>
      </c>
      <c r="O1685" s="460">
        <v>2134</v>
      </c>
      <c r="P1685" s="460" t="s">
        <v>775</v>
      </c>
      <c r="Q1685" s="460" t="s">
        <v>2280</v>
      </c>
      <c r="R1685" s="460">
        <v>2134</v>
      </c>
      <c r="S1685" s="460" t="s">
        <v>2296</v>
      </c>
      <c r="T1685" s="462">
        <v>0.28481449642268464</v>
      </c>
      <c r="U1685" s="460" t="s">
        <v>2302</v>
      </c>
      <c r="V1685" s="475">
        <v>0</v>
      </c>
      <c r="W1685" s="463" t="s">
        <v>713</v>
      </c>
      <c r="X1685" s="463" t="s">
        <v>713</v>
      </c>
      <c r="Y1685" s="463" t="s">
        <v>713</v>
      </c>
      <c r="Z1685" s="463"/>
      <c r="AA1685" s="463"/>
      <c r="AB1685" s="464">
        <v>3.0275581835697238</v>
      </c>
      <c r="AC1685" s="465">
        <v>0.97603178145449487</v>
      </c>
      <c r="AD1685" s="465">
        <v>8.806410199467352E-5</v>
      </c>
      <c r="AE1685" s="476">
        <v>3.0572970414970317</v>
      </c>
      <c r="AF1685" s="467">
        <v>0.9856190688726969</v>
      </c>
      <c r="AG1685" s="468">
        <v>8.8778026089432734E-5</v>
      </c>
      <c r="AH1685" s="218">
        <v>2.961640941374287</v>
      </c>
      <c r="AI1685" s="470">
        <v>0.95478121600616361</v>
      </c>
      <c r="AJ1685" s="471">
        <v>8.7287182826905355E-5</v>
      </c>
      <c r="AK1685" s="218">
        <v>2.961640941374287</v>
      </c>
      <c r="AL1685" s="470">
        <v>0.95478121600616361</v>
      </c>
      <c r="AM1685" s="471">
        <v>8.7287182826905355E-5</v>
      </c>
      <c r="AN1685" s="477">
        <v>2.961640941374287</v>
      </c>
      <c r="AO1685" s="473">
        <v>0.95478121600616361</v>
      </c>
      <c r="AP1685" s="474">
        <v>8.7363083879426188E-5</v>
      </c>
      <c r="AQ1685" s="352"/>
      <c r="AR1685" s="352"/>
      <c r="AS1685" s="352"/>
      <c r="AT1685" s="352"/>
      <c r="AU1685" s="352"/>
      <c r="AV1685" s="352"/>
      <c r="AW1685" s="352" t="s">
        <v>254</v>
      </c>
    </row>
    <row r="1686" spans="2:49" x14ac:dyDescent="0.2">
      <c r="B1686" s="460" t="s">
        <v>2870</v>
      </c>
      <c r="C1686" s="460">
        <v>2134</v>
      </c>
      <c r="D1686" s="460" t="s">
        <v>2309</v>
      </c>
      <c r="E1686" s="460" t="s">
        <v>2305</v>
      </c>
      <c r="F1686" s="460">
        <v>4</v>
      </c>
      <c r="G1686" s="460">
        <v>2</v>
      </c>
      <c r="H1686" s="461" t="s">
        <v>712</v>
      </c>
      <c r="I1686" s="461" t="s">
        <v>713</v>
      </c>
      <c r="J1686" s="461" t="s">
        <v>712</v>
      </c>
      <c r="K1686" s="594"/>
      <c r="L1686" s="594"/>
      <c r="M1686" s="352">
        <v>2000</v>
      </c>
      <c r="N1686" s="352" t="s">
        <v>703</v>
      </c>
      <c r="O1686" s="460">
        <v>2134</v>
      </c>
      <c r="P1686" s="460" t="s">
        <v>775</v>
      </c>
      <c r="Q1686" s="460" t="s">
        <v>2280</v>
      </c>
      <c r="R1686" s="460">
        <v>2134</v>
      </c>
      <c r="S1686" s="460" t="s">
        <v>2305</v>
      </c>
      <c r="T1686" s="462">
        <v>1</v>
      </c>
      <c r="U1686" s="460" t="s">
        <v>2305</v>
      </c>
      <c r="V1686" s="475">
        <v>0</v>
      </c>
      <c r="W1686" s="463" t="s">
        <v>713</v>
      </c>
      <c r="X1686" s="463" t="s">
        <v>713</v>
      </c>
      <c r="Y1686" s="463" t="s">
        <v>713</v>
      </c>
      <c r="Z1686" s="463"/>
      <c r="AA1686" s="463"/>
      <c r="AB1686" s="464">
        <v>3.4384202674681985</v>
      </c>
      <c r="AC1686" s="465">
        <v>1</v>
      </c>
      <c r="AD1686" s="465">
        <v>8.7816918101066608E-5</v>
      </c>
      <c r="AE1686" s="476">
        <v>3.4384202674681985</v>
      </c>
      <c r="AF1686" s="467">
        <v>1</v>
      </c>
      <c r="AG1686" s="468">
        <v>8.7814101251654288E-5</v>
      </c>
      <c r="AH1686" s="218">
        <v>3.4384202674681985</v>
      </c>
      <c r="AI1686" s="470">
        <v>1</v>
      </c>
      <c r="AJ1686" s="471">
        <v>8.7814207553255639E-5</v>
      </c>
      <c r="AK1686" s="218">
        <v>3.4384202674681985</v>
      </c>
      <c r="AL1686" s="470">
        <v>1</v>
      </c>
      <c r="AM1686" s="471">
        <v>8.7814207553255639E-5</v>
      </c>
      <c r="AN1686" s="477">
        <v>3.4384202674681985</v>
      </c>
      <c r="AO1686" s="473">
        <v>1</v>
      </c>
      <c r="AP1686" s="474">
        <v>8.7814314967495034E-5</v>
      </c>
      <c r="AQ1686" s="352"/>
      <c r="AR1686" s="352"/>
      <c r="AS1686" s="352"/>
      <c r="AT1686" s="352"/>
      <c r="AU1686" s="352"/>
      <c r="AV1686" s="352"/>
      <c r="AW1686" s="352" t="s">
        <v>254</v>
      </c>
    </row>
    <row r="1687" spans="2:49" x14ac:dyDescent="0.2">
      <c r="B1687" s="460" t="s">
        <v>2867</v>
      </c>
      <c r="C1687" s="460">
        <v>2134</v>
      </c>
      <c r="D1687" s="460" t="s">
        <v>2310</v>
      </c>
      <c r="E1687" s="460" t="s">
        <v>2296</v>
      </c>
      <c r="F1687" s="460">
        <v>1</v>
      </c>
      <c r="G1687" s="460">
        <v>2</v>
      </c>
      <c r="H1687" s="461" t="s">
        <v>746</v>
      </c>
      <c r="I1687" s="461" t="s">
        <v>762</v>
      </c>
      <c r="J1687" s="461" t="s">
        <v>700</v>
      </c>
      <c r="K1687" s="594"/>
      <c r="L1687" s="594"/>
      <c r="M1687" s="352">
        <v>2000</v>
      </c>
      <c r="N1687" s="352" t="s">
        <v>703</v>
      </c>
      <c r="O1687" s="460">
        <v>2134</v>
      </c>
      <c r="P1687" s="460" t="s">
        <v>775</v>
      </c>
      <c r="Q1687" s="460" t="s">
        <v>2444</v>
      </c>
      <c r="R1687" s="460">
        <v>2134</v>
      </c>
      <c r="S1687" s="460" t="s">
        <v>2296</v>
      </c>
      <c r="T1687" s="462">
        <v>1</v>
      </c>
      <c r="U1687" s="460" t="s">
        <v>2296</v>
      </c>
      <c r="V1687" s="475">
        <v>0</v>
      </c>
      <c r="W1687" s="463" t="s">
        <v>2268</v>
      </c>
      <c r="X1687" s="463" t="s">
        <v>2268</v>
      </c>
      <c r="Y1687" s="463" t="s">
        <v>2290</v>
      </c>
      <c r="Z1687" s="463"/>
      <c r="AA1687" s="463"/>
      <c r="AB1687" s="464">
        <v>0</v>
      </c>
      <c r="AC1687" s="465">
        <v>0</v>
      </c>
      <c r="AD1687" s="465">
        <v>0</v>
      </c>
      <c r="AE1687" s="476">
        <v>0</v>
      </c>
      <c r="AF1687" s="467">
        <v>0</v>
      </c>
      <c r="AG1687" s="468">
        <v>0</v>
      </c>
      <c r="AH1687" s="218">
        <v>0</v>
      </c>
      <c r="AI1687" s="470">
        <v>0</v>
      </c>
      <c r="AJ1687" s="471">
        <v>0</v>
      </c>
      <c r="AK1687" s="218">
        <v>0</v>
      </c>
      <c r="AL1687" s="470">
        <v>0</v>
      </c>
      <c r="AM1687" s="471">
        <v>0</v>
      </c>
      <c r="AN1687" s="477">
        <v>0</v>
      </c>
      <c r="AO1687" s="473">
        <v>0</v>
      </c>
      <c r="AP1687" s="474">
        <v>0</v>
      </c>
      <c r="AQ1687" s="352"/>
      <c r="AR1687" s="352"/>
      <c r="AS1687" s="352"/>
      <c r="AT1687" s="352"/>
      <c r="AU1687" s="352"/>
      <c r="AV1687" s="352"/>
      <c r="AW1687" s="352" t="s">
        <v>254</v>
      </c>
    </row>
    <row r="1688" spans="2:49" x14ac:dyDescent="0.2">
      <c r="B1688" s="460" t="s">
        <v>2868</v>
      </c>
      <c r="C1688" s="460">
        <v>2134</v>
      </c>
      <c r="D1688" s="460" t="s">
        <v>2311</v>
      </c>
      <c r="E1688" s="460" t="s">
        <v>2299</v>
      </c>
      <c r="F1688" s="460">
        <v>2</v>
      </c>
      <c r="G1688" s="460">
        <v>2</v>
      </c>
      <c r="H1688" s="461" t="s">
        <v>746</v>
      </c>
      <c r="I1688" s="461" t="s">
        <v>762</v>
      </c>
      <c r="J1688" s="461" t="s">
        <v>700</v>
      </c>
      <c r="K1688" s="594"/>
      <c r="L1688" s="594"/>
      <c r="M1688" s="352">
        <v>2000</v>
      </c>
      <c r="N1688" s="352" t="s">
        <v>703</v>
      </c>
      <c r="O1688" s="460">
        <v>2134</v>
      </c>
      <c r="P1688" s="460" t="s">
        <v>775</v>
      </c>
      <c r="Q1688" s="460" t="s">
        <v>2444</v>
      </c>
      <c r="R1688" s="460">
        <v>2134</v>
      </c>
      <c r="S1688" s="460" t="s">
        <v>2296</v>
      </c>
      <c r="T1688" s="462">
        <v>0.55517361979372948</v>
      </c>
      <c r="U1688" s="460" t="s">
        <v>2299</v>
      </c>
      <c r="V1688" s="475">
        <v>0</v>
      </c>
      <c r="W1688" s="463" t="s">
        <v>2268</v>
      </c>
      <c r="X1688" s="463" t="s">
        <v>2268</v>
      </c>
      <c r="Y1688" s="463" t="s">
        <v>2290</v>
      </c>
      <c r="Z1688" s="463"/>
      <c r="AA1688" s="463"/>
      <c r="AB1688" s="464">
        <v>0</v>
      </c>
      <c r="AC1688" s="465">
        <v>0</v>
      </c>
      <c r="AD1688" s="465">
        <v>0</v>
      </c>
      <c r="AE1688" s="476">
        <v>0</v>
      </c>
      <c r="AF1688" s="467">
        <v>0</v>
      </c>
      <c r="AG1688" s="468">
        <v>0</v>
      </c>
      <c r="AH1688" s="218">
        <v>0</v>
      </c>
      <c r="AI1688" s="470">
        <v>0</v>
      </c>
      <c r="AJ1688" s="471">
        <v>0</v>
      </c>
      <c r="AK1688" s="218">
        <v>0</v>
      </c>
      <c r="AL1688" s="470">
        <v>0</v>
      </c>
      <c r="AM1688" s="471">
        <v>0</v>
      </c>
      <c r="AN1688" s="477">
        <v>0</v>
      </c>
      <c r="AO1688" s="473">
        <v>0</v>
      </c>
      <c r="AP1688" s="474">
        <v>0</v>
      </c>
      <c r="AQ1688" s="352"/>
      <c r="AR1688" s="352"/>
      <c r="AS1688" s="352"/>
      <c r="AT1688" s="352"/>
      <c r="AU1688" s="352"/>
      <c r="AV1688" s="352"/>
      <c r="AW1688" s="352" t="s">
        <v>254</v>
      </c>
    </row>
    <row r="1689" spans="2:49" x14ac:dyDescent="0.2">
      <c r="B1689" s="460" t="s">
        <v>2869</v>
      </c>
      <c r="C1689" s="460">
        <v>2134</v>
      </c>
      <c r="D1689" s="460" t="s">
        <v>2312</v>
      </c>
      <c r="E1689" s="460" t="s">
        <v>2302</v>
      </c>
      <c r="F1689" s="460">
        <v>3</v>
      </c>
      <c r="G1689" s="460">
        <v>2</v>
      </c>
      <c r="H1689" s="461" t="s">
        <v>746</v>
      </c>
      <c r="I1689" s="461" t="s">
        <v>762</v>
      </c>
      <c r="J1689" s="461" t="s">
        <v>700</v>
      </c>
      <c r="K1689" s="594"/>
      <c r="L1689" s="594"/>
      <c r="M1689" s="352">
        <v>2000</v>
      </c>
      <c r="N1689" s="352" t="s">
        <v>703</v>
      </c>
      <c r="O1689" s="460">
        <v>2134</v>
      </c>
      <c r="P1689" s="460" t="s">
        <v>775</v>
      </c>
      <c r="Q1689" s="460" t="s">
        <v>2444</v>
      </c>
      <c r="R1689" s="460">
        <v>2134</v>
      </c>
      <c r="S1689" s="460" t="s">
        <v>2296</v>
      </c>
      <c r="T1689" s="462">
        <v>0.28481449642268464</v>
      </c>
      <c r="U1689" s="460" t="s">
        <v>2302</v>
      </c>
      <c r="V1689" s="475">
        <v>0</v>
      </c>
      <c r="W1689" s="463" t="s">
        <v>2268</v>
      </c>
      <c r="X1689" s="463" t="s">
        <v>2268</v>
      </c>
      <c r="Y1689" s="463" t="s">
        <v>2290</v>
      </c>
      <c r="Z1689" s="463"/>
      <c r="AA1689" s="463"/>
      <c r="AB1689" s="464">
        <v>0</v>
      </c>
      <c r="AC1689" s="465">
        <v>0</v>
      </c>
      <c r="AD1689" s="465">
        <v>0</v>
      </c>
      <c r="AE1689" s="476">
        <v>0</v>
      </c>
      <c r="AF1689" s="467">
        <v>0</v>
      </c>
      <c r="AG1689" s="468">
        <v>0</v>
      </c>
      <c r="AH1689" s="218">
        <v>0</v>
      </c>
      <c r="AI1689" s="470">
        <v>0</v>
      </c>
      <c r="AJ1689" s="471">
        <v>0</v>
      </c>
      <c r="AK1689" s="218">
        <v>0</v>
      </c>
      <c r="AL1689" s="470">
        <v>0</v>
      </c>
      <c r="AM1689" s="471">
        <v>0</v>
      </c>
      <c r="AN1689" s="477">
        <v>0</v>
      </c>
      <c r="AO1689" s="473">
        <v>0</v>
      </c>
      <c r="AP1689" s="474">
        <v>0</v>
      </c>
      <c r="AQ1689" s="352"/>
      <c r="AR1689" s="352"/>
      <c r="AS1689" s="352"/>
      <c r="AT1689" s="352"/>
      <c r="AU1689" s="352"/>
      <c r="AV1689" s="352"/>
      <c r="AW1689" s="352" t="s">
        <v>254</v>
      </c>
    </row>
    <row r="1690" spans="2:49" x14ac:dyDescent="0.2">
      <c r="B1690" s="460" t="s">
        <v>2870</v>
      </c>
      <c r="C1690" s="460">
        <v>2134</v>
      </c>
      <c r="D1690" s="460" t="s">
        <v>2313</v>
      </c>
      <c r="E1690" s="460" t="s">
        <v>2305</v>
      </c>
      <c r="F1690" s="460">
        <v>4</v>
      </c>
      <c r="G1690" s="460">
        <v>2</v>
      </c>
      <c r="H1690" s="461" t="s">
        <v>746</v>
      </c>
      <c r="I1690" s="461" t="s">
        <v>762</v>
      </c>
      <c r="J1690" s="461" t="s">
        <v>700</v>
      </c>
      <c r="K1690" s="594"/>
      <c r="L1690" s="594"/>
      <c r="M1690" s="352">
        <v>2000</v>
      </c>
      <c r="N1690" s="352" t="s">
        <v>703</v>
      </c>
      <c r="O1690" s="460">
        <v>2134</v>
      </c>
      <c r="P1690" s="460" t="s">
        <v>775</v>
      </c>
      <c r="Q1690" s="460" t="s">
        <v>2444</v>
      </c>
      <c r="R1690" s="460">
        <v>2134</v>
      </c>
      <c r="S1690" s="460" t="s">
        <v>2305</v>
      </c>
      <c r="T1690" s="462">
        <v>1</v>
      </c>
      <c r="U1690" s="460" t="s">
        <v>2305</v>
      </c>
      <c r="V1690" s="475">
        <v>0</v>
      </c>
      <c r="W1690" s="463" t="s">
        <v>2268</v>
      </c>
      <c r="X1690" s="463" t="s">
        <v>2268</v>
      </c>
      <c r="Y1690" s="463" t="s">
        <v>2290</v>
      </c>
      <c r="Z1690" s="463"/>
      <c r="AA1690" s="463"/>
      <c r="AB1690" s="464">
        <v>0</v>
      </c>
      <c r="AC1690" s="465">
        <v>0</v>
      </c>
      <c r="AD1690" s="465">
        <v>0</v>
      </c>
      <c r="AE1690" s="476">
        <v>0</v>
      </c>
      <c r="AF1690" s="467">
        <v>0</v>
      </c>
      <c r="AG1690" s="468">
        <v>0</v>
      </c>
      <c r="AH1690" s="218">
        <v>0</v>
      </c>
      <c r="AI1690" s="470">
        <v>0</v>
      </c>
      <c r="AJ1690" s="471">
        <v>0</v>
      </c>
      <c r="AK1690" s="218">
        <v>0</v>
      </c>
      <c r="AL1690" s="470">
        <v>0</v>
      </c>
      <c r="AM1690" s="471">
        <v>0</v>
      </c>
      <c r="AN1690" s="477">
        <v>0</v>
      </c>
      <c r="AO1690" s="473">
        <v>0</v>
      </c>
      <c r="AP1690" s="474">
        <v>0</v>
      </c>
      <c r="AQ1690" s="352"/>
      <c r="AR1690" s="352"/>
      <c r="AS1690" s="352"/>
      <c r="AT1690" s="352"/>
      <c r="AU1690" s="352"/>
      <c r="AV1690" s="352"/>
      <c r="AW1690" s="352" t="s">
        <v>254</v>
      </c>
    </row>
    <row r="1691" spans="2:49" x14ac:dyDescent="0.2">
      <c r="B1691" s="460" t="s">
        <v>2867</v>
      </c>
      <c r="C1691" s="460">
        <v>2134</v>
      </c>
      <c r="D1691" s="460" t="s">
        <v>2314</v>
      </c>
      <c r="E1691" s="460" t="s">
        <v>2296</v>
      </c>
      <c r="F1691" s="460">
        <v>1</v>
      </c>
      <c r="G1691" s="460">
        <v>2</v>
      </c>
      <c r="H1691" s="461" t="s">
        <v>748</v>
      </c>
      <c r="I1691" s="461" t="s">
        <v>765</v>
      </c>
      <c r="J1691" s="461" t="s">
        <v>700</v>
      </c>
      <c r="K1691" s="594"/>
      <c r="L1691" s="594"/>
      <c r="M1691" s="352">
        <v>2000</v>
      </c>
      <c r="N1691" s="352" t="s">
        <v>703</v>
      </c>
      <c r="O1691" s="460">
        <v>2134</v>
      </c>
      <c r="P1691" s="460" t="s">
        <v>775</v>
      </c>
      <c r="Q1691" s="460" t="s">
        <v>2440</v>
      </c>
      <c r="R1691" s="460">
        <v>2134</v>
      </c>
      <c r="S1691" s="460" t="s">
        <v>2296</v>
      </c>
      <c r="T1691" s="462">
        <v>1</v>
      </c>
      <c r="U1691" s="460" t="s">
        <v>2296</v>
      </c>
      <c r="V1691" s="475">
        <v>0</v>
      </c>
      <c r="W1691" s="463" t="s">
        <v>2268</v>
      </c>
      <c r="X1691" s="463" t="s">
        <v>2268</v>
      </c>
      <c r="Y1691" s="463" t="s">
        <v>2267</v>
      </c>
      <c r="Z1691" s="463"/>
      <c r="AA1691" s="463"/>
      <c r="AB1691" s="464">
        <v>0</v>
      </c>
      <c r="AC1691" s="465">
        <v>0</v>
      </c>
      <c r="AD1691" s="465">
        <v>0</v>
      </c>
      <c r="AE1691" s="476">
        <v>0</v>
      </c>
      <c r="AF1691" s="467">
        <v>0</v>
      </c>
      <c r="AG1691" s="468">
        <v>0</v>
      </c>
      <c r="AH1691" s="218">
        <v>0</v>
      </c>
      <c r="AI1691" s="470">
        <v>0</v>
      </c>
      <c r="AJ1691" s="471">
        <v>0</v>
      </c>
      <c r="AK1691" s="218">
        <v>0</v>
      </c>
      <c r="AL1691" s="470">
        <v>0</v>
      </c>
      <c r="AM1691" s="471">
        <v>0</v>
      </c>
      <c r="AN1691" s="477">
        <v>3.4081455601979949</v>
      </c>
      <c r="AO1691" s="473">
        <v>0.15876573896972082</v>
      </c>
      <c r="AP1691" s="474">
        <v>1.0411417853513189E-3</v>
      </c>
      <c r="AQ1691" s="352"/>
      <c r="AR1691" s="352"/>
      <c r="AS1691" s="352"/>
      <c r="AT1691" s="352"/>
      <c r="AU1691" s="352"/>
      <c r="AV1691" s="352"/>
      <c r="AW1691" s="352" t="s">
        <v>254</v>
      </c>
    </row>
    <row r="1692" spans="2:49" x14ac:dyDescent="0.2">
      <c r="B1692" s="460" t="s">
        <v>2868</v>
      </c>
      <c r="C1692" s="460">
        <v>2134</v>
      </c>
      <c r="D1692" s="460" t="s">
        <v>2315</v>
      </c>
      <c r="E1692" s="460" t="s">
        <v>2299</v>
      </c>
      <c r="F1692" s="460">
        <v>2</v>
      </c>
      <c r="G1692" s="460">
        <v>2</v>
      </c>
      <c r="H1692" s="461" t="s">
        <v>748</v>
      </c>
      <c r="I1692" s="461" t="s">
        <v>765</v>
      </c>
      <c r="J1692" s="461" t="s">
        <v>700</v>
      </c>
      <c r="K1692" s="594"/>
      <c r="L1692" s="594"/>
      <c r="M1692" s="352">
        <v>2000</v>
      </c>
      <c r="N1692" s="352" t="s">
        <v>703</v>
      </c>
      <c r="O1692" s="460">
        <v>2134</v>
      </c>
      <c r="P1692" s="460" t="s">
        <v>775</v>
      </c>
      <c r="Q1692" s="460" t="s">
        <v>2440</v>
      </c>
      <c r="R1692" s="460">
        <v>2134</v>
      </c>
      <c r="S1692" s="460" t="s">
        <v>2296</v>
      </c>
      <c r="T1692" s="462">
        <v>0.55517361979372948</v>
      </c>
      <c r="U1692" s="460" t="s">
        <v>2299</v>
      </c>
      <c r="V1692" s="475">
        <v>0</v>
      </c>
      <c r="W1692" s="463" t="s">
        <v>2268</v>
      </c>
      <c r="X1692" s="463" t="s">
        <v>2268</v>
      </c>
      <c r="Y1692" s="463" t="s">
        <v>2267</v>
      </c>
      <c r="Z1692" s="463"/>
      <c r="AA1692" s="463"/>
      <c r="AB1692" s="464">
        <v>0</v>
      </c>
      <c r="AC1692" s="465">
        <v>0</v>
      </c>
      <c r="AD1692" s="465">
        <v>0</v>
      </c>
      <c r="AE1692" s="476">
        <v>0</v>
      </c>
      <c r="AF1692" s="467">
        <v>0</v>
      </c>
      <c r="AG1692" s="468">
        <v>0</v>
      </c>
      <c r="AH1692" s="218">
        <v>0</v>
      </c>
      <c r="AI1692" s="470">
        <v>0</v>
      </c>
      <c r="AJ1692" s="471">
        <v>0</v>
      </c>
      <c r="AK1692" s="218">
        <v>0</v>
      </c>
      <c r="AL1692" s="470">
        <v>0</v>
      </c>
      <c r="AM1692" s="471">
        <v>0</v>
      </c>
      <c r="AN1692" s="477">
        <v>1.0071209375832506</v>
      </c>
      <c r="AO1692" s="473">
        <v>0.17323531033862252</v>
      </c>
      <c r="AP1692" s="474">
        <v>9.3307952743431721E-4</v>
      </c>
      <c r="AQ1692" s="352"/>
      <c r="AR1692" s="352"/>
      <c r="AS1692" s="352"/>
      <c r="AT1692" s="352"/>
      <c r="AU1692" s="352"/>
      <c r="AV1692" s="352"/>
      <c r="AW1692" s="352" t="s">
        <v>254</v>
      </c>
    </row>
    <row r="1693" spans="2:49" x14ac:dyDescent="0.2">
      <c r="B1693" s="460" t="s">
        <v>2869</v>
      </c>
      <c r="C1693" s="460">
        <v>2134</v>
      </c>
      <c r="D1693" s="460" t="s">
        <v>2316</v>
      </c>
      <c r="E1693" s="460" t="s">
        <v>2302</v>
      </c>
      <c r="F1693" s="460">
        <v>3</v>
      </c>
      <c r="G1693" s="460">
        <v>2</v>
      </c>
      <c r="H1693" s="461" t="s">
        <v>748</v>
      </c>
      <c r="I1693" s="461" t="s">
        <v>765</v>
      </c>
      <c r="J1693" s="461" t="s">
        <v>700</v>
      </c>
      <c r="K1693" s="594"/>
      <c r="L1693" s="594"/>
      <c r="M1693" s="352">
        <v>2000</v>
      </c>
      <c r="N1693" s="352" t="s">
        <v>703</v>
      </c>
      <c r="O1693" s="460">
        <v>2134</v>
      </c>
      <c r="P1693" s="460" t="s">
        <v>775</v>
      </c>
      <c r="Q1693" s="460" t="s">
        <v>2440</v>
      </c>
      <c r="R1693" s="460">
        <v>2134</v>
      </c>
      <c r="S1693" s="460" t="s">
        <v>2296</v>
      </c>
      <c r="T1693" s="462">
        <v>0.28481449642268464</v>
      </c>
      <c r="U1693" s="460" t="s">
        <v>2302</v>
      </c>
      <c r="V1693" s="475">
        <v>0</v>
      </c>
      <c r="W1693" s="463" t="s">
        <v>2268</v>
      </c>
      <c r="X1693" s="463" t="s">
        <v>2268</v>
      </c>
      <c r="Y1693" s="463" t="s">
        <v>2267</v>
      </c>
      <c r="Z1693" s="463"/>
      <c r="AA1693" s="463"/>
      <c r="AB1693" s="464">
        <v>0</v>
      </c>
      <c r="AC1693" s="465">
        <v>0</v>
      </c>
      <c r="AD1693" s="465">
        <v>0</v>
      </c>
      <c r="AE1693" s="476">
        <v>0</v>
      </c>
      <c r="AF1693" s="467">
        <v>0</v>
      </c>
      <c r="AG1693" s="468">
        <v>0</v>
      </c>
      <c r="AH1693" s="218">
        <v>0</v>
      </c>
      <c r="AI1693" s="470">
        <v>0</v>
      </c>
      <c r="AJ1693" s="471">
        <v>0</v>
      </c>
      <c r="AK1693" s="218">
        <v>0</v>
      </c>
      <c r="AL1693" s="470">
        <v>0</v>
      </c>
      <c r="AM1693" s="471">
        <v>0</v>
      </c>
      <c r="AN1693" s="477">
        <v>0.14026438701370697</v>
      </c>
      <c r="AO1693" s="473">
        <v>4.5218783993836435E-2</v>
      </c>
      <c r="AP1693" s="474">
        <v>6.0018199797837906E-4</v>
      </c>
      <c r="AQ1693" s="352"/>
      <c r="AR1693" s="352"/>
      <c r="AS1693" s="352"/>
      <c r="AT1693" s="352"/>
      <c r="AU1693" s="352"/>
      <c r="AV1693" s="352"/>
      <c r="AW1693" s="352" t="s">
        <v>254</v>
      </c>
    </row>
    <row r="1694" spans="2:49" x14ac:dyDescent="0.2">
      <c r="B1694" s="460" t="s">
        <v>2870</v>
      </c>
      <c r="C1694" s="460">
        <v>2134</v>
      </c>
      <c r="D1694" s="460" t="s">
        <v>2317</v>
      </c>
      <c r="E1694" s="460" t="s">
        <v>2305</v>
      </c>
      <c r="F1694" s="460">
        <v>4</v>
      </c>
      <c r="G1694" s="460">
        <v>2</v>
      </c>
      <c r="H1694" s="461" t="s">
        <v>748</v>
      </c>
      <c r="I1694" s="461" t="s">
        <v>765</v>
      </c>
      <c r="J1694" s="461" t="s">
        <v>700</v>
      </c>
      <c r="K1694" s="594"/>
      <c r="L1694" s="594"/>
      <c r="M1694" s="352">
        <v>2000</v>
      </c>
      <c r="N1694" s="352" t="s">
        <v>703</v>
      </c>
      <c r="O1694" s="460">
        <v>2134</v>
      </c>
      <c r="P1694" s="460" t="s">
        <v>775</v>
      </c>
      <c r="Q1694" s="460" t="s">
        <v>2440</v>
      </c>
      <c r="R1694" s="460">
        <v>2134</v>
      </c>
      <c r="S1694" s="460" t="s">
        <v>2305</v>
      </c>
      <c r="T1694" s="462">
        <v>1</v>
      </c>
      <c r="U1694" s="460" t="s">
        <v>2305</v>
      </c>
      <c r="V1694" s="475">
        <v>0</v>
      </c>
      <c r="W1694" s="463" t="s">
        <v>2268</v>
      </c>
      <c r="X1694" s="463" t="s">
        <v>2268</v>
      </c>
      <c r="Y1694" s="463" t="s">
        <v>2278</v>
      </c>
      <c r="Z1694" s="463"/>
      <c r="AA1694" s="463"/>
      <c r="AB1694" s="464">
        <v>0</v>
      </c>
      <c r="AC1694" s="465">
        <v>0</v>
      </c>
      <c r="AD1694" s="465">
        <v>0</v>
      </c>
      <c r="AE1694" s="476">
        <v>0</v>
      </c>
      <c r="AF1694" s="467">
        <v>0</v>
      </c>
      <c r="AG1694" s="468">
        <v>0</v>
      </c>
      <c r="AH1694" s="218">
        <v>0</v>
      </c>
      <c r="AI1694" s="470">
        <v>0</v>
      </c>
      <c r="AJ1694" s="471">
        <v>0</v>
      </c>
      <c r="AK1694" s="218">
        <v>0</v>
      </c>
      <c r="AL1694" s="470">
        <v>0</v>
      </c>
      <c r="AM1694" s="471">
        <v>0</v>
      </c>
      <c r="AN1694" s="477">
        <v>0</v>
      </c>
      <c r="AO1694" s="473">
        <v>0</v>
      </c>
      <c r="AP1694" s="474">
        <v>0</v>
      </c>
      <c r="AQ1694" s="352"/>
      <c r="AR1694" s="352"/>
      <c r="AS1694" s="352"/>
      <c r="AT1694" s="352"/>
      <c r="AU1694" s="352"/>
      <c r="AV1694" s="352"/>
      <c r="AW1694" s="352" t="s">
        <v>254</v>
      </c>
    </row>
    <row r="1695" spans="2:49" x14ac:dyDescent="0.2">
      <c r="B1695" s="460" t="s">
        <v>2871</v>
      </c>
      <c r="C1695" s="460">
        <v>2134</v>
      </c>
      <c r="D1695" s="460" t="s">
        <v>2323</v>
      </c>
      <c r="E1695" s="460" t="s">
        <v>2324</v>
      </c>
      <c r="F1695" s="460">
        <v>1</v>
      </c>
      <c r="G1695" s="460">
        <v>3</v>
      </c>
      <c r="H1695" s="461" t="s">
        <v>700</v>
      </c>
      <c r="I1695" s="461" t="s">
        <v>872</v>
      </c>
      <c r="J1695" s="461" t="s">
        <v>700</v>
      </c>
      <c r="K1695" s="594"/>
      <c r="L1695" s="594"/>
      <c r="M1695" s="352">
        <v>2000</v>
      </c>
      <c r="N1695" s="352" t="s">
        <v>703</v>
      </c>
      <c r="O1695" s="460">
        <v>2134</v>
      </c>
      <c r="P1695" s="460" t="s">
        <v>775</v>
      </c>
      <c r="Q1695" s="460" t="s">
        <v>2440</v>
      </c>
      <c r="R1695" s="460">
        <v>2134</v>
      </c>
      <c r="S1695" s="460" t="s">
        <v>2324</v>
      </c>
      <c r="T1695" s="462">
        <v>1</v>
      </c>
      <c r="U1695" s="460" t="s">
        <v>2324</v>
      </c>
      <c r="V1695" s="475">
        <v>0</v>
      </c>
      <c r="W1695" s="463" t="s">
        <v>2267</v>
      </c>
      <c r="X1695" s="463" t="s">
        <v>2267</v>
      </c>
      <c r="Y1695" s="463" t="s">
        <v>2268</v>
      </c>
      <c r="Z1695" s="463"/>
      <c r="AA1695" s="463"/>
      <c r="AB1695" s="464">
        <v>23.820177011900135</v>
      </c>
      <c r="AC1695" s="465">
        <v>0.39218095004559211</v>
      </c>
      <c r="AD1695" s="465">
        <v>2.0420274879951399E-4</v>
      </c>
      <c r="AE1695" s="476">
        <v>23.820177011900135</v>
      </c>
      <c r="AF1695" s="467">
        <v>0.39218095004559211</v>
      </c>
      <c r="AG1695" s="468">
        <v>2.1874159770315441E-4</v>
      </c>
      <c r="AH1695" s="218">
        <v>23.820177011900135</v>
      </c>
      <c r="AI1695" s="470">
        <v>0.39218095004559211</v>
      </c>
      <c r="AJ1695" s="471">
        <v>2.0888408251342315E-4</v>
      </c>
      <c r="AK1695" s="218">
        <v>23.820177011900135</v>
      </c>
      <c r="AL1695" s="470">
        <v>0.39218095004559211</v>
      </c>
      <c r="AM1695" s="471">
        <v>2.0888408251342315E-4</v>
      </c>
      <c r="AN1695" s="477">
        <v>0</v>
      </c>
      <c r="AO1695" s="473">
        <v>0</v>
      </c>
      <c r="AP1695" s="474">
        <v>0</v>
      </c>
      <c r="AQ1695" s="352"/>
      <c r="AR1695" s="352"/>
      <c r="AS1695" s="352"/>
      <c r="AT1695" s="352"/>
      <c r="AU1695" s="352"/>
      <c r="AV1695" s="352"/>
      <c r="AW1695" s="352" t="s">
        <v>254</v>
      </c>
    </row>
    <row r="1696" spans="2:49" x14ac:dyDescent="0.2">
      <c r="B1696" s="460" t="s">
        <v>2872</v>
      </c>
      <c r="C1696" s="460">
        <v>2134</v>
      </c>
      <c r="D1696" s="460" t="s">
        <v>2326</v>
      </c>
      <c r="E1696" s="460" t="s">
        <v>2327</v>
      </c>
      <c r="F1696" s="460">
        <v>2</v>
      </c>
      <c r="G1696" s="460">
        <v>3</v>
      </c>
      <c r="H1696" s="461" t="s">
        <v>700</v>
      </c>
      <c r="I1696" s="461" t="s">
        <v>872</v>
      </c>
      <c r="J1696" s="461" t="s">
        <v>700</v>
      </c>
      <c r="K1696" s="594"/>
      <c r="L1696" s="594"/>
      <c r="M1696" s="352">
        <v>2000</v>
      </c>
      <c r="N1696" s="352" t="s">
        <v>703</v>
      </c>
      <c r="O1696" s="460">
        <v>2134</v>
      </c>
      <c r="P1696" s="460" t="s">
        <v>775</v>
      </c>
      <c r="Q1696" s="460" t="s">
        <v>2440</v>
      </c>
      <c r="R1696" s="460">
        <v>2134</v>
      </c>
      <c r="S1696" s="460" t="s">
        <v>2324</v>
      </c>
      <c r="T1696" s="462">
        <v>1</v>
      </c>
      <c r="U1696" s="460" t="s">
        <v>2327</v>
      </c>
      <c r="V1696" s="475">
        <v>0</v>
      </c>
      <c r="W1696" s="463" t="s">
        <v>2503</v>
      </c>
      <c r="X1696" s="463" t="s">
        <v>2267</v>
      </c>
      <c r="Y1696" s="463" t="s">
        <v>2268</v>
      </c>
      <c r="Z1696" s="463"/>
      <c r="AA1696" s="463"/>
      <c r="AB1696" s="464">
        <v>9.2109754332775431</v>
      </c>
      <c r="AC1696" s="465">
        <v>0.16133089522507627</v>
      </c>
      <c r="AD1696" s="465">
        <v>1.3604443157148557E-4</v>
      </c>
      <c r="AE1696" s="476">
        <v>5.5265852599665255</v>
      </c>
      <c r="AF1696" s="467">
        <v>9.6798537135045756E-2</v>
      </c>
      <c r="AG1696" s="468">
        <v>8.8410716581904277E-5</v>
      </c>
      <c r="AH1696" s="218">
        <v>22.391055917899052</v>
      </c>
      <c r="AI1696" s="470">
        <v>0.39218095004559211</v>
      </c>
      <c r="AJ1696" s="471">
        <v>3.0145506009324945E-4</v>
      </c>
      <c r="AK1696" s="218">
        <v>22.391055917899052</v>
      </c>
      <c r="AL1696" s="470">
        <v>0.39218095004559211</v>
      </c>
      <c r="AM1696" s="471">
        <v>3.0145506009324945E-4</v>
      </c>
      <c r="AN1696" s="477">
        <v>0</v>
      </c>
      <c r="AO1696" s="473">
        <v>0</v>
      </c>
      <c r="AP1696" s="474">
        <v>0</v>
      </c>
      <c r="AQ1696" s="352"/>
      <c r="AR1696" s="352"/>
      <c r="AS1696" s="352"/>
      <c r="AT1696" s="352"/>
      <c r="AU1696" s="352"/>
      <c r="AV1696" s="352"/>
      <c r="AW1696" s="352" t="s">
        <v>254</v>
      </c>
    </row>
    <row r="1697" spans="2:49" x14ac:dyDescent="0.2">
      <c r="B1697" s="460" t="s">
        <v>2873</v>
      </c>
      <c r="C1697" s="460">
        <v>2134</v>
      </c>
      <c r="D1697" s="460" t="s">
        <v>2329</v>
      </c>
      <c r="E1697" s="460" t="s">
        <v>2330</v>
      </c>
      <c r="F1697" s="460">
        <v>3</v>
      </c>
      <c r="G1697" s="460">
        <v>3</v>
      </c>
      <c r="H1697" s="461" t="s">
        <v>700</v>
      </c>
      <c r="I1697" s="461" t="s">
        <v>872</v>
      </c>
      <c r="J1697" s="461" t="s">
        <v>700</v>
      </c>
      <c r="K1697" s="594"/>
      <c r="L1697" s="594"/>
      <c r="M1697" s="352">
        <v>2000</v>
      </c>
      <c r="N1697" s="352" t="s">
        <v>703</v>
      </c>
      <c r="O1697" s="460">
        <v>2134</v>
      </c>
      <c r="P1697" s="460" t="s">
        <v>775</v>
      </c>
      <c r="Q1697" s="460" t="s">
        <v>2440</v>
      </c>
      <c r="R1697" s="460">
        <v>2134</v>
      </c>
      <c r="S1697" s="460" t="s">
        <v>2324</v>
      </c>
      <c r="T1697" s="462">
        <v>1</v>
      </c>
      <c r="U1697" s="460" t="s">
        <v>2330</v>
      </c>
      <c r="V1697" s="475">
        <v>0</v>
      </c>
      <c r="W1697" s="463" t="s">
        <v>2503</v>
      </c>
      <c r="X1697" s="463" t="s">
        <v>2267</v>
      </c>
      <c r="Y1697" s="463" t="s">
        <v>2268</v>
      </c>
      <c r="Z1697" s="463"/>
      <c r="AA1697" s="463"/>
      <c r="AB1697" s="464">
        <v>1.5136920562275313</v>
      </c>
      <c r="AC1697" s="465">
        <v>5.326034536587982E-2</v>
      </c>
      <c r="AD1697" s="465">
        <v>5.71588448281619E-5</v>
      </c>
      <c r="AE1697" s="476">
        <v>0.90821523373651869</v>
      </c>
      <c r="AF1697" s="467">
        <v>3.1956207219527889E-2</v>
      </c>
      <c r="AG1697" s="468">
        <v>3.6756434975663302E-5</v>
      </c>
      <c r="AH1697" s="218">
        <v>11.146025896183607</v>
      </c>
      <c r="AI1697" s="470">
        <v>0.39218095004559211</v>
      </c>
      <c r="AJ1697" s="471">
        <v>3.9270065277147658E-4</v>
      </c>
      <c r="AK1697" s="218">
        <v>11.146025896183607</v>
      </c>
      <c r="AL1697" s="470">
        <v>0.39218095004559211</v>
      </c>
      <c r="AM1697" s="471">
        <v>3.9270065277147658E-4</v>
      </c>
      <c r="AN1697" s="477">
        <v>0</v>
      </c>
      <c r="AO1697" s="473">
        <v>0</v>
      </c>
      <c r="AP1697" s="474">
        <v>0</v>
      </c>
      <c r="AQ1697" s="352"/>
      <c r="AR1697" s="352"/>
      <c r="AS1697" s="352"/>
      <c r="AT1697" s="352"/>
      <c r="AU1697" s="352"/>
      <c r="AV1697" s="352"/>
      <c r="AW1697" s="352" t="s">
        <v>254</v>
      </c>
    </row>
    <row r="1698" spans="2:49" x14ac:dyDescent="0.2">
      <c r="B1698" s="460" t="s">
        <v>2874</v>
      </c>
      <c r="C1698" s="460">
        <v>2134</v>
      </c>
      <c r="D1698" s="460" t="s">
        <v>2332</v>
      </c>
      <c r="E1698" s="460" t="s">
        <v>2333</v>
      </c>
      <c r="F1698" s="460">
        <v>4</v>
      </c>
      <c r="G1698" s="460">
        <v>3</v>
      </c>
      <c r="H1698" s="461" t="s">
        <v>700</v>
      </c>
      <c r="I1698" s="461" t="s">
        <v>872</v>
      </c>
      <c r="J1698" s="461" t="s">
        <v>700</v>
      </c>
      <c r="K1698" s="594"/>
      <c r="L1698" s="594"/>
      <c r="M1698" s="352">
        <v>2000</v>
      </c>
      <c r="N1698" s="352" t="s">
        <v>703</v>
      </c>
      <c r="O1698" s="460">
        <v>2134</v>
      </c>
      <c r="P1698" s="460" t="s">
        <v>775</v>
      </c>
      <c r="Q1698" s="460" t="s">
        <v>2440</v>
      </c>
      <c r="R1698" s="460">
        <v>2134</v>
      </c>
      <c r="S1698" s="460" t="s">
        <v>2333</v>
      </c>
      <c r="T1698" s="462">
        <v>1</v>
      </c>
      <c r="U1698" s="460" t="s">
        <v>2333</v>
      </c>
      <c r="V1698" s="475">
        <v>0</v>
      </c>
      <c r="W1698" s="463" t="s">
        <v>2503</v>
      </c>
      <c r="X1698" s="463" t="s">
        <v>2278</v>
      </c>
      <c r="Y1698" s="463" t="s">
        <v>2268</v>
      </c>
      <c r="Z1698" s="463"/>
      <c r="AA1698" s="463"/>
      <c r="AB1698" s="464">
        <v>3.0021072220551955E-2</v>
      </c>
      <c r="AC1698" s="465">
        <v>9.7135168721803754E-4</v>
      </c>
      <c r="AD1698" s="465">
        <v>2.0705097022856133E-6</v>
      </c>
      <c r="AE1698" s="476">
        <v>1.8012643332331171E-2</v>
      </c>
      <c r="AF1698" s="467">
        <v>5.8281101233082248E-4</v>
      </c>
      <c r="AG1698" s="468">
        <v>1.3710420489175376E-6</v>
      </c>
      <c r="AH1698" s="218">
        <v>3.0021072220551955E-2</v>
      </c>
      <c r="AI1698" s="470">
        <v>9.7135168721803754E-4</v>
      </c>
      <c r="AJ1698" s="471">
        <v>2.2139466234024439E-6</v>
      </c>
      <c r="AK1698" s="218">
        <v>3.0021072220551955E-2</v>
      </c>
      <c r="AL1698" s="470">
        <v>9.7135168721803754E-4</v>
      </c>
      <c r="AM1698" s="471">
        <v>2.2139466234024439E-6</v>
      </c>
      <c r="AN1698" s="477">
        <v>0</v>
      </c>
      <c r="AO1698" s="473">
        <v>0</v>
      </c>
      <c r="AP1698" s="474">
        <v>0</v>
      </c>
      <c r="AQ1698" s="352"/>
      <c r="AR1698" s="352"/>
      <c r="AS1698" s="352"/>
      <c r="AT1698" s="352"/>
      <c r="AU1698" s="352"/>
      <c r="AV1698" s="352"/>
      <c r="AW1698" s="352" t="s">
        <v>254</v>
      </c>
    </row>
    <row r="1699" spans="2:49" x14ac:dyDescent="0.2">
      <c r="B1699" s="460" t="s">
        <v>2871</v>
      </c>
      <c r="C1699" s="460">
        <v>2134</v>
      </c>
      <c r="D1699" s="460" t="s">
        <v>2334</v>
      </c>
      <c r="E1699" s="460" t="s">
        <v>2324</v>
      </c>
      <c r="F1699" s="460">
        <v>1</v>
      </c>
      <c r="G1699" s="460">
        <v>3</v>
      </c>
      <c r="H1699" s="461" t="s">
        <v>712</v>
      </c>
      <c r="I1699" s="461" t="s">
        <v>713</v>
      </c>
      <c r="J1699" s="461" t="s">
        <v>712</v>
      </c>
      <c r="K1699" s="594"/>
      <c r="L1699" s="594"/>
      <c r="M1699" s="352">
        <v>2000</v>
      </c>
      <c r="N1699" s="352" t="s">
        <v>703</v>
      </c>
      <c r="O1699" s="460">
        <v>2134</v>
      </c>
      <c r="P1699" s="460" t="s">
        <v>775</v>
      </c>
      <c r="Q1699" s="460" t="s">
        <v>2280</v>
      </c>
      <c r="R1699" s="460">
        <v>2134</v>
      </c>
      <c r="S1699" s="460" t="s">
        <v>2324</v>
      </c>
      <c r="T1699" s="462">
        <v>1</v>
      </c>
      <c r="U1699" s="460" t="s">
        <v>2324</v>
      </c>
      <c r="V1699" s="475">
        <v>0</v>
      </c>
      <c r="W1699" s="463" t="s">
        <v>713</v>
      </c>
      <c r="X1699" s="463" t="s">
        <v>713</v>
      </c>
      <c r="Y1699" s="463" t="s">
        <v>713</v>
      </c>
      <c r="Z1699" s="463"/>
      <c r="AA1699" s="463"/>
      <c r="AB1699" s="464">
        <v>36.917543698733503</v>
      </c>
      <c r="AC1699" s="465">
        <v>0.60781904995440794</v>
      </c>
      <c r="AD1699" s="465">
        <v>9.2179270616750349E-5</v>
      </c>
      <c r="AE1699" s="476">
        <v>36.917543698733496</v>
      </c>
      <c r="AF1699" s="467">
        <v>0.60781904995440783</v>
      </c>
      <c r="AG1699" s="468">
        <v>9.0428663752747896E-5</v>
      </c>
      <c r="AH1699" s="218">
        <v>36.917543698733496</v>
      </c>
      <c r="AI1699" s="470">
        <v>0.60781904995440783</v>
      </c>
      <c r="AJ1699" s="471">
        <v>9.1581470852980875E-5</v>
      </c>
      <c r="AK1699" s="218">
        <v>36.917543698733496</v>
      </c>
      <c r="AL1699" s="470">
        <v>0.60781904995440783</v>
      </c>
      <c r="AM1699" s="471">
        <v>9.1581470852980875E-5</v>
      </c>
      <c r="AN1699" s="477">
        <v>36.917543698733496</v>
      </c>
      <c r="AO1699" s="473">
        <v>0.60781904995440783</v>
      </c>
      <c r="AP1699" s="474">
        <v>9.1536902473605774E-5</v>
      </c>
      <c r="AQ1699" s="352"/>
      <c r="AR1699" s="352"/>
      <c r="AS1699" s="352"/>
      <c r="AT1699" s="352"/>
      <c r="AU1699" s="352"/>
      <c r="AV1699" s="352"/>
      <c r="AW1699" s="352" t="s">
        <v>254</v>
      </c>
    </row>
    <row r="1700" spans="2:49" x14ac:dyDescent="0.2">
      <c r="B1700" s="460" t="s">
        <v>2872</v>
      </c>
      <c r="C1700" s="460">
        <v>2134</v>
      </c>
      <c r="D1700" s="460" t="s">
        <v>2335</v>
      </c>
      <c r="E1700" s="460" t="s">
        <v>2327</v>
      </c>
      <c r="F1700" s="460">
        <v>2</v>
      </c>
      <c r="G1700" s="460">
        <v>3</v>
      </c>
      <c r="H1700" s="461" t="s">
        <v>712</v>
      </c>
      <c r="I1700" s="461" t="s">
        <v>713</v>
      </c>
      <c r="J1700" s="461" t="s">
        <v>712</v>
      </c>
      <c r="K1700" s="594"/>
      <c r="L1700" s="594"/>
      <c r="M1700" s="352">
        <v>2000</v>
      </c>
      <c r="N1700" s="352" t="s">
        <v>703</v>
      </c>
      <c r="O1700" s="460">
        <v>2134</v>
      </c>
      <c r="P1700" s="460" t="s">
        <v>775</v>
      </c>
      <c r="Q1700" s="460" t="s">
        <v>2280</v>
      </c>
      <c r="R1700" s="460">
        <v>2134</v>
      </c>
      <c r="S1700" s="460" t="s">
        <v>2324</v>
      </c>
      <c r="T1700" s="462">
        <v>1</v>
      </c>
      <c r="U1700" s="460" t="s">
        <v>2327</v>
      </c>
      <c r="V1700" s="475">
        <v>0</v>
      </c>
      <c r="W1700" s="463" t="s">
        <v>713</v>
      </c>
      <c r="X1700" s="463" t="s">
        <v>713</v>
      </c>
      <c r="Y1700" s="463" t="s">
        <v>713</v>
      </c>
      <c r="Z1700" s="463"/>
      <c r="AA1700" s="463"/>
      <c r="AB1700" s="464">
        <v>47.882710313814542</v>
      </c>
      <c r="AC1700" s="465">
        <v>0.83866910477492373</v>
      </c>
      <c r="AD1700" s="465">
        <v>1.5334909592631851E-4</v>
      </c>
      <c r="AE1700" s="476">
        <v>51.567100487125558</v>
      </c>
      <c r="AF1700" s="467">
        <v>0.90320146286495429</v>
      </c>
      <c r="AG1700" s="468">
        <v>1.6244587634786805E-4</v>
      </c>
      <c r="AH1700" s="218">
        <v>34.702629829193022</v>
      </c>
      <c r="AI1700" s="470">
        <v>0.60781904995440783</v>
      </c>
      <c r="AJ1700" s="471">
        <v>1.1368855951587337E-4</v>
      </c>
      <c r="AK1700" s="218">
        <v>34.702629829193022</v>
      </c>
      <c r="AL1700" s="470">
        <v>0.60781904995440783</v>
      </c>
      <c r="AM1700" s="471">
        <v>1.1368855951587337E-4</v>
      </c>
      <c r="AN1700" s="477">
        <v>34.702629829193022</v>
      </c>
      <c r="AO1700" s="473">
        <v>0.60781904995440783</v>
      </c>
      <c r="AP1700" s="474">
        <v>1.1364398634379796E-4</v>
      </c>
      <c r="AQ1700" s="352"/>
      <c r="AR1700" s="352"/>
      <c r="AS1700" s="352"/>
      <c r="AT1700" s="352"/>
      <c r="AU1700" s="352"/>
      <c r="AV1700" s="352"/>
      <c r="AW1700" s="352" t="s">
        <v>254</v>
      </c>
    </row>
    <row r="1701" spans="2:49" x14ac:dyDescent="0.2">
      <c r="B1701" s="460" t="s">
        <v>2873</v>
      </c>
      <c r="C1701" s="460">
        <v>2134</v>
      </c>
      <c r="D1701" s="460" t="s">
        <v>2336</v>
      </c>
      <c r="E1701" s="460" t="s">
        <v>2330</v>
      </c>
      <c r="F1701" s="460">
        <v>3</v>
      </c>
      <c r="G1701" s="460">
        <v>3</v>
      </c>
      <c r="H1701" s="461" t="s">
        <v>712</v>
      </c>
      <c r="I1701" s="461" t="s">
        <v>713</v>
      </c>
      <c r="J1701" s="461" t="s">
        <v>712</v>
      </c>
      <c r="K1701" s="594"/>
      <c r="L1701" s="594"/>
      <c r="M1701" s="352">
        <v>2000</v>
      </c>
      <c r="N1701" s="352" t="s">
        <v>703</v>
      </c>
      <c r="O1701" s="460">
        <v>2134</v>
      </c>
      <c r="P1701" s="460" t="s">
        <v>775</v>
      </c>
      <c r="Q1701" s="460" t="s">
        <v>2280</v>
      </c>
      <c r="R1701" s="460">
        <v>2134</v>
      </c>
      <c r="S1701" s="460" t="s">
        <v>2324</v>
      </c>
      <c r="T1701" s="462">
        <v>1</v>
      </c>
      <c r="U1701" s="460" t="s">
        <v>2330</v>
      </c>
      <c r="V1701" s="475">
        <v>0</v>
      </c>
      <c r="W1701" s="463" t="s">
        <v>713</v>
      </c>
      <c r="X1701" s="463" t="s">
        <v>713</v>
      </c>
      <c r="Y1701" s="463" t="s">
        <v>713</v>
      </c>
      <c r="Z1701" s="463"/>
      <c r="AA1701" s="463"/>
      <c r="AB1701" s="464">
        <v>26.906928310182035</v>
      </c>
      <c r="AC1701" s="465">
        <v>0.94673965463412024</v>
      </c>
      <c r="AD1701" s="465">
        <v>2.3824102130029799E-4</v>
      </c>
      <c r="AE1701" s="476">
        <v>27.512405132673049</v>
      </c>
      <c r="AF1701" s="467">
        <v>0.96804379278047215</v>
      </c>
      <c r="AG1701" s="468">
        <v>2.3983657151654912E-4</v>
      </c>
      <c r="AH1701" s="218">
        <v>17.274594470225956</v>
      </c>
      <c r="AI1701" s="470">
        <v>0.60781904995440783</v>
      </c>
      <c r="AJ1701" s="471">
        <v>1.5633920839502698E-4</v>
      </c>
      <c r="AK1701" s="218">
        <v>17.274594470225956</v>
      </c>
      <c r="AL1701" s="470">
        <v>0.60781904995440783</v>
      </c>
      <c r="AM1701" s="471">
        <v>1.5633920839502698E-4</v>
      </c>
      <c r="AN1701" s="477">
        <v>17.274594470225956</v>
      </c>
      <c r="AO1701" s="473">
        <v>0.60781904995440783</v>
      </c>
      <c r="AP1701" s="474">
        <v>1.5674273715811233E-4</v>
      </c>
      <c r="AQ1701" s="352"/>
      <c r="AR1701" s="352"/>
      <c r="AS1701" s="352"/>
      <c r="AT1701" s="352"/>
      <c r="AU1701" s="352"/>
      <c r="AV1701" s="352"/>
      <c r="AW1701" s="352" t="s">
        <v>254</v>
      </c>
    </row>
    <row r="1702" spans="2:49" x14ac:dyDescent="0.2">
      <c r="B1702" s="460" t="s">
        <v>2874</v>
      </c>
      <c r="C1702" s="460">
        <v>2134</v>
      </c>
      <c r="D1702" s="460" t="s">
        <v>2337</v>
      </c>
      <c r="E1702" s="460" t="s">
        <v>2333</v>
      </c>
      <c r="F1702" s="460">
        <v>4</v>
      </c>
      <c r="G1702" s="460">
        <v>3</v>
      </c>
      <c r="H1702" s="461" t="s">
        <v>712</v>
      </c>
      <c r="I1702" s="461" t="s">
        <v>713</v>
      </c>
      <c r="J1702" s="461" t="s">
        <v>712</v>
      </c>
      <c r="K1702" s="594"/>
      <c r="L1702" s="594"/>
      <c r="M1702" s="352">
        <v>2000</v>
      </c>
      <c r="N1702" s="352" t="s">
        <v>703</v>
      </c>
      <c r="O1702" s="460">
        <v>2134</v>
      </c>
      <c r="P1702" s="460" t="s">
        <v>775</v>
      </c>
      <c r="Q1702" s="460" t="s">
        <v>2280</v>
      </c>
      <c r="R1702" s="460">
        <v>2134</v>
      </c>
      <c r="S1702" s="460" t="s">
        <v>2333</v>
      </c>
      <c r="T1702" s="462">
        <v>1</v>
      </c>
      <c r="U1702" s="460" t="s">
        <v>2333</v>
      </c>
      <c r="V1702" s="475">
        <v>0</v>
      </c>
      <c r="W1702" s="463" t="s">
        <v>713</v>
      </c>
      <c r="X1702" s="463" t="s">
        <v>713</v>
      </c>
      <c r="Y1702" s="463" t="s">
        <v>713</v>
      </c>
      <c r="Z1702" s="463"/>
      <c r="AA1702" s="463"/>
      <c r="AB1702" s="464">
        <v>30.876469970722557</v>
      </c>
      <c r="AC1702" s="465">
        <v>0.99902864831278193</v>
      </c>
      <c r="AD1702" s="465">
        <v>2.3473745619609446E-4</v>
      </c>
      <c r="AE1702" s="476">
        <v>30.888478399610779</v>
      </c>
      <c r="AF1702" s="467">
        <v>0.99941718898766918</v>
      </c>
      <c r="AG1702" s="468">
        <v>2.3242309700690194E-4</v>
      </c>
      <c r="AH1702" s="218">
        <v>30.876469970722557</v>
      </c>
      <c r="AI1702" s="470">
        <v>0.99902864831278193</v>
      </c>
      <c r="AJ1702" s="471">
        <v>2.3307293498421312E-4</v>
      </c>
      <c r="AK1702" s="218">
        <v>30.876469970722557</v>
      </c>
      <c r="AL1702" s="470">
        <v>0.99902864831278193</v>
      </c>
      <c r="AM1702" s="471">
        <v>2.3307293498421312E-4</v>
      </c>
      <c r="AN1702" s="477">
        <v>30.876469970722557</v>
      </c>
      <c r="AO1702" s="473">
        <v>0.99902864831278193</v>
      </c>
      <c r="AP1702" s="474">
        <v>2.3314700177045529E-4</v>
      </c>
      <c r="AQ1702" s="352"/>
      <c r="AR1702" s="352"/>
      <c r="AS1702" s="352"/>
      <c r="AT1702" s="352"/>
      <c r="AU1702" s="352"/>
      <c r="AV1702" s="352"/>
      <c r="AW1702" s="352" t="s">
        <v>254</v>
      </c>
    </row>
    <row r="1703" spans="2:49" x14ac:dyDescent="0.2">
      <c r="B1703" s="460" t="s">
        <v>2871</v>
      </c>
      <c r="C1703" s="460">
        <v>2134</v>
      </c>
      <c r="D1703" s="460" t="s">
        <v>2338</v>
      </c>
      <c r="E1703" s="460" t="s">
        <v>2324</v>
      </c>
      <c r="F1703" s="460">
        <v>1</v>
      </c>
      <c r="G1703" s="460">
        <v>3</v>
      </c>
      <c r="H1703" s="461" t="s">
        <v>746</v>
      </c>
      <c r="I1703" s="461" t="s">
        <v>762</v>
      </c>
      <c r="J1703" s="461" t="s">
        <v>700</v>
      </c>
      <c r="K1703" s="594"/>
      <c r="L1703" s="594"/>
      <c r="M1703" s="352">
        <v>2000</v>
      </c>
      <c r="N1703" s="352" t="s">
        <v>703</v>
      </c>
      <c r="O1703" s="460">
        <v>2134</v>
      </c>
      <c r="P1703" s="460" t="s">
        <v>775</v>
      </c>
      <c r="Q1703" s="460" t="s">
        <v>2444</v>
      </c>
      <c r="R1703" s="460">
        <v>2134</v>
      </c>
      <c r="S1703" s="460" t="s">
        <v>2324</v>
      </c>
      <c r="T1703" s="462">
        <v>1</v>
      </c>
      <c r="U1703" s="460" t="s">
        <v>2324</v>
      </c>
      <c r="V1703" s="475">
        <v>0</v>
      </c>
      <c r="W1703" s="463" t="s">
        <v>2268</v>
      </c>
      <c r="X1703" s="463" t="s">
        <v>2268</v>
      </c>
      <c r="Y1703" s="463" t="s">
        <v>2290</v>
      </c>
      <c r="Z1703" s="463"/>
      <c r="AA1703" s="463"/>
      <c r="AB1703" s="464">
        <v>0</v>
      </c>
      <c r="AC1703" s="465">
        <v>0</v>
      </c>
      <c r="AD1703" s="465">
        <v>0</v>
      </c>
      <c r="AE1703" s="476">
        <v>0</v>
      </c>
      <c r="AF1703" s="467">
        <v>0</v>
      </c>
      <c r="AG1703" s="468">
        <v>0</v>
      </c>
      <c r="AH1703" s="218">
        <v>0</v>
      </c>
      <c r="AI1703" s="470">
        <v>0</v>
      </c>
      <c r="AJ1703" s="471">
        <v>0</v>
      </c>
      <c r="AK1703" s="218">
        <v>0</v>
      </c>
      <c r="AL1703" s="470">
        <v>0</v>
      </c>
      <c r="AM1703" s="471">
        <v>0</v>
      </c>
      <c r="AN1703" s="477">
        <v>0</v>
      </c>
      <c r="AO1703" s="473">
        <v>0</v>
      </c>
      <c r="AP1703" s="474">
        <v>0</v>
      </c>
      <c r="AQ1703" s="352"/>
      <c r="AR1703" s="352"/>
      <c r="AS1703" s="352"/>
      <c r="AT1703" s="352"/>
      <c r="AU1703" s="352"/>
      <c r="AV1703" s="352"/>
      <c r="AW1703" s="352" t="s">
        <v>254</v>
      </c>
    </row>
    <row r="1704" spans="2:49" x14ac:dyDescent="0.2">
      <c r="B1704" s="460" t="s">
        <v>2872</v>
      </c>
      <c r="C1704" s="460">
        <v>2134</v>
      </c>
      <c r="D1704" s="460" t="s">
        <v>2339</v>
      </c>
      <c r="E1704" s="460" t="s">
        <v>2327</v>
      </c>
      <c r="F1704" s="460">
        <v>2</v>
      </c>
      <c r="G1704" s="460">
        <v>3</v>
      </c>
      <c r="H1704" s="461" t="s">
        <v>746</v>
      </c>
      <c r="I1704" s="461" t="s">
        <v>762</v>
      </c>
      <c r="J1704" s="461" t="s">
        <v>700</v>
      </c>
      <c r="K1704" s="594"/>
      <c r="L1704" s="594"/>
      <c r="M1704" s="352">
        <v>2000</v>
      </c>
      <c r="N1704" s="352" t="s">
        <v>703</v>
      </c>
      <c r="O1704" s="460">
        <v>2134</v>
      </c>
      <c r="P1704" s="460" t="s">
        <v>775</v>
      </c>
      <c r="Q1704" s="460" t="s">
        <v>2444</v>
      </c>
      <c r="R1704" s="460">
        <v>2134</v>
      </c>
      <c r="S1704" s="460" t="s">
        <v>2324</v>
      </c>
      <c r="T1704" s="462">
        <v>1</v>
      </c>
      <c r="U1704" s="460" t="s">
        <v>2327</v>
      </c>
      <c r="V1704" s="475">
        <v>0</v>
      </c>
      <c r="W1704" s="463" t="s">
        <v>2268</v>
      </c>
      <c r="X1704" s="463" t="s">
        <v>2268</v>
      </c>
      <c r="Y1704" s="463" t="s">
        <v>2290</v>
      </c>
      <c r="Z1704" s="463"/>
      <c r="AA1704" s="463"/>
      <c r="AB1704" s="464">
        <v>0</v>
      </c>
      <c r="AC1704" s="465">
        <v>0</v>
      </c>
      <c r="AD1704" s="465">
        <v>0</v>
      </c>
      <c r="AE1704" s="476">
        <v>0</v>
      </c>
      <c r="AF1704" s="467">
        <v>0</v>
      </c>
      <c r="AG1704" s="468">
        <v>0</v>
      </c>
      <c r="AH1704" s="218">
        <v>0</v>
      </c>
      <c r="AI1704" s="470">
        <v>0</v>
      </c>
      <c r="AJ1704" s="471">
        <v>0</v>
      </c>
      <c r="AK1704" s="218">
        <v>0</v>
      </c>
      <c r="AL1704" s="470">
        <v>0</v>
      </c>
      <c r="AM1704" s="471">
        <v>0</v>
      </c>
      <c r="AN1704" s="477">
        <v>0</v>
      </c>
      <c r="AO1704" s="473">
        <v>0</v>
      </c>
      <c r="AP1704" s="474">
        <v>0</v>
      </c>
      <c r="AQ1704" s="352"/>
      <c r="AR1704" s="352"/>
      <c r="AS1704" s="352"/>
      <c r="AT1704" s="352"/>
      <c r="AU1704" s="352"/>
      <c r="AV1704" s="352"/>
      <c r="AW1704" s="352" t="s">
        <v>254</v>
      </c>
    </row>
    <row r="1705" spans="2:49" x14ac:dyDescent="0.2">
      <c r="B1705" s="460" t="s">
        <v>2873</v>
      </c>
      <c r="C1705" s="460">
        <v>2134</v>
      </c>
      <c r="D1705" s="460" t="s">
        <v>2340</v>
      </c>
      <c r="E1705" s="460" t="s">
        <v>2330</v>
      </c>
      <c r="F1705" s="460">
        <v>3</v>
      </c>
      <c r="G1705" s="460">
        <v>3</v>
      </c>
      <c r="H1705" s="461" t="s">
        <v>746</v>
      </c>
      <c r="I1705" s="461" t="s">
        <v>762</v>
      </c>
      <c r="J1705" s="461" t="s">
        <v>700</v>
      </c>
      <c r="K1705" s="594"/>
      <c r="L1705" s="594"/>
      <c r="M1705" s="352">
        <v>2000</v>
      </c>
      <c r="N1705" s="352" t="s">
        <v>703</v>
      </c>
      <c r="O1705" s="460">
        <v>2134</v>
      </c>
      <c r="P1705" s="460" t="s">
        <v>775</v>
      </c>
      <c r="Q1705" s="460" t="s">
        <v>2444</v>
      </c>
      <c r="R1705" s="460">
        <v>2134</v>
      </c>
      <c r="S1705" s="460" t="s">
        <v>2324</v>
      </c>
      <c r="T1705" s="462">
        <v>1</v>
      </c>
      <c r="U1705" s="460" t="s">
        <v>2330</v>
      </c>
      <c r="V1705" s="475">
        <v>0</v>
      </c>
      <c r="W1705" s="463" t="s">
        <v>2268</v>
      </c>
      <c r="X1705" s="463" t="s">
        <v>2268</v>
      </c>
      <c r="Y1705" s="463" t="s">
        <v>2290</v>
      </c>
      <c r="Z1705" s="463"/>
      <c r="AA1705" s="463"/>
      <c r="AB1705" s="464">
        <v>0</v>
      </c>
      <c r="AC1705" s="465">
        <v>0</v>
      </c>
      <c r="AD1705" s="465">
        <v>0</v>
      </c>
      <c r="AE1705" s="476">
        <v>0</v>
      </c>
      <c r="AF1705" s="467">
        <v>0</v>
      </c>
      <c r="AG1705" s="468">
        <v>0</v>
      </c>
      <c r="AH1705" s="218">
        <v>0</v>
      </c>
      <c r="AI1705" s="470">
        <v>0</v>
      </c>
      <c r="AJ1705" s="471">
        <v>0</v>
      </c>
      <c r="AK1705" s="218">
        <v>0</v>
      </c>
      <c r="AL1705" s="470">
        <v>0</v>
      </c>
      <c r="AM1705" s="471">
        <v>0</v>
      </c>
      <c r="AN1705" s="477">
        <v>0</v>
      </c>
      <c r="AO1705" s="473">
        <v>0</v>
      </c>
      <c r="AP1705" s="474">
        <v>0</v>
      </c>
      <c r="AQ1705" s="352"/>
      <c r="AR1705" s="352"/>
      <c r="AS1705" s="352"/>
      <c r="AT1705" s="352"/>
      <c r="AU1705" s="352"/>
      <c r="AV1705" s="352"/>
      <c r="AW1705" s="352" t="s">
        <v>254</v>
      </c>
    </row>
    <row r="1706" spans="2:49" x14ac:dyDescent="0.2">
      <c r="B1706" s="460" t="s">
        <v>2874</v>
      </c>
      <c r="C1706" s="460">
        <v>2134</v>
      </c>
      <c r="D1706" s="460" t="s">
        <v>2341</v>
      </c>
      <c r="E1706" s="460" t="s">
        <v>2333</v>
      </c>
      <c r="F1706" s="460">
        <v>4</v>
      </c>
      <c r="G1706" s="460">
        <v>3</v>
      </c>
      <c r="H1706" s="461" t="s">
        <v>746</v>
      </c>
      <c r="I1706" s="461" t="s">
        <v>762</v>
      </c>
      <c r="J1706" s="461" t="s">
        <v>700</v>
      </c>
      <c r="K1706" s="594"/>
      <c r="L1706" s="594"/>
      <c r="M1706" s="352">
        <v>2000</v>
      </c>
      <c r="N1706" s="352" t="s">
        <v>703</v>
      </c>
      <c r="O1706" s="460">
        <v>2134</v>
      </c>
      <c r="P1706" s="460" t="s">
        <v>775</v>
      </c>
      <c r="Q1706" s="460" t="s">
        <v>2444</v>
      </c>
      <c r="R1706" s="460">
        <v>2134</v>
      </c>
      <c r="S1706" s="460" t="s">
        <v>2333</v>
      </c>
      <c r="T1706" s="462">
        <v>1</v>
      </c>
      <c r="U1706" s="460" t="s">
        <v>2333</v>
      </c>
      <c r="V1706" s="475">
        <v>0</v>
      </c>
      <c r="W1706" s="463" t="s">
        <v>2268</v>
      </c>
      <c r="X1706" s="463" t="s">
        <v>2268</v>
      </c>
      <c r="Y1706" s="463" t="s">
        <v>2290</v>
      </c>
      <c r="Z1706" s="463"/>
      <c r="AA1706" s="463"/>
      <c r="AB1706" s="464">
        <v>0</v>
      </c>
      <c r="AC1706" s="465">
        <v>0</v>
      </c>
      <c r="AD1706" s="465">
        <v>0</v>
      </c>
      <c r="AE1706" s="476">
        <v>0</v>
      </c>
      <c r="AF1706" s="467">
        <v>0</v>
      </c>
      <c r="AG1706" s="468">
        <v>0</v>
      </c>
      <c r="AH1706" s="218">
        <v>0</v>
      </c>
      <c r="AI1706" s="470">
        <v>0</v>
      </c>
      <c r="AJ1706" s="471">
        <v>0</v>
      </c>
      <c r="AK1706" s="218">
        <v>0</v>
      </c>
      <c r="AL1706" s="470">
        <v>0</v>
      </c>
      <c r="AM1706" s="471">
        <v>0</v>
      </c>
      <c r="AN1706" s="477">
        <v>0</v>
      </c>
      <c r="AO1706" s="473">
        <v>0</v>
      </c>
      <c r="AP1706" s="474">
        <v>0</v>
      </c>
      <c r="AQ1706" s="352"/>
      <c r="AR1706" s="352"/>
      <c r="AS1706" s="352"/>
      <c r="AT1706" s="352"/>
      <c r="AU1706" s="352"/>
      <c r="AV1706" s="352"/>
      <c r="AW1706" s="352" t="s">
        <v>254</v>
      </c>
    </row>
    <row r="1707" spans="2:49" x14ac:dyDescent="0.2">
      <c r="B1707" s="460" t="s">
        <v>2871</v>
      </c>
      <c r="C1707" s="460">
        <v>2134</v>
      </c>
      <c r="D1707" s="460" t="s">
        <v>2342</v>
      </c>
      <c r="E1707" s="460" t="s">
        <v>2324</v>
      </c>
      <c r="F1707" s="460">
        <v>1</v>
      </c>
      <c r="G1707" s="460">
        <v>3</v>
      </c>
      <c r="H1707" s="461" t="s">
        <v>748</v>
      </c>
      <c r="I1707" s="461" t="s">
        <v>765</v>
      </c>
      <c r="J1707" s="461" t="s">
        <v>700</v>
      </c>
      <c r="K1707" s="594"/>
      <c r="L1707" s="594"/>
      <c r="M1707" s="352">
        <v>2000</v>
      </c>
      <c r="N1707" s="352" t="s">
        <v>703</v>
      </c>
      <c r="O1707" s="460">
        <v>2134</v>
      </c>
      <c r="P1707" s="460" t="s">
        <v>775</v>
      </c>
      <c r="Q1707" s="460" t="s">
        <v>2440</v>
      </c>
      <c r="R1707" s="460">
        <v>2134</v>
      </c>
      <c r="S1707" s="460" t="s">
        <v>2324</v>
      </c>
      <c r="T1707" s="462">
        <v>1</v>
      </c>
      <c r="U1707" s="460" t="s">
        <v>2324</v>
      </c>
      <c r="V1707" s="475">
        <v>0</v>
      </c>
      <c r="W1707" s="463" t="s">
        <v>2268</v>
      </c>
      <c r="X1707" s="463" t="s">
        <v>2268</v>
      </c>
      <c r="Y1707" s="463" t="s">
        <v>2267</v>
      </c>
      <c r="Z1707" s="463"/>
      <c r="AA1707" s="463"/>
      <c r="AB1707" s="464">
        <v>0</v>
      </c>
      <c r="AC1707" s="465">
        <v>0</v>
      </c>
      <c r="AD1707" s="465">
        <v>0</v>
      </c>
      <c r="AE1707" s="476">
        <v>0</v>
      </c>
      <c r="AF1707" s="467">
        <v>0</v>
      </c>
      <c r="AG1707" s="468">
        <v>0</v>
      </c>
      <c r="AH1707" s="218">
        <v>0</v>
      </c>
      <c r="AI1707" s="470">
        <v>0</v>
      </c>
      <c r="AJ1707" s="471">
        <v>0</v>
      </c>
      <c r="AK1707" s="218">
        <v>0</v>
      </c>
      <c r="AL1707" s="470">
        <v>0</v>
      </c>
      <c r="AM1707" s="471">
        <v>0</v>
      </c>
      <c r="AN1707" s="477">
        <v>23.820177011900135</v>
      </c>
      <c r="AO1707" s="473">
        <v>0.39218095004559211</v>
      </c>
      <c r="AP1707" s="474">
        <v>1.2398834528335875E-3</v>
      </c>
      <c r="AQ1707" s="352"/>
      <c r="AR1707" s="352"/>
      <c r="AS1707" s="352"/>
      <c r="AT1707" s="352"/>
      <c r="AU1707" s="352"/>
      <c r="AV1707" s="352"/>
      <c r="AW1707" s="352" t="s">
        <v>254</v>
      </c>
    </row>
    <row r="1708" spans="2:49" x14ac:dyDescent="0.2">
      <c r="B1708" s="460" t="s">
        <v>2872</v>
      </c>
      <c r="C1708" s="460">
        <v>2134</v>
      </c>
      <c r="D1708" s="460" t="s">
        <v>2343</v>
      </c>
      <c r="E1708" s="460" t="s">
        <v>2327</v>
      </c>
      <c r="F1708" s="460">
        <v>2</v>
      </c>
      <c r="G1708" s="460">
        <v>3</v>
      </c>
      <c r="H1708" s="461" t="s">
        <v>748</v>
      </c>
      <c r="I1708" s="461" t="s">
        <v>765</v>
      </c>
      <c r="J1708" s="461" t="s">
        <v>700</v>
      </c>
      <c r="K1708" s="594"/>
      <c r="L1708" s="594"/>
      <c r="M1708" s="352">
        <v>2000</v>
      </c>
      <c r="N1708" s="352" t="s">
        <v>703</v>
      </c>
      <c r="O1708" s="460">
        <v>2134</v>
      </c>
      <c r="P1708" s="460" t="s">
        <v>775</v>
      </c>
      <c r="Q1708" s="460" t="s">
        <v>2440</v>
      </c>
      <c r="R1708" s="460">
        <v>2134</v>
      </c>
      <c r="S1708" s="460" t="s">
        <v>2324</v>
      </c>
      <c r="T1708" s="462">
        <v>1</v>
      </c>
      <c r="U1708" s="460" t="s">
        <v>2327</v>
      </c>
      <c r="V1708" s="475">
        <v>0</v>
      </c>
      <c r="W1708" s="463" t="s">
        <v>2268</v>
      </c>
      <c r="X1708" s="463" t="s">
        <v>2268</v>
      </c>
      <c r="Y1708" s="463" t="s">
        <v>2267</v>
      </c>
      <c r="Z1708" s="463"/>
      <c r="AA1708" s="463"/>
      <c r="AB1708" s="464">
        <v>0</v>
      </c>
      <c r="AC1708" s="465">
        <v>0</v>
      </c>
      <c r="AD1708" s="465">
        <v>0</v>
      </c>
      <c r="AE1708" s="476">
        <v>0</v>
      </c>
      <c r="AF1708" s="467">
        <v>0</v>
      </c>
      <c r="AG1708" s="468">
        <v>0</v>
      </c>
      <c r="AH1708" s="218">
        <v>0</v>
      </c>
      <c r="AI1708" s="470">
        <v>0</v>
      </c>
      <c r="AJ1708" s="471">
        <v>0</v>
      </c>
      <c r="AK1708" s="218">
        <v>0</v>
      </c>
      <c r="AL1708" s="470">
        <v>0</v>
      </c>
      <c r="AM1708" s="471">
        <v>0</v>
      </c>
      <c r="AN1708" s="477">
        <v>22.391055917899052</v>
      </c>
      <c r="AO1708" s="473">
        <v>0.39218095004559211</v>
      </c>
      <c r="AP1708" s="474">
        <v>1.9904196089779577E-3</v>
      </c>
      <c r="AQ1708" s="352"/>
      <c r="AR1708" s="352"/>
      <c r="AS1708" s="352"/>
      <c r="AT1708" s="352"/>
      <c r="AU1708" s="352"/>
      <c r="AV1708" s="352"/>
      <c r="AW1708" s="352" t="s">
        <v>254</v>
      </c>
    </row>
    <row r="1709" spans="2:49" x14ac:dyDescent="0.2">
      <c r="B1709" s="460" t="s">
        <v>2873</v>
      </c>
      <c r="C1709" s="460">
        <v>2134</v>
      </c>
      <c r="D1709" s="460" t="s">
        <v>2344</v>
      </c>
      <c r="E1709" s="460" t="s">
        <v>2330</v>
      </c>
      <c r="F1709" s="460">
        <v>3</v>
      </c>
      <c r="G1709" s="460">
        <v>3</v>
      </c>
      <c r="H1709" s="461" t="s">
        <v>748</v>
      </c>
      <c r="I1709" s="461" t="s">
        <v>765</v>
      </c>
      <c r="J1709" s="461" t="s">
        <v>700</v>
      </c>
      <c r="K1709" s="594"/>
      <c r="L1709" s="594"/>
      <c r="M1709" s="352">
        <v>2000</v>
      </c>
      <c r="N1709" s="352" t="s">
        <v>703</v>
      </c>
      <c r="O1709" s="460">
        <v>2134</v>
      </c>
      <c r="P1709" s="460" t="s">
        <v>775</v>
      </c>
      <c r="Q1709" s="460" t="s">
        <v>2440</v>
      </c>
      <c r="R1709" s="460">
        <v>2134</v>
      </c>
      <c r="S1709" s="460" t="s">
        <v>2324</v>
      </c>
      <c r="T1709" s="462">
        <v>1</v>
      </c>
      <c r="U1709" s="460" t="s">
        <v>2330</v>
      </c>
      <c r="V1709" s="475">
        <v>0</v>
      </c>
      <c r="W1709" s="463" t="s">
        <v>2268</v>
      </c>
      <c r="X1709" s="463" t="s">
        <v>2268</v>
      </c>
      <c r="Y1709" s="463" t="s">
        <v>2267</v>
      </c>
      <c r="Z1709" s="463"/>
      <c r="AA1709" s="463"/>
      <c r="AB1709" s="464">
        <v>0</v>
      </c>
      <c r="AC1709" s="465">
        <v>0</v>
      </c>
      <c r="AD1709" s="465">
        <v>0</v>
      </c>
      <c r="AE1709" s="476">
        <v>0</v>
      </c>
      <c r="AF1709" s="467">
        <v>0</v>
      </c>
      <c r="AG1709" s="468">
        <v>0</v>
      </c>
      <c r="AH1709" s="218">
        <v>0</v>
      </c>
      <c r="AI1709" s="470">
        <v>0</v>
      </c>
      <c r="AJ1709" s="471">
        <v>0</v>
      </c>
      <c r="AK1709" s="218">
        <v>0</v>
      </c>
      <c r="AL1709" s="470">
        <v>0</v>
      </c>
      <c r="AM1709" s="471">
        <v>0</v>
      </c>
      <c r="AN1709" s="477">
        <v>11.146025896183607</v>
      </c>
      <c r="AO1709" s="473">
        <v>0.39218095004559211</v>
      </c>
      <c r="AP1709" s="474">
        <v>3.0382140365387261E-3</v>
      </c>
      <c r="AQ1709" s="352"/>
      <c r="AR1709" s="352"/>
      <c r="AS1709" s="352"/>
      <c r="AT1709" s="352"/>
      <c r="AU1709" s="352"/>
      <c r="AV1709" s="352"/>
      <c r="AW1709" s="352" t="s">
        <v>254</v>
      </c>
    </row>
    <row r="1710" spans="2:49" x14ac:dyDescent="0.2">
      <c r="B1710" s="460" t="s">
        <v>2874</v>
      </c>
      <c r="C1710" s="460">
        <v>2134</v>
      </c>
      <c r="D1710" s="460" t="s">
        <v>2345</v>
      </c>
      <c r="E1710" s="460" t="s">
        <v>2333</v>
      </c>
      <c r="F1710" s="460">
        <v>4</v>
      </c>
      <c r="G1710" s="460">
        <v>3</v>
      </c>
      <c r="H1710" s="461" t="s">
        <v>748</v>
      </c>
      <c r="I1710" s="461" t="s">
        <v>765</v>
      </c>
      <c r="J1710" s="461" t="s">
        <v>700</v>
      </c>
      <c r="K1710" s="594"/>
      <c r="L1710" s="594"/>
      <c r="M1710" s="352">
        <v>2000</v>
      </c>
      <c r="N1710" s="352" t="s">
        <v>703</v>
      </c>
      <c r="O1710" s="460">
        <v>2134</v>
      </c>
      <c r="P1710" s="460" t="s">
        <v>775</v>
      </c>
      <c r="Q1710" s="460" t="s">
        <v>2440</v>
      </c>
      <c r="R1710" s="460">
        <v>2134</v>
      </c>
      <c r="S1710" s="460" t="s">
        <v>2333</v>
      </c>
      <c r="T1710" s="462">
        <v>1</v>
      </c>
      <c r="U1710" s="460" t="s">
        <v>2333</v>
      </c>
      <c r="V1710" s="475">
        <v>0</v>
      </c>
      <c r="W1710" s="463" t="s">
        <v>2268</v>
      </c>
      <c r="X1710" s="463" t="s">
        <v>2268</v>
      </c>
      <c r="Y1710" s="463" t="s">
        <v>2278</v>
      </c>
      <c r="Z1710" s="463"/>
      <c r="AA1710" s="463"/>
      <c r="AB1710" s="464">
        <v>0</v>
      </c>
      <c r="AC1710" s="465">
        <v>0</v>
      </c>
      <c r="AD1710" s="465">
        <v>0</v>
      </c>
      <c r="AE1710" s="476">
        <v>0</v>
      </c>
      <c r="AF1710" s="467">
        <v>0</v>
      </c>
      <c r="AG1710" s="468">
        <v>0</v>
      </c>
      <c r="AH1710" s="218">
        <v>0</v>
      </c>
      <c r="AI1710" s="470">
        <v>0</v>
      </c>
      <c r="AJ1710" s="471">
        <v>0</v>
      </c>
      <c r="AK1710" s="218">
        <v>0</v>
      </c>
      <c r="AL1710" s="470">
        <v>0</v>
      </c>
      <c r="AM1710" s="471">
        <v>0</v>
      </c>
      <c r="AN1710" s="477">
        <v>3.0021072220551955E-2</v>
      </c>
      <c r="AO1710" s="473">
        <v>9.7135168721803754E-4</v>
      </c>
      <c r="AP1710" s="474">
        <v>1.8694858236309373E-5</v>
      </c>
      <c r="AQ1710" s="352"/>
      <c r="AR1710" s="352"/>
      <c r="AS1710" s="352"/>
      <c r="AT1710" s="352"/>
      <c r="AU1710" s="352"/>
      <c r="AV1710" s="352"/>
      <c r="AW1710" s="352" t="s">
        <v>254</v>
      </c>
    </row>
    <row r="1711" spans="2:49" x14ac:dyDescent="0.2">
      <c r="B1711" s="460" t="s">
        <v>2871</v>
      </c>
      <c r="C1711" s="460">
        <v>2134</v>
      </c>
      <c r="D1711" s="460" t="s">
        <v>2346</v>
      </c>
      <c r="E1711" s="460" t="s">
        <v>2324</v>
      </c>
      <c r="F1711" s="460">
        <v>1</v>
      </c>
      <c r="G1711" s="460">
        <v>3</v>
      </c>
      <c r="H1711" s="461" t="s">
        <v>752</v>
      </c>
      <c r="I1711" s="461" t="s">
        <v>964</v>
      </c>
      <c r="J1711" s="461" t="s">
        <v>752</v>
      </c>
      <c r="K1711" s="594"/>
      <c r="L1711" s="594"/>
      <c r="M1711" s="352">
        <v>2000</v>
      </c>
      <c r="N1711" s="352" t="s">
        <v>703</v>
      </c>
      <c r="O1711" s="460">
        <v>2134</v>
      </c>
      <c r="P1711" s="460" t="s">
        <v>775</v>
      </c>
      <c r="Q1711" s="460" t="s">
        <v>2440</v>
      </c>
      <c r="R1711" s="460">
        <v>2134</v>
      </c>
      <c r="S1711" s="460" t="s">
        <v>2324</v>
      </c>
      <c r="T1711" s="462">
        <v>1</v>
      </c>
      <c r="U1711" s="460" t="s">
        <v>2324</v>
      </c>
      <c r="V1711" s="475">
        <v>0</v>
      </c>
      <c r="W1711" s="463" t="s">
        <v>2278</v>
      </c>
      <c r="X1711" s="463" t="s">
        <v>2278</v>
      </c>
      <c r="Y1711" s="463" t="s">
        <v>2278</v>
      </c>
      <c r="Z1711" s="463"/>
      <c r="AA1711" s="463"/>
      <c r="AB1711" s="464">
        <v>0</v>
      </c>
      <c r="AC1711" s="465">
        <v>0</v>
      </c>
      <c r="AD1711" s="465">
        <v>0</v>
      </c>
      <c r="AE1711" s="476">
        <v>0</v>
      </c>
      <c r="AF1711" s="467">
        <v>0</v>
      </c>
      <c r="AG1711" s="468">
        <v>0</v>
      </c>
      <c r="AH1711" s="218">
        <v>0</v>
      </c>
      <c r="AI1711" s="470">
        <v>0</v>
      </c>
      <c r="AJ1711" s="471">
        <v>0</v>
      </c>
      <c r="AK1711" s="218">
        <v>0</v>
      </c>
      <c r="AL1711" s="470">
        <v>0</v>
      </c>
      <c r="AM1711" s="471">
        <v>0</v>
      </c>
      <c r="AN1711" s="477">
        <v>0</v>
      </c>
      <c r="AO1711" s="473">
        <v>0</v>
      </c>
      <c r="AP1711" s="474">
        <v>0</v>
      </c>
      <c r="AQ1711" s="352"/>
      <c r="AR1711" s="352"/>
      <c r="AS1711" s="352"/>
      <c r="AT1711" s="352"/>
      <c r="AU1711" s="352"/>
      <c r="AV1711" s="352"/>
      <c r="AW1711" s="352" t="s">
        <v>254</v>
      </c>
    </row>
    <row r="1712" spans="2:49" x14ac:dyDescent="0.2">
      <c r="B1712" s="460" t="s">
        <v>2872</v>
      </c>
      <c r="C1712" s="460">
        <v>2134</v>
      </c>
      <c r="D1712" s="460" t="s">
        <v>2347</v>
      </c>
      <c r="E1712" s="460" t="s">
        <v>2327</v>
      </c>
      <c r="F1712" s="460">
        <v>2</v>
      </c>
      <c r="G1712" s="460">
        <v>3</v>
      </c>
      <c r="H1712" s="461" t="s">
        <v>752</v>
      </c>
      <c r="I1712" s="461" t="s">
        <v>964</v>
      </c>
      <c r="J1712" s="461" t="s">
        <v>752</v>
      </c>
      <c r="K1712" s="594"/>
      <c r="L1712" s="594"/>
      <c r="M1712" s="352">
        <v>2000</v>
      </c>
      <c r="N1712" s="352" t="s">
        <v>703</v>
      </c>
      <c r="O1712" s="460">
        <v>2134</v>
      </c>
      <c r="P1712" s="460" t="s">
        <v>775</v>
      </c>
      <c r="Q1712" s="460" t="s">
        <v>2440</v>
      </c>
      <c r="R1712" s="460">
        <v>2134</v>
      </c>
      <c r="S1712" s="460" t="s">
        <v>2324</v>
      </c>
      <c r="T1712" s="462">
        <v>1</v>
      </c>
      <c r="U1712" s="460" t="s">
        <v>2327</v>
      </c>
      <c r="V1712" s="475">
        <v>0</v>
      </c>
      <c r="W1712" s="463" t="s">
        <v>2278</v>
      </c>
      <c r="X1712" s="463" t="s">
        <v>2278</v>
      </c>
      <c r="Y1712" s="463" t="s">
        <v>2278</v>
      </c>
      <c r="Z1712" s="463"/>
      <c r="AA1712" s="463"/>
      <c r="AB1712" s="464">
        <v>0</v>
      </c>
      <c r="AC1712" s="465">
        <v>0</v>
      </c>
      <c r="AD1712" s="465">
        <v>0</v>
      </c>
      <c r="AE1712" s="476">
        <v>0</v>
      </c>
      <c r="AF1712" s="467">
        <v>0</v>
      </c>
      <c r="AG1712" s="468">
        <v>0</v>
      </c>
      <c r="AH1712" s="218">
        <v>0</v>
      </c>
      <c r="AI1712" s="470">
        <v>0</v>
      </c>
      <c r="AJ1712" s="471">
        <v>0</v>
      </c>
      <c r="AK1712" s="218">
        <v>0</v>
      </c>
      <c r="AL1712" s="470">
        <v>0</v>
      </c>
      <c r="AM1712" s="471">
        <v>0</v>
      </c>
      <c r="AN1712" s="477">
        <v>0</v>
      </c>
      <c r="AO1712" s="473">
        <v>0</v>
      </c>
      <c r="AP1712" s="474">
        <v>0</v>
      </c>
      <c r="AQ1712" s="352"/>
      <c r="AR1712" s="352"/>
      <c r="AS1712" s="352"/>
      <c r="AT1712" s="352"/>
      <c r="AU1712" s="352"/>
      <c r="AV1712" s="352"/>
      <c r="AW1712" s="352" t="s">
        <v>254</v>
      </c>
    </row>
    <row r="1713" spans="2:49" x14ac:dyDescent="0.2">
      <c r="B1713" s="460" t="s">
        <v>2873</v>
      </c>
      <c r="C1713" s="460">
        <v>2134</v>
      </c>
      <c r="D1713" s="460" t="s">
        <v>2348</v>
      </c>
      <c r="E1713" s="460" t="s">
        <v>2330</v>
      </c>
      <c r="F1713" s="460">
        <v>3</v>
      </c>
      <c r="G1713" s="460">
        <v>3</v>
      </c>
      <c r="H1713" s="461" t="s">
        <v>752</v>
      </c>
      <c r="I1713" s="461" t="s">
        <v>964</v>
      </c>
      <c r="J1713" s="461" t="s">
        <v>752</v>
      </c>
      <c r="K1713" s="594"/>
      <c r="L1713" s="594"/>
      <c r="M1713" s="352">
        <v>2000</v>
      </c>
      <c r="N1713" s="352" t="s">
        <v>703</v>
      </c>
      <c r="O1713" s="460">
        <v>2134</v>
      </c>
      <c r="P1713" s="460" t="s">
        <v>775</v>
      </c>
      <c r="Q1713" s="460" t="s">
        <v>2440</v>
      </c>
      <c r="R1713" s="460">
        <v>2134</v>
      </c>
      <c r="S1713" s="460" t="s">
        <v>2324</v>
      </c>
      <c r="T1713" s="462">
        <v>1</v>
      </c>
      <c r="U1713" s="460" t="s">
        <v>2330</v>
      </c>
      <c r="V1713" s="475">
        <v>0</v>
      </c>
      <c r="W1713" s="463" t="s">
        <v>2278</v>
      </c>
      <c r="X1713" s="463" t="s">
        <v>2278</v>
      </c>
      <c r="Y1713" s="463" t="s">
        <v>2278</v>
      </c>
      <c r="Z1713" s="463"/>
      <c r="AA1713" s="463"/>
      <c r="AB1713" s="464">
        <v>0</v>
      </c>
      <c r="AC1713" s="465">
        <v>0</v>
      </c>
      <c r="AD1713" s="465">
        <v>0</v>
      </c>
      <c r="AE1713" s="476">
        <v>0</v>
      </c>
      <c r="AF1713" s="467">
        <v>0</v>
      </c>
      <c r="AG1713" s="468">
        <v>0</v>
      </c>
      <c r="AH1713" s="218">
        <v>0</v>
      </c>
      <c r="AI1713" s="470">
        <v>0</v>
      </c>
      <c r="AJ1713" s="471">
        <v>0</v>
      </c>
      <c r="AK1713" s="218">
        <v>0</v>
      </c>
      <c r="AL1713" s="470">
        <v>0</v>
      </c>
      <c r="AM1713" s="471">
        <v>0</v>
      </c>
      <c r="AN1713" s="477">
        <v>0</v>
      </c>
      <c r="AO1713" s="473">
        <v>0</v>
      </c>
      <c r="AP1713" s="474">
        <v>0</v>
      </c>
      <c r="AQ1713" s="352"/>
      <c r="AR1713" s="352"/>
      <c r="AS1713" s="352"/>
      <c r="AT1713" s="352"/>
      <c r="AU1713" s="352"/>
      <c r="AV1713" s="352"/>
      <c r="AW1713" s="352" t="s">
        <v>254</v>
      </c>
    </row>
    <row r="1714" spans="2:49" x14ac:dyDescent="0.2">
      <c r="B1714" s="460" t="s">
        <v>2874</v>
      </c>
      <c r="C1714" s="460">
        <v>2134</v>
      </c>
      <c r="D1714" s="460" t="s">
        <v>2349</v>
      </c>
      <c r="E1714" s="460" t="s">
        <v>2333</v>
      </c>
      <c r="F1714" s="460">
        <v>4</v>
      </c>
      <c r="G1714" s="460">
        <v>3</v>
      </c>
      <c r="H1714" s="461" t="s">
        <v>752</v>
      </c>
      <c r="I1714" s="461" t="s">
        <v>964</v>
      </c>
      <c r="J1714" s="461" t="s">
        <v>752</v>
      </c>
      <c r="K1714" s="594"/>
      <c r="L1714" s="594"/>
      <c r="M1714" s="352">
        <v>2000</v>
      </c>
      <c r="N1714" s="352" t="s">
        <v>703</v>
      </c>
      <c r="O1714" s="460">
        <v>2134</v>
      </c>
      <c r="P1714" s="460" t="s">
        <v>775</v>
      </c>
      <c r="Q1714" s="460" t="s">
        <v>2440</v>
      </c>
      <c r="R1714" s="460">
        <v>2134</v>
      </c>
      <c r="S1714" s="460" t="s">
        <v>2333</v>
      </c>
      <c r="T1714" s="462">
        <v>1</v>
      </c>
      <c r="U1714" s="460" t="s">
        <v>2333</v>
      </c>
      <c r="V1714" s="475">
        <v>0</v>
      </c>
      <c r="W1714" s="463" t="s">
        <v>2278</v>
      </c>
      <c r="X1714" s="463" t="s">
        <v>2278</v>
      </c>
      <c r="Y1714" s="463" t="s">
        <v>2278</v>
      </c>
      <c r="Z1714" s="463"/>
      <c r="AA1714" s="463"/>
      <c r="AB1714" s="464">
        <v>0</v>
      </c>
      <c r="AC1714" s="465">
        <v>0</v>
      </c>
      <c r="AD1714" s="465">
        <v>0</v>
      </c>
      <c r="AE1714" s="476">
        <v>0</v>
      </c>
      <c r="AF1714" s="467">
        <v>0</v>
      </c>
      <c r="AG1714" s="468">
        <v>0</v>
      </c>
      <c r="AH1714" s="218">
        <v>0</v>
      </c>
      <c r="AI1714" s="470">
        <v>0</v>
      </c>
      <c r="AJ1714" s="471">
        <v>0</v>
      </c>
      <c r="AK1714" s="218">
        <v>0</v>
      </c>
      <c r="AL1714" s="470">
        <v>0</v>
      </c>
      <c r="AM1714" s="471">
        <v>0</v>
      </c>
      <c r="AN1714" s="477">
        <v>0</v>
      </c>
      <c r="AO1714" s="473">
        <v>0</v>
      </c>
      <c r="AP1714" s="474">
        <v>0</v>
      </c>
      <c r="AQ1714" s="352"/>
      <c r="AR1714" s="352"/>
      <c r="AS1714" s="352"/>
      <c r="AT1714" s="352"/>
      <c r="AU1714" s="352"/>
      <c r="AV1714" s="352"/>
      <c r="AW1714" s="352" t="s">
        <v>254</v>
      </c>
    </row>
    <row r="1715" spans="2:49" x14ac:dyDescent="0.2">
      <c r="B1715" s="460" t="s">
        <v>2875</v>
      </c>
      <c r="C1715" s="460">
        <v>2134</v>
      </c>
      <c r="D1715" s="460" t="s">
        <v>2351</v>
      </c>
      <c r="E1715" s="460" t="s">
        <v>1136</v>
      </c>
      <c r="F1715" s="460">
        <v>1</v>
      </c>
      <c r="G1715" s="460">
        <v>4</v>
      </c>
      <c r="H1715" s="461" t="s">
        <v>700</v>
      </c>
      <c r="I1715" s="461" t="s">
        <v>872</v>
      </c>
      <c r="J1715" s="461" t="s">
        <v>700</v>
      </c>
      <c r="K1715" s="594"/>
      <c r="L1715" s="594"/>
      <c r="M1715" s="352">
        <v>2000</v>
      </c>
      <c r="N1715" s="352" t="s">
        <v>703</v>
      </c>
      <c r="O1715" s="460">
        <v>2134</v>
      </c>
      <c r="P1715" s="460" t="s">
        <v>775</v>
      </c>
      <c r="Q1715" s="460" t="s">
        <v>2440</v>
      </c>
      <c r="R1715" s="460">
        <v>2134</v>
      </c>
      <c r="S1715" s="460" t="s">
        <v>1136</v>
      </c>
      <c r="T1715" s="462">
        <v>1</v>
      </c>
      <c r="U1715" s="460" t="s">
        <v>1136</v>
      </c>
      <c r="V1715" s="475">
        <v>0</v>
      </c>
      <c r="W1715" s="463" t="s">
        <v>2267</v>
      </c>
      <c r="X1715" s="463" t="s">
        <v>2267</v>
      </c>
      <c r="Y1715" s="463" t="s">
        <v>2268</v>
      </c>
      <c r="Z1715" s="463"/>
      <c r="AA1715" s="463"/>
      <c r="AB1715" s="464">
        <v>0.62232976608753954</v>
      </c>
      <c r="AC1715" s="465">
        <v>3.8441680089396468E-2</v>
      </c>
      <c r="AD1715" s="465">
        <v>1.7706583933873006E-3</v>
      </c>
      <c r="AE1715" s="476">
        <v>0.62232976608753954</v>
      </c>
      <c r="AF1715" s="467">
        <v>3.8441680089396468E-2</v>
      </c>
      <c r="AG1715" s="468">
        <v>1.9248146855372344E-3</v>
      </c>
      <c r="AH1715" s="218">
        <v>0.62232976608753954</v>
      </c>
      <c r="AI1715" s="470">
        <v>3.8441680089396468E-2</v>
      </c>
      <c r="AJ1715" s="471">
        <v>4.8601871446165006E-4</v>
      </c>
      <c r="AK1715" s="218">
        <v>0.62232976608753954</v>
      </c>
      <c r="AL1715" s="470">
        <v>3.8441680089396468E-2</v>
      </c>
      <c r="AM1715" s="471">
        <v>4.8601871446165006E-4</v>
      </c>
      <c r="AN1715" s="477">
        <v>0</v>
      </c>
      <c r="AO1715" s="473">
        <v>0</v>
      </c>
      <c r="AP1715" s="474">
        <v>0</v>
      </c>
      <c r="AQ1715" s="352"/>
      <c r="AR1715" s="352"/>
      <c r="AS1715" s="352"/>
      <c r="AT1715" s="352"/>
      <c r="AU1715" s="352"/>
      <c r="AV1715" s="352"/>
      <c r="AW1715" s="352" t="s">
        <v>254</v>
      </c>
    </row>
    <row r="1716" spans="2:49" x14ac:dyDescent="0.2">
      <c r="B1716" s="460" t="s">
        <v>2876</v>
      </c>
      <c r="C1716" s="460">
        <v>2134</v>
      </c>
      <c r="D1716" s="460" t="s">
        <v>2353</v>
      </c>
      <c r="E1716" s="460" t="s">
        <v>1137</v>
      </c>
      <c r="F1716" s="460">
        <v>2</v>
      </c>
      <c r="G1716" s="460">
        <v>4</v>
      </c>
      <c r="H1716" s="461" t="s">
        <v>700</v>
      </c>
      <c r="I1716" s="461" t="s">
        <v>872</v>
      </c>
      <c r="J1716" s="461" t="s">
        <v>700</v>
      </c>
      <c r="K1716" s="594"/>
      <c r="L1716" s="594"/>
      <c r="M1716" s="352">
        <v>2000</v>
      </c>
      <c r="N1716" s="352" t="s">
        <v>703</v>
      </c>
      <c r="O1716" s="460">
        <v>2134</v>
      </c>
      <c r="P1716" s="460" t="s">
        <v>775</v>
      </c>
      <c r="Q1716" s="460" t="s">
        <v>2440</v>
      </c>
      <c r="R1716" s="460">
        <v>2134</v>
      </c>
      <c r="S1716" s="460" t="s">
        <v>1137</v>
      </c>
      <c r="T1716" s="462">
        <v>1</v>
      </c>
      <c r="U1716" s="460" t="s">
        <v>1137</v>
      </c>
      <c r="V1716" s="475">
        <v>0</v>
      </c>
      <c r="W1716" s="463" t="s">
        <v>2503</v>
      </c>
      <c r="X1716" s="463" t="s">
        <v>2267</v>
      </c>
      <c r="Y1716" s="463" t="s">
        <v>2268</v>
      </c>
      <c r="Z1716" s="463"/>
      <c r="AA1716" s="463"/>
      <c r="AB1716" s="464">
        <v>1.4071440833677007</v>
      </c>
      <c r="AC1716" s="465">
        <v>6.5850987424907151E-2</v>
      </c>
      <c r="AD1716" s="465">
        <v>3.1775441203334658E-4</v>
      </c>
      <c r="AE1716" s="476">
        <v>0.8442864500206203</v>
      </c>
      <c r="AF1716" s="467">
        <v>3.9510592454944288E-2</v>
      </c>
      <c r="AG1716" s="468">
        <v>2.0539595692877305E-4</v>
      </c>
      <c r="AH1716" s="218">
        <v>1.4071440833677007</v>
      </c>
      <c r="AI1716" s="470">
        <v>6.5850987424907151E-2</v>
      </c>
      <c r="AJ1716" s="471">
        <v>2.9072923449840191E-4</v>
      </c>
      <c r="AK1716" s="218">
        <v>1.4071440833677007</v>
      </c>
      <c r="AL1716" s="470">
        <v>6.5850987424907151E-2</v>
      </c>
      <c r="AM1716" s="471">
        <v>2.9072923449840191E-4</v>
      </c>
      <c r="AN1716" s="477">
        <v>0</v>
      </c>
      <c r="AO1716" s="473">
        <v>0</v>
      </c>
      <c r="AP1716" s="474">
        <v>0</v>
      </c>
      <c r="AQ1716" s="352"/>
      <c r="AR1716" s="352"/>
      <c r="AS1716" s="352"/>
      <c r="AT1716" s="352"/>
      <c r="AU1716" s="352"/>
      <c r="AV1716" s="352"/>
      <c r="AW1716" s="352" t="s">
        <v>254</v>
      </c>
    </row>
    <row r="1717" spans="2:49" x14ac:dyDescent="0.2">
      <c r="B1717" s="460" t="s">
        <v>2877</v>
      </c>
      <c r="C1717" s="460">
        <v>2134</v>
      </c>
      <c r="D1717" s="460" t="s">
        <v>2355</v>
      </c>
      <c r="E1717" s="460" t="s">
        <v>1138</v>
      </c>
      <c r="F1717" s="460">
        <v>3</v>
      </c>
      <c r="G1717" s="460">
        <v>4</v>
      </c>
      <c r="H1717" s="461" t="s">
        <v>700</v>
      </c>
      <c r="I1717" s="461" t="s">
        <v>872</v>
      </c>
      <c r="J1717" s="461" t="s">
        <v>700</v>
      </c>
      <c r="K1717" s="594"/>
      <c r="L1717" s="594"/>
      <c r="M1717" s="352">
        <v>2000</v>
      </c>
      <c r="N1717" s="352" t="s">
        <v>703</v>
      </c>
      <c r="O1717" s="460">
        <v>2134</v>
      </c>
      <c r="P1717" s="460" t="s">
        <v>775</v>
      </c>
      <c r="Q1717" s="460" t="s">
        <v>2440</v>
      </c>
      <c r="R1717" s="460">
        <v>2134</v>
      </c>
      <c r="S1717" s="460" t="s">
        <v>1138</v>
      </c>
      <c r="T1717" s="462">
        <v>1</v>
      </c>
      <c r="U1717" s="460" t="s">
        <v>1138</v>
      </c>
      <c r="V1717" s="475">
        <v>0</v>
      </c>
      <c r="W1717" s="463" t="s">
        <v>2503</v>
      </c>
      <c r="X1717" s="463" t="s">
        <v>2267</v>
      </c>
      <c r="Y1717" s="463" t="s">
        <v>2268</v>
      </c>
      <c r="Z1717" s="463"/>
      <c r="AA1717" s="463"/>
      <c r="AB1717" s="464">
        <v>1.0284843844326486</v>
      </c>
      <c r="AC1717" s="465">
        <v>0.12281731041714021</v>
      </c>
      <c r="AD1717" s="465">
        <v>4.3151929949897136E-4</v>
      </c>
      <c r="AE1717" s="476">
        <v>0.61709063065958913</v>
      </c>
      <c r="AF1717" s="467">
        <v>7.3690386250284123E-2</v>
      </c>
      <c r="AG1717" s="468">
        <v>2.79330567283496E-4</v>
      </c>
      <c r="AH1717" s="218">
        <v>1.0284843844326486</v>
      </c>
      <c r="AI1717" s="470">
        <v>0.12281731041714021</v>
      </c>
      <c r="AJ1717" s="471">
        <v>3.5442208036814212E-4</v>
      </c>
      <c r="AK1717" s="218">
        <v>1.0284843844326486</v>
      </c>
      <c r="AL1717" s="470">
        <v>0.12281731041714021</v>
      </c>
      <c r="AM1717" s="471">
        <v>3.5442208036814212E-4</v>
      </c>
      <c r="AN1717" s="477">
        <v>0</v>
      </c>
      <c r="AO1717" s="473">
        <v>0</v>
      </c>
      <c r="AP1717" s="474">
        <v>0</v>
      </c>
      <c r="AQ1717" s="352"/>
      <c r="AR1717" s="352"/>
      <c r="AS1717" s="352"/>
      <c r="AT1717" s="352"/>
      <c r="AU1717" s="352"/>
      <c r="AV1717" s="352"/>
      <c r="AW1717" s="352" t="s">
        <v>254</v>
      </c>
    </row>
    <row r="1718" spans="2:49" x14ac:dyDescent="0.2">
      <c r="B1718" s="460" t="s">
        <v>2878</v>
      </c>
      <c r="C1718" s="460">
        <v>2134</v>
      </c>
      <c r="D1718" s="460" t="s">
        <v>2357</v>
      </c>
      <c r="E1718" s="460" t="s">
        <v>1139</v>
      </c>
      <c r="F1718" s="460">
        <v>4</v>
      </c>
      <c r="G1718" s="460">
        <v>4</v>
      </c>
      <c r="H1718" s="461" t="s">
        <v>700</v>
      </c>
      <c r="I1718" s="461" t="s">
        <v>872</v>
      </c>
      <c r="J1718" s="461" t="s">
        <v>700</v>
      </c>
      <c r="K1718" s="594"/>
      <c r="L1718" s="594"/>
      <c r="M1718" s="352">
        <v>2000</v>
      </c>
      <c r="N1718" s="352" t="s">
        <v>703</v>
      </c>
      <c r="O1718" s="460">
        <v>2134</v>
      </c>
      <c r="P1718" s="460" t="s">
        <v>775</v>
      </c>
      <c r="Q1718" s="460" t="s">
        <v>2440</v>
      </c>
      <c r="R1718" s="460">
        <v>2134</v>
      </c>
      <c r="S1718" s="460" t="s">
        <v>1139</v>
      </c>
      <c r="T1718" s="462">
        <v>1</v>
      </c>
      <c r="U1718" s="460" t="s">
        <v>1139</v>
      </c>
      <c r="V1718" s="475">
        <v>0</v>
      </c>
      <c r="W1718" s="463" t="s">
        <v>2503</v>
      </c>
      <c r="X1718" s="463" t="s">
        <v>2267</v>
      </c>
      <c r="Y1718" s="463" t="s">
        <v>2268</v>
      </c>
      <c r="Z1718" s="463"/>
      <c r="AA1718" s="463"/>
      <c r="AB1718" s="464">
        <v>0</v>
      </c>
      <c r="AC1718" s="465">
        <v>0</v>
      </c>
      <c r="AD1718" s="465">
        <v>0</v>
      </c>
      <c r="AE1718" s="476">
        <v>0</v>
      </c>
      <c r="AF1718" s="467">
        <v>0</v>
      </c>
      <c r="AG1718" s="468">
        <v>0</v>
      </c>
      <c r="AH1718" s="218">
        <v>0</v>
      </c>
      <c r="AI1718" s="470">
        <v>0</v>
      </c>
      <c r="AJ1718" s="471">
        <v>0</v>
      </c>
      <c r="AK1718" s="218">
        <v>0</v>
      </c>
      <c r="AL1718" s="470">
        <v>0</v>
      </c>
      <c r="AM1718" s="471">
        <v>0</v>
      </c>
      <c r="AN1718" s="477">
        <v>0</v>
      </c>
      <c r="AO1718" s="473">
        <v>0</v>
      </c>
      <c r="AP1718" s="474">
        <v>0</v>
      </c>
      <c r="AQ1718" s="352"/>
      <c r="AR1718" s="352"/>
      <c r="AS1718" s="352"/>
      <c r="AT1718" s="352"/>
      <c r="AU1718" s="352"/>
      <c r="AV1718" s="352"/>
      <c r="AW1718" s="352" t="s">
        <v>254</v>
      </c>
    </row>
    <row r="1719" spans="2:49" x14ac:dyDescent="0.2">
      <c r="B1719" s="460" t="s">
        <v>2875</v>
      </c>
      <c r="C1719" s="460">
        <v>2134</v>
      </c>
      <c r="D1719" s="460" t="s">
        <v>2358</v>
      </c>
      <c r="E1719" s="460" t="s">
        <v>1136</v>
      </c>
      <c r="F1719" s="460">
        <v>1</v>
      </c>
      <c r="G1719" s="460">
        <v>4</v>
      </c>
      <c r="H1719" s="461" t="s">
        <v>712</v>
      </c>
      <c r="I1719" s="461" t="s">
        <v>713</v>
      </c>
      <c r="J1719" s="461" t="s">
        <v>712</v>
      </c>
      <c r="K1719" s="594"/>
      <c r="L1719" s="594"/>
      <c r="M1719" s="352">
        <v>2000</v>
      </c>
      <c r="N1719" s="352" t="s">
        <v>703</v>
      </c>
      <c r="O1719" s="460">
        <v>2134</v>
      </c>
      <c r="P1719" s="460" t="s">
        <v>775</v>
      </c>
      <c r="Q1719" s="460" t="s">
        <v>2280</v>
      </c>
      <c r="R1719" s="460">
        <v>2134</v>
      </c>
      <c r="S1719" s="460" t="s">
        <v>1136</v>
      </c>
      <c r="T1719" s="462">
        <v>1</v>
      </c>
      <c r="U1719" s="460" t="s">
        <v>1136</v>
      </c>
      <c r="V1719" s="475">
        <v>0</v>
      </c>
      <c r="W1719" s="463" t="s">
        <v>713</v>
      </c>
      <c r="X1719" s="463" t="s">
        <v>713</v>
      </c>
      <c r="Y1719" s="463" t="s">
        <v>713</v>
      </c>
      <c r="Z1719" s="463"/>
      <c r="AA1719" s="463"/>
      <c r="AB1719" s="464">
        <v>15.319239345215214</v>
      </c>
      <c r="AC1719" s="465">
        <v>0.94627853304195297</v>
      </c>
      <c r="AD1719" s="465">
        <v>1.0095946165022307E-4</v>
      </c>
      <c r="AE1719" s="476">
        <v>15.319239345215212</v>
      </c>
      <c r="AF1719" s="467">
        <v>0.94627853304195286</v>
      </c>
      <c r="AG1719" s="468">
        <v>1.009407361074101E-4</v>
      </c>
      <c r="AH1719" s="218">
        <v>15.319239345215212</v>
      </c>
      <c r="AI1719" s="470">
        <v>0.94627853304195286</v>
      </c>
      <c r="AJ1719" s="471">
        <v>1.0196661921275936E-4</v>
      </c>
      <c r="AK1719" s="218">
        <v>15.319239345215212</v>
      </c>
      <c r="AL1719" s="470">
        <v>0.94627853304195286</v>
      </c>
      <c r="AM1719" s="471">
        <v>1.0196661921275936E-4</v>
      </c>
      <c r="AN1719" s="477">
        <v>15.319239345215212</v>
      </c>
      <c r="AO1719" s="473">
        <v>0.94627853304195286</v>
      </c>
      <c r="AP1719" s="474">
        <v>1.0180070528434619E-4</v>
      </c>
      <c r="AQ1719" s="352"/>
      <c r="AR1719" s="352"/>
      <c r="AS1719" s="352"/>
      <c r="AT1719" s="352"/>
      <c r="AU1719" s="352"/>
      <c r="AV1719" s="352"/>
      <c r="AW1719" s="352" t="s">
        <v>254</v>
      </c>
    </row>
    <row r="1720" spans="2:49" x14ac:dyDescent="0.2">
      <c r="B1720" s="460" t="s">
        <v>2876</v>
      </c>
      <c r="C1720" s="460">
        <v>2134</v>
      </c>
      <c r="D1720" s="460" t="s">
        <v>2359</v>
      </c>
      <c r="E1720" s="460" t="s">
        <v>1137</v>
      </c>
      <c r="F1720" s="460">
        <v>2</v>
      </c>
      <c r="G1720" s="460">
        <v>4</v>
      </c>
      <c r="H1720" s="461" t="s">
        <v>712</v>
      </c>
      <c r="I1720" s="461" t="s">
        <v>713</v>
      </c>
      <c r="J1720" s="461" t="s">
        <v>712</v>
      </c>
      <c r="K1720" s="594"/>
      <c r="L1720" s="594"/>
      <c r="M1720" s="352">
        <v>2000</v>
      </c>
      <c r="N1720" s="352" t="s">
        <v>703</v>
      </c>
      <c r="O1720" s="460">
        <v>2134</v>
      </c>
      <c r="P1720" s="460" t="s">
        <v>775</v>
      </c>
      <c r="Q1720" s="460" t="s">
        <v>2280</v>
      </c>
      <c r="R1720" s="460">
        <v>2134</v>
      </c>
      <c r="S1720" s="460" t="s">
        <v>1137</v>
      </c>
      <c r="T1720" s="462">
        <v>1</v>
      </c>
      <c r="U1720" s="460" t="s">
        <v>1137</v>
      </c>
      <c r="V1720" s="475">
        <v>0</v>
      </c>
      <c r="W1720" s="463" t="s">
        <v>713</v>
      </c>
      <c r="X1720" s="463" t="s">
        <v>713</v>
      </c>
      <c r="Y1720" s="463" t="s">
        <v>713</v>
      </c>
      <c r="Z1720" s="463"/>
      <c r="AA1720" s="463"/>
      <c r="AB1720" s="464">
        <v>19.88069832034239</v>
      </c>
      <c r="AC1720" s="465">
        <v>0.9303692710401299</v>
      </c>
      <c r="AD1720" s="465">
        <v>1.1497282083915412E-4</v>
      </c>
      <c r="AE1720" s="476">
        <v>20.443555953689469</v>
      </c>
      <c r="AF1720" s="467">
        <v>0.95670966601009277</v>
      </c>
      <c r="AG1720" s="468">
        <v>1.1801096599529805E-4</v>
      </c>
      <c r="AH1720" s="218">
        <v>19.88069832034239</v>
      </c>
      <c r="AI1720" s="470">
        <v>0.9303692710401299</v>
      </c>
      <c r="AJ1720" s="471">
        <v>1.1530642565389253E-4</v>
      </c>
      <c r="AK1720" s="218">
        <v>19.88069832034239</v>
      </c>
      <c r="AL1720" s="470">
        <v>0.9303692710401299</v>
      </c>
      <c r="AM1720" s="471">
        <v>1.1530642565389253E-4</v>
      </c>
      <c r="AN1720" s="477">
        <v>19.88069832034239</v>
      </c>
      <c r="AO1720" s="473">
        <v>0.9303692710401299</v>
      </c>
      <c r="AP1720" s="474">
        <v>1.1521128131167466E-4</v>
      </c>
      <c r="AQ1720" s="352"/>
      <c r="AR1720" s="352"/>
      <c r="AS1720" s="352"/>
      <c r="AT1720" s="352"/>
      <c r="AU1720" s="352"/>
      <c r="AV1720" s="352"/>
      <c r="AW1720" s="352" t="s">
        <v>254</v>
      </c>
    </row>
    <row r="1721" spans="2:49" x14ac:dyDescent="0.2">
      <c r="B1721" s="460" t="s">
        <v>2877</v>
      </c>
      <c r="C1721" s="460">
        <v>2134</v>
      </c>
      <c r="D1721" s="460" t="s">
        <v>2360</v>
      </c>
      <c r="E1721" s="460" t="s">
        <v>1138</v>
      </c>
      <c r="F1721" s="460">
        <v>3</v>
      </c>
      <c r="G1721" s="460">
        <v>4</v>
      </c>
      <c r="H1721" s="461" t="s">
        <v>712</v>
      </c>
      <c r="I1721" s="461" t="s">
        <v>713</v>
      </c>
      <c r="J1721" s="461" t="s">
        <v>712</v>
      </c>
      <c r="K1721" s="594"/>
      <c r="L1721" s="594"/>
      <c r="M1721" s="352">
        <v>2000</v>
      </c>
      <c r="N1721" s="352" t="s">
        <v>703</v>
      </c>
      <c r="O1721" s="460">
        <v>2134</v>
      </c>
      <c r="P1721" s="460" t="s">
        <v>775</v>
      </c>
      <c r="Q1721" s="460" t="s">
        <v>2280</v>
      </c>
      <c r="R1721" s="460">
        <v>2134</v>
      </c>
      <c r="S1721" s="460" t="s">
        <v>1138</v>
      </c>
      <c r="T1721" s="462">
        <v>1</v>
      </c>
      <c r="U1721" s="460" t="s">
        <v>1138</v>
      </c>
      <c r="V1721" s="475">
        <v>0</v>
      </c>
      <c r="W1721" s="463" t="s">
        <v>713</v>
      </c>
      <c r="X1721" s="463" t="s">
        <v>713</v>
      </c>
      <c r="Y1721" s="463" t="s">
        <v>713</v>
      </c>
      <c r="Z1721" s="463"/>
      <c r="AA1721" s="463"/>
      <c r="AB1721" s="464">
        <v>7.013134389919478</v>
      </c>
      <c r="AC1721" s="465">
        <v>0.83747922321543733</v>
      </c>
      <c r="AD1721" s="465">
        <v>8.7520738044877142E-5</v>
      </c>
      <c r="AE1721" s="476">
        <v>7.4245281436925374</v>
      </c>
      <c r="AF1721" s="467">
        <v>0.88660614738229349</v>
      </c>
      <c r="AG1721" s="468">
        <v>9.2453726905500599E-5</v>
      </c>
      <c r="AH1721" s="218">
        <v>7.013134389919478</v>
      </c>
      <c r="AI1721" s="470">
        <v>0.83747922321543733</v>
      </c>
      <c r="AJ1721" s="471">
        <v>8.8354844672428791E-5</v>
      </c>
      <c r="AK1721" s="218">
        <v>7.013134389919478</v>
      </c>
      <c r="AL1721" s="470">
        <v>0.83747922321543733</v>
      </c>
      <c r="AM1721" s="471">
        <v>8.8354844672428791E-5</v>
      </c>
      <c r="AN1721" s="477">
        <v>7.013134389919478</v>
      </c>
      <c r="AO1721" s="473">
        <v>0.83747922321543733</v>
      </c>
      <c r="AP1721" s="474">
        <v>8.8348185890294167E-5</v>
      </c>
      <c r="AQ1721" s="352"/>
      <c r="AR1721" s="352"/>
      <c r="AS1721" s="352"/>
      <c r="AT1721" s="352"/>
      <c r="AU1721" s="352"/>
      <c r="AV1721" s="352"/>
      <c r="AW1721" s="352" t="s">
        <v>254</v>
      </c>
    </row>
    <row r="1722" spans="2:49" x14ac:dyDescent="0.2">
      <c r="B1722" s="460" t="s">
        <v>2878</v>
      </c>
      <c r="C1722" s="460">
        <v>2134</v>
      </c>
      <c r="D1722" s="460" t="s">
        <v>2361</v>
      </c>
      <c r="E1722" s="460" t="s">
        <v>1139</v>
      </c>
      <c r="F1722" s="460">
        <v>4</v>
      </c>
      <c r="G1722" s="460">
        <v>4</v>
      </c>
      <c r="H1722" s="461" t="s">
        <v>712</v>
      </c>
      <c r="I1722" s="461" t="s">
        <v>713</v>
      </c>
      <c r="J1722" s="461" t="s">
        <v>712</v>
      </c>
      <c r="K1722" s="594"/>
      <c r="L1722" s="594"/>
      <c r="M1722" s="352">
        <v>2000</v>
      </c>
      <c r="N1722" s="352" t="s">
        <v>703</v>
      </c>
      <c r="O1722" s="460">
        <v>2134</v>
      </c>
      <c r="P1722" s="460" t="s">
        <v>775</v>
      </c>
      <c r="Q1722" s="460" t="s">
        <v>2280</v>
      </c>
      <c r="R1722" s="460">
        <v>2134</v>
      </c>
      <c r="S1722" s="460" t="s">
        <v>1139</v>
      </c>
      <c r="T1722" s="462">
        <v>1</v>
      </c>
      <c r="U1722" s="460" t="s">
        <v>1139</v>
      </c>
      <c r="V1722" s="475">
        <v>0</v>
      </c>
      <c r="W1722" s="463" t="s">
        <v>713</v>
      </c>
      <c r="X1722" s="463" t="s">
        <v>713</v>
      </c>
      <c r="Y1722" s="463" t="s">
        <v>713</v>
      </c>
      <c r="Z1722" s="463"/>
      <c r="AA1722" s="463"/>
      <c r="AB1722" s="464">
        <v>7.8670798563050841</v>
      </c>
      <c r="AC1722" s="465">
        <v>0.60595302712788557</v>
      </c>
      <c r="AD1722" s="465">
        <v>8.7106159547852458E-5</v>
      </c>
      <c r="AE1722" s="476">
        <v>7.8670798563050841</v>
      </c>
      <c r="AF1722" s="467">
        <v>0.60595302712788557</v>
      </c>
      <c r="AG1722" s="468">
        <v>8.7106159547852458E-5</v>
      </c>
      <c r="AH1722" s="218">
        <v>7.8670798563050841</v>
      </c>
      <c r="AI1722" s="470">
        <v>0.60595302712788557</v>
      </c>
      <c r="AJ1722" s="471">
        <v>8.8979626392163497E-5</v>
      </c>
      <c r="AK1722" s="218">
        <v>7.8670798563050841</v>
      </c>
      <c r="AL1722" s="470">
        <v>0.60595302712788557</v>
      </c>
      <c r="AM1722" s="471">
        <v>8.8979626392163497E-5</v>
      </c>
      <c r="AN1722" s="477">
        <v>7.8670798563050841</v>
      </c>
      <c r="AO1722" s="473">
        <v>0.60595302712788557</v>
      </c>
      <c r="AP1722" s="474">
        <v>8.8979626392163497E-5</v>
      </c>
      <c r="AQ1722" s="352"/>
      <c r="AR1722" s="352"/>
      <c r="AS1722" s="352"/>
      <c r="AT1722" s="352"/>
      <c r="AU1722" s="352"/>
      <c r="AV1722" s="352"/>
      <c r="AW1722" s="352" t="s">
        <v>254</v>
      </c>
    </row>
    <row r="1723" spans="2:49" x14ac:dyDescent="0.2">
      <c r="B1723" s="460" t="s">
        <v>2875</v>
      </c>
      <c r="C1723" s="460">
        <v>2134</v>
      </c>
      <c r="D1723" s="460" t="s">
        <v>2362</v>
      </c>
      <c r="E1723" s="460" t="s">
        <v>1136</v>
      </c>
      <c r="F1723" s="460">
        <v>1</v>
      </c>
      <c r="G1723" s="460">
        <v>4</v>
      </c>
      <c r="H1723" s="461" t="s">
        <v>746</v>
      </c>
      <c r="I1723" s="461" t="s">
        <v>762</v>
      </c>
      <c r="J1723" s="461" t="s">
        <v>700</v>
      </c>
      <c r="K1723" s="594"/>
      <c r="L1723" s="594"/>
      <c r="M1723" s="352">
        <v>2000</v>
      </c>
      <c r="N1723" s="352" t="s">
        <v>703</v>
      </c>
      <c r="O1723" s="460">
        <v>2134</v>
      </c>
      <c r="P1723" s="460" t="s">
        <v>775</v>
      </c>
      <c r="Q1723" s="460" t="s">
        <v>2444</v>
      </c>
      <c r="R1723" s="460">
        <v>2134</v>
      </c>
      <c r="S1723" s="460" t="s">
        <v>1136</v>
      </c>
      <c r="T1723" s="462">
        <v>1</v>
      </c>
      <c r="U1723" s="460" t="s">
        <v>1136</v>
      </c>
      <c r="V1723" s="475">
        <v>0</v>
      </c>
      <c r="W1723" s="463" t="s">
        <v>2268</v>
      </c>
      <c r="X1723" s="463" t="s">
        <v>2268</v>
      </c>
      <c r="Y1723" s="463" t="s">
        <v>2290</v>
      </c>
      <c r="Z1723" s="463"/>
      <c r="AA1723" s="463"/>
      <c r="AB1723" s="464">
        <v>0</v>
      </c>
      <c r="AC1723" s="465">
        <v>0</v>
      </c>
      <c r="AD1723" s="465">
        <v>0</v>
      </c>
      <c r="AE1723" s="476">
        <v>0</v>
      </c>
      <c r="AF1723" s="467">
        <v>0</v>
      </c>
      <c r="AG1723" s="468">
        <v>0</v>
      </c>
      <c r="AH1723" s="218">
        <v>0</v>
      </c>
      <c r="AI1723" s="470">
        <v>0</v>
      </c>
      <c r="AJ1723" s="471">
        <v>0</v>
      </c>
      <c r="AK1723" s="218">
        <v>0</v>
      </c>
      <c r="AL1723" s="470">
        <v>0</v>
      </c>
      <c r="AM1723" s="471">
        <v>0</v>
      </c>
      <c r="AN1723" s="477">
        <v>0</v>
      </c>
      <c r="AO1723" s="473">
        <v>0</v>
      </c>
      <c r="AP1723" s="474">
        <v>0</v>
      </c>
      <c r="AQ1723" s="352"/>
      <c r="AR1723" s="352"/>
      <c r="AS1723" s="352"/>
      <c r="AT1723" s="352"/>
      <c r="AU1723" s="352"/>
      <c r="AV1723" s="352"/>
      <c r="AW1723" s="352" t="s">
        <v>254</v>
      </c>
    </row>
    <row r="1724" spans="2:49" x14ac:dyDescent="0.2">
      <c r="B1724" s="460" t="s">
        <v>2876</v>
      </c>
      <c r="C1724" s="460">
        <v>2134</v>
      </c>
      <c r="D1724" s="460" t="s">
        <v>2363</v>
      </c>
      <c r="E1724" s="460" t="s">
        <v>1137</v>
      </c>
      <c r="F1724" s="460">
        <v>2</v>
      </c>
      <c r="G1724" s="460">
        <v>4</v>
      </c>
      <c r="H1724" s="461" t="s">
        <v>746</v>
      </c>
      <c r="I1724" s="461" t="s">
        <v>762</v>
      </c>
      <c r="J1724" s="461" t="s">
        <v>700</v>
      </c>
      <c r="K1724" s="594"/>
      <c r="L1724" s="594"/>
      <c r="M1724" s="352">
        <v>2000</v>
      </c>
      <c r="N1724" s="352" t="s">
        <v>703</v>
      </c>
      <c r="O1724" s="460">
        <v>2134</v>
      </c>
      <c r="P1724" s="460" t="s">
        <v>775</v>
      </c>
      <c r="Q1724" s="460" t="s">
        <v>2444</v>
      </c>
      <c r="R1724" s="460">
        <v>2134</v>
      </c>
      <c r="S1724" s="460" t="s">
        <v>1137</v>
      </c>
      <c r="T1724" s="462">
        <v>1</v>
      </c>
      <c r="U1724" s="460" t="s">
        <v>1137</v>
      </c>
      <c r="V1724" s="475">
        <v>0</v>
      </c>
      <c r="W1724" s="463" t="s">
        <v>2268</v>
      </c>
      <c r="X1724" s="463" t="s">
        <v>2268</v>
      </c>
      <c r="Y1724" s="463" t="s">
        <v>2290</v>
      </c>
      <c r="Z1724" s="463"/>
      <c r="AA1724" s="463"/>
      <c r="AB1724" s="464">
        <v>0</v>
      </c>
      <c r="AC1724" s="465">
        <v>0</v>
      </c>
      <c r="AD1724" s="465">
        <v>0</v>
      </c>
      <c r="AE1724" s="476">
        <v>0</v>
      </c>
      <c r="AF1724" s="467">
        <v>0</v>
      </c>
      <c r="AG1724" s="468">
        <v>0</v>
      </c>
      <c r="AH1724" s="218">
        <v>0</v>
      </c>
      <c r="AI1724" s="470">
        <v>0</v>
      </c>
      <c r="AJ1724" s="471">
        <v>0</v>
      </c>
      <c r="AK1724" s="218">
        <v>0</v>
      </c>
      <c r="AL1724" s="470">
        <v>0</v>
      </c>
      <c r="AM1724" s="471">
        <v>0</v>
      </c>
      <c r="AN1724" s="477">
        <v>0</v>
      </c>
      <c r="AO1724" s="473">
        <v>0</v>
      </c>
      <c r="AP1724" s="474">
        <v>0</v>
      </c>
      <c r="AQ1724" s="352"/>
      <c r="AR1724" s="352"/>
      <c r="AS1724" s="352"/>
      <c r="AT1724" s="352"/>
      <c r="AU1724" s="352"/>
      <c r="AV1724" s="352"/>
      <c r="AW1724" s="352" t="s">
        <v>254</v>
      </c>
    </row>
    <row r="1725" spans="2:49" x14ac:dyDescent="0.2">
      <c r="B1725" s="460" t="s">
        <v>2877</v>
      </c>
      <c r="C1725" s="460">
        <v>2134</v>
      </c>
      <c r="D1725" s="460" t="s">
        <v>2364</v>
      </c>
      <c r="E1725" s="460" t="s">
        <v>1138</v>
      </c>
      <c r="F1725" s="460">
        <v>3</v>
      </c>
      <c r="G1725" s="460">
        <v>4</v>
      </c>
      <c r="H1725" s="461" t="s">
        <v>746</v>
      </c>
      <c r="I1725" s="461" t="s">
        <v>762</v>
      </c>
      <c r="J1725" s="461" t="s">
        <v>700</v>
      </c>
      <c r="K1725" s="594"/>
      <c r="L1725" s="594"/>
      <c r="M1725" s="352">
        <v>2000</v>
      </c>
      <c r="N1725" s="352" t="s">
        <v>703</v>
      </c>
      <c r="O1725" s="460">
        <v>2134</v>
      </c>
      <c r="P1725" s="460" t="s">
        <v>775</v>
      </c>
      <c r="Q1725" s="460" t="s">
        <v>2444</v>
      </c>
      <c r="R1725" s="460">
        <v>2134</v>
      </c>
      <c r="S1725" s="460" t="s">
        <v>1138</v>
      </c>
      <c r="T1725" s="462">
        <v>1</v>
      </c>
      <c r="U1725" s="460" t="s">
        <v>1138</v>
      </c>
      <c r="V1725" s="475">
        <v>0</v>
      </c>
      <c r="W1725" s="463" t="s">
        <v>2268</v>
      </c>
      <c r="X1725" s="463" t="s">
        <v>2268</v>
      </c>
      <c r="Y1725" s="463" t="s">
        <v>2290</v>
      </c>
      <c r="Z1725" s="463"/>
      <c r="AA1725" s="463"/>
      <c r="AB1725" s="464">
        <v>0</v>
      </c>
      <c r="AC1725" s="465">
        <v>0</v>
      </c>
      <c r="AD1725" s="465">
        <v>0</v>
      </c>
      <c r="AE1725" s="476">
        <v>0</v>
      </c>
      <c r="AF1725" s="467">
        <v>0</v>
      </c>
      <c r="AG1725" s="468">
        <v>0</v>
      </c>
      <c r="AH1725" s="218">
        <v>0</v>
      </c>
      <c r="AI1725" s="470">
        <v>0</v>
      </c>
      <c r="AJ1725" s="471">
        <v>0</v>
      </c>
      <c r="AK1725" s="218">
        <v>0</v>
      </c>
      <c r="AL1725" s="470">
        <v>0</v>
      </c>
      <c r="AM1725" s="471">
        <v>0</v>
      </c>
      <c r="AN1725" s="477">
        <v>0</v>
      </c>
      <c r="AO1725" s="473">
        <v>0</v>
      </c>
      <c r="AP1725" s="474">
        <v>0</v>
      </c>
      <c r="AQ1725" s="352"/>
      <c r="AR1725" s="352"/>
      <c r="AS1725" s="352"/>
      <c r="AT1725" s="352"/>
      <c r="AU1725" s="352"/>
      <c r="AV1725" s="352"/>
      <c r="AW1725" s="352" t="s">
        <v>254</v>
      </c>
    </row>
    <row r="1726" spans="2:49" x14ac:dyDescent="0.2">
      <c r="B1726" s="460" t="s">
        <v>2878</v>
      </c>
      <c r="C1726" s="460">
        <v>2134</v>
      </c>
      <c r="D1726" s="460" t="s">
        <v>2365</v>
      </c>
      <c r="E1726" s="460" t="s">
        <v>1139</v>
      </c>
      <c r="F1726" s="460">
        <v>4</v>
      </c>
      <c r="G1726" s="460">
        <v>4</v>
      </c>
      <c r="H1726" s="461" t="s">
        <v>746</v>
      </c>
      <c r="I1726" s="461" t="s">
        <v>762</v>
      </c>
      <c r="J1726" s="461" t="s">
        <v>700</v>
      </c>
      <c r="K1726" s="594"/>
      <c r="L1726" s="594"/>
      <c r="M1726" s="352">
        <v>2000</v>
      </c>
      <c r="N1726" s="352" t="s">
        <v>703</v>
      </c>
      <c r="O1726" s="460">
        <v>2134</v>
      </c>
      <c r="P1726" s="460" t="s">
        <v>775</v>
      </c>
      <c r="Q1726" s="460" t="s">
        <v>2444</v>
      </c>
      <c r="R1726" s="460">
        <v>2134</v>
      </c>
      <c r="S1726" s="460" t="s">
        <v>1139</v>
      </c>
      <c r="T1726" s="462">
        <v>1</v>
      </c>
      <c r="U1726" s="460" t="s">
        <v>1139</v>
      </c>
      <c r="V1726" s="475">
        <v>0</v>
      </c>
      <c r="W1726" s="463" t="s">
        <v>2268</v>
      </c>
      <c r="X1726" s="463" t="s">
        <v>2268</v>
      </c>
      <c r="Y1726" s="463" t="s">
        <v>2290</v>
      </c>
      <c r="Z1726" s="463"/>
      <c r="AA1726" s="463"/>
      <c r="AB1726" s="464">
        <v>0</v>
      </c>
      <c r="AC1726" s="465">
        <v>0</v>
      </c>
      <c r="AD1726" s="465">
        <v>0</v>
      </c>
      <c r="AE1726" s="476">
        <v>0</v>
      </c>
      <c r="AF1726" s="467">
        <v>0</v>
      </c>
      <c r="AG1726" s="468">
        <v>0</v>
      </c>
      <c r="AH1726" s="218">
        <v>0</v>
      </c>
      <c r="AI1726" s="470">
        <v>0</v>
      </c>
      <c r="AJ1726" s="471">
        <v>0</v>
      </c>
      <c r="AK1726" s="218">
        <v>0</v>
      </c>
      <c r="AL1726" s="470">
        <v>0</v>
      </c>
      <c r="AM1726" s="471">
        <v>0</v>
      </c>
      <c r="AN1726" s="477">
        <v>0</v>
      </c>
      <c r="AO1726" s="473">
        <v>0</v>
      </c>
      <c r="AP1726" s="474">
        <v>0</v>
      </c>
      <c r="AQ1726" s="352"/>
      <c r="AR1726" s="352"/>
      <c r="AS1726" s="352"/>
      <c r="AT1726" s="352"/>
      <c r="AU1726" s="352"/>
      <c r="AV1726" s="352"/>
      <c r="AW1726" s="352" t="s">
        <v>254</v>
      </c>
    </row>
    <row r="1727" spans="2:49" x14ac:dyDescent="0.2">
      <c r="B1727" s="460" t="s">
        <v>2875</v>
      </c>
      <c r="C1727" s="460">
        <v>2134</v>
      </c>
      <c r="D1727" s="460" t="s">
        <v>2366</v>
      </c>
      <c r="E1727" s="460" t="s">
        <v>1136</v>
      </c>
      <c r="F1727" s="460">
        <v>1</v>
      </c>
      <c r="G1727" s="460">
        <v>4</v>
      </c>
      <c r="H1727" s="461" t="s">
        <v>748</v>
      </c>
      <c r="I1727" s="461" t="s">
        <v>765</v>
      </c>
      <c r="J1727" s="461" t="s">
        <v>700</v>
      </c>
      <c r="K1727" s="594"/>
      <c r="L1727" s="594"/>
      <c r="M1727" s="352">
        <v>2000</v>
      </c>
      <c r="N1727" s="352" t="s">
        <v>703</v>
      </c>
      <c r="O1727" s="460">
        <v>2134</v>
      </c>
      <c r="P1727" s="460" t="s">
        <v>775</v>
      </c>
      <c r="Q1727" s="460" t="s">
        <v>2440</v>
      </c>
      <c r="R1727" s="460">
        <v>2134</v>
      </c>
      <c r="S1727" s="460" t="s">
        <v>1136</v>
      </c>
      <c r="T1727" s="462">
        <v>1</v>
      </c>
      <c r="U1727" s="460" t="s">
        <v>1136</v>
      </c>
      <c r="V1727" s="475">
        <v>0</v>
      </c>
      <c r="W1727" s="463" t="s">
        <v>2268</v>
      </c>
      <c r="X1727" s="463" t="s">
        <v>2268</v>
      </c>
      <c r="Y1727" s="463" t="s">
        <v>2267</v>
      </c>
      <c r="Z1727" s="463"/>
      <c r="AA1727" s="463"/>
      <c r="AB1727" s="464">
        <v>0</v>
      </c>
      <c r="AC1727" s="465">
        <v>0</v>
      </c>
      <c r="AD1727" s="465">
        <v>0</v>
      </c>
      <c r="AE1727" s="476">
        <v>0</v>
      </c>
      <c r="AF1727" s="467">
        <v>0</v>
      </c>
      <c r="AG1727" s="468">
        <v>0</v>
      </c>
      <c r="AH1727" s="218">
        <v>0</v>
      </c>
      <c r="AI1727" s="470">
        <v>0</v>
      </c>
      <c r="AJ1727" s="471">
        <v>0</v>
      </c>
      <c r="AK1727" s="218">
        <v>0</v>
      </c>
      <c r="AL1727" s="470">
        <v>0</v>
      </c>
      <c r="AM1727" s="471">
        <v>0</v>
      </c>
      <c r="AN1727" s="477">
        <v>0.62232976608753954</v>
      </c>
      <c r="AO1727" s="473">
        <v>3.8441680089396468E-2</v>
      </c>
      <c r="AP1727" s="474">
        <v>7.6462400621375465E-4</v>
      </c>
      <c r="AQ1727" s="352"/>
      <c r="AR1727" s="352"/>
      <c r="AS1727" s="352"/>
      <c r="AT1727" s="352"/>
      <c r="AU1727" s="352"/>
      <c r="AV1727" s="352"/>
      <c r="AW1727" s="352" t="s">
        <v>254</v>
      </c>
    </row>
    <row r="1728" spans="2:49" x14ac:dyDescent="0.2">
      <c r="B1728" s="460" t="s">
        <v>2876</v>
      </c>
      <c r="C1728" s="460">
        <v>2134</v>
      </c>
      <c r="D1728" s="460" t="s">
        <v>2367</v>
      </c>
      <c r="E1728" s="460" t="s">
        <v>1137</v>
      </c>
      <c r="F1728" s="460">
        <v>2</v>
      </c>
      <c r="G1728" s="460">
        <v>4</v>
      </c>
      <c r="H1728" s="461" t="s">
        <v>748</v>
      </c>
      <c r="I1728" s="461" t="s">
        <v>765</v>
      </c>
      <c r="J1728" s="461" t="s">
        <v>700</v>
      </c>
      <c r="K1728" s="594"/>
      <c r="L1728" s="594"/>
      <c r="M1728" s="352">
        <v>2000</v>
      </c>
      <c r="N1728" s="352" t="s">
        <v>703</v>
      </c>
      <c r="O1728" s="460">
        <v>2134</v>
      </c>
      <c r="P1728" s="460" t="s">
        <v>775</v>
      </c>
      <c r="Q1728" s="460" t="s">
        <v>2440</v>
      </c>
      <c r="R1728" s="460">
        <v>2134</v>
      </c>
      <c r="S1728" s="460" t="s">
        <v>1137</v>
      </c>
      <c r="T1728" s="462">
        <v>1</v>
      </c>
      <c r="U1728" s="460" t="s">
        <v>1137</v>
      </c>
      <c r="V1728" s="475">
        <v>0</v>
      </c>
      <c r="W1728" s="463" t="s">
        <v>2268</v>
      </c>
      <c r="X1728" s="463" t="s">
        <v>2268</v>
      </c>
      <c r="Y1728" s="463" t="s">
        <v>2267</v>
      </c>
      <c r="Z1728" s="463"/>
      <c r="AA1728" s="463"/>
      <c r="AB1728" s="464">
        <v>0</v>
      </c>
      <c r="AC1728" s="465">
        <v>0</v>
      </c>
      <c r="AD1728" s="465">
        <v>0</v>
      </c>
      <c r="AE1728" s="476">
        <v>0</v>
      </c>
      <c r="AF1728" s="467">
        <v>0</v>
      </c>
      <c r="AG1728" s="468">
        <v>0</v>
      </c>
      <c r="AH1728" s="218">
        <v>0</v>
      </c>
      <c r="AI1728" s="470">
        <v>0</v>
      </c>
      <c r="AJ1728" s="471">
        <v>0</v>
      </c>
      <c r="AK1728" s="218">
        <v>0</v>
      </c>
      <c r="AL1728" s="470">
        <v>0</v>
      </c>
      <c r="AM1728" s="471">
        <v>0</v>
      </c>
      <c r="AN1728" s="477">
        <v>1.4071440833677007</v>
      </c>
      <c r="AO1728" s="473">
        <v>6.5850987424907151E-2</v>
      </c>
      <c r="AP1728" s="474">
        <v>1.3553767807153051E-3</v>
      </c>
      <c r="AQ1728" s="352"/>
      <c r="AR1728" s="352"/>
      <c r="AS1728" s="352"/>
      <c r="AT1728" s="352"/>
      <c r="AU1728" s="352"/>
      <c r="AV1728" s="352"/>
      <c r="AW1728" s="352" t="s">
        <v>254</v>
      </c>
    </row>
    <row r="1729" spans="2:49" x14ac:dyDescent="0.2">
      <c r="B1729" s="460" t="s">
        <v>2877</v>
      </c>
      <c r="C1729" s="460">
        <v>2134</v>
      </c>
      <c r="D1729" s="460" t="s">
        <v>2368</v>
      </c>
      <c r="E1729" s="460" t="s">
        <v>1138</v>
      </c>
      <c r="F1729" s="460">
        <v>3</v>
      </c>
      <c r="G1729" s="460">
        <v>4</v>
      </c>
      <c r="H1729" s="461" t="s">
        <v>748</v>
      </c>
      <c r="I1729" s="461" t="s">
        <v>765</v>
      </c>
      <c r="J1729" s="461" t="s">
        <v>700</v>
      </c>
      <c r="K1729" s="594"/>
      <c r="L1729" s="594"/>
      <c r="M1729" s="352">
        <v>2000</v>
      </c>
      <c r="N1729" s="352" t="s">
        <v>703</v>
      </c>
      <c r="O1729" s="460">
        <v>2134</v>
      </c>
      <c r="P1729" s="460" t="s">
        <v>775</v>
      </c>
      <c r="Q1729" s="460" t="s">
        <v>2440</v>
      </c>
      <c r="R1729" s="460">
        <v>2134</v>
      </c>
      <c r="S1729" s="460" t="s">
        <v>1138</v>
      </c>
      <c r="T1729" s="462">
        <v>1</v>
      </c>
      <c r="U1729" s="460" t="s">
        <v>1138</v>
      </c>
      <c r="V1729" s="475">
        <v>0</v>
      </c>
      <c r="W1729" s="463" t="s">
        <v>2268</v>
      </c>
      <c r="X1729" s="463" t="s">
        <v>2268</v>
      </c>
      <c r="Y1729" s="463" t="s">
        <v>2267</v>
      </c>
      <c r="Z1729" s="463"/>
      <c r="AA1729" s="463"/>
      <c r="AB1729" s="464">
        <v>0</v>
      </c>
      <c r="AC1729" s="465">
        <v>0</v>
      </c>
      <c r="AD1729" s="465">
        <v>0</v>
      </c>
      <c r="AE1729" s="476">
        <v>0</v>
      </c>
      <c r="AF1729" s="467">
        <v>0</v>
      </c>
      <c r="AG1729" s="468">
        <v>0</v>
      </c>
      <c r="AH1729" s="218">
        <v>0</v>
      </c>
      <c r="AI1729" s="470">
        <v>0</v>
      </c>
      <c r="AJ1729" s="471">
        <v>0</v>
      </c>
      <c r="AK1729" s="218">
        <v>0</v>
      </c>
      <c r="AL1729" s="470">
        <v>0</v>
      </c>
      <c r="AM1729" s="471">
        <v>0</v>
      </c>
      <c r="AN1729" s="477">
        <v>1.0284843844326486</v>
      </c>
      <c r="AO1729" s="473">
        <v>0.12281731041714021</v>
      </c>
      <c r="AP1729" s="474">
        <v>1.0671044828401335E-3</v>
      </c>
      <c r="AQ1729" s="352"/>
      <c r="AR1729" s="352"/>
      <c r="AS1729" s="352"/>
      <c r="AT1729" s="352"/>
      <c r="AU1729" s="352"/>
      <c r="AV1729" s="352"/>
      <c r="AW1729" s="352" t="s">
        <v>254</v>
      </c>
    </row>
    <row r="1730" spans="2:49" x14ac:dyDescent="0.2">
      <c r="B1730" s="460" t="s">
        <v>2878</v>
      </c>
      <c r="C1730" s="460">
        <v>2134</v>
      </c>
      <c r="D1730" s="460" t="s">
        <v>2369</v>
      </c>
      <c r="E1730" s="460" t="s">
        <v>1139</v>
      </c>
      <c r="F1730" s="460">
        <v>4</v>
      </c>
      <c r="G1730" s="460">
        <v>4</v>
      </c>
      <c r="H1730" s="461" t="s">
        <v>748</v>
      </c>
      <c r="I1730" s="461" t="s">
        <v>765</v>
      </c>
      <c r="J1730" s="461" t="s">
        <v>700</v>
      </c>
      <c r="K1730" s="594"/>
      <c r="L1730" s="594"/>
      <c r="M1730" s="352">
        <v>2000</v>
      </c>
      <c r="N1730" s="352" t="s">
        <v>703</v>
      </c>
      <c r="O1730" s="460">
        <v>2134</v>
      </c>
      <c r="P1730" s="460" t="s">
        <v>775</v>
      </c>
      <c r="Q1730" s="460" t="s">
        <v>2440</v>
      </c>
      <c r="R1730" s="460">
        <v>2134</v>
      </c>
      <c r="S1730" s="460" t="s">
        <v>1139</v>
      </c>
      <c r="T1730" s="462">
        <v>1</v>
      </c>
      <c r="U1730" s="460" t="s">
        <v>1139</v>
      </c>
      <c r="V1730" s="475">
        <v>0</v>
      </c>
      <c r="W1730" s="463" t="s">
        <v>2268</v>
      </c>
      <c r="X1730" s="463" t="s">
        <v>2268</v>
      </c>
      <c r="Y1730" s="463" t="s">
        <v>2267</v>
      </c>
      <c r="Z1730" s="463"/>
      <c r="AA1730" s="463"/>
      <c r="AB1730" s="464">
        <v>0</v>
      </c>
      <c r="AC1730" s="465">
        <v>0</v>
      </c>
      <c r="AD1730" s="465">
        <v>0</v>
      </c>
      <c r="AE1730" s="476">
        <v>0</v>
      </c>
      <c r="AF1730" s="467">
        <v>0</v>
      </c>
      <c r="AG1730" s="468">
        <v>0</v>
      </c>
      <c r="AH1730" s="218">
        <v>0</v>
      </c>
      <c r="AI1730" s="470">
        <v>0</v>
      </c>
      <c r="AJ1730" s="471">
        <v>0</v>
      </c>
      <c r="AK1730" s="218">
        <v>0</v>
      </c>
      <c r="AL1730" s="470">
        <v>0</v>
      </c>
      <c r="AM1730" s="471">
        <v>0</v>
      </c>
      <c r="AN1730" s="477">
        <v>0</v>
      </c>
      <c r="AO1730" s="473">
        <v>0</v>
      </c>
      <c r="AP1730" s="474">
        <v>0</v>
      </c>
      <c r="AQ1730" s="352"/>
      <c r="AR1730" s="352"/>
      <c r="AS1730" s="352"/>
      <c r="AT1730" s="352"/>
      <c r="AU1730" s="352"/>
      <c r="AV1730" s="352"/>
      <c r="AW1730" s="352" t="s">
        <v>254</v>
      </c>
    </row>
    <row r="1731" spans="2:49" x14ac:dyDescent="0.2">
      <c r="B1731" s="460" t="s">
        <v>2875</v>
      </c>
      <c r="C1731" s="460">
        <v>2134</v>
      </c>
      <c r="D1731" s="460" t="s">
        <v>2370</v>
      </c>
      <c r="E1731" s="460" t="s">
        <v>1136</v>
      </c>
      <c r="F1731" s="460">
        <v>1</v>
      </c>
      <c r="G1731" s="460">
        <v>4</v>
      </c>
      <c r="H1731" s="461" t="s">
        <v>752</v>
      </c>
      <c r="I1731" s="461" t="s">
        <v>964</v>
      </c>
      <c r="J1731" s="461" t="s">
        <v>752</v>
      </c>
      <c r="K1731" s="594"/>
      <c r="L1731" s="594"/>
      <c r="M1731" s="352">
        <v>2000</v>
      </c>
      <c r="N1731" s="352" t="s">
        <v>703</v>
      </c>
      <c r="O1731" s="460">
        <v>2134</v>
      </c>
      <c r="P1731" s="460" t="s">
        <v>775</v>
      </c>
      <c r="Q1731" s="460" t="s">
        <v>2440</v>
      </c>
      <c r="R1731" s="460">
        <v>2134</v>
      </c>
      <c r="S1731" s="460" t="s">
        <v>1136</v>
      </c>
      <c r="T1731" s="462">
        <v>1</v>
      </c>
      <c r="U1731" s="460" t="s">
        <v>1136</v>
      </c>
      <c r="V1731" s="475">
        <v>0</v>
      </c>
      <c r="W1731" s="463" t="s">
        <v>2267</v>
      </c>
      <c r="X1731" s="463" t="s">
        <v>2267</v>
      </c>
      <c r="Y1731" s="463" t="s">
        <v>2267</v>
      </c>
      <c r="Z1731" s="463"/>
      <c r="AA1731" s="463"/>
      <c r="AB1731" s="464">
        <v>0.24736343899958138</v>
      </c>
      <c r="AC1731" s="465">
        <v>1.5279786868650695E-2</v>
      </c>
      <c r="AD1731" s="465">
        <v>8.0105766211843342E-5</v>
      </c>
      <c r="AE1731" s="476">
        <v>0.24736343899958138</v>
      </c>
      <c r="AF1731" s="467">
        <v>1.5279786868650695E-2</v>
      </c>
      <c r="AG1731" s="468">
        <v>8.0105766211843342E-5</v>
      </c>
      <c r="AH1731" s="218">
        <v>0.24736343899958138</v>
      </c>
      <c r="AI1731" s="470">
        <v>1.5279786868650695E-2</v>
      </c>
      <c r="AJ1731" s="471">
        <v>6.7627857476139377E-5</v>
      </c>
      <c r="AK1731" s="218">
        <v>0.24736343899958138</v>
      </c>
      <c r="AL1731" s="470">
        <v>1.5279786868650695E-2</v>
      </c>
      <c r="AM1731" s="471">
        <v>6.7627857476139377E-5</v>
      </c>
      <c r="AN1731" s="477">
        <v>0.24736343899958138</v>
      </c>
      <c r="AO1731" s="473">
        <v>1.5279786868650695E-2</v>
      </c>
      <c r="AP1731" s="474">
        <v>6.7627857476139377E-5</v>
      </c>
      <c r="AQ1731" s="352"/>
      <c r="AR1731" s="352"/>
      <c r="AS1731" s="352"/>
      <c r="AT1731" s="352"/>
      <c r="AU1731" s="352"/>
      <c r="AV1731" s="352"/>
      <c r="AW1731" s="352" t="s">
        <v>254</v>
      </c>
    </row>
    <row r="1732" spans="2:49" x14ac:dyDescent="0.2">
      <c r="B1732" s="460" t="s">
        <v>2876</v>
      </c>
      <c r="C1732" s="460">
        <v>2134</v>
      </c>
      <c r="D1732" s="460" t="s">
        <v>2371</v>
      </c>
      <c r="E1732" s="460" t="s">
        <v>1137</v>
      </c>
      <c r="F1732" s="460">
        <v>2</v>
      </c>
      <c r="G1732" s="460">
        <v>4</v>
      </c>
      <c r="H1732" s="461" t="s">
        <v>752</v>
      </c>
      <c r="I1732" s="461" t="s">
        <v>964</v>
      </c>
      <c r="J1732" s="461" t="s">
        <v>752</v>
      </c>
      <c r="K1732" s="594"/>
      <c r="L1732" s="594"/>
      <c r="M1732" s="352">
        <v>2000</v>
      </c>
      <c r="N1732" s="352" t="s">
        <v>703</v>
      </c>
      <c r="O1732" s="460">
        <v>2134</v>
      </c>
      <c r="P1732" s="460" t="s">
        <v>775</v>
      </c>
      <c r="Q1732" s="460" t="s">
        <v>2440</v>
      </c>
      <c r="R1732" s="460">
        <v>2134</v>
      </c>
      <c r="S1732" s="460" t="s">
        <v>1137</v>
      </c>
      <c r="T1732" s="462">
        <v>1</v>
      </c>
      <c r="U1732" s="460" t="s">
        <v>1137</v>
      </c>
      <c r="V1732" s="475">
        <v>0</v>
      </c>
      <c r="W1732" s="463" t="s">
        <v>2267</v>
      </c>
      <c r="X1732" s="463" t="s">
        <v>2267</v>
      </c>
      <c r="Y1732" s="463" t="s">
        <v>2267</v>
      </c>
      <c r="Z1732" s="463"/>
      <c r="AA1732" s="463"/>
      <c r="AB1732" s="464">
        <v>8.0767823620675819E-2</v>
      </c>
      <c r="AC1732" s="465">
        <v>3.779741534962933E-3</v>
      </c>
      <c r="AD1732" s="465">
        <v>7.9030459523678861E-6</v>
      </c>
      <c r="AE1732" s="476">
        <v>8.0767823620675819E-2</v>
      </c>
      <c r="AF1732" s="467">
        <v>3.779741534962933E-3</v>
      </c>
      <c r="AG1732" s="468">
        <v>7.9030459523678861E-6</v>
      </c>
      <c r="AH1732" s="218">
        <v>8.0767823620675819E-2</v>
      </c>
      <c r="AI1732" s="470">
        <v>3.779741534962933E-3</v>
      </c>
      <c r="AJ1732" s="471">
        <v>7.8350944604962575E-6</v>
      </c>
      <c r="AK1732" s="218">
        <v>8.0767823620675819E-2</v>
      </c>
      <c r="AL1732" s="470">
        <v>3.779741534962933E-3</v>
      </c>
      <c r="AM1732" s="471">
        <v>7.8350944604962575E-6</v>
      </c>
      <c r="AN1732" s="477">
        <v>8.0767823620675819E-2</v>
      </c>
      <c r="AO1732" s="473">
        <v>3.779741534962933E-3</v>
      </c>
      <c r="AP1732" s="474">
        <v>7.8350944604962575E-6</v>
      </c>
      <c r="AQ1732" s="352"/>
      <c r="AR1732" s="352"/>
      <c r="AS1732" s="352"/>
      <c r="AT1732" s="352"/>
      <c r="AU1732" s="352"/>
      <c r="AV1732" s="352"/>
      <c r="AW1732" s="352" t="s">
        <v>254</v>
      </c>
    </row>
    <row r="1733" spans="2:49" x14ac:dyDescent="0.2">
      <c r="B1733" s="460" t="s">
        <v>2877</v>
      </c>
      <c r="C1733" s="460">
        <v>2134</v>
      </c>
      <c r="D1733" s="460" t="s">
        <v>2372</v>
      </c>
      <c r="E1733" s="460" t="s">
        <v>1138</v>
      </c>
      <c r="F1733" s="460">
        <v>3</v>
      </c>
      <c r="G1733" s="460">
        <v>4</v>
      </c>
      <c r="H1733" s="461" t="s">
        <v>752</v>
      </c>
      <c r="I1733" s="461" t="s">
        <v>964</v>
      </c>
      <c r="J1733" s="461" t="s">
        <v>752</v>
      </c>
      <c r="K1733" s="594"/>
      <c r="L1733" s="594"/>
      <c r="M1733" s="352">
        <v>2000</v>
      </c>
      <c r="N1733" s="352" t="s">
        <v>703</v>
      </c>
      <c r="O1733" s="460">
        <v>2134</v>
      </c>
      <c r="P1733" s="460" t="s">
        <v>775</v>
      </c>
      <c r="Q1733" s="460" t="s">
        <v>2440</v>
      </c>
      <c r="R1733" s="460">
        <v>2134</v>
      </c>
      <c r="S1733" s="460" t="s">
        <v>1138</v>
      </c>
      <c r="T1733" s="462">
        <v>1</v>
      </c>
      <c r="U1733" s="460" t="s">
        <v>1138</v>
      </c>
      <c r="V1733" s="475">
        <v>0</v>
      </c>
      <c r="W1733" s="463" t="s">
        <v>2267</v>
      </c>
      <c r="X1733" s="463" t="s">
        <v>2267</v>
      </c>
      <c r="Y1733" s="463" t="s">
        <v>2267</v>
      </c>
      <c r="Z1733" s="463"/>
      <c r="AA1733" s="463"/>
      <c r="AB1733" s="464">
        <v>0.33248078001423154</v>
      </c>
      <c r="AC1733" s="465">
        <v>3.9703466367422391E-2</v>
      </c>
      <c r="AD1733" s="465">
        <v>5.7427225672666363E-5</v>
      </c>
      <c r="AE1733" s="476">
        <v>0.33248078001423154</v>
      </c>
      <c r="AF1733" s="467">
        <v>3.9703466367422391E-2</v>
      </c>
      <c r="AG1733" s="468">
        <v>5.7427225672666363E-5</v>
      </c>
      <c r="AH1733" s="218">
        <v>0.33248078001423154</v>
      </c>
      <c r="AI1733" s="470">
        <v>3.9703466367422391E-2</v>
      </c>
      <c r="AJ1733" s="471">
        <v>5.5159609760965812E-5</v>
      </c>
      <c r="AK1733" s="218">
        <v>0.33248078001423154</v>
      </c>
      <c r="AL1733" s="470">
        <v>3.9703466367422391E-2</v>
      </c>
      <c r="AM1733" s="471">
        <v>5.5159609760965812E-5</v>
      </c>
      <c r="AN1733" s="477">
        <v>0.33248078001423154</v>
      </c>
      <c r="AO1733" s="473">
        <v>3.9703466367422391E-2</v>
      </c>
      <c r="AP1733" s="474">
        <v>5.5159609760965812E-5</v>
      </c>
      <c r="AQ1733" s="352"/>
      <c r="AR1733" s="352"/>
      <c r="AS1733" s="352"/>
      <c r="AT1733" s="352"/>
      <c r="AU1733" s="352"/>
      <c r="AV1733" s="352"/>
      <c r="AW1733" s="352" t="s">
        <v>254</v>
      </c>
    </row>
    <row r="1734" spans="2:49" x14ac:dyDescent="0.2">
      <c r="B1734" s="460" t="s">
        <v>2878</v>
      </c>
      <c r="C1734" s="460">
        <v>2134</v>
      </c>
      <c r="D1734" s="460" t="s">
        <v>2373</v>
      </c>
      <c r="E1734" s="460" t="s">
        <v>1139</v>
      </c>
      <c r="F1734" s="460">
        <v>4</v>
      </c>
      <c r="G1734" s="460">
        <v>4</v>
      </c>
      <c r="H1734" s="461" t="s">
        <v>752</v>
      </c>
      <c r="I1734" s="461" t="s">
        <v>964</v>
      </c>
      <c r="J1734" s="461" t="s">
        <v>752</v>
      </c>
      <c r="K1734" s="594"/>
      <c r="L1734" s="594"/>
      <c r="M1734" s="352">
        <v>2000</v>
      </c>
      <c r="N1734" s="352" t="s">
        <v>703</v>
      </c>
      <c r="O1734" s="460">
        <v>2134</v>
      </c>
      <c r="P1734" s="460" t="s">
        <v>775</v>
      </c>
      <c r="Q1734" s="460" t="s">
        <v>2440</v>
      </c>
      <c r="R1734" s="460">
        <v>2134</v>
      </c>
      <c r="S1734" s="460" t="s">
        <v>1139</v>
      </c>
      <c r="T1734" s="462">
        <v>1</v>
      </c>
      <c r="U1734" s="460" t="s">
        <v>1139</v>
      </c>
      <c r="V1734" s="475">
        <v>0</v>
      </c>
      <c r="W1734" s="463" t="s">
        <v>2267</v>
      </c>
      <c r="X1734" s="463" t="s">
        <v>2267</v>
      </c>
      <c r="Y1734" s="463" t="s">
        <v>2267</v>
      </c>
      <c r="Z1734" s="463"/>
      <c r="AA1734" s="463"/>
      <c r="AB1734" s="464">
        <v>5.1159064546862254</v>
      </c>
      <c r="AC1734" s="465">
        <v>0.39404697287211443</v>
      </c>
      <c r="AD1734" s="465">
        <v>2.0395723892903064E-4</v>
      </c>
      <c r="AE1734" s="476">
        <v>5.1159064546862254</v>
      </c>
      <c r="AF1734" s="467">
        <v>0.39404697287211443</v>
      </c>
      <c r="AG1734" s="468">
        <v>2.0395723892903064E-4</v>
      </c>
      <c r="AH1734" s="218">
        <v>5.1159064546862254</v>
      </c>
      <c r="AI1734" s="470">
        <v>0.39404697287211443</v>
      </c>
      <c r="AJ1734" s="471">
        <v>1.8958450166964294E-4</v>
      </c>
      <c r="AK1734" s="218">
        <v>5.1159064546862254</v>
      </c>
      <c r="AL1734" s="470">
        <v>0.39404697287211443</v>
      </c>
      <c r="AM1734" s="471">
        <v>1.8958450166964294E-4</v>
      </c>
      <c r="AN1734" s="477">
        <v>5.1159064546862254</v>
      </c>
      <c r="AO1734" s="473">
        <v>0.39404697287211443</v>
      </c>
      <c r="AP1734" s="474">
        <v>1.8958450166964294E-4</v>
      </c>
      <c r="AQ1734" s="352"/>
      <c r="AR1734" s="352"/>
      <c r="AS1734" s="352"/>
      <c r="AT1734" s="352"/>
      <c r="AU1734" s="352"/>
      <c r="AV1734" s="352"/>
      <c r="AW1734" s="352" t="s">
        <v>254</v>
      </c>
    </row>
    <row r="1735" spans="2:49" x14ac:dyDescent="0.2">
      <c r="B1735" s="460" t="s">
        <v>2879</v>
      </c>
      <c r="C1735" s="460">
        <v>2134</v>
      </c>
      <c r="D1735" s="460" t="s">
        <v>2375</v>
      </c>
      <c r="E1735" s="460" t="s">
        <v>2376</v>
      </c>
      <c r="F1735" s="460">
        <v>1</v>
      </c>
      <c r="G1735" s="460">
        <v>5</v>
      </c>
      <c r="H1735" s="461" t="s">
        <v>754</v>
      </c>
      <c r="I1735" s="461" t="s">
        <v>1991</v>
      </c>
      <c r="J1735" s="461" t="s">
        <v>754</v>
      </c>
      <c r="K1735" s="594"/>
      <c r="L1735" s="594"/>
      <c r="M1735" s="352">
        <v>2000</v>
      </c>
      <c r="N1735" s="352" t="s">
        <v>703</v>
      </c>
      <c r="O1735" s="460">
        <v>2134</v>
      </c>
      <c r="P1735" s="460" t="s">
        <v>775</v>
      </c>
      <c r="Q1735" s="460" t="s">
        <v>2377</v>
      </c>
      <c r="R1735" s="460">
        <v>2134</v>
      </c>
      <c r="S1735" s="460" t="s">
        <v>2376</v>
      </c>
      <c r="T1735" s="462">
        <v>1</v>
      </c>
      <c r="U1735" s="460" t="s">
        <v>2376</v>
      </c>
      <c r="V1735" s="475">
        <v>0</v>
      </c>
      <c r="W1735" s="463" t="s">
        <v>2278</v>
      </c>
      <c r="X1735" s="463" t="s">
        <v>2278</v>
      </c>
      <c r="Y1735" s="463" t="s">
        <v>2278</v>
      </c>
      <c r="Z1735" s="463"/>
      <c r="AA1735" s="463"/>
      <c r="AB1735" s="464">
        <v>60.588340533294769</v>
      </c>
      <c r="AC1735" s="465">
        <v>1</v>
      </c>
      <c r="AD1735" s="465">
        <v>1.0185535234494145E-4</v>
      </c>
      <c r="AE1735" s="476">
        <v>60.588340533294769</v>
      </c>
      <c r="AF1735" s="467">
        <v>1</v>
      </c>
      <c r="AG1735" s="468">
        <v>1.0185535234494145E-4</v>
      </c>
      <c r="AH1735" s="218">
        <v>60.588340533294769</v>
      </c>
      <c r="AI1735" s="470">
        <v>1</v>
      </c>
      <c r="AJ1735" s="471">
        <v>1.0185535234494145E-4</v>
      </c>
      <c r="AK1735" s="218">
        <v>60.588340533294769</v>
      </c>
      <c r="AL1735" s="470">
        <v>1</v>
      </c>
      <c r="AM1735" s="471">
        <v>1.0185535234494145E-4</v>
      </c>
      <c r="AN1735" s="477">
        <v>60.588340533294769</v>
      </c>
      <c r="AO1735" s="473">
        <v>1</v>
      </c>
      <c r="AP1735" s="474">
        <v>1.0185535234494145E-4</v>
      </c>
      <c r="AQ1735" s="352"/>
      <c r="AR1735" s="352"/>
      <c r="AS1735" s="352"/>
      <c r="AT1735" s="352"/>
      <c r="AU1735" s="352"/>
      <c r="AV1735" s="352"/>
      <c r="AW1735" s="352" t="s">
        <v>127</v>
      </c>
    </row>
    <row r="1736" spans="2:49" x14ac:dyDescent="0.2">
      <c r="B1736" s="460" t="s">
        <v>2880</v>
      </c>
      <c r="C1736" s="460">
        <v>2134</v>
      </c>
      <c r="D1736" s="460" t="s">
        <v>2379</v>
      </c>
      <c r="E1736" s="460" t="s">
        <v>2380</v>
      </c>
      <c r="F1736" s="460">
        <v>2</v>
      </c>
      <c r="G1736" s="460">
        <v>5</v>
      </c>
      <c r="H1736" s="461" t="s">
        <v>754</v>
      </c>
      <c r="I1736" s="461" t="s">
        <v>1991</v>
      </c>
      <c r="J1736" s="461" t="s">
        <v>754</v>
      </c>
      <c r="K1736" s="594"/>
      <c r="L1736" s="594"/>
      <c r="M1736" s="352">
        <v>2000</v>
      </c>
      <c r="N1736" s="352" t="s">
        <v>703</v>
      </c>
      <c r="O1736" s="460">
        <v>2134</v>
      </c>
      <c r="P1736" s="460" t="s">
        <v>775</v>
      </c>
      <c r="Q1736" s="460" t="s">
        <v>2377</v>
      </c>
      <c r="R1736" s="460">
        <v>2134</v>
      </c>
      <c r="S1736" s="460" t="s">
        <v>2380</v>
      </c>
      <c r="T1736" s="462">
        <v>1</v>
      </c>
      <c r="U1736" s="460" t="s">
        <v>2380</v>
      </c>
      <c r="V1736" s="475">
        <v>0</v>
      </c>
      <c r="W1736" s="463" t="s">
        <v>2278</v>
      </c>
      <c r="X1736" s="463" t="s">
        <v>2278</v>
      </c>
      <c r="Y1736" s="463" t="s">
        <v>2278</v>
      </c>
      <c r="Z1736" s="463"/>
      <c r="AA1736" s="463"/>
      <c r="AB1736" s="464">
        <v>48.568647047169662</v>
      </c>
      <c r="AC1736" s="465">
        <v>1</v>
      </c>
      <c r="AD1736" s="465">
        <v>9.56415594783313E-5</v>
      </c>
      <c r="AE1736" s="476">
        <v>48.568647047169662</v>
      </c>
      <c r="AF1736" s="467">
        <v>1</v>
      </c>
      <c r="AG1736" s="468">
        <v>9.56415594783313E-5</v>
      </c>
      <c r="AH1736" s="218">
        <v>48.568647047169662</v>
      </c>
      <c r="AI1736" s="470">
        <v>1</v>
      </c>
      <c r="AJ1736" s="471">
        <v>9.56415594783313E-5</v>
      </c>
      <c r="AK1736" s="218">
        <v>48.568647047169662</v>
      </c>
      <c r="AL1736" s="470">
        <v>1</v>
      </c>
      <c r="AM1736" s="471">
        <v>9.56415594783313E-5</v>
      </c>
      <c r="AN1736" s="477">
        <v>48.568647047169662</v>
      </c>
      <c r="AO1736" s="473">
        <v>1</v>
      </c>
      <c r="AP1736" s="474">
        <v>9.56415594783313E-5</v>
      </c>
      <c r="AQ1736" s="352"/>
      <c r="AR1736" s="352"/>
      <c r="AS1736" s="352"/>
      <c r="AT1736" s="352"/>
      <c r="AU1736" s="352"/>
      <c r="AV1736" s="352"/>
      <c r="AW1736" s="352" t="s">
        <v>127</v>
      </c>
    </row>
    <row r="1737" spans="2:49" x14ac:dyDescent="0.2">
      <c r="B1737" s="460" t="s">
        <v>2881</v>
      </c>
      <c r="C1737" s="460">
        <v>2134</v>
      </c>
      <c r="D1737" s="460" t="s">
        <v>2382</v>
      </c>
      <c r="E1737" s="460" t="s">
        <v>2383</v>
      </c>
      <c r="F1737" s="460">
        <v>3</v>
      </c>
      <c r="G1737" s="460">
        <v>5</v>
      </c>
      <c r="H1737" s="461" t="s">
        <v>754</v>
      </c>
      <c r="I1737" s="461" t="s">
        <v>1991</v>
      </c>
      <c r="J1737" s="461" t="s">
        <v>754</v>
      </c>
      <c r="K1737" s="594"/>
      <c r="L1737" s="594"/>
      <c r="M1737" s="352">
        <v>2000</v>
      </c>
      <c r="N1737" s="352" t="s">
        <v>703</v>
      </c>
      <c r="O1737" s="460">
        <v>2134</v>
      </c>
      <c r="P1737" s="460" t="s">
        <v>775</v>
      </c>
      <c r="Q1737" s="460" t="s">
        <v>2377</v>
      </c>
      <c r="R1737" s="460">
        <v>2134</v>
      </c>
      <c r="S1737" s="460" t="s">
        <v>2383</v>
      </c>
      <c r="T1737" s="462">
        <v>1</v>
      </c>
      <c r="U1737" s="460" t="s">
        <v>2383</v>
      </c>
      <c r="V1737" s="475">
        <v>0</v>
      </c>
      <c r="W1737" s="463" t="s">
        <v>2278</v>
      </c>
      <c r="X1737" s="463" t="s">
        <v>2278</v>
      </c>
      <c r="Y1737" s="463" t="s">
        <v>2278</v>
      </c>
      <c r="Z1737" s="463"/>
      <c r="AA1737" s="463"/>
      <c r="AB1737" s="464">
        <v>6.9319905380966933</v>
      </c>
      <c r="AC1737" s="465">
        <v>1</v>
      </c>
      <c r="AD1737" s="465">
        <v>6.1616094029913902E-5</v>
      </c>
      <c r="AE1737" s="476">
        <v>6.9319905380966933</v>
      </c>
      <c r="AF1737" s="467">
        <v>1</v>
      </c>
      <c r="AG1737" s="468">
        <v>6.1616094029913902E-5</v>
      </c>
      <c r="AH1737" s="218">
        <v>6.9319905380966933</v>
      </c>
      <c r="AI1737" s="470">
        <v>1</v>
      </c>
      <c r="AJ1737" s="471">
        <v>6.1616094029913902E-5</v>
      </c>
      <c r="AK1737" s="218">
        <v>6.9319905380966933</v>
      </c>
      <c r="AL1737" s="470">
        <v>1</v>
      </c>
      <c r="AM1737" s="471">
        <v>6.1616094029913902E-5</v>
      </c>
      <c r="AN1737" s="477">
        <v>6.9319905380966933</v>
      </c>
      <c r="AO1737" s="473">
        <v>1</v>
      </c>
      <c r="AP1737" s="474">
        <v>6.1616094029913902E-5</v>
      </c>
      <c r="AQ1737" s="352"/>
      <c r="AR1737" s="352"/>
      <c r="AS1737" s="352"/>
      <c r="AT1737" s="352"/>
      <c r="AU1737" s="352"/>
      <c r="AV1737" s="352"/>
      <c r="AW1737" s="352" t="s">
        <v>127</v>
      </c>
    </row>
    <row r="1738" spans="2:49" x14ac:dyDescent="0.2">
      <c r="B1738" s="460" t="s">
        <v>2882</v>
      </c>
      <c r="C1738" s="460">
        <v>2134</v>
      </c>
      <c r="D1738" s="460" t="s">
        <v>2385</v>
      </c>
      <c r="E1738" s="460" t="s">
        <v>2386</v>
      </c>
      <c r="F1738" s="460">
        <v>4</v>
      </c>
      <c r="G1738" s="460">
        <v>5</v>
      </c>
      <c r="H1738" s="461" t="s">
        <v>754</v>
      </c>
      <c r="I1738" s="461" t="s">
        <v>1991</v>
      </c>
      <c r="J1738" s="461" t="s">
        <v>754</v>
      </c>
      <c r="K1738" s="594"/>
      <c r="L1738" s="594"/>
      <c r="M1738" s="352">
        <v>2000</v>
      </c>
      <c r="N1738" s="352" t="s">
        <v>703</v>
      </c>
      <c r="O1738" s="460">
        <v>2134</v>
      </c>
      <c r="P1738" s="460" t="s">
        <v>775</v>
      </c>
      <c r="Q1738" s="460" t="s">
        <v>2377</v>
      </c>
      <c r="R1738" s="460">
        <v>2134</v>
      </c>
      <c r="S1738" s="460" t="s">
        <v>2386</v>
      </c>
      <c r="T1738" s="462">
        <v>1</v>
      </c>
      <c r="U1738" s="460" t="s">
        <v>2386</v>
      </c>
      <c r="V1738" s="475">
        <v>0</v>
      </c>
      <c r="W1738" s="463" t="s">
        <v>2278</v>
      </c>
      <c r="X1738" s="463" t="s">
        <v>2278</v>
      </c>
      <c r="Y1738" s="463" t="s">
        <v>2278</v>
      </c>
      <c r="Z1738" s="463"/>
      <c r="AA1738" s="463"/>
      <c r="AB1738" s="464">
        <v>5.3049133729424813</v>
      </c>
      <c r="AC1738" s="465">
        <v>1</v>
      </c>
      <c r="AD1738" s="465">
        <v>9.8410055394379108E-5</v>
      </c>
      <c r="AE1738" s="476">
        <v>5.3049133729424813</v>
      </c>
      <c r="AF1738" s="467">
        <v>1</v>
      </c>
      <c r="AG1738" s="468">
        <v>9.8410055394379108E-5</v>
      </c>
      <c r="AH1738" s="218">
        <v>5.3049133729424813</v>
      </c>
      <c r="AI1738" s="470">
        <v>1</v>
      </c>
      <c r="AJ1738" s="471">
        <v>9.8410055394379108E-5</v>
      </c>
      <c r="AK1738" s="218">
        <v>5.3049133729424813</v>
      </c>
      <c r="AL1738" s="470">
        <v>1</v>
      </c>
      <c r="AM1738" s="471">
        <v>9.8410055394379108E-5</v>
      </c>
      <c r="AN1738" s="477">
        <v>5.3049133729424813</v>
      </c>
      <c r="AO1738" s="473">
        <v>1</v>
      </c>
      <c r="AP1738" s="474">
        <v>9.8410055394379108E-5</v>
      </c>
      <c r="AQ1738" s="352"/>
      <c r="AR1738" s="352"/>
      <c r="AS1738" s="352"/>
      <c r="AT1738" s="352"/>
      <c r="AU1738" s="352"/>
      <c r="AV1738" s="352"/>
      <c r="AW1738" s="352" t="s">
        <v>127</v>
      </c>
    </row>
    <row r="1739" spans="2:49" x14ac:dyDescent="0.2">
      <c r="B1739" s="460" t="s">
        <v>2883</v>
      </c>
      <c r="C1739" s="460">
        <v>2134</v>
      </c>
      <c r="D1739" s="460" t="s">
        <v>2388</v>
      </c>
      <c r="E1739" s="460" t="s">
        <v>2389</v>
      </c>
      <c r="F1739" s="460">
        <v>1</v>
      </c>
      <c r="G1739" s="460">
        <v>6</v>
      </c>
      <c r="H1739" s="461" t="s">
        <v>754</v>
      </c>
      <c r="I1739" s="461" t="s">
        <v>1991</v>
      </c>
      <c r="J1739" s="461" t="s">
        <v>754</v>
      </c>
      <c r="K1739" s="594"/>
      <c r="L1739" s="594"/>
      <c r="M1739" s="352">
        <v>2000</v>
      </c>
      <c r="N1739" s="352" t="s">
        <v>703</v>
      </c>
      <c r="O1739" s="460">
        <v>2134</v>
      </c>
      <c r="P1739" s="460" t="s">
        <v>775</v>
      </c>
      <c r="Q1739" s="460" t="s">
        <v>2377</v>
      </c>
      <c r="R1739" s="460">
        <v>2134</v>
      </c>
      <c r="S1739" s="460" t="s">
        <v>2389</v>
      </c>
      <c r="T1739" s="462">
        <v>1</v>
      </c>
      <c r="U1739" s="460" t="s">
        <v>2389</v>
      </c>
      <c r="V1739" s="475">
        <v>0</v>
      </c>
      <c r="W1739" s="463" t="s">
        <v>2278</v>
      </c>
      <c r="X1739" s="463" t="s">
        <v>2278</v>
      </c>
      <c r="Y1739" s="463" t="s">
        <v>2278</v>
      </c>
      <c r="Z1739" s="463"/>
      <c r="AA1739" s="463"/>
      <c r="AB1739" s="464">
        <v>0</v>
      </c>
      <c r="AC1739" s="465">
        <v>0</v>
      </c>
      <c r="AD1739" s="465">
        <v>0</v>
      </c>
      <c r="AE1739" s="476">
        <v>0</v>
      </c>
      <c r="AF1739" s="467">
        <v>0</v>
      </c>
      <c r="AG1739" s="468">
        <v>0</v>
      </c>
      <c r="AH1739" s="218">
        <v>0</v>
      </c>
      <c r="AI1739" s="470">
        <v>0</v>
      </c>
      <c r="AJ1739" s="471">
        <v>0</v>
      </c>
      <c r="AK1739" s="218">
        <v>0</v>
      </c>
      <c r="AL1739" s="470">
        <v>0</v>
      </c>
      <c r="AM1739" s="471">
        <v>0</v>
      </c>
      <c r="AN1739" s="477">
        <v>0</v>
      </c>
      <c r="AO1739" s="473">
        <v>0</v>
      </c>
      <c r="AP1739" s="474">
        <v>0</v>
      </c>
      <c r="AQ1739" s="352"/>
      <c r="AR1739" s="352"/>
      <c r="AS1739" s="352"/>
      <c r="AT1739" s="352"/>
      <c r="AU1739" s="352"/>
      <c r="AV1739" s="352"/>
      <c r="AW1739" s="352" t="s">
        <v>127</v>
      </c>
    </row>
    <row r="1740" spans="2:49" x14ac:dyDescent="0.2">
      <c r="B1740" s="460" t="s">
        <v>2884</v>
      </c>
      <c r="C1740" s="460">
        <v>2134</v>
      </c>
      <c r="D1740" s="460" t="s">
        <v>2391</v>
      </c>
      <c r="E1740" s="460" t="s">
        <v>2392</v>
      </c>
      <c r="F1740" s="460">
        <v>2</v>
      </c>
      <c r="G1740" s="460">
        <v>6</v>
      </c>
      <c r="H1740" s="461" t="s">
        <v>754</v>
      </c>
      <c r="I1740" s="461" t="s">
        <v>1991</v>
      </c>
      <c r="J1740" s="461" t="s">
        <v>754</v>
      </c>
      <c r="K1740" s="594"/>
      <c r="L1740" s="594"/>
      <c r="M1740" s="352">
        <v>2000</v>
      </c>
      <c r="N1740" s="352" t="s">
        <v>703</v>
      </c>
      <c r="O1740" s="460">
        <v>2134</v>
      </c>
      <c r="P1740" s="460" t="s">
        <v>775</v>
      </c>
      <c r="Q1740" s="460" t="s">
        <v>2377</v>
      </c>
      <c r="R1740" s="460">
        <v>2134</v>
      </c>
      <c r="S1740" s="460" t="s">
        <v>2392</v>
      </c>
      <c r="T1740" s="462">
        <v>1</v>
      </c>
      <c r="U1740" s="460" t="s">
        <v>2392</v>
      </c>
      <c r="V1740" s="475">
        <v>0</v>
      </c>
      <c r="W1740" s="463" t="s">
        <v>2278</v>
      </c>
      <c r="X1740" s="463" t="s">
        <v>2278</v>
      </c>
      <c r="Y1740" s="463" t="s">
        <v>2278</v>
      </c>
      <c r="Z1740" s="463"/>
      <c r="AA1740" s="463"/>
      <c r="AB1740" s="464">
        <v>0</v>
      </c>
      <c r="AC1740" s="465">
        <v>0</v>
      </c>
      <c r="AD1740" s="465">
        <v>0</v>
      </c>
      <c r="AE1740" s="476">
        <v>0</v>
      </c>
      <c r="AF1740" s="467">
        <v>0</v>
      </c>
      <c r="AG1740" s="468">
        <v>0</v>
      </c>
      <c r="AH1740" s="218">
        <v>0</v>
      </c>
      <c r="AI1740" s="470">
        <v>0</v>
      </c>
      <c r="AJ1740" s="471">
        <v>0</v>
      </c>
      <c r="AK1740" s="218">
        <v>0</v>
      </c>
      <c r="AL1740" s="470">
        <v>0</v>
      </c>
      <c r="AM1740" s="471">
        <v>0</v>
      </c>
      <c r="AN1740" s="477">
        <v>0</v>
      </c>
      <c r="AO1740" s="473">
        <v>0</v>
      </c>
      <c r="AP1740" s="474">
        <v>0</v>
      </c>
      <c r="AQ1740" s="352"/>
      <c r="AR1740" s="352"/>
      <c r="AS1740" s="352"/>
      <c r="AT1740" s="352"/>
      <c r="AU1740" s="352"/>
      <c r="AV1740" s="352"/>
      <c r="AW1740" s="352" t="s">
        <v>127</v>
      </c>
    </row>
    <row r="1741" spans="2:49" x14ac:dyDescent="0.2">
      <c r="B1741" s="460" t="s">
        <v>2885</v>
      </c>
      <c r="C1741" s="460">
        <v>2134</v>
      </c>
      <c r="D1741" s="460" t="s">
        <v>2394</v>
      </c>
      <c r="E1741" s="460" t="s">
        <v>2395</v>
      </c>
      <c r="F1741" s="460">
        <v>3</v>
      </c>
      <c r="G1741" s="460">
        <v>6</v>
      </c>
      <c r="H1741" s="461" t="s">
        <v>754</v>
      </c>
      <c r="I1741" s="461" t="s">
        <v>1991</v>
      </c>
      <c r="J1741" s="461" t="s">
        <v>754</v>
      </c>
      <c r="K1741" s="594"/>
      <c r="L1741" s="594"/>
      <c r="M1741" s="352">
        <v>2000</v>
      </c>
      <c r="N1741" s="352" t="s">
        <v>703</v>
      </c>
      <c r="O1741" s="460">
        <v>2134</v>
      </c>
      <c r="P1741" s="460" t="s">
        <v>775</v>
      </c>
      <c r="Q1741" s="460" t="s">
        <v>2377</v>
      </c>
      <c r="R1741" s="460">
        <v>2134</v>
      </c>
      <c r="S1741" s="460" t="s">
        <v>2395</v>
      </c>
      <c r="T1741" s="462">
        <v>1</v>
      </c>
      <c r="U1741" s="460" t="s">
        <v>2395</v>
      </c>
      <c r="V1741" s="475">
        <v>0</v>
      </c>
      <c r="W1741" s="463" t="s">
        <v>2278</v>
      </c>
      <c r="X1741" s="463" t="s">
        <v>2278</v>
      </c>
      <c r="Y1741" s="463" t="s">
        <v>2278</v>
      </c>
      <c r="Z1741" s="463"/>
      <c r="AA1741" s="463"/>
      <c r="AB1741" s="464">
        <v>0</v>
      </c>
      <c r="AC1741" s="465">
        <v>0</v>
      </c>
      <c r="AD1741" s="465">
        <v>0</v>
      </c>
      <c r="AE1741" s="476">
        <v>0</v>
      </c>
      <c r="AF1741" s="467">
        <v>0</v>
      </c>
      <c r="AG1741" s="468">
        <v>0</v>
      </c>
      <c r="AH1741" s="218">
        <v>0</v>
      </c>
      <c r="AI1741" s="470">
        <v>0</v>
      </c>
      <c r="AJ1741" s="471">
        <v>0</v>
      </c>
      <c r="AK1741" s="218">
        <v>0</v>
      </c>
      <c r="AL1741" s="470">
        <v>0</v>
      </c>
      <c r="AM1741" s="471">
        <v>0</v>
      </c>
      <c r="AN1741" s="477">
        <v>0</v>
      </c>
      <c r="AO1741" s="473">
        <v>0</v>
      </c>
      <c r="AP1741" s="474">
        <v>0</v>
      </c>
      <c r="AQ1741" s="352"/>
      <c r="AR1741" s="352"/>
      <c r="AS1741" s="352"/>
      <c r="AT1741" s="352"/>
      <c r="AU1741" s="352"/>
      <c r="AV1741" s="352"/>
      <c r="AW1741" s="352" t="s">
        <v>127</v>
      </c>
    </row>
    <row r="1742" spans="2:49" x14ac:dyDescent="0.2">
      <c r="B1742" s="460" t="s">
        <v>2886</v>
      </c>
      <c r="C1742" s="460">
        <v>2134</v>
      </c>
      <c r="D1742" s="460" t="s">
        <v>2397</v>
      </c>
      <c r="E1742" s="460" t="s">
        <v>2398</v>
      </c>
      <c r="F1742" s="460">
        <v>4</v>
      </c>
      <c r="G1742" s="460">
        <v>6</v>
      </c>
      <c r="H1742" s="461" t="s">
        <v>754</v>
      </c>
      <c r="I1742" s="461" t="s">
        <v>1991</v>
      </c>
      <c r="J1742" s="461" t="s">
        <v>754</v>
      </c>
      <c r="K1742" s="594"/>
      <c r="L1742" s="594"/>
      <c r="M1742" s="352">
        <v>2000</v>
      </c>
      <c r="N1742" s="352" t="s">
        <v>703</v>
      </c>
      <c r="O1742" s="460">
        <v>2134</v>
      </c>
      <c r="P1742" s="460" t="s">
        <v>775</v>
      </c>
      <c r="Q1742" s="460" t="s">
        <v>2377</v>
      </c>
      <c r="R1742" s="460">
        <v>2134</v>
      </c>
      <c r="S1742" s="460" t="s">
        <v>2398</v>
      </c>
      <c r="T1742" s="462">
        <v>1</v>
      </c>
      <c r="U1742" s="460" t="s">
        <v>2398</v>
      </c>
      <c r="V1742" s="475">
        <v>0</v>
      </c>
      <c r="W1742" s="463" t="s">
        <v>2278</v>
      </c>
      <c r="X1742" s="463" t="s">
        <v>2278</v>
      </c>
      <c r="Y1742" s="463" t="s">
        <v>2278</v>
      </c>
      <c r="Z1742" s="463"/>
      <c r="AA1742" s="463"/>
      <c r="AB1742" s="464">
        <v>0</v>
      </c>
      <c r="AC1742" s="465">
        <v>0</v>
      </c>
      <c r="AD1742" s="465">
        <v>0</v>
      </c>
      <c r="AE1742" s="476">
        <v>0</v>
      </c>
      <c r="AF1742" s="467">
        <v>0</v>
      </c>
      <c r="AG1742" s="468">
        <v>0</v>
      </c>
      <c r="AH1742" s="218">
        <v>0</v>
      </c>
      <c r="AI1742" s="470">
        <v>0</v>
      </c>
      <c r="AJ1742" s="471">
        <v>0</v>
      </c>
      <c r="AK1742" s="218">
        <v>0</v>
      </c>
      <c r="AL1742" s="470">
        <v>0</v>
      </c>
      <c r="AM1742" s="471">
        <v>0</v>
      </c>
      <c r="AN1742" s="477">
        <v>0</v>
      </c>
      <c r="AO1742" s="473">
        <v>0</v>
      </c>
      <c r="AP1742" s="474">
        <v>0</v>
      </c>
      <c r="AQ1742" s="352"/>
      <c r="AR1742" s="352"/>
      <c r="AS1742" s="352"/>
      <c r="AT1742" s="352"/>
      <c r="AU1742" s="352"/>
      <c r="AV1742" s="352"/>
      <c r="AW1742" s="352" t="s">
        <v>127</v>
      </c>
    </row>
    <row r="1743" spans="2:49" x14ac:dyDescent="0.2">
      <c r="B1743" s="460" t="s">
        <v>2887</v>
      </c>
      <c r="C1743" s="460">
        <v>2141</v>
      </c>
      <c r="D1743" s="460" t="s">
        <v>2264</v>
      </c>
      <c r="E1743" s="460" t="s">
        <v>2265</v>
      </c>
      <c r="F1743" s="460">
        <v>1</v>
      </c>
      <c r="G1743" s="460">
        <v>1</v>
      </c>
      <c r="H1743" s="461" t="s">
        <v>700</v>
      </c>
      <c r="I1743" s="461" t="s">
        <v>872</v>
      </c>
      <c r="J1743" s="461" t="s">
        <v>700</v>
      </c>
      <c r="K1743" s="594"/>
      <c r="L1743" s="594"/>
      <c r="M1743" s="352">
        <v>2000</v>
      </c>
      <c r="N1743" s="352" t="s">
        <v>703</v>
      </c>
      <c r="O1743" s="460">
        <v>2141</v>
      </c>
      <c r="P1743" s="460" t="s">
        <v>1882</v>
      </c>
      <c r="Q1743" s="460" t="s">
        <v>2527</v>
      </c>
      <c r="R1743" s="460">
        <v>2121</v>
      </c>
      <c r="S1743" s="460" t="s">
        <v>2265</v>
      </c>
      <c r="T1743" s="462">
        <v>1</v>
      </c>
      <c r="U1743" s="460" t="s">
        <v>2265</v>
      </c>
      <c r="V1743" s="475">
        <v>0</v>
      </c>
      <c r="W1743" s="463" t="s">
        <v>2503</v>
      </c>
      <c r="X1743" s="463" t="s">
        <v>2267</v>
      </c>
      <c r="Y1743" s="463" t="s">
        <v>2268</v>
      </c>
      <c r="Z1743" s="463"/>
      <c r="AA1743" s="463"/>
      <c r="AB1743" s="464">
        <v>181.3019146585068</v>
      </c>
      <c r="AC1743" s="465">
        <v>0.32773099893235202</v>
      </c>
      <c r="AD1743" s="465">
        <v>1.6812915547740944E-3</v>
      </c>
      <c r="AE1743" s="476">
        <v>108.78114879510409</v>
      </c>
      <c r="AF1743" s="467">
        <v>0.19663859935941122</v>
      </c>
      <c r="AG1743" s="468">
        <v>1.0775827546893957E-3</v>
      </c>
      <c r="AH1743" s="218">
        <v>333.76097123022993</v>
      </c>
      <c r="AI1743" s="470">
        <v>0.60332411112119988</v>
      </c>
      <c r="AJ1743" s="471">
        <v>3.1825240701765052E-3</v>
      </c>
      <c r="AK1743" s="218">
        <v>333.76097123022993</v>
      </c>
      <c r="AL1743" s="470">
        <v>0.60332411112119988</v>
      </c>
      <c r="AM1743" s="471">
        <v>3.1825240701765052E-3</v>
      </c>
      <c r="AN1743" s="477">
        <v>0</v>
      </c>
      <c r="AO1743" s="473">
        <v>0</v>
      </c>
      <c r="AP1743" s="474">
        <v>0</v>
      </c>
      <c r="AQ1743" s="352"/>
      <c r="AR1743" s="352"/>
      <c r="AS1743" s="352"/>
      <c r="AT1743" s="352"/>
      <c r="AU1743" s="352"/>
      <c r="AV1743" s="352"/>
      <c r="AW1743" s="352" t="s">
        <v>254</v>
      </c>
    </row>
    <row r="1744" spans="2:49" x14ac:dyDescent="0.2">
      <c r="B1744" s="460" t="s">
        <v>2888</v>
      </c>
      <c r="C1744" s="460">
        <v>2141</v>
      </c>
      <c r="D1744" s="460" t="s">
        <v>2270</v>
      </c>
      <c r="E1744" s="460" t="s">
        <v>2271</v>
      </c>
      <c r="F1744" s="460">
        <v>2</v>
      </c>
      <c r="G1744" s="460">
        <v>1</v>
      </c>
      <c r="H1744" s="461" t="s">
        <v>700</v>
      </c>
      <c r="I1744" s="461" t="s">
        <v>872</v>
      </c>
      <c r="J1744" s="461" t="s">
        <v>700</v>
      </c>
      <c r="K1744" s="594"/>
      <c r="L1744" s="594"/>
      <c r="M1744" s="352">
        <v>2000</v>
      </c>
      <c r="N1744" s="352" t="s">
        <v>703</v>
      </c>
      <c r="O1744" s="460">
        <v>2141</v>
      </c>
      <c r="P1744" s="460" t="s">
        <v>1882</v>
      </c>
      <c r="Q1744" s="460" t="s">
        <v>2527</v>
      </c>
      <c r="R1744" s="460">
        <v>2121</v>
      </c>
      <c r="S1744" s="460" t="s">
        <v>2265</v>
      </c>
      <c r="T1744" s="462">
        <v>1</v>
      </c>
      <c r="U1744" s="460" t="s">
        <v>2271</v>
      </c>
      <c r="V1744" s="475">
        <v>0</v>
      </c>
      <c r="W1744" s="463" t="s">
        <v>2503</v>
      </c>
      <c r="X1744" s="463" t="s">
        <v>2267</v>
      </c>
      <c r="Y1744" s="463" t="s">
        <v>2268</v>
      </c>
      <c r="Z1744" s="463"/>
      <c r="AA1744" s="463"/>
      <c r="AB1744" s="464">
        <v>113.24882653563417</v>
      </c>
      <c r="AC1744" s="465">
        <v>0.3097806986096831</v>
      </c>
      <c r="AD1744" s="465">
        <v>1.4050547587879476E-3</v>
      </c>
      <c r="AE1744" s="476">
        <v>67.949295921380497</v>
      </c>
      <c r="AF1744" s="467">
        <v>0.18586841916580985</v>
      </c>
      <c r="AG1744" s="468">
        <v>9.1356203900782977E-4</v>
      </c>
      <c r="AH1744" s="218">
        <v>220.56166801799162</v>
      </c>
      <c r="AI1744" s="470">
        <v>0.60332411112119988</v>
      </c>
      <c r="AJ1744" s="471">
        <v>2.604039161362762E-3</v>
      </c>
      <c r="AK1744" s="218">
        <v>220.56166801799162</v>
      </c>
      <c r="AL1744" s="470">
        <v>0.60332411112119988</v>
      </c>
      <c r="AM1744" s="471">
        <v>2.604039161362762E-3</v>
      </c>
      <c r="AN1744" s="477">
        <v>0</v>
      </c>
      <c r="AO1744" s="473">
        <v>0</v>
      </c>
      <c r="AP1744" s="474">
        <v>0</v>
      </c>
      <c r="AQ1744" s="352"/>
      <c r="AR1744" s="352"/>
      <c r="AS1744" s="352"/>
      <c r="AT1744" s="352"/>
      <c r="AU1744" s="352"/>
      <c r="AV1744" s="352"/>
      <c r="AW1744" s="352" t="s">
        <v>254</v>
      </c>
    </row>
    <row r="1745" spans="2:49" x14ac:dyDescent="0.2">
      <c r="B1745" s="460" t="s">
        <v>2889</v>
      </c>
      <c r="C1745" s="460">
        <v>2141</v>
      </c>
      <c r="D1745" s="460" t="s">
        <v>2273</v>
      </c>
      <c r="E1745" s="460" t="s">
        <v>2274</v>
      </c>
      <c r="F1745" s="460">
        <v>3</v>
      </c>
      <c r="G1745" s="460">
        <v>1</v>
      </c>
      <c r="H1745" s="461" t="s">
        <v>700</v>
      </c>
      <c r="I1745" s="461" t="s">
        <v>872</v>
      </c>
      <c r="J1745" s="461" t="s">
        <v>700</v>
      </c>
      <c r="K1745" s="594"/>
      <c r="L1745" s="594"/>
      <c r="M1745" s="352">
        <v>2000</v>
      </c>
      <c r="N1745" s="352" t="s">
        <v>703</v>
      </c>
      <c r="O1745" s="460">
        <v>2141</v>
      </c>
      <c r="P1745" s="460" t="s">
        <v>1882</v>
      </c>
      <c r="Q1745" s="460" t="s">
        <v>2527</v>
      </c>
      <c r="R1745" s="460">
        <v>2121</v>
      </c>
      <c r="S1745" s="460" t="s">
        <v>2265</v>
      </c>
      <c r="T1745" s="462">
        <v>0.74223365950407583</v>
      </c>
      <c r="U1745" s="460" t="s">
        <v>2274</v>
      </c>
      <c r="V1745" s="475">
        <v>0</v>
      </c>
      <c r="W1745" s="463" t="s">
        <v>2503</v>
      </c>
      <c r="X1745" s="463" t="s">
        <v>2267</v>
      </c>
      <c r="Y1745" s="463" t="s">
        <v>2268</v>
      </c>
      <c r="Z1745" s="463"/>
      <c r="AA1745" s="463"/>
      <c r="AB1745" s="464">
        <v>73.474059972486117</v>
      </c>
      <c r="AC1745" s="465">
        <v>9.7449651092071279E-2</v>
      </c>
      <c r="AD1745" s="465">
        <v>3.6347364500148322E-3</v>
      </c>
      <c r="AE1745" s="476">
        <v>44.084435983491666</v>
      </c>
      <c r="AF1745" s="467">
        <v>5.8469790655242763E-2</v>
      </c>
      <c r="AG1745" s="468">
        <v>2.3622313194866045E-3</v>
      </c>
      <c r="AH1745" s="218">
        <v>337.63314710638775</v>
      </c>
      <c r="AI1745" s="470">
        <v>0.44780746286453188</v>
      </c>
      <c r="AJ1745" s="471">
        <v>1.3101545351503553E-2</v>
      </c>
      <c r="AK1745" s="218">
        <v>337.63314710638775</v>
      </c>
      <c r="AL1745" s="470">
        <v>0.44780746286453188</v>
      </c>
      <c r="AM1745" s="471">
        <v>1.3101545351503553E-2</v>
      </c>
      <c r="AN1745" s="477">
        <v>0</v>
      </c>
      <c r="AO1745" s="473">
        <v>0</v>
      </c>
      <c r="AP1745" s="474">
        <v>0</v>
      </c>
      <c r="AQ1745" s="352"/>
      <c r="AR1745" s="352"/>
      <c r="AS1745" s="352"/>
      <c r="AT1745" s="352"/>
      <c r="AU1745" s="352"/>
      <c r="AV1745" s="352"/>
      <c r="AW1745" s="352" t="s">
        <v>254</v>
      </c>
    </row>
    <row r="1746" spans="2:49" x14ac:dyDescent="0.2">
      <c r="B1746" s="460" t="s">
        <v>2890</v>
      </c>
      <c r="C1746" s="460">
        <v>2141</v>
      </c>
      <c r="D1746" s="460" t="s">
        <v>2276</v>
      </c>
      <c r="E1746" s="460" t="s">
        <v>2277</v>
      </c>
      <c r="F1746" s="460">
        <v>4</v>
      </c>
      <c r="G1746" s="460">
        <v>1</v>
      </c>
      <c r="H1746" s="461" t="s">
        <v>700</v>
      </c>
      <c r="I1746" s="461" t="s">
        <v>872</v>
      </c>
      <c r="J1746" s="461" t="s">
        <v>700</v>
      </c>
      <c r="K1746" s="594"/>
      <c r="L1746" s="594"/>
      <c r="M1746" s="352">
        <v>2000</v>
      </c>
      <c r="N1746" s="352" t="s">
        <v>703</v>
      </c>
      <c r="O1746" s="460">
        <v>2141</v>
      </c>
      <c r="P1746" s="460" t="s">
        <v>1882</v>
      </c>
      <c r="Q1746" s="460" t="s">
        <v>2527</v>
      </c>
      <c r="R1746" s="460">
        <v>2121</v>
      </c>
      <c r="S1746" s="460" t="s">
        <v>2277</v>
      </c>
      <c r="T1746" s="462">
        <v>1</v>
      </c>
      <c r="U1746" s="460" t="s">
        <v>2277</v>
      </c>
      <c r="V1746" s="475">
        <v>0</v>
      </c>
      <c r="W1746" s="463" t="s">
        <v>2503</v>
      </c>
      <c r="X1746" s="463" t="s">
        <v>2503</v>
      </c>
      <c r="Y1746" s="463" t="s">
        <v>2268</v>
      </c>
      <c r="Z1746" s="463"/>
      <c r="AA1746" s="463"/>
      <c r="AB1746" s="464">
        <v>0.84194960660646823</v>
      </c>
      <c r="AC1746" s="465">
        <v>9.9760880403435503E-4</v>
      </c>
      <c r="AD1746" s="465">
        <v>3.3982851768949007E-3</v>
      </c>
      <c r="AE1746" s="476">
        <v>0.50516976396388091</v>
      </c>
      <c r="AF1746" s="467">
        <v>5.9856528242061295E-4</v>
      </c>
      <c r="AG1746" s="468">
        <v>2.2794622170538401E-3</v>
      </c>
      <c r="AH1746" s="218">
        <v>0.50516976396388091</v>
      </c>
      <c r="AI1746" s="470">
        <v>5.9856528242061295E-4</v>
      </c>
      <c r="AJ1746" s="471">
        <v>2.1847658655879893E-3</v>
      </c>
      <c r="AK1746" s="218">
        <v>0.50516976396388091</v>
      </c>
      <c r="AL1746" s="470">
        <v>5.9856528242061295E-4</v>
      </c>
      <c r="AM1746" s="471">
        <v>2.1847658655879893E-3</v>
      </c>
      <c r="AN1746" s="477">
        <v>0</v>
      </c>
      <c r="AO1746" s="473">
        <v>0</v>
      </c>
      <c r="AP1746" s="474">
        <v>0</v>
      </c>
      <c r="AQ1746" s="352"/>
      <c r="AR1746" s="352"/>
      <c r="AS1746" s="352"/>
      <c r="AT1746" s="352"/>
      <c r="AU1746" s="352"/>
      <c r="AV1746" s="352"/>
      <c r="AW1746" s="352" t="s">
        <v>254</v>
      </c>
    </row>
    <row r="1747" spans="2:49" x14ac:dyDescent="0.2">
      <c r="B1747" s="460" t="s">
        <v>2887</v>
      </c>
      <c r="C1747" s="460">
        <v>2141</v>
      </c>
      <c r="D1747" s="460" t="s">
        <v>2279</v>
      </c>
      <c r="E1747" s="460" t="s">
        <v>2265</v>
      </c>
      <c r="F1747" s="460">
        <v>1</v>
      </c>
      <c r="G1747" s="460">
        <v>1</v>
      </c>
      <c r="H1747" s="461" t="s">
        <v>712</v>
      </c>
      <c r="I1747" s="461" t="s">
        <v>713</v>
      </c>
      <c r="J1747" s="461" t="s">
        <v>712</v>
      </c>
      <c r="K1747" s="594"/>
      <c r="L1747" s="594"/>
      <c r="M1747" s="352">
        <v>2000</v>
      </c>
      <c r="N1747" s="352" t="s">
        <v>703</v>
      </c>
      <c r="O1747" s="460">
        <v>2141</v>
      </c>
      <c r="P1747" s="460" t="s">
        <v>1882</v>
      </c>
      <c r="Q1747" s="460" t="s">
        <v>2280</v>
      </c>
      <c r="R1747" s="460">
        <v>2121</v>
      </c>
      <c r="S1747" s="460" t="s">
        <v>2265</v>
      </c>
      <c r="T1747" s="462">
        <v>1</v>
      </c>
      <c r="U1747" s="460" t="s">
        <v>2265</v>
      </c>
      <c r="V1747" s="475">
        <v>0</v>
      </c>
      <c r="W1747" s="463" t="s">
        <v>713</v>
      </c>
      <c r="X1747" s="463" t="s">
        <v>713</v>
      </c>
      <c r="Y1747" s="463" t="s">
        <v>713</v>
      </c>
      <c r="Z1747" s="463"/>
      <c r="AA1747" s="463"/>
      <c r="AB1747" s="464">
        <v>371.9015212359717</v>
      </c>
      <c r="AC1747" s="465">
        <v>0.67226900106764798</v>
      </c>
      <c r="AD1747" s="465">
        <v>1.3738685354340436E-3</v>
      </c>
      <c r="AE1747" s="476">
        <v>444.42228709937444</v>
      </c>
      <c r="AF1747" s="467">
        <v>0.80336140064058881</v>
      </c>
      <c r="AG1747" s="468">
        <v>1.6010471496135808E-3</v>
      </c>
      <c r="AH1747" s="218">
        <v>219.44246466424858</v>
      </c>
      <c r="AI1747" s="470">
        <v>0.39667588887880012</v>
      </c>
      <c r="AJ1747" s="471">
        <v>8.0188448000227534E-4</v>
      </c>
      <c r="AK1747" s="218">
        <v>219.44246466424858</v>
      </c>
      <c r="AL1747" s="470">
        <v>0.39667588887880012</v>
      </c>
      <c r="AM1747" s="471">
        <v>8.0188448000227534E-4</v>
      </c>
      <c r="AN1747" s="477">
        <v>219.44246466424858</v>
      </c>
      <c r="AO1747" s="473">
        <v>0.39667588887880012</v>
      </c>
      <c r="AP1747" s="474">
        <v>8.0162319387812135E-4</v>
      </c>
      <c r="AQ1747" s="352"/>
      <c r="AR1747" s="352"/>
      <c r="AS1747" s="352"/>
      <c r="AT1747" s="352"/>
      <c r="AU1747" s="352"/>
      <c r="AV1747" s="352"/>
      <c r="AW1747" s="352" t="s">
        <v>254</v>
      </c>
    </row>
    <row r="1748" spans="2:49" x14ac:dyDescent="0.2">
      <c r="B1748" s="460" t="s">
        <v>2888</v>
      </c>
      <c r="C1748" s="460">
        <v>2141</v>
      </c>
      <c r="D1748" s="460" t="s">
        <v>2281</v>
      </c>
      <c r="E1748" s="460" t="s">
        <v>2271</v>
      </c>
      <c r="F1748" s="460">
        <v>2</v>
      </c>
      <c r="G1748" s="460">
        <v>1</v>
      </c>
      <c r="H1748" s="461" t="s">
        <v>712</v>
      </c>
      <c r="I1748" s="461" t="s">
        <v>713</v>
      </c>
      <c r="J1748" s="461" t="s">
        <v>712</v>
      </c>
      <c r="K1748" s="594"/>
      <c r="L1748" s="594"/>
      <c r="M1748" s="352">
        <v>2000</v>
      </c>
      <c r="N1748" s="352" t="s">
        <v>703</v>
      </c>
      <c r="O1748" s="460">
        <v>2141</v>
      </c>
      <c r="P1748" s="460" t="s">
        <v>1882</v>
      </c>
      <c r="Q1748" s="460" t="s">
        <v>2280</v>
      </c>
      <c r="R1748" s="460">
        <v>2121</v>
      </c>
      <c r="S1748" s="460" t="s">
        <v>2265</v>
      </c>
      <c r="T1748" s="462">
        <v>1</v>
      </c>
      <c r="U1748" s="460" t="s">
        <v>2271</v>
      </c>
      <c r="V1748" s="475">
        <v>0</v>
      </c>
      <c r="W1748" s="463" t="s">
        <v>713</v>
      </c>
      <c r="X1748" s="463" t="s">
        <v>713</v>
      </c>
      <c r="Y1748" s="463" t="s">
        <v>713</v>
      </c>
      <c r="Z1748" s="463"/>
      <c r="AA1748" s="463"/>
      <c r="AB1748" s="464">
        <v>252.32858691814985</v>
      </c>
      <c r="AC1748" s="465">
        <v>0.69021930139031695</v>
      </c>
      <c r="AD1748" s="465">
        <v>1.05370414396884E-3</v>
      </c>
      <c r="AE1748" s="476">
        <v>297.62811753240351</v>
      </c>
      <c r="AF1748" s="467">
        <v>0.81413158083419013</v>
      </c>
      <c r="AG1748" s="468">
        <v>1.2113932759008573E-3</v>
      </c>
      <c r="AH1748" s="218">
        <v>145.01574543579238</v>
      </c>
      <c r="AI1748" s="470">
        <v>0.39667588887880012</v>
      </c>
      <c r="AJ1748" s="471">
        <v>6.2300874102923318E-4</v>
      </c>
      <c r="AK1748" s="218">
        <v>145.01574543579238</v>
      </c>
      <c r="AL1748" s="470">
        <v>0.39667588887880012</v>
      </c>
      <c r="AM1748" s="471">
        <v>6.2300874102923318E-4</v>
      </c>
      <c r="AN1748" s="477">
        <v>145.01574543579238</v>
      </c>
      <c r="AO1748" s="473">
        <v>0.39667588887880012</v>
      </c>
      <c r="AP1748" s="474">
        <v>6.227899822225495E-4</v>
      </c>
      <c r="AQ1748" s="352"/>
      <c r="AR1748" s="352"/>
      <c r="AS1748" s="352"/>
      <c r="AT1748" s="352"/>
      <c r="AU1748" s="352"/>
      <c r="AV1748" s="352"/>
      <c r="AW1748" s="352" t="s">
        <v>254</v>
      </c>
    </row>
    <row r="1749" spans="2:49" x14ac:dyDescent="0.2">
      <c r="B1749" s="460" t="s">
        <v>2889</v>
      </c>
      <c r="C1749" s="460">
        <v>2141</v>
      </c>
      <c r="D1749" s="460" t="s">
        <v>2282</v>
      </c>
      <c r="E1749" s="460" t="s">
        <v>2274</v>
      </c>
      <c r="F1749" s="460">
        <v>3</v>
      </c>
      <c r="G1749" s="460">
        <v>1</v>
      </c>
      <c r="H1749" s="461" t="s">
        <v>712</v>
      </c>
      <c r="I1749" s="461" t="s">
        <v>713</v>
      </c>
      <c r="J1749" s="461" t="s">
        <v>712</v>
      </c>
      <c r="K1749" s="594"/>
      <c r="L1749" s="594"/>
      <c r="M1749" s="352">
        <v>2000</v>
      </c>
      <c r="N1749" s="352" t="s">
        <v>703</v>
      </c>
      <c r="O1749" s="460">
        <v>2141</v>
      </c>
      <c r="P1749" s="460" t="s">
        <v>1882</v>
      </c>
      <c r="Q1749" s="460" t="s">
        <v>2280</v>
      </c>
      <c r="R1749" s="460">
        <v>2121</v>
      </c>
      <c r="S1749" s="460" t="s">
        <v>2265</v>
      </c>
      <c r="T1749" s="462">
        <v>0.74223365950407583</v>
      </c>
      <c r="U1749" s="460" t="s">
        <v>2274</v>
      </c>
      <c r="V1749" s="475">
        <v>0</v>
      </c>
      <c r="W1749" s="463" t="s">
        <v>713</v>
      </c>
      <c r="X1749" s="463" t="s">
        <v>713</v>
      </c>
      <c r="Y1749" s="463" t="s">
        <v>713</v>
      </c>
      <c r="Z1749" s="463"/>
      <c r="AA1749" s="463"/>
      <c r="AB1749" s="464">
        <v>680.49539142213393</v>
      </c>
      <c r="AC1749" s="465">
        <v>0.90255034890792873</v>
      </c>
      <c r="AD1749" s="465">
        <v>4.0729094965551863E-3</v>
      </c>
      <c r="AE1749" s="476">
        <v>709.88501541112839</v>
      </c>
      <c r="AF1749" s="467">
        <v>0.94153020934475729</v>
      </c>
      <c r="AG1749" s="468">
        <v>4.2097031857221317E-3</v>
      </c>
      <c r="AH1749" s="218">
        <v>416.33630428823227</v>
      </c>
      <c r="AI1749" s="470">
        <v>0.55219253713546812</v>
      </c>
      <c r="AJ1749" s="471">
        <v>2.6163284132706536E-3</v>
      </c>
      <c r="AK1749" s="218">
        <v>416.33630428823227</v>
      </c>
      <c r="AL1749" s="470">
        <v>0.55219253713546812</v>
      </c>
      <c r="AM1749" s="471">
        <v>2.6163284132706536E-3</v>
      </c>
      <c r="AN1749" s="477">
        <v>416.33630428823227</v>
      </c>
      <c r="AO1749" s="473">
        <v>0.55219253713546812</v>
      </c>
      <c r="AP1749" s="474">
        <v>2.6352025982236704E-3</v>
      </c>
      <c r="AQ1749" s="352"/>
      <c r="AR1749" s="352"/>
      <c r="AS1749" s="352"/>
      <c r="AT1749" s="352"/>
      <c r="AU1749" s="352"/>
      <c r="AV1749" s="352"/>
      <c r="AW1749" s="352" t="s">
        <v>254</v>
      </c>
    </row>
    <row r="1750" spans="2:49" x14ac:dyDescent="0.2">
      <c r="B1750" s="460" t="s">
        <v>2890</v>
      </c>
      <c r="C1750" s="460">
        <v>2141</v>
      </c>
      <c r="D1750" s="460" t="s">
        <v>2283</v>
      </c>
      <c r="E1750" s="460" t="s">
        <v>2277</v>
      </c>
      <c r="F1750" s="460">
        <v>4</v>
      </c>
      <c r="G1750" s="460">
        <v>1</v>
      </c>
      <c r="H1750" s="461" t="s">
        <v>712</v>
      </c>
      <c r="I1750" s="461" t="s">
        <v>713</v>
      </c>
      <c r="J1750" s="461" t="s">
        <v>712</v>
      </c>
      <c r="K1750" s="594"/>
      <c r="L1750" s="594"/>
      <c r="M1750" s="352">
        <v>2000</v>
      </c>
      <c r="N1750" s="352" t="s">
        <v>703</v>
      </c>
      <c r="O1750" s="460">
        <v>2141</v>
      </c>
      <c r="P1750" s="460" t="s">
        <v>1882</v>
      </c>
      <c r="Q1750" s="460" t="s">
        <v>2280</v>
      </c>
      <c r="R1750" s="460">
        <v>2121</v>
      </c>
      <c r="S1750" s="460" t="s">
        <v>2277</v>
      </c>
      <c r="T1750" s="462">
        <v>1</v>
      </c>
      <c r="U1750" s="460" t="s">
        <v>2277</v>
      </c>
      <c r="V1750" s="475">
        <v>0</v>
      </c>
      <c r="W1750" s="463" t="s">
        <v>713</v>
      </c>
      <c r="X1750" s="463" t="s">
        <v>713</v>
      </c>
      <c r="Y1750" s="463" t="s">
        <v>713</v>
      </c>
      <c r="Z1750" s="463"/>
      <c r="AA1750" s="463"/>
      <c r="AB1750" s="464">
        <v>843.12574915627829</v>
      </c>
      <c r="AC1750" s="465">
        <v>0.99900239119596568</v>
      </c>
      <c r="AD1750" s="465">
        <v>4.3785837661383118E-3</v>
      </c>
      <c r="AE1750" s="476">
        <v>843.4625289989209</v>
      </c>
      <c r="AF1750" s="467">
        <v>0.99940143471757936</v>
      </c>
      <c r="AG1750" s="468">
        <v>4.379738214664434E-3</v>
      </c>
      <c r="AH1750" s="218">
        <v>843.4625289989209</v>
      </c>
      <c r="AI1750" s="470">
        <v>0.99940143471757936</v>
      </c>
      <c r="AJ1750" s="471">
        <v>4.379956681475612E-3</v>
      </c>
      <c r="AK1750" s="218">
        <v>843.4625289989209</v>
      </c>
      <c r="AL1750" s="470">
        <v>0.99940143471757936</v>
      </c>
      <c r="AM1750" s="471">
        <v>4.379956681475612E-3</v>
      </c>
      <c r="AN1750" s="477">
        <v>843.12574915627829</v>
      </c>
      <c r="AO1750" s="473">
        <v>0.99900239119596568</v>
      </c>
      <c r="AP1750" s="474">
        <v>4.3782296728987818E-3</v>
      </c>
      <c r="AQ1750" s="352"/>
      <c r="AR1750" s="352"/>
      <c r="AS1750" s="352"/>
      <c r="AT1750" s="352"/>
      <c r="AU1750" s="352"/>
      <c r="AV1750" s="352"/>
      <c r="AW1750" s="352" t="s">
        <v>254</v>
      </c>
    </row>
    <row r="1751" spans="2:49" x14ac:dyDescent="0.2">
      <c r="B1751" s="460" t="s">
        <v>2887</v>
      </c>
      <c r="C1751" s="460">
        <v>2141</v>
      </c>
      <c r="D1751" s="460" t="s">
        <v>2284</v>
      </c>
      <c r="E1751" s="460" t="s">
        <v>2265</v>
      </c>
      <c r="F1751" s="460">
        <v>1</v>
      </c>
      <c r="G1751" s="460">
        <v>1</v>
      </c>
      <c r="H1751" s="461" t="s">
        <v>746</v>
      </c>
      <c r="I1751" s="461" t="s">
        <v>762</v>
      </c>
      <c r="J1751" s="461" t="s">
        <v>700</v>
      </c>
      <c r="K1751" s="594"/>
      <c r="L1751" s="594"/>
      <c r="M1751" s="352">
        <v>2000</v>
      </c>
      <c r="N1751" s="352" t="s">
        <v>703</v>
      </c>
      <c r="O1751" s="460">
        <v>2141</v>
      </c>
      <c r="P1751" s="460" t="s">
        <v>1882</v>
      </c>
      <c r="Q1751" s="460" t="s">
        <v>2531</v>
      </c>
      <c r="R1751" s="460">
        <v>2121</v>
      </c>
      <c r="S1751" s="460" t="s">
        <v>2265</v>
      </c>
      <c r="T1751" s="462">
        <v>1</v>
      </c>
      <c r="U1751" s="460" t="s">
        <v>2265</v>
      </c>
      <c r="V1751" s="475">
        <v>0</v>
      </c>
      <c r="W1751" s="463" t="s">
        <v>2268</v>
      </c>
      <c r="X1751" s="463" t="s">
        <v>2268</v>
      </c>
      <c r="Y1751" s="463" t="s">
        <v>2290</v>
      </c>
      <c r="Z1751" s="463"/>
      <c r="AA1751" s="463"/>
      <c r="AB1751" s="464">
        <v>0</v>
      </c>
      <c r="AC1751" s="465">
        <v>0</v>
      </c>
      <c r="AD1751" s="465">
        <v>0</v>
      </c>
      <c r="AE1751" s="476">
        <v>0</v>
      </c>
      <c r="AF1751" s="467">
        <v>0</v>
      </c>
      <c r="AG1751" s="468">
        <v>0</v>
      </c>
      <c r="AH1751" s="218">
        <v>0</v>
      </c>
      <c r="AI1751" s="470">
        <v>0</v>
      </c>
      <c r="AJ1751" s="471">
        <v>0</v>
      </c>
      <c r="AK1751" s="218">
        <v>0</v>
      </c>
      <c r="AL1751" s="470">
        <v>0</v>
      </c>
      <c r="AM1751" s="471">
        <v>0</v>
      </c>
      <c r="AN1751" s="477">
        <v>0</v>
      </c>
      <c r="AO1751" s="473">
        <v>0</v>
      </c>
      <c r="AP1751" s="474">
        <v>0</v>
      </c>
      <c r="AQ1751" s="352"/>
      <c r="AR1751" s="352"/>
      <c r="AS1751" s="352"/>
      <c r="AT1751" s="352"/>
      <c r="AU1751" s="352"/>
      <c r="AV1751" s="352"/>
      <c r="AW1751" s="352" t="s">
        <v>254</v>
      </c>
    </row>
    <row r="1752" spans="2:49" x14ac:dyDescent="0.2">
      <c r="B1752" s="460" t="s">
        <v>2888</v>
      </c>
      <c r="C1752" s="460">
        <v>2141</v>
      </c>
      <c r="D1752" s="460" t="s">
        <v>2285</v>
      </c>
      <c r="E1752" s="460" t="s">
        <v>2271</v>
      </c>
      <c r="F1752" s="460">
        <v>2</v>
      </c>
      <c r="G1752" s="460">
        <v>1</v>
      </c>
      <c r="H1752" s="461" t="s">
        <v>746</v>
      </c>
      <c r="I1752" s="461" t="s">
        <v>762</v>
      </c>
      <c r="J1752" s="461" t="s">
        <v>700</v>
      </c>
      <c r="K1752" s="594"/>
      <c r="L1752" s="594"/>
      <c r="M1752" s="352">
        <v>2000</v>
      </c>
      <c r="N1752" s="352" t="s">
        <v>703</v>
      </c>
      <c r="O1752" s="460">
        <v>2141</v>
      </c>
      <c r="P1752" s="460" t="s">
        <v>1882</v>
      </c>
      <c r="Q1752" s="460" t="s">
        <v>2531</v>
      </c>
      <c r="R1752" s="460">
        <v>2121</v>
      </c>
      <c r="S1752" s="460" t="s">
        <v>2265</v>
      </c>
      <c r="T1752" s="462">
        <v>1</v>
      </c>
      <c r="U1752" s="460" t="s">
        <v>2271</v>
      </c>
      <c r="V1752" s="475">
        <v>0</v>
      </c>
      <c r="W1752" s="463" t="s">
        <v>2268</v>
      </c>
      <c r="X1752" s="463" t="s">
        <v>2268</v>
      </c>
      <c r="Y1752" s="463" t="s">
        <v>2290</v>
      </c>
      <c r="Z1752" s="463"/>
      <c r="AA1752" s="463"/>
      <c r="AB1752" s="464">
        <v>0</v>
      </c>
      <c r="AC1752" s="465">
        <v>0</v>
      </c>
      <c r="AD1752" s="465">
        <v>0</v>
      </c>
      <c r="AE1752" s="476">
        <v>0</v>
      </c>
      <c r="AF1752" s="467">
        <v>0</v>
      </c>
      <c r="AG1752" s="468">
        <v>0</v>
      </c>
      <c r="AH1752" s="218">
        <v>0</v>
      </c>
      <c r="AI1752" s="470">
        <v>0</v>
      </c>
      <c r="AJ1752" s="471">
        <v>0</v>
      </c>
      <c r="AK1752" s="218">
        <v>0</v>
      </c>
      <c r="AL1752" s="470">
        <v>0</v>
      </c>
      <c r="AM1752" s="471">
        <v>0</v>
      </c>
      <c r="AN1752" s="477">
        <v>0</v>
      </c>
      <c r="AO1752" s="473">
        <v>0</v>
      </c>
      <c r="AP1752" s="474">
        <v>0</v>
      </c>
      <c r="AQ1752" s="352"/>
      <c r="AR1752" s="352"/>
      <c r="AS1752" s="352"/>
      <c r="AT1752" s="352"/>
      <c r="AU1752" s="352"/>
      <c r="AV1752" s="352"/>
      <c r="AW1752" s="352" t="s">
        <v>254</v>
      </c>
    </row>
    <row r="1753" spans="2:49" x14ac:dyDescent="0.2">
      <c r="B1753" s="460" t="s">
        <v>2889</v>
      </c>
      <c r="C1753" s="460">
        <v>2141</v>
      </c>
      <c r="D1753" s="460" t="s">
        <v>2286</v>
      </c>
      <c r="E1753" s="460" t="s">
        <v>2274</v>
      </c>
      <c r="F1753" s="460">
        <v>3</v>
      </c>
      <c r="G1753" s="460">
        <v>1</v>
      </c>
      <c r="H1753" s="461" t="s">
        <v>746</v>
      </c>
      <c r="I1753" s="461" t="s">
        <v>762</v>
      </c>
      <c r="J1753" s="461" t="s">
        <v>700</v>
      </c>
      <c r="K1753" s="594"/>
      <c r="L1753" s="594"/>
      <c r="M1753" s="352">
        <v>2000</v>
      </c>
      <c r="N1753" s="352" t="s">
        <v>703</v>
      </c>
      <c r="O1753" s="460">
        <v>2141</v>
      </c>
      <c r="P1753" s="460" t="s">
        <v>1882</v>
      </c>
      <c r="Q1753" s="460" t="s">
        <v>2531</v>
      </c>
      <c r="R1753" s="460">
        <v>2121</v>
      </c>
      <c r="S1753" s="460" t="s">
        <v>2265</v>
      </c>
      <c r="T1753" s="462">
        <v>0.74223365950407583</v>
      </c>
      <c r="U1753" s="460" t="s">
        <v>2274</v>
      </c>
      <c r="V1753" s="475">
        <v>0</v>
      </c>
      <c r="W1753" s="463" t="s">
        <v>2268</v>
      </c>
      <c r="X1753" s="463" t="s">
        <v>2268</v>
      </c>
      <c r="Y1753" s="463" t="s">
        <v>2290</v>
      </c>
      <c r="Z1753" s="463"/>
      <c r="AA1753" s="463"/>
      <c r="AB1753" s="464">
        <v>0</v>
      </c>
      <c r="AC1753" s="465">
        <v>0</v>
      </c>
      <c r="AD1753" s="465">
        <v>0</v>
      </c>
      <c r="AE1753" s="476">
        <v>0</v>
      </c>
      <c r="AF1753" s="467">
        <v>0</v>
      </c>
      <c r="AG1753" s="468">
        <v>0</v>
      </c>
      <c r="AH1753" s="218">
        <v>0</v>
      </c>
      <c r="AI1753" s="470">
        <v>0</v>
      </c>
      <c r="AJ1753" s="471">
        <v>0</v>
      </c>
      <c r="AK1753" s="218">
        <v>0</v>
      </c>
      <c r="AL1753" s="470">
        <v>0</v>
      </c>
      <c r="AM1753" s="471">
        <v>0</v>
      </c>
      <c r="AN1753" s="477">
        <v>0</v>
      </c>
      <c r="AO1753" s="473">
        <v>0</v>
      </c>
      <c r="AP1753" s="474">
        <v>0</v>
      </c>
      <c r="AQ1753" s="352"/>
      <c r="AR1753" s="352"/>
      <c r="AS1753" s="352"/>
      <c r="AT1753" s="352"/>
      <c r="AU1753" s="352"/>
      <c r="AV1753" s="352"/>
      <c r="AW1753" s="352" t="s">
        <v>254</v>
      </c>
    </row>
    <row r="1754" spans="2:49" x14ac:dyDescent="0.2">
      <c r="B1754" s="460" t="s">
        <v>2890</v>
      </c>
      <c r="C1754" s="460">
        <v>2141</v>
      </c>
      <c r="D1754" s="460" t="s">
        <v>2287</v>
      </c>
      <c r="E1754" s="460" t="s">
        <v>2277</v>
      </c>
      <c r="F1754" s="460">
        <v>4</v>
      </c>
      <c r="G1754" s="460">
        <v>1</v>
      </c>
      <c r="H1754" s="461" t="s">
        <v>746</v>
      </c>
      <c r="I1754" s="461" t="s">
        <v>762</v>
      </c>
      <c r="J1754" s="461" t="s">
        <v>700</v>
      </c>
      <c r="K1754" s="594"/>
      <c r="L1754" s="594"/>
      <c r="M1754" s="352">
        <v>2000</v>
      </c>
      <c r="N1754" s="352" t="s">
        <v>703</v>
      </c>
      <c r="O1754" s="460">
        <v>2141</v>
      </c>
      <c r="P1754" s="460" t="s">
        <v>1882</v>
      </c>
      <c r="Q1754" s="460" t="s">
        <v>2531</v>
      </c>
      <c r="R1754" s="460">
        <v>2121</v>
      </c>
      <c r="S1754" s="460" t="s">
        <v>2277</v>
      </c>
      <c r="T1754" s="462">
        <v>1</v>
      </c>
      <c r="U1754" s="460" t="s">
        <v>2277</v>
      </c>
      <c r="V1754" s="475">
        <v>0</v>
      </c>
      <c r="W1754" s="463" t="s">
        <v>2268</v>
      </c>
      <c r="X1754" s="463" t="s">
        <v>2268</v>
      </c>
      <c r="Y1754" s="463" t="s">
        <v>2290</v>
      </c>
      <c r="Z1754" s="463"/>
      <c r="AA1754" s="463"/>
      <c r="AB1754" s="464">
        <v>0</v>
      </c>
      <c r="AC1754" s="465">
        <v>0</v>
      </c>
      <c r="AD1754" s="465">
        <v>0</v>
      </c>
      <c r="AE1754" s="476">
        <v>0</v>
      </c>
      <c r="AF1754" s="467">
        <v>0</v>
      </c>
      <c r="AG1754" s="468">
        <v>0</v>
      </c>
      <c r="AH1754" s="218">
        <v>0</v>
      </c>
      <c r="AI1754" s="470">
        <v>0</v>
      </c>
      <c r="AJ1754" s="471">
        <v>0</v>
      </c>
      <c r="AK1754" s="218">
        <v>0</v>
      </c>
      <c r="AL1754" s="470">
        <v>0</v>
      </c>
      <c r="AM1754" s="471">
        <v>0</v>
      </c>
      <c r="AN1754" s="477">
        <v>0</v>
      </c>
      <c r="AO1754" s="473">
        <v>0</v>
      </c>
      <c r="AP1754" s="474">
        <v>0</v>
      </c>
      <c r="AQ1754" s="352"/>
      <c r="AR1754" s="352"/>
      <c r="AS1754" s="352"/>
      <c r="AT1754" s="352"/>
      <c r="AU1754" s="352"/>
      <c r="AV1754" s="352"/>
      <c r="AW1754" s="352" t="s">
        <v>254</v>
      </c>
    </row>
    <row r="1755" spans="2:49" x14ac:dyDescent="0.2">
      <c r="B1755" s="460" t="s">
        <v>2887</v>
      </c>
      <c r="C1755" s="460">
        <v>2141</v>
      </c>
      <c r="D1755" s="460" t="s">
        <v>2288</v>
      </c>
      <c r="E1755" s="460" t="s">
        <v>2265</v>
      </c>
      <c r="F1755" s="460">
        <v>1</v>
      </c>
      <c r="G1755" s="460">
        <v>1</v>
      </c>
      <c r="H1755" s="461" t="s">
        <v>748</v>
      </c>
      <c r="I1755" s="461" t="s">
        <v>765</v>
      </c>
      <c r="J1755" s="461" t="s">
        <v>700</v>
      </c>
      <c r="K1755" s="594"/>
      <c r="L1755" s="594"/>
      <c r="M1755" s="352">
        <v>2000</v>
      </c>
      <c r="N1755" s="352" t="s">
        <v>703</v>
      </c>
      <c r="O1755" s="460">
        <v>2141</v>
      </c>
      <c r="P1755" s="460" t="s">
        <v>1882</v>
      </c>
      <c r="Q1755" s="460" t="s">
        <v>2527</v>
      </c>
      <c r="R1755" s="460">
        <v>2121</v>
      </c>
      <c r="S1755" s="460" t="s">
        <v>2265</v>
      </c>
      <c r="T1755" s="462">
        <v>1</v>
      </c>
      <c r="U1755" s="460" t="s">
        <v>2265</v>
      </c>
      <c r="V1755" s="475">
        <v>0</v>
      </c>
      <c r="W1755" s="463" t="s">
        <v>2268</v>
      </c>
      <c r="X1755" s="463" t="s">
        <v>2268</v>
      </c>
      <c r="Y1755" s="479" t="s">
        <v>2267</v>
      </c>
      <c r="Z1755" s="479"/>
      <c r="AA1755" s="479"/>
      <c r="AB1755" s="464">
        <v>0</v>
      </c>
      <c r="AC1755" s="465">
        <v>0</v>
      </c>
      <c r="AD1755" s="465">
        <v>0</v>
      </c>
      <c r="AE1755" s="476">
        <v>0</v>
      </c>
      <c r="AF1755" s="467">
        <v>0</v>
      </c>
      <c r="AG1755" s="468">
        <v>0</v>
      </c>
      <c r="AH1755" s="218">
        <v>0</v>
      </c>
      <c r="AI1755" s="470">
        <v>0</v>
      </c>
      <c r="AJ1755" s="471">
        <v>0</v>
      </c>
      <c r="AK1755" s="218">
        <v>0</v>
      </c>
      <c r="AL1755" s="470">
        <v>0</v>
      </c>
      <c r="AM1755" s="471">
        <v>0</v>
      </c>
      <c r="AN1755" s="477">
        <v>333.76097123022993</v>
      </c>
      <c r="AO1755" s="473">
        <v>0.60332411112119988</v>
      </c>
      <c r="AP1755" s="474">
        <v>2.072676060566565E-2</v>
      </c>
      <c r="AQ1755" s="352"/>
      <c r="AR1755" s="352"/>
      <c r="AS1755" s="352"/>
      <c r="AT1755" s="352"/>
      <c r="AU1755" s="352"/>
      <c r="AV1755" s="352"/>
      <c r="AW1755" s="352" t="s">
        <v>254</v>
      </c>
    </row>
    <row r="1756" spans="2:49" x14ac:dyDescent="0.2">
      <c r="B1756" s="460" t="s">
        <v>2888</v>
      </c>
      <c r="C1756" s="460">
        <v>2141</v>
      </c>
      <c r="D1756" s="460" t="s">
        <v>2291</v>
      </c>
      <c r="E1756" s="460" t="s">
        <v>2271</v>
      </c>
      <c r="F1756" s="460">
        <v>2</v>
      </c>
      <c r="G1756" s="460">
        <v>1</v>
      </c>
      <c r="H1756" s="461" t="s">
        <v>748</v>
      </c>
      <c r="I1756" s="461" t="s">
        <v>765</v>
      </c>
      <c r="J1756" s="461" t="s">
        <v>700</v>
      </c>
      <c r="K1756" s="594"/>
      <c r="L1756" s="594"/>
      <c r="M1756" s="352">
        <v>2000</v>
      </c>
      <c r="N1756" s="352" t="s">
        <v>703</v>
      </c>
      <c r="O1756" s="460">
        <v>2141</v>
      </c>
      <c r="P1756" s="460" t="s">
        <v>1882</v>
      </c>
      <c r="Q1756" s="460" t="s">
        <v>2527</v>
      </c>
      <c r="R1756" s="460">
        <v>2121</v>
      </c>
      <c r="S1756" s="460" t="s">
        <v>2265</v>
      </c>
      <c r="T1756" s="462">
        <v>1</v>
      </c>
      <c r="U1756" s="460" t="s">
        <v>2271</v>
      </c>
      <c r="V1756" s="475">
        <v>0</v>
      </c>
      <c r="W1756" s="463" t="s">
        <v>2268</v>
      </c>
      <c r="X1756" s="463" t="s">
        <v>2268</v>
      </c>
      <c r="Y1756" s="479" t="s">
        <v>2267</v>
      </c>
      <c r="Z1756" s="479"/>
      <c r="AA1756" s="479"/>
      <c r="AB1756" s="464">
        <v>0</v>
      </c>
      <c r="AC1756" s="465">
        <v>0</v>
      </c>
      <c r="AD1756" s="465">
        <v>0</v>
      </c>
      <c r="AE1756" s="476">
        <v>0</v>
      </c>
      <c r="AF1756" s="467">
        <v>0</v>
      </c>
      <c r="AG1756" s="468">
        <v>0</v>
      </c>
      <c r="AH1756" s="218">
        <v>0</v>
      </c>
      <c r="AI1756" s="470">
        <v>0</v>
      </c>
      <c r="AJ1756" s="471">
        <v>0</v>
      </c>
      <c r="AK1756" s="218">
        <v>0</v>
      </c>
      <c r="AL1756" s="470">
        <v>0</v>
      </c>
      <c r="AM1756" s="471">
        <v>0</v>
      </c>
      <c r="AN1756" s="477">
        <v>220.56166801799162</v>
      </c>
      <c r="AO1756" s="473">
        <v>0.60332411112119988</v>
      </c>
      <c r="AP1756" s="474">
        <v>1.402862138873966E-2</v>
      </c>
      <c r="AQ1756" s="352"/>
      <c r="AR1756" s="352"/>
      <c r="AS1756" s="352"/>
      <c r="AT1756" s="352"/>
      <c r="AU1756" s="352"/>
      <c r="AV1756" s="352"/>
      <c r="AW1756" s="352" t="s">
        <v>254</v>
      </c>
    </row>
    <row r="1757" spans="2:49" x14ac:dyDescent="0.2">
      <c r="B1757" s="460" t="s">
        <v>2889</v>
      </c>
      <c r="C1757" s="460">
        <v>2141</v>
      </c>
      <c r="D1757" s="460" t="s">
        <v>2292</v>
      </c>
      <c r="E1757" s="460" t="s">
        <v>2274</v>
      </c>
      <c r="F1757" s="460">
        <v>3</v>
      </c>
      <c r="G1757" s="460">
        <v>1</v>
      </c>
      <c r="H1757" s="461" t="s">
        <v>748</v>
      </c>
      <c r="I1757" s="461" t="s">
        <v>765</v>
      </c>
      <c r="J1757" s="461" t="s">
        <v>700</v>
      </c>
      <c r="K1757" s="594"/>
      <c r="L1757" s="594"/>
      <c r="M1757" s="352">
        <v>2000</v>
      </c>
      <c r="N1757" s="352" t="s">
        <v>703</v>
      </c>
      <c r="O1757" s="460">
        <v>2141</v>
      </c>
      <c r="P1757" s="460" t="s">
        <v>1882</v>
      </c>
      <c r="Q1757" s="460" t="s">
        <v>2527</v>
      </c>
      <c r="R1757" s="460">
        <v>2121</v>
      </c>
      <c r="S1757" s="460" t="s">
        <v>2265</v>
      </c>
      <c r="T1757" s="462">
        <v>0.74223365950407583</v>
      </c>
      <c r="U1757" s="460" t="s">
        <v>2274</v>
      </c>
      <c r="V1757" s="475">
        <v>0</v>
      </c>
      <c r="W1757" s="463" t="s">
        <v>2268</v>
      </c>
      <c r="X1757" s="463" t="s">
        <v>2268</v>
      </c>
      <c r="Y1757" s="479" t="s">
        <v>2267</v>
      </c>
      <c r="Z1757" s="479"/>
      <c r="AA1757" s="479"/>
      <c r="AB1757" s="464">
        <v>0</v>
      </c>
      <c r="AC1757" s="465">
        <v>0</v>
      </c>
      <c r="AD1757" s="465">
        <v>0</v>
      </c>
      <c r="AE1757" s="476">
        <v>0</v>
      </c>
      <c r="AF1757" s="467">
        <v>0</v>
      </c>
      <c r="AG1757" s="468">
        <v>0</v>
      </c>
      <c r="AH1757" s="218">
        <v>0</v>
      </c>
      <c r="AI1757" s="470">
        <v>0</v>
      </c>
      <c r="AJ1757" s="471">
        <v>0</v>
      </c>
      <c r="AK1757" s="218">
        <v>0</v>
      </c>
      <c r="AL1757" s="470">
        <v>0</v>
      </c>
      <c r="AM1757" s="471">
        <v>0</v>
      </c>
      <c r="AN1757" s="477">
        <v>337.63314710638775</v>
      </c>
      <c r="AO1757" s="473">
        <v>0.44780746286453188</v>
      </c>
      <c r="AP1757" s="474">
        <v>4.7537663111618611E-2</v>
      </c>
      <c r="AQ1757" s="352"/>
      <c r="AR1757" s="352"/>
      <c r="AS1757" s="352"/>
      <c r="AT1757" s="352"/>
      <c r="AU1757" s="352"/>
      <c r="AV1757" s="352"/>
      <c r="AW1757" s="352" t="s">
        <v>254</v>
      </c>
    </row>
    <row r="1758" spans="2:49" x14ac:dyDescent="0.2">
      <c r="B1758" s="460" t="s">
        <v>2890</v>
      </c>
      <c r="C1758" s="460">
        <v>2141</v>
      </c>
      <c r="D1758" s="460" t="s">
        <v>2293</v>
      </c>
      <c r="E1758" s="460" t="s">
        <v>2277</v>
      </c>
      <c r="F1758" s="460">
        <v>4</v>
      </c>
      <c r="G1758" s="460">
        <v>1</v>
      </c>
      <c r="H1758" s="461" t="s">
        <v>748</v>
      </c>
      <c r="I1758" s="461" t="s">
        <v>765</v>
      </c>
      <c r="J1758" s="461" t="s">
        <v>700</v>
      </c>
      <c r="K1758" s="594"/>
      <c r="L1758" s="594"/>
      <c r="M1758" s="352">
        <v>2000</v>
      </c>
      <c r="N1758" s="352" t="s">
        <v>703</v>
      </c>
      <c r="O1758" s="460">
        <v>2141</v>
      </c>
      <c r="P1758" s="460" t="s">
        <v>1882</v>
      </c>
      <c r="Q1758" s="460" t="s">
        <v>2527</v>
      </c>
      <c r="R1758" s="460">
        <v>2121</v>
      </c>
      <c r="S1758" s="460" t="s">
        <v>2277</v>
      </c>
      <c r="T1758" s="462">
        <v>1</v>
      </c>
      <c r="U1758" s="460" t="s">
        <v>2277</v>
      </c>
      <c r="V1758" s="475">
        <v>0</v>
      </c>
      <c r="W1758" s="463" t="s">
        <v>2268</v>
      </c>
      <c r="X1758" s="463" t="s">
        <v>2268</v>
      </c>
      <c r="Y1758" s="463" t="s">
        <v>2278</v>
      </c>
      <c r="Z1758" s="463"/>
      <c r="AA1758" s="463"/>
      <c r="AB1758" s="464">
        <v>0</v>
      </c>
      <c r="AC1758" s="465">
        <v>0</v>
      </c>
      <c r="AD1758" s="465">
        <v>0</v>
      </c>
      <c r="AE1758" s="476">
        <v>0</v>
      </c>
      <c r="AF1758" s="467">
        <v>0</v>
      </c>
      <c r="AG1758" s="468">
        <v>0</v>
      </c>
      <c r="AH1758" s="218">
        <v>0</v>
      </c>
      <c r="AI1758" s="470">
        <v>0</v>
      </c>
      <c r="AJ1758" s="471">
        <v>0</v>
      </c>
      <c r="AK1758" s="218">
        <v>0</v>
      </c>
      <c r="AL1758" s="470">
        <v>0</v>
      </c>
      <c r="AM1758" s="471">
        <v>0</v>
      </c>
      <c r="AN1758" s="477">
        <v>0.84194960660646834</v>
      </c>
      <c r="AO1758" s="473">
        <v>9.9760880403435503E-4</v>
      </c>
      <c r="AP1758" s="474">
        <v>2.0329856924652723E-2</v>
      </c>
      <c r="AQ1758" s="352"/>
      <c r="AR1758" s="352"/>
      <c r="AS1758" s="352"/>
      <c r="AT1758" s="352"/>
      <c r="AU1758" s="352"/>
      <c r="AV1758" s="352"/>
      <c r="AW1758" s="352" t="s">
        <v>254</v>
      </c>
    </row>
    <row r="1759" spans="2:49" x14ac:dyDescent="0.2">
      <c r="B1759" s="460" t="s">
        <v>2891</v>
      </c>
      <c r="C1759" s="460">
        <v>2141</v>
      </c>
      <c r="D1759" s="460" t="s">
        <v>2295</v>
      </c>
      <c r="E1759" s="460" t="s">
        <v>2296</v>
      </c>
      <c r="F1759" s="460">
        <v>1</v>
      </c>
      <c r="G1759" s="460">
        <v>2</v>
      </c>
      <c r="H1759" s="461" t="s">
        <v>700</v>
      </c>
      <c r="I1759" s="461" t="s">
        <v>872</v>
      </c>
      <c r="J1759" s="461" t="s">
        <v>700</v>
      </c>
      <c r="K1759" s="594"/>
      <c r="L1759" s="594"/>
      <c r="M1759" s="352">
        <v>2000</v>
      </c>
      <c r="N1759" s="352" t="s">
        <v>703</v>
      </c>
      <c r="O1759" s="460">
        <v>2141</v>
      </c>
      <c r="P1759" s="460" t="s">
        <v>1882</v>
      </c>
      <c r="Q1759" s="460" t="s">
        <v>2527</v>
      </c>
      <c r="R1759" s="460">
        <v>2121</v>
      </c>
      <c r="S1759" s="460" t="s">
        <v>2296</v>
      </c>
      <c r="T1759" s="462">
        <v>1</v>
      </c>
      <c r="U1759" s="460" t="s">
        <v>2296</v>
      </c>
      <c r="V1759" s="475">
        <v>0</v>
      </c>
      <c r="W1759" s="463" t="s">
        <v>2503</v>
      </c>
      <c r="X1759" s="463" t="s">
        <v>2267</v>
      </c>
      <c r="Y1759" s="463" t="s">
        <v>2268</v>
      </c>
      <c r="Z1759" s="463"/>
      <c r="AA1759" s="463"/>
      <c r="AB1759" s="464">
        <v>74.615331742424914</v>
      </c>
      <c r="AC1759" s="465">
        <v>0.11363151087389785</v>
      </c>
      <c r="AD1759" s="465">
        <v>4.3585595597497619E-3</v>
      </c>
      <c r="AE1759" s="476">
        <v>44.769199045454947</v>
      </c>
      <c r="AF1759" s="467">
        <v>6.8178906524338709E-2</v>
      </c>
      <c r="AG1759" s="468">
        <v>2.9068658279188743E-3</v>
      </c>
      <c r="AH1759" s="218">
        <v>209.39971116496454</v>
      </c>
      <c r="AI1759" s="470">
        <v>0.31889432105417648</v>
      </c>
      <c r="AJ1759" s="471">
        <v>1.2491392871648124E-2</v>
      </c>
      <c r="AK1759" s="218">
        <v>209.39971116496454</v>
      </c>
      <c r="AL1759" s="470">
        <v>0.31889432105417648</v>
      </c>
      <c r="AM1759" s="471">
        <v>1.2491392871648124E-2</v>
      </c>
      <c r="AN1759" s="477">
        <v>0</v>
      </c>
      <c r="AO1759" s="473">
        <v>0</v>
      </c>
      <c r="AP1759" s="474">
        <v>0</v>
      </c>
      <c r="AQ1759" s="352"/>
      <c r="AR1759" s="352"/>
      <c r="AS1759" s="352"/>
      <c r="AT1759" s="352"/>
      <c r="AU1759" s="352"/>
      <c r="AV1759" s="352"/>
      <c r="AW1759" s="352" t="s">
        <v>254</v>
      </c>
    </row>
    <row r="1760" spans="2:49" x14ac:dyDescent="0.2">
      <c r="B1760" s="460" t="s">
        <v>2892</v>
      </c>
      <c r="C1760" s="460">
        <v>2141</v>
      </c>
      <c r="D1760" s="460" t="s">
        <v>2298</v>
      </c>
      <c r="E1760" s="460" t="s">
        <v>2299</v>
      </c>
      <c r="F1760" s="460">
        <v>2</v>
      </c>
      <c r="G1760" s="460">
        <v>2</v>
      </c>
      <c r="H1760" s="461" t="s">
        <v>700</v>
      </c>
      <c r="I1760" s="461" t="s">
        <v>872</v>
      </c>
      <c r="J1760" s="461" t="s">
        <v>700</v>
      </c>
      <c r="K1760" s="594"/>
      <c r="L1760" s="594"/>
      <c r="M1760" s="352">
        <v>2000</v>
      </c>
      <c r="N1760" s="352" t="s">
        <v>703</v>
      </c>
      <c r="O1760" s="460">
        <v>2141</v>
      </c>
      <c r="P1760" s="460" t="s">
        <v>1882</v>
      </c>
      <c r="Q1760" s="460" t="s">
        <v>2527</v>
      </c>
      <c r="R1760" s="460">
        <v>2121</v>
      </c>
      <c r="S1760" s="460" t="s">
        <v>2296</v>
      </c>
      <c r="T1760" s="462">
        <v>0.55517361979372948</v>
      </c>
      <c r="U1760" s="460" t="s">
        <v>2299</v>
      </c>
      <c r="V1760" s="475">
        <v>0</v>
      </c>
      <c r="W1760" s="463" t="s">
        <v>2503</v>
      </c>
      <c r="X1760" s="463" t="s">
        <v>2267</v>
      </c>
      <c r="Y1760" s="463" t="s">
        <v>2268</v>
      </c>
      <c r="Z1760" s="463"/>
      <c r="AA1760" s="463"/>
      <c r="AB1760" s="464">
        <v>14.201441299846236</v>
      </c>
      <c r="AC1760" s="465">
        <v>4.1910958229348309E-2</v>
      </c>
      <c r="AD1760" s="465">
        <v>4.2970640671283079E-3</v>
      </c>
      <c r="AE1760" s="476">
        <v>8.5208647799077415</v>
      </c>
      <c r="AF1760" s="467">
        <v>2.5146574937608985E-2</v>
      </c>
      <c r="AG1760" s="468">
        <v>2.8932812064850458E-3</v>
      </c>
      <c r="AH1760" s="218">
        <v>59.990217905921398</v>
      </c>
      <c r="AI1760" s="470">
        <v>0.17704171455131087</v>
      </c>
      <c r="AJ1760" s="471">
        <v>1.4126951158665978E-2</v>
      </c>
      <c r="AK1760" s="218">
        <v>59.990217905921398</v>
      </c>
      <c r="AL1760" s="470">
        <v>0.17704171455131087</v>
      </c>
      <c r="AM1760" s="471">
        <v>1.4126951158665978E-2</v>
      </c>
      <c r="AN1760" s="477">
        <v>0</v>
      </c>
      <c r="AO1760" s="473">
        <v>0</v>
      </c>
      <c r="AP1760" s="474">
        <v>0</v>
      </c>
      <c r="AQ1760" s="352"/>
      <c r="AR1760" s="352"/>
      <c r="AS1760" s="352"/>
      <c r="AT1760" s="352"/>
      <c r="AU1760" s="352"/>
      <c r="AV1760" s="352"/>
      <c r="AW1760" s="352" t="s">
        <v>254</v>
      </c>
    </row>
    <row r="1761" spans="2:49" x14ac:dyDescent="0.2">
      <c r="B1761" s="460" t="s">
        <v>2893</v>
      </c>
      <c r="C1761" s="460">
        <v>2141</v>
      </c>
      <c r="D1761" s="460" t="s">
        <v>2301</v>
      </c>
      <c r="E1761" s="460" t="s">
        <v>2302</v>
      </c>
      <c r="F1761" s="460">
        <v>3</v>
      </c>
      <c r="G1761" s="460">
        <v>2</v>
      </c>
      <c r="H1761" s="461" t="s">
        <v>700</v>
      </c>
      <c r="I1761" s="461" t="s">
        <v>872</v>
      </c>
      <c r="J1761" s="461" t="s">
        <v>700</v>
      </c>
      <c r="K1761" s="594"/>
      <c r="L1761" s="594"/>
      <c r="M1761" s="352">
        <v>2000</v>
      </c>
      <c r="N1761" s="352" t="s">
        <v>703</v>
      </c>
      <c r="O1761" s="460">
        <v>2141</v>
      </c>
      <c r="P1761" s="460" t="s">
        <v>1882</v>
      </c>
      <c r="Q1761" s="460" t="s">
        <v>2527</v>
      </c>
      <c r="R1761" s="460">
        <v>2121</v>
      </c>
      <c r="S1761" s="460" t="s">
        <v>2296</v>
      </c>
      <c r="T1761" s="462">
        <v>0.28481449642268464</v>
      </c>
      <c r="U1761" s="460" t="s">
        <v>2302</v>
      </c>
      <c r="V1761" s="475">
        <v>0</v>
      </c>
      <c r="W1761" s="463" t="s">
        <v>2503</v>
      </c>
      <c r="X1761" s="463" t="s">
        <v>2267</v>
      </c>
      <c r="Y1761" s="463" t="s">
        <v>2268</v>
      </c>
      <c r="Z1761" s="463"/>
      <c r="AA1761" s="463"/>
      <c r="AB1761" s="464">
        <v>2.1059507479086359</v>
      </c>
      <c r="AC1761" s="465">
        <v>1.6134550072420754E-2</v>
      </c>
      <c r="AD1761" s="465">
        <v>4.096364525805531E-3</v>
      </c>
      <c r="AE1761" s="476">
        <v>1.2635704487451813</v>
      </c>
      <c r="AF1761" s="467">
        <v>9.6807300434524519E-3</v>
      </c>
      <c r="AG1761" s="468">
        <v>2.7734971843257918E-3</v>
      </c>
      <c r="AH1761" s="218">
        <v>11.854963640746892</v>
      </c>
      <c r="AI1761" s="470">
        <v>9.0825725463099194E-2</v>
      </c>
      <c r="AJ1761" s="471">
        <v>1.2306862079541013E-2</v>
      </c>
      <c r="AK1761" s="218">
        <v>11.854963640746892</v>
      </c>
      <c r="AL1761" s="470">
        <v>9.0825725463099194E-2</v>
      </c>
      <c r="AM1761" s="471">
        <v>1.2306862079541013E-2</v>
      </c>
      <c r="AN1761" s="477">
        <v>0</v>
      </c>
      <c r="AO1761" s="473">
        <v>0</v>
      </c>
      <c r="AP1761" s="474">
        <v>0</v>
      </c>
      <c r="AQ1761" s="352"/>
      <c r="AR1761" s="352"/>
      <c r="AS1761" s="352"/>
      <c r="AT1761" s="352"/>
      <c r="AU1761" s="352"/>
      <c r="AV1761" s="352"/>
      <c r="AW1761" s="352" t="s">
        <v>254</v>
      </c>
    </row>
    <row r="1762" spans="2:49" x14ac:dyDescent="0.2">
      <c r="B1762" s="460" t="s">
        <v>2894</v>
      </c>
      <c r="C1762" s="460">
        <v>2141</v>
      </c>
      <c r="D1762" s="460" t="s">
        <v>2304</v>
      </c>
      <c r="E1762" s="460" t="s">
        <v>2305</v>
      </c>
      <c r="F1762" s="460">
        <v>4</v>
      </c>
      <c r="G1762" s="460">
        <v>2</v>
      </c>
      <c r="H1762" s="461" t="s">
        <v>700</v>
      </c>
      <c r="I1762" s="461" t="s">
        <v>872</v>
      </c>
      <c r="J1762" s="461" t="s">
        <v>700</v>
      </c>
      <c r="K1762" s="594"/>
      <c r="L1762" s="594"/>
      <c r="M1762" s="352">
        <v>2000</v>
      </c>
      <c r="N1762" s="352" t="s">
        <v>703</v>
      </c>
      <c r="O1762" s="460">
        <v>2141</v>
      </c>
      <c r="P1762" s="460" t="s">
        <v>1882</v>
      </c>
      <c r="Q1762" s="460" t="s">
        <v>2527</v>
      </c>
      <c r="R1762" s="460">
        <v>2121</v>
      </c>
      <c r="S1762" s="460" t="s">
        <v>2305</v>
      </c>
      <c r="T1762" s="462">
        <v>1</v>
      </c>
      <c r="U1762" s="460" t="s">
        <v>2305</v>
      </c>
      <c r="V1762" s="475">
        <v>0</v>
      </c>
      <c r="W1762" s="463" t="s">
        <v>2503</v>
      </c>
      <c r="X1762" s="463" t="s">
        <v>2503</v>
      </c>
      <c r="Y1762" s="463" t="s">
        <v>2268</v>
      </c>
      <c r="Z1762" s="463"/>
      <c r="AA1762" s="463"/>
      <c r="AB1762" s="464">
        <v>5.0029622402553653E-2</v>
      </c>
      <c r="AC1762" s="465">
        <v>3.3767664750264544E-4</v>
      </c>
      <c r="AD1762" s="465">
        <v>3.961000000000001E-3</v>
      </c>
      <c r="AE1762" s="476">
        <v>3.0017773441532194E-2</v>
      </c>
      <c r="AF1762" s="467">
        <v>2.0260598850158727E-4</v>
      </c>
      <c r="AG1762" s="468">
        <v>2.6390223508848025E-3</v>
      </c>
      <c r="AH1762" s="218">
        <v>3.0017773441532194E-2</v>
      </c>
      <c r="AI1762" s="470">
        <v>2.0260598850158727E-4</v>
      </c>
      <c r="AJ1762" s="471">
        <v>2.6280709068260072E-3</v>
      </c>
      <c r="AK1762" s="218">
        <v>3.0017773441532194E-2</v>
      </c>
      <c r="AL1762" s="470">
        <v>2.0260598850158727E-4</v>
      </c>
      <c r="AM1762" s="471">
        <v>2.6280709068260072E-3</v>
      </c>
      <c r="AN1762" s="477">
        <v>0</v>
      </c>
      <c r="AO1762" s="473">
        <v>0</v>
      </c>
      <c r="AP1762" s="474">
        <v>0</v>
      </c>
      <c r="AQ1762" s="352"/>
      <c r="AR1762" s="352"/>
      <c r="AS1762" s="352"/>
      <c r="AT1762" s="352"/>
      <c r="AU1762" s="352"/>
      <c r="AV1762" s="352"/>
      <c r="AW1762" s="352" t="s">
        <v>254</v>
      </c>
    </row>
    <row r="1763" spans="2:49" x14ac:dyDescent="0.2">
      <c r="B1763" s="460" t="s">
        <v>2891</v>
      </c>
      <c r="C1763" s="460">
        <v>2141</v>
      </c>
      <c r="D1763" s="460" t="s">
        <v>2306</v>
      </c>
      <c r="E1763" s="460" t="s">
        <v>2296</v>
      </c>
      <c r="F1763" s="460">
        <v>1</v>
      </c>
      <c r="G1763" s="460">
        <v>2</v>
      </c>
      <c r="H1763" s="461" t="s">
        <v>712</v>
      </c>
      <c r="I1763" s="461" t="s">
        <v>713</v>
      </c>
      <c r="J1763" s="461" t="s">
        <v>712</v>
      </c>
      <c r="K1763" s="594"/>
      <c r="L1763" s="594"/>
      <c r="M1763" s="352">
        <v>2000</v>
      </c>
      <c r="N1763" s="352" t="s">
        <v>703</v>
      </c>
      <c r="O1763" s="460">
        <v>2141</v>
      </c>
      <c r="P1763" s="460" t="s">
        <v>1882</v>
      </c>
      <c r="Q1763" s="460" t="s">
        <v>2280</v>
      </c>
      <c r="R1763" s="460">
        <v>2121</v>
      </c>
      <c r="S1763" s="460" t="s">
        <v>2296</v>
      </c>
      <c r="T1763" s="462">
        <v>1</v>
      </c>
      <c r="U1763" s="460" t="s">
        <v>2296</v>
      </c>
      <c r="V1763" s="475">
        <v>0</v>
      </c>
      <c r="W1763" s="463" t="s">
        <v>713</v>
      </c>
      <c r="X1763" s="463" t="s">
        <v>713</v>
      </c>
      <c r="Y1763" s="463" t="s">
        <v>713</v>
      </c>
      <c r="Z1763" s="463"/>
      <c r="AA1763" s="463"/>
      <c r="AB1763" s="464">
        <v>582.02762907527472</v>
      </c>
      <c r="AC1763" s="465">
        <v>0.88636848912610211</v>
      </c>
      <c r="AD1763" s="465">
        <v>5.0339435065161831E-3</v>
      </c>
      <c r="AE1763" s="476">
        <v>611.87376177224473</v>
      </c>
      <c r="AF1763" s="467">
        <v>0.93182109347566133</v>
      </c>
      <c r="AG1763" s="468">
        <v>5.2145954038003177E-3</v>
      </c>
      <c r="AH1763" s="218">
        <v>447.24324965273513</v>
      </c>
      <c r="AI1763" s="470">
        <v>0.68110567894582352</v>
      </c>
      <c r="AJ1763" s="471">
        <v>3.8563312737998497E-3</v>
      </c>
      <c r="AK1763" s="218">
        <v>447.24324965273513</v>
      </c>
      <c r="AL1763" s="470">
        <v>0.68110567894582352</v>
      </c>
      <c r="AM1763" s="471">
        <v>3.8563312737998497E-3</v>
      </c>
      <c r="AN1763" s="477">
        <v>447.24324965273513</v>
      </c>
      <c r="AO1763" s="473">
        <v>0.68110567894582352</v>
      </c>
      <c r="AP1763" s="474">
        <v>3.8553848770182249E-3</v>
      </c>
      <c r="AQ1763" s="352"/>
      <c r="AR1763" s="352"/>
      <c r="AS1763" s="352"/>
      <c r="AT1763" s="352"/>
      <c r="AU1763" s="352"/>
      <c r="AV1763" s="352"/>
      <c r="AW1763" s="352" t="s">
        <v>254</v>
      </c>
    </row>
    <row r="1764" spans="2:49" x14ac:dyDescent="0.2">
      <c r="B1764" s="460" t="s">
        <v>2892</v>
      </c>
      <c r="C1764" s="460">
        <v>2141</v>
      </c>
      <c r="D1764" s="460" t="s">
        <v>2307</v>
      </c>
      <c r="E1764" s="460" t="s">
        <v>2299</v>
      </c>
      <c r="F1764" s="460">
        <v>2</v>
      </c>
      <c r="G1764" s="460">
        <v>2</v>
      </c>
      <c r="H1764" s="461" t="s">
        <v>712</v>
      </c>
      <c r="I1764" s="461" t="s">
        <v>713</v>
      </c>
      <c r="J1764" s="461" t="s">
        <v>712</v>
      </c>
      <c r="K1764" s="594"/>
      <c r="L1764" s="594"/>
      <c r="M1764" s="352">
        <v>2000</v>
      </c>
      <c r="N1764" s="352" t="s">
        <v>703</v>
      </c>
      <c r="O1764" s="460">
        <v>2141</v>
      </c>
      <c r="P1764" s="460" t="s">
        <v>1882</v>
      </c>
      <c r="Q1764" s="460" t="s">
        <v>2280</v>
      </c>
      <c r="R1764" s="460">
        <v>2121</v>
      </c>
      <c r="S1764" s="460" t="s">
        <v>2296</v>
      </c>
      <c r="T1764" s="462">
        <v>0.55517361979372948</v>
      </c>
      <c r="U1764" s="460" t="s">
        <v>2299</v>
      </c>
      <c r="V1764" s="475">
        <v>0</v>
      </c>
      <c r="W1764" s="463" t="s">
        <v>713</v>
      </c>
      <c r="X1764" s="463" t="s">
        <v>713</v>
      </c>
      <c r="Y1764" s="463" t="s">
        <v>713</v>
      </c>
      <c r="Z1764" s="463"/>
      <c r="AA1764" s="463"/>
      <c r="AB1764" s="464">
        <v>324.64648534816877</v>
      </c>
      <c r="AC1764" s="465">
        <v>0.95808904177065168</v>
      </c>
      <c r="AD1764" s="465">
        <v>3.7551055573031458E-3</v>
      </c>
      <c r="AE1764" s="476">
        <v>330.32706186810725</v>
      </c>
      <c r="AF1764" s="467">
        <v>0.97485342506239103</v>
      </c>
      <c r="AG1764" s="468">
        <v>3.8049733006831252E-3</v>
      </c>
      <c r="AH1764" s="218">
        <v>278.85770874209362</v>
      </c>
      <c r="AI1764" s="470">
        <v>0.8229582854486891</v>
      </c>
      <c r="AJ1764" s="471">
        <v>3.267069382679952E-3</v>
      </c>
      <c r="AK1764" s="218">
        <v>278.85770874209362</v>
      </c>
      <c r="AL1764" s="470">
        <v>0.8229582854486891</v>
      </c>
      <c r="AM1764" s="471">
        <v>3.267069382679952E-3</v>
      </c>
      <c r="AN1764" s="477">
        <v>278.85770874209362</v>
      </c>
      <c r="AO1764" s="473">
        <v>0.8229582854486891</v>
      </c>
      <c r="AP1764" s="474">
        <v>3.2666569651541577E-3</v>
      </c>
      <c r="AQ1764" s="352"/>
      <c r="AR1764" s="352"/>
      <c r="AS1764" s="352"/>
      <c r="AT1764" s="352"/>
      <c r="AU1764" s="352"/>
      <c r="AV1764" s="352"/>
      <c r="AW1764" s="352" t="s">
        <v>254</v>
      </c>
    </row>
    <row r="1765" spans="2:49" x14ac:dyDescent="0.2">
      <c r="B1765" s="460" t="s">
        <v>2893</v>
      </c>
      <c r="C1765" s="460">
        <v>2141</v>
      </c>
      <c r="D1765" s="460" t="s">
        <v>2308</v>
      </c>
      <c r="E1765" s="460" t="s">
        <v>2302</v>
      </c>
      <c r="F1765" s="460">
        <v>3</v>
      </c>
      <c r="G1765" s="460">
        <v>2</v>
      </c>
      <c r="H1765" s="461" t="s">
        <v>712</v>
      </c>
      <c r="I1765" s="461" t="s">
        <v>713</v>
      </c>
      <c r="J1765" s="461" t="s">
        <v>712</v>
      </c>
      <c r="K1765" s="594"/>
      <c r="L1765" s="594"/>
      <c r="M1765" s="352">
        <v>2000</v>
      </c>
      <c r="N1765" s="352" t="s">
        <v>703</v>
      </c>
      <c r="O1765" s="460">
        <v>2141</v>
      </c>
      <c r="P1765" s="460" t="s">
        <v>1882</v>
      </c>
      <c r="Q1765" s="460" t="s">
        <v>2280</v>
      </c>
      <c r="R1765" s="460">
        <v>2121</v>
      </c>
      <c r="S1765" s="460" t="s">
        <v>2296</v>
      </c>
      <c r="T1765" s="462">
        <v>0.28481449642268464</v>
      </c>
      <c r="U1765" s="460" t="s">
        <v>2302</v>
      </c>
      <c r="V1765" s="475">
        <v>0</v>
      </c>
      <c r="W1765" s="463" t="s">
        <v>713</v>
      </c>
      <c r="X1765" s="463" t="s">
        <v>713</v>
      </c>
      <c r="Y1765" s="463" t="s">
        <v>713</v>
      </c>
      <c r="Z1765" s="463"/>
      <c r="AA1765" s="463"/>
      <c r="AB1765" s="464">
        <v>128.41834267558121</v>
      </c>
      <c r="AC1765" s="465">
        <v>0.98386544992757941</v>
      </c>
      <c r="AD1765" s="465">
        <v>3.7353686838266088E-3</v>
      </c>
      <c r="AE1765" s="476">
        <v>129.26072297474465</v>
      </c>
      <c r="AF1765" s="467">
        <v>0.99031926995654751</v>
      </c>
      <c r="AG1765" s="468">
        <v>3.7534827924249506E-3</v>
      </c>
      <c r="AH1765" s="218">
        <v>118.66932978274295</v>
      </c>
      <c r="AI1765" s="470">
        <v>0.90917427453690081</v>
      </c>
      <c r="AJ1765" s="471">
        <v>3.4974906444553851E-3</v>
      </c>
      <c r="AK1765" s="218">
        <v>118.66932978274295</v>
      </c>
      <c r="AL1765" s="470">
        <v>0.90917427453690081</v>
      </c>
      <c r="AM1765" s="471">
        <v>3.4974906444553851E-3</v>
      </c>
      <c r="AN1765" s="477">
        <v>118.66932978274295</v>
      </c>
      <c r="AO1765" s="473">
        <v>0.90917427453690081</v>
      </c>
      <c r="AP1765" s="474">
        <v>3.5005319067862172E-3</v>
      </c>
      <c r="AQ1765" s="352"/>
      <c r="AR1765" s="352"/>
      <c r="AS1765" s="352"/>
      <c r="AT1765" s="352"/>
      <c r="AU1765" s="352"/>
      <c r="AV1765" s="352"/>
      <c r="AW1765" s="352" t="s">
        <v>254</v>
      </c>
    </row>
    <row r="1766" spans="2:49" x14ac:dyDescent="0.2">
      <c r="B1766" s="460" t="s">
        <v>2894</v>
      </c>
      <c r="C1766" s="460">
        <v>2141</v>
      </c>
      <c r="D1766" s="460" t="s">
        <v>2309</v>
      </c>
      <c r="E1766" s="460" t="s">
        <v>2305</v>
      </c>
      <c r="F1766" s="460">
        <v>4</v>
      </c>
      <c r="G1766" s="460">
        <v>2</v>
      </c>
      <c r="H1766" s="461" t="s">
        <v>712</v>
      </c>
      <c r="I1766" s="461" t="s">
        <v>713</v>
      </c>
      <c r="J1766" s="461" t="s">
        <v>712</v>
      </c>
      <c r="K1766" s="594"/>
      <c r="L1766" s="594"/>
      <c r="M1766" s="352">
        <v>2000</v>
      </c>
      <c r="N1766" s="352" t="s">
        <v>703</v>
      </c>
      <c r="O1766" s="460">
        <v>2141</v>
      </c>
      <c r="P1766" s="460" t="s">
        <v>1882</v>
      </c>
      <c r="Q1766" s="460" t="s">
        <v>2280</v>
      </c>
      <c r="R1766" s="460">
        <v>2121</v>
      </c>
      <c r="S1766" s="460" t="s">
        <v>2305</v>
      </c>
      <c r="T1766" s="462">
        <v>1</v>
      </c>
      <c r="U1766" s="460" t="s">
        <v>2305</v>
      </c>
      <c r="V1766" s="475">
        <v>0</v>
      </c>
      <c r="W1766" s="463" t="s">
        <v>713</v>
      </c>
      <c r="X1766" s="463" t="s">
        <v>713</v>
      </c>
      <c r="Y1766" s="463" t="s">
        <v>713</v>
      </c>
      <c r="Z1766" s="463"/>
      <c r="AA1766" s="463"/>
      <c r="AB1766" s="464">
        <v>148.10834251424842</v>
      </c>
      <c r="AC1766" s="465">
        <v>0.99966232335249738</v>
      </c>
      <c r="AD1766" s="465">
        <v>3.782672615013246E-3</v>
      </c>
      <c r="AE1766" s="476">
        <v>148.12835436320944</v>
      </c>
      <c r="AF1766" s="467">
        <v>0.99979739401149836</v>
      </c>
      <c r="AG1766" s="468">
        <v>3.7830623648195754E-3</v>
      </c>
      <c r="AH1766" s="218">
        <v>148.12835436320944</v>
      </c>
      <c r="AI1766" s="470">
        <v>0.99979739401149836</v>
      </c>
      <c r="AJ1766" s="471">
        <v>3.7830669443299461E-3</v>
      </c>
      <c r="AK1766" s="218">
        <v>148.12835436320944</v>
      </c>
      <c r="AL1766" s="470">
        <v>0.99979739401149836</v>
      </c>
      <c r="AM1766" s="471">
        <v>3.7830669443299461E-3</v>
      </c>
      <c r="AN1766" s="477">
        <v>148.13836028768995</v>
      </c>
      <c r="AO1766" s="473">
        <v>0.99986492934099891</v>
      </c>
      <c r="AP1766" s="474">
        <v>3.7833271145327725E-3</v>
      </c>
      <c r="AQ1766" s="352"/>
      <c r="AR1766" s="352"/>
      <c r="AS1766" s="352"/>
      <c r="AT1766" s="352"/>
      <c r="AU1766" s="352"/>
      <c r="AV1766" s="352"/>
      <c r="AW1766" s="352" t="s">
        <v>254</v>
      </c>
    </row>
    <row r="1767" spans="2:49" x14ac:dyDescent="0.2">
      <c r="B1767" s="460" t="s">
        <v>2891</v>
      </c>
      <c r="C1767" s="460">
        <v>2141</v>
      </c>
      <c r="D1767" s="460" t="s">
        <v>2310</v>
      </c>
      <c r="E1767" s="460" t="s">
        <v>2296</v>
      </c>
      <c r="F1767" s="460">
        <v>1</v>
      </c>
      <c r="G1767" s="460">
        <v>2</v>
      </c>
      <c r="H1767" s="461" t="s">
        <v>746</v>
      </c>
      <c r="I1767" s="461" t="s">
        <v>762</v>
      </c>
      <c r="J1767" s="461" t="s">
        <v>700</v>
      </c>
      <c r="K1767" s="594"/>
      <c r="L1767" s="594"/>
      <c r="M1767" s="352">
        <v>2000</v>
      </c>
      <c r="N1767" s="352" t="s">
        <v>703</v>
      </c>
      <c r="O1767" s="460">
        <v>2141</v>
      </c>
      <c r="P1767" s="460" t="s">
        <v>1882</v>
      </c>
      <c r="Q1767" s="460" t="s">
        <v>2531</v>
      </c>
      <c r="R1767" s="460">
        <v>2121</v>
      </c>
      <c r="S1767" s="460" t="s">
        <v>2296</v>
      </c>
      <c r="T1767" s="462">
        <v>1</v>
      </c>
      <c r="U1767" s="460" t="s">
        <v>2296</v>
      </c>
      <c r="V1767" s="475">
        <v>0</v>
      </c>
      <c r="W1767" s="463" t="s">
        <v>2268</v>
      </c>
      <c r="X1767" s="463" t="s">
        <v>2268</v>
      </c>
      <c r="Y1767" s="463" t="s">
        <v>2290</v>
      </c>
      <c r="Z1767" s="463"/>
      <c r="AA1767" s="463"/>
      <c r="AB1767" s="464">
        <v>0</v>
      </c>
      <c r="AC1767" s="465">
        <v>0</v>
      </c>
      <c r="AD1767" s="465">
        <v>0</v>
      </c>
      <c r="AE1767" s="476">
        <v>0</v>
      </c>
      <c r="AF1767" s="467">
        <v>0</v>
      </c>
      <c r="AG1767" s="468">
        <v>0</v>
      </c>
      <c r="AH1767" s="218">
        <v>0</v>
      </c>
      <c r="AI1767" s="470">
        <v>0</v>
      </c>
      <c r="AJ1767" s="471">
        <v>0</v>
      </c>
      <c r="AK1767" s="218">
        <v>0</v>
      </c>
      <c r="AL1767" s="470">
        <v>0</v>
      </c>
      <c r="AM1767" s="471">
        <v>0</v>
      </c>
      <c r="AN1767" s="477">
        <v>0</v>
      </c>
      <c r="AO1767" s="473">
        <v>0</v>
      </c>
      <c r="AP1767" s="474">
        <v>0</v>
      </c>
      <c r="AQ1767" s="352"/>
      <c r="AR1767" s="352"/>
      <c r="AS1767" s="352"/>
      <c r="AT1767" s="352"/>
      <c r="AU1767" s="352"/>
      <c r="AV1767" s="352"/>
      <c r="AW1767" s="352" t="s">
        <v>254</v>
      </c>
    </row>
    <row r="1768" spans="2:49" x14ac:dyDescent="0.2">
      <c r="B1768" s="460" t="s">
        <v>2892</v>
      </c>
      <c r="C1768" s="460">
        <v>2141</v>
      </c>
      <c r="D1768" s="460" t="s">
        <v>2311</v>
      </c>
      <c r="E1768" s="460" t="s">
        <v>2299</v>
      </c>
      <c r="F1768" s="460">
        <v>2</v>
      </c>
      <c r="G1768" s="460">
        <v>2</v>
      </c>
      <c r="H1768" s="461" t="s">
        <v>746</v>
      </c>
      <c r="I1768" s="461" t="s">
        <v>762</v>
      </c>
      <c r="J1768" s="461" t="s">
        <v>700</v>
      </c>
      <c r="K1768" s="594"/>
      <c r="L1768" s="594"/>
      <c r="M1768" s="352">
        <v>2000</v>
      </c>
      <c r="N1768" s="352" t="s">
        <v>703</v>
      </c>
      <c r="O1768" s="460">
        <v>2141</v>
      </c>
      <c r="P1768" s="460" t="s">
        <v>1882</v>
      </c>
      <c r="Q1768" s="460" t="s">
        <v>2531</v>
      </c>
      <c r="R1768" s="460">
        <v>2121</v>
      </c>
      <c r="S1768" s="460" t="s">
        <v>2296</v>
      </c>
      <c r="T1768" s="462">
        <v>0.55517361979372948</v>
      </c>
      <c r="U1768" s="460" t="s">
        <v>2299</v>
      </c>
      <c r="V1768" s="475">
        <v>0</v>
      </c>
      <c r="W1768" s="463" t="s">
        <v>2268</v>
      </c>
      <c r="X1768" s="463" t="s">
        <v>2268</v>
      </c>
      <c r="Y1768" s="463" t="s">
        <v>2290</v>
      </c>
      <c r="Z1768" s="463"/>
      <c r="AA1768" s="463"/>
      <c r="AB1768" s="464">
        <v>0</v>
      </c>
      <c r="AC1768" s="465">
        <v>0</v>
      </c>
      <c r="AD1768" s="465">
        <v>0</v>
      </c>
      <c r="AE1768" s="476">
        <v>0</v>
      </c>
      <c r="AF1768" s="467">
        <v>0</v>
      </c>
      <c r="AG1768" s="468">
        <v>0</v>
      </c>
      <c r="AH1768" s="218">
        <v>0</v>
      </c>
      <c r="AI1768" s="470">
        <v>0</v>
      </c>
      <c r="AJ1768" s="471">
        <v>0</v>
      </c>
      <c r="AK1768" s="218">
        <v>0</v>
      </c>
      <c r="AL1768" s="470">
        <v>0</v>
      </c>
      <c r="AM1768" s="471">
        <v>0</v>
      </c>
      <c r="AN1768" s="477">
        <v>0</v>
      </c>
      <c r="AO1768" s="473">
        <v>0</v>
      </c>
      <c r="AP1768" s="474">
        <v>0</v>
      </c>
      <c r="AQ1768" s="352"/>
      <c r="AR1768" s="352"/>
      <c r="AS1768" s="352"/>
      <c r="AT1768" s="352"/>
      <c r="AU1768" s="352"/>
      <c r="AV1768" s="352"/>
      <c r="AW1768" s="352" t="s">
        <v>254</v>
      </c>
    </row>
    <row r="1769" spans="2:49" x14ac:dyDescent="0.2">
      <c r="B1769" s="460" t="s">
        <v>2893</v>
      </c>
      <c r="C1769" s="460">
        <v>2141</v>
      </c>
      <c r="D1769" s="460" t="s">
        <v>2312</v>
      </c>
      <c r="E1769" s="460" t="s">
        <v>2302</v>
      </c>
      <c r="F1769" s="460">
        <v>3</v>
      </c>
      <c r="G1769" s="460">
        <v>2</v>
      </c>
      <c r="H1769" s="461" t="s">
        <v>746</v>
      </c>
      <c r="I1769" s="461" t="s">
        <v>762</v>
      </c>
      <c r="J1769" s="461" t="s">
        <v>700</v>
      </c>
      <c r="K1769" s="594"/>
      <c r="L1769" s="594"/>
      <c r="M1769" s="352">
        <v>2000</v>
      </c>
      <c r="N1769" s="352" t="s">
        <v>703</v>
      </c>
      <c r="O1769" s="460">
        <v>2141</v>
      </c>
      <c r="P1769" s="460" t="s">
        <v>1882</v>
      </c>
      <c r="Q1769" s="460" t="s">
        <v>2531</v>
      </c>
      <c r="R1769" s="460">
        <v>2121</v>
      </c>
      <c r="S1769" s="460" t="s">
        <v>2296</v>
      </c>
      <c r="T1769" s="462">
        <v>0.28481449642268464</v>
      </c>
      <c r="U1769" s="460" t="s">
        <v>2302</v>
      </c>
      <c r="V1769" s="475">
        <v>0</v>
      </c>
      <c r="W1769" s="463" t="s">
        <v>2268</v>
      </c>
      <c r="X1769" s="463" t="s">
        <v>2268</v>
      </c>
      <c r="Y1769" s="463" t="s">
        <v>2290</v>
      </c>
      <c r="Z1769" s="463"/>
      <c r="AA1769" s="463"/>
      <c r="AB1769" s="464">
        <v>0</v>
      </c>
      <c r="AC1769" s="465">
        <v>0</v>
      </c>
      <c r="AD1769" s="465">
        <v>0</v>
      </c>
      <c r="AE1769" s="476">
        <v>0</v>
      </c>
      <c r="AF1769" s="467">
        <v>0</v>
      </c>
      <c r="AG1769" s="468">
        <v>0</v>
      </c>
      <c r="AH1769" s="218">
        <v>0</v>
      </c>
      <c r="AI1769" s="470">
        <v>0</v>
      </c>
      <c r="AJ1769" s="471">
        <v>0</v>
      </c>
      <c r="AK1769" s="218">
        <v>0</v>
      </c>
      <c r="AL1769" s="470">
        <v>0</v>
      </c>
      <c r="AM1769" s="471">
        <v>0</v>
      </c>
      <c r="AN1769" s="477">
        <v>0</v>
      </c>
      <c r="AO1769" s="473">
        <v>0</v>
      </c>
      <c r="AP1769" s="474">
        <v>0</v>
      </c>
      <c r="AQ1769" s="352"/>
      <c r="AR1769" s="352"/>
      <c r="AS1769" s="352"/>
      <c r="AT1769" s="352"/>
      <c r="AU1769" s="352"/>
      <c r="AV1769" s="352"/>
      <c r="AW1769" s="352" t="s">
        <v>254</v>
      </c>
    </row>
    <row r="1770" spans="2:49" x14ac:dyDescent="0.2">
      <c r="B1770" s="460" t="s">
        <v>2894</v>
      </c>
      <c r="C1770" s="460">
        <v>2141</v>
      </c>
      <c r="D1770" s="460" t="s">
        <v>2313</v>
      </c>
      <c r="E1770" s="460" t="s">
        <v>2305</v>
      </c>
      <c r="F1770" s="460">
        <v>4</v>
      </c>
      <c r="G1770" s="460">
        <v>2</v>
      </c>
      <c r="H1770" s="461" t="s">
        <v>746</v>
      </c>
      <c r="I1770" s="461" t="s">
        <v>762</v>
      </c>
      <c r="J1770" s="461" t="s">
        <v>700</v>
      </c>
      <c r="K1770" s="594"/>
      <c r="L1770" s="594"/>
      <c r="M1770" s="352">
        <v>2000</v>
      </c>
      <c r="N1770" s="352" t="s">
        <v>703</v>
      </c>
      <c r="O1770" s="460">
        <v>2141</v>
      </c>
      <c r="P1770" s="460" t="s">
        <v>1882</v>
      </c>
      <c r="Q1770" s="460" t="s">
        <v>2531</v>
      </c>
      <c r="R1770" s="460">
        <v>2121</v>
      </c>
      <c r="S1770" s="460" t="s">
        <v>2305</v>
      </c>
      <c r="T1770" s="462">
        <v>1</v>
      </c>
      <c r="U1770" s="460" t="s">
        <v>2305</v>
      </c>
      <c r="V1770" s="475">
        <v>0</v>
      </c>
      <c r="W1770" s="463" t="s">
        <v>2268</v>
      </c>
      <c r="X1770" s="463" t="s">
        <v>2268</v>
      </c>
      <c r="Y1770" s="463" t="s">
        <v>2290</v>
      </c>
      <c r="Z1770" s="463"/>
      <c r="AA1770" s="463"/>
      <c r="AB1770" s="464">
        <v>0</v>
      </c>
      <c r="AC1770" s="465">
        <v>0</v>
      </c>
      <c r="AD1770" s="465">
        <v>0</v>
      </c>
      <c r="AE1770" s="476">
        <v>0</v>
      </c>
      <c r="AF1770" s="467">
        <v>0</v>
      </c>
      <c r="AG1770" s="468">
        <v>0</v>
      </c>
      <c r="AH1770" s="218">
        <v>0</v>
      </c>
      <c r="AI1770" s="470">
        <v>0</v>
      </c>
      <c r="AJ1770" s="471">
        <v>0</v>
      </c>
      <c r="AK1770" s="218">
        <v>0</v>
      </c>
      <c r="AL1770" s="470">
        <v>0</v>
      </c>
      <c r="AM1770" s="471">
        <v>0</v>
      </c>
      <c r="AN1770" s="477">
        <v>0</v>
      </c>
      <c r="AO1770" s="473">
        <v>0</v>
      </c>
      <c r="AP1770" s="474">
        <v>0</v>
      </c>
      <c r="AQ1770" s="352"/>
      <c r="AR1770" s="352"/>
      <c r="AS1770" s="352"/>
      <c r="AT1770" s="352"/>
      <c r="AU1770" s="352"/>
      <c r="AV1770" s="352"/>
      <c r="AW1770" s="352" t="s">
        <v>254</v>
      </c>
    </row>
    <row r="1771" spans="2:49" x14ac:dyDescent="0.2">
      <c r="B1771" s="460" t="s">
        <v>2891</v>
      </c>
      <c r="C1771" s="460">
        <v>2141</v>
      </c>
      <c r="D1771" s="460" t="s">
        <v>2314</v>
      </c>
      <c r="E1771" s="460" t="s">
        <v>2296</v>
      </c>
      <c r="F1771" s="460">
        <v>1</v>
      </c>
      <c r="G1771" s="460">
        <v>2</v>
      </c>
      <c r="H1771" s="461" t="s">
        <v>748</v>
      </c>
      <c r="I1771" s="461" t="s">
        <v>765</v>
      </c>
      <c r="J1771" s="461" t="s">
        <v>700</v>
      </c>
      <c r="K1771" s="594"/>
      <c r="L1771" s="594"/>
      <c r="M1771" s="352">
        <v>2000</v>
      </c>
      <c r="N1771" s="352" t="s">
        <v>703</v>
      </c>
      <c r="O1771" s="460">
        <v>2141</v>
      </c>
      <c r="P1771" s="460" t="s">
        <v>1882</v>
      </c>
      <c r="Q1771" s="460" t="s">
        <v>2527</v>
      </c>
      <c r="R1771" s="460">
        <v>2121</v>
      </c>
      <c r="S1771" s="460" t="s">
        <v>2296</v>
      </c>
      <c r="T1771" s="462">
        <v>1</v>
      </c>
      <c r="U1771" s="460" t="s">
        <v>2296</v>
      </c>
      <c r="V1771" s="475">
        <v>0</v>
      </c>
      <c r="W1771" s="463" t="s">
        <v>2268</v>
      </c>
      <c r="X1771" s="463" t="s">
        <v>2268</v>
      </c>
      <c r="Y1771" s="479" t="s">
        <v>2267</v>
      </c>
      <c r="Z1771" s="479"/>
      <c r="AA1771" s="479"/>
      <c r="AB1771" s="464">
        <v>0</v>
      </c>
      <c r="AC1771" s="465">
        <v>0</v>
      </c>
      <c r="AD1771" s="465">
        <v>0</v>
      </c>
      <c r="AE1771" s="476">
        <v>0</v>
      </c>
      <c r="AF1771" s="467">
        <v>0</v>
      </c>
      <c r="AG1771" s="468">
        <v>0</v>
      </c>
      <c r="AH1771" s="218">
        <v>0</v>
      </c>
      <c r="AI1771" s="470">
        <v>0</v>
      </c>
      <c r="AJ1771" s="471">
        <v>0</v>
      </c>
      <c r="AK1771" s="218">
        <v>0</v>
      </c>
      <c r="AL1771" s="470">
        <v>0</v>
      </c>
      <c r="AM1771" s="471">
        <v>0</v>
      </c>
      <c r="AN1771" s="477">
        <v>209.39971116496454</v>
      </c>
      <c r="AO1771" s="473">
        <v>0.31889432105417648</v>
      </c>
      <c r="AP1771" s="474">
        <v>6.3968743495121203E-2</v>
      </c>
      <c r="AQ1771" s="352"/>
      <c r="AR1771" s="352"/>
      <c r="AS1771" s="352"/>
      <c r="AT1771" s="352"/>
      <c r="AU1771" s="352"/>
      <c r="AV1771" s="352"/>
      <c r="AW1771" s="352" t="s">
        <v>254</v>
      </c>
    </row>
    <row r="1772" spans="2:49" x14ac:dyDescent="0.2">
      <c r="B1772" s="460" t="s">
        <v>2892</v>
      </c>
      <c r="C1772" s="460">
        <v>2141</v>
      </c>
      <c r="D1772" s="460" t="s">
        <v>2315</v>
      </c>
      <c r="E1772" s="460" t="s">
        <v>2299</v>
      </c>
      <c r="F1772" s="460">
        <v>2</v>
      </c>
      <c r="G1772" s="460">
        <v>2</v>
      </c>
      <c r="H1772" s="461" t="s">
        <v>748</v>
      </c>
      <c r="I1772" s="461" t="s">
        <v>765</v>
      </c>
      <c r="J1772" s="461" t="s">
        <v>700</v>
      </c>
      <c r="K1772" s="594"/>
      <c r="L1772" s="594"/>
      <c r="M1772" s="352">
        <v>2000</v>
      </c>
      <c r="N1772" s="352" t="s">
        <v>703</v>
      </c>
      <c r="O1772" s="460">
        <v>2141</v>
      </c>
      <c r="P1772" s="460" t="s">
        <v>1882</v>
      </c>
      <c r="Q1772" s="460" t="s">
        <v>2527</v>
      </c>
      <c r="R1772" s="460">
        <v>2121</v>
      </c>
      <c r="S1772" s="460" t="s">
        <v>2296</v>
      </c>
      <c r="T1772" s="462">
        <v>0.55517361979372948</v>
      </c>
      <c r="U1772" s="460" t="s">
        <v>2299</v>
      </c>
      <c r="V1772" s="475">
        <v>0</v>
      </c>
      <c r="W1772" s="463" t="s">
        <v>2268</v>
      </c>
      <c r="X1772" s="463" t="s">
        <v>2268</v>
      </c>
      <c r="Y1772" s="479" t="s">
        <v>2267</v>
      </c>
      <c r="Z1772" s="479"/>
      <c r="AA1772" s="479"/>
      <c r="AB1772" s="464">
        <v>0</v>
      </c>
      <c r="AC1772" s="465">
        <v>0</v>
      </c>
      <c r="AD1772" s="465">
        <v>0</v>
      </c>
      <c r="AE1772" s="476">
        <v>0</v>
      </c>
      <c r="AF1772" s="467">
        <v>0</v>
      </c>
      <c r="AG1772" s="468">
        <v>0</v>
      </c>
      <c r="AH1772" s="218">
        <v>0</v>
      </c>
      <c r="AI1772" s="470">
        <v>0</v>
      </c>
      <c r="AJ1772" s="471">
        <v>0</v>
      </c>
      <c r="AK1772" s="218">
        <v>0</v>
      </c>
      <c r="AL1772" s="470">
        <v>0</v>
      </c>
      <c r="AM1772" s="471">
        <v>0</v>
      </c>
      <c r="AN1772" s="477">
        <v>59.990217905921398</v>
      </c>
      <c r="AO1772" s="473">
        <v>0.17704171455131087</v>
      </c>
      <c r="AP1772" s="474">
        <v>5.5579863435926032E-2</v>
      </c>
      <c r="AQ1772" s="352"/>
      <c r="AR1772" s="352"/>
      <c r="AS1772" s="352"/>
      <c r="AT1772" s="352"/>
      <c r="AU1772" s="352"/>
      <c r="AV1772" s="352"/>
      <c r="AW1772" s="352" t="s">
        <v>254</v>
      </c>
    </row>
    <row r="1773" spans="2:49" x14ac:dyDescent="0.2">
      <c r="B1773" s="460" t="s">
        <v>2893</v>
      </c>
      <c r="C1773" s="460">
        <v>2141</v>
      </c>
      <c r="D1773" s="460" t="s">
        <v>2316</v>
      </c>
      <c r="E1773" s="460" t="s">
        <v>2302</v>
      </c>
      <c r="F1773" s="460">
        <v>3</v>
      </c>
      <c r="G1773" s="460">
        <v>2</v>
      </c>
      <c r="H1773" s="461" t="s">
        <v>748</v>
      </c>
      <c r="I1773" s="461" t="s">
        <v>765</v>
      </c>
      <c r="J1773" s="461" t="s">
        <v>700</v>
      </c>
      <c r="K1773" s="594"/>
      <c r="L1773" s="594"/>
      <c r="M1773" s="352">
        <v>2000</v>
      </c>
      <c r="N1773" s="352" t="s">
        <v>703</v>
      </c>
      <c r="O1773" s="460">
        <v>2141</v>
      </c>
      <c r="P1773" s="460" t="s">
        <v>1882</v>
      </c>
      <c r="Q1773" s="460" t="s">
        <v>2527</v>
      </c>
      <c r="R1773" s="460">
        <v>2121</v>
      </c>
      <c r="S1773" s="460" t="s">
        <v>2296</v>
      </c>
      <c r="T1773" s="462">
        <v>0.28481449642268464</v>
      </c>
      <c r="U1773" s="460" t="s">
        <v>2302</v>
      </c>
      <c r="V1773" s="475">
        <v>0</v>
      </c>
      <c r="W1773" s="463" t="s">
        <v>2268</v>
      </c>
      <c r="X1773" s="463" t="s">
        <v>2268</v>
      </c>
      <c r="Y1773" s="479" t="s">
        <v>2267</v>
      </c>
      <c r="Z1773" s="479"/>
      <c r="AA1773" s="479"/>
      <c r="AB1773" s="464">
        <v>0</v>
      </c>
      <c r="AC1773" s="465">
        <v>0</v>
      </c>
      <c r="AD1773" s="465">
        <v>0</v>
      </c>
      <c r="AE1773" s="476">
        <v>0</v>
      </c>
      <c r="AF1773" s="467">
        <v>0</v>
      </c>
      <c r="AG1773" s="468">
        <v>0</v>
      </c>
      <c r="AH1773" s="218">
        <v>0</v>
      </c>
      <c r="AI1773" s="470">
        <v>0</v>
      </c>
      <c r="AJ1773" s="471">
        <v>0</v>
      </c>
      <c r="AK1773" s="218">
        <v>0</v>
      </c>
      <c r="AL1773" s="470">
        <v>0</v>
      </c>
      <c r="AM1773" s="471">
        <v>0</v>
      </c>
      <c r="AN1773" s="477">
        <v>11.854963640746892</v>
      </c>
      <c r="AO1773" s="473">
        <v>9.0825725463099194E-2</v>
      </c>
      <c r="AP1773" s="474">
        <v>5.0726602207081972E-2</v>
      </c>
      <c r="AQ1773" s="352"/>
      <c r="AR1773" s="352"/>
      <c r="AS1773" s="352"/>
      <c r="AT1773" s="352"/>
      <c r="AU1773" s="352"/>
      <c r="AV1773" s="352"/>
      <c r="AW1773" s="352" t="s">
        <v>254</v>
      </c>
    </row>
    <row r="1774" spans="2:49" x14ac:dyDescent="0.2">
      <c r="B1774" s="460" t="s">
        <v>2894</v>
      </c>
      <c r="C1774" s="460">
        <v>2141</v>
      </c>
      <c r="D1774" s="460" t="s">
        <v>2317</v>
      </c>
      <c r="E1774" s="460" t="s">
        <v>2305</v>
      </c>
      <c r="F1774" s="460">
        <v>4</v>
      </c>
      <c r="G1774" s="460">
        <v>2</v>
      </c>
      <c r="H1774" s="461" t="s">
        <v>748</v>
      </c>
      <c r="I1774" s="461" t="s">
        <v>765</v>
      </c>
      <c r="J1774" s="461" t="s">
        <v>700</v>
      </c>
      <c r="K1774" s="594"/>
      <c r="L1774" s="594"/>
      <c r="M1774" s="352">
        <v>2000</v>
      </c>
      <c r="N1774" s="352" t="s">
        <v>703</v>
      </c>
      <c r="O1774" s="460">
        <v>2141</v>
      </c>
      <c r="P1774" s="460" t="s">
        <v>1882</v>
      </c>
      <c r="Q1774" s="460" t="s">
        <v>2527</v>
      </c>
      <c r="R1774" s="460">
        <v>2121</v>
      </c>
      <c r="S1774" s="460" t="s">
        <v>2305</v>
      </c>
      <c r="T1774" s="462">
        <v>1</v>
      </c>
      <c r="U1774" s="460" t="s">
        <v>2305</v>
      </c>
      <c r="V1774" s="475">
        <v>0</v>
      </c>
      <c r="W1774" s="463" t="s">
        <v>2268</v>
      </c>
      <c r="X1774" s="463" t="s">
        <v>2268</v>
      </c>
      <c r="Y1774" s="463" t="s">
        <v>2503</v>
      </c>
      <c r="Z1774" s="463"/>
      <c r="AA1774" s="463"/>
      <c r="AB1774" s="464">
        <v>0</v>
      </c>
      <c r="AC1774" s="465">
        <v>0</v>
      </c>
      <c r="AD1774" s="465">
        <v>0</v>
      </c>
      <c r="AE1774" s="476">
        <v>0</v>
      </c>
      <c r="AF1774" s="467">
        <v>0</v>
      </c>
      <c r="AG1774" s="468">
        <v>0</v>
      </c>
      <c r="AH1774" s="218">
        <v>0</v>
      </c>
      <c r="AI1774" s="470">
        <v>0</v>
      </c>
      <c r="AJ1774" s="471">
        <v>0</v>
      </c>
      <c r="AK1774" s="218">
        <v>0</v>
      </c>
      <c r="AL1774" s="470">
        <v>0</v>
      </c>
      <c r="AM1774" s="471">
        <v>0</v>
      </c>
      <c r="AN1774" s="477">
        <v>2.0011848961021463E-2</v>
      </c>
      <c r="AO1774" s="473">
        <v>1.3507065900105817E-4</v>
      </c>
      <c r="AP1774" s="474">
        <v>1.6343576113442053E-2</v>
      </c>
      <c r="AQ1774" s="352"/>
      <c r="AR1774" s="352"/>
      <c r="AS1774" s="352"/>
      <c r="AT1774" s="352"/>
      <c r="AU1774" s="352"/>
      <c r="AV1774" s="352"/>
      <c r="AW1774" s="352" t="s">
        <v>254</v>
      </c>
    </row>
    <row r="1775" spans="2:49" x14ac:dyDescent="0.2">
      <c r="B1775" s="460" t="s">
        <v>2895</v>
      </c>
      <c r="C1775" s="460">
        <v>2141</v>
      </c>
      <c r="D1775" s="460" t="s">
        <v>2323</v>
      </c>
      <c r="E1775" s="460" t="s">
        <v>2324</v>
      </c>
      <c r="F1775" s="460">
        <v>1</v>
      </c>
      <c r="G1775" s="460">
        <v>3</v>
      </c>
      <c r="H1775" s="461" t="s">
        <v>700</v>
      </c>
      <c r="I1775" s="461" t="s">
        <v>872</v>
      </c>
      <c r="J1775" s="461" t="s">
        <v>700</v>
      </c>
      <c r="K1775" s="594"/>
      <c r="L1775" s="594"/>
      <c r="M1775" s="352">
        <v>2000</v>
      </c>
      <c r="N1775" s="352" t="s">
        <v>703</v>
      </c>
      <c r="O1775" s="460">
        <v>2141</v>
      </c>
      <c r="P1775" s="460" t="s">
        <v>1882</v>
      </c>
      <c r="Q1775" s="460" t="s">
        <v>2527</v>
      </c>
      <c r="R1775" s="460">
        <v>2121</v>
      </c>
      <c r="S1775" s="460" t="s">
        <v>2324</v>
      </c>
      <c r="T1775" s="462">
        <v>1</v>
      </c>
      <c r="U1775" s="460" t="s">
        <v>2324</v>
      </c>
      <c r="V1775" s="475">
        <v>0</v>
      </c>
      <c r="W1775" s="463" t="s">
        <v>2503</v>
      </c>
      <c r="X1775" s="463" t="s">
        <v>2267</v>
      </c>
      <c r="Y1775" s="463" t="s">
        <v>2268</v>
      </c>
      <c r="Z1775" s="463"/>
      <c r="AA1775" s="463"/>
      <c r="AB1775" s="464">
        <v>587.06246987413022</v>
      </c>
      <c r="AC1775" s="465">
        <v>0.27211017770788509</v>
      </c>
      <c r="AD1775" s="465">
        <v>5.0326985397900056E-3</v>
      </c>
      <c r="AE1775" s="476">
        <v>352.23748192447806</v>
      </c>
      <c r="AF1775" s="467">
        <v>0.16326610662473104</v>
      </c>
      <c r="AG1775" s="468">
        <v>3.2346102855828488E-3</v>
      </c>
      <c r="AH1775" s="218">
        <v>858.79141346969425</v>
      </c>
      <c r="AI1775" s="470">
        <v>0.39805965484959044</v>
      </c>
      <c r="AJ1775" s="471">
        <v>7.5309203782744335E-3</v>
      </c>
      <c r="AK1775" s="218">
        <v>858.79141346969425</v>
      </c>
      <c r="AL1775" s="470">
        <v>0.39805965484959044</v>
      </c>
      <c r="AM1775" s="471">
        <v>7.5309203782744335E-3</v>
      </c>
      <c r="AN1775" s="477">
        <v>0</v>
      </c>
      <c r="AO1775" s="473">
        <v>0</v>
      </c>
      <c r="AP1775" s="474">
        <v>0</v>
      </c>
      <c r="AQ1775" s="352"/>
      <c r="AR1775" s="352"/>
      <c r="AS1775" s="352"/>
      <c r="AT1775" s="352"/>
      <c r="AU1775" s="352"/>
      <c r="AV1775" s="352"/>
      <c r="AW1775" s="352" t="s">
        <v>254</v>
      </c>
    </row>
    <row r="1776" spans="2:49" x14ac:dyDescent="0.2">
      <c r="B1776" s="460" t="s">
        <v>2896</v>
      </c>
      <c r="C1776" s="460">
        <v>2141</v>
      </c>
      <c r="D1776" s="460" t="s">
        <v>2326</v>
      </c>
      <c r="E1776" s="460" t="s">
        <v>2327</v>
      </c>
      <c r="F1776" s="460">
        <v>2</v>
      </c>
      <c r="G1776" s="460">
        <v>3</v>
      </c>
      <c r="H1776" s="461" t="s">
        <v>700</v>
      </c>
      <c r="I1776" s="461" t="s">
        <v>872</v>
      </c>
      <c r="J1776" s="461" t="s">
        <v>700</v>
      </c>
      <c r="K1776" s="594"/>
      <c r="L1776" s="594"/>
      <c r="M1776" s="352">
        <v>2000</v>
      </c>
      <c r="N1776" s="352" t="s">
        <v>703</v>
      </c>
      <c r="O1776" s="460">
        <v>2141</v>
      </c>
      <c r="P1776" s="460" t="s">
        <v>1882</v>
      </c>
      <c r="Q1776" s="460" t="s">
        <v>2527</v>
      </c>
      <c r="R1776" s="460">
        <v>2121</v>
      </c>
      <c r="S1776" s="460" t="s">
        <v>2324</v>
      </c>
      <c r="T1776" s="462">
        <v>1</v>
      </c>
      <c r="U1776" s="460" t="s">
        <v>2327</v>
      </c>
      <c r="V1776" s="475">
        <v>0</v>
      </c>
      <c r="W1776" s="463" t="s">
        <v>2503</v>
      </c>
      <c r="X1776" s="463" t="s">
        <v>2267</v>
      </c>
      <c r="Y1776" s="463" t="s">
        <v>2268</v>
      </c>
      <c r="Z1776" s="463"/>
      <c r="AA1776" s="463"/>
      <c r="AB1776" s="464">
        <v>375.15401862451569</v>
      </c>
      <c r="AC1776" s="465">
        <v>0.21543244714903326</v>
      </c>
      <c r="AD1776" s="465">
        <v>5.5409566104303492E-3</v>
      </c>
      <c r="AE1776" s="476">
        <v>225.09241117470938</v>
      </c>
      <c r="AF1776" s="467">
        <v>0.12925946828941995</v>
      </c>
      <c r="AG1776" s="468">
        <v>3.6008819972905355E-3</v>
      </c>
      <c r="AH1776" s="218">
        <v>693.18100010164449</v>
      </c>
      <c r="AI1776" s="470">
        <v>0.39805965484959044</v>
      </c>
      <c r="AJ1776" s="471">
        <v>9.3324281269870062E-3</v>
      </c>
      <c r="AK1776" s="218">
        <v>693.18100010164449</v>
      </c>
      <c r="AL1776" s="470">
        <v>0.39805965484959044</v>
      </c>
      <c r="AM1776" s="471">
        <v>9.3324281269870062E-3</v>
      </c>
      <c r="AN1776" s="477">
        <v>0</v>
      </c>
      <c r="AO1776" s="473">
        <v>0</v>
      </c>
      <c r="AP1776" s="474">
        <v>0</v>
      </c>
      <c r="AQ1776" s="352"/>
      <c r="AR1776" s="352"/>
      <c r="AS1776" s="352"/>
      <c r="AT1776" s="352"/>
      <c r="AU1776" s="352"/>
      <c r="AV1776" s="352"/>
      <c r="AW1776" s="352" t="s">
        <v>254</v>
      </c>
    </row>
    <row r="1777" spans="2:49" x14ac:dyDescent="0.2">
      <c r="B1777" s="460" t="s">
        <v>2897</v>
      </c>
      <c r="C1777" s="460">
        <v>2141</v>
      </c>
      <c r="D1777" s="460" t="s">
        <v>2329</v>
      </c>
      <c r="E1777" s="460" t="s">
        <v>2330</v>
      </c>
      <c r="F1777" s="460">
        <v>3</v>
      </c>
      <c r="G1777" s="460">
        <v>3</v>
      </c>
      <c r="H1777" s="461" t="s">
        <v>700</v>
      </c>
      <c r="I1777" s="461" t="s">
        <v>872</v>
      </c>
      <c r="J1777" s="461" t="s">
        <v>700</v>
      </c>
      <c r="K1777" s="594"/>
      <c r="L1777" s="594"/>
      <c r="M1777" s="352">
        <v>2000</v>
      </c>
      <c r="N1777" s="352" t="s">
        <v>703</v>
      </c>
      <c r="O1777" s="460">
        <v>2141</v>
      </c>
      <c r="P1777" s="460" t="s">
        <v>1882</v>
      </c>
      <c r="Q1777" s="460" t="s">
        <v>2527</v>
      </c>
      <c r="R1777" s="460">
        <v>2121</v>
      </c>
      <c r="S1777" s="460" t="s">
        <v>2324</v>
      </c>
      <c r="T1777" s="462">
        <v>1</v>
      </c>
      <c r="U1777" s="460" t="s">
        <v>2330</v>
      </c>
      <c r="V1777" s="475">
        <v>0</v>
      </c>
      <c r="W1777" s="463" t="s">
        <v>2503</v>
      </c>
      <c r="X1777" s="463" t="s">
        <v>2267</v>
      </c>
      <c r="Y1777" s="463" t="s">
        <v>2268</v>
      </c>
      <c r="Z1777" s="463"/>
      <c r="AA1777" s="463"/>
      <c r="AB1777" s="464">
        <v>75.071489750541801</v>
      </c>
      <c r="AC1777" s="465">
        <v>0.25810290234735367</v>
      </c>
      <c r="AD1777" s="465">
        <v>2.8347903498709792E-3</v>
      </c>
      <c r="AE1777" s="476">
        <v>45.042893850325079</v>
      </c>
      <c r="AF1777" s="467">
        <v>0.15486174140841219</v>
      </c>
      <c r="AG1777" s="468">
        <v>1.8229337467879196E-3</v>
      </c>
      <c r="AH1777" s="218">
        <v>115.77913703166703</v>
      </c>
      <c r="AI1777" s="470">
        <v>0.39805965484959044</v>
      </c>
      <c r="AJ1777" s="471">
        <v>4.0791707388031099E-3</v>
      </c>
      <c r="AK1777" s="218">
        <v>115.77913703166703</v>
      </c>
      <c r="AL1777" s="470">
        <v>0.39805965484959044</v>
      </c>
      <c r="AM1777" s="471">
        <v>4.0791707388031099E-3</v>
      </c>
      <c r="AN1777" s="477">
        <v>0</v>
      </c>
      <c r="AO1777" s="473">
        <v>0</v>
      </c>
      <c r="AP1777" s="474">
        <v>0</v>
      </c>
      <c r="AQ1777" s="352"/>
      <c r="AR1777" s="352"/>
      <c r="AS1777" s="352"/>
      <c r="AT1777" s="352"/>
      <c r="AU1777" s="352"/>
      <c r="AV1777" s="352"/>
      <c r="AW1777" s="352" t="s">
        <v>254</v>
      </c>
    </row>
    <row r="1778" spans="2:49" x14ac:dyDescent="0.2">
      <c r="B1778" s="460" t="s">
        <v>2898</v>
      </c>
      <c r="C1778" s="460">
        <v>2141</v>
      </c>
      <c r="D1778" s="460" t="s">
        <v>2332</v>
      </c>
      <c r="E1778" s="460" t="s">
        <v>2333</v>
      </c>
      <c r="F1778" s="460">
        <v>4</v>
      </c>
      <c r="G1778" s="460">
        <v>3</v>
      </c>
      <c r="H1778" s="461" t="s">
        <v>700</v>
      </c>
      <c r="I1778" s="461" t="s">
        <v>872</v>
      </c>
      <c r="J1778" s="461" t="s">
        <v>700</v>
      </c>
      <c r="K1778" s="594"/>
      <c r="L1778" s="594"/>
      <c r="M1778" s="352">
        <v>2000</v>
      </c>
      <c r="N1778" s="352" t="s">
        <v>703</v>
      </c>
      <c r="O1778" s="460">
        <v>2141</v>
      </c>
      <c r="P1778" s="460" t="s">
        <v>1882</v>
      </c>
      <c r="Q1778" s="460" t="s">
        <v>2527</v>
      </c>
      <c r="R1778" s="460">
        <v>2121</v>
      </c>
      <c r="S1778" s="460" t="s">
        <v>2333</v>
      </c>
      <c r="T1778" s="462">
        <v>1</v>
      </c>
      <c r="U1778" s="460" t="s">
        <v>2333</v>
      </c>
      <c r="V1778" s="475">
        <v>0</v>
      </c>
      <c r="W1778" s="463" t="s">
        <v>2503</v>
      </c>
      <c r="X1778" s="463" t="s">
        <v>2503</v>
      </c>
      <c r="Y1778" s="463" t="s">
        <v>2268</v>
      </c>
      <c r="Z1778" s="463"/>
      <c r="AA1778" s="463"/>
      <c r="AB1778" s="464">
        <v>78.327039613196391</v>
      </c>
      <c r="AC1778" s="465">
        <v>0.23721576469347186</v>
      </c>
      <c r="AD1778" s="465">
        <v>5.402102039493744E-3</v>
      </c>
      <c r="AE1778" s="476">
        <v>46.996223767917833</v>
      </c>
      <c r="AF1778" s="467">
        <v>0.14232945881608311</v>
      </c>
      <c r="AG1778" s="468">
        <v>3.5771428844371734E-3</v>
      </c>
      <c r="AH1778" s="218">
        <v>46.996223767917833</v>
      </c>
      <c r="AI1778" s="470">
        <v>0.14232945881608311</v>
      </c>
      <c r="AJ1778" s="471">
        <v>3.4658032917431357E-3</v>
      </c>
      <c r="AK1778" s="218">
        <v>46.996223767917833</v>
      </c>
      <c r="AL1778" s="470">
        <v>0.14232945881608311</v>
      </c>
      <c r="AM1778" s="471">
        <v>3.4658032917431357E-3</v>
      </c>
      <c r="AN1778" s="477">
        <v>0</v>
      </c>
      <c r="AO1778" s="473">
        <v>0</v>
      </c>
      <c r="AP1778" s="474">
        <v>0</v>
      </c>
      <c r="AQ1778" s="352"/>
      <c r="AR1778" s="352"/>
      <c r="AS1778" s="352"/>
      <c r="AT1778" s="352"/>
      <c r="AU1778" s="352"/>
      <c r="AV1778" s="352"/>
      <c r="AW1778" s="352" t="s">
        <v>254</v>
      </c>
    </row>
    <row r="1779" spans="2:49" x14ac:dyDescent="0.2">
      <c r="B1779" s="460" t="s">
        <v>2895</v>
      </c>
      <c r="C1779" s="460">
        <v>2141</v>
      </c>
      <c r="D1779" s="460" t="s">
        <v>2334</v>
      </c>
      <c r="E1779" s="460" t="s">
        <v>2324</v>
      </c>
      <c r="F1779" s="460">
        <v>1</v>
      </c>
      <c r="G1779" s="460">
        <v>3</v>
      </c>
      <c r="H1779" s="461" t="s">
        <v>712</v>
      </c>
      <c r="I1779" s="461" t="s">
        <v>713</v>
      </c>
      <c r="J1779" s="461" t="s">
        <v>712</v>
      </c>
      <c r="K1779" s="594"/>
      <c r="L1779" s="594"/>
      <c r="M1779" s="352">
        <v>2000</v>
      </c>
      <c r="N1779" s="352" t="s">
        <v>703</v>
      </c>
      <c r="O1779" s="460">
        <v>2141</v>
      </c>
      <c r="P1779" s="460" t="s">
        <v>1882</v>
      </c>
      <c r="Q1779" s="460" t="s">
        <v>2280</v>
      </c>
      <c r="R1779" s="460">
        <v>2121</v>
      </c>
      <c r="S1779" s="460" t="s">
        <v>2324</v>
      </c>
      <c r="T1779" s="462">
        <v>1</v>
      </c>
      <c r="U1779" s="460" t="s">
        <v>2324</v>
      </c>
      <c r="V1779" s="475">
        <v>0</v>
      </c>
      <c r="W1779" s="463" t="s">
        <v>713</v>
      </c>
      <c r="X1779" s="463" t="s">
        <v>713</v>
      </c>
      <c r="Y1779" s="463" t="s">
        <v>713</v>
      </c>
      <c r="Z1779" s="463"/>
      <c r="AA1779" s="463"/>
      <c r="AB1779" s="464">
        <v>1570.3815288003761</v>
      </c>
      <c r="AC1779" s="465">
        <v>0.72788982229211485</v>
      </c>
      <c r="AD1779" s="465">
        <v>3.9210795034503353E-3</v>
      </c>
      <c r="AE1779" s="476">
        <v>1805.2065167500284</v>
      </c>
      <c r="AF1779" s="467">
        <v>0.83673389337526893</v>
      </c>
      <c r="AG1779" s="468">
        <v>4.4218113328340913E-3</v>
      </c>
      <c r="AH1779" s="218">
        <v>1298.6525852048121</v>
      </c>
      <c r="AI1779" s="470">
        <v>0.60194034515040951</v>
      </c>
      <c r="AJ1779" s="471">
        <v>3.2215716963900527E-3</v>
      </c>
      <c r="AK1779" s="218">
        <v>1298.6525852048121</v>
      </c>
      <c r="AL1779" s="470">
        <v>0.60194034515040951</v>
      </c>
      <c r="AM1779" s="471">
        <v>3.2215716963900527E-3</v>
      </c>
      <c r="AN1779" s="477">
        <v>1298.6525852048121</v>
      </c>
      <c r="AO1779" s="473">
        <v>0.60194034515040951</v>
      </c>
      <c r="AP1779" s="474">
        <v>3.2200039094981026E-3</v>
      </c>
      <c r="AQ1779" s="352"/>
      <c r="AR1779" s="352"/>
      <c r="AS1779" s="352"/>
      <c r="AT1779" s="352"/>
      <c r="AU1779" s="352"/>
      <c r="AV1779" s="352"/>
      <c r="AW1779" s="352" t="s">
        <v>254</v>
      </c>
    </row>
    <row r="1780" spans="2:49" x14ac:dyDescent="0.2">
      <c r="B1780" s="460" t="s">
        <v>2896</v>
      </c>
      <c r="C1780" s="460">
        <v>2141</v>
      </c>
      <c r="D1780" s="460" t="s">
        <v>2335</v>
      </c>
      <c r="E1780" s="460" t="s">
        <v>2327</v>
      </c>
      <c r="F1780" s="460">
        <v>2</v>
      </c>
      <c r="G1780" s="460">
        <v>3</v>
      </c>
      <c r="H1780" s="461" t="s">
        <v>712</v>
      </c>
      <c r="I1780" s="461" t="s">
        <v>713</v>
      </c>
      <c r="J1780" s="461" t="s">
        <v>712</v>
      </c>
      <c r="K1780" s="594"/>
      <c r="L1780" s="594"/>
      <c r="M1780" s="352">
        <v>2000</v>
      </c>
      <c r="N1780" s="352" t="s">
        <v>703</v>
      </c>
      <c r="O1780" s="460">
        <v>2141</v>
      </c>
      <c r="P1780" s="460" t="s">
        <v>1882</v>
      </c>
      <c r="Q1780" s="460" t="s">
        <v>2280</v>
      </c>
      <c r="R1780" s="460">
        <v>2121</v>
      </c>
      <c r="S1780" s="460" t="s">
        <v>2324</v>
      </c>
      <c r="T1780" s="462">
        <v>1</v>
      </c>
      <c r="U1780" s="460" t="s">
        <v>2327</v>
      </c>
      <c r="V1780" s="475">
        <v>0</v>
      </c>
      <c r="W1780" s="463" t="s">
        <v>713</v>
      </c>
      <c r="X1780" s="463" t="s">
        <v>713</v>
      </c>
      <c r="Y1780" s="463" t="s">
        <v>713</v>
      </c>
      <c r="Z1780" s="463"/>
      <c r="AA1780" s="463"/>
      <c r="AB1780" s="464">
        <v>1366.2457732322291</v>
      </c>
      <c r="AC1780" s="465">
        <v>0.7845675528509668</v>
      </c>
      <c r="AD1780" s="465">
        <v>4.3755366554067074E-3</v>
      </c>
      <c r="AE1780" s="476">
        <v>1516.3073806820355</v>
      </c>
      <c r="AF1780" s="467">
        <v>0.87074053171058008</v>
      </c>
      <c r="AG1780" s="468">
        <v>4.7766478809319578E-3</v>
      </c>
      <c r="AH1780" s="218">
        <v>1048.2187917551003</v>
      </c>
      <c r="AI1780" s="470">
        <v>0.60194034515040951</v>
      </c>
      <c r="AJ1780" s="471">
        <v>3.4340476522576502E-3</v>
      </c>
      <c r="AK1780" s="218">
        <v>1048.2187917551003</v>
      </c>
      <c r="AL1780" s="470">
        <v>0.60194034515040951</v>
      </c>
      <c r="AM1780" s="471">
        <v>3.4340476522576502E-3</v>
      </c>
      <c r="AN1780" s="477">
        <v>1048.2187917551003</v>
      </c>
      <c r="AO1780" s="473">
        <v>0.60194034515040951</v>
      </c>
      <c r="AP1780" s="474">
        <v>3.4327012863825694E-3</v>
      </c>
      <c r="AQ1780" s="352"/>
      <c r="AR1780" s="352"/>
      <c r="AS1780" s="352"/>
      <c r="AT1780" s="352"/>
      <c r="AU1780" s="352"/>
      <c r="AV1780" s="352"/>
      <c r="AW1780" s="352" t="s">
        <v>254</v>
      </c>
    </row>
    <row r="1781" spans="2:49" x14ac:dyDescent="0.2">
      <c r="B1781" s="460" t="s">
        <v>2897</v>
      </c>
      <c r="C1781" s="460">
        <v>2141</v>
      </c>
      <c r="D1781" s="460" t="s">
        <v>2336</v>
      </c>
      <c r="E1781" s="460" t="s">
        <v>2330</v>
      </c>
      <c r="F1781" s="460">
        <v>3</v>
      </c>
      <c r="G1781" s="460">
        <v>3</v>
      </c>
      <c r="H1781" s="461" t="s">
        <v>712</v>
      </c>
      <c r="I1781" s="461" t="s">
        <v>713</v>
      </c>
      <c r="J1781" s="461" t="s">
        <v>712</v>
      </c>
      <c r="K1781" s="594"/>
      <c r="L1781" s="594"/>
      <c r="M1781" s="352">
        <v>2000</v>
      </c>
      <c r="N1781" s="352" t="s">
        <v>703</v>
      </c>
      <c r="O1781" s="460">
        <v>2141</v>
      </c>
      <c r="P1781" s="460" t="s">
        <v>1882</v>
      </c>
      <c r="Q1781" s="460" t="s">
        <v>2280</v>
      </c>
      <c r="R1781" s="460">
        <v>2121</v>
      </c>
      <c r="S1781" s="460" t="s">
        <v>2324</v>
      </c>
      <c r="T1781" s="462">
        <v>1</v>
      </c>
      <c r="U1781" s="460" t="s">
        <v>2330</v>
      </c>
      <c r="V1781" s="475">
        <v>0</v>
      </c>
      <c r="W1781" s="463" t="s">
        <v>713</v>
      </c>
      <c r="X1781" s="463" t="s">
        <v>713</v>
      </c>
      <c r="Y1781" s="463" t="s">
        <v>713</v>
      </c>
      <c r="Z1781" s="463"/>
      <c r="AA1781" s="463"/>
      <c r="AB1781" s="464">
        <v>215.78726878256043</v>
      </c>
      <c r="AC1781" s="465">
        <v>0.74189709765264633</v>
      </c>
      <c r="AD1781" s="465">
        <v>1.9106372420409255E-3</v>
      </c>
      <c r="AE1781" s="476">
        <v>245.81586468277715</v>
      </c>
      <c r="AF1781" s="467">
        <v>0.84513825859158787</v>
      </c>
      <c r="AG1781" s="468">
        <v>2.1428746024054071E-3</v>
      </c>
      <c r="AH1781" s="218">
        <v>175.07962150143516</v>
      </c>
      <c r="AI1781" s="470">
        <v>0.60194034515040951</v>
      </c>
      <c r="AJ1781" s="471">
        <v>1.5845124167060858E-3</v>
      </c>
      <c r="AK1781" s="218">
        <v>175.07962150143516</v>
      </c>
      <c r="AL1781" s="470">
        <v>0.60194034515040951</v>
      </c>
      <c r="AM1781" s="471">
        <v>1.5845124167060858E-3</v>
      </c>
      <c r="AN1781" s="477">
        <v>175.07962150143516</v>
      </c>
      <c r="AO1781" s="473">
        <v>0.60194034515040951</v>
      </c>
      <c r="AP1781" s="474">
        <v>1.5886022182483271E-3</v>
      </c>
      <c r="AQ1781" s="352"/>
      <c r="AR1781" s="352"/>
      <c r="AS1781" s="352"/>
      <c r="AT1781" s="352"/>
      <c r="AU1781" s="352"/>
      <c r="AV1781" s="352"/>
      <c r="AW1781" s="352" t="s">
        <v>254</v>
      </c>
    </row>
    <row r="1782" spans="2:49" x14ac:dyDescent="0.2">
      <c r="B1782" s="460" t="s">
        <v>2898</v>
      </c>
      <c r="C1782" s="460">
        <v>2141</v>
      </c>
      <c r="D1782" s="460" t="s">
        <v>2337</v>
      </c>
      <c r="E1782" s="460" t="s">
        <v>2333</v>
      </c>
      <c r="F1782" s="460">
        <v>4</v>
      </c>
      <c r="G1782" s="460">
        <v>3</v>
      </c>
      <c r="H1782" s="461" t="s">
        <v>712</v>
      </c>
      <c r="I1782" s="461" t="s">
        <v>713</v>
      </c>
      <c r="J1782" s="461" t="s">
        <v>712</v>
      </c>
      <c r="K1782" s="594"/>
      <c r="L1782" s="594"/>
      <c r="M1782" s="352">
        <v>2000</v>
      </c>
      <c r="N1782" s="352" t="s">
        <v>703</v>
      </c>
      <c r="O1782" s="460">
        <v>2141</v>
      </c>
      <c r="P1782" s="460" t="s">
        <v>1882</v>
      </c>
      <c r="Q1782" s="460" t="s">
        <v>2280</v>
      </c>
      <c r="R1782" s="460">
        <v>2121</v>
      </c>
      <c r="S1782" s="460" t="s">
        <v>2333</v>
      </c>
      <c r="T1782" s="462">
        <v>1</v>
      </c>
      <c r="U1782" s="460" t="s">
        <v>2333</v>
      </c>
      <c r="V1782" s="475">
        <v>0</v>
      </c>
      <c r="W1782" s="463" t="s">
        <v>713</v>
      </c>
      <c r="X1782" s="463" t="s">
        <v>713</v>
      </c>
      <c r="Y1782" s="463" t="s">
        <v>713</v>
      </c>
      <c r="Z1782" s="463"/>
      <c r="AA1782" s="463"/>
      <c r="AB1782" s="464">
        <v>251.86619064875481</v>
      </c>
      <c r="AC1782" s="465">
        <v>0.76278423530652806</v>
      </c>
      <c r="AD1782" s="465">
        <v>1.914805317795391E-3</v>
      </c>
      <c r="AE1782" s="476">
        <v>283.19700649403342</v>
      </c>
      <c r="AF1782" s="467">
        <v>0.85767054118391695</v>
      </c>
      <c r="AG1782" s="468">
        <v>2.1309410085171552E-3</v>
      </c>
      <c r="AH1782" s="218">
        <v>283.19700649403342</v>
      </c>
      <c r="AI1782" s="470">
        <v>0.85767054118391695</v>
      </c>
      <c r="AJ1782" s="471">
        <v>2.1377300431330037E-3</v>
      </c>
      <c r="AK1782" s="218">
        <v>283.19700649403342</v>
      </c>
      <c r="AL1782" s="470">
        <v>0.85767054118391695</v>
      </c>
      <c r="AM1782" s="471">
        <v>2.1377300431330037E-3</v>
      </c>
      <c r="AN1782" s="477">
        <v>298.86241441667266</v>
      </c>
      <c r="AO1782" s="473">
        <v>0.90511369412261122</v>
      </c>
      <c r="AP1782" s="474">
        <v>2.2566982536927596E-3</v>
      </c>
      <c r="AQ1782" s="352"/>
      <c r="AR1782" s="352"/>
      <c r="AS1782" s="352"/>
      <c r="AT1782" s="352"/>
      <c r="AU1782" s="352"/>
      <c r="AV1782" s="352"/>
      <c r="AW1782" s="352" t="s">
        <v>254</v>
      </c>
    </row>
    <row r="1783" spans="2:49" x14ac:dyDescent="0.2">
      <c r="B1783" s="460" t="s">
        <v>2895</v>
      </c>
      <c r="C1783" s="460">
        <v>2141</v>
      </c>
      <c r="D1783" s="460" t="s">
        <v>2338</v>
      </c>
      <c r="E1783" s="460" t="s">
        <v>2324</v>
      </c>
      <c r="F1783" s="460">
        <v>1</v>
      </c>
      <c r="G1783" s="460">
        <v>3</v>
      </c>
      <c r="H1783" s="461" t="s">
        <v>746</v>
      </c>
      <c r="I1783" s="461" t="s">
        <v>762</v>
      </c>
      <c r="J1783" s="461" t="s">
        <v>700</v>
      </c>
      <c r="K1783" s="594"/>
      <c r="L1783" s="594"/>
      <c r="M1783" s="352">
        <v>2000</v>
      </c>
      <c r="N1783" s="352" t="s">
        <v>703</v>
      </c>
      <c r="O1783" s="460">
        <v>2141</v>
      </c>
      <c r="P1783" s="460" t="s">
        <v>1882</v>
      </c>
      <c r="Q1783" s="460" t="s">
        <v>2531</v>
      </c>
      <c r="R1783" s="460">
        <v>2121</v>
      </c>
      <c r="S1783" s="460" t="s">
        <v>2324</v>
      </c>
      <c r="T1783" s="462">
        <v>1</v>
      </c>
      <c r="U1783" s="460" t="s">
        <v>2324</v>
      </c>
      <c r="V1783" s="475">
        <v>0</v>
      </c>
      <c r="W1783" s="463" t="s">
        <v>2268</v>
      </c>
      <c r="X1783" s="463" t="s">
        <v>2268</v>
      </c>
      <c r="Y1783" s="463" t="s">
        <v>2290</v>
      </c>
      <c r="Z1783" s="463"/>
      <c r="AA1783" s="463"/>
      <c r="AB1783" s="464">
        <v>0</v>
      </c>
      <c r="AC1783" s="465">
        <v>0</v>
      </c>
      <c r="AD1783" s="465">
        <v>0</v>
      </c>
      <c r="AE1783" s="476">
        <v>0</v>
      </c>
      <c r="AF1783" s="467">
        <v>0</v>
      </c>
      <c r="AG1783" s="468">
        <v>0</v>
      </c>
      <c r="AH1783" s="218">
        <v>0</v>
      </c>
      <c r="AI1783" s="470">
        <v>0</v>
      </c>
      <c r="AJ1783" s="471">
        <v>0</v>
      </c>
      <c r="AK1783" s="218">
        <v>0</v>
      </c>
      <c r="AL1783" s="470">
        <v>0</v>
      </c>
      <c r="AM1783" s="471">
        <v>0</v>
      </c>
      <c r="AN1783" s="477">
        <v>0</v>
      </c>
      <c r="AO1783" s="473">
        <v>0</v>
      </c>
      <c r="AP1783" s="474">
        <v>0</v>
      </c>
      <c r="AQ1783" s="352"/>
      <c r="AR1783" s="352"/>
      <c r="AS1783" s="352"/>
      <c r="AT1783" s="352"/>
      <c r="AU1783" s="352"/>
      <c r="AV1783" s="352"/>
      <c r="AW1783" s="352" t="s">
        <v>254</v>
      </c>
    </row>
    <row r="1784" spans="2:49" x14ac:dyDescent="0.2">
      <c r="B1784" s="460" t="s">
        <v>2896</v>
      </c>
      <c r="C1784" s="460">
        <v>2141</v>
      </c>
      <c r="D1784" s="460" t="s">
        <v>2339</v>
      </c>
      <c r="E1784" s="460" t="s">
        <v>2327</v>
      </c>
      <c r="F1784" s="460">
        <v>2</v>
      </c>
      <c r="G1784" s="460">
        <v>3</v>
      </c>
      <c r="H1784" s="461" t="s">
        <v>746</v>
      </c>
      <c r="I1784" s="461" t="s">
        <v>762</v>
      </c>
      <c r="J1784" s="461" t="s">
        <v>700</v>
      </c>
      <c r="K1784" s="594"/>
      <c r="L1784" s="594"/>
      <c r="M1784" s="352">
        <v>2000</v>
      </c>
      <c r="N1784" s="352" t="s">
        <v>703</v>
      </c>
      <c r="O1784" s="460">
        <v>2141</v>
      </c>
      <c r="P1784" s="460" t="s">
        <v>1882</v>
      </c>
      <c r="Q1784" s="460" t="s">
        <v>2531</v>
      </c>
      <c r="R1784" s="460">
        <v>2121</v>
      </c>
      <c r="S1784" s="460" t="s">
        <v>2324</v>
      </c>
      <c r="T1784" s="462">
        <v>1</v>
      </c>
      <c r="U1784" s="460" t="s">
        <v>2327</v>
      </c>
      <c r="V1784" s="475">
        <v>0</v>
      </c>
      <c r="W1784" s="463" t="s">
        <v>2268</v>
      </c>
      <c r="X1784" s="463" t="s">
        <v>2268</v>
      </c>
      <c r="Y1784" s="463" t="s">
        <v>2290</v>
      </c>
      <c r="Z1784" s="463"/>
      <c r="AA1784" s="463"/>
      <c r="AB1784" s="464">
        <v>0</v>
      </c>
      <c r="AC1784" s="465">
        <v>0</v>
      </c>
      <c r="AD1784" s="465">
        <v>0</v>
      </c>
      <c r="AE1784" s="476">
        <v>0</v>
      </c>
      <c r="AF1784" s="467">
        <v>0</v>
      </c>
      <c r="AG1784" s="468">
        <v>0</v>
      </c>
      <c r="AH1784" s="218">
        <v>0</v>
      </c>
      <c r="AI1784" s="470">
        <v>0</v>
      </c>
      <c r="AJ1784" s="471">
        <v>0</v>
      </c>
      <c r="AK1784" s="218">
        <v>0</v>
      </c>
      <c r="AL1784" s="470">
        <v>0</v>
      </c>
      <c r="AM1784" s="471">
        <v>0</v>
      </c>
      <c r="AN1784" s="477">
        <v>0</v>
      </c>
      <c r="AO1784" s="473">
        <v>0</v>
      </c>
      <c r="AP1784" s="474">
        <v>0</v>
      </c>
      <c r="AQ1784" s="352"/>
      <c r="AR1784" s="352"/>
      <c r="AS1784" s="352"/>
      <c r="AT1784" s="352"/>
      <c r="AU1784" s="352"/>
      <c r="AV1784" s="352"/>
      <c r="AW1784" s="352" t="s">
        <v>254</v>
      </c>
    </row>
    <row r="1785" spans="2:49" x14ac:dyDescent="0.2">
      <c r="B1785" s="460" t="s">
        <v>2897</v>
      </c>
      <c r="C1785" s="460">
        <v>2141</v>
      </c>
      <c r="D1785" s="460" t="s">
        <v>2340</v>
      </c>
      <c r="E1785" s="460" t="s">
        <v>2330</v>
      </c>
      <c r="F1785" s="460">
        <v>3</v>
      </c>
      <c r="G1785" s="460">
        <v>3</v>
      </c>
      <c r="H1785" s="461" t="s">
        <v>746</v>
      </c>
      <c r="I1785" s="461" t="s">
        <v>762</v>
      </c>
      <c r="J1785" s="461" t="s">
        <v>700</v>
      </c>
      <c r="K1785" s="594"/>
      <c r="L1785" s="594"/>
      <c r="M1785" s="352">
        <v>2000</v>
      </c>
      <c r="N1785" s="352" t="s">
        <v>703</v>
      </c>
      <c r="O1785" s="460">
        <v>2141</v>
      </c>
      <c r="P1785" s="460" t="s">
        <v>1882</v>
      </c>
      <c r="Q1785" s="460" t="s">
        <v>2531</v>
      </c>
      <c r="R1785" s="460">
        <v>2121</v>
      </c>
      <c r="S1785" s="460" t="s">
        <v>2324</v>
      </c>
      <c r="T1785" s="462">
        <v>1</v>
      </c>
      <c r="U1785" s="460" t="s">
        <v>2330</v>
      </c>
      <c r="V1785" s="475">
        <v>0</v>
      </c>
      <c r="W1785" s="463" t="s">
        <v>2268</v>
      </c>
      <c r="X1785" s="463" t="s">
        <v>2268</v>
      </c>
      <c r="Y1785" s="463" t="s">
        <v>2290</v>
      </c>
      <c r="Z1785" s="463"/>
      <c r="AA1785" s="463"/>
      <c r="AB1785" s="464">
        <v>0</v>
      </c>
      <c r="AC1785" s="465">
        <v>0</v>
      </c>
      <c r="AD1785" s="465">
        <v>0</v>
      </c>
      <c r="AE1785" s="476">
        <v>0</v>
      </c>
      <c r="AF1785" s="467">
        <v>0</v>
      </c>
      <c r="AG1785" s="468">
        <v>0</v>
      </c>
      <c r="AH1785" s="218">
        <v>0</v>
      </c>
      <c r="AI1785" s="470">
        <v>0</v>
      </c>
      <c r="AJ1785" s="471">
        <v>0</v>
      </c>
      <c r="AK1785" s="218">
        <v>0</v>
      </c>
      <c r="AL1785" s="470">
        <v>0</v>
      </c>
      <c r="AM1785" s="471">
        <v>0</v>
      </c>
      <c r="AN1785" s="477">
        <v>0</v>
      </c>
      <c r="AO1785" s="473">
        <v>0</v>
      </c>
      <c r="AP1785" s="474">
        <v>0</v>
      </c>
      <c r="AQ1785" s="352"/>
      <c r="AR1785" s="352"/>
      <c r="AS1785" s="352"/>
      <c r="AT1785" s="352"/>
      <c r="AU1785" s="352"/>
      <c r="AV1785" s="352"/>
      <c r="AW1785" s="352" t="s">
        <v>254</v>
      </c>
    </row>
    <row r="1786" spans="2:49" x14ac:dyDescent="0.2">
      <c r="B1786" s="460" t="s">
        <v>2898</v>
      </c>
      <c r="C1786" s="460">
        <v>2141</v>
      </c>
      <c r="D1786" s="460" t="s">
        <v>2341</v>
      </c>
      <c r="E1786" s="460" t="s">
        <v>2333</v>
      </c>
      <c r="F1786" s="460">
        <v>4</v>
      </c>
      <c r="G1786" s="460">
        <v>3</v>
      </c>
      <c r="H1786" s="461" t="s">
        <v>746</v>
      </c>
      <c r="I1786" s="461" t="s">
        <v>762</v>
      </c>
      <c r="J1786" s="461" t="s">
        <v>700</v>
      </c>
      <c r="K1786" s="594"/>
      <c r="L1786" s="594"/>
      <c r="M1786" s="352">
        <v>2000</v>
      </c>
      <c r="N1786" s="352" t="s">
        <v>703</v>
      </c>
      <c r="O1786" s="460">
        <v>2141</v>
      </c>
      <c r="P1786" s="460" t="s">
        <v>1882</v>
      </c>
      <c r="Q1786" s="460" t="s">
        <v>2531</v>
      </c>
      <c r="R1786" s="460">
        <v>2121</v>
      </c>
      <c r="S1786" s="460" t="s">
        <v>2333</v>
      </c>
      <c r="T1786" s="462">
        <v>1</v>
      </c>
      <c r="U1786" s="460" t="s">
        <v>2333</v>
      </c>
      <c r="V1786" s="475">
        <v>0</v>
      </c>
      <c r="W1786" s="463" t="s">
        <v>2268</v>
      </c>
      <c r="X1786" s="463" t="s">
        <v>2268</v>
      </c>
      <c r="Y1786" s="463" t="s">
        <v>2290</v>
      </c>
      <c r="Z1786" s="463"/>
      <c r="AA1786" s="463"/>
      <c r="AB1786" s="464">
        <v>0</v>
      </c>
      <c r="AC1786" s="465">
        <v>0</v>
      </c>
      <c r="AD1786" s="465">
        <v>0</v>
      </c>
      <c r="AE1786" s="476">
        <v>0</v>
      </c>
      <c r="AF1786" s="467">
        <v>0</v>
      </c>
      <c r="AG1786" s="468">
        <v>0</v>
      </c>
      <c r="AH1786" s="218">
        <v>0</v>
      </c>
      <c r="AI1786" s="470">
        <v>0</v>
      </c>
      <c r="AJ1786" s="471">
        <v>0</v>
      </c>
      <c r="AK1786" s="218">
        <v>0</v>
      </c>
      <c r="AL1786" s="470">
        <v>0</v>
      </c>
      <c r="AM1786" s="471">
        <v>0</v>
      </c>
      <c r="AN1786" s="477">
        <v>0</v>
      </c>
      <c r="AO1786" s="473">
        <v>0</v>
      </c>
      <c r="AP1786" s="474">
        <v>0</v>
      </c>
      <c r="AQ1786" s="352"/>
      <c r="AR1786" s="352"/>
      <c r="AS1786" s="352"/>
      <c r="AT1786" s="352"/>
      <c r="AU1786" s="352"/>
      <c r="AV1786" s="352"/>
      <c r="AW1786" s="352" t="s">
        <v>254</v>
      </c>
    </row>
    <row r="1787" spans="2:49" x14ac:dyDescent="0.2">
      <c r="B1787" s="460" t="s">
        <v>2895</v>
      </c>
      <c r="C1787" s="460">
        <v>2141</v>
      </c>
      <c r="D1787" s="460" t="s">
        <v>2342</v>
      </c>
      <c r="E1787" s="460" t="s">
        <v>2324</v>
      </c>
      <c r="F1787" s="460">
        <v>1</v>
      </c>
      <c r="G1787" s="460">
        <v>3</v>
      </c>
      <c r="H1787" s="461" t="s">
        <v>748</v>
      </c>
      <c r="I1787" s="461" t="s">
        <v>765</v>
      </c>
      <c r="J1787" s="461" t="s">
        <v>700</v>
      </c>
      <c r="K1787" s="594"/>
      <c r="L1787" s="594"/>
      <c r="M1787" s="352">
        <v>2000</v>
      </c>
      <c r="N1787" s="352" t="s">
        <v>703</v>
      </c>
      <c r="O1787" s="460">
        <v>2141</v>
      </c>
      <c r="P1787" s="460" t="s">
        <v>1882</v>
      </c>
      <c r="Q1787" s="460" t="s">
        <v>2527</v>
      </c>
      <c r="R1787" s="460">
        <v>2121</v>
      </c>
      <c r="S1787" s="460" t="s">
        <v>2324</v>
      </c>
      <c r="T1787" s="462">
        <v>1</v>
      </c>
      <c r="U1787" s="460" t="s">
        <v>2324</v>
      </c>
      <c r="V1787" s="475">
        <v>0</v>
      </c>
      <c r="W1787" s="463" t="s">
        <v>2268</v>
      </c>
      <c r="X1787" s="463" t="s">
        <v>2268</v>
      </c>
      <c r="Y1787" s="479" t="s">
        <v>2267</v>
      </c>
      <c r="Z1787" s="479"/>
      <c r="AA1787" s="479"/>
      <c r="AB1787" s="464">
        <v>0</v>
      </c>
      <c r="AC1787" s="465">
        <v>0</v>
      </c>
      <c r="AD1787" s="465">
        <v>0</v>
      </c>
      <c r="AE1787" s="476">
        <v>0</v>
      </c>
      <c r="AF1787" s="467">
        <v>0</v>
      </c>
      <c r="AG1787" s="468">
        <v>0</v>
      </c>
      <c r="AH1787" s="218">
        <v>0</v>
      </c>
      <c r="AI1787" s="470">
        <v>0</v>
      </c>
      <c r="AJ1787" s="471">
        <v>0</v>
      </c>
      <c r="AK1787" s="218">
        <v>0</v>
      </c>
      <c r="AL1787" s="470">
        <v>0</v>
      </c>
      <c r="AM1787" s="471">
        <v>0</v>
      </c>
      <c r="AN1787" s="477">
        <v>858.79141346969425</v>
      </c>
      <c r="AO1787" s="473">
        <v>0.39805965484959044</v>
      </c>
      <c r="AP1787" s="474">
        <v>4.4701651984562746E-2</v>
      </c>
      <c r="AQ1787" s="352"/>
      <c r="AR1787" s="352"/>
      <c r="AS1787" s="352"/>
      <c r="AT1787" s="352"/>
      <c r="AU1787" s="352"/>
      <c r="AV1787" s="352"/>
      <c r="AW1787" s="352" t="s">
        <v>254</v>
      </c>
    </row>
    <row r="1788" spans="2:49" x14ac:dyDescent="0.2">
      <c r="B1788" s="460" t="s">
        <v>2896</v>
      </c>
      <c r="C1788" s="460">
        <v>2141</v>
      </c>
      <c r="D1788" s="460" t="s">
        <v>2343</v>
      </c>
      <c r="E1788" s="460" t="s">
        <v>2327</v>
      </c>
      <c r="F1788" s="460">
        <v>2</v>
      </c>
      <c r="G1788" s="460">
        <v>3</v>
      </c>
      <c r="H1788" s="461" t="s">
        <v>748</v>
      </c>
      <c r="I1788" s="461" t="s">
        <v>765</v>
      </c>
      <c r="J1788" s="461" t="s">
        <v>700</v>
      </c>
      <c r="K1788" s="594"/>
      <c r="L1788" s="594"/>
      <c r="M1788" s="352">
        <v>2000</v>
      </c>
      <c r="N1788" s="352" t="s">
        <v>703</v>
      </c>
      <c r="O1788" s="460">
        <v>2141</v>
      </c>
      <c r="P1788" s="460" t="s">
        <v>1882</v>
      </c>
      <c r="Q1788" s="460" t="s">
        <v>2527</v>
      </c>
      <c r="R1788" s="460">
        <v>2121</v>
      </c>
      <c r="S1788" s="460" t="s">
        <v>2324</v>
      </c>
      <c r="T1788" s="462">
        <v>1</v>
      </c>
      <c r="U1788" s="460" t="s">
        <v>2327</v>
      </c>
      <c r="V1788" s="475">
        <v>0</v>
      </c>
      <c r="W1788" s="463" t="s">
        <v>2268</v>
      </c>
      <c r="X1788" s="463" t="s">
        <v>2268</v>
      </c>
      <c r="Y1788" s="479" t="s">
        <v>2267</v>
      </c>
      <c r="Z1788" s="479"/>
      <c r="AA1788" s="479"/>
      <c r="AB1788" s="464">
        <v>0</v>
      </c>
      <c r="AC1788" s="465">
        <v>0</v>
      </c>
      <c r="AD1788" s="465">
        <v>0</v>
      </c>
      <c r="AE1788" s="476">
        <v>0</v>
      </c>
      <c r="AF1788" s="467">
        <v>0</v>
      </c>
      <c r="AG1788" s="468">
        <v>0</v>
      </c>
      <c r="AH1788" s="218">
        <v>0</v>
      </c>
      <c r="AI1788" s="470">
        <v>0</v>
      </c>
      <c r="AJ1788" s="471">
        <v>0</v>
      </c>
      <c r="AK1788" s="218">
        <v>0</v>
      </c>
      <c r="AL1788" s="470">
        <v>0</v>
      </c>
      <c r="AM1788" s="471">
        <v>0</v>
      </c>
      <c r="AN1788" s="477">
        <v>693.18100010164449</v>
      </c>
      <c r="AO1788" s="473">
        <v>0.39805965484959044</v>
      </c>
      <c r="AP1788" s="474">
        <v>6.1619293892716233E-2</v>
      </c>
      <c r="AQ1788" s="352"/>
      <c r="AR1788" s="352"/>
      <c r="AS1788" s="352"/>
      <c r="AT1788" s="352"/>
      <c r="AU1788" s="352"/>
      <c r="AV1788" s="352"/>
      <c r="AW1788" s="352" t="s">
        <v>254</v>
      </c>
    </row>
    <row r="1789" spans="2:49" x14ac:dyDescent="0.2">
      <c r="B1789" s="460" t="s">
        <v>2897</v>
      </c>
      <c r="C1789" s="460">
        <v>2141</v>
      </c>
      <c r="D1789" s="460" t="s">
        <v>2344</v>
      </c>
      <c r="E1789" s="460" t="s">
        <v>2330</v>
      </c>
      <c r="F1789" s="460">
        <v>3</v>
      </c>
      <c r="G1789" s="460">
        <v>3</v>
      </c>
      <c r="H1789" s="461" t="s">
        <v>748</v>
      </c>
      <c r="I1789" s="461" t="s">
        <v>765</v>
      </c>
      <c r="J1789" s="461" t="s">
        <v>700</v>
      </c>
      <c r="K1789" s="594"/>
      <c r="L1789" s="594"/>
      <c r="M1789" s="352">
        <v>2000</v>
      </c>
      <c r="N1789" s="352" t="s">
        <v>703</v>
      </c>
      <c r="O1789" s="460">
        <v>2141</v>
      </c>
      <c r="P1789" s="460" t="s">
        <v>1882</v>
      </c>
      <c r="Q1789" s="460" t="s">
        <v>2527</v>
      </c>
      <c r="R1789" s="460">
        <v>2121</v>
      </c>
      <c r="S1789" s="460" t="s">
        <v>2324</v>
      </c>
      <c r="T1789" s="462">
        <v>1</v>
      </c>
      <c r="U1789" s="460" t="s">
        <v>2330</v>
      </c>
      <c r="V1789" s="475">
        <v>0</v>
      </c>
      <c r="W1789" s="463" t="s">
        <v>2268</v>
      </c>
      <c r="X1789" s="463" t="s">
        <v>2268</v>
      </c>
      <c r="Y1789" s="479" t="s">
        <v>2267</v>
      </c>
      <c r="Z1789" s="479"/>
      <c r="AA1789" s="479"/>
      <c r="AB1789" s="464">
        <v>0</v>
      </c>
      <c r="AC1789" s="465">
        <v>0</v>
      </c>
      <c r="AD1789" s="465">
        <v>0</v>
      </c>
      <c r="AE1789" s="476">
        <v>0</v>
      </c>
      <c r="AF1789" s="467">
        <v>0</v>
      </c>
      <c r="AG1789" s="468">
        <v>0</v>
      </c>
      <c r="AH1789" s="218">
        <v>0</v>
      </c>
      <c r="AI1789" s="470">
        <v>0</v>
      </c>
      <c r="AJ1789" s="471">
        <v>0</v>
      </c>
      <c r="AK1789" s="218">
        <v>0</v>
      </c>
      <c r="AL1789" s="470">
        <v>0</v>
      </c>
      <c r="AM1789" s="471">
        <v>0</v>
      </c>
      <c r="AN1789" s="477">
        <v>115.77913703166703</v>
      </c>
      <c r="AO1789" s="473">
        <v>0.39805965484959044</v>
      </c>
      <c r="AP1789" s="474">
        <v>3.1559391889480037E-2</v>
      </c>
      <c r="AQ1789" s="352"/>
      <c r="AR1789" s="352"/>
      <c r="AS1789" s="352"/>
      <c r="AT1789" s="352"/>
      <c r="AU1789" s="352"/>
      <c r="AV1789" s="352"/>
      <c r="AW1789" s="352" t="s">
        <v>254</v>
      </c>
    </row>
    <row r="1790" spans="2:49" x14ac:dyDescent="0.2">
      <c r="B1790" s="460" t="s">
        <v>2898</v>
      </c>
      <c r="C1790" s="460">
        <v>2141</v>
      </c>
      <c r="D1790" s="460" t="s">
        <v>2345</v>
      </c>
      <c r="E1790" s="460" t="s">
        <v>2333</v>
      </c>
      <c r="F1790" s="460">
        <v>4</v>
      </c>
      <c r="G1790" s="460">
        <v>3</v>
      </c>
      <c r="H1790" s="461" t="s">
        <v>748</v>
      </c>
      <c r="I1790" s="461" t="s">
        <v>765</v>
      </c>
      <c r="J1790" s="461" t="s">
        <v>700</v>
      </c>
      <c r="K1790" s="594"/>
      <c r="L1790" s="594"/>
      <c r="M1790" s="352">
        <v>2000</v>
      </c>
      <c r="N1790" s="352" t="s">
        <v>703</v>
      </c>
      <c r="O1790" s="460">
        <v>2141</v>
      </c>
      <c r="P1790" s="460" t="s">
        <v>1882</v>
      </c>
      <c r="Q1790" s="460" t="s">
        <v>2527</v>
      </c>
      <c r="R1790" s="460">
        <v>2121</v>
      </c>
      <c r="S1790" s="460" t="s">
        <v>2333</v>
      </c>
      <c r="T1790" s="462">
        <v>1</v>
      </c>
      <c r="U1790" s="460" t="s">
        <v>2333</v>
      </c>
      <c r="V1790" s="475">
        <v>0</v>
      </c>
      <c r="W1790" s="463" t="s">
        <v>2268</v>
      </c>
      <c r="X1790" s="463" t="s">
        <v>2268</v>
      </c>
      <c r="Y1790" s="463" t="s">
        <v>2503</v>
      </c>
      <c r="Z1790" s="463"/>
      <c r="AA1790" s="463"/>
      <c r="AB1790" s="464">
        <v>0</v>
      </c>
      <c r="AC1790" s="465">
        <v>0</v>
      </c>
      <c r="AD1790" s="465">
        <v>0</v>
      </c>
      <c r="AE1790" s="476">
        <v>0</v>
      </c>
      <c r="AF1790" s="467">
        <v>0</v>
      </c>
      <c r="AG1790" s="468">
        <v>0</v>
      </c>
      <c r="AH1790" s="218">
        <v>0</v>
      </c>
      <c r="AI1790" s="470">
        <v>0</v>
      </c>
      <c r="AJ1790" s="471">
        <v>0</v>
      </c>
      <c r="AK1790" s="218">
        <v>0</v>
      </c>
      <c r="AL1790" s="470">
        <v>0</v>
      </c>
      <c r="AM1790" s="471">
        <v>0</v>
      </c>
      <c r="AN1790" s="477">
        <v>31.330815845278558</v>
      </c>
      <c r="AO1790" s="473">
        <v>9.4886305877388749E-2</v>
      </c>
      <c r="AP1790" s="474">
        <v>1.9510467725880217E-2</v>
      </c>
      <c r="AQ1790" s="352"/>
      <c r="AR1790" s="352"/>
      <c r="AS1790" s="352"/>
      <c r="AT1790" s="352"/>
      <c r="AU1790" s="352"/>
      <c r="AV1790" s="352"/>
      <c r="AW1790" s="352" t="s">
        <v>254</v>
      </c>
    </row>
    <row r="1791" spans="2:49" x14ac:dyDescent="0.2">
      <c r="B1791" s="460" t="s">
        <v>2895</v>
      </c>
      <c r="C1791" s="460">
        <v>2141</v>
      </c>
      <c r="D1791" s="460" t="s">
        <v>2346</v>
      </c>
      <c r="E1791" s="460" t="s">
        <v>2324</v>
      </c>
      <c r="F1791" s="460">
        <v>1</v>
      </c>
      <c r="G1791" s="460">
        <v>3</v>
      </c>
      <c r="H1791" s="461" t="s">
        <v>752</v>
      </c>
      <c r="I1791" s="461" t="s">
        <v>964</v>
      </c>
      <c r="J1791" s="461" t="s">
        <v>752</v>
      </c>
      <c r="K1791" s="594"/>
      <c r="L1791" s="594"/>
      <c r="M1791" s="352">
        <v>2000</v>
      </c>
      <c r="N1791" s="352" t="s">
        <v>703</v>
      </c>
      <c r="O1791" s="460">
        <v>2141</v>
      </c>
      <c r="P1791" s="460" t="s">
        <v>1882</v>
      </c>
      <c r="Q1791" s="460" t="s">
        <v>2527</v>
      </c>
      <c r="R1791" s="460">
        <v>2121</v>
      </c>
      <c r="S1791" s="460" t="s">
        <v>2324</v>
      </c>
      <c r="T1791" s="462">
        <v>1</v>
      </c>
      <c r="U1791" s="460" t="s">
        <v>2324</v>
      </c>
      <c r="V1791" s="475">
        <v>0</v>
      </c>
      <c r="W1791" s="463" t="s">
        <v>2278</v>
      </c>
      <c r="X1791" s="463" t="s">
        <v>2278</v>
      </c>
      <c r="Y1791" s="463" t="s">
        <v>2278</v>
      </c>
      <c r="Z1791" s="463"/>
      <c r="AA1791" s="463"/>
      <c r="AB1791" s="464">
        <v>0</v>
      </c>
      <c r="AC1791" s="465">
        <v>0</v>
      </c>
      <c r="AD1791" s="465">
        <v>0</v>
      </c>
      <c r="AE1791" s="476">
        <v>0</v>
      </c>
      <c r="AF1791" s="467">
        <v>0</v>
      </c>
      <c r="AG1791" s="468">
        <v>0</v>
      </c>
      <c r="AH1791" s="218">
        <v>0</v>
      </c>
      <c r="AI1791" s="470">
        <v>0</v>
      </c>
      <c r="AJ1791" s="471">
        <v>0</v>
      </c>
      <c r="AK1791" s="218">
        <v>0</v>
      </c>
      <c r="AL1791" s="470">
        <v>0</v>
      </c>
      <c r="AM1791" s="471">
        <v>0</v>
      </c>
      <c r="AN1791" s="477">
        <v>0</v>
      </c>
      <c r="AO1791" s="473">
        <v>0</v>
      </c>
      <c r="AP1791" s="474">
        <v>0</v>
      </c>
      <c r="AQ1791" s="352"/>
      <c r="AR1791" s="352"/>
      <c r="AS1791" s="352"/>
      <c r="AT1791" s="352"/>
      <c r="AU1791" s="352"/>
      <c r="AV1791" s="352"/>
      <c r="AW1791" s="352" t="s">
        <v>254</v>
      </c>
    </row>
    <row r="1792" spans="2:49" x14ac:dyDescent="0.2">
      <c r="B1792" s="460" t="s">
        <v>2896</v>
      </c>
      <c r="C1792" s="460">
        <v>2141</v>
      </c>
      <c r="D1792" s="460" t="s">
        <v>2347</v>
      </c>
      <c r="E1792" s="460" t="s">
        <v>2327</v>
      </c>
      <c r="F1792" s="460">
        <v>2</v>
      </c>
      <c r="G1792" s="460">
        <v>3</v>
      </c>
      <c r="H1792" s="461" t="s">
        <v>752</v>
      </c>
      <c r="I1792" s="461" t="s">
        <v>964</v>
      </c>
      <c r="J1792" s="461" t="s">
        <v>752</v>
      </c>
      <c r="K1792" s="594"/>
      <c r="L1792" s="594"/>
      <c r="M1792" s="352">
        <v>2000</v>
      </c>
      <c r="N1792" s="352" t="s">
        <v>703</v>
      </c>
      <c r="O1792" s="460">
        <v>2141</v>
      </c>
      <c r="P1792" s="460" t="s">
        <v>1882</v>
      </c>
      <c r="Q1792" s="460" t="s">
        <v>2527</v>
      </c>
      <c r="R1792" s="460">
        <v>2121</v>
      </c>
      <c r="S1792" s="460" t="s">
        <v>2324</v>
      </c>
      <c r="T1792" s="462">
        <v>1</v>
      </c>
      <c r="U1792" s="460" t="s">
        <v>2327</v>
      </c>
      <c r="V1792" s="475">
        <v>0</v>
      </c>
      <c r="W1792" s="463" t="s">
        <v>2278</v>
      </c>
      <c r="X1792" s="463" t="s">
        <v>2278</v>
      </c>
      <c r="Y1792" s="463" t="s">
        <v>2278</v>
      </c>
      <c r="Z1792" s="463"/>
      <c r="AA1792" s="463"/>
      <c r="AB1792" s="464">
        <v>0</v>
      </c>
      <c r="AC1792" s="465">
        <v>0</v>
      </c>
      <c r="AD1792" s="465">
        <v>0</v>
      </c>
      <c r="AE1792" s="476">
        <v>0</v>
      </c>
      <c r="AF1792" s="467">
        <v>0</v>
      </c>
      <c r="AG1792" s="468">
        <v>0</v>
      </c>
      <c r="AH1792" s="218">
        <v>0</v>
      </c>
      <c r="AI1792" s="470">
        <v>0</v>
      </c>
      <c r="AJ1792" s="471">
        <v>0</v>
      </c>
      <c r="AK1792" s="218">
        <v>0</v>
      </c>
      <c r="AL1792" s="470">
        <v>0</v>
      </c>
      <c r="AM1792" s="471">
        <v>0</v>
      </c>
      <c r="AN1792" s="477">
        <v>0</v>
      </c>
      <c r="AO1792" s="473">
        <v>0</v>
      </c>
      <c r="AP1792" s="474">
        <v>0</v>
      </c>
      <c r="AQ1792" s="352"/>
      <c r="AR1792" s="352"/>
      <c r="AS1792" s="352"/>
      <c r="AT1792" s="352"/>
      <c r="AU1792" s="352"/>
      <c r="AV1792" s="352"/>
      <c r="AW1792" s="352" t="s">
        <v>254</v>
      </c>
    </row>
    <row r="1793" spans="2:49" x14ac:dyDescent="0.2">
      <c r="B1793" s="460" t="s">
        <v>2897</v>
      </c>
      <c r="C1793" s="460">
        <v>2141</v>
      </c>
      <c r="D1793" s="460" t="s">
        <v>2348</v>
      </c>
      <c r="E1793" s="460" t="s">
        <v>2330</v>
      </c>
      <c r="F1793" s="460">
        <v>3</v>
      </c>
      <c r="G1793" s="460">
        <v>3</v>
      </c>
      <c r="H1793" s="461" t="s">
        <v>752</v>
      </c>
      <c r="I1793" s="461" t="s">
        <v>964</v>
      </c>
      <c r="J1793" s="461" t="s">
        <v>752</v>
      </c>
      <c r="K1793" s="594"/>
      <c r="L1793" s="594"/>
      <c r="M1793" s="352">
        <v>2000</v>
      </c>
      <c r="N1793" s="352" t="s">
        <v>703</v>
      </c>
      <c r="O1793" s="460">
        <v>2141</v>
      </c>
      <c r="P1793" s="460" t="s">
        <v>1882</v>
      </c>
      <c r="Q1793" s="460" t="s">
        <v>2527</v>
      </c>
      <c r="R1793" s="460">
        <v>2121</v>
      </c>
      <c r="S1793" s="460" t="s">
        <v>2324</v>
      </c>
      <c r="T1793" s="462">
        <v>1</v>
      </c>
      <c r="U1793" s="460" t="s">
        <v>2330</v>
      </c>
      <c r="V1793" s="475">
        <v>0</v>
      </c>
      <c r="W1793" s="463" t="s">
        <v>2278</v>
      </c>
      <c r="X1793" s="463" t="s">
        <v>2278</v>
      </c>
      <c r="Y1793" s="463" t="s">
        <v>2278</v>
      </c>
      <c r="Z1793" s="463"/>
      <c r="AA1793" s="463"/>
      <c r="AB1793" s="464">
        <v>0</v>
      </c>
      <c r="AC1793" s="465">
        <v>0</v>
      </c>
      <c r="AD1793" s="465">
        <v>0</v>
      </c>
      <c r="AE1793" s="476">
        <v>0</v>
      </c>
      <c r="AF1793" s="467">
        <v>0</v>
      </c>
      <c r="AG1793" s="468">
        <v>0</v>
      </c>
      <c r="AH1793" s="218">
        <v>0</v>
      </c>
      <c r="AI1793" s="470">
        <v>0</v>
      </c>
      <c r="AJ1793" s="471">
        <v>0</v>
      </c>
      <c r="AK1793" s="218">
        <v>0</v>
      </c>
      <c r="AL1793" s="470">
        <v>0</v>
      </c>
      <c r="AM1793" s="471">
        <v>0</v>
      </c>
      <c r="AN1793" s="477">
        <v>0</v>
      </c>
      <c r="AO1793" s="473">
        <v>0</v>
      </c>
      <c r="AP1793" s="474">
        <v>0</v>
      </c>
      <c r="AQ1793" s="352"/>
      <c r="AR1793" s="352"/>
      <c r="AS1793" s="352"/>
      <c r="AT1793" s="352"/>
      <c r="AU1793" s="352"/>
      <c r="AV1793" s="352"/>
      <c r="AW1793" s="352" t="s">
        <v>254</v>
      </c>
    </row>
    <row r="1794" spans="2:49" x14ac:dyDescent="0.2">
      <c r="B1794" s="460" t="s">
        <v>2898</v>
      </c>
      <c r="C1794" s="460">
        <v>2141</v>
      </c>
      <c r="D1794" s="460" t="s">
        <v>2349</v>
      </c>
      <c r="E1794" s="460" t="s">
        <v>2333</v>
      </c>
      <c r="F1794" s="460">
        <v>4</v>
      </c>
      <c r="G1794" s="460">
        <v>3</v>
      </c>
      <c r="H1794" s="461" t="s">
        <v>752</v>
      </c>
      <c r="I1794" s="461" t="s">
        <v>964</v>
      </c>
      <c r="J1794" s="461" t="s">
        <v>752</v>
      </c>
      <c r="K1794" s="594"/>
      <c r="L1794" s="594"/>
      <c r="M1794" s="352">
        <v>2000</v>
      </c>
      <c r="N1794" s="352" t="s">
        <v>703</v>
      </c>
      <c r="O1794" s="460">
        <v>2141</v>
      </c>
      <c r="P1794" s="460" t="s">
        <v>1882</v>
      </c>
      <c r="Q1794" s="460" t="s">
        <v>2527</v>
      </c>
      <c r="R1794" s="460">
        <v>2121</v>
      </c>
      <c r="S1794" s="460" t="s">
        <v>2333</v>
      </c>
      <c r="T1794" s="462">
        <v>1</v>
      </c>
      <c r="U1794" s="460" t="s">
        <v>2333</v>
      </c>
      <c r="V1794" s="475">
        <v>0</v>
      </c>
      <c r="W1794" s="463" t="s">
        <v>2278</v>
      </c>
      <c r="X1794" s="463" t="s">
        <v>2278</v>
      </c>
      <c r="Y1794" s="463" t="s">
        <v>2278</v>
      </c>
      <c r="Z1794" s="463"/>
      <c r="AA1794" s="463"/>
      <c r="AB1794" s="464">
        <v>0</v>
      </c>
      <c r="AC1794" s="465">
        <v>0</v>
      </c>
      <c r="AD1794" s="465">
        <v>0</v>
      </c>
      <c r="AE1794" s="476">
        <v>0</v>
      </c>
      <c r="AF1794" s="467">
        <v>0</v>
      </c>
      <c r="AG1794" s="468">
        <v>0</v>
      </c>
      <c r="AH1794" s="218">
        <v>0</v>
      </c>
      <c r="AI1794" s="470">
        <v>0</v>
      </c>
      <c r="AJ1794" s="471">
        <v>0</v>
      </c>
      <c r="AK1794" s="218">
        <v>0</v>
      </c>
      <c r="AL1794" s="470">
        <v>0</v>
      </c>
      <c r="AM1794" s="471">
        <v>0</v>
      </c>
      <c r="AN1794" s="477">
        <v>0</v>
      </c>
      <c r="AO1794" s="473">
        <v>0</v>
      </c>
      <c r="AP1794" s="474">
        <v>0</v>
      </c>
      <c r="AQ1794" s="352"/>
      <c r="AR1794" s="352"/>
      <c r="AS1794" s="352"/>
      <c r="AT1794" s="352"/>
      <c r="AU1794" s="352"/>
      <c r="AV1794" s="352"/>
      <c r="AW1794" s="352" t="s">
        <v>254</v>
      </c>
    </row>
    <row r="1795" spans="2:49" x14ac:dyDescent="0.2">
      <c r="B1795" s="460" t="s">
        <v>2899</v>
      </c>
      <c r="C1795" s="460">
        <v>2141</v>
      </c>
      <c r="D1795" s="460" t="s">
        <v>2351</v>
      </c>
      <c r="E1795" s="460" t="s">
        <v>1136</v>
      </c>
      <c r="F1795" s="460">
        <v>1</v>
      </c>
      <c r="G1795" s="460">
        <v>4</v>
      </c>
      <c r="H1795" s="461" t="s">
        <v>700</v>
      </c>
      <c r="I1795" s="461" t="s">
        <v>872</v>
      </c>
      <c r="J1795" s="461" t="s">
        <v>700</v>
      </c>
      <c r="K1795" s="594"/>
      <c r="L1795" s="594"/>
      <c r="M1795" s="352">
        <v>2000</v>
      </c>
      <c r="N1795" s="352" t="s">
        <v>703</v>
      </c>
      <c r="O1795" s="460">
        <v>2141</v>
      </c>
      <c r="P1795" s="460" t="s">
        <v>1882</v>
      </c>
      <c r="Q1795" s="460" t="s">
        <v>2527</v>
      </c>
      <c r="R1795" s="460">
        <v>2121</v>
      </c>
      <c r="S1795" s="460" t="s">
        <v>1136</v>
      </c>
      <c r="T1795" s="462">
        <v>1</v>
      </c>
      <c r="U1795" s="460" t="s">
        <v>1136</v>
      </c>
      <c r="V1795" s="475">
        <v>0</v>
      </c>
      <c r="W1795" s="463" t="s">
        <v>2503</v>
      </c>
      <c r="X1795" s="463" t="s">
        <v>2267</v>
      </c>
      <c r="Y1795" s="463" t="s">
        <v>2268</v>
      </c>
      <c r="Z1795" s="463"/>
      <c r="AA1795" s="463"/>
      <c r="AB1795" s="464">
        <v>3.2482572658374327</v>
      </c>
      <c r="AC1795" s="465">
        <v>2.9494338745980606E-3</v>
      </c>
      <c r="AD1795" s="465">
        <v>9.2419715479707537E-3</v>
      </c>
      <c r="AE1795" s="476">
        <v>1.9489543595024594</v>
      </c>
      <c r="AF1795" s="467">
        <v>1.7696603247588363E-3</v>
      </c>
      <c r="AG1795" s="468">
        <v>6.0279552369739359E-3</v>
      </c>
      <c r="AH1795" s="218">
        <v>240.05536377394901</v>
      </c>
      <c r="AI1795" s="470">
        <v>0.21797147323899202</v>
      </c>
      <c r="AJ1795" s="471">
        <v>0.18747520311382143</v>
      </c>
      <c r="AK1795" s="218">
        <v>240.05536377394901</v>
      </c>
      <c r="AL1795" s="470">
        <v>0.21797147323899202</v>
      </c>
      <c r="AM1795" s="471">
        <v>0.18747520311382143</v>
      </c>
      <c r="AN1795" s="477">
        <v>0</v>
      </c>
      <c r="AO1795" s="473">
        <v>0</v>
      </c>
      <c r="AP1795" s="474">
        <v>0</v>
      </c>
      <c r="AQ1795" s="352"/>
      <c r="AR1795" s="352"/>
      <c r="AS1795" s="352"/>
      <c r="AT1795" s="352"/>
      <c r="AU1795" s="352"/>
      <c r="AV1795" s="352"/>
      <c r="AW1795" s="352" t="s">
        <v>254</v>
      </c>
    </row>
    <row r="1796" spans="2:49" x14ac:dyDescent="0.2">
      <c r="B1796" s="460" t="s">
        <v>2900</v>
      </c>
      <c r="C1796" s="460">
        <v>2141</v>
      </c>
      <c r="D1796" s="460" t="s">
        <v>2353</v>
      </c>
      <c r="E1796" s="460" t="s">
        <v>1137</v>
      </c>
      <c r="F1796" s="460">
        <v>2</v>
      </c>
      <c r="G1796" s="460">
        <v>4</v>
      </c>
      <c r="H1796" s="461" t="s">
        <v>700</v>
      </c>
      <c r="I1796" s="461" t="s">
        <v>872</v>
      </c>
      <c r="J1796" s="461" t="s">
        <v>700</v>
      </c>
      <c r="K1796" s="594"/>
      <c r="L1796" s="594"/>
      <c r="M1796" s="352">
        <v>2000</v>
      </c>
      <c r="N1796" s="352" t="s">
        <v>703</v>
      </c>
      <c r="O1796" s="460">
        <v>2141</v>
      </c>
      <c r="P1796" s="460" t="s">
        <v>1882</v>
      </c>
      <c r="Q1796" s="460" t="s">
        <v>2527</v>
      </c>
      <c r="R1796" s="460">
        <v>2121</v>
      </c>
      <c r="S1796" s="460" t="s">
        <v>1137</v>
      </c>
      <c r="T1796" s="462">
        <v>1</v>
      </c>
      <c r="U1796" s="460" t="s">
        <v>1137</v>
      </c>
      <c r="V1796" s="475">
        <v>0</v>
      </c>
      <c r="W1796" s="463" t="s">
        <v>2503</v>
      </c>
      <c r="X1796" s="463" t="s">
        <v>2267</v>
      </c>
      <c r="Y1796" s="463" t="s">
        <v>2268</v>
      </c>
      <c r="Z1796" s="463"/>
      <c r="AA1796" s="463"/>
      <c r="AB1796" s="464">
        <v>15.701998855031912</v>
      </c>
      <c r="AC1796" s="465">
        <v>2.1831544860794447E-2</v>
      </c>
      <c r="AD1796" s="465">
        <v>3.5457487778990803E-3</v>
      </c>
      <c r="AE1796" s="476">
        <v>9.4211993130191463</v>
      </c>
      <c r="AF1796" s="467">
        <v>1.3098926916476667E-2</v>
      </c>
      <c r="AG1796" s="468">
        <v>2.2919664863353022E-3</v>
      </c>
      <c r="AH1796" s="218">
        <v>142.84239438122148</v>
      </c>
      <c r="AI1796" s="470">
        <v>0.19860338608785305</v>
      </c>
      <c r="AJ1796" s="471">
        <v>2.9512585429760537E-2</v>
      </c>
      <c r="AK1796" s="218">
        <v>142.84239438122148</v>
      </c>
      <c r="AL1796" s="470">
        <v>0.19860338608785305</v>
      </c>
      <c r="AM1796" s="471">
        <v>2.9512585429760537E-2</v>
      </c>
      <c r="AN1796" s="477">
        <v>0</v>
      </c>
      <c r="AO1796" s="473">
        <v>0</v>
      </c>
      <c r="AP1796" s="474">
        <v>0</v>
      </c>
      <c r="AQ1796" s="352"/>
      <c r="AR1796" s="352"/>
      <c r="AS1796" s="352"/>
      <c r="AT1796" s="352"/>
      <c r="AU1796" s="352"/>
      <c r="AV1796" s="352"/>
      <c r="AW1796" s="352" t="s">
        <v>254</v>
      </c>
    </row>
    <row r="1797" spans="2:49" x14ac:dyDescent="0.2">
      <c r="B1797" s="460" t="s">
        <v>2901</v>
      </c>
      <c r="C1797" s="460">
        <v>2141</v>
      </c>
      <c r="D1797" s="460" t="s">
        <v>2355</v>
      </c>
      <c r="E1797" s="460" t="s">
        <v>1138</v>
      </c>
      <c r="F1797" s="460">
        <v>3</v>
      </c>
      <c r="G1797" s="460">
        <v>4</v>
      </c>
      <c r="H1797" s="461" t="s">
        <v>700</v>
      </c>
      <c r="I1797" s="461" t="s">
        <v>872</v>
      </c>
      <c r="J1797" s="461" t="s">
        <v>700</v>
      </c>
      <c r="K1797" s="594"/>
      <c r="L1797" s="594"/>
      <c r="M1797" s="352">
        <v>2000</v>
      </c>
      <c r="N1797" s="352" t="s">
        <v>703</v>
      </c>
      <c r="O1797" s="460">
        <v>2141</v>
      </c>
      <c r="P1797" s="460" t="s">
        <v>1882</v>
      </c>
      <c r="Q1797" s="460" t="s">
        <v>2527</v>
      </c>
      <c r="R1797" s="460">
        <v>2121</v>
      </c>
      <c r="S1797" s="460" t="s">
        <v>1138</v>
      </c>
      <c r="T1797" s="462">
        <v>1</v>
      </c>
      <c r="U1797" s="460" t="s">
        <v>1138</v>
      </c>
      <c r="V1797" s="475">
        <v>0</v>
      </c>
      <c r="W1797" s="463" t="s">
        <v>2503</v>
      </c>
      <c r="X1797" s="463" t="s">
        <v>2267</v>
      </c>
      <c r="Y1797" s="463" t="s">
        <v>2268</v>
      </c>
      <c r="Z1797" s="463"/>
      <c r="AA1797" s="463"/>
      <c r="AB1797" s="464">
        <v>9.0283099155824704</v>
      </c>
      <c r="AC1797" s="465">
        <v>1.3570410027813683E-2</v>
      </c>
      <c r="AD1797" s="465">
        <v>3.7879913680759353E-3</v>
      </c>
      <c r="AE1797" s="476">
        <v>5.416985949349483</v>
      </c>
      <c r="AF1797" s="467">
        <v>8.1422460166882104E-3</v>
      </c>
      <c r="AG1797" s="468">
        <v>2.4520381334929369E-3</v>
      </c>
      <c r="AH1797" s="218">
        <v>173.72674152371661</v>
      </c>
      <c r="AI1797" s="470">
        <v>0.2611278453350192</v>
      </c>
      <c r="AJ1797" s="471">
        <v>5.9867309682470241E-2</v>
      </c>
      <c r="AK1797" s="218">
        <v>173.72674152371661</v>
      </c>
      <c r="AL1797" s="470">
        <v>0.2611278453350192</v>
      </c>
      <c r="AM1797" s="471">
        <v>5.9867309682470241E-2</v>
      </c>
      <c r="AN1797" s="477">
        <v>0</v>
      </c>
      <c r="AO1797" s="473">
        <v>0</v>
      </c>
      <c r="AP1797" s="474">
        <v>0</v>
      </c>
      <c r="AQ1797" s="352"/>
      <c r="AR1797" s="352"/>
      <c r="AS1797" s="352"/>
      <c r="AT1797" s="352"/>
      <c r="AU1797" s="352"/>
      <c r="AV1797" s="352"/>
      <c r="AW1797" s="352" t="s">
        <v>254</v>
      </c>
    </row>
    <row r="1798" spans="2:49" x14ac:dyDescent="0.2">
      <c r="B1798" s="460" t="s">
        <v>2902</v>
      </c>
      <c r="C1798" s="460">
        <v>2141</v>
      </c>
      <c r="D1798" s="460" t="s">
        <v>2357</v>
      </c>
      <c r="E1798" s="460" t="s">
        <v>1139</v>
      </c>
      <c r="F1798" s="460">
        <v>4</v>
      </c>
      <c r="G1798" s="460">
        <v>4</v>
      </c>
      <c r="H1798" s="461" t="s">
        <v>700</v>
      </c>
      <c r="I1798" s="461" t="s">
        <v>872</v>
      </c>
      <c r="J1798" s="461" t="s">
        <v>700</v>
      </c>
      <c r="K1798" s="594"/>
      <c r="L1798" s="594"/>
      <c r="M1798" s="352">
        <v>2000</v>
      </c>
      <c r="N1798" s="352" t="s">
        <v>703</v>
      </c>
      <c r="O1798" s="460">
        <v>2141</v>
      </c>
      <c r="P1798" s="460" t="s">
        <v>1882</v>
      </c>
      <c r="Q1798" s="460" t="s">
        <v>2527</v>
      </c>
      <c r="R1798" s="460">
        <v>2121</v>
      </c>
      <c r="S1798" s="460" t="s">
        <v>1139</v>
      </c>
      <c r="T1798" s="462">
        <v>1</v>
      </c>
      <c r="U1798" s="460" t="s">
        <v>1139</v>
      </c>
      <c r="V1798" s="475">
        <v>0</v>
      </c>
      <c r="W1798" s="463" t="s">
        <v>2503</v>
      </c>
      <c r="X1798" s="463" t="s">
        <v>2503</v>
      </c>
      <c r="Y1798" s="463" t="s">
        <v>2268</v>
      </c>
      <c r="Z1798" s="463"/>
      <c r="AA1798" s="463"/>
      <c r="AB1798" s="464">
        <v>0</v>
      </c>
      <c r="AC1798" s="465">
        <v>0</v>
      </c>
      <c r="AD1798" s="465">
        <v>0</v>
      </c>
      <c r="AE1798" s="476">
        <v>0</v>
      </c>
      <c r="AF1798" s="467">
        <v>0</v>
      </c>
      <c r="AG1798" s="468">
        <v>0</v>
      </c>
      <c r="AH1798" s="218">
        <v>0</v>
      </c>
      <c r="AI1798" s="470">
        <v>0</v>
      </c>
      <c r="AJ1798" s="471">
        <v>0</v>
      </c>
      <c r="AK1798" s="218">
        <v>0</v>
      </c>
      <c r="AL1798" s="470">
        <v>0</v>
      </c>
      <c r="AM1798" s="471">
        <v>0</v>
      </c>
      <c r="AN1798" s="477">
        <v>0</v>
      </c>
      <c r="AO1798" s="473">
        <v>0</v>
      </c>
      <c r="AP1798" s="474">
        <v>0</v>
      </c>
      <c r="AQ1798" s="352"/>
      <c r="AR1798" s="352"/>
      <c r="AS1798" s="352"/>
      <c r="AT1798" s="352"/>
      <c r="AU1798" s="352"/>
      <c r="AV1798" s="352"/>
      <c r="AW1798" s="352" t="s">
        <v>254</v>
      </c>
    </row>
    <row r="1799" spans="2:49" x14ac:dyDescent="0.2">
      <c r="B1799" s="460" t="s">
        <v>2899</v>
      </c>
      <c r="C1799" s="460">
        <v>2141</v>
      </c>
      <c r="D1799" s="460" t="s">
        <v>2358</v>
      </c>
      <c r="E1799" s="460" t="s">
        <v>1136</v>
      </c>
      <c r="F1799" s="460">
        <v>1</v>
      </c>
      <c r="G1799" s="460">
        <v>4</v>
      </c>
      <c r="H1799" s="461" t="s">
        <v>712</v>
      </c>
      <c r="I1799" s="461" t="s">
        <v>713</v>
      </c>
      <c r="J1799" s="461" t="s">
        <v>712</v>
      </c>
      <c r="K1799" s="594"/>
      <c r="L1799" s="594"/>
      <c r="M1799" s="352">
        <v>2000</v>
      </c>
      <c r="N1799" s="352" t="s">
        <v>703</v>
      </c>
      <c r="O1799" s="460">
        <v>2141</v>
      </c>
      <c r="P1799" s="460" t="s">
        <v>1882</v>
      </c>
      <c r="Q1799" s="460" t="s">
        <v>2280</v>
      </c>
      <c r="R1799" s="460">
        <v>2121</v>
      </c>
      <c r="S1799" s="460" t="s">
        <v>1136</v>
      </c>
      <c r="T1799" s="462">
        <v>1</v>
      </c>
      <c r="U1799" s="460" t="s">
        <v>1136</v>
      </c>
      <c r="V1799" s="475">
        <v>0</v>
      </c>
      <c r="W1799" s="463" t="s">
        <v>713</v>
      </c>
      <c r="X1799" s="463" t="s">
        <v>713</v>
      </c>
      <c r="Y1799" s="463" t="s">
        <v>713</v>
      </c>
      <c r="Z1799" s="463"/>
      <c r="AA1799" s="463"/>
      <c r="AB1799" s="464">
        <v>1097.1025648187483</v>
      </c>
      <c r="AC1799" s="465">
        <v>0.99617462650409916</v>
      </c>
      <c r="AD1799" s="465">
        <v>7.2303122774679601E-3</v>
      </c>
      <c r="AE1799" s="476">
        <v>1098.4018677250833</v>
      </c>
      <c r="AF1799" s="467">
        <v>0.99735440005393838</v>
      </c>
      <c r="AG1799" s="468">
        <v>7.2375325283075536E-3</v>
      </c>
      <c r="AH1799" s="218">
        <v>765.84301397502611</v>
      </c>
      <c r="AI1799" s="470">
        <v>0.69538929437594166</v>
      </c>
      <c r="AJ1799" s="471">
        <v>5.097539193885242E-3</v>
      </c>
      <c r="AK1799" s="218">
        <v>765.84301397502611</v>
      </c>
      <c r="AL1799" s="470">
        <v>0.69538929437594166</v>
      </c>
      <c r="AM1799" s="471">
        <v>5.097539193885242E-3</v>
      </c>
      <c r="AN1799" s="477">
        <v>1004.5990748426401</v>
      </c>
      <c r="AO1799" s="473">
        <v>0.91218099406509445</v>
      </c>
      <c r="AP1799" s="474">
        <v>6.6758467599061936E-3</v>
      </c>
      <c r="AQ1799" s="352"/>
      <c r="AR1799" s="352"/>
      <c r="AS1799" s="352"/>
      <c r="AT1799" s="352"/>
      <c r="AU1799" s="352"/>
      <c r="AV1799" s="352"/>
      <c r="AW1799" s="352" t="s">
        <v>254</v>
      </c>
    </row>
    <row r="1800" spans="2:49" x14ac:dyDescent="0.2">
      <c r="B1800" s="460" t="s">
        <v>2900</v>
      </c>
      <c r="C1800" s="460">
        <v>2141</v>
      </c>
      <c r="D1800" s="460" t="s">
        <v>2359</v>
      </c>
      <c r="E1800" s="460" t="s">
        <v>1137</v>
      </c>
      <c r="F1800" s="460">
        <v>2</v>
      </c>
      <c r="G1800" s="460">
        <v>4</v>
      </c>
      <c r="H1800" s="461" t="s">
        <v>712</v>
      </c>
      <c r="I1800" s="461" t="s">
        <v>713</v>
      </c>
      <c r="J1800" s="461" t="s">
        <v>712</v>
      </c>
      <c r="K1800" s="594"/>
      <c r="L1800" s="594"/>
      <c r="M1800" s="352">
        <v>2000</v>
      </c>
      <c r="N1800" s="352" t="s">
        <v>703</v>
      </c>
      <c r="O1800" s="460">
        <v>2141</v>
      </c>
      <c r="P1800" s="460" t="s">
        <v>1882</v>
      </c>
      <c r="Q1800" s="460" t="s">
        <v>2280</v>
      </c>
      <c r="R1800" s="460">
        <v>2121</v>
      </c>
      <c r="S1800" s="460" t="s">
        <v>1137</v>
      </c>
      <c r="T1800" s="462">
        <v>1</v>
      </c>
      <c r="U1800" s="460" t="s">
        <v>1137</v>
      </c>
      <c r="V1800" s="475">
        <v>0</v>
      </c>
      <c r="W1800" s="463" t="s">
        <v>713</v>
      </c>
      <c r="X1800" s="463" t="s">
        <v>713</v>
      </c>
      <c r="Y1800" s="463" t="s">
        <v>713</v>
      </c>
      <c r="Z1800" s="463"/>
      <c r="AA1800" s="463"/>
      <c r="AB1800" s="464">
        <v>702.2710582651938</v>
      </c>
      <c r="AC1800" s="465">
        <v>0.97641467525906334</v>
      </c>
      <c r="AD1800" s="465">
        <v>4.0613304050708381E-3</v>
      </c>
      <c r="AE1800" s="476">
        <v>708.5518578072066</v>
      </c>
      <c r="AF1800" s="467">
        <v>0.98514729320338112</v>
      </c>
      <c r="AG1800" s="468">
        <v>4.0901342891132937E-3</v>
      </c>
      <c r="AH1800" s="218">
        <v>568.19311625867454</v>
      </c>
      <c r="AI1800" s="470">
        <v>0.78999709665757945</v>
      </c>
      <c r="AJ1800" s="471">
        <v>3.2954736428899263E-3</v>
      </c>
      <c r="AK1800" s="218">
        <v>568.19311625867454</v>
      </c>
      <c r="AL1800" s="470">
        <v>0.78999709665757945</v>
      </c>
      <c r="AM1800" s="471">
        <v>3.2954736428899263E-3</v>
      </c>
      <c r="AN1800" s="477">
        <v>704.75471109788316</v>
      </c>
      <c r="AO1800" s="473">
        <v>0.97986786480111465</v>
      </c>
      <c r="AP1800" s="474">
        <v>4.0841469433166187E-3</v>
      </c>
      <c r="AQ1800" s="352"/>
      <c r="AR1800" s="352"/>
      <c r="AS1800" s="352"/>
      <c r="AT1800" s="352"/>
      <c r="AU1800" s="352"/>
      <c r="AV1800" s="352"/>
      <c r="AW1800" s="352" t="s">
        <v>254</v>
      </c>
    </row>
    <row r="1801" spans="2:49" x14ac:dyDescent="0.2">
      <c r="B1801" s="460" t="s">
        <v>2901</v>
      </c>
      <c r="C1801" s="460">
        <v>2141</v>
      </c>
      <c r="D1801" s="460" t="s">
        <v>2360</v>
      </c>
      <c r="E1801" s="460" t="s">
        <v>1138</v>
      </c>
      <c r="F1801" s="460">
        <v>3</v>
      </c>
      <c r="G1801" s="460">
        <v>4</v>
      </c>
      <c r="H1801" s="461" t="s">
        <v>712</v>
      </c>
      <c r="I1801" s="461" t="s">
        <v>713</v>
      </c>
      <c r="J1801" s="461" t="s">
        <v>712</v>
      </c>
      <c r="K1801" s="594"/>
      <c r="L1801" s="594"/>
      <c r="M1801" s="352">
        <v>2000</v>
      </c>
      <c r="N1801" s="352" t="s">
        <v>703</v>
      </c>
      <c r="O1801" s="460">
        <v>2141</v>
      </c>
      <c r="P1801" s="460" t="s">
        <v>1882</v>
      </c>
      <c r="Q1801" s="460" t="s">
        <v>2280</v>
      </c>
      <c r="R1801" s="460">
        <v>2121</v>
      </c>
      <c r="S1801" s="460" t="s">
        <v>1138</v>
      </c>
      <c r="T1801" s="462">
        <v>1</v>
      </c>
      <c r="U1801" s="460" t="s">
        <v>1138</v>
      </c>
      <c r="V1801" s="475">
        <v>0</v>
      </c>
      <c r="W1801" s="463" t="s">
        <v>713</v>
      </c>
      <c r="X1801" s="463" t="s">
        <v>713</v>
      </c>
      <c r="Y1801" s="463" t="s">
        <v>713</v>
      </c>
      <c r="Z1801" s="463"/>
      <c r="AA1801" s="463"/>
      <c r="AB1801" s="464">
        <v>656.12684174528044</v>
      </c>
      <c r="AC1801" s="465">
        <v>0.98622115944093958</v>
      </c>
      <c r="AD1801" s="465">
        <v>8.1881655544976048E-3</v>
      </c>
      <c r="AE1801" s="476">
        <v>659.73816571151337</v>
      </c>
      <c r="AF1801" s="467">
        <v>0.99164932345206502</v>
      </c>
      <c r="AG1801" s="468">
        <v>8.2153708655069609E-3</v>
      </c>
      <c r="AH1801" s="218">
        <v>435.40598918506561</v>
      </c>
      <c r="AI1801" s="470">
        <v>0.6544566875810387</v>
      </c>
      <c r="AJ1801" s="471">
        <v>5.4854543496539758E-3</v>
      </c>
      <c r="AK1801" s="218">
        <v>435.40598918506561</v>
      </c>
      <c r="AL1801" s="470">
        <v>0.6544566875810387</v>
      </c>
      <c r="AM1801" s="471">
        <v>5.4854543496539758E-3</v>
      </c>
      <c r="AN1801" s="477">
        <v>435.40598918506561</v>
      </c>
      <c r="AO1801" s="473">
        <v>0.6544566875810387</v>
      </c>
      <c r="AP1801" s="474">
        <v>5.4850409433992399E-3</v>
      </c>
      <c r="AQ1801" s="352"/>
      <c r="AR1801" s="352"/>
      <c r="AS1801" s="352"/>
      <c r="AT1801" s="352"/>
      <c r="AU1801" s="352"/>
      <c r="AV1801" s="352"/>
      <c r="AW1801" s="352" t="s">
        <v>254</v>
      </c>
    </row>
    <row r="1802" spans="2:49" x14ac:dyDescent="0.2">
      <c r="B1802" s="460" t="s">
        <v>2902</v>
      </c>
      <c r="C1802" s="460">
        <v>2141</v>
      </c>
      <c r="D1802" s="460" t="s">
        <v>2361</v>
      </c>
      <c r="E1802" s="460" t="s">
        <v>1139</v>
      </c>
      <c r="F1802" s="460">
        <v>4</v>
      </c>
      <c r="G1802" s="460">
        <v>4</v>
      </c>
      <c r="H1802" s="461" t="s">
        <v>712</v>
      </c>
      <c r="I1802" s="461" t="s">
        <v>713</v>
      </c>
      <c r="J1802" s="461" t="s">
        <v>712</v>
      </c>
      <c r="K1802" s="594"/>
      <c r="L1802" s="594"/>
      <c r="M1802" s="352">
        <v>2000</v>
      </c>
      <c r="N1802" s="352" t="s">
        <v>703</v>
      </c>
      <c r="O1802" s="460">
        <v>2141</v>
      </c>
      <c r="P1802" s="460" t="s">
        <v>1882</v>
      </c>
      <c r="Q1802" s="460" t="s">
        <v>2280</v>
      </c>
      <c r="R1802" s="460">
        <v>2121</v>
      </c>
      <c r="S1802" s="460" t="s">
        <v>1139</v>
      </c>
      <c r="T1802" s="462">
        <v>1</v>
      </c>
      <c r="U1802" s="460" t="s">
        <v>1139</v>
      </c>
      <c r="V1802" s="475">
        <v>0</v>
      </c>
      <c r="W1802" s="463" t="s">
        <v>713</v>
      </c>
      <c r="X1802" s="463" t="s">
        <v>713</v>
      </c>
      <c r="Y1802" s="463" t="s">
        <v>713</v>
      </c>
      <c r="Z1802" s="463"/>
      <c r="AA1802" s="463"/>
      <c r="AB1802" s="464">
        <v>744.46333647458869</v>
      </c>
      <c r="AC1802" s="465">
        <v>0.98736498949200491</v>
      </c>
      <c r="AD1802" s="465">
        <v>8.2428732577959126E-3</v>
      </c>
      <c r="AE1802" s="476">
        <v>744.46333647458869</v>
      </c>
      <c r="AF1802" s="467">
        <v>0.98736498949200491</v>
      </c>
      <c r="AG1802" s="468">
        <v>8.2428732577959126E-3</v>
      </c>
      <c r="AH1802" s="218">
        <v>284.41612559435123</v>
      </c>
      <c r="AI1802" s="470">
        <v>0.37721471441247911</v>
      </c>
      <c r="AJ1802" s="471">
        <v>3.2168531472334672E-3</v>
      </c>
      <c r="AK1802" s="218">
        <v>284.41612559435123</v>
      </c>
      <c r="AL1802" s="470">
        <v>0.37721471441247911</v>
      </c>
      <c r="AM1802" s="471">
        <v>3.2168531472334672E-3</v>
      </c>
      <c r="AN1802" s="477">
        <v>284.41612559435123</v>
      </c>
      <c r="AO1802" s="473">
        <v>0.37721471441247911</v>
      </c>
      <c r="AP1802" s="474">
        <v>3.2168531472334672E-3</v>
      </c>
      <c r="AQ1802" s="352"/>
      <c r="AR1802" s="352"/>
      <c r="AS1802" s="352"/>
      <c r="AT1802" s="352"/>
      <c r="AU1802" s="352"/>
      <c r="AV1802" s="352"/>
      <c r="AW1802" s="352" t="s">
        <v>254</v>
      </c>
    </row>
    <row r="1803" spans="2:49" x14ac:dyDescent="0.2">
      <c r="B1803" s="460" t="s">
        <v>2899</v>
      </c>
      <c r="C1803" s="460">
        <v>2141</v>
      </c>
      <c r="D1803" s="460" t="s">
        <v>2362</v>
      </c>
      <c r="E1803" s="460" t="s">
        <v>1136</v>
      </c>
      <c r="F1803" s="460">
        <v>1</v>
      </c>
      <c r="G1803" s="460">
        <v>4</v>
      </c>
      <c r="H1803" s="461" t="s">
        <v>746</v>
      </c>
      <c r="I1803" s="461" t="s">
        <v>762</v>
      </c>
      <c r="J1803" s="461" t="s">
        <v>700</v>
      </c>
      <c r="K1803" s="594"/>
      <c r="L1803" s="594"/>
      <c r="M1803" s="352">
        <v>2000</v>
      </c>
      <c r="N1803" s="352" t="s">
        <v>703</v>
      </c>
      <c r="O1803" s="460">
        <v>2141</v>
      </c>
      <c r="P1803" s="460" t="s">
        <v>1882</v>
      </c>
      <c r="Q1803" s="460" t="s">
        <v>2531</v>
      </c>
      <c r="R1803" s="460">
        <v>2121</v>
      </c>
      <c r="S1803" s="460" t="s">
        <v>1136</v>
      </c>
      <c r="T1803" s="462">
        <v>1</v>
      </c>
      <c r="U1803" s="460" t="s">
        <v>1136</v>
      </c>
      <c r="V1803" s="475">
        <v>0</v>
      </c>
      <c r="W1803" s="463" t="s">
        <v>2268</v>
      </c>
      <c r="X1803" s="463" t="s">
        <v>2268</v>
      </c>
      <c r="Y1803" s="463" t="s">
        <v>2290</v>
      </c>
      <c r="Z1803" s="463"/>
      <c r="AA1803" s="463"/>
      <c r="AB1803" s="464">
        <v>0</v>
      </c>
      <c r="AC1803" s="465">
        <v>0</v>
      </c>
      <c r="AD1803" s="465">
        <v>0</v>
      </c>
      <c r="AE1803" s="476">
        <v>0</v>
      </c>
      <c r="AF1803" s="467">
        <v>0</v>
      </c>
      <c r="AG1803" s="468">
        <v>0</v>
      </c>
      <c r="AH1803" s="218">
        <v>0</v>
      </c>
      <c r="AI1803" s="470">
        <v>0</v>
      </c>
      <c r="AJ1803" s="471">
        <v>0</v>
      </c>
      <c r="AK1803" s="218">
        <v>0</v>
      </c>
      <c r="AL1803" s="470">
        <v>0</v>
      </c>
      <c r="AM1803" s="471">
        <v>0</v>
      </c>
      <c r="AN1803" s="477">
        <v>0</v>
      </c>
      <c r="AO1803" s="473">
        <v>0</v>
      </c>
      <c r="AP1803" s="474">
        <v>0</v>
      </c>
      <c r="AQ1803" s="352"/>
      <c r="AR1803" s="352"/>
      <c r="AS1803" s="352"/>
      <c r="AT1803" s="352"/>
      <c r="AU1803" s="352"/>
      <c r="AV1803" s="352"/>
      <c r="AW1803" s="352" t="s">
        <v>254</v>
      </c>
    </row>
    <row r="1804" spans="2:49" x14ac:dyDescent="0.2">
      <c r="B1804" s="460" t="s">
        <v>2900</v>
      </c>
      <c r="C1804" s="460">
        <v>2141</v>
      </c>
      <c r="D1804" s="460" t="s">
        <v>2363</v>
      </c>
      <c r="E1804" s="460" t="s">
        <v>1137</v>
      </c>
      <c r="F1804" s="460">
        <v>2</v>
      </c>
      <c r="G1804" s="460">
        <v>4</v>
      </c>
      <c r="H1804" s="461" t="s">
        <v>746</v>
      </c>
      <c r="I1804" s="461" t="s">
        <v>762</v>
      </c>
      <c r="J1804" s="461" t="s">
        <v>700</v>
      </c>
      <c r="K1804" s="594"/>
      <c r="L1804" s="594"/>
      <c r="M1804" s="352">
        <v>2000</v>
      </c>
      <c r="N1804" s="352" t="s">
        <v>703</v>
      </c>
      <c r="O1804" s="460">
        <v>2141</v>
      </c>
      <c r="P1804" s="460" t="s">
        <v>1882</v>
      </c>
      <c r="Q1804" s="460" t="s">
        <v>2531</v>
      </c>
      <c r="R1804" s="460">
        <v>2121</v>
      </c>
      <c r="S1804" s="460" t="s">
        <v>1137</v>
      </c>
      <c r="T1804" s="462">
        <v>1</v>
      </c>
      <c r="U1804" s="460" t="s">
        <v>1137</v>
      </c>
      <c r="V1804" s="475">
        <v>0</v>
      </c>
      <c r="W1804" s="463" t="s">
        <v>2268</v>
      </c>
      <c r="X1804" s="463" t="s">
        <v>2268</v>
      </c>
      <c r="Y1804" s="463" t="s">
        <v>2290</v>
      </c>
      <c r="Z1804" s="463"/>
      <c r="AA1804" s="463"/>
      <c r="AB1804" s="464">
        <v>0</v>
      </c>
      <c r="AC1804" s="465">
        <v>0</v>
      </c>
      <c r="AD1804" s="465">
        <v>0</v>
      </c>
      <c r="AE1804" s="476">
        <v>0</v>
      </c>
      <c r="AF1804" s="467">
        <v>0</v>
      </c>
      <c r="AG1804" s="468">
        <v>0</v>
      </c>
      <c r="AH1804" s="218">
        <v>0</v>
      </c>
      <c r="AI1804" s="470">
        <v>0</v>
      </c>
      <c r="AJ1804" s="471">
        <v>0</v>
      </c>
      <c r="AK1804" s="218">
        <v>0</v>
      </c>
      <c r="AL1804" s="470">
        <v>0</v>
      </c>
      <c r="AM1804" s="471">
        <v>0</v>
      </c>
      <c r="AN1804" s="477">
        <v>0</v>
      </c>
      <c r="AO1804" s="473">
        <v>0</v>
      </c>
      <c r="AP1804" s="474">
        <v>0</v>
      </c>
      <c r="AQ1804" s="352"/>
      <c r="AR1804" s="352"/>
      <c r="AS1804" s="352"/>
      <c r="AT1804" s="352"/>
      <c r="AU1804" s="352"/>
      <c r="AV1804" s="352"/>
      <c r="AW1804" s="352" t="s">
        <v>254</v>
      </c>
    </row>
    <row r="1805" spans="2:49" x14ac:dyDescent="0.2">
      <c r="B1805" s="460" t="s">
        <v>2901</v>
      </c>
      <c r="C1805" s="460">
        <v>2141</v>
      </c>
      <c r="D1805" s="460" t="s">
        <v>2364</v>
      </c>
      <c r="E1805" s="460" t="s">
        <v>1138</v>
      </c>
      <c r="F1805" s="460">
        <v>3</v>
      </c>
      <c r="G1805" s="460">
        <v>4</v>
      </c>
      <c r="H1805" s="461" t="s">
        <v>746</v>
      </c>
      <c r="I1805" s="461" t="s">
        <v>762</v>
      </c>
      <c r="J1805" s="461" t="s">
        <v>700</v>
      </c>
      <c r="K1805" s="594"/>
      <c r="L1805" s="594"/>
      <c r="M1805" s="352">
        <v>2000</v>
      </c>
      <c r="N1805" s="352" t="s">
        <v>703</v>
      </c>
      <c r="O1805" s="460">
        <v>2141</v>
      </c>
      <c r="P1805" s="460" t="s">
        <v>1882</v>
      </c>
      <c r="Q1805" s="460" t="s">
        <v>2531</v>
      </c>
      <c r="R1805" s="460">
        <v>2121</v>
      </c>
      <c r="S1805" s="460" t="s">
        <v>1138</v>
      </c>
      <c r="T1805" s="462">
        <v>1</v>
      </c>
      <c r="U1805" s="460" t="s">
        <v>1138</v>
      </c>
      <c r="V1805" s="475">
        <v>0</v>
      </c>
      <c r="W1805" s="463" t="s">
        <v>2268</v>
      </c>
      <c r="X1805" s="463" t="s">
        <v>2268</v>
      </c>
      <c r="Y1805" s="463" t="s">
        <v>2290</v>
      </c>
      <c r="Z1805" s="463"/>
      <c r="AA1805" s="463"/>
      <c r="AB1805" s="464">
        <v>0</v>
      </c>
      <c r="AC1805" s="465">
        <v>0</v>
      </c>
      <c r="AD1805" s="465">
        <v>0</v>
      </c>
      <c r="AE1805" s="476">
        <v>0</v>
      </c>
      <c r="AF1805" s="467">
        <v>0</v>
      </c>
      <c r="AG1805" s="468">
        <v>0</v>
      </c>
      <c r="AH1805" s="218">
        <v>0</v>
      </c>
      <c r="AI1805" s="470">
        <v>0</v>
      </c>
      <c r="AJ1805" s="471">
        <v>0</v>
      </c>
      <c r="AK1805" s="218">
        <v>0</v>
      </c>
      <c r="AL1805" s="470">
        <v>0</v>
      </c>
      <c r="AM1805" s="471">
        <v>0</v>
      </c>
      <c r="AN1805" s="477">
        <v>0</v>
      </c>
      <c r="AO1805" s="473">
        <v>0</v>
      </c>
      <c r="AP1805" s="474">
        <v>0</v>
      </c>
      <c r="AQ1805" s="352"/>
      <c r="AR1805" s="352"/>
      <c r="AS1805" s="352"/>
      <c r="AT1805" s="352"/>
      <c r="AU1805" s="352"/>
      <c r="AV1805" s="352"/>
      <c r="AW1805" s="352" t="s">
        <v>254</v>
      </c>
    </row>
    <row r="1806" spans="2:49" x14ac:dyDescent="0.2">
      <c r="B1806" s="460" t="s">
        <v>2902</v>
      </c>
      <c r="C1806" s="460">
        <v>2141</v>
      </c>
      <c r="D1806" s="460" t="s">
        <v>2365</v>
      </c>
      <c r="E1806" s="460" t="s">
        <v>1139</v>
      </c>
      <c r="F1806" s="460">
        <v>4</v>
      </c>
      <c r="G1806" s="460">
        <v>4</v>
      </c>
      <c r="H1806" s="461" t="s">
        <v>746</v>
      </c>
      <c r="I1806" s="461" t="s">
        <v>762</v>
      </c>
      <c r="J1806" s="461" t="s">
        <v>700</v>
      </c>
      <c r="K1806" s="594"/>
      <c r="L1806" s="594"/>
      <c r="M1806" s="352">
        <v>2000</v>
      </c>
      <c r="N1806" s="352" t="s">
        <v>703</v>
      </c>
      <c r="O1806" s="460">
        <v>2141</v>
      </c>
      <c r="P1806" s="460" t="s">
        <v>1882</v>
      </c>
      <c r="Q1806" s="460" t="s">
        <v>2531</v>
      </c>
      <c r="R1806" s="460">
        <v>2121</v>
      </c>
      <c r="S1806" s="460" t="s">
        <v>1139</v>
      </c>
      <c r="T1806" s="462">
        <v>1</v>
      </c>
      <c r="U1806" s="460" t="s">
        <v>1139</v>
      </c>
      <c r="V1806" s="475">
        <v>0</v>
      </c>
      <c r="W1806" s="463" t="s">
        <v>2268</v>
      </c>
      <c r="X1806" s="463" t="s">
        <v>2268</v>
      </c>
      <c r="Y1806" s="463" t="s">
        <v>2290</v>
      </c>
      <c r="Z1806" s="463"/>
      <c r="AA1806" s="463"/>
      <c r="AB1806" s="464">
        <v>0</v>
      </c>
      <c r="AC1806" s="465">
        <v>0</v>
      </c>
      <c r="AD1806" s="465">
        <v>0</v>
      </c>
      <c r="AE1806" s="476">
        <v>0</v>
      </c>
      <c r="AF1806" s="467">
        <v>0</v>
      </c>
      <c r="AG1806" s="468">
        <v>0</v>
      </c>
      <c r="AH1806" s="218">
        <v>0</v>
      </c>
      <c r="AI1806" s="470">
        <v>0</v>
      </c>
      <c r="AJ1806" s="471">
        <v>0</v>
      </c>
      <c r="AK1806" s="218">
        <v>0</v>
      </c>
      <c r="AL1806" s="470">
        <v>0</v>
      </c>
      <c r="AM1806" s="471">
        <v>0</v>
      </c>
      <c r="AN1806" s="477">
        <v>0</v>
      </c>
      <c r="AO1806" s="473">
        <v>0</v>
      </c>
      <c r="AP1806" s="474">
        <v>0</v>
      </c>
      <c r="AQ1806" s="352"/>
      <c r="AR1806" s="352"/>
      <c r="AS1806" s="352"/>
      <c r="AT1806" s="352"/>
      <c r="AU1806" s="352"/>
      <c r="AV1806" s="352"/>
      <c r="AW1806" s="352" t="s">
        <v>254</v>
      </c>
    </row>
    <row r="1807" spans="2:49" x14ac:dyDescent="0.2">
      <c r="B1807" s="460" t="s">
        <v>2899</v>
      </c>
      <c r="C1807" s="460">
        <v>2141</v>
      </c>
      <c r="D1807" s="460" t="s">
        <v>2366</v>
      </c>
      <c r="E1807" s="460" t="s">
        <v>1136</v>
      </c>
      <c r="F1807" s="460">
        <v>1</v>
      </c>
      <c r="G1807" s="460">
        <v>4</v>
      </c>
      <c r="H1807" s="461" t="s">
        <v>748</v>
      </c>
      <c r="I1807" s="461" t="s">
        <v>765</v>
      </c>
      <c r="J1807" s="461" t="s">
        <v>700</v>
      </c>
      <c r="K1807" s="594"/>
      <c r="L1807" s="594"/>
      <c r="M1807" s="352">
        <v>2000</v>
      </c>
      <c r="N1807" s="352" t="s">
        <v>703</v>
      </c>
      <c r="O1807" s="460">
        <v>2141</v>
      </c>
      <c r="P1807" s="460" t="s">
        <v>1882</v>
      </c>
      <c r="Q1807" s="460" t="s">
        <v>2527</v>
      </c>
      <c r="R1807" s="460">
        <v>2121</v>
      </c>
      <c r="S1807" s="460" t="s">
        <v>1136</v>
      </c>
      <c r="T1807" s="462">
        <v>1</v>
      </c>
      <c r="U1807" s="460" t="s">
        <v>1136</v>
      </c>
      <c r="V1807" s="475">
        <v>0</v>
      </c>
      <c r="W1807" s="463" t="s">
        <v>2268</v>
      </c>
      <c r="X1807" s="463" t="s">
        <v>2268</v>
      </c>
      <c r="Y1807" s="479" t="s">
        <v>2503</v>
      </c>
      <c r="Z1807" s="479"/>
      <c r="AA1807" s="479"/>
      <c r="AB1807" s="464">
        <v>0</v>
      </c>
      <c r="AC1807" s="465">
        <v>0</v>
      </c>
      <c r="AD1807" s="465">
        <v>0</v>
      </c>
      <c r="AE1807" s="476">
        <v>0</v>
      </c>
      <c r="AF1807" s="467">
        <v>0</v>
      </c>
      <c r="AG1807" s="468">
        <v>0</v>
      </c>
      <c r="AH1807" s="218">
        <v>0</v>
      </c>
      <c r="AI1807" s="470">
        <v>0</v>
      </c>
      <c r="AJ1807" s="471">
        <v>0</v>
      </c>
      <c r="AK1807" s="218">
        <v>0</v>
      </c>
      <c r="AL1807" s="470">
        <v>0</v>
      </c>
      <c r="AM1807" s="471">
        <v>0</v>
      </c>
      <c r="AN1807" s="477">
        <v>1.2993029063349733</v>
      </c>
      <c r="AO1807" s="473">
        <v>1.1797735498392243E-3</v>
      </c>
      <c r="AP1807" s="474">
        <v>1.5963854658163261E-3</v>
      </c>
      <c r="AQ1807" s="352"/>
      <c r="AR1807" s="352"/>
      <c r="AS1807" s="352"/>
      <c r="AT1807" s="352"/>
      <c r="AU1807" s="352"/>
      <c r="AV1807" s="352"/>
      <c r="AW1807" s="352" t="s">
        <v>254</v>
      </c>
    </row>
    <row r="1808" spans="2:49" x14ac:dyDescent="0.2">
      <c r="B1808" s="460" t="s">
        <v>2900</v>
      </c>
      <c r="C1808" s="460">
        <v>2141</v>
      </c>
      <c r="D1808" s="460" t="s">
        <v>2367</v>
      </c>
      <c r="E1808" s="460" t="s">
        <v>1137</v>
      </c>
      <c r="F1808" s="460">
        <v>2</v>
      </c>
      <c r="G1808" s="460">
        <v>4</v>
      </c>
      <c r="H1808" s="461" t="s">
        <v>748</v>
      </c>
      <c r="I1808" s="461" t="s">
        <v>765</v>
      </c>
      <c r="J1808" s="461" t="s">
        <v>700</v>
      </c>
      <c r="K1808" s="594"/>
      <c r="L1808" s="594"/>
      <c r="M1808" s="352">
        <v>2000</v>
      </c>
      <c r="N1808" s="352" t="s">
        <v>703</v>
      </c>
      <c r="O1808" s="460">
        <v>2141</v>
      </c>
      <c r="P1808" s="460" t="s">
        <v>1882</v>
      </c>
      <c r="Q1808" s="460" t="s">
        <v>2527</v>
      </c>
      <c r="R1808" s="460">
        <v>2121</v>
      </c>
      <c r="S1808" s="460" t="s">
        <v>1137</v>
      </c>
      <c r="T1808" s="462">
        <v>1</v>
      </c>
      <c r="U1808" s="460" t="s">
        <v>1137</v>
      </c>
      <c r="V1808" s="475">
        <v>0</v>
      </c>
      <c r="W1808" s="463" t="s">
        <v>2268</v>
      </c>
      <c r="X1808" s="463" t="s">
        <v>2268</v>
      </c>
      <c r="Y1808" s="479" t="s">
        <v>2503</v>
      </c>
      <c r="Z1808" s="479"/>
      <c r="AA1808" s="479"/>
      <c r="AB1808" s="464">
        <v>0</v>
      </c>
      <c r="AC1808" s="465">
        <v>0</v>
      </c>
      <c r="AD1808" s="465">
        <v>0</v>
      </c>
      <c r="AE1808" s="476">
        <v>0</v>
      </c>
      <c r="AF1808" s="467">
        <v>0</v>
      </c>
      <c r="AG1808" s="468">
        <v>0</v>
      </c>
      <c r="AH1808" s="218">
        <v>0</v>
      </c>
      <c r="AI1808" s="470">
        <v>0</v>
      </c>
      <c r="AJ1808" s="471">
        <v>0</v>
      </c>
      <c r="AK1808" s="218">
        <v>0</v>
      </c>
      <c r="AL1808" s="470">
        <v>0</v>
      </c>
      <c r="AM1808" s="471">
        <v>0</v>
      </c>
      <c r="AN1808" s="477">
        <v>6.2807995420127662</v>
      </c>
      <c r="AO1808" s="473">
        <v>8.73261794431778E-3</v>
      </c>
      <c r="AP1808" s="474">
        <v>6.0497357478828508E-3</v>
      </c>
      <c r="AQ1808" s="352"/>
      <c r="AR1808" s="352"/>
      <c r="AS1808" s="352"/>
      <c r="AT1808" s="352"/>
      <c r="AU1808" s="352"/>
      <c r="AV1808" s="352"/>
      <c r="AW1808" s="352" t="s">
        <v>254</v>
      </c>
    </row>
    <row r="1809" spans="2:49" x14ac:dyDescent="0.2">
      <c r="B1809" s="460" t="s">
        <v>2901</v>
      </c>
      <c r="C1809" s="460">
        <v>2141</v>
      </c>
      <c r="D1809" s="460" t="s">
        <v>2368</v>
      </c>
      <c r="E1809" s="460" t="s">
        <v>1138</v>
      </c>
      <c r="F1809" s="460">
        <v>3</v>
      </c>
      <c r="G1809" s="460">
        <v>4</v>
      </c>
      <c r="H1809" s="461" t="s">
        <v>748</v>
      </c>
      <c r="I1809" s="461" t="s">
        <v>765</v>
      </c>
      <c r="J1809" s="461" t="s">
        <v>700</v>
      </c>
      <c r="K1809" s="594"/>
      <c r="L1809" s="594"/>
      <c r="M1809" s="352">
        <v>2000</v>
      </c>
      <c r="N1809" s="352" t="s">
        <v>703</v>
      </c>
      <c r="O1809" s="460">
        <v>2141</v>
      </c>
      <c r="P1809" s="460" t="s">
        <v>1882</v>
      </c>
      <c r="Q1809" s="460" t="s">
        <v>2527</v>
      </c>
      <c r="R1809" s="460">
        <v>2121</v>
      </c>
      <c r="S1809" s="460" t="s">
        <v>1138</v>
      </c>
      <c r="T1809" s="462">
        <v>1</v>
      </c>
      <c r="U1809" s="460" t="s">
        <v>1138</v>
      </c>
      <c r="V1809" s="475">
        <v>0</v>
      </c>
      <c r="W1809" s="463" t="s">
        <v>2268</v>
      </c>
      <c r="X1809" s="463" t="s">
        <v>2268</v>
      </c>
      <c r="Y1809" s="463" t="s">
        <v>2267</v>
      </c>
      <c r="Z1809" s="463"/>
      <c r="AA1809" s="463"/>
      <c r="AB1809" s="464">
        <v>0</v>
      </c>
      <c r="AC1809" s="465">
        <v>0</v>
      </c>
      <c r="AD1809" s="465">
        <v>0</v>
      </c>
      <c r="AE1809" s="476">
        <v>0</v>
      </c>
      <c r="AF1809" s="467">
        <v>0</v>
      </c>
      <c r="AG1809" s="468">
        <v>0</v>
      </c>
      <c r="AH1809" s="218">
        <v>0</v>
      </c>
      <c r="AI1809" s="470">
        <v>0</v>
      </c>
      <c r="AJ1809" s="471">
        <v>0</v>
      </c>
      <c r="AK1809" s="218">
        <v>0</v>
      </c>
      <c r="AL1809" s="470">
        <v>0</v>
      </c>
      <c r="AM1809" s="471">
        <v>0</v>
      </c>
      <c r="AN1809" s="477">
        <v>173.72674152371661</v>
      </c>
      <c r="AO1809" s="473">
        <v>0.2611278453350192</v>
      </c>
      <c r="AP1809" s="474">
        <v>0.18025026677622569</v>
      </c>
      <c r="AQ1809" s="352"/>
      <c r="AR1809" s="352"/>
      <c r="AS1809" s="352"/>
      <c r="AT1809" s="352"/>
      <c r="AU1809" s="352"/>
      <c r="AV1809" s="352"/>
      <c r="AW1809" s="352" t="s">
        <v>254</v>
      </c>
    </row>
    <row r="1810" spans="2:49" x14ac:dyDescent="0.2">
      <c r="B1810" s="460" t="s">
        <v>2902</v>
      </c>
      <c r="C1810" s="460">
        <v>2141</v>
      </c>
      <c r="D1810" s="460" t="s">
        <v>2369</v>
      </c>
      <c r="E1810" s="460" t="s">
        <v>1139</v>
      </c>
      <c r="F1810" s="460">
        <v>4</v>
      </c>
      <c r="G1810" s="460">
        <v>4</v>
      </c>
      <c r="H1810" s="461" t="s">
        <v>748</v>
      </c>
      <c r="I1810" s="461" t="s">
        <v>765</v>
      </c>
      <c r="J1810" s="461" t="s">
        <v>700</v>
      </c>
      <c r="K1810" s="594"/>
      <c r="L1810" s="594"/>
      <c r="M1810" s="352">
        <v>2000</v>
      </c>
      <c r="N1810" s="352" t="s">
        <v>703</v>
      </c>
      <c r="O1810" s="460">
        <v>2141</v>
      </c>
      <c r="P1810" s="460" t="s">
        <v>1882</v>
      </c>
      <c r="Q1810" s="460" t="s">
        <v>2527</v>
      </c>
      <c r="R1810" s="460">
        <v>2121</v>
      </c>
      <c r="S1810" s="460" t="s">
        <v>1139</v>
      </c>
      <c r="T1810" s="462">
        <v>1</v>
      </c>
      <c r="U1810" s="460" t="s">
        <v>1139</v>
      </c>
      <c r="V1810" s="475">
        <v>0</v>
      </c>
      <c r="W1810" s="463" t="s">
        <v>2268</v>
      </c>
      <c r="X1810" s="463" t="s">
        <v>2268</v>
      </c>
      <c r="Y1810" s="463" t="s">
        <v>2267</v>
      </c>
      <c r="Z1810" s="463"/>
      <c r="AA1810" s="463"/>
      <c r="AB1810" s="464">
        <v>0</v>
      </c>
      <c r="AC1810" s="465">
        <v>0</v>
      </c>
      <c r="AD1810" s="465">
        <v>0</v>
      </c>
      <c r="AE1810" s="476">
        <v>0</v>
      </c>
      <c r="AF1810" s="467">
        <v>0</v>
      </c>
      <c r="AG1810" s="468">
        <v>0</v>
      </c>
      <c r="AH1810" s="218">
        <v>0</v>
      </c>
      <c r="AI1810" s="470">
        <v>0</v>
      </c>
      <c r="AJ1810" s="471">
        <v>0</v>
      </c>
      <c r="AK1810" s="218">
        <v>0</v>
      </c>
      <c r="AL1810" s="470">
        <v>0</v>
      </c>
      <c r="AM1810" s="471">
        <v>0</v>
      </c>
      <c r="AN1810" s="477">
        <v>0</v>
      </c>
      <c r="AO1810" s="473">
        <v>0</v>
      </c>
      <c r="AP1810" s="474">
        <v>0</v>
      </c>
      <c r="AQ1810" s="352"/>
      <c r="AR1810" s="352"/>
      <c r="AS1810" s="352"/>
      <c r="AT1810" s="352"/>
      <c r="AU1810" s="352"/>
      <c r="AV1810" s="352"/>
      <c r="AW1810" s="352" t="s">
        <v>254</v>
      </c>
    </row>
    <row r="1811" spans="2:49" x14ac:dyDescent="0.2">
      <c r="B1811" s="460" t="s">
        <v>2899</v>
      </c>
      <c r="C1811" s="460">
        <v>2141</v>
      </c>
      <c r="D1811" s="460" t="s">
        <v>2370</v>
      </c>
      <c r="E1811" s="460" t="s">
        <v>1136</v>
      </c>
      <c r="F1811" s="460">
        <v>1</v>
      </c>
      <c r="G1811" s="460">
        <v>4</v>
      </c>
      <c r="H1811" s="461" t="s">
        <v>752</v>
      </c>
      <c r="I1811" s="461" t="s">
        <v>964</v>
      </c>
      <c r="J1811" s="461" t="s">
        <v>752</v>
      </c>
      <c r="K1811" s="594"/>
      <c r="L1811" s="594"/>
      <c r="M1811" s="352">
        <v>2000</v>
      </c>
      <c r="N1811" s="352" t="s">
        <v>703</v>
      </c>
      <c r="O1811" s="460">
        <v>2141</v>
      </c>
      <c r="P1811" s="460" t="s">
        <v>1882</v>
      </c>
      <c r="Q1811" s="460" t="s">
        <v>2527</v>
      </c>
      <c r="R1811" s="460">
        <v>2121</v>
      </c>
      <c r="S1811" s="460" t="s">
        <v>1136</v>
      </c>
      <c r="T1811" s="462">
        <v>1</v>
      </c>
      <c r="U1811" s="460" t="s">
        <v>1136</v>
      </c>
      <c r="V1811" s="475">
        <v>0</v>
      </c>
      <c r="W1811" s="463" t="s">
        <v>2267</v>
      </c>
      <c r="X1811" s="463" t="s">
        <v>2267</v>
      </c>
      <c r="Y1811" s="463" t="s">
        <v>2267</v>
      </c>
      <c r="Z1811" s="463"/>
      <c r="AA1811" s="463"/>
      <c r="AB1811" s="464">
        <v>0.9646858889891966</v>
      </c>
      <c r="AC1811" s="465">
        <v>8.7593962130272959E-4</v>
      </c>
      <c r="AD1811" s="465">
        <v>3.1240227983474797E-4</v>
      </c>
      <c r="AE1811" s="476">
        <v>0.9646858889891966</v>
      </c>
      <c r="AF1811" s="467">
        <v>8.7593962130272959E-4</v>
      </c>
      <c r="AG1811" s="468">
        <v>3.1240227983474797E-4</v>
      </c>
      <c r="AH1811" s="218">
        <v>95.417130224599958</v>
      </c>
      <c r="AI1811" s="470">
        <v>8.663923238506635E-2</v>
      </c>
      <c r="AJ1811" s="471">
        <v>2.6086539343521974E-2</v>
      </c>
      <c r="AK1811" s="218">
        <v>95.417130224599958</v>
      </c>
      <c r="AL1811" s="470">
        <v>8.663923238506635E-2</v>
      </c>
      <c r="AM1811" s="471">
        <v>2.6086539343521974E-2</v>
      </c>
      <c r="AN1811" s="477">
        <v>95.417130224599958</v>
      </c>
      <c r="AO1811" s="473">
        <v>8.663923238506635E-2</v>
      </c>
      <c r="AP1811" s="474">
        <v>2.6086539343521974E-2</v>
      </c>
      <c r="AQ1811" s="352"/>
      <c r="AR1811" s="352"/>
      <c r="AS1811" s="352"/>
      <c r="AT1811" s="352"/>
      <c r="AU1811" s="352"/>
      <c r="AV1811" s="352"/>
      <c r="AW1811" s="352" t="s">
        <v>254</v>
      </c>
    </row>
    <row r="1812" spans="2:49" x14ac:dyDescent="0.2">
      <c r="B1812" s="460" t="s">
        <v>2900</v>
      </c>
      <c r="C1812" s="460">
        <v>2141</v>
      </c>
      <c r="D1812" s="460" t="s">
        <v>2371</v>
      </c>
      <c r="E1812" s="460" t="s">
        <v>1137</v>
      </c>
      <c r="F1812" s="460">
        <v>2</v>
      </c>
      <c r="G1812" s="460">
        <v>4</v>
      </c>
      <c r="H1812" s="461" t="s">
        <v>752</v>
      </c>
      <c r="I1812" s="461" t="s">
        <v>964</v>
      </c>
      <c r="J1812" s="461" t="s">
        <v>752</v>
      </c>
      <c r="K1812" s="594"/>
      <c r="L1812" s="594"/>
      <c r="M1812" s="352">
        <v>2000</v>
      </c>
      <c r="N1812" s="352" t="s">
        <v>703</v>
      </c>
      <c r="O1812" s="460">
        <v>2141</v>
      </c>
      <c r="P1812" s="460" t="s">
        <v>1882</v>
      </c>
      <c r="Q1812" s="460" t="s">
        <v>2527</v>
      </c>
      <c r="R1812" s="460">
        <v>2121</v>
      </c>
      <c r="S1812" s="460" t="s">
        <v>1137</v>
      </c>
      <c r="T1812" s="462">
        <v>1</v>
      </c>
      <c r="U1812" s="460" t="s">
        <v>1137</v>
      </c>
      <c r="V1812" s="475">
        <v>0</v>
      </c>
      <c r="W1812" s="479" t="s">
        <v>2267</v>
      </c>
      <c r="X1812" s="479" t="s">
        <v>2267</v>
      </c>
      <c r="Y1812" s="479" t="s">
        <v>2267</v>
      </c>
      <c r="Z1812" s="479"/>
      <c r="AA1812" s="479"/>
      <c r="AB1812" s="464">
        <v>1.2613788829678194</v>
      </c>
      <c r="AC1812" s="465">
        <v>1.7537798801421942E-3</v>
      </c>
      <c r="AD1812" s="465">
        <v>1.2342458702687201E-4</v>
      </c>
      <c r="AE1812" s="476">
        <v>1.2613788829678194</v>
      </c>
      <c r="AF1812" s="467">
        <v>1.7537798801421942E-3</v>
      </c>
      <c r="AG1812" s="468">
        <v>1.2342458702687201E-4</v>
      </c>
      <c r="AH1812" s="218">
        <v>8.1989253632975423</v>
      </c>
      <c r="AI1812" s="470">
        <v>1.1399517254567518E-2</v>
      </c>
      <c r="AJ1812" s="471">
        <v>7.9535824807776745E-4</v>
      </c>
      <c r="AK1812" s="218">
        <v>8.1989253632975423</v>
      </c>
      <c r="AL1812" s="470">
        <v>1.1399517254567518E-2</v>
      </c>
      <c r="AM1812" s="471">
        <v>7.9535824807776745E-4</v>
      </c>
      <c r="AN1812" s="477">
        <v>8.1989253632975423</v>
      </c>
      <c r="AO1812" s="473">
        <v>1.1399517254567518E-2</v>
      </c>
      <c r="AP1812" s="474">
        <v>7.9535824807776745E-4</v>
      </c>
      <c r="AQ1812" s="352"/>
      <c r="AR1812" s="352"/>
      <c r="AS1812" s="352"/>
      <c r="AT1812" s="352"/>
      <c r="AU1812" s="352"/>
      <c r="AV1812" s="352"/>
      <c r="AW1812" s="352" t="s">
        <v>254</v>
      </c>
    </row>
    <row r="1813" spans="2:49" x14ac:dyDescent="0.2">
      <c r="B1813" s="460" t="s">
        <v>2901</v>
      </c>
      <c r="C1813" s="460">
        <v>2141</v>
      </c>
      <c r="D1813" s="460" t="s">
        <v>2372</v>
      </c>
      <c r="E1813" s="460" t="s">
        <v>1138</v>
      </c>
      <c r="F1813" s="460">
        <v>3</v>
      </c>
      <c r="G1813" s="460">
        <v>4</v>
      </c>
      <c r="H1813" s="461" t="s">
        <v>752</v>
      </c>
      <c r="I1813" s="461" t="s">
        <v>964</v>
      </c>
      <c r="J1813" s="461" t="s">
        <v>752</v>
      </c>
      <c r="K1813" s="594"/>
      <c r="L1813" s="594"/>
      <c r="M1813" s="352">
        <v>2000</v>
      </c>
      <c r="N1813" s="352" t="s">
        <v>703</v>
      </c>
      <c r="O1813" s="460">
        <v>2141</v>
      </c>
      <c r="P1813" s="460" t="s">
        <v>1882</v>
      </c>
      <c r="Q1813" s="460" t="s">
        <v>2527</v>
      </c>
      <c r="R1813" s="460">
        <v>2121</v>
      </c>
      <c r="S1813" s="460" t="s">
        <v>1138</v>
      </c>
      <c r="T1813" s="462">
        <v>1</v>
      </c>
      <c r="U1813" s="460" t="s">
        <v>1138</v>
      </c>
      <c r="V1813" s="475">
        <v>0</v>
      </c>
      <c r="W1813" s="479" t="s">
        <v>2267</v>
      </c>
      <c r="X1813" s="479" t="s">
        <v>2267</v>
      </c>
      <c r="Y1813" s="479" t="s">
        <v>2267</v>
      </c>
      <c r="Z1813" s="479"/>
      <c r="AA1813" s="479"/>
      <c r="AB1813" s="464">
        <v>0.13866754417208951</v>
      </c>
      <c r="AC1813" s="465">
        <v>2.0843053124675726E-4</v>
      </c>
      <c r="AD1813" s="465">
        <v>2.3951135919207582E-5</v>
      </c>
      <c r="AE1813" s="476">
        <v>0.13866754417208951</v>
      </c>
      <c r="AF1813" s="467">
        <v>2.0843053124675726E-4</v>
      </c>
      <c r="AG1813" s="468">
        <v>2.3951135919207582E-5</v>
      </c>
      <c r="AH1813" s="218">
        <v>56.161088496252781</v>
      </c>
      <c r="AI1813" s="470">
        <v>8.4415467083942139E-2</v>
      </c>
      <c r="AJ1813" s="471">
        <v>9.3173016649917943E-3</v>
      </c>
      <c r="AK1813" s="218">
        <v>56.161088496252781</v>
      </c>
      <c r="AL1813" s="470">
        <v>8.4415467083942139E-2</v>
      </c>
      <c r="AM1813" s="471">
        <v>9.3173016649917943E-3</v>
      </c>
      <c r="AN1813" s="477">
        <v>56.161088496252781</v>
      </c>
      <c r="AO1813" s="473">
        <v>8.4415467083942139E-2</v>
      </c>
      <c r="AP1813" s="474">
        <v>9.3173016649917943E-3</v>
      </c>
      <c r="AQ1813" s="352"/>
      <c r="AR1813" s="352"/>
      <c r="AS1813" s="352"/>
      <c r="AT1813" s="352"/>
      <c r="AU1813" s="352"/>
      <c r="AV1813" s="352"/>
      <c r="AW1813" s="352" t="s">
        <v>254</v>
      </c>
    </row>
    <row r="1814" spans="2:49" x14ac:dyDescent="0.2">
      <c r="B1814" s="460" t="s">
        <v>2902</v>
      </c>
      <c r="C1814" s="460">
        <v>2141</v>
      </c>
      <c r="D1814" s="460" t="s">
        <v>2373</v>
      </c>
      <c r="E1814" s="460" t="s">
        <v>1139</v>
      </c>
      <c r="F1814" s="460">
        <v>4</v>
      </c>
      <c r="G1814" s="460">
        <v>4</v>
      </c>
      <c r="H1814" s="461" t="s">
        <v>752</v>
      </c>
      <c r="I1814" s="461" t="s">
        <v>964</v>
      </c>
      <c r="J1814" s="461" t="s">
        <v>752</v>
      </c>
      <c r="K1814" s="594"/>
      <c r="L1814" s="594"/>
      <c r="M1814" s="352">
        <v>2000</v>
      </c>
      <c r="N1814" s="352" t="s">
        <v>703</v>
      </c>
      <c r="O1814" s="460">
        <v>2141</v>
      </c>
      <c r="P1814" s="460" t="s">
        <v>1882</v>
      </c>
      <c r="Q1814" s="460" t="s">
        <v>2527</v>
      </c>
      <c r="R1814" s="460">
        <v>2121</v>
      </c>
      <c r="S1814" s="460" t="s">
        <v>1139</v>
      </c>
      <c r="T1814" s="462">
        <v>1</v>
      </c>
      <c r="U1814" s="460" t="s">
        <v>1139</v>
      </c>
      <c r="V1814" s="475">
        <v>0</v>
      </c>
      <c r="W1814" s="479" t="s">
        <v>2267</v>
      </c>
      <c r="X1814" s="479" t="s">
        <v>2267</v>
      </c>
      <c r="Y1814" s="479" t="s">
        <v>2267</v>
      </c>
      <c r="Z1814" s="479"/>
      <c r="AA1814" s="479"/>
      <c r="AB1814" s="464">
        <v>9.5266716759047956</v>
      </c>
      <c r="AC1814" s="465">
        <v>1.2635010507995099E-2</v>
      </c>
      <c r="AD1814" s="465">
        <v>3.798024198470446E-4</v>
      </c>
      <c r="AE1814" s="476">
        <v>9.5266716759047956</v>
      </c>
      <c r="AF1814" s="467">
        <v>1.2635010507995099E-2</v>
      </c>
      <c r="AG1814" s="468">
        <v>3.798024198470446E-4</v>
      </c>
      <c r="AH1814" s="218">
        <v>469.57388255614228</v>
      </c>
      <c r="AI1814" s="470">
        <v>0.62278528558752089</v>
      </c>
      <c r="AJ1814" s="471">
        <v>1.7401399206574391E-2</v>
      </c>
      <c r="AK1814" s="218">
        <v>469.57388255614228</v>
      </c>
      <c r="AL1814" s="470">
        <v>0.62278528558752089</v>
      </c>
      <c r="AM1814" s="471">
        <v>1.7401399206574391E-2</v>
      </c>
      <c r="AN1814" s="477">
        <v>469.57388255614228</v>
      </c>
      <c r="AO1814" s="473">
        <v>0.62278528558752089</v>
      </c>
      <c r="AP1814" s="474">
        <v>1.7401399206574391E-2</v>
      </c>
      <c r="AQ1814" s="352"/>
      <c r="AR1814" s="352"/>
      <c r="AS1814" s="352"/>
      <c r="AT1814" s="352"/>
      <c r="AU1814" s="352"/>
      <c r="AV1814" s="352"/>
      <c r="AW1814" s="352" t="s">
        <v>254</v>
      </c>
    </row>
    <row r="1815" spans="2:49" x14ac:dyDescent="0.2">
      <c r="B1815" s="460" t="s">
        <v>2903</v>
      </c>
      <c r="C1815" s="460">
        <v>2141</v>
      </c>
      <c r="D1815" s="460" t="s">
        <v>2375</v>
      </c>
      <c r="E1815" s="460" t="s">
        <v>2376</v>
      </c>
      <c r="F1815" s="460">
        <v>1</v>
      </c>
      <c r="G1815" s="460">
        <v>5</v>
      </c>
      <c r="H1815" s="461" t="s">
        <v>754</v>
      </c>
      <c r="I1815" s="461" t="s">
        <v>1991</v>
      </c>
      <c r="J1815" s="461" t="s">
        <v>754</v>
      </c>
      <c r="K1815" s="594"/>
      <c r="L1815" s="594"/>
      <c r="M1815" s="352">
        <v>2000</v>
      </c>
      <c r="N1815" s="352" t="s">
        <v>703</v>
      </c>
      <c r="O1815" s="460">
        <v>2141</v>
      </c>
      <c r="P1815" s="460" t="s">
        <v>1882</v>
      </c>
      <c r="Q1815" s="460" t="s">
        <v>2377</v>
      </c>
      <c r="R1815" s="460">
        <v>2121</v>
      </c>
      <c r="S1815" s="460" t="s">
        <v>2376</v>
      </c>
      <c r="T1815" s="462">
        <v>1</v>
      </c>
      <c r="U1815" s="460" t="s">
        <v>2376</v>
      </c>
      <c r="V1815" s="475">
        <v>0</v>
      </c>
      <c r="W1815" s="463" t="s">
        <v>2278</v>
      </c>
      <c r="X1815" s="463" t="s">
        <v>2278</v>
      </c>
      <c r="Y1815" s="463" t="s">
        <v>2278</v>
      </c>
      <c r="Z1815" s="463"/>
      <c r="AA1815" s="463"/>
      <c r="AB1815" s="464">
        <v>284.53854356879128</v>
      </c>
      <c r="AC1815" s="465">
        <v>1</v>
      </c>
      <c r="AD1815" s="465">
        <v>4.7833912194689539E-4</v>
      </c>
      <c r="AE1815" s="476">
        <v>284.53854356879128</v>
      </c>
      <c r="AF1815" s="467">
        <v>1</v>
      </c>
      <c r="AG1815" s="468">
        <v>4.7833912194689539E-4</v>
      </c>
      <c r="AH1815" s="218">
        <v>284.53854356879128</v>
      </c>
      <c r="AI1815" s="470">
        <v>1</v>
      </c>
      <c r="AJ1815" s="471">
        <v>4.7833912194689539E-4</v>
      </c>
      <c r="AK1815" s="218">
        <v>284.53854356879128</v>
      </c>
      <c r="AL1815" s="470">
        <v>1</v>
      </c>
      <c r="AM1815" s="471">
        <v>4.7833912194689539E-4</v>
      </c>
      <c r="AN1815" s="477">
        <v>284.53854356879128</v>
      </c>
      <c r="AO1815" s="473">
        <v>1</v>
      </c>
      <c r="AP1815" s="474">
        <v>4.7833912194689539E-4</v>
      </c>
      <c r="AQ1815" s="352"/>
      <c r="AR1815" s="352"/>
      <c r="AS1815" s="352"/>
      <c r="AT1815" s="352"/>
      <c r="AU1815" s="352"/>
      <c r="AV1815" s="352"/>
      <c r="AW1815" s="352" t="s">
        <v>127</v>
      </c>
    </row>
    <row r="1816" spans="2:49" x14ac:dyDescent="0.2">
      <c r="B1816" s="460" t="s">
        <v>2904</v>
      </c>
      <c r="C1816" s="460">
        <v>2141</v>
      </c>
      <c r="D1816" s="460" t="s">
        <v>2379</v>
      </c>
      <c r="E1816" s="460" t="s">
        <v>2380</v>
      </c>
      <c r="F1816" s="460">
        <v>2</v>
      </c>
      <c r="G1816" s="460">
        <v>5</v>
      </c>
      <c r="H1816" s="461" t="s">
        <v>754</v>
      </c>
      <c r="I1816" s="461" t="s">
        <v>1991</v>
      </c>
      <c r="J1816" s="461" t="s">
        <v>754</v>
      </c>
      <c r="K1816" s="594"/>
      <c r="L1816" s="594"/>
      <c r="M1816" s="352">
        <v>2000</v>
      </c>
      <c r="N1816" s="352" t="s">
        <v>703</v>
      </c>
      <c r="O1816" s="460">
        <v>2141</v>
      </c>
      <c r="P1816" s="460" t="s">
        <v>1882</v>
      </c>
      <c r="Q1816" s="460" t="s">
        <v>2377</v>
      </c>
      <c r="R1816" s="460">
        <v>2121</v>
      </c>
      <c r="S1816" s="460" t="s">
        <v>2380</v>
      </c>
      <c r="T1816" s="462">
        <v>1</v>
      </c>
      <c r="U1816" s="460" t="s">
        <v>2380</v>
      </c>
      <c r="V1816" s="475">
        <v>0</v>
      </c>
      <c r="W1816" s="463" t="s">
        <v>2278</v>
      </c>
      <c r="X1816" s="463" t="s">
        <v>2278</v>
      </c>
      <c r="Y1816" s="463" t="s">
        <v>2278</v>
      </c>
      <c r="Z1816" s="463"/>
      <c r="AA1816" s="463"/>
      <c r="AB1816" s="464">
        <v>250.77701356239209</v>
      </c>
      <c r="AC1816" s="465">
        <v>1</v>
      </c>
      <c r="AD1816" s="465">
        <v>4.9383102302874473E-4</v>
      </c>
      <c r="AE1816" s="476">
        <v>250.77701356239209</v>
      </c>
      <c r="AF1816" s="467">
        <v>1</v>
      </c>
      <c r="AG1816" s="468">
        <v>4.9383102302874473E-4</v>
      </c>
      <c r="AH1816" s="218">
        <v>250.77701356239209</v>
      </c>
      <c r="AI1816" s="470">
        <v>1</v>
      </c>
      <c r="AJ1816" s="471">
        <v>4.9383102302874473E-4</v>
      </c>
      <c r="AK1816" s="218">
        <v>250.77701356239209</v>
      </c>
      <c r="AL1816" s="470">
        <v>1</v>
      </c>
      <c r="AM1816" s="471">
        <v>4.9383102302874473E-4</v>
      </c>
      <c r="AN1816" s="477">
        <v>250.77701356239209</v>
      </c>
      <c r="AO1816" s="473">
        <v>1</v>
      </c>
      <c r="AP1816" s="474">
        <v>4.9383102302874473E-4</v>
      </c>
      <c r="AQ1816" s="352"/>
      <c r="AR1816" s="352"/>
      <c r="AS1816" s="352"/>
      <c r="AT1816" s="352"/>
      <c r="AU1816" s="352"/>
      <c r="AV1816" s="352"/>
      <c r="AW1816" s="352" t="s">
        <v>127</v>
      </c>
    </row>
    <row r="1817" spans="2:49" x14ac:dyDescent="0.2">
      <c r="B1817" s="460" t="s">
        <v>2905</v>
      </c>
      <c r="C1817" s="460">
        <v>2141</v>
      </c>
      <c r="D1817" s="460" t="s">
        <v>2382</v>
      </c>
      <c r="E1817" s="460" t="s">
        <v>2383</v>
      </c>
      <c r="F1817" s="460">
        <v>3</v>
      </c>
      <c r="G1817" s="460">
        <v>5</v>
      </c>
      <c r="H1817" s="461" t="s">
        <v>754</v>
      </c>
      <c r="I1817" s="461" t="s">
        <v>1991</v>
      </c>
      <c r="J1817" s="461" t="s">
        <v>754</v>
      </c>
      <c r="K1817" s="594"/>
      <c r="L1817" s="594"/>
      <c r="M1817" s="352">
        <v>2000</v>
      </c>
      <c r="N1817" s="352" t="s">
        <v>703</v>
      </c>
      <c r="O1817" s="460">
        <v>2141</v>
      </c>
      <c r="P1817" s="460" t="s">
        <v>1882</v>
      </c>
      <c r="Q1817" s="460" t="s">
        <v>2377</v>
      </c>
      <c r="R1817" s="460">
        <v>2121</v>
      </c>
      <c r="S1817" s="460" t="s">
        <v>2383</v>
      </c>
      <c r="T1817" s="462">
        <v>1</v>
      </c>
      <c r="U1817" s="460" t="s">
        <v>2383</v>
      </c>
      <c r="V1817" s="475">
        <v>0</v>
      </c>
      <c r="W1817" s="463" t="s">
        <v>2278</v>
      </c>
      <c r="X1817" s="463" t="s">
        <v>2278</v>
      </c>
      <c r="Y1817" s="463" t="s">
        <v>2278</v>
      </c>
      <c r="Z1817" s="463"/>
      <c r="AA1817" s="463"/>
      <c r="AB1817" s="464">
        <v>35.176502555645641</v>
      </c>
      <c r="AC1817" s="465">
        <v>1</v>
      </c>
      <c r="AD1817" s="465">
        <v>3.1267190530633341E-4</v>
      </c>
      <c r="AE1817" s="476">
        <v>35.176502555645641</v>
      </c>
      <c r="AF1817" s="467">
        <v>1</v>
      </c>
      <c r="AG1817" s="468">
        <v>3.1267190530633341E-4</v>
      </c>
      <c r="AH1817" s="218">
        <v>35.176502555645641</v>
      </c>
      <c r="AI1817" s="470">
        <v>1</v>
      </c>
      <c r="AJ1817" s="471">
        <v>3.1267190530633341E-4</v>
      </c>
      <c r="AK1817" s="218">
        <v>35.176502555645641</v>
      </c>
      <c r="AL1817" s="470">
        <v>1</v>
      </c>
      <c r="AM1817" s="471">
        <v>3.1267190530633341E-4</v>
      </c>
      <c r="AN1817" s="477">
        <v>35.176502555645641</v>
      </c>
      <c r="AO1817" s="473">
        <v>1</v>
      </c>
      <c r="AP1817" s="474">
        <v>3.1267190530633341E-4</v>
      </c>
      <c r="AQ1817" s="352"/>
      <c r="AR1817" s="352"/>
      <c r="AS1817" s="352"/>
      <c r="AT1817" s="352"/>
      <c r="AU1817" s="352"/>
      <c r="AV1817" s="352"/>
      <c r="AW1817" s="352" t="s">
        <v>127</v>
      </c>
    </row>
    <row r="1818" spans="2:49" x14ac:dyDescent="0.2">
      <c r="B1818" s="460" t="s">
        <v>2906</v>
      </c>
      <c r="C1818" s="460">
        <v>2141</v>
      </c>
      <c r="D1818" s="460" t="s">
        <v>2385</v>
      </c>
      <c r="E1818" s="460" t="s">
        <v>2386</v>
      </c>
      <c r="F1818" s="460">
        <v>4</v>
      </c>
      <c r="G1818" s="460">
        <v>5</v>
      </c>
      <c r="H1818" s="461" t="s">
        <v>754</v>
      </c>
      <c r="I1818" s="461" t="s">
        <v>1991</v>
      </c>
      <c r="J1818" s="461" t="s">
        <v>754</v>
      </c>
      <c r="K1818" s="594"/>
      <c r="L1818" s="594"/>
      <c r="M1818" s="352">
        <v>2000</v>
      </c>
      <c r="N1818" s="352" t="s">
        <v>703</v>
      </c>
      <c r="O1818" s="460">
        <v>2141</v>
      </c>
      <c r="P1818" s="460" t="s">
        <v>1882</v>
      </c>
      <c r="Q1818" s="460" t="s">
        <v>2377</v>
      </c>
      <c r="R1818" s="460">
        <v>2121</v>
      </c>
      <c r="S1818" s="460" t="s">
        <v>2386</v>
      </c>
      <c r="T1818" s="462">
        <v>1</v>
      </c>
      <c r="U1818" s="460" t="s">
        <v>2386</v>
      </c>
      <c r="V1818" s="475">
        <v>0</v>
      </c>
      <c r="W1818" s="463" t="s">
        <v>2278</v>
      </c>
      <c r="X1818" s="463" t="s">
        <v>2278</v>
      </c>
      <c r="Y1818" s="463" t="s">
        <v>2278</v>
      </c>
      <c r="Z1818" s="463"/>
      <c r="AA1818" s="463"/>
      <c r="AB1818" s="464">
        <v>26.246596913693722</v>
      </c>
      <c r="AC1818" s="465">
        <v>1</v>
      </c>
      <c r="AD1818" s="465">
        <v>4.8689372938013936E-4</v>
      </c>
      <c r="AE1818" s="476">
        <v>26.246596913693722</v>
      </c>
      <c r="AF1818" s="467">
        <v>1</v>
      </c>
      <c r="AG1818" s="468">
        <v>4.8689372938013936E-4</v>
      </c>
      <c r="AH1818" s="218">
        <v>26.246596913693722</v>
      </c>
      <c r="AI1818" s="470">
        <v>1</v>
      </c>
      <c r="AJ1818" s="471">
        <v>4.8689372938013936E-4</v>
      </c>
      <c r="AK1818" s="218">
        <v>26.246596913693722</v>
      </c>
      <c r="AL1818" s="470">
        <v>1</v>
      </c>
      <c r="AM1818" s="471">
        <v>4.8689372938013936E-4</v>
      </c>
      <c r="AN1818" s="477">
        <v>26.246596913693722</v>
      </c>
      <c r="AO1818" s="473">
        <v>1</v>
      </c>
      <c r="AP1818" s="474">
        <v>4.8689372938013936E-4</v>
      </c>
      <c r="AQ1818" s="352"/>
      <c r="AR1818" s="352"/>
      <c r="AS1818" s="352"/>
      <c r="AT1818" s="352"/>
      <c r="AU1818" s="352"/>
      <c r="AV1818" s="352"/>
      <c r="AW1818" s="352" t="s">
        <v>127</v>
      </c>
    </row>
    <row r="1819" spans="2:49" x14ac:dyDescent="0.2">
      <c r="B1819" s="460" t="s">
        <v>2907</v>
      </c>
      <c r="C1819" s="460">
        <v>2142</v>
      </c>
      <c r="D1819" s="460" t="s">
        <v>2264</v>
      </c>
      <c r="E1819" s="460" t="s">
        <v>2265</v>
      </c>
      <c r="F1819" s="460">
        <v>1</v>
      </c>
      <c r="G1819" s="460">
        <v>1</v>
      </c>
      <c r="H1819" s="461" t="s">
        <v>700</v>
      </c>
      <c r="I1819" s="461" t="s">
        <v>872</v>
      </c>
      <c r="J1819" s="461" t="s">
        <v>700</v>
      </c>
      <c r="K1819" s="594"/>
      <c r="L1819" s="594"/>
      <c r="M1819" s="352">
        <v>2000</v>
      </c>
      <c r="N1819" s="352" t="s">
        <v>703</v>
      </c>
      <c r="O1819" s="460">
        <v>2142</v>
      </c>
      <c r="P1819" s="460" t="s">
        <v>780</v>
      </c>
      <c r="Q1819" s="460" t="s">
        <v>2527</v>
      </c>
      <c r="R1819" s="460">
        <v>2121</v>
      </c>
      <c r="S1819" s="460" t="s">
        <v>2265</v>
      </c>
      <c r="T1819" s="462">
        <v>1</v>
      </c>
      <c r="U1819" s="460" t="s">
        <v>2265</v>
      </c>
      <c r="V1819" s="475">
        <v>0</v>
      </c>
      <c r="W1819" s="479" t="s">
        <v>2267</v>
      </c>
      <c r="X1819" s="479" t="s">
        <v>2267</v>
      </c>
      <c r="Y1819" s="463" t="s">
        <v>2268</v>
      </c>
      <c r="Z1819" s="463"/>
      <c r="AA1819" s="463"/>
      <c r="AB1819" s="464">
        <v>423.61837804324489</v>
      </c>
      <c r="AC1819" s="465">
        <v>0.31734972828241714</v>
      </c>
      <c r="AD1819" s="465">
        <v>3.9283975725944668E-3</v>
      </c>
      <c r="AE1819" s="476">
        <v>423.61837804324489</v>
      </c>
      <c r="AF1819" s="467">
        <v>0.31734972828241714</v>
      </c>
      <c r="AG1819" s="468">
        <v>4.1963507814089069E-3</v>
      </c>
      <c r="AH1819" s="218">
        <v>805.35497153506014</v>
      </c>
      <c r="AI1819" s="470">
        <v>0.60332411112119988</v>
      </c>
      <c r="AJ1819" s="471">
        <v>7.6793328246238567E-3</v>
      </c>
      <c r="AK1819" s="218">
        <v>805.35497153506014</v>
      </c>
      <c r="AL1819" s="470">
        <v>0.60332411112119988</v>
      </c>
      <c r="AM1819" s="471">
        <v>7.6793328246238567E-3</v>
      </c>
      <c r="AN1819" s="477">
        <v>0</v>
      </c>
      <c r="AO1819" s="473">
        <v>0</v>
      </c>
      <c r="AP1819" s="474">
        <v>0</v>
      </c>
      <c r="AQ1819" s="352"/>
      <c r="AR1819" s="352"/>
      <c r="AS1819" s="352"/>
      <c r="AT1819" s="352"/>
      <c r="AU1819" s="352"/>
      <c r="AV1819" s="352"/>
      <c r="AW1819" s="352" t="s">
        <v>254</v>
      </c>
    </row>
    <row r="1820" spans="2:49" x14ac:dyDescent="0.2">
      <c r="B1820" s="460" t="s">
        <v>2908</v>
      </c>
      <c r="C1820" s="460">
        <v>2142</v>
      </c>
      <c r="D1820" s="460" t="s">
        <v>2270</v>
      </c>
      <c r="E1820" s="460" t="s">
        <v>2271</v>
      </c>
      <c r="F1820" s="460">
        <v>2</v>
      </c>
      <c r="G1820" s="460">
        <v>1</v>
      </c>
      <c r="H1820" s="461" t="s">
        <v>700</v>
      </c>
      <c r="I1820" s="461" t="s">
        <v>872</v>
      </c>
      <c r="J1820" s="461" t="s">
        <v>700</v>
      </c>
      <c r="K1820" s="594"/>
      <c r="L1820" s="594"/>
      <c r="M1820" s="352">
        <v>2000</v>
      </c>
      <c r="N1820" s="352" t="s">
        <v>703</v>
      </c>
      <c r="O1820" s="460">
        <v>2142</v>
      </c>
      <c r="P1820" s="460" t="s">
        <v>780</v>
      </c>
      <c r="Q1820" s="460" t="s">
        <v>2527</v>
      </c>
      <c r="R1820" s="460">
        <v>2121</v>
      </c>
      <c r="S1820" s="460" t="s">
        <v>2265</v>
      </c>
      <c r="T1820" s="462">
        <v>1</v>
      </c>
      <c r="U1820" s="460" t="s">
        <v>2271</v>
      </c>
      <c r="V1820" s="475">
        <v>0</v>
      </c>
      <c r="W1820" s="479" t="s">
        <v>2503</v>
      </c>
      <c r="X1820" s="479" t="s">
        <v>2267</v>
      </c>
      <c r="Y1820" s="463" t="s">
        <v>2268</v>
      </c>
      <c r="Z1820" s="463"/>
      <c r="AA1820" s="463"/>
      <c r="AB1820" s="464">
        <v>273.26593979758832</v>
      </c>
      <c r="AC1820" s="465">
        <v>0.3097806986096831</v>
      </c>
      <c r="AD1820" s="465">
        <v>3.390353974276721E-3</v>
      </c>
      <c r="AE1820" s="476">
        <v>163.95956387855298</v>
      </c>
      <c r="AF1820" s="467">
        <v>0.18586841916580985</v>
      </c>
      <c r="AG1820" s="468">
        <v>2.2043971384932966E-3</v>
      </c>
      <c r="AH1820" s="218">
        <v>532.20852999563181</v>
      </c>
      <c r="AI1820" s="470">
        <v>0.60332411112119988</v>
      </c>
      <c r="AJ1820" s="471">
        <v>6.2834665088173144E-3</v>
      </c>
      <c r="AK1820" s="218">
        <v>532.20852999563181</v>
      </c>
      <c r="AL1820" s="470">
        <v>0.60332411112119988</v>
      </c>
      <c r="AM1820" s="471">
        <v>6.2834665088173144E-3</v>
      </c>
      <c r="AN1820" s="477">
        <v>0</v>
      </c>
      <c r="AO1820" s="473">
        <v>0</v>
      </c>
      <c r="AP1820" s="474">
        <v>0</v>
      </c>
      <c r="AQ1820" s="352"/>
      <c r="AR1820" s="352"/>
      <c r="AS1820" s="352"/>
      <c r="AT1820" s="352"/>
      <c r="AU1820" s="352"/>
      <c r="AV1820" s="352"/>
      <c r="AW1820" s="352" t="s">
        <v>254</v>
      </c>
    </row>
    <row r="1821" spans="2:49" x14ac:dyDescent="0.2">
      <c r="B1821" s="460" t="s">
        <v>2909</v>
      </c>
      <c r="C1821" s="460">
        <v>2142</v>
      </c>
      <c r="D1821" s="460" t="s">
        <v>2273</v>
      </c>
      <c r="E1821" s="460" t="s">
        <v>2274</v>
      </c>
      <c r="F1821" s="460">
        <v>3</v>
      </c>
      <c r="G1821" s="460">
        <v>1</v>
      </c>
      <c r="H1821" s="461" t="s">
        <v>700</v>
      </c>
      <c r="I1821" s="461" t="s">
        <v>872</v>
      </c>
      <c r="J1821" s="461" t="s">
        <v>700</v>
      </c>
      <c r="K1821" s="594"/>
      <c r="L1821" s="594"/>
      <c r="M1821" s="352">
        <v>2000</v>
      </c>
      <c r="N1821" s="352" t="s">
        <v>703</v>
      </c>
      <c r="O1821" s="460">
        <v>2142</v>
      </c>
      <c r="P1821" s="460" t="s">
        <v>780</v>
      </c>
      <c r="Q1821" s="460" t="s">
        <v>2527</v>
      </c>
      <c r="R1821" s="460">
        <v>2121</v>
      </c>
      <c r="S1821" s="460" t="s">
        <v>2265</v>
      </c>
      <c r="T1821" s="462">
        <v>0.74223365950407583</v>
      </c>
      <c r="U1821" s="460" t="s">
        <v>2274</v>
      </c>
      <c r="V1821" s="475">
        <v>0</v>
      </c>
      <c r="W1821" s="479" t="s">
        <v>2503</v>
      </c>
      <c r="X1821" s="479" t="s">
        <v>2267</v>
      </c>
      <c r="Y1821" s="463" t="s">
        <v>2268</v>
      </c>
      <c r="Z1821" s="463"/>
      <c r="AA1821" s="463"/>
      <c r="AB1821" s="464">
        <v>76.715910318762397</v>
      </c>
      <c r="AC1821" s="465">
        <v>4.2167698640007564E-2</v>
      </c>
      <c r="AD1821" s="465">
        <v>3.7951096704890524E-3</v>
      </c>
      <c r="AE1821" s="476">
        <v>46.029546191257438</v>
      </c>
      <c r="AF1821" s="467">
        <v>2.5300619184004537E-2</v>
      </c>
      <c r="AG1821" s="468">
        <v>2.4664585858705504E-3</v>
      </c>
      <c r="AH1821" s="218">
        <v>814.69841298367305</v>
      </c>
      <c r="AI1821" s="470">
        <v>0.44780746286453188</v>
      </c>
      <c r="AJ1821" s="471">
        <v>3.161362649663145E-2</v>
      </c>
      <c r="AK1821" s="218">
        <v>814.69841298367305</v>
      </c>
      <c r="AL1821" s="470">
        <v>0.44780746286453188</v>
      </c>
      <c r="AM1821" s="471">
        <v>3.161362649663145E-2</v>
      </c>
      <c r="AN1821" s="477">
        <v>0</v>
      </c>
      <c r="AO1821" s="473">
        <v>0</v>
      </c>
      <c r="AP1821" s="474">
        <v>0</v>
      </c>
      <c r="AQ1821" s="352"/>
      <c r="AR1821" s="352"/>
      <c r="AS1821" s="352"/>
      <c r="AT1821" s="352"/>
      <c r="AU1821" s="352"/>
      <c r="AV1821" s="352"/>
      <c r="AW1821" s="352" t="s">
        <v>254</v>
      </c>
    </row>
    <row r="1822" spans="2:49" x14ac:dyDescent="0.2">
      <c r="B1822" s="460" t="s">
        <v>2910</v>
      </c>
      <c r="C1822" s="460">
        <v>2142</v>
      </c>
      <c r="D1822" s="460" t="s">
        <v>2276</v>
      </c>
      <c r="E1822" s="460" t="s">
        <v>2277</v>
      </c>
      <c r="F1822" s="460">
        <v>4</v>
      </c>
      <c r="G1822" s="460">
        <v>1</v>
      </c>
      <c r="H1822" s="461" t="s">
        <v>700</v>
      </c>
      <c r="I1822" s="461" t="s">
        <v>872</v>
      </c>
      <c r="J1822" s="461" t="s">
        <v>700</v>
      </c>
      <c r="K1822" s="594"/>
      <c r="L1822" s="594"/>
      <c r="M1822" s="352">
        <v>2000</v>
      </c>
      <c r="N1822" s="352" t="s">
        <v>703</v>
      </c>
      <c r="O1822" s="460">
        <v>2142</v>
      </c>
      <c r="P1822" s="460" t="s">
        <v>780</v>
      </c>
      <c r="Q1822" s="460" t="s">
        <v>2527</v>
      </c>
      <c r="R1822" s="460">
        <v>2121</v>
      </c>
      <c r="S1822" s="460" t="s">
        <v>2277</v>
      </c>
      <c r="T1822" s="462">
        <v>1</v>
      </c>
      <c r="U1822" s="460" t="s">
        <v>2277</v>
      </c>
      <c r="V1822" s="475">
        <v>0</v>
      </c>
      <c r="W1822" s="463" t="s">
        <v>2503</v>
      </c>
      <c r="X1822" s="463" t="s">
        <v>2278</v>
      </c>
      <c r="Y1822" s="463" t="s">
        <v>2268</v>
      </c>
      <c r="Z1822" s="463"/>
      <c r="AA1822" s="463"/>
      <c r="AB1822" s="464">
        <v>0.79890794674494625</v>
      </c>
      <c r="AC1822" s="465">
        <v>3.9230073563320794E-4</v>
      </c>
      <c r="AD1822" s="465">
        <v>3.2245600114590451E-3</v>
      </c>
      <c r="AE1822" s="476">
        <v>0.47934476804696768</v>
      </c>
      <c r="AF1822" s="467">
        <v>2.3538044137992476E-4</v>
      </c>
      <c r="AG1822" s="468">
        <v>2.1629328705896635E-3</v>
      </c>
      <c r="AH1822" s="218">
        <v>0.79890794674494625</v>
      </c>
      <c r="AI1822" s="470">
        <v>3.9230073563320794E-4</v>
      </c>
      <c r="AJ1822" s="471">
        <v>3.455129218541555E-3</v>
      </c>
      <c r="AK1822" s="218">
        <v>0.79890794674494625</v>
      </c>
      <c r="AL1822" s="470">
        <v>3.9230073563320794E-4</v>
      </c>
      <c r="AM1822" s="471">
        <v>3.455129218541555E-3</v>
      </c>
      <c r="AN1822" s="477">
        <v>0</v>
      </c>
      <c r="AO1822" s="473">
        <v>0</v>
      </c>
      <c r="AP1822" s="474">
        <v>0</v>
      </c>
      <c r="AQ1822" s="352"/>
      <c r="AR1822" s="352"/>
      <c r="AS1822" s="352"/>
      <c r="AT1822" s="352"/>
      <c r="AU1822" s="352"/>
      <c r="AV1822" s="352"/>
      <c r="AW1822" s="352" t="s">
        <v>254</v>
      </c>
    </row>
    <row r="1823" spans="2:49" x14ac:dyDescent="0.2">
      <c r="B1823" s="460" t="s">
        <v>2907</v>
      </c>
      <c r="C1823" s="460">
        <v>2142</v>
      </c>
      <c r="D1823" s="460" t="s">
        <v>2279</v>
      </c>
      <c r="E1823" s="460" t="s">
        <v>2265</v>
      </c>
      <c r="F1823" s="460">
        <v>1</v>
      </c>
      <c r="G1823" s="460">
        <v>1</v>
      </c>
      <c r="H1823" s="461" t="s">
        <v>712</v>
      </c>
      <c r="I1823" s="461" t="s">
        <v>713</v>
      </c>
      <c r="J1823" s="461" t="s">
        <v>712</v>
      </c>
      <c r="K1823" s="594"/>
      <c r="L1823" s="594"/>
      <c r="M1823" s="352">
        <v>2000</v>
      </c>
      <c r="N1823" s="352" t="s">
        <v>703</v>
      </c>
      <c r="O1823" s="460">
        <v>2142</v>
      </c>
      <c r="P1823" s="460" t="s">
        <v>780</v>
      </c>
      <c r="Q1823" s="460" t="s">
        <v>2280</v>
      </c>
      <c r="R1823" s="460">
        <v>2121</v>
      </c>
      <c r="S1823" s="460" t="s">
        <v>2265</v>
      </c>
      <c r="T1823" s="462">
        <v>1</v>
      </c>
      <c r="U1823" s="460" t="s">
        <v>2265</v>
      </c>
      <c r="V1823" s="475">
        <v>0</v>
      </c>
      <c r="W1823" s="463" t="s">
        <v>713</v>
      </c>
      <c r="X1823" s="463" t="s">
        <v>713</v>
      </c>
      <c r="Y1823" s="463" t="s">
        <v>713</v>
      </c>
      <c r="Z1823" s="463"/>
      <c r="AA1823" s="463"/>
      <c r="AB1823" s="464">
        <v>911.24452017312501</v>
      </c>
      <c r="AC1823" s="465">
        <v>0.68265027171758275</v>
      </c>
      <c r="AD1823" s="465">
        <v>3.3662948465279299E-3</v>
      </c>
      <c r="AE1823" s="476">
        <v>911.24452017312512</v>
      </c>
      <c r="AF1823" s="467">
        <v>0.68265027171758286</v>
      </c>
      <c r="AG1823" s="468">
        <v>3.2827909039988166E-3</v>
      </c>
      <c r="AH1823" s="218">
        <v>529.50792668130987</v>
      </c>
      <c r="AI1823" s="470">
        <v>0.39667588887880012</v>
      </c>
      <c r="AJ1823" s="471">
        <v>1.9349226189816003E-3</v>
      </c>
      <c r="AK1823" s="218">
        <v>529.50792668130987</v>
      </c>
      <c r="AL1823" s="470">
        <v>0.39667588887880012</v>
      </c>
      <c r="AM1823" s="471">
        <v>1.9349226189816003E-3</v>
      </c>
      <c r="AN1823" s="477">
        <v>529.50792668130987</v>
      </c>
      <c r="AO1823" s="473">
        <v>0.39667588887880012</v>
      </c>
      <c r="AP1823" s="474">
        <v>1.9342921435898702E-3</v>
      </c>
      <c r="AQ1823" s="352"/>
      <c r="AR1823" s="352"/>
      <c r="AS1823" s="352"/>
      <c r="AT1823" s="352"/>
      <c r="AU1823" s="352"/>
      <c r="AV1823" s="352"/>
      <c r="AW1823" s="352" t="s">
        <v>254</v>
      </c>
    </row>
    <row r="1824" spans="2:49" x14ac:dyDescent="0.2">
      <c r="B1824" s="460" t="s">
        <v>2908</v>
      </c>
      <c r="C1824" s="460">
        <v>2142</v>
      </c>
      <c r="D1824" s="460" t="s">
        <v>2281</v>
      </c>
      <c r="E1824" s="460" t="s">
        <v>2271</v>
      </c>
      <c r="F1824" s="460">
        <v>2</v>
      </c>
      <c r="G1824" s="460">
        <v>1</v>
      </c>
      <c r="H1824" s="461" t="s">
        <v>712</v>
      </c>
      <c r="I1824" s="461" t="s">
        <v>713</v>
      </c>
      <c r="J1824" s="461" t="s">
        <v>712</v>
      </c>
      <c r="K1824" s="594"/>
      <c r="L1824" s="594"/>
      <c r="M1824" s="352">
        <v>2000</v>
      </c>
      <c r="N1824" s="352" t="s">
        <v>703</v>
      </c>
      <c r="O1824" s="460">
        <v>2142</v>
      </c>
      <c r="P1824" s="460" t="s">
        <v>780</v>
      </c>
      <c r="Q1824" s="460" t="s">
        <v>2280</v>
      </c>
      <c r="R1824" s="460">
        <v>2121</v>
      </c>
      <c r="S1824" s="460" t="s">
        <v>2265</v>
      </c>
      <c r="T1824" s="462">
        <v>1</v>
      </c>
      <c r="U1824" s="460" t="s">
        <v>2271</v>
      </c>
      <c r="V1824" s="475">
        <v>0</v>
      </c>
      <c r="W1824" s="463" t="s">
        <v>713</v>
      </c>
      <c r="X1824" s="463" t="s">
        <v>713</v>
      </c>
      <c r="Y1824" s="463" t="s">
        <v>713</v>
      </c>
      <c r="Z1824" s="463"/>
      <c r="AA1824" s="463"/>
      <c r="AB1824" s="464">
        <v>608.86112952604776</v>
      </c>
      <c r="AC1824" s="465">
        <v>0.69021930139031695</v>
      </c>
      <c r="AD1824" s="465">
        <v>2.5425557330579183E-3</v>
      </c>
      <c r="AE1824" s="476">
        <v>718.16750544508307</v>
      </c>
      <c r="AF1824" s="467">
        <v>0.81413158083419013</v>
      </c>
      <c r="AG1824" s="468">
        <v>2.9230547647164039E-3</v>
      </c>
      <c r="AH1824" s="218">
        <v>349.91853932800427</v>
      </c>
      <c r="AI1824" s="470">
        <v>0.39667588887880012</v>
      </c>
      <c r="AJ1824" s="471">
        <v>1.5033009553162733E-3</v>
      </c>
      <c r="AK1824" s="218">
        <v>349.91853932800427</v>
      </c>
      <c r="AL1824" s="470">
        <v>0.39667588887880012</v>
      </c>
      <c r="AM1824" s="471">
        <v>1.5033009553162733E-3</v>
      </c>
      <c r="AN1824" s="477">
        <v>349.91853932800427</v>
      </c>
      <c r="AO1824" s="473">
        <v>0.39667588887880012</v>
      </c>
      <c r="AP1824" s="474">
        <v>1.5027730970352991E-3</v>
      </c>
      <c r="AQ1824" s="352"/>
      <c r="AR1824" s="352"/>
      <c r="AS1824" s="352"/>
      <c r="AT1824" s="352"/>
      <c r="AU1824" s="352"/>
      <c r="AV1824" s="352"/>
      <c r="AW1824" s="352" t="s">
        <v>254</v>
      </c>
    </row>
    <row r="1825" spans="2:49" x14ac:dyDescent="0.2">
      <c r="B1825" s="460" t="s">
        <v>2909</v>
      </c>
      <c r="C1825" s="460">
        <v>2142</v>
      </c>
      <c r="D1825" s="460" t="s">
        <v>2282</v>
      </c>
      <c r="E1825" s="460" t="s">
        <v>2274</v>
      </c>
      <c r="F1825" s="460">
        <v>3</v>
      </c>
      <c r="G1825" s="460">
        <v>1</v>
      </c>
      <c r="H1825" s="461" t="s">
        <v>712</v>
      </c>
      <c r="I1825" s="461" t="s">
        <v>713</v>
      </c>
      <c r="J1825" s="461" t="s">
        <v>712</v>
      </c>
      <c r="K1825" s="594"/>
      <c r="L1825" s="594"/>
      <c r="M1825" s="352">
        <v>2000</v>
      </c>
      <c r="N1825" s="352" t="s">
        <v>703</v>
      </c>
      <c r="O1825" s="460">
        <v>2142</v>
      </c>
      <c r="P1825" s="460" t="s">
        <v>780</v>
      </c>
      <c r="Q1825" s="460" t="s">
        <v>2280</v>
      </c>
      <c r="R1825" s="460">
        <v>2121</v>
      </c>
      <c r="S1825" s="460" t="s">
        <v>2265</v>
      </c>
      <c r="T1825" s="462">
        <v>0.74223365950407583</v>
      </c>
      <c r="U1825" s="460" t="s">
        <v>2274</v>
      </c>
      <c r="V1825" s="475">
        <v>0</v>
      </c>
      <c r="W1825" s="463" t="s">
        <v>713</v>
      </c>
      <c r="X1825" s="463" t="s">
        <v>713</v>
      </c>
      <c r="Y1825" s="463" t="s">
        <v>713</v>
      </c>
      <c r="Z1825" s="463"/>
      <c r="AA1825" s="463"/>
      <c r="AB1825" s="464">
        <v>1742.589216425253</v>
      </c>
      <c r="AC1825" s="465">
        <v>0.95783230135999253</v>
      </c>
      <c r="AD1825" s="465">
        <v>1.042976669296841E-2</v>
      </c>
      <c r="AE1825" s="476">
        <v>1773.2755805527579</v>
      </c>
      <c r="AF1825" s="467">
        <v>0.9746993808159955</v>
      </c>
      <c r="AG1825" s="468">
        <v>1.0515736631365418E-2</v>
      </c>
      <c r="AH1825" s="218">
        <v>1004.6067137603422</v>
      </c>
      <c r="AI1825" s="470">
        <v>0.55219253713546812</v>
      </c>
      <c r="AJ1825" s="471">
        <v>6.3131200961855033E-3</v>
      </c>
      <c r="AK1825" s="218">
        <v>1004.6067137603422</v>
      </c>
      <c r="AL1825" s="470">
        <v>0.55219253713546812</v>
      </c>
      <c r="AM1825" s="471">
        <v>6.3131200961855033E-3</v>
      </c>
      <c r="AN1825" s="477">
        <v>1004.6067137603422</v>
      </c>
      <c r="AO1825" s="473">
        <v>0.55219253713546812</v>
      </c>
      <c r="AP1825" s="474">
        <v>6.3586629247240111E-3</v>
      </c>
      <c r="AQ1825" s="352"/>
      <c r="AR1825" s="352"/>
      <c r="AS1825" s="352"/>
      <c r="AT1825" s="352"/>
      <c r="AU1825" s="352"/>
      <c r="AV1825" s="352"/>
      <c r="AW1825" s="352" t="s">
        <v>254</v>
      </c>
    </row>
    <row r="1826" spans="2:49" x14ac:dyDescent="0.2">
      <c r="B1826" s="460" t="s">
        <v>2910</v>
      </c>
      <c r="C1826" s="460">
        <v>2142</v>
      </c>
      <c r="D1826" s="460" t="s">
        <v>2283</v>
      </c>
      <c r="E1826" s="460" t="s">
        <v>2277</v>
      </c>
      <c r="F1826" s="460">
        <v>4</v>
      </c>
      <c r="G1826" s="460">
        <v>1</v>
      </c>
      <c r="H1826" s="461" t="s">
        <v>712</v>
      </c>
      <c r="I1826" s="461" t="s">
        <v>713</v>
      </c>
      <c r="J1826" s="461" t="s">
        <v>712</v>
      </c>
      <c r="K1826" s="594"/>
      <c r="L1826" s="594"/>
      <c r="M1826" s="352">
        <v>2000</v>
      </c>
      <c r="N1826" s="352" t="s">
        <v>703</v>
      </c>
      <c r="O1826" s="460">
        <v>2142</v>
      </c>
      <c r="P1826" s="460" t="s">
        <v>780</v>
      </c>
      <c r="Q1826" s="460" t="s">
        <v>2280</v>
      </c>
      <c r="R1826" s="460">
        <v>2121</v>
      </c>
      <c r="S1826" s="460" t="s">
        <v>2277</v>
      </c>
      <c r="T1826" s="462">
        <v>1</v>
      </c>
      <c r="U1826" s="460" t="s">
        <v>2277</v>
      </c>
      <c r="V1826" s="475">
        <v>0</v>
      </c>
      <c r="W1826" s="463" t="s">
        <v>713</v>
      </c>
      <c r="X1826" s="463" t="s">
        <v>713</v>
      </c>
      <c r="Y1826" s="463" t="s">
        <v>713</v>
      </c>
      <c r="Z1826" s="463"/>
      <c r="AA1826" s="463"/>
      <c r="AB1826" s="464">
        <v>2035.6692252456091</v>
      </c>
      <c r="AC1826" s="465">
        <v>0.99960769926436677</v>
      </c>
      <c r="AD1826" s="465">
        <v>1.0571789833020076E-2</v>
      </c>
      <c r="AE1826" s="476">
        <v>2035.9887884243071</v>
      </c>
      <c r="AF1826" s="467">
        <v>0.99976461955862006</v>
      </c>
      <c r="AG1826" s="468">
        <v>1.0572014280081537E-2</v>
      </c>
      <c r="AH1826" s="218">
        <v>2035.6692252456091</v>
      </c>
      <c r="AI1826" s="470">
        <v>0.99960769926436677</v>
      </c>
      <c r="AJ1826" s="471">
        <v>1.057088218841337E-2</v>
      </c>
      <c r="AK1826" s="218">
        <v>2035.6692252456091</v>
      </c>
      <c r="AL1826" s="470">
        <v>0.99960769926436677</v>
      </c>
      <c r="AM1826" s="471">
        <v>1.057088218841337E-2</v>
      </c>
      <c r="AN1826" s="477">
        <v>2035.6692252456091</v>
      </c>
      <c r="AO1826" s="473">
        <v>0.99960769926436677</v>
      </c>
      <c r="AP1826" s="474">
        <v>1.0570934899208247E-2</v>
      </c>
      <c r="AQ1826" s="352"/>
      <c r="AR1826" s="352"/>
      <c r="AS1826" s="352"/>
      <c r="AT1826" s="352"/>
      <c r="AU1826" s="352"/>
      <c r="AV1826" s="352"/>
      <c r="AW1826" s="352" t="s">
        <v>254</v>
      </c>
    </row>
    <row r="1827" spans="2:49" x14ac:dyDescent="0.2">
      <c r="B1827" s="460" t="s">
        <v>2907</v>
      </c>
      <c r="C1827" s="460">
        <v>2142</v>
      </c>
      <c r="D1827" s="460" t="s">
        <v>2284</v>
      </c>
      <c r="E1827" s="460" t="s">
        <v>2265</v>
      </c>
      <c r="F1827" s="460">
        <v>1</v>
      </c>
      <c r="G1827" s="460">
        <v>1</v>
      </c>
      <c r="H1827" s="461" t="s">
        <v>746</v>
      </c>
      <c r="I1827" s="461" t="s">
        <v>762</v>
      </c>
      <c r="J1827" s="461" t="s">
        <v>700</v>
      </c>
      <c r="K1827" s="594"/>
      <c r="L1827" s="594"/>
      <c r="M1827" s="352">
        <v>2000</v>
      </c>
      <c r="N1827" s="352" t="s">
        <v>703</v>
      </c>
      <c r="O1827" s="460">
        <v>2142</v>
      </c>
      <c r="P1827" s="460" t="s">
        <v>780</v>
      </c>
      <c r="Q1827" s="460" t="s">
        <v>2531</v>
      </c>
      <c r="R1827" s="460">
        <v>2121</v>
      </c>
      <c r="S1827" s="460" t="s">
        <v>2265</v>
      </c>
      <c r="T1827" s="462">
        <v>1</v>
      </c>
      <c r="U1827" s="460" t="s">
        <v>2265</v>
      </c>
      <c r="V1827" s="475">
        <v>0</v>
      </c>
      <c r="W1827" s="463" t="s">
        <v>2268</v>
      </c>
      <c r="X1827" s="463" t="s">
        <v>2268</v>
      </c>
      <c r="Y1827" s="463" t="s">
        <v>2290</v>
      </c>
      <c r="Z1827" s="463"/>
      <c r="AA1827" s="463"/>
      <c r="AB1827" s="464">
        <v>0</v>
      </c>
      <c r="AC1827" s="465">
        <v>0</v>
      </c>
      <c r="AD1827" s="465">
        <v>0</v>
      </c>
      <c r="AE1827" s="476">
        <v>0</v>
      </c>
      <c r="AF1827" s="467">
        <v>0</v>
      </c>
      <c r="AG1827" s="468">
        <v>0</v>
      </c>
      <c r="AH1827" s="218">
        <v>0</v>
      </c>
      <c r="AI1827" s="470">
        <v>0</v>
      </c>
      <c r="AJ1827" s="471">
        <v>0</v>
      </c>
      <c r="AK1827" s="218">
        <v>0</v>
      </c>
      <c r="AL1827" s="470">
        <v>0</v>
      </c>
      <c r="AM1827" s="471">
        <v>0</v>
      </c>
      <c r="AN1827" s="477">
        <v>0</v>
      </c>
      <c r="AO1827" s="473">
        <v>0</v>
      </c>
      <c r="AP1827" s="474">
        <v>0</v>
      </c>
      <c r="AQ1827" s="352"/>
      <c r="AR1827" s="352"/>
      <c r="AS1827" s="352"/>
      <c r="AT1827" s="352"/>
      <c r="AU1827" s="352"/>
      <c r="AV1827" s="352"/>
      <c r="AW1827" s="352" t="s">
        <v>254</v>
      </c>
    </row>
    <row r="1828" spans="2:49" x14ac:dyDescent="0.2">
      <c r="B1828" s="460" t="s">
        <v>2908</v>
      </c>
      <c r="C1828" s="460">
        <v>2142</v>
      </c>
      <c r="D1828" s="460" t="s">
        <v>2285</v>
      </c>
      <c r="E1828" s="460" t="s">
        <v>2271</v>
      </c>
      <c r="F1828" s="460">
        <v>2</v>
      </c>
      <c r="G1828" s="460">
        <v>1</v>
      </c>
      <c r="H1828" s="461" t="s">
        <v>746</v>
      </c>
      <c r="I1828" s="461" t="s">
        <v>762</v>
      </c>
      <c r="J1828" s="461" t="s">
        <v>700</v>
      </c>
      <c r="K1828" s="594"/>
      <c r="L1828" s="594"/>
      <c r="M1828" s="352">
        <v>2000</v>
      </c>
      <c r="N1828" s="352" t="s">
        <v>703</v>
      </c>
      <c r="O1828" s="460">
        <v>2142</v>
      </c>
      <c r="P1828" s="460" t="s">
        <v>780</v>
      </c>
      <c r="Q1828" s="460" t="s">
        <v>2531</v>
      </c>
      <c r="R1828" s="460">
        <v>2121</v>
      </c>
      <c r="S1828" s="460" t="s">
        <v>2265</v>
      </c>
      <c r="T1828" s="462">
        <v>1</v>
      </c>
      <c r="U1828" s="460" t="s">
        <v>2271</v>
      </c>
      <c r="V1828" s="475">
        <v>0</v>
      </c>
      <c r="W1828" s="463" t="s">
        <v>2268</v>
      </c>
      <c r="X1828" s="463" t="s">
        <v>2268</v>
      </c>
      <c r="Y1828" s="463" t="s">
        <v>2290</v>
      </c>
      <c r="Z1828" s="463"/>
      <c r="AA1828" s="463"/>
      <c r="AB1828" s="464">
        <v>0</v>
      </c>
      <c r="AC1828" s="465">
        <v>0</v>
      </c>
      <c r="AD1828" s="465">
        <v>0</v>
      </c>
      <c r="AE1828" s="476">
        <v>0</v>
      </c>
      <c r="AF1828" s="467">
        <v>0</v>
      </c>
      <c r="AG1828" s="468">
        <v>0</v>
      </c>
      <c r="AH1828" s="218">
        <v>0</v>
      </c>
      <c r="AI1828" s="470">
        <v>0</v>
      </c>
      <c r="AJ1828" s="471">
        <v>0</v>
      </c>
      <c r="AK1828" s="218">
        <v>0</v>
      </c>
      <c r="AL1828" s="470">
        <v>0</v>
      </c>
      <c r="AM1828" s="471">
        <v>0</v>
      </c>
      <c r="AN1828" s="477">
        <v>0</v>
      </c>
      <c r="AO1828" s="473">
        <v>0</v>
      </c>
      <c r="AP1828" s="474">
        <v>0</v>
      </c>
      <c r="AQ1828" s="352"/>
      <c r="AR1828" s="352"/>
      <c r="AS1828" s="352"/>
      <c r="AT1828" s="352"/>
      <c r="AU1828" s="352"/>
      <c r="AV1828" s="352"/>
      <c r="AW1828" s="352" t="s">
        <v>254</v>
      </c>
    </row>
    <row r="1829" spans="2:49" x14ac:dyDescent="0.2">
      <c r="B1829" s="460" t="s">
        <v>2909</v>
      </c>
      <c r="C1829" s="460">
        <v>2142</v>
      </c>
      <c r="D1829" s="460" t="s">
        <v>2286</v>
      </c>
      <c r="E1829" s="460" t="s">
        <v>2274</v>
      </c>
      <c r="F1829" s="460">
        <v>3</v>
      </c>
      <c r="G1829" s="460">
        <v>1</v>
      </c>
      <c r="H1829" s="461" t="s">
        <v>746</v>
      </c>
      <c r="I1829" s="461" t="s">
        <v>762</v>
      </c>
      <c r="J1829" s="461" t="s">
        <v>700</v>
      </c>
      <c r="K1829" s="594"/>
      <c r="L1829" s="594"/>
      <c r="M1829" s="352">
        <v>2000</v>
      </c>
      <c r="N1829" s="352" t="s">
        <v>703</v>
      </c>
      <c r="O1829" s="460">
        <v>2142</v>
      </c>
      <c r="P1829" s="460" t="s">
        <v>780</v>
      </c>
      <c r="Q1829" s="460" t="s">
        <v>2531</v>
      </c>
      <c r="R1829" s="460">
        <v>2121</v>
      </c>
      <c r="S1829" s="460" t="s">
        <v>2265</v>
      </c>
      <c r="T1829" s="462">
        <v>0.74223365950407583</v>
      </c>
      <c r="U1829" s="460" t="s">
        <v>2274</v>
      </c>
      <c r="V1829" s="475">
        <v>0</v>
      </c>
      <c r="W1829" s="463" t="s">
        <v>2268</v>
      </c>
      <c r="X1829" s="463" t="s">
        <v>2268</v>
      </c>
      <c r="Y1829" s="463" t="s">
        <v>2290</v>
      </c>
      <c r="Z1829" s="463"/>
      <c r="AA1829" s="463"/>
      <c r="AB1829" s="464">
        <v>0</v>
      </c>
      <c r="AC1829" s="465">
        <v>0</v>
      </c>
      <c r="AD1829" s="465">
        <v>0</v>
      </c>
      <c r="AE1829" s="476">
        <v>0</v>
      </c>
      <c r="AF1829" s="467">
        <v>0</v>
      </c>
      <c r="AG1829" s="468">
        <v>0</v>
      </c>
      <c r="AH1829" s="218">
        <v>0</v>
      </c>
      <c r="AI1829" s="470">
        <v>0</v>
      </c>
      <c r="AJ1829" s="471">
        <v>0</v>
      </c>
      <c r="AK1829" s="218">
        <v>0</v>
      </c>
      <c r="AL1829" s="470">
        <v>0</v>
      </c>
      <c r="AM1829" s="471">
        <v>0</v>
      </c>
      <c r="AN1829" s="477">
        <v>0</v>
      </c>
      <c r="AO1829" s="473">
        <v>0</v>
      </c>
      <c r="AP1829" s="474">
        <v>0</v>
      </c>
      <c r="AQ1829" s="352"/>
      <c r="AR1829" s="352"/>
      <c r="AS1829" s="352"/>
      <c r="AT1829" s="352"/>
      <c r="AU1829" s="352"/>
      <c r="AV1829" s="352"/>
      <c r="AW1829" s="352" t="s">
        <v>254</v>
      </c>
    </row>
    <row r="1830" spans="2:49" x14ac:dyDescent="0.2">
      <c r="B1830" s="460" t="s">
        <v>2910</v>
      </c>
      <c r="C1830" s="460">
        <v>2142</v>
      </c>
      <c r="D1830" s="460" t="s">
        <v>2287</v>
      </c>
      <c r="E1830" s="460" t="s">
        <v>2277</v>
      </c>
      <c r="F1830" s="460">
        <v>4</v>
      </c>
      <c r="G1830" s="460">
        <v>1</v>
      </c>
      <c r="H1830" s="461" t="s">
        <v>746</v>
      </c>
      <c r="I1830" s="461" t="s">
        <v>762</v>
      </c>
      <c r="J1830" s="461" t="s">
        <v>700</v>
      </c>
      <c r="K1830" s="594"/>
      <c r="L1830" s="594"/>
      <c r="M1830" s="352">
        <v>2000</v>
      </c>
      <c r="N1830" s="352" t="s">
        <v>703</v>
      </c>
      <c r="O1830" s="460">
        <v>2142</v>
      </c>
      <c r="P1830" s="460" t="s">
        <v>780</v>
      </c>
      <c r="Q1830" s="460" t="s">
        <v>2531</v>
      </c>
      <c r="R1830" s="460">
        <v>2121</v>
      </c>
      <c r="S1830" s="460" t="s">
        <v>2277</v>
      </c>
      <c r="T1830" s="462">
        <v>1</v>
      </c>
      <c r="U1830" s="460" t="s">
        <v>2277</v>
      </c>
      <c r="V1830" s="475">
        <v>0</v>
      </c>
      <c r="W1830" s="463" t="s">
        <v>2268</v>
      </c>
      <c r="X1830" s="463" t="s">
        <v>2268</v>
      </c>
      <c r="Y1830" s="463" t="s">
        <v>2290</v>
      </c>
      <c r="Z1830" s="463"/>
      <c r="AA1830" s="463"/>
      <c r="AB1830" s="464">
        <v>0</v>
      </c>
      <c r="AC1830" s="465">
        <v>0</v>
      </c>
      <c r="AD1830" s="465">
        <v>0</v>
      </c>
      <c r="AE1830" s="476">
        <v>0</v>
      </c>
      <c r="AF1830" s="467">
        <v>0</v>
      </c>
      <c r="AG1830" s="468">
        <v>0</v>
      </c>
      <c r="AH1830" s="218">
        <v>0</v>
      </c>
      <c r="AI1830" s="470">
        <v>0</v>
      </c>
      <c r="AJ1830" s="471">
        <v>0</v>
      </c>
      <c r="AK1830" s="218">
        <v>0</v>
      </c>
      <c r="AL1830" s="470">
        <v>0</v>
      </c>
      <c r="AM1830" s="471">
        <v>0</v>
      </c>
      <c r="AN1830" s="477">
        <v>0</v>
      </c>
      <c r="AO1830" s="473">
        <v>0</v>
      </c>
      <c r="AP1830" s="474">
        <v>0</v>
      </c>
      <c r="AQ1830" s="352"/>
      <c r="AR1830" s="352"/>
      <c r="AS1830" s="352"/>
      <c r="AT1830" s="352"/>
      <c r="AU1830" s="352"/>
      <c r="AV1830" s="352"/>
      <c r="AW1830" s="352" t="s">
        <v>254</v>
      </c>
    </row>
    <row r="1831" spans="2:49" x14ac:dyDescent="0.2">
      <c r="B1831" s="460" t="s">
        <v>2907</v>
      </c>
      <c r="C1831" s="460">
        <v>2142</v>
      </c>
      <c r="D1831" s="460" t="s">
        <v>2288</v>
      </c>
      <c r="E1831" s="460" t="s">
        <v>2265</v>
      </c>
      <c r="F1831" s="460">
        <v>1</v>
      </c>
      <c r="G1831" s="460">
        <v>1</v>
      </c>
      <c r="H1831" s="461" t="s">
        <v>748</v>
      </c>
      <c r="I1831" s="461" t="s">
        <v>765</v>
      </c>
      <c r="J1831" s="461" t="s">
        <v>700</v>
      </c>
      <c r="K1831" s="594"/>
      <c r="L1831" s="594"/>
      <c r="M1831" s="352">
        <v>2000</v>
      </c>
      <c r="N1831" s="352" t="s">
        <v>703</v>
      </c>
      <c r="O1831" s="460">
        <v>2142</v>
      </c>
      <c r="P1831" s="460" t="s">
        <v>780</v>
      </c>
      <c r="Q1831" s="460" t="s">
        <v>2527</v>
      </c>
      <c r="R1831" s="460">
        <v>2121</v>
      </c>
      <c r="S1831" s="460" t="s">
        <v>2265</v>
      </c>
      <c r="T1831" s="462">
        <v>1</v>
      </c>
      <c r="U1831" s="460" t="s">
        <v>2265</v>
      </c>
      <c r="V1831" s="475">
        <v>0</v>
      </c>
      <c r="W1831" s="463" t="s">
        <v>2268</v>
      </c>
      <c r="X1831" s="463" t="s">
        <v>2268</v>
      </c>
      <c r="Y1831" s="479" t="s">
        <v>2267</v>
      </c>
      <c r="Z1831" s="479"/>
      <c r="AA1831" s="479"/>
      <c r="AB1831" s="464">
        <v>0</v>
      </c>
      <c r="AC1831" s="465">
        <v>0</v>
      </c>
      <c r="AD1831" s="465">
        <v>0</v>
      </c>
      <c r="AE1831" s="476">
        <v>0</v>
      </c>
      <c r="AF1831" s="467">
        <v>0</v>
      </c>
      <c r="AG1831" s="468">
        <v>0</v>
      </c>
      <c r="AH1831" s="218">
        <v>0</v>
      </c>
      <c r="AI1831" s="470">
        <v>0</v>
      </c>
      <c r="AJ1831" s="471">
        <v>0</v>
      </c>
      <c r="AK1831" s="218">
        <v>0</v>
      </c>
      <c r="AL1831" s="470">
        <v>0</v>
      </c>
      <c r="AM1831" s="471">
        <v>0</v>
      </c>
      <c r="AN1831" s="477">
        <v>805.35497153506014</v>
      </c>
      <c r="AO1831" s="473">
        <v>0.60332411112119988</v>
      </c>
      <c r="AP1831" s="474">
        <v>5.0013036683295625E-2</v>
      </c>
      <c r="AQ1831" s="352"/>
      <c r="AR1831" s="352"/>
      <c r="AS1831" s="352"/>
      <c r="AT1831" s="352"/>
      <c r="AU1831" s="352"/>
      <c r="AV1831" s="352"/>
      <c r="AW1831" s="352" t="s">
        <v>254</v>
      </c>
    </row>
    <row r="1832" spans="2:49" x14ac:dyDescent="0.2">
      <c r="B1832" s="460" t="s">
        <v>2908</v>
      </c>
      <c r="C1832" s="460">
        <v>2142</v>
      </c>
      <c r="D1832" s="460" t="s">
        <v>2291</v>
      </c>
      <c r="E1832" s="460" t="s">
        <v>2271</v>
      </c>
      <c r="F1832" s="460">
        <v>2</v>
      </c>
      <c r="G1832" s="460">
        <v>1</v>
      </c>
      <c r="H1832" s="461" t="s">
        <v>748</v>
      </c>
      <c r="I1832" s="461" t="s">
        <v>765</v>
      </c>
      <c r="J1832" s="461" t="s">
        <v>700</v>
      </c>
      <c r="K1832" s="594"/>
      <c r="L1832" s="594"/>
      <c r="M1832" s="352">
        <v>2000</v>
      </c>
      <c r="N1832" s="352" t="s">
        <v>703</v>
      </c>
      <c r="O1832" s="460">
        <v>2142</v>
      </c>
      <c r="P1832" s="460" t="s">
        <v>780</v>
      </c>
      <c r="Q1832" s="460" t="s">
        <v>2527</v>
      </c>
      <c r="R1832" s="460">
        <v>2121</v>
      </c>
      <c r="S1832" s="460" t="s">
        <v>2265</v>
      </c>
      <c r="T1832" s="462">
        <v>1</v>
      </c>
      <c r="U1832" s="460" t="s">
        <v>2271</v>
      </c>
      <c r="V1832" s="475">
        <v>0</v>
      </c>
      <c r="W1832" s="463" t="s">
        <v>2268</v>
      </c>
      <c r="X1832" s="463" t="s">
        <v>2268</v>
      </c>
      <c r="Y1832" s="479" t="s">
        <v>2267</v>
      </c>
      <c r="Z1832" s="479"/>
      <c r="AA1832" s="479"/>
      <c r="AB1832" s="464">
        <v>0</v>
      </c>
      <c r="AC1832" s="465">
        <v>0</v>
      </c>
      <c r="AD1832" s="465">
        <v>0</v>
      </c>
      <c r="AE1832" s="476">
        <v>0</v>
      </c>
      <c r="AF1832" s="467">
        <v>0</v>
      </c>
      <c r="AG1832" s="468">
        <v>0</v>
      </c>
      <c r="AH1832" s="218">
        <v>0</v>
      </c>
      <c r="AI1832" s="470">
        <v>0</v>
      </c>
      <c r="AJ1832" s="471">
        <v>0</v>
      </c>
      <c r="AK1832" s="218">
        <v>0</v>
      </c>
      <c r="AL1832" s="470">
        <v>0</v>
      </c>
      <c r="AM1832" s="471">
        <v>0</v>
      </c>
      <c r="AN1832" s="477">
        <v>532.20852999563181</v>
      </c>
      <c r="AO1832" s="473">
        <v>0.60332411112119988</v>
      </c>
      <c r="AP1832" s="474">
        <v>3.3850632497743831E-2</v>
      </c>
      <c r="AQ1832" s="352"/>
      <c r="AR1832" s="352"/>
      <c r="AS1832" s="352"/>
      <c r="AT1832" s="352"/>
      <c r="AU1832" s="352"/>
      <c r="AV1832" s="352"/>
      <c r="AW1832" s="352" t="s">
        <v>254</v>
      </c>
    </row>
    <row r="1833" spans="2:49" x14ac:dyDescent="0.2">
      <c r="B1833" s="460" t="s">
        <v>2909</v>
      </c>
      <c r="C1833" s="460">
        <v>2142</v>
      </c>
      <c r="D1833" s="460" t="s">
        <v>2292</v>
      </c>
      <c r="E1833" s="460" t="s">
        <v>2274</v>
      </c>
      <c r="F1833" s="460">
        <v>3</v>
      </c>
      <c r="G1833" s="460">
        <v>1</v>
      </c>
      <c r="H1833" s="461" t="s">
        <v>748</v>
      </c>
      <c r="I1833" s="461" t="s">
        <v>765</v>
      </c>
      <c r="J1833" s="461" t="s">
        <v>700</v>
      </c>
      <c r="K1833" s="594"/>
      <c r="L1833" s="594"/>
      <c r="M1833" s="352">
        <v>2000</v>
      </c>
      <c r="N1833" s="352" t="s">
        <v>703</v>
      </c>
      <c r="O1833" s="460">
        <v>2142</v>
      </c>
      <c r="P1833" s="460" t="s">
        <v>780</v>
      </c>
      <c r="Q1833" s="460" t="s">
        <v>2527</v>
      </c>
      <c r="R1833" s="460">
        <v>2121</v>
      </c>
      <c r="S1833" s="460" t="s">
        <v>2265</v>
      </c>
      <c r="T1833" s="462">
        <v>0.74223365950407583</v>
      </c>
      <c r="U1833" s="460" t="s">
        <v>2274</v>
      </c>
      <c r="V1833" s="475">
        <v>0</v>
      </c>
      <c r="W1833" s="463" t="s">
        <v>2268</v>
      </c>
      <c r="X1833" s="463" t="s">
        <v>2268</v>
      </c>
      <c r="Y1833" s="479" t="s">
        <v>2267</v>
      </c>
      <c r="Z1833" s="479"/>
      <c r="AA1833" s="479"/>
      <c r="AB1833" s="464">
        <v>0</v>
      </c>
      <c r="AC1833" s="465">
        <v>0</v>
      </c>
      <c r="AD1833" s="465">
        <v>0</v>
      </c>
      <c r="AE1833" s="476">
        <v>0</v>
      </c>
      <c r="AF1833" s="467">
        <v>0</v>
      </c>
      <c r="AG1833" s="468">
        <v>0</v>
      </c>
      <c r="AH1833" s="218">
        <v>0</v>
      </c>
      <c r="AI1833" s="470">
        <v>0</v>
      </c>
      <c r="AJ1833" s="471">
        <v>0</v>
      </c>
      <c r="AK1833" s="218">
        <v>0</v>
      </c>
      <c r="AL1833" s="470">
        <v>0</v>
      </c>
      <c r="AM1833" s="471">
        <v>0</v>
      </c>
      <c r="AN1833" s="477">
        <v>814.69841298367305</v>
      </c>
      <c r="AO1833" s="473">
        <v>0.44780746286453188</v>
      </c>
      <c r="AP1833" s="474">
        <v>0.11470692088707976</v>
      </c>
      <c r="AQ1833" s="352"/>
      <c r="AR1833" s="352"/>
      <c r="AS1833" s="352"/>
      <c r="AT1833" s="352"/>
      <c r="AU1833" s="352"/>
      <c r="AV1833" s="352"/>
      <c r="AW1833" s="352" t="s">
        <v>254</v>
      </c>
    </row>
    <row r="1834" spans="2:49" x14ac:dyDescent="0.2">
      <c r="B1834" s="460" t="s">
        <v>2910</v>
      </c>
      <c r="C1834" s="460">
        <v>2142</v>
      </c>
      <c r="D1834" s="460" t="s">
        <v>2293</v>
      </c>
      <c r="E1834" s="460" t="s">
        <v>2277</v>
      </c>
      <c r="F1834" s="460">
        <v>4</v>
      </c>
      <c r="G1834" s="460">
        <v>1</v>
      </c>
      <c r="H1834" s="461" t="s">
        <v>748</v>
      </c>
      <c r="I1834" s="461" t="s">
        <v>765</v>
      </c>
      <c r="J1834" s="461" t="s">
        <v>700</v>
      </c>
      <c r="K1834" s="594"/>
      <c r="L1834" s="594"/>
      <c r="M1834" s="352">
        <v>2000</v>
      </c>
      <c r="N1834" s="352" t="s">
        <v>703</v>
      </c>
      <c r="O1834" s="460">
        <v>2142</v>
      </c>
      <c r="P1834" s="460" t="s">
        <v>780</v>
      </c>
      <c r="Q1834" s="460" t="s">
        <v>2527</v>
      </c>
      <c r="R1834" s="460">
        <v>2121</v>
      </c>
      <c r="S1834" s="460" t="s">
        <v>2277</v>
      </c>
      <c r="T1834" s="462">
        <v>1</v>
      </c>
      <c r="U1834" s="460" t="s">
        <v>2277</v>
      </c>
      <c r="V1834" s="475">
        <v>0</v>
      </c>
      <c r="W1834" s="463" t="s">
        <v>2268</v>
      </c>
      <c r="X1834" s="463" t="s">
        <v>2268</v>
      </c>
      <c r="Y1834" s="463" t="s">
        <v>2278</v>
      </c>
      <c r="Z1834" s="463"/>
      <c r="AA1834" s="463"/>
      <c r="AB1834" s="464">
        <v>0</v>
      </c>
      <c r="AC1834" s="465">
        <v>0</v>
      </c>
      <c r="AD1834" s="465">
        <v>0</v>
      </c>
      <c r="AE1834" s="476">
        <v>0</v>
      </c>
      <c r="AF1834" s="467">
        <v>0</v>
      </c>
      <c r="AG1834" s="468">
        <v>0</v>
      </c>
      <c r="AH1834" s="218">
        <v>0</v>
      </c>
      <c r="AI1834" s="470">
        <v>0</v>
      </c>
      <c r="AJ1834" s="471">
        <v>0</v>
      </c>
      <c r="AK1834" s="218">
        <v>0</v>
      </c>
      <c r="AL1834" s="470">
        <v>0</v>
      </c>
      <c r="AM1834" s="471">
        <v>0</v>
      </c>
      <c r="AN1834" s="477">
        <v>0.79890794674494625</v>
      </c>
      <c r="AO1834" s="473">
        <v>3.9230073563320794E-4</v>
      </c>
      <c r="AP1834" s="474">
        <v>1.9290565760528091E-2</v>
      </c>
      <c r="AQ1834" s="352"/>
      <c r="AR1834" s="352"/>
      <c r="AS1834" s="352"/>
      <c r="AT1834" s="352"/>
      <c r="AU1834" s="352"/>
      <c r="AV1834" s="352"/>
      <c r="AW1834" s="352" t="s">
        <v>254</v>
      </c>
    </row>
    <row r="1835" spans="2:49" x14ac:dyDescent="0.2">
      <c r="B1835" s="460" t="s">
        <v>2911</v>
      </c>
      <c r="C1835" s="460">
        <v>2142</v>
      </c>
      <c r="D1835" s="460" t="s">
        <v>2295</v>
      </c>
      <c r="E1835" s="460" t="s">
        <v>2296</v>
      </c>
      <c r="F1835" s="460">
        <v>1</v>
      </c>
      <c r="G1835" s="460">
        <v>2</v>
      </c>
      <c r="H1835" s="461" t="s">
        <v>700</v>
      </c>
      <c r="I1835" s="461" t="s">
        <v>872</v>
      </c>
      <c r="J1835" s="461" t="s">
        <v>700</v>
      </c>
      <c r="K1835" s="594"/>
      <c r="L1835" s="594"/>
      <c r="M1835" s="352">
        <v>2000</v>
      </c>
      <c r="N1835" s="352" t="s">
        <v>703</v>
      </c>
      <c r="O1835" s="460">
        <v>2142</v>
      </c>
      <c r="P1835" s="460" t="s">
        <v>780</v>
      </c>
      <c r="Q1835" s="460" t="s">
        <v>2527</v>
      </c>
      <c r="R1835" s="460">
        <v>2121</v>
      </c>
      <c r="S1835" s="460" t="s">
        <v>2296</v>
      </c>
      <c r="T1835" s="462">
        <v>1</v>
      </c>
      <c r="U1835" s="460" t="s">
        <v>2296</v>
      </c>
      <c r="V1835" s="475">
        <v>0</v>
      </c>
      <c r="W1835" s="479" t="s">
        <v>2503</v>
      </c>
      <c r="X1835" s="479" t="s">
        <v>2267</v>
      </c>
      <c r="Y1835" s="463" t="s">
        <v>2268</v>
      </c>
      <c r="Z1835" s="463"/>
      <c r="AA1835" s="463"/>
      <c r="AB1835" s="464">
        <v>16.422492933233869</v>
      </c>
      <c r="AC1835" s="465">
        <v>1.0364730094297659E-2</v>
      </c>
      <c r="AD1835" s="465">
        <v>9.5929900594908448E-4</v>
      </c>
      <c r="AE1835" s="476">
        <v>9.853495759940321</v>
      </c>
      <c r="AF1835" s="467">
        <v>6.2188380565785951E-3</v>
      </c>
      <c r="AG1835" s="468">
        <v>6.3978786131582374E-4</v>
      </c>
      <c r="AH1835" s="218">
        <v>505.27507096802037</v>
      </c>
      <c r="AI1835" s="470">
        <v>0.31889432105417648</v>
      </c>
      <c r="AJ1835" s="471">
        <v>3.0141347304625345E-2</v>
      </c>
      <c r="AK1835" s="218">
        <v>505.27507096802037</v>
      </c>
      <c r="AL1835" s="470">
        <v>0.31889432105417648</v>
      </c>
      <c r="AM1835" s="471">
        <v>3.0141347304625345E-2</v>
      </c>
      <c r="AN1835" s="477">
        <v>0</v>
      </c>
      <c r="AO1835" s="473">
        <v>0</v>
      </c>
      <c r="AP1835" s="474">
        <v>0</v>
      </c>
      <c r="AQ1835" s="352"/>
      <c r="AR1835" s="352"/>
      <c r="AS1835" s="352"/>
      <c r="AT1835" s="352"/>
      <c r="AU1835" s="352"/>
      <c r="AV1835" s="352"/>
      <c r="AW1835" s="352" t="s">
        <v>254</v>
      </c>
    </row>
    <row r="1836" spans="2:49" x14ac:dyDescent="0.2">
      <c r="B1836" s="460" t="s">
        <v>2912</v>
      </c>
      <c r="C1836" s="460">
        <v>2142</v>
      </c>
      <c r="D1836" s="460" t="s">
        <v>2298</v>
      </c>
      <c r="E1836" s="460" t="s">
        <v>2299</v>
      </c>
      <c r="F1836" s="460">
        <v>2</v>
      </c>
      <c r="G1836" s="460">
        <v>2</v>
      </c>
      <c r="H1836" s="461" t="s">
        <v>700</v>
      </c>
      <c r="I1836" s="461" t="s">
        <v>872</v>
      </c>
      <c r="J1836" s="461" t="s">
        <v>700</v>
      </c>
      <c r="K1836" s="594"/>
      <c r="L1836" s="594"/>
      <c r="M1836" s="352">
        <v>2000</v>
      </c>
      <c r="N1836" s="352" t="s">
        <v>703</v>
      </c>
      <c r="O1836" s="460">
        <v>2142</v>
      </c>
      <c r="P1836" s="460" t="s">
        <v>780</v>
      </c>
      <c r="Q1836" s="460" t="s">
        <v>2527</v>
      </c>
      <c r="R1836" s="460">
        <v>2121</v>
      </c>
      <c r="S1836" s="460" t="s">
        <v>2296</v>
      </c>
      <c r="T1836" s="462">
        <v>0.55517361979372948</v>
      </c>
      <c r="U1836" s="460" t="s">
        <v>2299</v>
      </c>
      <c r="V1836" s="475">
        <v>0</v>
      </c>
      <c r="W1836" s="479" t="s">
        <v>2503</v>
      </c>
      <c r="X1836" s="479" t="s">
        <v>2267</v>
      </c>
      <c r="Y1836" s="463" t="s">
        <v>2268</v>
      </c>
      <c r="Z1836" s="463"/>
      <c r="AA1836" s="463"/>
      <c r="AB1836" s="464">
        <v>2.679997979731414</v>
      </c>
      <c r="AC1836" s="465">
        <v>3.2777652042809999E-3</v>
      </c>
      <c r="AD1836" s="465">
        <v>8.1091227119355893E-4</v>
      </c>
      <c r="AE1836" s="476">
        <v>1.6079987878388482</v>
      </c>
      <c r="AF1836" s="467">
        <v>1.9666591225685997E-3</v>
      </c>
      <c r="AG1836" s="468">
        <v>5.4600005904039794E-4</v>
      </c>
      <c r="AH1836" s="218">
        <v>144.75455310404925</v>
      </c>
      <c r="AI1836" s="470">
        <v>0.17704171455131087</v>
      </c>
      <c r="AJ1836" s="471">
        <v>3.4087899212207673E-2</v>
      </c>
      <c r="AK1836" s="218">
        <v>144.75455310404925</v>
      </c>
      <c r="AL1836" s="470">
        <v>0.17704171455131087</v>
      </c>
      <c r="AM1836" s="471">
        <v>3.4087899212207673E-2</v>
      </c>
      <c r="AN1836" s="477">
        <v>0</v>
      </c>
      <c r="AO1836" s="473">
        <v>0</v>
      </c>
      <c r="AP1836" s="474">
        <v>0</v>
      </c>
      <c r="AQ1836" s="352"/>
      <c r="AR1836" s="352"/>
      <c r="AS1836" s="352"/>
      <c r="AT1836" s="352"/>
      <c r="AU1836" s="352"/>
      <c r="AV1836" s="352"/>
      <c r="AW1836" s="352" t="s">
        <v>254</v>
      </c>
    </row>
    <row r="1837" spans="2:49" x14ac:dyDescent="0.2">
      <c r="B1837" s="460" t="s">
        <v>2913</v>
      </c>
      <c r="C1837" s="460">
        <v>2142</v>
      </c>
      <c r="D1837" s="460" t="s">
        <v>2301</v>
      </c>
      <c r="E1837" s="460" t="s">
        <v>2302</v>
      </c>
      <c r="F1837" s="460">
        <v>3</v>
      </c>
      <c r="G1837" s="460">
        <v>2</v>
      </c>
      <c r="H1837" s="461" t="s">
        <v>700</v>
      </c>
      <c r="I1837" s="461" t="s">
        <v>872</v>
      </c>
      <c r="J1837" s="461" t="s">
        <v>700</v>
      </c>
      <c r="K1837" s="594"/>
      <c r="L1837" s="594"/>
      <c r="M1837" s="352">
        <v>2000</v>
      </c>
      <c r="N1837" s="352" t="s">
        <v>703</v>
      </c>
      <c r="O1837" s="460">
        <v>2142</v>
      </c>
      <c r="P1837" s="460" t="s">
        <v>780</v>
      </c>
      <c r="Q1837" s="460" t="s">
        <v>2527</v>
      </c>
      <c r="R1837" s="460">
        <v>2121</v>
      </c>
      <c r="S1837" s="460" t="s">
        <v>2296</v>
      </c>
      <c r="T1837" s="462">
        <v>0.28481449642268464</v>
      </c>
      <c r="U1837" s="460" t="s">
        <v>2302</v>
      </c>
      <c r="V1837" s="475">
        <v>0</v>
      </c>
      <c r="W1837" s="479" t="s">
        <v>2503</v>
      </c>
      <c r="X1837" s="479" t="s">
        <v>2267</v>
      </c>
      <c r="Y1837" s="463" t="s">
        <v>2268</v>
      </c>
      <c r="Z1837" s="463"/>
      <c r="AA1837" s="463"/>
      <c r="AB1837" s="464">
        <v>0.16792148769979481</v>
      </c>
      <c r="AC1837" s="465">
        <v>5.3316683754098704E-4</v>
      </c>
      <c r="AD1837" s="465">
        <v>3.266304428140271E-4</v>
      </c>
      <c r="AE1837" s="476">
        <v>0.10075289261987688</v>
      </c>
      <c r="AF1837" s="467">
        <v>3.1990010252459219E-4</v>
      </c>
      <c r="AG1837" s="468">
        <v>2.2114941376747915E-4</v>
      </c>
      <c r="AH1837" s="218">
        <v>28.605663119481417</v>
      </c>
      <c r="AI1837" s="470">
        <v>9.0825725463099194E-2</v>
      </c>
      <c r="AJ1837" s="471">
        <v>2.9696080171452217E-2</v>
      </c>
      <c r="AK1837" s="218">
        <v>28.605663119481417</v>
      </c>
      <c r="AL1837" s="470">
        <v>9.0825725463099194E-2</v>
      </c>
      <c r="AM1837" s="471">
        <v>2.9696080171452217E-2</v>
      </c>
      <c r="AN1837" s="477">
        <v>0</v>
      </c>
      <c r="AO1837" s="473">
        <v>0</v>
      </c>
      <c r="AP1837" s="474">
        <v>0</v>
      </c>
      <c r="AQ1837" s="352"/>
      <c r="AR1837" s="352"/>
      <c r="AS1837" s="352"/>
      <c r="AT1837" s="352"/>
      <c r="AU1837" s="352"/>
      <c r="AV1837" s="352"/>
      <c r="AW1837" s="352" t="s">
        <v>254</v>
      </c>
    </row>
    <row r="1838" spans="2:49" x14ac:dyDescent="0.2">
      <c r="B1838" s="460" t="s">
        <v>2914</v>
      </c>
      <c r="C1838" s="460">
        <v>2142</v>
      </c>
      <c r="D1838" s="460" t="s">
        <v>2304</v>
      </c>
      <c r="E1838" s="460" t="s">
        <v>2305</v>
      </c>
      <c r="F1838" s="460">
        <v>4</v>
      </c>
      <c r="G1838" s="460">
        <v>2</v>
      </c>
      <c r="H1838" s="461" t="s">
        <v>700</v>
      </c>
      <c r="I1838" s="461" t="s">
        <v>872</v>
      </c>
      <c r="J1838" s="461" t="s">
        <v>700</v>
      </c>
      <c r="K1838" s="594"/>
      <c r="L1838" s="594"/>
      <c r="M1838" s="352">
        <v>2000</v>
      </c>
      <c r="N1838" s="352" t="s">
        <v>703</v>
      </c>
      <c r="O1838" s="460">
        <v>2142</v>
      </c>
      <c r="P1838" s="460" t="s">
        <v>780</v>
      </c>
      <c r="Q1838" s="460" t="s">
        <v>2527</v>
      </c>
      <c r="R1838" s="460">
        <v>2121</v>
      </c>
      <c r="S1838" s="460" t="s">
        <v>2305</v>
      </c>
      <c r="T1838" s="462">
        <v>1</v>
      </c>
      <c r="U1838" s="460" t="s">
        <v>2305</v>
      </c>
      <c r="V1838" s="475">
        <v>0</v>
      </c>
      <c r="W1838" s="463" t="s">
        <v>2503</v>
      </c>
      <c r="X1838" s="463" t="s">
        <v>2278</v>
      </c>
      <c r="Y1838" s="463" t="s">
        <v>2268</v>
      </c>
      <c r="Z1838" s="463"/>
      <c r="AA1838" s="463"/>
      <c r="AB1838" s="464">
        <v>0</v>
      </c>
      <c r="AC1838" s="465">
        <v>0</v>
      </c>
      <c r="AD1838" s="465">
        <v>0</v>
      </c>
      <c r="AE1838" s="476">
        <v>0</v>
      </c>
      <c r="AF1838" s="467">
        <v>0</v>
      </c>
      <c r="AG1838" s="468">
        <v>0</v>
      </c>
      <c r="AH1838" s="218">
        <v>0</v>
      </c>
      <c r="AI1838" s="470">
        <v>0</v>
      </c>
      <c r="AJ1838" s="471">
        <v>0</v>
      </c>
      <c r="AK1838" s="218">
        <v>0</v>
      </c>
      <c r="AL1838" s="470">
        <v>0</v>
      </c>
      <c r="AM1838" s="471">
        <v>0</v>
      </c>
      <c r="AN1838" s="477">
        <v>0</v>
      </c>
      <c r="AO1838" s="473">
        <v>0</v>
      </c>
      <c r="AP1838" s="474">
        <v>0</v>
      </c>
      <c r="AQ1838" s="352"/>
      <c r="AR1838" s="352"/>
      <c r="AS1838" s="352"/>
      <c r="AT1838" s="352"/>
      <c r="AU1838" s="352"/>
      <c r="AV1838" s="352"/>
      <c r="AW1838" s="352" t="s">
        <v>254</v>
      </c>
    </row>
    <row r="1839" spans="2:49" x14ac:dyDescent="0.2">
      <c r="B1839" s="460" t="s">
        <v>2911</v>
      </c>
      <c r="C1839" s="460">
        <v>2142</v>
      </c>
      <c r="D1839" s="460" t="s">
        <v>2306</v>
      </c>
      <c r="E1839" s="460" t="s">
        <v>2296</v>
      </c>
      <c r="F1839" s="460">
        <v>1</v>
      </c>
      <c r="G1839" s="460">
        <v>2</v>
      </c>
      <c r="H1839" s="461" t="s">
        <v>712</v>
      </c>
      <c r="I1839" s="461" t="s">
        <v>713</v>
      </c>
      <c r="J1839" s="461" t="s">
        <v>712</v>
      </c>
      <c r="K1839" s="594"/>
      <c r="L1839" s="594"/>
      <c r="M1839" s="352">
        <v>2000</v>
      </c>
      <c r="N1839" s="352" t="s">
        <v>703</v>
      </c>
      <c r="O1839" s="460">
        <v>2142</v>
      </c>
      <c r="P1839" s="460" t="s">
        <v>780</v>
      </c>
      <c r="Q1839" s="460" t="s">
        <v>2280</v>
      </c>
      <c r="R1839" s="460">
        <v>2121</v>
      </c>
      <c r="S1839" s="460" t="s">
        <v>2296</v>
      </c>
      <c r="T1839" s="462">
        <v>1</v>
      </c>
      <c r="U1839" s="460" t="s">
        <v>2296</v>
      </c>
      <c r="V1839" s="475">
        <v>0</v>
      </c>
      <c r="W1839" s="463" t="s">
        <v>713</v>
      </c>
      <c r="X1839" s="463" t="s">
        <v>713</v>
      </c>
      <c r="Y1839" s="463" t="s">
        <v>713</v>
      </c>
      <c r="Z1839" s="463"/>
      <c r="AA1839" s="463"/>
      <c r="AB1839" s="464">
        <v>1568.0368015995778</v>
      </c>
      <c r="AC1839" s="465">
        <v>0.98963526990570239</v>
      </c>
      <c r="AD1839" s="465">
        <v>1.356191404166095E-2</v>
      </c>
      <c r="AE1839" s="476">
        <v>1574.6057987728711</v>
      </c>
      <c r="AF1839" s="467">
        <v>0.99378116194342137</v>
      </c>
      <c r="AG1839" s="468">
        <v>1.3419323844343342E-2</v>
      </c>
      <c r="AH1839" s="218">
        <v>1079.1842235647912</v>
      </c>
      <c r="AI1839" s="470">
        <v>0.68110567894582352</v>
      </c>
      <c r="AJ1839" s="471">
        <v>9.3052089098173869E-3</v>
      </c>
      <c r="AK1839" s="218">
        <v>1079.1842235647912</v>
      </c>
      <c r="AL1839" s="470">
        <v>0.68110567894582352</v>
      </c>
      <c r="AM1839" s="471">
        <v>9.3052089098173869E-3</v>
      </c>
      <c r="AN1839" s="477">
        <v>1079.1842235647912</v>
      </c>
      <c r="AO1839" s="473">
        <v>0.68110567894582352</v>
      </c>
      <c r="AP1839" s="474">
        <v>9.302925283453535E-3</v>
      </c>
      <c r="AQ1839" s="352"/>
      <c r="AR1839" s="352"/>
      <c r="AS1839" s="352"/>
      <c r="AT1839" s="352"/>
      <c r="AU1839" s="352"/>
      <c r="AV1839" s="352"/>
      <c r="AW1839" s="352" t="s">
        <v>254</v>
      </c>
    </row>
    <row r="1840" spans="2:49" x14ac:dyDescent="0.2">
      <c r="B1840" s="460" t="s">
        <v>2912</v>
      </c>
      <c r="C1840" s="460">
        <v>2142</v>
      </c>
      <c r="D1840" s="460" t="s">
        <v>2307</v>
      </c>
      <c r="E1840" s="460" t="s">
        <v>2299</v>
      </c>
      <c r="F1840" s="460">
        <v>2</v>
      </c>
      <c r="G1840" s="460">
        <v>2</v>
      </c>
      <c r="H1840" s="461" t="s">
        <v>712</v>
      </c>
      <c r="I1840" s="461" t="s">
        <v>713</v>
      </c>
      <c r="J1840" s="461" t="s">
        <v>712</v>
      </c>
      <c r="K1840" s="594"/>
      <c r="L1840" s="594"/>
      <c r="M1840" s="352">
        <v>2000</v>
      </c>
      <c r="N1840" s="352" t="s">
        <v>703</v>
      </c>
      <c r="O1840" s="460">
        <v>2142</v>
      </c>
      <c r="P1840" s="460" t="s">
        <v>780</v>
      </c>
      <c r="Q1840" s="460" t="s">
        <v>2280</v>
      </c>
      <c r="R1840" s="460">
        <v>2121</v>
      </c>
      <c r="S1840" s="460" t="s">
        <v>2296</v>
      </c>
      <c r="T1840" s="462">
        <v>0.55517361979372948</v>
      </c>
      <c r="U1840" s="460" t="s">
        <v>2299</v>
      </c>
      <c r="V1840" s="475">
        <v>0</v>
      </c>
      <c r="W1840" s="463" t="s">
        <v>713</v>
      </c>
      <c r="X1840" s="463" t="s">
        <v>713</v>
      </c>
      <c r="Y1840" s="463" t="s">
        <v>713</v>
      </c>
      <c r="Z1840" s="463"/>
      <c r="AA1840" s="463"/>
      <c r="AB1840" s="464">
        <v>814.94964072384062</v>
      </c>
      <c r="AC1840" s="465">
        <v>0.99672223479571898</v>
      </c>
      <c r="AD1840" s="465">
        <v>9.4263208225474713E-3</v>
      </c>
      <c r="AE1840" s="476">
        <v>816.0216399157332</v>
      </c>
      <c r="AF1840" s="467">
        <v>0.99803334087743145</v>
      </c>
      <c r="AG1840" s="468">
        <v>9.3995948594086491E-3</v>
      </c>
      <c r="AH1840" s="218">
        <v>672.87508559952278</v>
      </c>
      <c r="AI1840" s="470">
        <v>0.8229582854486891</v>
      </c>
      <c r="AJ1840" s="471">
        <v>7.8833380667396782E-3</v>
      </c>
      <c r="AK1840" s="218">
        <v>672.87508559952278</v>
      </c>
      <c r="AL1840" s="470">
        <v>0.8229582854486891</v>
      </c>
      <c r="AM1840" s="471">
        <v>7.8833380667396782E-3</v>
      </c>
      <c r="AN1840" s="477">
        <v>672.87508559952278</v>
      </c>
      <c r="AO1840" s="473">
        <v>0.8229582854486891</v>
      </c>
      <c r="AP1840" s="474">
        <v>7.882342915918052E-3</v>
      </c>
      <c r="AQ1840" s="352"/>
      <c r="AR1840" s="352"/>
      <c r="AS1840" s="352"/>
      <c r="AT1840" s="352"/>
      <c r="AU1840" s="352"/>
      <c r="AV1840" s="352"/>
      <c r="AW1840" s="352" t="s">
        <v>254</v>
      </c>
    </row>
    <row r="1841" spans="2:49" x14ac:dyDescent="0.2">
      <c r="B1841" s="460" t="s">
        <v>2913</v>
      </c>
      <c r="C1841" s="460">
        <v>2142</v>
      </c>
      <c r="D1841" s="460" t="s">
        <v>2308</v>
      </c>
      <c r="E1841" s="460" t="s">
        <v>2302</v>
      </c>
      <c r="F1841" s="460">
        <v>3</v>
      </c>
      <c r="G1841" s="460">
        <v>2</v>
      </c>
      <c r="H1841" s="461" t="s">
        <v>712</v>
      </c>
      <c r="I1841" s="461" t="s">
        <v>713</v>
      </c>
      <c r="J1841" s="461" t="s">
        <v>712</v>
      </c>
      <c r="K1841" s="594"/>
      <c r="L1841" s="594"/>
      <c r="M1841" s="352">
        <v>2000</v>
      </c>
      <c r="N1841" s="352" t="s">
        <v>703</v>
      </c>
      <c r="O1841" s="460">
        <v>2142</v>
      </c>
      <c r="P1841" s="460" t="s">
        <v>780</v>
      </c>
      <c r="Q1841" s="460" t="s">
        <v>2280</v>
      </c>
      <c r="R1841" s="460">
        <v>2121</v>
      </c>
      <c r="S1841" s="460" t="s">
        <v>2296</v>
      </c>
      <c r="T1841" s="462">
        <v>0.28481449642268464</v>
      </c>
      <c r="U1841" s="460" t="s">
        <v>2302</v>
      </c>
      <c r="V1841" s="475">
        <v>0</v>
      </c>
      <c r="W1841" s="463" t="s">
        <v>713</v>
      </c>
      <c r="X1841" s="463" t="s">
        <v>713</v>
      </c>
      <c r="Y1841" s="463" t="s">
        <v>713</v>
      </c>
      <c r="Z1841" s="463"/>
      <c r="AA1841" s="463"/>
      <c r="AB1841" s="464">
        <v>314.78318926454369</v>
      </c>
      <c r="AC1841" s="465">
        <v>0.99946683316245899</v>
      </c>
      <c r="AD1841" s="465">
        <v>9.1562563639705462E-3</v>
      </c>
      <c r="AE1841" s="476">
        <v>314.85035785962361</v>
      </c>
      <c r="AF1841" s="467">
        <v>0.99968009989747542</v>
      </c>
      <c r="AG1841" s="468">
        <v>9.1426488512356199E-3</v>
      </c>
      <c r="AH1841" s="218">
        <v>286.3454476327621</v>
      </c>
      <c r="AI1841" s="470">
        <v>0.90917427453690081</v>
      </c>
      <c r="AJ1841" s="471">
        <v>8.439337493617605E-3</v>
      </c>
      <c r="AK1841" s="218">
        <v>286.3454476327621</v>
      </c>
      <c r="AL1841" s="470">
        <v>0.90917427453690081</v>
      </c>
      <c r="AM1841" s="471">
        <v>8.439337493617605E-3</v>
      </c>
      <c r="AN1841" s="477">
        <v>286.3454476327621</v>
      </c>
      <c r="AO1841" s="473">
        <v>0.90917427453690081</v>
      </c>
      <c r="AP1841" s="474">
        <v>8.4466759662042892E-3</v>
      </c>
      <c r="AQ1841" s="352"/>
      <c r="AR1841" s="352"/>
      <c r="AS1841" s="352"/>
      <c r="AT1841" s="352"/>
      <c r="AU1841" s="352"/>
      <c r="AV1841" s="352"/>
      <c r="AW1841" s="352" t="s">
        <v>254</v>
      </c>
    </row>
    <row r="1842" spans="2:49" x14ac:dyDescent="0.2">
      <c r="B1842" s="460" t="s">
        <v>2914</v>
      </c>
      <c r="C1842" s="460">
        <v>2142</v>
      </c>
      <c r="D1842" s="460" t="s">
        <v>2309</v>
      </c>
      <c r="E1842" s="460" t="s">
        <v>2305</v>
      </c>
      <c r="F1842" s="460">
        <v>4</v>
      </c>
      <c r="G1842" s="460">
        <v>2</v>
      </c>
      <c r="H1842" s="461" t="s">
        <v>712</v>
      </c>
      <c r="I1842" s="461" t="s">
        <v>713</v>
      </c>
      <c r="J1842" s="461" t="s">
        <v>712</v>
      </c>
      <c r="K1842" s="594"/>
      <c r="L1842" s="594"/>
      <c r="M1842" s="352">
        <v>2000</v>
      </c>
      <c r="N1842" s="352" t="s">
        <v>703</v>
      </c>
      <c r="O1842" s="460">
        <v>2142</v>
      </c>
      <c r="P1842" s="460" t="s">
        <v>780</v>
      </c>
      <c r="Q1842" s="460" t="s">
        <v>2280</v>
      </c>
      <c r="R1842" s="460">
        <v>2121</v>
      </c>
      <c r="S1842" s="460" t="s">
        <v>2305</v>
      </c>
      <c r="T1842" s="462">
        <v>1</v>
      </c>
      <c r="U1842" s="460" t="s">
        <v>2305</v>
      </c>
      <c r="V1842" s="475">
        <v>0</v>
      </c>
      <c r="W1842" s="463" t="s">
        <v>713</v>
      </c>
      <c r="X1842" s="463" t="s">
        <v>713</v>
      </c>
      <c r="Y1842" s="463" t="s">
        <v>713</v>
      </c>
      <c r="Z1842" s="463"/>
      <c r="AA1842" s="463"/>
      <c r="AB1842" s="464">
        <v>357.50160102598034</v>
      </c>
      <c r="AC1842" s="465">
        <v>1</v>
      </c>
      <c r="AD1842" s="465">
        <v>9.1305560042593218E-3</v>
      </c>
      <c r="AE1842" s="476">
        <v>357.50160102598034</v>
      </c>
      <c r="AF1842" s="467">
        <v>1</v>
      </c>
      <c r="AG1842" s="468">
        <v>9.1302631290153397E-3</v>
      </c>
      <c r="AH1842" s="218">
        <v>357.50160102598034</v>
      </c>
      <c r="AI1842" s="470">
        <v>1</v>
      </c>
      <c r="AJ1842" s="471">
        <v>9.1302741814724888E-3</v>
      </c>
      <c r="AK1842" s="218">
        <v>357.50160102598034</v>
      </c>
      <c r="AL1842" s="470">
        <v>1</v>
      </c>
      <c r="AM1842" s="471">
        <v>9.1302741814724888E-3</v>
      </c>
      <c r="AN1842" s="477">
        <v>357.50160102598034</v>
      </c>
      <c r="AO1842" s="473">
        <v>1</v>
      </c>
      <c r="AP1842" s="474">
        <v>9.1302853496135466E-3</v>
      </c>
      <c r="AQ1842" s="352"/>
      <c r="AR1842" s="352"/>
      <c r="AS1842" s="352"/>
      <c r="AT1842" s="352"/>
      <c r="AU1842" s="352"/>
      <c r="AV1842" s="352"/>
      <c r="AW1842" s="352" t="s">
        <v>254</v>
      </c>
    </row>
    <row r="1843" spans="2:49" x14ac:dyDescent="0.2">
      <c r="B1843" s="460" t="s">
        <v>2911</v>
      </c>
      <c r="C1843" s="460">
        <v>2142</v>
      </c>
      <c r="D1843" s="460" t="s">
        <v>2310</v>
      </c>
      <c r="E1843" s="460" t="s">
        <v>2296</v>
      </c>
      <c r="F1843" s="460">
        <v>1</v>
      </c>
      <c r="G1843" s="460">
        <v>2</v>
      </c>
      <c r="H1843" s="461" t="s">
        <v>746</v>
      </c>
      <c r="I1843" s="461" t="s">
        <v>762</v>
      </c>
      <c r="J1843" s="461" t="s">
        <v>700</v>
      </c>
      <c r="K1843" s="594"/>
      <c r="L1843" s="594"/>
      <c r="M1843" s="352">
        <v>2000</v>
      </c>
      <c r="N1843" s="352" t="s">
        <v>703</v>
      </c>
      <c r="O1843" s="460">
        <v>2142</v>
      </c>
      <c r="P1843" s="460" t="s">
        <v>780</v>
      </c>
      <c r="Q1843" s="460" t="s">
        <v>2531</v>
      </c>
      <c r="R1843" s="460">
        <v>2121</v>
      </c>
      <c r="S1843" s="460" t="s">
        <v>2296</v>
      </c>
      <c r="T1843" s="462">
        <v>1</v>
      </c>
      <c r="U1843" s="460" t="s">
        <v>2296</v>
      </c>
      <c r="V1843" s="475">
        <v>0</v>
      </c>
      <c r="W1843" s="463" t="s">
        <v>2268</v>
      </c>
      <c r="X1843" s="463" t="s">
        <v>2268</v>
      </c>
      <c r="Y1843" s="463" t="s">
        <v>2290</v>
      </c>
      <c r="Z1843" s="463"/>
      <c r="AA1843" s="463"/>
      <c r="AB1843" s="464">
        <v>0</v>
      </c>
      <c r="AC1843" s="465">
        <v>0</v>
      </c>
      <c r="AD1843" s="465">
        <v>0</v>
      </c>
      <c r="AE1843" s="476">
        <v>0</v>
      </c>
      <c r="AF1843" s="467">
        <v>0</v>
      </c>
      <c r="AG1843" s="468">
        <v>0</v>
      </c>
      <c r="AH1843" s="218">
        <v>0</v>
      </c>
      <c r="AI1843" s="470">
        <v>0</v>
      </c>
      <c r="AJ1843" s="471">
        <v>0</v>
      </c>
      <c r="AK1843" s="218">
        <v>0</v>
      </c>
      <c r="AL1843" s="470">
        <v>0</v>
      </c>
      <c r="AM1843" s="471">
        <v>0</v>
      </c>
      <c r="AN1843" s="477">
        <v>0</v>
      </c>
      <c r="AO1843" s="473">
        <v>0</v>
      </c>
      <c r="AP1843" s="474">
        <v>0</v>
      </c>
      <c r="AQ1843" s="352"/>
      <c r="AR1843" s="352"/>
      <c r="AS1843" s="352"/>
      <c r="AT1843" s="352"/>
      <c r="AU1843" s="352"/>
      <c r="AV1843" s="352"/>
      <c r="AW1843" s="352" t="s">
        <v>254</v>
      </c>
    </row>
    <row r="1844" spans="2:49" x14ac:dyDescent="0.2">
      <c r="B1844" s="460" t="s">
        <v>2912</v>
      </c>
      <c r="C1844" s="460">
        <v>2142</v>
      </c>
      <c r="D1844" s="460" t="s">
        <v>2311</v>
      </c>
      <c r="E1844" s="460" t="s">
        <v>2299</v>
      </c>
      <c r="F1844" s="460">
        <v>2</v>
      </c>
      <c r="G1844" s="460">
        <v>2</v>
      </c>
      <c r="H1844" s="461" t="s">
        <v>746</v>
      </c>
      <c r="I1844" s="461" t="s">
        <v>762</v>
      </c>
      <c r="J1844" s="461" t="s">
        <v>700</v>
      </c>
      <c r="K1844" s="594"/>
      <c r="L1844" s="594"/>
      <c r="M1844" s="352">
        <v>2000</v>
      </c>
      <c r="N1844" s="352" t="s">
        <v>703</v>
      </c>
      <c r="O1844" s="460">
        <v>2142</v>
      </c>
      <c r="P1844" s="460" t="s">
        <v>780</v>
      </c>
      <c r="Q1844" s="460" t="s">
        <v>2531</v>
      </c>
      <c r="R1844" s="460">
        <v>2121</v>
      </c>
      <c r="S1844" s="460" t="s">
        <v>2296</v>
      </c>
      <c r="T1844" s="462">
        <v>0.55517361979372948</v>
      </c>
      <c r="U1844" s="460" t="s">
        <v>2299</v>
      </c>
      <c r="V1844" s="475">
        <v>0</v>
      </c>
      <c r="W1844" s="463" t="s">
        <v>2268</v>
      </c>
      <c r="X1844" s="463" t="s">
        <v>2268</v>
      </c>
      <c r="Y1844" s="463" t="s">
        <v>2290</v>
      </c>
      <c r="Z1844" s="463"/>
      <c r="AA1844" s="463"/>
      <c r="AB1844" s="464">
        <v>0</v>
      </c>
      <c r="AC1844" s="465">
        <v>0</v>
      </c>
      <c r="AD1844" s="465">
        <v>0</v>
      </c>
      <c r="AE1844" s="476">
        <v>0</v>
      </c>
      <c r="AF1844" s="467">
        <v>0</v>
      </c>
      <c r="AG1844" s="468">
        <v>0</v>
      </c>
      <c r="AH1844" s="218">
        <v>0</v>
      </c>
      <c r="AI1844" s="470">
        <v>0</v>
      </c>
      <c r="AJ1844" s="471">
        <v>0</v>
      </c>
      <c r="AK1844" s="218">
        <v>0</v>
      </c>
      <c r="AL1844" s="470">
        <v>0</v>
      </c>
      <c r="AM1844" s="471">
        <v>0</v>
      </c>
      <c r="AN1844" s="477">
        <v>0</v>
      </c>
      <c r="AO1844" s="473">
        <v>0</v>
      </c>
      <c r="AP1844" s="474">
        <v>0</v>
      </c>
      <c r="AQ1844" s="352"/>
      <c r="AR1844" s="352"/>
      <c r="AS1844" s="352"/>
      <c r="AT1844" s="352"/>
      <c r="AU1844" s="352"/>
      <c r="AV1844" s="352"/>
      <c r="AW1844" s="352" t="s">
        <v>254</v>
      </c>
    </row>
    <row r="1845" spans="2:49" x14ac:dyDescent="0.2">
      <c r="B1845" s="460" t="s">
        <v>2913</v>
      </c>
      <c r="C1845" s="460">
        <v>2142</v>
      </c>
      <c r="D1845" s="460" t="s">
        <v>2312</v>
      </c>
      <c r="E1845" s="460" t="s">
        <v>2302</v>
      </c>
      <c r="F1845" s="460">
        <v>3</v>
      </c>
      <c r="G1845" s="460">
        <v>2</v>
      </c>
      <c r="H1845" s="461" t="s">
        <v>746</v>
      </c>
      <c r="I1845" s="461" t="s">
        <v>762</v>
      </c>
      <c r="J1845" s="461" t="s">
        <v>700</v>
      </c>
      <c r="K1845" s="594"/>
      <c r="L1845" s="594"/>
      <c r="M1845" s="352">
        <v>2000</v>
      </c>
      <c r="N1845" s="352" t="s">
        <v>703</v>
      </c>
      <c r="O1845" s="460">
        <v>2142</v>
      </c>
      <c r="P1845" s="460" t="s">
        <v>780</v>
      </c>
      <c r="Q1845" s="460" t="s">
        <v>2531</v>
      </c>
      <c r="R1845" s="460">
        <v>2121</v>
      </c>
      <c r="S1845" s="460" t="s">
        <v>2296</v>
      </c>
      <c r="T1845" s="462">
        <v>0.28481449642268464</v>
      </c>
      <c r="U1845" s="460" t="s">
        <v>2302</v>
      </c>
      <c r="V1845" s="475">
        <v>0</v>
      </c>
      <c r="W1845" s="463" t="s">
        <v>2268</v>
      </c>
      <c r="X1845" s="463" t="s">
        <v>2268</v>
      </c>
      <c r="Y1845" s="463" t="s">
        <v>2290</v>
      </c>
      <c r="Z1845" s="463"/>
      <c r="AA1845" s="463"/>
      <c r="AB1845" s="464">
        <v>0</v>
      </c>
      <c r="AC1845" s="465">
        <v>0</v>
      </c>
      <c r="AD1845" s="465">
        <v>0</v>
      </c>
      <c r="AE1845" s="476">
        <v>0</v>
      </c>
      <c r="AF1845" s="467">
        <v>0</v>
      </c>
      <c r="AG1845" s="468">
        <v>0</v>
      </c>
      <c r="AH1845" s="218">
        <v>0</v>
      </c>
      <c r="AI1845" s="470">
        <v>0</v>
      </c>
      <c r="AJ1845" s="471">
        <v>0</v>
      </c>
      <c r="AK1845" s="218">
        <v>0</v>
      </c>
      <c r="AL1845" s="470">
        <v>0</v>
      </c>
      <c r="AM1845" s="471">
        <v>0</v>
      </c>
      <c r="AN1845" s="477">
        <v>0</v>
      </c>
      <c r="AO1845" s="473">
        <v>0</v>
      </c>
      <c r="AP1845" s="474">
        <v>0</v>
      </c>
      <c r="AQ1845" s="352"/>
      <c r="AR1845" s="352"/>
      <c r="AS1845" s="352"/>
      <c r="AT1845" s="352"/>
      <c r="AU1845" s="352"/>
      <c r="AV1845" s="352"/>
      <c r="AW1845" s="352" t="s">
        <v>254</v>
      </c>
    </row>
    <row r="1846" spans="2:49" x14ac:dyDescent="0.2">
      <c r="B1846" s="460" t="s">
        <v>2914</v>
      </c>
      <c r="C1846" s="460">
        <v>2142</v>
      </c>
      <c r="D1846" s="460" t="s">
        <v>2313</v>
      </c>
      <c r="E1846" s="460" t="s">
        <v>2305</v>
      </c>
      <c r="F1846" s="460">
        <v>4</v>
      </c>
      <c r="G1846" s="460">
        <v>2</v>
      </c>
      <c r="H1846" s="461" t="s">
        <v>746</v>
      </c>
      <c r="I1846" s="461" t="s">
        <v>762</v>
      </c>
      <c r="J1846" s="461" t="s">
        <v>700</v>
      </c>
      <c r="K1846" s="594"/>
      <c r="L1846" s="594"/>
      <c r="M1846" s="352">
        <v>2000</v>
      </c>
      <c r="N1846" s="352" t="s">
        <v>703</v>
      </c>
      <c r="O1846" s="460">
        <v>2142</v>
      </c>
      <c r="P1846" s="460" t="s">
        <v>780</v>
      </c>
      <c r="Q1846" s="460" t="s">
        <v>2531</v>
      </c>
      <c r="R1846" s="460">
        <v>2121</v>
      </c>
      <c r="S1846" s="460" t="s">
        <v>2305</v>
      </c>
      <c r="T1846" s="462">
        <v>1</v>
      </c>
      <c r="U1846" s="460" t="s">
        <v>2305</v>
      </c>
      <c r="V1846" s="475">
        <v>0</v>
      </c>
      <c r="W1846" s="463" t="s">
        <v>2268</v>
      </c>
      <c r="X1846" s="463" t="s">
        <v>2268</v>
      </c>
      <c r="Y1846" s="463" t="s">
        <v>2290</v>
      </c>
      <c r="Z1846" s="463"/>
      <c r="AA1846" s="463"/>
      <c r="AB1846" s="464">
        <v>0</v>
      </c>
      <c r="AC1846" s="465">
        <v>0</v>
      </c>
      <c r="AD1846" s="465">
        <v>0</v>
      </c>
      <c r="AE1846" s="476">
        <v>0</v>
      </c>
      <c r="AF1846" s="467">
        <v>0</v>
      </c>
      <c r="AG1846" s="468">
        <v>0</v>
      </c>
      <c r="AH1846" s="218">
        <v>0</v>
      </c>
      <c r="AI1846" s="470">
        <v>0</v>
      </c>
      <c r="AJ1846" s="471">
        <v>0</v>
      </c>
      <c r="AK1846" s="218">
        <v>0</v>
      </c>
      <c r="AL1846" s="470">
        <v>0</v>
      </c>
      <c r="AM1846" s="471">
        <v>0</v>
      </c>
      <c r="AN1846" s="477">
        <v>0</v>
      </c>
      <c r="AO1846" s="473">
        <v>0</v>
      </c>
      <c r="AP1846" s="474">
        <v>0</v>
      </c>
      <c r="AQ1846" s="352"/>
      <c r="AR1846" s="352"/>
      <c r="AS1846" s="352"/>
      <c r="AT1846" s="352"/>
      <c r="AU1846" s="352"/>
      <c r="AV1846" s="352"/>
      <c r="AW1846" s="352" t="s">
        <v>254</v>
      </c>
    </row>
    <row r="1847" spans="2:49" x14ac:dyDescent="0.2">
      <c r="B1847" s="460" t="s">
        <v>2911</v>
      </c>
      <c r="C1847" s="460">
        <v>2142</v>
      </c>
      <c r="D1847" s="460" t="s">
        <v>2314</v>
      </c>
      <c r="E1847" s="460" t="s">
        <v>2296</v>
      </c>
      <c r="F1847" s="460">
        <v>1</v>
      </c>
      <c r="G1847" s="460">
        <v>2</v>
      </c>
      <c r="H1847" s="461" t="s">
        <v>748</v>
      </c>
      <c r="I1847" s="461" t="s">
        <v>765</v>
      </c>
      <c r="J1847" s="461" t="s">
        <v>700</v>
      </c>
      <c r="K1847" s="594"/>
      <c r="L1847" s="594"/>
      <c r="M1847" s="352">
        <v>2000</v>
      </c>
      <c r="N1847" s="352" t="s">
        <v>703</v>
      </c>
      <c r="O1847" s="460">
        <v>2142</v>
      </c>
      <c r="P1847" s="460" t="s">
        <v>780</v>
      </c>
      <c r="Q1847" s="460" t="s">
        <v>2527</v>
      </c>
      <c r="R1847" s="460">
        <v>2121</v>
      </c>
      <c r="S1847" s="460" t="s">
        <v>2296</v>
      </c>
      <c r="T1847" s="462">
        <v>1</v>
      </c>
      <c r="U1847" s="460" t="s">
        <v>2296</v>
      </c>
      <c r="V1847" s="475">
        <v>0</v>
      </c>
      <c r="W1847" s="463" t="s">
        <v>2268</v>
      </c>
      <c r="X1847" s="463" t="s">
        <v>2268</v>
      </c>
      <c r="Y1847" s="479" t="s">
        <v>2267</v>
      </c>
      <c r="Z1847" s="479"/>
      <c r="AA1847" s="479"/>
      <c r="AB1847" s="464">
        <v>0</v>
      </c>
      <c r="AC1847" s="465">
        <v>0</v>
      </c>
      <c r="AD1847" s="465">
        <v>0</v>
      </c>
      <c r="AE1847" s="476">
        <v>0</v>
      </c>
      <c r="AF1847" s="467">
        <v>0</v>
      </c>
      <c r="AG1847" s="468">
        <v>0</v>
      </c>
      <c r="AH1847" s="218">
        <v>0</v>
      </c>
      <c r="AI1847" s="470">
        <v>0</v>
      </c>
      <c r="AJ1847" s="471">
        <v>0</v>
      </c>
      <c r="AK1847" s="218">
        <v>0</v>
      </c>
      <c r="AL1847" s="470">
        <v>0</v>
      </c>
      <c r="AM1847" s="471">
        <v>0</v>
      </c>
      <c r="AN1847" s="477">
        <v>505.27507096802037</v>
      </c>
      <c r="AO1847" s="473">
        <v>0.31889432105417648</v>
      </c>
      <c r="AP1847" s="474">
        <v>0.15435461314351775</v>
      </c>
      <c r="AQ1847" s="352"/>
      <c r="AR1847" s="352"/>
      <c r="AS1847" s="352"/>
      <c r="AT1847" s="352"/>
      <c r="AU1847" s="352"/>
      <c r="AV1847" s="352"/>
      <c r="AW1847" s="352" t="s">
        <v>254</v>
      </c>
    </row>
    <row r="1848" spans="2:49" x14ac:dyDescent="0.2">
      <c r="B1848" s="460" t="s">
        <v>2912</v>
      </c>
      <c r="C1848" s="460">
        <v>2142</v>
      </c>
      <c r="D1848" s="460" t="s">
        <v>2315</v>
      </c>
      <c r="E1848" s="460" t="s">
        <v>2299</v>
      </c>
      <c r="F1848" s="460">
        <v>2</v>
      </c>
      <c r="G1848" s="460">
        <v>2</v>
      </c>
      <c r="H1848" s="461" t="s">
        <v>748</v>
      </c>
      <c r="I1848" s="461" t="s">
        <v>765</v>
      </c>
      <c r="J1848" s="461" t="s">
        <v>700</v>
      </c>
      <c r="K1848" s="594"/>
      <c r="L1848" s="594"/>
      <c r="M1848" s="352">
        <v>2000</v>
      </c>
      <c r="N1848" s="352" t="s">
        <v>703</v>
      </c>
      <c r="O1848" s="460">
        <v>2142</v>
      </c>
      <c r="P1848" s="460" t="s">
        <v>780</v>
      </c>
      <c r="Q1848" s="460" t="s">
        <v>2527</v>
      </c>
      <c r="R1848" s="460">
        <v>2121</v>
      </c>
      <c r="S1848" s="460" t="s">
        <v>2296</v>
      </c>
      <c r="T1848" s="462">
        <v>0.55517361979372948</v>
      </c>
      <c r="U1848" s="460" t="s">
        <v>2299</v>
      </c>
      <c r="V1848" s="475">
        <v>0</v>
      </c>
      <c r="W1848" s="463" t="s">
        <v>2268</v>
      </c>
      <c r="X1848" s="463" t="s">
        <v>2268</v>
      </c>
      <c r="Y1848" s="479" t="s">
        <v>2267</v>
      </c>
      <c r="Z1848" s="479"/>
      <c r="AA1848" s="479"/>
      <c r="AB1848" s="464">
        <v>0</v>
      </c>
      <c r="AC1848" s="465">
        <v>0</v>
      </c>
      <c r="AD1848" s="465">
        <v>0</v>
      </c>
      <c r="AE1848" s="476">
        <v>0</v>
      </c>
      <c r="AF1848" s="467">
        <v>0</v>
      </c>
      <c r="AG1848" s="468">
        <v>0</v>
      </c>
      <c r="AH1848" s="218">
        <v>0</v>
      </c>
      <c r="AI1848" s="470">
        <v>0</v>
      </c>
      <c r="AJ1848" s="471">
        <v>0</v>
      </c>
      <c r="AK1848" s="218">
        <v>0</v>
      </c>
      <c r="AL1848" s="470">
        <v>0</v>
      </c>
      <c r="AM1848" s="471">
        <v>0</v>
      </c>
      <c r="AN1848" s="477">
        <v>144.75455310404925</v>
      </c>
      <c r="AO1848" s="473">
        <v>0.17704171455131087</v>
      </c>
      <c r="AP1848" s="474">
        <v>0.13411250323958945</v>
      </c>
      <c r="AQ1848" s="352"/>
      <c r="AR1848" s="352"/>
      <c r="AS1848" s="352"/>
      <c r="AT1848" s="352"/>
      <c r="AU1848" s="352"/>
      <c r="AV1848" s="352"/>
      <c r="AW1848" s="352" t="s">
        <v>254</v>
      </c>
    </row>
    <row r="1849" spans="2:49" x14ac:dyDescent="0.2">
      <c r="B1849" s="460" t="s">
        <v>2913</v>
      </c>
      <c r="C1849" s="460">
        <v>2142</v>
      </c>
      <c r="D1849" s="460" t="s">
        <v>2316</v>
      </c>
      <c r="E1849" s="460" t="s">
        <v>2302</v>
      </c>
      <c r="F1849" s="460">
        <v>3</v>
      </c>
      <c r="G1849" s="460">
        <v>2</v>
      </c>
      <c r="H1849" s="461" t="s">
        <v>748</v>
      </c>
      <c r="I1849" s="461" t="s">
        <v>765</v>
      </c>
      <c r="J1849" s="461" t="s">
        <v>700</v>
      </c>
      <c r="K1849" s="594"/>
      <c r="L1849" s="594"/>
      <c r="M1849" s="352">
        <v>2000</v>
      </c>
      <c r="N1849" s="352" t="s">
        <v>703</v>
      </c>
      <c r="O1849" s="460">
        <v>2142</v>
      </c>
      <c r="P1849" s="460" t="s">
        <v>780</v>
      </c>
      <c r="Q1849" s="460" t="s">
        <v>2527</v>
      </c>
      <c r="R1849" s="460">
        <v>2121</v>
      </c>
      <c r="S1849" s="460" t="s">
        <v>2296</v>
      </c>
      <c r="T1849" s="462">
        <v>0.28481449642268464</v>
      </c>
      <c r="U1849" s="460" t="s">
        <v>2302</v>
      </c>
      <c r="V1849" s="475">
        <v>0</v>
      </c>
      <c r="W1849" s="463" t="s">
        <v>2268</v>
      </c>
      <c r="X1849" s="463" t="s">
        <v>2268</v>
      </c>
      <c r="Y1849" s="479" t="s">
        <v>2267</v>
      </c>
      <c r="Z1849" s="479"/>
      <c r="AA1849" s="479"/>
      <c r="AB1849" s="464">
        <v>0</v>
      </c>
      <c r="AC1849" s="465">
        <v>0</v>
      </c>
      <c r="AD1849" s="465">
        <v>0</v>
      </c>
      <c r="AE1849" s="476">
        <v>0</v>
      </c>
      <c r="AF1849" s="467">
        <v>0</v>
      </c>
      <c r="AG1849" s="468">
        <v>0</v>
      </c>
      <c r="AH1849" s="218">
        <v>0</v>
      </c>
      <c r="AI1849" s="470">
        <v>0</v>
      </c>
      <c r="AJ1849" s="471">
        <v>0</v>
      </c>
      <c r="AK1849" s="218">
        <v>0</v>
      </c>
      <c r="AL1849" s="470">
        <v>0</v>
      </c>
      <c r="AM1849" s="471">
        <v>0</v>
      </c>
      <c r="AN1849" s="477">
        <v>28.605663119481417</v>
      </c>
      <c r="AO1849" s="473">
        <v>9.0825725463099194E-2</v>
      </c>
      <c r="AP1849" s="474">
        <v>0.12240173297067224</v>
      </c>
      <c r="AQ1849" s="352"/>
      <c r="AR1849" s="352"/>
      <c r="AS1849" s="352"/>
      <c r="AT1849" s="352"/>
      <c r="AU1849" s="352"/>
      <c r="AV1849" s="352"/>
      <c r="AW1849" s="352" t="s">
        <v>254</v>
      </c>
    </row>
    <row r="1850" spans="2:49" x14ac:dyDescent="0.2">
      <c r="B1850" s="460" t="s">
        <v>2914</v>
      </c>
      <c r="C1850" s="460">
        <v>2142</v>
      </c>
      <c r="D1850" s="460" t="s">
        <v>2317</v>
      </c>
      <c r="E1850" s="460" t="s">
        <v>2305</v>
      </c>
      <c r="F1850" s="460">
        <v>4</v>
      </c>
      <c r="G1850" s="460">
        <v>2</v>
      </c>
      <c r="H1850" s="461" t="s">
        <v>748</v>
      </c>
      <c r="I1850" s="461" t="s">
        <v>765</v>
      </c>
      <c r="J1850" s="461" t="s">
        <v>700</v>
      </c>
      <c r="K1850" s="594"/>
      <c r="L1850" s="594"/>
      <c r="M1850" s="352">
        <v>2000</v>
      </c>
      <c r="N1850" s="352" t="s">
        <v>703</v>
      </c>
      <c r="O1850" s="460">
        <v>2142</v>
      </c>
      <c r="P1850" s="460" t="s">
        <v>780</v>
      </c>
      <c r="Q1850" s="460" t="s">
        <v>2527</v>
      </c>
      <c r="R1850" s="460">
        <v>2121</v>
      </c>
      <c r="S1850" s="460" t="s">
        <v>2305</v>
      </c>
      <c r="T1850" s="462">
        <v>1</v>
      </c>
      <c r="U1850" s="460" t="s">
        <v>2305</v>
      </c>
      <c r="V1850" s="475">
        <v>0</v>
      </c>
      <c r="W1850" s="463" t="s">
        <v>2268</v>
      </c>
      <c r="X1850" s="463" t="s">
        <v>2268</v>
      </c>
      <c r="Y1850" s="463" t="s">
        <v>2278</v>
      </c>
      <c r="Z1850" s="463"/>
      <c r="AA1850" s="463"/>
      <c r="AB1850" s="464">
        <v>0</v>
      </c>
      <c r="AC1850" s="465">
        <v>0</v>
      </c>
      <c r="AD1850" s="465">
        <v>0</v>
      </c>
      <c r="AE1850" s="476">
        <v>0</v>
      </c>
      <c r="AF1850" s="467">
        <v>0</v>
      </c>
      <c r="AG1850" s="468">
        <v>0</v>
      </c>
      <c r="AH1850" s="218">
        <v>0</v>
      </c>
      <c r="AI1850" s="470">
        <v>0</v>
      </c>
      <c r="AJ1850" s="471">
        <v>0</v>
      </c>
      <c r="AK1850" s="218">
        <v>0</v>
      </c>
      <c r="AL1850" s="470">
        <v>0</v>
      </c>
      <c r="AM1850" s="471">
        <v>0</v>
      </c>
      <c r="AN1850" s="477">
        <v>0</v>
      </c>
      <c r="AO1850" s="473">
        <v>0</v>
      </c>
      <c r="AP1850" s="474">
        <v>0</v>
      </c>
      <c r="AQ1850" s="352"/>
      <c r="AR1850" s="352"/>
      <c r="AS1850" s="352"/>
      <c r="AT1850" s="352"/>
      <c r="AU1850" s="352"/>
      <c r="AV1850" s="352"/>
      <c r="AW1850" s="352" t="s">
        <v>254</v>
      </c>
    </row>
    <row r="1851" spans="2:49" x14ac:dyDescent="0.2">
      <c r="B1851" s="460" t="s">
        <v>2915</v>
      </c>
      <c r="C1851" s="460">
        <v>2142</v>
      </c>
      <c r="D1851" s="460" t="s">
        <v>2323</v>
      </c>
      <c r="E1851" s="460" t="s">
        <v>2324</v>
      </c>
      <c r="F1851" s="460">
        <v>1</v>
      </c>
      <c r="G1851" s="460">
        <v>3</v>
      </c>
      <c r="H1851" s="461" t="s">
        <v>700</v>
      </c>
      <c r="I1851" s="461" t="s">
        <v>872</v>
      </c>
      <c r="J1851" s="461" t="s">
        <v>700</v>
      </c>
      <c r="K1851" s="594"/>
      <c r="L1851" s="594"/>
      <c r="M1851" s="352">
        <v>2000</v>
      </c>
      <c r="N1851" s="352" t="s">
        <v>703</v>
      </c>
      <c r="O1851" s="460">
        <v>2142</v>
      </c>
      <c r="P1851" s="460" t="s">
        <v>780</v>
      </c>
      <c r="Q1851" s="460" t="s">
        <v>2527</v>
      </c>
      <c r="R1851" s="460">
        <v>2121</v>
      </c>
      <c r="S1851" s="460" t="s">
        <v>2324</v>
      </c>
      <c r="T1851" s="462">
        <v>1</v>
      </c>
      <c r="U1851" s="460" t="s">
        <v>2324</v>
      </c>
      <c r="V1851" s="475">
        <v>0</v>
      </c>
      <c r="W1851" s="479" t="s">
        <v>2503</v>
      </c>
      <c r="X1851" s="479" t="s">
        <v>2267</v>
      </c>
      <c r="Y1851" s="463" t="s">
        <v>2268</v>
      </c>
      <c r="Z1851" s="463"/>
      <c r="AA1851" s="463"/>
      <c r="AB1851" s="464">
        <v>153.46957649734259</v>
      </c>
      <c r="AC1851" s="465">
        <v>2.9480236943846813E-2</v>
      </c>
      <c r="AD1851" s="465">
        <v>1.3156455286708526E-3</v>
      </c>
      <c r="AE1851" s="476">
        <v>92.081745898405543</v>
      </c>
      <c r="AF1851" s="467">
        <v>1.7688142166308086E-2</v>
      </c>
      <c r="AG1851" s="468">
        <v>8.4559019889106943E-4</v>
      </c>
      <c r="AH1851" s="218">
        <v>2072.2373014439381</v>
      </c>
      <c r="AI1851" s="470">
        <v>0.39805965484959044</v>
      </c>
      <c r="AJ1851" s="471">
        <v>1.8171879547576875E-2</v>
      </c>
      <c r="AK1851" s="218">
        <v>2072.2373014439381</v>
      </c>
      <c r="AL1851" s="470">
        <v>0.39805965484959044</v>
      </c>
      <c r="AM1851" s="471">
        <v>1.8171879547576875E-2</v>
      </c>
      <c r="AN1851" s="477">
        <v>0</v>
      </c>
      <c r="AO1851" s="473">
        <v>0</v>
      </c>
      <c r="AP1851" s="474">
        <v>0</v>
      </c>
      <c r="AQ1851" s="352"/>
      <c r="AR1851" s="352"/>
      <c r="AS1851" s="352"/>
      <c r="AT1851" s="352"/>
      <c r="AU1851" s="352"/>
      <c r="AV1851" s="352"/>
      <c r="AW1851" s="352" t="s">
        <v>254</v>
      </c>
    </row>
    <row r="1852" spans="2:49" x14ac:dyDescent="0.2">
      <c r="B1852" s="460" t="s">
        <v>2916</v>
      </c>
      <c r="C1852" s="460">
        <v>2142</v>
      </c>
      <c r="D1852" s="460" t="s">
        <v>2326</v>
      </c>
      <c r="E1852" s="460" t="s">
        <v>2327</v>
      </c>
      <c r="F1852" s="460">
        <v>2</v>
      </c>
      <c r="G1852" s="460">
        <v>3</v>
      </c>
      <c r="H1852" s="461" t="s">
        <v>700</v>
      </c>
      <c r="I1852" s="461" t="s">
        <v>872</v>
      </c>
      <c r="J1852" s="461" t="s">
        <v>700</v>
      </c>
      <c r="K1852" s="594"/>
      <c r="L1852" s="594"/>
      <c r="M1852" s="352">
        <v>2000</v>
      </c>
      <c r="N1852" s="352" t="s">
        <v>703</v>
      </c>
      <c r="O1852" s="460">
        <v>2142</v>
      </c>
      <c r="P1852" s="460" t="s">
        <v>780</v>
      </c>
      <c r="Q1852" s="460" t="s">
        <v>2527</v>
      </c>
      <c r="R1852" s="460">
        <v>2121</v>
      </c>
      <c r="S1852" s="460" t="s">
        <v>2324</v>
      </c>
      <c r="T1852" s="462">
        <v>1</v>
      </c>
      <c r="U1852" s="460" t="s">
        <v>2327</v>
      </c>
      <c r="V1852" s="475">
        <v>0</v>
      </c>
      <c r="W1852" s="479" t="s">
        <v>2503</v>
      </c>
      <c r="X1852" s="479" t="s">
        <v>2267</v>
      </c>
      <c r="Y1852" s="463" t="s">
        <v>2268</v>
      </c>
      <c r="Z1852" s="463"/>
      <c r="AA1852" s="463"/>
      <c r="AB1852" s="464">
        <v>23.028311465608947</v>
      </c>
      <c r="AC1852" s="465">
        <v>5.4803943906871029E-3</v>
      </c>
      <c r="AD1852" s="465">
        <v>3.4012397124319791E-4</v>
      </c>
      <c r="AE1852" s="476">
        <v>13.81698687936537</v>
      </c>
      <c r="AF1852" s="467">
        <v>3.2882366344122618E-3</v>
      </c>
      <c r="AG1852" s="468">
        <v>2.2103516973786104E-4</v>
      </c>
      <c r="AH1852" s="218">
        <v>1672.6244609961179</v>
      </c>
      <c r="AI1852" s="470">
        <v>0.39805965484959044</v>
      </c>
      <c r="AJ1852" s="471">
        <v>2.251886240880482E-2</v>
      </c>
      <c r="AK1852" s="218">
        <v>1672.6244609961179</v>
      </c>
      <c r="AL1852" s="470">
        <v>0.39805965484959044</v>
      </c>
      <c r="AM1852" s="471">
        <v>2.251886240880482E-2</v>
      </c>
      <c r="AN1852" s="477">
        <v>0</v>
      </c>
      <c r="AO1852" s="473">
        <v>0</v>
      </c>
      <c r="AP1852" s="474">
        <v>0</v>
      </c>
      <c r="AQ1852" s="352"/>
      <c r="AR1852" s="352"/>
      <c r="AS1852" s="352"/>
      <c r="AT1852" s="352"/>
      <c r="AU1852" s="352"/>
      <c r="AV1852" s="352"/>
      <c r="AW1852" s="352" t="s">
        <v>254</v>
      </c>
    </row>
    <row r="1853" spans="2:49" x14ac:dyDescent="0.2">
      <c r="B1853" s="460" t="s">
        <v>2917</v>
      </c>
      <c r="C1853" s="460">
        <v>2142</v>
      </c>
      <c r="D1853" s="460" t="s">
        <v>2329</v>
      </c>
      <c r="E1853" s="460" t="s">
        <v>2330</v>
      </c>
      <c r="F1853" s="460">
        <v>3</v>
      </c>
      <c r="G1853" s="460">
        <v>3</v>
      </c>
      <c r="H1853" s="461" t="s">
        <v>700</v>
      </c>
      <c r="I1853" s="461" t="s">
        <v>872</v>
      </c>
      <c r="J1853" s="461" t="s">
        <v>700</v>
      </c>
      <c r="K1853" s="594"/>
      <c r="L1853" s="594"/>
      <c r="M1853" s="352">
        <v>2000</v>
      </c>
      <c r="N1853" s="352" t="s">
        <v>703</v>
      </c>
      <c r="O1853" s="460">
        <v>2142</v>
      </c>
      <c r="P1853" s="460" t="s">
        <v>780</v>
      </c>
      <c r="Q1853" s="460" t="s">
        <v>2527</v>
      </c>
      <c r="R1853" s="460">
        <v>2121</v>
      </c>
      <c r="S1853" s="460" t="s">
        <v>2324</v>
      </c>
      <c r="T1853" s="462">
        <v>1</v>
      </c>
      <c r="U1853" s="460" t="s">
        <v>2330</v>
      </c>
      <c r="V1853" s="475">
        <v>0</v>
      </c>
      <c r="W1853" s="479" t="s">
        <v>2503</v>
      </c>
      <c r="X1853" s="479" t="s">
        <v>2267</v>
      </c>
      <c r="Y1853" s="463" t="s">
        <v>2268</v>
      </c>
      <c r="Z1853" s="463"/>
      <c r="AA1853" s="463"/>
      <c r="AB1853" s="464">
        <v>7.5825150530477075</v>
      </c>
      <c r="AC1853" s="465">
        <v>1.0803869796471532E-2</v>
      </c>
      <c r="AD1853" s="465">
        <v>2.8632494934571279E-4</v>
      </c>
      <c r="AE1853" s="476">
        <v>4.5495090318286247</v>
      </c>
      <c r="AF1853" s="467">
        <v>6.4823218778829192E-3</v>
      </c>
      <c r="AG1853" s="468">
        <v>1.8412346180499636E-4</v>
      </c>
      <c r="AH1853" s="218">
        <v>279.37150130166765</v>
      </c>
      <c r="AI1853" s="470">
        <v>0.39805965484959044</v>
      </c>
      <c r="AJ1853" s="471">
        <v>9.8429136939720118E-3</v>
      </c>
      <c r="AK1853" s="218">
        <v>279.37150130166765</v>
      </c>
      <c r="AL1853" s="470">
        <v>0.39805965484959044</v>
      </c>
      <c r="AM1853" s="471">
        <v>9.8429136939720118E-3</v>
      </c>
      <c r="AN1853" s="477">
        <v>0</v>
      </c>
      <c r="AO1853" s="473">
        <v>0</v>
      </c>
      <c r="AP1853" s="474">
        <v>0</v>
      </c>
      <c r="AQ1853" s="352"/>
      <c r="AR1853" s="352"/>
      <c r="AS1853" s="352"/>
      <c r="AT1853" s="352"/>
      <c r="AU1853" s="352"/>
      <c r="AV1853" s="352"/>
      <c r="AW1853" s="352" t="s">
        <v>254</v>
      </c>
    </row>
    <row r="1854" spans="2:49" x14ac:dyDescent="0.2">
      <c r="B1854" s="460" t="s">
        <v>2918</v>
      </c>
      <c r="C1854" s="460">
        <v>2142</v>
      </c>
      <c r="D1854" s="460" t="s">
        <v>2332</v>
      </c>
      <c r="E1854" s="460" t="s">
        <v>2333</v>
      </c>
      <c r="F1854" s="460">
        <v>4</v>
      </c>
      <c r="G1854" s="460">
        <v>3</v>
      </c>
      <c r="H1854" s="461" t="s">
        <v>700</v>
      </c>
      <c r="I1854" s="461" t="s">
        <v>872</v>
      </c>
      <c r="J1854" s="461" t="s">
        <v>700</v>
      </c>
      <c r="K1854" s="594"/>
      <c r="L1854" s="594"/>
      <c r="M1854" s="352">
        <v>2000</v>
      </c>
      <c r="N1854" s="352" t="s">
        <v>703</v>
      </c>
      <c r="O1854" s="460">
        <v>2142</v>
      </c>
      <c r="P1854" s="460" t="s">
        <v>780</v>
      </c>
      <c r="Q1854" s="460" t="s">
        <v>2527</v>
      </c>
      <c r="R1854" s="460">
        <v>2121</v>
      </c>
      <c r="S1854" s="460" t="s">
        <v>2333</v>
      </c>
      <c r="T1854" s="462">
        <v>1</v>
      </c>
      <c r="U1854" s="460" t="s">
        <v>2333</v>
      </c>
      <c r="V1854" s="475">
        <v>0</v>
      </c>
      <c r="W1854" s="463" t="s">
        <v>2503</v>
      </c>
      <c r="X1854" s="463" t="s">
        <v>2278</v>
      </c>
      <c r="Y1854" s="463" t="s">
        <v>2268</v>
      </c>
      <c r="Z1854" s="463"/>
      <c r="AA1854" s="463"/>
      <c r="AB1854" s="464">
        <v>7.3543042737889322E-2</v>
      </c>
      <c r="AC1854" s="465">
        <v>9.2304236809815222E-5</v>
      </c>
      <c r="AD1854" s="465">
        <v>5.0721567306367764E-6</v>
      </c>
      <c r="AE1854" s="476">
        <v>4.4125825642733589E-2</v>
      </c>
      <c r="AF1854" s="467">
        <v>5.5382542085889129E-5</v>
      </c>
      <c r="AG1854" s="468">
        <v>3.3586609851315954E-6</v>
      </c>
      <c r="AH1854" s="218">
        <v>7.3543042737889322E-2</v>
      </c>
      <c r="AI1854" s="470">
        <v>9.2304236809815222E-5</v>
      </c>
      <c r="AJ1854" s="471">
        <v>5.423536173129334E-6</v>
      </c>
      <c r="AK1854" s="218">
        <v>7.3543042737889322E-2</v>
      </c>
      <c r="AL1854" s="470">
        <v>9.2304236809815222E-5</v>
      </c>
      <c r="AM1854" s="471">
        <v>5.423536173129334E-6</v>
      </c>
      <c r="AN1854" s="477">
        <v>0</v>
      </c>
      <c r="AO1854" s="473">
        <v>0</v>
      </c>
      <c r="AP1854" s="474">
        <v>0</v>
      </c>
      <c r="AQ1854" s="352"/>
      <c r="AR1854" s="352"/>
      <c r="AS1854" s="352"/>
      <c r="AT1854" s="352"/>
      <c r="AU1854" s="352"/>
      <c r="AV1854" s="352"/>
      <c r="AW1854" s="352" t="s">
        <v>254</v>
      </c>
    </row>
    <row r="1855" spans="2:49" x14ac:dyDescent="0.2">
      <c r="B1855" s="460" t="s">
        <v>2915</v>
      </c>
      <c r="C1855" s="460">
        <v>2142</v>
      </c>
      <c r="D1855" s="460" t="s">
        <v>2334</v>
      </c>
      <c r="E1855" s="460" t="s">
        <v>2324</v>
      </c>
      <c r="F1855" s="460">
        <v>1</v>
      </c>
      <c r="G1855" s="460">
        <v>3</v>
      </c>
      <c r="H1855" s="461" t="s">
        <v>712</v>
      </c>
      <c r="I1855" s="461" t="s">
        <v>713</v>
      </c>
      <c r="J1855" s="461" t="s">
        <v>712</v>
      </c>
      <c r="K1855" s="594"/>
      <c r="L1855" s="594"/>
      <c r="M1855" s="352">
        <v>2000</v>
      </c>
      <c r="N1855" s="352" t="s">
        <v>703</v>
      </c>
      <c r="O1855" s="460">
        <v>2142</v>
      </c>
      <c r="P1855" s="460" t="s">
        <v>780</v>
      </c>
      <c r="Q1855" s="460" t="s">
        <v>2280</v>
      </c>
      <c r="R1855" s="460">
        <v>2121</v>
      </c>
      <c r="S1855" s="460" t="s">
        <v>2324</v>
      </c>
      <c r="T1855" s="462">
        <v>1</v>
      </c>
      <c r="U1855" s="460" t="s">
        <v>2324</v>
      </c>
      <c r="V1855" s="475">
        <v>0</v>
      </c>
      <c r="W1855" s="463" t="s">
        <v>713</v>
      </c>
      <c r="X1855" s="463" t="s">
        <v>713</v>
      </c>
      <c r="Y1855" s="463" t="s">
        <v>713</v>
      </c>
      <c r="Z1855" s="463"/>
      <c r="AA1855" s="463"/>
      <c r="AB1855" s="464">
        <v>5052.376522693361</v>
      </c>
      <c r="AC1855" s="465">
        <v>0.97051976305615328</v>
      </c>
      <c r="AD1855" s="465">
        <v>1.2615259198814049E-2</v>
      </c>
      <c r="AE1855" s="476">
        <v>5113.7643532922975</v>
      </c>
      <c r="AF1855" s="467">
        <v>0.9823118578336919</v>
      </c>
      <c r="AG1855" s="468">
        <v>1.2526046721535315E-2</v>
      </c>
      <c r="AH1855" s="218">
        <v>3133.608797746765</v>
      </c>
      <c r="AI1855" s="470">
        <v>0.60194034515040951</v>
      </c>
      <c r="AJ1855" s="471">
        <v>7.7735535472620038E-3</v>
      </c>
      <c r="AK1855" s="218">
        <v>3133.608797746765</v>
      </c>
      <c r="AL1855" s="470">
        <v>0.60194034515040951</v>
      </c>
      <c r="AM1855" s="471">
        <v>7.7735535472620038E-3</v>
      </c>
      <c r="AN1855" s="477">
        <v>3133.608797746765</v>
      </c>
      <c r="AO1855" s="473">
        <v>0.60194034515040951</v>
      </c>
      <c r="AP1855" s="474">
        <v>7.7697705256490049E-3</v>
      </c>
      <c r="AQ1855" s="352"/>
      <c r="AR1855" s="352"/>
      <c r="AS1855" s="352"/>
      <c r="AT1855" s="352"/>
      <c r="AU1855" s="352"/>
      <c r="AV1855" s="352"/>
      <c r="AW1855" s="352" t="s">
        <v>254</v>
      </c>
    </row>
    <row r="1856" spans="2:49" x14ac:dyDescent="0.2">
      <c r="B1856" s="460" t="s">
        <v>2916</v>
      </c>
      <c r="C1856" s="460">
        <v>2142</v>
      </c>
      <c r="D1856" s="460" t="s">
        <v>2335</v>
      </c>
      <c r="E1856" s="460" t="s">
        <v>2327</v>
      </c>
      <c r="F1856" s="460">
        <v>2</v>
      </c>
      <c r="G1856" s="460">
        <v>3</v>
      </c>
      <c r="H1856" s="461" t="s">
        <v>712</v>
      </c>
      <c r="I1856" s="461" t="s">
        <v>713</v>
      </c>
      <c r="J1856" s="461" t="s">
        <v>712</v>
      </c>
      <c r="K1856" s="594"/>
      <c r="L1856" s="594"/>
      <c r="M1856" s="352">
        <v>2000</v>
      </c>
      <c r="N1856" s="352" t="s">
        <v>703</v>
      </c>
      <c r="O1856" s="460">
        <v>2142</v>
      </c>
      <c r="P1856" s="460" t="s">
        <v>780</v>
      </c>
      <c r="Q1856" s="460" t="s">
        <v>2280</v>
      </c>
      <c r="R1856" s="460">
        <v>2121</v>
      </c>
      <c r="S1856" s="460" t="s">
        <v>2324</v>
      </c>
      <c r="T1856" s="462">
        <v>1</v>
      </c>
      <c r="U1856" s="460" t="s">
        <v>2327</v>
      </c>
      <c r="V1856" s="475">
        <v>0</v>
      </c>
      <c r="W1856" s="463" t="s">
        <v>713</v>
      </c>
      <c r="X1856" s="463" t="s">
        <v>713</v>
      </c>
      <c r="Y1856" s="463" t="s">
        <v>713</v>
      </c>
      <c r="Z1856" s="463"/>
      <c r="AA1856" s="463"/>
      <c r="AB1856" s="464">
        <v>4178.9158961887206</v>
      </c>
      <c r="AC1856" s="465">
        <v>0.99451960560931296</v>
      </c>
      <c r="AD1856" s="465">
        <v>1.3383389754522228E-2</v>
      </c>
      <c r="AE1856" s="476">
        <v>4188.1272207749635</v>
      </c>
      <c r="AF1856" s="467">
        <v>0.99671176336558776</v>
      </c>
      <c r="AG1856" s="468">
        <v>1.3193373104330488E-2</v>
      </c>
      <c r="AH1856" s="218">
        <v>2529.319746658211</v>
      </c>
      <c r="AI1856" s="470">
        <v>0.60194034515040951</v>
      </c>
      <c r="AJ1856" s="471">
        <v>8.2862515022053187E-3</v>
      </c>
      <c r="AK1856" s="218">
        <v>2529.319746658211</v>
      </c>
      <c r="AL1856" s="470">
        <v>0.60194034515040951</v>
      </c>
      <c r="AM1856" s="471">
        <v>8.2862515022053187E-3</v>
      </c>
      <c r="AN1856" s="477">
        <v>2529.319746658211</v>
      </c>
      <c r="AO1856" s="473">
        <v>0.60194034515040951</v>
      </c>
      <c r="AP1856" s="474">
        <v>8.2830027627046974E-3</v>
      </c>
      <c r="AQ1856" s="352"/>
      <c r="AR1856" s="352"/>
      <c r="AS1856" s="352"/>
      <c r="AT1856" s="352"/>
      <c r="AU1856" s="352"/>
      <c r="AV1856" s="352"/>
      <c r="AW1856" s="352" t="s">
        <v>254</v>
      </c>
    </row>
    <row r="1857" spans="2:49" x14ac:dyDescent="0.2">
      <c r="B1857" s="460" t="s">
        <v>2917</v>
      </c>
      <c r="C1857" s="460">
        <v>2142</v>
      </c>
      <c r="D1857" s="460" t="s">
        <v>2336</v>
      </c>
      <c r="E1857" s="460" t="s">
        <v>2330</v>
      </c>
      <c r="F1857" s="460">
        <v>3</v>
      </c>
      <c r="G1857" s="460">
        <v>3</v>
      </c>
      <c r="H1857" s="461" t="s">
        <v>712</v>
      </c>
      <c r="I1857" s="461" t="s">
        <v>713</v>
      </c>
      <c r="J1857" s="461" t="s">
        <v>712</v>
      </c>
      <c r="K1857" s="594"/>
      <c r="L1857" s="594"/>
      <c r="M1857" s="352">
        <v>2000</v>
      </c>
      <c r="N1857" s="352" t="s">
        <v>703</v>
      </c>
      <c r="O1857" s="460">
        <v>2142</v>
      </c>
      <c r="P1857" s="460" t="s">
        <v>780</v>
      </c>
      <c r="Q1857" s="460" t="s">
        <v>2280</v>
      </c>
      <c r="R1857" s="460">
        <v>2121</v>
      </c>
      <c r="S1857" s="460" t="s">
        <v>2324</v>
      </c>
      <c r="T1857" s="462">
        <v>1</v>
      </c>
      <c r="U1857" s="460" t="s">
        <v>2330</v>
      </c>
      <c r="V1857" s="475">
        <v>0</v>
      </c>
      <c r="W1857" s="463" t="s">
        <v>713</v>
      </c>
      <c r="X1857" s="463" t="s">
        <v>713</v>
      </c>
      <c r="Y1857" s="463" t="s">
        <v>713</v>
      </c>
      <c r="Z1857" s="463"/>
      <c r="AA1857" s="463"/>
      <c r="AB1857" s="464">
        <v>694.25073505925036</v>
      </c>
      <c r="AC1857" s="465">
        <v>0.98919613020352848</v>
      </c>
      <c r="AD1857" s="465">
        <v>6.1470786353717164E-3</v>
      </c>
      <c r="AE1857" s="476">
        <v>697.28374108046944</v>
      </c>
      <c r="AF1857" s="467">
        <v>0.99351767812211711</v>
      </c>
      <c r="AG1857" s="468">
        <v>6.0784995360645445E-3</v>
      </c>
      <c r="AH1857" s="218">
        <v>422.46174881063035</v>
      </c>
      <c r="AI1857" s="470">
        <v>0.60194034515040951</v>
      </c>
      <c r="AJ1857" s="471">
        <v>3.8233797904819213E-3</v>
      </c>
      <c r="AK1857" s="218">
        <v>422.46174881063035</v>
      </c>
      <c r="AL1857" s="470">
        <v>0.60194034515040951</v>
      </c>
      <c r="AM1857" s="471">
        <v>3.8233797904819213E-3</v>
      </c>
      <c r="AN1857" s="477">
        <v>422.46174881063035</v>
      </c>
      <c r="AO1857" s="473">
        <v>0.60194034515040951</v>
      </c>
      <c r="AP1857" s="474">
        <v>3.8332483559780466E-3</v>
      </c>
      <c r="AQ1857" s="352"/>
      <c r="AR1857" s="352"/>
      <c r="AS1857" s="352"/>
      <c r="AT1857" s="352"/>
      <c r="AU1857" s="352"/>
      <c r="AV1857" s="352"/>
      <c r="AW1857" s="352" t="s">
        <v>254</v>
      </c>
    </row>
    <row r="1858" spans="2:49" x14ac:dyDescent="0.2">
      <c r="B1858" s="460" t="s">
        <v>2918</v>
      </c>
      <c r="C1858" s="460">
        <v>2142</v>
      </c>
      <c r="D1858" s="460" t="s">
        <v>2337</v>
      </c>
      <c r="E1858" s="460" t="s">
        <v>2333</v>
      </c>
      <c r="F1858" s="460">
        <v>4</v>
      </c>
      <c r="G1858" s="460">
        <v>3</v>
      </c>
      <c r="H1858" s="461" t="s">
        <v>712</v>
      </c>
      <c r="I1858" s="461" t="s">
        <v>713</v>
      </c>
      <c r="J1858" s="461" t="s">
        <v>712</v>
      </c>
      <c r="K1858" s="594"/>
      <c r="L1858" s="594"/>
      <c r="M1858" s="352">
        <v>2000</v>
      </c>
      <c r="N1858" s="352" t="s">
        <v>703</v>
      </c>
      <c r="O1858" s="460">
        <v>2142</v>
      </c>
      <c r="P1858" s="460" t="s">
        <v>780</v>
      </c>
      <c r="Q1858" s="460" t="s">
        <v>2280</v>
      </c>
      <c r="R1858" s="460">
        <v>2121</v>
      </c>
      <c r="S1858" s="460" t="s">
        <v>2333</v>
      </c>
      <c r="T1858" s="462">
        <v>1</v>
      </c>
      <c r="U1858" s="460" t="s">
        <v>2333</v>
      </c>
      <c r="V1858" s="475">
        <v>0</v>
      </c>
      <c r="W1858" s="463" t="s">
        <v>713</v>
      </c>
      <c r="X1858" s="463" t="s">
        <v>713</v>
      </c>
      <c r="Y1858" s="463" t="s">
        <v>713</v>
      </c>
      <c r="Z1858" s="463"/>
      <c r="AA1858" s="463"/>
      <c r="AB1858" s="464">
        <v>796.67257912517846</v>
      </c>
      <c r="AC1858" s="465">
        <v>0.99990769576319016</v>
      </c>
      <c r="AD1858" s="465">
        <v>6.0566798867341468E-3</v>
      </c>
      <c r="AE1858" s="476">
        <v>796.70199634227367</v>
      </c>
      <c r="AF1858" s="467">
        <v>0.99994461745791408</v>
      </c>
      <c r="AG1858" s="468">
        <v>5.9948548771436416E-3</v>
      </c>
      <c r="AH1858" s="218">
        <v>796.67257912517846</v>
      </c>
      <c r="AI1858" s="470">
        <v>0.99990769576319016</v>
      </c>
      <c r="AJ1858" s="471">
        <v>6.0137320235834858E-3</v>
      </c>
      <c r="AK1858" s="218">
        <v>796.67257912517846</v>
      </c>
      <c r="AL1858" s="470">
        <v>0.99990769576319016</v>
      </c>
      <c r="AM1858" s="471">
        <v>6.0137320235834858E-3</v>
      </c>
      <c r="AN1858" s="477">
        <v>796.67257912517846</v>
      </c>
      <c r="AO1858" s="473">
        <v>0.99990769576319016</v>
      </c>
      <c r="AP1858" s="474">
        <v>6.0156430897668617E-3</v>
      </c>
      <c r="AQ1858" s="352"/>
      <c r="AR1858" s="352"/>
      <c r="AS1858" s="352"/>
      <c r="AT1858" s="352"/>
      <c r="AU1858" s="352"/>
      <c r="AV1858" s="352"/>
      <c r="AW1858" s="352" t="s">
        <v>254</v>
      </c>
    </row>
    <row r="1859" spans="2:49" x14ac:dyDescent="0.2">
      <c r="B1859" s="460" t="s">
        <v>2915</v>
      </c>
      <c r="C1859" s="460">
        <v>2142</v>
      </c>
      <c r="D1859" s="460" t="s">
        <v>2338</v>
      </c>
      <c r="E1859" s="460" t="s">
        <v>2324</v>
      </c>
      <c r="F1859" s="460">
        <v>1</v>
      </c>
      <c r="G1859" s="460">
        <v>3</v>
      </c>
      <c r="H1859" s="461" t="s">
        <v>746</v>
      </c>
      <c r="I1859" s="461" t="s">
        <v>762</v>
      </c>
      <c r="J1859" s="461" t="s">
        <v>700</v>
      </c>
      <c r="K1859" s="594"/>
      <c r="L1859" s="594"/>
      <c r="M1859" s="352">
        <v>2000</v>
      </c>
      <c r="N1859" s="352" t="s">
        <v>703</v>
      </c>
      <c r="O1859" s="460">
        <v>2142</v>
      </c>
      <c r="P1859" s="460" t="s">
        <v>780</v>
      </c>
      <c r="Q1859" s="460" t="s">
        <v>2531</v>
      </c>
      <c r="R1859" s="460">
        <v>2121</v>
      </c>
      <c r="S1859" s="460" t="s">
        <v>2324</v>
      </c>
      <c r="T1859" s="462">
        <v>1</v>
      </c>
      <c r="U1859" s="460" t="s">
        <v>2324</v>
      </c>
      <c r="V1859" s="475">
        <v>0</v>
      </c>
      <c r="W1859" s="463" t="s">
        <v>2268</v>
      </c>
      <c r="X1859" s="463" t="s">
        <v>2268</v>
      </c>
      <c r="Y1859" s="463" t="s">
        <v>2290</v>
      </c>
      <c r="Z1859" s="463"/>
      <c r="AA1859" s="463"/>
      <c r="AB1859" s="464">
        <v>0</v>
      </c>
      <c r="AC1859" s="465">
        <v>0</v>
      </c>
      <c r="AD1859" s="465">
        <v>0</v>
      </c>
      <c r="AE1859" s="476">
        <v>0</v>
      </c>
      <c r="AF1859" s="467">
        <v>0</v>
      </c>
      <c r="AG1859" s="468">
        <v>0</v>
      </c>
      <c r="AH1859" s="218">
        <v>0</v>
      </c>
      <c r="AI1859" s="470">
        <v>0</v>
      </c>
      <c r="AJ1859" s="471">
        <v>0</v>
      </c>
      <c r="AK1859" s="218">
        <v>0</v>
      </c>
      <c r="AL1859" s="470">
        <v>0</v>
      </c>
      <c r="AM1859" s="471">
        <v>0</v>
      </c>
      <c r="AN1859" s="477">
        <v>0</v>
      </c>
      <c r="AO1859" s="473">
        <v>0</v>
      </c>
      <c r="AP1859" s="474">
        <v>0</v>
      </c>
      <c r="AQ1859" s="352"/>
      <c r="AR1859" s="352"/>
      <c r="AS1859" s="352"/>
      <c r="AT1859" s="352"/>
      <c r="AU1859" s="352"/>
      <c r="AV1859" s="352"/>
      <c r="AW1859" s="352" t="s">
        <v>254</v>
      </c>
    </row>
    <row r="1860" spans="2:49" x14ac:dyDescent="0.2">
      <c r="B1860" s="460" t="s">
        <v>2916</v>
      </c>
      <c r="C1860" s="460">
        <v>2142</v>
      </c>
      <c r="D1860" s="460" t="s">
        <v>2339</v>
      </c>
      <c r="E1860" s="460" t="s">
        <v>2327</v>
      </c>
      <c r="F1860" s="460">
        <v>2</v>
      </c>
      <c r="G1860" s="460">
        <v>3</v>
      </c>
      <c r="H1860" s="461" t="s">
        <v>746</v>
      </c>
      <c r="I1860" s="461" t="s">
        <v>762</v>
      </c>
      <c r="J1860" s="461" t="s">
        <v>700</v>
      </c>
      <c r="K1860" s="594"/>
      <c r="L1860" s="594"/>
      <c r="M1860" s="352">
        <v>2000</v>
      </c>
      <c r="N1860" s="352" t="s">
        <v>703</v>
      </c>
      <c r="O1860" s="460">
        <v>2142</v>
      </c>
      <c r="P1860" s="460" t="s">
        <v>780</v>
      </c>
      <c r="Q1860" s="460" t="s">
        <v>2531</v>
      </c>
      <c r="R1860" s="460">
        <v>2121</v>
      </c>
      <c r="S1860" s="460" t="s">
        <v>2324</v>
      </c>
      <c r="T1860" s="462">
        <v>1</v>
      </c>
      <c r="U1860" s="460" t="s">
        <v>2327</v>
      </c>
      <c r="V1860" s="475">
        <v>0</v>
      </c>
      <c r="W1860" s="463" t="s">
        <v>2268</v>
      </c>
      <c r="X1860" s="463" t="s">
        <v>2268</v>
      </c>
      <c r="Y1860" s="463" t="s">
        <v>2290</v>
      </c>
      <c r="Z1860" s="463"/>
      <c r="AA1860" s="463"/>
      <c r="AB1860" s="464">
        <v>0</v>
      </c>
      <c r="AC1860" s="465">
        <v>0</v>
      </c>
      <c r="AD1860" s="465">
        <v>0</v>
      </c>
      <c r="AE1860" s="476">
        <v>0</v>
      </c>
      <c r="AF1860" s="467">
        <v>0</v>
      </c>
      <c r="AG1860" s="468">
        <v>0</v>
      </c>
      <c r="AH1860" s="218">
        <v>0</v>
      </c>
      <c r="AI1860" s="470">
        <v>0</v>
      </c>
      <c r="AJ1860" s="471">
        <v>0</v>
      </c>
      <c r="AK1860" s="218">
        <v>0</v>
      </c>
      <c r="AL1860" s="470">
        <v>0</v>
      </c>
      <c r="AM1860" s="471">
        <v>0</v>
      </c>
      <c r="AN1860" s="477">
        <v>0</v>
      </c>
      <c r="AO1860" s="473">
        <v>0</v>
      </c>
      <c r="AP1860" s="474">
        <v>0</v>
      </c>
      <c r="AQ1860" s="352"/>
      <c r="AR1860" s="352"/>
      <c r="AS1860" s="352"/>
      <c r="AT1860" s="352"/>
      <c r="AU1860" s="352"/>
      <c r="AV1860" s="352"/>
      <c r="AW1860" s="352" t="s">
        <v>254</v>
      </c>
    </row>
    <row r="1861" spans="2:49" x14ac:dyDescent="0.2">
      <c r="B1861" s="460" t="s">
        <v>2917</v>
      </c>
      <c r="C1861" s="460">
        <v>2142</v>
      </c>
      <c r="D1861" s="460" t="s">
        <v>2340</v>
      </c>
      <c r="E1861" s="460" t="s">
        <v>2330</v>
      </c>
      <c r="F1861" s="460">
        <v>3</v>
      </c>
      <c r="G1861" s="460">
        <v>3</v>
      </c>
      <c r="H1861" s="461" t="s">
        <v>746</v>
      </c>
      <c r="I1861" s="461" t="s">
        <v>762</v>
      </c>
      <c r="J1861" s="461" t="s">
        <v>700</v>
      </c>
      <c r="K1861" s="594"/>
      <c r="L1861" s="594"/>
      <c r="M1861" s="352">
        <v>2000</v>
      </c>
      <c r="N1861" s="352" t="s">
        <v>703</v>
      </c>
      <c r="O1861" s="460">
        <v>2142</v>
      </c>
      <c r="P1861" s="460" t="s">
        <v>780</v>
      </c>
      <c r="Q1861" s="460" t="s">
        <v>2531</v>
      </c>
      <c r="R1861" s="460">
        <v>2121</v>
      </c>
      <c r="S1861" s="460" t="s">
        <v>2324</v>
      </c>
      <c r="T1861" s="462">
        <v>1</v>
      </c>
      <c r="U1861" s="460" t="s">
        <v>2330</v>
      </c>
      <c r="V1861" s="475">
        <v>0</v>
      </c>
      <c r="W1861" s="463" t="s">
        <v>2268</v>
      </c>
      <c r="X1861" s="463" t="s">
        <v>2268</v>
      </c>
      <c r="Y1861" s="463" t="s">
        <v>2290</v>
      </c>
      <c r="Z1861" s="463"/>
      <c r="AA1861" s="463"/>
      <c r="AB1861" s="464">
        <v>0</v>
      </c>
      <c r="AC1861" s="465">
        <v>0</v>
      </c>
      <c r="AD1861" s="465">
        <v>0</v>
      </c>
      <c r="AE1861" s="476">
        <v>0</v>
      </c>
      <c r="AF1861" s="467">
        <v>0</v>
      </c>
      <c r="AG1861" s="468">
        <v>0</v>
      </c>
      <c r="AH1861" s="218">
        <v>0</v>
      </c>
      <c r="AI1861" s="470">
        <v>0</v>
      </c>
      <c r="AJ1861" s="471">
        <v>0</v>
      </c>
      <c r="AK1861" s="218">
        <v>0</v>
      </c>
      <c r="AL1861" s="470">
        <v>0</v>
      </c>
      <c r="AM1861" s="471">
        <v>0</v>
      </c>
      <c r="AN1861" s="477">
        <v>0</v>
      </c>
      <c r="AO1861" s="473">
        <v>0</v>
      </c>
      <c r="AP1861" s="474">
        <v>0</v>
      </c>
      <c r="AQ1861" s="352"/>
      <c r="AR1861" s="352"/>
      <c r="AS1861" s="352"/>
      <c r="AT1861" s="352"/>
      <c r="AU1861" s="352"/>
      <c r="AV1861" s="352"/>
      <c r="AW1861" s="352" t="s">
        <v>254</v>
      </c>
    </row>
    <row r="1862" spans="2:49" x14ac:dyDescent="0.2">
      <c r="B1862" s="460" t="s">
        <v>2918</v>
      </c>
      <c r="C1862" s="460">
        <v>2142</v>
      </c>
      <c r="D1862" s="460" t="s">
        <v>2341</v>
      </c>
      <c r="E1862" s="460" t="s">
        <v>2333</v>
      </c>
      <c r="F1862" s="460">
        <v>4</v>
      </c>
      <c r="G1862" s="460">
        <v>3</v>
      </c>
      <c r="H1862" s="461" t="s">
        <v>746</v>
      </c>
      <c r="I1862" s="461" t="s">
        <v>762</v>
      </c>
      <c r="J1862" s="461" t="s">
        <v>700</v>
      </c>
      <c r="K1862" s="594"/>
      <c r="L1862" s="594"/>
      <c r="M1862" s="352">
        <v>2000</v>
      </c>
      <c r="N1862" s="352" t="s">
        <v>703</v>
      </c>
      <c r="O1862" s="460">
        <v>2142</v>
      </c>
      <c r="P1862" s="460" t="s">
        <v>780</v>
      </c>
      <c r="Q1862" s="460" t="s">
        <v>2531</v>
      </c>
      <c r="R1862" s="460">
        <v>2121</v>
      </c>
      <c r="S1862" s="460" t="s">
        <v>2333</v>
      </c>
      <c r="T1862" s="462">
        <v>1</v>
      </c>
      <c r="U1862" s="460" t="s">
        <v>2333</v>
      </c>
      <c r="V1862" s="475">
        <v>0</v>
      </c>
      <c r="W1862" s="463" t="s">
        <v>2268</v>
      </c>
      <c r="X1862" s="463" t="s">
        <v>2268</v>
      </c>
      <c r="Y1862" s="463" t="s">
        <v>2290</v>
      </c>
      <c r="Z1862" s="463"/>
      <c r="AA1862" s="463"/>
      <c r="AB1862" s="464">
        <v>0</v>
      </c>
      <c r="AC1862" s="465">
        <v>0</v>
      </c>
      <c r="AD1862" s="465">
        <v>0</v>
      </c>
      <c r="AE1862" s="476">
        <v>0</v>
      </c>
      <c r="AF1862" s="467">
        <v>0</v>
      </c>
      <c r="AG1862" s="468">
        <v>0</v>
      </c>
      <c r="AH1862" s="218">
        <v>0</v>
      </c>
      <c r="AI1862" s="470">
        <v>0</v>
      </c>
      <c r="AJ1862" s="471">
        <v>0</v>
      </c>
      <c r="AK1862" s="218">
        <v>0</v>
      </c>
      <c r="AL1862" s="470">
        <v>0</v>
      </c>
      <c r="AM1862" s="471">
        <v>0</v>
      </c>
      <c r="AN1862" s="477">
        <v>0</v>
      </c>
      <c r="AO1862" s="473">
        <v>0</v>
      </c>
      <c r="AP1862" s="474">
        <v>0</v>
      </c>
      <c r="AQ1862" s="352"/>
      <c r="AR1862" s="352"/>
      <c r="AS1862" s="352"/>
      <c r="AT1862" s="352"/>
      <c r="AU1862" s="352"/>
      <c r="AV1862" s="352"/>
      <c r="AW1862" s="352" t="s">
        <v>254</v>
      </c>
    </row>
    <row r="1863" spans="2:49" x14ac:dyDescent="0.2">
      <c r="B1863" s="460" t="s">
        <v>2915</v>
      </c>
      <c r="C1863" s="460">
        <v>2142</v>
      </c>
      <c r="D1863" s="460" t="s">
        <v>2342</v>
      </c>
      <c r="E1863" s="460" t="s">
        <v>2324</v>
      </c>
      <c r="F1863" s="460">
        <v>1</v>
      </c>
      <c r="G1863" s="460">
        <v>3</v>
      </c>
      <c r="H1863" s="461" t="s">
        <v>748</v>
      </c>
      <c r="I1863" s="461" t="s">
        <v>765</v>
      </c>
      <c r="J1863" s="461" t="s">
        <v>700</v>
      </c>
      <c r="K1863" s="594"/>
      <c r="L1863" s="594"/>
      <c r="M1863" s="352">
        <v>2000</v>
      </c>
      <c r="N1863" s="352" t="s">
        <v>703</v>
      </c>
      <c r="O1863" s="460">
        <v>2142</v>
      </c>
      <c r="P1863" s="460" t="s">
        <v>780</v>
      </c>
      <c r="Q1863" s="460" t="s">
        <v>2527</v>
      </c>
      <c r="R1863" s="460">
        <v>2121</v>
      </c>
      <c r="S1863" s="460" t="s">
        <v>2324</v>
      </c>
      <c r="T1863" s="462">
        <v>1</v>
      </c>
      <c r="U1863" s="460" t="s">
        <v>2324</v>
      </c>
      <c r="V1863" s="475">
        <v>0</v>
      </c>
      <c r="W1863" s="463" t="s">
        <v>2268</v>
      </c>
      <c r="X1863" s="463" t="s">
        <v>2268</v>
      </c>
      <c r="Y1863" s="479" t="s">
        <v>2267</v>
      </c>
      <c r="Z1863" s="479"/>
      <c r="AA1863" s="479"/>
      <c r="AB1863" s="464">
        <v>0</v>
      </c>
      <c r="AC1863" s="465">
        <v>0</v>
      </c>
      <c r="AD1863" s="465">
        <v>0</v>
      </c>
      <c r="AE1863" s="476">
        <v>0</v>
      </c>
      <c r="AF1863" s="467">
        <v>0</v>
      </c>
      <c r="AG1863" s="468">
        <v>0</v>
      </c>
      <c r="AH1863" s="218">
        <v>0</v>
      </c>
      <c r="AI1863" s="470">
        <v>0</v>
      </c>
      <c r="AJ1863" s="471">
        <v>0</v>
      </c>
      <c r="AK1863" s="218">
        <v>0</v>
      </c>
      <c r="AL1863" s="470">
        <v>0</v>
      </c>
      <c r="AM1863" s="471">
        <v>0</v>
      </c>
      <c r="AN1863" s="477">
        <v>2072.2373014439381</v>
      </c>
      <c r="AO1863" s="473">
        <v>0.39805965484959044</v>
      </c>
      <c r="AP1863" s="474">
        <v>0.1078637131504637</v>
      </c>
      <c r="AQ1863" s="352"/>
      <c r="AR1863" s="352"/>
      <c r="AS1863" s="352"/>
      <c r="AT1863" s="352"/>
      <c r="AU1863" s="352"/>
      <c r="AV1863" s="352"/>
      <c r="AW1863" s="352" t="s">
        <v>254</v>
      </c>
    </row>
    <row r="1864" spans="2:49" x14ac:dyDescent="0.2">
      <c r="B1864" s="460" t="s">
        <v>2916</v>
      </c>
      <c r="C1864" s="460">
        <v>2142</v>
      </c>
      <c r="D1864" s="460" t="s">
        <v>2343</v>
      </c>
      <c r="E1864" s="460" t="s">
        <v>2327</v>
      </c>
      <c r="F1864" s="460">
        <v>2</v>
      </c>
      <c r="G1864" s="460">
        <v>3</v>
      </c>
      <c r="H1864" s="461" t="s">
        <v>748</v>
      </c>
      <c r="I1864" s="461" t="s">
        <v>765</v>
      </c>
      <c r="J1864" s="461" t="s">
        <v>700</v>
      </c>
      <c r="K1864" s="594"/>
      <c r="L1864" s="594"/>
      <c r="M1864" s="352">
        <v>2000</v>
      </c>
      <c r="N1864" s="352" t="s">
        <v>703</v>
      </c>
      <c r="O1864" s="460">
        <v>2142</v>
      </c>
      <c r="P1864" s="460" t="s">
        <v>780</v>
      </c>
      <c r="Q1864" s="460" t="s">
        <v>2527</v>
      </c>
      <c r="R1864" s="460">
        <v>2121</v>
      </c>
      <c r="S1864" s="460" t="s">
        <v>2324</v>
      </c>
      <c r="T1864" s="462">
        <v>1</v>
      </c>
      <c r="U1864" s="460" t="s">
        <v>2327</v>
      </c>
      <c r="V1864" s="475">
        <v>0</v>
      </c>
      <c r="W1864" s="463" t="s">
        <v>2268</v>
      </c>
      <c r="X1864" s="463" t="s">
        <v>2268</v>
      </c>
      <c r="Y1864" s="479" t="s">
        <v>2267</v>
      </c>
      <c r="Z1864" s="479"/>
      <c r="AA1864" s="479"/>
      <c r="AB1864" s="464">
        <v>0</v>
      </c>
      <c r="AC1864" s="465">
        <v>0</v>
      </c>
      <c r="AD1864" s="465">
        <v>0</v>
      </c>
      <c r="AE1864" s="476">
        <v>0</v>
      </c>
      <c r="AF1864" s="467">
        <v>0</v>
      </c>
      <c r="AG1864" s="468">
        <v>0</v>
      </c>
      <c r="AH1864" s="218">
        <v>0</v>
      </c>
      <c r="AI1864" s="470">
        <v>0</v>
      </c>
      <c r="AJ1864" s="471">
        <v>0</v>
      </c>
      <c r="AK1864" s="218">
        <v>0</v>
      </c>
      <c r="AL1864" s="470">
        <v>0</v>
      </c>
      <c r="AM1864" s="471">
        <v>0</v>
      </c>
      <c r="AN1864" s="477">
        <v>1672.6244609961179</v>
      </c>
      <c r="AO1864" s="473">
        <v>0.39805965484959044</v>
      </c>
      <c r="AP1864" s="474">
        <v>0.14868546342030842</v>
      </c>
      <c r="AQ1864" s="352"/>
      <c r="AR1864" s="352"/>
      <c r="AS1864" s="352"/>
      <c r="AT1864" s="352"/>
      <c r="AU1864" s="352"/>
      <c r="AV1864" s="352"/>
      <c r="AW1864" s="352" t="s">
        <v>254</v>
      </c>
    </row>
    <row r="1865" spans="2:49" x14ac:dyDescent="0.2">
      <c r="B1865" s="460" t="s">
        <v>2917</v>
      </c>
      <c r="C1865" s="460">
        <v>2142</v>
      </c>
      <c r="D1865" s="460" t="s">
        <v>2344</v>
      </c>
      <c r="E1865" s="460" t="s">
        <v>2330</v>
      </c>
      <c r="F1865" s="460">
        <v>3</v>
      </c>
      <c r="G1865" s="460">
        <v>3</v>
      </c>
      <c r="H1865" s="461" t="s">
        <v>748</v>
      </c>
      <c r="I1865" s="461" t="s">
        <v>765</v>
      </c>
      <c r="J1865" s="461" t="s">
        <v>700</v>
      </c>
      <c r="K1865" s="594"/>
      <c r="L1865" s="594"/>
      <c r="M1865" s="352">
        <v>2000</v>
      </c>
      <c r="N1865" s="352" t="s">
        <v>703</v>
      </c>
      <c r="O1865" s="460">
        <v>2142</v>
      </c>
      <c r="P1865" s="460" t="s">
        <v>780</v>
      </c>
      <c r="Q1865" s="460" t="s">
        <v>2527</v>
      </c>
      <c r="R1865" s="460">
        <v>2121</v>
      </c>
      <c r="S1865" s="460" t="s">
        <v>2324</v>
      </c>
      <c r="T1865" s="462">
        <v>1</v>
      </c>
      <c r="U1865" s="460" t="s">
        <v>2330</v>
      </c>
      <c r="V1865" s="475">
        <v>0</v>
      </c>
      <c r="W1865" s="463" t="s">
        <v>2268</v>
      </c>
      <c r="X1865" s="463" t="s">
        <v>2268</v>
      </c>
      <c r="Y1865" s="479" t="s">
        <v>2267</v>
      </c>
      <c r="Z1865" s="479"/>
      <c r="AA1865" s="479"/>
      <c r="AB1865" s="464">
        <v>0</v>
      </c>
      <c r="AC1865" s="465">
        <v>0</v>
      </c>
      <c r="AD1865" s="465">
        <v>0</v>
      </c>
      <c r="AE1865" s="476">
        <v>0</v>
      </c>
      <c r="AF1865" s="467">
        <v>0</v>
      </c>
      <c r="AG1865" s="468">
        <v>0</v>
      </c>
      <c r="AH1865" s="218">
        <v>0</v>
      </c>
      <c r="AI1865" s="470">
        <v>0</v>
      </c>
      <c r="AJ1865" s="471">
        <v>0</v>
      </c>
      <c r="AK1865" s="218">
        <v>0</v>
      </c>
      <c r="AL1865" s="470">
        <v>0</v>
      </c>
      <c r="AM1865" s="471">
        <v>0</v>
      </c>
      <c r="AN1865" s="477">
        <v>279.37150130166765</v>
      </c>
      <c r="AO1865" s="473">
        <v>0.39805965484959044</v>
      </c>
      <c r="AP1865" s="474">
        <v>7.6151843228199304E-2</v>
      </c>
      <c r="AQ1865" s="352"/>
      <c r="AR1865" s="352"/>
      <c r="AS1865" s="352"/>
      <c r="AT1865" s="352"/>
      <c r="AU1865" s="352"/>
      <c r="AV1865" s="352"/>
      <c r="AW1865" s="352" t="s">
        <v>254</v>
      </c>
    </row>
    <row r="1866" spans="2:49" x14ac:dyDescent="0.2">
      <c r="B1866" s="460" t="s">
        <v>2918</v>
      </c>
      <c r="C1866" s="460">
        <v>2142</v>
      </c>
      <c r="D1866" s="460" t="s">
        <v>2345</v>
      </c>
      <c r="E1866" s="460" t="s">
        <v>2333</v>
      </c>
      <c r="F1866" s="460">
        <v>4</v>
      </c>
      <c r="G1866" s="460">
        <v>3</v>
      </c>
      <c r="H1866" s="461" t="s">
        <v>748</v>
      </c>
      <c r="I1866" s="461" t="s">
        <v>765</v>
      </c>
      <c r="J1866" s="461" t="s">
        <v>700</v>
      </c>
      <c r="K1866" s="594"/>
      <c r="L1866" s="594"/>
      <c r="M1866" s="352">
        <v>2000</v>
      </c>
      <c r="N1866" s="352" t="s">
        <v>703</v>
      </c>
      <c r="O1866" s="460">
        <v>2142</v>
      </c>
      <c r="P1866" s="460" t="s">
        <v>780</v>
      </c>
      <c r="Q1866" s="460" t="s">
        <v>2527</v>
      </c>
      <c r="R1866" s="460">
        <v>2121</v>
      </c>
      <c r="S1866" s="460" t="s">
        <v>2333</v>
      </c>
      <c r="T1866" s="462">
        <v>1</v>
      </c>
      <c r="U1866" s="460" t="s">
        <v>2333</v>
      </c>
      <c r="V1866" s="475">
        <v>0</v>
      </c>
      <c r="W1866" s="463" t="s">
        <v>2268</v>
      </c>
      <c r="X1866" s="463" t="s">
        <v>2268</v>
      </c>
      <c r="Y1866" s="463" t="s">
        <v>2278</v>
      </c>
      <c r="Z1866" s="463"/>
      <c r="AA1866" s="463"/>
      <c r="AB1866" s="464">
        <v>0</v>
      </c>
      <c r="AC1866" s="465">
        <v>0</v>
      </c>
      <c r="AD1866" s="465">
        <v>0</v>
      </c>
      <c r="AE1866" s="476">
        <v>0</v>
      </c>
      <c r="AF1866" s="467">
        <v>0</v>
      </c>
      <c r="AG1866" s="468">
        <v>0</v>
      </c>
      <c r="AH1866" s="218">
        <v>0</v>
      </c>
      <c r="AI1866" s="470">
        <v>0</v>
      </c>
      <c r="AJ1866" s="471">
        <v>0</v>
      </c>
      <c r="AK1866" s="218">
        <v>0</v>
      </c>
      <c r="AL1866" s="470">
        <v>0</v>
      </c>
      <c r="AM1866" s="471">
        <v>0</v>
      </c>
      <c r="AN1866" s="477">
        <v>7.3543042737889322E-2</v>
      </c>
      <c r="AO1866" s="473">
        <v>9.2304236809815222E-5</v>
      </c>
      <c r="AP1866" s="474">
        <v>4.5797057085471565E-5</v>
      </c>
      <c r="AQ1866" s="352"/>
      <c r="AR1866" s="352"/>
      <c r="AS1866" s="352"/>
      <c r="AT1866" s="352"/>
      <c r="AU1866" s="352"/>
      <c r="AV1866" s="352"/>
      <c r="AW1866" s="352" t="s">
        <v>254</v>
      </c>
    </row>
    <row r="1867" spans="2:49" x14ac:dyDescent="0.2">
      <c r="B1867" s="460" t="s">
        <v>2915</v>
      </c>
      <c r="C1867" s="460">
        <v>2142</v>
      </c>
      <c r="D1867" s="460" t="s">
        <v>2346</v>
      </c>
      <c r="E1867" s="460" t="s">
        <v>2324</v>
      </c>
      <c r="F1867" s="460">
        <v>1</v>
      </c>
      <c r="G1867" s="460">
        <v>3</v>
      </c>
      <c r="H1867" s="461" t="s">
        <v>752</v>
      </c>
      <c r="I1867" s="461" t="s">
        <v>964</v>
      </c>
      <c r="J1867" s="461" t="s">
        <v>752</v>
      </c>
      <c r="K1867" s="594"/>
      <c r="L1867" s="594"/>
      <c r="M1867" s="352">
        <v>2000</v>
      </c>
      <c r="N1867" s="352" t="s">
        <v>703</v>
      </c>
      <c r="O1867" s="460">
        <v>2142</v>
      </c>
      <c r="P1867" s="460" t="s">
        <v>780</v>
      </c>
      <c r="Q1867" s="460" t="s">
        <v>2527</v>
      </c>
      <c r="R1867" s="460">
        <v>2121</v>
      </c>
      <c r="S1867" s="460" t="s">
        <v>2324</v>
      </c>
      <c r="T1867" s="462">
        <v>1</v>
      </c>
      <c r="U1867" s="460" t="s">
        <v>2324</v>
      </c>
      <c r="V1867" s="475">
        <v>0</v>
      </c>
      <c r="W1867" s="463" t="s">
        <v>2278</v>
      </c>
      <c r="X1867" s="463" t="s">
        <v>2278</v>
      </c>
      <c r="Y1867" s="463" t="s">
        <v>2278</v>
      </c>
      <c r="Z1867" s="463"/>
      <c r="AA1867" s="463"/>
      <c r="AB1867" s="464">
        <v>0</v>
      </c>
      <c r="AC1867" s="465">
        <v>0</v>
      </c>
      <c r="AD1867" s="465">
        <v>0</v>
      </c>
      <c r="AE1867" s="476">
        <v>0</v>
      </c>
      <c r="AF1867" s="467">
        <v>0</v>
      </c>
      <c r="AG1867" s="468">
        <v>0</v>
      </c>
      <c r="AH1867" s="218">
        <v>0</v>
      </c>
      <c r="AI1867" s="470">
        <v>0</v>
      </c>
      <c r="AJ1867" s="471">
        <v>0</v>
      </c>
      <c r="AK1867" s="218">
        <v>0</v>
      </c>
      <c r="AL1867" s="470">
        <v>0</v>
      </c>
      <c r="AM1867" s="471">
        <v>0</v>
      </c>
      <c r="AN1867" s="477">
        <v>0</v>
      </c>
      <c r="AO1867" s="473">
        <v>0</v>
      </c>
      <c r="AP1867" s="474">
        <v>0</v>
      </c>
      <c r="AQ1867" s="352"/>
      <c r="AR1867" s="352"/>
      <c r="AS1867" s="352"/>
      <c r="AT1867" s="352"/>
      <c r="AU1867" s="352"/>
      <c r="AV1867" s="352"/>
      <c r="AW1867" s="352" t="s">
        <v>254</v>
      </c>
    </row>
    <row r="1868" spans="2:49" x14ac:dyDescent="0.2">
      <c r="B1868" s="460" t="s">
        <v>2916</v>
      </c>
      <c r="C1868" s="460">
        <v>2142</v>
      </c>
      <c r="D1868" s="460" t="s">
        <v>2347</v>
      </c>
      <c r="E1868" s="460" t="s">
        <v>2327</v>
      </c>
      <c r="F1868" s="460">
        <v>2</v>
      </c>
      <c r="G1868" s="460">
        <v>3</v>
      </c>
      <c r="H1868" s="461" t="s">
        <v>752</v>
      </c>
      <c r="I1868" s="461" t="s">
        <v>964</v>
      </c>
      <c r="J1868" s="461" t="s">
        <v>752</v>
      </c>
      <c r="K1868" s="594"/>
      <c r="L1868" s="594"/>
      <c r="M1868" s="352">
        <v>2000</v>
      </c>
      <c r="N1868" s="352" t="s">
        <v>703</v>
      </c>
      <c r="O1868" s="460">
        <v>2142</v>
      </c>
      <c r="P1868" s="460" t="s">
        <v>780</v>
      </c>
      <c r="Q1868" s="460" t="s">
        <v>2527</v>
      </c>
      <c r="R1868" s="460">
        <v>2121</v>
      </c>
      <c r="S1868" s="460" t="s">
        <v>2324</v>
      </c>
      <c r="T1868" s="462">
        <v>1</v>
      </c>
      <c r="U1868" s="460" t="s">
        <v>2327</v>
      </c>
      <c r="V1868" s="475">
        <v>0</v>
      </c>
      <c r="W1868" s="463" t="s">
        <v>2278</v>
      </c>
      <c r="X1868" s="463" t="s">
        <v>2278</v>
      </c>
      <c r="Y1868" s="463" t="s">
        <v>2278</v>
      </c>
      <c r="Z1868" s="463"/>
      <c r="AA1868" s="463"/>
      <c r="AB1868" s="464">
        <v>0</v>
      </c>
      <c r="AC1868" s="465">
        <v>0</v>
      </c>
      <c r="AD1868" s="465">
        <v>0</v>
      </c>
      <c r="AE1868" s="476">
        <v>0</v>
      </c>
      <c r="AF1868" s="467">
        <v>0</v>
      </c>
      <c r="AG1868" s="468">
        <v>0</v>
      </c>
      <c r="AH1868" s="218">
        <v>0</v>
      </c>
      <c r="AI1868" s="470">
        <v>0</v>
      </c>
      <c r="AJ1868" s="471">
        <v>0</v>
      </c>
      <c r="AK1868" s="218">
        <v>0</v>
      </c>
      <c r="AL1868" s="470">
        <v>0</v>
      </c>
      <c r="AM1868" s="471">
        <v>0</v>
      </c>
      <c r="AN1868" s="477">
        <v>0</v>
      </c>
      <c r="AO1868" s="473">
        <v>0</v>
      </c>
      <c r="AP1868" s="474">
        <v>0</v>
      </c>
      <c r="AQ1868" s="352"/>
      <c r="AR1868" s="352"/>
      <c r="AS1868" s="352"/>
      <c r="AT1868" s="352"/>
      <c r="AU1868" s="352"/>
      <c r="AV1868" s="352"/>
      <c r="AW1868" s="352" t="s">
        <v>254</v>
      </c>
    </row>
    <row r="1869" spans="2:49" x14ac:dyDescent="0.2">
      <c r="B1869" s="460" t="s">
        <v>2917</v>
      </c>
      <c r="C1869" s="460">
        <v>2142</v>
      </c>
      <c r="D1869" s="460" t="s">
        <v>2348</v>
      </c>
      <c r="E1869" s="460" t="s">
        <v>2330</v>
      </c>
      <c r="F1869" s="460">
        <v>3</v>
      </c>
      <c r="G1869" s="460">
        <v>3</v>
      </c>
      <c r="H1869" s="461" t="s">
        <v>752</v>
      </c>
      <c r="I1869" s="461" t="s">
        <v>964</v>
      </c>
      <c r="J1869" s="461" t="s">
        <v>752</v>
      </c>
      <c r="K1869" s="594"/>
      <c r="L1869" s="594"/>
      <c r="M1869" s="352">
        <v>2000</v>
      </c>
      <c r="N1869" s="352" t="s">
        <v>703</v>
      </c>
      <c r="O1869" s="460">
        <v>2142</v>
      </c>
      <c r="P1869" s="460" t="s">
        <v>780</v>
      </c>
      <c r="Q1869" s="460" t="s">
        <v>2527</v>
      </c>
      <c r="R1869" s="460">
        <v>2121</v>
      </c>
      <c r="S1869" s="460" t="s">
        <v>2324</v>
      </c>
      <c r="T1869" s="462">
        <v>1</v>
      </c>
      <c r="U1869" s="460" t="s">
        <v>2330</v>
      </c>
      <c r="V1869" s="475">
        <v>0</v>
      </c>
      <c r="W1869" s="463" t="s">
        <v>2278</v>
      </c>
      <c r="X1869" s="463" t="s">
        <v>2278</v>
      </c>
      <c r="Y1869" s="463" t="s">
        <v>2278</v>
      </c>
      <c r="Z1869" s="463"/>
      <c r="AA1869" s="463"/>
      <c r="AB1869" s="464">
        <v>0</v>
      </c>
      <c r="AC1869" s="465">
        <v>0</v>
      </c>
      <c r="AD1869" s="465">
        <v>0</v>
      </c>
      <c r="AE1869" s="476">
        <v>0</v>
      </c>
      <c r="AF1869" s="467">
        <v>0</v>
      </c>
      <c r="AG1869" s="468">
        <v>0</v>
      </c>
      <c r="AH1869" s="218">
        <v>0</v>
      </c>
      <c r="AI1869" s="470">
        <v>0</v>
      </c>
      <c r="AJ1869" s="471">
        <v>0</v>
      </c>
      <c r="AK1869" s="218">
        <v>0</v>
      </c>
      <c r="AL1869" s="470">
        <v>0</v>
      </c>
      <c r="AM1869" s="471">
        <v>0</v>
      </c>
      <c r="AN1869" s="477">
        <v>0</v>
      </c>
      <c r="AO1869" s="473">
        <v>0</v>
      </c>
      <c r="AP1869" s="474">
        <v>0</v>
      </c>
      <c r="AQ1869" s="352"/>
      <c r="AR1869" s="352"/>
      <c r="AS1869" s="352"/>
      <c r="AT1869" s="352"/>
      <c r="AU1869" s="352"/>
      <c r="AV1869" s="352"/>
      <c r="AW1869" s="352" t="s">
        <v>254</v>
      </c>
    </row>
    <row r="1870" spans="2:49" x14ac:dyDescent="0.2">
      <c r="B1870" s="460" t="s">
        <v>2918</v>
      </c>
      <c r="C1870" s="460">
        <v>2142</v>
      </c>
      <c r="D1870" s="460" t="s">
        <v>2349</v>
      </c>
      <c r="E1870" s="460" t="s">
        <v>2333</v>
      </c>
      <c r="F1870" s="460">
        <v>4</v>
      </c>
      <c r="G1870" s="460">
        <v>3</v>
      </c>
      <c r="H1870" s="461" t="s">
        <v>752</v>
      </c>
      <c r="I1870" s="461" t="s">
        <v>964</v>
      </c>
      <c r="J1870" s="461" t="s">
        <v>752</v>
      </c>
      <c r="K1870" s="594"/>
      <c r="L1870" s="594"/>
      <c r="M1870" s="352">
        <v>2000</v>
      </c>
      <c r="N1870" s="352" t="s">
        <v>703</v>
      </c>
      <c r="O1870" s="460">
        <v>2142</v>
      </c>
      <c r="P1870" s="460" t="s">
        <v>780</v>
      </c>
      <c r="Q1870" s="460" t="s">
        <v>2527</v>
      </c>
      <c r="R1870" s="460">
        <v>2121</v>
      </c>
      <c r="S1870" s="460" t="s">
        <v>2333</v>
      </c>
      <c r="T1870" s="462">
        <v>1</v>
      </c>
      <c r="U1870" s="460" t="s">
        <v>2333</v>
      </c>
      <c r="V1870" s="475">
        <v>0</v>
      </c>
      <c r="W1870" s="463" t="s">
        <v>2278</v>
      </c>
      <c r="X1870" s="463" t="s">
        <v>2278</v>
      </c>
      <c r="Y1870" s="463" t="s">
        <v>2278</v>
      </c>
      <c r="Z1870" s="463"/>
      <c r="AA1870" s="463"/>
      <c r="AB1870" s="464">
        <v>0</v>
      </c>
      <c r="AC1870" s="465">
        <v>0</v>
      </c>
      <c r="AD1870" s="465">
        <v>0</v>
      </c>
      <c r="AE1870" s="476">
        <v>0</v>
      </c>
      <c r="AF1870" s="467">
        <v>0</v>
      </c>
      <c r="AG1870" s="468">
        <v>0</v>
      </c>
      <c r="AH1870" s="218">
        <v>0</v>
      </c>
      <c r="AI1870" s="470">
        <v>0</v>
      </c>
      <c r="AJ1870" s="471">
        <v>0</v>
      </c>
      <c r="AK1870" s="218">
        <v>0</v>
      </c>
      <c r="AL1870" s="470">
        <v>0</v>
      </c>
      <c r="AM1870" s="471">
        <v>0</v>
      </c>
      <c r="AN1870" s="477">
        <v>0</v>
      </c>
      <c r="AO1870" s="473">
        <v>0</v>
      </c>
      <c r="AP1870" s="474">
        <v>0</v>
      </c>
      <c r="AQ1870" s="352"/>
      <c r="AR1870" s="352"/>
      <c r="AS1870" s="352"/>
      <c r="AT1870" s="352"/>
      <c r="AU1870" s="352"/>
      <c r="AV1870" s="352"/>
      <c r="AW1870" s="352" t="s">
        <v>254</v>
      </c>
    </row>
    <row r="1871" spans="2:49" x14ac:dyDescent="0.2">
      <c r="B1871" s="460" t="s">
        <v>2919</v>
      </c>
      <c r="C1871" s="460">
        <v>2142</v>
      </c>
      <c r="D1871" s="460" t="s">
        <v>2351</v>
      </c>
      <c r="E1871" s="460" t="s">
        <v>1136</v>
      </c>
      <c r="F1871" s="460">
        <v>1</v>
      </c>
      <c r="G1871" s="460">
        <v>4</v>
      </c>
      <c r="H1871" s="461" t="s">
        <v>700</v>
      </c>
      <c r="I1871" s="461" t="s">
        <v>872</v>
      </c>
      <c r="J1871" s="461" t="s">
        <v>700</v>
      </c>
      <c r="K1871" s="594"/>
      <c r="L1871" s="594"/>
      <c r="M1871" s="352">
        <v>2000</v>
      </c>
      <c r="N1871" s="352" t="s">
        <v>703</v>
      </c>
      <c r="O1871" s="460">
        <v>2142</v>
      </c>
      <c r="P1871" s="460" t="s">
        <v>780</v>
      </c>
      <c r="Q1871" s="460" t="s">
        <v>2527</v>
      </c>
      <c r="R1871" s="460">
        <v>2121</v>
      </c>
      <c r="S1871" s="460" t="s">
        <v>1136</v>
      </c>
      <c r="T1871" s="462">
        <v>1</v>
      </c>
      <c r="U1871" s="460" t="s">
        <v>1136</v>
      </c>
      <c r="V1871" s="475">
        <v>0</v>
      </c>
      <c r="W1871" s="479" t="s">
        <v>2503</v>
      </c>
      <c r="X1871" s="479" t="s">
        <v>2267</v>
      </c>
      <c r="Y1871" s="463" t="s">
        <v>2268</v>
      </c>
      <c r="Z1871" s="463"/>
      <c r="AA1871" s="463"/>
      <c r="AB1871" s="464">
        <v>6.0892519098137985</v>
      </c>
      <c r="AC1871" s="465">
        <v>2.2913972780542334E-3</v>
      </c>
      <c r="AD1871" s="465">
        <v>1.7325195725966309E-2</v>
      </c>
      <c r="AE1871" s="476">
        <v>3.653551145888279</v>
      </c>
      <c r="AF1871" s="467">
        <v>1.37483836683254E-3</v>
      </c>
      <c r="AG1871" s="468">
        <v>1.1300132635754308E-2</v>
      </c>
      <c r="AH1871" s="218">
        <v>579.24621907229346</v>
      </c>
      <c r="AI1871" s="470">
        <v>0.21797147323899202</v>
      </c>
      <c r="AJ1871" s="471">
        <v>0.4523719064896648</v>
      </c>
      <c r="AK1871" s="218">
        <v>579.24621907229346</v>
      </c>
      <c r="AL1871" s="470">
        <v>0.21797147323899202</v>
      </c>
      <c r="AM1871" s="471">
        <v>0.4523719064896648</v>
      </c>
      <c r="AN1871" s="477">
        <v>0</v>
      </c>
      <c r="AO1871" s="473">
        <v>0</v>
      </c>
      <c r="AP1871" s="474">
        <v>0</v>
      </c>
      <c r="AQ1871" s="352"/>
      <c r="AR1871" s="352"/>
      <c r="AS1871" s="352"/>
      <c r="AT1871" s="352"/>
      <c r="AU1871" s="352"/>
      <c r="AV1871" s="352"/>
      <c r="AW1871" s="352" t="s">
        <v>254</v>
      </c>
    </row>
    <row r="1872" spans="2:49" x14ac:dyDescent="0.2">
      <c r="B1872" s="460" t="s">
        <v>2920</v>
      </c>
      <c r="C1872" s="460">
        <v>2142</v>
      </c>
      <c r="D1872" s="460" t="s">
        <v>2353</v>
      </c>
      <c r="E1872" s="460" t="s">
        <v>1137</v>
      </c>
      <c r="F1872" s="460">
        <v>2</v>
      </c>
      <c r="G1872" s="460">
        <v>4</v>
      </c>
      <c r="H1872" s="461" t="s">
        <v>700</v>
      </c>
      <c r="I1872" s="461" t="s">
        <v>872</v>
      </c>
      <c r="J1872" s="461" t="s">
        <v>700</v>
      </c>
      <c r="K1872" s="594"/>
      <c r="L1872" s="594"/>
      <c r="M1872" s="352">
        <v>2000</v>
      </c>
      <c r="N1872" s="352" t="s">
        <v>703</v>
      </c>
      <c r="O1872" s="460">
        <v>2142</v>
      </c>
      <c r="P1872" s="460" t="s">
        <v>780</v>
      </c>
      <c r="Q1872" s="460" t="s">
        <v>2527</v>
      </c>
      <c r="R1872" s="460">
        <v>2121</v>
      </c>
      <c r="S1872" s="460" t="s">
        <v>1137</v>
      </c>
      <c r="T1872" s="462">
        <v>1</v>
      </c>
      <c r="U1872" s="460" t="s">
        <v>1137</v>
      </c>
      <c r="V1872" s="475">
        <v>0</v>
      </c>
      <c r="W1872" s="479" t="s">
        <v>2503</v>
      </c>
      <c r="X1872" s="479" t="s">
        <v>2267</v>
      </c>
      <c r="Y1872" s="463" t="s">
        <v>2268</v>
      </c>
      <c r="Z1872" s="463"/>
      <c r="AA1872" s="463"/>
      <c r="AB1872" s="464">
        <v>15.855382618561229</v>
      </c>
      <c r="AC1872" s="465">
        <v>9.1359657058339098E-3</v>
      </c>
      <c r="AD1872" s="465">
        <v>3.5803851510834632E-3</v>
      </c>
      <c r="AE1872" s="476">
        <v>9.5132295711367352</v>
      </c>
      <c r="AF1872" s="467">
        <v>5.4815794235003453E-3</v>
      </c>
      <c r="AG1872" s="468">
        <v>2.3143553840038631E-3</v>
      </c>
      <c r="AH1872" s="218">
        <v>344.67430999154817</v>
      </c>
      <c r="AI1872" s="470">
        <v>0.19860338608785305</v>
      </c>
      <c r="AJ1872" s="471">
        <v>7.1212962112084319E-2</v>
      </c>
      <c r="AK1872" s="218">
        <v>344.67430999154817</v>
      </c>
      <c r="AL1872" s="470">
        <v>0.19860338608785305</v>
      </c>
      <c r="AM1872" s="471">
        <v>7.1212962112084319E-2</v>
      </c>
      <c r="AN1872" s="477">
        <v>0</v>
      </c>
      <c r="AO1872" s="473">
        <v>0</v>
      </c>
      <c r="AP1872" s="474">
        <v>0</v>
      </c>
      <c r="AQ1872" s="352"/>
      <c r="AR1872" s="352"/>
      <c r="AS1872" s="352"/>
      <c r="AT1872" s="352"/>
      <c r="AU1872" s="352"/>
      <c r="AV1872" s="352"/>
      <c r="AW1872" s="352" t="s">
        <v>254</v>
      </c>
    </row>
    <row r="1873" spans="2:49" x14ac:dyDescent="0.2">
      <c r="B1873" s="460" t="s">
        <v>2921</v>
      </c>
      <c r="C1873" s="460">
        <v>2142</v>
      </c>
      <c r="D1873" s="460" t="s">
        <v>2355</v>
      </c>
      <c r="E1873" s="460" t="s">
        <v>1138</v>
      </c>
      <c r="F1873" s="460">
        <v>3</v>
      </c>
      <c r="G1873" s="460">
        <v>4</v>
      </c>
      <c r="H1873" s="461" t="s">
        <v>700</v>
      </c>
      <c r="I1873" s="461" t="s">
        <v>872</v>
      </c>
      <c r="J1873" s="461" t="s">
        <v>700</v>
      </c>
      <c r="K1873" s="594"/>
      <c r="L1873" s="594"/>
      <c r="M1873" s="352">
        <v>2000</v>
      </c>
      <c r="N1873" s="352" t="s">
        <v>703</v>
      </c>
      <c r="O1873" s="460">
        <v>2142</v>
      </c>
      <c r="P1873" s="460" t="s">
        <v>780</v>
      </c>
      <c r="Q1873" s="460" t="s">
        <v>2527</v>
      </c>
      <c r="R1873" s="460">
        <v>2121</v>
      </c>
      <c r="S1873" s="460" t="s">
        <v>1138</v>
      </c>
      <c r="T1873" s="462">
        <v>1</v>
      </c>
      <c r="U1873" s="460" t="s">
        <v>1138</v>
      </c>
      <c r="V1873" s="475">
        <v>0</v>
      </c>
      <c r="W1873" s="479" t="s">
        <v>2503</v>
      </c>
      <c r="X1873" s="479" t="s">
        <v>2267</v>
      </c>
      <c r="Y1873" s="463" t="s">
        <v>2268</v>
      </c>
      <c r="Z1873" s="463"/>
      <c r="AA1873" s="463"/>
      <c r="AB1873" s="464">
        <v>9.9266567141373443</v>
      </c>
      <c r="AC1873" s="465">
        <v>6.1835477826693852E-3</v>
      </c>
      <c r="AD1873" s="465">
        <v>4.1649090802815389E-3</v>
      </c>
      <c r="AE1873" s="476">
        <v>5.9559940284824062</v>
      </c>
      <c r="AF1873" s="467">
        <v>3.7101286696016311E-3</v>
      </c>
      <c r="AG1873" s="468">
        <v>2.6960240652735838E-3</v>
      </c>
      <c r="AH1873" s="218">
        <v>419.1972909804357</v>
      </c>
      <c r="AI1873" s="470">
        <v>0.2611278453350192</v>
      </c>
      <c r="AJ1873" s="471">
        <v>0.14445797933619953</v>
      </c>
      <c r="AK1873" s="218">
        <v>419.1972909804357</v>
      </c>
      <c r="AL1873" s="470">
        <v>0.2611278453350192</v>
      </c>
      <c r="AM1873" s="471">
        <v>0.14445797933619953</v>
      </c>
      <c r="AN1873" s="477">
        <v>0</v>
      </c>
      <c r="AO1873" s="473">
        <v>0</v>
      </c>
      <c r="AP1873" s="474">
        <v>0</v>
      </c>
      <c r="AQ1873" s="352"/>
      <c r="AR1873" s="352"/>
      <c r="AS1873" s="352"/>
      <c r="AT1873" s="352"/>
      <c r="AU1873" s="352"/>
      <c r="AV1873" s="352"/>
      <c r="AW1873" s="352" t="s">
        <v>254</v>
      </c>
    </row>
    <row r="1874" spans="2:49" x14ac:dyDescent="0.2">
      <c r="B1874" s="460" t="s">
        <v>2922</v>
      </c>
      <c r="C1874" s="460">
        <v>2142</v>
      </c>
      <c r="D1874" s="460" t="s">
        <v>2357</v>
      </c>
      <c r="E1874" s="460" t="s">
        <v>1139</v>
      </c>
      <c r="F1874" s="460">
        <v>4</v>
      </c>
      <c r="G1874" s="460">
        <v>4</v>
      </c>
      <c r="H1874" s="461" t="s">
        <v>700</v>
      </c>
      <c r="I1874" s="461" t="s">
        <v>872</v>
      </c>
      <c r="J1874" s="461" t="s">
        <v>700</v>
      </c>
      <c r="K1874" s="594"/>
      <c r="L1874" s="594"/>
      <c r="M1874" s="352">
        <v>2000</v>
      </c>
      <c r="N1874" s="352" t="s">
        <v>703</v>
      </c>
      <c r="O1874" s="460">
        <v>2142</v>
      </c>
      <c r="P1874" s="460" t="s">
        <v>780</v>
      </c>
      <c r="Q1874" s="460" t="s">
        <v>2527</v>
      </c>
      <c r="R1874" s="460">
        <v>2121</v>
      </c>
      <c r="S1874" s="460" t="s">
        <v>1139</v>
      </c>
      <c r="T1874" s="462">
        <v>1</v>
      </c>
      <c r="U1874" s="460" t="s">
        <v>1139</v>
      </c>
      <c r="V1874" s="475">
        <v>0</v>
      </c>
      <c r="W1874" s="463" t="s">
        <v>2503</v>
      </c>
      <c r="X1874" s="463" t="s">
        <v>2503</v>
      </c>
      <c r="Y1874" s="463" t="s">
        <v>2268</v>
      </c>
      <c r="Z1874" s="463"/>
      <c r="AA1874" s="463"/>
      <c r="AB1874" s="464">
        <v>0</v>
      </c>
      <c r="AC1874" s="465">
        <v>0</v>
      </c>
      <c r="AD1874" s="465">
        <v>0</v>
      </c>
      <c r="AE1874" s="476">
        <v>0</v>
      </c>
      <c r="AF1874" s="467">
        <v>0</v>
      </c>
      <c r="AG1874" s="468">
        <v>0</v>
      </c>
      <c r="AH1874" s="218">
        <v>0</v>
      </c>
      <c r="AI1874" s="470">
        <v>0</v>
      </c>
      <c r="AJ1874" s="471">
        <v>0</v>
      </c>
      <c r="AK1874" s="218">
        <v>0</v>
      </c>
      <c r="AL1874" s="470">
        <v>0</v>
      </c>
      <c r="AM1874" s="471">
        <v>0</v>
      </c>
      <c r="AN1874" s="477">
        <v>0</v>
      </c>
      <c r="AO1874" s="473">
        <v>0</v>
      </c>
      <c r="AP1874" s="474">
        <v>0</v>
      </c>
      <c r="AQ1874" s="352"/>
      <c r="AR1874" s="352"/>
      <c r="AS1874" s="352"/>
      <c r="AT1874" s="352"/>
      <c r="AU1874" s="352"/>
      <c r="AV1874" s="352"/>
      <c r="AW1874" s="352" t="s">
        <v>254</v>
      </c>
    </row>
    <row r="1875" spans="2:49" x14ac:dyDescent="0.2">
      <c r="B1875" s="460" t="s">
        <v>2919</v>
      </c>
      <c r="C1875" s="460">
        <v>2142</v>
      </c>
      <c r="D1875" s="460" t="s">
        <v>2358</v>
      </c>
      <c r="E1875" s="460" t="s">
        <v>1136</v>
      </c>
      <c r="F1875" s="460">
        <v>1</v>
      </c>
      <c r="G1875" s="460">
        <v>4</v>
      </c>
      <c r="H1875" s="461" t="s">
        <v>712</v>
      </c>
      <c r="I1875" s="461" t="s">
        <v>713</v>
      </c>
      <c r="J1875" s="461" t="s">
        <v>712</v>
      </c>
      <c r="K1875" s="594"/>
      <c r="L1875" s="594"/>
      <c r="M1875" s="352">
        <v>2000</v>
      </c>
      <c r="N1875" s="352" t="s">
        <v>703</v>
      </c>
      <c r="O1875" s="460">
        <v>2142</v>
      </c>
      <c r="P1875" s="460" t="s">
        <v>780</v>
      </c>
      <c r="Q1875" s="460" t="s">
        <v>2280</v>
      </c>
      <c r="R1875" s="460">
        <v>2121</v>
      </c>
      <c r="S1875" s="460" t="s">
        <v>1136</v>
      </c>
      <c r="T1875" s="462">
        <v>1</v>
      </c>
      <c r="U1875" s="460" t="s">
        <v>1136</v>
      </c>
      <c r="V1875" s="475">
        <v>0</v>
      </c>
      <c r="W1875" s="463" t="s">
        <v>713</v>
      </c>
      <c r="X1875" s="463" t="s">
        <v>713</v>
      </c>
      <c r="Y1875" s="463" t="s">
        <v>713</v>
      </c>
      <c r="Z1875" s="463"/>
      <c r="AA1875" s="463"/>
      <c r="AB1875" s="464">
        <v>2649.0234826082828</v>
      </c>
      <c r="AC1875" s="465">
        <v>0.996832663100643</v>
      </c>
      <c r="AD1875" s="465">
        <v>1.7458045969264414E-2</v>
      </c>
      <c r="AE1875" s="476">
        <v>2651.4591833722084</v>
      </c>
      <c r="AF1875" s="467">
        <v>0.99774922201186478</v>
      </c>
      <c r="AG1875" s="468">
        <v>1.7470857116149017E-2</v>
      </c>
      <c r="AH1875" s="218">
        <v>1847.9556685335956</v>
      </c>
      <c r="AI1875" s="470">
        <v>0.69538929437594166</v>
      </c>
      <c r="AJ1875" s="471">
        <v>1.2300205495142888E-2</v>
      </c>
      <c r="AK1875" s="218">
        <v>1847.9556685335956</v>
      </c>
      <c r="AL1875" s="470">
        <v>0.69538929437594166</v>
      </c>
      <c r="AM1875" s="471">
        <v>1.2300205495142888E-2</v>
      </c>
      <c r="AN1875" s="477">
        <v>1847.9556685335956</v>
      </c>
      <c r="AO1875" s="473">
        <v>0.69538929437594166</v>
      </c>
      <c r="AP1875" s="474">
        <v>1.2280191343161148E-2</v>
      </c>
      <c r="AQ1875" s="352"/>
      <c r="AR1875" s="352"/>
      <c r="AS1875" s="352"/>
      <c r="AT1875" s="352"/>
      <c r="AU1875" s="352"/>
      <c r="AV1875" s="352"/>
      <c r="AW1875" s="352" t="s">
        <v>254</v>
      </c>
    </row>
    <row r="1876" spans="2:49" x14ac:dyDescent="0.2">
      <c r="B1876" s="460" t="s">
        <v>2920</v>
      </c>
      <c r="C1876" s="460">
        <v>2142</v>
      </c>
      <c r="D1876" s="460" t="s">
        <v>2359</v>
      </c>
      <c r="E1876" s="460" t="s">
        <v>1137</v>
      </c>
      <c r="F1876" s="460">
        <v>2</v>
      </c>
      <c r="G1876" s="460">
        <v>4</v>
      </c>
      <c r="H1876" s="461" t="s">
        <v>712</v>
      </c>
      <c r="I1876" s="461" t="s">
        <v>713</v>
      </c>
      <c r="J1876" s="461" t="s">
        <v>712</v>
      </c>
      <c r="K1876" s="594"/>
      <c r="L1876" s="594"/>
      <c r="M1876" s="352">
        <v>2000</v>
      </c>
      <c r="N1876" s="352" t="s">
        <v>703</v>
      </c>
      <c r="O1876" s="460">
        <v>2142</v>
      </c>
      <c r="P1876" s="460" t="s">
        <v>780</v>
      </c>
      <c r="Q1876" s="460" t="s">
        <v>2280</v>
      </c>
      <c r="R1876" s="460">
        <v>2121</v>
      </c>
      <c r="S1876" s="460" t="s">
        <v>1137</v>
      </c>
      <c r="T1876" s="462">
        <v>1</v>
      </c>
      <c r="U1876" s="460" t="s">
        <v>1137</v>
      </c>
      <c r="V1876" s="475">
        <v>0</v>
      </c>
      <c r="W1876" s="463" t="s">
        <v>713</v>
      </c>
      <c r="X1876" s="463" t="s">
        <v>713</v>
      </c>
      <c r="Y1876" s="463" t="s">
        <v>713</v>
      </c>
      <c r="Z1876" s="463"/>
      <c r="AA1876" s="463"/>
      <c r="AB1876" s="464">
        <v>1716.5915504326324</v>
      </c>
      <c r="AC1876" s="465">
        <v>0.989110254414024</v>
      </c>
      <c r="AD1876" s="465">
        <v>9.9272857322095232E-3</v>
      </c>
      <c r="AE1876" s="476">
        <v>1722.9337034800569</v>
      </c>
      <c r="AF1876" s="467">
        <v>0.9927646406963575</v>
      </c>
      <c r="AG1876" s="468">
        <v>9.9456802502523364E-3</v>
      </c>
      <c r="AH1876" s="218">
        <v>1371.032536501307</v>
      </c>
      <c r="AI1876" s="470">
        <v>0.78999709665757945</v>
      </c>
      <c r="AJ1876" s="471">
        <v>7.9518766741405403E-3</v>
      </c>
      <c r="AK1876" s="218">
        <v>1371.032536501307</v>
      </c>
      <c r="AL1876" s="470">
        <v>0.78999709665757945</v>
      </c>
      <c r="AM1876" s="471">
        <v>7.9518766741405403E-3</v>
      </c>
      <c r="AN1876" s="477">
        <v>1371.032536501307</v>
      </c>
      <c r="AO1876" s="473">
        <v>0.78999709665757945</v>
      </c>
      <c r="AP1876" s="474">
        <v>7.9453152351637579E-3</v>
      </c>
      <c r="AQ1876" s="352"/>
      <c r="AR1876" s="352"/>
      <c r="AS1876" s="352"/>
      <c r="AT1876" s="352"/>
      <c r="AU1876" s="352"/>
      <c r="AV1876" s="352"/>
      <c r="AW1876" s="352" t="s">
        <v>254</v>
      </c>
    </row>
    <row r="1877" spans="2:49" x14ac:dyDescent="0.2">
      <c r="B1877" s="460" t="s">
        <v>2921</v>
      </c>
      <c r="C1877" s="460">
        <v>2142</v>
      </c>
      <c r="D1877" s="460" t="s">
        <v>2360</v>
      </c>
      <c r="E1877" s="460" t="s">
        <v>1138</v>
      </c>
      <c r="F1877" s="460">
        <v>3</v>
      </c>
      <c r="G1877" s="460">
        <v>4</v>
      </c>
      <c r="H1877" s="461" t="s">
        <v>712</v>
      </c>
      <c r="I1877" s="461" t="s">
        <v>713</v>
      </c>
      <c r="J1877" s="461" t="s">
        <v>712</v>
      </c>
      <c r="K1877" s="594"/>
      <c r="L1877" s="594"/>
      <c r="M1877" s="352">
        <v>2000</v>
      </c>
      <c r="N1877" s="352" t="s">
        <v>703</v>
      </c>
      <c r="O1877" s="460">
        <v>2142</v>
      </c>
      <c r="P1877" s="460" t="s">
        <v>780</v>
      </c>
      <c r="Q1877" s="460" t="s">
        <v>2280</v>
      </c>
      <c r="R1877" s="460">
        <v>2121</v>
      </c>
      <c r="S1877" s="460" t="s">
        <v>1138</v>
      </c>
      <c r="T1877" s="462">
        <v>1</v>
      </c>
      <c r="U1877" s="460" t="s">
        <v>1138</v>
      </c>
      <c r="V1877" s="475">
        <v>0</v>
      </c>
      <c r="W1877" s="463" t="s">
        <v>713</v>
      </c>
      <c r="X1877" s="463" t="s">
        <v>713</v>
      </c>
      <c r="Y1877" s="463" t="s">
        <v>713</v>
      </c>
      <c r="Z1877" s="463"/>
      <c r="AA1877" s="463"/>
      <c r="AB1877" s="464">
        <v>1595.072292856614</v>
      </c>
      <c r="AC1877" s="465">
        <v>0.99360802168608386</v>
      </c>
      <c r="AD1877" s="465">
        <v>1.9905779148679355E-2</v>
      </c>
      <c r="AE1877" s="476">
        <v>1599.0429555422691</v>
      </c>
      <c r="AF1877" s="467">
        <v>0.99608144079915162</v>
      </c>
      <c r="AG1877" s="468">
        <v>1.9912037217808098E-2</v>
      </c>
      <c r="AH1877" s="218">
        <v>1050.6212776581619</v>
      </c>
      <c r="AI1877" s="470">
        <v>0.6544566875810387</v>
      </c>
      <c r="AJ1877" s="471">
        <v>1.3236232850530246E-2</v>
      </c>
      <c r="AK1877" s="218">
        <v>1050.6212776581619</v>
      </c>
      <c r="AL1877" s="470">
        <v>0.6544566875810387</v>
      </c>
      <c r="AM1877" s="471">
        <v>1.3236232850530246E-2</v>
      </c>
      <c r="AN1877" s="477">
        <v>1050.6212776581619</v>
      </c>
      <c r="AO1877" s="473">
        <v>0.6544566875810387</v>
      </c>
      <c r="AP1877" s="474">
        <v>1.3235235313936052E-2</v>
      </c>
      <c r="AQ1877" s="352"/>
      <c r="AR1877" s="352"/>
      <c r="AS1877" s="352"/>
      <c r="AT1877" s="352"/>
      <c r="AU1877" s="352"/>
      <c r="AV1877" s="352"/>
      <c r="AW1877" s="352" t="s">
        <v>254</v>
      </c>
    </row>
    <row r="1878" spans="2:49" x14ac:dyDescent="0.2">
      <c r="B1878" s="460" t="s">
        <v>2922</v>
      </c>
      <c r="C1878" s="460">
        <v>2142</v>
      </c>
      <c r="D1878" s="460" t="s">
        <v>2361</v>
      </c>
      <c r="E1878" s="460" t="s">
        <v>1139</v>
      </c>
      <c r="F1878" s="460">
        <v>4</v>
      </c>
      <c r="G1878" s="460">
        <v>4</v>
      </c>
      <c r="H1878" s="461" t="s">
        <v>712</v>
      </c>
      <c r="I1878" s="461" t="s">
        <v>713</v>
      </c>
      <c r="J1878" s="461" t="s">
        <v>712</v>
      </c>
      <c r="K1878" s="594"/>
      <c r="L1878" s="594"/>
      <c r="M1878" s="352">
        <v>2000</v>
      </c>
      <c r="N1878" s="352" t="s">
        <v>703</v>
      </c>
      <c r="O1878" s="460">
        <v>2142</v>
      </c>
      <c r="P1878" s="460" t="s">
        <v>780</v>
      </c>
      <c r="Q1878" s="460" t="s">
        <v>2280</v>
      </c>
      <c r="R1878" s="460">
        <v>2121</v>
      </c>
      <c r="S1878" s="460" t="s">
        <v>1139</v>
      </c>
      <c r="T1878" s="462">
        <v>1</v>
      </c>
      <c r="U1878" s="460" t="s">
        <v>1139</v>
      </c>
      <c r="V1878" s="475">
        <v>0</v>
      </c>
      <c r="W1878" s="463" t="s">
        <v>713</v>
      </c>
      <c r="X1878" s="463" t="s">
        <v>713</v>
      </c>
      <c r="Y1878" s="463" t="s">
        <v>713</v>
      </c>
      <c r="Z1878" s="463"/>
      <c r="AA1878" s="463"/>
      <c r="AB1878" s="464">
        <v>1796.3671634386837</v>
      </c>
      <c r="AC1878" s="465">
        <v>0.98736498949200491</v>
      </c>
      <c r="AD1878" s="465">
        <v>1.9889799977002427E-2</v>
      </c>
      <c r="AE1878" s="476">
        <v>1796.3671634386837</v>
      </c>
      <c r="AF1878" s="467">
        <v>0.98736498949200491</v>
      </c>
      <c r="AG1878" s="468">
        <v>1.9889799977002427E-2</v>
      </c>
      <c r="AH1878" s="218">
        <v>686.2873747276667</v>
      </c>
      <c r="AI1878" s="470">
        <v>0.37721471441247911</v>
      </c>
      <c r="AJ1878" s="471">
        <v>7.7621678330855341E-3</v>
      </c>
      <c r="AK1878" s="218">
        <v>686.2873747276667</v>
      </c>
      <c r="AL1878" s="470">
        <v>0.37721471441247911</v>
      </c>
      <c r="AM1878" s="471">
        <v>7.7621678330855341E-3</v>
      </c>
      <c r="AN1878" s="477">
        <v>686.2873747276667</v>
      </c>
      <c r="AO1878" s="473">
        <v>0.37721471441247911</v>
      </c>
      <c r="AP1878" s="474">
        <v>7.7621678330855341E-3</v>
      </c>
      <c r="AQ1878" s="352"/>
      <c r="AR1878" s="352"/>
      <c r="AS1878" s="352"/>
      <c r="AT1878" s="352"/>
      <c r="AU1878" s="352"/>
      <c r="AV1878" s="352"/>
      <c r="AW1878" s="352" t="s">
        <v>254</v>
      </c>
    </row>
    <row r="1879" spans="2:49" x14ac:dyDescent="0.2">
      <c r="B1879" s="460" t="s">
        <v>2919</v>
      </c>
      <c r="C1879" s="460">
        <v>2142</v>
      </c>
      <c r="D1879" s="460" t="s">
        <v>2362</v>
      </c>
      <c r="E1879" s="460" t="s">
        <v>1136</v>
      </c>
      <c r="F1879" s="460">
        <v>1</v>
      </c>
      <c r="G1879" s="460">
        <v>4</v>
      </c>
      <c r="H1879" s="461" t="s">
        <v>746</v>
      </c>
      <c r="I1879" s="461" t="s">
        <v>762</v>
      </c>
      <c r="J1879" s="461" t="s">
        <v>700</v>
      </c>
      <c r="K1879" s="594"/>
      <c r="L1879" s="594"/>
      <c r="M1879" s="352">
        <v>2000</v>
      </c>
      <c r="N1879" s="352" t="s">
        <v>703</v>
      </c>
      <c r="O1879" s="460">
        <v>2142</v>
      </c>
      <c r="P1879" s="460" t="s">
        <v>780</v>
      </c>
      <c r="Q1879" s="460" t="s">
        <v>2531</v>
      </c>
      <c r="R1879" s="460">
        <v>2121</v>
      </c>
      <c r="S1879" s="460" t="s">
        <v>1136</v>
      </c>
      <c r="T1879" s="462">
        <v>1</v>
      </c>
      <c r="U1879" s="460" t="s">
        <v>1136</v>
      </c>
      <c r="V1879" s="475">
        <v>0</v>
      </c>
      <c r="W1879" s="463" t="s">
        <v>2268</v>
      </c>
      <c r="X1879" s="463" t="s">
        <v>2268</v>
      </c>
      <c r="Y1879" s="463" t="s">
        <v>2290</v>
      </c>
      <c r="Z1879" s="463"/>
      <c r="AA1879" s="463"/>
      <c r="AB1879" s="464">
        <v>0</v>
      </c>
      <c r="AC1879" s="465">
        <v>0</v>
      </c>
      <c r="AD1879" s="465">
        <v>0</v>
      </c>
      <c r="AE1879" s="476">
        <v>0</v>
      </c>
      <c r="AF1879" s="467">
        <v>0</v>
      </c>
      <c r="AG1879" s="468">
        <v>0</v>
      </c>
      <c r="AH1879" s="218">
        <v>0</v>
      </c>
      <c r="AI1879" s="470">
        <v>0</v>
      </c>
      <c r="AJ1879" s="471">
        <v>0</v>
      </c>
      <c r="AK1879" s="218">
        <v>0</v>
      </c>
      <c r="AL1879" s="470">
        <v>0</v>
      </c>
      <c r="AM1879" s="471">
        <v>0</v>
      </c>
      <c r="AN1879" s="477">
        <v>0</v>
      </c>
      <c r="AO1879" s="473">
        <v>0</v>
      </c>
      <c r="AP1879" s="474">
        <v>0</v>
      </c>
      <c r="AQ1879" s="352"/>
      <c r="AR1879" s="352"/>
      <c r="AS1879" s="352"/>
      <c r="AT1879" s="352"/>
      <c r="AU1879" s="352"/>
      <c r="AV1879" s="352"/>
      <c r="AW1879" s="352" t="s">
        <v>254</v>
      </c>
    </row>
    <row r="1880" spans="2:49" x14ac:dyDescent="0.2">
      <c r="B1880" s="460" t="s">
        <v>2920</v>
      </c>
      <c r="C1880" s="460">
        <v>2142</v>
      </c>
      <c r="D1880" s="460" t="s">
        <v>2363</v>
      </c>
      <c r="E1880" s="460" t="s">
        <v>1137</v>
      </c>
      <c r="F1880" s="460">
        <v>2</v>
      </c>
      <c r="G1880" s="460">
        <v>4</v>
      </c>
      <c r="H1880" s="461" t="s">
        <v>746</v>
      </c>
      <c r="I1880" s="461" t="s">
        <v>762</v>
      </c>
      <c r="J1880" s="461" t="s">
        <v>700</v>
      </c>
      <c r="K1880" s="594"/>
      <c r="L1880" s="594"/>
      <c r="M1880" s="352">
        <v>2000</v>
      </c>
      <c r="N1880" s="352" t="s">
        <v>703</v>
      </c>
      <c r="O1880" s="460">
        <v>2142</v>
      </c>
      <c r="P1880" s="460" t="s">
        <v>780</v>
      </c>
      <c r="Q1880" s="460" t="s">
        <v>2531</v>
      </c>
      <c r="R1880" s="460">
        <v>2121</v>
      </c>
      <c r="S1880" s="460" t="s">
        <v>1137</v>
      </c>
      <c r="T1880" s="462">
        <v>1</v>
      </c>
      <c r="U1880" s="460" t="s">
        <v>1137</v>
      </c>
      <c r="V1880" s="475">
        <v>0</v>
      </c>
      <c r="W1880" s="463" t="s">
        <v>2268</v>
      </c>
      <c r="X1880" s="463" t="s">
        <v>2268</v>
      </c>
      <c r="Y1880" s="463" t="s">
        <v>2290</v>
      </c>
      <c r="Z1880" s="463"/>
      <c r="AA1880" s="463"/>
      <c r="AB1880" s="464">
        <v>0</v>
      </c>
      <c r="AC1880" s="465">
        <v>0</v>
      </c>
      <c r="AD1880" s="465">
        <v>0</v>
      </c>
      <c r="AE1880" s="476">
        <v>0</v>
      </c>
      <c r="AF1880" s="467">
        <v>0</v>
      </c>
      <c r="AG1880" s="468">
        <v>0</v>
      </c>
      <c r="AH1880" s="218">
        <v>0</v>
      </c>
      <c r="AI1880" s="470">
        <v>0</v>
      </c>
      <c r="AJ1880" s="471">
        <v>0</v>
      </c>
      <c r="AK1880" s="218">
        <v>0</v>
      </c>
      <c r="AL1880" s="470">
        <v>0</v>
      </c>
      <c r="AM1880" s="471">
        <v>0</v>
      </c>
      <c r="AN1880" s="477">
        <v>0</v>
      </c>
      <c r="AO1880" s="473">
        <v>0</v>
      </c>
      <c r="AP1880" s="474">
        <v>0</v>
      </c>
      <c r="AQ1880" s="352"/>
      <c r="AR1880" s="352"/>
      <c r="AS1880" s="352"/>
      <c r="AT1880" s="352"/>
      <c r="AU1880" s="352"/>
      <c r="AV1880" s="352"/>
      <c r="AW1880" s="352" t="s">
        <v>254</v>
      </c>
    </row>
    <row r="1881" spans="2:49" x14ac:dyDescent="0.2">
      <c r="B1881" s="460" t="s">
        <v>2921</v>
      </c>
      <c r="C1881" s="460">
        <v>2142</v>
      </c>
      <c r="D1881" s="460" t="s">
        <v>2364</v>
      </c>
      <c r="E1881" s="460" t="s">
        <v>1138</v>
      </c>
      <c r="F1881" s="460">
        <v>3</v>
      </c>
      <c r="G1881" s="460">
        <v>4</v>
      </c>
      <c r="H1881" s="461" t="s">
        <v>746</v>
      </c>
      <c r="I1881" s="461" t="s">
        <v>762</v>
      </c>
      <c r="J1881" s="461" t="s">
        <v>700</v>
      </c>
      <c r="K1881" s="594"/>
      <c r="L1881" s="594"/>
      <c r="M1881" s="352">
        <v>2000</v>
      </c>
      <c r="N1881" s="352" t="s">
        <v>703</v>
      </c>
      <c r="O1881" s="460">
        <v>2142</v>
      </c>
      <c r="P1881" s="460" t="s">
        <v>780</v>
      </c>
      <c r="Q1881" s="460" t="s">
        <v>2531</v>
      </c>
      <c r="R1881" s="460">
        <v>2121</v>
      </c>
      <c r="S1881" s="460" t="s">
        <v>1138</v>
      </c>
      <c r="T1881" s="462">
        <v>1</v>
      </c>
      <c r="U1881" s="460" t="s">
        <v>1138</v>
      </c>
      <c r="V1881" s="475">
        <v>0</v>
      </c>
      <c r="W1881" s="463" t="s">
        <v>2268</v>
      </c>
      <c r="X1881" s="463" t="s">
        <v>2268</v>
      </c>
      <c r="Y1881" s="463" t="s">
        <v>2290</v>
      </c>
      <c r="Z1881" s="463"/>
      <c r="AA1881" s="463"/>
      <c r="AB1881" s="464">
        <v>0</v>
      </c>
      <c r="AC1881" s="465">
        <v>0</v>
      </c>
      <c r="AD1881" s="465">
        <v>0</v>
      </c>
      <c r="AE1881" s="476">
        <v>0</v>
      </c>
      <c r="AF1881" s="467">
        <v>0</v>
      </c>
      <c r="AG1881" s="468">
        <v>0</v>
      </c>
      <c r="AH1881" s="218">
        <v>0</v>
      </c>
      <c r="AI1881" s="470">
        <v>0</v>
      </c>
      <c r="AJ1881" s="471">
        <v>0</v>
      </c>
      <c r="AK1881" s="218">
        <v>0</v>
      </c>
      <c r="AL1881" s="470">
        <v>0</v>
      </c>
      <c r="AM1881" s="471">
        <v>0</v>
      </c>
      <c r="AN1881" s="477">
        <v>0</v>
      </c>
      <c r="AO1881" s="473">
        <v>0</v>
      </c>
      <c r="AP1881" s="474">
        <v>0</v>
      </c>
      <c r="AQ1881" s="352"/>
      <c r="AR1881" s="352"/>
      <c r="AS1881" s="352"/>
      <c r="AT1881" s="352"/>
      <c r="AU1881" s="352"/>
      <c r="AV1881" s="352"/>
      <c r="AW1881" s="352" t="s">
        <v>254</v>
      </c>
    </row>
    <row r="1882" spans="2:49" x14ac:dyDescent="0.2">
      <c r="B1882" s="460" t="s">
        <v>2922</v>
      </c>
      <c r="C1882" s="460">
        <v>2142</v>
      </c>
      <c r="D1882" s="460" t="s">
        <v>2365</v>
      </c>
      <c r="E1882" s="460" t="s">
        <v>1139</v>
      </c>
      <c r="F1882" s="460">
        <v>4</v>
      </c>
      <c r="G1882" s="460">
        <v>4</v>
      </c>
      <c r="H1882" s="461" t="s">
        <v>746</v>
      </c>
      <c r="I1882" s="461" t="s">
        <v>762</v>
      </c>
      <c r="J1882" s="461" t="s">
        <v>700</v>
      </c>
      <c r="K1882" s="594"/>
      <c r="L1882" s="594"/>
      <c r="M1882" s="352">
        <v>2000</v>
      </c>
      <c r="N1882" s="352" t="s">
        <v>703</v>
      </c>
      <c r="O1882" s="460">
        <v>2142</v>
      </c>
      <c r="P1882" s="460" t="s">
        <v>780</v>
      </c>
      <c r="Q1882" s="460" t="s">
        <v>2531</v>
      </c>
      <c r="R1882" s="460">
        <v>2121</v>
      </c>
      <c r="S1882" s="460" t="s">
        <v>1139</v>
      </c>
      <c r="T1882" s="462">
        <v>1</v>
      </c>
      <c r="U1882" s="460" t="s">
        <v>1139</v>
      </c>
      <c r="V1882" s="475">
        <v>0</v>
      </c>
      <c r="W1882" s="463" t="s">
        <v>2268</v>
      </c>
      <c r="X1882" s="463" t="s">
        <v>2268</v>
      </c>
      <c r="Y1882" s="463" t="s">
        <v>2290</v>
      </c>
      <c r="Z1882" s="463"/>
      <c r="AA1882" s="463"/>
      <c r="AB1882" s="464">
        <v>0</v>
      </c>
      <c r="AC1882" s="465">
        <v>0</v>
      </c>
      <c r="AD1882" s="465">
        <v>0</v>
      </c>
      <c r="AE1882" s="476">
        <v>0</v>
      </c>
      <c r="AF1882" s="467">
        <v>0</v>
      </c>
      <c r="AG1882" s="468">
        <v>0</v>
      </c>
      <c r="AH1882" s="218">
        <v>0</v>
      </c>
      <c r="AI1882" s="470">
        <v>0</v>
      </c>
      <c r="AJ1882" s="471">
        <v>0</v>
      </c>
      <c r="AK1882" s="218">
        <v>0</v>
      </c>
      <c r="AL1882" s="470">
        <v>0</v>
      </c>
      <c r="AM1882" s="471">
        <v>0</v>
      </c>
      <c r="AN1882" s="477">
        <v>0</v>
      </c>
      <c r="AO1882" s="473">
        <v>0</v>
      </c>
      <c r="AP1882" s="474">
        <v>0</v>
      </c>
      <c r="AQ1882" s="352"/>
      <c r="AR1882" s="352"/>
      <c r="AS1882" s="352"/>
      <c r="AT1882" s="352"/>
      <c r="AU1882" s="352"/>
      <c r="AV1882" s="352"/>
      <c r="AW1882" s="352" t="s">
        <v>254</v>
      </c>
    </row>
    <row r="1883" spans="2:49" x14ac:dyDescent="0.2">
      <c r="B1883" s="460" t="s">
        <v>2919</v>
      </c>
      <c r="C1883" s="460">
        <v>2142</v>
      </c>
      <c r="D1883" s="460" t="s">
        <v>2366</v>
      </c>
      <c r="E1883" s="460" t="s">
        <v>1136</v>
      </c>
      <c r="F1883" s="460">
        <v>1</v>
      </c>
      <c r="G1883" s="460">
        <v>4</v>
      </c>
      <c r="H1883" s="461" t="s">
        <v>748</v>
      </c>
      <c r="I1883" s="461" t="s">
        <v>765</v>
      </c>
      <c r="J1883" s="461" t="s">
        <v>700</v>
      </c>
      <c r="K1883" s="594"/>
      <c r="L1883" s="594"/>
      <c r="M1883" s="352">
        <v>2000</v>
      </c>
      <c r="N1883" s="352" t="s">
        <v>703</v>
      </c>
      <c r="O1883" s="460">
        <v>2142</v>
      </c>
      <c r="P1883" s="460" t="s">
        <v>780</v>
      </c>
      <c r="Q1883" s="460" t="s">
        <v>2527</v>
      </c>
      <c r="R1883" s="460">
        <v>2121</v>
      </c>
      <c r="S1883" s="460" t="s">
        <v>1136</v>
      </c>
      <c r="T1883" s="462">
        <v>1</v>
      </c>
      <c r="U1883" s="460" t="s">
        <v>1136</v>
      </c>
      <c r="V1883" s="475">
        <v>0</v>
      </c>
      <c r="W1883" s="463" t="s">
        <v>2268</v>
      </c>
      <c r="X1883" s="463" t="s">
        <v>2268</v>
      </c>
      <c r="Y1883" s="479" t="s">
        <v>2267</v>
      </c>
      <c r="Z1883" s="479"/>
      <c r="AA1883" s="479"/>
      <c r="AB1883" s="464">
        <v>0</v>
      </c>
      <c r="AC1883" s="465">
        <v>0</v>
      </c>
      <c r="AD1883" s="465">
        <v>0</v>
      </c>
      <c r="AE1883" s="476">
        <v>0</v>
      </c>
      <c r="AF1883" s="467">
        <v>0</v>
      </c>
      <c r="AG1883" s="468">
        <v>0</v>
      </c>
      <c r="AH1883" s="218">
        <v>0</v>
      </c>
      <c r="AI1883" s="470">
        <v>0</v>
      </c>
      <c r="AJ1883" s="471">
        <v>0</v>
      </c>
      <c r="AK1883" s="218">
        <v>0</v>
      </c>
      <c r="AL1883" s="470">
        <v>0</v>
      </c>
      <c r="AM1883" s="471">
        <v>0</v>
      </c>
      <c r="AN1883" s="477">
        <v>579.24621907229346</v>
      </c>
      <c r="AO1883" s="473">
        <v>0.21797147323899202</v>
      </c>
      <c r="AP1883" s="474">
        <v>0.71168950731006209</v>
      </c>
      <c r="AQ1883" s="352"/>
      <c r="AR1883" s="352"/>
      <c r="AS1883" s="352"/>
      <c r="AT1883" s="352"/>
      <c r="AU1883" s="352"/>
      <c r="AV1883" s="352"/>
      <c r="AW1883" s="352" t="s">
        <v>254</v>
      </c>
    </row>
    <row r="1884" spans="2:49" x14ac:dyDescent="0.2">
      <c r="B1884" s="460" t="s">
        <v>2920</v>
      </c>
      <c r="C1884" s="460">
        <v>2142</v>
      </c>
      <c r="D1884" s="460" t="s">
        <v>2367</v>
      </c>
      <c r="E1884" s="460" t="s">
        <v>1137</v>
      </c>
      <c r="F1884" s="460">
        <v>2</v>
      </c>
      <c r="G1884" s="460">
        <v>4</v>
      </c>
      <c r="H1884" s="461" t="s">
        <v>748</v>
      </c>
      <c r="I1884" s="461" t="s">
        <v>765</v>
      </c>
      <c r="J1884" s="461" t="s">
        <v>700</v>
      </c>
      <c r="K1884" s="594"/>
      <c r="L1884" s="594"/>
      <c r="M1884" s="352">
        <v>2000</v>
      </c>
      <c r="N1884" s="352" t="s">
        <v>703</v>
      </c>
      <c r="O1884" s="460">
        <v>2142</v>
      </c>
      <c r="P1884" s="460" t="s">
        <v>780</v>
      </c>
      <c r="Q1884" s="460" t="s">
        <v>2527</v>
      </c>
      <c r="R1884" s="460">
        <v>2121</v>
      </c>
      <c r="S1884" s="460" t="s">
        <v>1137</v>
      </c>
      <c r="T1884" s="462">
        <v>1</v>
      </c>
      <c r="U1884" s="460" t="s">
        <v>1137</v>
      </c>
      <c r="V1884" s="475">
        <v>0</v>
      </c>
      <c r="W1884" s="463" t="s">
        <v>2268</v>
      </c>
      <c r="X1884" s="463" t="s">
        <v>2268</v>
      </c>
      <c r="Y1884" s="479" t="s">
        <v>2267</v>
      </c>
      <c r="Z1884" s="479"/>
      <c r="AA1884" s="479"/>
      <c r="AB1884" s="464">
        <v>0</v>
      </c>
      <c r="AC1884" s="465">
        <v>0</v>
      </c>
      <c r="AD1884" s="465">
        <v>0</v>
      </c>
      <c r="AE1884" s="476">
        <v>0</v>
      </c>
      <c r="AF1884" s="467">
        <v>0</v>
      </c>
      <c r="AG1884" s="468">
        <v>0</v>
      </c>
      <c r="AH1884" s="218">
        <v>0</v>
      </c>
      <c r="AI1884" s="470">
        <v>0</v>
      </c>
      <c r="AJ1884" s="471">
        <v>0</v>
      </c>
      <c r="AK1884" s="218">
        <v>0</v>
      </c>
      <c r="AL1884" s="470">
        <v>0</v>
      </c>
      <c r="AM1884" s="471">
        <v>0</v>
      </c>
      <c r="AN1884" s="477">
        <v>344.67430999154817</v>
      </c>
      <c r="AO1884" s="473">
        <v>0.19860338608785305</v>
      </c>
      <c r="AP1884" s="474">
        <v>0.33199411644723464</v>
      </c>
      <c r="AQ1884" s="352"/>
      <c r="AR1884" s="352"/>
      <c r="AS1884" s="352"/>
      <c r="AT1884" s="352"/>
      <c r="AU1884" s="352"/>
      <c r="AV1884" s="352"/>
      <c r="AW1884" s="352" t="s">
        <v>254</v>
      </c>
    </row>
    <row r="1885" spans="2:49" x14ac:dyDescent="0.2">
      <c r="B1885" s="460" t="s">
        <v>2921</v>
      </c>
      <c r="C1885" s="460">
        <v>2142</v>
      </c>
      <c r="D1885" s="460" t="s">
        <v>2368</v>
      </c>
      <c r="E1885" s="460" t="s">
        <v>1138</v>
      </c>
      <c r="F1885" s="460">
        <v>3</v>
      </c>
      <c r="G1885" s="460">
        <v>4</v>
      </c>
      <c r="H1885" s="461" t="s">
        <v>748</v>
      </c>
      <c r="I1885" s="461" t="s">
        <v>765</v>
      </c>
      <c r="J1885" s="461" t="s">
        <v>700</v>
      </c>
      <c r="K1885" s="594"/>
      <c r="L1885" s="594"/>
      <c r="M1885" s="352">
        <v>2000</v>
      </c>
      <c r="N1885" s="352" t="s">
        <v>703</v>
      </c>
      <c r="O1885" s="460">
        <v>2142</v>
      </c>
      <c r="P1885" s="460" t="s">
        <v>780</v>
      </c>
      <c r="Q1885" s="460" t="s">
        <v>2527</v>
      </c>
      <c r="R1885" s="460">
        <v>2121</v>
      </c>
      <c r="S1885" s="460" t="s">
        <v>1138</v>
      </c>
      <c r="T1885" s="462">
        <v>1</v>
      </c>
      <c r="U1885" s="460" t="s">
        <v>1138</v>
      </c>
      <c r="V1885" s="475">
        <v>0</v>
      </c>
      <c r="W1885" s="463" t="s">
        <v>2268</v>
      </c>
      <c r="X1885" s="463" t="s">
        <v>2268</v>
      </c>
      <c r="Y1885" s="463" t="s">
        <v>2267</v>
      </c>
      <c r="Z1885" s="463"/>
      <c r="AA1885" s="463"/>
      <c r="AB1885" s="464">
        <v>0</v>
      </c>
      <c r="AC1885" s="465">
        <v>0</v>
      </c>
      <c r="AD1885" s="465">
        <v>0</v>
      </c>
      <c r="AE1885" s="476">
        <v>0</v>
      </c>
      <c r="AF1885" s="467">
        <v>0</v>
      </c>
      <c r="AG1885" s="468">
        <v>0</v>
      </c>
      <c r="AH1885" s="218">
        <v>0</v>
      </c>
      <c r="AI1885" s="470">
        <v>0</v>
      </c>
      <c r="AJ1885" s="471">
        <v>0</v>
      </c>
      <c r="AK1885" s="218">
        <v>0</v>
      </c>
      <c r="AL1885" s="470">
        <v>0</v>
      </c>
      <c r="AM1885" s="471">
        <v>0</v>
      </c>
      <c r="AN1885" s="477">
        <v>419.1972909804357</v>
      </c>
      <c r="AO1885" s="473">
        <v>0.2611278453350192</v>
      </c>
      <c r="AP1885" s="474">
        <v>0.43493835703341832</v>
      </c>
      <c r="AQ1885" s="352"/>
      <c r="AR1885" s="352"/>
      <c r="AS1885" s="352"/>
      <c r="AT1885" s="352"/>
      <c r="AU1885" s="352"/>
      <c r="AV1885" s="352"/>
      <c r="AW1885" s="352" t="s">
        <v>254</v>
      </c>
    </row>
    <row r="1886" spans="2:49" x14ac:dyDescent="0.2">
      <c r="B1886" s="460" t="s">
        <v>2922</v>
      </c>
      <c r="C1886" s="460">
        <v>2142</v>
      </c>
      <c r="D1886" s="460" t="s">
        <v>2369</v>
      </c>
      <c r="E1886" s="460" t="s">
        <v>1139</v>
      </c>
      <c r="F1886" s="460">
        <v>4</v>
      </c>
      <c r="G1886" s="460">
        <v>4</v>
      </c>
      <c r="H1886" s="461" t="s">
        <v>748</v>
      </c>
      <c r="I1886" s="461" t="s">
        <v>765</v>
      </c>
      <c r="J1886" s="461" t="s">
        <v>700</v>
      </c>
      <c r="K1886" s="594"/>
      <c r="L1886" s="594"/>
      <c r="M1886" s="352">
        <v>2000</v>
      </c>
      <c r="N1886" s="352" t="s">
        <v>703</v>
      </c>
      <c r="O1886" s="460">
        <v>2142</v>
      </c>
      <c r="P1886" s="460" t="s">
        <v>780</v>
      </c>
      <c r="Q1886" s="460" t="s">
        <v>2527</v>
      </c>
      <c r="R1886" s="460">
        <v>2121</v>
      </c>
      <c r="S1886" s="460" t="s">
        <v>1139</v>
      </c>
      <c r="T1886" s="462">
        <v>1</v>
      </c>
      <c r="U1886" s="460" t="s">
        <v>1139</v>
      </c>
      <c r="V1886" s="475">
        <v>0</v>
      </c>
      <c r="W1886" s="463" t="s">
        <v>2268</v>
      </c>
      <c r="X1886" s="463" t="s">
        <v>2268</v>
      </c>
      <c r="Y1886" s="463" t="s">
        <v>2267</v>
      </c>
      <c r="Z1886" s="463"/>
      <c r="AA1886" s="463"/>
      <c r="AB1886" s="464">
        <v>0</v>
      </c>
      <c r="AC1886" s="465">
        <v>0</v>
      </c>
      <c r="AD1886" s="465">
        <v>0</v>
      </c>
      <c r="AE1886" s="476">
        <v>0</v>
      </c>
      <c r="AF1886" s="467">
        <v>0</v>
      </c>
      <c r="AG1886" s="468">
        <v>0</v>
      </c>
      <c r="AH1886" s="218">
        <v>0</v>
      </c>
      <c r="AI1886" s="470">
        <v>0</v>
      </c>
      <c r="AJ1886" s="471">
        <v>0</v>
      </c>
      <c r="AK1886" s="218">
        <v>0</v>
      </c>
      <c r="AL1886" s="470">
        <v>0</v>
      </c>
      <c r="AM1886" s="471">
        <v>0</v>
      </c>
      <c r="AN1886" s="477">
        <v>0</v>
      </c>
      <c r="AO1886" s="473">
        <v>0</v>
      </c>
      <c r="AP1886" s="474">
        <v>0</v>
      </c>
      <c r="AQ1886" s="352"/>
      <c r="AR1886" s="352"/>
      <c r="AS1886" s="352"/>
      <c r="AT1886" s="352"/>
      <c r="AU1886" s="352"/>
      <c r="AV1886" s="352"/>
      <c r="AW1886" s="352" t="s">
        <v>254</v>
      </c>
    </row>
    <row r="1887" spans="2:49" x14ac:dyDescent="0.2">
      <c r="B1887" s="460" t="s">
        <v>2919</v>
      </c>
      <c r="C1887" s="460">
        <v>2142</v>
      </c>
      <c r="D1887" s="460" t="s">
        <v>2370</v>
      </c>
      <c r="E1887" s="460" t="s">
        <v>1136</v>
      </c>
      <c r="F1887" s="460">
        <v>1</v>
      </c>
      <c r="G1887" s="460">
        <v>4</v>
      </c>
      <c r="H1887" s="461" t="s">
        <v>752</v>
      </c>
      <c r="I1887" s="461" t="s">
        <v>964</v>
      </c>
      <c r="J1887" s="461" t="s">
        <v>752</v>
      </c>
      <c r="K1887" s="594"/>
      <c r="L1887" s="594"/>
      <c r="M1887" s="352">
        <v>2000</v>
      </c>
      <c r="N1887" s="352" t="s">
        <v>703</v>
      </c>
      <c r="O1887" s="460">
        <v>2142</v>
      </c>
      <c r="P1887" s="460" t="s">
        <v>780</v>
      </c>
      <c r="Q1887" s="460" t="s">
        <v>2527</v>
      </c>
      <c r="R1887" s="460">
        <v>2121</v>
      </c>
      <c r="S1887" s="460" t="s">
        <v>1136</v>
      </c>
      <c r="T1887" s="462">
        <v>1</v>
      </c>
      <c r="U1887" s="460" t="s">
        <v>1136</v>
      </c>
      <c r="V1887" s="475">
        <v>0</v>
      </c>
      <c r="W1887" s="463" t="s">
        <v>2267</v>
      </c>
      <c r="X1887" s="463" t="s">
        <v>2267</v>
      </c>
      <c r="Y1887" s="463" t="s">
        <v>2267</v>
      </c>
      <c r="Z1887" s="463"/>
      <c r="AA1887" s="463"/>
      <c r="AB1887" s="464">
        <v>2.327757418141168</v>
      </c>
      <c r="AC1887" s="465">
        <v>8.7593962130272981E-4</v>
      </c>
      <c r="AD1887" s="465">
        <v>7.5381710526678124E-4</v>
      </c>
      <c r="AE1887" s="476">
        <v>2.327757418141168</v>
      </c>
      <c r="AF1887" s="467">
        <v>8.7593962130272981E-4</v>
      </c>
      <c r="AG1887" s="468">
        <v>7.5381710526678124E-4</v>
      </c>
      <c r="AH1887" s="218">
        <v>230.23860433034875</v>
      </c>
      <c r="AI1887" s="470">
        <v>8.663923238506635E-2</v>
      </c>
      <c r="AJ1887" s="471">
        <v>6.2946018142901156E-2</v>
      </c>
      <c r="AK1887" s="218">
        <v>230.23860433034875</v>
      </c>
      <c r="AL1887" s="470">
        <v>8.663923238506635E-2</v>
      </c>
      <c r="AM1887" s="471">
        <v>6.2946018142901156E-2</v>
      </c>
      <c r="AN1887" s="477">
        <v>230.23860433034875</v>
      </c>
      <c r="AO1887" s="473">
        <v>8.663923238506635E-2</v>
      </c>
      <c r="AP1887" s="474">
        <v>6.2946018142901156E-2</v>
      </c>
      <c r="AQ1887" s="352"/>
      <c r="AR1887" s="352"/>
      <c r="AS1887" s="352"/>
      <c r="AT1887" s="352"/>
      <c r="AU1887" s="352"/>
      <c r="AV1887" s="352"/>
      <c r="AW1887" s="352" t="s">
        <v>254</v>
      </c>
    </row>
    <row r="1888" spans="2:49" x14ac:dyDescent="0.2">
      <c r="B1888" s="460" t="s">
        <v>2920</v>
      </c>
      <c r="C1888" s="460">
        <v>2142</v>
      </c>
      <c r="D1888" s="460" t="s">
        <v>2371</v>
      </c>
      <c r="E1888" s="460" t="s">
        <v>1137</v>
      </c>
      <c r="F1888" s="460">
        <v>2</v>
      </c>
      <c r="G1888" s="460">
        <v>4</v>
      </c>
      <c r="H1888" s="461" t="s">
        <v>752</v>
      </c>
      <c r="I1888" s="461" t="s">
        <v>964</v>
      </c>
      <c r="J1888" s="461" t="s">
        <v>752</v>
      </c>
      <c r="K1888" s="594"/>
      <c r="L1888" s="594"/>
      <c r="M1888" s="352">
        <v>2000</v>
      </c>
      <c r="N1888" s="352" t="s">
        <v>703</v>
      </c>
      <c r="O1888" s="460">
        <v>2142</v>
      </c>
      <c r="P1888" s="460" t="s">
        <v>780</v>
      </c>
      <c r="Q1888" s="460" t="s">
        <v>2527</v>
      </c>
      <c r="R1888" s="460">
        <v>2121</v>
      </c>
      <c r="S1888" s="460" t="s">
        <v>1137</v>
      </c>
      <c r="T1888" s="462">
        <v>1</v>
      </c>
      <c r="U1888" s="460" t="s">
        <v>1137</v>
      </c>
      <c r="V1888" s="475">
        <v>0</v>
      </c>
      <c r="W1888" s="463" t="s">
        <v>2267</v>
      </c>
      <c r="X1888" s="463" t="s">
        <v>2267</v>
      </c>
      <c r="Y1888" s="463" t="s">
        <v>2267</v>
      </c>
      <c r="Z1888" s="463"/>
      <c r="AA1888" s="463"/>
      <c r="AB1888" s="464">
        <v>3.0436684991749088</v>
      </c>
      <c r="AC1888" s="465">
        <v>1.7537798801421937E-3</v>
      </c>
      <c r="AD1888" s="465">
        <v>2.9781973729692317E-4</v>
      </c>
      <c r="AE1888" s="476">
        <v>3.0436684991749088</v>
      </c>
      <c r="AF1888" s="467">
        <v>1.7537798801421937E-3</v>
      </c>
      <c r="AG1888" s="468">
        <v>2.9781973729692317E-4</v>
      </c>
      <c r="AH1888" s="218">
        <v>19.783755057513186</v>
      </c>
      <c r="AI1888" s="470">
        <v>1.1399517254567518E-2</v>
      </c>
      <c r="AJ1888" s="471">
        <v>1.9191750218122241E-3</v>
      </c>
      <c r="AK1888" s="218">
        <v>19.783755057513186</v>
      </c>
      <c r="AL1888" s="470">
        <v>1.1399517254567518E-2</v>
      </c>
      <c r="AM1888" s="471">
        <v>1.9191750218122241E-3</v>
      </c>
      <c r="AN1888" s="477">
        <v>19.783755057513186</v>
      </c>
      <c r="AO1888" s="473">
        <v>1.1399517254567518E-2</v>
      </c>
      <c r="AP1888" s="474">
        <v>1.9191750218122241E-3</v>
      </c>
      <c r="AQ1888" s="352"/>
      <c r="AR1888" s="352"/>
      <c r="AS1888" s="352"/>
      <c r="AT1888" s="352"/>
      <c r="AU1888" s="352"/>
      <c r="AV1888" s="352"/>
      <c r="AW1888" s="352" t="s">
        <v>254</v>
      </c>
    </row>
    <row r="1889" spans="2:49" x14ac:dyDescent="0.2">
      <c r="B1889" s="460" t="s">
        <v>2921</v>
      </c>
      <c r="C1889" s="460">
        <v>2142</v>
      </c>
      <c r="D1889" s="460" t="s">
        <v>2372</v>
      </c>
      <c r="E1889" s="460" t="s">
        <v>1138</v>
      </c>
      <c r="F1889" s="460">
        <v>3</v>
      </c>
      <c r="G1889" s="460">
        <v>4</v>
      </c>
      <c r="H1889" s="461" t="s">
        <v>752</v>
      </c>
      <c r="I1889" s="461" t="s">
        <v>964</v>
      </c>
      <c r="J1889" s="461" t="s">
        <v>752</v>
      </c>
      <c r="K1889" s="594"/>
      <c r="L1889" s="594"/>
      <c r="M1889" s="352">
        <v>2000</v>
      </c>
      <c r="N1889" s="352" t="s">
        <v>703</v>
      </c>
      <c r="O1889" s="460">
        <v>2142</v>
      </c>
      <c r="P1889" s="460" t="s">
        <v>780</v>
      </c>
      <c r="Q1889" s="460" t="s">
        <v>2527</v>
      </c>
      <c r="R1889" s="460">
        <v>2121</v>
      </c>
      <c r="S1889" s="460" t="s">
        <v>1138</v>
      </c>
      <c r="T1889" s="462">
        <v>1</v>
      </c>
      <c r="U1889" s="460" t="s">
        <v>1138</v>
      </c>
      <c r="V1889" s="475">
        <v>0</v>
      </c>
      <c r="W1889" s="463" t="s">
        <v>2267</v>
      </c>
      <c r="X1889" s="463" t="s">
        <v>2267</v>
      </c>
      <c r="Y1889" s="463" t="s">
        <v>2267</v>
      </c>
      <c r="Z1889" s="463"/>
      <c r="AA1889" s="463"/>
      <c r="AB1889" s="464">
        <v>0.33460052467463242</v>
      </c>
      <c r="AC1889" s="465">
        <v>2.0843053124675723E-4</v>
      </c>
      <c r="AD1889" s="465">
        <v>5.7793355272627175E-5</v>
      </c>
      <c r="AE1889" s="476">
        <v>0.33460052467463242</v>
      </c>
      <c r="AF1889" s="467">
        <v>2.0843053124675723E-4</v>
      </c>
      <c r="AG1889" s="468">
        <v>5.7793355272627175E-5</v>
      </c>
      <c r="AH1889" s="218">
        <v>135.51498145682842</v>
      </c>
      <c r="AI1889" s="470">
        <v>8.4415467083942139E-2</v>
      </c>
      <c r="AJ1889" s="471">
        <v>2.2482362720645733E-2</v>
      </c>
      <c r="AK1889" s="218">
        <v>135.51498145682842</v>
      </c>
      <c r="AL1889" s="470">
        <v>8.4415467083942139E-2</v>
      </c>
      <c r="AM1889" s="471">
        <v>2.2482362720645733E-2</v>
      </c>
      <c r="AN1889" s="477">
        <v>135.51498145682842</v>
      </c>
      <c r="AO1889" s="473">
        <v>8.4415467083942139E-2</v>
      </c>
      <c r="AP1889" s="474">
        <v>2.2482362720645733E-2</v>
      </c>
      <c r="AQ1889" s="352"/>
      <c r="AR1889" s="352"/>
      <c r="AS1889" s="352"/>
      <c r="AT1889" s="352"/>
      <c r="AU1889" s="352"/>
      <c r="AV1889" s="352"/>
      <c r="AW1889" s="352" t="s">
        <v>254</v>
      </c>
    </row>
    <row r="1890" spans="2:49" x14ac:dyDescent="0.2">
      <c r="B1890" s="460" t="s">
        <v>2922</v>
      </c>
      <c r="C1890" s="460">
        <v>2142</v>
      </c>
      <c r="D1890" s="460" t="s">
        <v>2373</v>
      </c>
      <c r="E1890" s="460" t="s">
        <v>1139</v>
      </c>
      <c r="F1890" s="460">
        <v>4</v>
      </c>
      <c r="G1890" s="460">
        <v>4</v>
      </c>
      <c r="H1890" s="461" t="s">
        <v>752</v>
      </c>
      <c r="I1890" s="461" t="s">
        <v>964</v>
      </c>
      <c r="J1890" s="461" t="s">
        <v>752</v>
      </c>
      <c r="K1890" s="594"/>
      <c r="L1890" s="594"/>
      <c r="M1890" s="352">
        <v>2000</v>
      </c>
      <c r="N1890" s="352" t="s">
        <v>703</v>
      </c>
      <c r="O1890" s="460">
        <v>2142</v>
      </c>
      <c r="P1890" s="460" t="s">
        <v>780</v>
      </c>
      <c r="Q1890" s="460" t="s">
        <v>2527</v>
      </c>
      <c r="R1890" s="460">
        <v>2121</v>
      </c>
      <c r="S1890" s="460" t="s">
        <v>1139</v>
      </c>
      <c r="T1890" s="462">
        <v>1</v>
      </c>
      <c r="U1890" s="460" t="s">
        <v>1139</v>
      </c>
      <c r="V1890" s="475">
        <v>0</v>
      </c>
      <c r="W1890" s="463" t="s">
        <v>2267</v>
      </c>
      <c r="X1890" s="463" t="s">
        <v>2267</v>
      </c>
      <c r="Y1890" s="463" t="s">
        <v>2267</v>
      </c>
      <c r="Z1890" s="463"/>
      <c r="AA1890" s="463"/>
      <c r="AB1890" s="464">
        <v>22.987566125818059</v>
      </c>
      <c r="AC1890" s="465">
        <v>1.2635010507995098E-2</v>
      </c>
      <c r="AD1890" s="465">
        <v>9.1645157280498485E-4</v>
      </c>
      <c r="AE1890" s="476">
        <v>22.987566125818059</v>
      </c>
      <c r="AF1890" s="467">
        <v>1.2635010507995098E-2</v>
      </c>
      <c r="AG1890" s="468">
        <v>9.1645157280498485E-4</v>
      </c>
      <c r="AH1890" s="218">
        <v>1133.0673548368352</v>
      </c>
      <c r="AI1890" s="470">
        <v>0.62278528558752089</v>
      </c>
      <c r="AJ1890" s="471">
        <v>4.1989041771495213E-2</v>
      </c>
      <c r="AK1890" s="218">
        <v>1133.0673548368352</v>
      </c>
      <c r="AL1890" s="470">
        <v>0.62278528558752089</v>
      </c>
      <c r="AM1890" s="471">
        <v>4.1989041771495213E-2</v>
      </c>
      <c r="AN1890" s="477">
        <v>1133.0673548368352</v>
      </c>
      <c r="AO1890" s="473">
        <v>0.62278528558752089</v>
      </c>
      <c r="AP1890" s="474">
        <v>4.1989041771495213E-2</v>
      </c>
      <c r="AQ1890" s="352"/>
      <c r="AR1890" s="352"/>
      <c r="AS1890" s="352"/>
      <c r="AT1890" s="352"/>
      <c r="AU1890" s="352"/>
      <c r="AV1890" s="352"/>
      <c r="AW1890" s="352" t="s">
        <v>254</v>
      </c>
    </row>
    <row r="1891" spans="2:49" x14ac:dyDescent="0.2">
      <c r="B1891" s="460" t="s">
        <v>2923</v>
      </c>
      <c r="C1891" s="460">
        <v>2142</v>
      </c>
      <c r="D1891" s="460" t="s">
        <v>2375</v>
      </c>
      <c r="E1891" s="460" t="s">
        <v>2376</v>
      </c>
      <c r="F1891" s="460">
        <v>1</v>
      </c>
      <c r="G1891" s="460">
        <v>5</v>
      </c>
      <c r="H1891" s="461" t="s">
        <v>754</v>
      </c>
      <c r="I1891" s="461" t="s">
        <v>1991</v>
      </c>
      <c r="J1891" s="461" t="s">
        <v>754</v>
      </c>
      <c r="K1891" s="594"/>
      <c r="L1891" s="594"/>
      <c r="M1891" s="352">
        <v>2000</v>
      </c>
      <c r="N1891" s="352" t="s">
        <v>703</v>
      </c>
      <c r="O1891" s="460">
        <v>2142</v>
      </c>
      <c r="P1891" s="460" t="s">
        <v>780</v>
      </c>
      <c r="Q1891" s="460" t="s">
        <v>2377</v>
      </c>
      <c r="R1891" s="460">
        <v>2121</v>
      </c>
      <c r="S1891" s="460" t="s">
        <v>2376</v>
      </c>
      <c r="T1891" s="462">
        <v>1</v>
      </c>
      <c r="U1891" s="460" t="s">
        <v>2376</v>
      </c>
      <c r="V1891" s="475">
        <v>0</v>
      </c>
      <c r="W1891" s="463" t="s">
        <v>2278</v>
      </c>
      <c r="X1891" s="463" t="s">
        <v>2278</v>
      </c>
      <c r="Y1891" s="463" t="s">
        <v>2278</v>
      </c>
      <c r="Z1891" s="463"/>
      <c r="AA1891" s="463"/>
      <c r="AB1891" s="464">
        <v>686.58276553971143</v>
      </c>
      <c r="AC1891" s="465">
        <v>1</v>
      </c>
      <c r="AD1891" s="465">
        <v>1.1542176082472869E-3</v>
      </c>
      <c r="AE1891" s="476">
        <v>686.58276553971143</v>
      </c>
      <c r="AF1891" s="467">
        <v>1</v>
      </c>
      <c r="AG1891" s="468">
        <v>1.1542176082472869E-3</v>
      </c>
      <c r="AH1891" s="218">
        <v>686.58276553971143</v>
      </c>
      <c r="AI1891" s="470">
        <v>1</v>
      </c>
      <c r="AJ1891" s="471">
        <v>1.1542176082472869E-3</v>
      </c>
      <c r="AK1891" s="218">
        <v>686.58276553971143</v>
      </c>
      <c r="AL1891" s="470">
        <v>1</v>
      </c>
      <c r="AM1891" s="471">
        <v>1.1542176082472869E-3</v>
      </c>
      <c r="AN1891" s="477">
        <v>686.58276553971143</v>
      </c>
      <c r="AO1891" s="473">
        <v>1</v>
      </c>
      <c r="AP1891" s="474">
        <v>1.1542176082472869E-3</v>
      </c>
      <c r="AQ1891" s="352"/>
      <c r="AR1891" s="352"/>
      <c r="AS1891" s="352"/>
      <c r="AT1891" s="352"/>
      <c r="AU1891" s="352"/>
      <c r="AV1891" s="352"/>
      <c r="AW1891" s="352" t="s">
        <v>127</v>
      </c>
    </row>
    <row r="1892" spans="2:49" x14ac:dyDescent="0.2">
      <c r="B1892" s="460" t="s">
        <v>2924</v>
      </c>
      <c r="C1892" s="460">
        <v>2142</v>
      </c>
      <c r="D1892" s="460" t="s">
        <v>2379</v>
      </c>
      <c r="E1892" s="460" t="s">
        <v>2380</v>
      </c>
      <c r="F1892" s="460">
        <v>2</v>
      </c>
      <c r="G1892" s="460">
        <v>5</v>
      </c>
      <c r="H1892" s="461" t="s">
        <v>754</v>
      </c>
      <c r="I1892" s="461" t="s">
        <v>1991</v>
      </c>
      <c r="J1892" s="461" t="s">
        <v>754</v>
      </c>
      <c r="K1892" s="594"/>
      <c r="L1892" s="594"/>
      <c r="M1892" s="352">
        <v>2000</v>
      </c>
      <c r="N1892" s="352" t="s">
        <v>703</v>
      </c>
      <c r="O1892" s="460">
        <v>2142</v>
      </c>
      <c r="P1892" s="460" t="s">
        <v>780</v>
      </c>
      <c r="Q1892" s="460" t="s">
        <v>2377</v>
      </c>
      <c r="R1892" s="460">
        <v>2121</v>
      </c>
      <c r="S1892" s="460" t="s">
        <v>2380</v>
      </c>
      <c r="T1892" s="462">
        <v>1</v>
      </c>
      <c r="U1892" s="460" t="s">
        <v>2380</v>
      </c>
      <c r="V1892" s="475">
        <v>0</v>
      </c>
      <c r="W1892" s="463" t="s">
        <v>2278</v>
      </c>
      <c r="X1892" s="463" t="s">
        <v>2278</v>
      </c>
      <c r="Y1892" s="463" t="s">
        <v>2278</v>
      </c>
      <c r="Z1892" s="463"/>
      <c r="AA1892" s="463"/>
      <c r="AB1892" s="464">
        <v>605.11723067785397</v>
      </c>
      <c r="AC1892" s="465">
        <v>1</v>
      </c>
      <c r="AD1892" s="465">
        <v>1.1915990896973466E-3</v>
      </c>
      <c r="AE1892" s="476">
        <v>605.11723067785397</v>
      </c>
      <c r="AF1892" s="467">
        <v>1</v>
      </c>
      <c r="AG1892" s="468">
        <v>1.1915990896973466E-3</v>
      </c>
      <c r="AH1892" s="218">
        <v>605.11723067785397</v>
      </c>
      <c r="AI1892" s="470">
        <v>1</v>
      </c>
      <c r="AJ1892" s="471">
        <v>1.1915990896973466E-3</v>
      </c>
      <c r="AK1892" s="218">
        <v>605.11723067785397</v>
      </c>
      <c r="AL1892" s="470">
        <v>1</v>
      </c>
      <c r="AM1892" s="471">
        <v>1.1915990896973466E-3</v>
      </c>
      <c r="AN1892" s="477">
        <v>605.11723067785397</v>
      </c>
      <c r="AO1892" s="473">
        <v>1</v>
      </c>
      <c r="AP1892" s="474">
        <v>1.1915990896973466E-3</v>
      </c>
      <c r="AQ1892" s="352"/>
      <c r="AR1892" s="352"/>
      <c r="AS1892" s="352"/>
      <c r="AT1892" s="352"/>
      <c r="AU1892" s="352"/>
      <c r="AV1892" s="352"/>
      <c r="AW1892" s="352" t="s">
        <v>127</v>
      </c>
    </row>
    <row r="1893" spans="2:49" x14ac:dyDescent="0.2">
      <c r="B1893" s="460" t="s">
        <v>2925</v>
      </c>
      <c r="C1893" s="460">
        <v>2142</v>
      </c>
      <c r="D1893" s="460" t="s">
        <v>2382</v>
      </c>
      <c r="E1893" s="460" t="s">
        <v>2383</v>
      </c>
      <c r="F1893" s="460">
        <v>3</v>
      </c>
      <c r="G1893" s="460">
        <v>5</v>
      </c>
      <c r="H1893" s="461" t="s">
        <v>754</v>
      </c>
      <c r="I1893" s="461" t="s">
        <v>1991</v>
      </c>
      <c r="J1893" s="461" t="s">
        <v>754</v>
      </c>
      <c r="K1893" s="594"/>
      <c r="L1893" s="594"/>
      <c r="M1893" s="352">
        <v>2000</v>
      </c>
      <c r="N1893" s="352" t="s">
        <v>703</v>
      </c>
      <c r="O1893" s="460">
        <v>2142</v>
      </c>
      <c r="P1893" s="460" t="s">
        <v>780</v>
      </c>
      <c r="Q1893" s="460" t="s">
        <v>2377</v>
      </c>
      <c r="R1893" s="460">
        <v>2121</v>
      </c>
      <c r="S1893" s="460" t="s">
        <v>2383</v>
      </c>
      <c r="T1893" s="462">
        <v>1</v>
      </c>
      <c r="U1893" s="460" t="s">
        <v>2383</v>
      </c>
      <c r="V1893" s="475">
        <v>0</v>
      </c>
      <c r="W1893" s="463" t="s">
        <v>2278</v>
      </c>
      <c r="X1893" s="463" t="s">
        <v>2278</v>
      </c>
      <c r="Y1893" s="463" t="s">
        <v>2278</v>
      </c>
      <c r="Z1893" s="463"/>
      <c r="AA1893" s="463"/>
      <c r="AB1893" s="464">
        <v>84.879820159868501</v>
      </c>
      <c r="AC1893" s="465">
        <v>1</v>
      </c>
      <c r="AD1893" s="465">
        <v>7.5446770324770571E-4</v>
      </c>
      <c r="AE1893" s="476">
        <v>84.879820159868501</v>
      </c>
      <c r="AF1893" s="467">
        <v>1</v>
      </c>
      <c r="AG1893" s="468">
        <v>7.5446770324770571E-4</v>
      </c>
      <c r="AH1893" s="218">
        <v>84.879820159868501</v>
      </c>
      <c r="AI1893" s="470">
        <v>1</v>
      </c>
      <c r="AJ1893" s="471">
        <v>7.5446770324770571E-4</v>
      </c>
      <c r="AK1893" s="218">
        <v>84.879820159868501</v>
      </c>
      <c r="AL1893" s="470">
        <v>1</v>
      </c>
      <c r="AM1893" s="471">
        <v>7.5446770324770571E-4</v>
      </c>
      <c r="AN1893" s="477">
        <v>84.879820159868501</v>
      </c>
      <c r="AO1893" s="473">
        <v>1</v>
      </c>
      <c r="AP1893" s="474">
        <v>7.5446770324770571E-4</v>
      </c>
      <c r="AQ1893" s="352"/>
      <c r="AR1893" s="352"/>
      <c r="AS1893" s="352"/>
      <c r="AT1893" s="352"/>
      <c r="AU1893" s="352"/>
      <c r="AV1893" s="352"/>
      <c r="AW1893" s="352" t="s">
        <v>127</v>
      </c>
    </row>
    <row r="1894" spans="2:49" x14ac:dyDescent="0.2">
      <c r="B1894" s="460" t="s">
        <v>2926</v>
      </c>
      <c r="C1894" s="460">
        <v>2142</v>
      </c>
      <c r="D1894" s="460" t="s">
        <v>2385</v>
      </c>
      <c r="E1894" s="460" t="s">
        <v>2386</v>
      </c>
      <c r="F1894" s="460">
        <v>4</v>
      </c>
      <c r="G1894" s="460">
        <v>5</v>
      </c>
      <c r="H1894" s="461" t="s">
        <v>754</v>
      </c>
      <c r="I1894" s="461" t="s">
        <v>1991</v>
      </c>
      <c r="J1894" s="461" t="s">
        <v>754</v>
      </c>
      <c r="K1894" s="594"/>
      <c r="L1894" s="594"/>
      <c r="M1894" s="352">
        <v>2000</v>
      </c>
      <c r="N1894" s="352" t="s">
        <v>703</v>
      </c>
      <c r="O1894" s="460">
        <v>2142</v>
      </c>
      <c r="P1894" s="460" t="s">
        <v>780</v>
      </c>
      <c r="Q1894" s="460" t="s">
        <v>2377</v>
      </c>
      <c r="R1894" s="460">
        <v>2121</v>
      </c>
      <c r="S1894" s="460" t="s">
        <v>2386</v>
      </c>
      <c r="T1894" s="462">
        <v>1</v>
      </c>
      <c r="U1894" s="460" t="s">
        <v>2386</v>
      </c>
      <c r="V1894" s="475">
        <v>0</v>
      </c>
      <c r="W1894" s="463" t="s">
        <v>2278</v>
      </c>
      <c r="X1894" s="463" t="s">
        <v>2278</v>
      </c>
      <c r="Y1894" s="463" t="s">
        <v>2278</v>
      </c>
      <c r="Z1894" s="463"/>
      <c r="AA1894" s="463"/>
      <c r="AB1894" s="464">
        <v>63.332232143281438</v>
      </c>
      <c r="AC1894" s="465">
        <v>1</v>
      </c>
      <c r="AD1894" s="465">
        <v>1.1748596132141929E-3</v>
      </c>
      <c r="AE1894" s="476">
        <v>63.332232143281438</v>
      </c>
      <c r="AF1894" s="467">
        <v>1</v>
      </c>
      <c r="AG1894" s="468">
        <v>1.1748596132141929E-3</v>
      </c>
      <c r="AH1894" s="218">
        <v>63.332232143281438</v>
      </c>
      <c r="AI1894" s="470">
        <v>1</v>
      </c>
      <c r="AJ1894" s="471">
        <v>1.1748596132141929E-3</v>
      </c>
      <c r="AK1894" s="218">
        <v>63.332232143281438</v>
      </c>
      <c r="AL1894" s="470">
        <v>1</v>
      </c>
      <c r="AM1894" s="471">
        <v>1.1748596132141929E-3</v>
      </c>
      <c r="AN1894" s="477">
        <v>63.332232143281438</v>
      </c>
      <c r="AO1894" s="473">
        <v>1</v>
      </c>
      <c r="AP1894" s="474">
        <v>1.1748596132141929E-3</v>
      </c>
      <c r="AQ1894" s="352"/>
      <c r="AR1894" s="352"/>
      <c r="AS1894" s="352"/>
      <c r="AT1894" s="352"/>
      <c r="AU1894" s="352"/>
      <c r="AV1894" s="352"/>
      <c r="AW1894" s="352" t="s">
        <v>127</v>
      </c>
    </row>
    <row r="1895" spans="2:49" x14ac:dyDescent="0.2">
      <c r="B1895" s="460" t="s">
        <v>2927</v>
      </c>
      <c r="C1895" s="460">
        <v>2211</v>
      </c>
      <c r="D1895" s="460" t="s">
        <v>2264</v>
      </c>
      <c r="E1895" s="460" t="s">
        <v>2265</v>
      </c>
      <c r="F1895" s="460">
        <v>1</v>
      </c>
      <c r="G1895" s="460">
        <v>1</v>
      </c>
      <c r="H1895" s="461" t="s">
        <v>700</v>
      </c>
      <c r="I1895" s="461" t="s">
        <v>872</v>
      </c>
      <c r="J1895" s="461" t="s">
        <v>700</v>
      </c>
      <c r="K1895" s="594"/>
      <c r="L1895" s="594"/>
      <c r="M1895" s="352">
        <v>2000</v>
      </c>
      <c r="N1895" s="352" t="s">
        <v>703</v>
      </c>
      <c r="O1895" s="460">
        <v>2211</v>
      </c>
      <c r="P1895" s="460" t="s">
        <v>1883</v>
      </c>
      <c r="Q1895" s="460" t="s">
        <v>2527</v>
      </c>
      <c r="R1895" s="460">
        <v>2121</v>
      </c>
      <c r="S1895" s="460" t="s">
        <v>2265</v>
      </c>
      <c r="T1895" s="462">
        <v>1</v>
      </c>
      <c r="U1895" s="460" t="s">
        <v>2265</v>
      </c>
      <c r="V1895" s="475">
        <v>0</v>
      </c>
      <c r="W1895" s="479" t="s">
        <v>2503</v>
      </c>
      <c r="X1895" s="463" t="s">
        <v>2267</v>
      </c>
      <c r="Y1895" s="463" t="s">
        <v>2268</v>
      </c>
      <c r="Z1895" s="463"/>
      <c r="AA1895" s="463"/>
      <c r="AB1895" s="464">
        <v>356.17969839958062</v>
      </c>
      <c r="AC1895" s="465">
        <v>0.29709950470714358</v>
      </c>
      <c r="AD1895" s="465">
        <v>3.3030093478557802E-3</v>
      </c>
      <c r="AE1895" s="476">
        <v>213.70781903974836</v>
      </c>
      <c r="AF1895" s="467">
        <v>0.17825970282428613</v>
      </c>
      <c r="AG1895" s="468">
        <v>2.1169831619748392E-3</v>
      </c>
      <c r="AH1895" s="218">
        <v>723.29908509328152</v>
      </c>
      <c r="AI1895" s="470">
        <v>0.60332411112119988</v>
      </c>
      <c r="AJ1895" s="471">
        <v>6.896902114591881E-3</v>
      </c>
      <c r="AK1895" s="218">
        <v>723.29908509328152</v>
      </c>
      <c r="AL1895" s="470">
        <v>0.60332411112119988</v>
      </c>
      <c r="AM1895" s="471">
        <v>6.896902114591881E-3</v>
      </c>
      <c r="AN1895" s="477">
        <v>0</v>
      </c>
      <c r="AO1895" s="473">
        <v>0</v>
      </c>
      <c r="AP1895" s="474">
        <v>0</v>
      </c>
      <c r="AQ1895" s="352"/>
      <c r="AR1895" s="352"/>
      <c r="AS1895" s="352"/>
      <c r="AT1895" s="352"/>
      <c r="AU1895" s="352"/>
      <c r="AV1895" s="352"/>
      <c r="AW1895" s="352" t="s">
        <v>254</v>
      </c>
    </row>
    <row r="1896" spans="2:49" x14ac:dyDescent="0.2">
      <c r="B1896" s="460" t="s">
        <v>2928</v>
      </c>
      <c r="C1896" s="460">
        <v>2211</v>
      </c>
      <c r="D1896" s="460" t="s">
        <v>2270</v>
      </c>
      <c r="E1896" s="460" t="s">
        <v>2271</v>
      </c>
      <c r="F1896" s="460">
        <v>2</v>
      </c>
      <c r="G1896" s="460">
        <v>1</v>
      </c>
      <c r="H1896" s="461" t="s">
        <v>700</v>
      </c>
      <c r="I1896" s="461" t="s">
        <v>872</v>
      </c>
      <c r="J1896" s="461" t="s">
        <v>700</v>
      </c>
      <c r="K1896" s="594"/>
      <c r="L1896" s="594"/>
      <c r="M1896" s="352">
        <v>2000</v>
      </c>
      <c r="N1896" s="352" t="s">
        <v>703</v>
      </c>
      <c r="O1896" s="460">
        <v>2211</v>
      </c>
      <c r="P1896" s="460" t="s">
        <v>1883</v>
      </c>
      <c r="Q1896" s="460" t="s">
        <v>2527</v>
      </c>
      <c r="R1896" s="460">
        <v>2121</v>
      </c>
      <c r="S1896" s="460" t="s">
        <v>2265</v>
      </c>
      <c r="T1896" s="462">
        <v>1</v>
      </c>
      <c r="U1896" s="460" t="s">
        <v>2271</v>
      </c>
      <c r="V1896" s="475">
        <v>0</v>
      </c>
      <c r="W1896" s="479" t="s">
        <v>2503</v>
      </c>
      <c r="X1896" s="463" t="s">
        <v>2267</v>
      </c>
      <c r="Y1896" s="463" t="s">
        <v>2268</v>
      </c>
      <c r="Z1896" s="463"/>
      <c r="AA1896" s="463"/>
      <c r="AB1896" s="464">
        <v>287.98506495769277</v>
      </c>
      <c r="AC1896" s="465">
        <v>0.22148848458460862</v>
      </c>
      <c r="AD1896" s="465">
        <v>3.5729711146396965E-3</v>
      </c>
      <c r="AE1896" s="476">
        <v>172.79103897461565</v>
      </c>
      <c r="AF1896" s="467">
        <v>0.13289309075076516</v>
      </c>
      <c r="AG1896" s="468">
        <v>2.323134209816904E-3</v>
      </c>
      <c r="AH1896" s="218">
        <v>784.45763741459484</v>
      </c>
      <c r="AI1896" s="470">
        <v>0.60332411112119988</v>
      </c>
      <c r="AJ1896" s="471">
        <v>9.2616202380691251E-3</v>
      </c>
      <c r="AK1896" s="218">
        <v>784.45763741459484</v>
      </c>
      <c r="AL1896" s="470">
        <v>0.60332411112119988</v>
      </c>
      <c r="AM1896" s="471">
        <v>9.2616202380691251E-3</v>
      </c>
      <c r="AN1896" s="477">
        <v>0</v>
      </c>
      <c r="AO1896" s="473">
        <v>0</v>
      </c>
      <c r="AP1896" s="474">
        <v>0</v>
      </c>
      <c r="AQ1896" s="352"/>
      <c r="AR1896" s="352"/>
      <c r="AS1896" s="352"/>
      <c r="AT1896" s="352"/>
      <c r="AU1896" s="352"/>
      <c r="AV1896" s="352"/>
      <c r="AW1896" s="352" t="s">
        <v>254</v>
      </c>
    </row>
    <row r="1897" spans="2:49" x14ac:dyDescent="0.2">
      <c r="B1897" s="460" t="s">
        <v>2929</v>
      </c>
      <c r="C1897" s="460">
        <v>2211</v>
      </c>
      <c r="D1897" s="460" t="s">
        <v>2273</v>
      </c>
      <c r="E1897" s="460" t="s">
        <v>2274</v>
      </c>
      <c r="F1897" s="460">
        <v>3</v>
      </c>
      <c r="G1897" s="460">
        <v>1</v>
      </c>
      <c r="H1897" s="461" t="s">
        <v>700</v>
      </c>
      <c r="I1897" s="461" t="s">
        <v>872</v>
      </c>
      <c r="J1897" s="461" t="s">
        <v>700</v>
      </c>
      <c r="K1897" s="594"/>
      <c r="L1897" s="594"/>
      <c r="M1897" s="352">
        <v>2000</v>
      </c>
      <c r="N1897" s="352" t="s">
        <v>703</v>
      </c>
      <c r="O1897" s="460">
        <v>2211</v>
      </c>
      <c r="P1897" s="460" t="s">
        <v>1883</v>
      </c>
      <c r="Q1897" s="460" t="s">
        <v>2527</v>
      </c>
      <c r="R1897" s="460">
        <v>2121</v>
      </c>
      <c r="S1897" s="460" t="s">
        <v>2265</v>
      </c>
      <c r="T1897" s="462">
        <v>0.74223365950407583</v>
      </c>
      <c r="U1897" s="460" t="s">
        <v>2274</v>
      </c>
      <c r="V1897" s="475">
        <v>0</v>
      </c>
      <c r="W1897" s="479" t="s">
        <v>2503</v>
      </c>
      <c r="X1897" s="463" t="s">
        <v>2503</v>
      </c>
      <c r="Y1897" s="463" t="s">
        <v>2268</v>
      </c>
      <c r="Z1897" s="463"/>
      <c r="AA1897" s="463"/>
      <c r="AB1897" s="464">
        <v>75.11141126234152</v>
      </c>
      <c r="AC1897" s="465">
        <v>0.13579578063329439</v>
      </c>
      <c r="AD1897" s="465">
        <v>3.7157356545904994E-3</v>
      </c>
      <c r="AE1897" s="476">
        <v>45.06684675740491</v>
      </c>
      <c r="AF1897" s="467">
        <v>8.1477468379976631E-2</v>
      </c>
      <c r="AG1897" s="468">
        <v>2.4148730613387168E-3</v>
      </c>
      <c r="AH1897" s="218">
        <v>73.183549478826819</v>
      </c>
      <c r="AI1897" s="470">
        <v>0.13231035156937893</v>
      </c>
      <c r="AJ1897" s="471">
        <v>2.8398206772593084E-3</v>
      </c>
      <c r="AK1897" s="218">
        <v>73.183549478826819</v>
      </c>
      <c r="AL1897" s="470">
        <v>0.13231035156937893</v>
      </c>
      <c r="AM1897" s="471">
        <v>2.8398206772593084E-3</v>
      </c>
      <c r="AN1897" s="477">
        <v>0</v>
      </c>
      <c r="AO1897" s="473">
        <v>0</v>
      </c>
      <c r="AP1897" s="474">
        <v>0</v>
      </c>
      <c r="AQ1897" s="352"/>
      <c r="AR1897" s="352"/>
      <c r="AS1897" s="352"/>
      <c r="AT1897" s="352"/>
      <c r="AU1897" s="352"/>
      <c r="AV1897" s="352"/>
      <c r="AW1897" s="352" t="s">
        <v>254</v>
      </c>
    </row>
    <row r="1898" spans="2:49" x14ac:dyDescent="0.2">
      <c r="B1898" s="460" t="s">
        <v>2930</v>
      </c>
      <c r="C1898" s="460">
        <v>2211</v>
      </c>
      <c r="D1898" s="460" t="s">
        <v>2276</v>
      </c>
      <c r="E1898" s="460" t="s">
        <v>2277</v>
      </c>
      <c r="F1898" s="460">
        <v>4</v>
      </c>
      <c r="G1898" s="460">
        <v>1</v>
      </c>
      <c r="H1898" s="461" t="s">
        <v>700</v>
      </c>
      <c r="I1898" s="461" t="s">
        <v>872</v>
      </c>
      <c r="J1898" s="461" t="s">
        <v>700</v>
      </c>
      <c r="K1898" s="594"/>
      <c r="L1898" s="594"/>
      <c r="M1898" s="352">
        <v>2000</v>
      </c>
      <c r="N1898" s="352" t="s">
        <v>703</v>
      </c>
      <c r="O1898" s="460">
        <v>2211</v>
      </c>
      <c r="P1898" s="460" t="s">
        <v>1883</v>
      </c>
      <c r="Q1898" s="460" t="s">
        <v>2527</v>
      </c>
      <c r="R1898" s="460">
        <v>2121</v>
      </c>
      <c r="S1898" s="460" t="s">
        <v>2277</v>
      </c>
      <c r="T1898" s="462">
        <v>1</v>
      </c>
      <c r="U1898" s="460" t="s">
        <v>2277</v>
      </c>
      <c r="V1898" s="475">
        <v>0</v>
      </c>
      <c r="W1898" s="463" t="s">
        <v>2503</v>
      </c>
      <c r="X1898" s="463" t="s">
        <v>2503</v>
      </c>
      <c r="Y1898" s="463" t="s">
        <v>2268</v>
      </c>
      <c r="Z1898" s="463"/>
      <c r="AA1898" s="463"/>
      <c r="AB1898" s="464">
        <v>0.83856477117199846</v>
      </c>
      <c r="AC1898" s="465">
        <v>1.3699849593411455E-3</v>
      </c>
      <c r="AD1898" s="465">
        <v>3.3846232712500374E-3</v>
      </c>
      <c r="AE1898" s="476">
        <v>0.50313886270319907</v>
      </c>
      <c r="AF1898" s="467">
        <v>8.219909756046873E-4</v>
      </c>
      <c r="AG1898" s="468">
        <v>2.2702982428405654E-3</v>
      </c>
      <c r="AH1898" s="218">
        <v>0.50313886270319907</v>
      </c>
      <c r="AI1898" s="470">
        <v>8.219909756046873E-4</v>
      </c>
      <c r="AJ1898" s="471">
        <v>2.1759825929789926E-3</v>
      </c>
      <c r="AK1898" s="218">
        <v>0.50313886270319907</v>
      </c>
      <c r="AL1898" s="470">
        <v>8.219909756046873E-4</v>
      </c>
      <c r="AM1898" s="471">
        <v>2.1759825929789926E-3</v>
      </c>
      <c r="AN1898" s="477">
        <v>0</v>
      </c>
      <c r="AO1898" s="473">
        <v>0</v>
      </c>
      <c r="AP1898" s="474">
        <v>0</v>
      </c>
      <c r="AQ1898" s="352"/>
      <c r="AR1898" s="352"/>
      <c r="AS1898" s="352"/>
      <c r="AT1898" s="352"/>
      <c r="AU1898" s="352"/>
      <c r="AV1898" s="352"/>
      <c r="AW1898" s="352" t="s">
        <v>254</v>
      </c>
    </row>
    <row r="1899" spans="2:49" x14ac:dyDescent="0.2">
      <c r="B1899" s="460" t="s">
        <v>2927</v>
      </c>
      <c r="C1899" s="460">
        <v>2211</v>
      </c>
      <c r="D1899" s="460" t="s">
        <v>2279</v>
      </c>
      <c r="E1899" s="460" t="s">
        <v>2265</v>
      </c>
      <c r="F1899" s="460">
        <v>1</v>
      </c>
      <c r="G1899" s="460">
        <v>1</v>
      </c>
      <c r="H1899" s="461" t="s">
        <v>712</v>
      </c>
      <c r="I1899" s="461" t="s">
        <v>713</v>
      </c>
      <c r="J1899" s="461" t="s">
        <v>712</v>
      </c>
      <c r="K1899" s="594"/>
      <c r="L1899" s="594"/>
      <c r="M1899" s="352">
        <v>2000</v>
      </c>
      <c r="N1899" s="352" t="s">
        <v>703</v>
      </c>
      <c r="O1899" s="460">
        <v>2211</v>
      </c>
      <c r="P1899" s="460" t="s">
        <v>1883</v>
      </c>
      <c r="Q1899" s="460" t="s">
        <v>2280</v>
      </c>
      <c r="R1899" s="460">
        <v>2121</v>
      </c>
      <c r="S1899" s="460" t="s">
        <v>2265</v>
      </c>
      <c r="T1899" s="462">
        <v>1</v>
      </c>
      <c r="U1899" s="460" t="s">
        <v>2265</v>
      </c>
      <c r="V1899" s="475">
        <v>0</v>
      </c>
      <c r="W1899" s="463" t="s">
        <v>713</v>
      </c>
      <c r="X1899" s="463" t="s">
        <v>713</v>
      </c>
      <c r="Y1899" s="463" t="s">
        <v>713</v>
      </c>
      <c r="Z1899" s="463"/>
      <c r="AA1899" s="463"/>
      <c r="AB1899" s="464">
        <v>842.67688922978459</v>
      </c>
      <c r="AC1899" s="465">
        <v>0.70290049529285659</v>
      </c>
      <c r="AD1899" s="465">
        <v>3.112994159858952E-3</v>
      </c>
      <c r="AE1899" s="476">
        <v>985.14876858961668</v>
      </c>
      <c r="AF1899" s="467">
        <v>0.82174029717571384</v>
      </c>
      <c r="AG1899" s="468">
        <v>3.5490335963800383E-3</v>
      </c>
      <c r="AH1899" s="218">
        <v>475.55750253608352</v>
      </c>
      <c r="AI1899" s="470">
        <v>0.39667588887880012</v>
      </c>
      <c r="AJ1899" s="471">
        <v>1.7377775136448151E-3</v>
      </c>
      <c r="AK1899" s="218">
        <v>475.55750253608352</v>
      </c>
      <c r="AL1899" s="470">
        <v>0.39667588887880012</v>
      </c>
      <c r="AM1899" s="471">
        <v>1.7377775136448151E-3</v>
      </c>
      <c r="AN1899" s="477">
        <v>475.55750253608352</v>
      </c>
      <c r="AO1899" s="473">
        <v>0.39667588887880012</v>
      </c>
      <c r="AP1899" s="474">
        <v>1.7372112760351522E-3</v>
      </c>
      <c r="AQ1899" s="352"/>
      <c r="AR1899" s="352"/>
      <c r="AS1899" s="352"/>
      <c r="AT1899" s="352"/>
      <c r="AU1899" s="352"/>
      <c r="AV1899" s="352"/>
      <c r="AW1899" s="352" t="s">
        <v>254</v>
      </c>
    </row>
    <row r="1900" spans="2:49" x14ac:dyDescent="0.2">
      <c r="B1900" s="460" t="s">
        <v>2928</v>
      </c>
      <c r="C1900" s="460">
        <v>2211</v>
      </c>
      <c r="D1900" s="460" t="s">
        <v>2281</v>
      </c>
      <c r="E1900" s="460" t="s">
        <v>2271</v>
      </c>
      <c r="F1900" s="460">
        <v>2</v>
      </c>
      <c r="G1900" s="460">
        <v>1</v>
      </c>
      <c r="H1900" s="461" t="s">
        <v>712</v>
      </c>
      <c r="I1900" s="461" t="s">
        <v>713</v>
      </c>
      <c r="J1900" s="461" t="s">
        <v>712</v>
      </c>
      <c r="K1900" s="594"/>
      <c r="L1900" s="594"/>
      <c r="M1900" s="352">
        <v>2000</v>
      </c>
      <c r="N1900" s="352" t="s">
        <v>703</v>
      </c>
      <c r="O1900" s="460">
        <v>2211</v>
      </c>
      <c r="P1900" s="460" t="s">
        <v>1883</v>
      </c>
      <c r="Q1900" s="460" t="s">
        <v>2280</v>
      </c>
      <c r="R1900" s="460">
        <v>2121</v>
      </c>
      <c r="S1900" s="460" t="s">
        <v>2265</v>
      </c>
      <c r="T1900" s="462">
        <v>1</v>
      </c>
      <c r="U1900" s="460" t="s">
        <v>2271</v>
      </c>
      <c r="V1900" s="475">
        <v>0</v>
      </c>
      <c r="W1900" s="463" t="s">
        <v>713</v>
      </c>
      <c r="X1900" s="463" t="s">
        <v>713</v>
      </c>
      <c r="Y1900" s="463" t="s">
        <v>713</v>
      </c>
      <c r="Z1900" s="463"/>
      <c r="AA1900" s="463"/>
      <c r="AB1900" s="464">
        <v>1012.240838424126</v>
      </c>
      <c r="AC1900" s="465">
        <v>0.77851151541539143</v>
      </c>
      <c r="AD1900" s="465">
        <v>4.227037368889075E-3</v>
      </c>
      <c r="AE1900" s="476">
        <v>1127.4348644072029</v>
      </c>
      <c r="AF1900" s="467">
        <v>0.86710690924923484</v>
      </c>
      <c r="AG1900" s="468">
        <v>4.5888373218312814E-3</v>
      </c>
      <c r="AH1900" s="218">
        <v>515.76826596722378</v>
      </c>
      <c r="AI1900" s="470">
        <v>0.39667588887880012</v>
      </c>
      <c r="AJ1900" s="471">
        <v>2.2158155107739183E-3</v>
      </c>
      <c r="AK1900" s="218">
        <v>515.76826596722378</v>
      </c>
      <c r="AL1900" s="470">
        <v>0.39667588887880012</v>
      </c>
      <c r="AM1900" s="471">
        <v>2.2158155107739183E-3</v>
      </c>
      <c r="AN1900" s="477">
        <v>515.76826596722378</v>
      </c>
      <c r="AO1900" s="473">
        <v>0.39667588887880012</v>
      </c>
      <c r="AP1900" s="474">
        <v>2.2150374652585899E-3</v>
      </c>
      <c r="AQ1900" s="352"/>
      <c r="AR1900" s="352"/>
      <c r="AS1900" s="352"/>
      <c r="AT1900" s="352"/>
      <c r="AU1900" s="352"/>
      <c r="AV1900" s="352"/>
      <c r="AW1900" s="352" t="s">
        <v>254</v>
      </c>
    </row>
    <row r="1901" spans="2:49" x14ac:dyDescent="0.2">
      <c r="B1901" s="460" t="s">
        <v>2929</v>
      </c>
      <c r="C1901" s="460">
        <v>2211</v>
      </c>
      <c r="D1901" s="460" t="s">
        <v>2282</v>
      </c>
      <c r="E1901" s="460" t="s">
        <v>2274</v>
      </c>
      <c r="F1901" s="460">
        <v>3</v>
      </c>
      <c r="G1901" s="460">
        <v>1</v>
      </c>
      <c r="H1901" s="461" t="s">
        <v>712</v>
      </c>
      <c r="I1901" s="461" t="s">
        <v>713</v>
      </c>
      <c r="J1901" s="461" t="s">
        <v>712</v>
      </c>
      <c r="K1901" s="594"/>
      <c r="L1901" s="594"/>
      <c r="M1901" s="352">
        <v>2000</v>
      </c>
      <c r="N1901" s="352" t="s">
        <v>703</v>
      </c>
      <c r="O1901" s="460">
        <v>2211</v>
      </c>
      <c r="P1901" s="460" t="s">
        <v>1883</v>
      </c>
      <c r="Q1901" s="460" t="s">
        <v>2280</v>
      </c>
      <c r="R1901" s="460">
        <v>2121</v>
      </c>
      <c r="S1901" s="460" t="s">
        <v>2265</v>
      </c>
      <c r="T1901" s="462">
        <v>0.74223365950407583</v>
      </c>
      <c r="U1901" s="460" t="s">
        <v>2274</v>
      </c>
      <c r="V1901" s="475">
        <v>0</v>
      </c>
      <c r="W1901" s="463" t="s">
        <v>713</v>
      </c>
      <c r="X1901" s="463" t="s">
        <v>713</v>
      </c>
      <c r="Y1901" s="463" t="s">
        <v>713</v>
      </c>
      <c r="Z1901" s="463"/>
      <c r="AA1901" s="463"/>
      <c r="AB1901" s="464">
        <v>478.00895015134518</v>
      </c>
      <c r="AC1901" s="465">
        <v>0.86420421936670555</v>
      </c>
      <c r="AD1901" s="465">
        <v>2.860985125029406E-3</v>
      </c>
      <c r="AE1901" s="476">
        <v>508.05351465628183</v>
      </c>
      <c r="AF1901" s="467">
        <v>0.9185225316200234</v>
      </c>
      <c r="AG1901" s="468">
        <v>3.0128182068010268E-3</v>
      </c>
      <c r="AH1901" s="218">
        <v>479.93681193485992</v>
      </c>
      <c r="AI1901" s="470">
        <v>0.86768964843062113</v>
      </c>
      <c r="AJ1901" s="471">
        <v>3.016004861229681E-3</v>
      </c>
      <c r="AK1901" s="218">
        <v>479.93681193485992</v>
      </c>
      <c r="AL1901" s="470">
        <v>0.86768964843062113</v>
      </c>
      <c r="AM1901" s="471">
        <v>3.016004861229681E-3</v>
      </c>
      <c r="AN1901" s="477">
        <v>305.42893571031078</v>
      </c>
      <c r="AO1901" s="473">
        <v>0.55219253713546812</v>
      </c>
      <c r="AP1901" s="474">
        <v>1.9332138866258626E-3</v>
      </c>
      <c r="AQ1901" s="352"/>
      <c r="AR1901" s="352"/>
      <c r="AS1901" s="352"/>
      <c r="AT1901" s="352"/>
      <c r="AU1901" s="352"/>
      <c r="AV1901" s="352"/>
      <c r="AW1901" s="352" t="s">
        <v>254</v>
      </c>
    </row>
    <row r="1902" spans="2:49" x14ac:dyDescent="0.2">
      <c r="B1902" s="460" t="s">
        <v>2930</v>
      </c>
      <c r="C1902" s="460">
        <v>2211</v>
      </c>
      <c r="D1902" s="460" t="s">
        <v>2283</v>
      </c>
      <c r="E1902" s="460" t="s">
        <v>2277</v>
      </c>
      <c r="F1902" s="460">
        <v>4</v>
      </c>
      <c r="G1902" s="460">
        <v>1</v>
      </c>
      <c r="H1902" s="461" t="s">
        <v>712</v>
      </c>
      <c r="I1902" s="461" t="s">
        <v>713</v>
      </c>
      <c r="J1902" s="461" t="s">
        <v>712</v>
      </c>
      <c r="K1902" s="594"/>
      <c r="L1902" s="594"/>
      <c r="M1902" s="352">
        <v>2000</v>
      </c>
      <c r="N1902" s="352" t="s">
        <v>703</v>
      </c>
      <c r="O1902" s="460">
        <v>2211</v>
      </c>
      <c r="P1902" s="460" t="s">
        <v>1883</v>
      </c>
      <c r="Q1902" s="460" t="s">
        <v>2280</v>
      </c>
      <c r="R1902" s="460">
        <v>2121</v>
      </c>
      <c r="S1902" s="460" t="s">
        <v>2277</v>
      </c>
      <c r="T1902" s="462">
        <v>1</v>
      </c>
      <c r="U1902" s="460" t="s">
        <v>2277</v>
      </c>
      <c r="V1902" s="475">
        <v>0</v>
      </c>
      <c r="W1902" s="463" t="s">
        <v>713</v>
      </c>
      <c r="X1902" s="463" t="s">
        <v>713</v>
      </c>
      <c r="Y1902" s="463" t="s">
        <v>713</v>
      </c>
      <c r="Z1902" s="463"/>
      <c r="AA1902" s="463"/>
      <c r="AB1902" s="464">
        <v>611.25922904350023</v>
      </c>
      <c r="AC1902" s="465">
        <v>0.99863001504065896</v>
      </c>
      <c r="AD1902" s="465">
        <v>3.174437193823616E-3</v>
      </c>
      <c r="AE1902" s="476">
        <v>611.59465495196901</v>
      </c>
      <c r="AF1902" s="467">
        <v>0.99917800902439535</v>
      </c>
      <c r="AG1902" s="468">
        <v>3.17574805054686E-3</v>
      </c>
      <c r="AH1902" s="218">
        <v>611.59465495196901</v>
      </c>
      <c r="AI1902" s="470">
        <v>0.99917800902439535</v>
      </c>
      <c r="AJ1902" s="471">
        <v>3.1759064608252153E-3</v>
      </c>
      <c r="AK1902" s="218">
        <v>611.59465495196901</v>
      </c>
      <c r="AL1902" s="470">
        <v>0.99917800902439535</v>
      </c>
      <c r="AM1902" s="471">
        <v>3.1759064608252153E-3</v>
      </c>
      <c r="AN1902" s="477">
        <v>611.25922904350011</v>
      </c>
      <c r="AO1902" s="473">
        <v>0.99863001504065885</v>
      </c>
      <c r="AP1902" s="474">
        <v>3.1741804791392153E-3</v>
      </c>
      <c r="AQ1902" s="352"/>
      <c r="AR1902" s="352"/>
      <c r="AS1902" s="352"/>
      <c r="AT1902" s="352"/>
      <c r="AU1902" s="352"/>
      <c r="AV1902" s="352"/>
      <c r="AW1902" s="352" t="s">
        <v>254</v>
      </c>
    </row>
    <row r="1903" spans="2:49" x14ac:dyDescent="0.2">
      <c r="B1903" s="460" t="s">
        <v>2927</v>
      </c>
      <c r="C1903" s="460">
        <v>2211</v>
      </c>
      <c r="D1903" s="460" t="s">
        <v>2284</v>
      </c>
      <c r="E1903" s="460" t="s">
        <v>2265</v>
      </c>
      <c r="F1903" s="460">
        <v>1</v>
      </c>
      <c r="G1903" s="460">
        <v>1</v>
      </c>
      <c r="H1903" s="461" t="s">
        <v>746</v>
      </c>
      <c r="I1903" s="461" t="s">
        <v>762</v>
      </c>
      <c r="J1903" s="461" t="s">
        <v>700</v>
      </c>
      <c r="K1903" s="594"/>
      <c r="L1903" s="594"/>
      <c r="M1903" s="352">
        <v>2000</v>
      </c>
      <c r="N1903" s="352" t="s">
        <v>703</v>
      </c>
      <c r="O1903" s="460">
        <v>2211</v>
      </c>
      <c r="P1903" s="460" t="s">
        <v>1883</v>
      </c>
      <c r="Q1903" s="460" t="s">
        <v>2531</v>
      </c>
      <c r="R1903" s="460">
        <v>2121</v>
      </c>
      <c r="S1903" s="460" t="s">
        <v>2265</v>
      </c>
      <c r="T1903" s="462">
        <v>1</v>
      </c>
      <c r="U1903" s="460" t="s">
        <v>2265</v>
      </c>
      <c r="V1903" s="475">
        <v>0</v>
      </c>
      <c r="W1903" s="463" t="s">
        <v>2268</v>
      </c>
      <c r="X1903" s="463" t="s">
        <v>2268</v>
      </c>
      <c r="Y1903" s="463" t="s">
        <v>2290</v>
      </c>
      <c r="Z1903" s="463"/>
      <c r="AA1903" s="463"/>
      <c r="AB1903" s="464">
        <v>0</v>
      </c>
      <c r="AC1903" s="465">
        <v>0</v>
      </c>
      <c r="AD1903" s="465">
        <v>0</v>
      </c>
      <c r="AE1903" s="476">
        <v>0</v>
      </c>
      <c r="AF1903" s="467">
        <v>0</v>
      </c>
      <c r="AG1903" s="468">
        <v>0</v>
      </c>
      <c r="AH1903" s="218">
        <v>0</v>
      </c>
      <c r="AI1903" s="470">
        <v>0</v>
      </c>
      <c r="AJ1903" s="471">
        <v>0</v>
      </c>
      <c r="AK1903" s="218">
        <v>0</v>
      </c>
      <c r="AL1903" s="470">
        <v>0</v>
      </c>
      <c r="AM1903" s="471">
        <v>0</v>
      </c>
      <c r="AN1903" s="477">
        <v>0</v>
      </c>
      <c r="AO1903" s="473">
        <v>0</v>
      </c>
      <c r="AP1903" s="474">
        <v>0</v>
      </c>
      <c r="AQ1903" s="352"/>
      <c r="AR1903" s="352"/>
      <c r="AS1903" s="352"/>
      <c r="AT1903" s="352"/>
      <c r="AU1903" s="352"/>
      <c r="AV1903" s="352"/>
      <c r="AW1903" s="352" t="s">
        <v>254</v>
      </c>
    </row>
    <row r="1904" spans="2:49" x14ac:dyDescent="0.2">
      <c r="B1904" s="460" t="s">
        <v>2928</v>
      </c>
      <c r="C1904" s="460">
        <v>2211</v>
      </c>
      <c r="D1904" s="460" t="s">
        <v>2285</v>
      </c>
      <c r="E1904" s="460" t="s">
        <v>2271</v>
      </c>
      <c r="F1904" s="460">
        <v>2</v>
      </c>
      <c r="G1904" s="460">
        <v>1</v>
      </c>
      <c r="H1904" s="461" t="s">
        <v>746</v>
      </c>
      <c r="I1904" s="461" t="s">
        <v>762</v>
      </c>
      <c r="J1904" s="461" t="s">
        <v>700</v>
      </c>
      <c r="K1904" s="594"/>
      <c r="L1904" s="594"/>
      <c r="M1904" s="352">
        <v>2000</v>
      </c>
      <c r="N1904" s="352" t="s">
        <v>703</v>
      </c>
      <c r="O1904" s="460">
        <v>2211</v>
      </c>
      <c r="P1904" s="460" t="s">
        <v>1883</v>
      </c>
      <c r="Q1904" s="460" t="s">
        <v>2531</v>
      </c>
      <c r="R1904" s="460">
        <v>2121</v>
      </c>
      <c r="S1904" s="460" t="s">
        <v>2265</v>
      </c>
      <c r="T1904" s="462">
        <v>1</v>
      </c>
      <c r="U1904" s="460" t="s">
        <v>2271</v>
      </c>
      <c r="V1904" s="475">
        <v>0</v>
      </c>
      <c r="W1904" s="463" t="s">
        <v>2268</v>
      </c>
      <c r="X1904" s="463" t="s">
        <v>2268</v>
      </c>
      <c r="Y1904" s="463" t="s">
        <v>2290</v>
      </c>
      <c r="Z1904" s="463"/>
      <c r="AA1904" s="463"/>
      <c r="AB1904" s="464">
        <v>0</v>
      </c>
      <c r="AC1904" s="465">
        <v>0</v>
      </c>
      <c r="AD1904" s="465">
        <v>0</v>
      </c>
      <c r="AE1904" s="476">
        <v>0</v>
      </c>
      <c r="AF1904" s="467">
        <v>0</v>
      </c>
      <c r="AG1904" s="468">
        <v>0</v>
      </c>
      <c r="AH1904" s="218">
        <v>0</v>
      </c>
      <c r="AI1904" s="470">
        <v>0</v>
      </c>
      <c r="AJ1904" s="471">
        <v>0</v>
      </c>
      <c r="AK1904" s="218">
        <v>0</v>
      </c>
      <c r="AL1904" s="470">
        <v>0</v>
      </c>
      <c r="AM1904" s="471">
        <v>0</v>
      </c>
      <c r="AN1904" s="477">
        <v>0</v>
      </c>
      <c r="AO1904" s="473">
        <v>0</v>
      </c>
      <c r="AP1904" s="474">
        <v>0</v>
      </c>
      <c r="AQ1904" s="352"/>
      <c r="AR1904" s="352"/>
      <c r="AS1904" s="352"/>
      <c r="AT1904" s="352"/>
      <c r="AU1904" s="352"/>
      <c r="AV1904" s="352"/>
      <c r="AW1904" s="352" t="s">
        <v>254</v>
      </c>
    </row>
    <row r="1905" spans="2:49" x14ac:dyDescent="0.2">
      <c r="B1905" s="460" t="s">
        <v>2929</v>
      </c>
      <c r="C1905" s="460">
        <v>2211</v>
      </c>
      <c r="D1905" s="460" t="s">
        <v>2286</v>
      </c>
      <c r="E1905" s="460" t="s">
        <v>2274</v>
      </c>
      <c r="F1905" s="460">
        <v>3</v>
      </c>
      <c r="G1905" s="460">
        <v>1</v>
      </c>
      <c r="H1905" s="461" t="s">
        <v>746</v>
      </c>
      <c r="I1905" s="461" t="s">
        <v>762</v>
      </c>
      <c r="J1905" s="461" t="s">
        <v>700</v>
      </c>
      <c r="K1905" s="594"/>
      <c r="L1905" s="594"/>
      <c r="M1905" s="352">
        <v>2000</v>
      </c>
      <c r="N1905" s="352" t="s">
        <v>703</v>
      </c>
      <c r="O1905" s="460">
        <v>2211</v>
      </c>
      <c r="P1905" s="460" t="s">
        <v>1883</v>
      </c>
      <c r="Q1905" s="460" t="s">
        <v>2531</v>
      </c>
      <c r="R1905" s="460">
        <v>2121</v>
      </c>
      <c r="S1905" s="460" t="s">
        <v>2265</v>
      </c>
      <c r="T1905" s="462">
        <v>0.74223365950407583</v>
      </c>
      <c r="U1905" s="460" t="s">
        <v>2274</v>
      </c>
      <c r="V1905" s="475">
        <v>0</v>
      </c>
      <c r="W1905" s="463" t="s">
        <v>2268</v>
      </c>
      <c r="X1905" s="463" t="s">
        <v>2268</v>
      </c>
      <c r="Y1905" s="463" t="s">
        <v>2290</v>
      </c>
      <c r="Z1905" s="463"/>
      <c r="AA1905" s="463"/>
      <c r="AB1905" s="464">
        <v>0</v>
      </c>
      <c r="AC1905" s="465">
        <v>0</v>
      </c>
      <c r="AD1905" s="465">
        <v>0</v>
      </c>
      <c r="AE1905" s="476">
        <v>0</v>
      </c>
      <c r="AF1905" s="467">
        <v>0</v>
      </c>
      <c r="AG1905" s="468">
        <v>0</v>
      </c>
      <c r="AH1905" s="218">
        <v>0</v>
      </c>
      <c r="AI1905" s="470">
        <v>0</v>
      </c>
      <c r="AJ1905" s="471">
        <v>0</v>
      </c>
      <c r="AK1905" s="218">
        <v>0</v>
      </c>
      <c r="AL1905" s="470">
        <v>0</v>
      </c>
      <c r="AM1905" s="471">
        <v>0</v>
      </c>
      <c r="AN1905" s="477">
        <v>0</v>
      </c>
      <c r="AO1905" s="473">
        <v>0</v>
      </c>
      <c r="AP1905" s="474">
        <v>0</v>
      </c>
      <c r="AQ1905" s="352"/>
      <c r="AR1905" s="352"/>
      <c r="AS1905" s="352"/>
      <c r="AT1905" s="352"/>
      <c r="AU1905" s="352"/>
      <c r="AV1905" s="352"/>
      <c r="AW1905" s="352" t="s">
        <v>254</v>
      </c>
    </row>
    <row r="1906" spans="2:49" x14ac:dyDescent="0.2">
      <c r="B1906" s="460" t="s">
        <v>2930</v>
      </c>
      <c r="C1906" s="460">
        <v>2211</v>
      </c>
      <c r="D1906" s="460" t="s">
        <v>2287</v>
      </c>
      <c r="E1906" s="460" t="s">
        <v>2277</v>
      </c>
      <c r="F1906" s="460">
        <v>4</v>
      </c>
      <c r="G1906" s="460">
        <v>1</v>
      </c>
      <c r="H1906" s="461" t="s">
        <v>746</v>
      </c>
      <c r="I1906" s="461" t="s">
        <v>762</v>
      </c>
      <c r="J1906" s="461" t="s">
        <v>700</v>
      </c>
      <c r="K1906" s="594"/>
      <c r="L1906" s="594"/>
      <c r="M1906" s="352">
        <v>2000</v>
      </c>
      <c r="N1906" s="352" t="s">
        <v>703</v>
      </c>
      <c r="O1906" s="460">
        <v>2211</v>
      </c>
      <c r="P1906" s="460" t="s">
        <v>1883</v>
      </c>
      <c r="Q1906" s="460" t="s">
        <v>2531</v>
      </c>
      <c r="R1906" s="460">
        <v>2121</v>
      </c>
      <c r="S1906" s="460" t="s">
        <v>2277</v>
      </c>
      <c r="T1906" s="462">
        <v>1</v>
      </c>
      <c r="U1906" s="460" t="s">
        <v>2277</v>
      </c>
      <c r="V1906" s="475">
        <v>0</v>
      </c>
      <c r="W1906" s="463" t="s">
        <v>2268</v>
      </c>
      <c r="X1906" s="463" t="s">
        <v>2268</v>
      </c>
      <c r="Y1906" s="463" t="s">
        <v>2290</v>
      </c>
      <c r="Z1906" s="463"/>
      <c r="AA1906" s="463"/>
      <c r="AB1906" s="464">
        <v>0</v>
      </c>
      <c r="AC1906" s="465">
        <v>0</v>
      </c>
      <c r="AD1906" s="465">
        <v>0</v>
      </c>
      <c r="AE1906" s="476">
        <v>0</v>
      </c>
      <c r="AF1906" s="467">
        <v>0</v>
      </c>
      <c r="AG1906" s="468">
        <v>0</v>
      </c>
      <c r="AH1906" s="218">
        <v>0</v>
      </c>
      <c r="AI1906" s="470">
        <v>0</v>
      </c>
      <c r="AJ1906" s="471">
        <v>0</v>
      </c>
      <c r="AK1906" s="218">
        <v>0</v>
      </c>
      <c r="AL1906" s="470">
        <v>0</v>
      </c>
      <c r="AM1906" s="471">
        <v>0</v>
      </c>
      <c r="AN1906" s="477">
        <v>0</v>
      </c>
      <c r="AO1906" s="473">
        <v>0</v>
      </c>
      <c r="AP1906" s="474">
        <v>0</v>
      </c>
      <c r="AQ1906" s="352"/>
      <c r="AR1906" s="352"/>
      <c r="AS1906" s="352"/>
      <c r="AT1906" s="352"/>
      <c r="AU1906" s="352"/>
      <c r="AV1906" s="352"/>
      <c r="AW1906" s="352" t="s">
        <v>254</v>
      </c>
    </row>
    <row r="1907" spans="2:49" x14ac:dyDescent="0.2">
      <c r="B1907" s="460" t="s">
        <v>2927</v>
      </c>
      <c r="C1907" s="460">
        <v>2211</v>
      </c>
      <c r="D1907" s="460" t="s">
        <v>2288</v>
      </c>
      <c r="E1907" s="460" t="s">
        <v>2265</v>
      </c>
      <c r="F1907" s="460">
        <v>1</v>
      </c>
      <c r="G1907" s="460">
        <v>1</v>
      </c>
      <c r="H1907" s="461" t="s">
        <v>748</v>
      </c>
      <c r="I1907" s="461" t="s">
        <v>765</v>
      </c>
      <c r="J1907" s="461" t="s">
        <v>700</v>
      </c>
      <c r="K1907" s="594"/>
      <c r="L1907" s="594"/>
      <c r="M1907" s="352">
        <v>2000</v>
      </c>
      <c r="N1907" s="352" t="s">
        <v>703</v>
      </c>
      <c r="O1907" s="460">
        <v>2211</v>
      </c>
      <c r="P1907" s="460" t="s">
        <v>1883</v>
      </c>
      <c r="Q1907" s="460" t="s">
        <v>2527</v>
      </c>
      <c r="R1907" s="460">
        <v>2121</v>
      </c>
      <c r="S1907" s="460" t="s">
        <v>2265</v>
      </c>
      <c r="T1907" s="462">
        <v>1</v>
      </c>
      <c r="U1907" s="460" t="s">
        <v>2265</v>
      </c>
      <c r="V1907" s="475">
        <v>0</v>
      </c>
      <c r="W1907" s="463" t="s">
        <v>2268</v>
      </c>
      <c r="X1907" s="463" t="s">
        <v>2268</v>
      </c>
      <c r="Y1907" s="463" t="s">
        <v>2267</v>
      </c>
      <c r="Z1907" s="463"/>
      <c r="AA1907" s="463"/>
      <c r="AB1907" s="464">
        <v>0</v>
      </c>
      <c r="AC1907" s="465">
        <v>0</v>
      </c>
      <c r="AD1907" s="465">
        <v>0</v>
      </c>
      <c r="AE1907" s="476">
        <v>0</v>
      </c>
      <c r="AF1907" s="467">
        <v>0</v>
      </c>
      <c r="AG1907" s="468">
        <v>0</v>
      </c>
      <c r="AH1907" s="218">
        <v>0</v>
      </c>
      <c r="AI1907" s="470">
        <v>0</v>
      </c>
      <c r="AJ1907" s="471">
        <v>0</v>
      </c>
      <c r="AK1907" s="218">
        <v>0</v>
      </c>
      <c r="AL1907" s="470">
        <v>0</v>
      </c>
      <c r="AM1907" s="471">
        <v>0</v>
      </c>
      <c r="AN1907" s="477">
        <v>723.29908509328152</v>
      </c>
      <c r="AO1907" s="473">
        <v>0.60332411112119988</v>
      </c>
      <c r="AP1907" s="474">
        <v>4.4917315909546909E-2</v>
      </c>
      <c r="AQ1907" s="352"/>
      <c r="AR1907" s="352"/>
      <c r="AS1907" s="352"/>
      <c r="AT1907" s="352"/>
      <c r="AU1907" s="352"/>
      <c r="AV1907" s="352"/>
      <c r="AW1907" s="352" t="s">
        <v>254</v>
      </c>
    </row>
    <row r="1908" spans="2:49" x14ac:dyDescent="0.2">
      <c r="B1908" s="460" t="s">
        <v>2928</v>
      </c>
      <c r="C1908" s="460">
        <v>2211</v>
      </c>
      <c r="D1908" s="460" t="s">
        <v>2291</v>
      </c>
      <c r="E1908" s="460" t="s">
        <v>2271</v>
      </c>
      <c r="F1908" s="460">
        <v>2</v>
      </c>
      <c r="G1908" s="460">
        <v>1</v>
      </c>
      <c r="H1908" s="461" t="s">
        <v>748</v>
      </c>
      <c r="I1908" s="461" t="s">
        <v>765</v>
      </c>
      <c r="J1908" s="461" t="s">
        <v>700</v>
      </c>
      <c r="K1908" s="594"/>
      <c r="L1908" s="594"/>
      <c r="M1908" s="352">
        <v>2000</v>
      </c>
      <c r="N1908" s="352" t="s">
        <v>703</v>
      </c>
      <c r="O1908" s="460">
        <v>2211</v>
      </c>
      <c r="P1908" s="460" t="s">
        <v>1883</v>
      </c>
      <c r="Q1908" s="460" t="s">
        <v>2527</v>
      </c>
      <c r="R1908" s="460">
        <v>2121</v>
      </c>
      <c r="S1908" s="460" t="s">
        <v>2265</v>
      </c>
      <c r="T1908" s="462">
        <v>1</v>
      </c>
      <c r="U1908" s="460" t="s">
        <v>2271</v>
      </c>
      <c r="V1908" s="475">
        <v>0</v>
      </c>
      <c r="W1908" s="463" t="s">
        <v>2268</v>
      </c>
      <c r="X1908" s="463" t="s">
        <v>2268</v>
      </c>
      <c r="Y1908" s="463" t="s">
        <v>2267</v>
      </c>
      <c r="Z1908" s="463"/>
      <c r="AA1908" s="463"/>
      <c r="AB1908" s="464">
        <v>0</v>
      </c>
      <c r="AC1908" s="465">
        <v>0</v>
      </c>
      <c r="AD1908" s="465">
        <v>0</v>
      </c>
      <c r="AE1908" s="476">
        <v>0</v>
      </c>
      <c r="AF1908" s="467">
        <v>0</v>
      </c>
      <c r="AG1908" s="468">
        <v>0</v>
      </c>
      <c r="AH1908" s="218">
        <v>0</v>
      </c>
      <c r="AI1908" s="470">
        <v>0</v>
      </c>
      <c r="AJ1908" s="471">
        <v>0</v>
      </c>
      <c r="AK1908" s="218">
        <v>0</v>
      </c>
      <c r="AL1908" s="470">
        <v>0</v>
      </c>
      <c r="AM1908" s="471">
        <v>0</v>
      </c>
      <c r="AN1908" s="477">
        <v>784.45763741459484</v>
      </c>
      <c r="AO1908" s="473">
        <v>0.60332411112119988</v>
      </c>
      <c r="AP1908" s="474">
        <v>4.9894704232545432E-2</v>
      </c>
      <c r="AQ1908" s="352"/>
      <c r="AR1908" s="352"/>
      <c r="AS1908" s="352"/>
      <c r="AT1908" s="352"/>
      <c r="AU1908" s="352"/>
      <c r="AV1908" s="352"/>
      <c r="AW1908" s="352" t="s">
        <v>254</v>
      </c>
    </row>
    <row r="1909" spans="2:49" x14ac:dyDescent="0.2">
      <c r="B1909" s="460" t="s">
        <v>2929</v>
      </c>
      <c r="C1909" s="460">
        <v>2211</v>
      </c>
      <c r="D1909" s="460" t="s">
        <v>2292</v>
      </c>
      <c r="E1909" s="460" t="s">
        <v>2274</v>
      </c>
      <c r="F1909" s="460">
        <v>3</v>
      </c>
      <c r="G1909" s="460">
        <v>1</v>
      </c>
      <c r="H1909" s="461" t="s">
        <v>748</v>
      </c>
      <c r="I1909" s="461" t="s">
        <v>765</v>
      </c>
      <c r="J1909" s="461" t="s">
        <v>700</v>
      </c>
      <c r="K1909" s="594"/>
      <c r="L1909" s="594"/>
      <c r="M1909" s="352">
        <v>2000</v>
      </c>
      <c r="N1909" s="352" t="s">
        <v>703</v>
      </c>
      <c r="O1909" s="460">
        <v>2211</v>
      </c>
      <c r="P1909" s="460" t="s">
        <v>1883</v>
      </c>
      <c r="Q1909" s="460" t="s">
        <v>2527</v>
      </c>
      <c r="R1909" s="460">
        <v>2121</v>
      </c>
      <c r="S1909" s="460" t="s">
        <v>2265</v>
      </c>
      <c r="T1909" s="462">
        <v>0.74223365950407583</v>
      </c>
      <c r="U1909" s="460" t="s">
        <v>2274</v>
      </c>
      <c r="V1909" s="475">
        <v>0</v>
      </c>
      <c r="W1909" s="463" t="s">
        <v>2268</v>
      </c>
      <c r="X1909" s="463" t="s">
        <v>2268</v>
      </c>
      <c r="Y1909" s="463" t="s">
        <v>2267</v>
      </c>
      <c r="Z1909" s="463"/>
      <c r="AA1909" s="463"/>
      <c r="AB1909" s="464">
        <v>0</v>
      </c>
      <c r="AC1909" s="465">
        <v>0</v>
      </c>
      <c r="AD1909" s="465">
        <v>0</v>
      </c>
      <c r="AE1909" s="476">
        <v>0</v>
      </c>
      <c r="AF1909" s="467">
        <v>0</v>
      </c>
      <c r="AG1909" s="468">
        <v>0</v>
      </c>
      <c r="AH1909" s="218">
        <v>0</v>
      </c>
      <c r="AI1909" s="470">
        <v>0</v>
      </c>
      <c r="AJ1909" s="471">
        <v>0</v>
      </c>
      <c r="AK1909" s="218">
        <v>0</v>
      </c>
      <c r="AL1909" s="470">
        <v>0</v>
      </c>
      <c r="AM1909" s="471">
        <v>0</v>
      </c>
      <c r="AN1909" s="477">
        <v>247.69142570337598</v>
      </c>
      <c r="AO1909" s="473">
        <v>0.44780746286453188</v>
      </c>
      <c r="AP1909" s="474">
        <v>3.4874157503894061E-2</v>
      </c>
      <c r="AQ1909" s="352"/>
      <c r="AR1909" s="352"/>
      <c r="AS1909" s="352"/>
      <c r="AT1909" s="352"/>
      <c r="AU1909" s="352"/>
      <c r="AV1909" s="352"/>
      <c r="AW1909" s="352" t="s">
        <v>254</v>
      </c>
    </row>
    <row r="1910" spans="2:49" x14ac:dyDescent="0.2">
      <c r="B1910" s="460" t="s">
        <v>2930</v>
      </c>
      <c r="C1910" s="460">
        <v>2211</v>
      </c>
      <c r="D1910" s="460" t="s">
        <v>2293</v>
      </c>
      <c r="E1910" s="460" t="s">
        <v>2277</v>
      </c>
      <c r="F1910" s="460">
        <v>4</v>
      </c>
      <c r="G1910" s="460">
        <v>1</v>
      </c>
      <c r="H1910" s="461" t="s">
        <v>748</v>
      </c>
      <c r="I1910" s="461" t="s">
        <v>765</v>
      </c>
      <c r="J1910" s="461" t="s">
        <v>700</v>
      </c>
      <c r="K1910" s="594"/>
      <c r="L1910" s="594"/>
      <c r="M1910" s="352">
        <v>2000</v>
      </c>
      <c r="N1910" s="352" t="s">
        <v>703</v>
      </c>
      <c r="O1910" s="460">
        <v>2211</v>
      </c>
      <c r="P1910" s="460" t="s">
        <v>1883</v>
      </c>
      <c r="Q1910" s="460" t="s">
        <v>2527</v>
      </c>
      <c r="R1910" s="460">
        <v>2121</v>
      </c>
      <c r="S1910" s="460" t="s">
        <v>2277</v>
      </c>
      <c r="T1910" s="462">
        <v>1</v>
      </c>
      <c r="U1910" s="460" t="s">
        <v>2277</v>
      </c>
      <c r="V1910" s="475">
        <v>0</v>
      </c>
      <c r="W1910" s="463" t="s">
        <v>2268</v>
      </c>
      <c r="X1910" s="463" t="s">
        <v>2268</v>
      </c>
      <c r="Y1910" s="463" t="s">
        <v>2278</v>
      </c>
      <c r="Z1910" s="463"/>
      <c r="AA1910" s="463"/>
      <c r="AB1910" s="464">
        <v>0</v>
      </c>
      <c r="AC1910" s="465">
        <v>0</v>
      </c>
      <c r="AD1910" s="465">
        <v>0</v>
      </c>
      <c r="AE1910" s="476">
        <v>0</v>
      </c>
      <c r="AF1910" s="467">
        <v>0</v>
      </c>
      <c r="AG1910" s="468">
        <v>0</v>
      </c>
      <c r="AH1910" s="218">
        <v>0</v>
      </c>
      <c r="AI1910" s="470">
        <v>0</v>
      </c>
      <c r="AJ1910" s="471">
        <v>0</v>
      </c>
      <c r="AK1910" s="218">
        <v>0</v>
      </c>
      <c r="AL1910" s="470">
        <v>0</v>
      </c>
      <c r="AM1910" s="471">
        <v>0</v>
      </c>
      <c r="AN1910" s="477">
        <v>0.83856477117199846</v>
      </c>
      <c r="AO1910" s="473">
        <v>1.3699849593411455E-3</v>
      </c>
      <c r="AP1910" s="474">
        <v>2.0248126118490081E-2</v>
      </c>
      <c r="AQ1910" s="352"/>
      <c r="AR1910" s="352"/>
      <c r="AS1910" s="352"/>
      <c r="AT1910" s="352"/>
      <c r="AU1910" s="352"/>
      <c r="AV1910" s="352"/>
      <c r="AW1910" s="352" t="s">
        <v>254</v>
      </c>
    </row>
    <row r="1911" spans="2:49" x14ac:dyDescent="0.2">
      <c r="B1911" s="460" t="s">
        <v>2931</v>
      </c>
      <c r="C1911" s="460">
        <v>2211</v>
      </c>
      <c r="D1911" s="460" t="s">
        <v>2295</v>
      </c>
      <c r="E1911" s="460" t="s">
        <v>2296</v>
      </c>
      <c r="F1911" s="460">
        <v>1</v>
      </c>
      <c r="G1911" s="460">
        <v>2</v>
      </c>
      <c r="H1911" s="461" t="s">
        <v>700</v>
      </c>
      <c r="I1911" s="461" t="s">
        <v>872</v>
      </c>
      <c r="J1911" s="461" t="s">
        <v>700</v>
      </c>
      <c r="K1911" s="594"/>
      <c r="L1911" s="594"/>
      <c r="M1911" s="352">
        <v>2000</v>
      </c>
      <c r="N1911" s="352" t="s">
        <v>703</v>
      </c>
      <c r="O1911" s="460">
        <v>2211</v>
      </c>
      <c r="P1911" s="460" t="s">
        <v>1883</v>
      </c>
      <c r="Q1911" s="460" t="s">
        <v>2527</v>
      </c>
      <c r="R1911" s="460">
        <v>2121</v>
      </c>
      <c r="S1911" s="460" t="s">
        <v>2296</v>
      </c>
      <c r="T1911" s="462">
        <v>1</v>
      </c>
      <c r="U1911" s="460" t="s">
        <v>2296</v>
      </c>
      <c r="V1911" s="475">
        <v>0</v>
      </c>
      <c r="W1911" s="463" t="s">
        <v>2503</v>
      </c>
      <c r="X1911" s="463" t="s">
        <v>2267</v>
      </c>
      <c r="Y1911" s="463" t="s">
        <v>2268</v>
      </c>
      <c r="Z1911" s="463"/>
      <c r="AA1911" s="463"/>
      <c r="AB1911" s="464">
        <v>8.9809857566587432</v>
      </c>
      <c r="AC1911" s="465">
        <v>2.4529886073947588E-2</v>
      </c>
      <c r="AD1911" s="465">
        <v>5.2461284311900683E-4</v>
      </c>
      <c r="AE1911" s="476">
        <v>5.3885914539952458</v>
      </c>
      <c r="AF1911" s="467">
        <v>1.4717931644368552E-2</v>
      </c>
      <c r="AG1911" s="468">
        <v>3.4988145180642205E-4</v>
      </c>
      <c r="AH1911" s="218">
        <v>116.75493912336866</v>
      </c>
      <c r="AI1911" s="470">
        <v>0.31889432105417648</v>
      </c>
      <c r="AJ1911" s="471">
        <v>6.9648224736394652E-3</v>
      </c>
      <c r="AK1911" s="218">
        <v>116.75493912336866</v>
      </c>
      <c r="AL1911" s="470">
        <v>0.31889432105417648</v>
      </c>
      <c r="AM1911" s="471">
        <v>6.9648224736394652E-3</v>
      </c>
      <c r="AN1911" s="477">
        <v>0</v>
      </c>
      <c r="AO1911" s="473">
        <v>0</v>
      </c>
      <c r="AP1911" s="474">
        <v>0</v>
      </c>
      <c r="AQ1911" s="352"/>
      <c r="AR1911" s="352"/>
      <c r="AS1911" s="352"/>
      <c r="AT1911" s="352"/>
      <c r="AU1911" s="352"/>
      <c r="AV1911" s="352"/>
      <c r="AW1911" s="352" t="s">
        <v>254</v>
      </c>
    </row>
    <row r="1912" spans="2:49" x14ac:dyDescent="0.2">
      <c r="B1912" s="460" t="s">
        <v>2932</v>
      </c>
      <c r="C1912" s="460">
        <v>2211</v>
      </c>
      <c r="D1912" s="460" t="s">
        <v>2298</v>
      </c>
      <c r="E1912" s="460" t="s">
        <v>2299</v>
      </c>
      <c r="F1912" s="460">
        <v>2</v>
      </c>
      <c r="G1912" s="460">
        <v>2</v>
      </c>
      <c r="H1912" s="461" t="s">
        <v>700</v>
      </c>
      <c r="I1912" s="461" t="s">
        <v>872</v>
      </c>
      <c r="J1912" s="461" t="s">
        <v>700</v>
      </c>
      <c r="K1912" s="594"/>
      <c r="L1912" s="594"/>
      <c r="M1912" s="352">
        <v>2000</v>
      </c>
      <c r="N1912" s="352" t="s">
        <v>703</v>
      </c>
      <c r="O1912" s="460">
        <v>2211</v>
      </c>
      <c r="P1912" s="460" t="s">
        <v>1883</v>
      </c>
      <c r="Q1912" s="460" t="s">
        <v>2527</v>
      </c>
      <c r="R1912" s="460">
        <v>2121</v>
      </c>
      <c r="S1912" s="460" t="s">
        <v>2296</v>
      </c>
      <c r="T1912" s="462">
        <v>0.55517361979372948</v>
      </c>
      <c r="U1912" s="460" t="s">
        <v>2299</v>
      </c>
      <c r="V1912" s="475">
        <v>0</v>
      </c>
      <c r="W1912" s="463" t="s">
        <v>2503</v>
      </c>
      <c r="X1912" s="463" t="s">
        <v>2267</v>
      </c>
      <c r="Y1912" s="463" t="s">
        <v>2268</v>
      </c>
      <c r="Z1912" s="463"/>
      <c r="AA1912" s="463"/>
      <c r="AB1912" s="464">
        <v>1.5339775013004819</v>
      </c>
      <c r="AC1912" s="465">
        <v>7.6206568751234841E-3</v>
      </c>
      <c r="AD1912" s="465">
        <v>4.6415004374893539E-4</v>
      </c>
      <c r="AE1912" s="476">
        <v>0.92038650078028916</v>
      </c>
      <c r="AF1912" s="467">
        <v>4.5723941250740904E-3</v>
      </c>
      <c r="AG1912" s="468">
        <v>3.1251956628737597E-4</v>
      </c>
      <c r="AH1912" s="218">
        <v>35.63708632518275</v>
      </c>
      <c r="AI1912" s="470">
        <v>0.17704171455131087</v>
      </c>
      <c r="AJ1912" s="471">
        <v>8.392091169639293E-3</v>
      </c>
      <c r="AK1912" s="218">
        <v>35.63708632518275</v>
      </c>
      <c r="AL1912" s="470">
        <v>0.17704171455131087</v>
      </c>
      <c r="AM1912" s="471">
        <v>8.392091169639293E-3</v>
      </c>
      <c r="AN1912" s="477">
        <v>0</v>
      </c>
      <c r="AO1912" s="473">
        <v>0</v>
      </c>
      <c r="AP1912" s="474">
        <v>0</v>
      </c>
      <c r="AQ1912" s="352"/>
      <c r="AR1912" s="352"/>
      <c r="AS1912" s="352"/>
      <c r="AT1912" s="352"/>
      <c r="AU1912" s="352"/>
      <c r="AV1912" s="352"/>
      <c r="AW1912" s="352" t="s">
        <v>254</v>
      </c>
    </row>
    <row r="1913" spans="2:49" x14ac:dyDescent="0.2">
      <c r="B1913" s="460" t="s">
        <v>2933</v>
      </c>
      <c r="C1913" s="460">
        <v>2211</v>
      </c>
      <c r="D1913" s="460" t="s">
        <v>2301</v>
      </c>
      <c r="E1913" s="460" t="s">
        <v>2302</v>
      </c>
      <c r="F1913" s="460">
        <v>3</v>
      </c>
      <c r="G1913" s="460">
        <v>2</v>
      </c>
      <c r="H1913" s="461" t="s">
        <v>700</v>
      </c>
      <c r="I1913" s="461" t="s">
        <v>872</v>
      </c>
      <c r="J1913" s="461" t="s">
        <v>700</v>
      </c>
      <c r="K1913" s="594"/>
      <c r="L1913" s="594"/>
      <c r="M1913" s="352">
        <v>2000</v>
      </c>
      <c r="N1913" s="352" t="s">
        <v>703</v>
      </c>
      <c r="O1913" s="460">
        <v>2211</v>
      </c>
      <c r="P1913" s="460" t="s">
        <v>1883</v>
      </c>
      <c r="Q1913" s="460" t="s">
        <v>2527</v>
      </c>
      <c r="R1913" s="460">
        <v>2121</v>
      </c>
      <c r="S1913" s="460" t="s">
        <v>2296</v>
      </c>
      <c r="T1913" s="462">
        <v>0.28481449642268464</v>
      </c>
      <c r="U1913" s="460" t="s">
        <v>2302</v>
      </c>
      <c r="V1913" s="475">
        <v>0</v>
      </c>
      <c r="W1913" s="463" t="s">
        <v>2503</v>
      </c>
      <c r="X1913" s="463" t="s">
        <v>2503</v>
      </c>
      <c r="Y1913" s="463" t="s">
        <v>2268</v>
      </c>
      <c r="Z1913" s="463"/>
      <c r="AA1913" s="463"/>
      <c r="AB1913" s="464">
        <v>0.10214771059126218</v>
      </c>
      <c r="AC1913" s="465">
        <v>8.5603301105857048E-4</v>
      </c>
      <c r="AD1913" s="465">
        <v>1.9869137892889106E-4</v>
      </c>
      <c r="AE1913" s="476">
        <v>6.1288626354757306E-2</v>
      </c>
      <c r="AF1913" s="467">
        <v>5.1361980663514224E-4</v>
      </c>
      <c r="AG1913" s="468">
        <v>1.3452659706858562E-4</v>
      </c>
      <c r="AH1913" s="218">
        <v>0.5002038112214483</v>
      </c>
      <c r="AI1913" s="470">
        <v>4.1918802896743238E-3</v>
      </c>
      <c r="AJ1913" s="471">
        <v>5.1927104147367039E-4</v>
      </c>
      <c r="AK1913" s="218">
        <v>0.5002038112214483</v>
      </c>
      <c r="AL1913" s="470">
        <v>4.1918802896743238E-3</v>
      </c>
      <c r="AM1913" s="471">
        <v>5.1927104147367039E-4</v>
      </c>
      <c r="AN1913" s="477">
        <v>0</v>
      </c>
      <c r="AO1913" s="473">
        <v>0</v>
      </c>
      <c r="AP1913" s="474">
        <v>0</v>
      </c>
      <c r="AQ1913" s="352"/>
      <c r="AR1913" s="352"/>
      <c r="AS1913" s="352"/>
      <c r="AT1913" s="352"/>
      <c r="AU1913" s="352"/>
      <c r="AV1913" s="352"/>
      <c r="AW1913" s="352" t="s">
        <v>254</v>
      </c>
    </row>
    <row r="1914" spans="2:49" x14ac:dyDescent="0.2">
      <c r="B1914" s="460" t="s">
        <v>2934</v>
      </c>
      <c r="C1914" s="460">
        <v>2211</v>
      </c>
      <c r="D1914" s="460" t="s">
        <v>2304</v>
      </c>
      <c r="E1914" s="460" t="s">
        <v>2305</v>
      </c>
      <c r="F1914" s="460">
        <v>4</v>
      </c>
      <c r="G1914" s="460">
        <v>2</v>
      </c>
      <c r="H1914" s="461" t="s">
        <v>700</v>
      </c>
      <c r="I1914" s="461" t="s">
        <v>872</v>
      </c>
      <c r="J1914" s="461" t="s">
        <v>700</v>
      </c>
      <c r="K1914" s="594"/>
      <c r="L1914" s="594"/>
      <c r="M1914" s="352">
        <v>2000</v>
      </c>
      <c r="N1914" s="352" t="s">
        <v>703</v>
      </c>
      <c r="O1914" s="460">
        <v>2211</v>
      </c>
      <c r="P1914" s="460" t="s">
        <v>1883</v>
      </c>
      <c r="Q1914" s="460" t="s">
        <v>2527</v>
      </c>
      <c r="R1914" s="460">
        <v>2121</v>
      </c>
      <c r="S1914" s="460" t="s">
        <v>2305</v>
      </c>
      <c r="T1914" s="462">
        <v>1</v>
      </c>
      <c r="U1914" s="460" t="s">
        <v>2305</v>
      </c>
      <c r="V1914" s="475">
        <v>0</v>
      </c>
      <c r="W1914" s="463" t="s">
        <v>2503</v>
      </c>
      <c r="X1914" s="463" t="s">
        <v>2503</v>
      </c>
      <c r="Y1914" s="463" t="s">
        <v>2268</v>
      </c>
      <c r="Z1914" s="463"/>
      <c r="AA1914" s="463"/>
      <c r="AB1914" s="464">
        <v>0</v>
      </c>
      <c r="AC1914" s="465">
        <v>0</v>
      </c>
      <c r="AD1914" s="465">
        <v>0</v>
      </c>
      <c r="AE1914" s="476">
        <v>0</v>
      </c>
      <c r="AF1914" s="467">
        <v>0</v>
      </c>
      <c r="AG1914" s="468">
        <v>0</v>
      </c>
      <c r="AH1914" s="218">
        <v>0</v>
      </c>
      <c r="AI1914" s="470">
        <v>0</v>
      </c>
      <c r="AJ1914" s="471">
        <v>0</v>
      </c>
      <c r="AK1914" s="218">
        <v>0</v>
      </c>
      <c r="AL1914" s="470">
        <v>0</v>
      </c>
      <c r="AM1914" s="471">
        <v>0</v>
      </c>
      <c r="AN1914" s="477">
        <v>0</v>
      </c>
      <c r="AO1914" s="473">
        <v>0</v>
      </c>
      <c r="AP1914" s="474">
        <v>0</v>
      </c>
      <c r="AQ1914" s="352"/>
      <c r="AR1914" s="352"/>
      <c r="AS1914" s="352"/>
      <c r="AT1914" s="352"/>
      <c r="AU1914" s="352"/>
      <c r="AV1914" s="352"/>
      <c r="AW1914" s="352" t="s">
        <v>254</v>
      </c>
    </row>
    <row r="1915" spans="2:49" x14ac:dyDescent="0.2">
      <c r="B1915" s="460" t="s">
        <v>2931</v>
      </c>
      <c r="C1915" s="460">
        <v>2211</v>
      </c>
      <c r="D1915" s="460" t="s">
        <v>2306</v>
      </c>
      <c r="E1915" s="460" t="s">
        <v>2296</v>
      </c>
      <c r="F1915" s="460">
        <v>1</v>
      </c>
      <c r="G1915" s="460">
        <v>2</v>
      </c>
      <c r="H1915" s="461" t="s">
        <v>712</v>
      </c>
      <c r="I1915" s="461" t="s">
        <v>713</v>
      </c>
      <c r="J1915" s="461" t="s">
        <v>712</v>
      </c>
      <c r="K1915" s="594"/>
      <c r="L1915" s="594"/>
      <c r="M1915" s="352">
        <v>2000</v>
      </c>
      <c r="N1915" s="352" t="s">
        <v>703</v>
      </c>
      <c r="O1915" s="460">
        <v>2211</v>
      </c>
      <c r="P1915" s="460" t="s">
        <v>1883</v>
      </c>
      <c r="Q1915" s="460" t="s">
        <v>2280</v>
      </c>
      <c r="R1915" s="460">
        <v>2121</v>
      </c>
      <c r="S1915" s="460" t="s">
        <v>2296</v>
      </c>
      <c r="T1915" s="462">
        <v>1</v>
      </c>
      <c r="U1915" s="460" t="s">
        <v>2296</v>
      </c>
      <c r="V1915" s="475">
        <v>0</v>
      </c>
      <c r="W1915" s="463" t="s">
        <v>713</v>
      </c>
      <c r="X1915" s="463" t="s">
        <v>713</v>
      </c>
      <c r="Y1915" s="463" t="s">
        <v>713</v>
      </c>
      <c r="Z1915" s="463"/>
      <c r="AA1915" s="463"/>
      <c r="AB1915" s="464">
        <v>357.14324855836168</v>
      </c>
      <c r="AC1915" s="465">
        <v>0.97547011392605243</v>
      </c>
      <c r="AD1915" s="465">
        <v>3.0889236990911686E-3</v>
      </c>
      <c r="AE1915" s="476">
        <v>360.73564286102521</v>
      </c>
      <c r="AF1915" s="467">
        <v>0.98528206835563148</v>
      </c>
      <c r="AG1915" s="468">
        <v>3.074311308596765E-3</v>
      </c>
      <c r="AH1915" s="218">
        <v>249.36929519165176</v>
      </c>
      <c r="AI1915" s="470">
        <v>0.68110567894582352</v>
      </c>
      <c r="AJ1915" s="471">
        <v>2.1501735633118507E-3</v>
      </c>
      <c r="AK1915" s="218">
        <v>249.36929519165176</v>
      </c>
      <c r="AL1915" s="470">
        <v>0.68110567894582352</v>
      </c>
      <c r="AM1915" s="471">
        <v>2.1501735633118507E-3</v>
      </c>
      <c r="AN1915" s="477">
        <v>249.36929519165176</v>
      </c>
      <c r="AO1915" s="473">
        <v>0.68110567894582352</v>
      </c>
      <c r="AP1915" s="474">
        <v>2.149645881119691E-3</v>
      </c>
      <c r="AQ1915" s="352"/>
      <c r="AR1915" s="352"/>
      <c r="AS1915" s="352"/>
      <c r="AT1915" s="352"/>
      <c r="AU1915" s="352"/>
      <c r="AV1915" s="352"/>
      <c r="AW1915" s="352" t="s">
        <v>254</v>
      </c>
    </row>
    <row r="1916" spans="2:49" x14ac:dyDescent="0.2">
      <c r="B1916" s="460" t="s">
        <v>2932</v>
      </c>
      <c r="C1916" s="460">
        <v>2211</v>
      </c>
      <c r="D1916" s="460" t="s">
        <v>2307</v>
      </c>
      <c r="E1916" s="460" t="s">
        <v>2299</v>
      </c>
      <c r="F1916" s="460">
        <v>2</v>
      </c>
      <c r="G1916" s="460">
        <v>2</v>
      </c>
      <c r="H1916" s="461" t="s">
        <v>712</v>
      </c>
      <c r="I1916" s="461" t="s">
        <v>713</v>
      </c>
      <c r="J1916" s="461" t="s">
        <v>712</v>
      </c>
      <c r="K1916" s="594"/>
      <c r="L1916" s="594"/>
      <c r="M1916" s="352">
        <v>2000</v>
      </c>
      <c r="N1916" s="352" t="s">
        <v>703</v>
      </c>
      <c r="O1916" s="460">
        <v>2211</v>
      </c>
      <c r="P1916" s="460" t="s">
        <v>1883</v>
      </c>
      <c r="Q1916" s="460" t="s">
        <v>2280</v>
      </c>
      <c r="R1916" s="460">
        <v>2121</v>
      </c>
      <c r="S1916" s="460" t="s">
        <v>2296</v>
      </c>
      <c r="T1916" s="462">
        <v>0.55517361979372948</v>
      </c>
      <c r="U1916" s="460" t="s">
        <v>2299</v>
      </c>
      <c r="V1916" s="475">
        <v>0</v>
      </c>
      <c r="W1916" s="463" t="s">
        <v>713</v>
      </c>
      <c r="X1916" s="463" t="s">
        <v>713</v>
      </c>
      <c r="Y1916" s="463" t="s">
        <v>713</v>
      </c>
      <c r="Z1916" s="463"/>
      <c r="AA1916" s="463"/>
      <c r="AB1916" s="464">
        <v>199.75805367621209</v>
      </c>
      <c r="AC1916" s="465">
        <v>0.99237934312487652</v>
      </c>
      <c r="AD1916" s="465">
        <v>2.3105519736988434E-3</v>
      </c>
      <c r="AE1916" s="476">
        <v>200.3716446767323</v>
      </c>
      <c r="AF1916" s="467">
        <v>0.99542760587492596</v>
      </c>
      <c r="AG1916" s="468">
        <v>2.3080420777433805E-3</v>
      </c>
      <c r="AH1916" s="218">
        <v>165.65494485232981</v>
      </c>
      <c r="AI1916" s="470">
        <v>0.8229582854486891</v>
      </c>
      <c r="AJ1916" s="471">
        <v>1.9407969779925522E-3</v>
      </c>
      <c r="AK1916" s="218">
        <v>165.65494485232981</v>
      </c>
      <c r="AL1916" s="470">
        <v>0.8229582854486891</v>
      </c>
      <c r="AM1916" s="471">
        <v>1.9407969779925522E-3</v>
      </c>
      <c r="AN1916" s="477">
        <v>165.65494485232981</v>
      </c>
      <c r="AO1916" s="473">
        <v>0.8229582854486891</v>
      </c>
      <c r="AP1916" s="474">
        <v>1.9405519820668534E-3</v>
      </c>
      <c r="AQ1916" s="352"/>
      <c r="AR1916" s="352"/>
      <c r="AS1916" s="352"/>
      <c r="AT1916" s="352"/>
      <c r="AU1916" s="352"/>
      <c r="AV1916" s="352"/>
      <c r="AW1916" s="352" t="s">
        <v>254</v>
      </c>
    </row>
    <row r="1917" spans="2:49" x14ac:dyDescent="0.2">
      <c r="B1917" s="460" t="s">
        <v>2933</v>
      </c>
      <c r="C1917" s="460">
        <v>2211</v>
      </c>
      <c r="D1917" s="460" t="s">
        <v>2308</v>
      </c>
      <c r="E1917" s="460" t="s">
        <v>2302</v>
      </c>
      <c r="F1917" s="460">
        <v>3</v>
      </c>
      <c r="G1917" s="460">
        <v>2</v>
      </c>
      <c r="H1917" s="461" t="s">
        <v>712</v>
      </c>
      <c r="I1917" s="461" t="s">
        <v>713</v>
      </c>
      <c r="J1917" s="461" t="s">
        <v>712</v>
      </c>
      <c r="K1917" s="594"/>
      <c r="L1917" s="594"/>
      <c r="M1917" s="352">
        <v>2000</v>
      </c>
      <c r="N1917" s="352" t="s">
        <v>703</v>
      </c>
      <c r="O1917" s="460">
        <v>2211</v>
      </c>
      <c r="P1917" s="460" t="s">
        <v>1883</v>
      </c>
      <c r="Q1917" s="460" t="s">
        <v>2280</v>
      </c>
      <c r="R1917" s="460">
        <v>2121</v>
      </c>
      <c r="S1917" s="460" t="s">
        <v>2296</v>
      </c>
      <c r="T1917" s="462">
        <v>0.28481449642268464</v>
      </c>
      <c r="U1917" s="460" t="s">
        <v>2302</v>
      </c>
      <c r="V1917" s="475">
        <v>0</v>
      </c>
      <c r="W1917" s="463" t="s">
        <v>713</v>
      </c>
      <c r="X1917" s="463" t="s">
        <v>713</v>
      </c>
      <c r="Y1917" s="463" t="s">
        <v>713</v>
      </c>
      <c r="Z1917" s="463"/>
      <c r="AA1917" s="463"/>
      <c r="AB1917" s="464">
        <v>119.22468813765052</v>
      </c>
      <c r="AC1917" s="465">
        <v>0.99914396698894137</v>
      </c>
      <c r="AD1917" s="465">
        <v>3.4679482473422125E-3</v>
      </c>
      <c r="AE1917" s="476">
        <v>119.26554722188703</v>
      </c>
      <c r="AF1917" s="467">
        <v>0.99948638019336489</v>
      </c>
      <c r="AG1917" s="468">
        <v>3.4632421119442734E-3</v>
      </c>
      <c r="AH1917" s="218">
        <v>118.82663203702033</v>
      </c>
      <c r="AI1917" s="470">
        <v>0.99580811971032568</v>
      </c>
      <c r="AJ1917" s="471">
        <v>3.5021267468391612E-3</v>
      </c>
      <c r="AK1917" s="218">
        <v>118.82663203702033</v>
      </c>
      <c r="AL1917" s="470">
        <v>0.99580811971032568</v>
      </c>
      <c r="AM1917" s="471">
        <v>3.5021267468391612E-3</v>
      </c>
      <c r="AN1917" s="477">
        <v>108.48888941510907</v>
      </c>
      <c r="AO1917" s="473">
        <v>0.90917427453690081</v>
      </c>
      <c r="AP1917" s="474">
        <v>3.2002272164565414E-3</v>
      </c>
      <c r="AQ1917" s="352"/>
      <c r="AR1917" s="352"/>
      <c r="AS1917" s="352"/>
      <c r="AT1917" s="352"/>
      <c r="AU1917" s="352"/>
      <c r="AV1917" s="352"/>
      <c r="AW1917" s="352" t="s">
        <v>254</v>
      </c>
    </row>
    <row r="1918" spans="2:49" x14ac:dyDescent="0.2">
      <c r="B1918" s="460" t="s">
        <v>2934</v>
      </c>
      <c r="C1918" s="460">
        <v>2211</v>
      </c>
      <c r="D1918" s="460" t="s">
        <v>2309</v>
      </c>
      <c r="E1918" s="460" t="s">
        <v>2305</v>
      </c>
      <c r="F1918" s="460">
        <v>4</v>
      </c>
      <c r="G1918" s="460">
        <v>2</v>
      </c>
      <c r="H1918" s="461" t="s">
        <v>712</v>
      </c>
      <c r="I1918" s="461" t="s">
        <v>713</v>
      </c>
      <c r="J1918" s="461" t="s">
        <v>712</v>
      </c>
      <c r="K1918" s="594"/>
      <c r="L1918" s="594"/>
      <c r="M1918" s="352">
        <v>2000</v>
      </c>
      <c r="N1918" s="352" t="s">
        <v>703</v>
      </c>
      <c r="O1918" s="460">
        <v>2211</v>
      </c>
      <c r="P1918" s="460" t="s">
        <v>1883</v>
      </c>
      <c r="Q1918" s="460" t="s">
        <v>2280</v>
      </c>
      <c r="R1918" s="460">
        <v>2121</v>
      </c>
      <c r="S1918" s="460" t="s">
        <v>2305</v>
      </c>
      <c r="T1918" s="462">
        <v>1</v>
      </c>
      <c r="U1918" s="460" t="s">
        <v>2305</v>
      </c>
      <c r="V1918" s="475">
        <v>0</v>
      </c>
      <c r="W1918" s="463" t="s">
        <v>713</v>
      </c>
      <c r="X1918" s="463" t="s">
        <v>713</v>
      </c>
      <c r="Y1918" s="463" t="s">
        <v>713</v>
      </c>
      <c r="Z1918" s="463"/>
      <c r="AA1918" s="463"/>
      <c r="AB1918" s="464">
        <v>135.1768792511337</v>
      </c>
      <c r="AC1918" s="465">
        <v>1</v>
      </c>
      <c r="AD1918" s="465">
        <v>3.45240430515941E-3</v>
      </c>
      <c r="AE1918" s="476">
        <v>135.1768792511337</v>
      </c>
      <c r="AF1918" s="467">
        <v>1</v>
      </c>
      <c r="AG1918" s="468">
        <v>3.4522935645043247E-3</v>
      </c>
      <c r="AH1918" s="218">
        <v>135.1768792511337</v>
      </c>
      <c r="AI1918" s="470">
        <v>1</v>
      </c>
      <c r="AJ1918" s="471">
        <v>3.4522977436091495E-3</v>
      </c>
      <c r="AK1918" s="218">
        <v>135.1768792511337</v>
      </c>
      <c r="AL1918" s="470">
        <v>1</v>
      </c>
      <c r="AM1918" s="471">
        <v>3.4522977436091495E-3</v>
      </c>
      <c r="AN1918" s="477">
        <v>135.1768792511337</v>
      </c>
      <c r="AO1918" s="473">
        <v>1</v>
      </c>
      <c r="AP1918" s="474">
        <v>3.4523019664558464E-3</v>
      </c>
      <c r="AQ1918" s="352"/>
      <c r="AR1918" s="352"/>
      <c r="AS1918" s="352"/>
      <c r="AT1918" s="352"/>
      <c r="AU1918" s="352"/>
      <c r="AV1918" s="352"/>
      <c r="AW1918" s="352" t="s">
        <v>254</v>
      </c>
    </row>
    <row r="1919" spans="2:49" x14ac:dyDescent="0.2">
      <c r="B1919" s="460" t="s">
        <v>2931</v>
      </c>
      <c r="C1919" s="460">
        <v>2211</v>
      </c>
      <c r="D1919" s="460" t="s">
        <v>2310</v>
      </c>
      <c r="E1919" s="460" t="s">
        <v>2296</v>
      </c>
      <c r="F1919" s="460">
        <v>1</v>
      </c>
      <c r="G1919" s="460">
        <v>2</v>
      </c>
      <c r="H1919" s="461" t="s">
        <v>746</v>
      </c>
      <c r="I1919" s="461" t="s">
        <v>762</v>
      </c>
      <c r="J1919" s="461" t="s">
        <v>700</v>
      </c>
      <c r="K1919" s="594"/>
      <c r="L1919" s="594"/>
      <c r="M1919" s="352">
        <v>2000</v>
      </c>
      <c r="N1919" s="352" t="s">
        <v>703</v>
      </c>
      <c r="O1919" s="460">
        <v>2211</v>
      </c>
      <c r="P1919" s="460" t="s">
        <v>1883</v>
      </c>
      <c r="Q1919" s="460" t="s">
        <v>2531</v>
      </c>
      <c r="R1919" s="460">
        <v>2121</v>
      </c>
      <c r="S1919" s="460" t="s">
        <v>2296</v>
      </c>
      <c r="T1919" s="462">
        <v>1</v>
      </c>
      <c r="U1919" s="460" t="s">
        <v>2296</v>
      </c>
      <c r="V1919" s="475">
        <v>0</v>
      </c>
      <c r="W1919" s="463" t="s">
        <v>2268</v>
      </c>
      <c r="X1919" s="463" t="s">
        <v>2268</v>
      </c>
      <c r="Y1919" s="463" t="s">
        <v>2290</v>
      </c>
      <c r="Z1919" s="463"/>
      <c r="AA1919" s="463"/>
      <c r="AB1919" s="464">
        <v>0</v>
      </c>
      <c r="AC1919" s="465">
        <v>0</v>
      </c>
      <c r="AD1919" s="465">
        <v>0</v>
      </c>
      <c r="AE1919" s="476">
        <v>0</v>
      </c>
      <c r="AF1919" s="467">
        <v>0</v>
      </c>
      <c r="AG1919" s="468">
        <v>0</v>
      </c>
      <c r="AH1919" s="218">
        <v>0</v>
      </c>
      <c r="AI1919" s="470">
        <v>0</v>
      </c>
      <c r="AJ1919" s="471">
        <v>0</v>
      </c>
      <c r="AK1919" s="218">
        <v>0</v>
      </c>
      <c r="AL1919" s="470">
        <v>0</v>
      </c>
      <c r="AM1919" s="471">
        <v>0</v>
      </c>
      <c r="AN1919" s="477">
        <v>0</v>
      </c>
      <c r="AO1919" s="473">
        <v>0</v>
      </c>
      <c r="AP1919" s="474">
        <v>0</v>
      </c>
      <c r="AQ1919" s="352"/>
      <c r="AR1919" s="352"/>
      <c r="AS1919" s="352"/>
      <c r="AT1919" s="352"/>
      <c r="AU1919" s="352"/>
      <c r="AV1919" s="352"/>
      <c r="AW1919" s="352" t="s">
        <v>254</v>
      </c>
    </row>
    <row r="1920" spans="2:49" x14ac:dyDescent="0.2">
      <c r="B1920" s="460" t="s">
        <v>2932</v>
      </c>
      <c r="C1920" s="460">
        <v>2211</v>
      </c>
      <c r="D1920" s="460" t="s">
        <v>2311</v>
      </c>
      <c r="E1920" s="460" t="s">
        <v>2299</v>
      </c>
      <c r="F1920" s="460">
        <v>2</v>
      </c>
      <c r="G1920" s="460">
        <v>2</v>
      </c>
      <c r="H1920" s="461" t="s">
        <v>746</v>
      </c>
      <c r="I1920" s="461" t="s">
        <v>762</v>
      </c>
      <c r="J1920" s="461" t="s">
        <v>700</v>
      </c>
      <c r="K1920" s="594"/>
      <c r="L1920" s="594"/>
      <c r="M1920" s="352">
        <v>2000</v>
      </c>
      <c r="N1920" s="352" t="s">
        <v>703</v>
      </c>
      <c r="O1920" s="460">
        <v>2211</v>
      </c>
      <c r="P1920" s="460" t="s">
        <v>1883</v>
      </c>
      <c r="Q1920" s="460" t="s">
        <v>2531</v>
      </c>
      <c r="R1920" s="460">
        <v>2121</v>
      </c>
      <c r="S1920" s="460" t="s">
        <v>2296</v>
      </c>
      <c r="T1920" s="462">
        <v>0.55517361979372948</v>
      </c>
      <c r="U1920" s="460" t="s">
        <v>2299</v>
      </c>
      <c r="V1920" s="475">
        <v>0</v>
      </c>
      <c r="W1920" s="463" t="s">
        <v>2268</v>
      </c>
      <c r="X1920" s="463" t="s">
        <v>2268</v>
      </c>
      <c r="Y1920" s="463" t="s">
        <v>2290</v>
      </c>
      <c r="Z1920" s="463"/>
      <c r="AA1920" s="463"/>
      <c r="AB1920" s="464">
        <v>0</v>
      </c>
      <c r="AC1920" s="465">
        <v>0</v>
      </c>
      <c r="AD1920" s="465">
        <v>0</v>
      </c>
      <c r="AE1920" s="476">
        <v>0</v>
      </c>
      <c r="AF1920" s="467">
        <v>0</v>
      </c>
      <c r="AG1920" s="468">
        <v>0</v>
      </c>
      <c r="AH1920" s="218">
        <v>0</v>
      </c>
      <c r="AI1920" s="470">
        <v>0</v>
      </c>
      <c r="AJ1920" s="471">
        <v>0</v>
      </c>
      <c r="AK1920" s="218">
        <v>0</v>
      </c>
      <c r="AL1920" s="470">
        <v>0</v>
      </c>
      <c r="AM1920" s="471">
        <v>0</v>
      </c>
      <c r="AN1920" s="477">
        <v>0</v>
      </c>
      <c r="AO1920" s="473">
        <v>0</v>
      </c>
      <c r="AP1920" s="474">
        <v>0</v>
      </c>
      <c r="AQ1920" s="352"/>
      <c r="AR1920" s="352"/>
      <c r="AS1920" s="352"/>
      <c r="AT1920" s="352"/>
      <c r="AU1920" s="352"/>
      <c r="AV1920" s="352"/>
      <c r="AW1920" s="352" t="s">
        <v>254</v>
      </c>
    </row>
    <row r="1921" spans="2:49" x14ac:dyDescent="0.2">
      <c r="B1921" s="460" t="s">
        <v>2933</v>
      </c>
      <c r="C1921" s="460">
        <v>2211</v>
      </c>
      <c r="D1921" s="460" t="s">
        <v>2312</v>
      </c>
      <c r="E1921" s="460" t="s">
        <v>2302</v>
      </c>
      <c r="F1921" s="460">
        <v>3</v>
      </c>
      <c r="G1921" s="460">
        <v>2</v>
      </c>
      <c r="H1921" s="461" t="s">
        <v>746</v>
      </c>
      <c r="I1921" s="461" t="s">
        <v>762</v>
      </c>
      <c r="J1921" s="461" t="s">
        <v>700</v>
      </c>
      <c r="K1921" s="594"/>
      <c r="L1921" s="594"/>
      <c r="M1921" s="352">
        <v>2000</v>
      </c>
      <c r="N1921" s="352" t="s">
        <v>703</v>
      </c>
      <c r="O1921" s="460">
        <v>2211</v>
      </c>
      <c r="P1921" s="460" t="s">
        <v>1883</v>
      </c>
      <c r="Q1921" s="460" t="s">
        <v>2531</v>
      </c>
      <c r="R1921" s="460">
        <v>2121</v>
      </c>
      <c r="S1921" s="460" t="s">
        <v>2296</v>
      </c>
      <c r="T1921" s="462">
        <v>0.28481449642268464</v>
      </c>
      <c r="U1921" s="460" t="s">
        <v>2302</v>
      </c>
      <c r="V1921" s="475">
        <v>0</v>
      </c>
      <c r="W1921" s="463" t="s">
        <v>2268</v>
      </c>
      <c r="X1921" s="463" t="s">
        <v>2268</v>
      </c>
      <c r="Y1921" s="463" t="s">
        <v>2290</v>
      </c>
      <c r="Z1921" s="463"/>
      <c r="AA1921" s="463"/>
      <c r="AB1921" s="464">
        <v>0</v>
      </c>
      <c r="AC1921" s="465">
        <v>0</v>
      </c>
      <c r="AD1921" s="465">
        <v>0</v>
      </c>
      <c r="AE1921" s="476">
        <v>0</v>
      </c>
      <c r="AF1921" s="467">
        <v>0</v>
      </c>
      <c r="AG1921" s="468">
        <v>0</v>
      </c>
      <c r="AH1921" s="218">
        <v>0</v>
      </c>
      <c r="AI1921" s="470">
        <v>0</v>
      </c>
      <c r="AJ1921" s="471">
        <v>0</v>
      </c>
      <c r="AK1921" s="218">
        <v>0</v>
      </c>
      <c r="AL1921" s="470">
        <v>0</v>
      </c>
      <c r="AM1921" s="471">
        <v>0</v>
      </c>
      <c r="AN1921" s="477">
        <v>0</v>
      </c>
      <c r="AO1921" s="473">
        <v>0</v>
      </c>
      <c r="AP1921" s="474">
        <v>0</v>
      </c>
      <c r="AQ1921" s="352"/>
      <c r="AR1921" s="352"/>
      <c r="AS1921" s="352"/>
      <c r="AT1921" s="352"/>
      <c r="AU1921" s="352"/>
      <c r="AV1921" s="352"/>
      <c r="AW1921" s="352" t="s">
        <v>254</v>
      </c>
    </row>
    <row r="1922" spans="2:49" x14ac:dyDescent="0.2">
      <c r="B1922" s="460" t="s">
        <v>2934</v>
      </c>
      <c r="C1922" s="460">
        <v>2211</v>
      </c>
      <c r="D1922" s="460" t="s">
        <v>2313</v>
      </c>
      <c r="E1922" s="460" t="s">
        <v>2305</v>
      </c>
      <c r="F1922" s="460">
        <v>4</v>
      </c>
      <c r="G1922" s="460">
        <v>2</v>
      </c>
      <c r="H1922" s="461" t="s">
        <v>746</v>
      </c>
      <c r="I1922" s="461" t="s">
        <v>762</v>
      </c>
      <c r="J1922" s="461" t="s">
        <v>700</v>
      </c>
      <c r="K1922" s="594"/>
      <c r="L1922" s="594"/>
      <c r="M1922" s="352">
        <v>2000</v>
      </c>
      <c r="N1922" s="352" t="s">
        <v>703</v>
      </c>
      <c r="O1922" s="460">
        <v>2211</v>
      </c>
      <c r="P1922" s="460" t="s">
        <v>1883</v>
      </c>
      <c r="Q1922" s="460" t="s">
        <v>2531</v>
      </c>
      <c r="R1922" s="460">
        <v>2121</v>
      </c>
      <c r="S1922" s="460" t="s">
        <v>2305</v>
      </c>
      <c r="T1922" s="462">
        <v>1</v>
      </c>
      <c r="U1922" s="460" t="s">
        <v>2305</v>
      </c>
      <c r="V1922" s="475">
        <v>0</v>
      </c>
      <c r="W1922" s="463" t="s">
        <v>2268</v>
      </c>
      <c r="X1922" s="463" t="s">
        <v>2268</v>
      </c>
      <c r="Y1922" s="463" t="s">
        <v>2290</v>
      </c>
      <c r="Z1922" s="463"/>
      <c r="AA1922" s="463"/>
      <c r="AB1922" s="464">
        <v>0</v>
      </c>
      <c r="AC1922" s="465">
        <v>0</v>
      </c>
      <c r="AD1922" s="465">
        <v>0</v>
      </c>
      <c r="AE1922" s="476">
        <v>0</v>
      </c>
      <c r="AF1922" s="467">
        <v>0</v>
      </c>
      <c r="AG1922" s="468">
        <v>0</v>
      </c>
      <c r="AH1922" s="218">
        <v>0</v>
      </c>
      <c r="AI1922" s="470">
        <v>0</v>
      </c>
      <c r="AJ1922" s="471">
        <v>0</v>
      </c>
      <c r="AK1922" s="218">
        <v>0</v>
      </c>
      <c r="AL1922" s="470">
        <v>0</v>
      </c>
      <c r="AM1922" s="471">
        <v>0</v>
      </c>
      <c r="AN1922" s="477">
        <v>0</v>
      </c>
      <c r="AO1922" s="473">
        <v>0</v>
      </c>
      <c r="AP1922" s="474">
        <v>0</v>
      </c>
      <c r="AQ1922" s="352"/>
      <c r="AR1922" s="352"/>
      <c r="AS1922" s="352"/>
      <c r="AT1922" s="352"/>
      <c r="AU1922" s="352"/>
      <c r="AV1922" s="352"/>
      <c r="AW1922" s="352" t="s">
        <v>254</v>
      </c>
    </row>
    <row r="1923" spans="2:49" x14ac:dyDescent="0.2">
      <c r="B1923" s="460" t="s">
        <v>2931</v>
      </c>
      <c r="C1923" s="460">
        <v>2211</v>
      </c>
      <c r="D1923" s="460" t="s">
        <v>2314</v>
      </c>
      <c r="E1923" s="460" t="s">
        <v>2296</v>
      </c>
      <c r="F1923" s="460">
        <v>1</v>
      </c>
      <c r="G1923" s="460">
        <v>2</v>
      </c>
      <c r="H1923" s="461" t="s">
        <v>748</v>
      </c>
      <c r="I1923" s="461" t="s">
        <v>765</v>
      </c>
      <c r="J1923" s="461" t="s">
        <v>700</v>
      </c>
      <c r="K1923" s="594"/>
      <c r="L1923" s="594"/>
      <c r="M1923" s="352">
        <v>2000</v>
      </c>
      <c r="N1923" s="352" t="s">
        <v>703</v>
      </c>
      <c r="O1923" s="460">
        <v>2211</v>
      </c>
      <c r="P1923" s="460" t="s">
        <v>1883</v>
      </c>
      <c r="Q1923" s="460" t="s">
        <v>2527</v>
      </c>
      <c r="R1923" s="460">
        <v>2121</v>
      </c>
      <c r="S1923" s="460" t="s">
        <v>2296</v>
      </c>
      <c r="T1923" s="462">
        <v>1</v>
      </c>
      <c r="U1923" s="460" t="s">
        <v>2296</v>
      </c>
      <c r="V1923" s="475">
        <v>0</v>
      </c>
      <c r="W1923" s="463" t="s">
        <v>2268</v>
      </c>
      <c r="X1923" s="463" t="s">
        <v>2268</v>
      </c>
      <c r="Y1923" s="463" t="s">
        <v>2267</v>
      </c>
      <c r="Z1923" s="463"/>
      <c r="AA1923" s="463"/>
      <c r="AB1923" s="464">
        <v>0</v>
      </c>
      <c r="AC1923" s="465">
        <v>0</v>
      </c>
      <c r="AD1923" s="465">
        <v>0</v>
      </c>
      <c r="AE1923" s="476">
        <v>0</v>
      </c>
      <c r="AF1923" s="467">
        <v>0</v>
      </c>
      <c r="AG1923" s="468">
        <v>0</v>
      </c>
      <c r="AH1923" s="218">
        <v>0</v>
      </c>
      <c r="AI1923" s="470">
        <v>0</v>
      </c>
      <c r="AJ1923" s="471">
        <v>0</v>
      </c>
      <c r="AK1923" s="218">
        <v>0</v>
      </c>
      <c r="AL1923" s="470">
        <v>0</v>
      </c>
      <c r="AM1923" s="471">
        <v>0</v>
      </c>
      <c r="AN1923" s="477">
        <v>116.75493912336866</v>
      </c>
      <c r="AO1923" s="473">
        <v>0.31889432105417648</v>
      </c>
      <c r="AP1923" s="474">
        <v>3.5667034644032841E-2</v>
      </c>
      <c r="AQ1923" s="352"/>
      <c r="AR1923" s="352"/>
      <c r="AS1923" s="352"/>
      <c r="AT1923" s="352"/>
      <c r="AU1923" s="352"/>
      <c r="AV1923" s="352"/>
      <c r="AW1923" s="352" t="s">
        <v>254</v>
      </c>
    </row>
    <row r="1924" spans="2:49" x14ac:dyDescent="0.2">
      <c r="B1924" s="460" t="s">
        <v>2932</v>
      </c>
      <c r="C1924" s="460">
        <v>2211</v>
      </c>
      <c r="D1924" s="460" t="s">
        <v>2315</v>
      </c>
      <c r="E1924" s="460" t="s">
        <v>2299</v>
      </c>
      <c r="F1924" s="460">
        <v>2</v>
      </c>
      <c r="G1924" s="460">
        <v>2</v>
      </c>
      <c r="H1924" s="461" t="s">
        <v>748</v>
      </c>
      <c r="I1924" s="461" t="s">
        <v>765</v>
      </c>
      <c r="J1924" s="461" t="s">
        <v>700</v>
      </c>
      <c r="K1924" s="594"/>
      <c r="L1924" s="594"/>
      <c r="M1924" s="352">
        <v>2000</v>
      </c>
      <c r="N1924" s="352" t="s">
        <v>703</v>
      </c>
      <c r="O1924" s="460">
        <v>2211</v>
      </c>
      <c r="P1924" s="460" t="s">
        <v>1883</v>
      </c>
      <c r="Q1924" s="460" t="s">
        <v>2527</v>
      </c>
      <c r="R1924" s="460">
        <v>2121</v>
      </c>
      <c r="S1924" s="460" t="s">
        <v>2296</v>
      </c>
      <c r="T1924" s="462">
        <v>0.55517361979372948</v>
      </c>
      <c r="U1924" s="460" t="s">
        <v>2299</v>
      </c>
      <c r="V1924" s="475">
        <v>0</v>
      </c>
      <c r="W1924" s="463" t="s">
        <v>2268</v>
      </c>
      <c r="X1924" s="463" t="s">
        <v>2268</v>
      </c>
      <c r="Y1924" s="463" t="s">
        <v>2267</v>
      </c>
      <c r="Z1924" s="463"/>
      <c r="AA1924" s="463"/>
      <c r="AB1924" s="464">
        <v>0</v>
      </c>
      <c r="AC1924" s="465">
        <v>0</v>
      </c>
      <c r="AD1924" s="465">
        <v>0</v>
      </c>
      <c r="AE1924" s="476">
        <v>0</v>
      </c>
      <c r="AF1924" s="467">
        <v>0</v>
      </c>
      <c r="AG1924" s="468">
        <v>0</v>
      </c>
      <c r="AH1924" s="218">
        <v>0</v>
      </c>
      <c r="AI1924" s="470">
        <v>0</v>
      </c>
      <c r="AJ1924" s="471">
        <v>0</v>
      </c>
      <c r="AK1924" s="218">
        <v>0</v>
      </c>
      <c r="AL1924" s="470">
        <v>0</v>
      </c>
      <c r="AM1924" s="471">
        <v>0</v>
      </c>
      <c r="AN1924" s="477">
        <v>35.63708632518275</v>
      </c>
      <c r="AO1924" s="473">
        <v>0.17704171455131087</v>
      </c>
      <c r="AP1924" s="474">
        <v>3.3017122796822791E-2</v>
      </c>
      <c r="AQ1924" s="352"/>
      <c r="AR1924" s="352"/>
      <c r="AS1924" s="352"/>
      <c r="AT1924" s="352"/>
      <c r="AU1924" s="352"/>
      <c r="AV1924" s="352"/>
      <c r="AW1924" s="352" t="s">
        <v>254</v>
      </c>
    </row>
    <row r="1925" spans="2:49" x14ac:dyDescent="0.2">
      <c r="B1925" s="460" t="s">
        <v>2933</v>
      </c>
      <c r="C1925" s="460">
        <v>2211</v>
      </c>
      <c r="D1925" s="460" t="s">
        <v>2316</v>
      </c>
      <c r="E1925" s="460" t="s">
        <v>2302</v>
      </c>
      <c r="F1925" s="460">
        <v>3</v>
      </c>
      <c r="G1925" s="460">
        <v>2</v>
      </c>
      <c r="H1925" s="461" t="s">
        <v>748</v>
      </c>
      <c r="I1925" s="461" t="s">
        <v>765</v>
      </c>
      <c r="J1925" s="461" t="s">
        <v>700</v>
      </c>
      <c r="K1925" s="594"/>
      <c r="L1925" s="594"/>
      <c r="M1925" s="352">
        <v>2000</v>
      </c>
      <c r="N1925" s="352" t="s">
        <v>703</v>
      </c>
      <c r="O1925" s="460">
        <v>2211</v>
      </c>
      <c r="P1925" s="460" t="s">
        <v>1883</v>
      </c>
      <c r="Q1925" s="460" t="s">
        <v>2527</v>
      </c>
      <c r="R1925" s="460">
        <v>2121</v>
      </c>
      <c r="S1925" s="460" t="s">
        <v>2296</v>
      </c>
      <c r="T1925" s="462">
        <v>0.28481449642268464</v>
      </c>
      <c r="U1925" s="460" t="s">
        <v>2302</v>
      </c>
      <c r="V1925" s="475">
        <v>0</v>
      </c>
      <c r="W1925" s="463" t="s">
        <v>2268</v>
      </c>
      <c r="X1925" s="463" t="s">
        <v>2268</v>
      </c>
      <c r="Y1925" s="463" t="s">
        <v>2267</v>
      </c>
      <c r="Z1925" s="463"/>
      <c r="AA1925" s="463"/>
      <c r="AB1925" s="464">
        <v>0</v>
      </c>
      <c r="AC1925" s="465">
        <v>0</v>
      </c>
      <c r="AD1925" s="465">
        <v>0</v>
      </c>
      <c r="AE1925" s="476">
        <v>0</v>
      </c>
      <c r="AF1925" s="467">
        <v>0</v>
      </c>
      <c r="AG1925" s="468">
        <v>0</v>
      </c>
      <c r="AH1925" s="218">
        <v>0</v>
      </c>
      <c r="AI1925" s="470">
        <v>0</v>
      </c>
      <c r="AJ1925" s="471">
        <v>0</v>
      </c>
      <c r="AK1925" s="218">
        <v>0</v>
      </c>
      <c r="AL1925" s="470">
        <v>0</v>
      </c>
      <c r="AM1925" s="471">
        <v>0</v>
      </c>
      <c r="AN1925" s="477">
        <v>10.837946433132712</v>
      </c>
      <c r="AO1925" s="473">
        <v>9.0825725463099194E-2</v>
      </c>
      <c r="AP1925" s="474">
        <v>4.6374853109254162E-2</v>
      </c>
      <c r="AQ1925" s="352"/>
      <c r="AR1925" s="352"/>
      <c r="AS1925" s="352"/>
      <c r="AT1925" s="352"/>
      <c r="AU1925" s="352"/>
      <c r="AV1925" s="352"/>
      <c r="AW1925" s="352" t="s">
        <v>254</v>
      </c>
    </row>
    <row r="1926" spans="2:49" x14ac:dyDescent="0.2">
      <c r="B1926" s="460" t="s">
        <v>2934</v>
      </c>
      <c r="C1926" s="460">
        <v>2211</v>
      </c>
      <c r="D1926" s="460" t="s">
        <v>2317</v>
      </c>
      <c r="E1926" s="460" t="s">
        <v>2305</v>
      </c>
      <c r="F1926" s="460">
        <v>4</v>
      </c>
      <c r="G1926" s="460">
        <v>2</v>
      </c>
      <c r="H1926" s="461" t="s">
        <v>748</v>
      </c>
      <c r="I1926" s="461" t="s">
        <v>765</v>
      </c>
      <c r="J1926" s="461" t="s">
        <v>700</v>
      </c>
      <c r="K1926" s="594"/>
      <c r="L1926" s="594"/>
      <c r="M1926" s="352">
        <v>2000</v>
      </c>
      <c r="N1926" s="352" t="s">
        <v>703</v>
      </c>
      <c r="O1926" s="460">
        <v>2211</v>
      </c>
      <c r="P1926" s="460" t="s">
        <v>1883</v>
      </c>
      <c r="Q1926" s="460" t="s">
        <v>2527</v>
      </c>
      <c r="R1926" s="460">
        <v>2121</v>
      </c>
      <c r="S1926" s="460" t="s">
        <v>2305</v>
      </c>
      <c r="T1926" s="462">
        <v>1</v>
      </c>
      <c r="U1926" s="460" t="s">
        <v>2305</v>
      </c>
      <c r="V1926" s="475">
        <v>0</v>
      </c>
      <c r="W1926" s="463" t="s">
        <v>2268</v>
      </c>
      <c r="X1926" s="463" t="s">
        <v>2268</v>
      </c>
      <c r="Y1926" s="463" t="s">
        <v>2278</v>
      </c>
      <c r="Z1926" s="463"/>
      <c r="AA1926" s="463"/>
      <c r="AB1926" s="464">
        <v>0</v>
      </c>
      <c r="AC1926" s="465">
        <v>0</v>
      </c>
      <c r="AD1926" s="465">
        <v>0</v>
      </c>
      <c r="AE1926" s="476">
        <v>0</v>
      </c>
      <c r="AF1926" s="467">
        <v>0</v>
      </c>
      <c r="AG1926" s="468">
        <v>0</v>
      </c>
      <c r="AH1926" s="218">
        <v>0</v>
      </c>
      <c r="AI1926" s="470">
        <v>0</v>
      </c>
      <c r="AJ1926" s="471">
        <v>0</v>
      </c>
      <c r="AK1926" s="218">
        <v>0</v>
      </c>
      <c r="AL1926" s="470">
        <v>0</v>
      </c>
      <c r="AM1926" s="471">
        <v>0</v>
      </c>
      <c r="AN1926" s="477">
        <v>0</v>
      </c>
      <c r="AO1926" s="473">
        <v>0</v>
      </c>
      <c r="AP1926" s="474">
        <v>0</v>
      </c>
      <c r="AQ1926" s="352"/>
      <c r="AR1926" s="352"/>
      <c r="AS1926" s="352"/>
      <c r="AT1926" s="352"/>
      <c r="AU1926" s="352"/>
      <c r="AV1926" s="352"/>
      <c r="AW1926" s="352" t="s">
        <v>254</v>
      </c>
    </row>
    <row r="1927" spans="2:49" x14ac:dyDescent="0.2">
      <c r="B1927" s="460" t="s">
        <v>2935</v>
      </c>
      <c r="C1927" s="460">
        <v>2211</v>
      </c>
      <c r="D1927" s="460" t="s">
        <v>2323</v>
      </c>
      <c r="E1927" s="460" t="s">
        <v>2324</v>
      </c>
      <c r="F1927" s="460">
        <v>1</v>
      </c>
      <c r="G1927" s="460">
        <v>3</v>
      </c>
      <c r="H1927" s="461" t="s">
        <v>700</v>
      </c>
      <c r="I1927" s="461" t="s">
        <v>872</v>
      </c>
      <c r="J1927" s="461" t="s">
        <v>700</v>
      </c>
      <c r="K1927" s="594"/>
      <c r="L1927" s="594"/>
      <c r="M1927" s="352">
        <v>2000</v>
      </c>
      <c r="N1927" s="352" t="s">
        <v>703</v>
      </c>
      <c r="O1927" s="460">
        <v>2211</v>
      </c>
      <c r="P1927" s="460" t="s">
        <v>1883</v>
      </c>
      <c r="Q1927" s="460" t="s">
        <v>2527</v>
      </c>
      <c r="R1927" s="460">
        <v>2121</v>
      </c>
      <c r="S1927" s="460" t="s">
        <v>2324</v>
      </c>
      <c r="T1927" s="462">
        <v>1</v>
      </c>
      <c r="U1927" s="460" t="s">
        <v>2324</v>
      </c>
      <c r="V1927" s="475">
        <v>0</v>
      </c>
      <c r="W1927" s="463" t="s">
        <v>2503</v>
      </c>
      <c r="X1927" s="463" t="s">
        <v>2267</v>
      </c>
      <c r="Y1927" s="463" t="s">
        <v>2268</v>
      </c>
      <c r="Z1927" s="463"/>
      <c r="AA1927" s="463"/>
      <c r="AB1927" s="464">
        <v>414.82700857266263</v>
      </c>
      <c r="AC1927" s="465">
        <v>0.29267753219702547</v>
      </c>
      <c r="AD1927" s="465">
        <v>3.5561790907136523E-3</v>
      </c>
      <c r="AE1927" s="476">
        <v>248.89620514359757</v>
      </c>
      <c r="AF1927" s="467">
        <v>0.17560651931821528</v>
      </c>
      <c r="AG1927" s="468">
        <v>2.2856233834099293E-3</v>
      </c>
      <c r="AH1927" s="218">
        <v>564.19054313865911</v>
      </c>
      <c r="AI1927" s="470">
        <v>0.39805965484959044</v>
      </c>
      <c r="AJ1927" s="471">
        <v>4.9475041225509253E-3</v>
      </c>
      <c r="AK1927" s="218">
        <v>564.19054313865911</v>
      </c>
      <c r="AL1927" s="470">
        <v>0.39805965484959044</v>
      </c>
      <c r="AM1927" s="471">
        <v>4.9475041225509253E-3</v>
      </c>
      <c r="AN1927" s="477">
        <v>0</v>
      </c>
      <c r="AO1927" s="473">
        <v>0</v>
      </c>
      <c r="AP1927" s="474">
        <v>0</v>
      </c>
      <c r="AQ1927" s="352"/>
      <c r="AR1927" s="352"/>
      <c r="AS1927" s="352"/>
      <c r="AT1927" s="352"/>
      <c r="AU1927" s="352"/>
      <c r="AV1927" s="352"/>
      <c r="AW1927" s="352" t="s">
        <v>254</v>
      </c>
    </row>
    <row r="1928" spans="2:49" x14ac:dyDescent="0.2">
      <c r="B1928" s="460" t="s">
        <v>2936</v>
      </c>
      <c r="C1928" s="460">
        <v>2211</v>
      </c>
      <c r="D1928" s="460" t="s">
        <v>2326</v>
      </c>
      <c r="E1928" s="460" t="s">
        <v>2327</v>
      </c>
      <c r="F1928" s="460">
        <v>2</v>
      </c>
      <c r="G1928" s="460">
        <v>3</v>
      </c>
      <c r="H1928" s="461" t="s">
        <v>700</v>
      </c>
      <c r="I1928" s="461" t="s">
        <v>872</v>
      </c>
      <c r="J1928" s="461" t="s">
        <v>700</v>
      </c>
      <c r="K1928" s="594"/>
      <c r="L1928" s="594"/>
      <c r="M1928" s="352">
        <v>2000</v>
      </c>
      <c r="N1928" s="352" t="s">
        <v>703</v>
      </c>
      <c r="O1928" s="460">
        <v>2211</v>
      </c>
      <c r="P1928" s="460" t="s">
        <v>1883</v>
      </c>
      <c r="Q1928" s="460" t="s">
        <v>2527</v>
      </c>
      <c r="R1928" s="460">
        <v>2121</v>
      </c>
      <c r="S1928" s="460" t="s">
        <v>2324</v>
      </c>
      <c r="T1928" s="462">
        <v>1</v>
      </c>
      <c r="U1928" s="460" t="s">
        <v>2327</v>
      </c>
      <c r="V1928" s="475">
        <v>0</v>
      </c>
      <c r="W1928" s="463" t="s">
        <v>2503</v>
      </c>
      <c r="X1928" s="463" t="s">
        <v>2267</v>
      </c>
      <c r="Y1928" s="463" t="s">
        <v>2268</v>
      </c>
      <c r="Z1928" s="463"/>
      <c r="AA1928" s="463"/>
      <c r="AB1928" s="464">
        <v>257.54682050965278</v>
      </c>
      <c r="AC1928" s="465">
        <v>0.26029017686542488</v>
      </c>
      <c r="AD1928" s="465">
        <v>3.803919688320309E-3</v>
      </c>
      <c r="AE1928" s="476">
        <v>154.52809230579166</v>
      </c>
      <c r="AF1928" s="467">
        <v>0.15617410611925492</v>
      </c>
      <c r="AG1928" s="468">
        <v>2.4720399179858923E-3</v>
      </c>
      <c r="AH1928" s="218">
        <v>393.864262241007</v>
      </c>
      <c r="AI1928" s="470">
        <v>0.39805965484959044</v>
      </c>
      <c r="AJ1928" s="471">
        <v>5.3026697480369096E-3</v>
      </c>
      <c r="AK1928" s="218">
        <v>393.864262241007</v>
      </c>
      <c r="AL1928" s="470">
        <v>0.39805965484959044</v>
      </c>
      <c r="AM1928" s="471">
        <v>5.3026697480369096E-3</v>
      </c>
      <c r="AN1928" s="477">
        <v>0</v>
      </c>
      <c r="AO1928" s="473">
        <v>0</v>
      </c>
      <c r="AP1928" s="474">
        <v>0</v>
      </c>
      <c r="AQ1928" s="352"/>
      <c r="AR1928" s="352"/>
      <c r="AS1928" s="352"/>
      <c r="AT1928" s="352"/>
      <c r="AU1928" s="352"/>
      <c r="AV1928" s="352"/>
      <c r="AW1928" s="352" t="s">
        <v>254</v>
      </c>
    </row>
    <row r="1929" spans="2:49" x14ac:dyDescent="0.2">
      <c r="B1929" s="460" t="s">
        <v>2937</v>
      </c>
      <c r="C1929" s="460">
        <v>2211</v>
      </c>
      <c r="D1929" s="460" t="s">
        <v>2329</v>
      </c>
      <c r="E1929" s="460" t="s">
        <v>2330</v>
      </c>
      <c r="F1929" s="460">
        <v>3</v>
      </c>
      <c r="G1929" s="460">
        <v>3</v>
      </c>
      <c r="H1929" s="461" t="s">
        <v>700</v>
      </c>
      <c r="I1929" s="461" t="s">
        <v>872</v>
      </c>
      <c r="J1929" s="461" t="s">
        <v>700</v>
      </c>
      <c r="K1929" s="594"/>
      <c r="L1929" s="594"/>
      <c r="M1929" s="352">
        <v>2000</v>
      </c>
      <c r="N1929" s="352" t="s">
        <v>703</v>
      </c>
      <c r="O1929" s="460">
        <v>2211</v>
      </c>
      <c r="P1929" s="460" t="s">
        <v>1883</v>
      </c>
      <c r="Q1929" s="460" t="s">
        <v>2527</v>
      </c>
      <c r="R1929" s="460">
        <v>2121</v>
      </c>
      <c r="S1929" s="460" t="s">
        <v>2324</v>
      </c>
      <c r="T1929" s="462">
        <v>1</v>
      </c>
      <c r="U1929" s="460" t="s">
        <v>2330</v>
      </c>
      <c r="V1929" s="475">
        <v>0</v>
      </c>
      <c r="W1929" s="463" t="s">
        <v>2503</v>
      </c>
      <c r="X1929" s="463" t="s">
        <v>2503</v>
      </c>
      <c r="Y1929" s="463" t="s">
        <v>2268</v>
      </c>
      <c r="Z1929" s="463"/>
      <c r="AA1929" s="463"/>
      <c r="AB1929" s="464">
        <v>82.268196389658442</v>
      </c>
      <c r="AC1929" s="465">
        <v>0.26018587648814029</v>
      </c>
      <c r="AD1929" s="465">
        <v>3.1065467063681276E-3</v>
      </c>
      <c r="AE1929" s="476">
        <v>49.360917833795064</v>
      </c>
      <c r="AF1929" s="467">
        <v>0.15611152589288416</v>
      </c>
      <c r="AG1929" s="468">
        <v>1.9976887628635628E-3</v>
      </c>
      <c r="AH1929" s="218">
        <v>55.52504161091079</v>
      </c>
      <c r="AI1929" s="470">
        <v>0.17560651931821528</v>
      </c>
      <c r="AJ1929" s="471">
        <v>1.9562775368424353E-3</v>
      </c>
      <c r="AK1929" s="218">
        <v>55.52504161091079</v>
      </c>
      <c r="AL1929" s="470">
        <v>0.17560651931821528</v>
      </c>
      <c r="AM1929" s="471">
        <v>1.9562775368424353E-3</v>
      </c>
      <c r="AN1929" s="477">
        <v>0</v>
      </c>
      <c r="AO1929" s="473">
        <v>0</v>
      </c>
      <c r="AP1929" s="474">
        <v>0</v>
      </c>
      <c r="AQ1929" s="352"/>
      <c r="AR1929" s="352"/>
      <c r="AS1929" s="352"/>
      <c r="AT1929" s="352"/>
      <c r="AU1929" s="352"/>
      <c r="AV1929" s="352"/>
      <c r="AW1929" s="352" t="s">
        <v>254</v>
      </c>
    </row>
    <row r="1930" spans="2:49" x14ac:dyDescent="0.2">
      <c r="B1930" s="460" t="s">
        <v>2938</v>
      </c>
      <c r="C1930" s="460">
        <v>2211</v>
      </c>
      <c r="D1930" s="460" t="s">
        <v>2332</v>
      </c>
      <c r="E1930" s="460" t="s">
        <v>2333</v>
      </c>
      <c r="F1930" s="460">
        <v>4</v>
      </c>
      <c r="G1930" s="460">
        <v>3</v>
      </c>
      <c r="H1930" s="461" t="s">
        <v>700</v>
      </c>
      <c r="I1930" s="461" t="s">
        <v>872</v>
      </c>
      <c r="J1930" s="461" t="s">
        <v>700</v>
      </c>
      <c r="K1930" s="594"/>
      <c r="L1930" s="594"/>
      <c r="M1930" s="352">
        <v>2000</v>
      </c>
      <c r="N1930" s="352" t="s">
        <v>703</v>
      </c>
      <c r="O1930" s="460">
        <v>2211</v>
      </c>
      <c r="P1930" s="460" t="s">
        <v>1883</v>
      </c>
      <c r="Q1930" s="460" t="s">
        <v>2527</v>
      </c>
      <c r="R1930" s="460">
        <v>2121</v>
      </c>
      <c r="S1930" s="460" t="s">
        <v>2333</v>
      </c>
      <c r="T1930" s="462">
        <v>1</v>
      </c>
      <c r="U1930" s="460" t="s">
        <v>2333</v>
      </c>
      <c r="V1930" s="475">
        <v>0</v>
      </c>
      <c r="W1930" s="463" t="s">
        <v>2503</v>
      </c>
      <c r="X1930" s="463" t="s">
        <v>2503</v>
      </c>
      <c r="Y1930" s="463" t="s">
        <v>2268</v>
      </c>
      <c r="Z1930" s="463"/>
      <c r="AA1930" s="463"/>
      <c r="AB1930" s="464">
        <v>65.289972737367322</v>
      </c>
      <c r="AC1930" s="465">
        <v>0.18460694992845561</v>
      </c>
      <c r="AD1930" s="465">
        <v>4.5029544921496075E-3</v>
      </c>
      <c r="AE1930" s="476">
        <v>39.173983642420396</v>
      </c>
      <c r="AF1930" s="467">
        <v>0.11076416995707336</v>
      </c>
      <c r="AG1930" s="468">
        <v>2.9817488641971125E-3</v>
      </c>
      <c r="AH1930" s="218">
        <v>39.173983642420396</v>
      </c>
      <c r="AI1930" s="470">
        <v>0.11076416995707336</v>
      </c>
      <c r="AJ1930" s="471">
        <v>2.8889410802251702E-3</v>
      </c>
      <c r="AK1930" s="218">
        <v>39.173983642420396</v>
      </c>
      <c r="AL1930" s="470">
        <v>0.11076416995707336</v>
      </c>
      <c r="AM1930" s="471">
        <v>2.8889410802251702E-3</v>
      </c>
      <c r="AN1930" s="477">
        <v>0</v>
      </c>
      <c r="AO1930" s="473">
        <v>0</v>
      </c>
      <c r="AP1930" s="474">
        <v>0</v>
      </c>
      <c r="AQ1930" s="352"/>
      <c r="AR1930" s="352"/>
      <c r="AS1930" s="352"/>
      <c r="AT1930" s="352"/>
      <c r="AU1930" s="352"/>
      <c r="AV1930" s="352"/>
      <c r="AW1930" s="352" t="s">
        <v>254</v>
      </c>
    </row>
    <row r="1931" spans="2:49" x14ac:dyDescent="0.2">
      <c r="B1931" s="460" t="s">
        <v>2935</v>
      </c>
      <c r="C1931" s="460">
        <v>2211</v>
      </c>
      <c r="D1931" s="460" t="s">
        <v>2334</v>
      </c>
      <c r="E1931" s="460" t="s">
        <v>2324</v>
      </c>
      <c r="F1931" s="460">
        <v>1</v>
      </c>
      <c r="G1931" s="460">
        <v>3</v>
      </c>
      <c r="H1931" s="461" t="s">
        <v>712</v>
      </c>
      <c r="I1931" s="461" t="s">
        <v>713</v>
      </c>
      <c r="J1931" s="461" t="s">
        <v>712</v>
      </c>
      <c r="K1931" s="594"/>
      <c r="L1931" s="594"/>
      <c r="M1931" s="352">
        <v>2000</v>
      </c>
      <c r="N1931" s="352" t="s">
        <v>703</v>
      </c>
      <c r="O1931" s="460">
        <v>2211</v>
      </c>
      <c r="P1931" s="460" t="s">
        <v>1883</v>
      </c>
      <c r="Q1931" s="460" t="s">
        <v>2280</v>
      </c>
      <c r="R1931" s="460">
        <v>2121</v>
      </c>
      <c r="S1931" s="460" t="s">
        <v>2324</v>
      </c>
      <c r="T1931" s="462">
        <v>1</v>
      </c>
      <c r="U1931" s="460" t="s">
        <v>2324</v>
      </c>
      <c r="V1931" s="475">
        <v>0</v>
      </c>
      <c r="W1931" s="463" t="s">
        <v>713</v>
      </c>
      <c r="X1931" s="463" t="s">
        <v>713</v>
      </c>
      <c r="Y1931" s="463" t="s">
        <v>713</v>
      </c>
      <c r="Z1931" s="463"/>
      <c r="AA1931" s="463"/>
      <c r="AB1931" s="464">
        <v>1002.5247281961449</v>
      </c>
      <c r="AC1931" s="465">
        <v>0.70732246780297459</v>
      </c>
      <c r="AD1931" s="465">
        <v>2.5032000767577292E-3</v>
      </c>
      <c r="AE1931" s="476">
        <v>1168.4555316252099</v>
      </c>
      <c r="AF1931" s="467">
        <v>0.82439348068178475</v>
      </c>
      <c r="AG1931" s="468">
        <v>2.8621046200048043E-3</v>
      </c>
      <c r="AH1931" s="218">
        <v>853.16119363014832</v>
      </c>
      <c r="AI1931" s="470">
        <v>0.60194034515040951</v>
      </c>
      <c r="AJ1931" s="471">
        <v>2.1164397508389565E-3</v>
      </c>
      <c r="AK1931" s="218">
        <v>853.16119363014832</v>
      </c>
      <c r="AL1931" s="470">
        <v>0.60194034515040951</v>
      </c>
      <c r="AM1931" s="471">
        <v>2.1164397508389565E-3</v>
      </c>
      <c r="AN1931" s="477">
        <v>853.16119363014832</v>
      </c>
      <c r="AO1931" s="473">
        <v>0.60194034515040951</v>
      </c>
      <c r="AP1931" s="474">
        <v>2.115409779504565E-3</v>
      </c>
      <c r="AQ1931" s="352"/>
      <c r="AR1931" s="352"/>
      <c r="AS1931" s="352"/>
      <c r="AT1931" s="352"/>
      <c r="AU1931" s="352"/>
      <c r="AV1931" s="352"/>
      <c r="AW1931" s="352" t="s">
        <v>254</v>
      </c>
    </row>
    <row r="1932" spans="2:49" x14ac:dyDescent="0.2">
      <c r="B1932" s="460" t="s">
        <v>2936</v>
      </c>
      <c r="C1932" s="460">
        <v>2211</v>
      </c>
      <c r="D1932" s="460" t="s">
        <v>2335</v>
      </c>
      <c r="E1932" s="460" t="s">
        <v>2327</v>
      </c>
      <c r="F1932" s="460">
        <v>2</v>
      </c>
      <c r="G1932" s="460">
        <v>3</v>
      </c>
      <c r="H1932" s="461" t="s">
        <v>712</v>
      </c>
      <c r="I1932" s="461" t="s">
        <v>713</v>
      </c>
      <c r="J1932" s="461" t="s">
        <v>712</v>
      </c>
      <c r="K1932" s="594"/>
      <c r="L1932" s="594"/>
      <c r="M1932" s="352">
        <v>2000</v>
      </c>
      <c r="N1932" s="352" t="s">
        <v>703</v>
      </c>
      <c r="O1932" s="460">
        <v>2211</v>
      </c>
      <c r="P1932" s="460" t="s">
        <v>1883</v>
      </c>
      <c r="Q1932" s="460" t="s">
        <v>2280</v>
      </c>
      <c r="R1932" s="460">
        <v>2121</v>
      </c>
      <c r="S1932" s="460" t="s">
        <v>2324</v>
      </c>
      <c r="T1932" s="462">
        <v>1</v>
      </c>
      <c r="U1932" s="460" t="s">
        <v>2327</v>
      </c>
      <c r="V1932" s="475">
        <v>0</v>
      </c>
      <c r="W1932" s="463" t="s">
        <v>713</v>
      </c>
      <c r="X1932" s="463" t="s">
        <v>713</v>
      </c>
      <c r="Y1932" s="463" t="s">
        <v>713</v>
      </c>
      <c r="Z1932" s="463"/>
      <c r="AA1932" s="463"/>
      <c r="AB1932" s="464">
        <v>731.91357177710461</v>
      </c>
      <c r="AC1932" s="465">
        <v>0.73970982313457512</v>
      </c>
      <c r="AD1932" s="465">
        <v>2.3440253025075733E-3</v>
      </c>
      <c r="AE1932" s="476">
        <v>834.93229998096569</v>
      </c>
      <c r="AF1932" s="467">
        <v>0.84382589388074503</v>
      </c>
      <c r="AG1932" s="468">
        <v>2.6301907200582519E-3</v>
      </c>
      <c r="AH1932" s="218">
        <v>595.59613004575033</v>
      </c>
      <c r="AI1932" s="470">
        <v>0.60194034515040951</v>
      </c>
      <c r="AJ1932" s="471">
        <v>1.9512200202524172E-3</v>
      </c>
      <c r="AK1932" s="218">
        <v>595.59613004575033</v>
      </c>
      <c r="AL1932" s="470">
        <v>0.60194034515040951</v>
      </c>
      <c r="AM1932" s="471">
        <v>1.9512200202524172E-3</v>
      </c>
      <c r="AN1932" s="477">
        <v>595.59613004575033</v>
      </c>
      <c r="AO1932" s="473">
        <v>0.60194034515040951</v>
      </c>
      <c r="AP1932" s="474">
        <v>1.9504550174580281E-3</v>
      </c>
      <c r="AQ1932" s="352"/>
      <c r="AR1932" s="352"/>
      <c r="AS1932" s="352"/>
      <c r="AT1932" s="352"/>
      <c r="AU1932" s="352"/>
      <c r="AV1932" s="352"/>
      <c r="AW1932" s="352" t="s">
        <v>254</v>
      </c>
    </row>
    <row r="1933" spans="2:49" x14ac:dyDescent="0.2">
      <c r="B1933" s="460" t="s">
        <v>2937</v>
      </c>
      <c r="C1933" s="460">
        <v>2211</v>
      </c>
      <c r="D1933" s="460" t="s">
        <v>2336</v>
      </c>
      <c r="E1933" s="460" t="s">
        <v>2330</v>
      </c>
      <c r="F1933" s="460">
        <v>3</v>
      </c>
      <c r="G1933" s="460">
        <v>3</v>
      </c>
      <c r="H1933" s="461" t="s">
        <v>712</v>
      </c>
      <c r="I1933" s="461" t="s">
        <v>713</v>
      </c>
      <c r="J1933" s="461" t="s">
        <v>712</v>
      </c>
      <c r="K1933" s="594"/>
      <c r="L1933" s="594"/>
      <c r="M1933" s="352">
        <v>2000</v>
      </c>
      <c r="N1933" s="352" t="s">
        <v>703</v>
      </c>
      <c r="O1933" s="460">
        <v>2211</v>
      </c>
      <c r="P1933" s="460" t="s">
        <v>1883</v>
      </c>
      <c r="Q1933" s="460" t="s">
        <v>2280</v>
      </c>
      <c r="R1933" s="460">
        <v>2121</v>
      </c>
      <c r="S1933" s="460" t="s">
        <v>2324</v>
      </c>
      <c r="T1933" s="462">
        <v>1</v>
      </c>
      <c r="U1933" s="460" t="s">
        <v>2330</v>
      </c>
      <c r="V1933" s="475">
        <v>0</v>
      </c>
      <c r="W1933" s="463" t="s">
        <v>713</v>
      </c>
      <c r="X1933" s="463" t="s">
        <v>713</v>
      </c>
      <c r="Y1933" s="463" t="s">
        <v>713</v>
      </c>
      <c r="Z1933" s="463"/>
      <c r="AA1933" s="463"/>
      <c r="AB1933" s="464">
        <v>233.92189624747351</v>
      </c>
      <c r="AC1933" s="465">
        <v>0.73981412351185971</v>
      </c>
      <c r="AD1933" s="465">
        <v>2.0712060040465985E-3</v>
      </c>
      <c r="AE1933" s="476">
        <v>266.82917480333691</v>
      </c>
      <c r="AF1933" s="467">
        <v>0.84388847410711587</v>
      </c>
      <c r="AG1933" s="468">
        <v>2.32605597935976E-3</v>
      </c>
      <c r="AH1933" s="218">
        <v>260.66505102622119</v>
      </c>
      <c r="AI1933" s="470">
        <v>0.82439348068178475</v>
      </c>
      <c r="AJ1933" s="471">
        <v>2.3590810078886722E-3</v>
      </c>
      <c r="AK1933" s="218">
        <v>260.66505102622119</v>
      </c>
      <c r="AL1933" s="470">
        <v>0.82439348068178475</v>
      </c>
      <c r="AM1933" s="471">
        <v>2.3590810078886722E-3</v>
      </c>
      <c r="AN1933" s="477">
        <v>190.32757349513517</v>
      </c>
      <c r="AO1933" s="473">
        <v>0.60194034515040951</v>
      </c>
      <c r="AP1933" s="474">
        <v>1.7269560149563998E-3</v>
      </c>
      <c r="AQ1933" s="352"/>
      <c r="AR1933" s="352"/>
      <c r="AS1933" s="352"/>
      <c r="AT1933" s="352"/>
      <c r="AU1933" s="352"/>
      <c r="AV1933" s="352"/>
      <c r="AW1933" s="352" t="s">
        <v>254</v>
      </c>
    </row>
    <row r="1934" spans="2:49" x14ac:dyDescent="0.2">
      <c r="B1934" s="460" t="s">
        <v>2938</v>
      </c>
      <c r="C1934" s="460">
        <v>2211</v>
      </c>
      <c r="D1934" s="460" t="s">
        <v>2337</v>
      </c>
      <c r="E1934" s="460" t="s">
        <v>2333</v>
      </c>
      <c r="F1934" s="460">
        <v>4</v>
      </c>
      <c r="G1934" s="460">
        <v>3</v>
      </c>
      <c r="H1934" s="461" t="s">
        <v>712</v>
      </c>
      <c r="I1934" s="461" t="s">
        <v>713</v>
      </c>
      <c r="J1934" s="461" t="s">
        <v>712</v>
      </c>
      <c r="K1934" s="594"/>
      <c r="L1934" s="594"/>
      <c r="M1934" s="352">
        <v>2000</v>
      </c>
      <c r="N1934" s="352" t="s">
        <v>703</v>
      </c>
      <c r="O1934" s="460">
        <v>2211</v>
      </c>
      <c r="P1934" s="460" t="s">
        <v>1883</v>
      </c>
      <c r="Q1934" s="460" t="s">
        <v>2280</v>
      </c>
      <c r="R1934" s="460">
        <v>2121</v>
      </c>
      <c r="S1934" s="460" t="s">
        <v>2333</v>
      </c>
      <c r="T1934" s="462">
        <v>1</v>
      </c>
      <c r="U1934" s="460" t="s">
        <v>2333</v>
      </c>
      <c r="V1934" s="475">
        <v>0</v>
      </c>
      <c r="W1934" s="463" t="s">
        <v>713</v>
      </c>
      <c r="X1934" s="463" t="s">
        <v>713</v>
      </c>
      <c r="Y1934" s="463" t="s">
        <v>713</v>
      </c>
      <c r="Z1934" s="463"/>
      <c r="AA1934" s="463"/>
      <c r="AB1934" s="464">
        <v>288.38020469999594</v>
      </c>
      <c r="AC1934" s="465">
        <v>0.8153930500715445</v>
      </c>
      <c r="AD1934" s="465">
        <v>2.1924020373045873E-3</v>
      </c>
      <c r="AE1934" s="476">
        <v>314.49619379494283</v>
      </c>
      <c r="AF1934" s="467">
        <v>0.88923583004292661</v>
      </c>
      <c r="AG1934" s="468">
        <v>2.3664545211014507E-3</v>
      </c>
      <c r="AH1934" s="218">
        <v>314.49619379494283</v>
      </c>
      <c r="AI1934" s="470">
        <v>0.88923583004292661</v>
      </c>
      <c r="AJ1934" s="471">
        <v>2.3739938859155749E-3</v>
      </c>
      <c r="AK1934" s="218">
        <v>314.49619379494283</v>
      </c>
      <c r="AL1934" s="470">
        <v>0.88923583004292661</v>
      </c>
      <c r="AM1934" s="471">
        <v>2.3739938859155749E-3</v>
      </c>
      <c r="AN1934" s="477">
        <v>288.38020469999589</v>
      </c>
      <c r="AO1934" s="473">
        <v>0.81539305007154439</v>
      </c>
      <c r="AP1934" s="474">
        <v>2.1775475033093883E-3</v>
      </c>
      <c r="AQ1934" s="352"/>
      <c r="AR1934" s="352"/>
      <c r="AS1934" s="352"/>
      <c r="AT1934" s="352"/>
      <c r="AU1934" s="352"/>
      <c r="AV1934" s="352"/>
      <c r="AW1934" s="352" t="s">
        <v>254</v>
      </c>
    </row>
    <row r="1935" spans="2:49" x14ac:dyDescent="0.2">
      <c r="B1935" s="460" t="s">
        <v>2935</v>
      </c>
      <c r="C1935" s="460">
        <v>2211</v>
      </c>
      <c r="D1935" s="460" t="s">
        <v>2338</v>
      </c>
      <c r="E1935" s="460" t="s">
        <v>2324</v>
      </c>
      <c r="F1935" s="460">
        <v>1</v>
      </c>
      <c r="G1935" s="460">
        <v>3</v>
      </c>
      <c r="H1935" s="461" t="s">
        <v>746</v>
      </c>
      <c r="I1935" s="461" t="s">
        <v>762</v>
      </c>
      <c r="J1935" s="461" t="s">
        <v>700</v>
      </c>
      <c r="K1935" s="594"/>
      <c r="L1935" s="594"/>
      <c r="M1935" s="352">
        <v>2000</v>
      </c>
      <c r="N1935" s="352" t="s">
        <v>703</v>
      </c>
      <c r="O1935" s="460">
        <v>2211</v>
      </c>
      <c r="P1935" s="460" t="s">
        <v>1883</v>
      </c>
      <c r="Q1935" s="460" t="s">
        <v>2531</v>
      </c>
      <c r="R1935" s="460">
        <v>2121</v>
      </c>
      <c r="S1935" s="460" t="s">
        <v>2324</v>
      </c>
      <c r="T1935" s="462">
        <v>1</v>
      </c>
      <c r="U1935" s="460" t="s">
        <v>2324</v>
      </c>
      <c r="V1935" s="475">
        <v>0</v>
      </c>
      <c r="W1935" s="463" t="s">
        <v>2268</v>
      </c>
      <c r="X1935" s="463" t="s">
        <v>2268</v>
      </c>
      <c r="Y1935" s="463" t="s">
        <v>2290</v>
      </c>
      <c r="Z1935" s="463"/>
      <c r="AA1935" s="463"/>
      <c r="AB1935" s="464">
        <v>0</v>
      </c>
      <c r="AC1935" s="465">
        <v>0</v>
      </c>
      <c r="AD1935" s="465">
        <v>0</v>
      </c>
      <c r="AE1935" s="476">
        <v>0</v>
      </c>
      <c r="AF1935" s="467">
        <v>0</v>
      </c>
      <c r="AG1935" s="468">
        <v>0</v>
      </c>
      <c r="AH1935" s="218">
        <v>0</v>
      </c>
      <c r="AI1935" s="470">
        <v>0</v>
      </c>
      <c r="AJ1935" s="471">
        <v>0</v>
      </c>
      <c r="AK1935" s="218">
        <v>0</v>
      </c>
      <c r="AL1935" s="470">
        <v>0</v>
      </c>
      <c r="AM1935" s="471">
        <v>0</v>
      </c>
      <c r="AN1935" s="477">
        <v>0</v>
      </c>
      <c r="AO1935" s="473">
        <v>0</v>
      </c>
      <c r="AP1935" s="474">
        <v>0</v>
      </c>
      <c r="AQ1935" s="352"/>
      <c r="AR1935" s="352"/>
      <c r="AS1935" s="352"/>
      <c r="AT1935" s="352"/>
      <c r="AU1935" s="352"/>
      <c r="AV1935" s="352"/>
      <c r="AW1935" s="352" t="s">
        <v>254</v>
      </c>
    </row>
    <row r="1936" spans="2:49" x14ac:dyDescent="0.2">
      <c r="B1936" s="460" t="s">
        <v>2936</v>
      </c>
      <c r="C1936" s="460">
        <v>2211</v>
      </c>
      <c r="D1936" s="460" t="s">
        <v>2339</v>
      </c>
      <c r="E1936" s="460" t="s">
        <v>2327</v>
      </c>
      <c r="F1936" s="460">
        <v>2</v>
      </c>
      <c r="G1936" s="460">
        <v>3</v>
      </c>
      <c r="H1936" s="461" t="s">
        <v>746</v>
      </c>
      <c r="I1936" s="461" t="s">
        <v>762</v>
      </c>
      <c r="J1936" s="461" t="s">
        <v>700</v>
      </c>
      <c r="K1936" s="594"/>
      <c r="L1936" s="594"/>
      <c r="M1936" s="352">
        <v>2000</v>
      </c>
      <c r="N1936" s="352" t="s">
        <v>703</v>
      </c>
      <c r="O1936" s="460">
        <v>2211</v>
      </c>
      <c r="P1936" s="460" t="s">
        <v>1883</v>
      </c>
      <c r="Q1936" s="460" t="s">
        <v>2531</v>
      </c>
      <c r="R1936" s="460">
        <v>2121</v>
      </c>
      <c r="S1936" s="460" t="s">
        <v>2324</v>
      </c>
      <c r="T1936" s="462">
        <v>1</v>
      </c>
      <c r="U1936" s="460" t="s">
        <v>2327</v>
      </c>
      <c r="V1936" s="475">
        <v>0</v>
      </c>
      <c r="W1936" s="463" t="s">
        <v>2268</v>
      </c>
      <c r="X1936" s="463" t="s">
        <v>2268</v>
      </c>
      <c r="Y1936" s="463" t="s">
        <v>2290</v>
      </c>
      <c r="Z1936" s="463"/>
      <c r="AA1936" s="463"/>
      <c r="AB1936" s="464">
        <v>0</v>
      </c>
      <c r="AC1936" s="465">
        <v>0</v>
      </c>
      <c r="AD1936" s="465">
        <v>0</v>
      </c>
      <c r="AE1936" s="476">
        <v>0</v>
      </c>
      <c r="AF1936" s="467">
        <v>0</v>
      </c>
      <c r="AG1936" s="468">
        <v>0</v>
      </c>
      <c r="AH1936" s="218">
        <v>0</v>
      </c>
      <c r="AI1936" s="470">
        <v>0</v>
      </c>
      <c r="AJ1936" s="471">
        <v>0</v>
      </c>
      <c r="AK1936" s="218">
        <v>0</v>
      </c>
      <c r="AL1936" s="470">
        <v>0</v>
      </c>
      <c r="AM1936" s="471">
        <v>0</v>
      </c>
      <c r="AN1936" s="477">
        <v>0</v>
      </c>
      <c r="AO1936" s="473">
        <v>0</v>
      </c>
      <c r="AP1936" s="474">
        <v>0</v>
      </c>
      <c r="AQ1936" s="352"/>
      <c r="AR1936" s="352"/>
      <c r="AS1936" s="352"/>
      <c r="AT1936" s="352"/>
      <c r="AU1936" s="352"/>
      <c r="AV1936" s="352"/>
      <c r="AW1936" s="352" t="s">
        <v>254</v>
      </c>
    </row>
    <row r="1937" spans="2:49" x14ac:dyDescent="0.2">
      <c r="B1937" s="460" t="s">
        <v>2937</v>
      </c>
      <c r="C1937" s="460">
        <v>2211</v>
      </c>
      <c r="D1937" s="460" t="s">
        <v>2340</v>
      </c>
      <c r="E1937" s="460" t="s">
        <v>2330</v>
      </c>
      <c r="F1937" s="460">
        <v>3</v>
      </c>
      <c r="G1937" s="460">
        <v>3</v>
      </c>
      <c r="H1937" s="461" t="s">
        <v>746</v>
      </c>
      <c r="I1937" s="461" t="s">
        <v>762</v>
      </c>
      <c r="J1937" s="461" t="s">
        <v>700</v>
      </c>
      <c r="K1937" s="594"/>
      <c r="L1937" s="594"/>
      <c r="M1937" s="352">
        <v>2000</v>
      </c>
      <c r="N1937" s="352" t="s">
        <v>703</v>
      </c>
      <c r="O1937" s="460">
        <v>2211</v>
      </c>
      <c r="P1937" s="460" t="s">
        <v>1883</v>
      </c>
      <c r="Q1937" s="460" t="s">
        <v>2531</v>
      </c>
      <c r="R1937" s="460">
        <v>2121</v>
      </c>
      <c r="S1937" s="460" t="s">
        <v>2324</v>
      </c>
      <c r="T1937" s="462">
        <v>1</v>
      </c>
      <c r="U1937" s="460" t="s">
        <v>2330</v>
      </c>
      <c r="V1937" s="475">
        <v>0</v>
      </c>
      <c r="W1937" s="463" t="s">
        <v>2268</v>
      </c>
      <c r="X1937" s="463" t="s">
        <v>2268</v>
      </c>
      <c r="Y1937" s="463" t="s">
        <v>2290</v>
      </c>
      <c r="Z1937" s="463"/>
      <c r="AA1937" s="463"/>
      <c r="AB1937" s="464">
        <v>0</v>
      </c>
      <c r="AC1937" s="465">
        <v>0</v>
      </c>
      <c r="AD1937" s="465">
        <v>0</v>
      </c>
      <c r="AE1937" s="476">
        <v>0</v>
      </c>
      <c r="AF1937" s="467">
        <v>0</v>
      </c>
      <c r="AG1937" s="468">
        <v>0</v>
      </c>
      <c r="AH1937" s="218">
        <v>0</v>
      </c>
      <c r="AI1937" s="470">
        <v>0</v>
      </c>
      <c r="AJ1937" s="471">
        <v>0</v>
      </c>
      <c r="AK1937" s="218">
        <v>0</v>
      </c>
      <c r="AL1937" s="470">
        <v>0</v>
      </c>
      <c r="AM1937" s="471">
        <v>0</v>
      </c>
      <c r="AN1937" s="477">
        <v>0</v>
      </c>
      <c r="AO1937" s="473">
        <v>0</v>
      </c>
      <c r="AP1937" s="474">
        <v>0</v>
      </c>
      <c r="AQ1937" s="352"/>
      <c r="AR1937" s="352"/>
      <c r="AS1937" s="352"/>
      <c r="AT1937" s="352"/>
      <c r="AU1937" s="352"/>
      <c r="AV1937" s="352"/>
      <c r="AW1937" s="352" t="s">
        <v>254</v>
      </c>
    </row>
    <row r="1938" spans="2:49" x14ac:dyDescent="0.2">
      <c r="B1938" s="460" t="s">
        <v>2938</v>
      </c>
      <c r="C1938" s="460">
        <v>2211</v>
      </c>
      <c r="D1938" s="460" t="s">
        <v>2341</v>
      </c>
      <c r="E1938" s="460" t="s">
        <v>2333</v>
      </c>
      <c r="F1938" s="460">
        <v>4</v>
      </c>
      <c r="G1938" s="460">
        <v>3</v>
      </c>
      <c r="H1938" s="461" t="s">
        <v>746</v>
      </c>
      <c r="I1938" s="461" t="s">
        <v>762</v>
      </c>
      <c r="J1938" s="461" t="s">
        <v>700</v>
      </c>
      <c r="K1938" s="594"/>
      <c r="L1938" s="594"/>
      <c r="M1938" s="352">
        <v>2000</v>
      </c>
      <c r="N1938" s="352" t="s">
        <v>703</v>
      </c>
      <c r="O1938" s="460">
        <v>2211</v>
      </c>
      <c r="P1938" s="460" t="s">
        <v>1883</v>
      </c>
      <c r="Q1938" s="460" t="s">
        <v>2531</v>
      </c>
      <c r="R1938" s="460">
        <v>2121</v>
      </c>
      <c r="S1938" s="460" t="s">
        <v>2333</v>
      </c>
      <c r="T1938" s="462">
        <v>1</v>
      </c>
      <c r="U1938" s="460" t="s">
        <v>2333</v>
      </c>
      <c r="V1938" s="475">
        <v>0</v>
      </c>
      <c r="W1938" s="463" t="s">
        <v>2268</v>
      </c>
      <c r="X1938" s="463" t="s">
        <v>2268</v>
      </c>
      <c r="Y1938" s="463" t="s">
        <v>2290</v>
      </c>
      <c r="Z1938" s="463"/>
      <c r="AA1938" s="463"/>
      <c r="AB1938" s="464">
        <v>0</v>
      </c>
      <c r="AC1938" s="465">
        <v>0</v>
      </c>
      <c r="AD1938" s="465">
        <v>0</v>
      </c>
      <c r="AE1938" s="476">
        <v>0</v>
      </c>
      <c r="AF1938" s="467">
        <v>0</v>
      </c>
      <c r="AG1938" s="468">
        <v>0</v>
      </c>
      <c r="AH1938" s="218">
        <v>0</v>
      </c>
      <c r="AI1938" s="470">
        <v>0</v>
      </c>
      <c r="AJ1938" s="471">
        <v>0</v>
      </c>
      <c r="AK1938" s="218">
        <v>0</v>
      </c>
      <c r="AL1938" s="470">
        <v>0</v>
      </c>
      <c r="AM1938" s="471">
        <v>0</v>
      </c>
      <c r="AN1938" s="477">
        <v>0</v>
      </c>
      <c r="AO1938" s="473">
        <v>0</v>
      </c>
      <c r="AP1938" s="474">
        <v>0</v>
      </c>
      <c r="AQ1938" s="352"/>
      <c r="AR1938" s="352"/>
      <c r="AS1938" s="352"/>
      <c r="AT1938" s="352"/>
      <c r="AU1938" s="352"/>
      <c r="AV1938" s="352"/>
      <c r="AW1938" s="352" t="s">
        <v>254</v>
      </c>
    </row>
    <row r="1939" spans="2:49" x14ac:dyDescent="0.2">
      <c r="B1939" s="460" t="s">
        <v>2935</v>
      </c>
      <c r="C1939" s="460">
        <v>2211</v>
      </c>
      <c r="D1939" s="460" t="s">
        <v>2342</v>
      </c>
      <c r="E1939" s="460" t="s">
        <v>2324</v>
      </c>
      <c r="F1939" s="460">
        <v>1</v>
      </c>
      <c r="G1939" s="460">
        <v>3</v>
      </c>
      <c r="H1939" s="461" t="s">
        <v>748</v>
      </c>
      <c r="I1939" s="461" t="s">
        <v>765</v>
      </c>
      <c r="J1939" s="461" t="s">
        <v>700</v>
      </c>
      <c r="K1939" s="594"/>
      <c r="L1939" s="594"/>
      <c r="M1939" s="352">
        <v>2000</v>
      </c>
      <c r="N1939" s="352" t="s">
        <v>703</v>
      </c>
      <c r="O1939" s="460">
        <v>2211</v>
      </c>
      <c r="P1939" s="460" t="s">
        <v>1883</v>
      </c>
      <c r="Q1939" s="460" t="s">
        <v>2527</v>
      </c>
      <c r="R1939" s="460">
        <v>2121</v>
      </c>
      <c r="S1939" s="460" t="s">
        <v>2324</v>
      </c>
      <c r="T1939" s="462">
        <v>1</v>
      </c>
      <c r="U1939" s="460" t="s">
        <v>2324</v>
      </c>
      <c r="V1939" s="475">
        <v>0</v>
      </c>
      <c r="W1939" s="463" t="s">
        <v>2268</v>
      </c>
      <c r="X1939" s="463" t="s">
        <v>2268</v>
      </c>
      <c r="Y1939" s="463" t="s">
        <v>2267</v>
      </c>
      <c r="Z1939" s="463"/>
      <c r="AA1939" s="463"/>
      <c r="AB1939" s="464">
        <v>0</v>
      </c>
      <c r="AC1939" s="465">
        <v>0</v>
      </c>
      <c r="AD1939" s="465">
        <v>0</v>
      </c>
      <c r="AE1939" s="476">
        <v>0</v>
      </c>
      <c r="AF1939" s="467">
        <v>0</v>
      </c>
      <c r="AG1939" s="468">
        <v>0</v>
      </c>
      <c r="AH1939" s="218">
        <v>0</v>
      </c>
      <c r="AI1939" s="470">
        <v>0</v>
      </c>
      <c r="AJ1939" s="471">
        <v>0</v>
      </c>
      <c r="AK1939" s="218">
        <v>0</v>
      </c>
      <c r="AL1939" s="470">
        <v>0</v>
      </c>
      <c r="AM1939" s="471">
        <v>0</v>
      </c>
      <c r="AN1939" s="477">
        <v>564.19054313865911</v>
      </c>
      <c r="AO1939" s="473">
        <v>0.39805965484959044</v>
      </c>
      <c r="AP1939" s="474">
        <v>2.9367141912226127E-2</v>
      </c>
      <c r="AQ1939" s="352"/>
      <c r="AR1939" s="352"/>
      <c r="AS1939" s="352"/>
      <c r="AT1939" s="352"/>
      <c r="AU1939" s="352"/>
      <c r="AV1939" s="352"/>
      <c r="AW1939" s="352" t="s">
        <v>254</v>
      </c>
    </row>
    <row r="1940" spans="2:49" x14ac:dyDescent="0.2">
      <c r="B1940" s="460" t="s">
        <v>2936</v>
      </c>
      <c r="C1940" s="460">
        <v>2211</v>
      </c>
      <c r="D1940" s="460" t="s">
        <v>2343</v>
      </c>
      <c r="E1940" s="460" t="s">
        <v>2327</v>
      </c>
      <c r="F1940" s="460">
        <v>2</v>
      </c>
      <c r="G1940" s="460">
        <v>3</v>
      </c>
      <c r="H1940" s="461" t="s">
        <v>748</v>
      </c>
      <c r="I1940" s="461" t="s">
        <v>765</v>
      </c>
      <c r="J1940" s="461" t="s">
        <v>700</v>
      </c>
      <c r="K1940" s="594"/>
      <c r="L1940" s="594"/>
      <c r="M1940" s="352">
        <v>2000</v>
      </c>
      <c r="N1940" s="352" t="s">
        <v>703</v>
      </c>
      <c r="O1940" s="460">
        <v>2211</v>
      </c>
      <c r="P1940" s="460" t="s">
        <v>1883</v>
      </c>
      <c r="Q1940" s="460" t="s">
        <v>2527</v>
      </c>
      <c r="R1940" s="460">
        <v>2121</v>
      </c>
      <c r="S1940" s="460" t="s">
        <v>2324</v>
      </c>
      <c r="T1940" s="462">
        <v>1</v>
      </c>
      <c r="U1940" s="460" t="s">
        <v>2327</v>
      </c>
      <c r="V1940" s="475">
        <v>0</v>
      </c>
      <c r="W1940" s="463" t="s">
        <v>2268</v>
      </c>
      <c r="X1940" s="463" t="s">
        <v>2268</v>
      </c>
      <c r="Y1940" s="463" t="s">
        <v>2267</v>
      </c>
      <c r="Z1940" s="463"/>
      <c r="AA1940" s="463"/>
      <c r="AB1940" s="464">
        <v>0</v>
      </c>
      <c r="AC1940" s="465">
        <v>0</v>
      </c>
      <c r="AD1940" s="465">
        <v>0</v>
      </c>
      <c r="AE1940" s="476">
        <v>0</v>
      </c>
      <c r="AF1940" s="467">
        <v>0</v>
      </c>
      <c r="AG1940" s="468">
        <v>0</v>
      </c>
      <c r="AH1940" s="218">
        <v>0</v>
      </c>
      <c r="AI1940" s="470">
        <v>0</v>
      </c>
      <c r="AJ1940" s="471">
        <v>0</v>
      </c>
      <c r="AK1940" s="218">
        <v>0</v>
      </c>
      <c r="AL1940" s="470">
        <v>0</v>
      </c>
      <c r="AM1940" s="471">
        <v>0</v>
      </c>
      <c r="AN1940" s="477">
        <v>393.864262241007</v>
      </c>
      <c r="AO1940" s="473">
        <v>0.39805965484959044</v>
      </c>
      <c r="AP1940" s="474">
        <v>3.501197771622086E-2</v>
      </c>
      <c r="AQ1940" s="352"/>
      <c r="AR1940" s="352"/>
      <c r="AS1940" s="352"/>
      <c r="AT1940" s="352"/>
      <c r="AU1940" s="352"/>
      <c r="AV1940" s="352"/>
      <c r="AW1940" s="352" t="s">
        <v>254</v>
      </c>
    </row>
    <row r="1941" spans="2:49" x14ac:dyDescent="0.2">
      <c r="B1941" s="460" t="s">
        <v>2937</v>
      </c>
      <c r="C1941" s="460">
        <v>2211</v>
      </c>
      <c r="D1941" s="460" t="s">
        <v>2344</v>
      </c>
      <c r="E1941" s="460" t="s">
        <v>2330</v>
      </c>
      <c r="F1941" s="460">
        <v>3</v>
      </c>
      <c r="G1941" s="460">
        <v>3</v>
      </c>
      <c r="H1941" s="461" t="s">
        <v>748</v>
      </c>
      <c r="I1941" s="461" t="s">
        <v>765</v>
      </c>
      <c r="J1941" s="461" t="s">
        <v>700</v>
      </c>
      <c r="K1941" s="594"/>
      <c r="L1941" s="594"/>
      <c r="M1941" s="352">
        <v>2000</v>
      </c>
      <c r="N1941" s="352" t="s">
        <v>703</v>
      </c>
      <c r="O1941" s="460">
        <v>2211</v>
      </c>
      <c r="P1941" s="460" t="s">
        <v>1883</v>
      </c>
      <c r="Q1941" s="460" t="s">
        <v>2527</v>
      </c>
      <c r="R1941" s="460">
        <v>2121</v>
      </c>
      <c r="S1941" s="460" t="s">
        <v>2324</v>
      </c>
      <c r="T1941" s="462">
        <v>1</v>
      </c>
      <c r="U1941" s="460" t="s">
        <v>2330</v>
      </c>
      <c r="V1941" s="475">
        <v>0</v>
      </c>
      <c r="W1941" s="463" t="s">
        <v>2268</v>
      </c>
      <c r="X1941" s="463" t="s">
        <v>2268</v>
      </c>
      <c r="Y1941" s="463" t="s">
        <v>2267</v>
      </c>
      <c r="Z1941" s="463"/>
      <c r="AA1941" s="463"/>
      <c r="AB1941" s="464">
        <v>0</v>
      </c>
      <c r="AC1941" s="465">
        <v>0</v>
      </c>
      <c r="AD1941" s="465">
        <v>0</v>
      </c>
      <c r="AE1941" s="476">
        <v>0</v>
      </c>
      <c r="AF1941" s="467">
        <v>0</v>
      </c>
      <c r="AG1941" s="468">
        <v>0</v>
      </c>
      <c r="AH1941" s="218">
        <v>0</v>
      </c>
      <c r="AI1941" s="470">
        <v>0</v>
      </c>
      <c r="AJ1941" s="471">
        <v>0</v>
      </c>
      <c r="AK1941" s="218">
        <v>0</v>
      </c>
      <c r="AL1941" s="470">
        <v>0</v>
      </c>
      <c r="AM1941" s="471">
        <v>0</v>
      </c>
      <c r="AN1941" s="477">
        <v>125.86251914199677</v>
      </c>
      <c r="AO1941" s="473">
        <v>0.39805965484959044</v>
      </c>
      <c r="AP1941" s="474">
        <v>3.4307947594332366E-2</v>
      </c>
      <c r="AQ1941" s="352"/>
      <c r="AR1941" s="352"/>
      <c r="AS1941" s="352"/>
      <c r="AT1941" s="352"/>
      <c r="AU1941" s="352"/>
      <c r="AV1941" s="352"/>
      <c r="AW1941" s="352" t="s">
        <v>254</v>
      </c>
    </row>
    <row r="1942" spans="2:49" x14ac:dyDescent="0.2">
      <c r="B1942" s="460" t="s">
        <v>2938</v>
      </c>
      <c r="C1942" s="460">
        <v>2211</v>
      </c>
      <c r="D1942" s="460" t="s">
        <v>2345</v>
      </c>
      <c r="E1942" s="460" t="s">
        <v>2333</v>
      </c>
      <c r="F1942" s="460">
        <v>4</v>
      </c>
      <c r="G1942" s="460">
        <v>3</v>
      </c>
      <c r="H1942" s="461" t="s">
        <v>748</v>
      </c>
      <c r="I1942" s="461" t="s">
        <v>765</v>
      </c>
      <c r="J1942" s="461" t="s">
        <v>700</v>
      </c>
      <c r="K1942" s="594"/>
      <c r="L1942" s="594"/>
      <c r="M1942" s="352">
        <v>2000</v>
      </c>
      <c r="N1942" s="352" t="s">
        <v>703</v>
      </c>
      <c r="O1942" s="460">
        <v>2211</v>
      </c>
      <c r="P1942" s="460" t="s">
        <v>1883</v>
      </c>
      <c r="Q1942" s="460" t="s">
        <v>2527</v>
      </c>
      <c r="R1942" s="460">
        <v>2121</v>
      </c>
      <c r="S1942" s="460" t="s">
        <v>2333</v>
      </c>
      <c r="T1942" s="462">
        <v>1</v>
      </c>
      <c r="U1942" s="460" t="s">
        <v>2333</v>
      </c>
      <c r="V1942" s="475">
        <v>0</v>
      </c>
      <c r="W1942" s="463" t="s">
        <v>2268</v>
      </c>
      <c r="X1942" s="463" t="s">
        <v>2268</v>
      </c>
      <c r="Y1942" s="463" t="s">
        <v>2278</v>
      </c>
      <c r="Z1942" s="463"/>
      <c r="AA1942" s="463"/>
      <c r="AB1942" s="464">
        <v>0</v>
      </c>
      <c r="AC1942" s="465">
        <v>0</v>
      </c>
      <c r="AD1942" s="465">
        <v>0</v>
      </c>
      <c r="AE1942" s="476">
        <v>0</v>
      </c>
      <c r="AF1942" s="467">
        <v>0</v>
      </c>
      <c r="AG1942" s="468">
        <v>0</v>
      </c>
      <c r="AH1942" s="218">
        <v>0</v>
      </c>
      <c r="AI1942" s="470">
        <v>0</v>
      </c>
      <c r="AJ1942" s="471">
        <v>0</v>
      </c>
      <c r="AK1942" s="218">
        <v>0</v>
      </c>
      <c r="AL1942" s="470">
        <v>0</v>
      </c>
      <c r="AM1942" s="471">
        <v>0</v>
      </c>
      <c r="AN1942" s="477">
        <v>65.289972737367322</v>
      </c>
      <c r="AO1942" s="473">
        <v>0.18460694992845561</v>
      </c>
      <c r="AP1942" s="474">
        <v>4.0657667907743528E-2</v>
      </c>
      <c r="AQ1942" s="352"/>
      <c r="AR1942" s="352"/>
      <c r="AS1942" s="352"/>
      <c r="AT1942" s="352"/>
      <c r="AU1942" s="352"/>
      <c r="AV1942" s="352"/>
      <c r="AW1942" s="352" t="s">
        <v>254</v>
      </c>
    </row>
    <row r="1943" spans="2:49" x14ac:dyDescent="0.2">
      <c r="B1943" s="460" t="s">
        <v>2935</v>
      </c>
      <c r="C1943" s="460">
        <v>2211</v>
      </c>
      <c r="D1943" s="460" t="s">
        <v>2346</v>
      </c>
      <c r="E1943" s="460" t="s">
        <v>2324</v>
      </c>
      <c r="F1943" s="460">
        <v>1</v>
      </c>
      <c r="G1943" s="460">
        <v>3</v>
      </c>
      <c r="H1943" s="461" t="s">
        <v>752</v>
      </c>
      <c r="I1943" s="461" t="s">
        <v>964</v>
      </c>
      <c r="J1943" s="461" t="s">
        <v>752</v>
      </c>
      <c r="K1943" s="594"/>
      <c r="L1943" s="594"/>
      <c r="M1943" s="352">
        <v>2000</v>
      </c>
      <c r="N1943" s="352" t="s">
        <v>703</v>
      </c>
      <c r="O1943" s="460">
        <v>2211</v>
      </c>
      <c r="P1943" s="460" t="s">
        <v>1883</v>
      </c>
      <c r="Q1943" s="460" t="s">
        <v>2527</v>
      </c>
      <c r="R1943" s="460">
        <v>2121</v>
      </c>
      <c r="S1943" s="460" t="s">
        <v>2324</v>
      </c>
      <c r="T1943" s="462">
        <v>1</v>
      </c>
      <c r="U1943" s="460" t="s">
        <v>2324</v>
      </c>
      <c r="V1943" s="475">
        <v>0</v>
      </c>
      <c r="W1943" s="463" t="s">
        <v>2278</v>
      </c>
      <c r="X1943" s="463" t="s">
        <v>2278</v>
      </c>
      <c r="Y1943" s="463" t="s">
        <v>2278</v>
      </c>
      <c r="Z1943" s="463"/>
      <c r="AA1943" s="463"/>
      <c r="AB1943" s="464">
        <v>0</v>
      </c>
      <c r="AC1943" s="465">
        <v>0</v>
      </c>
      <c r="AD1943" s="465">
        <v>0</v>
      </c>
      <c r="AE1943" s="476">
        <v>0</v>
      </c>
      <c r="AF1943" s="467">
        <v>0</v>
      </c>
      <c r="AG1943" s="468">
        <v>0</v>
      </c>
      <c r="AH1943" s="218">
        <v>0</v>
      </c>
      <c r="AI1943" s="470">
        <v>0</v>
      </c>
      <c r="AJ1943" s="471">
        <v>0</v>
      </c>
      <c r="AK1943" s="218">
        <v>0</v>
      </c>
      <c r="AL1943" s="470">
        <v>0</v>
      </c>
      <c r="AM1943" s="471">
        <v>0</v>
      </c>
      <c r="AN1943" s="477">
        <v>0</v>
      </c>
      <c r="AO1943" s="473">
        <v>0</v>
      </c>
      <c r="AP1943" s="474">
        <v>0</v>
      </c>
      <c r="AQ1943" s="352"/>
      <c r="AR1943" s="352"/>
      <c r="AS1943" s="352"/>
      <c r="AT1943" s="352"/>
      <c r="AU1943" s="352"/>
      <c r="AV1943" s="352"/>
      <c r="AW1943" s="352" t="s">
        <v>254</v>
      </c>
    </row>
    <row r="1944" spans="2:49" x14ac:dyDescent="0.2">
      <c r="B1944" s="460" t="s">
        <v>2936</v>
      </c>
      <c r="C1944" s="460">
        <v>2211</v>
      </c>
      <c r="D1944" s="460" t="s">
        <v>2347</v>
      </c>
      <c r="E1944" s="460" t="s">
        <v>2327</v>
      </c>
      <c r="F1944" s="460">
        <v>2</v>
      </c>
      <c r="G1944" s="460">
        <v>3</v>
      </c>
      <c r="H1944" s="461" t="s">
        <v>752</v>
      </c>
      <c r="I1944" s="461" t="s">
        <v>964</v>
      </c>
      <c r="J1944" s="461" t="s">
        <v>752</v>
      </c>
      <c r="K1944" s="594"/>
      <c r="L1944" s="594"/>
      <c r="M1944" s="352">
        <v>2000</v>
      </c>
      <c r="N1944" s="352" t="s">
        <v>703</v>
      </c>
      <c r="O1944" s="460">
        <v>2211</v>
      </c>
      <c r="P1944" s="460" t="s">
        <v>1883</v>
      </c>
      <c r="Q1944" s="460" t="s">
        <v>2527</v>
      </c>
      <c r="R1944" s="460">
        <v>2121</v>
      </c>
      <c r="S1944" s="460" t="s">
        <v>2324</v>
      </c>
      <c r="T1944" s="462">
        <v>1</v>
      </c>
      <c r="U1944" s="460" t="s">
        <v>2327</v>
      </c>
      <c r="V1944" s="475">
        <v>0</v>
      </c>
      <c r="W1944" s="463" t="s">
        <v>2278</v>
      </c>
      <c r="X1944" s="463" t="s">
        <v>2278</v>
      </c>
      <c r="Y1944" s="463" t="s">
        <v>2278</v>
      </c>
      <c r="Z1944" s="463"/>
      <c r="AA1944" s="463"/>
      <c r="AB1944" s="464">
        <v>0</v>
      </c>
      <c r="AC1944" s="465">
        <v>0</v>
      </c>
      <c r="AD1944" s="465">
        <v>0</v>
      </c>
      <c r="AE1944" s="476">
        <v>0</v>
      </c>
      <c r="AF1944" s="467">
        <v>0</v>
      </c>
      <c r="AG1944" s="468">
        <v>0</v>
      </c>
      <c r="AH1944" s="218">
        <v>0</v>
      </c>
      <c r="AI1944" s="470">
        <v>0</v>
      </c>
      <c r="AJ1944" s="471">
        <v>0</v>
      </c>
      <c r="AK1944" s="218">
        <v>0</v>
      </c>
      <c r="AL1944" s="470">
        <v>0</v>
      </c>
      <c r="AM1944" s="471">
        <v>0</v>
      </c>
      <c r="AN1944" s="477">
        <v>0</v>
      </c>
      <c r="AO1944" s="473">
        <v>0</v>
      </c>
      <c r="AP1944" s="474">
        <v>0</v>
      </c>
      <c r="AQ1944" s="352"/>
      <c r="AR1944" s="352"/>
      <c r="AS1944" s="352"/>
      <c r="AT1944" s="352"/>
      <c r="AU1944" s="352"/>
      <c r="AV1944" s="352"/>
      <c r="AW1944" s="352" t="s">
        <v>254</v>
      </c>
    </row>
    <row r="1945" spans="2:49" x14ac:dyDescent="0.2">
      <c r="B1945" s="460" t="s">
        <v>2937</v>
      </c>
      <c r="C1945" s="460">
        <v>2211</v>
      </c>
      <c r="D1945" s="460" t="s">
        <v>2348</v>
      </c>
      <c r="E1945" s="460" t="s">
        <v>2330</v>
      </c>
      <c r="F1945" s="460">
        <v>3</v>
      </c>
      <c r="G1945" s="460">
        <v>3</v>
      </c>
      <c r="H1945" s="461" t="s">
        <v>752</v>
      </c>
      <c r="I1945" s="461" t="s">
        <v>964</v>
      </c>
      <c r="J1945" s="461" t="s">
        <v>752</v>
      </c>
      <c r="K1945" s="594"/>
      <c r="L1945" s="594"/>
      <c r="M1945" s="352">
        <v>2000</v>
      </c>
      <c r="N1945" s="352" t="s">
        <v>703</v>
      </c>
      <c r="O1945" s="460">
        <v>2211</v>
      </c>
      <c r="P1945" s="460" t="s">
        <v>1883</v>
      </c>
      <c r="Q1945" s="460" t="s">
        <v>2527</v>
      </c>
      <c r="R1945" s="460">
        <v>2121</v>
      </c>
      <c r="S1945" s="460" t="s">
        <v>2324</v>
      </c>
      <c r="T1945" s="462">
        <v>1</v>
      </c>
      <c r="U1945" s="460" t="s">
        <v>2330</v>
      </c>
      <c r="V1945" s="475">
        <v>0</v>
      </c>
      <c r="W1945" s="463" t="s">
        <v>2278</v>
      </c>
      <c r="X1945" s="463" t="s">
        <v>2278</v>
      </c>
      <c r="Y1945" s="463" t="s">
        <v>2278</v>
      </c>
      <c r="Z1945" s="463"/>
      <c r="AA1945" s="463"/>
      <c r="AB1945" s="464">
        <v>0</v>
      </c>
      <c r="AC1945" s="465">
        <v>0</v>
      </c>
      <c r="AD1945" s="465">
        <v>0</v>
      </c>
      <c r="AE1945" s="476">
        <v>0</v>
      </c>
      <c r="AF1945" s="467">
        <v>0</v>
      </c>
      <c r="AG1945" s="468">
        <v>0</v>
      </c>
      <c r="AH1945" s="218">
        <v>0</v>
      </c>
      <c r="AI1945" s="470">
        <v>0</v>
      </c>
      <c r="AJ1945" s="471">
        <v>0</v>
      </c>
      <c r="AK1945" s="218">
        <v>0</v>
      </c>
      <c r="AL1945" s="470">
        <v>0</v>
      </c>
      <c r="AM1945" s="471">
        <v>0</v>
      </c>
      <c r="AN1945" s="477">
        <v>0</v>
      </c>
      <c r="AO1945" s="473">
        <v>0</v>
      </c>
      <c r="AP1945" s="474">
        <v>0</v>
      </c>
      <c r="AQ1945" s="352"/>
      <c r="AR1945" s="352"/>
      <c r="AS1945" s="352"/>
      <c r="AT1945" s="352"/>
      <c r="AU1945" s="352"/>
      <c r="AV1945" s="352"/>
      <c r="AW1945" s="352" t="s">
        <v>254</v>
      </c>
    </row>
    <row r="1946" spans="2:49" x14ac:dyDescent="0.2">
      <c r="B1946" s="460" t="s">
        <v>2938</v>
      </c>
      <c r="C1946" s="460">
        <v>2211</v>
      </c>
      <c r="D1946" s="460" t="s">
        <v>2349</v>
      </c>
      <c r="E1946" s="460" t="s">
        <v>2333</v>
      </c>
      <c r="F1946" s="460">
        <v>4</v>
      </c>
      <c r="G1946" s="460">
        <v>3</v>
      </c>
      <c r="H1946" s="461" t="s">
        <v>752</v>
      </c>
      <c r="I1946" s="461" t="s">
        <v>964</v>
      </c>
      <c r="J1946" s="461" t="s">
        <v>752</v>
      </c>
      <c r="K1946" s="594"/>
      <c r="L1946" s="594"/>
      <c r="M1946" s="352">
        <v>2000</v>
      </c>
      <c r="N1946" s="352" t="s">
        <v>703</v>
      </c>
      <c r="O1946" s="460">
        <v>2211</v>
      </c>
      <c r="P1946" s="460" t="s">
        <v>1883</v>
      </c>
      <c r="Q1946" s="460" t="s">
        <v>2527</v>
      </c>
      <c r="R1946" s="460">
        <v>2121</v>
      </c>
      <c r="S1946" s="460" t="s">
        <v>2333</v>
      </c>
      <c r="T1946" s="462">
        <v>1</v>
      </c>
      <c r="U1946" s="460" t="s">
        <v>2333</v>
      </c>
      <c r="V1946" s="475">
        <v>0</v>
      </c>
      <c r="W1946" s="463" t="s">
        <v>2278</v>
      </c>
      <c r="X1946" s="463" t="s">
        <v>2278</v>
      </c>
      <c r="Y1946" s="463" t="s">
        <v>2278</v>
      </c>
      <c r="Z1946" s="463"/>
      <c r="AA1946" s="463"/>
      <c r="AB1946" s="464">
        <v>0</v>
      </c>
      <c r="AC1946" s="465">
        <v>0</v>
      </c>
      <c r="AD1946" s="465">
        <v>0</v>
      </c>
      <c r="AE1946" s="476">
        <v>0</v>
      </c>
      <c r="AF1946" s="467">
        <v>0</v>
      </c>
      <c r="AG1946" s="468">
        <v>0</v>
      </c>
      <c r="AH1946" s="218">
        <v>0</v>
      </c>
      <c r="AI1946" s="470">
        <v>0</v>
      </c>
      <c r="AJ1946" s="471">
        <v>0</v>
      </c>
      <c r="AK1946" s="218">
        <v>0</v>
      </c>
      <c r="AL1946" s="470">
        <v>0</v>
      </c>
      <c r="AM1946" s="471">
        <v>0</v>
      </c>
      <c r="AN1946" s="477">
        <v>0</v>
      </c>
      <c r="AO1946" s="473">
        <v>0</v>
      </c>
      <c r="AP1946" s="474">
        <v>0</v>
      </c>
      <c r="AQ1946" s="352"/>
      <c r="AR1946" s="352"/>
      <c r="AS1946" s="352"/>
      <c r="AT1946" s="352"/>
      <c r="AU1946" s="352"/>
      <c r="AV1946" s="352"/>
      <c r="AW1946" s="352" t="s">
        <v>254</v>
      </c>
    </row>
    <row r="1947" spans="2:49" x14ac:dyDescent="0.2">
      <c r="B1947" s="460" t="s">
        <v>2939</v>
      </c>
      <c r="C1947" s="460">
        <v>2211</v>
      </c>
      <c r="D1947" s="460" t="s">
        <v>2351</v>
      </c>
      <c r="E1947" s="460" t="s">
        <v>1136</v>
      </c>
      <c r="F1947" s="460">
        <v>1</v>
      </c>
      <c r="G1947" s="460">
        <v>4</v>
      </c>
      <c r="H1947" s="461" t="s">
        <v>700</v>
      </c>
      <c r="I1947" s="461" t="s">
        <v>872</v>
      </c>
      <c r="J1947" s="461" t="s">
        <v>700</v>
      </c>
      <c r="K1947" s="594"/>
      <c r="L1947" s="594"/>
      <c r="M1947" s="352">
        <v>2000</v>
      </c>
      <c r="N1947" s="352" t="s">
        <v>703</v>
      </c>
      <c r="O1947" s="460">
        <v>2211</v>
      </c>
      <c r="P1947" s="460" t="s">
        <v>1883</v>
      </c>
      <c r="Q1947" s="460" t="s">
        <v>2527</v>
      </c>
      <c r="R1947" s="460">
        <v>2121</v>
      </c>
      <c r="S1947" s="460" t="s">
        <v>1136</v>
      </c>
      <c r="T1947" s="462">
        <v>1</v>
      </c>
      <c r="U1947" s="460" t="s">
        <v>1136</v>
      </c>
      <c r="V1947" s="475">
        <v>0</v>
      </c>
      <c r="W1947" s="463" t="s">
        <v>2503</v>
      </c>
      <c r="X1947" s="463" t="s">
        <v>2267</v>
      </c>
      <c r="Y1947" s="463" t="s">
        <v>2268</v>
      </c>
      <c r="Z1947" s="463"/>
      <c r="AA1947" s="463"/>
      <c r="AB1947" s="464">
        <v>3.7395453353839243</v>
      </c>
      <c r="AC1947" s="465">
        <v>0.10819517102690378</v>
      </c>
      <c r="AD1947" s="465">
        <v>1.0639788897094908E-2</v>
      </c>
      <c r="AE1947" s="476">
        <v>2.2437272012303544</v>
      </c>
      <c r="AF1947" s="467">
        <v>6.4917102616142267E-2</v>
      </c>
      <c r="AG1947" s="468">
        <v>6.9396633466830646E-3</v>
      </c>
      <c r="AH1947" s="218">
        <v>7.5337392441937023</v>
      </c>
      <c r="AI1947" s="470">
        <v>0.21797147323899202</v>
      </c>
      <c r="AJ1947" s="471">
        <v>5.8835981533900449E-3</v>
      </c>
      <c r="AK1947" s="218">
        <v>7.5337392441937023</v>
      </c>
      <c r="AL1947" s="470">
        <v>0.21797147323899202</v>
      </c>
      <c r="AM1947" s="471">
        <v>5.8835981533900449E-3</v>
      </c>
      <c r="AN1947" s="477">
        <v>0</v>
      </c>
      <c r="AO1947" s="473">
        <v>0</v>
      </c>
      <c r="AP1947" s="474">
        <v>0</v>
      </c>
      <c r="AQ1947" s="352"/>
      <c r="AR1947" s="352"/>
      <c r="AS1947" s="352"/>
      <c r="AT1947" s="352"/>
      <c r="AU1947" s="352"/>
      <c r="AV1947" s="352"/>
      <c r="AW1947" s="352" t="s">
        <v>254</v>
      </c>
    </row>
    <row r="1948" spans="2:49" x14ac:dyDescent="0.2">
      <c r="B1948" s="460" t="s">
        <v>2940</v>
      </c>
      <c r="C1948" s="460">
        <v>2211</v>
      </c>
      <c r="D1948" s="460" t="s">
        <v>2353</v>
      </c>
      <c r="E1948" s="460" t="s">
        <v>1137</v>
      </c>
      <c r="F1948" s="460">
        <v>2</v>
      </c>
      <c r="G1948" s="460">
        <v>4</v>
      </c>
      <c r="H1948" s="461" t="s">
        <v>700</v>
      </c>
      <c r="I1948" s="461" t="s">
        <v>872</v>
      </c>
      <c r="J1948" s="461" t="s">
        <v>700</v>
      </c>
      <c r="K1948" s="594"/>
      <c r="L1948" s="594"/>
      <c r="M1948" s="352">
        <v>2000</v>
      </c>
      <c r="N1948" s="352" t="s">
        <v>703</v>
      </c>
      <c r="O1948" s="460">
        <v>2211</v>
      </c>
      <c r="P1948" s="460" t="s">
        <v>1883</v>
      </c>
      <c r="Q1948" s="460" t="s">
        <v>2527</v>
      </c>
      <c r="R1948" s="460">
        <v>2121</v>
      </c>
      <c r="S1948" s="460" t="s">
        <v>1137</v>
      </c>
      <c r="T1948" s="462">
        <v>1</v>
      </c>
      <c r="U1948" s="460" t="s">
        <v>1137</v>
      </c>
      <c r="V1948" s="475">
        <v>0</v>
      </c>
      <c r="W1948" s="463" t="s">
        <v>2503</v>
      </c>
      <c r="X1948" s="463" t="s">
        <v>2267</v>
      </c>
      <c r="Y1948" s="463" t="s">
        <v>2268</v>
      </c>
      <c r="Z1948" s="463"/>
      <c r="AA1948" s="463"/>
      <c r="AB1948" s="464">
        <v>17.251713397776296</v>
      </c>
      <c r="AC1948" s="465">
        <v>0.15910666310568689</v>
      </c>
      <c r="AD1948" s="465">
        <v>3.8956977555266912E-3</v>
      </c>
      <c r="AE1948" s="476">
        <v>10.351028038665776</v>
      </c>
      <c r="AF1948" s="467">
        <v>9.5463997863412128E-2</v>
      </c>
      <c r="AG1948" s="468">
        <v>2.5181729603103217E-3</v>
      </c>
      <c r="AH1948" s="218">
        <v>21.534287940786371</v>
      </c>
      <c r="AI1948" s="470">
        <v>0.19860338608785305</v>
      </c>
      <c r="AJ1948" s="471">
        <v>4.4491869187336238E-3</v>
      </c>
      <c r="AK1948" s="218">
        <v>21.534287940786371</v>
      </c>
      <c r="AL1948" s="470">
        <v>0.19860338608785305</v>
      </c>
      <c r="AM1948" s="471">
        <v>4.4491869187336238E-3</v>
      </c>
      <c r="AN1948" s="477">
        <v>0</v>
      </c>
      <c r="AO1948" s="473">
        <v>0</v>
      </c>
      <c r="AP1948" s="474">
        <v>0</v>
      </c>
      <c r="AQ1948" s="352"/>
      <c r="AR1948" s="352"/>
      <c r="AS1948" s="352"/>
      <c r="AT1948" s="352"/>
      <c r="AU1948" s="352"/>
      <c r="AV1948" s="352"/>
      <c r="AW1948" s="352" t="s">
        <v>254</v>
      </c>
    </row>
    <row r="1949" spans="2:49" x14ac:dyDescent="0.2">
      <c r="B1949" s="460" t="s">
        <v>2941</v>
      </c>
      <c r="C1949" s="460">
        <v>2211</v>
      </c>
      <c r="D1949" s="460" t="s">
        <v>2355</v>
      </c>
      <c r="E1949" s="460" t="s">
        <v>1138</v>
      </c>
      <c r="F1949" s="460">
        <v>3</v>
      </c>
      <c r="G1949" s="460">
        <v>4</v>
      </c>
      <c r="H1949" s="461" t="s">
        <v>700</v>
      </c>
      <c r="I1949" s="461" t="s">
        <v>872</v>
      </c>
      <c r="J1949" s="461" t="s">
        <v>700</v>
      </c>
      <c r="K1949" s="594"/>
      <c r="L1949" s="594"/>
      <c r="M1949" s="352">
        <v>2000</v>
      </c>
      <c r="N1949" s="352" t="s">
        <v>703</v>
      </c>
      <c r="O1949" s="460">
        <v>2211</v>
      </c>
      <c r="P1949" s="460" t="s">
        <v>1883</v>
      </c>
      <c r="Q1949" s="460" t="s">
        <v>2527</v>
      </c>
      <c r="R1949" s="460">
        <v>2121</v>
      </c>
      <c r="S1949" s="460" t="s">
        <v>1138</v>
      </c>
      <c r="T1949" s="462">
        <v>1</v>
      </c>
      <c r="U1949" s="460" t="s">
        <v>1138</v>
      </c>
      <c r="V1949" s="475">
        <v>0</v>
      </c>
      <c r="W1949" s="463" t="s">
        <v>2503</v>
      </c>
      <c r="X1949" s="463" t="s">
        <v>2503</v>
      </c>
      <c r="Y1949" s="463" t="s">
        <v>2268</v>
      </c>
      <c r="Z1949" s="463"/>
      <c r="AA1949" s="463"/>
      <c r="AB1949" s="464">
        <v>8.915749879364725</v>
      </c>
      <c r="AC1949" s="465">
        <v>0.12222720964603237</v>
      </c>
      <c r="AD1949" s="465">
        <v>3.7407647609290951E-3</v>
      </c>
      <c r="AE1949" s="476">
        <v>5.349449927618835</v>
      </c>
      <c r="AF1949" s="467">
        <v>7.3336325787619422E-2</v>
      </c>
      <c r="AG1949" s="468">
        <v>2.4214674614962996E-3</v>
      </c>
      <c r="AH1949" s="218">
        <v>5.349449927618835</v>
      </c>
      <c r="AI1949" s="470">
        <v>7.3336325787619422E-2</v>
      </c>
      <c r="AJ1949" s="471">
        <v>1.8434535330526783E-3</v>
      </c>
      <c r="AK1949" s="218">
        <v>5.349449927618835</v>
      </c>
      <c r="AL1949" s="470">
        <v>7.3336325787619422E-2</v>
      </c>
      <c r="AM1949" s="471">
        <v>1.8434535330526783E-3</v>
      </c>
      <c r="AN1949" s="477">
        <v>0</v>
      </c>
      <c r="AO1949" s="473">
        <v>0</v>
      </c>
      <c r="AP1949" s="474">
        <v>0</v>
      </c>
      <c r="AQ1949" s="352"/>
      <c r="AR1949" s="352"/>
      <c r="AS1949" s="352"/>
      <c r="AT1949" s="352"/>
      <c r="AU1949" s="352"/>
      <c r="AV1949" s="352"/>
      <c r="AW1949" s="352" t="s">
        <v>254</v>
      </c>
    </row>
    <row r="1950" spans="2:49" x14ac:dyDescent="0.2">
      <c r="B1950" s="460" t="s">
        <v>2942</v>
      </c>
      <c r="C1950" s="460">
        <v>2211</v>
      </c>
      <c r="D1950" s="460" t="s">
        <v>2357</v>
      </c>
      <c r="E1950" s="460" t="s">
        <v>1139</v>
      </c>
      <c r="F1950" s="460">
        <v>4</v>
      </c>
      <c r="G1950" s="460">
        <v>4</v>
      </c>
      <c r="H1950" s="461" t="s">
        <v>700</v>
      </c>
      <c r="I1950" s="461" t="s">
        <v>872</v>
      </c>
      <c r="J1950" s="461" t="s">
        <v>700</v>
      </c>
      <c r="K1950" s="594"/>
      <c r="L1950" s="594"/>
      <c r="M1950" s="352">
        <v>2000</v>
      </c>
      <c r="N1950" s="352" t="s">
        <v>703</v>
      </c>
      <c r="O1950" s="460">
        <v>2211</v>
      </c>
      <c r="P1950" s="460" t="s">
        <v>1883</v>
      </c>
      <c r="Q1950" s="460" t="s">
        <v>2527</v>
      </c>
      <c r="R1950" s="460">
        <v>2121</v>
      </c>
      <c r="S1950" s="460" t="s">
        <v>1139</v>
      </c>
      <c r="T1950" s="462">
        <v>1</v>
      </c>
      <c r="U1950" s="460" t="s">
        <v>1139</v>
      </c>
      <c r="V1950" s="475">
        <v>0</v>
      </c>
      <c r="W1950" s="463" t="s">
        <v>2503</v>
      </c>
      <c r="X1950" s="463" t="s">
        <v>2503</v>
      </c>
      <c r="Y1950" s="463" t="s">
        <v>2268</v>
      </c>
      <c r="Z1950" s="463"/>
      <c r="AA1950" s="463"/>
      <c r="AB1950" s="464">
        <v>0</v>
      </c>
      <c r="AC1950" s="465">
        <v>0</v>
      </c>
      <c r="AD1950" s="465">
        <v>0</v>
      </c>
      <c r="AE1950" s="476">
        <v>0</v>
      </c>
      <c r="AF1950" s="467">
        <v>0</v>
      </c>
      <c r="AG1950" s="468">
        <v>0</v>
      </c>
      <c r="AH1950" s="218">
        <v>0</v>
      </c>
      <c r="AI1950" s="470">
        <v>0</v>
      </c>
      <c r="AJ1950" s="471">
        <v>0</v>
      </c>
      <c r="AK1950" s="218">
        <v>0</v>
      </c>
      <c r="AL1950" s="470">
        <v>0</v>
      </c>
      <c r="AM1950" s="471">
        <v>0</v>
      </c>
      <c r="AN1950" s="477">
        <v>0</v>
      </c>
      <c r="AO1950" s="473">
        <v>0</v>
      </c>
      <c r="AP1950" s="474">
        <v>0</v>
      </c>
      <c r="AQ1950" s="352"/>
      <c r="AR1950" s="352"/>
      <c r="AS1950" s="352"/>
      <c r="AT1950" s="352"/>
      <c r="AU1950" s="352"/>
      <c r="AV1950" s="352"/>
      <c r="AW1950" s="352" t="s">
        <v>254</v>
      </c>
    </row>
    <row r="1951" spans="2:49" x14ac:dyDescent="0.2">
      <c r="B1951" s="460" t="s">
        <v>2939</v>
      </c>
      <c r="C1951" s="460">
        <v>2211</v>
      </c>
      <c r="D1951" s="460" t="s">
        <v>2358</v>
      </c>
      <c r="E1951" s="460" t="s">
        <v>1136</v>
      </c>
      <c r="F1951" s="460">
        <v>1</v>
      </c>
      <c r="G1951" s="460">
        <v>4</v>
      </c>
      <c r="H1951" s="461" t="s">
        <v>712</v>
      </c>
      <c r="I1951" s="461" t="s">
        <v>713</v>
      </c>
      <c r="J1951" s="461" t="s">
        <v>712</v>
      </c>
      <c r="K1951" s="594"/>
      <c r="L1951" s="594"/>
      <c r="M1951" s="352">
        <v>2000</v>
      </c>
      <c r="N1951" s="352" t="s">
        <v>703</v>
      </c>
      <c r="O1951" s="460">
        <v>2211</v>
      </c>
      <c r="P1951" s="460" t="s">
        <v>1883</v>
      </c>
      <c r="Q1951" s="460" t="s">
        <v>2280</v>
      </c>
      <c r="R1951" s="460">
        <v>2121</v>
      </c>
      <c r="S1951" s="460" t="s">
        <v>1136</v>
      </c>
      <c r="T1951" s="462">
        <v>1</v>
      </c>
      <c r="U1951" s="460" t="s">
        <v>1136</v>
      </c>
      <c r="V1951" s="475">
        <v>0</v>
      </c>
      <c r="W1951" s="463" t="s">
        <v>713</v>
      </c>
      <c r="X1951" s="463" t="s">
        <v>713</v>
      </c>
      <c r="Y1951" s="463" t="s">
        <v>713</v>
      </c>
      <c r="Z1951" s="463"/>
      <c r="AA1951" s="463"/>
      <c r="AB1951" s="464">
        <v>29.764006330074853</v>
      </c>
      <c r="AC1951" s="465">
        <v>0.8611532864322603</v>
      </c>
      <c r="AD1951" s="465">
        <v>1.9615582653434763E-4</v>
      </c>
      <c r="AE1951" s="476">
        <v>31.259824464228423</v>
      </c>
      <c r="AF1951" s="467">
        <v>0.90443135484302184</v>
      </c>
      <c r="AG1951" s="468">
        <v>2.0597561151058022E-4</v>
      </c>
      <c r="AH1951" s="218">
        <v>24.034712153769288</v>
      </c>
      <c r="AI1951" s="470">
        <v>0.69538929437594166</v>
      </c>
      <c r="AJ1951" s="471">
        <v>1.5997780874395256E-4</v>
      </c>
      <c r="AK1951" s="218">
        <v>24.034712153769288</v>
      </c>
      <c r="AL1951" s="470">
        <v>0.69538929437594166</v>
      </c>
      <c r="AM1951" s="471">
        <v>1.5997780874395256E-4</v>
      </c>
      <c r="AN1951" s="477">
        <v>24.034712153769288</v>
      </c>
      <c r="AO1951" s="473">
        <v>0.69538929437594166</v>
      </c>
      <c r="AP1951" s="474">
        <v>1.5971750250929888E-4</v>
      </c>
      <c r="AQ1951" s="352"/>
      <c r="AR1951" s="352"/>
      <c r="AS1951" s="352"/>
      <c r="AT1951" s="352"/>
      <c r="AU1951" s="352"/>
      <c r="AV1951" s="352"/>
      <c r="AW1951" s="352" t="s">
        <v>254</v>
      </c>
    </row>
    <row r="1952" spans="2:49" x14ac:dyDescent="0.2">
      <c r="B1952" s="460" t="s">
        <v>2940</v>
      </c>
      <c r="C1952" s="460">
        <v>2211</v>
      </c>
      <c r="D1952" s="460" t="s">
        <v>2359</v>
      </c>
      <c r="E1952" s="460" t="s">
        <v>1137</v>
      </c>
      <c r="F1952" s="460">
        <v>2</v>
      </c>
      <c r="G1952" s="460">
        <v>4</v>
      </c>
      <c r="H1952" s="461" t="s">
        <v>712</v>
      </c>
      <c r="I1952" s="461" t="s">
        <v>713</v>
      </c>
      <c r="J1952" s="461" t="s">
        <v>712</v>
      </c>
      <c r="K1952" s="594"/>
      <c r="L1952" s="594"/>
      <c r="M1952" s="352">
        <v>2000</v>
      </c>
      <c r="N1952" s="352" t="s">
        <v>703</v>
      </c>
      <c r="O1952" s="460">
        <v>2211</v>
      </c>
      <c r="P1952" s="460" t="s">
        <v>1883</v>
      </c>
      <c r="Q1952" s="460" t="s">
        <v>2280</v>
      </c>
      <c r="R1952" s="460">
        <v>2121</v>
      </c>
      <c r="S1952" s="460" t="s">
        <v>1137</v>
      </c>
      <c r="T1952" s="462">
        <v>1</v>
      </c>
      <c r="U1952" s="460" t="s">
        <v>1137</v>
      </c>
      <c r="V1952" s="475">
        <v>0</v>
      </c>
      <c r="W1952" s="463" t="s">
        <v>713</v>
      </c>
      <c r="X1952" s="463" t="s">
        <v>713</v>
      </c>
      <c r="Y1952" s="463" t="s">
        <v>713</v>
      </c>
      <c r="Z1952" s="463"/>
      <c r="AA1952" s="463"/>
      <c r="AB1952" s="464">
        <v>90.963558960109125</v>
      </c>
      <c r="AC1952" s="465">
        <v>0.83892585024197608</v>
      </c>
      <c r="AD1952" s="465">
        <v>5.2605480947876199E-4</v>
      </c>
      <c r="AE1952" s="476">
        <v>97.864244319219651</v>
      </c>
      <c r="AF1952" s="467">
        <v>0.90256851548425088</v>
      </c>
      <c r="AG1952" s="468">
        <v>5.6492393175986105E-4</v>
      </c>
      <c r="AH1952" s="218">
        <v>85.65828250422787</v>
      </c>
      <c r="AI1952" s="470">
        <v>0.78999709665757945</v>
      </c>
      <c r="AJ1952" s="471">
        <v>4.9681103873034228E-4</v>
      </c>
      <c r="AK1952" s="218">
        <v>85.65828250422787</v>
      </c>
      <c r="AL1952" s="470">
        <v>0.78999709665757945</v>
      </c>
      <c r="AM1952" s="471">
        <v>4.9681103873034228E-4</v>
      </c>
      <c r="AN1952" s="477">
        <v>85.65828250422787</v>
      </c>
      <c r="AO1952" s="473">
        <v>0.78999709665757945</v>
      </c>
      <c r="AP1952" s="474">
        <v>4.964010983543527E-4</v>
      </c>
      <c r="AQ1952" s="352"/>
      <c r="AR1952" s="352"/>
      <c r="AS1952" s="352"/>
      <c r="AT1952" s="352"/>
      <c r="AU1952" s="352"/>
      <c r="AV1952" s="352"/>
      <c r="AW1952" s="352" t="s">
        <v>254</v>
      </c>
    </row>
    <row r="1953" spans="2:49" x14ac:dyDescent="0.2">
      <c r="B1953" s="460" t="s">
        <v>2941</v>
      </c>
      <c r="C1953" s="460">
        <v>2211</v>
      </c>
      <c r="D1953" s="460" t="s">
        <v>2360</v>
      </c>
      <c r="E1953" s="460" t="s">
        <v>1138</v>
      </c>
      <c r="F1953" s="460">
        <v>3</v>
      </c>
      <c r="G1953" s="460">
        <v>4</v>
      </c>
      <c r="H1953" s="461" t="s">
        <v>712</v>
      </c>
      <c r="I1953" s="461" t="s">
        <v>713</v>
      </c>
      <c r="J1953" s="461" t="s">
        <v>712</v>
      </c>
      <c r="K1953" s="594"/>
      <c r="L1953" s="594"/>
      <c r="M1953" s="352">
        <v>2000</v>
      </c>
      <c r="N1953" s="352" t="s">
        <v>703</v>
      </c>
      <c r="O1953" s="460">
        <v>2211</v>
      </c>
      <c r="P1953" s="460" t="s">
        <v>1883</v>
      </c>
      <c r="Q1953" s="460" t="s">
        <v>2280</v>
      </c>
      <c r="R1953" s="460">
        <v>2121</v>
      </c>
      <c r="S1953" s="460" t="s">
        <v>1138</v>
      </c>
      <c r="T1953" s="462">
        <v>1</v>
      </c>
      <c r="U1953" s="460" t="s">
        <v>1138</v>
      </c>
      <c r="V1953" s="475">
        <v>0</v>
      </c>
      <c r="W1953" s="463" t="s">
        <v>713</v>
      </c>
      <c r="X1953" s="463" t="s">
        <v>713</v>
      </c>
      <c r="Y1953" s="463" t="s">
        <v>713</v>
      </c>
      <c r="Z1953" s="463"/>
      <c r="AA1953" s="463"/>
      <c r="AB1953" s="464">
        <v>63.50103335362666</v>
      </c>
      <c r="AC1953" s="465">
        <v>0.87054417423904396</v>
      </c>
      <c r="AD1953" s="465">
        <v>7.9246411044257424E-4</v>
      </c>
      <c r="AE1953" s="476">
        <v>67.067333305372543</v>
      </c>
      <c r="AF1953" s="467">
        <v>0.91943505809745685</v>
      </c>
      <c r="AG1953" s="468">
        <v>8.3515407278276675E-4</v>
      </c>
      <c r="AH1953" s="218">
        <v>67.067333305372543</v>
      </c>
      <c r="AI1953" s="470">
        <v>0.91943505809745685</v>
      </c>
      <c r="AJ1953" s="471">
        <v>8.4494656559094372E-4</v>
      </c>
      <c r="AK1953" s="218">
        <v>67.067333305372543</v>
      </c>
      <c r="AL1953" s="470">
        <v>0.91943505809745685</v>
      </c>
      <c r="AM1953" s="471">
        <v>8.4494656559094372E-4</v>
      </c>
      <c r="AN1953" s="477">
        <v>68.850483281245488</v>
      </c>
      <c r="AO1953" s="473">
        <v>0.94388050002666335</v>
      </c>
      <c r="AP1953" s="474">
        <v>8.6734617609942981E-4</v>
      </c>
      <c r="AQ1953" s="352"/>
      <c r="AR1953" s="352"/>
      <c r="AS1953" s="352"/>
      <c r="AT1953" s="352"/>
      <c r="AU1953" s="352"/>
      <c r="AV1953" s="352"/>
      <c r="AW1953" s="352" t="s">
        <v>254</v>
      </c>
    </row>
    <row r="1954" spans="2:49" x14ac:dyDescent="0.2">
      <c r="B1954" s="460" t="s">
        <v>2942</v>
      </c>
      <c r="C1954" s="460">
        <v>2211</v>
      </c>
      <c r="D1954" s="460" t="s">
        <v>2361</v>
      </c>
      <c r="E1954" s="460" t="s">
        <v>1139</v>
      </c>
      <c r="F1954" s="460">
        <v>4</v>
      </c>
      <c r="G1954" s="460">
        <v>4</v>
      </c>
      <c r="H1954" s="461" t="s">
        <v>712</v>
      </c>
      <c r="I1954" s="461" t="s">
        <v>713</v>
      </c>
      <c r="J1954" s="461" t="s">
        <v>712</v>
      </c>
      <c r="K1954" s="594"/>
      <c r="L1954" s="594"/>
      <c r="M1954" s="352">
        <v>2000</v>
      </c>
      <c r="N1954" s="352" t="s">
        <v>703</v>
      </c>
      <c r="O1954" s="460">
        <v>2211</v>
      </c>
      <c r="P1954" s="460" t="s">
        <v>1883</v>
      </c>
      <c r="Q1954" s="460" t="s">
        <v>2280</v>
      </c>
      <c r="R1954" s="460">
        <v>2121</v>
      </c>
      <c r="S1954" s="460" t="s">
        <v>1139</v>
      </c>
      <c r="T1954" s="462">
        <v>1</v>
      </c>
      <c r="U1954" s="460" t="s">
        <v>1139</v>
      </c>
      <c r="V1954" s="475">
        <v>0</v>
      </c>
      <c r="W1954" s="463" t="s">
        <v>713</v>
      </c>
      <c r="X1954" s="463" t="s">
        <v>713</v>
      </c>
      <c r="Y1954" s="463" t="s">
        <v>713</v>
      </c>
      <c r="Z1954" s="463"/>
      <c r="AA1954" s="463"/>
      <c r="AB1954" s="464">
        <v>80.256783073652542</v>
      </c>
      <c r="AC1954" s="465">
        <v>0.86495344244949546</v>
      </c>
      <c r="AD1954" s="465">
        <v>8.8862198921345966E-4</v>
      </c>
      <c r="AE1954" s="476">
        <v>80.256783073652542</v>
      </c>
      <c r="AF1954" s="467">
        <v>0.86495344244949535</v>
      </c>
      <c r="AG1954" s="468">
        <v>8.8862198921345966E-4</v>
      </c>
      <c r="AH1954" s="218">
        <v>80.256783073652542</v>
      </c>
      <c r="AI1954" s="470">
        <v>0.86495344244949535</v>
      </c>
      <c r="AJ1954" s="471">
        <v>9.0773434409810558E-4</v>
      </c>
      <c r="AK1954" s="218">
        <v>80.256783073652542</v>
      </c>
      <c r="AL1954" s="470">
        <v>0.86495344244949535</v>
      </c>
      <c r="AM1954" s="471">
        <v>9.0773434409810558E-4</v>
      </c>
      <c r="AN1954" s="477">
        <v>80.256783073652542</v>
      </c>
      <c r="AO1954" s="473">
        <v>0.86495344244949535</v>
      </c>
      <c r="AP1954" s="474">
        <v>9.0773434409810558E-4</v>
      </c>
      <c r="AQ1954" s="352"/>
      <c r="AR1954" s="352"/>
      <c r="AS1954" s="352"/>
      <c r="AT1954" s="352"/>
      <c r="AU1954" s="352"/>
      <c r="AV1954" s="352"/>
      <c r="AW1954" s="352" t="s">
        <v>254</v>
      </c>
    </row>
    <row r="1955" spans="2:49" x14ac:dyDescent="0.2">
      <c r="B1955" s="460" t="s">
        <v>2939</v>
      </c>
      <c r="C1955" s="460">
        <v>2211</v>
      </c>
      <c r="D1955" s="460" t="s">
        <v>2362</v>
      </c>
      <c r="E1955" s="460" t="s">
        <v>1136</v>
      </c>
      <c r="F1955" s="460">
        <v>1</v>
      </c>
      <c r="G1955" s="460">
        <v>4</v>
      </c>
      <c r="H1955" s="461" t="s">
        <v>746</v>
      </c>
      <c r="I1955" s="461" t="s">
        <v>762</v>
      </c>
      <c r="J1955" s="461" t="s">
        <v>700</v>
      </c>
      <c r="K1955" s="594"/>
      <c r="L1955" s="594"/>
      <c r="M1955" s="352">
        <v>2000</v>
      </c>
      <c r="N1955" s="352" t="s">
        <v>703</v>
      </c>
      <c r="O1955" s="460">
        <v>2211</v>
      </c>
      <c r="P1955" s="460" t="s">
        <v>1883</v>
      </c>
      <c r="Q1955" s="460" t="s">
        <v>2531</v>
      </c>
      <c r="R1955" s="460">
        <v>2121</v>
      </c>
      <c r="S1955" s="460" t="s">
        <v>1136</v>
      </c>
      <c r="T1955" s="462">
        <v>1</v>
      </c>
      <c r="U1955" s="460" t="s">
        <v>1136</v>
      </c>
      <c r="V1955" s="475">
        <v>0</v>
      </c>
      <c r="W1955" s="463" t="s">
        <v>2268</v>
      </c>
      <c r="X1955" s="463" t="s">
        <v>2268</v>
      </c>
      <c r="Y1955" s="463" t="s">
        <v>2290</v>
      </c>
      <c r="Z1955" s="463"/>
      <c r="AA1955" s="463"/>
      <c r="AB1955" s="464">
        <v>0</v>
      </c>
      <c r="AC1955" s="465">
        <v>0</v>
      </c>
      <c r="AD1955" s="465">
        <v>0</v>
      </c>
      <c r="AE1955" s="476">
        <v>0</v>
      </c>
      <c r="AF1955" s="467">
        <v>0</v>
      </c>
      <c r="AG1955" s="468">
        <v>0</v>
      </c>
      <c r="AH1955" s="218">
        <v>0</v>
      </c>
      <c r="AI1955" s="470">
        <v>0</v>
      </c>
      <c r="AJ1955" s="471">
        <v>0</v>
      </c>
      <c r="AK1955" s="218">
        <v>0</v>
      </c>
      <c r="AL1955" s="470">
        <v>0</v>
      </c>
      <c r="AM1955" s="471">
        <v>0</v>
      </c>
      <c r="AN1955" s="477">
        <v>0</v>
      </c>
      <c r="AO1955" s="473">
        <v>0</v>
      </c>
      <c r="AP1955" s="474">
        <v>0</v>
      </c>
      <c r="AQ1955" s="352"/>
      <c r="AR1955" s="352"/>
      <c r="AS1955" s="352"/>
      <c r="AT1955" s="352"/>
      <c r="AU1955" s="352"/>
      <c r="AV1955" s="352"/>
      <c r="AW1955" s="352" t="s">
        <v>254</v>
      </c>
    </row>
    <row r="1956" spans="2:49" x14ac:dyDescent="0.2">
      <c r="B1956" s="460" t="s">
        <v>2940</v>
      </c>
      <c r="C1956" s="460">
        <v>2211</v>
      </c>
      <c r="D1956" s="460" t="s">
        <v>2363</v>
      </c>
      <c r="E1956" s="460" t="s">
        <v>1137</v>
      </c>
      <c r="F1956" s="460">
        <v>2</v>
      </c>
      <c r="G1956" s="460">
        <v>4</v>
      </c>
      <c r="H1956" s="461" t="s">
        <v>746</v>
      </c>
      <c r="I1956" s="461" t="s">
        <v>762</v>
      </c>
      <c r="J1956" s="461" t="s">
        <v>700</v>
      </c>
      <c r="K1956" s="594"/>
      <c r="L1956" s="594"/>
      <c r="M1956" s="352">
        <v>2000</v>
      </c>
      <c r="N1956" s="352" t="s">
        <v>703</v>
      </c>
      <c r="O1956" s="460">
        <v>2211</v>
      </c>
      <c r="P1956" s="460" t="s">
        <v>1883</v>
      </c>
      <c r="Q1956" s="460" t="s">
        <v>2531</v>
      </c>
      <c r="R1956" s="460">
        <v>2121</v>
      </c>
      <c r="S1956" s="460" t="s">
        <v>1137</v>
      </c>
      <c r="T1956" s="462">
        <v>1</v>
      </c>
      <c r="U1956" s="460" t="s">
        <v>1137</v>
      </c>
      <c r="V1956" s="475">
        <v>0</v>
      </c>
      <c r="W1956" s="463" t="s">
        <v>2268</v>
      </c>
      <c r="X1956" s="463" t="s">
        <v>2268</v>
      </c>
      <c r="Y1956" s="463" t="s">
        <v>2290</v>
      </c>
      <c r="Z1956" s="463"/>
      <c r="AA1956" s="463"/>
      <c r="AB1956" s="464">
        <v>0</v>
      </c>
      <c r="AC1956" s="465">
        <v>0</v>
      </c>
      <c r="AD1956" s="465">
        <v>0</v>
      </c>
      <c r="AE1956" s="476">
        <v>0</v>
      </c>
      <c r="AF1956" s="467">
        <v>0</v>
      </c>
      <c r="AG1956" s="468">
        <v>0</v>
      </c>
      <c r="AH1956" s="218">
        <v>0</v>
      </c>
      <c r="AI1956" s="470">
        <v>0</v>
      </c>
      <c r="AJ1956" s="471">
        <v>0</v>
      </c>
      <c r="AK1956" s="218">
        <v>0</v>
      </c>
      <c r="AL1956" s="470">
        <v>0</v>
      </c>
      <c r="AM1956" s="471">
        <v>0</v>
      </c>
      <c r="AN1956" s="477">
        <v>0</v>
      </c>
      <c r="AO1956" s="473">
        <v>0</v>
      </c>
      <c r="AP1956" s="474">
        <v>0</v>
      </c>
      <c r="AQ1956" s="352"/>
      <c r="AR1956" s="352"/>
      <c r="AS1956" s="352"/>
      <c r="AT1956" s="352"/>
      <c r="AU1956" s="352"/>
      <c r="AV1956" s="352"/>
      <c r="AW1956" s="352" t="s">
        <v>254</v>
      </c>
    </row>
    <row r="1957" spans="2:49" x14ac:dyDescent="0.2">
      <c r="B1957" s="460" t="s">
        <v>2941</v>
      </c>
      <c r="C1957" s="460">
        <v>2211</v>
      </c>
      <c r="D1957" s="460" t="s">
        <v>2364</v>
      </c>
      <c r="E1957" s="460" t="s">
        <v>1138</v>
      </c>
      <c r="F1957" s="460">
        <v>3</v>
      </c>
      <c r="G1957" s="460">
        <v>4</v>
      </c>
      <c r="H1957" s="461" t="s">
        <v>746</v>
      </c>
      <c r="I1957" s="461" t="s">
        <v>762</v>
      </c>
      <c r="J1957" s="461" t="s">
        <v>700</v>
      </c>
      <c r="K1957" s="594"/>
      <c r="L1957" s="594"/>
      <c r="M1957" s="352">
        <v>2000</v>
      </c>
      <c r="N1957" s="352" t="s">
        <v>703</v>
      </c>
      <c r="O1957" s="460">
        <v>2211</v>
      </c>
      <c r="P1957" s="460" t="s">
        <v>1883</v>
      </c>
      <c r="Q1957" s="460" t="s">
        <v>2531</v>
      </c>
      <c r="R1957" s="460">
        <v>2121</v>
      </c>
      <c r="S1957" s="460" t="s">
        <v>1138</v>
      </c>
      <c r="T1957" s="462">
        <v>1</v>
      </c>
      <c r="U1957" s="460" t="s">
        <v>1138</v>
      </c>
      <c r="V1957" s="475">
        <v>0</v>
      </c>
      <c r="W1957" s="463" t="s">
        <v>2268</v>
      </c>
      <c r="X1957" s="463" t="s">
        <v>2268</v>
      </c>
      <c r="Y1957" s="463" t="s">
        <v>2290</v>
      </c>
      <c r="Z1957" s="463"/>
      <c r="AA1957" s="463"/>
      <c r="AB1957" s="464">
        <v>0</v>
      </c>
      <c r="AC1957" s="465">
        <v>0</v>
      </c>
      <c r="AD1957" s="465">
        <v>0</v>
      </c>
      <c r="AE1957" s="476">
        <v>0</v>
      </c>
      <c r="AF1957" s="467">
        <v>0</v>
      </c>
      <c r="AG1957" s="468">
        <v>0</v>
      </c>
      <c r="AH1957" s="218">
        <v>0</v>
      </c>
      <c r="AI1957" s="470">
        <v>0</v>
      </c>
      <c r="AJ1957" s="471">
        <v>0</v>
      </c>
      <c r="AK1957" s="218">
        <v>0</v>
      </c>
      <c r="AL1957" s="470">
        <v>0</v>
      </c>
      <c r="AM1957" s="471">
        <v>0</v>
      </c>
      <c r="AN1957" s="477">
        <v>0</v>
      </c>
      <c r="AO1957" s="473">
        <v>0</v>
      </c>
      <c r="AP1957" s="474">
        <v>0</v>
      </c>
      <c r="AQ1957" s="352"/>
      <c r="AR1957" s="352"/>
      <c r="AS1957" s="352"/>
      <c r="AT1957" s="352"/>
      <c r="AU1957" s="352"/>
      <c r="AV1957" s="352"/>
      <c r="AW1957" s="352" t="s">
        <v>254</v>
      </c>
    </row>
    <row r="1958" spans="2:49" x14ac:dyDescent="0.2">
      <c r="B1958" s="460" t="s">
        <v>2942</v>
      </c>
      <c r="C1958" s="460">
        <v>2211</v>
      </c>
      <c r="D1958" s="460" t="s">
        <v>2365</v>
      </c>
      <c r="E1958" s="460" t="s">
        <v>1139</v>
      </c>
      <c r="F1958" s="460">
        <v>4</v>
      </c>
      <c r="G1958" s="460">
        <v>4</v>
      </c>
      <c r="H1958" s="461" t="s">
        <v>746</v>
      </c>
      <c r="I1958" s="461" t="s">
        <v>762</v>
      </c>
      <c r="J1958" s="461" t="s">
        <v>700</v>
      </c>
      <c r="K1958" s="594"/>
      <c r="L1958" s="594"/>
      <c r="M1958" s="352">
        <v>2000</v>
      </c>
      <c r="N1958" s="352" t="s">
        <v>703</v>
      </c>
      <c r="O1958" s="460">
        <v>2211</v>
      </c>
      <c r="P1958" s="460" t="s">
        <v>1883</v>
      </c>
      <c r="Q1958" s="460" t="s">
        <v>2531</v>
      </c>
      <c r="R1958" s="460">
        <v>2121</v>
      </c>
      <c r="S1958" s="460" t="s">
        <v>1139</v>
      </c>
      <c r="T1958" s="462">
        <v>1</v>
      </c>
      <c r="U1958" s="460" t="s">
        <v>1139</v>
      </c>
      <c r="V1958" s="475">
        <v>0</v>
      </c>
      <c r="W1958" s="463" t="s">
        <v>2268</v>
      </c>
      <c r="X1958" s="463" t="s">
        <v>2268</v>
      </c>
      <c r="Y1958" s="463" t="s">
        <v>2290</v>
      </c>
      <c r="Z1958" s="463"/>
      <c r="AA1958" s="463"/>
      <c r="AB1958" s="464">
        <v>0</v>
      </c>
      <c r="AC1958" s="465">
        <v>0</v>
      </c>
      <c r="AD1958" s="465">
        <v>0</v>
      </c>
      <c r="AE1958" s="476">
        <v>0</v>
      </c>
      <c r="AF1958" s="467">
        <v>0</v>
      </c>
      <c r="AG1958" s="468">
        <v>0</v>
      </c>
      <c r="AH1958" s="218">
        <v>0</v>
      </c>
      <c r="AI1958" s="470">
        <v>0</v>
      </c>
      <c r="AJ1958" s="471">
        <v>0</v>
      </c>
      <c r="AK1958" s="218">
        <v>0</v>
      </c>
      <c r="AL1958" s="470">
        <v>0</v>
      </c>
      <c r="AM1958" s="471">
        <v>0</v>
      </c>
      <c r="AN1958" s="477">
        <v>0</v>
      </c>
      <c r="AO1958" s="473">
        <v>0</v>
      </c>
      <c r="AP1958" s="474">
        <v>0</v>
      </c>
      <c r="AQ1958" s="352"/>
      <c r="AR1958" s="352"/>
      <c r="AS1958" s="352"/>
      <c r="AT1958" s="352"/>
      <c r="AU1958" s="352"/>
      <c r="AV1958" s="352"/>
      <c r="AW1958" s="352" t="s">
        <v>254</v>
      </c>
    </row>
    <row r="1959" spans="2:49" x14ac:dyDescent="0.2">
      <c r="B1959" s="460" t="s">
        <v>2939</v>
      </c>
      <c r="C1959" s="460">
        <v>2211</v>
      </c>
      <c r="D1959" s="460" t="s">
        <v>2366</v>
      </c>
      <c r="E1959" s="460" t="s">
        <v>1136</v>
      </c>
      <c r="F1959" s="460">
        <v>1</v>
      </c>
      <c r="G1959" s="460">
        <v>4</v>
      </c>
      <c r="H1959" s="461" t="s">
        <v>748</v>
      </c>
      <c r="I1959" s="461" t="s">
        <v>765</v>
      </c>
      <c r="J1959" s="461" t="s">
        <v>700</v>
      </c>
      <c r="K1959" s="594"/>
      <c r="L1959" s="594"/>
      <c r="M1959" s="352">
        <v>2000</v>
      </c>
      <c r="N1959" s="352" t="s">
        <v>703</v>
      </c>
      <c r="O1959" s="460">
        <v>2211</v>
      </c>
      <c r="P1959" s="460" t="s">
        <v>1883</v>
      </c>
      <c r="Q1959" s="460" t="s">
        <v>2527</v>
      </c>
      <c r="R1959" s="460">
        <v>2121</v>
      </c>
      <c r="S1959" s="460" t="s">
        <v>1136</v>
      </c>
      <c r="T1959" s="462">
        <v>1</v>
      </c>
      <c r="U1959" s="460" t="s">
        <v>1136</v>
      </c>
      <c r="V1959" s="475">
        <v>0</v>
      </c>
      <c r="W1959" s="463" t="s">
        <v>2268</v>
      </c>
      <c r="X1959" s="463" t="s">
        <v>2268</v>
      </c>
      <c r="Y1959" s="463" t="s">
        <v>2267</v>
      </c>
      <c r="Z1959" s="463"/>
      <c r="AA1959" s="463"/>
      <c r="AB1959" s="464">
        <v>0</v>
      </c>
      <c r="AC1959" s="465">
        <v>0</v>
      </c>
      <c r="AD1959" s="465">
        <v>0</v>
      </c>
      <c r="AE1959" s="476">
        <v>0</v>
      </c>
      <c r="AF1959" s="467">
        <v>0</v>
      </c>
      <c r="AG1959" s="468">
        <v>0</v>
      </c>
      <c r="AH1959" s="218">
        <v>0</v>
      </c>
      <c r="AI1959" s="470">
        <v>0</v>
      </c>
      <c r="AJ1959" s="471">
        <v>0</v>
      </c>
      <c r="AK1959" s="218">
        <v>0</v>
      </c>
      <c r="AL1959" s="470">
        <v>0</v>
      </c>
      <c r="AM1959" s="471">
        <v>0</v>
      </c>
      <c r="AN1959" s="477">
        <v>7.5337392441937023</v>
      </c>
      <c r="AO1959" s="473">
        <v>0.21797147323899202</v>
      </c>
      <c r="AP1959" s="474">
        <v>9.2563110372819273E-3</v>
      </c>
      <c r="AQ1959" s="352"/>
      <c r="AR1959" s="352"/>
      <c r="AS1959" s="352"/>
      <c r="AT1959" s="352"/>
      <c r="AU1959" s="352"/>
      <c r="AV1959" s="352"/>
      <c r="AW1959" s="352" t="s">
        <v>254</v>
      </c>
    </row>
    <row r="1960" spans="2:49" x14ac:dyDescent="0.2">
      <c r="B1960" s="460" t="s">
        <v>2940</v>
      </c>
      <c r="C1960" s="460">
        <v>2211</v>
      </c>
      <c r="D1960" s="460" t="s">
        <v>2367</v>
      </c>
      <c r="E1960" s="460" t="s">
        <v>1137</v>
      </c>
      <c r="F1960" s="460">
        <v>2</v>
      </c>
      <c r="G1960" s="460">
        <v>4</v>
      </c>
      <c r="H1960" s="461" t="s">
        <v>748</v>
      </c>
      <c r="I1960" s="461" t="s">
        <v>765</v>
      </c>
      <c r="J1960" s="461" t="s">
        <v>700</v>
      </c>
      <c r="K1960" s="594"/>
      <c r="L1960" s="594"/>
      <c r="M1960" s="352">
        <v>2000</v>
      </c>
      <c r="N1960" s="352" t="s">
        <v>703</v>
      </c>
      <c r="O1960" s="460">
        <v>2211</v>
      </c>
      <c r="P1960" s="460" t="s">
        <v>1883</v>
      </c>
      <c r="Q1960" s="460" t="s">
        <v>2527</v>
      </c>
      <c r="R1960" s="460">
        <v>2121</v>
      </c>
      <c r="S1960" s="460" t="s">
        <v>1137</v>
      </c>
      <c r="T1960" s="462">
        <v>1</v>
      </c>
      <c r="U1960" s="460" t="s">
        <v>1137</v>
      </c>
      <c r="V1960" s="475">
        <v>0</v>
      </c>
      <c r="W1960" s="463" t="s">
        <v>2268</v>
      </c>
      <c r="X1960" s="463" t="s">
        <v>2268</v>
      </c>
      <c r="Y1960" s="463" t="s">
        <v>2267</v>
      </c>
      <c r="Z1960" s="463"/>
      <c r="AA1960" s="463"/>
      <c r="AB1960" s="464">
        <v>0</v>
      </c>
      <c r="AC1960" s="465">
        <v>0</v>
      </c>
      <c r="AD1960" s="465">
        <v>0</v>
      </c>
      <c r="AE1960" s="476">
        <v>0</v>
      </c>
      <c r="AF1960" s="467">
        <v>0</v>
      </c>
      <c r="AG1960" s="468">
        <v>0</v>
      </c>
      <c r="AH1960" s="218">
        <v>0</v>
      </c>
      <c r="AI1960" s="470">
        <v>0</v>
      </c>
      <c r="AJ1960" s="471">
        <v>0</v>
      </c>
      <c r="AK1960" s="218">
        <v>0</v>
      </c>
      <c r="AL1960" s="470">
        <v>0</v>
      </c>
      <c r="AM1960" s="471">
        <v>0</v>
      </c>
      <c r="AN1960" s="477">
        <v>21.534287940786371</v>
      </c>
      <c r="AO1960" s="473">
        <v>0.19860338608785305</v>
      </c>
      <c r="AP1960" s="474">
        <v>2.0742064873929881E-2</v>
      </c>
      <c r="AQ1960" s="352"/>
      <c r="AR1960" s="352"/>
      <c r="AS1960" s="352"/>
      <c r="AT1960" s="352"/>
      <c r="AU1960" s="352"/>
      <c r="AV1960" s="352"/>
      <c r="AW1960" s="352" t="s">
        <v>254</v>
      </c>
    </row>
    <row r="1961" spans="2:49" x14ac:dyDescent="0.2">
      <c r="B1961" s="460" t="s">
        <v>2941</v>
      </c>
      <c r="C1961" s="460">
        <v>2211</v>
      </c>
      <c r="D1961" s="460" t="s">
        <v>2368</v>
      </c>
      <c r="E1961" s="460" t="s">
        <v>1138</v>
      </c>
      <c r="F1961" s="460">
        <v>3</v>
      </c>
      <c r="G1961" s="460">
        <v>4</v>
      </c>
      <c r="H1961" s="461" t="s">
        <v>748</v>
      </c>
      <c r="I1961" s="461" t="s">
        <v>765</v>
      </c>
      <c r="J1961" s="461" t="s">
        <v>700</v>
      </c>
      <c r="K1961" s="594"/>
      <c r="L1961" s="594"/>
      <c r="M1961" s="352">
        <v>2000</v>
      </c>
      <c r="N1961" s="352" t="s">
        <v>703</v>
      </c>
      <c r="O1961" s="460">
        <v>2211</v>
      </c>
      <c r="P1961" s="460" t="s">
        <v>1883</v>
      </c>
      <c r="Q1961" s="460" t="s">
        <v>2527</v>
      </c>
      <c r="R1961" s="460">
        <v>2121</v>
      </c>
      <c r="S1961" s="460" t="s">
        <v>1138</v>
      </c>
      <c r="T1961" s="462">
        <v>1</v>
      </c>
      <c r="U1961" s="460" t="s">
        <v>1138</v>
      </c>
      <c r="V1961" s="475">
        <v>0</v>
      </c>
      <c r="W1961" s="463" t="s">
        <v>2268</v>
      </c>
      <c r="X1961" s="463" t="s">
        <v>2268</v>
      </c>
      <c r="Y1961" s="463" t="s">
        <v>2503</v>
      </c>
      <c r="Z1961" s="463"/>
      <c r="AA1961" s="463"/>
      <c r="AB1961" s="464">
        <v>0</v>
      </c>
      <c r="AC1961" s="465">
        <v>0</v>
      </c>
      <c r="AD1961" s="465">
        <v>0</v>
      </c>
      <c r="AE1961" s="476">
        <v>0</v>
      </c>
      <c r="AF1961" s="467">
        <v>0</v>
      </c>
      <c r="AG1961" s="468">
        <v>0</v>
      </c>
      <c r="AH1961" s="218">
        <v>0</v>
      </c>
      <c r="AI1961" s="470">
        <v>0</v>
      </c>
      <c r="AJ1961" s="471">
        <v>0</v>
      </c>
      <c r="AK1961" s="218">
        <v>0</v>
      </c>
      <c r="AL1961" s="470">
        <v>0</v>
      </c>
      <c r="AM1961" s="471">
        <v>0</v>
      </c>
      <c r="AN1961" s="477">
        <v>3.56629995174589</v>
      </c>
      <c r="AO1961" s="473">
        <v>4.8890883858412948E-2</v>
      </c>
      <c r="AP1961" s="474">
        <v>3.7002162825835357E-3</v>
      </c>
      <c r="AQ1961" s="352"/>
      <c r="AR1961" s="352"/>
      <c r="AS1961" s="352"/>
      <c r="AT1961" s="352"/>
      <c r="AU1961" s="352"/>
      <c r="AV1961" s="352"/>
      <c r="AW1961" s="352" t="s">
        <v>254</v>
      </c>
    </row>
    <row r="1962" spans="2:49" x14ac:dyDescent="0.2">
      <c r="B1962" s="460" t="s">
        <v>2942</v>
      </c>
      <c r="C1962" s="460">
        <v>2211</v>
      </c>
      <c r="D1962" s="460" t="s">
        <v>2369</v>
      </c>
      <c r="E1962" s="460" t="s">
        <v>1139</v>
      </c>
      <c r="F1962" s="460">
        <v>4</v>
      </c>
      <c r="G1962" s="460">
        <v>4</v>
      </c>
      <c r="H1962" s="461" t="s">
        <v>748</v>
      </c>
      <c r="I1962" s="461" t="s">
        <v>765</v>
      </c>
      <c r="J1962" s="461" t="s">
        <v>700</v>
      </c>
      <c r="K1962" s="594"/>
      <c r="L1962" s="594"/>
      <c r="M1962" s="352">
        <v>2000</v>
      </c>
      <c r="N1962" s="352" t="s">
        <v>703</v>
      </c>
      <c r="O1962" s="460">
        <v>2211</v>
      </c>
      <c r="P1962" s="460" t="s">
        <v>1883</v>
      </c>
      <c r="Q1962" s="460" t="s">
        <v>2527</v>
      </c>
      <c r="R1962" s="460">
        <v>2121</v>
      </c>
      <c r="S1962" s="460" t="s">
        <v>1139</v>
      </c>
      <c r="T1962" s="462">
        <v>1</v>
      </c>
      <c r="U1962" s="460" t="s">
        <v>1139</v>
      </c>
      <c r="V1962" s="475">
        <v>0</v>
      </c>
      <c r="W1962" s="463" t="s">
        <v>2268</v>
      </c>
      <c r="X1962" s="463" t="s">
        <v>2268</v>
      </c>
      <c r="Y1962" s="463" t="s">
        <v>2503</v>
      </c>
      <c r="Z1962" s="463"/>
      <c r="AA1962" s="463"/>
      <c r="AB1962" s="464">
        <v>0</v>
      </c>
      <c r="AC1962" s="465">
        <v>0</v>
      </c>
      <c r="AD1962" s="465">
        <v>0</v>
      </c>
      <c r="AE1962" s="476">
        <v>0</v>
      </c>
      <c r="AF1962" s="467">
        <v>0</v>
      </c>
      <c r="AG1962" s="468">
        <v>0</v>
      </c>
      <c r="AH1962" s="218">
        <v>0</v>
      </c>
      <c r="AI1962" s="470">
        <v>0</v>
      </c>
      <c r="AJ1962" s="471">
        <v>0</v>
      </c>
      <c r="AK1962" s="218">
        <v>0</v>
      </c>
      <c r="AL1962" s="470">
        <v>0</v>
      </c>
      <c r="AM1962" s="471">
        <v>0</v>
      </c>
      <c r="AN1962" s="477">
        <v>0</v>
      </c>
      <c r="AO1962" s="473">
        <v>0</v>
      </c>
      <c r="AP1962" s="474">
        <v>0</v>
      </c>
      <c r="AQ1962" s="352"/>
      <c r="AR1962" s="352"/>
      <c r="AS1962" s="352"/>
      <c r="AT1962" s="352"/>
      <c r="AU1962" s="352"/>
      <c r="AV1962" s="352"/>
      <c r="AW1962" s="352" t="s">
        <v>254</v>
      </c>
    </row>
    <row r="1963" spans="2:49" x14ac:dyDescent="0.2">
      <c r="B1963" s="460" t="s">
        <v>2939</v>
      </c>
      <c r="C1963" s="460">
        <v>2211</v>
      </c>
      <c r="D1963" s="460" t="s">
        <v>2370</v>
      </c>
      <c r="E1963" s="460" t="s">
        <v>1136</v>
      </c>
      <c r="F1963" s="460">
        <v>1</v>
      </c>
      <c r="G1963" s="460">
        <v>4</v>
      </c>
      <c r="H1963" s="461" t="s">
        <v>752</v>
      </c>
      <c r="I1963" s="461" t="s">
        <v>964</v>
      </c>
      <c r="J1963" s="461" t="s">
        <v>752</v>
      </c>
      <c r="K1963" s="594"/>
      <c r="L1963" s="594"/>
      <c r="M1963" s="352">
        <v>2000</v>
      </c>
      <c r="N1963" s="352" t="s">
        <v>703</v>
      </c>
      <c r="O1963" s="460">
        <v>2211</v>
      </c>
      <c r="P1963" s="460" t="s">
        <v>1883</v>
      </c>
      <c r="Q1963" s="460" t="s">
        <v>2527</v>
      </c>
      <c r="R1963" s="460">
        <v>2121</v>
      </c>
      <c r="S1963" s="460" t="s">
        <v>1136</v>
      </c>
      <c r="T1963" s="462">
        <v>1</v>
      </c>
      <c r="U1963" s="460" t="s">
        <v>1136</v>
      </c>
      <c r="V1963" s="475">
        <v>0</v>
      </c>
      <c r="W1963" s="463" t="s">
        <v>2267</v>
      </c>
      <c r="X1963" s="463" t="s">
        <v>2267</v>
      </c>
      <c r="Y1963" s="463" t="s">
        <v>2267</v>
      </c>
      <c r="Z1963" s="463"/>
      <c r="AA1963" s="463"/>
      <c r="AB1963" s="464">
        <v>1.0594080294249251</v>
      </c>
      <c r="AC1963" s="465">
        <v>3.0651542540835918E-2</v>
      </c>
      <c r="AD1963" s="465">
        <v>3.4307694084171556E-4</v>
      </c>
      <c r="AE1963" s="476">
        <v>1.0594080294249251</v>
      </c>
      <c r="AF1963" s="467">
        <v>3.0651542540835918E-2</v>
      </c>
      <c r="AG1963" s="468">
        <v>3.4307694084171556E-4</v>
      </c>
      <c r="AH1963" s="218">
        <v>2.9945082969207109</v>
      </c>
      <c r="AI1963" s="470">
        <v>8.663923238506635E-2</v>
      </c>
      <c r="AJ1963" s="471">
        <v>8.1868274929511071E-4</v>
      </c>
      <c r="AK1963" s="218">
        <v>2.9945082969207109</v>
      </c>
      <c r="AL1963" s="470">
        <v>8.663923238506635E-2</v>
      </c>
      <c r="AM1963" s="471">
        <v>8.1868274929511071E-4</v>
      </c>
      <c r="AN1963" s="477">
        <v>2.9945082969207109</v>
      </c>
      <c r="AO1963" s="473">
        <v>8.663923238506635E-2</v>
      </c>
      <c r="AP1963" s="474">
        <v>8.1868274929511071E-4</v>
      </c>
      <c r="AQ1963" s="352"/>
      <c r="AR1963" s="352"/>
      <c r="AS1963" s="352"/>
      <c r="AT1963" s="352"/>
      <c r="AU1963" s="352"/>
      <c r="AV1963" s="352"/>
      <c r="AW1963" s="352" t="s">
        <v>254</v>
      </c>
    </row>
    <row r="1964" spans="2:49" x14ac:dyDescent="0.2">
      <c r="B1964" s="460" t="s">
        <v>2940</v>
      </c>
      <c r="C1964" s="460">
        <v>2211</v>
      </c>
      <c r="D1964" s="460" t="s">
        <v>2371</v>
      </c>
      <c r="E1964" s="460" t="s">
        <v>1137</v>
      </c>
      <c r="F1964" s="460">
        <v>2</v>
      </c>
      <c r="G1964" s="460">
        <v>4</v>
      </c>
      <c r="H1964" s="461" t="s">
        <v>752</v>
      </c>
      <c r="I1964" s="461" t="s">
        <v>964</v>
      </c>
      <c r="J1964" s="461" t="s">
        <v>752</v>
      </c>
      <c r="K1964" s="594"/>
      <c r="L1964" s="594"/>
      <c r="M1964" s="352">
        <v>2000</v>
      </c>
      <c r="N1964" s="352" t="s">
        <v>703</v>
      </c>
      <c r="O1964" s="460">
        <v>2211</v>
      </c>
      <c r="P1964" s="460" t="s">
        <v>1883</v>
      </c>
      <c r="Q1964" s="460" t="s">
        <v>2527</v>
      </c>
      <c r="R1964" s="460">
        <v>2121</v>
      </c>
      <c r="S1964" s="460" t="s">
        <v>1137</v>
      </c>
      <c r="T1964" s="462">
        <v>1</v>
      </c>
      <c r="U1964" s="460" t="s">
        <v>1137</v>
      </c>
      <c r="V1964" s="475">
        <v>0</v>
      </c>
      <c r="W1964" s="463" t="s">
        <v>2267</v>
      </c>
      <c r="X1964" s="463" t="s">
        <v>2267</v>
      </c>
      <c r="Y1964" s="463" t="s">
        <v>2267</v>
      </c>
      <c r="Z1964" s="463"/>
      <c r="AA1964" s="463"/>
      <c r="AB1964" s="464">
        <v>0.21333183147409959</v>
      </c>
      <c r="AC1964" s="465">
        <v>1.9674866523370278E-3</v>
      </c>
      <c r="AD1964" s="465">
        <v>2.0874293643973063E-5</v>
      </c>
      <c r="AE1964" s="476">
        <v>0.21333183147409959</v>
      </c>
      <c r="AF1964" s="467">
        <v>1.9674866523370278E-3</v>
      </c>
      <c r="AG1964" s="468">
        <v>2.0874293643973063E-5</v>
      </c>
      <c r="AH1964" s="218">
        <v>1.2360337443452756</v>
      </c>
      <c r="AI1964" s="470">
        <v>1.1399517254567518E-2</v>
      </c>
      <c r="AJ1964" s="471">
        <v>1.1990469359170635E-4</v>
      </c>
      <c r="AK1964" s="218">
        <v>1.2360337443452756</v>
      </c>
      <c r="AL1964" s="470">
        <v>1.1399517254567518E-2</v>
      </c>
      <c r="AM1964" s="471">
        <v>1.1990469359170635E-4</v>
      </c>
      <c r="AN1964" s="477">
        <v>1.2360337443452756</v>
      </c>
      <c r="AO1964" s="473">
        <v>1.1399517254567518E-2</v>
      </c>
      <c r="AP1964" s="474">
        <v>1.1990469359170635E-4</v>
      </c>
      <c r="AQ1964" s="352"/>
      <c r="AR1964" s="352"/>
      <c r="AS1964" s="352"/>
      <c r="AT1964" s="352"/>
      <c r="AU1964" s="352"/>
      <c r="AV1964" s="352"/>
      <c r="AW1964" s="352" t="s">
        <v>254</v>
      </c>
    </row>
    <row r="1965" spans="2:49" x14ac:dyDescent="0.2">
      <c r="B1965" s="460" t="s">
        <v>2941</v>
      </c>
      <c r="C1965" s="460">
        <v>2211</v>
      </c>
      <c r="D1965" s="460" t="s">
        <v>2372</v>
      </c>
      <c r="E1965" s="460" t="s">
        <v>1138</v>
      </c>
      <c r="F1965" s="460">
        <v>3</v>
      </c>
      <c r="G1965" s="460">
        <v>4</v>
      </c>
      <c r="H1965" s="461" t="s">
        <v>752</v>
      </c>
      <c r="I1965" s="461" t="s">
        <v>964</v>
      </c>
      <c r="J1965" s="461" t="s">
        <v>752</v>
      </c>
      <c r="K1965" s="594"/>
      <c r="L1965" s="594"/>
      <c r="M1965" s="352">
        <v>2000</v>
      </c>
      <c r="N1965" s="352" t="s">
        <v>703</v>
      </c>
      <c r="O1965" s="460">
        <v>2211</v>
      </c>
      <c r="P1965" s="460" t="s">
        <v>1883</v>
      </c>
      <c r="Q1965" s="460" t="s">
        <v>2527</v>
      </c>
      <c r="R1965" s="460">
        <v>2121</v>
      </c>
      <c r="S1965" s="460" t="s">
        <v>1138</v>
      </c>
      <c r="T1965" s="462">
        <v>1</v>
      </c>
      <c r="U1965" s="460" t="s">
        <v>1138</v>
      </c>
      <c r="V1965" s="475">
        <v>0</v>
      </c>
      <c r="W1965" s="463" t="s">
        <v>2278</v>
      </c>
      <c r="X1965" s="463" t="s">
        <v>2278</v>
      </c>
      <c r="Y1965" s="463" t="s">
        <v>2278</v>
      </c>
      <c r="Z1965" s="463"/>
      <c r="AA1965" s="463"/>
      <c r="AB1965" s="464">
        <v>0.52728466469329249</v>
      </c>
      <c r="AC1965" s="465">
        <v>7.228616114923707E-3</v>
      </c>
      <c r="AD1965" s="465">
        <v>9.1074423705880957E-5</v>
      </c>
      <c r="AE1965" s="476">
        <v>0.52728466469329249</v>
      </c>
      <c r="AF1965" s="467">
        <v>7.228616114923707E-3</v>
      </c>
      <c r="AG1965" s="468">
        <v>9.1074423705880957E-5</v>
      </c>
      <c r="AH1965" s="218">
        <v>0.52728466469329249</v>
      </c>
      <c r="AI1965" s="470">
        <v>7.228616114923707E-3</v>
      </c>
      <c r="AJ1965" s="471">
        <v>8.747818847206378E-5</v>
      </c>
      <c r="AK1965" s="218">
        <v>0.52728466469329249</v>
      </c>
      <c r="AL1965" s="470">
        <v>7.228616114923707E-3</v>
      </c>
      <c r="AM1965" s="471">
        <v>8.747818847206378E-5</v>
      </c>
      <c r="AN1965" s="477">
        <v>0.52728466469329249</v>
      </c>
      <c r="AO1965" s="473">
        <v>7.228616114923707E-3</v>
      </c>
      <c r="AP1965" s="474">
        <v>8.747818847206378E-5</v>
      </c>
      <c r="AQ1965" s="352"/>
      <c r="AR1965" s="352"/>
      <c r="AS1965" s="352"/>
      <c r="AT1965" s="352"/>
      <c r="AU1965" s="352"/>
      <c r="AV1965" s="352"/>
      <c r="AW1965" s="352" t="s">
        <v>254</v>
      </c>
    </row>
    <row r="1966" spans="2:49" x14ac:dyDescent="0.2">
      <c r="B1966" s="460" t="s">
        <v>2942</v>
      </c>
      <c r="C1966" s="460">
        <v>2211</v>
      </c>
      <c r="D1966" s="460" t="s">
        <v>2373</v>
      </c>
      <c r="E1966" s="460" t="s">
        <v>1139</v>
      </c>
      <c r="F1966" s="460">
        <v>4</v>
      </c>
      <c r="G1966" s="460">
        <v>4</v>
      </c>
      <c r="H1966" s="461" t="s">
        <v>752</v>
      </c>
      <c r="I1966" s="461" t="s">
        <v>964</v>
      </c>
      <c r="J1966" s="461" t="s">
        <v>752</v>
      </c>
      <c r="K1966" s="594"/>
      <c r="L1966" s="594"/>
      <c r="M1966" s="352">
        <v>2000</v>
      </c>
      <c r="N1966" s="352" t="s">
        <v>703</v>
      </c>
      <c r="O1966" s="460">
        <v>2211</v>
      </c>
      <c r="P1966" s="460" t="s">
        <v>1883</v>
      </c>
      <c r="Q1966" s="460" t="s">
        <v>2527</v>
      </c>
      <c r="R1966" s="460">
        <v>2121</v>
      </c>
      <c r="S1966" s="460" t="s">
        <v>1139</v>
      </c>
      <c r="T1966" s="462">
        <v>1</v>
      </c>
      <c r="U1966" s="460" t="s">
        <v>1139</v>
      </c>
      <c r="V1966" s="475">
        <v>0</v>
      </c>
      <c r="W1966" s="463" t="s">
        <v>2278</v>
      </c>
      <c r="X1966" s="463" t="s">
        <v>2278</v>
      </c>
      <c r="Y1966" s="463" t="s">
        <v>2278</v>
      </c>
      <c r="Z1966" s="463"/>
      <c r="AA1966" s="463"/>
      <c r="AB1966" s="464">
        <v>12.530619270651943</v>
      </c>
      <c r="AC1966" s="465">
        <v>0.13504655755050463</v>
      </c>
      <c r="AD1966" s="465">
        <v>4.9956161848346847E-4</v>
      </c>
      <c r="AE1966" s="476">
        <v>12.530619270651943</v>
      </c>
      <c r="AF1966" s="467">
        <v>0.13504655755050463</v>
      </c>
      <c r="AG1966" s="468">
        <v>4.9956161848346847E-4</v>
      </c>
      <c r="AH1966" s="218">
        <v>12.530619270651943</v>
      </c>
      <c r="AI1966" s="470">
        <v>0.13504655755050463</v>
      </c>
      <c r="AJ1966" s="471">
        <v>4.6435782809564239E-4</v>
      </c>
      <c r="AK1966" s="218">
        <v>12.530619270651943</v>
      </c>
      <c r="AL1966" s="470">
        <v>0.13504655755050463</v>
      </c>
      <c r="AM1966" s="471">
        <v>4.6435782809564239E-4</v>
      </c>
      <c r="AN1966" s="477">
        <v>12.530619270651943</v>
      </c>
      <c r="AO1966" s="473">
        <v>0.13504655755050463</v>
      </c>
      <c r="AP1966" s="474">
        <v>4.6435782809564239E-4</v>
      </c>
      <c r="AQ1966" s="352"/>
      <c r="AR1966" s="352"/>
      <c r="AS1966" s="352"/>
      <c r="AT1966" s="352"/>
      <c r="AU1966" s="352"/>
      <c r="AV1966" s="352"/>
      <c r="AW1966" s="352" t="s">
        <v>254</v>
      </c>
    </row>
    <row r="1967" spans="2:49" x14ac:dyDescent="0.2">
      <c r="B1967" s="460" t="s">
        <v>2943</v>
      </c>
      <c r="C1967" s="460">
        <v>2211</v>
      </c>
      <c r="D1967" s="460" t="s">
        <v>2375</v>
      </c>
      <c r="E1967" s="460" t="s">
        <v>2376</v>
      </c>
      <c r="F1967" s="460">
        <v>1</v>
      </c>
      <c r="G1967" s="460">
        <v>5</v>
      </c>
      <c r="H1967" s="461" t="s">
        <v>754</v>
      </c>
      <c r="I1967" s="461" t="s">
        <v>1991</v>
      </c>
      <c r="J1967" s="461" t="s">
        <v>754</v>
      </c>
      <c r="K1967" s="594"/>
      <c r="L1967" s="594"/>
      <c r="M1967" s="352">
        <v>2000</v>
      </c>
      <c r="N1967" s="352" t="s">
        <v>703</v>
      </c>
      <c r="O1967" s="460">
        <v>2211</v>
      </c>
      <c r="P1967" s="460" t="s">
        <v>1883</v>
      </c>
      <c r="Q1967" s="460" t="s">
        <v>2377</v>
      </c>
      <c r="R1967" s="460">
        <v>2121</v>
      </c>
      <c r="S1967" s="460" t="s">
        <v>2376</v>
      </c>
      <c r="T1967" s="462">
        <v>1</v>
      </c>
      <c r="U1967" s="460" t="s">
        <v>2376</v>
      </c>
      <c r="V1967" s="475">
        <v>0</v>
      </c>
      <c r="W1967" s="463" t="s">
        <v>2278</v>
      </c>
      <c r="X1967" s="463" t="s">
        <v>2278</v>
      </c>
      <c r="Y1967" s="463" t="s">
        <v>2278</v>
      </c>
      <c r="Z1967" s="463"/>
      <c r="AA1967" s="463"/>
      <c r="AB1967" s="464">
        <v>197.99908846339716</v>
      </c>
      <c r="AC1967" s="465">
        <v>1</v>
      </c>
      <c r="AD1967" s="465">
        <v>3.3285722536556593E-4</v>
      </c>
      <c r="AE1967" s="476">
        <v>197.99908846339716</v>
      </c>
      <c r="AF1967" s="467">
        <v>1</v>
      </c>
      <c r="AG1967" s="468">
        <v>3.3285722536556593E-4</v>
      </c>
      <c r="AH1967" s="218">
        <v>197.99908846339716</v>
      </c>
      <c r="AI1967" s="470">
        <v>1</v>
      </c>
      <c r="AJ1967" s="471">
        <v>3.3285722536556593E-4</v>
      </c>
      <c r="AK1967" s="218">
        <v>197.99908846339716</v>
      </c>
      <c r="AL1967" s="470">
        <v>1</v>
      </c>
      <c r="AM1967" s="471">
        <v>3.3285722536556593E-4</v>
      </c>
      <c r="AN1967" s="477">
        <v>197.99908846339716</v>
      </c>
      <c r="AO1967" s="473">
        <v>1</v>
      </c>
      <c r="AP1967" s="474">
        <v>3.3285722536556593E-4</v>
      </c>
      <c r="AQ1967" s="352"/>
      <c r="AR1967" s="352"/>
      <c r="AS1967" s="352"/>
      <c r="AT1967" s="352"/>
      <c r="AU1967" s="352"/>
      <c r="AV1967" s="352"/>
      <c r="AW1967" s="352" t="s">
        <v>127</v>
      </c>
    </row>
    <row r="1968" spans="2:49" x14ac:dyDescent="0.2">
      <c r="B1968" s="460" t="s">
        <v>2944</v>
      </c>
      <c r="C1968" s="460">
        <v>2211</v>
      </c>
      <c r="D1968" s="460" t="s">
        <v>2379</v>
      </c>
      <c r="E1968" s="460" t="s">
        <v>2380</v>
      </c>
      <c r="F1968" s="460">
        <v>2</v>
      </c>
      <c r="G1968" s="460">
        <v>5</v>
      </c>
      <c r="H1968" s="461" t="s">
        <v>754</v>
      </c>
      <c r="I1968" s="461" t="s">
        <v>1991</v>
      </c>
      <c r="J1968" s="461" t="s">
        <v>754</v>
      </c>
      <c r="K1968" s="594"/>
      <c r="L1968" s="594"/>
      <c r="M1968" s="352">
        <v>2000</v>
      </c>
      <c r="N1968" s="352" t="s">
        <v>703</v>
      </c>
      <c r="O1968" s="460">
        <v>2211</v>
      </c>
      <c r="P1968" s="460" t="s">
        <v>1883</v>
      </c>
      <c r="Q1968" s="460" t="s">
        <v>2377</v>
      </c>
      <c r="R1968" s="460">
        <v>2121</v>
      </c>
      <c r="S1968" s="460" t="s">
        <v>2380</v>
      </c>
      <c r="T1968" s="462">
        <v>1</v>
      </c>
      <c r="U1968" s="460" t="s">
        <v>2380</v>
      </c>
      <c r="V1968" s="475">
        <v>0</v>
      </c>
      <c r="W1968" s="463" t="s">
        <v>2278</v>
      </c>
      <c r="X1968" s="463" t="s">
        <v>2278</v>
      </c>
      <c r="Y1968" s="463" t="s">
        <v>2278</v>
      </c>
      <c r="Z1968" s="463"/>
      <c r="AA1968" s="463"/>
      <c r="AB1968" s="464">
        <v>171.66746420146265</v>
      </c>
      <c r="AC1968" s="465">
        <v>1</v>
      </c>
      <c r="AD1968" s="465">
        <v>3.3804820570712785E-4</v>
      </c>
      <c r="AE1968" s="476">
        <v>171.66746420146265</v>
      </c>
      <c r="AF1968" s="467">
        <v>1</v>
      </c>
      <c r="AG1968" s="468">
        <v>3.3804820570712785E-4</v>
      </c>
      <c r="AH1968" s="218">
        <v>171.66746420146265</v>
      </c>
      <c r="AI1968" s="470">
        <v>1</v>
      </c>
      <c r="AJ1968" s="471">
        <v>3.3804820570712785E-4</v>
      </c>
      <c r="AK1968" s="218">
        <v>171.66746420146265</v>
      </c>
      <c r="AL1968" s="470">
        <v>1</v>
      </c>
      <c r="AM1968" s="471">
        <v>3.3804820570712785E-4</v>
      </c>
      <c r="AN1968" s="477">
        <v>171.66746420146265</v>
      </c>
      <c r="AO1968" s="473">
        <v>1</v>
      </c>
      <c r="AP1968" s="474">
        <v>3.3804820570712785E-4</v>
      </c>
      <c r="AQ1968" s="352"/>
      <c r="AR1968" s="352"/>
      <c r="AS1968" s="352"/>
      <c r="AT1968" s="352"/>
      <c r="AU1968" s="352"/>
      <c r="AV1968" s="352"/>
      <c r="AW1968" s="352" t="s">
        <v>127</v>
      </c>
    </row>
    <row r="1969" spans="2:49" x14ac:dyDescent="0.2">
      <c r="B1969" s="460" t="s">
        <v>2945</v>
      </c>
      <c r="C1969" s="460">
        <v>2211</v>
      </c>
      <c r="D1969" s="460" t="s">
        <v>2382</v>
      </c>
      <c r="E1969" s="460" t="s">
        <v>2383</v>
      </c>
      <c r="F1969" s="460">
        <v>3</v>
      </c>
      <c r="G1969" s="460">
        <v>5</v>
      </c>
      <c r="H1969" s="461" t="s">
        <v>754</v>
      </c>
      <c r="I1969" s="461" t="s">
        <v>1991</v>
      </c>
      <c r="J1969" s="461" t="s">
        <v>754</v>
      </c>
      <c r="K1969" s="594"/>
      <c r="L1969" s="594"/>
      <c r="M1969" s="352">
        <v>2000</v>
      </c>
      <c r="N1969" s="352" t="s">
        <v>703</v>
      </c>
      <c r="O1969" s="460">
        <v>2211</v>
      </c>
      <c r="P1969" s="460" t="s">
        <v>1883</v>
      </c>
      <c r="Q1969" s="460" t="s">
        <v>2377</v>
      </c>
      <c r="R1969" s="460">
        <v>2121</v>
      </c>
      <c r="S1969" s="460" t="s">
        <v>2383</v>
      </c>
      <c r="T1969" s="462">
        <v>1</v>
      </c>
      <c r="U1969" s="460" t="s">
        <v>2383</v>
      </c>
      <c r="V1969" s="475">
        <v>0</v>
      </c>
      <c r="W1969" s="463" t="s">
        <v>2278</v>
      </c>
      <c r="X1969" s="463" t="s">
        <v>2278</v>
      </c>
      <c r="Y1969" s="463" t="s">
        <v>2278</v>
      </c>
      <c r="Z1969" s="463"/>
      <c r="AA1969" s="463"/>
      <c r="AB1969" s="464">
        <v>24.149877767568466</v>
      </c>
      <c r="AC1969" s="465">
        <v>1</v>
      </c>
      <c r="AD1969" s="465">
        <v>2.1466000727490746E-4</v>
      </c>
      <c r="AE1969" s="476">
        <v>24.149877767568466</v>
      </c>
      <c r="AF1969" s="467">
        <v>1</v>
      </c>
      <c r="AG1969" s="468">
        <v>2.1466000727490746E-4</v>
      </c>
      <c r="AH1969" s="218">
        <v>24.149877767568466</v>
      </c>
      <c r="AI1969" s="470">
        <v>1</v>
      </c>
      <c r="AJ1969" s="471">
        <v>2.1466000727490746E-4</v>
      </c>
      <c r="AK1969" s="218">
        <v>24.149877767568466</v>
      </c>
      <c r="AL1969" s="470">
        <v>1</v>
      </c>
      <c r="AM1969" s="471">
        <v>2.1466000727490746E-4</v>
      </c>
      <c r="AN1969" s="477">
        <v>24.149877767568466</v>
      </c>
      <c r="AO1969" s="473">
        <v>1</v>
      </c>
      <c r="AP1969" s="474">
        <v>2.1466000727490746E-4</v>
      </c>
      <c r="AQ1969" s="352"/>
      <c r="AR1969" s="352"/>
      <c r="AS1969" s="352"/>
      <c r="AT1969" s="352"/>
      <c r="AU1969" s="352"/>
      <c r="AV1969" s="352"/>
      <c r="AW1969" s="352" t="s">
        <v>127</v>
      </c>
    </row>
    <row r="1970" spans="2:49" x14ac:dyDescent="0.2">
      <c r="B1970" s="460" t="s">
        <v>2946</v>
      </c>
      <c r="C1970" s="460">
        <v>2211</v>
      </c>
      <c r="D1970" s="460" t="s">
        <v>2385</v>
      </c>
      <c r="E1970" s="460" t="s">
        <v>2386</v>
      </c>
      <c r="F1970" s="460">
        <v>4</v>
      </c>
      <c r="G1970" s="460">
        <v>5</v>
      </c>
      <c r="H1970" s="461" t="s">
        <v>754</v>
      </c>
      <c r="I1970" s="461" t="s">
        <v>1991</v>
      </c>
      <c r="J1970" s="461" t="s">
        <v>754</v>
      </c>
      <c r="K1970" s="594"/>
      <c r="L1970" s="594"/>
      <c r="M1970" s="352">
        <v>2000</v>
      </c>
      <c r="N1970" s="352" t="s">
        <v>703</v>
      </c>
      <c r="O1970" s="460">
        <v>2211</v>
      </c>
      <c r="P1970" s="460" t="s">
        <v>1883</v>
      </c>
      <c r="Q1970" s="460" t="s">
        <v>2377</v>
      </c>
      <c r="R1970" s="460">
        <v>2121</v>
      </c>
      <c r="S1970" s="460" t="s">
        <v>2386</v>
      </c>
      <c r="T1970" s="462">
        <v>1</v>
      </c>
      <c r="U1970" s="460" t="s">
        <v>2386</v>
      </c>
      <c r="V1970" s="475">
        <v>0</v>
      </c>
      <c r="W1970" s="463" t="s">
        <v>2278</v>
      </c>
      <c r="X1970" s="463" t="s">
        <v>2278</v>
      </c>
      <c r="Y1970" s="463" t="s">
        <v>2278</v>
      </c>
      <c r="Z1970" s="463"/>
      <c r="AA1970" s="463"/>
      <c r="AB1970" s="464">
        <v>18.097147004775263</v>
      </c>
      <c r="AC1970" s="465">
        <v>1</v>
      </c>
      <c r="AD1970" s="465">
        <v>3.3571542342308207E-4</v>
      </c>
      <c r="AE1970" s="476">
        <v>18.097147004775263</v>
      </c>
      <c r="AF1970" s="467">
        <v>1</v>
      </c>
      <c r="AG1970" s="468">
        <v>3.3571542342308207E-4</v>
      </c>
      <c r="AH1970" s="218">
        <v>18.097147004775263</v>
      </c>
      <c r="AI1970" s="470">
        <v>1</v>
      </c>
      <c r="AJ1970" s="471">
        <v>3.3571542342308207E-4</v>
      </c>
      <c r="AK1970" s="218">
        <v>18.097147004775263</v>
      </c>
      <c r="AL1970" s="470">
        <v>1</v>
      </c>
      <c r="AM1970" s="471">
        <v>3.3571542342308207E-4</v>
      </c>
      <c r="AN1970" s="477">
        <v>18.097147004775263</v>
      </c>
      <c r="AO1970" s="473">
        <v>1</v>
      </c>
      <c r="AP1970" s="474">
        <v>3.3571542342308207E-4</v>
      </c>
      <c r="AQ1970" s="352"/>
      <c r="AR1970" s="352"/>
      <c r="AS1970" s="352"/>
      <c r="AT1970" s="352"/>
      <c r="AU1970" s="352"/>
      <c r="AV1970" s="352"/>
      <c r="AW1970" s="352" t="s">
        <v>127</v>
      </c>
    </row>
    <row r="1971" spans="2:49" x14ac:dyDescent="0.2">
      <c r="B1971" s="460" t="s">
        <v>2947</v>
      </c>
      <c r="C1971" s="460">
        <v>2211</v>
      </c>
      <c r="D1971" s="460" t="s">
        <v>2388</v>
      </c>
      <c r="E1971" s="460" t="s">
        <v>2389</v>
      </c>
      <c r="F1971" s="460">
        <v>1</v>
      </c>
      <c r="G1971" s="460">
        <v>6</v>
      </c>
      <c r="H1971" s="461" t="s">
        <v>754</v>
      </c>
      <c r="I1971" s="461" t="s">
        <v>1991</v>
      </c>
      <c r="J1971" s="461" t="s">
        <v>754</v>
      </c>
      <c r="K1971" s="594"/>
      <c r="L1971" s="594"/>
      <c r="M1971" s="352">
        <v>2000</v>
      </c>
      <c r="N1971" s="352" t="s">
        <v>703</v>
      </c>
      <c r="O1971" s="460">
        <v>2211</v>
      </c>
      <c r="P1971" s="460" t="s">
        <v>1883</v>
      </c>
      <c r="Q1971" s="460" t="s">
        <v>2377</v>
      </c>
      <c r="R1971" s="460">
        <v>2121</v>
      </c>
      <c r="S1971" s="460" t="s">
        <v>2389</v>
      </c>
      <c r="T1971" s="462">
        <v>1</v>
      </c>
      <c r="U1971" s="460" t="s">
        <v>2389</v>
      </c>
      <c r="V1971" s="475">
        <v>0</v>
      </c>
      <c r="W1971" s="463" t="s">
        <v>2278</v>
      </c>
      <c r="X1971" s="463" t="s">
        <v>2278</v>
      </c>
      <c r="Y1971" s="463" t="s">
        <v>2278</v>
      </c>
      <c r="Z1971" s="463"/>
      <c r="AA1971" s="463"/>
      <c r="AB1971" s="464">
        <v>0</v>
      </c>
      <c r="AC1971" s="465">
        <v>0</v>
      </c>
      <c r="AD1971" s="465">
        <v>0</v>
      </c>
      <c r="AE1971" s="476">
        <v>0</v>
      </c>
      <c r="AF1971" s="467">
        <v>0</v>
      </c>
      <c r="AG1971" s="468">
        <v>0</v>
      </c>
      <c r="AH1971" s="218">
        <v>0</v>
      </c>
      <c r="AI1971" s="470">
        <v>0</v>
      </c>
      <c r="AJ1971" s="471">
        <v>0</v>
      </c>
      <c r="AK1971" s="218">
        <v>0</v>
      </c>
      <c r="AL1971" s="470">
        <v>0</v>
      </c>
      <c r="AM1971" s="471">
        <v>0</v>
      </c>
      <c r="AN1971" s="477">
        <v>0</v>
      </c>
      <c r="AO1971" s="473">
        <v>0</v>
      </c>
      <c r="AP1971" s="474">
        <v>0</v>
      </c>
      <c r="AQ1971" s="352"/>
      <c r="AR1971" s="352"/>
      <c r="AS1971" s="352"/>
      <c r="AT1971" s="352"/>
      <c r="AU1971" s="352"/>
      <c r="AV1971" s="352"/>
      <c r="AW1971" s="352" t="s">
        <v>127</v>
      </c>
    </row>
    <row r="1972" spans="2:49" x14ac:dyDescent="0.2">
      <c r="B1972" s="460" t="s">
        <v>2948</v>
      </c>
      <c r="C1972" s="460">
        <v>2211</v>
      </c>
      <c r="D1972" s="460" t="s">
        <v>2391</v>
      </c>
      <c r="E1972" s="460" t="s">
        <v>2392</v>
      </c>
      <c r="F1972" s="460">
        <v>2</v>
      </c>
      <c r="G1972" s="460">
        <v>6</v>
      </c>
      <c r="H1972" s="461" t="s">
        <v>754</v>
      </c>
      <c r="I1972" s="461" t="s">
        <v>1991</v>
      </c>
      <c r="J1972" s="461" t="s">
        <v>754</v>
      </c>
      <c r="K1972" s="594"/>
      <c r="L1972" s="594"/>
      <c r="M1972" s="352">
        <v>2000</v>
      </c>
      <c r="N1972" s="352" t="s">
        <v>703</v>
      </c>
      <c r="O1972" s="460">
        <v>2211</v>
      </c>
      <c r="P1972" s="460" t="s">
        <v>1883</v>
      </c>
      <c r="Q1972" s="460" t="s">
        <v>2377</v>
      </c>
      <c r="R1972" s="460">
        <v>2121</v>
      </c>
      <c r="S1972" s="460" t="s">
        <v>2392</v>
      </c>
      <c r="T1972" s="462">
        <v>1</v>
      </c>
      <c r="U1972" s="460" t="s">
        <v>2392</v>
      </c>
      <c r="V1972" s="475">
        <v>0</v>
      </c>
      <c r="W1972" s="463" t="s">
        <v>2278</v>
      </c>
      <c r="X1972" s="463" t="s">
        <v>2278</v>
      </c>
      <c r="Y1972" s="463" t="s">
        <v>2278</v>
      </c>
      <c r="Z1972" s="463"/>
      <c r="AA1972" s="463"/>
      <c r="AB1972" s="464">
        <v>0</v>
      </c>
      <c r="AC1972" s="465">
        <v>0</v>
      </c>
      <c r="AD1972" s="465">
        <v>0</v>
      </c>
      <c r="AE1972" s="476">
        <v>0</v>
      </c>
      <c r="AF1972" s="467">
        <v>0</v>
      </c>
      <c r="AG1972" s="468">
        <v>0</v>
      </c>
      <c r="AH1972" s="218">
        <v>0</v>
      </c>
      <c r="AI1972" s="470">
        <v>0</v>
      </c>
      <c r="AJ1972" s="471">
        <v>0</v>
      </c>
      <c r="AK1972" s="218">
        <v>0</v>
      </c>
      <c r="AL1972" s="470">
        <v>0</v>
      </c>
      <c r="AM1972" s="471">
        <v>0</v>
      </c>
      <c r="AN1972" s="477">
        <v>0</v>
      </c>
      <c r="AO1972" s="473">
        <v>0</v>
      </c>
      <c r="AP1972" s="474">
        <v>0</v>
      </c>
      <c r="AQ1972" s="352"/>
      <c r="AR1972" s="352"/>
      <c r="AS1972" s="352"/>
      <c r="AT1972" s="352"/>
      <c r="AU1972" s="352"/>
      <c r="AV1972" s="352"/>
      <c r="AW1972" s="352" t="s">
        <v>127</v>
      </c>
    </row>
    <row r="1973" spans="2:49" x14ac:dyDescent="0.2">
      <c r="B1973" s="460" t="s">
        <v>2949</v>
      </c>
      <c r="C1973" s="460">
        <v>2211</v>
      </c>
      <c r="D1973" s="460" t="s">
        <v>2394</v>
      </c>
      <c r="E1973" s="460" t="s">
        <v>2395</v>
      </c>
      <c r="F1973" s="460">
        <v>3</v>
      </c>
      <c r="G1973" s="460">
        <v>6</v>
      </c>
      <c r="H1973" s="461" t="s">
        <v>754</v>
      </c>
      <c r="I1973" s="461" t="s">
        <v>1991</v>
      </c>
      <c r="J1973" s="461" t="s">
        <v>754</v>
      </c>
      <c r="K1973" s="594"/>
      <c r="L1973" s="594"/>
      <c r="M1973" s="352">
        <v>2000</v>
      </c>
      <c r="N1973" s="352" t="s">
        <v>703</v>
      </c>
      <c r="O1973" s="460">
        <v>2211</v>
      </c>
      <c r="P1973" s="460" t="s">
        <v>1883</v>
      </c>
      <c r="Q1973" s="460" t="s">
        <v>2377</v>
      </c>
      <c r="R1973" s="460">
        <v>2121</v>
      </c>
      <c r="S1973" s="460" t="s">
        <v>2395</v>
      </c>
      <c r="T1973" s="462">
        <v>1</v>
      </c>
      <c r="U1973" s="460" t="s">
        <v>2395</v>
      </c>
      <c r="V1973" s="475">
        <v>0</v>
      </c>
      <c r="W1973" s="463" t="s">
        <v>2278</v>
      </c>
      <c r="X1973" s="463" t="s">
        <v>2278</v>
      </c>
      <c r="Y1973" s="463" t="s">
        <v>2278</v>
      </c>
      <c r="Z1973" s="463"/>
      <c r="AA1973" s="463"/>
      <c r="AB1973" s="464">
        <v>0</v>
      </c>
      <c r="AC1973" s="465">
        <v>0</v>
      </c>
      <c r="AD1973" s="465">
        <v>0</v>
      </c>
      <c r="AE1973" s="476">
        <v>0</v>
      </c>
      <c r="AF1973" s="467">
        <v>0</v>
      </c>
      <c r="AG1973" s="468">
        <v>0</v>
      </c>
      <c r="AH1973" s="218">
        <v>0</v>
      </c>
      <c r="AI1973" s="470">
        <v>0</v>
      </c>
      <c r="AJ1973" s="471">
        <v>0</v>
      </c>
      <c r="AK1973" s="218">
        <v>0</v>
      </c>
      <c r="AL1973" s="470">
        <v>0</v>
      </c>
      <c r="AM1973" s="471">
        <v>0</v>
      </c>
      <c r="AN1973" s="477">
        <v>0</v>
      </c>
      <c r="AO1973" s="473">
        <v>0</v>
      </c>
      <c r="AP1973" s="474">
        <v>0</v>
      </c>
      <c r="AQ1973" s="352"/>
      <c r="AR1973" s="352"/>
      <c r="AS1973" s="352"/>
      <c r="AT1973" s="352"/>
      <c r="AU1973" s="352"/>
      <c r="AV1973" s="352"/>
      <c r="AW1973" s="352" t="s">
        <v>127</v>
      </c>
    </row>
    <row r="1974" spans="2:49" x14ac:dyDescent="0.2">
      <c r="B1974" s="460" t="s">
        <v>2950</v>
      </c>
      <c r="C1974" s="460">
        <v>2211</v>
      </c>
      <c r="D1974" s="460" t="s">
        <v>2397</v>
      </c>
      <c r="E1974" s="460" t="s">
        <v>2398</v>
      </c>
      <c r="F1974" s="460">
        <v>4</v>
      </c>
      <c r="G1974" s="460">
        <v>6</v>
      </c>
      <c r="H1974" s="461" t="s">
        <v>754</v>
      </c>
      <c r="I1974" s="461" t="s">
        <v>1991</v>
      </c>
      <c r="J1974" s="461" t="s">
        <v>754</v>
      </c>
      <c r="K1974" s="594"/>
      <c r="L1974" s="594"/>
      <c r="M1974" s="352">
        <v>2000</v>
      </c>
      <c r="N1974" s="352" t="s">
        <v>703</v>
      </c>
      <c r="O1974" s="460">
        <v>2211</v>
      </c>
      <c r="P1974" s="460" t="s">
        <v>1883</v>
      </c>
      <c r="Q1974" s="460" t="s">
        <v>2377</v>
      </c>
      <c r="R1974" s="460">
        <v>2121</v>
      </c>
      <c r="S1974" s="460" t="s">
        <v>2398</v>
      </c>
      <c r="T1974" s="462">
        <v>1</v>
      </c>
      <c r="U1974" s="460" t="s">
        <v>2398</v>
      </c>
      <c r="V1974" s="475">
        <v>0</v>
      </c>
      <c r="W1974" s="463" t="s">
        <v>2278</v>
      </c>
      <c r="X1974" s="463" t="s">
        <v>2278</v>
      </c>
      <c r="Y1974" s="463" t="s">
        <v>2278</v>
      </c>
      <c r="Z1974" s="463"/>
      <c r="AA1974" s="463"/>
      <c r="AB1974" s="464">
        <v>0</v>
      </c>
      <c r="AC1974" s="465">
        <v>0</v>
      </c>
      <c r="AD1974" s="465">
        <v>0</v>
      </c>
      <c r="AE1974" s="476">
        <v>0</v>
      </c>
      <c r="AF1974" s="467">
        <v>0</v>
      </c>
      <c r="AG1974" s="468">
        <v>0</v>
      </c>
      <c r="AH1974" s="218">
        <v>0</v>
      </c>
      <c r="AI1974" s="470">
        <v>0</v>
      </c>
      <c r="AJ1974" s="471">
        <v>0</v>
      </c>
      <c r="AK1974" s="218">
        <v>0</v>
      </c>
      <c r="AL1974" s="470">
        <v>0</v>
      </c>
      <c r="AM1974" s="471">
        <v>0</v>
      </c>
      <c r="AN1974" s="477">
        <v>0</v>
      </c>
      <c r="AO1974" s="473">
        <v>0</v>
      </c>
      <c r="AP1974" s="474">
        <v>0</v>
      </c>
      <c r="AQ1974" s="352"/>
      <c r="AR1974" s="352"/>
      <c r="AS1974" s="352"/>
      <c r="AT1974" s="352"/>
      <c r="AU1974" s="352"/>
      <c r="AV1974" s="352"/>
      <c r="AW1974" s="352" t="s">
        <v>127</v>
      </c>
    </row>
    <row r="1975" spans="2:49" x14ac:dyDescent="0.2">
      <c r="B1975" s="460" t="s">
        <v>2951</v>
      </c>
      <c r="C1975" s="460">
        <v>2212</v>
      </c>
      <c r="D1975" s="460" t="s">
        <v>2264</v>
      </c>
      <c r="E1975" s="460" t="s">
        <v>2265</v>
      </c>
      <c r="F1975" s="460">
        <v>1</v>
      </c>
      <c r="G1975" s="460">
        <v>1</v>
      </c>
      <c r="H1975" s="461" t="s">
        <v>700</v>
      </c>
      <c r="I1975" s="461" t="s">
        <v>872</v>
      </c>
      <c r="J1975" s="461" t="s">
        <v>700</v>
      </c>
      <c r="K1975" s="594"/>
      <c r="L1975" s="594"/>
      <c r="M1975" s="352">
        <v>2000</v>
      </c>
      <c r="N1975" s="352" t="s">
        <v>703</v>
      </c>
      <c r="O1975" s="460">
        <v>2212</v>
      </c>
      <c r="P1975" s="460" t="s">
        <v>784</v>
      </c>
      <c r="Q1975" s="460" t="s">
        <v>2527</v>
      </c>
      <c r="R1975" s="460">
        <v>2121</v>
      </c>
      <c r="S1975" s="460" t="s">
        <v>2265</v>
      </c>
      <c r="T1975" s="462">
        <v>1</v>
      </c>
      <c r="U1975" s="460" t="s">
        <v>2265</v>
      </c>
      <c r="V1975" s="475">
        <v>0</v>
      </c>
      <c r="W1975" s="463" t="s">
        <v>2503</v>
      </c>
      <c r="X1975" s="479" t="s">
        <v>2503</v>
      </c>
      <c r="Y1975" s="463" t="s">
        <v>2268</v>
      </c>
      <c r="Z1975" s="463"/>
      <c r="AA1975" s="463"/>
      <c r="AB1975" s="464">
        <v>182.40434476225093</v>
      </c>
      <c r="AC1975" s="465">
        <v>0.11104928493329161</v>
      </c>
      <c r="AD1975" s="465">
        <v>1.6915148688888125E-3</v>
      </c>
      <c r="AE1975" s="476">
        <v>109.44260685735055</v>
      </c>
      <c r="AF1975" s="467">
        <v>6.662957095997496E-2</v>
      </c>
      <c r="AG1975" s="468">
        <v>1.0841351381558511E-3</v>
      </c>
      <c r="AH1975" s="218">
        <v>109.44260685735055</v>
      </c>
      <c r="AI1975" s="470">
        <v>6.662957095997496E-2</v>
      </c>
      <c r="AJ1975" s="471">
        <v>1.0435723785874318E-3</v>
      </c>
      <c r="AK1975" s="218">
        <v>109.44260685735055</v>
      </c>
      <c r="AL1975" s="470">
        <v>6.662957095997496E-2</v>
      </c>
      <c r="AM1975" s="471">
        <v>1.0435723785874318E-3</v>
      </c>
      <c r="AN1975" s="477">
        <v>0</v>
      </c>
      <c r="AO1975" s="473">
        <v>0</v>
      </c>
      <c r="AP1975" s="474">
        <v>0</v>
      </c>
      <c r="AQ1975" s="352"/>
      <c r="AR1975" s="352"/>
      <c r="AS1975" s="352"/>
      <c r="AT1975" s="352"/>
      <c r="AU1975" s="352"/>
      <c r="AV1975" s="352"/>
      <c r="AW1975" s="352" t="s">
        <v>254</v>
      </c>
    </row>
    <row r="1976" spans="2:49" x14ac:dyDescent="0.2">
      <c r="B1976" s="460" t="s">
        <v>2952</v>
      </c>
      <c r="C1976" s="460">
        <v>2212</v>
      </c>
      <c r="D1976" s="460" t="s">
        <v>2270</v>
      </c>
      <c r="E1976" s="460" t="s">
        <v>2271</v>
      </c>
      <c r="F1976" s="460">
        <v>2</v>
      </c>
      <c r="G1976" s="460">
        <v>1</v>
      </c>
      <c r="H1976" s="461" t="s">
        <v>700</v>
      </c>
      <c r="I1976" s="461" t="s">
        <v>872</v>
      </c>
      <c r="J1976" s="461" t="s">
        <v>700</v>
      </c>
      <c r="K1976" s="594"/>
      <c r="L1976" s="594"/>
      <c r="M1976" s="352">
        <v>2000</v>
      </c>
      <c r="N1976" s="352" t="s">
        <v>703</v>
      </c>
      <c r="O1976" s="460">
        <v>2212</v>
      </c>
      <c r="P1976" s="460" t="s">
        <v>784</v>
      </c>
      <c r="Q1976" s="460" t="s">
        <v>2527</v>
      </c>
      <c r="R1976" s="460">
        <v>2121</v>
      </c>
      <c r="S1976" s="460" t="s">
        <v>2265</v>
      </c>
      <c r="T1976" s="462">
        <v>1</v>
      </c>
      <c r="U1976" s="460" t="s">
        <v>2271</v>
      </c>
      <c r="V1976" s="475">
        <v>0</v>
      </c>
      <c r="W1976" s="463" t="s">
        <v>2503</v>
      </c>
      <c r="X1976" s="479" t="s">
        <v>2503</v>
      </c>
      <c r="Y1976" s="463" t="s">
        <v>2268</v>
      </c>
      <c r="Z1976" s="463"/>
      <c r="AA1976" s="463"/>
      <c r="AB1976" s="464">
        <v>110.10030304613484</v>
      </c>
      <c r="AC1976" s="465">
        <v>6.5398245003340905E-2</v>
      </c>
      <c r="AD1976" s="465">
        <v>1.3659916793070782E-3</v>
      </c>
      <c r="AE1976" s="476">
        <v>66.060181827680907</v>
      </c>
      <c r="AF1976" s="467">
        <v>3.9238947002004539E-2</v>
      </c>
      <c r="AG1976" s="468">
        <v>8.8816335164901663E-4</v>
      </c>
      <c r="AH1976" s="218">
        <v>112.17328468298238</v>
      </c>
      <c r="AI1976" s="470">
        <v>6.662957095997496E-2</v>
      </c>
      <c r="AJ1976" s="471">
        <v>1.3243626093240842E-3</v>
      </c>
      <c r="AK1976" s="218">
        <v>112.17328468298238</v>
      </c>
      <c r="AL1976" s="470">
        <v>6.662957095997496E-2</v>
      </c>
      <c r="AM1976" s="471">
        <v>1.3243626093240842E-3</v>
      </c>
      <c r="AN1976" s="477">
        <v>0</v>
      </c>
      <c r="AO1976" s="473">
        <v>0</v>
      </c>
      <c r="AP1976" s="474">
        <v>0</v>
      </c>
      <c r="AQ1976" s="352"/>
      <c r="AR1976" s="352"/>
      <c r="AS1976" s="352"/>
      <c r="AT1976" s="352"/>
      <c r="AU1976" s="352"/>
      <c r="AV1976" s="352"/>
      <c r="AW1976" s="352" t="s">
        <v>254</v>
      </c>
    </row>
    <row r="1977" spans="2:49" x14ac:dyDescent="0.2">
      <c r="B1977" s="460" t="s">
        <v>2953</v>
      </c>
      <c r="C1977" s="460">
        <v>2212</v>
      </c>
      <c r="D1977" s="460" t="s">
        <v>2273</v>
      </c>
      <c r="E1977" s="460" t="s">
        <v>2274</v>
      </c>
      <c r="F1977" s="460">
        <v>3</v>
      </c>
      <c r="G1977" s="460">
        <v>1</v>
      </c>
      <c r="H1977" s="461" t="s">
        <v>700</v>
      </c>
      <c r="I1977" s="461" t="s">
        <v>872</v>
      </c>
      <c r="J1977" s="461" t="s">
        <v>700</v>
      </c>
      <c r="K1977" s="594"/>
      <c r="L1977" s="594"/>
      <c r="M1977" s="352">
        <v>2000</v>
      </c>
      <c r="N1977" s="352" t="s">
        <v>703</v>
      </c>
      <c r="O1977" s="460">
        <v>2212</v>
      </c>
      <c r="P1977" s="460" t="s">
        <v>784</v>
      </c>
      <c r="Q1977" s="460" t="s">
        <v>2527</v>
      </c>
      <c r="R1977" s="460">
        <v>2121</v>
      </c>
      <c r="S1977" s="460" t="s">
        <v>2265</v>
      </c>
      <c r="T1977" s="462">
        <v>0.74223365950407583</v>
      </c>
      <c r="U1977" s="460" t="s">
        <v>2274</v>
      </c>
      <c r="V1977" s="475">
        <v>0</v>
      </c>
      <c r="W1977" s="463" t="s">
        <v>2503</v>
      </c>
      <c r="X1977" s="463" t="s">
        <v>2503</v>
      </c>
      <c r="Y1977" s="463" t="s">
        <v>2268</v>
      </c>
      <c r="Z1977" s="463"/>
      <c r="AA1977" s="463"/>
      <c r="AB1977" s="464">
        <v>32.17799952281176</v>
      </c>
      <c r="AC1977" s="465">
        <v>4.4380373523748504E-2</v>
      </c>
      <c r="AD1977" s="465">
        <v>1.5918345576373665E-3</v>
      </c>
      <c r="AE1977" s="476">
        <v>19.306799713687056</v>
      </c>
      <c r="AF1977" s="467">
        <v>2.6628224114249102E-2</v>
      </c>
      <c r="AG1977" s="468">
        <v>1.0345403302835746E-3</v>
      </c>
      <c r="AH1977" s="218">
        <v>35.857148500424749</v>
      </c>
      <c r="AI1977" s="470">
        <v>4.9454710284808717E-2</v>
      </c>
      <c r="AJ1977" s="471">
        <v>1.3914038395817937E-3</v>
      </c>
      <c r="AK1977" s="218">
        <v>35.857148500424749</v>
      </c>
      <c r="AL1977" s="470">
        <v>4.9454710284808717E-2</v>
      </c>
      <c r="AM1977" s="471">
        <v>1.3914038395817937E-3</v>
      </c>
      <c r="AN1977" s="477">
        <v>0</v>
      </c>
      <c r="AO1977" s="473">
        <v>0</v>
      </c>
      <c r="AP1977" s="474">
        <v>0</v>
      </c>
      <c r="AQ1977" s="352"/>
      <c r="AR1977" s="352"/>
      <c r="AS1977" s="352"/>
      <c r="AT1977" s="352"/>
      <c r="AU1977" s="352"/>
      <c r="AV1977" s="352"/>
      <c r="AW1977" s="352" t="s">
        <v>254</v>
      </c>
    </row>
    <row r="1978" spans="2:49" x14ac:dyDescent="0.2">
      <c r="B1978" s="460" t="s">
        <v>2954</v>
      </c>
      <c r="C1978" s="460">
        <v>2212</v>
      </c>
      <c r="D1978" s="460" t="s">
        <v>2276</v>
      </c>
      <c r="E1978" s="460" t="s">
        <v>2277</v>
      </c>
      <c r="F1978" s="460">
        <v>4</v>
      </c>
      <c r="G1978" s="460">
        <v>1</v>
      </c>
      <c r="H1978" s="461" t="s">
        <v>700</v>
      </c>
      <c r="I1978" s="461" t="s">
        <v>872</v>
      </c>
      <c r="J1978" s="461" t="s">
        <v>700</v>
      </c>
      <c r="K1978" s="594"/>
      <c r="L1978" s="594"/>
      <c r="M1978" s="352">
        <v>2000</v>
      </c>
      <c r="N1978" s="352" t="s">
        <v>703</v>
      </c>
      <c r="O1978" s="460">
        <v>2212</v>
      </c>
      <c r="P1978" s="460" t="s">
        <v>784</v>
      </c>
      <c r="Q1978" s="460" t="s">
        <v>2527</v>
      </c>
      <c r="R1978" s="460">
        <v>2121</v>
      </c>
      <c r="S1978" s="460" t="s">
        <v>2277</v>
      </c>
      <c r="T1978" s="462">
        <v>1</v>
      </c>
      <c r="U1978" s="460" t="s">
        <v>2277</v>
      </c>
      <c r="V1978" s="475">
        <v>0</v>
      </c>
      <c r="W1978" s="463" t="s">
        <v>2503</v>
      </c>
      <c r="X1978" s="463" t="s">
        <v>2503</v>
      </c>
      <c r="Y1978" s="463" t="s">
        <v>2268</v>
      </c>
      <c r="Z1978" s="463"/>
      <c r="AA1978" s="463"/>
      <c r="AB1978" s="464">
        <v>0.27062944064142702</v>
      </c>
      <c r="AC1978" s="465">
        <v>3.3855455421477739E-4</v>
      </c>
      <c r="AD1978" s="465">
        <v>1.0923171759292495E-3</v>
      </c>
      <c r="AE1978" s="476">
        <v>0.16237766438485624</v>
      </c>
      <c r="AF1978" s="467">
        <v>2.0313273252886644E-4</v>
      </c>
      <c r="AG1978" s="468">
        <v>7.326918142416634E-4</v>
      </c>
      <c r="AH1978" s="218">
        <v>0.16237766438485624</v>
      </c>
      <c r="AI1978" s="470">
        <v>2.0313273252886644E-4</v>
      </c>
      <c r="AJ1978" s="471">
        <v>7.0225338844171435E-4</v>
      </c>
      <c r="AK1978" s="218">
        <v>0.16237766438485624</v>
      </c>
      <c r="AL1978" s="470">
        <v>2.0313273252886644E-4</v>
      </c>
      <c r="AM1978" s="471">
        <v>7.0225338844171435E-4</v>
      </c>
      <c r="AN1978" s="477">
        <v>0</v>
      </c>
      <c r="AO1978" s="473">
        <v>0</v>
      </c>
      <c r="AP1978" s="474">
        <v>0</v>
      </c>
      <c r="AQ1978" s="352"/>
      <c r="AR1978" s="352"/>
      <c r="AS1978" s="352"/>
      <c r="AT1978" s="352"/>
      <c r="AU1978" s="352"/>
      <c r="AV1978" s="352"/>
      <c r="AW1978" s="352" t="s">
        <v>254</v>
      </c>
    </row>
    <row r="1979" spans="2:49" x14ac:dyDescent="0.2">
      <c r="B1979" s="460" t="s">
        <v>2951</v>
      </c>
      <c r="C1979" s="460">
        <v>2212</v>
      </c>
      <c r="D1979" s="460" t="s">
        <v>2279</v>
      </c>
      <c r="E1979" s="460" t="s">
        <v>2265</v>
      </c>
      <c r="F1979" s="460">
        <v>1</v>
      </c>
      <c r="G1979" s="460">
        <v>1</v>
      </c>
      <c r="H1979" s="461" t="s">
        <v>712</v>
      </c>
      <c r="I1979" s="461" t="s">
        <v>713</v>
      </c>
      <c r="J1979" s="461" t="s">
        <v>712</v>
      </c>
      <c r="K1979" s="594"/>
      <c r="L1979" s="594"/>
      <c r="M1979" s="352">
        <v>2000</v>
      </c>
      <c r="N1979" s="352" t="s">
        <v>703</v>
      </c>
      <c r="O1979" s="460">
        <v>2212</v>
      </c>
      <c r="P1979" s="460" t="s">
        <v>784</v>
      </c>
      <c r="Q1979" s="460" t="s">
        <v>2280</v>
      </c>
      <c r="R1979" s="460">
        <v>2121</v>
      </c>
      <c r="S1979" s="460" t="s">
        <v>2265</v>
      </c>
      <c r="T1979" s="462">
        <v>1</v>
      </c>
      <c r="U1979" s="460" t="s">
        <v>2265</v>
      </c>
      <c r="V1979" s="475">
        <v>0</v>
      </c>
      <c r="W1979" s="463" t="s">
        <v>713</v>
      </c>
      <c r="X1979" s="463" t="s">
        <v>713</v>
      </c>
      <c r="Y1979" s="463" t="s">
        <v>713</v>
      </c>
      <c r="Z1979" s="463"/>
      <c r="AA1979" s="463"/>
      <c r="AB1979" s="464">
        <v>1460.1487331060398</v>
      </c>
      <c r="AC1979" s="465">
        <v>0.88895071506670842</v>
      </c>
      <c r="AD1979" s="465">
        <v>5.3940419356215217E-3</v>
      </c>
      <c r="AE1979" s="476">
        <v>1533.1104710109403</v>
      </c>
      <c r="AF1979" s="467">
        <v>0.9333704290400251</v>
      </c>
      <c r="AG1979" s="468">
        <v>5.5230851847579525E-3</v>
      </c>
      <c r="AH1979" s="218">
        <v>1533.1104710109403</v>
      </c>
      <c r="AI1979" s="470">
        <v>0.9333704290400251</v>
      </c>
      <c r="AJ1979" s="471">
        <v>5.602277092146335E-3</v>
      </c>
      <c r="AK1979" s="218">
        <v>1533.1104710109403</v>
      </c>
      <c r="AL1979" s="470">
        <v>0.9333704290400251</v>
      </c>
      <c r="AM1979" s="471">
        <v>5.602277092146335E-3</v>
      </c>
      <c r="AN1979" s="477">
        <v>1569.5913399633903</v>
      </c>
      <c r="AO1979" s="473">
        <v>0.95558028602668332</v>
      </c>
      <c r="AP1979" s="474">
        <v>5.733716238331521E-3</v>
      </c>
      <c r="AQ1979" s="352"/>
      <c r="AR1979" s="352"/>
      <c r="AS1979" s="352"/>
      <c r="AT1979" s="352"/>
      <c r="AU1979" s="352"/>
      <c r="AV1979" s="352"/>
      <c r="AW1979" s="352" t="s">
        <v>254</v>
      </c>
    </row>
    <row r="1980" spans="2:49" x14ac:dyDescent="0.2">
      <c r="B1980" s="460" t="s">
        <v>2952</v>
      </c>
      <c r="C1980" s="460">
        <v>2212</v>
      </c>
      <c r="D1980" s="460" t="s">
        <v>2281</v>
      </c>
      <c r="E1980" s="460" t="s">
        <v>2271</v>
      </c>
      <c r="F1980" s="460">
        <v>2</v>
      </c>
      <c r="G1980" s="460">
        <v>1</v>
      </c>
      <c r="H1980" s="461" t="s">
        <v>712</v>
      </c>
      <c r="I1980" s="461" t="s">
        <v>713</v>
      </c>
      <c r="J1980" s="461" t="s">
        <v>712</v>
      </c>
      <c r="K1980" s="594"/>
      <c r="L1980" s="594"/>
      <c r="M1980" s="352">
        <v>2000</v>
      </c>
      <c r="N1980" s="352" t="s">
        <v>703</v>
      </c>
      <c r="O1980" s="460">
        <v>2212</v>
      </c>
      <c r="P1980" s="460" t="s">
        <v>784</v>
      </c>
      <c r="Q1980" s="460" t="s">
        <v>2280</v>
      </c>
      <c r="R1980" s="460">
        <v>2121</v>
      </c>
      <c r="S1980" s="460" t="s">
        <v>2265</v>
      </c>
      <c r="T1980" s="462">
        <v>1</v>
      </c>
      <c r="U1980" s="460" t="s">
        <v>2271</v>
      </c>
      <c r="V1980" s="475">
        <v>0</v>
      </c>
      <c r="W1980" s="463" t="s">
        <v>713</v>
      </c>
      <c r="X1980" s="463" t="s">
        <v>713</v>
      </c>
      <c r="Y1980" s="463" t="s">
        <v>713</v>
      </c>
      <c r="Z1980" s="463"/>
      <c r="AA1980" s="463"/>
      <c r="AB1980" s="464">
        <v>1573.4357465911348</v>
      </c>
      <c r="AC1980" s="465">
        <v>0.93460175499665921</v>
      </c>
      <c r="AD1980" s="465">
        <v>6.5705427462706958E-3</v>
      </c>
      <c r="AE1980" s="476">
        <v>1617.4758678095886</v>
      </c>
      <c r="AF1980" s="467">
        <v>0.96076105299799541</v>
      </c>
      <c r="AG1980" s="468">
        <v>6.5833813231141207E-3</v>
      </c>
      <c r="AH1980" s="218">
        <v>1571.3627649542873</v>
      </c>
      <c r="AI1980" s="470">
        <v>0.9333704290400251</v>
      </c>
      <c r="AJ1980" s="471">
        <v>6.7508030590225695E-3</v>
      </c>
      <c r="AK1980" s="218">
        <v>1571.3627649542873</v>
      </c>
      <c r="AL1980" s="470">
        <v>0.9333704290400251</v>
      </c>
      <c r="AM1980" s="471">
        <v>6.7508030590225695E-3</v>
      </c>
      <c r="AN1980" s="477">
        <v>1608.7538598486146</v>
      </c>
      <c r="AO1980" s="473">
        <v>0.95558028602668332</v>
      </c>
      <c r="AP1980" s="474">
        <v>6.9090138092569257E-3</v>
      </c>
      <c r="AQ1980" s="352"/>
      <c r="AR1980" s="352"/>
      <c r="AS1980" s="352"/>
      <c r="AT1980" s="352"/>
      <c r="AU1980" s="352"/>
      <c r="AV1980" s="352"/>
      <c r="AW1980" s="352" t="s">
        <v>254</v>
      </c>
    </row>
    <row r="1981" spans="2:49" x14ac:dyDescent="0.2">
      <c r="B1981" s="460" t="s">
        <v>2953</v>
      </c>
      <c r="C1981" s="460">
        <v>2212</v>
      </c>
      <c r="D1981" s="460" t="s">
        <v>2282</v>
      </c>
      <c r="E1981" s="460" t="s">
        <v>2274</v>
      </c>
      <c r="F1981" s="460">
        <v>3</v>
      </c>
      <c r="G1981" s="460">
        <v>1</v>
      </c>
      <c r="H1981" s="461" t="s">
        <v>712</v>
      </c>
      <c r="I1981" s="461" t="s">
        <v>713</v>
      </c>
      <c r="J1981" s="461" t="s">
        <v>712</v>
      </c>
      <c r="K1981" s="594"/>
      <c r="L1981" s="594"/>
      <c r="M1981" s="352">
        <v>2000</v>
      </c>
      <c r="N1981" s="352" t="s">
        <v>703</v>
      </c>
      <c r="O1981" s="460">
        <v>2212</v>
      </c>
      <c r="P1981" s="460" t="s">
        <v>784</v>
      </c>
      <c r="Q1981" s="460" t="s">
        <v>2280</v>
      </c>
      <c r="R1981" s="460">
        <v>2121</v>
      </c>
      <c r="S1981" s="460" t="s">
        <v>2265</v>
      </c>
      <c r="T1981" s="462">
        <v>0.74223365950407583</v>
      </c>
      <c r="U1981" s="460" t="s">
        <v>2274</v>
      </c>
      <c r="V1981" s="475">
        <v>0</v>
      </c>
      <c r="W1981" s="463" t="s">
        <v>713</v>
      </c>
      <c r="X1981" s="463" t="s">
        <v>713</v>
      </c>
      <c r="Y1981" s="463" t="s">
        <v>713</v>
      </c>
      <c r="Z1981" s="463"/>
      <c r="AA1981" s="463"/>
      <c r="AB1981" s="464">
        <v>692.87221902915473</v>
      </c>
      <c r="AC1981" s="465">
        <v>0.95561962647625143</v>
      </c>
      <c r="AD1981" s="465">
        <v>4.1469874393793293E-3</v>
      </c>
      <c r="AE1981" s="476">
        <v>705.74341883827947</v>
      </c>
      <c r="AF1981" s="467">
        <v>0.97337177588575086</v>
      </c>
      <c r="AG1981" s="468">
        <v>4.18514302188123E-3</v>
      </c>
      <c r="AH1981" s="218">
        <v>689.19307005154178</v>
      </c>
      <c r="AI1981" s="470">
        <v>0.95054528971519126</v>
      </c>
      <c r="AJ1981" s="471">
        <v>4.3310069115585579E-3</v>
      </c>
      <c r="AK1981" s="218">
        <v>689.19307005154178</v>
      </c>
      <c r="AL1981" s="470">
        <v>0.95054528971519126</v>
      </c>
      <c r="AM1981" s="471">
        <v>4.3310069115585579E-3</v>
      </c>
      <c r="AN1981" s="477">
        <v>701.14545288501665</v>
      </c>
      <c r="AO1981" s="473">
        <v>0.96703019314346084</v>
      </c>
      <c r="AP1981" s="474">
        <v>4.4379034452305677E-3</v>
      </c>
      <c r="AQ1981" s="352"/>
      <c r="AR1981" s="352"/>
      <c r="AS1981" s="352"/>
      <c r="AT1981" s="352"/>
      <c r="AU1981" s="352"/>
      <c r="AV1981" s="352"/>
      <c r="AW1981" s="352" t="s">
        <v>254</v>
      </c>
    </row>
    <row r="1982" spans="2:49" x14ac:dyDescent="0.2">
      <c r="B1982" s="460" t="s">
        <v>2954</v>
      </c>
      <c r="C1982" s="460">
        <v>2212</v>
      </c>
      <c r="D1982" s="460" t="s">
        <v>2283</v>
      </c>
      <c r="E1982" s="460" t="s">
        <v>2277</v>
      </c>
      <c r="F1982" s="460">
        <v>4</v>
      </c>
      <c r="G1982" s="460">
        <v>1</v>
      </c>
      <c r="H1982" s="461" t="s">
        <v>712</v>
      </c>
      <c r="I1982" s="461" t="s">
        <v>713</v>
      </c>
      <c r="J1982" s="461" t="s">
        <v>712</v>
      </c>
      <c r="K1982" s="594"/>
      <c r="L1982" s="594"/>
      <c r="M1982" s="352">
        <v>2000</v>
      </c>
      <c r="N1982" s="352" t="s">
        <v>703</v>
      </c>
      <c r="O1982" s="460">
        <v>2212</v>
      </c>
      <c r="P1982" s="460" t="s">
        <v>784</v>
      </c>
      <c r="Q1982" s="460" t="s">
        <v>2280</v>
      </c>
      <c r="R1982" s="460">
        <v>2121</v>
      </c>
      <c r="S1982" s="460" t="s">
        <v>2277</v>
      </c>
      <c r="T1982" s="462">
        <v>1</v>
      </c>
      <c r="U1982" s="460" t="s">
        <v>2277</v>
      </c>
      <c r="V1982" s="475">
        <v>0</v>
      </c>
      <c r="W1982" s="463" t="s">
        <v>713</v>
      </c>
      <c r="X1982" s="463" t="s">
        <v>713</v>
      </c>
      <c r="Y1982" s="463" t="s">
        <v>713</v>
      </c>
      <c r="Z1982" s="463"/>
      <c r="AA1982" s="463"/>
      <c r="AB1982" s="464">
        <v>799.09667273347441</v>
      </c>
      <c r="AC1982" s="465">
        <v>0.99966144544578528</v>
      </c>
      <c r="AD1982" s="465">
        <v>4.1499286699609346E-3</v>
      </c>
      <c r="AE1982" s="476">
        <v>799.20492450973097</v>
      </c>
      <c r="AF1982" s="467">
        <v>0.99979686726747108</v>
      </c>
      <c r="AG1982" s="468">
        <v>4.1499275058225508E-3</v>
      </c>
      <c r="AH1982" s="218">
        <v>799.20492450973097</v>
      </c>
      <c r="AI1982" s="470">
        <v>0.99979686726747108</v>
      </c>
      <c r="AJ1982" s="471">
        <v>4.1501345093886048E-3</v>
      </c>
      <c r="AK1982" s="218">
        <v>799.20492450973097</v>
      </c>
      <c r="AL1982" s="470">
        <v>0.99979686726747108</v>
      </c>
      <c r="AM1982" s="471">
        <v>4.1501345093886048E-3</v>
      </c>
      <c r="AN1982" s="477">
        <v>799.09667273347441</v>
      </c>
      <c r="AO1982" s="473">
        <v>0.99966144544578517</v>
      </c>
      <c r="AP1982" s="474">
        <v>4.1495930679112652E-3</v>
      </c>
      <c r="AQ1982" s="352"/>
      <c r="AR1982" s="352"/>
      <c r="AS1982" s="352"/>
      <c r="AT1982" s="352"/>
      <c r="AU1982" s="352"/>
      <c r="AV1982" s="352"/>
      <c r="AW1982" s="352" t="s">
        <v>254</v>
      </c>
    </row>
    <row r="1983" spans="2:49" x14ac:dyDescent="0.2">
      <c r="B1983" s="460" t="s">
        <v>2951</v>
      </c>
      <c r="C1983" s="460">
        <v>2212</v>
      </c>
      <c r="D1983" s="460" t="s">
        <v>2284</v>
      </c>
      <c r="E1983" s="460" t="s">
        <v>2265</v>
      </c>
      <c r="F1983" s="460">
        <v>1</v>
      </c>
      <c r="G1983" s="460">
        <v>1</v>
      </c>
      <c r="H1983" s="461" t="s">
        <v>746</v>
      </c>
      <c r="I1983" s="461" t="s">
        <v>762</v>
      </c>
      <c r="J1983" s="461" t="s">
        <v>700</v>
      </c>
      <c r="K1983" s="594"/>
      <c r="L1983" s="594"/>
      <c r="M1983" s="352">
        <v>2000</v>
      </c>
      <c r="N1983" s="352" t="s">
        <v>703</v>
      </c>
      <c r="O1983" s="460">
        <v>2212</v>
      </c>
      <c r="P1983" s="460" t="s">
        <v>784</v>
      </c>
      <c r="Q1983" s="460" t="s">
        <v>2531</v>
      </c>
      <c r="R1983" s="460">
        <v>2121</v>
      </c>
      <c r="S1983" s="460" t="s">
        <v>2265</v>
      </c>
      <c r="T1983" s="462">
        <v>1</v>
      </c>
      <c r="U1983" s="460" t="s">
        <v>2265</v>
      </c>
      <c r="V1983" s="475">
        <v>0</v>
      </c>
      <c r="W1983" s="463" t="s">
        <v>2268</v>
      </c>
      <c r="X1983" s="463" t="s">
        <v>2268</v>
      </c>
      <c r="Y1983" s="463" t="s">
        <v>2290</v>
      </c>
      <c r="Z1983" s="463"/>
      <c r="AA1983" s="463"/>
      <c r="AB1983" s="464">
        <v>0</v>
      </c>
      <c r="AC1983" s="465">
        <v>0</v>
      </c>
      <c r="AD1983" s="465">
        <v>0</v>
      </c>
      <c r="AE1983" s="476">
        <v>0</v>
      </c>
      <c r="AF1983" s="467">
        <v>0</v>
      </c>
      <c r="AG1983" s="468">
        <v>0</v>
      </c>
      <c r="AH1983" s="218">
        <v>0</v>
      </c>
      <c r="AI1983" s="470">
        <v>0</v>
      </c>
      <c r="AJ1983" s="471">
        <v>0</v>
      </c>
      <c r="AK1983" s="218">
        <v>0</v>
      </c>
      <c r="AL1983" s="470">
        <v>0</v>
      </c>
      <c r="AM1983" s="471">
        <v>0</v>
      </c>
      <c r="AN1983" s="477">
        <v>0</v>
      </c>
      <c r="AO1983" s="473">
        <v>0</v>
      </c>
      <c r="AP1983" s="474">
        <v>0</v>
      </c>
      <c r="AQ1983" s="352"/>
      <c r="AR1983" s="352"/>
      <c r="AS1983" s="352"/>
      <c r="AT1983" s="352"/>
      <c r="AU1983" s="352"/>
      <c r="AV1983" s="352"/>
      <c r="AW1983" s="352" t="s">
        <v>254</v>
      </c>
    </row>
    <row r="1984" spans="2:49" x14ac:dyDescent="0.2">
      <c r="B1984" s="460" t="s">
        <v>2952</v>
      </c>
      <c r="C1984" s="460">
        <v>2212</v>
      </c>
      <c r="D1984" s="460" t="s">
        <v>2285</v>
      </c>
      <c r="E1984" s="460" t="s">
        <v>2271</v>
      </c>
      <c r="F1984" s="460">
        <v>2</v>
      </c>
      <c r="G1984" s="460">
        <v>1</v>
      </c>
      <c r="H1984" s="461" t="s">
        <v>746</v>
      </c>
      <c r="I1984" s="461" t="s">
        <v>762</v>
      </c>
      <c r="J1984" s="461" t="s">
        <v>700</v>
      </c>
      <c r="K1984" s="594"/>
      <c r="L1984" s="594"/>
      <c r="M1984" s="352">
        <v>2000</v>
      </c>
      <c r="N1984" s="352" t="s">
        <v>703</v>
      </c>
      <c r="O1984" s="460">
        <v>2212</v>
      </c>
      <c r="P1984" s="460" t="s">
        <v>784</v>
      </c>
      <c r="Q1984" s="460" t="s">
        <v>2531</v>
      </c>
      <c r="R1984" s="460">
        <v>2121</v>
      </c>
      <c r="S1984" s="460" t="s">
        <v>2265</v>
      </c>
      <c r="T1984" s="462">
        <v>1</v>
      </c>
      <c r="U1984" s="460" t="s">
        <v>2271</v>
      </c>
      <c r="V1984" s="475">
        <v>0</v>
      </c>
      <c r="W1984" s="463" t="s">
        <v>2268</v>
      </c>
      <c r="X1984" s="463" t="s">
        <v>2268</v>
      </c>
      <c r="Y1984" s="463" t="s">
        <v>2290</v>
      </c>
      <c r="Z1984" s="463"/>
      <c r="AA1984" s="463"/>
      <c r="AB1984" s="464">
        <v>0</v>
      </c>
      <c r="AC1984" s="465">
        <v>0</v>
      </c>
      <c r="AD1984" s="465">
        <v>0</v>
      </c>
      <c r="AE1984" s="476">
        <v>0</v>
      </c>
      <c r="AF1984" s="467">
        <v>0</v>
      </c>
      <c r="AG1984" s="468">
        <v>0</v>
      </c>
      <c r="AH1984" s="218">
        <v>0</v>
      </c>
      <c r="AI1984" s="470">
        <v>0</v>
      </c>
      <c r="AJ1984" s="471">
        <v>0</v>
      </c>
      <c r="AK1984" s="218">
        <v>0</v>
      </c>
      <c r="AL1984" s="470">
        <v>0</v>
      </c>
      <c r="AM1984" s="471">
        <v>0</v>
      </c>
      <c r="AN1984" s="477">
        <v>0</v>
      </c>
      <c r="AO1984" s="473">
        <v>0</v>
      </c>
      <c r="AP1984" s="474">
        <v>0</v>
      </c>
      <c r="AQ1984" s="352"/>
      <c r="AR1984" s="352"/>
      <c r="AS1984" s="352"/>
      <c r="AT1984" s="352"/>
      <c r="AU1984" s="352"/>
      <c r="AV1984" s="352"/>
      <c r="AW1984" s="352" t="s">
        <v>254</v>
      </c>
    </row>
    <row r="1985" spans="2:49" x14ac:dyDescent="0.2">
      <c r="B1985" s="460" t="s">
        <v>2953</v>
      </c>
      <c r="C1985" s="460">
        <v>2212</v>
      </c>
      <c r="D1985" s="460" t="s">
        <v>2286</v>
      </c>
      <c r="E1985" s="460" t="s">
        <v>2274</v>
      </c>
      <c r="F1985" s="460">
        <v>3</v>
      </c>
      <c r="G1985" s="460">
        <v>1</v>
      </c>
      <c r="H1985" s="461" t="s">
        <v>746</v>
      </c>
      <c r="I1985" s="461" t="s">
        <v>762</v>
      </c>
      <c r="J1985" s="461" t="s">
        <v>700</v>
      </c>
      <c r="K1985" s="594"/>
      <c r="L1985" s="594"/>
      <c r="M1985" s="352">
        <v>2000</v>
      </c>
      <c r="N1985" s="352" t="s">
        <v>703</v>
      </c>
      <c r="O1985" s="460">
        <v>2212</v>
      </c>
      <c r="P1985" s="460" t="s">
        <v>784</v>
      </c>
      <c r="Q1985" s="460" t="s">
        <v>2531</v>
      </c>
      <c r="R1985" s="460">
        <v>2121</v>
      </c>
      <c r="S1985" s="460" t="s">
        <v>2265</v>
      </c>
      <c r="T1985" s="462">
        <v>0.74223365950407583</v>
      </c>
      <c r="U1985" s="460" t="s">
        <v>2274</v>
      </c>
      <c r="V1985" s="475">
        <v>0</v>
      </c>
      <c r="W1985" s="463" t="s">
        <v>2268</v>
      </c>
      <c r="X1985" s="463" t="s">
        <v>2268</v>
      </c>
      <c r="Y1985" s="463" t="s">
        <v>2290</v>
      </c>
      <c r="Z1985" s="463"/>
      <c r="AA1985" s="463"/>
      <c r="AB1985" s="464">
        <v>0</v>
      </c>
      <c r="AC1985" s="465">
        <v>0</v>
      </c>
      <c r="AD1985" s="465">
        <v>0</v>
      </c>
      <c r="AE1985" s="476">
        <v>0</v>
      </c>
      <c r="AF1985" s="467">
        <v>0</v>
      </c>
      <c r="AG1985" s="468">
        <v>0</v>
      </c>
      <c r="AH1985" s="218">
        <v>0</v>
      </c>
      <c r="AI1985" s="470">
        <v>0</v>
      </c>
      <c r="AJ1985" s="471">
        <v>0</v>
      </c>
      <c r="AK1985" s="218">
        <v>0</v>
      </c>
      <c r="AL1985" s="470">
        <v>0</v>
      </c>
      <c r="AM1985" s="471">
        <v>0</v>
      </c>
      <c r="AN1985" s="477">
        <v>0</v>
      </c>
      <c r="AO1985" s="473">
        <v>0</v>
      </c>
      <c r="AP1985" s="474">
        <v>0</v>
      </c>
      <c r="AQ1985" s="352"/>
      <c r="AR1985" s="352"/>
      <c r="AS1985" s="352"/>
      <c r="AT1985" s="352"/>
      <c r="AU1985" s="352"/>
      <c r="AV1985" s="352"/>
      <c r="AW1985" s="352" t="s">
        <v>254</v>
      </c>
    </row>
    <row r="1986" spans="2:49" x14ac:dyDescent="0.2">
      <c r="B1986" s="460" t="s">
        <v>2954</v>
      </c>
      <c r="C1986" s="460">
        <v>2212</v>
      </c>
      <c r="D1986" s="460" t="s">
        <v>2287</v>
      </c>
      <c r="E1986" s="460" t="s">
        <v>2277</v>
      </c>
      <c r="F1986" s="460">
        <v>4</v>
      </c>
      <c r="G1986" s="460">
        <v>1</v>
      </c>
      <c r="H1986" s="461" t="s">
        <v>746</v>
      </c>
      <c r="I1986" s="461" t="s">
        <v>762</v>
      </c>
      <c r="J1986" s="461" t="s">
        <v>700</v>
      </c>
      <c r="K1986" s="594"/>
      <c r="L1986" s="594"/>
      <c r="M1986" s="352">
        <v>2000</v>
      </c>
      <c r="N1986" s="352" t="s">
        <v>703</v>
      </c>
      <c r="O1986" s="460">
        <v>2212</v>
      </c>
      <c r="P1986" s="460" t="s">
        <v>784</v>
      </c>
      <c r="Q1986" s="460" t="s">
        <v>2531</v>
      </c>
      <c r="R1986" s="460">
        <v>2121</v>
      </c>
      <c r="S1986" s="460" t="s">
        <v>2277</v>
      </c>
      <c r="T1986" s="462">
        <v>1</v>
      </c>
      <c r="U1986" s="460" t="s">
        <v>2277</v>
      </c>
      <c r="V1986" s="475">
        <v>0</v>
      </c>
      <c r="W1986" s="463" t="s">
        <v>2268</v>
      </c>
      <c r="X1986" s="463" t="s">
        <v>2268</v>
      </c>
      <c r="Y1986" s="463" t="s">
        <v>2290</v>
      </c>
      <c r="Z1986" s="463"/>
      <c r="AA1986" s="463"/>
      <c r="AB1986" s="464">
        <v>0</v>
      </c>
      <c r="AC1986" s="465">
        <v>0</v>
      </c>
      <c r="AD1986" s="465">
        <v>0</v>
      </c>
      <c r="AE1986" s="476">
        <v>0</v>
      </c>
      <c r="AF1986" s="467">
        <v>0</v>
      </c>
      <c r="AG1986" s="468">
        <v>0</v>
      </c>
      <c r="AH1986" s="218">
        <v>0</v>
      </c>
      <c r="AI1986" s="470">
        <v>0</v>
      </c>
      <c r="AJ1986" s="471">
        <v>0</v>
      </c>
      <c r="AK1986" s="218">
        <v>0</v>
      </c>
      <c r="AL1986" s="470">
        <v>0</v>
      </c>
      <c r="AM1986" s="471">
        <v>0</v>
      </c>
      <c r="AN1986" s="477">
        <v>0</v>
      </c>
      <c r="AO1986" s="473">
        <v>0</v>
      </c>
      <c r="AP1986" s="474">
        <v>0</v>
      </c>
      <c r="AQ1986" s="352"/>
      <c r="AR1986" s="352"/>
      <c r="AS1986" s="352"/>
      <c r="AT1986" s="352"/>
      <c r="AU1986" s="352"/>
      <c r="AV1986" s="352"/>
      <c r="AW1986" s="352" t="s">
        <v>254</v>
      </c>
    </row>
    <row r="1987" spans="2:49" x14ac:dyDescent="0.2">
      <c r="B1987" s="460" t="s">
        <v>2951</v>
      </c>
      <c r="C1987" s="460">
        <v>2212</v>
      </c>
      <c r="D1987" s="460" t="s">
        <v>2288</v>
      </c>
      <c r="E1987" s="460" t="s">
        <v>2265</v>
      </c>
      <c r="F1987" s="460">
        <v>1</v>
      </c>
      <c r="G1987" s="460">
        <v>1</v>
      </c>
      <c r="H1987" s="461" t="s">
        <v>748</v>
      </c>
      <c r="I1987" s="461" t="s">
        <v>765</v>
      </c>
      <c r="J1987" s="461" t="s">
        <v>700</v>
      </c>
      <c r="K1987" s="594"/>
      <c r="L1987" s="594"/>
      <c r="M1987" s="352">
        <v>2000</v>
      </c>
      <c r="N1987" s="352" t="s">
        <v>703</v>
      </c>
      <c r="O1987" s="460">
        <v>2212</v>
      </c>
      <c r="P1987" s="460" t="s">
        <v>784</v>
      </c>
      <c r="Q1987" s="460" t="s">
        <v>2527</v>
      </c>
      <c r="R1987" s="460">
        <v>2121</v>
      </c>
      <c r="S1987" s="460" t="s">
        <v>2265</v>
      </c>
      <c r="T1987" s="462">
        <v>1</v>
      </c>
      <c r="U1987" s="460" t="s">
        <v>2265</v>
      </c>
      <c r="V1987" s="475">
        <v>0</v>
      </c>
      <c r="W1987" s="463" t="s">
        <v>2268</v>
      </c>
      <c r="X1987" s="463" t="s">
        <v>2268</v>
      </c>
      <c r="Y1987" s="463" t="s">
        <v>2503</v>
      </c>
      <c r="Z1987" s="463"/>
      <c r="AA1987" s="463"/>
      <c r="AB1987" s="464">
        <v>0</v>
      </c>
      <c r="AC1987" s="465">
        <v>0</v>
      </c>
      <c r="AD1987" s="465">
        <v>0</v>
      </c>
      <c r="AE1987" s="476">
        <v>0</v>
      </c>
      <c r="AF1987" s="467">
        <v>0</v>
      </c>
      <c r="AG1987" s="468">
        <v>0</v>
      </c>
      <c r="AH1987" s="218">
        <v>0</v>
      </c>
      <c r="AI1987" s="470">
        <v>0</v>
      </c>
      <c r="AJ1987" s="471">
        <v>0</v>
      </c>
      <c r="AK1987" s="218">
        <v>0</v>
      </c>
      <c r="AL1987" s="470">
        <v>0</v>
      </c>
      <c r="AM1987" s="471">
        <v>0</v>
      </c>
      <c r="AN1987" s="477">
        <v>72.961737904900389</v>
      </c>
      <c r="AO1987" s="473">
        <v>4.4419713973316649E-2</v>
      </c>
      <c r="AP1987" s="474">
        <v>4.5309685831571569E-3</v>
      </c>
      <c r="AQ1987" s="352"/>
      <c r="AR1987" s="352"/>
      <c r="AS1987" s="352"/>
      <c r="AT1987" s="352"/>
      <c r="AU1987" s="352"/>
      <c r="AV1987" s="352"/>
      <c r="AW1987" s="352" t="s">
        <v>254</v>
      </c>
    </row>
    <row r="1988" spans="2:49" x14ac:dyDescent="0.2">
      <c r="B1988" s="460" t="s">
        <v>2952</v>
      </c>
      <c r="C1988" s="460">
        <v>2212</v>
      </c>
      <c r="D1988" s="460" t="s">
        <v>2291</v>
      </c>
      <c r="E1988" s="460" t="s">
        <v>2271</v>
      </c>
      <c r="F1988" s="460">
        <v>2</v>
      </c>
      <c r="G1988" s="460">
        <v>1</v>
      </c>
      <c r="H1988" s="461" t="s">
        <v>748</v>
      </c>
      <c r="I1988" s="461" t="s">
        <v>765</v>
      </c>
      <c r="J1988" s="461" t="s">
        <v>700</v>
      </c>
      <c r="K1988" s="594"/>
      <c r="L1988" s="594"/>
      <c r="M1988" s="352">
        <v>2000</v>
      </c>
      <c r="N1988" s="352" t="s">
        <v>703</v>
      </c>
      <c r="O1988" s="460">
        <v>2212</v>
      </c>
      <c r="P1988" s="460" t="s">
        <v>784</v>
      </c>
      <c r="Q1988" s="460" t="s">
        <v>2527</v>
      </c>
      <c r="R1988" s="460">
        <v>2121</v>
      </c>
      <c r="S1988" s="460" t="s">
        <v>2265</v>
      </c>
      <c r="T1988" s="462">
        <v>1</v>
      </c>
      <c r="U1988" s="460" t="s">
        <v>2271</v>
      </c>
      <c r="V1988" s="475">
        <v>0</v>
      </c>
      <c r="W1988" s="463" t="s">
        <v>2268</v>
      </c>
      <c r="X1988" s="463" t="s">
        <v>2268</v>
      </c>
      <c r="Y1988" s="463" t="s">
        <v>2503</v>
      </c>
      <c r="Z1988" s="463"/>
      <c r="AA1988" s="463"/>
      <c r="AB1988" s="464">
        <v>0</v>
      </c>
      <c r="AC1988" s="465">
        <v>0</v>
      </c>
      <c r="AD1988" s="465">
        <v>0</v>
      </c>
      <c r="AE1988" s="476">
        <v>0</v>
      </c>
      <c r="AF1988" s="467">
        <v>0</v>
      </c>
      <c r="AG1988" s="468">
        <v>0</v>
      </c>
      <c r="AH1988" s="218">
        <v>0</v>
      </c>
      <c r="AI1988" s="470">
        <v>0</v>
      </c>
      <c r="AJ1988" s="471">
        <v>0</v>
      </c>
      <c r="AK1988" s="218">
        <v>0</v>
      </c>
      <c r="AL1988" s="470">
        <v>0</v>
      </c>
      <c r="AM1988" s="471">
        <v>0</v>
      </c>
      <c r="AN1988" s="477">
        <v>74.782189788654932</v>
      </c>
      <c r="AO1988" s="473">
        <v>4.4419713973316649E-2</v>
      </c>
      <c r="AP1988" s="474">
        <v>4.7564521822547013E-3</v>
      </c>
      <c r="AQ1988" s="352"/>
      <c r="AR1988" s="352"/>
      <c r="AS1988" s="352"/>
      <c r="AT1988" s="352"/>
      <c r="AU1988" s="352"/>
      <c r="AV1988" s="352"/>
      <c r="AW1988" s="352" t="s">
        <v>254</v>
      </c>
    </row>
    <row r="1989" spans="2:49" x14ac:dyDescent="0.2">
      <c r="B1989" s="460" t="s">
        <v>2953</v>
      </c>
      <c r="C1989" s="460">
        <v>2212</v>
      </c>
      <c r="D1989" s="460" t="s">
        <v>2292</v>
      </c>
      <c r="E1989" s="460" t="s">
        <v>2274</v>
      </c>
      <c r="F1989" s="460">
        <v>3</v>
      </c>
      <c r="G1989" s="460">
        <v>1</v>
      </c>
      <c r="H1989" s="461" t="s">
        <v>748</v>
      </c>
      <c r="I1989" s="461" t="s">
        <v>765</v>
      </c>
      <c r="J1989" s="461" t="s">
        <v>700</v>
      </c>
      <c r="K1989" s="594"/>
      <c r="L1989" s="594"/>
      <c r="M1989" s="352">
        <v>2000</v>
      </c>
      <c r="N1989" s="352" t="s">
        <v>703</v>
      </c>
      <c r="O1989" s="460">
        <v>2212</v>
      </c>
      <c r="P1989" s="460" t="s">
        <v>784</v>
      </c>
      <c r="Q1989" s="460" t="s">
        <v>2527</v>
      </c>
      <c r="R1989" s="460">
        <v>2121</v>
      </c>
      <c r="S1989" s="460" t="s">
        <v>2265</v>
      </c>
      <c r="T1989" s="462">
        <v>0.74223365950407583</v>
      </c>
      <c r="U1989" s="460" t="s">
        <v>2274</v>
      </c>
      <c r="V1989" s="475">
        <v>0</v>
      </c>
      <c r="W1989" s="463" t="s">
        <v>2268</v>
      </c>
      <c r="X1989" s="463" t="s">
        <v>2268</v>
      </c>
      <c r="Y1989" s="463" t="s">
        <v>2503</v>
      </c>
      <c r="Z1989" s="463"/>
      <c r="AA1989" s="463"/>
      <c r="AB1989" s="464">
        <v>0</v>
      </c>
      <c r="AC1989" s="465">
        <v>0</v>
      </c>
      <c r="AD1989" s="465">
        <v>0</v>
      </c>
      <c r="AE1989" s="476">
        <v>0</v>
      </c>
      <c r="AF1989" s="467">
        <v>0</v>
      </c>
      <c r="AG1989" s="468">
        <v>0</v>
      </c>
      <c r="AH1989" s="218">
        <v>0</v>
      </c>
      <c r="AI1989" s="470">
        <v>0</v>
      </c>
      <c r="AJ1989" s="471">
        <v>0</v>
      </c>
      <c r="AK1989" s="218">
        <v>0</v>
      </c>
      <c r="AL1989" s="470">
        <v>0</v>
      </c>
      <c r="AM1989" s="471">
        <v>0</v>
      </c>
      <c r="AN1989" s="477">
        <v>23.904765666949835</v>
      </c>
      <c r="AO1989" s="473">
        <v>3.2969806856539149E-2</v>
      </c>
      <c r="AP1989" s="474">
        <v>3.3657142575505999E-3</v>
      </c>
      <c r="AQ1989" s="352"/>
      <c r="AR1989" s="352"/>
      <c r="AS1989" s="352"/>
      <c r="AT1989" s="352"/>
      <c r="AU1989" s="352"/>
      <c r="AV1989" s="352"/>
      <c r="AW1989" s="352" t="s">
        <v>254</v>
      </c>
    </row>
    <row r="1990" spans="2:49" x14ac:dyDescent="0.2">
      <c r="B1990" s="460" t="s">
        <v>2954</v>
      </c>
      <c r="C1990" s="460">
        <v>2212</v>
      </c>
      <c r="D1990" s="460" t="s">
        <v>2293</v>
      </c>
      <c r="E1990" s="460" t="s">
        <v>2277</v>
      </c>
      <c r="F1990" s="460">
        <v>4</v>
      </c>
      <c r="G1990" s="460">
        <v>1</v>
      </c>
      <c r="H1990" s="461" t="s">
        <v>748</v>
      </c>
      <c r="I1990" s="461" t="s">
        <v>765</v>
      </c>
      <c r="J1990" s="461" t="s">
        <v>700</v>
      </c>
      <c r="K1990" s="594"/>
      <c r="L1990" s="594"/>
      <c r="M1990" s="352">
        <v>2000</v>
      </c>
      <c r="N1990" s="352" t="s">
        <v>703</v>
      </c>
      <c r="O1990" s="460">
        <v>2212</v>
      </c>
      <c r="P1990" s="460" t="s">
        <v>784</v>
      </c>
      <c r="Q1990" s="460" t="s">
        <v>2527</v>
      </c>
      <c r="R1990" s="460">
        <v>2121</v>
      </c>
      <c r="S1990" s="460" t="s">
        <v>2277</v>
      </c>
      <c r="T1990" s="462">
        <v>1</v>
      </c>
      <c r="U1990" s="460" t="s">
        <v>2277</v>
      </c>
      <c r="V1990" s="475">
        <v>0</v>
      </c>
      <c r="W1990" s="463" t="s">
        <v>2268</v>
      </c>
      <c r="X1990" s="463" t="s">
        <v>2268</v>
      </c>
      <c r="Y1990" s="463" t="s">
        <v>2278</v>
      </c>
      <c r="Z1990" s="463"/>
      <c r="AA1990" s="463"/>
      <c r="AB1990" s="464">
        <v>0</v>
      </c>
      <c r="AC1990" s="465">
        <v>0</v>
      </c>
      <c r="AD1990" s="465">
        <v>0</v>
      </c>
      <c r="AE1990" s="476">
        <v>0</v>
      </c>
      <c r="AF1990" s="467">
        <v>0</v>
      </c>
      <c r="AG1990" s="468">
        <v>0</v>
      </c>
      <c r="AH1990" s="218">
        <v>0</v>
      </c>
      <c r="AI1990" s="470">
        <v>0</v>
      </c>
      <c r="AJ1990" s="471">
        <v>0</v>
      </c>
      <c r="AK1990" s="218">
        <v>0</v>
      </c>
      <c r="AL1990" s="470">
        <v>0</v>
      </c>
      <c r="AM1990" s="471">
        <v>0</v>
      </c>
      <c r="AN1990" s="477">
        <v>0.27062944064142702</v>
      </c>
      <c r="AO1990" s="473">
        <v>3.3855455421477739E-4</v>
      </c>
      <c r="AP1990" s="474">
        <v>6.5346640281888097E-3</v>
      </c>
      <c r="AQ1990" s="352"/>
      <c r="AR1990" s="352"/>
      <c r="AS1990" s="352"/>
      <c r="AT1990" s="352"/>
      <c r="AU1990" s="352"/>
      <c r="AV1990" s="352"/>
      <c r="AW1990" s="352" t="s">
        <v>254</v>
      </c>
    </row>
    <row r="1991" spans="2:49" x14ac:dyDescent="0.2">
      <c r="B1991" s="460" t="s">
        <v>2955</v>
      </c>
      <c r="C1991" s="460">
        <v>2212</v>
      </c>
      <c r="D1991" s="460" t="s">
        <v>2295</v>
      </c>
      <c r="E1991" s="460" t="s">
        <v>2296</v>
      </c>
      <c r="F1991" s="460">
        <v>1</v>
      </c>
      <c r="G1991" s="460">
        <v>2</v>
      </c>
      <c r="H1991" s="461" t="s">
        <v>700</v>
      </c>
      <c r="I1991" s="461" t="s">
        <v>872</v>
      </c>
      <c r="J1991" s="461" t="s">
        <v>700</v>
      </c>
      <c r="K1991" s="594"/>
      <c r="L1991" s="594"/>
      <c r="M1991" s="352">
        <v>2000</v>
      </c>
      <c r="N1991" s="352" t="s">
        <v>703</v>
      </c>
      <c r="O1991" s="460">
        <v>2212</v>
      </c>
      <c r="P1991" s="460" t="s">
        <v>784</v>
      </c>
      <c r="Q1991" s="460" t="s">
        <v>2527</v>
      </c>
      <c r="R1991" s="460">
        <v>2121</v>
      </c>
      <c r="S1991" s="460" t="s">
        <v>2296</v>
      </c>
      <c r="T1991" s="462">
        <v>1</v>
      </c>
      <c r="U1991" s="460" t="s">
        <v>2296</v>
      </c>
      <c r="V1991" s="475">
        <v>0</v>
      </c>
      <c r="W1991" s="463" t="s">
        <v>2503</v>
      </c>
      <c r="X1991" s="479" t="s">
        <v>2503</v>
      </c>
      <c r="Y1991" s="463" t="s">
        <v>2268</v>
      </c>
      <c r="Z1991" s="463"/>
      <c r="AA1991" s="463"/>
      <c r="AB1991" s="464">
        <v>81.809907177668023</v>
      </c>
      <c r="AC1991" s="465">
        <v>0.16494690236839268</v>
      </c>
      <c r="AD1991" s="465">
        <v>4.7788215194481884E-3</v>
      </c>
      <c r="AE1991" s="476">
        <v>49.085944306600808</v>
      </c>
      <c r="AF1991" s="467">
        <v>9.8968141421035605E-2</v>
      </c>
      <c r="AG1991" s="468">
        <v>3.1871522649113081E-3</v>
      </c>
      <c r="AH1991" s="218">
        <v>49.085944306600808</v>
      </c>
      <c r="AI1991" s="470">
        <v>9.8968141421035605E-2</v>
      </c>
      <c r="AJ1991" s="471">
        <v>2.9281406903496196E-3</v>
      </c>
      <c r="AK1991" s="218">
        <v>49.085944306600808</v>
      </c>
      <c r="AL1991" s="470">
        <v>9.8968141421035605E-2</v>
      </c>
      <c r="AM1991" s="471">
        <v>2.9281406903496196E-3</v>
      </c>
      <c r="AN1991" s="477">
        <v>0</v>
      </c>
      <c r="AO1991" s="473">
        <v>0</v>
      </c>
      <c r="AP1991" s="474">
        <v>0</v>
      </c>
      <c r="AQ1991" s="352"/>
      <c r="AR1991" s="352"/>
      <c r="AS1991" s="352"/>
      <c r="AT1991" s="352"/>
      <c r="AU1991" s="352"/>
      <c r="AV1991" s="352"/>
      <c r="AW1991" s="352" t="s">
        <v>254</v>
      </c>
    </row>
    <row r="1992" spans="2:49" x14ac:dyDescent="0.2">
      <c r="B1992" s="460" t="s">
        <v>2956</v>
      </c>
      <c r="C1992" s="460">
        <v>2212</v>
      </c>
      <c r="D1992" s="460" t="s">
        <v>2298</v>
      </c>
      <c r="E1992" s="460" t="s">
        <v>2299</v>
      </c>
      <c r="F1992" s="460">
        <v>2</v>
      </c>
      <c r="G1992" s="460">
        <v>2</v>
      </c>
      <c r="H1992" s="461" t="s">
        <v>700</v>
      </c>
      <c r="I1992" s="461" t="s">
        <v>872</v>
      </c>
      <c r="J1992" s="461" t="s">
        <v>700</v>
      </c>
      <c r="K1992" s="594"/>
      <c r="L1992" s="594"/>
      <c r="M1992" s="352">
        <v>2000</v>
      </c>
      <c r="N1992" s="352" t="s">
        <v>703</v>
      </c>
      <c r="O1992" s="460">
        <v>2212</v>
      </c>
      <c r="P1992" s="460" t="s">
        <v>784</v>
      </c>
      <c r="Q1992" s="460" t="s">
        <v>2527</v>
      </c>
      <c r="R1992" s="460">
        <v>2121</v>
      </c>
      <c r="S1992" s="460" t="s">
        <v>2296</v>
      </c>
      <c r="T1992" s="462">
        <v>0.55517361979372948</v>
      </c>
      <c r="U1992" s="460" t="s">
        <v>2299</v>
      </c>
      <c r="V1992" s="475">
        <v>0</v>
      </c>
      <c r="W1992" s="463" t="s">
        <v>2503</v>
      </c>
      <c r="X1992" s="479" t="s">
        <v>2503</v>
      </c>
      <c r="Y1992" s="463" t="s">
        <v>2268</v>
      </c>
      <c r="Z1992" s="463"/>
      <c r="AA1992" s="463"/>
      <c r="AB1992" s="464">
        <v>15.448796887322668</v>
      </c>
      <c r="AC1992" s="465">
        <v>5.7605308419109699E-2</v>
      </c>
      <c r="AD1992" s="465">
        <v>4.6744882144882476E-3</v>
      </c>
      <c r="AE1992" s="476">
        <v>9.2692781323936018</v>
      </c>
      <c r="AF1992" s="467">
        <v>3.4563185051465821E-2</v>
      </c>
      <c r="AG1992" s="468">
        <v>3.1474068549210785E-3</v>
      </c>
      <c r="AH1992" s="218">
        <v>14.735212156933436</v>
      </c>
      <c r="AI1992" s="470">
        <v>5.4944501316974072E-2</v>
      </c>
      <c r="AJ1992" s="471">
        <v>3.4699594320532182E-3</v>
      </c>
      <c r="AK1992" s="218">
        <v>14.735212156933436</v>
      </c>
      <c r="AL1992" s="470">
        <v>5.4944501316974072E-2</v>
      </c>
      <c r="AM1992" s="471">
        <v>3.4699594320532182E-3</v>
      </c>
      <c r="AN1992" s="477">
        <v>0</v>
      </c>
      <c r="AO1992" s="473">
        <v>0</v>
      </c>
      <c r="AP1992" s="474">
        <v>0</v>
      </c>
      <c r="AQ1992" s="352"/>
      <c r="AR1992" s="352"/>
      <c r="AS1992" s="352"/>
      <c r="AT1992" s="352"/>
      <c r="AU1992" s="352"/>
      <c r="AV1992" s="352"/>
      <c r="AW1992" s="352" t="s">
        <v>254</v>
      </c>
    </row>
    <row r="1993" spans="2:49" x14ac:dyDescent="0.2">
      <c r="B1993" s="460" t="s">
        <v>2957</v>
      </c>
      <c r="C1993" s="460">
        <v>2212</v>
      </c>
      <c r="D1993" s="460" t="s">
        <v>2301</v>
      </c>
      <c r="E1993" s="460" t="s">
        <v>2302</v>
      </c>
      <c r="F1993" s="460">
        <v>3</v>
      </c>
      <c r="G1993" s="460">
        <v>2</v>
      </c>
      <c r="H1993" s="461" t="s">
        <v>700</v>
      </c>
      <c r="I1993" s="461" t="s">
        <v>872</v>
      </c>
      <c r="J1993" s="461" t="s">
        <v>700</v>
      </c>
      <c r="K1993" s="594"/>
      <c r="L1993" s="594"/>
      <c r="M1993" s="352">
        <v>2000</v>
      </c>
      <c r="N1993" s="352" t="s">
        <v>703</v>
      </c>
      <c r="O1993" s="460">
        <v>2212</v>
      </c>
      <c r="P1993" s="460" t="s">
        <v>784</v>
      </c>
      <c r="Q1993" s="460" t="s">
        <v>2527</v>
      </c>
      <c r="R1993" s="460">
        <v>2121</v>
      </c>
      <c r="S1993" s="460" t="s">
        <v>2296</v>
      </c>
      <c r="T1993" s="462">
        <v>0.28481449642268464</v>
      </c>
      <c r="U1993" s="460" t="s">
        <v>2302</v>
      </c>
      <c r="V1993" s="475">
        <v>0</v>
      </c>
      <c r="W1993" s="463" t="s">
        <v>2503</v>
      </c>
      <c r="X1993" s="463" t="s">
        <v>2503</v>
      </c>
      <c r="Y1993" s="463" t="s">
        <v>2268</v>
      </c>
      <c r="Z1993" s="463"/>
      <c r="AA1993" s="463"/>
      <c r="AB1993" s="464">
        <v>2.1857618740235716</v>
      </c>
      <c r="AC1993" s="465">
        <v>1.4464860460087901E-2</v>
      </c>
      <c r="AD1993" s="465">
        <v>4.2516081686620813E-3</v>
      </c>
      <c r="AE1993" s="476">
        <v>1.3114571244141429</v>
      </c>
      <c r="AF1993" s="467">
        <v>8.6789162760527398E-3</v>
      </c>
      <c r="AG1993" s="468">
        <v>2.8786069233723809E-3</v>
      </c>
      <c r="AH1993" s="218">
        <v>4.2593772068500266</v>
      </c>
      <c r="AI1993" s="470">
        <v>2.8187561360721293E-2</v>
      </c>
      <c r="AJ1993" s="471">
        <v>4.4217400759688332E-3</v>
      </c>
      <c r="AK1993" s="218">
        <v>4.2593772068500266</v>
      </c>
      <c r="AL1993" s="470">
        <v>2.8187561360721293E-2</v>
      </c>
      <c r="AM1993" s="471">
        <v>4.4217400759688332E-3</v>
      </c>
      <c r="AN1993" s="477">
        <v>0</v>
      </c>
      <c r="AO1993" s="473">
        <v>0</v>
      </c>
      <c r="AP1993" s="474">
        <v>0</v>
      </c>
      <c r="AQ1993" s="352"/>
      <c r="AR1993" s="352"/>
      <c r="AS1993" s="352"/>
      <c r="AT1993" s="352"/>
      <c r="AU1993" s="352"/>
      <c r="AV1993" s="352"/>
      <c r="AW1993" s="352" t="s">
        <v>254</v>
      </c>
    </row>
    <row r="1994" spans="2:49" x14ac:dyDescent="0.2">
      <c r="B1994" s="460" t="s">
        <v>2958</v>
      </c>
      <c r="C1994" s="460">
        <v>2212</v>
      </c>
      <c r="D1994" s="460" t="s">
        <v>2304</v>
      </c>
      <c r="E1994" s="460" t="s">
        <v>2305</v>
      </c>
      <c r="F1994" s="460">
        <v>4</v>
      </c>
      <c r="G1994" s="460">
        <v>2</v>
      </c>
      <c r="H1994" s="461" t="s">
        <v>700</v>
      </c>
      <c r="I1994" s="461" t="s">
        <v>872</v>
      </c>
      <c r="J1994" s="461" t="s">
        <v>700</v>
      </c>
      <c r="K1994" s="594"/>
      <c r="L1994" s="594"/>
      <c r="M1994" s="352">
        <v>2000</v>
      </c>
      <c r="N1994" s="352" t="s">
        <v>703</v>
      </c>
      <c r="O1994" s="460">
        <v>2212</v>
      </c>
      <c r="P1994" s="460" t="s">
        <v>784</v>
      </c>
      <c r="Q1994" s="460" t="s">
        <v>2527</v>
      </c>
      <c r="R1994" s="460">
        <v>2121</v>
      </c>
      <c r="S1994" s="460" t="s">
        <v>2305</v>
      </c>
      <c r="T1994" s="462">
        <v>1</v>
      </c>
      <c r="U1994" s="460" t="s">
        <v>2305</v>
      </c>
      <c r="V1994" s="475">
        <v>0</v>
      </c>
      <c r="W1994" s="463" t="s">
        <v>2503</v>
      </c>
      <c r="X1994" s="463" t="s">
        <v>2503</v>
      </c>
      <c r="Y1994" s="463" t="s">
        <v>2268</v>
      </c>
      <c r="Z1994" s="463"/>
      <c r="AA1994" s="463"/>
      <c r="AB1994" s="464">
        <v>5.0029622402553653E-2</v>
      </c>
      <c r="AC1994" s="465">
        <v>2.9181107525856148E-4</v>
      </c>
      <c r="AD1994" s="465">
        <v>3.961000000000001E-3</v>
      </c>
      <c r="AE1994" s="476">
        <v>3.001777344153219E-2</v>
      </c>
      <c r="AF1994" s="467">
        <v>1.7508664515513688E-4</v>
      </c>
      <c r="AG1994" s="468">
        <v>2.6390223508848021E-3</v>
      </c>
      <c r="AH1994" s="218">
        <v>3.001777344153219E-2</v>
      </c>
      <c r="AI1994" s="470">
        <v>1.7508664515513688E-4</v>
      </c>
      <c r="AJ1994" s="471">
        <v>2.6280709068260068E-3</v>
      </c>
      <c r="AK1994" s="218">
        <v>3.001777344153219E-2</v>
      </c>
      <c r="AL1994" s="470">
        <v>1.7508664515513688E-4</v>
      </c>
      <c r="AM1994" s="471">
        <v>2.6280709068260068E-3</v>
      </c>
      <c r="AN1994" s="477">
        <v>0</v>
      </c>
      <c r="AO1994" s="473">
        <v>0</v>
      </c>
      <c r="AP1994" s="474">
        <v>0</v>
      </c>
      <c r="AQ1994" s="352"/>
      <c r="AR1994" s="352"/>
      <c r="AS1994" s="352"/>
      <c r="AT1994" s="352"/>
      <c r="AU1994" s="352"/>
      <c r="AV1994" s="352"/>
      <c r="AW1994" s="352" t="s">
        <v>254</v>
      </c>
    </row>
    <row r="1995" spans="2:49" x14ac:dyDescent="0.2">
      <c r="B1995" s="460" t="s">
        <v>2955</v>
      </c>
      <c r="C1995" s="460">
        <v>2212</v>
      </c>
      <c r="D1995" s="460" t="s">
        <v>2306</v>
      </c>
      <c r="E1995" s="460" t="s">
        <v>2296</v>
      </c>
      <c r="F1995" s="460">
        <v>1</v>
      </c>
      <c r="G1995" s="460">
        <v>2</v>
      </c>
      <c r="H1995" s="461" t="s">
        <v>712</v>
      </c>
      <c r="I1995" s="461" t="s">
        <v>713</v>
      </c>
      <c r="J1995" s="461" t="s">
        <v>712</v>
      </c>
      <c r="K1995" s="594"/>
      <c r="L1995" s="594"/>
      <c r="M1995" s="352">
        <v>2000</v>
      </c>
      <c r="N1995" s="352" t="s">
        <v>703</v>
      </c>
      <c r="O1995" s="460">
        <v>2212</v>
      </c>
      <c r="P1995" s="460" t="s">
        <v>784</v>
      </c>
      <c r="Q1995" s="460" t="s">
        <v>2280</v>
      </c>
      <c r="R1995" s="460">
        <v>2121</v>
      </c>
      <c r="S1995" s="460" t="s">
        <v>2296</v>
      </c>
      <c r="T1995" s="462">
        <v>1</v>
      </c>
      <c r="U1995" s="460" t="s">
        <v>2296</v>
      </c>
      <c r="V1995" s="475">
        <v>0</v>
      </c>
      <c r="W1995" s="463" t="s">
        <v>713</v>
      </c>
      <c r="X1995" s="463" t="s">
        <v>713</v>
      </c>
      <c r="Y1995" s="463" t="s">
        <v>713</v>
      </c>
      <c r="Z1995" s="463"/>
      <c r="AA1995" s="463"/>
      <c r="AB1995" s="464">
        <v>414.16731945101782</v>
      </c>
      <c r="AC1995" s="465">
        <v>0.83505309763160729</v>
      </c>
      <c r="AD1995" s="465">
        <v>3.5821235697593001E-3</v>
      </c>
      <c r="AE1995" s="476">
        <v>446.89128232208503</v>
      </c>
      <c r="AF1995" s="467">
        <v>0.9010318585789644</v>
      </c>
      <c r="AG1995" s="468">
        <v>3.8085588439770259E-3</v>
      </c>
      <c r="AH1995" s="218">
        <v>446.89128232208503</v>
      </c>
      <c r="AI1995" s="470">
        <v>0.9010318585789644</v>
      </c>
      <c r="AJ1995" s="471">
        <v>3.8532964541002886E-3</v>
      </c>
      <c r="AK1995" s="218">
        <v>446.89128232208503</v>
      </c>
      <c r="AL1995" s="470">
        <v>0.9010318585789644</v>
      </c>
      <c r="AM1995" s="471">
        <v>3.8532964541002886E-3</v>
      </c>
      <c r="AN1995" s="477">
        <v>463.25326375761864</v>
      </c>
      <c r="AO1995" s="473">
        <v>0.93402123905264289</v>
      </c>
      <c r="AP1995" s="474">
        <v>3.9933964989012673E-3</v>
      </c>
      <c r="AQ1995" s="352"/>
      <c r="AR1995" s="352"/>
      <c r="AS1995" s="352"/>
      <c r="AT1995" s="352"/>
      <c r="AU1995" s="352"/>
      <c r="AV1995" s="352"/>
      <c r="AW1995" s="352" t="s">
        <v>254</v>
      </c>
    </row>
    <row r="1996" spans="2:49" x14ac:dyDescent="0.2">
      <c r="B1996" s="460" t="s">
        <v>2956</v>
      </c>
      <c r="C1996" s="460">
        <v>2212</v>
      </c>
      <c r="D1996" s="460" t="s">
        <v>2307</v>
      </c>
      <c r="E1996" s="460" t="s">
        <v>2299</v>
      </c>
      <c r="F1996" s="460">
        <v>2</v>
      </c>
      <c r="G1996" s="460">
        <v>2</v>
      </c>
      <c r="H1996" s="461" t="s">
        <v>712</v>
      </c>
      <c r="I1996" s="461" t="s">
        <v>713</v>
      </c>
      <c r="J1996" s="461" t="s">
        <v>712</v>
      </c>
      <c r="K1996" s="594"/>
      <c r="L1996" s="594"/>
      <c r="M1996" s="352">
        <v>2000</v>
      </c>
      <c r="N1996" s="352" t="s">
        <v>703</v>
      </c>
      <c r="O1996" s="460">
        <v>2212</v>
      </c>
      <c r="P1996" s="460" t="s">
        <v>784</v>
      </c>
      <c r="Q1996" s="460" t="s">
        <v>2280</v>
      </c>
      <c r="R1996" s="460">
        <v>2121</v>
      </c>
      <c r="S1996" s="460" t="s">
        <v>2296</v>
      </c>
      <c r="T1996" s="462">
        <v>0.55517361979372948</v>
      </c>
      <c r="U1996" s="460" t="s">
        <v>2299</v>
      </c>
      <c r="V1996" s="475">
        <v>0</v>
      </c>
      <c r="W1996" s="463" t="s">
        <v>713</v>
      </c>
      <c r="X1996" s="463" t="s">
        <v>713</v>
      </c>
      <c r="Y1996" s="463" t="s">
        <v>713</v>
      </c>
      <c r="Z1996" s="463"/>
      <c r="AA1996" s="463"/>
      <c r="AB1996" s="464">
        <v>252.7347665947845</v>
      </c>
      <c r="AC1996" s="465">
        <v>0.94239469158089029</v>
      </c>
      <c r="AD1996" s="465">
        <v>2.9233205021332045E-3</v>
      </c>
      <c r="AE1996" s="476">
        <v>258.91428534971357</v>
      </c>
      <c r="AF1996" s="467">
        <v>0.96543681494853417</v>
      </c>
      <c r="AG1996" s="468">
        <v>2.9823833910237328E-3</v>
      </c>
      <c r="AH1996" s="218">
        <v>253.44835132517375</v>
      </c>
      <c r="AI1996" s="470">
        <v>0.94505549868302596</v>
      </c>
      <c r="AJ1996" s="471">
        <v>2.9693758599695303E-3</v>
      </c>
      <c r="AK1996" s="218">
        <v>253.44835132517375</v>
      </c>
      <c r="AL1996" s="470">
        <v>0.94505549868302596</v>
      </c>
      <c r="AM1996" s="471">
        <v>2.9693758599695303E-3</v>
      </c>
      <c r="AN1996" s="477">
        <v>258.36008871081822</v>
      </c>
      <c r="AO1996" s="473">
        <v>0.96337033245535064</v>
      </c>
      <c r="AP1996" s="474">
        <v>3.0265391877174327E-3</v>
      </c>
      <c r="AQ1996" s="352"/>
      <c r="AR1996" s="352"/>
      <c r="AS1996" s="352"/>
      <c r="AT1996" s="352"/>
      <c r="AU1996" s="352"/>
      <c r="AV1996" s="352"/>
      <c r="AW1996" s="352" t="s">
        <v>254</v>
      </c>
    </row>
    <row r="1997" spans="2:49" x14ac:dyDescent="0.2">
      <c r="B1997" s="460" t="s">
        <v>2957</v>
      </c>
      <c r="C1997" s="460">
        <v>2212</v>
      </c>
      <c r="D1997" s="460" t="s">
        <v>2308</v>
      </c>
      <c r="E1997" s="460" t="s">
        <v>2302</v>
      </c>
      <c r="F1997" s="460">
        <v>3</v>
      </c>
      <c r="G1997" s="460">
        <v>2</v>
      </c>
      <c r="H1997" s="461" t="s">
        <v>712</v>
      </c>
      <c r="I1997" s="461" t="s">
        <v>713</v>
      </c>
      <c r="J1997" s="461" t="s">
        <v>712</v>
      </c>
      <c r="K1997" s="594"/>
      <c r="L1997" s="594"/>
      <c r="M1997" s="352">
        <v>2000</v>
      </c>
      <c r="N1997" s="352" t="s">
        <v>703</v>
      </c>
      <c r="O1997" s="460">
        <v>2212</v>
      </c>
      <c r="P1997" s="460" t="s">
        <v>784</v>
      </c>
      <c r="Q1997" s="460" t="s">
        <v>2280</v>
      </c>
      <c r="R1997" s="460">
        <v>2121</v>
      </c>
      <c r="S1997" s="460" t="s">
        <v>2296</v>
      </c>
      <c r="T1997" s="462">
        <v>0.28481449642268464</v>
      </c>
      <c r="U1997" s="460" t="s">
        <v>2302</v>
      </c>
      <c r="V1997" s="475">
        <v>0</v>
      </c>
      <c r="W1997" s="463" t="s">
        <v>713</v>
      </c>
      <c r="X1997" s="463" t="s">
        <v>713</v>
      </c>
      <c r="Y1997" s="463" t="s">
        <v>713</v>
      </c>
      <c r="Z1997" s="463"/>
      <c r="AA1997" s="463"/>
      <c r="AB1997" s="464">
        <v>148.92263492348616</v>
      </c>
      <c r="AC1997" s="465">
        <v>0.98553513953991212</v>
      </c>
      <c r="AD1997" s="465">
        <v>4.3317873071407427E-3</v>
      </c>
      <c r="AE1997" s="476">
        <v>149.79693967309558</v>
      </c>
      <c r="AF1997" s="467">
        <v>0.99132108372394723</v>
      </c>
      <c r="AG1997" s="468">
        <v>4.3498150287364454E-3</v>
      </c>
      <c r="AH1997" s="218">
        <v>146.84901959065971</v>
      </c>
      <c r="AI1997" s="470">
        <v>0.97181243863927869</v>
      </c>
      <c r="AJ1997" s="471">
        <v>4.3280186473292678E-3</v>
      </c>
      <c r="AK1997" s="218">
        <v>146.84901959065971</v>
      </c>
      <c r="AL1997" s="470">
        <v>0.97181243863927869</v>
      </c>
      <c r="AM1997" s="471">
        <v>4.3280186473292678E-3</v>
      </c>
      <c r="AN1997" s="477">
        <v>148.26881199294303</v>
      </c>
      <c r="AO1997" s="473">
        <v>0.98120829242618579</v>
      </c>
      <c r="AP1997" s="474">
        <v>4.3736634235045672E-3</v>
      </c>
      <c r="AQ1997" s="352"/>
      <c r="AR1997" s="352"/>
      <c r="AS1997" s="352"/>
      <c r="AT1997" s="352"/>
      <c r="AU1997" s="352"/>
      <c r="AV1997" s="352"/>
      <c r="AW1997" s="352" t="s">
        <v>254</v>
      </c>
    </row>
    <row r="1998" spans="2:49" x14ac:dyDescent="0.2">
      <c r="B1998" s="460" t="s">
        <v>2958</v>
      </c>
      <c r="C1998" s="460">
        <v>2212</v>
      </c>
      <c r="D1998" s="460" t="s">
        <v>2309</v>
      </c>
      <c r="E1998" s="460" t="s">
        <v>2305</v>
      </c>
      <c r="F1998" s="460">
        <v>4</v>
      </c>
      <c r="G1998" s="460">
        <v>2</v>
      </c>
      <c r="H1998" s="461" t="s">
        <v>712</v>
      </c>
      <c r="I1998" s="461" t="s">
        <v>713</v>
      </c>
      <c r="J1998" s="461" t="s">
        <v>712</v>
      </c>
      <c r="K1998" s="594"/>
      <c r="L1998" s="594"/>
      <c r="M1998" s="352">
        <v>2000</v>
      </c>
      <c r="N1998" s="352" t="s">
        <v>703</v>
      </c>
      <c r="O1998" s="460">
        <v>2212</v>
      </c>
      <c r="P1998" s="460" t="s">
        <v>784</v>
      </c>
      <c r="Q1998" s="460" t="s">
        <v>2280</v>
      </c>
      <c r="R1998" s="460">
        <v>2121</v>
      </c>
      <c r="S1998" s="460" t="s">
        <v>2305</v>
      </c>
      <c r="T1998" s="462">
        <v>1</v>
      </c>
      <c r="U1998" s="460" t="s">
        <v>2305</v>
      </c>
      <c r="V1998" s="475">
        <v>0</v>
      </c>
      <c r="W1998" s="463" t="s">
        <v>713</v>
      </c>
      <c r="X1998" s="463" t="s">
        <v>713</v>
      </c>
      <c r="Y1998" s="463" t="s">
        <v>713</v>
      </c>
      <c r="Z1998" s="463"/>
      <c r="AA1998" s="463"/>
      <c r="AB1998" s="464">
        <v>171.39521918532182</v>
      </c>
      <c r="AC1998" s="465">
        <v>0.99970818892474145</v>
      </c>
      <c r="AD1998" s="465">
        <v>4.3774171727979363E-3</v>
      </c>
      <c r="AE1998" s="476">
        <v>171.41523103428284</v>
      </c>
      <c r="AF1998" s="467">
        <v>0.99982491335484491</v>
      </c>
      <c r="AG1998" s="468">
        <v>4.3777878453479203E-3</v>
      </c>
      <c r="AH1998" s="218">
        <v>171.41523103428284</v>
      </c>
      <c r="AI1998" s="470">
        <v>0.99982491335484491</v>
      </c>
      <c r="AJ1998" s="471">
        <v>4.3777931447913096E-3</v>
      </c>
      <c r="AK1998" s="218">
        <v>171.41523103428284</v>
      </c>
      <c r="AL1998" s="470">
        <v>0.99982491335484491</v>
      </c>
      <c r="AM1998" s="471">
        <v>4.3777931447913096E-3</v>
      </c>
      <c r="AN1998" s="477">
        <v>171.39521918532182</v>
      </c>
      <c r="AO1998" s="473">
        <v>0.99970818892474145</v>
      </c>
      <c r="AP1998" s="474">
        <v>4.3772874141837009E-3</v>
      </c>
      <c r="AQ1998" s="352"/>
      <c r="AR1998" s="352"/>
      <c r="AS1998" s="352"/>
      <c r="AT1998" s="352"/>
      <c r="AU1998" s="352"/>
      <c r="AV1998" s="352"/>
      <c r="AW1998" s="352" t="s">
        <v>254</v>
      </c>
    </row>
    <row r="1999" spans="2:49" x14ac:dyDescent="0.2">
      <c r="B1999" s="460" t="s">
        <v>2955</v>
      </c>
      <c r="C1999" s="460">
        <v>2212</v>
      </c>
      <c r="D1999" s="460" t="s">
        <v>2310</v>
      </c>
      <c r="E1999" s="460" t="s">
        <v>2296</v>
      </c>
      <c r="F1999" s="460">
        <v>1</v>
      </c>
      <c r="G1999" s="460">
        <v>2</v>
      </c>
      <c r="H1999" s="461" t="s">
        <v>746</v>
      </c>
      <c r="I1999" s="461" t="s">
        <v>762</v>
      </c>
      <c r="J1999" s="461" t="s">
        <v>700</v>
      </c>
      <c r="K1999" s="594"/>
      <c r="L1999" s="594"/>
      <c r="M1999" s="352">
        <v>2000</v>
      </c>
      <c r="N1999" s="352" t="s">
        <v>703</v>
      </c>
      <c r="O1999" s="460">
        <v>2212</v>
      </c>
      <c r="P1999" s="460" t="s">
        <v>784</v>
      </c>
      <c r="Q1999" s="460" t="s">
        <v>2531</v>
      </c>
      <c r="R1999" s="460">
        <v>2121</v>
      </c>
      <c r="S1999" s="460" t="s">
        <v>2296</v>
      </c>
      <c r="T1999" s="462">
        <v>1</v>
      </c>
      <c r="U1999" s="460" t="s">
        <v>2296</v>
      </c>
      <c r="V1999" s="475">
        <v>0</v>
      </c>
      <c r="W1999" s="463" t="s">
        <v>2268</v>
      </c>
      <c r="X1999" s="463" t="s">
        <v>2268</v>
      </c>
      <c r="Y1999" s="463" t="s">
        <v>2290</v>
      </c>
      <c r="Z1999" s="463"/>
      <c r="AA1999" s="463"/>
      <c r="AB1999" s="464">
        <v>0</v>
      </c>
      <c r="AC1999" s="465">
        <v>0</v>
      </c>
      <c r="AD1999" s="465">
        <v>0</v>
      </c>
      <c r="AE1999" s="476">
        <v>0</v>
      </c>
      <c r="AF1999" s="467">
        <v>0</v>
      </c>
      <c r="AG1999" s="468">
        <v>0</v>
      </c>
      <c r="AH1999" s="218">
        <v>0</v>
      </c>
      <c r="AI1999" s="470">
        <v>0</v>
      </c>
      <c r="AJ1999" s="471">
        <v>0</v>
      </c>
      <c r="AK1999" s="218">
        <v>0</v>
      </c>
      <c r="AL1999" s="470">
        <v>0</v>
      </c>
      <c r="AM1999" s="471">
        <v>0</v>
      </c>
      <c r="AN1999" s="477">
        <v>0</v>
      </c>
      <c r="AO1999" s="473">
        <v>0</v>
      </c>
      <c r="AP1999" s="474">
        <v>0</v>
      </c>
      <c r="AQ1999" s="352"/>
      <c r="AR1999" s="352"/>
      <c r="AS1999" s="352"/>
      <c r="AT1999" s="352"/>
      <c r="AU1999" s="352"/>
      <c r="AV1999" s="352"/>
      <c r="AW1999" s="352" t="s">
        <v>254</v>
      </c>
    </row>
    <row r="2000" spans="2:49" x14ac:dyDescent="0.2">
      <c r="B2000" s="460" t="s">
        <v>2956</v>
      </c>
      <c r="C2000" s="460">
        <v>2212</v>
      </c>
      <c r="D2000" s="460" t="s">
        <v>2311</v>
      </c>
      <c r="E2000" s="460" t="s">
        <v>2299</v>
      </c>
      <c r="F2000" s="460">
        <v>2</v>
      </c>
      <c r="G2000" s="460">
        <v>2</v>
      </c>
      <c r="H2000" s="461" t="s">
        <v>746</v>
      </c>
      <c r="I2000" s="461" t="s">
        <v>762</v>
      </c>
      <c r="J2000" s="461" t="s">
        <v>700</v>
      </c>
      <c r="K2000" s="594"/>
      <c r="L2000" s="594"/>
      <c r="M2000" s="352">
        <v>2000</v>
      </c>
      <c r="N2000" s="352" t="s">
        <v>703</v>
      </c>
      <c r="O2000" s="460">
        <v>2212</v>
      </c>
      <c r="P2000" s="460" t="s">
        <v>784</v>
      </c>
      <c r="Q2000" s="460" t="s">
        <v>2531</v>
      </c>
      <c r="R2000" s="460">
        <v>2121</v>
      </c>
      <c r="S2000" s="460" t="s">
        <v>2296</v>
      </c>
      <c r="T2000" s="462">
        <v>0.55517361979372948</v>
      </c>
      <c r="U2000" s="460" t="s">
        <v>2299</v>
      </c>
      <c r="V2000" s="475">
        <v>0</v>
      </c>
      <c r="W2000" s="463" t="s">
        <v>2268</v>
      </c>
      <c r="X2000" s="463" t="s">
        <v>2268</v>
      </c>
      <c r="Y2000" s="463" t="s">
        <v>2290</v>
      </c>
      <c r="Z2000" s="463"/>
      <c r="AA2000" s="463"/>
      <c r="AB2000" s="464">
        <v>0</v>
      </c>
      <c r="AC2000" s="465">
        <v>0</v>
      </c>
      <c r="AD2000" s="465">
        <v>0</v>
      </c>
      <c r="AE2000" s="476">
        <v>0</v>
      </c>
      <c r="AF2000" s="467">
        <v>0</v>
      </c>
      <c r="AG2000" s="468">
        <v>0</v>
      </c>
      <c r="AH2000" s="218">
        <v>0</v>
      </c>
      <c r="AI2000" s="470">
        <v>0</v>
      </c>
      <c r="AJ2000" s="471">
        <v>0</v>
      </c>
      <c r="AK2000" s="218">
        <v>0</v>
      </c>
      <c r="AL2000" s="470">
        <v>0</v>
      </c>
      <c r="AM2000" s="471">
        <v>0</v>
      </c>
      <c r="AN2000" s="477">
        <v>0</v>
      </c>
      <c r="AO2000" s="473">
        <v>0</v>
      </c>
      <c r="AP2000" s="474">
        <v>0</v>
      </c>
      <c r="AQ2000" s="352"/>
      <c r="AR2000" s="352"/>
      <c r="AS2000" s="352"/>
      <c r="AT2000" s="352"/>
      <c r="AU2000" s="352"/>
      <c r="AV2000" s="352"/>
      <c r="AW2000" s="352" t="s">
        <v>254</v>
      </c>
    </row>
    <row r="2001" spans="2:49" x14ac:dyDescent="0.2">
      <c r="B2001" s="460" t="s">
        <v>2957</v>
      </c>
      <c r="C2001" s="460">
        <v>2212</v>
      </c>
      <c r="D2001" s="460" t="s">
        <v>2312</v>
      </c>
      <c r="E2001" s="460" t="s">
        <v>2302</v>
      </c>
      <c r="F2001" s="460">
        <v>3</v>
      </c>
      <c r="G2001" s="460">
        <v>2</v>
      </c>
      <c r="H2001" s="461" t="s">
        <v>746</v>
      </c>
      <c r="I2001" s="461" t="s">
        <v>762</v>
      </c>
      <c r="J2001" s="461" t="s">
        <v>700</v>
      </c>
      <c r="K2001" s="594"/>
      <c r="L2001" s="594"/>
      <c r="M2001" s="352">
        <v>2000</v>
      </c>
      <c r="N2001" s="352" t="s">
        <v>703</v>
      </c>
      <c r="O2001" s="460">
        <v>2212</v>
      </c>
      <c r="P2001" s="460" t="s">
        <v>784</v>
      </c>
      <c r="Q2001" s="460" t="s">
        <v>2531</v>
      </c>
      <c r="R2001" s="460">
        <v>2121</v>
      </c>
      <c r="S2001" s="460" t="s">
        <v>2296</v>
      </c>
      <c r="T2001" s="462">
        <v>0.28481449642268464</v>
      </c>
      <c r="U2001" s="460" t="s">
        <v>2302</v>
      </c>
      <c r="V2001" s="475">
        <v>0</v>
      </c>
      <c r="W2001" s="463" t="s">
        <v>2268</v>
      </c>
      <c r="X2001" s="463" t="s">
        <v>2268</v>
      </c>
      <c r="Y2001" s="463" t="s">
        <v>2290</v>
      </c>
      <c r="Z2001" s="463"/>
      <c r="AA2001" s="463"/>
      <c r="AB2001" s="464">
        <v>0</v>
      </c>
      <c r="AC2001" s="465">
        <v>0</v>
      </c>
      <c r="AD2001" s="465">
        <v>0</v>
      </c>
      <c r="AE2001" s="476">
        <v>0</v>
      </c>
      <c r="AF2001" s="467">
        <v>0</v>
      </c>
      <c r="AG2001" s="468">
        <v>0</v>
      </c>
      <c r="AH2001" s="218">
        <v>0</v>
      </c>
      <c r="AI2001" s="470">
        <v>0</v>
      </c>
      <c r="AJ2001" s="471">
        <v>0</v>
      </c>
      <c r="AK2001" s="218">
        <v>0</v>
      </c>
      <c r="AL2001" s="470">
        <v>0</v>
      </c>
      <c r="AM2001" s="471">
        <v>0</v>
      </c>
      <c r="AN2001" s="477">
        <v>0</v>
      </c>
      <c r="AO2001" s="473">
        <v>0</v>
      </c>
      <c r="AP2001" s="474">
        <v>0</v>
      </c>
      <c r="AQ2001" s="352"/>
      <c r="AR2001" s="352"/>
      <c r="AS2001" s="352"/>
      <c r="AT2001" s="352"/>
      <c r="AU2001" s="352"/>
      <c r="AV2001" s="352"/>
      <c r="AW2001" s="352" t="s">
        <v>254</v>
      </c>
    </row>
    <row r="2002" spans="2:49" x14ac:dyDescent="0.2">
      <c r="B2002" s="460" t="s">
        <v>2958</v>
      </c>
      <c r="C2002" s="460">
        <v>2212</v>
      </c>
      <c r="D2002" s="460" t="s">
        <v>2313</v>
      </c>
      <c r="E2002" s="460" t="s">
        <v>2305</v>
      </c>
      <c r="F2002" s="460">
        <v>4</v>
      </c>
      <c r="G2002" s="460">
        <v>2</v>
      </c>
      <c r="H2002" s="461" t="s">
        <v>746</v>
      </c>
      <c r="I2002" s="461" t="s">
        <v>762</v>
      </c>
      <c r="J2002" s="461" t="s">
        <v>700</v>
      </c>
      <c r="K2002" s="594"/>
      <c r="L2002" s="594"/>
      <c r="M2002" s="352">
        <v>2000</v>
      </c>
      <c r="N2002" s="352" t="s">
        <v>703</v>
      </c>
      <c r="O2002" s="460">
        <v>2212</v>
      </c>
      <c r="P2002" s="460" t="s">
        <v>784</v>
      </c>
      <c r="Q2002" s="460" t="s">
        <v>2531</v>
      </c>
      <c r="R2002" s="460">
        <v>2121</v>
      </c>
      <c r="S2002" s="460" t="s">
        <v>2305</v>
      </c>
      <c r="T2002" s="462">
        <v>1</v>
      </c>
      <c r="U2002" s="460" t="s">
        <v>2305</v>
      </c>
      <c r="V2002" s="475">
        <v>0</v>
      </c>
      <c r="W2002" s="463" t="s">
        <v>2268</v>
      </c>
      <c r="X2002" s="463" t="s">
        <v>2268</v>
      </c>
      <c r="Y2002" s="463" t="s">
        <v>2290</v>
      </c>
      <c r="Z2002" s="463"/>
      <c r="AA2002" s="463"/>
      <c r="AB2002" s="464">
        <v>0</v>
      </c>
      <c r="AC2002" s="465">
        <v>0</v>
      </c>
      <c r="AD2002" s="465">
        <v>0</v>
      </c>
      <c r="AE2002" s="476">
        <v>0</v>
      </c>
      <c r="AF2002" s="467">
        <v>0</v>
      </c>
      <c r="AG2002" s="468">
        <v>0</v>
      </c>
      <c r="AH2002" s="218">
        <v>0</v>
      </c>
      <c r="AI2002" s="470">
        <v>0</v>
      </c>
      <c r="AJ2002" s="471">
        <v>0</v>
      </c>
      <c r="AK2002" s="218">
        <v>0</v>
      </c>
      <c r="AL2002" s="470">
        <v>0</v>
      </c>
      <c r="AM2002" s="471">
        <v>0</v>
      </c>
      <c r="AN2002" s="477">
        <v>0</v>
      </c>
      <c r="AO2002" s="473">
        <v>0</v>
      </c>
      <c r="AP2002" s="474">
        <v>0</v>
      </c>
      <c r="AQ2002" s="352"/>
      <c r="AR2002" s="352"/>
      <c r="AS2002" s="352"/>
      <c r="AT2002" s="352"/>
      <c r="AU2002" s="352"/>
      <c r="AV2002" s="352"/>
      <c r="AW2002" s="352" t="s">
        <v>254</v>
      </c>
    </row>
    <row r="2003" spans="2:49" x14ac:dyDescent="0.2">
      <c r="B2003" s="460" t="s">
        <v>2955</v>
      </c>
      <c r="C2003" s="460">
        <v>2212</v>
      </c>
      <c r="D2003" s="460" t="s">
        <v>2314</v>
      </c>
      <c r="E2003" s="460" t="s">
        <v>2296</v>
      </c>
      <c r="F2003" s="460">
        <v>1</v>
      </c>
      <c r="G2003" s="460">
        <v>2</v>
      </c>
      <c r="H2003" s="461" t="s">
        <v>748</v>
      </c>
      <c r="I2003" s="461" t="s">
        <v>765</v>
      </c>
      <c r="J2003" s="461" t="s">
        <v>700</v>
      </c>
      <c r="K2003" s="594"/>
      <c r="L2003" s="594"/>
      <c r="M2003" s="352">
        <v>2000</v>
      </c>
      <c r="N2003" s="352" t="s">
        <v>703</v>
      </c>
      <c r="O2003" s="460">
        <v>2212</v>
      </c>
      <c r="P2003" s="460" t="s">
        <v>784</v>
      </c>
      <c r="Q2003" s="460" t="s">
        <v>2527</v>
      </c>
      <c r="R2003" s="460">
        <v>2121</v>
      </c>
      <c r="S2003" s="460" t="s">
        <v>2296</v>
      </c>
      <c r="T2003" s="462">
        <v>1</v>
      </c>
      <c r="U2003" s="460" t="s">
        <v>2296</v>
      </c>
      <c r="V2003" s="475">
        <v>0</v>
      </c>
      <c r="W2003" s="463" t="s">
        <v>2268</v>
      </c>
      <c r="X2003" s="463" t="s">
        <v>2268</v>
      </c>
      <c r="Y2003" s="463" t="s">
        <v>2503</v>
      </c>
      <c r="Z2003" s="463"/>
      <c r="AA2003" s="463"/>
      <c r="AB2003" s="464">
        <v>0</v>
      </c>
      <c r="AC2003" s="465">
        <v>0</v>
      </c>
      <c r="AD2003" s="465">
        <v>0</v>
      </c>
      <c r="AE2003" s="476">
        <v>0</v>
      </c>
      <c r="AF2003" s="467">
        <v>0</v>
      </c>
      <c r="AG2003" s="468">
        <v>0</v>
      </c>
      <c r="AH2003" s="218">
        <v>0</v>
      </c>
      <c r="AI2003" s="470">
        <v>0</v>
      </c>
      <c r="AJ2003" s="471">
        <v>0</v>
      </c>
      <c r="AK2003" s="218">
        <v>0</v>
      </c>
      <c r="AL2003" s="470">
        <v>0</v>
      </c>
      <c r="AM2003" s="471">
        <v>0</v>
      </c>
      <c r="AN2003" s="477">
        <v>32.723962871067208</v>
      </c>
      <c r="AO2003" s="473">
        <v>6.5978760947357079E-2</v>
      </c>
      <c r="AP2003" s="474">
        <v>9.9967224185618063E-3</v>
      </c>
      <c r="AQ2003" s="352"/>
      <c r="AR2003" s="352"/>
      <c r="AS2003" s="352"/>
      <c r="AT2003" s="352"/>
      <c r="AU2003" s="352"/>
      <c r="AV2003" s="352"/>
      <c r="AW2003" s="352" t="s">
        <v>254</v>
      </c>
    </row>
    <row r="2004" spans="2:49" x14ac:dyDescent="0.2">
      <c r="B2004" s="460" t="s">
        <v>2956</v>
      </c>
      <c r="C2004" s="460">
        <v>2212</v>
      </c>
      <c r="D2004" s="460" t="s">
        <v>2315</v>
      </c>
      <c r="E2004" s="460" t="s">
        <v>2299</v>
      </c>
      <c r="F2004" s="460">
        <v>2</v>
      </c>
      <c r="G2004" s="460">
        <v>2</v>
      </c>
      <c r="H2004" s="461" t="s">
        <v>748</v>
      </c>
      <c r="I2004" s="461" t="s">
        <v>765</v>
      </c>
      <c r="J2004" s="461" t="s">
        <v>700</v>
      </c>
      <c r="K2004" s="594"/>
      <c r="L2004" s="594"/>
      <c r="M2004" s="352">
        <v>2000</v>
      </c>
      <c r="N2004" s="352" t="s">
        <v>703</v>
      </c>
      <c r="O2004" s="460">
        <v>2212</v>
      </c>
      <c r="P2004" s="460" t="s">
        <v>784</v>
      </c>
      <c r="Q2004" s="460" t="s">
        <v>2527</v>
      </c>
      <c r="R2004" s="460">
        <v>2121</v>
      </c>
      <c r="S2004" s="460" t="s">
        <v>2296</v>
      </c>
      <c r="T2004" s="462">
        <v>0.55517361979372948</v>
      </c>
      <c r="U2004" s="460" t="s">
        <v>2299</v>
      </c>
      <c r="V2004" s="475">
        <v>0</v>
      </c>
      <c r="W2004" s="463" t="s">
        <v>2268</v>
      </c>
      <c r="X2004" s="463" t="s">
        <v>2268</v>
      </c>
      <c r="Y2004" s="463" t="s">
        <v>2503</v>
      </c>
      <c r="Z2004" s="463"/>
      <c r="AA2004" s="463"/>
      <c r="AB2004" s="464">
        <v>0</v>
      </c>
      <c r="AC2004" s="465">
        <v>0</v>
      </c>
      <c r="AD2004" s="465">
        <v>0</v>
      </c>
      <c r="AE2004" s="476">
        <v>0</v>
      </c>
      <c r="AF2004" s="467">
        <v>0</v>
      </c>
      <c r="AG2004" s="468">
        <v>0</v>
      </c>
      <c r="AH2004" s="218">
        <v>0</v>
      </c>
      <c r="AI2004" s="470">
        <v>0</v>
      </c>
      <c r="AJ2004" s="471">
        <v>0</v>
      </c>
      <c r="AK2004" s="218">
        <v>0</v>
      </c>
      <c r="AL2004" s="470">
        <v>0</v>
      </c>
      <c r="AM2004" s="471">
        <v>0</v>
      </c>
      <c r="AN2004" s="477">
        <v>9.8234747712889572</v>
      </c>
      <c r="AO2004" s="473">
        <v>3.6629667544649379E-2</v>
      </c>
      <c r="AP2004" s="474">
        <v>9.1012735961509602E-3</v>
      </c>
      <c r="AQ2004" s="352"/>
      <c r="AR2004" s="352"/>
      <c r="AS2004" s="352"/>
      <c r="AT2004" s="352"/>
      <c r="AU2004" s="352"/>
      <c r="AV2004" s="352"/>
      <c r="AW2004" s="352" t="s">
        <v>254</v>
      </c>
    </row>
    <row r="2005" spans="2:49" x14ac:dyDescent="0.2">
      <c r="B2005" s="460" t="s">
        <v>2957</v>
      </c>
      <c r="C2005" s="460">
        <v>2212</v>
      </c>
      <c r="D2005" s="460" t="s">
        <v>2316</v>
      </c>
      <c r="E2005" s="460" t="s">
        <v>2302</v>
      </c>
      <c r="F2005" s="460">
        <v>3</v>
      </c>
      <c r="G2005" s="460">
        <v>2</v>
      </c>
      <c r="H2005" s="461" t="s">
        <v>748</v>
      </c>
      <c r="I2005" s="461" t="s">
        <v>765</v>
      </c>
      <c r="J2005" s="461" t="s">
        <v>700</v>
      </c>
      <c r="K2005" s="594"/>
      <c r="L2005" s="594"/>
      <c r="M2005" s="352">
        <v>2000</v>
      </c>
      <c r="N2005" s="352" t="s">
        <v>703</v>
      </c>
      <c r="O2005" s="460">
        <v>2212</v>
      </c>
      <c r="P2005" s="460" t="s">
        <v>784</v>
      </c>
      <c r="Q2005" s="460" t="s">
        <v>2527</v>
      </c>
      <c r="R2005" s="460">
        <v>2121</v>
      </c>
      <c r="S2005" s="460" t="s">
        <v>2296</v>
      </c>
      <c r="T2005" s="462">
        <v>0.28481449642268464</v>
      </c>
      <c r="U2005" s="460" t="s">
        <v>2302</v>
      </c>
      <c r="V2005" s="475">
        <v>0</v>
      </c>
      <c r="W2005" s="463" t="s">
        <v>2268</v>
      </c>
      <c r="X2005" s="463" t="s">
        <v>2268</v>
      </c>
      <c r="Y2005" s="463" t="s">
        <v>2503</v>
      </c>
      <c r="Z2005" s="463"/>
      <c r="AA2005" s="463"/>
      <c r="AB2005" s="464">
        <v>0</v>
      </c>
      <c r="AC2005" s="465">
        <v>0</v>
      </c>
      <c r="AD2005" s="465">
        <v>0</v>
      </c>
      <c r="AE2005" s="476">
        <v>0</v>
      </c>
      <c r="AF2005" s="467">
        <v>0</v>
      </c>
      <c r="AG2005" s="468">
        <v>0</v>
      </c>
      <c r="AH2005" s="218">
        <v>0</v>
      </c>
      <c r="AI2005" s="470">
        <v>0</v>
      </c>
      <c r="AJ2005" s="471">
        <v>0</v>
      </c>
      <c r="AK2005" s="218">
        <v>0</v>
      </c>
      <c r="AL2005" s="470">
        <v>0</v>
      </c>
      <c r="AM2005" s="471">
        <v>0</v>
      </c>
      <c r="AN2005" s="477">
        <v>2.8395848045666843</v>
      </c>
      <c r="AO2005" s="473">
        <v>1.8791707573814195E-2</v>
      </c>
      <c r="AP2005" s="474">
        <v>1.2150394820228547E-2</v>
      </c>
      <c r="AQ2005" s="352"/>
      <c r="AR2005" s="352"/>
      <c r="AS2005" s="352"/>
      <c r="AT2005" s="352"/>
      <c r="AU2005" s="352"/>
      <c r="AV2005" s="352"/>
      <c r="AW2005" s="352" t="s">
        <v>254</v>
      </c>
    </row>
    <row r="2006" spans="2:49" x14ac:dyDescent="0.2">
      <c r="B2006" s="460" t="s">
        <v>2958</v>
      </c>
      <c r="C2006" s="460">
        <v>2212</v>
      </c>
      <c r="D2006" s="460" t="s">
        <v>2317</v>
      </c>
      <c r="E2006" s="460" t="s">
        <v>2305</v>
      </c>
      <c r="F2006" s="460">
        <v>4</v>
      </c>
      <c r="G2006" s="460">
        <v>2</v>
      </c>
      <c r="H2006" s="461" t="s">
        <v>748</v>
      </c>
      <c r="I2006" s="461" t="s">
        <v>765</v>
      </c>
      <c r="J2006" s="461" t="s">
        <v>700</v>
      </c>
      <c r="K2006" s="594"/>
      <c r="L2006" s="594"/>
      <c r="M2006" s="352">
        <v>2000</v>
      </c>
      <c r="N2006" s="352" t="s">
        <v>703</v>
      </c>
      <c r="O2006" s="460">
        <v>2212</v>
      </c>
      <c r="P2006" s="460" t="s">
        <v>784</v>
      </c>
      <c r="Q2006" s="460" t="s">
        <v>2527</v>
      </c>
      <c r="R2006" s="460">
        <v>2121</v>
      </c>
      <c r="S2006" s="460" t="s">
        <v>2305</v>
      </c>
      <c r="T2006" s="462">
        <v>1</v>
      </c>
      <c r="U2006" s="460" t="s">
        <v>2305</v>
      </c>
      <c r="V2006" s="475">
        <v>0</v>
      </c>
      <c r="W2006" s="463" t="s">
        <v>2268</v>
      </c>
      <c r="X2006" s="463" t="s">
        <v>2268</v>
      </c>
      <c r="Y2006" s="463" t="s">
        <v>2278</v>
      </c>
      <c r="Z2006" s="463"/>
      <c r="AA2006" s="463"/>
      <c r="AB2006" s="464">
        <v>0</v>
      </c>
      <c r="AC2006" s="465">
        <v>0</v>
      </c>
      <c r="AD2006" s="465">
        <v>0</v>
      </c>
      <c r="AE2006" s="476">
        <v>0</v>
      </c>
      <c r="AF2006" s="467">
        <v>0</v>
      </c>
      <c r="AG2006" s="468">
        <v>0</v>
      </c>
      <c r="AH2006" s="218">
        <v>0</v>
      </c>
      <c r="AI2006" s="470">
        <v>0</v>
      </c>
      <c r="AJ2006" s="471">
        <v>0</v>
      </c>
      <c r="AK2006" s="218">
        <v>0</v>
      </c>
      <c r="AL2006" s="470">
        <v>0</v>
      </c>
      <c r="AM2006" s="471">
        <v>0</v>
      </c>
      <c r="AN2006" s="477">
        <v>5.0029622402553653E-2</v>
      </c>
      <c r="AO2006" s="473">
        <v>2.9181107525856148E-4</v>
      </c>
      <c r="AP2006" s="474">
        <v>4.0858940283605129E-2</v>
      </c>
      <c r="AQ2006" s="352"/>
      <c r="AR2006" s="352"/>
      <c r="AS2006" s="352"/>
      <c r="AT2006" s="352"/>
      <c r="AU2006" s="352"/>
      <c r="AV2006" s="352"/>
      <c r="AW2006" s="352" t="s">
        <v>254</v>
      </c>
    </row>
    <row r="2007" spans="2:49" x14ac:dyDescent="0.2">
      <c r="B2007" s="460" t="s">
        <v>2959</v>
      </c>
      <c r="C2007" s="460">
        <v>2212</v>
      </c>
      <c r="D2007" s="460" t="s">
        <v>2323</v>
      </c>
      <c r="E2007" s="460" t="s">
        <v>2324</v>
      </c>
      <c r="F2007" s="460">
        <v>1</v>
      </c>
      <c r="G2007" s="460">
        <v>3</v>
      </c>
      <c r="H2007" s="461" t="s">
        <v>700</v>
      </c>
      <c r="I2007" s="461" t="s">
        <v>872</v>
      </c>
      <c r="J2007" s="461" t="s">
        <v>700</v>
      </c>
      <c r="K2007" s="594"/>
      <c r="L2007" s="594"/>
      <c r="M2007" s="352">
        <v>2000</v>
      </c>
      <c r="N2007" s="352" t="s">
        <v>703</v>
      </c>
      <c r="O2007" s="460">
        <v>2212</v>
      </c>
      <c r="P2007" s="460" t="s">
        <v>784</v>
      </c>
      <c r="Q2007" s="460" t="s">
        <v>2527</v>
      </c>
      <c r="R2007" s="460">
        <v>2121</v>
      </c>
      <c r="S2007" s="460" t="s">
        <v>2324</v>
      </c>
      <c r="T2007" s="462">
        <v>1</v>
      </c>
      <c r="U2007" s="460" t="s">
        <v>2324</v>
      </c>
      <c r="V2007" s="475">
        <v>0</v>
      </c>
      <c r="W2007" s="463" t="s">
        <v>2503</v>
      </c>
      <c r="X2007" s="479" t="s">
        <v>2503</v>
      </c>
      <c r="Y2007" s="463" t="s">
        <v>2268</v>
      </c>
      <c r="Z2007" s="463"/>
      <c r="AA2007" s="463"/>
      <c r="AB2007" s="464">
        <v>444.76593160920288</v>
      </c>
      <c r="AC2007" s="465">
        <v>0.22324092167644516</v>
      </c>
      <c r="AD2007" s="465">
        <v>3.8128358895738942E-3</v>
      </c>
      <c r="AE2007" s="476">
        <v>266.85955896552173</v>
      </c>
      <c r="AF2007" s="467">
        <v>0.13394455300586708</v>
      </c>
      <c r="AG2007" s="468">
        <v>2.4505815494702292E-3</v>
      </c>
      <c r="AH2007" s="218">
        <v>266.85955896552173</v>
      </c>
      <c r="AI2007" s="470">
        <v>0.13394455300586708</v>
      </c>
      <c r="AJ2007" s="471">
        <v>2.3401469311752675E-3</v>
      </c>
      <c r="AK2007" s="218">
        <v>266.85955896552173</v>
      </c>
      <c r="AL2007" s="470">
        <v>0.13394455300586708</v>
      </c>
      <c r="AM2007" s="471">
        <v>2.3401469311752675E-3</v>
      </c>
      <c r="AN2007" s="477">
        <v>0</v>
      </c>
      <c r="AO2007" s="473">
        <v>0</v>
      </c>
      <c r="AP2007" s="474">
        <v>0</v>
      </c>
      <c r="AQ2007" s="352"/>
      <c r="AR2007" s="352"/>
      <c r="AS2007" s="352"/>
      <c r="AT2007" s="352"/>
      <c r="AU2007" s="352"/>
      <c r="AV2007" s="352"/>
      <c r="AW2007" s="352" t="s">
        <v>254</v>
      </c>
    </row>
    <row r="2008" spans="2:49" x14ac:dyDescent="0.2">
      <c r="B2008" s="460" t="s">
        <v>2960</v>
      </c>
      <c r="C2008" s="460">
        <v>2212</v>
      </c>
      <c r="D2008" s="460" t="s">
        <v>2326</v>
      </c>
      <c r="E2008" s="460" t="s">
        <v>2327</v>
      </c>
      <c r="F2008" s="460">
        <v>2</v>
      </c>
      <c r="G2008" s="460">
        <v>3</v>
      </c>
      <c r="H2008" s="461" t="s">
        <v>700</v>
      </c>
      <c r="I2008" s="461" t="s">
        <v>872</v>
      </c>
      <c r="J2008" s="461" t="s">
        <v>700</v>
      </c>
      <c r="K2008" s="594"/>
      <c r="L2008" s="594"/>
      <c r="M2008" s="352">
        <v>2000</v>
      </c>
      <c r="N2008" s="352" t="s">
        <v>703</v>
      </c>
      <c r="O2008" s="460">
        <v>2212</v>
      </c>
      <c r="P2008" s="460" t="s">
        <v>784</v>
      </c>
      <c r="Q2008" s="460" t="s">
        <v>2527</v>
      </c>
      <c r="R2008" s="460">
        <v>2121</v>
      </c>
      <c r="S2008" s="460" t="s">
        <v>2324</v>
      </c>
      <c r="T2008" s="462">
        <v>1</v>
      </c>
      <c r="U2008" s="460" t="s">
        <v>2327</v>
      </c>
      <c r="V2008" s="475">
        <v>0</v>
      </c>
      <c r="W2008" s="463" t="s">
        <v>2503</v>
      </c>
      <c r="X2008" s="479" t="s">
        <v>2503</v>
      </c>
      <c r="Y2008" s="463" t="s">
        <v>2268</v>
      </c>
      <c r="Z2008" s="463"/>
      <c r="AA2008" s="463"/>
      <c r="AB2008" s="464">
        <v>203.1488280746195</v>
      </c>
      <c r="AC2008" s="465">
        <v>0.15792855998183178</v>
      </c>
      <c r="AD2008" s="465">
        <v>3.000471235649674E-3</v>
      </c>
      <c r="AE2008" s="476">
        <v>121.88929684477169</v>
      </c>
      <c r="AF2008" s="467">
        <v>9.4757135989099059E-2</v>
      </c>
      <c r="AG2008" s="468">
        <v>1.9499056959769009E-3</v>
      </c>
      <c r="AH2008" s="218">
        <v>172.29739176530822</v>
      </c>
      <c r="AI2008" s="470">
        <v>0.13394455300586708</v>
      </c>
      <c r="AJ2008" s="471">
        <v>2.3196726755079552E-3</v>
      </c>
      <c r="AK2008" s="218">
        <v>172.29739176530822</v>
      </c>
      <c r="AL2008" s="470">
        <v>0.13394455300586708</v>
      </c>
      <c r="AM2008" s="471">
        <v>2.3196726755079552E-3</v>
      </c>
      <c r="AN2008" s="477">
        <v>0</v>
      </c>
      <c r="AO2008" s="473">
        <v>0</v>
      </c>
      <c r="AP2008" s="474">
        <v>0</v>
      </c>
      <c r="AQ2008" s="352"/>
      <c r="AR2008" s="352"/>
      <c r="AS2008" s="352"/>
      <c r="AT2008" s="352"/>
      <c r="AU2008" s="352"/>
      <c r="AV2008" s="352"/>
      <c r="AW2008" s="352" t="s">
        <v>254</v>
      </c>
    </row>
    <row r="2009" spans="2:49" x14ac:dyDescent="0.2">
      <c r="B2009" s="460" t="s">
        <v>2961</v>
      </c>
      <c r="C2009" s="460">
        <v>2212</v>
      </c>
      <c r="D2009" s="460" t="s">
        <v>2329</v>
      </c>
      <c r="E2009" s="460" t="s">
        <v>2330</v>
      </c>
      <c r="F2009" s="460">
        <v>3</v>
      </c>
      <c r="G2009" s="460">
        <v>3</v>
      </c>
      <c r="H2009" s="461" t="s">
        <v>700</v>
      </c>
      <c r="I2009" s="461" t="s">
        <v>872</v>
      </c>
      <c r="J2009" s="461" t="s">
        <v>700</v>
      </c>
      <c r="K2009" s="594"/>
      <c r="L2009" s="594"/>
      <c r="M2009" s="352">
        <v>2000</v>
      </c>
      <c r="N2009" s="352" t="s">
        <v>703</v>
      </c>
      <c r="O2009" s="460">
        <v>2212</v>
      </c>
      <c r="P2009" s="460" t="s">
        <v>784</v>
      </c>
      <c r="Q2009" s="460" t="s">
        <v>2527</v>
      </c>
      <c r="R2009" s="460">
        <v>2121</v>
      </c>
      <c r="S2009" s="460" t="s">
        <v>2324</v>
      </c>
      <c r="T2009" s="462">
        <v>1</v>
      </c>
      <c r="U2009" s="460" t="s">
        <v>2330</v>
      </c>
      <c r="V2009" s="475">
        <v>0</v>
      </c>
      <c r="W2009" s="463" t="s">
        <v>2503</v>
      </c>
      <c r="X2009" s="463" t="s">
        <v>2503</v>
      </c>
      <c r="Y2009" s="463" t="s">
        <v>2268</v>
      </c>
      <c r="Z2009" s="463"/>
      <c r="AA2009" s="463"/>
      <c r="AB2009" s="464">
        <v>77.945567659169043</v>
      </c>
      <c r="AC2009" s="465">
        <v>0.18937398547488871</v>
      </c>
      <c r="AD2009" s="465">
        <v>2.9433190116469376E-3</v>
      </c>
      <c r="AE2009" s="476">
        <v>46.767340595501423</v>
      </c>
      <c r="AF2009" s="467">
        <v>0.11362439128493322</v>
      </c>
      <c r="AG2009" s="468">
        <v>1.8927239378170838E-3</v>
      </c>
      <c r="AH2009" s="218">
        <v>55.131037099498428</v>
      </c>
      <c r="AI2009" s="470">
        <v>0.13394455300586708</v>
      </c>
      <c r="AJ2009" s="471">
        <v>1.9423958331511208E-3</v>
      </c>
      <c r="AK2009" s="218">
        <v>55.131037099498428</v>
      </c>
      <c r="AL2009" s="470">
        <v>0.13394455300586708</v>
      </c>
      <c r="AM2009" s="471">
        <v>1.9423958331511208E-3</v>
      </c>
      <c r="AN2009" s="477">
        <v>0</v>
      </c>
      <c r="AO2009" s="473">
        <v>0</v>
      </c>
      <c r="AP2009" s="474">
        <v>0</v>
      </c>
      <c r="AQ2009" s="352"/>
      <c r="AR2009" s="352"/>
      <c r="AS2009" s="352"/>
      <c r="AT2009" s="352"/>
      <c r="AU2009" s="352"/>
      <c r="AV2009" s="352"/>
      <c r="AW2009" s="352" t="s">
        <v>254</v>
      </c>
    </row>
    <row r="2010" spans="2:49" x14ac:dyDescent="0.2">
      <c r="B2010" s="460" t="s">
        <v>2962</v>
      </c>
      <c r="C2010" s="460">
        <v>2212</v>
      </c>
      <c r="D2010" s="460" t="s">
        <v>2332</v>
      </c>
      <c r="E2010" s="460" t="s">
        <v>2333</v>
      </c>
      <c r="F2010" s="460">
        <v>4</v>
      </c>
      <c r="G2010" s="460">
        <v>3</v>
      </c>
      <c r="H2010" s="461" t="s">
        <v>700</v>
      </c>
      <c r="I2010" s="461" t="s">
        <v>872</v>
      </c>
      <c r="J2010" s="461" t="s">
        <v>700</v>
      </c>
      <c r="K2010" s="594"/>
      <c r="L2010" s="594"/>
      <c r="M2010" s="352">
        <v>2000</v>
      </c>
      <c r="N2010" s="352" t="s">
        <v>703</v>
      </c>
      <c r="O2010" s="460">
        <v>2212</v>
      </c>
      <c r="P2010" s="460" t="s">
        <v>784</v>
      </c>
      <c r="Q2010" s="460" t="s">
        <v>2527</v>
      </c>
      <c r="R2010" s="460">
        <v>2121</v>
      </c>
      <c r="S2010" s="460" t="s">
        <v>2333</v>
      </c>
      <c r="T2010" s="462">
        <v>1</v>
      </c>
      <c r="U2010" s="460" t="s">
        <v>2333</v>
      </c>
      <c r="V2010" s="475">
        <v>0</v>
      </c>
      <c r="W2010" s="463" t="s">
        <v>2503</v>
      </c>
      <c r="X2010" s="463" t="s">
        <v>2503</v>
      </c>
      <c r="Y2010" s="463" t="s">
        <v>2268</v>
      </c>
      <c r="Z2010" s="463"/>
      <c r="AA2010" s="463"/>
      <c r="AB2010" s="464">
        <v>39.213339153024108</v>
      </c>
      <c r="AC2010" s="465">
        <v>8.4331764326385714E-2</v>
      </c>
      <c r="AD2010" s="465">
        <v>2.7044869876356459E-3</v>
      </c>
      <c r="AE2010" s="476">
        <v>23.528003491814466</v>
      </c>
      <c r="AF2010" s="467">
        <v>5.0599058595831428E-2</v>
      </c>
      <c r="AG2010" s="468">
        <v>1.7908466580502437E-3</v>
      </c>
      <c r="AH2010" s="218">
        <v>23.528003491814466</v>
      </c>
      <c r="AI2010" s="470">
        <v>5.0599058595831428E-2</v>
      </c>
      <c r="AJ2010" s="471">
        <v>1.7351060449614364E-3</v>
      </c>
      <c r="AK2010" s="218">
        <v>23.528003491814466</v>
      </c>
      <c r="AL2010" s="470">
        <v>5.0599058595831428E-2</v>
      </c>
      <c r="AM2010" s="471">
        <v>1.7351060449614364E-3</v>
      </c>
      <c r="AN2010" s="477">
        <v>0</v>
      </c>
      <c r="AO2010" s="473">
        <v>0</v>
      </c>
      <c r="AP2010" s="474">
        <v>0</v>
      </c>
      <c r="AQ2010" s="352"/>
      <c r="AR2010" s="352"/>
      <c r="AS2010" s="352"/>
      <c r="AT2010" s="352"/>
      <c r="AU2010" s="352"/>
      <c r="AV2010" s="352"/>
      <c r="AW2010" s="352" t="s">
        <v>254</v>
      </c>
    </row>
    <row r="2011" spans="2:49" x14ac:dyDescent="0.2">
      <c r="B2011" s="460" t="s">
        <v>2959</v>
      </c>
      <c r="C2011" s="460">
        <v>2212</v>
      </c>
      <c r="D2011" s="460" t="s">
        <v>2334</v>
      </c>
      <c r="E2011" s="460" t="s">
        <v>2324</v>
      </c>
      <c r="F2011" s="460">
        <v>1</v>
      </c>
      <c r="G2011" s="460">
        <v>3</v>
      </c>
      <c r="H2011" s="461" t="s">
        <v>712</v>
      </c>
      <c r="I2011" s="461" t="s">
        <v>713</v>
      </c>
      <c r="J2011" s="461" t="s">
        <v>712</v>
      </c>
      <c r="K2011" s="594"/>
      <c r="L2011" s="594"/>
      <c r="M2011" s="352">
        <v>2000</v>
      </c>
      <c r="N2011" s="352" t="s">
        <v>703</v>
      </c>
      <c r="O2011" s="460">
        <v>2212</v>
      </c>
      <c r="P2011" s="460" t="s">
        <v>784</v>
      </c>
      <c r="Q2011" s="460" t="s">
        <v>2280</v>
      </c>
      <c r="R2011" s="460">
        <v>2121</v>
      </c>
      <c r="S2011" s="460" t="s">
        <v>2324</v>
      </c>
      <c r="T2011" s="462">
        <v>1</v>
      </c>
      <c r="U2011" s="460" t="s">
        <v>2324</v>
      </c>
      <c r="V2011" s="475">
        <v>0</v>
      </c>
      <c r="W2011" s="463" t="s">
        <v>713</v>
      </c>
      <c r="X2011" s="463" t="s">
        <v>713</v>
      </c>
      <c r="Y2011" s="463" t="s">
        <v>713</v>
      </c>
      <c r="Z2011" s="463"/>
      <c r="AA2011" s="463"/>
      <c r="AB2011" s="464">
        <v>1547.5477009864626</v>
      </c>
      <c r="AC2011" s="465">
        <v>0.77675907832355484</v>
      </c>
      <c r="AD2011" s="465">
        <v>3.8640658079983478E-3</v>
      </c>
      <c r="AE2011" s="476">
        <v>1725.4540736301437</v>
      </c>
      <c r="AF2011" s="467">
        <v>0.86605544699413295</v>
      </c>
      <c r="AG2011" s="468">
        <v>4.2264595802581038E-3</v>
      </c>
      <c r="AH2011" s="218">
        <v>1725.4540736301437</v>
      </c>
      <c r="AI2011" s="470">
        <v>0.86605544699413295</v>
      </c>
      <c r="AJ2011" s="471">
        <v>4.2803395383462957E-3</v>
      </c>
      <c r="AK2011" s="218">
        <v>1725.4540736301437</v>
      </c>
      <c r="AL2011" s="470">
        <v>0.86605544699413295</v>
      </c>
      <c r="AM2011" s="471">
        <v>4.2803395383462957E-3</v>
      </c>
      <c r="AN2011" s="477">
        <v>1814.4072599519843</v>
      </c>
      <c r="AO2011" s="473">
        <v>0.91070363132942189</v>
      </c>
      <c r="AP2011" s="474">
        <v>4.49881557009777E-3</v>
      </c>
      <c r="AQ2011" s="352"/>
      <c r="AR2011" s="352"/>
      <c r="AS2011" s="352"/>
      <c r="AT2011" s="352"/>
      <c r="AU2011" s="352"/>
      <c r="AV2011" s="352"/>
      <c r="AW2011" s="352" t="s">
        <v>254</v>
      </c>
    </row>
    <row r="2012" spans="2:49" x14ac:dyDescent="0.2">
      <c r="B2012" s="460" t="s">
        <v>2960</v>
      </c>
      <c r="C2012" s="460">
        <v>2212</v>
      </c>
      <c r="D2012" s="460" t="s">
        <v>2335</v>
      </c>
      <c r="E2012" s="460" t="s">
        <v>2327</v>
      </c>
      <c r="F2012" s="460">
        <v>2</v>
      </c>
      <c r="G2012" s="460">
        <v>3</v>
      </c>
      <c r="H2012" s="461" t="s">
        <v>712</v>
      </c>
      <c r="I2012" s="461" t="s">
        <v>713</v>
      </c>
      <c r="J2012" s="461" t="s">
        <v>712</v>
      </c>
      <c r="K2012" s="594"/>
      <c r="L2012" s="594"/>
      <c r="M2012" s="352">
        <v>2000</v>
      </c>
      <c r="N2012" s="352" t="s">
        <v>703</v>
      </c>
      <c r="O2012" s="460">
        <v>2212</v>
      </c>
      <c r="P2012" s="460" t="s">
        <v>784</v>
      </c>
      <c r="Q2012" s="460" t="s">
        <v>2280</v>
      </c>
      <c r="R2012" s="460">
        <v>2121</v>
      </c>
      <c r="S2012" s="460" t="s">
        <v>2324</v>
      </c>
      <c r="T2012" s="462">
        <v>1</v>
      </c>
      <c r="U2012" s="460" t="s">
        <v>2327</v>
      </c>
      <c r="V2012" s="475">
        <v>0</v>
      </c>
      <c r="W2012" s="463" t="s">
        <v>713</v>
      </c>
      <c r="X2012" s="463" t="s">
        <v>713</v>
      </c>
      <c r="Y2012" s="463" t="s">
        <v>713</v>
      </c>
      <c r="Z2012" s="463"/>
      <c r="AA2012" s="463"/>
      <c r="AB2012" s="464">
        <v>1083.1848667174427</v>
      </c>
      <c r="AC2012" s="465">
        <v>0.84207144001816814</v>
      </c>
      <c r="AD2012" s="465">
        <v>3.4690062225710503E-3</v>
      </c>
      <c r="AE2012" s="476">
        <v>1164.4443979472906</v>
      </c>
      <c r="AF2012" s="467">
        <v>0.90524286401090093</v>
      </c>
      <c r="AG2012" s="468">
        <v>3.6682145960512053E-3</v>
      </c>
      <c r="AH2012" s="218">
        <v>1114.036303026754</v>
      </c>
      <c r="AI2012" s="470">
        <v>0.86605544699413295</v>
      </c>
      <c r="AJ2012" s="471">
        <v>3.6496710238644722E-3</v>
      </c>
      <c r="AK2012" s="218">
        <v>1114.036303026754</v>
      </c>
      <c r="AL2012" s="470">
        <v>0.86605544699413295</v>
      </c>
      <c r="AM2012" s="471">
        <v>3.6496710238644722E-3</v>
      </c>
      <c r="AN2012" s="477">
        <v>1171.4687669485234</v>
      </c>
      <c r="AO2012" s="473">
        <v>0.91070363132942189</v>
      </c>
      <c r="AP2012" s="474">
        <v>3.8363196451840676E-3</v>
      </c>
      <c r="AQ2012" s="352"/>
      <c r="AR2012" s="352"/>
      <c r="AS2012" s="352"/>
      <c r="AT2012" s="352"/>
      <c r="AU2012" s="352"/>
      <c r="AV2012" s="352"/>
      <c r="AW2012" s="352" t="s">
        <v>254</v>
      </c>
    </row>
    <row r="2013" spans="2:49" x14ac:dyDescent="0.2">
      <c r="B2013" s="460" t="s">
        <v>2961</v>
      </c>
      <c r="C2013" s="460">
        <v>2212</v>
      </c>
      <c r="D2013" s="460" t="s">
        <v>2336</v>
      </c>
      <c r="E2013" s="460" t="s">
        <v>2330</v>
      </c>
      <c r="F2013" s="460">
        <v>3</v>
      </c>
      <c r="G2013" s="460">
        <v>3</v>
      </c>
      <c r="H2013" s="461" t="s">
        <v>712</v>
      </c>
      <c r="I2013" s="461" t="s">
        <v>713</v>
      </c>
      <c r="J2013" s="461" t="s">
        <v>712</v>
      </c>
      <c r="K2013" s="594"/>
      <c r="L2013" s="594"/>
      <c r="M2013" s="352">
        <v>2000</v>
      </c>
      <c r="N2013" s="352" t="s">
        <v>703</v>
      </c>
      <c r="O2013" s="460">
        <v>2212</v>
      </c>
      <c r="P2013" s="460" t="s">
        <v>784</v>
      </c>
      <c r="Q2013" s="460" t="s">
        <v>2280</v>
      </c>
      <c r="R2013" s="460">
        <v>2121</v>
      </c>
      <c r="S2013" s="460" t="s">
        <v>2324</v>
      </c>
      <c r="T2013" s="462">
        <v>1</v>
      </c>
      <c r="U2013" s="460" t="s">
        <v>2330</v>
      </c>
      <c r="V2013" s="475">
        <v>0</v>
      </c>
      <c r="W2013" s="463" t="s">
        <v>713</v>
      </c>
      <c r="X2013" s="463" t="s">
        <v>713</v>
      </c>
      <c r="Y2013" s="463" t="s">
        <v>713</v>
      </c>
      <c r="Z2013" s="463"/>
      <c r="AA2013" s="463"/>
      <c r="AB2013" s="464">
        <v>333.65039397044319</v>
      </c>
      <c r="AC2013" s="465">
        <v>0.81062601452511129</v>
      </c>
      <c r="AD2013" s="465">
        <v>2.9542283571136999E-3</v>
      </c>
      <c r="AE2013" s="476">
        <v>364.82862103411082</v>
      </c>
      <c r="AF2013" s="467">
        <v>0.88637560871506682</v>
      </c>
      <c r="AG2013" s="468">
        <v>3.1803561061995115E-3</v>
      </c>
      <c r="AH2013" s="218">
        <v>356.46492453011382</v>
      </c>
      <c r="AI2013" s="470">
        <v>0.86605544699413295</v>
      </c>
      <c r="AJ2013" s="471">
        <v>3.2260927582227674E-3</v>
      </c>
      <c r="AK2013" s="218">
        <v>356.46492453011382</v>
      </c>
      <c r="AL2013" s="470">
        <v>0.86605544699413295</v>
      </c>
      <c r="AM2013" s="471">
        <v>3.2260927582227674E-3</v>
      </c>
      <c r="AN2013" s="477">
        <v>374.84193689661328</v>
      </c>
      <c r="AO2013" s="473">
        <v>0.91070363132942189</v>
      </c>
      <c r="AP2013" s="474">
        <v>3.4011652946232701E-3</v>
      </c>
      <c r="AQ2013" s="352"/>
      <c r="AR2013" s="352"/>
      <c r="AS2013" s="352"/>
      <c r="AT2013" s="352"/>
      <c r="AU2013" s="352"/>
      <c r="AV2013" s="352"/>
      <c r="AW2013" s="352" t="s">
        <v>254</v>
      </c>
    </row>
    <row r="2014" spans="2:49" x14ac:dyDescent="0.2">
      <c r="B2014" s="460" t="s">
        <v>2962</v>
      </c>
      <c r="C2014" s="460">
        <v>2212</v>
      </c>
      <c r="D2014" s="460" t="s">
        <v>2337</v>
      </c>
      <c r="E2014" s="460" t="s">
        <v>2333</v>
      </c>
      <c r="F2014" s="460">
        <v>4</v>
      </c>
      <c r="G2014" s="460">
        <v>3</v>
      </c>
      <c r="H2014" s="461" t="s">
        <v>712</v>
      </c>
      <c r="I2014" s="461" t="s">
        <v>713</v>
      </c>
      <c r="J2014" s="461" t="s">
        <v>712</v>
      </c>
      <c r="K2014" s="594"/>
      <c r="L2014" s="594"/>
      <c r="M2014" s="352">
        <v>2000</v>
      </c>
      <c r="N2014" s="352" t="s">
        <v>703</v>
      </c>
      <c r="O2014" s="460">
        <v>2212</v>
      </c>
      <c r="P2014" s="460" t="s">
        <v>784</v>
      </c>
      <c r="Q2014" s="460" t="s">
        <v>2280</v>
      </c>
      <c r="R2014" s="460">
        <v>2121</v>
      </c>
      <c r="S2014" s="460" t="s">
        <v>2333</v>
      </c>
      <c r="T2014" s="462">
        <v>1</v>
      </c>
      <c r="U2014" s="460" t="s">
        <v>2333</v>
      </c>
      <c r="V2014" s="475">
        <v>0</v>
      </c>
      <c r="W2014" s="463" t="s">
        <v>713</v>
      </c>
      <c r="X2014" s="463" t="s">
        <v>713</v>
      </c>
      <c r="Y2014" s="463" t="s">
        <v>713</v>
      </c>
      <c r="Z2014" s="463"/>
      <c r="AA2014" s="463"/>
      <c r="AB2014" s="464">
        <v>425.77561804770937</v>
      </c>
      <c r="AC2014" s="465">
        <v>0.91566823567361433</v>
      </c>
      <c r="AD2014" s="465">
        <v>3.2369466323581919E-3</v>
      </c>
      <c r="AE2014" s="476">
        <v>441.46095370891896</v>
      </c>
      <c r="AF2014" s="467">
        <v>0.94940094140416853</v>
      </c>
      <c r="AG2014" s="468">
        <v>3.3218121249358932E-3</v>
      </c>
      <c r="AH2014" s="218">
        <v>441.46095370891896</v>
      </c>
      <c r="AI2014" s="470">
        <v>0.94940094140416853</v>
      </c>
      <c r="AJ2014" s="471">
        <v>3.3323951947690782E-3</v>
      </c>
      <c r="AK2014" s="218">
        <v>441.46095370891896</v>
      </c>
      <c r="AL2014" s="470">
        <v>0.94940094140416853</v>
      </c>
      <c r="AM2014" s="471">
        <v>3.3323951947690782E-3</v>
      </c>
      <c r="AN2014" s="477">
        <v>425.77561804770937</v>
      </c>
      <c r="AO2014" s="473">
        <v>0.91566823567361433</v>
      </c>
      <c r="AP2014" s="474">
        <v>3.21501482743699E-3</v>
      </c>
      <c r="AQ2014" s="352"/>
      <c r="AR2014" s="352"/>
      <c r="AS2014" s="352"/>
      <c r="AT2014" s="352"/>
      <c r="AU2014" s="352"/>
      <c r="AV2014" s="352"/>
      <c r="AW2014" s="352" t="s">
        <v>254</v>
      </c>
    </row>
    <row r="2015" spans="2:49" x14ac:dyDescent="0.2">
      <c r="B2015" s="460" t="s">
        <v>2959</v>
      </c>
      <c r="C2015" s="460">
        <v>2212</v>
      </c>
      <c r="D2015" s="460" t="s">
        <v>2338</v>
      </c>
      <c r="E2015" s="460" t="s">
        <v>2324</v>
      </c>
      <c r="F2015" s="460">
        <v>1</v>
      </c>
      <c r="G2015" s="460">
        <v>3</v>
      </c>
      <c r="H2015" s="461" t="s">
        <v>746</v>
      </c>
      <c r="I2015" s="461" t="s">
        <v>762</v>
      </c>
      <c r="J2015" s="461" t="s">
        <v>700</v>
      </c>
      <c r="K2015" s="594"/>
      <c r="L2015" s="594"/>
      <c r="M2015" s="352">
        <v>2000</v>
      </c>
      <c r="N2015" s="352" t="s">
        <v>703</v>
      </c>
      <c r="O2015" s="460">
        <v>2212</v>
      </c>
      <c r="P2015" s="460" t="s">
        <v>784</v>
      </c>
      <c r="Q2015" s="460" t="s">
        <v>2531</v>
      </c>
      <c r="R2015" s="460">
        <v>2121</v>
      </c>
      <c r="S2015" s="460" t="s">
        <v>2324</v>
      </c>
      <c r="T2015" s="462">
        <v>1</v>
      </c>
      <c r="U2015" s="460" t="s">
        <v>2324</v>
      </c>
      <c r="V2015" s="475">
        <v>0</v>
      </c>
      <c r="W2015" s="463" t="s">
        <v>2268</v>
      </c>
      <c r="X2015" s="463" t="s">
        <v>2268</v>
      </c>
      <c r="Y2015" s="463" t="s">
        <v>2290</v>
      </c>
      <c r="Z2015" s="463"/>
      <c r="AA2015" s="463"/>
      <c r="AB2015" s="464">
        <v>0</v>
      </c>
      <c r="AC2015" s="465">
        <v>0</v>
      </c>
      <c r="AD2015" s="465">
        <v>0</v>
      </c>
      <c r="AE2015" s="476">
        <v>0</v>
      </c>
      <c r="AF2015" s="467">
        <v>0</v>
      </c>
      <c r="AG2015" s="468">
        <v>0</v>
      </c>
      <c r="AH2015" s="218">
        <v>0</v>
      </c>
      <c r="AI2015" s="470">
        <v>0</v>
      </c>
      <c r="AJ2015" s="471">
        <v>0</v>
      </c>
      <c r="AK2015" s="218">
        <v>0</v>
      </c>
      <c r="AL2015" s="470">
        <v>0</v>
      </c>
      <c r="AM2015" s="471">
        <v>0</v>
      </c>
      <c r="AN2015" s="477">
        <v>0</v>
      </c>
      <c r="AO2015" s="473">
        <v>0</v>
      </c>
      <c r="AP2015" s="474">
        <v>0</v>
      </c>
      <c r="AQ2015" s="352"/>
      <c r="AR2015" s="352"/>
      <c r="AS2015" s="352"/>
      <c r="AT2015" s="352"/>
      <c r="AU2015" s="352"/>
      <c r="AV2015" s="352"/>
      <c r="AW2015" s="352" t="s">
        <v>254</v>
      </c>
    </row>
    <row r="2016" spans="2:49" x14ac:dyDescent="0.2">
      <c r="B2016" s="460" t="s">
        <v>2960</v>
      </c>
      <c r="C2016" s="460">
        <v>2212</v>
      </c>
      <c r="D2016" s="460" t="s">
        <v>2339</v>
      </c>
      <c r="E2016" s="460" t="s">
        <v>2327</v>
      </c>
      <c r="F2016" s="460">
        <v>2</v>
      </c>
      <c r="G2016" s="460">
        <v>3</v>
      </c>
      <c r="H2016" s="461" t="s">
        <v>746</v>
      </c>
      <c r="I2016" s="461" t="s">
        <v>762</v>
      </c>
      <c r="J2016" s="461" t="s">
        <v>700</v>
      </c>
      <c r="K2016" s="594"/>
      <c r="L2016" s="594"/>
      <c r="M2016" s="352">
        <v>2000</v>
      </c>
      <c r="N2016" s="352" t="s">
        <v>703</v>
      </c>
      <c r="O2016" s="460">
        <v>2212</v>
      </c>
      <c r="P2016" s="460" t="s">
        <v>784</v>
      </c>
      <c r="Q2016" s="460" t="s">
        <v>2531</v>
      </c>
      <c r="R2016" s="460">
        <v>2121</v>
      </c>
      <c r="S2016" s="460" t="s">
        <v>2324</v>
      </c>
      <c r="T2016" s="462">
        <v>1</v>
      </c>
      <c r="U2016" s="460" t="s">
        <v>2327</v>
      </c>
      <c r="V2016" s="475">
        <v>0</v>
      </c>
      <c r="W2016" s="463" t="s">
        <v>2268</v>
      </c>
      <c r="X2016" s="463" t="s">
        <v>2268</v>
      </c>
      <c r="Y2016" s="463" t="s">
        <v>2290</v>
      </c>
      <c r="Z2016" s="463"/>
      <c r="AA2016" s="463"/>
      <c r="AB2016" s="464">
        <v>0</v>
      </c>
      <c r="AC2016" s="465">
        <v>0</v>
      </c>
      <c r="AD2016" s="465">
        <v>0</v>
      </c>
      <c r="AE2016" s="476">
        <v>0</v>
      </c>
      <c r="AF2016" s="467">
        <v>0</v>
      </c>
      <c r="AG2016" s="468">
        <v>0</v>
      </c>
      <c r="AH2016" s="218">
        <v>0</v>
      </c>
      <c r="AI2016" s="470">
        <v>0</v>
      </c>
      <c r="AJ2016" s="471">
        <v>0</v>
      </c>
      <c r="AK2016" s="218">
        <v>0</v>
      </c>
      <c r="AL2016" s="470">
        <v>0</v>
      </c>
      <c r="AM2016" s="471">
        <v>0</v>
      </c>
      <c r="AN2016" s="477">
        <v>0</v>
      </c>
      <c r="AO2016" s="473">
        <v>0</v>
      </c>
      <c r="AP2016" s="474">
        <v>0</v>
      </c>
      <c r="AQ2016" s="352"/>
      <c r="AR2016" s="352"/>
      <c r="AS2016" s="352"/>
      <c r="AT2016" s="352"/>
      <c r="AU2016" s="352"/>
      <c r="AV2016" s="352"/>
      <c r="AW2016" s="352" t="s">
        <v>254</v>
      </c>
    </row>
    <row r="2017" spans="2:49" x14ac:dyDescent="0.2">
      <c r="B2017" s="460" t="s">
        <v>2961</v>
      </c>
      <c r="C2017" s="460">
        <v>2212</v>
      </c>
      <c r="D2017" s="460" t="s">
        <v>2340</v>
      </c>
      <c r="E2017" s="460" t="s">
        <v>2330</v>
      </c>
      <c r="F2017" s="460">
        <v>3</v>
      </c>
      <c r="G2017" s="460">
        <v>3</v>
      </c>
      <c r="H2017" s="461" t="s">
        <v>746</v>
      </c>
      <c r="I2017" s="461" t="s">
        <v>762</v>
      </c>
      <c r="J2017" s="461" t="s">
        <v>700</v>
      </c>
      <c r="K2017" s="594"/>
      <c r="L2017" s="594"/>
      <c r="M2017" s="352">
        <v>2000</v>
      </c>
      <c r="N2017" s="352" t="s">
        <v>703</v>
      </c>
      <c r="O2017" s="460">
        <v>2212</v>
      </c>
      <c r="P2017" s="460" t="s">
        <v>784</v>
      </c>
      <c r="Q2017" s="460" t="s">
        <v>2531</v>
      </c>
      <c r="R2017" s="460">
        <v>2121</v>
      </c>
      <c r="S2017" s="460" t="s">
        <v>2324</v>
      </c>
      <c r="T2017" s="462">
        <v>1</v>
      </c>
      <c r="U2017" s="460" t="s">
        <v>2330</v>
      </c>
      <c r="V2017" s="475">
        <v>0</v>
      </c>
      <c r="W2017" s="463" t="s">
        <v>2268</v>
      </c>
      <c r="X2017" s="463" t="s">
        <v>2268</v>
      </c>
      <c r="Y2017" s="463" t="s">
        <v>2290</v>
      </c>
      <c r="Z2017" s="463"/>
      <c r="AA2017" s="463"/>
      <c r="AB2017" s="464">
        <v>0</v>
      </c>
      <c r="AC2017" s="465">
        <v>0</v>
      </c>
      <c r="AD2017" s="465">
        <v>0</v>
      </c>
      <c r="AE2017" s="476">
        <v>0</v>
      </c>
      <c r="AF2017" s="467">
        <v>0</v>
      </c>
      <c r="AG2017" s="468">
        <v>0</v>
      </c>
      <c r="AH2017" s="218">
        <v>0</v>
      </c>
      <c r="AI2017" s="470">
        <v>0</v>
      </c>
      <c r="AJ2017" s="471">
        <v>0</v>
      </c>
      <c r="AK2017" s="218">
        <v>0</v>
      </c>
      <c r="AL2017" s="470">
        <v>0</v>
      </c>
      <c r="AM2017" s="471">
        <v>0</v>
      </c>
      <c r="AN2017" s="477">
        <v>0</v>
      </c>
      <c r="AO2017" s="473">
        <v>0</v>
      </c>
      <c r="AP2017" s="474">
        <v>0</v>
      </c>
      <c r="AQ2017" s="352"/>
      <c r="AR2017" s="352"/>
      <c r="AS2017" s="352"/>
      <c r="AT2017" s="352"/>
      <c r="AU2017" s="352"/>
      <c r="AV2017" s="352"/>
      <c r="AW2017" s="352" t="s">
        <v>254</v>
      </c>
    </row>
    <row r="2018" spans="2:49" x14ac:dyDescent="0.2">
      <c r="B2018" s="460" t="s">
        <v>2962</v>
      </c>
      <c r="C2018" s="460">
        <v>2212</v>
      </c>
      <c r="D2018" s="460" t="s">
        <v>2341</v>
      </c>
      <c r="E2018" s="460" t="s">
        <v>2333</v>
      </c>
      <c r="F2018" s="460">
        <v>4</v>
      </c>
      <c r="G2018" s="460">
        <v>3</v>
      </c>
      <c r="H2018" s="461" t="s">
        <v>746</v>
      </c>
      <c r="I2018" s="461" t="s">
        <v>762</v>
      </c>
      <c r="J2018" s="461" t="s">
        <v>700</v>
      </c>
      <c r="K2018" s="594"/>
      <c r="L2018" s="594"/>
      <c r="M2018" s="352">
        <v>2000</v>
      </c>
      <c r="N2018" s="352" t="s">
        <v>703</v>
      </c>
      <c r="O2018" s="460">
        <v>2212</v>
      </c>
      <c r="P2018" s="460" t="s">
        <v>784</v>
      </c>
      <c r="Q2018" s="460" t="s">
        <v>2531</v>
      </c>
      <c r="R2018" s="460">
        <v>2121</v>
      </c>
      <c r="S2018" s="460" t="s">
        <v>2333</v>
      </c>
      <c r="T2018" s="462">
        <v>1</v>
      </c>
      <c r="U2018" s="460" t="s">
        <v>2333</v>
      </c>
      <c r="V2018" s="475">
        <v>0</v>
      </c>
      <c r="W2018" s="463" t="s">
        <v>2268</v>
      </c>
      <c r="X2018" s="463" t="s">
        <v>2268</v>
      </c>
      <c r="Y2018" s="463" t="s">
        <v>2290</v>
      </c>
      <c r="Z2018" s="463"/>
      <c r="AA2018" s="463"/>
      <c r="AB2018" s="464">
        <v>0</v>
      </c>
      <c r="AC2018" s="465">
        <v>0</v>
      </c>
      <c r="AD2018" s="465">
        <v>0</v>
      </c>
      <c r="AE2018" s="476">
        <v>0</v>
      </c>
      <c r="AF2018" s="467">
        <v>0</v>
      </c>
      <c r="AG2018" s="468">
        <v>0</v>
      </c>
      <c r="AH2018" s="218">
        <v>0</v>
      </c>
      <c r="AI2018" s="470">
        <v>0</v>
      </c>
      <c r="AJ2018" s="471">
        <v>0</v>
      </c>
      <c r="AK2018" s="218">
        <v>0</v>
      </c>
      <c r="AL2018" s="470">
        <v>0</v>
      </c>
      <c r="AM2018" s="471">
        <v>0</v>
      </c>
      <c r="AN2018" s="477">
        <v>0</v>
      </c>
      <c r="AO2018" s="473">
        <v>0</v>
      </c>
      <c r="AP2018" s="474">
        <v>0</v>
      </c>
      <c r="AQ2018" s="352"/>
      <c r="AR2018" s="352"/>
      <c r="AS2018" s="352"/>
      <c r="AT2018" s="352"/>
      <c r="AU2018" s="352"/>
      <c r="AV2018" s="352"/>
      <c r="AW2018" s="352" t="s">
        <v>254</v>
      </c>
    </row>
    <row r="2019" spans="2:49" x14ac:dyDescent="0.2">
      <c r="B2019" s="460" t="s">
        <v>2959</v>
      </c>
      <c r="C2019" s="460">
        <v>2212</v>
      </c>
      <c r="D2019" s="460" t="s">
        <v>2342</v>
      </c>
      <c r="E2019" s="460" t="s">
        <v>2324</v>
      </c>
      <c r="F2019" s="460">
        <v>1</v>
      </c>
      <c r="G2019" s="460">
        <v>3</v>
      </c>
      <c r="H2019" s="461" t="s">
        <v>748</v>
      </c>
      <c r="I2019" s="461" t="s">
        <v>765</v>
      </c>
      <c r="J2019" s="461" t="s">
        <v>700</v>
      </c>
      <c r="K2019" s="594"/>
      <c r="L2019" s="594"/>
      <c r="M2019" s="352">
        <v>2000</v>
      </c>
      <c r="N2019" s="352" t="s">
        <v>703</v>
      </c>
      <c r="O2019" s="460">
        <v>2212</v>
      </c>
      <c r="P2019" s="460" t="s">
        <v>784</v>
      </c>
      <c r="Q2019" s="460" t="s">
        <v>2527</v>
      </c>
      <c r="R2019" s="460">
        <v>2121</v>
      </c>
      <c r="S2019" s="460" t="s">
        <v>2324</v>
      </c>
      <c r="T2019" s="462">
        <v>1</v>
      </c>
      <c r="U2019" s="460" t="s">
        <v>2324</v>
      </c>
      <c r="V2019" s="475">
        <v>0</v>
      </c>
      <c r="W2019" s="463" t="s">
        <v>2268</v>
      </c>
      <c r="X2019" s="463" t="s">
        <v>2268</v>
      </c>
      <c r="Y2019" s="463" t="s">
        <v>2503</v>
      </c>
      <c r="Z2019" s="463"/>
      <c r="AA2019" s="463"/>
      <c r="AB2019" s="464">
        <v>0</v>
      </c>
      <c r="AC2019" s="465">
        <v>0</v>
      </c>
      <c r="AD2019" s="465">
        <v>0</v>
      </c>
      <c r="AE2019" s="476">
        <v>0</v>
      </c>
      <c r="AF2019" s="467">
        <v>0</v>
      </c>
      <c r="AG2019" s="468">
        <v>0</v>
      </c>
      <c r="AH2019" s="218">
        <v>0</v>
      </c>
      <c r="AI2019" s="470">
        <v>0</v>
      </c>
      <c r="AJ2019" s="471">
        <v>0</v>
      </c>
      <c r="AK2019" s="218">
        <v>0</v>
      </c>
      <c r="AL2019" s="470">
        <v>0</v>
      </c>
      <c r="AM2019" s="471">
        <v>0</v>
      </c>
      <c r="AN2019" s="477">
        <v>177.90637264368115</v>
      </c>
      <c r="AO2019" s="473">
        <v>8.9296368670578066E-2</v>
      </c>
      <c r="AP2019" s="474">
        <v>9.2603496390621636E-3</v>
      </c>
      <c r="AQ2019" s="352"/>
      <c r="AR2019" s="352"/>
      <c r="AS2019" s="352"/>
      <c r="AT2019" s="352"/>
      <c r="AU2019" s="352"/>
      <c r="AV2019" s="352"/>
      <c r="AW2019" s="352" t="s">
        <v>254</v>
      </c>
    </row>
    <row r="2020" spans="2:49" x14ac:dyDescent="0.2">
      <c r="B2020" s="460" t="s">
        <v>2960</v>
      </c>
      <c r="C2020" s="460">
        <v>2212</v>
      </c>
      <c r="D2020" s="460" t="s">
        <v>2343</v>
      </c>
      <c r="E2020" s="460" t="s">
        <v>2327</v>
      </c>
      <c r="F2020" s="460">
        <v>2</v>
      </c>
      <c r="G2020" s="460">
        <v>3</v>
      </c>
      <c r="H2020" s="461" t="s">
        <v>748</v>
      </c>
      <c r="I2020" s="461" t="s">
        <v>765</v>
      </c>
      <c r="J2020" s="461" t="s">
        <v>700</v>
      </c>
      <c r="K2020" s="594"/>
      <c r="L2020" s="594"/>
      <c r="M2020" s="352">
        <v>2000</v>
      </c>
      <c r="N2020" s="352" t="s">
        <v>703</v>
      </c>
      <c r="O2020" s="460">
        <v>2212</v>
      </c>
      <c r="P2020" s="460" t="s">
        <v>784</v>
      </c>
      <c r="Q2020" s="460" t="s">
        <v>2527</v>
      </c>
      <c r="R2020" s="460">
        <v>2121</v>
      </c>
      <c r="S2020" s="460" t="s">
        <v>2324</v>
      </c>
      <c r="T2020" s="462">
        <v>1</v>
      </c>
      <c r="U2020" s="460" t="s">
        <v>2327</v>
      </c>
      <c r="V2020" s="475">
        <v>0</v>
      </c>
      <c r="W2020" s="463" t="s">
        <v>2268</v>
      </c>
      <c r="X2020" s="463" t="s">
        <v>2268</v>
      </c>
      <c r="Y2020" s="463" t="s">
        <v>2503</v>
      </c>
      <c r="Z2020" s="463"/>
      <c r="AA2020" s="463"/>
      <c r="AB2020" s="464">
        <v>0</v>
      </c>
      <c r="AC2020" s="465">
        <v>0</v>
      </c>
      <c r="AD2020" s="465">
        <v>0</v>
      </c>
      <c r="AE2020" s="476">
        <v>0</v>
      </c>
      <c r="AF2020" s="467">
        <v>0</v>
      </c>
      <c r="AG2020" s="468">
        <v>0</v>
      </c>
      <c r="AH2020" s="218">
        <v>0</v>
      </c>
      <c r="AI2020" s="470">
        <v>0</v>
      </c>
      <c r="AJ2020" s="471">
        <v>0</v>
      </c>
      <c r="AK2020" s="218">
        <v>0</v>
      </c>
      <c r="AL2020" s="470">
        <v>0</v>
      </c>
      <c r="AM2020" s="471">
        <v>0</v>
      </c>
      <c r="AN2020" s="477">
        <v>114.86492784353884</v>
      </c>
      <c r="AO2020" s="473">
        <v>8.9296368670578066E-2</v>
      </c>
      <c r="AP2020" s="474">
        <v>1.0210746898311982E-2</v>
      </c>
      <c r="AQ2020" s="352"/>
      <c r="AR2020" s="352"/>
      <c r="AS2020" s="352"/>
      <c r="AT2020" s="352"/>
      <c r="AU2020" s="352"/>
      <c r="AV2020" s="352"/>
      <c r="AW2020" s="352" t="s">
        <v>254</v>
      </c>
    </row>
    <row r="2021" spans="2:49" x14ac:dyDescent="0.2">
      <c r="B2021" s="460" t="s">
        <v>2961</v>
      </c>
      <c r="C2021" s="460">
        <v>2212</v>
      </c>
      <c r="D2021" s="460" t="s">
        <v>2344</v>
      </c>
      <c r="E2021" s="460" t="s">
        <v>2330</v>
      </c>
      <c r="F2021" s="460">
        <v>3</v>
      </c>
      <c r="G2021" s="460">
        <v>3</v>
      </c>
      <c r="H2021" s="461" t="s">
        <v>748</v>
      </c>
      <c r="I2021" s="461" t="s">
        <v>765</v>
      </c>
      <c r="J2021" s="461" t="s">
        <v>700</v>
      </c>
      <c r="K2021" s="594"/>
      <c r="L2021" s="594"/>
      <c r="M2021" s="352">
        <v>2000</v>
      </c>
      <c r="N2021" s="352" t="s">
        <v>703</v>
      </c>
      <c r="O2021" s="460">
        <v>2212</v>
      </c>
      <c r="P2021" s="460" t="s">
        <v>784</v>
      </c>
      <c r="Q2021" s="460" t="s">
        <v>2527</v>
      </c>
      <c r="R2021" s="460">
        <v>2121</v>
      </c>
      <c r="S2021" s="460" t="s">
        <v>2324</v>
      </c>
      <c r="T2021" s="462">
        <v>1</v>
      </c>
      <c r="U2021" s="460" t="s">
        <v>2330</v>
      </c>
      <c r="V2021" s="475">
        <v>0</v>
      </c>
      <c r="W2021" s="463" t="s">
        <v>2268</v>
      </c>
      <c r="X2021" s="463" t="s">
        <v>2268</v>
      </c>
      <c r="Y2021" s="463" t="s">
        <v>2503</v>
      </c>
      <c r="Z2021" s="463"/>
      <c r="AA2021" s="463"/>
      <c r="AB2021" s="464">
        <v>0</v>
      </c>
      <c r="AC2021" s="465">
        <v>0</v>
      </c>
      <c r="AD2021" s="465">
        <v>0</v>
      </c>
      <c r="AE2021" s="476">
        <v>0</v>
      </c>
      <c r="AF2021" s="467">
        <v>0</v>
      </c>
      <c r="AG2021" s="468">
        <v>0</v>
      </c>
      <c r="AH2021" s="218">
        <v>0</v>
      </c>
      <c r="AI2021" s="470">
        <v>0</v>
      </c>
      <c r="AJ2021" s="471">
        <v>0</v>
      </c>
      <c r="AK2021" s="218">
        <v>0</v>
      </c>
      <c r="AL2021" s="470">
        <v>0</v>
      </c>
      <c r="AM2021" s="471">
        <v>0</v>
      </c>
      <c r="AN2021" s="477">
        <v>36.754024732998957</v>
      </c>
      <c r="AO2021" s="473">
        <v>8.9296368670578066E-2</v>
      </c>
      <c r="AP2021" s="474">
        <v>1.0018511968586356E-2</v>
      </c>
      <c r="AQ2021" s="352"/>
      <c r="AR2021" s="352"/>
      <c r="AS2021" s="352"/>
      <c r="AT2021" s="352"/>
      <c r="AU2021" s="352"/>
      <c r="AV2021" s="352"/>
      <c r="AW2021" s="352" t="s">
        <v>254</v>
      </c>
    </row>
    <row r="2022" spans="2:49" x14ac:dyDescent="0.2">
      <c r="B2022" s="460" t="s">
        <v>2962</v>
      </c>
      <c r="C2022" s="460">
        <v>2212</v>
      </c>
      <c r="D2022" s="460" t="s">
        <v>2345</v>
      </c>
      <c r="E2022" s="460" t="s">
        <v>2333</v>
      </c>
      <c r="F2022" s="460">
        <v>4</v>
      </c>
      <c r="G2022" s="460">
        <v>3</v>
      </c>
      <c r="H2022" s="461" t="s">
        <v>748</v>
      </c>
      <c r="I2022" s="461" t="s">
        <v>765</v>
      </c>
      <c r="J2022" s="461" t="s">
        <v>700</v>
      </c>
      <c r="K2022" s="594"/>
      <c r="L2022" s="594"/>
      <c r="M2022" s="352">
        <v>2000</v>
      </c>
      <c r="N2022" s="352" t="s">
        <v>703</v>
      </c>
      <c r="O2022" s="460">
        <v>2212</v>
      </c>
      <c r="P2022" s="460" t="s">
        <v>784</v>
      </c>
      <c r="Q2022" s="460" t="s">
        <v>2527</v>
      </c>
      <c r="R2022" s="460">
        <v>2121</v>
      </c>
      <c r="S2022" s="460" t="s">
        <v>2333</v>
      </c>
      <c r="T2022" s="462">
        <v>1</v>
      </c>
      <c r="U2022" s="460" t="s">
        <v>2333</v>
      </c>
      <c r="V2022" s="475">
        <v>0</v>
      </c>
      <c r="W2022" s="463" t="s">
        <v>2268</v>
      </c>
      <c r="X2022" s="463" t="s">
        <v>2268</v>
      </c>
      <c r="Y2022" s="463" t="s">
        <v>2278</v>
      </c>
      <c r="Z2022" s="463"/>
      <c r="AA2022" s="463"/>
      <c r="AB2022" s="464">
        <v>0</v>
      </c>
      <c r="AC2022" s="465">
        <v>0</v>
      </c>
      <c r="AD2022" s="465">
        <v>0</v>
      </c>
      <c r="AE2022" s="476">
        <v>0</v>
      </c>
      <c r="AF2022" s="467">
        <v>0</v>
      </c>
      <c r="AG2022" s="468">
        <v>0</v>
      </c>
      <c r="AH2022" s="218">
        <v>0</v>
      </c>
      <c r="AI2022" s="470">
        <v>0</v>
      </c>
      <c r="AJ2022" s="471">
        <v>0</v>
      </c>
      <c r="AK2022" s="218">
        <v>0</v>
      </c>
      <c r="AL2022" s="470">
        <v>0</v>
      </c>
      <c r="AM2022" s="471">
        <v>0</v>
      </c>
      <c r="AN2022" s="477">
        <v>39.213339153024108</v>
      </c>
      <c r="AO2022" s="473">
        <v>8.4331764326385714E-2</v>
      </c>
      <c r="AP2022" s="474">
        <v>2.4419108386683312E-2</v>
      </c>
      <c r="AQ2022" s="352"/>
      <c r="AR2022" s="352"/>
      <c r="AS2022" s="352"/>
      <c r="AT2022" s="352"/>
      <c r="AU2022" s="352"/>
      <c r="AV2022" s="352"/>
      <c r="AW2022" s="352" t="s">
        <v>254</v>
      </c>
    </row>
    <row r="2023" spans="2:49" x14ac:dyDescent="0.2">
      <c r="B2023" s="460" t="s">
        <v>2959</v>
      </c>
      <c r="C2023" s="460">
        <v>2212</v>
      </c>
      <c r="D2023" s="460" t="s">
        <v>2346</v>
      </c>
      <c r="E2023" s="460" t="s">
        <v>2324</v>
      </c>
      <c r="F2023" s="460">
        <v>1</v>
      </c>
      <c r="G2023" s="460">
        <v>3</v>
      </c>
      <c r="H2023" s="461" t="s">
        <v>752</v>
      </c>
      <c r="I2023" s="461" t="s">
        <v>964</v>
      </c>
      <c r="J2023" s="461" t="s">
        <v>752</v>
      </c>
      <c r="K2023" s="594"/>
      <c r="L2023" s="594"/>
      <c r="M2023" s="352">
        <v>2000</v>
      </c>
      <c r="N2023" s="352" t="s">
        <v>703</v>
      </c>
      <c r="O2023" s="460">
        <v>2212</v>
      </c>
      <c r="P2023" s="460" t="s">
        <v>784</v>
      </c>
      <c r="Q2023" s="460" t="s">
        <v>2527</v>
      </c>
      <c r="R2023" s="460">
        <v>2121</v>
      </c>
      <c r="S2023" s="460" t="s">
        <v>2324</v>
      </c>
      <c r="T2023" s="462">
        <v>1</v>
      </c>
      <c r="U2023" s="460" t="s">
        <v>2324</v>
      </c>
      <c r="V2023" s="475">
        <v>0</v>
      </c>
      <c r="W2023" s="463" t="s">
        <v>2278</v>
      </c>
      <c r="X2023" s="463" t="s">
        <v>2278</v>
      </c>
      <c r="Y2023" s="463" t="s">
        <v>2278</v>
      </c>
      <c r="Z2023" s="463"/>
      <c r="AA2023" s="463"/>
      <c r="AB2023" s="464">
        <v>0</v>
      </c>
      <c r="AC2023" s="465">
        <v>0</v>
      </c>
      <c r="AD2023" s="465">
        <v>0</v>
      </c>
      <c r="AE2023" s="476">
        <v>0</v>
      </c>
      <c r="AF2023" s="467">
        <v>0</v>
      </c>
      <c r="AG2023" s="468">
        <v>0</v>
      </c>
      <c r="AH2023" s="218">
        <v>0</v>
      </c>
      <c r="AI2023" s="470">
        <v>0</v>
      </c>
      <c r="AJ2023" s="471">
        <v>0</v>
      </c>
      <c r="AK2023" s="218">
        <v>0</v>
      </c>
      <c r="AL2023" s="470">
        <v>0</v>
      </c>
      <c r="AM2023" s="471">
        <v>0</v>
      </c>
      <c r="AN2023" s="477">
        <v>0</v>
      </c>
      <c r="AO2023" s="473">
        <v>0</v>
      </c>
      <c r="AP2023" s="474">
        <v>0</v>
      </c>
      <c r="AQ2023" s="352"/>
      <c r="AR2023" s="352"/>
      <c r="AS2023" s="352"/>
      <c r="AT2023" s="352"/>
      <c r="AU2023" s="352"/>
      <c r="AV2023" s="352"/>
      <c r="AW2023" s="352" t="s">
        <v>254</v>
      </c>
    </row>
    <row r="2024" spans="2:49" x14ac:dyDescent="0.2">
      <c r="B2024" s="460" t="s">
        <v>2960</v>
      </c>
      <c r="C2024" s="460">
        <v>2212</v>
      </c>
      <c r="D2024" s="460" t="s">
        <v>2347</v>
      </c>
      <c r="E2024" s="460" t="s">
        <v>2327</v>
      </c>
      <c r="F2024" s="460">
        <v>2</v>
      </c>
      <c r="G2024" s="460">
        <v>3</v>
      </c>
      <c r="H2024" s="461" t="s">
        <v>752</v>
      </c>
      <c r="I2024" s="461" t="s">
        <v>964</v>
      </c>
      <c r="J2024" s="461" t="s">
        <v>752</v>
      </c>
      <c r="K2024" s="594"/>
      <c r="L2024" s="594"/>
      <c r="M2024" s="352">
        <v>2000</v>
      </c>
      <c r="N2024" s="352" t="s">
        <v>703</v>
      </c>
      <c r="O2024" s="460">
        <v>2212</v>
      </c>
      <c r="P2024" s="460" t="s">
        <v>784</v>
      </c>
      <c r="Q2024" s="460" t="s">
        <v>2527</v>
      </c>
      <c r="R2024" s="460">
        <v>2121</v>
      </c>
      <c r="S2024" s="460" t="s">
        <v>2324</v>
      </c>
      <c r="T2024" s="462">
        <v>1</v>
      </c>
      <c r="U2024" s="460" t="s">
        <v>2327</v>
      </c>
      <c r="V2024" s="475">
        <v>0</v>
      </c>
      <c r="W2024" s="463" t="s">
        <v>2278</v>
      </c>
      <c r="X2024" s="463" t="s">
        <v>2278</v>
      </c>
      <c r="Y2024" s="463" t="s">
        <v>2278</v>
      </c>
      <c r="Z2024" s="463"/>
      <c r="AA2024" s="463"/>
      <c r="AB2024" s="464">
        <v>0</v>
      </c>
      <c r="AC2024" s="465">
        <v>0</v>
      </c>
      <c r="AD2024" s="465">
        <v>0</v>
      </c>
      <c r="AE2024" s="476">
        <v>0</v>
      </c>
      <c r="AF2024" s="467">
        <v>0</v>
      </c>
      <c r="AG2024" s="468">
        <v>0</v>
      </c>
      <c r="AH2024" s="218">
        <v>0</v>
      </c>
      <c r="AI2024" s="470">
        <v>0</v>
      </c>
      <c r="AJ2024" s="471">
        <v>0</v>
      </c>
      <c r="AK2024" s="218">
        <v>0</v>
      </c>
      <c r="AL2024" s="470">
        <v>0</v>
      </c>
      <c r="AM2024" s="471">
        <v>0</v>
      </c>
      <c r="AN2024" s="477">
        <v>0</v>
      </c>
      <c r="AO2024" s="473">
        <v>0</v>
      </c>
      <c r="AP2024" s="474">
        <v>0</v>
      </c>
      <c r="AQ2024" s="352"/>
      <c r="AR2024" s="352"/>
      <c r="AS2024" s="352"/>
      <c r="AT2024" s="352"/>
      <c r="AU2024" s="352"/>
      <c r="AV2024" s="352"/>
      <c r="AW2024" s="352" t="s">
        <v>254</v>
      </c>
    </row>
    <row r="2025" spans="2:49" x14ac:dyDescent="0.2">
      <c r="B2025" s="460" t="s">
        <v>2961</v>
      </c>
      <c r="C2025" s="460">
        <v>2212</v>
      </c>
      <c r="D2025" s="460" t="s">
        <v>2348</v>
      </c>
      <c r="E2025" s="460" t="s">
        <v>2330</v>
      </c>
      <c r="F2025" s="460">
        <v>3</v>
      </c>
      <c r="G2025" s="460">
        <v>3</v>
      </c>
      <c r="H2025" s="461" t="s">
        <v>752</v>
      </c>
      <c r="I2025" s="461" t="s">
        <v>964</v>
      </c>
      <c r="J2025" s="461" t="s">
        <v>752</v>
      </c>
      <c r="K2025" s="594"/>
      <c r="L2025" s="594"/>
      <c r="M2025" s="352">
        <v>2000</v>
      </c>
      <c r="N2025" s="352" t="s">
        <v>703</v>
      </c>
      <c r="O2025" s="460">
        <v>2212</v>
      </c>
      <c r="P2025" s="460" t="s">
        <v>784</v>
      </c>
      <c r="Q2025" s="460" t="s">
        <v>2527</v>
      </c>
      <c r="R2025" s="460">
        <v>2121</v>
      </c>
      <c r="S2025" s="460" t="s">
        <v>2324</v>
      </c>
      <c r="T2025" s="462">
        <v>1</v>
      </c>
      <c r="U2025" s="460" t="s">
        <v>2330</v>
      </c>
      <c r="V2025" s="475">
        <v>0</v>
      </c>
      <c r="W2025" s="463" t="s">
        <v>2278</v>
      </c>
      <c r="X2025" s="463" t="s">
        <v>2278</v>
      </c>
      <c r="Y2025" s="463" t="s">
        <v>2278</v>
      </c>
      <c r="Z2025" s="463"/>
      <c r="AA2025" s="463"/>
      <c r="AB2025" s="464">
        <v>0</v>
      </c>
      <c r="AC2025" s="465">
        <v>0</v>
      </c>
      <c r="AD2025" s="465">
        <v>0</v>
      </c>
      <c r="AE2025" s="476">
        <v>0</v>
      </c>
      <c r="AF2025" s="467">
        <v>0</v>
      </c>
      <c r="AG2025" s="468">
        <v>0</v>
      </c>
      <c r="AH2025" s="218">
        <v>0</v>
      </c>
      <c r="AI2025" s="470">
        <v>0</v>
      </c>
      <c r="AJ2025" s="471">
        <v>0</v>
      </c>
      <c r="AK2025" s="218">
        <v>0</v>
      </c>
      <c r="AL2025" s="470">
        <v>0</v>
      </c>
      <c r="AM2025" s="471">
        <v>0</v>
      </c>
      <c r="AN2025" s="477">
        <v>0</v>
      </c>
      <c r="AO2025" s="473">
        <v>0</v>
      </c>
      <c r="AP2025" s="474">
        <v>0</v>
      </c>
      <c r="AQ2025" s="352"/>
      <c r="AR2025" s="352"/>
      <c r="AS2025" s="352"/>
      <c r="AT2025" s="352"/>
      <c r="AU2025" s="352"/>
      <c r="AV2025" s="352"/>
      <c r="AW2025" s="352" t="s">
        <v>254</v>
      </c>
    </row>
    <row r="2026" spans="2:49" x14ac:dyDescent="0.2">
      <c r="B2026" s="460" t="s">
        <v>2962</v>
      </c>
      <c r="C2026" s="460">
        <v>2212</v>
      </c>
      <c r="D2026" s="460" t="s">
        <v>2349</v>
      </c>
      <c r="E2026" s="460" t="s">
        <v>2333</v>
      </c>
      <c r="F2026" s="460">
        <v>4</v>
      </c>
      <c r="G2026" s="460">
        <v>3</v>
      </c>
      <c r="H2026" s="461" t="s">
        <v>752</v>
      </c>
      <c r="I2026" s="461" t="s">
        <v>964</v>
      </c>
      <c r="J2026" s="461" t="s">
        <v>752</v>
      </c>
      <c r="K2026" s="594"/>
      <c r="L2026" s="594"/>
      <c r="M2026" s="352">
        <v>2000</v>
      </c>
      <c r="N2026" s="352" t="s">
        <v>703</v>
      </c>
      <c r="O2026" s="460">
        <v>2212</v>
      </c>
      <c r="P2026" s="460" t="s">
        <v>784</v>
      </c>
      <c r="Q2026" s="460" t="s">
        <v>2527</v>
      </c>
      <c r="R2026" s="460">
        <v>2121</v>
      </c>
      <c r="S2026" s="460" t="s">
        <v>2333</v>
      </c>
      <c r="T2026" s="462">
        <v>1</v>
      </c>
      <c r="U2026" s="460" t="s">
        <v>2333</v>
      </c>
      <c r="V2026" s="475">
        <v>0</v>
      </c>
      <c r="W2026" s="463" t="s">
        <v>2278</v>
      </c>
      <c r="X2026" s="463" t="s">
        <v>2278</v>
      </c>
      <c r="Y2026" s="463" t="s">
        <v>2278</v>
      </c>
      <c r="Z2026" s="463"/>
      <c r="AA2026" s="463"/>
      <c r="AB2026" s="464">
        <v>0</v>
      </c>
      <c r="AC2026" s="465">
        <v>0</v>
      </c>
      <c r="AD2026" s="465">
        <v>0</v>
      </c>
      <c r="AE2026" s="476">
        <v>0</v>
      </c>
      <c r="AF2026" s="467">
        <v>0</v>
      </c>
      <c r="AG2026" s="468">
        <v>0</v>
      </c>
      <c r="AH2026" s="218">
        <v>0</v>
      </c>
      <c r="AI2026" s="470">
        <v>0</v>
      </c>
      <c r="AJ2026" s="471">
        <v>0</v>
      </c>
      <c r="AK2026" s="218">
        <v>0</v>
      </c>
      <c r="AL2026" s="470">
        <v>0</v>
      </c>
      <c r="AM2026" s="471">
        <v>0</v>
      </c>
      <c r="AN2026" s="477">
        <v>0</v>
      </c>
      <c r="AO2026" s="473">
        <v>0</v>
      </c>
      <c r="AP2026" s="474">
        <v>0</v>
      </c>
      <c r="AQ2026" s="352"/>
      <c r="AR2026" s="352"/>
      <c r="AS2026" s="352"/>
      <c r="AT2026" s="352"/>
      <c r="AU2026" s="352"/>
      <c r="AV2026" s="352"/>
      <c r="AW2026" s="352" t="s">
        <v>254</v>
      </c>
    </row>
    <row r="2027" spans="2:49" x14ac:dyDescent="0.2">
      <c r="B2027" s="460" t="s">
        <v>2963</v>
      </c>
      <c r="C2027" s="460">
        <v>2212</v>
      </c>
      <c r="D2027" s="460" t="s">
        <v>2351</v>
      </c>
      <c r="E2027" s="460" t="s">
        <v>1136</v>
      </c>
      <c r="F2027" s="460">
        <v>1</v>
      </c>
      <c r="G2027" s="460">
        <v>4</v>
      </c>
      <c r="H2027" s="461" t="s">
        <v>700</v>
      </c>
      <c r="I2027" s="461" t="s">
        <v>872</v>
      </c>
      <c r="J2027" s="461" t="s">
        <v>700</v>
      </c>
      <c r="K2027" s="594"/>
      <c r="L2027" s="594"/>
      <c r="M2027" s="352">
        <v>2000</v>
      </c>
      <c r="N2027" s="352" t="s">
        <v>703</v>
      </c>
      <c r="O2027" s="460">
        <v>2212</v>
      </c>
      <c r="P2027" s="460" t="s">
        <v>784</v>
      </c>
      <c r="Q2027" s="460" t="s">
        <v>2527</v>
      </c>
      <c r="R2027" s="460">
        <v>2121</v>
      </c>
      <c r="S2027" s="460" t="s">
        <v>1136</v>
      </c>
      <c r="T2027" s="462">
        <v>1</v>
      </c>
      <c r="U2027" s="460" t="s">
        <v>1136</v>
      </c>
      <c r="V2027" s="475">
        <v>0</v>
      </c>
      <c r="W2027" s="463" t="s">
        <v>2503</v>
      </c>
      <c r="X2027" s="479" t="s">
        <v>2267</v>
      </c>
      <c r="Y2027" s="463" t="s">
        <v>2268</v>
      </c>
      <c r="Z2027" s="463"/>
      <c r="AA2027" s="463"/>
      <c r="AB2027" s="464">
        <v>4.4971934359675414</v>
      </c>
      <c r="AC2027" s="465">
        <v>9.1903181913613255E-2</v>
      </c>
      <c r="AD2027" s="465">
        <v>1.2795456264520205E-2</v>
      </c>
      <c r="AE2027" s="476">
        <v>2.6983160615805248</v>
      </c>
      <c r="AF2027" s="467">
        <v>5.5141909148167953E-2</v>
      </c>
      <c r="AG2027" s="468">
        <v>8.3456692328944624E-3</v>
      </c>
      <c r="AH2027" s="218">
        <v>10.666223500291752</v>
      </c>
      <c r="AI2027" s="470">
        <v>0.21797147323899202</v>
      </c>
      <c r="AJ2027" s="471">
        <v>8.3299634956609768E-3</v>
      </c>
      <c r="AK2027" s="218">
        <v>10.666223500291752</v>
      </c>
      <c r="AL2027" s="470">
        <v>0.21797147323899202</v>
      </c>
      <c r="AM2027" s="471">
        <v>8.3299634956609768E-3</v>
      </c>
      <c r="AN2027" s="477">
        <v>0</v>
      </c>
      <c r="AO2027" s="473">
        <v>0</v>
      </c>
      <c r="AP2027" s="474">
        <v>0</v>
      </c>
      <c r="AQ2027" s="352"/>
      <c r="AR2027" s="352"/>
      <c r="AS2027" s="352"/>
      <c r="AT2027" s="352"/>
      <c r="AU2027" s="352"/>
      <c r="AV2027" s="352"/>
      <c r="AW2027" s="352" t="s">
        <v>254</v>
      </c>
    </row>
    <row r="2028" spans="2:49" x14ac:dyDescent="0.2">
      <c r="B2028" s="460" t="s">
        <v>2964</v>
      </c>
      <c r="C2028" s="460">
        <v>2212</v>
      </c>
      <c r="D2028" s="460" t="s">
        <v>2353</v>
      </c>
      <c r="E2028" s="460" t="s">
        <v>1137</v>
      </c>
      <c r="F2028" s="460">
        <v>2</v>
      </c>
      <c r="G2028" s="460">
        <v>4</v>
      </c>
      <c r="H2028" s="461" t="s">
        <v>700</v>
      </c>
      <c r="I2028" s="461" t="s">
        <v>872</v>
      </c>
      <c r="J2028" s="461" t="s">
        <v>700</v>
      </c>
      <c r="K2028" s="594"/>
      <c r="L2028" s="594"/>
      <c r="M2028" s="352">
        <v>2000</v>
      </c>
      <c r="N2028" s="352" t="s">
        <v>703</v>
      </c>
      <c r="O2028" s="460">
        <v>2212</v>
      </c>
      <c r="P2028" s="460" t="s">
        <v>784</v>
      </c>
      <c r="Q2028" s="460" t="s">
        <v>2527</v>
      </c>
      <c r="R2028" s="460">
        <v>2121</v>
      </c>
      <c r="S2028" s="460" t="s">
        <v>1137</v>
      </c>
      <c r="T2028" s="462">
        <v>1</v>
      </c>
      <c r="U2028" s="460" t="s">
        <v>1137</v>
      </c>
      <c r="V2028" s="475">
        <v>0</v>
      </c>
      <c r="W2028" s="463" t="s">
        <v>2503</v>
      </c>
      <c r="X2028" s="479" t="s">
        <v>2267</v>
      </c>
      <c r="Y2028" s="463" t="s">
        <v>2268</v>
      </c>
      <c r="Z2028" s="463"/>
      <c r="AA2028" s="463"/>
      <c r="AB2028" s="464">
        <v>8.2663898865949612</v>
      </c>
      <c r="AC2028" s="465">
        <v>5.7897374676485126E-2</v>
      </c>
      <c r="AD2028" s="465">
        <v>1.8666758359008829E-3</v>
      </c>
      <c r="AE2028" s="476">
        <v>4.9598339319569762</v>
      </c>
      <c r="AF2028" s="467">
        <v>3.4738424805891073E-2</v>
      </c>
      <c r="AG2028" s="468">
        <v>1.2066163523496336E-3</v>
      </c>
      <c r="AH2028" s="218">
        <v>28.355914778065554</v>
      </c>
      <c r="AI2028" s="470">
        <v>0.19860338608785305</v>
      </c>
      <c r="AJ2028" s="471">
        <v>5.8585993391656894E-3</v>
      </c>
      <c r="AK2028" s="218">
        <v>28.355914778065554</v>
      </c>
      <c r="AL2028" s="470">
        <v>0.19860338608785305</v>
      </c>
      <c r="AM2028" s="471">
        <v>5.8585993391656894E-3</v>
      </c>
      <c r="AN2028" s="477">
        <v>0</v>
      </c>
      <c r="AO2028" s="473">
        <v>0</v>
      </c>
      <c r="AP2028" s="474">
        <v>0</v>
      </c>
      <c r="AQ2028" s="352"/>
      <c r="AR2028" s="352"/>
      <c r="AS2028" s="352"/>
      <c r="AT2028" s="352"/>
      <c r="AU2028" s="352"/>
      <c r="AV2028" s="352"/>
      <c r="AW2028" s="352" t="s">
        <v>254</v>
      </c>
    </row>
    <row r="2029" spans="2:49" x14ac:dyDescent="0.2">
      <c r="B2029" s="460" t="s">
        <v>2965</v>
      </c>
      <c r="C2029" s="460">
        <v>2212</v>
      </c>
      <c r="D2029" s="460" t="s">
        <v>2355</v>
      </c>
      <c r="E2029" s="460" t="s">
        <v>1138</v>
      </c>
      <c r="F2029" s="460">
        <v>3</v>
      </c>
      <c r="G2029" s="460">
        <v>4</v>
      </c>
      <c r="H2029" s="461" t="s">
        <v>700</v>
      </c>
      <c r="I2029" s="461" t="s">
        <v>872</v>
      </c>
      <c r="J2029" s="461" t="s">
        <v>700</v>
      </c>
      <c r="K2029" s="594"/>
      <c r="L2029" s="594"/>
      <c r="M2029" s="352">
        <v>2000</v>
      </c>
      <c r="N2029" s="352" t="s">
        <v>703</v>
      </c>
      <c r="O2029" s="460">
        <v>2212</v>
      </c>
      <c r="P2029" s="460" t="s">
        <v>784</v>
      </c>
      <c r="Q2029" s="460" t="s">
        <v>2527</v>
      </c>
      <c r="R2029" s="460">
        <v>2121</v>
      </c>
      <c r="S2029" s="460" t="s">
        <v>1138</v>
      </c>
      <c r="T2029" s="462">
        <v>1</v>
      </c>
      <c r="U2029" s="460" t="s">
        <v>1138</v>
      </c>
      <c r="V2029" s="475">
        <v>0</v>
      </c>
      <c r="W2029" s="463" t="s">
        <v>2503</v>
      </c>
      <c r="X2029" s="463" t="s">
        <v>2503</v>
      </c>
      <c r="Y2029" s="463" t="s">
        <v>2268</v>
      </c>
      <c r="Z2029" s="463"/>
      <c r="AA2029" s="463"/>
      <c r="AB2029" s="464">
        <v>3.9984166572568647</v>
      </c>
      <c r="AC2029" s="465">
        <v>3.9924351640961385E-2</v>
      </c>
      <c r="AD2029" s="465">
        <v>1.6776083148761604E-3</v>
      </c>
      <c r="AE2029" s="476">
        <v>2.3990499943541188</v>
      </c>
      <c r="AF2029" s="467">
        <v>2.3954610984576831E-2</v>
      </c>
      <c r="AG2029" s="468">
        <v>1.0859474485103182E-3</v>
      </c>
      <c r="AH2029" s="218">
        <v>2.3990499943541188</v>
      </c>
      <c r="AI2029" s="470">
        <v>2.3954610984576831E-2</v>
      </c>
      <c r="AJ2029" s="471">
        <v>8.2672746691745975E-4</v>
      </c>
      <c r="AK2029" s="218">
        <v>2.3990499943541188</v>
      </c>
      <c r="AL2029" s="470">
        <v>2.3954610984576831E-2</v>
      </c>
      <c r="AM2029" s="471">
        <v>8.2672746691745975E-4</v>
      </c>
      <c r="AN2029" s="477">
        <v>0</v>
      </c>
      <c r="AO2029" s="473">
        <v>0</v>
      </c>
      <c r="AP2029" s="474">
        <v>0</v>
      </c>
      <c r="AQ2029" s="352"/>
      <c r="AR2029" s="352"/>
      <c r="AS2029" s="352"/>
      <c r="AT2029" s="352"/>
      <c r="AU2029" s="352"/>
      <c r="AV2029" s="352"/>
      <c r="AW2029" s="352" t="s">
        <v>254</v>
      </c>
    </row>
    <row r="2030" spans="2:49" x14ac:dyDescent="0.2">
      <c r="B2030" s="460" t="s">
        <v>2966</v>
      </c>
      <c r="C2030" s="460">
        <v>2212</v>
      </c>
      <c r="D2030" s="460" t="s">
        <v>2357</v>
      </c>
      <c r="E2030" s="460" t="s">
        <v>1139</v>
      </c>
      <c r="F2030" s="460">
        <v>4</v>
      </c>
      <c r="G2030" s="460">
        <v>4</v>
      </c>
      <c r="H2030" s="461" t="s">
        <v>700</v>
      </c>
      <c r="I2030" s="461" t="s">
        <v>872</v>
      </c>
      <c r="J2030" s="461" t="s">
        <v>700</v>
      </c>
      <c r="K2030" s="594"/>
      <c r="L2030" s="594"/>
      <c r="M2030" s="352">
        <v>2000</v>
      </c>
      <c r="N2030" s="352" t="s">
        <v>703</v>
      </c>
      <c r="O2030" s="460">
        <v>2212</v>
      </c>
      <c r="P2030" s="460" t="s">
        <v>784</v>
      </c>
      <c r="Q2030" s="460" t="s">
        <v>2527</v>
      </c>
      <c r="R2030" s="460">
        <v>2121</v>
      </c>
      <c r="S2030" s="460" t="s">
        <v>1139</v>
      </c>
      <c r="T2030" s="462">
        <v>1</v>
      </c>
      <c r="U2030" s="460" t="s">
        <v>1139</v>
      </c>
      <c r="V2030" s="475">
        <v>0</v>
      </c>
      <c r="W2030" s="463" t="s">
        <v>2503</v>
      </c>
      <c r="X2030" s="463" t="s">
        <v>2503</v>
      </c>
      <c r="Y2030" s="463" t="s">
        <v>2268</v>
      </c>
      <c r="Z2030" s="463"/>
      <c r="AA2030" s="463"/>
      <c r="AB2030" s="464">
        <v>0</v>
      </c>
      <c r="AC2030" s="465">
        <v>0</v>
      </c>
      <c r="AD2030" s="465">
        <v>0</v>
      </c>
      <c r="AE2030" s="476">
        <v>0</v>
      </c>
      <c r="AF2030" s="467">
        <v>0</v>
      </c>
      <c r="AG2030" s="468">
        <v>0</v>
      </c>
      <c r="AH2030" s="218">
        <v>0</v>
      </c>
      <c r="AI2030" s="470">
        <v>0</v>
      </c>
      <c r="AJ2030" s="471">
        <v>0</v>
      </c>
      <c r="AK2030" s="218">
        <v>0</v>
      </c>
      <c r="AL2030" s="470">
        <v>0</v>
      </c>
      <c r="AM2030" s="471">
        <v>0</v>
      </c>
      <c r="AN2030" s="477">
        <v>0</v>
      </c>
      <c r="AO2030" s="473">
        <v>0</v>
      </c>
      <c r="AP2030" s="474">
        <v>0</v>
      </c>
      <c r="AQ2030" s="352"/>
      <c r="AR2030" s="352"/>
      <c r="AS2030" s="352"/>
      <c r="AT2030" s="352"/>
      <c r="AU2030" s="352"/>
      <c r="AV2030" s="352"/>
      <c r="AW2030" s="352" t="s">
        <v>254</v>
      </c>
    </row>
    <row r="2031" spans="2:49" x14ac:dyDescent="0.2">
      <c r="B2031" s="460" t="s">
        <v>2963</v>
      </c>
      <c r="C2031" s="460">
        <v>2212</v>
      </c>
      <c r="D2031" s="460" t="s">
        <v>2358</v>
      </c>
      <c r="E2031" s="460" t="s">
        <v>1136</v>
      </c>
      <c r="F2031" s="460">
        <v>1</v>
      </c>
      <c r="G2031" s="460">
        <v>4</v>
      </c>
      <c r="H2031" s="461" t="s">
        <v>712</v>
      </c>
      <c r="I2031" s="461" t="s">
        <v>713</v>
      </c>
      <c r="J2031" s="461" t="s">
        <v>712</v>
      </c>
      <c r="K2031" s="594"/>
      <c r="L2031" s="594"/>
      <c r="M2031" s="352">
        <v>2000</v>
      </c>
      <c r="N2031" s="352" t="s">
        <v>703</v>
      </c>
      <c r="O2031" s="460">
        <v>2212</v>
      </c>
      <c r="P2031" s="460" t="s">
        <v>784</v>
      </c>
      <c r="Q2031" s="460" t="s">
        <v>2280</v>
      </c>
      <c r="R2031" s="460">
        <v>2121</v>
      </c>
      <c r="S2031" s="460" t="s">
        <v>1136</v>
      </c>
      <c r="T2031" s="462">
        <v>1</v>
      </c>
      <c r="U2031" s="460" t="s">
        <v>1136</v>
      </c>
      <c r="V2031" s="475">
        <v>0</v>
      </c>
      <c r="W2031" s="463" t="s">
        <v>713</v>
      </c>
      <c r="X2031" s="463" t="s">
        <v>713</v>
      </c>
      <c r="Y2031" s="463" t="s">
        <v>713</v>
      </c>
      <c r="Z2031" s="463"/>
      <c r="AA2031" s="463"/>
      <c r="AB2031" s="464">
        <v>42.73272798938897</v>
      </c>
      <c r="AC2031" s="465">
        <v>0.87327212626975659</v>
      </c>
      <c r="AD2031" s="465">
        <v>2.8162450598447254E-4</v>
      </c>
      <c r="AE2031" s="476">
        <v>44.531605363775981</v>
      </c>
      <c r="AF2031" s="467">
        <v>0.91003339903520186</v>
      </c>
      <c r="AG2031" s="468">
        <v>2.9342534078679417E-4</v>
      </c>
      <c r="AH2031" s="218">
        <v>34.028203430966848</v>
      </c>
      <c r="AI2031" s="470">
        <v>0.69538929437594166</v>
      </c>
      <c r="AJ2031" s="471">
        <v>2.2649563620947289E-4</v>
      </c>
      <c r="AK2031" s="218">
        <v>34.028203430966848</v>
      </c>
      <c r="AL2031" s="470">
        <v>0.69538929437594166</v>
      </c>
      <c r="AM2031" s="471">
        <v>2.2649563620947289E-4</v>
      </c>
      <c r="AN2031" s="477">
        <v>34.028203430966848</v>
      </c>
      <c r="AO2031" s="473">
        <v>0.69538929437594166</v>
      </c>
      <c r="AP2031" s="474">
        <v>2.2612709618076465E-4</v>
      </c>
      <c r="AQ2031" s="352"/>
      <c r="AR2031" s="352"/>
      <c r="AS2031" s="352"/>
      <c r="AT2031" s="352"/>
      <c r="AU2031" s="352"/>
      <c r="AV2031" s="352"/>
      <c r="AW2031" s="352" t="s">
        <v>254</v>
      </c>
    </row>
    <row r="2032" spans="2:49" x14ac:dyDescent="0.2">
      <c r="B2032" s="460" t="s">
        <v>2964</v>
      </c>
      <c r="C2032" s="460">
        <v>2212</v>
      </c>
      <c r="D2032" s="460" t="s">
        <v>2359</v>
      </c>
      <c r="E2032" s="460" t="s">
        <v>1137</v>
      </c>
      <c r="F2032" s="460">
        <v>2</v>
      </c>
      <c r="G2032" s="460">
        <v>4</v>
      </c>
      <c r="H2032" s="461" t="s">
        <v>712</v>
      </c>
      <c r="I2032" s="461" t="s">
        <v>713</v>
      </c>
      <c r="J2032" s="461" t="s">
        <v>712</v>
      </c>
      <c r="K2032" s="594"/>
      <c r="L2032" s="594"/>
      <c r="M2032" s="352">
        <v>2000</v>
      </c>
      <c r="N2032" s="352" t="s">
        <v>703</v>
      </c>
      <c r="O2032" s="460">
        <v>2212</v>
      </c>
      <c r="P2032" s="460" t="s">
        <v>784</v>
      </c>
      <c r="Q2032" s="460" t="s">
        <v>2280</v>
      </c>
      <c r="R2032" s="460">
        <v>2121</v>
      </c>
      <c r="S2032" s="460" t="s">
        <v>1137</v>
      </c>
      <c r="T2032" s="462">
        <v>1</v>
      </c>
      <c r="U2032" s="460" t="s">
        <v>1137</v>
      </c>
      <c r="V2032" s="475">
        <v>0</v>
      </c>
      <c r="W2032" s="463" t="s">
        <v>713</v>
      </c>
      <c r="X2032" s="463" t="s">
        <v>713</v>
      </c>
      <c r="Y2032" s="463" t="s">
        <v>713</v>
      </c>
      <c r="Z2032" s="463"/>
      <c r="AA2032" s="463"/>
      <c r="AB2032" s="464">
        <v>134.18752476649473</v>
      </c>
      <c r="AC2032" s="465">
        <v>0.93984260419587751</v>
      </c>
      <c r="AD2032" s="465">
        <v>7.7602496628810839E-4</v>
      </c>
      <c r="AE2032" s="476">
        <v>137.49408072113272</v>
      </c>
      <c r="AF2032" s="467">
        <v>0.96300155406647159</v>
      </c>
      <c r="AG2032" s="468">
        <v>7.9368820773120297E-4</v>
      </c>
      <c r="AH2032" s="218">
        <v>112.79309375839303</v>
      </c>
      <c r="AI2032" s="470">
        <v>0.78999709665757945</v>
      </c>
      <c r="AJ2032" s="471">
        <v>6.5419072661129177E-4</v>
      </c>
      <c r="AK2032" s="218">
        <v>112.79309375839303</v>
      </c>
      <c r="AL2032" s="470">
        <v>0.78999709665757945</v>
      </c>
      <c r="AM2032" s="471">
        <v>6.5419072661129177E-4</v>
      </c>
      <c r="AN2032" s="477">
        <v>112.79309375839303</v>
      </c>
      <c r="AO2032" s="473">
        <v>0.78999709665757945</v>
      </c>
      <c r="AP2032" s="474">
        <v>6.5365092541621098E-4</v>
      </c>
      <c r="AQ2032" s="352"/>
      <c r="AR2032" s="352"/>
      <c r="AS2032" s="352"/>
      <c r="AT2032" s="352"/>
      <c r="AU2032" s="352"/>
      <c r="AV2032" s="352"/>
      <c r="AW2032" s="352" t="s">
        <v>254</v>
      </c>
    </row>
    <row r="2033" spans="2:49" x14ac:dyDescent="0.2">
      <c r="B2033" s="460" t="s">
        <v>2965</v>
      </c>
      <c r="C2033" s="460">
        <v>2212</v>
      </c>
      <c r="D2033" s="460" t="s">
        <v>2360</v>
      </c>
      <c r="E2033" s="460" t="s">
        <v>1138</v>
      </c>
      <c r="F2033" s="460">
        <v>3</v>
      </c>
      <c r="G2033" s="460">
        <v>4</v>
      </c>
      <c r="H2033" s="461" t="s">
        <v>712</v>
      </c>
      <c r="I2033" s="461" t="s">
        <v>713</v>
      </c>
      <c r="J2033" s="461" t="s">
        <v>712</v>
      </c>
      <c r="K2033" s="594"/>
      <c r="L2033" s="594"/>
      <c r="M2033" s="352">
        <v>2000</v>
      </c>
      <c r="N2033" s="352" t="s">
        <v>703</v>
      </c>
      <c r="O2033" s="460">
        <v>2212</v>
      </c>
      <c r="P2033" s="460" t="s">
        <v>784</v>
      </c>
      <c r="Q2033" s="460" t="s">
        <v>2280</v>
      </c>
      <c r="R2033" s="460">
        <v>2121</v>
      </c>
      <c r="S2033" s="460" t="s">
        <v>1138</v>
      </c>
      <c r="T2033" s="462">
        <v>1</v>
      </c>
      <c r="U2033" s="460" t="s">
        <v>1138</v>
      </c>
      <c r="V2033" s="475">
        <v>0</v>
      </c>
      <c r="W2033" s="463" t="s">
        <v>713</v>
      </c>
      <c r="X2033" s="463" t="s">
        <v>713</v>
      </c>
      <c r="Y2033" s="463" t="s">
        <v>713</v>
      </c>
      <c r="Z2033" s="463"/>
      <c r="AA2033" s="463"/>
      <c r="AB2033" s="464">
        <v>95.318965392588609</v>
      </c>
      <c r="AC2033" s="465">
        <v>0.95176371513947045</v>
      </c>
      <c r="AD2033" s="465">
        <v>1.1895374788232513E-3</v>
      </c>
      <c r="AE2033" s="476">
        <v>96.918332055491362</v>
      </c>
      <c r="AF2033" s="467">
        <v>0.96773345579585512</v>
      </c>
      <c r="AG2033" s="468">
        <v>1.2068727911830098E-3</v>
      </c>
      <c r="AH2033" s="218">
        <v>96.918332055491362</v>
      </c>
      <c r="AI2033" s="470">
        <v>0.96773345579585512</v>
      </c>
      <c r="AJ2033" s="471">
        <v>1.2210238245230797E-3</v>
      </c>
      <c r="AK2033" s="218">
        <v>96.918332055491362</v>
      </c>
      <c r="AL2033" s="470">
        <v>0.96773345579585512</v>
      </c>
      <c r="AM2033" s="471">
        <v>1.2210238245230797E-3</v>
      </c>
      <c r="AN2033" s="477">
        <v>97.718015386942739</v>
      </c>
      <c r="AO2033" s="473">
        <v>0.97571832612404741</v>
      </c>
      <c r="AP2033" s="474">
        <v>1.2310058396493048E-3</v>
      </c>
      <c r="AQ2033" s="352"/>
      <c r="AR2033" s="352"/>
      <c r="AS2033" s="352"/>
      <c r="AT2033" s="352"/>
      <c r="AU2033" s="352"/>
      <c r="AV2033" s="352"/>
      <c r="AW2033" s="352" t="s">
        <v>254</v>
      </c>
    </row>
    <row r="2034" spans="2:49" x14ac:dyDescent="0.2">
      <c r="B2034" s="460" t="s">
        <v>2966</v>
      </c>
      <c r="C2034" s="460">
        <v>2212</v>
      </c>
      <c r="D2034" s="460" t="s">
        <v>2361</v>
      </c>
      <c r="E2034" s="460" t="s">
        <v>1139</v>
      </c>
      <c r="F2034" s="460">
        <v>4</v>
      </c>
      <c r="G2034" s="460">
        <v>4</v>
      </c>
      <c r="H2034" s="461" t="s">
        <v>712</v>
      </c>
      <c r="I2034" s="461" t="s">
        <v>713</v>
      </c>
      <c r="J2034" s="461" t="s">
        <v>712</v>
      </c>
      <c r="K2034" s="594"/>
      <c r="L2034" s="594"/>
      <c r="M2034" s="352">
        <v>2000</v>
      </c>
      <c r="N2034" s="352" t="s">
        <v>703</v>
      </c>
      <c r="O2034" s="460">
        <v>2212</v>
      </c>
      <c r="P2034" s="460" t="s">
        <v>784</v>
      </c>
      <c r="Q2034" s="460" t="s">
        <v>2280</v>
      </c>
      <c r="R2034" s="460">
        <v>2121</v>
      </c>
      <c r="S2034" s="460" t="s">
        <v>1139</v>
      </c>
      <c r="T2034" s="462">
        <v>1</v>
      </c>
      <c r="U2034" s="460" t="s">
        <v>1139</v>
      </c>
      <c r="V2034" s="475">
        <v>0</v>
      </c>
      <c r="W2034" s="463" t="s">
        <v>713</v>
      </c>
      <c r="X2034" s="463" t="s">
        <v>713</v>
      </c>
      <c r="Y2034" s="463" t="s">
        <v>713</v>
      </c>
      <c r="Z2034" s="463"/>
      <c r="AA2034" s="463"/>
      <c r="AB2034" s="464">
        <v>108.52205534773518</v>
      </c>
      <c r="AC2034" s="465">
        <v>0.84720316725927203</v>
      </c>
      <c r="AD2034" s="465">
        <v>1.2015817355666755E-3</v>
      </c>
      <c r="AE2034" s="476">
        <v>108.52205534773518</v>
      </c>
      <c r="AF2034" s="467">
        <v>0.84720316725927203</v>
      </c>
      <c r="AG2034" s="468">
        <v>1.2015817355666755E-3</v>
      </c>
      <c r="AH2034" s="218">
        <v>108.52205534773518</v>
      </c>
      <c r="AI2034" s="470">
        <v>0.84720316725927203</v>
      </c>
      <c r="AJ2034" s="471">
        <v>1.227425183997865E-3</v>
      </c>
      <c r="AK2034" s="218">
        <v>108.52205534773518</v>
      </c>
      <c r="AL2034" s="470">
        <v>0.84720316725927203</v>
      </c>
      <c r="AM2034" s="471">
        <v>1.227425183997865E-3</v>
      </c>
      <c r="AN2034" s="477">
        <v>108.52205534773518</v>
      </c>
      <c r="AO2034" s="473">
        <v>0.84720316725927203</v>
      </c>
      <c r="AP2034" s="474">
        <v>1.227425183997865E-3</v>
      </c>
      <c r="AQ2034" s="352"/>
      <c r="AR2034" s="352"/>
      <c r="AS2034" s="352"/>
      <c r="AT2034" s="352"/>
      <c r="AU2034" s="352"/>
      <c r="AV2034" s="352"/>
      <c r="AW2034" s="352" t="s">
        <v>254</v>
      </c>
    </row>
    <row r="2035" spans="2:49" x14ac:dyDescent="0.2">
      <c r="B2035" s="460" t="s">
        <v>2963</v>
      </c>
      <c r="C2035" s="460">
        <v>2212</v>
      </c>
      <c r="D2035" s="460" t="s">
        <v>2362</v>
      </c>
      <c r="E2035" s="460" t="s">
        <v>1136</v>
      </c>
      <c r="F2035" s="460">
        <v>1</v>
      </c>
      <c r="G2035" s="460">
        <v>4</v>
      </c>
      <c r="H2035" s="461" t="s">
        <v>746</v>
      </c>
      <c r="I2035" s="461" t="s">
        <v>762</v>
      </c>
      <c r="J2035" s="461" t="s">
        <v>700</v>
      </c>
      <c r="K2035" s="594"/>
      <c r="L2035" s="594"/>
      <c r="M2035" s="352">
        <v>2000</v>
      </c>
      <c r="N2035" s="352" t="s">
        <v>703</v>
      </c>
      <c r="O2035" s="460">
        <v>2212</v>
      </c>
      <c r="P2035" s="460" t="s">
        <v>784</v>
      </c>
      <c r="Q2035" s="460" t="s">
        <v>2531</v>
      </c>
      <c r="R2035" s="460">
        <v>2121</v>
      </c>
      <c r="S2035" s="460" t="s">
        <v>1136</v>
      </c>
      <c r="T2035" s="462">
        <v>1</v>
      </c>
      <c r="U2035" s="460" t="s">
        <v>1136</v>
      </c>
      <c r="V2035" s="475">
        <v>0</v>
      </c>
      <c r="W2035" s="463" t="s">
        <v>2268</v>
      </c>
      <c r="X2035" s="463" t="s">
        <v>2268</v>
      </c>
      <c r="Y2035" s="463" t="s">
        <v>2290</v>
      </c>
      <c r="Z2035" s="463"/>
      <c r="AA2035" s="463"/>
      <c r="AB2035" s="464">
        <v>0</v>
      </c>
      <c r="AC2035" s="465">
        <v>0</v>
      </c>
      <c r="AD2035" s="465">
        <v>0</v>
      </c>
      <c r="AE2035" s="476">
        <v>0</v>
      </c>
      <c r="AF2035" s="467">
        <v>0</v>
      </c>
      <c r="AG2035" s="468">
        <v>0</v>
      </c>
      <c r="AH2035" s="218">
        <v>0</v>
      </c>
      <c r="AI2035" s="470">
        <v>0</v>
      </c>
      <c r="AJ2035" s="471">
        <v>0</v>
      </c>
      <c r="AK2035" s="218">
        <v>0</v>
      </c>
      <c r="AL2035" s="470">
        <v>0</v>
      </c>
      <c r="AM2035" s="471">
        <v>0</v>
      </c>
      <c r="AN2035" s="477">
        <v>0</v>
      </c>
      <c r="AO2035" s="473">
        <v>0</v>
      </c>
      <c r="AP2035" s="474">
        <v>0</v>
      </c>
      <c r="AQ2035" s="352"/>
      <c r="AR2035" s="352"/>
      <c r="AS2035" s="352"/>
      <c r="AT2035" s="352"/>
      <c r="AU2035" s="352"/>
      <c r="AV2035" s="352"/>
      <c r="AW2035" s="352" t="s">
        <v>254</v>
      </c>
    </row>
    <row r="2036" spans="2:49" x14ac:dyDescent="0.2">
      <c r="B2036" s="460" t="s">
        <v>2964</v>
      </c>
      <c r="C2036" s="460">
        <v>2212</v>
      </c>
      <c r="D2036" s="460" t="s">
        <v>2363</v>
      </c>
      <c r="E2036" s="460" t="s">
        <v>1137</v>
      </c>
      <c r="F2036" s="460">
        <v>2</v>
      </c>
      <c r="G2036" s="460">
        <v>4</v>
      </c>
      <c r="H2036" s="461" t="s">
        <v>746</v>
      </c>
      <c r="I2036" s="461" t="s">
        <v>762</v>
      </c>
      <c r="J2036" s="461" t="s">
        <v>700</v>
      </c>
      <c r="K2036" s="594"/>
      <c r="L2036" s="594"/>
      <c r="M2036" s="352">
        <v>2000</v>
      </c>
      <c r="N2036" s="352" t="s">
        <v>703</v>
      </c>
      <c r="O2036" s="460">
        <v>2212</v>
      </c>
      <c r="P2036" s="460" t="s">
        <v>784</v>
      </c>
      <c r="Q2036" s="460" t="s">
        <v>2531</v>
      </c>
      <c r="R2036" s="460">
        <v>2121</v>
      </c>
      <c r="S2036" s="460" t="s">
        <v>1137</v>
      </c>
      <c r="T2036" s="462">
        <v>1</v>
      </c>
      <c r="U2036" s="460" t="s">
        <v>1137</v>
      </c>
      <c r="V2036" s="475">
        <v>0</v>
      </c>
      <c r="W2036" s="463" t="s">
        <v>2268</v>
      </c>
      <c r="X2036" s="463" t="s">
        <v>2268</v>
      </c>
      <c r="Y2036" s="463" t="s">
        <v>2290</v>
      </c>
      <c r="Z2036" s="463"/>
      <c r="AA2036" s="463"/>
      <c r="AB2036" s="464">
        <v>0</v>
      </c>
      <c r="AC2036" s="465">
        <v>0</v>
      </c>
      <c r="AD2036" s="465">
        <v>0</v>
      </c>
      <c r="AE2036" s="476">
        <v>0</v>
      </c>
      <c r="AF2036" s="467">
        <v>0</v>
      </c>
      <c r="AG2036" s="468">
        <v>0</v>
      </c>
      <c r="AH2036" s="218">
        <v>0</v>
      </c>
      <c r="AI2036" s="470">
        <v>0</v>
      </c>
      <c r="AJ2036" s="471">
        <v>0</v>
      </c>
      <c r="AK2036" s="218">
        <v>0</v>
      </c>
      <c r="AL2036" s="470">
        <v>0</v>
      </c>
      <c r="AM2036" s="471">
        <v>0</v>
      </c>
      <c r="AN2036" s="477">
        <v>0</v>
      </c>
      <c r="AO2036" s="473">
        <v>0</v>
      </c>
      <c r="AP2036" s="474">
        <v>0</v>
      </c>
      <c r="AQ2036" s="352"/>
      <c r="AR2036" s="352"/>
      <c r="AS2036" s="352"/>
      <c r="AT2036" s="352"/>
      <c r="AU2036" s="352"/>
      <c r="AV2036" s="352"/>
      <c r="AW2036" s="352" t="s">
        <v>254</v>
      </c>
    </row>
    <row r="2037" spans="2:49" x14ac:dyDescent="0.2">
      <c r="B2037" s="460" t="s">
        <v>2965</v>
      </c>
      <c r="C2037" s="460">
        <v>2212</v>
      </c>
      <c r="D2037" s="460" t="s">
        <v>2364</v>
      </c>
      <c r="E2037" s="460" t="s">
        <v>1138</v>
      </c>
      <c r="F2037" s="460">
        <v>3</v>
      </c>
      <c r="G2037" s="460">
        <v>4</v>
      </c>
      <c r="H2037" s="461" t="s">
        <v>746</v>
      </c>
      <c r="I2037" s="461" t="s">
        <v>762</v>
      </c>
      <c r="J2037" s="461" t="s">
        <v>700</v>
      </c>
      <c r="K2037" s="594"/>
      <c r="L2037" s="594"/>
      <c r="M2037" s="352">
        <v>2000</v>
      </c>
      <c r="N2037" s="352" t="s">
        <v>703</v>
      </c>
      <c r="O2037" s="460">
        <v>2212</v>
      </c>
      <c r="P2037" s="460" t="s">
        <v>784</v>
      </c>
      <c r="Q2037" s="460" t="s">
        <v>2531</v>
      </c>
      <c r="R2037" s="460">
        <v>2121</v>
      </c>
      <c r="S2037" s="460" t="s">
        <v>1138</v>
      </c>
      <c r="T2037" s="462">
        <v>1</v>
      </c>
      <c r="U2037" s="460" t="s">
        <v>1138</v>
      </c>
      <c r="V2037" s="475">
        <v>0</v>
      </c>
      <c r="W2037" s="463" t="s">
        <v>2268</v>
      </c>
      <c r="X2037" s="463" t="s">
        <v>2268</v>
      </c>
      <c r="Y2037" s="463" t="s">
        <v>2290</v>
      </c>
      <c r="Z2037" s="463"/>
      <c r="AA2037" s="463"/>
      <c r="AB2037" s="464">
        <v>0</v>
      </c>
      <c r="AC2037" s="465">
        <v>0</v>
      </c>
      <c r="AD2037" s="465">
        <v>0</v>
      </c>
      <c r="AE2037" s="476">
        <v>0</v>
      </c>
      <c r="AF2037" s="467">
        <v>0</v>
      </c>
      <c r="AG2037" s="468">
        <v>0</v>
      </c>
      <c r="AH2037" s="218">
        <v>0</v>
      </c>
      <c r="AI2037" s="470">
        <v>0</v>
      </c>
      <c r="AJ2037" s="471">
        <v>0</v>
      </c>
      <c r="AK2037" s="218">
        <v>0</v>
      </c>
      <c r="AL2037" s="470">
        <v>0</v>
      </c>
      <c r="AM2037" s="471">
        <v>0</v>
      </c>
      <c r="AN2037" s="477">
        <v>0</v>
      </c>
      <c r="AO2037" s="473">
        <v>0</v>
      </c>
      <c r="AP2037" s="474">
        <v>0</v>
      </c>
      <c r="AQ2037" s="352"/>
      <c r="AR2037" s="352"/>
      <c r="AS2037" s="352"/>
      <c r="AT2037" s="352"/>
      <c r="AU2037" s="352"/>
      <c r="AV2037" s="352"/>
      <c r="AW2037" s="352" t="s">
        <v>254</v>
      </c>
    </row>
    <row r="2038" spans="2:49" x14ac:dyDescent="0.2">
      <c r="B2038" s="460" t="s">
        <v>2966</v>
      </c>
      <c r="C2038" s="460">
        <v>2212</v>
      </c>
      <c r="D2038" s="460" t="s">
        <v>2365</v>
      </c>
      <c r="E2038" s="460" t="s">
        <v>1139</v>
      </c>
      <c r="F2038" s="460">
        <v>4</v>
      </c>
      <c r="G2038" s="460">
        <v>4</v>
      </c>
      <c r="H2038" s="461" t="s">
        <v>746</v>
      </c>
      <c r="I2038" s="461" t="s">
        <v>762</v>
      </c>
      <c r="J2038" s="461" t="s">
        <v>700</v>
      </c>
      <c r="K2038" s="594"/>
      <c r="L2038" s="594"/>
      <c r="M2038" s="352">
        <v>2000</v>
      </c>
      <c r="N2038" s="352" t="s">
        <v>703</v>
      </c>
      <c r="O2038" s="460">
        <v>2212</v>
      </c>
      <c r="P2038" s="460" t="s">
        <v>784</v>
      </c>
      <c r="Q2038" s="460" t="s">
        <v>2531</v>
      </c>
      <c r="R2038" s="460">
        <v>2121</v>
      </c>
      <c r="S2038" s="460" t="s">
        <v>1139</v>
      </c>
      <c r="T2038" s="462">
        <v>1</v>
      </c>
      <c r="U2038" s="460" t="s">
        <v>1139</v>
      </c>
      <c r="V2038" s="475">
        <v>0</v>
      </c>
      <c r="W2038" s="463" t="s">
        <v>2268</v>
      </c>
      <c r="X2038" s="463" t="s">
        <v>2268</v>
      </c>
      <c r="Y2038" s="463" t="s">
        <v>2290</v>
      </c>
      <c r="Z2038" s="463"/>
      <c r="AA2038" s="463"/>
      <c r="AB2038" s="464">
        <v>0</v>
      </c>
      <c r="AC2038" s="465">
        <v>0</v>
      </c>
      <c r="AD2038" s="465">
        <v>0</v>
      </c>
      <c r="AE2038" s="476">
        <v>0</v>
      </c>
      <c r="AF2038" s="467">
        <v>0</v>
      </c>
      <c r="AG2038" s="468">
        <v>0</v>
      </c>
      <c r="AH2038" s="218">
        <v>0</v>
      </c>
      <c r="AI2038" s="470">
        <v>0</v>
      </c>
      <c r="AJ2038" s="471">
        <v>0</v>
      </c>
      <c r="AK2038" s="218">
        <v>0</v>
      </c>
      <c r="AL2038" s="470">
        <v>0</v>
      </c>
      <c r="AM2038" s="471">
        <v>0</v>
      </c>
      <c r="AN2038" s="477">
        <v>0</v>
      </c>
      <c r="AO2038" s="473">
        <v>0</v>
      </c>
      <c r="AP2038" s="474">
        <v>0</v>
      </c>
      <c r="AQ2038" s="352"/>
      <c r="AR2038" s="352"/>
      <c r="AS2038" s="352"/>
      <c r="AT2038" s="352"/>
      <c r="AU2038" s="352"/>
      <c r="AV2038" s="352"/>
      <c r="AW2038" s="352" t="s">
        <v>254</v>
      </c>
    </row>
    <row r="2039" spans="2:49" x14ac:dyDescent="0.2">
      <c r="B2039" s="460" t="s">
        <v>2963</v>
      </c>
      <c r="C2039" s="460">
        <v>2212</v>
      </c>
      <c r="D2039" s="460" t="s">
        <v>2366</v>
      </c>
      <c r="E2039" s="460" t="s">
        <v>1136</v>
      </c>
      <c r="F2039" s="460">
        <v>1</v>
      </c>
      <c r="G2039" s="460">
        <v>4</v>
      </c>
      <c r="H2039" s="461" t="s">
        <v>748</v>
      </c>
      <c r="I2039" s="461" t="s">
        <v>765</v>
      </c>
      <c r="J2039" s="461" t="s">
        <v>700</v>
      </c>
      <c r="K2039" s="594"/>
      <c r="L2039" s="594"/>
      <c r="M2039" s="352">
        <v>2000</v>
      </c>
      <c r="N2039" s="352" t="s">
        <v>703</v>
      </c>
      <c r="O2039" s="460">
        <v>2212</v>
      </c>
      <c r="P2039" s="460" t="s">
        <v>784</v>
      </c>
      <c r="Q2039" s="460" t="s">
        <v>2527</v>
      </c>
      <c r="R2039" s="460">
        <v>2121</v>
      </c>
      <c r="S2039" s="460" t="s">
        <v>1136</v>
      </c>
      <c r="T2039" s="462">
        <v>1</v>
      </c>
      <c r="U2039" s="460" t="s">
        <v>1136</v>
      </c>
      <c r="V2039" s="475">
        <v>0</v>
      </c>
      <c r="W2039" s="463" t="s">
        <v>2268</v>
      </c>
      <c r="X2039" s="463" t="s">
        <v>2268</v>
      </c>
      <c r="Y2039" s="463" t="s">
        <v>2267</v>
      </c>
      <c r="Z2039" s="463"/>
      <c r="AA2039" s="463"/>
      <c r="AB2039" s="464">
        <v>0</v>
      </c>
      <c r="AC2039" s="465">
        <v>0</v>
      </c>
      <c r="AD2039" s="465">
        <v>0</v>
      </c>
      <c r="AE2039" s="476">
        <v>0</v>
      </c>
      <c r="AF2039" s="467">
        <v>0</v>
      </c>
      <c r="AG2039" s="468">
        <v>0</v>
      </c>
      <c r="AH2039" s="218">
        <v>0</v>
      </c>
      <c r="AI2039" s="470">
        <v>0</v>
      </c>
      <c r="AJ2039" s="471">
        <v>0</v>
      </c>
      <c r="AK2039" s="218">
        <v>0</v>
      </c>
      <c r="AL2039" s="470">
        <v>0</v>
      </c>
      <c r="AM2039" s="471">
        <v>0</v>
      </c>
      <c r="AN2039" s="477">
        <v>10.666223500291752</v>
      </c>
      <c r="AO2039" s="473">
        <v>0.21797147323899202</v>
      </c>
      <c r="AP2039" s="474">
        <v>1.3105030465178115E-2</v>
      </c>
      <c r="AQ2039" s="352"/>
      <c r="AR2039" s="352"/>
      <c r="AS2039" s="352"/>
      <c r="AT2039" s="352"/>
      <c r="AU2039" s="352"/>
      <c r="AV2039" s="352"/>
      <c r="AW2039" s="352" t="s">
        <v>254</v>
      </c>
    </row>
    <row r="2040" spans="2:49" x14ac:dyDescent="0.2">
      <c r="B2040" s="460" t="s">
        <v>2964</v>
      </c>
      <c r="C2040" s="460">
        <v>2212</v>
      </c>
      <c r="D2040" s="460" t="s">
        <v>2367</v>
      </c>
      <c r="E2040" s="460" t="s">
        <v>1137</v>
      </c>
      <c r="F2040" s="460">
        <v>2</v>
      </c>
      <c r="G2040" s="460">
        <v>4</v>
      </c>
      <c r="H2040" s="461" t="s">
        <v>748</v>
      </c>
      <c r="I2040" s="461" t="s">
        <v>765</v>
      </c>
      <c r="J2040" s="461" t="s">
        <v>700</v>
      </c>
      <c r="K2040" s="594"/>
      <c r="L2040" s="594"/>
      <c r="M2040" s="352">
        <v>2000</v>
      </c>
      <c r="N2040" s="352" t="s">
        <v>703</v>
      </c>
      <c r="O2040" s="460">
        <v>2212</v>
      </c>
      <c r="P2040" s="460" t="s">
        <v>784</v>
      </c>
      <c r="Q2040" s="460" t="s">
        <v>2527</v>
      </c>
      <c r="R2040" s="460">
        <v>2121</v>
      </c>
      <c r="S2040" s="460" t="s">
        <v>1137</v>
      </c>
      <c r="T2040" s="462">
        <v>1</v>
      </c>
      <c r="U2040" s="460" t="s">
        <v>1137</v>
      </c>
      <c r="V2040" s="475">
        <v>0</v>
      </c>
      <c r="W2040" s="463" t="s">
        <v>2268</v>
      </c>
      <c r="X2040" s="463" t="s">
        <v>2268</v>
      </c>
      <c r="Y2040" s="463" t="s">
        <v>2267</v>
      </c>
      <c r="Z2040" s="463"/>
      <c r="AA2040" s="463"/>
      <c r="AB2040" s="464">
        <v>0</v>
      </c>
      <c r="AC2040" s="465">
        <v>0</v>
      </c>
      <c r="AD2040" s="465">
        <v>0</v>
      </c>
      <c r="AE2040" s="476">
        <v>0</v>
      </c>
      <c r="AF2040" s="467">
        <v>0</v>
      </c>
      <c r="AG2040" s="468">
        <v>0</v>
      </c>
      <c r="AH2040" s="218">
        <v>0</v>
      </c>
      <c r="AI2040" s="470">
        <v>0</v>
      </c>
      <c r="AJ2040" s="471">
        <v>0</v>
      </c>
      <c r="AK2040" s="218">
        <v>0</v>
      </c>
      <c r="AL2040" s="470">
        <v>0</v>
      </c>
      <c r="AM2040" s="471">
        <v>0</v>
      </c>
      <c r="AN2040" s="477">
        <v>28.355914778065554</v>
      </c>
      <c r="AO2040" s="473">
        <v>0.19860338608785305</v>
      </c>
      <c r="AP2040" s="474">
        <v>2.7312731468230978E-2</v>
      </c>
      <c r="AQ2040" s="352"/>
      <c r="AR2040" s="352"/>
      <c r="AS2040" s="352"/>
      <c r="AT2040" s="352"/>
      <c r="AU2040" s="352"/>
      <c r="AV2040" s="352"/>
      <c r="AW2040" s="352" t="s">
        <v>254</v>
      </c>
    </row>
    <row r="2041" spans="2:49" x14ac:dyDescent="0.2">
      <c r="B2041" s="460" t="s">
        <v>2965</v>
      </c>
      <c r="C2041" s="460">
        <v>2212</v>
      </c>
      <c r="D2041" s="460" t="s">
        <v>2368</v>
      </c>
      <c r="E2041" s="460" t="s">
        <v>1138</v>
      </c>
      <c r="F2041" s="460">
        <v>3</v>
      </c>
      <c r="G2041" s="460">
        <v>4</v>
      </c>
      <c r="H2041" s="461" t="s">
        <v>748</v>
      </c>
      <c r="I2041" s="461" t="s">
        <v>765</v>
      </c>
      <c r="J2041" s="461" t="s">
        <v>700</v>
      </c>
      <c r="K2041" s="594"/>
      <c r="L2041" s="594"/>
      <c r="M2041" s="352">
        <v>2000</v>
      </c>
      <c r="N2041" s="352" t="s">
        <v>703</v>
      </c>
      <c r="O2041" s="460">
        <v>2212</v>
      </c>
      <c r="P2041" s="460" t="s">
        <v>784</v>
      </c>
      <c r="Q2041" s="460" t="s">
        <v>2527</v>
      </c>
      <c r="R2041" s="460">
        <v>2121</v>
      </c>
      <c r="S2041" s="460" t="s">
        <v>1138</v>
      </c>
      <c r="T2041" s="462">
        <v>1</v>
      </c>
      <c r="U2041" s="460" t="s">
        <v>1138</v>
      </c>
      <c r="V2041" s="475">
        <v>0</v>
      </c>
      <c r="W2041" s="463" t="s">
        <v>2268</v>
      </c>
      <c r="X2041" s="463" t="s">
        <v>2268</v>
      </c>
      <c r="Y2041" s="463" t="s">
        <v>2503</v>
      </c>
      <c r="Z2041" s="463"/>
      <c r="AA2041" s="463"/>
      <c r="AB2041" s="464">
        <v>0</v>
      </c>
      <c r="AC2041" s="465">
        <v>0</v>
      </c>
      <c r="AD2041" s="465">
        <v>0</v>
      </c>
      <c r="AE2041" s="476">
        <v>0</v>
      </c>
      <c r="AF2041" s="467">
        <v>0</v>
      </c>
      <c r="AG2041" s="468">
        <v>0</v>
      </c>
      <c r="AH2041" s="218">
        <v>0</v>
      </c>
      <c r="AI2041" s="470">
        <v>0</v>
      </c>
      <c r="AJ2041" s="471">
        <v>0</v>
      </c>
      <c r="AK2041" s="218">
        <v>0</v>
      </c>
      <c r="AL2041" s="470">
        <v>0</v>
      </c>
      <c r="AM2041" s="471">
        <v>0</v>
      </c>
      <c r="AN2041" s="477">
        <v>1.5993666629027459</v>
      </c>
      <c r="AO2041" s="473">
        <v>1.5969740656384554E-2</v>
      </c>
      <c r="AP2041" s="474">
        <v>1.6594236738266678E-3</v>
      </c>
      <c r="AQ2041" s="352"/>
      <c r="AR2041" s="352"/>
      <c r="AS2041" s="352"/>
      <c r="AT2041" s="352"/>
      <c r="AU2041" s="352"/>
      <c r="AV2041" s="352"/>
      <c r="AW2041" s="352" t="s">
        <v>254</v>
      </c>
    </row>
    <row r="2042" spans="2:49" x14ac:dyDescent="0.2">
      <c r="B2042" s="460" t="s">
        <v>2966</v>
      </c>
      <c r="C2042" s="460">
        <v>2212</v>
      </c>
      <c r="D2042" s="460" t="s">
        <v>2369</v>
      </c>
      <c r="E2042" s="460" t="s">
        <v>1139</v>
      </c>
      <c r="F2042" s="460">
        <v>4</v>
      </c>
      <c r="G2042" s="460">
        <v>4</v>
      </c>
      <c r="H2042" s="461" t="s">
        <v>748</v>
      </c>
      <c r="I2042" s="461" t="s">
        <v>765</v>
      </c>
      <c r="J2042" s="461" t="s">
        <v>700</v>
      </c>
      <c r="K2042" s="594"/>
      <c r="L2042" s="594"/>
      <c r="M2042" s="352">
        <v>2000</v>
      </c>
      <c r="N2042" s="352" t="s">
        <v>703</v>
      </c>
      <c r="O2042" s="460">
        <v>2212</v>
      </c>
      <c r="P2042" s="460" t="s">
        <v>784</v>
      </c>
      <c r="Q2042" s="460" t="s">
        <v>2527</v>
      </c>
      <c r="R2042" s="460">
        <v>2121</v>
      </c>
      <c r="S2042" s="460" t="s">
        <v>1139</v>
      </c>
      <c r="T2042" s="462">
        <v>1</v>
      </c>
      <c r="U2042" s="460" t="s">
        <v>1139</v>
      </c>
      <c r="V2042" s="475">
        <v>0</v>
      </c>
      <c r="W2042" s="463" t="s">
        <v>2268</v>
      </c>
      <c r="X2042" s="463" t="s">
        <v>2268</v>
      </c>
      <c r="Y2042" s="463" t="s">
        <v>2503</v>
      </c>
      <c r="Z2042" s="463"/>
      <c r="AA2042" s="463"/>
      <c r="AB2042" s="464">
        <v>0</v>
      </c>
      <c r="AC2042" s="465">
        <v>0</v>
      </c>
      <c r="AD2042" s="465">
        <v>0</v>
      </c>
      <c r="AE2042" s="476">
        <v>0</v>
      </c>
      <c r="AF2042" s="467">
        <v>0</v>
      </c>
      <c r="AG2042" s="468">
        <v>0</v>
      </c>
      <c r="AH2042" s="218">
        <v>0</v>
      </c>
      <c r="AI2042" s="470">
        <v>0</v>
      </c>
      <c r="AJ2042" s="471">
        <v>0</v>
      </c>
      <c r="AK2042" s="218">
        <v>0</v>
      </c>
      <c r="AL2042" s="470">
        <v>0</v>
      </c>
      <c r="AM2042" s="471">
        <v>0</v>
      </c>
      <c r="AN2042" s="477">
        <v>0</v>
      </c>
      <c r="AO2042" s="473">
        <v>0</v>
      </c>
      <c r="AP2042" s="474">
        <v>0</v>
      </c>
      <c r="AQ2042" s="352"/>
      <c r="AR2042" s="352"/>
      <c r="AS2042" s="352"/>
      <c r="AT2042" s="352"/>
      <c r="AU2042" s="352"/>
      <c r="AV2042" s="352"/>
      <c r="AW2042" s="352" t="s">
        <v>254</v>
      </c>
    </row>
    <row r="2043" spans="2:49" x14ac:dyDescent="0.2">
      <c r="B2043" s="460" t="s">
        <v>2963</v>
      </c>
      <c r="C2043" s="460">
        <v>2212</v>
      </c>
      <c r="D2043" s="460" t="s">
        <v>2370</v>
      </c>
      <c r="E2043" s="460" t="s">
        <v>1136</v>
      </c>
      <c r="F2043" s="460">
        <v>1</v>
      </c>
      <c r="G2043" s="460">
        <v>4</v>
      </c>
      <c r="H2043" s="461" t="s">
        <v>752</v>
      </c>
      <c r="I2043" s="461" t="s">
        <v>964</v>
      </c>
      <c r="J2043" s="461" t="s">
        <v>752</v>
      </c>
      <c r="K2043" s="594"/>
      <c r="L2043" s="594"/>
      <c r="M2043" s="352">
        <v>2000</v>
      </c>
      <c r="N2043" s="352" t="s">
        <v>703</v>
      </c>
      <c r="O2043" s="460">
        <v>2212</v>
      </c>
      <c r="P2043" s="460" t="s">
        <v>784</v>
      </c>
      <c r="Q2043" s="460" t="s">
        <v>2527</v>
      </c>
      <c r="R2043" s="460">
        <v>2121</v>
      </c>
      <c r="S2043" s="460" t="s">
        <v>1136</v>
      </c>
      <c r="T2043" s="462">
        <v>1</v>
      </c>
      <c r="U2043" s="460" t="s">
        <v>1136</v>
      </c>
      <c r="V2043" s="475">
        <v>0</v>
      </c>
      <c r="W2043" s="463" t="s">
        <v>2278</v>
      </c>
      <c r="X2043" s="479" t="s">
        <v>2267</v>
      </c>
      <c r="Y2043" s="479" t="s">
        <v>2267</v>
      </c>
      <c r="Z2043" s="479"/>
      <c r="AA2043" s="479"/>
      <c r="AB2043" s="464">
        <v>1.7041126562359363</v>
      </c>
      <c r="AC2043" s="465">
        <v>3.4824691816630213E-2</v>
      </c>
      <c r="AD2043" s="465">
        <v>5.5185701893201069E-4</v>
      </c>
      <c r="AE2043" s="476">
        <v>1.7041126562359363</v>
      </c>
      <c r="AF2043" s="467">
        <v>3.4824691816630213E-2</v>
      </c>
      <c r="AG2043" s="468">
        <v>5.5185701893201069E-4</v>
      </c>
      <c r="AH2043" s="218">
        <v>4.2396071503338444</v>
      </c>
      <c r="AI2043" s="470">
        <v>8.663923238506635E-2</v>
      </c>
      <c r="AJ2043" s="471">
        <v>1.1590861983370303E-3</v>
      </c>
      <c r="AK2043" s="218">
        <v>4.2396071503338444</v>
      </c>
      <c r="AL2043" s="470">
        <v>8.663923238506635E-2</v>
      </c>
      <c r="AM2043" s="471">
        <v>1.1590861983370303E-3</v>
      </c>
      <c r="AN2043" s="477">
        <v>4.2396071503338444</v>
      </c>
      <c r="AO2043" s="473">
        <v>8.663923238506635E-2</v>
      </c>
      <c r="AP2043" s="474">
        <v>1.1590861983370303E-3</v>
      </c>
      <c r="AQ2043" s="352"/>
      <c r="AR2043" s="352"/>
      <c r="AS2043" s="352"/>
      <c r="AT2043" s="352"/>
      <c r="AU2043" s="352"/>
      <c r="AV2043" s="352"/>
      <c r="AW2043" s="352" t="s">
        <v>254</v>
      </c>
    </row>
    <row r="2044" spans="2:49" x14ac:dyDescent="0.2">
      <c r="B2044" s="460" t="s">
        <v>2964</v>
      </c>
      <c r="C2044" s="460">
        <v>2212</v>
      </c>
      <c r="D2044" s="460" t="s">
        <v>2371</v>
      </c>
      <c r="E2044" s="460" t="s">
        <v>1137</v>
      </c>
      <c r="F2044" s="460">
        <v>2</v>
      </c>
      <c r="G2044" s="460">
        <v>4</v>
      </c>
      <c r="H2044" s="461" t="s">
        <v>752</v>
      </c>
      <c r="I2044" s="461" t="s">
        <v>964</v>
      </c>
      <c r="J2044" s="461" t="s">
        <v>752</v>
      </c>
      <c r="K2044" s="594"/>
      <c r="L2044" s="594"/>
      <c r="M2044" s="352">
        <v>2000</v>
      </c>
      <c r="N2044" s="352" t="s">
        <v>703</v>
      </c>
      <c r="O2044" s="460">
        <v>2212</v>
      </c>
      <c r="P2044" s="460" t="s">
        <v>784</v>
      </c>
      <c r="Q2044" s="460" t="s">
        <v>2527</v>
      </c>
      <c r="R2044" s="460">
        <v>2121</v>
      </c>
      <c r="S2044" s="460" t="s">
        <v>1137</v>
      </c>
      <c r="T2044" s="462">
        <v>1</v>
      </c>
      <c r="U2044" s="460" t="s">
        <v>1137</v>
      </c>
      <c r="V2044" s="475">
        <v>0</v>
      </c>
      <c r="W2044" s="463" t="s">
        <v>2278</v>
      </c>
      <c r="X2044" s="479" t="s">
        <v>2267</v>
      </c>
      <c r="Y2044" s="479" t="s">
        <v>2267</v>
      </c>
      <c r="Z2044" s="479"/>
      <c r="AA2044" s="479"/>
      <c r="AB2044" s="464">
        <v>0.32267811619065151</v>
      </c>
      <c r="AC2044" s="465">
        <v>2.2600211276373769E-3</v>
      </c>
      <c r="AD2044" s="465">
        <v>3.1573711730241675E-5</v>
      </c>
      <c r="AE2044" s="476">
        <v>0.32267811619065151</v>
      </c>
      <c r="AF2044" s="467">
        <v>2.2600211276373769E-3</v>
      </c>
      <c r="AG2044" s="468">
        <v>3.1573711730241675E-5</v>
      </c>
      <c r="AH2044" s="218">
        <v>1.6275842328217711</v>
      </c>
      <c r="AI2044" s="470">
        <v>1.1399517254567518E-2</v>
      </c>
      <c r="AJ2044" s="471">
        <v>1.5788807516299653E-4</v>
      </c>
      <c r="AK2044" s="218">
        <v>1.6275842328217711</v>
      </c>
      <c r="AL2044" s="470">
        <v>1.1399517254567518E-2</v>
      </c>
      <c r="AM2044" s="471">
        <v>1.5788807516299653E-4</v>
      </c>
      <c r="AN2044" s="477">
        <v>1.6275842328217711</v>
      </c>
      <c r="AO2044" s="473">
        <v>1.1399517254567518E-2</v>
      </c>
      <c r="AP2044" s="474">
        <v>1.5788807516299653E-4</v>
      </c>
      <c r="AQ2044" s="352"/>
      <c r="AR2044" s="352"/>
      <c r="AS2044" s="352"/>
      <c r="AT2044" s="352"/>
      <c r="AU2044" s="352"/>
      <c r="AV2044" s="352"/>
      <c r="AW2044" s="352" t="s">
        <v>254</v>
      </c>
    </row>
    <row r="2045" spans="2:49" x14ac:dyDescent="0.2">
      <c r="B2045" s="460" t="s">
        <v>2965</v>
      </c>
      <c r="C2045" s="460">
        <v>2212</v>
      </c>
      <c r="D2045" s="460" t="s">
        <v>2372</v>
      </c>
      <c r="E2045" s="460" t="s">
        <v>1138</v>
      </c>
      <c r="F2045" s="460">
        <v>3</v>
      </c>
      <c r="G2045" s="460">
        <v>4</v>
      </c>
      <c r="H2045" s="461" t="s">
        <v>752</v>
      </c>
      <c r="I2045" s="461" t="s">
        <v>964</v>
      </c>
      <c r="J2045" s="461" t="s">
        <v>752</v>
      </c>
      <c r="K2045" s="594"/>
      <c r="L2045" s="594"/>
      <c r="M2045" s="352">
        <v>2000</v>
      </c>
      <c r="N2045" s="352" t="s">
        <v>703</v>
      </c>
      <c r="O2045" s="460">
        <v>2212</v>
      </c>
      <c r="P2045" s="460" t="s">
        <v>784</v>
      </c>
      <c r="Q2045" s="460" t="s">
        <v>2527</v>
      </c>
      <c r="R2045" s="460">
        <v>2121</v>
      </c>
      <c r="S2045" s="460" t="s">
        <v>1138</v>
      </c>
      <c r="T2045" s="462">
        <v>1</v>
      </c>
      <c r="U2045" s="460" t="s">
        <v>1138</v>
      </c>
      <c r="V2045" s="475">
        <v>0</v>
      </c>
      <c r="W2045" s="463" t="s">
        <v>2278</v>
      </c>
      <c r="X2045" s="479" t="s">
        <v>2503</v>
      </c>
      <c r="Y2045" s="479" t="s">
        <v>2503</v>
      </c>
      <c r="Z2045" s="479"/>
      <c r="AA2045" s="479"/>
      <c r="AB2045" s="464">
        <v>0.83243862137086932</v>
      </c>
      <c r="AC2045" s="465">
        <v>8.3119332195680812E-3</v>
      </c>
      <c r="AD2045" s="465">
        <v>1.4378166631485268E-4</v>
      </c>
      <c r="AE2045" s="476">
        <v>0.83243862137086921</v>
      </c>
      <c r="AF2045" s="467">
        <v>8.3119332195680812E-3</v>
      </c>
      <c r="AG2045" s="468">
        <v>1.4378166631485266E-4</v>
      </c>
      <c r="AH2045" s="218">
        <v>0.83243862137086921</v>
      </c>
      <c r="AI2045" s="470">
        <v>8.3119332195680812E-3</v>
      </c>
      <c r="AJ2045" s="471">
        <v>1.3810419207633021E-4</v>
      </c>
      <c r="AK2045" s="218">
        <v>0.83243862137086921</v>
      </c>
      <c r="AL2045" s="470">
        <v>8.3119332195680812E-3</v>
      </c>
      <c r="AM2045" s="471">
        <v>1.3810419207633021E-4</v>
      </c>
      <c r="AN2045" s="477">
        <v>0.83243862137086921</v>
      </c>
      <c r="AO2045" s="473">
        <v>8.3119332195680812E-3</v>
      </c>
      <c r="AP2045" s="474">
        <v>1.3810419207633021E-4</v>
      </c>
      <c r="AQ2045" s="352"/>
      <c r="AR2045" s="352"/>
      <c r="AS2045" s="352"/>
      <c r="AT2045" s="352"/>
      <c r="AU2045" s="352"/>
      <c r="AV2045" s="352"/>
      <c r="AW2045" s="352" t="s">
        <v>254</v>
      </c>
    </row>
    <row r="2046" spans="2:49" x14ac:dyDescent="0.2">
      <c r="B2046" s="460" t="s">
        <v>2966</v>
      </c>
      <c r="C2046" s="460">
        <v>2212</v>
      </c>
      <c r="D2046" s="460" t="s">
        <v>2373</v>
      </c>
      <c r="E2046" s="460" t="s">
        <v>1139</v>
      </c>
      <c r="F2046" s="460">
        <v>4</v>
      </c>
      <c r="G2046" s="460">
        <v>4</v>
      </c>
      <c r="H2046" s="461" t="s">
        <v>752</v>
      </c>
      <c r="I2046" s="461" t="s">
        <v>964</v>
      </c>
      <c r="J2046" s="461" t="s">
        <v>752</v>
      </c>
      <c r="K2046" s="594"/>
      <c r="L2046" s="594"/>
      <c r="M2046" s="352">
        <v>2000</v>
      </c>
      <c r="N2046" s="352" t="s">
        <v>703</v>
      </c>
      <c r="O2046" s="460">
        <v>2212</v>
      </c>
      <c r="P2046" s="460" t="s">
        <v>784</v>
      </c>
      <c r="Q2046" s="460" t="s">
        <v>2527</v>
      </c>
      <c r="R2046" s="460">
        <v>2121</v>
      </c>
      <c r="S2046" s="460" t="s">
        <v>1139</v>
      </c>
      <c r="T2046" s="462">
        <v>1</v>
      </c>
      <c r="U2046" s="460" t="s">
        <v>1139</v>
      </c>
      <c r="V2046" s="475">
        <v>0</v>
      </c>
      <c r="W2046" s="463" t="s">
        <v>2278</v>
      </c>
      <c r="X2046" s="479" t="s">
        <v>2503</v>
      </c>
      <c r="Y2046" s="479" t="s">
        <v>2503</v>
      </c>
      <c r="Z2046" s="479"/>
      <c r="AA2046" s="479"/>
      <c r="AB2046" s="464">
        <v>19.572431950757014</v>
      </c>
      <c r="AC2046" s="465">
        <v>0.15279683274072797</v>
      </c>
      <c r="AD2046" s="465">
        <v>7.8029948654477108E-4</v>
      </c>
      <c r="AE2046" s="476">
        <v>19.572431950757014</v>
      </c>
      <c r="AF2046" s="467">
        <v>0.15279683274072797</v>
      </c>
      <c r="AG2046" s="468">
        <v>7.8029948654477108E-4</v>
      </c>
      <c r="AH2046" s="218">
        <v>19.572431950757014</v>
      </c>
      <c r="AI2046" s="470">
        <v>0.15279683274072797</v>
      </c>
      <c r="AJ2046" s="471">
        <v>7.2531227666375515E-4</v>
      </c>
      <c r="AK2046" s="218">
        <v>19.572431950757014</v>
      </c>
      <c r="AL2046" s="470">
        <v>0.15279683274072797</v>
      </c>
      <c r="AM2046" s="471">
        <v>7.2531227666375515E-4</v>
      </c>
      <c r="AN2046" s="477">
        <v>19.572431950757014</v>
      </c>
      <c r="AO2046" s="473">
        <v>0.15279683274072797</v>
      </c>
      <c r="AP2046" s="474">
        <v>7.2531227666375515E-4</v>
      </c>
      <c r="AQ2046" s="352"/>
      <c r="AR2046" s="352"/>
      <c r="AS2046" s="352"/>
      <c r="AT2046" s="352"/>
      <c r="AU2046" s="352"/>
      <c r="AV2046" s="352"/>
      <c r="AW2046" s="352" t="s">
        <v>254</v>
      </c>
    </row>
    <row r="2047" spans="2:49" x14ac:dyDescent="0.2">
      <c r="B2047" s="460" t="s">
        <v>2967</v>
      </c>
      <c r="C2047" s="460">
        <v>2212</v>
      </c>
      <c r="D2047" s="460" t="s">
        <v>2375</v>
      </c>
      <c r="E2047" s="460" t="s">
        <v>2376</v>
      </c>
      <c r="F2047" s="460">
        <v>1</v>
      </c>
      <c r="G2047" s="460">
        <v>5</v>
      </c>
      <c r="H2047" s="461" t="s">
        <v>754</v>
      </c>
      <c r="I2047" s="461" t="s">
        <v>1991</v>
      </c>
      <c r="J2047" s="461" t="s">
        <v>754</v>
      </c>
      <c r="K2047" s="594"/>
      <c r="L2047" s="594"/>
      <c r="M2047" s="352">
        <v>2000</v>
      </c>
      <c r="N2047" s="352" t="s">
        <v>703</v>
      </c>
      <c r="O2047" s="460">
        <v>2212</v>
      </c>
      <c r="P2047" s="460" t="s">
        <v>784</v>
      </c>
      <c r="Q2047" s="460" t="s">
        <v>2377</v>
      </c>
      <c r="R2047" s="460">
        <v>2121</v>
      </c>
      <c r="S2047" s="460" t="s">
        <v>2376</v>
      </c>
      <c r="T2047" s="462">
        <v>1</v>
      </c>
      <c r="U2047" s="460" t="s">
        <v>2376</v>
      </c>
      <c r="V2047" s="475">
        <v>0</v>
      </c>
      <c r="W2047" s="463" t="s">
        <v>2278</v>
      </c>
      <c r="X2047" s="463" t="s">
        <v>2278</v>
      </c>
      <c r="Y2047" s="463" t="s">
        <v>2278</v>
      </c>
      <c r="Z2047" s="463"/>
      <c r="AA2047" s="463"/>
      <c r="AB2047" s="464">
        <v>341.50796457038257</v>
      </c>
      <c r="AC2047" s="465">
        <v>1</v>
      </c>
      <c r="AD2047" s="465">
        <v>5.7411069116186165E-4</v>
      </c>
      <c r="AE2047" s="476">
        <v>341.50796457038257</v>
      </c>
      <c r="AF2047" s="467">
        <v>1</v>
      </c>
      <c r="AG2047" s="468">
        <v>5.7411069116186165E-4</v>
      </c>
      <c r="AH2047" s="218">
        <v>341.50796457038257</v>
      </c>
      <c r="AI2047" s="470">
        <v>1</v>
      </c>
      <c r="AJ2047" s="471">
        <v>5.7411069116186165E-4</v>
      </c>
      <c r="AK2047" s="218">
        <v>341.50796457038257</v>
      </c>
      <c r="AL2047" s="470">
        <v>1</v>
      </c>
      <c r="AM2047" s="471">
        <v>5.7411069116186165E-4</v>
      </c>
      <c r="AN2047" s="477">
        <v>341.50796457038257</v>
      </c>
      <c r="AO2047" s="473">
        <v>1</v>
      </c>
      <c r="AP2047" s="474">
        <v>5.7411069116186165E-4</v>
      </c>
      <c r="AQ2047" s="352"/>
      <c r="AR2047" s="352"/>
      <c r="AS2047" s="352"/>
      <c r="AT2047" s="352"/>
      <c r="AU2047" s="352"/>
      <c r="AV2047" s="352"/>
      <c r="AW2047" s="352" t="s">
        <v>127</v>
      </c>
    </row>
    <row r="2048" spans="2:49" x14ac:dyDescent="0.2">
      <c r="B2048" s="460" t="s">
        <v>2968</v>
      </c>
      <c r="C2048" s="460">
        <v>2212</v>
      </c>
      <c r="D2048" s="460" t="s">
        <v>2379</v>
      </c>
      <c r="E2048" s="460" t="s">
        <v>2380</v>
      </c>
      <c r="F2048" s="460">
        <v>2</v>
      </c>
      <c r="G2048" s="460">
        <v>5</v>
      </c>
      <c r="H2048" s="461" t="s">
        <v>754</v>
      </c>
      <c r="I2048" s="461" t="s">
        <v>1991</v>
      </c>
      <c r="J2048" s="461" t="s">
        <v>754</v>
      </c>
      <c r="K2048" s="594"/>
      <c r="L2048" s="594"/>
      <c r="M2048" s="352">
        <v>2000</v>
      </c>
      <c r="N2048" s="352" t="s">
        <v>703</v>
      </c>
      <c r="O2048" s="460">
        <v>2212</v>
      </c>
      <c r="P2048" s="460" t="s">
        <v>784</v>
      </c>
      <c r="Q2048" s="460" t="s">
        <v>2377</v>
      </c>
      <c r="R2048" s="460">
        <v>2121</v>
      </c>
      <c r="S2048" s="460" t="s">
        <v>2380</v>
      </c>
      <c r="T2048" s="462">
        <v>1</v>
      </c>
      <c r="U2048" s="460" t="s">
        <v>2380</v>
      </c>
      <c r="V2048" s="475">
        <v>0</v>
      </c>
      <c r="W2048" s="463" t="s">
        <v>2278</v>
      </c>
      <c r="X2048" s="463" t="s">
        <v>2278</v>
      </c>
      <c r="Y2048" s="463" t="s">
        <v>2278</v>
      </c>
      <c r="Z2048" s="463"/>
      <c r="AA2048" s="463"/>
      <c r="AB2048" s="464">
        <v>296.09129384066995</v>
      </c>
      <c r="AC2048" s="465">
        <v>1</v>
      </c>
      <c r="AD2048" s="465">
        <v>5.830640714240108E-4</v>
      </c>
      <c r="AE2048" s="476">
        <v>296.09129384066995</v>
      </c>
      <c r="AF2048" s="467">
        <v>1</v>
      </c>
      <c r="AG2048" s="468">
        <v>5.830640714240108E-4</v>
      </c>
      <c r="AH2048" s="218">
        <v>296.09129384066995</v>
      </c>
      <c r="AI2048" s="470">
        <v>1</v>
      </c>
      <c r="AJ2048" s="471">
        <v>5.830640714240108E-4</v>
      </c>
      <c r="AK2048" s="218">
        <v>296.09129384066995</v>
      </c>
      <c r="AL2048" s="470">
        <v>1</v>
      </c>
      <c r="AM2048" s="471">
        <v>5.830640714240108E-4</v>
      </c>
      <c r="AN2048" s="477">
        <v>296.09129384066995</v>
      </c>
      <c r="AO2048" s="473">
        <v>1</v>
      </c>
      <c r="AP2048" s="474">
        <v>5.830640714240108E-4</v>
      </c>
      <c r="AQ2048" s="352"/>
      <c r="AR2048" s="352"/>
      <c r="AS2048" s="352"/>
      <c r="AT2048" s="352"/>
      <c r="AU2048" s="352"/>
      <c r="AV2048" s="352"/>
      <c r="AW2048" s="352" t="s">
        <v>127</v>
      </c>
    </row>
    <row r="2049" spans="2:49" x14ac:dyDescent="0.2">
      <c r="B2049" s="460" t="s">
        <v>2969</v>
      </c>
      <c r="C2049" s="460">
        <v>2212</v>
      </c>
      <c r="D2049" s="460" t="s">
        <v>2382</v>
      </c>
      <c r="E2049" s="460" t="s">
        <v>2383</v>
      </c>
      <c r="F2049" s="460">
        <v>3</v>
      </c>
      <c r="G2049" s="460">
        <v>5</v>
      </c>
      <c r="H2049" s="461" t="s">
        <v>754</v>
      </c>
      <c r="I2049" s="461" t="s">
        <v>1991</v>
      </c>
      <c r="J2049" s="461" t="s">
        <v>754</v>
      </c>
      <c r="K2049" s="594"/>
      <c r="L2049" s="594"/>
      <c r="M2049" s="352">
        <v>2000</v>
      </c>
      <c r="N2049" s="352" t="s">
        <v>703</v>
      </c>
      <c r="O2049" s="460">
        <v>2212</v>
      </c>
      <c r="P2049" s="460" t="s">
        <v>784</v>
      </c>
      <c r="Q2049" s="460" t="s">
        <v>2377</v>
      </c>
      <c r="R2049" s="460">
        <v>2121</v>
      </c>
      <c r="S2049" s="460" t="s">
        <v>2383</v>
      </c>
      <c r="T2049" s="462">
        <v>1</v>
      </c>
      <c r="U2049" s="460" t="s">
        <v>2383</v>
      </c>
      <c r="V2049" s="475">
        <v>0</v>
      </c>
      <c r="W2049" s="463" t="s">
        <v>2278</v>
      </c>
      <c r="X2049" s="463" t="s">
        <v>2278</v>
      </c>
      <c r="Y2049" s="463" t="s">
        <v>2278</v>
      </c>
      <c r="Z2049" s="463"/>
      <c r="AA2049" s="463"/>
      <c r="AB2049" s="464">
        <v>41.653603887931446</v>
      </c>
      <c r="AC2049" s="465">
        <v>1</v>
      </c>
      <c r="AD2049" s="465">
        <v>3.7024464470031726E-4</v>
      </c>
      <c r="AE2049" s="476">
        <v>41.653603887931446</v>
      </c>
      <c r="AF2049" s="467">
        <v>1</v>
      </c>
      <c r="AG2049" s="468">
        <v>3.7024464470031726E-4</v>
      </c>
      <c r="AH2049" s="218">
        <v>41.653603887931446</v>
      </c>
      <c r="AI2049" s="470">
        <v>1</v>
      </c>
      <c r="AJ2049" s="471">
        <v>3.7024464470031726E-4</v>
      </c>
      <c r="AK2049" s="218">
        <v>41.653603887931446</v>
      </c>
      <c r="AL2049" s="470">
        <v>1</v>
      </c>
      <c r="AM2049" s="471">
        <v>3.7024464470031726E-4</v>
      </c>
      <c r="AN2049" s="477">
        <v>41.653603887931446</v>
      </c>
      <c r="AO2049" s="473">
        <v>1</v>
      </c>
      <c r="AP2049" s="474">
        <v>3.7024464470031726E-4</v>
      </c>
      <c r="AQ2049" s="352"/>
      <c r="AR2049" s="352"/>
      <c r="AS2049" s="352"/>
      <c r="AT2049" s="352"/>
      <c r="AU2049" s="352"/>
      <c r="AV2049" s="352"/>
      <c r="AW2049" s="352" t="s">
        <v>127</v>
      </c>
    </row>
    <row r="2050" spans="2:49" x14ac:dyDescent="0.2">
      <c r="B2050" s="460" t="s">
        <v>2970</v>
      </c>
      <c r="C2050" s="460">
        <v>2212</v>
      </c>
      <c r="D2050" s="460" t="s">
        <v>2385</v>
      </c>
      <c r="E2050" s="460" t="s">
        <v>2386</v>
      </c>
      <c r="F2050" s="460">
        <v>4</v>
      </c>
      <c r="G2050" s="460">
        <v>5</v>
      </c>
      <c r="H2050" s="461" t="s">
        <v>754</v>
      </c>
      <c r="I2050" s="461" t="s">
        <v>1991</v>
      </c>
      <c r="J2050" s="461" t="s">
        <v>754</v>
      </c>
      <c r="K2050" s="594"/>
      <c r="L2050" s="594"/>
      <c r="M2050" s="352">
        <v>2000</v>
      </c>
      <c r="N2050" s="352" t="s">
        <v>703</v>
      </c>
      <c r="O2050" s="460">
        <v>2212</v>
      </c>
      <c r="P2050" s="460" t="s">
        <v>784</v>
      </c>
      <c r="Q2050" s="460" t="s">
        <v>2377</v>
      </c>
      <c r="R2050" s="460">
        <v>2121</v>
      </c>
      <c r="S2050" s="460" t="s">
        <v>2386</v>
      </c>
      <c r="T2050" s="462">
        <v>1</v>
      </c>
      <c r="U2050" s="460" t="s">
        <v>2386</v>
      </c>
      <c r="V2050" s="475">
        <v>0</v>
      </c>
      <c r="W2050" s="463" t="s">
        <v>2278</v>
      </c>
      <c r="X2050" s="463" t="s">
        <v>2278</v>
      </c>
      <c r="Y2050" s="463" t="s">
        <v>2278</v>
      </c>
      <c r="Z2050" s="463"/>
      <c r="AA2050" s="463"/>
      <c r="AB2050" s="464">
        <v>31.213880256192759</v>
      </c>
      <c r="AC2050" s="465">
        <v>1</v>
      </c>
      <c r="AD2050" s="465">
        <v>5.7904049871065661E-4</v>
      </c>
      <c r="AE2050" s="476">
        <v>31.213880256192759</v>
      </c>
      <c r="AF2050" s="467">
        <v>1</v>
      </c>
      <c r="AG2050" s="468">
        <v>5.7904049871065661E-4</v>
      </c>
      <c r="AH2050" s="218">
        <v>31.213880256192759</v>
      </c>
      <c r="AI2050" s="470">
        <v>1</v>
      </c>
      <c r="AJ2050" s="471">
        <v>5.7904049871065661E-4</v>
      </c>
      <c r="AK2050" s="218">
        <v>31.213880256192759</v>
      </c>
      <c r="AL2050" s="470">
        <v>1</v>
      </c>
      <c r="AM2050" s="471">
        <v>5.7904049871065661E-4</v>
      </c>
      <c r="AN2050" s="477">
        <v>31.213880256192759</v>
      </c>
      <c r="AO2050" s="473">
        <v>1</v>
      </c>
      <c r="AP2050" s="474">
        <v>5.7904049871065661E-4</v>
      </c>
      <c r="AQ2050" s="352"/>
      <c r="AR2050" s="352"/>
      <c r="AS2050" s="352"/>
      <c r="AT2050" s="352"/>
      <c r="AU2050" s="352"/>
      <c r="AV2050" s="352"/>
      <c r="AW2050" s="352" t="s">
        <v>127</v>
      </c>
    </row>
    <row r="2051" spans="2:49" x14ac:dyDescent="0.2">
      <c r="B2051" s="460" t="s">
        <v>2971</v>
      </c>
      <c r="C2051" s="460">
        <v>2212</v>
      </c>
      <c r="D2051" s="460" t="s">
        <v>2388</v>
      </c>
      <c r="E2051" s="460" t="s">
        <v>2389</v>
      </c>
      <c r="F2051" s="460">
        <v>1</v>
      </c>
      <c r="G2051" s="460">
        <v>6</v>
      </c>
      <c r="H2051" s="461" t="s">
        <v>754</v>
      </c>
      <c r="I2051" s="461" t="s">
        <v>1991</v>
      </c>
      <c r="J2051" s="461" t="s">
        <v>754</v>
      </c>
      <c r="K2051" s="594"/>
      <c r="L2051" s="594"/>
      <c r="M2051" s="352">
        <v>2000</v>
      </c>
      <c r="N2051" s="352" t="s">
        <v>703</v>
      </c>
      <c r="O2051" s="460">
        <v>2212</v>
      </c>
      <c r="P2051" s="460" t="s">
        <v>784</v>
      </c>
      <c r="Q2051" s="460" t="s">
        <v>2377</v>
      </c>
      <c r="R2051" s="460">
        <v>2121</v>
      </c>
      <c r="S2051" s="460" t="s">
        <v>2389</v>
      </c>
      <c r="T2051" s="462">
        <v>1</v>
      </c>
      <c r="U2051" s="460" t="s">
        <v>2389</v>
      </c>
      <c r="V2051" s="475">
        <v>0</v>
      </c>
      <c r="W2051" s="463" t="s">
        <v>2278</v>
      </c>
      <c r="X2051" s="463" t="s">
        <v>2278</v>
      </c>
      <c r="Y2051" s="463" t="s">
        <v>2278</v>
      </c>
      <c r="Z2051" s="463"/>
      <c r="AA2051" s="463"/>
      <c r="AB2051" s="464">
        <v>0</v>
      </c>
      <c r="AC2051" s="465">
        <v>0</v>
      </c>
      <c r="AD2051" s="465">
        <v>0</v>
      </c>
      <c r="AE2051" s="476">
        <v>0</v>
      </c>
      <c r="AF2051" s="467">
        <v>0</v>
      </c>
      <c r="AG2051" s="468">
        <v>0</v>
      </c>
      <c r="AH2051" s="218">
        <v>0</v>
      </c>
      <c r="AI2051" s="470">
        <v>0</v>
      </c>
      <c r="AJ2051" s="471">
        <v>0</v>
      </c>
      <c r="AK2051" s="218">
        <v>0</v>
      </c>
      <c r="AL2051" s="470">
        <v>0</v>
      </c>
      <c r="AM2051" s="471">
        <v>0</v>
      </c>
      <c r="AN2051" s="477">
        <v>0</v>
      </c>
      <c r="AO2051" s="473">
        <v>0</v>
      </c>
      <c r="AP2051" s="474">
        <v>0</v>
      </c>
      <c r="AQ2051" s="352"/>
      <c r="AR2051" s="352"/>
      <c r="AS2051" s="352"/>
      <c r="AT2051" s="352"/>
      <c r="AU2051" s="352"/>
      <c r="AV2051" s="352"/>
      <c r="AW2051" s="352" t="s">
        <v>127</v>
      </c>
    </row>
    <row r="2052" spans="2:49" x14ac:dyDescent="0.2">
      <c r="B2052" s="460" t="s">
        <v>2972</v>
      </c>
      <c r="C2052" s="460">
        <v>2212</v>
      </c>
      <c r="D2052" s="460" t="s">
        <v>2391</v>
      </c>
      <c r="E2052" s="460" t="s">
        <v>2392</v>
      </c>
      <c r="F2052" s="460">
        <v>2</v>
      </c>
      <c r="G2052" s="460">
        <v>6</v>
      </c>
      <c r="H2052" s="461" t="s">
        <v>754</v>
      </c>
      <c r="I2052" s="461" t="s">
        <v>1991</v>
      </c>
      <c r="J2052" s="461" t="s">
        <v>754</v>
      </c>
      <c r="K2052" s="594"/>
      <c r="L2052" s="594"/>
      <c r="M2052" s="352">
        <v>2000</v>
      </c>
      <c r="N2052" s="352" t="s">
        <v>703</v>
      </c>
      <c r="O2052" s="460">
        <v>2212</v>
      </c>
      <c r="P2052" s="460" t="s">
        <v>784</v>
      </c>
      <c r="Q2052" s="460" t="s">
        <v>2377</v>
      </c>
      <c r="R2052" s="460">
        <v>2121</v>
      </c>
      <c r="S2052" s="460" t="s">
        <v>2392</v>
      </c>
      <c r="T2052" s="462">
        <v>1</v>
      </c>
      <c r="U2052" s="460" t="s">
        <v>2392</v>
      </c>
      <c r="V2052" s="475">
        <v>0</v>
      </c>
      <c r="W2052" s="463" t="s">
        <v>2278</v>
      </c>
      <c r="X2052" s="463" t="s">
        <v>2278</v>
      </c>
      <c r="Y2052" s="463" t="s">
        <v>2278</v>
      </c>
      <c r="Z2052" s="463"/>
      <c r="AA2052" s="463"/>
      <c r="AB2052" s="464">
        <v>0</v>
      </c>
      <c r="AC2052" s="465">
        <v>0</v>
      </c>
      <c r="AD2052" s="465">
        <v>0</v>
      </c>
      <c r="AE2052" s="476">
        <v>0</v>
      </c>
      <c r="AF2052" s="467">
        <v>0</v>
      </c>
      <c r="AG2052" s="468">
        <v>0</v>
      </c>
      <c r="AH2052" s="218">
        <v>0</v>
      </c>
      <c r="AI2052" s="470">
        <v>0</v>
      </c>
      <c r="AJ2052" s="471">
        <v>0</v>
      </c>
      <c r="AK2052" s="218">
        <v>0</v>
      </c>
      <c r="AL2052" s="470">
        <v>0</v>
      </c>
      <c r="AM2052" s="471">
        <v>0</v>
      </c>
      <c r="AN2052" s="477">
        <v>0</v>
      </c>
      <c r="AO2052" s="473">
        <v>0</v>
      </c>
      <c r="AP2052" s="474">
        <v>0</v>
      </c>
      <c r="AQ2052" s="352"/>
      <c r="AR2052" s="352"/>
      <c r="AS2052" s="352"/>
      <c r="AT2052" s="352"/>
      <c r="AU2052" s="352"/>
      <c r="AV2052" s="352"/>
      <c r="AW2052" s="352" t="s">
        <v>127</v>
      </c>
    </row>
    <row r="2053" spans="2:49" x14ac:dyDescent="0.2">
      <c r="B2053" s="460" t="s">
        <v>2973</v>
      </c>
      <c r="C2053" s="460">
        <v>2212</v>
      </c>
      <c r="D2053" s="460" t="s">
        <v>2394</v>
      </c>
      <c r="E2053" s="460" t="s">
        <v>2395</v>
      </c>
      <c r="F2053" s="460">
        <v>3</v>
      </c>
      <c r="G2053" s="460">
        <v>6</v>
      </c>
      <c r="H2053" s="461" t="s">
        <v>754</v>
      </c>
      <c r="I2053" s="461" t="s">
        <v>1991</v>
      </c>
      <c r="J2053" s="461" t="s">
        <v>754</v>
      </c>
      <c r="K2053" s="594"/>
      <c r="L2053" s="594"/>
      <c r="M2053" s="352">
        <v>2000</v>
      </c>
      <c r="N2053" s="352" t="s">
        <v>703</v>
      </c>
      <c r="O2053" s="460">
        <v>2212</v>
      </c>
      <c r="P2053" s="460" t="s">
        <v>784</v>
      </c>
      <c r="Q2053" s="460" t="s">
        <v>2377</v>
      </c>
      <c r="R2053" s="460">
        <v>2121</v>
      </c>
      <c r="S2053" s="460" t="s">
        <v>2395</v>
      </c>
      <c r="T2053" s="462">
        <v>1</v>
      </c>
      <c r="U2053" s="460" t="s">
        <v>2395</v>
      </c>
      <c r="V2053" s="475">
        <v>0</v>
      </c>
      <c r="W2053" s="463" t="s">
        <v>2278</v>
      </c>
      <c r="X2053" s="463" t="s">
        <v>2278</v>
      </c>
      <c r="Y2053" s="463" t="s">
        <v>2278</v>
      </c>
      <c r="Z2053" s="463"/>
      <c r="AA2053" s="463"/>
      <c r="AB2053" s="464">
        <v>0</v>
      </c>
      <c r="AC2053" s="465">
        <v>0</v>
      </c>
      <c r="AD2053" s="465">
        <v>0</v>
      </c>
      <c r="AE2053" s="476">
        <v>0</v>
      </c>
      <c r="AF2053" s="467">
        <v>0</v>
      </c>
      <c r="AG2053" s="468">
        <v>0</v>
      </c>
      <c r="AH2053" s="218">
        <v>0</v>
      </c>
      <c r="AI2053" s="470">
        <v>0</v>
      </c>
      <c r="AJ2053" s="471">
        <v>0</v>
      </c>
      <c r="AK2053" s="218">
        <v>0</v>
      </c>
      <c r="AL2053" s="470">
        <v>0</v>
      </c>
      <c r="AM2053" s="471">
        <v>0</v>
      </c>
      <c r="AN2053" s="477">
        <v>0</v>
      </c>
      <c r="AO2053" s="473">
        <v>0</v>
      </c>
      <c r="AP2053" s="474">
        <v>0</v>
      </c>
      <c r="AQ2053" s="352"/>
      <c r="AR2053" s="352"/>
      <c r="AS2053" s="352"/>
      <c r="AT2053" s="352"/>
      <c r="AU2053" s="352"/>
      <c r="AV2053" s="352"/>
      <c r="AW2053" s="352" t="s">
        <v>127</v>
      </c>
    </row>
    <row r="2054" spans="2:49" x14ac:dyDescent="0.2">
      <c r="B2054" s="460" t="s">
        <v>2974</v>
      </c>
      <c r="C2054" s="460">
        <v>2212</v>
      </c>
      <c r="D2054" s="460" t="s">
        <v>2397</v>
      </c>
      <c r="E2054" s="460" t="s">
        <v>2398</v>
      </c>
      <c r="F2054" s="460">
        <v>4</v>
      </c>
      <c r="G2054" s="460">
        <v>6</v>
      </c>
      <c r="H2054" s="461" t="s">
        <v>754</v>
      </c>
      <c r="I2054" s="461" t="s">
        <v>1991</v>
      </c>
      <c r="J2054" s="461" t="s">
        <v>754</v>
      </c>
      <c r="K2054" s="594"/>
      <c r="L2054" s="594"/>
      <c r="M2054" s="352">
        <v>2000</v>
      </c>
      <c r="N2054" s="352" t="s">
        <v>703</v>
      </c>
      <c r="O2054" s="460">
        <v>2212</v>
      </c>
      <c r="P2054" s="460" t="s">
        <v>784</v>
      </c>
      <c r="Q2054" s="460" t="s">
        <v>2377</v>
      </c>
      <c r="R2054" s="460">
        <v>2121</v>
      </c>
      <c r="S2054" s="460" t="s">
        <v>2398</v>
      </c>
      <c r="T2054" s="462">
        <v>1</v>
      </c>
      <c r="U2054" s="460" t="s">
        <v>2398</v>
      </c>
      <c r="V2054" s="475">
        <v>0</v>
      </c>
      <c r="W2054" s="463" t="s">
        <v>2278</v>
      </c>
      <c r="X2054" s="463" t="s">
        <v>2278</v>
      </c>
      <c r="Y2054" s="463" t="s">
        <v>2278</v>
      </c>
      <c r="Z2054" s="463"/>
      <c r="AA2054" s="463"/>
      <c r="AB2054" s="464">
        <v>0</v>
      </c>
      <c r="AC2054" s="465">
        <v>0</v>
      </c>
      <c r="AD2054" s="465">
        <v>0</v>
      </c>
      <c r="AE2054" s="476">
        <v>0</v>
      </c>
      <c r="AF2054" s="467">
        <v>0</v>
      </c>
      <c r="AG2054" s="468">
        <v>0</v>
      </c>
      <c r="AH2054" s="218">
        <v>0</v>
      </c>
      <c r="AI2054" s="470">
        <v>0</v>
      </c>
      <c r="AJ2054" s="471">
        <v>0</v>
      </c>
      <c r="AK2054" s="218">
        <v>0</v>
      </c>
      <c r="AL2054" s="470">
        <v>0</v>
      </c>
      <c r="AM2054" s="471">
        <v>0</v>
      </c>
      <c r="AN2054" s="477">
        <v>0</v>
      </c>
      <c r="AO2054" s="473">
        <v>0</v>
      </c>
      <c r="AP2054" s="474">
        <v>0</v>
      </c>
      <c r="AQ2054" s="352"/>
      <c r="AR2054" s="352"/>
      <c r="AS2054" s="352"/>
      <c r="AT2054" s="352"/>
      <c r="AU2054" s="352"/>
      <c r="AV2054" s="352"/>
      <c r="AW2054" s="352" t="s">
        <v>127</v>
      </c>
    </row>
    <row r="2055" spans="2:49" x14ac:dyDescent="0.2">
      <c r="B2055" s="460" t="s">
        <v>2975</v>
      </c>
      <c r="C2055" s="460">
        <v>2221</v>
      </c>
      <c r="D2055" s="460" t="s">
        <v>2264</v>
      </c>
      <c r="E2055" s="460" t="s">
        <v>2265</v>
      </c>
      <c r="F2055" s="460">
        <v>1</v>
      </c>
      <c r="G2055" s="460">
        <v>1</v>
      </c>
      <c r="H2055" s="461" t="s">
        <v>700</v>
      </c>
      <c r="I2055" s="461" t="s">
        <v>872</v>
      </c>
      <c r="J2055" s="461" t="s">
        <v>700</v>
      </c>
      <c r="K2055" s="594"/>
      <c r="L2055" s="594"/>
      <c r="M2055" s="352">
        <v>2000</v>
      </c>
      <c r="N2055" s="352" t="s">
        <v>703</v>
      </c>
      <c r="O2055" s="460">
        <v>2221</v>
      </c>
      <c r="P2055" s="460" t="s">
        <v>1884</v>
      </c>
      <c r="Q2055" s="460" t="s">
        <v>2527</v>
      </c>
      <c r="R2055" s="460">
        <v>2121</v>
      </c>
      <c r="S2055" s="460" t="s">
        <v>2265</v>
      </c>
      <c r="T2055" s="462">
        <v>1</v>
      </c>
      <c r="U2055" s="460" t="s">
        <v>2265</v>
      </c>
      <c r="V2055" s="475">
        <v>0</v>
      </c>
      <c r="W2055" s="463" t="s">
        <v>2503</v>
      </c>
      <c r="X2055" s="463" t="s">
        <v>2267</v>
      </c>
      <c r="Y2055" s="463" t="s">
        <v>2268</v>
      </c>
      <c r="Z2055" s="463"/>
      <c r="AA2055" s="463"/>
      <c r="AB2055" s="464">
        <v>273.35127759249139</v>
      </c>
      <c r="AC2055" s="465">
        <v>0.23921121218542618</v>
      </c>
      <c r="AD2055" s="465">
        <v>2.5349053559010552E-3</v>
      </c>
      <c r="AE2055" s="476">
        <v>164.01076655549483</v>
      </c>
      <c r="AF2055" s="467">
        <v>0.14352672731125571</v>
      </c>
      <c r="AG2055" s="468">
        <v>1.6246856700923519E-3</v>
      </c>
      <c r="AH2055" s="218">
        <v>689.43012775461307</v>
      </c>
      <c r="AI2055" s="470">
        <v>0.60332411112119988</v>
      </c>
      <c r="AJ2055" s="471">
        <v>6.5739501182431517E-3</v>
      </c>
      <c r="AK2055" s="218">
        <v>689.43012775461307</v>
      </c>
      <c r="AL2055" s="470">
        <v>0.60332411112119988</v>
      </c>
      <c r="AM2055" s="471">
        <v>6.5739501182431517E-3</v>
      </c>
      <c r="AN2055" s="477">
        <v>0</v>
      </c>
      <c r="AO2055" s="473">
        <v>0</v>
      </c>
      <c r="AP2055" s="474">
        <v>0</v>
      </c>
      <c r="AQ2055" s="352"/>
      <c r="AR2055" s="352"/>
      <c r="AS2055" s="352"/>
      <c r="AT2055" s="352"/>
      <c r="AU2055" s="352"/>
      <c r="AV2055" s="352"/>
      <c r="AW2055" s="352" t="s">
        <v>254</v>
      </c>
    </row>
    <row r="2056" spans="2:49" x14ac:dyDescent="0.2">
      <c r="B2056" s="460" t="s">
        <v>2976</v>
      </c>
      <c r="C2056" s="460">
        <v>2221</v>
      </c>
      <c r="D2056" s="460" t="s">
        <v>2270</v>
      </c>
      <c r="E2056" s="460" t="s">
        <v>2271</v>
      </c>
      <c r="F2056" s="460">
        <v>2</v>
      </c>
      <c r="G2056" s="460">
        <v>1</v>
      </c>
      <c r="H2056" s="461" t="s">
        <v>700</v>
      </c>
      <c r="I2056" s="461" t="s">
        <v>872</v>
      </c>
      <c r="J2056" s="461" t="s">
        <v>700</v>
      </c>
      <c r="K2056" s="594"/>
      <c r="L2056" s="594"/>
      <c r="M2056" s="352">
        <v>2000</v>
      </c>
      <c r="N2056" s="352" t="s">
        <v>703</v>
      </c>
      <c r="O2056" s="460">
        <v>2221</v>
      </c>
      <c r="P2056" s="460" t="s">
        <v>1884</v>
      </c>
      <c r="Q2056" s="460" t="s">
        <v>2527</v>
      </c>
      <c r="R2056" s="460">
        <v>2121</v>
      </c>
      <c r="S2056" s="460" t="s">
        <v>2265</v>
      </c>
      <c r="T2056" s="462">
        <v>1</v>
      </c>
      <c r="U2056" s="460" t="s">
        <v>2271</v>
      </c>
      <c r="V2056" s="475">
        <v>0</v>
      </c>
      <c r="W2056" s="463" t="s">
        <v>2503</v>
      </c>
      <c r="X2056" s="463" t="s">
        <v>2267</v>
      </c>
      <c r="Y2056" s="463" t="s">
        <v>2268</v>
      </c>
      <c r="Z2056" s="463"/>
      <c r="AA2056" s="463"/>
      <c r="AB2056" s="464">
        <v>201.51744789731401</v>
      </c>
      <c r="AC2056" s="465">
        <v>0.2168147337204766</v>
      </c>
      <c r="AD2056" s="465">
        <v>2.5001852805762305E-3</v>
      </c>
      <c r="AE2056" s="476">
        <v>120.9104687383884</v>
      </c>
      <c r="AF2056" s="467">
        <v>0.13008884023228595</v>
      </c>
      <c r="AG2056" s="468">
        <v>1.6256123460917007E-3</v>
      </c>
      <c r="AH2056" s="218">
        <v>560.75679471490309</v>
      </c>
      <c r="AI2056" s="470">
        <v>0.60332411112119988</v>
      </c>
      <c r="AJ2056" s="471">
        <v>6.6205187263942561E-3</v>
      </c>
      <c r="AK2056" s="218">
        <v>560.75679471490309</v>
      </c>
      <c r="AL2056" s="470">
        <v>0.60332411112119988</v>
      </c>
      <c r="AM2056" s="471">
        <v>6.6205187263942561E-3</v>
      </c>
      <c r="AN2056" s="477">
        <v>0</v>
      </c>
      <c r="AO2056" s="473">
        <v>0</v>
      </c>
      <c r="AP2056" s="474">
        <v>0</v>
      </c>
      <c r="AQ2056" s="352"/>
      <c r="AR2056" s="352"/>
      <c r="AS2056" s="352"/>
      <c r="AT2056" s="352"/>
      <c r="AU2056" s="352"/>
      <c r="AV2056" s="352"/>
      <c r="AW2056" s="352" t="s">
        <v>254</v>
      </c>
    </row>
    <row r="2057" spans="2:49" x14ac:dyDescent="0.2">
      <c r="B2057" s="460" t="s">
        <v>2977</v>
      </c>
      <c r="C2057" s="460">
        <v>2221</v>
      </c>
      <c r="D2057" s="460" t="s">
        <v>2273</v>
      </c>
      <c r="E2057" s="460" t="s">
        <v>2274</v>
      </c>
      <c r="F2057" s="460">
        <v>3</v>
      </c>
      <c r="G2057" s="460">
        <v>1</v>
      </c>
      <c r="H2057" s="461" t="s">
        <v>700</v>
      </c>
      <c r="I2057" s="461" t="s">
        <v>872</v>
      </c>
      <c r="J2057" s="461" t="s">
        <v>700</v>
      </c>
      <c r="K2057" s="594"/>
      <c r="L2057" s="594"/>
      <c r="M2057" s="352">
        <v>2000</v>
      </c>
      <c r="N2057" s="352" t="s">
        <v>703</v>
      </c>
      <c r="O2057" s="460">
        <v>2221</v>
      </c>
      <c r="P2057" s="460" t="s">
        <v>1884</v>
      </c>
      <c r="Q2057" s="460" t="s">
        <v>2527</v>
      </c>
      <c r="R2057" s="460">
        <v>2121</v>
      </c>
      <c r="S2057" s="460" t="s">
        <v>2265</v>
      </c>
      <c r="T2057" s="462">
        <v>0.74223365950407583</v>
      </c>
      <c r="U2057" s="460" t="s">
        <v>2274</v>
      </c>
      <c r="V2057" s="475">
        <v>0</v>
      </c>
      <c r="W2057" s="463" t="s">
        <v>2503</v>
      </c>
      <c r="X2057" s="463" t="s">
        <v>2267</v>
      </c>
      <c r="Y2057" s="463" t="s">
        <v>2268</v>
      </c>
      <c r="Z2057" s="463"/>
      <c r="AA2057" s="463"/>
      <c r="AB2057" s="464">
        <v>50.958296038620503</v>
      </c>
      <c r="AC2057" s="465">
        <v>8.0479311452076194E-2</v>
      </c>
      <c r="AD2057" s="465">
        <v>2.5208893602936852E-3</v>
      </c>
      <c r="AE2057" s="476">
        <v>30.574977623172302</v>
      </c>
      <c r="AF2057" s="467">
        <v>4.8287586871245715E-2</v>
      </c>
      <c r="AG2057" s="468">
        <v>1.6383371619205001E-3</v>
      </c>
      <c r="AH2057" s="218">
        <v>283.5449862731856</v>
      </c>
      <c r="AI2057" s="470">
        <v>0.44780746286453188</v>
      </c>
      <c r="AJ2057" s="471">
        <v>1.1002703759056692E-2</v>
      </c>
      <c r="AK2057" s="218">
        <v>283.5449862731856</v>
      </c>
      <c r="AL2057" s="470">
        <v>0.44780746286453188</v>
      </c>
      <c r="AM2057" s="471">
        <v>1.1002703759056692E-2</v>
      </c>
      <c r="AN2057" s="477">
        <v>0</v>
      </c>
      <c r="AO2057" s="473">
        <v>0</v>
      </c>
      <c r="AP2057" s="474">
        <v>0</v>
      </c>
      <c r="AQ2057" s="352"/>
      <c r="AR2057" s="352"/>
      <c r="AS2057" s="352"/>
      <c r="AT2057" s="352"/>
      <c r="AU2057" s="352"/>
      <c r="AV2057" s="352"/>
      <c r="AW2057" s="352" t="s">
        <v>254</v>
      </c>
    </row>
    <row r="2058" spans="2:49" x14ac:dyDescent="0.2">
      <c r="B2058" s="460" t="s">
        <v>2978</v>
      </c>
      <c r="C2058" s="460">
        <v>2221</v>
      </c>
      <c r="D2058" s="460" t="s">
        <v>2276</v>
      </c>
      <c r="E2058" s="460" t="s">
        <v>2277</v>
      </c>
      <c r="F2058" s="460">
        <v>4</v>
      </c>
      <c r="G2058" s="460">
        <v>1</v>
      </c>
      <c r="H2058" s="461" t="s">
        <v>700</v>
      </c>
      <c r="I2058" s="461" t="s">
        <v>872</v>
      </c>
      <c r="J2058" s="461" t="s">
        <v>700</v>
      </c>
      <c r="K2058" s="594"/>
      <c r="L2058" s="594"/>
      <c r="M2058" s="352">
        <v>2000</v>
      </c>
      <c r="N2058" s="352" t="s">
        <v>703</v>
      </c>
      <c r="O2058" s="460">
        <v>2221</v>
      </c>
      <c r="P2058" s="460" t="s">
        <v>1884</v>
      </c>
      <c r="Q2058" s="460" t="s">
        <v>2527</v>
      </c>
      <c r="R2058" s="460">
        <v>2121</v>
      </c>
      <c r="S2058" s="460" t="s">
        <v>2277</v>
      </c>
      <c r="T2058" s="462">
        <v>1</v>
      </c>
      <c r="U2058" s="460" t="s">
        <v>2277</v>
      </c>
      <c r="V2058" s="475">
        <v>0</v>
      </c>
      <c r="W2058" s="463" t="s">
        <v>2503</v>
      </c>
      <c r="X2058" s="463" t="s">
        <v>2503</v>
      </c>
      <c r="Y2058" s="463" t="s">
        <v>2268</v>
      </c>
      <c r="Z2058" s="463"/>
      <c r="AA2058" s="463"/>
      <c r="AB2058" s="464">
        <v>0.62271370460915232</v>
      </c>
      <c r="AC2058" s="465">
        <v>8.6813868122423985E-4</v>
      </c>
      <c r="AD2058" s="465">
        <v>2.513403100634378E-3</v>
      </c>
      <c r="AE2058" s="476">
        <v>0.37362822276549135</v>
      </c>
      <c r="AF2058" s="467">
        <v>5.2088320873454384E-4</v>
      </c>
      <c r="AG2058" s="468">
        <v>1.6859113069954174E-3</v>
      </c>
      <c r="AH2058" s="218">
        <v>0.37362822276549135</v>
      </c>
      <c r="AI2058" s="470">
        <v>5.2088320873454384E-4</v>
      </c>
      <c r="AJ2058" s="471">
        <v>1.6158730109126535E-3</v>
      </c>
      <c r="AK2058" s="218">
        <v>0.37362822276549135</v>
      </c>
      <c r="AL2058" s="470">
        <v>5.2088320873454384E-4</v>
      </c>
      <c r="AM2058" s="471">
        <v>1.6158730109126535E-3</v>
      </c>
      <c r="AN2058" s="477">
        <v>0</v>
      </c>
      <c r="AO2058" s="473">
        <v>0</v>
      </c>
      <c r="AP2058" s="474">
        <v>0</v>
      </c>
      <c r="AQ2058" s="352"/>
      <c r="AR2058" s="352"/>
      <c r="AS2058" s="352"/>
      <c r="AT2058" s="352"/>
      <c r="AU2058" s="352"/>
      <c r="AV2058" s="352"/>
      <c r="AW2058" s="352" t="s">
        <v>254</v>
      </c>
    </row>
    <row r="2059" spans="2:49" x14ac:dyDescent="0.2">
      <c r="B2059" s="460" t="s">
        <v>2975</v>
      </c>
      <c r="C2059" s="460">
        <v>2221</v>
      </c>
      <c r="D2059" s="460" t="s">
        <v>2279</v>
      </c>
      <c r="E2059" s="460" t="s">
        <v>2265</v>
      </c>
      <c r="F2059" s="460">
        <v>1</v>
      </c>
      <c r="G2059" s="460">
        <v>1</v>
      </c>
      <c r="H2059" s="461" t="s">
        <v>712</v>
      </c>
      <c r="I2059" s="461" t="s">
        <v>713</v>
      </c>
      <c r="J2059" s="461" t="s">
        <v>712</v>
      </c>
      <c r="K2059" s="594"/>
      <c r="L2059" s="594"/>
      <c r="M2059" s="352">
        <v>2000</v>
      </c>
      <c r="N2059" s="352" t="s">
        <v>703</v>
      </c>
      <c r="O2059" s="460">
        <v>2221</v>
      </c>
      <c r="P2059" s="460" t="s">
        <v>1884</v>
      </c>
      <c r="Q2059" s="460" t="s">
        <v>2280</v>
      </c>
      <c r="R2059" s="460">
        <v>2121</v>
      </c>
      <c r="S2059" s="460" t="s">
        <v>2265</v>
      </c>
      <c r="T2059" s="462">
        <v>1</v>
      </c>
      <c r="U2059" s="460" t="s">
        <v>2265</v>
      </c>
      <c r="V2059" s="475">
        <v>0</v>
      </c>
      <c r="W2059" s="463" t="s">
        <v>713</v>
      </c>
      <c r="X2059" s="463" t="s">
        <v>713</v>
      </c>
      <c r="Y2059" s="463" t="s">
        <v>713</v>
      </c>
      <c r="Z2059" s="463"/>
      <c r="AA2059" s="463"/>
      <c r="AB2059" s="464">
        <v>869.36805857558636</v>
      </c>
      <c r="AC2059" s="465">
        <v>0.76078878781457382</v>
      </c>
      <c r="AD2059" s="465">
        <v>3.2115959553457511E-3</v>
      </c>
      <c r="AE2059" s="476">
        <v>978.70856961258289</v>
      </c>
      <c r="AF2059" s="467">
        <v>0.85647327268874429</v>
      </c>
      <c r="AG2059" s="468">
        <v>3.5258325497304166E-3</v>
      </c>
      <c r="AH2059" s="218">
        <v>453.28920841346462</v>
      </c>
      <c r="AI2059" s="470">
        <v>0.39667588887880012</v>
      </c>
      <c r="AJ2059" s="471">
        <v>1.6564049339101911E-3</v>
      </c>
      <c r="AK2059" s="218">
        <v>453.28920841346462</v>
      </c>
      <c r="AL2059" s="470">
        <v>0.39667588887880012</v>
      </c>
      <c r="AM2059" s="471">
        <v>1.6564049339101911E-3</v>
      </c>
      <c r="AN2059" s="477">
        <v>453.28920841346462</v>
      </c>
      <c r="AO2059" s="473">
        <v>0.39667588887880012</v>
      </c>
      <c r="AP2059" s="474">
        <v>1.6558652107505538E-3</v>
      </c>
      <c r="AQ2059" s="352"/>
      <c r="AR2059" s="352"/>
      <c r="AS2059" s="352"/>
      <c r="AT2059" s="352"/>
      <c r="AU2059" s="352"/>
      <c r="AV2059" s="352"/>
      <c r="AW2059" s="352" t="s">
        <v>254</v>
      </c>
    </row>
    <row r="2060" spans="2:49" x14ac:dyDescent="0.2">
      <c r="B2060" s="460" t="s">
        <v>2976</v>
      </c>
      <c r="C2060" s="460">
        <v>2221</v>
      </c>
      <c r="D2060" s="460" t="s">
        <v>2281</v>
      </c>
      <c r="E2060" s="460" t="s">
        <v>2271</v>
      </c>
      <c r="F2060" s="460">
        <v>2</v>
      </c>
      <c r="G2060" s="460">
        <v>1</v>
      </c>
      <c r="H2060" s="461" t="s">
        <v>712</v>
      </c>
      <c r="I2060" s="461" t="s">
        <v>713</v>
      </c>
      <c r="J2060" s="461" t="s">
        <v>712</v>
      </c>
      <c r="K2060" s="594"/>
      <c r="L2060" s="594"/>
      <c r="M2060" s="352">
        <v>2000</v>
      </c>
      <c r="N2060" s="352" t="s">
        <v>703</v>
      </c>
      <c r="O2060" s="460">
        <v>2221</v>
      </c>
      <c r="P2060" s="460" t="s">
        <v>1884</v>
      </c>
      <c r="Q2060" s="460" t="s">
        <v>2280</v>
      </c>
      <c r="R2060" s="460">
        <v>2121</v>
      </c>
      <c r="S2060" s="460" t="s">
        <v>2265</v>
      </c>
      <c r="T2060" s="462">
        <v>1</v>
      </c>
      <c r="U2060" s="460" t="s">
        <v>2271</v>
      </c>
      <c r="V2060" s="475">
        <v>0</v>
      </c>
      <c r="W2060" s="463" t="s">
        <v>713</v>
      </c>
      <c r="X2060" s="463" t="s">
        <v>713</v>
      </c>
      <c r="Y2060" s="463" t="s">
        <v>713</v>
      </c>
      <c r="Z2060" s="463"/>
      <c r="AA2060" s="463"/>
      <c r="AB2060" s="464">
        <v>727.92791053997621</v>
      </c>
      <c r="AC2060" s="465">
        <v>0.78318526627952334</v>
      </c>
      <c r="AD2060" s="465">
        <v>3.0397691566170326E-3</v>
      </c>
      <c r="AE2060" s="476">
        <v>808.53488969890179</v>
      </c>
      <c r="AF2060" s="467">
        <v>0.86991115976771405</v>
      </c>
      <c r="AG2060" s="468">
        <v>3.2908642396861426E-3</v>
      </c>
      <c r="AH2060" s="218">
        <v>368.68856372238707</v>
      </c>
      <c r="AI2060" s="470">
        <v>0.39667588887880012</v>
      </c>
      <c r="AJ2060" s="471">
        <v>1.5839397110037378E-3</v>
      </c>
      <c r="AK2060" s="218">
        <v>368.68856372238707</v>
      </c>
      <c r="AL2060" s="470">
        <v>0.39667588887880012</v>
      </c>
      <c r="AM2060" s="471">
        <v>1.5839397110037378E-3</v>
      </c>
      <c r="AN2060" s="477">
        <v>368.68856372238707</v>
      </c>
      <c r="AO2060" s="473">
        <v>0.39667588887880012</v>
      </c>
      <c r="AP2060" s="474">
        <v>1.5833835378102996E-3</v>
      </c>
      <c r="AQ2060" s="352"/>
      <c r="AR2060" s="352"/>
      <c r="AS2060" s="352"/>
      <c r="AT2060" s="352"/>
      <c r="AU2060" s="352"/>
      <c r="AV2060" s="352"/>
      <c r="AW2060" s="352" t="s">
        <v>254</v>
      </c>
    </row>
    <row r="2061" spans="2:49" x14ac:dyDescent="0.2">
      <c r="B2061" s="460" t="s">
        <v>2977</v>
      </c>
      <c r="C2061" s="460">
        <v>2221</v>
      </c>
      <c r="D2061" s="460" t="s">
        <v>2282</v>
      </c>
      <c r="E2061" s="460" t="s">
        <v>2274</v>
      </c>
      <c r="F2061" s="460">
        <v>3</v>
      </c>
      <c r="G2061" s="460">
        <v>1</v>
      </c>
      <c r="H2061" s="461" t="s">
        <v>712</v>
      </c>
      <c r="I2061" s="461" t="s">
        <v>713</v>
      </c>
      <c r="J2061" s="461" t="s">
        <v>712</v>
      </c>
      <c r="K2061" s="594"/>
      <c r="L2061" s="594"/>
      <c r="M2061" s="352">
        <v>2000</v>
      </c>
      <c r="N2061" s="352" t="s">
        <v>703</v>
      </c>
      <c r="O2061" s="460">
        <v>2221</v>
      </c>
      <c r="P2061" s="460" t="s">
        <v>1884</v>
      </c>
      <c r="Q2061" s="460" t="s">
        <v>2280</v>
      </c>
      <c r="R2061" s="460">
        <v>2121</v>
      </c>
      <c r="S2061" s="460" t="s">
        <v>2265</v>
      </c>
      <c r="T2061" s="462">
        <v>0.74223365950407583</v>
      </c>
      <c r="U2061" s="460" t="s">
        <v>2274</v>
      </c>
      <c r="V2061" s="475">
        <v>0</v>
      </c>
      <c r="W2061" s="463" t="s">
        <v>713</v>
      </c>
      <c r="X2061" s="463" t="s">
        <v>713</v>
      </c>
      <c r="Y2061" s="463" t="s">
        <v>713</v>
      </c>
      <c r="Z2061" s="463"/>
      <c r="AA2061" s="463"/>
      <c r="AB2061" s="464">
        <v>582.22674393236809</v>
      </c>
      <c r="AC2061" s="465">
        <v>0.9195206885479239</v>
      </c>
      <c r="AD2061" s="465">
        <v>3.4847507630503777E-3</v>
      </c>
      <c r="AE2061" s="476">
        <v>602.61006234781632</v>
      </c>
      <c r="AF2061" s="467">
        <v>0.95171241312875432</v>
      </c>
      <c r="AG2061" s="468">
        <v>3.5735498625007979E-3</v>
      </c>
      <c r="AH2061" s="218">
        <v>349.64005369780295</v>
      </c>
      <c r="AI2061" s="470">
        <v>0.55219253713546812</v>
      </c>
      <c r="AJ2061" s="471">
        <v>2.1971977881461323E-3</v>
      </c>
      <c r="AK2061" s="218">
        <v>349.64005369780295</v>
      </c>
      <c r="AL2061" s="470">
        <v>0.55219253713546812</v>
      </c>
      <c r="AM2061" s="471">
        <v>2.1971977881461323E-3</v>
      </c>
      <c r="AN2061" s="477">
        <v>349.64005369780295</v>
      </c>
      <c r="AO2061" s="473">
        <v>0.55219253713546812</v>
      </c>
      <c r="AP2061" s="474">
        <v>2.2130483660863791E-3</v>
      </c>
      <c r="AQ2061" s="352"/>
      <c r="AR2061" s="352"/>
      <c r="AS2061" s="352"/>
      <c r="AT2061" s="352"/>
      <c r="AU2061" s="352"/>
      <c r="AV2061" s="352"/>
      <c r="AW2061" s="352" t="s">
        <v>254</v>
      </c>
    </row>
    <row r="2062" spans="2:49" x14ac:dyDescent="0.2">
      <c r="B2062" s="460" t="s">
        <v>2978</v>
      </c>
      <c r="C2062" s="460">
        <v>2221</v>
      </c>
      <c r="D2062" s="460" t="s">
        <v>2283</v>
      </c>
      <c r="E2062" s="460" t="s">
        <v>2277</v>
      </c>
      <c r="F2062" s="460">
        <v>4</v>
      </c>
      <c r="G2062" s="460">
        <v>1</v>
      </c>
      <c r="H2062" s="461" t="s">
        <v>712</v>
      </c>
      <c r="I2062" s="461" t="s">
        <v>713</v>
      </c>
      <c r="J2062" s="461" t="s">
        <v>712</v>
      </c>
      <c r="K2062" s="594"/>
      <c r="L2062" s="594"/>
      <c r="M2062" s="352">
        <v>2000</v>
      </c>
      <c r="N2062" s="352" t="s">
        <v>703</v>
      </c>
      <c r="O2062" s="460">
        <v>2221</v>
      </c>
      <c r="P2062" s="460" t="s">
        <v>1884</v>
      </c>
      <c r="Q2062" s="460" t="s">
        <v>2280</v>
      </c>
      <c r="R2062" s="460">
        <v>2121</v>
      </c>
      <c r="S2062" s="460" t="s">
        <v>2277</v>
      </c>
      <c r="T2062" s="462">
        <v>1</v>
      </c>
      <c r="U2062" s="460" t="s">
        <v>2277</v>
      </c>
      <c r="V2062" s="475">
        <v>0</v>
      </c>
      <c r="W2062" s="463" t="s">
        <v>713</v>
      </c>
      <c r="X2062" s="463" t="s">
        <v>713</v>
      </c>
      <c r="Y2062" s="463" t="s">
        <v>713</v>
      </c>
      <c r="Z2062" s="463"/>
      <c r="AA2062" s="463"/>
      <c r="AB2062" s="464">
        <v>716.67478504410246</v>
      </c>
      <c r="AC2062" s="465">
        <v>0.99913186131877574</v>
      </c>
      <c r="AD2062" s="465">
        <v>3.7218891518080309E-3</v>
      </c>
      <c r="AE2062" s="476">
        <v>716.92387052594609</v>
      </c>
      <c r="AF2062" s="467">
        <v>0.99947911679126544</v>
      </c>
      <c r="AG2062" s="468">
        <v>3.7226773742685612E-3</v>
      </c>
      <c r="AH2062" s="218">
        <v>716.92387052594609</v>
      </c>
      <c r="AI2062" s="470">
        <v>0.99947911679126544</v>
      </c>
      <c r="AJ2062" s="471">
        <v>3.7228630660645409E-3</v>
      </c>
      <c r="AK2062" s="218">
        <v>716.92387052594609</v>
      </c>
      <c r="AL2062" s="470">
        <v>0.99947911679126544</v>
      </c>
      <c r="AM2062" s="471">
        <v>3.7228630660645409E-3</v>
      </c>
      <c r="AN2062" s="477">
        <v>717.04841326686801</v>
      </c>
      <c r="AO2062" s="473">
        <v>0.9996527445275103</v>
      </c>
      <c r="AP2062" s="474">
        <v>3.7235283621827606E-3</v>
      </c>
      <c r="AQ2062" s="352"/>
      <c r="AR2062" s="352"/>
      <c r="AS2062" s="352"/>
      <c r="AT2062" s="352"/>
      <c r="AU2062" s="352"/>
      <c r="AV2062" s="352"/>
      <c r="AW2062" s="352" t="s">
        <v>254</v>
      </c>
    </row>
    <row r="2063" spans="2:49" x14ac:dyDescent="0.2">
      <c r="B2063" s="460" t="s">
        <v>2975</v>
      </c>
      <c r="C2063" s="460">
        <v>2221</v>
      </c>
      <c r="D2063" s="460" t="s">
        <v>2284</v>
      </c>
      <c r="E2063" s="460" t="s">
        <v>2265</v>
      </c>
      <c r="F2063" s="460">
        <v>1</v>
      </c>
      <c r="G2063" s="460">
        <v>1</v>
      </c>
      <c r="H2063" s="461" t="s">
        <v>746</v>
      </c>
      <c r="I2063" s="461" t="s">
        <v>762</v>
      </c>
      <c r="J2063" s="461" t="s">
        <v>700</v>
      </c>
      <c r="K2063" s="594"/>
      <c r="L2063" s="594"/>
      <c r="M2063" s="352">
        <v>2000</v>
      </c>
      <c r="N2063" s="352" t="s">
        <v>703</v>
      </c>
      <c r="O2063" s="460">
        <v>2221</v>
      </c>
      <c r="P2063" s="460" t="s">
        <v>1884</v>
      </c>
      <c r="Q2063" s="460" t="s">
        <v>2531</v>
      </c>
      <c r="R2063" s="460">
        <v>2121</v>
      </c>
      <c r="S2063" s="460" t="s">
        <v>2265</v>
      </c>
      <c r="T2063" s="462">
        <v>1</v>
      </c>
      <c r="U2063" s="460" t="s">
        <v>2265</v>
      </c>
      <c r="V2063" s="475">
        <v>0</v>
      </c>
      <c r="W2063" s="463" t="s">
        <v>2268</v>
      </c>
      <c r="X2063" s="463" t="s">
        <v>2268</v>
      </c>
      <c r="Y2063" s="463" t="s">
        <v>2290</v>
      </c>
      <c r="Z2063" s="463"/>
      <c r="AA2063" s="463"/>
      <c r="AB2063" s="464">
        <v>0</v>
      </c>
      <c r="AC2063" s="465">
        <v>0</v>
      </c>
      <c r="AD2063" s="465">
        <v>0</v>
      </c>
      <c r="AE2063" s="476">
        <v>0</v>
      </c>
      <c r="AF2063" s="467">
        <v>0</v>
      </c>
      <c r="AG2063" s="468">
        <v>0</v>
      </c>
      <c r="AH2063" s="218">
        <v>0</v>
      </c>
      <c r="AI2063" s="470">
        <v>0</v>
      </c>
      <c r="AJ2063" s="471">
        <v>0</v>
      </c>
      <c r="AK2063" s="218">
        <v>0</v>
      </c>
      <c r="AL2063" s="470">
        <v>0</v>
      </c>
      <c r="AM2063" s="471">
        <v>0</v>
      </c>
      <c r="AN2063" s="477">
        <v>0</v>
      </c>
      <c r="AO2063" s="473">
        <v>0</v>
      </c>
      <c r="AP2063" s="474">
        <v>0</v>
      </c>
      <c r="AQ2063" s="352"/>
      <c r="AR2063" s="352"/>
      <c r="AS2063" s="352"/>
      <c r="AT2063" s="352"/>
      <c r="AU2063" s="352"/>
      <c r="AV2063" s="352"/>
      <c r="AW2063" s="352" t="s">
        <v>254</v>
      </c>
    </row>
    <row r="2064" spans="2:49" x14ac:dyDescent="0.2">
      <c r="B2064" s="460" t="s">
        <v>2976</v>
      </c>
      <c r="C2064" s="460">
        <v>2221</v>
      </c>
      <c r="D2064" s="460" t="s">
        <v>2285</v>
      </c>
      <c r="E2064" s="460" t="s">
        <v>2271</v>
      </c>
      <c r="F2064" s="460">
        <v>2</v>
      </c>
      <c r="G2064" s="460">
        <v>1</v>
      </c>
      <c r="H2064" s="461" t="s">
        <v>746</v>
      </c>
      <c r="I2064" s="461" t="s">
        <v>762</v>
      </c>
      <c r="J2064" s="461" t="s">
        <v>700</v>
      </c>
      <c r="K2064" s="594"/>
      <c r="L2064" s="594"/>
      <c r="M2064" s="352">
        <v>2000</v>
      </c>
      <c r="N2064" s="352" t="s">
        <v>703</v>
      </c>
      <c r="O2064" s="460">
        <v>2221</v>
      </c>
      <c r="P2064" s="460" t="s">
        <v>1884</v>
      </c>
      <c r="Q2064" s="460" t="s">
        <v>2531</v>
      </c>
      <c r="R2064" s="460">
        <v>2121</v>
      </c>
      <c r="S2064" s="460" t="s">
        <v>2265</v>
      </c>
      <c r="T2064" s="462">
        <v>1</v>
      </c>
      <c r="U2064" s="460" t="s">
        <v>2271</v>
      </c>
      <c r="V2064" s="475">
        <v>0</v>
      </c>
      <c r="W2064" s="463" t="s">
        <v>2268</v>
      </c>
      <c r="X2064" s="463" t="s">
        <v>2268</v>
      </c>
      <c r="Y2064" s="463" t="s">
        <v>2290</v>
      </c>
      <c r="Z2064" s="463"/>
      <c r="AA2064" s="463"/>
      <c r="AB2064" s="464">
        <v>0</v>
      </c>
      <c r="AC2064" s="465">
        <v>0</v>
      </c>
      <c r="AD2064" s="465">
        <v>0</v>
      </c>
      <c r="AE2064" s="476">
        <v>0</v>
      </c>
      <c r="AF2064" s="467">
        <v>0</v>
      </c>
      <c r="AG2064" s="468">
        <v>0</v>
      </c>
      <c r="AH2064" s="218">
        <v>0</v>
      </c>
      <c r="AI2064" s="470">
        <v>0</v>
      </c>
      <c r="AJ2064" s="471">
        <v>0</v>
      </c>
      <c r="AK2064" s="218">
        <v>0</v>
      </c>
      <c r="AL2064" s="470">
        <v>0</v>
      </c>
      <c r="AM2064" s="471">
        <v>0</v>
      </c>
      <c r="AN2064" s="477">
        <v>0</v>
      </c>
      <c r="AO2064" s="473">
        <v>0</v>
      </c>
      <c r="AP2064" s="474">
        <v>0</v>
      </c>
      <c r="AQ2064" s="352"/>
      <c r="AR2064" s="352"/>
      <c r="AS2064" s="352"/>
      <c r="AT2064" s="352"/>
      <c r="AU2064" s="352"/>
      <c r="AV2064" s="352"/>
      <c r="AW2064" s="352" t="s">
        <v>254</v>
      </c>
    </row>
    <row r="2065" spans="2:49" x14ac:dyDescent="0.2">
      <c r="B2065" s="460" t="s">
        <v>2977</v>
      </c>
      <c r="C2065" s="460">
        <v>2221</v>
      </c>
      <c r="D2065" s="460" t="s">
        <v>2286</v>
      </c>
      <c r="E2065" s="460" t="s">
        <v>2274</v>
      </c>
      <c r="F2065" s="460">
        <v>3</v>
      </c>
      <c r="G2065" s="460">
        <v>1</v>
      </c>
      <c r="H2065" s="461" t="s">
        <v>746</v>
      </c>
      <c r="I2065" s="461" t="s">
        <v>762</v>
      </c>
      <c r="J2065" s="461" t="s">
        <v>700</v>
      </c>
      <c r="K2065" s="594"/>
      <c r="L2065" s="594"/>
      <c r="M2065" s="352">
        <v>2000</v>
      </c>
      <c r="N2065" s="352" t="s">
        <v>703</v>
      </c>
      <c r="O2065" s="460">
        <v>2221</v>
      </c>
      <c r="P2065" s="460" t="s">
        <v>1884</v>
      </c>
      <c r="Q2065" s="460" t="s">
        <v>2531</v>
      </c>
      <c r="R2065" s="460">
        <v>2121</v>
      </c>
      <c r="S2065" s="460" t="s">
        <v>2265</v>
      </c>
      <c r="T2065" s="462">
        <v>0.74223365950407583</v>
      </c>
      <c r="U2065" s="460" t="s">
        <v>2274</v>
      </c>
      <c r="V2065" s="475">
        <v>0</v>
      </c>
      <c r="W2065" s="463" t="s">
        <v>2268</v>
      </c>
      <c r="X2065" s="463" t="s">
        <v>2268</v>
      </c>
      <c r="Y2065" s="463" t="s">
        <v>2290</v>
      </c>
      <c r="Z2065" s="463"/>
      <c r="AA2065" s="463"/>
      <c r="AB2065" s="464">
        <v>0</v>
      </c>
      <c r="AC2065" s="465">
        <v>0</v>
      </c>
      <c r="AD2065" s="465">
        <v>0</v>
      </c>
      <c r="AE2065" s="476">
        <v>0</v>
      </c>
      <c r="AF2065" s="467">
        <v>0</v>
      </c>
      <c r="AG2065" s="468">
        <v>0</v>
      </c>
      <c r="AH2065" s="218">
        <v>0</v>
      </c>
      <c r="AI2065" s="470">
        <v>0</v>
      </c>
      <c r="AJ2065" s="471">
        <v>0</v>
      </c>
      <c r="AK2065" s="218">
        <v>0</v>
      </c>
      <c r="AL2065" s="470">
        <v>0</v>
      </c>
      <c r="AM2065" s="471">
        <v>0</v>
      </c>
      <c r="AN2065" s="477">
        <v>0</v>
      </c>
      <c r="AO2065" s="473">
        <v>0</v>
      </c>
      <c r="AP2065" s="474">
        <v>0</v>
      </c>
      <c r="AQ2065" s="352"/>
      <c r="AR2065" s="352"/>
      <c r="AS2065" s="352"/>
      <c r="AT2065" s="352"/>
      <c r="AU2065" s="352"/>
      <c r="AV2065" s="352"/>
      <c r="AW2065" s="352" t="s">
        <v>254</v>
      </c>
    </row>
    <row r="2066" spans="2:49" x14ac:dyDescent="0.2">
      <c r="B2066" s="460" t="s">
        <v>2978</v>
      </c>
      <c r="C2066" s="460">
        <v>2221</v>
      </c>
      <c r="D2066" s="460" t="s">
        <v>2287</v>
      </c>
      <c r="E2066" s="460" t="s">
        <v>2277</v>
      </c>
      <c r="F2066" s="460">
        <v>4</v>
      </c>
      <c r="G2066" s="460">
        <v>1</v>
      </c>
      <c r="H2066" s="461" t="s">
        <v>746</v>
      </c>
      <c r="I2066" s="461" t="s">
        <v>762</v>
      </c>
      <c r="J2066" s="461" t="s">
        <v>700</v>
      </c>
      <c r="K2066" s="594"/>
      <c r="L2066" s="594"/>
      <c r="M2066" s="352">
        <v>2000</v>
      </c>
      <c r="N2066" s="352" t="s">
        <v>703</v>
      </c>
      <c r="O2066" s="460">
        <v>2221</v>
      </c>
      <c r="P2066" s="460" t="s">
        <v>1884</v>
      </c>
      <c r="Q2066" s="460" t="s">
        <v>2531</v>
      </c>
      <c r="R2066" s="460">
        <v>2121</v>
      </c>
      <c r="S2066" s="460" t="s">
        <v>2277</v>
      </c>
      <c r="T2066" s="462">
        <v>1</v>
      </c>
      <c r="U2066" s="460" t="s">
        <v>2277</v>
      </c>
      <c r="V2066" s="475">
        <v>0</v>
      </c>
      <c r="W2066" s="463" t="s">
        <v>2268</v>
      </c>
      <c r="X2066" s="463" t="s">
        <v>2268</v>
      </c>
      <c r="Y2066" s="463" t="s">
        <v>2290</v>
      </c>
      <c r="Z2066" s="463"/>
      <c r="AA2066" s="463"/>
      <c r="AB2066" s="464">
        <v>0</v>
      </c>
      <c r="AC2066" s="465">
        <v>0</v>
      </c>
      <c r="AD2066" s="465">
        <v>0</v>
      </c>
      <c r="AE2066" s="476">
        <v>0</v>
      </c>
      <c r="AF2066" s="467">
        <v>0</v>
      </c>
      <c r="AG2066" s="468">
        <v>0</v>
      </c>
      <c r="AH2066" s="218">
        <v>0</v>
      </c>
      <c r="AI2066" s="470">
        <v>0</v>
      </c>
      <c r="AJ2066" s="471">
        <v>0</v>
      </c>
      <c r="AK2066" s="218">
        <v>0</v>
      </c>
      <c r="AL2066" s="470">
        <v>0</v>
      </c>
      <c r="AM2066" s="471">
        <v>0</v>
      </c>
      <c r="AN2066" s="477">
        <v>0</v>
      </c>
      <c r="AO2066" s="473">
        <v>0</v>
      </c>
      <c r="AP2066" s="474">
        <v>0</v>
      </c>
      <c r="AQ2066" s="352"/>
      <c r="AR2066" s="352"/>
      <c r="AS2066" s="352"/>
      <c r="AT2066" s="352"/>
      <c r="AU2066" s="352"/>
      <c r="AV2066" s="352"/>
      <c r="AW2066" s="352" t="s">
        <v>254</v>
      </c>
    </row>
    <row r="2067" spans="2:49" x14ac:dyDescent="0.2">
      <c r="B2067" s="460" t="s">
        <v>2975</v>
      </c>
      <c r="C2067" s="460">
        <v>2221</v>
      </c>
      <c r="D2067" s="460" t="s">
        <v>2288</v>
      </c>
      <c r="E2067" s="460" t="s">
        <v>2265</v>
      </c>
      <c r="F2067" s="460">
        <v>1</v>
      </c>
      <c r="G2067" s="460">
        <v>1</v>
      </c>
      <c r="H2067" s="461" t="s">
        <v>748</v>
      </c>
      <c r="I2067" s="461" t="s">
        <v>765</v>
      </c>
      <c r="J2067" s="461" t="s">
        <v>700</v>
      </c>
      <c r="K2067" s="594"/>
      <c r="L2067" s="594"/>
      <c r="M2067" s="352">
        <v>2000</v>
      </c>
      <c r="N2067" s="352" t="s">
        <v>703</v>
      </c>
      <c r="O2067" s="460">
        <v>2221</v>
      </c>
      <c r="P2067" s="460" t="s">
        <v>1884</v>
      </c>
      <c r="Q2067" s="460" t="s">
        <v>2527</v>
      </c>
      <c r="R2067" s="460">
        <v>2121</v>
      </c>
      <c r="S2067" s="460" t="s">
        <v>2265</v>
      </c>
      <c r="T2067" s="462">
        <v>1</v>
      </c>
      <c r="U2067" s="460" t="s">
        <v>2265</v>
      </c>
      <c r="V2067" s="475">
        <v>0</v>
      </c>
      <c r="W2067" s="463" t="s">
        <v>2268</v>
      </c>
      <c r="X2067" s="463" t="s">
        <v>2268</v>
      </c>
      <c r="Y2067" s="463" t="s">
        <v>2267</v>
      </c>
      <c r="Z2067" s="463"/>
      <c r="AA2067" s="463"/>
      <c r="AB2067" s="464">
        <v>0</v>
      </c>
      <c r="AC2067" s="465">
        <v>0</v>
      </c>
      <c r="AD2067" s="465">
        <v>0</v>
      </c>
      <c r="AE2067" s="476">
        <v>0</v>
      </c>
      <c r="AF2067" s="467">
        <v>0</v>
      </c>
      <c r="AG2067" s="468">
        <v>0</v>
      </c>
      <c r="AH2067" s="218">
        <v>0</v>
      </c>
      <c r="AI2067" s="470">
        <v>0</v>
      </c>
      <c r="AJ2067" s="471">
        <v>0</v>
      </c>
      <c r="AK2067" s="218">
        <v>0</v>
      </c>
      <c r="AL2067" s="470">
        <v>0</v>
      </c>
      <c r="AM2067" s="471">
        <v>0</v>
      </c>
      <c r="AN2067" s="477">
        <v>689.43012775461307</v>
      </c>
      <c r="AO2067" s="473">
        <v>0.60332411112119988</v>
      </c>
      <c r="AP2067" s="474">
        <v>4.2814032927913186E-2</v>
      </c>
      <c r="AQ2067" s="352"/>
      <c r="AR2067" s="352"/>
      <c r="AS2067" s="352"/>
      <c r="AT2067" s="352"/>
      <c r="AU2067" s="352"/>
      <c r="AV2067" s="352"/>
      <c r="AW2067" s="352" t="s">
        <v>254</v>
      </c>
    </row>
    <row r="2068" spans="2:49" x14ac:dyDescent="0.2">
      <c r="B2068" s="460" t="s">
        <v>2976</v>
      </c>
      <c r="C2068" s="460">
        <v>2221</v>
      </c>
      <c r="D2068" s="460" t="s">
        <v>2291</v>
      </c>
      <c r="E2068" s="460" t="s">
        <v>2271</v>
      </c>
      <c r="F2068" s="460">
        <v>2</v>
      </c>
      <c r="G2068" s="460">
        <v>1</v>
      </c>
      <c r="H2068" s="461" t="s">
        <v>748</v>
      </c>
      <c r="I2068" s="461" t="s">
        <v>765</v>
      </c>
      <c r="J2068" s="461" t="s">
        <v>700</v>
      </c>
      <c r="K2068" s="594"/>
      <c r="L2068" s="594"/>
      <c r="M2068" s="352">
        <v>2000</v>
      </c>
      <c r="N2068" s="352" t="s">
        <v>703</v>
      </c>
      <c r="O2068" s="460">
        <v>2221</v>
      </c>
      <c r="P2068" s="460" t="s">
        <v>1884</v>
      </c>
      <c r="Q2068" s="460" t="s">
        <v>2527</v>
      </c>
      <c r="R2068" s="460">
        <v>2121</v>
      </c>
      <c r="S2068" s="460" t="s">
        <v>2265</v>
      </c>
      <c r="T2068" s="462">
        <v>1</v>
      </c>
      <c r="U2068" s="460" t="s">
        <v>2271</v>
      </c>
      <c r="V2068" s="475">
        <v>0</v>
      </c>
      <c r="W2068" s="463" t="s">
        <v>2268</v>
      </c>
      <c r="X2068" s="463" t="s">
        <v>2268</v>
      </c>
      <c r="Y2068" s="463" t="s">
        <v>2267</v>
      </c>
      <c r="Z2068" s="463"/>
      <c r="AA2068" s="463"/>
      <c r="AB2068" s="464">
        <v>0</v>
      </c>
      <c r="AC2068" s="465">
        <v>0</v>
      </c>
      <c r="AD2068" s="465">
        <v>0</v>
      </c>
      <c r="AE2068" s="476">
        <v>0</v>
      </c>
      <c r="AF2068" s="467">
        <v>0</v>
      </c>
      <c r="AG2068" s="468">
        <v>0</v>
      </c>
      <c r="AH2068" s="218">
        <v>0</v>
      </c>
      <c r="AI2068" s="470">
        <v>0</v>
      </c>
      <c r="AJ2068" s="471">
        <v>0</v>
      </c>
      <c r="AK2068" s="218">
        <v>0</v>
      </c>
      <c r="AL2068" s="470">
        <v>0</v>
      </c>
      <c r="AM2068" s="471">
        <v>0</v>
      </c>
      <c r="AN2068" s="477">
        <v>560.75679471490309</v>
      </c>
      <c r="AO2068" s="473">
        <v>0.60332411112119988</v>
      </c>
      <c r="AP2068" s="474">
        <v>3.5666418534597261E-2</v>
      </c>
      <c r="AQ2068" s="352"/>
      <c r="AR2068" s="352"/>
      <c r="AS2068" s="352"/>
      <c r="AT2068" s="352"/>
      <c r="AU2068" s="352"/>
      <c r="AV2068" s="352"/>
      <c r="AW2068" s="352" t="s">
        <v>254</v>
      </c>
    </row>
    <row r="2069" spans="2:49" x14ac:dyDescent="0.2">
      <c r="B2069" s="460" t="s">
        <v>2977</v>
      </c>
      <c r="C2069" s="460">
        <v>2221</v>
      </c>
      <c r="D2069" s="460" t="s">
        <v>2292</v>
      </c>
      <c r="E2069" s="460" t="s">
        <v>2274</v>
      </c>
      <c r="F2069" s="460">
        <v>3</v>
      </c>
      <c r="G2069" s="460">
        <v>1</v>
      </c>
      <c r="H2069" s="461" t="s">
        <v>748</v>
      </c>
      <c r="I2069" s="461" t="s">
        <v>765</v>
      </c>
      <c r="J2069" s="461" t="s">
        <v>700</v>
      </c>
      <c r="K2069" s="594"/>
      <c r="L2069" s="594"/>
      <c r="M2069" s="352">
        <v>2000</v>
      </c>
      <c r="N2069" s="352" t="s">
        <v>703</v>
      </c>
      <c r="O2069" s="460">
        <v>2221</v>
      </c>
      <c r="P2069" s="460" t="s">
        <v>1884</v>
      </c>
      <c r="Q2069" s="460" t="s">
        <v>2527</v>
      </c>
      <c r="R2069" s="460">
        <v>2121</v>
      </c>
      <c r="S2069" s="460" t="s">
        <v>2265</v>
      </c>
      <c r="T2069" s="462">
        <v>0.74223365950407583</v>
      </c>
      <c r="U2069" s="460" t="s">
        <v>2274</v>
      </c>
      <c r="V2069" s="475">
        <v>0</v>
      </c>
      <c r="W2069" s="463" t="s">
        <v>2268</v>
      </c>
      <c r="X2069" s="463" t="s">
        <v>2268</v>
      </c>
      <c r="Y2069" s="463" t="s">
        <v>2267</v>
      </c>
      <c r="Z2069" s="463"/>
      <c r="AA2069" s="463"/>
      <c r="AB2069" s="464">
        <v>0</v>
      </c>
      <c r="AC2069" s="465">
        <v>0</v>
      </c>
      <c r="AD2069" s="465">
        <v>0</v>
      </c>
      <c r="AE2069" s="476">
        <v>0</v>
      </c>
      <c r="AF2069" s="467">
        <v>0</v>
      </c>
      <c r="AG2069" s="468">
        <v>0</v>
      </c>
      <c r="AH2069" s="218">
        <v>0</v>
      </c>
      <c r="AI2069" s="470">
        <v>0</v>
      </c>
      <c r="AJ2069" s="471">
        <v>0</v>
      </c>
      <c r="AK2069" s="218">
        <v>0</v>
      </c>
      <c r="AL2069" s="470">
        <v>0</v>
      </c>
      <c r="AM2069" s="471">
        <v>0</v>
      </c>
      <c r="AN2069" s="477">
        <v>283.5449862731856</v>
      </c>
      <c r="AO2069" s="473">
        <v>0.44780746286453188</v>
      </c>
      <c r="AP2069" s="474">
        <v>3.9922223721108714E-2</v>
      </c>
      <c r="AQ2069" s="352"/>
      <c r="AR2069" s="352"/>
      <c r="AS2069" s="352"/>
      <c r="AT2069" s="352"/>
      <c r="AU2069" s="352"/>
      <c r="AV2069" s="352"/>
      <c r="AW2069" s="352" t="s">
        <v>254</v>
      </c>
    </row>
    <row r="2070" spans="2:49" x14ac:dyDescent="0.2">
      <c r="B2070" s="460" t="s">
        <v>2978</v>
      </c>
      <c r="C2070" s="460">
        <v>2221</v>
      </c>
      <c r="D2070" s="460" t="s">
        <v>2293</v>
      </c>
      <c r="E2070" s="460" t="s">
        <v>2277</v>
      </c>
      <c r="F2070" s="460">
        <v>4</v>
      </c>
      <c r="G2070" s="460">
        <v>1</v>
      </c>
      <c r="H2070" s="461" t="s">
        <v>748</v>
      </c>
      <c r="I2070" s="461" t="s">
        <v>765</v>
      </c>
      <c r="J2070" s="461" t="s">
        <v>700</v>
      </c>
      <c r="K2070" s="594"/>
      <c r="L2070" s="594"/>
      <c r="M2070" s="352">
        <v>2000</v>
      </c>
      <c r="N2070" s="352" t="s">
        <v>703</v>
      </c>
      <c r="O2070" s="460">
        <v>2221</v>
      </c>
      <c r="P2070" s="460" t="s">
        <v>1884</v>
      </c>
      <c r="Q2070" s="460" t="s">
        <v>2527</v>
      </c>
      <c r="R2070" s="460">
        <v>2121</v>
      </c>
      <c r="S2070" s="460" t="s">
        <v>2277</v>
      </c>
      <c r="T2070" s="462">
        <v>1</v>
      </c>
      <c r="U2070" s="460" t="s">
        <v>2277</v>
      </c>
      <c r="V2070" s="475">
        <v>0</v>
      </c>
      <c r="W2070" s="463" t="s">
        <v>2268</v>
      </c>
      <c r="X2070" s="463" t="s">
        <v>2268</v>
      </c>
      <c r="Y2070" s="463" t="s">
        <v>2503</v>
      </c>
      <c r="Z2070" s="463"/>
      <c r="AA2070" s="463"/>
      <c r="AB2070" s="464">
        <v>0</v>
      </c>
      <c r="AC2070" s="465">
        <v>0</v>
      </c>
      <c r="AD2070" s="465">
        <v>0</v>
      </c>
      <c r="AE2070" s="476">
        <v>0</v>
      </c>
      <c r="AF2070" s="467">
        <v>0</v>
      </c>
      <c r="AG2070" s="468">
        <v>0</v>
      </c>
      <c r="AH2070" s="218">
        <v>0</v>
      </c>
      <c r="AI2070" s="470">
        <v>0</v>
      </c>
      <c r="AJ2070" s="471">
        <v>0</v>
      </c>
      <c r="AK2070" s="218">
        <v>0</v>
      </c>
      <c r="AL2070" s="470">
        <v>0</v>
      </c>
      <c r="AM2070" s="471">
        <v>0</v>
      </c>
      <c r="AN2070" s="477">
        <v>0.24908548184366094</v>
      </c>
      <c r="AO2070" s="473">
        <v>3.4725547248969595E-4</v>
      </c>
      <c r="AP2070" s="474">
        <v>6.0144599726105596E-3</v>
      </c>
      <c r="AQ2070" s="352"/>
      <c r="AR2070" s="352"/>
      <c r="AS2070" s="352"/>
      <c r="AT2070" s="352"/>
      <c r="AU2070" s="352"/>
      <c r="AV2070" s="352"/>
      <c r="AW2070" s="352" t="s">
        <v>254</v>
      </c>
    </row>
    <row r="2071" spans="2:49" x14ac:dyDescent="0.2">
      <c r="B2071" s="460" t="s">
        <v>2979</v>
      </c>
      <c r="C2071" s="460">
        <v>2221</v>
      </c>
      <c r="D2071" s="460" t="s">
        <v>2295</v>
      </c>
      <c r="E2071" s="460" t="s">
        <v>2296</v>
      </c>
      <c r="F2071" s="460">
        <v>1</v>
      </c>
      <c r="G2071" s="460">
        <v>2</v>
      </c>
      <c r="H2071" s="461" t="s">
        <v>700</v>
      </c>
      <c r="I2071" s="461" t="s">
        <v>872</v>
      </c>
      <c r="J2071" s="461" t="s">
        <v>700</v>
      </c>
      <c r="K2071" s="594"/>
      <c r="L2071" s="594"/>
      <c r="M2071" s="352">
        <v>2000</v>
      </c>
      <c r="N2071" s="352" t="s">
        <v>703</v>
      </c>
      <c r="O2071" s="460">
        <v>2221</v>
      </c>
      <c r="P2071" s="460" t="s">
        <v>1884</v>
      </c>
      <c r="Q2071" s="460" t="s">
        <v>2527</v>
      </c>
      <c r="R2071" s="460">
        <v>2121</v>
      </c>
      <c r="S2071" s="460" t="s">
        <v>2296</v>
      </c>
      <c r="T2071" s="462">
        <v>1</v>
      </c>
      <c r="U2071" s="460" t="s">
        <v>2296</v>
      </c>
      <c r="V2071" s="475">
        <v>0</v>
      </c>
      <c r="W2071" s="463" t="s">
        <v>2503</v>
      </c>
      <c r="X2071" s="463" t="s">
        <v>2267</v>
      </c>
      <c r="Y2071" s="463" t="s">
        <v>2268</v>
      </c>
      <c r="Z2071" s="463"/>
      <c r="AA2071" s="463"/>
      <c r="AB2071" s="464">
        <v>68.295667176980317</v>
      </c>
      <c r="AC2071" s="465">
        <v>0.10618133130323225</v>
      </c>
      <c r="AD2071" s="465">
        <v>3.9894044040611762E-3</v>
      </c>
      <c r="AE2071" s="476">
        <v>40.977400306188187</v>
      </c>
      <c r="AF2071" s="467">
        <v>6.3708798781939344E-2</v>
      </c>
      <c r="AG2071" s="468">
        <v>2.6606641889230695E-3</v>
      </c>
      <c r="AH2071" s="218">
        <v>205.11233140549416</v>
      </c>
      <c r="AI2071" s="470">
        <v>0.31889432105417648</v>
      </c>
      <c r="AJ2071" s="471">
        <v>1.2235636334699962E-2</v>
      </c>
      <c r="AK2071" s="218">
        <v>205.11233140549416</v>
      </c>
      <c r="AL2071" s="470">
        <v>0.31889432105417648</v>
      </c>
      <c r="AM2071" s="471">
        <v>1.2235636334699962E-2</v>
      </c>
      <c r="AN2071" s="477">
        <v>0</v>
      </c>
      <c r="AO2071" s="473">
        <v>0</v>
      </c>
      <c r="AP2071" s="474">
        <v>0</v>
      </c>
      <c r="AQ2071" s="352"/>
      <c r="AR2071" s="352"/>
      <c r="AS2071" s="352"/>
      <c r="AT2071" s="352"/>
      <c r="AU2071" s="352"/>
      <c r="AV2071" s="352"/>
      <c r="AW2071" s="352" t="s">
        <v>254</v>
      </c>
    </row>
    <row r="2072" spans="2:49" x14ac:dyDescent="0.2">
      <c r="B2072" s="460" t="s">
        <v>2980</v>
      </c>
      <c r="C2072" s="460">
        <v>2221</v>
      </c>
      <c r="D2072" s="460" t="s">
        <v>2298</v>
      </c>
      <c r="E2072" s="460" t="s">
        <v>2299</v>
      </c>
      <c r="F2072" s="460">
        <v>2</v>
      </c>
      <c r="G2072" s="460">
        <v>2</v>
      </c>
      <c r="H2072" s="461" t="s">
        <v>700</v>
      </c>
      <c r="I2072" s="461" t="s">
        <v>872</v>
      </c>
      <c r="J2072" s="461" t="s">
        <v>700</v>
      </c>
      <c r="K2072" s="594"/>
      <c r="L2072" s="594"/>
      <c r="M2072" s="352">
        <v>2000</v>
      </c>
      <c r="N2072" s="352" t="s">
        <v>703</v>
      </c>
      <c r="O2072" s="460">
        <v>2221</v>
      </c>
      <c r="P2072" s="460" t="s">
        <v>1884</v>
      </c>
      <c r="Q2072" s="460" t="s">
        <v>2527</v>
      </c>
      <c r="R2072" s="460">
        <v>2121</v>
      </c>
      <c r="S2072" s="460" t="s">
        <v>2296</v>
      </c>
      <c r="T2072" s="462">
        <v>0.55517361979372948</v>
      </c>
      <c r="U2072" s="460" t="s">
        <v>2299</v>
      </c>
      <c r="V2072" s="475">
        <v>0</v>
      </c>
      <c r="W2072" s="463" t="s">
        <v>2503</v>
      </c>
      <c r="X2072" s="463" t="s">
        <v>2267</v>
      </c>
      <c r="Y2072" s="463" t="s">
        <v>2268</v>
      </c>
      <c r="Z2072" s="463"/>
      <c r="AA2072" s="463"/>
      <c r="AB2072" s="464">
        <v>13.12422137466649</v>
      </c>
      <c r="AC2072" s="465">
        <v>3.9040728190747893E-2</v>
      </c>
      <c r="AD2072" s="465">
        <v>3.9711194721290212E-3</v>
      </c>
      <c r="AE2072" s="476">
        <v>7.8745328247998945</v>
      </c>
      <c r="AF2072" s="467">
        <v>2.3424436914448735E-2</v>
      </c>
      <c r="AG2072" s="468">
        <v>2.6738175549465551E-3</v>
      </c>
      <c r="AH2072" s="218">
        <v>59.515658697999463</v>
      </c>
      <c r="AI2072" s="470">
        <v>0.17704171455131087</v>
      </c>
      <c r="AJ2072" s="471">
        <v>1.401519835985598E-2</v>
      </c>
      <c r="AK2072" s="218">
        <v>59.515658697999463</v>
      </c>
      <c r="AL2072" s="470">
        <v>0.17704171455131087</v>
      </c>
      <c r="AM2072" s="471">
        <v>1.401519835985598E-2</v>
      </c>
      <c r="AN2072" s="477">
        <v>0</v>
      </c>
      <c r="AO2072" s="473">
        <v>0</v>
      </c>
      <c r="AP2072" s="474">
        <v>0</v>
      </c>
      <c r="AQ2072" s="352"/>
      <c r="AR2072" s="352"/>
      <c r="AS2072" s="352"/>
      <c r="AT2072" s="352"/>
      <c r="AU2072" s="352"/>
      <c r="AV2072" s="352"/>
      <c r="AW2072" s="352" t="s">
        <v>254</v>
      </c>
    </row>
    <row r="2073" spans="2:49" x14ac:dyDescent="0.2">
      <c r="B2073" s="460" t="s">
        <v>2981</v>
      </c>
      <c r="C2073" s="460">
        <v>2221</v>
      </c>
      <c r="D2073" s="460" t="s">
        <v>2301</v>
      </c>
      <c r="E2073" s="460" t="s">
        <v>2302</v>
      </c>
      <c r="F2073" s="460">
        <v>3</v>
      </c>
      <c r="G2073" s="460">
        <v>2</v>
      </c>
      <c r="H2073" s="461" t="s">
        <v>700</v>
      </c>
      <c r="I2073" s="461" t="s">
        <v>872</v>
      </c>
      <c r="J2073" s="461" t="s">
        <v>700</v>
      </c>
      <c r="K2073" s="594"/>
      <c r="L2073" s="594"/>
      <c r="M2073" s="352">
        <v>2000</v>
      </c>
      <c r="N2073" s="352" t="s">
        <v>703</v>
      </c>
      <c r="O2073" s="460">
        <v>2221</v>
      </c>
      <c r="P2073" s="460" t="s">
        <v>1884</v>
      </c>
      <c r="Q2073" s="460" t="s">
        <v>2527</v>
      </c>
      <c r="R2073" s="460">
        <v>2121</v>
      </c>
      <c r="S2073" s="460" t="s">
        <v>2296</v>
      </c>
      <c r="T2073" s="462">
        <v>0.28481449642268464</v>
      </c>
      <c r="U2073" s="460" t="s">
        <v>2302</v>
      </c>
      <c r="V2073" s="475">
        <v>0</v>
      </c>
      <c r="W2073" s="463" t="s">
        <v>2503</v>
      </c>
      <c r="X2073" s="463" t="s">
        <v>2267</v>
      </c>
      <c r="Y2073" s="463" t="s">
        <v>2268</v>
      </c>
      <c r="Z2073" s="463"/>
      <c r="AA2073" s="463"/>
      <c r="AB2073" s="464">
        <v>2.0371589737449072</v>
      </c>
      <c r="AC2073" s="465">
        <v>1.7368364650360384E-2</v>
      </c>
      <c r="AD2073" s="465">
        <v>3.9625550415944835E-3</v>
      </c>
      <c r="AE2073" s="476">
        <v>1.2222953842469442</v>
      </c>
      <c r="AF2073" s="467">
        <v>1.042101879021623E-2</v>
      </c>
      <c r="AG2073" s="468">
        <v>2.6828997227577333E-3</v>
      </c>
      <c r="AH2073" s="218">
        <v>10.653072145753493</v>
      </c>
      <c r="AI2073" s="470">
        <v>9.0825725463099194E-2</v>
      </c>
      <c r="AJ2073" s="471">
        <v>1.1059155775945365E-2</v>
      </c>
      <c r="AK2073" s="218">
        <v>10.653072145753493</v>
      </c>
      <c r="AL2073" s="470">
        <v>9.0825725463099194E-2</v>
      </c>
      <c r="AM2073" s="471">
        <v>1.1059155775945365E-2</v>
      </c>
      <c r="AN2073" s="477">
        <v>0</v>
      </c>
      <c r="AO2073" s="473">
        <v>0</v>
      </c>
      <c r="AP2073" s="474">
        <v>0</v>
      </c>
      <c r="AQ2073" s="352"/>
      <c r="AR2073" s="352"/>
      <c r="AS2073" s="352"/>
      <c r="AT2073" s="352"/>
      <c r="AU2073" s="352"/>
      <c r="AV2073" s="352"/>
      <c r="AW2073" s="352" t="s">
        <v>254</v>
      </c>
    </row>
    <row r="2074" spans="2:49" x14ac:dyDescent="0.2">
      <c r="B2074" s="460" t="s">
        <v>2982</v>
      </c>
      <c r="C2074" s="460">
        <v>2221</v>
      </c>
      <c r="D2074" s="460" t="s">
        <v>2304</v>
      </c>
      <c r="E2074" s="460" t="s">
        <v>2305</v>
      </c>
      <c r="F2074" s="460">
        <v>4</v>
      </c>
      <c r="G2074" s="460">
        <v>2</v>
      </c>
      <c r="H2074" s="461" t="s">
        <v>700</v>
      </c>
      <c r="I2074" s="461" t="s">
        <v>872</v>
      </c>
      <c r="J2074" s="461" t="s">
        <v>700</v>
      </c>
      <c r="K2074" s="594"/>
      <c r="L2074" s="594"/>
      <c r="M2074" s="352">
        <v>2000</v>
      </c>
      <c r="N2074" s="352" t="s">
        <v>703</v>
      </c>
      <c r="O2074" s="460">
        <v>2221</v>
      </c>
      <c r="P2074" s="460" t="s">
        <v>1884</v>
      </c>
      <c r="Q2074" s="460" t="s">
        <v>2527</v>
      </c>
      <c r="R2074" s="460">
        <v>2121</v>
      </c>
      <c r="S2074" s="460" t="s">
        <v>2305</v>
      </c>
      <c r="T2074" s="462">
        <v>1</v>
      </c>
      <c r="U2074" s="460" t="s">
        <v>2305</v>
      </c>
      <c r="V2074" s="475">
        <v>0</v>
      </c>
      <c r="W2074" s="463" t="s">
        <v>2503</v>
      </c>
      <c r="X2074" s="463" t="s">
        <v>2503</v>
      </c>
      <c r="Y2074" s="463" t="s">
        <v>2268</v>
      </c>
      <c r="Z2074" s="463"/>
      <c r="AA2074" s="463"/>
      <c r="AB2074" s="464">
        <v>5.0029622402553653E-2</v>
      </c>
      <c r="AC2074" s="465">
        <v>3.7620795244858873E-4</v>
      </c>
      <c r="AD2074" s="465">
        <v>3.961000000000001E-3</v>
      </c>
      <c r="AE2074" s="476">
        <v>3.0017773441532187E-2</v>
      </c>
      <c r="AF2074" s="467">
        <v>2.2572477146915322E-4</v>
      </c>
      <c r="AG2074" s="468">
        <v>2.6390223508848017E-3</v>
      </c>
      <c r="AH2074" s="218">
        <v>3.0017773441532187E-2</v>
      </c>
      <c r="AI2074" s="470">
        <v>2.2572477146915322E-4</v>
      </c>
      <c r="AJ2074" s="471">
        <v>2.6280709068260064E-3</v>
      </c>
      <c r="AK2074" s="218">
        <v>3.0017773441532187E-2</v>
      </c>
      <c r="AL2074" s="470">
        <v>2.2572477146915322E-4</v>
      </c>
      <c r="AM2074" s="471">
        <v>2.6280709068260064E-3</v>
      </c>
      <c r="AN2074" s="477">
        <v>0</v>
      </c>
      <c r="AO2074" s="473">
        <v>0</v>
      </c>
      <c r="AP2074" s="474">
        <v>0</v>
      </c>
      <c r="AQ2074" s="352"/>
      <c r="AR2074" s="352"/>
      <c r="AS2074" s="352"/>
      <c r="AT2074" s="352"/>
      <c r="AU2074" s="352"/>
      <c r="AV2074" s="352"/>
      <c r="AW2074" s="352" t="s">
        <v>254</v>
      </c>
    </row>
    <row r="2075" spans="2:49" x14ac:dyDescent="0.2">
      <c r="B2075" s="460" t="s">
        <v>2979</v>
      </c>
      <c r="C2075" s="460">
        <v>2221</v>
      </c>
      <c r="D2075" s="460" t="s">
        <v>2306</v>
      </c>
      <c r="E2075" s="460" t="s">
        <v>2296</v>
      </c>
      <c r="F2075" s="460">
        <v>1</v>
      </c>
      <c r="G2075" s="460">
        <v>2</v>
      </c>
      <c r="H2075" s="461" t="s">
        <v>712</v>
      </c>
      <c r="I2075" s="461" t="s">
        <v>713</v>
      </c>
      <c r="J2075" s="461" t="s">
        <v>712</v>
      </c>
      <c r="K2075" s="594"/>
      <c r="L2075" s="594"/>
      <c r="M2075" s="352">
        <v>2000</v>
      </c>
      <c r="N2075" s="352" t="s">
        <v>703</v>
      </c>
      <c r="O2075" s="460">
        <v>2221</v>
      </c>
      <c r="P2075" s="460" t="s">
        <v>1884</v>
      </c>
      <c r="Q2075" s="460" t="s">
        <v>2280</v>
      </c>
      <c r="R2075" s="460">
        <v>2121</v>
      </c>
      <c r="S2075" s="460" t="s">
        <v>2296</v>
      </c>
      <c r="T2075" s="462">
        <v>1</v>
      </c>
      <c r="U2075" s="460" t="s">
        <v>2296</v>
      </c>
      <c r="V2075" s="475">
        <v>0</v>
      </c>
      <c r="W2075" s="463" t="s">
        <v>713</v>
      </c>
      <c r="X2075" s="463" t="s">
        <v>713</v>
      </c>
      <c r="Y2075" s="463" t="s">
        <v>713</v>
      </c>
      <c r="Z2075" s="463"/>
      <c r="AA2075" s="463"/>
      <c r="AB2075" s="464">
        <v>574.90277777321342</v>
      </c>
      <c r="AC2075" s="465">
        <v>0.89381866869676763</v>
      </c>
      <c r="AD2075" s="465">
        <v>4.9723208323419537E-3</v>
      </c>
      <c r="AE2075" s="476">
        <v>602.22104464400559</v>
      </c>
      <c r="AF2075" s="467">
        <v>0.93629120121806064</v>
      </c>
      <c r="AG2075" s="468">
        <v>5.1323316796208253E-3</v>
      </c>
      <c r="AH2075" s="218">
        <v>438.08611354469963</v>
      </c>
      <c r="AI2075" s="470">
        <v>0.68110567894582352</v>
      </c>
      <c r="AJ2075" s="471">
        <v>3.7773743518579803E-3</v>
      </c>
      <c r="AK2075" s="218">
        <v>438.08611354469963</v>
      </c>
      <c r="AL2075" s="470">
        <v>0.68110567894582352</v>
      </c>
      <c r="AM2075" s="471">
        <v>3.7773743518579803E-3</v>
      </c>
      <c r="AN2075" s="477">
        <v>438.08611354469963</v>
      </c>
      <c r="AO2075" s="473">
        <v>0.68110567894582352</v>
      </c>
      <c r="AP2075" s="474">
        <v>3.7764473321919368E-3</v>
      </c>
      <c r="AQ2075" s="352"/>
      <c r="AR2075" s="352"/>
      <c r="AS2075" s="352"/>
      <c r="AT2075" s="352"/>
      <c r="AU2075" s="352"/>
      <c r="AV2075" s="352"/>
      <c r="AW2075" s="352" t="s">
        <v>254</v>
      </c>
    </row>
    <row r="2076" spans="2:49" x14ac:dyDescent="0.2">
      <c r="B2076" s="460" t="s">
        <v>2980</v>
      </c>
      <c r="C2076" s="460">
        <v>2221</v>
      </c>
      <c r="D2076" s="460" t="s">
        <v>2307</v>
      </c>
      <c r="E2076" s="460" t="s">
        <v>2299</v>
      </c>
      <c r="F2076" s="460">
        <v>2</v>
      </c>
      <c r="G2076" s="460">
        <v>2</v>
      </c>
      <c r="H2076" s="461" t="s">
        <v>712</v>
      </c>
      <c r="I2076" s="461" t="s">
        <v>713</v>
      </c>
      <c r="J2076" s="461" t="s">
        <v>712</v>
      </c>
      <c r="K2076" s="594"/>
      <c r="L2076" s="594"/>
      <c r="M2076" s="352">
        <v>2000</v>
      </c>
      <c r="N2076" s="352" t="s">
        <v>703</v>
      </c>
      <c r="O2076" s="460">
        <v>2221</v>
      </c>
      <c r="P2076" s="460" t="s">
        <v>1884</v>
      </c>
      <c r="Q2076" s="460" t="s">
        <v>2280</v>
      </c>
      <c r="R2076" s="460">
        <v>2121</v>
      </c>
      <c r="S2076" s="460" t="s">
        <v>2296</v>
      </c>
      <c r="T2076" s="462">
        <v>0.55517361979372948</v>
      </c>
      <c r="U2076" s="460" t="s">
        <v>2299</v>
      </c>
      <c r="V2076" s="475">
        <v>0</v>
      </c>
      <c r="W2076" s="463" t="s">
        <v>713</v>
      </c>
      <c r="X2076" s="463" t="s">
        <v>713</v>
      </c>
      <c r="Y2076" s="463" t="s">
        <v>713</v>
      </c>
      <c r="Z2076" s="463"/>
      <c r="AA2076" s="463"/>
      <c r="AB2076" s="464">
        <v>323.0432115313813</v>
      </c>
      <c r="AC2076" s="465">
        <v>0.96095927180925211</v>
      </c>
      <c r="AD2076" s="465">
        <v>3.7365608858188986E-3</v>
      </c>
      <c r="AE2076" s="476">
        <v>328.29290008124792</v>
      </c>
      <c r="AF2076" s="467">
        <v>0.97657556308555127</v>
      </c>
      <c r="AG2076" s="468">
        <v>3.7815421859433945E-3</v>
      </c>
      <c r="AH2076" s="218">
        <v>276.65177420804832</v>
      </c>
      <c r="AI2076" s="470">
        <v>0.8229582854486891</v>
      </c>
      <c r="AJ2076" s="471">
        <v>3.2412248714814426E-3</v>
      </c>
      <c r="AK2076" s="218">
        <v>276.65177420804832</v>
      </c>
      <c r="AL2076" s="470">
        <v>0.8229582854486891</v>
      </c>
      <c r="AM2076" s="471">
        <v>3.2412248714814426E-3</v>
      </c>
      <c r="AN2076" s="477">
        <v>276.65177420804832</v>
      </c>
      <c r="AO2076" s="473">
        <v>0.8229582854486891</v>
      </c>
      <c r="AP2076" s="474">
        <v>3.240815716429785E-3</v>
      </c>
      <c r="AQ2076" s="352"/>
      <c r="AR2076" s="352"/>
      <c r="AS2076" s="352"/>
      <c r="AT2076" s="352"/>
      <c r="AU2076" s="352"/>
      <c r="AV2076" s="352"/>
      <c r="AW2076" s="352" t="s">
        <v>254</v>
      </c>
    </row>
    <row r="2077" spans="2:49" x14ac:dyDescent="0.2">
      <c r="B2077" s="460" t="s">
        <v>2981</v>
      </c>
      <c r="C2077" s="460">
        <v>2221</v>
      </c>
      <c r="D2077" s="460" t="s">
        <v>2308</v>
      </c>
      <c r="E2077" s="460" t="s">
        <v>2302</v>
      </c>
      <c r="F2077" s="460">
        <v>3</v>
      </c>
      <c r="G2077" s="460">
        <v>2</v>
      </c>
      <c r="H2077" s="461" t="s">
        <v>712</v>
      </c>
      <c r="I2077" s="461" t="s">
        <v>713</v>
      </c>
      <c r="J2077" s="461" t="s">
        <v>712</v>
      </c>
      <c r="K2077" s="594"/>
      <c r="L2077" s="594"/>
      <c r="M2077" s="352">
        <v>2000</v>
      </c>
      <c r="N2077" s="352" t="s">
        <v>703</v>
      </c>
      <c r="O2077" s="460">
        <v>2221</v>
      </c>
      <c r="P2077" s="460" t="s">
        <v>1884</v>
      </c>
      <c r="Q2077" s="460" t="s">
        <v>2280</v>
      </c>
      <c r="R2077" s="460">
        <v>2121</v>
      </c>
      <c r="S2077" s="460" t="s">
        <v>2296</v>
      </c>
      <c r="T2077" s="462">
        <v>0.28481449642268464</v>
      </c>
      <c r="U2077" s="460" t="s">
        <v>2302</v>
      </c>
      <c r="V2077" s="475">
        <v>0</v>
      </c>
      <c r="W2077" s="463" t="s">
        <v>713</v>
      </c>
      <c r="X2077" s="463" t="s">
        <v>713</v>
      </c>
      <c r="Y2077" s="463" t="s">
        <v>713</v>
      </c>
      <c r="Z2077" s="463"/>
      <c r="AA2077" s="463"/>
      <c r="AB2077" s="464">
        <v>115.25419313421749</v>
      </c>
      <c r="AC2077" s="465">
        <v>0.9826316353496396</v>
      </c>
      <c r="AD2077" s="465">
        <v>3.3524564695626047E-3</v>
      </c>
      <c r="AE2077" s="476">
        <v>116.06905672371545</v>
      </c>
      <c r="AF2077" s="467">
        <v>0.98957898120978371</v>
      </c>
      <c r="AG2077" s="468">
        <v>3.3704221755790631E-3</v>
      </c>
      <c r="AH2077" s="218">
        <v>106.6382799622089</v>
      </c>
      <c r="AI2077" s="470">
        <v>0.90917427453690081</v>
      </c>
      <c r="AJ2077" s="471">
        <v>3.1429046341751314E-3</v>
      </c>
      <c r="AK2077" s="218">
        <v>106.6382799622089</v>
      </c>
      <c r="AL2077" s="470">
        <v>0.90917427453690081</v>
      </c>
      <c r="AM2077" s="471">
        <v>3.1429046341751314E-3</v>
      </c>
      <c r="AN2077" s="477">
        <v>106.6382799622089</v>
      </c>
      <c r="AO2077" s="473">
        <v>0.90917427453690081</v>
      </c>
      <c r="AP2077" s="474">
        <v>3.1456375642798817E-3</v>
      </c>
      <c r="AQ2077" s="352"/>
      <c r="AR2077" s="352"/>
      <c r="AS2077" s="352"/>
      <c r="AT2077" s="352"/>
      <c r="AU2077" s="352"/>
      <c r="AV2077" s="352"/>
      <c r="AW2077" s="352" t="s">
        <v>254</v>
      </c>
    </row>
    <row r="2078" spans="2:49" x14ac:dyDescent="0.2">
      <c r="B2078" s="460" t="s">
        <v>2982</v>
      </c>
      <c r="C2078" s="460">
        <v>2221</v>
      </c>
      <c r="D2078" s="460" t="s">
        <v>2309</v>
      </c>
      <c r="E2078" s="460" t="s">
        <v>2305</v>
      </c>
      <c r="F2078" s="460">
        <v>4</v>
      </c>
      <c r="G2078" s="460">
        <v>2</v>
      </c>
      <c r="H2078" s="461" t="s">
        <v>712</v>
      </c>
      <c r="I2078" s="461" t="s">
        <v>713</v>
      </c>
      <c r="J2078" s="461" t="s">
        <v>712</v>
      </c>
      <c r="K2078" s="594"/>
      <c r="L2078" s="594"/>
      <c r="M2078" s="352">
        <v>2000</v>
      </c>
      <c r="N2078" s="352" t="s">
        <v>703</v>
      </c>
      <c r="O2078" s="460">
        <v>2221</v>
      </c>
      <c r="P2078" s="460" t="s">
        <v>1884</v>
      </c>
      <c r="Q2078" s="460" t="s">
        <v>2280</v>
      </c>
      <c r="R2078" s="460">
        <v>2121</v>
      </c>
      <c r="S2078" s="460" t="s">
        <v>2305</v>
      </c>
      <c r="T2078" s="462">
        <v>1</v>
      </c>
      <c r="U2078" s="460" t="s">
        <v>2305</v>
      </c>
      <c r="V2078" s="475">
        <v>0</v>
      </c>
      <c r="W2078" s="463" t="s">
        <v>713</v>
      </c>
      <c r="X2078" s="463" t="s">
        <v>713</v>
      </c>
      <c r="Y2078" s="463" t="s">
        <v>713</v>
      </c>
      <c r="Z2078" s="463"/>
      <c r="AA2078" s="463"/>
      <c r="AB2078" s="464">
        <v>132.93392799181223</v>
      </c>
      <c r="AC2078" s="465">
        <v>0.99962379204755147</v>
      </c>
      <c r="AD2078" s="465">
        <v>3.3951195488694081E-3</v>
      </c>
      <c r="AE2078" s="476">
        <v>132.95393984077324</v>
      </c>
      <c r="AF2078" s="467">
        <v>0.9997742752285308</v>
      </c>
      <c r="AG2078" s="468">
        <v>3.3955217299777036E-3</v>
      </c>
      <c r="AH2078" s="218">
        <v>132.95393984077324</v>
      </c>
      <c r="AI2078" s="470">
        <v>0.9997742752285308</v>
      </c>
      <c r="AJ2078" s="471">
        <v>3.395525840358521E-3</v>
      </c>
      <c r="AK2078" s="218">
        <v>132.95393984077324</v>
      </c>
      <c r="AL2078" s="470">
        <v>0.9997742752285308</v>
      </c>
      <c r="AM2078" s="471">
        <v>3.395525840358521E-3</v>
      </c>
      <c r="AN2078" s="477">
        <v>132.96394576525375</v>
      </c>
      <c r="AO2078" s="473">
        <v>0.99984951681902057</v>
      </c>
      <c r="AP2078" s="474">
        <v>3.3957855365215075E-3</v>
      </c>
      <c r="AQ2078" s="352"/>
      <c r="AR2078" s="352"/>
      <c r="AS2078" s="352"/>
      <c r="AT2078" s="352"/>
      <c r="AU2078" s="352"/>
      <c r="AV2078" s="352"/>
      <c r="AW2078" s="352" t="s">
        <v>254</v>
      </c>
    </row>
    <row r="2079" spans="2:49" x14ac:dyDescent="0.2">
      <c r="B2079" s="460" t="s">
        <v>2979</v>
      </c>
      <c r="C2079" s="460">
        <v>2221</v>
      </c>
      <c r="D2079" s="460" t="s">
        <v>2310</v>
      </c>
      <c r="E2079" s="460" t="s">
        <v>2296</v>
      </c>
      <c r="F2079" s="460">
        <v>1</v>
      </c>
      <c r="G2079" s="460">
        <v>2</v>
      </c>
      <c r="H2079" s="461" t="s">
        <v>746</v>
      </c>
      <c r="I2079" s="461" t="s">
        <v>762</v>
      </c>
      <c r="J2079" s="461" t="s">
        <v>700</v>
      </c>
      <c r="K2079" s="594"/>
      <c r="L2079" s="594"/>
      <c r="M2079" s="352">
        <v>2000</v>
      </c>
      <c r="N2079" s="352" t="s">
        <v>703</v>
      </c>
      <c r="O2079" s="460">
        <v>2221</v>
      </c>
      <c r="P2079" s="460" t="s">
        <v>1884</v>
      </c>
      <c r="Q2079" s="460" t="s">
        <v>2531</v>
      </c>
      <c r="R2079" s="460">
        <v>2121</v>
      </c>
      <c r="S2079" s="460" t="s">
        <v>2296</v>
      </c>
      <c r="T2079" s="462">
        <v>1</v>
      </c>
      <c r="U2079" s="460" t="s">
        <v>2296</v>
      </c>
      <c r="V2079" s="475">
        <v>0</v>
      </c>
      <c r="W2079" s="463" t="s">
        <v>2268</v>
      </c>
      <c r="X2079" s="463" t="s">
        <v>2268</v>
      </c>
      <c r="Y2079" s="463" t="s">
        <v>2290</v>
      </c>
      <c r="Z2079" s="463"/>
      <c r="AA2079" s="463"/>
      <c r="AB2079" s="464">
        <v>0</v>
      </c>
      <c r="AC2079" s="465">
        <v>0</v>
      </c>
      <c r="AD2079" s="465">
        <v>0</v>
      </c>
      <c r="AE2079" s="476">
        <v>0</v>
      </c>
      <c r="AF2079" s="467">
        <v>0</v>
      </c>
      <c r="AG2079" s="468">
        <v>0</v>
      </c>
      <c r="AH2079" s="218">
        <v>0</v>
      </c>
      <c r="AI2079" s="470">
        <v>0</v>
      </c>
      <c r="AJ2079" s="471">
        <v>0</v>
      </c>
      <c r="AK2079" s="218">
        <v>0</v>
      </c>
      <c r="AL2079" s="470">
        <v>0</v>
      </c>
      <c r="AM2079" s="471">
        <v>0</v>
      </c>
      <c r="AN2079" s="477">
        <v>0</v>
      </c>
      <c r="AO2079" s="473">
        <v>0</v>
      </c>
      <c r="AP2079" s="474">
        <v>0</v>
      </c>
      <c r="AQ2079" s="352"/>
      <c r="AR2079" s="352"/>
      <c r="AS2079" s="352"/>
      <c r="AT2079" s="352"/>
      <c r="AU2079" s="352"/>
      <c r="AV2079" s="352"/>
      <c r="AW2079" s="352" t="s">
        <v>254</v>
      </c>
    </row>
    <row r="2080" spans="2:49" x14ac:dyDescent="0.2">
      <c r="B2080" s="460" t="s">
        <v>2980</v>
      </c>
      <c r="C2080" s="460">
        <v>2221</v>
      </c>
      <c r="D2080" s="460" t="s">
        <v>2311</v>
      </c>
      <c r="E2080" s="460" t="s">
        <v>2299</v>
      </c>
      <c r="F2080" s="460">
        <v>2</v>
      </c>
      <c r="G2080" s="460">
        <v>2</v>
      </c>
      <c r="H2080" s="461" t="s">
        <v>746</v>
      </c>
      <c r="I2080" s="461" t="s">
        <v>762</v>
      </c>
      <c r="J2080" s="461" t="s">
        <v>700</v>
      </c>
      <c r="K2080" s="594"/>
      <c r="L2080" s="594"/>
      <c r="M2080" s="352">
        <v>2000</v>
      </c>
      <c r="N2080" s="352" t="s">
        <v>703</v>
      </c>
      <c r="O2080" s="460">
        <v>2221</v>
      </c>
      <c r="P2080" s="460" t="s">
        <v>1884</v>
      </c>
      <c r="Q2080" s="460" t="s">
        <v>2531</v>
      </c>
      <c r="R2080" s="460">
        <v>2121</v>
      </c>
      <c r="S2080" s="460" t="s">
        <v>2296</v>
      </c>
      <c r="T2080" s="462">
        <v>0.55517361979372948</v>
      </c>
      <c r="U2080" s="460" t="s">
        <v>2299</v>
      </c>
      <c r="V2080" s="475">
        <v>0</v>
      </c>
      <c r="W2080" s="463" t="s">
        <v>2268</v>
      </c>
      <c r="X2080" s="463" t="s">
        <v>2268</v>
      </c>
      <c r="Y2080" s="463" t="s">
        <v>2290</v>
      </c>
      <c r="Z2080" s="463"/>
      <c r="AA2080" s="463"/>
      <c r="AB2080" s="464">
        <v>0</v>
      </c>
      <c r="AC2080" s="465">
        <v>0</v>
      </c>
      <c r="AD2080" s="465">
        <v>0</v>
      </c>
      <c r="AE2080" s="476">
        <v>0</v>
      </c>
      <c r="AF2080" s="467">
        <v>0</v>
      </c>
      <c r="AG2080" s="468">
        <v>0</v>
      </c>
      <c r="AH2080" s="218">
        <v>0</v>
      </c>
      <c r="AI2080" s="470">
        <v>0</v>
      </c>
      <c r="AJ2080" s="471">
        <v>0</v>
      </c>
      <c r="AK2080" s="218">
        <v>0</v>
      </c>
      <c r="AL2080" s="470">
        <v>0</v>
      </c>
      <c r="AM2080" s="471">
        <v>0</v>
      </c>
      <c r="AN2080" s="477">
        <v>0</v>
      </c>
      <c r="AO2080" s="473">
        <v>0</v>
      </c>
      <c r="AP2080" s="474">
        <v>0</v>
      </c>
      <c r="AQ2080" s="352"/>
      <c r="AR2080" s="352"/>
      <c r="AS2080" s="352"/>
      <c r="AT2080" s="352"/>
      <c r="AU2080" s="352"/>
      <c r="AV2080" s="352"/>
      <c r="AW2080" s="352" t="s">
        <v>254</v>
      </c>
    </row>
    <row r="2081" spans="2:49" x14ac:dyDescent="0.2">
      <c r="B2081" s="460" t="s">
        <v>2981</v>
      </c>
      <c r="C2081" s="460">
        <v>2221</v>
      </c>
      <c r="D2081" s="460" t="s">
        <v>2312</v>
      </c>
      <c r="E2081" s="460" t="s">
        <v>2302</v>
      </c>
      <c r="F2081" s="460">
        <v>3</v>
      </c>
      <c r="G2081" s="460">
        <v>2</v>
      </c>
      <c r="H2081" s="461" t="s">
        <v>746</v>
      </c>
      <c r="I2081" s="461" t="s">
        <v>762</v>
      </c>
      <c r="J2081" s="461" t="s">
        <v>700</v>
      </c>
      <c r="K2081" s="594"/>
      <c r="L2081" s="594"/>
      <c r="M2081" s="352">
        <v>2000</v>
      </c>
      <c r="N2081" s="352" t="s">
        <v>703</v>
      </c>
      <c r="O2081" s="460">
        <v>2221</v>
      </c>
      <c r="P2081" s="460" t="s">
        <v>1884</v>
      </c>
      <c r="Q2081" s="460" t="s">
        <v>2531</v>
      </c>
      <c r="R2081" s="460">
        <v>2121</v>
      </c>
      <c r="S2081" s="460" t="s">
        <v>2296</v>
      </c>
      <c r="T2081" s="462">
        <v>0.28481449642268464</v>
      </c>
      <c r="U2081" s="460" t="s">
        <v>2302</v>
      </c>
      <c r="V2081" s="475">
        <v>0</v>
      </c>
      <c r="W2081" s="463" t="s">
        <v>2268</v>
      </c>
      <c r="X2081" s="463" t="s">
        <v>2268</v>
      </c>
      <c r="Y2081" s="463" t="s">
        <v>2290</v>
      </c>
      <c r="Z2081" s="463"/>
      <c r="AA2081" s="463"/>
      <c r="AB2081" s="464">
        <v>0</v>
      </c>
      <c r="AC2081" s="465">
        <v>0</v>
      </c>
      <c r="AD2081" s="465">
        <v>0</v>
      </c>
      <c r="AE2081" s="476">
        <v>0</v>
      </c>
      <c r="AF2081" s="467">
        <v>0</v>
      </c>
      <c r="AG2081" s="468">
        <v>0</v>
      </c>
      <c r="AH2081" s="218">
        <v>0</v>
      </c>
      <c r="AI2081" s="470">
        <v>0</v>
      </c>
      <c r="AJ2081" s="471">
        <v>0</v>
      </c>
      <c r="AK2081" s="218">
        <v>0</v>
      </c>
      <c r="AL2081" s="470">
        <v>0</v>
      </c>
      <c r="AM2081" s="471">
        <v>0</v>
      </c>
      <c r="AN2081" s="477">
        <v>0</v>
      </c>
      <c r="AO2081" s="473">
        <v>0</v>
      </c>
      <c r="AP2081" s="474">
        <v>0</v>
      </c>
      <c r="AQ2081" s="352"/>
      <c r="AR2081" s="352"/>
      <c r="AS2081" s="352"/>
      <c r="AT2081" s="352"/>
      <c r="AU2081" s="352"/>
      <c r="AV2081" s="352"/>
      <c r="AW2081" s="352" t="s">
        <v>254</v>
      </c>
    </row>
    <row r="2082" spans="2:49" x14ac:dyDescent="0.2">
      <c r="B2082" s="460" t="s">
        <v>2982</v>
      </c>
      <c r="C2082" s="460">
        <v>2221</v>
      </c>
      <c r="D2082" s="460" t="s">
        <v>2313</v>
      </c>
      <c r="E2082" s="460" t="s">
        <v>2305</v>
      </c>
      <c r="F2082" s="460">
        <v>4</v>
      </c>
      <c r="G2082" s="460">
        <v>2</v>
      </c>
      <c r="H2082" s="461" t="s">
        <v>746</v>
      </c>
      <c r="I2082" s="461" t="s">
        <v>762</v>
      </c>
      <c r="J2082" s="461" t="s">
        <v>700</v>
      </c>
      <c r="K2082" s="594"/>
      <c r="L2082" s="594"/>
      <c r="M2082" s="352">
        <v>2000</v>
      </c>
      <c r="N2082" s="352" t="s">
        <v>703</v>
      </c>
      <c r="O2082" s="460">
        <v>2221</v>
      </c>
      <c r="P2082" s="460" t="s">
        <v>1884</v>
      </c>
      <c r="Q2082" s="460" t="s">
        <v>2531</v>
      </c>
      <c r="R2082" s="460">
        <v>2121</v>
      </c>
      <c r="S2082" s="460" t="s">
        <v>2305</v>
      </c>
      <c r="T2082" s="462">
        <v>1</v>
      </c>
      <c r="U2082" s="460" t="s">
        <v>2305</v>
      </c>
      <c r="V2082" s="475">
        <v>0</v>
      </c>
      <c r="W2082" s="463" t="s">
        <v>2268</v>
      </c>
      <c r="X2082" s="463" t="s">
        <v>2268</v>
      </c>
      <c r="Y2082" s="463" t="s">
        <v>2290</v>
      </c>
      <c r="Z2082" s="463"/>
      <c r="AA2082" s="463"/>
      <c r="AB2082" s="464">
        <v>0</v>
      </c>
      <c r="AC2082" s="465">
        <v>0</v>
      </c>
      <c r="AD2082" s="465">
        <v>0</v>
      </c>
      <c r="AE2082" s="476">
        <v>0</v>
      </c>
      <c r="AF2082" s="467">
        <v>0</v>
      </c>
      <c r="AG2082" s="468">
        <v>0</v>
      </c>
      <c r="AH2082" s="218">
        <v>0</v>
      </c>
      <c r="AI2082" s="470">
        <v>0</v>
      </c>
      <c r="AJ2082" s="471">
        <v>0</v>
      </c>
      <c r="AK2082" s="218">
        <v>0</v>
      </c>
      <c r="AL2082" s="470">
        <v>0</v>
      </c>
      <c r="AM2082" s="471">
        <v>0</v>
      </c>
      <c r="AN2082" s="477">
        <v>0</v>
      </c>
      <c r="AO2082" s="473">
        <v>0</v>
      </c>
      <c r="AP2082" s="474">
        <v>0</v>
      </c>
      <c r="AQ2082" s="352"/>
      <c r="AR2082" s="352"/>
      <c r="AS2082" s="352"/>
      <c r="AT2082" s="352"/>
      <c r="AU2082" s="352"/>
      <c r="AV2082" s="352"/>
      <c r="AW2082" s="352" t="s">
        <v>254</v>
      </c>
    </row>
    <row r="2083" spans="2:49" x14ac:dyDescent="0.2">
      <c r="B2083" s="460" t="s">
        <v>2979</v>
      </c>
      <c r="C2083" s="460">
        <v>2221</v>
      </c>
      <c r="D2083" s="460" t="s">
        <v>2314</v>
      </c>
      <c r="E2083" s="460" t="s">
        <v>2296</v>
      </c>
      <c r="F2083" s="460">
        <v>1</v>
      </c>
      <c r="G2083" s="460">
        <v>2</v>
      </c>
      <c r="H2083" s="461" t="s">
        <v>748</v>
      </c>
      <c r="I2083" s="461" t="s">
        <v>765</v>
      </c>
      <c r="J2083" s="461" t="s">
        <v>700</v>
      </c>
      <c r="K2083" s="594"/>
      <c r="L2083" s="594"/>
      <c r="M2083" s="352">
        <v>2000</v>
      </c>
      <c r="N2083" s="352" t="s">
        <v>703</v>
      </c>
      <c r="O2083" s="460">
        <v>2221</v>
      </c>
      <c r="P2083" s="460" t="s">
        <v>1884</v>
      </c>
      <c r="Q2083" s="460" t="s">
        <v>2527</v>
      </c>
      <c r="R2083" s="460">
        <v>2121</v>
      </c>
      <c r="S2083" s="460" t="s">
        <v>2296</v>
      </c>
      <c r="T2083" s="462">
        <v>1</v>
      </c>
      <c r="U2083" s="460" t="s">
        <v>2296</v>
      </c>
      <c r="V2083" s="475">
        <v>0</v>
      </c>
      <c r="W2083" s="463" t="s">
        <v>2268</v>
      </c>
      <c r="X2083" s="463" t="s">
        <v>2268</v>
      </c>
      <c r="Y2083" s="463" t="s">
        <v>2267</v>
      </c>
      <c r="Z2083" s="463"/>
      <c r="AA2083" s="463"/>
      <c r="AB2083" s="464">
        <v>0</v>
      </c>
      <c r="AC2083" s="465">
        <v>0</v>
      </c>
      <c r="AD2083" s="465">
        <v>0</v>
      </c>
      <c r="AE2083" s="476">
        <v>0</v>
      </c>
      <c r="AF2083" s="467">
        <v>0</v>
      </c>
      <c r="AG2083" s="468">
        <v>0</v>
      </c>
      <c r="AH2083" s="218">
        <v>0</v>
      </c>
      <c r="AI2083" s="470">
        <v>0</v>
      </c>
      <c r="AJ2083" s="471">
        <v>0</v>
      </c>
      <c r="AK2083" s="218">
        <v>0</v>
      </c>
      <c r="AL2083" s="470">
        <v>0</v>
      </c>
      <c r="AM2083" s="471">
        <v>0</v>
      </c>
      <c r="AN2083" s="477">
        <v>205.11233140549416</v>
      </c>
      <c r="AO2083" s="473">
        <v>0.31889432105417648</v>
      </c>
      <c r="AP2083" s="474">
        <v>6.2659007705258174E-2</v>
      </c>
      <c r="AQ2083" s="352"/>
      <c r="AR2083" s="352"/>
      <c r="AS2083" s="352"/>
      <c r="AT2083" s="352"/>
      <c r="AU2083" s="352"/>
      <c r="AV2083" s="352"/>
      <c r="AW2083" s="352" t="s">
        <v>254</v>
      </c>
    </row>
    <row r="2084" spans="2:49" x14ac:dyDescent="0.2">
      <c r="B2084" s="460" t="s">
        <v>2980</v>
      </c>
      <c r="C2084" s="460">
        <v>2221</v>
      </c>
      <c r="D2084" s="460" t="s">
        <v>2315</v>
      </c>
      <c r="E2084" s="460" t="s">
        <v>2299</v>
      </c>
      <c r="F2084" s="460">
        <v>2</v>
      </c>
      <c r="G2084" s="460">
        <v>2</v>
      </c>
      <c r="H2084" s="461" t="s">
        <v>748</v>
      </c>
      <c r="I2084" s="461" t="s">
        <v>765</v>
      </c>
      <c r="J2084" s="461" t="s">
        <v>700</v>
      </c>
      <c r="K2084" s="594"/>
      <c r="L2084" s="594"/>
      <c r="M2084" s="352">
        <v>2000</v>
      </c>
      <c r="N2084" s="352" t="s">
        <v>703</v>
      </c>
      <c r="O2084" s="460">
        <v>2221</v>
      </c>
      <c r="P2084" s="460" t="s">
        <v>1884</v>
      </c>
      <c r="Q2084" s="460" t="s">
        <v>2527</v>
      </c>
      <c r="R2084" s="460">
        <v>2121</v>
      </c>
      <c r="S2084" s="460" t="s">
        <v>2296</v>
      </c>
      <c r="T2084" s="462">
        <v>0.55517361979372948</v>
      </c>
      <c r="U2084" s="460" t="s">
        <v>2299</v>
      </c>
      <c r="V2084" s="475">
        <v>0</v>
      </c>
      <c r="W2084" s="463" t="s">
        <v>2268</v>
      </c>
      <c r="X2084" s="463" t="s">
        <v>2268</v>
      </c>
      <c r="Y2084" s="463" t="s">
        <v>2267</v>
      </c>
      <c r="Z2084" s="463"/>
      <c r="AA2084" s="463"/>
      <c r="AB2084" s="464">
        <v>0</v>
      </c>
      <c r="AC2084" s="465">
        <v>0</v>
      </c>
      <c r="AD2084" s="465">
        <v>0</v>
      </c>
      <c r="AE2084" s="476">
        <v>0</v>
      </c>
      <c r="AF2084" s="467">
        <v>0</v>
      </c>
      <c r="AG2084" s="468">
        <v>0</v>
      </c>
      <c r="AH2084" s="218">
        <v>0</v>
      </c>
      <c r="AI2084" s="470">
        <v>0</v>
      </c>
      <c r="AJ2084" s="471">
        <v>0</v>
      </c>
      <c r="AK2084" s="218">
        <v>0</v>
      </c>
      <c r="AL2084" s="470">
        <v>0</v>
      </c>
      <c r="AM2084" s="471">
        <v>0</v>
      </c>
      <c r="AN2084" s="477">
        <v>59.515658697999463</v>
      </c>
      <c r="AO2084" s="473">
        <v>0.17704171455131087</v>
      </c>
      <c r="AP2084" s="474">
        <v>5.5140192821461417E-2</v>
      </c>
      <c r="AQ2084" s="352"/>
      <c r="AR2084" s="352"/>
      <c r="AS2084" s="352"/>
      <c r="AT2084" s="352"/>
      <c r="AU2084" s="352"/>
      <c r="AV2084" s="352"/>
      <c r="AW2084" s="352" t="s">
        <v>254</v>
      </c>
    </row>
    <row r="2085" spans="2:49" x14ac:dyDescent="0.2">
      <c r="B2085" s="460" t="s">
        <v>2981</v>
      </c>
      <c r="C2085" s="460">
        <v>2221</v>
      </c>
      <c r="D2085" s="460" t="s">
        <v>2316</v>
      </c>
      <c r="E2085" s="460" t="s">
        <v>2302</v>
      </c>
      <c r="F2085" s="460">
        <v>3</v>
      </c>
      <c r="G2085" s="460">
        <v>2</v>
      </c>
      <c r="H2085" s="461" t="s">
        <v>748</v>
      </c>
      <c r="I2085" s="461" t="s">
        <v>765</v>
      </c>
      <c r="J2085" s="461" t="s">
        <v>700</v>
      </c>
      <c r="K2085" s="594"/>
      <c r="L2085" s="594"/>
      <c r="M2085" s="352">
        <v>2000</v>
      </c>
      <c r="N2085" s="352" t="s">
        <v>703</v>
      </c>
      <c r="O2085" s="460">
        <v>2221</v>
      </c>
      <c r="P2085" s="460" t="s">
        <v>1884</v>
      </c>
      <c r="Q2085" s="460" t="s">
        <v>2527</v>
      </c>
      <c r="R2085" s="460">
        <v>2121</v>
      </c>
      <c r="S2085" s="460" t="s">
        <v>2296</v>
      </c>
      <c r="T2085" s="462">
        <v>0.28481449642268464</v>
      </c>
      <c r="U2085" s="460" t="s">
        <v>2302</v>
      </c>
      <c r="V2085" s="475">
        <v>0</v>
      </c>
      <c r="W2085" s="463" t="s">
        <v>2268</v>
      </c>
      <c r="X2085" s="463" t="s">
        <v>2268</v>
      </c>
      <c r="Y2085" s="463" t="s">
        <v>2267</v>
      </c>
      <c r="Z2085" s="463"/>
      <c r="AA2085" s="463"/>
      <c r="AB2085" s="464">
        <v>0</v>
      </c>
      <c r="AC2085" s="465">
        <v>0</v>
      </c>
      <c r="AD2085" s="465">
        <v>0</v>
      </c>
      <c r="AE2085" s="476">
        <v>0</v>
      </c>
      <c r="AF2085" s="467">
        <v>0</v>
      </c>
      <c r="AG2085" s="468">
        <v>0</v>
      </c>
      <c r="AH2085" s="218">
        <v>0</v>
      </c>
      <c r="AI2085" s="470">
        <v>0</v>
      </c>
      <c r="AJ2085" s="471">
        <v>0</v>
      </c>
      <c r="AK2085" s="218">
        <v>0</v>
      </c>
      <c r="AL2085" s="470">
        <v>0</v>
      </c>
      <c r="AM2085" s="471">
        <v>0</v>
      </c>
      <c r="AN2085" s="477">
        <v>10.653072145753493</v>
      </c>
      <c r="AO2085" s="473">
        <v>9.0825725463099194E-2</v>
      </c>
      <c r="AP2085" s="474">
        <v>4.5583788309867514E-2</v>
      </c>
      <c r="AQ2085" s="352"/>
      <c r="AR2085" s="352"/>
      <c r="AS2085" s="352"/>
      <c r="AT2085" s="352"/>
      <c r="AU2085" s="352"/>
      <c r="AV2085" s="352"/>
      <c r="AW2085" s="352" t="s">
        <v>254</v>
      </c>
    </row>
    <row r="2086" spans="2:49" x14ac:dyDescent="0.2">
      <c r="B2086" s="460" t="s">
        <v>2982</v>
      </c>
      <c r="C2086" s="460">
        <v>2221</v>
      </c>
      <c r="D2086" s="460" t="s">
        <v>2317</v>
      </c>
      <c r="E2086" s="460" t="s">
        <v>2305</v>
      </c>
      <c r="F2086" s="460">
        <v>4</v>
      </c>
      <c r="G2086" s="460">
        <v>2</v>
      </c>
      <c r="H2086" s="461" t="s">
        <v>748</v>
      </c>
      <c r="I2086" s="461" t="s">
        <v>765</v>
      </c>
      <c r="J2086" s="461" t="s">
        <v>700</v>
      </c>
      <c r="K2086" s="594"/>
      <c r="L2086" s="594"/>
      <c r="M2086" s="352">
        <v>2000</v>
      </c>
      <c r="N2086" s="352" t="s">
        <v>703</v>
      </c>
      <c r="O2086" s="460">
        <v>2221</v>
      </c>
      <c r="P2086" s="460" t="s">
        <v>1884</v>
      </c>
      <c r="Q2086" s="460" t="s">
        <v>2527</v>
      </c>
      <c r="R2086" s="460">
        <v>2121</v>
      </c>
      <c r="S2086" s="460" t="s">
        <v>2305</v>
      </c>
      <c r="T2086" s="462">
        <v>1</v>
      </c>
      <c r="U2086" s="460" t="s">
        <v>2305</v>
      </c>
      <c r="V2086" s="475">
        <v>0</v>
      </c>
      <c r="W2086" s="463" t="s">
        <v>2268</v>
      </c>
      <c r="X2086" s="463" t="s">
        <v>2268</v>
      </c>
      <c r="Y2086" s="463" t="s">
        <v>2503</v>
      </c>
      <c r="Z2086" s="463"/>
      <c r="AA2086" s="463"/>
      <c r="AB2086" s="464">
        <v>0</v>
      </c>
      <c r="AC2086" s="465">
        <v>0</v>
      </c>
      <c r="AD2086" s="465">
        <v>0</v>
      </c>
      <c r="AE2086" s="476">
        <v>0</v>
      </c>
      <c r="AF2086" s="467">
        <v>0</v>
      </c>
      <c r="AG2086" s="468">
        <v>0</v>
      </c>
      <c r="AH2086" s="218">
        <v>0</v>
      </c>
      <c r="AI2086" s="470">
        <v>0</v>
      </c>
      <c r="AJ2086" s="471">
        <v>0</v>
      </c>
      <c r="AK2086" s="218">
        <v>0</v>
      </c>
      <c r="AL2086" s="470">
        <v>0</v>
      </c>
      <c r="AM2086" s="471">
        <v>0</v>
      </c>
      <c r="AN2086" s="477">
        <v>2.0011848961021463E-2</v>
      </c>
      <c r="AO2086" s="473">
        <v>1.5048318097943551E-4</v>
      </c>
      <c r="AP2086" s="474">
        <v>1.6343576113442053E-2</v>
      </c>
      <c r="AQ2086" s="352"/>
      <c r="AR2086" s="352"/>
      <c r="AS2086" s="352"/>
      <c r="AT2086" s="352"/>
      <c r="AU2086" s="352"/>
      <c r="AV2086" s="352"/>
      <c r="AW2086" s="352" t="s">
        <v>254</v>
      </c>
    </row>
    <row r="2087" spans="2:49" x14ac:dyDescent="0.2">
      <c r="B2087" s="460" t="s">
        <v>2983</v>
      </c>
      <c r="C2087" s="460">
        <v>2221</v>
      </c>
      <c r="D2087" s="460" t="s">
        <v>2323</v>
      </c>
      <c r="E2087" s="460" t="s">
        <v>2324</v>
      </c>
      <c r="F2087" s="460">
        <v>1</v>
      </c>
      <c r="G2087" s="460">
        <v>3</v>
      </c>
      <c r="H2087" s="461" t="s">
        <v>700</v>
      </c>
      <c r="I2087" s="461" t="s">
        <v>872</v>
      </c>
      <c r="J2087" s="461" t="s">
        <v>700</v>
      </c>
      <c r="K2087" s="594"/>
      <c r="L2087" s="594"/>
      <c r="M2087" s="352">
        <v>2000</v>
      </c>
      <c r="N2087" s="352" t="s">
        <v>703</v>
      </c>
      <c r="O2087" s="460">
        <v>2221</v>
      </c>
      <c r="P2087" s="460" t="s">
        <v>1884</v>
      </c>
      <c r="Q2087" s="460" t="s">
        <v>2527</v>
      </c>
      <c r="R2087" s="460">
        <v>2121</v>
      </c>
      <c r="S2087" s="460" t="s">
        <v>2324</v>
      </c>
      <c r="T2087" s="462">
        <v>1</v>
      </c>
      <c r="U2087" s="460" t="s">
        <v>2324</v>
      </c>
      <c r="V2087" s="475">
        <v>0</v>
      </c>
      <c r="W2087" s="463" t="s">
        <v>2503</v>
      </c>
      <c r="X2087" s="463" t="s">
        <v>2267</v>
      </c>
      <c r="Y2087" s="463" t="s">
        <v>2268</v>
      </c>
      <c r="Z2087" s="463"/>
      <c r="AA2087" s="463"/>
      <c r="AB2087" s="464">
        <v>320.40825850998539</v>
      </c>
      <c r="AC2087" s="465">
        <v>0.15437650124477226</v>
      </c>
      <c r="AD2087" s="465">
        <v>2.7467573852670156E-3</v>
      </c>
      <c r="AE2087" s="476">
        <v>192.24495510599121</v>
      </c>
      <c r="AF2087" s="467">
        <v>9.2625900746863346E-2</v>
      </c>
      <c r="AG2087" s="468">
        <v>1.7653927848330976E-3</v>
      </c>
      <c r="AH2087" s="218">
        <v>826.17237575049751</v>
      </c>
      <c r="AI2087" s="470">
        <v>0.39805965484959044</v>
      </c>
      <c r="AJ2087" s="471">
        <v>7.2448772576443384E-3</v>
      </c>
      <c r="AK2087" s="218">
        <v>826.17237575049751</v>
      </c>
      <c r="AL2087" s="470">
        <v>0.39805965484959044</v>
      </c>
      <c r="AM2087" s="471">
        <v>7.2448772576443384E-3</v>
      </c>
      <c r="AN2087" s="477">
        <v>0</v>
      </c>
      <c r="AO2087" s="473">
        <v>0</v>
      </c>
      <c r="AP2087" s="474">
        <v>0</v>
      </c>
      <c r="AQ2087" s="352"/>
      <c r="AR2087" s="352"/>
      <c r="AS2087" s="352"/>
      <c r="AT2087" s="352"/>
      <c r="AU2087" s="352"/>
      <c r="AV2087" s="352"/>
      <c r="AW2087" s="352" t="s">
        <v>254</v>
      </c>
    </row>
    <row r="2088" spans="2:49" x14ac:dyDescent="0.2">
      <c r="B2088" s="460" t="s">
        <v>2984</v>
      </c>
      <c r="C2088" s="460">
        <v>2221</v>
      </c>
      <c r="D2088" s="460" t="s">
        <v>2326</v>
      </c>
      <c r="E2088" s="460" t="s">
        <v>2327</v>
      </c>
      <c r="F2088" s="460">
        <v>2</v>
      </c>
      <c r="G2088" s="460">
        <v>3</v>
      </c>
      <c r="H2088" s="461" t="s">
        <v>700</v>
      </c>
      <c r="I2088" s="461" t="s">
        <v>872</v>
      </c>
      <c r="J2088" s="461" t="s">
        <v>700</v>
      </c>
      <c r="K2088" s="594"/>
      <c r="L2088" s="594"/>
      <c r="M2088" s="352">
        <v>2000</v>
      </c>
      <c r="N2088" s="352" t="s">
        <v>703</v>
      </c>
      <c r="O2088" s="460">
        <v>2221</v>
      </c>
      <c r="P2088" s="460" t="s">
        <v>1884</v>
      </c>
      <c r="Q2088" s="460" t="s">
        <v>2527</v>
      </c>
      <c r="R2088" s="460">
        <v>2121</v>
      </c>
      <c r="S2088" s="460" t="s">
        <v>2324</v>
      </c>
      <c r="T2088" s="462">
        <v>1</v>
      </c>
      <c r="U2088" s="460" t="s">
        <v>2327</v>
      </c>
      <c r="V2088" s="475">
        <v>0</v>
      </c>
      <c r="W2088" s="463" t="s">
        <v>2503</v>
      </c>
      <c r="X2088" s="463" t="s">
        <v>2267</v>
      </c>
      <c r="Y2088" s="463" t="s">
        <v>2268</v>
      </c>
      <c r="Z2088" s="463"/>
      <c r="AA2088" s="463"/>
      <c r="AB2088" s="464">
        <v>183.03209329496883</v>
      </c>
      <c r="AC2088" s="465">
        <v>0.10503077496046818</v>
      </c>
      <c r="AD2088" s="465">
        <v>2.7033507224101675E-3</v>
      </c>
      <c r="AE2088" s="476">
        <v>109.8192559769813</v>
      </c>
      <c r="AF2088" s="467">
        <v>6.3018464976280913E-2</v>
      </c>
      <c r="AG2088" s="468">
        <v>1.7568170323450868E-3</v>
      </c>
      <c r="AH2088" s="218">
        <v>693.67946595477122</v>
      </c>
      <c r="AI2088" s="470">
        <v>0.39805965484959044</v>
      </c>
      <c r="AJ2088" s="471">
        <v>9.3391390679207313E-3</v>
      </c>
      <c r="AK2088" s="218">
        <v>693.67946595477122</v>
      </c>
      <c r="AL2088" s="470">
        <v>0.39805965484959044</v>
      </c>
      <c r="AM2088" s="471">
        <v>9.3391390679207313E-3</v>
      </c>
      <c r="AN2088" s="477">
        <v>0</v>
      </c>
      <c r="AO2088" s="473">
        <v>0</v>
      </c>
      <c r="AP2088" s="474">
        <v>0</v>
      </c>
      <c r="AQ2088" s="352"/>
      <c r="AR2088" s="352"/>
      <c r="AS2088" s="352"/>
      <c r="AT2088" s="352"/>
      <c r="AU2088" s="352"/>
      <c r="AV2088" s="352"/>
      <c r="AW2088" s="352" t="s">
        <v>254</v>
      </c>
    </row>
    <row r="2089" spans="2:49" x14ac:dyDescent="0.2">
      <c r="B2089" s="460" t="s">
        <v>2985</v>
      </c>
      <c r="C2089" s="460">
        <v>2221</v>
      </c>
      <c r="D2089" s="460" t="s">
        <v>2329</v>
      </c>
      <c r="E2089" s="460" t="s">
        <v>2330</v>
      </c>
      <c r="F2089" s="460">
        <v>3</v>
      </c>
      <c r="G2089" s="460">
        <v>3</v>
      </c>
      <c r="H2089" s="461" t="s">
        <v>700</v>
      </c>
      <c r="I2089" s="461" t="s">
        <v>872</v>
      </c>
      <c r="J2089" s="461" t="s">
        <v>700</v>
      </c>
      <c r="K2089" s="594"/>
      <c r="L2089" s="594"/>
      <c r="M2089" s="352">
        <v>2000</v>
      </c>
      <c r="N2089" s="352" t="s">
        <v>703</v>
      </c>
      <c r="O2089" s="460">
        <v>2221</v>
      </c>
      <c r="P2089" s="460" t="s">
        <v>1884</v>
      </c>
      <c r="Q2089" s="460" t="s">
        <v>2527</v>
      </c>
      <c r="R2089" s="460">
        <v>2121</v>
      </c>
      <c r="S2089" s="460" t="s">
        <v>2324</v>
      </c>
      <c r="T2089" s="462">
        <v>1</v>
      </c>
      <c r="U2089" s="460" t="s">
        <v>2330</v>
      </c>
      <c r="V2089" s="475">
        <v>0</v>
      </c>
      <c r="W2089" s="463" t="s">
        <v>2503</v>
      </c>
      <c r="X2089" s="463" t="s">
        <v>2267</v>
      </c>
      <c r="Y2089" s="463" t="s">
        <v>2268</v>
      </c>
      <c r="Z2089" s="463"/>
      <c r="AA2089" s="463"/>
      <c r="AB2089" s="464">
        <v>71.731051796161154</v>
      </c>
      <c r="AC2089" s="465">
        <v>0.12507139520465277</v>
      </c>
      <c r="AD2089" s="465">
        <v>2.7086513680965743E-3</v>
      </c>
      <c r="AE2089" s="476">
        <v>43.038631077696685</v>
      </c>
      <c r="AF2089" s="467">
        <v>7.5042837122791653E-2</v>
      </c>
      <c r="AG2089" s="468">
        <v>1.7418191039810908E-3</v>
      </c>
      <c r="AH2089" s="218">
        <v>228.29550812363365</v>
      </c>
      <c r="AI2089" s="470">
        <v>0.39805965484959044</v>
      </c>
      <c r="AJ2089" s="471">
        <v>8.0433865756263483E-3</v>
      </c>
      <c r="AK2089" s="218">
        <v>228.29550812363365</v>
      </c>
      <c r="AL2089" s="470">
        <v>0.39805965484959044</v>
      </c>
      <c r="AM2089" s="471">
        <v>8.0433865756263483E-3</v>
      </c>
      <c r="AN2089" s="477">
        <v>0</v>
      </c>
      <c r="AO2089" s="473">
        <v>0</v>
      </c>
      <c r="AP2089" s="474">
        <v>0</v>
      </c>
      <c r="AQ2089" s="352"/>
      <c r="AR2089" s="352"/>
      <c r="AS2089" s="352"/>
      <c r="AT2089" s="352"/>
      <c r="AU2089" s="352"/>
      <c r="AV2089" s="352"/>
      <c r="AW2089" s="352" t="s">
        <v>254</v>
      </c>
    </row>
    <row r="2090" spans="2:49" x14ac:dyDescent="0.2">
      <c r="B2090" s="460" t="s">
        <v>2986</v>
      </c>
      <c r="C2090" s="460">
        <v>2221</v>
      </c>
      <c r="D2090" s="460" t="s">
        <v>2332</v>
      </c>
      <c r="E2090" s="460" t="s">
        <v>2333</v>
      </c>
      <c r="F2090" s="460">
        <v>4</v>
      </c>
      <c r="G2090" s="460">
        <v>3</v>
      </c>
      <c r="H2090" s="461" t="s">
        <v>700</v>
      </c>
      <c r="I2090" s="461" t="s">
        <v>872</v>
      </c>
      <c r="J2090" s="461" t="s">
        <v>700</v>
      </c>
      <c r="K2090" s="594"/>
      <c r="L2090" s="594"/>
      <c r="M2090" s="352">
        <v>2000</v>
      </c>
      <c r="N2090" s="352" t="s">
        <v>703</v>
      </c>
      <c r="O2090" s="460">
        <v>2221</v>
      </c>
      <c r="P2090" s="460" t="s">
        <v>1884</v>
      </c>
      <c r="Q2090" s="460" t="s">
        <v>2527</v>
      </c>
      <c r="R2090" s="460">
        <v>2121</v>
      </c>
      <c r="S2090" s="460" t="s">
        <v>2333</v>
      </c>
      <c r="T2090" s="462">
        <v>1</v>
      </c>
      <c r="U2090" s="460" t="s">
        <v>2333</v>
      </c>
      <c r="V2090" s="475">
        <v>0</v>
      </c>
      <c r="W2090" s="463" t="s">
        <v>2503</v>
      </c>
      <c r="X2090" s="463" t="s">
        <v>2503</v>
      </c>
      <c r="Y2090" s="463" t="s">
        <v>2268</v>
      </c>
      <c r="Z2090" s="463"/>
      <c r="AA2090" s="463"/>
      <c r="AB2090" s="464">
        <v>39.148923116475828</v>
      </c>
      <c r="AC2090" s="465">
        <v>6.0229254864311493E-2</v>
      </c>
      <c r="AD2090" s="465">
        <v>2.700044307251809E-3</v>
      </c>
      <c r="AE2090" s="476">
        <v>23.489353869885498</v>
      </c>
      <c r="AF2090" s="467">
        <v>3.6137552918586897E-2</v>
      </c>
      <c r="AG2090" s="468">
        <v>1.7879048212602893E-3</v>
      </c>
      <c r="AH2090" s="218">
        <v>23.489353869885498</v>
      </c>
      <c r="AI2090" s="470">
        <v>3.6137552918586897E-2</v>
      </c>
      <c r="AJ2090" s="471">
        <v>1.7322557736807577E-3</v>
      </c>
      <c r="AK2090" s="218">
        <v>23.489353869885498</v>
      </c>
      <c r="AL2090" s="470">
        <v>3.6137552918586897E-2</v>
      </c>
      <c r="AM2090" s="471">
        <v>1.7322557736807577E-3</v>
      </c>
      <c r="AN2090" s="477">
        <v>0</v>
      </c>
      <c r="AO2090" s="473">
        <v>0</v>
      </c>
      <c r="AP2090" s="474">
        <v>0</v>
      </c>
      <c r="AQ2090" s="352"/>
      <c r="AR2090" s="352"/>
      <c r="AS2090" s="352"/>
      <c r="AT2090" s="352"/>
      <c r="AU2090" s="352"/>
      <c r="AV2090" s="352"/>
      <c r="AW2090" s="352" t="s">
        <v>254</v>
      </c>
    </row>
    <row r="2091" spans="2:49" x14ac:dyDescent="0.2">
      <c r="B2091" s="460" t="s">
        <v>2983</v>
      </c>
      <c r="C2091" s="460">
        <v>2221</v>
      </c>
      <c r="D2091" s="460" t="s">
        <v>2334</v>
      </c>
      <c r="E2091" s="460" t="s">
        <v>2324</v>
      </c>
      <c r="F2091" s="460">
        <v>1</v>
      </c>
      <c r="G2091" s="460">
        <v>3</v>
      </c>
      <c r="H2091" s="461" t="s">
        <v>712</v>
      </c>
      <c r="I2091" s="461" t="s">
        <v>713</v>
      </c>
      <c r="J2091" s="461" t="s">
        <v>712</v>
      </c>
      <c r="K2091" s="594"/>
      <c r="L2091" s="594"/>
      <c r="M2091" s="352">
        <v>2000</v>
      </c>
      <c r="N2091" s="352" t="s">
        <v>703</v>
      </c>
      <c r="O2091" s="460">
        <v>2221</v>
      </c>
      <c r="P2091" s="460" t="s">
        <v>1884</v>
      </c>
      <c r="Q2091" s="460" t="s">
        <v>2280</v>
      </c>
      <c r="R2091" s="460">
        <v>2121</v>
      </c>
      <c r="S2091" s="460" t="s">
        <v>2324</v>
      </c>
      <c r="T2091" s="462">
        <v>1</v>
      </c>
      <c r="U2091" s="460" t="s">
        <v>2324</v>
      </c>
      <c r="V2091" s="475">
        <v>0</v>
      </c>
      <c r="W2091" s="463" t="s">
        <v>713</v>
      </c>
      <c r="X2091" s="463" t="s">
        <v>713</v>
      </c>
      <c r="Y2091" s="463" t="s">
        <v>713</v>
      </c>
      <c r="Z2091" s="463"/>
      <c r="AA2091" s="463"/>
      <c r="AB2091" s="464">
        <v>1755.0906414292017</v>
      </c>
      <c r="AC2091" s="465">
        <v>0.84562349875522769</v>
      </c>
      <c r="AD2091" s="465">
        <v>4.3822789650758507E-3</v>
      </c>
      <c r="AE2091" s="476">
        <v>1883.2539448331959</v>
      </c>
      <c r="AF2091" s="467">
        <v>0.90737409925313661</v>
      </c>
      <c r="AG2091" s="468">
        <v>4.6129866907748647E-3</v>
      </c>
      <c r="AH2091" s="218">
        <v>1249.3265241886895</v>
      </c>
      <c r="AI2091" s="470">
        <v>0.60194034515040951</v>
      </c>
      <c r="AJ2091" s="471">
        <v>3.099208376227033E-3</v>
      </c>
      <c r="AK2091" s="218">
        <v>1249.3265241886895</v>
      </c>
      <c r="AL2091" s="470">
        <v>0.60194034515040951</v>
      </c>
      <c r="AM2091" s="471">
        <v>3.099208376227033E-3</v>
      </c>
      <c r="AN2091" s="477">
        <v>1249.3265241886895</v>
      </c>
      <c r="AO2091" s="473">
        <v>0.60194034515040951</v>
      </c>
      <c r="AP2091" s="474">
        <v>3.0977001377876668E-3</v>
      </c>
      <c r="AQ2091" s="352"/>
      <c r="AR2091" s="352"/>
      <c r="AS2091" s="352"/>
      <c r="AT2091" s="352"/>
      <c r="AU2091" s="352"/>
      <c r="AV2091" s="352"/>
      <c r="AW2091" s="352" t="s">
        <v>254</v>
      </c>
    </row>
    <row r="2092" spans="2:49" x14ac:dyDescent="0.2">
      <c r="B2092" s="460" t="s">
        <v>2984</v>
      </c>
      <c r="C2092" s="460">
        <v>2221</v>
      </c>
      <c r="D2092" s="460" t="s">
        <v>2335</v>
      </c>
      <c r="E2092" s="460" t="s">
        <v>2327</v>
      </c>
      <c r="F2092" s="460">
        <v>2</v>
      </c>
      <c r="G2092" s="460">
        <v>3</v>
      </c>
      <c r="H2092" s="461" t="s">
        <v>712</v>
      </c>
      <c r="I2092" s="461" t="s">
        <v>713</v>
      </c>
      <c r="J2092" s="461" t="s">
        <v>712</v>
      </c>
      <c r="K2092" s="594"/>
      <c r="L2092" s="594"/>
      <c r="M2092" s="352">
        <v>2000</v>
      </c>
      <c r="N2092" s="352" t="s">
        <v>703</v>
      </c>
      <c r="O2092" s="460">
        <v>2221</v>
      </c>
      <c r="P2092" s="460" t="s">
        <v>1884</v>
      </c>
      <c r="Q2092" s="460" t="s">
        <v>2280</v>
      </c>
      <c r="R2092" s="460">
        <v>2121</v>
      </c>
      <c r="S2092" s="460" t="s">
        <v>2324</v>
      </c>
      <c r="T2092" s="462">
        <v>1</v>
      </c>
      <c r="U2092" s="460" t="s">
        <v>2327</v>
      </c>
      <c r="V2092" s="475">
        <v>0</v>
      </c>
      <c r="W2092" s="463" t="s">
        <v>713</v>
      </c>
      <c r="X2092" s="463" t="s">
        <v>713</v>
      </c>
      <c r="Y2092" s="463" t="s">
        <v>713</v>
      </c>
      <c r="Z2092" s="463"/>
      <c r="AA2092" s="463"/>
      <c r="AB2092" s="464">
        <v>1559.6199376346231</v>
      </c>
      <c r="AC2092" s="465">
        <v>0.89496922503953169</v>
      </c>
      <c r="AD2092" s="465">
        <v>4.9948364630464396E-3</v>
      </c>
      <c r="AE2092" s="476">
        <v>1632.8327749526106</v>
      </c>
      <c r="AF2092" s="467">
        <v>0.93698153502371906</v>
      </c>
      <c r="AG2092" s="468">
        <v>5.1437243620653175E-3</v>
      </c>
      <c r="AH2092" s="218">
        <v>1048.9725649748207</v>
      </c>
      <c r="AI2092" s="470">
        <v>0.60194034515040951</v>
      </c>
      <c r="AJ2092" s="471">
        <v>3.4365170729319175E-3</v>
      </c>
      <c r="AK2092" s="218">
        <v>1048.9725649748207</v>
      </c>
      <c r="AL2092" s="470">
        <v>0.60194034515040951</v>
      </c>
      <c r="AM2092" s="471">
        <v>3.4365170729319175E-3</v>
      </c>
      <c r="AN2092" s="477">
        <v>1048.9725649748207</v>
      </c>
      <c r="AO2092" s="473">
        <v>0.60194034515040951</v>
      </c>
      <c r="AP2092" s="474">
        <v>3.435169738886309E-3</v>
      </c>
      <c r="AQ2092" s="352"/>
      <c r="AR2092" s="352"/>
      <c r="AS2092" s="352"/>
      <c r="AT2092" s="352"/>
      <c r="AU2092" s="352"/>
      <c r="AV2092" s="352"/>
      <c r="AW2092" s="352" t="s">
        <v>254</v>
      </c>
    </row>
    <row r="2093" spans="2:49" x14ac:dyDescent="0.2">
      <c r="B2093" s="460" t="s">
        <v>2985</v>
      </c>
      <c r="C2093" s="460">
        <v>2221</v>
      </c>
      <c r="D2093" s="460" t="s">
        <v>2336</v>
      </c>
      <c r="E2093" s="460" t="s">
        <v>2330</v>
      </c>
      <c r="F2093" s="460">
        <v>3</v>
      </c>
      <c r="G2093" s="460">
        <v>3</v>
      </c>
      <c r="H2093" s="461" t="s">
        <v>712</v>
      </c>
      <c r="I2093" s="461" t="s">
        <v>713</v>
      </c>
      <c r="J2093" s="461" t="s">
        <v>712</v>
      </c>
      <c r="K2093" s="594"/>
      <c r="L2093" s="594"/>
      <c r="M2093" s="352">
        <v>2000</v>
      </c>
      <c r="N2093" s="352" t="s">
        <v>703</v>
      </c>
      <c r="O2093" s="460">
        <v>2221</v>
      </c>
      <c r="P2093" s="460" t="s">
        <v>1884</v>
      </c>
      <c r="Q2093" s="460" t="s">
        <v>2280</v>
      </c>
      <c r="R2093" s="460">
        <v>2121</v>
      </c>
      <c r="S2093" s="460" t="s">
        <v>2324</v>
      </c>
      <c r="T2093" s="462">
        <v>1</v>
      </c>
      <c r="U2093" s="460" t="s">
        <v>2330</v>
      </c>
      <c r="V2093" s="475">
        <v>0</v>
      </c>
      <c r="W2093" s="463" t="s">
        <v>713</v>
      </c>
      <c r="X2093" s="463" t="s">
        <v>713</v>
      </c>
      <c r="Y2093" s="463" t="s">
        <v>713</v>
      </c>
      <c r="Z2093" s="463"/>
      <c r="AA2093" s="463"/>
      <c r="AB2093" s="464">
        <v>501.78978947044919</v>
      </c>
      <c r="AC2093" s="465">
        <v>0.87492860479534729</v>
      </c>
      <c r="AD2093" s="465">
        <v>4.442978795028891E-3</v>
      </c>
      <c r="AE2093" s="476">
        <v>530.48221018891365</v>
      </c>
      <c r="AF2093" s="467">
        <v>0.92495716287720831</v>
      </c>
      <c r="AG2093" s="468">
        <v>4.6244242889232675E-3</v>
      </c>
      <c r="AH2093" s="218">
        <v>345.22533314297664</v>
      </c>
      <c r="AI2093" s="470">
        <v>0.60194034515040951</v>
      </c>
      <c r="AJ2093" s="471">
        <v>3.1243717700295435E-3</v>
      </c>
      <c r="AK2093" s="218">
        <v>345.22533314297664</v>
      </c>
      <c r="AL2093" s="470">
        <v>0.60194034515040951</v>
      </c>
      <c r="AM2093" s="471">
        <v>3.1243717700295435E-3</v>
      </c>
      <c r="AN2093" s="477">
        <v>345.22533314297664</v>
      </c>
      <c r="AO2093" s="473">
        <v>0.60194034515040951</v>
      </c>
      <c r="AP2093" s="474">
        <v>3.1324361186259183E-3</v>
      </c>
      <c r="AQ2093" s="352"/>
      <c r="AR2093" s="352"/>
      <c r="AS2093" s="352"/>
      <c r="AT2093" s="352"/>
      <c r="AU2093" s="352"/>
      <c r="AV2093" s="352"/>
      <c r="AW2093" s="352" t="s">
        <v>254</v>
      </c>
    </row>
    <row r="2094" spans="2:49" x14ac:dyDescent="0.2">
      <c r="B2094" s="460" t="s">
        <v>2986</v>
      </c>
      <c r="C2094" s="460">
        <v>2221</v>
      </c>
      <c r="D2094" s="460" t="s">
        <v>2337</v>
      </c>
      <c r="E2094" s="460" t="s">
        <v>2333</v>
      </c>
      <c r="F2094" s="460">
        <v>4</v>
      </c>
      <c r="G2094" s="460">
        <v>3</v>
      </c>
      <c r="H2094" s="461" t="s">
        <v>712</v>
      </c>
      <c r="I2094" s="461" t="s">
        <v>713</v>
      </c>
      <c r="J2094" s="461" t="s">
        <v>712</v>
      </c>
      <c r="K2094" s="594"/>
      <c r="L2094" s="594"/>
      <c r="M2094" s="352">
        <v>2000</v>
      </c>
      <c r="N2094" s="352" t="s">
        <v>703</v>
      </c>
      <c r="O2094" s="460">
        <v>2221</v>
      </c>
      <c r="P2094" s="460" t="s">
        <v>1884</v>
      </c>
      <c r="Q2094" s="460" t="s">
        <v>2280</v>
      </c>
      <c r="R2094" s="460">
        <v>2121</v>
      </c>
      <c r="S2094" s="460" t="s">
        <v>2333</v>
      </c>
      <c r="T2094" s="462">
        <v>1</v>
      </c>
      <c r="U2094" s="460" t="s">
        <v>2333</v>
      </c>
      <c r="V2094" s="475">
        <v>0</v>
      </c>
      <c r="W2094" s="463" t="s">
        <v>713</v>
      </c>
      <c r="X2094" s="463" t="s">
        <v>713</v>
      </c>
      <c r="Y2094" s="463" t="s">
        <v>713</v>
      </c>
      <c r="Z2094" s="463"/>
      <c r="AA2094" s="463"/>
      <c r="AB2094" s="464">
        <v>610.84954033244355</v>
      </c>
      <c r="AC2094" s="465">
        <v>0.93977074513568837</v>
      </c>
      <c r="AD2094" s="465">
        <v>4.6439656914198692E-3</v>
      </c>
      <c r="AE2094" s="476">
        <v>626.50910957903398</v>
      </c>
      <c r="AF2094" s="467">
        <v>0.96386244708141311</v>
      </c>
      <c r="AG2094" s="468">
        <v>4.7142233964244237E-3</v>
      </c>
      <c r="AH2094" s="218">
        <v>626.50910957903398</v>
      </c>
      <c r="AI2094" s="470">
        <v>0.96386244708141311</v>
      </c>
      <c r="AJ2094" s="471">
        <v>4.7292425948429846E-3</v>
      </c>
      <c r="AK2094" s="218">
        <v>626.50910957903398</v>
      </c>
      <c r="AL2094" s="470">
        <v>0.96386244708141311</v>
      </c>
      <c r="AM2094" s="471">
        <v>4.7292425948429846E-3</v>
      </c>
      <c r="AN2094" s="477">
        <v>634.33889420232913</v>
      </c>
      <c r="AO2094" s="473">
        <v>0.97590829805427537</v>
      </c>
      <c r="AP2094" s="474">
        <v>4.7898678647492459E-3</v>
      </c>
      <c r="AQ2094" s="352"/>
      <c r="AR2094" s="352"/>
      <c r="AS2094" s="352"/>
      <c r="AT2094" s="352"/>
      <c r="AU2094" s="352"/>
      <c r="AV2094" s="352"/>
      <c r="AW2094" s="352" t="s">
        <v>254</v>
      </c>
    </row>
    <row r="2095" spans="2:49" x14ac:dyDescent="0.2">
      <c r="B2095" s="460" t="s">
        <v>2983</v>
      </c>
      <c r="C2095" s="460">
        <v>2221</v>
      </c>
      <c r="D2095" s="460" t="s">
        <v>2338</v>
      </c>
      <c r="E2095" s="460" t="s">
        <v>2324</v>
      </c>
      <c r="F2095" s="460">
        <v>1</v>
      </c>
      <c r="G2095" s="460">
        <v>3</v>
      </c>
      <c r="H2095" s="461" t="s">
        <v>746</v>
      </c>
      <c r="I2095" s="461" t="s">
        <v>762</v>
      </c>
      <c r="J2095" s="461" t="s">
        <v>700</v>
      </c>
      <c r="K2095" s="594"/>
      <c r="L2095" s="594"/>
      <c r="M2095" s="352">
        <v>2000</v>
      </c>
      <c r="N2095" s="352" t="s">
        <v>703</v>
      </c>
      <c r="O2095" s="460">
        <v>2221</v>
      </c>
      <c r="P2095" s="460" t="s">
        <v>1884</v>
      </c>
      <c r="Q2095" s="460" t="s">
        <v>2531</v>
      </c>
      <c r="R2095" s="460">
        <v>2121</v>
      </c>
      <c r="S2095" s="460" t="s">
        <v>2324</v>
      </c>
      <c r="T2095" s="462">
        <v>1</v>
      </c>
      <c r="U2095" s="460" t="s">
        <v>2324</v>
      </c>
      <c r="V2095" s="475">
        <v>0</v>
      </c>
      <c r="W2095" s="463" t="s">
        <v>2268</v>
      </c>
      <c r="X2095" s="463" t="s">
        <v>2268</v>
      </c>
      <c r="Y2095" s="463" t="s">
        <v>2290</v>
      </c>
      <c r="Z2095" s="463"/>
      <c r="AA2095" s="463"/>
      <c r="AB2095" s="464">
        <v>0</v>
      </c>
      <c r="AC2095" s="465">
        <v>0</v>
      </c>
      <c r="AD2095" s="465">
        <v>0</v>
      </c>
      <c r="AE2095" s="476">
        <v>0</v>
      </c>
      <c r="AF2095" s="467">
        <v>0</v>
      </c>
      <c r="AG2095" s="468">
        <v>0</v>
      </c>
      <c r="AH2095" s="218">
        <v>0</v>
      </c>
      <c r="AI2095" s="470">
        <v>0</v>
      </c>
      <c r="AJ2095" s="471">
        <v>0</v>
      </c>
      <c r="AK2095" s="218">
        <v>0</v>
      </c>
      <c r="AL2095" s="470">
        <v>0</v>
      </c>
      <c r="AM2095" s="471">
        <v>0</v>
      </c>
      <c r="AN2095" s="477">
        <v>0</v>
      </c>
      <c r="AO2095" s="473">
        <v>0</v>
      </c>
      <c r="AP2095" s="474">
        <v>0</v>
      </c>
      <c r="AQ2095" s="352"/>
      <c r="AR2095" s="352"/>
      <c r="AS2095" s="352"/>
      <c r="AT2095" s="352"/>
      <c r="AU2095" s="352"/>
      <c r="AV2095" s="352"/>
      <c r="AW2095" s="352" t="s">
        <v>254</v>
      </c>
    </row>
    <row r="2096" spans="2:49" x14ac:dyDescent="0.2">
      <c r="B2096" s="460" t="s">
        <v>2984</v>
      </c>
      <c r="C2096" s="460">
        <v>2221</v>
      </c>
      <c r="D2096" s="460" t="s">
        <v>2339</v>
      </c>
      <c r="E2096" s="460" t="s">
        <v>2327</v>
      </c>
      <c r="F2096" s="460">
        <v>2</v>
      </c>
      <c r="G2096" s="460">
        <v>3</v>
      </c>
      <c r="H2096" s="461" t="s">
        <v>746</v>
      </c>
      <c r="I2096" s="461" t="s">
        <v>762</v>
      </c>
      <c r="J2096" s="461" t="s">
        <v>700</v>
      </c>
      <c r="K2096" s="594"/>
      <c r="L2096" s="594"/>
      <c r="M2096" s="352">
        <v>2000</v>
      </c>
      <c r="N2096" s="352" t="s">
        <v>703</v>
      </c>
      <c r="O2096" s="460">
        <v>2221</v>
      </c>
      <c r="P2096" s="460" t="s">
        <v>1884</v>
      </c>
      <c r="Q2096" s="460" t="s">
        <v>2531</v>
      </c>
      <c r="R2096" s="460">
        <v>2121</v>
      </c>
      <c r="S2096" s="460" t="s">
        <v>2324</v>
      </c>
      <c r="T2096" s="462">
        <v>1</v>
      </c>
      <c r="U2096" s="460" t="s">
        <v>2327</v>
      </c>
      <c r="V2096" s="475">
        <v>0</v>
      </c>
      <c r="W2096" s="463" t="s">
        <v>2268</v>
      </c>
      <c r="X2096" s="463" t="s">
        <v>2268</v>
      </c>
      <c r="Y2096" s="463" t="s">
        <v>2290</v>
      </c>
      <c r="Z2096" s="463"/>
      <c r="AA2096" s="463"/>
      <c r="AB2096" s="464">
        <v>0</v>
      </c>
      <c r="AC2096" s="465">
        <v>0</v>
      </c>
      <c r="AD2096" s="465">
        <v>0</v>
      </c>
      <c r="AE2096" s="476">
        <v>0</v>
      </c>
      <c r="AF2096" s="467">
        <v>0</v>
      </c>
      <c r="AG2096" s="468">
        <v>0</v>
      </c>
      <c r="AH2096" s="218">
        <v>0</v>
      </c>
      <c r="AI2096" s="470">
        <v>0</v>
      </c>
      <c r="AJ2096" s="471">
        <v>0</v>
      </c>
      <c r="AK2096" s="218">
        <v>0</v>
      </c>
      <c r="AL2096" s="470">
        <v>0</v>
      </c>
      <c r="AM2096" s="471">
        <v>0</v>
      </c>
      <c r="AN2096" s="477">
        <v>0</v>
      </c>
      <c r="AO2096" s="473">
        <v>0</v>
      </c>
      <c r="AP2096" s="474">
        <v>0</v>
      </c>
      <c r="AQ2096" s="352"/>
      <c r="AR2096" s="352"/>
      <c r="AS2096" s="352"/>
      <c r="AT2096" s="352"/>
      <c r="AU2096" s="352"/>
      <c r="AV2096" s="352"/>
      <c r="AW2096" s="352" t="s">
        <v>254</v>
      </c>
    </row>
    <row r="2097" spans="2:49" x14ac:dyDescent="0.2">
      <c r="B2097" s="460" t="s">
        <v>2985</v>
      </c>
      <c r="C2097" s="460">
        <v>2221</v>
      </c>
      <c r="D2097" s="460" t="s">
        <v>2340</v>
      </c>
      <c r="E2097" s="460" t="s">
        <v>2330</v>
      </c>
      <c r="F2097" s="460">
        <v>3</v>
      </c>
      <c r="G2097" s="460">
        <v>3</v>
      </c>
      <c r="H2097" s="461" t="s">
        <v>746</v>
      </c>
      <c r="I2097" s="461" t="s">
        <v>762</v>
      </c>
      <c r="J2097" s="461" t="s">
        <v>700</v>
      </c>
      <c r="K2097" s="594"/>
      <c r="L2097" s="594"/>
      <c r="M2097" s="352">
        <v>2000</v>
      </c>
      <c r="N2097" s="352" t="s">
        <v>703</v>
      </c>
      <c r="O2097" s="460">
        <v>2221</v>
      </c>
      <c r="P2097" s="460" t="s">
        <v>1884</v>
      </c>
      <c r="Q2097" s="460" t="s">
        <v>2531</v>
      </c>
      <c r="R2097" s="460">
        <v>2121</v>
      </c>
      <c r="S2097" s="460" t="s">
        <v>2324</v>
      </c>
      <c r="T2097" s="462">
        <v>1</v>
      </c>
      <c r="U2097" s="460" t="s">
        <v>2330</v>
      </c>
      <c r="V2097" s="475">
        <v>0</v>
      </c>
      <c r="W2097" s="463" t="s">
        <v>2268</v>
      </c>
      <c r="X2097" s="463" t="s">
        <v>2268</v>
      </c>
      <c r="Y2097" s="463" t="s">
        <v>2290</v>
      </c>
      <c r="Z2097" s="463"/>
      <c r="AA2097" s="463"/>
      <c r="AB2097" s="464">
        <v>0</v>
      </c>
      <c r="AC2097" s="465">
        <v>0</v>
      </c>
      <c r="AD2097" s="465">
        <v>0</v>
      </c>
      <c r="AE2097" s="476">
        <v>0</v>
      </c>
      <c r="AF2097" s="467">
        <v>0</v>
      </c>
      <c r="AG2097" s="468">
        <v>0</v>
      </c>
      <c r="AH2097" s="218">
        <v>0</v>
      </c>
      <c r="AI2097" s="470">
        <v>0</v>
      </c>
      <c r="AJ2097" s="471">
        <v>0</v>
      </c>
      <c r="AK2097" s="218">
        <v>0</v>
      </c>
      <c r="AL2097" s="470">
        <v>0</v>
      </c>
      <c r="AM2097" s="471">
        <v>0</v>
      </c>
      <c r="AN2097" s="477">
        <v>0</v>
      </c>
      <c r="AO2097" s="473">
        <v>0</v>
      </c>
      <c r="AP2097" s="474">
        <v>0</v>
      </c>
      <c r="AQ2097" s="352"/>
      <c r="AR2097" s="352"/>
      <c r="AS2097" s="352"/>
      <c r="AT2097" s="352"/>
      <c r="AU2097" s="352"/>
      <c r="AV2097" s="352"/>
      <c r="AW2097" s="352" t="s">
        <v>254</v>
      </c>
    </row>
    <row r="2098" spans="2:49" x14ac:dyDescent="0.2">
      <c r="B2098" s="460" t="s">
        <v>2986</v>
      </c>
      <c r="C2098" s="460">
        <v>2221</v>
      </c>
      <c r="D2098" s="460" t="s">
        <v>2341</v>
      </c>
      <c r="E2098" s="460" t="s">
        <v>2333</v>
      </c>
      <c r="F2098" s="460">
        <v>4</v>
      </c>
      <c r="G2098" s="460">
        <v>3</v>
      </c>
      <c r="H2098" s="461" t="s">
        <v>746</v>
      </c>
      <c r="I2098" s="461" t="s">
        <v>762</v>
      </c>
      <c r="J2098" s="461" t="s">
        <v>700</v>
      </c>
      <c r="K2098" s="594"/>
      <c r="L2098" s="594"/>
      <c r="M2098" s="352">
        <v>2000</v>
      </c>
      <c r="N2098" s="352" t="s">
        <v>703</v>
      </c>
      <c r="O2098" s="460">
        <v>2221</v>
      </c>
      <c r="P2098" s="460" t="s">
        <v>1884</v>
      </c>
      <c r="Q2098" s="460" t="s">
        <v>2531</v>
      </c>
      <c r="R2098" s="460">
        <v>2121</v>
      </c>
      <c r="S2098" s="460" t="s">
        <v>2333</v>
      </c>
      <c r="T2098" s="462">
        <v>1</v>
      </c>
      <c r="U2098" s="460" t="s">
        <v>2333</v>
      </c>
      <c r="V2098" s="475">
        <v>0</v>
      </c>
      <c r="W2098" s="463" t="s">
        <v>2268</v>
      </c>
      <c r="X2098" s="463" t="s">
        <v>2268</v>
      </c>
      <c r="Y2098" s="463" t="s">
        <v>2290</v>
      </c>
      <c r="Z2098" s="463"/>
      <c r="AA2098" s="463"/>
      <c r="AB2098" s="464">
        <v>0</v>
      </c>
      <c r="AC2098" s="465">
        <v>0</v>
      </c>
      <c r="AD2098" s="465">
        <v>0</v>
      </c>
      <c r="AE2098" s="476">
        <v>0</v>
      </c>
      <c r="AF2098" s="467">
        <v>0</v>
      </c>
      <c r="AG2098" s="468">
        <v>0</v>
      </c>
      <c r="AH2098" s="218">
        <v>0</v>
      </c>
      <c r="AI2098" s="470">
        <v>0</v>
      </c>
      <c r="AJ2098" s="471">
        <v>0</v>
      </c>
      <c r="AK2098" s="218">
        <v>0</v>
      </c>
      <c r="AL2098" s="470">
        <v>0</v>
      </c>
      <c r="AM2098" s="471">
        <v>0</v>
      </c>
      <c r="AN2098" s="477">
        <v>0</v>
      </c>
      <c r="AO2098" s="473">
        <v>0</v>
      </c>
      <c r="AP2098" s="474">
        <v>0</v>
      </c>
      <c r="AQ2098" s="352"/>
      <c r="AR2098" s="352"/>
      <c r="AS2098" s="352"/>
      <c r="AT2098" s="352"/>
      <c r="AU2098" s="352"/>
      <c r="AV2098" s="352"/>
      <c r="AW2098" s="352" t="s">
        <v>254</v>
      </c>
    </row>
    <row r="2099" spans="2:49" x14ac:dyDescent="0.2">
      <c r="B2099" s="460" t="s">
        <v>2983</v>
      </c>
      <c r="C2099" s="460">
        <v>2221</v>
      </c>
      <c r="D2099" s="460" t="s">
        <v>2342</v>
      </c>
      <c r="E2099" s="460" t="s">
        <v>2324</v>
      </c>
      <c r="F2099" s="460">
        <v>1</v>
      </c>
      <c r="G2099" s="460">
        <v>3</v>
      </c>
      <c r="H2099" s="461" t="s">
        <v>748</v>
      </c>
      <c r="I2099" s="461" t="s">
        <v>765</v>
      </c>
      <c r="J2099" s="461" t="s">
        <v>700</v>
      </c>
      <c r="K2099" s="594"/>
      <c r="L2099" s="594"/>
      <c r="M2099" s="352">
        <v>2000</v>
      </c>
      <c r="N2099" s="352" t="s">
        <v>703</v>
      </c>
      <c r="O2099" s="460">
        <v>2221</v>
      </c>
      <c r="P2099" s="460" t="s">
        <v>1884</v>
      </c>
      <c r="Q2099" s="460" t="s">
        <v>2527</v>
      </c>
      <c r="R2099" s="460">
        <v>2121</v>
      </c>
      <c r="S2099" s="460" t="s">
        <v>2324</v>
      </c>
      <c r="T2099" s="462">
        <v>1</v>
      </c>
      <c r="U2099" s="460" t="s">
        <v>2324</v>
      </c>
      <c r="V2099" s="475">
        <v>0</v>
      </c>
      <c r="W2099" s="463" t="s">
        <v>2268</v>
      </c>
      <c r="X2099" s="463" t="s">
        <v>2268</v>
      </c>
      <c r="Y2099" s="463" t="s">
        <v>2267</v>
      </c>
      <c r="Z2099" s="463"/>
      <c r="AA2099" s="463"/>
      <c r="AB2099" s="464">
        <v>0</v>
      </c>
      <c r="AC2099" s="465">
        <v>0</v>
      </c>
      <c r="AD2099" s="465">
        <v>0</v>
      </c>
      <c r="AE2099" s="476">
        <v>0</v>
      </c>
      <c r="AF2099" s="467">
        <v>0</v>
      </c>
      <c r="AG2099" s="468">
        <v>0</v>
      </c>
      <c r="AH2099" s="218">
        <v>0</v>
      </c>
      <c r="AI2099" s="470">
        <v>0</v>
      </c>
      <c r="AJ2099" s="471">
        <v>0</v>
      </c>
      <c r="AK2099" s="218">
        <v>0</v>
      </c>
      <c r="AL2099" s="470">
        <v>0</v>
      </c>
      <c r="AM2099" s="471">
        <v>0</v>
      </c>
      <c r="AN2099" s="477">
        <v>826.17237575049751</v>
      </c>
      <c r="AO2099" s="473">
        <v>0.39805965484959044</v>
      </c>
      <c r="AP2099" s="474">
        <v>4.3003771859860832E-2</v>
      </c>
      <c r="AQ2099" s="352"/>
      <c r="AR2099" s="352"/>
      <c r="AS2099" s="352"/>
      <c r="AT2099" s="352"/>
      <c r="AU2099" s="352"/>
      <c r="AV2099" s="352"/>
      <c r="AW2099" s="352" t="s">
        <v>254</v>
      </c>
    </row>
    <row r="2100" spans="2:49" x14ac:dyDescent="0.2">
      <c r="B2100" s="460" t="s">
        <v>2984</v>
      </c>
      <c r="C2100" s="460">
        <v>2221</v>
      </c>
      <c r="D2100" s="460" t="s">
        <v>2343</v>
      </c>
      <c r="E2100" s="460" t="s">
        <v>2327</v>
      </c>
      <c r="F2100" s="460">
        <v>2</v>
      </c>
      <c r="G2100" s="460">
        <v>3</v>
      </c>
      <c r="H2100" s="461" t="s">
        <v>748</v>
      </c>
      <c r="I2100" s="461" t="s">
        <v>765</v>
      </c>
      <c r="J2100" s="461" t="s">
        <v>700</v>
      </c>
      <c r="K2100" s="594"/>
      <c r="L2100" s="594"/>
      <c r="M2100" s="352">
        <v>2000</v>
      </c>
      <c r="N2100" s="352" t="s">
        <v>703</v>
      </c>
      <c r="O2100" s="460">
        <v>2221</v>
      </c>
      <c r="P2100" s="460" t="s">
        <v>1884</v>
      </c>
      <c r="Q2100" s="460" t="s">
        <v>2527</v>
      </c>
      <c r="R2100" s="460">
        <v>2121</v>
      </c>
      <c r="S2100" s="460" t="s">
        <v>2324</v>
      </c>
      <c r="T2100" s="462">
        <v>1</v>
      </c>
      <c r="U2100" s="460" t="s">
        <v>2327</v>
      </c>
      <c r="V2100" s="475">
        <v>0</v>
      </c>
      <c r="W2100" s="463" t="s">
        <v>2268</v>
      </c>
      <c r="X2100" s="463" t="s">
        <v>2268</v>
      </c>
      <c r="Y2100" s="463" t="s">
        <v>2267</v>
      </c>
      <c r="Z2100" s="463"/>
      <c r="AA2100" s="463"/>
      <c r="AB2100" s="464">
        <v>0</v>
      </c>
      <c r="AC2100" s="465">
        <v>0</v>
      </c>
      <c r="AD2100" s="465">
        <v>0</v>
      </c>
      <c r="AE2100" s="476">
        <v>0</v>
      </c>
      <c r="AF2100" s="467">
        <v>0</v>
      </c>
      <c r="AG2100" s="468">
        <v>0</v>
      </c>
      <c r="AH2100" s="218">
        <v>0</v>
      </c>
      <c r="AI2100" s="470">
        <v>0</v>
      </c>
      <c r="AJ2100" s="471">
        <v>0</v>
      </c>
      <c r="AK2100" s="218">
        <v>0</v>
      </c>
      <c r="AL2100" s="470">
        <v>0</v>
      </c>
      <c r="AM2100" s="471">
        <v>0</v>
      </c>
      <c r="AN2100" s="477">
        <v>693.67946595477122</v>
      </c>
      <c r="AO2100" s="473">
        <v>0.39805965484959044</v>
      </c>
      <c r="AP2100" s="474">
        <v>6.1663604273258683E-2</v>
      </c>
      <c r="AQ2100" s="352"/>
      <c r="AR2100" s="352"/>
      <c r="AS2100" s="352"/>
      <c r="AT2100" s="352"/>
      <c r="AU2100" s="352"/>
      <c r="AV2100" s="352"/>
      <c r="AW2100" s="352" t="s">
        <v>254</v>
      </c>
    </row>
    <row r="2101" spans="2:49" x14ac:dyDescent="0.2">
      <c r="B2101" s="460" t="s">
        <v>2985</v>
      </c>
      <c r="C2101" s="460">
        <v>2221</v>
      </c>
      <c r="D2101" s="460" t="s">
        <v>2344</v>
      </c>
      <c r="E2101" s="460" t="s">
        <v>2330</v>
      </c>
      <c r="F2101" s="460">
        <v>3</v>
      </c>
      <c r="G2101" s="460">
        <v>3</v>
      </c>
      <c r="H2101" s="461" t="s">
        <v>748</v>
      </c>
      <c r="I2101" s="461" t="s">
        <v>765</v>
      </c>
      <c r="J2101" s="461" t="s">
        <v>700</v>
      </c>
      <c r="K2101" s="594"/>
      <c r="L2101" s="594"/>
      <c r="M2101" s="352">
        <v>2000</v>
      </c>
      <c r="N2101" s="352" t="s">
        <v>703</v>
      </c>
      <c r="O2101" s="460">
        <v>2221</v>
      </c>
      <c r="P2101" s="460" t="s">
        <v>1884</v>
      </c>
      <c r="Q2101" s="460" t="s">
        <v>2527</v>
      </c>
      <c r="R2101" s="460">
        <v>2121</v>
      </c>
      <c r="S2101" s="460" t="s">
        <v>2324</v>
      </c>
      <c r="T2101" s="462">
        <v>1</v>
      </c>
      <c r="U2101" s="460" t="s">
        <v>2330</v>
      </c>
      <c r="V2101" s="475">
        <v>0</v>
      </c>
      <c r="W2101" s="463" t="s">
        <v>2268</v>
      </c>
      <c r="X2101" s="463" t="s">
        <v>2268</v>
      </c>
      <c r="Y2101" s="463" t="s">
        <v>2267</v>
      </c>
      <c r="Z2101" s="463"/>
      <c r="AA2101" s="463"/>
      <c r="AB2101" s="464">
        <v>0</v>
      </c>
      <c r="AC2101" s="465">
        <v>0</v>
      </c>
      <c r="AD2101" s="465">
        <v>0</v>
      </c>
      <c r="AE2101" s="476">
        <v>0</v>
      </c>
      <c r="AF2101" s="467">
        <v>0</v>
      </c>
      <c r="AG2101" s="468">
        <v>0</v>
      </c>
      <c r="AH2101" s="218">
        <v>0</v>
      </c>
      <c r="AI2101" s="470">
        <v>0</v>
      </c>
      <c r="AJ2101" s="471">
        <v>0</v>
      </c>
      <c r="AK2101" s="218">
        <v>0</v>
      </c>
      <c r="AL2101" s="470">
        <v>0</v>
      </c>
      <c r="AM2101" s="471">
        <v>0</v>
      </c>
      <c r="AN2101" s="477">
        <v>228.29550812363365</v>
      </c>
      <c r="AO2101" s="473">
        <v>0.39805965484959044</v>
      </c>
      <c r="AP2101" s="474">
        <v>6.2229410170081913E-2</v>
      </c>
      <c r="AQ2101" s="352"/>
      <c r="AR2101" s="352"/>
      <c r="AS2101" s="352"/>
      <c r="AT2101" s="352"/>
      <c r="AU2101" s="352"/>
      <c r="AV2101" s="352"/>
      <c r="AW2101" s="352" t="s">
        <v>254</v>
      </c>
    </row>
    <row r="2102" spans="2:49" x14ac:dyDescent="0.2">
      <c r="B2102" s="460" t="s">
        <v>2986</v>
      </c>
      <c r="C2102" s="460">
        <v>2221</v>
      </c>
      <c r="D2102" s="460" t="s">
        <v>2345</v>
      </c>
      <c r="E2102" s="460" t="s">
        <v>2333</v>
      </c>
      <c r="F2102" s="460">
        <v>4</v>
      </c>
      <c r="G2102" s="460">
        <v>3</v>
      </c>
      <c r="H2102" s="461" t="s">
        <v>748</v>
      </c>
      <c r="I2102" s="461" t="s">
        <v>765</v>
      </c>
      <c r="J2102" s="461" t="s">
        <v>700</v>
      </c>
      <c r="K2102" s="594"/>
      <c r="L2102" s="594"/>
      <c r="M2102" s="352">
        <v>2000</v>
      </c>
      <c r="N2102" s="352" t="s">
        <v>703</v>
      </c>
      <c r="O2102" s="460">
        <v>2221</v>
      </c>
      <c r="P2102" s="460" t="s">
        <v>1884</v>
      </c>
      <c r="Q2102" s="460" t="s">
        <v>2527</v>
      </c>
      <c r="R2102" s="460">
        <v>2121</v>
      </c>
      <c r="S2102" s="460" t="s">
        <v>2333</v>
      </c>
      <c r="T2102" s="462">
        <v>1</v>
      </c>
      <c r="U2102" s="460" t="s">
        <v>2333</v>
      </c>
      <c r="V2102" s="475">
        <v>0</v>
      </c>
      <c r="W2102" s="463" t="s">
        <v>2268</v>
      </c>
      <c r="X2102" s="463" t="s">
        <v>2268</v>
      </c>
      <c r="Y2102" s="463" t="s">
        <v>2503</v>
      </c>
      <c r="Z2102" s="463"/>
      <c r="AA2102" s="463"/>
      <c r="AB2102" s="464">
        <v>0</v>
      </c>
      <c r="AC2102" s="465">
        <v>0</v>
      </c>
      <c r="AD2102" s="465">
        <v>0</v>
      </c>
      <c r="AE2102" s="476">
        <v>0</v>
      </c>
      <c r="AF2102" s="467">
        <v>0</v>
      </c>
      <c r="AG2102" s="468">
        <v>0</v>
      </c>
      <c r="AH2102" s="218">
        <v>0</v>
      </c>
      <c r="AI2102" s="470">
        <v>0</v>
      </c>
      <c r="AJ2102" s="471">
        <v>0</v>
      </c>
      <c r="AK2102" s="218">
        <v>0</v>
      </c>
      <c r="AL2102" s="470">
        <v>0</v>
      </c>
      <c r="AM2102" s="471">
        <v>0</v>
      </c>
      <c r="AN2102" s="477">
        <v>15.659569246590332</v>
      </c>
      <c r="AO2102" s="473">
        <v>2.4091701945724599E-2</v>
      </c>
      <c r="AP2102" s="474">
        <v>9.7515979761129863E-3</v>
      </c>
      <c r="AQ2102" s="352"/>
      <c r="AR2102" s="352"/>
      <c r="AS2102" s="352"/>
      <c r="AT2102" s="352"/>
      <c r="AU2102" s="352"/>
      <c r="AV2102" s="352"/>
      <c r="AW2102" s="352" t="s">
        <v>254</v>
      </c>
    </row>
    <row r="2103" spans="2:49" x14ac:dyDescent="0.2">
      <c r="B2103" s="460" t="s">
        <v>2983</v>
      </c>
      <c r="C2103" s="460">
        <v>2221</v>
      </c>
      <c r="D2103" s="460" t="s">
        <v>2346</v>
      </c>
      <c r="E2103" s="460" t="s">
        <v>2324</v>
      </c>
      <c r="F2103" s="460">
        <v>1</v>
      </c>
      <c r="G2103" s="460">
        <v>3</v>
      </c>
      <c r="H2103" s="461" t="s">
        <v>752</v>
      </c>
      <c r="I2103" s="461" t="s">
        <v>964</v>
      </c>
      <c r="J2103" s="461" t="s">
        <v>752</v>
      </c>
      <c r="K2103" s="594"/>
      <c r="L2103" s="594"/>
      <c r="M2103" s="352">
        <v>2000</v>
      </c>
      <c r="N2103" s="352" t="s">
        <v>703</v>
      </c>
      <c r="O2103" s="460">
        <v>2221</v>
      </c>
      <c r="P2103" s="460" t="s">
        <v>1884</v>
      </c>
      <c r="Q2103" s="460" t="s">
        <v>2527</v>
      </c>
      <c r="R2103" s="460">
        <v>2121</v>
      </c>
      <c r="S2103" s="460" t="s">
        <v>2324</v>
      </c>
      <c r="T2103" s="462">
        <v>1</v>
      </c>
      <c r="U2103" s="460" t="s">
        <v>2324</v>
      </c>
      <c r="V2103" s="475">
        <v>0</v>
      </c>
      <c r="W2103" s="463" t="s">
        <v>2278</v>
      </c>
      <c r="X2103" s="463" t="s">
        <v>2278</v>
      </c>
      <c r="Y2103" s="463" t="s">
        <v>2278</v>
      </c>
      <c r="Z2103" s="463"/>
      <c r="AA2103" s="463"/>
      <c r="AB2103" s="464">
        <v>0</v>
      </c>
      <c r="AC2103" s="465">
        <v>0</v>
      </c>
      <c r="AD2103" s="465">
        <v>0</v>
      </c>
      <c r="AE2103" s="476">
        <v>0</v>
      </c>
      <c r="AF2103" s="467">
        <v>0</v>
      </c>
      <c r="AG2103" s="468">
        <v>0</v>
      </c>
      <c r="AH2103" s="218">
        <v>0</v>
      </c>
      <c r="AI2103" s="470">
        <v>0</v>
      </c>
      <c r="AJ2103" s="471">
        <v>0</v>
      </c>
      <c r="AK2103" s="218">
        <v>0</v>
      </c>
      <c r="AL2103" s="470">
        <v>0</v>
      </c>
      <c r="AM2103" s="471">
        <v>0</v>
      </c>
      <c r="AN2103" s="477">
        <v>0</v>
      </c>
      <c r="AO2103" s="473">
        <v>0</v>
      </c>
      <c r="AP2103" s="474">
        <v>0</v>
      </c>
      <c r="AQ2103" s="352"/>
      <c r="AR2103" s="352"/>
      <c r="AS2103" s="352"/>
      <c r="AT2103" s="352"/>
      <c r="AU2103" s="352"/>
      <c r="AV2103" s="352"/>
      <c r="AW2103" s="352" t="s">
        <v>254</v>
      </c>
    </row>
    <row r="2104" spans="2:49" x14ac:dyDescent="0.2">
      <c r="B2104" s="460" t="s">
        <v>2984</v>
      </c>
      <c r="C2104" s="460">
        <v>2221</v>
      </c>
      <c r="D2104" s="460" t="s">
        <v>2347</v>
      </c>
      <c r="E2104" s="460" t="s">
        <v>2327</v>
      </c>
      <c r="F2104" s="460">
        <v>2</v>
      </c>
      <c r="G2104" s="460">
        <v>3</v>
      </c>
      <c r="H2104" s="461" t="s">
        <v>752</v>
      </c>
      <c r="I2104" s="461" t="s">
        <v>964</v>
      </c>
      <c r="J2104" s="461" t="s">
        <v>752</v>
      </c>
      <c r="K2104" s="594"/>
      <c r="L2104" s="594"/>
      <c r="M2104" s="352">
        <v>2000</v>
      </c>
      <c r="N2104" s="352" t="s">
        <v>703</v>
      </c>
      <c r="O2104" s="460">
        <v>2221</v>
      </c>
      <c r="P2104" s="460" t="s">
        <v>1884</v>
      </c>
      <c r="Q2104" s="460" t="s">
        <v>2527</v>
      </c>
      <c r="R2104" s="460">
        <v>2121</v>
      </c>
      <c r="S2104" s="460" t="s">
        <v>2324</v>
      </c>
      <c r="T2104" s="462">
        <v>1</v>
      </c>
      <c r="U2104" s="460" t="s">
        <v>2327</v>
      </c>
      <c r="V2104" s="475">
        <v>0</v>
      </c>
      <c r="W2104" s="463" t="s">
        <v>2278</v>
      </c>
      <c r="X2104" s="463" t="s">
        <v>2278</v>
      </c>
      <c r="Y2104" s="463" t="s">
        <v>2278</v>
      </c>
      <c r="Z2104" s="463"/>
      <c r="AA2104" s="463"/>
      <c r="AB2104" s="464">
        <v>0</v>
      </c>
      <c r="AC2104" s="465">
        <v>0</v>
      </c>
      <c r="AD2104" s="465">
        <v>0</v>
      </c>
      <c r="AE2104" s="476">
        <v>0</v>
      </c>
      <c r="AF2104" s="467">
        <v>0</v>
      </c>
      <c r="AG2104" s="468">
        <v>0</v>
      </c>
      <c r="AH2104" s="218">
        <v>0</v>
      </c>
      <c r="AI2104" s="470">
        <v>0</v>
      </c>
      <c r="AJ2104" s="471">
        <v>0</v>
      </c>
      <c r="AK2104" s="218">
        <v>0</v>
      </c>
      <c r="AL2104" s="470">
        <v>0</v>
      </c>
      <c r="AM2104" s="471">
        <v>0</v>
      </c>
      <c r="AN2104" s="477">
        <v>0</v>
      </c>
      <c r="AO2104" s="473">
        <v>0</v>
      </c>
      <c r="AP2104" s="474">
        <v>0</v>
      </c>
      <c r="AQ2104" s="352"/>
      <c r="AR2104" s="352"/>
      <c r="AS2104" s="352"/>
      <c r="AT2104" s="352"/>
      <c r="AU2104" s="352"/>
      <c r="AV2104" s="352"/>
      <c r="AW2104" s="352" t="s">
        <v>254</v>
      </c>
    </row>
    <row r="2105" spans="2:49" x14ac:dyDescent="0.2">
      <c r="B2105" s="460" t="s">
        <v>2985</v>
      </c>
      <c r="C2105" s="460">
        <v>2221</v>
      </c>
      <c r="D2105" s="460" t="s">
        <v>2348</v>
      </c>
      <c r="E2105" s="460" t="s">
        <v>2330</v>
      </c>
      <c r="F2105" s="460">
        <v>3</v>
      </c>
      <c r="G2105" s="460">
        <v>3</v>
      </c>
      <c r="H2105" s="461" t="s">
        <v>752</v>
      </c>
      <c r="I2105" s="461" t="s">
        <v>964</v>
      </c>
      <c r="J2105" s="461" t="s">
        <v>752</v>
      </c>
      <c r="K2105" s="594"/>
      <c r="L2105" s="594"/>
      <c r="M2105" s="352">
        <v>2000</v>
      </c>
      <c r="N2105" s="352" t="s">
        <v>703</v>
      </c>
      <c r="O2105" s="460">
        <v>2221</v>
      </c>
      <c r="P2105" s="460" t="s">
        <v>1884</v>
      </c>
      <c r="Q2105" s="460" t="s">
        <v>2527</v>
      </c>
      <c r="R2105" s="460">
        <v>2121</v>
      </c>
      <c r="S2105" s="460" t="s">
        <v>2324</v>
      </c>
      <c r="T2105" s="462">
        <v>1</v>
      </c>
      <c r="U2105" s="460" t="s">
        <v>2330</v>
      </c>
      <c r="V2105" s="475">
        <v>0</v>
      </c>
      <c r="W2105" s="463" t="s">
        <v>2278</v>
      </c>
      <c r="X2105" s="463" t="s">
        <v>2278</v>
      </c>
      <c r="Y2105" s="463" t="s">
        <v>2278</v>
      </c>
      <c r="Z2105" s="463"/>
      <c r="AA2105" s="463"/>
      <c r="AB2105" s="464">
        <v>0</v>
      </c>
      <c r="AC2105" s="465">
        <v>0</v>
      </c>
      <c r="AD2105" s="465">
        <v>0</v>
      </c>
      <c r="AE2105" s="476">
        <v>0</v>
      </c>
      <c r="AF2105" s="467">
        <v>0</v>
      </c>
      <c r="AG2105" s="468">
        <v>0</v>
      </c>
      <c r="AH2105" s="218">
        <v>0</v>
      </c>
      <c r="AI2105" s="470">
        <v>0</v>
      </c>
      <c r="AJ2105" s="471">
        <v>0</v>
      </c>
      <c r="AK2105" s="218">
        <v>0</v>
      </c>
      <c r="AL2105" s="470">
        <v>0</v>
      </c>
      <c r="AM2105" s="471">
        <v>0</v>
      </c>
      <c r="AN2105" s="477">
        <v>0</v>
      </c>
      <c r="AO2105" s="473">
        <v>0</v>
      </c>
      <c r="AP2105" s="474">
        <v>0</v>
      </c>
      <c r="AQ2105" s="352"/>
      <c r="AR2105" s="352"/>
      <c r="AS2105" s="352"/>
      <c r="AT2105" s="352"/>
      <c r="AU2105" s="352"/>
      <c r="AV2105" s="352"/>
      <c r="AW2105" s="352" t="s">
        <v>254</v>
      </c>
    </row>
    <row r="2106" spans="2:49" x14ac:dyDescent="0.2">
      <c r="B2106" s="460" t="s">
        <v>2986</v>
      </c>
      <c r="C2106" s="460">
        <v>2221</v>
      </c>
      <c r="D2106" s="460" t="s">
        <v>2349</v>
      </c>
      <c r="E2106" s="460" t="s">
        <v>2333</v>
      </c>
      <c r="F2106" s="460">
        <v>4</v>
      </c>
      <c r="G2106" s="460">
        <v>3</v>
      </c>
      <c r="H2106" s="461" t="s">
        <v>752</v>
      </c>
      <c r="I2106" s="461" t="s">
        <v>964</v>
      </c>
      <c r="J2106" s="461" t="s">
        <v>752</v>
      </c>
      <c r="K2106" s="594"/>
      <c r="L2106" s="594"/>
      <c r="M2106" s="352">
        <v>2000</v>
      </c>
      <c r="N2106" s="352" t="s">
        <v>703</v>
      </c>
      <c r="O2106" s="460">
        <v>2221</v>
      </c>
      <c r="P2106" s="460" t="s">
        <v>1884</v>
      </c>
      <c r="Q2106" s="460" t="s">
        <v>2527</v>
      </c>
      <c r="R2106" s="460">
        <v>2121</v>
      </c>
      <c r="S2106" s="460" t="s">
        <v>2333</v>
      </c>
      <c r="T2106" s="462">
        <v>1</v>
      </c>
      <c r="U2106" s="460" t="s">
        <v>2333</v>
      </c>
      <c r="V2106" s="475">
        <v>0</v>
      </c>
      <c r="W2106" s="463" t="s">
        <v>2278</v>
      </c>
      <c r="X2106" s="463" t="s">
        <v>2278</v>
      </c>
      <c r="Y2106" s="463" t="s">
        <v>2278</v>
      </c>
      <c r="Z2106" s="463"/>
      <c r="AA2106" s="463"/>
      <c r="AB2106" s="464">
        <v>0</v>
      </c>
      <c r="AC2106" s="465">
        <v>0</v>
      </c>
      <c r="AD2106" s="465">
        <v>0</v>
      </c>
      <c r="AE2106" s="476">
        <v>0</v>
      </c>
      <c r="AF2106" s="467">
        <v>0</v>
      </c>
      <c r="AG2106" s="468">
        <v>0</v>
      </c>
      <c r="AH2106" s="218">
        <v>0</v>
      </c>
      <c r="AI2106" s="470">
        <v>0</v>
      </c>
      <c r="AJ2106" s="471">
        <v>0</v>
      </c>
      <c r="AK2106" s="218">
        <v>0</v>
      </c>
      <c r="AL2106" s="470">
        <v>0</v>
      </c>
      <c r="AM2106" s="471">
        <v>0</v>
      </c>
      <c r="AN2106" s="477">
        <v>0</v>
      </c>
      <c r="AO2106" s="473">
        <v>0</v>
      </c>
      <c r="AP2106" s="474">
        <v>0</v>
      </c>
      <c r="AQ2106" s="352"/>
      <c r="AR2106" s="352"/>
      <c r="AS2106" s="352"/>
      <c r="AT2106" s="352"/>
      <c r="AU2106" s="352"/>
      <c r="AV2106" s="352"/>
      <c r="AW2106" s="352" t="s">
        <v>254</v>
      </c>
    </row>
    <row r="2107" spans="2:49" x14ac:dyDescent="0.2">
      <c r="B2107" s="460" t="s">
        <v>2987</v>
      </c>
      <c r="C2107" s="460">
        <v>2221</v>
      </c>
      <c r="D2107" s="460" t="s">
        <v>2351</v>
      </c>
      <c r="E2107" s="460" t="s">
        <v>1136</v>
      </c>
      <c r="F2107" s="460">
        <v>1</v>
      </c>
      <c r="G2107" s="460">
        <v>4</v>
      </c>
      <c r="H2107" s="461" t="s">
        <v>700</v>
      </c>
      <c r="I2107" s="461" t="s">
        <v>872</v>
      </c>
      <c r="J2107" s="461" t="s">
        <v>700</v>
      </c>
      <c r="K2107" s="594"/>
      <c r="L2107" s="594"/>
      <c r="M2107" s="352">
        <v>2000</v>
      </c>
      <c r="N2107" s="352" t="s">
        <v>703</v>
      </c>
      <c r="O2107" s="460">
        <v>2221</v>
      </c>
      <c r="P2107" s="460" t="s">
        <v>1884</v>
      </c>
      <c r="Q2107" s="460" t="s">
        <v>2527</v>
      </c>
      <c r="R2107" s="460">
        <v>2121</v>
      </c>
      <c r="S2107" s="460" t="s">
        <v>1136</v>
      </c>
      <c r="T2107" s="462">
        <v>1</v>
      </c>
      <c r="U2107" s="460" t="s">
        <v>1136</v>
      </c>
      <c r="V2107" s="475">
        <v>0</v>
      </c>
      <c r="W2107" s="463" t="s">
        <v>2503</v>
      </c>
      <c r="X2107" s="463" t="s">
        <v>2267</v>
      </c>
      <c r="Y2107" s="463" t="s">
        <v>2268</v>
      </c>
      <c r="Z2107" s="463"/>
      <c r="AA2107" s="463"/>
      <c r="AB2107" s="464">
        <v>0.89715039779637529</v>
      </c>
      <c r="AC2107" s="465">
        <v>1.9265387480890005E-3</v>
      </c>
      <c r="AD2107" s="465">
        <v>2.5525805907947777E-3</v>
      </c>
      <c r="AE2107" s="476">
        <v>0.53829023867782522</v>
      </c>
      <c r="AF2107" s="467">
        <v>1.1559232488534002E-3</v>
      </c>
      <c r="AG2107" s="468">
        <v>1.6648873522509247E-3</v>
      </c>
      <c r="AH2107" s="218">
        <v>101.5049368296379</v>
      </c>
      <c r="AI2107" s="470">
        <v>0.21797147323899202</v>
      </c>
      <c r="AJ2107" s="471">
        <v>7.9271957726849557E-2</v>
      </c>
      <c r="AK2107" s="218">
        <v>101.5049368296379</v>
      </c>
      <c r="AL2107" s="470">
        <v>0.21797147323899202</v>
      </c>
      <c r="AM2107" s="471">
        <v>7.9271957726849557E-2</v>
      </c>
      <c r="AN2107" s="477">
        <v>0</v>
      </c>
      <c r="AO2107" s="473">
        <v>0</v>
      </c>
      <c r="AP2107" s="474">
        <v>0</v>
      </c>
      <c r="AQ2107" s="352"/>
      <c r="AR2107" s="352"/>
      <c r="AS2107" s="352"/>
      <c r="AT2107" s="352"/>
      <c r="AU2107" s="352"/>
      <c r="AV2107" s="352"/>
      <c r="AW2107" s="352" t="s">
        <v>254</v>
      </c>
    </row>
    <row r="2108" spans="2:49" x14ac:dyDescent="0.2">
      <c r="B2108" s="460" t="s">
        <v>2988</v>
      </c>
      <c r="C2108" s="460">
        <v>2221</v>
      </c>
      <c r="D2108" s="460" t="s">
        <v>2353</v>
      </c>
      <c r="E2108" s="460" t="s">
        <v>1137</v>
      </c>
      <c r="F2108" s="460">
        <v>2</v>
      </c>
      <c r="G2108" s="460">
        <v>4</v>
      </c>
      <c r="H2108" s="461" t="s">
        <v>700</v>
      </c>
      <c r="I2108" s="461" t="s">
        <v>872</v>
      </c>
      <c r="J2108" s="461" t="s">
        <v>700</v>
      </c>
      <c r="K2108" s="594"/>
      <c r="L2108" s="594"/>
      <c r="M2108" s="352">
        <v>2000</v>
      </c>
      <c r="N2108" s="352" t="s">
        <v>703</v>
      </c>
      <c r="O2108" s="460">
        <v>2221</v>
      </c>
      <c r="P2108" s="460" t="s">
        <v>1884</v>
      </c>
      <c r="Q2108" s="460" t="s">
        <v>2527</v>
      </c>
      <c r="R2108" s="460">
        <v>2121</v>
      </c>
      <c r="S2108" s="460" t="s">
        <v>1137</v>
      </c>
      <c r="T2108" s="462">
        <v>1</v>
      </c>
      <c r="U2108" s="460" t="s">
        <v>1137</v>
      </c>
      <c r="V2108" s="475">
        <v>0</v>
      </c>
      <c r="W2108" s="463" t="s">
        <v>2503</v>
      </c>
      <c r="X2108" s="463" t="s">
        <v>2267</v>
      </c>
      <c r="Y2108" s="463" t="s">
        <v>2268</v>
      </c>
      <c r="Z2108" s="463"/>
      <c r="AA2108" s="463"/>
      <c r="AB2108" s="464">
        <v>11.072383062948468</v>
      </c>
      <c r="AC2108" s="465">
        <v>1.5459409425575877E-2</v>
      </c>
      <c r="AD2108" s="465">
        <v>2.5003115257073568E-3</v>
      </c>
      <c r="AE2108" s="476">
        <v>6.6434298377690801</v>
      </c>
      <c r="AF2108" s="467">
        <v>9.2756456553455251E-3</v>
      </c>
      <c r="AG2108" s="468">
        <v>1.6161974751394117E-3</v>
      </c>
      <c r="AH2108" s="218">
        <v>142.24429328621937</v>
      </c>
      <c r="AI2108" s="470">
        <v>0.19860338608785305</v>
      </c>
      <c r="AJ2108" s="471">
        <v>2.938901210449987E-2</v>
      </c>
      <c r="AK2108" s="218">
        <v>142.24429328621937</v>
      </c>
      <c r="AL2108" s="470">
        <v>0.19860338608785305</v>
      </c>
      <c r="AM2108" s="471">
        <v>2.938901210449987E-2</v>
      </c>
      <c r="AN2108" s="477">
        <v>0</v>
      </c>
      <c r="AO2108" s="473">
        <v>0</v>
      </c>
      <c r="AP2108" s="474">
        <v>0</v>
      </c>
      <c r="AQ2108" s="352"/>
      <c r="AR2108" s="352"/>
      <c r="AS2108" s="352"/>
      <c r="AT2108" s="352"/>
      <c r="AU2108" s="352"/>
      <c r="AV2108" s="352"/>
      <c r="AW2108" s="352" t="s">
        <v>254</v>
      </c>
    </row>
    <row r="2109" spans="2:49" x14ac:dyDescent="0.2">
      <c r="B2109" s="460" t="s">
        <v>2989</v>
      </c>
      <c r="C2109" s="460">
        <v>2221</v>
      </c>
      <c r="D2109" s="460" t="s">
        <v>2355</v>
      </c>
      <c r="E2109" s="460" t="s">
        <v>1138</v>
      </c>
      <c r="F2109" s="460">
        <v>3</v>
      </c>
      <c r="G2109" s="460">
        <v>4</v>
      </c>
      <c r="H2109" s="461" t="s">
        <v>700</v>
      </c>
      <c r="I2109" s="461" t="s">
        <v>872</v>
      </c>
      <c r="J2109" s="461" t="s">
        <v>700</v>
      </c>
      <c r="K2109" s="594"/>
      <c r="L2109" s="594"/>
      <c r="M2109" s="352">
        <v>2000</v>
      </c>
      <c r="N2109" s="352" t="s">
        <v>703</v>
      </c>
      <c r="O2109" s="460">
        <v>2221</v>
      </c>
      <c r="P2109" s="460" t="s">
        <v>1884</v>
      </c>
      <c r="Q2109" s="460" t="s">
        <v>2527</v>
      </c>
      <c r="R2109" s="460">
        <v>2121</v>
      </c>
      <c r="S2109" s="460" t="s">
        <v>1138</v>
      </c>
      <c r="T2109" s="462">
        <v>1</v>
      </c>
      <c r="U2109" s="460" t="s">
        <v>1138</v>
      </c>
      <c r="V2109" s="475">
        <v>0</v>
      </c>
      <c r="W2109" s="463" t="s">
        <v>2503</v>
      </c>
      <c r="X2109" s="463" t="s">
        <v>2267</v>
      </c>
      <c r="Y2109" s="463" t="s">
        <v>2268</v>
      </c>
      <c r="Z2109" s="463"/>
      <c r="AA2109" s="463"/>
      <c r="AB2109" s="464">
        <v>5.9557729739108289</v>
      </c>
      <c r="AC2109" s="465">
        <v>1.9669328518080311E-2</v>
      </c>
      <c r="AD2109" s="465">
        <v>2.4988527007093393E-3</v>
      </c>
      <c r="AE2109" s="476">
        <v>3.5734637843464978</v>
      </c>
      <c r="AF2109" s="467">
        <v>1.1801597110848187E-2</v>
      </c>
      <c r="AG2109" s="468">
        <v>1.617554401987297E-3</v>
      </c>
      <c r="AH2109" s="218">
        <v>79.06818794308596</v>
      </c>
      <c r="AI2109" s="470">
        <v>0.2611278453350192</v>
      </c>
      <c r="AJ2109" s="471">
        <v>2.7247386626279818E-2</v>
      </c>
      <c r="AK2109" s="218">
        <v>79.06818794308596</v>
      </c>
      <c r="AL2109" s="470">
        <v>0.2611278453350192</v>
      </c>
      <c r="AM2109" s="471">
        <v>2.7247386626279818E-2</v>
      </c>
      <c r="AN2109" s="477">
        <v>0</v>
      </c>
      <c r="AO2109" s="473">
        <v>0</v>
      </c>
      <c r="AP2109" s="474">
        <v>0</v>
      </c>
      <c r="AQ2109" s="352"/>
      <c r="AR2109" s="352"/>
      <c r="AS2109" s="352"/>
      <c r="AT2109" s="352"/>
      <c r="AU2109" s="352"/>
      <c r="AV2109" s="352"/>
      <c r="AW2109" s="352" t="s">
        <v>254</v>
      </c>
    </row>
    <row r="2110" spans="2:49" x14ac:dyDescent="0.2">
      <c r="B2110" s="460" t="s">
        <v>2990</v>
      </c>
      <c r="C2110" s="460">
        <v>2221</v>
      </c>
      <c r="D2110" s="460" t="s">
        <v>2357</v>
      </c>
      <c r="E2110" s="460" t="s">
        <v>1139</v>
      </c>
      <c r="F2110" s="460">
        <v>4</v>
      </c>
      <c r="G2110" s="460">
        <v>4</v>
      </c>
      <c r="H2110" s="461" t="s">
        <v>700</v>
      </c>
      <c r="I2110" s="461" t="s">
        <v>872</v>
      </c>
      <c r="J2110" s="461" t="s">
        <v>700</v>
      </c>
      <c r="K2110" s="594"/>
      <c r="L2110" s="594"/>
      <c r="M2110" s="352">
        <v>2000</v>
      </c>
      <c r="N2110" s="352" t="s">
        <v>703</v>
      </c>
      <c r="O2110" s="460">
        <v>2221</v>
      </c>
      <c r="P2110" s="460" t="s">
        <v>1884</v>
      </c>
      <c r="Q2110" s="460" t="s">
        <v>2527</v>
      </c>
      <c r="R2110" s="460">
        <v>2121</v>
      </c>
      <c r="S2110" s="460" t="s">
        <v>1139</v>
      </c>
      <c r="T2110" s="462">
        <v>1</v>
      </c>
      <c r="U2110" s="460" t="s">
        <v>1139</v>
      </c>
      <c r="V2110" s="475">
        <v>0</v>
      </c>
      <c r="W2110" s="463" t="s">
        <v>2503</v>
      </c>
      <c r="X2110" s="463" t="s">
        <v>2503</v>
      </c>
      <c r="Y2110" s="463" t="s">
        <v>2268</v>
      </c>
      <c r="Z2110" s="463"/>
      <c r="AA2110" s="463"/>
      <c r="AB2110" s="464">
        <v>0</v>
      </c>
      <c r="AC2110" s="465">
        <v>0</v>
      </c>
      <c r="AD2110" s="465">
        <v>0</v>
      </c>
      <c r="AE2110" s="476">
        <v>0</v>
      </c>
      <c r="AF2110" s="467">
        <v>0</v>
      </c>
      <c r="AG2110" s="468">
        <v>0</v>
      </c>
      <c r="AH2110" s="218">
        <v>0</v>
      </c>
      <c r="AI2110" s="470">
        <v>0</v>
      </c>
      <c r="AJ2110" s="471">
        <v>0</v>
      </c>
      <c r="AK2110" s="218">
        <v>0</v>
      </c>
      <c r="AL2110" s="470">
        <v>0</v>
      </c>
      <c r="AM2110" s="471">
        <v>0</v>
      </c>
      <c r="AN2110" s="477">
        <v>0</v>
      </c>
      <c r="AO2110" s="473">
        <v>0</v>
      </c>
      <c r="AP2110" s="474">
        <v>0</v>
      </c>
      <c r="AQ2110" s="352"/>
      <c r="AR2110" s="352"/>
      <c r="AS2110" s="352"/>
      <c r="AT2110" s="352"/>
      <c r="AU2110" s="352"/>
      <c r="AV2110" s="352"/>
      <c r="AW2110" s="352" t="s">
        <v>254</v>
      </c>
    </row>
    <row r="2111" spans="2:49" x14ac:dyDescent="0.2">
      <c r="B2111" s="460" t="s">
        <v>2987</v>
      </c>
      <c r="C2111" s="460">
        <v>2221</v>
      </c>
      <c r="D2111" s="460" t="s">
        <v>2358</v>
      </c>
      <c r="E2111" s="460" t="s">
        <v>1136</v>
      </c>
      <c r="F2111" s="460">
        <v>1</v>
      </c>
      <c r="G2111" s="460">
        <v>4</v>
      </c>
      <c r="H2111" s="461" t="s">
        <v>712</v>
      </c>
      <c r="I2111" s="461" t="s">
        <v>713</v>
      </c>
      <c r="J2111" s="461" t="s">
        <v>712</v>
      </c>
      <c r="K2111" s="594"/>
      <c r="L2111" s="594"/>
      <c r="M2111" s="352">
        <v>2000</v>
      </c>
      <c r="N2111" s="352" t="s">
        <v>703</v>
      </c>
      <c r="O2111" s="460">
        <v>2221</v>
      </c>
      <c r="P2111" s="460" t="s">
        <v>1884</v>
      </c>
      <c r="Q2111" s="460" t="s">
        <v>2280</v>
      </c>
      <c r="R2111" s="460">
        <v>2121</v>
      </c>
      <c r="S2111" s="460" t="s">
        <v>1136</v>
      </c>
      <c r="T2111" s="462">
        <v>1</v>
      </c>
      <c r="U2111" s="460" t="s">
        <v>1136</v>
      </c>
      <c r="V2111" s="475">
        <v>0</v>
      </c>
      <c r="W2111" s="463" t="s">
        <v>713</v>
      </c>
      <c r="X2111" s="463" t="s">
        <v>713</v>
      </c>
      <c r="Y2111" s="463" t="s">
        <v>713</v>
      </c>
      <c r="Z2111" s="463"/>
      <c r="AA2111" s="463"/>
      <c r="AB2111" s="464">
        <v>464.77350320849291</v>
      </c>
      <c r="AC2111" s="465">
        <v>0.99805357631849068</v>
      </c>
      <c r="AD2111" s="465">
        <v>3.0630295418599624E-3</v>
      </c>
      <c r="AE2111" s="476">
        <v>465.13236336761145</v>
      </c>
      <c r="AF2111" s="467">
        <v>0.9988241918177263</v>
      </c>
      <c r="AG2111" s="468">
        <v>3.0648260065452007E-3</v>
      </c>
      <c r="AH2111" s="218">
        <v>323.82882653751631</v>
      </c>
      <c r="AI2111" s="470">
        <v>0.69538929437594166</v>
      </c>
      <c r="AJ2111" s="471">
        <v>2.1554419185949307E-3</v>
      </c>
      <c r="AK2111" s="218">
        <v>323.82882653751631</v>
      </c>
      <c r="AL2111" s="470">
        <v>0.69538929437594166</v>
      </c>
      <c r="AM2111" s="471">
        <v>2.1554419185949307E-3</v>
      </c>
      <c r="AN2111" s="477">
        <v>323.82882653751631</v>
      </c>
      <c r="AO2111" s="473">
        <v>0.69538929437594166</v>
      </c>
      <c r="AP2111" s="474">
        <v>2.1519347136003796E-3</v>
      </c>
      <c r="AQ2111" s="352"/>
      <c r="AR2111" s="352"/>
      <c r="AS2111" s="352"/>
      <c r="AT2111" s="352"/>
      <c r="AU2111" s="352"/>
      <c r="AV2111" s="352"/>
      <c r="AW2111" s="352" t="s">
        <v>254</v>
      </c>
    </row>
    <row r="2112" spans="2:49" x14ac:dyDescent="0.2">
      <c r="B2112" s="460" t="s">
        <v>2988</v>
      </c>
      <c r="C2112" s="460">
        <v>2221</v>
      </c>
      <c r="D2112" s="460" t="s">
        <v>2359</v>
      </c>
      <c r="E2112" s="460" t="s">
        <v>1137</v>
      </c>
      <c r="F2112" s="460">
        <v>2</v>
      </c>
      <c r="G2112" s="460">
        <v>4</v>
      </c>
      <c r="H2112" s="461" t="s">
        <v>712</v>
      </c>
      <c r="I2112" s="461" t="s">
        <v>713</v>
      </c>
      <c r="J2112" s="461" t="s">
        <v>712</v>
      </c>
      <c r="K2112" s="594"/>
      <c r="L2112" s="594"/>
      <c r="M2112" s="352">
        <v>2000</v>
      </c>
      <c r="N2112" s="352" t="s">
        <v>703</v>
      </c>
      <c r="O2112" s="460">
        <v>2221</v>
      </c>
      <c r="P2112" s="460" t="s">
        <v>1884</v>
      </c>
      <c r="Q2112" s="460" t="s">
        <v>2280</v>
      </c>
      <c r="R2112" s="460">
        <v>2121</v>
      </c>
      <c r="S2112" s="460" t="s">
        <v>1137</v>
      </c>
      <c r="T2112" s="462">
        <v>1</v>
      </c>
      <c r="U2112" s="460" t="s">
        <v>1137</v>
      </c>
      <c r="V2112" s="475">
        <v>0</v>
      </c>
      <c r="W2112" s="463" t="s">
        <v>713</v>
      </c>
      <c r="X2112" s="463" t="s">
        <v>713</v>
      </c>
      <c r="Y2112" s="463" t="s">
        <v>713</v>
      </c>
      <c r="Z2112" s="463"/>
      <c r="AA2112" s="463"/>
      <c r="AB2112" s="464">
        <v>705.13056748962163</v>
      </c>
      <c r="AC2112" s="465">
        <v>0.98451273581641419</v>
      </c>
      <c r="AD2112" s="465">
        <v>4.077867341372097E-3</v>
      </c>
      <c r="AE2112" s="476">
        <v>709.55952071480101</v>
      </c>
      <c r="AF2112" s="467">
        <v>0.99069649958664452</v>
      </c>
      <c r="AG2112" s="468">
        <v>4.0959510498271455E-3</v>
      </c>
      <c r="AH2112" s="218">
        <v>565.81401216650988</v>
      </c>
      <c r="AI2112" s="470">
        <v>0.78999709665757945</v>
      </c>
      <c r="AJ2112" s="471">
        <v>3.2816750335701843E-3</v>
      </c>
      <c r="AK2112" s="218">
        <v>565.81401216650988</v>
      </c>
      <c r="AL2112" s="470">
        <v>0.78999709665757945</v>
      </c>
      <c r="AM2112" s="471">
        <v>3.2816750335701843E-3</v>
      </c>
      <c r="AN2112" s="477">
        <v>565.81401216650988</v>
      </c>
      <c r="AO2112" s="473">
        <v>0.78999709665757945</v>
      </c>
      <c r="AP2112" s="474">
        <v>3.2789671809013393E-3</v>
      </c>
      <c r="AQ2112" s="352"/>
      <c r="AR2112" s="352"/>
      <c r="AS2112" s="352"/>
      <c r="AT2112" s="352"/>
      <c r="AU2112" s="352"/>
      <c r="AV2112" s="352"/>
      <c r="AW2112" s="352" t="s">
        <v>254</v>
      </c>
    </row>
    <row r="2113" spans="2:49" x14ac:dyDescent="0.2">
      <c r="B2113" s="460" t="s">
        <v>2989</v>
      </c>
      <c r="C2113" s="460">
        <v>2221</v>
      </c>
      <c r="D2113" s="460" t="s">
        <v>2360</v>
      </c>
      <c r="E2113" s="460" t="s">
        <v>1138</v>
      </c>
      <c r="F2113" s="460">
        <v>3</v>
      </c>
      <c r="G2113" s="460">
        <v>4</v>
      </c>
      <c r="H2113" s="461" t="s">
        <v>712</v>
      </c>
      <c r="I2113" s="461" t="s">
        <v>713</v>
      </c>
      <c r="J2113" s="461" t="s">
        <v>712</v>
      </c>
      <c r="K2113" s="594"/>
      <c r="L2113" s="594"/>
      <c r="M2113" s="352">
        <v>2000</v>
      </c>
      <c r="N2113" s="352" t="s">
        <v>703</v>
      </c>
      <c r="O2113" s="460">
        <v>2221</v>
      </c>
      <c r="P2113" s="460" t="s">
        <v>1884</v>
      </c>
      <c r="Q2113" s="460" t="s">
        <v>2280</v>
      </c>
      <c r="R2113" s="460">
        <v>2121</v>
      </c>
      <c r="S2113" s="460" t="s">
        <v>1138</v>
      </c>
      <c r="T2113" s="462">
        <v>1</v>
      </c>
      <c r="U2113" s="460" t="s">
        <v>1138</v>
      </c>
      <c r="V2113" s="475">
        <v>0</v>
      </c>
      <c r="W2113" s="463" t="s">
        <v>713</v>
      </c>
      <c r="X2113" s="463" t="s">
        <v>713</v>
      </c>
      <c r="Y2113" s="463" t="s">
        <v>713</v>
      </c>
      <c r="Z2113" s="463"/>
      <c r="AA2113" s="463"/>
      <c r="AB2113" s="464">
        <v>296.83812990745457</v>
      </c>
      <c r="AC2113" s="465">
        <v>0.98032727563966082</v>
      </c>
      <c r="AD2113" s="465">
        <v>3.7044053008172609E-3</v>
      </c>
      <c r="AE2113" s="476">
        <v>299.22043909701893</v>
      </c>
      <c r="AF2113" s="467">
        <v>0.988195007046893</v>
      </c>
      <c r="AG2113" s="468">
        <v>3.7260340624234258E-3</v>
      </c>
      <c r="AH2113" s="218">
        <v>198.16616764051946</v>
      </c>
      <c r="AI2113" s="470">
        <v>0.6544566875810387</v>
      </c>
      <c r="AJ2113" s="471">
        <v>2.4965928196635646E-3</v>
      </c>
      <c r="AK2113" s="218">
        <v>198.16616764051946</v>
      </c>
      <c r="AL2113" s="470">
        <v>0.6544566875810387</v>
      </c>
      <c r="AM2113" s="471">
        <v>2.4965928196635646E-3</v>
      </c>
      <c r="AN2113" s="477">
        <v>198.16616764051946</v>
      </c>
      <c r="AO2113" s="473">
        <v>0.6544566875810387</v>
      </c>
      <c r="AP2113" s="474">
        <v>2.4964046662269688E-3</v>
      </c>
      <c r="AQ2113" s="352"/>
      <c r="AR2113" s="352"/>
      <c r="AS2113" s="352"/>
      <c r="AT2113" s="352"/>
      <c r="AU2113" s="352"/>
      <c r="AV2113" s="352"/>
      <c r="AW2113" s="352" t="s">
        <v>254</v>
      </c>
    </row>
    <row r="2114" spans="2:49" x14ac:dyDescent="0.2">
      <c r="B2114" s="460" t="s">
        <v>2990</v>
      </c>
      <c r="C2114" s="460">
        <v>2221</v>
      </c>
      <c r="D2114" s="460" t="s">
        <v>2361</v>
      </c>
      <c r="E2114" s="460" t="s">
        <v>1139</v>
      </c>
      <c r="F2114" s="460">
        <v>4</v>
      </c>
      <c r="G2114" s="460">
        <v>4</v>
      </c>
      <c r="H2114" s="461" t="s">
        <v>712</v>
      </c>
      <c r="I2114" s="461" t="s">
        <v>713</v>
      </c>
      <c r="J2114" s="461" t="s">
        <v>712</v>
      </c>
      <c r="K2114" s="594"/>
      <c r="L2114" s="594"/>
      <c r="M2114" s="352">
        <v>2000</v>
      </c>
      <c r="N2114" s="352" t="s">
        <v>703</v>
      </c>
      <c r="O2114" s="460">
        <v>2221</v>
      </c>
      <c r="P2114" s="460" t="s">
        <v>1884</v>
      </c>
      <c r="Q2114" s="460" t="s">
        <v>2280</v>
      </c>
      <c r="R2114" s="460">
        <v>2121</v>
      </c>
      <c r="S2114" s="460" t="s">
        <v>1139</v>
      </c>
      <c r="T2114" s="462">
        <v>1</v>
      </c>
      <c r="U2114" s="460" t="s">
        <v>1139</v>
      </c>
      <c r="V2114" s="475">
        <v>0</v>
      </c>
      <c r="W2114" s="463" t="s">
        <v>713</v>
      </c>
      <c r="X2114" s="463" t="s">
        <v>713</v>
      </c>
      <c r="Y2114" s="463" t="s">
        <v>713</v>
      </c>
      <c r="Z2114" s="463"/>
      <c r="AA2114" s="463"/>
      <c r="AB2114" s="464">
        <v>343.29492574192005</v>
      </c>
      <c r="AC2114" s="465">
        <v>0.99834668163400664</v>
      </c>
      <c r="AD2114" s="465">
        <v>3.8010422062358953E-3</v>
      </c>
      <c r="AE2114" s="476">
        <v>343.29492574192011</v>
      </c>
      <c r="AF2114" s="467">
        <v>0.99834668163400675</v>
      </c>
      <c r="AG2114" s="468">
        <v>3.8010422062358961E-3</v>
      </c>
      <c r="AH2114" s="218">
        <v>129.71034987670217</v>
      </c>
      <c r="AI2114" s="470">
        <v>0.37721471441247911</v>
      </c>
      <c r="AJ2114" s="471">
        <v>1.467072748978867E-3</v>
      </c>
      <c r="AK2114" s="218">
        <v>129.71034987670217</v>
      </c>
      <c r="AL2114" s="470">
        <v>0.37721471441247911</v>
      </c>
      <c r="AM2114" s="471">
        <v>1.467072748978867E-3</v>
      </c>
      <c r="AN2114" s="477">
        <v>129.71034987670217</v>
      </c>
      <c r="AO2114" s="473">
        <v>0.37721471441247911</v>
      </c>
      <c r="AP2114" s="474">
        <v>1.467072748978867E-3</v>
      </c>
      <c r="AQ2114" s="352"/>
      <c r="AR2114" s="352"/>
      <c r="AS2114" s="352"/>
      <c r="AT2114" s="352"/>
      <c r="AU2114" s="352"/>
      <c r="AV2114" s="352"/>
      <c r="AW2114" s="352" t="s">
        <v>254</v>
      </c>
    </row>
    <row r="2115" spans="2:49" x14ac:dyDescent="0.2">
      <c r="B2115" s="460" t="s">
        <v>2987</v>
      </c>
      <c r="C2115" s="460">
        <v>2221</v>
      </c>
      <c r="D2115" s="460" t="s">
        <v>2362</v>
      </c>
      <c r="E2115" s="460" t="s">
        <v>1136</v>
      </c>
      <c r="F2115" s="460">
        <v>1</v>
      </c>
      <c r="G2115" s="460">
        <v>4</v>
      </c>
      <c r="H2115" s="461" t="s">
        <v>746</v>
      </c>
      <c r="I2115" s="461" t="s">
        <v>762</v>
      </c>
      <c r="J2115" s="461" t="s">
        <v>700</v>
      </c>
      <c r="K2115" s="594"/>
      <c r="L2115" s="594"/>
      <c r="M2115" s="352">
        <v>2000</v>
      </c>
      <c r="N2115" s="352" t="s">
        <v>703</v>
      </c>
      <c r="O2115" s="460">
        <v>2221</v>
      </c>
      <c r="P2115" s="460" t="s">
        <v>1884</v>
      </c>
      <c r="Q2115" s="460" t="s">
        <v>2531</v>
      </c>
      <c r="R2115" s="460">
        <v>2121</v>
      </c>
      <c r="S2115" s="460" t="s">
        <v>1136</v>
      </c>
      <c r="T2115" s="462">
        <v>1</v>
      </c>
      <c r="U2115" s="460" t="s">
        <v>1136</v>
      </c>
      <c r="V2115" s="475">
        <v>0</v>
      </c>
      <c r="W2115" s="463" t="s">
        <v>2268</v>
      </c>
      <c r="X2115" s="463" t="s">
        <v>2268</v>
      </c>
      <c r="Y2115" s="463" t="s">
        <v>2290</v>
      </c>
      <c r="Z2115" s="463"/>
      <c r="AA2115" s="463"/>
      <c r="AB2115" s="464">
        <v>0</v>
      </c>
      <c r="AC2115" s="465">
        <v>0</v>
      </c>
      <c r="AD2115" s="465">
        <v>0</v>
      </c>
      <c r="AE2115" s="476">
        <v>0</v>
      </c>
      <c r="AF2115" s="467">
        <v>0</v>
      </c>
      <c r="AG2115" s="468">
        <v>0</v>
      </c>
      <c r="AH2115" s="218">
        <v>0</v>
      </c>
      <c r="AI2115" s="470">
        <v>0</v>
      </c>
      <c r="AJ2115" s="471">
        <v>0</v>
      </c>
      <c r="AK2115" s="218">
        <v>0</v>
      </c>
      <c r="AL2115" s="470">
        <v>0</v>
      </c>
      <c r="AM2115" s="471">
        <v>0</v>
      </c>
      <c r="AN2115" s="477">
        <v>0</v>
      </c>
      <c r="AO2115" s="473">
        <v>0</v>
      </c>
      <c r="AP2115" s="474">
        <v>0</v>
      </c>
      <c r="AQ2115" s="352"/>
      <c r="AR2115" s="352"/>
      <c r="AS2115" s="352"/>
      <c r="AT2115" s="352"/>
      <c r="AU2115" s="352"/>
      <c r="AV2115" s="352"/>
      <c r="AW2115" s="352" t="s">
        <v>254</v>
      </c>
    </row>
    <row r="2116" spans="2:49" x14ac:dyDescent="0.2">
      <c r="B2116" s="460" t="s">
        <v>2988</v>
      </c>
      <c r="C2116" s="460">
        <v>2221</v>
      </c>
      <c r="D2116" s="460" t="s">
        <v>2363</v>
      </c>
      <c r="E2116" s="460" t="s">
        <v>1137</v>
      </c>
      <c r="F2116" s="460">
        <v>2</v>
      </c>
      <c r="G2116" s="460">
        <v>4</v>
      </c>
      <c r="H2116" s="461" t="s">
        <v>746</v>
      </c>
      <c r="I2116" s="461" t="s">
        <v>762</v>
      </c>
      <c r="J2116" s="461" t="s">
        <v>700</v>
      </c>
      <c r="K2116" s="594"/>
      <c r="L2116" s="594"/>
      <c r="M2116" s="352">
        <v>2000</v>
      </c>
      <c r="N2116" s="352" t="s">
        <v>703</v>
      </c>
      <c r="O2116" s="460">
        <v>2221</v>
      </c>
      <c r="P2116" s="460" t="s">
        <v>1884</v>
      </c>
      <c r="Q2116" s="460" t="s">
        <v>2531</v>
      </c>
      <c r="R2116" s="460">
        <v>2121</v>
      </c>
      <c r="S2116" s="460" t="s">
        <v>1137</v>
      </c>
      <c r="T2116" s="462">
        <v>1</v>
      </c>
      <c r="U2116" s="460" t="s">
        <v>1137</v>
      </c>
      <c r="V2116" s="475">
        <v>0</v>
      </c>
      <c r="W2116" s="463" t="s">
        <v>2268</v>
      </c>
      <c r="X2116" s="463" t="s">
        <v>2268</v>
      </c>
      <c r="Y2116" s="463" t="s">
        <v>2290</v>
      </c>
      <c r="Z2116" s="463"/>
      <c r="AA2116" s="463"/>
      <c r="AB2116" s="464">
        <v>0</v>
      </c>
      <c r="AC2116" s="465">
        <v>0</v>
      </c>
      <c r="AD2116" s="465">
        <v>0</v>
      </c>
      <c r="AE2116" s="476">
        <v>0</v>
      </c>
      <c r="AF2116" s="467">
        <v>0</v>
      </c>
      <c r="AG2116" s="468">
        <v>0</v>
      </c>
      <c r="AH2116" s="218">
        <v>0</v>
      </c>
      <c r="AI2116" s="470">
        <v>0</v>
      </c>
      <c r="AJ2116" s="471">
        <v>0</v>
      </c>
      <c r="AK2116" s="218">
        <v>0</v>
      </c>
      <c r="AL2116" s="470">
        <v>0</v>
      </c>
      <c r="AM2116" s="471">
        <v>0</v>
      </c>
      <c r="AN2116" s="477">
        <v>0</v>
      </c>
      <c r="AO2116" s="473">
        <v>0</v>
      </c>
      <c r="AP2116" s="474">
        <v>0</v>
      </c>
      <c r="AQ2116" s="352"/>
      <c r="AR2116" s="352"/>
      <c r="AS2116" s="352"/>
      <c r="AT2116" s="352"/>
      <c r="AU2116" s="352"/>
      <c r="AV2116" s="352"/>
      <c r="AW2116" s="352" t="s">
        <v>254</v>
      </c>
    </row>
    <row r="2117" spans="2:49" x14ac:dyDescent="0.2">
      <c r="B2117" s="460" t="s">
        <v>2989</v>
      </c>
      <c r="C2117" s="460">
        <v>2221</v>
      </c>
      <c r="D2117" s="460" t="s">
        <v>2364</v>
      </c>
      <c r="E2117" s="460" t="s">
        <v>1138</v>
      </c>
      <c r="F2117" s="460">
        <v>3</v>
      </c>
      <c r="G2117" s="460">
        <v>4</v>
      </c>
      <c r="H2117" s="461" t="s">
        <v>746</v>
      </c>
      <c r="I2117" s="461" t="s">
        <v>762</v>
      </c>
      <c r="J2117" s="461" t="s">
        <v>700</v>
      </c>
      <c r="K2117" s="594"/>
      <c r="L2117" s="594"/>
      <c r="M2117" s="352">
        <v>2000</v>
      </c>
      <c r="N2117" s="352" t="s">
        <v>703</v>
      </c>
      <c r="O2117" s="460">
        <v>2221</v>
      </c>
      <c r="P2117" s="460" t="s">
        <v>1884</v>
      </c>
      <c r="Q2117" s="460" t="s">
        <v>2531</v>
      </c>
      <c r="R2117" s="460">
        <v>2121</v>
      </c>
      <c r="S2117" s="460" t="s">
        <v>1138</v>
      </c>
      <c r="T2117" s="462">
        <v>1</v>
      </c>
      <c r="U2117" s="460" t="s">
        <v>1138</v>
      </c>
      <c r="V2117" s="475">
        <v>0</v>
      </c>
      <c r="W2117" s="463" t="s">
        <v>2268</v>
      </c>
      <c r="X2117" s="463" t="s">
        <v>2268</v>
      </c>
      <c r="Y2117" s="463" t="s">
        <v>2290</v>
      </c>
      <c r="Z2117" s="463"/>
      <c r="AA2117" s="463"/>
      <c r="AB2117" s="464">
        <v>0</v>
      </c>
      <c r="AC2117" s="465">
        <v>0</v>
      </c>
      <c r="AD2117" s="465">
        <v>0</v>
      </c>
      <c r="AE2117" s="476">
        <v>0</v>
      </c>
      <c r="AF2117" s="467">
        <v>0</v>
      </c>
      <c r="AG2117" s="468">
        <v>0</v>
      </c>
      <c r="AH2117" s="218">
        <v>0</v>
      </c>
      <c r="AI2117" s="470">
        <v>0</v>
      </c>
      <c r="AJ2117" s="471">
        <v>0</v>
      </c>
      <c r="AK2117" s="218">
        <v>0</v>
      </c>
      <c r="AL2117" s="470">
        <v>0</v>
      </c>
      <c r="AM2117" s="471">
        <v>0</v>
      </c>
      <c r="AN2117" s="477">
        <v>0</v>
      </c>
      <c r="AO2117" s="473">
        <v>0</v>
      </c>
      <c r="AP2117" s="474">
        <v>0</v>
      </c>
      <c r="AQ2117" s="352"/>
      <c r="AR2117" s="352"/>
      <c r="AS2117" s="352"/>
      <c r="AT2117" s="352"/>
      <c r="AU2117" s="352"/>
      <c r="AV2117" s="352"/>
      <c r="AW2117" s="352" t="s">
        <v>254</v>
      </c>
    </row>
    <row r="2118" spans="2:49" x14ac:dyDescent="0.2">
      <c r="B2118" s="460" t="s">
        <v>2990</v>
      </c>
      <c r="C2118" s="460">
        <v>2221</v>
      </c>
      <c r="D2118" s="460" t="s">
        <v>2365</v>
      </c>
      <c r="E2118" s="460" t="s">
        <v>1139</v>
      </c>
      <c r="F2118" s="460">
        <v>4</v>
      </c>
      <c r="G2118" s="460">
        <v>4</v>
      </c>
      <c r="H2118" s="461" t="s">
        <v>746</v>
      </c>
      <c r="I2118" s="461" t="s">
        <v>762</v>
      </c>
      <c r="J2118" s="461" t="s">
        <v>700</v>
      </c>
      <c r="K2118" s="594"/>
      <c r="L2118" s="594"/>
      <c r="M2118" s="352">
        <v>2000</v>
      </c>
      <c r="N2118" s="352" t="s">
        <v>703</v>
      </c>
      <c r="O2118" s="460">
        <v>2221</v>
      </c>
      <c r="P2118" s="460" t="s">
        <v>1884</v>
      </c>
      <c r="Q2118" s="460" t="s">
        <v>2531</v>
      </c>
      <c r="R2118" s="460">
        <v>2121</v>
      </c>
      <c r="S2118" s="460" t="s">
        <v>1139</v>
      </c>
      <c r="T2118" s="462">
        <v>1</v>
      </c>
      <c r="U2118" s="460" t="s">
        <v>1139</v>
      </c>
      <c r="V2118" s="475">
        <v>0</v>
      </c>
      <c r="W2118" s="463" t="s">
        <v>2268</v>
      </c>
      <c r="X2118" s="463" t="s">
        <v>2268</v>
      </c>
      <c r="Y2118" s="463" t="s">
        <v>2290</v>
      </c>
      <c r="Z2118" s="463"/>
      <c r="AA2118" s="463"/>
      <c r="AB2118" s="464">
        <v>0</v>
      </c>
      <c r="AC2118" s="465">
        <v>0</v>
      </c>
      <c r="AD2118" s="465">
        <v>0</v>
      </c>
      <c r="AE2118" s="476">
        <v>0</v>
      </c>
      <c r="AF2118" s="467">
        <v>0</v>
      </c>
      <c r="AG2118" s="468">
        <v>0</v>
      </c>
      <c r="AH2118" s="218">
        <v>0</v>
      </c>
      <c r="AI2118" s="470">
        <v>0</v>
      </c>
      <c r="AJ2118" s="471">
        <v>0</v>
      </c>
      <c r="AK2118" s="218">
        <v>0</v>
      </c>
      <c r="AL2118" s="470">
        <v>0</v>
      </c>
      <c r="AM2118" s="471">
        <v>0</v>
      </c>
      <c r="AN2118" s="477">
        <v>0</v>
      </c>
      <c r="AO2118" s="473">
        <v>0</v>
      </c>
      <c r="AP2118" s="474">
        <v>0</v>
      </c>
      <c r="AQ2118" s="352"/>
      <c r="AR2118" s="352"/>
      <c r="AS2118" s="352"/>
      <c r="AT2118" s="352"/>
      <c r="AU2118" s="352"/>
      <c r="AV2118" s="352"/>
      <c r="AW2118" s="352" t="s">
        <v>254</v>
      </c>
    </row>
    <row r="2119" spans="2:49" x14ac:dyDescent="0.2">
      <c r="B2119" s="460" t="s">
        <v>2987</v>
      </c>
      <c r="C2119" s="460">
        <v>2221</v>
      </c>
      <c r="D2119" s="460" t="s">
        <v>2366</v>
      </c>
      <c r="E2119" s="460" t="s">
        <v>1136</v>
      </c>
      <c r="F2119" s="460">
        <v>1</v>
      </c>
      <c r="G2119" s="460">
        <v>4</v>
      </c>
      <c r="H2119" s="461" t="s">
        <v>748</v>
      </c>
      <c r="I2119" s="461" t="s">
        <v>765</v>
      </c>
      <c r="J2119" s="461" t="s">
        <v>700</v>
      </c>
      <c r="K2119" s="594"/>
      <c r="L2119" s="594"/>
      <c r="M2119" s="352">
        <v>2000</v>
      </c>
      <c r="N2119" s="352" t="s">
        <v>703</v>
      </c>
      <c r="O2119" s="460">
        <v>2221</v>
      </c>
      <c r="P2119" s="460" t="s">
        <v>1884</v>
      </c>
      <c r="Q2119" s="460" t="s">
        <v>2527</v>
      </c>
      <c r="R2119" s="460">
        <v>2121</v>
      </c>
      <c r="S2119" s="460" t="s">
        <v>1136</v>
      </c>
      <c r="T2119" s="462">
        <v>1</v>
      </c>
      <c r="U2119" s="460" t="s">
        <v>1136</v>
      </c>
      <c r="V2119" s="475">
        <v>0</v>
      </c>
      <c r="W2119" s="463" t="s">
        <v>2268</v>
      </c>
      <c r="X2119" s="463" t="s">
        <v>2268</v>
      </c>
      <c r="Y2119" s="463" t="s">
        <v>2267</v>
      </c>
      <c r="Z2119" s="463"/>
      <c r="AA2119" s="463"/>
      <c r="AB2119" s="464">
        <v>0</v>
      </c>
      <c r="AC2119" s="465">
        <v>0</v>
      </c>
      <c r="AD2119" s="465">
        <v>0</v>
      </c>
      <c r="AE2119" s="476">
        <v>0</v>
      </c>
      <c r="AF2119" s="467">
        <v>0</v>
      </c>
      <c r="AG2119" s="468">
        <v>0</v>
      </c>
      <c r="AH2119" s="218">
        <v>0</v>
      </c>
      <c r="AI2119" s="470">
        <v>0</v>
      </c>
      <c r="AJ2119" s="471">
        <v>0</v>
      </c>
      <c r="AK2119" s="218">
        <v>0</v>
      </c>
      <c r="AL2119" s="470">
        <v>0</v>
      </c>
      <c r="AM2119" s="471">
        <v>0</v>
      </c>
      <c r="AN2119" s="477">
        <v>101.5049368296379</v>
      </c>
      <c r="AO2119" s="473">
        <v>0.21797147323899202</v>
      </c>
      <c r="AP2119" s="474">
        <v>0.12471380235769476</v>
      </c>
      <c r="AQ2119" s="352"/>
      <c r="AR2119" s="352"/>
      <c r="AS2119" s="352"/>
      <c r="AT2119" s="352"/>
      <c r="AU2119" s="352"/>
      <c r="AV2119" s="352"/>
      <c r="AW2119" s="352" t="s">
        <v>254</v>
      </c>
    </row>
    <row r="2120" spans="2:49" x14ac:dyDescent="0.2">
      <c r="B2120" s="460" t="s">
        <v>2988</v>
      </c>
      <c r="C2120" s="460">
        <v>2221</v>
      </c>
      <c r="D2120" s="460" t="s">
        <v>2367</v>
      </c>
      <c r="E2120" s="460" t="s">
        <v>1137</v>
      </c>
      <c r="F2120" s="460">
        <v>2</v>
      </c>
      <c r="G2120" s="460">
        <v>4</v>
      </c>
      <c r="H2120" s="461" t="s">
        <v>748</v>
      </c>
      <c r="I2120" s="461" t="s">
        <v>765</v>
      </c>
      <c r="J2120" s="461" t="s">
        <v>700</v>
      </c>
      <c r="K2120" s="594"/>
      <c r="L2120" s="594"/>
      <c r="M2120" s="352">
        <v>2000</v>
      </c>
      <c r="N2120" s="352" t="s">
        <v>703</v>
      </c>
      <c r="O2120" s="460">
        <v>2221</v>
      </c>
      <c r="P2120" s="460" t="s">
        <v>1884</v>
      </c>
      <c r="Q2120" s="460" t="s">
        <v>2527</v>
      </c>
      <c r="R2120" s="460">
        <v>2121</v>
      </c>
      <c r="S2120" s="460" t="s">
        <v>1137</v>
      </c>
      <c r="T2120" s="462">
        <v>1</v>
      </c>
      <c r="U2120" s="460" t="s">
        <v>1137</v>
      </c>
      <c r="V2120" s="475">
        <v>0</v>
      </c>
      <c r="W2120" s="463" t="s">
        <v>2268</v>
      </c>
      <c r="X2120" s="463" t="s">
        <v>2268</v>
      </c>
      <c r="Y2120" s="463" t="s">
        <v>2267</v>
      </c>
      <c r="Z2120" s="463"/>
      <c r="AA2120" s="463"/>
      <c r="AB2120" s="464">
        <v>0</v>
      </c>
      <c r="AC2120" s="465">
        <v>0</v>
      </c>
      <c r="AD2120" s="465">
        <v>0</v>
      </c>
      <c r="AE2120" s="476">
        <v>0</v>
      </c>
      <c r="AF2120" s="467">
        <v>0</v>
      </c>
      <c r="AG2120" s="468">
        <v>0</v>
      </c>
      <c r="AH2120" s="218">
        <v>0</v>
      </c>
      <c r="AI2120" s="470">
        <v>0</v>
      </c>
      <c r="AJ2120" s="471">
        <v>0</v>
      </c>
      <c r="AK2120" s="218">
        <v>0</v>
      </c>
      <c r="AL2120" s="470">
        <v>0</v>
      </c>
      <c r="AM2120" s="471">
        <v>0</v>
      </c>
      <c r="AN2120" s="477">
        <v>142.24429328621937</v>
      </c>
      <c r="AO2120" s="473">
        <v>0.19860338608785305</v>
      </c>
      <c r="AP2120" s="474">
        <v>0.13701128021516226</v>
      </c>
      <c r="AQ2120" s="352"/>
      <c r="AR2120" s="352"/>
      <c r="AS2120" s="352"/>
      <c r="AT2120" s="352"/>
      <c r="AU2120" s="352"/>
      <c r="AV2120" s="352"/>
      <c r="AW2120" s="352" t="s">
        <v>254</v>
      </c>
    </row>
    <row r="2121" spans="2:49" x14ac:dyDescent="0.2">
      <c r="B2121" s="460" t="s">
        <v>2989</v>
      </c>
      <c r="C2121" s="460">
        <v>2221</v>
      </c>
      <c r="D2121" s="460" t="s">
        <v>2368</v>
      </c>
      <c r="E2121" s="460" t="s">
        <v>1138</v>
      </c>
      <c r="F2121" s="460">
        <v>3</v>
      </c>
      <c r="G2121" s="460">
        <v>4</v>
      </c>
      <c r="H2121" s="461" t="s">
        <v>748</v>
      </c>
      <c r="I2121" s="461" t="s">
        <v>765</v>
      </c>
      <c r="J2121" s="461" t="s">
        <v>700</v>
      </c>
      <c r="K2121" s="594"/>
      <c r="L2121" s="594"/>
      <c r="M2121" s="352">
        <v>2000</v>
      </c>
      <c r="N2121" s="352" t="s">
        <v>703</v>
      </c>
      <c r="O2121" s="460">
        <v>2221</v>
      </c>
      <c r="P2121" s="460" t="s">
        <v>1884</v>
      </c>
      <c r="Q2121" s="460" t="s">
        <v>2527</v>
      </c>
      <c r="R2121" s="460">
        <v>2121</v>
      </c>
      <c r="S2121" s="460" t="s">
        <v>1138</v>
      </c>
      <c r="T2121" s="462">
        <v>1</v>
      </c>
      <c r="U2121" s="460" t="s">
        <v>1138</v>
      </c>
      <c r="V2121" s="475">
        <v>0</v>
      </c>
      <c r="W2121" s="463" t="s">
        <v>2268</v>
      </c>
      <c r="X2121" s="463" t="s">
        <v>2268</v>
      </c>
      <c r="Y2121" s="463" t="s">
        <v>2267</v>
      </c>
      <c r="Z2121" s="463"/>
      <c r="AA2121" s="463"/>
      <c r="AB2121" s="464">
        <v>0</v>
      </c>
      <c r="AC2121" s="465">
        <v>0</v>
      </c>
      <c r="AD2121" s="465">
        <v>0</v>
      </c>
      <c r="AE2121" s="476">
        <v>0</v>
      </c>
      <c r="AF2121" s="467">
        <v>0</v>
      </c>
      <c r="AG2121" s="468">
        <v>0</v>
      </c>
      <c r="AH2121" s="218">
        <v>0</v>
      </c>
      <c r="AI2121" s="470">
        <v>0</v>
      </c>
      <c r="AJ2121" s="471">
        <v>0</v>
      </c>
      <c r="AK2121" s="218">
        <v>0</v>
      </c>
      <c r="AL2121" s="470">
        <v>0</v>
      </c>
      <c r="AM2121" s="471">
        <v>0</v>
      </c>
      <c r="AN2121" s="477">
        <v>79.06818794308596</v>
      </c>
      <c r="AO2121" s="473">
        <v>0.2611278453350192</v>
      </c>
      <c r="AP2121" s="474">
        <v>8.2037237590784781E-2</v>
      </c>
      <c r="AQ2121" s="352"/>
      <c r="AR2121" s="352"/>
      <c r="AS2121" s="352"/>
      <c r="AT2121" s="352"/>
      <c r="AU2121" s="352"/>
      <c r="AV2121" s="352"/>
      <c r="AW2121" s="352" t="s">
        <v>254</v>
      </c>
    </row>
    <row r="2122" spans="2:49" x14ac:dyDescent="0.2">
      <c r="B2122" s="460" t="s">
        <v>2990</v>
      </c>
      <c r="C2122" s="460">
        <v>2221</v>
      </c>
      <c r="D2122" s="460" t="s">
        <v>2369</v>
      </c>
      <c r="E2122" s="460" t="s">
        <v>1139</v>
      </c>
      <c r="F2122" s="460">
        <v>4</v>
      </c>
      <c r="G2122" s="460">
        <v>4</v>
      </c>
      <c r="H2122" s="461" t="s">
        <v>748</v>
      </c>
      <c r="I2122" s="461" t="s">
        <v>765</v>
      </c>
      <c r="J2122" s="461" t="s">
        <v>700</v>
      </c>
      <c r="K2122" s="594"/>
      <c r="L2122" s="594"/>
      <c r="M2122" s="352">
        <v>2000</v>
      </c>
      <c r="N2122" s="352" t="s">
        <v>703</v>
      </c>
      <c r="O2122" s="460">
        <v>2221</v>
      </c>
      <c r="P2122" s="460" t="s">
        <v>1884</v>
      </c>
      <c r="Q2122" s="460" t="s">
        <v>2527</v>
      </c>
      <c r="R2122" s="460">
        <v>2121</v>
      </c>
      <c r="S2122" s="460" t="s">
        <v>1139</v>
      </c>
      <c r="T2122" s="462">
        <v>1</v>
      </c>
      <c r="U2122" s="460" t="s">
        <v>1139</v>
      </c>
      <c r="V2122" s="475">
        <v>0</v>
      </c>
      <c r="W2122" s="463" t="s">
        <v>2268</v>
      </c>
      <c r="X2122" s="463" t="s">
        <v>2268</v>
      </c>
      <c r="Y2122" s="463" t="s">
        <v>2267</v>
      </c>
      <c r="Z2122" s="463"/>
      <c r="AA2122" s="463"/>
      <c r="AB2122" s="464">
        <v>0</v>
      </c>
      <c r="AC2122" s="465">
        <v>0</v>
      </c>
      <c r="AD2122" s="465">
        <v>0</v>
      </c>
      <c r="AE2122" s="476">
        <v>0</v>
      </c>
      <c r="AF2122" s="467">
        <v>0</v>
      </c>
      <c r="AG2122" s="468">
        <v>0</v>
      </c>
      <c r="AH2122" s="218">
        <v>0</v>
      </c>
      <c r="AI2122" s="470">
        <v>0</v>
      </c>
      <c r="AJ2122" s="471">
        <v>0</v>
      </c>
      <c r="AK2122" s="218">
        <v>0</v>
      </c>
      <c r="AL2122" s="470">
        <v>0</v>
      </c>
      <c r="AM2122" s="471">
        <v>0</v>
      </c>
      <c r="AN2122" s="477">
        <v>0</v>
      </c>
      <c r="AO2122" s="473">
        <v>0</v>
      </c>
      <c r="AP2122" s="474">
        <v>0</v>
      </c>
      <c r="AQ2122" s="352"/>
      <c r="AR2122" s="352"/>
      <c r="AS2122" s="352"/>
      <c r="AT2122" s="352"/>
      <c r="AU2122" s="352"/>
      <c r="AV2122" s="352"/>
      <c r="AW2122" s="352" t="s">
        <v>254</v>
      </c>
    </row>
    <row r="2123" spans="2:49" x14ac:dyDescent="0.2">
      <c r="B2123" s="460" t="s">
        <v>2987</v>
      </c>
      <c r="C2123" s="460">
        <v>2221</v>
      </c>
      <c r="D2123" s="460" t="s">
        <v>2370</v>
      </c>
      <c r="E2123" s="460" t="s">
        <v>1136</v>
      </c>
      <c r="F2123" s="460">
        <v>1</v>
      </c>
      <c r="G2123" s="460">
        <v>4</v>
      </c>
      <c r="H2123" s="461" t="s">
        <v>752</v>
      </c>
      <c r="I2123" s="461" t="s">
        <v>964</v>
      </c>
      <c r="J2123" s="461" t="s">
        <v>752</v>
      </c>
      <c r="K2123" s="594"/>
      <c r="L2123" s="594"/>
      <c r="M2123" s="352">
        <v>2000</v>
      </c>
      <c r="N2123" s="352" t="s">
        <v>703</v>
      </c>
      <c r="O2123" s="460">
        <v>2221</v>
      </c>
      <c r="P2123" s="460" t="s">
        <v>1884</v>
      </c>
      <c r="Q2123" s="460" t="s">
        <v>2527</v>
      </c>
      <c r="R2123" s="460">
        <v>2121</v>
      </c>
      <c r="S2123" s="460" t="s">
        <v>1136</v>
      </c>
      <c r="T2123" s="462">
        <v>1</v>
      </c>
      <c r="U2123" s="460" t="s">
        <v>1136</v>
      </c>
      <c r="V2123" s="475">
        <v>0</v>
      </c>
      <c r="W2123" s="463" t="s">
        <v>2278</v>
      </c>
      <c r="X2123" s="463" t="s">
        <v>2267</v>
      </c>
      <c r="Y2123" s="463" t="s">
        <v>2267</v>
      </c>
      <c r="Z2123" s="463"/>
      <c r="AA2123" s="463"/>
      <c r="AB2123" s="464">
        <v>9.2600140774878725E-3</v>
      </c>
      <c r="AC2123" s="465">
        <v>1.9884933420248085E-5</v>
      </c>
      <c r="AD2123" s="465">
        <v>2.9987476152887614E-6</v>
      </c>
      <c r="AE2123" s="476">
        <v>9.2600140774878725E-3</v>
      </c>
      <c r="AF2123" s="467">
        <v>1.9884933420248085E-5</v>
      </c>
      <c r="AG2123" s="468">
        <v>2.9987476152887614E-6</v>
      </c>
      <c r="AH2123" s="218">
        <v>40.346150253212585</v>
      </c>
      <c r="AI2123" s="470">
        <v>8.663923238506635E-2</v>
      </c>
      <c r="AJ2123" s="471">
        <v>1.1030424342700795E-2</v>
      </c>
      <c r="AK2123" s="218">
        <v>40.346150253212585</v>
      </c>
      <c r="AL2123" s="470">
        <v>8.663923238506635E-2</v>
      </c>
      <c r="AM2123" s="471">
        <v>1.1030424342700795E-2</v>
      </c>
      <c r="AN2123" s="477">
        <v>40.346150253212585</v>
      </c>
      <c r="AO2123" s="473">
        <v>8.663923238506635E-2</v>
      </c>
      <c r="AP2123" s="474">
        <v>1.1030424342700795E-2</v>
      </c>
      <c r="AQ2123" s="352"/>
      <c r="AR2123" s="352"/>
      <c r="AS2123" s="352"/>
      <c r="AT2123" s="352"/>
      <c r="AU2123" s="352"/>
      <c r="AV2123" s="352"/>
      <c r="AW2123" s="352" t="s">
        <v>254</v>
      </c>
    </row>
    <row r="2124" spans="2:49" x14ac:dyDescent="0.2">
      <c r="B2124" s="460" t="s">
        <v>2988</v>
      </c>
      <c r="C2124" s="460">
        <v>2221</v>
      </c>
      <c r="D2124" s="460" t="s">
        <v>2371</v>
      </c>
      <c r="E2124" s="460" t="s">
        <v>1137</v>
      </c>
      <c r="F2124" s="460">
        <v>2</v>
      </c>
      <c r="G2124" s="460">
        <v>4</v>
      </c>
      <c r="H2124" s="461" t="s">
        <v>752</v>
      </c>
      <c r="I2124" s="461" t="s">
        <v>964</v>
      </c>
      <c r="J2124" s="461" t="s">
        <v>752</v>
      </c>
      <c r="K2124" s="594"/>
      <c r="L2124" s="594"/>
      <c r="M2124" s="352">
        <v>2000</v>
      </c>
      <c r="N2124" s="352" t="s">
        <v>703</v>
      </c>
      <c r="O2124" s="460">
        <v>2221</v>
      </c>
      <c r="P2124" s="460" t="s">
        <v>1884</v>
      </c>
      <c r="Q2124" s="460" t="s">
        <v>2527</v>
      </c>
      <c r="R2124" s="460">
        <v>2121</v>
      </c>
      <c r="S2124" s="460" t="s">
        <v>1137</v>
      </c>
      <c r="T2124" s="462">
        <v>1</v>
      </c>
      <c r="U2124" s="460" t="s">
        <v>1137</v>
      </c>
      <c r="V2124" s="475">
        <v>0</v>
      </c>
      <c r="W2124" s="463" t="s">
        <v>2278</v>
      </c>
      <c r="X2124" s="463" t="s">
        <v>2267</v>
      </c>
      <c r="Y2124" s="463" t="s">
        <v>2267</v>
      </c>
      <c r="Z2124" s="463"/>
      <c r="AA2124" s="463"/>
      <c r="AB2124" s="464">
        <v>1.9950215582083024E-2</v>
      </c>
      <c r="AC2124" s="465">
        <v>2.7854758009952395E-5</v>
      </c>
      <c r="AD2124" s="465">
        <v>1.9521074536479965E-6</v>
      </c>
      <c r="AE2124" s="476">
        <v>1.9950215582083024E-2</v>
      </c>
      <c r="AF2124" s="467">
        <v>2.7854758009952395E-5</v>
      </c>
      <c r="AG2124" s="468">
        <v>1.9521074536479965E-6</v>
      </c>
      <c r="AH2124" s="218">
        <v>8.1645953154229503</v>
      </c>
      <c r="AI2124" s="470">
        <v>1.1399517254567518E-2</v>
      </c>
      <c r="AJ2124" s="471">
        <v>7.9202797178860992E-4</v>
      </c>
      <c r="AK2124" s="218">
        <v>8.1645953154229503</v>
      </c>
      <c r="AL2124" s="470">
        <v>1.1399517254567518E-2</v>
      </c>
      <c r="AM2124" s="471">
        <v>7.9202797178860992E-4</v>
      </c>
      <c r="AN2124" s="477">
        <v>8.1645953154229503</v>
      </c>
      <c r="AO2124" s="473">
        <v>1.1399517254567518E-2</v>
      </c>
      <c r="AP2124" s="474">
        <v>7.9202797178860992E-4</v>
      </c>
      <c r="AQ2124" s="352"/>
      <c r="AR2124" s="352"/>
      <c r="AS2124" s="352"/>
      <c r="AT2124" s="352"/>
      <c r="AU2124" s="352"/>
      <c r="AV2124" s="352"/>
      <c r="AW2124" s="352" t="s">
        <v>254</v>
      </c>
    </row>
    <row r="2125" spans="2:49" x14ac:dyDescent="0.2">
      <c r="B2125" s="460" t="s">
        <v>2989</v>
      </c>
      <c r="C2125" s="460">
        <v>2221</v>
      </c>
      <c r="D2125" s="460" t="s">
        <v>2372</v>
      </c>
      <c r="E2125" s="460" t="s">
        <v>1138</v>
      </c>
      <c r="F2125" s="460">
        <v>3</v>
      </c>
      <c r="G2125" s="460">
        <v>4</v>
      </c>
      <c r="H2125" s="461" t="s">
        <v>752</v>
      </c>
      <c r="I2125" s="461" t="s">
        <v>964</v>
      </c>
      <c r="J2125" s="461" t="s">
        <v>752</v>
      </c>
      <c r="K2125" s="594"/>
      <c r="L2125" s="594"/>
      <c r="M2125" s="352">
        <v>2000</v>
      </c>
      <c r="N2125" s="352" t="s">
        <v>703</v>
      </c>
      <c r="O2125" s="460">
        <v>2221</v>
      </c>
      <c r="P2125" s="460" t="s">
        <v>1884</v>
      </c>
      <c r="Q2125" s="460" t="s">
        <v>2527</v>
      </c>
      <c r="R2125" s="460">
        <v>2121</v>
      </c>
      <c r="S2125" s="460" t="s">
        <v>1138</v>
      </c>
      <c r="T2125" s="462">
        <v>1</v>
      </c>
      <c r="U2125" s="460" t="s">
        <v>1138</v>
      </c>
      <c r="V2125" s="475">
        <v>0</v>
      </c>
      <c r="W2125" s="463" t="s">
        <v>2278</v>
      </c>
      <c r="X2125" s="463" t="s">
        <v>2267</v>
      </c>
      <c r="Y2125" s="463" t="s">
        <v>2267</v>
      </c>
      <c r="Z2125" s="463"/>
      <c r="AA2125" s="463"/>
      <c r="AB2125" s="464">
        <v>1.0282438228787847E-3</v>
      </c>
      <c r="AC2125" s="465">
        <v>3.3958422588443698E-6</v>
      </c>
      <c r="AD2125" s="465">
        <v>1.776018152401399E-7</v>
      </c>
      <c r="AE2125" s="476">
        <v>1.0282438228787847E-3</v>
      </c>
      <c r="AF2125" s="467">
        <v>3.3958422588443698E-6</v>
      </c>
      <c r="AG2125" s="468">
        <v>1.776018152401399E-7</v>
      </c>
      <c r="AH2125" s="218">
        <v>25.560575541582857</v>
      </c>
      <c r="AI2125" s="470">
        <v>8.4415467083942139E-2</v>
      </c>
      <c r="AJ2125" s="471">
        <v>4.2405800782801574E-3</v>
      </c>
      <c r="AK2125" s="218">
        <v>25.560575541582857</v>
      </c>
      <c r="AL2125" s="470">
        <v>8.4415467083942139E-2</v>
      </c>
      <c r="AM2125" s="471">
        <v>4.2405800782801574E-3</v>
      </c>
      <c r="AN2125" s="477">
        <v>25.560575541582857</v>
      </c>
      <c r="AO2125" s="473">
        <v>8.4415467083942139E-2</v>
      </c>
      <c r="AP2125" s="474">
        <v>4.2405800782801574E-3</v>
      </c>
      <c r="AQ2125" s="352"/>
      <c r="AR2125" s="352"/>
      <c r="AS2125" s="352"/>
      <c r="AT2125" s="352"/>
      <c r="AU2125" s="352"/>
      <c r="AV2125" s="352"/>
      <c r="AW2125" s="352" t="s">
        <v>254</v>
      </c>
    </row>
    <row r="2126" spans="2:49" x14ac:dyDescent="0.2">
      <c r="B2126" s="460" t="s">
        <v>2990</v>
      </c>
      <c r="C2126" s="460">
        <v>2221</v>
      </c>
      <c r="D2126" s="460" t="s">
        <v>2373</v>
      </c>
      <c r="E2126" s="460" t="s">
        <v>1139</v>
      </c>
      <c r="F2126" s="460">
        <v>4</v>
      </c>
      <c r="G2126" s="460">
        <v>4</v>
      </c>
      <c r="H2126" s="461" t="s">
        <v>752</v>
      </c>
      <c r="I2126" s="461" t="s">
        <v>964</v>
      </c>
      <c r="J2126" s="461" t="s">
        <v>752</v>
      </c>
      <c r="K2126" s="594"/>
      <c r="L2126" s="594"/>
      <c r="M2126" s="352">
        <v>2000</v>
      </c>
      <c r="N2126" s="352" t="s">
        <v>703</v>
      </c>
      <c r="O2126" s="460">
        <v>2221</v>
      </c>
      <c r="P2126" s="460" t="s">
        <v>1884</v>
      </c>
      <c r="Q2126" s="460" t="s">
        <v>2527</v>
      </c>
      <c r="R2126" s="460">
        <v>2121</v>
      </c>
      <c r="S2126" s="460" t="s">
        <v>1139</v>
      </c>
      <c r="T2126" s="462">
        <v>1</v>
      </c>
      <c r="U2126" s="460" t="s">
        <v>1139</v>
      </c>
      <c r="V2126" s="475">
        <v>0</v>
      </c>
      <c r="W2126" s="463" t="s">
        <v>2278</v>
      </c>
      <c r="X2126" s="463" t="s">
        <v>2267</v>
      </c>
      <c r="Y2126" s="463" t="s">
        <v>2267</v>
      </c>
      <c r="Z2126" s="463"/>
      <c r="AA2126" s="463"/>
      <c r="AB2126" s="464">
        <v>0.56851574320100506</v>
      </c>
      <c r="AC2126" s="465">
        <v>1.6533183659932765E-3</v>
      </c>
      <c r="AD2126" s="465">
        <v>2.2665172300941646E-5</v>
      </c>
      <c r="AE2126" s="476">
        <v>0.56851574320100506</v>
      </c>
      <c r="AF2126" s="467">
        <v>1.6533183659932765E-3</v>
      </c>
      <c r="AG2126" s="468">
        <v>2.2665172300941646E-5</v>
      </c>
      <c r="AH2126" s="218">
        <v>214.15309160841892</v>
      </c>
      <c r="AI2126" s="470">
        <v>0.62278528558752089</v>
      </c>
      <c r="AJ2126" s="471">
        <v>7.9360534664204736E-3</v>
      </c>
      <c r="AK2126" s="218">
        <v>214.15309160841892</v>
      </c>
      <c r="AL2126" s="470">
        <v>0.62278528558752089</v>
      </c>
      <c r="AM2126" s="471">
        <v>7.9360534664204736E-3</v>
      </c>
      <c r="AN2126" s="477">
        <v>214.15309160841892</v>
      </c>
      <c r="AO2126" s="473">
        <v>0.62278528558752089</v>
      </c>
      <c r="AP2126" s="474">
        <v>7.9360534664204736E-3</v>
      </c>
      <c r="AQ2126" s="352"/>
      <c r="AR2126" s="352"/>
      <c r="AS2126" s="352"/>
      <c r="AT2126" s="352"/>
      <c r="AU2126" s="352"/>
      <c r="AV2126" s="352"/>
      <c r="AW2126" s="352" t="s">
        <v>254</v>
      </c>
    </row>
    <row r="2127" spans="2:49" x14ac:dyDescent="0.2">
      <c r="B2127" s="460" t="s">
        <v>2991</v>
      </c>
      <c r="C2127" s="460">
        <v>2221</v>
      </c>
      <c r="D2127" s="460" t="s">
        <v>2375</v>
      </c>
      <c r="E2127" s="460" t="s">
        <v>2376</v>
      </c>
      <c r="F2127" s="460">
        <v>1</v>
      </c>
      <c r="G2127" s="460">
        <v>5</v>
      </c>
      <c r="H2127" s="461" t="s">
        <v>754</v>
      </c>
      <c r="I2127" s="461" t="s">
        <v>1991</v>
      </c>
      <c r="J2127" s="461" t="s">
        <v>754</v>
      </c>
      <c r="K2127" s="594"/>
      <c r="L2127" s="594"/>
      <c r="M2127" s="352">
        <v>2000</v>
      </c>
      <c r="N2127" s="352" t="s">
        <v>703</v>
      </c>
      <c r="O2127" s="460">
        <v>2221</v>
      </c>
      <c r="P2127" s="460" t="s">
        <v>1884</v>
      </c>
      <c r="Q2127" s="460" t="s">
        <v>2377</v>
      </c>
      <c r="R2127" s="460">
        <v>2121</v>
      </c>
      <c r="S2127" s="460" t="s">
        <v>2376</v>
      </c>
      <c r="T2127" s="462">
        <v>1</v>
      </c>
      <c r="U2127" s="460" t="s">
        <v>2376</v>
      </c>
      <c r="V2127" s="475">
        <v>0</v>
      </c>
      <c r="W2127" s="463" t="s">
        <v>2278</v>
      </c>
      <c r="X2127" s="463" t="s">
        <v>2278</v>
      </c>
      <c r="Y2127" s="463" t="s">
        <v>2278</v>
      </c>
      <c r="Z2127" s="463"/>
      <c r="AA2127" s="463"/>
      <c r="AB2127" s="464">
        <v>276.40407343670978</v>
      </c>
      <c r="AC2127" s="465">
        <v>1</v>
      </c>
      <c r="AD2127" s="465">
        <v>4.646642248602643E-4</v>
      </c>
      <c r="AE2127" s="476">
        <v>276.40407343670978</v>
      </c>
      <c r="AF2127" s="467">
        <v>1</v>
      </c>
      <c r="AG2127" s="468">
        <v>4.646642248602643E-4</v>
      </c>
      <c r="AH2127" s="218">
        <v>276.40407343670978</v>
      </c>
      <c r="AI2127" s="470">
        <v>1</v>
      </c>
      <c r="AJ2127" s="471">
        <v>4.646642248602643E-4</v>
      </c>
      <c r="AK2127" s="218">
        <v>276.40407343670978</v>
      </c>
      <c r="AL2127" s="470">
        <v>1</v>
      </c>
      <c r="AM2127" s="471">
        <v>4.646642248602643E-4</v>
      </c>
      <c r="AN2127" s="477">
        <v>276.40407343670978</v>
      </c>
      <c r="AO2127" s="473">
        <v>1</v>
      </c>
      <c r="AP2127" s="474">
        <v>4.646642248602643E-4</v>
      </c>
      <c r="AQ2127" s="352"/>
      <c r="AR2127" s="352"/>
      <c r="AS2127" s="352"/>
      <c r="AT2127" s="352"/>
      <c r="AU2127" s="352"/>
      <c r="AV2127" s="352"/>
      <c r="AW2127" s="352" t="s">
        <v>127</v>
      </c>
    </row>
    <row r="2128" spans="2:49" x14ac:dyDescent="0.2">
      <c r="B2128" s="460" t="s">
        <v>2992</v>
      </c>
      <c r="C2128" s="460">
        <v>2221</v>
      </c>
      <c r="D2128" s="460" t="s">
        <v>2379</v>
      </c>
      <c r="E2128" s="460" t="s">
        <v>2380</v>
      </c>
      <c r="F2128" s="460">
        <v>2</v>
      </c>
      <c r="G2128" s="460">
        <v>5</v>
      </c>
      <c r="H2128" s="461" t="s">
        <v>754</v>
      </c>
      <c r="I2128" s="461" t="s">
        <v>1991</v>
      </c>
      <c r="J2128" s="461" t="s">
        <v>754</v>
      </c>
      <c r="K2128" s="594"/>
      <c r="L2128" s="594"/>
      <c r="M2128" s="352">
        <v>2000</v>
      </c>
      <c r="N2128" s="352" t="s">
        <v>703</v>
      </c>
      <c r="O2128" s="460">
        <v>2221</v>
      </c>
      <c r="P2128" s="460" t="s">
        <v>1884</v>
      </c>
      <c r="Q2128" s="460" t="s">
        <v>2377</v>
      </c>
      <c r="R2128" s="460">
        <v>2121</v>
      </c>
      <c r="S2128" s="460" t="s">
        <v>2380</v>
      </c>
      <c r="T2128" s="462">
        <v>1</v>
      </c>
      <c r="U2128" s="460" t="s">
        <v>2380</v>
      </c>
      <c r="V2128" s="475">
        <v>0</v>
      </c>
      <c r="W2128" s="463" t="s">
        <v>2278</v>
      </c>
      <c r="X2128" s="463" t="s">
        <v>2278</v>
      </c>
      <c r="Y2128" s="463" t="s">
        <v>2278</v>
      </c>
      <c r="Z2128" s="463"/>
      <c r="AA2128" s="463"/>
      <c r="AB2128" s="464">
        <v>30.240083893700248</v>
      </c>
      <c r="AC2128" s="465">
        <v>1</v>
      </c>
      <c r="AD2128" s="465">
        <v>5.9548885097420147E-5</v>
      </c>
      <c r="AE2128" s="476">
        <v>30.240083893700248</v>
      </c>
      <c r="AF2128" s="467">
        <v>1</v>
      </c>
      <c r="AG2128" s="468">
        <v>5.9548885097420147E-5</v>
      </c>
      <c r="AH2128" s="218">
        <v>30.240083893700248</v>
      </c>
      <c r="AI2128" s="470">
        <v>1</v>
      </c>
      <c r="AJ2128" s="471">
        <v>5.9548885097420147E-5</v>
      </c>
      <c r="AK2128" s="218">
        <v>30.240083893700248</v>
      </c>
      <c r="AL2128" s="470">
        <v>1</v>
      </c>
      <c r="AM2128" s="471">
        <v>5.9548885097420147E-5</v>
      </c>
      <c r="AN2128" s="477">
        <v>30.240083893700248</v>
      </c>
      <c r="AO2128" s="473">
        <v>1</v>
      </c>
      <c r="AP2128" s="474">
        <v>5.9548885097420147E-5</v>
      </c>
      <c r="AQ2128" s="352"/>
      <c r="AR2128" s="352"/>
      <c r="AS2128" s="352"/>
      <c r="AT2128" s="352"/>
      <c r="AU2128" s="352"/>
      <c r="AV2128" s="352"/>
      <c r="AW2128" s="352" t="s">
        <v>127</v>
      </c>
    </row>
    <row r="2129" spans="2:49" x14ac:dyDescent="0.2">
      <c r="B2129" s="460" t="s">
        <v>2993</v>
      </c>
      <c r="C2129" s="460">
        <v>2221</v>
      </c>
      <c r="D2129" s="460" t="s">
        <v>2382</v>
      </c>
      <c r="E2129" s="460" t="s">
        <v>2383</v>
      </c>
      <c r="F2129" s="460">
        <v>3</v>
      </c>
      <c r="G2129" s="460">
        <v>5</v>
      </c>
      <c r="H2129" s="461" t="s">
        <v>754</v>
      </c>
      <c r="I2129" s="461" t="s">
        <v>1991</v>
      </c>
      <c r="J2129" s="461" t="s">
        <v>754</v>
      </c>
      <c r="K2129" s="594"/>
      <c r="L2129" s="594"/>
      <c r="M2129" s="352">
        <v>2000</v>
      </c>
      <c r="N2129" s="352" t="s">
        <v>703</v>
      </c>
      <c r="O2129" s="460">
        <v>2221</v>
      </c>
      <c r="P2129" s="460" t="s">
        <v>1884</v>
      </c>
      <c r="Q2129" s="460" t="s">
        <v>2377</v>
      </c>
      <c r="R2129" s="460">
        <v>2121</v>
      </c>
      <c r="S2129" s="460" t="s">
        <v>2383</v>
      </c>
      <c r="T2129" s="462">
        <v>1</v>
      </c>
      <c r="U2129" s="460" t="s">
        <v>2383</v>
      </c>
      <c r="V2129" s="475">
        <v>0</v>
      </c>
      <c r="W2129" s="463" t="s">
        <v>2278</v>
      </c>
      <c r="X2129" s="463" t="s">
        <v>2278</v>
      </c>
      <c r="Y2129" s="463" t="s">
        <v>2278</v>
      </c>
      <c r="Z2129" s="463"/>
      <c r="AA2129" s="463"/>
      <c r="AB2129" s="464">
        <v>2.4949570172756017</v>
      </c>
      <c r="AC2129" s="465">
        <v>1</v>
      </c>
      <c r="AD2129" s="465">
        <v>2.217681996710519E-5</v>
      </c>
      <c r="AE2129" s="476">
        <v>2.4949570172756017</v>
      </c>
      <c r="AF2129" s="467">
        <v>1</v>
      </c>
      <c r="AG2129" s="468">
        <v>2.217681996710519E-5</v>
      </c>
      <c r="AH2129" s="218">
        <v>2.4949570172756017</v>
      </c>
      <c r="AI2129" s="470">
        <v>1</v>
      </c>
      <c r="AJ2129" s="471">
        <v>2.217681996710519E-5</v>
      </c>
      <c r="AK2129" s="218">
        <v>2.4949570172756017</v>
      </c>
      <c r="AL2129" s="470">
        <v>1</v>
      </c>
      <c r="AM2129" s="471">
        <v>2.217681996710519E-5</v>
      </c>
      <c r="AN2129" s="477">
        <v>2.4949570172756017</v>
      </c>
      <c r="AO2129" s="473">
        <v>1</v>
      </c>
      <c r="AP2129" s="474">
        <v>2.217681996710519E-5</v>
      </c>
      <c r="AQ2129" s="352"/>
      <c r="AR2129" s="352"/>
      <c r="AS2129" s="352"/>
      <c r="AT2129" s="352"/>
      <c r="AU2129" s="352"/>
      <c r="AV2129" s="352"/>
      <c r="AW2129" s="352" t="s">
        <v>127</v>
      </c>
    </row>
    <row r="2130" spans="2:49" x14ac:dyDescent="0.2">
      <c r="B2130" s="460" t="s">
        <v>2994</v>
      </c>
      <c r="C2130" s="460">
        <v>2221</v>
      </c>
      <c r="D2130" s="460" t="s">
        <v>2385</v>
      </c>
      <c r="E2130" s="460" t="s">
        <v>2386</v>
      </c>
      <c r="F2130" s="460">
        <v>4</v>
      </c>
      <c r="G2130" s="460">
        <v>5</v>
      </c>
      <c r="H2130" s="461" t="s">
        <v>754</v>
      </c>
      <c r="I2130" s="461" t="s">
        <v>1991</v>
      </c>
      <c r="J2130" s="461" t="s">
        <v>754</v>
      </c>
      <c r="K2130" s="594"/>
      <c r="L2130" s="594"/>
      <c r="M2130" s="352">
        <v>2000</v>
      </c>
      <c r="N2130" s="352" t="s">
        <v>703</v>
      </c>
      <c r="O2130" s="460">
        <v>2221</v>
      </c>
      <c r="P2130" s="460" t="s">
        <v>1884</v>
      </c>
      <c r="Q2130" s="460" t="s">
        <v>2377</v>
      </c>
      <c r="R2130" s="460">
        <v>2121</v>
      </c>
      <c r="S2130" s="460" t="s">
        <v>2386</v>
      </c>
      <c r="T2130" s="462">
        <v>1</v>
      </c>
      <c r="U2130" s="460" t="s">
        <v>2386</v>
      </c>
      <c r="V2130" s="475">
        <v>0</v>
      </c>
      <c r="W2130" s="463" t="s">
        <v>2278</v>
      </c>
      <c r="X2130" s="463" t="s">
        <v>2278</v>
      </c>
      <c r="Y2130" s="463" t="s">
        <v>2278</v>
      </c>
      <c r="Z2130" s="463"/>
      <c r="AA2130" s="463"/>
      <c r="AB2130" s="464">
        <v>2.4362247777434427</v>
      </c>
      <c r="AC2130" s="465">
        <v>1</v>
      </c>
      <c r="AD2130" s="465">
        <v>4.5193766321184866E-5</v>
      </c>
      <c r="AE2130" s="476">
        <v>2.4362247777434427</v>
      </c>
      <c r="AF2130" s="467">
        <v>1</v>
      </c>
      <c r="AG2130" s="468">
        <v>4.5193766321184866E-5</v>
      </c>
      <c r="AH2130" s="218">
        <v>2.4362247777434427</v>
      </c>
      <c r="AI2130" s="470">
        <v>1</v>
      </c>
      <c r="AJ2130" s="471">
        <v>4.5193766321184866E-5</v>
      </c>
      <c r="AK2130" s="218">
        <v>2.4362247777434427</v>
      </c>
      <c r="AL2130" s="470">
        <v>1</v>
      </c>
      <c r="AM2130" s="471">
        <v>4.5193766321184866E-5</v>
      </c>
      <c r="AN2130" s="477">
        <v>2.4362247777434427</v>
      </c>
      <c r="AO2130" s="473">
        <v>1</v>
      </c>
      <c r="AP2130" s="474">
        <v>4.5193766321184866E-5</v>
      </c>
      <c r="AQ2130" s="352"/>
      <c r="AR2130" s="352"/>
      <c r="AS2130" s="352"/>
      <c r="AT2130" s="352"/>
      <c r="AU2130" s="352"/>
      <c r="AV2130" s="352"/>
      <c r="AW2130" s="352" t="s">
        <v>127</v>
      </c>
    </row>
    <row r="2131" spans="2:49" x14ac:dyDescent="0.2">
      <c r="B2131" s="460" t="s">
        <v>2995</v>
      </c>
      <c r="C2131" s="460">
        <v>2221</v>
      </c>
      <c r="D2131" s="460" t="s">
        <v>2388</v>
      </c>
      <c r="E2131" s="460" t="s">
        <v>2389</v>
      </c>
      <c r="F2131" s="460">
        <v>1</v>
      </c>
      <c r="G2131" s="460">
        <v>6</v>
      </c>
      <c r="H2131" s="461" t="s">
        <v>754</v>
      </c>
      <c r="I2131" s="461" t="s">
        <v>1991</v>
      </c>
      <c r="J2131" s="461" t="s">
        <v>754</v>
      </c>
      <c r="K2131" s="594"/>
      <c r="L2131" s="594"/>
      <c r="M2131" s="352">
        <v>2000</v>
      </c>
      <c r="N2131" s="352" t="s">
        <v>703</v>
      </c>
      <c r="O2131" s="460">
        <v>2221</v>
      </c>
      <c r="P2131" s="460" t="s">
        <v>1884</v>
      </c>
      <c r="Q2131" s="460" t="s">
        <v>2377</v>
      </c>
      <c r="R2131" s="460">
        <v>2121</v>
      </c>
      <c r="S2131" s="460" t="s">
        <v>2389</v>
      </c>
      <c r="T2131" s="462">
        <v>1</v>
      </c>
      <c r="U2131" s="460" t="s">
        <v>2389</v>
      </c>
      <c r="V2131" s="475">
        <v>0</v>
      </c>
      <c r="W2131" s="463" t="s">
        <v>2278</v>
      </c>
      <c r="X2131" s="463" t="s">
        <v>2278</v>
      </c>
      <c r="Y2131" s="463" t="s">
        <v>2278</v>
      </c>
      <c r="Z2131" s="463"/>
      <c r="AA2131" s="463"/>
      <c r="AB2131" s="464">
        <v>0</v>
      </c>
      <c r="AC2131" s="465">
        <v>0</v>
      </c>
      <c r="AD2131" s="465">
        <v>0</v>
      </c>
      <c r="AE2131" s="476">
        <v>0</v>
      </c>
      <c r="AF2131" s="467">
        <v>0</v>
      </c>
      <c r="AG2131" s="468">
        <v>0</v>
      </c>
      <c r="AH2131" s="218">
        <v>0</v>
      </c>
      <c r="AI2131" s="470">
        <v>0</v>
      </c>
      <c r="AJ2131" s="471">
        <v>0</v>
      </c>
      <c r="AK2131" s="218">
        <v>0</v>
      </c>
      <c r="AL2131" s="470">
        <v>0</v>
      </c>
      <c r="AM2131" s="471">
        <v>0</v>
      </c>
      <c r="AN2131" s="477">
        <v>0</v>
      </c>
      <c r="AO2131" s="473">
        <v>0</v>
      </c>
      <c r="AP2131" s="474">
        <v>0</v>
      </c>
      <c r="AQ2131" s="352"/>
      <c r="AR2131" s="352"/>
      <c r="AS2131" s="352"/>
      <c r="AT2131" s="352"/>
      <c r="AU2131" s="352"/>
      <c r="AV2131" s="352"/>
      <c r="AW2131" s="352" t="s">
        <v>127</v>
      </c>
    </row>
    <row r="2132" spans="2:49" x14ac:dyDescent="0.2">
      <c r="B2132" s="460" t="s">
        <v>2996</v>
      </c>
      <c r="C2132" s="460">
        <v>2221</v>
      </c>
      <c r="D2132" s="460" t="s">
        <v>2391</v>
      </c>
      <c r="E2132" s="460" t="s">
        <v>2392</v>
      </c>
      <c r="F2132" s="460">
        <v>2</v>
      </c>
      <c r="G2132" s="460">
        <v>6</v>
      </c>
      <c r="H2132" s="461" t="s">
        <v>754</v>
      </c>
      <c r="I2132" s="461" t="s">
        <v>1991</v>
      </c>
      <c r="J2132" s="461" t="s">
        <v>754</v>
      </c>
      <c r="K2132" s="594"/>
      <c r="L2132" s="594"/>
      <c r="M2132" s="352">
        <v>2000</v>
      </c>
      <c r="N2132" s="352" t="s">
        <v>703</v>
      </c>
      <c r="O2132" s="460">
        <v>2221</v>
      </c>
      <c r="P2132" s="460" t="s">
        <v>1884</v>
      </c>
      <c r="Q2132" s="460" t="s">
        <v>2377</v>
      </c>
      <c r="R2132" s="460">
        <v>2121</v>
      </c>
      <c r="S2132" s="460" t="s">
        <v>2392</v>
      </c>
      <c r="T2132" s="462">
        <v>1</v>
      </c>
      <c r="U2132" s="460" t="s">
        <v>2392</v>
      </c>
      <c r="V2132" s="475">
        <v>0</v>
      </c>
      <c r="W2132" s="463" t="s">
        <v>2278</v>
      </c>
      <c r="X2132" s="463" t="s">
        <v>2278</v>
      </c>
      <c r="Y2132" s="463" t="s">
        <v>2278</v>
      </c>
      <c r="Z2132" s="463"/>
      <c r="AA2132" s="463"/>
      <c r="AB2132" s="464">
        <v>0</v>
      </c>
      <c r="AC2132" s="465">
        <v>0</v>
      </c>
      <c r="AD2132" s="465">
        <v>0</v>
      </c>
      <c r="AE2132" s="476">
        <v>0</v>
      </c>
      <c r="AF2132" s="467">
        <v>0</v>
      </c>
      <c r="AG2132" s="468">
        <v>0</v>
      </c>
      <c r="AH2132" s="218">
        <v>0</v>
      </c>
      <c r="AI2132" s="470">
        <v>0</v>
      </c>
      <c r="AJ2132" s="471">
        <v>0</v>
      </c>
      <c r="AK2132" s="218">
        <v>0</v>
      </c>
      <c r="AL2132" s="470">
        <v>0</v>
      </c>
      <c r="AM2132" s="471">
        <v>0</v>
      </c>
      <c r="AN2132" s="477">
        <v>0</v>
      </c>
      <c r="AO2132" s="473">
        <v>0</v>
      </c>
      <c r="AP2132" s="474">
        <v>0</v>
      </c>
      <c r="AQ2132" s="352"/>
      <c r="AR2132" s="352"/>
      <c r="AS2132" s="352"/>
      <c r="AT2132" s="352"/>
      <c r="AU2132" s="352"/>
      <c r="AV2132" s="352"/>
      <c r="AW2132" s="352" t="s">
        <v>127</v>
      </c>
    </row>
    <row r="2133" spans="2:49" x14ac:dyDescent="0.2">
      <c r="B2133" s="460" t="s">
        <v>2997</v>
      </c>
      <c r="C2133" s="460">
        <v>2221</v>
      </c>
      <c r="D2133" s="460" t="s">
        <v>2394</v>
      </c>
      <c r="E2133" s="460" t="s">
        <v>2395</v>
      </c>
      <c r="F2133" s="460">
        <v>3</v>
      </c>
      <c r="G2133" s="460">
        <v>6</v>
      </c>
      <c r="H2133" s="461" t="s">
        <v>754</v>
      </c>
      <c r="I2133" s="461" t="s">
        <v>1991</v>
      </c>
      <c r="J2133" s="461" t="s">
        <v>754</v>
      </c>
      <c r="K2133" s="594"/>
      <c r="L2133" s="594"/>
      <c r="M2133" s="352">
        <v>2000</v>
      </c>
      <c r="N2133" s="352" t="s">
        <v>703</v>
      </c>
      <c r="O2133" s="460">
        <v>2221</v>
      </c>
      <c r="P2133" s="460" t="s">
        <v>1884</v>
      </c>
      <c r="Q2133" s="460" t="s">
        <v>2377</v>
      </c>
      <c r="R2133" s="460">
        <v>2121</v>
      </c>
      <c r="S2133" s="460" t="s">
        <v>2395</v>
      </c>
      <c r="T2133" s="462">
        <v>1</v>
      </c>
      <c r="U2133" s="460" t="s">
        <v>2395</v>
      </c>
      <c r="V2133" s="475">
        <v>0</v>
      </c>
      <c r="W2133" s="463" t="s">
        <v>2278</v>
      </c>
      <c r="X2133" s="463" t="s">
        <v>2278</v>
      </c>
      <c r="Y2133" s="463" t="s">
        <v>2278</v>
      </c>
      <c r="Z2133" s="463"/>
      <c r="AA2133" s="463"/>
      <c r="AB2133" s="464">
        <v>0</v>
      </c>
      <c r="AC2133" s="465">
        <v>0</v>
      </c>
      <c r="AD2133" s="465">
        <v>0</v>
      </c>
      <c r="AE2133" s="476">
        <v>0</v>
      </c>
      <c r="AF2133" s="467">
        <v>0</v>
      </c>
      <c r="AG2133" s="468">
        <v>0</v>
      </c>
      <c r="AH2133" s="218">
        <v>0</v>
      </c>
      <c r="AI2133" s="470">
        <v>0</v>
      </c>
      <c r="AJ2133" s="471">
        <v>0</v>
      </c>
      <c r="AK2133" s="218">
        <v>0</v>
      </c>
      <c r="AL2133" s="470">
        <v>0</v>
      </c>
      <c r="AM2133" s="471">
        <v>0</v>
      </c>
      <c r="AN2133" s="477">
        <v>0</v>
      </c>
      <c r="AO2133" s="473">
        <v>0</v>
      </c>
      <c r="AP2133" s="474">
        <v>0</v>
      </c>
      <c r="AQ2133" s="352"/>
      <c r="AR2133" s="352"/>
      <c r="AS2133" s="352"/>
      <c r="AT2133" s="352"/>
      <c r="AU2133" s="352"/>
      <c r="AV2133" s="352"/>
      <c r="AW2133" s="352" t="s">
        <v>127</v>
      </c>
    </row>
    <row r="2134" spans="2:49" x14ac:dyDescent="0.2">
      <c r="B2134" s="460" t="s">
        <v>2998</v>
      </c>
      <c r="C2134" s="460">
        <v>2221</v>
      </c>
      <c r="D2134" s="460" t="s">
        <v>2397</v>
      </c>
      <c r="E2134" s="460" t="s">
        <v>2398</v>
      </c>
      <c r="F2134" s="460">
        <v>4</v>
      </c>
      <c r="G2134" s="460">
        <v>6</v>
      </c>
      <c r="H2134" s="461" t="s">
        <v>754</v>
      </c>
      <c r="I2134" s="461" t="s">
        <v>1991</v>
      </c>
      <c r="J2134" s="461" t="s">
        <v>754</v>
      </c>
      <c r="K2134" s="594"/>
      <c r="L2134" s="594"/>
      <c r="M2134" s="352">
        <v>2000</v>
      </c>
      <c r="N2134" s="352" t="s">
        <v>703</v>
      </c>
      <c r="O2134" s="460">
        <v>2221</v>
      </c>
      <c r="P2134" s="460" t="s">
        <v>1884</v>
      </c>
      <c r="Q2134" s="460" t="s">
        <v>2377</v>
      </c>
      <c r="R2134" s="460">
        <v>2121</v>
      </c>
      <c r="S2134" s="460" t="s">
        <v>2398</v>
      </c>
      <c r="T2134" s="462">
        <v>1</v>
      </c>
      <c r="U2134" s="460" t="s">
        <v>2398</v>
      </c>
      <c r="V2134" s="475">
        <v>0</v>
      </c>
      <c r="W2134" s="463" t="s">
        <v>2278</v>
      </c>
      <c r="X2134" s="463" t="s">
        <v>2278</v>
      </c>
      <c r="Y2134" s="463" t="s">
        <v>2278</v>
      </c>
      <c r="Z2134" s="463"/>
      <c r="AA2134" s="463"/>
      <c r="AB2134" s="464">
        <v>0</v>
      </c>
      <c r="AC2134" s="465">
        <v>0</v>
      </c>
      <c r="AD2134" s="465">
        <v>0</v>
      </c>
      <c r="AE2134" s="476">
        <v>0</v>
      </c>
      <c r="AF2134" s="467">
        <v>0</v>
      </c>
      <c r="AG2134" s="468">
        <v>0</v>
      </c>
      <c r="AH2134" s="218">
        <v>0</v>
      </c>
      <c r="AI2134" s="470">
        <v>0</v>
      </c>
      <c r="AJ2134" s="471">
        <v>0</v>
      </c>
      <c r="AK2134" s="218">
        <v>0</v>
      </c>
      <c r="AL2134" s="470">
        <v>0</v>
      </c>
      <c r="AM2134" s="471">
        <v>0</v>
      </c>
      <c r="AN2134" s="477">
        <v>0</v>
      </c>
      <c r="AO2134" s="473">
        <v>0</v>
      </c>
      <c r="AP2134" s="474">
        <v>0</v>
      </c>
      <c r="AQ2134" s="352"/>
      <c r="AR2134" s="352"/>
      <c r="AS2134" s="352"/>
      <c r="AT2134" s="352"/>
      <c r="AU2134" s="352"/>
      <c r="AV2134" s="352"/>
      <c r="AW2134" s="352" t="s">
        <v>127</v>
      </c>
    </row>
    <row r="2135" spans="2:49" x14ac:dyDescent="0.2">
      <c r="B2135" s="460" t="s">
        <v>2999</v>
      </c>
      <c r="C2135" s="460">
        <v>2222</v>
      </c>
      <c r="D2135" s="460" t="s">
        <v>2264</v>
      </c>
      <c r="E2135" s="460" t="s">
        <v>2265</v>
      </c>
      <c r="F2135" s="460">
        <v>1</v>
      </c>
      <c r="G2135" s="460">
        <v>1</v>
      </c>
      <c r="H2135" s="461" t="s">
        <v>700</v>
      </c>
      <c r="I2135" s="461" t="s">
        <v>872</v>
      </c>
      <c r="J2135" s="461" t="s">
        <v>700</v>
      </c>
      <c r="K2135" s="594"/>
      <c r="L2135" s="594"/>
      <c r="M2135" s="352">
        <v>2000</v>
      </c>
      <c r="N2135" s="352" t="s">
        <v>703</v>
      </c>
      <c r="O2135" s="460">
        <v>2222</v>
      </c>
      <c r="P2135" s="460" t="s">
        <v>1885</v>
      </c>
      <c r="Q2135" s="460" t="s">
        <v>3000</v>
      </c>
      <c r="R2135" s="460">
        <v>2121</v>
      </c>
      <c r="S2135" s="460" t="s">
        <v>2265</v>
      </c>
      <c r="T2135" s="462">
        <v>1</v>
      </c>
      <c r="U2135" s="460" t="s">
        <v>2265</v>
      </c>
      <c r="V2135" s="475">
        <v>0</v>
      </c>
      <c r="W2135" s="463" t="s">
        <v>2554</v>
      </c>
      <c r="X2135" s="463" t="s">
        <v>2554</v>
      </c>
      <c r="Y2135" s="463" t="s">
        <v>2268</v>
      </c>
      <c r="Z2135" s="463"/>
      <c r="AA2135" s="463"/>
      <c r="AB2135" s="464">
        <v>46.081575857208641</v>
      </c>
      <c r="AC2135" s="465">
        <v>8.7625007568949295E-2</v>
      </c>
      <c r="AD2135" s="465">
        <v>4.2733450700362715E-4</v>
      </c>
      <c r="AE2135" s="476">
        <v>27.648945514325185</v>
      </c>
      <c r="AF2135" s="467">
        <v>5.2575004541369576E-2</v>
      </c>
      <c r="AG2135" s="468">
        <v>2.7388961416193906E-4</v>
      </c>
      <c r="AH2135" s="218">
        <v>27.648945514325185</v>
      </c>
      <c r="AI2135" s="470">
        <v>5.2575004541369576E-2</v>
      </c>
      <c r="AJ2135" s="471">
        <v>2.6364207381707406E-4</v>
      </c>
      <c r="AK2135" s="218">
        <v>27.648945514325185</v>
      </c>
      <c r="AL2135" s="470">
        <v>5.2575004541369576E-2</v>
      </c>
      <c r="AM2135" s="471">
        <v>2.6364207381707406E-4</v>
      </c>
      <c r="AN2135" s="477">
        <v>0</v>
      </c>
      <c r="AO2135" s="473">
        <v>0</v>
      </c>
      <c r="AP2135" s="474">
        <v>0</v>
      </c>
      <c r="AQ2135" s="352"/>
      <c r="AR2135" s="352"/>
      <c r="AS2135" s="352"/>
      <c r="AT2135" s="352"/>
      <c r="AU2135" s="352"/>
      <c r="AV2135" s="352"/>
      <c r="AW2135" s="352" t="s">
        <v>254</v>
      </c>
    </row>
    <row r="2136" spans="2:49" x14ac:dyDescent="0.2">
      <c r="B2136" s="460" t="s">
        <v>3001</v>
      </c>
      <c r="C2136" s="460">
        <v>2222</v>
      </c>
      <c r="D2136" s="460" t="s">
        <v>2270</v>
      </c>
      <c r="E2136" s="460" t="s">
        <v>2271</v>
      </c>
      <c r="F2136" s="460">
        <v>2</v>
      </c>
      <c r="G2136" s="460">
        <v>1</v>
      </c>
      <c r="H2136" s="461" t="s">
        <v>700</v>
      </c>
      <c r="I2136" s="461" t="s">
        <v>872</v>
      </c>
      <c r="J2136" s="461" t="s">
        <v>700</v>
      </c>
      <c r="K2136" s="594"/>
      <c r="L2136" s="594"/>
      <c r="M2136" s="352">
        <v>2000</v>
      </c>
      <c r="N2136" s="352" t="s">
        <v>703</v>
      </c>
      <c r="O2136" s="460">
        <v>2222</v>
      </c>
      <c r="P2136" s="460" t="s">
        <v>1885</v>
      </c>
      <c r="Q2136" s="460" t="s">
        <v>3000</v>
      </c>
      <c r="R2136" s="460">
        <v>2121</v>
      </c>
      <c r="S2136" s="460" t="s">
        <v>2265</v>
      </c>
      <c r="T2136" s="462">
        <v>1</v>
      </c>
      <c r="U2136" s="460" t="s">
        <v>2271</v>
      </c>
      <c r="V2136" s="475">
        <v>0</v>
      </c>
      <c r="W2136" s="463" t="s">
        <v>2554</v>
      </c>
      <c r="X2136" s="463" t="s">
        <v>2554</v>
      </c>
      <c r="Y2136" s="463" t="s">
        <v>2268</v>
      </c>
      <c r="Z2136" s="463"/>
      <c r="AA2136" s="463"/>
      <c r="AB2136" s="464">
        <v>33.85296972779274</v>
      </c>
      <c r="AC2136" s="465">
        <v>7.9000483358198439E-2</v>
      </c>
      <c r="AD2136" s="465">
        <v>4.2000679097697256E-4</v>
      </c>
      <c r="AE2136" s="476">
        <v>20.311781836675642</v>
      </c>
      <c r="AF2136" s="467">
        <v>4.7400290014919064E-2</v>
      </c>
      <c r="AG2136" s="468">
        <v>2.7308705085135203E-4</v>
      </c>
      <c r="AH2136" s="218">
        <v>22.529229715059021</v>
      </c>
      <c r="AI2136" s="470">
        <v>5.2575004541369576E-2</v>
      </c>
      <c r="AJ2136" s="471">
        <v>2.6598908586675056E-4</v>
      </c>
      <c r="AK2136" s="218">
        <v>22.529229715059021</v>
      </c>
      <c r="AL2136" s="470">
        <v>5.2575004541369576E-2</v>
      </c>
      <c r="AM2136" s="471">
        <v>2.6598908586675056E-4</v>
      </c>
      <c r="AN2136" s="477">
        <v>0</v>
      </c>
      <c r="AO2136" s="473">
        <v>0</v>
      </c>
      <c r="AP2136" s="474">
        <v>0</v>
      </c>
      <c r="AQ2136" s="352"/>
      <c r="AR2136" s="352"/>
      <c r="AS2136" s="352"/>
      <c r="AT2136" s="352"/>
      <c r="AU2136" s="352"/>
      <c r="AV2136" s="352"/>
      <c r="AW2136" s="352" t="s">
        <v>254</v>
      </c>
    </row>
    <row r="2137" spans="2:49" x14ac:dyDescent="0.2">
      <c r="B2137" s="460" t="s">
        <v>3002</v>
      </c>
      <c r="C2137" s="460">
        <v>2222</v>
      </c>
      <c r="D2137" s="460" t="s">
        <v>2273</v>
      </c>
      <c r="E2137" s="460" t="s">
        <v>2274</v>
      </c>
      <c r="F2137" s="460">
        <v>3</v>
      </c>
      <c r="G2137" s="460">
        <v>1</v>
      </c>
      <c r="H2137" s="461" t="s">
        <v>700</v>
      </c>
      <c r="I2137" s="461" t="s">
        <v>872</v>
      </c>
      <c r="J2137" s="461" t="s">
        <v>700</v>
      </c>
      <c r="K2137" s="594"/>
      <c r="L2137" s="594"/>
      <c r="M2137" s="352">
        <v>2000</v>
      </c>
      <c r="N2137" s="352" t="s">
        <v>703</v>
      </c>
      <c r="O2137" s="460">
        <v>2222</v>
      </c>
      <c r="P2137" s="460" t="s">
        <v>1885</v>
      </c>
      <c r="Q2137" s="460" t="s">
        <v>3000</v>
      </c>
      <c r="R2137" s="460">
        <v>2121</v>
      </c>
      <c r="S2137" s="460" t="s">
        <v>2265</v>
      </c>
      <c r="T2137" s="462">
        <v>0.74223365950407583</v>
      </c>
      <c r="U2137" s="460" t="s">
        <v>2274</v>
      </c>
      <c r="V2137" s="475">
        <v>0</v>
      </c>
      <c r="W2137" s="463" t="s">
        <v>2554</v>
      </c>
      <c r="X2137" s="463" t="s">
        <v>2554</v>
      </c>
      <c r="Y2137" s="463" t="s">
        <v>2268</v>
      </c>
      <c r="Z2137" s="463"/>
      <c r="AA2137" s="463"/>
      <c r="AB2137" s="464">
        <v>8.5785196455670558</v>
      </c>
      <c r="AC2137" s="465">
        <v>2.9391164769518481E-2</v>
      </c>
      <c r="AD2137" s="465">
        <v>4.2437641331630698E-4</v>
      </c>
      <c r="AE2137" s="476">
        <v>5.1471117873402337</v>
      </c>
      <c r="AF2137" s="467">
        <v>1.7634698861711089E-2</v>
      </c>
      <c r="AG2137" s="468">
        <v>2.7580411085460733E-4</v>
      </c>
      <c r="AH2137" s="218">
        <v>11.389784755059953</v>
      </c>
      <c r="AI2137" s="470">
        <v>3.9022938019184147E-2</v>
      </c>
      <c r="AJ2137" s="471">
        <v>4.4197017618433521E-4</v>
      </c>
      <c r="AK2137" s="218">
        <v>11.389784755059953</v>
      </c>
      <c r="AL2137" s="470">
        <v>3.9022938019184147E-2</v>
      </c>
      <c r="AM2137" s="471">
        <v>4.4197017618433521E-4</v>
      </c>
      <c r="AN2137" s="477">
        <v>0</v>
      </c>
      <c r="AO2137" s="473">
        <v>0</v>
      </c>
      <c r="AP2137" s="474">
        <v>0</v>
      </c>
      <c r="AQ2137" s="352"/>
      <c r="AR2137" s="352"/>
      <c r="AS2137" s="352"/>
      <c r="AT2137" s="352"/>
      <c r="AU2137" s="352"/>
      <c r="AV2137" s="352"/>
      <c r="AW2137" s="352" t="s">
        <v>254</v>
      </c>
    </row>
    <row r="2138" spans="2:49" x14ac:dyDescent="0.2">
      <c r="B2138" s="460" t="s">
        <v>3003</v>
      </c>
      <c r="C2138" s="460">
        <v>2222</v>
      </c>
      <c r="D2138" s="460" t="s">
        <v>2276</v>
      </c>
      <c r="E2138" s="460" t="s">
        <v>2277</v>
      </c>
      <c r="F2138" s="460">
        <v>4</v>
      </c>
      <c r="G2138" s="460">
        <v>1</v>
      </c>
      <c r="H2138" s="461" t="s">
        <v>700</v>
      </c>
      <c r="I2138" s="461" t="s">
        <v>872</v>
      </c>
      <c r="J2138" s="461" t="s">
        <v>700</v>
      </c>
      <c r="K2138" s="594"/>
      <c r="L2138" s="594"/>
      <c r="M2138" s="352">
        <v>2000</v>
      </c>
      <c r="N2138" s="352" t="s">
        <v>703</v>
      </c>
      <c r="O2138" s="460">
        <v>2222</v>
      </c>
      <c r="P2138" s="460" t="s">
        <v>1885</v>
      </c>
      <c r="Q2138" s="460" t="s">
        <v>3000</v>
      </c>
      <c r="R2138" s="460">
        <v>2121</v>
      </c>
      <c r="S2138" s="460" t="s">
        <v>2277</v>
      </c>
      <c r="T2138" s="462">
        <v>1</v>
      </c>
      <c r="U2138" s="460" t="s">
        <v>2277</v>
      </c>
      <c r="V2138" s="475">
        <v>0</v>
      </c>
      <c r="W2138" s="463" t="s">
        <v>2554</v>
      </c>
      <c r="X2138" s="463" t="s">
        <v>2554</v>
      </c>
      <c r="Y2138" s="463" t="s">
        <v>2268</v>
      </c>
      <c r="Z2138" s="463"/>
      <c r="AA2138" s="463"/>
      <c r="AB2138" s="464">
        <v>0.10475085764990705</v>
      </c>
      <c r="AC2138" s="465">
        <v>3.1666062012575367E-4</v>
      </c>
      <c r="AD2138" s="465">
        <v>4.2279642870014518E-4</v>
      </c>
      <c r="AE2138" s="476">
        <v>6.2850514589944229E-2</v>
      </c>
      <c r="AF2138" s="467">
        <v>1.8999637207545218E-4</v>
      </c>
      <c r="AG2138" s="468">
        <v>2.8359847233535603E-4</v>
      </c>
      <c r="AH2138" s="218">
        <v>6.2850514589944229E-2</v>
      </c>
      <c r="AI2138" s="470">
        <v>1.8999637207545218E-4</v>
      </c>
      <c r="AJ2138" s="471">
        <v>2.7181685980827587E-4</v>
      </c>
      <c r="AK2138" s="218">
        <v>6.2850514589944229E-2</v>
      </c>
      <c r="AL2138" s="470">
        <v>1.8999637207545218E-4</v>
      </c>
      <c r="AM2138" s="471">
        <v>2.7181685980827587E-4</v>
      </c>
      <c r="AN2138" s="477">
        <v>0</v>
      </c>
      <c r="AO2138" s="473">
        <v>0</v>
      </c>
      <c r="AP2138" s="474">
        <v>0</v>
      </c>
      <c r="AQ2138" s="352"/>
      <c r="AR2138" s="352"/>
      <c r="AS2138" s="352"/>
      <c r="AT2138" s="352"/>
      <c r="AU2138" s="352"/>
      <c r="AV2138" s="352"/>
      <c r="AW2138" s="352" t="s">
        <v>254</v>
      </c>
    </row>
    <row r="2139" spans="2:49" x14ac:dyDescent="0.2">
      <c r="B2139" s="460" t="s">
        <v>2999</v>
      </c>
      <c r="C2139" s="460">
        <v>2222</v>
      </c>
      <c r="D2139" s="460" t="s">
        <v>2279</v>
      </c>
      <c r="E2139" s="460" t="s">
        <v>2265</v>
      </c>
      <c r="F2139" s="460">
        <v>1</v>
      </c>
      <c r="G2139" s="460">
        <v>1</v>
      </c>
      <c r="H2139" s="461" t="s">
        <v>712</v>
      </c>
      <c r="I2139" s="461" t="s">
        <v>713</v>
      </c>
      <c r="J2139" s="461" t="s">
        <v>712</v>
      </c>
      <c r="K2139" s="594"/>
      <c r="L2139" s="594"/>
      <c r="M2139" s="352">
        <v>2000</v>
      </c>
      <c r="N2139" s="352" t="s">
        <v>703</v>
      </c>
      <c r="O2139" s="460">
        <v>2222</v>
      </c>
      <c r="P2139" s="460" t="s">
        <v>1885</v>
      </c>
      <c r="Q2139" s="460" t="s">
        <v>2280</v>
      </c>
      <c r="R2139" s="460">
        <v>2121</v>
      </c>
      <c r="S2139" s="460" t="s">
        <v>2265</v>
      </c>
      <c r="T2139" s="462">
        <v>1</v>
      </c>
      <c r="U2139" s="460" t="s">
        <v>2265</v>
      </c>
      <c r="V2139" s="475">
        <v>0</v>
      </c>
      <c r="W2139" s="463" t="s">
        <v>713</v>
      </c>
      <c r="X2139" s="463" t="s">
        <v>713</v>
      </c>
      <c r="Y2139" s="463" t="s">
        <v>713</v>
      </c>
      <c r="Z2139" s="463"/>
      <c r="AA2139" s="463"/>
      <c r="AB2139" s="464">
        <v>479.81368093861573</v>
      </c>
      <c r="AC2139" s="465">
        <v>0.91237499243105069</v>
      </c>
      <c r="AD2139" s="465">
        <v>1.7725147155127935E-3</v>
      </c>
      <c r="AE2139" s="476">
        <v>498.24631128149917</v>
      </c>
      <c r="AF2139" s="467">
        <v>0.94742499545863046</v>
      </c>
      <c r="AG2139" s="468">
        <v>1.7949501175766934E-3</v>
      </c>
      <c r="AH2139" s="218">
        <v>498.24631128149917</v>
      </c>
      <c r="AI2139" s="470">
        <v>0.94742499545863046</v>
      </c>
      <c r="AJ2139" s="471">
        <v>1.82068673374734E-3</v>
      </c>
      <c r="AK2139" s="218">
        <v>498.24631128149917</v>
      </c>
      <c r="AL2139" s="470">
        <v>0.94742499545863046</v>
      </c>
      <c r="AM2139" s="471">
        <v>1.82068673374734E-3</v>
      </c>
      <c r="AN2139" s="477">
        <v>498.24631128149917</v>
      </c>
      <c r="AO2139" s="473">
        <v>0.94742499545863046</v>
      </c>
      <c r="AP2139" s="474">
        <v>1.8200934809885908E-3</v>
      </c>
      <c r="AQ2139" s="352"/>
      <c r="AR2139" s="352"/>
      <c r="AS2139" s="352"/>
      <c r="AT2139" s="352"/>
      <c r="AU2139" s="352"/>
      <c r="AV2139" s="352"/>
      <c r="AW2139" s="352" t="s">
        <v>254</v>
      </c>
    </row>
    <row r="2140" spans="2:49" x14ac:dyDescent="0.2">
      <c r="B2140" s="460" t="s">
        <v>3001</v>
      </c>
      <c r="C2140" s="460">
        <v>2222</v>
      </c>
      <c r="D2140" s="460" t="s">
        <v>2281</v>
      </c>
      <c r="E2140" s="460" t="s">
        <v>2271</v>
      </c>
      <c r="F2140" s="460">
        <v>2</v>
      </c>
      <c r="G2140" s="460">
        <v>1</v>
      </c>
      <c r="H2140" s="461" t="s">
        <v>712</v>
      </c>
      <c r="I2140" s="461" t="s">
        <v>713</v>
      </c>
      <c r="J2140" s="461" t="s">
        <v>712</v>
      </c>
      <c r="K2140" s="594"/>
      <c r="L2140" s="594"/>
      <c r="M2140" s="352">
        <v>2000</v>
      </c>
      <c r="N2140" s="352" t="s">
        <v>703</v>
      </c>
      <c r="O2140" s="460">
        <v>2222</v>
      </c>
      <c r="P2140" s="460" t="s">
        <v>1885</v>
      </c>
      <c r="Q2140" s="460" t="s">
        <v>2280</v>
      </c>
      <c r="R2140" s="460">
        <v>2121</v>
      </c>
      <c r="S2140" s="460" t="s">
        <v>2265</v>
      </c>
      <c r="T2140" s="462">
        <v>1</v>
      </c>
      <c r="U2140" s="460" t="s">
        <v>2271</v>
      </c>
      <c r="V2140" s="475">
        <v>0</v>
      </c>
      <c r="W2140" s="463" t="s">
        <v>713</v>
      </c>
      <c r="X2140" s="463" t="s">
        <v>713</v>
      </c>
      <c r="Y2140" s="463" t="s">
        <v>713</v>
      </c>
      <c r="Z2140" s="463"/>
      <c r="AA2140" s="463"/>
      <c r="AB2140" s="464">
        <v>394.66301256435327</v>
      </c>
      <c r="AC2140" s="465">
        <v>0.92099951664180157</v>
      </c>
      <c r="AD2140" s="465">
        <v>1.6480814040510641E-3</v>
      </c>
      <c r="AE2140" s="476">
        <v>408.20420045547036</v>
      </c>
      <c r="AF2140" s="467">
        <v>0.95259970998508092</v>
      </c>
      <c r="AG2140" s="468">
        <v>1.6614553346842489E-3</v>
      </c>
      <c r="AH2140" s="218">
        <v>405.98675257708703</v>
      </c>
      <c r="AI2140" s="470">
        <v>0.94742499545863046</v>
      </c>
      <c r="AJ2140" s="471">
        <v>1.7441781569132251E-3</v>
      </c>
      <c r="AK2140" s="218">
        <v>405.98675257708703</v>
      </c>
      <c r="AL2140" s="470">
        <v>0.94742499545863046</v>
      </c>
      <c r="AM2140" s="471">
        <v>1.7441781569132251E-3</v>
      </c>
      <c r="AN2140" s="477">
        <v>405.98675257708703</v>
      </c>
      <c r="AO2140" s="473">
        <v>0.94742499545863046</v>
      </c>
      <c r="AP2140" s="474">
        <v>1.7435657187448298E-3</v>
      </c>
      <c r="AQ2140" s="352"/>
      <c r="AR2140" s="352"/>
      <c r="AS2140" s="352"/>
      <c r="AT2140" s="352"/>
      <c r="AU2140" s="352"/>
      <c r="AV2140" s="352"/>
      <c r="AW2140" s="352" t="s">
        <v>254</v>
      </c>
    </row>
    <row r="2141" spans="2:49" x14ac:dyDescent="0.2">
      <c r="B2141" s="460" t="s">
        <v>3002</v>
      </c>
      <c r="C2141" s="460">
        <v>2222</v>
      </c>
      <c r="D2141" s="460" t="s">
        <v>2282</v>
      </c>
      <c r="E2141" s="460" t="s">
        <v>2274</v>
      </c>
      <c r="F2141" s="460">
        <v>3</v>
      </c>
      <c r="G2141" s="460">
        <v>1</v>
      </c>
      <c r="H2141" s="461" t="s">
        <v>712</v>
      </c>
      <c r="I2141" s="461" t="s">
        <v>713</v>
      </c>
      <c r="J2141" s="461" t="s">
        <v>712</v>
      </c>
      <c r="K2141" s="594"/>
      <c r="L2141" s="594"/>
      <c r="M2141" s="352">
        <v>2000</v>
      </c>
      <c r="N2141" s="352" t="s">
        <v>703</v>
      </c>
      <c r="O2141" s="460">
        <v>2222</v>
      </c>
      <c r="P2141" s="460" t="s">
        <v>1885</v>
      </c>
      <c r="Q2141" s="460" t="s">
        <v>2280</v>
      </c>
      <c r="R2141" s="460">
        <v>2121</v>
      </c>
      <c r="S2141" s="460" t="s">
        <v>2265</v>
      </c>
      <c r="T2141" s="462">
        <v>0.74223365950407583</v>
      </c>
      <c r="U2141" s="460" t="s">
        <v>2274</v>
      </c>
      <c r="V2141" s="475">
        <v>0</v>
      </c>
      <c r="W2141" s="463" t="s">
        <v>713</v>
      </c>
      <c r="X2141" s="463" t="s">
        <v>713</v>
      </c>
      <c r="Y2141" s="463" t="s">
        <v>713</v>
      </c>
      <c r="Z2141" s="463"/>
      <c r="AA2141" s="463"/>
      <c r="AB2141" s="464">
        <v>283.29557628899835</v>
      </c>
      <c r="AC2141" s="465">
        <v>0.97060883523048158</v>
      </c>
      <c r="AD2141" s="465">
        <v>1.6955842134186798E-3</v>
      </c>
      <c r="AE2141" s="476">
        <v>286.72698414722515</v>
      </c>
      <c r="AF2141" s="467">
        <v>0.9823653011382889</v>
      </c>
      <c r="AG2141" s="468">
        <v>1.7003253659298905E-3</v>
      </c>
      <c r="AH2141" s="218">
        <v>280.48431117950543</v>
      </c>
      <c r="AI2141" s="470">
        <v>0.96097706198081589</v>
      </c>
      <c r="AJ2141" s="471">
        <v>1.7626112958613049E-3</v>
      </c>
      <c r="AK2141" s="218">
        <v>280.48431117950543</v>
      </c>
      <c r="AL2141" s="470">
        <v>0.96097706198081589</v>
      </c>
      <c r="AM2141" s="471">
        <v>1.7626112958613049E-3</v>
      </c>
      <c r="AN2141" s="477">
        <v>280.48431117950543</v>
      </c>
      <c r="AO2141" s="473">
        <v>0.96097706198081589</v>
      </c>
      <c r="AP2141" s="474">
        <v>1.7753267682116491E-3</v>
      </c>
      <c r="AQ2141" s="352"/>
      <c r="AR2141" s="352"/>
      <c r="AS2141" s="352"/>
      <c r="AT2141" s="352"/>
      <c r="AU2141" s="352"/>
      <c r="AV2141" s="352"/>
      <c r="AW2141" s="352" t="s">
        <v>254</v>
      </c>
    </row>
    <row r="2142" spans="2:49" x14ac:dyDescent="0.2">
      <c r="B2142" s="460" t="s">
        <v>3003</v>
      </c>
      <c r="C2142" s="460">
        <v>2222</v>
      </c>
      <c r="D2142" s="460" t="s">
        <v>2283</v>
      </c>
      <c r="E2142" s="460" t="s">
        <v>2277</v>
      </c>
      <c r="F2142" s="460">
        <v>4</v>
      </c>
      <c r="G2142" s="460">
        <v>1</v>
      </c>
      <c r="H2142" s="461" t="s">
        <v>712</v>
      </c>
      <c r="I2142" s="461" t="s">
        <v>713</v>
      </c>
      <c r="J2142" s="461" t="s">
        <v>712</v>
      </c>
      <c r="K2142" s="594"/>
      <c r="L2142" s="594"/>
      <c r="M2142" s="352">
        <v>2000</v>
      </c>
      <c r="N2142" s="352" t="s">
        <v>703</v>
      </c>
      <c r="O2142" s="460">
        <v>2222</v>
      </c>
      <c r="P2142" s="460" t="s">
        <v>1885</v>
      </c>
      <c r="Q2142" s="460" t="s">
        <v>2280</v>
      </c>
      <c r="R2142" s="460">
        <v>2121</v>
      </c>
      <c r="S2142" s="460" t="s">
        <v>2277</v>
      </c>
      <c r="T2142" s="462">
        <v>1</v>
      </c>
      <c r="U2142" s="460" t="s">
        <v>2277</v>
      </c>
      <c r="V2142" s="475">
        <v>0</v>
      </c>
      <c r="W2142" s="463" t="s">
        <v>713</v>
      </c>
      <c r="X2142" s="463" t="s">
        <v>713</v>
      </c>
      <c r="Y2142" s="463" t="s">
        <v>713</v>
      </c>
      <c r="Z2142" s="463"/>
      <c r="AA2142" s="463"/>
      <c r="AB2142" s="464">
        <v>330.69374757359782</v>
      </c>
      <c r="AC2142" s="465">
        <v>0.9996833393798743</v>
      </c>
      <c r="AD2142" s="465">
        <v>1.7173835292519412E-3</v>
      </c>
      <c r="AE2142" s="476">
        <v>330.73564791665774</v>
      </c>
      <c r="AF2142" s="467">
        <v>0.99981000362792449</v>
      </c>
      <c r="AG2142" s="468">
        <v>1.7173679995620063E-3</v>
      </c>
      <c r="AH2142" s="218">
        <v>330.73564791665774</v>
      </c>
      <c r="AI2142" s="470">
        <v>0.99981000362792449</v>
      </c>
      <c r="AJ2142" s="471">
        <v>1.717453664022322E-3</v>
      </c>
      <c r="AK2142" s="218">
        <v>330.73564791665774</v>
      </c>
      <c r="AL2142" s="470">
        <v>0.99981000362792449</v>
      </c>
      <c r="AM2142" s="471">
        <v>1.717453664022322E-3</v>
      </c>
      <c r="AN2142" s="477">
        <v>330.73564791665774</v>
      </c>
      <c r="AO2142" s="473">
        <v>0.99981000362792449</v>
      </c>
      <c r="AP2142" s="474">
        <v>1.7174622279573068E-3</v>
      </c>
      <c r="AQ2142" s="352"/>
      <c r="AR2142" s="352"/>
      <c r="AS2142" s="352"/>
      <c r="AT2142" s="352"/>
      <c r="AU2142" s="352"/>
      <c r="AV2142" s="352"/>
      <c r="AW2142" s="352" t="s">
        <v>254</v>
      </c>
    </row>
    <row r="2143" spans="2:49" x14ac:dyDescent="0.2">
      <c r="B2143" s="460" t="s">
        <v>2999</v>
      </c>
      <c r="C2143" s="460">
        <v>2222</v>
      </c>
      <c r="D2143" s="460" t="s">
        <v>2284</v>
      </c>
      <c r="E2143" s="460" t="s">
        <v>2265</v>
      </c>
      <c r="F2143" s="460">
        <v>1</v>
      </c>
      <c r="G2143" s="460">
        <v>1</v>
      </c>
      <c r="H2143" s="461" t="s">
        <v>746</v>
      </c>
      <c r="I2143" s="461" t="s">
        <v>762</v>
      </c>
      <c r="J2143" s="461" t="s">
        <v>700</v>
      </c>
      <c r="K2143" s="594"/>
      <c r="L2143" s="594"/>
      <c r="M2143" s="352">
        <v>2000</v>
      </c>
      <c r="N2143" s="352" t="s">
        <v>703</v>
      </c>
      <c r="O2143" s="460">
        <v>2222</v>
      </c>
      <c r="P2143" s="460" t="s">
        <v>1885</v>
      </c>
      <c r="Q2143" s="460" t="s">
        <v>3000</v>
      </c>
      <c r="R2143" s="460">
        <v>2121</v>
      </c>
      <c r="S2143" s="460" t="s">
        <v>2265</v>
      </c>
      <c r="T2143" s="462">
        <v>1</v>
      </c>
      <c r="U2143" s="460" t="s">
        <v>2265</v>
      </c>
      <c r="V2143" s="475">
        <v>0</v>
      </c>
      <c r="W2143" s="463" t="s">
        <v>2268</v>
      </c>
      <c r="X2143" s="463" t="s">
        <v>2268</v>
      </c>
      <c r="Y2143" s="463" t="s">
        <v>2554</v>
      </c>
      <c r="Z2143" s="463"/>
      <c r="AA2143" s="463"/>
      <c r="AB2143" s="464">
        <v>0</v>
      </c>
      <c r="AC2143" s="465">
        <v>0</v>
      </c>
      <c r="AD2143" s="465">
        <v>0</v>
      </c>
      <c r="AE2143" s="476">
        <v>0</v>
      </c>
      <c r="AF2143" s="467">
        <v>0</v>
      </c>
      <c r="AG2143" s="468">
        <v>0</v>
      </c>
      <c r="AH2143" s="218">
        <v>0</v>
      </c>
      <c r="AI2143" s="470">
        <v>0</v>
      </c>
      <c r="AJ2143" s="471">
        <v>0</v>
      </c>
      <c r="AK2143" s="218">
        <v>0</v>
      </c>
      <c r="AL2143" s="470">
        <v>0</v>
      </c>
      <c r="AM2143" s="471">
        <v>0</v>
      </c>
      <c r="AN2143" s="477">
        <v>9.2163151714417264</v>
      </c>
      <c r="AO2143" s="473">
        <v>1.7525001513789856E-2</v>
      </c>
      <c r="AP2143" s="474">
        <v>1.0392667402361686E-4</v>
      </c>
      <c r="AQ2143" s="352"/>
      <c r="AR2143" s="352"/>
      <c r="AS2143" s="352"/>
      <c r="AT2143" s="352"/>
      <c r="AU2143" s="352"/>
      <c r="AV2143" s="352"/>
      <c r="AW2143" s="352" t="s">
        <v>254</v>
      </c>
    </row>
    <row r="2144" spans="2:49" x14ac:dyDescent="0.2">
      <c r="B2144" s="460" t="s">
        <v>3001</v>
      </c>
      <c r="C2144" s="460">
        <v>2222</v>
      </c>
      <c r="D2144" s="460" t="s">
        <v>2285</v>
      </c>
      <c r="E2144" s="460" t="s">
        <v>2271</v>
      </c>
      <c r="F2144" s="460">
        <v>2</v>
      </c>
      <c r="G2144" s="460">
        <v>1</v>
      </c>
      <c r="H2144" s="461" t="s">
        <v>746</v>
      </c>
      <c r="I2144" s="461" t="s">
        <v>762</v>
      </c>
      <c r="J2144" s="461" t="s">
        <v>700</v>
      </c>
      <c r="K2144" s="594"/>
      <c r="L2144" s="594"/>
      <c r="M2144" s="352">
        <v>2000</v>
      </c>
      <c r="N2144" s="352" t="s">
        <v>703</v>
      </c>
      <c r="O2144" s="460">
        <v>2222</v>
      </c>
      <c r="P2144" s="460" t="s">
        <v>1885</v>
      </c>
      <c r="Q2144" s="460" t="s">
        <v>3000</v>
      </c>
      <c r="R2144" s="460">
        <v>2121</v>
      </c>
      <c r="S2144" s="460" t="s">
        <v>2265</v>
      </c>
      <c r="T2144" s="462">
        <v>1</v>
      </c>
      <c r="U2144" s="460" t="s">
        <v>2271</v>
      </c>
      <c r="V2144" s="475">
        <v>0</v>
      </c>
      <c r="W2144" s="463" t="s">
        <v>2268</v>
      </c>
      <c r="X2144" s="463" t="s">
        <v>2268</v>
      </c>
      <c r="Y2144" s="463" t="s">
        <v>2554</v>
      </c>
      <c r="Z2144" s="463"/>
      <c r="AA2144" s="463"/>
      <c r="AB2144" s="464">
        <v>0</v>
      </c>
      <c r="AC2144" s="465">
        <v>0</v>
      </c>
      <c r="AD2144" s="465">
        <v>0</v>
      </c>
      <c r="AE2144" s="476">
        <v>0</v>
      </c>
      <c r="AF2144" s="467">
        <v>0</v>
      </c>
      <c r="AG2144" s="468">
        <v>0</v>
      </c>
      <c r="AH2144" s="218">
        <v>0</v>
      </c>
      <c r="AI2144" s="470">
        <v>0</v>
      </c>
      <c r="AJ2144" s="471">
        <v>0</v>
      </c>
      <c r="AK2144" s="218">
        <v>0</v>
      </c>
      <c r="AL2144" s="470">
        <v>0</v>
      </c>
      <c r="AM2144" s="471">
        <v>0</v>
      </c>
      <c r="AN2144" s="477">
        <v>7.5097432383530061</v>
      </c>
      <c r="AO2144" s="473">
        <v>1.7525001513789856E-2</v>
      </c>
      <c r="AP2144" s="474">
        <v>1.0900145969176372E-4</v>
      </c>
      <c r="AQ2144" s="352"/>
      <c r="AR2144" s="352"/>
      <c r="AS2144" s="352"/>
      <c r="AT2144" s="352"/>
      <c r="AU2144" s="352"/>
      <c r="AV2144" s="352"/>
      <c r="AW2144" s="352" t="s">
        <v>254</v>
      </c>
    </row>
    <row r="2145" spans="2:49" x14ac:dyDescent="0.2">
      <c r="B2145" s="460" t="s">
        <v>3002</v>
      </c>
      <c r="C2145" s="460">
        <v>2222</v>
      </c>
      <c r="D2145" s="460" t="s">
        <v>2286</v>
      </c>
      <c r="E2145" s="460" t="s">
        <v>2274</v>
      </c>
      <c r="F2145" s="460">
        <v>3</v>
      </c>
      <c r="G2145" s="460">
        <v>1</v>
      </c>
      <c r="H2145" s="461" t="s">
        <v>746</v>
      </c>
      <c r="I2145" s="461" t="s">
        <v>762</v>
      </c>
      <c r="J2145" s="461" t="s">
        <v>700</v>
      </c>
      <c r="K2145" s="594"/>
      <c r="L2145" s="594"/>
      <c r="M2145" s="352">
        <v>2000</v>
      </c>
      <c r="N2145" s="352" t="s">
        <v>703</v>
      </c>
      <c r="O2145" s="460">
        <v>2222</v>
      </c>
      <c r="P2145" s="460" t="s">
        <v>1885</v>
      </c>
      <c r="Q2145" s="460" t="s">
        <v>3000</v>
      </c>
      <c r="R2145" s="460">
        <v>2121</v>
      </c>
      <c r="S2145" s="460" t="s">
        <v>2265</v>
      </c>
      <c r="T2145" s="462">
        <v>0.74223365950407583</v>
      </c>
      <c r="U2145" s="460" t="s">
        <v>2274</v>
      </c>
      <c r="V2145" s="475">
        <v>0</v>
      </c>
      <c r="W2145" s="463" t="s">
        <v>2268</v>
      </c>
      <c r="X2145" s="463" t="s">
        <v>2268</v>
      </c>
      <c r="Y2145" s="463" t="s">
        <v>2554</v>
      </c>
      <c r="Z2145" s="463"/>
      <c r="AA2145" s="463"/>
      <c r="AB2145" s="464">
        <v>0</v>
      </c>
      <c r="AC2145" s="465">
        <v>0</v>
      </c>
      <c r="AD2145" s="465">
        <v>0</v>
      </c>
      <c r="AE2145" s="476">
        <v>0</v>
      </c>
      <c r="AF2145" s="467">
        <v>0</v>
      </c>
      <c r="AG2145" s="468">
        <v>0</v>
      </c>
      <c r="AH2145" s="218">
        <v>0</v>
      </c>
      <c r="AI2145" s="470">
        <v>0</v>
      </c>
      <c r="AJ2145" s="471">
        <v>0</v>
      </c>
      <c r="AK2145" s="218">
        <v>0</v>
      </c>
      <c r="AL2145" s="470">
        <v>0</v>
      </c>
      <c r="AM2145" s="471">
        <v>0</v>
      </c>
      <c r="AN2145" s="477">
        <v>3.7965949183533167</v>
      </c>
      <c r="AO2145" s="473">
        <v>1.3007646006394712E-2</v>
      </c>
      <c r="AP2145" s="474">
        <v>1.9167181657081878E-4</v>
      </c>
      <c r="AQ2145" s="352"/>
      <c r="AR2145" s="352"/>
      <c r="AS2145" s="352"/>
      <c r="AT2145" s="352"/>
      <c r="AU2145" s="352"/>
      <c r="AV2145" s="352"/>
      <c r="AW2145" s="352" t="s">
        <v>254</v>
      </c>
    </row>
    <row r="2146" spans="2:49" x14ac:dyDescent="0.2">
      <c r="B2146" s="460" t="s">
        <v>3003</v>
      </c>
      <c r="C2146" s="460">
        <v>2222</v>
      </c>
      <c r="D2146" s="460" t="s">
        <v>2287</v>
      </c>
      <c r="E2146" s="460" t="s">
        <v>2277</v>
      </c>
      <c r="F2146" s="460">
        <v>4</v>
      </c>
      <c r="G2146" s="460">
        <v>1</v>
      </c>
      <c r="H2146" s="461" t="s">
        <v>746</v>
      </c>
      <c r="I2146" s="461" t="s">
        <v>762</v>
      </c>
      <c r="J2146" s="461" t="s">
        <v>700</v>
      </c>
      <c r="K2146" s="594"/>
      <c r="L2146" s="594"/>
      <c r="M2146" s="352">
        <v>2000</v>
      </c>
      <c r="N2146" s="352" t="s">
        <v>703</v>
      </c>
      <c r="O2146" s="460">
        <v>2222</v>
      </c>
      <c r="P2146" s="460" t="s">
        <v>1885</v>
      </c>
      <c r="Q2146" s="460" t="s">
        <v>3000</v>
      </c>
      <c r="R2146" s="460">
        <v>2121</v>
      </c>
      <c r="S2146" s="460" t="s">
        <v>2277</v>
      </c>
      <c r="T2146" s="462">
        <v>1</v>
      </c>
      <c r="U2146" s="460" t="s">
        <v>2277</v>
      </c>
      <c r="V2146" s="475">
        <v>0</v>
      </c>
      <c r="W2146" s="463" t="s">
        <v>2268</v>
      </c>
      <c r="X2146" s="463" t="s">
        <v>2268</v>
      </c>
      <c r="Y2146" s="463" t="s">
        <v>2554</v>
      </c>
      <c r="Z2146" s="463"/>
      <c r="AA2146" s="463"/>
      <c r="AB2146" s="464">
        <v>0</v>
      </c>
      <c r="AC2146" s="465">
        <v>0</v>
      </c>
      <c r="AD2146" s="465">
        <v>0</v>
      </c>
      <c r="AE2146" s="476">
        <v>0</v>
      </c>
      <c r="AF2146" s="467">
        <v>0</v>
      </c>
      <c r="AG2146" s="468">
        <v>0</v>
      </c>
      <c r="AH2146" s="218">
        <v>0</v>
      </c>
      <c r="AI2146" s="470">
        <v>0</v>
      </c>
      <c r="AJ2146" s="471">
        <v>0</v>
      </c>
      <c r="AK2146" s="218">
        <v>0</v>
      </c>
      <c r="AL2146" s="470">
        <v>0</v>
      </c>
      <c r="AM2146" s="471">
        <v>0</v>
      </c>
      <c r="AN2146" s="477">
        <v>2.0950171529981403E-2</v>
      </c>
      <c r="AO2146" s="473">
        <v>6.3332124025150714E-5</v>
      </c>
      <c r="AP2146" s="474">
        <v>1.0981925781554125E-4</v>
      </c>
      <c r="AQ2146" s="352"/>
      <c r="AR2146" s="352"/>
      <c r="AS2146" s="352"/>
      <c r="AT2146" s="352"/>
      <c r="AU2146" s="352"/>
      <c r="AV2146" s="352"/>
      <c r="AW2146" s="352" t="s">
        <v>254</v>
      </c>
    </row>
    <row r="2147" spans="2:49" x14ac:dyDescent="0.2">
      <c r="B2147" s="460" t="s">
        <v>2999</v>
      </c>
      <c r="C2147" s="460">
        <v>2222</v>
      </c>
      <c r="D2147" s="460" t="s">
        <v>2288</v>
      </c>
      <c r="E2147" s="460" t="s">
        <v>2265</v>
      </c>
      <c r="F2147" s="460">
        <v>1</v>
      </c>
      <c r="G2147" s="460">
        <v>1</v>
      </c>
      <c r="H2147" s="461" t="s">
        <v>748</v>
      </c>
      <c r="I2147" s="461" t="s">
        <v>765</v>
      </c>
      <c r="J2147" s="461" t="s">
        <v>700</v>
      </c>
      <c r="K2147" s="594"/>
      <c r="L2147" s="594"/>
      <c r="M2147" s="352">
        <v>2000</v>
      </c>
      <c r="N2147" s="352" t="s">
        <v>703</v>
      </c>
      <c r="O2147" s="460">
        <v>2222</v>
      </c>
      <c r="P2147" s="460" t="s">
        <v>1885</v>
      </c>
      <c r="Q2147" s="460" t="s">
        <v>3000</v>
      </c>
      <c r="R2147" s="460">
        <v>2121</v>
      </c>
      <c r="S2147" s="460" t="s">
        <v>2265</v>
      </c>
      <c r="T2147" s="462">
        <v>1</v>
      </c>
      <c r="U2147" s="460" t="s">
        <v>2265</v>
      </c>
      <c r="V2147" s="475">
        <v>0</v>
      </c>
      <c r="W2147" s="463" t="s">
        <v>2268</v>
      </c>
      <c r="X2147" s="463" t="s">
        <v>2268</v>
      </c>
      <c r="Y2147" s="463" t="s">
        <v>2554</v>
      </c>
      <c r="Z2147" s="463"/>
      <c r="AA2147" s="463"/>
      <c r="AB2147" s="464">
        <v>0</v>
      </c>
      <c r="AC2147" s="465">
        <v>0</v>
      </c>
      <c r="AD2147" s="465">
        <v>0</v>
      </c>
      <c r="AE2147" s="476">
        <v>0</v>
      </c>
      <c r="AF2147" s="467">
        <v>0</v>
      </c>
      <c r="AG2147" s="468">
        <v>0</v>
      </c>
      <c r="AH2147" s="218">
        <v>0</v>
      </c>
      <c r="AI2147" s="470">
        <v>0</v>
      </c>
      <c r="AJ2147" s="471">
        <v>0</v>
      </c>
      <c r="AK2147" s="218">
        <v>0</v>
      </c>
      <c r="AL2147" s="470">
        <v>0</v>
      </c>
      <c r="AM2147" s="471">
        <v>0</v>
      </c>
      <c r="AN2147" s="477">
        <v>18.432630342883456</v>
      </c>
      <c r="AO2147" s="473">
        <v>3.5050003027579719E-2</v>
      </c>
      <c r="AP2147" s="474">
        <v>1.1446776267502383E-3</v>
      </c>
      <c r="AQ2147" s="352"/>
      <c r="AR2147" s="352"/>
      <c r="AS2147" s="352"/>
      <c r="AT2147" s="352"/>
      <c r="AU2147" s="352"/>
      <c r="AV2147" s="352"/>
      <c r="AW2147" s="352" t="s">
        <v>254</v>
      </c>
    </row>
    <row r="2148" spans="2:49" x14ac:dyDescent="0.2">
      <c r="B2148" s="460" t="s">
        <v>3001</v>
      </c>
      <c r="C2148" s="460">
        <v>2222</v>
      </c>
      <c r="D2148" s="460" t="s">
        <v>2291</v>
      </c>
      <c r="E2148" s="460" t="s">
        <v>2271</v>
      </c>
      <c r="F2148" s="460">
        <v>2</v>
      </c>
      <c r="G2148" s="460">
        <v>1</v>
      </c>
      <c r="H2148" s="461" t="s">
        <v>748</v>
      </c>
      <c r="I2148" s="461" t="s">
        <v>765</v>
      </c>
      <c r="J2148" s="461" t="s">
        <v>700</v>
      </c>
      <c r="K2148" s="594"/>
      <c r="L2148" s="594"/>
      <c r="M2148" s="352">
        <v>2000</v>
      </c>
      <c r="N2148" s="352" t="s">
        <v>703</v>
      </c>
      <c r="O2148" s="460">
        <v>2222</v>
      </c>
      <c r="P2148" s="460" t="s">
        <v>1885</v>
      </c>
      <c r="Q2148" s="460" t="s">
        <v>3000</v>
      </c>
      <c r="R2148" s="460">
        <v>2121</v>
      </c>
      <c r="S2148" s="460" t="s">
        <v>2265</v>
      </c>
      <c r="T2148" s="462">
        <v>1</v>
      </c>
      <c r="U2148" s="460" t="s">
        <v>2271</v>
      </c>
      <c r="V2148" s="475">
        <v>0</v>
      </c>
      <c r="W2148" s="463" t="s">
        <v>2268</v>
      </c>
      <c r="X2148" s="463" t="s">
        <v>2268</v>
      </c>
      <c r="Y2148" s="463" t="s">
        <v>2554</v>
      </c>
      <c r="Z2148" s="463"/>
      <c r="AA2148" s="463"/>
      <c r="AB2148" s="464">
        <v>0</v>
      </c>
      <c r="AC2148" s="465">
        <v>0</v>
      </c>
      <c r="AD2148" s="465">
        <v>0</v>
      </c>
      <c r="AE2148" s="476">
        <v>0</v>
      </c>
      <c r="AF2148" s="467">
        <v>0</v>
      </c>
      <c r="AG2148" s="468">
        <v>0</v>
      </c>
      <c r="AH2148" s="218">
        <v>0</v>
      </c>
      <c r="AI2148" s="470">
        <v>0</v>
      </c>
      <c r="AJ2148" s="471">
        <v>0</v>
      </c>
      <c r="AK2148" s="218">
        <v>0</v>
      </c>
      <c r="AL2148" s="470">
        <v>0</v>
      </c>
      <c r="AM2148" s="471">
        <v>0</v>
      </c>
      <c r="AN2148" s="477">
        <v>15.019486476706016</v>
      </c>
      <c r="AO2148" s="473">
        <v>3.5050003027579719E-2</v>
      </c>
      <c r="AP2148" s="474">
        <v>9.5530057932739559E-4</v>
      </c>
      <c r="AQ2148" s="352"/>
      <c r="AR2148" s="352"/>
      <c r="AS2148" s="352"/>
      <c r="AT2148" s="352"/>
      <c r="AU2148" s="352"/>
      <c r="AV2148" s="352"/>
      <c r="AW2148" s="352" t="s">
        <v>254</v>
      </c>
    </row>
    <row r="2149" spans="2:49" x14ac:dyDescent="0.2">
      <c r="B2149" s="460" t="s">
        <v>3002</v>
      </c>
      <c r="C2149" s="460">
        <v>2222</v>
      </c>
      <c r="D2149" s="460" t="s">
        <v>2292</v>
      </c>
      <c r="E2149" s="460" t="s">
        <v>2274</v>
      </c>
      <c r="F2149" s="460">
        <v>3</v>
      </c>
      <c r="G2149" s="460">
        <v>1</v>
      </c>
      <c r="H2149" s="461" t="s">
        <v>748</v>
      </c>
      <c r="I2149" s="461" t="s">
        <v>765</v>
      </c>
      <c r="J2149" s="461" t="s">
        <v>700</v>
      </c>
      <c r="K2149" s="594"/>
      <c r="L2149" s="594"/>
      <c r="M2149" s="352">
        <v>2000</v>
      </c>
      <c r="N2149" s="352" t="s">
        <v>703</v>
      </c>
      <c r="O2149" s="460">
        <v>2222</v>
      </c>
      <c r="P2149" s="460" t="s">
        <v>1885</v>
      </c>
      <c r="Q2149" s="460" t="s">
        <v>3000</v>
      </c>
      <c r="R2149" s="460">
        <v>2121</v>
      </c>
      <c r="S2149" s="460" t="s">
        <v>2265</v>
      </c>
      <c r="T2149" s="462">
        <v>0.74223365950407583</v>
      </c>
      <c r="U2149" s="460" t="s">
        <v>2274</v>
      </c>
      <c r="V2149" s="475">
        <v>0</v>
      </c>
      <c r="W2149" s="463" t="s">
        <v>2268</v>
      </c>
      <c r="X2149" s="463" t="s">
        <v>2268</v>
      </c>
      <c r="Y2149" s="463" t="s">
        <v>2554</v>
      </c>
      <c r="Z2149" s="463"/>
      <c r="AA2149" s="463"/>
      <c r="AB2149" s="464">
        <v>0</v>
      </c>
      <c r="AC2149" s="465">
        <v>0</v>
      </c>
      <c r="AD2149" s="465">
        <v>0</v>
      </c>
      <c r="AE2149" s="476">
        <v>0</v>
      </c>
      <c r="AF2149" s="467">
        <v>0</v>
      </c>
      <c r="AG2149" s="468">
        <v>0</v>
      </c>
      <c r="AH2149" s="218">
        <v>0</v>
      </c>
      <c r="AI2149" s="470">
        <v>0</v>
      </c>
      <c r="AJ2149" s="471">
        <v>0</v>
      </c>
      <c r="AK2149" s="218">
        <v>0</v>
      </c>
      <c r="AL2149" s="470">
        <v>0</v>
      </c>
      <c r="AM2149" s="471">
        <v>0</v>
      </c>
      <c r="AN2149" s="477">
        <v>7.5931898367066353</v>
      </c>
      <c r="AO2149" s="473">
        <v>2.6015292012789432E-2</v>
      </c>
      <c r="AP2149" s="474">
        <v>1.0690967504034419E-3</v>
      </c>
      <c r="AQ2149" s="352"/>
      <c r="AR2149" s="352"/>
      <c r="AS2149" s="352"/>
      <c r="AT2149" s="352"/>
      <c r="AU2149" s="352"/>
      <c r="AV2149" s="352"/>
      <c r="AW2149" s="352" t="s">
        <v>254</v>
      </c>
    </row>
    <row r="2150" spans="2:49" x14ac:dyDescent="0.2">
      <c r="B2150" s="460" t="s">
        <v>3003</v>
      </c>
      <c r="C2150" s="460">
        <v>2222</v>
      </c>
      <c r="D2150" s="460" t="s">
        <v>2293</v>
      </c>
      <c r="E2150" s="460" t="s">
        <v>2277</v>
      </c>
      <c r="F2150" s="460">
        <v>4</v>
      </c>
      <c r="G2150" s="460">
        <v>1</v>
      </c>
      <c r="H2150" s="461" t="s">
        <v>748</v>
      </c>
      <c r="I2150" s="461" t="s">
        <v>765</v>
      </c>
      <c r="J2150" s="461" t="s">
        <v>700</v>
      </c>
      <c r="K2150" s="594"/>
      <c r="L2150" s="594"/>
      <c r="M2150" s="352">
        <v>2000</v>
      </c>
      <c r="N2150" s="352" t="s">
        <v>703</v>
      </c>
      <c r="O2150" s="460">
        <v>2222</v>
      </c>
      <c r="P2150" s="460" t="s">
        <v>1885</v>
      </c>
      <c r="Q2150" s="460" t="s">
        <v>3000</v>
      </c>
      <c r="R2150" s="460">
        <v>2121</v>
      </c>
      <c r="S2150" s="460" t="s">
        <v>2277</v>
      </c>
      <c r="T2150" s="462">
        <v>1</v>
      </c>
      <c r="U2150" s="460" t="s">
        <v>2277</v>
      </c>
      <c r="V2150" s="475">
        <v>0</v>
      </c>
      <c r="W2150" s="463" t="s">
        <v>2268</v>
      </c>
      <c r="X2150" s="463" t="s">
        <v>2268</v>
      </c>
      <c r="Y2150" s="463" t="s">
        <v>2554</v>
      </c>
      <c r="Z2150" s="463"/>
      <c r="AA2150" s="463"/>
      <c r="AB2150" s="464">
        <v>0</v>
      </c>
      <c r="AC2150" s="465">
        <v>0</v>
      </c>
      <c r="AD2150" s="465">
        <v>0</v>
      </c>
      <c r="AE2150" s="476">
        <v>0</v>
      </c>
      <c r="AF2150" s="467">
        <v>0</v>
      </c>
      <c r="AG2150" s="468">
        <v>0</v>
      </c>
      <c r="AH2150" s="218">
        <v>0</v>
      </c>
      <c r="AI2150" s="470">
        <v>0</v>
      </c>
      <c r="AJ2150" s="471">
        <v>0</v>
      </c>
      <c r="AK2150" s="218">
        <v>0</v>
      </c>
      <c r="AL2150" s="470">
        <v>0</v>
      </c>
      <c r="AM2150" s="471">
        <v>0</v>
      </c>
      <c r="AN2150" s="477">
        <v>4.1900343059962826E-2</v>
      </c>
      <c r="AO2150" s="473">
        <v>1.2666424805030148E-4</v>
      </c>
      <c r="AP2150" s="474">
        <v>1.0117327365188244E-3</v>
      </c>
      <c r="AQ2150" s="352"/>
      <c r="AR2150" s="352"/>
      <c r="AS2150" s="352"/>
      <c r="AT2150" s="352"/>
      <c r="AU2150" s="352"/>
      <c r="AV2150" s="352"/>
      <c r="AW2150" s="352" t="s">
        <v>254</v>
      </c>
    </row>
    <row r="2151" spans="2:49" x14ac:dyDescent="0.2">
      <c r="B2151" s="460" t="s">
        <v>3004</v>
      </c>
      <c r="C2151" s="460">
        <v>2222</v>
      </c>
      <c r="D2151" s="460" t="s">
        <v>2295</v>
      </c>
      <c r="E2151" s="460" t="s">
        <v>2296</v>
      </c>
      <c r="F2151" s="460">
        <v>1</v>
      </c>
      <c r="G2151" s="460">
        <v>2</v>
      </c>
      <c r="H2151" s="461" t="s">
        <v>700</v>
      </c>
      <c r="I2151" s="461" t="s">
        <v>872</v>
      </c>
      <c r="J2151" s="461" t="s">
        <v>700</v>
      </c>
      <c r="K2151" s="594"/>
      <c r="L2151" s="594"/>
      <c r="M2151" s="352">
        <v>2000</v>
      </c>
      <c r="N2151" s="352" t="s">
        <v>703</v>
      </c>
      <c r="O2151" s="460">
        <v>2222</v>
      </c>
      <c r="P2151" s="460" t="s">
        <v>1885</v>
      </c>
      <c r="Q2151" s="460" t="s">
        <v>3000</v>
      </c>
      <c r="R2151" s="460">
        <v>2121</v>
      </c>
      <c r="S2151" s="460" t="s">
        <v>2296</v>
      </c>
      <c r="T2151" s="462">
        <v>1</v>
      </c>
      <c r="U2151" s="460" t="s">
        <v>2296</v>
      </c>
      <c r="V2151" s="475">
        <v>0</v>
      </c>
      <c r="W2151" s="463" t="s">
        <v>2554</v>
      </c>
      <c r="X2151" s="463" t="s">
        <v>2554</v>
      </c>
      <c r="Y2151" s="463" t="s">
        <v>2268</v>
      </c>
      <c r="Z2151" s="463"/>
      <c r="AA2151" s="463"/>
      <c r="AB2151" s="464">
        <v>0.10262631692563193</v>
      </c>
      <c r="AC2151" s="465">
        <v>3.461195182771954E-4</v>
      </c>
      <c r="AD2151" s="465">
        <v>5.9947855792188827E-6</v>
      </c>
      <c r="AE2151" s="476">
        <v>6.1575790155379152E-2</v>
      </c>
      <c r="AF2151" s="467">
        <v>2.0767171096631724E-4</v>
      </c>
      <c r="AG2151" s="468">
        <v>3.9981184396004231E-6</v>
      </c>
      <c r="AH2151" s="218">
        <v>6.1575790155379152E-2</v>
      </c>
      <c r="AI2151" s="470">
        <v>2.0767171096631724E-4</v>
      </c>
      <c r="AJ2151" s="471">
        <v>3.6732017534019224E-6</v>
      </c>
      <c r="AK2151" s="218">
        <v>6.1575790155379152E-2</v>
      </c>
      <c r="AL2151" s="470">
        <v>2.0767171096631724E-4</v>
      </c>
      <c r="AM2151" s="471">
        <v>3.6732017534019224E-6</v>
      </c>
      <c r="AN2151" s="477">
        <v>0</v>
      </c>
      <c r="AO2151" s="473">
        <v>0</v>
      </c>
      <c r="AP2151" s="474">
        <v>0</v>
      </c>
      <c r="AQ2151" s="352"/>
      <c r="AR2151" s="352"/>
      <c r="AS2151" s="352"/>
      <c r="AT2151" s="352"/>
      <c r="AU2151" s="352"/>
      <c r="AV2151" s="352"/>
      <c r="AW2151" s="352" t="s">
        <v>254</v>
      </c>
    </row>
    <row r="2152" spans="2:49" x14ac:dyDescent="0.2">
      <c r="B2152" s="460" t="s">
        <v>3005</v>
      </c>
      <c r="C2152" s="460">
        <v>2222</v>
      </c>
      <c r="D2152" s="460" t="s">
        <v>2298</v>
      </c>
      <c r="E2152" s="460" t="s">
        <v>2299</v>
      </c>
      <c r="F2152" s="460">
        <v>2</v>
      </c>
      <c r="G2152" s="460">
        <v>2</v>
      </c>
      <c r="H2152" s="461" t="s">
        <v>700</v>
      </c>
      <c r="I2152" s="461" t="s">
        <v>872</v>
      </c>
      <c r="J2152" s="461" t="s">
        <v>700</v>
      </c>
      <c r="K2152" s="594"/>
      <c r="L2152" s="594"/>
      <c r="M2152" s="352">
        <v>2000</v>
      </c>
      <c r="N2152" s="352" t="s">
        <v>703</v>
      </c>
      <c r="O2152" s="460">
        <v>2222</v>
      </c>
      <c r="P2152" s="460" t="s">
        <v>1885</v>
      </c>
      <c r="Q2152" s="460" t="s">
        <v>3000</v>
      </c>
      <c r="R2152" s="460">
        <v>2121</v>
      </c>
      <c r="S2152" s="460" t="s">
        <v>2296</v>
      </c>
      <c r="T2152" s="462">
        <v>0.55517361979372948</v>
      </c>
      <c r="U2152" s="460" t="s">
        <v>2299</v>
      </c>
      <c r="V2152" s="475">
        <v>0</v>
      </c>
      <c r="W2152" s="463" t="s">
        <v>2554</v>
      </c>
      <c r="X2152" s="463" t="s">
        <v>2554</v>
      </c>
      <c r="Y2152" s="463" t="s">
        <v>2268</v>
      </c>
      <c r="Z2152" s="463"/>
      <c r="AA2152" s="463"/>
      <c r="AB2152" s="464">
        <v>7.0584025759981087E-3</v>
      </c>
      <c r="AC2152" s="465">
        <v>4.5531131619257927E-5</v>
      </c>
      <c r="AD2152" s="465">
        <v>2.1357274547179769E-6</v>
      </c>
      <c r="AE2152" s="476">
        <v>4.2350415455988649E-3</v>
      </c>
      <c r="AF2152" s="467">
        <v>2.7318678971554756E-5</v>
      </c>
      <c r="AG2152" s="468">
        <v>1.4380190777651616E-6</v>
      </c>
      <c r="AH2152" s="218">
        <v>1.7873275224189463E-2</v>
      </c>
      <c r="AI2152" s="470">
        <v>1.1529385550592747E-4</v>
      </c>
      <c r="AJ2152" s="471">
        <v>4.2089343054811019E-6</v>
      </c>
      <c r="AK2152" s="218">
        <v>1.7873275224189463E-2</v>
      </c>
      <c r="AL2152" s="470">
        <v>1.1529385550592747E-4</v>
      </c>
      <c r="AM2152" s="471">
        <v>4.2089343054811019E-6</v>
      </c>
      <c r="AN2152" s="477">
        <v>0</v>
      </c>
      <c r="AO2152" s="473">
        <v>0</v>
      </c>
      <c r="AP2152" s="474">
        <v>0</v>
      </c>
      <c r="AQ2152" s="352"/>
      <c r="AR2152" s="352"/>
      <c r="AS2152" s="352"/>
      <c r="AT2152" s="352"/>
      <c r="AU2152" s="352"/>
      <c r="AV2152" s="352"/>
      <c r="AW2152" s="352" t="s">
        <v>254</v>
      </c>
    </row>
    <row r="2153" spans="2:49" x14ac:dyDescent="0.2">
      <c r="B2153" s="460" t="s">
        <v>3006</v>
      </c>
      <c r="C2153" s="460">
        <v>2222</v>
      </c>
      <c r="D2153" s="460" t="s">
        <v>2301</v>
      </c>
      <c r="E2153" s="460" t="s">
        <v>2302</v>
      </c>
      <c r="F2153" s="460">
        <v>3</v>
      </c>
      <c r="G2153" s="460">
        <v>2</v>
      </c>
      <c r="H2153" s="461" t="s">
        <v>700</v>
      </c>
      <c r="I2153" s="461" t="s">
        <v>872</v>
      </c>
      <c r="J2153" s="461" t="s">
        <v>700</v>
      </c>
      <c r="K2153" s="594"/>
      <c r="L2153" s="594"/>
      <c r="M2153" s="352">
        <v>2000</v>
      </c>
      <c r="N2153" s="352" t="s">
        <v>703</v>
      </c>
      <c r="O2153" s="460">
        <v>2222</v>
      </c>
      <c r="P2153" s="460" t="s">
        <v>1885</v>
      </c>
      <c r="Q2153" s="460" t="s">
        <v>3000</v>
      </c>
      <c r="R2153" s="460">
        <v>2121</v>
      </c>
      <c r="S2153" s="460" t="s">
        <v>2296</v>
      </c>
      <c r="T2153" s="462">
        <v>0.28481449642268464</v>
      </c>
      <c r="U2153" s="460" t="s">
        <v>2302</v>
      </c>
      <c r="V2153" s="475">
        <v>0</v>
      </c>
      <c r="W2153" s="463" t="s">
        <v>2554</v>
      </c>
      <c r="X2153" s="463" t="s">
        <v>2554</v>
      </c>
      <c r="Y2153" s="463" t="s">
        <v>2268</v>
      </c>
      <c r="Z2153" s="463"/>
      <c r="AA2153" s="463"/>
      <c r="AB2153" s="464">
        <v>1.6872506167763289E-4</v>
      </c>
      <c r="AC2153" s="465">
        <v>3.1192445969794908E-6</v>
      </c>
      <c r="AD2153" s="465">
        <v>3.2819350497962863E-7</v>
      </c>
      <c r="AE2153" s="476">
        <v>1.0123503700657973E-4</v>
      </c>
      <c r="AF2153" s="467">
        <v>1.8715467581876944E-6</v>
      </c>
      <c r="AG2153" s="468">
        <v>2.222077054521943E-7</v>
      </c>
      <c r="AH2153" s="218">
        <v>3.1994077701748801E-3</v>
      </c>
      <c r="AI2153" s="470">
        <v>5.9147913780108954E-5</v>
      </c>
      <c r="AJ2153" s="471">
        <v>3.3213657466159383E-6</v>
      </c>
      <c r="AK2153" s="218">
        <v>3.1994077701748801E-3</v>
      </c>
      <c r="AL2153" s="470">
        <v>5.9147913780108954E-5</v>
      </c>
      <c r="AM2153" s="471">
        <v>3.3213657466159383E-6</v>
      </c>
      <c r="AN2153" s="477">
        <v>0</v>
      </c>
      <c r="AO2153" s="473">
        <v>0</v>
      </c>
      <c r="AP2153" s="474">
        <v>0</v>
      </c>
      <c r="AQ2153" s="352"/>
      <c r="AR2153" s="352"/>
      <c r="AS2153" s="352"/>
      <c r="AT2153" s="352"/>
      <c r="AU2153" s="352"/>
      <c r="AV2153" s="352"/>
      <c r="AW2153" s="352" t="s">
        <v>254</v>
      </c>
    </row>
    <row r="2154" spans="2:49" x14ac:dyDescent="0.2">
      <c r="B2154" s="460" t="s">
        <v>3007</v>
      </c>
      <c r="C2154" s="460">
        <v>2222</v>
      </c>
      <c r="D2154" s="460" t="s">
        <v>2304</v>
      </c>
      <c r="E2154" s="460" t="s">
        <v>2305</v>
      </c>
      <c r="F2154" s="460">
        <v>4</v>
      </c>
      <c r="G2154" s="460">
        <v>2</v>
      </c>
      <c r="H2154" s="461" t="s">
        <v>700</v>
      </c>
      <c r="I2154" s="461" t="s">
        <v>872</v>
      </c>
      <c r="J2154" s="461" t="s">
        <v>700</v>
      </c>
      <c r="K2154" s="594"/>
      <c r="L2154" s="594"/>
      <c r="M2154" s="352">
        <v>2000</v>
      </c>
      <c r="N2154" s="352" t="s">
        <v>703</v>
      </c>
      <c r="O2154" s="460">
        <v>2222</v>
      </c>
      <c r="P2154" s="460" t="s">
        <v>1885</v>
      </c>
      <c r="Q2154" s="460" t="s">
        <v>3000</v>
      </c>
      <c r="R2154" s="460">
        <v>2121</v>
      </c>
      <c r="S2154" s="460" t="s">
        <v>2305</v>
      </c>
      <c r="T2154" s="462">
        <v>1</v>
      </c>
      <c r="U2154" s="460" t="s">
        <v>2305</v>
      </c>
      <c r="V2154" s="475">
        <v>0</v>
      </c>
      <c r="W2154" s="463" t="s">
        <v>2554</v>
      </c>
      <c r="X2154" s="463" t="s">
        <v>2554</v>
      </c>
      <c r="Y2154" s="463" t="s">
        <v>2268</v>
      </c>
      <c r="Z2154" s="463"/>
      <c r="AA2154" s="463"/>
      <c r="AB2154" s="464">
        <v>0</v>
      </c>
      <c r="AC2154" s="465">
        <v>0</v>
      </c>
      <c r="AD2154" s="465">
        <v>0</v>
      </c>
      <c r="AE2154" s="476">
        <v>0</v>
      </c>
      <c r="AF2154" s="467">
        <v>0</v>
      </c>
      <c r="AG2154" s="468">
        <v>0</v>
      </c>
      <c r="AH2154" s="218">
        <v>0</v>
      </c>
      <c r="AI2154" s="470">
        <v>0</v>
      </c>
      <c r="AJ2154" s="471">
        <v>0</v>
      </c>
      <c r="AK2154" s="218">
        <v>0</v>
      </c>
      <c r="AL2154" s="470">
        <v>0</v>
      </c>
      <c r="AM2154" s="471">
        <v>0</v>
      </c>
      <c r="AN2154" s="477">
        <v>0</v>
      </c>
      <c r="AO2154" s="473">
        <v>0</v>
      </c>
      <c r="AP2154" s="474">
        <v>0</v>
      </c>
      <c r="AQ2154" s="352"/>
      <c r="AR2154" s="352"/>
      <c r="AS2154" s="352"/>
      <c r="AT2154" s="352"/>
      <c r="AU2154" s="352"/>
      <c r="AV2154" s="352"/>
      <c r="AW2154" s="352" t="s">
        <v>254</v>
      </c>
    </row>
    <row r="2155" spans="2:49" x14ac:dyDescent="0.2">
      <c r="B2155" s="460" t="s">
        <v>3004</v>
      </c>
      <c r="C2155" s="460">
        <v>2222</v>
      </c>
      <c r="D2155" s="460" t="s">
        <v>2306</v>
      </c>
      <c r="E2155" s="460" t="s">
        <v>2296</v>
      </c>
      <c r="F2155" s="460">
        <v>1</v>
      </c>
      <c r="G2155" s="460">
        <v>2</v>
      </c>
      <c r="H2155" s="461" t="s">
        <v>712</v>
      </c>
      <c r="I2155" s="461" t="s">
        <v>713</v>
      </c>
      <c r="J2155" s="461" t="s">
        <v>712</v>
      </c>
      <c r="K2155" s="594"/>
      <c r="L2155" s="594"/>
      <c r="M2155" s="352">
        <v>2000</v>
      </c>
      <c r="N2155" s="352" t="s">
        <v>703</v>
      </c>
      <c r="O2155" s="460">
        <v>2222</v>
      </c>
      <c r="P2155" s="460" t="s">
        <v>1885</v>
      </c>
      <c r="Q2155" s="460" t="s">
        <v>2280</v>
      </c>
      <c r="R2155" s="460">
        <v>2121</v>
      </c>
      <c r="S2155" s="460" t="s">
        <v>2296</v>
      </c>
      <c r="T2155" s="462">
        <v>1</v>
      </c>
      <c r="U2155" s="460" t="s">
        <v>2296</v>
      </c>
      <c r="V2155" s="475">
        <v>0</v>
      </c>
      <c r="W2155" s="463" t="s">
        <v>713</v>
      </c>
      <c r="X2155" s="463" t="s">
        <v>713</v>
      </c>
      <c r="Y2155" s="463" t="s">
        <v>713</v>
      </c>
      <c r="Z2155" s="463"/>
      <c r="AA2155" s="463"/>
      <c r="AB2155" s="464">
        <v>296.40280462916155</v>
      </c>
      <c r="AC2155" s="465">
        <v>0.99965388048172277</v>
      </c>
      <c r="AD2155" s="465">
        <v>2.5635810039581126E-3</v>
      </c>
      <c r="AE2155" s="476">
        <v>296.44385515593177</v>
      </c>
      <c r="AF2155" s="467">
        <v>0.99979232828903364</v>
      </c>
      <c r="AG2155" s="468">
        <v>2.5263949218930042E-3</v>
      </c>
      <c r="AH2155" s="218">
        <v>296.44385515593177</v>
      </c>
      <c r="AI2155" s="470">
        <v>0.99979232828903364</v>
      </c>
      <c r="AJ2155" s="471">
        <v>2.5560714677107959E-3</v>
      </c>
      <c r="AK2155" s="218">
        <v>296.44385515593177</v>
      </c>
      <c r="AL2155" s="470">
        <v>0.99979232828903364</v>
      </c>
      <c r="AM2155" s="471">
        <v>2.5560714677107959E-3</v>
      </c>
      <c r="AN2155" s="477">
        <v>296.44385515593177</v>
      </c>
      <c r="AO2155" s="473">
        <v>0.99979232828903364</v>
      </c>
      <c r="AP2155" s="474">
        <v>2.5554441725852239E-3</v>
      </c>
      <c r="AQ2155" s="352"/>
      <c r="AR2155" s="352"/>
      <c r="AS2155" s="352"/>
      <c r="AT2155" s="352"/>
      <c r="AU2155" s="352"/>
      <c r="AV2155" s="352"/>
      <c r="AW2155" s="352" t="s">
        <v>254</v>
      </c>
    </row>
    <row r="2156" spans="2:49" x14ac:dyDescent="0.2">
      <c r="B2156" s="460" t="s">
        <v>3005</v>
      </c>
      <c r="C2156" s="460">
        <v>2222</v>
      </c>
      <c r="D2156" s="460" t="s">
        <v>2307</v>
      </c>
      <c r="E2156" s="460" t="s">
        <v>2299</v>
      </c>
      <c r="F2156" s="460">
        <v>2</v>
      </c>
      <c r="G2156" s="460">
        <v>2</v>
      </c>
      <c r="H2156" s="461" t="s">
        <v>712</v>
      </c>
      <c r="I2156" s="461" t="s">
        <v>713</v>
      </c>
      <c r="J2156" s="461" t="s">
        <v>712</v>
      </c>
      <c r="K2156" s="594"/>
      <c r="L2156" s="594"/>
      <c r="M2156" s="352">
        <v>2000</v>
      </c>
      <c r="N2156" s="352" t="s">
        <v>703</v>
      </c>
      <c r="O2156" s="460">
        <v>2222</v>
      </c>
      <c r="P2156" s="460" t="s">
        <v>1885</v>
      </c>
      <c r="Q2156" s="460" t="s">
        <v>2280</v>
      </c>
      <c r="R2156" s="460">
        <v>2121</v>
      </c>
      <c r="S2156" s="460" t="s">
        <v>2296</v>
      </c>
      <c r="T2156" s="462">
        <v>0.55517361979372948</v>
      </c>
      <c r="U2156" s="460" t="s">
        <v>2299</v>
      </c>
      <c r="V2156" s="475">
        <v>0</v>
      </c>
      <c r="W2156" s="463" t="s">
        <v>713</v>
      </c>
      <c r="X2156" s="463" t="s">
        <v>713</v>
      </c>
      <c r="Y2156" s="463" t="s">
        <v>713</v>
      </c>
      <c r="Z2156" s="463"/>
      <c r="AA2156" s="463"/>
      <c r="AB2156" s="464">
        <v>155.01659958647065</v>
      </c>
      <c r="AC2156" s="465">
        <v>0.99995446886838069</v>
      </c>
      <c r="AD2156" s="465">
        <v>1.793038646197301E-3</v>
      </c>
      <c r="AE2156" s="476">
        <v>155.01942294750106</v>
      </c>
      <c r="AF2156" s="467">
        <v>0.99997268132102846</v>
      </c>
      <c r="AG2156" s="468">
        <v>1.7856386396766343E-3</v>
      </c>
      <c r="AH2156" s="218">
        <v>155.00578471382246</v>
      </c>
      <c r="AI2156" s="470">
        <v>0.9998847061444941</v>
      </c>
      <c r="AJ2156" s="471">
        <v>1.8160324692518214E-3</v>
      </c>
      <c r="AK2156" s="218">
        <v>155.00578471382246</v>
      </c>
      <c r="AL2156" s="470">
        <v>0.9998847061444941</v>
      </c>
      <c r="AM2156" s="471">
        <v>1.8160324692518214E-3</v>
      </c>
      <c r="AN2156" s="477">
        <v>155.00578471382246</v>
      </c>
      <c r="AO2156" s="473">
        <v>0.9998847061444941</v>
      </c>
      <c r="AP2156" s="474">
        <v>1.8158032229365453E-3</v>
      </c>
      <c r="AQ2156" s="352"/>
      <c r="AR2156" s="352"/>
      <c r="AS2156" s="352"/>
      <c r="AT2156" s="352"/>
      <c r="AU2156" s="352"/>
      <c r="AV2156" s="352"/>
      <c r="AW2156" s="352" t="s">
        <v>254</v>
      </c>
    </row>
    <row r="2157" spans="2:49" x14ac:dyDescent="0.2">
      <c r="B2157" s="460" t="s">
        <v>3006</v>
      </c>
      <c r="C2157" s="460">
        <v>2222</v>
      </c>
      <c r="D2157" s="460" t="s">
        <v>2308</v>
      </c>
      <c r="E2157" s="460" t="s">
        <v>2302</v>
      </c>
      <c r="F2157" s="460">
        <v>3</v>
      </c>
      <c r="G2157" s="460">
        <v>2</v>
      </c>
      <c r="H2157" s="461" t="s">
        <v>712</v>
      </c>
      <c r="I2157" s="461" t="s">
        <v>713</v>
      </c>
      <c r="J2157" s="461" t="s">
        <v>712</v>
      </c>
      <c r="K2157" s="594"/>
      <c r="L2157" s="594"/>
      <c r="M2157" s="352">
        <v>2000</v>
      </c>
      <c r="N2157" s="352" t="s">
        <v>703</v>
      </c>
      <c r="O2157" s="460">
        <v>2222</v>
      </c>
      <c r="P2157" s="460" t="s">
        <v>1885</v>
      </c>
      <c r="Q2157" s="460" t="s">
        <v>2280</v>
      </c>
      <c r="R2157" s="460">
        <v>2121</v>
      </c>
      <c r="S2157" s="460" t="s">
        <v>2296</v>
      </c>
      <c r="T2157" s="462">
        <v>0.28481449642268464</v>
      </c>
      <c r="U2157" s="460" t="s">
        <v>2302</v>
      </c>
      <c r="V2157" s="475">
        <v>0</v>
      </c>
      <c r="W2157" s="463" t="s">
        <v>713</v>
      </c>
      <c r="X2157" s="463" t="s">
        <v>713</v>
      </c>
      <c r="Y2157" s="463" t="s">
        <v>713</v>
      </c>
      <c r="Z2157" s="463"/>
      <c r="AA2157" s="463"/>
      <c r="AB2157" s="464">
        <v>54.091473155481189</v>
      </c>
      <c r="AC2157" s="465">
        <v>0.99999688075540305</v>
      </c>
      <c r="AD2157" s="465">
        <v>1.5733857849066627E-3</v>
      </c>
      <c r="AE2157" s="476">
        <v>54.091540645505859</v>
      </c>
      <c r="AF2157" s="467">
        <v>0.99999812845324176</v>
      </c>
      <c r="AG2157" s="468">
        <v>1.5707143079211306E-3</v>
      </c>
      <c r="AH2157" s="218">
        <v>54.088442472772691</v>
      </c>
      <c r="AI2157" s="470">
        <v>0.99994085208621986</v>
      </c>
      <c r="AJ2157" s="471">
        <v>1.5941256419668066E-3</v>
      </c>
      <c r="AK2157" s="218">
        <v>54.088442472772691</v>
      </c>
      <c r="AL2157" s="470">
        <v>0.99994085208621986</v>
      </c>
      <c r="AM2157" s="471">
        <v>1.5941256419668066E-3</v>
      </c>
      <c r="AN2157" s="477">
        <v>54.088442472772691</v>
      </c>
      <c r="AO2157" s="473">
        <v>0.99994085208621986</v>
      </c>
      <c r="AP2157" s="474">
        <v>1.5955118227342128E-3</v>
      </c>
      <c r="AQ2157" s="352"/>
      <c r="AR2157" s="352"/>
      <c r="AS2157" s="352"/>
      <c r="AT2157" s="352"/>
      <c r="AU2157" s="352"/>
      <c r="AV2157" s="352"/>
      <c r="AW2157" s="352" t="s">
        <v>254</v>
      </c>
    </row>
    <row r="2158" spans="2:49" x14ac:dyDescent="0.2">
      <c r="B2158" s="460" t="s">
        <v>3007</v>
      </c>
      <c r="C2158" s="460">
        <v>2222</v>
      </c>
      <c r="D2158" s="460" t="s">
        <v>2309</v>
      </c>
      <c r="E2158" s="460" t="s">
        <v>2305</v>
      </c>
      <c r="F2158" s="460">
        <v>4</v>
      </c>
      <c r="G2158" s="460">
        <v>2</v>
      </c>
      <c r="H2158" s="461" t="s">
        <v>712</v>
      </c>
      <c r="I2158" s="461" t="s">
        <v>713</v>
      </c>
      <c r="J2158" s="461" t="s">
        <v>712</v>
      </c>
      <c r="K2158" s="594"/>
      <c r="L2158" s="594"/>
      <c r="M2158" s="352">
        <v>2000</v>
      </c>
      <c r="N2158" s="352" t="s">
        <v>703</v>
      </c>
      <c r="O2158" s="460">
        <v>2222</v>
      </c>
      <c r="P2158" s="460" t="s">
        <v>1885</v>
      </c>
      <c r="Q2158" s="460" t="s">
        <v>2280</v>
      </c>
      <c r="R2158" s="460">
        <v>2121</v>
      </c>
      <c r="S2158" s="460" t="s">
        <v>2305</v>
      </c>
      <c r="T2158" s="462">
        <v>1</v>
      </c>
      <c r="U2158" s="460" t="s">
        <v>2305</v>
      </c>
      <c r="V2158" s="475">
        <v>0</v>
      </c>
      <c r="W2158" s="463" t="s">
        <v>713</v>
      </c>
      <c r="X2158" s="463" t="s">
        <v>713</v>
      </c>
      <c r="Y2158" s="463" t="s">
        <v>713</v>
      </c>
      <c r="Z2158" s="463"/>
      <c r="AA2158" s="463"/>
      <c r="AB2158" s="464">
        <v>61.328879525459257</v>
      </c>
      <c r="AC2158" s="465">
        <v>1</v>
      </c>
      <c r="AD2158" s="465">
        <v>1.5663335984472549E-3</v>
      </c>
      <c r="AE2158" s="476">
        <v>61.328879525459257</v>
      </c>
      <c r="AF2158" s="467">
        <v>1</v>
      </c>
      <c r="AG2158" s="468">
        <v>1.5662833561252551E-3</v>
      </c>
      <c r="AH2158" s="218">
        <v>61.328879525459257</v>
      </c>
      <c r="AI2158" s="470">
        <v>1</v>
      </c>
      <c r="AJ2158" s="471">
        <v>1.566285252158199E-3</v>
      </c>
      <c r="AK2158" s="218">
        <v>61.328879525459257</v>
      </c>
      <c r="AL2158" s="470">
        <v>1</v>
      </c>
      <c r="AM2158" s="471">
        <v>1.566285252158199E-3</v>
      </c>
      <c r="AN2158" s="477">
        <v>61.328879525459257</v>
      </c>
      <c r="AO2158" s="473">
        <v>1</v>
      </c>
      <c r="AP2158" s="474">
        <v>1.5662871680365486E-3</v>
      </c>
      <c r="AQ2158" s="352"/>
      <c r="AR2158" s="352"/>
      <c r="AS2158" s="352"/>
      <c r="AT2158" s="352"/>
      <c r="AU2158" s="352"/>
      <c r="AV2158" s="352"/>
      <c r="AW2158" s="352" t="s">
        <v>254</v>
      </c>
    </row>
    <row r="2159" spans="2:49" x14ac:dyDescent="0.2">
      <c r="B2159" s="460" t="s">
        <v>3004</v>
      </c>
      <c r="C2159" s="460">
        <v>2222</v>
      </c>
      <c r="D2159" s="460" t="s">
        <v>2310</v>
      </c>
      <c r="E2159" s="460" t="s">
        <v>2296</v>
      </c>
      <c r="F2159" s="460">
        <v>1</v>
      </c>
      <c r="G2159" s="460">
        <v>2</v>
      </c>
      <c r="H2159" s="461" t="s">
        <v>746</v>
      </c>
      <c r="I2159" s="461" t="s">
        <v>762</v>
      </c>
      <c r="J2159" s="461" t="s">
        <v>700</v>
      </c>
      <c r="K2159" s="594"/>
      <c r="L2159" s="594"/>
      <c r="M2159" s="352">
        <v>2000</v>
      </c>
      <c r="N2159" s="352" t="s">
        <v>703</v>
      </c>
      <c r="O2159" s="460">
        <v>2222</v>
      </c>
      <c r="P2159" s="460" t="s">
        <v>1885</v>
      </c>
      <c r="Q2159" s="460" t="s">
        <v>3000</v>
      </c>
      <c r="R2159" s="460">
        <v>2121</v>
      </c>
      <c r="S2159" s="460" t="s">
        <v>2296</v>
      </c>
      <c r="T2159" s="462">
        <v>1</v>
      </c>
      <c r="U2159" s="460" t="s">
        <v>2296</v>
      </c>
      <c r="V2159" s="475">
        <v>0</v>
      </c>
      <c r="W2159" s="463" t="s">
        <v>2268</v>
      </c>
      <c r="X2159" s="463" t="s">
        <v>2268</v>
      </c>
      <c r="Y2159" s="463" t="s">
        <v>2554</v>
      </c>
      <c r="Z2159" s="463"/>
      <c r="AA2159" s="463"/>
      <c r="AB2159" s="464">
        <v>0</v>
      </c>
      <c r="AC2159" s="465">
        <v>0</v>
      </c>
      <c r="AD2159" s="465">
        <v>0</v>
      </c>
      <c r="AE2159" s="476">
        <v>0</v>
      </c>
      <c r="AF2159" s="467">
        <v>0</v>
      </c>
      <c r="AG2159" s="468">
        <v>0</v>
      </c>
      <c r="AH2159" s="218">
        <v>0</v>
      </c>
      <c r="AI2159" s="470">
        <v>0</v>
      </c>
      <c r="AJ2159" s="471">
        <v>0</v>
      </c>
      <c r="AK2159" s="218">
        <v>0</v>
      </c>
      <c r="AL2159" s="470">
        <v>0</v>
      </c>
      <c r="AM2159" s="471">
        <v>0</v>
      </c>
      <c r="AN2159" s="477">
        <v>2.0525263385126381E-2</v>
      </c>
      <c r="AO2159" s="473">
        <v>6.9223903655439063E-5</v>
      </c>
      <c r="AP2159" s="474">
        <v>1.5247289902720211E-6</v>
      </c>
      <c r="AQ2159" s="352"/>
      <c r="AR2159" s="352"/>
      <c r="AS2159" s="352"/>
      <c r="AT2159" s="352"/>
      <c r="AU2159" s="352"/>
      <c r="AV2159" s="352"/>
      <c r="AW2159" s="352" t="s">
        <v>254</v>
      </c>
    </row>
    <row r="2160" spans="2:49" x14ac:dyDescent="0.2">
      <c r="B2160" s="460" t="s">
        <v>3005</v>
      </c>
      <c r="C2160" s="460">
        <v>2222</v>
      </c>
      <c r="D2160" s="460" t="s">
        <v>2311</v>
      </c>
      <c r="E2160" s="460" t="s">
        <v>2299</v>
      </c>
      <c r="F2160" s="460">
        <v>2</v>
      </c>
      <c r="G2160" s="460">
        <v>2</v>
      </c>
      <c r="H2160" s="461" t="s">
        <v>746</v>
      </c>
      <c r="I2160" s="461" t="s">
        <v>762</v>
      </c>
      <c r="J2160" s="461" t="s">
        <v>700</v>
      </c>
      <c r="K2160" s="594"/>
      <c r="L2160" s="594"/>
      <c r="M2160" s="352">
        <v>2000</v>
      </c>
      <c r="N2160" s="352" t="s">
        <v>703</v>
      </c>
      <c r="O2160" s="460">
        <v>2222</v>
      </c>
      <c r="P2160" s="460" t="s">
        <v>1885</v>
      </c>
      <c r="Q2160" s="460" t="s">
        <v>3000</v>
      </c>
      <c r="R2160" s="460">
        <v>2121</v>
      </c>
      <c r="S2160" s="460" t="s">
        <v>2296</v>
      </c>
      <c r="T2160" s="462">
        <v>0.55517361979372948</v>
      </c>
      <c r="U2160" s="460" t="s">
        <v>2299</v>
      </c>
      <c r="V2160" s="475">
        <v>0</v>
      </c>
      <c r="W2160" s="463" t="s">
        <v>2268</v>
      </c>
      <c r="X2160" s="463" t="s">
        <v>2268</v>
      </c>
      <c r="Y2160" s="463" t="s">
        <v>2554</v>
      </c>
      <c r="Z2160" s="463"/>
      <c r="AA2160" s="463"/>
      <c r="AB2160" s="464">
        <v>0</v>
      </c>
      <c r="AC2160" s="465">
        <v>0</v>
      </c>
      <c r="AD2160" s="465">
        <v>0</v>
      </c>
      <c r="AE2160" s="476">
        <v>0</v>
      </c>
      <c r="AF2160" s="467">
        <v>0</v>
      </c>
      <c r="AG2160" s="468">
        <v>0</v>
      </c>
      <c r="AH2160" s="218">
        <v>0</v>
      </c>
      <c r="AI2160" s="470">
        <v>0</v>
      </c>
      <c r="AJ2160" s="471">
        <v>0</v>
      </c>
      <c r="AK2160" s="218">
        <v>0</v>
      </c>
      <c r="AL2160" s="470">
        <v>0</v>
      </c>
      <c r="AM2160" s="471">
        <v>0</v>
      </c>
      <c r="AN2160" s="477">
        <v>5.9577584080631532E-3</v>
      </c>
      <c r="AO2160" s="473">
        <v>3.8431285168642482E-5</v>
      </c>
      <c r="AP2160" s="474">
        <v>1.8875283944687917E-6</v>
      </c>
      <c r="AQ2160" s="352"/>
      <c r="AR2160" s="352"/>
      <c r="AS2160" s="352"/>
      <c r="AT2160" s="352"/>
      <c r="AU2160" s="352"/>
      <c r="AV2160" s="352"/>
      <c r="AW2160" s="352" t="s">
        <v>254</v>
      </c>
    </row>
    <row r="2161" spans="2:49" x14ac:dyDescent="0.2">
      <c r="B2161" s="460" t="s">
        <v>3006</v>
      </c>
      <c r="C2161" s="460">
        <v>2222</v>
      </c>
      <c r="D2161" s="460" t="s">
        <v>2312</v>
      </c>
      <c r="E2161" s="460" t="s">
        <v>2302</v>
      </c>
      <c r="F2161" s="460">
        <v>3</v>
      </c>
      <c r="G2161" s="460">
        <v>2</v>
      </c>
      <c r="H2161" s="461" t="s">
        <v>746</v>
      </c>
      <c r="I2161" s="461" t="s">
        <v>762</v>
      </c>
      <c r="J2161" s="461" t="s">
        <v>700</v>
      </c>
      <c r="K2161" s="594"/>
      <c r="L2161" s="594"/>
      <c r="M2161" s="352">
        <v>2000</v>
      </c>
      <c r="N2161" s="352" t="s">
        <v>703</v>
      </c>
      <c r="O2161" s="460">
        <v>2222</v>
      </c>
      <c r="P2161" s="460" t="s">
        <v>1885</v>
      </c>
      <c r="Q2161" s="460" t="s">
        <v>3000</v>
      </c>
      <c r="R2161" s="460">
        <v>2121</v>
      </c>
      <c r="S2161" s="460" t="s">
        <v>2296</v>
      </c>
      <c r="T2161" s="462">
        <v>0.28481449642268464</v>
      </c>
      <c r="U2161" s="460" t="s">
        <v>2302</v>
      </c>
      <c r="V2161" s="475">
        <v>0</v>
      </c>
      <c r="W2161" s="463" t="s">
        <v>2268</v>
      </c>
      <c r="X2161" s="463" t="s">
        <v>2268</v>
      </c>
      <c r="Y2161" s="463" t="s">
        <v>2554</v>
      </c>
      <c r="Z2161" s="463"/>
      <c r="AA2161" s="463"/>
      <c r="AB2161" s="464">
        <v>0</v>
      </c>
      <c r="AC2161" s="465">
        <v>0</v>
      </c>
      <c r="AD2161" s="465">
        <v>0</v>
      </c>
      <c r="AE2161" s="476">
        <v>0</v>
      </c>
      <c r="AF2161" s="467">
        <v>0</v>
      </c>
      <c r="AG2161" s="468">
        <v>0</v>
      </c>
      <c r="AH2161" s="218">
        <v>0</v>
      </c>
      <c r="AI2161" s="470">
        <v>0</v>
      </c>
      <c r="AJ2161" s="471">
        <v>0</v>
      </c>
      <c r="AK2161" s="218">
        <v>0</v>
      </c>
      <c r="AL2161" s="470">
        <v>0</v>
      </c>
      <c r="AM2161" s="471">
        <v>0</v>
      </c>
      <c r="AN2161" s="477">
        <v>1.0664692567249599E-3</v>
      </c>
      <c r="AO2161" s="473">
        <v>1.9715971260036316E-5</v>
      </c>
      <c r="AP2161" s="474">
        <v>1.4049942825358895E-6</v>
      </c>
      <c r="AQ2161" s="352"/>
      <c r="AR2161" s="352"/>
      <c r="AS2161" s="352"/>
      <c r="AT2161" s="352"/>
      <c r="AU2161" s="352"/>
      <c r="AV2161" s="352"/>
      <c r="AW2161" s="352" t="s">
        <v>254</v>
      </c>
    </row>
    <row r="2162" spans="2:49" x14ac:dyDescent="0.2">
      <c r="B2162" s="460" t="s">
        <v>3007</v>
      </c>
      <c r="C2162" s="460">
        <v>2222</v>
      </c>
      <c r="D2162" s="460" t="s">
        <v>2313</v>
      </c>
      <c r="E2162" s="460" t="s">
        <v>2305</v>
      </c>
      <c r="F2162" s="460">
        <v>4</v>
      </c>
      <c r="G2162" s="460">
        <v>2</v>
      </c>
      <c r="H2162" s="461" t="s">
        <v>746</v>
      </c>
      <c r="I2162" s="461" t="s">
        <v>762</v>
      </c>
      <c r="J2162" s="461" t="s">
        <v>700</v>
      </c>
      <c r="K2162" s="594"/>
      <c r="L2162" s="594"/>
      <c r="M2162" s="352">
        <v>2000</v>
      </c>
      <c r="N2162" s="352" t="s">
        <v>703</v>
      </c>
      <c r="O2162" s="460">
        <v>2222</v>
      </c>
      <c r="P2162" s="460" t="s">
        <v>1885</v>
      </c>
      <c r="Q2162" s="460" t="s">
        <v>3000</v>
      </c>
      <c r="R2162" s="460">
        <v>2121</v>
      </c>
      <c r="S2162" s="460" t="s">
        <v>2305</v>
      </c>
      <c r="T2162" s="462">
        <v>1</v>
      </c>
      <c r="U2162" s="460" t="s">
        <v>2305</v>
      </c>
      <c r="V2162" s="475">
        <v>0</v>
      </c>
      <c r="W2162" s="463" t="s">
        <v>2268</v>
      </c>
      <c r="X2162" s="463" t="s">
        <v>2268</v>
      </c>
      <c r="Y2162" s="463" t="s">
        <v>2554</v>
      </c>
      <c r="Z2162" s="463"/>
      <c r="AA2162" s="463"/>
      <c r="AB2162" s="464">
        <v>0</v>
      </c>
      <c r="AC2162" s="465">
        <v>0</v>
      </c>
      <c r="AD2162" s="465">
        <v>0</v>
      </c>
      <c r="AE2162" s="476">
        <v>0</v>
      </c>
      <c r="AF2162" s="467">
        <v>0</v>
      </c>
      <c r="AG2162" s="468">
        <v>0</v>
      </c>
      <c r="AH2162" s="218">
        <v>0</v>
      </c>
      <c r="AI2162" s="470">
        <v>0</v>
      </c>
      <c r="AJ2162" s="471">
        <v>0</v>
      </c>
      <c r="AK2162" s="218">
        <v>0</v>
      </c>
      <c r="AL2162" s="470">
        <v>0</v>
      </c>
      <c r="AM2162" s="471">
        <v>0</v>
      </c>
      <c r="AN2162" s="477">
        <v>0</v>
      </c>
      <c r="AO2162" s="473">
        <v>0</v>
      </c>
      <c r="AP2162" s="474">
        <v>0</v>
      </c>
      <c r="AQ2162" s="352"/>
      <c r="AR2162" s="352"/>
      <c r="AS2162" s="352"/>
      <c r="AT2162" s="352"/>
      <c r="AU2162" s="352"/>
      <c r="AV2162" s="352"/>
      <c r="AW2162" s="352" t="s">
        <v>254</v>
      </c>
    </row>
    <row r="2163" spans="2:49" x14ac:dyDescent="0.2">
      <c r="B2163" s="460" t="s">
        <v>3004</v>
      </c>
      <c r="C2163" s="460">
        <v>2222</v>
      </c>
      <c r="D2163" s="460" t="s">
        <v>2314</v>
      </c>
      <c r="E2163" s="460" t="s">
        <v>2296</v>
      </c>
      <c r="F2163" s="460">
        <v>1</v>
      </c>
      <c r="G2163" s="460">
        <v>2</v>
      </c>
      <c r="H2163" s="461" t="s">
        <v>748</v>
      </c>
      <c r="I2163" s="461" t="s">
        <v>765</v>
      </c>
      <c r="J2163" s="461" t="s">
        <v>700</v>
      </c>
      <c r="K2163" s="594"/>
      <c r="L2163" s="594"/>
      <c r="M2163" s="352">
        <v>2000</v>
      </c>
      <c r="N2163" s="352" t="s">
        <v>703</v>
      </c>
      <c r="O2163" s="460">
        <v>2222</v>
      </c>
      <c r="P2163" s="460" t="s">
        <v>1885</v>
      </c>
      <c r="Q2163" s="460" t="s">
        <v>3000</v>
      </c>
      <c r="R2163" s="460">
        <v>2121</v>
      </c>
      <c r="S2163" s="460" t="s">
        <v>2296</v>
      </c>
      <c r="T2163" s="462">
        <v>1</v>
      </c>
      <c r="U2163" s="460" t="s">
        <v>2296</v>
      </c>
      <c r="V2163" s="475">
        <v>0</v>
      </c>
      <c r="W2163" s="463" t="s">
        <v>2268</v>
      </c>
      <c r="X2163" s="463" t="s">
        <v>2268</v>
      </c>
      <c r="Y2163" s="463" t="s">
        <v>2554</v>
      </c>
      <c r="Z2163" s="463"/>
      <c r="AA2163" s="463"/>
      <c r="AB2163" s="464">
        <v>0</v>
      </c>
      <c r="AC2163" s="465">
        <v>0</v>
      </c>
      <c r="AD2163" s="465">
        <v>0</v>
      </c>
      <c r="AE2163" s="476">
        <v>0</v>
      </c>
      <c r="AF2163" s="467">
        <v>0</v>
      </c>
      <c r="AG2163" s="468">
        <v>0</v>
      </c>
      <c r="AH2163" s="218">
        <v>0</v>
      </c>
      <c r="AI2163" s="470">
        <v>0</v>
      </c>
      <c r="AJ2163" s="471">
        <v>0</v>
      </c>
      <c r="AK2163" s="218">
        <v>0</v>
      </c>
      <c r="AL2163" s="470">
        <v>0</v>
      </c>
      <c r="AM2163" s="471">
        <v>0</v>
      </c>
      <c r="AN2163" s="477">
        <v>4.1050526770252768E-2</v>
      </c>
      <c r="AO2163" s="473">
        <v>1.3844780731087815E-4</v>
      </c>
      <c r="AP2163" s="474">
        <v>1.2540373636127839E-5</v>
      </c>
      <c r="AQ2163" s="352"/>
      <c r="AR2163" s="352"/>
      <c r="AS2163" s="352"/>
      <c r="AT2163" s="352"/>
      <c r="AU2163" s="352"/>
      <c r="AV2163" s="352"/>
      <c r="AW2163" s="352" t="s">
        <v>254</v>
      </c>
    </row>
    <row r="2164" spans="2:49" x14ac:dyDescent="0.2">
      <c r="B2164" s="460" t="s">
        <v>3005</v>
      </c>
      <c r="C2164" s="460">
        <v>2222</v>
      </c>
      <c r="D2164" s="460" t="s">
        <v>2315</v>
      </c>
      <c r="E2164" s="460" t="s">
        <v>2299</v>
      </c>
      <c r="F2164" s="460">
        <v>2</v>
      </c>
      <c r="G2164" s="460">
        <v>2</v>
      </c>
      <c r="H2164" s="461" t="s">
        <v>748</v>
      </c>
      <c r="I2164" s="461" t="s">
        <v>765</v>
      </c>
      <c r="J2164" s="461" t="s">
        <v>700</v>
      </c>
      <c r="K2164" s="594"/>
      <c r="L2164" s="594"/>
      <c r="M2164" s="352">
        <v>2000</v>
      </c>
      <c r="N2164" s="352" t="s">
        <v>703</v>
      </c>
      <c r="O2164" s="460">
        <v>2222</v>
      </c>
      <c r="P2164" s="460" t="s">
        <v>1885</v>
      </c>
      <c r="Q2164" s="460" t="s">
        <v>3000</v>
      </c>
      <c r="R2164" s="460">
        <v>2121</v>
      </c>
      <c r="S2164" s="460" t="s">
        <v>2296</v>
      </c>
      <c r="T2164" s="462">
        <v>0.55517361979372948</v>
      </c>
      <c r="U2164" s="460" t="s">
        <v>2299</v>
      </c>
      <c r="V2164" s="475">
        <v>0</v>
      </c>
      <c r="W2164" s="463" t="s">
        <v>2268</v>
      </c>
      <c r="X2164" s="463" t="s">
        <v>2268</v>
      </c>
      <c r="Y2164" s="463" t="s">
        <v>2554</v>
      </c>
      <c r="Z2164" s="463"/>
      <c r="AA2164" s="463"/>
      <c r="AB2164" s="464">
        <v>0</v>
      </c>
      <c r="AC2164" s="465">
        <v>0</v>
      </c>
      <c r="AD2164" s="465">
        <v>0</v>
      </c>
      <c r="AE2164" s="476">
        <v>0</v>
      </c>
      <c r="AF2164" s="467">
        <v>0</v>
      </c>
      <c r="AG2164" s="468">
        <v>0</v>
      </c>
      <c r="AH2164" s="218">
        <v>0</v>
      </c>
      <c r="AI2164" s="470">
        <v>0</v>
      </c>
      <c r="AJ2164" s="471">
        <v>0</v>
      </c>
      <c r="AK2164" s="218">
        <v>0</v>
      </c>
      <c r="AL2164" s="470">
        <v>0</v>
      </c>
      <c r="AM2164" s="471">
        <v>0</v>
      </c>
      <c r="AN2164" s="477">
        <v>1.1915516816126312E-2</v>
      </c>
      <c r="AO2164" s="473">
        <v>7.6862570337284992E-5</v>
      </c>
      <c r="AP2164" s="474">
        <v>1.1039513116077733E-5</v>
      </c>
      <c r="AQ2164" s="352"/>
      <c r="AR2164" s="352"/>
      <c r="AS2164" s="352"/>
      <c r="AT2164" s="352"/>
      <c r="AU2164" s="352"/>
      <c r="AV2164" s="352"/>
      <c r="AW2164" s="352" t="s">
        <v>254</v>
      </c>
    </row>
    <row r="2165" spans="2:49" x14ac:dyDescent="0.2">
      <c r="B2165" s="460" t="s">
        <v>3006</v>
      </c>
      <c r="C2165" s="460">
        <v>2222</v>
      </c>
      <c r="D2165" s="460" t="s">
        <v>2316</v>
      </c>
      <c r="E2165" s="460" t="s">
        <v>2302</v>
      </c>
      <c r="F2165" s="460">
        <v>3</v>
      </c>
      <c r="G2165" s="460">
        <v>2</v>
      </c>
      <c r="H2165" s="461" t="s">
        <v>748</v>
      </c>
      <c r="I2165" s="461" t="s">
        <v>765</v>
      </c>
      <c r="J2165" s="461" t="s">
        <v>700</v>
      </c>
      <c r="K2165" s="594"/>
      <c r="L2165" s="594"/>
      <c r="M2165" s="352">
        <v>2000</v>
      </c>
      <c r="N2165" s="352" t="s">
        <v>703</v>
      </c>
      <c r="O2165" s="460">
        <v>2222</v>
      </c>
      <c r="P2165" s="460" t="s">
        <v>1885</v>
      </c>
      <c r="Q2165" s="460" t="s">
        <v>3000</v>
      </c>
      <c r="R2165" s="460">
        <v>2121</v>
      </c>
      <c r="S2165" s="460" t="s">
        <v>2296</v>
      </c>
      <c r="T2165" s="462">
        <v>0.28481449642268464</v>
      </c>
      <c r="U2165" s="460" t="s">
        <v>2302</v>
      </c>
      <c r="V2165" s="475">
        <v>0</v>
      </c>
      <c r="W2165" s="463" t="s">
        <v>2268</v>
      </c>
      <c r="X2165" s="463" t="s">
        <v>2268</v>
      </c>
      <c r="Y2165" s="463" t="s">
        <v>2554</v>
      </c>
      <c r="Z2165" s="463"/>
      <c r="AA2165" s="463"/>
      <c r="AB2165" s="464">
        <v>0</v>
      </c>
      <c r="AC2165" s="465">
        <v>0</v>
      </c>
      <c r="AD2165" s="465">
        <v>0</v>
      </c>
      <c r="AE2165" s="476">
        <v>0</v>
      </c>
      <c r="AF2165" s="467">
        <v>0</v>
      </c>
      <c r="AG2165" s="468">
        <v>0</v>
      </c>
      <c r="AH2165" s="218">
        <v>0</v>
      </c>
      <c r="AI2165" s="470">
        <v>0</v>
      </c>
      <c r="AJ2165" s="471">
        <v>0</v>
      </c>
      <c r="AK2165" s="218">
        <v>0</v>
      </c>
      <c r="AL2165" s="470">
        <v>0</v>
      </c>
      <c r="AM2165" s="471">
        <v>0</v>
      </c>
      <c r="AN2165" s="477">
        <v>2.1329385134499202E-3</v>
      </c>
      <c r="AO2165" s="473">
        <v>3.9431942520072638E-5</v>
      </c>
      <c r="AP2165" s="474">
        <v>9.1267022643624242E-6</v>
      </c>
      <c r="AQ2165" s="352"/>
      <c r="AR2165" s="352"/>
      <c r="AS2165" s="352"/>
      <c r="AT2165" s="352"/>
      <c r="AU2165" s="352"/>
      <c r="AV2165" s="352"/>
      <c r="AW2165" s="352" t="s">
        <v>254</v>
      </c>
    </row>
    <row r="2166" spans="2:49" x14ac:dyDescent="0.2">
      <c r="B2166" s="460" t="s">
        <v>3007</v>
      </c>
      <c r="C2166" s="460">
        <v>2222</v>
      </c>
      <c r="D2166" s="460" t="s">
        <v>2317</v>
      </c>
      <c r="E2166" s="460" t="s">
        <v>2305</v>
      </c>
      <c r="F2166" s="460">
        <v>4</v>
      </c>
      <c r="G2166" s="460">
        <v>2</v>
      </c>
      <c r="H2166" s="461" t="s">
        <v>748</v>
      </c>
      <c r="I2166" s="461" t="s">
        <v>765</v>
      </c>
      <c r="J2166" s="461" t="s">
        <v>700</v>
      </c>
      <c r="K2166" s="594"/>
      <c r="L2166" s="594"/>
      <c r="M2166" s="352">
        <v>2000</v>
      </c>
      <c r="N2166" s="352" t="s">
        <v>703</v>
      </c>
      <c r="O2166" s="460">
        <v>2222</v>
      </c>
      <c r="P2166" s="460" t="s">
        <v>1885</v>
      </c>
      <c r="Q2166" s="460" t="s">
        <v>3000</v>
      </c>
      <c r="R2166" s="460">
        <v>2121</v>
      </c>
      <c r="S2166" s="460" t="s">
        <v>2305</v>
      </c>
      <c r="T2166" s="462">
        <v>1</v>
      </c>
      <c r="U2166" s="460" t="s">
        <v>2305</v>
      </c>
      <c r="V2166" s="475">
        <v>0</v>
      </c>
      <c r="W2166" s="463" t="s">
        <v>2268</v>
      </c>
      <c r="X2166" s="463" t="s">
        <v>2268</v>
      </c>
      <c r="Y2166" s="463" t="s">
        <v>2554</v>
      </c>
      <c r="Z2166" s="463"/>
      <c r="AA2166" s="463"/>
      <c r="AB2166" s="464">
        <v>0</v>
      </c>
      <c r="AC2166" s="465">
        <v>0</v>
      </c>
      <c r="AD2166" s="465">
        <v>0</v>
      </c>
      <c r="AE2166" s="476">
        <v>0</v>
      </c>
      <c r="AF2166" s="467">
        <v>0</v>
      </c>
      <c r="AG2166" s="468">
        <v>0</v>
      </c>
      <c r="AH2166" s="218">
        <v>0</v>
      </c>
      <c r="AI2166" s="470">
        <v>0</v>
      </c>
      <c r="AJ2166" s="471">
        <v>0</v>
      </c>
      <c r="AK2166" s="218">
        <v>0</v>
      </c>
      <c r="AL2166" s="470">
        <v>0</v>
      </c>
      <c r="AM2166" s="471">
        <v>0</v>
      </c>
      <c r="AN2166" s="477">
        <v>0</v>
      </c>
      <c r="AO2166" s="473">
        <v>0</v>
      </c>
      <c r="AP2166" s="474">
        <v>0</v>
      </c>
      <c r="AQ2166" s="352"/>
      <c r="AR2166" s="352"/>
      <c r="AS2166" s="352"/>
      <c r="AT2166" s="352"/>
      <c r="AU2166" s="352"/>
      <c r="AV2166" s="352"/>
      <c r="AW2166" s="352" t="s">
        <v>254</v>
      </c>
    </row>
    <row r="2167" spans="2:49" x14ac:dyDescent="0.2">
      <c r="B2167" s="460" t="s">
        <v>3008</v>
      </c>
      <c r="C2167" s="460">
        <v>2222</v>
      </c>
      <c r="D2167" s="460" t="s">
        <v>2323</v>
      </c>
      <c r="E2167" s="460" t="s">
        <v>2324</v>
      </c>
      <c r="F2167" s="460">
        <v>1</v>
      </c>
      <c r="G2167" s="460">
        <v>3</v>
      </c>
      <c r="H2167" s="461" t="s">
        <v>700</v>
      </c>
      <c r="I2167" s="461" t="s">
        <v>872</v>
      </c>
      <c r="J2167" s="461" t="s">
        <v>700</v>
      </c>
      <c r="K2167" s="594"/>
      <c r="L2167" s="594"/>
      <c r="M2167" s="352">
        <v>2000</v>
      </c>
      <c r="N2167" s="352" t="s">
        <v>703</v>
      </c>
      <c r="O2167" s="460">
        <v>2222</v>
      </c>
      <c r="P2167" s="460" t="s">
        <v>1885</v>
      </c>
      <c r="Q2167" s="460" t="s">
        <v>3000</v>
      </c>
      <c r="R2167" s="460">
        <v>2121</v>
      </c>
      <c r="S2167" s="460" t="s">
        <v>2324</v>
      </c>
      <c r="T2167" s="462">
        <v>1</v>
      </c>
      <c r="U2167" s="460" t="s">
        <v>2324</v>
      </c>
      <c r="V2167" s="475">
        <v>0</v>
      </c>
      <c r="W2167" s="463" t="s">
        <v>2554</v>
      </c>
      <c r="X2167" s="463" t="s">
        <v>2554</v>
      </c>
      <c r="Y2167" s="463" t="s">
        <v>2268</v>
      </c>
      <c r="Z2167" s="463"/>
      <c r="AA2167" s="463"/>
      <c r="AB2167" s="464">
        <v>116.64963939974555</v>
      </c>
      <c r="AC2167" s="465">
        <v>0.1220434705472002</v>
      </c>
      <c r="AD2167" s="465">
        <v>9.999999999999998E-4</v>
      </c>
      <c r="AE2167" s="476">
        <v>69.989783639847332</v>
      </c>
      <c r="AF2167" s="467">
        <v>7.3226082328320119E-2</v>
      </c>
      <c r="AG2167" s="468">
        <v>6.4271886345050513E-4</v>
      </c>
      <c r="AH2167" s="218">
        <v>69.989783639847332</v>
      </c>
      <c r="AI2167" s="470">
        <v>7.3226082328320119E-2</v>
      </c>
      <c r="AJ2167" s="471">
        <v>6.1375495797611986E-4</v>
      </c>
      <c r="AK2167" s="218">
        <v>69.989783639847332</v>
      </c>
      <c r="AL2167" s="470">
        <v>7.3226082328320119E-2</v>
      </c>
      <c r="AM2167" s="471">
        <v>6.1375495797611986E-4</v>
      </c>
      <c r="AN2167" s="477">
        <v>0</v>
      </c>
      <c r="AO2167" s="473">
        <v>0</v>
      </c>
      <c r="AP2167" s="474">
        <v>0</v>
      </c>
      <c r="AQ2167" s="352"/>
      <c r="AR2167" s="352"/>
      <c r="AS2167" s="352"/>
      <c r="AT2167" s="352"/>
      <c r="AU2167" s="352"/>
      <c r="AV2167" s="352"/>
      <c r="AW2167" s="352" t="s">
        <v>254</v>
      </c>
    </row>
    <row r="2168" spans="2:49" x14ac:dyDescent="0.2">
      <c r="B2168" s="460" t="s">
        <v>3009</v>
      </c>
      <c r="C2168" s="460">
        <v>2222</v>
      </c>
      <c r="D2168" s="460" t="s">
        <v>2326</v>
      </c>
      <c r="E2168" s="460" t="s">
        <v>2327</v>
      </c>
      <c r="F2168" s="460">
        <v>2</v>
      </c>
      <c r="G2168" s="460">
        <v>3</v>
      </c>
      <c r="H2168" s="461" t="s">
        <v>700</v>
      </c>
      <c r="I2168" s="461" t="s">
        <v>872</v>
      </c>
      <c r="J2168" s="461" t="s">
        <v>700</v>
      </c>
      <c r="K2168" s="594"/>
      <c r="L2168" s="594"/>
      <c r="M2168" s="352">
        <v>2000</v>
      </c>
      <c r="N2168" s="352" t="s">
        <v>703</v>
      </c>
      <c r="O2168" s="460">
        <v>2222</v>
      </c>
      <c r="P2168" s="460" t="s">
        <v>1885</v>
      </c>
      <c r="Q2168" s="460" t="s">
        <v>3000</v>
      </c>
      <c r="R2168" s="460">
        <v>2121</v>
      </c>
      <c r="S2168" s="460" t="s">
        <v>2324</v>
      </c>
      <c r="T2168" s="462">
        <v>1</v>
      </c>
      <c r="U2168" s="460" t="s">
        <v>2327</v>
      </c>
      <c r="V2168" s="475">
        <v>0</v>
      </c>
      <c r="W2168" s="463" t="s">
        <v>2554</v>
      </c>
      <c r="X2168" s="463" t="s">
        <v>2554</v>
      </c>
      <c r="Y2168" s="463" t="s">
        <v>2268</v>
      </c>
      <c r="Z2168" s="463"/>
      <c r="AA2168" s="463"/>
      <c r="AB2168" s="464">
        <v>67.705640920977842</v>
      </c>
      <c r="AC2168" s="465">
        <v>8.4251776101477063E-2</v>
      </c>
      <c r="AD2168" s="465">
        <v>1E-3</v>
      </c>
      <c r="AE2168" s="476">
        <v>40.6233845525867</v>
      </c>
      <c r="AF2168" s="467">
        <v>5.0551065660886234E-2</v>
      </c>
      <c r="AG2168" s="468">
        <v>6.4986648524050915E-4</v>
      </c>
      <c r="AH2168" s="218">
        <v>58.845273839684488</v>
      </c>
      <c r="AI2168" s="470">
        <v>7.3226082328320119E-2</v>
      </c>
      <c r="AJ2168" s="471">
        <v>7.9224515478813881E-4</v>
      </c>
      <c r="AK2168" s="218">
        <v>58.845273839684488</v>
      </c>
      <c r="AL2168" s="470">
        <v>7.3226082328320119E-2</v>
      </c>
      <c r="AM2168" s="471">
        <v>7.9224515478813881E-4</v>
      </c>
      <c r="AN2168" s="477">
        <v>0</v>
      </c>
      <c r="AO2168" s="473">
        <v>0</v>
      </c>
      <c r="AP2168" s="474">
        <v>0</v>
      </c>
      <c r="AQ2168" s="352"/>
      <c r="AR2168" s="352"/>
      <c r="AS2168" s="352"/>
      <c r="AT2168" s="352"/>
      <c r="AU2168" s="352"/>
      <c r="AV2168" s="352"/>
      <c r="AW2168" s="352" t="s">
        <v>254</v>
      </c>
    </row>
    <row r="2169" spans="2:49" x14ac:dyDescent="0.2">
      <c r="B2169" s="460" t="s">
        <v>3010</v>
      </c>
      <c r="C2169" s="460">
        <v>2222</v>
      </c>
      <c r="D2169" s="460" t="s">
        <v>2329</v>
      </c>
      <c r="E2169" s="460" t="s">
        <v>2330</v>
      </c>
      <c r="F2169" s="460">
        <v>3</v>
      </c>
      <c r="G2169" s="460">
        <v>3</v>
      </c>
      <c r="H2169" s="461" t="s">
        <v>700</v>
      </c>
      <c r="I2169" s="461" t="s">
        <v>872</v>
      </c>
      <c r="J2169" s="461" t="s">
        <v>700</v>
      </c>
      <c r="K2169" s="594"/>
      <c r="L2169" s="594"/>
      <c r="M2169" s="352">
        <v>2000</v>
      </c>
      <c r="N2169" s="352" t="s">
        <v>703</v>
      </c>
      <c r="O2169" s="460">
        <v>2222</v>
      </c>
      <c r="P2169" s="460" t="s">
        <v>1885</v>
      </c>
      <c r="Q2169" s="460" t="s">
        <v>3000</v>
      </c>
      <c r="R2169" s="460">
        <v>2121</v>
      </c>
      <c r="S2169" s="460" t="s">
        <v>2324</v>
      </c>
      <c r="T2169" s="462">
        <v>1</v>
      </c>
      <c r="U2169" s="460" t="s">
        <v>2330</v>
      </c>
      <c r="V2169" s="475">
        <v>0</v>
      </c>
      <c r="W2169" s="463" t="s">
        <v>2554</v>
      </c>
      <c r="X2169" s="463" t="s">
        <v>2554</v>
      </c>
      <c r="Y2169" s="463" t="s">
        <v>2268</v>
      </c>
      <c r="Z2169" s="463"/>
      <c r="AA2169" s="463"/>
      <c r="AB2169" s="464">
        <v>26.482201674617158</v>
      </c>
      <c r="AC2169" s="465">
        <v>0.10014590876139837</v>
      </c>
      <c r="AD2169" s="465">
        <v>1E-3</v>
      </c>
      <c r="AE2169" s="476">
        <v>15.889321004770293</v>
      </c>
      <c r="AF2169" s="467">
        <v>6.0087545256839014E-2</v>
      </c>
      <c r="AG2169" s="468">
        <v>6.4305769450318873E-4</v>
      </c>
      <c r="AH2169" s="218">
        <v>19.36362557436955</v>
      </c>
      <c r="AI2169" s="470">
        <v>7.3226082328320119E-2</v>
      </c>
      <c r="AJ2169" s="471">
        <v>6.822259766757784E-4</v>
      </c>
      <c r="AK2169" s="218">
        <v>19.36362557436955</v>
      </c>
      <c r="AL2169" s="470">
        <v>7.3226082328320119E-2</v>
      </c>
      <c r="AM2169" s="471">
        <v>6.822259766757784E-4</v>
      </c>
      <c r="AN2169" s="477">
        <v>0</v>
      </c>
      <c r="AO2169" s="473">
        <v>0</v>
      </c>
      <c r="AP2169" s="474">
        <v>0</v>
      </c>
      <c r="AQ2169" s="352"/>
      <c r="AR2169" s="352"/>
      <c r="AS2169" s="352"/>
      <c r="AT2169" s="352"/>
      <c r="AU2169" s="352"/>
      <c r="AV2169" s="352"/>
      <c r="AW2169" s="352" t="s">
        <v>254</v>
      </c>
    </row>
    <row r="2170" spans="2:49" x14ac:dyDescent="0.2">
      <c r="B2170" s="460" t="s">
        <v>3011</v>
      </c>
      <c r="C2170" s="460">
        <v>2222</v>
      </c>
      <c r="D2170" s="460" t="s">
        <v>2332</v>
      </c>
      <c r="E2170" s="460" t="s">
        <v>2333</v>
      </c>
      <c r="F2170" s="460">
        <v>4</v>
      </c>
      <c r="G2170" s="460">
        <v>3</v>
      </c>
      <c r="H2170" s="461" t="s">
        <v>700</v>
      </c>
      <c r="I2170" s="461" t="s">
        <v>872</v>
      </c>
      <c r="J2170" s="461" t="s">
        <v>700</v>
      </c>
      <c r="K2170" s="594"/>
      <c r="L2170" s="594"/>
      <c r="M2170" s="352">
        <v>2000</v>
      </c>
      <c r="N2170" s="352" t="s">
        <v>703</v>
      </c>
      <c r="O2170" s="460">
        <v>2222</v>
      </c>
      <c r="P2170" s="460" t="s">
        <v>1885</v>
      </c>
      <c r="Q2170" s="460" t="s">
        <v>3000</v>
      </c>
      <c r="R2170" s="460">
        <v>2121</v>
      </c>
      <c r="S2170" s="460" t="s">
        <v>2333</v>
      </c>
      <c r="T2170" s="462">
        <v>1</v>
      </c>
      <c r="U2170" s="460" t="s">
        <v>2333</v>
      </c>
      <c r="V2170" s="475">
        <v>0</v>
      </c>
      <c r="W2170" s="463" t="s">
        <v>2554</v>
      </c>
      <c r="X2170" s="463" t="s">
        <v>2554</v>
      </c>
      <c r="Y2170" s="463" t="s">
        <v>2268</v>
      </c>
      <c r="Z2170" s="463"/>
      <c r="AA2170" s="463"/>
      <c r="AB2170" s="464">
        <v>14.499363218347648</v>
      </c>
      <c r="AC2170" s="465">
        <v>4.8369439556926963E-2</v>
      </c>
      <c r="AD2170" s="465">
        <v>1.0000000000000002E-3</v>
      </c>
      <c r="AE2170" s="476">
        <v>8.6996179310085875</v>
      </c>
      <c r="AF2170" s="467">
        <v>2.9021663734156176E-2</v>
      </c>
      <c r="AG2170" s="468">
        <v>6.621761044655136E-4</v>
      </c>
      <c r="AH2170" s="218">
        <v>8.6996179310085875</v>
      </c>
      <c r="AI2170" s="470">
        <v>2.9021663734156176E-2</v>
      </c>
      <c r="AJ2170" s="471">
        <v>6.4156568432164089E-4</v>
      </c>
      <c r="AK2170" s="218">
        <v>8.6996179310085875</v>
      </c>
      <c r="AL2170" s="470">
        <v>2.9021663734156176E-2</v>
      </c>
      <c r="AM2170" s="471">
        <v>6.4156568432164089E-4</v>
      </c>
      <c r="AN2170" s="477">
        <v>0</v>
      </c>
      <c r="AO2170" s="473">
        <v>0</v>
      </c>
      <c r="AP2170" s="474">
        <v>0</v>
      </c>
      <c r="AQ2170" s="352"/>
      <c r="AR2170" s="352"/>
      <c r="AS2170" s="352"/>
      <c r="AT2170" s="352"/>
      <c r="AU2170" s="352"/>
      <c r="AV2170" s="352"/>
      <c r="AW2170" s="352" t="s">
        <v>254</v>
      </c>
    </row>
    <row r="2171" spans="2:49" x14ac:dyDescent="0.2">
      <c r="B2171" s="460" t="s">
        <v>3008</v>
      </c>
      <c r="C2171" s="460">
        <v>2222</v>
      </c>
      <c r="D2171" s="460" t="s">
        <v>2334</v>
      </c>
      <c r="E2171" s="460" t="s">
        <v>2324</v>
      </c>
      <c r="F2171" s="460">
        <v>1</v>
      </c>
      <c r="G2171" s="460">
        <v>3</v>
      </c>
      <c r="H2171" s="461" t="s">
        <v>712</v>
      </c>
      <c r="I2171" s="461" t="s">
        <v>713</v>
      </c>
      <c r="J2171" s="461" t="s">
        <v>712</v>
      </c>
      <c r="K2171" s="594"/>
      <c r="L2171" s="594"/>
      <c r="M2171" s="352">
        <v>2000</v>
      </c>
      <c r="N2171" s="352" t="s">
        <v>703</v>
      </c>
      <c r="O2171" s="460">
        <v>2222</v>
      </c>
      <c r="P2171" s="460" t="s">
        <v>1885</v>
      </c>
      <c r="Q2171" s="460" t="s">
        <v>2280</v>
      </c>
      <c r="R2171" s="460">
        <v>2121</v>
      </c>
      <c r="S2171" s="460" t="s">
        <v>2324</v>
      </c>
      <c r="T2171" s="462">
        <v>1</v>
      </c>
      <c r="U2171" s="460" t="s">
        <v>2324</v>
      </c>
      <c r="V2171" s="475">
        <v>0</v>
      </c>
      <c r="W2171" s="463" t="s">
        <v>713</v>
      </c>
      <c r="X2171" s="463" t="s">
        <v>713</v>
      </c>
      <c r="Y2171" s="463" t="s">
        <v>713</v>
      </c>
      <c r="Z2171" s="463"/>
      <c r="AA2171" s="463"/>
      <c r="AB2171" s="464">
        <v>838.00325499401811</v>
      </c>
      <c r="AC2171" s="465">
        <v>0.87675217939459349</v>
      </c>
      <c r="AD2171" s="465">
        <v>2.0924070531393797E-3</v>
      </c>
      <c r="AE2171" s="476">
        <v>884.66311075391627</v>
      </c>
      <c r="AF2171" s="467">
        <v>0.92556956761347353</v>
      </c>
      <c r="AG2171" s="468">
        <v>2.1669616925128832E-3</v>
      </c>
      <c r="AH2171" s="218">
        <v>884.66311075391627</v>
      </c>
      <c r="AI2171" s="470">
        <v>0.92556956761347353</v>
      </c>
      <c r="AJ2171" s="471">
        <v>2.1945866592147254E-3</v>
      </c>
      <c r="AK2171" s="218">
        <v>884.66311075391627</v>
      </c>
      <c r="AL2171" s="470">
        <v>0.92556956761347353</v>
      </c>
      <c r="AM2171" s="471">
        <v>2.1945866592147254E-3</v>
      </c>
      <c r="AN2171" s="477">
        <v>884.66311075391627</v>
      </c>
      <c r="AO2171" s="473">
        <v>0.92556956761347353</v>
      </c>
      <c r="AP2171" s="474">
        <v>2.1935186574684284E-3</v>
      </c>
      <c r="AQ2171" s="352"/>
      <c r="AR2171" s="352"/>
      <c r="AS2171" s="352"/>
      <c r="AT2171" s="352"/>
      <c r="AU2171" s="352"/>
      <c r="AV2171" s="352"/>
      <c r="AW2171" s="352" t="s">
        <v>254</v>
      </c>
    </row>
    <row r="2172" spans="2:49" x14ac:dyDescent="0.2">
      <c r="B2172" s="460" t="s">
        <v>3009</v>
      </c>
      <c r="C2172" s="460">
        <v>2222</v>
      </c>
      <c r="D2172" s="460" t="s">
        <v>2335</v>
      </c>
      <c r="E2172" s="460" t="s">
        <v>2327</v>
      </c>
      <c r="F2172" s="460">
        <v>2</v>
      </c>
      <c r="G2172" s="460">
        <v>3</v>
      </c>
      <c r="H2172" s="461" t="s">
        <v>712</v>
      </c>
      <c r="I2172" s="461" t="s">
        <v>713</v>
      </c>
      <c r="J2172" s="461" t="s">
        <v>712</v>
      </c>
      <c r="K2172" s="594"/>
      <c r="L2172" s="594"/>
      <c r="M2172" s="352">
        <v>2000</v>
      </c>
      <c r="N2172" s="352" t="s">
        <v>703</v>
      </c>
      <c r="O2172" s="460">
        <v>2222</v>
      </c>
      <c r="P2172" s="460" t="s">
        <v>1885</v>
      </c>
      <c r="Q2172" s="460" t="s">
        <v>2280</v>
      </c>
      <c r="R2172" s="460">
        <v>2121</v>
      </c>
      <c r="S2172" s="460" t="s">
        <v>2324</v>
      </c>
      <c r="T2172" s="462">
        <v>1</v>
      </c>
      <c r="U2172" s="460" t="s">
        <v>2327</v>
      </c>
      <c r="V2172" s="475">
        <v>0</v>
      </c>
      <c r="W2172" s="463" t="s">
        <v>713</v>
      </c>
      <c r="X2172" s="463" t="s">
        <v>713</v>
      </c>
      <c r="Y2172" s="463" t="s">
        <v>713</v>
      </c>
      <c r="Z2172" s="463"/>
      <c r="AA2172" s="463"/>
      <c r="AB2172" s="464">
        <v>735.8573236272706</v>
      </c>
      <c r="AC2172" s="465">
        <v>0.91568864321418431</v>
      </c>
      <c r="AD2172" s="465">
        <v>2.3566555562425256E-3</v>
      </c>
      <c r="AE2172" s="476">
        <v>762.9395799956618</v>
      </c>
      <c r="AF2172" s="467">
        <v>0.94938935365477517</v>
      </c>
      <c r="AG2172" s="468">
        <v>2.4034003754741279E-3</v>
      </c>
      <c r="AH2172" s="218">
        <v>744.71769070856396</v>
      </c>
      <c r="AI2172" s="470">
        <v>0.92671433698734129</v>
      </c>
      <c r="AJ2172" s="471">
        <v>2.4397540451363878E-3</v>
      </c>
      <c r="AK2172" s="218">
        <v>744.71769070856396</v>
      </c>
      <c r="AL2172" s="470">
        <v>0.92671433698734129</v>
      </c>
      <c r="AM2172" s="471">
        <v>2.4397540451363878E-3</v>
      </c>
      <c r="AN2172" s="477">
        <v>744.71769070856396</v>
      </c>
      <c r="AO2172" s="473">
        <v>0.92671433698734129</v>
      </c>
      <c r="AP2172" s="474">
        <v>2.4387975058210985E-3</v>
      </c>
      <c r="AQ2172" s="352"/>
      <c r="AR2172" s="352"/>
      <c r="AS2172" s="352"/>
      <c r="AT2172" s="352"/>
      <c r="AU2172" s="352"/>
      <c r="AV2172" s="352"/>
      <c r="AW2172" s="352" t="s">
        <v>254</v>
      </c>
    </row>
    <row r="2173" spans="2:49" x14ac:dyDescent="0.2">
      <c r="B2173" s="460" t="s">
        <v>3010</v>
      </c>
      <c r="C2173" s="460">
        <v>2222</v>
      </c>
      <c r="D2173" s="460" t="s">
        <v>2336</v>
      </c>
      <c r="E2173" s="460" t="s">
        <v>2330</v>
      </c>
      <c r="F2173" s="460">
        <v>3</v>
      </c>
      <c r="G2173" s="460">
        <v>3</v>
      </c>
      <c r="H2173" s="461" t="s">
        <v>712</v>
      </c>
      <c r="I2173" s="461" t="s">
        <v>713</v>
      </c>
      <c r="J2173" s="461" t="s">
        <v>712</v>
      </c>
      <c r="K2173" s="594"/>
      <c r="L2173" s="594"/>
      <c r="M2173" s="352">
        <v>2000</v>
      </c>
      <c r="N2173" s="352" t="s">
        <v>703</v>
      </c>
      <c r="O2173" s="460">
        <v>2222</v>
      </c>
      <c r="P2173" s="460" t="s">
        <v>1885</v>
      </c>
      <c r="Q2173" s="460" t="s">
        <v>2280</v>
      </c>
      <c r="R2173" s="460">
        <v>2121</v>
      </c>
      <c r="S2173" s="460" t="s">
        <v>2324</v>
      </c>
      <c r="T2173" s="462">
        <v>1</v>
      </c>
      <c r="U2173" s="460" t="s">
        <v>2330</v>
      </c>
      <c r="V2173" s="475">
        <v>0</v>
      </c>
      <c r="W2173" s="463" t="s">
        <v>713</v>
      </c>
      <c r="X2173" s="463" t="s">
        <v>713</v>
      </c>
      <c r="Y2173" s="463" t="s">
        <v>713</v>
      </c>
      <c r="Z2173" s="463"/>
      <c r="AA2173" s="463"/>
      <c r="AB2173" s="464">
        <v>237.90562613337107</v>
      </c>
      <c r="AC2173" s="465">
        <v>0.8996712366031161</v>
      </c>
      <c r="AD2173" s="465">
        <v>2.1064789964023111E-3</v>
      </c>
      <c r="AE2173" s="476">
        <v>248.49850680321794</v>
      </c>
      <c r="AF2173" s="467">
        <v>0.93972960010767548</v>
      </c>
      <c r="AG2173" s="468">
        <v>2.1662602600994456E-3</v>
      </c>
      <c r="AH2173" s="218">
        <v>245.02420223361869</v>
      </c>
      <c r="AI2173" s="470">
        <v>0.92659106303619443</v>
      </c>
      <c r="AJ2173" s="471">
        <v>2.2175275883235179E-3</v>
      </c>
      <c r="AK2173" s="218">
        <v>245.02420223361869</v>
      </c>
      <c r="AL2173" s="470">
        <v>0.92659106303619443</v>
      </c>
      <c r="AM2173" s="471">
        <v>2.2175275883235179E-3</v>
      </c>
      <c r="AN2173" s="477">
        <v>245.02420223361869</v>
      </c>
      <c r="AO2173" s="473">
        <v>0.92659106303619443</v>
      </c>
      <c r="AP2173" s="474">
        <v>2.2232512719343677E-3</v>
      </c>
      <c r="AQ2173" s="352"/>
      <c r="AR2173" s="352"/>
      <c r="AS2173" s="352"/>
      <c r="AT2173" s="352"/>
      <c r="AU2173" s="352"/>
      <c r="AV2173" s="352"/>
      <c r="AW2173" s="352" t="s">
        <v>254</v>
      </c>
    </row>
    <row r="2174" spans="2:49" x14ac:dyDescent="0.2">
      <c r="B2174" s="460" t="s">
        <v>3011</v>
      </c>
      <c r="C2174" s="460">
        <v>2222</v>
      </c>
      <c r="D2174" s="460" t="s">
        <v>2337</v>
      </c>
      <c r="E2174" s="460" t="s">
        <v>2333</v>
      </c>
      <c r="F2174" s="460">
        <v>4</v>
      </c>
      <c r="G2174" s="460">
        <v>3</v>
      </c>
      <c r="H2174" s="461" t="s">
        <v>712</v>
      </c>
      <c r="I2174" s="461" t="s">
        <v>713</v>
      </c>
      <c r="J2174" s="461" t="s">
        <v>712</v>
      </c>
      <c r="K2174" s="594"/>
      <c r="L2174" s="594"/>
      <c r="M2174" s="352">
        <v>2000</v>
      </c>
      <c r="N2174" s="352" t="s">
        <v>703</v>
      </c>
      <c r="O2174" s="460">
        <v>2222</v>
      </c>
      <c r="P2174" s="460" t="s">
        <v>1885</v>
      </c>
      <c r="Q2174" s="460" t="s">
        <v>2280</v>
      </c>
      <c r="R2174" s="460">
        <v>2121</v>
      </c>
      <c r="S2174" s="460" t="s">
        <v>2333</v>
      </c>
      <c r="T2174" s="462">
        <v>1</v>
      </c>
      <c r="U2174" s="460" t="s">
        <v>2333</v>
      </c>
      <c r="V2174" s="475">
        <v>0</v>
      </c>
      <c r="W2174" s="463" t="s">
        <v>713</v>
      </c>
      <c r="X2174" s="463" t="s">
        <v>713</v>
      </c>
      <c r="Y2174" s="463" t="s">
        <v>713</v>
      </c>
      <c r="Z2174" s="463"/>
      <c r="AA2174" s="463"/>
      <c r="AB2174" s="464">
        <v>285.263395932739</v>
      </c>
      <c r="AC2174" s="465">
        <v>0.9516301081355194</v>
      </c>
      <c r="AD2174" s="465">
        <v>2.1687065901835494E-3</v>
      </c>
      <c r="AE2174" s="476">
        <v>291.06314122007802</v>
      </c>
      <c r="AF2174" s="467">
        <v>0.9709778839582901</v>
      </c>
      <c r="AG2174" s="468">
        <v>2.1901304373665824E-3</v>
      </c>
      <c r="AH2174" s="218">
        <v>291.06314122007802</v>
      </c>
      <c r="AI2174" s="470">
        <v>0.9709778839582901</v>
      </c>
      <c r="AJ2174" s="471">
        <v>2.1971080455186033E-3</v>
      </c>
      <c r="AK2174" s="218">
        <v>291.06314122007802</v>
      </c>
      <c r="AL2174" s="470">
        <v>0.9709778839582901</v>
      </c>
      <c r="AM2174" s="471">
        <v>2.1971080455186033E-3</v>
      </c>
      <c r="AN2174" s="477">
        <v>291.06314122007802</v>
      </c>
      <c r="AO2174" s="473">
        <v>0.9709778839582901</v>
      </c>
      <c r="AP2174" s="474">
        <v>2.1978062507047587E-3</v>
      </c>
      <c r="AQ2174" s="352"/>
      <c r="AR2174" s="352"/>
      <c r="AS2174" s="352"/>
      <c r="AT2174" s="352"/>
      <c r="AU2174" s="352"/>
      <c r="AV2174" s="352"/>
      <c r="AW2174" s="352" t="s">
        <v>254</v>
      </c>
    </row>
    <row r="2175" spans="2:49" x14ac:dyDescent="0.2">
      <c r="B2175" s="460" t="s">
        <v>3008</v>
      </c>
      <c r="C2175" s="460">
        <v>2222</v>
      </c>
      <c r="D2175" s="460" t="s">
        <v>2338</v>
      </c>
      <c r="E2175" s="460" t="s">
        <v>2324</v>
      </c>
      <c r="F2175" s="460">
        <v>1</v>
      </c>
      <c r="G2175" s="460">
        <v>3</v>
      </c>
      <c r="H2175" s="461" t="s">
        <v>746</v>
      </c>
      <c r="I2175" s="461" t="s">
        <v>762</v>
      </c>
      <c r="J2175" s="461" t="s">
        <v>700</v>
      </c>
      <c r="K2175" s="594"/>
      <c r="L2175" s="594"/>
      <c r="M2175" s="352">
        <v>2000</v>
      </c>
      <c r="N2175" s="352" t="s">
        <v>703</v>
      </c>
      <c r="O2175" s="460">
        <v>2222</v>
      </c>
      <c r="P2175" s="460" t="s">
        <v>1885</v>
      </c>
      <c r="Q2175" s="460" t="s">
        <v>3000</v>
      </c>
      <c r="R2175" s="460">
        <v>2121</v>
      </c>
      <c r="S2175" s="460" t="s">
        <v>2324</v>
      </c>
      <c r="T2175" s="462">
        <v>1</v>
      </c>
      <c r="U2175" s="460" t="s">
        <v>2324</v>
      </c>
      <c r="V2175" s="475">
        <v>0</v>
      </c>
      <c r="W2175" s="463" t="s">
        <v>2268</v>
      </c>
      <c r="X2175" s="463" t="s">
        <v>2268</v>
      </c>
      <c r="Y2175" s="463" t="s">
        <v>2554</v>
      </c>
      <c r="Z2175" s="463"/>
      <c r="AA2175" s="463"/>
      <c r="AB2175" s="464">
        <v>0</v>
      </c>
      <c r="AC2175" s="465">
        <v>0</v>
      </c>
      <c r="AD2175" s="465">
        <v>0</v>
      </c>
      <c r="AE2175" s="476">
        <v>0</v>
      </c>
      <c r="AF2175" s="467">
        <v>0</v>
      </c>
      <c r="AG2175" s="468">
        <v>0</v>
      </c>
      <c r="AH2175" s="218">
        <v>0</v>
      </c>
      <c r="AI2175" s="470">
        <v>0</v>
      </c>
      <c r="AJ2175" s="471">
        <v>0</v>
      </c>
      <c r="AK2175" s="218">
        <v>0</v>
      </c>
      <c r="AL2175" s="470">
        <v>0</v>
      </c>
      <c r="AM2175" s="471">
        <v>0</v>
      </c>
      <c r="AN2175" s="477">
        <v>23.329927879949103</v>
      </c>
      <c r="AO2175" s="473">
        <v>2.4408694109440035E-2</v>
      </c>
      <c r="AP2175" s="474">
        <v>2.4654493126796765E-4</v>
      </c>
      <c r="AQ2175" s="352"/>
      <c r="AR2175" s="352"/>
      <c r="AS2175" s="352"/>
      <c r="AT2175" s="352"/>
      <c r="AU2175" s="352"/>
      <c r="AV2175" s="352"/>
      <c r="AW2175" s="352" t="s">
        <v>254</v>
      </c>
    </row>
    <row r="2176" spans="2:49" x14ac:dyDescent="0.2">
      <c r="B2176" s="460" t="s">
        <v>3009</v>
      </c>
      <c r="C2176" s="460">
        <v>2222</v>
      </c>
      <c r="D2176" s="460" t="s">
        <v>2339</v>
      </c>
      <c r="E2176" s="460" t="s">
        <v>2327</v>
      </c>
      <c r="F2176" s="460">
        <v>2</v>
      </c>
      <c r="G2176" s="460">
        <v>3</v>
      </c>
      <c r="H2176" s="461" t="s">
        <v>746</v>
      </c>
      <c r="I2176" s="461" t="s">
        <v>762</v>
      </c>
      <c r="J2176" s="461" t="s">
        <v>700</v>
      </c>
      <c r="K2176" s="594"/>
      <c r="L2176" s="594"/>
      <c r="M2176" s="352">
        <v>2000</v>
      </c>
      <c r="N2176" s="352" t="s">
        <v>703</v>
      </c>
      <c r="O2176" s="460">
        <v>2222</v>
      </c>
      <c r="P2176" s="460" t="s">
        <v>1885</v>
      </c>
      <c r="Q2176" s="460" t="s">
        <v>3000</v>
      </c>
      <c r="R2176" s="460">
        <v>2121</v>
      </c>
      <c r="S2176" s="460" t="s">
        <v>2324</v>
      </c>
      <c r="T2176" s="462">
        <v>1</v>
      </c>
      <c r="U2176" s="460" t="s">
        <v>2327</v>
      </c>
      <c r="V2176" s="475">
        <v>0</v>
      </c>
      <c r="W2176" s="463" t="s">
        <v>2268</v>
      </c>
      <c r="X2176" s="463" t="s">
        <v>2268</v>
      </c>
      <c r="Y2176" s="463" t="s">
        <v>2554</v>
      </c>
      <c r="Z2176" s="463"/>
      <c r="AA2176" s="463"/>
      <c r="AB2176" s="464">
        <v>0</v>
      </c>
      <c r="AC2176" s="465">
        <v>0</v>
      </c>
      <c r="AD2176" s="465">
        <v>0</v>
      </c>
      <c r="AE2176" s="476">
        <v>0</v>
      </c>
      <c r="AF2176" s="467">
        <v>0</v>
      </c>
      <c r="AG2176" s="468">
        <v>0</v>
      </c>
      <c r="AH2176" s="218">
        <v>0</v>
      </c>
      <c r="AI2176" s="470">
        <v>0</v>
      </c>
      <c r="AJ2176" s="471">
        <v>0</v>
      </c>
      <c r="AK2176" s="218">
        <v>0</v>
      </c>
      <c r="AL2176" s="470">
        <v>0</v>
      </c>
      <c r="AM2176" s="471">
        <v>0</v>
      </c>
      <c r="AN2176" s="477">
        <v>19.615091279894823</v>
      </c>
      <c r="AO2176" s="473">
        <v>2.4408694109440035E-2</v>
      </c>
      <c r="AP2176" s="474">
        <v>3.1180866664003192E-4</v>
      </c>
      <c r="AQ2176" s="352"/>
      <c r="AR2176" s="352"/>
      <c r="AS2176" s="352"/>
      <c r="AT2176" s="352"/>
      <c r="AU2176" s="352"/>
      <c r="AV2176" s="352"/>
      <c r="AW2176" s="352" t="s">
        <v>254</v>
      </c>
    </row>
    <row r="2177" spans="2:49" x14ac:dyDescent="0.2">
      <c r="B2177" s="460" t="s">
        <v>3010</v>
      </c>
      <c r="C2177" s="460">
        <v>2222</v>
      </c>
      <c r="D2177" s="460" t="s">
        <v>2340</v>
      </c>
      <c r="E2177" s="460" t="s">
        <v>2330</v>
      </c>
      <c r="F2177" s="460">
        <v>3</v>
      </c>
      <c r="G2177" s="460">
        <v>3</v>
      </c>
      <c r="H2177" s="461" t="s">
        <v>746</v>
      </c>
      <c r="I2177" s="461" t="s">
        <v>762</v>
      </c>
      <c r="J2177" s="461" t="s">
        <v>700</v>
      </c>
      <c r="K2177" s="594"/>
      <c r="L2177" s="594"/>
      <c r="M2177" s="352">
        <v>2000</v>
      </c>
      <c r="N2177" s="352" t="s">
        <v>703</v>
      </c>
      <c r="O2177" s="460">
        <v>2222</v>
      </c>
      <c r="P2177" s="460" t="s">
        <v>1885</v>
      </c>
      <c r="Q2177" s="460" t="s">
        <v>3000</v>
      </c>
      <c r="R2177" s="460">
        <v>2121</v>
      </c>
      <c r="S2177" s="460" t="s">
        <v>2324</v>
      </c>
      <c r="T2177" s="462">
        <v>1</v>
      </c>
      <c r="U2177" s="460" t="s">
        <v>2330</v>
      </c>
      <c r="V2177" s="475">
        <v>0</v>
      </c>
      <c r="W2177" s="463" t="s">
        <v>2268</v>
      </c>
      <c r="X2177" s="463" t="s">
        <v>2268</v>
      </c>
      <c r="Y2177" s="463" t="s">
        <v>2554</v>
      </c>
      <c r="Z2177" s="463"/>
      <c r="AA2177" s="463"/>
      <c r="AB2177" s="464">
        <v>0</v>
      </c>
      <c r="AC2177" s="465">
        <v>0</v>
      </c>
      <c r="AD2177" s="465">
        <v>0</v>
      </c>
      <c r="AE2177" s="476">
        <v>0</v>
      </c>
      <c r="AF2177" s="467">
        <v>0</v>
      </c>
      <c r="AG2177" s="468">
        <v>0</v>
      </c>
      <c r="AH2177" s="218">
        <v>0</v>
      </c>
      <c r="AI2177" s="470">
        <v>0</v>
      </c>
      <c r="AJ2177" s="471">
        <v>0</v>
      </c>
      <c r="AK2177" s="218">
        <v>0</v>
      </c>
      <c r="AL2177" s="470">
        <v>0</v>
      </c>
      <c r="AM2177" s="471">
        <v>0</v>
      </c>
      <c r="AN2177" s="477">
        <v>6.4545418581231822</v>
      </c>
      <c r="AO2177" s="473">
        <v>2.4408694109440035E-2</v>
      </c>
      <c r="AP2177" s="474">
        <v>2.5819343781312997E-4</v>
      </c>
      <c r="AQ2177" s="352"/>
      <c r="AR2177" s="352"/>
      <c r="AS2177" s="352"/>
      <c r="AT2177" s="352"/>
      <c r="AU2177" s="352"/>
      <c r="AV2177" s="352"/>
      <c r="AW2177" s="352" t="s">
        <v>254</v>
      </c>
    </row>
    <row r="2178" spans="2:49" x14ac:dyDescent="0.2">
      <c r="B2178" s="460" t="s">
        <v>3011</v>
      </c>
      <c r="C2178" s="460">
        <v>2222</v>
      </c>
      <c r="D2178" s="460" t="s">
        <v>2341</v>
      </c>
      <c r="E2178" s="460" t="s">
        <v>2333</v>
      </c>
      <c r="F2178" s="460">
        <v>4</v>
      </c>
      <c r="G2178" s="460">
        <v>3</v>
      </c>
      <c r="H2178" s="461" t="s">
        <v>746</v>
      </c>
      <c r="I2178" s="461" t="s">
        <v>762</v>
      </c>
      <c r="J2178" s="461" t="s">
        <v>700</v>
      </c>
      <c r="K2178" s="594"/>
      <c r="L2178" s="594"/>
      <c r="M2178" s="352">
        <v>2000</v>
      </c>
      <c r="N2178" s="352" t="s">
        <v>703</v>
      </c>
      <c r="O2178" s="460">
        <v>2222</v>
      </c>
      <c r="P2178" s="460" t="s">
        <v>1885</v>
      </c>
      <c r="Q2178" s="460" t="s">
        <v>3000</v>
      </c>
      <c r="R2178" s="460">
        <v>2121</v>
      </c>
      <c r="S2178" s="460" t="s">
        <v>2333</v>
      </c>
      <c r="T2178" s="462">
        <v>1</v>
      </c>
      <c r="U2178" s="460" t="s">
        <v>2333</v>
      </c>
      <c r="V2178" s="475">
        <v>0</v>
      </c>
      <c r="W2178" s="463" t="s">
        <v>2268</v>
      </c>
      <c r="X2178" s="463" t="s">
        <v>2268</v>
      </c>
      <c r="Y2178" s="463" t="s">
        <v>2554</v>
      </c>
      <c r="Z2178" s="463"/>
      <c r="AA2178" s="463"/>
      <c r="AB2178" s="464">
        <v>0</v>
      </c>
      <c r="AC2178" s="465">
        <v>0</v>
      </c>
      <c r="AD2178" s="465">
        <v>0</v>
      </c>
      <c r="AE2178" s="476">
        <v>0</v>
      </c>
      <c r="AF2178" s="467">
        <v>0</v>
      </c>
      <c r="AG2178" s="468">
        <v>0</v>
      </c>
      <c r="AH2178" s="218">
        <v>0</v>
      </c>
      <c r="AI2178" s="470">
        <v>0</v>
      </c>
      <c r="AJ2178" s="471">
        <v>0</v>
      </c>
      <c r="AK2178" s="218">
        <v>0</v>
      </c>
      <c r="AL2178" s="470">
        <v>0</v>
      </c>
      <c r="AM2178" s="471">
        <v>0</v>
      </c>
      <c r="AN2178" s="477">
        <v>2.8998726436695286</v>
      </c>
      <c r="AO2178" s="473">
        <v>9.6738879113853898E-3</v>
      </c>
      <c r="AP2178" s="474">
        <v>2.4173222225889912E-4</v>
      </c>
      <c r="AQ2178" s="352"/>
      <c r="AR2178" s="352"/>
      <c r="AS2178" s="352"/>
      <c r="AT2178" s="352"/>
      <c r="AU2178" s="352"/>
      <c r="AV2178" s="352"/>
      <c r="AW2178" s="352" t="s">
        <v>254</v>
      </c>
    </row>
    <row r="2179" spans="2:49" x14ac:dyDescent="0.2">
      <c r="B2179" s="460" t="s">
        <v>3008</v>
      </c>
      <c r="C2179" s="460">
        <v>2222</v>
      </c>
      <c r="D2179" s="460" t="s">
        <v>2342</v>
      </c>
      <c r="E2179" s="460" t="s">
        <v>2324</v>
      </c>
      <c r="F2179" s="460">
        <v>1</v>
      </c>
      <c r="G2179" s="460">
        <v>3</v>
      </c>
      <c r="H2179" s="461" t="s">
        <v>748</v>
      </c>
      <c r="I2179" s="461" t="s">
        <v>765</v>
      </c>
      <c r="J2179" s="461" t="s">
        <v>700</v>
      </c>
      <c r="K2179" s="594"/>
      <c r="L2179" s="594"/>
      <c r="M2179" s="352">
        <v>2000</v>
      </c>
      <c r="N2179" s="352" t="s">
        <v>703</v>
      </c>
      <c r="O2179" s="460">
        <v>2222</v>
      </c>
      <c r="P2179" s="460" t="s">
        <v>1885</v>
      </c>
      <c r="Q2179" s="460" t="s">
        <v>3000</v>
      </c>
      <c r="R2179" s="460">
        <v>2121</v>
      </c>
      <c r="S2179" s="460" t="s">
        <v>2324</v>
      </c>
      <c r="T2179" s="462">
        <v>1</v>
      </c>
      <c r="U2179" s="460" t="s">
        <v>2324</v>
      </c>
      <c r="V2179" s="475">
        <v>0</v>
      </c>
      <c r="W2179" s="463" t="s">
        <v>2268</v>
      </c>
      <c r="X2179" s="463" t="s">
        <v>2268</v>
      </c>
      <c r="Y2179" s="463" t="s">
        <v>2554</v>
      </c>
      <c r="Z2179" s="463"/>
      <c r="AA2179" s="463"/>
      <c r="AB2179" s="464">
        <v>0</v>
      </c>
      <c r="AC2179" s="465">
        <v>0</v>
      </c>
      <c r="AD2179" s="465">
        <v>0</v>
      </c>
      <c r="AE2179" s="476">
        <v>0</v>
      </c>
      <c r="AF2179" s="467">
        <v>0</v>
      </c>
      <c r="AG2179" s="468">
        <v>0</v>
      </c>
      <c r="AH2179" s="218">
        <v>0</v>
      </c>
      <c r="AI2179" s="470">
        <v>0</v>
      </c>
      <c r="AJ2179" s="471">
        <v>0</v>
      </c>
      <c r="AK2179" s="218">
        <v>0</v>
      </c>
      <c r="AL2179" s="470">
        <v>0</v>
      </c>
      <c r="AM2179" s="471">
        <v>0</v>
      </c>
      <c r="AN2179" s="477">
        <v>46.659855759898221</v>
      </c>
      <c r="AO2179" s="473">
        <v>4.8817388218880084E-2</v>
      </c>
      <c r="AP2179" s="474">
        <v>2.4287301911903318E-3</v>
      </c>
      <c r="AQ2179" s="352"/>
      <c r="AR2179" s="352"/>
      <c r="AS2179" s="352"/>
      <c r="AT2179" s="352"/>
      <c r="AU2179" s="352"/>
      <c r="AV2179" s="352"/>
      <c r="AW2179" s="352" t="s">
        <v>254</v>
      </c>
    </row>
    <row r="2180" spans="2:49" x14ac:dyDescent="0.2">
      <c r="B2180" s="460" t="s">
        <v>3009</v>
      </c>
      <c r="C2180" s="460">
        <v>2222</v>
      </c>
      <c r="D2180" s="460" t="s">
        <v>2343</v>
      </c>
      <c r="E2180" s="460" t="s">
        <v>2327</v>
      </c>
      <c r="F2180" s="460">
        <v>2</v>
      </c>
      <c r="G2180" s="460">
        <v>3</v>
      </c>
      <c r="H2180" s="461" t="s">
        <v>748</v>
      </c>
      <c r="I2180" s="461" t="s">
        <v>765</v>
      </c>
      <c r="J2180" s="461" t="s">
        <v>700</v>
      </c>
      <c r="K2180" s="594"/>
      <c r="L2180" s="594"/>
      <c r="M2180" s="352">
        <v>2000</v>
      </c>
      <c r="N2180" s="352" t="s">
        <v>703</v>
      </c>
      <c r="O2180" s="460">
        <v>2222</v>
      </c>
      <c r="P2180" s="460" t="s">
        <v>1885</v>
      </c>
      <c r="Q2180" s="460" t="s">
        <v>3000</v>
      </c>
      <c r="R2180" s="460">
        <v>2121</v>
      </c>
      <c r="S2180" s="460" t="s">
        <v>2324</v>
      </c>
      <c r="T2180" s="462">
        <v>1</v>
      </c>
      <c r="U2180" s="460" t="s">
        <v>2327</v>
      </c>
      <c r="V2180" s="475">
        <v>0</v>
      </c>
      <c r="W2180" s="463" t="s">
        <v>2268</v>
      </c>
      <c r="X2180" s="463" t="s">
        <v>2268</v>
      </c>
      <c r="Y2180" s="463" t="s">
        <v>2554</v>
      </c>
      <c r="Z2180" s="463"/>
      <c r="AA2180" s="463"/>
      <c r="AB2180" s="464">
        <v>0</v>
      </c>
      <c r="AC2180" s="465">
        <v>0</v>
      </c>
      <c r="AD2180" s="465">
        <v>0</v>
      </c>
      <c r="AE2180" s="476">
        <v>0</v>
      </c>
      <c r="AF2180" s="467">
        <v>0</v>
      </c>
      <c r="AG2180" s="468">
        <v>0</v>
      </c>
      <c r="AH2180" s="218">
        <v>0</v>
      </c>
      <c r="AI2180" s="470">
        <v>0</v>
      </c>
      <c r="AJ2180" s="471">
        <v>0</v>
      </c>
      <c r="AK2180" s="218">
        <v>0</v>
      </c>
      <c r="AL2180" s="470">
        <v>0</v>
      </c>
      <c r="AM2180" s="471">
        <v>0</v>
      </c>
      <c r="AN2180" s="477">
        <v>39.230182559789661</v>
      </c>
      <c r="AO2180" s="473">
        <v>4.8817388218880084E-2</v>
      </c>
      <c r="AP2180" s="474">
        <v>3.4873087234966399E-3</v>
      </c>
      <c r="AQ2180" s="352"/>
      <c r="AR2180" s="352"/>
      <c r="AS2180" s="352"/>
      <c r="AT2180" s="352"/>
      <c r="AU2180" s="352"/>
      <c r="AV2180" s="352"/>
      <c r="AW2180" s="352" t="s">
        <v>254</v>
      </c>
    </row>
    <row r="2181" spans="2:49" x14ac:dyDescent="0.2">
      <c r="B2181" s="460" t="s">
        <v>3010</v>
      </c>
      <c r="C2181" s="460">
        <v>2222</v>
      </c>
      <c r="D2181" s="460" t="s">
        <v>2344</v>
      </c>
      <c r="E2181" s="460" t="s">
        <v>2330</v>
      </c>
      <c r="F2181" s="460">
        <v>3</v>
      </c>
      <c r="G2181" s="460">
        <v>3</v>
      </c>
      <c r="H2181" s="461" t="s">
        <v>748</v>
      </c>
      <c r="I2181" s="461" t="s">
        <v>765</v>
      </c>
      <c r="J2181" s="461" t="s">
        <v>700</v>
      </c>
      <c r="K2181" s="594"/>
      <c r="L2181" s="594"/>
      <c r="M2181" s="352">
        <v>2000</v>
      </c>
      <c r="N2181" s="352" t="s">
        <v>703</v>
      </c>
      <c r="O2181" s="460">
        <v>2222</v>
      </c>
      <c r="P2181" s="460" t="s">
        <v>1885</v>
      </c>
      <c r="Q2181" s="460" t="s">
        <v>3000</v>
      </c>
      <c r="R2181" s="460">
        <v>2121</v>
      </c>
      <c r="S2181" s="460" t="s">
        <v>2324</v>
      </c>
      <c r="T2181" s="462">
        <v>1</v>
      </c>
      <c r="U2181" s="460" t="s">
        <v>2330</v>
      </c>
      <c r="V2181" s="475">
        <v>0</v>
      </c>
      <c r="W2181" s="463" t="s">
        <v>2268</v>
      </c>
      <c r="X2181" s="463" t="s">
        <v>2268</v>
      </c>
      <c r="Y2181" s="463" t="s">
        <v>2554</v>
      </c>
      <c r="Z2181" s="463"/>
      <c r="AA2181" s="463"/>
      <c r="AB2181" s="464">
        <v>0</v>
      </c>
      <c r="AC2181" s="465">
        <v>0</v>
      </c>
      <c r="AD2181" s="465">
        <v>0</v>
      </c>
      <c r="AE2181" s="476">
        <v>0</v>
      </c>
      <c r="AF2181" s="467">
        <v>0</v>
      </c>
      <c r="AG2181" s="468">
        <v>0</v>
      </c>
      <c r="AH2181" s="218">
        <v>0</v>
      </c>
      <c r="AI2181" s="470">
        <v>0</v>
      </c>
      <c r="AJ2181" s="471">
        <v>0</v>
      </c>
      <c r="AK2181" s="218">
        <v>0</v>
      </c>
      <c r="AL2181" s="470">
        <v>0</v>
      </c>
      <c r="AM2181" s="471">
        <v>0</v>
      </c>
      <c r="AN2181" s="477">
        <v>12.909083716246368</v>
      </c>
      <c r="AO2181" s="473">
        <v>4.8817388218880084E-2</v>
      </c>
      <c r="AP2181" s="474">
        <v>3.5187931295747581E-3</v>
      </c>
      <c r="AQ2181" s="352"/>
      <c r="AR2181" s="352"/>
      <c r="AS2181" s="352"/>
      <c r="AT2181" s="352"/>
      <c r="AU2181" s="352"/>
      <c r="AV2181" s="352"/>
      <c r="AW2181" s="352" t="s">
        <v>254</v>
      </c>
    </row>
    <row r="2182" spans="2:49" x14ac:dyDescent="0.2">
      <c r="B2182" s="460" t="s">
        <v>3011</v>
      </c>
      <c r="C2182" s="460">
        <v>2222</v>
      </c>
      <c r="D2182" s="460" t="s">
        <v>2345</v>
      </c>
      <c r="E2182" s="460" t="s">
        <v>2333</v>
      </c>
      <c r="F2182" s="460">
        <v>4</v>
      </c>
      <c r="G2182" s="460">
        <v>3</v>
      </c>
      <c r="H2182" s="461" t="s">
        <v>748</v>
      </c>
      <c r="I2182" s="461" t="s">
        <v>765</v>
      </c>
      <c r="J2182" s="461" t="s">
        <v>700</v>
      </c>
      <c r="K2182" s="594"/>
      <c r="L2182" s="594"/>
      <c r="M2182" s="352">
        <v>2000</v>
      </c>
      <c r="N2182" s="352" t="s">
        <v>703</v>
      </c>
      <c r="O2182" s="460">
        <v>2222</v>
      </c>
      <c r="P2182" s="460" t="s">
        <v>1885</v>
      </c>
      <c r="Q2182" s="460" t="s">
        <v>3000</v>
      </c>
      <c r="R2182" s="460">
        <v>2121</v>
      </c>
      <c r="S2182" s="460" t="s">
        <v>2333</v>
      </c>
      <c r="T2182" s="462">
        <v>1</v>
      </c>
      <c r="U2182" s="460" t="s">
        <v>2333</v>
      </c>
      <c r="V2182" s="475">
        <v>0</v>
      </c>
      <c r="W2182" s="463" t="s">
        <v>2268</v>
      </c>
      <c r="X2182" s="463" t="s">
        <v>2268</v>
      </c>
      <c r="Y2182" s="463" t="s">
        <v>2554</v>
      </c>
      <c r="Z2182" s="463"/>
      <c r="AA2182" s="463"/>
      <c r="AB2182" s="464">
        <v>0</v>
      </c>
      <c r="AC2182" s="465">
        <v>0</v>
      </c>
      <c r="AD2182" s="465">
        <v>0</v>
      </c>
      <c r="AE2182" s="476">
        <v>0</v>
      </c>
      <c r="AF2182" s="467">
        <v>0</v>
      </c>
      <c r="AG2182" s="468">
        <v>0</v>
      </c>
      <c r="AH2182" s="218">
        <v>0</v>
      </c>
      <c r="AI2182" s="470">
        <v>0</v>
      </c>
      <c r="AJ2182" s="471">
        <v>0</v>
      </c>
      <c r="AK2182" s="218">
        <v>0</v>
      </c>
      <c r="AL2182" s="470">
        <v>0</v>
      </c>
      <c r="AM2182" s="471">
        <v>0</v>
      </c>
      <c r="AN2182" s="477">
        <v>5.7997452873390598</v>
      </c>
      <c r="AO2182" s="473">
        <v>1.9347775822770787E-2</v>
      </c>
      <c r="AP2182" s="474">
        <v>3.6116436867061918E-3</v>
      </c>
      <c r="AQ2182" s="352"/>
      <c r="AR2182" s="352"/>
      <c r="AS2182" s="352"/>
      <c r="AT2182" s="352"/>
      <c r="AU2182" s="352"/>
      <c r="AV2182" s="352"/>
      <c r="AW2182" s="352" t="s">
        <v>254</v>
      </c>
    </row>
    <row r="2183" spans="2:49" x14ac:dyDescent="0.2">
      <c r="B2183" s="460" t="s">
        <v>3008</v>
      </c>
      <c r="C2183" s="460">
        <v>2222</v>
      </c>
      <c r="D2183" s="460" t="s">
        <v>2346</v>
      </c>
      <c r="E2183" s="460" t="s">
        <v>2324</v>
      </c>
      <c r="F2183" s="460">
        <v>1</v>
      </c>
      <c r="G2183" s="460">
        <v>3</v>
      </c>
      <c r="H2183" s="461" t="s">
        <v>752</v>
      </c>
      <c r="I2183" s="461" t="s">
        <v>964</v>
      </c>
      <c r="J2183" s="461" t="s">
        <v>752</v>
      </c>
      <c r="K2183" s="594"/>
      <c r="L2183" s="594"/>
      <c r="M2183" s="352">
        <v>2000</v>
      </c>
      <c r="N2183" s="352" t="s">
        <v>703</v>
      </c>
      <c r="O2183" s="460">
        <v>2222</v>
      </c>
      <c r="P2183" s="460" t="s">
        <v>1885</v>
      </c>
      <c r="Q2183" s="460" t="s">
        <v>3012</v>
      </c>
      <c r="R2183" s="460">
        <v>2121</v>
      </c>
      <c r="S2183" s="460" t="s">
        <v>2324</v>
      </c>
      <c r="T2183" s="462">
        <v>1</v>
      </c>
      <c r="U2183" s="460" t="s">
        <v>2324</v>
      </c>
      <c r="V2183" s="475">
        <v>0</v>
      </c>
      <c r="W2183" s="463" t="s">
        <v>2278</v>
      </c>
      <c r="X2183" s="463" t="s">
        <v>2278</v>
      </c>
      <c r="Y2183" s="463" t="s">
        <v>2278</v>
      </c>
      <c r="Z2183" s="463"/>
      <c r="AA2183" s="463"/>
      <c r="AB2183" s="464">
        <v>1.1511226235286021</v>
      </c>
      <c r="AC2183" s="465">
        <v>1.2043500582063112E-3</v>
      </c>
      <c r="AD2183" s="465">
        <v>4.0562309866732179E-4</v>
      </c>
      <c r="AE2183" s="476">
        <v>1.1511226235286021</v>
      </c>
      <c r="AF2183" s="467">
        <v>1.2043500582063112E-3</v>
      </c>
      <c r="AG2183" s="468">
        <v>4.0562309866732179E-4</v>
      </c>
      <c r="AH2183" s="218">
        <v>1.1511226235286021</v>
      </c>
      <c r="AI2183" s="470">
        <v>1.2043500582063112E-3</v>
      </c>
      <c r="AJ2183" s="471">
        <v>4.0562309866732179E-4</v>
      </c>
      <c r="AK2183" s="218">
        <v>1.1511226235286021</v>
      </c>
      <c r="AL2183" s="470">
        <v>1.2043500582063112E-3</v>
      </c>
      <c r="AM2183" s="471">
        <v>4.0562309866732179E-4</v>
      </c>
      <c r="AN2183" s="477">
        <v>1.1511226235286021</v>
      </c>
      <c r="AO2183" s="473">
        <v>1.2043500582063112E-3</v>
      </c>
      <c r="AP2183" s="474">
        <v>4.0562309866732179E-4</v>
      </c>
      <c r="AQ2183" s="352"/>
      <c r="AR2183" s="352"/>
      <c r="AS2183" s="352"/>
      <c r="AT2183" s="352"/>
      <c r="AU2183" s="352"/>
      <c r="AV2183" s="352"/>
      <c r="AW2183" s="352" t="s">
        <v>254</v>
      </c>
    </row>
    <row r="2184" spans="2:49" x14ac:dyDescent="0.2">
      <c r="B2184" s="460" t="s">
        <v>3009</v>
      </c>
      <c r="C2184" s="460">
        <v>2222</v>
      </c>
      <c r="D2184" s="460" t="s">
        <v>2347</v>
      </c>
      <c r="E2184" s="460" t="s">
        <v>2327</v>
      </c>
      <c r="F2184" s="460">
        <v>2</v>
      </c>
      <c r="G2184" s="460">
        <v>3</v>
      </c>
      <c r="H2184" s="461" t="s">
        <v>752</v>
      </c>
      <c r="I2184" s="461" t="s">
        <v>964</v>
      </c>
      <c r="J2184" s="461" t="s">
        <v>752</v>
      </c>
      <c r="K2184" s="594"/>
      <c r="L2184" s="594"/>
      <c r="M2184" s="352">
        <v>2000</v>
      </c>
      <c r="N2184" s="352" t="s">
        <v>703</v>
      </c>
      <c r="O2184" s="460">
        <v>2222</v>
      </c>
      <c r="P2184" s="460" t="s">
        <v>1885</v>
      </c>
      <c r="Q2184" s="460" t="s">
        <v>3012</v>
      </c>
      <c r="R2184" s="460">
        <v>2121</v>
      </c>
      <c r="S2184" s="460" t="s">
        <v>2324</v>
      </c>
      <c r="T2184" s="462">
        <v>1</v>
      </c>
      <c r="U2184" s="460" t="s">
        <v>2327</v>
      </c>
      <c r="V2184" s="475">
        <v>0</v>
      </c>
      <c r="W2184" s="463" t="s">
        <v>2278</v>
      </c>
      <c r="X2184" s="463" t="s">
        <v>2278</v>
      </c>
      <c r="Y2184" s="463" t="s">
        <v>2278</v>
      </c>
      <c r="Z2184" s="463"/>
      <c r="AA2184" s="463"/>
      <c r="AB2184" s="464">
        <v>4.7879684041281415E-2</v>
      </c>
      <c r="AC2184" s="465">
        <v>5.9580684338601868E-5</v>
      </c>
      <c r="AD2184" s="465">
        <v>1.301847233893016E-4</v>
      </c>
      <c r="AE2184" s="476">
        <v>4.7879684041281415E-2</v>
      </c>
      <c r="AF2184" s="467">
        <v>5.9580684338601868E-5</v>
      </c>
      <c r="AG2184" s="468">
        <v>1.301847233893016E-4</v>
      </c>
      <c r="AH2184" s="218">
        <v>4.7879684041281415E-2</v>
      </c>
      <c r="AI2184" s="470">
        <v>5.9580684338601868E-5</v>
      </c>
      <c r="AJ2184" s="471">
        <v>1.301847233893016E-4</v>
      </c>
      <c r="AK2184" s="218">
        <v>4.7879684041281415E-2</v>
      </c>
      <c r="AL2184" s="470">
        <v>5.9580684338601868E-5</v>
      </c>
      <c r="AM2184" s="471">
        <v>1.301847233893016E-4</v>
      </c>
      <c r="AN2184" s="477">
        <v>4.7879684041281415E-2</v>
      </c>
      <c r="AO2184" s="473">
        <v>5.9580684338601868E-5</v>
      </c>
      <c r="AP2184" s="474">
        <v>1.301847233893016E-4</v>
      </c>
      <c r="AQ2184" s="352"/>
      <c r="AR2184" s="352"/>
      <c r="AS2184" s="352"/>
      <c r="AT2184" s="352"/>
      <c r="AU2184" s="352"/>
      <c r="AV2184" s="352"/>
      <c r="AW2184" s="352" t="s">
        <v>254</v>
      </c>
    </row>
    <row r="2185" spans="2:49" x14ac:dyDescent="0.2">
      <c r="B2185" s="460" t="s">
        <v>3010</v>
      </c>
      <c r="C2185" s="460">
        <v>2222</v>
      </c>
      <c r="D2185" s="460" t="s">
        <v>2348</v>
      </c>
      <c r="E2185" s="460" t="s">
        <v>2330</v>
      </c>
      <c r="F2185" s="460">
        <v>3</v>
      </c>
      <c r="G2185" s="460">
        <v>3</v>
      </c>
      <c r="H2185" s="461" t="s">
        <v>752</v>
      </c>
      <c r="I2185" s="461" t="s">
        <v>964</v>
      </c>
      <c r="J2185" s="461" t="s">
        <v>752</v>
      </c>
      <c r="K2185" s="594"/>
      <c r="L2185" s="594"/>
      <c r="M2185" s="352">
        <v>2000</v>
      </c>
      <c r="N2185" s="352" t="s">
        <v>703</v>
      </c>
      <c r="O2185" s="460">
        <v>2222</v>
      </c>
      <c r="P2185" s="460" t="s">
        <v>1885</v>
      </c>
      <c r="Q2185" s="460" t="s">
        <v>3012</v>
      </c>
      <c r="R2185" s="460">
        <v>2121</v>
      </c>
      <c r="S2185" s="460" t="s">
        <v>2324</v>
      </c>
      <c r="T2185" s="462">
        <v>1</v>
      </c>
      <c r="U2185" s="460" t="s">
        <v>2330</v>
      </c>
      <c r="V2185" s="475">
        <v>0</v>
      </c>
      <c r="W2185" s="463" t="s">
        <v>2278</v>
      </c>
      <c r="X2185" s="463" t="s">
        <v>2278</v>
      </c>
      <c r="Y2185" s="463" t="s">
        <v>2278</v>
      </c>
      <c r="Z2185" s="463"/>
      <c r="AA2185" s="463"/>
      <c r="AB2185" s="464">
        <v>4.8353381520580149E-2</v>
      </c>
      <c r="AC2185" s="465">
        <v>1.8285463548548065E-4</v>
      </c>
      <c r="AD2185" s="465">
        <v>3.2694622034087385E-4</v>
      </c>
      <c r="AE2185" s="476">
        <v>4.8353381520580149E-2</v>
      </c>
      <c r="AF2185" s="467">
        <v>1.8285463548548065E-4</v>
      </c>
      <c r="AG2185" s="468">
        <v>3.2694622034087385E-4</v>
      </c>
      <c r="AH2185" s="218">
        <v>4.8353381520580149E-2</v>
      </c>
      <c r="AI2185" s="470">
        <v>1.8285463548548065E-4</v>
      </c>
      <c r="AJ2185" s="471">
        <v>3.2694622034087385E-4</v>
      </c>
      <c r="AK2185" s="218">
        <v>4.8353381520580149E-2</v>
      </c>
      <c r="AL2185" s="470">
        <v>1.8285463548548065E-4</v>
      </c>
      <c r="AM2185" s="471">
        <v>3.2694622034087385E-4</v>
      </c>
      <c r="AN2185" s="477">
        <v>4.8353381520580149E-2</v>
      </c>
      <c r="AO2185" s="473">
        <v>1.8285463548548065E-4</v>
      </c>
      <c r="AP2185" s="474">
        <v>3.2694622034087385E-4</v>
      </c>
      <c r="AQ2185" s="352"/>
      <c r="AR2185" s="352"/>
      <c r="AS2185" s="352"/>
      <c r="AT2185" s="352"/>
      <c r="AU2185" s="352"/>
      <c r="AV2185" s="352"/>
      <c r="AW2185" s="352" t="s">
        <v>254</v>
      </c>
    </row>
    <row r="2186" spans="2:49" x14ac:dyDescent="0.2">
      <c r="B2186" s="460" t="s">
        <v>3011</v>
      </c>
      <c r="C2186" s="460">
        <v>2222</v>
      </c>
      <c r="D2186" s="460" t="s">
        <v>2349</v>
      </c>
      <c r="E2186" s="460" t="s">
        <v>2333</v>
      </c>
      <c r="F2186" s="460">
        <v>4</v>
      </c>
      <c r="G2186" s="460">
        <v>3</v>
      </c>
      <c r="H2186" s="461" t="s">
        <v>752</v>
      </c>
      <c r="I2186" s="461" t="s">
        <v>964</v>
      </c>
      <c r="J2186" s="461" t="s">
        <v>752</v>
      </c>
      <c r="K2186" s="594"/>
      <c r="L2186" s="594"/>
      <c r="M2186" s="352">
        <v>2000</v>
      </c>
      <c r="N2186" s="352" t="s">
        <v>703</v>
      </c>
      <c r="O2186" s="460">
        <v>2222</v>
      </c>
      <c r="P2186" s="460" t="s">
        <v>1885</v>
      </c>
      <c r="Q2186" s="460" t="s">
        <v>3012</v>
      </c>
      <c r="R2186" s="460">
        <v>2121</v>
      </c>
      <c r="S2186" s="460" t="s">
        <v>2333</v>
      </c>
      <c r="T2186" s="462">
        <v>1</v>
      </c>
      <c r="U2186" s="460" t="s">
        <v>2333</v>
      </c>
      <c r="V2186" s="475">
        <v>0</v>
      </c>
      <c r="W2186" s="463" t="s">
        <v>2278</v>
      </c>
      <c r="X2186" s="463" t="s">
        <v>2278</v>
      </c>
      <c r="Y2186" s="463" t="s">
        <v>2278</v>
      </c>
      <c r="Z2186" s="463"/>
      <c r="AA2186" s="463"/>
      <c r="AB2186" s="464">
        <v>1.3558502161992384E-4</v>
      </c>
      <c r="AC2186" s="465">
        <v>4.5230755373937815E-7</v>
      </c>
      <c r="AD2186" s="465">
        <v>9.6988879597865968E-7</v>
      </c>
      <c r="AE2186" s="476">
        <v>1.3558502161992384E-4</v>
      </c>
      <c r="AF2186" s="467">
        <v>4.5230755373937815E-7</v>
      </c>
      <c r="AG2186" s="468">
        <v>9.6988879597865968E-7</v>
      </c>
      <c r="AH2186" s="218">
        <v>1.3558502161992384E-4</v>
      </c>
      <c r="AI2186" s="470">
        <v>4.5230755373937815E-7</v>
      </c>
      <c r="AJ2186" s="471">
        <v>9.6988879597865968E-7</v>
      </c>
      <c r="AK2186" s="218">
        <v>1.3558502161992384E-4</v>
      </c>
      <c r="AL2186" s="470">
        <v>4.5230755373937815E-7</v>
      </c>
      <c r="AM2186" s="471">
        <v>9.6988879597865968E-7</v>
      </c>
      <c r="AN2186" s="477">
        <v>1.3558502161992384E-4</v>
      </c>
      <c r="AO2186" s="473">
        <v>4.5230755373937815E-7</v>
      </c>
      <c r="AP2186" s="474">
        <v>9.6988879597865968E-7</v>
      </c>
      <c r="AQ2186" s="352"/>
      <c r="AR2186" s="352"/>
      <c r="AS2186" s="352"/>
      <c r="AT2186" s="352"/>
      <c r="AU2186" s="352"/>
      <c r="AV2186" s="352"/>
      <c r="AW2186" s="352" t="s">
        <v>254</v>
      </c>
    </row>
    <row r="2187" spans="2:49" x14ac:dyDescent="0.2">
      <c r="B2187" s="460" t="s">
        <v>3013</v>
      </c>
      <c r="C2187" s="460">
        <v>2222</v>
      </c>
      <c r="D2187" s="460" t="s">
        <v>2351</v>
      </c>
      <c r="E2187" s="460" t="s">
        <v>1136</v>
      </c>
      <c r="F2187" s="460">
        <v>1</v>
      </c>
      <c r="G2187" s="460">
        <v>4</v>
      </c>
      <c r="H2187" s="461" t="s">
        <v>700</v>
      </c>
      <c r="I2187" s="461" t="s">
        <v>872</v>
      </c>
      <c r="J2187" s="461" t="s">
        <v>700</v>
      </c>
      <c r="K2187" s="594"/>
      <c r="L2187" s="594"/>
      <c r="M2187" s="352">
        <v>2000</v>
      </c>
      <c r="N2187" s="352" t="s">
        <v>703</v>
      </c>
      <c r="O2187" s="460">
        <v>2222</v>
      </c>
      <c r="P2187" s="460" t="s">
        <v>1885</v>
      </c>
      <c r="Q2187" s="460" t="s">
        <v>3000</v>
      </c>
      <c r="R2187" s="460">
        <v>2121</v>
      </c>
      <c r="S2187" s="460" t="s">
        <v>1136</v>
      </c>
      <c r="T2187" s="462">
        <v>1</v>
      </c>
      <c r="U2187" s="460" t="s">
        <v>1136</v>
      </c>
      <c r="V2187" s="475">
        <v>0</v>
      </c>
      <c r="W2187" s="463" t="s">
        <v>2554</v>
      </c>
      <c r="X2187" s="463" t="s">
        <v>2554</v>
      </c>
      <c r="Y2187" s="463" t="s">
        <v>2268</v>
      </c>
      <c r="Z2187" s="463"/>
      <c r="AA2187" s="463"/>
      <c r="AB2187" s="464">
        <v>0.14717373491265576</v>
      </c>
      <c r="AC2187" s="465">
        <v>6.8531793013377237E-4</v>
      </c>
      <c r="AD2187" s="465">
        <v>4.187400687059459E-4</v>
      </c>
      <c r="AE2187" s="476">
        <v>8.8304240947593454E-2</v>
      </c>
      <c r="AF2187" s="467">
        <v>4.1119075808026341E-4</v>
      </c>
      <c r="AG2187" s="468">
        <v>2.7311774083972975E-4</v>
      </c>
      <c r="AH2187" s="218">
        <v>8.8304240947593454E-2</v>
      </c>
      <c r="AI2187" s="470">
        <v>4.1119075808026341E-4</v>
      </c>
      <c r="AJ2187" s="471">
        <v>6.8962656143984301E-5</v>
      </c>
      <c r="AK2187" s="218">
        <v>8.8304240947593454E-2</v>
      </c>
      <c r="AL2187" s="470">
        <v>4.1119075808026341E-4</v>
      </c>
      <c r="AM2187" s="471">
        <v>6.8962656143984301E-5</v>
      </c>
      <c r="AN2187" s="477">
        <v>0</v>
      </c>
      <c r="AO2187" s="473">
        <v>0</v>
      </c>
      <c r="AP2187" s="474">
        <v>0</v>
      </c>
      <c r="AQ2187" s="352"/>
      <c r="AR2187" s="352"/>
      <c r="AS2187" s="352"/>
      <c r="AT2187" s="352"/>
      <c r="AU2187" s="352"/>
      <c r="AV2187" s="352"/>
      <c r="AW2187" s="352" t="s">
        <v>254</v>
      </c>
    </row>
    <row r="2188" spans="2:49" x14ac:dyDescent="0.2">
      <c r="B2188" s="460" t="s">
        <v>3014</v>
      </c>
      <c r="C2188" s="460">
        <v>2222</v>
      </c>
      <c r="D2188" s="460" t="s">
        <v>2353</v>
      </c>
      <c r="E2188" s="460" t="s">
        <v>1137</v>
      </c>
      <c r="F2188" s="460">
        <v>2</v>
      </c>
      <c r="G2188" s="460">
        <v>4</v>
      </c>
      <c r="H2188" s="461" t="s">
        <v>700</v>
      </c>
      <c r="I2188" s="461" t="s">
        <v>872</v>
      </c>
      <c r="J2188" s="461" t="s">
        <v>700</v>
      </c>
      <c r="K2188" s="594"/>
      <c r="L2188" s="594"/>
      <c r="M2188" s="352">
        <v>2000</v>
      </c>
      <c r="N2188" s="352" t="s">
        <v>703</v>
      </c>
      <c r="O2188" s="460">
        <v>2222</v>
      </c>
      <c r="P2188" s="460" t="s">
        <v>1885</v>
      </c>
      <c r="Q2188" s="460" t="s">
        <v>3000</v>
      </c>
      <c r="R2188" s="460">
        <v>2121</v>
      </c>
      <c r="S2188" s="460" t="s">
        <v>1137</v>
      </c>
      <c r="T2188" s="462">
        <v>1</v>
      </c>
      <c r="U2188" s="460" t="s">
        <v>1137</v>
      </c>
      <c r="V2188" s="475">
        <v>0</v>
      </c>
      <c r="W2188" s="463" t="s">
        <v>2554</v>
      </c>
      <c r="X2188" s="463" t="s">
        <v>2554</v>
      </c>
      <c r="Y2188" s="463" t="s">
        <v>2268</v>
      </c>
      <c r="Z2188" s="463"/>
      <c r="AA2188" s="463"/>
      <c r="AB2188" s="464">
        <v>1.8543491068401607</v>
      </c>
      <c r="AC2188" s="465">
        <v>5.6142662636269412E-3</v>
      </c>
      <c r="AD2188" s="465">
        <v>4.1874006870594617E-4</v>
      </c>
      <c r="AE2188" s="476">
        <v>1.1126094641040964</v>
      </c>
      <c r="AF2188" s="467">
        <v>3.3685597581761648E-3</v>
      </c>
      <c r="AG2188" s="468">
        <v>2.7067292808274836E-4</v>
      </c>
      <c r="AH2188" s="218">
        <v>1.1126094641040964</v>
      </c>
      <c r="AI2188" s="470">
        <v>3.3685597581761648E-3</v>
      </c>
      <c r="AJ2188" s="471">
        <v>2.2987560521912505E-4</v>
      </c>
      <c r="AK2188" s="218">
        <v>1.1126094641040964</v>
      </c>
      <c r="AL2188" s="470">
        <v>3.3685597581761648E-3</v>
      </c>
      <c r="AM2188" s="471">
        <v>2.2987560521912505E-4</v>
      </c>
      <c r="AN2188" s="477">
        <v>0</v>
      </c>
      <c r="AO2188" s="473">
        <v>0</v>
      </c>
      <c r="AP2188" s="474">
        <v>0</v>
      </c>
      <c r="AQ2188" s="352"/>
      <c r="AR2188" s="352"/>
      <c r="AS2188" s="352"/>
      <c r="AT2188" s="352"/>
      <c r="AU2188" s="352"/>
      <c r="AV2188" s="352"/>
      <c r="AW2188" s="352" t="s">
        <v>254</v>
      </c>
    </row>
    <row r="2189" spans="2:49" x14ac:dyDescent="0.2">
      <c r="B2189" s="460" t="s">
        <v>3015</v>
      </c>
      <c r="C2189" s="460">
        <v>2222</v>
      </c>
      <c r="D2189" s="460" t="s">
        <v>2355</v>
      </c>
      <c r="E2189" s="460" t="s">
        <v>1138</v>
      </c>
      <c r="F2189" s="460">
        <v>3</v>
      </c>
      <c r="G2189" s="460">
        <v>4</v>
      </c>
      <c r="H2189" s="461" t="s">
        <v>700</v>
      </c>
      <c r="I2189" s="461" t="s">
        <v>872</v>
      </c>
      <c r="J2189" s="461" t="s">
        <v>700</v>
      </c>
      <c r="K2189" s="594"/>
      <c r="L2189" s="594"/>
      <c r="M2189" s="352">
        <v>2000</v>
      </c>
      <c r="N2189" s="352" t="s">
        <v>703</v>
      </c>
      <c r="O2189" s="460">
        <v>2222</v>
      </c>
      <c r="P2189" s="460" t="s">
        <v>1885</v>
      </c>
      <c r="Q2189" s="460" t="s">
        <v>3000</v>
      </c>
      <c r="R2189" s="460">
        <v>2121</v>
      </c>
      <c r="S2189" s="460" t="s">
        <v>1138</v>
      </c>
      <c r="T2189" s="462">
        <v>1</v>
      </c>
      <c r="U2189" s="460" t="s">
        <v>1138</v>
      </c>
      <c r="V2189" s="475">
        <v>0</v>
      </c>
      <c r="W2189" s="463" t="s">
        <v>2554</v>
      </c>
      <c r="X2189" s="463" t="s">
        <v>2554</v>
      </c>
      <c r="Y2189" s="463" t="s">
        <v>2268</v>
      </c>
      <c r="Z2189" s="463"/>
      <c r="AA2189" s="463"/>
      <c r="AB2189" s="464">
        <v>0.99802632767609678</v>
      </c>
      <c r="AC2189" s="465">
        <v>7.1472188054904689E-3</v>
      </c>
      <c r="AD2189" s="465">
        <v>4.1874006870594628E-4</v>
      </c>
      <c r="AE2189" s="476">
        <v>0.59881579660565809</v>
      </c>
      <c r="AF2189" s="467">
        <v>4.2883312832942815E-3</v>
      </c>
      <c r="AG2189" s="468">
        <v>2.7105833058166823E-4</v>
      </c>
      <c r="AH2189" s="218">
        <v>0.59881579660565809</v>
      </c>
      <c r="AI2189" s="470">
        <v>4.2883312832942815E-3</v>
      </c>
      <c r="AJ2189" s="471">
        <v>2.0635562737042408E-4</v>
      </c>
      <c r="AK2189" s="218">
        <v>0.59881579660565809</v>
      </c>
      <c r="AL2189" s="470">
        <v>4.2883312832942815E-3</v>
      </c>
      <c r="AM2189" s="471">
        <v>2.0635562737042408E-4</v>
      </c>
      <c r="AN2189" s="477">
        <v>0</v>
      </c>
      <c r="AO2189" s="473">
        <v>0</v>
      </c>
      <c r="AP2189" s="474">
        <v>0</v>
      </c>
      <c r="AQ2189" s="352"/>
      <c r="AR2189" s="352"/>
      <c r="AS2189" s="352"/>
      <c r="AT2189" s="352"/>
      <c r="AU2189" s="352"/>
      <c r="AV2189" s="352"/>
      <c r="AW2189" s="352" t="s">
        <v>254</v>
      </c>
    </row>
    <row r="2190" spans="2:49" x14ac:dyDescent="0.2">
      <c r="B2190" s="460" t="s">
        <v>3016</v>
      </c>
      <c r="C2190" s="460">
        <v>2222</v>
      </c>
      <c r="D2190" s="460" t="s">
        <v>2357</v>
      </c>
      <c r="E2190" s="460" t="s">
        <v>1139</v>
      </c>
      <c r="F2190" s="460">
        <v>4</v>
      </c>
      <c r="G2190" s="460">
        <v>4</v>
      </c>
      <c r="H2190" s="461" t="s">
        <v>700</v>
      </c>
      <c r="I2190" s="461" t="s">
        <v>872</v>
      </c>
      <c r="J2190" s="461" t="s">
        <v>700</v>
      </c>
      <c r="K2190" s="594"/>
      <c r="L2190" s="594"/>
      <c r="M2190" s="352">
        <v>2000</v>
      </c>
      <c r="N2190" s="352" t="s">
        <v>703</v>
      </c>
      <c r="O2190" s="460">
        <v>2222</v>
      </c>
      <c r="P2190" s="460" t="s">
        <v>1885</v>
      </c>
      <c r="Q2190" s="460" t="s">
        <v>3000</v>
      </c>
      <c r="R2190" s="460">
        <v>2121</v>
      </c>
      <c r="S2190" s="460" t="s">
        <v>1139</v>
      </c>
      <c r="T2190" s="462">
        <v>1</v>
      </c>
      <c r="U2190" s="460" t="s">
        <v>1139</v>
      </c>
      <c r="V2190" s="475">
        <v>0</v>
      </c>
      <c r="W2190" s="463" t="s">
        <v>2554</v>
      </c>
      <c r="X2190" s="463" t="s">
        <v>2554</v>
      </c>
      <c r="Y2190" s="463" t="s">
        <v>2268</v>
      </c>
      <c r="Z2190" s="463"/>
      <c r="AA2190" s="463"/>
      <c r="AB2190" s="464">
        <v>0</v>
      </c>
      <c r="AC2190" s="465">
        <v>0</v>
      </c>
      <c r="AD2190" s="465">
        <v>0</v>
      </c>
      <c r="AE2190" s="476">
        <v>0</v>
      </c>
      <c r="AF2190" s="467">
        <v>0</v>
      </c>
      <c r="AG2190" s="468">
        <v>0</v>
      </c>
      <c r="AH2190" s="218">
        <v>0</v>
      </c>
      <c r="AI2190" s="470">
        <v>0</v>
      </c>
      <c r="AJ2190" s="471">
        <v>0</v>
      </c>
      <c r="AK2190" s="218">
        <v>0</v>
      </c>
      <c r="AL2190" s="470">
        <v>0</v>
      </c>
      <c r="AM2190" s="471">
        <v>0</v>
      </c>
      <c r="AN2190" s="477">
        <v>0</v>
      </c>
      <c r="AO2190" s="473">
        <v>0</v>
      </c>
      <c r="AP2190" s="474">
        <v>0</v>
      </c>
      <c r="AQ2190" s="352"/>
      <c r="AR2190" s="352"/>
      <c r="AS2190" s="352"/>
      <c r="AT2190" s="352"/>
      <c r="AU2190" s="352"/>
      <c r="AV2190" s="352"/>
      <c r="AW2190" s="352" t="s">
        <v>254</v>
      </c>
    </row>
    <row r="2191" spans="2:49" x14ac:dyDescent="0.2">
      <c r="B2191" s="460" t="s">
        <v>3013</v>
      </c>
      <c r="C2191" s="460">
        <v>2222</v>
      </c>
      <c r="D2191" s="460" t="s">
        <v>2358</v>
      </c>
      <c r="E2191" s="460" t="s">
        <v>1136</v>
      </c>
      <c r="F2191" s="460">
        <v>1</v>
      </c>
      <c r="G2191" s="460">
        <v>4</v>
      </c>
      <c r="H2191" s="461" t="s">
        <v>712</v>
      </c>
      <c r="I2191" s="461" t="s">
        <v>713</v>
      </c>
      <c r="J2191" s="461" t="s">
        <v>712</v>
      </c>
      <c r="K2191" s="594"/>
      <c r="L2191" s="594"/>
      <c r="M2191" s="352">
        <v>2000</v>
      </c>
      <c r="N2191" s="352" t="s">
        <v>703</v>
      </c>
      <c r="O2191" s="460">
        <v>2222</v>
      </c>
      <c r="P2191" s="460" t="s">
        <v>1885</v>
      </c>
      <c r="Q2191" s="460" t="s">
        <v>2280</v>
      </c>
      <c r="R2191" s="460">
        <v>2121</v>
      </c>
      <c r="S2191" s="460" t="s">
        <v>1136</v>
      </c>
      <c r="T2191" s="462">
        <v>1</v>
      </c>
      <c r="U2191" s="460" t="s">
        <v>1136</v>
      </c>
      <c r="V2191" s="475">
        <v>0</v>
      </c>
      <c r="W2191" s="463" t="s">
        <v>713</v>
      </c>
      <c r="X2191" s="463" t="s">
        <v>713</v>
      </c>
      <c r="Y2191" s="463" t="s">
        <v>713</v>
      </c>
      <c r="Z2191" s="463"/>
      <c r="AA2191" s="463"/>
      <c r="AB2191" s="464">
        <v>214.59903448855164</v>
      </c>
      <c r="AC2191" s="465">
        <v>0.99928541061815179</v>
      </c>
      <c r="AD2191" s="465">
        <v>1.414287126428956E-3</v>
      </c>
      <c r="AE2191" s="476">
        <v>214.6579039825167</v>
      </c>
      <c r="AF2191" s="467">
        <v>0.99955953779020534</v>
      </c>
      <c r="AG2191" s="468">
        <v>1.4144127101217111E-3</v>
      </c>
      <c r="AH2191" s="218">
        <v>196.05819883732593</v>
      </c>
      <c r="AI2191" s="470">
        <v>0.91294957685685341</v>
      </c>
      <c r="AJ2191" s="471">
        <v>1.3049859235099133E-3</v>
      </c>
      <c r="AK2191" s="218">
        <v>196.05819883732593</v>
      </c>
      <c r="AL2191" s="470">
        <v>0.91294957685685341</v>
      </c>
      <c r="AM2191" s="471">
        <v>1.3049859235099133E-3</v>
      </c>
      <c r="AN2191" s="477">
        <v>196.05819883732593</v>
      </c>
      <c r="AO2191" s="473">
        <v>0.91294957685685341</v>
      </c>
      <c r="AP2191" s="474">
        <v>1.3028625291798372E-3</v>
      </c>
      <c r="AQ2191" s="352"/>
      <c r="AR2191" s="352"/>
      <c r="AS2191" s="352"/>
      <c r="AT2191" s="352"/>
      <c r="AU2191" s="352"/>
      <c r="AV2191" s="352"/>
      <c r="AW2191" s="352" t="s">
        <v>254</v>
      </c>
    </row>
    <row r="2192" spans="2:49" x14ac:dyDescent="0.2">
      <c r="B2192" s="460" t="s">
        <v>3014</v>
      </c>
      <c r="C2192" s="460">
        <v>2222</v>
      </c>
      <c r="D2192" s="460" t="s">
        <v>2359</v>
      </c>
      <c r="E2192" s="460" t="s">
        <v>1137</v>
      </c>
      <c r="F2192" s="460">
        <v>2</v>
      </c>
      <c r="G2192" s="460">
        <v>4</v>
      </c>
      <c r="H2192" s="461" t="s">
        <v>712</v>
      </c>
      <c r="I2192" s="461" t="s">
        <v>713</v>
      </c>
      <c r="J2192" s="461" t="s">
        <v>712</v>
      </c>
      <c r="K2192" s="594"/>
      <c r="L2192" s="594"/>
      <c r="M2192" s="352">
        <v>2000</v>
      </c>
      <c r="N2192" s="352" t="s">
        <v>703</v>
      </c>
      <c r="O2192" s="460">
        <v>2222</v>
      </c>
      <c r="P2192" s="460" t="s">
        <v>1885</v>
      </c>
      <c r="Q2192" s="460" t="s">
        <v>2280</v>
      </c>
      <c r="R2192" s="460">
        <v>2121</v>
      </c>
      <c r="S2192" s="460" t="s">
        <v>1137</v>
      </c>
      <c r="T2192" s="462">
        <v>1</v>
      </c>
      <c r="U2192" s="460" t="s">
        <v>1137</v>
      </c>
      <c r="V2192" s="475">
        <v>0</v>
      </c>
      <c r="W2192" s="463" t="s">
        <v>713</v>
      </c>
      <c r="X2192" s="463" t="s">
        <v>713</v>
      </c>
      <c r="Y2192" s="463" t="s">
        <v>713</v>
      </c>
      <c r="Z2192" s="463"/>
      <c r="AA2192" s="463"/>
      <c r="AB2192" s="464">
        <v>328.42804663823273</v>
      </c>
      <c r="AC2192" s="465">
        <v>0.99435564504459983</v>
      </c>
      <c r="AD2192" s="465">
        <v>1.8993446988757772E-3</v>
      </c>
      <c r="AE2192" s="476">
        <v>329.16978628096882</v>
      </c>
      <c r="AF2192" s="467">
        <v>0.9966013515500507</v>
      </c>
      <c r="AG2192" s="468">
        <v>1.9001412740268615E-3</v>
      </c>
      <c r="AH2192" s="218">
        <v>325.41455118688538</v>
      </c>
      <c r="AI2192" s="470">
        <v>0.98523192298725637</v>
      </c>
      <c r="AJ2192" s="471">
        <v>1.8873778047691428E-3</v>
      </c>
      <c r="AK2192" s="218">
        <v>325.41455118688538</v>
      </c>
      <c r="AL2192" s="470">
        <v>0.98523192298725637</v>
      </c>
      <c r="AM2192" s="471">
        <v>1.8873778047691428E-3</v>
      </c>
      <c r="AN2192" s="477">
        <v>325.41455118688538</v>
      </c>
      <c r="AO2192" s="473">
        <v>0.98523192298725637</v>
      </c>
      <c r="AP2192" s="474">
        <v>1.8858204473301879E-3</v>
      </c>
      <c r="AQ2192" s="352"/>
      <c r="AR2192" s="352"/>
      <c r="AS2192" s="352"/>
      <c r="AT2192" s="352"/>
      <c r="AU2192" s="352"/>
      <c r="AV2192" s="352"/>
      <c r="AW2192" s="352" t="s">
        <v>254</v>
      </c>
    </row>
    <row r="2193" spans="2:49" x14ac:dyDescent="0.2">
      <c r="B2193" s="460" t="s">
        <v>3015</v>
      </c>
      <c r="C2193" s="460">
        <v>2222</v>
      </c>
      <c r="D2193" s="460" t="s">
        <v>2360</v>
      </c>
      <c r="E2193" s="460" t="s">
        <v>1138</v>
      </c>
      <c r="F2193" s="460">
        <v>3</v>
      </c>
      <c r="G2193" s="460">
        <v>4</v>
      </c>
      <c r="H2193" s="461" t="s">
        <v>712</v>
      </c>
      <c r="I2193" s="461" t="s">
        <v>713</v>
      </c>
      <c r="J2193" s="461" t="s">
        <v>712</v>
      </c>
      <c r="K2193" s="594"/>
      <c r="L2193" s="594"/>
      <c r="M2193" s="352">
        <v>2000</v>
      </c>
      <c r="N2193" s="352" t="s">
        <v>703</v>
      </c>
      <c r="O2193" s="460">
        <v>2222</v>
      </c>
      <c r="P2193" s="460" t="s">
        <v>1885</v>
      </c>
      <c r="Q2193" s="460" t="s">
        <v>2280</v>
      </c>
      <c r="R2193" s="460">
        <v>2121</v>
      </c>
      <c r="S2193" s="460" t="s">
        <v>1138</v>
      </c>
      <c r="T2193" s="462">
        <v>1</v>
      </c>
      <c r="U2193" s="460" t="s">
        <v>1138</v>
      </c>
      <c r="V2193" s="475">
        <v>0</v>
      </c>
      <c r="W2193" s="463" t="s">
        <v>713</v>
      </c>
      <c r="X2193" s="463" t="s">
        <v>713</v>
      </c>
      <c r="Y2193" s="463" t="s">
        <v>713</v>
      </c>
      <c r="Z2193" s="463"/>
      <c r="AA2193" s="463"/>
      <c r="AB2193" s="464">
        <v>138.63782594595997</v>
      </c>
      <c r="AC2193" s="465">
        <v>0.9928344065436937</v>
      </c>
      <c r="AD2193" s="465">
        <v>1.7301372215493716E-3</v>
      </c>
      <c r="AE2193" s="476">
        <v>139.0370364770304</v>
      </c>
      <c r="AF2193" s="467">
        <v>0.99569329406588991</v>
      </c>
      <c r="AG2193" s="468">
        <v>1.7313547677932839E-3</v>
      </c>
      <c r="AH2193" s="218">
        <v>127.25195999904885</v>
      </c>
      <c r="AI2193" s="470">
        <v>0.91129620163276359</v>
      </c>
      <c r="AJ2193" s="471">
        <v>1.603181478475443E-3</v>
      </c>
      <c r="AK2193" s="218">
        <v>127.25195999904885</v>
      </c>
      <c r="AL2193" s="470">
        <v>0.91129620163276359</v>
      </c>
      <c r="AM2193" s="471">
        <v>1.603181478475443E-3</v>
      </c>
      <c r="AN2193" s="477">
        <v>127.25195999904885</v>
      </c>
      <c r="AO2193" s="473">
        <v>0.91129620163276359</v>
      </c>
      <c r="AP2193" s="474">
        <v>1.6030606561682225E-3</v>
      </c>
      <c r="AQ2193" s="352"/>
      <c r="AR2193" s="352"/>
      <c r="AS2193" s="352"/>
      <c r="AT2193" s="352"/>
      <c r="AU2193" s="352"/>
      <c r="AV2193" s="352"/>
      <c r="AW2193" s="352" t="s">
        <v>254</v>
      </c>
    </row>
    <row r="2194" spans="2:49" x14ac:dyDescent="0.2">
      <c r="B2194" s="460" t="s">
        <v>3016</v>
      </c>
      <c r="C2194" s="460">
        <v>2222</v>
      </c>
      <c r="D2194" s="460" t="s">
        <v>2361</v>
      </c>
      <c r="E2194" s="460" t="s">
        <v>1139</v>
      </c>
      <c r="F2194" s="460">
        <v>4</v>
      </c>
      <c r="G2194" s="460">
        <v>4</v>
      </c>
      <c r="H2194" s="461" t="s">
        <v>712</v>
      </c>
      <c r="I2194" s="461" t="s">
        <v>713</v>
      </c>
      <c r="J2194" s="461" t="s">
        <v>712</v>
      </c>
      <c r="K2194" s="594"/>
      <c r="L2194" s="594"/>
      <c r="M2194" s="352">
        <v>2000</v>
      </c>
      <c r="N2194" s="352" t="s">
        <v>703</v>
      </c>
      <c r="O2194" s="460">
        <v>2222</v>
      </c>
      <c r="P2194" s="460" t="s">
        <v>1885</v>
      </c>
      <c r="Q2194" s="460" t="s">
        <v>2280</v>
      </c>
      <c r="R2194" s="460">
        <v>2121</v>
      </c>
      <c r="S2194" s="460" t="s">
        <v>1139</v>
      </c>
      <c r="T2194" s="462">
        <v>1</v>
      </c>
      <c r="U2194" s="460" t="s">
        <v>1139</v>
      </c>
      <c r="V2194" s="475">
        <v>0</v>
      </c>
      <c r="W2194" s="463" t="s">
        <v>713</v>
      </c>
      <c r="X2194" s="463" t="s">
        <v>713</v>
      </c>
      <c r="Y2194" s="463" t="s">
        <v>713</v>
      </c>
      <c r="Z2194" s="463"/>
      <c r="AA2194" s="463"/>
      <c r="AB2194" s="464">
        <v>158.3190447948981</v>
      </c>
      <c r="AC2194" s="465">
        <v>0.99924269941813659</v>
      </c>
      <c r="AD2194" s="465">
        <v>1.7529457215710762E-3</v>
      </c>
      <c r="AE2194" s="476">
        <v>158.3190447948981</v>
      </c>
      <c r="AF2194" s="467">
        <v>0.99924269941813648</v>
      </c>
      <c r="AG2194" s="468">
        <v>1.7529457215710762E-3</v>
      </c>
      <c r="AH2194" s="218">
        <v>59.765533741842056</v>
      </c>
      <c r="AI2194" s="470">
        <v>0.37721471441247911</v>
      </c>
      <c r="AJ2194" s="471">
        <v>6.7597062196023041E-4</v>
      </c>
      <c r="AK2194" s="218">
        <v>59.765533741842056</v>
      </c>
      <c r="AL2194" s="470">
        <v>0.37721471441247911</v>
      </c>
      <c r="AM2194" s="471">
        <v>6.7597062196023041E-4</v>
      </c>
      <c r="AN2194" s="477">
        <v>59.765533741842056</v>
      </c>
      <c r="AO2194" s="473">
        <v>0.37721471441247911</v>
      </c>
      <c r="AP2194" s="474">
        <v>6.7597062196023041E-4</v>
      </c>
      <c r="AQ2194" s="352"/>
      <c r="AR2194" s="352"/>
      <c r="AS2194" s="352"/>
      <c r="AT2194" s="352"/>
      <c r="AU2194" s="352"/>
      <c r="AV2194" s="352"/>
      <c r="AW2194" s="352" t="s">
        <v>254</v>
      </c>
    </row>
    <row r="2195" spans="2:49" x14ac:dyDescent="0.2">
      <c r="B2195" s="460" t="s">
        <v>3013</v>
      </c>
      <c r="C2195" s="460">
        <v>2222</v>
      </c>
      <c r="D2195" s="460" t="s">
        <v>2362</v>
      </c>
      <c r="E2195" s="460" t="s">
        <v>1136</v>
      </c>
      <c r="F2195" s="460">
        <v>1</v>
      </c>
      <c r="G2195" s="460">
        <v>4</v>
      </c>
      <c r="H2195" s="461" t="s">
        <v>746</v>
      </c>
      <c r="I2195" s="461" t="s">
        <v>762</v>
      </c>
      <c r="J2195" s="461" t="s">
        <v>700</v>
      </c>
      <c r="K2195" s="594"/>
      <c r="L2195" s="594"/>
      <c r="M2195" s="352">
        <v>2000</v>
      </c>
      <c r="N2195" s="352" t="s">
        <v>703</v>
      </c>
      <c r="O2195" s="460">
        <v>2222</v>
      </c>
      <c r="P2195" s="460" t="s">
        <v>1885</v>
      </c>
      <c r="Q2195" s="460" t="s">
        <v>3000</v>
      </c>
      <c r="R2195" s="460">
        <v>2121</v>
      </c>
      <c r="S2195" s="460" t="s">
        <v>1136</v>
      </c>
      <c r="T2195" s="462">
        <v>1</v>
      </c>
      <c r="U2195" s="460" t="s">
        <v>1136</v>
      </c>
      <c r="V2195" s="475">
        <v>0</v>
      </c>
      <c r="W2195" s="463" t="s">
        <v>2268</v>
      </c>
      <c r="X2195" s="463" t="s">
        <v>2268</v>
      </c>
      <c r="Y2195" s="463" t="s">
        <v>2554</v>
      </c>
      <c r="Z2195" s="463"/>
      <c r="AA2195" s="463"/>
      <c r="AB2195" s="464">
        <v>0</v>
      </c>
      <c r="AC2195" s="465">
        <v>0</v>
      </c>
      <c r="AD2195" s="465">
        <v>0</v>
      </c>
      <c r="AE2195" s="476">
        <v>0</v>
      </c>
      <c r="AF2195" s="467">
        <v>0</v>
      </c>
      <c r="AG2195" s="468">
        <v>0</v>
      </c>
      <c r="AH2195" s="218">
        <v>0</v>
      </c>
      <c r="AI2195" s="470">
        <v>0</v>
      </c>
      <c r="AJ2195" s="471">
        <v>0</v>
      </c>
      <c r="AK2195" s="218">
        <v>0</v>
      </c>
      <c r="AL2195" s="470">
        <v>0</v>
      </c>
      <c r="AM2195" s="471">
        <v>0</v>
      </c>
      <c r="AN2195" s="477">
        <v>2.9434746982531148E-2</v>
      </c>
      <c r="AO2195" s="473">
        <v>1.3706358602675445E-4</v>
      </c>
      <c r="AP2195" s="474">
        <v>1.3276516510095187E-4</v>
      </c>
      <c r="AQ2195" s="352"/>
      <c r="AR2195" s="352"/>
      <c r="AS2195" s="352"/>
      <c r="AT2195" s="352"/>
      <c r="AU2195" s="352"/>
      <c r="AV2195" s="352"/>
      <c r="AW2195" s="352" t="s">
        <v>254</v>
      </c>
    </row>
    <row r="2196" spans="2:49" x14ac:dyDescent="0.2">
      <c r="B2196" s="460" t="s">
        <v>3014</v>
      </c>
      <c r="C2196" s="460">
        <v>2222</v>
      </c>
      <c r="D2196" s="460" t="s">
        <v>2363</v>
      </c>
      <c r="E2196" s="460" t="s">
        <v>1137</v>
      </c>
      <c r="F2196" s="460">
        <v>2</v>
      </c>
      <c r="G2196" s="460">
        <v>4</v>
      </c>
      <c r="H2196" s="461" t="s">
        <v>746</v>
      </c>
      <c r="I2196" s="461" t="s">
        <v>762</v>
      </c>
      <c r="J2196" s="461" t="s">
        <v>700</v>
      </c>
      <c r="K2196" s="594"/>
      <c r="L2196" s="594"/>
      <c r="M2196" s="352">
        <v>2000</v>
      </c>
      <c r="N2196" s="352" t="s">
        <v>703</v>
      </c>
      <c r="O2196" s="460">
        <v>2222</v>
      </c>
      <c r="P2196" s="460" t="s">
        <v>1885</v>
      </c>
      <c r="Q2196" s="460" t="s">
        <v>3000</v>
      </c>
      <c r="R2196" s="460">
        <v>2121</v>
      </c>
      <c r="S2196" s="460" t="s">
        <v>1137</v>
      </c>
      <c r="T2196" s="462">
        <v>1</v>
      </c>
      <c r="U2196" s="460" t="s">
        <v>1137</v>
      </c>
      <c r="V2196" s="475">
        <v>0</v>
      </c>
      <c r="W2196" s="463" t="s">
        <v>2268</v>
      </c>
      <c r="X2196" s="463" t="s">
        <v>2268</v>
      </c>
      <c r="Y2196" s="463" t="s">
        <v>2554</v>
      </c>
      <c r="Z2196" s="463"/>
      <c r="AA2196" s="463"/>
      <c r="AB2196" s="464">
        <v>0</v>
      </c>
      <c r="AC2196" s="465">
        <v>0</v>
      </c>
      <c r="AD2196" s="465">
        <v>0</v>
      </c>
      <c r="AE2196" s="476">
        <v>0</v>
      </c>
      <c r="AF2196" s="467">
        <v>0</v>
      </c>
      <c r="AG2196" s="468">
        <v>0</v>
      </c>
      <c r="AH2196" s="218">
        <v>0</v>
      </c>
      <c r="AI2196" s="470">
        <v>0</v>
      </c>
      <c r="AJ2196" s="471">
        <v>0</v>
      </c>
      <c r="AK2196" s="218">
        <v>0</v>
      </c>
      <c r="AL2196" s="470">
        <v>0</v>
      </c>
      <c r="AM2196" s="471">
        <v>0</v>
      </c>
      <c r="AN2196" s="477">
        <v>0.37086982136803204</v>
      </c>
      <c r="AO2196" s="473">
        <v>1.122853252725388E-3</v>
      </c>
      <c r="AP2196" s="474">
        <v>1.0134521294750415E-4</v>
      </c>
      <c r="AQ2196" s="352"/>
      <c r="AR2196" s="352"/>
      <c r="AS2196" s="352"/>
      <c r="AT2196" s="352"/>
      <c r="AU2196" s="352"/>
      <c r="AV2196" s="352"/>
      <c r="AW2196" s="352" t="s">
        <v>254</v>
      </c>
    </row>
    <row r="2197" spans="2:49" x14ac:dyDescent="0.2">
      <c r="B2197" s="460" t="s">
        <v>3015</v>
      </c>
      <c r="C2197" s="460">
        <v>2222</v>
      </c>
      <c r="D2197" s="460" t="s">
        <v>2364</v>
      </c>
      <c r="E2197" s="460" t="s">
        <v>1138</v>
      </c>
      <c r="F2197" s="460">
        <v>3</v>
      </c>
      <c r="G2197" s="460">
        <v>4</v>
      </c>
      <c r="H2197" s="461" t="s">
        <v>746</v>
      </c>
      <c r="I2197" s="461" t="s">
        <v>762</v>
      </c>
      <c r="J2197" s="461" t="s">
        <v>700</v>
      </c>
      <c r="K2197" s="594"/>
      <c r="L2197" s="594"/>
      <c r="M2197" s="352">
        <v>2000</v>
      </c>
      <c r="N2197" s="352" t="s">
        <v>703</v>
      </c>
      <c r="O2197" s="460">
        <v>2222</v>
      </c>
      <c r="P2197" s="460" t="s">
        <v>1885</v>
      </c>
      <c r="Q2197" s="460" t="s">
        <v>3000</v>
      </c>
      <c r="R2197" s="460">
        <v>2121</v>
      </c>
      <c r="S2197" s="460" t="s">
        <v>1138</v>
      </c>
      <c r="T2197" s="462">
        <v>1</v>
      </c>
      <c r="U2197" s="460" t="s">
        <v>1138</v>
      </c>
      <c r="V2197" s="475">
        <v>0</v>
      </c>
      <c r="W2197" s="463" t="s">
        <v>2268</v>
      </c>
      <c r="X2197" s="463" t="s">
        <v>2268</v>
      </c>
      <c r="Y2197" s="463" t="s">
        <v>2554</v>
      </c>
      <c r="Z2197" s="463"/>
      <c r="AA2197" s="463"/>
      <c r="AB2197" s="464">
        <v>0</v>
      </c>
      <c r="AC2197" s="465">
        <v>0</v>
      </c>
      <c r="AD2197" s="465">
        <v>0</v>
      </c>
      <c r="AE2197" s="476">
        <v>0</v>
      </c>
      <c r="AF2197" s="467">
        <v>0</v>
      </c>
      <c r="AG2197" s="468">
        <v>0</v>
      </c>
      <c r="AH2197" s="218">
        <v>0</v>
      </c>
      <c r="AI2197" s="470">
        <v>0</v>
      </c>
      <c r="AJ2197" s="471">
        <v>0</v>
      </c>
      <c r="AK2197" s="218">
        <v>0</v>
      </c>
      <c r="AL2197" s="470">
        <v>0</v>
      </c>
      <c r="AM2197" s="471">
        <v>0</v>
      </c>
      <c r="AN2197" s="477">
        <v>0.19960526553521932</v>
      </c>
      <c r="AO2197" s="473">
        <v>1.4294437610980935E-3</v>
      </c>
      <c r="AP2197" s="474">
        <v>1.0331149312197319E-4</v>
      </c>
      <c r="AQ2197" s="352"/>
      <c r="AR2197" s="352"/>
      <c r="AS2197" s="352"/>
      <c r="AT2197" s="352"/>
      <c r="AU2197" s="352"/>
      <c r="AV2197" s="352"/>
      <c r="AW2197" s="352" t="s">
        <v>254</v>
      </c>
    </row>
    <row r="2198" spans="2:49" x14ac:dyDescent="0.2">
      <c r="B2198" s="460" t="s">
        <v>3016</v>
      </c>
      <c r="C2198" s="460">
        <v>2222</v>
      </c>
      <c r="D2198" s="460" t="s">
        <v>2365</v>
      </c>
      <c r="E2198" s="460" t="s">
        <v>1139</v>
      </c>
      <c r="F2198" s="460">
        <v>4</v>
      </c>
      <c r="G2198" s="460">
        <v>4</v>
      </c>
      <c r="H2198" s="461" t="s">
        <v>746</v>
      </c>
      <c r="I2198" s="461" t="s">
        <v>762</v>
      </c>
      <c r="J2198" s="461" t="s">
        <v>700</v>
      </c>
      <c r="K2198" s="594"/>
      <c r="L2198" s="594"/>
      <c r="M2198" s="352">
        <v>2000</v>
      </c>
      <c r="N2198" s="352" t="s">
        <v>703</v>
      </c>
      <c r="O2198" s="460">
        <v>2222</v>
      </c>
      <c r="P2198" s="460" t="s">
        <v>1885</v>
      </c>
      <c r="Q2198" s="460" t="s">
        <v>3000</v>
      </c>
      <c r="R2198" s="460">
        <v>2121</v>
      </c>
      <c r="S2198" s="460" t="s">
        <v>1139</v>
      </c>
      <c r="T2198" s="462">
        <v>1</v>
      </c>
      <c r="U2198" s="460" t="s">
        <v>1139</v>
      </c>
      <c r="V2198" s="475">
        <v>0</v>
      </c>
      <c r="W2198" s="463" t="s">
        <v>2268</v>
      </c>
      <c r="X2198" s="463" t="s">
        <v>2268</v>
      </c>
      <c r="Y2198" s="463" t="s">
        <v>2554</v>
      </c>
      <c r="Z2198" s="463"/>
      <c r="AA2198" s="463"/>
      <c r="AB2198" s="464">
        <v>0</v>
      </c>
      <c r="AC2198" s="465">
        <v>0</v>
      </c>
      <c r="AD2198" s="465">
        <v>0</v>
      </c>
      <c r="AE2198" s="476">
        <v>0</v>
      </c>
      <c r="AF2198" s="467">
        <v>0</v>
      </c>
      <c r="AG2198" s="468">
        <v>0</v>
      </c>
      <c r="AH2198" s="218">
        <v>0</v>
      </c>
      <c r="AI2198" s="470">
        <v>0</v>
      </c>
      <c r="AJ2198" s="471">
        <v>0</v>
      </c>
      <c r="AK2198" s="218">
        <v>0</v>
      </c>
      <c r="AL2198" s="470">
        <v>0</v>
      </c>
      <c r="AM2198" s="471">
        <v>0</v>
      </c>
      <c r="AN2198" s="477">
        <v>0</v>
      </c>
      <c r="AO2198" s="473">
        <v>0</v>
      </c>
      <c r="AP2198" s="474">
        <v>0</v>
      </c>
      <c r="AQ2198" s="352"/>
      <c r="AR2198" s="352"/>
      <c r="AS2198" s="352"/>
      <c r="AT2198" s="352"/>
      <c r="AU2198" s="352"/>
      <c r="AV2198" s="352"/>
      <c r="AW2198" s="352" t="s">
        <v>254</v>
      </c>
    </row>
    <row r="2199" spans="2:49" x14ac:dyDescent="0.2">
      <c r="B2199" s="460" t="s">
        <v>3013</v>
      </c>
      <c r="C2199" s="460">
        <v>2222</v>
      </c>
      <c r="D2199" s="460" t="s">
        <v>2366</v>
      </c>
      <c r="E2199" s="460" t="s">
        <v>1136</v>
      </c>
      <c r="F2199" s="460">
        <v>1</v>
      </c>
      <c r="G2199" s="460">
        <v>4</v>
      </c>
      <c r="H2199" s="461" t="s">
        <v>748</v>
      </c>
      <c r="I2199" s="461" t="s">
        <v>765</v>
      </c>
      <c r="J2199" s="461" t="s">
        <v>700</v>
      </c>
      <c r="K2199" s="594"/>
      <c r="L2199" s="594"/>
      <c r="M2199" s="352">
        <v>2000</v>
      </c>
      <c r="N2199" s="352" t="s">
        <v>703</v>
      </c>
      <c r="O2199" s="460">
        <v>2222</v>
      </c>
      <c r="P2199" s="460" t="s">
        <v>1885</v>
      </c>
      <c r="Q2199" s="460" t="s">
        <v>3000</v>
      </c>
      <c r="R2199" s="460">
        <v>2121</v>
      </c>
      <c r="S2199" s="460" t="s">
        <v>1136</v>
      </c>
      <c r="T2199" s="462">
        <v>1</v>
      </c>
      <c r="U2199" s="460" t="s">
        <v>1136</v>
      </c>
      <c r="V2199" s="475">
        <v>0</v>
      </c>
      <c r="W2199" s="463" t="s">
        <v>2268</v>
      </c>
      <c r="X2199" s="463" t="s">
        <v>2268</v>
      </c>
      <c r="Y2199" s="463" t="s">
        <v>2554</v>
      </c>
      <c r="Z2199" s="463"/>
      <c r="AA2199" s="463"/>
      <c r="AB2199" s="464">
        <v>0</v>
      </c>
      <c r="AC2199" s="465">
        <v>0</v>
      </c>
      <c r="AD2199" s="465">
        <v>0</v>
      </c>
      <c r="AE2199" s="476">
        <v>0</v>
      </c>
      <c r="AF2199" s="467">
        <v>0</v>
      </c>
      <c r="AG2199" s="468">
        <v>0</v>
      </c>
      <c r="AH2199" s="218">
        <v>0</v>
      </c>
      <c r="AI2199" s="470">
        <v>0</v>
      </c>
      <c r="AJ2199" s="471">
        <v>0</v>
      </c>
      <c r="AK2199" s="218">
        <v>0</v>
      </c>
      <c r="AL2199" s="470">
        <v>0</v>
      </c>
      <c r="AM2199" s="471">
        <v>0</v>
      </c>
      <c r="AN2199" s="477">
        <v>5.886949396506231E-2</v>
      </c>
      <c r="AO2199" s="473">
        <v>2.7412717205350896E-4</v>
      </c>
      <c r="AP2199" s="474">
        <v>7.2329865566820196E-5</v>
      </c>
      <c r="AQ2199" s="352"/>
      <c r="AR2199" s="352"/>
      <c r="AS2199" s="352"/>
      <c r="AT2199" s="352"/>
      <c r="AU2199" s="352"/>
      <c r="AV2199" s="352"/>
      <c r="AW2199" s="352" t="s">
        <v>254</v>
      </c>
    </row>
    <row r="2200" spans="2:49" x14ac:dyDescent="0.2">
      <c r="B2200" s="460" t="s">
        <v>3014</v>
      </c>
      <c r="C2200" s="460">
        <v>2222</v>
      </c>
      <c r="D2200" s="460" t="s">
        <v>2367</v>
      </c>
      <c r="E2200" s="460" t="s">
        <v>1137</v>
      </c>
      <c r="F2200" s="460">
        <v>2</v>
      </c>
      <c r="G2200" s="460">
        <v>4</v>
      </c>
      <c r="H2200" s="461" t="s">
        <v>748</v>
      </c>
      <c r="I2200" s="461" t="s">
        <v>765</v>
      </c>
      <c r="J2200" s="461" t="s">
        <v>700</v>
      </c>
      <c r="K2200" s="594"/>
      <c r="L2200" s="594"/>
      <c r="M2200" s="352">
        <v>2000</v>
      </c>
      <c r="N2200" s="352" t="s">
        <v>703</v>
      </c>
      <c r="O2200" s="460">
        <v>2222</v>
      </c>
      <c r="P2200" s="460" t="s">
        <v>1885</v>
      </c>
      <c r="Q2200" s="460" t="s">
        <v>3000</v>
      </c>
      <c r="R2200" s="460">
        <v>2121</v>
      </c>
      <c r="S2200" s="460" t="s">
        <v>1137</v>
      </c>
      <c r="T2200" s="462">
        <v>1</v>
      </c>
      <c r="U2200" s="460" t="s">
        <v>1137</v>
      </c>
      <c r="V2200" s="475">
        <v>0</v>
      </c>
      <c r="W2200" s="463" t="s">
        <v>2268</v>
      </c>
      <c r="X2200" s="463" t="s">
        <v>2268</v>
      </c>
      <c r="Y2200" s="463" t="s">
        <v>2554</v>
      </c>
      <c r="Z2200" s="463"/>
      <c r="AA2200" s="463"/>
      <c r="AB2200" s="464">
        <v>0</v>
      </c>
      <c r="AC2200" s="465">
        <v>0</v>
      </c>
      <c r="AD2200" s="465">
        <v>0</v>
      </c>
      <c r="AE2200" s="476">
        <v>0</v>
      </c>
      <c r="AF2200" s="467">
        <v>0</v>
      </c>
      <c r="AG2200" s="468">
        <v>0</v>
      </c>
      <c r="AH2200" s="218">
        <v>0</v>
      </c>
      <c r="AI2200" s="470">
        <v>0</v>
      </c>
      <c r="AJ2200" s="471">
        <v>0</v>
      </c>
      <c r="AK2200" s="218">
        <v>0</v>
      </c>
      <c r="AL2200" s="470">
        <v>0</v>
      </c>
      <c r="AM2200" s="471">
        <v>0</v>
      </c>
      <c r="AN2200" s="477">
        <v>0.74173964273606419</v>
      </c>
      <c r="AO2200" s="473">
        <v>2.2457065054507764E-3</v>
      </c>
      <c r="AP2200" s="474">
        <v>7.1445184681761024E-4</v>
      </c>
      <c r="AQ2200" s="352"/>
      <c r="AR2200" s="352"/>
      <c r="AS2200" s="352"/>
      <c r="AT2200" s="352"/>
      <c r="AU2200" s="352"/>
      <c r="AV2200" s="352"/>
      <c r="AW2200" s="352" t="s">
        <v>254</v>
      </c>
    </row>
    <row r="2201" spans="2:49" x14ac:dyDescent="0.2">
      <c r="B2201" s="460" t="s">
        <v>3015</v>
      </c>
      <c r="C2201" s="460">
        <v>2222</v>
      </c>
      <c r="D2201" s="460" t="s">
        <v>2368</v>
      </c>
      <c r="E2201" s="460" t="s">
        <v>1138</v>
      </c>
      <c r="F2201" s="460">
        <v>3</v>
      </c>
      <c r="G2201" s="460">
        <v>4</v>
      </c>
      <c r="H2201" s="461" t="s">
        <v>748</v>
      </c>
      <c r="I2201" s="461" t="s">
        <v>765</v>
      </c>
      <c r="J2201" s="461" t="s">
        <v>700</v>
      </c>
      <c r="K2201" s="594"/>
      <c r="L2201" s="594"/>
      <c r="M2201" s="352">
        <v>2000</v>
      </c>
      <c r="N2201" s="352" t="s">
        <v>703</v>
      </c>
      <c r="O2201" s="460">
        <v>2222</v>
      </c>
      <c r="P2201" s="460" t="s">
        <v>1885</v>
      </c>
      <c r="Q2201" s="460" t="s">
        <v>3000</v>
      </c>
      <c r="R2201" s="460">
        <v>2121</v>
      </c>
      <c r="S2201" s="460" t="s">
        <v>1138</v>
      </c>
      <c r="T2201" s="462">
        <v>1</v>
      </c>
      <c r="U2201" s="460" t="s">
        <v>1138</v>
      </c>
      <c r="V2201" s="475">
        <v>0</v>
      </c>
      <c r="W2201" s="463" t="s">
        <v>2268</v>
      </c>
      <c r="X2201" s="463" t="s">
        <v>2268</v>
      </c>
      <c r="Y2201" s="463" t="s">
        <v>2554</v>
      </c>
      <c r="Z2201" s="463"/>
      <c r="AA2201" s="463"/>
      <c r="AB2201" s="464">
        <v>0</v>
      </c>
      <c r="AC2201" s="465">
        <v>0</v>
      </c>
      <c r="AD2201" s="465">
        <v>0</v>
      </c>
      <c r="AE2201" s="476">
        <v>0</v>
      </c>
      <c r="AF2201" s="467">
        <v>0</v>
      </c>
      <c r="AG2201" s="468">
        <v>0</v>
      </c>
      <c r="AH2201" s="218">
        <v>0</v>
      </c>
      <c r="AI2201" s="470">
        <v>0</v>
      </c>
      <c r="AJ2201" s="471">
        <v>0</v>
      </c>
      <c r="AK2201" s="218">
        <v>0</v>
      </c>
      <c r="AL2201" s="470">
        <v>0</v>
      </c>
      <c r="AM2201" s="471">
        <v>0</v>
      </c>
      <c r="AN2201" s="477">
        <v>0.39921053107043875</v>
      </c>
      <c r="AO2201" s="473">
        <v>2.8588875221961878E-3</v>
      </c>
      <c r="AP2201" s="474">
        <v>4.1420108438229049E-4</v>
      </c>
      <c r="AQ2201" s="352"/>
      <c r="AR2201" s="352"/>
      <c r="AS2201" s="352"/>
      <c r="AT2201" s="352"/>
      <c r="AU2201" s="352"/>
      <c r="AV2201" s="352"/>
      <c r="AW2201" s="352" t="s">
        <v>254</v>
      </c>
    </row>
    <row r="2202" spans="2:49" x14ac:dyDescent="0.2">
      <c r="B2202" s="460" t="s">
        <v>3016</v>
      </c>
      <c r="C2202" s="460">
        <v>2222</v>
      </c>
      <c r="D2202" s="460" t="s">
        <v>2369</v>
      </c>
      <c r="E2202" s="460" t="s">
        <v>1139</v>
      </c>
      <c r="F2202" s="460">
        <v>4</v>
      </c>
      <c r="G2202" s="460">
        <v>4</v>
      </c>
      <c r="H2202" s="461" t="s">
        <v>748</v>
      </c>
      <c r="I2202" s="461" t="s">
        <v>765</v>
      </c>
      <c r="J2202" s="461" t="s">
        <v>700</v>
      </c>
      <c r="K2202" s="594"/>
      <c r="L2202" s="594"/>
      <c r="M2202" s="352">
        <v>2000</v>
      </c>
      <c r="N2202" s="352" t="s">
        <v>703</v>
      </c>
      <c r="O2202" s="460">
        <v>2222</v>
      </c>
      <c r="P2202" s="460" t="s">
        <v>1885</v>
      </c>
      <c r="Q2202" s="460" t="s">
        <v>3000</v>
      </c>
      <c r="R2202" s="460">
        <v>2121</v>
      </c>
      <c r="S2202" s="460" t="s">
        <v>1139</v>
      </c>
      <c r="T2202" s="462">
        <v>1</v>
      </c>
      <c r="U2202" s="460" t="s">
        <v>1139</v>
      </c>
      <c r="V2202" s="475">
        <v>0</v>
      </c>
      <c r="W2202" s="463" t="s">
        <v>2268</v>
      </c>
      <c r="X2202" s="463" t="s">
        <v>2268</v>
      </c>
      <c r="Y2202" s="463" t="s">
        <v>2554</v>
      </c>
      <c r="Z2202" s="463"/>
      <c r="AA2202" s="463"/>
      <c r="AB2202" s="464">
        <v>0</v>
      </c>
      <c r="AC2202" s="465">
        <v>0</v>
      </c>
      <c r="AD2202" s="465">
        <v>0</v>
      </c>
      <c r="AE2202" s="476">
        <v>0</v>
      </c>
      <c r="AF2202" s="467">
        <v>0</v>
      </c>
      <c r="AG2202" s="468">
        <v>0</v>
      </c>
      <c r="AH2202" s="218">
        <v>0</v>
      </c>
      <c r="AI2202" s="470">
        <v>0</v>
      </c>
      <c r="AJ2202" s="471">
        <v>0</v>
      </c>
      <c r="AK2202" s="218">
        <v>0</v>
      </c>
      <c r="AL2202" s="470">
        <v>0</v>
      </c>
      <c r="AM2202" s="471">
        <v>0</v>
      </c>
      <c r="AN2202" s="477">
        <v>0</v>
      </c>
      <c r="AO2202" s="473">
        <v>0</v>
      </c>
      <c r="AP2202" s="474">
        <v>0</v>
      </c>
      <c r="AQ2202" s="352"/>
      <c r="AR2202" s="352"/>
      <c r="AS2202" s="352"/>
      <c r="AT2202" s="352"/>
      <c r="AU2202" s="352"/>
      <c r="AV2202" s="352"/>
      <c r="AW2202" s="352" t="s">
        <v>254</v>
      </c>
    </row>
    <row r="2203" spans="2:49" x14ac:dyDescent="0.2">
      <c r="B2203" s="460" t="s">
        <v>3013</v>
      </c>
      <c r="C2203" s="460">
        <v>2222</v>
      </c>
      <c r="D2203" s="460" t="s">
        <v>2370</v>
      </c>
      <c r="E2203" s="460" t="s">
        <v>1136</v>
      </c>
      <c r="F2203" s="460">
        <v>1</v>
      </c>
      <c r="G2203" s="460">
        <v>4</v>
      </c>
      <c r="H2203" s="461" t="s">
        <v>752</v>
      </c>
      <c r="I2203" s="461" t="s">
        <v>964</v>
      </c>
      <c r="J2203" s="461" t="s">
        <v>752</v>
      </c>
      <c r="K2203" s="594"/>
      <c r="L2203" s="594"/>
      <c r="M2203" s="352">
        <v>2000</v>
      </c>
      <c r="N2203" s="352" t="s">
        <v>703</v>
      </c>
      <c r="O2203" s="460">
        <v>2222</v>
      </c>
      <c r="P2203" s="460" t="s">
        <v>1885</v>
      </c>
      <c r="Q2203" s="460" t="s">
        <v>3012</v>
      </c>
      <c r="R2203" s="460">
        <v>2121</v>
      </c>
      <c r="S2203" s="460" t="s">
        <v>1136</v>
      </c>
      <c r="T2203" s="462">
        <v>1</v>
      </c>
      <c r="U2203" s="460" t="s">
        <v>1136</v>
      </c>
      <c r="V2203" s="475">
        <v>0</v>
      </c>
      <c r="W2203" s="463" t="s">
        <v>2278</v>
      </c>
      <c r="X2203" s="463" t="s">
        <v>2267</v>
      </c>
      <c r="Y2203" s="463" t="s">
        <v>2267</v>
      </c>
      <c r="Z2203" s="463"/>
      <c r="AA2203" s="463"/>
      <c r="AB2203" s="464">
        <v>6.2861172686298535E-3</v>
      </c>
      <c r="AC2203" s="465">
        <v>2.9271451714344726E-5</v>
      </c>
      <c r="AD2203" s="465">
        <v>2.0356858003657785E-6</v>
      </c>
      <c r="AE2203" s="476">
        <v>6.2861172686298535E-3</v>
      </c>
      <c r="AF2203" s="467">
        <v>2.9271451714344726E-5</v>
      </c>
      <c r="AG2203" s="468">
        <v>2.0356858003657785E-6</v>
      </c>
      <c r="AH2203" s="218">
        <v>18.605991262459408</v>
      </c>
      <c r="AI2203" s="470">
        <v>8.663923238506635E-2</v>
      </c>
      <c r="AJ2203" s="471">
        <v>5.086779721323445E-3</v>
      </c>
      <c r="AK2203" s="218">
        <v>18.605991262459408</v>
      </c>
      <c r="AL2203" s="470">
        <v>8.663923238506635E-2</v>
      </c>
      <c r="AM2203" s="471">
        <v>5.086779721323445E-3</v>
      </c>
      <c r="AN2203" s="477">
        <v>18.605991262459408</v>
      </c>
      <c r="AO2203" s="473">
        <v>8.663923238506635E-2</v>
      </c>
      <c r="AP2203" s="474">
        <v>5.086779721323445E-3</v>
      </c>
      <c r="AQ2203" s="352"/>
      <c r="AR2203" s="352"/>
      <c r="AS2203" s="352"/>
      <c r="AT2203" s="352"/>
      <c r="AU2203" s="352"/>
      <c r="AV2203" s="352"/>
      <c r="AW2203" s="352" t="s">
        <v>254</v>
      </c>
    </row>
    <row r="2204" spans="2:49" x14ac:dyDescent="0.2">
      <c r="B2204" s="460" t="s">
        <v>3014</v>
      </c>
      <c r="C2204" s="460">
        <v>2222</v>
      </c>
      <c r="D2204" s="460" t="s">
        <v>2371</v>
      </c>
      <c r="E2204" s="460" t="s">
        <v>1137</v>
      </c>
      <c r="F2204" s="460">
        <v>2</v>
      </c>
      <c r="G2204" s="460">
        <v>4</v>
      </c>
      <c r="H2204" s="461" t="s">
        <v>752</v>
      </c>
      <c r="I2204" s="461" t="s">
        <v>964</v>
      </c>
      <c r="J2204" s="461" t="s">
        <v>752</v>
      </c>
      <c r="K2204" s="594"/>
      <c r="L2204" s="594"/>
      <c r="M2204" s="352">
        <v>2000</v>
      </c>
      <c r="N2204" s="352" t="s">
        <v>703</v>
      </c>
      <c r="O2204" s="460">
        <v>2222</v>
      </c>
      <c r="P2204" s="460" t="s">
        <v>1885</v>
      </c>
      <c r="Q2204" s="460" t="s">
        <v>3012</v>
      </c>
      <c r="R2204" s="460">
        <v>2121</v>
      </c>
      <c r="S2204" s="460" t="s">
        <v>1137</v>
      </c>
      <c r="T2204" s="462">
        <v>1</v>
      </c>
      <c r="U2204" s="460" t="s">
        <v>1137</v>
      </c>
      <c r="V2204" s="475">
        <v>0</v>
      </c>
      <c r="W2204" s="463" t="s">
        <v>2278</v>
      </c>
      <c r="X2204" s="463" t="s">
        <v>2267</v>
      </c>
      <c r="Y2204" s="463" t="s">
        <v>2267</v>
      </c>
      <c r="Z2204" s="463"/>
      <c r="AA2204" s="463"/>
      <c r="AB2204" s="464">
        <v>9.9380642270274922E-3</v>
      </c>
      <c r="AC2204" s="465">
        <v>3.0088691773165431E-5</v>
      </c>
      <c r="AD2204" s="465">
        <v>9.7242905333994824E-7</v>
      </c>
      <c r="AE2204" s="476">
        <v>9.9380642270274922E-3</v>
      </c>
      <c r="AF2204" s="467">
        <v>3.0088691773165431E-5</v>
      </c>
      <c r="AG2204" s="468">
        <v>9.7242905333994824E-7</v>
      </c>
      <c r="AH2204" s="218">
        <v>3.7651731583104886</v>
      </c>
      <c r="AI2204" s="470">
        <v>1.1399517254567518E-2</v>
      </c>
      <c r="AJ2204" s="471">
        <v>3.6525049249854809E-4</v>
      </c>
      <c r="AK2204" s="218">
        <v>3.7651731583104886</v>
      </c>
      <c r="AL2204" s="470">
        <v>1.1399517254567518E-2</v>
      </c>
      <c r="AM2204" s="471">
        <v>3.6525049249854809E-4</v>
      </c>
      <c r="AN2204" s="477">
        <v>3.7651731583104886</v>
      </c>
      <c r="AO2204" s="473">
        <v>1.1399517254567518E-2</v>
      </c>
      <c r="AP2204" s="474">
        <v>3.6525049249854809E-4</v>
      </c>
      <c r="AQ2204" s="352"/>
      <c r="AR2204" s="352"/>
      <c r="AS2204" s="352"/>
      <c r="AT2204" s="352"/>
      <c r="AU2204" s="352"/>
      <c r="AV2204" s="352"/>
      <c r="AW2204" s="352" t="s">
        <v>254</v>
      </c>
    </row>
    <row r="2205" spans="2:49" x14ac:dyDescent="0.2">
      <c r="B2205" s="460" t="s">
        <v>3015</v>
      </c>
      <c r="C2205" s="460">
        <v>2222</v>
      </c>
      <c r="D2205" s="460" t="s">
        <v>2372</v>
      </c>
      <c r="E2205" s="460" t="s">
        <v>1138</v>
      </c>
      <c r="F2205" s="460">
        <v>3</v>
      </c>
      <c r="G2205" s="460">
        <v>4</v>
      </c>
      <c r="H2205" s="461" t="s">
        <v>752</v>
      </c>
      <c r="I2205" s="461" t="s">
        <v>964</v>
      </c>
      <c r="J2205" s="461" t="s">
        <v>752</v>
      </c>
      <c r="K2205" s="594"/>
      <c r="L2205" s="594"/>
      <c r="M2205" s="352">
        <v>2000</v>
      </c>
      <c r="N2205" s="352" t="s">
        <v>703</v>
      </c>
      <c r="O2205" s="460">
        <v>2222</v>
      </c>
      <c r="P2205" s="460" t="s">
        <v>1885</v>
      </c>
      <c r="Q2205" s="460" t="s">
        <v>3012</v>
      </c>
      <c r="R2205" s="460">
        <v>2121</v>
      </c>
      <c r="S2205" s="460" t="s">
        <v>1138</v>
      </c>
      <c r="T2205" s="462">
        <v>1</v>
      </c>
      <c r="U2205" s="460" t="s">
        <v>1138</v>
      </c>
      <c r="V2205" s="475">
        <v>0</v>
      </c>
      <c r="W2205" s="463" t="s">
        <v>2278</v>
      </c>
      <c r="X2205" s="463" t="s">
        <v>2267</v>
      </c>
      <c r="Y2205" s="463" t="s">
        <v>2267</v>
      </c>
      <c r="Z2205" s="463"/>
      <c r="AA2205" s="463"/>
      <c r="AB2205" s="464">
        <v>2.5658071727014961E-3</v>
      </c>
      <c r="AC2205" s="465">
        <v>1.8374650815770938E-5</v>
      </c>
      <c r="AD2205" s="465">
        <v>4.4317505370676702E-7</v>
      </c>
      <c r="AE2205" s="476">
        <v>2.5658071727014961E-3</v>
      </c>
      <c r="AF2205" s="467">
        <v>1.8374650815770938E-5</v>
      </c>
      <c r="AG2205" s="468">
        <v>4.4317505370676702E-7</v>
      </c>
      <c r="AH2205" s="218">
        <v>11.787642285154265</v>
      </c>
      <c r="AI2205" s="470">
        <v>8.4415467083942139E-2</v>
      </c>
      <c r="AJ2205" s="471">
        <v>1.9556070231281858E-3</v>
      </c>
      <c r="AK2205" s="218">
        <v>11.787642285154265</v>
      </c>
      <c r="AL2205" s="470">
        <v>8.4415467083942139E-2</v>
      </c>
      <c r="AM2205" s="471">
        <v>1.9556070231281858E-3</v>
      </c>
      <c r="AN2205" s="477">
        <v>11.787642285154265</v>
      </c>
      <c r="AO2205" s="473">
        <v>8.4415467083942139E-2</v>
      </c>
      <c r="AP2205" s="474">
        <v>1.9556070231281858E-3</v>
      </c>
      <c r="AQ2205" s="352"/>
      <c r="AR2205" s="352"/>
      <c r="AS2205" s="352"/>
      <c r="AT2205" s="352"/>
      <c r="AU2205" s="352"/>
      <c r="AV2205" s="352"/>
      <c r="AW2205" s="352" t="s">
        <v>254</v>
      </c>
    </row>
    <row r="2206" spans="2:49" x14ac:dyDescent="0.2">
      <c r="B2206" s="460" t="s">
        <v>3016</v>
      </c>
      <c r="C2206" s="460">
        <v>2222</v>
      </c>
      <c r="D2206" s="460" t="s">
        <v>2373</v>
      </c>
      <c r="E2206" s="460" t="s">
        <v>1139</v>
      </c>
      <c r="F2206" s="460">
        <v>4</v>
      </c>
      <c r="G2206" s="460">
        <v>4</v>
      </c>
      <c r="H2206" s="461" t="s">
        <v>752</v>
      </c>
      <c r="I2206" s="461" t="s">
        <v>964</v>
      </c>
      <c r="J2206" s="461" t="s">
        <v>752</v>
      </c>
      <c r="K2206" s="594"/>
      <c r="L2206" s="594"/>
      <c r="M2206" s="352">
        <v>2000</v>
      </c>
      <c r="N2206" s="352" t="s">
        <v>703</v>
      </c>
      <c r="O2206" s="460">
        <v>2222</v>
      </c>
      <c r="P2206" s="460" t="s">
        <v>1885</v>
      </c>
      <c r="Q2206" s="460" t="s">
        <v>3012</v>
      </c>
      <c r="R2206" s="460">
        <v>2121</v>
      </c>
      <c r="S2206" s="460" t="s">
        <v>1139</v>
      </c>
      <c r="T2206" s="462">
        <v>1</v>
      </c>
      <c r="U2206" s="460" t="s">
        <v>1139</v>
      </c>
      <c r="V2206" s="475">
        <v>0</v>
      </c>
      <c r="W2206" s="463" t="s">
        <v>2278</v>
      </c>
      <c r="X2206" s="463" t="s">
        <v>2267</v>
      </c>
      <c r="Y2206" s="463" t="s">
        <v>2267</v>
      </c>
      <c r="Z2206" s="463"/>
      <c r="AA2206" s="463"/>
      <c r="AB2206" s="464">
        <v>0.11998597018828622</v>
      </c>
      <c r="AC2206" s="465">
        <v>7.573005818634831E-4</v>
      </c>
      <c r="AD2206" s="465">
        <v>4.7835134216356164E-6</v>
      </c>
      <c r="AE2206" s="476">
        <v>0.11998597018828622</v>
      </c>
      <c r="AF2206" s="467">
        <v>7.573005818634831E-4</v>
      </c>
      <c r="AG2206" s="468">
        <v>4.7835134216356164E-6</v>
      </c>
      <c r="AH2206" s="218">
        <v>98.673497023244337</v>
      </c>
      <c r="AI2206" s="470">
        <v>0.62278528558752089</v>
      </c>
      <c r="AJ2206" s="471">
        <v>3.6566277993642735E-3</v>
      </c>
      <c r="AK2206" s="218">
        <v>98.673497023244337</v>
      </c>
      <c r="AL2206" s="470">
        <v>0.62278528558752089</v>
      </c>
      <c r="AM2206" s="471">
        <v>3.6566277993642735E-3</v>
      </c>
      <c r="AN2206" s="477">
        <v>98.673497023244337</v>
      </c>
      <c r="AO2206" s="473">
        <v>0.62278528558752089</v>
      </c>
      <c r="AP2206" s="474">
        <v>3.6566277993642735E-3</v>
      </c>
      <c r="AQ2206" s="352"/>
      <c r="AR2206" s="352"/>
      <c r="AS2206" s="352"/>
      <c r="AT2206" s="352"/>
      <c r="AU2206" s="352"/>
      <c r="AV2206" s="352"/>
      <c r="AW2206" s="352" t="s">
        <v>254</v>
      </c>
    </row>
    <row r="2207" spans="2:49" x14ac:dyDescent="0.2">
      <c r="B2207" s="460" t="s">
        <v>3017</v>
      </c>
      <c r="C2207" s="460">
        <v>2222</v>
      </c>
      <c r="D2207" s="460" t="s">
        <v>2375</v>
      </c>
      <c r="E2207" s="460" t="s">
        <v>2376</v>
      </c>
      <c r="F2207" s="460">
        <v>1</v>
      </c>
      <c r="G2207" s="460">
        <v>5</v>
      </c>
      <c r="H2207" s="461" t="s">
        <v>754</v>
      </c>
      <c r="I2207" s="461" t="s">
        <v>1991</v>
      </c>
      <c r="J2207" s="461" t="s">
        <v>754</v>
      </c>
      <c r="K2207" s="594"/>
      <c r="L2207" s="594"/>
      <c r="M2207" s="352">
        <v>2000</v>
      </c>
      <c r="N2207" s="352" t="s">
        <v>703</v>
      </c>
      <c r="O2207" s="460">
        <v>2222</v>
      </c>
      <c r="P2207" s="460" t="s">
        <v>1885</v>
      </c>
      <c r="Q2207" s="460" t="s">
        <v>2377</v>
      </c>
      <c r="R2207" s="460">
        <v>2121</v>
      </c>
      <c r="S2207" s="460" t="s">
        <v>2376</v>
      </c>
      <c r="T2207" s="462">
        <v>1</v>
      </c>
      <c r="U2207" s="460" t="s">
        <v>2376</v>
      </c>
      <c r="V2207" s="475">
        <v>0</v>
      </c>
      <c r="W2207" s="463" t="s">
        <v>2278</v>
      </c>
      <c r="X2207" s="463" t="s">
        <v>2278</v>
      </c>
      <c r="Y2207" s="463" t="s">
        <v>2278</v>
      </c>
      <c r="Z2207" s="463"/>
      <c r="AA2207" s="463"/>
      <c r="AB2207" s="464">
        <v>69.428511337183011</v>
      </c>
      <c r="AC2207" s="465">
        <v>1</v>
      </c>
      <c r="AD2207" s="465">
        <v>1.1671660624452135E-4</v>
      </c>
      <c r="AE2207" s="476">
        <v>69.428511337183011</v>
      </c>
      <c r="AF2207" s="467">
        <v>1</v>
      </c>
      <c r="AG2207" s="468">
        <v>1.1671660624452135E-4</v>
      </c>
      <c r="AH2207" s="218">
        <v>69.428511337183011</v>
      </c>
      <c r="AI2207" s="470">
        <v>1</v>
      </c>
      <c r="AJ2207" s="471">
        <v>1.1671660624452135E-4</v>
      </c>
      <c r="AK2207" s="218">
        <v>69.428511337183011</v>
      </c>
      <c r="AL2207" s="470">
        <v>1</v>
      </c>
      <c r="AM2207" s="471">
        <v>1.1671660624452135E-4</v>
      </c>
      <c r="AN2207" s="477">
        <v>69.428511337183011</v>
      </c>
      <c r="AO2207" s="473">
        <v>1</v>
      </c>
      <c r="AP2207" s="474">
        <v>1.1671660624452135E-4</v>
      </c>
      <c r="AQ2207" s="352"/>
      <c r="AR2207" s="352"/>
      <c r="AS2207" s="352"/>
      <c r="AT2207" s="352"/>
      <c r="AU2207" s="352"/>
      <c r="AV2207" s="352"/>
      <c r="AW2207" s="352" t="s">
        <v>127</v>
      </c>
    </row>
    <row r="2208" spans="2:49" x14ac:dyDescent="0.2">
      <c r="B2208" s="460" t="s">
        <v>3018</v>
      </c>
      <c r="C2208" s="460">
        <v>2222</v>
      </c>
      <c r="D2208" s="460" t="s">
        <v>2379</v>
      </c>
      <c r="E2208" s="460" t="s">
        <v>2380</v>
      </c>
      <c r="F2208" s="460">
        <v>2</v>
      </c>
      <c r="G2208" s="460">
        <v>5</v>
      </c>
      <c r="H2208" s="461" t="s">
        <v>754</v>
      </c>
      <c r="I2208" s="461" t="s">
        <v>1991</v>
      </c>
      <c r="J2208" s="461" t="s">
        <v>754</v>
      </c>
      <c r="K2208" s="594"/>
      <c r="L2208" s="594"/>
      <c r="M2208" s="352">
        <v>2000</v>
      </c>
      <c r="N2208" s="352" t="s">
        <v>703</v>
      </c>
      <c r="O2208" s="460">
        <v>2222</v>
      </c>
      <c r="P2208" s="460" t="s">
        <v>1885</v>
      </c>
      <c r="Q2208" s="460" t="s">
        <v>2377</v>
      </c>
      <c r="R2208" s="460">
        <v>2121</v>
      </c>
      <c r="S2208" s="460" t="s">
        <v>2380</v>
      </c>
      <c r="T2208" s="462">
        <v>1</v>
      </c>
      <c r="U2208" s="460" t="s">
        <v>2380</v>
      </c>
      <c r="V2208" s="475">
        <v>0</v>
      </c>
      <c r="W2208" s="463" t="s">
        <v>2278</v>
      </c>
      <c r="X2208" s="463" t="s">
        <v>2278</v>
      </c>
      <c r="Y2208" s="463" t="s">
        <v>2278</v>
      </c>
      <c r="Z2208" s="463"/>
      <c r="AA2208" s="463"/>
      <c r="AB2208" s="464">
        <v>7.5958504567114371</v>
      </c>
      <c r="AC2208" s="465">
        <v>1</v>
      </c>
      <c r="AD2208" s="465">
        <v>1.4957776825418332E-5</v>
      </c>
      <c r="AE2208" s="476">
        <v>7.5958504567114371</v>
      </c>
      <c r="AF2208" s="467">
        <v>1</v>
      </c>
      <c r="AG2208" s="468">
        <v>1.4957776825418332E-5</v>
      </c>
      <c r="AH2208" s="218">
        <v>7.5958504567114371</v>
      </c>
      <c r="AI2208" s="470">
        <v>1</v>
      </c>
      <c r="AJ2208" s="471">
        <v>1.4957776825418332E-5</v>
      </c>
      <c r="AK2208" s="218">
        <v>7.5958504567114371</v>
      </c>
      <c r="AL2208" s="470">
        <v>1</v>
      </c>
      <c r="AM2208" s="471">
        <v>1.4957776825418332E-5</v>
      </c>
      <c r="AN2208" s="477">
        <v>7.5958504567114371</v>
      </c>
      <c r="AO2208" s="473">
        <v>1</v>
      </c>
      <c r="AP2208" s="474">
        <v>1.4957776825418332E-5</v>
      </c>
      <c r="AQ2208" s="352"/>
      <c r="AR2208" s="352"/>
      <c r="AS2208" s="352"/>
      <c r="AT2208" s="352"/>
      <c r="AU2208" s="352"/>
      <c r="AV2208" s="352"/>
      <c r="AW2208" s="352" t="s">
        <v>127</v>
      </c>
    </row>
    <row r="2209" spans="2:49" x14ac:dyDescent="0.2">
      <c r="B2209" s="460" t="s">
        <v>3019</v>
      </c>
      <c r="C2209" s="460">
        <v>2222</v>
      </c>
      <c r="D2209" s="460" t="s">
        <v>2382</v>
      </c>
      <c r="E2209" s="460" t="s">
        <v>2383</v>
      </c>
      <c r="F2209" s="460">
        <v>3</v>
      </c>
      <c r="G2209" s="460">
        <v>5</v>
      </c>
      <c r="H2209" s="461" t="s">
        <v>754</v>
      </c>
      <c r="I2209" s="461" t="s">
        <v>1991</v>
      </c>
      <c r="J2209" s="461" t="s">
        <v>754</v>
      </c>
      <c r="K2209" s="594"/>
      <c r="L2209" s="594"/>
      <c r="M2209" s="352">
        <v>2000</v>
      </c>
      <c r="N2209" s="352" t="s">
        <v>703</v>
      </c>
      <c r="O2209" s="460">
        <v>2222</v>
      </c>
      <c r="P2209" s="460" t="s">
        <v>1885</v>
      </c>
      <c r="Q2209" s="460" t="s">
        <v>2377</v>
      </c>
      <c r="R2209" s="460">
        <v>2121</v>
      </c>
      <c r="S2209" s="460" t="s">
        <v>2383</v>
      </c>
      <c r="T2209" s="462">
        <v>1</v>
      </c>
      <c r="U2209" s="460" t="s">
        <v>2383</v>
      </c>
      <c r="V2209" s="475">
        <v>0</v>
      </c>
      <c r="W2209" s="463" t="s">
        <v>2278</v>
      </c>
      <c r="X2209" s="463" t="s">
        <v>2278</v>
      </c>
      <c r="Y2209" s="463" t="s">
        <v>2278</v>
      </c>
      <c r="Z2209" s="463"/>
      <c r="AA2209" s="463"/>
      <c r="AB2209" s="464">
        <v>0.62669536452894259</v>
      </c>
      <c r="AC2209" s="465">
        <v>1</v>
      </c>
      <c r="AD2209" s="465">
        <v>5.5704808448178915E-6</v>
      </c>
      <c r="AE2209" s="476">
        <v>0.62669536452894259</v>
      </c>
      <c r="AF2209" s="467">
        <v>1</v>
      </c>
      <c r="AG2209" s="468">
        <v>5.5704808448178915E-6</v>
      </c>
      <c r="AH2209" s="218">
        <v>0.62669536452894259</v>
      </c>
      <c r="AI2209" s="470">
        <v>1</v>
      </c>
      <c r="AJ2209" s="471">
        <v>5.5704808448178915E-6</v>
      </c>
      <c r="AK2209" s="218">
        <v>0.62669536452894259</v>
      </c>
      <c r="AL2209" s="470">
        <v>1</v>
      </c>
      <c r="AM2209" s="471">
        <v>5.5704808448178915E-6</v>
      </c>
      <c r="AN2209" s="477">
        <v>0.62669536452894259</v>
      </c>
      <c r="AO2209" s="473">
        <v>1</v>
      </c>
      <c r="AP2209" s="474">
        <v>5.5704808448178915E-6</v>
      </c>
      <c r="AQ2209" s="352"/>
      <c r="AR2209" s="352"/>
      <c r="AS2209" s="352"/>
      <c r="AT2209" s="352"/>
      <c r="AU2209" s="352"/>
      <c r="AV2209" s="352"/>
      <c r="AW2209" s="352" t="s">
        <v>127</v>
      </c>
    </row>
    <row r="2210" spans="2:49" x14ac:dyDescent="0.2">
      <c r="B2210" s="460" t="s">
        <v>3020</v>
      </c>
      <c r="C2210" s="460">
        <v>2222</v>
      </c>
      <c r="D2210" s="460" t="s">
        <v>2385</v>
      </c>
      <c r="E2210" s="460" t="s">
        <v>2386</v>
      </c>
      <c r="F2210" s="460">
        <v>4</v>
      </c>
      <c r="G2210" s="460">
        <v>5</v>
      </c>
      <c r="H2210" s="461" t="s">
        <v>754</v>
      </c>
      <c r="I2210" s="461" t="s">
        <v>1991</v>
      </c>
      <c r="J2210" s="461" t="s">
        <v>754</v>
      </c>
      <c r="K2210" s="594"/>
      <c r="L2210" s="594"/>
      <c r="M2210" s="352">
        <v>2000</v>
      </c>
      <c r="N2210" s="352" t="s">
        <v>703</v>
      </c>
      <c r="O2210" s="460">
        <v>2222</v>
      </c>
      <c r="P2210" s="460" t="s">
        <v>1885</v>
      </c>
      <c r="Q2210" s="460" t="s">
        <v>2377</v>
      </c>
      <c r="R2210" s="460">
        <v>2121</v>
      </c>
      <c r="S2210" s="460" t="s">
        <v>2386</v>
      </c>
      <c r="T2210" s="462">
        <v>1</v>
      </c>
      <c r="U2210" s="460" t="s">
        <v>2386</v>
      </c>
      <c r="V2210" s="475">
        <v>0</v>
      </c>
      <c r="W2210" s="463" t="s">
        <v>2278</v>
      </c>
      <c r="X2210" s="463" t="s">
        <v>2278</v>
      </c>
      <c r="Y2210" s="463" t="s">
        <v>2278</v>
      </c>
      <c r="Z2210" s="463"/>
      <c r="AA2210" s="463"/>
      <c r="AB2210" s="464">
        <v>0.61194271668437172</v>
      </c>
      <c r="AC2210" s="465">
        <v>1</v>
      </c>
      <c r="AD2210" s="465">
        <v>1.1351988696790508E-5</v>
      </c>
      <c r="AE2210" s="476">
        <v>0.61194271668437172</v>
      </c>
      <c r="AF2210" s="467">
        <v>1</v>
      </c>
      <c r="AG2210" s="468">
        <v>1.1351988696790508E-5</v>
      </c>
      <c r="AH2210" s="218">
        <v>0.61194271668437172</v>
      </c>
      <c r="AI2210" s="470">
        <v>1</v>
      </c>
      <c r="AJ2210" s="471">
        <v>1.1351988696790508E-5</v>
      </c>
      <c r="AK2210" s="218">
        <v>0.61194271668437172</v>
      </c>
      <c r="AL2210" s="470">
        <v>1</v>
      </c>
      <c r="AM2210" s="471">
        <v>1.1351988696790508E-5</v>
      </c>
      <c r="AN2210" s="477">
        <v>0.61194271668437172</v>
      </c>
      <c r="AO2210" s="473">
        <v>1</v>
      </c>
      <c r="AP2210" s="474">
        <v>1.1351988696790508E-5</v>
      </c>
      <c r="AQ2210" s="352"/>
      <c r="AR2210" s="352"/>
      <c r="AS2210" s="352"/>
      <c r="AT2210" s="352"/>
      <c r="AU2210" s="352"/>
      <c r="AV2210" s="352"/>
      <c r="AW2210" s="352" t="s">
        <v>127</v>
      </c>
    </row>
    <row r="2211" spans="2:49" x14ac:dyDescent="0.2">
      <c r="B2211" s="460" t="s">
        <v>3021</v>
      </c>
      <c r="C2211" s="460">
        <v>2223</v>
      </c>
      <c r="D2211" s="460" t="s">
        <v>2264</v>
      </c>
      <c r="E2211" s="460" t="s">
        <v>2265</v>
      </c>
      <c r="F2211" s="460">
        <v>1</v>
      </c>
      <c r="G2211" s="460">
        <v>1</v>
      </c>
      <c r="H2211" s="461" t="s">
        <v>700</v>
      </c>
      <c r="I2211" s="461" t="s">
        <v>872</v>
      </c>
      <c r="J2211" s="461" t="s">
        <v>700</v>
      </c>
      <c r="K2211" s="594"/>
      <c r="L2211" s="594"/>
      <c r="M2211" s="352">
        <v>2000</v>
      </c>
      <c r="N2211" s="352" t="s">
        <v>703</v>
      </c>
      <c r="O2211" s="460">
        <v>2223</v>
      </c>
      <c r="P2211" s="460" t="s">
        <v>1886</v>
      </c>
      <c r="Q2211" s="460" t="s">
        <v>2527</v>
      </c>
      <c r="R2211" s="460">
        <v>2121</v>
      </c>
      <c r="S2211" s="460" t="s">
        <v>2265</v>
      </c>
      <c r="T2211" s="462">
        <v>1</v>
      </c>
      <c r="U2211" s="460" t="s">
        <v>2265</v>
      </c>
      <c r="V2211" s="475">
        <v>0</v>
      </c>
      <c r="W2211" s="463" t="s">
        <v>2503</v>
      </c>
      <c r="X2211" s="463" t="s">
        <v>2267</v>
      </c>
      <c r="Y2211" s="463" t="s">
        <v>2268</v>
      </c>
      <c r="Z2211" s="463"/>
      <c r="AA2211" s="463"/>
      <c r="AB2211" s="464">
        <v>61.375904180289844</v>
      </c>
      <c r="AC2211" s="465">
        <v>0.25635623016920128</v>
      </c>
      <c r="AD2211" s="465">
        <v>5.6916546942877846E-4</v>
      </c>
      <c r="AE2211" s="476">
        <v>36.825542508173903</v>
      </c>
      <c r="AF2211" s="467">
        <v>0.15381373810152077</v>
      </c>
      <c r="AG2211" s="468">
        <v>3.6479270515550453E-4</v>
      </c>
      <c r="AH2211" s="218">
        <v>144.44573010530269</v>
      </c>
      <c r="AI2211" s="470">
        <v>0.60332411112119988</v>
      </c>
      <c r="AJ2211" s="471">
        <v>1.3773390315826959E-3</v>
      </c>
      <c r="AK2211" s="218">
        <v>144.44573010530269</v>
      </c>
      <c r="AL2211" s="470">
        <v>0.60332411112119988</v>
      </c>
      <c r="AM2211" s="471">
        <v>1.3773390315826959E-3</v>
      </c>
      <c r="AN2211" s="477">
        <v>0</v>
      </c>
      <c r="AO2211" s="473">
        <v>0</v>
      </c>
      <c r="AP2211" s="474">
        <v>0</v>
      </c>
      <c r="AQ2211" s="352"/>
      <c r="AR2211" s="352"/>
      <c r="AS2211" s="352"/>
      <c r="AT2211" s="352"/>
      <c r="AU2211" s="352"/>
      <c r="AV2211" s="352"/>
      <c r="AW2211" s="352" t="s">
        <v>254</v>
      </c>
    </row>
    <row r="2212" spans="2:49" x14ac:dyDescent="0.2">
      <c r="B2212" s="460" t="s">
        <v>3022</v>
      </c>
      <c r="C2212" s="460">
        <v>2223</v>
      </c>
      <c r="D2212" s="460" t="s">
        <v>2270</v>
      </c>
      <c r="E2212" s="460" t="s">
        <v>2271</v>
      </c>
      <c r="F2212" s="460">
        <v>2</v>
      </c>
      <c r="G2212" s="460">
        <v>1</v>
      </c>
      <c r="H2212" s="461" t="s">
        <v>700</v>
      </c>
      <c r="I2212" s="461" t="s">
        <v>872</v>
      </c>
      <c r="J2212" s="461" t="s">
        <v>700</v>
      </c>
      <c r="K2212" s="594"/>
      <c r="L2212" s="594"/>
      <c r="M2212" s="352">
        <v>2000</v>
      </c>
      <c r="N2212" s="352" t="s">
        <v>703</v>
      </c>
      <c r="O2212" s="460">
        <v>2223</v>
      </c>
      <c r="P2212" s="460" t="s">
        <v>1886</v>
      </c>
      <c r="Q2212" s="460" t="s">
        <v>2527</v>
      </c>
      <c r="R2212" s="460">
        <v>2121</v>
      </c>
      <c r="S2212" s="460" t="s">
        <v>2265</v>
      </c>
      <c r="T2212" s="462">
        <v>1</v>
      </c>
      <c r="U2212" s="460" t="s">
        <v>2271</v>
      </c>
      <c r="V2212" s="475">
        <v>0</v>
      </c>
      <c r="W2212" s="463" t="s">
        <v>2503</v>
      </c>
      <c r="X2212" s="463" t="s">
        <v>2267</v>
      </c>
      <c r="Y2212" s="463" t="s">
        <v>2268</v>
      </c>
      <c r="Z2212" s="463"/>
      <c r="AA2212" s="463"/>
      <c r="AB2212" s="464">
        <v>44.872073563637109</v>
      </c>
      <c r="AC2212" s="465">
        <v>0.23135947989734704</v>
      </c>
      <c r="AD2212" s="465">
        <v>5.567185323322797E-4</v>
      </c>
      <c r="AE2212" s="476">
        <v>26.923244138182262</v>
      </c>
      <c r="AF2212" s="467">
        <v>0.13881568793840821</v>
      </c>
      <c r="AG2212" s="468">
        <v>3.619765808911664E-4</v>
      </c>
      <c r="AH2212" s="218">
        <v>117.01445693497553</v>
      </c>
      <c r="AI2212" s="470">
        <v>0.60332411112119988</v>
      </c>
      <c r="AJ2212" s="471">
        <v>1.3815194228555476E-3</v>
      </c>
      <c r="AK2212" s="218">
        <v>117.01445693497553</v>
      </c>
      <c r="AL2212" s="470">
        <v>0.60332411112119988</v>
      </c>
      <c r="AM2212" s="471">
        <v>1.3815194228555476E-3</v>
      </c>
      <c r="AN2212" s="477">
        <v>0</v>
      </c>
      <c r="AO2212" s="473">
        <v>0</v>
      </c>
      <c r="AP2212" s="474">
        <v>0</v>
      </c>
      <c r="AQ2212" s="352"/>
      <c r="AR2212" s="352"/>
      <c r="AS2212" s="352"/>
      <c r="AT2212" s="352"/>
      <c r="AU2212" s="352"/>
      <c r="AV2212" s="352"/>
      <c r="AW2212" s="352" t="s">
        <v>254</v>
      </c>
    </row>
    <row r="2213" spans="2:49" x14ac:dyDescent="0.2">
      <c r="B2213" s="460" t="s">
        <v>3023</v>
      </c>
      <c r="C2213" s="460">
        <v>2223</v>
      </c>
      <c r="D2213" s="460" t="s">
        <v>2273</v>
      </c>
      <c r="E2213" s="460" t="s">
        <v>2274</v>
      </c>
      <c r="F2213" s="460">
        <v>3</v>
      </c>
      <c r="G2213" s="460">
        <v>1</v>
      </c>
      <c r="H2213" s="461" t="s">
        <v>700</v>
      </c>
      <c r="I2213" s="461" t="s">
        <v>872</v>
      </c>
      <c r="J2213" s="461" t="s">
        <v>700</v>
      </c>
      <c r="K2213" s="594"/>
      <c r="L2213" s="594"/>
      <c r="M2213" s="352">
        <v>2000</v>
      </c>
      <c r="N2213" s="352" t="s">
        <v>703</v>
      </c>
      <c r="O2213" s="460">
        <v>2223</v>
      </c>
      <c r="P2213" s="460" t="s">
        <v>1886</v>
      </c>
      <c r="Q2213" s="460" t="s">
        <v>2527</v>
      </c>
      <c r="R2213" s="460">
        <v>2121</v>
      </c>
      <c r="S2213" s="460" t="s">
        <v>2265</v>
      </c>
      <c r="T2213" s="462">
        <v>0.74223365950407583</v>
      </c>
      <c r="U2213" s="460" t="s">
        <v>2274</v>
      </c>
      <c r="V2213" s="475">
        <v>0</v>
      </c>
      <c r="W2213" s="463" t="s">
        <v>2503</v>
      </c>
      <c r="X2213" s="463" t="s">
        <v>2503</v>
      </c>
      <c r="Y2213" s="463" t="s">
        <v>2268</v>
      </c>
      <c r="Z2213" s="463"/>
      <c r="AA2213" s="463"/>
      <c r="AB2213" s="464">
        <v>11.447121758259968</v>
      </c>
      <c r="AC2213" s="465">
        <v>8.6601513871795321E-2</v>
      </c>
      <c r="AD2213" s="465">
        <v>5.6628517218302742E-4</v>
      </c>
      <c r="AE2213" s="476">
        <v>6.8682730549559805</v>
      </c>
      <c r="AF2213" s="467">
        <v>5.196090832307719E-2</v>
      </c>
      <c r="AG2213" s="468">
        <v>3.6803124184867742E-4</v>
      </c>
      <c r="AH2213" s="218">
        <v>15.090602877561116</v>
      </c>
      <c r="AI2213" s="470">
        <v>0.11416573371309326</v>
      </c>
      <c r="AJ2213" s="471">
        <v>5.8557703731499668E-4</v>
      </c>
      <c r="AK2213" s="218">
        <v>15.090602877561116</v>
      </c>
      <c r="AL2213" s="470">
        <v>0.11416573371309326</v>
      </c>
      <c r="AM2213" s="471">
        <v>5.8557703731499668E-4</v>
      </c>
      <c r="AN2213" s="477">
        <v>0</v>
      </c>
      <c r="AO2213" s="473">
        <v>0</v>
      </c>
      <c r="AP2213" s="474">
        <v>0</v>
      </c>
      <c r="AQ2213" s="352"/>
      <c r="AR2213" s="352"/>
      <c r="AS2213" s="352"/>
      <c r="AT2213" s="352"/>
      <c r="AU2213" s="352"/>
      <c r="AV2213" s="352"/>
      <c r="AW2213" s="352" t="s">
        <v>254</v>
      </c>
    </row>
    <row r="2214" spans="2:49" x14ac:dyDescent="0.2">
      <c r="B2214" s="460" t="s">
        <v>3024</v>
      </c>
      <c r="C2214" s="460">
        <v>2223</v>
      </c>
      <c r="D2214" s="460" t="s">
        <v>2276</v>
      </c>
      <c r="E2214" s="460" t="s">
        <v>2277</v>
      </c>
      <c r="F2214" s="460">
        <v>4</v>
      </c>
      <c r="G2214" s="460">
        <v>1</v>
      </c>
      <c r="H2214" s="461" t="s">
        <v>700</v>
      </c>
      <c r="I2214" s="461" t="s">
        <v>872</v>
      </c>
      <c r="J2214" s="461" t="s">
        <v>700</v>
      </c>
      <c r="K2214" s="594"/>
      <c r="L2214" s="594"/>
      <c r="M2214" s="352">
        <v>2000</v>
      </c>
      <c r="N2214" s="352" t="s">
        <v>703</v>
      </c>
      <c r="O2214" s="460">
        <v>2223</v>
      </c>
      <c r="P2214" s="460" t="s">
        <v>1886</v>
      </c>
      <c r="Q2214" s="460" t="s">
        <v>2527</v>
      </c>
      <c r="R2214" s="460">
        <v>2121</v>
      </c>
      <c r="S2214" s="460" t="s">
        <v>2277</v>
      </c>
      <c r="T2214" s="462">
        <v>1</v>
      </c>
      <c r="U2214" s="460" t="s">
        <v>2277</v>
      </c>
      <c r="V2214" s="475">
        <v>0</v>
      </c>
      <c r="W2214" s="463" t="s">
        <v>2503</v>
      </c>
      <c r="X2214" s="463" t="s">
        <v>2503</v>
      </c>
      <c r="Y2214" s="463" t="s">
        <v>2268</v>
      </c>
      <c r="Z2214" s="463"/>
      <c r="AA2214" s="463"/>
      <c r="AB2214" s="464">
        <v>0.13944419908982164</v>
      </c>
      <c r="AC2214" s="465">
        <v>9.3219629460240653E-4</v>
      </c>
      <c r="AD2214" s="465">
        <v>5.628260302666929E-4</v>
      </c>
      <c r="AE2214" s="476">
        <v>8.3666519453892987E-2</v>
      </c>
      <c r="AF2214" s="467">
        <v>5.5931777676144394E-4</v>
      </c>
      <c r="AG2214" s="468">
        <v>3.7752590026584617E-4</v>
      </c>
      <c r="AH2214" s="218">
        <v>8.3666519453892987E-2</v>
      </c>
      <c r="AI2214" s="470">
        <v>5.5931777676144394E-4</v>
      </c>
      <c r="AJ2214" s="471">
        <v>3.6184223370994996E-4</v>
      </c>
      <c r="AK2214" s="218">
        <v>8.3666519453892987E-2</v>
      </c>
      <c r="AL2214" s="470">
        <v>5.5931777676144394E-4</v>
      </c>
      <c r="AM2214" s="471">
        <v>3.6184223370994996E-4</v>
      </c>
      <c r="AN2214" s="477">
        <v>0</v>
      </c>
      <c r="AO2214" s="473">
        <v>0</v>
      </c>
      <c r="AP2214" s="474">
        <v>0</v>
      </c>
      <c r="AQ2214" s="352"/>
      <c r="AR2214" s="352"/>
      <c r="AS2214" s="352"/>
      <c r="AT2214" s="352"/>
      <c r="AU2214" s="352"/>
      <c r="AV2214" s="352"/>
      <c r="AW2214" s="352" t="s">
        <v>254</v>
      </c>
    </row>
    <row r="2215" spans="2:49" x14ac:dyDescent="0.2">
      <c r="B2215" s="460" t="s">
        <v>3021</v>
      </c>
      <c r="C2215" s="460">
        <v>2223</v>
      </c>
      <c r="D2215" s="460" t="s">
        <v>2279</v>
      </c>
      <c r="E2215" s="460" t="s">
        <v>2265</v>
      </c>
      <c r="F2215" s="460">
        <v>1</v>
      </c>
      <c r="G2215" s="460">
        <v>1</v>
      </c>
      <c r="H2215" s="461" t="s">
        <v>712</v>
      </c>
      <c r="I2215" s="461" t="s">
        <v>713</v>
      </c>
      <c r="J2215" s="461" t="s">
        <v>712</v>
      </c>
      <c r="K2215" s="594"/>
      <c r="L2215" s="594"/>
      <c r="M2215" s="352">
        <v>2000</v>
      </c>
      <c r="N2215" s="352" t="s">
        <v>703</v>
      </c>
      <c r="O2215" s="460">
        <v>2223</v>
      </c>
      <c r="P2215" s="460" t="s">
        <v>1886</v>
      </c>
      <c r="Q2215" s="460" t="s">
        <v>2280</v>
      </c>
      <c r="R2215" s="460">
        <v>2121</v>
      </c>
      <c r="S2215" s="460" t="s">
        <v>2265</v>
      </c>
      <c r="T2215" s="462">
        <v>1</v>
      </c>
      <c r="U2215" s="460" t="s">
        <v>2265</v>
      </c>
      <c r="V2215" s="475">
        <v>0</v>
      </c>
      <c r="W2215" s="463" t="s">
        <v>713</v>
      </c>
      <c r="X2215" s="463" t="s">
        <v>713</v>
      </c>
      <c r="Y2215" s="463" t="s">
        <v>713</v>
      </c>
      <c r="Z2215" s="463"/>
      <c r="AA2215" s="463"/>
      <c r="AB2215" s="464">
        <v>178.04056773373492</v>
      </c>
      <c r="AC2215" s="465">
        <v>0.74364376983079872</v>
      </c>
      <c r="AD2215" s="465">
        <v>6.5771264722789473E-4</v>
      </c>
      <c r="AE2215" s="476">
        <v>202.59092940585086</v>
      </c>
      <c r="AF2215" s="467">
        <v>0.84618626189847923</v>
      </c>
      <c r="AG2215" s="468">
        <v>7.2984105315644556E-4</v>
      </c>
      <c r="AH2215" s="218">
        <v>94.970741808722053</v>
      </c>
      <c r="AI2215" s="470">
        <v>0.39667588887880012</v>
      </c>
      <c r="AJ2215" s="471">
        <v>3.4704114368764948E-4</v>
      </c>
      <c r="AK2215" s="218">
        <v>94.970741808722053</v>
      </c>
      <c r="AL2215" s="470">
        <v>0.39667588887880012</v>
      </c>
      <c r="AM2215" s="471">
        <v>3.4704114368764948E-4</v>
      </c>
      <c r="AN2215" s="477">
        <v>94.970741808722053</v>
      </c>
      <c r="AO2215" s="473">
        <v>0.39667588887880012</v>
      </c>
      <c r="AP2215" s="474">
        <v>3.4692806376452159E-4</v>
      </c>
      <c r="AQ2215" s="352"/>
      <c r="AR2215" s="352"/>
      <c r="AS2215" s="352"/>
      <c r="AT2215" s="352"/>
      <c r="AU2215" s="352"/>
      <c r="AV2215" s="352"/>
      <c r="AW2215" s="352" t="s">
        <v>254</v>
      </c>
    </row>
    <row r="2216" spans="2:49" x14ac:dyDescent="0.2">
      <c r="B2216" s="460" t="s">
        <v>3022</v>
      </c>
      <c r="C2216" s="460">
        <v>2223</v>
      </c>
      <c r="D2216" s="460" t="s">
        <v>2281</v>
      </c>
      <c r="E2216" s="460" t="s">
        <v>2271</v>
      </c>
      <c r="F2216" s="460">
        <v>2</v>
      </c>
      <c r="G2216" s="460">
        <v>1</v>
      </c>
      <c r="H2216" s="461" t="s">
        <v>712</v>
      </c>
      <c r="I2216" s="461" t="s">
        <v>713</v>
      </c>
      <c r="J2216" s="461" t="s">
        <v>712</v>
      </c>
      <c r="K2216" s="594"/>
      <c r="L2216" s="594"/>
      <c r="M2216" s="352">
        <v>2000</v>
      </c>
      <c r="N2216" s="352" t="s">
        <v>703</v>
      </c>
      <c r="O2216" s="460">
        <v>2223</v>
      </c>
      <c r="P2216" s="460" t="s">
        <v>1886</v>
      </c>
      <c r="Q2216" s="460" t="s">
        <v>2280</v>
      </c>
      <c r="R2216" s="460">
        <v>2121</v>
      </c>
      <c r="S2216" s="460" t="s">
        <v>2265</v>
      </c>
      <c r="T2216" s="462">
        <v>1</v>
      </c>
      <c r="U2216" s="460" t="s">
        <v>2271</v>
      </c>
      <c r="V2216" s="475">
        <v>0</v>
      </c>
      <c r="W2216" s="463" t="s">
        <v>713</v>
      </c>
      <c r="X2216" s="463" t="s">
        <v>713</v>
      </c>
      <c r="Y2216" s="463" t="s">
        <v>713</v>
      </c>
      <c r="Z2216" s="463"/>
      <c r="AA2216" s="463"/>
      <c r="AB2216" s="464">
        <v>149.07750474431296</v>
      </c>
      <c r="AC2216" s="465">
        <v>0.76864052010265294</v>
      </c>
      <c r="AD2216" s="465">
        <v>6.2253582299246824E-4</v>
      </c>
      <c r="AE2216" s="476">
        <v>167.02633416976784</v>
      </c>
      <c r="AF2216" s="467">
        <v>0.86118431206159185</v>
      </c>
      <c r="AG2216" s="468">
        <v>6.7982346489692019E-4</v>
      </c>
      <c r="AH2216" s="218">
        <v>76.93512137297455</v>
      </c>
      <c r="AI2216" s="470">
        <v>0.39667588887880012</v>
      </c>
      <c r="AJ2216" s="471">
        <v>3.3052447486628487E-4</v>
      </c>
      <c r="AK2216" s="218">
        <v>76.93512137297455</v>
      </c>
      <c r="AL2216" s="470">
        <v>0.39667588887880012</v>
      </c>
      <c r="AM2216" s="471">
        <v>3.3052447486628487E-4</v>
      </c>
      <c r="AN2216" s="477">
        <v>76.93512137297455</v>
      </c>
      <c r="AO2216" s="473">
        <v>0.39667588887880012</v>
      </c>
      <c r="AP2216" s="474">
        <v>3.3040841688035345E-4</v>
      </c>
      <c r="AQ2216" s="352"/>
      <c r="AR2216" s="352"/>
      <c r="AS2216" s="352"/>
      <c r="AT2216" s="352"/>
      <c r="AU2216" s="352"/>
      <c r="AV2216" s="352"/>
      <c r="AW2216" s="352" t="s">
        <v>254</v>
      </c>
    </row>
    <row r="2217" spans="2:49" x14ac:dyDescent="0.2">
      <c r="B2217" s="460" t="s">
        <v>3023</v>
      </c>
      <c r="C2217" s="460">
        <v>2223</v>
      </c>
      <c r="D2217" s="460" t="s">
        <v>2282</v>
      </c>
      <c r="E2217" s="460" t="s">
        <v>2274</v>
      </c>
      <c r="F2217" s="460">
        <v>3</v>
      </c>
      <c r="G2217" s="460">
        <v>1</v>
      </c>
      <c r="H2217" s="461" t="s">
        <v>712</v>
      </c>
      <c r="I2217" s="461" t="s">
        <v>713</v>
      </c>
      <c r="J2217" s="461" t="s">
        <v>712</v>
      </c>
      <c r="K2217" s="594"/>
      <c r="L2217" s="594"/>
      <c r="M2217" s="352">
        <v>2000</v>
      </c>
      <c r="N2217" s="352" t="s">
        <v>703</v>
      </c>
      <c r="O2217" s="460">
        <v>2223</v>
      </c>
      <c r="P2217" s="460" t="s">
        <v>1886</v>
      </c>
      <c r="Q2217" s="460" t="s">
        <v>2280</v>
      </c>
      <c r="R2217" s="460">
        <v>2121</v>
      </c>
      <c r="S2217" s="460" t="s">
        <v>2265</v>
      </c>
      <c r="T2217" s="462">
        <v>0.74223365950407583</v>
      </c>
      <c r="U2217" s="460" t="s">
        <v>2274</v>
      </c>
      <c r="V2217" s="475">
        <v>0</v>
      </c>
      <c r="W2217" s="463" t="s">
        <v>713</v>
      </c>
      <c r="X2217" s="463" t="s">
        <v>713</v>
      </c>
      <c r="Y2217" s="463" t="s">
        <v>713</v>
      </c>
      <c r="Z2217" s="463"/>
      <c r="AA2217" s="463"/>
      <c r="AB2217" s="464">
        <v>120.73442157141277</v>
      </c>
      <c r="AC2217" s="465">
        <v>0.91339848612820462</v>
      </c>
      <c r="AD2217" s="465">
        <v>7.226211644896527E-4</v>
      </c>
      <c r="AE2217" s="476">
        <v>125.31327027471676</v>
      </c>
      <c r="AF2217" s="467">
        <v>0.9480390916769228</v>
      </c>
      <c r="AG2217" s="468">
        <v>7.4312270527814245E-4</v>
      </c>
      <c r="AH2217" s="218">
        <v>117.09094045211162</v>
      </c>
      <c r="AI2217" s="470">
        <v>0.88583426628690676</v>
      </c>
      <c r="AJ2217" s="471">
        <v>7.3581945961972821E-4</v>
      </c>
      <c r="AK2217" s="218">
        <v>117.09094045211162</v>
      </c>
      <c r="AL2217" s="470">
        <v>0.88583426628690676</v>
      </c>
      <c r="AM2217" s="471">
        <v>7.3581945961972821E-4</v>
      </c>
      <c r="AN2217" s="477">
        <v>72.989661773693797</v>
      </c>
      <c r="AO2217" s="473">
        <v>0.55219253713546812</v>
      </c>
      <c r="AP2217" s="474">
        <v>4.6198840785295734E-4</v>
      </c>
      <c r="AQ2217" s="352"/>
      <c r="AR2217" s="352"/>
      <c r="AS2217" s="352"/>
      <c r="AT2217" s="352"/>
      <c r="AU2217" s="352"/>
      <c r="AV2217" s="352"/>
      <c r="AW2217" s="352" t="s">
        <v>254</v>
      </c>
    </row>
    <row r="2218" spans="2:49" x14ac:dyDescent="0.2">
      <c r="B2218" s="460" t="s">
        <v>3024</v>
      </c>
      <c r="C2218" s="460">
        <v>2223</v>
      </c>
      <c r="D2218" s="460" t="s">
        <v>2283</v>
      </c>
      <c r="E2218" s="460" t="s">
        <v>2277</v>
      </c>
      <c r="F2218" s="460">
        <v>4</v>
      </c>
      <c r="G2218" s="460">
        <v>1</v>
      </c>
      <c r="H2218" s="461" t="s">
        <v>712</v>
      </c>
      <c r="I2218" s="461" t="s">
        <v>713</v>
      </c>
      <c r="J2218" s="461" t="s">
        <v>712</v>
      </c>
      <c r="K2218" s="594"/>
      <c r="L2218" s="594"/>
      <c r="M2218" s="352">
        <v>2000</v>
      </c>
      <c r="N2218" s="352" t="s">
        <v>703</v>
      </c>
      <c r="O2218" s="460">
        <v>2223</v>
      </c>
      <c r="P2218" s="460" t="s">
        <v>1886</v>
      </c>
      <c r="Q2218" s="460" t="s">
        <v>2280</v>
      </c>
      <c r="R2218" s="460">
        <v>2121</v>
      </c>
      <c r="S2218" s="460" t="s">
        <v>2277</v>
      </c>
      <c r="T2218" s="462">
        <v>1</v>
      </c>
      <c r="U2218" s="460" t="s">
        <v>2277</v>
      </c>
      <c r="V2218" s="475">
        <v>0</v>
      </c>
      <c r="W2218" s="463" t="s">
        <v>713</v>
      </c>
      <c r="X2218" s="463" t="s">
        <v>713</v>
      </c>
      <c r="Y2218" s="463" t="s">
        <v>713</v>
      </c>
      <c r="Z2218" s="463"/>
      <c r="AA2218" s="463"/>
      <c r="AB2218" s="464">
        <v>149.44728972940788</v>
      </c>
      <c r="AC2218" s="465">
        <v>0.99906780370539772</v>
      </c>
      <c r="AD2218" s="465">
        <v>7.761208542822755E-4</v>
      </c>
      <c r="AE2218" s="476">
        <v>149.50306740904381</v>
      </c>
      <c r="AF2218" s="467">
        <v>0.99944068222323856</v>
      </c>
      <c r="AG2218" s="468">
        <v>7.7630514104531109E-4</v>
      </c>
      <c r="AH2218" s="218">
        <v>149.50306740904381</v>
      </c>
      <c r="AI2218" s="470">
        <v>0.99944068222323856</v>
      </c>
      <c r="AJ2218" s="471">
        <v>7.7634386411512784E-4</v>
      </c>
      <c r="AK2218" s="218">
        <v>149.50306740904381</v>
      </c>
      <c r="AL2218" s="470">
        <v>0.99944068222323856</v>
      </c>
      <c r="AM2218" s="471">
        <v>7.7634386411512784E-4</v>
      </c>
      <c r="AN2218" s="477">
        <v>149.44728972940788</v>
      </c>
      <c r="AO2218" s="473">
        <v>0.99906780370539761</v>
      </c>
      <c r="AP2218" s="474">
        <v>7.7605808989035388E-4</v>
      </c>
      <c r="AQ2218" s="352"/>
      <c r="AR2218" s="352"/>
      <c r="AS2218" s="352"/>
      <c r="AT2218" s="352"/>
      <c r="AU2218" s="352"/>
      <c r="AV2218" s="352"/>
      <c r="AW2218" s="352" t="s">
        <v>254</v>
      </c>
    </row>
    <row r="2219" spans="2:49" x14ac:dyDescent="0.2">
      <c r="B2219" s="460" t="s">
        <v>3021</v>
      </c>
      <c r="C2219" s="460">
        <v>2223</v>
      </c>
      <c r="D2219" s="460" t="s">
        <v>2284</v>
      </c>
      <c r="E2219" s="460" t="s">
        <v>2265</v>
      </c>
      <c r="F2219" s="460">
        <v>1</v>
      </c>
      <c r="G2219" s="460">
        <v>1</v>
      </c>
      <c r="H2219" s="461" t="s">
        <v>746</v>
      </c>
      <c r="I2219" s="461" t="s">
        <v>762</v>
      </c>
      <c r="J2219" s="461" t="s">
        <v>700</v>
      </c>
      <c r="K2219" s="594"/>
      <c r="L2219" s="594"/>
      <c r="M2219" s="352">
        <v>2000</v>
      </c>
      <c r="N2219" s="352" t="s">
        <v>703</v>
      </c>
      <c r="O2219" s="460">
        <v>2223</v>
      </c>
      <c r="P2219" s="460" t="s">
        <v>1886</v>
      </c>
      <c r="Q2219" s="460" t="s">
        <v>2531</v>
      </c>
      <c r="R2219" s="460">
        <v>2121</v>
      </c>
      <c r="S2219" s="460" t="s">
        <v>2265</v>
      </c>
      <c r="T2219" s="462">
        <v>1</v>
      </c>
      <c r="U2219" s="460" t="s">
        <v>2265</v>
      </c>
      <c r="V2219" s="475">
        <v>0</v>
      </c>
      <c r="W2219" s="463" t="s">
        <v>2268</v>
      </c>
      <c r="X2219" s="463" t="s">
        <v>2268</v>
      </c>
      <c r="Y2219" s="463" t="s">
        <v>2290</v>
      </c>
      <c r="Z2219" s="463"/>
      <c r="AA2219" s="463"/>
      <c r="AB2219" s="464">
        <v>0</v>
      </c>
      <c r="AC2219" s="465">
        <v>0</v>
      </c>
      <c r="AD2219" s="465">
        <v>0</v>
      </c>
      <c r="AE2219" s="476">
        <v>0</v>
      </c>
      <c r="AF2219" s="467">
        <v>0</v>
      </c>
      <c r="AG2219" s="468">
        <v>0</v>
      </c>
      <c r="AH2219" s="218">
        <v>0</v>
      </c>
      <c r="AI2219" s="470">
        <v>0</v>
      </c>
      <c r="AJ2219" s="471">
        <v>0</v>
      </c>
      <c r="AK2219" s="218">
        <v>0</v>
      </c>
      <c r="AL2219" s="470">
        <v>0</v>
      </c>
      <c r="AM2219" s="471">
        <v>0</v>
      </c>
      <c r="AN2219" s="477">
        <v>0</v>
      </c>
      <c r="AO2219" s="473">
        <v>0</v>
      </c>
      <c r="AP2219" s="474">
        <v>0</v>
      </c>
      <c r="AQ2219" s="352"/>
      <c r="AR2219" s="352"/>
      <c r="AS2219" s="352"/>
      <c r="AT2219" s="352"/>
      <c r="AU2219" s="352"/>
      <c r="AV2219" s="352"/>
      <c r="AW2219" s="352" t="s">
        <v>254</v>
      </c>
    </row>
    <row r="2220" spans="2:49" x14ac:dyDescent="0.2">
      <c r="B2220" s="460" t="s">
        <v>3022</v>
      </c>
      <c r="C2220" s="460">
        <v>2223</v>
      </c>
      <c r="D2220" s="460" t="s">
        <v>2285</v>
      </c>
      <c r="E2220" s="460" t="s">
        <v>2271</v>
      </c>
      <c r="F2220" s="460">
        <v>2</v>
      </c>
      <c r="G2220" s="460">
        <v>1</v>
      </c>
      <c r="H2220" s="461" t="s">
        <v>746</v>
      </c>
      <c r="I2220" s="461" t="s">
        <v>762</v>
      </c>
      <c r="J2220" s="461" t="s">
        <v>700</v>
      </c>
      <c r="K2220" s="594"/>
      <c r="L2220" s="594"/>
      <c r="M2220" s="352">
        <v>2000</v>
      </c>
      <c r="N2220" s="352" t="s">
        <v>703</v>
      </c>
      <c r="O2220" s="460">
        <v>2223</v>
      </c>
      <c r="P2220" s="460" t="s">
        <v>1886</v>
      </c>
      <c r="Q2220" s="460" t="s">
        <v>2531</v>
      </c>
      <c r="R2220" s="460">
        <v>2121</v>
      </c>
      <c r="S2220" s="460" t="s">
        <v>2265</v>
      </c>
      <c r="T2220" s="462">
        <v>1</v>
      </c>
      <c r="U2220" s="460" t="s">
        <v>2271</v>
      </c>
      <c r="V2220" s="475">
        <v>0</v>
      </c>
      <c r="W2220" s="463" t="s">
        <v>2268</v>
      </c>
      <c r="X2220" s="463" t="s">
        <v>2268</v>
      </c>
      <c r="Y2220" s="463" t="s">
        <v>2290</v>
      </c>
      <c r="Z2220" s="463"/>
      <c r="AA2220" s="463"/>
      <c r="AB2220" s="464">
        <v>0</v>
      </c>
      <c r="AC2220" s="465">
        <v>0</v>
      </c>
      <c r="AD2220" s="465">
        <v>0</v>
      </c>
      <c r="AE2220" s="476">
        <v>0</v>
      </c>
      <c r="AF2220" s="467">
        <v>0</v>
      </c>
      <c r="AG2220" s="468">
        <v>0</v>
      </c>
      <c r="AH2220" s="218">
        <v>0</v>
      </c>
      <c r="AI2220" s="470">
        <v>0</v>
      </c>
      <c r="AJ2220" s="471">
        <v>0</v>
      </c>
      <c r="AK2220" s="218">
        <v>0</v>
      </c>
      <c r="AL2220" s="470">
        <v>0</v>
      </c>
      <c r="AM2220" s="471">
        <v>0</v>
      </c>
      <c r="AN2220" s="477">
        <v>0</v>
      </c>
      <c r="AO2220" s="473">
        <v>0</v>
      </c>
      <c r="AP2220" s="474">
        <v>0</v>
      </c>
      <c r="AQ2220" s="352"/>
      <c r="AR2220" s="352"/>
      <c r="AS2220" s="352"/>
      <c r="AT2220" s="352"/>
      <c r="AU2220" s="352"/>
      <c r="AV2220" s="352"/>
      <c r="AW2220" s="352" t="s">
        <v>254</v>
      </c>
    </row>
    <row r="2221" spans="2:49" x14ac:dyDescent="0.2">
      <c r="B2221" s="460" t="s">
        <v>3023</v>
      </c>
      <c r="C2221" s="460">
        <v>2223</v>
      </c>
      <c r="D2221" s="460" t="s">
        <v>2286</v>
      </c>
      <c r="E2221" s="460" t="s">
        <v>2274</v>
      </c>
      <c r="F2221" s="460">
        <v>3</v>
      </c>
      <c r="G2221" s="460">
        <v>1</v>
      </c>
      <c r="H2221" s="461" t="s">
        <v>746</v>
      </c>
      <c r="I2221" s="461" t="s">
        <v>762</v>
      </c>
      <c r="J2221" s="461" t="s">
        <v>700</v>
      </c>
      <c r="K2221" s="594"/>
      <c r="L2221" s="594"/>
      <c r="M2221" s="352">
        <v>2000</v>
      </c>
      <c r="N2221" s="352" t="s">
        <v>703</v>
      </c>
      <c r="O2221" s="460">
        <v>2223</v>
      </c>
      <c r="P2221" s="460" t="s">
        <v>1886</v>
      </c>
      <c r="Q2221" s="460" t="s">
        <v>2531</v>
      </c>
      <c r="R2221" s="460">
        <v>2121</v>
      </c>
      <c r="S2221" s="460" t="s">
        <v>2265</v>
      </c>
      <c r="T2221" s="462">
        <v>0.74223365950407583</v>
      </c>
      <c r="U2221" s="460" t="s">
        <v>2274</v>
      </c>
      <c r="V2221" s="475">
        <v>0</v>
      </c>
      <c r="W2221" s="463" t="s">
        <v>2268</v>
      </c>
      <c r="X2221" s="463" t="s">
        <v>2268</v>
      </c>
      <c r="Y2221" s="463" t="s">
        <v>2290</v>
      </c>
      <c r="Z2221" s="463"/>
      <c r="AA2221" s="463"/>
      <c r="AB2221" s="464">
        <v>0</v>
      </c>
      <c r="AC2221" s="465">
        <v>0</v>
      </c>
      <c r="AD2221" s="465">
        <v>0</v>
      </c>
      <c r="AE2221" s="476">
        <v>0</v>
      </c>
      <c r="AF2221" s="467">
        <v>0</v>
      </c>
      <c r="AG2221" s="468">
        <v>0</v>
      </c>
      <c r="AH2221" s="218">
        <v>0</v>
      </c>
      <c r="AI2221" s="470">
        <v>0</v>
      </c>
      <c r="AJ2221" s="471">
        <v>0</v>
      </c>
      <c r="AK2221" s="218">
        <v>0</v>
      </c>
      <c r="AL2221" s="470">
        <v>0</v>
      </c>
      <c r="AM2221" s="471">
        <v>0</v>
      </c>
      <c r="AN2221" s="477">
        <v>0</v>
      </c>
      <c r="AO2221" s="473">
        <v>0</v>
      </c>
      <c r="AP2221" s="474">
        <v>0</v>
      </c>
      <c r="AQ2221" s="352"/>
      <c r="AR2221" s="352"/>
      <c r="AS2221" s="352"/>
      <c r="AT2221" s="352"/>
      <c r="AU2221" s="352"/>
      <c r="AV2221" s="352"/>
      <c r="AW2221" s="352" t="s">
        <v>254</v>
      </c>
    </row>
    <row r="2222" spans="2:49" x14ac:dyDescent="0.2">
      <c r="B2222" s="460" t="s">
        <v>3024</v>
      </c>
      <c r="C2222" s="460">
        <v>2223</v>
      </c>
      <c r="D2222" s="460" t="s">
        <v>2287</v>
      </c>
      <c r="E2222" s="460" t="s">
        <v>2277</v>
      </c>
      <c r="F2222" s="460">
        <v>4</v>
      </c>
      <c r="G2222" s="460">
        <v>1</v>
      </c>
      <c r="H2222" s="461" t="s">
        <v>746</v>
      </c>
      <c r="I2222" s="461" t="s">
        <v>762</v>
      </c>
      <c r="J2222" s="461" t="s">
        <v>700</v>
      </c>
      <c r="K2222" s="594"/>
      <c r="L2222" s="594"/>
      <c r="M2222" s="352">
        <v>2000</v>
      </c>
      <c r="N2222" s="352" t="s">
        <v>703</v>
      </c>
      <c r="O2222" s="460">
        <v>2223</v>
      </c>
      <c r="P2222" s="460" t="s">
        <v>1886</v>
      </c>
      <c r="Q2222" s="460" t="s">
        <v>2531</v>
      </c>
      <c r="R2222" s="460">
        <v>2121</v>
      </c>
      <c r="S2222" s="460" t="s">
        <v>2277</v>
      </c>
      <c r="T2222" s="462">
        <v>1</v>
      </c>
      <c r="U2222" s="460" t="s">
        <v>2277</v>
      </c>
      <c r="V2222" s="475">
        <v>0</v>
      </c>
      <c r="W2222" s="463" t="s">
        <v>2268</v>
      </c>
      <c r="X2222" s="463" t="s">
        <v>2268</v>
      </c>
      <c r="Y2222" s="463" t="s">
        <v>2290</v>
      </c>
      <c r="Z2222" s="463"/>
      <c r="AA2222" s="463"/>
      <c r="AB2222" s="464">
        <v>0</v>
      </c>
      <c r="AC2222" s="465">
        <v>0</v>
      </c>
      <c r="AD2222" s="465">
        <v>0</v>
      </c>
      <c r="AE2222" s="476">
        <v>0</v>
      </c>
      <c r="AF2222" s="467">
        <v>0</v>
      </c>
      <c r="AG2222" s="468">
        <v>0</v>
      </c>
      <c r="AH2222" s="218">
        <v>0</v>
      </c>
      <c r="AI2222" s="470">
        <v>0</v>
      </c>
      <c r="AJ2222" s="471">
        <v>0</v>
      </c>
      <c r="AK2222" s="218">
        <v>0</v>
      </c>
      <c r="AL2222" s="470">
        <v>0</v>
      </c>
      <c r="AM2222" s="471">
        <v>0</v>
      </c>
      <c r="AN2222" s="477">
        <v>0</v>
      </c>
      <c r="AO2222" s="473">
        <v>0</v>
      </c>
      <c r="AP2222" s="474">
        <v>0</v>
      </c>
      <c r="AQ2222" s="352"/>
      <c r="AR2222" s="352"/>
      <c r="AS2222" s="352"/>
      <c r="AT2222" s="352"/>
      <c r="AU2222" s="352"/>
      <c r="AV2222" s="352"/>
      <c r="AW2222" s="352" t="s">
        <v>254</v>
      </c>
    </row>
    <row r="2223" spans="2:49" x14ac:dyDescent="0.2">
      <c r="B2223" s="460" t="s">
        <v>3021</v>
      </c>
      <c r="C2223" s="460">
        <v>2223</v>
      </c>
      <c r="D2223" s="460" t="s">
        <v>2288</v>
      </c>
      <c r="E2223" s="460" t="s">
        <v>2265</v>
      </c>
      <c r="F2223" s="460">
        <v>1</v>
      </c>
      <c r="G2223" s="460">
        <v>1</v>
      </c>
      <c r="H2223" s="461" t="s">
        <v>748</v>
      </c>
      <c r="I2223" s="461" t="s">
        <v>765</v>
      </c>
      <c r="J2223" s="461" t="s">
        <v>700</v>
      </c>
      <c r="K2223" s="594"/>
      <c r="L2223" s="594"/>
      <c r="M2223" s="352">
        <v>2000</v>
      </c>
      <c r="N2223" s="352" t="s">
        <v>703</v>
      </c>
      <c r="O2223" s="460">
        <v>2223</v>
      </c>
      <c r="P2223" s="460" t="s">
        <v>1886</v>
      </c>
      <c r="Q2223" s="460" t="s">
        <v>2527</v>
      </c>
      <c r="R2223" s="460">
        <v>2121</v>
      </c>
      <c r="S2223" s="460" t="s">
        <v>2265</v>
      </c>
      <c r="T2223" s="462">
        <v>1</v>
      </c>
      <c r="U2223" s="460" t="s">
        <v>2265</v>
      </c>
      <c r="V2223" s="475">
        <v>0</v>
      </c>
      <c r="W2223" s="463" t="s">
        <v>2268</v>
      </c>
      <c r="X2223" s="463" t="s">
        <v>2268</v>
      </c>
      <c r="Y2223" s="463" t="s">
        <v>2267</v>
      </c>
      <c r="Z2223" s="463"/>
      <c r="AA2223" s="463"/>
      <c r="AB2223" s="464">
        <v>0</v>
      </c>
      <c r="AC2223" s="465">
        <v>0</v>
      </c>
      <c r="AD2223" s="465">
        <v>0</v>
      </c>
      <c r="AE2223" s="476">
        <v>0</v>
      </c>
      <c r="AF2223" s="467">
        <v>0</v>
      </c>
      <c r="AG2223" s="468">
        <v>0</v>
      </c>
      <c r="AH2223" s="218">
        <v>0</v>
      </c>
      <c r="AI2223" s="470">
        <v>0</v>
      </c>
      <c r="AJ2223" s="471">
        <v>0</v>
      </c>
      <c r="AK2223" s="218">
        <v>0</v>
      </c>
      <c r="AL2223" s="470">
        <v>0</v>
      </c>
      <c r="AM2223" s="471">
        <v>0</v>
      </c>
      <c r="AN2223" s="477">
        <v>144.44573010530269</v>
      </c>
      <c r="AO2223" s="473">
        <v>0.60332411112119988</v>
      </c>
      <c r="AP2223" s="474">
        <v>8.9701682535493332E-3</v>
      </c>
      <c r="AQ2223" s="352"/>
      <c r="AR2223" s="352"/>
      <c r="AS2223" s="352"/>
      <c r="AT2223" s="352"/>
      <c r="AU2223" s="352"/>
      <c r="AV2223" s="352"/>
      <c r="AW2223" s="352" t="s">
        <v>254</v>
      </c>
    </row>
    <row r="2224" spans="2:49" x14ac:dyDescent="0.2">
      <c r="B2224" s="460" t="s">
        <v>3022</v>
      </c>
      <c r="C2224" s="460">
        <v>2223</v>
      </c>
      <c r="D2224" s="460" t="s">
        <v>2291</v>
      </c>
      <c r="E2224" s="460" t="s">
        <v>2271</v>
      </c>
      <c r="F2224" s="460">
        <v>2</v>
      </c>
      <c r="G2224" s="460">
        <v>1</v>
      </c>
      <c r="H2224" s="461" t="s">
        <v>748</v>
      </c>
      <c r="I2224" s="461" t="s">
        <v>765</v>
      </c>
      <c r="J2224" s="461" t="s">
        <v>700</v>
      </c>
      <c r="K2224" s="594"/>
      <c r="L2224" s="594"/>
      <c r="M2224" s="352">
        <v>2000</v>
      </c>
      <c r="N2224" s="352" t="s">
        <v>703</v>
      </c>
      <c r="O2224" s="460">
        <v>2223</v>
      </c>
      <c r="P2224" s="460" t="s">
        <v>1886</v>
      </c>
      <c r="Q2224" s="460" t="s">
        <v>2527</v>
      </c>
      <c r="R2224" s="460">
        <v>2121</v>
      </c>
      <c r="S2224" s="460" t="s">
        <v>2265</v>
      </c>
      <c r="T2224" s="462">
        <v>1</v>
      </c>
      <c r="U2224" s="460" t="s">
        <v>2271</v>
      </c>
      <c r="V2224" s="475">
        <v>0</v>
      </c>
      <c r="W2224" s="463" t="s">
        <v>2268</v>
      </c>
      <c r="X2224" s="463" t="s">
        <v>2268</v>
      </c>
      <c r="Y2224" s="463" t="s">
        <v>2267</v>
      </c>
      <c r="Z2224" s="463"/>
      <c r="AA2224" s="463"/>
      <c r="AB2224" s="464">
        <v>0</v>
      </c>
      <c r="AC2224" s="465">
        <v>0</v>
      </c>
      <c r="AD2224" s="465">
        <v>0</v>
      </c>
      <c r="AE2224" s="476">
        <v>0</v>
      </c>
      <c r="AF2224" s="467">
        <v>0</v>
      </c>
      <c r="AG2224" s="468">
        <v>0</v>
      </c>
      <c r="AH2224" s="218">
        <v>0</v>
      </c>
      <c r="AI2224" s="470">
        <v>0</v>
      </c>
      <c r="AJ2224" s="471">
        <v>0</v>
      </c>
      <c r="AK2224" s="218">
        <v>0</v>
      </c>
      <c r="AL2224" s="470">
        <v>0</v>
      </c>
      <c r="AM2224" s="471">
        <v>0</v>
      </c>
      <c r="AN2224" s="477">
        <v>117.01445693497553</v>
      </c>
      <c r="AO2224" s="473">
        <v>0.60332411112119988</v>
      </c>
      <c r="AP2224" s="474">
        <v>7.4425965676676378E-3</v>
      </c>
      <c r="AQ2224" s="352"/>
      <c r="AR2224" s="352"/>
      <c r="AS2224" s="352"/>
      <c r="AT2224" s="352"/>
      <c r="AU2224" s="352"/>
      <c r="AV2224" s="352"/>
      <c r="AW2224" s="352" t="s">
        <v>254</v>
      </c>
    </row>
    <row r="2225" spans="2:49" x14ac:dyDescent="0.2">
      <c r="B2225" s="460" t="s">
        <v>3023</v>
      </c>
      <c r="C2225" s="460">
        <v>2223</v>
      </c>
      <c r="D2225" s="460" t="s">
        <v>2292</v>
      </c>
      <c r="E2225" s="460" t="s">
        <v>2274</v>
      </c>
      <c r="F2225" s="460">
        <v>3</v>
      </c>
      <c r="G2225" s="460">
        <v>1</v>
      </c>
      <c r="H2225" s="461" t="s">
        <v>748</v>
      </c>
      <c r="I2225" s="461" t="s">
        <v>765</v>
      </c>
      <c r="J2225" s="461" t="s">
        <v>700</v>
      </c>
      <c r="K2225" s="594"/>
      <c r="L2225" s="594"/>
      <c r="M2225" s="352">
        <v>2000</v>
      </c>
      <c r="N2225" s="352" t="s">
        <v>703</v>
      </c>
      <c r="O2225" s="460">
        <v>2223</v>
      </c>
      <c r="P2225" s="460" t="s">
        <v>1886</v>
      </c>
      <c r="Q2225" s="460" t="s">
        <v>2527</v>
      </c>
      <c r="R2225" s="460">
        <v>2121</v>
      </c>
      <c r="S2225" s="460" t="s">
        <v>2265</v>
      </c>
      <c r="T2225" s="462">
        <v>0.74223365950407583</v>
      </c>
      <c r="U2225" s="460" t="s">
        <v>2274</v>
      </c>
      <c r="V2225" s="475">
        <v>0</v>
      </c>
      <c r="W2225" s="463" t="s">
        <v>2268</v>
      </c>
      <c r="X2225" s="463" t="s">
        <v>2268</v>
      </c>
      <c r="Y2225" s="463" t="s">
        <v>2267</v>
      </c>
      <c r="Z2225" s="463"/>
      <c r="AA2225" s="463"/>
      <c r="AB2225" s="464">
        <v>0</v>
      </c>
      <c r="AC2225" s="465">
        <v>0</v>
      </c>
      <c r="AD2225" s="465">
        <v>0</v>
      </c>
      <c r="AE2225" s="476">
        <v>0</v>
      </c>
      <c r="AF2225" s="467">
        <v>0</v>
      </c>
      <c r="AG2225" s="468">
        <v>0</v>
      </c>
      <c r="AH2225" s="218">
        <v>0</v>
      </c>
      <c r="AI2225" s="470">
        <v>0</v>
      </c>
      <c r="AJ2225" s="471">
        <v>0</v>
      </c>
      <c r="AK2225" s="218">
        <v>0</v>
      </c>
      <c r="AL2225" s="470">
        <v>0</v>
      </c>
      <c r="AM2225" s="471">
        <v>0</v>
      </c>
      <c r="AN2225" s="477">
        <v>59.191881555978938</v>
      </c>
      <c r="AO2225" s="473">
        <v>0.44780746286453188</v>
      </c>
      <c r="AP2225" s="474">
        <v>8.334026882331905E-3</v>
      </c>
      <c r="AQ2225" s="352"/>
      <c r="AR2225" s="352"/>
      <c r="AS2225" s="352"/>
      <c r="AT2225" s="352"/>
      <c r="AU2225" s="352"/>
      <c r="AV2225" s="352"/>
      <c r="AW2225" s="352" t="s">
        <v>254</v>
      </c>
    </row>
    <row r="2226" spans="2:49" x14ac:dyDescent="0.2">
      <c r="B2226" s="460" t="s">
        <v>3024</v>
      </c>
      <c r="C2226" s="460">
        <v>2223</v>
      </c>
      <c r="D2226" s="460" t="s">
        <v>2293</v>
      </c>
      <c r="E2226" s="460" t="s">
        <v>2277</v>
      </c>
      <c r="F2226" s="460">
        <v>4</v>
      </c>
      <c r="G2226" s="460">
        <v>1</v>
      </c>
      <c r="H2226" s="461" t="s">
        <v>748</v>
      </c>
      <c r="I2226" s="461" t="s">
        <v>765</v>
      </c>
      <c r="J2226" s="461" t="s">
        <v>700</v>
      </c>
      <c r="K2226" s="594"/>
      <c r="L2226" s="594"/>
      <c r="M2226" s="352">
        <v>2000</v>
      </c>
      <c r="N2226" s="352" t="s">
        <v>703</v>
      </c>
      <c r="O2226" s="460">
        <v>2223</v>
      </c>
      <c r="P2226" s="460" t="s">
        <v>1886</v>
      </c>
      <c r="Q2226" s="460" t="s">
        <v>2527</v>
      </c>
      <c r="R2226" s="460">
        <v>2121</v>
      </c>
      <c r="S2226" s="460" t="s">
        <v>2277</v>
      </c>
      <c r="T2226" s="462">
        <v>1</v>
      </c>
      <c r="U2226" s="460" t="s">
        <v>2277</v>
      </c>
      <c r="V2226" s="475">
        <v>0</v>
      </c>
      <c r="W2226" s="463" t="s">
        <v>2268</v>
      </c>
      <c r="X2226" s="463" t="s">
        <v>2268</v>
      </c>
      <c r="Y2226" s="463" t="s">
        <v>2278</v>
      </c>
      <c r="Z2226" s="463"/>
      <c r="AA2226" s="463"/>
      <c r="AB2226" s="464">
        <v>0</v>
      </c>
      <c r="AC2226" s="465">
        <v>0</v>
      </c>
      <c r="AD2226" s="465">
        <v>0</v>
      </c>
      <c r="AE2226" s="476">
        <v>0</v>
      </c>
      <c r="AF2226" s="467">
        <v>0</v>
      </c>
      <c r="AG2226" s="468">
        <v>0</v>
      </c>
      <c r="AH2226" s="218">
        <v>0</v>
      </c>
      <c r="AI2226" s="470">
        <v>0</v>
      </c>
      <c r="AJ2226" s="471">
        <v>0</v>
      </c>
      <c r="AK2226" s="218">
        <v>0</v>
      </c>
      <c r="AL2226" s="470">
        <v>0</v>
      </c>
      <c r="AM2226" s="471">
        <v>0</v>
      </c>
      <c r="AN2226" s="477">
        <v>0.13944419908982164</v>
      </c>
      <c r="AO2226" s="473">
        <v>9.3219629460240653E-4</v>
      </c>
      <c r="AP2226" s="474">
        <v>3.3670431035594051E-3</v>
      </c>
      <c r="AQ2226" s="352"/>
      <c r="AR2226" s="352"/>
      <c r="AS2226" s="352"/>
      <c r="AT2226" s="352"/>
      <c r="AU2226" s="352"/>
      <c r="AV2226" s="352"/>
      <c r="AW2226" s="352" t="s">
        <v>254</v>
      </c>
    </row>
    <row r="2227" spans="2:49" x14ac:dyDescent="0.2">
      <c r="B2227" s="460" t="s">
        <v>3025</v>
      </c>
      <c r="C2227" s="460">
        <v>2223</v>
      </c>
      <c r="D2227" s="460" t="s">
        <v>2295</v>
      </c>
      <c r="E2227" s="460" t="s">
        <v>2296</v>
      </c>
      <c r="F2227" s="460">
        <v>1</v>
      </c>
      <c r="G2227" s="460">
        <v>2</v>
      </c>
      <c r="H2227" s="461" t="s">
        <v>700</v>
      </c>
      <c r="I2227" s="461" t="s">
        <v>872</v>
      </c>
      <c r="J2227" s="461" t="s">
        <v>700</v>
      </c>
      <c r="K2227" s="594"/>
      <c r="L2227" s="594"/>
      <c r="M2227" s="352">
        <v>2000</v>
      </c>
      <c r="N2227" s="352" t="s">
        <v>703</v>
      </c>
      <c r="O2227" s="460">
        <v>2223</v>
      </c>
      <c r="P2227" s="460" t="s">
        <v>1886</v>
      </c>
      <c r="Q2227" s="460" t="s">
        <v>2527</v>
      </c>
      <c r="R2227" s="460">
        <v>2121</v>
      </c>
      <c r="S2227" s="460" t="s">
        <v>2296</v>
      </c>
      <c r="T2227" s="462">
        <v>1</v>
      </c>
      <c r="U2227" s="460" t="s">
        <v>2296</v>
      </c>
      <c r="V2227" s="475">
        <v>0</v>
      </c>
      <c r="W2227" s="463" t="s">
        <v>2503</v>
      </c>
      <c r="X2227" s="463" t="s">
        <v>2267</v>
      </c>
      <c r="Y2227" s="463" t="s">
        <v>2268</v>
      </c>
      <c r="Z2227" s="463"/>
      <c r="AA2227" s="463"/>
      <c r="AB2227" s="464">
        <v>0.22468509564278524</v>
      </c>
      <c r="AC2227" s="465">
        <v>1.6735552310721596E-3</v>
      </c>
      <c r="AD2227" s="465">
        <v>1.3124693661186757E-5</v>
      </c>
      <c r="AE2227" s="476">
        <v>0.13481105738567115</v>
      </c>
      <c r="AF2227" s="467">
        <v>1.0041331386432958E-3</v>
      </c>
      <c r="AG2227" s="468">
        <v>8.7532871772429444E-6</v>
      </c>
      <c r="AH2227" s="218">
        <v>42.813526375281782</v>
      </c>
      <c r="AI2227" s="470">
        <v>0.31889432105417648</v>
      </c>
      <c r="AJ2227" s="471">
        <v>2.5539699897341277E-3</v>
      </c>
      <c r="AK2227" s="218">
        <v>42.813526375281782</v>
      </c>
      <c r="AL2227" s="470">
        <v>0.31889432105417648</v>
      </c>
      <c r="AM2227" s="471">
        <v>2.5539699897341277E-3</v>
      </c>
      <c r="AN2227" s="477">
        <v>0</v>
      </c>
      <c r="AO2227" s="473">
        <v>0</v>
      </c>
      <c r="AP2227" s="474">
        <v>0</v>
      </c>
      <c r="AQ2227" s="352"/>
      <c r="AR2227" s="352"/>
      <c r="AS2227" s="352"/>
      <c r="AT2227" s="352"/>
      <c r="AU2227" s="352"/>
      <c r="AV2227" s="352"/>
      <c r="AW2227" s="352" t="s">
        <v>254</v>
      </c>
    </row>
    <row r="2228" spans="2:49" x14ac:dyDescent="0.2">
      <c r="B2228" s="460" t="s">
        <v>3026</v>
      </c>
      <c r="C2228" s="460">
        <v>2223</v>
      </c>
      <c r="D2228" s="460" t="s">
        <v>2298</v>
      </c>
      <c r="E2228" s="460" t="s">
        <v>2299</v>
      </c>
      <c r="F2228" s="460">
        <v>2</v>
      </c>
      <c r="G2228" s="460">
        <v>2</v>
      </c>
      <c r="H2228" s="461" t="s">
        <v>700</v>
      </c>
      <c r="I2228" s="461" t="s">
        <v>872</v>
      </c>
      <c r="J2228" s="461" t="s">
        <v>700</v>
      </c>
      <c r="K2228" s="594"/>
      <c r="L2228" s="594"/>
      <c r="M2228" s="352">
        <v>2000</v>
      </c>
      <c r="N2228" s="352" t="s">
        <v>703</v>
      </c>
      <c r="O2228" s="460">
        <v>2223</v>
      </c>
      <c r="P2228" s="460" t="s">
        <v>1886</v>
      </c>
      <c r="Q2228" s="460" t="s">
        <v>2527</v>
      </c>
      <c r="R2228" s="460">
        <v>2121</v>
      </c>
      <c r="S2228" s="460" t="s">
        <v>2296</v>
      </c>
      <c r="T2228" s="462">
        <v>0.55517361979372948</v>
      </c>
      <c r="U2228" s="460" t="s">
        <v>2299</v>
      </c>
      <c r="V2228" s="475">
        <v>0</v>
      </c>
      <c r="W2228" s="463" t="s">
        <v>2503</v>
      </c>
      <c r="X2228" s="463" t="s">
        <v>2267</v>
      </c>
      <c r="Y2228" s="463" t="s">
        <v>2268</v>
      </c>
      <c r="Z2228" s="463"/>
      <c r="AA2228" s="463"/>
      <c r="AB2228" s="464">
        <v>1.5453325281298473E-2</v>
      </c>
      <c r="AC2228" s="465">
        <v>2.2040605781648966E-4</v>
      </c>
      <c r="AD2228" s="465">
        <v>4.6758584133733029E-6</v>
      </c>
      <c r="AE2228" s="476">
        <v>9.2719951687790826E-3</v>
      </c>
      <c r="AF2228" s="467">
        <v>1.3224363468989378E-4</v>
      </c>
      <c r="AG2228" s="468">
        <v>3.1483294315039136E-6</v>
      </c>
      <c r="AH2228" s="218">
        <v>12.412921996899465</v>
      </c>
      <c r="AI2228" s="470">
        <v>0.17704171455131087</v>
      </c>
      <c r="AJ2228" s="471">
        <v>2.9230889452932047E-3</v>
      </c>
      <c r="AK2228" s="218">
        <v>12.412921996899465</v>
      </c>
      <c r="AL2228" s="470">
        <v>0.17704171455131087</v>
      </c>
      <c r="AM2228" s="471">
        <v>2.9230889452932047E-3</v>
      </c>
      <c r="AN2228" s="477">
        <v>0</v>
      </c>
      <c r="AO2228" s="473">
        <v>0</v>
      </c>
      <c r="AP2228" s="474">
        <v>0</v>
      </c>
      <c r="AQ2228" s="352"/>
      <c r="AR2228" s="352"/>
      <c r="AS2228" s="352"/>
      <c r="AT2228" s="352"/>
      <c r="AU2228" s="352"/>
      <c r="AV2228" s="352"/>
      <c r="AW2228" s="352" t="s">
        <v>254</v>
      </c>
    </row>
    <row r="2229" spans="2:49" x14ac:dyDescent="0.2">
      <c r="B2229" s="460" t="s">
        <v>3027</v>
      </c>
      <c r="C2229" s="460">
        <v>2223</v>
      </c>
      <c r="D2229" s="460" t="s">
        <v>2301</v>
      </c>
      <c r="E2229" s="460" t="s">
        <v>2302</v>
      </c>
      <c r="F2229" s="460">
        <v>3</v>
      </c>
      <c r="G2229" s="460">
        <v>2</v>
      </c>
      <c r="H2229" s="461" t="s">
        <v>700</v>
      </c>
      <c r="I2229" s="461" t="s">
        <v>872</v>
      </c>
      <c r="J2229" s="461" t="s">
        <v>700</v>
      </c>
      <c r="K2229" s="594"/>
      <c r="L2229" s="594"/>
      <c r="M2229" s="352">
        <v>2000</v>
      </c>
      <c r="N2229" s="352" t="s">
        <v>703</v>
      </c>
      <c r="O2229" s="460">
        <v>2223</v>
      </c>
      <c r="P2229" s="460" t="s">
        <v>1886</v>
      </c>
      <c r="Q2229" s="460" t="s">
        <v>2527</v>
      </c>
      <c r="R2229" s="460">
        <v>2121</v>
      </c>
      <c r="S2229" s="460" t="s">
        <v>2296</v>
      </c>
      <c r="T2229" s="462">
        <v>0.28481449642268464</v>
      </c>
      <c r="U2229" s="460" t="s">
        <v>2302</v>
      </c>
      <c r="V2229" s="475">
        <v>0</v>
      </c>
      <c r="W2229" s="463" t="s">
        <v>2503</v>
      </c>
      <c r="X2229" s="463" t="s">
        <v>2503</v>
      </c>
      <c r="Y2229" s="463" t="s">
        <v>2268</v>
      </c>
      <c r="Z2229" s="463"/>
      <c r="AA2229" s="463"/>
      <c r="AB2229" s="464">
        <v>3.6939849110872053E-4</v>
      </c>
      <c r="AC2229" s="465">
        <v>1.5102027864971276E-5</v>
      </c>
      <c r="AD2229" s="465">
        <v>7.1853098956210753E-7</v>
      </c>
      <c r="AE2229" s="476">
        <v>2.2163909466523231E-4</v>
      </c>
      <c r="AF2229" s="467">
        <v>9.0612167189827662E-6</v>
      </c>
      <c r="AG2229" s="468">
        <v>4.8649080516325556E-7</v>
      </c>
      <c r="AH2229" s="218">
        <v>6.9954110714528671E-3</v>
      </c>
      <c r="AI2229" s="470">
        <v>2.8599167422402007E-4</v>
      </c>
      <c r="AJ2229" s="471">
        <v>7.262068603075081E-6</v>
      </c>
      <c r="AK2229" s="218">
        <v>6.9954110714528671E-3</v>
      </c>
      <c r="AL2229" s="470">
        <v>2.8599167422402007E-4</v>
      </c>
      <c r="AM2229" s="471">
        <v>7.262068603075081E-6</v>
      </c>
      <c r="AN2229" s="477">
        <v>0</v>
      </c>
      <c r="AO2229" s="473">
        <v>0</v>
      </c>
      <c r="AP2229" s="474">
        <v>0</v>
      </c>
      <c r="AQ2229" s="352"/>
      <c r="AR2229" s="352"/>
      <c r="AS2229" s="352"/>
      <c r="AT2229" s="352"/>
      <c r="AU2229" s="352"/>
      <c r="AV2229" s="352"/>
      <c r="AW2229" s="352" t="s">
        <v>254</v>
      </c>
    </row>
    <row r="2230" spans="2:49" x14ac:dyDescent="0.2">
      <c r="B2230" s="460" t="s">
        <v>3028</v>
      </c>
      <c r="C2230" s="460">
        <v>2223</v>
      </c>
      <c r="D2230" s="460" t="s">
        <v>2304</v>
      </c>
      <c r="E2230" s="460" t="s">
        <v>2305</v>
      </c>
      <c r="F2230" s="460">
        <v>4</v>
      </c>
      <c r="G2230" s="460">
        <v>2</v>
      </c>
      <c r="H2230" s="461" t="s">
        <v>700</v>
      </c>
      <c r="I2230" s="461" t="s">
        <v>872</v>
      </c>
      <c r="J2230" s="461" t="s">
        <v>700</v>
      </c>
      <c r="K2230" s="594"/>
      <c r="L2230" s="594"/>
      <c r="M2230" s="352">
        <v>2000</v>
      </c>
      <c r="N2230" s="352" t="s">
        <v>703</v>
      </c>
      <c r="O2230" s="460">
        <v>2223</v>
      </c>
      <c r="P2230" s="460" t="s">
        <v>1886</v>
      </c>
      <c r="Q2230" s="460" t="s">
        <v>2527</v>
      </c>
      <c r="R2230" s="460">
        <v>2121</v>
      </c>
      <c r="S2230" s="460" t="s">
        <v>2305</v>
      </c>
      <c r="T2230" s="462">
        <v>1</v>
      </c>
      <c r="U2230" s="460" t="s">
        <v>2305</v>
      </c>
      <c r="V2230" s="475">
        <v>0</v>
      </c>
      <c r="W2230" s="463" t="s">
        <v>2503</v>
      </c>
      <c r="X2230" s="463" t="s">
        <v>2503</v>
      </c>
      <c r="Y2230" s="463" t="s">
        <v>2268</v>
      </c>
      <c r="Z2230" s="463"/>
      <c r="AA2230" s="463"/>
      <c r="AB2230" s="464">
        <v>0</v>
      </c>
      <c r="AC2230" s="465">
        <v>0</v>
      </c>
      <c r="AD2230" s="465">
        <v>0</v>
      </c>
      <c r="AE2230" s="476">
        <v>0</v>
      </c>
      <c r="AF2230" s="467">
        <v>0</v>
      </c>
      <c r="AG2230" s="468">
        <v>0</v>
      </c>
      <c r="AH2230" s="218">
        <v>0</v>
      </c>
      <c r="AI2230" s="470">
        <v>0</v>
      </c>
      <c r="AJ2230" s="471">
        <v>0</v>
      </c>
      <c r="AK2230" s="218">
        <v>0</v>
      </c>
      <c r="AL2230" s="470">
        <v>0</v>
      </c>
      <c r="AM2230" s="471">
        <v>0</v>
      </c>
      <c r="AN2230" s="477">
        <v>0</v>
      </c>
      <c r="AO2230" s="473">
        <v>0</v>
      </c>
      <c r="AP2230" s="474">
        <v>0</v>
      </c>
      <c r="AQ2230" s="352"/>
      <c r="AR2230" s="352"/>
      <c r="AS2230" s="352"/>
      <c r="AT2230" s="352"/>
      <c r="AU2230" s="352"/>
      <c r="AV2230" s="352"/>
      <c r="AW2230" s="352" t="s">
        <v>254</v>
      </c>
    </row>
    <row r="2231" spans="2:49" x14ac:dyDescent="0.2">
      <c r="B2231" s="460" t="s">
        <v>3025</v>
      </c>
      <c r="C2231" s="460">
        <v>2223</v>
      </c>
      <c r="D2231" s="460" t="s">
        <v>2306</v>
      </c>
      <c r="E2231" s="460" t="s">
        <v>2296</v>
      </c>
      <c r="F2231" s="460">
        <v>1</v>
      </c>
      <c r="G2231" s="460">
        <v>2</v>
      </c>
      <c r="H2231" s="461" t="s">
        <v>712</v>
      </c>
      <c r="I2231" s="461" t="s">
        <v>713</v>
      </c>
      <c r="J2231" s="461" t="s">
        <v>712</v>
      </c>
      <c r="K2231" s="594"/>
      <c r="L2231" s="594"/>
      <c r="M2231" s="352">
        <v>2000</v>
      </c>
      <c r="N2231" s="352" t="s">
        <v>703</v>
      </c>
      <c r="O2231" s="460">
        <v>2223</v>
      </c>
      <c r="P2231" s="460" t="s">
        <v>1886</v>
      </c>
      <c r="Q2231" s="460" t="s">
        <v>2280</v>
      </c>
      <c r="R2231" s="460">
        <v>2121</v>
      </c>
      <c r="S2231" s="460" t="s">
        <v>2296</v>
      </c>
      <c r="T2231" s="462">
        <v>1</v>
      </c>
      <c r="U2231" s="460" t="s">
        <v>2296</v>
      </c>
      <c r="V2231" s="475">
        <v>0</v>
      </c>
      <c r="W2231" s="463" t="s">
        <v>713</v>
      </c>
      <c r="X2231" s="463" t="s">
        <v>713</v>
      </c>
      <c r="Y2231" s="463" t="s">
        <v>713</v>
      </c>
      <c r="Z2231" s="463"/>
      <c r="AA2231" s="463"/>
      <c r="AB2231" s="464">
        <v>134.03147297500612</v>
      </c>
      <c r="AC2231" s="465">
        <v>0.99832644476892773</v>
      </c>
      <c r="AD2231" s="465">
        <v>1.1592351107511949E-3</v>
      </c>
      <c r="AE2231" s="476">
        <v>134.12134701326323</v>
      </c>
      <c r="AF2231" s="467">
        <v>0.99899586686135666</v>
      </c>
      <c r="AG2231" s="468">
        <v>1.1430275383293856E-3</v>
      </c>
      <c r="AH2231" s="218">
        <v>91.44263169536714</v>
      </c>
      <c r="AI2231" s="470">
        <v>0.68110567894582352</v>
      </c>
      <c r="AJ2231" s="471">
        <v>7.8845925710272846E-4</v>
      </c>
      <c r="AK2231" s="218">
        <v>91.44263169536714</v>
      </c>
      <c r="AL2231" s="470">
        <v>0.68110567894582352</v>
      </c>
      <c r="AM2231" s="471">
        <v>7.8845925710272846E-4</v>
      </c>
      <c r="AN2231" s="477">
        <v>91.44263169536714</v>
      </c>
      <c r="AO2231" s="473">
        <v>0.68110567894582352</v>
      </c>
      <c r="AP2231" s="474">
        <v>7.8826575834694624E-4</v>
      </c>
      <c r="AQ2231" s="352"/>
      <c r="AR2231" s="352"/>
      <c r="AS2231" s="352"/>
      <c r="AT2231" s="352"/>
      <c r="AU2231" s="352"/>
      <c r="AV2231" s="352"/>
      <c r="AW2231" s="352" t="s">
        <v>254</v>
      </c>
    </row>
    <row r="2232" spans="2:49" x14ac:dyDescent="0.2">
      <c r="B2232" s="460" t="s">
        <v>3026</v>
      </c>
      <c r="C2232" s="460">
        <v>2223</v>
      </c>
      <c r="D2232" s="460" t="s">
        <v>2307</v>
      </c>
      <c r="E2232" s="460" t="s">
        <v>2299</v>
      </c>
      <c r="F2232" s="460">
        <v>2</v>
      </c>
      <c r="G2232" s="460">
        <v>2</v>
      </c>
      <c r="H2232" s="461" t="s">
        <v>712</v>
      </c>
      <c r="I2232" s="461" t="s">
        <v>713</v>
      </c>
      <c r="J2232" s="461" t="s">
        <v>712</v>
      </c>
      <c r="K2232" s="594"/>
      <c r="L2232" s="594"/>
      <c r="M2232" s="352">
        <v>2000</v>
      </c>
      <c r="N2232" s="352" t="s">
        <v>703</v>
      </c>
      <c r="O2232" s="460">
        <v>2223</v>
      </c>
      <c r="P2232" s="460" t="s">
        <v>1886</v>
      </c>
      <c r="Q2232" s="460" t="s">
        <v>2280</v>
      </c>
      <c r="R2232" s="460">
        <v>2121</v>
      </c>
      <c r="S2232" s="460" t="s">
        <v>2296</v>
      </c>
      <c r="T2232" s="462">
        <v>0.55517361979372948</v>
      </c>
      <c r="U2232" s="460" t="s">
        <v>2299</v>
      </c>
      <c r="V2232" s="475">
        <v>0</v>
      </c>
      <c r="W2232" s="463" t="s">
        <v>713</v>
      </c>
      <c r="X2232" s="463" t="s">
        <v>713</v>
      </c>
      <c r="Y2232" s="463" t="s">
        <v>713</v>
      </c>
      <c r="Z2232" s="463"/>
      <c r="AA2232" s="463"/>
      <c r="AB2232" s="464">
        <v>70.097525575529716</v>
      </c>
      <c r="AC2232" s="465">
        <v>0.99977959394218352</v>
      </c>
      <c r="AD2232" s="465">
        <v>8.1080073163144063E-4</v>
      </c>
      <c r="AE2232" s="476">
        <v>70.103706905642241</v>
      </c>
      <c r="AF2232" s="467">
        <v>0.99986775636531011</v>
      </c>
      <c r="AG2232" s="468">
        <v>8.0751099091417699E-4</v>
      </c>
      <c r="AH2232" s="218">
        <v>57.700056903911545</v>
      </c>
      <c r="AI2232" s="470">
        <v>0.8229582854486891</v>
      </c>
      <c r="AJ2232" s="471">
        <v>6.7600816968630838E-4</v>
      </c>
      <c r="AK2232" s="218">
        <v>57.700056903911545</v>
      </c>
      <c r="AL2232" s="470">
        <v>0.8229582854486891</v>
      </c>
      <c r="AM2232" s="471">
        <v>6.7600816968630838E-4</v>
      </c>
      <c r="AN2232" s="477">
        <v>57.700056903911545</v>
      </c>
      <c r="AO2232" s="473">
        <v>0.8229582854486891</v>
      </c>
      <c r="AP2232" s="474">
        <v>6.7592283399731546E-4</v>
      </c>
      <c r="AQ2232" s="352"/>
      <c r="AR2232" s="352"/>
      <c r="AS2232" s="352"/>
      <c r="AT2232" s="352"/>
      <c r="AU2232" s="352"/>
      <c r="AV2232" s="352"/>
      <c r="AW2232" s="352" t="s">
        <v>254</v>
      </c>
    </row>
    <row r="2233" spans="2:49" x14ac:dyDescent="0.2">
      <c r="B2233" s="460" t="s">
        <v>3027</v>
      </c>
      <c r="C2233" s="460">
        <v>2223</v>
      </c>
      <c r="D2233" s="460" t="s">
        <v>2308</v>
      </c>
      <c r="E2233" s="460" t="s">
        <v>2302</v>
      </c>
      <c r="F2233" s="460">
        <v>3</v>
      </c>
      <c r="G2233" s="460">
        <v>2</v>
      </c>
      <c r="H2233" s="461" t="s">
        <v>712</v>
      </c>
      <c r="I2233" s="461" t="s">
        <v>713</v>
      </c>
      <c r="J2233" s="461" t="s">
        <v>712</v>
      </c>
      <c r="K2233" s="594"/>
      <c r="L2233" s="594"/>
      <c r="M2233" s="352">
        <v>2000</v>
      </c>
      <c r="N2233" s="352" t="s">
        <v>703</v>
      </c>
      <c r="O2233" s="460">
        <v>2223</v>
      </c>
      <c r="P2233" s="460" t="s">
        <v>1886</v>
      </c>
      <c r="Q2233" s="460" t="s">
        <v>2280</v>
      </c>
      <c r="R2233" s="460">
        <v>2121</v>
      </c>
      <c r="S2233" s="460" t="s">
        <v>2296</v>
      </c>
      <c r="T2233" s="462">
        <v>0.28481449642268464</v>
      </c>
      <c r="U2233" s="460" t="s">
        <v>2302</v>
      </c>
      <c r="V2233" s="475">
        <v>0</v>
      </c>
      <c r="W2233" s="463" t="s">
        <v>713</v>
      </c>
      <c r="X2233" s="463" t="s">
        <v>713</v>
      </c>
      <c r="Y2233" s="463" t="s">
        <v>713</v>
      </c>
      <c r="Z2233" s="463"/>
      <c r="AA2233" s="463"/>
      <c r="AB2233" s="464">
        <v>24.459821935517073</v>
      </c>
      <c r="AC2233" s="465">
        <v>0.99998489797213497</v>
      </c>
      <c r="AD2233" s="465">
        <v>7.1147509745334058E-4</v>
      </c>
      <c r="AE2233" s="476">
        <v>24.459969694913518</v>
      </c>
      <c r="AF2233" s="467">
        <v>0.99999093878328105</v>
      </c>
      <c r="AG2233" s="468">
        <v>7.1027047691069923E-4</v>
      </c>
      <c r="AH2233" s="218">
        <v>24.453195922936729</v>
      </c>
      <c r="AI2233" s="470">
        <v>0.99971400832577595</v>
      </c>
      <c r="AJ2233" s="471">
        <v>7.2069863480380845E-4</v>
      </c>
      <c r="AK2233" s="218">
        <v>24.453195922936729</v>
      </c>
      <c r="AL2233" s="470">
        <v>0.99971400832577595</v>
      </c>
      <c r="AM2233" s="471">
        <v>7.2069863480380845E-4</v>
      </c>
      <c r="AN2233" s="477">
        <v>22.238576711130676</v>
      </c>
      <c r="AO2233" s="473">
        <v>0.90917427453690081</v>
      </c>
      <c r="AP2233" s="474">
        <v>6.5599803657226364E-4</v>
      </c>
      <c r="AQ2233" s="352"/>
      <c r="AR2233" s="352"/>
      <c r="AS2233" s="352"/>
      <c r="AT2233" s="352"/>
      <c r="AU2233" s="352"/>
      <c r="AV2233" s="352"/>
      <c r="AW2233" s="352" t="s">
        <v>254</v>
      </c>
    </row>
    <row r="2234" spans="2:49" x14ac:dyDescent="0.2">
      <c r="B2234" s="460" t="s">
        <v>3028</v>
      </c>
      <c r="C2234" s="460">
        <v>2223</v>
      </c>
      <c r="D2234" s="460" t="s">
        <v>2309</v>
      </c>
      <c r="E2234" s="460" t="s">
        <v>2305</v>
      </c>
      <c r="F2234" s="460">
        <v>4</v>
      </c>
      <c r="G2234" s="460">
        <v>2</v>
      </c>
      <c r="H2234" s="461" t="s">
        <v>712</v>
      </c>
      <c r="I2234" s="461" t="s">
        <v>713</v>
      </c>
      <c r="J2234" s="461" t="s">
        <v>712</v>
      </c>
      <c r="K2234" s="594"/>
      <c r="L2234" s="594"/>
      <c r="M2234" s="352">
        <v>2000</v>
      </c>
      <c r="N2234" s="352" t="s">
        <v>703</v>
      </c>
      <c r="O2234" s="460">
        <v>2223</v>
      </c>
      <c r="P2234" s="460" t="s">
        <v>1886</v>
      </c>
      <c r="Q2234" s="460" t="s">
        <v>2280</v>
      </c>
      <c r="R2234" s="460">
        <v>2121</v>
      </c>
      <c r="S2234" s="460" t="s">
        <v>2305</v>
      </c>
      <c r="T2234" s="462">
        <v>1</v>
      </c>
      <c r="U2234" s="460" t="s">
        <v>2305</v>
      </c>
      <c r="V2234" s="475">
        <v>0</v>
      </c>
      <c r="W2234" s="463" t="s">
        <v>713</v>
      </c>
      <c r="X2234" s="463" t="s">
        <v>713</v>
      </c>
      <c r="Y2234" s="463" t="s">
        <v>713</v>
      </c>
      <c r="Z2234" s="463"/>
      <c r="AA2234" s="463"/>
      <c r="AB2234" s="464">
        <v>27.7325313064709</v>
      </c>
      <c r="AC2234" s="465">
        <v>1</v>
      </c>
      <c r="AD2234" s="465">
        <v>7.0828614335409924E-4</v>
      </c>
      <c r="AE2234" s="476">
        <v>27.7325313064709</v>
      </c>
      <c r="AF2234" s="467">
        <v>1</v>
      </c>
      <c r="AG2234" s="468">
        <v>7.082634240939635E-4</v>
      </c>
      <c r="AH2234" s="218">
        <v>27.7325313064709</v>
      </c>
      <c r="AI2234" s="470">
        <v>1</v>
      </c>
      <c r="AJ2234" s="471">
        <v>7.082642814680649E-4</v>
      </c>
      <c r="AK2234" s="218">
        <v>27.7325313064709</v>
      </c>
      <c r="AL2234" s="470">
        <v>1</v>
      </c>
      <c r="AM2234" s="471">
        <v>7.082642814680649E-4</v>
      </c>
      <c r="AN2234" s="477">
        <v>27.7325313064709</v>
      </c>
      <c r="AO2234" s="473">
        <v>1</v>
      </c>
      <c r="AP2234" s="474">
        <v>7.0826514781613327E-4</v>
      </c>
      <c r="AQ2234" s="352"/>
      <c r="AR2234" s="352"/>
      <c r="AS2234" s="352"/>
      <c r="AT2234" s="352"/>
      <c r="AU2234" s="352"/>
      <c r="AV2234" s="352"/>
      <c r="AW2234" s="352" t="s">
        <v>254</v>
      </c>
    </row>
    <row r="2235" spans="2:49" x14ac:dyDescent="0.2">
      <c r="B2235" s="460" t="s">
        <v>3025</v>
      </c>
      <c r="C2235" s="460">
        <v>2223</v>
      </c>
      <c r="D2235" s="460" t="s">
        <v>2310</v>
      </c>
      <c r="E2235" s="460" t="s">
        <v>2296</v>
      </c>
      <c r="F2235" s="460">
        <v>1</v>
      </c>
      <c r="G2235" s="460">
        <v>2</v>
      </c>
      <c r="H2235" s="461" t="s">
        <v>746</v>
      </c>
      <c r="I2235" s="461" t="s">
        <v>762</v>
      </c>
      <c r="J2235" s="461" t="s">
        <v>700</v>
      </c>
      <c r="K2235" s="594"/>
      <c r="L2235" s="594"/>
      <c r="M2235" s="352">
        <v>2000</v>
      </c>
      <c r="N2235" s="352" t="s">
        <v>703</v>
      </c>
      <c r="O2235" s="460">
        <v>2223</v>
      </c>
      <c r="P2235" s="460" t="s">
        <v>1886</v>
      </c>
      <c r="Q2235" s="460" t="s">
        <v>2531</v>
      </c>
      <c r="R2235" s="460">
        <v>2121</v>
      </c>
      <c r="S2235" s="460" t="s">
        <v>2296</v>
      </c>
      <c r="T2235" s="462">
        <v>1</v>
      </c>
      <c r="U2235" s="460" t="s">
        <v>2296</v>
      </c>
      <c r="V2235" s="475">
        <v>0</v>
      </c>
      <c r="W2235" s="463" t="s">
        <v>2268</v>
      </c>
      <c r="X2235" s="463" t="s">
        <v>2268</v>
      </c>
      <c r="Y2235" s="463" t="s">
        <v>2290</v>
      </c>
      <c r="Z2235" s="463"/>
      <c r="AA2235" s="463"/>
      <c r="AB2235" s="464">
        <v>0</v>
      </c>
      <c r="AC2235" s="465">
        <v>0</v>
      </c>
      <c r="AD2235" s="465">
        <v>0</v>
      </c>
      <c r="AE2235" s="476">
        <v>0</v>
      </c>
      <c r="AF2235" s="467">
        <v>0</v>
      </c>
      <c r="AG2235" s="468">
        <v>0</v>
      </c>
      <c r="AH2235" s="218">
        <v>0</v>
      </c>
      <c r="AI2235" s="470">
        <v>0</v>
      </c>
      <c r="AJ2235" s="471">
        <v>0</v>
      </c>
      <c r="AK2235" s="218">
        <v>0</v>
      </c>
      <c r="AL2235" s="470">
        <v>0</v>
      </c>
      <c r="AM2235" s="471">
        <v>0</v>
      </c>
      <c r="AN2235" s="477">
        <v>0</v>
      </c>
      <c r="AO2235" s="473">
        <v>0</v>
      </c>
      <c r="AP2235" s="474">
        <v>0</v>
      </c>
      <c r="AQ2235" s="352"/>
      <c r="AR2235" s="352"/>
      <c r="AS2235" s="352"/>
      <c r="AT2235" s="352"/>
      <c r="AU2235" s="352"/>
      <c r="AV2235" s="352"/>
      <c r="AW2235" s="352" t="s">
        <v>254</v>
      </c>
    </row>
    <row r="2236" spans="2:49" x14ac:dyDescent="0.2">
      <c r="B2236" s="460" t="s">
        <v>3026</v>
      </c>
      <c r="C2236" s="460">
        <v>2223</v>
      </c>
      <c r="D2236" s="460" t="s">
        <v>2311</v>
      </c>
      <c r="E2236" s="460" t="s">
        <v>2299</v>
      </c>
      <c r="F2236" s="460">
        <v>2</v>
      </c>
      <c r="G2236" s="460">
        <v>2</v>
      </c>
      <c r="H2236" s="461" t="s">
        <v>746</v>
      </c>
      <c r="I2236" s="461" t="s">
        <v>762</v>
      </c>
      <c r="J2236" s="461" t="s">
        <v>700</v>
      </c>
      <c r="K2236" s="594"/>
      <c r="L2236" s="594"/>
      <c r="M2236" s="352">
        <v>2000</v>
      </c>
      <c r="N2236" s="352" t="s">
        <v>703</v>
      </c>
      <c r="O2236" s="460">
        <v>2223</v>
      </c>
      <c r="P2236" s="460" t="s">
        <v>1886</v>
      </c>
      <c r="Q2236" s="460" t="s">
        <v>2531</v>
      </c>
      <c r="R2236" s="460">
        <v>2121</v>
      </c>
      <c r="S2236" s="460" t="s">
        <v>2296</v>
      </c>
      <c r="T2236" s="462">
        <v>0.55517361979372948</v>
      </c>
      <c r="U2236" s="460" t="s">
        <v>2299</v>
      </c>
      <c r="V2236" s="475">
        <v>0</v>
      </c>
      <c r="W2236" s="463" t="s">
        <v>2268</v>
      </c>
      <c r="X2236" s="463" t="s">
        <v>2268</v>
      </c>
      <c r="Y2236" s="463" t="s">
        <v>2290</v>
      </c>
      <c r="Z2236" s="463"/>
      <c r="AA2236" s="463"/>
      <c r="AB2236" s="464">
        <v>0</v>
      </c>
      <c r="AC2236" s="465">
        <v>0</v>
      </c>
      <c r="AD2236" s="465">
        <v>0</v>
      </c>
      <c r="AE2236" s="476">
        <v>0</v>
      </c>
      <c r="AF2236" s="467">
        <v>0</v>
      </c>
      <c r="AG2236" s="468">
        <v>0</v>
      </c>
      <c r="AH2236" s="218">
        <v>0</v>
      </c>
      <c r="AI2236" s="470">
        <v>0</v>
      </c>
      <c r="AJ2236" s="471">
        <v>0</v>
      </c>
      <c r="AK2236" s="218">
        <v>0</v>
      </c>
      <c r="AL2236" s="470">
        <v>0</v>
      </c>
      <c r="AM2236" s="471">
        <v>0</v>
      </c>
      <c r="AN2236" s="477">
        <v>0</v>
      </c>
      <c r="AO2236" s="473">
        <v>0</v>
      </c>
      <c r="AP2236" s="474">
        <v>0</v>
      </c>
      <c r="AQ2236" s="352"/>
      <c r="AR2236" s="352"/>
      <c r="AS2236" s="352"/>
      <c r="AT2236" s="352"/>
      <c r="AU2236" s="352"/>
      <c r="AV2236" s="352"/>
      <c r="AW2236" s="352" t="s">
        <v>254</v>
      </c>
    </row>
    <row r="2237" spans="2:49" x14ac:dyDescent="0.2">
      <c r="B2237" s="460" t="s">
        <v>3027</v>
      </c>
      <c r="C2237" s="460">
        <v>2223</v>
      </c>
      <c r="D2237" s="460" t="s">
        <v>2312</v>
      </c>
      <c r="E2237" s="460" t="s">
        <v>2302</v>
      </c>
      <c r="F2237" s="460">
        <v>3</v>
      </c>
      <c r="G2237" s="460">
        <v>2</v>
      </c>
      <c r="H2237" s="461" t="s">
        <v>746</v>
      </c>
      <c r="I2237" s="461" t="s">
        <v>762</v>
      </c>
      <c r="J2237" s="461" t="s">
        <v>700</v>
      </c>
      <c r="K2237" s="594"/>
      <c r="L2237" s="594"/>
      <c r="M2237" s="352">
        <v>2000</v>
      </c>
      <c r="N2237" s="352" t="s">
        <v>703</v>
      </c>
      <c r="O2237" s="460">
        <v>2223</v>
      </c>
      <c r="P2237" s="460" t="s">
        <v>1886</v>
      </c>
      <c r="Q2237" s="460" t="s">
        <v>2531</v>
      </c>
      <c r="R2237" s="460">
        <v>2121</v>
      </c>
      <c r="S2237" s="460" t="s">
        <v>2296</v>
      </c>
      <c r="T2237" s="462">
        <v>0.28481449642268464</v>
      </c>
      <c r="U2237" s="460" t="s">
        <v>2302</v>
      </c>
      <c r="V2237" s="475">
        <v>0</v>
      </c>
      <c r="W2237" s="463" t="s">
        <v>2268</v>
      </c>
      <c r="X2237" s="463" t="s">
        <v>2268</v>
      </c>
      <c r="Y2237" s="463" t="s">
        <v>2290</v>
      </c>
      <c r="Z2237" s="463"/>
      <c r="AA2237" s="463"/>
      <c r="AB2237" s="464">
        <v>0</v>
      </c>
      <c r="AC2237" s="465">
        <v>0</v>
      </c>
      <c r="AD2237" s="465">
        <v>0</v>
      </c>
      <c r="AE2237" s="476">
        <v>0</v>
      </c>
      <c r="AF2237" s="467">
        <v>0</v>
      </c>
      <c r="AG2237" s="468">
        <v>0</v>
      </c>
      <c r="AH2237" s="218">
        <v>0</v>
      </c>
      <c r="AI2237" s="470">
        <v>0</v>
      </c>
      <c r="AJ2237" s="471">
        <v>0</v>
      </c>
      <c r="AK2237" s="218">
        <v>0</v>
      </c>
      <c r="AL2237" s="470">
        <v>0</v>
      </c>
      <c r="AM2237" s="471">
        <v>0</v>
      </c>
      <c r="AN2237" s="477">
        <v>0</v>
      </c>
      <c r="AO2237" s="473">
        <v>0</v>
      </c>
      <c r="AP2237" s="474">
        <v>0</v>
      </c>
      <c r="AQ2237" s="352"/>
      <c r="AR2237" s="352"/>
      <c r="AS2237" s="352"/>
      <c r="AT2237" s="352"/>
      <c r="AU2237" s="352"/>
      <c r="AV2237" s="352"/>
      <c r="AW2237" s="352" t="s">
        <v>254</v>
      </c>
    </row>
    <row r="2238" spans="2:49" x14ac:dyDescent="0.2">
      <c r="B2238" s="460" t="s">
        <v>3028</v>
      </c>
      <c r="C2238" s="460">
        <v>2223</v>
      </c>
      <c r="D2238" s="460" t="s">
        <v>2313</v>
      </c>
      <c r="E2238" s="460" t="s">
        <v>2305</v>
      </c>
      <c r="F2238" s="460">
        <v>4</v>
      </c>
      <c r="G2238" s="460">
        <v>2</v>
      </c>
      <c r="H2238" s="461" t="s">
        <v>746</v>
      </c>
      <c r="I2238" s="461" t="s">
        <v>762</v>
      </c>
      <c r="J2238" s="461" t="s">
        <v>700</v>
      </c>
      <c r="K2238" s="594"/>
      <c r="L2238" s="594"/>
      <c r="M2238" s="352">
        <v>2000</v>
      </c>
      <c r="N2238" s="352" t="s">
        <v>703</v>
      </c>
      <c r="O2238" s="460">
        <v>2223</v>
      </c>
      <c r="P2238" s="460" t="s">
        <v>1886</v>
      </c>
      <c r="Q2238" s="460" t="s">
        <v>2531</v>
      </c>
      <c r="R2238" s="460">
        <v>2121</v>
      </c>
      <c r="S2238" s="460" t="s">
        <v>2305</v>
      </c>
      <c r="T2238" s="462">
        <v>1</v>
      </c>
      <c r="U2238" s="460" t="s">
        <v>2305</v>
      </c>
      <c r="V2238" s="475">
        <v>0</v>
      </c>
      <c r="W2238" s="463" t="s">
        <v>2268</v>
      </c>
      <c r="X2238" s="463" t="s">
        <v>2268</v>
      </c>
      <c r="Y2238" s="463" t="s">
        <v>2290</v>
      </c>
      <c r="Z2238" s="463"/>
      <c r="AA2238" s="463"/>
      <c r="AB2238" s="464">
        <v>0</v>
      </c>
      <c r="AC2238" s="465">
        <v>0</v>
      </c>
      <c r="AD2238" s="465">
        <v>0</v>
      </c>
      <c r="AE2238" s="476">
        <v>0</v>
      </c>
      <c r="AF2238" s="467">
        <v>0</v>
      </c>
      <c r="AG2238" s="468">
        <v>0</v>
      </c>
      <c r="AH2238" s="218">
        <v>0</v>
      </c>
      <c r="AI2238" s="470">
        <v>0</v>
      </c>
      <c r="AJ2238" s="471">
        <v>0</v>
      </c>
      <c r="AK2238" s="218">
        <v>0</v>
      </c>
      <c r="AL2238" s="470">
        <v>0</v>
      </c>
      <c r="AM2238" s="471">
        <v>0</v>
      </c>
      <c r="AN2238" s="477">
        <v>0</v>
      </c>
      <c r="AO2238" s="473">
        <v>0</v>
      </c>
      <c r="AP2238" s="474">
        <v>0</v>
      </c>
      <c r="AQ2238" s="352"/>
      <c r="AR2238" s="352"/>
      <c r="AS2238" s="352"/>
      <c r="AT2238" s="352"/>
      <c r="AU2238" s="352"/>
      <c r="AV2238" s="352"/>
      <c r="AW2238" s="352" t="s">
        <v>254</v>
      </c>
    </row>
    <row r="2239" spans="2:49" x14ac:dyDescent="0.2">
      <c r="B2239" s="460" t="s">
        <v>3025</v>
      </c>
      <c r="C2239" s="460">
        <v>2223</v>
      </c>
      <c r="D2239" s="460" t="s">
        <v>2314</v>
      </c>
      <c r="E2239" s="460" t="s">
        <v>2296</v>
      </c>
      <c r="F2239" s="460">
        <v>1</v>
      </c>
      <c r="G2239" s="460">
        <v>2</v>
      </c>
      <c r="H2239" s="461" t="s">
        <v>748</v>
      </c>
      <c r="I2239" s="461" t="s">
        <v>765</v>
      </c>
      <c r="J2239" s="461" t="s">
        <v>700</v>
      </c>
      <c r="K2239" s="594"/>
      <c r="L2239" s="594"/>
      <c r="M2239" s="352">
        <v>2000</v>
      </c>
      <c r="N2239" s="352" t="s">
        <v>703</v>
      </c>
      <c r="O2239" s="460">
        <v>2223</v>
      </c>
      <c r="P2239" s="460" t="s">
        <v>1886</v>
      </c>
      <c r="Q2239" s="460" t="s">
        <v>2527</v>
      </c>
      <c r="R2239" s="460">
        <v>2121</v>
      </c>
      <c r="S2239" s="460" t="s">
        <v>2296</v>
      </c>
      <c r="T2239" s="462">
        <v>1</v>
      </c>
      <c r="U2239" s="460" t="s">
        <v>2296</v>
      </c>
      <c r="V2239" s="475">
        <v>0</v>
      </c>
      <c r="W2239" s="463" t="s">
        <v>2268</v>
      </c>
      <c r="X2239" s="463" t="s">
        <v>2268</v>
      </c>
      <c r="Y2239" s="463" t="s">
        <v>2267</v>
      </c>
      <c r="Z2239" s="463"/>
      <c r="AA2239" s="463"/>
      <c r="AB2239" s="464">
        <v>0</v>
      </c>
      <c r="AC2239" s="465">
        <v>0</v>
      </c>
      <c r="AD2239" s="465">
        <v>0</v>
      </c>
      <c r="AE2239" s="476">
        <v>0</v>
      </c>
      <c r="AF2239" s="467">
        <v>0</v>
      </c>
      <c r="AG2239" s="468">
        <v>0</v>
      </c>
      <c r="AH2239" s="218">
        <v>0</v>
      </c>
      <c r="AI2239" s="470">
        <v>0</v>
      </c>
      <c r="AJ2239" s="471">
        <v>0</v>
      </c>
      <c r="AK2239" s="218">
        <v>0</v>
      </c>
      <c r="AL2239" s="470">
        <v>0</v>
      </c>
      <c r="AM2239" s="471">
        <v>0</v>
      </c>
      <c r="AN2239" s="477">
        <v>42.813526375281782</v>
      </c>
      <c r="AO2239" s="473">
        <v>0.31889432105417648</v>
      </c>
      <c r="AP2239" s="474">
        <v>1.3078945866665709E-2</v>
      </c>
      <c r="AQ2239" s="352"/>
      <c r="AR2239" s="352"/>
      <c r="AS2239" s="352"/>
      <c r="AT2239" s="352"/>
      <c r="AU2239" s="352"/>
      <c r="AV2239" s="352"/>
      <c r="AW2239" s="352" t="s">
        <v>254</v>
      </c>
    </row>
    <row r="2240" spans="2:49" x14ac:dyDescent="0.2">
      <c r="B2240" s="460" t="s">
        <v>3026</v>
      </c>
      <c r="C2240" s="460">
        <v>2223</v>
      </c>
      <c r="D2240" s="460" t="s">
        <v>2315</v>
      </c>
      <c r="E2240" s="460" t="s">
        <v>2299</v>
      </c>
      <c r="F2240" s="460">
        <v>2</v>
      </c>
      <c r="G2240" s="460">
        <v>2</v>
      </c>
      <c r="H2240" s="461" t="s">
        <v>748</v>
      </c>
      <c r="I2240" s="461" t="s">
        <v>765</v>
      </c>
      <c r="J2240" s="461" t="s">
        <v>700</v>
      </c>
      <c r="K2240" s="594"/>
      <c r="L2240" s="594"/>
      <c r="M2240" s="352">
        <v>2000</v>
      </c>
      <c r="N2240" s="352" t="s">
        <v>703</v>
      </c>
      <c r="O2240" s="460">
        <v>2223</v>
      </c>
      <c r="P2240" s="460" t="s">
        <v>1886</v>
      </c>
      <c r="Q2240" s="460" t="s">
        <v>2527</v>
      </c>
      <c r="R2240" s="460">
        <v>2121</v>
      </c>
      <c r="S2240" s="460" t="s">
        <v>2296</v>
      </c>
      <c r="T2240" s="462">
        <v>0.55517361979372948</v>
      </c>
      <c r="U2240" s="460" t="s">
        <v>2299</v>
      </c>
      <c r="V2240" s="475">
        <v>0</v>
      </c>
      <c r="W2240" s="463" t="s">
        <v>2268</v>
      </c>
      <c r="X2240" s="463" t="s">
        <v>2268</v>
      </c>
      <c r="Y2240" s="463" t="s">
        <v>2267</v>
      </c>
      <c r="Z2240" s="463"/>
      <c r="AA2240" s="463"/>
      <c r="AB2240" s="464">
        <v>0</v>
      </c>
      <c r="AC2240" s="465">
        <v>0</v>
      </c>
      <c r="AD2240" s="465">
        <v>0</v>
      </c>
      <c r="AE2240" s="476">
        <v>0</v>
      </c>
      <c r="AF2240" s="467">
        <v>0</v>
      </c>
      <c r="AG2240" s="468">
        <v>0</v>
      </c>
      <c r="AH2240" s="218">
        <v>0</v>
      </c>
      <c r="AI2240" s="470">
        <v>0</v>
      </c>
      <c r="AJ2240" s="471">
        <v>0</v>
      </c>
      <c r="AK2240" s="218">
        <v>0</v>
      </c>
      <c r="AL2240" s="470">
        <v>0</v>
      </c>
      <c r="AM2240" s="471">
        <v>0</v>
      </c>
      <c r="AN2240" s="477">
        <v>12.412921996899465</v>
      </c>
      <c r="AO2240" s="473">
        <v>0.17704171455131087</v>
      </c>
      <c r="AP2240" s="474">
        <v>1.1500350115587367E-2</v>
      </c>
      <c r="AQ2240" s="352"/>
      <c r="AR2240" s="352"/>
      <c r="AS2240" s="352"/>
      <c r="AT2240" s="352"/>
      <c r="AU2240" s="352"/>
      <c r="AV2240" s="352"/>
      <c r="AW2240" s="352" t="s">
        <v>254</v>
      </c>
    </row>
    <row r="2241" spans="2:49" x14ac:dyDescent="0.2">
      <c r="B2241" s="460" t="s">
        <v>3027</v>
      </c>
      <c r="C2241" s="460">
        <v>2223</v>
      </c>
      <c r="D2241" s="460" t="s">
        <v>2316</v>
      </c>
      <c r="E2241" s="460" t="s">
        <v>2302</v>
      </c>
      <c r="F2241" s="460">
        <v>3</v>
      </c>
      <c r="G2241" s="460">
        <v>2</v>
      </c>
      <c r="H2241" s="461" t="s">
        <v>748</v>
      </c>
      <c r="I2241" s="461" t="s">
        <v>765</v>
      </c>
      <c r="J2241" s="461" t="s">
        <v>700</v>
      </c>
      <c r="K2241" s="594"/>
      <c r="L2241" s="594"/>
      <c r="M2241" s="352">
        <v>2000</v>
      </c>
      <c r="N2241" s="352" t="s">
        <v>703</v>
      </c>
      <c r="O2241" s="460">
        <v>2223</v>
      </c>
      <c r="P2241" s="460" t="s">
        <v>1886</v>
      </c>
      <c r="Q2241" s="460" t="s">
        <v>2527</v>
      </c>
      <c r="R2241" s="460">
        <v>2121</v>
      </c>
      <c r="S2241" s="460" t="s">
        <v>2296</v>
      </c>
      <c r="T2241" s="462">
        <v>0.28481449642268464</v>
      </c>
      <c r="U2241" s="460" t="s">
        <v>2302</v>
      </c>
      <c r="V2241" s="475">
        <v>0</v>
      </c>
      <c r="W2241" s="463" t="s">
        <v>2268</v>
      </c>
      <c r="X2241" s="463" t="s">
        <v>2268</v>
      </c>
      <c r="Y2241" s="463" t="s">
        <v>2267</v>
      </c>
      <c r="Z2241" s="463"/>
      <c r="AA2241" s="463"/>
      <c r="AB2241" s="464">
        <v>0</v>
      </c>
      <c r="AC2241" s="465">
        <v>0</v>
      </c>
      <c r="AD2241" s="465">
        <v>0</v>
      </c>
      <c r="AE2241" s="476">
        <v>0</v>
      </c>
      <c r="AF2241" s="467">
        <v>0</v>
      </c>
      <c r="AG2241" s="468">
        <v>0</v>
      </c>
      <c r="AH2241" s="218">
        <v>0</v>
      </c>
      <c r="AI2241" s="470">
        <v>0</v>
      </c>
      <c r="AJ2241" s="471">
        <v>0</v>
      </c>
      <c r="AK2241" s="218">
        <v>0</v>
      </c>
      <c r="AL2241" s="470">
        <v>0</v>
      </c>
      <c r="AM2241" s="471">
        <v>0</v>
      </c>
      <c r="AN2241" s="477">
        <v>2.2216146228775053</v>
      </c>
      <c r="AO2241" s="473">
        <v>9.0825725463099194E-2</v>
      </c>
      <c r="AP2241" s="474">
        <v>9.5061414481945709E-3</v>
      </c>
      <c r="AQ2241" s="352"/>
      <c r="AR2241" s="352"/>
      <c r="AS2241" s="352"/>
      <c r="AT2241" s="352"/>
      <c r="AU2241" s="352"/>
      <c r="AV2241" s="352"/>
      <c r="AW2241" s="352" t="s">
        <v>254</v>
      </c>
    </row>
    <row r="2242" spans="2:49" x14ac:dyDescent="0.2">
      <c r="B2242" s="460" t="s">
        <v>3028</v>
      </c>
      <c r="C2242" s="460">
        <v>2223</v>
      </c>
      <c r="D2242" s="460" t="s">
        <v>2317</v>
      </c>
      <c r="E2242" s="460" t="s">
        <v>2305</v>
      </c>
      <c r="F2242" s="460">
        <v>4</v>
      </c>
      <c r="G2242" s="460">
        <v>2</v>
      </c>
      <c r="H2242" s="461" t="s">
        <v>748</v>
      </c>
      <c r="I2242" s="461" t="s">
        <v>765</v>
      </c>
      <c r="J2242" s="461" t="s">
        <v>700</v>
      </c>
      <c r="K2242" s="594"/>
      <c r="L2242" s="594"/>
      <c r="M2242" s="352">
        <v>2000</v>
      </c>
      <c r="N2242" s="352" t="s">
        <v>703</v>
      </c>
      <c r="O2242" s="460">
        <v>2223</v>
      </c>
      <c r="P2242" s="460" t="s">
        <v>1886</v>
      </c>
      <c r="Q2242" s="460" t="s">
        <v>2527</v>
      </c>
      <c r="R2242" s="460">
        <v>2121</v>
      </c>
      <c r="S2242" s="460" t="s">
        <v>2305</v>
      </c>
      <c r="T2242" s="462">
        <v>1</v>
      </c>
      <c r="U2242" s="460" t="s">
        <v>2305</v>
      </c>
      <c r="V2242" s="475">
        <v>0</v>
      </c>
      <c r="W2242" s="463" t="s">
        <v>2268</v>
      </c>
      <c r="X2242" s="463" t="s">
        <v>2268</v>
      </c>
      <c r="Y2242" s="463" t="s">
        <v>2278</v>
      </c>
      <c r="Z2242" s="463"/>
      <c r="AA2242" s="463"/>
      <c r="AB2242" s="464">
        <v>0</v>
      </c>
      <c r="AC2242" s="465">
        <v>0</v>
      </c>
      <c r="AD2242" s="465">
        <v>0</v>
      </c>
      <c r="AE2242" s="476">
        <v>0</v>
      </c>
      <c r="AF2242" s="467">
        <v>0</v>
      </c>
      <c r="AG2242" s="468">
        <v>0</v>
      </c>
      <c r="AH2242" s="218">
        <v>0</v>
      </c>
      <c r="AI2242" s="470">
        <v>0</v>
      </c>
      <c r="AJ2242" s="471">
        <v>0</v>
      </c>
      <c r="AK2242" s="218">
        <v>0</v>
      </c>
      <c r="AL2242" s="470">
        <v>0</v>
      </c>
      <c r="AM2242" s="471">
        <v>0</v>
      </c>
      <c r="AN2242" s="477">
        <v>0</v>
      </c>
      <c r="AO2242" s="473">
        <v>0</v>
      </c>
      <c r="AP2242" s="474">
        <v>0</v>
      </c>
      <c r="AQ2242" s="352"/>
      <c r="AR2242" s="352"/>
      <c r="AS2242" s="352"/>
      <c r="AT2242" s="352"/>
      <c r="AU2242" s="352"/>
      <c r="AV2242" s="352"/>
      <c r="AW2242" s="352" t="s">
        <v>254</v>
      </c>
    </row>
    <row r="2243" spans="2:49" x14ac:dyDescent="0.2">
      <c r="B2243" s="460" t="s">
        <v>3029</v>
      </c>
      <c r="C2243" s="460">
        <v>2223</v>
      </c>
      <c r="D2243" s="460" t="s">
        <v>2323</v>
      </c>
      <c r="E2243" s="460" t="s">
        <v>2324</v>
      </c>
      <c r="F2243" s="460">
        <v>1</v>
      </c>
      <c r="G2243" s="460">
        <v>3</v>
      </c>
      <c r="H2243" s="461" t="s">
        <v>700</v>
      </c>
      <c r="I2243" s="461" t="s">
        <v>872</v>
      </c>
      <c r="J2243" s="461" t="s">
        <v>700</v>
      </c>
      <c r="K2243" s="594"/>
      <c r="L2243" s="594"/>
      <c r="M2243" s="352">
        <v>2000</v>
      </c>
      <c r="N2243" s="352" t="s">
        <v>703</v>
      </c>
      <c r="O2243" s="460">
        <v>2223</v>
      </c>
      <c r="P2243" s="460" t="s">
        <v>1886</v>
      </c>
      <c r="Q2243" s="460" t="s">
        <v>2527</v>
      </c>
      <c r="R2243" s="460">
        <v>2121</v>
      </c>
      <c r="S2243" s="460" t="s">
        <v>2324</v>
      </c>
      <c r="T2243" s="462">
        <v>1</v>
      </c>
      <c r="U2243" s="460" t="s">
        <v>2324</v>
      </c>
      <c r="V2243" s="475">
        <v>0</v>
      </c>
      <c r="W2243" s="463" t="s">
        <v>2503</v>
      </c>
      <c r="X2243" s="463" t="s">
        <v>2267</v>
      </c>
      <c r="Y2243" s="463" t="s">
        <v>2268</v>
      </c>
      <c r="Z2243" s="463"/>
      <c r="AA2243" s="463"/>
      <c r="AB2243" s="464">
        <v>2.5202122078640032</v>
      </c>
      <c r="AC2243" s="465">
        <v>5.8041560317480196E-3</v>
      </c>
      <c r="AD2243" s="465">
        <v>2.1604972127067716E-5</v>
      </c>
      <c r="AE2243" s="476">
        <v>1.5121273247184017</v>
      </c>
      <c r="AF2243" s="467">
        <v>3.4824936190488115E-3</v>
      </c>
      <c r="AG2243" s="468">
        <v>1.3885923130388804E-5</v>
      </c>
      <c r="AH2243" s="218">
        <v>172.84077066893397</v>
      </c>
      <c r="AI2243" s="470">
        <v>0.39805965484959044</v>
      </c>
      <c r="AJ2243" s="471">
        <v>1.5156766376696737E-3</v>
      </c>
      <c r="AK2243" s="218">
        <v>172.84077066893397</v>
      </c>
      <c r="AL2243" s="470">
        <v>0.39805965484959044</v>
      </c>
      <c r="AM2243" s="471">
        <v>1.5156766376696737E-3</v>
      </c>
      <c r="AN2243" s="477">
        <v>0</v>
      </c>
      <c r="AO2243" s="473">
        <v>0</v>
      </c>
      <c r="AP2243" s="474">
        <v>0</v>
      </c>
      <c r="AQ2243" s="352"/>
      <c r="AR2243" s="352"/>
      <c r="AS2243" s="352"/>
      <c r="AT2243" s="352"/>
      <c r="AU2243" s="352"/>
      <c r="AV2243" s="352"/>
      <c r="AW2243" s="352" t="s">
        <v>254</v>
      </c>
    </row>
    <row r="2244" spans="2:49" x14ac:dyDescent="0.2">
      <c r="B2244" s="460" t="s">
        <v>3030</v>
      </c>
      <c r="C2244" s="460">
        <v>2223</v>
      </c>
      <c r="D2244" s="460" t="s">
        <v>2326</v>
      </c>
      <c r="E2244" s="460" t="s">
        <v>2327</v>
      </c>
      <c r="F2244" s="460">
        <v>2</v>
      </c>
      <c r="G2244" s="460">
        <v>3</v>
      </c>
      <c r="H2244" s="461" t="s">
        <v>700</v>
      </c>
      <c r="I2244" s="461" t="s">
        <v>872</v>
      </c>
      <c r="J2244" s="461" t="s">
        <v>700</v>
      </c>
      <c r="K2244" s="594"/>
      <c r="L2244" s="594"/>
      <c r="M2244" s="352">
        <v>2000</v>
      </c>
      <c r="N2244" s="352" t="s">
        <v>703</v>
      </c>
      <c r="O2244" s="460">
        <v>2223</v>
      </c>
      <c r="P2244" s="460" t="s">
        <v>1886</v>
      </c>
      <c r="Q2244" s="460" t="s">
        <v>2527</v>
      </c>
      <c r="R2244" s="460">
        <v>2121</v>
      </c>
      <c r="S2244" s="460" t="s">
        <v>2324</v>
      </c>
      <c r="T2244" s="462">
        <v>1</v>
      </c>
      <c r="U2244" s="460" t="s">
        <v>2327</v>
      </c>
      <c r="V2244" s="475">
        <v>0</v>
      </c>
      <c r="W2244" s="463" t="s">
        <v>2503</v>
      </c>
      <c r="X2244" s="463" t="s">
        <v>2267</v>
      </c>
      <c r="Y2244" s="463" t="s">
        <v>2268</v>
      </c>
      <c r="Z2244" s="463"/>
      <c r="AA2244" s="463"/>
      <c r="AB2244" s="464">
        <v>0.10482546495317883</v>
      </c>
      <c r="AC2244" s="465">
        <v>2.8840124724810023E-4</v>
      </c>
      <c r="AD2244" s="465">
        <v>1.5482530484502044E-6</v>
      </c>
      <c r="AE2244" s="476">
        <v>6.289527897190729E-2</v>
      </c>
      <c r="AF2244" s="467">
        <v>1.7304074834886013E-4</v>
      </c>
      <c r="AG2244" s="468">
        <v>1.0061577668592377E-6</v>
      </c>
      <c r="AH2244" s="218">
        <v>144.68310659840625</v>
      </c>
      <c r="AI2244" s="470">
        <v>0.39805965484959044</v>
      </c>
      <c r="AJ2244" s="471">
        <v>1.9478962829633717E-3</v>
      </c>
      <c r="AK2244" s="218">
        <v>144.68310659840625</v>
      </c>
      <c r="AL2244" s="470">
        <v>0.39805965484959044</v>
      </c>
      <c r="AM2244" s="471">
        <v>1.9478962829633717E-3</v>
      </c>
      <c r="AN2244" s="477">
        <v>0</v>
      </c>
      <c r="AO2244" s="473">
        <v>0</v>
      </c>
      <c r="AP2244" s="474">
        <v>0</v>
      </c>
      <c r="AQ2244" s="352"/>
      <c r="AR2244" s="352"/>
      <c r="AS2244" s="352"/>
      <c r="AT2244" s="352"/>
      <c r="AU2244" s="352"/>
      <c r="AV2244" s="352"/>
      <c r="AW2244" s="352" t="s">
        <v>254</v>
      </c>
    </row>
    <row r="2245" spans="2:49" x14ac:dyDescent="0.2">
      <c r="B2245" s="460" t="s">
        <v>3031</v>
      </c>
      <c r="C2245" s="460">
        <v>2223</v>
      </c>
      <c r="D2245" s="460" t="s">
        <v>2329</v>
      </c>
      <c r="E2245" s="460" t="s">
        <v>2330</v>
      </c>
      <c r="F2245" s="460">
        <v>3</v>
      </c>
      <c r="G2245" s="460">
        <v>3</v>
      </c>
      <c r="H2245" s="461" t="s">
        <v>700</v>
      </c>
      <c r="I2245" s="461" t="s">
        <v>872</v>
      </c>
      <c r="J2245" s="461" t="s">
        <v>700</v>
      </c>
      <c r="K2245" s="594"/>
      <c r="L2245" s="594"/>
      <c r="M2245" s="352">
        <v>2000</v>
      </c>
      <c r="N2245" s="352" t="s">
        <v>703</v>
      </c>
      <c r="O2245" s="460">
        <v>2223</v>
      </c>
      <c r="P2245" s="460" t="s">
        <v>1886</v>
      </c>
      <c r="Q2245" s="460" t="s">
        <v>2527</v>
      </c>
      <c r="R2245" s="460">
        <v>2121</v>
      </c>
      <c r="S2245" s="460" t="s">
        <v>2324</v>
      </c>
      <c r="T2245" s="462">
        <v>1</v>
      </c>
      <c r="U2245" s="460" t="s">
        <v>2330</v>
      </c>
      <c r="V2245" s="475">
        <v>0</v>
      </c>
      <c r="W2245" s="463" t="s">
        <v>2503</v>
      </c>
      <c r="X2245" s="463" t="s">
        <v>2503</v>
      </c>
      <c r="Y2245" s="463" t="s">
        <v>2268</v>
      </c>
      <c r="Z2245" s="463"/>
      <c r="AA2245" s="463"/>
      <c r="AB2245" s="464">
        <v>0.10586255530807392</v>
      </c>
      <c r="AC2245" s="465">
        <v>8.8469189283578984E-4</v>
      </c>
      <c r="AD2245" s="465">
        <v>3.9974982672812209E-6</v>
      </c>
      <c r="AE2245" s="476">
        <v>6.3517533184844349E-2</v>
      </c>
      <c r="AF2245" s="467">
        <v>5.3081513570147384E-4</v>
      </c>
      <c r="AG2245" s="468">
        <v>2.5706220195383533E-6</v>
      </c>
      <c r="AH2245" s="218">
        <v>0.41671645952903336</v>
      </c>
      <c r="AI2245" s="470">
        <v>3.4824936190488115E-3</v>
      </c>
      <c r="AJ2245" s="471">
        <v>1.4681898929886919E-5</v>
      </c>
      <c r="AK2245" s="218">
        <v>0.41671645952903336</v>
      </c>
      <c r="AL2245" s="470">
        <v>3.4824936190488115E-3</v>
      </c>
      <c r="AM2245" s="471">
        <v>1.4681898929886919E-5</v>
      </c>
      <c r="AN2245" s="477">
        <v>0</v>
      </c>
      <c r="AO2245" s="473">
        <v>0</v>
      </c>
      <c r="AP2245" s="474">
        <v>0</v>
      </c>
      <c r="AQ2245" s="352"/>
      <c r="AR2245" s="352"/>
      <c r="AS2245" s="352"/>
      <c r="AT2245" s="352"/>
      <c r="AU2245" s="352"/>
      <c r="AV2245" s="352"/>
      <c r="AW2245" s="352" t="s">
        <v>254</v>
      </c>
    </row>
    <row r="2246" spans="2:49" x14ac:dyDescent="0.2">
      <c r="B2246" s="460" t="s">
        <v>3032</v>
      </c>
      <c r="C2246" s="460">
        <v>2223</v>
      </c>
      <c r="D2246" s="460" t="s">
        <v>2332</v>
      </c>
      <c r="E2246" s="460" t="s">
        <v>2333</v>
      </c>
      <c r="F2246" s="460">
        <v>4</v>
      </c>
      <c r="G2246" s="460">
        <v>3</v>
      </c>
      <c r="H2246" s="461" t="s">
        <v>700</v>
      </c>
      <c r="I2246" s="461" t="s">
        <v>872</v>
      </c>
      <c r="J2246" s="461" t="s">
        <v>700</v>
      </c>
      <c r="K2246" s="594"/>
      <c r="L2246" s="594"/>
      <c r="M2246" s="352">
        <v>2000</v>
      </c>
      <c r="N2246" s="352" t="s">
        <v>703</v>
      </c>
      <c r="O2246" s="460">
        <v>2223</v>
      </c>
      <c r="P2246" s="460" t="s">
        <v>1886</v>
      </c>
      <c r="Q2246" s="460" t="s">
        <v>2527</v>
      </c>
      <c r="R2246" s="460">
        <v>2121</v>
      </c>
      <c r="S2246" s="460" t="s">
        <v>2333</v>
      </c>
      <c r="T2246" s="462">
        <v>1</v>
      </c>
      <c r="U2246" s="460" t="s">
        <v>2333</v>
      </c>
      <c r="V2246" s="475">
        <v>0</v>
      </c>
      <c r="W2246" s="463" t="s">
        <v>2503</v>
      </c>
      <c r="X2246" s="463" t="s">
        <v>2503</v>
      </c>
      <c r="Y2246" s="463" t="s">
        <v>2268</v>
      </c>
      <c r="Z2246" s="463"/>
      <c r="AA2246" s="463"/>
      <c r="AB2246" s="464">
        <v>2.9684328993777841E-4</v>
      </c>
      <c r="AC2246" s="465">
        <v>2.1898992051698809E-6</v>
      </c>
      <c r="AD2246" s="465">
        <v>2.0472850115386434E-8</v>
      </c>
      <c r="AE2246" s="476">
        <v>1.7810597396266702E-4</v>
      </c>
      <c r="AF2246" s="467">
        <v>1.3139395231019285E-6</v>
      </c>
      <c r="AG2246" s="468">
        <v>1.3556632136712926E-8</v>
      </c>
      <c r="AH2246" s="218">
        <v>1.7810597396266702E-4</v>
      </c>
      <c r="AI2246" s="470">
        <v>1.3139395231019285E-6</v>
      </c>
      <c r="AJ2246" s="471">
        <v>1.313467809429228E-8</v>
      </c>
      <c r="AK2246" s="218">
        <v>1.7810597396266702E-4</v>
      </c>
      <c r="AL2246" s="470">
        <v>1.3139395231019285E-6</v>
      </c>
      <c r="AM2246" s="471">
        <v>1.313467809429228E-8</v>
      </c>
      <c r="AN2246" s="477">
        <v>0</v>
      </c>
      <c r="AO2246" s="473">
        <v>0</v>
      </c>
      <c r="AP2246" s="474">
        <v>0</v>
      </c>
      <c r="AQ2246" s="352"/>
      <c r="AR2246" s="352"/>
      <c r="AS2246" s="352"/>
      <c r="AT2246" s="352"/>
      <c r="AU2246" s="352"/>
      <c r="AV2246" s="352"/>
      <c r="AW2246" s="352" t="s">
        <v>254</v>
      </c>
    </row>
    <row r="2247" spans="2:49" x14ac:dyDescent="0.2">
      <c r="B2247" s="460" t="s">
        <v>3029</v>
      </c>
      <c r="C2247" s="460">
        <v>2223</v>
      </c>
      <c r="D2247" s="460" t="s">
        <v>2334</v>
      </c>
      <c r="E2247" s="460" t="s">
        <v>2324</v>
      </c>
      <c r="F2247" s="460">
        <v>1</v>
      </c>
      <c r="G2247" s="460">
        <v>3</v>
      </c>
      <c r="H2247" s="461" t="s">
        <v>712</v>
      </c>
      <c r="I2247" s="461" t="s">
        <v>713</v>
      </c>
      <c r="J2247" s="461" t="s">
        <v>712</v>
      </c>
      <c r="K2247" s="594"/>
      <c r="L2247" s="594"/>
      <c r="M2247" s="352">
        <v>2000</v>
      </c>
      <c r="N2247" s="352" t="s">
        <v>703</v>
      </c>
      <c r="O2247" s="460">
        <v>2223</v>
      </c>
      <c r="P2247" s="460" t="s">
        <v>1886</v>
      </c>
      <c r="Q2247" s="460" t="s">
        <v>2280</v>
      </c>
      <c r="R2247" s="460">
        <v>2121</v>
      </c>
      <c r="S2247" s="460" t="s">
        <v>2324</v>
      </c>
      <c r="T2247" s="462">
        <v>1</v>
      </c>
      <c r="U2247" s="460" t="s">
        <v>2324</v>
      </c>
      <c r="V2247" s="475">
        <v>0</v>
      </c>
      <c r="W2247" s="463" t="s">
        <v>713</v>
      </c>
      <c r="X2247" s="463" t="s">
        <v>713</v>
      </c>
      <c r="Y2247" s="463" t="s">
        <v>713</v>
      </c>
      <c r="Z2247" s="463"/>
      <c r="AA2247" s="463"/>
      <c r="AB2247" s="464">
        <v>431.68799895647277</v>
      </c>
      <c r="AC2247" s="465">
        <v>0.994195843968252</v>
      </c>
      <c r="AD2247" s="465">
        <v>1.0778800778985E-3</v>
      </c>
      <c r="AE2247" s="476">
        <v>432.69608383961838</v>
      </c>
      <c r="AF2247" s="467">
        <v>0.99651750638095116</v>
      </c>
      <c r="AG2247" s="468">
        <v>1.0598789830647915E-3</v>
      </c>
      <c r="AH2247" s="218">
        <v>261.36744049540278</v>
      </c>
      <c r="AI2247" s="470">
        <v>0.60194034515040951</v>
      </c>
      <c r="AJ2247" s="471">
        <v>6.4837506062108657E-4</v>
      </c>
      <c r="AK2247" s="218">
        <v>261.36744049540278</v>
      </c>
      <c r="AL2247" s="470">
        <v>0.60194034515040951</v>
      </c>
      <c r="AM2247" s="471">
        <v>6.4837506062108657E-4</v>
      </c>
      <c r="AN2247" s="477">
        <v>261.36744049540278</v>
      </c>
      <c r="AO2247" s="473">
        <v>0.60194034515040951</v>
      </c>
      <c r="AP2247" s="474">
        <v>6.4805952708127802E-4</v>
      </c>
      <c r="AQ2247" s="352"/>
      <c r="AR2247" s="352"/>
      <c r="AS2247" s="352"/>
      <c r="AT2247" s="352"/>
      <c r="AU2247" s="352"/>
      <c r="AV2247" s="352"/>
      <c r="AW2247" s="352" t="s">
        <v>254</v>
      </c>
    </row>
    <row r="2248" spans="2:49" x14ac:dyDescent="0.2">
      <c r="B2248" s="460" t="s">
        <v>3030</v>
      </c>
      <c r="C2248" s="460">
        <v>2223</v>
      </c>
      <c r="D2248" s="460" t="s">
        <v>2335</v>
      </c>
      <c r="E2248" s="460" t="s">
        <v>2327</v>
      </c>
      <c r="F2248" s="460">
        <v>2</v>
      </c>
      <c r="G2248" s="460">
        <v>3</v>
      </c>
      <c r="H2248" s="461" t="s">
        <v>712</v>
      </c>
      <c r="I2248" s="461" t="s">
        <v>713</v>
      </c>
      <c r="J2248" s="461" t="s">
        <v>712</v>
      </c>
      <c r="K2248" s="594"/>
      <c r="L2248" s="594"/>
      <c r="M2248" s="352">
        <v>2000</v>
      </c>
      <c r="N2248" s="352" t="s">
        <v>703</v>
      </c>
      <c r="O2248" s="460">
        <v>2223</v>
      </c>
      <c r="P2248" s="460" t="s">
        <v>1886</v>
      </c>
      <c r="Q2248" s="460" t="s">
        <v>2280</v>
      </c>
      <c r="R2248" s="460">
        <v>2121</v>
      </c>
      <c r="S2248" s="460" t="s">
        <v>2324</v>
      </c>
      <c r="T2248" s="462">
        <v>1</v>
      </c>
      <c r="U2248" s="460" t="s">
        <v>2327</v>
      </c>
      <c r="V2248" s="475">
        <v>0</v>
      </c>
      <c r="W2248" s="463" t="s">
        <v>713</v>
      </c>
      <c r="X2248" s="463" t="s">
        <v>713</v>
      </c>
      <c r="Y2248" s="463" t="s">
        <v>713</v>
      </c>
      <c r="Z2248" s="463"/>
      <c r="AA2248" s="463"/>
      <c r="AB2248" s="464">
        <v>363.36608859458835</v>
      </c>
      <c r="AC2248" s="465">
        <v>0.99971159875275184</v>
      </c>
      <c r="AD2248" s="465">
        <v>1.1637156880024496E-3</v>
      </c>
      <c r="AE2248" s="476">
        <v>363.40801878056965</v>
      </c>
      <c r="AF2248" s="467">
        <v>0.9998269592516511</v>
      </c>
      <c r="AG2248" s="468">
        <v>1.1448022775178296E-3</v>
      </c>
      <c r="AH2248" s="218">
        <v>218.78780746113526</v>
      </c>
      <c r="AI2248" s="470">
        <v>0.60194034515040951</v>
      </c>
      <c r="AJ2248" s="471">
        <v>7.1676615842434371E-4</v>
      </c>
      <c r="AK2248" s="218">
        <v>218.78780746113526</v>
      </c>
      <c r="AL2248" s="470">
        <v>0.60194034515040951</v>
      </c>
      <c r="AM2248" s="471">
        <v>7.1676615842434371E-4</v>
      </c>
      <c r="AN2248" s="477">
        <v>218.78780746113526</v>
      </c>
      <c r="AO2248" s="473">
        <v>0.60194034515040951</v>
      </c>
      <c r="AP2248" s="474">
        <v>7.1648514033902946E-4</v>
      </c>
      <c r="AQ2248" s="352"/>
      <c r="AR2248" s="352"/>
      <c r="AS2248" s="352"/>
      <c r="AT2248" s="352"/>
      <c r="AU2248" s="352"/>
      <c r="AV2248" s="352"/>
      <c r="AW2248" s="352" t="s">
        <v>254</v>
      </c>
    </row>
    <row r="2249" spans="2:49" x14ac:dyDescent="0.2">
      <c r="B2249" s="460" t="s">
        <v>3031</v>
      </c>
      <c r="C2249" s="460">
        <v>2223</v>
      </c>
      <c r="D2249" s="460" t="s">
        <v>2336</v>
      </c>
      <c r="E2249" s="460" t="s">
        <v>2330</v>
      </c>
      <c r="F2249" s="460">
        <v>3</v>
      </c>
      <c r="G2249" s="460">
        <v>3</v>
      </c>
      <c r="H2249" s="461" t="s">
        <v>712</v>
      </c>
      <c r="I2249" s="461" t="s">
        <v>713</v>
      </c>
      <c r="J2249" s="461" t="s">
        <v>712</v>
      </c>
      <c r="K2249" s="594"/>
      <c r="L2249" s="594"/>
      <c r="M2249" s="352">
        <v>2000</v>
      </c>
      <c r="N2249" s="352" t="s">
        <v>703</v>
      </c>
      <c r="O2249" s="460">
        <v>2223</v>
      </c>
      <c r="P2249" s="460" t="s">
        <v>1886</v>
      </c>
      <c r="Q2249" s="460" t="s">
        <v>2280</v>
      </c>
      <c r="R2249" s="460">
        <v>2121</v>
      </c>
      <c r="S2249" s="460" t="s">
        <v>2324</v>
      </c>
      <c r="T2249" s="462">
        <v>1</v>
      </c>
      <c r="U2249" s="460" t="s">
        <v>2330</v>
      </c>
      <c r="V2249" s="475">
        <v>0</v>
      </c>
      <c r="W2249" s="463" t="s">
        <v>713</v>
      </c>
      <c r="X2249" s="463" t="s">
        <v>713</v>
      </c>
      <c r="Y2249" s="463" t="s">
        <v>713</v>
      </c>
      <c r="Z2249" s="463"/>
      <c r="AA2249" s="463"/>
      <c r="AB2249" s="464">
        <v>119.55450300850677</v>
      </c>
      <c r="AC2249" s="465">
        <v>0.9991153081071642</v>
      </c>
      <c r="AD2249" s="465">
        <v>1.058567019224481E-3</v>
      </c>
      <c r="AE2249" s="476">
        <v>119.59684803063</v>
      </c>
      <c r="AF2249" s="467">
        <v>0.99946918486429848</v>
      </c>
      <c r="AG2249" s="468">
        <v>1.0425732631345996E-3</v>
      </c>
      <c r="AH2249" s="218">
        <v>119.24364910428581</v>
      </c>
      <c r="AI2249" s="470">
        <v>0.99651750638095116</v>
      </c>
      <c r="AJ2249" s="471">
        <v>1.0791835223240736E-3</v>
      </c>
      <c r="AK2249" s="218">
        <v>119.24364910428581</v>
      </c>
      <c r="AL2249" s="470">
        <v>0.99651750638095116</v>
      </c>
      <c r="AM2249" s="471">
        <v>1.0791835223240736E-3</v>
      </c>
      <c r="AN2249" s="477">
        <v>72.028401748306891</v>
      </c>
      <c r="AO2249" s="473">
        <v>0.60194034515040951</v>
      </c>
      <c r="AP2249" s="474">
        <v>6.5355680925609076E-4</v>
      </c>
      <c r="AQ2249" s="352"/>
      <c r="AR2249" s="352"/>
      <c r="AS2249" s="352"/>
      <c r="AT2249" s="352"/>
      <c r="AU2249" s="352"/>
      <c r="AV2249" s="352"/>
      <c r="AW2249" s="352" t="s">
        <v>254</v>
      </c>
    </row>
    <row r="2250" spans="2:49" x14ac:dyDescent="0.2">
      <c r="B2250" s="460" t="s">
        <v>3032</v>
      </c>
      <c r="C2250" s="460">
        <v>2223</v>
      </c>
      <c r="D2250" s="460" t="s">
        <v>2337</v>
      </c>
      <c r="E2250" s="460" t="s">
        <v>2333</v>
      </c>
      <c r="F2250" s="460">
        <v>4</v>
      </c>
      <c r="G2250" s="460">
        <v>3</v>
      </c>
      <c r="H2250" s="461" t="s">
        <v>712</v>
      </c>
      <c r="I2250" s="461" t="s">
        <v>713</v>
      </c>
      <c r="J2250" s="461" t="s">
        <v>712</v>
      </c>
      <c r="K2250" s="594"/>
      <c r="L2250" s="594"/>
      <c r="M2250" s="352">
        <v>2000</v>
      </c>
      <c r="N2250" s="352" t="s">
        <v>703</v>
      </c>
      <c r="O2250" s="460">
        <v>2223</v>
      </c>
      <c r="P2250" s="460" t="s">
        <v>1886</v>
      </c>
      <c r="Q2250" s="460" t="s">
        <v>2280</v>
      </c>
      <c r="R2250" s="460">
        <v>2121</v>
      </c>
      <c r="S2250" s="460" t="s">
        <v>2333</v>
      </c>
      <c r="T2250" s="462">
        <v>1</v>
      </c>
      <c r="U2250" s="460" t="s">
        <v>2333</v>
      </c>
      <c r="V2250" s="475">
        <v>0</v>
      </c>
      <c r="W2250" s="463" t="s">
        <v>713</v>
      </c>
      <c r="X2250" s="463" t="s">
        <v>713</v>
      </c>
      <c r="Y2250" s="463" t="s">
        <v>713</v>
      </c>
      <c r="Z2250" s="463"/>
      <c r="AA2250" s="463"/>
      <c r="AB2250" s="464">
        <v>135.55082315209398</v>
      </c>
      <c r="AC2250" s="465">
        <v>0.99999781010079491</v>
      </c>
      <c r="AD2250" s="465">
        <v>1.0305211522619079E-3</v>
      </c>
      <c r="AE2250" s="476">
        <v>135.55094188940996</v>
      </c>
      <c r="AF2250" s="467">
        <v>0.99999868606047693</v>
      </c>
      <c r="AG2250" s="468">
        <v>1.0199650921146135E-3</v>
      </c>
      <c r="AH2250" s="218">
        <v>135.55094188940996</v>
      </c>
      <c r="AI2250" s="470">
        <v>0.99999868606047693</v>
      </c>
      <c r="AJ2250" s="471">
        <v>1.0232146322424942E-3</v>
      </c>
      <c r="AK2250" s="218">
        <v>135.55094188940996</v>
      </c>
      <c r="AL2250" s="470">
        <v>0.99999868606047693</v>
      </c>
      <c r="AM2250" s="471">
        <v>1.0232146322424942E-3</v>
      </c>
      <c r="AN2250" s="477">
        <v>135.55082315209398</v>
      </c>
      <c r="AO2250" s="473">
        <v>0.9999978101007948</v>
      </c>
      <c r="AP2250" s="474">
        <v>1.0235388966223966E-3</v>
      </c>
      <c r="AQ2250" s="352"/>
      <c r="AR2250" s="352"/>
      <c r="AS2250" s="352"/>
      <c r="AT2250" s="352"/>
      <c r="AU2250" s="352"/>
      <c r="AV2250" s="352"/>
      <c r="AW2250" s="352" t="s">
        <v>254</v>
      </c>
    </row>
    <row r="2251" spans="2:49" x14ac:dyDescent="0.2">
      <c r="B2251" s="460" t="s">
        <v>3029</v>
      </c>
      <c r="C2251" s="460">
        <v>2223</v>
      </c>
      <c r="D2251" s="460" t="s">
        <v>2338</v>
      </c>
      <c r="E2251" s="460" t="s">
        <v>2324</v>
      </c>
      <c r="F2251" s="460">
        <v>1</v>
      </c>
      <c r="G2251" s="460">
        <v>3</v>
      </c>
      <c r="H2251" s="461" t="s">
        <v>746</v>
      </c>
      <c r="I2251" s="461" t="s">
        <v>762</v>
      </c>
      <c r="J2251" s="461" t="s">
        <v>700</v>
      </c>
      <c r="K2251" s="594"/>
      <c r="L2251" s="594"/>
      <c r="M2251" s="352">
        <v>2000</v>
      </c>
      <c r="N2251" s="352" t="s">
        <v>703</v>
      </c>
      <c r="O2251" s="460">
        <v>2223</v>
      </c>
      <c r="P2251" s="460" t="s">
        <v>1886</v>
      </c>
      <c r="Q2251" s="460" t="s">
        <v>2531</v>
      </c>
      <c r="R2251" s="460">
        <v>2121</v>
      </c>
      <c r="S2251" s="460" t="s">
        <v>2324</v>
      </c>
      <c r="T2251" s="462">
        <v>1</v>
      </c>
      <c r="U2251" s="460" t="s">
        <v>2324</v>
      </c>
      <c r="V2251" s="475">
        <v>0</v>
      </c>
      <c r="W2251" s="463" t="s">
        <v>2268</v>
      </c>
      <c r="X2251" s="463" t="s">
        <v>2268</v>
      </c>
      <c r="Y2251" s="463" t="s">
        <v>2290</v>
      </c>
      <c r="Z2251" s="463"/>
      <c r="AA2251" s="463"/>
      <c r="AB2251" s="464">
        <v>0</v>
      </c>
      <c r="AC2251" s="465">
        <v>0</v>
      </c>
      <c r="AD2251" s="465">
        <v>0</v>
      </c>
      <c r="AE2251" s="476">
        <v>0</v>
      </c>
      <c r="AF2251" s="467">
        <v>0</v>
      </c>
      <c r="AG2251" s="468">
        <v>0</v>
      </c>
      <c r="AH2251" s="218">
        <v>0</v>
      </c>
      <c r="AI2251" s="470">
        <v>0</v>
      </c>
      <c r="AJ2251" s="471">
        <v>0</v>
      </c>
      <c r="AK2251" s="218">
        <v>0</v>
      </c>
      <c r="AL2251" s="470">
        <v>0</v>
      </c>
      <c r="AM2251" s="471">
        <v>0</v>
      </c>
      <c r="AN2251" s="477">
        <v>0</v>
      </c>
      <c r="AO2251" s="473">
        <v>0</v>
      </c>
      <c r="AP2251" s="474">
        <v>0</v>
      </c>
      <c r="AQ2251" s="352"/>
      <c r="AR2251" s="352"/>
      <c r="AS2251" s="352"/>
      <c r="AT2251" s="352"/>
      <c r="AU2251" s="352"/>
      <c r="AV2251" s="352"/>
      <c r="AW2251" s="352" t="s">
        <v>254</v>
      </c>
    </row>
    <row r="2252" spans="2:49" x14ac:dyDescent="0.2">
      <c r="B2252" s="460" t="s">
        <v>3030</v>
      </c>
      <c r="C2252" s="460">
        <v>2223</v>
      </c>
      <c r="D2252" s="460" t="s">
        <v>2339</v>
      </c>
      <c r="E2252" s="460" t="s">
        <v>2327</v>
      </c>
      <c r="F2252" s="460">
        <v>2</v>
      </c>
      <c r="G2252" s="460">
        <v>3</v>
      </c>
      <c r="H2252" s="461" t="s">
        <v>746</v>
      </c>
      <c r="I2252" s="461" t="s">
        <v>762</v>
      </c>
      <c r="J2252" s="461" t="s">
        <v>700</v>
      </c>
      <c r="K2252" s="594"/>
      <c r="L2252" s="594"/>
      <c r="M2252" s="352">
        <v>2000</v>
      </c>
      <c r="N2252" s="352" t="s">
        <v>703</v>
      </c>
      <c r="O2252" s="460">
        <v>2223</v>
      </c>
      <c r="P2252" s="460" t="s">
        <v>1886</v>
      </c>
      <c r="Q2252" s="460" t="s">
        <v>2531</v>
      </c>
      <c r="R2252" s="460">
        <v>2121</v>
      </c>
      <c r="S2252" s="460" t="s">
        <v>2324</v>
      </c>
      <c r="T2252" s="462">
        <v>1</v>
      </c>
      <c r="U2252" s="460" t="s">
        <v>2327</v>
      </c>
      <c r="V2252" s="475">
        <v>0</v>
      </c>
      <c r="W2252" s="463" t="s">
        <v>2268</v>
      </c>
      <c r="X2252" s="463" t="s">
        <v>2268</v>
      </c>
      <c r="Y2252" s="463" t="s">
        <v>2290</v>
      </c>
      <c r="Z2252" s="463"/>
      <c r="AA2252" s="463"/>
      <c r="AB2252" s="464">
        <v>0</v>
      </c>
      <c r="AC2252" s="465">
        <v>0</v>
      </c>
      <c r="AD2252" s="465">
        <v>0</v>
      </c>
      <c r="AE2252" s="476">
        <v>0</v>
      </c>
      <c r="AF2252" s="467">
        <v>0</v>
      </c>
      <c r="AG2252" s="468">
        <v>0</v>
      </c>
      <c r="AH2252" s="218">
        <v>0</v>
      </c>
      <c r="AI2252" s="470">
        <v>0</v>
      </c>
      <c r="AJ2252" s="471">
        <v>0</v>
      </c>
      <c r="AK2252" s="218">
        <v>0</v>
      </c>
      <c r="AL2252" s="470">
        <v>0</v>
      </c>
      <c r="AM2252" s="471">
        <v>0</v>
      </c>
      <c r="AN2252" s="477">
        <v>0</v>
      </c>
      <c r="AO2252" s="473">
        <v>0</v>
      </c>
      <c r="AP2252" s="474">
        <v>0</v>
      </c>
      <c r="AQ2252" s="352"/>
      <c r="AR2252" s="352"/>
      <c r="AS2252" s="352"/>
      <c r="AT2252" s="352"/>
      <c r="AU2252" s="352"/>
      <c r="AV2252" s="352"/>
      <c r="AW2252" s="352" t="s">
        <v>254</v>
      </c>
    </row>
    <row r="2253" spans="2:49" x14ac:dyDescent="0.2">
      <c r="B2253" s="460" t="s">
        <v>3031</v>
      </c>
      <c r="C2253" s="460">
        <v>2223</v>
      </c>
      <c r="D2253" s="460" t="s">
        <v>2340</v>
      </c>
      <c r="E2253" s="460" t="s">
        <v>2330</v>
      </c>
      <c r="F2253" s="460">
        <v>3</v>
      </c>
      <c r="G2253" s="460">
        <v>3</v>
      </c>
      <c r="H2253" s="461" t="s">
        <v>746</v>
      </c>
      <c r="I2253" s="461" t="s">
        <v>762</v>
      </c>
      <c r="J2253" s="461" t="s">
        <v>700</v>
      </c>
      <c r="K2253" s="594"/>
      <c r="L2253" s="594"/>
      <c r="M2253" s="352">
        <v>2000</v>
      </c>
      <c r="N2253" s="352" t="s">
        <v>703</v>
      </c>
      <c r="O2253" s="460">
        <v>2223</v>
      </c>
      <c r="P2253" s="460" t="s">
        <v>1886</v>
      </c>
      <c r="Q2253" s="460" t="s">
        <v>2531</v>
      </c>
      <c r="R2253" s="460">
        <v>2121</v>
      </c>
      <c r="S2253" s="460" t="s">
        <v>2324</v>
      </c>
      <c r="T2253" s="462">
        <v>1</v>
      </c>
      <c r="U2253" s="460" t="s">
        <v>2330</v>
      </c>
      <c r="V2253" s="475">
        <v>0</v>
      </c>
      <c r="W2253" s="463" t="s">
        <v>2268</v>
      </c>
      <c r="X2253" s="463" t="s">
        <v>2268</v>
      </c>
      <c r="Y2253" s="463" t="s">
        <v>2290</v>
      </c>
      <c r="Z2253" s="463"/>
      <c r="AA2253" s="463"/>
      <c r="AB2253" s="464">
        <v>0</v>
      </c>
      <c r="AC2253" s="465">
        <v>0</v>
      </c>
      <c r="AD2253" s="465">
        <v>0</v>
      </c>
      <c r="AE2253" s="476">
        <v>0</v>
      </c>
      <c r="AF2253" s="467">
        <v>0</v>
      </c>
      <c r="AG2253" s="468">
        <v>0</v>
      </c>
      <c r="AH2253" s="218">
        <v>0</v>
      </c>
      <c r="AI2253" s="470">
        <v>0</v>
      </c>
      <c r="AJ2253" s="471">
        <v>0</v>
      </c>
      <c r="AK2253" s="218">
        <v>0</v>
      </c>
      <c r="AL2253" s="470">
        <v>0</v>
      </c>
      <c r="AM2253" s="471">
        <v>0</v>
      </c>
      <c r="AN2253" s="477">
        <v>0</v>
      </c>
      <c r="AO2253" s="473">
        <v>0</v>
      </c>
      <c r="AP2253" s="474">
        <v>0</v>
      </c>
      <c r="AQ2253" s="352"/>
      <c r="AR2253" s="352"/>
      <c r="AS2253" s="352"/>
      <c r="AT2253" s="352"/>
      <c r="AU2253" s="352"/>
      <c r="AV2253" s="352"/>
      <c r="AW2253" s="352" t="s">
        <v>254</v>
      </c>
    </row>
    <row r="2254" spans="2:49" x14ac:dyDescent="0.2">
      <c r="B2254" s="460" t="s">
        <v>3032</v>
      </c>
      <c r="C2254" s="460">
        <v>2223</v>
      </c>
      <c r="D2254" s="460" t="s">
        <v>2341</v>
      </c>
      <c r="E2254" s="460" t="s">
        <v>2333</v>
      </c>
      <c r="F2254" s="460">
        <v>4</v>
      </c>
      <c r="G2254" s="460">
        <v>3</v>
      </c>
      <c r="H2254" s="461" t="s">
        <v>746</v>
      </c>
      <c r="I2254" s="461" t="s">
        <v>762</v>
      </c>
      <c r="J2254" s="461" t="s">
        <v>700</v>
      </c>
      <c r="K2254" s="594"/>
      <c r="L2254" s="594"/>
      <c r="M2254" s="352">
        <v>2000</v>
      </c>
      <c r="N2254" s="352" t="s">
        <v>703</v>
      </c>
      <c r="O2254" s="460">
        <v>2223</v>
      </c>
      <c r="P2254" s="460" t="s">
        <v>1886</v>
      </c>
      <c r="Q2254" s="460" t="s">
        <v>2531</v>
      </c>
      <c r="R2254" s="460">
        <v>2121</v>
      </c>
      <c r="S2254" s="460" t="s">
        <v>2333</v>
      </c>
      <c r="T2254" s="462">
        <v>1</v>
      </c>
      <c r="U2254" s="460" t="s">
        <v>2333</v>
      </c>
      <c r="V2254" s="475">
        <v>0</v>
      </c>
      <c r="W2254" s="463" t="s">
        <v>2268</v>
      </c>
      <c r="X2254" s="463" t="s">
        <v>2268</v>
      </c>
      <c r="Y2254" s="463" t="s">
        <v>2290</v>
      </c>
      <c r="Z2254" s="463"/>
      <c r="AA2254" s="463"/>
      <c r="AB2254" s="464">
        <v>0</v>
      </c>
      <c r="AC2254" s="465">
        <v>0</v>
      </c>
      <c r="AD2254" s="465">
        <v>0</v>
      </c>
      <c r="AE2254" s="476">
        <v>0</v>
      </c>
      <c r="AF2254" s="467">
        <v>0</v>
      </c>
      <c r="AG2254" s="468">
        <v>0</v>
      </c>
      <c r="AH2254" s="218">
        <v>0</v>
      </c>
      <c r="AI2254" s="470">
        <v>0</v>
      </c>
      <c r="AJ2254" s="471">
        <v>0</v>
      </c>
      <c r="AK2254" s="218">
        <v>0</v>
      </c>
      <c r="AL2254" s="470">
        <v>0</v>
      </c>
      <c r="AM2254" s="471">
        <v>0</v>
      </c>
      <c r="AN2254" s="477">
        <v>0</v>
      </c>
      <c r="AO2254" s="473">
        <v>0</v>
      </c>
      <c r="AP2254" s="474">
        <v>0</v>
      </c>
      <c r="AQ2254" s="352"/>
      <c r="AR2254" s="352"/>
      <c r="AS2254" s="352"/>
      <c r="AT2254" s="352"/>
      <c r="AU2254" s="352"/>
      <c r="AV2254" s="352"/>
      <c r="AW2254" s="352" t="s">
        <v>254</v>
      </c>
    </row>
    <row r="2255" spans="2:49" x14ac:dyDescent="0.2">
      <c r="B2255" s="460" t="s">
        <v>3029</v>
      </c>
      <c r="C2255" s="460">
        <v>2223</v>
      </c>
      <c r="D2255" s="460" t="s">
        <v>2342</v>
      </c>
      <c r="E2255" s="460" t="s">
        <v>2324</v>
      </c>
      <c r="F2255" s="460">
        <v>1</v>
      </c>
      <c r="G2255" s="460">
        <v>3</v>
      </c>
      <c r="H2255" s="461" t="s">
        <v>748</v>
      </c>
      <c r="I2255" s="461" t="s">
        <v>765</v>
      </c>
      <c r="J2255" s="461" t="s">
        <v>700</v>
      </c>
      <c r="K2255" s="594"/>
      <c r="L2255" s="594"/>
      <c r="M2255" s="352">
        <v>2000</v>
      </c>
      <c r="N2255" s="352" t="s">
        <v>703</v>
      </c>
      <c r="O2255" s="460">
        <v>2223</v>
      </c>
      <c r="P2255" s="460" t="s">
        <v>1886</v>
      </c>
      <c r="Q2255" s="460" t="s">
        <v>2527</v>
      </c>
      <c r="R2255" s="460">
        <v>2121</v>
      </c>
      <c r="S2255" s="460" t="s">
        <v>2324</v>
      </c>
      <c r="T2255" s="462">
        <v>1</v>
      </c>
      <c r="U2255" s="460" t="s">
        <v>2324</v>
      </c>
      <c r="V2255" s="475">
        <v>0</v>
      </c>
      <c r="W2255" s="463" t="s">
        <v>2268</v>
      </c>
      <c r="X2255" s="463" t="s">
        <v>2268</v>
      </c>
      <c r="Y2255" s="463" t="s">
        <v>2267</v>
      </c>
      <c r="Z2255" s="463"/>
      <c r="AA2255" s="463"/>
      <c r="AB2255" s="464">
        <v>0</v>
      </c>
      <c r="AC2255" s="465">
        <v>0</v>
      </c>
      <c r="AD2255" s="465">
        <v>0</v>
      </c>
      <c r="AE2255" s="476">
        <v>0</v>
      </c>
      <c r="AF2255" s="467">
        <v>0</v>
      </c>
      <c r="AG2255" s="468">
        <v>0</v>
      </c>
      <c r="AH2255" s="218">
        <v>0</v>
      </c>
      <c r="AI2255" s="470">
        <v>0</v>
      </c>
      <c r="AJ2255" s="471">
        <v>0</v>
      </c>
      <c r="AK2255" s="218">
        <v>0</v>
      </c>
      <c r="AL2255" s="470">
        <v>0</v>
      </c>
      <c r="AM2255" s="471">
        <v>0</v>
      </c>
      <c r="AN2255" s="477">
        <v>172.84077066893397</v>
      </c>
      <c r="AO2255" s="473">
        <v>0.39805965484959044</v>
      </c>
      <c r="AP2255" s="474">
        <v>8.9966758609877021E-3</v>
      </c>
      <c r="AQ2255" s="352"/>
      <c r="AR2255" s="352"/>
      <c r="AS2255" s="352"/>
      <c r="AT2255" s="352"/>
      <c r="AU2255" s="352"/>
      <c r="AV2255" s="352"/>
      <c r="AW2255" s="352" t="s">
        <v>254</v>
      </c>
    </row>
    <row r="2256" spans="2:49" x14ac:dyDescent="0.2">
      <c r="B2256" s="460" t="s">
        <v>3030</v>
      </c>
      <c r="C2256" s="460">
        <v>2223</v>
      </c>
      <c r="D2256" s="460" t="s">
        <v>2343</v>
      </c>
      <c r="E2256" s="460" t="s">
        <v>2327</v>
      </c>
      <c r="F2256" s="460">
        <v>2</v>
      </c>
      <c r="G2256" s="460">
        <v>3</v>
      </c>
      <c r="H2256" s="461" t="s">
        <v>748</v>
      </c>
      <c r="I2256" s="461" t="s">
        <v>765</v>
      </c>
      <c r="J2256" s="461" t="s">
        <v>700</v>
      </c>
      <c r="K2256" s="594"/>
      <c r="L2256" s="594"/>
      <c r="M2256" s="352">
        <v>2000</v>
      </c>
      <c r="N2256" s="352" t="s">
        <v>703</v>
      </c>
      <c r="O2256" s="460">
        <v>2223</v>
      </c>
      <c r="P2256" s="460" t="s">
        <v>1886</v>
      </c>
      <c r="Q2256" s="460" t="s">
        <v>2527</v>
      </c>
      <c r="R2256" s="460">
        <v>2121</v>
      </c>
      <c r="S2256" s="460" t="s">
        <v>2324</v>
      </c>
      <c r="T2256" s="462">
        <v>1</v>
      </c>
      <c r="U2256" s="460" t="s">
        <v>2327</v>
      </c>
      <c r="V2256" s="475">
        <v>0</v>
      </c>
      <c r="W2256" s="463" t="s">
        <v>2268</v>
      </c>
      <c r="X2256" s="463" t="s">
        <v>2268</v>
      </c>
      <c r="Y2256" s="463" t="s">
        <v>2267</v>
      </c>
      <c r="Z2256" s="463"/>
      <c r="AA2256" s="463"/>
      <c r="AB2256" s="464">
        <v>0</v>
      </c>
      <c r="AC2256" s="465">
        <v>0</v>
      </c>
      <c r="AD2256" s="465">
        <v>0</v>
      </c>
      <c r="AE2256" s="476">
        <v>0</v>
      </c>
      <c r="AF2256" s="467">
        <v>0</v>
      </c>
      <c r="AG2256" s="468">
        <v>0</v>
      </c>
      <c r="AH2256" s="218">
        <v>0</v>
      </c>
      <c r="AI2256" s="470">
        <v>0</v>
      </c>
      <c r="AJ2256" s="471">
        <v>0</v>
      </c>
      <c r="AK2256" s="218">
        <v>0</v>
      </c>
      <c r="AL2256" s="470">
        <v>0</v>
      </c>
      <c r="AM2256" s="471">
        <v>0</v>
      </c>
      <c r="AN2256" s="477">
        <v>144.68310659840625</v>
      </c>
      <c r="AO2256" s="473">
        <v>0.39805965484959044</v>
      </c>
      <c r="AP2256" s="474">
        <v>1.286138954398793E-2</v>
      </c>
      <c r="AQ2256" s="352"/>
      <c r="AR2256" s="352"/>
      <c r="AS2256" s="352"/>
      <c r="AT2256" s="352"/>
      <c r="AU2256" s="352"/>
      <c r="AV2256" s="352"/>
      <c r="AW2256" s="352" t="s">
        <v>254</v>
      </c>
    </row>
    <row r="2257" spans="2:49" x14ac:dyDescent="0.2">
      <c r="B2257" s="460" t="s">
        <v>3031</v>
      </c>
      <c r="C2257" s="460">
        <v>2223</v>
      </c>
      <c r="D2257" s="460" t="s">
        <v>2344</v>
      </c>
      <c r="E2257" s="460" t="s">
        <v>2330</v>
      </c>
      <c r="F2257" s="460">
        <v>3</v>
      </c>
      <c r="G2257" s="460">
        <v>3</v>
      </c>
      <c r="H2257" s="461" t="s">
        <v>748</v>
      </c>
      <c r="I2257" s="461" t="s">
        <v>765</v>
      </c>
      <c r="J2257" s="461" t="s">
        <v>700</v>
      </c>
      <c r="K2257" s="594"/>
      <c r="L2257" s="594"/>
      <c r="M2257" s="352">
        <v>2000</v>
      </c>
      <c r="N2257" s="352" t="s">
        <v>703</v>
      </c>
      <c r="O2257" s="460">
        <v>2223</v>
      </c>
      <c r="P2257" s="460" t="s">
        <v>1886</v>
      </c>
      <c r="Q2257" s="460" t="s">
        <v>2527</v>
      </c>
      <c r="R2257" s="460">
        <v>2121</v>
      </c>
      <c r="S2257" s="460" t="s">
        <v>2324</v>
      </c>
      <c r="T2257" s="462">
        <v>1</v>
      </c>
      <c r="U2257" s="460" t="s">
        <v>2330</v>
      </c>
      <c r="V2257" s="475">
        <v>0</v>
      </c>
      <c r="W2257" s="463" t="s">
        <v>2268</v>
      </c>
      <c r="X2257" s="463" t="s">
        <v>2268</v>
      </c>
      <c r="Y2257" s="463" t="s">
        <v>2267</v>
      </c>
      <c r="Z2257" s="463"/>
      <c r="AA2257" s="463"/>
      <c r="AB2257" s="464">
        <v>0</v>
      </c>
      <c r="AC2257" s="465">
        <v>0</v>
      </c>
      <c r="AD2257" s="465">
        <v>0</v>
      </c>
      <c r="AE2257" s="476">
        <v>0</v>
      </c>
      <c r="AF2257" s="467">
        <v>0</v>
      </c>
      <c r="AG2257" s="468">
        <v>0</v>
      </c>
      <c r="AH2257" s="218">
        <v>0</v>
      </c>
      <c r="AI2257" s="470">
        <v>0</v>
      </c>
      <c r="AJ2257" s="471">
        <v>0</v>
      </c>
      <c r="AK2257" s="218">
        <v>0</v>
      </c>
      <c r="AL2257" s="470">
        <v>0</v>
      </c>
      <c r="AM2257" s="471">
        <v>0</v>
      </c>
      <c r="AN2257" s="477">
        <v>47.631963815507959</v>
      </c>
      <c r="AO2257" s="473">
        <v>0.39805965484959044</v>
      </c>
      <c r="AP2257" s="474">
        <v>1.2983650172724943E-2</v>
      </c>
      <c r="AQ2257" s="352"/>
      <c r="AR2257" s="352"/>
      <c r="AS2257" s="352"/>
      <c r="AT2257" s="352"/>
      <c r="AU2257" s="352"/>
      <c r="AV2257" s="352"/>
      <c r="AW2257" s="352" t="s">
        <v>254</v>
      </c>
    </row>
    <row r="2258" spans="2:49" x14ac:dyDescent="0.2">
      <c r="B2258" s="460" t="s">
        <v>3032</v>
      </c>
      <c r="C2258" s="460">
        <v>2223</v>
      </c>
      <c r="D2258" s="460" t="s">
        <v>2345</v>
      </c>
      <c r="E2258" s="460" t="s">
        <v>2333</v>
      </c>
      <c r="F2258" s="460">
        <v>4</v>
      </c>
      <c r="G2258" s="460">
        <v>3</v>
      </c>
      <c r="H2258" s="461" t="s">
        <v>748</v>
      </c>
      <c r="I2258" s="461" t="s">
        <v>765</v>
      </c>
      <c r="J2258" s="461" t="s">
        <v>700</v>
      </c>
      <c r="K2258" s="594"/>
      <c r="L2258" s="594"/>
      <c r="M2258" s="352">
        <v>2000</v>
      </c>
      <c r="N2258" s="352" t="s">
        <v>703</v>
      </c>
      <c r="O2258" s="460">
        <v>2223</v>
      </c>
      <c r="P2258" s="460" t="s">
        <v>1886</v>
      </c>
      <c r="Q2258" s="460" t="s">
        <v>2527</v>
      </c>
      <c r="R2258" s="460">
        <v>2121</v>
      </c>
      <c r="S2258" s="460" t="s">
        <v>2333</v>
      </c>
      <c r="T2258" s="462">
        <v>1</v>
      </c>
      <c r="U2258" s="460" t="s">
        <v>2333</v>
      </c>
      <c r="V2258" s="475">
        <v>0</v>
      </c>
      <c r="W2258" s="463" t="s">
        <v>2268</v>
      </c>
      <c r="X2258" s="463" t="s">
        <v>2268</v>
      </c>
      <c r="Y2258" s="463" t="s">
        <v>2278</v>
      </c>
      <c r="Z2258" s="463"/>
      <c r="AA2258" s="463"/>
      <c r="AB2258" s="464">
        <v>0</v>
      </c>
      <c r="AC2258" s="465">
        <v>0</v>
      </c>
      <c r="AD2258" s="465">
        <v>0</v>
      </c>
      <c r="AE2258" s="476">
        <v>0</v>
      </c>
      <c r="AF2258" s="467">
        <v>0</v>
      </c>
      <c r="AG2258" s="468">
        <v>0</v>
      </c>
      <c r="AH2258" s="218">
        <v>0</v>
      </c>
      <c r="AI2258" s="470">
        <v>0</v>
      </c>
      <c r="AJ2258" s="471">
        <v>0</v>
      </c>
      <c r="AK2258" s="218">
        <v>0</v>
      </c>
      <c r="AL2258" s="470">
        <v>0</v>
      </c>
      <c r="AM2258" s="471">
        <v>0</v>
      </c>
      <c r="AN2258" s="477">
        <v>2.9684328993777841E-4</v>
      </c>
      <c r="AO2258" s="473">
        <v>2.1898992051698809E-6</v>
      </c>
      <c r="AP2258" s="474">
        <v>1.848515996702938E-7</v>
      </c>
      <c r="AQ2258" s="352"/>
      <c r="AR2258" s="352"/>
      <c r="AS2258" s="352"/>
      <c r="AT2258" s="352"/>
      <c r="AU2258" s="352"/>
      <c r="AV2258" s="352"/>
      <c r="AW2258" s="352" t="s">
        <v>254</v>
      </c>
    </row>
    <row r="2259" spans="2:49" x14ac:dyDescent="0.2">
      <c r="B2259" s="460" t="s">
        <v>3029</v>
      </c>
      <c r="C2259" s="460">
        <v>2223</v>
      </c>
      <c r="D2259" s="460" t="s">
        <v>2346</v>
      </c>
      <c r="E2259" s="460" t="s">
        <v>2324</v>
      </c>
      <c r="F2259" s="460">
        <v>1</v>
      </c>
      <c r="G2259" s="460">
        <v>3</v>
      </c>
      <c r="H2259" s="461" t="s">
        <v>752</v>
      </c>
      <c r="I2259" s="461" t="s">
        <v>964</v>
      </c>
      <c r="J2259" s="461" t="s">
        <v>752</v>
      </c>
      <c r="K2259" s="594"/>
      <c r="L2259" s="594"/>
      <c r="M2259" s="352">
        <v>2000</v>
      </c>
      <c r="N2259" s="352" t="s">
        <v>703</v>
      </c>
      <c r="O2259" s="460">
        <v>2223</v>
      </c>
      <c r="P2259" s="460" t="s">
        <v>1886</v>
      </c>
      <c r="Q2259" s="460" t="s">
        <v>2527</v>
      </c>
      <c r="R2259" s="460">
        <v>2121</v>
      </c>
      <c r="S2259" s="460" t="s">
        <v>2324</v>
      </c>
      <c r="T2259" s="462">
        <v>1</v>
      </c>
      <c r="U2259" s="460" t="s">
        <v>2324</v>
      </c>
      <c r="V2259" s="475">
        <v>0</v>
      </c>
      <c r="W2259" s="463" t="s">
        <v>2278</v>
      </c>
      <c r="X2259" s="463" t="s">
        <v>2278</v>
      </c>
      <c r="Y2259" s="463" t="s">
        <v>2278</v>
      </c>
      <c r="Z2259" s="463"/>
      <c r="AA2259" s="463"/>
      <c r="AB2259" s="464">
        <v>0</v>
      </c>
      <c r="AC2259" s="465">
        <v>0</v>
      </c>
      <c r="AD2259" s="465">
        <v>0</v>
      </c>
      <c r="AE2259" s="476">
        <v>0</v>
      </c>
      <c r="AF2259" s="467">
        <v>0</v>
      </c>
      <c r="AG2259" s="468">
        <v>0</v>
      </c>
      <c r="AH2259" s="218">
        <v>0</v>
      </c>
      <c r="AI2259" s="470">
        <v>0</v>
      </c>
      <c r="AJ2259" s="471">
        <v>0</v>
      </c>
      <c r="AK2259" s="218">
        <v>0</v>
      </c>
      <c r="AL2259" s="470">
        <v>0</v>
      </c>
      <c r="AM2259" s="471">
        <v>0</v>
      </c>
      <c r="AN2259" s="477">
        <v>0</v>
      </c>
      <c r="AO2259" s="473">
        <v>0</v>
      </c>
      <c r="AP2259" s="474">
        <v>0</v>
      </c>
      <c r="AQ2259" s="352"/>
      <c r="AR2259" s="352"/>
      <c r="AS2259" s="352"/>
      <c r="AT2259" s="352"/>
      <c r="AU2259" s="352"/>
      <c r="AV2259" s="352"/>
      <c r="AW2259" s="352" t="s">
        <v>254</v>
      </c>
    </row>
    <row r="2260" spans="2:49" x14ac:dyDescent="0.2">
      <c r="B2260" s="460" t="s">
        <v>3030</v>
      </c>
      <c r="C2260" s="460">
        <v>2223</v>
      </c>
      <c r="D2260" s="460" t="s">
        <v>2347</v>
      </c>
      <c r="E2260" s="460" t="s">
        <v>2327</v>
      </c>
      <c r="F2260" s="460">
        <v>2</v>
      </c>
      <c r="G2260" s="460">
        <v>3</v>
      </c>
      <c r="H2260" s="461" t="s">
        <v>752</v>
      </c>
      <c r="I2260" s="461" t="s">
        <v>964</v>
      </c>
      <c r="J2260" s="461" t="s">
        <v>752</v>
      </c>
      <c r="K2260" s="594"/>
      <c r="L2260" s="594"/>
      <c r="M2260" s="352">
        <v>2000</v>
      </c>
      <c r="N2260" s="352" t="s">
        <v>703</v>
      </c>
      <c r="O2260" s="460">
        <v>2223</v>
      </c>
      <c r="P2260" s="460" t="s">
        <v>1886</v>
      </c>
      <c r="Q2260" s="460" t="s">
        <v>2527</v>
      </c>
      <c r="R2260" s="460">
        <v>2121</v>
      </c>
      <c r="S2260" s="460" t="s">
        <v>2324</v>
      </c>
      <c r="T2260" s="462">
        <v>1</v>
      </c>
      <c r="U2260" s="460" t="s">
        <v>2327</v>
      </c>
      <c r="V2260" s="475">
        <v>0</v>
      </c>
      <c r="W2260" s="463" t="s">
        <v>2278</v>
      </c>
      <c r="X2260" s="463" t="s">
        <v>2278</v>
      </c>
      <c r="Y2260" s="463" t="s">
        <v>2278</v>
      </c>
      <c r="Z2260" s="463"/>
      <c r="AA2260" s="463"/>
      <c r="AB2260" s="464">
        <v>0</v>
      </c>
      <c r="AC2260" s="465">
        <v>0</v>
      </c>
      <c r="AD2260" s="465">
        <v>0</v>
      </c>
      <c r="AE2260" s="476">
        <v>0</v>
      </c>
      <c r="AF2260" s="467">
        <v>0</v>
      </c>
      <c r="AG2260" s="468">
        <v>0</v>
      </c>
      <c r="AH2260" s="218">
        <v>0</v>
      </c>
      <c r="AI2260" s="470">
        <v>0</v>
      </c>
      <c r="AJ2260" s="471">
        <v>0</v>
      </c>
      <c r="AK2260" s="218">
        <v>0</v>
      </c>
      <c r="AL2260" s="470">
        <v>0</v>
      </c>
      <c r="AM2260" s="471">
        <v>0</v>
      </c>
      <c r="AN2260" s="477">
        <v>0</v>
      </c>
      <c r="AO2260" s="473">
        <v>0</v>
      </c>
      <c r="AP2260" s="474">
        <v>0</v>
      </c>
      <c r="AQ2260" s="352"/>
      <c r="AR2260" s="352"/>
      <c r="AS2260" s="352"/>
      <c r="AT2260" s="352"/>
      <c r="AU2260" s="352"/>
      <c r="AV2260" s="352"/>
      <c r="AW2260" s="352" t="s">
        <v>254</v>
      </c>
    </row>
    <row r="2261" spans="2:49" x14ac:dyDescent="0.2">
      <c r="B2261" s="460" t="s">
        <v>3031</v>
      </c>
      <c r="C2261" s="460">
        <v>2223</v>
      </c>
      <c r="D2261" s="460" t="s">
        <v>2348</v>
      </c>
      <c r="E2261" s="460" t="s">
        <v>2330</v>
      </c>
      <c r="F2261" s="460">
        <v>3</v>
      </c>
      <c r="G2261" s="460">
        <v>3</v>
      </c>
      <c r="H2261" s="461" t="s">
        <v>752</v>
      </c>
      <c r="I2261" s="461" t="s">
        <v>964</v>
      </c>
      <c r="J2261" s="461" t="s">
        <v>752</v>
      </c>
      <c r="K2261" s="594"/>
      <c r="L2261" s="594"/>
      <c r="M2261" s="352">
        <v>2000</v>
      </c>
      <c r="N2261" s="352" t="s">
        <v>703</v>
      </c>
      <c r="O2261" s="460">
        <v>2223</v>
      </c>
      <c r="P2261" s="460" t="s">
        <v>1886</v>
      </c>
      <c r="Q2261" s="460" t="s">
        <v>2527</v>
      </c>
      <c r="R2261" s="460">
        <v>2121</v>
      </c>
      <c r="S2261" s="460" t="s">
        <v>2324</v>
      </c>
      <c r="T2261" s="462">
        <v>1</v>
      </c>
      <c r="U2261" s="460" t="s">
        <v>2330</v>
      </c>
      <c r="V2261" s="475">
        <v>0</v>
      </c>
      <c r="W2261" s="463" t="s">
        <v>2278</v>
      </c>
      <c r="X2261" s="463" t="s">
        <v>2278</v>
      </c>
      <c r="Y2261" s="463" t="s">
        <v>2278</v>
      </c>
      <c r="Z2261" s="463"/>
      <c r="AA2261" s="463"/>
      <c r="AB2261" s="464">
        <v>0</v>
      </c>
      <c r="AC2261" s="465">
        <v>0</v>
      </c>
      <c r="AD2261" s="465">
        <v>0</v>
      </c>
      <c r="AE2261" s="476">
        <v>0</v>
      </c>
      <c r="AF2261" s="467">
        <v>0</v>
      </c>
      <c r="AG2261" s="468">
        <v>0</v>
      </c>
      <c r="AH2261" s="218">
        <v>0</v>
      </c>
      <c r="AI2261" s="470">
        <v>0</v>
      </c>
      <c r="AJ2261" s="471">
        <v>0</v>
      </c>
      <c r="AK2261" s="218">
        <v>0</v>
      </c>
      <c r="AL2261" s="470">
        <v>0</v>
      </c>
      <c r="AM2261" s="471">
        <v>0</v>
      </c>
      <c r="AN2261" s="477">
        <v>0</v>
      </c>
      <c r="AO2261" s="473">
        <v>0</v>
      </c>
      <c r="AP2261" s="474">
        <v>0</v>
      </c>
      <c r="AQ2261" s="352"/>
      <c r="AR2261" s="352"/>
      <c r="AS2261" s="352"/>
      <c r="AT2261" s="352"/>
      <c r="AU2261" s="352"/>
      <c r="AV2261" s="352"/>
      <c r="AW2261" s="352" t="s">
        <v>254</v>
      </c>
    </row>
    <row r="2262" spans="2:49" x14ac:dyDescent="0.2">
      <c r="B2262" s="460" t="s">
        <v>3032</v>
      </c>
      <c r="C2262" s="460">
        <v>2223</v>
      </c>
      <c r="D2262" s="460" t="s">
        <v>2349</v>
      </c>
      <c r="E2262" s="460" t="s">
        <v>2333</v>
      </c>
      <c r="F2262" s="460">
        <v>4</v>
      </c>
      <c r="G2262" s="460">
        <v>3</v>
      </c>
      <c r="H2262" s="461" t="s">
        <v>752</v>
      </c>
      <c r="I2262" s="461" t="s">
        <v>964</v>
      </c>
      <c r="J2262" s="461" t="s">
        <v>752</v>
      </c>
      <c r="K2262" s="594"/>
      <c r="L2262" s="594"/>
      <c r="M2262" s="352">
        <v>2000</v>
      </c>
      <c r="N2262" s="352" t="s">
        <v>703</v>
      </c>
      <c r="O2262" s="460">
        <v>2223</v>
      </c>
      <c r="P2262" s="460" t="s">
        <v>1886</v>
      </c>
      <c r="Q2262" s="460" t="s">
        <v>2527</v>
      </c>
      <c r="R2262" s="460">
        <v>2121</v>
      </c>
      <c r="S2262" s="460" t="s">
        <v>2333</v>
      </c>
      <c r="T2262" s="462">
        <v>1</v>
      </c>
      <c r="U2262" s="460" t="s">
        <v>2333</v>
      </c>
      <c r="V2262" s="475">
        <v>0</v>
      </c>
      <c r="W2262" s="463" t="s">
        <v>2278</v>
      </c>
      <c r="X2262" s="463" t="s">
        <v>2278</v>
      </c>
      <c r="Y2262" s="463" t="s">
        <v>2278</v>
      </c>
      <c r="Z2262" s="463"/>
      <c r="AA2262" s="463"/>
      <c r="AB2262" s="464">
        <v>0</v>
      </c>
      <c r="AC2262" s="465">
        <v>0</v>
      </c>
      <c r="AD2262" s="465">
        <v>0</v>
      </c>
      <c r="AE2262" s="476">
        <v>0</v>
      </c>
      <c r="AF2262" s="467">
        <v>0</v>
      </c>
      <c r="AG2262" s="468">
        <v>0</v>
      </c>
      <c r="AH2262" s="218">
        <v>0</v>
      </c>
      <c r="AI2262" s="470">
        <v>0</v>
      </c>
      <c r="AJ2262" s="471">
        <v>0</v>
      </c>
      <c r="AK2262" s="218">
        <v>0</v>
      </c>
      <c r="AL2262" s="470">
        <v>0</v>
      </c>
      <c r="AM2262" s="471">
        <v>0</v>
      </c>
      <c r="AN2262" s="477">
        <v>0</v>
      </c>
      <c r="AO2262" s="473">
        <v>0</v>
      </c>
      <c r="AP2262" s="474">
        <v>0</v>
      </c>
      <c r="AQ2262" s="352"/>
      <c r="AR2262" s="352"/>
      <c r="AS2262" s="352"/>
      <c r="AT2262" s="352"/>
      <c r="AU2262" s="352"/>
      <c r="AV2262" s="352"/>
      <c r="AW2262" s="352" t="s">
        <v>254</v>
      </c>
    </row>
    <row r="2263" spans="2:49" x14ac:dyDescent="0.2">
      <c r="B2263" s="460" t="s">
        <v>3033</v>
      </c>
      <c r="C2263" s="460">
        <v>2223</v>
      </c>
      <c r="D2263" s="460" t="s">
        <v>2351</v>
      </c>
      <c r="E2263" s="460" t="s">
        <v>1136</v>
      </c>
      <c r="F2263" s="460">
        <v>1</v>
      </c>
      <c r="G2263" s="460">
        <v>4</v>
      </c>
      <c r="H2263" s="461" t="s">
        <v>700</v>
      </c>
      <c r="I2263" s="461" t="s">
        <v>872</v>
      </c>
      <c r="J2263" s="461" t="s">
        <v>700</v>
      </c>
      <c r="K2263" s="594"/>
      <c r="L2263" s="594"/>
      <c r="M2263" s="352">
        <v>2000</v>
      </c>
      <c r="N2263" s="352" t="s">
        <v>703</v>
      </c>
      <c r="O2263" s="460">
        <v>2223</v>
      </c>
      <c r="P2263" s="460" t="s">
        <v>1886</v>
      </c>
      <c r="Q2263" s="460" t="s">
        <v>2527</v>
      </c>
      <c r="R2263" s="460">
        <v>2121</v>
      </c>
      <c r="S2263" s="460" t="s">
        <v>1136</v>
      </c>
      <c r="T2263" s="462">
        <v>1</v>
      </c>
      <c r="U2263" s="460" t="s">
        <v>1136</v>
      </c>
      <c r="V2263" s="475">
        <v>0</v>
      </c>
      <c r="W2263" s="463" t="s">
        <v>2503</v>
      </c>
      <c r="X2263" s="463" t="s">
        <v>2267</v>
      </c>
      <c r="Y2263" s="463" t="s">
        <v>2268</v>
      </c>
      <c r="Z2263" s="463"/>
      <c r="AA2263" s="463"/>
      <c r="AB2263" s="464">
        <v>0.20417781196450116</v>
      </c>
      <c r="AC2263" s="465">
        <v>2.1023112449876885E-3</v>
      </c>
      <c r="AD2263" s="465">
        <v>5.8092859477260452E-4</v>
      </c>
      <c r="AE2263" s="476">
        <v>0.1225066871787007</v>
      </c>
      <c r="AF2263" s="467">
        <v>1.2613867469926131E-3</v>
      </c>
      <c r="AG2263" s="468">
        <v>3.7890308869608226E-4</v>
      </c>
      <c r="AH2263" s="218">
        <v>21.169528813930135</v>
      </c>
      <c r="AI2263" s="470">
        <v>0.21797147323899202</v>
      </c>
      <c r="AJ2263" s="471">
        <v>1.6532693341327207E-2</v>
      </c>
      <c r="AK2263" s="218">
        <v>21.169528813930135</v>
      </c>
      <c r="AL2263" s="470">
        <v>0.21797147323899202</v>
      </c>
      <c r="AM2263" s="471">
        <v>1.6532693341327207E-2</v>
      </c>
      <c r="AN2263" s="477">
        <v>0</v>
      </c>
      <c r="AO2263" s="473">
        <v>0</v>
      </c>
      <c r="AP2263" s="474">
        <v>0</v>
      </c>
      <c r="AQ2263" s="352"/>
      <c r="AR2263" s="352"/>
      <c r="AS2263" s="352"/>
      <c r="AT2263" s="352"/>
      <c r="AU2263" s="352"/>
      <c r="AV2263" s="352"/>
      <c r="AW2263" s="352" t="s">
        <v>254</v>
      </c>
    </row>
    <row r="2264" spans="2:49" x14ac:dyDescent="0.2">
      <c r="B2264" s="460" t="s">
        <v>3034</v>
      </c>
      <c r="C2264" s="460">
        <v>2223</v>
      </c>
      <c r="D2264" s="460" t="s">
        <v>2353</v>
      </c>
      <c r="E2264" s="460" t="s">
        <v>1137</v>
      </c>
      <c r="F2264" s="460">
        <v>2</v>
      </c>
      <c r="G2264" s="460">
        <v>4</v>
      </c>
      <c r="H2264" s="461" t="s">
        <v>700</v>
      </c>
      <c r="I2264" s="461" t="s">
        <v>872</v>
      </c>
      <c r="J2264" s="461" t="s">
        <v>700</v>
      </c>
      <c r="K2264" s="594"/>
      <c r="L2264" s="594"/>
      <c r="M2264" s="352">
        <v>2000</v>
      </c>
      <c r="N2264" s="352" t="s">
        <v>703</v>
      </c>
      <c r="O2264" s="460">
        <v>2223</v>
      </c>
      <c r="P2264" s="460" t="s">
        <v>1886</v>
      </c>
      <c r="Q2264" s="460" t="s">
        <v>2527</v>
      </c>
      <c r="R2264" s="460">
        <v>2121</v>
      </c>
      <c r="S2264" s="460" t="s">
        <v>1137</v>
      </c>
      <c r="T2264" s="462">
        <v>1</v>
      </c>
      <c r="U2264" s="460" t="s">
        <v>1137</v>
      </c>
      <c r="V2264" s="475">
        <v>0</v>
      </c>
      <c r="W2264" s="463" t="s">
        <v>2503</v>
      </c>
      <c r="X2264" s="463" t="s">
        <v>2267</v>
      </c>
      <c r="Y2264" s="463" t="s">
        <v>2268</v>
      </c>
      <c r="Z2264" s="463"/>
      <c r="AA2264" s="463"/>
      <c r="AB2264" s="464">
        <v>2.465631452657568</v>
      </c>
      <c r="AC2264" s="465">
        <v>1.6506499729616823E-2</v>
      </c>
      <c r="AD2264" s="465">
        <v>5.5677686584523311E-4</v>
      </c>
      <c r="AE2264" s="476">
        <v>1.4793788715945408</v>
      </c>
      <c r="AF2264" s="467">
        <v>9.9038998377700936E-3</v>
      </c>
      <c r="AG2264" s="468">
        <v>3.5989969871475251E-4</v>
      </c>
      <c r="AH2264" s="218">
        <v>29.666056605804233</v>
      </c>
      <c r="AI2264" s="470">
        <v>0.19860338608785305</v>
      </c>
      <c r="AJ2264" s="471">
        <v>6.1292869930917948E-3</v>
      </c>
      <c r="AK2264" s="218">
        <v>29.666056605804233</v>
      </c>
      <c r="AL2264" s="470">
        <v>0.19860338608785305</v>
      </c>
      <c r="AM2264" s="471">
        <v>6.1292869930917948E-3</v>
      </c>
      <c r="AN2264" s="477">
        <v>0</v>
      </c>
      <c r="AO2264" s="473">
        <v>0</v>
      </c>
      <c r="AP2264" s="474">
        <v>0</v>
      </c>
      <c r="AQ2264" s="352"/>
      <c r="AR2264" s="352"/>
      <c r="AS2264" s="352"/>
      <c r="AT2264" s="352"/>
      <c r="AU2264" s="352"/>
      <c r="AV2264" s="352"/>
      <c r="AW2264" s="352" t="s">
        <v>254</v>
      </c>
    </row>
    <row r="2265" spans="2:49" x14ac:dyDescent="0.2">
      <c r="B2265" s="460" t="s">
        <v>3035</v>
      </c>
      <c r="C2265" s="460">
        <v>2223</v>
      </c>
      <c r="D2265" s="460" t="s">
        <v>2355</v>
      </c>
      <c r="E2265" s="460" t="s">
        <v>1138</v>
      </c>
      <c r="F2265" s="460">
        <v>3</v>
      </c>
      <c r="G2265" s="460">
        <v>4</v>
      </c>
      <c r="H2265" s="461" t="s">
        <v>700</v>
      </c>
      <c r="I2265" s="461" t="s">
        <v>872</v>
      </c>
      <c r="J2265" s="461" t="s">
        <v>700</v>
      </c>
      <c r="K2265" s="594"/>
      <c r="L2265" s="594"/>
      <c r="M2265" s="352">
        <v>2000</v>
      </c>
      <c r="N2265" s="352" t="s">
        <v>703</v>
      </c>
      <c r="O2265" s="460">
        <v>2223</v>
      </c>
      <c r="P2265" s="460" t="s">
        <v>1886</v>
      </c>
      <c r="Q2265" s="460" t="s">
        <v>2527</v>
      </c>
      <c r="R2265" s="460">
        <v>2121</v>
      </c>
      <c r="S2265" s="460" t="s">
        <v>1138</v>
      </c>
      <c r="T2265" s="462">
        <v>1</v>
      </c>
      <c r="U2265" s="460" t="s">
        <v>1138</v>
      </c>
      <c r="V2265" s="475">
        <v>0</v>
      </c>
      <c r="W2265" s="463" t="s">
        <v>2503</v>
      </c>
      <c r="X2265" s="463" t="s">
        <v>2503</v>
      </c>
      <c r="Y2265" s="463" t="s">
        <v>2268</v>
      </c>
      <c r="Z2265" s="463"/>
      <c r="AA2265" s="463"/>
      <c r="AB2265" s="464">
        <v>1.3254170546498421</v>
      </c>
      <c r="AC2265" s="465">
        <v>2.0989036245974851E-2</v>
      </c>
      <c r="AD2265" s="465">
        <v>5.5610279322033202E-4</v>
      </c>
      <c r="AE2265" s="476">
        <v>0.79525023278990514</v>
      </c>
      <c r="AF2265" s="467">
        <v>1.2593421747584909E-2</v>
      </c>
      <c r="AG2265" s="468">
        <v>3.5997580844826689E-4</v>
      </c>
      <c r="AH2265" s="218">
        <v>0.79525023278990514</v>
      </c>
      <c r="AI2265" s="470">
        <v>1.2593421747584909E-2</v>
      </c>
      <c r="AJ2265" s="471">
        <v>2.7404814908699767E-4</v>
      </c>
      <c r="AK2265" s="218">
        <v>0.79525023278990514</v>
      </c>
      <c r="AL2265" s="470">
        <v>1.2593421747584909E-2</v>
      </c>
      <c r="AM2265" s="471">
        <v>2.7404814908699767E-4</v>
      </c>
      <c r="AN2265" s="477">
        <v>0</v>
      </c>
      <c r="AO2265" s="473">
        <v>0</v>
      </c>
      <c r="AP2265" s="474">
        <v>0</v>
      </c>
      <c r="AQ2265" s="352"/>
      <c r="AR2265" s="352"/>
      <c r="AS2265" s="352"/>
      <c r="AT2265" s="352"/>
      <c r="AU2265" s="352"/>
      <c r="AV2265" s="352"/>
      <c r="AW2265" s="352" t="s">
        <v>254</v>
      </c>
    </row>
    <row r="2266" spans="2:49" x14ac:dyDescent="0.2">
      <c r="B2266" s="460" t="s">
        <v>3036</v>
      </c>
      <c r="C2266" s="460">
        <v>2223</v>
      </c>
      <c r="D2266" s="460" t="s">
        <v>2357</v>
      </c>
      <c r="E2266" s="460" t="s">
        <v>1139</v>
      </c>
      <c r="F2266" s="460">
        <v>4</v>
      </c>
      <c r="G2266" s="460">
        <v>4</v>
      </c>
      <c r="H2266" s="461" t="s">
        <v>700</v>
      </c>
      <c r="I2266" s="461" t="s">
        <v>872</v>
      </c>
      <c r="J2266" s="461" t="s">
        <v>700</v>
      </c>
      <c r="K2266" s="594"/>
      <c r="L2266" s="594"/>
      <c r="M2266" s="352">
        <v>2000</v>
      </c>
      <c r="N2266" s="352" t="s">
        <v>703</v>
      </c>
      <c r="O2266" s="460">
        <v>2223</v>
      </c>
      <c r="P2266" s="460" t="s">
        <v>1886</v>
      </c>
      <c r="Q2266" s="460" t="s">
        <v>2527</v>
      </c>
      <c r="R2266" s="460">
        <v>2121</v>
      </c>
      <c r="S2266" s="460" t="s">
        <v>1139</v>
      </c>
      <c r="T2266" s="462">
        <v>1</v>
      </c>
      <c r="U2266" s="460" t="s">
        <v>1139</v>
      </c>
      <c r="V2266" s="475">
        <v>0</v>
      </c>
      <c r="W2266" s="463" t="s">
        <v>2503</v>
      </c>
      <c r="X2266" s="463" t="s">
        <v>2503</v>
      </c>
      <c r="Y2266" s="463" t="s">
        <v>2268</v>
      </c>
      <c r="Z2266" s="463"/>
      <c r="AA2266" s="463"/>
      <c r="AB2266" s="464">
        <v>0</v>
      </c>
      <c r="AC2266" s="465">
        <v>0</v>
      </c>
      <c r="AD2266" s="465">
        <v>0</v>
      </c>
      <c r="AE2266" s="476">
        <v>0</v>
      </c>
      <c r="AF2266" s="467">
        <v>0</v>
      </c>
      <c r="AG2266" s="468">
        <v>0</v>
      </c>
      <c r="AH2266" s="218">
        <v>0</v>
      </c>
      <c r="AI2266" s="470">
        <v>0</v>
      </c>
      <c r="AJ2266" s="471">
        <v>0</v>
      </c>
      <c r="AK2266" s="218">
        <v>0</v>
      </c>
      <c r="AL2266" s="470">
        <v>0</v>
      </c>
      <c r="AM2266" s="471">
        <v>0</v>
      </c>
      <c r="AN2266" s="477">
        <v>0</v>
      </c>
      <c r="AO2266" s="473">
        <v>0</v>
      </c>
      <c r="AP2266" s="474">
        <v>0</v>
      </c>
      <c r="AQ2266" s="352"/>
      <c r="AR2266" s="352"/>
      <c r="AS2266" s="352"/>
      <c r="AT2266" s="352"/>
      <c r="AU2266" s="352"/>
      <c r="AV2266" s="352"/>
      <c r="AW2266" s="352" t="s">
        <v>254</v>
      </c>
    </row>
    <row r="2267" spans="2:49" x14ac:dyDescent="0.2">
      <c r="B2267" s="460" t="s">
        <v>3033</v>
      </c>
      <c r="C2267" s="460">
        <v>2223</v>
      </c>
      <c r="D2267" s="460" t="s">
        <v>2358</v>
      </c>
      <c r="E2267" s="460" t="s">
        <v>1136</v>
      </c>
      <c r="F2267" s="460">
        <v>1</v>
      </c>
      <c r="G2267" s="460">
        <v>4</v>
      </c>
      <c r="H2267" s="461" t="s">
        <v>712</v>
      </c>
      <c r="I2267" s="461" t="s">
        <v>713</v>
      </c>
      <c r="J2267" s="461" t="s">
        <v>712</v>
      </c>
      <c r="K2267" s="594"/>
      <c r="L2267" s="594"/>
      <c r="M2267" s="352">
        <v>2000</v>
      </c>
      <c r="N2267" s="352" t="s">
        <v>703</v>
      </c>
      <c r="O2267" s="460">
        <v>2223</v>
      </c>
      <c r="P2267" s="460" t="s">
        <v>1886</v>
      </c>
      <c r="Q2267" s="460" t="s">
        <v>2280</v>
      </c>
      <c r="R2267" s="460">
        <v>2121</v>
      </c>
      <c r="S2267" s="460" t="s">
        <v>1136</v>
      </c>
      <c r="T2267" s="462">
        <v>1</v>
      </c>
      <c r="U2267" s="460" t="s">
        <v>1136</v>
      </c>
      <c r="V2267" s="475">
        <v>0</v>
      </c>
      <c r="W2267" s="463" t="s">
        <v>713</v>
      </c>
      <c r="X2267" s="463" t="s">
        <v>713</v>
      </c>
      <c r="Y2267" s="463" t="s">
        <v>713</v>
      </c>
      <c r="Z2267" s="463"/>
      <c r="AA2267" s="463"/>
      <c r="AB2267" s="464">
        <v>96.912182681152714</v>
      </c>
      <c r="AC2267" s="465">
        <v>0.99785363290263451</v>
      </c>
      <c r="AD2267" s="465">
        <v>6.3868718089408474E-4</v>
      </c>
      <c r="AE2267" s="476">
        <v>96.993853805938514</v>
      </c>
      <c r="AF2267" s="467">
        <v>0.99869455740062962</v>
      </c>
      <c r="AG2267" s="468">
        <v>6.3910686297384241E-4</v>
      </c>
      <c r="AH2267" s="218">
        <v>67.536652780473347</v>
      </c>
      <c r="AI2267" s="470">
        <v>0.69538929437594166</v>
      </c>
      <c r="AJ2267" s="471">
        <v>4.4953172946682796E-4</v>
      </c>
      <c r="AK2267" s="218">
        <v>67.536652780473347</v>
      </c>
      <c r="AL2267" s="470">
        <v>0.69538929437594166</v>
      </c>
      <c r="AM2267" s="471">
        <v>4.4953172946682796E-4</v>
      </c>
      <c r="AN2267" s="477">
        <v>67.536652780473347</v>
      </c>
      <c r="AO2267" s="473">
        <v>0.69538929437594166</v>
      </c>
      <c r="AP2267" s="474">
        <v>4.4880027856889653E-4</v>
      </c>
      <c r="AQ2267" s="352"/>
      <c r="AR2267" s="352"/>
      <c r="AS2267" s="352"/>
      <c r="AT2267" s="352"/>
      <c r="AU2267" s="352"/>
      <c r="AV2267" s="352"/>
      <c r="AW2267" s="352" t="s">
        <v>254</v>
      </c>
    </row>
    <row r="2268" spans="2:49" x14ac:dyDescent="0.2">
      <c r="B2268" s="460" t="s">
        <v>3034</v>
      </c>
      <c r="C2268" s="460">
        <v>2223</v>
      </c>
      <c r="D2268" s="460" t="s">
        <v>2359</v>
      </c>
      <c r="E2268" s="460" t="s">
        <v>1137</v>
      </c>
      <c r="F2268" s="460">
        <v>2</v>
      </c>
      <c r="G2268" s="460">
        <v>4</v>
      </c>
      <c r="H2268" s="461" t="s">
        <v>712</v>
      </c>
      <c r="I2268" s="461" t="s">
        <v>713</v>
      </c>
      <c r="J2268" s="461" t="s">
        <v>712</v>
      </c>
      <c r="K2268" s="594"/>
      <c r="L2268" s="594"/>
      <c r="M2268" s="352">
        <v>2000</v>
      </c>
      <c r="N2268" s="352" t="s">
        <v>703</v>
      </c>
      <c r="O2268" s="460">
        <v>2223</v>
      </c>
      <c r="P2268" s="460" t="s">
        <v>1886</v>
      </c>
      <c r="Q2268" s="460" t="s">
        <v>2280</v>
      </c>
      <c r="R2268" s="460">
        <v>2121</v>
      </c>
      <c r="S2268" s="460" t="s">
        <v>1137</v>
      </c>
      <c r="T2268" s="462">
        <v>1</v>
      </c>
      <c r="U2268" s="460" t="s">
        <v>1137</v>
      </c>
      <c r="V2268" s="475">
        <v>0</v>
      </c>
      <c r="W2268" s="463" t="s">
        <v>713</v>
      </c>
      <c r="X2268" s="463" t="s">
        <v>713</v>
      </c>
      <c r="Y2268" s="463" t="s">
        <v>713</v>
      </c>
      <c r="Z2268" s="463"/>
      <c r="AA2268" s="463"/>
      <c r="AB2268" s="464">
        <v>146.89851788787351</v>
      </c>
      <c r="AC2268" s="465">
        <v>0.98343178709200807</v>
      </c>
      <c r="AD2268" s="465">
        <v>8.4953439293317969E-4</v>
      </c>
      <c r="AE2268" s="476">
        <v>147.88477046893652</v>
      </c>
      <c r="AF2268" s="467">
        <v>0.99003438698385482</v>
      </c>
      <c r="AG2268" s="468">
        <v>8.5366873838220599E-4</v>
      </c>
      <c r="AH2268" s="218">
        <v>118.00452675815755</v>
      </c>
      <c r="AI2268" s="470">
        <v>0.78999709665757945</v>
      </c>
      <c r="AJ2268" s="471">
        <v>6.8441661214382985E-4</v>
      </c>
      <c r="AK2268" s="218">
        <v>118.00452675815755</v>
      </c>
      <c r="AL2268" s="470">
        <v>0.78999709665757945</v>
      </c>
      <c r="AM2268" s="471">
        <v>6.8441661214382985E-4</v>
      </c>
      <c r="AN2268" s="477">
        <v>118.00452675815755</v>
      </c>
      <c r="AO2268" s="473">
        <v>0.78999709665757945</v>
      </c>
      <c r="AP2268" s="474">
        <v>6.838518702571905E-4</v>
      </c>
      <c r="AQ2268" s="352"/>
      <c r="AR2268" s="352"/>
      <c r="AS2268" s="352"/>
      <c r="AT2268" s="352"/>
      <c r="AU2268" s="352"/>
      <c r="AV2268" s="352"/>
      <c r="AW2268" s="352" t="s">
        <v>254</v>
      </c>
    </row>
    <row r="2269" spans="2:49" x14ac:dyDescent="0.2">
      <c r="B2269" s="460" t="s">
        <v>3035</v>
      </c>
      <c r="C2269" s="460">
        <v>2223</v>
      </c>
      <c r="D2269" s="460" t="s">
        <v>2360</v>
      </c>
      <c r="E2269" s="460" t="s">
        <v>1138</v>
      </c>
      <c r="F2269" s="460">
        <v>3</v>
      </c>
      <c r="G2269" s="460">
        <v>4</v>
      </c>
      <c r="H2269" s="461" t="s">
        <v>712</v>
      </c>
      <c r="I2269" s="461" t="s">
        <v>713</v>
      </c>
      <c r="J2269" s="461" t="s">
        <v>712</v>
      </c>
      <c r="K2269" s="594"/>
      <c r="L2269" s="594"/>
      <c r="M2269" s="352">
        <v>2000</v>
      </c>
      <c r="N2269" s="352" t="s">
        <v>703</v>
      </c>
      <c r="O2269" s="460">
        <v>2223</v>
      </c>
      <c r="P2269" s="460" t="s">
        <v>1886</v>
      </c>
      <c r="Q2269" s="460" t="s">
        <v>2280</v>
      </c>
      <c r="R2269" s="460">
        <v>2121</v>
      </c>
      <c r="S2269" s="460" t="s">
        <v>1138</v>
      </c>
      <c r="T2269" s="462">
        <v>1</v>
      </c>
      <c r="U2269" s="460" t="s">
        <v>1138</v>
      </c>
      <c r="V2269" s="475">
        <v>0</v>
      </c>
      <c r="W2269" s="463" t="s">
        <v>713</v>
      </c>
      <c r="X2269" s="463" t="s">
        <v>713</v>
      </c>
      <c r="Y2269" s="463" t="s">
        <v>713</v>
      </c>
      <c r="Z2269" s="463"/>
      <c r="AA2269" s="463"/>
      <c r="AB2269" s="464">
        <v>61.822174234983521</v>
      </c>
      <c r="AC2269" s="465">
        <v>0.97900343991412386</v>
      </c>
      <c r="AD2269" s="465">
        <v>7.7151270968969256E-4</v>
      </c>
      <c r="AE2269" s="476">
        <v>62.35234105684345</v>
      </c>
      <c r="AF2269" s="467">
        <v>0.98739905441251374</v>
      </c>
      <c r="AG2269" s="468">
        <v>7.7644076504517097E-4</v>
      </c>
      <c r="AH2269" s="218">
        <v>62.35234105684345</v>
      </c>
      <c r="AI2269" s="470">
        <v>0.98739905441251374</v>
      </c>
      <c r="AJ2269" s="471">
        <v>7.8554482243466052E-4</v>
      </c>
      <c r="AK2269" s="218">
        <v>62.35234105684345</v>
      </c>
      <c r="AL2269" s="470">
        <v>0.98739905441251374</v>
      </c>
      <c r="AM2269" s="471">
        <v>7.8554482243466052E-4</v>
      </c>
      <c r="AN2269" s="477">
        <v>62.617424467773425</v>
      </c>
      <c r="AO2269" s="473">
        <v>0.99159686166170879</v>
      </c>
      <c r="AP2269" s="474">
        <v>7.8882501735630058E-4</v>
      </c>
      <c r="AQ2269" s="352"/>
      <c r="AR2269" s="352"/>
      <c r="AS2269" s="352"/>
      <c r="AT2269" s="352"/>
      <c r="AU2269" s="352"/>
      <c r="AV2269" s="352"/>
      <c r="AW2269" s="352" t="s">
        <v>254</v>
      </c>
    </row>
    <row r="2270" spans="2:49" x14ac:dyDescent="0.2">
      <c r="B2270" s="460" t="s">
        <v>3036</v>
      </c>
      <c r="C2270" s="460">
        <v>2223</v>
      </c>
      <c r="D2270" s="460" t="s">
        <v>2361</v>
      </c>
      <c r="E2270" s="460" t="s">
        <v>1139</v>
      </c>
      <c r="F2270" s="460">
        <v>4</v>
      </c>
      <c r="G2270" s="460">
        <v>4</v>
      </c>
      <c r="H2270" s="461" t="s">
        <v>712</v>
      </c>
      <c r="I2270" s="461" t="s">
        <v>713</v>
      </c>
      <c r="J2270" s="461" t="s">
        <v>712</v>
      </c>
      <c r="K2270" s="594"/>
      <c r="L2270" s="594"/>
      <c r="M2270" s="352">
        <v>2000</v>
      </c>
      <c r="N2270" s="352" t="s">
        <v>703</v>
      </c>
      <c r="O2270" s="460">
        <v>2223</v>
      </c>
      <c r="P2270" s="460" t="s">
        <v>1886</v>
      </c>
      <c r="Q2270" s="460" t="s">
        <v>2280</v>
      </c>
      <c r="R2270" s="460">
        <v>2121</v>
      </c>
      <c r="S2270" s="460" t="s">
        <v>1139</v>
      </c>
      <c r="T2270" s="462">
        <v>1</v>
      </c>
      <c r="U2270" s="460" t="s">
        <v>1139</v>
      </c>
      <c r="V2270" s="475">
        <v>0</v>
      </c>
      <c r="W2270" s="463" t="s">
        <v>713</v>
      </c>
      <c r="X2270" s="463" t="s">
        <v>713</v>
      </c>
      <c r="Y2270" s="463" t="s">
        <v>713</v>
      </c>
      <c r="Z2270" s="463"/>
      <c r="AA2270" s="463"/>
      <c r="AB2270" s="464">
        <v>71.590870404903285</v>
      </c>
      <c r="AC2270" s="465">
        <v>0.99634407155119853</v>
      </c>
      <c r="AD2270" s="465">
        <v>7.9267096477497636E-4</v>
      </c>
      <c r="AE2270" s="476">
        <v>71.590870404903285</v>
      </c>
      <c r="AF2270" s="467">
        <v>0.99634407155119864</v>
      </c>
      <c r="AG2270" s="468">
        <v>7.9267096477497636E-4</v>
      </c>
      <c r="AH2270" s="218">
        <v>71.590870404903285</v>
      </c>
      <c r="AI2270" s="470">
        <v>0.99634407155119864</v>
      </c>
      <c r="AJ2270" s="471">
        <v>8.0971961872393339E-4</v>
      </c>
      <c r="AK2270" s="218">
        <v>71.590870404903285</v>
      </c>
      <c r="AL2270" s="470">
        <v>0.99634407155119864</v>
      </c>
      <c r="AM2270" s="471">
        <v>8.0971961872393339E-4</v>
      </c>
      <c r="AN2270" s="477">
        <v>71.590870404903285</v>
      </c>
      <c r="AO2270" s="473">
        <v>0.99634407155119864</v>
      </c>
      <c r="AP2270" s="474">
        <v>8.0971961872393339E-4</v>
      </c>
      <c r="AQ2270" s="352"/>
      <c r="AR2270" s="352"/>
      <c r="AS2270" s="352"/>
      <c r="AT2270" s="352"/>
      <c r="AU2270" s="352"/>
      <c r="AV2270" s="352"/>
      <c r="AW2270" s="352" t="s">
        <v>254</v>
      </c>
    </row>
    <row r="2271" spans="2:49" x14ac:dyDescent="0.2">
      <c r="B2271" s="460" t="s">
        <v>3033</v>
      </c>
      <c r="C2271" s="460">
        <v>2223</v>
      </c>
      <c r="D2271" s="460" t="s">
        <v>2362</v>
      </c>
      <c r="E2271" s="460" t="s">
        <v>1136</v>
      </c>
      <c r="F2271" s="460">
        <v>1</v>
      </c>
      <c r="G2271" s="460">
        <v>4</v>
      </c>
      <c r="H2271" s="461" t="s">
        <v>746</v>
      </c>
      <c r="I2271" s="461" t="s">
        <v>762</v>
      </c>
      <c r="J2271" s="461" t="s">
        <v>700</v>
      </c>
      <c r="K2271" s="594"/>
      <c r="L2271" s="594"/>
      <c r="M2271" s="352">
        <v>2000</v>
      </c>
      <c r="N2271" s="352" t="s">
        <v>703</v>
      </c>
      <c r="O2271" s="460">
        <v>2223</v>
      </c>
      <c r="P2271" s="460" t="s">
        <v>1886</v>
      </c>
      <c r="Q2271" s="460" t="s">
        <v>2531</v>
      </c>
      <c r="R2271" s="460">
        <v>2121</v>
      </c>
      <c r="S2271" s="460" t="s">
        <v>1136</v>
      </c>
      <c r="T2271" s="462">
        <v>1</v>
      </c>
      <c r="U2271" s="460" t="s">
        <v>1136</v>
      </c>
      <c r="V2271" s="475">
        <v>0</v>
      </c>
      <c r="W2271" s="463" t="s">
        <v>2268</v>
      </c>
      <c r="X2271" s="463" t="s">
        <v>2268</v>
      </c>
      <c r="Y2271" s="463" t="s">
        <v>2290</v>
      </c>
      <c r="Z2271" s="463"/>
      <c r="AA2271" s="463"/>
      <c r="AB2271" s="464">
        <v>0</v>
      </c>
      <c r="AC2271" s="465">
        <v>0</v>
      </c>
      <c r="AD2271" s="465">
        <v>0</v>
      </c>
      <c r="AE2271" s="476">
        <v>0</v>
      </c>
      <c r="AF2271" s="467">
        <v>0</v>
      </c>
      <c r="AG2271" s="468">
        <v>0</v>
      </c>
      <c r="AH2271" s="218">
        <v>0</v>
      </c>
      <c r="AI2271" s="470">
        <v>0</v>
      </c>
      <c r="AJ2271" s="471">
        <v>0</v>
      </c>
      <c r="AK2271" s="218">
        <v>0</v>
      </c>
      <c r="AL2271" s="470">
        <v>0</v>
      </c>
      <c r="AM2271" s="471">
        <v>0</v>
      </c>
      <c r="AN2271" s="477">
        <v>0</v>
      </c>
      <c r="AO2271" s="473">
        <v>0</v>
      </c>
      <c r="AP2271" s="474">
        <v>0</v>
      </c>
      <c r="AQ2271" s="352"/>
      <c r="AR2271" s="352"/>
      <c r="AS2271" s="352"/>
      <c r="AT2271" s="352"/>
      <c r="AU2271" s="352"/>
      <c r="AV2271" s="352"/>
      <c r="AW2271" s="352" t="s">
        <v>254</v>
      </c>
    </row>
    <row r="2272" spans="2:49" x14ac:dyDescent="0.2">
      <c r="B2272" s="460" t="s">
        <v>3034</v>
      </c>
      <c r="C2272" s="460">
        <v>2223</v>
      </c>
      <c r="D2272" s="460" t="s">
        <v>2363</v>
      </c>
      <c r="E2272" s="460" t="s">
        <v>1137</v>
      </c>
      <c r="F2272" s="460">
        <v>2</v>
      </c>
      <c r="G2272" s="460">
        <v>4</v>
      </c>
      <c r="H2272" s="461" t="s">
        <v>746</v>
      </c>
      <c r="I2272" s="461" t="s">
        <v>762</v>
      </c>
      <c r="J2272" s="461" t="s">
        <v>700</v>
      </c>
      <c r="K2272" s="594"/>
      <c r="L2272" s="594"/>
      <c r="M2272" s="352">
        <v>2000</v>
      </c>
      <c r="N2272" s="352" t="s">
        <v>703</v>
      </c>
      <c r="O2272" s="460">
        <v>2223</v>
      </c>
      <c r="P2272" s="460" t="s">
        <v>1886</v>
      </c>
      <c r="Q2272" s="460" t="s">
        <v>2531</v>
      </c>
      <c r="R2272" s="460">
        <v>2121</v>
      </c>
      <c r="S2272" s="460" t="s">
        <v>1137</v>
      </c>
      <c r="T2272" s="462">
        <v>1</v>
      </c>
      <c r="U2272" s="460" t="s">
        <v>1137</v>
      </c>
      <c r="V2272" s="475">
        <v>0</v>
      </c>
      <c r="W2272" s="463" t="s">
        <v>2268</v>
      </c>
      <c r="X2272" s="463" t="s">
        <v>2268</v>
      </c>
      <c r="Y2272" s="463" t="s">
        <v>2290</v>
      </c>
      <c r="Z2272" s="463"/>
      <c r="AA2272" s="463"/>
      <c r="AB2272" s="464">
        <v>0</v>
      </c>
      <c r="AC2272" s="465">
        <v>0</v>
      </c>
      <c r="AD2272" s="465">
        <v>0</v>
      </c>
      <c r="AE2272" s="476">
        <v>0</v>
      </c>
      <c r="AF2272" s="467">
        <v>0</v>
      </c>
      <c r="AG2272" s="468">
        <v>0</v>
      </c>
      <c r="AH2272" s="218">
        <v>0</v>
      </c>
      <c r="AI2272" s="470">
        <v>0</v>
      </c>
      <c r="AJ2272" s="471">
        <v>0</v>
      </c>
      <c r="AK2272" s="218">
        <v>0</v>
      </c>
      <c r="AL2272" s="470">
        <v>0</v>
      </c>
      <c r="AM2272" s="471">
        <v>0</v>
      </c>
      <c r="AN2272" s="477">
        <v>0</v>
      </c>
      <c r="AO2272" s="473">
        <v>0</v>
      </c>
      <c r="AP2272" s="474">
        <v>0</v>
      </c>
      <c r="AQ2272" s="352"/>
      <c r="AR2272" s="352"/>
      <c r="AS2272" s="352"/>
      <c r="AT2272" s="352"/>
      <c r="AU2272" s="352"/>
      <c r="AV2272" s="352"/>
      <c r="AW2272" s="352" t="s">
        <v>254</v>
      </c>
    </row>
    <row r="2273" spans="2:49" x14ac:dyDescent="0.2">
      <c r="B2273" s="460" t="s">
        <v>3035</v>
      </c>
      <c r="C2273" s="460">
        <v>2223</v>
      </c>
      <c r="D2273" s="460" t="s">
        <v>2364</v>
      </c>
      <c r="E2273" s="460" t="s">
        <v>1138</v>
      </c>
      <c r="F2273" s="460">
        <v>3</v>
      </c>
      <c r="G2273" s="460">
        <v>4</v>
      </c>
      <c r="H2273" s="461" t="s">
        <v>746</v>
      </c>
      <c r="I2273" s="461" t="s">
        <v>762</v>
      </c>
      <c r="J2273" s="461" t="s">
        <v>700</v>
      </c>
      <c r="K2273" s="594"/>
      <c r="L2273" s="594"/>
      <c r="M2273" s="352">
        <v>2000</v>
      </c>
      <c r="N2273" s="352" t="s">
        <v>703</v>
      </c>
      <c r="O2273" s="460">
        <v>2223</v>
      </c>
      <c r="P2273" s="460" t="s">
        <v>1886</v>
      </c>
      <c r="Q2273" s="460" t="s">
        <v>2531</v>
      </c>
      <c r="R2273" s="460">
        <v>2121</v>
      </c>
      <c r="S2273" s="460" t="s">
        <v>1138</v>
      </c>
      <c r="T2273" s="462">
        <v>1</v>
      </c>
      <c r="U2273" s="460" t="s">
        <v>1138</v>
      </c>
      <c r="V2273" s="475">
        <v>0</v>
      </c>
      <c r="W2273" s="463" t="s">
        <v>2268</v>
      </c>
      <c r="X2273" s="463" t="s">
        <v>2268</v>
      </c>
      <c r="Y2273" s="463" t="s">
        <v>2290</v>
      </c>
      <c r="Z2273" s="463"/>
      <c r="AA2273" s="463"/>
      <c r="AB2273" s="464">
        <v>0</v>
      </c>
      <c r="AC2273" s="465">
        <v>0</v>
      </c>
      <c r="AD2273" s="465">
        <v>0</v>
      </c>
      <c r="AE2273" s="476">
        <v>0</v>
      </c>
      <c r="AF2273" s="467">
        <v>0</v>
      </c>
      <c r="AG2273" s="468">
        <v>0</v>
      </c>
      <c r="AH2273" s="218">
        <v>0</v>
      </c>
      <c r="AI2273" s="470">
        <v>0</v>
      </c>
      <c r="AJ2273" s="471">
        <v>0</v>
      </c>
      <c r="AK2273" s="218">
        <v>0</v>
      </c>
      <c r="AL2273" s="470">
        <v>0</v>
      </c>
      <c r="AM2273" s="471">
        <v>0</v>
      </c>
      <c r="AN2273" s="477">
        <v>0</v>
      </c>
      <c r="AO2273" s="473">
        <v>0</v>
      </c>
      <c r="AP2273" s="474">
        <v>0</v>
      </c>
      <c r="AQ2273" s="352"/>
      <c r="AR2273" s="352"/>
      <c r="AS2273" s="352"/>
      <c r="AT2273" s="352"/>
      <c r="AU2273" s="352"/>
      <c r="AV2273" s="352"/>
      <c r="AW2273" s="352" t="s">
        <v>254</v>
      </c>
    </row>
    <row r="2274" spans="2:49" x14ac:dyDescent="0.2">
      <c r="B2274" s="460" t="s">
        <v>3036</v>
      </c>
      <c r="C2274" s="460">
        <v>2223</v>
      </c>
      <c r="D2274" s="460" t="s">
        <v>2365</v>
      </c>
      <c r="E2274" s="460" t="s">
        <v>1139</v>
      </c>
      <c r="F2274" s="460">
        <v>4</v>
      </c>
      <c r="G2274" s="460">
        <v>4</v>
      </c>
      <c r="H2274" s="461" t="s">
        <v>746</v>
      </c>
      <c r="I2274" s="461" t="s">
        <v>762</v>
      </c>
      <c r="J2274" s="461" t="s">
        <v>700</v>
      </c>
      <c r="K2274" s="594"/>
      <c r="L2274" s="594"/>
      <c r="M2274" s="352">
        <v>2000</v>
      </c>
      <c r="N2274" s="352" t="s">
        <v>703</v>
      </c>
      <c r="O2274" s="460">
        <v>2223</v>
      </c>
      <c r="P2274" s="460" t="s">
        <v>1886</v>
      </c>
      <c r="Q2274" s="460" t="s">
        <v>2531</v>
      </c>
      <c r="R2274" s="460">
        <v>2121</v>
      </c>
      <c r="S2274" s="460" t="s">
        <v>1139</v>
      </c>
      <c r="T2274" s="462">
        <v>1</v>
      </c>
      <c r="U2274" s="460" t="s">
        <v>1139</v>
      </c>
      <c r="V2274" s="475">
        <v>0</v>
      </c>
      <c r="W2274" s="463" t="s">
        <v>2268</v>
      </c>
      <c r="X2274" s="463" t="s">
        <v>2268</v>
      </c>
      <c r="Y2274" s="463" t="s">
        <v>2290</v>
      </c>
      <c r="Z2274" s="463"/>
      <c r="AA2274" s="463"/>
      <c r="AB2274" s="464">
        <v>0</v>
      </c>
      <c r="AC2274" s="465">
        <v>0</v>
      </c>
      <c r="AD2274" s="465">
        <v>0</v>
      </c>
      <c r="AE2274" s="476">
        <v>0</v>
      </c>
      <c r="AF2274" s="467">
        <v>0</v>
      </c>
      <c r="AG2274" s="468">
        <v>0</v>
      </c>
      <c r="AH2274" s="218">
        <v>0</v>
      </c>
      <c r="AI2274" s="470">
        <v>0</v>
      </c>
      <c r="AJ2274" s="471">
        <v>0</v>
      </c>
      <c r="AK2274" s="218">
        <v>0</v>
      </c>
      <c r="AL2274" s="470">
        <v>0</v>
      </c>
      <c r="AM2274" s="471">
        <v>0</v>
      </c>
      <c r="AN2274" s="477">
        <v>0</v>
      </c>
      <c r="AO2274" s="473">
        <v>0</v>
      </c>
      <c r="AP2274" s="474">
        <v>0</v>
      </c>
      <c r="AQ2274" s="352"/>
      <c r="AR2274" s="352"/>
      <c r="AS2274" s="352"/>
      <c r="AT2274" s="352"/>
      <c r="AU2274" s="352"/>
      <c r="AV2274" s="352"/>
      <c r="AW2274" s="352" t="s">
        <v>254</v>
      </c>
    </row>
    <row r="2275" spans="2:49" x14ac:dyDescent="0.2">
      <c r="B2275" s="460" t="s">
        <v>3033</v>
      </c>
      <c r="C2275" s="460">
        <v>2223</v>
      </c>
      <c r="D2275" s="460" t="s">
        <v>2366</v>
      </c>
      <c r="E2275" s="460" t="s">
        <v>1136</v>
      </c>
      <c r="F2275" s="460">
        <v>1</v>
      </c>
      <c r="G2275" s="460">
        <v>4</v>
      </c>
      <c r="H2275" s="461" t="s">
        <v>748</v>
      </c>
      <c r="I2275" s="461" t="s">
        <v>765</v>
      </c>
      <c r="J2275" s="461" t="s">
        <v>700</v>
      </c>
      <c r="K2275" s="594"/>
      <c r="L2275" s="594"/>
      <c r="M2275" s="352">
        <v>2000</v>
      </c>
      <c r="N2275" s="352" t="s">
        <v>703</v>
      </c>
      <c r="O2275" s="460">
        <v>2223</v>
      </c>
      <c r="P2275" s="460" t="s">
        <v>1886</v>
      </c>
      <c r="Q2275" s="460" t="s">
        <v>2527</v>
      </c>
      <c r="R2275" s="460">
        <v>2121</v>
      </c>
      <c r="S2275" s="460" t="s">
        <v>1136</v>
      </c>
      <c r="T2275" s="462">
        <v>1</v>
      </c>
      <c r="U2275" s="460" t="s">
        <v>1136</v>
      </c>
      <c r="V2275" s="475">
        <v>0</v>
      </c>
      <c r="W2275" s="463" t="s">
        <v>2268</v>
      </c>
      <c r="X2275" s="463" t="s">
        <v>2268</v>
      </c>
      <c r="Y2275" s="463" t="s">
        <v>2267</v>
      </c>
      <c r="Z2275" s="463"/>
      <c r="AA2275" s="463"/>
      <c r="AB2275" s="464">
        <v>0</v>
      </c>
      <c r="AC2275" s="465">
        <v>0</v>
      </c>
      <c r="AD2275" s="465">
        <v>0</v>
      </c>
      <c r="AE2275" s="476">
        <v>0</v>
      </c>
      <c r="AF2275" s="467">
        <v>0</v>
      </c>
      <c r="AG2275" s="468">
        <v>0</v>
      </c>
      <c r="AH2275" s="218">
        <v>0</v>
      </c>
      <c r="AI2275" s="470">
        <v>0</v>
      </c>
      <c r="AJ2275" s="471">
        <v>0</v>
      </c>
      <c r="AK2275" s="218">
        <v>0</v>
      </c>
      <c r="AL2275" s="470">
        <v>0</v>
      </c>
      <c r="AM2275" s="471">
        <v>0</v>
      </c>
      <c r="AN2275" s="477">
        <v>21.169528813930135</v>
      </c>
      <c r="AO2275" s="473">
        <v>0.21797147323899202</v>
      </c>
      <c r="AP2275" s="474">
        <v>2.6009891882767311E-2</v>
      </c>
      <c r="AQ2275" s="352"/>
      <c r="AR2275" s="352"/>
      <c r="AS2275" s="352"/>
      <c r="AT2275" s="352"/>
      <c r="AU2275" s="352"/>
      <c r="AV2275" s="352"/>
      <c r="AW2275" s="352" t="s">
        <v>254</v>
      </c>
    </row>
    <row r="2276" spans="2:49" x14ac:dyDescent="0.2">
      <c r="B2276" s="460" t="s">
        <v>3034</v>
      </c>
      <c r="C2276" s="460">
        <v>2223</v>
      </c>
      <c r="D2276" s="460" t="s">
        <v>2367</v>
      </c>
      <c r="E2276" s="460" t="s">
        <v>1137</v>
      </c>
      <c r="F2276" s="460">
        <v>2</v>
      </c>
      <c r="G2276" s="460">
        <v>4</v>
      </c>
      <c r="H2276" s="461" t="s">
        <v>748</v>
      </c>
      <c r="I2276" s="461" t="s">
        <v>765</v>
      </c>
      <c r="J2276" s="461" t="s">
        <v>700</v>
      </c>
      <c r="K2276" s="594"/>
      <c r="L2276" s="594"/>
      <c r="M2276" s="352">
        <v>2000</v>
      </c>
      <c r="N2276" s="352" t="s">
        <v>703</v>
      </c>
      <c r="O2276" s="460">
        <v>2223</v>
      </c>
      <c r="P2276" s="460" t="s">
        <v>1886</v>
      </c>
      <c r="Q2276" s="460" t="s">
        <v>2527</v>
      </c>
      <c r="R2276" s="460">
        <v>2121</v>
      </c>
      <c r="S2276" s="460" t="s">
        <v>1137</v>
      </c>
      <c r="T2276" s="462">
        <v>1</v>
      </c>
      <c r="U2276" s="460" t="s">
        <v>1137</v>
      </c>
      <c r="V2276" s="475">
        <v>0</v>
      </c>
      <c r="W2276" s="463" t="s">
        <v>2268</v>
      </c>
      <c r="X2276" s="463" t="s">
        <v>2268</v>
      </c>
      <c r="Y2276" s="463" t="s">
        <v>2267</v>
      </c>
      <c r="Z2276" s="463"/>
      <c r="AA2276" s="463"/>
      <c r="AB2276" s="464">
        <v>0</v>
      </c>
      <c r="AC2276" s="465">
        <v>0</v>
      </c>
      <c r="AD2276" s="465">
        <v>0</v>
      </c>
      <c r="AE2276" s="476">
        <v>0</v>
      </c>
      <c r="AF2276" s="467">
        <v>0</v>
      </c>
      <c r="AG2276" s="468">
        <v>0</v>
      </c>
      <c r="AH2276" s="218">
        <v>0</v>
      </c>
      <c r="AI2276" s="470">
        <v>0</v>
      </c>
      <c r="AJ2276" s="471">
        <v>0</v>
      </c>
      <c r="AK2276" s="218">
        <v>0</v>
      </c>
      <c r="AL2276" s="470">
        <v>0</v>
      </c>
      <c r="AM2276" s="471">
        <v>0</v>
      </c>
      <c r="AN2276" s="477">
        <v>29.666056605804233</v>
      </c>
      <c r="AO2276" s="473">
        <v>0.19860338608785305</v>
      </c>
      <c r="AP2276" s="474">
        <v>2.8574674600956283E-2</v>
      </c>
      <c r="AQ2276" s="352"/>
      <c r="AR2276" s="352"/>
      <c r="AS2276" s="352"/>
      <c r="AT2276" s="352"/>
      <c r="AU2276" s="352"/>
      <c r="AV2276" s="352"/>
      <c r="AW2276" s="352" t="s">
        <v>254</v>
      </c>
    </row>
    <row r="2277" spans="2:49" x14ac:dyDescent="0.2">
      <c r="B2277" s="460" t="s">
        <v>3035</v>
      </c>
      <c r="C2277" s="460">
        <v>2223</v>
      </c>
      <c r="D2277" s="460" t="s">
        <v>2368</v>
      </c>
      <c r="E2277" s="460" t="s">
        <v>1138</v>
      </c>
      <c r="F2277" s="460">
        <v>3</v>
      </c>
      <c r="G2277" s="460">
        <v>4</v>
      </c>
      <c r="H2277" s="461" t="s">
        <v>748</v>
      </c>
      <c r="I2277" s="461" t="s">
        <v>765</v>
      </c>
      <c r="J2277" s="461" t="s">
        <v>700</v>
      </c>
      <c r="K2277" s="594"/>
      <c r="L2277" s="594"/>
      <c r="M2277" s="352">
        <v>2000</v>
      </c>
      <c r="N2277" s="352" t="s">
        <v>703</v>
      </c>
      <c r="O2277" s="460">
        <v>2223</v>
      </c>
      <c r="P2277" s="460" t="s">
        <v>1886</v>
      </c>
      <c r="Q2277" s="460" t="s">
        <v>2527</v>
      </c>
      <c r="R2277" s="460">
        <v>2121</v>
      </c>
      <c r="S2277" s="460" t="s">
        <v>1138</v>
      </c>
      <c r="T2277" s="462">
        <v>1</v>
      </c>
      <c r="U2277" s="460" t="s">
        <v>1138</v>
      </c>
      <c r="V2277" s="475">
        <v>0</v>
      </c>
      <c r="W2277" s="463" t="s">
        <v>2268</v>
      </c>
      <c r="X2277" s="463" t="s">
        <v>2268</v>
      </c>
      <c r="Y2277" s="463" t="s">
        <v>2503</v>
      </c>
      <c r="Z2277" s="463"/>
      <c r="AA2277" s="463"/>
      <c r="AB2277" s="464">
        <v>0</v>
      </c>
      <c r="AC2277" s="465">
        <v>0</v>
      </c>
      <c r="AD2277" s="465">
        <v>0</v>
      </c>
      <c r="AE2277" s="476">
        <v>0</v>
      </c>
      <c r="AF2277" s="467">
        <v>0</v>
      </c>
      <c r="AG2277" s="468">
        <v>0</v>
      </c>
      <c r="AH2277" s="218">
        <v>0</v>
      </c>
      <c r="AI2277" s="470">
        <v>0</v>
      </c>
      <c r="AJ2277" s="471">
        <v>0</v>
      </c>
      <c r="AK2277" s="218">
        <v>0</v>
      </c>
      <c r="AL2277" s="470">
        <v>0</v>
      </c>
      <c r="AM2277" s="471">
        <v>0</v>
      </c>
      <c r="AN2277" s="477">
        <v>0.53016682185993691</v>
      </c>
      <c r="AO2277" s="473">
        <v>8.3956144983899413E-3</v>
      </c>
      <c r="AP2277" s="474">
        <v>5.5007484879989778E-4</v>
      </c>
      <c r="AQ2277" s="352"/>
      <c r="AR2277" s="352"/>
      <c r="AS2277" s="352"/>
      <c r="AT2277" s="352"/>
      <c r="AU2277" s="352"/>
      <c r="AV2277" s="352"/>
      <c r="AW2277" s="352" t="s">
        <v>254</v>
      </c>
    </row>
    <row r="2278" spans="2:49" x14ac:dyDescent="0.2">
      <c r="B2278" s="460" t="s">
        <v>3036</v>
      </c>
      <c r="C2278" s="460">
        <v>2223</v>
      </c>
      <c r="D2278" s="460" t="s">
        <v>2369</v>
      </c>
      <c r="E2278" s="460" t="s">
        <v>1139</v>
      </c>
      <c r="F2278" s="460">
        <v>4</v>
      </c>
      <c r="G2278" s="460">
        <v>4</v>
      </c>
      <c r="H2278" s="461" t="s">
        <v>748</v>
      </c>
      <c r="I2278" s="461" t="s">
        <v>765</v>
      </c>
      <c r="J2278" s="461" t="s">
        <v>700</v>
      </c>
      <c r="K2278" s="594"/>
      <c r="L2278" s="594"/>
      <c r="M2278" s="352">
        <v>2000</v>
      </c>
      <c r="N2278" s="352" t="s">
        <v>703</v>
      </c>
      <c r="O2278" s="460">
        <v>2223</v>
      </c>
      <c r="P2278" s="460" t="s">
        <v>1886</v>
      </c>
      <c r="Q2278" s="460" t="s">
        <v>2527</v>
      </c>
      <c r="R2278" s="460">
        <v>2121</v>
      </c>
      <c r="S2278" s="460" t="s">
        <v>1139</v>
      </c>
      <c r="T2278" s="462">
        <v>1</v>
      </c>
      <c r="U2278" s="460" t="s">
        <v>1139</v>
      </c>
      <c r="V2278" s="475">
        <v>0</v>
      </c>
      <c r="W2278" s="463" t="s">
        <v>2268</v>
      </c>
      <c r="X2278" s="463" t="s">
        <v>2268</v>
      </c>
      <c r="Y2278" s="463" t="s">
        <v>2503</v>
      </c>
      <c r="Z2278" s="463"/>
      <c r="AA2278" s="463"/>
      <c r="AB2278" s="464">
        <v>0</v>
      </c>
      <c r="AC2278" s="465">
        <v>0</v>
      </c>
      <c r="AD2278" s="465">
        <v>0</v>
      </c>
      <c r="AE2278" s="476">
        <v>0</v>
      </c>
      <c r="AF2278" s="467">
        <v>0</v>
      </c>
      <c r="AG2278" s="468">
        <v>0</v>
      </c>
      <c r="AH2278" s="218">
        <v>0</v>
      </c>
      <c r="AI2278" s="470">
        <v>0</v>
      </c>
      <c r="AJ2278" s="471">
        <v>0</v>
      </c>
      <c r="AK2278" s="218">
        <v>0</v>
      </c>
      <c r="AL2278" s="470">
        <v>0</v>
      </c>
      <c r="AM2278" s="471">
        <v>0</v>
      </c>
      <c r="AN2278" s="477">
        <v>0</v>
      </c>
      <c r="AO2278" s="473">
        <v>0</v>
      </c>
      <c r="AP2278" s="474">
        <v>0</v>
      </c>
      <c r="AQ2278" s="352"/>
      <c r="AR2278" s="352"/>
      <c r="AS2278" s="352"/>
      <c r="AT2278" s="352"/>
      <c r="AU2278" s="352"/>
      <c r="AV2278" s="352"/>
      <c r="AW2278" s="352" t="s">
        <v>254</v>
      </c>
    </row>
    <row r="2279" spans="2:49" x14ac:dyDescent="0.2">
      <c r="B2279" s="460" t="s">
        <v>3033</v>
      </c>
      <c r="C2279" s="460">
        <v>2223</v>
      </c>
      <c r="D2279" s="460" t="s">
        <v>2370</v>
      </c>
      <c r="E2279" s="460" t="s">
        <v>1136</v>
      </c>
      <c r="F2279" s="460">
        <v>1</v>
      </c>
      <c r="G2279" s="460">
        <v>4</v>
      </c>
      <c r="H2279" s="461" t="s">
        <v>752</v>
      </c>
      <c r="I2279" s="461" t="s">
        <v>964</v>
      </c>
      <c r="J2279" s="461" t="s">
        <v>752</v>
      </c>
      <c r="K2279" s="594"/>
      <c r="L2279" s="594"/>
      <c r="M2279" s="352">
        <v>2000</v>
      </c>
      <c r="N2279" s="352" t="s">
        <v>703</v>
      </c>
      <c r="O2279" s="460">
        <v>2223</v>
      </c>
      <c r="P2279" s="460" t="s">
        <v>1886</v>
      </c>
      <c r="Q2279" s="460" t="s">
        <v>2527</v>
      </c>
      <c r="R2279" s="460">
        <v>2121</v>
      </c>
      <c r="S2279" s="460" t="s">
        <v>1136</v>
      </c>
      <c r="T2279" s="462">
        <v>1</v>
      </c>
      <c r="U2279" s="460" t="s">
        <v>1136</v>
      </c>
      <c r="V2279" s="475">
        <v>0</v>
      </c>
      <c r="W2279" s="463" t="s">
        <v>2278</v>
      </c>
      <c r="X2279" s="463" t="s">
        <v>2267</v>
      </c>
      <c r="Y2279" s="463" t="s">
        <v>2267</v>
      </c>
      <c r="Z2279" s="463"/>
      <c r="AA2279" s="463"/>
      <c r="AB2279" s="464">
        <v>4.2787325445571671E-3</v>
      </c>
      <c r="AC2279" s="465">
        <v>4.4055852377736574E-5</v>
      </c>
      <c r="AD2279" s="465">
        <v>1.3856176574982126E-6</v>
      </c>
      <c r="AE2279" s="476">
        <v>4.2787325445571671E-3</v>
      </c>
      <c r="AF2279" s="467">
        <v>4.4055852377736574E-5</v>
      </c>
      <c r="AG2279" s="468">
        <v>1.3856176574982126E-6</v>
      </c>
      <c r="AH2279" s="218">
        <v>8.4144576312583013</v>
      </c>
      <c r="AI2279" s="470">
        <v>8.663923238506635E-2</v>
      </c>
      <c r="AJ2279" s="471">
        <v>2.3004682653474623E-3</v>
      </c>
      <c r="AK2279" s="218">
        <v>8.4144576312583013</v>
      </c>
      <c r="AL2279" s="470">
        <v>8.663923238506635E-2</v>
      </c>
      <c r="AM2279" s="471">
        <v>2.3004682653474623E-3</v>
      </c>
      <c r="AN2279" s="477">
        <v>8.4144576312583013</v>
      </c>
      <c r="AO2279" s="473">
        <v>8.663923238506635E-2</v>
      </c>
      <c r="AP2279" s="474">
        <v>2.3004682653474623E-3</v>
      </c>
      <c r="AQ2279" s="352"/>
      <c r="AR2279" s="352"/>
      <c r="AS2279" s="352"/>
      <c r="AT2279" s="352"/>
      <c r="AU2279" s="352"/>
      <c r="AV2279" s="352"/>
      <c r="AW2279" s="352" t="s">
        <v>254</v>
      </c>
    </row>
    <row r="2280" spans="2:49" x14ac:dyDescent="0.2">
      <c r="B2280" s="460" t="s">
        <v>3034</v>
      </c>
      <c r="C2280" s="460">
        <v>2223</v>
      </c>
      <c r="D2280" s="460" t="s">
        <v>2371</v>
      </c>
      <c r="E2280" s="460" t="s">
        <v>1137</v>
      </c>
      <c r="F2280" s="460">
        <v>2</v>
      </c>
      <c r="G2280" s="460">
        <v>4</v>
      </c>
      <c r="H2280" s="461" t="s">
        <v>752</v>
      </c>
      <c r="I2280" s="461" t="s">
        <v>964</v>
      </c>
      <c r="J2280" s="461" t="s">
        <v>752</v>
      </c>
      <c r="K2280" s="594"/>
      <c r="L2280" s="594"/>
      <c r="M2280" s="352">
        <v>2000</v>
      </c>
      <c r="N2280" s="352" t="s">
        <v>703</v>
      </c>
      <c r="O2280" s="460">
        <v>2223</v>
      </c>
      <c r="P2280" s="460" t="s">
        <v>1886</v>
      </c>
      <c r="Q2280" s="460" t="s">
        <v>2527</v>
      </c>
      <c r="R2280" s="460">
        <v>2121</v>
      </c>
      <c r="S2280" s="460" t="s">
        <v>1137</v>
      </c>
      <c r="T2280" s="462">
        <v>1</v>
      </c>
      <c r="U2280" s="460" t="s">
        <v>1137</v>
      </c>
      <c r="V2280" s="475">
        <v>0</v>
      </c>
      <c r="W2280" s="463" t="s">
        <v>2278</v>
      </c>
      <c r="X2280" s="463" t="s">
        <v>2267</v>
      </c>
      <c r="Y2280" s="463" t="s">
        <v>2267</v>
      </c>
      <c r="Z2280" s="463"/>
      <c r="AA2280" s="463"/>
      <c r="AB2280" s="464">
        <v>9.2183052820096478E-3</v>
      </c>
      <c r="AC2280" s="465">
        <v>6.1713178375061124E-5</v>
      </c>
      <c r="AD2280" s="465">
        <v>9.0200140329184542E-7</v>
      </c>
      <c r="AE2280" s="476">
        <v>9.2183052820096478E-3</v>
      </c>
      <c r="AF2280" s="467">
        <v>6.1713178375061124E-5</v>
      </c>
      <c r="AG2280" s="468">
        <v>9.0200140329184542E-7</v>
      </c>
      <c r="AH2280" s="218">
        <v>1.7027842818513037</v>
      </c>
      <c r="AI2280" s="470">
        <v>1.1399517254567518E-2</v>
      </c>
      <c r="AJ2280" s="471">
        <v>1.6518305305354239E-4</v>
      </c>
      <c r="AK2280" s="218">
        <v>1.7027842818513037</v>
      </c>
      <c r="AL2280" s="470">
        <v>1.1399517254567518E-2</v>
      </c>
      <c r="AM2280" s="471">
        <v>1.6518305305354239E-4</v>
      </c>
      <c r="AN2280" s="477">
        <v>1.7027842818513037</v>
      </c>
      <c r="AO2280" s="473">
        <v>1.1399517254567518E-2</v>
      </c>
      <c r="AP2280" s="474">
        <v>1.6518305305354239E-4</v>
      </c>
      <c r="AQ2280" s="352"/>
      <c r="AR2280" s="352"/>
      <c r="AS2280" s="352"/>
      <c r="AT2280" s="352"/>
      <c r="AU2280" s="352"/>
      <c r="AV2280" s="352"/>
      <c r="AW2280" s="352" t="s">
        <v>254</v>
      </c>
    </row>
    <row r="2281" spans="2:49" x14ac:dyDescent="0.2">
      <c r="B2281" s="460" t="s">
        <v>3035</v>
      </c>
      <c r="C2281" s="460">
        <v>2223</v>
      </c>
      <c r="D2281" s="460" t="s">
        <v>2372</v>
      </c>
      <c r="E2281" s="460" t="s">
        <v>1138</v>
      </c>
      <c r="F2281" s="460">
        <v>3</v>
      </c>
      <c r="G2281" s="460">
        <v>4</v>
      </c>
      <c r="H2281" s="461" t="s">
        <v>752</v>
      </c>
      <c r="I2281" s="461" t="s">
        <v>964</v>
      </c>
      <c r="J2281" s="461" t="s">
        <v>752</v>
      </c>
      <c r="K2281" s="594"/>
      <c r="L2281" s="594"/>
      <c r="M2281" s="352">
        <v>2000</v>
      </c>
      <c r="N2281" s="352" t="s">
        <v>703</v>
      </c>
      <c r="O2281" s="460">
        <v>2223</v>
      </c>
      <c r="P2281" s="460" t="s">
        <v>1886</v>
      </c>
      <c r="Q2281" s="460" t="s">
        <v>2527</v>
      </c>
      <c r="R2281" s="460">
        <v>2121</v>
      </c>
      <c r="S2281" s="460" t="s">
        <v>1138</v>
      </c>
      <c r="T2281" s="462">
        <v>1</v>
      </c>
      <c r="U2281" s="460" t="s">
        <v>1138</v>
      </c>
      <c r="V2281" s="475">
        <v>0</v>
      </c>
      <c r="W2281" s="463" t="s">
        <v>2278</v>
      </c>
      <c r="X2281" s="463" t="s">
        <v>2503</v>
      </c>
      <c r="Y2281" s="463" t="s">
        <v>2503</v>
      </c>
      <c r="Z2281" s="463"/>
      <c r="AA2281" s="463"/>
      <c r="AB2281" s="464">
        <v>4.7511594171192526E-4</v>
      </c>
      <c r="AC2281" s="465">
        <v>7.5238399012955261E-6</v>
      </c>
      <c r="AD2281" s="465">
        <v>8.2063662158769713E-8</v>
      </c>
      <c r="AE2281" s="476">
        <v>4.7511594171192526E-4</v>
      </c>
      <c r="AF2281" s="467">
        <v>7.5238399012955261E-6</v>
      </c>
      <c r="AG2281" s="468">
        <v>8.2063662158769713E-8</v>
      </c>
      <c r="AH2281" s="218">
        <v>4.7511594171192526E-4</v>
      </c>
      <c r="AI2281" s="470">
        <v>7.5238399012955261E-6</v>
      </c>
      <c r="AJ2281" s="471">
        <v>7.8823232834456783E-8</v>
      </c>
      <c r="AK2281" s="218">
        <v>4.7511594171192526E-4</v>
      </c>
      <c r="AL2281" s="470">
        <v>7.5238399012955261E-6</v>
      </c>
      <c r="AM2281" s="471">
        <v>7.8823232834456783E-8</v>
      </c>
      <c r="AN2281" s="477">
        <v>4.7511594171192526E-4</v>
      </c>
      <c r="AO2281" s="473">
        <v>7.5238399012955261E-6</v>
      </c>
      <c r="AP2281" s="474">
        <v>7.8823232834456783E-8</v>
      </c>
      <c r="AQ2281" s="352"/>
      <c r="AR2281" s="352"/>
      <c r="AS2281" s="352"/>
      <c r="AT2281" s="352"/>
      <c r="AU2281" s="352"/>
      <c r="AV2281" s="352"/>
      <c r="AW2281" s="352" t="s">
        <v>254</v>
      </c>
    </row>
    <row r="2282" spans="2:49" x14ac:dyDescent="0.2">
      <c r="B2282" s="460" t="s">
        <v>3036</v>
      </c>
      <c r="C2282" s="460">
        <v>2223</v>
      </c>
      <c r="D2282" s="460" t="s">
        <v>2373</v>
      </c>
      <c r="E2282" s="460" t="s">
        <v>1139</v>
      </c>
      <c r="F2282" s="460">
        <v>4</v>
      </c>
      <c r="G2282" s="460">
        <v>4</v>
      </c>
      <c r="H2282" s="461" t="s">
        <v>752</v>
      </c>
      <c r="I2282" s="461" t="s">
        <v>964</v>
      </c>
      <c r="J2282" s="461" t="s">
        <v>752</v>
      </c>
      <c r="K2282" s="594"/>
      <c r="L2282" s="594"/>
      <c r="M2282" s="352">
        <v>2000</v>
      </c>
      <c r="N2282" s="352" t="s">
        <v>703</v>
      </c>
      <c r="O2282" s="460">
        <v>2223</v>
      </c>
      <c r="P2282" s="460" t="s">
        <v>1886</v>
      </c>
      <c r="Q2282" s="460" t="s">
        <v>2527</v>
      </c>
      <c r="R2282" s="460">
        <v>2121</v>
      </c>
      <c r="S2282" s="460" t="s">
        <v>1139</v>
      </c>
      <c r="T2282" s="462">
        <v>1</v>
      </c>
      <c r="U2282" s="460" t="s">
        <v>1139</v>
      </c>
      <c r="V2282" s="475">
        <v>0</v>
      </c>
      <c r="W2282" s="463" t="s">
        <v>2278</v>
      </c>
      <c r="X2282" s="463" t="s">
        <v>2503</v>
      </c>
      <c r="Y2282" s="463" t="s">
        <v>2503</v>
      </c>
      <c r="Z2282" s="463"/>
      <c r="AA2282" s="463"/>
      <c r="AB2282" s="464">
        <v>0.26269148104655582</v>
      </c>
      <c r="AC2282" s="465">
        <v>3.6559284488013972E-3</v>
      </c>
      <c r="AD2282" s="465">
        <v>1.0472792972075446E-5</v>
      </c>
      <c r="AE2282" s="476">
        <v>0.26269148104655582</v>
      </c>
      <c r="AF2282" s="467">
        <v>3.6559284488013972E-3</v>
      </c>
      <c r="AG2282" s="468">
        <v>1.0472792972075446E-5</v>
      </c>
      <c r="AH2282" s="218">
        <v>0.26269148104655582</v>
      </c>
      <c r="AI2282" s="470">
        <v>3.6559284488013972E-3</v>
      </c>
      <c r="AJ2282" s="471">
        <v>9.7347818941162139E-6</v>
      </c>
      <c r="AK2282" s="218">
        <v>0.26269148104655582</v>
      </c>
      <c r="AL2282" s="470">
        <v>3.6559284488013972E-3</v>
      </c>
      <c r="AM2282" s="471">
        <v>9.7347818941162139E-6</v>
      </c>
      <c r="AN2282" s="477">
        <v>0.26269148104655582</v>
      </c>
      <c r="AO2282" s="473">
        <v>3.6559284488013972E-3</v>
      </c>
      <c r="AP2282" s="474">
        <v>9.7347818941162139E-6</v>
      </c>
      <c r="AQ2282" s="352"/>
      <c r="AR2282" s="352"/>
      <c r="AS2282" s="352"/>
      <c r="AT2282" s="352"/>
      <c r="AU2282" s="352"/>
      <c r="AV2282" s="352"/>
      <c r="AW2282" s="352" t="s">
        <v>254</v>
      </c>
    </row>
    <row r="2283" spans="2:49" x14ac:dyDescent="0.2">
      <c r="B2283" s="460" t="s">
        <v>3037</v>
      </c>
      <c r="C2283" s="460">
        <v>2223</v>
      </c>
      <c r="D2283" s="460" t="s">
        <v>2375</v>
      </c>
      <c r="E2283" s="460" t="s">
        <v>2376</v>
      </c>
      <c r="F2283" s="460">
        <v>1</v>
      </c>
      <c r="G2283" s="460">
        <v>5</v>
      </c>
      <c r="H2283" s="461" t="s">
        <v>754</v>
      </c>
      <c r="I2283" s="461" t="s">
        <v>1991</v>
      </c>
      <c r="J2283" s="461" t="s">
        <v>754</v>
      </c>
      <c r="K2283" s="594"/>
      <c r="L2283" s="594"/>
      <c r="M2283" s="352">
        <v>2000</v>
      </c>
      <c r="N2283" s="352" t="s">
        <v>703</v>
      </c>
      <c r="O2283" s="460">
        <v>2223</v>
      </c>
      <c r="P2283" s="460" t="s">
        <v>1886</v>
      </c>
      <c r="Q2283" s="460" t="s">
        <v>2377</v>
      </c>
      <c r="R2283" s="460">
        <v>2121</v>
      </c>
      <c r="S2283" s="460" t="s">
        <v>2376</v>
      </c>
      <c r="T2283" s="462">
        <v>1</v>
      </c>
      <c r="U2283" s="460" t="s">
        <v>2376</v>
      </c>
      <c r="V2283" s="475">
        <v>0</v>
      </c>
      <c r="W2283" s="463" t="s">
        <v>2278</v>
      </c>
      <c r="X2283" s="463" t="s">
        <v>2278</v>
      </c>
      <c r="Y2283" s="463" t="s">
        <v>2278</v>
      </c>
      <c r="Z2283" s="463"/>
      <c r="AA2283" s="463"/>
      <c r="AB2283" s="464">
        <v>151.95674179458928</v>
      </c>
      <c r="AC2283" s="465">
        <v>1</v>
      </c>
      <c r="AD2283" s="465">
        <v>2.5545521366725433E-4</v>
      </c>
      <c r="AE2283" s="476">
        <v>151.95674179458928</v>
      </c>
      <c r="AF2283" s="467">
        <v>1</v>
      </c>
      <c r="AG2283" s="468">
        <v>2.5545521366725433E-4</v>
      </c>
      <c r="AH2283" s="218">
        <v>151.95674179458928</v>
      </c>
      <c r="AI2283" s="470">
        <v>1</v>
      </c>
      <c r="AJ2283" s="471">
        <v>2.5545521366725433E-4</v>
      </c>
      <c r="AK2283" s="218">
        <v>151.95674179458928</v>
      </c>
      <c r="AL2283" s="470">
        <v>1</v>
      </c>
      <c r="AM2283" s="471">
        <v>2.5545521366725433E-4</v>
      </c>
      <c r="AN2283" s="477">
        <v>151.95674179458928</v>
      </c>
      <c r="AO2283" s="473">
        <v>1</v>
      </c>
      <c r="AP2283" s="474">
        <v>2.5545521366725433E-4</v>
      </c>
      <c r="AQ2283" s="352"/>
      <c r="AR2283" s="352"/>
      <c r="AS2283" s="352"/>
      <c r="AT2283" s="352"/>
      <c r="AU2283" s="352"/>
      <c r="AV2283" s="352"/>
      <c r="AW2283" s="352" t="s">
        <v>127</v>
      </c>
    </row>
    <row r="2284" spans="2:49" x14ac:dyDescent="0.2">
      <c r="B2284" s="460" t="s">
        <v>3038</v>
      </c>
      <c r="C2284" s="460">
        <v>2223</v>
      </c>
      <c r="D2284" s="460" t="s">
        <v>2379</v>
      </c>
      <c r="E2284" s="460" t="s">
        <v>2380</v>
      </c>
      <c r="F2284" s="460">
        <v>2</v>
      </c>
      <c r="G2284" s="460">
        <v>5</v>
      </c>
      <c r="H2284" s="461" t="s">
        <v>754</v>
      </c>
      <c r="I2284" s="461" t="s">
        <v>1991</v>
      </c>
      <c r="J2284" s="461" t="s">
        <v>754</v>
      </c>
      <c r="K2284" s="594"/>
      <c r="L2284" s="594"/>
      <c r="M2284" s="352">
        <v>2000</v>
      </c>
      <c r="N2284" s="352" t="s">
        <v>703</v>
      </c>
      <c r="O2284" s="460">
        <v>2223</v>
      </c>
      <c r="P2284" s="460" t="s">
        <v>1886</v>
      </c>
      <c r="Q2284" s="460" t="s">
        <v>2377</v>
      </c>
      <c r="R2284" s="460">
        <v>2121</v>
      </c>
      <c r="S2284" s="460" t="s">
        <v>2380</v>
      </c>
      <c r="T2284" s="462">
        <v>1</v>
      </c>
      <c r="U2284" s="460" t="s">
        <v>2380</v>
      </c>
      <c r="V2284" s="475">
        <v>0</v>
      </c>
      <c r="W2284" s="463" t="s">
        <v>2278</v>
      </c>
      <c r="X2284" s="463" t="s">
        <v>2278</v>
      </c>
      <c r="Y2284" s="463" t="s">
        <v>2278</v>
      </c>
      <c r="Z2284" s="463"/>
      <c r="AA2284" s="463"/>
      <c r="AB2284" s="464">
        <v>16.624880244877861</v>
      </c>
      <c r="AC2284" s="465">
        <v>1</v>
      </c>
      <c r="AD2284" s="465">
        <v>3.273777569336842E-5</v>
      </c>
      <c r="AE2284" s="476">
        <v>16.624880244877861</v>
      </c>
      <c r="AF2284" s="467">
        <v>1</v>
      </c>
      <c r="AG2284" s="468">
        <v>3.273777569336842E-5</v>
      </c>
      <c r="AH2284" s="218">
        <v>16.624880244877861</v>
      </c>
      <c r="AI2284" s="470">
        <v>1</v>
      </c>
      <c r="AJ2284" s="471">
        <v>3.273777569336842E-5</v>
      </c>
      <c r="AK2284" s="218">
        <v>16.624880244877861</v>
      </c>
      <c r="AL2284" s="470">
        <v>1</v>
      </c>
      <c r="AM2284" s="471">
        <v>3.273777569336842E-5</v>
      </c>
      <c r="AN2284" s="477">
        <v>16.624880244877861</v>
      </c>
      <c r="AO2284" s="473">
        <v>1</v>
      </c>
      <c r="AP2284" s="474">
        <v>3.273777569336842E-5</v>
      </c>
      <c r="AQ2284" s="352"/>
      <c r="AR2284" s="352"/>
      <c r="AS2284" s="352"/>
      <c r="AT2284" s="352"/>
      <c r="AU2284" s="352"/>
      <c r="AV2284" s="352"/>
      <c r="AW2284" s="352" t="s">
        <v>127</v>
      </c>
    </row>
    <row r="2285" spans="2:49" x14ac:dyDescent="0.2">
      <c r="B2285" s="460" t="s">
        <v>3039</v>
      </c>
      <c r="C2285" s="460">
        <v>2223</v>
      </c>
      <c r="D2285" s="460" t="s">
        <v>2382</v>
      </c>
      <c r="E2285" s="460" t="s">
        <v>2383</v>
      </c>
      <c r="F2285" s="460">
        <v>3</v>
      </c>
      <c r="G2285" s="460">
        <v>5</v>
      </c>
      <c r="H2285" s="461" t="s">
        <v>754</v>
      </c>
      <c r="I2285" s="461" t="s">
        <v>1991</v>
      </c>
      <c r="J2285" s="461" t="s">
        <v>754</v>
      </c>
      <c r="K2285" s="594"/>
      <c r="L2285" s="594"/>
      <c r="M2285" s="352">
        <v>2000</v>
      </c>
      <c r="N2285" s="352" t="s">
        <v>703</v>
      </c>
      <c r="O2285" s="460">
        <v>2223</v>
      </c>
      <c r="P2285" s="460" t="s">
        <v>1886</v>
      </c>
      <c r="Q2285" s="460" t="s">
        <v>2377</v>
      </c>
      <c r="R2285" s="460">
        <v>2121</v>
      </c>
      <c r="S2285" s="460" t="s">
        <v>2383</v>
      </c>
      <c r="T2285" s="462">
        <v>1</v>
      </c>
      <c r="U2285" s="460" t="s">
        <v>2383</v>
      </c>
      <c r="V2285" s="475">
        <v>0</v>
      </c>
      <c r="W2285" s="463" t="s">
        <v>2278</v>
      </c>
      <c r="X2285" s="463" t="s">
        <v>2278</v>
      </c>
      <c r="Y2285" s="463" t="s">
        <v>2278</v>
      </c>
      <c r="Z2285" s="463"/>
      <c r="AA2285" s="463"/>
      <c r="AB2285" s="464">
        <v>1.3716351374595726</v>
      </c>
      <c r="AC2285" s="465">
        <v>1</v>
      </c>
      <c r="AD2285" s="465">
        <v>1.2191995811299537E-5</v>
      </c>
      <c r="AE2285" s="476">
        <v>1.3716351374595726</v>
      </c>
      <c r="AF2285" s="467">
        <v>1</v>
      </c>
      <c r="AG2285" s="468">
        <v>1.2191995811299537E-5</v>
      </c>
      <c r="AH2285" s="218">
        <v>1.3716351374595726</v>
      </c>
      <c r="AI2285" s="470">
        <v>1</v>
      </c>
      <c r="AJ2285" s="471">
        <v>1.2191995811299537E-5</v>
      </c>
      <c r="AK2285" s="218">
        <v>1.3716351374595726</v>
      </c>
      <c r="AL2285" s="470">
        <v>1</v>
      </c>
      <c r="AM2285" s="471">
        <v>1.2191995811299537E-5</v>
      </c>
      <c r="AN2285" s="477">
        <v>1.3716351374595726</v>
      </c>
      <c r="AO2285" s="473">
        <v>1</v>
      </c>
      <c r="AP2285" s="474">
        <v>1.2191995811299537E-5</v>
      </c>
      <c r="AQ2285" s="352"/>
      <c r="AR2285" s="352"/>
      <c r="AS2285" s="352"/>
      <c r="AT2285" s="352"/>
      <c r="AU2285" s="352"/>
      <c r="AV2285" s="352"/>
      <c r="AW2285" s="352" t="s">
        <v>127</v>
      </c>
    </row>
    <row r="2286" spans="2:49" x14ac:dyDescent="0.2">
      <c r="B2286" s="460" t="s">
        <v>3040</v>
      </c>
      <c r="C2286" s="460">
        <v>2223</v>
      </c>
      <c r="D2286" s="460" t="s">
        <v>2385</v>
      </c>
      <c r="E2286" s="460" t="s">
        <v>2386</v>
      </c>
      <c r="F2286" s="460">
        <v>4</v>
      </c>
      <c r="G2286" s="460">
        <v>5</v>
      </c>
      <c r="H2286" s="461" t="s">
        <v>754</v>
      </c>
      <c r="I2286" s="461" t="s">
        <v>1991</v>
      </c>
      <c r="J2286" s="461" t="s">
        <v>754</v>
      </c>
      <c r="K2286" s="594"/>
      <c r="L2286" s="594"/>
      <c r="M2286" s="352">
        <v>2000</v>
      </c>
      <c r="N2286" s="352" t="s">
        <v>703</v>
      </c>
      <c r="O2286" s="460">
        <v>2223</v>
      </c>
      <c r="P2286" s="460" t="s">
        <v>1886</v>
      </c>
      <c r="Q2286" s="460" t="s">
        <v>2377</v>
      </c>
      <c r="R2286" s="460">
        <v>2121</v>
      </c>
      <c r="S2286" s="460" t="s">
        <v>2386</v>
      </c>
      <c r="T2286" s="462">
        <v>1</v>
      </c>
      <c r="U2286" s="460" t="s">
        <v>2386</v>
      </c>
      <c r="V2286" s="475">
        <v>0</v>
      </c>
      <c r="W2286" s="463" t="s">
        <v>2278</v>
      </c>
      <c r="X2286" s="463" t="s">
        <v>2278</v>
      </c>
      <c r="Y2286" s="463" t="s">
        <v>2278</v>
      </c>
      <c r="Z2286" s="463"/>
      <c r="AA2286" s="463"/>
      <c r="AB2286" s="464">
        <v>1.3393463233091913</v>
      </c>
      <c r="AC2286" s="465">
        <v>1</v>
      </c>
      <c r="AD2286" s="465">
        <v>2.4845862053352818E-5</v>
      </c>
      <c r="AE2286" s="476">
        <v>1.3393463233091913</v>
      </c>
      <c r="AF2286" s="467">
        <v>1</v>
      </c>
      <c r="AG2286" s="468">
        <v>2.4845862053352818E-5</v>
      </c>
      <c r="AH2286" s="218">
        <v>1.3393463233091913</v>
      </c>
      <c r="AI2286" s="470">
        <v>1</v>
      </c>
      <c r="AJ2286" s="471">
        <v>2.4845862053352818E-5</v>
      </c>
      <c r="AK2286" s="218">
        <v>1.3393463233091913</v>
      </c>
      <c r="AL2286" s="470">
        <v>1</v>
      </c>
      <c r="AM2286" s="471">
        <v>2.4845862053352818E-5</v>
      </c>
      <c r="AN2286" s="477">
        <v>1.3393463233091913</v>
      </c>
      <c r="AO2286" s="473">
        <v>1</v>
      </c>
      <c r="AP2286" s="474">
        <v>2.4845862053352818E-5</v>
      </c>
      <c r="AQ2286" s="352"/>
      <c r="AR2286" s="352"/>
      <c r="AS2286" s="352"/>
      <c r="AT2286" s="352"/>
      <c r="AU2286" s="352"/>
      <c r="AV2286" s="352"/>
      <c r="AW2286" s="352" t="s">
        <v>127</v>
      </c>
    </row>
    <row r="2287" spans="2:49" x14ac:dyDescent="0.2">
      <c r="B2287" s="460" t="s">
        <v>3041</v>
      </c>
      <c r="C2287" s="460">
        <v>8000</v>
      </c>
      <c r="D2287" s="460" t="s">
        <v>2264</v>
      </c>
      <c r="E2287" s="460" t="s">
        <v>2265</v>
      </c>
      <c r="F2287" s="460">
        <v>1</v>
      </c>
      <c r="G2287" s="460">
        <v>1</v>
      </c>
      <c r="H2287" s="461" t="s">
        <v>700</v>
      </c>
      <c r="I2287" s="461" t="s">
        <v>872</v>
      </c>
      <c r="J2287" s="461" t="s">
        <v>700</v>
      </c>
      <c r="K2287" s="594"/>
      <c r="L2287" s="594"/>
      <c r="M2287" s="352">
        <v>8000</v>
      </c>
      <c r="N2287" s="352" t="s">
        <v>760</v>
      </c>
      <c r="O2287" s="460">
        <v>2224</v>
      </c>
      <c r="P2287" s="460" t="s">
        <v>787</v>
      </c>
      <c r="Q2287" s="460" t="s">
        <v>2553</v>
      </c>
      <c r="R2287" s="460">
        <v>2224</v>
      </c>
      <c r="S2287" s="460" t="s">
        <v>2265</v>
      </c>
      <c r="T2287" s="462">
        <v>1</v>
      </c>
      <c r="U2287" s="460" t="s">
        <v>2265</v>
      </c>
      <c r="V2287" s="475">
        <v>0</v>
      </c>
      <c r="W2287" s="463" t="s">
        <v>2554</v>
      </c>
      <c r="X2287" s="463" t="s">
        <v>2554</v>
      </c>
      <c r="Y2287" s="463" t="s">
        <v>2268</v>
      </c>
      <c r="Z2287" s="463"/>
      <c r="AA2287" s="463"/>
      <c r="AB2287" s="464">
        <v>1373.1691791369406</v>
      </c>
      <c r="AC2287" s="465">
        <v>0.24962977533796724</v>
      </c>
      <c r="AD2287" s="465">
        <v>1.2733995382826411E-2</v>
      </c>
      <c r="AE2287" s="476">
        <v>823.90150748216422</v>
      </c>
      <c r="AF2287" s="467">
        <v>0.14977786520278033</v>
      </c>
      <c r="AG2287" s="468">
        <v>8.16154329917625E-3</v>
      </c>
      <c r="AH2287" s="218">
        <v>823.90150748216422</v>
      </c>
      <c r="AI2287" s="470">
        <v>0.14977786520278033</v>
      </c>
      <c r="AJ2287" s="471">
        <v>7.856180335740837E-3</v>
      </c>
      <c r="AK2287" s="218">
        <v>823.90150748216422</v>
      </c>
      <c r="AL2287" s="470">
        <v>0.14977786520278033</v>
      </c>
      <c r="AM2287" s="471">
        <v>7.856180335740837E-3</v>
      </c>
      <c r="AN2287" s="477">
        <v>0</v>
      </c>
      <c r="AO2287" s="473">
        <v>0</v>
      </c>
      <c r="AP2287" s="474">
        <v>0</v>
      </c>
      <c r="AQ2287" s="352"/>
      <c r="AR2287" s="352"/>
      <c r="AS2287" s="352"/>
      <c r="AT2287" s="352"/>
      <c r="AU2287" s="352"/>
      <c r="AV2287" s="352"/>
      <c r="AW2287" s="352" t="s">
        <v>254</v>
      </c>
    </row>
    <row r="2288" spans="2:49" x14ac:dyDescent="0.2">
      <c r="B2288" s="460" t="s">
        <v>3042</v>
      </c>
      <c r="C2288" s="460">
        <v>8000</v>
      </c>
      <c r="D2288" s="460" t="s">
        <v>2270</v>
      </c>
      <c r="E2288" s="460" t="s">
        <v>2271</v>
      </c>
      <c r="F2288" s="460">
        <v>2</v>
      </c>
      <c r="G2288" s="460">
        <v>1</v>
      </c>
      <c r="H2288" s="461" t="s">
        <v>700</v>
      </c>
      <c r="I2288" s="461" t="s">
        <v>872</v>
      </c>
      <c r="J2288" s="461" t="s">
        <v>700</v>
      </c>
      <c r="K2288" s="594"/>
      <c r="L2288" s="594"/>
      <c r="M2288" s="352">
        <v>8000</v>
      </c>
      <c r="N2288" s="352" t="s">
        <v>760</v>
      </c>
      <c r="O2288" s="460">
        <v>2224</v>
      </c>
      <c r="P2288" s="460" t="s">
        <v>787</v>
      </c>
      <c r="Q2288" s="460" t="s">
        <v>2553</v>
      </c>
      <c r="R2288" s="460">
        <v>2224</v>
      </c>
      <c r="S2288" s="460" t="s">
        <v>2265</v>
      </c>
      <c r="T2288" s="462">
        <v>1</v>
      </c>
      <c r="U2288" s="460" t="s">
        <v>2271</v>
      </c>
      <c r="V2288" s="475">
        <v>0</v>
      </c>
      <c r="W2288" s="463" t="s">
        <v>2554</v>
      </c>
      <c r="X2288" s="463" t="s">
        <v>2554</v>
      </c>
      <c r="Y2288" s="463" t="s">
        <v>2268</v>
      </c>
      <c r="Z2288" s="463"/>
      <c r="AA2288" s="463"/>
      <c r="AB2288" s="464">
        <v>1019.3813324965807</v>
      </c>
      <c r="AC2288" s="465">
        <v>0.23955875097072465</v>
      </c>
      <c r="AD2288" s="465">
        <v>1.2647253274569212E-2</v>
      </c>
      <c r="AE2288" s="476">
        <v>611.62879949794842</v>
      </c>
      <c r="AF2288" s="467">
        <v>0.14373525058243478</v>
      </c>
      <c r="AG2288" s="468">
        <v>8.2232029870002044E-3</v>
      </c>
      <c r="AH2288" s="218">
        <v>637.34160906341447</v>
      </c>
      <c r="AI2288" s="470">
        <v>0.14977786520278033</v>
      </c>
      <c r="AJ2288" s="471">
        <v>7.5247096382663609E-3</v>
      </c>
      <c r="AK2288" s="218">
        <v>637.34160906341447</v>
      </c>
      <c r="AL2288" s="470">
        <v>0.14977786520278033</v>
      </c>
      <c r="AM2288" s="471">
        <v>7.5247096382663609E-3</v>
      </c>
      <c r="AN2288" s="477">
        <v>0</v>
      </c>
      <c r="AO2288" s="473">
        <v>0</v>
      </c>
      <c r="AP2288" s="474">
        <v>0</v>
      </c>
      <c r="AQ2288" s="352"/>
      <c r="AR2288" s="352"/>
      <c r="AS2288" s="352"/>
      <c r="AT2288" s="352"/>
      <c r="AU2288" s="352"/>
      <c r="AV2288" s="352"/>
      <c r="AW2288" s="352" t="s">
        <v>254</v>
      </c>
    </row>
    <row r="2289" spans="2:49" x14ac:dyDescent="0.2">
      <c r="B2289" s="460" t="s">
        <v>3043</v>
      </c>
      <c r="C2289" s="460">
        <v>8000</v>
      </c>
      <c r="D2289" s="460" t="s">
        <v>2273</v>
      </c>
      <c r="E2289" s="460" t="s">
        <v>2274</v>
      </c>
      <c r="F2289" s="460">
        <v>3</v>
      </c>
      <c r="G2289" s="460">
        <v>1</v>
      </c>
      <c r="H2289" s="461" t="s">
        <v>700</v>
      </c>
      <c r="I2289" s="461" t="s">
        <v>872</v>
      </c>
      <c r="J2289" s="461" t="s">
        <v>700</v>
      </c>
      <c r="K2289" s="594"/>
      <c r="L2289" s="594"/>
      <c r="M2289" s="352">
        <v>8000</v>
      </c>
      <c r="N2289" s="352" t="s">
        <v>760</v>
      </c>
      <c r="O2289" s="460">
        <v>2224</v>
      </c>
      <c r="P2289" s="460" t="s">
        <v>787</v>
      </c>
      <c r="Q2289" s="460" t="s">
        <v>2553</v>
      </c>
      <c r="R2289" s="460">
        <v>2224</v>
      </c>
      <c r="S2289" s="460" t="s">
        <v>2265</v>
      </c>
      <c r="T2289" s="462">
        <v>0.74223365950407583</v>
      </c>
      <c r="U2289" s="460" t="s">
        <v>2274</v>
      </c>
      <c r="V2289" s="475">
        <v>0</v>
      </c>
      <c r="W2289" s="463" t="s">
        <v>2554</v>
      </c>
      <c r="X2289" s="463" t="s">
        <v>2554</v>
      </c>
      <c r="Y2289" s="463" t="s">
        <v>2268</v>
      </c>
      <c r="Z2289" s="463"/>
      <c r="AA2289" s="463"/>
      <c r="AB2289" s="464">
        <v>256.65833031176879</v>
      </c>
      <c r="AC2289" s="465">
        <v>8.7360998880782373E-2</v>
      </c>
      <c r="AD2289" s="465">
        <v>1.2696799234089839E-2</v>
      </c>
      <c r="AE2289" s="476">
        <v>153.99499818706127</v>
      </c>
      <c r="AF2289" s="467">
        <v>5.241659932846942E-2</v>
      </c>
      <c r="AG2289" s="468">
        <v>8.2517060646524077E-3</v>
      </c>
      <c r="AH2289" s="218">
        <v>326.60742606828751</v>
      </c>
      <c r="AI2289" s="470">
        <v>0.11117017300216783</v>
      </c>
      <c r="AJ2289" s="471">
        <v>1.2673702334750877E-2</v>
      </c>
      <c r="AK2289" s="218">
        <v>326.60742606828751</v>
      </c>
      <c r="AL2289" s="470">
        <v>0.11117017300216783</v>
      </c>
      <c r="AM2289" s="471">
        <v>1.2673702334750877E-2</v>
      </c>
      <c r="AN2289" s="477">
        <v>0</v>
      </c>
      <c r="AO2289" s="473">
        <v>0</v>
      </c>
      <c r="AP2289" s="474">
        <v>0</v>
      </c>
      <c r="AQ2289" s="352"/>
      <c r="AR2289" s="352"/>
      <c r="AS2289" s="352"/>
      <c r="AT2289" s="352"/>
      <c r="AU2289" s="352"/>
      <c r="AV2289" s="352"/>
      <c r="AW2289" s="352" t="s">
        <v>254</v>
      </c>
    </row>
    <row r="2290" spans="2:49" x14ac:dyDescent="0.2">
      <c r="B2290" s="460" t="s">
        <v>3044</v>
      </c>
      <c r="C2290" s="460">
        <v>8000</v>
      </c>
      <c r="D2290" s="460" t="s">
        <v>2276</v>
      </c>
      <c r="E2290" s="460" t="s">
        <v>2277</v>
      </c>
      <c r="F2290" s="460">
        <v>4</v>
      </c>
      <c r="G2290" s="460">
        <v>1</v>
      </c>
      <c r="H2290" s="461" t="s">
        <v>700</v>
      </c>
      <c r="I2290" s="461" t="s">
        <v>872</v>
      </c>
      <c r="J2290" s="461" t="s">
        <v>700</v>
      </c>
      <c r="K2290" s="594"/>
      <c r="L2290" s="594"/>
      <c r="M2290" s="352">
        <v>8000</v>
      </c>
      <c r="N2290" s="352" t="s">
        <v>760</v>
      </c>
      <c r="O2290" s="460">
        <v>2224</v>
      </c>
      <c r="P2290" s="460" t="s">
        <v>787</v>
      </c>
      <c r="Q2290" s="460" t="s">
        <v>2553</v>
      </c>
      <c r="R2290" s="460">
        <v>2224</v>
      </c>
      <c r="S2290" s="460" t="s">
        <v>2277</v>
      </c>
      <c r="T2290" s="462">
        <v>1</v>
      </c>
      <c r="U2290" s="460" t="s">
        <v>2277</v>
      </c>
      <c r="V2290" s="475">
        <v>0</v>
      </c>
      <c r="W2290" s="463" t="s">
        <v>2554</v>
      </c>
      <c r="X2290" s="463" t="s">
        <v>2554</v>
      </c>
      <c r="Y2290" s="463" t="s">
        <v>2268</v>
      </c>
      <c r="Z2290" s="463"/>
      <c r="AA2290" s="463"/>
      <c r="AB2290" s="464">
        <v>3.1413017323066219</v>
      </c>
      <c r="AC2290" s="465">
        <v>9.4348671064452435E-4</v>
      </c>
      <c r="AD2290" s="465">
        <v>1.2678952551659588E-2</v>
      </c>
      <c r="AE2290" s="476">
        <v>1.884781039383973</v>
      </c>
      <c r="AF2290" s="467">
        <v>5.6609202638671456E-4</v>
      </c>
      <c r="AG2290" s="468">
        <v>8.504640366802341E-3</v>
      </c>
      <c r="AH2290" s="218">
        <v>1.884781039383973</v>
      </c>
      <c r="AI2290" s="470">
        <v>5.6609202638671456E-4</v>
      </c>
      <c r="AJ2290" s="471">
        <v>8.1513296572674025E-3</v>
      </c>
      <c r="AK2290" s="218">
        <v>1.884781039383973</v>
      </c>
      <c r="AL2290" s="470">
        <v>5.6609202638671456E-4</v>
      </c>
      <c r="AM2290" s="471">
        <v>8.1513296572674025E-3</v>
      </c>
      <c r="AN2290" s="477">
        <v>0</v>
      </c>
      <c r="AO2290" s="473">
        <v>0</v>
      </c>
      <c r="AP2290" s="474">
        <v>0</v>
      </c>
      <c r="AQ2290" s="352"/>
      <c r="AR2290" s="352"/>
      <c r="AS2290" s="352"/>
      <c r="AT2290" s="352"/>
      <c r="AU2290" s="352"/>
      <c r="AV2290" s="352"/>
      <c r="AW2290" s="352" t="s">
        <v>254</v>
      </c>
    </row>
    <row r="2291" spans="2:49" x14ac:dyDescent="0.2">
      <c r="B2291" s="460" t="s">
        <v>3041</v>
      </c>
      <c r="C2291" s="460">
        <v>8000</v>
      </c>
      <c r="D2291" s="460" t="s">
        <v>2279</v>
      </c>
      <c r="E2291" s="460" t="s">
        <v>2265</v>
      </c>
      <c r="F2291" s="460">
        <v>1</v>
      </c>
      <c r="G2291" s="460">
        <v>1</v>
      </c>
      <c r="H2291" s="461" t="s">
        <v>712</v>
      </c>
      <c r="I2291" s="461" t="s">
        <v>713</v>
      </c>
      <c r="J2291" s="461" t="s">
        <v>712</v>
      </c>
      <c r="K2291" s="594"/>
      <c r="L2291" s="594"/>
      <c r="M2291" s="352">
        <v>8000</v>
      </c>
      <c r="N2291" s="352" t="s">
        <v>760</v>
      </c>
      <c r="O2291" s="460">
        <v>2224</v>
      </c>
      <c r="P2291" s="460" t="s">
        <v>787</v>
      </c>
      <c r="Q2291" s="460" t="s">
        <v>2280</v>
      </c>
      <c r="R2291" s="460">
        <v>2224</v>
      </c>
      <c r="S2291" s="460" t="s">
        <v>2265</v>
      </c>
      <c r="T2291" s="462">
        <v>1</v>
      </c>
      <c r="U2291" s="460" t="s">
        <v>2265</v>
      </c>
      <c r="V2291" s="475">
        <v>0</v>
      </c>
      <c r="W2291" s="463" t="s">
        <v>713</v>
      </c>
      <c r="X2291" s="463" t="s">
        <v>713</v>
      </c>
      <c r="Y2291" s="463" t="s">
        <v>713</v>
      </c>
      <c r="Z2291" s="463"/>
      <c r="AA2291" s="463"/>
      <c r="AB2291" s="464">
        <v>4127.6536985740322</v>
      </c>
      <c r="AC2291" s="465">
        <v>0.75037022466203285</v>
      </c>
      <c r="AD2291" s="465">
        <v>1.5248266591629938E-2</v>
      </c>
      <c r="AE2291" s="476">
        <v>4676.921370228808</v>
      </c>
      <c r="AF2291" s="467">
        <v>0.85022213479721964</v>
      </c>
      <c r="AG2291" s="468">
        <v>1.6848776144067091E-2</v>
      </c>
      <c r="AH2291" s="218">
        <v>4676.921370228808</v>
      </c>
      <c r="AI2291" s="470">
        <v>0.85022213479721964</v>
      </c>
      <c r="AJ2291" s="471">
        <v>1.7090359729214532E-2</v>
      </c>
      <c r="AK2291" s="218">
        <v>4676.921370228808</v>
      </c>
      <c r="AL2291" s="470">
        <v>0.85022213479721964</v>
      </c>
      <c r="AM2291" s="471">
        <v>1.7090359729214532E-2</v>
      </c>
      <c r="AN2291" s="477">
        <v>4676.921370228808</v>
      </c>
      <c r="AO2291" s="473">
        <v>0.85022213479721964</v>
      </c>
      <c r="AP2291" s="474">
        <v>1.708479100458473E-2</v>
      </c>
      <c r="AQ2291" s="352"/>
      <c r="AR2291" s="352"/>
      <c r="AS2291" s="352"/>
      <c r="AT2291" s="352"/>
      <c r="AU2291" s="352"/>
      <c r="AV2291" s="352"/>
      <c r="AW2291" s="352" t="s">
        <v>254</v>
      </c>
    </row>
    <row r="2292" spans="2:49" x14ac:dyDescent="0.2">
      <c r="B2292" s="460" t="s">
        <v>3042</v>
      </c>
      <c r="C2292" s="460">
        <v>8000</v>
      </c>
      <c r="D2292" s="460" t="s">
        <v>2281</v>
      </c>
      <c r="E2292" s="460" t="s">
        <v>2271</v>
      </c>
      <c r="F2292" s="460">
        <v>2</v>
      </c>
      <c r="G2292" s="460">
        <v>1</v>
      </c>
      <c r="H2292" s="461" t="s">
        <v>712</v>
      </c>
      <c r="I2292" s="461" t="s">
        <v>713</v>
      </c>
      <c r="J2292" s="461" t="s">
        <v>712</v>
      </c>
      <c r="K2292" s="594"/>
      <c r="L2292" s="594"/>
      <c r="M2292" s="352">
        <v>8000</v>
      </c>
      <c r="N2292" s="352" t="s">
        <v>760</v>
      </c>
      <c r="O2292" s="460">
        <v>2224</v>
      </c>
      <c r="P2292" s="460" t="s">
        <v>787</v>
      </c>
      <c r="Q2292" s="460" t="s">
        <v>2280</v>
      </c>
      <c r="R2292" s="460">
        <v>2224</v>
      </c>
      <c r="S2292" s="460" t="s">
        <v>2265</v>
      </c>
      <c r="T2292" s="462">
        <v>1</v>
      </c>
      <c r="U2292" s="460" t="s">
        <v>2271</v>
      </c>
      <c r="V2292" s="475">
        <v>0</v>
      </c>
      <c r="W2292" s="463" t="s">
        <v>713</v>
      </c>
      <c r="X2292" s="463" t="s">
        <v>713</v>
      </c>
      <c r="Y2292" s="463" t="s">
        <v>713</v>
      </c>
      <c r="Z2292" s="463"/>
      <c r="AA2292" s="463"/>
      <c r="AB2292" s="464">
        <v>3235.8643154536985</v>
      </c>
      <c r="AC2292" s="465">
        <v>0.76044124902927546</v>
      </c>
      <c r="AD2292" s="465">
        <v>1.3512712452277448E-2</v>
      </c>
      <c r="AE2292" s="476">
        <v>3643.6168484523305</v>
      </c>
      <c r="AF2292" s="467">
        <v>0.85626474941756525</v>
      </c>
      <c r="AG2292" s="468">
        <v>1.4830093966823141E-2</v>
      </c>
      <c r="AH2292" s="218">
        <v>3617.9040388868643</v>
      </c>
      <c r="AI2292" s="470">
        <v>0.85022213479721964</v>
      </c>
      <c r="AJ2292" s="471">
        <v>1.5543042127307928E-2</v>
      </c>
      <c r="AK2292" s="218">
        <v>3617.9040388868643</v>
      </c>
      <c r="AL2292" s="470">
        <v>0.85022213479721964</v>
      </c>
      <c r="AM2292" s="471">
        <v>1.5543042127307928E-2</v>
      </c>
      <c r="AN2292" s="477">
        <v>3617.9040388868643</v>
      </c>
      <c r="AO2292" s="473">
        <v>0.85022213479721964</v>
      </c>
      <c r="AP2292" s="474">
        <v>1.5537584455329862E-2</v>
      </c>
      <c r="AQ2292" s="352"/>
      <c r="AR2292" s="352"/>
      <c r="AS2292" s="352"/>
      <c r="AT2292" s="352"/>
      <c r="AU2292" s="352"/>
      <c r="AV2292" s="352"/>
      <c r="AW2292" s="352" t="s">
        <v>254</v>
      </c>
    </row>
    <row r="2293" spans="2:49" x14ac:dyDescent="0.2">
      <c r="B2293" s="460" t="s">
        <v>3043</v>
      </c>
      <c r="C2293" s="460">
        <v>8000</v>
      </c>
      <c r="D2293" s="460" t="s">
        <v>2282</v>
      </c>
      <c r="E2293" s="460" t="s">
        <v>2274</v>
      </c>
      <c r="F2293" s="460">
        <v>3</v>
      </c>
      <c r="G2293" s="460">
        <v>1</v>
      </c>
      <c r="H2293" s="461" t="s">
        <v>712</v>
      </c>
      <c r="I2293" s="461" t="s">
        <v>713</v>
      </c>
      <c r="J2293" s="461" t="s">
        <v>712</v>
      </c>
      <c r="K2293" s="594"/>
      <c r="L2293" s="594"/>
      <c r="M2293" s="352">
        <v>8000</v>
      </c>
      <c r="N2293" s="352" t="s">
        <v>760</v>
      </c>
      <c r="O2293" s="460">
        <v>2224</v>
      </c>
      <c r="P2293" s="460" t="s">
        <v>787</v>
      </c>
      <c r="Q2293" s="460" t="s">
        <v>2280</v>
      </c>
      <c r="R2293" s="460">
        <v>2224</v>
      </c>
      <c r="S2293" s="460" t="s">
        <v>2265</v>
      </c>
      <c r="T2293" s="462">
        <v>0.74223365950407583</v>
      </c>
      <c r="U2293" s="460" t="s">
        <v>2274</v>
      </c>
      <c r="V2293" s="475">
        <v>0</v>
      </c>
      <c r="W2293" s="463" t="s">
        <v>713</v>
      </c>
      <c r="X2293" s="463" t="s">
        <v>713</v>
      </c>
      <c r="Y2293" s="463" t="s">
        <v>713</v>
      </c>
      <c r="Z2293" s="463"/>
      <c r="AA2293" s="463"/>
      <c r="AB2293" s="464">
        <v>2681.2468401867841</v>
      </c>
      <c r="AC2293" s="465">
        <v>0.9126390011192177</v>
      </c>
      <c r="AD2293" s="465">
        <v>1.6047831999542527E-2</v>
      </c>
      <c r="AE2293" s="476">
        <v>2783.9101723114914</v>
      </c>
      <c r="AF2293" s="467">
        <v>0.94758340067153057</v>
      </c>
      <c r="AG2293" s="468">
        <v>1.6508920834674395E-2</v>
      </c>
      <c r="AH2293" s="218">
        <v>2611.2977444302651</v>
      </c>
      <c r="AI2293" s="470">
        <v>0.8888298269978322</v>
      </c>
      <c r="AJ2293" s="471">
        <v>1.640984082793949E-2</v>
      </c>
      <c r="AK2293" s="218">
        <v>2611.2977444302651</v>
      </c>
      <c r="AL2293" s="470">
        <v>0.8888298269978322</v>
      </c>
      <c r="AM2293" s="471">
        <v>1.640984082793949E-2</v>
      </c>
      <c r="AN2293" s="477">
        <v>2611.2977444302651</v>
      </c>
      <c r="AO2293" s="473">
        <v>0.8888298269978322</v>
      </c>
      <c r="AP2293" s="474">
        <v>1.6528221368113691E-2</v>
      </c>
      <c r="AQ2293" s="352"/>
      <c r="AR2293" s="352"/>
      <c r="AS2293" s="352"/>
      <c r="AT2293" s="352"/>
      <c r="AU2293" s="352"/>
      <c r="AV2293" s="352"/>
      <c r="AW2293" s="352" t="s">
        <v>254</v>
      </c>
    </row>
    <row r="2294" spans="2:49" x14ac:dyDescent="0.2">
      <c r="B2294" s="460" t="s">
        <v>3044</v>
      </c>
      <c r="C2294" s="460">
        <v>8000</v>
      </c>
      <c r="D2294" s="460" t="s">
        <v>2283</v>
      </c>
      <c r="E2294" s="460" t="s">
        <v>2277</v>
      </c>
      <c r="F2294" s="460">
        <v>4</v>
      </c>
      <c r="G2294" s="460">
        <v>1</v>
      </c>
      <c r="H2294" s="461" t="s">
        <v>712</v>
      </c>
      <c r="I2294" s="461" t="s">
        <v>713</v>
      </c>
      <c r="J2294" s="461" t="s">
        <v>712</v>
      </c>
      <c r="K2294" s="594"/>
      <c r="L2294" s="594"/>
      <c r="M2294" s="352">
        <v>8000</v>
      </c>
      <c r="N2294" s="352" t="s">
        <v>760</v>
      </c>
      <c r="O2294" s="460">
        <v>2224</v>
      </c>
      <c r="P2294" s="460" t="s">
        <v>787</v>
      </c>
      <c r="Q2294" s="460" t="s">
        <v>2280</v>
      </c>
      <c r="R2294" s="460">
        <v>2224</v>
      </c>
      <c r="S2294" s="460" t="s">
        <v>2277</v>
      </c>
      <c r="T2294" s="462">
        <v>1</v>
      </c>
      <c r="U2294" s="460" t="s">
        <v>2277</v>
      </c>
      <c r="V2294" s="475">
        <v>0</v>
      </c>
      <c r="W2294" s="463" t="s">
        <v>713</v>
      </c>
      <c r="X2294" s="463" t="s">
        <v>713</v>
      </c>
      <c r="Y2294" s="463" t="s">
        <v>713</v>
      </c>
      <c r="Z2294" s="463"/>
      <c r="AA2294" s="463"/>
      <c r="AB2294" s="464">
        <v>3326.319195025198</v>
      </c>
      <c r="AC2294" s="465">
        <v>0.99905651328935552</v>
      </c>
      <c r="AD2294" s="465">
        <v>1.7274489888259789E-2</v>
      </c>
      <c r="AE2294" s="476">
        <v>3327.5757157181206</v>
      </c>
      <c r="AF2294" s="467">
        <v>0.99943390797361331</v>
      </c>
      <c r="AG2294" s="468">
        <v>1.727866979653183E-2</v>
      </c>
      <c r="AH2294" s="218">
        <v>3327.5757157181206</v>
      </c>
      <c r="AI2294" s="470">
        <v>0.99943390797361331</v>
      </c>
      <c r="AJ2294" s="471">
        <v>1.7279531678157361E-2</v>
      </c>
      <c r="AK2294" s="218">
        <v>3327.5757157181206</v>
      </c>
      <c r="AL2294" s="470">
        <v>0.99943390797361331</v>
      </c>
      <c r="AM2294" s="471">
        <v>1.7279531678157361E-2</v>
      </c>
      <c r="AN2294" s="477">
        <v>3327.5757157181206</v>
      </c>
      <c r="AO2294" s="473">
        <v>0.99943390797361331</v>
      </c>
      <c r="AP2294" s="474">
        <v>1.7279617841055934E-2</v>
      </c>
      <c r="AQ2294" s="352"/>
      <c r="AR2294" s="352"/>
      <c r="AS2294" s="352"/>
      <c r="AT2294" s="352"/>
      <c r="AU2294" s="352"/>
      <c r="AV2294" s="352"/>
      <c r="AW2294" s="352" t="s">
        <v>254</v>
      </c>
    </row>
    <row r="2295" spans="2:49" x14ac:dyDescent="0.2">
      <c r="B2295" s="460" t="s">
        <v>3041</v>
      </c>
      <c r="C2295" s="460">
        <v>8000</v>
      </c>
      <c r="D2295" s="460" t="s">
        <v>2284</v>
      </c>
      <c r="E2295" s="460" t="s">
        <v>2265</v>
      </c>
      <c r="F2295" s="460">
        <v>1</v>
      </c>
      <c r="G2295" s="460">
        <v>1</v>
      </c>
      <c r="H2295" s="461" t="s">
        <v>746</v>
      </c>
      <c r="I2295" s="461" t="s">
        <v>762</v>
      </c>
      <c r="J2295" s="461" t="s">
        <v>700</v>
      </c>
      <c r="K2295" s="594"/>
      <c r="L2295" s="594"/>
      <c r="M2295" s="352">
        <v>8000</v>
      </c>
      <c r="N2295" s="352" t="s">
        <v>760</v>
      </c>
      <c r="O2295" s="460">
        <v>2224</v>
      </c>
      <c r="P2295" s="460" t="s">
        <v>787</v>
      </c>
      <c r="Q2295" s="460" t="s">
        <v>2553</v>
      </c>
      <c r="R2295" s="460">
        <v>2224</v>
      </c>
      <c r="S2295" s="460" t="s">
        <v>2265</v>
      </c>
      <c r="T2295" s="462">
        <v>1</v>
      </c>
      <c r="U2295" s="460" t="s">
        <v>2265</v>
      </c>
      <c r="V2295" s="475">
        <v>0</v>
      </c>
      <c r="W2295" s="463" t="s">
        <v>2268</v>
      </c>
      <c r="X2295" s="463" t="s">
        <v>2268</v>
      </c>
      <c r="Y2295" s="463" t="s">
        <v>2554</v>
      </c>
      <c r="Z2295" s="463"/>
      <c r="AA2295" s="463"/>
      <c r="AB2295" s="464">
        <v>0</v>
      </c>
      <c r="AC2295" s="465">
        <v>0</v>
      </c>
      <c r="AD2295" s="465">
        <v>0</v>
      </c>
      <c r="AE2295" s="476">
        <v>0</v>
      </c>
      <c r="AF2295" s="467">
        <v>0</v>
      </c>
      <c r="AG2295" s="468">
        <v>0</v>
      </c>
      <c r="AH2295" s="218">
        <v>0</v>
      </c>
      <c r="AI2295" s="470">
        <v>0</v>
      </c>
      <c r="AJ2295" s="471">
        <v>0</v>
      </c>
      <c r="AK2295" s="218">
        <v>0</v>
      </c>
      <c r="AL2295" s="470">
        <v>0</v>
      </c>
      <c r="AM2295" s="471">
        <v>0</v>
      </c>
      <c r="AN2295" s="477">
        <v>274.63383582738805</v>
      </c>
      <c r="AO2295" s="473">
        <v>4.9925955067593439E-2</v>
      </c>
      <c r="AP2295" s="474">
        <v>3.0968755517747359E-3</v>
      </c>
      <c r="AQ2295" s="352"/>
      <c r="AR2295" s="352"/>
      <c r="AS2295" s="352"/>
      <c r="AT2295" s="352"/>
      <c r="AU2295" s="352"/>
      <c r="AV2295" s="352"/>
      <c r="AW2295" s="352" t="s">
        <v>254</v>
      </c>
    </row>
    <row r="2296" spans="2:49" x14ac:dyDescent="0.2">
      <c r="B2296" s="460" t="s">
        <v>3042</v>
      </c>
      <c r="C2296" s="460">
        <v>8000</v>
      </c>
      <c r="D2296" s="460" t="s">
        <v>2285</v>
      </c>
      <c r="E2296" s="460" t="s">
        <v>2271</v>
      </c>
      <c r="F2296" s="460">
        <v>2</v>
      </c>
      <c r="G2296" s="460">
        <v>1</v>
      </c>
      <c r="H2296" s="461" t="s">
        <v>746</v>
      </c>
      <c r="I2296" s="461" t="s">
        <v>762</v>
      </c>
      <c r="J2296" s="461" t="s">
        <v>700</v>
      </c>
      <c r="K2296" s="594"/>
      <c r="L2296" s="594"/>
      <c r="M2296" s="352">
        <v>8000</v>
      </c>
      <c r="N2296" s="352" t="s">
        <v>760</v>
      </c>
      <c r="O2296" s="460">
        <v>2224</v>
      </c>
      <c r="P2296" s="460" t="s">
        <v>787</v>
      </c>
      <c r="Q2296" s="460" t="s">
        <v>2553</v>
      </c>
      <c r="R2296" s="460">
        <v>2224</v>
      </c>
      <c r="S2296" s="460" t="s">
        <v>2265</v>
      </c>
      <c r="T2296" s="462">
        <v>1</v>
      </c>
      <c r="U2296" s="460" t="s">
        <v>2271</v>
      </c>
      <c r="V2296" s="475">
        <v>0</v>
      </c>
      <c r="W2296" s="463" t="s">
        <v>2268</v>
      </c>
      <c r="X2296" s="463" t="s">
        <v>2268</v>
      </c>
      <c r="Y2296" s="463" t="s">
        <v>2554</v>
      </c>
      <c r="Z2296" s="463"/>
      <c r="AA2296" s="463"/>
      <c r="AB2296" s="464">
        <v>0</v>
      </c>
      <c r="AC2296" s="465">
        <v>0</v>
      </c>
      <c r="AD2296" s="465">
        <v>0</v>
      </c>
      <c r="AE2296" s="476">
        <v>0</v>
      </c>
      <c r="AF2296" s="467">
        <v>0</v>
      </c>
      <c r="AG2296" s="468">
        <v>0</v>
      </c>
      <c r="AH2296" s="218">
        <v>0</v>
      </c>
      <c r="AI2296" s="470">
        <v>0</v>
      </c>
      <c r="AJ2296" s="471">
        <v>0</v>
      </c>
      <c r="AK2296" s="218">
        <v>0</v>
      </c>
      <c r="AL2296" s="470">
        <v>0</v>
      </c>
      <c r="AM2296" s="471">
        <v>0</v>
      </c>
      <c r="AN2296" s="477">
        <v>212.44720302113817</v>
      </c>
      <c r="AO2296" s="473">
        <v>4.9925955067593439E-2</v>
      </c>
      <c r="AP2296" s="474">
        <v>3.0836014630262125E-3</v>
      </c>
      <c r="AQ2296" s="352"/>
      <c r="AR2296" s="352"/>
      <c r="AS2296" s="352"/>
      <c r="AT2296" s="352"/>
      <c r="AU2296" s="352"/>
      <c r="AV2296" s="352"/>
      <c r="AW2296" s="352" t="s">
        <v>254</v>
      </c>
    </row>
    <row r="2297" spans="2:49" x14ac:dyDescent="0.2">
      <c r="B2297" s="460" t="s">
        <v>3043</v>
      </c>
      <c r="C2297" s="460">
        <v>8000</v>
      </c>
      <c r="D2297" s="460" t="s">
        <v>2286</v>
      </c>
      <c r="E2297" s="460" t="s">
        <v>2274</v>
      </c>
      <c r="F2297" s="460">
        <v>3</v>
      </c>
      <c r="G2297" s="460">
        <v>1</v>
      </c>
      <c r="H2297" s="461" t="s">
        <v>746</v>
      </c>
      <c r="I2297" s="461" t="s">
        <v>762</v>
      </c>
      <c r="J2297" s="461" t="s">
        <v>700</v>
      </c>
      <c r="K2297" s="594"/>
      <c r="L2297" s="594"/>
      <c r="M2297" s="352">
        <v>8000</v>
      </c>
      <c r="N2297" s="352" t="s">
        <v>760</v>
      </c>
      <c r="O2297" s="460">
        <v>2224</v>
      </c>
      <c r="P2297" s="460" t="s">
        <v>787</v>
      </c>
      <c r="Q2297" s="460" t="s">
        <v>2553</v>
      </c>
      <c r="R2297" s="460">
        <v>2224</v>
      </c>
      <c r="S2297" s="460" t="s">
        <v>2265</v>
      </c>
      <c r="T2297" s="462">
        <v>0.74223365950407583</v>
      </c>
      <c r="U2297" s="460" t="s">
        <v>2274</v>
      </c>
      <c r="V2297" s="475">
        <v>0</v>
      </c>
      <c r="W2297" s="463" t="s">
        <v>2268</v>
      </c>
      <c r="X2297" s="463" t="s">
        <v>2268</v>
      </c>
      <c r="Y2297" s="463" t="s">
        <v>2554</v>
      </c>
      <c r="Z2297" s="463"/>
      <c r="AA2297" s="463"/>
      <c r="AB2297" s="464">
        <v>0</v>
      </c>
      <c r="AC2297" s="465">
        <v>0</v>
      </c>
      <c r="AD2297" s="465">
        <v>0</v>
      </c>
      <c r="AE2297" s="476">
        <v>0</v>
      </c>
      <c r="AF2297" s="467">
        <v>0</v>
      </c>
      <c r="AG2297" s="468">
        <v>0</v>
      </c>
      <c r="AH2297" s="218">
        <v>0</v>
      </c>
      <c r="AI2297" s="470">
        <v>0</v>
      </c>
      <c r="AJ2297" s="471">
        <v>0</v>
      </c>
      <c r="AK2297" s="218">
        <v>0</v>
      </c>
      <c r="AL2297" s="470">
        <v>0</v>
      </c>
      <c r="AM2297" s="471">
        <v>0</v>
      </c>
      <c r="AN2297" s="477">
        <v>108.86914202276247</v>
      </c>
      <c r="AO2297" s="473">
        <v>3.7056724334055935E-2</v>
      </c>
      <c r="AP2297" s="474">
        <v>5.4962793420847691E-3</v>
      </c>
      <c r="AQ2297" s="352"/>
      <c r="AR2297" s="352"/>
      <c r="AS2297" s="352"/>
      <c r="AT2297" s="352"/>
      <c r="AU2297" s="352"/>
      <c r="AV2297" s="352"/>
      <c r="AW2297" s="352" t="s">
        <v>254</v>
      </c>
    </row>
    <row r="2298" spans="2:49" x14ac:dyDescent="0.2">
      <c r="B2298" s="460" t="s">
        <v>3044</v>
      </c>
      <c r="C2298" s="460">
        <v>8000</v>
      </c>
      <c r="D2298" s="460" t="s">
        <v>2287</v>
      </c>
      <c r="E2298" s="460" t="s">
        <v>2277</v>
      </c>
      <c r="F2298" s="460">
        <v>4</v>
      </c>
      <c r="G2298" s="460">
        <v>1</v>
      </c>
      <c r="H2298" s="461" t="s">
        <v>746</v>
      </c>
      <c r="I2298" s="461" t="s">
        <v>762</v>
      </c>
      <c r="J2298" s="461" t="s">
        <v>700</v>
      </c>
      <c r="K2298" s="594"/>
      <c r="L2298" s="594"/>
      <c r="M2298" s="352">
        <v>8000</v>
      </c>
      <c r="N2298" s="352" t="s">
        <v>760</v>
      </c>
      <c r="O2298" s="460">
        <v>2224</v>
      </c>
      <c r="P2298" s="460" t="s">
        <v>787</v>
      </c>
      <c r="Q2298" s="460" t="s">
        <v>2553</v>
      </c>
      <c r="R2298" s="460">
        <v>2224</v>
      </c>
      <c r="S2298" s="460" t="s">
        <v>2277</v>
      </c>
      <c r="T2298" s="462">
        <v>1</v>
      </c>
      <c r="U2298" s="460" t="s">
        <v>2277</v>
      </c>
      <c r="V2298" s="475">
        <v>0</v>
      </c>
      <c r="W2298" s="463" t="s">
        <v>2268</v>
      </c>
      <c r="X2298" s="463" t="s">
        <v>2268</v>
      </c>
      <c r="Y2298" s="463" t="s">
        <v>2554</v>
      </c>
      <c r="Z2298" s="463"/>
      <c r="AA2298" s="463"/>
      <c r="AB2298" s="464">
        <v>0</v>
      </c>
      <c r="AC2298" s="465">
        <v>0</v>
      </c>
      <c r="AD2298" s="465">
        <v>0</v>
      </c>
      <c r="AE2298" s="476">
        <v>0</v>
      </c>
      <c r="AF2298" s="467">
        <v>0</v>
      </c>
      <c r="AG2298" s="468">
        <v>0</v>
      </c>
      <c r="AH2298" s="218">
        <v>0</v>
      </c>
      <c r="AI2298" s="470">
        <v>0</v>
      </c>
      <c r="AJ2298" s="471">
        <v>0</v>
      </c>
      <c r="AK2298" s="218">
        <v>0</v>
      </c>
      <c r="AL2298" s="470">
        <v>0</v>
      </c>
      <c r="AM2298" s="471">
        <v>0</v>
      </c>
      <c r="AN2298" s="477">
        <v>0.62826034646132434</v>
      </c>
      <c r="AO2298" s="473">
        <v>1.8869734212890484E-4</v>
      </c>
      <c r="AP2298" s="474">
        <v>3.2932945138219923E-3</v>
      </c>
      <c r="AQ2298" s="352"/>
      <c r="AR2298" s="352"/>
      <c r="AS2298" s="352"/>
      <c r="AT2298" s="352"/>
      <c r="AU2298" s="352"/>
      <c r="AV2298" s="352"/>
      <c r="AW2298" s="352" t="s">
        <v>254</v>
      </c>
    </row>
    <row r="2299" spans="2:49" x14ac:dyDescent="0.2">
      <c r="B2299" s="460" t="s">
        <v>3041</v>
      </c>
      <c r="C2299" s="460">
        <v>8000</v>
      </c>
      <c r="D2299" s="460" t="s">
        <v>2288</v>
      </c>
      <c r="E2299" s="460" t="s">
        <v>2265</v>
      </c>
      <c r="F2299" s="460">
        <v>1</v>
      </c>
      <c r="G2299" s="460">
        <v>1</v>
      </c>
      <c r="H2299" s="461" t="s">
        <v>748</v>
      </c>
      <c r="I2299" s="461" t="s">
        <v>765</v>
      </c>
      <c r="J2299" s="461" t="s">
        <v>700</v>
      </c>
      <c r="K2299" s="594"/>
      <c r="L2299" s="594"/>
      <c r="M2299" s="352">
        <v>8000</v>
      </c>
      <c r="N2299" s="352" t="s">
        <v>760</v>
      </c>
      <c r="O2299" s="460">
        <v>2224</v>
      </c>
      <c r="P2299" s="460" t="s">
        <v>787</v>
      </c>
      <c r="Q2299" s="460" t="s">
        <v>2553</v>
      </c>
      <c r="R2299" s="460">
        <v>2224</v>
      </c>
      <c r="S2299" s="460" t="s">
        <v>2265</v>
      </c>
      <c r="T2299" s="462">
        <v>1</v>
      </c>
      <c r="U2299" s="460" t="s">
        <v>2265</v>
      </c>
      <c r="V2299" s="475">
        <v>0</v>
      </c>
      <c r="W2299" s="463" t="s">
        <v>2268</v>
      </c>
      <c r="X2299" s="463" t="s">
        <v>2268</v>
      </c>
      <c r="Y2299" s="463" t="s">
        <v>2554</v>
      </c>
      <c r="Z2299" s="463"/>
      <c r="AA2299" s="463"/>
      <c r="AB2299" s="464">
        <v>0</v>
      </c>
      <c r="AC2299" s="465">
        <v>0</v>
      </c>
      <c r="AD2299" s="465">
        <v>0</v>
      </c>
      <c r="AE2299" s="476">
        <v>0</v>
      </c>
      <c r="AF2299" s="467">
        <v>0</v>
      </c>
      <c r="AG2299" s="468">
        <v>0</v>
      </c>
      <c r="AH2299" s="218">
        <v>0</v>
      </c>
      <c r="AI2299" s="470">
        <v>0</v>
      </c>
      <c r="AJ2299" s="471">
        <v>0</v>
      </c>
      <c r="AK2299" s="218">
        <v>0</v>
      </c>
      <c r="AL2299" s="470">
        <v>0</v>
      </c>
      <c r="AM2299" s="471">
        <v>0</v>
      </c>
      <c r="AN2299" s="477">
        <v>549.26767165477622</v>
      </c>
      <c r="AO2299" s="473">
        <v>9.9851910135186905E-2</v>
      </c>
      <c r="AP2299" s="474">
        <v>3.4109858611859084E-2</v>
      </c>
      <c r="AQ2299" s="352"/>
      <c r="AR2299" s="352"/>
      <c r="AS2299" s="352"/>
      <c r="AT2299" s="352"/>
      <c r="AU2299" s="352"/>
      <c r="AV2299" s="352"/>
      <c r="AW2299" s="352" t="s">
        <v>254</v>
      </c>
    </row>
    <row r="2300" spans="2:49" x14ac:dyDescent="0.2">
      <c r="B2300" s="460" t="s">
        <v>3042</v>
      </c>
      <c r="C2300" s="460">
        <v>8000</v>
      </c>
      <c r="D2300" s="460" t="s">
        <v>2291</v>
      </c>
      <c r="E2300" s="460" t="s">
        <v>2271</v>
      </c>
      <c r="F2300" s="460">
        <v>2</v>
      </c>
      <c r="G2300" s="460">
        <v>1</v>
      </c>
      <c r="H2300" s="461" t="s">
        <v>748</v>
      </c>
      <c r="I2300" s="461" t="s">
        <v>765</v>
      </c>
      <c r="J2300" s="461" t="s">
        <v>700</v>
      </c>
      <c r="K2300" s="594"/>
      <c r="L2300" s="594"/>
      <c r="M2300" s="352">
        <v>8000</v>
      </c>
      <c r="N2300" s="352" t="s">
        <v>760</v>
      </c>
      <c r="O2300" s="460">
        <v>2224</v>
      </c>
      <c r="P2300" s="460" t="s">
        <v>787</v>
      </c>
      <c r="Q2300" s="460" t="s">
        <v>2553</v>
      </c>
      <c r="R2300" s="460">
        <v>2224</v>
      </c>
      <c r="S2300" s="460" t="s">
        <v>2265</v>
      </c>
      <c r="T2300" s="462">
        <v>1</v>
      </c>
      <c r="U2300" s="460" t="s">
        <v>2271</v>
      </c>
      <c r="V2300" s="475">
        <v>0</v>
      </c>
      <c r="W2300" s="463" t="s">
        <v>2268</v>
      </c>
      <c r="X2300" s="463" t="s">
        <v>2268</v>
      </c>
      <c r="Y2300" s="463" t="s">
        <v>2554</v>
      </c>
      <c r="Z2300" s="463"/>
      <c r="AA2300" s="463"/>
      <c r="AB2300" s="464">
        <v>0</v>
      </c>
      <c r="AC2300" s="465">
        <v>0</v>
      </c>
      <c r="AD2300" s="465">
        <v>0</v>
      </c>
      <c r="AE2300" s="476">
        <v>0</v>
      </c>
      <c r="AF2300" s="467">
        <v>0</v>
      </c>
      <c r="AG2300" s="468">
        <v>0</v>
      </c>
      <c r="AH2300" s="218">
        <v>0</v>
      </c>
      <c r="AI2300" s="470">
        <v>0</v>
      </c>
      <c r="AJ2300" s="471">
        <v>0</v>
      </c>
      <c r="AK2300" s="218">
        <v>0</v>
      </c>
      <c r="AL2300" s="470">
        <v>0</v>
      </c>
      <c r="AM2300" s="471">
        <v>0</v>
      </c>
      <c r="AN2300" s="477">
        <v>424.89440604227644</v>
      </c>
      <c r="AO2300" s="473">
        <v>9.9851910135186905E-2</v>
      </c>
      <c r="AP2300" s="474">
        <v>2.702501665916985E-2</v>
      </c>
      <c r="AQ2300" s="352"/>
      <c r="AR2300" s="352"/>
      <c r="AS2300" s="352"/>
      <c r="AT2300" s="352"/>
      <c r="AU2300" s="352"/>
      <c r="AV2300" s="352"/>
      <c r="AW2300" s="352" t="s">
        <v>254</v>
      </c>
    </row>
    <row r="2301" spans="2:49" x14ac:dyDescent="0.2">
      <c r="B2301" s="460" t="s">
        <v>3043</v>
      </c>
      <c r="C2301" s="460">
        <v>8000</v>
      </c>
      <c r="D2301" s="460" t="s">
        <v>2292</v>
      </c>
      <c r="E2301" s="460" t="s">
        <v>2274</v>
      </c>
      <c r="F2301" s="460">
        <v>3</v>
      </c>
      <c r="G2301" s="460">
        <v>1</v>
      </c>
      <c r="H2301" s="461" t="s">
        <v>748</v>
      </c>
      <c r="I2301" s="461" t="s">
        <v>765</v>
      </c>
      <c r="J2301" s="461" t="s">
        <v>700</v>
      </c>
      <c r="K2301" s="594"/>
      <c r="L2301" s="594"/>
      <c r="M2301" s="352">
        <v>8000</v>
      </c>
      <c r="N2301" s="352" t="s">
        <v>760</v>
      </c>
      <c r="O2301" s="460">
        <v>2224</v>
      </c>
      <c r="P2301" s="460" t="s">
        <v>787</v>
      </c>
      <c r="Q2301" s="460" t="s">
        <v>2553</v>
      </c>
      <c r="R2301" s="460">
        <v>2224</v>
      </c>
      <c r="S2301" s="460" t="s">
        <v>2265</v>
      </c>
      <c r="T2301" s="462">
        <v>0.74223365950407583</v>
      </c>
      <c r="U2301" s="460" t="s">
        <v>2274</v>
      </c>
      <c r="V2301" s="475">
        <v>0</v>
      </c>
      <c r="W2301" s="463" t="s">
        <v>2268</v>
      </c>
      <c r="X2301" s="463" t="s">
        <v>2268</v>
      </c>
      <c r="Y2301" s="463" t="s">
        <v>2554</v>
      </c>
      <c r="Z2301" s="463"/>
      <c r="AA2301" s="463"/>
      <c r="AB2301" s="464">
        <v>0</v>
      </c>
      <c r="AC2301" s="465">
        <v>0</v>
      </c>
      <c r="AD2301" s="465">
        <v>0</v>
      </c>
      <c r="AE2301" s="476">
        <v>0</v>
      </c>
      <c r="AF2301" s="467">
        <v>0</v>
      </c>
      <c r="AG2301" s="468">
        <v>0</v>
      </c>
      <c r="AH2301" s="218">
        <v>0</v>
      </c>
      <c r="AI2301" s="470">
        <v>0</v>
      </c>
      <c r="AJ2301" s="471">
        <v>0</v>
      </c>
      <c r="AK2301" s="218">
        <v>0</v>
      </c>
      <c r="AL2301" s="470">
        <v>0</v>
      </c>
      <c r="AM2301" s="471">
        <v>0</v>
      </c>
      <c r="AN2301" s="477">
        <v>217.73828404552501</v>
      </c>
      <c r="AO2301" s="473">
        <v>7.4113448668111898E-2</v>
      </c>
      <c r="AP2301" s="474">
        <v>3.0656851325668498E-2</v>
      </c>
      <c r="AQ2301" s="352"/>
      <c r="AR2301" s="352"/>
      <c r="AS2301" s="352"/>
      <c r="AT2301" s="352"/>
      <c r="AU2301" s="352"/>
      <c r="AV2301" s="352"/>
      <c r="AW2301" s="352" t="s">
        <v>254</v>
      </c>
    </row>
    <row r="2302" spans="2:49" x14ac:dyDescent="0.2">
      <c r="B2302" s="460" t="s">
        <v>3044</v>
      </c>
      <c r="C2302" s="460">
        <v>8000</v>
      </c>
      <c r="D2302" s="460" t="s">
        <v>2293</v>
      </c>
      <c r="E2302" s="460" t="s">
        <v>2277</v>
      </c>
      <c r="F2302" s="460">
        <v>4</v>
      </c>
      <c r="G2302" s="460">
        <v>1</v>
      </c>
      <c r="H2302" s="461" t="s">
        <v>748</v>
      </c>
      <c r="I2302" s="461" t="s">
        <v>765</v>
      </c>
      <c r="J2302" s="461" t="s">
        <v>700</v>
      </c>
      <c r="K2302" s="594"/>
      <c r="L2302" s="594"/>
      <c r="M2302" s="352">
        <v>8000</v>
      </c>
      <c r="N2302" s="352" t="s">
        <v>760</v>
      </c>
      <c r="O2302" s="460">
        <v>2224</v>
      </c>
      <c r="P2302" s="460" t="s">
        <v>787</v>
      </c>
      <c r="Q2302" s="460" t="s">
        <v>2553</v>
      </c>
      <c r="R2302" s="460">
        <v>2224</v>
      </c>
      <c r="S2302" s="460" t="s">
        <v>2277</v>
      </c>
      <c r="T2302" s="462">
        <v>1</v>
      </c>
      <c r="U2302" s="460" t="s">
        <v>2277</v>
      </c>
      <c r="V2302" s="475">
        <v>0</v>
      </c>
      <c r="W2302" s="463" t="s">
        <v>2268</v>
      </c>
      <c r="X2302" s="463" t="s">
        <v>2268</v>
      </c>
      <c r="Y2302" s="463" t="s">
        <v>2554</v>
      </c>
      <c r="Z2302" s="463"/>
      <c r="AA2302" s="463"/>
      <c r="AB2302" s="464">
        <v>0</v>
      </c>
      <c r="AC2302" s="465">
        <v>0</v>
      </c>
      <c r="AD2302" s="465">
        <v>0</v>
      </c>
      <c r="AE2302" s="476">
        <v>0</v>
      </c>
      <c r="AF2302" s="467">
        <v>0</v>
      </c>
      <c r="AG2302" s="468">
        <v>0</v>
      </c>
      <c r="AH2302" s="218">
        <v>0</v>
      </c>
      <c r="AI2302" s="470">
        <v>0</v>
      </c>
      <c r="AJ2302" s="471">
        <v>0</v>
      </c>
      <c r="AK2302" s="218">
        <v>0</v>
      </c>
      <c r="AL2302" s="470">
        <v>0</v>
      </c>
      <c r="AM2302" s="471">
        <v>0</v>
      </c>
      <c r="AN2302" s="477">
        <v>1.2565206929226489</v>
      </c>
      <c r="AO2302" s="473">
        <v>3.7739468425780978E-4</v>
      </c>
      <c r="AP2302" s="474">
        <v>3.0340160158686034E-2</v>
      </c>
      <c r="AQ2302" s="352"/>
      <c r="AR2302" s="352"/>
      <c r="AS2302" s="352"/>
      <c r="AT2302" s="352"/>
      <c r="AU2302" s="352"/>
      <c r="AV2302" s="352"/>
      <c r="AW2302" s="352" t="s">
        <v>254</v>
      </c>
    </row>
    <row r="2303" spans="2:49" x14ac:dyDescent="0.2">
      <c r="B2303" s="460" t="s">
        <v>3045</v>
      </c>
      <c r="C2303" s="460">
        <v>8000</v>
      </c>
      <c r="D2303" s="460" t="s">
        <v>2295</v>
      </c>
      <c r="E2303" s="460" t="s">
        <v>2296</v>
      </c>
      <c r="F2303" s="460">
        <v>1</v>
      </c>
      <c r="G2303" s="460">
        <v>2</v>
      </c>
      <c r="H2303" s="461" t="s">
        <v>700</v>
      </c>
      <c r="I2303" s="461" t="s">
        <v>872</v>
      </c>
      <c r="J2303" s="461" t="s">
        <v>700</v>
      </c>
      <c r="K2303" s="594"/>
      <c r="L2303" s="594"/>
      <c r="M2303" s="352">
        <v>8000</v>
      </c>
      <c r="N2303" s="352" t="s">
        <v>760</v>
      </c>
      <c r="O2303" s="460">
        <v>2224</v>
      </c>
      <c r="P2303" s="460" t="s">
        <v>787</v>
      </c>
      <c r="Q2303" s="460" t="s">
        <v>2553</v>
      </c>
      <c r="R2303" s="460">
        <v>2224</v>
      </c>
      <c r="S2303" s="460" t="s">
        <v>2296</v>
      </c>
      <c r="T2303" s="462">
        <v>1</v>
      </c>
      <c r="U2303" s="460" t="s">
        <v>2296</v>
      </c>
      <c r="V2303" s="475">
        <v>0</v>
      </c>
      <c r="W2303" s="463" t="s">
        <v>2554</v>
      </c>
      <c r="X2303" s="463" t="s">
        <v>2554</v>
      </c>
      <c r="Y2303" s="463" t="s">
        <v>2268</v>
      </c>
      <c r="Z2303" s="463"/>
      <c r="AA2303" s="463"/>
      <c r="AB2303" s="464">
        <v>196.64845258892385</v>
      </c>
      <c r="AC2303" s="465">
        <v>6.3762059530574774E-2</v>
      </c>
      <c r="AD2303" s="465">
        <v>1.1486968869886002E-2</v>
      </c>
      <c r="AE2303" s="476">
        <v>117.98907155335431</v>
      </c>
      <c r="AF2303" s="467">
        <v>3.8257235718344863E-2</v>
      </c>
      <c r="AG2303" s="468">
        <v>7.6610349856402081E-3</v>
      </c>
      <c r="AH2303" s="218">
        <v>117.98907155335431</v>
      </c>
      <c r="AI2303" s="470">
        <v>3.8257235718344863E-2</v>
      </c>
      <c r="AJ2303" s="471">
        <v>7.0384425992491319E-3</v>
      </c>
      <c r="AK2303" s="218">
        <v>117.98907155335431</v>
      </c>
      <c r="AL2303" s="470">
        <v>3.8257235718344863E-2</v>
      </c>
      <c r="AM2303" s="471">
        <v>7.0384425992491319E-3</v>
      </c>
      <c r="AN2303" s="477">
        <v>0</v>
      </c>
      <c r="AO2303" s="473">
        <v>0</v>
      </c>
      <c r="AP2303" s="474">
        <v>0</v>
      </c>
      <c r="AQ2303" s="352"/>
      <c r="AR2303" s="352"/>
      <c r="AS2303" s="352"/>
      <c r="AT2303" s="352"/>
      <c r="AU2303" s="352"/>
      <c r="AV2303" s="352"/>
      <c r="AW2303" s="352" t="s">
        <v>254</v>
      </c>
    </row>
    <row r="2304" spans="2:49" x14ac:dyDescent="0.2">
      <c r="B2304" s="460" t="s">
        <v>3046</v>
      </c>
      <c r="C2304" s="460">
        <v>8000</v>
      </c>
      <c r="D2304" s="460" t="s">
        <v>2298</v>
      </c>
      <c r="E2304" s="460" t="s">
        <v>2299</v>
      </c>
      <c r="F2304" s="460">
        <v>2</v>
      </c>
      <c r="G2304" s="460">
        <v>2</v>
      </c>
      <c r="H2304" s="461" t="s">
        <v>700</v>
      </c>
      <c r="I2304" s="461" t="s">
        <v>872</v>
      </c>
      <c r="J2304" s="461" t="s">
        <v>700</v>
      </c>
      <c r="K2304" s="594"/>
      <c r="L2304" s="594"/>
      <c r="M2304" s="352">
        <v>8000</v>
      </c>
      <c r="N2304" s="352" t="s">
        <v>760</v>
      </c>
      <c r="O2304" s="460">
        <v>2224</v>
      </c>
      <c r="P2304" s="460" t="s">
        <v>787</v>
      </c>
      <c r="Q2304" s="460" t="s">
        <v>2553</v>
      </c>
      <c r="R2304" s="460">
        <v>2224</v>
      </c>
      <c r="S2304" s="460" t="s">
        <v>2296</v>
      </c>
      <c r="T2304" s="462">
        <v>0.55517361979372948</v>
      </c>
      <c r="U2304" s="460" t="s">
        <v>2299</v>
      </c>
      <c r="V2304" s="475">
        <v>0</v>
      </c>
      <c r="W2304" s="463" t="s">
        <v>2554</v>
      </c>
      <c r="X2304" s="463" t="s">
        <v>2554</v>
      </c>
      <c r="Y2304" s="463" t="s">
        <v>2268</v>
      </c>
      <c r="Z2304" s="463"/>
      <c r="AA2304" s="463"/>
      <c r="AB2304" s="464">
        <v>37.813476220959259</v>
      </c>
      <c r="AC2304" s="465">
        <v>2.378264939878251E-2</v>
      </c>
      <c r="AD2304" s="465">
        <v>1.1441580223554779E-2</v>
      </c>
      <c r="AE2304" s="476">
        <v>22.688085732575555</v>
      </c>
      <c r="AF2304" s="467">
        <v>1.4269589639269505E-2</v>
      </c>
      <c r="AG2304" s="468">
        <v>7.7037969451139556E-3</v>
      </c>
      <c r="AH2304" s="218">
        <v>33.769822583246878</v>
      </c>
      <c r="AI2304" s="470">
        <v>2.1239408037055478E-2</v>
      </c>
      <c r="AJ2304" s="471">
        <v>7.9523737523089551E-3</v>
      </c>
      <c r="AK2304" s="218">
        <v>33.769822583246878</v>
      </c>
      <c r="AL2304" s="470">
        <v>2.1239408037055478E-2</v>
      </c>
      <c r="AM2304" s="471">
        <v>7.9523737523089551E-3</v>
      </c>
      <c r="AN2304" s="477">
        <v>0</v>
      </c>
      <c r="AO2304" s="473">
        <v>0</v>
      </c>
      <c r="AP2304" s="474">
        <v>0</v>
      </c>
      <c r="AQ2304" s="352"/>
      <c r="AR2304" s="352"/>
      <c r="AS2304" s="352"/>
      <c r="AT2304" s="352"/>
      <c r="AU2304" s="352"/>
      <c r="AV2304" s="352"/>
      <c r="AW2304" s="352" t="s">
        <v>254</v>
      </c>
    </row>
    <row r="2305" spans="2:49" x14ac:dyDescent="0.2">
      <c r="B2305" s="460" t="s">
        <v>3047</v>
      </c>
      <c r="C2305" s="460">
        <v>8000</v>
      </c>
      <c r="D2305" s="460" t="s">
        <v>2301</v>
      </c>
      <c r="E2305" s="460" t="s">
        <v>2302</v>
      </c>
      <c r="F2305" s="460">
        <v>3</v>
      </c>
      <c r="G2305" s="460">
        <v>2</v>
      </c>
      <c r="H2305" s="461" t="s">
        <v>700</v>
      </c>
      <c r="I2305" s="461" t="s">
        <v>872</v>
      </c>
      <c r="J2305" s="461" t="s">
        <v>700</v>
      </c>
      <c r="K2305" s="594"/>
      <c r="L2305" s="594"/>
      <c r="M2305" s="352">
        <v>8000</v>
      </c>
      <c r="N2305" s="352" t="s">
        <v>760</v>
      </c>
      <c r="O2305" s="460">
        <v>2224</v>
      </c>
      <c r="P2305" s="460" t="s">
        <v>787</v>
      </c>
      <c r="Q2305" s="460" t="s">
        <v>2553</v>
      </c>
      <c r="R2305" s="460">
        <v>2224</v>
      </c>
      <c r="S2305" s="460" t="s">
        <v>2296</v>
      </c>
      <c r="T2305" s="462">
        <v>0.28481449642268464</v>
      </c>
      <c r="U2305" s="460" t="s">
        <v>2302</v>
      </c>
      <c r="V2305" s="475">
        <v>0</v>
      </c>
      <c r="W2305" s="463" t="s">
        <v>2554</v>
      </c>
      <c r="X2305" s="463" t="s">
        <v>2554</v>
      </c>
      <c r="Y2305" s="463" t="s">
        <v>2268</v>
      </c>
      <c r="Z2305" s="463"/>
      <c r="AA2305" s="463"/>
      <c r="AB2305" s="464">
        <v>5.871354512039149</v>
      </c>
      <c r="AC2305" s="465">
        <v>1.1122991717194261E-2</v>
      </c>
      <c r="AD2305" s="465">
        <v>1.1420593936220984E-2</v>
      </c>
      <c r="AE2305" s="476">
        <v>3.5228127072234896</v>
      </c>
      <c r="AF2305" s="467">
        <v>6.6737950303165563E-3</v>
      </c>
      <c r="AG2305" s="468">
        <v>7.7324625105741488E-3</v>
      </c>
      <c r="AH2305" s="218">
        <v>5.7516488947372544</v>
      </c>
      <c r="AI2305" s="470">
        <v>1.0896215325644337E-2</v>
      </c>
      <c r="AJ2305" s="471">
        <v>5.9708955524908121E-3</v>
      </c>
      <c r="AK2305" s="218">
        <v>5.7516488947372544</v>
      </c>
      <c r="AL2305" s="470">
        <v>1.0896215325644337E-2</v>
      </c>
      <c r="AM2305" s="471">
        <v>5.9708955524908121E-3</v>
      </c>
      <c r="AN2305" s="477">
        <v>0</v>
      </c>
      <c r="AO2305" s="473">
        <v>0</v>
      </c>
      <c r="AP2305" s="474">
        <v>0</v>
      </c>
      <c r="AQ2305" s="352"/>
      <c r="AR2305" s="352"/>
      <c r="AS2305" s="352"/>
      <c r="AT2305" s="352"/>
      <c r="AU2305" s="352"/>
      <c r="AV2305" s="352"/>
      <c r="AW2305" s="352" t="s">
        <v>254</v>
      </c>
    </row>
    <row r="2306" spans="2:49" x14ac:dyDescent="0.2">
      <c r="B2306" s="460" t="s">
        <v>3048</v>
      </c>
      <c r="C2306" s="460">
        <v>8000</v>
      </c>
      <c r="D2306" s="460" t="s">
        <v>2304</v>
      </c>
      <c r="E2306" s="460" t="s">
        <v>2305</v>
      </c>
      <c r="F2306" s="460">
        <v>4</v>
      </c>
      <c r="G2306" s="460">
        <v>2</v>
      </c>
      <c r="H2306" s="461" t="s">
        <v>700</v>
      </c>
      <c r="I2306" s="461" t="s">
        <v>872</v>
      </c>
      <c r="J2306" s="461" t="s">
        <v>700</v>
      </c>
      <c r="K2306" s="594"/>
      <c r="L2306" s="594"/>
      <c r="M2306" s="352">
        <v>8000</v>
      </c>
      <c r="N2306" s="352" t="s">
        <v>760</v>
      </c>
      <c r="O2306" s="460">
        <v>2224</v>
      </c>
      <c r="P2306" s="460" t="s">
        <v>787</v>
      </c>
      <c r="Q2306" s="460" t="s">
        <v>2553</v>
      </c>
      <c r="R2306" s="460">
        <v>2224</v>
      </c>
      <c r="S2306" s="460" t="s">
        <v>2305</v>
      </c>
      <c r="T2306" s="462">
        <v>1</v>
      </c>
      <c r="U2306" s="460" t="s">
        <v>2305</v>
      </c>
      <c r="V2306" s="475">
        <v>0</v>
      </c>
      <c r="W2306" s="463" t="s">
        <v>2554</v>
      </c>
      <c r="X2306" s="463" t="s">
        <v>2554</v>
      </c>
      <c r="Y2306" s="463" t="s">
        <v>2268</v>
      </c>
      <c r="Z2306" s="463"/>
      <c r="AA2306" s="463"/>
      <c r="AB2306" s="464">
        <v>0.14420302927794876</v>
      </c>
      <c r="AC2306" s="465">
        <v>2.4054301708817367E-4</v>
      </c>
      <c r="AD2306" s="465">
        <v>1.1417000000000002E-2</v>
      </c>
      <c r="AE2306" s="476">
        <v>8.6521817566769244E-2</v>
      </c>
      <c r="AF2306" s="467">
        <v>1.4432581025290418E-4</v>
      </c>
      <c r="AG2306" s="468">
        <v>7.6065938349032516E-3</v>
      </c>
      <c r="AH2306" s="218">
        <v>8.6521817566769244E-2</v>
      </c>
      <c r="AI2306" s="470">
        <v>1.4432581025290418E-4</v>
      </c>
      <c r="AJ2306" s="471">
        <v>7.5750279079102537E-3</v>
      </c>
      <c r="AK2306" s="218">
        <v>8.6521817566769244E-2</v>
      </c>
      <c r="AL2306" s="470">
        <v>1.4432581025290418E-4</v>
      </c>
      <c r="AM2306" s="471">
        <v>7.5750279079102537E-3</v>
      </c>
      <c r="AN2306" s="477">
        <v>0</v>
      </c>
      <c r="AO2306" s="473">
        <v>0</v>
      </c>
      <c r="AP2306" s="474">
        <v>0</v>
      </c>
      <c r="AQ2306" s="352"/>
      <c r="AR2306" s="352"/>
      <c r="AS2306" s="352"/>
      <c r="AT2306" s="352"/>
      <c r="AU2306" s="352"/>
      <c r="AV2306" s="352"/>
      <c r="AW2306" s="352" t="s">
        <v>254</v>
      </c>
    </row>
    <row r="2307" spans="2:49" x14ac:dyDescent="0.2">
      <c r="B2307" s="460" t="s">
        <v>3045</v>
      </c>
      <c r="C2307" s="460">
        <v>8000</v>
      </c>
      <c r="D2307" s="460" t="s">
        <v>2306</v>
      </c>
      <c r="E2307" s="460" t="s">
        <v>2296</v>
      </c>
      <c r="F2307" s="460">
        <v>1</v>
      </c>
      <c r="G2307" s="460">
        <v>2</v>
      </c>
      <c r="H2307" s="461" t="s">
        <v>712</v>
      </c>
      <c r="I2307" s="461" t="s">
        <v>713</v>
      </c>
      <c r="J2307" s="461" t="s">
        <v>712</v>
      </c>
      <c r="K2307" s="594"/>
      <c r="L2307" s="594"/>
      <c r="M2307" s="352">
        <v>8000</v>
      </c>
      <c r="N2307" s="352" t="s">
        <v>760</v>
      </c>
      <c r="O2307" s="460">
        <v>2224</v>
      </c>
      <c r="P2307" s="460" t="s">
        <v>787</v>
      </c>
      <c r="Q2307" s="460" t="s">
        <v>2280</v>
      </c>
      <c r="R2307" s="460">
        <v>2224</v>
      </c>
      <c r="S2307" s="460" t="s">
        <v>2296</v>
      </c>
      <c r="T2307" s="462">
        <v>1</v>
      </c>
      <c r="U2307" s="460" t="s">
        <v>2296</v>
      </c>
      <c r="V2307" s="475">
        <v>0</v>
      </c>
      <c r="W2307" s="463" t="s">
        <v>713</v>
      </c>
      <c r="X2307" s="463" t="s">
        <v>713</v>
      </c>
      <c r="Y2307" s="463" t="s">
        <v>713</v>
      </c>
      <c r="Z2307" s="463"/>
      <c r="AA2307" s="463"/>
      <c r="AB2307" s="464">
        <v>2887.449740547831</v>
      </c>
      <c r="AC2307" s="465">
        <v>0.93623794046942532</v>
      </c>
      <c r="AD2307" s="465">
        <v>2.4973486043808963E-2</v>
      </c>
      <c r="AE2307" s="476">
        <v>2966.1091215834003</v>
      </c>
      <c r="AF2307" s="467">
        <v>0.96174276428165517</v>
      </c>
      <c r="AG2307" s="468">
        <v>2.5278186382399963E-2</v>
      </c>
      <c r="AH2307" s="218">
        <v>2966.1091215834003</v>
      </c>
      <c r="AI2307" s="470">
        <v>0.96174276428165517</v>
      </c>
      <c r="AJ2307" s="471">
        <v>2.5575119078815406E-2</v>
      </c>
      <c r="AK2307" s="218">
        <v>2966.1091215834003</v>
      </c>
      <c r="AL2307" s="470">
        <v>0.96174276428165517</v>
      </c>
      <c r="AM2307" s="471">
        <v>2.5575119078815406E-2</v>
      </c>
      <c r="AN2307" s="477">
        <v>2966.1091215834003</v>
      </c>
      <c r="AO2307" s="473">
        <v>0.96174276428165517</v>
      </c>
      <c r="AP2307" s="474">
        <v>2.5568842592521214E-2</v>
      </c>
      <c r="AQ2307" s="352"/>
      <c r="AR2307" s="352"/>
      <c r="AS2307" s="352"/>
      <c r="AT2307" s="352"/>
      <c r="AU2307" s="352"/>
      <c r="AV2307" s="352"/>
      <c r="AW2307" s="352" t="s">
        <v>254</v>
      </c>
    </row>
    <row r="2308" spans="2:49" x14ac:dyDescent="0.2">
      <c r="B2308" s="460" t="s">
        <v>3046</v>
      </c>
      <c r="C2308" s="460">
        <v>8000</v>
      </c>
      <c r="D2308" s="460" t="s">
        <v>2307</v>
      </c>
      <c r="E2308" s="460" t="s">
        <v>2299</v>
      </c>
      <c r="F2308" s="460">
        <v>2</v>
      </c>
      <c r="G2308" s="460">
        <v>2</v>
      </c>
      <c r="H2308" s="461" t="s">
        <v>712</v>
      </c>
      <c r="I2308" s="461" t="s">
        <v>713</v>
      </c>
      <c r="J2308" s="461" t="s">
        <v>712</v>
      </c>
      <c r="K2308" s="594"/>
      <c r="L2308" s="594"/>
      <c r="M2308" s="352">
        <v>8000</v>
      </c>
      <c r="N2308" s="352" t="s">
        <v>760</v>
      </c>
      <c r="O2308" s="460">
        <v>2224</v>
      </c>
      <c r="P2308" s="460" t="s">
        <v>787</v>
      </c>
      <c r="Q2308" s="460" t="s">
        <v>2280</v>
      </c>
      <c r="R2308" s="460">
        <v>2224</v>
      </c>
      <c r="S2308" s="460" t="s">
        <v>2296</v>
      </c>
      <c r="T2308" s="462">
        <v>0.55517361979372948</v>
      </c>
      <c r="U2308" s="460" t="s">
        <v>2299</v>
      </c>
      <c r="V2308" s="475">
        <v>0</v>
      </c>
      <c r="W2308" s="463" t="s">
        <v>713</v>
      </c>
      <c r="X2308" s="463" t="s">
        <v>713</v>
      </c>
      <c r="Y2308" s="463" t="s">
        <v>713</v>
      </c>
      <c r="Z2308" s="463"/>
      <c r="AA2308" s="463"/>
      <c r="AB2308" s="464">
        <v>1552.1471537707112</v>
      </c>
      <c r="AC2308" s="465">
        <v>0.9762173506012175</v>
      </c>
      <c r="AD2308" s="465">
        <v>1.7953302025204058E-2</v>
      </c>
      <c r="AE2308" s="476">
        <v>1567.272544259095</v>
      </c>
      <c r="AF2308" s="467">
        <v>0.9857304103607305</v>
      </c>
      <c r="AG2308" s="468">
        <v>1.8053108189424218E-2</v>
      </c>
      <c r="AH2308" s="218">
        <v>1556.1908074084236</v>
      </c>
      <c r="AI2308" s="470">
        <v>0.97876059196294452</v>
      </c>
      <c r="AJ2308" s="471">
        <v>1.8232177849507647E-2</v>
      </c>
      <c r="AK2308" s="218">
        <v>1556.1908074084236</v>
      </c>
      <c r="AL2308" s="470">
        <v>0.97876059196294452</v>
      </c>
      <c r="AM2308" s="471">
        <v>1.8232177849507647E-2</v>
      </c>
      <c r="AN2308" s="477">
        <v>1556.1908074084236</v>
      </c>
      <c r="AO2308" s="473">
        <v>0.97876059196294452</v>
      </c>
      <c r="AP2308" s="474">
        <v>1.822987631599312E-2</v>
      </c>
      <c r="AQ2308" s="352"/>
      <c r="AR2308" s="352"/>
      <c r="AS2308" s="352"/>
      <c r="AT2308" s="352"/>
      <c r="AU2308" s="352"/>
      <c r="AV2308" s="352"/>
      <c r="AW2308" s="352" t="s">
        <v>254</v>
      </c>
    </row>
    <row r="2309" spans="2:49" x14ac:dyDescent="0.2">
      <c r="B2309" s="460" t="s">
        <v>3047</v>
      </c>
      <c r="C2309" s="460">
        <v>8000</v>
      </c>
      <c r="D2309" s="460" t="s">
        <v>2308</v>
      </c>
      <c r="E2309" s="460" t="s">
        <v>2302</v>
      </c>
      <c r="F2309" s="460">
        <v>3</v>
      </c>
      <c r="G2309" s="460">
        <v>2</v>
      </c>
      <c r="H2309" s="461" t="s">
        <v>712</v>
      </c>
      <c r="I2309" s="461" t="s">
        <v>713</v>
      </c>
      <c r="J2309" s="461" t="s">
        <v>712</v>
      </c>
      <c r="K2309" s="594"/>
      <c r="L2309" s="594"/>
      <c r="M2309" s="352">
        <v>8000</v>
      </c>
      <c r="N2309" s="352" t="s">
        <v>760</v>
      </c>
      <c r="O2309" s="460">
        <v>2224</v>
      </c>
      <c r="P2309" s="460" t="s">
        <v>787</v>
      </c>
      <c r="Q2309" s="460" t="s">
        <v>2280</v>
      </c>
      <c r="R2309" s="460">
        <v>2224</v>
      </c>
      <c r="S2309" s="460" t="s">
        <v>2296</v>
      </c>
      <c r="T2309" s="462">
        <v>0.28481449642268464</v>
      </c>
      <c r="U2309" s="460" t="s">
        <v>2302</v>
      </c>
      <c r="V2309" s="475">
        <v>0</v>
      </c>
      <c r="W2309" s="463" t="s">
        <v>713</v>
      </c>
      <c r="X2309" s="463" t="s">
        <v>713</v>
      </c>
      <c r="Y2309" s="463" t="s">
        <v>713</v>
      </c>
      <c r="Z2309" s="463"/>
      <c r="AA2309" s="463"/>
      <c r="AB2309" s="464">
        <v>521.98613754767621</v>
      </c>
      <c r="AC2309" s="465">
        <v>0.98887700828280578</v>
      </c>
      <c r="AD2309" s="465">
        <v>1.5183272350064019E-2</v>
      </c>
      <c r="AE2309" s="476">
        <v>524.33467935249189</v>
      </c>
      <c r="AF2309" s="467">
        <v>0.99332620496968349</v>
      </c>
      <c r="AG2309" s="468">
        <v>1.5225670653302487E-2</v>
      </c>
      <c r="AH2309" s="218">
        <v>522.10584316497807</v>
      </c>
      <c r="AI2309" s="470">
        <v>0.98910378467435567</v>
      </c>
      <c r="AJ2309" s="471">
        <v>1.5387803278472291E-2</v>
      </c>
      <c r="AK2309" s="218">
        <v>522.10584316497807</v>
      </c>
      <c r="AL2309" s="470">
        <v>0.98910378467435567</v>
      </c>
      <c r="AM2309" s="471">
        <v>1.5387803278472291E-2</v>
      </c>
      <c r="AN2309" s="477">
        <v>522.10584316497807</v>
      </c>
      <c r="AO2309" s="473">
        <v>0.98910378467435567</v>
      </c>
      <c r="AP2309" s="474">
        <v>1.5401183827906858E-2</v>
      </c>
      <c r="AQ2309" s="352"/>
      <c r="AR2309" s="352"/>
      <c r="AS2309" s="352"/>
      <c r="AT2309" s="352"/>
      <c r="AU2309" s="352"/>
      <c r="AV2309" s="352"/>
      <c r="AW2309" s="352" t="s">
        <v>254</v>
      </c>
    </row>
    <row r="2310" spans="2:49" x14ac:dyDescent="0.2">
      <c r="B2310" s="460" t="s">
        <v>3048</v>
      </c>
      <c r="C2310" s="460">
        <v>8000</v>
      </c>
      <c r="D2310" s="460" t="s">
        <v>2309</v>
      </c>
      <c r="E2310" s="460" t="s">
        <v>2305</v>
      </c>
      <c r="F2310" s="460">
        <v>4</v>
      </c>
      <c r="G2310" s="460">
        <v>2</v>
      </c>
      <c r="H2310" s="461" t="s">
        <v>712</v>
      </c>
      <c r="I2310" s="461" t="s">
        <v>713</v>
      </c>
      <c r="J2310" s="461" t="s">
        <v>712</v>
      </c>
      <c r="K2310" s="594"/>
      <c r="L2310" s="594"/>
      <c r="M2310" s="352">
        <v>8000</v>
      </c>
      <c r="N2310" s="352" t="s">
        <v>760</v>
      </c>
      <c r="O2310" s="460">
        <v>2224</v>
      </c>
      <c r="P2310" s="460" t="s">
        <v>787</v>
      </c>
      <c r="Q2310" s="460" t="s">
        <v>2280</v>
      </c>
      <c r="R2310" s="460">
        <v>2224</v>
      </c>
      <c r="S2310" s="460" t="s">
        <v>2305</v>
      </c>
      <c r="T2310" s="462">
        <v>1</v>
      </c>
      <c r="U2310" s="460" t="s">
        <v>2305</v>
      </c>
      <c r="V2310" s="475">
        <v>0</v>
      </c>
      <c r="W2310" s="463" t="s">
        <v>713</v>
      </c>
      <c r="X2310" s="463" t="s">
        <v>713</v>
      </c>
      <c r="Y2310" s="463" t="s">
        <v>713</v>
      </c>
      <c r="Z2310" s="463"/>
      <c r="AA2310" s="463"/>
      <c r="AB2310" s="464">
        <v>599.34536446496179</v>
      </c>
      <c r="AC2310" s="465">
        <v>0.9997594569829118</v>
      </c>
      <c r="AD2310" s="465">
        <v>1.530722212274194E-2</v>
      </c>
      <c r="AE2310" s="476">
        <v>599.40304567667295</v>
      </c>
      <c r="AF2310" s="467">
        <v>0.99985567418974708</v>
      </c>
      <c r="AG2310" s="468">
        <v>1.53082042476322E-2</v>
      </c>
      <c r="AH2310" s="218">
        <v>599.40304567667295</v>
      </c>
      <c r="AI2310" s="470">
        <v>0.99985567418974708</v>
      </c>
      <c r="AJ2310" s="471">
        <v>1.5308222778672225E-2</v>
      </c>
      <c r="AK2310" s="218">
        <v>599.40304567667295</v>
      </c>
      <c r="AL2310" s="470">
        <v>0.99985567418974708</v>
      </c>
      <c r="AM2310" s="471">
        <v>1.5308222778672225E-2</v>
      </c>
      <c r="AN2310" s="477">
        <v>599.40304567667295</v>
      </c>
      <c r="AO2310" s="473">
        <v>0.99985567418974708</v>
      </c>
      <c r="AP2310" s="474">
        <v>1.5308241503673024E-2</v>
      </c>
      <c r="AQ2310" s="352"/>
      <c r="AR2310" s="352"/>
      <c r="AS2310" s="352"/>
      <c r="AT2310" s="352"/>
      <c r="AU2310" s="352"/>
      <c r="AV2310" s="352"/>
      <c r="AW2310" s="352" t="s">
        <v>254</v>
      </c>
    </row>
    <row r="2311" spans="2:49" x14ac:dyDescent="0.2">
      <c r="B2311" s="460" t="s">
        <v>3045</v>
      </c>
      <c r="C2311" s="460">
        <v>8000</v>
      </c>
      <c r="D2311" s="460" t="s">
        <v>2310</v>
      </c>
      <c r="E2311" s="460" t="s">
        <v>2296</v>
      </c>
      <c r="F2311" s="460">
        <v>1</v>
      </c>
      <c r="G2311" s="460">
        <v>2</v>
      </c>
      <c r="H2311" s="461" t="s">
        <v>746</v>
      </c>
      <c r="I2311" s="461" t="s">
        <v>762</v>
      </c>
      <c r="J2311" s="461" t="s">
        <v>700</v>
      </c>
      <c r="K2311" s="594"/>
      <c r="L2311" s="594"/>
      <c r="M2311" s="352">
        <v>8000</v>
      </c>
      <c r="N2311" s="352" t="s">
        <v>760</v>
      </c>
      <c r="O2311" s="460">
        <v>2224</v>
      </c>
      <c r="P2311" s="460" t="s">
        <v>787</v>
      </c>
      <c r="Q2311" s="460" t="s">
        <v>2553</v>
      </c>
      <c r="R2311" s="460">
        <v>2224</v>
      </c>
      <c r="S2311" s="460" t="s">
        <v>2296</v>
      </c>
      <c r="T2311" s="462">
        <v>1</v>
      </c>
      <c r="U2311" s="460" t="s">
        <v>2296</v>
      </c>
      <c r="V2311" s="475">
        <v>0</v>
      </c>
      <c r="W2311" s="463" t="s">
        <v>2268</v>
      </c>
      <c r="X2311" s="463" t="s">
        <v>2268</v>
      </c>
      <c r="Y2311" s="463" t="s">
        <v>2554</v>
      </c>
      <c r="Z2311" s="463"/>
      <c r="AA2311" s="463"/>
      <c r="AB2311" s="464">
        <v>0</v>
      </c>
      <c r="AC2311" s="465">
        <v>0</v>
      </c>
      <c r="AD2311" s="465">
        <v>0</v>
      </c>
      <c r="AE2311" s="476">
        <v>0</v>
      </c>
      <c r="AF2311" s="467">
        <v>0</v>
      </c>
      <c r="AG2311" s="468">
        <v>0</v>
      </c>
      <c r="AH2311" s="218">
        <v>0</v>
      </c>
      <c r="AI2311" s="470">
        <v>0</v>
      </c>
      <c r="AJ2311" s="471">
        <v>0</v>
      </c>
      <c r="AK2311" s="218">
        <v>0</v>
      </c>
      <c r="AL2311" s="470">
        <v>0</v>
      </c>
      <c r="AM2311" s="471">
        <v>0</v>
      </c>
      <c r="AN2311" s="477">
        <v>39.329690517784762</v>
      </c>
      <c r="AO2311" s="473">
        <v>1.2752411906114952E-2</v>
      </c>
      <c r="AP2311" s="474">
        <v>2.9216248379228195E-3</v>
      </c>
      <c r="AQ2311" s="352"/>
      <c r="AR2311" s="352"/>
      <c r="AS2311" s="352"/>
      <c r="AT2311" s="352"/>
      <c r="AU2311" s="352"/>
      <c r="AV2311" s="352"/>
      <c r="AW2311" s="352" t="s">
        <v>254</v>
      </c>
    </row>
    <row r="2312" spans="2:49" x14ac:dyDescent="0.2">
      <c r="B2312" s="460" t="s">
        <v>3046</v>
      </c>
      <c r="C2312" s="460">
        <v>8000</v>
      </c>
      <c r="D2312" s="460" t="s">
        <v>2311</v>
      </c>
      <c r="E2312" s="460" t="s">
        <v>2299</v>
      </c>
      <c r="F2312" s="460">
        <v>2</v>
      </c>
      <c r="G2312" s="460">
        <v>2</v>
      </c>
      <c r="H2312" s="461" t="s">
        <v>746</v>
      </c>
      <c r="I2312" s="461" t="s">
        <v>762</v>
      </c>
      <c r="J2312" s="461" t="s">
        <v>700</v>
      </c>
      <c r="K2312" s="594"/>
      <c r="L2312" s="594"/>
      <c r="M2312" s="352">
        <v>8000</v>
      </c>
      <c r="N2312" s="352" t="s">
        <v>760</v>
      </c>
      <c r="O2312" s="460">
        <v>2224</v>
      </c>
      <c r="P2312" s="460" t="s">
        <v>787</v>
      </c>
      <c r="Q2312" s="460" t="s">
        <v>2553</v>
      </c>
      <c r="R2312" s="460">
        <v>2224</v>
      </c>
      <c r="S2312" s="460" t="s">
        <v>2296</v>
      </c>
      <c r="T2312" s="462">
        <v>0.55517361979372948</v>
      </c>
      <c r="U2312" s="460" t="s">
        <v>2299</v>
      </c>
      <c r="V2312" s="475">
        <v>0</v>
      </c>
      <c r="W2312" s="463" t="s">
        <v>2268</v>
      </c>
      <c r="X2312" s="463" t="s">
        <v>2268</v>
      </c>
      <c r="Y2312" s="463" t="s">
        <v>2554</v>
      </c>
      <c r="Z2312" s="463"/>
      <c r="AA2312" s="463"/>
      <c r="AB2312" s="464">
        <v>0</v>
      </c>
      <c r="AC2312" s="465">
        <v>0</v>
      </c>
      <c r="AD2312" s="465">
        <v>0</v>
      </c>
      <c r="AE2312" s="476">
        <v>0</v>
      </c>
      <c r="AF2312" s="467">
        <v>0</v>
      </c>
      <c r="AG2312" s="468">
        <v>0</v>
      </c>
      <c r="AH2312" s="218">
        <v>0</v>
      </c>
      <c r="AI2312" s="470">
        <v>0</v>
      </c>
      <c r="AJ2312" s="471">
        <v>0</v>
      </c>
      <c r="AK2312" s="218">
        <v>0</v>
      </c>
      <c r="AL2312" s="470">
        <v>0</v>
      </c>
      <c r="AM2312" s="471">
        <v>0</v>
      </c>
      <c r="AN2312" s="477">
        <v>11.256607527748956</v>
      </c>
      <c r="AO2312" s="473">
        <v>7.0798026790184912E-3</v>
      </c>
      <c r="AP2312" s="474">
        <v>3.5663021020224087E-3</v>
      </c>
      <c r="AQ2312" s="352"/>
      <c r="AR2312" s="352"/>
      <c r="AS2312" s="352"/>
      <c r="AT2312" s="352"/>
      <c r="AU2312" s="352"/>
      <c r="AV2312" s="352"/>
      <c r="AW2312" s="352" t="s">
        <v>254</v>
      </c>
    </row>
    <row r="2313" spans="2:49" x14ac:dyDescent="0.2">
      <c r="B2313" s="460" t="s">
        <v>3047</v>
      </c>
      <c r="C2313" s="460">
        <v>8000</v>
      </c>
      <c r="D2313" s="460" t="s">
        <v>2312</v>
      </c>
      <c r="E2313" s="460" t="s">
        <v>2302</v>
      </c>
      <c r="F2313" s="460">
        <v>3</v>
      </c>
      <c r="G2313" s="460">
        <v>2</v>
      </c>
      <c r="H2313" s="461" t="s">
        <v>746</v>
      </c>
      <c r="I2313" s="461" t="s">
        <v>762</v>
      </c>
      <c r="J2313" s="461" t="s">
        <v>700</v>
      </c>
      <c r="K2313" s="594"/>
      <c r="L2313" s="594"/>
      <c r="M2313" s="352">
        <v>8000</v>
      </c>
      <c r="N2313" s="352" t="s">
        <v>760</v>
      </c>
      <c r="O2313" s="460">
        <v>2224</v>
      </c>
      <c r="P2313" s="460" t="s">
        <v>787</v>
      </c>
      <c r="Q2313" s="460" t="s">
        <v>2553</v>
      </c>
      <c r="R2313" s="460">
        <v>2224</v>
      </c>
      <c r="S2313" s="460" t="s">
        <v>2296</v>
      </c>
      <c r="T2313" s="462">
        <v>0.28481449642268464</v>
      </c>
      <c r="U2313" s="460" t="s">
        <v>2302</v>
      </c>
      <c r="V2313" s="475">
        <v>0</v>
      </c>
      <c r="W2313" s="463" t="s">
        <v>2268</v>
      </c>
      <c r="X2313" s="463" t="s">
        <v>2268</v>
      </c>
      <c r="Y2313" s="463" t="s">
        <v>2554</v>
      </c>
      <c r="Z2313" s="463"/>
      <c r="AA2313" s="463"/>
      <c r="AB2313" s="464">
        <v>0</v>
      </c>
      <c r="AC2313" s="465">
        <v>0</v>
      </c>
      <c r="AD2313" s="465">
        <v>0</v>
      </c>
      <c r="AE2313" s="476">
        <v>0</v>
      </c>
      <c r="AF2313" s="467">
        <v>0</v>
      </c>
      <c r="AG2313" s="468">
        <v>0</v>
      </c>
      <c r="AH2313" s="218">
        <v>0</v>
      </c>
      <c r="AI2313" s="470">
        <v>0</v>
      </c>
      <c r="AJ2313" s="471">
        <v>0</v>
      </c>
      <c r="AK2313" s="218">
        <v>0</v>
      </c>
      <c r="AL2313" s="470">
        <v>0</v>
      </c>
      <c r="AM2313" s="471">
        <v>0</v>
      </c>
      <c r="AN2313" s="477">
        <v>1.9172162982457512</v>
      </c>
      <c r="AO2313" s="473">
        <v>3.6320717752147784E-3</v>
      </c>
      <c r="AP2313" s="474">
        <v>2.52579051898033E-3</v>
      </c>
      <c r="AQ2313" s="352"/>
      <c r="AR2313" s="352"/>
      <c r="AS2313" s="352"/>
      <c r="AT2313" s="352"/>
      <c r="AU2313" s="352"/>
      <c r="AV2313" s="352"/>
      <c r="AW2313" s="352" t="s">
        <v>254</v>
      </c>
    </row>
    <row r="2314" spans="2:49" x14ac:dyDescent="0.2">
      <c r="B2314" s="460" t="s">
        <v>3048</v>
      </c>
      <c r="C2314" s="460">
        <v>8000</v>
      </c>
      <c r="D2314" s="460" t="s">
        <v>2313</v>
      </c>
      <c r="E2314" s="460" t="s">
        <v>2305</v>
      </c>
      <c r="F2314" s="460">
        <v>4</v>
      </c>
      <c r="G2314" s="460">
        <v>2</v>
      </c>
      <c r="H2314" s="461" t="s">
        <v>746</v>
      </c>
      <c r="I2314" s="461" t="s">
        <v>762</v>
      </c>
      <c r="J2314" s="461" t="s">
        <v>700</v>
      </c>
      <c r="K2314" s="594"/>
      <c r="L2314" s="594"/>
      <c r="M2314" s="352">
        <v>8000</v>
      </c>
      <c r="N2314" s="352" t="s">
        <v>760</v>
      </c>
      <c r="O2314" s="460">
        <v>2224</v>
      </c>
      <c r="P2314" s="460" t="s">
        <v>787</v>
      </c>
      <c r="Q2314" s="460" t="s">
        <v>2553</v>
      </c>
      <c r="R2314" s="460">
        <v>2224</v>
      </c>
      <c r="S2314" s="460" t="s">
        <v>2305</v>
      </c>
      <c r="T2314" s="462">
        <v>1</v>
      </c>
      <c r="U2314" s="460" t="s">
        <v>2305</v>
      </c>
      <c r="V2314" s="475">
        <v>0</v>
      </c>
      <c r="W2314" s="463" t="s">
        <v>2268</v>
      </c>
      <c r="X2314" s="463" t="s">
        <v>2268</v>
      </c>
      <c r="Y2314" s="463" t="s">
        <v>2554</v>
      </c>
      <c r="Z2314" s="463"/>
      <c r="AA2314" s="463"/>
      <c r="AB2314" s="464">
        <v>0</v>
      </c>
      <c r="AC2314" s="465">
        <v>0</v>
      </c>
      <c r="AD2314" s="465">
        <v>0</v>
      </c>
      <c r="AE2314" s="476">
        <v>0</v>
      </c>
      <c r="AF2314" s="467">
        <v>0</v>
      </c>
      <c r="AG2314" s="468">
        <v>0</v>
      </c>
      <c r="AH2314" s="218">
        <v>0</v>
      </c>
      <c r="AI2314" s="470">
        <v>0</v>
      </c>
      <c r="AJ2314" s="471">
        <v>0</v>
      </c>
      <c r="AK2314" s="218">
        <v>0</v>
      </c>
      <c r="AL2314" s="470">
        <v>0</v>
      </c>
      <c r="AM2314" s="471">
        <v>0</v>
      </c>
      <c r="AN2314" s="477">
        <v>2.8840605855589743E-2</v>
      </c>
      <c r="AO2314" s="473">
        <v>4.8108603417634721E-5</v>
      </c>
      <c r="AP2314" s="474">
        <v>2.8149733372277832E-3</v>
      </c>
      <c r="AQ2314" s="352"/>
      <c r="AR2314" s="352"/>
      <c r="AS2314" s="352"/>
      <c r="AT2314" s="352"/>
      <c r="AU2314" s="352"/>
      <c r="AV2314" s="352"/>
      <c r="AW2314" s="352" t="s">
        <v>254</v>
      </c>
    </row>
    <row r="2315" spans="2:49" x14ac:dyDescent="0.2">
      <c r="B2315" s="460" t="s">
        <v>3045</v>
      </c>
      <c r="C2315" s="460">
        <v>8000</v>
      </c>
      <c r="D2315" s="460" t="s">
        <v>2314</v>
      </c>
      <c r="E2315" s="460" t="s">
        <v>2296</v>
      </c>
      <c r="F2315" s="460">
        <v>1</v>
      </c>
      <c r="G2315" s="460">
        <v>2</v>
      </c>
      <c r="H2315" s="461" t="s">
        <v>748</v>
      </c>
      <c r="I2315" s="461" t="s">
        <v>765</v>
      </c>
      <c r="J2315" s="461" t="s">
        <v>700</v>
      </c>
      <c r="K2315" s="594"/>
      <c r="L2315" s="594"/>
      <c r="M2315" s="352">
        <v>8000</v>
      </c>
      <c r="N2315" s="352" t="s">
        <v>760</v>
      </c>
      <c r="O2315" s="460">
        <v>2224</v>
      </c>
      <c r="P2315" s="460" t="s">
        <v>787</v>
      </c>
      <c r="Q2315" s="460" t="s">
        <v>2553</v>
      </c>
      <c r="R2315" s="460">
        <v>2224</v>
      </c>
      <c r="S2315" s="460" t="s">
        <v>2296</v>
      </c>
      <c r="T2315" s="462">
        <v>1</v>
      </c>
      <c r="U2315" s="460" t="s">
        <v>2296</v>
      </c>
      <c r="V2315" s="475">
        <v>0</v>
      </c>
      <c r="W2315" s="463" t="s">
        <v>2268</v>
      </c>
      <c r="X2315" s="463" t="s">
        <v>2268</v>
      </c>
      <c r="Y2315" s="463" t="s">
        <v>2554</v>
      </c>
      <c r="Z2315" s="463"/>
      <c r="AA2315" s="463"/>
      <c r="AB2315" s="464">
        <v>0</v>
      </c>
      <c r="AC2315" s="465">
        <v>0</v>
      </c>
      <c r="AD2315" s="465">
        <v>0</v>
      </c>
      <c r="AE2315" s="476">
        <v>0</v>
      </c>
      <c r="AF2315" s="467">
        <v>0</v>
      </c>
      <c r="AG2315" s="468">
        <v>0</v>
      </c>
      <c r="AH2315" s="218">
        <v>0</v>
      </c>
      <c r="AI2315" s="470">
        <v>0</v>
      </c>
      <c r="AJ2315" s="471">
        <v>0</v>
      </c>
      <c r="AK2315" s="218">
        <v>0</v>
      </c>
      <c r="AL2315" s="470">
        <v>0</v>
      </c>
      <c r="AM2315" s="471">
        <v>0</v>
      </c>
      <c r="AN2315" s="477">
        <v>78.659381035569538</v>
      </c>
      <c r="AO2315" s="473">
        <v>2.5504823812229911E-2</v>
      </c>
      <c r="AP2315" s="474">
        <v>2.4029363464524341E-2</v>
      </c>
      <c r="AQ2315" s="352"/>
      <c r="AR2315" s="352"/>
      <c r="AS2315" s="352"/>
      <c r="AT2315" s="352"/>
      <c r="AU2315" s="352"/>
      <c r="AV2315" s="352"/>
      <c r="AW2315" s="352" t="s">
        <v>254</v>
      </c>
    </row>
    <row r="2316" spans="2:49" x14ac:dyDescent="0.2">
      <c r="B2316" s="460" t="s">
        <v>3046</v>
      </c>
      <c r="C2316" s="460">
        <v>8000</v>
      </c>
      <c r="D2316" s="460" t="s">
        <v>2315</v>
      </c>
      <c r="E2316" s="460" t="s">
        <v>2299</v>
      </c>
      <c r="F2316" s="460">
        <v>2</v>
      </c>
      <c r="G2316" s="460">
        <v>2</v>
      </c>
      <c r="H2316" s="461" t="s">
        <v>748</v>
      </c>
      <c r="I2316" s="461" t="s">
        <v>765</v>
      </c>
      <c r="J2316" s="461" t="s">
        <v>700</v>
      </c>
      <c r="K2316" s="594"/>
      <c r="L2316" s="594"/>
      <c r="M2316" s="352">
        <v>8000</v>
      </c>
      <c r="N2316" s="352" t="s">
        <v>760</v>
      </c>
      <c r="O2316" s="460">
        <v>2224</v>
      </c>
      <c r="P2316" s="460" t="s">
        <v>787</v>
      </c>
      <c r="Q2316" s="460" t="s">
        <v>2553</v>
      </c>
      <c r="R2316" s="460">
        <v>2224</v>
      </c>
      <c r="S2316" s="460" t="s">
        <v>2296</v>
      </c>
      <c r="T2316" s="462">
        <v>0.55517361979372948</v>
      </c>
      <c r="U2316" s="460" t="s">
        <v>2299</v>
      </c>
      <c r="V2316" s="475">
        <v>0</v>
      </c>
      <c r="W2316" s="463" t="s">
        <v>2268</v>
      </c>
      <c r="X2316" s="463" t="s">
        <v>2268</v>
      </c>
      <c r="Y2316" s="463" t="s">
        <v>2554</v>
      </c>
      <c r="Z2316" s="463"/>
      <c r="AA2316" s="463"/>
      <c r="AB2316" s="464">
        <v>0</v>
      </c>
      <c r="AC2316" s="465">
        <v>0</v>
      </c>
      <c r="AD2316" s="465">
        <v>0</v>
      </c>
      <c r="AE2316" s="476">
        <v>0</v>
      </c>
      <c r="AF2316" s="467">
        <v>0</v>
      </c>
      <c r="AG2316" s="468">
        <v>0</v>
      </c>
      <c r="AH2316" s="218">
        <v>0</v>
      </c>
      <c r="AI2316" s="470">
        <v>0</v>
      </c>
      <c r="AJ2316" s="471">
        <v>0</v>
      </c>
      <c r="AK2316" s="218">
        <v>0</v>
      </c>
      <c r="AL2316" s="470">
        <v>0</v>
      </c>
      <c r="AM2316" s="471">
        <v>0</v>
      </c>
      <c r="AN2316" s="477">
        <v>22.51321505549792</v>
      </c>
      <c r="AO2316" s="473">
        <v>1.4159605358036988E-2</v>
      </c>
      <c r="AP2316" s="474">
        <v>2.0858090901595128E-2</v>
      </c>
      <c r="AQ2316" s="352"/>
      <c r="AR2316" s="352"/>
      <c r="AS2316" s="352"/>
      <c r="AT2316" s="352"/>
      <c r="AU2316" s="352"/>
      <c r="AV2316" s="352"/>
      <c r="AW2316" s="352" t="s">
        <v>254</v>
      </c>
    </row>
    <row r="2317" spans="2:49" x14ac:dyDescent="0.2">
      <c r="B2317" s="460" t="s">
        <v>3047</v>
      </c>
      <c r="C2317" s="460">
        <v>8000</v>
      </c>
      <c r="D2317" s="460" t="s">
        <v>2316</v>
      </c>
      <c r="E2317" s="460" t="s">
        <v>2302</v>
      </c>
      <c r="F2317" s="460">
        <v>3</v>
      </c>
      <c r="G2317" s="460">
        <v>2</v>
      </c>
      <c r="H2317" s="461" t="s">
        <v>748</v>
      </c>
      <c r="I2317" s="461" t="s">
        <v>765</v>
      </c>
      <c r="J2317" s="461" t="s">
        <v>700</v>
      </c>
      <c r="K2317" s="594"/>
      <c r="L2317" s="594"/>
      <c r="M2317" s="352">
        <v>8000</v>
      </c>
      <c r="N2317" s="352" t="s">
        <v>760</v>
      </c>
      <c r="O2317" s="460">
        <v>2224</v>
      </c>
      <c r="P2317" s="460" t="s">
        <v>787</v>
      </c>
      <c r="Q2317" s="460" t="s">
        <v>2553</v>
      </c>
      <c r="R2317" s="460">
        <v>2224</v>
      </c>
      <c r="S2317" s="460" t="s">
        <v>2296</v>
      </c>
      <c r="T2317" s="462">
        <v>0.28481449642268464</v>
      </c>
      <c r="U2317" s="460" t="s">
        <v>2302</v>
      </c>
      <c r="V2317" s="475">
        <v>0</v>
      </c>
      <c r="W2317" s="463" t="s">
        <v>2268</v>
      </c>
      <c r="X2317" s="463" t="s">
        <v>2268</v>
      </c>
      <c r="Y2317" s="463" t="s">
        <v>2554</v>
      </c>
      <c r="Z2317" s="463"/>
      <c r="AA2317" s="463"/>
      <c r="AB2317" s="464">
        <v>0</v>
      </c>
      <c r="AC2317" s="465">
        <v>0</v>
      </c>
      <c r="AD2317" s="465">
        <v>0</v>
      </c>
      <c r="AE2317" s="476">
        <v>0</v>
      </c>
      <c r="AF2317" s="467">
        <v>0</v>
      </c>
      <c r="AG2317" s="468">
        <v>0</v>
      </c>
      <c r="AH2317" s="218">
        <v>0</v>
      </c>
      <c r="AI2317" s="470">
        <v>0</v>
      </c>
      <c r="AJ2317" s="471">
        <v>0</v>
      </c>
      <c r="AK2317" s="218">
        <v>0</v>
      </c>
      <c r="AL2317" s="470">
        <v>0</v>
      </c>
      <c r="AM2317" s="471">
        <v>0</v>
      </c>
      <c r="AN2317" s="477">
        <v>3.8344325964915034</v>
      </c>
      <c r="AO2317" s="473">
        <v>7.2641435504295585E-3</v>
      </c>
      <c r="AP2317" s="474">
        <v>1.6407282460449493E-2</v>
      </c>
      <c r="AQ2317" s="352"/>
      <c r="AR2317" s="352"/>
      <c r="AS2317" s="352"/>
      <c r="AT2317" s="352"/>
      <c r="AU2317" s="352"/>
      <c r="AV2317" s="352"/>
      <c r="AW2317" s="352" t="s">
        <v>254</v>
      </c>
    </row>
    <row r="2318" spans="2:49" x14ac:dyDescent="0.2">
      <c r="B2318" s="460" t="s">
        <v>3048</v>
      </c>
      <c r="C2318" s="460">
        <v>8000</v>
      </c>
      <c r="D2318" s="460" t="s">
        <v>2317</v>
      </c>
      <c r="E2318" s="460" t="s">
        <v>2305</v>
      </c>
      <c r="F2318" s="460">
        <v>4</v>
      </c>
      <c r="G2318" s="460">
        <v>2</v>
      </c>
      <c r="H2318" s="461" t="s">
        <v>748</v>
      </c>
      <c r="I2318" s="461" t="s">
        <v>765</v>
      </c>
      <c r="J2318" s="461" t="s">
        <v>700</v>
      </c>
      <c r="K2318" s="594"/>
      <c r="L2318" s="594"/>
      <c r="M2318" s="352">
        <v>8000</v>
      </c>
      <c r="N2318" s="352" t="s">
        <v>760</v>
      </c>
      <c r="O2318" s="460">
        <v>2224</v>
      </c>
      <c r="P2318" s="460" t="s">
        <v>787</v>
      </c>
      <c r="Q2318" s="460" t="s">
        <v>2553</v>
      </c>
      <c r="R2318" s="460">
        <v>2224</v>
      </c>
      <c r="S2318" s="460" t="s">
        <v>2305</v>
      </c>
      <c r="T2318" s="462">
        <v>1</v>
      </c>
      <c r="U2318" s="460" t="s">
        <v>2305</v>
      </c>
      <c r="V2318" s="475">
        <v>0</v>
      </c>
      <c r="W2318" s="463" t="s">
        <v>2268</v>
      </c>
      <c r="X2318" s="463" t="s">
        <v>2268</v>
      </c>
      <c r="Y2318" s="463" t="s">
        <v>2554</v>
      </c>
      <c r="Z2318" s="463"/>
      <c r="AA2318" s="463"/>
      <c r="AB2318" s="464">
        <v>0</v>
      </c>
      <c r="AC2318" s="465">
        <v>0</v>
      </c>
      <c r="AD2318" s="465">
        <v>0</v>
      </c>
      <c r="AE2318" s="476">
        <v>0</v>
      </c>
      <c r="AF2318" s="467">
        <v>0</v>
      </c>
      <c r="AG2318" s="468">
        <v>0</v>
      </c>
      <c r="AH2318" s="218">
        <v>0</v>
      </c>
      <c r="AI2318" s="470">
        <v>0</v>
      </c>
      <c r="AJ2318" s="471">
        <v>0</v>
      </c>
      <c r="AK2318" s="218">
        <v>0</v>
      </c>
      <c r="AL2318" s="470">
        <v>0</v>
      </c>
      <c r="AM2318" s="471">
        <v>0</v>
      </c>
      <c r="AN2318" s="477">
        <v>5.76812117111795E-2</v>
      </c>
      <c r="AO2318" s="473">
        <v>9.621720683526947E-5</v>
      </c>
      <c r="AP2318" s="474">
        <v>4.7107954679921203E-2</v>
      </c>
      <c r="AQ2318" s="352"/>
      <c r="AR2318" s="352"/>
      <c r="AS2318" s="352"/>
      <c r="AT2318" s="352"/>
      <c r="AU2318" s="352"/>
      <c r="AV2318" s="352"/>
      <c r="AW2318" s="352" t="s">
        <v>254</v>
      </c>
    </row>
    <row r="2319" spans="2:49" x14ac:dyDescent="0.2">
      <c r="B2319" s="460" t="s">
        <v>3049</v>
      </c>
      <c r="C2319" s="460">
        <v>8000</v>
      </c>
      <c r="D2319" s="460" t="s">
        <v>2323</v>
      </c>
      <c r="E2319" s="460" t="s">
        <v>2324</v>
      </c>
      <c r="F2319" s="460">
        <v>1</v>
      </c>
      <c r="G2319" s="460">
        <v>3</v>
      </c>
      <c r="H2319" s="461" t="s">
        <v>700</v>
      </c>
      <c r="I2319" s="461" t="s">
        <v>872</v>
      </c>
      <c r="J2319" s="461" t="s">
        <v>700</v>
      </c>
      <c r="K2319" s="594"/>
      <c r="L2319" s="594"/>
      <c r="M2319" s="352">
        <v>8000</v>
      </c>
      <c r="N2319" s="352" t="s">
        <v>760</v>
      </c>
      <c r="O2319" s="460">
        <v>2224</v>
      </c>
      <c r="P2319" s="460" t="s">
        <v>787</v>
      </c>
      <c r="Q2319" s="460" t="s">
        <v>2553</v>
      </c>
      <c r="R2319" s="460">
        <v>2224</v>
      </c>
      <c r="S2319" s="460" t="s">
        <v>2324</v>
      </c>
      <c r="T2319" s="462">
        <v>1</v>
      </c>
      <c r="U2319" s="460" t="s">
        <v>2324</v>
      </c>
      <c r="V2319" s="475">
        <v>0</v>
      </c>
      <c r="W2319" s="463" t="s">
        <v>2554</v>
      </c>
      <c r="X2319" s="463" t="s">
        <v>2554</v>
      </c>
      <c r="Y2319" s="463" t="s">
        <v>2268</v>
      </c>
      <c r="Z2319" s="463"/>
      <c r="AA2319" s="463"/>
      <c r="AB2319" s="464">
        <v>328.82580111951597</v>
      </c>
      <c r="AC2319" s="465">
        <v>3.2031459761799594E-2</v>
      </c>
      <c r="AD2319" s="465">
        <v>2.8189182822303109E-3</v>
      </c>
      <c r="AE2319" s="476">
        <v>197.29548067170956</v>
      </c>
      <c r="AF2319" s="467">
        <v>1.9218875857079754E-2</v>
      </c>
      <c r="AG2319" s="468">
        <v>1.8117719545149157E-3</v>
      </c>
      <c r="AH2319" s="218">
        <v>197.29548067170956</v>
      </c>
      <c r="AI2319" s="470">
        <v>1.9218875857079754E-2</v>
      </c>
      <c r="AJ2319" s="471">
        <v>1.7301250718483804E-3</v>
      </c>
      <c r="AK2319" s="218">
        <v>197.29548067170956</v>
      </c>
      <c r="AL2319" s="470">
        <v>1.9218875857079754E-2</v>
      </c>
      <c r="AM2319" s="471">
        <v>1.7301250718483804E-3</v>
      </c>
      <c r="AN2319" s="477">
        <v>0</v>
      </c>
      <c r="AO2319" s="473">
        <v>0</v>
      </c>
      <c r="AP2319" s="474">
        <v>0</v>
      </c>
      <c r="AQ2319" s="352"/>
      <c r="AR2319" s="352"/>
      <c r="AS2319" s="352"/>
      <c r="AT2319" s="352"/>
      <c r="AU2319" s="352"/>
      <c r="AV2319" s="352"/>
      <c r="AW2319" s="352" t="s">
        <v>254</v>
      </c>
    </row>
    <row r="2320" spans="2:49" x14ac:dyDescent="0.2">
      <c r="B2320" s="460" t="s">
        <v>3050</v>
      </c>
      <c r="C2320" s="460">
        <v>8000</v>
      </c>
      <c r="D2320" s="460" t="s">
        <v>2326</v>
      </c>
      <c r="E2320" s="460" t="s">
        <v>2327</v>
      </c>
      <c r="F2320" s="460">
        <v>2</v>
      </c>
      <c r="G2320" s="460">
        <v>3</v>
      </c>
      <c r="H2320" s="461" t="s">
        <v>700</v>
      </c>
      <c r="I2320" s="461" t="s">
        <v>872</v>
      </c>
      <c r="J2320" s="461" t="s">
        <v>700</v>
      </c>
      <c r="K2320" s="594"/>
      <c r="L2320" s="594"/>
      <c r="M2320" s="352">
        <v>8000</v>
      </c>
      <c r="N2320" s="352" t="s">
        <v>760</v>
      </c>
      <c r="O2320" s="460">
        <v>2224</v>
      </c>
      <c r="P2320" s="460" t="s">
        <v>787</v>
      </c>
      <c r="Q2320" s="460" t="s">
        <v>2553</v>
      </c>
      <c r="R2320" s="460">
        <v>2224</v>
      </c>
      <c r="S2320" s="460" t="s">
        <v>2324</v>
      </c>
      <c r="T2320" s="462">
        <v>1</v>
      </c>
      <c r="U2320" s="460" t="s">
        <v>2327</v>
      </c>
      <c r="V2320" s="475">
        <v>0</v>
      </c>
      <c r="W2320" s="463" t="s">
        <v>2554</v>
      </c>
      <c r="X2320" s="463" t="s">
        <v>2554</v>
      </c>
      <c r="Y2320" s="463" t="s">
        <v>2268</v>
      </c>
      <c r="Z2320" s="463"/>
      <c r="AA2320" s="463"/>
      <c r="AB2320" s="464">
        <v>183.34242384180936</v>
      </c>
      <c r="AC2320" s="465">
        <v>2.2818583745746933E-2</v>
      </c>
      <c r="AD2320" s="465">
        <v>2.707934248134453E-3</v>
      </c>
      <c r="AE2320" s="476">
        <v>110.00545430508562</v>
      </c>
      <c r="AF2320" s="467">
        <v>1.369115024744816E-2</v>
      </c>
      <c r="AG2320" s="468">
        <v>1.7597957120975376E-3</v>
      </c>
      <c r="AH2320" s="218">
        <v>154.41954340433551</v>
      </c>
      <c r="AI2320" s="470">
        <v>1.9218875857079754E-2</v>
      </c>
      <c r="AJ2320" s="471">
        <v>2.0789797902882432E-3</v>
      </c>
      <c r="AK2320" s="218">
        <v>154.41954340433551</v>
      </c>
      <c r="AL2320" s="470">
        <v>1.9218875857079754E-2</v>
      </c>
      <c r="AM2320" s="471">
        <v>2.0789797902882432E-3</v>
      </c>
      <c r="AN2320" s="477">
        <v>0</v>
      </c>
      <c r="AO2320" s="473">
        <v>0</v>
      </c>
      <c r="AP2320" s="474">
        <v>0</v>
      </c>
      <c r="AQ2320" s="352"/>
      <c r="AR2320" s="352"/>
      <c r="AS2320" s="352"/>
      <c r="AT2320" s="352"/>
      <c r="AU2320" s="352"/>
      <c r="AV2320" s="352"/>
      <c r="AW2320" s="352" t="s">
        <v>254</v>
      </c>
    </row>
    <row r="2321" spans="2:49" x14ac:dyDescent="0.2">
      <c r="B2321" s="460" t="s">
        <v>3051</v>
      </c>
      <c r="C2321" s="460">
        <v>8000</v>
      </c>
      <c r="D2321" s="460" t="s">
        <v>2329</v>
      </c>
      <c r="E2321" s="460" t="s">
        <v>2330</v>
      </c>
      <c r="F2321" s="460">
        <v>3</v>
      </c>
      <c r="G2321" s="460">
        <v>3</v>
      </c>
      <c r="H2321" s="461" t="s">
        <v>700</v>
      </c>
      <c r="I2321" s="461" t="s">
        <v>872</v>
      </c>
      <c r="J2321" s="461" t="s">
        <v>700</v>
      </c>
      <c r="K2321" s="594"/>
      <c r="L2321" s="594"/>
      <c r="M2321" s="352">
        <v>8000</v>
      </c>
      <c r="N2321" s="352" t="s">
        <v>760</v>
      </c>
      <c r="O2321" s="460">
        <v>2224</v>
      </c>
      <c r="P2321" s="460" t="s">
        <v>787</v>
      </c>
      <c r="Q2321" s="460" t="s">
        <v>2553</v>
      </c>
      <c r="R2321" s="460">
        <v>2224</v>
      </c>
      <c r="S2321" s="460" t="s">
        <v>2324</v>
      </c>
      <c r="T2321" s="462">
        <v>1</v>
      </c>
      <c r="U2321" s="460" t="s">
        <v>2330</v>
      </c>
      <c r="V2321" s="475">
        <v>0</v>
      </c>
      <c r="W2321" s="463" t="s">
        <v>2554</v>
      </c>
      <c r="X2321" s="463" t="s">
        <v>2554</v>
      </c>
      <c r="Y2321" s="463" t="s">
        <v>2268</v>
      </c>
      <c r="Z2321" s="463"/>
      <c r="AA2321" s="463"/>
      <c r="AB2321" s="464">
        <v>72.045173805111332</v>
      </c>
      <c r="AC2321" s="465">
        <v>2.7212724009035308E-2</v>
      </c>
      <c r="AD2321" s="465">
        <v>2.7205129954948454E-3</v>
      </c>
      <c r="AE2321" s="476">
        <v>43.227104283066794</v>
      </c>
      <c r="AF2321" s="467">
        <v>1.6327634405421183E-2</v>
      </c>
      <c r="AG2321" s="468">
        <v>1.749446814748879E-3</v>
      </c>
      <c r="AH2321" s="218">
        <v>50.881611521229473</v>
      </c>
      <c r="AI2321" s="470">
        <v>1.9218875857079754E-2</v>
      </c>
      <c r="AJ2321" s="471">
        <v>1.7926785963500284E-3</v>
      </c>
      <c r="AK2321" s="218">
        <v>50.881611521229473</v>
      </c>
      <c r="AL2321" s="470">
        <v>1.9218875857079754E-2</v>
      </c>
      <c r="AM2321" s="471">
        <v>1.7926785963500284E-3</v>
      </c>
      <c r="AN2321" s="477">
        <v>0</v>
      </c>
      <c r="AO2321" s="473">
        <v>0</v>
      </c>
      <c r="AP2321" s="474">
        <v>0</v>
      </c>
      <c r="AQ2321" s="352"/>
      <c r="AR2321" s="352"/>
      <c r="AS2321" s="352"/>
      <c r="AT2321" s="352"/>
      <c r="AU2321" s="352"/>
      <c r="AV2321" s="352"/>
      <c r="AW2321" s="352" t="s">
        <v>254</v>
      </c>
    </row>
    <row r="2322" spans="2:49" x14ac:dyDescent="0.2">
      <c r="B2322" s="460" t="s">
        <v>3052</v>
      </c>
      <c r="C2322" s="460">
        <v>8000</v>
      </c>
      <c r="D2322" s="460" t="s">
        <v>2332</v>
      </c>
      <c r="E2322" s="460" t="s">
        <v>2333</v>
      </c>
      <c r="F2322" s="460">
        <v>4</v>
      </c>
      <c r="G2322" s="460">
        <v>3</v>
      </c>
      <c r="H2322" s="461" t="s">
        <v>700</v>
      </c>
      <c r="I2322" s="461" t="s">
        <v>872</v>
      </c>
      <c r="J2322" s="461" t="s">
        <v>700</v>
      </c>
      <c r="K2322" s="594"/>
      <c r="L2322" s="594"/>
      <c r="M2322" s="352">
        <v>8000</v>
      </c>
      <c r="N2322" s="352" t="s">
        <v>760</v>
      </c>
      <c r="O2322" s="460">
        <v>2224</v>
      </c>
      <c r="P2322" s="460" t="s">
        <v>787</v>
      </c>
      <c r="Q2322" s="460" t="s">
        <v>2553</v>
      </c>
      <c r="R2322" s="460">
        <v>2224</v>
      </c>
      <c r="S2322" s="460" t="s">
        <v>2333</v>
      </c>
      <c r="T2322" s="462">
        <v>1</v>
      </c>
      <c r="U2322" s="460" t="s">
        <v>2333</v>
      </c>
      <c r="V2322" s="475">
        <v>0</v>
      </c>
      <c r="W2322" s="463" t="s">
        <v>2554</v>
      </c>
      <c r="X2322" s="463" t="s">
        <v>2554</v>
      </c>
      <c r="Y2322" s="463" t="s">
        <v>2268</v>
      </c>
      <c r="Z2322" s="463"/>
      <c r="AA2322" s="463"/>
      <c r="AB2322" s="464">
        <v>39.149822373438511</v>
      </c>
      <c r="AC2322" s="465">
        <v>1.2889091267503148E-2</v>
      </c>
      <c r="AD2322" s="465">
        <v>2.7001063276970616E-3</v>
      </c>
      <c r="AE2322" s="476">
        <v>23.489893424063109</v>
      </c>
      <c r="AF2322" s="467">
        <v>7.7334547605018887E-3</v>
      </c>
      <c r="AG2322" s="468">
        <v>1.787945889717124E-3</v>
      </c>
      <c r="AH2322" s="218">
        <v>23.489893424063109</v>
      </c>
      <c r="AI2322" s="470">
        <v>7.7334547605018887E-3</v>
      </c>
      <c r="AJ2322" s="471">
        <v>1.7322955638701583E-3</v>
      </c>
      <c r="AK2322" s="218">
        <v>23.489893424063109</v>
      </c>
      <c r="AL2322" s="470">
        <v>7.7334547605018887E-3</v>
      </c>
      <c r="AM2322" s="471">
        <v>1.7322955638701583E-3</v>
      </c>
      <c r="AN2322" s="477">
        <v>0</v>
      </c>
      <c r="AO2322" s="473">
        <v>0</v>
      </c>
      <c r="AP2322" s="474">
        <v>0</v>
      </c>
      <c r="AQ2322" s="352"/>
      <c r="AR2322" s="352"/>
      <c r="AS2322" s="352"/>
      <c r="AT2322" s="352"/>
      <c r="AU2322" s="352"/>
      <c r="AV2322" s="352"/>
      <c r="AW2322" s="352" t="s">
        <v>254</v>
      </c>
    </row>
    <row r="2323" spans="2:49" x14ac:dyDescent="0.2">
      <c r="B2323" s="460" t="s">
        <v>3049</v>
      </c>
      <c r="C2323" s="460">
        <v>8000</v>
      </c>
      <c r="D2323" s="460" t="s">
        <v>2334</v>
      </c>
      <c r="E2323" s="460" t="s">
        <v>2324</v>
      </c>
      <c r="F2323" s="460">
        <v>1</v>
      </c>
      <c r="G2323" s="460">
        <v>3</v>
      </c>
      <c r="H2323" s="461" t="s">
        <v>712</v>
      </c>
      <c r="I2323" s="461" t="s">
        <v>713</v>
      </c>
      <c r="J2323" s="461" t="s">
        <v>712</v>
      </c>
      <c r="K2323" s="594"/>
      <c r="L2323" s="594"/>
      <c r="M2323" s="352">
        <v>8000</v>
      </c>
      <c r="N2323" s="352" t="s">
        <v>760</v>
      </c>
      <c r="O2323" s="460">
        <v>2224</v>
      </c>
      <c r="P2323" s="460" t="s">
        <v>787</v>
      </c>
      <c r="Q2323" s="460" t="s">
        <v>2280</v>
      </c>
      <c r="R2323" s="460">
        <v>2224</v>
      </c>
      <c r="S2323" s="460" t="s">
        <v>2324</v>
      </c>
      <c r="T2323" s="462">
        <v>1</v>
      </c>
      <c r="U2323" s="460" t="s">
        <v>2324</v>
      </c>
      <c r="V2323" s="475">
        <v>0</v>
      </c>
      <c r="W2323" s="463" t="s">
        <v>713</v>
      </c>
      <c r="X2323" s="463" t="s">
        <v>713</v>
      </c>
      <c r="Y2323" s="463" t="s">
        <v>713</v>
      </c>
      <c r="Z2323" s="463"/>
      <c r="AA2323" s="463"/>
      <c r="AB2323" s="464">
        <v>9936.8880803212051</v>
      </c>
      <c r="AC2323" s="465">
        <v>0.96796854023820045</v>
      </c>
      <c r="AD2323" s="465">
        <v>2.4811377022239775E-2</v>
      </c>
      <c r="AE2323" s="476">
        <v>10068.418400769011</v>
      </c>
      <c r="AF2323" s="467">
        <v>0.98078112414292029</v>
      </c>
      <c r="AG2323" s="468">
        <v>2.4662356453480829E-2</v>
      </c>
      <c r="AH2323" s="218">
        <v>10068.418400769011</v>
      </c>
      <c r="AI2323" s="470">
        <v>0.98078112414292029</v>
      </c>
      <c r="AJ2323" s="471">
        <v>2.4976758308469928E-2</v>
      </c>
      <c r="AK2323" s="218">
        <v>10068.418400769011</v>
      </c>
      <c r="AL2323" s="470">
        <v>0.98078112414292029</v>
      </c>
      <c r="AM2323" s="471">
        <v>2.4976758308469928E-2</v>
      </c>
      <c r="AN2323" s="477">
        <v>10068.418400769011</v>
      </c>
      <c r="AO2323" s="473">
        <v>0.98078112414292029</v>
      </c>
      <c r="AP2323" s="474">
        <v>2.4964603299061538E-2</v>
      </c>
      <c r="AQ2323" s="352"/>
      <c r="AR2323" s="352"/>
      <c r="AS2323" s="352"/>
      <c r="AT2323" s="352"/>
      <c r="AU2323" s="352"/>
      <c r="AV2323" s="352"/>
      <c r="AW2323" s="352" t="s">
        <v>254</v>
      </c>
    </row>
    <row r="2324" spans="2:49" x14ac:dyDescent="0.2">
      <c r="B2324" s="460" t="s">
        <v>3050</v>
      </c>
      <c r="C2324" s="460">
        <v>8000</v>
      </c>
      <c r="D2324" s="460" t="s">
        <v>2335</v>
      </c>
      <c r="E2324" s="460" t="s">
        <v>2327</v>
      </c>
      <c r="F2324" s="460">
        <v>2</v>
      </c>
      <c r="G2324" s="460">
        <v>3</v>
      </c>
      <c r="H2324" s="461" t="s">
        <v>712</v>
      </c>
      <c r="I2324" s="461" t="s">
        <v>713</v>
      </c>
      <c r="J2324" s="461" t="s">
        <v>712</v>
      </c>
      <c r="K2324" s="594"/>
      <c r="L2324" s="594"/>
      <c r="M2324" s="352">
        <v>8000</v>
      </c>
      <c r="N2324" s="352" t="s">
        <v>760</v>
      </c>
      <c r="O2324" s="460">
        <v>2224</v>
      </c>
      <c r="P2324" s="460" t="s">
        <v>787</v>
      </c>
      <c r="Q2324" s="460" t="s">
        <v>2280</v>
      </c>
      <c r="R2324" s="460">
        <v>2224</v>
      </c>
      <c r="S2324" s="460" t="s">
        <v>2324</v>
      </c>
      <c r="T2324" s="462">
        <v>1</v>
      </c>
      <c r="U2324" s="460" t="s">
        <v>2327</v>
      </c>
      <c r="V2324" s="475">
        <v>0</v>
      </c>
      <c r="W2324" s="463" t="s">
        <v>713</v>
      </c>
      <c r="X2324" s="463" t="s">
        <v>713</v>
      </c>
      <c r="Y2324" s="463" t="s">
        <v>713</v>
      </c>
      <c r="Z2324" s="463"/>
      <c r="AA2324" s="463"/>
      <c r="AB2324" s="464">
        <v>7851.4429898665176</v>
      </c>
      <c r="AC2324" s="465">
        <v>0.97718141625425303</v>
      </c>
      <c r="AD2324" s="465">
        <v>2.5145019492885612E-2</v>
      </c>
      <c r="AE2324" s="476">
        <v>7924.7799594032413</v>
      </c>
      <c r="AF2324" s="467">
        <v>0.98630884975255184</v>
      </c>
      <c r="AG2324" s="468">
        <v>2.4964518330649322E-2</v>
      </c>
      <c r="AH2324" s="218">
        <v>7880.3658703039919</v>
      </c>
      <c r="AI2324" s="470">
        <v>0.98078112414292029</v>
      </c>
      <c r="AJ2324" s="471">
        <v>2.5816701750345304E-2</v>
      </c>
      <c r="AK2324" s="218">
        <v>7880.3658703039919</v>
      </c>
      <c r="AL2324" s="470">
        <v>0.98078112414292029</v>
      </c>
      <c r="AM2324" s="471">
        <v>2.5816701750345304E-2</v>
      </c>
      <c r="AN2324" s="477">
        <v>7880.3658703039919</v>
      </c>
      <c r="AO2324" s="473">
        <v>0.98078112414292029</v>
      </c>
      <c r="AP2324" s="474">
        <v>2.5806579955378089E-2</v>
      </c>
      <c r="AQ2324" s="352"/>
      <c r="AR2324" s="352"/>
      <c r="AS2324" s="352"/>
      <c r="AT2324" s="352"/>
      <c r="AU2324" s="352"/>
      <c r="AV2324" s="352"/>
      <c r="AW2324" s="352" t="s">
        <v>254</v>
      </c>
    </row>
    <row r="2325" spans="2:49" x14ac:dyDescent="0.2">
      <c r="B2325" s="460" t="s">
        <v>3051</v>
      </c>
      <c r="C2325" s="460">
        <v>8000</v>
      </c>
      <c r="D2325" s="460" t="s">
        <v>2336</v>
      </c>
      <c r="E2325" s="460" t="s">
        <v>2330</v>
      </c>
      <c r="F2325" s="460">
        <v>3</v>
      </c>
      <c r="G2325" s="460">
        <v>3</v>
      </c>
      <c r="H2325" s="461" t="s">
        <v>712</v>
      </c>
      <c r="I2325" s="461" t="s">
        <v>713</v>
      </c>
      <c r="J2325" s="461" t="s">
        <v>712</v>
      </c>
      <c r="K2325" s="594"/>
      <c r="L2325" s="594"/>
      <c r="M2325" s="352">
        <v>8000</v>
      </c>
      <c r="N2325" s="352" t="s">
        <v>760</v>
      </c>
      <c r="O2325" s="460">
        <v>2224</v>
      </c>
      <c r="P2325" s="460" t="s">
        <v>787</v>
      </c>
      <c r="Q2325" s="460" t="s">
        <v>2280</v>
      </c>
      <c r="R2325" s="460">
        <v>2224</v>
      </c>
      <c r="S2325" s="460" t="s">
        <v>2324</v>
      </c>
      <c r="T2325" s="462">
        <v>1</v>
      </c>
      <c r="U2325" s="460" t="s">
        <v>2330</v>
      </c>
      <c r="V2325" s="475">
        <v>0</v>
      </c>
      <c r="W2325" s="463" t="s">
        <v>713</v>
      </c>
      <c r="X2325" s="463" t="s">
        <v>713</v>
      </c>
      <c r="Y2325" s="463" t="s">
        <v>713</v>
      </c>
      <c r="Z2325" s="463"/>
      <c r="AA2325" s="463"/>
      <c r="AB2325" s="464">
        <v>2575.4359743956538</v>
      </c>
      <c r="AC2325" s="465">
        <v>0.97278727599096459</v>
      </c>
      <c r="AD2325" s="465">
        <v>2.2803587602430328E-2</v>
      </c>
      <c r="AE2325" s="476">
        <v>2604.2540439176987</v>
      </c>
      <c r="AF2325" s="467">
        <v>0.98367236559457882</v>
      </c>
      <c r="AG2325" s="468">
        <v>2.2702317672313403E-2</v>
      </c>
      <c r="AH2325" s="218">
        <v>2596.599536679536</v>
      </c>
      <c r="AI2325" s="470">
        <v>0.98078112414292029</v>
      </c>
      <c r="AJ2325" s="471">
        <v>2.3499846365890552E-2</v>
      </c>
      <c r="AK2325" s="218">
        <v>2596.599536679536</v>
      </c>
      <c r="AL2325" s="470">
        <v>0.98078112414292029</v>
      </c>
      <c r="AM2325" s="471">
        <v>2.3499846365890552E-2</v>
      </c>
      <c r="AN2325" s="477">
        <v>2596.599536679536</v>
      </c>
      <c r="AO2325" s="473">
        <v>0.98078112414292029</v>
      </c>
      <c r="AP2325" s="474">
        <v>2.3560502064701325E-2</v>
      </c>
      <c r="AQ2325" s="352"/>
      <c r="AR2325" s="352"/>
      <c r="AS2325" s="352"/>
      <c r="AT2325" s="352"/>
      <c r="AU2325" s="352"/>
      <c r="AV2325" s="352"/>
      <c r="AW2325" s="352" t="s">
        <v>254</v>
      </c>
    </row>
    <row r="2326" spans="2:49" x14ac:dyDescent="0.2">
      <c r="B2326" s="460" t="s">
        <v>3052</v>
      </c>
      <c r="C2326" s="460">
        <v>8000</v>
      </c>
      <c r="D2326" s="460" t="s">
        <v>2337</v>
      </c>
      <c r="E2326" s="460" t="s">
        <v>2333</v>
      </c>
      <c r="F2326" s="460">
        <v>4</v>
      </c>
      <c r="G2326" s="460">
        <v>3</v>
      </c>
      <c r="H2326" s="461" t="s">
        <v>712</v>
      </c>
      <c r="I2326" s="461" t="s">
        <v>713</v>
      </c>
      <c r="J2326" s="461" t="s">
        <v>712</v>
      </c>
      <c r="K2326" s="594"/>
      <c r="L2326" s="594"/>
      <c r="M2326" s="352">
        <v>8000</v>
      </c>
      <c r="N2326" s="352" t="s">
        <v>760</v>
      </c>
      <c r="O2326" s="460">
        <v>2224</v>
      </c>
      <c r="P2326" s="460" t="s">
        <v>787</v>
      </c>
      <c r="Q2326" s="460" t="s">
        <v>2280</v>
      </c>
      <c r="R2326" s="460">
        <v>2224</v>
      </c>
      <c r="S2326" s="460" t="s">
        <v>2333</v>
      </c>
      <c r="T2326" s="462">
        <v>1</v>
      </c>
      <c r="U2326" s="460" t="s">
        <v>2333</v>
      </c>
      <c r="V2326" s="475">
        <v>0</v>
      </c>
      <c r="W2326" s="463" t="s">
        <v>713</v>
      </c>
      <c r="X2326" s="463" t="s">
        <v>713</v>
      </c>
      <c r="Y2326" s="463" t="s">
        <v>713</v>
      </c>
      <c r="Z2326" s="463"/>
      <c r="AA2326" s="463"/>
      <c r="AB2326" s="464">
        <v>2998.2887030364718</v>
      </c>
      <c r="AC2326" s="465">
        <v>0.98711090873249685</v>
      </c>
      <c r="AD2326" s="465">
        <v>2.2794401813407764E-2</v>
      </c>
      <c r="AE2326" s="476">
        <v>3013.948631985847</v>
      </c>
      <c r="AF2326" s="467">
        <v>0.99226654523949809</v>
      </c>
      <c r="AG2326" s="468">
        <v>2.2678723963129661E-2</v>
      </c>
      <c r="AH2326" s="218">
        <v>3013.948631985847</v>
      </c>
      <c r="AI2326" s="470">
        <v>0.99226654523949809</v>
      </c>
      <c r="AJ2326" s="471">
        <v>2.2750976851132459E-2</v>
      </c>
      <c r="AK2326" s="218">
        <v>3013.948631985847</v>
      </c>
      <c r="AL2326" s="470">
        <v>0.99226654523949809</v>
      </c>
      <c r="AM2326" s="471">
        <v>2.2750976851132459E-2</v>
      </c>
      <c r="AN2326" s="477">
        <v>3013.948631985847</v>
      </c>
      <c r="AO2326" s="473">
        <v>0.99226654523949809</v>
      </c>
      <c r="AP2326" s="474">
        <v>2.2758206741378392E-2</v>
      </c>
      <c r="AQ2326" s="352"/>
      <c r="AR2326" s="352"/>
      <c r="AS2326" s="352"/>
      <c r="AT2326" s="352"/>
      <c r="AU2326" s="352"/>
      <c r="AV2326" s="352"/>
      <c r="AW2326" s="352" t="s">
        <v>254</v>
      </c>
    </row>
    <row r="2327" spans="2:49" x14ac:dyDescent="0.2">
      <c r="B2327" s="460" t="s">
        <v>3049</v>
      </c>
      <c r="C2327" s="460">
        <v>8000</v>
      </c>
      <c r="D2327" s="460" t="s">
        <v>2338</v>
      </c>
      <c r="E2327" s="460" t="s">
        <v>2324</v>
      </c>
      <c r="F2327" s="460">
        <v>1</v>
      </c>
      <c r="G2327" s="460">
        <v>3</v>
      </c>
      <c r="H2327" s="461" t="s">
        <v>746</v>
      </c>
      <c r="I2327" s="461" t="s">
        <v>762</v>
      </c>
      <c r="J2327" s="461" t="s">
        <v>700</v>
      </c>
      <c r="K2327" s="594"/>
      <c r="L2327" s="594"/>
      <c r="M2327" s="352">
        <v>8000</v>
      </c>
      <c r="N2327" s="352" t="s">
        <v>760</v>
      </c>
      <c r="O2327" s="460">
        <v>2224</v>
      </c>
      <c r="P2327" s="460" t="s">
        <v>787</v>
      </c>
      <c r="Q2327" s="460" t="s">
        <v>2553</v>
      </c>
      <c r="R2327" s="460">
        <v>2224</v>
      </c>
      <c r="S2327" s="460" t="s">
        <v>2324</v>
      </c>
      <c r="T2327" s="462">
        <v>1</v>
      </c>
      <c r="U2327" s="460" t="s">
        <v>2324</v>
      </c>
      <c r="V2327" s="475">
        <v>0</v>
      </c>
      <c r="W2327" s="463" t="s">
        <v>2268</v>
      </c>
      <c r="X2327" s="463" t="s">
        <v>2268</v>
      </c>
      <c r="Y2327" s="463" t="s">
        <v>2554</v>
      </c>
      <c r="Z2327" s="463"/>
      <c r="AA2327" s="463"/>
      <c r="AB2327" s="464">
        <v>0</v>
      </c>
      <c r="AC2327" s="465">
        <v>0</v>
      </c>
      <c r="AD2327" s="465">
        <v>0</v>
      </c>
      <c r="AE2327" s="476">
        <v>0</v>
      </c>
      <c r="AF2327" s="467">
        <v>0</v>
      </c>
      <c r="AG2327" s="468">
        <v>0</v>
      </c>
      <c r="AH2327" s="218">
        <v>0</v>
      </c>
      <c r="AI2327" s="470">
        <v>0</v>
      </c>
      <c r="AJ2327" s="471">
        <v>0</v>
      </c>
      <c r="AK2327" s="218">
        <v>0</v>
      </c>
      <c r="AL2327" s="470">
        <v>0</v>
      </c>
      <c r="AM2327" s="471">
        <v>0</v>
      </c>
      <c r="AN2327" s="477">
        <v>65.76516022390318</v>
      </c>
      <c r="AO2327" s="473">
        <v>6.4062919523599172E-3</v>
      </c>
      <c r="AP2327" s="474">
        <v>6.9499001414248963E-4</v>
      </c>
      <c r="AQ2327" s="352"/>
      <c r="AR2327" s="352"/>
      <c r="AS2327" s="352"/>
      <c r="AT2327" s="352"/>
      <c r="AU2327" s="352"/>
      <c r="AV2327" s="352"/>
      <c r="AW2327" s="352" t="s">
        <v>254</v>
      </c>
    </row>
    <row r="2328" spans="2:49" x14ac:dyDescent="0.2">
      <c r="B2328" s="460" t="s">
        <v>3050</v>
      </c>
      <c r="C2328" s="460">
        <v>8000</v>
      </c>
      <c r="D2328" s="460" t="s">
        <v>2339</v>
      </c>
      <c r="E2328" s="460" t="s">
        <v>2327</v>
      </c>
      <c r="F2328" s="460">
        <v>2</v>
      </c>
      <c r="G2328" s="460">
        <v>3</v>
      </c>
      <c r="H2328" s="461" t="s">
        <v>746</v>
      </c>
      <c r="I2328" s="461" t="s">
        <v>762</v>
      </c>
      <c r="J2328" s="461" t="s">
        <v>700</v>
      </c>
      <c r="K2328" s="594"/>
      <c r="L2328" s="594"/>
      <c r="M2328" s="352">
        <v>8000</v>
      </c>
      <c r="N2328" s="352" t="s">
        <v>760</v>
      </c>
      <c r="O2328" s="460">
        <v>2224</v>
      </c>
      <c r="P2328" s="460" t="s">
        <v>787</v>
      </c>
      <c r="Q2328" s="460" t="s">
        <v>2553</v>
      </c>
      <c r="R2328" s="460">
        <v>2224</v>
      </c>
      <c r="S2328" s="460" t="s">
        <v>2324</v>
      </c>
      <c r="T2328" s="462">
        <v>1</v>
      </c>
      <c r="U2328" s="460" t="s">
        <v>2327</v>
      </c>
      <c r="V2328" s="475">
        <v>0</v>
      </c>
      <c r="W2328" s="463" t="s">
        <v>2268</v>
      </c>
      <c r="X2328" s="463" t="s">
        <v>2268</v>
      </c>
      <c r="Y2328" s="463" t="s">
        <v>2554</v>
      </c>
      <c r="Z2328" s="463"/>
      <c r="AA2328" s="463"/>
      <c r="AB2328" s="464">
        <v>0</v>
      </c>
      <c r="AC2328" s="465">
        <v>0</v>
      </c>
      <c r="AD2328" s="465">
        <v>0</v>
      </c>
      <c r="AE2328" s="476">
        <v>0</v>
      </c>
      <c r="AF2328" s="467">
        <v>0</v>
      </c>
      <c r="AG2328" s="468">
        <v>0</v>
      </c>
      <c r="AH2328" s="218">
        <v>0</v>
      </c>
      <c r="AI2328" s="470">
        <v>0</v>
      </c>
      <c r="AJ2328" s="471">
        <v>0</v>
      </c>
      <c r="AK2328" s="218">
        <v>0</v>
      </c>
      <c r="AL2328" s="470">
        <v>0</v>
      </c>
      <c r="AM2328" s="471">
        <v>0</v>
      </c>
      <c r="AN2328" s="477">
        <v>51.4731811347785</v>
      </c>
      <c r="AO2328" s="473">
        <v>6.4062919523599172E-3</v>
      </c>
      <c r="AP2328" s="474">
        <v>8.1823651740060561E-4</v>
      </c>
      <c r="AQ2328" s="352"/>
      <c r="AR2328" s="352"/>
      <c r="AS2328" s="352"/>
      <c r="AT2328" s="352"/>
      <c r="AU2328" s="352"/>
      <c r="AV2328" s="352"/>
      <c r="AW2328" s="352" t="s">
        <v>254</v>
      </c>
    </row>
    <row r="2329" spans="2:49" x14ac:dyDescent="0.2">
      <c r="B2329" s="460" t="s">
        <v>3051</v>
      </c>
      <c r="C2329" s="460">
        <v>8000</v>
      </c>
      <c r="D2329" s="460" t="s">
        <v>2340</v>
      </c>
      <c r="E2329" s="460" t="s">
        <v>2330</v>
      </c>
      <c r="F2329" s="460">
        <v>3</v>
      </c>
      <c r="G2329" s="460">
        <v>3</v>
      </c>
      <c r="H2329" s="461" t="s">
        <v>746</v>
      </c>
      <c r="I2329" s="461" t="s">
        <v>762</v>
      </c>
      <c r="J2329" s="461" t="s">
        <v>700</v>
      </c>
      <c r="K2329" s="594"/>
      <c r="L2329" s="594"/>
      <c r="M2329" s="352">
        <v>8000</v>
      </c>
      <c r="N2329" s="352" t="s">
        <v>760</v>
      </c>
      <c r="O2329" s="460">
        <v>2224</v>
      </c>
      <c r="P2329" s="460" t="s">
        <v>787</v>
      </c>
      <c r="Q2329" s="460" t="s">
        <v>2553</v>
      </c>
      <c r="R2329" s="460">
        <v>2224</v>
      </c>
      <c r="S2329" s="460" t="s">
        <v>2324</v>
      </c>
      <c r="T2329" s="462">
        <v>1</v>
      </c>
      <c r="U2329" s="460" t="s">
        <v>2330</v>
      </c>
      <c r="V2329" s="475">
        <v>0</v>
      </c>
      <c r="W2329" s="463" t="s">
        <v>2268</v>
      </c>
      <c r="X2329" s="463" t="s">
        <v>2268</v>
      </c>
      <c r="Y2329" s="463" t="s">
        <v>2554</v>
      </c>
      <c r="Z2329" s="463"/>
      <c r="AA2329" s="463"/>
      <c r="AB2329" s="464">
        <v>0</v>
      </c>
      <c r="AC2329" s="465">
        <v>0</v>
      </c>
      <c r="AD2329" s="465">
        <v>0</v>
      </c>
      <c r="AE2329" s="476">
        <v>0</v>
      </c>
      <c r="AF2329" s="467">
        <v>0</v>
      </c>
      <c r="AG2329" s="468">
        <v>0</v>
      </c>
      <c r="AH2329" s="218">
        <v>0</v>
      </c>
      <c r="AI2329" s="470">
        <v>0</v>
      </c>
      <c r="AJ2329" s="471">
        <v>0</v>
      </c>
      <c r="AK2329" s="218">
        <v>0</v>
      </c>
      <c r="AL2329" s="470">
        <v>0</v>
      </c>
      <c r="AM2329" s="471">
        <v>0</v>
      </c>
      <c r="AN2329" s="477">
        <v>16.960537173743155</v>
      </c>
      <c r="AO2329" s="473">
        <v>6.4062919523599172E-3</v>
      </c>
      <c r="AP2329" s="474">
        <v>6.7845239775382973E-4</v>
      </c>
      <c r="AQ2329" s="352"/>
      <c r="AR2329" s="352"/>
      <c r="AS2329" s="352"/>
      <c r="AT2329" s="352"/>
      <c r="AU2329" s="352"/>
      <c r="AV2329" s="352"/>
      <c r="AW2329" s="352" t="s">
        <v>254</v>
      </c>
    </row>
    <row r="2330" spans="2:49" x14ac:dyDescent="0.2">
      <c r="B2330" s="460" t="s">
        <v>3052</v>
      </c>
      <c r="C2330" s="460">
        <v>8000</v>
      </c>
      <c r="D2330" s="460" t="s">
        <v>2341</v>
      </c>
      <c r="E2330" s="460" t="s">
        <v>2333</v>
      </c>
      <c r="F2330" s="460">
        <v>4</v>
      </c>
      <c r="G2330" s="460">
        <v>3</v>
      </c>
      <c r="H2330" s="461" t="s">
        <v>746</v>
      </c>
      <c r="I2330" s="461" t="s">
        <v>762</v>
      </c>
      <c r="J2330" s="461" t="s">
        <v>700</v>
      </c>
      <c r="K2330" s="594"/>
      <c r="L2330" s="594"/>
      <c r="M2330" s="352">
        <v>8000</v>
      </c>
      <c r="N2330" s="352" t="s">
        <v>760</v>
      </c>
      <c r="O2330" s="460">
        <v>2224</v>
      </c>
      <c r="P2330" s="460" t="s">
        <v>787</v>
      </c>
      <c r="Q2330" s="460" t="s">
        <v>2553</v>
      </c>
      <c r="R2330" s="460">
        <v>2224</v>
      </c>
      <c r="S2330" s="460" t="s">
        <v>2333</v>
      </c>
      <c r="T2330" s="462">
        <v>1</v>
      </c>
      <c r="U2330" s="460" t="s">
        <v>2333</v>
      </c>
      <c r="V2330" s="475">
        <v>0</v>
      </c>
      <c r="W2330" s="463" t="s">
        <v>2268</v>
      </c>
      <c r="X2330" s="463" t="s">
        <v>2268</v>
      </c>
      <c r="Y2330" s="463" t="s">
        <v>2554</v>
      </c>
      <c r="Z2330" s="463"/>
      <c r="AA2330" s="463"/>
      <c r="AB2330" s="464">
        <v>0</v>
      </c>
      <c r="AC2330" s="465">
        <v>0</v>
      </c>
      <c r="AD2330" s="465">
        <v>0</v>
      </c>
      <c r="AE2330" s="476">
        <v>0</v>
      </c>
      <c r="AF2330" s="467">
        <v>0</v>
      </c>
      <c r="AG2330" s="468">
        <v>0</v>
      </c>
      <c r="AH2330" s="218">
        <v>0</v>
      </c>
      <c r="AI2330" s="470">
        <v>0</v>
      </c>
      <c r="AJ2330" s="471">
        <v>0</v>
      </c>
      <c r="AK2330" s="218">
        <v>0</v>
      </c>
      <c r="AL2330" s="470">
        <v>0</v>
      </c>
      <c r="AM2330" s="471">
        <v>0</v>
      </c>
      <c r="AN2330" s="477">
        <v>7.8299644746877002</v>
      </c>
      <c r="AO2330" s="473">
        <v>2.5778182535006289E-3</v>
      </c>
      <c r="AP2330" s="474">
        <v>6.5270270292952591E-4</v>
      </c>
      <c r="AQ2330" s="352"/>
      <c r="AR2330" s="352"/>
      <c r="AS2330" s="352"/>
      <c r="AT2330" s="352"/>
      <c r="AU2330" s="352"/>
      <c r="AV2330" s="352"/>
      <c r="AW2330" s="352" t="s">
        <v>254</v>
      </c>
    </row>
    <row r="2331" spans="2:49" x14ac:dyDescent="0.2">
      <c r="B2331" s="460" t="s">
        <v>3049</v>
      </c>
      <c r="C2331" s="460">
        <v>8000</v>
      </c>
      <c r="D2331" s="460" t="s">
        <v>2342</v>
      </c>
      <c r="E2331" s="460" t="s">
        <v>2324</v>
      </c>
      <c r="F2331" s="460">
        <v>1</v>
      </c>
      <c r="G2331" s="460">
        <v>3</v>
      </c>
      <c r="H2331" s="461" t="s">
        <v>748</v>
      </c>
      <c r="I2331" s="461" t="s">
        <v>765</v>
      </c>
      <c r="J2331" s="461" t="s">
        <v>700</v>
      </c>
      <c r="K2331" s="594"/>
      <c r="L2331" s="594"/>
      <c r="M2331" s="352">
        <v>8000</v>
      </c>
      <c r="N2331" s="352" t="s">
        <v>760</v>
      </c>
      <c r="O2331" s="460">
        <v>2224</v>
      </c>
      <c r="P2331" s="460" t="s">
        <v>787</v>
      </c>
      <c r="Q2331" s="460" t="s">
        <v>2553</v>
      </c>
      <c r="R2331" s="460">
        <v>2224</v>
      </c>
      <c r="S2331" s="460" t="s">
        <v>2324</v>
      </c>
      <c r="T2331" s="462">
        <v>1</v>
      </c>
      <c r="U2331" s="460" t="s">
        <v>2324</v>
      </c>
      <c r="V2331" s="475">
        <v>0</v>
      </c>
      <c r="W2331" s="463" t="s">
        <v>2268</v>
      </c>
      <c r="X2331" s="463" t="s">
        <v>2268</v>
      </c>
      <c r="Y2331" s="463" t="s">
        <v>2554</v>
      </c>
      <c r="Z2331" s="463"/>
      <c r="AA2331" s="463"/>
      <c r="AB2331" s="464">
        <v>0</v>
      </c>
      <c r="AC2331" s="465">
        <v>0</v>
      </c>
      <c r="AD2331" s="465">
        <v>0</v>
      </c>
      <c r="AE2331" s="476">
        <v>0</v>
      </c>
      <c r="AF2331" s="467">
        <v>0</v>
      </c>
      <c r="AG2331" s="468">
        <v>0</v>
      </c>
      <c r="AH2331" s="218">
        <v>0</v>
      </c>
      <c r="AI2331" s="470">
        <v>0</v>
      </c>
      <c r="AJ2331" s="471">
        <v>0</v>
      </c>
      <c r="AK2331" s="218">
        <v>0</v>
      </c>
      <c r="AL2331" s="470">
        <v>0</v>
      </c>
      <c r="AM2331" s="471">
        <v>0</v>
      </c>
      <c r="AN2331" s="477">
        <v>131.53032044780639</v>
      </c>
      <c r="AO2331" s="473">
        <v>1.2812583904719838E-2</v>
      </c>
      <c r="AP2331" s="474">
        <v>6.8463919385511451E-3</v>
      </c>
      <c r="AQ2331" s="352"/>
      <c r="AR2331" s="352"/>
      <c r="AS2331" s="352"/>
      <c r="AT2331" s="352"/>
      <c r="AU2331" s="352"/>
      <c r="AV2331" s="352"/>
      <c r="AW2331" s="352" t="s">
        <v>254</v>
      </c>
    </row>
    <row r="2332" spans="2:49" x14ac:dyDescent="0.2">
      <c r="B2332" s="460" t="s">
        <v>3050</v>
      </c>
      <c r="C2332" s="460">
        <v>8000</v>
      </c>
      <c r="D2332" s="460" t="s">
        <v>2343</v>
      </c>
      <c r="E2332" s="460" t="s">
        <v>2327</v>
      </c>
      <c r="F2332" s="460">
        <v>2</v>
      </c>
      <c r="G2332" s="460">
        <v>3</v>
      </c>
      <c r="H2332" s="461" t="s">
        <v>748</v>
      </c>
      <c r="I2332" s="461" t="s">
        <v>765</v>
      </c>
      <c r="J2332" s="461" t="s">
        <v>700</v>
      </c>
      <c r="K2332" s="594"/>
      <c r="L2332" s="594"/>
      <c r="M2332" s="352">
        <v>8000</v>
      </c>
      <c r="N2332" s="352" t="s">
        <v>760</v>
      </c>
      <c r="O2332" s="460">
        <v>2224</v>
      </c>
      <c r="P2332" s="460" t="s">
        <v>787</v>
      </c>
      <c r="Q2332" s="460" t="s">
        <v>2553</v>
      </c>
      <c r="R2332" s="460">
        <v>2224</v>
      </c>
      <c r="S2332" s="460" t="s">
        <v>2324</v>
      </c>
      <c r="T2332" s="462">
        <v>1</v>
      </c>
      <c r="U2332" s="460" t="s">
        <v>2327</v>
      </c>
      <c r="V2332" s="475">
        <v>0</v>
      </c>
      <c r="W2332" s="463" t="s">
        <v>2268</v>
      </c>
      <c r="X2332" s="463" t="s">
        <v>2268</v>
      </c>
      <c r="Y2332" s="463" t="s">
        <v>2554</v>
      </c>
      <c r="Z2332" s="463"/>
      <c r="AA2332" s="463"/>
      <c r="AB2332" s="464">
        <v>0</v>
      </c>
      <c r="AC2332" s="465">
        <v>0</v>
      </c>
      <c r="AD2332" s="465">
        <v>0</v>
      </c>
      <c r="AE2332" s="476">
        <v>0</v>
      </c>
      <c r="AF2332" s="467">
        <v>0</v>
      </c>
      <c r="AG2332" s="468">
        <v>0</v>
      </c>
      <c r="AH2332" s="218">
        <v>0</v>
      </c>
      <c r="AI2332" s="470">
        <v>0</v>
      </c>
      <c r="AJ2332" s="471">
        <v>0</v>
      </c>
      <c r="AK2332" s="218">
        <v>0</v>
      </c>
      <c r="AL2332" s="470">
        <v>0</v>
      </c>
      <c r="AM2332" s="471">
        <v>0</v>
      </c>
      <c r="AN2332" s="477">
        <v>102.94636226955703</v>
      </c>
      <c r="AO2332" s="473">
        <v>1.2812583904719838E-2</v>
      </c>
      <c r="AP2332" s="474">
        <v>9.1512637405579394E-3</v>
      </c>
      <c r="AQ2332" s="352"/>
      <c r="AR2332" s="352"/>
      <c r="AS2332" s="352"/>
      <c r="AT2332" s="352"/>
      <c r="AU2332" s="352"/>
      <c r="AV2332" s="352"/>
      <c r="AW2332" s="352" t="s">
        <v>254</v>
      </c>
    </row>
    <row r="2333" spans="2:49" x14ac:dyDescent="0.2">
      <c r="B2333" s="460" t="s">
        <v>3051</v>
      </c>
      <c r="C2333" s="460">
        <v>8000</v>
      </c>
      <c r="D2333" s="460" t="s">
        <v>2344</v>
      </c>
      <c r="E2333" s="460" t="s">
        <v>2330</v>
      </c>
      <c r="F2333" s="460">
        <v>3</v>
      </c>
      <c r="G2333" s="460">
        <v>3</v>
      </c>
      <c r="H2333" s="461" t="s">
        <v>748</v>
      </c>
      <c r="I2333" s="461" t="s">
        <v>765</v>
      </c>
      <c r="J2333" s="461" t="s">
        <v>700</v>
      </c>
      <c r="K2333" s="594"/>
      <c r="L2333" s="594"/>
      <c r="M2333" s="352">
        <v>8000</v>
      </c>
      <c r="N2333" s="352" t="s">
        <v>760</v>
      </c>
      <c r="O2333" s="460">
        <v>2224</v>
      </c>
      <c r="P2333" s="460" t="s">
        <v>787</v>
      </c>
      <c r="Q2333" s="460" t="s">
        <v>2553</v>
      </c>
      <c r="R2333" s="460">
        <v>2224</v>
      </c>
      <c r="S2333" s="460" t="s">
        <v>2324</v>
      </c>
      <c r="T2333" s="462">
        <v>1</v>
      </c>
      <c r="U2333" s="460" t="s">
        <v>2330</v>
      </c>
      <c r="V2333" s="475">
        <v>0</v>
      </c>
      <c r="W2333" s="463" t="s">
        <v>2268</v>
      </c>
      <c r="X2333" s="463" t="s">
        <v>2268</v>
      </c>
      <c r="Y2333" s="463" t="s">
        <v>2554</v>
      </c>
      <c r="Z2333" s="463"/>
      <c r="AA2333" s="463"/>
      <c r="AB2333" s="464">
        <v>0</v>
      </c>
      <c r="AC2333" s="465">
        <v>0</v>
      </c>
      <c r="AD2333" s="465">
        <v>0</v>
      </c>
      <c r="AE2333" s="476">
        <v>0</v>
      </c>
      <c r="AF2333" s="467">
        <v>0</v>
      </c>
      <c r="AG2333" s="468">
        <v>0</v>
      </c>
      <c r="AH2333" s="218">
        <v>0</v>
      </c>
      <c r="AI2333" s="470">
        <v>0</v>
      </c>
      <c r="AJ2333" s="471">
        <v>0</v>
      </c>
      <c r="AK2333" s="218">
        <v>0</v>
      </c>
      <c r="AL2333" s="470">
        <v>0</v>
      </c>
      <c r="AM2333" s="471">
        <v>0</v>
      </c>
      <c r="AN2333" s="477">
        <v>33.921074347486325</v>
      </c>
      <c r="AO2333" s="473">
        <v>1.2812583904719838E-2</v>
      </c>
      <c r="AP2333" s="474">
        <v>9.2462986518176103E-3</v>
      </c>
      <c r="AQ2333" s="352"/>
      <c r="AR2333" s="352"/>
      <c r="AS2333" s="352"/>
      <c r="AT2333" s="352"/>
      <c r="AU2333" s="352"/>
      <c r="AV2333" s="352"/>
      <c r="AW2333" s="352" t="s">
        <v>254</v>
      </c>
    </row>
    <row r="2334" spans="2:49" x14ac:dyDescent="0.2">
      <c r="B2334" s="460" t="s">
        <v>3052</v>
      </c>
      <c r="C2334" s="460">
        <v>8000</v>
      </c>
      <c r="D2334" s="460" t="s">
        <v>2345</v>
      </c>
      <c r="E2334" s="460" t="s">
        <v>2333</v>
      </c>
      <c r="F2334" s="460">
        <v>4</v>
      </c>
      <c r="G2334" s="460">
        <v>3</v>
      </c>
      <c r="H2334" s="461" t="s">
        <v>748</v>
      </c>
      <c r="I2334" s="461" t="s">
        <v>765</v>
      </c>
      <c r="J2334" s="461" t="s">
        <v>700</v>
      </c>
      <c r="K2334" s="594"/>
      <c r="L2334" s="594"/>
      <c r="M2334" s="352">
        <v>8000</v>
      </c>
      <c r="N2334" s="352" t="s">
        <v>760</v>
      </c>
      <c r="O2334" s="460">
        <v>2224</v>
      </c>
      <c r="P2334" s="460" t="s">
        <v>787</v>
      </c>
      <c r="Q2334" s="460" t="s">
        <v>2553</v>
      </c>
      <c r="R2334" s="460">
        <v>2224</v>
      </c>
      <c r="S2334" s="460" t="s">
        <v>2333</v>
      </c>
      <c r="T2334" s="462">
        <v>1</v>
      </c>
      <c r="U2334" s="460" t="s">
        <v>2333</v>
      </c>
      <c r="V2334" s="475">
        <v>0</v>
      </c>
      <c r="W2334" s="463" t="s">
        <v>2268</v>
      </c>
      <c r="X2334" s="463" t="s">
        <v>2268</v>
      </c>
      <c r="Y2334" s="463" t="s">
        <v>2554</v>
      </c>
      <c r="Z2334" s="463"/>
      <c r="AA2334" s="463"/>
      <c r="AB2334" s="464">
        <v>0</v>
      </c>
      <c r="AC2334" s="465">
        <v>0</v>
      </c>
      <c r="AD2334" s="465">
        <v>0</v>
      </c>
      <c r="AE2334" s="476">
        <v>0</v>
      </c>
      <c r="AF2334" s="467">
        <v>0</v>
      </c>
      <c r="AG2334" s="468">
        <v>0</v>
      </c>
      <c r="AH2334" s="218">
        <v>0</v>
      </c>
      <c r="AI2334" s="470">
        <v>0</v>
      </c>
      <c r="AJ2334" s="471">
        <v>0</v>
      </c>
      <c r="AK2334" s="218">
        <v>0</v>
      </c>
      <c r="AL2334" s="470">
        <v>0</v>
      </c>
      <c r="AM2334" s="471">
        <v>0</v>
      </c>
      <c r="AN2334" s="477">
        <v>15.659928949375406</v>
      </c>
      <c r="AO2334" s="473">
        <v>5.1556365070012595E-3</v>
      </c>
      <c r="AP2334" s="474">
        <v>9.7518219718625305E-3</v>
      </c>
      <c r="AQ2334" s="352"/>
      <c r="AR2334" s="352"/>
      <c r="AS2334" s="352"/>
      <c r="AT2334" s="352"/>
      <c r="AU2334" s="352"/>
      <c r="AV2334" s="352"/>
      <c r="AW2334" s="352" t="s">
        <v>254</v>
      </c>
    </row>
    <row r="2335" spans="2:49" x14ac:dyDescent="0.2">
      <c r="B2335" s="460" t="s">
        <v>3053</v>
      </c>
      <c r="C2335" s="460">
        <v>8000</v>
      </c>
      <c r="D2335" s="460" t="s">
        <v>2351</v>
      </c>
      <c r="E2335" s="460" t="s">
        <v>1136</v>
      </c>
      <c r="F2335" s="460">
        <v>1</v>
      </c>
      <c r="G2335" s="460">
        <v>4</v>
      </c>
      <c r="H2335" s="461" t="s">
        <v>700</v>
      </c>
      <c r="I2335" s="461" t="s">
        <v>872</v>
      </c>
      <c r="J2335" s="461" t="s">
        <v>700</v>
      </c>
      <c r="K2335" s="594"/>
      <c r="L2335" s="594"/>
      <c r="M2335" s="352">
        <v>8000</v>
      </c>
      <c r="N2335" s="352" t="s">
        <v>760</v>
      </c>
      <c r="O2335" s="460">
        <v>2224</v>
      </c>
      <c r="P2335" s="460" t="s">
        <v>787</v>
      </c>
      <c r="Q2335" s="460" t="s">
        <v>2553</v>
      </c>
      <c r="R2335" s="460">
        <v>2224</v>
      </c>
      <c r="S2335" s="460" t="s">
        <v>1136</v>
      </c>
      <c r="T2335" s="462">
        <v>1</v>
      </c>
      <c r="U2335" s="460" t="s">
        <v>1136</v>
      </c>
      <c r="V2335" s="475">
        <v>0</v>
      </c>
      <c r="W2335" s="463" t="s">
        <v>2554</v>
      </c>
      <c r="X2335" s="463" t="s">
        <v>2554</v>
      </c>
      <c r="Y2335" s="463" t="s">
        <v>2268</v>
      </c>
      <c r="Z2335" s="463"/>
      <c r="AA2335" s="463"/>
      <c r="AB2335" s="464">
        <v>4.4401438620022144</v>
      </c>
      <c r="AC2335" s="465">
        <v>1.9265439859224652E-3</v>
      </c>
      <c r="AD2335" s="465">
        <v>1.263313829021546E-2</v>
      </c>
      <c r="AE2335" s="476">
        <v>2.6640863172013289</v>
      </c>
      <c r="AF2335" s="467">
        <v>1.1559263915534791E-3</v>
      </c>
      <c r="AG2335" s="468">
        <v>8.2397994541154838E-3</v>
      </c>
      <c r="AH2335" s="218">
        <v>2.6640863172013289</v>
      </c>
      <c r="AI2335" s="470">
        <v>1.1559263915534791E-3</v>
      </c>
      <c r="AJ2335" s="471">
        <v>2.080562231887411E-3</v>
      </c>
      <c r="AK2335" s="218">
        <v>2.6640863172013289</v>
      </c>
      <c r="AL2335" s="470">
        <v>1.1559263915534791E-3</v>
      </c>
      <c r="AM2335" s="471">
        <v>2.080562231887411E-3</v>
      </c>
      <c r="AN2335" s="477">
        <v>0</v>
      </c>
      <c r="AO2335" s="473">
        <v>0</v>
      </c>
      <c r="AP2335" s="474">
        <v>0</v>
      </c>
      <c r="AQ2335" s="352"/>
      <c r="AR2335" s="352"/>
      <c r="AS2335" s="352"/>
      <c r="AT2335" s="352"/>
      <c r="AU2335" s="352"/>
      <c r="AV2335" s="352"/>
      <c r="AW2335" s="352" t="s">
        <v>254</v>
      </c>
    </row>
    <row r="2336" spans="2:49" x14ac:dyDescent="0.2">
      <c r="B2336" s="460" t="s">
        <v>3054</v>
      </c>
      <c r="C2336" s="460">
        <v>8000</v>
      </c>
      <c r="D2336" s="460" t="s">
        <v>2353</v>
      </c>
      <c r="E2336" s="460" t="s">
        <v>1137</v>
      </c>
      <c r="F2336" s="460">
        <v>2</v>
      </c>
      <c r="G2336" s="460">
        <v>4</v>
      </c>
      <c r="H2336" s="461" t="s">
        <v>700</v>
      </c>
      <c r="I2336" s="461" t="s">
        <v>872</v>
      </c>
      <c r="J2336" s="461" t="s">
        <v>700</v>
      </c>
      <c r="K2336" s="594"/>
      <c r="L2336" s="594"/>
      <c r="M2336" s="352">
        <v>8000</v>
      </c>
      <c r="N2336" s="352" t="s">
        <v>760</v>
      </c>
      <c r="O2336" s="460">
        <v>2224</v>
      </c>
      <c r="P2336" s="460" t="s">
        <v>787</v>
      </c>
      <c r="Q2336" s="460" t="s">
        <v>2553</v>
      </c>
      <c r="R2336" s="460">
        <v>2224</v>
      </c>
      <c r="S2336" s="460" t="s">
        <v>1137</v>
      </c>
      <c r="T2336" s="462">
        <v>1</v>
      </c>
      <c r="U2336" s="460" t="s">
        <v>1137</v>
      </c>
      <c r="V2336" s="475">
        <v>0</v>
      </c>
      <c r="W2336" s="463" t="s">
        <v>2554</v>
      </c>
      <c r="X2336" s="463" t="s">
        <v>2554</v>
      </c>
      <c r="Y2336" s="463" t="s">
        <v>2268</v>
      </c>
      <c r="Z2336" s="463"/>
      <c r="AA2336" s="463"/>
      <c r="AB2336" s="464">
        <v>55.944607301242094</v>
      </c>
      <c r="AC2336" s="465">
        <v>1.6783661894173768E-2</v>
      </c>
      <c r="AD2336" s="465">
        <v>1.263313829021547E-2</v>
      </c>
      <c r="AE2336" s="476">
        <v>33.566764380745255</v>
      </c>
      <c r="AF2336" s="467">
        <v>1.0070197136504261E-2</v>
      </c>
      <c r="AG2336" s="468">
        <v>8.166040910424938E-3</v>
      </c>
      <c r="AH2336" s="218">
        <v>33.566764380745255</v>
      </c>
      <c r="AI2336" s="470">
        <v>1.0070197136504261E-2</v>
      </c>
      <c r="AJ2336" s="471">
        <v>6.9352099961551778E-3</v>
      </c>
      <c r="AK2336" s="218">
        <v>33.566764380745255</v>
      </c>
      <c r="AL2336" s="470">
        <v>1.0070197136504261E-2</v>
      </c>
      <c r="AM2336" s="471">
        <v>6.9352099961551778E-3</v>
      </c>
      <c r="AN2336" s="477">
        <v>0</v>
      </c>
      <c r="AO2336" s="473">
        <v>0</v>
      </c>
      <c r="AP2336" s="474">
        <v>0</v>
      </c>
      <c r="AQ2336" s="352"/>
      <c r="AR2336" s="352"/>
      <c r="AS2336" s="352"/>
      <c r="AT2336" s="352"/>
      <c r="AU2336" s="352"/>
      <c r="AV2336" s="352"/>
      <c r="AW2336" s="352" t="s">
        <v>254</v>
      </c>
    </row>
    <row r="2337" spans="2:49" x14ac:dyDescent="0.2">
      <c r="B2337" s="460" t="s">
        <v>3055</v>
      </c>
      <c r="C2337" s="460">
        <v>8000</v>
      </c>
      <c r="D2337" s="460" t="s">
        <v>2355</v>
      </c>
      <c r="E2337" s="460" t="s">
        <v>1138</v>
      </c>
      <c r="F2337" s="460">
        <v>3</v>
      </c>
      <c r="G2337" s="460">
        <v>4</v>
      </c>
      <c r="H2337" s="461" t="s">
        <v>700</v>
      </c>
      <c r="I2337" s="461" t="s">
        <v>872</v>
      </c>
      <c r="J2337" s="461" t="s">
        <v>700</v>
      </c>
      <c r="K2337" s="594"/>
      <c r="L2337" s="594"/>
      <c r="M2337" s="352">
        <v>8000</v>
      </c>
      <c r="N2337" s="352" t="s">
        <v>760</v>
      </c>
      <c r="O2337" s="460">
        <v>2224</v>
      </c>
      <c r="P2337" s="460" t="s">
        <v>787</v>
      </c>
      <c r="Q2337" s="460" t="s">
        <v>2553</v>
      </c>
      <c r="R2337" s="460">
        <v>2224</v>
      </c>
      <c r="S2337" s="460" t="s">
        <v>1138</v>
      </c>
      <c r="T2337" s="462">
        <v>1</v>
      </c>
      <c r="U2337" s="460" t="s">
        <v>1138</v>
      </c>
      <c r="V2337" s="475">
        <v>0</v>
      </c>
      <c r="W2337" s="463" t="s">
        <v>2554</v>
      </c>
      <c r="X2337" s="463" t="s">
        <v>2554</v>
      </c>
      <c r="Y2337" s="463" t="s">
        <v>2268</v>
      </c>
      <c r="Z2337" s="463"/>
      <c r="AA2337" s="463"/>
      <c r="AB2337" s="464">
        <v>30.109859449972888</v>
      </c>
      <c r="AC2337" s="465">
        <v>2.0470958885854842E-2</v>
      </c>
      <c r="AD2337" s="465">
        <v>1.2633138290215474E-2</v>
      </c>
      <c r="AE2337" s="476">
        <v>18.065915669983731</v>
      </c>
      <c r="AF2337" s="467">
        <v>1.2282575331512904E-2</v>
      </c>
      <c r="AG2337" s="468">
        <v>8.1776682741049791E-3</v>
      </c>
      <c r="AH2337" s="218">
        <v>18.065915669983731</v>
      </c>
      <c r="AI2337" s="470">
        <v>1.2282575331512904E-2</v>
      </c>
      <c r="AJ2337" s="471">
        <v>6.2256262831284215E-3</v>
      </c>
      <c r="AK2337" s="218">
        <v>18.065915669983731</v>
      </c>
      <c r="AL2337" s="470">
        <v>1.2282575331512904E-2</v>
      </c>
      <c r="AM2337" s="471">
        <v>6.2256262831284215E-3</v>
      </c>
      <c r="AN2337" s="477">
        <v>0</v>
      </c>
      <c r="AO2337" s="473">
        <v>0</v>
      </c>
      <c r="AP2337" s="474">
        <v>0</v>
      </c>
      <c r="AQ2337" s="352"/>
      <c r="AR2337" s="352"/>
      <c r="AS2337" s="352"/>
      <c r="AT2337" s="352"/>
      <c r="AU2337" s="352"/>
      <c r="AV2337" s="352"/>
      <c r="AW2337" s="352" t="s">
        <v>254</v>
      </c>
    </row>
    <row r="2338" spans="2:49" x14ac:dyDescent="0.2">
      <c r="B2338" s="460" t="s">
        <v>3056</v>
      </c>
      <c r="C2338" s="460">
        <v>8000</v>
      </c>
      <c r="D2338" s="460" t="s">
        <v>2357</v>
      </c>
      <c r="E2338" s="460" t="s">
        <v>1139</v>
      </c>
      <c r="F2338" s="460">
        <v>4</v>
      </c>
      <c r="G2338" s="460">
        <v>4</v>
      </c>
      <c r="H2338" s="461" t="s">
        <v>700</v>
      </c>
      <c r="I2338" s="461" t="s">
        <v>872</v>
      </c>
      <c r="J2338" s="461" t="s">
        <v>700</v>
      </c>
      <c r="K2338" s="594"/>
      <c r="L2338" s="594"/>
      <c r="M2338" s="352">
        <v>8000</v>
      </c>
      <c r="N2338" s="352" t="s">
        <v>760</v>
      </c>
      <c r="O2338" s="460">
        <v>2224</v>
      </c>
      <c r="P2338" s="460" t="s">
        <v>787</v>
      </c>
      <c r="Q2338" s="460" t="s">
        <v>2553</v>
      </c>
      <c r="R2338" s="460">
        <v>2224</v>
      </c>
      <c r="S2338" s="460" t="s">
        <v>1139</v>
      </c>
      <c r="T2338" s="462">
        <v>1</v>
      </c>
      <c r="U2338" s="460" t="s">
        <v>1139</v>
      </c>
      <c r="V2338" s="475">
        <v>0</v>
      </c>
      <c r="W2338" s="463" t="s">
        <v>2554</v>
      </c>
      <c r="X2338" s="463" t="s">
        <v>2554</v>
      </c>
      <c r="Y2338" s="463" t="s">
        <v>2268</v>
      </c>
      <c r="Z2338" s="463"/>
      <c r="AA2338" s="463"/>
      <c r="AB2338" s="464">
        <v>0</v>
      </c>
      <c r="AC2338" s="465">
        <v>0</v>
      </c>
      <c r="AD2338" s="465">
        <v>0</v>
      </c>
      <c r="AE2338" s="476">
        <v>0</v>
      </c>
      <c r="AF2338" s="467">
        <v>0</v>
      </c>
      <c r="AG2338" s="468">
        <v>0</v>
      </c>
      <c r="AH2338" s="218">
        <v>0</v>
      </c>
      <c r="AI2338" s="470">
        <v>0</v>
      </c>
      <c r="AJ2338" s="471">
        <v>0</v>
      </c>
      <c r="AK2338" s="218">
        <v>0</v>
      </c>
      <c r="AL2338" s="470">
        <v>0</v>
      </c>
      <c r="AM2338" s="471">
        <v>0</v>
      </c>
      <c r="AN2338" s="477">
        <v>0</v>
      </c>
      <c r="AO2338" s="473">
        <v>0</v>
      </c>
      <c r="AP2338" s="474">
        <v>0</v>
      </c>
      <c r="AQ2338" s="352"/>
      <c r="AR2338" s="352"/>
      <c r="AS2338" s="352"/>
      <c r="AT2338" s="352"/>
      <c r="AU2338" s="352"/>
      <c r="AV2338" s="352"/>
      <c r="AW2338" s="352" t="s">
        <v>254</v>
      </c>
    </row>
    <row r="2339" spans="2:49" x14ac:dyDescent="0.2">
      <c r="B2339" s="460" t="s">
        <v>3053</v>
      </c>
      <c r="C2339" s="460">
        <v>8000</v>
      </c>
      <c r="D2339" s="460" t="s">
        <v>2358</v>
      </c>
      <c r="E2339" s="460" t="s">
        <v>1136</v>
      </c>
      <c r="F2339" s="460">
        <v>1</v>
      </c>
      <c r="G2339" s="460">
        <v>4</v>
      </c>
      <c r="H2339" s="461" t="s">
        <v>712</v>
      </c>
      <c r="I2339" s="461" t="s">
        <v>713</v>
      </c>
      <c r="J2339" s="461" t="s">
        <v>712</v>
      </c>
      <c r="K2339" s="594"/>
      <c r="L2339" s="594"/>
      <c r="M2339" s="352">
        <v>8000</v>
      </c>
      <c r="N2339" s="352" t="s">
        <v>760</v>
      </c>
      <c r="O2339" s="460">
        <v>2224</v>
      </c>
      <c r="P2339" s="460" t="s">
        <v>787</v>
      </c>
      <c r="Q2339" s="460" t="s">
        <v>2280</v>
      </c>
      <c r="R2339" s="460">
        <v>2224</v>
      </c>
      <c r="S2339" s="460" t="s">
        <v>1136</v>
      </c>
      <c r="T2339" s="462">
        <v>1</v>
      </c>
      <c r="U2339" s="460" t="s">
        <v>1136</v>
      </c>
      <c r="V2339" s="475">
        <v>0</v>
      </c>
      <c r="W2339" s="463" t="s">
        <v>713</v>
      </c>
      <c r="X2339" s="463" t="s">
        <v>713</v>
      </c>
      <c r="Y2339" s="463" t="s">
        <v>713</v>
      </c>
      <c r="Z2339" s="463"/>
      <c r="AA2339" s="463"/>
      <c r="AB2339" s="464">
        <v>2300.2795482119845</v>
      </c>
      <c r="AC2339" s="465">
        <v>0.9980734560140776</v>
      </c>
      <c r="AD2339" s="465">
        <v>1.5159694264130431E-2</v>
      </c>
      <c r="AE2339" s="476">
        <v>2302.0556057567851</v>
      </c>
      <c r="AF2339" s="467">
        <v>0.99884407360844651</v>
      </c>
      <c r="AG2339" s="468">
        <v>1.5168585212937366E-2</v>
      </c>
      <c r="AH2339" s="218">
        <v>2302.0556057567851</v>
      </c>
      <c r="AI2339" s="470">
        <v>0.99884407360844651</v>
      </c>
      <c r="AJ2339" s="471">
        <v>1.5322746911198061E-2</v>
      </c>
      <c r="AK2339" s="218">
        <v>2302.0556057567851</v>
      </c>
      <c r="AL2339" s="470">
        <v>0.99884407360844651</v>
      </c>
      <c r="AM2339" s="471">
        <v>1.5322746911198061E-2</v>
      </c>
      <c r="AN2339" s="477">
        <v>2302.0556057567851</v>
      </c>
      <c r="AO2339" s="473">
        <v>0.99884407360844651</v>
      </c>
      <c r="AP2339" s="474">
        <v>1.5297814662254777E-2</v>
      </c>
      <c r="AQ2339" s="352"/>
      <c r="AR2339" s="352"/>
      <c r="AS2339" s="352"/>
      <c r="AT2339" s="352"/>
      <c r="AU2339" s="352"/>
      <c r="AV2339" s="352"/>
      <c r="AW2339" s="352" t="s">
        <v>254</v>
      </c>
    </row>
    <row r="2340" spans="2:49" x14ac:dyDescent="0.2">
      <c r="B2340" s="460" t="s">
        <v>3054</v>
      </c>
      <c r="C2340" s="460">
        <v>8000</v>
      </c>
      <c r="D2340" s="460" t="s">
        <v>2359</v>
      </c>
      <c r="E2340" s="460" t="s">
        <v>1137</v>
      </c>
      <c r="F2340" s="460">
        <v>2</v>
      </c>
      <c r="G2340" s="460">
        <v>4</v>
      </c>
      <c r="H2340" s="461" t="s">
        <v>712</v>
      </c>
      <c r="I2340" s="461" t="s">
        <v>713</v>
      </c>
      <c r="J2340" s="461" t="s">
        <v>712</v>
      </c>
      <c r="K2340" s="594"/>
      <c r="L2340" s="594"/>
      <c r="M2340" s="352">
        <v>8000</v>
      </c>
      <c r="N2340" s="352" t="s">
        <v>760</v>
      </c>
      <c r="O2340" s="460">
        <v>2224</v>
      </c>
      <c r="P2340" s="460" t="s">
        <v>787</v>
      </c>
      <c r="Q2340" s="460" t="s">
        <v>2280</v>
      </c>
      <c r="R2340" s="460">
        <v>2224</v>
      </c>
      <c r="S2340" s="460" t="s">
        <v>1137</v>
      </c>
      <c r="T2340" s="462">
        <v>1</v>
      </c>
      <c r="U2340" s="460" t="s">
        <v>1137</v>
      </c>
      <c r="V2340" s="475">
        <v>0</v>
      </c>
      <c r="W2340" s="463" t="s">
        <v>713</v>
      </c>
      <c r="X2340" s="463" t="s">
        <v>713</v>
      </c>
      <c r="Y2340" s="463" t="s">
        <v>713</v>
      </c>
      <c r="Z2340" s="463"/>
      <c r="AA2340" s="463"/>
      <c r="AB2340" s="464">
        <v>3277.2206299545501</v>
      </c>
      <c r="AC2340" s="465">
        <v>0.98318257396271214</v>
      </c>
      <c r="AD2340" s="465">
        <v>1.8952618980823361E-2</v>
      </c>
      <c r="AE2340" s="476">
        <v>3299.5984728750473</v>
      </c>
      <c r="AF2340" s="467">
        <v>0.98989603872038168</v>
      </c>
      <c r="AG2340" s="468">
        <v>1.9047019220270297E-2</v>
      </c>
      <c r="AH2340" s="218">
        <v>3299.5984728750473</v>
      </c>
      <c r="AI2340" s="470">
        <v>0.98989603872038168</v>
      </c>
      <c r="AJ2340" s="471">
        <v>1.9137401507217856E-2</v>
      </c>
      <c r="AK2340" s="218">
        <v>3299.5984728750473</v>
      </c>
      <c r="AL2340" s="470">
        <v>0.98989603872038168</v>
      </c>
      <c r="AM2340" s="471">
        <v>1.9137401507217856E-2</v>
      </c>
      <c r="AN2340" s="477">
        <v>3299.5984728750473</v>
      </c>
      <c r="AO2340" s="473">
        <v>0.98989603872038168</v>
      </c>
      <c r="AP2340" s="474">
        <v>1.912161040565662E-2</v>
      </c>
      <c r="AQ2340" s="352"/>
      <c r="AR2340" s="352"/>
      <c r="AS2340" s="352"/>
      <c r="AT2340" s="352"/>
      <c r="AU2340" s="352"/>
      <c r="AV2340" s="352"/>
      <c r="AW2340" s="352" t="s">
        <v>254</v>
      </c>
    </row>
    <row r="2341" spans="2:49" x14ac:dyDescent="0.2">
      <c r="B2341" s="460" t="s">
        <v>3055</v>
      </c>
      <c r="C2341" s="460">
        <v>8000</v>
      </c>
      <c r="D2341" s="460" t="s">
        <v>2360</v>
      </c>
      <c r="E2341" s="460" t="s">
        <v>1138</v>
      </c>
      <c r="F2341" s="460">
        <v>3</v>
      </c>
      <c r="G2341" s="460">
        <v>4</v>
      </c>
      <c r="H2341" s="461" t="s">
        <v>712</v>
      </c>
      <c r="I2341" s="461" t="s">
        <v>713</v>
      </c>
      <c r="J2341" s="461" t="s">
        <v>712</v>
      </c>
      <c r="K2341" s="594"/>
      <c r="L2341" s="594"/>
      <c r="M2341" s="352">
        <v>8000</v>
      </c>
      <c r="N2341" s="352" t="s">
        <v>760</v>
      </c>
      <c r="O2341" s="460">
        <v>2224</v>
      </c>
      <c r="P2341" s="460" t="s">
        <v>787</v>
      </c>
      <c r="Q2341" s="460" t="s">
        <v>2280</v>
      </c>
      <c r="R2341" s="460">
        <v>2224</v>
      </c>
      <c r="S2341" s="460" t="s">
        <v>1138</v>
      </c>
      <c r="T2341" s="462">
        <v>1</v>
      </c>
      <c r="U2341" s="460" t="s">
        <v>1138</v>
      </c>
      <c r="V2341" s="475">
        <v>0</v>
      </c>
      <c r="W2341" s="463" t="s">
        <v>713</v>
      </c>
      <c r="X2341" s="463" t="s">
        <v>713</v>
      </c>
      <c r="Y2341" s="463" t="s">
        <v>713</v>
      </c>
      <c r="Z2341" s="463"/>
      <c r="AA2341" s="463"/>
      <c r="AB2341" s="464">
        <v>1440.7171192065805</v>
      </c>
      <c r="AC2341" s="465">
        <v>0.97950842189838572</v>
      </c>
      <c r="AD2341" s="465">
        <v>1.7979496552652959E-2</v>
      </c>
      <c r="AE2341" s="476">
        <v>1452.7610629865696</v>
      </c>
      <c r="AF2341" s="467">
        <v>0.98769680545272764</v>
      </c>
      <c r="AG2341" s="468">
        <v>1.8090466084421809E-2</v>
      </c>
      <c r="AH2341" s="218">
        <v>1452.7610629865696</v>
      </c>
      <c r="AI2341" s="470">
        <v>0.98769680545272764</v>
      </c>
      <c r="AJ2341" s="471">
        <v>1.8302583542507113E-2</v>
      </c>
      <c r="AK2341" s="218">
        <v>1452.7610629865696</v>
      </c>
      <c r="AL2341" s="470">
        <v>0.98769680545272764</v>
      </c>
      <c r="AM2341" s="471">
        <v>1.8302583542507113E-2</v>
      </c>
      <c r="AN2341" s="477">
        <v>1452.7610629865696</v>
      </c>
      <c r="AO2341" s="473">
        <v>0.98769680545272764</v>
      </c>
      <c r="AP2341" s="474">
        <v>1.8301204185022391E-2</v>
      </c>
      <c r="AQ2341" s="352"/>
      <c r="AR2341" s="352"/>
      <c r="AS2341" s="352"/>
      <c r="AT2341" s="352"/>
      <c r="AU2341" s="352"/>
      <c r="AV2341" s="352"/>
      <c r="AW2341" s="352" t="s">
        <v>254</v>
      </c>
    </row>
    <row r="2342" spans="2:49" x14ac:dyDescent="0.2">
      <c r="B2342" s="460" t="s">
        <v>3056</v>
      </c>
      <c r="C2342" s="460">
        <v>8000</v>
      </c>
      <c r="D2342" s="460" t="s">
        <v>2361</v>
      </c>
      <c r="E2342" s="460" t="s">
        <v>1139</v>
      </c>
      <c r="F2342" s="460">
        <v>4</v>
      </c>
      <c r="G2342" s="460">
        <v>4</v>
      </c>
      <c r="H2342" s="461" t="s">
        <v>712</v>
      </c>
      <c r="I2342" s="461" t="s">
        <v>713</v>
      </c>
      <c r="J2342" s="461" t="s">
        <v>712</v>
      </c>
      <c r="K2342" s="594"/>
      <c r="L2342" s="594"/>
      <c r="M2342" s="352">
        <v>8000</v>
      </c>
      <c r="N2342" s="352" t="s">
        <v>760</v>
      </c>
      <c r="O2342" s="460">
        <v>2224</v>
      </c>
      <c r="P2342" s="460" t="s">
        <v>787</v>
      </c>
      <c r="Q2342" s="460" t="s">
        <v>2280</v>
      </c>
      <c r="R2342" s="460">
        <v>2224</v>
      </c>
      <c r="S2342" s="460" t="s">
        <v>1139</v>
      </c>
      <c r="T2342" s="462">
        <v>1</v>
      </c>
      <c r="U2342" s="460" t="s">
        <v>1139</v>
      </c>
      <c r="V2342" s="475">
        <v>0</v>
      </c>
      <c r="W2342" s="463" t="s">
        <v>713</v>
      </c>
      <c r="X2342" s="463" t="s">
        <v>713</v>
      </c>
      <c r="Y2342" s="463" t="s">
        <v>713</v>
      </c>
      <c r="Z2342" s="463"/>
      <c r="AA2342" s="463"/>
      <c r="AB2342" s="464">
        <v>1649.9203712010844</v>
      </c>
      <c r="AC2342" s="465">
        <v>0.99915026767666848</v>
      </c>
      <c r="AD2342" s="465">
        <v>1.8268306629671542E-2</v>
      </c>
      <c r="AE2342" s="476">
        <v>1649.9203712010844</v>
      </c>
      <c r="AF2342" s="467">
        <v>0.99915026767666848</v>
      </c>
      <c r="AG2342" s="468">
        <v>1.8268306629671542E-2</v>
      </c>
      <c r="AH2342" s="218">
        <v>1649.9203712010844</v>
      </c>
      <c r="AI2342" s="470">
        <v>0.99915026767666848</v>
      </c>
      <c r="AJ2342" s="471">
        <v>1.8661218760685602E-2</v>
      </c>
      <c r="AK2342" s="218">
        <v>1649.9203712010844</v>
      </c>
      <c r="AL2342" s="470">
        <v>0.99915026767666848</v>
      </c>
      <c r="AM2342" s="471">
        <v>1.8661218760685602E-2</v>
      </c>
      <c r="AN2342" s="477">
        <v>1649.9203712010844</v>
      </c>
      <c r="AO2342" s="473">
        <v>0.99915026767666848</v>
      </c>
      <c r="AP2342" s="474">
        <v>1.8661218760685602E-2</v>
      </c>
      <c r="AQ2342" s="352"/>
      <c r="AR2342" s="352"/>
      <c r="AS2342" s="352"/>
      <c r="AT2342" s="352"/>
      <c r="AU2342" s="352"/>
      <c r="AV2342" s="352"/>
      <c r="AW2342" s="352" t="s">
        <v>254</v>
      </c>
    </row>
    <row r="2343" spans="2:49" x14ac:dyDescent="0.2">
      <c r="B2343" s="460" t="s">
        <v>3053</v>
      </c>
      <c r="C2343" s="460">
        <v>8000</v>
      </c>
      <c r="D2343" s="460" t="s">
        <v>2362</v>
      </c>
      <c r="E2343" s="460" t="s">
        <v>1136</v>
      </c>
      <c r="F2343" s="460">
        <v>1</v>
      </c>
      <c r="G2343" s="460">
        <v>4</v>
      </c>
      <c r="H2343" s="461" t="s">
        <v>746</v>
      </c>
      <c r="I2343" s="461" t="s">
        <v>762</v>
      </c>
      <c r="J2343" s="461" t="s">
        <v>700</v>
      </c>
      <c r="K2343" s="594"/>
      <c r="L2343" s="594"/>
      <c r="M2343" s="352">
        <v>8000</v>
      </c>
      <c r="N2343" s="352" t="s">
        <v>760</v>
      </c>
      <c r="O2343" s="460">
        <v>2224</v>
      </c>
      <c r="P2343" s="460" t="s">
        <v>787</v>
      </c>
      <c r="Q2343" s="460" t="s">
        <v>2553</v>
      </c>
      <c r="R2343" s="460">
        <v>2224</v>
      </c>
      <c r="S2343" s="460" t="s">
        <v>1136</v>
      </c>
      <c r="T2343" s="462">
        <v>1</v>
      </c>
      <c r="U2343" s="460" t="s">
        <v>1136</v>
      </c>
      <c r="V2343" s="475">
        <v>0</v>
      </c>
      <c r="W2343" s="463" t="s">
        <v>2268</v>
      </c>
      <c r="X2343" s="463" t="s">
        <v>2268</v>
      </c>
      <c r="Y2343" s="463" t="s">
        <v>2554</v>
      </c>
      <c r="Z2343" s="463"/>
      <c r="AA2343" s="463"/>
      <c r="AB2343" s="464">
        <v>0</v>
      </c>
      <c r="AC2343" s="465">
        <v>0</v>
      </c>
      <c r="AD2343" s="465">
        <v>0</v>
      </c>
      <c r="AE2343" s="476">
        <v>0</v>
      </c>
      <c r="AF2343" s="467">
        <v>0</v>
      </c>
      <c r="AG2343" s="468">
        <v>0</v>
      </c>
      <c r="AH2343" s="218">
        <v>0</v>
      </c>
      <c r="AI2343" s="470">
        <v>0</v>
      </c>
      <c r="AJ2343" s="471">
        <v>0</v>
      </c>
      <c r="AK2343" s="218">
        <v>0</v>
      </c>
      <c r="AL2343" s="470">
        <v>0</v>
      </c>
      <c r="AM2343" s="471">
        <v>0</v>
      </c>
      <c r="AN2343" s="477">
        <v>0.88802877240044276</v>
      </c>
      <c r="AO2343" s="473">
        <v>3.8530879718449296E-4</v>
      </c>
      <c r="AP2343" s="474">
        <v>4.0054458987573748E-3</v>
      </c>
      <c r="AQ2343" s="352"/>
      <c r="AR2343" s="352"/>
      <c r="AS2343" s="352"/>
      <c r="AT2343" s="352"/>
      <c r="AU2343" s="352"/>
      <c r="AV2343" s="352"/>
      <c r="AW2343" s="352" t="s">
        <v>254</v>
      </c>
    </row>
    <row r="2344" spans="2:49" x14ac:dyDescent="0.2">
      <c r="B2344" s="460" t="s">
        <v>3054</v>
      </c>
      <c r="C2344" s="460">
        <v>8000</v>
      </c>
      <c r="D2344" s="460" t="s">
        <v>2363</v>
      </c>
      <c r="E2344" s="460" t="s">
        <v>1137</v>
      </c>
      <c r="F2344" s="460">
        <v>2</v>
      </c>
      <c r="G2344" s="460">
        <v>4</v>
      </c>
      <c r="H2344" s="461" t="s">
        <v>746</v>
      </c>
      <c r="I2344" s="461" t="s">
        <v>762</v>
      </c>
      <c r="J2344" s="461" t="s">
        <v>700</v>
      </c>
      <c r="K2344" s="594"/>
      <c r="L2344" s="594"/>
      <c r="M2344" s="352">
        <v>8000</v>
      </c>
      <c r="N2344" s="352" t="s">
        <v>760</v>
      </c>
      <c r="O2344" s="460">
        <v>2224</v>
      </c>
      <c r="P2344" s="460" t="s">
        <v>787</v>
      </c>
      <c r="Q2344" s="460" t="s">
        <v>2553</v>
      </c>
      <c r="R2344" s="460">
        <v>2224</v>
      </c>
      <c r="S2344" s="460" t="s">
        <v>1137</v>
      </c>
      <c r="T2344" s="462">
        <v>1</v>
      </c>
      <c r="U2344" s="460" t="s">
        <v>1137</v>
      </c>
      <c r="V2344" s="475">
        <v>0</v>
      </c>
      <c r="W2344" s="463" t="s">
        <v>2268</v>
      </c>
      <c r="X2344" s="463" t="s">
        <v>2268</v>
      </c>
      <c r="Y2344" s="463" t="s">
        <v>2554</v>
      </c>
      <c r="Z2344" s="463"/>
      <c r="AA2344" s="463"/>
      <c r="AB2344" s="464">
        <v>0</v>
      </c>
      <c r="AC2344" s="465">
        <v>0</v>
      </c>
      <c r="AD2344" s="465">
        <v>0</v>
      </c>
      <c r="AE2344" s="476">
        <v>0</v>
      </c>
      <c r="AF2344" s="467">
        <v>0</v>
      </c>
      <c r="AG2344" s="468">
        <v>0</v>
      </c>
      <c r="AH2344" s="218">
        <v>0</v>
      </c>
      <c r="AI2344" s="470">
        <v>0</v>
      </c>
      <c r="AJ2344" s="471">
        <v>0</v>
      </c>
      <c r="AK2344" s="218">
        <v>0</v>
      </c>
      <c r="AL2344" s="470">
        <v>0</v>
      </c>
      <c r="AM2344" s="471">
        <v>0</v>
      </c>
      <c r="AN2344" s="477">
        <v>11.188921460248416</v>
      </c>
      <c r="AO2344" s="473">
        <v>3.3567323788347529E-3</v>
      </c>
      <c r="AP2344" s="474">
        <v>3.0575246695969576E-3</v>
      </c>
      <c r="AQ2344" s="352"/>
      <c r="AR2344" s="352"/>
      <c r="AS2344" s="352"/>
      <c r="AT2344" s="352"/>
      <c r="AU2344" s="352"/>
      <c r="AV2344" s="352"/>
      <c r="AW2344" s="352" t="s">
        <v>254</v>
      </c>
    </row>
    <row r="2345" spans="2:49" x14ac:dyDescent="0.2">
      <c r="B2345" s="460" t="s">
        <v>3055</v>
      </c>
      <c r="C2345" s="460">
        <v>8000</v>
      </c>
      <c r="D2345" s="460" t="s">
        <v>2364</v>
      </c>
      <c r="E2345" s="460" t="s">
        <v>1138</v>
      </c>
      <c r="F2345" s="460">
        <v>3</v>
      </c>
      <c r="G2345" s="460">
        <v>4</v>
      </c>
      <c r="H2345" s="461" t="s">
        <v>746</v>
      </c>
      <c r="I2345" s="461" t="s">
        <v>762</v>
      </c>
      <c r="J2345" s="461" t="s">
        <v>700</v>
      </c>
      <c r="K2345" s="594"/>
      <c r="L2345" s="594"/>
      <c r="M2345" s="352">
        <v>8000</v>
      </c>
      <c r="N2345" s="352" t="s">
        <v>760</v>
      </c>
      <c r="O2345" s="460">
        <v>2224</v>
      </c>
      <c r="P2345" s="460" t="s">
        <v>787</v>
      </c>
      <c r="Q2345" s="460" t="s">
        <v>2553</v>
      </c>
      <c r="R2345" s="460">
        <v>2224</v>
      </c>
      <c r="S2345" s="460" t="s">
        <v>1138</v>
      </c>
      <c r="T2345" s="462">
        <v>1</v>
      </c>
      <c r="U2345" s="460" t="s">
        <v>1138</v>
      </c>
      <c r="V2345" s="475">
        <v>0</v>
      </c>
      <c r="W2345" s="463" t="s">
        <v>2268</v>
      </c>
      <c r="X2345" s="463" t="s">
        <v>2268</v>
      </c>
      <c r="Y2345" s="463" t="s">
        <v>2554</v>
      </c>
      <c r="Z2345" s="463"/>
      <c r="AA2345" s="463"/>
      <c r="AB2345" s="464">
        <v>0</v>
      </c>
      <c r="AC2345" s="465">
        <v>0</v>
      </c>
      <c r="AD2345" s="465">
        <v>0</v>
      </c>
      <c r="AE2345" s="476">
        <v>0</v>
      </c>
      <c r="AF2345" s="467">
        <v>0</v>
      </c>
      <c r="AG2345" s="468">
        <v>0</v>
      </c>
      <c r="AH2345" s="218">
        <v>0</v>
      </c>
      <c r="AI2345" s="470">
        <v>0</v>
      </c>
      <c r="AJ2345" s="471">
        <v>0</v>
      </c>
      <c r="AK2345" s="218">
        <v>0</v>
      </c>
      <c r="AL2345" s="470">
        <v>0</v>
      </c>
      <c r="AM2345" s="471">
        <v>0</v>
      </c>
      <c r="AN2345" s="477">
        <v>6.0219718899945764</v>
      </c>
      <c r="AO2345" s="473">
        <v>4.0941917771709678E-3</v>
      </c>
      <c r="AP2345" s="474">
        <v>3.1168461704940212E-3</v>
      </c>
      <c r="AQ2345" s="352"/>
      <c r="AR2345" s="352"/>
      <c r="AS2345" s="352"/>
      <c r="AT2345" s="352"/>
      <c r="AU2345" s="352"/>
      <c r="AV2345" s="352"/>
      <c r="AW2345" s="352" t="s">
        <v>254</v>
      </c>
    </row>
    <row r="2346" spans="2:49" x14ac:dyDescent="0.2">
      <c r="B2346" s="460" t="s">
        <v>3056</v>
      </c>
      <c r="C2346" s="460">
        <v>8000</v>
      </c>
      <c r="D2346" s="460" t="s">
        <v>2365</v>
      </c>
      <c r="E2346" s="460" t="s">
        <v>1139</v>
      </c>
      <c r="F2346" s="460">
        <v>4</v>
      </c>
      <c r="G2346" s="460">
        <v>4</v>
      </c>
      <c r="H2346" s="461" t="s">
        <v>746</v>
      </c>
      <c r="I2346" s="461" t="s">
        <v>762</v>
      </c>
      <c r="J2346" s="461" t="s">
        <v>700</v>
      </c>
      <c r="K2346" s="594"/>
      <c r="L2346" s="594"/>
      <c r="M2346" s="352">
        <v>8000</v>
      </c>
      <c r="N2346" s="352" t="s">
        <v>760</v>
      </c>
      <c r="O2346" s="460">
        <v>2224</v>
      </c>
      <c r="P2346" s="460" t="s">
        <v>787</v>
      </c>
      <c r="Q2346" s="460" t="s">
        <v>2553</v>
      </c>
      <c r="R2346" s="460">
        <v>2224</v>
      </c>
      <c r="S2346" s="460" t="s">
        <v>1139</v>
      </c>
      <c r="T2346" s="462">
        <v>1</v>
      </c>
      <c r="U2346" s="460" t="s">
        <v>1139</v>
      </c>
      <c r="V2346" s="475">
        <v>0</v>
      </c>
      <c r="W2346" s="463" t="s">
        <v>2268</v>
      </c>
      <c r="X2346" s="463" t="s">
        <v>2268</v>
      </c>
      <c r="Y2346" s="463" t="s">
        <v>2554</v>
      </c>
      <c r="Z2346" s="463"/>
      <c r="AA2346" s="463"/>
      <c r="AB2346" s="464">
        <v>0</v>
      </c>
      <c r="AC2346" s="465">
        <v>0</v>
      </c>
      <c r="AD2346" s="465">
        <v>0</v>
      </c>
      <c r="AE2346" s="476">
        <v>0</v>
      </c>
      <c r="AF2346" s="467">
        <v>0</v>
      </c>
      <c r="AG2346" s="468">
        <v>0</v>
      </c>
      <c r="AH2346" s="218">
        <v>0</v>
      </c>
      <c r="AI2346" s="470">
        <v>0</v>
      </c>
      <c r="AJ2346" s="471">
        <v>0</v>
      </c>
      <c r="AK2346" s="218">
        <v>0</v>
      </c>
      <c r="AL2346" s="470">
        <v>0</v>
      </c>
      <c r="AM2346" s="471">
        <v>0</v>
      </c>
      <c r="AN2346" s="477">
        <v>0</v>
      </c>
      <c r="AO2346" s="473">
        <v>0</v>
      </c>
      <c r="AP2346" s="474">
        <v>0</v>
      </c>
      <c r="AQ2346" s="352"/>
      <c r="AR2346" s="352"/>
      <c r="AS2346" s="352"/>
      <c r="AT2346" s="352"/>
      <c r="AU2346" s="352"/>
      <c r="AV2346" s="352"/>
      <c r="AW2346" s="352" t="s">
        <v>254</v>
      </c>
    </row>
    <row r="2347" spans="2:49" x14ac:dyDescent="0.2">
      <c r="B2347" s="460" t="s">
        <v>3053</v>
      </c>
      <c r="C2347" s="460">
        <v>8000</v>
      </c>
      <c r="D2347" s="460" t="s">
        <v>2366</v>
      </c>
      <c r="E2347" s="460" t="s">
        <v>1136</v>
      </c>
      <c r="F2347" s="460">
        <v>1</v>
      </c>
      <c r="G2347" s="460">
        <v>4</v>
      </c>
      <c r="H2347" s="461" t="s">
        <v>748</v>
      </c>
      <c r="I2347" s="461" t="s">
        <v>765</v>
      </c>
      <c r="J2347" s="461" t="s">
        <v>700</v>
      </c>
      <c r="K2347" s="594"/>
      <c r="L2347" s="594"/>
      <c r="M2347" s="352">
        <v>8000</v>
      </c>
      <c r="N2347" s="352" t="s">
        <v>760</v>
      </c>
      <c r="O2347" s="460">
        <v>2224</v>
      </c>
      <c r="P2347" s="460" t="s">
        <v>787</v>
      </c>
      <c r="Q2347" s="460" t="s">
        <v>2553</v>
      </c>
      <c r="R2347" s="460">
        <v>2224</v>
      </c>
      <c r="S2347" s="460" t="s">
        <v>1136</v>
      </c>
      <c r="T2347" s="462">
        <v>1</v>
      </c>
      <c r="U2347" s="460" t="s">
        <v>1136</v>
      </c>
      <c r="V2347" s="475">
        <v>0</v>
      </c>
      <c r="W2347" s="463" t="s">
        <v>2268</v>
      </c>
      <c r="X2347" s="463" t="s">
        <v>2268</v>
      </c>
      <c r="Y2347" s="463" t="s">
        <v>2554</v>
      </c>
      <c r="Z2347" s="463"/>
      <c r="AA2347" s="463"/>
      <c r="AB2347" s="464">
        <v>0</v>
      </c>
      <c r="AC2347" s="465">
        <v>0</v>
      </c>
      <c r="AD2347" s="465">
        <v>0</v>
      </c>
      <c r="AE2347" s="476">
        <v>0</v>
      </c>
      <c r="AF2347" s="467">
        <v>0</v>
      </c>
      <c r="AG2347" s="468">
        <v>0</v>
      </c>
      <c r="AH2347" s="218">
        <v>0</v>
      </c>
      <c r="AI2347" s="470">
        <v>0</v>
      </c>
      <c r="AJ2347" s="471">
        <v>0</v>
      </c>
      <c r="AK2347" s="218">
        <v>0</v>
      </c>
      <c r="AL2347" s="470">
        <v>0</v>
      </c>
      <c r="AM2347" s="471">
        <v>0</v>
      </c>
      <c r="AN2347" s="477">
        <v>1.776057544800886</v>
      </c>
      <c r="AO2347" s="473">
        <v>7.7061759436898613E-4</v>
      </c>
      <c r="AP2347" s="474">
        <v>2.182148933208498E-3</v>
      </c>
      <c r="AQ2347" s="352"/>
      <c r="AR2347" s="352"/>
      <c r="AS2347" s="352"/>
      <c r="AT2347" s="352"/>
      <c r="AU2347" s="352"/>
      <c r="AV2347" s="352"/>
      <c r="AW2347" s="352" t="s">
        <v>254</v>
      </c>
    </row>
    <row r="2348" spans="2:49" x14ac:dyDescent="0.2">
      <c r="B2348" s="460" t="s">
        <v>3054</v>
      </c>
      <c r="C2348" s="460">
        <v>8000</v>
      </c>
      <c r="D2348" s="460" t="s">
        <v>2367</v>
      </c>
      <c r="E2348" s="460" t="s">
        <v>1137</v>
      </c>
      <c r="F2348" s="460">
        <v>2</v>
      </c>
      <c r="G2348" s="460">
        <v>4</v>
      </c>
      <c r="H2348" s="461" t="s">
        <v>748</v>
      </c>
      <c r="I2348" s="461" t="s">
        <v>765</v>
      </c>
      <c r="J2348" s="461" t="s">
        <v>700</v>
      </c>
      <c r="K2348" s="594"/>
      <c r="L2348" s="594"/>
      <c r="M2348" s="352">
        <v>8000</v>
      </c>
      <c r="N2348" s="352" t="s">
        <v>760</v>
      </c>
      <c r="O2348" s="460">
        <v>2224</v>
      </c>
      <c r="P2348" s="460" t="s">
        <v>787</v>
      </c>
      <c r="Q2348" s="460" t="s">
        <v>2553</v>
      </c>
      <c r="R2348" s="460">
        <v>2224</v>
      </c>
      <c r="S2348" s="460" t="s">
        <v>1137</v>
      </c>
      <c r="T2348" s="462">
        <v>1</v>
      </c>
      <c r="U2348" s="460" t="s">
        <v>1137</v>
      </c>
      <c r="V2348" s="475">
        <v>0</v>
      </c>
      <c r="W2348" s="463" t="s">
        <v>2268</v>
      </c>
      <c r="X2348" s="463" t="s">
        <v>2268</v>
      </c>
      <c r="Y2348" s="463" t="s">
        <v>2554</v>
      </c>
      <c r="Z2348" s="463"/>
      <c r="AA2348" s="463"/>
      <c r="AB2348" s="464">
        <v>0</v>
      </c>
      <c r="AC2348" s="465">
        <v>0</v>
      </c>
      <c r="AD2348" s="465">
        <v>0</v>
      </c>
      <c r="AE2348" s="476">
        <v>0</v>
      </c>
      <c r="AF2348" s="467">
        <v>0</v>
      </c>
      <c r="AG2348" s="468">
        <v>0</v>
      </c>
      <c r="AH2348" s="218">
        <v>0</v>
      </c>
      <c r="AI2348" s="470">
        <v>0</v>
      </c>
      <c r="AJ2348" s="471">
        <v>0</v>
      </c>
      <c r="AK2348" s="218">
        <v>0</v>
      </c>
      <c r="AL2348" s="470">
        <v>0</v>
      </c>
      <c r="AM2348" s="471">
        <v>0</v>
      </c>
      <c r="AN2348" s="477">
        <v>22.377842920496835</v>
      </c>
      <c r="AO2348" s="473">
        <v>6.7134647576695076E-3</v>
      </c>
      <c r="AP2348" s="474">
        <v>2.1554586382047235E-2</v>
      </c>
      <c r="AQ2348" s="352"/>
      <c r="AR2348" s="352"/>
      <c r="AS2348" s="352"/>
      <c r="AT2348" s="352"/>
      <c r="AU2348" s="352"/>
      <c r="AV2348" s="352"/>
      <c r="AW2348" s="352" t="s">
        <v>254</v>
      </c>
    </row>
    <row r="2349" spans="2:49" x14ac:dyDescent="0.2">
      <c r="B2349" s="460" t="s">
        <v>3055</v>
      </c>
      <c r="C2349" s="460">
        <v>8000</v>
      </c>
      <c r="D2349" s="460" t="s">
        <v>2368</v>
      </c>
      <c r="E2349" s="460" t="s">
        <v>1138</v>
      </c>
      <c r="F2349" s="460">
        <v>3</v>
      </c>
      <c r="G2349" s="460">
        <v>4</v>
      </c>
      <c r="H2349" s="461" t="s">
        <v>748</v>
      </c>
      <c r="I2349" s="461" t="s">
        <v>765</v>
      </c>
      <c r="J2349" s="461" t="s">
        <v>700</v>
      </c>
      <c r="K2349" s="594"/>
      <c r="L2349" s="594"/>
      <c r="M2349" s="352">
        <v>8000</v>
      </c>
      <c r="N2349" s="352" t="s">
        <v>760</v>
      </c>
      <c r="O2349" s="460">
        <v>2224</v>
      </c>
      <c r="P2349" s="460" t="s">
        <v>787</v>
      </c>
      <c r="Q2349" s="460" t="s">
        <v>2553</v>
      </c>
      <c r="R2349" s="460">
        <v>2224</v>
      </c>
      <c r="S2349" s="460" t="s">
        <v>1138</v>
      </c>
      <c r="T2349" s="462">
        <v>1</v>
      </c>
      <c r="U2349" s="460" t="s">
        <v>1138</v>
      </c>
      <c r="V2349" s="475">
        <v>0</v>
      </c>
      <c r="W2349" s="463" t="s">
        <v>2268</v>
      </c>
      <c r="X2349" s="463" t="s">
        <v>2268</v>
      </c>
      <c r="Y2349" s="463" t="s">
        <v>2554</v>
      </c>
      <c r="Z2349" s="463"/>
      <c r="AA2349" s="463"/>
      <c r="AB2349" s="464">
        <v>0</v>
      </c>
      <c r="AC2349" s="465">
        <v>0</v>
      </c>
      <c r="AD2349" s="465">
        <v>0</v>
      </c>
      <c r="AE2349" s="476">
        <v>0</v>
      </c>
      <c r="AF2349" s="467">
        <v>0</v>
      </c>
      <c r="AG2349" s="468">
        <v>0</v>
      </c>
      <c r="AH2349" s="218">
        <v>0</v>
      </c>
      <c r="AI2349" s="470">
        <v>0</v>
      </c>
      <c r="AJ2349" s="471">
        <v>0</v>
      </c>
      <c r="AK2349" s="218">
        <v>0</v>
      </c>
      <c r="AL2349" s="470">
        <v>0</v>
      </c>
      <c r="AM2349" s="471">
        <v>0</v>
      </c>
      <c r="AN2349" s="477">
        <v>12.043943779989155</v>
      </c>
      <c r="AO2349" s="473">
        <v>8.1883835543419374E-3</v>
      </c>
      <c r="AP2349" s="474">
        <v>1.2496199838552441E-2</v>
      </c>
      <c r="AQ2349" s="352"/>
      <c r="AR2349" s="352"/>
      <c r="AS2349" s="352"/>
      <c r="AT2349" s="352"/>
      <c r="AU2349" s="352"/>
      <c r="AV2349" s="352"/>
      <c r="AW2349" s="352" t="s">
        <v>254</v>
      </c>
    </row>
    <row r="2350" spans="2:49" x14ac:dyDescent="0.2">
      <c r="B2350" s="460" t="s">
        <v>3056</v>
      </c>
      <c r="C2350" s="460">
        <v>8000</v>
      </c>
      <c r="D2350" s="460" t="s">
        <v>2369</v>
      </c>
      <c r="E2350" s="460" t="s">
        <v>1139</v>
      </c>
      <c r="F2350" s="460">
        <v>4</v>
      </c>
      <c r="G2350" s="460">
        <v>4</v>
      </c>
      <c r="H2350" s="461" t="s">
        <v>748</v>
      </c>
      <c r="I2350" s="461" t="s">
        <v>765</v>
      </c>
      <c r="J2350" s="461" t="s">
        <v>700</v>
      </c>
      <c r="K2350" s="594"/>
      <c r="L2350" s="594"/>
      <c r="M2350" s="352">
        <v>8000</v>
      </c>
      <c r="N2350" s="352" t="s">
        <v>760</v>
      </c>
      <c r="O2350" s="460">
        <v>2224</v>
      </c>
      <c r="P2350" s="460" t="s">
        <v>787</v>
      </c>
      <c r="Q2350" s="460" t="s">
        <v>2553</v>
      </c>
      <c r="R2350" s="460">
        <v>2224</v>
      </c>
      <c r="S2350" s="460" t="s">
        <v>1139</v>
      </c>
      <c r="T2350" s="462">
        <v>1</v>
      </c>
      <c r="U2350" s="460" t="s">
        <v>1139</v>
      </c>
      <c r="V2350" s="475">
        <v>0</v>
      </c>
      <c r="W2350" s="463" t="s">
        <v>2268</v>
      </c>
      <c r="X2350" s="463" t="s">
        <v>2268</v>
      </c>
      <c r="Y2350" s="463" t="s">
        <v>2554</v>
      </c>
      <c r="Z2350" s="463"/>
      <c r="AA2350" s="463"/>
      <c r="AB2350" s="464">
        <v>0</v>
      </c>
      <c r="AC2350" s="465">
        <v>0</v>
      </c>
      <c r="AD2350" s="465">
        <v>0</v>
      </c>
      <c r="AE2350" s="476">
        <v>0</v>
      </c>
      <c r="AF2350" s="467">
        <v>0</v>
      </c>
      <c r="AG2350" s="468">
        <v>0</v>
      </c>
      <c r="AH2350" s="218">
        <v>0</v>
      </c>
      <c r="AI2350" s="470">
        <v>0</v>
      </c>
      <c r="AJ2350" s="471">
        <v>0</v>
      </c>
      <c r="AK2350" s="218">
        <v>0</v>
      </c>
      <c r="AL2350" s="470">
        <v>0</v>
      </c>
      <c r="AM2350" s="471">
        <v>0</v>
      </c>
      <c r="AN2350" s="477">
        <v>0</v>
      </c>
      <c r="AO2350" s="473">
        <v>0</v>
      </c>
      <c r="AP2350" s="474">
        <v>0</v>
      </c>
      <c r="AQ2350" s="352"/>
      <c r="AR2350" s="352"/>
      <c r="AS2350" s="352"/>
      <c r="AT2350" s="352"/>
      <c r="AU2350" s="352"/>
      <c r="AV2350" s="352"/>
      <c r="AW2350" s="352" t="s">
        <v>254</v>
      </c>
    </row>
    <row r="2351" spans="2:49" x14ac:dyDescent="0.2">
      <c r="B2351" s="460" t="s">
        <v>3053</v>
      </c>
      <c r="C2351" s="460">
        <v>8000</v>
      </c>
      <c r="D2351" s="460" t="s">
        <v>2370</v>
      </c>
      <c r="E2351" s="460" t="s">
        <v>1136</v>
      </c>
      <c r="F2351" s="460">
        <v>1</v>
      </c>
      <c r="G2351" s="460">
        <v>4</v>
      </c>
      <c r="H2351" s="461" t="s">
        <v>752</v>
      </c>
      <c r="I2351" s="461" t="s">
        <v>964</v>
      </c>
      <c r="J2351" s="461" t="s">
        <v>752</v>
      </c>
      <c r="K2351" s="594"/>
      <c r="L2351" s="594"/>
      <c r="M2351" s="352">
        <v>8000</v>
      </c>
      <c r="N2351" s="352" t="s">
        <v>760</v>
      </c>
      <c r="O2351" s="460">
        <v>2224</v>
      </c>
      <c r="P2351" s="460" t="s">
        <v>787</v>
      </c>
      <c r="Q2351" s="460" t="s">
        <v>2553</v>
      </c>
      <c r="R2351" s="460">
        <v>2224</v>
      </c>
      <c r="S2351" s="460" t="s">
        <v>1136</v>
      </c>
      <c r="T2351" s="462">
        <v>1</v>
      </c>
      <c r="U2351" s="460" t="s">
        <v>1136</v>
      </c>
      <c r="V2351" s="475">
        <v>0</v>
      </c>
      <c r="W2351" s="463" t="s">
        <v>2278</v>
      </c>
      <c r="X2351" s="463" t="s">
        <v>2278</v>
      </c>
      <c r="Y2351" s="463" t="s">
        <v>2278</v>
      </c>
      <c r="Z2351" s="463"/>
      <c r="AA2351" s="463"/>
      <c r="AB2351" s="464">
        <v>0</v>
      </c>
      <c r="AC2351" s="465">
        <v>0</v>
      </c>
      <c r="AD2351" s="465">
        <v>0</v>
      </c>
      <c r="AE2351" s="476">
        <v>0</v>
      </c>
      <c r="AF2351" s="467">
        <v>0</v>
      </c>
      <c r="AG2351" s="468">
        <v>0</v>
      </c>
      <c r="AH2351" s="218">
        <v>0</v>
      </c>
      <c r="AI2351" s="470">
        <v>0</v>
      </c>
      <c r="AJ2351" s="471">
        <v>0</v>
      </c>
      <c r="AK2351" s="218">
        <v>0</v>
      </c>
      <c r="AL2351" s="470">
        <v>0</v>
      </c>
      <c r="AM2351" s="471">
        <v>0</v>
      </c>
      <c r="AN2351" s="477">
        <v>0</v>
      </c>
      <c r="AO2351" s="473">
        <v>0</v>
      </c>
      <c r="AP2351" s="474">
        <v>0</v>
      </c>
      <c r="AQ2351" s="352"/>
      <c r="AR2351" s="352"/>
      <c r="AS2351" s="352"/>
      <c r="AT2351" s="352"/>
      <c r="AU2351" s="352"/>
      <c r="AV2351" s="352"/>
      <c r="AW2351" s="352" t="s">
        <v>254</v>
      </c>
    </row>
    <row r="2352" spans="2:49" x14ac:dyDescent="0.2">
      <c r="B2352" s="460" t="s">
        <v>3054</v>
      </c>
      <c r="C2352" s="460">
        <v>8000</v>
      </c>
      <c r="D2352" s="460" t="s">
        <v>2371</v>
      </c>
      <c r="E2352" s="460" t="s">
        <v>1137</v>
      </c>
      <c r="F2352" s="460">
        <v>2</v>
      </c>
      <c r="G2352" s="460">
        <v>4</v>
      </c>
      <c r="H2352" s="461" t="s">
        <v>752</v>
      </c>
      <c r="I2352" s="461" t="s">
        <v>964</v>
      </c>
      <c r="J2352" s="461" t="s">
        <v>752</v>
      </c>
      <c r="K2352" s="594"/>
      <c r="L2352" s="594"/>
      <c r="M2352" s="352">
        <v>8000</v>
      </c>
      <c r="N2352" s="352" t="s">
        <v>760</v>
      </c>
      <c r="O2352" s="460">
        <v>2224</v>
      </c>
      <c r="P2352" s="460" t="s">
        <v>787</v>
      </c>
      <c r="Q2352" s="460" t="s">
        <v>2553</v>
      </c>
      <c r="R2352" s="460">
        <v>2224</v>
      </c>
      <c r="S2352" s="460" t="s">
        <v>1137</v>
      </c>
      <c r="T2352" s="462">
        <v>1</v>
      </c>
      <c r="U2352" s="460" t="s">
        <v>1137</v>
      </c>
      <c r="V2352" s="475">
        <v>0</v>
      </c>
      <c r="W2352" s="463" t="s">
        <v>2278</v>
      </c>
      <c r="X2352" s="463" t="s">
        <v>2278</v>
      </c>
      <c r="Y2352" s="463" t="s">
        <v>2278</v>
      </c>
      <c r="Z2352" s="463"/>
      <c r="AA2352" s="463"/>
      <c r="AB2352" s="464">
        <v>0.11254526808819243</v>
      </c>
      <c r="AC2352" s="465">
        <v>3.3764143114101872E-5</v>
      </c>
      <c r="AD2352" s="465">
        <v>1.1012435219250561E-5</v>
      </c>
      <c r="AE2352" s="476">
        <v>0.11254526808819243</v>
      </c>
      <c r="AF2352" s="467">
        <v>3.3764143114101872E-5</v>
      </c>
      <c r="AG2352" s="468">
        <v>1.1012435219250561E-5</v>
      </c>
      <c r="AH2352" s="218">
        <v>0.11254526808819243</v>
      </c>
      <c r="AI2352" s="470">
        <v>3.3764143114101872E-5</v>
      </c>
      <c r="AJ2352" s="471">
        <v>1.0917748764585125E-5</v>
      </c>
      <c r="AK2352" s="218">
        <v>0.11254526808819243</v>
      </c>
      <c r="AL2352" s="470">
        <v>3.3764143114101872E-5</v>
      </c>
      <c r="AM2352" s="471">
        <v>1.0917748764585125E-5</v>
      </c>
      <c r="AN2352" s="477">
        <v>0.11254526808819243</v>
      </c>
      <c r="AO2352" s="473">
        <v>3.3764143114101872E-5</v>
      </c>
      <c r="AP2352" s="474">
        <v>1.0917748764585125E-5</v>
      </c>
      <c r="AQ2352" s="352"/>
      <c r="AR2352" s="352"/>
      <c r="AS2352" s="352"/>
      <c r="AT2352" s="352"/>
      <c r="AU2352" s="352"/>
      <c r="AV2352" s="352"/>
      <c r="AW2352" s="352" t="s">
        <v>254</v>
      </c>
    </row>
    <row r="2353" spans="2:49" x14ac:dyDescent="0.2">
      <c r="B2353" s="460" t="s">
        <v>3055</v>
      </c>
      <c r="C2353" s="460">
        <v>8000</v>
      </c>
      <c r="D2353" s="460" t="s">
        <v>2372</v>
      </c>
      <c r="E2353" s="460" t="s">
        <v>1138</v>
      </c>
      <c r="F2353" s="460">
        <v>3</v>
      </c>
      <c r="G2353" s="460">
        <v>4</v>
      </c>
      <c r="H2353" s="461" t="s">
        <v>752</v>
      </c>
      <c r="I2353" s="461" t="s">
        <v>964</v>
      </c>
      <c r="J2353" s="461" t="s">
        <v>752</v>
      </c>
      <c r="K2353" s="594"/>
      <c r="L2353" s="594"/>
      <c r="M2353" s="352">
        <v>8000</v>
      </c>
      <c r="N2353" s="352" t="s">
        <v>760</v>
      </c>
      <c r="O2353" s="460">
        <v>2224</v>
      </c>
      <c r="P2353" s="460" t="s">
        <v>787</v>
      </c>
      <c r="Q2353" s="460" t="s">
        <v>2553</v>
      </c>
      <c r="R2353" s="460">
        <v>2224</v>
      </c>
      <c r="S2353" s="460" t="s">
        <v>1138</v>
      </c>
      <c r="T2353" s="462">
        <v>1</v>
      </c>
      <c r="U2353" s="460" t="s">
        <v>1138</v>
      </c>
      <c r="V2353" s="475">
        <v>0</v>
      </c>
      <c r="W2353" s="463" t="s">
        <v>2278</v>
      </c>
      <c r="X2353" s="463" t="s">
        <v>2278</v>
      </c>
      <c r="Y2353" s="463" t="s">
        <v>2278</v>
      </c>
      <c r="Z2353" s="463"/>
      <c r="AA2353" s="463"/>
      <c r="AB2353" s="464">
        <v>3.0327924155715478E-2</v>
      </c>
      <c r="AC2353" s="465">
        <v>2.0619215759425758E-5</v>
      </c>
      <c r="AD2353" s="465">
        <v>5.2383435355247678E-6</v>
      </c>
      <c r="AE2353" s="476">
        <v>3.0327924155715478E-2</v>
      </c>
      <c r="AF2353" s="467">
        <v>2.0619215759425758E-5</v>
      </c>
      <c r="AG2353" s="468">
        <v>5.2383435355247678E-6</v>
      </c>
      <c r="AH2353" s="218">
        <v>3.0327924155715478E-2</v>
      </c>
      <c r="AI2353" s="470">
        <v>2.0619215759425758E-5</v>
      </c>
      <c r="AJ2353" s="471">
        <v>5.0314982454559582E-6</v>
      </c>
      <c r="AK2353" s="218">
        <v>3.0327924155715478E-2</v>
      </c>
      <c r="AL2353" s="470">
        <v>2.0619215759425758E-5</v>
      </c>
      <c r="AM2353" s="471">
        <v>5.0314982454559582E-6</v>
      </c>
      <c r="AN2353" s="477">
        <v>3.0327924155715478E-2</v>
      </c>
      <c r="AO2353" s="473">
        <v>2.0619215759425758E-5</v>
      </c>
      <c r="AP2353" s="474">
        <v>5.0314982454559582E-6</v>
      </c>
      <c r="AQ2353" s="352"/>
      <c r="AR2353" s="352"/>
      <c r="AS2353" s="352"/>
      <c r="AT2353" s="352"/>
      <c r="AU2353" s="352"/>
      <c r="AV2353" s="352"/>
      <c r="AW2353" s="352" t="s">
        <v>254</v>
      </c>
    </row>
    <row r="2354" spans="2:49" x14ac:dyDescent="0.2">
      <c r="B2354" s="460" t="s">
        <v>3056</v>
      </c>
      <c r="C2354" s="460">
        <v>8000</v>
      </c>
      <c r="D2354" s="460" t="s">
        <v>2373</v>
      </c>
      <c r="E2354" s="460" t="s">
        <v>1139</v>
      </c>
      <c r="F2354" s="460">
        <v>4</v>
      </c>
      <c r="G2354" s="460">
        <v>4</v>
      </c>
      <c r="H2354" s="461" t="s">
        <v>752</v>
      </c>
      <c r="I2354" s="461" t="s">
        <v>964</v>
      </c>
      <c r="J2354" s="461" t="s">
        <v>752</v>
      </c>
      <c r="K2354" s="594"/>
      <c r="L2354" s="594"/>
      <c r="M2354" s="352">
        <v>8000</v>
      </c>
      <c r="N2354" s="352" t="s">
        <v>760</v>
      </c>
      <c r="O2354" s="460">
        <v>2224</v>
      </c>
      <c r="P2354" s="460" t="s">
        <v>787</v>
      </c>
      <c r="Q2354" s="460" t="s">
        <v>2553</v>
      </c>
      <c r="R2354" s="460">
        <v>2224</v>
      </c>
      <c r="S2354" s="460" t="s">
        <v>1139</v>
      </c>
      <c r="T2354" s="462">
        <v>1</v>
      </c>
      <c r="U2354" s="460" t="s">
        <v>1139</v>
      </c>
      <c r="V2354" s="475">
        <v>0</v>
      </c>
      <c r="W2354" s="463" t="s">
        <v>2278</v>
      </c>
      <c r="X2354" s="463" t="s">
        <v>2278</v>
      </c>
      <c r="Y2354" s="463" t="s">
        <v>2278</v>
      </c>
      <c r="Z2354" s="463"/>
      <c r="AA2354" s="463"/>
      <c r="AB2354" s="464">
        <v>1.4031830002835819</v>
      </c>
      <c r="AC2354" s="465">
        <v>8.4973232333151408E-4</v>
      </c>
      <c r="AD2354" s="465">
        <v>5.5941079647349702E-5</v>
      </c>
      <c r="AE2354" s="476">
        <v>1.4031830002835819</v>
      </c>
      <c r="AF2354" s="467">
        <v>8.4973232333151408E-4</v>
      </c>
      <c r="AG2354" s="468">
        <v>5.5941079647349702E-5</v>
      </c>
      <c r="AH2354" s="218">
        <v>1.4031830002835819</v>
      </c>
      <c r="AI2354" s="470">
        <v>8.4973232333151408E-4</v>
      </c>
      <c r="AJ2354" s="471">
        <v>5.1998947247442057E-5</v>
      </c>
      <c r="AK2354" s="218">
        <v>1.4031830002835819</v>
      </c>
      <c r="AL2354" s="470">
        <v>8.4973232333151408E-4</v>
      </c>
      <c r="AM2354" s="471">
        <v>5.1998947247442057E-5</v>
      </c>
      <c r="AN2354" s="477">
        <v>1.4031830002835819</v>
      </c>
      <c r="AO2354" s="473">
        <v>8.4973232333151408E-4</v>
      </c>
      <c r="AP2354" s="474">
        <v>5.1998947247442057E-5</v>
      </c>
      <c r="AQ2354" s="352"/>
      <c r="AR2354" s="352"/>
      <c r="AS2354" s="352"/>
      <c r="AT2354" s="352"/>
      <c r="AU2354" s="352"/>
      <c r="AV2354" s="352"/>
      <c r="AW2354" s="352" t="s">
        <v>254</v>
      </c>
    </row>
    <row r="2355" spans="2:49" x14ac:dyDescent="0.2">
      <c r="B2355" s="460" t="s">
        <v>3057</v>
      </c>
      <c r="C2355" s="460">
        <v>8000</v>
      </c>
      <c r="D2355" s="460" t="s">
        <v>2375</v>
      </c>
      <c r="E2355" s="460" t="s">
        <v>2376</v>
      </c>
      <c r="F2355" s="460">
        <v>1</v>
      </c>
      <c r="G2355" s="460">
        <v>5</v>
      </c>
      <c r="H2355" s="461" t="s">
        <v>754</v>
      </c>
      <c r="I2355" s="461" t="s">
        <v>1991</v>
      </c>
      <c r="J2355" s="461" t="s">
        <v>754</v>
      </c>
      <c r="K2355" s="594"/>
      <c r="L2355" s="594"/>
      <c r="M2355" s="352">
        <v>8000</v>
      </c>
      <c r="N2355" s="352" t="s">
        <v>760</v>
      </c>
      <c r="O2355" s="460">
        <v>2224</v>
      </c>
      <c r="P2355" s="460" t="s">
        <v>787</v>
      </c>
      <c r="Q2355" s="460" t="s">
        <v>2377</v>
      </c>
      <c r="R2355" s="460">
        <v>2224</v>
      </c>
      <c r="S2355" s="460" t="s">
        <v>2376</v>
      </c>
      <c r="T2355" s="462">
        <v>1</v>
      </c>
      <c r="U2355" s="460" t="s">
        <v>2376</v>
      </c>
      <c r="V2355" s="475">
        <v>0</v>
      </c>
      <c r="W2355" s="463" t="s">
        <v>2278</v>
      </c>
      <c r="X2355" s="463" t="s">
        <v>2278</v>
      </c>
      <c r="Y2355" s="463" t="s">
        <v>2278</v>
      </c>
      <c r="Z2355" s="463"/>
      <c r="AA2355" s="463"/>
      <c r="AB2355" s="464">
        <v>812.18258545383912</v>
      </c>
      <c r="AC2355" s="465">
        <v>1</v>
      </c>
      <c r="AD2355" s="465">
        <v>1.365364073049118E-3</v>
      </c>
      <c r="AE2355" s="476">
        <v>812.18258545383912</v>
      </c>
      <c r="AF2355" s="467">
        <v>1</v>
      </c>
      <c r="AG2355" s="468">
        <v>1.365364073049118E-3</v>
      </c>
      <c r="AH2355" s="218">
        <v>812.18258545383912</v>
      </c>
      <c r="AI2355" s="470">
        <v>1</v>
      </c>
      <c r="AJ2355" s="471">
        <v>1.365364073049118E-3</v>
      </c>
      <c r="AK2355" s="218">
        <v>812.18258545383912</v>
      </c>
      <c r="AL2355" s="470">
        <v>1</v>
      </c>
      <c r="AM2355" s="471">
        <v>1.365364073049118E-3</v>
      </c>
      <c r="AN2355" s="477">
        <v>812.18258545383912</v>
      </c>
      <c r="AO2355" s="473">
        <v>1</v>
      </c>
      <c r="AP2355" s="474">
        <v>1.365364073049118E-3</v>
      </c>
      <c r="AQ2355" s="352"/>
      <c r="AR2355" s="352"/>
      <c r="AS2355" s="352"/>
      <c r="AT2355" s="352"/>
      <c r="AU2355" s="352"/>
      <c r="AV2355" s="352"/>
      <c r="AW2355" s="352" t="s">
        <v>127</v>
      </c>
    </row>
    <row r="2356" spans="2:49" x14ac:dyDescent="0.2">
      <c r="B2356" s="460" t="s">
        <v>3058</v>
      </c>
      <c r="C2356" s="460">
        <v>8000</v>
      </c>
      <c r="D2356" s="460" t="s">
        <v>2379</v>
      </c>
      <c r="E2356" s="460" t="s">
        <v>2380</v>
      </c>
      <c r="F2356" s="460">
        <v>2</v>
      </c>
      <c r="G2356" s="460">
        <v>5</v>
      </c>
      <c r="H2356" s="461" t="s">
        <v>754</v>
      </c>
      <c r="I2356" s="461" t="s">
        <v>1991</v>
      </c>
      <c r="J2356" s="461" t="s">
        <v>754</v>
      </c>
      <c r="K2356" s="594"/>
      <c r="L2356" s="594"/>
      <c r="M2356" s="352">
        <v>8000</v>
      </c>
      <c r="N2356" s="352" t="s">
        <v>760</v>
      </c>
      <c r="O2356" s="460">
        <v>2224</v>
      </c>
      <c r="P2356" s="460" t="s">
        <v>787</v>
      </c>
      <c r="Q2356" s="460" t="s">
        <v>2377</v>
      </c>
      <c r="R2356" s="460">
        <v>2224</v>
      </c>
      <c r="S2356" s="460" t="s">
        <v>2380</v>
      </c>
      <c r="T2356" s="462">
        <v>1</v>
      </c>
      <c r="U2356" s="460" t="s">
        <v>2380</v>
      </c>
      <c r="V2356" s="475">
        <v>0</v>
      </c>
      <c r="W2356" s="463" t="s">
        <v>2278</v>
      </c>
      <c r="X2356" s="463" t="s">
        <v>2278</v>
      </c>
      <c r="Y2356" s="463" t="s">
        <v>2278</v>
      </c>
      <c r="Z2356" s="463"/>
      <c r="AA2356" s="463"/>
      <c r="AB2356" s="464">
        <v>88.857118550209265</v>
      </c>
      <c r="AC2356" s="465">
        <v>1</v>
      </c>
      <c r="AD2356" s="465">
        <v>1.7497776663696917E-4</v>
      </c>
      <c r="AE2356" s="476">
        <v>88.857118550209265</v>
      </c>
      <c r="AF2356" s="467">
        <v>1</v>
      </c>
      <c r="AG2356" s="468">
        <v>1.7497776663696917E-4</v>
      </c>
      <c r="AH2356" s="218">
        <v>88.857118550209265</v>
      </c>
      <c r="AI2356" s="470">
        <v>1</v>
      </c>
      <c r="AJ2356" s="471">
        <v>1.7497776663696917E-4</v>
      </c>
      <c r="AK2356" s="218">
        <v>88.857118550209265</v>
      </c>
      <c r="AL2356" s="470">
        <v>1</v>
      </c>
      <c r="AM2356" s="471">
        <v>1.7497776663696917E-4</v>
      </c>
      <c r="AN2356" s="477">
        <v>88.857118550209265</v>
      </c>
      <c r="AO2356" s="473">
        <v>1</v>
      </c>
      <c r="AP2356" s="474">
        <v>1.7497776663696917E-4</v>
      </c>
      <c r="AQ2356" s="352"/>
      <c r="AR2356" s="352"/>
      <c r="AS2356" s="352"/>
      <c r="AT2356" s="352"/>
      <c r="AU2356" s="352"/>
      <c r="AV2356" s="352"/>
      <c r="AW2356" s="352" t="s">
        <v>127</v>
      </c>
    </row>
    <row r="2357" spans="2:49" x14ac:dyDescent="0.2">
      <c r="B2357" s="460" t="s">
        <v>3059</v>
      </c>
      <c r="C2357" s="460">
        <v>8000</v>
      </c>
      <c r="D2357" s="460" t="s">
        <v>2382</v>
      </c>
      <c r="E2357" s="460" t="s">
        <v>2383</v>
      </c>
      <c r="F2357" s="460">
        <v>3</v>
      </c>
      <c r="G2357" s="460">
        <v>5</v>
      </c>
      <c r="H2357" s="461" t="s">
        <v>754</v>
      </c>
      <c r="I2357" s="461" t="s">
        <v>1991</v>
      </c>
      <c r="J2357" s="461" t="s">
        <v>754</v>
      </c>
      <c r="K2357" s="594"/>
      <c r="L2357" s="594"/>
      <c r="M2357" s="352">
        <v>8000</v>
      </c>
      <c r="N2357" s="352" t="s">
        <v>760</v>
      </c>
      <c r="O2357" s="460">
        <v>2224</v>
      </c>
      <c r="P2357" s="460" t="s">
        <v>787</v>
      </c>
      <c r="Q2357" s="460" t="s">
        <v>2377</v>
      </c>
      <c r="R2357" s="460">
        <v>2224</v>
      </c>
      <c r="S2357" s="460" t="s">
        <v>2383</v>
      </c>
      <c r="T2357" s="462">
        <v>1</v>
      </c>
      <c r="U2357" s="460" t="s">
        <v>2383</v>
      </c>
      <c r="V2357" s="475">
        <v>0</v>
      </c>
      <c r="W2357" s="463" t="s">
        <v>2278</v>
      </c>
      <c r="X2357" s="463" t="s">
        <v>2278</v>
      </c>
      <c r="Y2357" s="463" t="s">
        <v>2278</v>
      </c>
      <c r="Z2357" s="463"/>
      <c r="AA2357" s="463"/>
      <c r="AB2357" s="464">
        <v>7.3311533209046118</v>
      </c>
      <c r="AC2357" s="465">
        <v>1</v>
      </c>
      <c r="AD2357" s="465">
        <v>6.5164115543152697E-5</v>
      </c>
      <c r="AE2357" s="476">
        <v>7.3311533209046118</v>
      </c>
      <c r="AF2357" s="467">
        <v>1</v>
      </c>
      <c r="AG2357" s="468">
        <v>6.5164115543152697E-5</v>
      </c>
      <c r="AH2357" s="218">
        <v>7.3311533209046118</v>
      </c>
      <c r="AI2357" s="470">
        <v>1</v>
      </c>
      <c r="AJ2357" s="471">
        <v>6.5164115543152697E-5</v>
      </c>
      <c r="AK2357" s="218">
        <v>7.3311533209046118</v>
      </c>
      <c r="AL2357" s="470">
        <v>1</v>
      </c>
      <c r="AM2357" s="471">
        <v>6.5164115543152697E-5</v>
      </c>
      <c r="AN2357" s="477">
        <v>7.3311533209046118</v>
      </c>
      <c r="AO2357" s="473">
        <v>1</v>
      </c>
      <c r="AP2357" s="474">
        <v>6.5164115543152697E-5</v>
      </c>
      <c r="AQ2357" s="352"/>
      <c r="AR2357" s="352"/>
      <c r="AS2357" s="352"/>
      <c r="AT2357" s="352"/>
      <c r="AU2357" s="352"/>
      <c r="AV2357" s="352"/>
      <c r="AW2357" s="352" t="s">
        <v>127</v>
      </c>
    </row>
    <row r="2358" spans="2:49" x14ac:dyDescent="0.2">
      <c r="B2358" s="460" t="s">
        <v>3060</v>
      </c>
      <c r="C2358" s="460">
        <v>8000</v>
      </c>
      <c r="D2358" s="460" t="s">
        <v>2385</v>
      </c>
      <c r="E2358" s="460" t="s">
        <v>2386</v>
      </c>
      <c r="F2358" s="460">
        <v>4</v>
      </c>
      <c r="G2358" s="460">
        <v>5</v>
      </c>
      <c r="H2358" s="461" t="s">
        <v>754</v>
      </c>
      <c r="I2358" s="461" t="s">
        <v>1991</v>
      </c>
      <c r="J2358" s="461" t="s">
        <v>754</v>
      </c>
      <c r="K2358" s="594"/>
      <c r="L2358" s="594"/>
      <c r="M2358" s="352">
        <v>8000</v>
      </c>
      <c r="N2358" s="352" t="s">
        <v>760</v>
      </c>
      <c r="O2358" s="460">
        <v>2224</v>
      </c>
      <c r="P2358" s="460" t="s">
        <v>787</v>
      </c>
      <c r="Q2358" s="460" t="s">
        <v>2377</v>
      </c>
      <c r="R2358" s="460">
        <v>2224</v>
      </c>
      <c r="S2358" s="460" t="s">
        <v>2386</v>
      </c>
      <c r="T2358" s="462">
        <v>1</v>
      </c>
      <c r="U2358" s="460" t="s">
        <v>2386</v>
      </c>
      <c r="V2358" s="475">
        <v>0</v>
      </c>
      <c r="W2358" s="463" t="s">
        <v>2278</v>
      </c>
      <c r="X2358" s="463" t="s">
        <v>2278</v>
      </c>
      <c r="Y2358" s="463" t="s">
        <v>2278</v>
      </c>
      <c r="Z2358" s="463"/>
      <c r="AA2358" s="463"/>
      <c r="AB2358" s="464">
        <v>7.1585751763077452</v>
      </c>
      <c r="AC2358" s="465">
        <v>1</v>
      </c>
      <c r="AD2358" s="465">
        <v>1.3279684890585123E-4</v>
      </c>
      <c r="AE2358" s="476">
        <v>7.1585751763077452</v>
      </c>
      <c r="AF2358" s="467">
        <v>1</v>
      </c>
      <c r="AG2358" s="468">
        <v>1.3279684890585123E-4</v>
      </c>
      <c r="AH2358" s="218">
        <v>7.1585751763077452</v>
      </c>
      <c r="AI2358" s="470">
        <v>1</v>
      </c>
      <c r="AJ2358" s="471">
        <v>1.3279684890585123E-4</v>
      </c>
      <c r="AK2358" s="218">
        <v>7.1585751763077452</v>
      </c>
      <c r="AL2358" s="470">
        <v>1</v>
      </c>
      <c r="AM2358" s="471">
        <v>1.3279684890585123E-4</v>
      </c>
      <c r="AN2358" s="477">
        <v>7.1585751763077452</v>
      </c>
      <c r="AO2358" s="473">
        <v>1</v>
      </c>
      <c r="AP2358" s="474">
        <v>1.3279684890585123E-4</v>
      </c>
      <c r="AQ2358" s="352"/>
      <c r="AR2358" s="352"/>
      <c r="AS2358" s="352"/>
      <c r="AT2358" s="352"/>
      <c r="AU2358" s="352"/>
      <c r="AV2358" s="352"/>
      <c r="AW2358" s="352" t="s">
        <v>127</v>
      </c>
    </row>
    <row r="2359" spans="2:49" x14ac:dyDescent="0.2">
      <c r="B2359" s="460" t="s">
        <v>3061</v>
      </c>
      <c r="C2359" s="460">
        <v>2311</v>
      </c>
      <c r="D2359" s="460" t="s">
        <v>2264</v>
      </c>
      <c r="E2359" s="460" t="s">
        <v>2265</v>
      </c>
      <c r="F2359" s="460">
        <v>1</v>
      </c>
      <c r="G2359" s="460">
        <v>1</v>
      </c>
      <c r="H2359" s="461" t="s">
        <v>700</v>
      </c>
      <c r="I2359" s="461" t="s">
        <v>872</v>
      </c>
      <c r="J2359" s="461" t="s">
        <v>700</v>
      </c>
      <c r="K2359" s="594"/>
      <c r="L2359" s="594"/>
      <c r="M2359" s="352">
        <v>2000</v>
      </c>
      <c r="N2359" s="352" t="s">
        <v>703</v>
      </c>
      <c r="O2359" s="460">
        <v>2311</v>
      </c>
      <c r="P2359" s="460" t="s">
        <v>1887</v>
      </c>
      <c r="Q2359" s="460" t="s">
        <v>3000</v>
      </c>
      <c r="R2359" s="460">
        <v>2121</v>
      </c>
      <c r="S2359" s="460" t="s">
        <v>2265</v>
      </c>
      <c r="T2359" s="462">
        <v>1</v>
      </c>
      <c r="U2359" s="460" t="s">
        <v>2265</v>
      </c>
      <c r="V2359" s="475">
        <v>0</v>
      </c>
      <c r="W2359" s="463" t="s">
        <v>2554</v>
      </c>
      <c r="X2359" s="463" t="s">
        <v>2554</v>
      </c>
      <c r="Y2359" s="463" t="s">
        <v>2268</v>
      </c>
      <c r="Z2359" s="463"/>
      <c r="AA2359" s="463"/>
      <c r="AB2359" s="464">
        <v>368.61283523187331</v>
      </c>
      <c r="AC2359" s="465">
        <v>7.3367842706932598E-2</v>
      </c>
      <c r="AD2359" s="465">
        <v>3.4183072364349378E-3</v>
      </c>
      <c r="AE2359" s="476">
        <v>92.153208807968326</v>
      </c>
      <c r="AF2359" s="467">
        <v>1.834196067673315E-2</v>
      </c>
      <c r="AG2359" s="468">
        <v>9.1286688641062516E-4</v>
      </c>
      <c r="AH2359" s="218">
        <v>92.153208807968326</v>
      </c>
      <c r="AI2359" s="470">
        <v>1.834196067673315E-2</v>
      </c>
      <c r="AJ2359" s="471">
        <v>8.7871210373802189E-4</v>
      </c>
      <c r="AK2359" s="218">
        <v>92.153208807968326</v>
      </c>
      <c r="AL2359" s="470">
        <v>1.834196067673315E-2</v>
      </c>
      <c r="AM2359" s="471">
        <v>8.7871210373802189E-4</v>
      </c>
      <c r="AN2359" s="477">
        <v>0</v>
      </c>
      <c r="AO2359" s="473">
        <v>0</v>
      </c>
      <c r="AP2359" s="474">
        <v>0</v>
      </c>
      <c r="AQ2359" s="352"/>
      <c r="AR2359" s="352"/>
      <c r="AS2359" s="352"/>
      <c r="AT2359" s="352"/>
      <c r="AU2359" s="352"/>
      <c r="AV2359" s="352"/>
      <c r="AW2359" s="352" t="s">
        <v>254</v>
      </c>
    </row>
    <row r="2360" spans="2:49" x14ac:dyDescent="0.2">
      <c r="B2360" s="460" t="s">
        <v>3062</v>
      </c>
      <c r="C2360" s="460">
        <v>2311</v>
      </c>
      <c r="D2360" s="460" t="s">
        <v>2270</v>
      </c>
      <c r="E2360" s="460" t="s">
        <v>2271</v>
      </c>
      <c r="F2360" s="460">
        <v>2</v>
      </c>
      <c r="G2360" s="460">
        <v>1</v>
      </c>
      <c r="H2360" s="461" t="s">
        <v>700</v>
      </c>
      <c r="I2360" s="461" t="s">
        <v>872</v>
      </c>
      <c r="J2360" s="461" t="s">
        <v>700</v>
      </c>
      <c r="K2360" s="594"/>
      <c r="L2360" s="594"/>
      <c r="M2360" s="352">
        <v>2000</v>
      </c>
      <c r="N2360" s="352" t="s">
        <v>703</v>
      </c>
      <c r="O2360" s="460">
        <v>2311</v>
      </c>
      <c r="P2360" s="460" t="s">
        <v>1887</v>
      </c>
      <c r="Q2360" s="460" t="s">
        <v>3000</v>
      </c>
      <c r="R2360" s="460">
        <v>2121</v>
      </c>
      <c r="S2360" s="460" t="s">
        <v>2265</v>
      </c>
      <c r="T2360" s="462">
        <v>1</v>
      </c>
      <c r="U2360" s="460" t="s">
        <v>2271</v>
      </c>
      <c r="V2360" s="475">
        <v>0</v>
      </c>
      <c r="W2360" s="463" t="s">
        <v>2554</v>
      </c>
      <c r="X2360" s="463" t="s">
        <v>2554</v>
      </c>
      <c r="Y2360" s="463" t="s">
        <v>2268</v>
      </c>
      <c r="Z2360" s="463"/>
      <c r="AA2360" s="463"/>
      <c r="AB2360" s="464">
        <v>257.5141985325015</v>
      </c>
      <c r="AC2360" s="465">
        <v>5.4785185705437285E-2</v>
      </c>
      <c r="AD2360" s="465">
        <v>3.1949253795553198E-3</v>
      </c>
      <c r="AE2360" s="476">
        <v>64.378549633125374</v>
      </c>
      <c r="AF2360" s="467">
        <v>1.3696296426359321E-2</v>
      </c>
      <c r="AG2360" s="468">
        <v>8.6555420882144585E-4</v>
      </c>
      <c r="AH2360" s="218">
        <v>86.215191978710763</v>
      </c>
      <c r="AI2360" s="470">
        <v>1.834196067673315E-2</v>
      </c>
      <c r="AJ2360" s="471">
        <v>1.0178909972636677E-3</v>
      </c>
      <c r="AK2360" s="218">
        <v>86.215191978710763</v>
      </c>
      <c r="AL2360" s="470">
        <v>1.834196067673315E-2</v>
      </c>
      <c r="AM2360" s="471">
        <v>1.0178909972636677E-3</v>
      </c>
      <c r="AN2360" s="477">
        <v>0</v>
      </c>
      <c r="AO2360" s="473">
        <v>0</v>
      </c>
      <c r="AP2360" s="474">
        <v>0</v>
      </c>
      <c r="AQ2360" s="352"/>
      <c r="AR2360" s="352"/>
      <c r="AS2360" s="352"/>
      <c r="AT2360" s="352"/>
      <c r="AU2360" s="352"/>
      <c r="AV2360" s="352"/>
      <c r="AW2360" s="352" t="s">
        <v>254</v>
      </c>
    </row>
    <row r="2361" spans="2:49" x14ac:dyDescent="0.2">
      <c r="B2361" s="460" t="s">
        <v>3063</v>
      </c>
      <c r="C2361" s="460">
        <v>2311</v>
      </c>
      <c r="D2361" s="460" t="s">
        <v>2273</v>
      </c>
      <c r="E2361" s="460" t="s">
        <v>2274</v>
      </c>
      <c r="F2361" s="460">
        <v>3</v>
      </c>
      <c r="G2361" s="460">
        <v>1</v>
      </c>
      <c r="H2361" s="461" t="s">
        <v>700</v>
      </c>
      <c r="I2361" s="461" t="s">
        <v>872</v>
      </c>
      <c r="J2361" s="461" t="s">
        <v>700</v>
      </c>
      <c r="K2361" s="594"/>
      <c r="L2361" s="594"/>
      <c r="M2361" s="352">
        <v>2000</v>
      </c>
      <c r="N2361" s="352" t="s">
        <v>703</v>
      </c>
      <c r="O2361" s="460">
        <v>2311</v>
      </c>
      <c r="P2361" s="460" t="s">
        <v>1887</v>
      </c>
      <c r="Q2361" s="460" t="s">
        <v>3000</v>
      </c>
      <c r="R2361" s="460">
        <v>2121</v>
      </c>
      <c r="S2361" s="460" t="s">
        <v>2265</v>
      </c>
      <c r="T2361" s="462">
        <v>0.74223365950407583</v>
      </c>
      <c r="U2361" s="460" t="s">
        <v>2274</v>
      </c>
      <c r="V2361" s="475">
        <v>0</v>
      </c>
      <c r="W2361" s="463" t="s">
        <v>2554</v>
      </c>
      <c r="X2361" s="463" t="s">
        <v>2554</v>
      </c>
      <c r="Y2361" s="463" t="s">
        <v>2268</v>
      </c>
      <c r="Z2361" s="463"/>
      <c r="AA2361" s="463"/>
      <c r="AB2361" s="464">
        <v>94.455149030894219</v>
      </c>
      <c r="AC2361" s="465">
        <v>3.5456796257238146E-2</v>
      </c>
      <c r="AD2361" s="465">
        <v>4.6726637020294984E-3</v>
      </c>
      <c r="AE2361" s="476">
        <v>23.613787257723555</v>
      </c>
      <c r="AF2361" s="467">
        <v>8.8641990643095366E-3</v>
      </c>
      <c r="AG2361" s="468">
        <v>1.2653270159286311E-3</v>
      </c>
      <c r="AH2361" s="218">
        <v>36.267076555227774</v>
      </c>
      <c r="AI2361" s="470">
        <v>1.3614020595571501E-2</v>
      </c>
      <c r="AJ2361" s="471">
        <v>1.4073107226792734E-3</v>
      </c>
      <c r="AK2361" s="218">
        <v>36.267076555227774</v>
      </c>
      <c r="AL2361" s="470">
        <v>1.3614020595571501E-2</v>
      </c>
      <c r="AM2361" s="471">
        <v>1.4073107226792734E-3</v>
      </c>
      <c r="AN2361" s="477">
        <v>0</v>
      </c>
      <c r="AO2361" s="473">
        <v>0</v>
      </c>
      <c r="AP2361" s="474">
        <v>0</v>
      </c>
      <c r="AQ2361" s="352"/>
      <c r="AR2361" s="352"/>
      <c r="AS2361" s="352"/>
      <c r="AT2361" s="352"/>
      <c r="AU2361" s="352"/>
      <c r="AV2361" s="352"/>
      <c r="AW2361" s="352" t="s">
        <v>254</v>
      </c>
    </row>
    <row r="2362" spans="2:49" x14ac:dyDescent="0.2">
      <c r="B2362" s="460" t="s">
        <v>3064</v>
      </c>
      <c r="C2362" s="460">
        <v>2311</v>
      </c>
      <c r="D2362" s="460" t="s">
        <v>2276</v>
      </c>
      <c r="E2362" s="460" t="s">
        <v>2277</v>
      </c>
      <c r="F2362" s="460">
        <v>4</v>
      </c>
      <c r="G2362" s="460">
        <v>1</v>
      </c>
      <c r="H2362" s="461" t="s">
        <v>700</v>
      </c>
      <c r="I2362" s="461" t="s">
        <v>872</v>
      </c>
      <c r="J2362" s="461" t="s">
        <v>700</v>
      </c>
      <c r="K2362" s="594"/>
      <c r="L2362" s="594"/>
      <c r="M2362" s="352">
        <v>2000</v>
      </c>
      <c r="N2362" s="352" t="s">
        <v>703</v>
      </c>
      <c r="O2362" s="460">
        <v>2311</v>
      </c>
      <c r="P2362" s="460" t="s">
        <v>1887</v>
      </c>
      <c r="Q2362" s="460" t="s">
        <v>3000</v>
      </c>
      <c r="R2362" s="460">
        <v>2121</v>
      </c>
      <c r="S2362" s="460" t="s">
        <v>2277</v>
      </c>
      <c r="T2362" s="462">
        <v>1</v>
      </c>
      <c r="U2362" s="460" t="s">
        <v>2277</v>
      </c>
      <c r="V2362" s="475">
        <v>0</v>
      </c>
      <c r="W2362" s="463" t="s">
        <v>2554</v>
      </c>
      <c r="X2362" s="463" t="s">
        <v>2554</v>
      </c>
      <c r="Y2362" s="463" t="s">
        <v>2268</v>
      </c>
      <c r="Z2362" s="463"/>
      <c r="AA2362" s="463"/>
      <c r="AB2362" s="464">
        <v>2.1512701322402696</v>
      </c>
      <c r="AC2362" s="465">
        <v>7.2441969320441901E-4</v>
      </c>
      <c r="AD2362" s="465">
        <v>8.682977394994934E-3</v>
      </c>
      <c r="AE2362" s="476">
        <v>0.53781753306006741</v>
      </c>
      <c r="AF2362" s="467">
        <v>1.8110492330110475E-4</v>
      </c>
      <c r="AG2362" s="468">
        <v>2.4267777561746179E-3</v>
      </c>
      <c r="AH2362" s="218">
        <v>0.53781753306006741</v>
      </c>
      <c r="AI2362" s="470">
        <v>1.8110492330110475E-4</v>
      </c>
      <c r="AJ2362" s="471">
        <v>2.3259614330923945E-3</v>
      </c>
      <c r="AK2362" s="218">
        <v>0.53781753306006741</v>
      </c>
      <c r="AL2362" s="470">
        <v>1.8110492330110475E-4</v>
      </c>
      <c r="AM2362" s="471">
        <v>2.3259614330923945E-3</v>
      </c>
      <c r="AN2362" s="477">
        <v>0</v>
      </c>
      <c r="AO2362" s="473">
        <v>0</v>
      </c>
      <c r="AP2362" s="474">
        <v>0</v>
      </c>
      <c r="AQ2362" s="352"/>
      <c r="AR2362" s="352"/>
      <c r="AS2362" s="352"/>
      <c r="AT2362" s="352"/>
      <c r="AU2362" s="352"/>
      <c r="AV2362" s="352"/>
      <c r="AW2362" s="352" t="s">
        <v>254</v>
      </c>
    </row>
    <row r="2363" spans="2:49" x14ac:dyDescent="0.2">
      <c r="B2363" s="460" t="s">
        <v>3061</v>
      </c>
      <c r="C2363" s="460">
        <v>2311</v>
      </c>
      <c r="D2363" s="460" t="s">
        <v>2279</v>
      </c>
      <c r="E2363" s="460" t="s">
        <v>2265</v>
      </c>
      <c r="F2363" s="460">
        <v>1</v>
      </c>
      <c r="G2363" s="460">
        <v>1</v>
      </c>
      <c r="H2363" s="461" t="s">
        <v>712</v>
      </c>
      <c r="I2363" s="461" t="s">
        <v>713</v>
      </c>
      <c r="J2363" s="461" t="s">
        <v>712</v>
      </c>
      <c r="K2363" s="594"/>
      <c r="L2363" s="594"/>
      <c r="M2363" s="352">
        <v>2000</v>
      </c>
      <c r="N2363" s="352" t="s">
        <v>703</v>
      </c>
      <c r="O2363" s="460">
        <v>2311</v>
      </c>
      <c r="P2363" s="460" t="s">
        <v>1887</v>
      </c>
      <c r="Q2363" s="460" t="s">
        <v>2280</v>
      </c>
      <c r="R2363" s="460">
        <v>2121</v>
      </c>
      <c r="S2363" s="460" t="s">
        <v>2265</v>
      </c>
      <c r="T2363" s="462">
        <v>1</v>
      </c>
      <c r="U2363" s="460" t="s">
        <v>2265</v>
      </c>
      <c r="V2363" s="475">
        <v>0</v>
      </c>
      <c r="W2363" s="463" t="s">
        <v>713</v>
      </c>
      <c r="X2363" s="463" t="s">
        <v>713</v>
      </c>
      <c r="Y2363" s="463" t="s">
        <v>713</v>
      </c>
      <c r="Z2363" s="463"/>
      <c r="AA2363" s="463"/>
      <c r="AB2363" s="464">
        <v>4655.561539150307</v>
      </c>
      <c r="AC2363" s="465">
        <v>0.92663215729306736</v>
      </c>
      <c r="AD2363" s="465">
        <v>1.7198449450162769E-2</v>
      </c>
      <c r="AE2363" s="476">
        <v>4932.0211655742123</v>
      </c>
      <c r="AF2363" s="467">
        <v>0.9816580393232669</v>
      </c>
      <c r="AG2363" s="468">
        <v>1.7767782260683023E-2</v>
      </c>
      <c r="AH2363" s="218">
        <v>4932.0211655742123</v>
      </c>
      <c r="AI2363" s="470">
        <v>0.9816580393232669</v>
      </c>
      <c r="AJ2363" s="471">
        <v>1.8022542873676651E-2</v>
      </c>
      <c r="AK2363" s="218">
        <v>4932.0211655742123</v>
      </c>
      <c r="AL2363" s="470">
        <v>0.9816580393232669</v>
      </c>
      <c r="AM2363" s="471">
        <v>1.8022542873676651E-2</v>
      </c>
      <c r="AN2363" s="477">
        <v>4950.4518073358058</v>
      </c>
      <c r="AO2363" s="473">
        <v>0.98532643145861343</v>
      </c>
      <c r="AP2363" s="474">
        <v>1.8083997529867224E-2</v>
      </c>
      <c r="AQ2363" s="352"/>
      <c r="AR2363" s="352"/>
      <c r="AS2363" s="352"/>
      <c r="AT2363" s="352"/>
      <c r="AU2363" s="352"/>
      <c r="AV2363" s="352"/>
      <c r="AW2363" s="352" t="s">
        <v>254</v>
      </c>
    </row>
    <row r="2364" spans="2:49" x14ac:dyDescent="0.2">
      <c r="B2364" s="460" t="s">
        <v>3062</v>
      </c>
      <c r="C2364" s="460">
        <v>2311</v>
      </c>
      <c r="D2364" s="460" t="s">
        <v>2281</v>
      </c>
      <c r="E2364" s="460" t="s">
        <v>2271</v>
      </c>
      <c r="F2364" s="460">
        <v>2</v>
      </c>
      <c r="G2364" s="460">
        <v>1</v>
      </c>
      <c r="H2364" s="461" t="s">
        <v>712</v>
      </c>
      <c r="I2364" s="461" t="s">
        <v>713</v>
      </c>
      <c r="J2364" s="461" t="s">
        <v>712</v>
      </c>
      <c r="K2364" s="594"/>
      <c r="L2364" s="594"/>
      <c r="M2364" s="352">
        <v>2000</v>
      </c>
      <c r="N2364" s="352" t="s">
        <v>703</v>
      </c>
      <c r="O2364" s="460">
        <v>2311</v>
      </c>
      <c r="P2364" s="460" t="s">
        <v>1887</v>
      </c>
      <c r="Q2364" s="460" t="s">
        <v>2280</v>
      </c>
      <c r="R2364" s="460">
        <v>2121</v>
      </c>
      <c r="S2364" s="460" t="s">
        <v>2265</v>
      </c>
      <c r="T2364" s="462">
        <v>1</v>
      </c>
      <c r="U2364" s="460" t="s">
        <v>2271</v>
      </c>
      <c r="V2364" s="475">
        <v>0</v>
      </c>
      <c r="W2364" s="463" t="s">
        <v>713</v>
      </c>
      <c r="X2364" s="463" t="s">
        <v>713</v>
      </c>
      <c r="Y2364" s="463" t="s">
        <v>713</v>
      </c>
      <c r="Z2364" s="463"/>
      <c r="AA2364" s="463"/>
      <c r="AB2364" s="464">
        <v>4442.9206948905921</v>
      </c>
      <c r="AC2364" s="465">
        <v>0.94521481429456267</v>
      </c>
      <c r="AD2364" s="465">
        <v>1.8553284051995758E-2</v>
      </c>
      <c r="AE2364" s="476">
        <v>4636.0563437899691</v>
      </c>
      <c r="AF2364" s="467">
        <v>0.98630370357364072</v>
      </c>
      <c r="AG2364" s="468">
        <v>1.8869478892407553E-2</v>
      </c>
      <c r="AH2364" s="218">
        <v>4614.2197014443836</v>
      </c>
      <c r="AI2364" s="470">
        <v>0.9816580393232669</v>
      </c>
      <c r="AJ2364" s="471">
        <v>1.9823359169656239E-2</v>
      </c>
      <c r="AK2364" s="218">
        <v>4614.2197014443836</v>
      </c>
      <c r="AL2364" s="470">
        <v>0.9816580393232669</v>
      </c>
      <c r="AM2364" s="471">
        <v>1.9823359169656239E-2</v>
      </c>
      <c r="AN2364" s="477">
        <v>4631.4627398401253</v>
      </c>
      <c r="AO2364" s="473">
        <v>0.98532643145861343</v>
      </c>
      <c r="AP2364" s="474">
        <v>1.989045112819525E-2</v>
      </c>
      <c r="AQ2364" s="352"/>
      <c r="AR2364" s="352"/>
      <c r="AS2364" s="352"/>
      <c r="AT2364" s="352"/>
      <c r="AU2364" s="352"/>
      <c r="AV2364" s="352"/>
      <c r="AW2364" s="352" t="s">
        <v>254</v>
      </c>
    </row>
    <row r="2365" spans="2:49" x14ac:dyDescent="0.2">
      <c r="B2365" s="460" t="s">
        <v>3063</v>
      </c>
      <c r="C2365" s="460">
        <v>2311</v>
      </c>
      <c r="D2365" s="460" t="s">
        <v>2282</v>
      </c>
      <c r="E2365" s="460" t="s">
        <v>2274</v>
      </c>
      <c r="F2365" s="460">
        <v>3</v>
      </c>
      <c r="G2365" s="460">
        <v>1</v>
      </c>
      <c r="H2365" s="461" t="s">
        <v>712</v>
      </c>
      <c r="I2365" s="461" t="s">
        <v>713</v>
      </c>
      <c r="J2365" s="461" t="s">
        <v>712</v>
      </c>
      <c r="K2365" s="594"/>
      <c r="L2365" s="594"/>
      <c r="M2365" s="352">
        <v>2000</v>
      </c>
      <c r="N2365" s="352" t="s">
        <v>703</v>
      </c>
      <c r="O2365" s="460">
        <v>2311</v>
      </c>
      <c r="P2365" s="460" t="s">
        <v>1887</v>
      </c>
      <c r="Q2365" s="460" t="s">
        <v>2280</v>
      </c>
      <c r="R2365" s="460">
        <v>2121</v>
      </c>
      <c r="S2365" s="460" t="s">
        <v>2265</v>
      </c>
      <c r="T2365" s="462">
        <v>0.74223365950407583</v>
      </c>
      <c r="U2365" s="460" t="s">
        <v>2274</v>
      </c>
      <c r="V2365" s="475">
        <v>0</v>
      </c>
      <c r="W2365" s="463" t="s">
        <v>713</v>
      </c>
      <c r="X2365" s="463" t="s">
        <v>713</v>
      </c>
      <c r="Y2365" s="463" t="s">
        <v>713</v>
      </c>
      <c r="Z2365" s="463"/>
      <c r="AA2365" s="463"/>
      <c r="AB2365" s="464">
        <v>2569.4953203128262</v>
      </c>
      <c r="AC2365" s="465">
        <v>0.96454320374276192</v>
      </c>
      <c r="AD2365" s="465">
        <v>1.5378975410230564E-2</v>
      </c>
      <c r="AE2365" s="476">
        <v>2640.3366820859965</v>
      </c>
      <c r="AF2365" s="467">
        <v>0.99113580093569043</v>
      </c>
      <c r="AG2365" s="468">
        <v>1.5657512837510979E-2</v>
      </c>
      <c r="AH2365" s="218">
        <v>2627.6833927884923</v>
      </c>
      <c r="AI2365" s="470">
        <v>0.98638597940442851</v>
      </c>
      <c r="AJ2365" s="471">
        <v>1.6512811039587936E-2</v>
      </c>
      <c r="AK2365" s="218">
        <v>2627.6833927884923</v>
      </c>
      <c r="AL2365" s="470">
        <v>0.98638597940442851</v>
      </c>
      <c r="AM2365" s="471">
        <v>1.6512811039587936E-2</v>
      </c>
      <c r="AN2365" s="477">
        <v>2634.9368080995382</v>
      </c>
      <c r="AO2365" s="473">
        <v>0.98910878352354281</v>
      </c>
      <c r="AP2365" s="474">
        <v>1.667784493290788E-2</v>
      </c>
      <c r="AQ2365" s="352"/>
      <c r="AR2365" s="352"/>
      <c r="AS2365" s="352"/>
      <c r="AT2365" s="352"/>
      <c r="AU2365" s="352"/>
      <c r="AV2365" s="352"/>
      <c r="AW2365" s="352" t="s">
        <v>254</v>
      </c>
    </row>
    <row r="2366" spans="2:49" x14ac:dyDescent="0.2">
      <c r="B2366" s="460" t="s">
        <v>3064</v>
      </c>
      <c r="C2366" s="460">
        <v>2311</v>
      </c>
      <c r="D2366" s="460" t="s">
        <v>2283</v>
      </c>
      <c r="E2366" s="460" t="s">
        <v>2277</v>
      </c>
      <c r="F2366" s="460">
        <v>4</v>
      </c>
      <c r="G2366" s="460">
        <v>1</v>
      </c>
      <c r="H2366" s="461" t="s">
        <v>712</v>
      </c>
      <c r="I2366" s="461" t="s">
        <v>713</v>
      </c>
      <c r="J2366" s="461" t="s">
        <v>712</v>
      </c>
      <c r="K2366" s="594"/>
      <c r="L2366" s="594"/>
      <c r="M2366" s="352">
        <v>2000</v>
      </c>
      <c r="N2366" s="352" t="s">
        <v>703</v>
      </c>
      <c r="O2366" s="460">
        <v>2311</v>
      </c>
      <c r="P2366" s="460" t="s">
        <v>1887</v>
      </c>
      <c r="Q2366" s="460" t="s">
        <v>2280</v>
      </c>
      <c r="R2366" s="460">
        <v>2121</v>
      </c>
      <c r="S2366" s="460" t="s">
        <v>2277</v>
      </c>
      <c r="T2366" s="462">
        <v>1</v>
      </c>
      <c r="U2366" s="460" t="s">
        <v>2277</v>
      </c>
      <c r="V2366" s="475">
        <v>0</v>
      </c>
      <c r="W2366" s="463" t="s">
        <v>713</v>
      </c>
      <c r="X2366" s="463" t="s">
        <v>713</v>
      </c>
      <c r="Y2366" s="463" t="s">
        <v>713</v>
      </c>
      <c r="Z2366" s="463"/>
      <c r="AA2366" s="463"/>
      <c r="AB2366" s="464">
        <v>2967.4948513367649</v>
      </c>
      <c r="AC2366" s="465">
        <v>0.99927558030679553</v>
      </c>
      <c r="AD2366" s="465">
        <v>1.5411016441100026E-2</v>
      </c>
      <c r="AE2366" s="476">
        <v>2969.1083039359451</v>
      </c>
      <c r="AF2366" s="467">
        <v>0.99981889507669885</v>
      </c>
      <c r="AG2366" s="468">
        <v>1.5417302672188297E-2</v>
      </c>
      <c r="AH2366" s="218">
        <v>2969.1083039359451</v>
      </c>
      <c r="AI2366" s="470">
        <v>0.99981889507669885</v>
      </c>
      <c r="AJ2366" s="471">
        <v>1.5418071706497354E-2</v>
      </c>
      <c r="AK2366" s="218">
        <v>2969.1083039359451</v>
      </c>
      <c r="AL2366" s="470">
        <v>0.99981889507669885</v>
      </c>
      <c r="AM2366" s="471">
        <v>1.5418071706497354E-2</v>
      </c>
      <c r="AN2366" s="477">
        <v>2969.2158674425573</v>
      </c>
      <c r="AO2366" s="473">
        <v>0.99985511606135913</v>
      </c>
      <c r="AP2366" s="474">
        <v>1.541870714906762E-2</v>
      </c>
      <c r="AQ2366" s="352"/>
      <c r="AR2366" s="352"/>
      <c r="AS2366" s="352"/>
      <c r="AT2366" s="352"/>
      <c r="AU2366" s="352"/>
      <c r="AV2366" s="352"/>
      <c r="AW2366" s="352" t="s">
        <v>254</v>
      </c>
    </row>
    <row r="2367" spans="2:49" x14ac:dyDescent="0.2">
      <c r="B2367" s="460" t="s">
        <v>3061</v>
      </c>
      <c r="C2367" s="460">
        <v>2311</v>
      </c>
      <c r="D2367" s="460" t="s">
        <v>2284</v>
      </c>
      <c r="E2367" s="460" t="s">
        <v>2265</v>
      </c>
      <c r="F2367" s="460">
        <v>1</v>
      </c>
      <c r="G2367" s="460">
        <v>1</v>
      </c>
      <c r="H2367" s="461" t="s">
        <v>746</v>
      </c>
      <c r="I2367" s="461" t="s">
        <v>762</v>
      </c>
      <c r="J2367" s="461" t="s">
        <v>700</v>
      </c>
      <c r="K2367" s="594"/>
      <c r="L2367" s="594"/>
      <c r="M2367" s="352">
        <v>2000</v>
      </c>
      <c r="N2367" s="352" t="s">
        <v>703</v>
      </c>
      <c r="O2367" s="460">
        <v>2311</v>
      </c>
      <c r="P2367" s="460" t="s">
        <v>1887</v>
      </c>
      <c r="Q2367" s="460" t="s">
        <v>3000</v>
      </c>
      <c r="R2367" s="460">
        <v>2121</v>
      </c>
      <c r="S2367" s="460" t="s">
        <v>2265</v>
      </c>
      <c r="T2367" s="462">
        <v>1</v>
      </c>
      <c r="U2367" s="460" t="s">
        <v>2265</v>
      </c>
      <c r="V2367" s="475">
        <v>0</v>
      </c>
      <c r="W2367" s="463" t="s">
        <v>2268</v>
      </c>
      <c r="X2367" s="463" t="s">
        <v>2268</v>
      </c>
      <c r="Y2367" s="463" t="s">
        <v>2554</v>
      </c>
      <c r="Z2367" s="463"/>
      <c r="AA2367" s="463"/>
      <c r="AB2367" s="464">
        <v>0</v>
      </c>
      <c r="AC2367" s="465">
        <v>0</v>
      </c>
      <c r="AD2367" s="465">
        <v>0</v>
      </c>
      <c r="AE2367" s="476">
        <v>0</v>
      </c>
      <c r="AF2367" s="467">
        <v>0</v>
      </c>
      <c r="AG2367" s="468">
        <v>0</v>
      </c>
      <c r="AH2367" s="218">
        <v>0</v>
      </c>
      <c r="AI2367" s="470">
        <v>0</v>
      </c>
      <c r="AJ2367" s="471">
        <v>0</v>
      </c>
      <c r="AK2367" s="218">
        <v>0</v>
      </c>
      <c r="AL2367" s="470">
        <v>0</v>
      </c>
      <c r="AM2367" s="471">
        <v>0</v>
      </c>
      <c r="AN2367" s="477">
        <v>36.861283523187325</v>
      </c>
      <c r="AO2367" s="473">
        <v>7.3367842706932584E-3</v>
      </c>
      <c r="AP2367" s="474">
        <v>4.1566184809705651E-4</v>
      </c>
      <c r="AQ2367" s="352"/>
      <c r="AR2367" s="352"/>
      <c r="AS2367" s="352"/>
      <c r="AT2367" s="352"/>
      <c r="AU2367" s="352"/>
      <c r="AV2367" s="352"/>
      <c r="AW2367" s="352" t="s">
        <v>254</v>
      </c>
    </row>
    <row r="2368" spans="2:49" x14ac:dyDescent="0.2">
      <c r="B2368" s="460" t="s">
        <v>3062</v>
      </c>
      <c r="C2368" s="460">
        <v>2311</v>
      </c>
      <c r="D2368" s="460" t="s">
        <v>2285</v>
      </c>
      <c r="E2368" s="460" t="s">
        <v>2271</v>
      </c>
      <c r="F2368" s="460">
        <v>2</v>
      </c>
      <c r="G2368" s="460">
        <v>1</v>
      </c>
      <c r="H2368" s="461" t="s">
        <v>746</v>
      </c>
      <c r="I2368" s="461" t="s">
        <v>762</v>
      </c>
      <c r="J2368" s="461" t="s">
        <v>700</v>
      </c>
      <c r="K2368" s="594"/>
      <c r="L2368" s="594"/>
      <c r="M2368" s="352">
        <v>2000</v>
      </c>
      <c r="N2368" s="352" t="s">
        <v>703</v>
      </c>
      <c r="O2368" s="460">
        <v>2311</v>
      </c>
      <c r="P2368" s="460" t="s">
        <v>1887</v>
      </c>
      <c r="Q2368" s="460" t="s">
        <v>3000</v>
      </c>
      <c r="R2368" s="460">
        <v>2121</v>
      </c>
      <c r="S2368" s="460" t="s">
        <v>2265</v>
      </c>
      <c r="T2368" s="462">
        <v>1</v>
      </c>
      <c r="U2368" s="460" t="s">
        <v>2271</v>
      </c>
      <c r="V2368" s="475">
        <v>0</v>
      </c>
      <c r="W2368" s="463" t="s">
        <v>2268</v>
      </c>
      <c r="X2368" s="463" t="s">
        <v>2268</v>
      </c>
      <c r="Y2368" s="463" t="s">
        <v>2554</v>
      </c>
      <c r="Z2368" s="463"/>
      <c r="AA2368" s="463"/>
      <c r="AB2368" s="464">
        <v>0</v>
      </c>
      <c r="AC2368" s="465">
        <v>0</v>
      </c>
      <c r="AD2368" s="465">
        <v>0</v>
      </c>
      <c r="AE2368" s="476">
        <v>0</v>
      </c>
      <c r="AF2368" s="467">
        <v>0</v>
      </c>
      <c r="AG2368" s="468">
        <v>0</v>
      </c>
      <c r="AH2368" s="218">
        <v>0</v>
      </c>
      <c r="AI2368" s="470">
        <v>0</v>
      </c>
      <c r="AJ2368" s="471">
        <v>0</v>
      </c>
      <c r="AK2368" s="218">
        <v>0</v>
      </c>
      <c r="AL2368" s="470">
        <v>0</v>
      </c>
      <c r="AM2368" s="471">
        <v>0</v>
      </c>
      <c r="AN2368" s="477">
        <v>34.486076791484301</v>
      </c>
      <c r="AO2368" s="473">
        <v>7.3367842706932584E-3</v>
      </c>
      <c r="AP2368" s="474">
        <v>5.0055409219802488E-4</v>
      </c>
      <c r="AQ2368" s="352"/>
      <c r="AR2368" s="352"/>
      <c r="AS2368" s="352"/>
      <c r="AT2368" s="352"/>
      <c r="AU2368" s="352"/>
      <c r="AV2368" s="352"/>
      <c r="AW2368" s="352" t="s">
        <v>254</v>
      </c>
    </row>
    <row r="2369" spans="2:49" x14ac:dyDescent="0.2">
      <c r="B2369" s="460" t="s">
        <v>3063</v>
      </c>
      <c r="C2369" s="460">
        <v>2311</v>
      </c>
      <c r="D2369" s="460" t="s">
        <v>2286</v>
      </c>
      <c r="E2369" s="460" t="s">
        <v>2274</v>
      </c>
      <c r="F2369" s="460">
        <v>3</v>
      </c>
      <c r="G2369" s="460">
        <v>1</v>
      </c>
      <c r="H2369" s="461" t="s">
        <v>746</v>
      </c>
      <c r="I2369" s="461" t="s">
        <v>762</v>
      </c>
      <c r="J2369" s="461" t="s">
        <v>700</v>
      </c>
      <c r="K2369" s="594"/>
      <c r="L2369" s="594"/>
      <c r="M2369" s="352">
        <v>2000</v>
      </c>
      <c r="N2369" s="352" t="s">
        <v>703</v>
      </c>
      <c r="O2369" s="460">
        <v>2311</v>
      </c>
      <c r="P2369" s="460" t="s">
        <v>1887</v>
      </c>
      <c r="Q2369" s="460" t="s">
        <v>3000</v>
      </c>
      <c r="R2369" s="460">
        <v>2121</v>
      </c>
      <c r="S2369" s="460" t="s">
        <v>2265</v>
      </c>
      <c r="T2369" s="462">
        <v>0.74223365950407583</v>
      </c>
      <c r="U2369" s="460" t="s">
        <v>2274</v>
      </c>
      <c r="V2369" s="475">
        <v>0</v>
      </c>
      <c r="W2369" s="463" t="s">
        <v>2268</v>
      </c>
      <c r="X2369" s="463" t="s">
        <v>2268</v>
      </c>
      <c r="Y2369" s="463" t="s">
        <v>2554</v>
      </c>
      <c r="Z2369" s="463"/>
      <c r="AA2369" s="463"/>
      <c r="AB2369" s="464">
        <v>0</v>
      </c>
      <c r="AC2369" s="465">
        <v>0</v>
      </c>
      <c r="AD2369" s="465">
        <v>0</v>
      </c>
      <c r="AE2369" s="476">
        <v>0</v>
      </c>
      <c r="AF2369" s="467">
        <v>0</v>
      </c>
      <c r="AG2369" s="468">
        <v>0</v>
      </c>
      <c r="AH2369" s="218">
        <v>0</v>
      </c>
      <c r="AI2369" s="470">
        <v>0</v>
      </c>
      <c r="AJ2369" s="471">
        <v>0</v>
      </c>
      <c r="AK2369" s="218">
        <v>0</v>
      </c>
      <c r="AL2369" s="470">
        <v>0</v>
      </c>
      <c r="AM2369" s="471">
        <v>0</v>
      </c>
      <c r="AN2369" s="477">
        <v>14.506830622091107</v>
      </c>
      <c r="AO2369" s="473">
        <v>5.4456082382285994E-3</v>
      </c>
      <c r="AP2369" s="474">
        <v>7.3238010317608002E-4</v>
      </c>
      <c r="AQ2369" s="352"/>
      <c r="AR2369" s="352"/>
      <c r="AS2369" s="352"/>
      <c r="AT2369" s="352"/>
      <c r="AU2369" s="352"/>
      <c r="AV2369" s="352"/>
      <c r="AW2369" s="352" t="s">
        <v>254</v>
      </c>
    </row>
    <row r="2370" spans="2:49" x14ac:dyDescent="0.2">
      <c r="B2370" s="460" t="s">
        <v>3064</v>
      </c>
      <c r="C2370" s="460">
        <v>2311</v>
      </c>
      <c r="D2370" s="460" t="s">
        <v>2287</v>
      </c>
      <c r="E2370" s="460" t="s">
        <v>2277</v>
      </c>
      <c r="F2370" s="460">
        <v>4</v>
      </c>
      <c r="G2370" s="460">
        <v>1</v>
      </c>
      <c r="H2370" s="461" t="s">
        <v>746</v>
      </c>
      <c r="I2370" s="461" t="s">
        <v>762</v>
      </c>
      <c r="J2370" s="461" t="s">
        <v>700</v>
      </c>
      <c r="K2370" s="594"/>
      <c r="L2370" s="594"/>
      <c r="M2370" s="352">
        <v>2000</v>
      </c>
      <c r="N2370" s="352" t="s">
        <v>703</v>
      </c>
      <c r="O2370" s="460">
        <v>2311</v>
      </c>
      <c r="P2370" s="460" t="s">
        <v>1887</v>
      </c>
      <c r="Q2370" s="460" t="s">
        <v>3000</v>
      </c>
      <c r="R2370" s="460">
        <v>2121</v>
      </c>
      <c r="S2370" s="460" t="s">
        <v>2277</v>
      </c>
      <c r="T2370" s="462">
        <v>1</v>
      </c>
      <c r="U2370" s="460" t="s">
        <v>2277</v>
      </c>
      <c r="V2370" s="475">
        <v>0</v>
      </c>
      <c r="W2370" s="463" t="s">
        <v>2268</v>
      </c>
      <c r="X2370" s="463" t="s">
        <v>2268</v>
      </c>
      <c r="Y2370" s="463" t="s">
        <v>2554</v>
      </c>
      <c r="Z2370" s="463"/>
      <c r="AA2370" s="463"/>
      <c r="AB2370" s="464">
        <v>0</v>
      </c>
      <c r="AC2370" s="465">
        <v>0</v>
      </c>
      <c r="AD2370" s="465">
        <v>0</v>
      </c>
      <c r="AE2370" s="476">
        <v>0</v>
      </c>
      <c r="AF2370" s="467">
        <v>0</v>
      </c>
      <c r="AG2370" s="468">
        <v>0</v>
      </c>
      <c r="AH2370" s="218">
        <v>0</v>
      </c>
      <c r="AI2370" s="470">
        <v>0</v>
      </c>
      <c r="AJ2370" s="471">
        <v>0</v>
      </c>
      <c r="AK2370" s="218">
        <v>0</v>
      </c>
      <c r="AL2370" s="470">
        <v>0</v>
      </c>
      <c r="AM2370" s="471">
        <v>0</v>
      </c>
      <c r="AN2370" s="477">
        <v>0.21512701322402691</v>
      </c>
      <c r="AO2370" s="473">
        <v>7.2441969320441885E-5</v>
      </c>
      <c r="AP2370" s="474">
        <v>1.1276799760100932E-3</v>
      </c>
      <c r="AQ2370" s="352"/>
      <c r="AR2370" s="352"/>
      <c r="AS2370" s="352"/>
      <c r="AT2370" s="352"/>
      <c r="AU2370" s="352"/>
      <c r="AV2370" s="352"/>
      <c r="AW2370" s="352" t="s">
        <v>254</v>
      </c>
    </row>
    <row r="2371" spans="2:49" x14ac:dyDescent="0.2">
      <c r="B2371" s="460" t="s">
        <v>3061</v>
      </c>
      <c r="C2371" s="460">
        <v>2311</v>
      </c>
      <c r="D2371" s="460" t="s">
        <v>2288</v>
      </c>
      <c r="E2371" s="460" t="s">
        <v>2265</v>
      </c>
      <c r="F2371" s="460">
        <v>1</v>
      </c>
      <c r="G2371" s="460">
        <v>1</v>
      </c>
      <c r="H2371" s="461" t="s">
        <v>748</v>
      </c>
      <c r="I2371" s="461" t="s">
        <v>765</v>
      </c>
      <c r="J2371" s="461" t="s">
        <v>700</v>
      </c>
      <c r="K2371" s="594"/>
      <c r="L2371" s="594"/>
      <c r="M2371" s="352">
        <v>2000</v>
      </c>
      <c r="N2371" s="352" t="s">
        <v>703</v>
      </c>
      <c r="O2371" s="460">
        <v>2311</v>
      </c>
      <c r="P2371" s="460" t="s">
        <v>1887</v>
      </c>
      <c r="Q2371" s="460" t="s">
        <v>3000</v>
      </c>
      <c r="R2371" s="460">
        <v>2121</v>
      </c>
      <c r="S2371" s="460" t="s">
        <v>2265</v>
      </c>
      <c r="T2371" s="462">
        <v>1</v>
      </c>
      <c r="U2371" s="460" t="s">
        <v>2265</v>
      </c>
      <c r="V2371" s="475">
        <v>0</v>
      </c>
      <c r="W2371" s="463" t="s">
        <v>2268</v>
      </c>
      <c r="X2371" s="463" t="s">
        <v>2268</v>
      </c>
      <c r="Y2371" s="463" t="s">
        <v>2554</v>
      </c>
      <c r="Z2371" s="463"/>
      <c r="AA2371" s="463"/>
      <c r="AB2371" s="464">
        <v>0</v>
      </c>
      <c r="AC2371" s="465">
        <v>0</v>
      </c>
      <c r="AD2371" s="465">
        <v>0</v>
      </c>
      <c r="AE2371" s="476">
        <v>0</v>
      </c>
      <c r="AF2371" s="467">
        <v>0</v>
      </c>
      <c r="AG2371" s="468">
        <v>0</v>
      </c>
      <c r="AH2371" s="218">
        <v>0</v>
      </c>
      <c r="AI2371" s="470">
        <v>0</v>
      </c>
      <c r="AJ2371" s="471">
        <v>0</v>
      </c>
      <c r="AK2371" s="218">
        <v>0</v>
      </c>
      <c r="AL2371" s="470">
        <v>0</v>
      </c>
      <c r="AM2371" s="471">
        <v>0</v>
      </c>
      <c r="AN2371" s="477">
        <v>36.861283523187325</v>
      </c>
      <c r="AO2371" s="473">
        <v>7.3367842706932584E-3</v>
      </c>
      <c r="AP2371" s="474">
        <v>2.2891082692698965E-3</v>
      </c>
      <c r="AQ2371" s="352"/>
      <c r="AR2371" s="352"/>
      <c r="AS2371" s="352"/>
      <c r="AT2371" s="352"/>
      <c r="AU2371" s="352"/>
      <c r="AV2371" s="352"/>
      <c r="AW2371" s="352" t="s">
        <v>254</v>
      </c>
    </row>
    <row r="2372" spans="2:49" x14ac:dyDescent="0.2">
      <c r="B2372" s="460" t="s">
        <v>3062</v>
      </c>
      <c r="C2372" s="460">
        <v>2311</v>
      </c>
      <c r="D2372" s="460" t="s">
        <v>2291</v>
      </c>
      <c r="E2372" s="460" t="s">
        <v>2271</v>
      </c>
      <c r="F2372" s="460">
        <v>2</v>
      </c>
      <c r="G2372" s="460">
        <v>1</v>
      </c>
      <c r="H2372" s="461" t="s">
        <v>748</v>
      </c>
      <c r="I2372" s="461" t="s">
        <v>765</v>
      </c>
      <c r="J2372" s="461" t="s">
        <v>700</v>
      </c>
      <c r="K2372" s="594"/>
      <c r="L2372" s="594"/>
      <c r="M2372" s="352">
        <v>2000</v>
      </c>
      <c r="N2372" s="352" t="s">
        <v>703</v>
      </c>
      <c r="O2372" s="460">
        <v>2311</v>
      </c>
      <c r="P2372" s="460" t="s">
        <v>1887</v>
      </c>
      <c r="Q2372" s="460" t="s">
        <v>3000</v>
      </c>
      <c r="R2372" s="460">
        <v>2121</v>
      </c>
      <c r="S2372" s="460" t="s">
        <v>2265</v>
      </c>
      <c r="T2372" s="462">
        <v>1</v>
      </c>
      <c r="U2372" s="460" t="s">
        <v>2271</v>
      </c>
      <c r="V2372" s="475">
        <v>0</v>
      </c>
      <c r="W2372" s="463" t="s">
        <v>2268</v>
      </c>
      <c r="X2372" s="463" t="s">
        <v>2268</v>
      </c>
      <c r="Y2372" s="463" t="s">
        <v>2554</v>
      </c>
      <c r="Z2372" s="463"/>
      <c r="AA2372" s="463"/>
      <c r="AB2372" s="464">
        <v>0</v>
      </c>
      <c r="AC2372" s="465">
        <v>0</v>
      </c>
      <c r="AD2372" s="465">
        <v>0</v>
      </c>
      <c r="AE2372" s="476">
        <v>0</v>
      </c>
      <c r="AF2372" s="467">
        <v>0</v>
      </c>
      <c r="AG2372" s="468">
        <v>0</v>
      </c>
      <c r="AH2372" s="218">
        <v>0</v>
      </c>
      <c r="AI2372" s="470">
        <v>0</v>
      </c>
      <c r="AJ2372" s="471">
        <v>0</v>
      </c>
      <c r="AK2372" s="218">
        <v>0</v>
      </c>
      <c r="AL2372" s="470">
        <v>0</v>
      </c>
      <c r="AM2372" s="471">
        <v>0</v>
      </c>
      <c r="AN2372" s="477">
        <v>34.486076791484301</v>
      </c>
      <c r="AO2372" s="473">
        <v>7.3367842706932584E-3</v>
      </c>
      <c r="AP2372" s="474">
        <v>2.193455095067885E-3</v>
      </c>
      <c r="AQ2372" s="352"/>
      <c r="AR2372" s="352"/>
      <c r="AS2372" s="352"/>
      <c r="AT2372" s="352"/>
      <c r="AU2372" s="352"/>
      <c r="AV2372" s="352"/>
      <c r="AW2372" s="352" t="s">
        <v>254</v>
      </c>
    </row>
    <row r="2373" spans="2:49" x14ac:dyDescent="0.2">
      <c r="B2373" s="460" t="s">
        <v>3063</v>
      </c>
      <c r="C2373" s="460">
        <v>2311</v>
      </c>
      <c r="D2373" s="460" t="s">
        <v>2292</v>
      </c>
      <c r="E2373" s="460" t="s">
        <v>2274</v>
      </c>
      <c r="F2373" s="460">
        <v>3</v>
      </c>
      <c r="G2373" s="460">
        <v>1</v>
      </c>
      <c r="H2373" s="461" t="s">
        <v>748</v>
      </c>
      <c r="I2373" s="461" t="s">
        <v>765</v>
      </c>
      <c r="J2373" s="461" t="s">
        <v>700</v>
      </c>
      <c r="K2373" s="594"/>
      <c r="L2373" s="594"/>
      <c r="M2373" s="352">
        <v>2000</v>
      </c>
      <c r="N2373" s="352" t="s">
        <v>703</v>
      </c>
      <c r="O2373" s="460">
        <v>2311</v>
      </c>
      <c r="P2373" s="460" t="s">
        <v>1887</v>
      </c>
      <c r="Q2373" s="460" t="s">
        <v>3000</v>
      </c>
      <c r="R2373" s="460">
        <v>2121</v>
      </c>
      <c r="S2373" s="460" t="s">
        <v>2265</v>
      </c>
      <c r="T2373" s="462">
        <v>0.74223365950407583</v>
      </c>
      <c r="U2373" s="460" t="s">
        <v>2274</v>
      </c>
      <c r="V2373" s="475">
        <v>0</v>
      </c>
      <c r="W2373" s="463" t="s">
        <v>2268</v>
      </c>
      <c r="X2373" s="463" t="s">
        <v>2268</v>
      </c>
      <c r="Y2373" s="463" t="s">
        <v>2554</v>
      </c>
      <c r="Z2373" s="463"/>
      <c r="AA2373" s="463"/>
      <c r="AB2373" s="464">
        <v>0</v>
      </c>
      <c r="AC2373" s="465">
        <v>0</v>
      </c>
      <c r="AD2373" s="465">
        <v>0</v>
      </c>
      <c r="AE2373" s="476">
        <v>0</v>
      </c>
      <c r="AF2373" s="467">
        <v>0</v>
      </c>
      <c r="AG2373" s="468">
        <v>0</v>
      </c>
      <c r="AH2373" s="218">
        <v>0</v>
      </c>
      <c r="AI2373" s="470">
        <v>0</v>
      </c>
      <c r="AJ2373" s="471">
        <v>0</v>
      </c>
      <c r="AK2373" s="218">
        <v>0</v>
      </c>
      <c r="AL2373" s="470">
        <v>0</v>
      </c>
      <c r="AM2373" s="471">
        <v>0</v>
      </c>
      <c r="AN2373" s="477">
        <v>14.506830622091107</v>
      </c>
      <c r="AO2373" s="473">
        <v>5.4456082382285994E-3</v>
      </c>
      <c r="AP2373" s="474">
        <v>2.0425151761328136E-3</v>
      </c>
      <c r="AQ2373" s="352"/>
      <c r="AR2373" s="352"/>
      <c r="AS2373" s="352"/>
      <c r="AT2373" s="352"/>
      <c r="AU2373" s="352"/>
      <c r="AV2373" s="352"/>
      <c r="AW2373" s="352" t="s">
        <v>254</v>
      </c>
    </row>
    <row r="2374" spans="2:49" x14ac:dyDescent="0.2">
      <c r="B2374" s="460" t="s">
        <v>3064</v>
      </c>
      <c r="C2374" s="460">
        <v>2311</v>
      </c>
      <c r="D2374" s="460" t="s">
        <v>2293</v>
      </c>
      <c r="E2374" s="460" t="s">
        <v>2277</v>
      </c>
      <c r="F2374" s="460">
        <v>4</v>
      </c>
      <c r="G2374" s="460">
        <v>1</v>
      </c>
      <c r="H2374" s="461" t="s">
        <v>748</v>
      </c>
      <c r="I2374" s="461" t="s">
        <v>765</v>
      </c>
      <c r="J2374" s="461" t="s">
        <v>700</v>
      </c>
      <c r="K2374" s="594"/>
      <c r="L2374" s="594"/>
      <c r="M2374" s="352">
        <v>2000</v>
      </c>
      <c r="N2374" s="352" t="s">
        <v>703</v>
      </c>
      <c r="O2374" s="460">
        <v>2311</v>
      </c>
      <c r="P2374" s="460" t="s">
        <v>1887</v>
      </c>
      <c r="Q2374" s="460" t="s">
        <v>3000</v>
      </c>
      <c r="R2374" s="460">
        <v>2121</v>
      </c>
      <c r="S2374" s="460" t="s">
        <v>2277</v>
      </c>
      <c r="T2374" s="462">
        <v>1</v>
      </c>
      <c r="U2374" s="460" t="s">
        <v>2277</v>
      </c>
      <c r="V2374" s="475">
        <v>0</v>
      </c>
      <c r="W2374" s="463" t="s">
        <v>2268</v>
      </c>
      <c r="X2374" s="463" t="s">
        <v>2268</v>
      </c>
      <c r="Y2374" s="463" t="s">
        <v>2554</v>
      </c>
      <c r="Z2374" s="463"/>
      <c r="AA2374" s="463"/>
      <c r="AB2374" s="464">
        <v>0</v>
      </c>
      <c r="AC2374" s="465">
        <v>0</v>
      </c>
      <c r="AD2374" s="465">
        <v>0</v>
      </c>
      <c r="AE2374" s="476">
        <v>0</v>
      </c>
      <c r="AF2374" s="467">
        <v>0</v>
      </c>
      <c r="AG2374" s="468">
        <v>0</v>
      </c>
      <c r="AH2374" s="218">
        <v>0</v>
      </c>
      <c r="AI2374" s="470">
        <v>0</v>
      </c>
      <c r="AJ2374" s="471">
        <v>0</v>
      </c>
      <c r="AK2374" s="218">
        <v>0</v>
      </c>
      <c r="AL2374" s="470">
        <v>0</v>
      </c>
      <c r="AM2374" s="471">
        <v>0</v>
      </c>
      <c r="AN2374" s="477">
        <v>0.21512701322402691</v>
      </c>
      <c r="AO2374" s="473">
        <v>7.2441969320441885E-5</v>
      </c>
      <c r="AP2374" s="474">
        <v>5.194493073166241E-3</v>
      </c>
      <c r="AQ2374" s="352"/>
      <c r="AR2374" s="352"/>
      <c r="AS2374" s="352"/>
      <c r="AT2374" s="352"/>
      <c r="AU2374" s="352"/>
      <c r="AV2374" s="352"/>
      <c r="AW2374" s="352" t="s">
        <v>254</v>
      </c>
    </row>
    <row r="2375" spans="2:49" x14ac:dyDescent="0.2">
      <c r="B2375" s="460" t="s">
        <v>3065</v>
      </c>
      <c r="C2375" s="460">
        <v>2311</v>
      </c>
      <c r="D2375" s="460" t="s">
        <v>2295</v>
      </c>
      <c r="E2375" s="460" t="s">
        <v>2296</v>
      </c>
      <c r="F2375" s="460">
        <v>1</v>
      </c>
      <c r="G2375" s="460">
        <v>2</v>
      </c>
      <c r="H2375" s="461" t="s">
        <v>700</v>
      </c>
      <c r="I2375" s="461" t="s">
        <v>872</v>
      </c>
      <c r="J2375" s="461" t="s">
        <v>700</v>
      </c>
      <c r="K2375" s="594"/>
      <c r="L2375" s="594"/>
      <c r="M2375" s="352">
        <v>2000</v>
      </c>
      <c r="N2375" s="352" t="s">
        <v>703</v>
      </c>
      <c r="O2375" s="460">
        <v>2311</v>
      </c>
      <c r="P2375" s="460" t="s">
        <v>1887</v>
      </c>
      <c r="Q2375" s="460" t="s">
        <v>3000</v>
      </c>
      <c r="R2375" s="460">
        <v>2121</v>
      </c>
      <c r="S2375" s="460" t="s">
        <v>2296</v>
      </c>
      <c r="T2375" s="462">
        <v>1</v>
      </c>
      <c r="U2375" s="460" t="s">
        <v>2296</v>
      </c>
      <c r="V2375" s="475">
        <v>0</v>
      </c>
      <c r="W2375" s="463" t="s">
        <v>2554</v>
      </c>
      <c r="X2375" s="463" t="s">
        <v>2554</v>
      </c>
      <c r="Y2375" s="463" t="s">
        <v>2268</v>
      </c>
      <c r="Z2375" s="463"/>
      <c r="AA2375" s="463"/>
      <c r="AB2375" s="464">
        <v>170.24308467287688</v>
      </c>
      <c r="AC2375" s="465">
        <v>7.683198607159443E-2</v>
      </c>
      <c r="AD2375" s="465">
        <v>9.9445329378648299E-3</v>
      </c>
      <c r="AE2375" s="476">
        <v>42.560771168219219</v>
      </c>
      <c r="AF2375" s="467">
        <v>1.9207996517898607E-2</v>
      </c>
      <c r="AG2375" s="468">
        <v>2.7634725203182172E-3</v>
      </c>
      <c r="AH2375" s="218">
        <v>42.560771168219219</v>
      </c>
      <c r="AI2375" s="470">
        <v>1.9207996517898607E-2</v>
      </c>
      <c r="AJ2375" s="471">
        <v>2.5388922965787347E-3</v>
      </c>
      <c r="AK2375" s="218">
        <v>42.560771168219219</v>
      </c>
      <c r="AL2375" s="470">
        <v>1.9207996517898607E-2</v>
      </c>
      <c r="AM2375" s="471">
        <v>2.5388922965787347E-3</v>
      </c>
      <c r="AN2375" s="477">
        <v>0</v>
      </c>
      <c r="AO2375" s="473">
        <v>0</v>
      </c>
      <c r="AP2375" s="474">
        <v>0</v>
      </c>
      <c r="AQ2375" s="352"/>
      <c r="AR2375" s="352"/>
      <c r="AS2375" s="352"/>
      <c r="AT2375" s="352"/>
      <c r="AU2375" s="352"/>
      <c r="AV2375" s="352"/>
      <c r="AW2375" s="352" t="s">
        <v>254</v>
      </c>
    </row>
    <row r="2376" spans="2:49" x14ac:dyDescent="0.2">
      <c r="B2376" s="460" t="s">
        <v>3066</v>
      </c>
      <c r="C2376" s="460">
        <v>2311</v>
      </c>
      <c r="D2376" s="460" t="s">
        <v>2298</v>
      </c>
      <c r="E2376" s="460" t="s">
        <v>2299</v>
      </c>
      <c r="F2376" s="460">
        <v>2</v>
      </c>
      <c r="G2376" s="460">
        <v>2</v>
      </c>
      <c r="H2376" s="461" t="s">
        <v>700</v>
      </c>
      <c r="I2376" s="461" t="s">
        <v>872</v>
      </c>
      <c r="J2376" s="461" t="s">
        <v>700</v>
      </c>
      <c r="K2376" s="594"/>
      <c r="L2376" s="594"/>
      <c r="M2376" s="352">
        <v>2000</v>
      </c>
      <c r="N2376" s="352" t="s">
        <v>703</v>
      </c>
      <c r="O2376" s="460">
        <v>2311</v>
      </c>
      <c r="P2376" s="460" t="s">
        <v>1887</v>
      </c>
      <c r="Q2376" s="460" t="s">
        <v>3000</v>
      </c>
      <c r="R2376" s="460">
        <v>2121</v>
      </c>
      <c r="S2376" s="460" t="s">
        <v>2296</v>
      </c>
      <c r="T2376" s="462">
        <v>0.55517361979372948</v>
      </c>
      <c r="U2376" s="460" t="s">
        <v>2299</v>
      </c>
      <c r="V2376" s="475">
        <v>0</v>
      </c>
      <c r="W2376" s="463" t="s">
        <v>2554</v>
      </c>
      <c r="X2376" s="463" t="s">
        <v>2554</v>
      </c>
      <c r="Y2376" s="463" t="s">
        <v>2268</v>
      </c>
      <c r="Z2376" s="463"/>
      <c r="AA2376" s="463"/>
      <c r="AB2376" s="464">
        <v>21.997442209195235</v>
      </c>
      <c r="AC2376" s="465">
        <v>1.0142403871716046E-2</v>
      </c>
      <c r="AD2376" s="465">
        <v>6.6559736078962524E-3</v>
      </c>
      <c r="AE2376" s="476">
        <v>5.4993605522988087</v>
      </c>
      <c r="AF2376" s="467">
        <v>2.5356009679290115E-3</v>
      </c>
      <c r="AG2376" s="468">
        <v>1.8673217970985852E-3</v>
      </c>
      <c r="AH2376" s="218">
        <v>23.128218151708943</v>
      </c>
      <c r="AI2376" s="470">
        <v>1.0663772955827121E-2</v>
      </c>
      <c r="AJ2376" s="471">
        <v>5.4464080915417679E-3</v>
      </c>
      <c r="AK2376" s="218">
        <v>23.128218151708943</v>
      </c>
      <c r="AL2376" s="470">
        <v>1.0663772955827121E-2</v>
      </c>
      <c r="AM2376" s="471">
        <v>5.4464080915417679E-3</v>
      </c>
      <c r="AN2376" s="477">
        <v>0</v>
      </c>
      <c r="AO2376" s="473">
        <v>0</v>
      </c>
      <c r="AP2376" s="474">
        <v>0</v>
      </c>
      <c r="AQ2376" s="352"/>
      <c r="AR2376" s="352"/>
      <c r="AS2376" s="352"/>
      <c r="AT2376" s="352"/>
      <c r="AU2376" s="352"/>
      <c r="AV2376" s="352"/>
      <c r="AW2376" s="352" t="s">
        <v>254</v>
      </c>
    </row>
    <row r="2377" spans="2:49" x14ac:dyDescent="0.2">
      <c r="B2377" s="460" t="s">
        <v>3067</v>
      </c>
      <c r="C2377" s="460">
        <v>2311</v>
      </c>
      <c r="D2377" s="460" t="s">
        <v>2301</v>
      </c>
      <c r="E2377" s="460" t="s">
        <v>2302</v>
      </c>
      <c r="F2377" s="460">
        <v>3</v>
      </c>
      <c r="G2377" s="460">
        <v>2</v>
      </c>
      <c r="H2377" s="461" t="s">
        <v>700</v>
      </c>
      <c r="I2377" s="461" t="s">
        <v>872</v>
      </c>
      <c r="J2377" s="461" t="s">
        <v>700</v>
      </c>
      <c r="K2377" s="594"/>
      <c r="L2377" s="594"/>
      <c r="M2377" s="352">
        <v>2000</v>
      </c>
      <c r="N2377" s="352" t="s">
        <v>703</v>
      </c>
      <c r="O2377" s="460">
        <v>2311</v>
      </c>
      <c r="P2377" s="460" t="s">
        <v>1887</v>
      </c>
      <c r="Q2377" s="460" t="s">
        <v>3000</v>
      </c>
      <c r="R2377" s="460">
        <v>2121</v>
      </c>
      <c r="S2377" s="460" t="s">
        <v>2296</v>
      </c>
      <c r="T2377" s="462">
        <v>0.28481449642268464</v>
      </c>
      <c r="U2377" s="460" t="s">
        <v>2302</v>
      </c>
      <c r="V2377" s="475">
        <v>0</v>
      </c>
      <c r="W2377" s="463" t="s">
        <v>2554</v>
      </c>
      <c r="X2377" s="463" t="s">
        <v>2554</v>
      </c>
      <c r="Y2377" s="463" t="s">
        <v>2268</v>
      </c>
      <c r="Z2377" s="463"/>
      <c r="AA2377" s="463"/>
      <c r="AB2377" s="464">
        <v>5.4536748328886429</v>
      </c>
      <c r="AC2377" s="465">
        <v>1.0765946173085508E-2</v>
      </c>
      <c r="AD2377" s="465">
        <v>1.060814937999331E-2</v>
      </c>
      <c r="AE2377" s="476">
        <v>1.3634187082221607</v>
      </c>
      <c r="AF2377" s="467">
        <v>2.691486543271377E-3</v>
      </c>
      <c r="AG2377" s="468">
        <v>2.9926609569466572E-3</v>
      </c>
      <c r="AH2377" s="218">
        <v>2.7712850221932386</v>
      </c>
      <c r="AI2377" s="470">
        <v>5.4707158555339719E-3</v>
      </c>
      <c r="AJ2377" s="471">
        <v>2.8769234208365058E-3</v>
      </c>
      <c r="AK2377" s="218">
        <v>2.7712850221932386</v>
      </c>
      <c r="AL2377" s="470">
        <v>5.4707158555339719E-3</v>
      </c>
      <c r="AM2377" s="471">
        <v>2.8769234208365058E-3</v>
      </c>
      <c r="AN2377" s="477">
        <v>0</v>
      </c>
      <c r="AO2377" s="473">
        <v>0</v>
      </c>
      <c r="AP2377" s="474">
        <v>0</v>
      </c>
      <c r="AQ2377" s="352"/>
      <c r="AR2377" s="352"/>
      <c r="AS2377" s="352"/>
      <c r="AT2377" s="352"/>
      <c r="AU2377" s="352"/>
      <c r="AV2377" s="352"/>
      <c r="AW2377" s="352" t="s">
        <v>254</v>
      </c>
    </row>
    <row r="2378" spans="2:49" x14ac:dyDescent="0.2">
      <c r="B2378" s="460" t="s">
        <v>3068</v>
      </c>
      <c r="C2378" s="460">
        <v>2311</v>
      </c>
      <c r="D2378" s="460" t="s">
        <v>2304</v>
      </c>
      <c r="E2378" s="460" t="s">
        <v>2305</v>
      </c>
      <c r="F2378" s="460">
        <v>4</v>
      </c>
      <c r="G2378" s="460">
        <v>2</v>
      </c>
      <c r="H2378" s="461" t="s">
        <v>700</v>
      </c>
      <c r="I2378" s="461" t="s">
        <v>872</v>
      </c>
      <c r="J2378" s="461" t="s">
        <v>700</v>
      </c>
      <c r="K2378" s="594"/>
      <c r="L2378" s="594"/>
      <c r="M2378" s="352">
        <v>2000</v>
      </c>
      <c r="N2378" s="352" t="s">
        <v>703</v>
      </c>
      <c r="O2378" s="460">
        <v>2311</v>
      </c>
      <c r="P2378" s="460" t="s">
        <v>1887</v>
      </c>
      <c r="Q2378" s="460" t="s">
        <v>3000</v>
      </c>
      <c r="R2378" s="460">
        <v>2121</v>
      </c>
      <c r="S2378" s="460" t="s">
        <v>2305</v>
      </c>
      <c r="T2378" s="462">
        <v>1</v>
      </c>
      <c r="U2378" s="460" t="s">
        <v>2305</v>
      </c>
      <c r="V2378" s="475">
        <v>0</v>
      </c>
      <c r="W2378" s="463" t="s">
        <v>2554</v>
      </c>
      <c r="X2378" s="463" t="s">
        <v>2554</v>
      </c>
      <c r="Y2378" s="463" t="s">
        <v>2268</v>
      </c>
      <c r="Z2378" s="463"/>
      <c r="AA2378" s="463"/>
      <c r="AB2378" s="464">
        <v>6.8204988885076936E-2</v>
      </c>
      <c r="AC2378" s="465">
        <v>1.1938355018018665E-4</v>
      </c>
      <c r="AD2378" s="465">
        <v>5.4000000000000012E-3</v>
      </c>
      <c r="AE2378" s="476">
        <v>1.7051247221269234E-2</v>
      </c>
      <c r="AF2378" s="467">
        <v>2.9845887545046663E-5</v>
      </c>
      <c r="AG2378" s="468">
        <v>1.499065965536684E-3</v>
      </c>
      <c r="AH2378" s="218">
        <v>1.7051247221269234E-2</v>
      </c>
      <c r="AI2378" s="470">
        <v>2.9845887545046663E-5</v>
      </c>
      <c r="AJ2378" s="471">
        <v>1.4928451250589539E-3</v>
      </c>
      <c r="AK2378" s="218">
        <v>1.7051247221269234E-2</v>
      </c>
      <c r="AL2378" s="470">
        <v>2.9845887545046663E-5</v>
      </c>
      <c r="AM2378" s="471">
        <v>1.4928451250589539E-3</v>
      </c>
      <c r="AN2378" s="477">
        <v>0</v>
      </c>
      <c r="AO2378" s="473">
        <v>0</v>
      </c>
      <c r="AP2378" s="474">
        <v>0</v>
      </c>
      <c r="AQ2378" s="352"/>
      <c r="AR2378" s="352"/>
      <c r="AS2378" s="352"/>
      <c r="AT2378" s="352"/>
      <c r="AU2378" s="352"/>
      <c r="AV2378" s="352"/>
      <c r="AW2378" s="352" t="s">
        <v>254</v>
      </c>
    </row>
    <row r="2379" spans="2:49" x14ac:dyDescent="0.2">
      <c r="B2379" s="460" t="s">
        <v>3065</v>
      </c>
      <c r="C2379" s="460">
        <v>2311</v>
      </c>
      <c r="D2379" s="460" t="s">
        <v>2306</v>
      </c>
      <c r="E2379" s="460" t="s">
        <v>2296</v>
      </c>
      <c r="F2379" s="460">
        <v>1</v>
      </c>
      <c r="G2379" s="460">
        <v>2</v>
      </c>
      <c r="H2379" s="461" t="s">
        <v>712</v>
      </c>
      <c r="I2379" s="461" t="s">
        <v>713</v>
      </c>
      <c r="J2379" s="461" t="s">
        <v>712</v>
      </c>
      <c r="K2379" s="594"/>
      <c r="L2379" s="594"/>
      <c r="M2379" s="352">
        <v>2000</v>
      </c>
      <c r="N2379" s="352" t="s">
        <v>703</v>
      </c>
      <c r="O2379" s="460">
        <v>2311</v>
      </c>
      <c r="P2379" s="460" t="s">
        <v>1887</v>
      </c>
      <c r="Q2379" s="460" t="s">
        <v>2280</v>
      </c>
      <c r="R2379" s="460">
        <v>2121</v>
      </c>
      <c r="S2379" s="460" t="s">
        <v>2296</v>
      </c>
      <c r="T2379" s="462">
        <v>1</v>
      </c>
      <c r="U2379" s="460" t="s">
        <v>2296</v>
      </c>
      <c r="V2379" s="475">
        <v>0</v>
      </c>
      <c r="W2379" s="463" t="s">
        <v>713</v>
      </c>
      <c r="X2379" s="463" t="s">
        <v>713</v>
      </c>
      <c r="Y2379" s="463" t="s">
        <v>713</v>
      </c>
      <c r="Z2379" s="463"/>
      <c r="AA2379" s="463"/>
      <c r="AB2379" s="464">
        <v>2045.5409055293169</v>
      </c>
      <c r="AC2379" s="465">
        <v>0.92316801392840553</v>
      </c>
      <c r="AD2379" s="465">
        <v>1.769183599593481E-2</v>
      </c>
      <c r="AE2379" s="476">
        <v>2173.2232190339746</v>
      </c>
      <c r="AF2379" s="467">
        <v>0.98079200348210138</v>
      </c>
      <c r="AG2379" s="468">
        <v>1.8520944216635551E-2</v>
      </c>
      <c r="AH2379" s="218">
        <v>2173.2232190339746</v>
      </c>
      <c r="AI2379" s="470">
        <v>0.98079200348210138</v>
      </c>
      <c r="AJ2379" s="471">
        <v>1.8738502304989333E-2</v>
      </c>
      <c r="AK2379" s="218">
        <v>2173.2232190339746</v>
      </c>
      <c r="AL2379" s="470">
        <v>0.98079200348210138</v>
      </c>
      <c r="AM2379" s="471">
        <v>1.8738502304989333E-2</v>
      </c>
      <c r="AN2379" s="477">
        <v>2181.7353732676183</v>
      </c>
      <c r="AO2379" s="473">
        <v>0.98463360278568113</v>
      </c>
      <c r="AP2379" s="474">
        <v>1.8807281206106065E-2</v>
      </c>
      <c r="AQ2379" s="352"/>
      <c r="AR2379" s="352"/>
      <c r="AS2379" s="352"/>
      <c r="AT2379" s="352"/>
      <c r="AU2379" s="352"/>
      <c r="AV2379" s="352"/>
      <c r="AW2379" s="352" t="s">
        <v>254</v>
      </c>
    </row>
    <row r="2380" spans="2:49" x14ac:dyDescent="0.2">
      <c r="B2380" s="460" t="s">
        <v>3066</v>
      </c>
      <c r="C2380" s="460">
        <v>2311</v>
      </c>
      <c r="D2380" s="460" t="s">
        <v>2307</v>
      </c>
      <c r="E2380" s="460" t="s">
        <v>2299</v>
      </c>
      <c r="F2380" s="460">
        <v>2</v>
      </c>
      <c r="G2380" s="460">
        <v>2</v>
      </c>
      <c r="H2380" s="461" t="s">
        <v>712</v>
      </c>
      <c r="I2380" s="461" t="s">
        <v>713</v>
      </c>
      <c r="J2380" s="461" t="s">
        <v>712</v>
      </c>
      <c r="K2380" s="594"/>
      <c r="L2380" s="594"/>
      <c r="M2380" s="352">
        <v>2000</v>
      </c>
      <c r="N2380" s="352" t="s">
        <v>703</v>
      </c>
      <c r="O2380" s="460">
        <v>2311</v>
      </c>
      <c r="P2380" s="460" t="s">
        <v>1887</v>
      </c>
      <c r="Q2380" s="460" t="s">
        <v>2280</v>
      </c>
      <c r="R2380" s="460">
        <v>2121</v>
      </c>
      <c r="S2380" s="460" t="s">
        <v>2296</v>
      </c>
      <c r="T2380" s="462">
        <v>0.55517361979372948</v>
      </c>
      <c r="U2380" s="460" t="s">
        <v>2299</v>
      </c>
      <c r="V2380" s="475">
        <v>0</v>
      </c>
      <c r="W2380" s="463" t="s">
        <v>713</v>
      </c>
      <c r="X2380" s="463" t="s">
        <v>713</v>
      </c>
      <c r="Y2380" s="463" t="s">
        <v>713</v>
      </c>
      <c r="Z2380" s="463"/>
      <c r="AA2380" s="463"/>
      <c r="AB2380" s="464">
        <v>2146.8613892300791</v>
      </c>
      <c r="AC2380" s="465">
        <v>0.98985759612828406</v>
      </c>
      <c r="AD2380" s="465">
        <v>2.4832214415663918E-2</v>
      </c>
      <c r="AE2380" s="476">
        <v>2163.359470886975</v>
      </c>
      <c r="AF2380" s="467">
        <v>0.99746439903207096</v>
      </c>
      <c r="AG2380" s="468">
        <v>2.4919317781452583E-2</v>
      </c>
      <c r="AH2380" s="218">
        <v>2145.7306132875651</v>
      </c>
      <c r="AI2380" s="470">
        <v>0.9893362270441729</v>
      </c>
      <c r="AJ2380" s="471">
        <v>2.513916800713023E-2</v>
      </c>
      <c r="AK2380" s="218">
        <v>2145.7306132875651</v>
      </c>
      <c r="AL2380" s="470">
        <v>0.9893362270441729</v>
      </c>
      <c r="AM2380" s="471">
        <v>2.513916800713023E-2</v>
      </c>
      <c r="AN2380" s="477">
        <v>2150.3562569179066</v>
      </c>
      <c r="AO2380" s="473">
        <v>0.99146898163533825</v>
      </c>
      <c r="AP2380" s="474">
        <v>2.5190181314730702E-2</v>
      </c>
      <c r="AQ2380" s="352"/>
      <c r="AR2380" s="352"/>
      <c r="AS2380" s="352"/>
      <c r="AT2380" s="352"/>
      <c r="AU2380" s="352"/>
      <c r="AV2380" s="352"/>
      <c r="AW2380" s="352" t="s">
        <v>254</v>
      </c>
    </row>
    <row r="2381" spans="2:49" x14ac:dyDescent="0.2">
      <c r="B2381" s="460" t="s">
        <v>3067</v>
      </c>
      <c r="C2381" s="460">
        <v>2311</v>
      </c>
      <c r="D2381" s="460" t="s">
        <v>2308</v>
      </c>
      <c r="E2381" s="460" t="s">
        <v>2302</v>
      </c>
      <c r="F2381" s="460">
        <v>3</v>
      </c>
      <c r="G2381" s="460">
        <v>2</v>
      </c>
      <c r="H2381" s="461" t="s">
        <v>712</v>
      </c>
      <c r="I2381" s="461" t="s">
        <v>713</v>
      </c>
      <c r="J2381" s="461" t="s">
        <v>712</v>
      </c>
      <c r="K2381" s="594"/>
      <c r="L2381" s="594"/>
      <c r="M2381" s="352">
        <v>2000</v>
      </c>
      <c r="N2381" s="352" t="s">
        <v>703</v>
      </c>
      <c r="O2381" s="460">
        <v>2311</v>
      </c>
      <c r="P2381" s="460" t="s">
        <v>1887</v>
      </c>
      <c r="Q2381" s="460" t="s">
        <v>2280</v>
      </c>
      <c r="R2381" s="460">
        <v>2121</v>
      </c>
      <c r="S2381" s="460" t="s">
        <v>2296</v>
      </c>
      <c r="T2381" s="462">
        <v>0.28481449642268464</v>
      </c>
      <c r="U2381" s="460" t="s">
        <v>2302</v>
      </c>
      <c r="V2381" s="475">
        <v>0</v>
      </c>
      <c r="W2381" s="463" t="s">
        <v>713</v>
      </c>
      <c r="X2381" s="463" t="s">
        <v>713</v>
      </c>
      <c r="Y2381" s="463" t="s">
        <v>713</v>
      </c>
      <c r="Z2381" s="463"/>
      <c r="AA2381" s="463"/>
      <c r="AB2381" s="464">
        <v>501.11349030143475</v>
      </c>
      <c r="AC2381" s="465">
        <v>0.98923405382691454</v>
      </c>
      <c r="AD2381" s="465">
        <v>1.457613920033061E-2</v>
      </c>
      <c r="AE2381" s="476">
        <v>505.20374642610125</v>
      </c>
      <c r="AF2381" s="467">
        <v>0.99730851345672866</v>
      </c>
      <c r="AG2381" s="468">
        <v>1.4670145154994133E-2</v>
      </c>
      <c r="AH2381" s="218">
        <v>503.79588011213013</v>
      </c>
      <c r="AI2381" s="470">
        <v>0.99452928414446606</v>
      </c>
      <c r="AJ2381" s="471">
        <v>1.4848161531148863E-2</v>
      </c>
      <c r="AK2381" s="218">
        <v>503.79588011213013</v>
      </c>
      <c r="AL2381" s="470">
        <v>0.99452928414446606</v>
      </c>
      <c r="AM2381" s="471">
        <v>1.4848161531148863E-2</v>
      </c>
      <c r="AN2381" s="477">
        <v>504.35013711656882</v>
      </c>
      <c r="AO2381" s="473">
        <v>0.99562342731557285</v>
      </c>
      <c r="AP2381" s="474">
        <v>1.4877422417407915E-2</v>
      </c>
      <c r="AQ2381" s="352"/>
      <c r="AR2381" s="352"/>
      <c r="AS2381" s="352"/>
      <c r="AT2381" s="352"/>
      <c r="AU2381" s="352"/>
      <c r="AV2381" s="352"/>
      <c r="AW2381" s="352" t="s">
        <v>254</v>
      </c>
    </row>
    <row r="2382" spans="2:49" x14ac:dyDescent="0.2">
      <c r="B2382" s="460" t="s">
        <v>3068</v>
      </c>
      <c r="C2382" s="460">
        <v>2311</v>
      </c>
      <c r="D2382" s="460" t="s">
        <v>2309</v>
      </c>
      <c r="E2382" s="460" t="s">
        <v>2305</v>
      </c>
      <c r="F2382" s="460">
        <v>4</v>
      </c>
      <c r="G2382" s="460">
        <v>2</v>
      </c>
      <c r="H2382" s="461" t="s">
        <v>712</v>
      </c>
      <c r="I2382" s="461" t="s">
        <v>713</v>
      </c>
      <c r="J2382" s="461" t="s">
        <v>712</v>
      </c>
      <c r="K2382" s="594"/>
      <c r="L2382" s="594"/>
      <c r="M2382" s="352">
        <v>2000</v>
      </c>
      <c r="N2382" s="352" t="s">
        <v>703</v>
      </c>
      <c r="O2382" s="460">
        <v>2311</v>
      </c>
      <c r="P2382" s="460" t="s">
        <v>1887</v>
      </c>
      <c r="Q2382" s="460" t="s">
        <v>2280</v>
      </c>
      <c r="R2382" s="460">
        <v>2121</v>
      </c>
      <c r="S2382" s="460" t="s">
        <v>2305</v>
      </c>
      <c r="T2382" s="462">
        <v>1</v>
      </c>
      <c r="U2382" s="460" t="s">
        <v>2305</v>
      </c>
      <c r="V2382" s="475">
        <v>0</v>
      </c>
      <c r="W2382" s="463" t="s">
        <v>713</v>
      </c>
      <c r="X2382" s="463" t="s">
        <v>713</v>
      </c>
      <c r="Y2382" s="463" t="s">
        <v>713</v>
      </c>
      <c r="Z2382" s="463"/>
      <c r="AA2382" s="463"/>
      <c r="AB2382" s="464">
        <v>571.24156743901256</v>
      </c>
      <c r="AC2382" s="465">
        <v>0.99988061644981974</v>
      </c>
      <c r="AD2382" s="465">
        <v>1.4589453889141447E-2</v>
      </c>
      <c r="AE2382" s="476">
        <v>571.29272118067638</v>
      </c>
      <c r="AF2382" s="467">
        <v>0.99997015411245493</v>
      </c>
      <c r="AG2382" s="468">
        <v>1.4590292331842478E-2</v>
      </c>
      <c r="AH2382" s="218">
        <v>571.29272118067638</v>
      </c>
      <c r="AI2382" s="470">
        <v>0.99997015411245493</v>
      </c>
      <c r="AJ2382" s="471">
        <v>1.4590309993828616E-2</v>
      </c>
      <c r="AK2382" s="218">
        <v>571.29272118067638</v>
      </c>
      <c r="AL2382" s="470">
        <v>0.99997015411245493</v>
      </c>
      <c r="AM2382" s="471">
        <v>1.4590309993828616E-2</v>
      </c>
      <c r="AN2382" s="477">
        <v>571.29613143012068</v>
      </c>
      <c r="AO2382" s="473">
        <v>0.99997612328996399</v>
      </c>
      <c r="AP2382" s="474">
        <v>1.4590414935535525E-2</v>
      </c>
      <c r="AQ2382" s="352"/>
      <c r="AR2382" s="352"/>
      <c r="AS2382" s="352"/>
      <c r="AT2382" s="352"/>
      <c r="AU2382" s="352"/>
      <c r="AV2382" s="352"/>
      <c r="AW2382" s="352" t="s">
        <v>254</v>
      </c>
    </row>
    <row r="2383" spans="2:49" x14ac:dyDescent="0.2">
      <c r="B2383" s="460" t="s">
        <v>3065</v>
      </c>
      <c r="C2383" s="460">
        <v>2311</v>
      </c>
      <c r="D2383" s="460" t="s">
        <v>2310</v>
      </c>
      <c r="E2383" s="460" t="s">
        <v>2296</v>
      </c>
      <c r="F2383" s="460">
        <v>1</v>
      </c>
      <c r="G2383" s="460">
        <v>2</v>
      </c>
      <c r="H2383" s="461" t="s">
        <v>746</v>
      </c>
      <c r="I2383" s="461" t="s">
        <v>762</v>
      </c>
      <c r="J2383" s="461" t="s">
        <v>700</v>
      </c>
      <c r="K2383" s="594"/>
      <c r="L2383" s="594"/>
      <c r="M2383" s="352">
        <v>2000</v>
      </c>
      <c r="N2383" s="352" t="s">
        <v>703</v>
      </c>
      <c r="O2383" s="460">
        <v>2311</v>
      </c>
      <c r="P2383" s="460" t="s">
        <v>1887</v>
      </c>
      <c r="Q2383" s="460" t="s">
        <v>3000</v>
      </c>
      <c r="R2383" s="460">
        <v>2121</v>
      </c>
      <c r="S2383" s="460" t="s">
        <v>2296</v>
      </c>
      <c r="T2383" s="462">
        <v>1</v>
      </c>
      <c r="U2383" s="460" t="s">
        <v>2296</v>
      </c>
      <c r="V2383" s="475">
        <v>0</v>
      </c>
      <c r="W2383" s="463" t="s">
        <v>2268</v>
      </c>
      <c r="X2383" s="463" t="s">
        <v>2268</v>
      </c>
      <c r="Y2383" s="463" t="s">
        <v>2554</v>
      </c>
      <c r="Z2383" s="463"/>
      <c r="AA2383" s="463"/>
      <c r="AB2383" s="464">
        <v>0</v>
      </c>
      <c r="AC2383" s="465">
        <v>0</v>
      </c>
      <c r="AD2383" s="465">
        <v>0</v>
      </c>
      <c r="AE2383" s="476">
        <v>0</v>
      </c>
      <c r="AF2383" s="467">
        <v>0</v>
      </c>
      <c r="AG2383" s="468">
        <v>0</v>
      </c>
      <c r="AH2383" s="218">
        <v>0</v>
      </c>
      <c r="AI2383" s="470">
        <v>0</v>
      </c>
      <c r="AJ2383" s="471">
        <v>0</v>
      </c>
      <c r="AK2383" s="218">
        <v>0</v>
      </c>
      <c r="AL2383" s="470">
        <v>0</v>
      </c>
      <c r="AM2383" s="471">
        <v>0</v>
      </c>
      <c r="AN2383" s="477">
        <v>17.024308467287685</v>
      </c>
      <c r="AO2383" s="473">
        <v>7.6831986071594412E-3</v>
      </c>
      <c r="AP2383" s="474">
        <v>1.2646588826829392E-3</v>
      </c>
      <c r="AQ2383" s="352"/>
      <c r="AR2383" s="352"/>
      <c r="AS2383" s="352"/>
      <c r="AT2383" s="352"/>
      <c r="AU2383" s="352"/>
      <c r="AV2383" s="352"/>
      <c r="AW2383" s="352" t="s">
        <v>254</v>
      </c>
    </row>
    <row r="2384" spans="2:49" x14ac:dyDescent="0.2">
      <c r="B2384" s="460" t="s">
        <v>3066</v>
      </c>
      <c r="C2384" s="460">
        <v>2311</v>
      </c>
      <c r="D2384" s="460" t="s">
        <v>2311</v>
      </c>
      <c r="E2384" s="460" t="s">
        <v>2299</v>
      </c>
      <c r="F2384" s="460">
        <v>2</v>
      </c>
      <c r="G2384" s="460">
        <v>2</v>
      </c>
      <c r="H2384" s="461" t="s">
        <v>746</v>
      </c>
      <c r="I2384" s="461" t="s">
        <v>762</v>
      </c>
      <c r="J2384" s="461" t="s">
        <v>700</v>
      </c>
      <c r="K2384" s="594"/>
      <c r="L2384" s="594"/>
      <c r="M2384" s="352">
        <v>2000</v>
      </c>
      <c r="N2384" s="352" t="s">
        <v>703</v>
      </c>
      <c r="O2384" s="460">
        <v>2311</v>
      </c>
      <c r="P2384" s="460" t="s">
        <v>1887</v>
      </c>
      <c r="Q2384" s="460" t="s">
        <v>3000</v>
      </c>
      <c r="R2384" s="460">
        <v>2121</v>
      </c>
      <c r="S2384" s="460" t="s">
        <v>2296</v>
      </c>
      <c r="T2384" s="462">
        <v>0.55517361979372948</v>
      </c>
      <c r="U2384" s="460" t="s">
        <v>2299</v>
      </c>
      <c r="V2384" s="475">
        <v>0</v>
      </c>
      <c r="W2384" s="463" t="s">
        <v>2268</v>
      </c>
      <c r="X2384" s="463" t="s">
        <v>2268</v>
      </c>
      <c r="Y2384" s="463" t="s">
        <v>2554</v>
      </c>
      <c r="Z2384" s="463"/>
      <c r="AA2384" s="463"/>
      <c r="AB2384" s="464">
        <v>0</v>
      </c>
      <c r="AC2384" s="465">
        <v>0</v>
      </c>
      <c r="AD2384" s="465">
        <v>0</v>
      </c>
      <c r="AE2384" s="476">
        <v>0</v>
      </c>
      <c r="AF2384" s="467">
        <v>0</v>
      </c>
      <c r="AG2384" s="468">
        <v>0</v>
      </c>
      <c r="AH2384" s="218">
        <v>0</v>
      </c>
      <c r="AI2384" s="470">
        <v>0</v>
      </c>
      <c r="AJ2384" s="471">
        <v>0</v>
      </c>
      <c r="AK2384" s="218">
        <v>0</v>
      </c>
      <c r="AL2384" s="470">
        <v>0</v>
      </c>
      <c r="AM2384" s="471">
        <v>0</v>
      </c>
      <c r="AN2384" s="477">
        <v>9.2512872606835757</v>
      </c>
      <c r="AO2384" s="473">
        <v>4.2655091823308473E-3</v>
      </c>
      <c r="AP2384" s="474">
        <v>2.9309794378863567E-3</v>
      </c>
      <c r="AQ2384" s="352"/>
      <c r="AR2384" s="352"/>
      <c r="AS2384" s="352"/>
      <c r="AT2384" s="352"/>
      <c r="AU2384" s="352"/>
      <c r="AV2384" s="352"/>
      <c r="AW2384" s="352" t="s">
        <v>254</v>
      </c>
    </row>
    <row r="2385" spans="2:49" x14ac:dyDescent="0.2">
      <c r="B2385" s="460" t="s">
        <v>3067</v>
      </c>
      <c r="C2385" s="460">
        <v>2311</v>
      </c>
      <c r="D2385" s="460" t="s">
        <v>2312</v>
      </c>
      <c r="E2385" s="460" t="s">
        <v>2302</v>
      </c>
      <c r="F2385" s="460">
        <v>3</v>
      </c>
      <c r="G2385" s="460">
        <v>2</v>
      </c>
      <c r="H2385" s="461" t="s">
        <v>746</v>
      </c>
      <c r="I2385" s="461" t="s">
        <v>762</v>
      </c>
      <c r="J2385" s="461" t="s">
        <v>700</v>
      </c>
      <c r="K2385" s="594"/>
      <c r="L2385" s="594"/>
      <c r="M2385" s="352">
        <v>2000</v>
      </c>
      <c r="N2385" s="352" t="s">
        <v>703</v>
      </c>
      <c r="O2385" s="460">
        <v>2311</v>
      </c>
      <c r="P2385" s="460" t="s">
        <v>1887</v>
      </c>
      <c r="Q2385" s="460" t="s">
        <v>3000</v>
      </c>
      <c r="R2385" s="460">
        <v>2121</v>
      </c>
      <c r="S2385" s="460" t="s">
        <v>2296</v>
      </c>
      <c r="T2385" s="462">
        <v>0.28481449642268464</v>
      </c>
      <c r="U2385" s="460" t="s">
        <v>2302</v>
      </c>
      <c r="V2385" s="475">
        <v>0</v>
      </c>
      <c r="W2385" s="463" t="s">
        <v>2268</v>
      </c>
      <c r="X2385" s="463" t="s">
        <v>2268</v>
      </c>
      <c r="Y2385" s="463" t="s">
        <v>2554</v>
      </c>
      <c r="Z2385" s="463"/>
      <c r="AA2385" s="463"/>
      <c r="AB2385" s="464">
        <v>0</v>
      </c>
      <c r="AC2385" s="465">
        <v>0</v>
      </c>
      <c r="AD2385" s="465">
        <v>0</v>
      </c>
      <c r="AE2385" s="476">
        <v>0</v>
      </c>
      <c r="AF2385" s="467">
        <v>0</v>
      </c>
      <c r="AG2385" s="468">
        <v>0</v>
      </c>
      <c r="AH2385" s="218">
        <v>0</v>
      </c>
      <c r="AI2385" s="470">
        <v>0</v>
      </c>
      <c r="AJ2385" s="471">
        <v>0</v>
      </c>
      <c r="AK2385" s="218">
        <v>0</v>
      </c>
      <c r="AL2385" s="470">
        <v>0</v>
      </c>
      <c r="AM2385" s="471">
        <v>0</v>
      </c>
      <c r="AN2385" s="477">
        <v>1.1085140088772953</v>
      </c>
      <c r="AO2385" s="473">
        <v>2.1882863422135884E-3</v>
      </c>
      <c r="AP2385" s="474">
        <v>1.4603851304315681E-3</v>
      </c>
      <c r="AQ2385" s="352"/>
      <c r="AR2385" s="352"/>
      <c r="AS2385" s="352"/>
      <c r="AT2385" s="352"/>
      <c r="AU2385" s="352"/>
      <c r="AV2385" s="352"/>
      <c r="AW2385" s="352" t="s">
        <v>254</v>
      </c>
    </row>
    <row r="2386" spans="2:49" x14ac:dyDescent="0.2">
      <c r="B2386" s="460" t="s">
        <v>3068</v>
      </c>
      <c r="C2386" s="460">
        <v>2311</v>
      </c>
      <c r="D2386" s="460" t="s">
        <v>2313</v>
      </c>
      <c r="E2386" s="460" t="s">
        <v>2305</v>
      </c>
      <c r="F2386" s="460">
        <v>4</v>
      </c>
      <c r="G2386" s="460">
        <v>2</v>
      </c>
      <c r="H2386" s="461" t="s">
        <v>746</v>
      </c>
      <c r="I2386" s="461" t="s">
        <v>762</v>
      </c>
      <c r="J2386" s="461" t="s">
        <v>700</v>
      </c>
      <c r="K2386" s="594"/>
      <c r="L2386" s="594"/>
      <c r="M2386" s="352">
        <v>2000</v>
      </c>
      <c r="N2386" s="352" t="s">
        <v>703</v>
      </c>
      <c r="O2386" s="460">
        <v>2311</v>
      </c>
      <c r="P2386" s="460" t="s">
        <v>1887</v>
      </c>
      <c r="Q2386" s="460" t="s">
        <v>3000</v>
      </c>
      <c r="R2386" s="460">
        <v>2121</v>
      </c>
      <c r="S2386" s="460" t="s">
        <v>2305</v>
      </c>
      <c r="T2386" s="462">
        <v>1</v>
      </c>
      <c r="U2386" s="460" t="s">
        <v>2305</v>
      </c>
      <c r="V2386" s="475">
        <v>0</v>
      </c>
      <c r="W2386" s="463" t="s">
        <v>2268</v>
      </c>
      <c r="X2386" s="463" t="s">
        <v>2268</v>
      </c>
      <c r="Y2386" s="463" t="s">
        <v>2554</v>
      </c>
      <c r="Z2386" s="463"/>
      <c r="AA2386" s="463"/>
      <c r="AB2386" s="464">
        <v>0</v>
      </c>
      <c r="AC2386" s="465">
        <v>0</v>
      </c>
      <c r="AD2386" s="465">
        <v>0</v>
      </c>
      <c r="AE2386" s="476">
        <v>0</v>
      </c>
      <c r="AF2386" s="467">
        <v>0</v>
      </c>
      <c r="AG2386" s="468">
        <v>0</v>
      </c>
      <c r="AH2386" s="218">
        <v>0</v>
      </c>
      <c r="AI2386" s="470">
        <v>0</v>
      </c>
      <c r="AJ2386" s="471">
        <v>0</v>
      </c>
      <c r="AK2386" s="218">
        <v>0</v>
      </c>
      <c r="AL2386" s="470">
        <v>0</v>
      </c>
      <c r="AM2386" s="471">
        <v>0</v>
      </c>
      <c r="AN2386" s="477">
        <v>6.8204988885076914E-3</v>
      </c>
      <c r="AO2386" s="473">
        <v>1.1938355018018662E-5</v>
      </c>
      <c r="AP2386" s="474">
        <v>6.6571148379740864E-4</v>
      </c>
      <c r="AQ2386" s="352"/>
      <c r="AR2386" s="352"/>
      <c r="AS2386" s="352"/>
      <c r="AT2386" s="352"/>
      <c r="AU2386" s="352"/>
      <c r="AV2386" s="352"/>
      <c r="AW2386" s="352" t="s">
        <v>254</v>
      </c>
    </row>
    <row r="2387" spans="2:49" x14ac:dyDescent="0.2">
      <c r="B2387" s="460" t="s">
        <v>3065</v>
      </c>
      <c r="C2387" s="460">
        <v>2311</v>
      </c>
      <c r="D2387" s="460" t="s">
        <v>2314</v>
      </c>
      <c r="E2387" s="460" t="s">
        <v>2296</v>
      </c>
      <c r="F2387" s="460">
        <v>1</v>
      </c>
      <c r="G2387" s="460">
        <v>2</v>
      </c>
      <c r="H2387" s="461" t="s">
        <v>748</v>
      </c>
      <c r="I2387" s="461" t="s">
        <v>765</v>
      </c>
      <c r="J2387" s="461" t="s">
        <v>700</v>
      </c>
      <c r="K2387" s="594"/>
      <c r="L2387" s="594"/>
      <c r="M2387" s="352">
        <v>2000</v>
      </c>
      <c r="N2387" s="352" t="s">
        <v>703</v>
      </c>
      <c r="O2387" s="460">
        <v>2311</v>
      </c>
      <c r="P2387" s="460" t="s">
        <v>1887</v>
      </c>
      <c r="Q2387" s="460" t="s">
        <v>3000</v>
      </c>
      <c r="R2387" s="460">
        <v>2121</v>
      </c>
      <c r="S2387" s="460" t="s">
        <v>2296</v>
      </c>
      <c r="T2387" s="462">
        <v>1</v>
      </c>
      <c r="U2387" s="460" t="s">
        <v>2296</v>
      </c>
      <c r="V2387" s="475">
        <v>0</v>
      </c>
      <c r="W2387" s="463" t="s">
        <v>2268</v>
      </c>
      <c r="X2387" s="463" t="s">
        <v>2268</v>
      </c>
      <c r="Y2387" s="463" t="s">
        <v>2554</v>
      </c>
      <c r="Z2387" s="463"/>
      <c r="AA2387" s="463"/>
      <c r="AB2387" s="464">
        <v>0</v>
      </c>
      <c r="AC2387" s="465">
        <v>0</v>
      </c>
      <c r="AD2387" s="465">
        <v>0</v>
      </c>
      <c r="AE2387" s="476">
        <v>0</v>
      </c>
      <c r="AF2387" s="467">
        <v>0</v>
      </c>
      <c r="AG2387" s="468">
        <v>0</v>
      </c>
      <c r="AH2387" s="218">
        <v>0</v>
      </c>
      <c r="AI2387" s="470">
        <v>0</v>
      </c>
      <c r="AJ2387" s="471">
        <v>0</v>
      </c>
      <c r="AK2387" s="218">
        <v>0</v>
      </c>
      <c r="AL2387" s="470">
        <v>0</v>
      </c>
      <c r="AM2387" s="471">
        <v>0</v>
      </c>
      <c r="AN2387" s="477">
        <v>17.024308467287685</v>
      </c>
      <c r="AO2387" s="473">
        <v>7.6831986071594412E-3</v>
      </c>
      <c r="AP2387" s="474">
        <v>5.2006930452154062E-3</v>
      </c>
      <c r="AQ2387" s="352"/>
      <c r="AR2387" s="352"/>
      <c r="AS2387" s="352"/>
      <c r="AT2387" s="352"/>
      <c r="AU2387" s="352"/>
      <c r="AV2387" s="352"/>
      <c r="AW2387" s="352" t="s">
        <v>254</v>
      </c>
    </row>
    <row r="2388" spans="2:49" x14ac:dyDescent="0.2">
      <c r="B2388" s="460" t="s">
        <v>3066</v>
      </c>
      <c r="C2388" s="460">
        <v>2311</v>
      </c>
      <c r="D2388" s="460" t="s">
        <v>2315</v>
      </c>
      <c r="E2388" s="460" t="s">
        <v>2299</v>
      </c>
      <c r="F2388" s="460">
        <v>2</v>
      </c>
      <c r="G2388" s="460">
        <v>2</v>
      </c>
      <c r="H2388" s="461" t="s">
        <v>748</v>
      </c>
      <c r="I2388" s="461" t="s">
        <v>765</v>
      </c>
      <c r="J2388" s="461" t="s">
        <v>700</v>
      </c>
      <c r="K2388" s="594"/>
      <c r="L2388" s="594"/>
      <c r="M2388" s="352">
        <v>2000</v>
      </c>
      <c r="N2388" s="352" t="s">
        <v>703</v>
      </c>
      <c r="O2388" s="460">
        <v>2311</v>
      </c>
      <c r="P2388" s="460" t="s">
        <v>1887</v>
      </c>
      <c r="Q2388" s="460" t="s">
        <v>3000</v>
      </c>
      <c r="R2388" s="460">
        <v>2121</v>
      </c>
      <c r="S2388" s="460" t="s">
        <v>2296</v>
      </c>
      <c r="T2388" s="462">
        <v>0.55517361979372948</v>
      </c>
      <c r="U2388" s="460" t="s">
        <v>2299</v>
      </c>
      <c r="V2388" s="475">
        <v>0</v>
      </c>
      <c r="W2388" s="463" t="s">
        <v>2268</v>
      </c>
      <c r="X2388" s="463" t="s">
        <v>2268</v>
      </c>
      <c r="Y2388" s="463" t="s">
        <v>2554</v>
      </c>
      <c r="Z2388" s="463"/>
      <c r="AA2388" s="463"/>
      <c r="AB2388" s="464">
        <v>0</v>
      </c>
      <c r="AC2388" s="465">
        <v>0</v>
      </c>
      <c r="AD2388" s="465">
        <v>0</v>
      </c>
      <c r="AE2388" s="476">
        <v>0</v>
      </c>
      <c r="AF2388" s="467">
        <v>0</v>
      </c>
      <c r="AG2388" s="468">
        <v>0</v>
      </c>
      <c r="AH2388" s="218">
        <v>0</v>
      </c>
      <c r="AI2388" s="470">
        <v>0</v>
      </c>
      <c r="AJ2388" s="471">
        <v>0</v>
      </c>
      <c r="AK2388" s="218">
        <v>0</v>
      </c>
      <c r="AL2388" s="470">
        <v>0</v>
      </c>
      <c r="AM2388" s="471">
        <v>0</v>
      </c>
      <c r="AN2388" s="477">
        <v>9.2512872606835757</v>
      </c>
      <c r="AO2388" s="473">
        <v>4.2655091823308473E-3</v>
      </c>
      <c r="AP2388" s="474">
        <v>8.5711521061930026E-3</v>
      </c>
      <c r="AQ2388" s="352"/>
      <c r="AR2388" s="352"/>
      <c r="AS2388" s="352"/>
      <c r="AT2388" s="352"/>
      <c r="AU2388" s="352"/>
      <c r="AV2388" s="352"/>
      <c r="AW2388" s="352" t="s">
        <v>254</v>
      </c>
    </row>
    <row r="2389" spans="2:49" x14ac:dyDescent="0.2">
      <c r="B2389" s="460" t="s">
        <v>3067</v>
      </c>
      <c r="C2389" s="460">
        <v>2311</v>
      </c>
      <c r="D2389" s="460" t="s">
        <v>2316</v>
      </c>
      <c r="E2389" s="460" t="s">
        <v>2302</v>
      </c>
      <c r="F2389" s="460">
        <v>3</v>
      </c>
      <c r="G2389" s="460">
        <v>2</v>
      </c>
      <c r="H2389" s="461" t="s">
        <v>748</v>
      </c>
      <c r="I2389" s="461" t="s">
        <v>765</v>
      </c>
      <c r="J2389" s="461" t="s">
        <v>700</v>
      </c>
      <c r="K2389" s="594"/>
      <c r="L2389" s="594"/>
      <c r="M2389" s="352">
        <v>2000</v>
      </c>
      <c r="N2389" s="352" t="s">
        <v>703</v>
      </c>
      <c r="O2389" s="460">
        <v>2311</v>
      </c>
      <c r="P2389" s="460" t="s">
        <v>1887</v>
      </c>
      <c r="Q2389" s="460" t="s">
        <v>3000</v>
      </c>
      <c r="R2389" s="460">
        <v>2121</v>
      </c>
      <c r="S2389" s="460" t="s">
        <v>2296</v>
      </c>
      <c r="T2389" s="462">
        <v>0.28481449642268464</v>
      </c>
      <c r="U2389" s="460" t="s">
        <v>2302</v>
      </c>
      <c r="V2389" s="475">
        <v>0</v>
      </c>
      <c r="W2389" s="463" t="s">
        <v>2268</v>
      </c>
      <c r="X2389" s="463" t="s">
        <v>2268</v>
      </c>
      <c r="Y2389" s="463" t="s">
        <v>2554</v>
      </c>
      <c r="Z2389" s="463"/>
      <c r="AA2389" s="463"/>
      <c r="AB2389" s="464">
        <v>0</v>
      </c>
      <c r="AC2389" s="465">
        <v>0</v>
      </c>
      <c r="AD2389" s="465">
        <v>0</v>
      </c>
      <c r="AE2389" s="476">
        <v>0</v>
      </c>
      <c r="AF2389" s="467">
        <v>0</v>
      </c>
      <c r="AG2389" s="468">
        <v>0</v>
      </c>
      <c r="AH2389" s="218">
        <v>0</v>
      </c>
      <c r="AI2389" s="470">
        <v>0</v>
      </c>
      <c r="AJ2389" s="471">
        <v>0</v>
      </c>
      <c r="AK2389" s="218">
        <v>0</v>
      </c>
      <c r="AL2389" s="470">
        <v>0</v>
      </c>
      <c r="AM2389" s="471">
        <v>0</v>
      </c>
      <c r="AN2389" s="477">
        <v>1.1085140088772953</v>
      </c>
      <c r="AO2389" s="473">
        <v>2.1882863422135884E-3</v>
      </c>
      <c r="AP2389" s="474">
        <v>4.7432578347202416E-3</v>
      </c>
      <c r="AQ2389" s="352"/>
      <c r="AR2389" s="352"/>
      <c r="AS2389" s="352"/>
      <c r="AT2389" s="352"/>
      <c r="AU2389" s="352"/>
      <c r="AV2389" s="352"/>
      <c r="AW2389" s="352" t="s">
        <v>254</v>
      </c>
    </row>
    <row r="2390" spans="2:49" x14ac:dyDescent="0.2">
      <c r="B2390" s="460" t="s">
        <v>3068</v>
      </c>
      <c r="C2390" s="460">
        <v>2311</v>
      </c>
      <c r="D2390" s="460" t="s">
        <v>2317</v>
      </c>
      <c r="E2390" s="460" t="s">
        <v>2305</v>
      </c>
      <c r="F2390" s="460">
        <v>4</v>
      </c>
      <c r="G2390" s="460">
        <v>2</v>
      </c>
      <c r="H2390" s="461" t="s">
        <v>748</v>
      </c>
      <c r="I2390" s="461" t="s">
        <v>765</v>
      </c>
      <c r="J2390" s="461" t="s">
        <v>700</v>
      </c>
      <c r="K2390" s="594"/>
      <c r="L2390" s="594"/>
      <c r="M2390" s="352">
        <v>2000</v>
      </c>
      <c r="N2390" s="352" t="s">
        <v>703</v>
      </c>
      <c r="O2390" s="460">
        <v>2311</v>
      </c>
      <c r="P2390" s="460" t="s">
        <v>1887</v>
      </c>
      <c r="Q2390" s="460" t="s">
        <v>3000</v>
      </c>
      <c r="R2390" s="460">
        <v>2121</v>
      </c>
      <c r="S2390" s="460" t="s">
        <v>2305</v>
      </c>
      <c r="T2390" s="462">
        <v>1</v>
      </c>
      <c r="U2390" s="460" t="s">
        <v>2305</v>
      </c>
      <c r="V2390" s="475">
        <v>0</v>
      </c>
      <c r="W2390" s="463" t="s">
        <v>2268</v>
      </c>
      <c r="X2390" s="463" t="s">
        <v>2268</v>
      </c>
      <c r="Y2390" s="463" t="s">
        <v>2554</v>
      </c>
      <c r="Z2390" s="463"/>
      <c r="AA2390" s="463"/>
      <c r="AB2390" s="464">
        <v>0</v>
      </c>
      <c r="AC2390" s="465">
        <v>0</v>
      </c>
      <c r="AD2390" s="465">
        <v>0</v>
      </c>
      <c r="AE2390" s="476">
        <v>0</v>
      </c>
      <c r="AF2390" s="467">
        <v>0</v>
      </c>
      <c r="AG2390" s="468">
        <v>0</v>
      </c>
      <c r="AH2390" s="218">
        <v>0</v>
      </c>
      <c r="AI2390" s="470">
        <v>0</v>
      </c>
      <c r="AJ2390" s="471">
        <v>0</v>
      </c>
      <c r="AK2390" s="218">
        <v>0</v>
      </c>
      <c r="AL2390" s="470">
        <v>0</v>
      </c>
      <c r="AM2390" s="471">
        <v>0</v>
      </c>
      <c r="AN2390" s="477">
        <v>6.8204988885076914E-3</v>
      </c>
      <c r="AO2390" s="473">
        <v>1.1938355018018662E-5</v>
      </c>
      <c r="AP2390" s="474">
        <v>5.5702670419456616E-3</v>
      </c>
      <c r="AQ2390" s="352"/>
      <c r="AR2390" s="352"/>
      <c r="AS2390" s="352"/>
      <c r="AT2390" s="352"/>
      <c r="AU2390" s="352"/>
      <c r="AV2390" s="352"/>
      <c r="AW2390" s="352" t="s">
        <v>254</v>
      </c>
    </row>
    <row r="2391" spans="2:49" x14ac:dyDescent="0.2">
      <c r="B2391" s="460" t="s">
        <v>3069</v>
      </c>
      <c r="C2391" s="460">
        <v>2311</v>
      </c>
      <c r="D2391" s="460" t="s">
        <v>2323</v>
      </c>
      <c r="E2391" s="460" t="s">
        <v>2324</v>
      </c>
      <c r="F2391" s="460">
        <v>1</v>
      </c>
      <c r="G2391" s="460">
        <v>3</v>
      </c>
      <c r="H2391" s="461" t="s">
        <v>700</v>
      </c>
      <c r="I2391" s="461" t="s">
        <v>872</v>
      </c>
      <c r="J2391" s="461" t="s">
        <v>700</v>
      </c>
      <c r="K2391" s="594"/>
      <c r="L2391" s="594"/>
      <c r="M2391" s="352">
        <v>2000</v>
      </c>
      <c r="N2391" s="352" t="s">
        <v>703</v>
      </c>
      <c r="O2391" s="460">
        <v>2311</v>
      </c>
      <c r="P2391" s="460" t="s">
        <v>1887</v>
      </c>
      <c r="Q2391" s="460" t="s">
        <v>3000</v>
      </c>
      <c r="R2391" s="460">
        <v>2121</v>
      </c>
      <c r="S2391" s="460" t="s">
        <v>2324</v>
      </c>
      <c r="T2391" s="462">
        <v>1</v>
      </c>
      <c r="U2391" s="460" t="s">
        <v>2324</v>
      </c>
      <c r="V2391" s="475">
        <v>0</v>
      </c>
      <c r="W2391" s="463" t="s">
        <v>2554</v>
      </c>
      <c r="X2391" s="463" t="s">
        <v>2554</v>
      </c>
      <c r="Y2391" s="463" t="s">
        <v>2268</v>
      </c>
      <c r="Z2391" s="463"/>
      <c r="AA2391" s="463"/>
      <c r="AB2391" s="464">
        <v>1563.1051679565901</v>
      </c>
      <c r="AC2391" s="465">
        <v>9.2276998434630247E-2</v>
      </c>
      <c r="AD2391" s="465">
        <v>1.3399999999999995E-2</v>
      </c>
      <c r="AE2391" s="476">
        <v>390.77629198914758</v>
      </c>
      <c r="AF2391" s="467">
        <v>2.3069249608657562E-2</v>
      </c>
      <c r="AG2391" s="468">
        <v>3.5885136542653201E-3</v>
      </c>
      <c r="AH2391" s="218">
        <v>390.77629198914758</v>
      </c>
      <c r="AI2391" s="470">
        <v>2.3069249608657562E-2</v>
      </c>
      <c r="AJ2391" s="471">
        <v>3.426798515366669E-3</v>
      </c>
      <c r="AK2391" s="218">
        <v>390.77629198914758</v>
      </c>
      <c r="AL2391" s="470">
        <v>2.3069249608657562E-2</v>
      </c>
      <c r="AM2391" s="471">
        <v>3.426798515366669E-3</v>
      </c>
      <c r="AN2391" s="477">
        <v>0</v>
      </c>
      <c r="AO2391" s="473">
        <v>0</v>
      </c>
      <c r="AP2391" s="474">
        <v>0</v>
      </c>
      <c r="AQ2391" s="352"/>
      <c r="AR2391" s="352"/>
      <c r="AS2391" s="352"/>
      <c r="AT2391" s="352"/>
      <c r="AU2391" s="352"/>
      <c r="AV2391" s="352"/>
      <c r="AW2391" s="352" t="s">
        <v>254</v>
      </c>
    </row>
    <row r="2392" spans="2:49" x14ac:dyDescent="0.2">
      <c r="B2392" s="460" t="s">
        <v>3070</v>
      </c>
      <c r="C2392" s="460">
        <v>2311</v>
      </c>
      <c r="D2392" s="460" t="s">
        <v>2326</v>
      </c>
      <c r="E2392" s="460" t="s">
        <v>2327</v>
      </c>
      <c r="F2392" s="460">
        <v>2</v>
      </c>
      <c r="G2392" s="460">
        <v>3</v>
      </c>
      <c r="H2392" s="461" t="s">
        <v>700</v>
      </c>
      <c r="I2392" s="461" t="s">
        <v>872</v>
      </c>
      <c r="J2392" s="461" t="s">
        <v>700</v>
      </c>
      <c r="K2392" s="594"/>
      <c r="L2392" s="594"/>
      <c r="M2392" s="352">
        <v>2000</v>
      </c>
      <c r="N2392" s="352" t="s">
        <v>703</v>
      </c>
      <c r="O2392" s="460">
        <v>2311</v>
      </c>
      <c r="P2392" s="460" t="s">
        <v>1887</v>
      </c>
      <c r="Q2392" s="460" t="s">
        <v>3000</v>
      </c>
      <c r="R2392" s="460">
        <v>2121</v>
      </c>
      <c r="S2392" s="460" t="s">
        <v>2324</v>
      </c>
      <c r="T2392" s="462">
        <v>1</v>
      </c>
      <c r="U2392" s="460" t="s">
        <v>2327</v>
      </c>
      <c r="V2392" s="475">
        <v>0</v>
      </c>
      <c r="W2392" s="463" t="s">
        <v>2554</v>
      </c>
      <c r="X2392" s="463" t="s">
        <v>2554</v>
      </c>
      <c r="Y2392" s="463" t="s">
        <v>2268</v>
      </c>
      <c r="Z2392" s="463"/>
      <c r="AA2392" s="463"/>
      <c r="AB2392" s="464">
        <v>907.25558834110291</v>
      </c>
      <c r="AC2392" s="465">
        <v>9.6388190051121009E-2</v>
      </c>
      <c r="AD2392" s="465">
        <v>1.3399999999999999E-2</v>
      </c>
      <c r="AE2392" s="476">
        <v>226.81389708527573</v>
      </c>
      <c r="AF2392" s="467">
        <v>2.4097047512780252E-2</v>
      </c>
      <c r="AG2392" s="468">
        <v>3.6284212092595088E-3</v>
      </c>
      <c r="AH2392" s="218">
        <v>226.81389708527573</v>
      </c>
      <c r="AI2392" s="470">
        <v>2.4097047512780252E-2</v>
      </c>
      <c r="AJ2392" s="471">
        <v>3.0536387933884192E-3</v>
      </c>
      <c r="AK2392" s="218">
        <v>226.81389708527573</v>
      </c>
      <c r="AL2392" s="470">
        <v>2.4097047512780252E-2</v>
      </c>
      <c r="AM2392" s="471">
        <v>3.0536387933884192E-3</v>
      </c>
      <c r="AN2392" s="477">
        <v>0</v>
      </c>
      <c r="AO2392" s="473">
        <v>0</v>
      </c>
      <c r="AP2392" s="474">
        <v>0</v>
      </c>
      <c r="AQ2392" s="352"/>
      <c r="AR2392" s="352"/>
      <c r="AS2392" s="352"/>
      <c r="AT2392" s="352"/>
      <c r="AU2392" s="352"/>
      <c r="AV2392" s="352"/>
      <c r="AW2392" s="352" t="s">
        <v>254</v>
      </c>
    </row>
    <row r="2393" spans="2:49" x14ac:dyDescent="0.2">
      <c r="B2393" s="460" t="s">
        <v>3071</v>
      </c>
      <c r="C2393" s="460">
        <v>2311</v>
      </c>
      <c r="D2393" s="460" t="s">
        <v>2329</v>
      </c>
      <c r="E2393" s="460" t="s">
        <v>2330</v>
      </c>
      <c r="F2393" s="460">
        <v>3</v>
      </c>
      <c r="G2393" s="460">
        <v>3</v>
      </c>
      <c r="H2393" s="461" t="s">
        <v>700</v>
      </c>
      <c r="I2393" s="461" t="s">
        <v>872</v>
      </c>
      <c r="J2393" s="461" t="s">
        <v>700</v>
      </c>
      <c r="K2393" s="594"/>
      <c r="L2393" s="594"/>
      <c r="M2393" s="352">
        <v>2000</v>
      </c>
      <c r="N2393" s="352" t="s">
        <v>703</v>
      </c>
      <c r="O2393" s="460">
        <v>2311</v>
      </c>
      <c r="P2393" s="460" t="s">
        <v>1887</v>
      </c>
      <c r="Q2393" s="460" t="s">
        <v>3000</v>
      </c>
      <c r="R2393" s="460">
        <v>2121</v>
      </c>
      <c r="S2393" s="460" t="s">
        <v>2324</v>
      </c>
      <c r="T2393" s="462">
        <v>1</v>
      </c>
      <c r="U2393" s="460" t="s">
        <v>2330</v>
      </c>
      <c r="V2393" s="475">
        <v>0</v>
      </c>
      <c r="W2393" s="463" t="s">
        <v>2554</v>
      </c>
      <c r="X2393" s="463" t="s">
        <v>2554</v>
      </c>
      <c r="Y2393" s="463" t="s">
        <v>2268</v>
      </c>
      <c r="Z2393" s="463"/>
      <c r="AA2393" s="463"/>
      <c r="AB2393" s="464">
        <v>354.86150243986987</v>
      </c>
      <c r="AC2393" s="465">
        <v>0.13068010275939235</v>
      </c>
      <c r="AD2393" s="465">
        <v>1.3399999999999999E-2</v>
      </c>
      <c r="AE2393" s="476">
        <v>88.715375609967467</v>
      </c>
      <c r="AF2393" s="467">
        <v>3.2670025689848087E-2</v>
      </c>
      <c r="AG2393" s="468">
        <v>3.5904054609761367E-3</v>
      </c>
      <c r="AH2393" s="218">
        <v>88.715375609967467</v>
      </c>
      <c r="AI2393" s="470">
        <v>3.2670025689848087E-2</v>
      </c>
      <c r="AJ2393" s="471">
        <v>3.125650903505407E-3</v>
      </c>
      <c r="AK2393" s="218">
        <v>88.715375609967467</v>
      </c>
      <c r="AL2393" s="470">
        <v>3.2670025689848087E-2</v>
      </c>
      <c r="AM2393" s="471">
        <v>3.125650903505407E-3</v>
      </c>
      <c r="AN2393" s="477">
        <v>0</v>
      </c>
      <c r="AO2393" s="473">
        <v>0</v>
      </c>
      <c r="AP2393" s="474">
        <v>0</v>
      </c>
      <c r="AQ2393" s="352"/>
      <c r="AR2393" s="352"/>
      <c r="AS2393" s="352"/>
      <c r="AT2393" s="352"/>
      <c r="AU2393" s="352"/>
      <c r="AV2393" s="352"/>
      <c r="AW2393" s="352" t="s">
        <v>254</v>
      </c>
    </row>
    <row r="2394" spans="2:49" x14ac:dyDescent="0.2">
      <c r="B2394" s="460" t="s">
        <v>3072</v>
      </c>
      <c r="C2394" s="460">
        <v>2311</v>
      </c>
      <c r="D2394" s="460" t="s">
        <v>2332</v>
      </c>
      <c r="E2394" s="460" t="s">
        <v>2333</v>
      </c>
      <c r="F2394" s="460">
        <v>4</v>
      </c>
      <c r="G2394" s="460">
        <v>3</v>
      </c>
      <c r="H2394" s="461" t="s">
        <v>700</v>
      </c>
      <c r="I2394" s="461" t="s">
        <v>872</v>
      </c>
      <c r="J2394" s="461" t="s">
        <v>700</v>
      </c>
      <c r="K2394" s="594"/>
      <c r="L2394" s="594"/>
      <c r="M2394" s="352">
        <v>2000</v>
      </c>
      <c r="N2394" s="352" t="s">
        <v>703</v>
      </c>
      <c r="O2394" s="460">
        <v>2311</v>
      </c>
      <c r="P2394" s="460" t="s">
        <v>1887</v>
      </c>
      <c r="Q2394" s="460" t="s">
        <v>3000</v>
      </c>
      <c r="R2394" s="460">
        <v>2121</v>
      </c>
      <c r="S2394" s="460" t="s">
        <v>2333</v>
      </c>
      <c r="T2394" s="462">
        <v>1</v>
      </c>
      <c r="U2394" s="460" t="s">
        <v>2333</v>
      </c>
      <c r="V2394" s="475">
        <v>0</v>
      </c>
      <c r="W2394" s="463" t="s">
        <v>2554</v>
      </c>
      <c r="X2394" s="463" t="s">
        <v>2554</v>
      </c>
      <c r="Y2394" s="463" t="s">
        <v>2268</v>
      </c>
      <c r="Z2394" s="463"/>
      <c r="AA2394" s="463"/>
      <c r="AB2394" s="464">
        <v>194.29146712585845</v>
      </c>
      <c r="AC2394" s="465">
        <v>6.3681314779189563E-2</v>
      </c>
      <c r="AD2394" s="465">
        <v>1.34E-2</v>
      </c>
      <c r="AE2394" s="476">
        <v>48.572866781464619</v>
      </c>
      <c r="AF2394" s="467">
        <v>1.5920328694797391E-2</v>
      </c>
      <c r="AG2394" s="468">
        <v>3.6971499165991181E-3</v>
      </c>
      <c r="AH2394" s="218">
        <v>48.572866781464619</v>
      </c>
      <c r="AI2394" s="470">
        <v>1.5920328694797391E-2</v>
      </c>
      <c r="AJ2394" s="471">
        <v>3.5820750707958289E-3</v>
      </c>
      <c r="AK2394" s="218">
        <v>48.572866781464619</v>
      </c>
      <c r="AL2394" s="470">
        <v>1.5920328694797391E-2</v>
      </c>
      <c r="AM2394" s="471">
        <v>3.5820750707958289E-3</v>
      </c>
      <c r="AN2394" s="477">
        <v>0</v>
      </c>
      <c r="AO2394" s="473">
        <v>0</v>
      </c>
      <c r="AP2394" s="474">
        <v>0</v>
      </c>
      <c r="AQ2394" s="352"/>
      <c r="AR2394" s="352"/>
      <c r="AS2394" s="352"/>
      <c r="AT2394" s="352"/>
      <c r="AU2394" s="352"/>
      <c r="AV2394" s="352"/>
      <c r="AW2394" s="352" t="s">
        <v>254</v>
      </c>
    </row>
    <row r="2395" spans="2:49" x14ac:dyDescent="0.2">
      <c r="B2395" s="460" t="s">
        <v>3069</v>
      </c>
      <c r="C2395" s="460">
        <v>2311</v>
      </c>
      <c r="D2395" s="460" t="s">
        <v>2334</v>
      </c>
      <c r="E2395" s="460" t="s">
        <v>2324</v>
      </c>
      <c r="F2395" s="460">
        <v>1</v>
      </c>
      <c r="G2395" s="460">
        <v>3</v>
      </c>
      <c r="H2395" s="461" t="s">
        <v>712</v>
      </c>
      <c r="I2395" s="461" t="s">
        <v>713</v>
      </c>
      <c r="J2395" s="461" t="s">
        <v>712</v>
      </c>
      <c r="K2395" s="594"/>
      <c r="L2395" s="594"/>
      <c r="M2395" s="352">
        <v>2000</v>
      </c>
      <c r="N2395" s="352" t="s">
        <v>703</v>
      </c>
      <c r="O2395" s="460">
        <v>2311</v>
      </c>
      <c r="P2395" s="460" t="s">
        <v>1887</v>
      </c>
      <c r="Q2395" s="460" t="s">
        <v>2280</v>
      </c>
      <c r="R2395" s="460">
        <v>2121</v>
      </c>
      <c r="S2395" s="460" t="s">
        <v>2324</v>
      </c>
      <c r="T2395" s="462">
        <v>1</v>
      </c>
      <c r="U2395" s="460" t="s">
        <v>2324</v>
      </c>
      <c r="V2395" s="475">
        <v>0</v>
      </c>
      <c r="W2395" s="463" t="s">
        <v>713</v>
      </c>
      <c r="X2395" s="463" t="s">
        <v>713</v>
      </c>
      <c r="Y2395" s="463" t="s">
        <v>713</v>
      </c>
      <c r="Z2395" s="463"/>
      <c r="AA2395" s="463"/>
      <c r="AB2395" s="464">
        <v>12539.405957273077</v>
      </c>
      <c r="AC2395" s="465">
        <v>0.74025648920547571</v>
      </c>
      <c r="AD2395" s="465">
        <v>3.1309593740615524E-2</v>
      </c>
      <c r="AE2395" s="476">
        <v>13711.734833240518</v>
      </c>
      <c r="AF2395" s="467">
        <v>0.80946423803144829</v>
      </c>
      <c r="AG2395" s="468">
        <v>3.3586575228852104E-2</v>
      </c>
      <c r="AH2395" s="218">
        <v>13711.734833240518</v>
      </c>
      <c r="AI2395" s="470">
        <v>0.80946423803144829</v>
      </c>
      <c r="AJ2395" s="471">
        <v>3.4014745244746576E-2</v>
      </c>
      <c r="AK2395" s="218">
        <v>13711.734833240518</v>
      </c>
      <c r="AL2395" s="470">
        <v>0.80946423803144829</v>
      </c>
      <c r="AM2395" s="471">
        <v>3.4014745244746576E-2</v>
      </c>
      <c r="AN2395" s="477">
        <v>13789.890091638348</v>
      </c>
      <c r="AO2395" s="473">
        <v>0.81407808795317982</v>
      </c>
      <c r="AP2395" s="474">
        <v>3.4191977525399292E-2</v>
      </c>
      <c r="AQ2395" s="352"/>
      <c r="AR2395" s="352"/>
      <c r="AS2395" s="352"/>
      <c r="AT2395" s="352"/>
      <c r="AU2395" s="352"/>
      <c r="AV2395" s="352"/>
      <c r="AW2395" s="352" t="s">
        <v>254</v>
      </c>
    </row>
    <row r="2396" spans="2:49" x14ac:dyDescent="0.2">
      <c r="B2396" s="460" t="s">
        <v>3070</v>
      </c>
      <c r="C2396" s="460">
        <v>2311</v>
      </c>
      <c r="D2396" s="460" t="s">
        <v>2335</v>
      </c>
      <c r="E2396" s="460" t="s">
        <v>2327</v>
      </c>
      <c r="F2396" s="460">
        <v>2</v>
      </c>
      <c r="G2396" s="460">
        <v>3</v>
      </c>
      <c r="H2396" s="461" t="s">
        <v>712</v>
      </c>
      <c r="I2396" s="461" t="s">
        <v>713</v>
      </c>
      <c r="J2396" s="461" t="s">
        <v>712</v>
      </c>
      <c r="K2396" s="594"/>
      <c r="L2396" s="594"/>
      <c r="M2396" s="352">
        <v>2000</v>
      </c>
      <c r="N2396" s="352" t="s">
        <v>703</v>
      </c>
      <c r="O2396" s="460">
        <v>2311</v>
      </c>
      <c r="P2396" s="460" t="s">
        <v>1887</v>
      </c>
      <c r="Q2396" s="460" t="s">
        <v>2280</v>
      </c>
      <c r="R2396" s="460">
        <v>2121</v>
      </c>
      <c r="S2396" s="460" t="s">
        <v>2324</v>
      </c>
      <c r="T2396" s="462">
        <v>1</v>
      </c>
      <c r="U2396" s="460" t="s">
        <v>2327</v>
      </c>
      <c r="V2396" s="475">
        <v>0</v>
      </c>
      <c r="W2396" s="463" t="s">
        <v>713</v>
      </c>
      <c r="X2396" s="463" t="s">
        <v>713</v>
      </c>
      <c r="Y2396" s="463" t="s">
        <v>713</v>
      </c>
      <c r="Z2396" s="463"/>
      <c r="AA2396" s="463"/>
      <c r="AB2396" s="464">
        <v>8137.5277803539493</v>
      </c>
      <c r="AC2396" s="465">
        <v>0.8645431169767952</v>
      </c>
      <c r="AD2396" s="465">
        <v>2.6061234211977251E-2</v>
      </c>
      <c r="AE2396" s="476">
        <v>8817.9694716097783</v>
      </c>
      <c r="AF2396" s="467">
        <v>0.9368342595151361</v>
      </c>
      <c r="AG2396" s="468">
        <v>2.7778230012797143E-2</v>
      </c>
      <c r="AH2396" s="218">
        <v>8817.9694716097783</v>
      </c>
      <c r="AI2396" s="470">
        <v>0.9368342595151361</v>
      </c>
      <c r="AJ2396" s="471">
        <v>2.8888365291523933E-2</v>
      </c>
      <c r="AK2396" s="218">
        <v>8817.9694716097783</v>
      </c>
      <c r="AL2396" s="470">
        <v>0.9368342595151361</v>
      </c>
      <c r="AM2396" s="471">
        <v>2.8888365291523933E-2</v>
      </c>
      <c r="AN2396" s="477">
        <v>8863.3322510268317</v>
      </c>
      <c r="AO2396" s="473">
        <v>0.9416536690176921</v>
      </c>
      <c r="AP2396" s="474">
        <v>2.9025592995516797E-2</v>
      </c>
      <c r="AQ2396" s="352"/>
      <c r="AR2396" s="352"/>
      <c r="AS2396" s="352"/>
      <c r="AT2396" s="352"/>
      <c r="AU2396" s="352"/>
      <c r="AV2396" s="352"/>
      <c r="AW2396" s="352" t="s">
        <v>254</v>
      </c>
    </row>
    <row r="2397" spans="2:49" x14ac:dyDescent="0.2">
      <c r="B2397" s="460" t="s">
        <v>3071</v>
      </c>
      <c r="C2397" s="460">
        <v>2311</v>
      </c>
      <c r="D2397" s="460" t="s">
        <v>2336</v>
      </c>
      <c r="E2397" s="460" t="s">
        <v>2330</v>
      </c>
      <c r="F2397" s="460">
        <v>3</v>
      </c>
      <c r="G2397" s="460">
        <v>3</v>
      </c>
      <c r="H2397" s="461" t="s">
        <v>712</v>
      </c>
      <c r="I2397" s="461" t="s">
        <v>713</v>
      </c>
      <c r="J2397" s="461" t="s">
        <v>712</v>
      </c>
      <c r="K2397" s="594"/>
      <c r="L2397" s="594"/>
      <c r="M2397" s="352">
        <v>2000</v>
      </c>
      <c r="N2397" s="352" t="s">
        <v>703</v>
      </c>
      <c r="O2397" s="460">
        <v>2311</v>
      </c>
      <c r="P2397" s="460" t="s">
        <v>1887</v>
      </c>
      <c r="Q2397" s="460" t="s">
        <v>2280</v>
      </c>
      <c r="R2397" s="460">
        <v>2121</v>
      </c>
      <c r="S2397" s="460" t="s">
        <v>2324</v>
      </c>
      <c r="T2397" s="462">
        <v>1</v>
      </c>
      <c r="U2397" s="460" t="s">
        <v>2330</v>
      </c>
      <c r="V2397" s="475">
        <v>0</v>
      </c>
      <c r="W2397" s="463" t="s">
        <v>713</v>
      </c>
      <c r="X2397" s="463" t="s">
        <v>713</v>
      </c>
      <c r="Y2397" s="463" t="s">
        <v>713</v>
      </c>
      <c r="Z2397" s="463"/>
      <c r="AA2397" s="463"/>
      <c r="AB2397" s="464">
        <v>2212.7904367417232</v>
      </c>
      <c r="AC2397" s="465">
        <v>0.81487476006898663</v>
      </c>
      <c r="AD2397" s="465">
        <v>1.9592628615782488E-2</v>
      </c>
      <c r="AE2397" s="476">
        <v>2478.9365635716258</v>
      </c>
      <c r="AF2397" s="467">
        <v>0.91288483713853097</v>
      </c>
      <c r="AG2397" s="468">
        <v>2.1609875383376578E-2</v>
      </c>
      <c r="AH2397" s="218">
        <v>2478.9365635716258</v>
      </c>
      <c r="AI2397" s="470">
        <v>0.91288483713853097</v>
      </c>
      <c r="AJ2397" s="471">
        <v>2.2434968339097982E-2</v>
      </c>
      <c r="AK2397" s="218">
        <v>2478.9365635716258</v>
      </c>
      <c r="AL2397" s="470">
        <v>0.91288483713853097</v>
      </c>
      <c r="AM2397" s="471">
        <v>2.2434968339097982E-2</v>
      </c>
      <c r="AN2397" s="477">
        <v>2496.6796386936194</v>
      </c>
      <c r="AO2397" s="473">
        <v>0.91941884227650061</v>
      </c>
      <c r="AP2397" s="474">
        <v>2.2653869012685773E-2</v>
      </c>
      <c r="AQ2397" s="352"/>
      <c r="AR2397" s="352"/>
      <c r="AS2397" s="352"/>
      <c r="AT2397" s="352"/>
      <c r="AU2397" s="352"/>
      <c r="AV2397" s="352"/>
      <c r="AW2397" s="352" t="s">
        <v>254</v>
      </c>
    </row>
    <row r="2398" spans="2:49" x14ac:dyDescent="0.2">
      <c r="B2398" s="460" t="s">
        <v>3072</v>
      </c>
      <c r="C2398" s="460">
        <v>2311</v>
      </c>
      <c r="D2398" s="460" t="s">
        <v>2337</v>
      </c>
      <c r="E2398" s="460" t="s">
        <v>2333</v>
      </c>
      <c r="F2398" s="460">
        <v>4</v>
      </c>
      <c r="G2398" s="460">
        <v>3</v>
      </c>
      <c r="H2398" s="461" t="s">
        <v>712</v>
      </c>
      <c r="I2398" s="461" t="s">
        <v>713</v>
      </c>
      <c r="J2398" s="461" t="s">
        <v>712</v>
      </c>
      <c r="K2398" s="594"/>
      <c r="L2398" s="594"/>
      <c r="M2398" s="352">
        <v>2000</v>
      </c>
      <c r="N2398" s="352" t="s">
        <v>703</v>
      </c>
      <c r="O2398" s="460">
        <v>2311</v>
      </c>
      <c r="P2398" s="460" t="s">
        <v>1887</v>
      </c>
      <c r="Q2398" s="460" t="s">
        <v>2280</v>
      </c>
      <c r="R2398" s="460">
        <v>2121</v>
      </c>
      <c r="S2398" s="460" t="s">
        <v>2333</v>
      </c>
      <c r="T2398" s="462">
        <v>1</v>
      </c>
      <c r="U2398" s="460" t="s">
        <v>2333</v>
      </c>
      <c r="V2398" s="475">
        <v>0</v>
      </c>
      <c r="W2398" s="463" t="s">
        <v>713</v>
      </c>
      <c r="X2398" s="463" t="s">
        <v>713</v>
      </c>
      <c r="Y2398" s="463" t="s">
        <v>713</v>
      </c>
      <c r="Z2398" s="463"/>
      <c r="AA2398" s="463"/>
      <c r="AB2398" s="464">
        <v>2716.9107474772195</v>
      </c>
      <c r="AC2398" s="465">
        <v>0.89049947018508602</v>
      </c>
      <c r="AD2398" s="465">
        <v>2.0655234169559035E-2</v>
      </c>
      <c r="AE2398" s="476">
        <v>2862.6293478216135</v>
      </c>
      <c r="AF2398" s="467">
        <v>0.93826045626947818</v>
      </c>
      <c r="AG2398" s="468">
        <v>2.1540108580160137E-2</v>
      </c>
      <c r="AH2398" s="218">
        <v>2862.6293478216135</v>
      </c>
      <c r="AI2398" s="470">
        <v>0.93826045626947818</v>
      </c>
      <c r="AJ2398" s="471">
        <v>2.1608733916194948E-2</v>
      </c>
      <c r="AK2398" s="218">
        <v>2862.6293478216135</v>
      </c>
      <c r="AL2398" s="470">
        <v>0.93826045626947818</v>
      </c>
      <c r="AM2398" s="471">
        <v>2.1608733916194948E-2</v>
      </c>
      <c r="AN2398" s="477">
        <v>2872.3439211779064</v>
      </c>
      <c r="AO2398" s="473">
        <v>0.94144452200843765</v>
      </c>
      <c r="AP2398" s="474">
        <v>2.1688955178853636E-2</v>
      </c>
      <c r="AQ2398" s="352"/>
      <c r="AR2398" s="352"/>
      <c r="AS2398" s="352"/>
      <c r="AT2398" s="352"/>
      <c r="AU2398" s="352"/>
      <c r="AV2398" s="352"/>
      <c r="AW2398" s="352" t="s">
        <v>254</v>
      </c>
    </row>
    <row r="2399" spans="2:49" x14ac:dyDescent="0.2">
      <c r="B2399" s="460" t="s">
        <v>3069</v>
      </c>
      <c r="C2399" s="460">
        <v>2311</v>
      </c>
      <c r="D2399" s="460" t="s">
        <v>2338</v>
      </c>
      <c r="E2399" s="460" t="s">
        <v>2324</v>
      </c>
      <c r="F2399" s="460">
        <v>1</v>
      </c>
      <c r="G2399" s="460">
        <v>3</v>
      </c>
      <c r="H2399" s="461" t="s">
        <v>746</v>
      </c>
      <c r="I2399" s="461" t="s">
        <v>762</v>
      </c>
      <c r="J2399" s="461" t="s">
        <v>700</v>
      </c>
      <c r="K2399" s="594"/>
      <c r="L2399" s="594"/>
      <c r="M2399" s="352">
        <v>2000</v>
      </c>
      <c r="N2399" s="352" t="s">
        <v>703</v>
      </c>
      <c r="O2399" s="460">
        <v>2311</v>
      </c>
      <c r="P2399" s="460" t="s">
        <v>1887</v>
      </c>
      <c r="Q2399" s="460" t="s">
        <v>3000</v>
      </c>
      <c r="R2399" s="460">
        <v>2121</v>
      </c>
      <c r="S2399" s="460" t="s">
        <v>2324</v>
      </c>
      <c r="T2399" s="462">
        <v>1</v>
      </c>
      <c r="U2399" s="460" t="s">
        <v>2324</v>
      </c>
      <c r="V2399" s="475">
        <v>0</v>
      </c>
      <c r="W2399" s="463" t="s">
        <v>2268</v>
      </c>
      <c r="X2399" s="463" t="s">
        <v>2268</v>
      </c>
      <c r="Y2399" s="463" t="s">
        <v>2554</v>
      </c>
      <c r="Z2399" s="463"/>
      <c r="AA2399" s="463"/>
      <c r="AB2399" s="464">
        <v>0</v>
      </c>
      <c r="AC2399" s="465">
        <v>0</v>
      </c>
      <c r="AD2399" s="465">
        <v>0</v>
      </c>
      <c r="AE2399" s="476">
        <v>0</v>
      </c>
      <c r="AF2399" s="467">
        <v>0</v>
      </c>
      <c r="AG2399" s="468">
        <v>0</v>
      </c>
      <c r="AH2399" s="218">
        <v>0</v>
      </c>
      <c r="AI2399" s="470">
        <v>0</v>
      </c>
      <c r="AJ2399" s="471">
        <v>0</v>
      </c>
      <c r="AK2399" s="218">
        <v>0</v>
      </c>
      <c r="AL2399" s="470">
        <v>0</v>
      </c>
      <c r="AM2399" s="471">
        <v>0</v>
      </c>
      <c r="AN2399" s="477">
        <v>156.31051679565897</v>
      </c>
      <c r="AO2399" s="473">
        <v>9.2276998434630223E-3</v>
      </c>
      <c r="AP2399" s="474">
        <v>1.6518510394953831E-3</v>
      </c>
      <c r="AQ2399" s="352"/>
      <c r="AR2399" s="352"/>
      <c r="AS2399" s="352"/>
      <c r="AT2399" s="352"/>
      <c r="AU2399" s="352"/>
      <c r="AV2399" s="352"/>
      <c r="AW2399" s="352" t="s">
        <v>254</v>
      </c>
    </row>
    <row r="2400" spans="2:49" x14ac:dyDescent="0.2">
      <c r="B2400" s="460" t="s">
        <v>3070</v>
      </c>
      <c r="C2400" s="460">
        <v>2311</v>
      </c>
      <c r="D2400" s="460" t="s">
        <v>2339</v>
      </c>
      <c r="E2400" s="460" t="s">
        <v>2327</v>
      </c>
      <c r="F2400" s="460">
        <v>2</v>
      </c>
      <c r="G2400" s="460">
        <v>3</v>
      </c>
      <c r="H2400" s="461" t="s">
        <v>746</v>
      </c>
      <c r="I2400" s="461" t="s">
        <v>762</v>
      </c>
      <c r="J2400" s="461" t="s">
        <v>700</v>
      </c>
      <c r="K2400" s="594"/>
      <c r="L2400" s="594"/>
      <c r="M2400" s="352">
        <v>2000</v>
      </c>
      <c r="N2400" s="352" t="s">
        <v>703</v>
      </c>
      <c r="O2400" s="460">
        <v>2311</v>
      </c>
      <c r="P2400" s="460" t="s">
        <v>1887</v>
      </c>
      <c r="Q2400" s="460" t="s">
        <v>3000</v>
      </c>
      <c r="R2400" s="460">
        <v>2121</v>
      </c>
      <c r="S2400" s="460" t="s">
        <v>2324</v>
      </c>
      <c r="T2400" s="462">
        <v>1</v>
      </c>
      <c r="U2400" s="460" t="s">
        <v>2327</v>
      </c>
      <c r="V2400" s="475">
        <v>0</v>
      </c>
      <c r="W2400" s="463" t="s">
        <v>2268</v>
      </c>
      <c r="X2400" s="463" t="s">
        <v>2268</v>
      </c>
      <c r="Y2400" s="463" t="s">
        <v>2554</v>
      </c>
      <c r="Z2400" s="463"/>
      <c r="AA2400" s="463"/>
      <c r="AB2400" s="464">
        <v>0</v>
      </c>
      <c r="AC2400" s="465">
        <v>0</v>
      </c>
      <c r="AD2400" s="465">
        <v>0</v>
      </c>
      <c r="AE2400" s="476">
        <v>0</v>
      </c>
      <c r="AF2400" s="467">
        <v>0</v>
      </c>
      <c r="AG2400" s="468">
        <v>0</v>
      </c>
      <c r="AH2400" s="218">
        <v>0</v>
      </c>
      <c r="AI2400" s="470">
        <v>0</v>
      </c>
      <c r="AJ2400" s="471">
        <v>0</v>
      </c>
      <c r="AK2400" s="218">
        <v>0</v>
      </c>
      <c r="AL2400" s="470">
        <v>0</v>
      </c>
      <c r="AM2400" s="471">
        <v>0</v>
      </c>
      <c r="AN2400" s="477">
        <v>90.725558834110274</v>
      </c>
      <c r="AO2400" s="473">
        <v>9.6388190051120981E-3</v>
      </c>
      <c r="AP2400" s="474">
        <v>1.4422066727383274E-3</v>
      </c>
      <c r="AQ2400" s="352"/>
      <c r="AR2400" s="352"/>
      <c r="AS2400" s="352"/>
      <c r="AT2400" s="352"/>
      <c r="AU2400" s="352"/>
      <c r="AV2400" s="352"/>
      <c r="AW2400" s="352" t="s">
        <v>254</v>
      </c>
    </row>
    <row r="2401" spans="2:49" x14ac:dyDescent="0.2">
      <c r="B2401" s="460" t="s">
        <v>3071</v>
      </c>
      <c r="C2401" s="460">
        <v>2311</v>
      </c>
      <c r="D2401" s="460" t="s">
        <v>2340</v>
      </c>
      <c r="E2401" s="460" t="s">
        <v>2330</v>
      </c>
      <c r="F2401" s="460">
        <v>3</v>
      </c>
      <c r="G2401" s="460">
        <v>3</v>
      </c>
      <c r="H2401" s="461" t="s">
        <v>746</v>
      </c>
      <c r="I2401" s="461" t="s">
        <v>762</v>
      </c>
      <c r="J2401" s="461" t="s">
        <v>700</v>
      </c>
      <c r="K2401" s="594"/>
      <c r="L2401" s="594"/>
      <c r="M2401" s="352">
        <v>2000</v>
      </c>
      <c r="N2401" s="352" t="s">
        <v>703</v>
      </c>
      <c r="O2401" s="460">
        <v>2311</v>
      </c>
      <c r="P2401" s="460" t="s">
        <v>1887</v>
      </c>
      <c r="Q2401" s="460" t="s">
        <v>3000</v>
      </c>
      <c r="R2401" s="460">
        <v>2121</v>
      </c>
      <c r="S2401" s="460" t="s">
        <v>2324</v>
      </c>
      <c r="T2401" s="462">
        <v>1</v>
      </c>
      <c r="U2401" s="460" t="s">
        <v>2330</v>
      </c>
      <c r="V2401" s="475">
        <v>0</v>
      </c>
      <c r="W2401" s="463" t="s">
        <v>2268</v>
      </c>
      <c r="X2401" s="463" t="s">
        <v>2268</v>
      </c>
      <c r="Y2401" s="463" t="s">
        <v>2554</v>
      </c>
      <c r="Z2401" s="463"/>
      <c r="AA2401" s="463"/>
      <c r="AB2401" s="464">
        <v>0</v>
      </c>
      <c r="AC2401" s="465">
        <v>0</v>
      </c>
      <c r="AD2401" s="465">
        <v>0</v>
      </c>
      <c r="AE2401" s="476">
        <v>0</v>
      </c>
      <c r="AF2401" s="467">
        <v>0</v>
      </c>
      <c r="AG2401" s="468">
        <v>0</v>
      </c>
      <c r="AH2401" s="218">
        <v>0</v>
      </c>
      <c r="AI2401" s="470">
        <v>0</v>
      </c>
      <c r="AJ2401" s="471">
        <v>0</v>
      </c>
      <c r="AK2401" s="218">
        <v>0</v>
      </c>
      <c r="AL2401" s="470">
        <v>0</v>
      </c>
      <c r="AM2401" s="471">
        <v>0</v>
      </c>
      <c r="AN2401" s="477">
        <v>35.486150243986977</v>
      </c>
      <c r="AO2401" s="473">
        <v>1.3068010275939231E-2</v>
      </c>
      <c r="AP2401" s="474">
        <v>1.4195106837392795E-3</v>
      </c>
      <c r="AQ2401" s="352"/>
      <c r="AR2401" s="352"/>
      <c r="AS2401" s="352"/>
      <c r="AT2401" s="352"/>
      <c r="AU2401" s="352"/>
      <c r="AV2401" s="352"/>
      <c r="AW2401" s="352" t="s">
        <v>254</v>
      </c>
    </row>
    <row r="2402" spans="2:49" x14ac:dyDescent="0.2">
      <c r="B2402" s="460" t="s">
        <v>3072</v>
      </c>
      <c r="C2402" s="460">
        <v>2311</v>
      </c>
      <c r="D2402" s="460" t="s">
        <v>2341</v>
      </c>
      <c r="E2402" s="460" t="s">
        <v>2333</v>
      </c>
      <c r="F2402" s="460">
        <v>4</v>
      </c>
      <c r="G2402" s="460">
        <v>3</v>
      </c>
      <c r="H2402" s="461" t="s">
        <v>746</v>
      </c>
      <c r="I2402" s="461" t="s">
        <v>762</v>
      </c>
      <c r="J2402" s="461" t="s">
        <v>700</v>
      </c>
      <c r="K2402" s="594"/>
      <c r="L2402" s="594"/>
      <c r="M2402" s="352">
        <v>2000</v>
      </c>
      <c r="N2402" s="352" t="s">
        <v>703</v>
      </c>
      <c r="O2402" s="460">
        <v>2311</v>
      </c>
      <c r="P2402" s="460" t="s">
        <v>1887</v>
      </c>
      <c r="Q2402" s="460" t="s">
        <v>3000</v>
      </c>
      <c r="R2402" s="460">
        <v>2121</v>
      </c>
      <c r="S2402" s="460" t="s">
        <v>2333</v>
      </c>
      <c r="T2402" s="462">
        <v>1</v>
      </c>
      <c r="U2402" s="460" t="s">
        <v>2333</v>
      </c>
      <c r="V2402" s="475">
        <v>0</v>
      </c>
      <c r="W2402" s="463" t="s">
        <v>2268</v>
      </c>
      <c r="X2402" s="463" t="s">
        <v>2268</v>
      </c>
      <c r="Y2402" s="463" t="s">
        <v>2554</v>
      </c>
      <c r="Z2402" s="463"/>
      <c r="AA2402" s="463"/>
      <c r="AB2402" s="464">
        <v>0</v>
      </c>
      <c r="AC2402" s="465">
        <v>0</v>
      </c>
      <c r="AD2402" s="465">
        <v>0</v>
      </c>
      <c r="AE2402" s="476">
        <v>0</v>
      </c>
      <c r="AF2402" s="467">
        <v>0</v>
      </c>
      <c r="AG2402" s="468">
        <v>0</v>
      </c>
      <c r="AH2402" s="218">
        <v>0</v>
      </c>
      <c r="AI2402" s="470">
        <v>0</v>
      </c>
      <c r="AJ2402" s="471">
        <v>0</v>
      </c>
      <c r="AK2402" s="218">
        <v>0</v>
      </c>
      <c r="AL2402" s="470">
        <v>0</v>
      </c>
      <c r="AM2402" s="471">
        <v>0</v>
      </c>
      <c r="AN2402" s="477">
        <v>19.429146712585844</v>
      </c>
      <c r="AO2402" s="473">
        <v>6.3681314779189552E-3</v>
      </c>
      <c r="AP2402" s="474">
        <v>1.6196058891346243E-3</v>
      </c>
      <c r="AQ2402" s="352"/>
      <c r="AR2402" s="352"/>
      <c r="AS2402" s="352"/>
      <c r="AT2402" s="352"/>
      <c r="AU2402" s="352"/>
      <c r="AV2402" s="352"/>
      <c r="AW2402" s="352" t="s">
        <v>254</v>
      </c>
    </row>
    <row r="2403" spans="2:49" x14ac:dyDescent="0.2">
      <c r="B2403" s="460" t="s">
        <v>3069</v>
      </c>
      <c r="C2403" s="460">
        <v>2311</v>
      </c>
      <c r="D2403" s="460" t="s">
        <v>2342</v>
      </c>
      <c r="E2403" s="460" t="s">
        <v>2324</v>
      </c>
      <c r="F2403" s="460">
        <v>1</v>
      </c>
      <c r="G2403" s="460">
        <v>3</v>
      </c>
      <c r="H2403" s="461" t="s">
        <v>748</v>
      </c>
      <c r="I2403" s="461" t="s">
        <v>765</v>
      </c>
      <c r="J2403" s="461" t="s">
        <v>700</v>
      </c>
      <c r="K2403" s="594"/>
      <c r="L2403" s="594"/>
      <c r="M2403" s="352">
        <v>2000</v>
      </c>
      <c r="N2403" s="352" t="s">
        <v>703</v>
      </c>
      <c r="O2403" s="460">
        <v>2311</v>
      </c>
      <c r="P2403" s="460" t="s">
        <v>1887</v>
      </c>
      <c r="Q2403" s="460" t="s">
        <v>3000</v>
      </c>
      <c r="R2403" s="460">
        <v>2121</v>
      </c>
      <c r="S2403" s="460" t="s">
        <v>2324</v>
      </c>
      <c r="T2403" s="462">
        <v>1</v>
      </c>
      <c r="U2403" s="460" t="s">
        <v>2324</v>
      </c>
      <c r="V2403" s="475">
        <v>0</v>
      </c>
      <c r="W2403" s="463" t="s">
        <v>2268</v>
      </c>
      <c r="X2403" s="463" t="s">
        <v>2268</v>
      </c>
      <c r="Y2403" s="463" t="s">
        <v>2554</v>
      </c>
      <c r="Z2403" s="463"/>
      <c r="AA2403" s="463"/>
      <c r="AB2403" s="464">
        <v>0</v>
      </c>
      <c r="AC2403" s="465">
        <v>0</v>
      </c>
      <c r="AD2403" s="465">
        <v>0</v>
      </c>
      <c r="AE2403" s="476">
        <v>0</v>
      </c>
      <c r="AF2403" s="467">
        <v>0</v>
      </c>
      <c r="AG2403" s="468">
        <v>0</v>
      </c>
      <c r="AH2403" s="218">
        <v>0</v>
      </c>
      <c r="AI2403" s="470">
        <v>0</v>
      </c>
      <c r="AJ2403" s="471">
        <v>0</v>
      </c>
      <c r="AK2403" s="218">
        <v>0</v>
      </c>
      <c r="AL2403" s="470">
        <v>0</v>
      </c>
      <c r="AM2403" s="471">
        <v>0</v>
      </c>
      <c r="AN2403" s="477">
        <v>156.31051679565897</v>
      </c>
      <c r="AO2403" s="473">
        <v>9.2276998434630223E-3</v>
      </c>
      <c r="AP2403" s="474">
        <v>8.1362461404876074E-3</v>
      </c>
      <c r="AQ2403" s="352"/>
      <c r="AR2403" s="352"/>
      <c r="AS2403" s="352"/>
      <c r="AT2403" s="352"/>
      <c r="AU2403" s="352"/>
      <c r="AV2403" s="352"/>
      <c r="AW2403" s="352" t="s">
        <v>254</v>
      </c>
    </row>
    <row r="2404" spans="2:49" x14ac:dyDescent="0.2">
      <c r="B2404" s="460" t="s">
        <v>3070</v>
      </c>
      <c r="C2404" s="460">
        <v>2311</v>
      </c>
      <c r="D2404" s="460" t="s">
        <v>2343</v>
      </c>
      <c r="E2404" s="460" t="s">
        <v>2327</v>
      </c>
      <c r="F2404" s="460">
        <v>2</v>
      </c>
      <c r="G2404" s="460">
        <v>3</v>
      </c>
      <c r="H2404" s="461" t="s">
        <v>748</v>
      </c>
      <c r="I2404" s="461" t="s">
        <v>765</v>
      </c>
      <c r="J2404" s="461" t="s">
        <v>700</v>
      </c>
      <c r="K2404" s="594"/>
      <c r="L2404" s="594"/>
      <c r="M2404" s="352">
        <v>2000</v>
      </c>
      <c r="N2404" s="352" t="s">
        <v>703</v>
      </c>
      <c r="O2404" s="460">
        <v>2311</v>
      </c>
      <c r="P2404" s="460" t="s">
        <v>1887</v>
      </c>
      <c r="Q2404" s="460" t="s">
        <v>3000</v>
      </c>
      <c r="R2404" s="460">
        <v>2121</v>
      </c>
      <c r="S2404" s="460" t="s">
        <v>2324</v>
      </c>
      <c r="T2404" s="462">
        <v>1</v>
      </c>
      <c r="U2404" s="460" t="s">
        <v>2327</v>
      </c>
      <c r="V2404" s="475">
        <v>0</v>
      </c>
      <c r="W2404" s="463" t="s">
        <v>2268</v>
      </c>
      <c r="X2404" s="463" t="s">
        <v>2268</v>
      </c>
      <c r="Y2404" s="463" t="s">
        <v>2554</v>
      </c>
      <c r="Z2404" s="463"/>
      <c r="AA2404" s="463"/>
      <c r="AB2404" s="464">
        <v>0</v>
      </c>
      <c r="AC2404" s="465">
        <v>0</v>
      </c>
      <c r="AD2404" s="465">
        <v>0</v>
      </c>
      <c r="AE2404" s="476">
        <v>0</v>
      </c>
      <c r="AF2404" s="467">
        <v>0</v>
      </c>
      <c r="AG2404" s="468">
        <v>0</v>
      </c>
      <c r="AH2404" s="218">
        <v>0</v>
      </c>
      <c r="AI2404" s="470">
        <v>0</v>
      </c>
      <c r="AJ2404" s="471">
        <v>0</v>
      </c>
      <c r="AK2404" s="218">
        <v>0</v>
      </c>
      <c r="AL2404" s="470">
        <v>0</v>
      </c>
      <c r="AM2404" s="471">
        <v>0</v>
      </c>
      <c r="AN2404" s="477">
        <v>90.725558834110274</v>
      </c>
      <c r="AO2404" s="473">
        <v>9.6388190051120981E-3</v>
      </c>
      <c r="AP2404" s="474">
        <v>8.0649135976897865E-3</v>
      </c>
      <c r="AQ2404" s="352"/>
      <c r="AR2404" s="352"/>
      <c r="AS2404" s="352"/>
      <c r="AT2404" s="352"/>
      <c r="AU2404" s="352"/>
      <c r="AV2404" s="352"/>
      <c r="AW2404" s="352" t="s">
        <v>254</v>
      </c>
    </row>
    <row r="2405" spans="2:49" x14ac:dyDescent="0.2">
      <c r="B2405" s="460" t="s">
        <v>3071</v>
      </c>
      <c r="C2405" s="460">
        <v>2311</v>
      </c>
      <c r="D2405" s="460" t="s">
        <v>2344</v>
      </c>
      <c r="E2405" s="460" t="s">
        <v>2330</v>
      </c>
      <c r="F2405" s="460">
        <v>3</v>
      </c>
      <c r="G2405" s="460">
        <v>3</v>
      </c>
      <c r="H2405" s="461" t="s">
        <v>748</v>
      </c>
      <c r="I2405" s="461" t="s">
        <v>765</v>
      </c>
      <c r="J2405" s="461" t="s">
        <v>700</v>
      </c>
      <c r="K2405" s="594"/>
      <c r="L2405" s="594"/>
      <c r="M2405" s="352">
        <v>2000</v>
      </c>
      <c r="N2405" s="352" t="s">
        <v>703</v>
      </c>
      <c r="O2405" s="460">
        <v>2311</v>
      </c>
      <c r="P2405" s="460" t="s">
        <v>1887</v>
      </c>
      <c r="Q2405" s="460" t="s">
        <v>3000</v>
      </c>
      <c r="R2405" s="460">
        <v>2121</v>
      </c>
      <c r="S2405" s="460" t="s">
        <v>2324</v>
      </c>
      <c r="T2405" s="462">
        <v>1</v>
      </c>
      <c r="U2405" s="460" t="s">
        <v>2330</v>
      </c>
      <c r="V2405" s="475">
        <v>0</v>
      </c>
      <c r="W2405" s="463" t="s">
        <v>2268</v>
      </c>
      <c r="X2405" s="463" t="s">
        <v>2268</v>
      </c>
      <c r="Y2405" s="463" t="s">
        <v>2554</v>
      </c>
      <c r="Z2405" s="463"/>
      <c r="AA2405" s="463"/>
      <c r="AB2405" s="464">
        <v>0</v>
      </c>
      <c r="AC2405" s="465">
        <v>0</v>
      </c>
      <c r="AD2405" s="465">
        <v>0</v>
      </c>
      <c r="AE2405" s="476">
        <v>0</v>
      </c>
      <c r="AF2405" s="467">
        <v>0</v>
      </c>
      <c r="AG2405" s="468">
        <v>0</v>
      </c>
      <c r="AH2405" s="218">
        <v>0</v>
      </c>
      <c r="AI2405" s="470">
        <v>0</v>
      </c>
      <c r="AJ2405" s="471">
        <v>0</v>
      </c>
      <c r="AK2405" s="218">
        <v>0</v>
      </c>
      <c r="AL2405" s="470">
        <v>0</v>
      </c>
      <c r="AM2405" s="471">
        <v>0</v>
      </c>
      <c r="AN2405" s="477">
        <v>35.486150243986977</v>
      </c>
      <c r="AO2405" s="473">
        <v>1.3068010275939231E-2</v>
      </c>
      <c r="AP2405" s="474">
        <v>9.672911293963438E-3</v>
      </c>
      <c r="AQ2405" s="352"/>
      <c r="AR2405" s="352"/>
      <c r="AS2405" s="352"/>
      <c r="AT2405" s="352"/>
      <c r="AU2405" s="352"/>
      <c r="AV2405" s="352"/>
      <c r="AW2405" s="352" t="s">
        <v>254</v>
      </c>
    </row>
    <row r="2406" spans="2:49" x14ac:dyDescent="0.2">
      <c r="B2406" s="460" t="s">
        <v>3072</v>
      </c>
      <c r="C2406" s="460">
        <v>2311</v>
      </c>
      <c r="D2406" s="460" t="s">
        <v>2345</v>
      </c>
      <c r="E2406" s="460" t="s">
        <v>2333</v>
      </c>
      <c r="F2406" s="460">
        <v>4</v>
      </c>
      <c r="G2406" s="460">
        <v>3</v>
      </c>
      <c r="H2406" s="461" t="s">
        <v>748</v>
      </c>
      <c r="I2406" s="461" t="s">
        <v>765</v>
      </c>
      <c r="J2406" s="461" t="s">
        <v>700</v>
      </c>
      <c r="K2406" s="594"/>
      <c r="L2406" s="594"/>
      <c r="M2406" s="352">
        <v>2000</v>
      </c>
      <c r="N2406" s="352" t="s">
        <v>703</v>
      </c>
      <c r="O2406" s="460">
        <v>2311</v>
      </c>
      <c r="P2406" s="460" t="s">
        <v>1887</v>
      </c>
      <c r="Q2406" s="460" t="s">
        <v>3000</v>
      </c>
      <c r="R2406" s="460">
        <v>2121</v>
      </c>
      <c r="S2406" s="460" t="s">
        <v>2333</v>
      </c>
      <c r="T2406" s="462">
        <v>1</v>
      </c>
      <c r="U2406" s="460" t="s">
        <v>2333</v>
      </c>
      <c r="V2406" s="475">
        <v>0</v>
      </c>
      <c r="W2406" s="463" t="s">
        <v>2268</v>
      </c>
      <c r="X2406" s="463" t="s">
        <v>2268</v>
      </c>
      <c r="Y2406" s="463" t="s">
        <v>2554</v>
      </c>
      <c r="Z2406" s="463"/>
      <c r="AA2406" s="463"/>
      <c r="AB2406" s="464">
        <v>0</v>
      </c>
      <c r="AC2406" s="465">
        <v>0</v>
      </c>
      <c r="AD2406" s="465">
        <v>0</v>
      </c>
      <c r="AE2406" s="476">
        <v>0</v>
      </c>
      <c r="AF2406" s="467">
        <v>0</v>
      </c>
      <c r="AG2406" s="468">
        <v>0</v>
      </c>
      <c r="AH2406" s="218">
        <v>0</v>
      </c>
      <c r="AI2406" s="470">
        <v>0</v>
      </c>
      <c r="AJ2406" s="471">
        <v>0</v>
      </c>
      <c r="AK2406" s="218">
        <v>0</v>
      </c>
      <c r="AL2406" s="470">
        <v>0</v>
      </c>
      <c r="AM2406" s="471">
        <v>0</v>
      </c>
      <c r="AN2406" s="477">
        <v>19.429146712585844</v>
      </c>
      <c r="AO2406" s="473">
        <v>6.3681314779189552E-3</v>
      </c>
      <c r="AP2406" s="474">
        <v>1.2099006350465739E-2</v>
      </c>
      <c r="AQ2406" s="352"/>
      <c r="AR2406" s="352"/>
      <c r="AS2406" s="352"/>
      <c r="AT2406" s="352"/>
      <c r="AU2406" s="352"/>
      <c r="AV2406" s="352"/>
      <c r="AW2406" s="352" t="s">
        <v>254</v>
      </c>
    </row>
    <row r="2407" spans="2:49" x14ac:dyDescent="0.2">
      <c r="B2407" s="460" t="s">
        <v>3069</v>
      </c>
      <c r="C2407" s="460">
        <v>2311</v>
      </c>
      <c r="D2407" s="460" t="s">
        <v>2346</v>
      </c>
      <c r="E2407" s="460" t="s">
        <v>2324</v>
      </c>
      <c r="F2407" s="460">
        <v>1</v>
      </c>
      <c r="G2407" s="460">
        <v>3</v>
      </c>
      <c r="H2407" s="461" t="s">
        <v>752</v>
      </c>
      <c r="I2407" s="461" t="s">
        <v>964</v>
      </c>
      <c r="J2407" s="461" t="s">
        <v>752</v>
      </c>
      <c r="K2407" s="594"/>
      <c r="L2407" s="594"/>
      <c r="M2407" s="352">
        <v>2000</v>
      </c>
      <c r="N2407" s="352" t="s">
        <v>703</v>
      </c>
      <c r="O2407" s="460">
        <v>2311</v>
      </c>
      <c r="P2407" s="460" t="s">
        <v>1887</v>
      </c>
      <c r="Q2407" s="460" t="s">
        <v>3012</v>
      </c>
      <c r="R2407" s="460">
        <v>2121</v>
      </c>
      <c r="S2407" s="460" t="s">
        <v>2324</v>
      </c>
      <c r="T2407" s="462">
        <v>1</v>
      </c>
      <c r="U2407" s="460" t="s">
        <v>2324</v>
      </c>
      <c r="V2407" s="475">
        <v>0</v>
      </c>
      <c r="W2407" s="463" t="s">
        <v>2278</v>
      </c>
      <c r="X2407" s="463" t="s">
        <v>2278</v>
      </c>
      <c r="Y2407" s="463" t="s">
        <v>2278</v>
      </c>
      <c r="Z2407" s="463"/>
      <c r="AA2407" s="463"/>
      <c r="AB2407" s="464">
        <v>2836.7607894707912</v>
      </c>
      <c r="AC2407" s="465">
        <v>0.1674665123598941</v>
      </c>
      <c r="AD2407" s="465">
        <v>0.99959437690133279</v>
      </c>
      <c r="AE2407" s="476">
        <v>2836.7607894707912</v>
      </c>
      <c r="AF2407" s="467">
        <v>0.1674665123598941</v>
      </c>
      <c r="AG2407" s="468">
        <v>0.99959437690133279</v>
      </c>
      <c r="AH2407" s="218">
        <v>2836.7607894707912</v>
      </c>
      <c r="AI2407" s="470">
        <v>0.1674665123598941</v>
      </c>
      <c r="AJ2407" s="471">
        <v>0.99959437690133279</v>
      </c>
      <c r="AK2407" s="218">
        <v>2836.7607894707912</v>
      </c>
      <c r="AL2407" s="470">
        <v>0.1674665123598941</v>
      </c>
      <c r="AM2407" s="471">
        <v>0.99959437690133279</v>
      </c>
      <c r="AN2407" s="477">
        <v>2836.7607894707912</v>
      </c>
      <c r="AO2407" s="473">
        <v>0.1674665123598941</v>
      </c>
      <c r="AP2407" s="474">
        <v>0.99959437690133279</v>
      </c>
      <c r="AQ2407" s="352"/>
      <c r="AR2407" s="352"/>
      <c r="AS2407" s="352"/>
      <c r="AT2407" s="352"/>
      <c r="AU2407" s="352"/>
      <c r="AV2407" s="352"/>
      <c r="AW2407" s="352" t="s">
        <v>254</v>
      </c>
    </row>
    <row r="2408" spans="2:49" x14ac:dyDescent="0.2">
      <c r="B2408" s="460" t="s">
        <v>3070</v>
      </c>
      <c r="C2408" s="460">
        <v>2311</v>
      </c>
      <c r="D2408" s="460" t="s">
        <v>2347</v>
      </c>
      <c r="E2408" s="460" t="s">
        <v>2327</v>
      </c>
      <c r="F2408" s="460">
        <v>2</v>
      </c>
      <c r="G2408" s="460">
        <v>3</v>
      </c>
      <c r="H2408" s="461" t="s">
        <v>752</v>
      </c>
      <c r="I2408" s="461" t="s">
        <v>964</v>
      </c>
      <c r="J2408" s="461" t="s">
        <v>752</v>
      </c>
      <c r="K2408" s="594"/>
      <c r="L2408" s="594"/>
      <c r="M2408" s="352">
        <v>2000</v>
      </c>
      <c r="N2408" s="352" t="s">
        <v>703</v>
      </c>
      <c r="O2408" s="460">
        <v>2311</v>
      </c>
      <c r="P2408" s="460" t="s">
        <v>1887</v>
      </c>
      <c r="Q2408" s="460" t="s">
        <v>3012</v>
      </c>
      <c r="R2408" s="460">
        <v>2121</v>
      </c>
      <c r="S2408" s="460" t="s">
        <v>2324</v>
      </c>
      <c r="T2408" s="462">
        <v>1</v>
      </c>
      <c r="U2408" s="460" t="s">
        <v>2327</v>
      </c>
      <c r="V2408" s="475">
        <v>0</v>
      </c>
      <c r="W2408" s="463" t="s">
        <v>2278</v>
      </c>
      <c r="X2408" s="463" t="s">
        <v>2278</v>
      </c>
      <c r="Y2408" s="463" t="s">
        <v>2278</v>
      </c>
      <c r="Z2408" s="463"/>
      <c r="AA2408" s="463"/>
      <c r="AB2408" s="464">
        <v>367.73478171243488</v>
      </c>
      <c r="AC2408" s="465">
        <v>3.9068692972083659E-2</v>
      </c>
      <c r="AD2408" s="465">
        <v>0.99986981527661067</v>
      </c>
      <c r="AE2408" s="476">
        <v>367.73478171243488</v>
      </c>
      <c r="AF2408" s="467">
        <v>3.9068692972083659E-2</v>
      </c>
      <c r="AG2408" s="468">
        <v>0.99986981527661067</v>
      </c>
      <c r="AH2408" s="218">
        <v>367.73478171243488</v>
      </c>
      <c r="AI2408" s="470">
        <v>3.9068692972083659E-2</v>
      </c>
      <c r="AJ2408" s="471">
        <v>0.99986981527661067</v>
      </c>
      <c r="AK2408" s="218">
        <v>367.73478171243488</v>
      </c>
      <c r="AL2408" s="470">
        <v>3.9068692972083659E-2</v>
      </c>
      <c r="AM2408" s="471">
        <v>0.99986981527661067</v>
      </c>
      <c r="AN2408" s="477">
        <v>367.73478171243488</v>
      </c>
      <c r="AO2408" s="473">
        <v>3.9068692972083659E-2</v>
      </c>
      <c r="AP2408" s="474">
        <v>0.99986981527661067</v>
      </c>
      <c r="AQ2408" s="352"/>
      <c r="AR2408" s="352"/>
      <c r="AS2408" s="352"/>
      <c r="AT2408" s="352"/>
      <c r="AU2408" s="352"/>
      <c r="AV2408" s="352"/>
      <c r="AW2408" s="352" t="s">
        <v>254</v>
      </c>
    </row>
    <row r="2409" spans="2:49" x14ac:dyDescent="0.2">
      <c r="B2409" s="460" t="s">
        <v>3071</v>
      </c>
      <c r="C2409" s="460">
        <v>2311</v>
      </c>
      <c r="D2409" s="460" t="s">
        <v>2348</v>
      </c>
      <c r="E2409" s="460" t="s">
        <v>2330</v>
      </c>
      <c r="F2409" s="460">
        <v>3</v>
      </c>
      <c r="G2409" s="460">
        <v>3</v>
      </c>
      <c r="H2409" s="461" t="s">
        <v>752</v>
      </c>
      <c r="I2409" s="461" t="s">
        <v>964</v>
      </c>
      <c r="J2409" s="461" t="s">
        <v>752</v>
      </c>
      <c r="K2409" s="594"/>
      <c r="L2409" s="594"/>
      <c r="M2409" s="352">
        <v>2000</v>
      </c>
      <c r="N2409" s="352" t="s">
        <v>703</v>
      </c>
      <c r="O2409" s="460">
        <v>2311</v>
      </c>
      <c r="P2409" s="460" t="s">
        <v>1887</v>
      </c>
      <c r="Q2409" s="460" t="s">
        <v>3012</v>
      </c>
      <c r="R2409" s="460">
        <v>2121</v>
      </c>
      <c r="S2409" s="460" t="s">
        <v>2324</v>
      </c>
      <c r="T2409" s="462">
        <v>1</v>
      </c>
      <c r="U2409" s="460" t="s">
        <v>2330</v>
      </c>
      <c r="V2409" s="475">
        <v>0</v>
      </c>
      <c r="W2409" s="463" t="s">
        <v>2278</v>
      </c>
      <c r="X2409" s="463" t="s">
        <v>2278</v>
      </c>
      <c r="Y2409" s="463" t="s">
        <v>2278</v>
      </c>
      <c r="Z2409" s="463"/>
      <c r="AA2409" s="463"/>
      <c r="AB2409" s="464">
        <v>147.84563808339666</v>
      </c>
      <c r="AC2409" s="465">
        <v>5.4445137171620923E-2</v>
      </c>
      <c r="AD2409" s="465">
        <v>0.9996730537796592</v>
      </c>
      <c r="AE2409" s="476">
        <v>147.84563808339666</v>
      </c>
      <c r="AF2409" s="467">
        <v>5.4445137171620923E-2</v>
      </c>
      <c r="AG2409" s="468">
        <v>0.9996730537796592</v>
      </c>
      <c r="AH2409" s="218">
        <v>147.84563808339666</v>
      </c>
      <c r="AI2409" s="470">
        <v>5.4445137171620923E-2</v>
      </c>
      <c r="AJ2409" s="471">
        <v>0.9996730537796592</v>
      </c>
      <c r="AK2409" s="218">
        <v>147.84563808339666</v>
      </c>
      <c r="AL2409" s="470">
        <v>5.4445137171620923E-2</v>
      </c>
      <c r="AM2409" s="471">
        <v>0.9996730537796592</v>
      </c>
      <c r="AN2409" s="477">
        <v>147.84563808339666</v>
      </c>
      <c r="AO2409" s="473">
        <v>5.4445137171620923E-2</v>
      </c>
      <c r="AP2409" s="474">
        <v>0.9996730537796592</v>
      </c>
      <c r="AQ2409" s="352"/>
      <c r="AR2409" s="352"/>
      <c r="AS2409" s="352"/>
      <c r="AT2409" s="352"/>
      <c r="AU2409" s="352"/>
      <c r="AV2409" s="352"/>
      <c r="AW2409" s="352" t="s">
        <v>254</v>
      </c>
    </row>
    <row r="2410" spans="2:49" x14ac:dyDescent="0.2">
      <c r="B2410" s="460" t="s">
        <v>3072</v>
      </c>
      <c r="C2410" s="460">
        <v>2311</v>
      </c>
      <c r="D2410" s="460" t="s">
        <v>2349</v>
      </c>
      <c r="E2410" s="460" t="s">
        <v>2333</v>
      </c>
      <c r="F2410" s="460">
        <v>4</v>
      </c>
      <c r="G2410" s="460">
        <v>3</v>
      </c>
      <c r="H2410" s="461" t="s">
        <v>752</v>
      </c>
      <c r="I2410" s="461" t="s">
        <v>964</v>
      </c>
      <c r="J2410" s="461" t="s">
        <v>752</v>
      </c>
      <c r="K2410" s="594"/>
      <c r="L2410" s="594"/>
      <c r="M2410" s="352">
        <v>2000</v>
      </c>
      <c r="N2410" s="352" t="s">
        <v>703</v>
      </c>
      <c r="O2410" s="460">
        <v>2311</v>
      </c>
      <c r="P2410" s="460" t="s">
        <v>1887</v>
      </c>
      <c r="Q2410" s="460" t="s">
        <v>3012</v>
      </c>
      <c r="R2410" s="460">
        <v>2121</v>
      </c>
      <c r="S2410" s="460" t="s">
        <v>2333</v>
      </c>
      <c r="T2410" s="462">
        <v>1</v>
      </c>
      <c r="U2410" s="460" t="s">
        <v>2333</v>
      </c>
      <c r="V2410" s="475">
        <v>0</v>
      </c>
      <c r="W2410" s="463" t="s">
        <v>2278</v>
      </c>
      <c r="X2410" s="463" t="s">
        <v>2278</v>
      </c>
      <c r="Y2410" s="463" t="s">
        <v>2278</v>
      </c>
      <c r="Z2410" s="463"/>
      <c r="AA2410" s="463"/>
      <c r="AB2410" s="464">
        <v>139.79426371321205</v>
      </c>
      <c r="AC2410" s="465">
        <v>4.5819215035724434E-2</v>
      </c>
      <c r="AD2410" s="465">
        <v>0.99999903011120406</v>
      </c>
      <c r="AE2410" s="476">
        <v>139.79426371321205</v>
      </c>
      <c r="AF2410" s="467">
        <v>4.5819215035724434E-2</v>
      </c>
      <c r="AG2410" s="468">
        <v>0.99999903011120406</v>
      </c>
      <c r="AH2410" s="218">
        <v>139.79426371321205</v>
      </c>
      <c r="AI2410" s="470">
        <v>4.5819215035724434E-2</v>
      </c>
      <c r="AJ2410" s="471">
        <v>0.99999903011120406</v>
      </c>
      <c r="AK2410" s="218">
        <v>139.79426371321205</v>
      </c>
      <c r="AL2410" s="470">
        <v>4.5819215035724434E-2</v>
      </c>
      <c r="AM2410" s="471">
        <v>0.99999903011120406</v>
      </c>
      <c r="AN2410" s="477">
        <v>139.79426371321205</v>
      </c>
      <c r="AO2410" s="473">
        <v>4.5819215035724434E-2</v>
      </c>
      <c r="AP2410" s="474">
        <v>0.99999903011120406</v>
      </c>
      <c r="AQ2410" s="352"/>
      <c r="AR2410" s="352"/>
      <c r="AS2410" s="352"/>
      <c r="AT2410" s="352"/>
      <c r="AU2410" s="352"/>
      <c r="AV2410" s="352"/>
      <c r="AW2410" s="352" t="s">
        <v>254</v>
      </c>
    </row>
    <row r="2411" spans="2:49" x14ac:dyDescent="0.2">
      <c r="B2411" s="460" t="s">
        <v>3073</v>
      </c>
      <c r="C2411" s="460">
        <v>2311</v>
      </c>
      <c r="D2411" s="460" t="s">
        <v>2351</v>
      </c>
      <c r="E2411" s="460" t="s">
        <v>1136</v>
      </c>
      <c r="F2411" s="460">
        <v>1</v>
      </c>
      <c r="G2411" s="460">
        <v>4</v>
      </c>
      <c r="H2411" s="461" t="s">
        <v>700</v>
      </c>
      <c r="I2411" s="461" t="s">
        <v>872</v>
      </c>
      <c r="J2411" s="461" t="s">
        <v>700</v>
      </c>
      <c r="K2411" s="594"/>
      <c r="L2411" s="594"/>
      <c r="M2411" s="352">
        <v>2000</v>
      </c>
      <c r="N2411" s="352" t="s">
        <v>703</v>
      </c>
      <c r="O2411" s="460">
        <v>2311</v>
      </c>
      <c r="P2411" s="460" t="s">
        <v>1887</v>
      </c>
      <c r="Q2411" s="460" t="s">
        <v>3000</v>
      </c>
      <c r="R2411" s="460">
        <v>2121</v>
      </c>
      <c r="S2411" s="460" t="s">
        <v>1136</v>
      </c>
      <c r="T2411" s="462">
        <v>1</v>
      </c>
      <c r="U2411" s="460" t="s">
        <v>1136</v>
      </c>
      <c r="V2411" s="475">
        <v>0</v>
      </c>
      <c r="W2411" s="463" t="s">
        <v>2554</v>
      </c>
      <c r="X2411" s="463" t="s">
        <v>2554</v>
      </c>
      <c r="Y2411" s="463" t="s">
        <v>2268</v>
      </c>
      <c r="Z2411" s="463"/>
      <c r="AA2411" s="463"/>
      <c r="AB2411" s="464">
        <v>0.84028961202888586</v>
      </c>
      <c r="AC2411" s="465">
        <v>5.2695622325601695E-4</v>
      </c>
      <c r="AD2411" s="465">
        <v>2.3907997584126737E-3</v>
      </c>
      <c r="AE2411" s="476">
        <v>0.21007240300722146</v>
      </c>
      <c r="AF2411" s="467">
        <v>1.3173905581400424E-4</v>
      </c>
      <c r="AG2411" s="468">
        <v>6.4973663219817525E-4</v>
      </c>
      <c r="AH2411" s="218">
        <v>0.21007240300722146</v>
      </c>
      <c r="AI2411" s="470">
        <v>1.3173905581400424E-4</v>
      </c>
      <c r="AJ2411" s="471">
        <v>1.6405951445214618E-4</v>
      </c>
      <c r="AK2411" s="218">
        <v>0.21007240300722146</v>
      </c>
      <c r="AL2411" s="470">
        <v>1.3173905581400424E-4</v>
      </c>
      <c r="AM2411" s="471">
        <v>1.6405951445214618E-4</v>
      </c>
      <c r="AN2411" s="477">
        <v>0</v>
      </c>
      <c r="AO2411" s="473">
        <v>0</v>
      </c>
      <c r="AP2411" s="474">
        <v>0</v>
      </c>
      <c r="AQ2411" s="352"/>
      <c r="AR2411" s="352"/>
      <c r="AS2411" s="352"/>
      <c r="AT2411" s="352"/>
      <c r="AU2411" s="352"/>
      <c r="AV2411" s="352"/>
      <c r="AW2411" s="352" t="s">
        <v>254</v>
      </c>
    </row>
    <row r="2412" spans="2:49" x14ac:dyDescent="0.2">
      <c r="B2412" s="460" t="s">
        <v>3074</v>
      </c>
      <c r="C2412" s="460">
        <v>2311</v>
      </c>
      <c r="D2412" s="460" t="s">
        <v>2353</v>
      </c>
      <c r="E2412" s="460" t="s">
        <v>1137</v>
      </c>
      <c r="F2412" s="460">
        <v>2</v>
      </c>
      <c r="G2412" s="460">
        <v>4</v>
      </c>
      <c r="H2412" s="461" t="s">
        <v>700</v>
      </c>
      <c r="I2412" s="461" t="s">
        <v>872</v>
      </c>
      <c r="J2412" s="461" t="s">
        <v>700</v>
      </c>
      <c r="K2412" s="594"/>
      <c r="L2412" s="594"/>
      <c r="M2412" s="352">
        <v>2000</v>
      </c>
      <c r="N2412" s="352" t="s">
        <v>703</v>
      </c>
      <c r="O2412" s="460">
        <v>2311</v>
      </c>
      <c r="P2412" s="460" t="s">
        <v>1887</v>
      </c>
      <c r="Q2412" s="460" t="s">
        <v>3000</v>
      </c>
      <c r="R2412" s="460">
        <v>2121</v>
      </c>
      <c r="S2412" s="460" t="s">
        <v>1137</v>
      </c>
      <c r="T2412" s="462">
        <v>1</v>
      </c>
      <c r="U2412" s="460" t="s">
        <v>1137</v>
      </c>
      <c r="V2412" s="475">
        <v>0</v>
      </c>
      <c r="W2412" s="463" t="s">
        <v>2554</v>
      </c>
      <c r="X2412" s="463" t="s">
        <v>2554</v>
      </c>
      <c r="Y2412" s="463" t="s">
        <v>2268</v>
      </c>
      <c r="Z2412" s="463"/>
      <c r="AA2412" s="463"/>
      <c r="AB2412" s="464">
        <v>10.58742099925357</v>
      </c>
      <c r="AC2412" s="465">
        <v>6.0412722147172703E-3</v>
      </c>
      <c r="AD2412" s="465">
        <v>2.3907997584126759E-3</v>
      </c>
      <c r="AE2412" s="476">
        <v>2.6468552498133926</v>
      </c>
      <c r="AF2412" s="467">
        <v>1.5103180536793176E-3</v>
      </c>
      <c r="AG2412" s="468">
        <v>6.4392051640067252E-4</v>
      </c>
      <c r="AH2412" s="218">
        <v>2.6468552498133926</v>
      </c>
      <c r="AI2412" s="470">
        <v>1.5103180536793176E-3</v>
      </c>
      <c r="AJ2412" s="471">
        <v>5.4686524976507419E-4</v>
      </c>
      <c r="AK2412" s="218">
        <v>2.6468552498133926</v>
      </c>
      <c r="AL2412" s="470">
        <v>1.5103180536793176E-3</v>
      </c>
      <c r="AM2412" s="471">
        <v>5.4686524976507419E-4</v>
      </c>
      <c r="AN2412" s="477">
        <v>0</v>
      </c>
      <c r="AO2412" s="473">
        <v>0</v>
      </c>
      <c r="AP2412" s="474">
        <v>0</v>
      </c>
      <c r="AQ2412" s="352"/>
      <c r="AR2412" s="352"/>
      <c r="AS2412" s="352"/>
      <c r="AT2412" s="352"/>
      <c r="AU2412" s="352"/>
      <c r="AV2412" s="352"/>
      <c r="AW2412" s="352" t="s">
        <v>254</v>
      </c>
    </row>
    <row r="2413" spans="2:49" x14ac:dyDescent="0.2">
      <c r="B2413" s="460" t="s">
        <v>3075</v>
      </c>
      <c r="C2413" s="460">
        <v>2311</v>
      </c>
      <c r="D2413" s="460" t="s">
        <v>2355</v>
      </c>
      <c r="E2413" s="460" t="s">
        <v>1138</v>
      </c>
      <c r="F2413" s="460">
        <v>3</v>
      </c>
      <c r="G2413" s="460">
        <v>4</v>
      </c>
      <c r="H2413" s="461" t="s">
        <v>700</v>
      </c>
      <c r="I2413" s="461" t="s">
        <v>872</v>
      </c>
      <c r="J2413" s="461" t="s">
        <v>700</v>
      </c>
      <c r="K2413" s="594"/>
      <c r="L2413" s="594"/>
      <c r="M2413" s="352">
        <v>2000</v>
      </c>
      <c r="N2413" s="352" t="s">
        <v>703</v>
      </c>
      <c r="O2413" s="460">
        <v>2311</v>
      </c>
      <c r="P2413" s="460" t="s">
        <v>1887</v>
      </c>
      <c r="Q2413" s="460" t="s">
        <v>3000</v>
      </c>
      <c r="R2413" s="460">
        <v>2121</v>
      </c>
      <c r="S2413" s="460" t="s">
        <v>1138</v>
      </c>
      <c r="T2413" s="462">
        <v>1</v>
      </c>
      <c r="U2413" s="460" t="s">
        <v>1138</v>
      </c>
      <c r="V2413" s="475">
        <v>0</v>
      </c>
      <c r="W2413" s="463" t="s">
        <v>2554</v>
      </c>
      <c r="X2413" s="463" t="s">
        <v>2554</v>
      </c>
      <c r="Y2413" s="463" t="s">
        <v>2268</v>
      </c>
      <c r="Z2413" s="463"/>
      <c r="AA2413" s="463"/>
      <c r="AB2413" s="464">
        <v>5.6982392692233406</v>
      </c>
      <c r="AC2413" s="465">
        <v>8.0555338756949698E-3</v>
      </c>
      <c r="AD2413" s="465">
        <v>2.3907997584126763E-3</v>
      </c>
      <c r="AE2413" s="476">
        <v>1.4245598173058351</v>
      </c>
      <c r="AF2413" s="467">
        <v>2.0138834689237425E-3</v>
      </c>
      <c r="AG2413" s="468">
        <v>6.4483737416655418E-4</v>
      </c>
      <c r="AH2413" s="218">
        <v>1.4245598173058351</v>
      </c>
      <c r="AI2413" s="470">
        <v>2.0138834689237425E-3</v>
      </c>
      <c r="AJ2413" s="471">
        <v>4.9091212438477064E-4</v>
      </c>
      <c r="AK2413" s="218">
        <v>1.4245598173058351</v>
      </c>
      <c r="AL2413" s="470">
        <v>2.0138834689237425E-3</v>
      </c>
      <c r="AM2413" s="471">
        <v>4.9091212438477064E-4</v>
      </c>
      <c r="AN2413" s="477">
        <v>0</v>
      </c>
      <c r="AO2413" s="473">
        <v>0</v>
      </c>
      <c r="AP2413" s="474">
        <v>0</v>
      </c>
      <c r="AQ2413" s="352"/>
      <c r="AR2413" s="352"/>
      <c r="AS2413" s="352"/>
      <c r="AT2413" s="352"/>
      <c r="AU2413" s="352"/>
      <c r="AV2413" s="352"/>
      <c r="AW2413" s="352" t="s">
        <v>254</v>
      </c>
    </row>
    <row r="2414" spans="2:49" x14ac:dyDescent="0.2">
      <c r="B2414" s="460" t="s">
        <v>3076</v>
      </c>
      <c r="C2414" s="460">
        <v>2311</v>
      </c>
      <c r="D2414" s="460" t="s">
        <v>2357</v>
      </c>
      <c r="E2414" s="460" t="s">
        <v>1139</v>
      </c>
      <c r="F2414" s="460">
        <v>4</v>
      </c>
      <c r="G2414" s="460">
        <v>4</v>
      </c>
      <c r="H2414" s="461" t="s">
        <v>700</v>
      </c>
      <c r="I2414" s="461" t="s">
        <v>872</v>
      </c>
      <c r="J2414" s="461" t="s">
        <v>700</v>
      </c>
      <c r="K2414" s="594"/>
      <c r="L2414" s="594"/>
      <c r="M2414" s="352">
        <v>2000</v>
      </c>
      <c r="N2414" s="352" t="s">
        <v>703</v>
      </c>
      <c r="O2414" s="460">
        <v>2311</v>
      </c>
      <c r="P2414" s="460" t="s">
        <v>1887</v>
      </c>
      <c r="Q2414" s="460" t="s">
        <v>3000</v>
      </c>
      <c r="R2414" s="460">
        <v>2121</v>
      </c>
      <c r="S2414" s="460" t="s">
        <v>1139</v>
      </c>
      <c r="T2414" s="462">
        <v>1</v>
      </c>
      <c r="U2414" s="460" t="s">
        <v>1139</v>
      </c>
      <c r="V2414" s="475">
        <v>0</v>
      </c>
      <c r="W2414" s="463" t="s">
        <v>2554</v>
      </c>
      <c r="X2414" s="463" t="s">
        <v>2554</v>
      </c>
      <c r="Y2414" s="463" t="s">
        <v>2268</v>
      </c>
      <c r="Z2414" s="463"/>
      <c r="AA2414" s="463"/>
      <c r="AB2414" s="464">
        <v>0</v>
      </c>
      <c r="AC2414" s="465">
        <v>0</v>
      </c>
      <c r="AD2414" s="465">
        <v>0</v>
      </c>
      <c r="AE2414" s="476">
        <v>0</v>
      </c>
      <c r="AF2414" s="467">
        <v>0</v>
      </c>
      <c r="AG2414" s="468">
        <v>0</v>
      </c>
      <c r="AH2414" s="218">
        <v>0</v>
      </c>
      <c r="AI2414" s="470">
        <v>0</v>
      </c>
      <c r="AJ2414" s="471">
        <v>0</v>
      </c>
      <c r="AK2414" s="218">
        <v>0</v>
      </c>
      <c r="AL2414" s="470">
        <v>0</v>
      </c>
      <c r="AM2414" s="471">
        <v>0</v>
      </c>
      <c r="AN2414" s="477">
        <v>0</v>
      </c>
      <c r="AO2414" s="473">
        <v>0</v>
      </c>
      <c r="AP2414" s="474">
        <v>0</v>
      </c>
      <c r="AQ2414" s="352"/>
      <c r="AR2414" s="352"/>
      <c r="AS2414" s="352"/>
      <c r="AT2414" s="352"/>
      <c r="AU2414" s="352"/>
      <c r="AV2414" s="352"/>
      <c r="AW2414" s="352" t="s">
        <v>254</v>
      </c>
    </row>
    <row r="2415" spans="2:49" x14ac:dyDescent="0.2">
      <c r="B2415" s="460" t="s">
        <v>3073</v>
      </c>
      <c r="C2415" s="460">
        <v>2311</v>
      </c>
      <c r="D2415" s="460" t="s">
        <v>2358</v>
      </c>
      <c r="E2415" s="460" t="s">
        <v>1136</v>
      </c>
      <c r="F2415" s="460">
        <v>1</v>
      </c>
      <c r="G2415" s="460">
        <v>4</v>
      </c>
      <c r="H2415" s="461" t="s">
        <v>712</v>
      </c>
      <c r="I2415" s="461" t="s">
        <v>713</v>
      </c>
      <c r="J2415" s="461" t="s">
        <v>712</v>
      </c>
      <c r="K2415" s="594"/>
      <c r="L2415" s="594"/>
      <c r="M2415" s="352">
        <v>2000</v>
      </c>
      <c r="N2415" s="352" t="s">
        <v>703</v>
      </c>
      <c r="O2415" s="460">
        <v>2311</v>
      </c>
      <c r="P2415" s="460" t="s">
        <v>1887</v>
      </c>
      <c r="Q2415" s="460" t="s">
        <v>2280</v>
      </c>
      <c r="R2415" s="460">
        <v>2121</v>
      </c>
      <c r="S2415" s="460" t="s">
        <v>1136</v>
      </c>
      <c r="T2415" s="462">
        <v>1</v>
      </c>
      <c r="U2415" s="460" t="s">
        <v>1136</v>
      </c>
      <c r="V2415" s="475">
        <v>0</v>
      </c>
      <c r="W2415" s="463" t="s">
        <v>713</v>
      </c>
      <c r="X2415" s="463" t="s">
        <v>713</v>
      </c>
      <c r="Y2415" s="463" t="s">
        <v>713</v>
      </c>
      <c r="Z2415" s="463"/>
      <c r="AA2415" s="463"/>
      <c r="AB2415" s="464">
        <v>1588.5203742423698</v>
      </c>
      <c r="AC2415" s="465">
        <v>0.99618117967072795</v>
      </c>
      <c r="AD2415" s="465">
        <v>1.0468937666543617E-2</v>
      </c>
      <c r="AE2415" s="476">
        <v>1589.1505914513914</v>
      </c>
      <c r="AF2415" s="467">
        <v>0.9965763968381699</v>
      </c>
      <c r="AG2415" s="468">
        <v>1.0471148525839294E-2</v>
      </c>
      <c r="AH2415" s="218">
        <v>1456.2440526082105</v>
      </c>
      <c r="AI2415" s="470">
        <v>0.91322902855911969</v>
      </c>
      <c r="AJ2415" s="471">
        <v>9.6929279220071395E-3</v>
      </c>
      <c r="AK2415" s="218">
        <v>1456.2440526082105</v>
      </c>
      <c r="AL2415" s="470">
        <v>0.91322902855911969</v>
      </c>
      <c r="AM2415" s="471">
        <v>9.6929279220071395E-3</v>
      </c>
      <c r="AN2415" s="477">
        <v>1456.2860670888117</v>
      </c>
      <c r="AO2415" s="473">
        <v>0.91325537637028242</v>
      </c>
      <c r="AP2415" s="474">
        <v>9.6774353729065666E-3</v>
      </c>
      <c r="AQ2415" s="352"/>
      <c r="AR2415" s="352"/>
      <c r="AS2415" s="352"/>
      <c r="AT2415" s="352"/>
      <c r="AU2415" s="352"/>
      <c r="AV2415" s="352"/>
      <c r="AW2415" s="352" t="s">
        <v>254</v>
      </c>
    </row>
    <row r="2416" spans="2:49" x14ac:dyDescent="0.2">
      <c r="B2416" s="460" t="s">
        <v>3074</v>
      </c>
      <c r="C2416" s="460">
        <v>2311</v>
      </c>
      <c r="D2416" s="460" t="s">
        <v>2359</v>
      </c>
      <c r="E2416" s="460" t="s">
        <v>1137</v>
      </c>
      <c r="F2416" s="460">
        <v>2</v>
      </c>
      <c r="G2416" s="460">
        <v>4</v>
      </c>
      <c r="H2416" s="461" t="s">
        <v>712</v>
      </c>
      <c r="I2416" s="461" t="s">
        <v>713</v>
      </c>
      <c r="J2416" s="461" t="s">
        <v>712</v>
      </c>
      <c r="K2416" s="594"/>
      <c r="L2416" s="594"/>
      <c r="M2416" s="352">
        <v>2000</v>
      </c>
      <c r="N2416" s="352" t="s">
        <v>703</v>
      </c>
      <c r="O2416" s="460">
        <v>2311</v>
      </c>
      <c r="P2416" s="460" t="s">
        <v>1887</v>
      </c>
      <c r="Q2416" s="460" t="s">
        <v>2280</v>
      </c>
      <c r="R2416" s="460">
        <v>2121</v>
      </c>
      <c r="S2416" s="460" t="s">
        <v>1137</v>
      </c>
      <c r="T2416" s="462">
        <v>1</v>
      </c>
      <c r="U2416" s="460" t="s">
        <v>1137</v>
      </c>
      <c r="V2416" s="475">
        <v>0</v>
      </c>
      <c r="W2416" s="463" t="s">
        <v>713</v>
      </c>
      <c r="X2416" s="463" t="s">
        <v>713</v>
      </c>
      <c r="Y2416" s="463" t="s">
        <v>713</v>
      </c>
      <c r="Z2416" s="463"/>
      <c r="AA2416" s="463"/>
      <c r="AB2416" s="464">
        <v>1665.6760935931238</v>
      </c>
      <c r="AC2416" s="465">
        <v>0.95044890570162333</v>
      </c>
      <c r="AD2416" s="465">
        <v>9.6328346217491503E-3</v>
      </c>
      <c r="AE2416" s="476">
        <v>1673.6166593425639</v>
      </c>
      <c r="AF2416" s="467">
        <v>0.95497985986266121</v>
      </c>
      <c r="AG2416" s="468">
        <v>9.6609963121017453E-3</v>
      </c>
      <c r="AH2416" s="218">
        <v>1673.6166593425639</v>
      </c>
      <c r="AI2416" s="470">
        <v>0.95497985986266121</v>
      </c>
      <c r="AJ2416" s="471">
        <v>9.7068398601541581E-3</v>
      </c>
      <c r="AK2416" s="218">
        <v>1673.6166593425639</v>
      </c>
      <c r="AL2416" s="470">
        <v>0.95497985986266121</v>
      </c>
      <c r="AM2416" s="471">
        <v>9.7068398601541581E-3</v>
      </c>
      <c r="AN2416" s="477">
        <v>1674.1460303925267</v>
      </c>
      <c r="AO2416" s="473">
        <v>0.95528192347339713</v>
      </c>
      <c r="AP2416" s="474">
        <v>9.7018981001797625E-3</v>
      </c>
      <c r="AQ2416" s="352"/>
      <c r="AR2416" s="352"/>
      <c r="AS2416" s="352"/>
      <c r="AT2416" s="352"/>
      <c r="AU2416" s="352"/>
      <c r="AV2416" s="352"/>
      <c r="AW2416" s="352" t="s">
        <v>254</v>
      </c>
    </row>
    <row r="2417" spans="2:49" x14ac:dyDescent="0.2">
      <c r="B2417" s="460" t="s">
        <v>3075</v>
      </c>
      <c r="C2417" s="460">
        <v>2311</v>
      </c>
      <c r="D2417" s="460" t="s">
        <v>2360</v>
      </c>
      <c r="E2417" s="460" t="s">
        <v>1138</v>
      </c>
      <c r="F2417" s="460">
        <v>3</v>
      </c>
      <c r="G2417" s="460">
        <v>4</v>
      </c>
      <c r="H2417" s="461" t="s">
        <v>712</v>
      </c>
      <c r="I2417" s="461" t="s">
        <v>713</v>
      </c>
      <c r="J2417" s="461" t="s">
        <v>712</v>
      </c>
      <c r="K2417" s="594"/>
      <c r="L2417" s="594"/>
      <c r="M2417" s="352">
        <v>2000</v>
      </c>
      <c r="N2417" s="352" t="s">
        <v>703</v>
      </c>
      <c r="O2417" s="460">
        <v>2311</v>
      </c>
      <c r="P2417" s="460" t="s">
        <v>1887</v>
      </c>
      <c r="Q2417" s="460" t="s">
        <v>2280</v>
      </c>
      <c r="R2417" s="460">
        <v>2121</v>
      </c>
      <c r="S2417" s="460" t="s">
        <v>1138</v>
      </c>
      <c r="T2417" s="462">
        <v>1</v>
      </c>
      <c r="U2417" s="460" t="s">
        <v>1138</v>
      </c>
      <c r="V2417" s="475">
        <v>0</v>
      </c>
      <c r="W2417" s="463" t="s">
        <v>713</v>
      </c>
      <c r="X2417" s="463" t="s">
        <v>713</v>
      </c>
      <c r="Y2417" s="463" t="s">
        <v>713</v>
      </c>
      <c r="Z2417" s="463"/>
      <c r="AA2417" s="463"/>
      <c r="AB2417" s="464">
        <v>643.0731972281925</v>
      </c>
      <c r="AC2417" s="465">
        <v>0.90910502000194915</v>
      </c>
      <c r="AD2417" s="465">
        <v>8.0252619883042706E-3</v>
      </c>
      <c r="AE2417" s="476">
        <v>647.34687668010997</v>
      </c>
      <c r="AF2417" s="467">
        <v>0.91514667040872044</v>
      </c>
      <c r="AG2417" s="468">
        <v>8.061068688998984E-3</v>
      </c>
      <c r="AH2417" s="218">
        <v>647.34687668010997</v>
      </c>
      <c r="AI2417" s="470">
        <v>0.91514667040872044</v>
      </c>
      <c r="AJ2417" s="471">
        <v>8.1555877241516455E-3</v>
      </c>
      <c r="AK2417" s="218">
        <v>647.34687668010997</v>
      </c>
      <c r="AL2417" s="470">
        <v>0.91514667040872044</v>
      </c>
      <c r="AM2417" s="471">
        <v>8.1555877241516455E-3</v>
      </c>
      <c r="AN2417" s="477">
        <v>647.63178864357121</v>
      </c>
      <c r="AO2417" s="473">
        <v>0.91554944710250519</v>
      </c>
      <c r="AP2417" s="474">
        <v>8.1585622733521979E-3</v>
      </c>
      <c r="AQ2417" s="352"/>
      <c r="AR2417" s="352"/>
      <c r="AS2417" s="352"/>
      <c r="AT2417" s="352"/>
      <c r="AU2417" s="352"/>
      <c r="AV2417" s="352"/>
      <c r="AW2417" s="352" t="s">
        <v>254</v>
      </c>
    </row>
    <row r="2418" spans="2:49" x14ac:dyDescent="0.2">
      <c r="B2418" s="460" t="s">
        <v>3076</v>
      </c>
      <c r="C2418" s="460">
        <v>2311</v>
      </c>
      <c r="D2418" s="460" t="s">
        <v>2361</v>
      </c>
      <c r="E2418" s="460" t="s">
        <v>1139</v>
      </c>
      <c r="F2418" s="460">
        <v>4</v>
      </c>
      <c r="G2418" s="460">
        <v>4</v>
      </c>
      <c r="H2418" s="461" t="s">
        <v>712</v>
      </c>
      <c r="I2418" s="461" t="s">
        <v>713</v>
      </c>
      <c r="J2418" s="461" t="s">
        <v>712</v>
      </c>
      <c r="K2418" s="594"/>
      <c r="L2418" s="594"/>
      <c r="M2418" s="352">
        <v>2000</v>
      </c>
      <c r="N2418" s="352" t="s">
        <v>703</v>
      </c>
      <c r="O2418" s="460">
        <v>2311</v>
      </c>
      <c r="P2418" s="460" t="s">
        <v>1887</v>
      </c>
      <c r="Q2418" s="460" t="s">
        <v>2280</v>
      </c>
      <c r="R2418" s="460">
        <v>2121</v>
      </c>
      <c r="S2418" s="460" t="s">
        <v>1139</v>
      </c>
      <c r="T2418" s="462">
        <v>1</v>
      </c>
      <c r="U2418" s="460" t="s">
        <v>1139</v>
      </c>
      <c r="V2418" s="475">
        <v>0</v>
      </c>
      <c r="W2418" s="463" t="s">
        <v>713</v>
      </c>
      <c r="X2418" s="463" t="s">
        <v>713</v>
      </c>
      <c r="Y2418" s="463" t="s">
        <v>713</v>
      </c>
      <c r="Z2418" s="463"/>
      <c r="AA2418" s="463"/>
      <c r="AB2418" s="464">
        <v>735.5766620395201</v>
      </c>
      <c r="AC2418" s="465">
        <v>0.93389993617230449</v>
      </c>
      <c r="AD2418" s="465">
        <v>8.1444779071283436E-3</v>
      </c>
      <c r="AE2418" s="476">
        <v>735.57666203952022</v>
      </c>
      <c r="AF2418" s="467">
        <v>0.9338999361723046</v>
      </c>
      <c r="AG2418" s="468">
        <v>8.1444779071283453E-3</v>
      </c>
      <c r="AH2418" s="218">
        <v>735.57666203952022</v>
      </c>
      <c r="AI2418" s="470">
        <v>0.9338999361723046</v>
      </c>
      <c r="AJ2418" s="471">
        <v>8.3196481752521104E-3</v>
      </c>
      <c r="AK2418" s="218">
        <v>735.57666203952022</v>
      </c>
      <c r="AL2418" s="470">
        <v>0.9338999361723046</v>
      </c>
      <c r="AM2418" s="471">
        <v>8.3196481752521104E-3</v>
      </c>
      <c r="AN2418" s="477">
        <v>735.57666203952022</v>
      </c>
      <c r="AO2418" s="473">
        <v>0.9338999361723046</v>
      </c>
      <c r="AP2418" s="474">
        <v>8.3196481752521104E-3</v>
      </c>
      <c r="AQ2418" s="352"/>
      <c r="AR2418" s="352"/>
      <c r="AS2418" s="352"/>
      <c r="AT2418" s="352"/>
      <c r="AU2418" s="352"/>
      <c r="AV2418" s="352"/>
      <c r="AW2418" s="352" t="s">
        <v>254</v>
      </c>
    </row>
    <row r="2419" spans="2:49" x14ac:dyDescent="0.2">
      <c r="B2419" s="460" t="s">
        <v>3073</v>
      </c>
      <c r="C2419" s="460">
        <v>2311</v>
      </c>
      <c r="D2419" s="460" t="s">
        <v>2362</v>
      </c>
      <c r="E2419" s="460" t="s">
        <v>1136</v>
      </c>
      <c r="F2419" s="460">
        <v>1</v>
      </c>
      <c r="G2419" s="460">
        <v>4</v>
      </c>
      <c r="H2419" s="461" t="s">
        <v>746</v>
      </c>
      <c r="I2419" s="461" t="s">
        <v>762</v>
      </c>
      <c r="J2419" s="461" t="s">
        <v>700</v>
      </c>
      <c r="K2419" s="594"/>
      <c r="L2419" s="594"/>
      <c r="M2419" s="352">
        <v>2000</v>
      </c>
      <c r="N2419" s="352" t="s">
        <v>703</v>
      </c>
      <c r="O2419" s="460">
        <v>2311</v>
      </c>
      <c r="P2419" s="460" t="s">
        <v>1887</v>
      </c>
      <c r="Q2419" s="460" t="s">
        <v>3000</v>
      </c>
      <c r="R2419" s="460">
        <v>2121</v>
      </c>
      <c r="S2419" s="460" t="s">
        <v>1136</v>
      </c>
      <c r="T2419" s="462">
        <v>1</v>
      </c>
      <c r="U2419" s="460" t="s">
        <v>1136</v>
      </c>
      <c r="V2419" s="475">
        <v>0</v>
      </c>
      <c r="W2419" s="463" t="s">
        <v>2268</v>
      </c>
      <c r="X2419" s="463" t="s">
        <v>2268</v>
      </c>
      <c r="Y2419" s="463" t="s">
        <v>2554</v>
      </c>
      <c r="Z2419" s="463"/>
      <c r="AA2419" s="463"/>
      <c r="AB2419" s="464">
        <v>0</v>
      </c>
      <c r="AC2419" s="465">
        <v>0</v>
      </c>
      <c r="AD2419" s="465">
        <v>0</v>
      </c>
      <c r="AE2419" s="476">
        <v>0</v>
      </c>
      <c r="AF2419" s="467">
        <v>0</v>
      </c>
      <c r="AG2419" s="468">
        <v>0</v>
      </c>
      <c r="AH2419" s="218">
        <v>0</v>
      </c>
      <c r="AI2419" s="470">
        <v>0</v>
      </c>
      <c r="AJ2419" s="471">
        <v>0</v>
      </c>
      <c r="AK2419" s="218">
        <v>0</v>
      </c>
      <c r="AL2419" s="470">
        <v>0</v>
      </c>
      <c r="AM2419" s="471">
        <v>0</v>
      </c>
      <c r="AN2419" s="477">
        <v>8.4028961202888566E-2</v>
      </c>
      <c r="AO2419" s="473">
        <v>5.2695622325601685E-5</v>
      </c>
      <c r="AP2419" s="474">
        <v>3.7901188394735927E-4</v>
      </c>
      <c r="AQ2419" s="352"/>
      <c r="AR2419" s="352"/>
      <c r="AS2419" s="352"/>
      <c r="AT2419" s="352"/>
      <c r="AU2419" s="352"/>
      <c r="AV2419" s="352"/>
      <c r="AW2419" s="352" t="s">
        <v>254</v>
      </c>
    </row>
    <row r="2420" spans="2:49" x14ac:dyDescent="0.2">
      <c r="B2420" s="460" t="s">
        <v>3074</v>
      </c>
      <c r="C2420" s="460">
        <v>2311</v>
      </c>
      <c r="D2420" s="460" t="s">
        <v>2363</v>
      </c>
      <c r="E2420" s="460" t="s">
        <v>1137</v>
      </c>
      <c r="F2420" s="460">
        <v>2</v>
      </c>
      <c r="G2420" s="460">
        <v>4</v>
      </c>
      <c r="H2420" s="461" t="s">
        <v>746</v>
      </c>
      <c r="I2420" s="461" t="s">
        <v>762</v>
      </c>
      <c r="J2420" s="461" t="s">
        <v>700</v>
      </c>
      <c r="K2420" s="594"/>
      <c r="L2420" s="594"/>
      <c r="M2420" s="352">
        <v>2000</v>
      </c>
      <c r="N2420" s="352" t="s">
        <v>703</v>
      </c>
      <c r="O2420" s="460">
        <v>2311</v>
      </c>
      <c r="P2420" s="460" t="s">
        <v>1887</v>
      </c>
      <c r="Q2420" s="460" t="s">
        <v>3000</v>
      </c>
      <c r="R2420" s="460">
        <v>2121</v>
      </c>
      <c r="S2420" s="460" t="s">
        <v>1137</v>
      </c>
      <c r="T2420" s="462">
        <v>1</v>
      </c>
      <c r="U2420" s="460" t="s">
        <v>1137</v>
      </c>
      <c r="V2420" s="475">
        <v>0</v>
      </c>
      <c r="W2420" s="463" t="s">
        <v>2268</v>
      </c>
      <c r="X2420" s="463" t="s">
        <v>2268</v>
      </c>
      <c r="Y2420" s="463" t="s">
        <v>2554</v>
      </c>
      <c r="Z2420" s="463"/>
      <c r="AA2420" s="463"/>
      <c r="AB2420" s="464">
        <v>0</v>
      </c>
      <c r="AC2420" s="465">
        <v>0</v>
      </c>
      <c r="AD2420" s="465">
        <v>0</v>
      </c>
      <c r="AE2420" s="476">
        <v>0</v>
      </c>
      <c r="AF2420" s="467">
        <v>0</v>
      </c>
      <c r="AG2420" s="468">
        <v>0</v>
      </c>
      <c r="AH2420" s="218">
        <v>0</v>
      </c>
      <c r="AI2420" s="470">
        <v>0</v>
      </c>
      <c r="AJ2420" s="471">
        <v>0</v>
      </c>
      <c r="AK2420" s="218">
        <v>0</v>
      </c>
      <c r="AL2420" s="470">
        <v>0</v>
      </c>
      <c r="AM2420" s="471">
        <v>0</v>
      </c>
      <c r="AN2420" s="477">
        <v>1.0587420999253567</v>
      </c>
      <c r="AO2420" s="473">
        <v>6.041272214717269E-4</v>
      </c>
      <c r="AP2420" s="474">
        <v>2.8931565037465144E-4</v>
      </c>
      <c r="AQ2420" s="352"/>
      <c r="AR2420" s="352"/>
      <c r="AS2420" s="352"/>
      <c r="AT2420" s="352"/>
      <c r="AU2420" s="352"/>
      <c r="AV2420" s="352"/>
      <c r="AW2420" s="352" t="s">
        <v>254</v>
      </c>
    </row>
    <row r="2421" spans="2:49" x14ac:dyDescent="0.2">
      <c r="B2421" s="460" t="s">
        <v>3075</v>
      </c>
      <c r="C2421" s="460">
        <v>2311</v>
      </c>
      <c r="D2421" s="460" t="s">
        <v>2364</v>
      </c>
      <c r="E2421" s="460" t="s">
        <v>1138</v>
      </c>
      <c r="F2421" s="460">
        <v>3</v>
      </c>
      <c r="G2421" s="460">
        <v>4</v>
      </c>
      <c r="H2421" s="461" t="s">
        <v>746</v>
      </c>
      <c r="I2421" s="461" t="s">
        <v>762</v>
      </c>
      <c r="J2421" s="461" t="s">
        <v>700</v>
      </c>
      <c r="K2421" s="594"/>
      <c r="L2421" s="594"/>
      <c r="M2421" s="352">
        <v>2000</v>
      </c>
      <c r="N2421" s="352" t="s">
        <v>703</v>
      </c>
      <c r="O2421" s="460">
        <v>2311</v>
      </c>
      <c r="P2421" s="460" t="s">
        <v>1887</v>
      </c>
      <c r="Q2421" s="460" t="s">
        <v>3000</v>
      </c>
      <c r="R2421" s="460">
        <v>2121</v>
      </c>
      <c r="S2421" s="460" t="s">
        <v>1138</v>
      </c>
      <c r="T2421" s="462">
        <v>1</v>
      </c>
      <c r="U2421" s="460" t="s">
        <v>1138</v>
      </c>
      <c r="V2421" s="475">
        <v>0</v>
      </c>
      <c r="W2421" s="463" t="s">
        <v>2268</v>
      </c>
      <c r="X2421" s="463" t="s">
        <v>2268</v>
      </c>
      <c r="Y2421" s="463" t="s">
        <v>2554</v>
      </c>
      <c r="Z2421" s="463"/>
      <c r="AA2421" s="463"/>
      <c r="AB2421" s="464">
        <v>0</v>
      </c>
      <c r="AC2421" s="465">
        <v>0</v>
      </c>
      <c r="AD2421" s="465">
        <v>0</v>
      </c>
      <c r="AE2421" s="476">
        <v>0</v>
      </c>
      <c r="AF2421" s="467">
        <v>0</v>
      </c>
      <c r="AG2421" s="468">
        <v>0</v>
      </c>
      <c r="AH2421" s="218">
        <v>0</v>
      </c>
      <c r="AI2421" s="470">
        <v>0</v>
      </c>
      <c r="AJ2421" s="471">
        <v>0</v>
      </c>
      <c r="AK2421" s="218">
        <v>0</v>
      </c>
      <c r="AL2421" s="470">
        <v>0</v>
      </c>
      <c r="AM2421" s="471">
        <v>0</v>
      </c>
      <c r="AN2421" s="477">
        <v>0.56982392692233386</v>
      </c>
      <c r="AO2421" s="473">
        <v>8.0555338756949676E-4</v>
      </c>
      <c r="AP2421" s="474">
        <v>2.9492889653547365E-4</v>
      </c>
      <c r="AQ2421" s="352"/>
      <c r="AR2421" s="352"/>
      <c r="AS2421" s="352"/>
      <c r="AT2421" s="352"/>
      <c r="AU2421" s="352"/>
      <c r="AV2421" s="352"/>
      <c r="AW2421" s="352" t="s">
        <v>254</v>
      </c>
    </row>
    <row r="2422" spans="2:49" x14ac:dyDescent="0.2">
      <c r="B2422" s="460" t="s">
        <v>3076</v>
      </c>
      <c r="C2422" s="460">
        <v>2311</v>
      </c>
      <c r="D2422" s="460" t="s">
        <v>2365</v>
      </c>
      <c r="E2422" s="460" t="s">
        <v>1139</v>
      </c>
      <c r="F2422" s="460">
        <v>4</v>
      </c>
      <c r="G2422" s="460">
        <v>4</v>
      </c>
      <c r="H2422" s="461" t="s">
        <v>746</v>
      </c>
      <c r="I2422" s="461" t="s">
        <v>762</v>
      </c>
      <c r="J2422" s="461" t="s">
        <v>700</v>
      </c>
      <c r="K2422" s="594"/>
      <c r="L2422" s="594"/>
      <c r="M2422" s="352">
        <v>2000</v>
      </c>
      <c r="N2422" s="352" t="s">
        <v>703</v>
      </c>
      <c r="O2422" s="460">
        <v>2311</v>
      </c>
      <c r="P2422" s="460" t="s">
        <v>1887</v>
      </c>
      <c r="Q2422" s="460" t="s">
        <v>3000</v>
      </c>
      <c r="R2422" s="460">
        <v>2121</v>
      </c>
      <c r="S2422" s="460" t="s">
        <v>1139</v>
      </c>
      <c r="T2422" s="462">
        <v>1</v>
      </c>
      <c r="U2422" s="460" t="s">
        <v>1139</v>
      </c>
      <c r="V2422" s="475">
        <v>0</v>
      </c>
      <c r="W2422" s="463" t="s">
        <v>2268</v>
      </c>
      <c r="X2422" s="463" t="s">
        <v>2268</v>
      </c>
      <c r="Y2422" s="463" t="s">
        <v>2554</v>
      </c>
      <c r="Z2422" s="463"/>
      <c r="AA2422" s="463"/>
      <c r="AB2422" s="464">
        <v>0</v>
      </c>
      <c r="AC2422" s="465">
        <v>0</v>
      </c>
      <c r="AD2422" s="465">
        <v>0</v>
      </c>
      <c r="AE2422" s="476">
        <v>0</v>
      </c>
      <c r="AF2422" s="467">
        <v>0</v>
      </c>
      <c r="AG2422" s="468">
        <v>0</v>
      </c>
      <c r="AH2422" s="218">
        <v>0</v>
      </c>
      <c r="AI2422" s="470">
        <v>0</v>
      </c>
      <c r="AJ2422" s="471">
        <v>0</v>
      </c>
      <c r="AK2422" s="218">
        <v>0</v>
      </c>
      <c r="AL2422" s="470">
        <v>0</v>
      </c>
      <c r="AM2422" s="471">
        <v>0</v>
      </c>
      <c r="AN2422" s="477">
        <v>0</v>
      </c>
      <c r="AO2422" s="473">
        <v>0</v>
      </c>
      <c r="AP2422" s="474">
        <v>0</v>
      </c>
      <c r="AQ2422" s="352"/>
      <c r="AR2422" s="352"/>
      <c r="AS2422" s="352"/>
      <c r="AT2422" s="352"/>
      <c r="AU2422" s="352"/>
      <c r="AV2422" s="352"/>
      <c r="AW2422" s="352" t="s">
        <v>254</v>
      </c>
    </row>
    <row r="2423" spans="2:49" x14ac:dyDescent="0.2">
      <c r="B2423" s="460" t="s">
        <v>3073</v>
      </c>
      <c r="C2423" s="460">
        <v>2311</v>
      </c>
      <c r="D2423" s="460" t="s">
        <v>2366</v>
      </c>
      <c r="E2423" s="460" t="s">
        <v>1136</v>
      </c>
      <c r="F2423" s="460">
        <v>1</v>
      </c>
      <c r="G2423" s="460">
        <v>4</v>
      </c>
      <c r="H2423" s="461" t="s">
        <v>748</v>
      </c>
      <c r="I2423" s="461" t="s">
        <v>765</v>
      </c>
      <c r="J2423" s="461" t="s">
        <v>700</v>
      </c>
      <c r="K2423" s="594"/>
      <c r="L2423" s="594"/>
      <c r="M2423" s="352">
        <v>2000</v>
      </c>
      <c r="N2423" s="352" t="s">
        <v>703</v>
      </c>
      <c r="O2423" s="460">
        <v>2311</v>
      </c>
      <c r="P2423" s="460" t="s">
        <v>1887</v>
      </c>
      <c r="Q2423" s="460" t="s">
        <v>3000</v>
      </c>
      <c r="R2423" s="460">
        <v>2121</v>
      </c>
      <c r="S2423" s="460" t="s">
        <v>1136</v>
      </c>
      <c r="T2423" s="462">
        <v>1</v>
      </c>
      <c r="U2423" s="460" t="s">
        <v>1136</v>
      </c>
      <c r="V2423" s="475">
        <v>0</v>
      </c>
      <c r="W2423" s="463" t="s">
        <v>2268</v>
      </c>
      <c r="X2423" s="463" t="s">
        <v>2268</v>
      </c>
      <c r="Y2423" s="463" t="s">
        <v>2554</v>
      </c>
      <c r="Z2423" s="463"/>
      <c r="AA2423" s="463"/>
      <c r="AB2423" s="464">
        <v>0</v>
      </c>
      <c r="AC2423" s="465">
        <v>0</v>
      </c>
      <c r="AD2423" s="465">
        <v>0</v>
      </c>
      <c r="AE2423" s="476">
        <v>0</v>
      </c>
      <c r="AF2423" s="467">
        <v>0</v>
      </c>
      <c r="AG2423" s="468">
        <v>0</v>
      </c>
      <c r="AH2423" s="218">
        <v>0</v>
      </c>
      <c r="AI2423" s="470">
        <v>0</v>
      </c>
      <c r="AJ2423" s="471">
        <v>0</v>
      </c>
      <c r="AK2423" s="218">
        <v>0</v>
      </c>
      <c r="AL2423" s="470">
        <v>0</v>
      </c>
      <c r="AM2423" s="471">
        <v>0</v>
      </c>
      <c r="AN2423" s="477">
        <v>8.4028961202888566E-2</v>
      </c>
      <c r="AO2423" s="473">
        <v>5.2695622325601685E-5</v>
      </c>
      <c r="AP2423" s="474">
        <v>1.0324198592791568E-4</v>
      </c>
      <c r="AQ2423" s="352"/>
      <c r="AR2423" s="352"/>
      <c r="AS2423" s="352"/>
      <c r="AT2423" s="352"/>
      <c r="AU2423" s="352"/>
      <c r="AV2423" s="352"/>
      <c r="AW2423" s="352" t="s">
        <v>254</v>
      </c>
    </row>
    <row r="2424" spans="2:49" x14ac:dyDescent="0.2">
      <c r="B2424" s="460" t="s">
        <v>3074</v>
      </c>
      <c r="C2424" s="460">
        <v>2311</v>
      </c>
      <c r="D2424" s="460" t="s">
        <v>2367</v>
      </c>
      <c r="E2424" s="460" t="s">
        <v>1137</v>
      </c>
      <c r="F2424" s="460">
        <v>2</v>
      </c>
      <c r="G2424" s="460">
        <v>4</v>
      </c>
      <c r="H2424" s="461" t="s">
        <v>748</v>
      </c>
      <c r="I2424" s="461" t="s">
        <v>765</v>
      </c>
      <c r="J2424" s="461" t="s">
        <v>700</v>
      </c>
      <c r="K2424" s="594"/>
      <c r="L2424" s="594"/>
      <c r="M2424" s="352">
        <v>2000</v>
      </c>
      <c r="N2424" s="352" t="s">
        <v>703</v>
      </c>
      <c r="O2424" s="460">
        <v>2311</v>
      </c>
      <c r="P2424" s="460" t="s">
        <v>1887</v>
      </c>
      <c r="Q2424" s="460" t="s">
        <v>3000</v>
      </c>
      <c r="R2424" s="460">
        <v>2121</v>
      </c>
      <c r="S2424" s="460" t="s">
        <v>1137</v>
      </c>
      <c r="T2424" s="462">
        <v>1</v>
      </c>
      <c r="U2424" s="460" t="s">
        <v>1137</v>
      </c>
      <c r="V2424" s="475">
        <v>0</v>
      </c>
      <c r="W2424" s="463" t="s">
        <v>2268</v>
      </c>
      <c r="X2424" s="463" t="s">
        <v>2268</v>
      </c>
      <c r="Y2424" s="463" t="s">
        <v>2554</v>
      </c>
      <c r="Z2424" s="463"/>
      <c r="AA2424" s="463"/>
      <c r="AB2424" s="464">
        <v>0</v>
      </c>
      <c r="AC2424" s="465">
        <v>0</v>
      </c>
      <c r="AD2424" s="465">
        <v>0</v>
      </c>
      <c r="AE2424" s="476">
        <v>0</v>
      </c>
      <c r="AF2424" s="467">
        <v>0</v>
      </c>
      <c r="AG2424" s="468">
        <v>0</v>
      </c>
      <c r="AH2424" s="218">
        <v>0</v>
      </c>
      <c r="AI2424" s="470">
        <v>0</v>
      </c>
      <c r="AJ2424" s="471">
        <v>0</v>
      </c>
      <c r="AK2424" s="218">
        <v>0</v>
      </c>
      <c r="AL2424" s="470">
        <v>0</v>
      </c>
      <c r="AM2424" s="471">
        <v>0</v>
      </c>
      <c r="AN2424" s="477">
        <v>1.0587420999253567</v>
      </c>
      <c r="AO2424" s="473">
        <v>6.041272214717269E-4</v>
      </c>
      <c r="AP2424" s="474">
        <v>1.019792127875233E-3</v>
      </c>
      <c r="AQ2424" s="352"/>
      <c r="AR2424" s="352"/>
      <c r="AS2424" s="352"/>
      <c r="AT2424" s="352"/>
      <c r="AU2424" s="352"/>
      <c r="AV2424" s="352"/>
      <c r="AW2424" s="352" t="s">
        <v>254</v>
      </c>
    </row>
    <row r="2425" spans="2:49" x14ac:dyDescent="0.2">
      <c r="B2425" s="460" t="s">
        <v>3075</v>
      </c>
      <c r="C2425" s="460">
        <v>2311</v>
      </c>
      <c r="D2425" s="460" t="s">
        <v>2368</v>
      </c>
      <c r="E2425" s="460" t="s">
        <v>1138</v>
      </c>
      <c r="F2425" s="460">
        <v>3</v>
      </c>
      <c r="G2425" s="460">
        <v>4</v>
      </c>
      <c r="H2425" s="461" t="s">
        <v>748</v>
      </c>
      <c r="I2425" s="461" t="s">
        <v>765</v>
      </c>
      <c r="J2425" s="461" t="s">
        <v>700</v>
      </c>
      <c r="K2425" s="594"/>
      <c r="L2425" s="594"/>
      <c r="M2425" s="352">
        <v>2000</v>
      </c>
      <c r="N2425" s="352" t="s">
        <v>703</v>
      </c>
      <c r="O2425" s="460">
        <v>2311</v>
      </c>
      <c r="P2425" s="460" t="s">
        <v>1887</v>
      </c>
      <c r="Q2425" s="460" t="s">
        <v>3000</v>
      </c>
      <c r="R2425" s="460">
        <v>2121</v>
      </c>
      <c r="S2425" s="460" t="s">
        <v>1138</v>
      </c>
      <c r="T2425" s="462">
        <v>1</v>
      </c>
      <c r="U2425" s="460" t="s">
        <v>1138</v>
      </c>
      <c r="V2425" s="475">
        <v>0</v>
      </c>
      <c r="W2425" s="463" t="s">
        <v>2268</v>
      </c>
      <c r="X2425" s="463" t="s">
        <v>2268</v>
      </c>
      <c r="Y2425" s="463" t="s">
        <v>2554</v>
      </c>
      <c r="Z2425" s="463"/>
      <c r="AA2425" s="463"/>
      <c r="AB2425" s="464">
        <v>0</v>
      </c>
      <c r="AC2425" s="465">
        <v>0</v>
      </c>
      <c r="AD2425" s="465">
        <v>0</v>
      </c>
      <c r="AE2425" s="476">
        <v>0</v>
      </c>
      <c r="AF2425" s="467">
        <v>0</v>
      </c>
      <c r="AG2425" s="468">
        <v>0</v>
      </c>
      <c r="AH2425" s="218">
        <v>0</v>
      </c>
      <c r="AI2425" s="470">
        <v>0</v>
      </c>
      <c r="AJ2425" s="471">
        <v>0</v>
      </c>
      <c r="AK2425" s="218">
        <v>0</v>
      </c>
      <c r="AL2425" s="470">
        <v>0</v>
      </c>
      <c r="AM2425" s="471">
        <v>0</v>
      </c>
      <c r="AN2425" s="477">
        <v>0.56982392692233386</v>
      </c>
      <c r="AO2425" s="473">
        <v>8.0555338756949676E-4</v>
      </c>
      <c r="AP2425" s="474">
        <v>5.9122109781357664E-4</v>
      </c>
      <c r="AQ2425" s="352"/>
      <c r="AR2425" s="352"/>
      <c r="AS2425" s="352"/>
      <c r="AT2425" s="352"/>
      <c r="AU2425" s="352"/>
      <c r="AV2425" s="352"/>
      <c r="AW2425" s="352" t="s">
        <v>254</v>
      </c>
    </row>
    <row r="2426" spans="2:49" x14ac:dyDescent="0.2">
      <c r="B2426" s="460" t="s">
        <v>3076</v>
      </c>
      <c r="C2426" s="460">
        <v>2311</v>
      </c>
      <c r="D2426" s="460" t="s">
        <v>2369</v>
      </c>
      <c r="E2426" s="460" t="s">
        <v>1139</v>
      </c>
      <c r="F2426" s="460">
        <v>4</v>
      </c>
      <c r="G2426" s="460">
        <v>4</v>
      </c>
      <c r="H2426" s="461" t="s">
        <v>748</v>
      </c>
      <c r="I2426" s="461" t="s">
        <v>765</v>
      </c>
      <c r="J2426" s="461" t="s">
        <v>700</v>
      </c>
      <c r="K2426" s="594"/>
      <c r="L2426" s="594"/>
      <c r="M2426" s="352">
        <v>2000</v>
      </c>
      <c r="N2426" s="352" t="s">
        <v>703</v>
      </c>
      <c r="O2426" s="460">
        <v>2311</v>
      </c>
      <c r="P2426" s="460" t="s">
        <v>1887</v>
      </c>
      <c r="Q2426" s="460" t="s">
        <v>3000</v>
      </c>
      <c r="R2426" s="460">
        <v>2121</v>
      </c>
      <c r="S2426" s="460" t="s">
        <v>1139</v>
      </c>
      <c r="T2426" s="462">
        <v>1</v>
      </c>
      <c r="U2426" s="460" t="s">
        <v>1139</v>
      </c>
      <c r="V2426" s="475">
        <v>0</v>
      </c>
      <c r="W2426" s="463" t="s">
        <v>2268</v>
      </c>
      <c r="X2426" s="463" t="s">
        <v>2268</v>
      </c>
      <c r="Y2426" s="463" t="s">
        <v>2554</v>
      </c>
      <c r="Z2426" s="463"/>
      <c r="AA2426" s="463"/>
      <c r="AB2426" s="464">
        <v>0</v>
      </c>
      <c r="AC2426" s="465">
        <v>0</v>
      </c>
      <c r="AD2426" s="465">
        <v>0</v>
      </c>
      <c r="AE2426" s="476">
        <v>0</v>
      </c>
      <c r="AF2426" s="467">
        <v>0</v>
      </c>
      <c r="AG2426" s="468">
        <v>0</v>
      </c>
      <c r="AH2426" s="218">
        <v>0</v>
      </c>
      <c r="AI2426" s="470">
        <v>0</v>
      </c>
      <c r="AJ2426" s="471">
        <v>0</v>
      </c>
      <c r="AK2426" s="218">
        <v>0</v>
      </c>
      <c r="AL2426" s="470">
        <v>0</v>
      </c>
      <c r="AM2426" s="471">
        <v>0</v>
      </c>
      <c r="AN2426" s="477">
        <v>0</v>
      </c>
      <c r="AO2426" s="473">
        <v>0</v>
      </c>
      <c r="AP2426" s="474">
        <v>0</v>
      </c>
      <c r="AQ2426" s="352"/>
      <c r="AR2426" s="352"/>
      <c r="AS2426" s="352"/>
      <c r="AT2426" s="352"/>
      <c r="AU2426" s="352"/>
      <c r="AV2426" s="352"/>
      <c r="AW2426" s="352" t="s">
        <v>254</v>
      </c>
    </row>
    <row r="2427" spans="2:49" x14ac:dyDescent="0.2">
      <c r="B2427" s="460" t="s">
        <v>3073</v>
      </c>
      <c r="C2427" s="460">
        <v>2311</v>
      </c>
      <c r="D2427" s="460" t="s">
        <v>2370</v>
      </c>
      <c r="E2427" s="460" t="s">
        <v>1136</v>
      </c>
      <c r="F2427" s="460">
        <v>1</v>
      </c>
      <c r="G2427" s="460">
        <v>4</v>
      </c>
      <c r="H2427" s="461" t="s">
        <v>752</v>
      </c>
      <c r="I2427" s="461" t="s">
        <v>964</v>
      </c>
      <c r="J2427" s="461" t="s">
        <v>752</v>
      </c>
      <c r="K2427" s="594"/>
      <c r="L2427" s="594"/>
      <c r="M2427" s="352">
        <v>2000</v>
      </c>
      <c r="N2427" s="352" t="s">
        <v>703</v>
      </c>
      <c r="O2427" s="460">
        <v>2311</v>
      </c>
      <c r="P2427" s="460" t="s">
        <v>1887</v>
      </c>
      <c r="Q2427" s="460" t="s">
        <v>3012</v>
      </c>
      <c r="R2427" s="460">
        <v>2121</v>
      </c>
      <c r="S2427" s="460" t="s">
        <v>1136</v>
      </c>
      <c r="T2427" s="462">
        <v>1</v>
      </c>
      <c r="U2427" s="460" t="s">
        <v>1136</v>
      </c>
      <c r="V2427" s="475">
        <v>0</v>
      </c>
      <c r="W2427" s="463" t="s">
        <v>2278</v>
      </c>
      <c r="X2427" s="463" t="s">
        <v>2267</v>
      </c>
      <c r="Y2427" s="463" t="s">
        <v>2267</v>
      </c>
      <c r="Z2427" s="463"/>
      <c r="AA2427" s="463"/>
      <c r="AB2427" s="464">
        <v>5.2492391026420275</v>
      </c>
      <c r="AC2427" s="465">
        <v>3.2918641060160551E-3</v>
      </c>
      <c r="AD2427" s="465">
        <v>1.6999048931682268E-3</v>
      </c>
      <c r="AE2427" s="476">
        <v>5.2492391026420275</v>
      </c>
      <c r="AF2427" s="467">
        <v>3.2918641060160551E-3</v>
      </c>
      <c r="AG2427" s="468">
        <v>1.6999048931682268E-3</v>
      </c>
      <c r="AH2427" s="218">
        <v>138.15577794582316</v>
      </c>
      <c r="AI2427" s="470">
        <v>8.663923238506635E-2</v>
      </c>
      <c r="AJ2427" s="471">
        <v>3.7771059855135264E-2</v>
      </c>
      <c r="AK2427" s="218">
        <v>138.15577794582316</v>
      </c>
      <c r="AL2427" s="470">
        <v>8.663923238506635E-2</v>
      </c>
      <c r="AM2427" s="471">
        <v>3.7771059855135264E-2</v>
      </c>
      <c r="AN2427" s="477">
        <v>138.15577794582316</v>
      </c>
      <c r="AO2427" s="473">
        <v>8.663923238506635E-2</v>
      </c>
      <c r="AP2427" s="474">
        <v>3.7771059855135264E-2</v>
      </c>
      <c r="AQ2427" s="352"/>
      <c r="AR2427" s="352"/>
      <c r="AS2427" s="352"/>
      <c r="AT2427" s="352"/>
      <c r="AU2427" s="352"/>
      <c r="AV2427" s="352"/>
      <c r="AW2427" s="352" t="s">
        <v>254</v>
      </c>
    </row>
    <row r="2428" spans="2:49" x14ac:dyDescent="0.2">
      <c r="B2428" s="460" t="s">
        <v>3074</v>
      </c>
      <c r="C2428" s="460">
        <v>2311</v>
      </c>
      <c r="D2428" s="460" t="s">
        <v>2371</v>
      </c>
      <c r="E2428" s="460" t="s">
        <v>1137</v>
      </c>
      <c r="F2428" s="460">
        <v>2</v>
      </c>
      <c r="G2428" s="460">
        <v>4</v>
      </c>
      <c r="H2428" s="461" t="s">
        <v>752</v>
      </c>
      <c r="I2428" s="461" t="s">
        <v>964</v>
      </c>
      <c r="J2428" s="461" t="s">
        <v>752</v>
      </c>
      <c r="K2428" s="594"/>
      <c r="L2428" s="594"/>
      <c r="M2428" s="352">
        <v>2000</v>
      </c>
      <c r="N2428" s="352" t="s">
        <v>703</v>
      </c>
      <c r="O2428" s="460">
        <v>2311</v>
      </c>
      <c r="P2428" s="460" t="s">
        <v>1887</v>
      </c>
      <c r="Q2428" s="460" t="s">
        <v>3012</v>
      </c>
      <c r="R2428" s="460">
        <v>2121</v>
      </c>
      <c r="S2428" s="460" t="s">
        <v>1137</v>
      </c>
      <c r="T2428" s="462">
        <v>1</v>
      </c>
      <c r="U2428" s="460" t="s">
        <v>1137</v>
      </c>
      <c r="V2428" s="475">
        <v>0</v>
      </c>
      <c r="W2428" s="463" t="s">
        <v>2278</v>
      </c>
      <c r="X2428" s="463" t="s">
        <v>2267</v>
      </c>
      <c r="Y2428" s="463" t="s">
        <v>2267</v>
      </c>
      <c r="Z2428" s="463"/>
      <c r="AA2428" s="463"/>
      <c r="AB2428" s="464">
        <v>76.251621782595237</v>
      </c>
      <c r="AC2428" s="465">
        <v>4.3509822083659451E-2</v>
      </c>
      <c r="AD2428" s="465">
        <v>7.4611403882889945E-3</v>
      </c>
      <c r="AE2428" s="476">
        <v>76.251621782595237</v>
      </c>
      <c r="AF2428" s="467">
        <v>4.3509822083659451E-2</v>
      </c>
      <c r="AG2428" s="468">
        <v>7.4611403882889945E-3</v>
      </c>
      <c r="AH2428" s="218">
        <v>76.251621782595237</v>
      </c>
      <c r="AI2428" s="470">
        <v>4.3509822083659451E-2</v>
      </c>
      <c r="AJ2428" s="471">
        <v>7.39698846211982E-3</v>
      </c>
      <c r="AK2428" s="218">
        <v>76.251621782595237</v>
      </c>
      <c r="AL2428" s="470">
        <v>4.3509822083659451E-2</v>
      </c>
      <c r="AM2428" s="471">
        <v>7.39698846211982E-3</v>
      </c>
      <c r="AN2428" s="477">
        <v>76.251621782595237</v>
      </c>
      <c r="AO2428" s="473">
        <v>4.3509822083659451E-2</v>
      </c>
      <c r="AP2428" s="474">
        <v>7.39698846211982E-3</v>
      </c>
      <c r="AQ2428" s="352"/>
      <c r="AR2428" s="352"/>
      <c r="AS2428" s="352"/>
      <c r="AT2428" s="352"/>
      <c r="AU2428" s="352"/>
      <c r="AV2428" s="352"/>
      <c r="AW2428" s="352" t="s">
        <v>254</v>
      </c>
    </row>
    <row r="2429" spans="2:49" x14ac:dyDescent="0.2">
      <c r="B2429" s="460" t="s">
        <v>3075</v>
      </c>
      <c r="C2429" s="460">
        <v>2311</v>
      </c>
      <c r="D2429" s="460" t="s">
        <v>2372</v>
      </c>
      <c r="E2429" s="460" t="s">
        <v>1138</v>
      </c>
      <c r="F2429" s="460">
        <v>3</v>
      </c>
      <c r="G2429" s="460">
        <v>4</v>
      </c>
      <c r="H2429" s="461" t="s">
        <v>752</v>
      </c>
      <c r="I2429" s="461" t="s">
        <v>964</v>
      </c>
      <c r="J2429" s="461" t="s">
        <v>752</v>
      </c>
      <c r="K2429" s="594"/>
      <c r="L2429" s="594"/>
      <c r="M2429" s="352">
        <v>2000</v>
      </c>
      <c r="N2429" s="352" t="s">
        <v>703</v>
      </c>
      <c r="O2429" s="460">
        <v>2311</v>
      </c>
      <c r="P2429" s="460" t="s">
        <v>1887</v>
      </c>
      <c r="Q2429" s="460" t="s">
        <v>3012</v>
      </c>
      <c r="R2429" s="460">
        <v>2121</v>
      </c>
      <c r="S2429" s="460" t="s">
        <v>1138</v>
      </c>
      <c r="T2429" s="462">
        <v>1</v>
      </c>
      <c r="U2429" s="460" t="s">
        <v>1138</v>
      </c>
      <c r="V2429" s="475">
        <v>0</v>
      </c>
      <c r="W2429" s="463" t="s">
        <v>2278</v>
      </c>
      <c r="X2429" s="463" t="s">
        <v>2503</v>
      </c>
      <c r="Y2429" s="463" t="s">
        <v>2503</v>
      </c>
      <c r="Z2429" s="463"/>
      <c r="AA2429" s="463"/>
      <c r="AB2429" s="464">
        <v>58.598100662123407</v>
      </c>
      <c r="AC2429" s="465">
        <v>8.2839446122355789E-2</v>
      </c>
      <c r="AD2429" s="465">
        <v>1.0121265808415571E-2</v>
      </c>
      <c r="AE2429" s="476">
        <v>58.598100662123407</v>
      </c>
      <c r="AF2429" s="467">
        <v>8.2839446122355789E-2</v>
      </c>
      <c r="AG2429" s="468">
        <v>1.0121265808415571E-2</v>
      </c>
      <c r="AH2429" s="218">
        <v>58.598100662123407</v>
      </c>
      <c r="AI2429" s="470">
        <v>8.2839446122355789E-2</v>
      </c>
      <c r="AJ2429" s="471">
        <v>9.7216096675367698E-3</v>
      </c>
      <c r="AK2429" s="218">
        <v>58.598100662123407</v>
      </c>
      <c r="AL2429" s="470">
        <v>8.2839446122355789E-2</v>
      </c>
      <c r="AM2429" s="471">
        <v>9.7216096675367698E-3</v>
      </c>
      <c r="AN2429" s="477">
        <v>58.598100662123407</v>
      </c>
      <c r="AO2429" s="473">
        <v>8.2839446122355789E-2</v>
      </c>
      <c r="AP2429" s="474">
        <v>9.7216096675367698E-3</v>
      </c>
      <c r="AQ2429" s="352"/>
      <c r="AR2429" s="352"/>
      <c r="AS2429" s="352"/>
      <c r="AT2429" s="352"/>
      <c r="AU2429" s="352"/>
      <c r="AV2429" s="352"/>
      <c r="AW2429" s="352" t="s">
        <v>254</v>
      </c>
    </row>
    <row r="2430" spans="2:49" x14ac:dyDescent="0.2">
      <c r="B2430" s="460" t="s">
        <v>3076</v>
      </c>
      <c r="C2430" s="460">
        <v>2311</v>
      </c>
      <c r="D2430" s="460" t="s">
        <v>2373</v>
      </c>
      <c r="E2430" s="460" t="s">
        <v>1139</v>
      </c>
      <c r="F2430" s="460">
        <v>4</v>
      </c>
      <c r="G2430" s="460">
        <v>4</v>
      </c>
      <c r="H2430" s="461" t="s">
        <v>752</v>
      </c>
      <c r="I2430" s="461" t="s">
        <v>964</v>
      </c>
      <c r="J2430" s="461" t="s">
        <v>752</v>
      </c>
      <c r="K2430" s="594"/>
      <c r="L2430" s="594"/>
      <c r="M2430" s="352">
        <v>2000</v>
      </c>
      <c r="N2430" s="352" t="s">
        <v>703</v>
      </c>
      <c r="O2430" s="460">
        <v>2311</v>
      </c>
      <c r="P2430" s="460" t="s">
        <v>1887</v>
      </c>
      <c r="Q2430" s="460" t="s">
        <v>3012</v>
      </c>
      <c r="R2430" s="460">
        <v>2121</v>
      </c>
      <c r="S2430" s="460" t="s">
        <v>1139</v>
      </c>
      <c r="T2430" s="462">
        <v>1</v>
      </c>
      <c r="U2430" s="460" t="s">
        <v>1139</v>
      </c>
      <c r="V2430" s="475">
        <v>0</v>
      </c>
      <c r="W2430" s="463" t="s">
        <v>2278</v>
      </c>
      <c r="X2430" s="463" t="s">
        <v>2503</v>
      </c>
      <c r="Y2430" s="463" t="s">
        <v>2503</v>
      </c>
      <c r="Z2430" s="463"/>
      <c r="AA2430" s="463"/>
      <c r="AB2430" s="464">
        <v>52.06303419428091</v>
      </c>
      <c r="AC2430" s="465">
        <v>6.6100063827695454E-2</v>
      </c>
      <c r="AD2430" s="465">
        <v>2.0756111939471572E-3</v>
      </c>
      <c r="AE2430" s="476">
        <v>52.06303419428091</v>
      </c>
      <c r="AF2430" s="467">
        <v>6.6100063827695454E-2</v>
      </c>
      <c r="AG2430" s="468">
        <v>2.0756111939471572E-3</v>
      </c>
      <c r="AH2430" s="218">
        <v>52.06303419428091</v>
      </c>
      <c r="AI2430" s="470">
        <v>6.6100063827695454E-2</v>
      </c>
      <c r="AJ2430" s="471">
        <v>1.9293441896481485E-3</v>
      </c>
      <c r="AK2430" s="218">
        <v>52.06303419428091</v>
      </c>
      <c r="AL2430" s="470">
        <v>6.6100063827695454E-2</v>
      </c>
      <c r="AM2430" s="471">
        <v>1.9293441896481485E-3</v>
      </c>
      <c r="AN2430" s="477">
        <v>52.06303419428091</v>
      </c>
      <c r="AO2430" s="473">
        <v>6.6100063827695454E-2</v>
      </c>
      <c r="AP2430" s="474">
        <v>1.9293441896481485E-3</v>
      </c>
      <c r="AQ2430" s="352"/>
      <c r="AR2430" s="352"/>
      <c r="AS2430" s="352"/>
      <c r="AT2430" s="352"/>
      <c r="AU2430" s="352"/>
      <c r="AV2430" s="352"/>
      <c r="AW2430" s="352" t="s">
        <v>254</v>
      </c>
    </row>
    <row r="2431" spans="2:49" x14ac:dyDescent="0.2">
      <c r="B2431" s="460" t="s">
        <v>3077</v>
      </c>
      <c r="C2431" s="460">
        <v>2311</v>
      </c>
      <c r="D2431" s="460" t="s">
        <v>2375</v>
      </c>
      <c r="E2431" s="460" t="s">
        <v>2376</v>
      </c>
      <c r="F2431" s="460">
        <v>1</v>
      </c>
      <c r="G2431" s="460">
        <v>5</v>
      </c>
      <c r="H2431" s="461" t="s">
        <v>754</v>
      </c>
      <c r="I2431" s="461" t="s">
        <v>1991</v>
      </c>
      <c r="J2431" s="461" t="s">
        <v>754</v>
      </c>
      <c r="K2431" s="594"/>
      <c r="L2431" s="594"/>
      <c r="M2431" s="352">
        <v>2000</v>
      </c>
      <c r="N2431" s="352" t="s">
        <v>703</v>
      </c>
      <c r="O2431" s="460">
        <v>2311</v>
      </c>
      <c r="P2431" s="460" t="s">
        <v>1887</v>
      </c>
      <c r="Q2431" s="460" t="s">
        <v>2377</v>
      </c>
      <c r="R2431" s="460">
        <v>2121</v>
      </c>
      <c r="S2431" s="460" t="s">
        <v>2376</v>
      </c>
      <c r="T2431" s="462">
        <v>1</v>
      </c>
      <c r="U2431" s="460" t="s">
        <v>2376</v>
      </c>
      <c r="V2431" s="475">
        <v>0</v>
      </c>
      <c r="W2431" s="463" t="s">
        <v>2278</v>
      </c>
      <c r="X2431" s="463" t="s">
        <v>2278</v>
      </c>
      <c r="Y2431" s="463" t="s">
        <v>2278</v>
      </c>
      <c r="Z2431" s="463"/>
      <c r="AA2431" s="463"/>
      <c r="AB2431" s="464">
        <v>6565.9467643216749</v>
      </c>
      <c r="AC2431" s="465">
        <v>1</v>
      </c>
      <c r="AD2431" s="465">
        <v>1.103804486591943E-2</v>
      </c>
      <c r="AE2431" s="476">
        <v>6565.9467643216749</v>
      </c>
      <c r="AF2431" s="467">
        <v>1</v>
      </c>
      <c r="AG2431" s="468">
        <v>1.103804486591943E-2</v>
      </c>
      <c r="AH2431" s="218">
        <v>6565.9467643216749</v>
      </c>
      <c r="AI2431" s="470">
        <v>1</v>
      </c>
      <c r="AJ2431" s="471">
        <v>1.103804486591943E-2</v>
      </c>
      <c r="AK2431" s="218">
        <v>6565.9467643216749</v>
      </c>
      <c r="AL2431" s="470">
        <v>1</v>
      </c>
      <c r="AM2431" s="471">
        <v>1.103804486591943E-2</v>
      </c>
      <c r="AN2431" s="477">
        <v>6565.9467643216749</v>
      </c>
      <c r="AO2431" s="473">
        <v>1</v>
      </c>
      <c r="AP2431" s="474">
        <v>1.103804486591943E-2</v>
      </c>
      <c r="AQ2431" s="352"/>
      <c r="AR2431" s="352"/>
      <c r="AS2431" s="352"/>
      <c r="AT2431" s="352"/>
      <c r="AU2431" s="352"/>
      <c r="AV2431" s="352"/>
      <c r="AW2431" s="352" t="s">
        <v>127</v>
      </c>
    </row>
    <row r="2432" spans="2:49" x14ac:dyDescent="0.2">
      <c r="B2432" s="460" t="s">
        <v>3078</v>
      </c>
      <c r="C2432" s="460">
        <v>2311</v>
      </c>
      <c r="D2432" s="460" t="s">
        <v>2379</v>
      </c>
      <c r="E2432" s="460" t="s">
        <v>2380</v>
      </c>
      <c r="F2432" s="460">
        <v>2</v>
      </c>
      <c r="G2432" s="460">
        <v>5</v>
      </c>
      <c r="H2432" s="461" t="s">
        <v>754</v>
      </c>
      <c r="I2432" s="461" t="s">
        <v>1991</v>
      </c>
      <c r="J2432" s="461" t="s">
        <v>754</v>
      </c>
      <c r="K2432" s="594"/>
      <c r="L2432" s="594"/>
      <c r="M2432" s="352">
        <v>2000</v>
      </c>
      <c r="N2432" s="352" t="s">
        <v>703</v>
      </c>
      <c r="O2432" s="460">
        <v>2311</v>
      </c>
      <c r="P2432" s="460" t="s">
        <v>1887</v>
      </c>
      <c r="Q2432" s="460" t="s">
        <v>2377</v>
      </c>
      <c r="R2432" s="460">
        <v>2121</v>
      </c>
      <c r="S2432" s="460" t="s">
        <v>2380</v>
      </c>
      <c r="T2432" s="462">
        <v>1</v>
      </c>
      <c r="U2432" s="460" t="s">
        <v>2380</v>
      </c>
      <c r="V2432" s="475">
        <v>0</v>
      </c>
      <c r="W2432" s="463" t="s">
        <v>2278</v>
      </c>
      <c r="X2432" s="463" t="s">
        <v>2278</v>
      </c>
      <c r="Y2432" s="463" t="s">
        <v>2278</v>
      </c>
      <c r="Z2432" s="463"/>
      <c r="AA2432" s="463"/>
      <c r="AB2432" s="464">
        <v>4802.4593660748196</v>
      </c>
      <c r="AC2432" s="465">
        <v>1</v>
      </c>
      <c r="AD2432" s="465">
        <v>9.4570207536691236E-3</v>
      </c>
      <c r="AE2432" s="476">
        <v>4802.4593660748196</v>
      </c>
      <c r="AF2432" s="467">
        <v>1</v>
      </c>
      <c r="AG2432" s="468">
        <v>9.4570207536691236E-3</v>
      </c>
      <c r="AH2432" s="218">
        <v>4802.4593660748196</v>
      </c>
      <c r="AI2432" s="470">
        <v>1</v>
      </c>
      <c r="AJ2432" s="471">
        <v>9.4570207536691236E-3</v>
      </c>
      <c r="AK2432" s="218">
        <v>4802.4593660748196</v>
      </c>
      <c r="AL2432" s="470">
        <v>1</v>
      </c>
      <c r="AM2432" s="471">
        <v>9.4570207536691236E-3</v>
      </c>
      <c r="AN2432" s="477">
        <v>4802.4593660748196</v>
      </c>
      <c r="AO2432" s="473">
        <v>1</v>
      </c>
      <c r="AP2432" s="474">
        <v>9.4570207536691236E-3</v>
      </c>
      <c r="AQ2432" s="352"/>
      <c r="AR2432" s="352"/>
      <c r="AS2432" s="352"/>
      <c r="AT2432" s="352"/>
      <c r="AU2432" s="352"/>
      <c r="AV2432" s="352"/>
      <c r="AW2432" s="352" t="s">
        <v>127</v>
      </c>
    </row>
    <row r="2433" spans="2:49" x14ac:dyDescent="0.2">
      <c r="B2433" s="460" t="s">
        <v>3079</v>
      </c>
      <c r="C2433" s="460">
        <v>2311</v>
      </c>
      <c r="D2433" s="460" t="s">
        <v>2382</v>
      </c>
      <c r="E2433" s="460" t="s">
        <v>2383</v>
      </c>
      <c r="F2433" s="460">
        <v>3</v>
      </c>
      <c r="G2433" s="460">
        <v>5</v>
      </c>
      <c r="H2433" s="461" t="s">
        <v>754</v>
      </c>
      <c r="I2433" s="461" t="s">
        <v>1991</v>
      </c>
      <c r="J2433" s="461" t="s">
        <v>754</v>
      </c>
      <c r="K2433" s="594"/>
      <c r="L2433" s="594"/>
      <c r="M2433" s="352">
        <v>2000</v>
      </c>
      <c r="N2433" s="352" t="s">
        <v>703</v>
      </c>
      <c r="O2433" s="460">
        <v>2311</v>
      </c>
      <c r="P2433" s="460" t="s">
        <v>1887</v>
      </c>
      <c r="Q2433" s="460" t="s">
        <v>2377</v>
      </c>
      <c r="R2433" s="460">
        <v>2121</v>
      </c>
      <c r="S2433" s="460" t="s">
        <v>2383</v>
      </c>
      <c r="T2433" s="462">
        <v>1</v>
      </c>
      <c r="U2433" s="460" t="s">
        <v>2383</v>
      </c>
      <c r="V2433" s="475">
        <v>0</v>
      </c>
      <c r="W2433" s="463" t="s">
        <v>2278</v>
      </c>
      <c r="X2433" s="463" t="s">
        <v>2278</v>
      </c>
      <c r="Y2433" s="463" t="s">
        <v>2278</v>
      </c>
      <c r="Z2433" s="463"/>
      <c r="AA2433" s="463"/>
      <c r="AB2433" s="464">
        <v>1014.2574968138019</v>
      </c>
      <c r="AC2433" s="465">
        <v>1</v>
      </c>
      <c r="AD2433" s="465">
        <v>9.0153881415111353E-3</v>
      </c>
      <c r="AE2433" s="476">
        <v>1014.2574968138019</v>
      </c>
      <c r="AF2433" s="467">
        <v>1</v>
      </c>
      <c r="AG2433" s="468">
        <v>9.0153881415111353E-3</v>
      </c>
      <c r="AH2433" s="218">
        <v>1014.2574968138019</v>
      </c>
      <c r="AI2433" s="470">
        <v>1</v>
      </c>
      <c r="AJ2433" s="471">
        <v>9.0153881415111353E-3</v>
      </c>
      <c r="AK2433" s="218">
        <v>1014.2574968138019</v>
      </c>
      <c r="AL2433" s="470">
        <v>1</v>
      </c>
      <c r="AM2433" s="471">
        <v>9.0153881415111353E-3</v>
      </c>
      <c r="AN2433" s="477">
        <v>1014.2574968138019</v>
      </c>
      <c r="AO2433" s="473">
        <v>1</v>
      </c>
      <c r="AP2433" s="474">
        <v>9.0153881415111353E-3</v>
      </c>
      <c r="AQ2433" s="352"/>
      <c r="AR2433" s="352"/>
      <c r="AS2433" s="352"/>
      <c r="AT2433" s="352"/>
      <c r="AU2433" s="352"/>
      <c r="AV2433" s="352"/>
      <c r="AW2433" s="352" t="s">
        <v>127</v>
      </c>
    </row>
    <row r="2434" spans="2:49" x14ac:dyDescent="0.2">
      <c r="B2434" s="460" t="s">
        <v>3080</v>
      </c>
      <c r="C2434" s="460">
        <v>2311</v>
      </c>
      <c r="D2434" s="460" t="s">
        <v>2385</v>
      </c>
      <c r="E2434" s="460" t="s">
        <v>2386</v>
      </c>
      <c r="F2434" s="460">
        <v>4</v>
      </c>
      <c r="G2434" s="460">
        <v>5</v>
      </c>
      <c r="H2434" s="461" t="s">
        <v>754</v>
      </c>
      <c r="I2434" s="461" t="s">
        <v>1991</v>
      </c>
      <c r="J2434" s="461" t="s">
        <v>754</v>
      </c>
      <c r="K2434" s="594"/>
      <c r="L2434" s="594"/>
      <c r="M2434" s="352">
        <v>2000</v>
      </c>
      <c r="N2434" s="352" t="s">
        <v>703</v>
      </c>
      <c r="O2434" s="460">
        <v>2311</v>
      </c>
      <c r="P2434" s="460" t="s">
        <v>1887</v>
      </c>
      <c r="Q2434" s="460" t="s">
        <v>2377</v>
      </c>
      <c r="R2434" s="460">
        <v>2121</v>
      </c>
      <c r="S2434" s="460" t="s">
        <v>2386</v>
      </c>
      <c r="T2434" s="462">
        <v>1</v>
      </c>
      <c r="U2434" s="460" t="s">
        <v>2386</v>
      </c>
      <c r="V2434" s="475">
        <v>0</v>
      </c>
      <c r="W2434" s="463" t="s">
        <v>2278</v>
      </c>
      <c r="X2434" s="463" t="s">
        <v>2278</v>
      </c>
      <c r="Y2434" s="463" t="s">
        <v>2278</v>
      </c>
      <c r="Z2434" s="463"/>
      <c r="AA2434" s="463"/>
      <c r="AB2434" s="464">
        <v>3138.2331755752352</v>
      </c>
      <c r="AC2434" s="465">
        <v>1</v>
      </c>
      <c r="AD2434" s="465">
        <v>5.821653982589655E-2</v>
      </c>
      <c r="AE2434" s="476">
        <v>3138.2331755752352</v>
      </c>
      <c r="AF2434" s="467">
        <v>1</v>
      </c>
      <c r="AG2434" s="468">
        <v>5.821653982589655E-2</v>
      </c>
      <c r="AH2434" s="218">
        <v>3138.2331755752352</v>
      </c>
      <c r="AI2434" s="470">
        <v>1</v>
      </c>
      <c r="AJ2434" s="471">
        <v>5.821653982589655E-2</v>
      </c>
      <c r="AK2434" s="218">
        <v>3138.2331755752352</v>
      </c>
      <c r="AL2434" s="470">
        <v>1</v>
      </c>
      <c r="AM2434" s="471">
        <v>5.821653982589655E-2</v>
      </c>
      <c r="AN2434" s="477">
        <v>3138.2331755752352</v>
      </c>
      <c r="AO2434" s="473">
        <v>1</v>
      </c>
      <c r="AP2434" s="474">
        <v>5.821653982589655E-2</v>
      </c>
      <c r="AQ2434" s="352"/>
      <c r="AR2434" s="352"/>
      <c r="AS2434" s="352"/>
      <c r="AT2434" s="352"/>
      <c r="AU2434" s="352"/>
      <c r="AV2434" s="352"/>
      <c r="AW2434" s="352" t="s">
        <v>127</v>
      </c>
    </row>
    <row r="2435" spans="2:49" x14ac:dyDescent="0.2">
      <c r="B2435" s="460" t="s">
        <v>3081</v>
      </c>
      <c r="C2435" s="460">
        <v>2312</v>
      </c>
      <c r="D2435" s="460" t="s">
        <v>2264</v>
      </c>
      <c r="E2435" s="460" t="s">
        <v>2265</v>
      </c>
      <c r="F2435" s="460">
        <v>1</v>
      </c>
      <c r="G2435" s="460">
        <v>1</v>
      </c>
      <c r="H2435" s="461" t="s">
        <v>700</v>
      </c>
      <c r="I2435" s="461" t="s">
        <v>872</v>
      </c>
      <c r="J2435" s="461" t="s">
        <v>700</v>
      </c>
      <c r="K2435" s="594"/>
      <c r="L2435" s="594"/>
      <c r="M2435" s="352">
        <v>2000</v>
      </c>
      <c r="N2435" s="352" t="s">
        <v>703</v>
      </c>
      <c r="O2435" s="460">
        <v>2312</v>
      </c>
      <c r="P2435" s="460" t="s">
        <v>789</v>
      </c>
      <c r="Q2435" s="460" t="s">
        <v>3000</v>
      </c>
      <c r="R2435" s="460">
        <v>2312</v>
      </c>
      <c r="S2435" s="460" t="s">
        <v>2265</v>
      </c>
      <c r="T2435" s="462">
        <v>1</v>
      </c>
      <c r="U2435" s="460" t="s">
        <v>2265</v>
      </c>
      <c r="V2435" s="475">
        <v>0</v>
      </c>
      <c r="W2435" s="463" t="s">
        <v>2554</v>
      </c>
      <c r="X2435" s="463" t="s">
        <v>2554</v>
      </c>
      <c r="Y2435" s="463" t="s">
        <v>2268</v>
      </c>
      <c r="Z2435" s="463"/>
      <c r="AA2435" s="463"/>
      <c r="AB2435" s="464">
        <v>0</v>
      </c>
      <c r="AC2435" s="465">
        <v>0</v>
      </c>
      <c r="AD2435" s="465">
        <v>0</v>
      </c>
      <c r="AE2435" s="476">
        <v>0</v>
      </c>
      <c r="AF2435" s="467">
        <v>0</v>
      </c>
      <c r="AG2435" s="468">
        <v>0</v>
      </c>
      <c r="AH2435" s="218">
        <v>0</v>
      </c>
      <c r="AI2435" s="470">
        <v>0</v>
      </c>
      <c r="AJ2435" s="471">
        <v>0</v>
      </c>
      <c r="AK2435" s="218">
        <v>0</v>
      </c>
      <c r="AL2435" s="470">
        <v>0</v>
      </c>
      <c r="AM2435" s="471">
        <v>0</v>
      </c>
      <c r="AN2435" s="477">
        <v>0</v>
      </c>
      <c r="AO2435" s="473">
        <v>0</v>
      </c>
      <c r="AP2435" s="474">
        <v>0</v>
      </c>
      <c r="AQ2435" s="352"/>
      <c r="AR2435" s="352"/>
      <c r="AS2435" s="352"/>
      <c r="AT2435" s="352"/>
      <c r="AU2435" s="352"/>
      <c r="AV2435" s="352"/>
      <c r="AW2435" s="352" t="s">
        <v>254</v>
      </c>
    </row>
    <row r="2436" spans="2:49" x14ac:dyDescent="0.2">
      <c r="B2436" s="460" t="s">
        <v>3082</v>
      </c>
      <c r="C2436" s="460">
        <v>2312</v>
      </c>
      <c r="D2436" s="460" t="s">
        <v>2270</v>
      </c>
      <c r="E2436" s="460" t="s">
        <v>2271</v>
      </c>
      <c r="F2436" s="460">
        <v>2</v>
      </c>
      <c r="G2436" s="460">
        <v>1</v>
      </c>
      <c r="H2436" s="461" t="s">
        <v>700</v>
      </c>
      <c r="I2436" s="461" t="s">
        <v>872</v>
      </c>
      <c r="J2436" s="461" t="s">
        <v>700</v>
      </c>
      <c r="K2436" s="594"/>
      <c r="L2436" s="594"/>
      <c r="M2436" s="352">
        <v>2000</v>
      </c>
      <c r="N2436" s="352" t="s">
        <v>703</v>
      </c>
      <c r="O2436" s="460">
        <v>2312</v>
      </c>
      <c r="P2436" s="460" t="s">
        <v>789</v>
      </c>
      <c r="Q2436" s="460" t="s">
        <v>3000</v>
      </c>
      <c r="R2436" s="460">
        <v>2312</v>
      </c>
      <c r="S2436" s="460" t="s">
        <v>2265</v>
      </c>
      <c r="T2436" s="462">
        <v>1</v>
      </c>
      <c r="U2436" s="460" t="s">
        <v>2271</v>
      </c>
      <c r="V2436" s="475">
        <v>0</v>
      </c>
      <c r="W2436" s="463" t="s">
        <v>2554</v>
      </c>
      <c r="X2436" s="463" t="s">
        <v>2554</v>
      </c>
      <c r="Y2436" s="463" t="s">
        <v>2268</v>
      </c>
      <c r="Z2436" s="463"/>
      <c r="AA2436" s="463"/>
      <c r="AB2436" s="464">
        <v>0</v>
      </c>
      <c r="AC2436" s="465">
        <v>0</v>
      </c>
      <c r="AD2436" s="465">
        <v>0</v>
      </c>
      <c r="AE2436" s="476">
        <v>0</v>
      </c>
      <c r="AF2436" s="467">
        <v>0</v>
      </c>
      <c r="AG2436" s="468">
        <v>0</v>
      </c>
      <c r="AH2436" s="218">
        <v>0</v>
      </c>
      <c r="AI2436" s="470">
        <v>0</v>
      </c>
      <c r="AJ2436" s="471">
        <v>0</v>
      </c>
      <c r="AK2436" s="218">
        <v>0</v>
      </c>
      <c r="AL2436" s="470">
        <v>0</v>
      </c>
      <c r="AM2436" s="471">
        <v>0</v>
      </c>
      <c r="AN2436" s="477">
        <v>0</v>
      </c>
      <c r="AO2436" s="473">
        <v>0</v>
      </c>
      <c r="AP2436" s="474">
        <v>0</v>
      </c>
      <c r="AQ2436" s="352"/>
      <c r="AR2436" s="352"/>
      <c r="AS2436" s="352"/>
      <c r="AT2436" s="352"/>
      <c r="AU2436" s="352"/>
      <c r="AV2436" s="352"/>
      <c r="AW2436" s="352" t="s">
        <v>254</v>
      </c>
    </row>
    <row r="2437" spans="2:49" x14ac:dyDescent="0.2">
      <c r="B2437" s="460" t="s">
        <v>3083</v>
      </c>
      <c r="C2437" s="460">
        <v>2312</v>
      </c>
      <c r="D2437" s="460" t="s">
        <v>2273</v>
      </c>
      <c r="E2437" s="460" t="s">
        <v>2274</v>
      </c>
      <c r="F2437" s="460">
        <v>3</v>
      </c>
      <c r="G2437" s="460">
        <v>1</v>
      </c>
      <c r="H2437" s="461" t="s">
        <v>700</v>
      </c>
      <c r="I2437" s="461" t="s">
        <v>872</v>
      </c>
      <c r="J2437" s="461" t="s">
        <v>700</v>
      </c>
      <c r="K2437" s="594"/>
      <c r="L2437" s="594"/>
      <c r="M2437" s="352">
        <v>2000</v>
      </c>
      <c r="N2437" s="352" t="s">
        <v>703</v>
      </c>
      <c r="O2437" s="460">
        <v>2312</v>
      </c>
      <c r="P2437" s="460" t="s">
        <v>789</v>
      </c>
      <c r="Q2437" s="460" t="s">
        <v>3000</v>
      </c>
      <c r="R2437" s="460">
        <v>2312</v>
      </c>
      <c r="S2437" s="460" t="s">
        <v>2265</v>
      </c>
      <c r="T2437" s="462">
        <v>0.74223365950407583</v>
      </c>
      <c r="U2437" s="460" t="s">
        <v>2274</v>
      </c>
      <c r="V2437" s="475">
        <v>0</v>
      </c>
      <c r="W2437" s="463" t="s">
        <v>2554</v>
      </c>
      <c r="X2437" s="463" t="s">
        <v>2554</v>
      </c>
      <c r="Y2437" s="463" t="s">
        <v>2268</v>
      </c>
      <c r="Z2437" s="463"/>
      <c r="AA2437" s="463"/>
      <c r="AB2437" s="464">
        <v>0</v>
      </c>
      <c r="AC2437" s="465">
        <v>0</v>
      </c>
      <c r="AD2437" s="465">
        <v>0</v>
      </c>
      <c r="AE2437" s="476">
        <v>0</v>
      </c>
      <c r="AF2437" s="467">
        <v>0</v>
      </c>
      <c r="AG2437" s="468">
        <v>0</v>
      </c>
      <c r="AH2437" s="218">
        <v>0</v>
      </c>
      <c r="AI2437" s="470">
        <v>0</v>
      </c>
      <c r="AJ2437" s="471">
        <v>0</v>
      </c>
      <c r="AK2437" s="218">
        <v>0</v>
      </c>
      <c r="AL2437" s="470">
        <v>0</v>
      </c>
      <c r="AM2437" s="471">
        <v>0</v>
      </c>
      <c r="AN2437" s="477">
        <v>0</v>
      </c>
      <c r="AO2437" s="473">
        <v>0</v>
      </c>
      <c r="AP2437" s="474">
        <v>0</v>
      </c>
      <c r="AQ2437" s="352"/>
      <c r="AR2437" s="352"/>
      <c r="AS2437" s="352"/>
      <c r="AT2437" s="352"/>
      <c r="AU2437" s="352"/>
      <c r="AV2437" s="352"/>
      <c r="AW2437" s="352" t="s">
        <v>254</v>
      </c>
    </row>
    <row r="2438" spans="2:49" x14ac:dyDescent="0.2">
      <c r="B2438" s="460" t="s">
        <v>3084</v>
      </c>
      <c r="C2438" s="460">
        <v>2312</v>
      </c>
      <c r="D2438" s="460" t="s">
        <v>2276</v>
      </c>
      <c r="E2438" s="460" t="s">
        <v>2277</v>
      </c>
      <c r="F2438" s="460">
        <v>4</v>
      </c>
      <c r="G2438" s="460">
        <v>1</v>
      </c>
      <c r="H2438" s="461" t="s">
        <v>700</v>
      </c>
      <c r="I2438" s="461" t="s">
        <v>872</v>
      </c>
      <c r="J2438" s="461" t="s">
        <v>700</v>
      </c>
      <c r="K2438" s="594"/>
      <c r="L2438" s="594"/>
      <c r="M2438" s="352">
        <v>2000</v>
      </c>
      <c r="N2438" s="352" t="s">
        <v>703</v>
      </c>
      <c r="O2438" s="460">
        <v>2312</v>
      </c>
      <c r="P2438" s="460" t="s">
        <v>789</v>
      </c>
      <c r="Q2438" s="460" t="s">
        <v>3000</v>
      </c>
      <c r="R2438" s="460">
        <v>2312</v>
      </c>
      <c r="S2438" s="460" t="s">
        <v>2277</v>
      </c>
      <c r="T2438" s="462">
        <v>1</v>
      </c>
      <c r="U2438" s="460" t="s">
        <v>2277</v>
      </c>
      <c r="V2438" s="475">
        <v>0</v>
      </c>
      <c r="W2438" s="463" t="s">
        <v>2554</v>
      </c>
      <c r="X2438" s="463" t="s">
        <v>2554</v>
      </c>
      <c r="Y2438" s="463" t="s">
        <v>2268</v>
      </c>
      <c r="Z2438" s="463"/>
      <c r="AA2438" s="463"/>
      <c r="AB2438" s="464">
        <v>0</v>
      </c>
      <c r="AC2438" s="465">
        <v>0</v>
      </c>
      <c r="AD2438" s="465">
        <v>0</v>
      </c>
      <c r="AE2438" s="476">
        <v>0</v>
      </c>
      <c r="AF2438" s="467">
        <v>0</v>
      </c>
      <c r="AG2438" s="468">
        <v>0</v>
      </c>
      <c r="AH2438" s="218">
        <v>0</v>
      </c>
      <c r="AI2438" s="470">
        <v>0</v>
      </c>
      <c r="AJ2438" s="471">
        <v>0</v>
      </c>
      <c r="AK2438" s="218">
        <v>0</v>
      </c>
      <c r="AL2438" s="470">
        <v>0</v>
      </c>
      <c r="AM2438" s="471">
        <v>0</v>
      </c>
      <c r="AN2438" s="477">
        <v>0</v>
      </c>
      <c r="AO2438" s="473">
        <v>0</v>
      </c>
      <c r="AP2438" s="474">
        <v>0</v>
      </c>
      <c r="AQ2438" s="352"/>
      <c r="AR2438" s="352"/>
      <c r="AS2438" s="352"/>
      <c r="AT2438" s="352"/>
      <c r="AU2438" s="352"/>
      <c r="AV2438" s="352"/>
      <c r="AW2438" s="352" t="s">
        <v>254</v>
      </c>
    </row>
    <row r="2439" spans="2:49" x14ac:dyDescent="0.2">
      <c r="B2439" s="460" t="s">
        <v>3081</v>
      </c>
      <c r="C2439" s="460">
        <v>2312</v>
      </c>
      <c r="D2439" s="460" t="s">
        <v>2279</v>
      </c>
      <c r="E2439" s="460" t="s">
        <v>2265</v>
      </c>
      <c r="F2439" s="460">
        <v>1</v>
      </c>
      <c r="G2439" s="460">
        <v>1</v>
      </c>
      <c r="H2439" s="461" t="s">
        <v>712</v>
      </c>
      <c r="I2439" s="461" t="s">
        <v>713</v>
      </c>
      <c r="J2439" s="461" t="s">
        <v>712</v>
      </c>
      <c r="K2439" s="594"/>
      <c r="L2439" s="594"/>
      <c r="M2439" s="352">
        <v>2000</v>
      </c>
      <c r="N2439" s="352" t="s">
        <v>703</v>
      </c>
      <c r="O2439" s="460">
        <v>2312</v>
      </c>
      <c r="P2439" s="460" t="s">
        <v>789</v>
      </c>
      <c r="Q2439" s="460" t="s">
        <v>2280</v>
      </c>
      <c r="R2439" s="460">
        <v>2312</v>
      </c>
      <c r="S2439" s="460" t="s">
        <v>2265</v>
      </c>
      <c r="T2439" s="462">
        <v>1</v>
      </c>
      <c r="U2439" s="460" t="s">
        <v>2265</v>
      </c>
      <c r="V2439" s="475">
        <v>0</v>
      </c>
      <c r="W2439" s="463" t="s">
        <v>713</v>
      </c>
      <c r="X2439" s="463" t="s">
        <v>713</v>
      </c>
      <c r="Y2439" s="463" t="s">
        <v>713</v>
      </c>
      <c r="Z2439" s="463"/>
      <c r="AA2439" s="463"/>
      <c r="AB2439" s="464">
        <v>0</v>
      </c>
      <c r="AC2439" s="465">
        <v>0</v>
      </c>
      <c r="AD2439" s="465">
        <v>0</v>
      </c>
      <c r="AE2439" s="476">
        <v>0</v>
      </c>
      <c r="AF2439" s="467">
        <v>0</v>
      </c>
      <c r="AG2439" s="468">
        <v>0</v>
      </c>
      <c r="AH2439" s="218">
        <v>0</v>
      </c>
      <c r="AI2439" s="470">
        <v>0</v>
      </c>
      <c r="AJ2439" s="471">
        <v>0</v>
      </c>
      <c r="AK2439" s="218">
        <v>0</v>
      </c>
      <c r="AL2439" s="470">
        <v>0</v>
      </c>
      <c r="AM2439" s="471">
        <v>0</v>
      </c>
      <c r="AN2439" s="477">
        <v>0</v>
      </c>
      <c r="AO2439" s="473">
        <v>0</v>
      </c>
      <c r="AP2439" s="474">
        <v>0</v>
      </c>
      <c r="AQ2439" s="352"/>
      <c r="AR2439" s="352"/>
      <c r="AS2439" s="352"/>
      <c r="AT2439" s="352"/>
      <c r="AU2439" s="352"/>
      <c r="AV2439" s="352"/>
      <c r="AW2439" s="352" t="s">
        <v>254</v>
      </c>
    </row>
    <row r="2440" spans="2:49" x14ac:dyDescent="0.2">
      <c r="B2440" s="460" t="s">
        <v>3082</v>
      </c>
      <c r="C2440" s="460">
        <v>2312</v>
      </c>
      <c r="D2440" s="460" t="s">
        <v>2281</v>
      </c>
      <c r="E2440" s="460" t="s">
        <v>2271</v>
      </c>
      <c r="F2440" s="460">
        <v>2</v>
      </c>
      <c r="G2440" s="460">
        <v>1</v>
      </c>
      <c r="H2440" s="461" t="s">
        <v>712</v>
      </c>
      <c r="I2440" s="461" t="s">
        <v>713</v>
      </c>
      <c r="J2440" s="461" t="s">
        <v>712</v>
      </c>
      <c r="K2440" s="594"/>
      <c r="L2440" s="594"/>
      <c r="M2440" s="352">
        <v>2000</v>
      </c>
      <c r="N2440" s="352" t="s">
        <v>703</v>
      </c>
      <c r="O2440" s="460">
        <v>2312</v>
      </c>
      <c r="P2440" s="460" t="s">
        <v>789</v>
      </c>
      <c r="Q2440" s="460" t="s">
        <v>2280</v>
      </c>
      <c r="R2440" s="460">
        <v>2312</v>
      </c>
      <c r="S2440" s="460" t="s">
        <v>2265</v>
      </c>
      <c r="T2440" s="462">
        <v>1</v>
      </c>
      <c r="U2440" s="460" t="s">
        <v>2271</v>
      </c>
      <c r="V2440" s="475">
        <v>0</v>
      </c>
      <c r="W2440" s="463" t="s">
        <v>713</v>
      </c>
      <c r="X2440" s="463" t="s">
        <v>713</v>
      </c>
      <c r="Y2440" s="463" t="s">
        <v>713</v>
      </c>
      <c r="Z2440" s="463"/>
      <c r="AA2440" s="463"/>
      <c r="AB2440" s="464">
        <v>0</v>
      </c>
      <c r="AC2440" s="465">
        <v>0</v>
      </c>
      <c r="AD2440" s="465">
        <v>0</v>
      </c>
      <c r="AE2440" s="476">
        <v>0</v>
      </c>
      <c r="AF2440" s="467">
        <v>0</v>
      </c>
      <c r="AG2440" s="468">
        <v>0</v>
      </c>
      <c r="AH2440" s="218">
        <v>0</v>
      </c>
      <c r="AI2440" s="470">
        <v>0</v>
      </c>
      <c r="AJ2440" s="471">
        <v>0</v>
      </c>
      <c r="AK2440" s="218">
        <v>0</v>
      </c>
      <c r="AL2440" s="470">
        <v>0</v>
      </c>
      <c r="AM2440" s="471">
        <v>0</v>
      </c>
      <c r="AN2440" s="477">
        <v>0</v>
      </c>
      <c r="AO2440" s="473">
        <v>0</v>
      </c>
      <c r="AP2440" s="474">
        <v>0</v>
      </c>
      <c r="AQ2440" s="352"/>
      <c r="AR2440" s="352"/>
      <c r="AS2440" s="352"/>
      <c r="AT2440" s="352"/>
      <c r="AU2440" s="352"/>
      <c r="AV2440" s="352"/>
      <c r="AW2440" s="352" t="s">
        <v>254</v>
      </c>
    </row>
    <row r="2441" spans="2:49" x14ac:dyDescent="0.2">
      <c r="B2441" s="460" t="s">
        <v>3083</v>
      </c>
      <c r="C2441" s="460">
        <v>2312</v>
      </c>
      <c r="D2441" s="460" t="s">
        <v>2282</v>
      </c>
      <c r="E2441" s="460" t="s">
        <v>2274</v>
      </c>
      <c r="F2441" s="460">
        <v>3</v>
      </c>
      <c r="G2441" s="460">
        <v>1</v>
      </c>
      <c r="H2441" s="461" t="s">
        <v>712</v>
      </c>
      <c r="I2441" s="461" t="s">
        <v>713</v>
      </c>
      <c r="J2441" s="461" t="s">
        <v>712</v>
      </c>
      <c r="K2441" s="594"/>
      <c r="L2441" s="594"/>
      <c r="M2441" s="352">
        <v>2000</v>
      </c>
      <c r="N2441" s="352" t="s">
        <v>703</v>
      </c>
      <c r="O2441" s="460">
        <v>2312</v>
      </c>
      <c r="P2441" s="460" t="s">
        <v>789</v>
      </c>
      <c r="Q2441" s="460" t="s">
        <v>2280</v>
      </c>
      <c r="R2441" s="460">
        <v>2312</v>
      </c>
      <c r="S2441" s="460" t="s">
        <v>2265</v>
      </c>
      <c r="T2441" s="462">
        <v>0.74223365950407583</v>
      </c>
      <c r="U2441" s="460" t="s">
        <v>2274</v>
      </c>
      <c r="V2441" s="475">
        <v>0</v>
      </c>
      <c r="W2441" s="463" t="s">
        <v>713</v>
      </c>
      <c r="X2441" s="463" t="s">
        <v>713</v>
      </c>
      <c r="Y2441" s="463" t="s">
        <v>713</v>
      </c>
      <c r="Z2441" s="463"/>
      <c r="AA2441" s="463"/>
      <c r="AB2441" s="464">
        <v>0</v>
      </c>
      <c r="AC2441" s="465">
        <v>0</v>
      </c>
      <c r="AD2441" s="465">
        <v>0</v>
      </c>
      <c r="AE2441" s="476">
        <v>0</v>
      </c>
      <c r="AF2441" s="467">
        <v>0</v>
      </c>
      <c r="AG2441" s="468">
        <v>0</v>
      </c>
      <c r="AH2441" s="218">
        <v>0</v>
      </c>
      <c r="AI2441" s="470">
        <v>0</v>
      </c>
      <c r="AJ2441" s="471">
        <v>0</v>
      </c>
      <c r="AK2441" s="218">
        <v>0</v>
      </c>
      <c r="AL2441" s="470">
        <v>0</v>
      </c>
      <c r="AM2441" s="471">
        <v>0</v>
      </c>
      <c r="AN2441" s="477">
        <v>0</v>
      </c>
      <c r="AO2441" s="473">
        <v>0</v>
      </c>
      <c r="AP2441" s="474">
        <v>0</v>
      </c>
      <c r="AQ2441" s="352"/>
      <c r="AR2441" s="352"/>
      <c r="AS2441" s="352"/>
      <c r="AT2441" s="352"/>
      <c r="AU2441" s="352"/>
      <c r="AV2441" s="352"/>
      <c r="AW2441" s="352" t="s">
        <v>254</v>
      </c>
    </row>
    <row r="2442" spans="2:49" x14ac:dyDescent="0.2">
      <c r="B2442" s="460" t="s">
        <v>3084</v>
      </c>
      <c r="C2442" s="460">
        <v>2312</v>
      </c>
      <c r="D2442" s="460" t="s">
        <v>2283</v>
      </c>
      <c r="E2442" s="460" t="s">
        <v>2277</v>
      </c>
      <c r="F2442" s="460">
        <v>4</v>
      </c>
      <c r="G2442" s="460">
        <v>1</v>
      </c>
      <c r="H2442" s="461" t="s">
        <v>712</v>
      </c>
      <c r="I2442" s="461" t="s">
        <v>713</v>
      </c>
      <c r="J2442" s="461" t="s">
        <v>712</v>
      </c>
      <c r="K2442" s="594"/>
      <c r="L2442" s="594"/>
      <c r="M2442" s="352">
        <v>2000</v>
      </c>
      <c r="N2442" s="352" t="s">
        <v>703</v>
      </c>
      <c r="O2442" s="460">
        <v>2312</v>
      </c>
      <c r="P2442" s="460" t="s">
        <v>789</v>
      </c>
      <c r="Q2442" s="460" t="s">
        <v>2280</v>
      </c>
      <c r="R2442" s="460">
        <v>2312</v>
      </c>
      <c r="S2442" s="460" t="s">
        <v>2277</v>
      </c>
      <c r="T2442" s="462">
        <v>1</v>
      </c>
      <c r="U2442" s="460" t="s">
        <v>2277</v>
      </c>
      <c r="V2442" s="475">
        <v>0</v>
      </c>
      <c r="W2442" s="463" t="s">
        <v>713</v>
      </c>
      <c r="X2442" s="463" t="s">
        <v>713</v>
      </c>
      <c r="Y2442" s="463" t="s">
        <v>713</v>
      </c>
      <c r="Z2442" s="463"/>
      <c r="AA2442" s="463"/>
      <c r="AB2442" s="464">
        <v>0</v>
      </c>
      <c r="AC2442" s="465">
        <v>0</v>
      </c>
      <c r="AD2442" s="465">
        <v>0</v>
      </c>
      <c r="AE2442" s="476">
        <v>0</v>
      </c>
      <c r="AF2442" s="467">
        <v>0</v>
      </c>
      <c r="AG2442" s="468">
        <v>0</v>
      </c>
      <c r="AH2442" s="218">
        <v>0</v>
      </c>
      <c r="AI2442" s="470">
        <v>0</v>
      </c>
      <c r="AJ2442" s="471">
        <v>0</v>
      </c>
      <c r="AK2442" s="218">
        <v>0</v>
      </c>
      <c r="AL2442" s="470">
        <v>0</v>
      </c>
      <c r="AM2442" s="471">
        <v>0</v>
      </c>
      <c r="AN2442" s="477">
        <v>0</v>
      </c>
      <c r="AO2442" s="473">
        <v>0</v>
      </c>
      <c r="AP2442" s="474">
        <v>0</v>
      </c>
      <c r="AQ2442" s="352"/>
      <c r="AR2442" s="352"/>
      <c r="AS2442" s="352"/>
      <c r="AT2442" s="352"/>
      <c r="AU2442" s="352"/>
      <c r="AV2442" s="352"/>
      <c r="AW2442" s="352" t="s">
        <v>254</v>
      </c>
    </row>
    <row r="2443" spans="2:49" x14ac:dyDescent="0.2">
      <c r="B2443" s="460" t="s">
        <v>3081</v>
      </c>
      <c r="C2443" s="460">
        <v>2312</v>
      </c>
      <c r="D2443" s="460" t="s">
        <v>2284</v>
      </c>
      <c r="E2443" s="460" t="s">
        <v>2265</v>
      </c>
      <c r="F2443" s="460">
        <v>1</v>
      </c>
      <c r="G2443" s="460">
        <v>1</v>
      </c>
      <c r="H2443" s="461" t="s">
        <v>746</v>
      </c>
      <c r="I2443" s="461" t="s">
        <v>762</v>
      </c>
      <c r="J2443" s="461" t="s">
        <v>700</v>
      </c>
      <c r="K2443" s="594"/>
      <c r="L2443" s="594"/>
      <c r="M2443" s="352">
        <v>2000</v>
      </c>
      <c r="N2443" s="352" t="s">
        <v>703</v>
      </c>
      <c r="O2443" s="460">
        <v>2312</v>
      </c>
      <c r="P2443" s="460" t="s">
        <v>789</v>
      </c>
      <c r="Q2443" s="460" t="s">
        <v>3000</v>
      </c>
      <c r="R2443" s="460">
        <v>2312</v>
      </c>
      <c r="S2443" s="460" t="s">
        <v>2265</v>
      </c>
      <c r="T2443" s="462">
        <v>1</v>
      </c>
      <c r="U2443" s="460" t="s">
        <v>2265</v>
      </c>
      <c r="V2443" s="475">
        <v>0</v>
      </c>
      <c r="W2443" s="463" t="s">
        <v>2268</v>
      </c>
      <c r="X2443" s="463" t="s">
        <v>2268</v>
      </c>
      <c r="Y2443" s="463" t="s">
        <v>2554</v>
      </c>
      <c r="Z2443" s="463"/>
      <c r="AA2443" s="463"/>
      <c r="AB2443" s="464">
        <v>0</v>
      </c>
      <c r="AC2443" s="465">
        <v>0</v>
      </c>
      <c r="AD2443" s="465">
        <v>0</v>
      </c>
      <c r="AE2443" s="476">
        <v>0</v>
      </c>
      <c r="AF2443" s="467">
        <v>0</v>
      </c>
      <c r="AG2443" s="468">
        <v>0</v>
      </c>
      <c r="AH2443" s="218">
        <v>0</v>
      </c>
      <c r="AI2443" s="470">
        <v>0</v>
      </c>
      <c r="AJ2443" s="471">
        <v>0</v>
      </c>
      <c r="AK2443" s="218">
        <v>0</v>
      </c>
      <c r="AL2443" s="470">
        <v>0</v>
      </c>
      <c r="AM2443" s="471">
        <v>0</v>
      </c>
      <c r="AN2443" s="477">
        <v>0</v>
      </c>
      <c r="AO2443" s="473">
        <v>0</v>
      </c>
      <c r="AP2443" s="474">
        <v>0</v>
      </c>
      <c r="AQ2443" s="352"/>
      <c r="AR2443" s="352"/>
      <c r="AS2443" s="352"/>
      <c r="AT2443" s="352"/>
      <c r="AU2443" s="352"/>
      <c r="AV2443" s="352"/>
      <c r="AW2443" s="352" t="s">
        <v>254</v>
      </c>
    </row>
    <row r="2444" spans="2:49" x14ac:dyDescent="0.2">
      <c r="B2444" s="460" t="s">
        <v>3082</v>
      </c>
      <c r="C2444" s="460">
        <v>2312</v>
      </c>
      <c r="D2444" s="460" t="s">
        <v>2285</v>
      </c>
      <c r="E2444" s="460" t="s">
        <v>2271</v>
      </c>
      <c r="F2444" s="460">
        <v>2</v>
      </c>
      <c r="G2444" s="460">
        <v>1</v>
      </c>
      <c r="H2444" s="461" t="s">
        <v>746</v>
      </c>
      <c r="I2444" s="461" t="s">
        <v>762</v>
      </c>
      <c r="J2444" s="461" t="s">
        <v>700</v>
      </c>
      <c r="K2444" s="594"/>
      <c r="L2444" s="594"/>
      <c r="M2444" s="352">
        <v>2000</v>
      </c>
      <c r="N2444" s="352" t="s">
        <v>703</v>
      </c>
      <c r="O2444" s="460">
        <v>2312</v>
      </c>
      <c r="P2444" s="460" t="s">
        <v>789</v>
      </c>
      <c r="Q2444" s="460" t="s">
        <v>3000</v>
      </c>
      <c r="R2444" s="460">
        <v>2312</v>
      </c>
      <c r="S2444" s="460" t="s">
        <v>2265</v>
      </c>
      <c r="T2444" s="462">
        <v>1</v>
      </c>
      <c r="U2444" s="460" t="s">
        <v>2271</v>
      </c>
      <c r="V2444" s="475">
        <v>0</v>
      </c>
      <c r="W2444" s="463" t="s">
        <v>2268</v>
      </c>
      <c r="X2444" s="463" t="s">
        <v>2268</v>
      </c>
      <c r="Y2444" s="463" t="s">
        <v>2554</v>
      </c>
      <c r="Z2444" s="463"/>
      <c r="AA2444" s="463"/>
      <c r="AB2444" s="464">
        <v>0</v>
      </c>
      <c r="AC2444" s="465">
        <v>0</v>
      </c>
      <c r="AD2444" s="465">
        <v>0</v>
      </c>
      <c r="AE2444" s="476">
        <v>0</v>
      </c>
      <c r="AF2444" s="467">
        <v>0</v>
      </c>
      <c r="AG2444" s="468">
        <v>0</v>
      </c>
      <c r="AH2444" s="218">
        <v>0</v>
      </c>
      <c r="AI2444" s="470">
        <v>0</v>
      </c>
      <c r="AJ2444" s="471">
        <v>0</v>
      </c>
      <c r="AK2444" s="218">
        <v>0</v>
      </c>
      <c r="AL2444" s="470">
        <v>0</v>
      </c>
      <c r="AM2444" s="471">
        <v>0</v>
      </c>
      <c r="AN2444" s="477">
        <v>0</v>
      </c>
      <c r="AO2444" s="473">
        <v>0</v>
      </c>
      <c r="AP2444" s="474">
        <v>0</v>
      </c>
      <c r="AQ2444" s="352"/>
      <c r="AR2444" s="352"/>
      <c r="AS2444" s="352"/>
      <c r="AT2444" s="352"/>
      <c r="AU2444" s="352"/>
      <c r="AV2444" s="352"/>
      <c r="AW2444" s="352" t="s">
        <v>254</v>
      </c>
    </row>
    <row r="2445" spans="2:49" x14ac:dyDescent="0.2">
      <c r="B2445" s="460" t="s">
        <v>3083</v>
      </c>
      <c r="C2445" s="460">
        <v>2312</v>
      </c>
      <c r="D2445" s="460" t="s">
        <v>2286</v>
      </c>
      <c r="E2445" s="460" t="s">
        <v>2274</v>
      </c>
      <c r="F2445" s="460">
        <v>3</v>
      </c>
      <c r="G2445" s="460">
        <v>1</v>
      </c>
      <c r="H2445" s="461" t="s">
        <v>746</v>
      </c>
      <c r="I2445" s="461" t="s">
        <v>762</v>
      </c>
      <c r="J2445" s="461" t="s">
        <v>700</v>
      </c>
      <c r="K2445" s="594"/>
      <c r="L2445" s="594"/>
      <c r="M2445" s="352">
        <v>2000</v>
      </c>
      <c r="N2445" s="352" t="s">
        <v>703</v>
      </c>
      <c r="O2445" s="460">
        <v>2312</v>
      </c>
      <c r="P2445" s="460" t="s">
        <v>789</v>
      </c>
      <c r="Q2445" s="460" t="s">
        <v>3000</v>
      </c>
      <c r="R2445" s="460">
        <v>2312</v>
      </c>
      <c r="S2445" s="460" t="s">
        <v>2265</v>
      </c>
      <c r="T2445" s="462">
        <v>0.74223365950407583</v>
      </c>
      <c r="U2445" s="460" t="s">
        <v>2274</v>
      </c>
      <c r="V2445" s="475">
        <v>0</v>
      </c>
      <c r="W2445" s="463" t="s">
        <v>2268</v>
      </c>
      <c r="X2445" s="463" t="s">
        <v>2268</v>
      </c>
      <c r="Y2445" s="463" t="s">
        <v>2554</v>
      </c>
      <c r="Z2445" s="463"/>
      <c r="AA2445" s="463"/>
      <c r="AB2445" s="464">
        <v>0</v>
      </c>
      <c r="AC2445" s="465">
        <v>0</v>
      </c>
      <c r="AD2445" s="465">
        <v>0</v>
      </c>
      <c r="AE2445" s="476">
        <v>0</v>
      </c>
      <c r="AF2445" s="467">
        <v>0</v>
      </c>
      <c r="AG2445" s="468">
        <v>0</v>
      </c>
      <c r="AH2445" s="218">
        <v>0</v>
      </c>
      <c r="AI2445" s="470">
        <v>0</v>
      </c>
      <c r="AJ2445" s="471">
        <v>0</v>
      </c>
      <c r="AK2445" s="218">
        <v>0</v>
      </c>
      <c r="AL2445" s="470">
        <v>0</v>
      </c>
      <c r="AM2445" s="471">
        <v>0</v>
      </c>
      <c r="AN2445" s="477">
        <v>0</v>
      </c>
      <c r="AO2445" s="473">
        <v>0</v>
      </c>
      <c r="AP2445" s="474">
        <v>0</v>
      </c>
      <c r="AQ2445" s="352"/>
      <c r="AR2445" s="352"/>
      <c r="AS2445" s="352"/>
      <c r="AT2445" s="352"/>
      <c r="AU2445" s="352"/>
      <c r="AV2445" s="352"/>
      <c r="AW2445" s="352" t="s">
        <v>254</v>
      </c>
    </row>
    <row r="2446" spans="2:49" x14ac:dyDescent="0.2">
      <c r="B2446" s="460" t="s">
        <v>3084</v>
      </c>
      <c r="C2446" s="460">
        <v>2312</v>
      </c>
      <c r="D2446" s="460" t="s">
        <v>2287</v>
      </c>
      <c r="E2446" s="460" t="s">
        <v>2277</v>
      </c>
      <c r="F2446" s="460">
        <v>4</v>
      </c>
      <c r="G2446" s="460">
        <v>1</v>
      </c>
      <c r="H2446" s="461" t="s">
        <v>746</v>
      </c>
      <c r="I2446" s="461" t="s">
        <v>762</v>
      </c>
      <c r="J2446" s="461" t="s">
        <v>700</v>
      </c>
      <c r="K2446" s="594"/>
      <c r="L2446" s="594"/>
      <c r="M2446" s="352">
        <v>2000</v>
      </c>
      <c r="N2446" s="352" t="s">
        <v>703</v>
      </c>
      <c r="O2446" s="460">
        <v>2312</v>
      </c>
      <c r="P2446" s="460" t="s">
        <v>789</v>
      </c>
      <c r="Q2446" s="460" t="s">
        <v>3000</v>
      </c>
      <c r="R2446" s="460">
        <v>2312</v>
      </c>
      <c r="S2446" s="460" t="s">
        <v>2277</v>
      </c>
      <c r="T2446" s="462">
        <v>1</v>
      </c>
      <c r="U2446" s="460" t="s">
        <v>2277</v>
      </c>
      <c r="V2446" s="475">
        <v>0</v>
      </c>
      <c r="W2446" s="463" t="s">
        <v>2268</v>
      </c>
      <c r="X2446" s="463" t="s">
        <v>2268</v>
      </c>
      <c r="Y2446" s="463" t="s">
        <v>2554</v>
      </c>
      <c r="Z2446" s="463"/>
      <c r="AA2446" s="463"/>
      <c r="AB2446" s="464">
        <v>0</v>
      </c>
      <c r="AC2446" s="465">
        <v>0</v>
      </c>
      <c r="AD2446" s="465">
        <v>0</v>
      </c>
      <c r="AE2446" s="476">
        <v>0</v>
      </c>
      <c r="AF2446" s="467">
        <v>0</v>
      </c>
      <c r="AG2446" s="468">
        <v>0</v>
      </c>
      <c r="AH2446" s="218">
        <v>0</v>
      </c>
      <c r="AI2446" s="470">
        <v>0</v>
      </c>
      <c r="AJ2446" s="471">
        <v>0</v>
      </c>
      <c r="AK2446" s="218">
        <v>0</v>
      </c>
      <c r="AL2446" s="470">
        <v>0</v>
      </c>
      <c r="AM2446" s="471">
        <v>0</v>
      </c>
      <c r="AN2446" s="477">
        <v>0</v>
      </c>
      <c r="AO2446" s="473">
        <v>0</v>
      </c>
      <c r="AP2446" s="474">
        <v>0</v>
      </c>
      <c r="AQ2446" s="352"/>
      <c r="AR2446" s="352"/>
      <c r="AS2446" s="352"/>
      <c r="AT2446" s="352"/>
      <c r="AU2446" s="352"/>
      <c r="AV2446" s="352"/>
      <c r="AW2446" s="352" t="s">
        <v>254</v>
      </c>
    </row>
    <row r="2447" spans="2:49" x14ac:dyDescent="0.2">
      <c r="B2447" s="460" t="s">
        <v>3081</v>
      </c>
      <c r="C2447" s="460">
        <v>2312</v>
      </c>
      <c r="D2447" s="460" t="s">
        <v>2288</v>
      </c>
      <c r="E2447" s="460" t="s">
        <v>2265</v>
      </c>
      <c r="F2447" s="460">
        <v>1</v>
      </c>
      <c r="G2447" s="460">
        <v>1</v>
      </c>
      <c r="H2447" s="461" t="s">
        <v>748</v>
      </c>
      <c r="I2447" s="461" t="s">
        <v>765</v>
      </c>
      <c r="J2447" s="461" t="s">
        <v>700</v>
      </c>
      <c r="K2447" s="594"/>
      <c r="L2447" s="594"/>
      <c r="M2447" s="352">
        <v>2000</v>
      </c>
      <c r="N2447" s="352" t="s">
        <v>703</v>
      </c>
      <c r="O2447" s="460">
        <v>2312</v>
      </c>
      <c r="P2447" s="460" t="s">
        <v>789</v>
      </c>
      <c r="Q2447" s="460" t="s">
        <v>3000</v>
      </c>
      <c r="R2447" s="460">
        <v>2312</v>
      </c>
      <c r="S2447" s="460" t="s">
        <v>2265</v>
      </c>
      <c r="T2447" s="462">
        <v>1</v>
      </c>
      <c r="U2447" s="460" t="s">
        <v>2265</v>
      </c>
      <c r="V2447" s="475">
        <v>0</v>
      </c>
      <c r="W2447" s="463" t="s">
        <v>2268</v>
      </c>
      <c r="X2447" s="463" t="s">
        <v>2268</v>
      </c>
      <c r="Y2447" s="463" t="s">
        <v>2554</v>
      </c>
      <c r="Z2447" s="463"/>
      <c r="AA2447" s="463"/>
      <c r="AB2447" s="464">
        <v>0</v>
      </c>
      <c r="AC2447" s="465">
        <v>0</v>
      </c>
      <c r="AD2447" s="465">
        <v>0</v>
      </c>
      <c r="AE2447" s="476">
        <v>0</v>
      </c>
      <c r="AF2447" s="467">
        <v>0</v>
      </c>
      <c r="AG2447" s="468">
        <v>0</v>
      </c>
      <c r="AH2447" s="218">
        <v>0</v>
      </c>
      <c r="AI2447" s="470">
        <v>0</v>
      </c>
      <c r="AJ2447" s="471">
        <v>0</v>
      </c>
      <c r="AK2447" s="218">
        <v>0</v>
      </c>
      <c r="AL2447" s="470">
        <v>0</v>
      </c>
      <c r="AM2447" s="471">
        <v>0</v>
      </c>
      <c r="AN2447" s="477">
        <v>0</v>
      </c>
      <c r="AO2447" s="473">
        <v>0</v>
      </c>
      <c r="AP2447" s="474">
        <v>0</v>
      </c>
      <c r="AQ2447" s="352"/>
      <c r="AR2447" s="352"/>
      <c r="AS2447" s="352"/>
      <c r="AT2447" s="352"/>
      <c r="AU2447" s="352"/>
      <c r="AV2447" s="352"/>
      <c r="AW2447" s="352" t="s">
        <v>254</v>
      </c>
    </row>
    <row r="2448" spans="2:49" x14ac:dyDescent="0.2">
      <c r="B2448" s="460" t="s">
        <v>3082</v>
      </c>
      <c r="C2448" s="460">
        <v>2312</v>
      </c>
      <c r="D2448" s="460" t="s">
        <v>2291</v>
      </c>
      <c r="E2448" s="460" t="s">
        <v>2271</v>
      </c>
      <c r="F2448" s="460">
        <v>2</v>
      </c>
      <c r="G2448" s="460">
        <v>1</v>
      </c>
      <c r="H2448" s="461" t="s">
        <v>748</v>
      </c>
      <c r="I2448" s="461" t="s">
        <v>765</v>
      </c>
      <c r="J2448" s="461" t="s">
        <v>700</v>
      </c>
      <c r="K2448" s="594"/>
      <c r="L2448" s="594"/>
      <c r="M2448" s="352">
        <v>2000</v>
      </c>
      <c r="N2448" s="352" t="s">
        <v>703</v>
      </c>
      <c r="O2448" s="460">
        <v>2312</v>
      </c>
      <c r="P2448" s="460" t="s">
        <v>789</v>
      </c>
      <c r="Q2448" s="460" t="s">
        <v>3000</v>
      </c>
      <c r="R2448" s="460">
        <v>2312</v>
      </c>
      <c r="S2448" s="460" t="s">
        <v>2265</v>
      </c>
      <c r="T2448" s="462">
        <v>1</v>
      </c>
      <c r="U2448" s="460" t="s">
        <v>2271</v>
      </c>
      <c r="V2448" s="475">
        <v>0</v>
      </c>
      <c r="W2448" s="463" t="s">
        <v>2268</v>
      </c>
      <c r="X2448" s="463" t="s">
        <v>2268</v>
      </c>
      <c r="Y2448" s="463" t="s">
        <v>2554</v>
      </c>
      <c r="Z2448" s="463"/>
      <c r="AA2448" s="463"/>
      <c r="AB2448" s="464">
        <v>0</v>
      </c>
      <c r="AC2448" s="465">
        <v>0</v>
      </c>
      <c r="AD2448" s="465">
        <v>0</v>
      </c>
      <c r="AE2448" s="476">
        <v>0</v>
      </c>
      <c r="AF2448" s="467">
        <v>0</v>
      </c>
      <c r="AG2448" s="468">
        <v>0</v>
      </c>
      <c r="AH2448" s="218">
        <v>0</v>
      </c>
      <c r="AI2448" s="470">
        <v>0</v>
      </c>
      <c r="AJ2448" s="471">
        <v>0</v>
      </c>
      <c r="AK2448" s="218">
        <v>0</v>
      </c>
      <c r="AL2448" s="470">
        <v>0</v>
      </c>
      <c r="AM2448" s="471">
        <v>0</v>
      </c>
      <c r="AN2448" s="477">
        <v>0</v>
      </c>
      <c r="AO2448" s="473">
        <v>0</v>
      </c>
      <c r="AP2448" s="474">
        <v>0</v>
      </c>
      <c r="AQ2448" s="352"/>
      <c r="AR2448" s="352"/>
      <c r="AS2448" s="352"/>
      <c r="AT2448" s="352"/>
      <c r="AU2448" s="352"/>
      <c r="AV2448" s="352"/>
      <c r="AW2448" s="352" t="s">
        <v>254</v>
      </c>
    </row>
    <row r="2449" spans="2:49" x14ac:dyDescent="0.2">
      <c r="B2449" s="460" t="s">
        <v>3083</v>
      </c>
      <c r="C2449" s="460">
        <v>2312</v>
      </c>
      <c r="D2449" s="460" t="s">
        <v>2292</v>
      </c>
      <c r="E2449" s="460" t="s">
        <v>2274</v>
      </c>
      <c r="F2449" s="460">
        <v>3</v>
      </c>
      <c r="G2449" s="460">
        <v>1</v>
      </c>
      <c r="H2449" s="461" t="s">
        <v>748</v>
      </c>
      <c r="I2449" s="461" t="s">
        <v>765</v>
      </c>
      <c r="J2449" s="461" t="s">
        <v>700</v>
      </c>
      <c r="K2449" s="594"/>
      <c r="L2449" s="594"/>
      <c r="M2449" s="352">
        <v>2000</v>
      </c>
      <c r="N2449" s="352" t="s">
        <v>703</v>
      </c>
      <c r="O2449" s="460">
        <v>2312</v>
      </c>
      <c r="P2449" s="460" t="s">
        <v>789</v>
      </c>
      <c r="Q2449" s="460" t="s">
        <v>3000</v>
      </c>
      <c r="R2449" s="460">
        <v>2312</v>
      </c>
      <c r="S2449" s="460" t="s">
        <v>2265</v>
      </c>
      <c r="T2449" s="462">
        <v>0.74223365950407583</v>
      </c>
      <c r="U2449" s="460" t="s">
        <v>2274</v>
      </c>
      <c r="V2449" s="475">
        <v>0</v>
      </c>
      <c r="W2449" s="463" t="s">
        <v>2268</v>
      </c>
      <c r="X2449" s="463" t="s">
        <v>2268</v>
      </c>
      <c r="Y2449" s="463" t="s">
        <v>2554</v>
      </c>
      <c r="Z2449" s="463"/>
      <c r="AA2449" s="463"/>
      <c r="AB2449" s="464">
        <v>0</v>
      </c>
      <c r="AC2449" s="465">
        <v>0</v>
      </c>
      <c r="AD2449" s="465">
        <v>0</v>
      </c>
      <c r="AE2449" s="476">
        <v>0</v>
      </c>
      <c r="AF2449" s="467">
        <v>0</v>
      </c>
      <c r="AG2449" s="468">
        <v>0</v>
      </c>
      <c r="AH2449" s="218">
        <v>0</v>
      </c>
      <c r="AI2449" s="470">
        <v>0</v>
      </c>
      <c r="AJ2449" s="471">
        <v>0</v>
      </c>
      <c r="AK2449" s="218">
        <v>0</v>
      </c>
      <c r="AL2449" s="470">
        <v>0</v>
      </c>
      <c r="AM2449" s="471">
        <v>0</v>
      </c>
      <c r="AN2449" s="477">
        <v>0</v>
      </c>
      <c r="AO2449" s="473">
        <v>0</v>
      </c>
      <c r="AP2449" s="474">
        <v>0</v>
      </c>
      <c r="AQ2449" s="352"/>
      <c r="AR2449" s="352"/>
      <c r="AS2449" s="352"/>
      <c r="AT2449" s="352"/>
      <c r="AU2449" s="352"/>
      <c r="AV2449" s="352"/>
      <c r="AW2449" s="352" t="s">
        <v>254</v>
      </c>
    </row>
    <row r="2450" spans="2:49" x14ac:dyDescent="0.2">
      <c r="B2450" s="460" t="s">
        <v>3084</v>
      </c>
      <c r="C2450" s="460">
        <v>2312</v>
      </c>
      <c r="D2450" s="460" t="s">
        <v>2293</v>
      </c>
      <c r="E2450" s="460" t="s">
        <v>2277</v>
      </c>
      <c r="F2450" s="460">
        <v>4</v>
      </c>
      <c r="G2450" s="460">
        <v>1</v>
      </c>
      <c r="H2450" s="461" t="s">
        <v>748</v>
      </c>
      <c r="I2450" s="461" t="s">
        <v>765</v>
      </c>
      <c r="J2450" s="461" t="s">
        <v>700</v>
      </c>
      <c r="K2450" s="594"/>
      <c r="L2450" s="594"/>
      <c r="M2450" s="352">
        <v>2000</v>
      </c>
      <c r="N2450" s="352" t="s">
        <v>703</v>
      </c>
      <c r="O2450" s="460">
        <v>2312</v>
      </c>
      <c r="P2450" s="460" t="s">
        <v>789</v>
      </c>
      <c r="Q2450" s="460" t="s">
        <v>3000</v>
      </c>
      <c r="R2450" s="460">
        <v>2312</v>
      </c>
      <c r="S2450" s="460" t="s">
        <v>2277</v>
      </c>
      <c r="T2450" s="462">
        <v>1</v>
      </c>
      <c r="U2450" s="460" t="s">
        <v>2277</v>
      </c>
      <c r="V2450" s="475">
        <v>0</v>
      </c>
      <c r="W2450" s="463" t="s">
        <v>2268</v>
      </c>
      <c r="X2450" s="463" t="s">
        <v>2268</v>
      </c>
      <c r="Y2450" s="463" t="s">
        <v>2554</v>
      </c>
      <c r="Z2450" s="463"/>
      <c r="AA2450" s="463"/>
      <c r="AB2450" s="464">
        <v>0</v>
      </c>
      <c r="AC2450" s="465">
        <v>0</v>
      </c>
      <c r="AD2450" s="465">
        <v>0</v>
      </c>
      <c r="AE2450" s="476">
        <v>0</v>
      </c>
      <c r="AF2450" s="467">
        <v>0</v>
      </c>
      <c r="AG2450" s="468">
        <v>0</v>
      </c>
      <c r="AH2450" s="218">
        <v>0</v>
      </c>
      <c r="AI2450" s="470">
        <v>0</v>
      </c>
      <c r="AJ2450" s="471">
        <v>0</v>
      </c>
      <c r="AK2450" s="218">
        <v>0</v>
      </c>
      <c r="AL2450" s="470">
        <v>0</v>
      </c>
      <c r="AM2450" s="471">
        <v>0</v>
      </c>
      <c r="AN2450" s="477">
        <v>0</v>
      </c>
      <c r="AO2450" s="473">
        <v>0</v>
      </c>
      <c r="AP2450" s="474">
        <v>0</v>
      </c>
      <c r="AQ2450" s="352"/>
      <c r="AR2450" s="352"/>
      <c r="AS2450" s="352"/>
      <c r="AT2450" s="352"/>
      <c r="AU2450" s="352"/>
      <c r="AV2450" s="352"/>
      <c r="AW2450" s="352" t="s">
        <v>254</v>
      </c>
    </row>
    <row r="2451" spans="2:49" x14ac:dyDescent="0.2">
      <c r="B2451" s="460" t="s">
        <v>3085</v>
      </c>
      <c r="C2451" s="460">
        <v>2312</v>
      </c>
      <c r="D2451" s="460" t="s">
        <v>2295</v>
      </c>
      <c r="E2451" s="460" t="s">
        <v>2296</v>
      </c>
      <c r="F2451" s="460">
        <v>1</v>
      </c>
      <c r="G2451" s="460">
        <v>2</v>
      </c>
      <c r="H2451" s="461" t="s">
        <v>700</v>
      </c>
      <c r="I2451" s="461" t="s">
        <v>872</v>
      </c>
      <c r="J2451" s="461" t="s">
        <v>700</v>
      </c>
      <c r="K2451" s="594"/>
      <c r="L2451" s="594"/>
      <c r="M2451" s="352">
        <v>2000</v>
      </c>
      <c r="N2451" s="352" t="s">
        <v>703</v>
      </c>
      <c r="O2451" s="460">
        <v>2312</v>
      </c>
      <c r="P2451" s="460" t="s">
        <v>789</v>
      </c>
      <c r="Q2451" s="460" t="s">
        <v>3000</v>
      </c>
      <c r="R2451" s="460">
        <v>2312</v>
      </c>
      <c r="S2451" s="460" t="s">
        <v>2296</v>
      </c>
      <c r="T2451" s="462">
        <v>1</v>
      </c>
      <c r="U2451" s="460" t="s">
        <v>2296</v>
      </c>
      <c r="V2451" s="475">
        <v>0</v>
      </c>
      <c r="W2451" s="463" t="s">
        <v>2554</v>
      </c>
      <c r="X2451" s="463" t="s">
        <v>2554</v>
      </c>
      <c r="Y2451" s="463" t="s">
        <v>2268</v>
      </c>
      <c r="Z2451" s="463"/>
      <c r="AA2451" s="463"/>
      <c r="AB2451" s="464">
        <v>0</v>
      </c>
      <c r="AC2451" s="465">
        <v>0</v>
      </c>
      <c r="AD2451" s="465">
        <v>0</v>
      </c>
      <c r="AE2451" s="476">
        <v>0</v>
      </c>
      <c r="AF2451" s="467">
        <v>0</v>
      </c>
      <c r="AG2451" s="468">
        <v>0</v>
      </c>
      <c r="AH2451" s="218">
        <v>0</v>
      </c>
      <c r="AI2451" s="470">
        <v>0</v>
      </c>
      <c r="AJ2451" s="471">
        <v>0</v>
      </c>
      <c r="AK2451" s="218">
        <v>0</v>
      </c>
      <c r="AL2451" s="470">
        <v>0</v>
      </c>
      <c r="AM2451" s="471">
        <v>0</v>
      </c>
      <c r="AN2451" s="477">
        <v>0</v>
      </c>
      <c r="AO2451" s="473">
        <v>0</v>
      </c>
      <c r="AP2451" s="474">
        <v>0</v>
      </c>
      <c r="AQ2451" s="352"/>
      <c r="AR2451" s="352"/>
      <c r="AS2451" s="352"/>
      <c r="AT2451" s="352"/>
      <c r="AU2451" s="352"/>
      <c r="AV2451" s="352"/>
      <c r="AW2451" s="352" t="s">
        <v>254</v>
      </c>
    </row>
    <row r="2452" spans="2:49" x14ac:dyDescent="0.2">
      <c r="B2452" s="460" t="s">
        <v>3086</v>
      </c>
      <c r="C2452" s="460">
        <v>2312</v>
      </c>
      <c r="D2452" s="460" t="s">
        <v>2298</v>
      </c>
      <c r="E2452" s="460" t="s">
        <v>2299</v>
      </c>
      <c r="F2452" s="460">
        <v>2</v>
      </c>
      <c r="G2452" s="460">
        <v>2</v>
      </c>
      <c r="H2452" s="461" t="s">
        <v>700</v>
      </c>
      <c r="I2452" s="461" t="s">
        <v>872</v>
      </c>
      <c r="J2452" s="461" t="s">
        <v>700</v>
      </c>
      <c r="K2452" s="594"/>
      <c r="L2452" s="594"/>
      <c r="M2452" s="352">
        <v>2000</v>
      </c>
      <c r="N2452" s="352" t="s">
        <v>703</v>
      </c>
      <c r="O2452" s="460">
        <v>2312</v>
      </c>
      <c r="P2452" s="460" t="s">
        <v>789</v>
      </c>
      <c r="Q2452" s="460" t="s">
        <v>3000</v>
      </c>
      <c r="R2452" s="460">
        <v>2312</v>
      </c>
      <c r="S2452" s="460" t="s">
        <v>2296</v>
      </c>
      <c r="T2452" s="462">
        <v>0.55517361979372948</v>
      </c>
      <c r="U2452" s="460" t="s">
        <v>2299</v>
      </c>
      <c r="V2452" s="475">
        <v>0</v>
      </c>
      <c r="W2452" s="463" t="s">
        <v>2554</v>
      </c>
      <c r="X2452" s="463" t="s">
        <v>2554</v>
      </c>
      <c r="Y2452" s="463" t="s">
        <v>2268</v>
      </c>
      <c r="Z2452" s="463"/>
      <c r="AA2452" s="463"/>
      <c r="AB2452" s="464">
        <v>0</v>
      </c>
      <c r="AC2452" s="465">
        <v>0</v>
      </c>
      <c r="AD2452" s="465">
        <v>0</v>
      </c>
      <c r="AE2452" s="476">
        <v>0</v>
      </c>
      <c r="AF2452" s="467">
        <v>0</v>
      </c>
      <c r="AG2452" s="468">
        <v>0</v>
      </c>
      <c r="AH2452" s="218">
        <v>0</v>
      </c>
      <c r="AI2452" s="470">
        <v>0</v>
      </c>
      <c r="AJ2452" s="471">
        <v>0</v>
      </c>
      <c r="AK2452" s="218">
        <v>0</v>
      </c>
      <c r="AL2452" s="470">
        <v>0</v>
      </c>
      <c r="AM2452" s="471">
        <v>0</v>
      </c>
      <c r="AN2452" s="477">
        <v>0</v>
      </c>
      <c r="AO2452" s="473">
        <v>0</v>
      </c>
      <c r="AP2452" s="474">
        <v>0</v>
      </c>
      <c r="AQ2452" s="352"/>
      <c r="AR2452" s="352"/>
      <c r="AS2452" s="352"/>
      <c r="AT2452" s="352"/>
      <c r="AU2452" s="352"/>
      <c r="AV2452" s="352"/>
      <c r="AW2452" s="352" t="s">
        <v>254</v>
      </c>
    </row>
    <row r="2453" spans="2:49" x14ac:dyDescent="0.2">
      <c r="B2453" s="460" t="s">
        <v>3087</v>
      </c>
      <c r="C2453" s="460">
        <v>2312</v>
      </c>
      <c r="D2453" s="460" t="s">
        <v>2301</v>
      </c>
      <c r="E2453" s="460" t="s">
        <v>2302</v>
      </c>
      <c r="F2453" s="460">
        <v>3</v>
      </c>
      <c r="G2453" s="460">
        <v>2</v>
      </c>
      <c r="H2453" s="461" t="s">
        <v>700</v>
      </c>
      <c r="I2453" s="461" t="s">
        <v>872</v>
      </c>
      <c r="J2453" s="461" t="s">
        <v>700</v>
      </c>
      <c r="K2453" s="594"/>
      <c r="L2453" s="594"/>
      <c r="M2453" s="352">
        <v>2000</v>
      </c>
      <c r="N2453" s="352" t="s">
        <v>703</v>
      </c>
      <c r="O2453" s="460">
        <v>2312</v>
      </c>
      <c r="P2453" s="460" t="s">
        <v>789</v>
      </c>
      <c r="Q2453" s="460" t="s">
        <v>3000</v>
      </c>
      <c r="R2453" s="460">
        <v>2312</v>
      </c>
      <c r="S2453" s="460" t="s">
        <v>2296</v>
      </c>
      <c r="T2453" s="462">
        <v>0.28481449642268464</v>
      </c>
      <c r="U2453" s="460" t="s">
        <v>2302</v>
      </c>
      <c r="V2453" s="475">
        <v>0</v>
      </c>
      <c r="W2453" s="463" t="s">
        <v>2554</v>
      </c>
      <c r="X2453" s="463" t="s">
        <v>2554</v>
      </c>
      <c r="Y2453" s="463" t="s">
        <v>2268</v>
      </c>
      <c r="Z2453" s="463"/>
      <c r="AA2453" s="463"/>
      <c r="AB2453" s="464">
        <v>0</v>
      </c>
      <c r="AC2453" s="465">
        <v>0</v>
      </c>
      <c r="AD2453" s="465">
        <v>0</v>
      </c>
      <c r="AE2453" s="476">
        <v>0</v>
      </c>
      <c r="AF2453" s="467">
        <v>0</v>
      </c>
      <c r="AG2453" s="468">
        <v>0</v>
      </c>
      <c r="AH2453" s="218">
        <v>0</v>
      </c>
      <c r="AI2453" s="470">
        <v>0</v>
      </c>
      <c r="AJ2453" s="471">
        <v>0</v>
      </c>
      <c r="AK2453" s="218">
        <v>0</v>
      </c>
      <c r="AL2453" s="470">
        <v>0</v>
      </c>
      <c r="AM2453" s="471">
        <v>0</v>
      </c>
      <c r="AN2453" s="477">
        <v>0</v>
      </c>
      <c r="AO2453" s="473">
        <v>0</v>
      </c>
      <c r="AP2453" s="474">
        <v>0</v>
      </c>
      <c r="AQ2453" s="352"/>
      <c r="AR2453" s="352"/>
      <c r="AS2453" s="352"/>
      <c r="AT2453" s="352"/>
      <c r="AU2453" s="352"/>
      <c r="AV2453" s="352"/>
      <c r="AW2453" s="352" t="s">
        <v>254</v>
      </c>
    </row>
    <row r="2454" spans="2:49" x14ac:dyDescent="0.2">
      <c r="B2454" s="460" t="s">
        <v>3088</v>
      </c>
      <c r="C2454" s="460">
        <v>2312</v>
      </c>
      <c r="D2454" s="460" t="s">
        <v>2304</v>
      </c>
      <c r="E2454" s="460" t="s">
        <v>2305</v>
      </c>
      <c r="F2454" s="460">
        <v>4</v>
      </c>
      <c r="G2454" s="460">
        <v>2</v>
      </c>
      <c r="H2454" s="461" t="s">
        <v>700</v>
      </c>
      <c r="I2454" s="461" t="s">
        <v>872</v>
      </c>
      <c r="J2454" s="461" t="s">
        <v>700</v>
      </c>
      <c r="K2454" s="594"/>
      <c r="L2454" s="594"/>
      <c r="M2454" s="352">
        <v>2000</v>
      </c>
      <c r="N2454" s="352" t="s">
        <v>703</v>
      </c>
      <c r="O2454" s="460">
        <v>2312</v>
      </c>
      <c r="P2454" s="460" t="s">
        <v>789</v>
      </c>
      <c r="Q2454" s="460" t="s">
        <v>3000</v>
      </c>
      <c r="R2454" s="460">
        <v>2312</v>
      </c>
      <c r="S2454" s="460" t="s">
        <v>2305</v>
      </c>
      <c r="T2454" s="462">
        <v>1</v>
      </c>
      <c r="U2454" s="460" t="s">
        <v>2305</v>
      </c>
      <c r="V2454" s="475">
        <v>0</v>
      </c>
      <c r="W2454" s="463" t="s">
        <v>2554</v>
      </c>
      <c r="X2454" s="463" t="s">
        <v>2554</v>
      </c>
      <c r="Y2454" s="463" t="s">
        <v>2268</v>
      </c>
      <c r="Z2454" s="463"/>
      <c r="AA2454" s="463"/>
      <c r="AB2454" s="464">
        <v>0</v>
      </c>
      <c r="AC2454" s="465">
        <v>0</v>
      </c>
      <c r="AD2454" s="465">
        <v>0</v>
      </c>
      <c r="AE2454" s="476">
        <v>0</v>
      </c>
      <c r="AF2454" s="467">
        <v>0</v>
      </c>
      <c r="AG2454" s="468">
        <v>0</v>
      </c>
      <c r="AH2454" s="218">
        <v>0</v>
      </c>
      <c r="AI2454" s="470">
        <v>0</v>
      </c>
      <c r="AJ2454" s="471">
        <v>0</v>
      </c>
      <c r="AK2454" s="218">
        <v>0</v>
      </c>
      <c r="AL2454" s="470">
        <v>0</v>
      </c>
      <c r="AM2454" s="471">
        <v>0</v>
      </c>
      <c r="AN2454" s="477">
        <v>0</v>
      </c>
      <c r="AO2454" s="473">
        <v>0</v>
      </c>
      <c r="AP2454" s="474">
        <v>0</v>
      </c>
      <c r="AQ2454" s="352"/>
      <c r="AR2454" s="352"/>
      <c r="AS2454" s="352"/>
      <c r="AT2454" s="352"/>
      <c r="AU2454" s="352"/>
      <c r="AV2454" s="352"/>
      <c r="AW2454" s="352" t="s">
        <v>254</v>
      </c>
    </row>
    <row r="2455" spans="2:49" x14ac:dyDescent="0.2">
      <c r="B2455" s="460" t="s">
        <v>3085</v>
      </c>
      <c r="C2455" s="460">
        <v>2312</v>
      </c>
      <c r="D2455" s="460" t="s">
        <v>2306</v>
      </c>
      <c r="E2455" s="460" t="s">
        <v>2296</v>
      </c>
      <c r="F2455" s="460">
        <v>1</v>
      </c>
      <c r="G2455" s="460">
        <v>2</v>
      </c>
      <c r="H2455" s="461" t="s">
        <v>712</v>
      </c>
      <c r="I2455" s="461" t="s">
        <v>713</v>
      </c>
      <c r="J2455" s="461" t="s">
        <v>712</v>
      </c>
      <c r="K2455" s="594"/>
      <c r="L2455" s="594"/>
      <c r="M2455" s="352">
        <v>2000</v>
      </c>
      <c r="N2455" s="352" t="s">
        <v>703</v>
      </c>
      <c r="O2455" s="460">
        <v>2312</v>
      </c>
      <c r="P2455" s="460" t="s">
        <v>789</v>
      </c>
      <c r="Q2455" s="460" t="s">
        <v>2280</v>
      </c>
      <c r="R2455" s="460">
        <v>2312</v>
      </c>
      <c r="S2455" s="460" t="s">
        <v>2296</v>
      </c>
      <c r="T2455" s="462">
        <v>1</v>
      </c>
      <c r="U2455" s="460" t="s">
        <v>2296</v>
      </c>
      <c r="V2455" s="475">
        <v>0</v>
      </c>
      <c r="W2455" s="463" t="s">
        <v>713</v>
      </c>
      <c r="X2455" s="463" t="s">
        <v>713</v>
      </c>
      <c r="Y2455" s="463" t="s">
        <v>713</v>
      </c>
      <c r="Z2455" s="463"/>
      <c r="AA2455" s="463"/>
      <c r="AB2455" s="464">
        <v>0</v>
      </c>
      <c r="AC2455" s="465">
        <v>0</v>
      </c>
      <c r="AD2455" s="465">
        <v>0</v>
      </c>
      <c r="AE2455" s="476">
        <v>0</v>
      </c>
      <c r="AF2455" s="467">
        <v>0</v>
      </c>
      <c r="AG2455" s="468">
        <v>0</v>
      </c>
      <c r="AH2455" s="218">
        <v>0</v>
      </c>
      <c r="AI2455" s="470">
        <v>0</v>
      </c>
      <c r="AJ2455" s="471">
        <v>0</v>
      </c>
      <c r="AK2455" s="218">
        <v>0</v>
      </c>
      <c r="AL2455" s="470">
        <v>0</v>
      </c>
      <c r="AM2455" s="471">
        <v>0</v>
      </c>
      <c r="AN2455" s="477">
        <v>0</v>
      </c>
      <c r="AO2455" s="473">
        <v>0</v>
      </c>
      <c r="AP2455" s="474">
        <v>0</v>
      </c>
      <c r="AQ2455" s="352"/>
      <c r="AR2455" s="352"/>
      <c r="AS2455" s="352"/>
      <c r="AT2455" s="352"/>
      <c r="AU2455" s="352"/>
      <c r="AV2455" s="352"/>
      <c r="AW2455" s="352" t="s">
        <v>254</v>
      </c>
    </row>
    <row r="2456" spans="2:49" x14ac:dyDescent="0.2">
      <c r="B2456" s="460" t="s">
        <v>3086</v>
      </c>
      <c r="C2456" s="460">
        <v>2312</v>
      </c>
      <c r="D2456" s="460" t="s">
        <v>2307</v>
      </c>
      <c r="E2456" s="460" t="s">
        <v>2299</v>
      </c>
      <c r="F2456" s="460">
        <v>2</v>
      </c>
      <c r="G2456" s="460">
        <v>2</v>
      </c>
      <c r="H2456" s="461" t="s">
        <v>712</v>
      </c>
      <c r="I2456" s="461" t="s">
        <v>713</v>
      </c>
      <c r="J2456" s="461" t="s">
        <v>712</v>
      </c>
      <c r="K2456" s="594"/>
      <c r="L2456" s="594"/>
      <c r="M2456" s="352">
        <v>2000</v>
      </c>
      <c r="N2456" s="352" t="s">
        <v>703</v>
      </c>
      <c r="O2456" s="460">
        <v>2312</v>
      </c>
      <c r="P2456" s="460" t="s">
        <v>789</v>
      </c>
      <c r="Q2456" s="460" t="s">
        <v>2280</v>
      </c>
      <c r="R2456" s="460">
        <v>2312</v>
      </c>
      <c r="S2456" s="460" t="s">
        <v>2296</v>
      </c>
      <c r="T2456" s="462">
        <v>0.55517361979372948</v>
      </c>
      <c r="U2456" s="460" t="s">
        <v>2299</v>
      </c>
      <c r="V2456" s="475">
        <v>0</v>
      </c>
      <c r="W2456" s="463" t="s">
        <v>713</v>
      </c>
      <c r="X2456" s="463" t="s">
        <v>713</v>
      </c>
      <c r="Y2456" s="463" t="s">
        <v>713</v>
      </c>
      <c r="Z2456" s="463"/>
      <c r="AA2456" s="463"/>
      <c r="AB2456" s="464">
        <v>0</v>
      </c>
      <c r="AC2456" s="465">
        <v>0</v>
      </c>
      <c r="AD2456" s="465">
        <v>0</v>
      </c>
      <c r="AE2456" s="476">
        <v>0</v>
      </c>
      <c r="AF2456" s="467">
        <v>0</v>
      </c>
      <c r="AG2456" s="468">
        <v>0</v>
      </c>
      <c r="AH2456" s="218">
        <v>0</v>
      </c>
      <c r="AI2456" s="470">
        <v>0</v>
      </c>
      <c r="AJ2456" s="471">
        <v>0</v>
      </c>
      <c r="AK2456" s="218">
        <v>0</v>
      </c>
      <c r="AL2456" s="470">
        <v>0</v>
      </c>
      <c r="AM2456" s="471">
        <v>0</v>
      </c>
      <c r="AN2456" s="477">
        <v>0</v>
      </c>
      <c r="AO2456" s="473">
        <v>0</v>
      </c>
      <c r="AP2456" s="474">
        <v>0</v>
      </c>
      <c r="AQ2456" s="352"/>
      <c r="AR2456" s="352"/>
      <c r="AS2456" s="352"/>
      <c r="AT2456" s="352"/>
      <c r="AU2456" s="352"/>
      <c r="AV2456" s="352"/>
      <c r="AW2456" s="352" t="s">
        <v>254</v>
      </c>
    </row>
    <row r="2457" spans="2:49" x14ac:dyDescent="0.2">
      <c r="B2457" s="460" t="s">
        <v>3087</v>
      </c>
      <c r="C2457" s="460">
        <v>2312</v>
      </c>
      <c r="D2457" s="460" t="s">
        <v>2308</v>
      </c>
      <c r="E2457" s="460" t="s">
        <v>2302</v>
      </c>
      <c r="F2457" s="460">
        <v>3</v>
      </c>
      <c r="G2457" s="460">
        <v>2</v>
      </c>
      <c r="H2457" s="461" t="s">
        <v>712</v>
      </c>
      <c r="I2457" s="461" t="s">
        <v>713</v>
      </c>
      <c r="J2457" s="461" t="s">
        <v>712</v>
      </c>
      <c r="K2457" s="594"/>
      <c r="L2457" s="594"/>
      <c r="M2457" s="352">
        <v>2000</v>
      </c>
      <c r="N2457" s="352" t="s">
        <v>703</v>
      </c>
      <c r="O2457" s="460">
        <v>2312</v>
      </c>
      <c r="P2457" s="460" t="s">
        <v>789</v>
      </c>
      <c r="Q2457" s="460" t="s">
        <v>2280</v>
      </c>
      <c r="R2457" s="460">
        <v>2312</v>
      </c>
      <c r="S2457" s="460" t="s">
        <v>2296</v>
      </c>
      <c r="T2457" s="462">
        <v>0.28481449642268464</v>
      </c>
      <c r="U2457" s="460" t="s">
        <v>2302</v>
      </c>
      <c r="V2457" s="475">
        <v>0</v>
      </c>
      <c r="W2457" s="463" t="s">
        <v>713</v>
      </c>
      <c r="X2457" s="463" t="s">
        <v>713</v>
      </c>
      <c r="Y2457" s="463" t="s">
        <v>713</v>
      </c>
      <c r="Z2457" s="463"/>
      <c r="AA2457" s="463"/>
      <c r="AB2457" s="464">
        <v>0</v>
      </c>
      <c r="AC2457" s="465">
        <v>0</v>
      </c>
      <c r="AD2457" s="465">
        <v>0</v>
      </c>
      <c r="AE2457" s="476">
        <v>0</v>
      </c>
      <c r="AF2457" s="467">
        <v>0</v>
      </c>
      <c r="AG2457" s="468">
        <v>0</v>
      </c>
      <c r="AH2457" s="218">
        <v>0</v>
      </c>
      <c r="AI2457" s="470">
        <v>0</v>
      </c>
      <c r="AJ2457" s="471">
        <v>0</v>
      </c>
      <c r="AK2457" s="218">
        <v>0</v>
      </c>
      <c r="AL2457" s="470">
        <v>0</v>
      </c>
      <c r="AM2457" s="471">
        <v>0</v>
      </c>
      <c r="AN2457" s="477">
        <v>0</v>
      </c>
      <c r="AO2457" s="473">
        <v>0</v>
      </c>
      <c r="AP2457" s="474">
        <v>0</v>
      </c>
      <c r="AQ2457" s="352"/>
      <c r="AR2457" s="352"/>
      <c r="AS2457" s="352"/>
      <c r="AT2457" s="352"/>
      <c r="AU2457" s="352"/>
      <c r="AV2457" s="352"/>
      <c r="AW2457" s="352" t="s">
        <v>254</v>
      </c>
    </row>
    <row r="2458" spans="2:49" x14ac:dyDescent="0.2">
      <c r="B2458" s="460" t="s">
        <v>3088</v>
      </c>
      <c r="C2458" s="460">
        <v>2312</v>
      </c>
      <c r="D2458" s="460" t="s">
        <v>2309</v>
      </c>
      <c r="E2458" s="460" t="s">
        <v>2305</v>
      </c>
      <c r="F2458" s="460">
        <v>4</v>
      </c>
      <c r="G2458" s="460">
        <v>2</v>
      </c>
      <c r="H2458" s="461" t="s">
        <v>712</v>
      </c>
      <c r="I2458" s="461" t="s">
        <v>713</v>
      </c>
      <c r="J2458" s="461" t="s">
        <v>712</v>
      </c>
      <c r="K2458" s="594"/>
      <c r="L2458" s="594"/>
      <c r="M2458" s="352">
        <v>2000</v>
      </c>
      <c r="N2458" s="352" t="s">
        <v>703</v>
      </c>
      <c r="O2458" s="460">
        <v>2312</v>
      </c>
      <c r="P2458" s="460" t="s">
        <v>789</v>
      </c>
      <c r="Q2458" s="460" t="s">
        <v>2280</v>
      </c>
      <c r="R2458" s="460">
        <v>2312</v>
      </c>
      <c r="S2458" s="460" t="s">
        <v>2305</v>
      </c>
      <c r="T2458" s="462">
        <v>1</v>
      </c>
      <c r="U2458" s="460" t="s">
        <v>2305</v>
      </c>
      <c r="V2458" s="475">
        <v>0</v>
      </c>
      <c r="W2458" s="463" t="s">
        <v>713</v>
      </c>
      <c r="X2458" s="463" t="s">
        <v>713</v>
      </c>
      <c r="Y2458" s="463" t="s">
        <v>713</v>
      </c>
      <c r="Z2458" s="463"/>
      <c r="AA2458" s="463"/>
      <c r="AB2458" s="464">
        <v>0</v>
      </c>
      <c r="AC2458" s="465">
        <v>0</v>
      </c>
      <c r="AD2458" s="465">
        <v>0</v>
      </c>
      <c r="AE2458" s="476">
        <v>0</v>
      </c>
      <c r="AF2458" s="467">
        <v>0</v>
      </c>
      <c r="AG2458" s="468">
        <v>0</v>
      </c>
      <c r="AH2458" s="218">
        <v>0</v>
      </c>
      <c r="AI2458" s="470">
        <v>0</v>
      </c>
      <c r="AJ2458" s="471">
        <v>0</v>
      </c>
      <c r="AK2458" s="218">
        <v>0</v>
      </c>
      <c r="AL2458" s="470">
        <v>0</v>
      </c>
      <c r="AM2458" s="471">
        <v>0</v>
      </c>
      <c r="AN2458" s="477">
        <v>0</v>
      </c>
      <c r="AO2458" s="473">
        <v>0</v>
      </c>
      <c r="AP2458" s="474">
        <v>0</v>
      </c>
      <c r="AQ2458" s="352"/>
      <c r="AR2458" s="352"/>
      <c r="AS2458" s="352"/>
      <c r="AT2458" s="352"/>
      <c r="AU2458" s="352"/>
      <c r="AV2458" s="352"/>
      <c r="AW2458" s="352" t="s">
        <v>254</v>
      </c>
    </row>
    <row r="2459" spans="2:49" x14ac:dyDescent="0.2">
      <c r="B2459" s="460" t="s">
        <v>3085</v>
      </c>
      <c r="C2459" s="460">
        <v>2312</v>
      </c>
      <c r="D2459" s="460" t="s">
        <v>2310</v>
      </c>
      <c r="E2459" s="460" t="s">
        <v>2296</v>
      </c>
      <c r="F2459" s="460">
        <v>1</v>
      </c>
      <c r="G2459" s="460">
        <v>2</v>
      </c>
      <c r="H2459" s="461" t="s">
        <v>746</v>
      </c>
      <c r="I2459" s="461" t="s">
        <v>762</v>
      </c>
      <c r="J2459" s="461" t="s">
        <v>700</v>
      </c>
      <c r="K2459" s="594"/>
      <c r="L2459" s="594"/>
      <c r="M2459" s="352">
        <v>2000</v>
      </c>
      <c r="N2459" s="352" t="s">
        <v>703</v>
      </c>
      <c r="O2459" s="460">
        <v>2312</v>
      </c>
      <c r="P2459" s="460" t="s">
        <v>789</v>
      </c>
      <c r="Q2459" s="460" t="s">
        <v>3000</v>
      </c>
      <c r="R2459" s="460">
        <v>2312</v>
      </c>
      <c r="S2459" s="460" t="s">
        <v>2296</v>
      </c>
      <c r="T2459" s="462">
        <v>1</v>
      </c>
      <c r="U2459" s="460" t="s">
        <v>2296</v>
      </c>
      <c r="V2459" s="475">
        <v>0</v>
      </c>
      <c r="W2459" s="463" t="s">
        <v>2268</v>
      </c>
      <c r="X2459" s="463" t="s">
        <v>2268</v>
      </c>
      <c r="Y2459" s="463" t="s">
        <v>2554</v>
      </c>
      <c r="Z2459" s="463"/>
      <c r="AA2459" s="463"/>
      <c r="AB2459" s="464">
        <v>0</v>
      </c>
      <c r="AC2459" s="465">
        <v>0</v>
      </c>
      <c r="AD2459" s="465">
        <v>0</v>
      </c>
      <c r="AE2459" s="476">
        <v>0</v>
      </c>
      <c r="AF2459" s="467">
        <v>0</v>
      </c>
      <c r="AG2459" s="468">
        <v>0</v>
      </c>
      <c r="AH2459" s="218">
        <v>0</v>
      </c>
      <c r="AI2459" s="470">
        <v>0</v>
      </c>
      <c r="AJ2459" s="471">
        <v>0</v>
      </c>
      <c r="AK2459" s="218">
        <v>0</v>
      </c>
      <c r="AL2459" s="470">
        <v>0</v>
      </c>
      <c r="AM2459" s="471">
        <v>0</v>
      </c>
      <c r="AN2459" s="477">
        <v>0</v>
      </c>
      <c r="AO2459" s="473">
        <v>0</v>
      </c>
      <c r="AP2459" s="474">
        <v>0</v>
      </c>
      <c r="AQ2459" s="352"/>
      <c r="AR2459" s="352"/>
      <c r="AS2459" s="352"/>
      <c r="AT2459" s="352"/>
      <c r="AU2459" s="352"/>
      <c r="AV2459" s="352"/>
      <c r="AW2459" s="352" t="s">
        <v>254</v>
      </c>
    </row>
    <row r="2460" spans="2:49" x14ac:dyDescent="0.2">
      <c r="B2460" s="460" t="s">
        <v>3086</v>
      </c>
      <c r="C2460" s="460">
        <v>2312</v>
      </c>
      <c r="D2460" s="460" t="s">
        <v>2311</v>
      </c>
      <c r="E2460" s="460" t="s">
        <v>2299</v>
      </c>
      <c r="F2460" s="460">
        <v>2</v>
      </c>
      <c r="G2460" s="460">
        <v>2</v>
      </c>
      <c r="H2460" s="461" t="s">
        <v>746</v>
      </c>
      <c r="I2460" s="461" t="s">
        <v>762</v>
      </c>
      <c r="J2460" s="461" t="s">
        <v>700</v>
      </c>
      <c r="K2460" s="594"/>
      <c r="L2460" s="594"/>
      <c r="M2460" s="352">
        <v>2000</v>
      </c>
      <c r="N2460" s="352" t="s">
        <v>703</v>
      </c>
      <c r="O2460" s="460">
        <v>2312</v>
      </c>
      <c r="P2460" s="460" t="s">
        <v>789</v>
      </c>
      <c r="Q2460" s="460" t="s">
        <v>3000</v>
      </c>
      <c r="R2460" s="460">
        <v>2312</v>
      </c>
      <c r="S2460" s="460" t="s">
        <v>2296</v>
      </c>
      <c r="T2460" s="462">
        <v>0.55517361979372948</v>
      </c>
      <c r="U2460" s="460" t="s">
        <v>2299</v>
      </c>
      <c r="V2460" s="475">
        <v>0</v>
      </c>
      <c r="W2460" s="463" t="s">
        <v>2268</v>
      </c>
      <c r="X2460" s="463" t="s">
        <v>2268</v>
      </c>
      <c r="Y2460" s="463" t="s">
        <v>2554</v>
      </c>
      <c r="Z2460" s="463"/>
      <c r="AA2460" s="463"/>
      <c r="AB2460" s="464">
        <v>0</v>
      </c>
      <c r="AC2460" s="465">
        <v>0</v>
      </c>
      <c r="AD2460" s="465">
        <v>0</v>
      </c>
      <c r="AE2460" s="476">
        <v>0</v>
      </c>
      <c r="AF2460" s="467">
        <v>0</v>
      </c>
      <c r="AG2460" s="468">
        <v>0</v>
      </c>
      <c r="AH2460" s="218">
        <v>0</v>
      </c>
      <c r="AI2460" s="470">
        <v>0</v>
      </c>
      <c r="AJ2460" s="471">
        <v>0</v>
      </c>
      <c r="AK2460" s="218">
        <v>0</v>
      </c>
      <c r="AL2460" s="470">
        <v>0</v>
      </c>
      <c r="AM2460" s="471">
        <v>0</v>
      </c>
      <c r="AN2460" s="477">
        <v>0</v>
      </c>
      <c r="AO2460" s="473">
        <v>0</v>
      </c>
      <c r="AP2460" s="474">
        <v>0</v>
      </c>
      <c r="AQ2460" s="352"/>
      <c r="AR2460" s="352"/>
      <c r="AS2460" s="352"/>
      <c r="AT2460" s="352"/>
      <c r="AU2460" s="352"/>
      <c r="AV2460" s="352"/>
      <c r="AW2460" s="352" t="s">
        <v>254</v>
      </c>
    </row>
    <row r="2461" spans="2:49" x14ac:dyDescent="0.2">
      <c r="B2461" s="460" t="s">
        <v>3087</v>
      </c>
      <c r="C2461" s="460">
        <v>2312</v>
      </c>
      <c r="D2461" s="460" t="s">
        <v>2312</v>
      </c>
      <c r="E2461" s="460" t="s">
        <v>2302</v>
      </c>
      <c r="F2461" s="460">
        <v>3</v>
      </c>
      <c r="G2461" s="460">
        <v>2</v>
      </c>
      <c r="H2461" s="461" t="s">
        <v>746</v>
      </c>
      <c r="I2461" s="461" t="s">
        <v>762</v>
      </c>
      <c r="J2461" s="461" t="s">
        <v>700</v>
      </c>
      <c r="K2461" s="594"/>
      <c r="L2461" s="594"/>
      <c r="M2461" s="352">
        <v>2000</v>
      </c>
      <c r="N2461" s="352" t="s">
        <v>703</v>
      </c>
      <c r="O2461" s="460">
        <v>2312</v>
      </c>
      <c r="P2461" s="460" t="s">
        <v>789</v>
      </c>
      <c r="Q2461" s="460" t="s">
        <v>3000</v>
      </c>
      <c r="R2461" s="460">
        <v>2312</v>
      </c>
      <c r="S2461" s="460" t="s">
        <v>2296</v>
      </c>
      <c r="T2461" s="462">
        <v>0.28481449642268464</v>
      </c>
      <c r="U2461" s="460" t="s">
        <v>2302</v>
      </c>
      <c r="V2461" s="475">
        <v>0</v>
      </c>
      <c r="W2461" s="463" t="s">
        <v>2268</v>
      </c>
      <c r="X2461" s="463" t="s">
        <v>2268</v>
      </c>
      <c r="Y2461" s="463" t="s">
        <v>2554</v>
      </c>
      <c r="Z2461" s="463"/>
      <c r="AA2461" s="463"/>
      <c r="AB2461" s="464">
        <v>0</v>
      </c>
      <c r="AC2461" s="465">
        <v>0</v>
      </c>
      <c r="AD2461" s="465">
        <v>0</v>
      </c>
      <c r="AE2461" s="476">
        <v>0</v>
      </c>
      <c r="AF2461" s="467">
        <v>0</v>
      </c>
      <c r="AG2461" s="468">
        <v>0</v>
      </c>
      <c r="AH2461" s="218">
        <v>0</v>
      </c>
      <c r="AI2461" s="470">
        <v>0</v>
      </c>
      <c r="AJ2461" s="471">
        <v>0</v>
      </c>
      <c r="AK2461" s="218">
        <v>0</v>
      </c>
      <c r="AL2461" s="470">
        <v>0</v>
      </c>
      <c r="AM2461" s="471">
        <v>0</v>
      </c>
      <c r="AN2461" s="477">
        <v>0</v>
      </c>
      <c r="AO2461" s="473">
        <v>0</v>
      </c>
      <c r="AP2461" s="474">
        <v>0</v>
      </c>
      <c r="AQ2461" s="352"/>
      <c r="AR2461" s="352"/>
      <c r="AS2461" s="352"/>
      <c r="AT2461" s="352"/>
      <c r="AU2461" s="352"/>
      <c r="AV2461" s="352"/>
      <c r="AW2461" s="352" t="s">
        <v>254</v>
      </c>
    </row>
    <row r="2462" spans="2:49" x14ac:dyDescent="0.2">
      <c r="B2462" s="460" t="s">
        <v>3088</v>
      </c>
      <c r="C2462" s="460">
        <v>2312</v>
      </c>
      <c r="D2462" s="460" t="s">
        <v>2313</v>
      </c>
      <c r="E2462" s="460" t="s">
        <v>2305</v>
      </c>
      <c r="F2462" s="460">
        <v>4</v>
      </c>
      <c r="G2462" s="460">
        <v>2</v>
      </c>
      <c r="H2462" s="461" t="s">
        <v>746</v>
      </c>
      <c r="I2462" s="461" t="s">
        <v>762</v>
      </c>
      <c r="J2462" s="461" t="s">
        <v>700</v>
      </c>
      <c r="K2462" s="594"/>
      <c r="L2462" s="594"/>
      <c r="M2462" s="352">
        <v>2000</v>
      </c>
      <c r="N2462" s="352" t="s">
        <v>703</v>
      </c>
      <c r="O2462" s="460">
        <v>2312</v>
      </c>
      <c r="P2462" s="460" t="s">
        <v>789</v>
      </c>
      <c r="Q2462" s="460" t="s">
        <v>3000</v>
      </c>
      <c r="R2462" s="460">
        <v>2312</v>
      </c>
      <c r="S2462" s="460" t="s">
        <v>2305</v>
      </c>
      <c r="T2462" s="462">
        <v>1</v>
      </c>
      <c r="U2462" s="460" t="s">
        <v>2305</v>
      </c>
      <c r="V2462" s="475">
        <v>0</v>
      </c>
      <c r="W2462" s="463" t="s">
        <v>2268</v>
      </c>
      <c r="X2462" s="463" t="s">
        <v>2268</v>
      </c>
      <c r="Y2462" s="463" t="s">
        <v>2554</v>
      </c>
      <c r="Z2462" s="463"/>
      <c r="AA2462" s="463"/>
      <c r="AB2462" s="464">
        <v>0</v>
      </c>
      <c r="AC2462" s="465">
        <v>0</v>
      </c>
      <c r="AD2462" s="465">
        <v>0</v>
      </c>
      <c r="AE2462" s="476">
        <v>0</v>
      </c>
      <c r="AF2462" s="467">
        <v>0</v>
      </c>
      <c r="AG2462" s="468">
        <v>0</v>
      </c>
      <c r="AH2462" s="218">
        <v>0</v>
      </c>
      <c r="AI2462" s="470">
        <v>0</v>
      </c>
      <c r="AJ2462" s="471">
        <v>0</v>
      </c>
      <c r="AK2462" s="218">
        <v>0</v>
      </c>
      <c r="AL2462" s="470">
        <v>0</v>
      </c>
      <c r="AM2462" s="471">
        <v>0</v>
      </c>
      <c r="AN2462" s="477">
        <v>0</v>
      </c>
      <c r="AO2462" s="473">
        <v>0</v>
      </c>
      <c r="AP2462" s="474">
        <v>0</v>
      </c>
      <c r="AQ2462" s="352"/>
      <c r="AR2462" s="352"/>
      <c r="AS2462" s="352"/>
      <c r="AT2462" s="352"/>
      <c r="AU2462" s="352"/>
      <c r="AV2462" s="352"/>
      <c r="AW2462" s="352" t="s">
        <v>254</v>
      </c>
    </row>
    <row r="2463" spans="2:49" x14ac:dyDescent="0.2">
      <c r="B2463" s="460" t="s">
        <v>3085</v>
      </c>
      <c r="C2463" s="460">
        <v>2312</v>
      </c>
      <c r="D2463" s="460" t="s">
        <v>2314</v>
      </c>
      <c r="E2463" s="460" t="s">
        <v>2296</v>
      </c>
      <c r="F2463" s="460">
        <v>1</v>
      </c>
      <c r="G2463" s="460">
        <v>2</v>
      </c>
      <c r="H2463" s="461" t="s">
        <v>748</v>
      </c>
      <c r="I2463" s="461" t="s">
        <v>765</v>
      </c>
      <c r="J2463" s="461" t="s">
        <v>700</v>
      </c>
      <c r="K2463" s="594"/>
      <c r="L2463" s="594"/>
      <c r="M2463" s="352">
        <v>2000</v>
      </c>
      <c r="N2463" s="352" t="s">
        <v>703</v>
      </c>
      <c r="O2463" s="460">
        <v>2312</v>
      </c>
      <c r="P2463" s="460" t="s">
        <v>789</v>
      </c>
      <c r="Q2463" s="460" t="s">
        <v>3000</v>
      </c>
      <c r="R2463" s="460">
        <v>2312</v>
      </c>
      <c r="S2463" s="460" t="s">
        <v>2296</v>
      </c>
      <c r="T2463" s="462">
        <v>1</v>
      </c>
      <c r="U2463" s="460" t="s">
        <v>2296</v>
      </c>
      <c r="V2463" s="475">
        <v>0</v>
      </c>
      <c r="W2463" s="463" t="s">
        <v>2268</v>
      </c>
      <c r="X2463" s="463" t="s">
        <v>2268</v>
      </c>
      <c r="Y2463" s="463" t="s">
        <v>2554</v>
      </c>
      <c r="Z2463" s="463"/>
      <c r="AA2463" s="463"/>
      <c r="AB2463" s="464">
        <v>0</v>
      </c>
      <c r="AC2463" s="465">
        <v>0</v>
      </c>
      <c r="AD2463" s="465">
        <v>0</v>
      </c>
      <c r="AE2463" s="476">
        <v>0</v>
      </c>
      <c r="AF2463" s="467">
        <v>0</v>
      </c>
      <c r="AG2463" s="468">
        <v>0</v>
      </c>
      <c r="AH2463" s="218">
        <v>0</v>
      </c>
      <c r="AI2463" s="470">
        <v>0</v>
      </c>
      <c r="AJ2463" s="471">
        <v>0</v>
      </c>
      <c r="AK2463" s="218">
        <v>0</v>
      </c>
      <c r="AL2463" s="470">
        <v>0</v>
      </c>
      <c r="AM2463" s="471">
        <v>0</v>
      </c>
      <c r="AN2463" s="477">
        <v>0</v>
      </c>
      <c r="AO2463" s="473">
        <v>0</v>
      </c>
      <c r="AP2463" s="474">
        <v>0</v>
      </c>
      <c r="AQ2463" s="352"/>
      <c r="AR2463" s="352"/>
      <c r="AS2463" s="352"/>
      <c r="AT2463" s="352"/>
      <c r="AU2463" s="352"/>
      <c r="AV2463" s="352"/>
      <c r="AW2463" s="352" t="s">
        <v>254</v>
      </c>
    </row>
    <row r="2464" spans="2:49" x14ac:dyDescent="0.2">
      <c r="B2464" s="460" t="s">
        <v>3086</v>
      </c>
      <c r="C2464" s="460">
        <v>2312</v>
      </c>
      <c r="D2464" s="460" t="s">
        <v>2315</v>
      </c>
      <c r="E2464" s="460" t="s">
        <v>2299</v>
      </c>
      <c r="F2464" s="460">
        <v>2</v>
      </c>
      <c r="G2464" s="460">
        <v>2</v>
      </c>
      <c r="H2464" s="461" t="s">
        <v>748</v>
      </c>
      <c r="I2464" s="461" t="s">
        <v>765</v>
      </c>
      <c r="J2464" s="461" t="s">
        <v>700</v>
      </c>
      <c r="K2464" s="594"/>
      <c r="L2464" s="594"/>
      <c r="M2464" s="352">
        <v>2000</v>
      </c>
      <c r="N2464" s="352" t="s">
        <v>703</v>
      </c>
      <c r="O2464" s="460">
        <v>2312</v>
      </c>
      <c r="P2464" s="460" t="s">
        <v>789</v>
      </c>
      <c r="Q2464" s="460" t="s">
        <v>3000</v>
      </c>
      <c r="R2464" s="460">
        <v>2312</v>
      </c>
      <c r="S2464" s="460" t="s">
        <v>2296</v>
      </c>
      <c r="T2464" s="462">
        <v>0.55517361979372948</v>
      </c>
      <c r="U2464" s="460" t="s">
        <v>2299</v>
      </c>
      <c r="V2464" s="475">
        <v>0</v>
      </c>
      <c r="W2464" s="463" t="s">
        <v>2268</v>
      </c>
      <c r="X2464" s="463" t="s">
        <v>2268</v>
      </c>
      <c r="Y2464" s="463" t="s">
        <v>2554</v>
      </c>
      <c r="Z2464" s="463"/>
      <c r="AA2464" s="463"/>
      <c r="AB2464" s="464">
        <v>0</v>
      </c>
      <c r="AC2464" s="465">
        <v>0</v>
      </c>
      <c r="AD2464" s="465">
        <v>0</v>
      </c>
      <c r="AE2464" s="476">
        <v>0</v>
      </c>
      <c r="AF2464" s="467">
        <v>0</v>
      </c>
      <c r="AG2464" s="468">
        <v>0</v>
      </c>
      <c r="AH2464" s="218">
        <v>0</v>
      </c>
      <c r="AI2464" s="470">
        <v>0</v>
      </c>
      <c r="AJ2464" s="471">
        <v>0</v>
      </c>
      <c r="AK2464" s="218">
        <v>0</v>
      </c>
      <c r="AL2464" s="470">
        <v>0</v>
      </c>
      <c r="AM2464" s="471">
        <v>0</v>
      </c>
      <c r="AN2464" s="477">
        <v>0</v>
      </c>
      <c r="AO2464" s="473">
        <v>0</v>
      </c>
      <c r="AP2464" s="474">
        <v>0</v>
      </c>
      <c r="AQ2464" s="352"/>
      <c r="AR2464" s="352"/>
      <c r="AS2464" s="352"/>
      <c r="AT2464" s="352"/>
      <c r="AU2464" s="352"/>
      <c r="AV2464" s="352"/>
      <c r="AW2464" s="352" t="s">
        <v>254</v>
      </c>
    </row>
    <row r="2465" spans="2:49" x14ac:dyDescent="0.2">
      <c r="B2465" s="460" t="s">
        <v>3087</v>
      </c>
      <c r="C2465" s="460">
        <v>2312</v>
      </c>
      <c r="D2465" s="460" t="s">
        <v>2316</v>
      </c>
      <c r="E2465" s="460" t="s">
        <v>2302</v>
      </c>
      <c r="F2465" s="460">
        <v>3</v>
      </c>
      <c r="G2465" s="460">
        <v>2</v>
      </c>
      <c r="H2465" s="461" t="s">
        <v>748</v>
      </c>
      <c r="I2465" s="461" t="s">
        <v>765</v>
      </c>
      <c r="J2465" s="461" t="s">
        <v>700</v>
      </c>
      <c r="K2465" s="594"/>
      <c r="L2465" s="594"/>
      <c r="M2465" s="352">
        <v>2000</v>
      </c>
      <c r="N2465" s="352" t="s">
        <v>703</v>
      </c>
      <c r="O2465" s="460">
        <v>2312</v>
      </c>
      <c r="P2465" s="460" t="s">
        <v>789</v>
      </c>
      <c r="Q2465" s="460" t="s">
        <v>3000</v>
      </c>
      <c r="R2465" s="460">
        <v>2312</v>
      </c>
      <c r="S2465" s="460" t="s">
        <v>2296</v>
      </c>
      <c r="T2465" s="462">
        <v>0.28481449642268464</v>
      </c>
      <c r="U2465" s="460" t="s">
        <v>2302</v>
      </c>
      <c r="V2465" s="475">
        <v>0</v>
      </c>
      <c r="W2465" s="463" t="s">
        <v>2268</v>
      </c>
      <c r="X2465" s="463" t="s">
        <v>2268</v>
      </c>
      <c r="Y2465" s="463" t="s">
        <v>2554</v>
      </c>
      <c r="Z2465" s="463"/>
      <c r="AA2465" s="463"/>
      <c r="AB2465" s="464">
        <v>0</v>
      </c>
      <c r="AC2465" s="465">
        <v>0</v>
      </c>
      <c r="AD2465" s="465">
        <v>0</v>
      </c>
      <c r="AE2465" s="476">
        <v>0</v>
      </c>
      <c r="AF2465" s="467">
        <v>0</v>
      </c>
      <c r="AG2465" s="468">
        <v>0</v>
      </c>
      <c r="AH2465" s="218">
        <v>0</v>
      </c>
      <c r="AI2465" s="470">
        <v>0</v>
      </c>
      <c r="AJ2465" s="471">
        <v>0</v>
      </c>
      <c r="AK2465" s="218">
        <v>0</v>
      </c>
      <c r="AL2465" s="470">
        <v>0</v>
      </c>
      <c r="AM2465" s="471">
        <v>0</v>
      </c>
      <c r="AN2465" s="477">
        <v>0</v>
      </c>
      <c r="AO2465" s="473">
        <v>0</v>
      </c>
      <c r="AP2465" s="474">
        <v>0</v>
      </c>
      <c r="AQ2465" s="352"/>
      <c r="AR2465" s="352"/>
      <c r="AS2465" s="352"/>
      <c r="AT2465" s="352"/>
      <c r="AU2465" s="352"/>
      <c r="AV2465" s="352"/>
      <c r="AW2465" s="352" t="s">
        <v>254</v>
      </c>
    </row>
    <row r="2466" spans="2:49" x14ac:dyDescent="0.2">
      <c r="B2466" s="460" t="s">
        <v>3088</v>
      </c>
      <c r="C2466" s="460">
        <v>2312</v>
      </c>
      <c r="D2466" s="460" t="s">
        <v>2317</v>
      </c>
      <c r="E2466" s="460" t="s">
        <v>2305</v>
      </c>
      <c r="F2466" s="460">
        <v>4</v>
      </c>
      <c r="G2466" s="460">
        <v>2</v>
      </c>
      <c r="H2466" s="461" t="s">
        <v>748</v>
      </c>
      <c r="I2466" s="461" t="s">
        <v>765</v>
      </c>
      <c r="J2466" s="461" t="s">
        <v>700</v>
      </c>
      <c r="K2466" s="594"/>
      <c r="L2466" s="594"/>
      <c r="M2466" s="352">
        <v>2000</v>
      </c>
      <c r="N2466" s="352" t="s">
        <v>703</v>
      </c>
      <c r="O2466" s="460">
        <v>2312</v>
      </c>
      <c r="P2466" s="460" t="s">
        <v>789</v>
      </c>
      <c r="Q2466" s="460" t="s">
        <v>3000</v>
      </c>
      <c r="R2466" s="460">
        <v>2312</v>
      </c>
      <c r="S2466" s="460" t="s">
        <v>2305</v>
      </c>
      <c r="T2466" s="462">
        <v>1</v>
      </c>
      <c r="U2466" s="460" t="s">
        <v>2305</v>
      </c>
      <c r="V2466" s="475">
        <v>0</v>
      </c>
      <c r="W2466" s="463" t="s">
        <v>2268</v>
      </c>
      <c r="X2466" s="463" t="s">
        <v>2268</v>
      </c>
      <c r="Y2466" s="463" t="s">
        <v>2554</v>
      </c>
      <c r="Z2466" s="463"/>
      <c r="AA2466" s="463"/>
      <c r="AB2466" s="464">
        <v>0</v>
      </c>
      <c r="AC2466" s="465">
        <v>0</v>
      </c>
      <c r="AD2466" s="465">
        <v>0</v>
      </c>
      <c r="AE2466" s="476">
        <v>0</v>
      </c>
      <c r="AF2466" s="467">
        <v>0</v>
      </c>
      <c r="AG2466" s="468">
        <v>0</v>
      </c>
      <c r="AH2466" s="218">
        <v>0</v>
      </c>
      <c r="AI2466" s="470">
        <v>0</v>
      </c>
      <c r="AJ2466" s="471">
        <v>0</v>
      </c>
      <c r="AK2466" s="218">
        <v>0</v>
      </c>
      <c r="AL2466" s="470">
        <v>0</v>
      </c>
      <c r="AM2466" s="471">
        <v>0</v>
      </c>
      <c r="AN2466" s="477">
        <v>0</v>
      </c>
      <c r="AO2466" s="473">
        <v>0</v>
      </c>
      <c r="AP2466" s="474">
        <v>0</v>
      </c>
      <c r="AQ2466" s="352"/>
      <c r="AR2466" s="352"/>
      <c r="AS2466" s="352"/>
      <c r="AT2466" s="352"/>
      <c r="AU2466" s="352"/>
      <c r="AV2466" s="352"/>
      <c r="AW2466" s="352" t="s">
        <v>254</v>
      </c>
    </row>
    <row r="2467" spans="2:49" x14ac:dyDescent="0.2">
      <c r="B2467" s="460" t="s">
        <v>3089</v>
      </c>
      <c r="C2467" s="460">
        <v>2312</v>
      </c>
      <c r="D2467" s="460" t="s">
        <v>2323</v>
      </c>
      <c r="E2467" s="460" t="s">
        <v>2324</v>
      </c>
      <c r="F2467" s="460">
        <v>1</v>
      </c>
      <c r="G2467" s="460">
        <v>3</v>
      </c>
      <c r="H2467" s="461" t="s">
        <v>700</v>
      </c>
      <c r="I2467" s="461" t="s">
        <v>872</v>
      </c>
      <c r="J2467" s="461" t="s">
        <v>700</v>
      </c>
      <c r="K2467" s="594"/>
      <c r="L2467" s="594"/>
      <c r="M2467" s="352">
        <v>2000</v>
      </c>
      <c r="N2467" s="352" t="s">
        <v>703</v>
      </c>
      <c r="O2467" s="460">
        <v>2312</v>
      </c>
      <c r="P2467" s="460" t="s">
        <v>789</v>
      </c>
      <c r="Q2467" s="460" t="s">
        <v>3000</v>
      </c>
      <c r="R2467" s="460">
        <v>2312</v>
      </c>
      <c r="S2467" s="460" t="s">
        <v>2324</v>
      </c>
      <c r="T2467" s="462">
        <v>1</v>
      </c>
      <c r="U2467" s="460" t="s">
        <v>2324</v>
      </c>
      <c r="V2467" s="475">
        <v>0</v>
      </c>
      <c r="W2467" s="463" t="s">
        <v>2554</v>
      </c>
      <c r="X2467" s="463" t="s">
        <v>2554</v>
      </c>
      <c r="Y2467" s="463" t="s">
        <v>2268</v>
      </c>
      <c r="Z2467" s="463"/>
      <c r="AA2467" s="463"/>
      <c r="AB2467" s="464">
        <v>0</v>
      </c>
      <c r="AC2467" s="465">
        <v>0</v>
      </c>
      <c r="AD2467" s="465">
        <v>0</v>
      </c>
      <c r="AE2467" s="476">
        <v>0</v>
      </c>
      <c r="AF2467" s="467">
        <v>0</v>
      </c>
      <c r="AG2467" s="468">
        <v>0</v>
      </c>
      <c r="AH2467" s="218">
        <v>0</v>
      </c>
      <c r="AI2467" s="470">
        <v>0</v>
      </c>
      <c r="AJ2467" s="471">
        <v>0</v>
      </c>
      <c r="AK2467" s="218">
        <v>0</v>
      </c>
      <c r="AL2467" s="470">
        <v>0</v>
      </c>
      <c r="AM2467" s="471">
        <v>0</v>
      </c>
      <c r="AN2467" s="477">
        <v>0</v>
      </c>
      <c r="AO2467" s="473">
        <v>0</v>
      </c>
      <c r="AP2467" s="474">
        <v>0</v>
      </c>
      <c r="AQ2467" s="352"/>
      <c r="AR2467" s="352"/>
      <c r="AS2467" s="352"/>
      <c r="AT2467" s="352"/>
      <c r="AU2467" s="352"/>
      <c r="AV2467" s="352"/>
      <c r="AW2467" s="352" t="s">
        <v>254</v>
      </c>
    </row>
    <row r="2468" spans="2:49" x14ac:dyDescent="0.2">
      <c r="B2468" s="460" t="s">
        <v>3090</v>
      </c>
      <c r="C2468" s="460">
        <v>2312</v>
      </c>
      <c r="D2468" s="460" t="s">
        <v>2326</v>
      </c>
      <c r="E2468" s="460" t="s">
        <v>2327</v>
      </c>
      <c r="F2468" s="460">
        <v>2</v>
      </c>
      <c r="G2468" s="460">
        <v>3</v>
      </c>
      <c r="H2468" s="461" t="s">
        <v>700</v>
      </c>
      <c r="I2468" s="461" t="s">
        <v>872</v>
      </c>
      <c r="J2468" s="461" t="s">
        <v>700</v>
      </c>
      <c r="K2468" s="594"/>
      <c r="L2468" s="594"/>
      <c r="M2468" s="352">
        <v>2000</v>
      </c>
      <c r="N2468" s="352" t="s">
        <v>703</v>
      </c>
      <c r="O2468" s="460">
        <v>2312</v>
      </c>
      <c r="P2468" s="460" t="s">
        <v>789</v>
      </c>
      <c r="Q2468" s="460" t="s">
        <v>3000</v>
      </c>
      <c r="R2468" s="460">
        <v>2312</v>
      </c>
      <c r="S2468" s="460" t="s">
        <v>2324</v>
      </c>
      <c r="T2468" s="462">
        <v>1</v>
      </c>
      <c r="U2468" s="460" t="s">
        <v>2327</v>
      </c>
      <c r="V2468" s="475">
        <v>0</v>
      </c>
      <c r="W2468" s="463" t="s">
        <v>2554</v>
      </c>
      <c r="X2468" s="463" t="s">
        <v>2554</v>
      </c>
      <c r="Y2468" s="463" t="s">
        <v>2268</v>
      </c>
      <c r="Z2468" s="463"/>
      <c r="AA2468" s="463"/>
      <c r="AB2468" s="464">
        <v>0</v>
      </c>
      <c r="AC2468" s="465">
        <v>0</v>
      </c>
      <c r="AD2468" s="465">
        <v>0</v>
      </c>
      <c r="AE2468" s="476">
        <v>0</v>
      </c>
      <c r="AF2468" s="467">
        <v>0</v>
      </c>
      <c r="AG2468" s="468">
        <v>0</v>
      </c>
      <c r="AH2468" s="218">
        <v>0</v>
      </c>
      <c r="AI2468" s="470">
        <v>0</v>
      </c>
      <c r="AJ2468" s="471">
        <v>0</v>
      </c>
      <c r="AK2468" s="218">
        <v>0</v>
      </c>
      <c r="AL2468" s="470">
        <v>0</v>
      </c>
      <c r="AM2468" s="471">
        <v>0</v>
      </c>
      <c r="AN2468" s="477">
        <v>0</v>
      </c>
      <c r="AO2468" s="473">
        <v>0</v>
      </c>
      <c r="AP2468" s="474">
        <v>0</v>
      </c>
      <c r="AQ2468" s="352"/>
      <c r="AR2468" s="352"/>
      <c r="AS2468" s="352"/>
      <c r="AT2468" s="352"/>
      <c r="AU2468" s="352"/>
      <c r="AV2468" s="352"/>
      <c r="AW2468" s="352" t="s">
        <v>254</v>
      </c>
    </row>
    <row r="2469" spans="2:49" x14ac:dyDescent="0.2">
      <c r="B2469" s="460" t="s">
        <v>3091</v>
      </c>
      <c r="C2469" s="460">
        <v>2312</v>
      </c>
      <c r="D2469" s="460" t="s">
        <v>2329</v>
      </c>
      <c r="E2469" s="460" t="s">
        <v>2330</v>
      </c>
      <c r="F2469" s="460">
        <v>3</v>
      </c>
      <c r="G2469" s="460">
        <v>3</v>
      </c>
      <c r="H2469" s="461" t="s">
        <v>700</v>
      </c>
      <c r="I2469" s="461" t="s">
        <v>872</v>
      </c>
      <c r="J2469" s="461" t="s">
        <v>700</v>
      </c>
      <c r="K2469" s="594"/>
      <c r="L2469" s="594"/>
      <c r="M2469" s="352">
        <v>2000</v>
      </c>
      <c r="N2469" s="352" t="s">
        <v>703</v>
      </c>
      <c r="O2469" s="460">
        <v>2312</v>
      </c>
      <c r="P2469" s="460" t="s">
        <v>789</v>
      </c>
      <c r="Q2469" s="460" t="s">
        <v>3000</v>
      </c>
      <c r="R2469" s="460">
        <v>2312</v>
      </c>
      <c r="S2469" s="460" t="s">
        <v>2324</v>
      </c>
      <c r="T2469" s="462">
        <v>1</v>
      </c>
      <c r="U2469" s="460" t="s">
        <v>2330</v>
      </c>
      <c r="V2469" s="475">
        <v>0</v>
      </c>
      <c r="W2469" s="463" t="s">
        <v>2554</v>
      </c>
      <c r="X2469" s="463" t="s">
        <v>2554</v>
      </c>
      <c r="Y2469" s="463" t="s">
        <v>2268</v>
      </c>
      <c r="Z2469" s="463"/>
      <c r="AA2469" s="463"/>
      <c r="AB2469" s="464">
        <v>0</v>
      </c>
      <c r="AC2469" s="465">
        <v>0</v>
      </c>
      <c r="AD2469" s="465">
        <v>0</v>
      </c>
      <c r="AE2469" s="476">
        <v>0</v>
      </c>
      <c r="AF2469" s="467">
        <v>0</v>
      </c>
      <c r="AG2469" s="468">
        <v>0</v>
      </c>
      <c r="AH2469" s="218">
        <v>0</v>
      </c>
      <c r="AI2469" s="470">
        <v>0</v>
      </c>
      <c r="AJ2469" s="471">
        <v>0</v>
      </c>
      <c r="AK2469" s="218">
        <v>0</v>
      </c>
      <c r="AL2469" s="470">
        <v>0</v>
      </c>
      <c r="AM2469" s="471">
        <v>0</v>
      </c>
      <c r="AN2469" s="477">
        <v>0</v>
      </c>
      <c r="AO2469" s="473">
        <v>0</v>
      </c>
      <c r="AP2469" s="474">
        <v>0</v>
      </c>
      <c r="AQ2469" s="352"/>
      <c r="AR2469" s="352"/>
      <c r="AS2469" s="352"/>
      <c r="AT2469" s="352"/>
      <c r="AU2469" s="352"/>
      <c r="AV2469" s="352"/>
      <c r="AW2469" s="352" t="s">
        <v>254</v>
      </c>
    </row>
    <row r="2470" spans="2:49" x14ac:dyDescent="0.2">
      <c r="B2470" s="460" t="s">
        <v>3092</v>
      </c>
      <c r="C2470" s="460">
        <v>2312</v>
      </c>
      <c r="D2470" s="460" t="s">
        <v>2332</v>
      </c>
      <c r="E2470" s="460" t="s">
        <v>2333</v>
      </c>
      <c r="F2470" s="460">
        <v>4</v>
      </c>
      <c r="G2470" s="460">
        <v>3</v>
      </c>
      <c r="H2470" s="461" t="s">
        <v>700</v>
      </c>
      <c r="I2470" s="461" t="s">
        <v>872</v>
      </c>
      <c r="J2470" s="461" t="s">
        <v>700</v>
      </c>
      <c r="K2470" s="594"/>
      <c r="L2470" s="594"/>
      <c r="M2470" s="352">
        <v>2000</v>
      </c>
      <c r="N2470" s="352" t="s">
        <v>703</v>
      </c>
      <c r="O2470" s="460">
        <v>2312</v>
      </c>
      <c r="P2470" s="460" t="s">
        <v>789</v>
      </c>
      <c r="Q2470" s="460" t="s">
        <v>3000</v>
      </c>
      <c r="R2470" s="460">
        <v>2312</v>
      </c>
      <c r="S2470" s="460" t="s">
        <v>2333</v>
      </c>
      <c r="T2470" s="462">
        <v>1</v>
      </c>
      <c r="U2470" s="460" t="s">
        <v>2333</v>
      </c>
      <c r="V2470" s="475">
        <v>0</v>
      </c>
      <c r="W2470" s="463" t="s">
        <v>2554</v>
      </c>
      <c r="X2470" s="463" t="s">
        <v>2554</v>
      </c>
      <c r="Y2470" s="463" t="s">
        <v>2268</v>
      </c>
      <c r="Z2470" s="463"/>
      <c r="AA2470" s="463"/>
      <c r="AB2470" s="464">
        <v>0</v>
      </c>
      <c r="AC2470" s="465">
        <v>0</v>
      </c>
      <c r="AD2470" s="465">
        <v>0</v>
      </c>
      <c r="AE2470" s="476">
        <v>0</v>
      </c>
      <c r="AF2470" s="467">
        <v>0</v>
      </c>
      <c r="AG2470" s="468">
        <v>0</v>
      </c>
      <c r="AH2470" s="218">
        <v>0</v>
      </c>
      <c r="AI2470" s="470">
        <v>0</v>
      </c>
      <c r="AJ2470" s="471">
        <v>0</v>
      </c>
      <c r="AK2470" s="218">
        <v>0</v>
      </c>
      <c r="AL2470" s="470">
        <v>0</v>
      </c>
      <c r="AM2470" s="471">
        <v>0</v>
      </c>
      <c r="AN2470" s="477">
        <v>0</v>
      </c>
      <c r="AO2470" s="473">
        <v>0</v>
      </c>
      <c r="AP2470" s="474">
        <v>0</v>
      </c>
      <c r="AQ2470" s="352"/>
      <c r="AR2470" s="352"/>
      <c r="AS2470" s="352"/>
      <c r="AT2470" s="352"/>
      <c r="AU2470" s="352"/>
      <c r="AV2470" s="352"/>
      <c r="AW2470" s="352" t="s">
        <v>254</v>
      </c>
    </row>
    <row r="2471" spans="2:49" x14ac:dyDescent="0.2">
      <c r="B2471" s="460" t="s">
        <v>3089</v>
      </c>
      <c r="C2471" s="460">
        <v>2312</v>
      </c>
      <c r="D2471" s="460" t="s">
        <v>2334</v>
      </c>
      <c r="E2471" s="460" t="s">
        <v>2324</v>
      </c>
      <c r="F2471" s="460">
        <v>1</v>
      </c>
      <c r="G2471" s="460">
        <v>3</v>
      </c>
      <c r="H2471" s="461" t="s">
        <v>712</v>
      </c>
      <c r="I2471" s="461" t="s">
        <v>713</v>
      </c>
      <c r="J2471" s="461" t="s">
        <v>712</v>
      </c>
      <c r="K2471" s="594"/>
      <c r="L2471" s="594"/>
      <c r="M2471" s="352">
        <v>2000</v>
      </c>
      <c r="N2471" s="352" t="s">
        <v>703</v>
      </c>
      <c r="O2471" s="460">
        <v>2312</v>
      </c>
      <c r="P2471" s="460" t="s">
        <v>789</v>
      </c>
      <c r="Q2471" s="460" t="s">
        <v>2280</v>
      </c>
      <c r="R2471" s="460">
        <v>2312</v>
      </c>
      <c r="S2471" s="460" t="s">
        <v>2324</v>
      </c>
      <c r="T2471" s="462">
        <v>1</v>
      </c>
      <c r="U2471" s="460" t="s">
        <v>2324</v>
      </c>
      <c r="V2471" s="475">
        <v>0</v>
      </c>
      <c r="W2471" s="463" t="s">
        <v>713</v>
      </c>
      <c r="X2471" s="463" t="s">
        <v>713</v>
      </c>
      <c r="Y2471" s="463" t="s">
        <v>713</v>
      </c>
      <c r="Z2471" s="463"/>
      <c r="AA2471" s="463"/>
      <c r="AB2471" s="464">
        <v>412.53906743211428</v>
      </c>
      <c r="AC2471" s="465">
        <v>1</v>
      </c>
      <c r="AD2471" s="465">
        <v>1.0300671855942372E-3</v>
      </c>
      <c r="AE2471" s="476">
        <v>412.53906743211428</v>
      </c>
      <c r="AF2471" s="467">
        <v>1</v>
      </c>
      <c r="AG2471" s="468">
        <v>1.0105048406828501E-3</v>
      </c>
      <c r="AH2471" s="218">
        <v>412.53906743211428</v>
      </c>
      <c r="AI2471" s="470">
        <v>1</v>
      </c>
      <c r="AJ2471" s="471">
        <v>1.0233870077614674E-3</v>
      </c>
      <c r="AK2471" s="218">
        <v>412.53906743211428</v>
      </c>
      <c r="AL2471" s="470">
        <v>1</v>
      </c>
      <c r="AM2471" s="471">
        <v>1.0233870077614674E-3</v>
      </c>
      <c r="AN2471" s="477">
        <v>412.53906743211428</v>
      </c>
      <c r="AO2471" s="473">
        <v>1</v>
      </c>
      <c r="AP2471" s="474">
        <v>1.0228889736069091E-3</v>
      </c>
      <c r="AQ2471" s="352"/>
      <c r="AR2471" s="352"/>
      <c r="AS2471" s="352"/>
      <c r="AT2471" s="352"/>
      <c r="AU2471" s="352"/>
      <c r="AV2471" s="352"/>
      <c r="AW2471" s="352" t="s">
        <v>254</v>
      </c>
    </row>
    <row r="2472" spans="2:49" x14ac:dyDescent="0.2">
      <c r="B2472" s="460" t="s">
        <v>3090</v>
      </c>
      <c r="C2472" s="460">
        <v>2312</v>
      </c>
      <c r="D2472" s="460" t="s">
        <v>2335</v>
      </c>
      <c r="E2472" s="460" t="s">
        <v>2327</v>
      </c>
      <c r="F2472" s="460">
        <v>2</v>
      </c>
      <c r="G2472" s="460">
        <v>3</v>
      </c>
      <c r="H2472" s="461" t="s">
        <v>712</v>
      </c>
      <c r="I2472" s="461" t="s">
        <v>713</v>
      </c>
      <c r="J2472" s="461" t="s">
        <v>712</v>
      </c>
      <c r="K2472" s="594"/>
      <c r="L2472" s="594"/>
      <c r="M2472" s="352">
        <v>2000</v>
      </c>
      <c r="N2472" s="352" t="s">
        <v>703</v>
      </c>
      <c r="O2472" s="460">
        <v>2312</v>
      </c>
      <c r="P2472" s="460" t="s">
        <v>789</v>
      </c>
      <c r="Q2472" s="460" t="s">
        <v>2280</v>
      </c>
      <c r="R2472" s="460">
        <v>2312</v>
      </c>
      <c r="S2472" s="460" t="s">
        <v>2324</v>
      </c>
      <c r="T2472" s="462">
        <v>1</v>
      </c>
      <c r="U2472" s="460" t="s">
        <v>2327</v>
      </c>
      <c r="V2472" s="475">
        <v>0</v>
      </c>
      <c r="W2472" s="463" t="s">
        <v>713</v>
      </c>
      <c r="X2472" s="463" t="s">
        <v>713</v>
      </c>
      <c r="Y2472" s="463" t="s">
        <v>713</v>
      </c>
      <c r="Z2472" s="463"/>
      <c r="AA2472" s="463"/>
      <c r="AB2472" s="464">
        <v>246.34044340647401</v>
      </c>
      <c r="AC2472" s="465">
        <v>1</v>
      </c>
      <c r="AD2472" s="465">
        <v>7.8892953299622469E-4</v>
      </c>
      <c r="AE2472" s="476">
        <v>246.34044340647401</v>
      </c>
      <c r="AF2472" s="467">
        <v>1</v>
      </c>
      <c r="AG2472" s="468">
        <v>7.7601782592135187E-4</v>
      </c>
      <c r="AH2472" s="218">
        <v>246.34044340647401</v>
      </c>
      <c r="AI2472" s="470">
        <v>1</v>
      </c>
      <c r="AJ2472" s="471">
        <v>8.0703077257343451E-4</v>
      </c>
      <c r="AK2472" s="218">
        <v>246.34044340647401</v>
      </c>
      <c r="AL2472" s="470">
        <v>1</v>
      </c>
      <c r="AM2472" s="471">
        <v>8.0703077257343451E-4</v>
      </c>
      <c r="AN2472" s="477">
        <v>246.34044340647401</v>
      </c>
      <c r="AO2472" s="473">
        <v>1</v>
      </c>
      <c r="AP2472" s="474">
        <v>8.0671436499777998E-4</v>
      </c>
      <c r="AQ2472" s="352"/>
      <c r="AR2472" s="352"/>
      <c r="AS2472" s="352"/>
      <c r="AT2472" s="352"/>
      <c r="AU2472" s="352"/>
      <c r="AV2472" s="352"/>
      <c r="AW2472" s="352" t="s">
        <v>254</v>
      </c>
    </row>
    <row r="2473" spans="2:49" x14ac:dyDescent="0.2">
      <c r="B2473" s="460" t="s">
        <v>3091</v>
      </c>
      <c r="C2473" s="460">
        <v>2312</v>
      </c>
      <c r="D2473" s="460" t="s">
        <v>2336</v>
      </c>
      <c r="E2473" s="460" t="s">
        <v>2330</v>
      </c>
      <c r="F2473" s="460">
        <v>3</v>
      </c>
      <c r="G2473" s="460">
        <v>3</v>
      </c>
      <c r="H2473" s="461" t="s">
        <v>712</v>
      </c>
      <c r="I2473" s="461" t="s">
        <v>713</v>
      </c>
      <c r="J2473" s="461" t="s">
        <v>712</v>
      </c>
      <c r="K2473" s="594"/>
      <c r="L2473" s="594"/>
      <c r="M2473" s="352">
        <v>2000</v>
      </c>
      <c r="N2473" s="352" t="s">
        <v>703</v>
      </c>
      <c r="O2473" s="460">
        <v>2312</v>
      </c>
      <c r="P2473" s="460" t="s">
        <v>789</v>
      </c>
      <c r="Q2473" s="460" t="s">
        <v>2280</v>
      </c>
      <c r="R2473" s="460">
        <v>2312</v>
      </c>
      <c r="S2473" s="460" t="s">
        <v>2324</v>
      </c>
      <c r="T2473" s="462">
        <v>1</v>
      </c>
      <c r="U2473" s="460" t="s">
        <v>2330</v>
      </c>
      <c r="V2473" s="475">
        <v>0</v>
      </c>
      <c r="W2473" s="463" t="s">
        <v>713</v>
      </c>
      <c r="X2473" s="463" t="s">
        <v>713</v>
      </c>
      <c r="Y2473" s="463" t="s">
        <v>713</v>
      </c>
      <c r="Z2473" s="463"/>
      <c r="AA2473" s="463"/>
      <c r="AB2473" s="464">
        <v>70.024604926225933</v>
      </c>
      <c r="AC2473" s="465">
        <v>1</v>
      </c>
      <c r="AD2473" s="465">
        <v>6.2001627244314306E-4</v>
      </c>
      <c r="AE2473" s="476">
        <v>70.024604926225933</v>
      </c>
      <c r="AF2473" s="467">
        <v>1</v>
      </c>
      <c r="AG2473" s="468">
        <v>6.1043231539805289E-4</v>
      </c>
      <c r="AH2473" s="218">
        <v>70.024604926225933</v>
      </c>
      <c r="AI2473" s="470">
        <v>1</v>
      </c>
      <c r="AJ2473" s="471">
        <v>6.3373940969842463E-4</v>
      </c>
      <c r="AK2473" s="218">
        <v>70.024604926225933</v>
      </c>
      <c r="AL2473" s="470">
        <v>1</v>
      </c>
      <c r="AM2473" s="471">
        <v>6.3373940969842463E-4</v>
      </c>
      <c r="AN2473" s="477">
        <v>70.024604926225933</v>
      </c>
      <c r="AO2473" s="473">
        <v>1</v>
      </c>
      <c r="AP2473" s="474">
        <v>6.3537516110550533E-4</v>
      </c>
      <c r="AQ2473" s="352"/>
      <c r="AR2473" s="352"/>
      <c r="AS2473" s="352"/>
      <c r="AT2473" s="352"/>
      <c r="AU2473" s="352"/>
      <c r="AV2473" s="352"/>
      <c r="AW2473" s="352" t="s">
        <v>254</v>
      </c>
    </row>
    <row r="2474" spans="2:49" x14ac:dyDescent="0.2">
      <c r="B2474" s="460" t="s">
        <v>3092</v>
      </c>
      <c r="C2474" s="460">
        <v>2312</v>
      </c>
      <c r="D2474" s="460" t="s">
        <v>2337</v>
      </c>
      <c r="E2474" s="460" t="s">
        <v>2333</v>
      </c>
      <c r="F2474" s="460">
        <v>4</v>
      </c>
      <c r="G2474" s="460">
        <v>3</v>
      </c>
      <c r="H2474" s="461" t="s">
        <v>712</v>
      </c>
      <c r="I2474" s="461" t="s">
        <v>713</v>
      </c>
      <c r="J2474" s="461" t="s">
        <v>712</v>
      </c>
      <c r="K2474" s="594"/>
      <c r="L2474" s="594"/>
      <c r="M2474" s="352">
        <v>2000</v>
      </c>
      <c r="N2474" s="352" t="s">
        <v>703</v>
      </c>
      <c r="O2474" s="460">
        <v>2312</v>
      </c>
      <c r="P2474" s="460" t="s">
        <v>789</v>
      </c>
      <c r="Q2474" s="460" t="s">
        <v>2280</v>
      </c>
      <c r="R2474" s="460">
        <v>2312</v>
      </c>
      <c r="S2474" s="460" t="s">
        <v>2333</v>
      </c>
      <c r="T2474" s="462">
        <v>1</v>
      </c>
      <c r="U2474" s="460" t="s">
        <v>2333</v>
      </c>
      <c r="V2474" s="475">
        <v>0</v>
      </c>
      <c r="W2474" s="463" t="s">
        <v>713</v>
      </c>
      <c r="X2474" s="463" t="s">
        <v>713</v>
      </c>
      <c r="Y2474" s="463" t="s">
        <v>713</v>
      </c>
      <c r="Z2474" s="463"/>
      <c r="AA2474" s="463"/>
      <c r="AB2474" s="464">
        <v>80.355237368293203</v>
      </c>
      <c r="AC2474" s="465">
        <v>1</v>
      </c>
      <c r="AD2474" s="465">
        <v>6.1089833228189744E-4</v>
      </c>
      <c r="AE2474" s="476">
        <v>80.355237368293203</v>
      </c>
      <c r="AF2474" s="467">
        <v>1</v>
      </c>
      <c r="AG2474" s="468">
        <v>6.0464011494003474E-4</v>
      </c>
      <c r="AH2474" s="218">
        <v>80.355237368293203</v>
      </c>
      <c r="AI2474" s="470">
        <v>1</v>
      </c>
      <c r="AJ2474" s="471">
        <v>6.0656645764687244E-4</v>
      </c>
      <c r="AK2474" s="218">
        <v>80.355237368293203</v>
      </c>
      <c r="AL2474" s="470">
        <v>1</v>
      </c>
      <c r="AM2474" s="471">
        <v>6.0656645764687244E-4</v>
      </c>
      <c r="AN2474" s="477">
        <v>80.355237368293203</v>
      </c>
      <c r="AO2474" s="473">
        <v>1</v>
      </c>
      <c r="AP2474" s="474">
        <v>6.0675921459723756E-4</v>
      </c>
      <c r="AQ2474" s="352"/>
      <c r="AR2474" s="352"/>
      <c r="AS2474" s="352"/>
      <c r="AT2474" s="352"/>
      <c r="AU2474" s="352"/>
      <c r="AV2474" s="352"/>
      <c r="AW2474" s="352" t="s">
        <v>254</v>
      </c>
    </row>
    <row r="2475" spans="2:49" x14ac:dyDescent="0.2">
      <c r="B2475" s="460" t="s">
        <v>3089</v>
      </c>
      <c r="C2475" s="460">
        <v>2312</v>
      </c>
      <c r="D2475" s="460" t="s">
        <v>2338</v>
      </c>
      <c r="E2475" s="460" t="s">
        <v>2324</v>
      </c>
      <c r="F2475" s="460">
        <v>1</v>
      </c>
      <c r="G2475" s="460">
        <v>3</v>
      </c>
      <c r="H2475" s="461" t="s">
        <v>746</v>
      </c>
      <c r="I2475" s="461" t="s">
        <v>762</v>
      </c>
      <c r="J2475" s="461" t="s">
        <v>700</v>
      </c>
      <c r="K2475" s="594"/>
      <c r="L2475" s="594"/>
      <c r="M2475" s="352">
        <v>2000</v>
      </c>
      <c r="N2475" s="352" t="s">
        <v>703</v>
      </c>
      <c r="O2475" s="460">
        <v>2312</v>
      </c>
      <c r="P2475" s="460" t="s">
        <v>789</v>
      </c>
      <c r="Q2475" s="460" t="s">
        <v>3000</v>
      </c>
      <c r="R2475" s="460">
        <v>2312</v>
      </c>
      <c r="S2475" s="460" t="s">
        <v>2324</v>
      </c>
      <c r="T2475" s="462">
        <v>1</v>
      </c>
      <c r="U2475" s="460" t="s">
        <v>2324</v>
      </c>
      <c r="V2475" s="475">
        <v>0</v>
      </c>
      <c r="W2475" s="463" t="s">
        <v>2268</v>
      </c>
      <c r="X2475" s="463" t="s">
        <v>2268</v>
      </c>
      <c r="Y2475" s="463" t="s">
        <v>2554</v>
      </c>
      <c r="Z2475" s="463"/>
      <c r="AA2475" s="463"/>
      <c r="AB2475" s="464">
        <v>0</v>
      </c>
      <c r="AC2475" s="465">
        <v>0</v>
      </c>
      <c r="AD2475" s="465">
        <v>0</v>
      </c>
      <c r="AE2475" s="476">
        <v>0</v>
      </c>
      <c r="AF2475" s="467">
        <v>0</v>
      </c>
      <c r="AG2475" s="468">
        <v>0</v>
      </c>
      <c r="AH2475" s="218">
        <v>0</v>
      </c>
      <c r="AI2475" s="470">
        <v>0</v>
      </c>
      <c r="AJ2475" s="471">
        <v>0</v>
      </c>
      <c r="AK2475" s="218">
        <v>0</v>
      </c>
      <c r="AL2475" s="470">
        <v>0</v>
      </c>
      <c r="AM2475" s="471">
        <v>0</v>
      </c>
      <c r="AN2475" s="477">
        <v>0</v>
      </c>
      <c r="AO2475" s="473">
        <v>0</v>
      </c>
      <c r="AP2475" s="474">
        <v>0</v>
      </c>
      <c r="AQ2475" s="352"/>
      <c r="AR2475" s="352"/>
      <c r="AS2475" s="352"/>
      <c r="AT2475" s="352"/>
      <c r="AU2475" s="352"/>
      <c r="AV2475" s="352"/>
      <c r="AW2475" s="352" t="s">
        <v>254</v>
      </c>
    </row>
    <row r="2476" spans="2:49" x14ac:dyDescent="0.2">
      <c r="B2476" s="460" t="s">
        <v>3090</v>
      </c>
      <c r="C2476" s="460">
        <v>2312</v>
      </c>
      <c r="D2476" s="460" t="s">
        <v>2339</v>
      </c>
      <c r="E2476" s="460" t="s">
        <v>2327</v>
      </c>
      <c r="F2476" s="460">
        <v>2</v>
      </c>
      <c r="G2476" s="460">
        <v>3</v>
      </c>
      <c r="H2476" s="461" t="s">
        <v>746</v>
      </c>
      <c r="I2476" s="461" t="s">
        <v>762</v>
      </c>
      <c r="J2476" s="461" t="s">
        <v>700</v>
      </c>
      <c r="K2476" s="594"/>
      <c r="L2476" s="594"/>
      <c r="M2476" s="352">
        <v>2000</v>
      </c>
      <c r="N2476" s="352" t="s">
        <v>703</v>
      </c>
      <c r="O2476" s="460">
        <v>2312</v>
      </c>
      <c r="P2476" s="460" t="s">
        <v>789</v>
      </c>
      <c r="Q2476" s="460" t="s">
        <v>3000</v>
      </c>
      <c r="R2476" s="460">
        <v>2312</v>
      </c>
      <c r="S2476" s="460" t="s">
        <v>2324</v>
      </c>
      <c r="T2476" s="462">
        <v>1</v>
      </c>
      <c r="U2476" s="460" t="s">
        <v>2327</v>
      </c>
      <c r="V2476" s="475">
        <v>0</v>
      </c>
      <c r="W2476" s="463" t="s">
        <v>2268</v>
      </c>
      <c r="X2476" s="463" t="s">
        <v>2268</v>
      </c>
      <c r="Y2476" s="463" t="s">
        <v>2554</v>
      </c>
      <c r="Z2476" s="463"/>
      <c r="AA2476" s="463"/>
      <c r="AB2476" s="464">
        <v>0</v>
      </c>
      <c r="AC2476" s="465">
        <v>0</v>
      </c>
      <c r="AD2476" s="465">
        <v>0</v>
      </c>
      <c r="AE2476" s="476">
        <v>0</v>
      </c>
      <c r="AF2476" s="467">
        <v>0</v>
      </c>
      <c r="AG2476" s="468">
        <v>0</v>
      </c>
      <c r="AH2476" s="218">
        <v>0</v>
      </c>
      <c r="AI2476" s="470">
        <v>0</v>
      </c>
      <c r="AJ2476" s="471">
        <v>0</v>
      </c>
      <c r="AK2476" s="218">
        <v>0</v>
      </c>
      <c r="AL2476" s="470">
        <v>0</v>
      </c>
      <c r="AM2476" s="471">
        <v>0</v>
      </c>
      <c r="AN2476" s="477">
        <v>0</v>
      </c>
      <c r="AO2476" s="473">
        <v>0</v>
      </c>
      <c r="AP2476" s="474">
        <v>0</v>
      </c>
      <c r="AQ2476" s="352"/>
      <c r="AR2476" s="352"/>
      <c r="AS2476" s="352"/>
      <c r="AT2476" s="352"/>
      <c r="AU2476" s="352"/>
      <c r="AV2476" s="352"/>
      <c r="AW2476" s="352" t="s">
        <v>254</v>
      </c>
    </row>
    <row r="2477" spans="2:49" x14ac:dyDescent="0.2">
      <c r="B2477" s="460" t="s">
        <v>3091</v>
      </c>
      <c r="C2477" s="460">
        <v>2312</v>
      </c>
      <c r="D2477" s="460" t="s">
        <v>2340</v>
      </c>
      <c r="E2477" s="460" t="s">
        <v>2330</v>
      </c>
      <c r="F2477" s="460">
        <v>3</v>
      </c>
      <c r="G2477" s="460">
        <v>3</v>
      </c>
      <c r="H2477" s="461" t="s">
        <v>746</v>
      </c>
      <c r="I2477" s="461" t="s">
        <v>762</v>
      </c>
      <c r="J2477" s="461" t="s">
        <v>700</v>
      </c>
      <c r="K2477" s="594"/>
      <c r="L2477" s="594"/>
      <c r="M2477" s="352">
        <v>2000</v>
      </c>
      <c r="N2477" s="352" t="s">
        <v>703</v>
      </c>
      <c r="O2477" s="460">
        <v>2312</v>
      </c>
      <c r="P2477" s="460" t="s">
        <v>789</v>
      </c>
      <c r="Q2477" s="460" t="s">
        <v>3000</v>
      </c>
      <c r="R2477" s="460">
        <v>2312</v>
      </c>
      <c r="S2477" s="460" t="s">
        <v>2324</v>
      </c>
      <c r="T2477" s="462">
        <v>1</v>
      </c>
      <c r="U2477" s="460" t="s">
        <v>2330</v>
      </c>
      <c r="V2477" s="475">
        <v>0</v>
      </c>
      <c r="W2477" s="463" t="s">
        <v>2268</v>
      </c>
      <c r="X2477" s="463" t="s">
        <v>2268</v>
      </c>
      <c r="Y2477" s="463" t="s">
        <v>2554</v>
      </c>
      <c r="Z2477" s="463"/>
      <c r="AA2477" s="463"/>
      <c r="AB2477" s="464">
        <v>0</v>
      </c>
      <c r="AC2477" s="465">
        <v>0</v>
      </c>
      <c r="AD2477" s="465">
        <v>0</v>
      </c>
      <c r="AE2477" s="476">
        <v>0</v>
      </c>
      <c r="AF2477" s="467">
        <v>0</v>
      </c>
      <c r="AG2477" s="468">
        <v>0</v>
      </c>
      <c r="AH2477" s="218">
        <v>0</v>
      </c>
      <c r="AI2477" s="470">
        <v>0</v>
      </c>
      <c r="AJ2477" s="471">
        <v>0</v>
      </c>
      <c r="AK2477" s="218">
        <v>0</v>
      </c>
      <c r="AL2477" s="470">
        <v>0</v>
      </c>
      <c r="AM2477" s="471">
        <v>0</v>
      </c>
      <c r="AN2477" s="477">
        <v>0</v>
      </c>
      <c r="AO2477" s="473">
        <v>0</v>
      </c>
      <c r="AP2477" s="474">
        <v>0</v>
      </c>
      <c r="AQ2477" s="352"/>
      <c r="AR2477" s="352"/>
      <c r="AS2477" s="352"/>
      <c r="AT2477" s="352"/>
      <c r="AU2477" s="352"/>
      <c r="AV2477" s="352"/>
      <c r="AW2477" s="352" t="s">
        <v>254</v>
      </c>
    </row>
    <row r="2478" spans="2:49" x14ac:dyDescent="0.2">
      <c r="B2478" s="460" t="s">
        <v>3092</v>
      </c>
      <c r="C2478" s="460">
        <v>2312</v>
      </c>
      <c r="D2478" s="460" t="s">
        <v>2341</v>
      </c>
      <c r="E2478" s="460" t="s">
        <v>2333</v>
      </c>
      <c r="F2478" s="460">
        <v>4</v>
      </c>
      <c r="G2478" s="460">
        <v>3</v>
      </c>
      <c r="H2478" s="461" t="s">
        <v>746</v>
      </c>
      <c r="I2478" s="461" t="s">
        <v>762</v>
      </c>
      <c r="J2478" s="461" t="s">
        <v>700</v>
      </c>
      <c r="K2478" s="594"/>
      <c r="L2478" s="594"/>
      <c r="M2478" s="352">
        <v>2000</v>
      </c>
      <c r="N2478" s="352" t="s">
        <v>703</v>
      </c>
      <c r="O2478" s="460">
        <v>2312</v>
      </c>
      <c r="P2478" s="460" t="s">
        <v>789</v>
      </c>
      <c r="Q2478" s="460" t="s">
        <v>3000</v>
      </c>
      <c r="R2478" s="460">
        <v>2312</v>
      </c>
      <c r="S2478" s="460" t="s">
        <v>2333</v>
      </c>
      <c r="T2478" s="462">
        <v>1</v>
      </c>
      <c r="U2478" s="460" t="s">
        <v>2333</v>
      </c>
      <c r="V2478" s="475">
        <v>0</v>
      </c>
      <c r="W2478" s="463" t="s">
        <v>2268</v>
      </c>
      <c r="X2478" s="463" t="s">
        <v>2268</v>
      </c>
      <c r="Y2478" s="463" t="s">
        <v>2554</v>
      </c>
      <c r="Z2478" s="463"/>
      <c r="AA2478" s="463"/>
      <c r="AB2478" s="464">
        <v>0</v>
      </c>
      <c r="AC2478" s="465">
        <v>0</v>
      </c>
      <c r="AD2478" s="465">
        <v>0</v>
      </c>
      <c r="AE2478" s="476">
        <v>0</v>
      </c>
      <c r="AF2478" s="467">
        <v>0</v>
      </c>
      <c r="AG2478" s="468">
        <v>0</v>
      </c>
      <c r="AH2478" s="218">
        <v>0</v>
      </c>
      <c r="AI2478" s="470">
        <v>0</v>
      </c>
      <c r="AJ2478" s="471">
        <v>0</v>
      </c>
      <c r="AK2478" s="218">
        <v>0</v>
      </c>
      <c r="AL2478" s="470">
        <v>0</v>
      </c>
      <c r="AM2478" s="471">
        <v>0</v>
      </c>
      <c r="AN2478" s="477">
        <v>0</v>
      </c>
      <c r="AO2478" s="473">
        <v>0</v>
      </c>
      <c r="AP2478" s="474">
        <v>0</v>
      </c>
      <c r="AQ2478" s="352"/>
      <c r="AR2478" s="352"/>
      <c r="AS2478" s="352"/>
      <c r="AT2478" s="352"/>
      <c r="AU2478" s="352"/>
      <c r="AV2478" s="352"/>
      <c r="AW2478" s="352" t="s">
        <v>254</v>
      </c>
    </row>
    <row r="2479" spans="2:49" x14ac:dyDescent="0.2">
      <c r="B2479" s="460" t="s">
        <v>3089</v>
      </c>
      <c r="C2479" s="460">
        <v>2312</v>
      </c>
      <c r="D2479" s="460" t="s">
        <v>2342</v>
      </c>
      <c r="E2479" s="460" t="s">
        <v>2324</v>
      </c>
      <c r="F2479" s="460">
        <v>1</v>
      </c>
      <c r="G2479" s="460">
        <v>3</v>
      </c>
      <c r="H2479" s="461" t="s">
        <v>748</v>
      </c>
      <c r="I2479" s="461" t="s">
        <v>765</v>
      </c>
      <c r="J2479" s="461" t="s">
        <v>700</v>
      </c>
      <c r="K2479" s="594"/>
      <c r="L2479" s="594"/>
      <c r="M2479" s="352">
        <v>2000</v>
      </c>
      <c r="N2479" s="352" t="s">
        <v>703</v>
      </c>
      <c r="O2479" s="460">
        <v>2312</v>
      </c>
      <c r="P2479" s="460" t="s">
        <v>789</v>
      </c>
      <c r="Q2479" s="460" t="s">
        <v>3000</v>
      </c>
      <c r="R2479" s="460">
        <v>2312</v>
      </c>
      <c r="S2479" s="460" t="s">
        <v>2324</v>
      </c>
      <c r="T2479" s="462">
        <v>1</v>
      </c>
      <c r="U2479" s="460" t="s">
        <v>2324</v>
      </c>
      <c r="V2479" s="475">
        <v>0</v>
      </c>
      <c r="W2479" s="463" t="s">
        <v>2268</v>
      </c>
      <c r="X2479" s="463" t="s">
        <v>2268</v>
      </c>
      <c r="Y2479" s="463" t="s">
        <v>2554</v>
      </c>
      <c r="Z2479" s="463"/>
      <c r="AA2479" s="463"/>
      <c r="AB2479" s="464">
        <v>0</v>
      </c>
      <c r="AC2479" s="465">
        <v>0</v>
      </c>
      <c r="AD2479" s="465">
        <v>0</v>
      </c>
      <c r="AE2479" s="476">
        <v>0</v>
      </c>
      <c r="AF2479" s="467">
        <v>0</v>
      </c>
      <c r="AG2479" s="468">
        <v>0</v>
      </c>
      <c r="AH2479" s="218">
        <v>0</v>
      </c>
      <c r="AI2479" s="470">
        <v>0</v>
      </c>
      <c r="AJ2479" s="471">
        <v>0</v>
      </c>
      <c r="AK2479" s="218">
        <v>0</v>
      </c>
      <c r="AL2479" s="470">
        <v>0</v>
      </c>
      <c r="AM2479" s="471">
        <v>0</v>
      </c>
      <c r="AN2479" s="477">
        <v>0</v>
      </c>
      <c r="AO2479" s="473">
        <v>0</v>
      </c>
      <c r="AP2479" s="474">
        <v>0</v>
      </c>
      <c r="AQ2479" s="352"/>
      <c r="AR2479" s="352"/>
      <c r="AS2479" s="352"/>
      <c r="AT2479" s="352"/>
      <c r="AU2479" s="352"/>
      <c r="AV2479" s="352"/>
      <c r="AW2479" s="352" t="s">
        <v>254</v>
      </c>
    </row>
    <row r="2480" spans="2:49" x14ac:dyDescent="0.2">
      <c r="B2480" s="460" t="s">
        <v>3090</v>
      </c>
      <c r="C2480" s="460">
        <v>2312</v>
      </c>
      <c r="D2480" s="460" t="s">
        <v>2343</v>
      </c>
      <c r="E2480" s="460" t="s">
        <v>2327</v>
      </c>
      <c r="F2480" s="460">
        <v>2</v>
      </c>
      <c r="G2480" s="460">
        <v>3</v>
      </c>
      <c r="H2480" s="461" t="s">
        <v>748</v>
      </c>
      <c r="I2480" s="461" t="s">
        <v>765</v>
      </c>
      <c r="J2480" s="461" t="s">
        <v>700</v>
      </c>
      <c r="K2480" s="594"/>
      <c r="L2480" s="594"/>
      <c r="M2480" s="352">
        <v>2000</v>
      </c>
      <c r="N2480" s="352" t="s">
        <v>703</v>
      </c>
      <c r="O2480" s="460">
        <v>2312</v>
      </c>
      <c r="P2480" s="460" t="s">
        <v>789</v>
      </c>
      <c r="Q2480" s="460" t="s">
        <v>3000</v>
      </c>
      <c r="R2480" s="460">
        <v>2312</v>
      </c>
      <c r="S2480" s="460" t="s">
        <v>2324</v>
      </c>
      <c r="T2480" s="462">
        <v>1</v>
      </c>
      <c r="U2480" s="460" t="s">
        <v>2327</v>
      </c>
      <c r="V2480" s="475">
        <v>0</v>
      </c>
      <c r="W2480" s="463" t="s">
        <v>2268</v>
      </c>
      <c r="X2480" s="463" t="s">
        <v>2268</v>
      </c>
      <c r="Y2480" s="463" t="s">
        <v>2554</v>
      </c>
      <c r="Z2480" s="463"/>
      <c r="AA2480" s="463"/>
      <c r="AB2480" s="464">
        <v>0</v>
      </c>
      <c r="AC2480" s="465">
        <v>0</v>
      </c>
      <c r="AD2480" s="465">
        <v>0</v>
      </c>
      <c r="AE2480" s="476">
        <v>0</v>
      </c>
      <c r="AF2480" s="467">
        <v>0</v>
      </c>
      <c r="AG2480" s="468">
        <v>0</v>
      </c>
      <c r="AH2480" s="218">
        <v>0</v>
      </c>
      <c r="AI2480" s="470">
        <v>0</v>
      </c>
      <c r="AJ2480" s="471">
        <v>0</v>
      </c>
      <c r="AK2480" s="218">
        <v>0</v>
      </c>
      <c r="AL2480" s="470">
        <v>0</v>
      </c>
      <c r="AM2480" s="471">
        <v>0</v>
      </c>
      <c r="AN2480" s="477">
        <v>0</v>
      </c>
      <c r="AO2480" s="473">
        <v>0</v>
      </c>
      <c r="AP2480" s="474">
        <v>0</v>
      </c>
      <c r="AQ2480" s="352"/>
      <c r="AR2480" s="352"/>
      <c r="AS2480" s="352"/>
      <c r="AT2480" s="352"/>
      <c r="AU2480" s="352"/>
      <c r="AV2480" s="352"/>
      <c r="AW2480" s="352" t="s">
        <v>254</v>
      </c>
    </row>
    <row r="2481" spans="2:49" x14ac:dyDescent="0.2">
      <c r="B2481" s="460" t="s">
        <v>3091</v>
      </c>
      <c r="C2481" s="460">
        <v>2312</v>
      </c>
      <c r="D2481" s="460" t="s">
        <v>2344</v>
      </c>
      <c r="E2481" s="460" t="s">
        <v>2330</v>
      </c>
      <c r="F2481" s="460">
        <v>3</v>
      </c>
      <c r="G2481" s="460">
        <v>3</v>
      </c>
      <c r="H2481" s="461" t="s">
        <v>748</v>
      </c>
      <c r="I2481" s="461" t="s">
        <v>765</v>
      </c>
      <c r="J2481" s="461" t="s">
        <v>700</v>
      </c>
      <c r="K2481" s="594"/>
      <c r="L2481" s="594"/>
      <c r="M2481" s="352">
        <v>2000</v>
      </c>
      <c r="N2481" s="352" t="s">
        <v>703</v>
      </c>
      <c r="O2481" s="460">
        <v>2312</v>
      </c>
      <c r="P2481" s="460" t="s">
        <v>789</v>
      </c>
      <c r="Q2481" s="460" t="s">
        <v>3000</v>
      </c>
      <c r="R2481" s="460">
        <v>2312</v>
      </c>
      <c r="S2481" s="460" t="s">
        <v>2324</v>
      </c>
      <c r="T2481" s="462">
        <v>1</v>
      </c>
      <c r="U2481" s="460" t="s">
        <v>2330</v>
      </c>
      <c r="V2481" s="475">
        <v>0</v>
      </c>
      <c r="W2481" s="463" t="s">
        <v>2268</v>
      </c>
      <c r="X2481" s="463" t="s">
        <v>2268</v>
      </c>
      <c r="Y2481" s="463" t="s">
        <v>2554</v>
      </c>
      <c r="Z2481" s="463"/>
      <c r="AA2481" s="463"/>
      <c r="AB2481" s="464">
        <v>0</v>
      </c>
      <c r="AC2481" s="465">
        <v>0</v>
      </c>
      <c r="AD2481" s="465">
        <v>0</v>
      </c>
      <c r="AE2481" s="476">
        <v>0</v>
      </c>
      <c r="AF2481" s="467">
        <v>0</v>
      </c>
      <c r="AG2481" s="468">
        <v>0</v>
      </c>
      <c r="AH2481" s="218">
        <v>0</v>
      </c>
      <c r="AI2481" s="470">
        <v>0</v>
      </c>
      <c r="AJ2481" s="471">
        <v>0</v>
      </c>
      <c r="AK2481" s="218">
        <v>0</v>
      </c>
      <c r="AL2481" s="470">
        <v>0</v>
      </c>
      <c r="AM2481" s="471">
        <v>0</v>
      </c>
      <c r="AN2481" s="477">
        <v>0</v>
      </c>
      <c r="AO2481" s="473">
        <v>0</v>
      </c>
      <c r="AP2481" s="474">
        <v>0</v>
      </c>
      <c r="AQ2481" s="352"/>
      <c r="AR2481" s="352"/>
      <c r="AS2481" s="352"/>
      <c r="AT2481" s="352"/>
      <c r="AU2481" s="352"/>
      <c r="AV2481" s="352"/>
      <c r="AW2481" s="352" t="s">
        <v>254</v>
      </c>
    </row>
    <row r="2482" spans="2:49" x14ac:dyDescent="0.2">
      <c r="B2482" s="460" t="s">
        <v>3092</v>
      </c>
      <c r="C2482" s="460">
        <v>2312</v>
      </c>
      <c r="D2482" s="460" t="s">
        <v>2345</v>
      </c>
      <c r="E2482" s="460" t="s">
        <v>2333</v>
      </c>
      <c r="F2482" s="460">
        <v>4</v>
      </c>
      <c r="G2482" s="460">
        <v>3</v>
      </c>
      <c r="H2482" s="461" t="s">
        <v>748</v>
      </c>
      <c r="I2482" s="461" t="s">
        <v>765</v>
      </c>
      <c r="J2482" s="461" t="s">
        <v>700</v>
      </c>
      <c r="K2482" s="594"/>
      <c r="L2482" s="594"/>
      <c r="M2482" s="352">
        <v>2000</v>
      </c>
      <c r="N2482" s="352" t="s">
        <v>703</v>
      </c>
      <c r="O2482" s="460">
        <v>2312</v>
      </c>
      <c r="P2482" s="460" t="s">
        <v>789</v>
      </c>
      <c r="Q2482" s="460" t="s">
        <v>3000</v>
      </c>
      <c r="R2482" s="460">
        <v>2312</v>
      </c>
      <c r="S2482" s="460" t="s">
        <v>2333</v>
      </c>
      <c r="T2482" s="462">
        <v>1</v>
      </c>
      <c r="U2482" s="460" t="s">
        <v>2333</v>
      </c>
      <c r="V2482" s="475">
        <v>0</v>
      </c>
      <c r="W2482" s="463" t="s">
        <v>2268</v>
      </c>
      <c r="X2482" s="463" t="s">
        <v>2268</v>
      </c>
      <c r="Y2482" s="463" t="s">
        <v>2554</v>
      </c>
      <c r="Z2482" s="463"/>
      <c r="AA2482" s="463"/>
      <c r="AB2482" s="464">
        <v>0</v>
      </c>
      <c r="AC2482" s="465">
        <v>0</v>
      </c>
      <c r="AD2482" s="465">
        <v>0</v>
      </c>
      <c r="AE2482" s="476">
        <v>0</v>
      </c>
      <c r="AF2482" s="467">
        <v>0</v>
      </c>
      <c r="AG2482" s="468">
        <v>0</v>
      </c>
      <c r="AH2482" s="218">
        <v>0</v>
      </c>
      <c r="AI2482" s="470">
        <v>0</v>
      </c>
      <c r="AJ2482" s="471">
        <v>0</v>
      </c>
      <c r="AK2482" s="218">
        <v>0</v>
      </c>
      <c r="AL2482" s="470">
        <v>0</v>
      </c>
      <c r="AM2482" s="471">
        <v>0</v>
      </c>
      <c r="AN2482" s="477">
        <v>0</v>
      </c>
      <c r="AO2482" s="473">
        <v>0</v>
      </c>
      <c r="AP2482" s="474">
        <v>0</v>
      </c>
      <c r="AQ2482" s="352"/>
      <c r="AR2482" s="352"/>
      <c r="AS2482" s="352"/>
      <c r="AT2482" s="352"/>
      <c r="AU2482" s="352"/>
      <c r="AV2482" s="352"/>
      <c r="AW2482" s="352" t="s">
        <v>254</v>
      </c>
    </row>
    <row r="2483" spans="2:49" x14ac:dyDescent="0.2">
      <c r="B2483" s="460" t="s">
        <v>3089</v>
      </c>
      <c r="C2483" s="460">
        <v>2312</v>
      </c>
      <c r="D2483" s="460" t="s">
        <v>2346</v>
      </c>
      <c r="E2483" s="460" t="s">
        <v>2324</v>
      </c>
      <c r="F2483" s="460">
        <v>1</v>
      </c>
      <c r="G2483" s="460">
        <v>3</v>
      </c>
      <c r="H2483" s="461" t="s">
        <v>752</v>
      </c>
      <c r="I2483" s="461" t="s">
        <v>964</v>
      </c>
      <c r="J2483" s="461" t="s">
        <v>752</v>
      </c>
      <c r="K2483" s="594"/>
      <c r="L2483" s="594"/>
      <c r="M2483" s="352">
        <v>2000</v>
      </c>
      <c r="N2483" s="352" t="s">
        <v>703</v>
      </c>
      <c r="O2483" s="460">
        <v>2312</v>
      </c>
      <c r="P2483" s="460" t="s">
        <v>789</v>
      </c>
      <c r="Q2483" s="460" t="s">
        <v>3012</v>
      </c>
      <c r="R2483" s="460">
        <v>2312</v>
      </c>
      <c r="S2483" s="460" t="s">
        <v>2324</v>
      </c>
      <c r="T2483" s="462">
        <v>1</v>
      </c>
      <c r="U2483" s="460" t="s">
        <v>2324</v>
      </c>
      <c r="V2483" s="475">
        <v>0</v>
      </c>
      <c r="W2483" s="463" t="s">
        <v>2278</v>
      </c>
      <c r="X2483" s="463" t="s">
        <v>2278</v>
      </c>
      <c r="Y2483" s="463" t="s">
        <v>2278</v>
      </c>
      <c r="Z2483" s="463"/>
      <c r="AA2483" s="463"/>
      <c r="AB2483" s="464">
        <v>0</v>
      </c>
      <c r="AC2483" s="465">
        <v>0</v>
      </c>
      <c r="AD2483" s="465">
        <v>0</v>
      </c>
      <c r="AE2483" s="476">
        <v>0</v>
      </c>
      <c r="AF2483" s="467">
        <v>0</v>
      </c>
      <c r="AG2483" s="468">
        <v>0</v>
      </c>
      <c r="AH2483" s="218">
        <v>0</v>
      </c>
      <c r="AI2483" s="470">
        <v>0</v>
      </c>
      <c r="AJ2483" s="471">
        <v>0</v>
      </c>
      <c r="AK2483" s="218">
        <v>0</v>
      </c>
      <c r="AL2483" s="470">
        <v>0</v>
      </c>
      <c r="AM2483" s="471">
        <v>0</v>
      </c>
      <c r="AN2483" s="477">
        <v>0</v>
      </c>
      <c r="AO2483" s="473">
        <v>0</v>
      </c>
      <c r="AP2483" s="474">
        <v>0</v>
      </c>
      <c r="AQ2483" s="352"/>
      <c r="AR2483" s="352"/>
      <c r="AS2483" s="352"/>
      <c r="AT2483" s="352"/>
      <c r="AU2483" s="352"/>
      <c r="AV2483" s="352"/>
      <c r="AW2483" s="352" t="s">
        <v>254</v>
      </c>
    </row>
    <row r="2484" spans="2:49" x14ac:dyDescent="0.2">
      <c r="B2484" s="460" t="s">
        <v>3090</v>
      </c>
      <c r="C2484" s="460">
        <v>2312</v>
      </c>
      <c r="D2484" s="460" t="s">
        <v>2347</v>
      </c>
      <c r="E2484" s="460" t="s">
        <v>2327</v>
      </c>
      <c r="F2484" s="460">
        <v>2</v>
      </c>
      <c r="G2484" s="460">
        <v>3</v>
      </c>
      <c r="H2484" s="461" t="s">
        <v>752</v>
      </c>
      <c r="I2484" s="461" t="s">
        <v>964</v>
      </c>
      <c r="J2484" s="461" t="s">
        <v>752</v>
      </c>
      <c r="K2484" s="594"/>
      <c r="L2484" s="594"/>
      <c r="M2484" s="352">
        <v>2000</v>
      </c>
      <c r="N2484" s="352" t="s">
        <v>703</v>
      </c>
      <c r="O2484" s="460">
        <v>2312</v>
      </c>
      <c r="P2484" s="460" t="s">
        <v>789</v>
      </c>
      <c r="Q2484" s="460" t="s">
        <v>3012</v>
      </c>
      <c r="R2484" s="460">
        <v>2312</v>
      </c>
      <c r="S2484" s="460" t="s">
        <v>2324</v>
      </c>
      <c r="T2484" s="462">
        <v>1</v>
      </c>
      <c r="U2484" s="460" t="s">
        <v>2327</v>
      </c>
      <c r="V2484" s="475">
        <v>0</v>
      </c>
      <c r="W2484" s="463" t="s">
        <v>2278</v>
      </c>
      <c r="X2484" s="463" t="s">
        <v>2278</v>
      </c>
      <c r="Y2484" s="463" t="s">
        <v>2278</v>
      </c>
      <c r="Z2484" s="463"/>
      <c r="AA2484" s="463"/>
      <c r="AB2484" s="464">
        <v>0</v>
      </c>
      <c r="AC2484" s="465">
        <v>0</v>
      </c>
      <c r="AD2484" s="465">
        <v>0</v>
      </c>
      <c r="AE2484" s="476">
        <v>0</v>
      </c>
      <c r="AF2484" s="467">
        <v>0</v>
      </c>
      <c r="AG2484" s="468">
        <v>0</v>
      </c>
      <c r="AH2484" s="218">
        <v>0</v>
      </c>
      <c r="AI2484" s="470">
        <v>0</v>
      </c>
      <c r="AJ2484" s="471">
        <v>0</v>
      </c>
      <c r="AK2484" s="218">
        <v>0</v>
      </c>
      <c r="AL2484" s="470">
        <v>0</v>
      </c>
      <c r="AM2484" s="471">
        <v>0</v>
      </c>
      <c r="AN2484" s="477">
        <v>0</v>
      </c>
      <c r="AO2484" s="473">
        <v>0</v>
      </c>
      <c r="AP2484" s="474">
        <v>0</v>
      </c>
      <c r="AQ2484" s="352"/>
      <c r="AR2484" s="352"/>
      <c r="AS2484" s="352"/>
      <c r="AT2484" s="352"/>
      <c r="AU2484" s="352"/>
      <c r="AV2484" s="352"/>
      <c r="AW2484" s="352" t="s">
        <v>254</v>
      </c>
    </row>
    <row r="2485" spans="2:49" x14ac:dyDescent="0.2">
      <c r="B2485" s="460" t="s">
        <v>3091</v>
      </c>
      <c r="C2485" s="460">
        <v>2312</v>
      </c>
      <c r="D2485" s="460" t="s">
        <v>2348</v>
      </c>
      <c r="E2485" s="460" t="s">
        <v>2330</v>
      </c>
      <c r="F2485" s="460">
        <v>3</v>
      </c>
      <c r="G2485" s="460">
        <v>3</v>
      </c>
      <c r="H2485" s="461" t="s">
        <v>752</v>
      </c>
      <c r="I2485" s="461" t="s">
        <v>964</v>
      </c>
      <c r="J2485" s="461" t="s">
        <v>752</v>
      </c>
      <c r="K2485" s="594"/>
      <c r="L2485" s="594"/>
      <c r="M2485" s="352">
        <v>2000</v>
      </c>
      <c r="N2485" s="352" t="s">
        <v>703</v>
      </c>
      <c r="O2485" s="460">
        <v>2312</v>
      </c>
      <c r="P2485" s="460" t="s">
        <v>789</v>
      </c>
      <c r="Q2485" s="460" t="s">
        <v>3012</v>
      </c>
      <c r="R2485" s="460">
        <v>2312</v>
      </c>
      <c r="S2485" s="460" t="s">
        <v>2324</v>
      </c>
      <c r="T2485" s="462">
        <v>1</v>
      </c>
      <c r="U2485" s="460" t="s">
        <v>2330</v>
      </c>
      <c r="V2485" s="475">
        <v>0</v>
      </c>
      <c r="W2485" s="463" t="s">
        <v>2278</v>
      </c>
      <c r="X2485" s="463" t="s">
        <v>2278</v>
      </c>
      <c r="Y2485" s="463" t="s">
        <v>2278</v>
      </c>
      <c r="Z2485" s="463"/>
      <c r="AA2485" s="463"/>
      <c r="AB2485" s="464">
        <v>0</v>
      </c>
      <c r="AC2485" s="465">
        <v>0</v>
      </c>
      <c r="AD2485" s="465">
        <v>0</v>
      </c>
      <c r="AE2485" s="476">
        <v>0</v>
      </c>
      <c r="AF2485" s="467">
        <v>0</v>
      </c>
      <c r="AG2485" s="468">
        <v>0</v>
      </c>
      <c r="AH2485" s="218">
        <v>0</v>
      </c>
      <c r="AI2485" s="470">
        <v>0</v>
      </c>
      <c r="AJ2485" s="471">
        <v>0</v>
      </c>
      <c r="AK2485" s="218">
        <v>0</v>
      </c>
      <c r="AL2485" s="470">
        <v>0</v>
      </c>
      <c r="AM2485" s="471">
        <v>0</v>
      </c>
      <c r="AN2485" s="477">
        <v>0</v>
      </c>
      <c r="AO2485" s="473">
        <v>0</v>
      </c>
      <c r="AP2485" s="474">
        <v>0</v>
      </c>
      <c r="AQ2485" s="352"/>
      <c r="AR2485" s="352"/>
      <c r="AS2485" s="352"/>
      <c r="AT2485" s="352"/>
      <c r="AU2485" s="352"/>
      <c r="AV2485" s="352"/>
      <c r="AW2485" s="352" t="s">
        <v>254</v>
      </c>
    </row>
    <row r="2486" spans="2:49" x14ac:dyDescent="0.2">
      <c r="B2486" s="460" t="s">
        <v>3092</v>
      </c>
      <c r="C2486" s="460">
        <v>2312</v>
      </c>
      <c r="D2486" s="460" t="s">
        <v>2349</v>
      </c>
      <c r="E2486" s="460" t="s">
        <v>2333</v>
      </c>
      <c r="F2486" s="460">
        <v>4</v>
      </c>
      <c r="G2486" s="460">
        <v>3</v>
      </c>
      <c r="H2486" s="461" t="s">
        <v>752</v>
      </c>
      <c r="I2486" s="461" t="s">
        <v>964</v>
      </c>
      <c r="J2486" s="461" t="s">
        <v>752</v>
      </c>
      <c r="K2486" s="594"/>
      <c r="L2486" s="594"/>
      <c r="M2486" s="352">
        <v>2000</v>
      </c>
      <c r="N2486" s="352" t="s">
        <v>703</v>
      </c>
      <c r="O2486" s="460">
        <v>2312</v>
      </c>
      <c r="P2486" s="460" t="s">
        <v>789</v>
      </c>
      <c r="Q2486" s="460" t="s">
        <v>3012</v>
      </c>
      <c r="R2486" s="460">
        <v>2312</v>
      </c>
      <c r="S2486" s="460" t="s">
        <v>2333</v>
      </c>
      <c r="T2486" s="462">
        <v>1</v>
      </c>
      <c r="U2486" s="460" t="s">
        <v>2333</v>
      </c>
      <c r="V2486" s="475">
        <v>0</v>
      </c>
      <c r="W2486" s="463" t="s">
        <v>2278</v>
      </c>
      <c r="X2486" s="463" t="s">
        <v>2278</v>
      </c>
      <c r="Y2486" s="463" t="s">
        <v>2278</v>
      </c>
      <c r="Z2486" s="463"/>
      <c r="AA2486" s="463"/>
      <c r="AB2486" s="464">
        <v>0</v>
      </c>
      <c r="AC2486" s="465">
        <v>0</v>
      </c>
      <c r="AD2486" s="465">
        <v>0</v>
      </c>
      <c r="AE2486" s="476">
        <v>0</v>
      </c>
      <c r="AF2486" s="467">
        <v>0</v>
      </c>
      <c r="AG2486" s="468">
        <v>0</v>
      </c>
      <c r="AH2486" s="218">
        <v>0</v>
      </c>
      <c r="AI2486" s="470">
        <v>0</v>
      </c>
      <c r="AJ2486" s="471">
        <v>0</v>
      </c>
      <c r="AK2486" s="218">
        <v>0</v>
      </c>
      <c r="AL2486" s="470">
        <v>0</v>
      </c>
      <c r="AM2486" s="471">
        <v>0</v>
      </c>
      <c r="AN2486" s="477">
        <v>0</v>
      </c>
      <c r="AO2486" s="473">
        <v>0</v>
      </c>
      <c r="AP2486" s="474">
        <v>0</v>
      </c>
      <c r="AQ2486" s="352"/>
      <c r="AR2486" s="352"/>
      <c r="AS2486" s="352"/>
      <c r="AT2486" s="352"/>
      <c r="AU2486" s="352"/>
      <c r="AV2486" s="352"/>
      <c r="AW2486" s="352" t="s">
        <v>254</v>
      </c>
    </row>
    <row r="2487" spans="2:49" x14ac:dyDescent="0.2">
      <c r="B2487" s="460" t="s">
        <v>3093</v>
      </c>
      <c r="C2487" s="460">
        <v>2312</v>
      </c>
      <c r="D2487" s="460" t="s">
        <v>2351</v>
      </c>
      <c r="E2487" s="460" t="s">
        <v>1136</v>
      </c>
      <c r="F2487" s="460">
        <v>1</v>
      </c>
      <c r="G2487" s="460">
        <v>4</v>
      </c>
      <c r="H2487" s="461" t="s">
        <v>700</v>
      </c>
      <c r="I2487" s="461" t="s">
        <v>872</v>
      </c>
      <c r="J2487" s="461" t="s">
        <v>700</v>
      </c>
      <c r="K2487" s="594"/>
      <c r="L2487" s="594"/>
      <c r="M2487" s="352">
        <v>2000</v>
      </c>
      <c r="N2487" s="352" t="s">
        <v>703</v>
      </c>
      <c r="O2487" s="460">
        <v>2312</v>
      </c>
      <c r="P2487" s="460" t="s">
        <v>789</v>
      </c>
      <c r="Q2487" s="460" t="s">
        <v>3000</v>
      </c>
      <c r="R2487" s="460">
        <v>2312</v>
      </c>
      <c r="S2487" s="460" t="s">
        <v>1136</v>
      </c>
      <c r="T2487" s="462">
        <v>1</v>
      </c>
      <c r="U2487" s="460" t="s">
        <v>1136</v>
      </c>
      <c r="V2487" s="475">
        <v>0</v>
      </c>
      <c r="W2487" s="463" t="s">
        <v>2554</v>
      </c>
      <c r="X2487" s="463" t="s">
        <v>2554</v>
      </c>
      <c r="Y2487" s="463" t="s">
        <v>2268</v>
      </c>
      <c r="Z2487" s="463"/>
      <c r="AA2487" s="463"/>
      <c r="AB2487" s="464">
        <v>0</v>
      </c>
      <c r="AC2487" s="465">
        <v>0</v>
      </c>
      <c r="AD2487" s="465">
        <v>0</v>
      </c>
      <c r="AE2487" s="476">
        <v>0</v>
      </c>
      <c r="AF2487" s="467">
        <v>0</v>
      </c>
      <c r="AG2487" s="468">
        <v>0</v>
      </c>
      <c r="AH2487" s="218">
        <v>0</v>
      </c>
      <c r="AI2487" s="470">
        <v>0</v>
      </c>
      <c r="AJ2487" s="471">
        <v>0</v>
      </c>
      <c r="AK2487" s="218">
        <v>0</v>
      </c>
      <c r="AL2487" s="470">
        <v>0</v>
      </c>
      <c r="AM2487" s="471">
        <v>0</v>
      </c>
      <c r="AN2487" s="477">
        <v>0</v>
      </c>
      <c r="AO2487" s="473">
        <v>0</v>
      </c>
      <c r="AP2487" s="474">
        <v>0</v>
      </c>
      <c r="AQ2487" s="352"/>
      <c r="AR2487" s="352"/>
      <c r="AS2487" s="352"/>
      <c r="AT2487" s="352"/>
      <c r="AU2487" s="352"/>
      <c r="AV2487" s="352"/>
      <c r="AW2487" s="352" t="s">
        <v>254</v>
      </c>
    </row>
    <row r="2488" spans="2:49" x14ac:dyDescent="0.2">
      <c r="B2488" s="460" t="s">
        <v>3094</v>
      </c>
      <c r="C2488" s="460">
        <v>2312</v>
      </c>
      <c r="D2488" s="460" t="s">
        <v>2353</v>
      </c>
      <c r="E2488" s="460" t="s">
        <v>1137</v>
      </c>
      <c r="F2488" s="460">
        <v>2</v>
      </c>
      <c r="G2488" s="460">
        <v>4</v>
      </c>
      <c r="H2488" s="461" t="s">
        <v>700</v>
      </c>
      <c r="I2488" s="461" t="s">
        <v>872</v>
      </c>
      <c r="J2488" s="461" t="s">
        <v>700</v>
      </c>
      <c r="K2488" s="594"/>
      <c r="L2488" s="594"/>
      <c r="M2488" s="352">
        <v>2000</v>
      </c>
      <c r="N2488" s="352" t="s">
        <v>703</v>
      </c>
      <c r="O2488" s="460">
        <v>2312</v>
      </c>
      <c r="P2488" s="460" t="s">
        <v>789</v>
      </c>
      <c r="Q2488" s="460" t="s">
        <v>3000</v>
      </c>
      <c r="R2488" s="460">
        <v>2312</v>
      </c>
      <c r="S2488" s="460" t="s">
        <v>1137</v>
      </c>
      <c r="T2488" s="462">
        <v>1</v>
      </c>
      <c r="U2488" s="460" t="s">
        <v>1137</v>
      </c>
      <c r="V2488" s="475">
        <v>0</v>
      </c>
      <c r="W2488" s="463" t="s">
        <v>2554</v>
      </c>
      <c r="X2488" s="463" t="s">
        <v>2554</v>
      </c>
      <c r="Y2488" s="463" t="s">
        <v>2268</v>
      </c>
      <c r="Z2488" s="463"/>
      <c r="AA2488" s="463"/>
      <c r="AB2488" s="464">
        <v>0</v>
      </c>
      <c r="AC2488" s="465">
        <v>0</v>
      </c>
      <c r="AD2488" s="465">
        <v>0</v>
      </c>
      <c r="AE2488" s="476">
        <v>0</v>
      </c>
      <c r="AF2488" s="467">
        <v>0</v>
      </c>
      <c r="AG2488" s="468">
        <v>0</v>
      </c>
      <c r="AH2488" s="218">
        <v>0</v>
      </c>
      <c r="AI2488" s="470">
        <v>0</v>
      </c>
      <c r="AJ2488" s="471">
        <v>0</v>
      </c>
      <c r="AK2488" s="218">
        <v>0</v>
      </c>
      <c r="AL2488" s="470">
        <v>0</v>
      </c>
      <c r="AM2488" s="471">
        <v>0</v>
      </c>
      <c r="AN2488" s="477">
        <v>0</v>
      </c>
      <c r="AO2488" s="473">
        <v>0</v>
      </c>
      <c r="AP2488" s="474">
        <v>0</v>
      </c>
      <c r="AQ2488" s="352"/>
      <c r="AR2488" s="352"/>
      <c r="AS2488" s="352"/>
      <c r="AT2488" s="352"/>
      <c r="AU2488" s="352"/>
      <c r="AV2488" s="352"/>
      <c r="AW2488" s="352" t="s">
        <v>254</v>
      </c>
    </row>
    <row r="2489" spans="2:49" x14ac:dyDescent="0.2">
      <c r="B2489" s="460" t="s">
        <v>3095</v>
      </c>
      <c r="C2489" s="460">
        <v>2312</v>
      </c>
      <c r="D2489" s="460" t="s">
        <v>2355</v>
      </c>
      <c r="E2489" s="460" t="s">
        <v>1138</v>
      </c>
      <c r="F2489" s="460">
        <v>3</v>
      </c>
      <c r="G2489" s="460">
        <v>4</v>
      </c>
      <c r="H2489" s="461" t="s">
        <v>700</v>
      </c>
      <c r="I2489" s="461" t="s">
        <v>872</v>
      </c>
      <c r="J2489" s="461" t="s">
        <v>700</v>
      </c>
      <c r="K2489" s="594"/>
      <c r="L2489" s="594"/>
      <c r="M2489" s="352">
        <v>2000</v>
      </c>
      <c r="N2489" s="352" t="s">
        <v>703</v>
      </c>
      <c r="O2489" s="460">
        <v>2312</v>
      </c>
      <c r="P2489" s="460" t="s">
        <v>789</v>
      </c>
      <c r="Q2489" s="460" t="s">
        <v>3000</v>
      </c>
      <c r="R2489" s="460">
        <v>2312</v>
      </c>
      <c r="S2489" s="460" t="s">
        <v>1138</v>
      </c>
      <c r="T2489" s="462">
        <v>1</v>
      </c>
      <c r="U2489" s="460" t="s">
        <v>1138</v>
      </c>
      <c r="V2489" s="475">
        <v>0</v>
      </c>
      <c r="W2489" s="463" t="s">
        <v>2554</v>
      </c>
      <c r="X2489" s="463" t="s">
        <v>2554</v>
      </c>
      <c r="Y2489" s="463" t="s">
        <v>2268</v>
      </c>
      <c r="Z2489" s="463"/>
      <c r="AA2489" s="463"/>
      <c r="AB2489" s="464">
        <v>0</v>
      </c>
      <c r="AC2489" s="465">
        <v>0</v>
      </c>
      <c r="AD2489" s="465">
        <v>0</v>
      </c>
      <c r="AE2489" s="476">
        <v>0</v>
      </c>
      <c r="AF2489" s="467">
        <v>0</v>
      </c>
      <c r="AG2489" s="468">
        <v>0</v>
      </c>
      <c r="AH2489" s="218">
        <v>0</v>
      </c>
      <c r="AI2489" s="470">
        <v>0</v>
      </c>
      <c r="AJ2489" s="471">
        <v>0</v>
      </c>
      <c r="AK2489" s="218">
        <v>0</v>
      </c>
      <c r="AL2489" s="470">
        <v>0</v>
      </c>
      <c r="AM2489" s="471">
        <v>0</v>
      </c>
      <c r="AN2489" s="477">
        <v>0</v>
      </c>
      <c r="AO2489" s="473">
        <v>0</v>
      </c>
      <c r="AP2489" s="474">
        <v>0</v>
      </c>
      <c r="AQ2489" s="352"/>
      <c r="AR2489" s="352"/>
      <c r="AS2489" s="352"/>
      <c r="AT2489" s="352"/>
      <c r="AU2489" s="352"/>
      <c r="AV2489" s="352"/>
      <c r="AW2489" s="352" t="s">
        <v>254</v>
      </c>
    </row>
    <row r="2490" spans="2:49" x14ac:dyDescent="0.2">
      <c r="B2490" s="460" t="s">
        <v>3096</v>
      </c>
      <c r="C2490" s="460">
        <v>2312</v>
      </c>
      <c r="D2490" s="460" t="s">
        <v>2357</v>
      </c>
      <c r="E2490" s="460" t="s">
        <v>1139</v>
      </c>
      <c r="F2490" s="460">
        <v>4</v>
      </c>
      <c r="G2490" s="460">
        <v>4</v>
      </c>
      <c r="H2490" s="461" t="s">
        <v>700</v>
      </c>
      <c r="I2490" s="461" t="s">
        <v>872</v>
      </c>
      <c r="J2490" s="461" t="s">
        <v>700</v>
      </c>
      <c r="K2490" s="594"/>
      <c r="L2490" s="594"/>
      <c r="M2490" s="352">
        <v>2000</v>
      </c>
      <c r="N2490" s="352" t="s">
        <v>703</v>
      </c>
      <c r="O2490" s="460">
        <v>2312</v>
      </c>
      <c r="P2490" s="460" t="s">
        <v>789</v>
      </c>
      <c r="Q2490" s="460" t="s">
        <v>3000</v>
      </c>
      <c r="R2490" s="460">
        <v>2312</v>
      </c>
      <c r="S2490" s="460" t="s">
        <v>1139</v>
      </c>
      <c r="T2490" s="462">
        <v>1</v>
      </c>
      <c r="U2490" s="460" t="s">
        <v>1139</v>
      </c>
      <c r="V2490" s="475">
        <v>0</v>
      </c>
      <c r="W2490" s="463" t="s">
        <v>2554</v>
      </c>
      <c r="X2490" s="463" t="s">
        <v>2554</v>
      </c>
      <c r="Y2490" s="463" t="s">
        <v>2268</v>
      </c>
      <c r="Z2490" s="463"/>
      <c r="AA2490" s="463"/>
      <c r="AB2490" s="464">
        <v>0</v>
      </c>
      <c r="AC2490" s="465">
        <v>0</v>
      </c>
      <c r="AD2490" s="465">
        <v>0</v>
      </c>
      <c r="AE2490" s="476">
        <v>0</v>
      </c>
      <c r="AF2490" s="467">
        <v>0</v>
      </c>
      <c r="AG2490" s="468">
        <v>0</v>
      </c>
      <c r="AH2490" s="218">
        <v>0</v>
      </c>
      <c r="AI2490" s="470">
        <v>0</v>
      </c>
      <c r="AJ2490" s="471">
        <v>0</v>
      </c>
      <c r="AK2490" s="218">
        <v>0</v>
      </c>
      <c r="AL2490" s="470">
        <v>0</v>
      </c>
      <c r="AM2490" s="471">
        <v>0</v>
      </c>
      <c r="AN2490" s="477">
        <v>0</v>
      </c>
      <c r="AO2490" s="473">
        <v>0</v>
      </c>
      <c r="AP2490" s="474">
        <v>0</v>
      </c>
      <c r="AQ2490" s="352"/>
      <c r="AR2490" s="352"/>
      <c r="AS2490" s="352"/>
      <c r="AT2490" s="352"/>
      <c r="AU2490" s="352"/>
      <c r="AV2490" s="352"/>
      <c r="AW2490" s="352" t="s">
        <v>254</v>
      </c>
    </row>
    <row r="2491" spans="2:49" x14ac:dyDescent="0.2">
      <c r="B2491" s="460" t="s">
        <v>3093</v>
      </c>
      <c r="C2491" s="460">
        <v>2312</v>
      </c>
      <c r="D2491" s="460" t="s">
        <v>2358</v>
      </c>
      <c r="E2491" s="460" t="s">
        <v>1136</v>
      </c>
      <c r="F2491" s="460">
        <v>1</v>
      </c>
      <c r="G2491" s="460">
        <v>4</v>
      </c>
      <c r="H2491" s="461" t="s">
        <v>712</v>
      </c>
      <c r="I2491" s="461" t="s">
        <v>713</v>
      </c>
      <c r="J2491" s="461" t="s">
        <v>712</v>
      </c>
      <c r="K2491" s="594"/>
      <c r="L2491" s="594"/>
      <c r="M2491" s="352">
        <v>2000</v>
      </c>
      <c r="N2491" s="352" t="s">
        <v>703</v>
      </c>
      <c r="O2491" s="460">
        <v>2312</v>
      </c>
      <c r="P2491" s="460" t="s">
        <v>789</v>
      </c>
      <c r="Q2491" s="460" t="s">
        <v>2280</v>
      </c>
      <c r="R2491" s="460">
        <v>2312</v>
      </c>
      <c r="S2491" s="460" t="s">
        <v>1136</v>
      </c>
      <c r="T2491" s="462">
        <v>1</v>
      </c>
      <c r="U2491" s="460" t="s">
        <v>1136</v>
      </c>
      <c r="V2491" s="475">
        <v>0</v>
      </c>
      <c r="W2491" s="463" t="s">
        <v>713</v>
      </c>
      <c r="X2491" s="463" t="s">
        <v>713</v>
      </c>
      <c r="Y2491" s="463" t="s">
        <v>713</v>
      </c>
      <c r="Z2491" s="463"/>
      <c r="AA2491" s="463"/>
      <c r="AB2491" s="464">
        <v>0</v>
      </c>
      <c r="AC2491" s="465">
        <v>0</v>
      </c>
      <c r="AD2491" s="465">
        <v>0</v>
      </c>
      <c r="AE2491" s="476">
        <v>0</v>
      </c>
      <c r="AF2491" s="467">
        <v>0</v>
      </c>
      <c r="AG2491" s="468">
        <v>0</v>
      </c>
      <c r="AH2491" s="218">
        <v>0</v>
      </c>
      <c r="AI2491" s="470">
        <v>0</v>
      </c>
      <c r="AJ2491" s="471">
        <v>0</v>
      </c>
      <c r="AK2491" s="218">
        <v>0</v>
      </c>
      <c r="AL2491" s="470">
        <v>0</v>
      </c>
      <c r="AM2491" s="471">
        <v>0</v>
      </c>
      <c r="AN2491" s="477">
        <v>0</v>
      </c>
      <c r="AO2491" s="473">
        <v>0</v>
      </c>
      <c r="AP2491" s="474">
        <v>0</v>
      </c>
      <c r="AQ2491" s="352"/>
      <c r="AR2491" s="352"/>
      <c r="AS2491" s="352"/>
      <c r="AT2491" s="352"/>
      <c r="AU2491" s="352"/>
      <c r="AV2491" s="352"/>
      <c r="AW2491" s="352" t="s">
        <v>254</v>
      </c>
    </row>
    <row r="2492" spans="2:49" x14ac:dyDescent="0.2">
      <c r="B2492" s="460" t="s">
        <v>3094</v>
      </c>
      <c r="C2492" s="460">
        <v>2312</v>
      </c>
      <c r="D2492" s="460" t="s">
        <v>2359</v>
      </c>
      <c r="E2492" s="460" t="s">
        <v>1137</v>
      </c>
      <c r="F2492" s="460">
        <v>2</v>
      </c>
      <c r="G2492" s="460">
        <v>4</v>
      </c>
      <c r="H2492" s="461" t="s">
        <v>712</v>
      </c>
      <c r="I2492" s="461" t="s">
        <v>713</v>
      </c>
      <c r="J2492" s="461" t="s">
        <v>712</v>
      </c>
      <c r="K2492" s="594"/>
      <c r="L2492" s="594"/>
      <c r="M2492" s="352">
        <v>2000</v>
      </c>
      <c r="N2492" s="352" t="s">
        <v>703</v>
      </c>
      <c r="O2492" s="460">
        <v>2312</v>
      </c>
      <c r="P2492" s="460" t="s">
        <v>789</v>
      </c>
      <c r="Q2492" s="460" t="s">
        <v>2280</v>
      </c>
      <c r="R2492" s="460">
        <v>2312</v>
      </c>
      <c r="S2492" s="460" t="s">
        <v>1137</v>
      </c>
      <c r="T2492" s="462">
        <v>1</v>
      </c>
      <c r="U2492" s="460" t="s">
        <v>1137</v>
      </c>
      <c r="V2492" s="475">
        <v>0</v>
      </c>
      <c r="W2492" s="463" t="s">
        <v>713</v>
      </c>
      <c r="X2492" s="463" t="s">
        <v>713</v>
      </c>
      <c r="Y2492" s="463" t="s">
        <v>713</v>
      </c>
      <c r="Z2492" s="463"/>
      <c r="AA2492" s="463"/>
      <c r="AB2492" s="464">
        <v>0</v>
      </c>
      <c r="AC2492" s="465">
        <v>0</v>
      </c>
      <c r="AD2492" s="465">
        <v>0</v>
      </c>
      <c r="AE2492" s="476">
        <v>0</v>
      </c>
      <c r="AF2492" s="467">
        <v>0</v>
      </c>
      <c r="AG2492" s="468">
        <v>0</v>
      </c>
      <c r="AH2492" s="218">
        <v>0</v>
      </c>
      <c r="AI2492" s="470">
        <v>0</v>
      </c>
      <c r="AJ2492" s="471">
        <v>0</v>
      </c>
      <c r="AK2492" s="218">
        <v>0</v>
      </c>
      <c r="AL2492" s="470">
        <v>0</v>
      </c>
      <c r="AM2492" s="471">
        <v>0</v>
      </c>
      <c r="AN2492" s="477">
        <v>0</v>
      </c>
      <c r="AO2492" s="473">
        <v>0</v>
      </c>
      <c r="AP2492" s="474">
        <v>0</v>
      </c>
      <c r="AQ2492" s="352"/>
      <c r="AR2492" s="352"/>
      <c r="AS2492" s="352"/>
      <c r="AT2492" s="352"/>
      <c r="AU2492" s="352"/>
      <c r="AV2492" s="352"/>
      <c r="AW2492" s="352" t="s">
        <v>254</v>
      </c>
    </row>
    <row r="2493" spans="2:49" x14ac:dyDescent="0.2">
      <c r="B2493" s="460" t="s">
        <v>3095</v>
      </c>
      <c r="C2493" s="460">
        <v>2312</v>
      </c>
      <c r="D2493" s="460" t="s">
        <v>2360</v>
      </c>
      <c r="E2493" s="460" t="s">
        <v>1138</v>
      </c>
      <c r="F2493" s="460">
        <v>3</v>
      </c>
      <c r="G2493" s="460">
        <v>4</v>
      </c>
      <c r="H2493" s="461" t="s">
        <v>712</v>
      </c>
      <c r="I2493" s="461" t="s">
        <v>713</v>
      </c>
      <c r="J2493" s="461" t="s">
        <v>712</v>
      </c>
      <c r="K2493" s="594"/>
      <c r="L2493" s="594"/>
      <c r="M2493" s="352">
        <v>2000</v>
      </c>
      <c r="N2493" s="352" t="s">
        <v>703</v>
      </c>
      <c r="O2493" s="460">
        <v>2312</v>
      </c>
      <c r="P2493" s="460" t="s">
        <v>789</v>
      </c>
      <c r="Q2493" s="460" t="s">
        <v>2280</v>
      </c>
      <c r="R2493" s="460">
        <v>2312</v>
      </c>
      <c r="S2493" s="460" t="s">
        <v>1138</v>
      </c>
      <c r="T2493" s="462">
        <v>1</v>
      </c>
      <c r="U2493" s="460" t="s">
        <v>1138</v>
      </c>
      <c r="V2493" s="475">
        <v>0</v>
      </c>
      <c r="W2493" s="463" t="s">
        <v>713</v>
      </c>
      <c r="X2493" s="463" t="s">
        <v>713</v>
      </c>
      <c r="Y2493" s="463" t="s">
        <v>713</v>
      </c>
      <c r="Z2493" s="463"/>
      <c r="AA2493" s="463"/>
      <c r="AB2493" s="464">
        <v>0</v>
      </c>
      <c r="AC2493" s="465">
        <v>0</v>
      </c>
      <c r="AD2493" s="465">
        <v>0</v>
      </c>
      <c r="AE2493" s="476">
        <v>0</v>
      </c>
      <c r="AF2493" s="467">
        <v>0</v>
      </c>
      <c r="AG2493" s="468">
        <v>0</v>
      </c>
      <c r="AH2493" s="218">
        <v>0</v>
      </c>
      <c r="AI2493" s="470">
        <v>0</v>
      </c>
      <c r="AJ2493" s="471">
        <v>0</v>
      </c>
      <c r="AK2493" s="218">
        <v>0</v>
      </c>
      <c r="AL2493" s="470">
        <v>0</v>
      </c>
      <c r="AM2493" s="471">
        <v>0</v>
      </c>
      <c r="AN2493" s="477">
        <v>0</v>
      </c>
      <c r="AO2493" s="473">
        <v>0</v>
      </c>
      <c r="AP2493" s="474">
        <v>0</v>
      </c>
      <c r="AQ2493" s="352"/>
      <c r="AR2493" s="352"/>
      <c r="AS2493" s="352"/>
      <c r="AT2493" s="352"/>
      <c r="AU2493" s="352"/>
      <c r="AV2493" s="352"/>
      <c r="AW2493" s="352" t="s">
        <v>254</v>
      </c>
    </row>
    <row r="2494" spans="2:49" x14ac:dyDescent="0.2">
      <c r="B2494" s="460" t="s">
        <v>3096</v>
      </c>
      <c r="C2494" s="460">
        <v>2312</v>
      </c>
      <c r="D2494" s="460" t="s">
        <v>2361</v>
      </c>
      <c r="E2494" s="460" t="s">
        <v>1139</v>
      </c>
      <c r="F2494" s="460">
        <v>4</v>
      </c>
      <c r="G2494" s="460">
        <v>4</v>
      </c>
      <c r="H2494" s="461" t="s">
        <v>712</v>
      </c>
      <c r="I2494" s="461" t="s">
        <v>713</v>
      </c>
      <c r="J2494" s="461" t="s">
        <v>712</v>
      </c>
      <c r="K2494" s="594"/>
      <c r="L2494" s="594"/>
      <c r="M2494" s="352">
        <v>2000</v>
      </c>
      <c r="N2494" s="352" t="s">
        <v>703</v>
      </c>
      <c r="O2494" s="460">
        <v>2312</v>
      </c>
      <c r="P2494" s="460" t="s">
        <v>789</v>
      </c>
      <c r="Q2494" s="460" t="s">
        <v>2280</v>
      </c>
      <c r="R2494" s="460">
        <v>2312</v>
      </c>
      <c r="S2494" s="460" t="s">
        <v>1139</v>
      </c>
      <c r="T2494" s="462">
        <v>1</v>
      </c>
      <c r="U2494" s="460" t="s">
        <v>1139</v>
      </c>
      <c r="V2494" s="475">
        <v>0</v>
      </c>
      <c r="W2494" s="463" t="s">
        <v>713</v>
      </c>
      <c r="X2494" s="463" t="s">
        <v>713</v>
      </c>
      <c r="Y2494" s="463" t="s">
        <v>713</v>
      </c>
      <c r="Z2494" s="463"/>
      <c r="AA2494" s="463"/>
      <c r="AB2494" s="464">
        <v>0</v>
      </c>
      <c r="AC2494" s="465">
        <v>0</v>
      </c>
      <c r="AD2494" s="465">
        <v>0</v>
      </c>
      <c r="AE2494" s="476">
        <v>0</v>
      </c>
      <c r="AF2494" s="467">
        <v>0</v>
      </c>
      <c r="AG2494" s="468">
        <v>0</v>
      </c>
      <c r="AH2494" s="218">
        <v>0</v>
      </c>
      <c r="AI2494" s="470">
        <v>0</v>
      </c>
      <c r="AJ2494" s="471">
        <v>0</v>
      </c>
      <c r="AK2494" s="218">
        <v>0</v>
      </c>
      <c r="AL2494" s="470">
        <v>0</v>
      </c>
      <c r="AM2494" s="471">
        <v>0</v>
      </c>
      <c r="AN2494" s="477">
        <v>0</v>
      </c>
      <c r="AO2494" s="473">
        <v>0</v>
      </c>
      <c r="AP2494" s="474">
        <v>0</v>
      </c>
      <c r="AQ2494" s="352"/>
      <c r="AR2494" s="352"/>
      <c r="AS2494" s="352"/>
      <c r="AT2494" s="352"/>
      <c r="AU2494" s="352"/>
      <c r="AV2494" s="352"/>
      <c r="AW2494" s="352" t="s">
        <v>254</v>
      </c>
    </row>
    <row r="2495" spans="2:49" x14ac:dyDescent="0.2">
      <c r="B2495" s="460" t="s">
        <v>3093</v>
      </c>
      <c r="C2495" s="460">
        <v>2312</v>
      </c>
      <c r="D2495" s="460" t="s">
        <v>2362</v>
      </c>
      <c r="E2495" s="460" t="s">
        <v>1136</v>
      </c>
      <c r="F2495" s="460">
        <v>1</v>
      </c>
      <c r="G2495" s="460">
        <v>4</v>
      </c>
      <c r="H2495" s="461" t="s">
        <v>746</v>
      </c>
      <c r="I2495" s="461" t="s">
        <v>762</v>
      </c>
      <c r="J2495" s="461" t="s">
        <v>700</v>
      </c>
      <c r="K2495" s="594"/>
      <c r="L2495" s="594"/>
      <c r="M2495" s="352">
        <v>2000</v>
      </c>
      <c r="N2495" s="352" t="s">
        <v>703</v>
      </c>
      <c r="O2495" s="460">
        <v>2312</v>
      </c>
      <c r="P2495" s="460" t="s">
        <v>789</v>
      </c>
      <c r="Q2495" s="460" t="s">
        <v>3000</v>
      </c>
      <c r="R2495" s="460">
        <v>2312</v>
      </c>
      <c r="S2495" s="460" t="s">
        <v>1136</v>
      </c>
      <c r="T2495" s="462">
        <v>1</v>
      </c>
      <c r="U2495" s="460" t="s">
        <v>1136</v>
      </c>
      <c r="V2495" s="475">
        <v>0</v>
      </c>
      <c r="W2495" s="463" t="s">
        <v>2268</v>
      </c>
      <c r="X2495" s="463" t="s">
        <v>2268</v>
      </c>
      <c r="Y2495" s="463" t="s">
        <v>2554</v>
      </c>
      <c r="Z2495" s="463"/>
      <c r="AA2495" s="463"/>
      <c r="AB2495" s="464">
        <v>0</v>
      </c>
      <c r="AC2495" s="465">
        <v>0</v>
      </c>
      <c r="AD2495" s="465">
        <v>0</v>
      </c>
      <c r="AE2495" s="476">
        <v>0</v>
      </c>
      <c r="AF2495" s="467">
        <v>0</v>
      </c>
      <c r="AG2495" s="468">
        <v>0</v>
      </c>
      <c r="AH2495" s="218">
        <v>0</v>
      </c>
      <c r="AI2495" s="470">
        <v>0</v>
      </c>
      <c r="AJ2495" s="471">
        <v>0</v>
      </c>
      <c r="AK2495" s="218">
        <v>0</v>
      </c>
      <c r="AL2495" s="470">
        <v>0</v>
      </c>
      <c r="AM2495" s="471">
        <v>0</v>
      </c>
      <c r="AN2495" s="477">
        <v>0</v>
      </c>
      <c r="AO2495" s="473">
        <v>0</v>
      </c>
      <c r="AP2495" s="474">
        <v>0</v>
      </c>
      <c r="AQ2495" s="352"/>
      <c r="AR2495" s="352"/>
      <c r="AS2495" s="352"/>
      <c r="AT2495" s="352"/>
      <c r="AU2495" s="352"/>
      <c r="AV2495" s="352"/>
      <c r="AW2495" s="352" t="s">
        <v>254</v>
      </c>
    </row>
    <row r="2496" spans="2:49" x14ac:dyDescent="0.2">
      <c r="B2496" s="460" t="s">
        <v>3094</v>
      </c>
      <c r="C2496" s="460">
        <v>2312</v>
      </c>
      <c r="D2496" s="460" t="s">
        <v>2363</v>
      </c>
      <c r="E2496" s="460" t="s">
        <v>1137</v>
      </c>
      <c r="F2496" s="460">
        <v>2</v>
      </c>
      <c r="G2496" s="460">
        <v>4</v>
      </c>
      <c r="H2496" s="461" t="s">
        <v>746</v>
      </c>
      <c r="I2496" s="461" t="s">
        <v>762</v>
      </c>
      <c r="J2496" s="461" t="s">
        <v>700</v>
      </c>
      <c r="K2496" s="594"/>
      <c r="L2496" s="594"/>
      <c r="M2496" s="352">
        <v>2000</v>
      </c>
      <c r="N2496" s="352" t="s">
        <v>703</v>
      </c>
      <c r="O2496" s="460">
        <v>2312</v>
      </c>
      <c r="P2496" s="460" t="s">
        <v>789</v>
      </c>
      <c r="Q2496" s="460" t="s">
        <v>3000</v>
      </c>
      <c r="R2496" s="460">
        <v>2312</v>
      </c>
      <c r="S2496" s="460" t="s">
        <v>1137</v>
      </c>
      <c r="T2496" s="462">
        <v>1</v>
      </c>
      <c r="U2496" s="460" t="s">
        <v>1137</v>
      </c>
      <c r="V2496" s="475">
        <v>0</v>
      </c>
      <c r="W2496" s="463" t="s">
        <v>2268</v>
      </c>
      <c r="X2496" s="463" t="s">
        <v>2268</v>
      </c>
      <c r="Y2496" s="463" t="s">
        <v>2554</v>
      </c>
      <c r="Z2496" s="463"/>
      <c r="AA2496" s="463"/>
      <c r="AB2496" s="464">
        <v>0</v>
      </c>
      <c r="AC2496" s="465">
        <v>0</v>
      </c>
      <c r="AD2496" s="465">
        <v>0</v>
      </c>
      <c r="AE2496" s="476">
        <v>0</v>
      </c>
      <c r="AF2496" s="467">
        <v>0</v>
      </c>
      <c r="AG2496" s="468">
        <v>0</v>
      </c>
      <c r="AH2496" s="218">
        <v>0</v>
      </c>
      <c r="AI2496" s="470">
        <v>0</v>
      </c>
      <c r="AJ2496" s="471">
        <v>0</v>
      </c>
      <c r="AK2496" s="218">
        <v>0</v>
      </c>
      <c r="AL2496" s="470">
        <v>0</v>
      </c>
      <c r="AM2496" s="471">
        <v>0</v>
      </c>
      <c r="AN2496" s="477">
        <v>0</v>
      </c>
      <c r="AO2496" s="473">
        <v>0</v>
      </c>
      <c r="AP2496" s="474">
        <v>0</v>
      </c>
      <c r="AQ2496" s="352"/>
      <c r="AR2496" s="352"/>
      <c r="AS2496" s="352"/>
      <c r="AT2496" s="352"/>
      <c r="AU2496" s="352"/>
      <c r="AV2496" s="352"/>
      <c r="AW2496" s="352" t="s">
        <v>254</v>
      </c>
    </row>
    <row r="2497" spans="2:49" x14ac:dyDescent="0.2">
      <c r="B2497" s="460" t="s">
        <v>3095</v>
      </c>
      <c r="C2497" s="460">
        <v>2312</v>
      </c>
      <c r="D2497" s="460" t="s">
        <v>2364</v>
      </c>
      <c r="E2497" s="460" t="s">
        <v>1138</v>
      </c>
      <c r="F2497" s="460">
        <v>3</v>
      </c>
      <c r="G2497" s="460">
        <v>4</v>
      </c>
      <c r="H2497" s="461" t="s">
        <v>746</v>
      </c>
      <c r="I2497" s="461" t="s">
        <v>762</v>
      </c>
      <c r="J2497" s="461" t="s">
        <v>700</v>
      </c>
      <c r="K2497" s="594"/>
      <c r="L2497" s="594"/>
      <c r="M2497" s="352">
        <v>2000</v>
      </c>
      <c r="N2497" s="352" t="s">
        <v>703</v>
      </c>
      <c r="O2497" s="460">
        <v>2312</v>
      </c>
      <c r="P2497" s="460" t="s">
        <v>789</v>
      </c>
      <c r="Q2497" s="460" t="s">
        <v>3000</v>
      </c>
      <c r="R2497" s="460">
        <v>2312</v>
      </c>
      <c r="S2497" s="460" t="s">
        <v>1138</v>
      </c>
      <c r="T2497" s="462">
        <v>1</v>
      </c>
      <c r="U2497" s="460" t="s">
        <v>1138</v>
      </c>
      <c r="V2497" s="475">
        <v>0</v>
      </c>
      <c r="W2497" s="463" t="s">
        <v>2268</v>
      </c>
      <c r="X2497" s="463" t="s">
        <v>2268</v>
      </c>
      <c r="Y2497" s="463" t="s">
        <v>2554</v>
      </c>
      <c r="Z2497" s="463"/>
      <c r="AA2497" s="463"/>
      <c r="AB2497" s="464">
        <v>0</v>
      </c>
      <c r="AC2497" s="465">
        <v>0</v>
      </c>
      <c r="AD2497" s="465">
        <v>0</v>
      </c>
      <c r="AE2497" s="476">
        <v>0</v>
      </c>
      <c r="AF2497" s="467">
        <v>0</v>
      </c>
      <c r="AG2497" s="468">
        <v>0</v>
      </c>
      <c r="AH2497" s="218">
        <v>0</v>
      </c>
      <c r="AI2497" s="470">
        <v>0</v>
      </c>
      <c r="AJ2497" s="471">
        <v>0</v>
      </c>
      <c r="AK2497" s="218">
        <v>0</v>
      </c>
      <c r="AL2497" s="470">
        <v>0</v>
      </c>
      <c r="AM2497" s="471">
        <v>0</v>
      </c>
      <c r="AN2497" s="477">
        <v>0</v>
      </c>
      <c r="AO2497" s="473">
        <v>0</v>
      </c>
      <c r="AP2497" s="474">
        <v>0</v>
      </c>
      <c r="AQ2497" s="352"/>
      <c r="AR2497" s="352"/>
      <c r="AS2497" s="352"/>
      <c r="AT2497" s="352"/>
      <c r="AU2497" s="352"/>
      <c r="AV2497" s="352"/>
      <c r="AW2497" s="352" t="s">
        <v>254</v>
      </c>
    </row>
    <row r="2498" spans="2:49" x14ac:dyDescent="0.2">
      <c r="B2498" s="460" t="s">
        <v>3096</v>
      </c>
      <c r="C2498" s="460">
        <v>2312</v>
      </c>
      <c r="D2498" s="460" t="s">
        <v>2365</v>
      </c>
      <c r="E2498" s="460" t="s">
        <v>1139</v>
      </c>
      <c r="F2498" s="460">
        <v>4</v>
      </c>
      <c r="G2498" s="460">
        <v>4</v>
      </c>
      <c r="H2498" s="461" t="s">
        <v>746</v>
      </c>
      <c r="I2498" s="461" t="s">
        <v>762</v>
      </c>
      <c r="J2498" s="461" t="s">
        <v>700</v>
      </c>
      <c r="K2498" s="594"/>
      <c r="L2498" s="594"/>
      <c r="M2498" s="352">
        <v>2000</v>
      </c>
      <c r="N2498" s="352" t="s">
        <v>703</v>
      </c>
      <c r="O2498" s="460">
        <v>2312</v>
      </c>
      <c r="P2498" s="460" t="s">
        <v>789</v>
      </c>
      <c r="Q2498" s="460" t="s">
        <v>3000</v>
      </c>
      <c r="R2498" s="460">
        <v>2312</v>
      </c>
      <c r="S2498" s="460" t="s">
        <v>1139</v>
      </c>
      <c r="T2498" s="462">
        <v>1</v>
      </c>
      <c r="U2498" s="460" t="s">
        <v>1139</v>
      </c>
      <c r="V2498" s="475">
        <v>0</v>
      </c>
      <c r="W2498" s="463" t="s">
        <v>2268</v>
      </c>
      <c r="X2498" s="463" t="s">
        <v>2268</v>
      </c>
      <c r="Y2498" s="463" t="s">
        <v>2554</v>
      </c>
      <c r="Z2498" s="463"/>
      <c r="AA2498" s="463"/>
      <c r="AB2498" s="464">
        <v>0</v>
      </c>
      <c r="AC2498" s="465">
        <v>0</v>
      </c>
      <c r="AD2498" s="465">
        <v>0</v>
      </c>
      <c r="AE2498" s="476">
        <v>0</v>
      </c>
      <c r="AF2498" s="467">
        <v>0</v>
      </c>
      <c r="AG2498" s="468">
        <v>0</v>
      </c>
      <c r="AH2498" s="218">
        <v>0</v>
      </c>
      <c r="AI2498" s="470">
        <v>0</v>
      </c>
      <c r="AJ2498" s="471">
        <v>0</v>
      </c>
      <c r="AK2498" s="218">
        <v>0</v>
      </c>
      <c r="AL2498" s="470">
        <v>0</v>
      </c>
      <c r="AM2498" s="471">
        <v>0</v>
      </c>
      <c r="AN2498" s="477">
        <v>0</v>
      </c>
      <c r="AO2498" s="473">
        <v>0</v>
      </c>
      <c r="AP2498" s="474">
        <v>0</v>
      </c>
      <c r="AQ2498" s="352"/>
      <c r="AR2498" s="352"/>
      <c r="AS2498" s="352"/>
      <c r="AT2498" s="352"/>
      <c r="AU2498" s="352"/>
      <c r="AV2498" s="352"/>
      <c r="AW2498" s="352" t="s">
        <v>254</v>
      </c>
    </row>
    <row r="2499" spans="2:49" x14ac:dyDescent="0.2">
      <c r="B2499" s="460" t="s">
        <v>3093</v>
      </c>
      <c r="C2499" s="460">
        <v>2312</v>
      </c>
      <c r="D2499" s="460" t="s">
        <v>2366</v>
      </c>
      <c r="E2499" s="460" t="s">
        <v>1136</v>
      </c>
      <c r="F2499" s="460">
        <v>1</v>
      </c>
      <c r="G2499" s="460">
        <v>4</v>
      </c>
      <c r="H2499" s="461" t="s">
        <v>748</v>
      </c>
      <c r="I2499" s="461" t="s">
        <v>765</v>
      </c>
      <c r="J2499" s="461" t="s">
        <v>700</v>
      </c>
      <c r="K2499" s="594"/>
      <c r="L2499" s="594"/>
      <c r="M2499" s="352">
        <v>2000</v>
      </c>
      <c r="N2499" s="352" t="s">
        <v>703</v>
      </c>
      <c r="O2499" s="460">
        <v>2312</v>
      </c>
      <c r="P2499" s="460" t="s">
        <v>789</v>
      </c>
      <c r="Q2499" s="460" t="s">
        <v>3000</v>
      </c>
      <c r="R2499" s="460">
        <v>2312</v>
      </c>
      <c r="S2499" s="460" t="s">
        <v>1136</v>
      </c>
      <c r="T2499" s="462">
        <v>1</v>
      </c>
      <c r="U2499" s="460" t="s">
        <v>1136</v>
      </c>
      <c r="V2499" s="475">
        <v>0</v>
      </c>
      <c r="W2499" s="463" t="s">
        <v>2268</v>
      </c>
      <c r="X2499" s="463" t="s">
        <v>2268</v>
      </c>
      <c r="Y2499" s="463" t="s">
        <v>2554</v>
      </c>
      <c r="Z2499" s="463"/>
      <c r="AA2499" s="463"/>
      <c r="AB2499" s="464">
        <v>0</v>
      </c>
      <c r="AC2499" s="465">
        <v>0</v>
      </c>
      <c r="AD2499" s="465">
        <v>0</v>
      </c>
      <c r="AE2499" s="476">
        <v>0</v>
      </c>
      <c r="AF2499" s="467">
        <v>0</v>
      </c>
      <c r="AG2499" s="468">
        <v>0</v>
      </c>
      <c r="AH2499" s="218">
        <v>0</v>
      </c>
      <c r="AI2499" s="470">
        <v>0</v>
      </c>
      <c r="AJ2499" s="471">
        <v>0</v>
      </c>
      <c r="AK2499" s="218">
        <v>0</v>
      </c>
      <c r="AL2499" s="470">
        <v>0</v>
      </c>
      <c r="AM2499" s="471">
        <v>0</v>
      </c>
      <c r="AN2499" s="477">
        <v>0</v>
      </c>
      <c r="AO2499" s="473">
        <v>0</v>
      </c>
      <c r="AP2499" s="474">
        <v>0</v>
      </c>
      <c r="AQ2499" s="352"/>
      <c r="AR2499" s="352"/>
      <c r="AS2499" s="352"/>
      <c r="AT2499" s="352"/>
      <c r="AU2499" s="352"/>
      <c r="AV2499" s="352"/>
      <c r="AW2499" s="352" t="s">
        <v>254</v>
      </c>
    </row>
    <row r="2500" spans="2:49" x14ac:dyDescent="0.2">
      <c r="B2500" s="460" t="s">
        <v>3094</v>
      </c>
      <c r="C2500" s="460">
        <v>2312</v>
      </c>
      <c r="D2500" s="460" t="s">
        <v>2367</v>
      </c>
      <c r="E2500" s="460" t="s">
        <v>1137</v>
      </c>
      <c r="F2500" s="460">
        <v>2</v>
      </c>
      <c r="G2500" s="460">
        <v>4</v>
      </c>
      <c r="H2500" s="461" t="s">
        <v>748</v>
      </c>
      <c r="I2500" s="461" t="s">
        <v>765</v>
      </c>
      <c r="J2500" s="461" t="s">
        <v>700</v>
      </c>
      <c r="K2500" s="594"/>
      <c r="L2500" s="594"/>
      <c r="M2500" s="352">
        <v>2000</v>
      </c>
      <c r="N2500" s="352" t="s">
        <v>703</v>
      </c>
      <c r="O2500" s="460">
        <v>2312</v>
      </c>
      <c r="P2500" s="460" t="s">
        <v>789</v>
      </c>
      <c r="Q2500" s="460" t="s">
        <v>3000</v>
      </c>
      <c r="R2500" s="460">
        <v>2312</v>
      </c>
      <c r="S2500" s="460" t="s">
        <v>1137</v>
      </c>
      <c r="T2500" s="462">
        <v>1</v>
      </c>
      <c r="U2500" s="460" t="s">
        <v>1137</v>
      </c>
      <c r="V2500" s="475">
        <v>0</v>
      </c>
      <c r="W2500" s="463" t="s">
        <v>2268</v>
      </c>
      <c r="X2500" s="463" t="s">
        <v>2268</v>
      </c>
      <c r="Y2500" s="463" t="s">
        <v>2554</v>
      </c>
      <c r="Z2500" s="463"/>
      <c r="AA2500" s="463"/>
      <c r="AB2500" s="464">
        <v>0</v>
      </c>
      <c r="AC2500" s="465">
        <v>0</v>
      </c>
      <c r="AD2500" s="465">
        <v>0</v>
      </c>
      <c r="AE2500" s="476">
        <v>0</v>
      </c>
      <c r="AF2500" s="467">
        <v>0</v>
      </c>
      <c r="AG2500" s="468">
        <v>0</v>
      </c>
      <c r="AH2500" s="218">
        <v>0</v>
      </c>
      <c r="AI2500" s="470">
        <v>0</v>
      </c>
      <c r="AJ2500" s="471">
        <v>0</v>
      </c>
      <c r="AK2500" s="218">
        <v>0</v>
      </c>
      <c r="AL2500" s="470">
        <v>0</v>
      </c>
      <c r="AM2500" s="471">
        <v>0</v>
      </c>
      <c r="AN2500" s="477">
        <v>0</v>
      </c>
      <c r="AO2500" s="473">
        <v>0</v>
      </c>
      <c r="AP2500" s="474">
        <v>0</v>
      </c>
      <c r="AQ2500" s="352"/>
      <c r="AR2500" s="352"/>
      <c r="AS2500" s="352"/>
      <c r="AT2500" s="352"/>
      <c r="AU2500" s="352"/>
      <c r="AV2500" s="352"/>
      <c r="AW2500" s="352" t="s">
        <v>254</v>
      </c>
    </row>
    <row r="2501" spans="2:49" x14ac:dyDescent="0.2">
      <c r="B2501" s="460" t="s">
        <v>3095</v>
      </c>
      <c r="C2501" s="460">
        <v>2312</v>
      </c>
      <c r="D2501" s="460" t="s">
        <v>2368</v>
      </c>
      <c r="E2501" s="460" t="s">
        <v>1138</v>
      </c>
      <c r="F2501" s="460">
        <v>3</v>
      </c>
      <c r="G2501" s="460">
        <v>4</v>
      </c>
      <c r="H2501" s="461" t="s">
        <v>748</v>
      </c>
      <c r="I2501" s="461" t="s">
        <v>765</v>
      </c>
      <c r="J2501" s="461" t="s">
        <v>700</v>
      </c>
      <c r="K2501" s="594"/>
      <c r="L2501" s="594"/>
      <c r="M2501" s="352">
        <v>2000</v>
      </c>
      <c r="N2501" s="352" t="s">
        <v>703</v>
      </c>
      <c r="O2501" s="460">
        <v>2312</v>
      </c>
      <c r="P2501" s="460" t="s">
        <v>789</v>
      </c>
      <c r="Q2501" s="460" t="s">
        <v>3000</v>
      </c>
      <c r="R2501" s="460">
        <v>2312</v>
      </c>
      <c r="S2501" s="460" t="s">
        <v>1138</v>
      </c>
      <c r="T2501" s="462">
        <v>1</v>
      </c>
      <c r="U2501" s="460" t="s">
        <v>1138</v>
      </c>
      <c r="V2501" s="475">
        <v>0</v>
      </c>
      <c r="W2501" s="463" t="s">
        <v>2268</v>
      </c>
      <c r="X2501" s="463" t="s">
        <v>2268</v>
      </c>
      <c r="Y2501" s="463" t="s">
        <v>2554</v>
      </c>
      <c r="Z2501" s="463"/>
      <c r="AA2501" s="463"/>
      <c r="AB2501" s="464">
        <v>0</v>
      </c>
      <c r="AC2501" s="465">
        <v>0</v>
      </c>
      <c r="AD2501" s="465">
        <v>0</v>
      </c>
      <c r="AE2501" s="476">
        <v>0</v>
      </c>
      <c r="AF2501" s="467">
        <v>0</v>
      </c>
      <c r="AG2501" s="468">
        <v>0</v>
      </c>
      <c r="AH2501" s="218">
        <v>0</v>
      </c>
      <c r="AI2501" s="470">
        <v>0</v>
      </c>
      <c r="AJ2501" s="471">
        <v>0</v>
      </c>
      <c r="AK2501" s="218">
        <v>0</v>
      </c>
      <c r="AL2501" s="470">
        <v>0</v>
      </c>
      <c r="AM2501" s="471">
        <v>0</v>
      </c>
      <c r="AN2501" s="477">
        <v>0</v>
      </c>
      <c r="AO2501" s="473">
        <v>0</v>
      </c>
      <c r="AP2501" s="474">
        <v>0</v>
      </c>
      <c r="AQ2501" s="352"/>
      <c r="AR2501" s="352"/>
      <c r="AS2501" s="352"/>
      <c r="AT2501" s="352"/>
      <c r="AU2501" s="352"/>
      <c r="AV2501" s="352"/>
      <c r="AW2501" s="352" t="s">
        <v>254</v>
      </c>
    </row>
    <row r="2502" spans="2:49" x14ac:dyDescent="0.2">
      <c r="B2502" s="460" t="s">
        <v>3096</v>
      </c>
      <c r="C2502" s="460">
        <v>2312</v>
      </c>
      <c r="D2502" s="460" t="s">
        <v>2369</v>
      </c>
      <c r="E2502" s="460" t="s">
        <v>1139</v>
      </c>
      <c r="F2502" s="460">
        <v>4</v>
      </c>
      <c r="G2502" s="460">
        <v>4</v>
      </c>
      <c r="H2502" s="461" t="s">
        <v>748</v>
      </c>
      <c r="I2502" s="461" t="s">
        <v>765</v>
      </c>
      <c r="J2502" s="461" t="s">
        <v>700</v>
      </c>
      <c r="K2502" s="594"/>
      <c r="L2502" s="594"/>
      <c r="M2502" s="352">
        <v>2000</v>
      </c>
      <c r="N2502" s="352" t="s">
        <v>703</v>
      </c>
      <c r="O2502" s="460">
        <v>2312</v>
      </c>
      <c r="P2502" s="460" t="s">
        <v>789</v>
      </c>
      <c r="Q2502" s="460" t="s">
        <v>3000</v>
      </c>
      <c r="R2502" s="460">
        <v>2312</v>
      </c>
      <c r="S2502" s="460" t="s">
        <v>1139</v>
      </c>
      <c r="T2502" s="462">
        <v>1</v>
      </c>
      <c r="U2502" s="460" t="s">
        <v>1139</v>
      </c>
      <c r="V2502" s="475">
        <v>0</v>
      </c>
      <c r="W2502" s="463" t="s">
        <v>2268</v>
      </c>
      <c r="X2502" s="463" t="s">
        <v>2268</v>
      </c>
      <c r="Y2502" s="463" t="s">
        <v>2554</v>
      </c>
      <c r="Z2502" s="463"/>
      <c r="AA2502" s="463"/>
      <c r="AB2502" s="464">
        <v>0</v>
      </c>
      <c r="AC2502" s="465">
        <v>0</v>
      </c>
      <c r="AD2502" s="465">
        <v>0</v>
      </c>
      <c r="AE2502" s="476">
        <v>0</v>
      </c>
      <c r="AF2502" s="467">
        <v>0</v>
      </c>
      <c r="AG2502" s="468">
        <v>0</v>
      </c>
      <c r="AH2502" s="218">
        <v>0</v>
      </c>
      <c r="AI2502" s="470">
        <v>0</v>
      </c>
      <c r="AJ2502" s="471">
        <v>0</v>
      </c>
      <c r="AK2502" s="218">
        <v>0</v>
      </c>
      <c r="AL2502" s="470">
        <v>0</v>
      </c>
      <c r="AM2502" s="471">
        <v>0</v>
      </c>
      <c r="AN2502" s="477">
        <v>0</v>
      </c>
      <c r="AO2502" s="473">
        <v>0</v>
      </c>
      <c r="AP2502" s="474">
        <v>0</v>
      </c>
      <c r="AQ2502" s="352"/>
      <c r="AR2502" s="352"/>
      <c r="AS2502" s="352"/>
      <c r="AT2502" s="352"/>
      <c r="AU2502" s="352"/>
      <c r="AV2502" s="352"/>
      <c r="AW2502" s="352" t="s">
        <v>254</v>
      </c>
    </row>
    <row r="2503" spans="2:49" x14ac:dyDescent="0.2">
      <c r="B2503" s="460" t="s">
        <v>3093</v>
      </c>
      <c r="C2503" s="460">
        <v>2312</v>
      </c>
      <c r="D2503" s="460" t="s">
        <v>2370</v>
      </c>
      <c r="E2503" s="460" t="s">
        <v>1136</v>
      </c>
      <c r="F2503" s="460">
        <v>1</v>
      </c>
      <c r="G2503" s="460">
        <v>4</v>
      </c>
      <c r="H2503" s="461" t="s">
        <v>752</v>
      </c>
      <c r="I2503" s="461" t="s">
        <v>964</v>
      </c>
      <c r="J2503" s="461" t="s">
        <v>752</v>
      </c>
      <c r="K2503" s="594"/>
      <c r="L2503" s="594"/>
      <c r="M2503" s="352">
        <v>2000</v>
      </c>
      <c r="N2503" s="352" t="s">
        <v>703</v>
      </c>
      <c r="O2503" s="460">
        <v>2312</v>
      </c>
      <c r="P2503" s="460" t="s">
        <v>789</v>
      </c>
      <c r="Q2503" s="460" t="s">
        <v>3012</v>
      </c>
      <c r="R2503" s="460">
        <v>2312</v>
      </c>
      <c r="S2503" s="460" t="s">
        <v>1136</v>
      </c>
      <c r="T2503" s="462">
        <v>1</v>
      </c>
      <c r="U2503" s="460" t="s">
        <v>1136</v>
      </c>
      <c r="V2503" s="475">
        <v>0</v>
      </c>
      <c r="W2503" s="463" t="s">
        <v>2503</v>
      </c>
      <c r="X2503" s="463" t="s">
        <v>2503</v>
      </c>
      <c r="Y2503" s="463" t="s">
        <v>2503</v>
      </c>
      <c r="Z2503" s="463"/>
      <c r="AA2503" s="463"/>
      <c r="AB2503" s="464">
        <v>0</v>
      </c>
      <c r="AC2503" s="465">
        <v>0</v>
      </c>
      <c r="AD2503" s="465">
        <v>0</v>
      </c>
      <c r="AE2503" s="476">
        <v>0</v>
      </c>
      <c r="AF2503" s="467">
        <v>0</v>
      </c>
      <c r="AG2503" s="468">
        <v>0</v>
      </c>
      <c r="AH2503" s="218">
        <v>0</v>
      </c>
      <c r="AI2503" s="470">
        <v>0</v>
      </c>
      <c r="AJ2503" s="471">
        <v>0</v>
      </c>
      <c r="AK2503" s="218">
        <v>0</v>
      </c>
      <c r="AL2503" s="470">
        <v>0</v>
      </c>
      <c r="AM2503" s="471">
        <v>0</v>
      </c>
      <c r="AN2503" s="477">
        <v>0</v>
      </c>
      <c r="AO2503" s="473">
        <v>0</v>
      </c>
      <c r="AP2503" s="474">
        <v>0</v>
      </c>
      <c r="AQ2503" s="352"/>
      <c r="AR2503" s="352"/>
      <c r="AS2503" s="352"/>
      <c r="AT2503" s="352"/>
      <c r="AU2503" s="352"/>
      <c r="AV2503" s="352"/>
      <c r="AW2503" s="352" t="s">
        <v>254</v>
      </c>
    </row>
    <row r="2504" spans="2:49" x14ac:dyDescent="0.2">
      <c r="B2504" s="460" t="s">
        <v>3094</v>
      </c>
      <c r="C2504" s="460">
        <v>2312</v>
      </c>
      <c r="D2504" s="460" t="s">
        <v>2371</v>
      </c>
      <c r="E2504" s="460" t="s">
        <v>1137</v>
      </c>
      <c r="F2504" s="460">
        <v>2</v>
      </c>
      <c r="G2504" s="460">
        <v>4</v>
      </c>
      <c r="H2504" s="461" t="s">
        <v>752</v>
      </c>
      <c r="I2504" s="461" t="s">
        <v>964</v>
      </c>
      <c r="J2504" s="461" t="s">
        <v>752</v>
      </c>
      <c r="K2504" s="594"/>
      <c r="L2504" s="594"/>
      <c r="M2504" s="352">
        <v>2000</v>
      </c>
      <c r="N2504" s="352" t="s">
        <v>703</v>
      </c>
      <c r="O2504" s="460">
        <v>2312</v>
      </c>
      <c r="P2504" s="460" t="s">
        <v>789</v>
      </c>
      <c r="Q2504" s="460" t="s">
        <v>3012</v>
      </c>
      <c r="R2504" s="460">
        <v>2312</v>
      </c>
      <c r="S2504" s="460" t="s">
        <v>1137</v>
      </c>
      <c r="T2504" s="462">
        <v>1</v>
      </c>
      <c r="U2504" s="460" t="s">
        <v>1137</v>
      </c>
      <c r="V2504" s="475">
        <v>0</v>
      </c>
      <c r="W2504" s="463" t="s">
        <v>2503</v>
      </c>
      <c r="X2504" s="463" t="s">
        <v>2503</v>
      </c>
      <c r="Y2504" s="463" t="s">
        <v>2503</v>
      </c>
      <c r="Z2504" s="463"/>
      <c r="AA2504" s="463"/>
      <c r="AB2504" s="464">
        <v>0</v>
      </c>
      <c r="AC2504" s="465">
        <v>0</v>
      </c>
      <c r="AD2504" s="465">
        <v>0</v>
      </c>
      <c r="AE2504" s="476">
        <v>0</v>
      </c>
      <c r="AF2504" s="467">
        <v>0</v>
      </c>
      <c r="AG2504" s="468">
        <v>0</v>
      </c>
      <c r="AH2504" s="218">
        <v>0</v>
      </c>
      <c r="AI2504" s="470">
        <v>0</v>
      </c>
      <c r="AJ2504" s="471">
        <v>0</v>
      </c>
      <c r="AK2504" s="218">
        <v>0</v>
      </c>
      <c r="AL2504" s="470">
        <v>0</v>
      </c>
      <c r="AM2504" s="471">
        <v>0</v>
      </c>
      <c r="AN2504" s="477">
        <v>0</v>
      </c>
      <c r="AO2504" s="473">
        <v>0</v>
      </c>
      <c r="AP2504" s="474">
        <v>0</v>
      </c>
      <c r="AQ2504" s="352"/>
      <c r="AR2504" s="352"/>
      <c r="AS2504" s="352"/>
      <c r="AT2504" s="352"/>
      <c r="AU2504" s="352"/>
      <c r="AV2504" s="352"/>
      <c r="AW2504" s="352" t="s">
        <v>254</v>
      </c>
    </row>
    <row r="2505" spans="2:49" x14ac:dyDescent="0.2">
      <c r="B2505" s="460" t="s">
        <v>3095</v>
      </c>
      <c r="C2505" s="460">
        <v>2312</v>
      </c>
      <c r="D2505" s="460" t="s">
        <v>2372</v>
      </c>
      <c r="E2505" s="460" t="s">
        <v>1138</v>
      </c>
      <c r="F2505" s="460">
        <v>3</v>
      </c>
      <c r="G2505" s="460">
        <v>4</v>
      </c>
      <c r="H2505" s="461" t="s">
        <v>752</v>
      </c>
      <c r="I2505" s="461" t="s">
        <v>964</v>
      </c>
      <c r="J2505" s="461" t="s">
        <v>752</v>
      </c>
      <c r="K2505" s="594"/>
      <c r="L2505" s="594"/>
      <c r="M2505" s="352">
        <v>2000</v>
      </c>
      <c r="N2505" s="352" t="s">
        <v>703</v>
      </c>
      <c r="O2505" s="460">
        <v>2312</v>
      </c>
      <c r="P2505" s="460" t="s">
        <v>789</v>
      </c>
      <c r="Q2505" s="460" t="s">
        <v>3012</v>
      </c>
      <c r="R2505" s="460">
        <v>2312</v>
      </c>
      <c r="S2505" s="460" t="s">
        <v>1138</v>
      </c>
      <c r="T2505" s="462">
        <v>1</v>
      </c>
      <c r="U2505" s="460" t="s">
        <v>1138</v>
      </c>
      <c r="V2505" s="475">
        <v>0</v>
      </c>
      <c r="W2505" s="463" t="s">
        <v>2503</v>
      </c>
      <c r="X2505" s="463" t="s">
        <v>2503</v>
      </c>
      <c r="Y2505" s="463" t="s">
        <v>2503</v>
      </c>
      <c r="Z2505" s="463"/>
      <c r="AA2505" s="463"/>
      <c r="AB2505" s="464">
        <v>0</v>
      </c>
      <c r="AC2505" s="465">
        <v>0</v>
      </c>
      <c r="AD2505" s="465">
        <v>0</v>
      </c>
      <c r="AE2505" s="476">
        <v>0</v>
      </c>
      <c r="AF2505" s="467">
        <v>0</v>
      </c>
      <c r="AG2505" s="468">
        <v>0</v>
      </c>
      <c r="AH2505" s="218">
        <v>0</v>
      </c>
      <c r="AI2505" s="470">
        <v>0</v>
      </c>
      <c r="AJ2505" s="471">
        <v>0</v>
      </c>
      <c r="AK2505" s="218">
        <v>0</v>
      </c>
      <c r="AL2505" s="470">
        <v>0</v>
      </c>
      <c r="AM2505" s="471">
        <v>0</v>
      </c>
      <c r="AN2505" s="477">
        <v>0</v>
      </c>
      <c r="AO2505" s="473">
        <v>0</v>
      </c>
      <c r="AP2505" s="474">
        <v>0</v>
      </c>
      <c r="AQ2505" s="352"/>
      <c r="AR2505" s="352"/>
      <c r="AS2505" s="352"/>
      <c r="AT2505" s="352"/>
      <c r="AU2505" s="352"/>
      <c r="AV2505" s="352"/>
      <c r="AW2505" s="352" t="s">
        <v>254</v>
      </c>
    </row>
    <row r="2506" spans="2:49" x14ac:dyDescent="0.2">
      <c r="B2506" s="460" t="s">
        <v>3096</v>
      </c>
      <c r="C2506" s="460">
        <v>2312</v>
      </c>
      <c r="D2506" s="460" t="s">
        <v>2373</v>
      </c>
      <c r="E2506" s="460" t="s">
        <v>1139</v>
      </c>
      <c r="F2506" s="460">
        <v>4</v>
      </c>
      <c r="G2506" s="460">
        <v>4</v>
      </c>
      <c r="H2506" s="461" t="s">
        <v>752</v>
      </c>
      <c r="I2506" s="461" t="s">
        <v>964</v>
      </c>
      <c r="J2506" s="461" t="s">
        <v>752</v>
      </c>
      <c r="K2506" s="594"/>
      <c r="L2506" s="594"/>
      <c r="M2506" s="352">
        <v>2000</v>
      </c>
      <c r="N2506" s="352" t="s">
        <v>703</v>
      </c>
      <c r="O2506" s="460">
        <v>2312</v>
      </c>
      <c r="P2506" s="460" t="s">
        <v>789</v>
      </c>
      <c r="Q2506" s="460" t="s">
        <v>3012</v>
      </c>
      <c r="R2506" s="460">
        <v>2312</v>
      </c>
      <c r="S2506" s="460" t="s">
        <v>1139</v>
      </c>
      <c r="T2506" s="462">
        <v>1</v>
      </c>
      <c r="U2506" s="460" t="s">
        <v>1139</v>
      </c>
      <c r="V2506" s="475">
        <v>0</v>
      </c>
      <c r="W2506" s="463" t="s">
        <v>2503</v>
      </c>
      <c r="X2506" s="463" t="s">
        <v>2503</v>
      </c>
      <c r="Y2506" s="463" t="s">
        <v>2503</v>
      </c>
      <c r="Z2506" s="463"/>
      <c r="AA2506" s="463"/>
      <c r="AB2506" s="464">
        <v>0</v>
      </c>
      <c r="AC2506" s="465">
        <v>0</v>
      </c>
      <c r="AD2506" s="465">
        <v>0</v>
      </c>
      <c r="AE2506" s="476">
        <v>0</v>
      </c>
      <c r="AF2506" s="467">
        <v>0</v>
      </c>
      <c r="AG2506" s="468">
        <v>0</v>
      </c>
      <c r="AH2506" s="218">
        <v>0</v>
      </c>
      <c r="AI2506" s="470">
        <v>0</v>
      </c>
      <c r="AJ2506" s="471">
        <v>0</v>
      </c>
      <c r="AK2506" s="218">
        <v>0</v>
      </c>
      <c r="AL2506" s="470">
        <v>0</v>
      </c>
      <c r="AM2506" s="471">
        <v>0</v>
      </c>
      <c r="AN2506" s="477">
        <v>0</v>
      </c>
      <c r="AO2506" s="473">
        <v>0</v>
      </c>
      <c r="AP2506" s="474">
        <v>0</v>
      </c>
      <c r="AQ2506" s="352"/>
      <c r="AR2506" s="352"/>
      <c r="AS2506" s="352"/>
      <c r="AT2506" s="352"/>
      <c r="AU2506" s="352"/>
      <c r="AV2506" s="352"/>
      <c r="AW2506" s="352" t="s">
        <v>254</v>
      </c>
    </row>
    <row r="2507" spans="2:49" x14ac:dyDescent="0.2">
      <c r="B2507" s="460" t="s">
        <v>3097</v>
      </c>
      <c r="C2507" s="460">
        <v>2312</v>
      </c>
      <c r="D2507" s="460" t="s">
        <v>2375</v>
      </c>
      <c r="E2507" s="460" t="s">
        <v>2376</v>
      </c>
      <c r="F2507" s="460">
        <v>1</v>
      </c>
      <c r="G2507" s="460">
        <v>5</v>
      </c>
      <c r="H2507" s="461" t="s">
        <v>754</v>
      </c>
      <c r="I2507" s="461" t="s">
        <v>1991</v>
      </c>
      <c r="J2507" s="461" t="s">
        <v>754</v>
      </c>
      <c r="K2507" s="594"/>
      <c r="L2507" s="594"/>
      <c r="M2507" s="352">
        <v>2000</v>
      </c>
      <c r="N2507" s="352" t="s">
        <v>703</v>
      </c>
      <c r="O2507" s="460">
        <v>2312</v>
      </c>
      <c r="P2507" s="460" t="s">
        <v>789</v>
      </c>
      <c r="Q2507" s="460" t="s">
        <v>2377</v>
      </c>
      <c r="R2507" s="460">
        <v>2312</v>
      </c>
      <c r="S2507" s="460" t="s">
        <v>2376</v>
      </c>
      <c r="T2507" s="462">
        <v>1</v>
      </c>
      <c r="U2507" s="460" t="s">
        <v>2376</v>
      </c>
      <c r="V2507" s="475">
        <v>0</v>
      </c>
      <c r="W2507" s="463" t="s">
        <v>2278</v>
      </c>
      <c r="X2507" s="463" t="s">
        <v>2278</v>
      </c>
      <c r="Y2507" s="463" t="s">
        <v>2278</v>
      </c>
      <c r="Z2507" s="463"/>
      <c r="AA2507" s="463"/>
      <c r="AB2507" s="464">
        <v>185.50345094812153</v>
      </c>
      <c r="AC2507" s="465">
        <v>1</v>
      </c>
      <c r="AD2507" s="465">
        <v>3.1185074869546036E-4</v>
      </c>
      <c r="AE2507" s="476">
        <v>185.50345094812153</v>
      </c>
      <c r="AF2507" s="467">
        <v>1</v>
      </c>
      <c r="AG2507" s="468">
        <v>3.1185074869546036E-4</v>
      </c>
      <c r="AH2507" s="218">
        <v>185.50345094812153</v>
      </c>
      <c r="AI2507" s="470">
        <v>1</v>
      </c>
      <c r="AJ2507" s="471">
        <v>3.1185074869546036E-4</v>
      </c>
      <c r="AK2507" s="218">
        <v>185.50345094812153</v>
      </c>
      <c r="AL2507" s="470">
        <v>1</v>
      </c>
      <c r="AM2507" s="471">
        <v>3.1185074869546036E-4</v>
      </c>
      <c r="AN2507" s="477">
        <v>185.50345094812153</v>
      </c>
      <c r="AO2507" s="473">
        <v>1</v>
      </c>
      <c r="AP2507" s="474">
        <v>3.1185074869546036E-4</v>
      </c>
      <c r="AQ2507" s="352"/>
      <c r="AR2507" s="352"/>
      <c r="AS2507" s="352"/>
      <c r="AT2507" s="352"/>
      <c r="AU2507" s="352"/>
      <c r="AV2507" s="352"/>
      <c r="AW2507" s="352" t="s">
        <v>127</v>
      </c>
    </row>
    <row r="2508" spans="2:49" x14ac:dyDescent="0.2">
      <c r="B2508" s="460" t="s">
        <v>3098</v>
      </c>
      <c r="C2508" s="460">
        <v>2312</v>
      </c>
      <c r="D2508" s="460" t="s">
        <v>2379</v>
      </c>
      <c r="E2508" s="460" t="s">
        <v>2380</v>
      </c>
      <c r="F2508" s="460">
        <v>2</v>
      </c>
      <c r="G2508" s="460">
        <v>5</v>
      </c>
      <c r="H2508" s="461" t="s">
        <v>754</v>
      </c>
      <c r="I2508" s="461" t="s">
        <v>1991</v>
      </c>
      <c r="J2508" s="461" t="s">
        <v>754</v>
      </c>
      <c r="K2508" s="594"/>
      <c r="L2508" s="594"/>
      <c r="M2508" s="352">
        <v>2000</v>
      </c>
      <c r="N2508" s="352" t="s">
        <v>703</v>
      </c>
      <c r="O2508" s="460">
        <v>2312</v>
      </c>
      <c r="P2508" s="460" t="s">
        <v>789</v>
      </c>
      <c r="Q2508" s="460" t="s">
        <v>2377</v>
      </c>
      <c r="R2508" s="460">
        <v>2312</v>
      </c>
      <c r="S2508" s="460" t="s">
        <v>2380</v>
      </c>
      <c r="T2508" s="462">
        <v>1</v>
      </c>
      <c r="U2508" s="460" t="s">
        <v>2380</v>
      </c>
      <c r="V2508" s="475">
        <v>0</v>
      </c>
      <c r="W2508" s="463" t="s">
        <v>2278</v>
      </c>
      <c r="X2508" s="463" t="s">
        <v>2278</v>
      </c>
      <c r="Y2508" s="463" t="s">
        <v>2278</v>
      </c>
      <c r="Z2508" s="463"/>
      <c r="AA2508" s="463"/>
      <c r="AB2508" s="464">
        <v>220.35872247140571</v>
      </c>
      <c r="AC2508" s="465">
        <v>1</v>
      </c>
      <c r="AD2508" s="465">
        <v>4.3393121165902893E-4</v>
      </c>
      <c r="AE2508" s="476">
        <v>220.35872247140571</v>
      </c>
      <c r="AF2508" s="467">
        <v>1</v>
      </c>
      <c r="AG2508" s="468">
        <v>4.3393121165902893E-4</v>
      </c>
      <c r="AH2508" s="218">
        <v>220.35872247140571</v>
      </c>
      <c r="AI2508" s="470">
        <v>1</v>
      </c>
      <c r="AJ2508" s="471">
        <v>4.3393121165902893E-4</v>
      </c>
      <c r="AK2508" s="218">
        <v>220.35872247140571</v>
      </c>
      <c r="AL2508" s="470">
        <v>1</v>
      </c>
      <c r="AM2508" s="471">
        <v>4.3393121165902893E-4</v>
      </c>
      <c r="AN2508" s="477">
        <v>220.35872247140571</v>
      </c>
      <c r="AO2508" s="473">
        <v>1</v>
      </c>
      <c r="AP2508" s="474">
        <v>4.3393121165902893E-4</v>
      </c>
      <c r="AQ2508" s="352"/>
      <c r="AR2508" s="352"/>
      <c r="AS2508" s="352"/>
      <c r="AT2508" s="352"/>
      <c r="AU2508" s="352"/>
      <c r="AV2508" s="352"/>
      <c r="AW2508" s="352" t="s">
        <v>127</v>
      </c>
    </row>
    <row r="2509" spans="2:49" x14ac:dyDescent="0.2">
      <c r="B2509" s="460" t="s">
        <v>3099</v>
      </c>
      <c r="C2509" s="460">
        <v>2312</v>
      </c>
      <c r="D2509" s="460" t="s">
        <v>2382</v>
      </c>
      <c r="E2509" s="460" t="s">
        <v>2383</v>
      </c>
      <c r="F2509" s="460">
        <v>3</v>
      </c>
      <c r="G2509" s="460">
        <v>5</v>
      </c>
      <c r="H2509" s="461" t="s">
        <v>754</v>
      </c>
      <c r="I2509" s="461" t="s">
        <v>1991</v>
      </c>
      <c r="J2509" s="461" t="s">
        <v>754</v>
      </c>
      <c r="K2509" s="594"/>
      <c r="L2509" s="594"/>
      <c r="M2509" s="352">
        <v>2000</v>
      </c>
      <c r="N2509" s="352" t="s">
        <v>703</v>
      </c>
      <c r="O2509" s="460">
        <v>2312</v>
      </c>
      <c r="P2509" s="460" t="s">
        <v>789</v>
      </c>
      <c r="Q2509" s="460" t="s">
        <v>2377</v>
      </c>
      <c r="R2509" s="460">
        <v>2312</v>
      </c>
      <c r="S2509" s="460" t="s">
        <v>2383</v>
      </c>
      <c r="T2509" s="462">
        <v>1</v>
      </c>
      <c r="U2509" s="460" t="s">
        <v>2383</v>
      </c>
      <c r="V2509" s="475">
        <v>0</v>
      </c>
      <c r="W2509" s="463" t="s">
        <v>2278</v>
      </c>
      <c r="X2509" s="463" t="s">
        <v>2278</v>
      </c>
      <c r="Y2509" s="463" t="s">
        <v>2278</v>
      </c>
      <c r="Z2509" s="463"/>
      <c r="AA2509" s="463"/>
      <c r="AB2509" s="464">
        <v>24.390597776040753</v>
      </c>
      <c r="AC2509" s="465">
        <v>1</v>
      </c>
      <c r="AD2509" s="465">
        <v>2.1679968513444803E-4</v>
      </c>
      <c r="AE2509" s="476">
        <v>24.390597776040753</v>
      </c>
      <c r="AF2509" s="467">
        <v>1</v>
      </c>
      <c r="AG2509" s="468">
        <v>2.1679968513444803E-4</v>
      </c>
      <c r="AH2509" s="218">
        <v>24.390597776040753</v>
      </c>
      <c r="AI2509" s="470">
        <v>1</v>
      </c>
      <c r="AJ2509" s="471">
        <v>2.1679968513444803E-4</v>
      </c>
      <c r="AK2509" s="218">
        <v>24.390597776040753</v>
      </c>
      <c r="AL2509" s="470">
        <v>1</v>
      </c>
      <c r="AM2509" s="471">
        <v>2.1679968513444803E-4</v>
      </c>
      <c r="AN2509" s="477">
        <v>24.390597776040753</v>
      </c>
      <c r="AO2509" s="473">
        <v>1</v>
      </c>
      <c r="AP2509" s="474">
        <v>2.1679968513444803E-4</v>
      </c>
      <c r="AQ2509" s="352"/>
      <c r="AR2509" s="352"/>
      <c r="AS2509" s="352"/>
      <c r="AT2509" s="352"/>
      <c r="AU2509" s="352"/>
      <c r="AV2509" s="352"/>
      <c r="AW2509" s="352" t="s">
        <v>127</v>
      </c>
    </row>
    <row r="2510" spans="2:49" x14ac:dyDescent="0.2">
      <c r="B2510" s="460" t="s">
        <v>3100</v>
      </c>
      <c r="C2510" s="460">
        <v>2312</v>
      </c>
      <c r="D2510" s="460" t="s">
        <v>2385</v>
      </c>
      <c r="E2510" s="460" t="s">
        <v>2386</v>
      </c>
      <c r="F2510" s="460">
        <v>4</v>
      </c>
      <c r="G2510" s="460">
        <v>5</v>
      </c>
      <c r="H2510" s="461" t="s">
        <v>754</v>
      </c>
      <c r="I2510" s="461" t="s">
        <v>1991</v>
      </c>
      <c r="J2510" s="461" t="s">
        <v>754</v>
      </c>
      <c r="K2510" s="594"/>
      <c r="L2510" s="594"/>
      <c r="M2510" s="352">
        <v>2000</v>
      </c>
      <c r="N2510" s="352" t="s">
        <v>703</v>
      </c>
      <c r="O2510" s="460">
        <v>2312</v>
      </c>
      <c r="P2510" s="460" t="s">
        <v>789</v>
      </c>
      <c r="Q2510" s="460" t="s">
        <v>2377</v>
      </c>
      <c r="R2510" s="460">
        <v>2312</v>
      </c>
      <c r="S2510" s="460" t="s">
        <v>2386</v>
      </c>
      <c r="T2510" s="462">
        <v>1</v>
      </c>
      <c r="U2510" s="460" t="s">
        <v>2386</v>
      </c>
      <c r="V2510" s="475">
        <v>0</v>
      </c>
      <c r="W2510" s="463" t="s">
        <v>2278</v>
      </c>
      <c r="X2510" s="463" t="s">
        <v>2278</v>
      </c>
      <c r="Y2510" s="463" t="s">
        <v>2278</v>
      </c>
      <c r="Z2510" s="463"/>
      <c r="AA2510" s="463"/>
      <c r="AB2510" s="464">
        <v>35.707768493229167</v>
      </c>
      <c r="AC2510" s="465">
        <v>1</v>
      </c>
      <c r="AD2510" s="465">
        <v>6.6240543971017411E-4</v>
      </c>
      <c r="AE2510" s="476">
        <v>35.707768493229167</v>
      </c>
      <c r="AF2510" s="467">
        <v>1</v>
      </c>
      <c r="AG2510" s="468">
        <v>6.6240543971017411E-4</v>
      </c>
      <c r="AH2510" s="218">
        <v>35.707768493229167</v>
      </c>
      <c r="AI2510" s="470">
        <v>1</v>
      </c>
      <c r="AJ2510" s="471">
        <v>6.6240543971017411E-4</v>
      </c>
      <c r="AK2510" s="218">
        <v>35.707768493229167</v>
      </c>
      <c r="AL2510" s="470">
        <v>1</v>
      </c>
      <c r="AM2510" s="471">
        <v>6.6240543971017411E-4</v>
      </c>
      <c r="AN2510" s="477">
        <v>35.707768493229167</v>
      </c>
      <c r="AO2510" s="473">
        <v>1</v>
      </c>
      <c r="AP2510" s="474">
        <v>6.6240543971017411E-4</v>
      </c>
      <c r="AQ2510" s="352"/>
      <c r="AR2510" s="352"/>
      <c r="AS2510" s="352"/>
      <c r="AT2510" s="352"/>
      <c r="AU2510" s="352"/>
      <c r="AV2510" s="352"/>
      <c r="AW2510" s="352" t="s">
        <v>127</v>
      </c>
    </row>
    <row r="2511" spans="2:49" x14ac:dyDescent="0.2">
      <c r="B2511" s="460" t="s">
        <v>3101</v>
      </c>
      <c r="C2511" s="460">
        <v>8000</v>
      </c>
      <c r="D2511" s="460" t="s">
        <v>2264</v>
      </c>
      <c r="E2511" s="460" t="s">
        <v>2265</v>
      </c>
      <c r="F2511" s="460">
        <v>1</v>
      </c>
      <c r="G2511" s="460">
        <v>1</v>
      </c>
      <c r="H2511" s="461" t="s">
        <v>700</v>
      </c>
      <c r="I2511" s="461" t="s">
        <v>872</v>
      </c>
      <c r="J2511" s="461" t="s">
        <v>700</v>
      </c>
      <c r="K2511" s="594"/>
      <c r="L2511" s="594"/>
      <c r="M2511" s="352">
        <v>8000</v>
      </c>
      <c r="N2511" s="352" t="s">
        <v>760</v>
      </c>
      <c r="O2511" s="460">
        <v>2321</v>
      </c>
      <c r="P2511" s="460" t="s">
        <v>790</v>
      </c>
      <c r="Q2511" s="460" t="s">
        <v>2553</v>
      </c>
      <c r="R2511" s="460">
        <v>2321</v>
      </c>
      <c r="S2511" s="460" t="s">
        <v>2265</v>
      </c>
      <c r="T2511" s="462">
        <v>1</v>
      </c>
      <c r="U2511" s="460" t="s">
        <v>2265</v>
      </c>
      <c r="V2511" s="475">
        <v>0</v>
      </c>
      <c r="W2511" s="463" t="s">
        <v>2554</v>
      </c>
      <c r="X2511" s="463" t="s">
        <v>2554</v>
      </c>
      <c r="Y2511" s="463" t="s">
        <v>2268</v>
      </c>
      <c r="Z2511" s="463"/>
      <c r="AA2511" s="463"/>
      <c r="AB2511" s="464">
        <v>16.675094299610606</v>
      </c>
      <c r="AC2511" s="465">
        <v>4.6912034193413173E-2</v>
      </c>
      <c r="AD2511" s="465">
        <v>1.5463540621622168E-4</v>
      </c>
      <c r="AE2511" s="476">
        <v>10.005056579766363</v>
      </c>
      <c r="AF2511" s="467">
        <v>2.8147220516047903E-2</v>
      </c>
      <c r="AG2511" s="468">
        <v>9.9109786479228046E-5</v>
      </c>
      <c r="AH2511" s="218">
        <v>10.005056579766363</v>
      </c>
      <c r="AI2511" s="470">
        <v>2.8147220516047903E-2</v>
      </c>
      <c r="AJ2511" s="471">
        <v>9.540160813656059E-5</v>
      </c>
      <c r="AK2511" s="218">
        <v>10.005056579766363</v>
      </c>
      <c r="AL2511" s="470">
        <v>2.8147220516047903E-2</v>
      </c>
      <c r="AM2511" s="471">
        <v>9.540160813656059E-5</v>
      </c>
      <c r="AN2511" s="477">
        <v>0</v>
      </c>
      <c r="AO2511" s="473">
        <v>0</v>
      </c>
      <c r="AP2511" s="474">
        <v>0</v>
      </c>
      <c r="AQ2511" s="352"/>
      <c r="AR2511" s="352"/>
      <c r="AS2511" s="352"/>
      <c r="AT2511" s="352"/>
      <c r="AU2511" s="352"/>
      <c r="AV2511" s="352"/>
      <c r="AW2511" s="352" t="s">
        <v>254</v>
      </c>
    </row>
    <row r="2512" spans="2:49" x14ac:dyDescent="0.2">
      <c r="B2512" s="460" t="s">
        <v>3102</v>
      </c>
      <c r="C2512" s="460">
        <v>8000</v>
      </c>
      <c r="D2512" s="460" t="s">
        <v>2270</v>
      </c>
      <c r="E2512" s="460" t="s">
        <v>2271</v>
      </c>
      <c r="F2512" s="460">
        <v>2</v>
      </c>
      <c r="G2512" s="460">
        <v>1</v>
      </c>
      <c r="H2512" s="461" t="s">
        <v>700</v>
      </c>
      <c r="I2512" s="461" t="s">
        <v>872</v>
      </c>
      <c r="J2512" s="461" t="s">
        <v>700</v>
      </c>
      <c r="K2512" s="594"/>
      <c r="L2512" s="594"/>
      <c r="M2512" s="352">
        <v>8000</v>
      </c>
      <c r="N2512" s="352" t="s">
        <v>760</v>
      </c>
      <c r="O2512" s="460">
        <v>2321</v>
      </c>
      <c r="P2512" s="460" t="s">
        <v>790</v>
      </c>
      <c r="Q2512" s="460" t="s">
        <v>2553</v>
      </c>
      <c r="R2512" s="460">
        <v>2321</v>
      </c>
      <c r="S2512" s="460" t="s">
        <v>2265</v>
      </c>
      <c r="T2512" s="462">
        <v>1</v>
      </c>
      <c r="U2512" s="460" t="s">
        <v>2271</v>
      </c>
      <c r="V2512" s="475">
        <v>0</v>
      </c>
      <c r="W2512" s="463" t="s">
        <v>2554</v>
      </c>
      <c r="X2512" s="463" t="s">
        <v>2554</v>
      </c>
      <c r="Y2512" s="463" t="s">
        <v>2268</v>
      </c>
      <c r="Z2512" s="463"/>
      <c r="AA2512" s="463"/>
      <c r="AB2512" s="464">
        <v>12.463769248363631</v>
      </c>
      <c r="AC2512" s="465">
        <v>4.4319213410036674E-2</v>
      </c>
      <c r="AD2512" s="465">
        <v>1.5463540621622158E-4</v>
      </c>
      <c r="AE2512" s="476">
        <v>7.4782615490181783</v>
      </c>
      <c r="AF2512" s="467">
        <v>2.6591528046022005E-2</v>
      </c>
      <c r="AG2512" s="468">
        <v>1.0054343869669487E-4</v>
      </c>
      <c r="AH2512" s="218">
        <v>7.9157646199420082</v>
      </c>
      <c r="AI2512" s="470">
        <v>2.8147220516047903E-2</v>
      </c>
      <c r="AJ2512" s="471">
        <v>9.3456679248442073E-5</v>
      </c>
      <c r="AK2512" s="218">
        <v>7.9157646199420082</v>
      </c>
      <c r="AL2512" s="470">
        <v>2.8147220516047903E-2</v>
      </c>
      <c r="AM2512" s="471">
        <v>9.3456679248442073E-5</v>
      </c>
      <c r="AN2512" s="477">
        <v>0</v>
      </c>
      <c r="AO2512" s="473">
        <v>0</v>
      </c>
      <c r="AP2512" s="474">
        <v>0</v>
      </c>
      <c r="AQ2512" s="352"/>
      <c r="AR2512" s="352"/>
      <c r="AS2512" s="352"/>
      <c r="AT2512" s="352"/>
      <c r="AU2512" s="352"/>
      <c r="AV2512" s="352"/>
      <c r="AW2512" s="352" t="s">
        <v>254</v>
      </c>
    </row>
    <row r="2513" spans="2:49" x14ac:dyDescent="0.2">
      <c r="B2513" s="460" t="s">
        <v>3103</v>
      </c>
      <c r="C2513" s="460">
        <v>8000</v>
      </c>
      <c r="D2513" s="460" t="s">
        <v>2273</v>
      </c>
      <c r="E2513" s="460" t="s">
        <v>2274</v>
      </c>
      <c r="F2513" s="460">
        <v>3</v>
      </c>
      <c r="G2513" s="460">
        <v>1</v>
      </c>
      <c r="H2513" s="461" t="s">
        <v>700</v>
      </c>
      <c r="I2513" s="461" t="s">
        <v>872</v>
      </c>
      <c r="J2513" s="461" t="s">
        <v>700</v>
      </c>
      <c r="K2513" s="594"/>
      <c r="L2513" s="594"/>
      <c r="M2513" s="352">
        <v>8000</v>
      </c>
      <c r="N2513" s="352" t="s">
        <v>760</v>
      </c>
      <c r="O2513" s="460">
        <v>2321</v>
      </c>
      <c r="P2513" s="460" t="s">
        <v>790</v>
      </c>
      <c r="Q2513" s="460" t="s">
        <v>2553</v>
      </c>
      <c r="R2513" s="460">
        <v>2321</v>
      </c>
      <c r="S2513" s="460" t="s">
        <v>2265</v>
      </c>
      <c r="T2513" s="462">
        <v>0.74223365950407583</v>
      </c>
      <c r="U2513" s="460" t="s">
        <v>2274</v>
      </c>
      <c r="V2513" s="475">
        <v>0</v>
      </c>
      <c r="W2513" s="463" t="s">
        <v>2554</v>
      </c>
      <c r="X2513" s="463" t="s">
        <v>2554</v>
      </c>
      <c r="Y2513" s="463" t="s">
        <v>2268</v>
      </c>
      <c r="Z2513" s="463"/>
      <c r="AA2513" s="463"/>
      <c r="AB2513" s="464">
        <v>3.125863805105884</v>
      </c>
      <c r="AC2513" s="465">
        <v>1.9990061614368254E-2</v>
      </c>
      <c r="AD2513" s="465">
        <v>1.5463540621622158E-4</v>
      </c>
      <c r="AE2513" s="476">
        <v>1.8755182830635304</v>
      </c>
      <c r="AF2513" s="467">
        <v>1.1994036968620952E-2</v>
      </c>
      <c r="AG2513" s="468">
        <v>1.0049823548114516E-4</v>
      </c>
      <c r="AH2513" s="218">
        <v>3.2668717081708354</v>
      </c>
      <c r="AI2513" s="470">
        <v>2.0891814488494437E-2</v>
      </c>
      <c r="AJ2513" s="471">
        <v>1.2676796756764383E-4</v>
      </c>
      <c r="AK2513" s="218">
        <v>3.2668717081708354</v>
      </c>
      <c r="AL2513" s="470">
        <v>2.0891814488494437E-2</v>
      </c>
      <c r="AM2513" s="471">
        <v>1.2676796756764383E-4</v>
      </c>
      <c r="AN2513" s="477">
        <v>0</v>
      </c>
      <c r="AO2513" s="473">
        <v>0</v>
      </c>
      <c r="AP2513" s="474">
        <v>0</v>
      </c>
      <c r="AQ2513" s="352"/>
      <c r="AR2513" s="352"/>
      <c r="AS2513" s="352"/>
      <c r="AT2513" s="352"/>
      <c r="AU2513" s="352"/>
      <c r="AV2513" s="352"/>
      <c r="AW2513" s="352" t="s">
        <v>254</v>
      </c>
    </row>
    <row r="2514" spans="2:49" x14ac:dyDescent="0.2">
      <c r="B2514" s="460" t="s">
        <v>3104</v>
      </c>
      <c r="C2514" s="460">
        <v>8000</v>
      </c>
      <c r="D2514" s="460" t="s">
        <v>2276</v>
      </c>
      <c r="E2514" s="460" t="s">
        <v>2277</v>
      </c>
      <c r="F2514" s="460">
        <v>4</v>
      </c>
      <c r="G2514" s="460">
        <v>1</v>
      </c>
      <c r="H2514" s="461" t="s">
        <v>700</v>
      </c>
      <c r="I2514" s="461" t="s">
        <v>872</v>
      </c>
      <c r="J2514" s="461" t="s">
        <v>700</v>
      </c>
      <c r="K2514" s="594"/>
      <c r="L2514" s="594"/>
      <c r="M2514" s="352">
        <v>8000</v>
      </c>
      <c r="N2514" s="352" t="s">
        <v>760</v>
      </c>
      <c r="O2514" s="460">
        <v>2321</v>
      </c>
      <c r="P2514" s="460" t="s">
        <v>790</v>
      </c>
      <c r="Q2514" s="460" t="s">
        <v>2553</v>
      </c>
      <c r="R2514" s="460">
        <v>2321</v>
      </c>
      <c r="S2514" s="460" t="s">
        <v>2277</v>
      </c>
      <c r="T2514" s="462">
        <v>1</v>
      </c>
      <c r="U2514" s="460" t="s">
        <v>2277</v>
      </c>
      <c r="V2514" s="475">
        <v>0</v>
      </c>
      <c r="W2514" s="463" t="s">
        <v>2554</v>
      </c>
      <c r="X2514" s="463" t="s">
        <v>2554</v>
      </c>
      <c r="Y2514" s="463" t="s">
        <v>2268</v>
      </c>
      <c r="Z2514" s="463"/>
      <c r="AA2514" s="463"/>
      <c r="AB2514" s="464">
        <v>3.8312034645115303E-2</v>
      </c>
      <c r="AC2514" s="465">
        <v>2.1609982391652217E-4</v>
      </c>
      <c r="AD2514" s="465">
        <v>1.5463540621622166E-4</v>
      </c>
      <c r="AE2514" s="476">
        <v>2.298722078706918E-2</v>
      </c>
      <c r="AF2514" s="467">
        <v>1.2965989434991329E-4</v>
      </c>
      <c r="AG2514" s="468">
        <v>1.0372453974293139E-4</v>
      </c>
      <c r="AH2514" s="218">
        <v>2.298722078706918E-2</v>
      </c>
      <c r="AI2514" s="470">
        <v>1.2965989434991329E-4</v>
      </c>
      <c r="AJ2514" s="471">
        <v>9.9415481493295019E-5</v>
      </c>
      <c r="AK2514" s="218">
        <v>2.298722078706918E-2</v>
      </c>
      <c r="AL2514" s="470">
        <v>1.2965989434991329E-4</v>
      </c>
      <c r="AM2514" s="471">
        <v>9.9415481493295019E-5</v>
      </c>
      <c r="AN2514" s="477">
        <v>0</v>
      </c>
      <c r="AO2514" s="473">
        <v>0</v>
      </c>
      <c r="AP2514" s="474">
        <v>0</v>
      </c>
      <c r="AQ2514" s="352"/>
      <c r="AR2514" s="352"/>
      <c r="AS2514" s="352"/>
      <c r="AT2514" s="352"/>
      <c r="AU2514" s="352"/>
      <c r="AV2514" s="352"/>
      <c r="AW2514" s="352" t="s">
        <v>254</v>
      </c>
    </row>
    <row r="2515" spans="2:49" x14ac:dyDescent="0.2">
      <c r="B2515" s="460" t="s">
        <v>3101</v>
      </c>
      <c r="C2515" s="460">
        <v>8000</v>
      </c>
      <c r="D2515" s="460" t="s">
        <v>2279</v>
      </c>
      <c r="E2515" s="460" t="s">
        <v>2265</v>
      </c>
      <c r="F2515" s="460">
        <v>1</v>
      </c>
      <c r="G2515" s="460">
        <v>1</v>
      </c>
      <c r="H2515" s="461" t="s">
        <v>712</v>
      </c>
      <c r="I2515" s="461" t="s">
        <v>713</v>
      </c>
      <c r="J2515" s="461" t="s">
        <v>712</v>
      </c>
      <c r="K2515" s="594"/>
      <c r="L2515" s="594"/>
      <c r="M2515" s="352">
        <v>8000</v>
      </c>
      <c r="N2515" s="352" t="s">
        <v>760</v>
      </c>
      <c r="O2515" s="460">
        <v>2321</v>
      </c>
      <c r="P2515" s="460" t="s">
        <v>790</v>
      </c>
      <c r="Q2515" s="460" t="s">
        <v>2280</v>
      </c>
      <c r="R2515" s="460">
        <v>2321</v>
      </c>
      <c r="S2515" s="460" t="s">
        <v>2265</v>
      </c>
      <c r="T2515" s="462">
        <v>1</v>
      </c>
      <c r="U2515" s="460" t="s">
        <v>2265</v>
      </c>
      <c r="V2515" s="475">
        <v>0</v>
      </c>
      <c r="W2515" s="463" t="s">
        <v>713</v>
      </c>
      <c r="X2515" s="463" t="s">
        <v>713</v>
      </c>
      <c r="Y2515" s="463" t="s">
        <v>713</v>
      </c>
      <c r="Z2515" s="463"/>
      <c r="AA2515" s="463"/>
      <c r="AB2515" s="464">
        <v>338.77941937295839</v>
      </c>
      <c r="AC2515" s="465">
        <v>0.95308796580658695</v>
      </c>
      <c r="AD2515" s="465">
        <v>1.2515097630746209E-3</v>
      </c>
      <c r="AE2515" s="476">
        <v>345.44945709280262</v>
      </c>
      <c r="AF2515" s="467">
        <v>0.9718527794839521</v>
      </c>
      <c r="AG2515" s="468">
        <v>1.2444939974180901E-3</v>
      </c>
      <c r="AH2515" s="218">
        <v>345.44945709280262</v>
      </c>
      <c r="AI2515" s="470">
        <v>0.9718527794839521</v>
      </c>
      <c r="AJ2515" s="471">
        <v>1.2623379831782429E-3</v>
      </c>
      <c r="AK2515" s="218">
        <v>345.44945709280262</v>
      </c>
      <c r="AL2515" s="470">
        <v>0.9718527794839521</v>
      </c>
      <c r="AM2515" s="471">
        <v>1.2623379831782429E-3</v>
      </c>
      <c r="AN2515" s="477">
        <v>345.44945709280262</v>
      </c>
      <c r="AO2515" s="473">
        <v>0.9718527794839521</v>
      </c>
      <c r="AP2515" s="474">
        <v>1.2619266628356965E-3</v>
      </c>
      <c r="AQ2515" s="352"/>
      <c r="AR2515" s="352"/>
      <c r="AS2515" s="352"/>
      <c r="AT2515" s="352"/>
      <c r="AU2515" s="352"/>
      <c r="AV2515" s="352"/>
      <c r="AW2515" s="352" t="s">
        <v>254</v>
      </c>
    </row>
    <row r="2516" spans="2:49" x14ac:dyDescent="0.2">
      <c r="B2516" s="460" t="s">
        <v>3102</v>
      </c>
      <c r="C2516" s="460">
        <v>8000</v>
      </c>
      <c r="D2516" s="460" t="s">
        <v>2281</v>
      </c>
      <c r="E2516" s="460" t="s">
        <v>2271</v>
      </c>
      <c r="F2516" s="460">
        <v>2</v>
      </c>
      <c r="G2516" s="460">
        <v>1</v>
      </c>
      <c r="H2516" s="461" t="s">
        <v>712</v>
      </c>
      <c r="I2516" s="461" t="s">
        <v>713</v>
      </c>
      <c r="J2516" s="461" t="s">
        <v>712</v>
      </c>
      <c r="K2516" s="594"/>
      <c r="L2516" s="594"/>
      <c r="M2516" s="352">
        <v>8000</v>
      </c>
      <c r="N2516" s="352" t="s">
        <v>760</v>
      </c>
      <c r="O2516" s="460">
        <v>2321</v>
      </c>
      <c r="P2516" s="460" t="s">
        <v>790</v>
      </c>
      <c r="Q2516" s="460" t="s">
        <v>2280</v>
      </c>
      <c r="R2516" s="460">
        <v>2321</v>
      </c>
      <c r="S2516" s="460" t="s">
        <v>2265</v>
      </c>
      <c r="T2516" s="462">
        <v>1</v>
      </c>
      <c r="U2516" s="460" t="s">
        <v>2271</v>
      </c>
      <c r="V2516" s="475">
        <v>0</v>
      </c>
      <c r="W2516" s="463" t="s">
        <v>713</v>
      </c>
      <c r="X2516" s="463" t="s">
        <v>713</v>
      </c>
      <c r="Y2516" s="463" t="s">
        <v>713</v>
      </c>
      <c r="Z2516" s="463"/>
      <c r="AA2516" s="463"/>
      <c r="AB2516" s="464">
        <v>268.76345229661632</v>
      </c>
      <c r="AC2516" s="465">
        <v>0.95568078658996336</v>
      </c>
      <c r="AD2516" s="465">
        <v>1.1223348368537391E-3</v>
      </c>
      <c r="AE2516" s="476">
        <v>273.74895999596174</v>
      </c>
      <c r="AF2516" s="467">
        <v>0.97340847195397795</v>
      </c>
      <c r="AG2516" s="468">
        <v>1.114201346879993E-3</v>
      </c>
      <c r="AH2516" s="218">
        <v>273.31145692503793</v>
      </c>
      <c r="AI2516" s="470">
        <v>0.9718527794839521</v>
      </c>
      <c r="AJ2516" s="471">
        <v>1.1741857835922036E-3</v>
      </c>
      <c r="AK2516" s="218">
        <v>273.31145692503793</v>
      </c>
      <c r="AL2516" s="470">
        <v>0.9718527794839521</v>
      </c>
      <c r="AM2516" s="471">
        <v>1.1741857835922036E-3</v>
      </c>
      <c r="AN2516" s="477">
        <v>273.31145692503793</v>
      </c>
      <c r="AO2516" s="473">
        <v>0.9718527794839521</v>
      </c>
      <c r="AP2516" s="474">
        <v>1.1737734884445957E-3</v>
      </c>
      <c r="AQ2516" s="352"/>
      <c r="AR2516" s="352"/>
      <c r="AS2516" s="352"/>
      <c r="AT2516" s="352"/>
      <c r="AU2516" s="352"/>
      <c r="AV2516" s="352"/>
      <c r="AW2516" s="352" t="s">
        <v>254</v>
      </c>
    </row>
    <row r="2517" spans="2:49" x14ac:dyDescent="0.2">
      <c r="B2517" s="460" t="s">
        <v>3103</v>
      </c>
      <c r="C2517" s="460">
        <v>8000</v>
      </c>
      <c r="D2517" s="460" t="s">
        <v>2282</v>
      </c>
      <c r="E2517" s="460" t="s">
        <v>2274</v>
      </c>
      <c r="F2517" s="460">
        <v>3</v>
      </c>
      <c r="G2517" s="460">
        <v>1</v>
      </c>
      <c r="H2517" s="461" t="s">
        <v>712</v>
      </c>
      <c r="I2517" s="461" t="s">
        <v>713</v>
      </c>
      <c r="J2517" s="461" t="s">
        <v>712</v>
      </c>
      <c r="K2517" s="594"/>
      <c r="L2517" s="594"/>
      <c r="M2517" s="352">
        <v>8000</v>
      </c>
      <c r="N2517" s="352" t="s">
        <v>760</v>
      </c>
      <c r="O2517" s="460">
        <v>2321</v>
      </c>
      <c r="P2517" s="460" t="s">
        <v>790</v>
      </c>
      <c r="Q2517" s="460" t="s">
        <v>2280</v>
      </c>
      <c r="R2517" s="460">
        <v>2321</v>
      </c>
      <c r="S2517" s="460" t="s">
        <v>2265</v>
      </c>
      <c r="T2517" s="462">
        <v>0.74223365950407583</v>
      </c>
      <c r="U2517" s="460" t="s">
        <v>2274</v>
      </c>
      <c r="V2517" s="475">
        <v>0</v>
      </c>
      <c r="W2517" s="463" t="s">
        <v>713</v>
      </c>
      <c r="X2517" s="463" t="s">
        <v>713</v>
      </c>
      <c r="Y2517" s="463" t="s">
        <v>713</v>
      </c>
      <c r="Z2517" s="463"/>
      <c r="AA2517" s="463"/>
      <c r="AB2517" s="464">
        <v>153.24503016247985</v>
      </c>
      <c r="AC2517" s="465">
        <v>0.98000993838563166</v>
      </c>
      <c r="AD2517" s="465">
        <v>9.1720406415135764E-4</v>
      </c>
      <c r="AE2517" s="476">
        <v>154.4953756845222</v>
      </c>
      <c r="AF2517" s="467">
        <v>0.988005963031379</v>
      </c>
      <c r="AG2517" s="468">
        <v>9.1617608637900973E-4</v>
      </c>
      <c r="AH2517" s="218">
        <v>153.1040222594149</v>
      </c>
      <c r="AI2517" s="470">
        <v>0.97910818551150558</v>
      </c>
      <c r="AJ2517" s="471">
        <v>9.6213181386654281E-4</v>
      </c>
      <c r="AK2517" s="218">
        <v>153.1040222594149</v>
      </c>
      <c r="AL2517" s="470">
        <v>0.97910818551150558</v>
      </c>
      <c r="AM2517" s="471">
        <v>9.6213181386654281E-4</v>
      </c>
      <c r="AN2517" s="477">
        <v>153.1040222594149</v>
      </c>
      <c r="AO2517" s="473">
        <v>0.97910818551150558</v>
      </c>
      <c r="AP2517" s="474">
        <v>9.690726297488263E-4</v>
      </c>
      <c r="AQ2517" s="352"/>
      <c r="AR2517" s="352"/>
      <c r="AS2517" s="352"/>
      <c r="AT2517" s="352"/>
      <c r="AU2517" s="352"/>
      <c r="AV2517" s="352"/>
      <c r="AW2517" s="352" t="s">
        <v>254</v>
      </c>
    </row>
    <row r="2518" spans="2:49" x14ac:dyDescent="0.2">
      <c r="B2518" s="460" t="s">
        <v>3104</v>
      </c>
      <c r="C2518" s="460">
        <v>8000</v>
      </c>
      <c r="D2518" s="460" t="s">
        <v>2283</v>
      </c>
      <c r="E2518" s="460" t="s">
        <v>2277</v>
      </c>
      <c r="F2518" s="460">
        <v>4</v>
      </c>
      <c r="G2518" s="460">
        <v>1</v>
      </c>
      <c r="H2518" s="461" t="s">
        <v>712</v>
      </c>
      <c r="I2518" s="461" t="s">
        <v>713</v>
      </c>
      <c r="J2518" s="461" t="s">
        <v>712</v>
      </c>
      <c r="K2518" s="594"/>
      <c r="L2518" s="594"/>
      <c r="M2518" s="352">
        <v>8000</v>
      </c>
      <c r="N2518" s="352" t="s">
        <v>760</v>
      </c>
      <c r="O2518" s="460">
        <v>2321</v>
      </c>
      <c r="P2518" s="460" t="s">
        <v>790</v>
      </c>
      <c r="Q2518" s="460" t="s">
        <v>2280</v>
      </c>
      <c r="R2518" s="460">
        <v>2321</v>
      </c>
      <c r="S2518" s="460" t="s">
        <v>2277</v>
      </c>
      <c r="T2518" s="462">
        <v>1</v>
      </c>
      <c r="U2518" s="460" t="s">
        <v>2277</v>
      </c>
      <c r="V2518" s="475">
        <v>0</v>
      </c>
      <c r="W2518" s="463" t="s">
        <v>713</v>
      </c>
      <c r="X2518" s="463" t="s">
        <v>713</v>
      </c>
      <c r="Y2518" s="463" t="s">
        <v>713</v>
      </c>
      <c r="Z2518" s="463"/>
      <c r="AA2518" s="463"/>
      <c r="AB2518" s="464">
        <v>177.25028520139415</v>
      </c>
      <c r="AC2518" s="465">
        <v>0.99978390017608343</v>
      </c>
      <c r="AD2518" s="465">
        <v>9.2050945200388443E-4</v>
      </c>
      <c r="AE2518" s="476">
        <v>177.26561001525221</v>
      </c>
      <c r="AF2518" s="467">
        <v>0.99987034010565012</v>
      </c>
      <c r="AG2518" s="468">
        <v>9.2046408659203851E-4</v>
      </c>
      <c r="AH2518" s="218">
        <v>177.26561001525221</v>
      </c>
      <c r="AI2518" s="470">
        <v>0.99987034010565012</v>
      </c>
      <c r="AJ2518" s="471">
        <v>9.205100004900721E-4</v>
      </c>
      <c r="AK2518" s="218">
        <v>177.26561001525221</v>
      </c>
      <c r="AL2518" s="470">
        <v>0.99987034010565012</v>
      </c>
      <c r="AM2518" s="471">
        <v>9.205100004900721E-4</v>
      </c>
      <c r="AN2518" s="477">
        <v>177.26561001525221</v>
      </c>
      <c r="AO2518" s="473">
        <v>0.99987034010565012</v>
      </c>
      <c r="AP2518" s="474">
        <v>9.2051459053402044E-4</v>
      </c>
      <c r="AQ2518" s="352"/>
      <c r="AR2518" s="352"/>
      <c r="AS2518" s="352"/>
      <c r="AT2518" s="352"/>
      <c r="AU2518" s="352"/>
      <c r="AV2518" s="352"/>
      <c r="AW2518" s="352" t="s">
        <v>254</v>
      </c>
    </row>
    <row r="2519" spans="2:49" x14ac:dyDescent="0.2">
      <c r="B2519" s="460" t="s">
        <v>3101</v>
      </c>
      <c r="C2519" s="460">
        <v>8000</v>
      </c>
      <c r="D2519" s="460" t="s">
        <v>2284</v>
      </c>
      <c r="E2519" s="460" t="s">
        <v>2265</v>
      </c>
      <c r="F2519" s="460">
        <v>1</v>
      </c>
      <c r="G2519" s="460">
        <v>1</v>
      </c>
      <c r="H2519" s="461" t="s">
        <v>746</v>
      </c>
      <c r="I2519" s="461" t="s">
        <v>762</v>
      </c>
      <c r="J2519" s="461" t="s">
        <v>700</v>
      </c>
      <c r="K2519" s="594"/>
      <c r="L2519" s="594"/>
      <c r="M2519" s="352">
        <v>8000</v>
      </c>
      <c r="N2519" s="352" t="s">
        <v>760</v>
      </c>
      <c r="O2519" s="460">
        <v>2321</v>
      </c>
      <c r="P2519" s="460" t="s">
        <v>790</v>
      </c>
      <c r="Q2519" s="460" t="s">
        <v>2553</v>
      </c>
      <c r="R2519" s="460">
        <v>2321</v>
      </c>
      <c r="S2519" s="460" t="s">
        <v>2265</v>
      </c>
      <c r="T2519" s="462">
        <v>1</v>
      </c>
      <c r="U2519" s="460" t="s">
        <v>2265</v>
      </c>
      <c r="V2519" s="475">
        <v>0</v>
      </c>
      <c r="W2519" s="463" t="s">
        <v>2268</v>
      </c>
      <c r="X2519" s="463" t="s">
        <v>2268</v>
      </c>
      <c r="Y2519" s="463" t="s">
        <v>2554</v>
      </c>
      <c r="Z2519" s="463"/>
      <c r="AA2519" s="463"/>
      <c r="AB2519" s="464">
        <v>0</v>
      </c>
      <c r="AC2519" s="465">
        <v>0</v>
      </c>
      <c r="AD2519" s="465">
        <v>0</v>
      </c>
      <c r="AE2519" s="476">
        <v>0</v>
      </c>
      <c r="AF2519" s="467">
        <v>0</v>
      </c>
      <c r="AG2519" s="468">
        <v>0</v>
      </c>
      <c r="AH2519" s="218">
        <v>0</v>
      </c>
      <c r="AI2519" s="470">
        <v>0</v>
      </c>
      <c r="AJ2519" s="471">
        <v>0</v>
      </c>
      <c r="AK2519" s="218">
        <v>0</v>
      </c>
      <c r="AL2519" s="470">
        <v>0</v>
      </c>
      <c r="AM2519" s="471">
        <v>0</v>
      </c>
      <c r="AN2519" s="477">
        <v>6.6700377198442427</v>
      </c>
      <c r="AO2519" s="473">
        <v>1.876481367736527E-2</v>
      </c>
      <c r="AP2519" s="474">
        <v>7.5213881355040883E-5</v>
      </c>
      <c r="AQ2519" s="352"/>
      <c r="AR2519" s="352"/>
      <c r="AS2519" s="352"/>
      <c r="AT2519" s="352"/>
      <c r="AU2519" s="352"/>
      <c r="AV2519" s="352"/>
      <c r="AW2519" s="352" t="s">
        <v>254</v>
      </c>
    </row>
    <row r="2520" spans="2:49" x14ac:dyDescent="0.2">
      <c r="B2520" s="460" t="s">
        <v>3102</v>
      </c>
      <c r="C2520" s="460">
        <v>8000</v>
      </c>
      <c r="D2520" s="460" t="s">
        <v>2285</v>
      </c>
      <c r="E2520" s="460" t="s">
        <v>2271</v>
      </c>
      <c r="F2520" s="460">
        <v>2</v>
      </c>
      <c r="G2520" s="460">
        <v>1</v>
      </c>
      <c r="H2520" s="461" t="s">
        <v>746</v>
      </c>
      <c r="I2520" s="461" t="s">
        <v>762</v>
      </c>
      <c r="J2520" s="461" t="s">
        <v>700</v>
      </c>
      <c r="K2520" s="594"/>
      <c r="L2520" s="594"/>
      <c r="M2520" s="352">
        <v>8000</v>
      </c>
      <c r="N2520" s="352" t="s">
        <v>760</v>
      </c>
      <c r="O2520" s="460">
        <v>2321</v>
      </c>
      <c r="P2520" s="460" t="s">
        <v>790</v>
      </c>
      <c r="Q2520" s="460" t="s">
        <v>2553</v>
      </c>
      <c r="R2520" s="460">
        <v>2321</v>
      </c>
      <c r="S2520" s="460" t="s">
        <v>2265</v>
      </c>
      <c r="T2520" s="462">
        <v>1</v>
      </c>
      <c r="U2520" s="460" t="s">
        <v>2271</v>
      </c>
      <c r="V2520" s="475">
        <v>0</v>
      </c>
      <c r="W2520" s="463" t="s">
        <v>2268</v>
      </c>
      <c r="X2520" s="463" t="s">
        <v>2268</v>
      </c>
      <c r="Y2520" s="463" t="s">
        <v>2554</v>
      </c>
      <c r="Z2520" s="463"/>
      <c r="AA2520" s="463"/>
      <c r="AB2520" s="464">
        <v>0</v>
      </c>
      <c r="AC2520" s="465">
        <v>0</v>
      </c>
      <c r="AD2520" s="465">
        <v>0</v>
      </c>
      <c r="AE2520" s="476">
        <v>0</v>
      </c>
      <c r="AF2520" s="467">
        <v>0</v>
      </c>
      <c r="AG2520" s="468">
        <v>0</v>
      </c>
      <c r="AH2520" s="218">
        <v>0</v>
      </c>
      <c r="AI2520" s="470">
        <v>0</v>
      </c>
      <c r="AJ2520" s="471">
        <v>0</v>
      </c>
      <c r="AK2520" s="218">
        <v>0</v>
      </c>
      <c r="AL2520" s="470">
        <v>0</v>
      </c>
      <c r="AM2520" s="471">
        <v>0</v>
      </c>
      <c r="AN2520" s="477">
        <v>5.277176413294673</v>
      </c>
      <c r="AO2520" s="473">
        <v>1.876481367736527E-2</v>
      </c>
      <c r="AP2520" s="474">
        <v>7.6596484572516427E-5</v>
      </c>
      <c r="AQ2520" s="352"/>
      <c r="AR2520" s="352"/>
      <c r="AS2520" s="352"/>
      <c r="AT2520" s="352"/>
      <c r="AU2520" s="352"/>
      <c r="AV2520" s="352"/>
      <c r="AW2520" s="352" t="s">
        <v>254</v>
      </c>
    </row>
    <row r="2521" spans="2:49" x14ac:dyDescent="0.2">
      <c r="B2521" s="460" t="s">
        <v>3103</v>
      </c>
      <c r="C2521" s="460">
        <v>8000</v>
      </c>
      <c r="D2521" s="460" t="s">
        <v>2286</v>
      </c>
      <c r="E2521" s="460" t="s">
        <v>2274</v>
      </c>
      <c r="F2521" s="460">
        <v>3</v>
      </c>
      <c r="G2521" s="460">
        <v>1</v>
      </c>
      <c r="H2521" s="461" t="s">
        <v>746</v>
      </c>
      <c r="I2521" s="461" t="s">
        <v>762</v>
      </c>
      <c r="J2521" s="461" t="s">
        <v>700</v>
      </c>
      <c r="K2521" s="594"/>
      <c r="L2521" s="594"/>
      <c r="M2521" s="352">
        <v>8000</v>
      </c>
      <c r="N2521" s="352" t="s">
        <v>760</v>
      </c>
      <c r="O2521" s="460">
        <v>2321</v>
      </c>
      <c r="P2521" s="460" t="s">
        <v>790</v>
      </c>
      <c r="Q2521" s="460" t="s">
        <v>2553</v>
      </c>
      <c r="R2521" s="460">
        <v>2321</v>
      </c>
      <c r="S2521" s="460" t="s">
        <v>2265</v>
      </c>
      <c r="T2521" s="462">
        <v>0.74223365950407583</v>
      </c>
      <c r="U2521" s="460" t="s">
        <v>2274</v>
      </c>
      <c r="V2521" s="475">
        <v>0</v>
      </c>
      <c r="W2521" s="463" t="s">
        <v>2268</v>
      </c>
      <c r="X2521" s="463" t="s">
        <v>2268</v>
      </c>
      <c r="Y2521" s="463" t="s">
        <v>2554</v>
      </c>
      <c r="Z2521" s="463"/>
      <c r="AA2521" s="463"/>
      <c r="AB2521" s="464">
        <v>0</v>
      </c>
      <c r="AC2521" s="465">
        <v>0</v>
      </c>
      <c r="AD2521" s="465">
        <v>0</v>
      </c>
      <c r="AE2521" s="476">
        <v>0</v>
      </c>
      <c r="AF2521" s="467">
        <v>0</v>
      </c>
      <c r="AG2521" s="468">
        <v>0</v>
      </c>
      <c r="AH2521" s="218">
        <v>0</v>
      </c>
      <c r="AI2521" s="470">
        <v>0</v>
      </c>
      <c r="AJ2521" s="471">
        <v>0</v>
      </c>
      <c r="AK2521" s="218">
        <v>0</v>
      </c>
      <c r="AL2521" s="470">
        <v>0</v>
      </c>
      <c r="AM2521" s="471">
        <v>0</v>
      </c>
      <c r="AN2521" s="477">
        <v>2.1779144721138901</v>
      </c>
      <c r="AO2521" s="473">
        <v>1.3927876325662959E-2</v>
      </c>
      <c r="AP2521" s="474">
        <v>1.0995242636709896E-4</v>
      </c>
      <c r="AQ2521" s="352"/>
      <c r="AR2521" s="352"/>
      <c r="AS2521" s="352"/>
      <c r="AT2521" s="352"/>
      <c r="AU2521" s="352"/>
      <c r="AV2521" s="352"/>
      <c r="AW2521" s="352" t="s">
        <v>254</v>
      </c>
    </row>
    <row r="2522" spans="2:49" x14ac:dyDescent="0.2">
      <c r="B2522" s="460" t="s">
        <v>3104</v>
      </c>
      <c r="C2522" s="460">
        <v>8000</v>
      </c>
      <c r="D2522" s="460" t="s">
        <v>2287</v>
      </c>
      <c r="E2522" s="460" t="s">
        <v>2277</v>
      </c>
      <c r="F2522" s="460">
        <v>4</v>
      </c>
      <c r="G2522" s="460">
        <v>1</v>
      </c>
      <c r="H2522" s="461" t="s">
        <v>746</v>
      </c>
      <c r="I2522" s="461" t="s">
        <v>762</v>
      </c>
      <c r="J2522" s="461" t="s">
        <v>700</v>
      </c>
      <c r="K2522" s="594"/>
      <c r="L2522" s="594"/>
      <c r="M2522" s="352">
        <v>8000</v>
      </c>
      <c r="N2522" s="352" t="s">
        <v>760</v>
      </c>
      <c r="O2522" s="460">
        <v>2321</v>
      </c>
      <c r="P2522" s="460" t="s">
        <v>790</v>
      </c>
      <c r="Q2522" s="460" t="s">
        <v>2553</v>
      </c>
      <c r="R2522" s="460">
        <v>2321</v>
      </c>
      <c r="S2522" s="460" t="s">
        <v>2277</v>
      </c>
      <c r="T2522" s="462">
        <v>1</v>
      </c>
      <c r="U2522" s="460" t="s">
        <v>2277</v>
      </c>
      <c r="V2522" s="475">
        <v>0</v>
      </c>
      <c r="W2522" s="463" t="s">
        <v>2268</v>
      </c>
      <c r="X2522" s="463" t="s">
        <v>2268</v>
      </c>
      <c r="Y2522" s="463" t="s">
        <v>2554</v>
      </c>
      <c r="Z2522" s="463"/>
      <c r="AA2522" s="463"/>
      <c r="AB2522" s="464">
        <v>0</v>
      </c>
      <c r="AC2522" s="465">
        <v>0</v>
      </c>
      <c r="AD2522" s="465">
        <v>0</v>
      </c>
      <c r="AE2522" s="476">
        <v>0</v>
      </c>
      <c r="AF2522" s="467">
        <v>0</v>
      </c>
      <c r="AG2522" s="468">
        <v>0</v>
      </c>
      <c r="AH2522" s="218">
        <v>0</v>
      </c>
      <c r="AI2522" s="470">
        <v>0</v>
      </c>
      <c r="AJ2522" s="471">
        <v>0</v>
      </c>
      <c r="AK2522" s="218">
        <v>0</v>
      </c>
      <c r="AL2522" s="470">
        <v>0</v>
      </c>
      <c r="AM2522" s="471">
        <v>0</v>
      </c>
      <c r="AN2522" s="477">
        <v>1.5324813858046122E-2</v>
      </c>
      <c r="AO2522" s="473">
        <v>8.6439929566608871E-5</v>
      </c>
      <c r="AP2522" s="474">
        <v>8.0331546767695627E-5</v>
      </c>
      <c r="AQ2522" s="352"/>
      <c r="AR2522" s="352"/>
      <c r="AS2522" s="352"/>
      <c r="AT2522" s="352"/>
      <c r="AU2522" s="352"/>
      <c r="AV2522" s="352"/>
      <c r="AW2522" s="352" t="s">
        <v>254</v>
      </c>
    </row>
    <row r="2523" spans="2:49" x14ac:dyDescent="0.2">
      <c r="B2523" s="460" t="s">
        <v>3101</v>
      </c>
      <c r="C2523" s="460">
        <v>8000</v>
      </c>
      <c r="D2523" s="460" t="s">
        <v>2288</v>
      </c>
      <c r="E2523" s="460" t="s">
        <v>2265</v>
      </c>
      <c r="F2523" s="460">
        <v>1</v>
      </c>
      <c r="G2523" s="460">
        <v>1</v>
      </c>
      <c r="H2523" s="461" t="s">
        <v>748</v>
      </c>
      <c r="I2523" s="461" t="s">
        <v>765</v>
      </c>
      <c r="J2523" s="461" t="s">
        <v>700</v>
      </c>
      <c r="K2523" s="594"/>
      <c r="L2523" s="594"/>
      <c r="M2523" s="352">
        <v>8000</v>
      </c>
      <c r="N2523" s="352" t="s">
        <v>760</v>
      </c>
      <c r="O2523" s="460">
        <v>2321</v>
      </c>
      <c r="P2523" s="460" t="s">
        <v>790</v>
      </c>
      <c r="Q2523" s="460" t="s">
        <v>2553</v>
      </c>
      <c r="R2523" s="460">
        <v>2321</v>
      </c>
      <c r="S2523" s="460" t="s">
        <v>2265</v>
      </c>
      <c r="T2523" s="462">
        <v>1</v>
      </c>
      <c r="U2523" s="460" t="s">
        <v>2265</v>
      </c>
      <c r="V2523" s="475">
        <v>0</v>
      </c>
      <c r="W2523" s="463" t="s">
        <v>2268</v>
      </c>
      <c r="X2523" s="463" t="s">
        <v>2268</v>
      </c>
      <c r="Y2523" s="463" t="s">
        <v>2554</v>
      </c>
      <c r="Z2523" s="463"/>
      <c r="AA2523" s="463"/>
      <c r="AB2523" s="464">
        <v>0</v>
      </c>
      <c r="AC2523" s="465">
        <v>0</v>
      </c>
      <c r="AD2523" s="465">
        <v>0</v>
      </c>
      <c r="AE2523" s="476">
        <v>0</v>
      </c>
      <c r="AF2523" s="467">
        <v>0</v>
      </c>
      <c r="AG2523" s="468">
        <v>0</v>
      </c>
      <c r="AH2523" s="218">
        <v>0</v>
      </c>
      <c r="AI2523" s="470">
        <v>0</v>
      </c>
      <c r="AJ2523" s="471">
        <v>0</v>
      </c>
      <c r="AK2523" s="218">
        <v>0</v>
      </c>
      <c r="AL2523" s="470">
        <v>0</v>
      </c>
      <c r="AM2523" s="471">
        <v>0</v>
      </c>
      <c r="AN2523" s="477">
        <v>3.3350188599221204</v>
      </c>
      <c r="AO2523" s="473">
        <v>9.3824068386826331E-3</v>
      </c>
      <c r="AP2523" s="474">
        <v>2.0710671253800855E-4</v>
      </c>
      <c r="AQ2523" s="352"/>
      <c r="AR2523" s="352"/>
      <c r="AS2523" s="352"/>
      <c r="AT2523" s="352"/>
      <c r="AU2523" s="352"/>
      <c r="AV2523" s="352"/>
      <c r="AW2523" s="352" t="s">
        <v>254</v>
      </c>
    </row>
    <row r="2524" spans="2:49" x14ac:dyDescent="0.2">
      <c r="B2524" s="460" t="s">
        <v>3102</v>
      </c>
      <c r="C2524" s="460">
        <v>8000</v>
      </c>
      <c r="D2524" s="460" t="s">
        <v>2291</v>
      </c>
      <c r="E2524" s="460" t="s">
        <v>2271</v>
      </c>
      <c r="F2524" s="460">
        <v>2</v>
      </c>
      <c r="G2524" s="460">
        <v>1</v>
      </c>
      <c r="H2524" s="461" t="s">
        <v>748</v>
      </c>
      <c r="I2524" s="461" t="s">
        <v>765</v>
      </c>
      <c r="J2524" s="461" t="s">
        <v>700</v>
      </c>
      <c r="K2524" s="594"/>
      <c r="L2524" s="594"/>
      <c r="M2524" s="352">
        <v>8000</v>
      </c>
      <c r="N2524" s="352" t="s">
        <v>760</v>
      </c>
      <c r="O2524" s="460">
        <v>2321</v>
      </c>
      <c r="P2524" s="460" t="s">
        <v>790</v>
      </c>
      <c r="Q2524" s="460" t="s">
        <v>2553</v>
      </c>
      <c r="R2524" s="460">
        <v>2321</v>
      </c>
      <c r="S2524" s="460" t="s">
        <v>2265</v>
      </c>
      <c r="T2524" s="462">
        <v>1</v>
      </c>
      <c r="U2524" s="460" t="s">
        <v>2271</v>
      </c>
      <c r="V2524" s="475">
        <v>0</v>
      </c>
      <c r="W2524" s="463" t="s">
        <v>2268</v>
      </c>
      <c r="X2524" s="463" t="s">
        <v>2268</v>
      </c>
      <c r="Y2524" s="463" t="s">
        <v>2554</v>
      </c>
      <c r="Z2524" s="463"/>
      <c r="AA2524" s="463"/>
      <c r="AB2524" s="464">
        <v>0</v>
      </c>
      <c r="AC2524" s="465">
        <v>0</v>
      </c>
      <c r="AD2524" s="465">
        <v>0</v>
      </c>
      <c r="AE2524" s="476">
        <v>0</v>
      </c>
      <c r="AF2524" s="467">
        <v>0</v>
      </c>
      <c r="AG2524" s="468">
        <v>0</v>
      </c>
      <c r="AH2524" s="218">
        <v>0</v>
      </c>
      <c r="AI2524" s="470">
        <v>0</v>
      </c>
      <c r="AJ2524" s="471">
        <v>0</v>
      </c>
      <c r="AK2524" s="218">
        <v>0</v>
      </c>
      <c r="AL2524" s="470">
        <v>0</v>
      </c>
      <c r="AM2524" s="471">
        <v>0</v>
      </c>
      <c r="AN2524" s="477">
        <v>2.6385882066473361</v>
      </c>
      <c r="AO2524" s="473">
        <v>9.3824068386826331E-3</v>
      </c>
      <c r="AP2524" s="474">
        <v>1.6782496833869426E-4</v>
      </c>
      <c r="AQ2524" s="352"/>
      <c r="AR2524" s="352"/>
      <c r="AS2524" s="352"/>
      <c r="AT2524" s="352"/>
      <c r="AU2524" s="352"/>
      <c r="AV2524" s="352"/>
      <c r="AW2524" s="352" t="s">
        <v>254</v>
      </c>
    </row>
    <row r="2525" spans="2:49" x14ac:dyDescent="0.2">
      <c r="B2525" s="460" t="s">
        <v>3103</v>
      </c>
      <c r="C2525" s="460">
        <v>8000</v>
      </c>
      <c r="D2525" s="460" t="s">
        <v>2292</v>
      </c>
      <c r="E2525" s="460" t="s">
        <v>2274</v>
      </c>
      <c r="F2525" s="460">
        <v>3</v>
      </c>
      <c r="G2525" s="460">
        <v>1</v>
      </c>
      <c r="H2525" s="461" t="s">
        <v>748</v>
      </c>
      <c r="I2525" s="461" t="s">
        <v>765</v>
      </c>
      <c r="J2525" s="461" t="s">
        <v>700</v>
      </c>
      <c r="K2525" s="594"/>
      <c r="L2525" s="594"/>
      <c r="M2525" s="352">
        <v>8000</v>
      </c>
      <c r="N2525" s="352" t="s">
        <v>760</v>
      </c>
      <c r="O2525" s="460">
        <v>2321</v>
      </c>
      <c r="P2525" s="460" t="s">
        <v>790</v>
      </c>
      <c r="Q2525" s="460" t="s">
        <v>2553</v>
      </c>
      <c r="R2525" s="460">
        <v>2321</v>
      </c>
      <c r="S2525" s="460" t="s">
        <v>2265</v>
      </c>
      <c r="T2525" s="462">
        <v>0.74223365950407583</v>
      </c>
      <c r="U2525" s="460" t="s">
        <v>2274</v>
      </c>
      <c r="V2525" s="475">
        <v>0</v>
      </c>
      <c r="W2525" s="463" t="s">
        <v>2268</v>
      </c>
      <c r="X2525" s="463" t="s">
        <v>2268</v>
      </c>
      <c r="Y2525" s="463" t="s">
        <v>2554</v>
      </c>
      <c r="Z2525" s="463"/>
      <c r="AA2525" s="463"/>
      <c r="AB2525" s="464">
        <v>0</v>
      </c>
      <c r="AC2525" s="465">
        <v>0</v>
      </c>
      <c r="AD2525" s="465">
        <v>0</v>
      </c>
      <c r="AE2525" s="476">
        <v>0</v>
      </c>
      <c r="AF2525" s="467">
        <v>0</v>
      </c>
      <c r="AG2525" s="468">
        <v>0</v>
      </c>
      <c r="AH2525" s="218">
        <v>0</v>
      </c>
      <c r="AI2525" s="470">
        <v>0</v>
      </c>
      <c r="AJ2525" s="471">
        <v>0</v>
      </c>
      <c r="AK2525" s="218">
        <v>0</v>
      </c>
      <c r="AL2525" s="470">
        <v>0</v>
      </c>
      <c r="AM2525" s="471">
        <v>0</v>
      </c>
      <c r="AN2525" s="477">
        <v>1.0889572360569448</v>
      </c>
      <c r="AO2525" s="473">
        <v>6.9639381628314777E-3</v>
      </c>
      <c r="AP2525" s="474">
        <v>1.5332168264368558E-4</v>
      </c>
      <c r="AQ2525" s="352"/>
      <c r="AR2525" s="352"/>
      <c r="AS2525" s="352"/>
      <c r="AT2525" s="352"/>
      <c r="AU2525" s="352"/>
      <c r="AV2525" s="352"/>
      <c r="AW2525" s="352" t="s">
        <v>254</v>
      </c>
    </row>
    <row r="2526" spans="2:49" x14ac:dyDescent="0.2">
      <c r="B2526" s="460" t="s">
        <v>3104</v>
      </c>
      <c r="C2526" s="460">
        <v>8000</v>
      </c>
      <c r="D2526" s="460" t="s">
        <v>2293</v>
      </c>
      <c r="E2526" s="460" t="s">
        <v>2277</v>
      </c>
      <c r="F2526" s="460">
        <v>4</v>
      </c>
      <c r="G2526" s="460">
        <v>1</v>
      </c>
      <c r="H2526" s="461" t="s">
        <v>748</v>
      </c>
      <c r="I2526" s="461" t="s">
        <v>765</v>
      </c>
      <c r="J2526" s="461" t="s">
        <v>700</v>
      </c>
      <c r="K2526" s="594"/>
      <c r="L2526" s="594"/>
      <c r="M2526" s="352">
        <v>8000</v>
      </c>
      <c r="N2526" s="352" t="s">
        <v>760</v>
      </c>
      <c r="O2526" s="460">
        <v>2321</v>
      </c>
      <c r="P2526" s="460" t="s">
        <v>790</v>
      </c>
      <c r="Q2526" s="460" t="s">
        <v>2553</v>
      </c>
      <c r="R2526" s="460">
        <v>2321</v>
      </c>
      <c r="S2526" s="460" t="s">
        <v>2277</v>
      </c>
      <c r="T2526" s="462">
        <v>1</v>
      </c>
      <c r="U2526" s="460" t="s">
        <v>2277</v>
      </c>
      <c r="V2526" s="475">
        <v>0</v>
      </c>
      <c r="W2526" s="463" t="s">
        <v>2268</v>
      </c>
      <c r="X2526" s="463" t="s">
        <v>2268</v>
      </c>
      <c r="Y2526" s="463" t="s">
        <v>2554</v>
      </c>
      <c r="Z2526" s="463"/>
      <c r="AA2526" s="463"/>
      <c r="AB2526" s="464">
        <v>0</v>
      </c>
      <c r="AC2526" s="465">
        <v>0</v>
      </c>
      <c r="AD2526" s="465">
        <v>0</v>
      </c>
      <c r="AE2526" s="476">
        <v>0</v>
      </c>
      <c r="AF2526" s="467">
        <v>0</v>
      </c>
      <c r="AG2526" s="468">
        <v>0</v>
      </c>
      <c r="AH2526" s="218">
        <v>0</v>
      </c>
      <c r="AI2526" s="470">
        <v>0</v>
      </c>
      <c r="AJ2526" s="471">
        <v>0</v>
      </c>
      <c r="AK2526" s="218">
        <v>0</v>
      </c>
      <c r="AL2526" s="470">
        <v>0</v>
      </c>
      <c r="AM2526" s="471">
        <v>0</v>
      </c>
      <c r="AN2526" s="477">
        <v>7.6624069290230591E-3</v>
      </c>
      <c r="AO2526" s="473">
        <v>4.3219964783304422E-5</v>
      </c>
      <c r="AP2526" s="474">
        <v>1.8501776750436417E-4</v>
      </c>
      <c r="AQ2526" s="352"/>
      <c r="AR2526" s="352"/>
      <c r="AS2526" s="352"/>
      <c r="AT2526" s="352"/>
      <c r="AU2526" s="352"/>
      <c r="AV2526" s="352"/>
      <c r="AW2526" s="352" t="s">
        <v>254</v>
      </c>
    </row>
    <row r="2527" spans="2:49" x14ac:dyDescent="0.2">
      <c r="B2527" s="460" t="s">
        <v>3105</v>
      </c>
      <c r="C2527" s="460">
        <v>8000</v>
      </c>
      <c r="D2527" s="460" t="s">
        <v>2295</v>
      </c>
      <c r="E2527" s="460" t="s">
        <v>2296</v>
      </c>
      <c r="F2527" s="460">
        <v>1</v>
      </c>
      <c r="G2527" s="460">
        <v>2</v>
      </c>
      <c r="H2527" s="461" t="s">
        <v>700</v>
      </c>
      <c r="I2527" s="461" t="s">
        <v>872</v>
      </c>
      <c r="J2527" s="461" t="s">
        <v>700</v>
      </c>
      <c r="K2527" s="594"/>
      <c r="L2527" s="594"/>
      <c r="M2527" s="352">
        <v>8000</v>
      </c>
      <c r="N2527" s="352" t="s">
        <v>760</v>
      </c>
      <c r="O2527" s="460">
        <v>2321</v>
      </c>
      <c r="P2527" s="460" t="s">
        <v>790</v>
      </c>
      <c r="Q2527" s="460" t="s">
        <v>2553</v>
      </c>
      <c r="R2527" s="460">
        <v>2321</v>
      </c>
      <c r="S2527" s="460" t="s">
        <v>2296</v>
      </c>
      <c r="T2527" s="462">
        <v>1</v>
      </c>
      <c r="U2527" s="460" t="s">
        <v>2296</v>
      </c>
      <c r="V2527" s="475">
        <v>0</v>
      </c>
      <c r="W2527" s="463" t="s">
        <v>2554</v>
      </c>
      <c r="X2527" s="463" t="s">
        <v>2554</v>
      </c>
      <c r="Y2527" s="463" t="s">
        <v>2268</v>
      </c>
      <c r="Z2527" s="463"/>
      <c r="AA2527" s="463"/>
      <c r="AB2527" s="464">
        <v>0</v>
      </c>
      <c r="AC2527" s="465">
        <v>0</v>
      </c>
      <c r="AD2527" s="465">
        <v>0</v>
      </c>
      <c r="AE2527" s="476">
        <v>0</v>
      </c>
      <c r="AF2527" s="467">
        <v>0</v>
      </c>
      <c r="AG2527" s="468">
        <v>0</v>
      </c>
      <c r="AH2527" s="218">
        <v>0</v>
      </c>
      <c r="AI2527" s="470">
        <v>0</v>
      </c>
      <c r="AJ2527" s="471">
        <v>0</v>
      </c>
      <c r="AK2527" s="218">
        <v>0</v>
      </c>
      <c r="AL2527" s="470">
        <v>0</v>
      </c>
      <c r="AM2527" s="471">
        <v>0</v>
      </c>
      <c r="AN2527" s="477">
        <v>0</v>
      </c>
      <c r="AO2527" s="473">
        <v>0</v>
      </c>
      <c r="AP2527" s="474">
        <v>0</v>
      </c>
      <c r="AQ2527" s="352"/>
      <c r="AR2527" s="352"/>
      <c r="AS2527" s="352"/>
      <c r="AT2527" s="352"/>
      <c r="AU2527" s="352"/>
      <c r="AV2527" s="352"/>
      <c r="AW2527" s="352" t="s">
        <v>254</v>
      </c>
    </row>
    <row r="2528" spans="2:49" x14ac:dyDescent="0.2">
      <c r="B2528" s="460" t="s">
        <v>3106</v>
      </c>
      <c r="C2528" s="460">
        <v>8000</v>
      </c>
      <c r="D2528" s="460" t="s">
        <v>2298</v>
      </c>
      <c r="E2528" s="460" t="s">
        <v>2299</v>
      </c>
      <c r="F2528" s="460">
        <v>2</v>
      </c>
      <c r="G2528" s="460">
        <v>2</v>
      </c>
      <c r="H2528" s="461" t="s">
        <v>700</v>
      </c>
      <c r="I2528" s="461" t="s">
        <v>872</v>
      </c>
      <c r="J2528" s="461" t="s">
        <v>700</v>
      </c>
      <c r="K2528" s="594"/>
      <c r="L2528" s="594"/>
      <c r="M2528" s="352">
        <v>8000</v>
      </c>
      <c r="N2528" s="352" t="s">
        <v>760</v>
      </c>
      <c r="O2528" s="460">
        <v>2321</v>
      </c>
      <c r="P2528" s="460" t="s">
        <v>790</v>
      </c>
      <c r="Q2528" s="460" t="s">
        <v>2553</v>
      </c>
      <c r="R2528" s="460">
        <v>2321</v>
      </c>
      <c r="S2528" s="460" t="s">
        <v>2296</v>
      </c>
      <c r="T2528" s="462">
        <v>0.55517361979372948</v>
      </c>
      <c r="U2528" s="460" t="s">
        <v>2299</v>
      </c>
      <c r="V2528" s="475">
        <v>0</v>
      </c>
      <c r="W2528" s="463" t="s">
        <v>2554</v>
      </c>
      <c r="X2528" s="463" t="s">
        <v>2554</v>
      </c>
      <c r="Y2528" s="463" t="s">
        <v>2268</v>
      </c>
      <c r="Z2528" s="463"/>
      <c r="AA2528" s="463"/>
      <c r="AB2528" s="464">
        <v>0</v>
      </c>
      <c r="AC2528" s="465">
        <v>0</v>
      </c>
      <c r="AD2528" s="465">
        <v>0</v>
      </c>
      <c r="AE2528" s="476">
        <v>0</v>
      </c>
      <c r="AF2528" s="467">
        <v>0</v>
      </c>
      <c r="AG2528" s="468">
        <v>0</v>
      </c>
      <c r="AH2528" s="218">
        <v>0</v>
      </c>
      <c r="AI2528" s="470">
        <v>0</v>
      </c>
      <c r="AJ2528" s="471">
        <v>0</v>
      </c>
      <c r="AK2528" s="218">
        <v>0</v>
      </c>
      <c r="AL2528" s="470">
        <v>0</v>
      </c>
      <c r="AM2528" s="471">
        <v>0</v>
      </c>
      <c r="AN2528" s="477">
        <v>0</v>
      </c>
      <c r="AO2528" s="473">
        <v>0</v>
      </c>
      <c r="AP2528" s="474">
        <v>0</v>
      </c>
      <c r="AQ2528" s="352"/>
      <c r="AR2528" s="352"/>
      <c r="AS2528" s="352"/>
      <c r="AT2528" s="352"/>
      <c r="AU2528" s="352"/>
      <c r="AV2528" s="352"/>
      <c r="AW2528" s="352" t="s">
        <v>254</v>
      </c>
    </row>
    <row r="2529" spans="2:49" x14ac:dyDescent="0.2">
      <c r="B2529" s="460" t="s">
        <v>3107</v>
      </c>
      <c r="C2529" s="460">
        <v>8000</v>
      </c>
      <c r="D2529" s="460" t="s">
        <v>2301</v>
      </c>
      <c r="E2529" s="460" t="s">
        <v>2302</v>
      </c>
      <c r="F2529" s="460">
        <v>3</v>
      </c>
      <c r="G2529" s="460">
        <v>2</v>
      </c>
      <c r="H2529" s="461" t="s">
        <v>700</v>
      </c>
      <c r="I2529" s="461" t="s">
        <v>872</v>
      </c>
      <c r="J2529" s="461" t="s">
        <v>700</v>
      </c>
      <c r="K2529" s="594"/>
      <c r="L2529" s="594"/>
      <c r="M2529" s="352">
        <v>8000</v>
      </c>
      <c r="N2529" s="352" t="s">
        <v>760</v>
      </c>
      <c r="O2529" s="460">
        <v>2321</v>
      </c>
      <c r="P2529" s="460" t="s">
        <v>790</v>
      </c>
      <c r="Q2529" s="460" t="s">
        <v>2553</v>
      </c>
      <c r="R2529" s="460">
        <v>2321</v>
      </c>
      <c r="S2529" s="460" t="s">
        <v>2296</v>
      </c>
      <c r="T2529" s="462">
        <v>0.28481449642268464</v>
      </c>
      <c r="U2529" s="460" t="s">
        <v>2302</v>
      </c>
      <c r="V2529" s="475">
        <v>0</v>
      </c>
      <c r="W2529" s="463" t="s">
        <v>2554</v>
      </c>
      <c r="X2529" s="463" t="s">
        <v>2554</v>
      </c>
      <c r="Y2529" s="463" t="s">
        <v>2268</v>
      </c>
      <c r="Z2529" s="463"/>
      <c r="AA2529" s="463"/>
      <c r="AB2529" s="464">
        <v>0</v>
      </c>
      <c r="AC2529" s="465">
        <v>0</v>
      </c>
      <c r="AD2529" s="465">
        <v>0</v>
      </c>
      <c r="AE2529" s="476">
        <v>0</v>
      </c>
      <c r="AF2529" s="467">
        <v>0</v>
      </c>
      <c r="AG2529" s="468">
        <v>0</v>
      </c>
      <c r="AH2529" s="218">
        <v>0</v>
      </c>
      <c r="AI2529" s="470">
        <v>0</v>
      </c>
      <c r="AJ2529" s="471">
        <v>0</v>
      </c>
      <c r="AK2529" s="218">
        <v>0</v>
      </c>
      <c r="AL2529" s="470">
        <v>0</v>
      </c>
      <c r="AM2529" s="471">
        <v>0</v>
      </c>
      <c r="AN2529" s="477">
        <v>0</v>
      </c>
      <c r="AO2529" s="473">
        <v>0</v>
      </c>
      <c r="AP2529" s="474">
        <v>0</v>
      </c>
      <c r="AQ2529" s="352"/>
      <c r="AR2529" s="352"/>
      <c r="AS2529" s="352"/>
      <c r="AT2529" s="352"/>
      <c r="AU2529" s="352"/>
      <c r="AV2529" s="352"/>
      <c r="AW2529" s="352" t="s">
        <v>254</v>
      </c>
    </row>
    <row r="2530" spans="2:49" x14ac:dyDescent="0.2">
      <c r="B2530" s="460" t="s">
        <v>3108</v>
      </c>
      <c r="C2530" s="460">
        <v>8000</v>
      </c>
      <c r="D2530" s="460" t="s">
        <v>2304</v>
      </c>
      <c r="E2530" s="460" t="s">
        <v>2305</v>
      </c>
      <c r="F2530" s="460">
        <v>4</v>
      </c>
      <c r="G2530" s="460">
        <v>2</v>
      </c>
      <c r="H2530" s="461" t="s">
        <v>700</v>
      </c>
      <c r="I2530" s="461" t="s">
        <v>872</v>
      </c>
      <c r="J2530" s="461" t="s">
        <v>700</v>
      </c>
      <c r="K2530" s="594"/>
      <c r="L2530" s="594"/>
      <c r="M2530" s="352">
        <v>8000</v>
      </c>
      <c r="N2530" s="352" t="s">
        <v>760</v>
      </c>
      <c r="O2530" s="460">
        <v>2321</v>
      </c>
      <c r="P2530" s="460" t="s">
        <v>790</v>
      </c>
      <c r="Q2530" s="460" t="s">
        <v>2553</v>
      </c>
      <c r="R2530" s="460">
        <v>2321</v>
      </c>
      <c r="S2530" s="460" t="s">
        <v>2305</v>
      </c>
      <c r="T2530" s="462">
        <v>1</v>
      </c>
      <c r="U2530" s="460" t="s">
        <v>2305</v>
      </c>
      <c r="V2530" s="475">
        <v>0</v>
      </c>
      <c r="W2530" s="463" t="s">
        <v>2554</v>
      </c>
      <c r="X2530" s="463" t="s">
        <v>2554</v>
      </c>
      <c r="Y2530" s="463" t="s">
        <v>2268</v>
      </c>
      <c r="Z2530" s="463"/>
      <c r="AA2530" s="463"/>
      <c r="AB2530" s="464">
        <v>0</v>
      </c>
      <c r="AC2530" s="465">
        <v>0</v>
      </c>
      <c r="AD2530" s="465">
        <v>0</v>
      </c>
      <c r="AE2530" s="476">
        <v>0</v>
      </c>
      <c r="AF2530" s="467">
        <v>0</v>
      </c>
      <c r="AG2530" s="468">
        <v>0</v>
      </c>
      <c r="AH2530" s="218">
        <v>0</v>
      </c>
      <c r="AI2530" s="470">
        <v>0</v>
      </c>
      <c r="AJ2530" s="471">
        <v>0</v>
      </c>
      <c r="AK2530" s="218">
        <v>0</v>
      </c>
      <c r="AL2530" s="470">
        <v>0</v>
      </c>
      <c r="AM2530" s="471">
        <v>0</v>
      </c>
      <c r="AN2530" s="477">
        <v>0</v>
      </c>
      <c r="AO2530" s="473">
        <v>0</v>
      </c>
      <c r="AP2530" s="474">
        <v>0</v>
      </c>
      <c r="AQ2530" s="352"/>
      <c r="AR2530" s="352"/>
      <c r="AS2530" s="352"/>
      <c r="AT2530" s="352"/>
      <c r="AU2530" s="352"/>
      <c r="AV2530" s="352"/>
      <c r="AW2530" s="352" t="s">
        <v>254</v>
      </c>
    </row>
    <row r="2531" spans="2:49" x14ac:dyDescent="0.2">
      <c r="B2531" s="460" t="s">
        <v>3105</v>
      </c>
      <c r="C2531" s="460">
        <v>8000</v>
      </c>
      <c r="D2531" s="460" t="s">
        <v>2306</v>
      </c>
      <c r="E2531" s="460" t="s">
        <v>2296</v>
      </c>
      <c r="F2531" s="460">
        <v>1</v>
      </c>
      <c r="G2531" s="460">
        <v>2</v>
      </c>
      <c r="H2531" s="461" t="s">
        <v>712</v>
      </c>
      <c r="I2531" s="461" t="s">
        <v>713</v>
      </c>
      <c r="J2531" s="461" t="s">
        <v>712</v>
      </c>
      <c r="K2531" s="594"/>
      <c r="L2531" s="594"/>
      <c r="M2531" s="352">
        <v>8000</v>
      </c>
      <c r="N2531" s="352" t="s">
        <v>760</v>
      </c>
      <c r="O2531" s="460">
        <v>2321</v>
      </c>
      <c r="P2531" s="460" t="s">
        <v>790</v>
      </c>
      <c r="Q2531" s="460" t="s">
        <v>2280</v>
      </c>
      <c r="R2531" s="460">
        <v>2321</v>
      </c>
      <c r="S2531" s="460" t="s">
        <v>2296</v>
      </c>
      <c r="T2531" s="462">
        <v>1</v>
      </c>
      <c r="U2531" s="460" t="s">
        <v>2296</v>
      </c>
      <c r="V2531" s="475">
        <v>0</v>
      </c>
      <c r="W2531" s="463" t="s">
        <v>713</v>
      </c>
      <c r="X2531" s="463" t="s">
        <v>713</v>
      </c>
      <c r="Y2531" s="463" t="s">
        <v>713</v>
      </c>
      <c r="Z2531" s="463"/>
      <c r="AA2531" s="463"/>
      <c r="AB2531" s="464">
        <v>152.69212564399589</v>
      </c>
      <c r="AC2531" s="465">
        <v>1</v>
      </c>
      <c r="AD2531" s="465">
        <v>1.3206306642228769E-3</v>
      </c>
      <c r="AE2531" s="476">
        <v>152.69212564399589</v>
      </c>
      <c r="AF2531" s="467">
        <v>1</v>
      </c>
      <c r="AG2531" s="468">
        <v>1.3012940026607288E-3</v>
      </c>
      <c r="AH2531" s="218">
        <v>152.69212564399589</v>
      </c>
      <c r="AI2531" s="470">
        <v>1</v>
      </c>
      <c r="AJ2531" s="471">
        <v>1.3165797803345702E-3</v>
      </c>
      <c r="AK2531" s="218">
        <v>152.69212564399589</v>
      </c>
      <c r="AL2531" s="470">
        <v>1</v>
      </c>
      <c r="AM2531" s="471">
        <v>1.3165797803345702E-3</v>
      </c>
      <c r="AN2531" s="477">
        <v>152.69212564399589</v>
      </c>
      <c r="AO2531" s="473">
        <v>1</v>
      </c>
      <c r="AP2531" s="474">
        <v>1.3162566735321732E-3</v>
      </c>
      <c r="AQ2531" s="352"/>
      <c r="AR2531" s="352"/>
      <c r="AS2531" s="352"/>
      <c r="AT2531" s="352"/>
      <c r="AU2531" s="352"/>
      <c r="AV2531" s="352"/>
      <c r="AW2531" s="352" t="s">
        <v>254</v>
      </c>
    </row>
    <row r="2532" spans="2:49" x14ac:dyDescent="0.2">
      <c r="B2532" s="460" t="s">
        <v>3106</v>
      </c>
      <c r="C2532" s="460">
        <v>8000</v>
      </c>
      <c r="D2532" s="460" t="s">
        <v>2307</v>
      </c>
      <c r="E2532" s="460" t="s">
        <v>2299</v>
      </c>
      <c r="F2532" s="460">
        <v>2</v>
      </c>
      <c r="G2532" s="460">
        <v>2</v>
      </c>
      <c r="H2532" s="461" t="s">
        <v>712</v>
      </c>
      <c r="I2532" s="461" t="s">
        <v>713</v>
      </c>
      <c r="J2532" s="461" t="s">
        <v>712</v>
      </c>
      <c r="K2532" s="594"/>
      <c r="L2532" s="594"/>
      <c r="M2532" s="352">
        <v>8000</v>
      </c>
      <c r="N2532" s="352" t="s">
        <v>760</v>
      </c>
      <c r="O2532" s="460">
        <v>2321</v>
      </c>
      <c r="P2532" s="460" t="s">
        <v>790</v>
      </c>
      <c r="Q2532" s="460" t="s">
        <v>2280</v>
      </c>
      <c r="R2532" s="460">
        <v>2321</v>
      </c>
      <c r="S2532" s="460" t="s">
        <v>2296</v>
      </c>
      <c r="T2532" s="462">
        <v>0.55517361979372948</v>
      </c>
      <c r="U2532" s="460" t="s">
        <v>2299</v>
      </c>
      <c r="V2532" s="475">
        <v>0</v>
      </c>
      <c r="W2532" s="463" t="s">
        <v>713</v>
      </c>
      <c r="X2532" s="463" t="s">
        <v>713</v>
      </c>
      <c r="Y2532" s="463" t="s">
        <v>713</v>
      </c>
      <c r="Z2532" s="463"/>
      <c r="AA2532" s="463"/>
      <c r="AB2532" s="464">
        <v>94.759713414153779</v>
      </c>
      <c r="AC2532" s="465">
        <v>1</v>
      </c>
      <c r="AD2532" s="465">
        <v>1.0960621553266707E-3</v>
      </c>
      <c r="AE2532" s="476">
        <v>94.759713414153779</v>
      </c>
      <c r="AF2532" s="467">
        <v>1</v>
      </c>
      <c r="AG2532" s="468">
        <v>1.0915187435209385E-3</v>
      </c>
      <c r="AH2532" s="218">
        <v>94.759713414153779</v>
      </c>
      <c r="AI2532" s="470">
        <v>1</v>
      </c>
      <c r="AJ2532" s="471">
        <v>1.110195446284883E-3</v>
      </c>
      <c r="AK2532" s="218">
        <v>94.759713414153779</v>
      </c>
      <c r="AL2532" s="470">
        <v>1</v>
      </c>
      <c r="AM2532" s="471">
        <v>1.110195446284883E-3</v>
      </c>
      <c r="AN2532" s="477">
        <v>94.759713414153779</v>
      </c>
      <c r="AO2532" s="473">
        <v>1</v>
      </c>
      <c r="AP2532" s="474">
        <v>1.1100553010949669E-3</v>
      </c>
      <c r="AQ2532" s="352"/>
      <c r="AR2532" s="352"/>
      <c r="AS2532" s="352"/>
      <c r="AT2532" s="352"/>
      <c r="AU2532" s="352"/>
      <c r="AV2532" s="352"/>
      <c r="AW2532" s="352" t="s">
        <v>254</v>
      </c>
    </row>
    <row r="2533" spans="2:49" x14ac:dyDescent="0.2">
      <c r="B2533" s="460" t="s">
        <v>3107</v>
      </c>
      <c r="C2533" s="460">
        <v>8000</v>
      </c>
      <c r="D2533" s="460" t="s">
        <v>2308</v>
      </c>
      <c r="E2533" s="460" t="s">
        <v>2302</v>
      </c>
      <c r="F2533" s="460">
        <v>3</v>
      </c>
      <c r="G2533" s="460">
        <v>2</v>
      </c>
      <c r="H2533" s="461" t="s">
        <v>712</v>
      </c>
      <c r="I2533" s="461" t="s">
        <v>713</v>
      </c>
      <c r="J2533" s="461" t="s">
        <v>712</v>
      </c>
      <c r="K2533" s="594"/>
      <c r="L2533" s="594"/>
      <c r="M2533" s="352">
        <v>8000</v>
      </c>
      <c r="N2533" s="352" t="s">
        <v>760</v>
      </c>
      <c r="O2533" s="460">
        <v>2321</v>
      </c>
      <c r="P2533" s="460" t="s">
        <v>790</v>
      </c>
      <c r="Q2533" s="460" t="s">
        <v>2280</v>
      </c>
      <c r="R2533" s="460">
        <v>2321</v>
      </c>
      <c r="S2533" s="460" t="s">
        <v>2296</v>
      </c>
      <c r="T2533" s="462">
        <v>0.28481449642268464</v>
      </c>
      <c r="U2533" s="460" t="s">
        <v>2302</v>
      </c>
      <c r="V2533" s="475">
        <v>0</v>
      </c>
      <c r="W2533" s="463" t="s">
        <v>713</v>
      </c>
      <c r="X2533" s="463" t="s">
        <v>713</v>
      </c>
      <c r="Y2533" s="463" t="s">
        <v>713</v>
      </c>
      <c r="Z2533" s="463"/>
      <c r="AA2533" s="463"/>
      <c r="AB2533" s="464">
        <v>33.689990215409473</v>
      </c>
      <c r="AC2533" s="465">
        <v>1</v>
      </c>
      <c r="AD2533" s="465">
        <v>9.7995762744721034E-4</v>
      </c>
      <c r="AE2533" s="476">
        <v>33.689990215409473</v>
      </c>
      <c r="AF2533" s="467">
        <v>1</v>
      </c>
      <c r="AG2533" s="468">
        <v>9.7829252104068409E-4</v>
      </c>
      <c r="AH2533" s="218">
        <v>33.689990215409473</v>
      </c>
      <c r="AI2533" s="470">
        <v>1</v>
      </c>
      <c r="AJ2533" s="471">
        <v>9.9293074129523868E-4</v>
      </c>
      <c r="AK2533" s="218">
        <v>33.689990215409473</v>
      </c>
      <c r="AL2533" s="470">
        <v>1</v>
      </c>
      <c r="AM2533" s="471">
        <v>9.9293074129523868E-4</v>
      </c>
      <c r="AN2533" s="477">
        <v>33.689990215409473</v>
      </c>
      <c r="AO2533" s="473">
        <v>1</v>
      </c>
      <c r="AP2533" s="474">
        <v>9.9379414971218849E-4</v>
      </c>
      <c r="AQ2533" s="352"/>
      <c r="AR2533" s="352"/>
      <c r="AS2533" s="352"/>
      <c r="AT2533" s="352"/>
      <c r="AU2533" s="352"/>
      <c r="AV2533" s="352"/>
      <c r="AW2533" s="352" t="s">
        <v>254</v>
      </c>
    </row>
    <row r="2534" spans="2:49" x14ac:dyDescent="0.2">
      <c r="B2534" s="460" t="s">
        <v>3108</v>
      </c>
      <c r="C2534" s="460">
        <v>8000</v>
      </c>
      <c r="D2534" s="460" t="s">
        <v>2309</v>
      </c>
      <c r="E2534" s="460" t="s">
        <v>2305</v>
      </c>
      <c r="F2534" s="460">
        <v>4</v>
      </c>
      <c r="G2534" s="460">
        <v>2</v>
      </c>
      <c r="H2534" s="461" t="s">
        <v>712</v>
      </c>
      <c r="I2534" s="461" t="s">
        <v>713</v>
      </c>
      <c r="J2534" s="461" t="s">
        <v>712</v>
      </c>
      <c r="K2534" s="594"/>
      <c r="L2534" s="594"/>
      <c r="M2534" s="352">
        <v>8000</v>
      </c>
      <c r="N2534" s="352" t="s">
        <v>760</v>
      </c>
      <c r="O2534" s="460">
        <v>2321</v>
      </c>
      <c r="P2534" s="460" t="s">
        <v>790</v>
      </c>
      <c r="Q2534" s="460" t="s">
        <v>2280</v>
      </c>
      <c r="R2534" s="460">
        <v>2321</v>
      </c>
      <c r="S2534" s="460" t="s">
        <v>2305</v>
      </c>
      <c r="T2534" s="462">
        <v>1</v>
      </c>
      <c r="U2534" s="460" t="s">
        <v>2305</v>
      </c>
      <c r="V2534" s="475">
        <v>0</v>
      </c>
      <c r="W2534" s="463" t="s">
        <v>713</v>
      </c>
      <c r="X2534" s="463" t="s">
        <v>713</v>
      </c>
      <c r="Y2534" s="463" t="s">
        <v>713</v>
      </c>
      <c r="Z2534" s="463"/>
      <c r="AA2534" s="463"/>
      <c r="AB2534" s="464">
        <v>38.261971577003536</v>
      </c>
      <c r="AC2534" s="465">
        <v>1</v>
      </c>
      <c r="AD2534" s="465">
        <v>9.7720702037309482E-4</v>
      </c>
      <c r="AE2534" s="476">
        <v>38.261971577003536</v>
      </c>
      <c r="AF2534" s="467">
        <v>1</v>
      </c>
      <c r="AG2534" s="468">
        <v>9.7717567510295124E-4</v>
      </c>
      <c r="AH2534" s="218">
        <v>38.261971577003536</v>
      </c>
      <c r="AI2534" s="470">
        <v>1</v>
      </c>
      <c r="AJ2534" s="471">
        <v>9.7717685800339182E-4</v>
      </c>
      <c r="AK2534" s="218">
        <v>38.261971577003536</v>
      </c>
      <c r="AL2534" s="470">
        <v>1</v>
      </c>
      <c r="AM2534" s="471">
        <v>9.7717685800339182E-4</v>
      </c>
      <c r="AN2534" s="477">
        <v>38.261971577003536</v>
      </c>
      <c r="AO2534" s="473">
        <v>1</v>
      </c>
      <c r="AP2534" s="474">
        <v>9.7717805328501983E-4</v>
      </c>
      <c r="AQ2534" s="352"/>
      <c r="AR2534" s="352"/>
      <c r="AS2534" s="352"/>
      <c r="AT2534" s="352"/>
      <c r="AU2534" s="352"/>
      <c r="AV2534" s="352"/>
      <c r="AW2534" s="352" t="s">
        <v>254</v>
      </c>
    </row>
    <row r="2535" spans="2:49" x14ac:dyDescent="0.2">
      <c r="B2535" s="460" t="s">
        <v>3105</v>
      </c>
      <c r="C2535" s="460">
        <v>8000</v>
      </c>
      <c r="D2535" s="460" t="s">
        <v>2310</v>
      </c>
      <c r="E2535" s="460" t="s">
        <v>2296</v>
      </c>
      <c r="F2535" s="460">
        <v>1</v>
      </c>
      <c r="G2535" s="460">
        <v>2</v>
      </c>
      <c r="H2535" s="461" t="s">
        <v>746</v>
      </c>
      <c r="I2535" s="461" t="s">
        <v>762</v>
      </c>
      <c r="J2535" s="461" t="s">
        <v>700</v>
      </c>
      <c r="K2535" s="594"/>
      <c r="L2535" s="594"/>
      <c r="M2535" s="352">
        <v>8000</v>
      </c>
      <c r="N2535" s="352" t="s">
        <v>760</v>
      </c>
      <c r="O2535" s="460">
        <v>2321</v>
      </c>
      <c r="P2535" s="460" t="s">
        <v>790</v>
      </c>
      <c r="Q2535" s="460" t="s">
        <v>2553</v>
      </c>
      <c r="R2535" s="460">
        <v>2321</v>
      </c>
      <c r="S2535" s="460" t="s">
        <v>2296</v>
      </c>
      <c r="T2535" s="462">
        <v>1</v>
      </c>
      <c r="U2535" s="460" t="s">
        <v>2296</v>
      </c>
      <c r="V2535" s="475">
        <v>0</v>
      </c>
      <c r="W2535" s="463" t="s">
        <v>2268</v>
      </c>
      <c r="X2535" s="463" t="s">
        <v>2268</v>
      </c>
      <c r="Y2535" s="463" t="s">
        <v>2554</v>
      </c>
      <c r="Z2535" s="463"/>
      <c r="AA2535" s="463"/>
      <c r="AB2535" s="464">
        <v>0</v>
      </c>
      <c r="AC2535" s="465">
        <v>0</v>
      </c>
      <c r="AD2535" s="465">
        <v>0</v>
      </c>
      <c r="AE2535" s="476">
        <v>0</v>
      </c>
      <c r="AF2535" s="467">
        <v>0</v>
      </c>
      <c r="AG2535" s="468">
        <v>0</v>
      </c>
      <c r="AH2535" s="218">
        <v>0</v>
      </c>
      <c r="AI2535" s="470">
        <v>0</v>
      </c>
      <c r="AJ2535" s="471">
        <v>0</v>
      </c>
      <c r="AK2535" s="218">
        <v>0</v>
      </c>
      <c r="AL2535" s="470">
        <v>0</v>
      </c>
      <c r="AM2535" s="471">
        <v>0</v>
      </c>
      <c r="AN2535" s="477">
        <v>0</v>
      </c>
      <c r="AO2535" s="473">
        <v>0</v>
      </c>
      <c r="AP2535" s="474">
        <v>0</v>
      </c>
      <c r="AQ2535" s="352"/>
      <c r="AR2535" s="352"/>
      <c r="AS2535" s="352"/>
      <c r="AT2535" s="352"/>
      <c r="AU2535" s="352"/>
      <c r="AV2535" s="352"/>
      <c r="AW2535" s="352" t="s">
        <v>254</v>
      </c>
    </row>
    <row r="2536" spans="2:49" x14ac:dyDescent="0.2">
      <c r="B2536" s="460" t="s">
        <v>3106</v>
      </c>
      <c r="C2536" s="460">
        <v>8000</v>
      </c>
      <c r="D2536" s="460" t="s">
        <v>2311</v>
      </c>
      <c r="E2536" s="460" t="s">
        <v>2299</v>
      </c>
      <c r="F2536" s="460">
        <v>2</v>
      </c>
      <c r="G2536" s="460">
        <v>2</v>
      </c>
      <c r="H2536" s="461" t="s">
        <v>746</v>
      </c>
      <c r="I2536" s="461" t="s">
        <v>762</v>
      </c>
      <c r="J2536" s="461" t="s">
        <v>700</v>
      </c>
      <c r="K2536" s="594"/>
      <c r="L2536" s="594"/>
      <c r="M2536" s="352">
        <v>8000</v>
      </c>
      <c r="N2536" s="352" t="s">
        <v>760</v>
      </c>
      <c r="O2536" s="460">
        <v>2321</v>
      </c>
      <c r="P2536" s="460" t="s">
        <v>790</v>
      </c>
      <c r="Q2536" s="460" t="s">
        <v>2553</v>
      </c>
      <c r="R2536" s="460">
        <v>2321</v>
      </c>
      <c r="S2536" s="460" t="s">
        <v>2296</v>
      </c>
      <c r="T2536" s="462">
        <v>0.55517361979372948</v>
      </c>
      <c r="U2536" s="460" t="s">
        <v>2299</v>
      </c>
      <c r="V2536" s="475">
        <v>0</v>
      </c>
      <c r="W2536" s="463" t="s">
        <v>2268</v>
      </c>
      <c r="X2536" s="463" t="s">
        <v>2268</v>
      </c>
      <c r="Y2536" s="463" t="s">
        <v>2554</v>
      </c>
      <c r="Z2536" s="463"/>
      <c r="AA2536" s="463"/>
      <c r="AB2536" s="464">
        <v>0</v>
      </c>
      <c r="AC2536" s="465">
        <v>0</v>
      </c>
      <c r="AD2536" s="465">
        <v>0</v>
      </c>
      <c r="AE2536" s="476">
        <v>0</v>
      </c>
      <c r="AF2536" s="467">
        <v>0</v>
      </c>
      <c r="AG2536" s="468">
        <v>0</v>
      </c>
      <c r="AH2536" s="218">
        <v>0</v>
      </c>
      <c r="AI2536" s="470">
        <v>0</v>
      </c>
      <c r="AJ2536" s="471">
        <v>0</v>
      </c>
      <c r="AK2536" s="218">
        <v>0</v>
      </c>
      <c r="AL2536" s="470">
        <v>0</v>
      </c>
      <c r="AM2536" s="471">
        <v>0</v>
      </c>
      <c r="AN2536" s="477">
        <v>0</v>
      </c>
      <c r="AO2536" s="473">
        <v>0</v>
      </c>
      <c r="AP2536" s="474">
        <v>0</v>
      </c>
      <c r="AQ2536" s="352"/>
      <c r="AR2536" s="352"/>
      <c r="AS2536" s="352"/>
      <c r="AT2536" s="352"/>
      <c r="AU2536" s="352"/>
      <c r="AV2536" s="352"/>
      <c r="AW2536" s="352" t="s">
        <v>254</v>
      </c>
    </row>
    <row r="2537" spans="2:49" x14ac:dyDescent="0.2">
      <c r="B2537" s="460" t="s">
        <v>3107</v>
      </c>
      <c r="C2537" s="460">
        <v>8000</v>
      </c>
      <c r="D2537" s="460" t="s">
        <v>2312</v>
      </c>
      <c r="E2537" s="460" t="s">
        <v>2302</v>
      </c>
      <c r="F2537" s="460">
        <v>3</v>
      </c>
      <c r="G2537" s="460">
        <v>2</v>
      </c>
      <c r="H2537" s="461" t="s">
        <v>746</v>
      </c>
      <c r="I2537" s="461" t="s">
        <v>762</v>
      </c>
      <c r="J2537" s="461" t="s">
        <v>700</v>
      </c>
      <c r="K2537" s="594"/>
      <c r="L2537" s="594"/>
      <c r="M2537" s="352">
        <v>8000</v>
      </c>
      <c r="N2537" s="352" t="s">
        <v>760</v>
      </c>
      <c r="O2537" s="460">
        <v>2321</v>
      </c>
      <c r="P2537" s="460" t="s">
        <v>790</v>
      </c>
      <c r="Q2537" s="460" t="s">
        <v>2553</v>
      </c>
      <c r="R2537" s="460">
        <v>2321</v>
      </c>
      <c r="S2537" s="460" t="s">
        <v>2296</v>
      </c>
      <c r="T2537" s="462">
        <v>0.28481449642268464</v>
      </c>
      <c r="U2537" s="460" t="s">
        <v>2302</v>
      </c>
      <c r="V2537" s="475">
        <v>0</v>
      </c>
      <c r="W2537" s="463" t="s">
        <v>2268</v>
      </c>
      <c r="X2537" s="463" t="s">
        <v>2268</v>
      </c>
      <c r="Y2537" s="463" t="s">
        <v>2554</v>
      </c>
      <c r="Z2537" s="463"/>
      <c r="AA2537" s="463"/>
      <c r="AB2537" s="464">
        <v>0</v>
      </c>
      <c r="AC2537" s="465">
        <v>0</v>
      </c>
      <c r="AD2537" s="465">
        <v>0</v>
      </c>
      <c r="AE2537" s="476">
        <v>0</v>
      </c>
      <c r="AF2537" s="467">
        <v>0</v>
      </c>
      <c r="AG2537" s="468">
        <v>0</v>
      </c>
      <c r="AH2537" s="218">
        <v>0</v>
      </c>
      <c r="AI2537" s="470">
        <v>0</v>
      </c>
      <c r="AJ2537" s="471">
        <v>0</v>
      </c>
      <c r="AK2537" s="218">
        <v>0</v>
      </c>
      <c r="AL2537" s="470">
        <v>0</v>
      </c>
      <c r="AM2537" s="471">
        <v>0</v>
      </c>
      <c r="AN2537" s="477">
        <v>0</v>
      </c>
      <c r="AO2537" s="473">
        <v>0</v>
      </c>
      <c r="AP2537" s="474">
        <v>0</v>
      </c>
      <c r="AQ2537" s="352"/>
      <c r="AR2537" s="352"/>
      <c r="AS2537" s="352"/>
      <c r="AT2537" s="352"/>
      <c r="AU2537" s="352"/>
      <c r="AV2537" s="352"/>
      <c r="AW2537" s="352" t="s">
        <v>254</v>
      </c>
    </row>
    <row r="2538" spans="2:49" x14ac:dyDescent="0.2">
      <c r="B2538" s="460" t="s">
        <v>3108</v>
      </c>
      <c r="C2538" s="460">
        <v>8000</v>
      </c>
      <c r="D2538" s="460" t="s">
        <v>2313</v>
      </c>
      <c r="E2538" s="460" t="s">
        <v>2305</v>
      </c>
      <c r="F2538" s="460">
        <v>4</v>
      </c>
      <c r="G2538" s="460">
        <v>2</v>
      </c>
      <c r="H2538" s="461" t="s">
        <v>746</v>
      </c>
      <c r="I2538" s="461" t="s">
        <v>762</v>
      </c>
      <c r="J2538" s="461" t="s">
        <v>700</v>
      </c>
      <c r="K2538" s="594"/>
      <c r="L2538" s="594"/>
      <c r="M2538" s="352">
        <v>8000</v>
      </c>
      <c r="N2538" s="352" t="s">
        <v>760</v>
      </c>
      <c r="O2538" s="460">
        <v>2321</v>
      </c>
      <c r="P2538" s="460" t="s">
        <v>790</v>
      </c>
      <c r="Q2538" s="460" t="s">
        <v>2553</v>
      </c>
      <c r="R2538" s="460">
        <v>2321</v>
      </c>
      <c r="S2538" s="460" t="s">
        <v>2305</v>
      </c>
      <c r="T2538" s="462">
        <v>1</v>
      </c>
      <c r="U2538" s="460" t="s">
        <v>2305</v>
      </c>
      <c r="V2538" s="475">
        <v>0</v>
      </c>
      <c r="W2538" s="463" t="s">
        <v>2268</v>
      </c>
      <c r="X2538" s="463" t="s">
        <v>2268</v>
      </c>
      <c r="Y2538" s="463" t="s">
        <v>2554</v>
      </c>
      <c r="Z2538" s="463"/>
      <c r="AA2538" s="463"/>
      <c r="AB2538" s="464">
        <v>0</v>
      </c>
      <c r="AC2538" s="465">
        <v>0</v>
      </c>
      <c r="AD2538" s="465">
        <v>0</v>
      </c>
      <c r="AE2538" s="476">
        <v>0</v>
      </c>
      <c r="AF2538" s="467">
        <v>0</v>
      </c>
      <c r="AG2538" s="468">
        <v>0</v>
      </c>
      <c r="AH2538" s="218">
        <v>0</v>
      </c>
      <c r="AI2538" s="470">
        <v>0</v>
      </c>
      <c r="AJ2538" s="471">
        <v>0</v>
      </c>
      <c r="AK2538" s="218">
        <v>0</v>
      </c>
      <c r="AL2538" s="470">
        <v>0</v>
      </c>
      <c r="AM2538" s="471">
        <v>0</v>
      </c>
      <c r="AN2538" s="477">
        <v>0</v>
      </c>
      <c r="AO2538" s="473">
        <v>0</v>
      </c>
      <c r="AP2538" s="474">
        <v>0</v>
      </c>
      <c r="AQ2538" s="352"/>
      <c r="AR2538" s="352"/>
      <c r="AS2538" s="352"/>
      <c r="AT2538" s="352"/>
      <c r="AU2538" s="352"/>
      <c r="AV2538" s="352"/>
      <c r="AW2538" s="352" t="s">
        <v>254</v>
      </c>
    </row>
    <row r="2539" spans="2:49" x14ac:dyDescent="0.2">
      <c r="B2539" s="460" t="s">
        <v>3105</v>
      </c>
      <c r="C2539" s="460">
        <v>8000</v>
      </c>
      <c r="D2539" s="460" t="s">
        <v>2314</v>
      </c>
      <c r="E2539" s="460" t="s">
        <v>2296</v>
      </c>
      <c r="F2539" s="460">
        <v>1</v>
      </c>
      <c r="G2539" s="460">
        <v>2</v>
      </c>
      <c r="H2539" s="461" t="s">
        <v>748</v>
      </c>
      <c r="I2539" s="461" t="s">
        <v>765</v>
      </c>
      <c r="J2539" s="461" t="s">
        <v>700</v>
      </c>
      <c r="K2539" s="594"/>
      <c r="L2539" s="594"/>
      <c r="M2539" s="352">
        <v>8000</v>
      </c>
      <c r="N2539" s="352" t="s">
        <v>760</v>
      </c>
      <c r="O2539" s="460">
        <v>2321</v>
      </c>
      <c r="P2539" s="460" t="s">
        <v>790</v>
      </c>
      <c r="Q2539" s="460" t="s">
        <v>2553</v>
      </c>
      <c r="R2539" s="460">
        <v>2321</v>
      </c>
      <c r="S2539" s="460" t="s">
        <v>2296</v>
      </c>
      <c r="T2539" s="462">
        <v>1</v>
      </c>
      <c r="U2539" s="460" t="s">
        <v>2296</v>
      </c>
      <c r="V2539" s="475">
        <v>0</v>
      </c>
      <c r="W2539" s="463" t="s">
        <v>2268</v>
      </c>
      <c r="X2539" s="463" t="s">
        <v>2268</v>
      </c>
      <c r="Y2539" s="463" t="s">
        <v>2554</v>
      </c>
      <c r="Z2539" s="463"/>
      <c r="AA2539" s="463"/>
      <c r="AB2539" s="464">
        <v>0</v>
      </c>
      <c r="AC2539" s="465">
        <v>0</v>
      </c>
      <c r="AD2539" s="465">
        <v>0</v>
      </c>
      <c r="AE2539" s="476">
        <v>0</v>
      </c>
      <c r="AF2539" s="467">
        <v>0</v>
      </c>
      <c r="AG2539" s="468">
        <v>0</v>
      </c>
      <c r="AH2539" s="218">
        <v>0</v>
      </c>
      <c r="AI2539" s="470">
        <v>0</v>
      </c>
      <c r="AJ2539" s="471">
        <v>0</v>
      </c>
      <c r="AK2539" s="218">
        <v>0</v>
      </c>
      <c r="AL2539" s="470">
        <v>0</v>
      </c>
      <c r="AM2539" s="471">
        <v>0</v>
      </c>
      <c r="AN2539" s="477">
        <v>0</v>
      </c>
      <c r="AO2539" s="473">
        <v>0</v>
      </c>
      <c r="AP2539" s="474">
        <v>0</v>
      </c>
      <c r="AQ2539" s="352"/>
      <c r="AR2539" s="352"/>
      <c r="AS2539" s="352"/>
      <c r="AT2539" s="352"/>
      <c r="AU2539" s="352"/>
      <c r="AV2539" s="352"/>
      <c r="AW2539" s="352" t="s">
        <v>254</v>
      </c>
    </row>
    <row r="2540" spans="2:49" x14ac:dyDescent="0.2">
      <c r="B2540" s="460" t="s">
        <v>3106</v>
      </c>
      <c r="C2540" s="460">
        <v>8000</v>
      </c>
      <c r="D2540" s="460" t="s">
        <v>2315</v>
      </c>
      <c r="E2540" s="460" t="s">
        <v>2299</v>
      </c>
      <c r="F2540" s="460">
        <v>2</v>
      </c>
      <c r="G2540" s="460">
        <v>2</v>
      </c>
      <c r="H2540" s="461" t="s">
        <v>748</v>
      </c>
      <c r="I2540" s="461" t="s">
        <v>765</v>
      </c>
      <c r="J2540" s="461" t="s">
        <v>700</v>
      </c>
      <c r="K2540" s="594"/>
      <c r="L2540" s="594"/>
      <c r="M2540" s="352">
        <v>8000</v>
      </c>
      <c r="N2540" s="352" t="s">
        <v>760</v>
      </c>
      <c r="O2540" s="460">
        <v>2321</v>
      </c>
      <c r="P2540" s="460" t="s">
        <v>790</v>
      </c>
      <c r="Q2540" s="460" t="s">
        <v>2553</v>
      </c>
      <c r="R2540" s="460">
        <v>2321</v>
      </c>
      <c r="S2540" s="460" t="s">
        <v>2296</v>
      </c>
      <c r="T2540" s="462">
        <v>0.55517361979372948</v>
      </c>
      <c r="U2540" s="460" t="s">
        <v>2299</v>
      </c>
      <c r="V2540" s="475">
        <v>0</v>
      </c>
      <c r="W2540" s="463" t="s">
        <v>2268</v>
      </c>
      <c r="X2540" s="463" t="s">
        <v>2268</v>
      </c>
      <c r="Y2540" s="463" t="s">
        <v>2554</v>
      </c>
      <c r="Z2540" s="463"/>
      <c r="AA2540" s="463"/>
      <c r="AB2540" s="464">
        <v>0</v>
      </c>
      <c r="AC2540" s="465">
        <v>0</v>
      </c>
      <c r="AD2540" s="465">
        <v>0</v>
      </c>
      <c r="AE2540" s="476">
        <v>0</v>
      </c>
      <c r="AF2540" s="467">
        <v>0</v>
      </c>
      <c r="AG2540" s="468">
        <v>0</v>
      </c>
      <c r="AH2540" s="218">
        <v>0</v>
      </c>
      <c r="AI2540" s="470">
        <v>0</v>
      </c>
      <c r="AJ2540" s="471">
        <v>0</v>
      </c>
      <c r="AK2540" s="218">
        <v>0</v>
      </c>
      <c r="AL2540" s="470">
        <v>0</v>
      </c>
      <c r="AM2540" s="471">
        <v>0</v>
      </c>
      <c r="AN2540" s="477">
        <v>0</v>
      </c>
      <c r="AO2540" s="473">
        <v>0</v>
      </c>
      <c r="AP2540" s="474">
        <v>0</v>
      </c>
      <c r="AQ2540" s="352"/>
      <c r="AR2540" s="352"/>
      <c r="AS2540" s="352"/>
      <c r="AT2540" s="352"/>
      <c r="AU2540" s="352"/>
      <c r="AV2540" s="352"/>
      <c r="AW2540" s="352" t="s">
        <v>254</v>
      </c>
    </row>
    <row r="2541" spans="2:49" x14ac:dyDescent="0.2">
      <c r="B2541" s="460" t="s">
        <v>3107</v>
      </c>
      <c r="C2541" s="460">
        <v>8000</v>
      </c>
      <c r="D2541" s="460" t="s">
        <v>2316</v>
      </c>
      <c r="E2541" s="460" t="s">
        <v>2302</v>
      </c>
      <c r="F2541" s="460">
        <v>3</v>
      </c>
      <c r="G2541" s="460">
        <v>2</v>
      </c>
      <c r="H2541" s="461" t="s">
        <v>748</v>
      </c>
      <c r="I2541" s="461" t="s">
        <v>765</v>
      </c>
      <c r="J2541" s="461" t="s">
        <v>700</v>
      </c>
      <c r="K2541" s="594"/>
      <c r="L2541" s="594"/>
      <c r="M2541" s="352">
        <v>8000</v>
      </c>
      <c r="N2541" s="352" t="s">
        <v>760</v>
      </c>
      <c r="O2541" s="460">
        <v>2321</v>
      </c>
      <c r="P2541" s="460" t="s">
        <v>790</v>
      </c>
      <c r="Q2541" s="460" t="s">
        <v>2553</v>
      </c>
      <c r="R2541" s="460">
        <v>2321</v>
      </c>
      <c r="S2541" s="460" t="s">
        <v>2296</v>
      </c>
      <c r="T2541" s="462">
        <v>0.28481449642268464</v>
      </c>
      <c r="U2541" s="460" t="s">
        <v>2302</v>
      </c>
      <c r="V2541" s="475">
        <v>0</v>
      </c>
      <c r="W2541" s="463" t="s">
        <v>2268</v>
      </c>
      <c r="X2541" s="463" t="s">
        <v>2268</v>
      </c>
      <c r="Y2541" s="463" t="s">
        <v>2554</v>
      </c>
      <c r="Z2541" s="463"/>
      <c r="AA2541" s="463"/>
      <c r="AB2541" s="464">
        <v>0</v>
      </c>
      <c r="AC2541" s="465">
        <v>0</v>
      </c>
      <c r="AD2541" s="465">
        <v>0</v>
      </c>
      <c r="AE2541" s="476">
        <v>0</v>
      </c>
      <c r="AF2541" s="467">
        <v>0</v>
      </c>
      <c r="AG2541" s="468">
        <v>0</v>
      </c>
      <c r="AH2541" s="218">
        <v>0</v>
      </c>
      <c r="AI2541" s="470">
        <v>0</v>
      </c>
      <c r="AJ2541" s="471">
        <v>0</v>
      </c>
      <c r="AK2541" s="218">
        <v>0</v>
      </c>
      <c r="AL2541" s="470">
        <v>0</v>
      </c>
      <c r="AM2541" s="471">
        <v>0</v>
      </c>
      <c r="AN2541" s="477">
        <v>0</v>
      </c>
      <c r="AO2541" s="473">
        <v>0</v>
      </c>
      <c r="AP2541" s="474">
        <v>0</v>
      </c>
      <c r="AQ2541" s="352"/>
      <c r="AR2541" s="352"/>
      <c r="AS2541" s="352"/>
      <c r="AT2541" s="352"/>
      <c r="AU2541" s="352"/>
      <c r="AV2541" s="352"/>
      <c r="AW2541" s="352" t="s">
        <v>254</v>
      </c>
    </row>
    <row r="2542" spans="2:49" x14ac:dyDescent="0.2">
      <c r="B2542" s="460" t="s">
        <v>3108</v>
      </c>
      <c r="C2542" s="460">
        <v>8000</v>
      </c>
      <c r="D2542" s="460" t="s">
        <v>2317</v>
      </c>
      <c r="E2542" s="460" t="s">
        <v>2305</v>
      </c>
      <c r="F2542" s="460">
        <v>4</v>
      </c>
      <c r="G2542" s="460">
        <v>2</v>
      </c>
      <c r="H2542" s="461" t="s">
        <v>748</v>
      </c>
      <c r="I2542" s="461" t="s">
        <v>765</v>
      </c>
      <c r="J2542" s="461" t="s">
        <v>700</v>
      </c>
      <c r="K2542" s="594"/>
      <c r="L2542" s="594"/>
      <c r="M2542" s="352">
        <v>8000</v>
      </c>
      <c r="N2542" s="352" t="s">
        <v>760</v>
      </c>
      <c r="O2542" s="460">
        <v>2321</v>
      </c>
      <c r="P2542" s="460" t="s">
        <v>790</v>
      </c>
      <c r="Q2542" s="460" t="s">
        <v>2553</v>
      </c>
      <c r="R2542" s="460">
        <v>2321</v>
      </c>
      <c r="S2542" s="460" t="s">
        <v>2305</v>
      </c>
      <c r="T2542" s="462">
        <v>1</v>
      </c>
      <c r="U2542" s="460" t="s">
        <v>2305</v>
      </c>
      <c r="V2542" s="475">
        <v>0</v>
      </c>
      <c r="W2542" s="463" t="s">
        <v>2268</v>
      </c>
      <c r="X2542" s="463" t="s">
        <v>2268</v>
      </c>
      <c r="Y2542" s="463" t="s">
        <v>2554</v>
      </c>
      <c r="Z2542" s="463"/>
      <c r="AA2542" s="463"/>
      <c r="AB2542" s="464">
        <v>0</v>
      </c>
      <c r="AC2542" s="465">
        <v>0</v>
      </c>
      <c r="AD2542" s="465">
        <v>0</v>
      </c>
      <c r="AE2542" s="476">
        <v>0</v>
      </c>
      <c r="AF2542" s="467">
        <v>0</v>
      </c>
      <c r="AG2542" s="468">
        <v>0</v>
      </c>
      <c r="AH2542" s="218">
        <v>0</v>
      </c>
      <c r="AI2542" s="470">
        <v>0</v>
      </c>
      <c r="AJ2542" s="471">
        <v>0</v>
      </c>
      <c r="AK2542" s="218">
        <v>0</v>
      </c>
      <c r="AL2542" s="470">
        <v>0</v>
      </c>
      <c r="AM2542" s="471">
        <v>0</v>
      </c>
      <c r="AN2542" s="477">
        <v>0</v>
      </c>
      <c r="AO2542" s="473">
        <v>0</v>
      </c>
      <c r="AP2542" s="474">
        <v>0</v>
      </c>
      <c r="AQ2542" s="352"/>
      <c r="AR2542" s="352"/>
      <c r="AS2542" s="352"/>
      <c r="AT2542" s="352"/>
      <c r="AU2542" s="352"/>
      <c r="AV2542" s="352"/>
      <c r="AW2542" s="352" t="s">
        <v>254</v>
      </c>
    </row>
    <row r="2543" spans="2:49" x14ac:dyDescent="0.2">
      <c r="B2543" s="460" t="s">
        <v>3109</v>
      </c>
      <c r="C2543" s="460">
        <v>8000</v>
      </c>
      <c r="D2543" s="460" t="s">
        <v>2323</v>
      </c>
      <c r="E2543" s="460" t="s">
        <v>2324</v>
      </c>
      <c r="F2543" s="460">
        <v>1</v>
      </c>
      <c r="G2543" s="460">
        <v>3</v>
      </c>
      <c r="H2543" s="461" t="s">
        <v>700</v>
      </c>
      <c r="I2543" s="461" t="s">
        <v>872</v>
      </c>
      <c r="J2543" s="461" t="s">
        <v>700</v>
      </c>
      <c r="K2543" s="594"/>
      <c r="L2543" s="594"/>
      <c r="M2543" s="352">
        <v>8000</v>
      </c>
      <c r="N2543" s="352" t="s">
        <v>760</v>
      </c>
      <c r="O2543" s="460">
        <v>2321</v>
      </c>
      <c r="P2543" s="460" t="s">
        <v>790</v>
      </c>
      <c r="Q2543" s="460" t="s">
        <v>2553</v>
      </c>
      <c r="R2543" s="460">
        <v>2321</v>
      </c>
      <c r="S2543" s="460" t="s">
        <v>2324</v>
      </c>
      <c r="T2543" s="462">
        <v>1</v>
      </c>
      <c r="U2543" s="460" t="s">
        <v>2324</v>
      </c>
      <c r="V2543" s="475">
        <v>0</v>
      </c>
      <c r="W2543" s="463" t="s">
        <v>2554</v>
      </c>
      <c r="X2543" s="463" t="s">
        <v>2554</v>
      </c>
      <c r="Y2543" s="463" t="s">
        <v>2268</v>
      </c>
      <c r="Z2543" s="463"/>
      <c r="AA2543" s="463"/>
      <c r="AB2543" s="464">
        <v>0</v>
      </c>
      <c r="AC2543" s="465">
        <v>0</v>
      </c>
      <c r="AD2543" s="465">
        <v>0</v>
      </c>
      <c r="AE2543" s="476">
        <v>0</v>
      </c>
      <c r="AF2543" s="467">
        <v>0</v>
      </c>
      <c r="AG2543" s="468">
        <v>0</v>
      </c>
      <c r="AH2543" s="218">
        <v>0</v>
      </c>
      <c r="AI2543" s="470">
        <v>0</v>
      </c>
      <c r="AJ2543" s="471">
        <v>0</v>
      </c>
      <c r="AK2543" s="218">
        <v>0</v>
      </c>
      <c r="AL2543" s="470">
        <v>0</v>
      </c>
      <c r="AM2543" s="471">
        <v>0</v>
      </c>
      <c r="AN2543" s="477">
        <v>0</v>
      </c>
      <c r="AO2543" s="473">
        <v>0</v>
      </c>
      <c r="AP2543" s="474">
        <v>0</v>
      </c>
      <c r="AQ2543" s="352"/>
      <c r="AR2543" s="352"/>
      <c r="AS2543" s="352"/>
      <c r="AT2543" s="352"/>
      <c r="AU2543" s="352"/>
      <c r="AV2543" s="352"/>
      <c r="AW2543" s="352" t="s">
        <v>254</v>
      </c>
    </row>
    <row r="2544" spans="2:49" x14ac:dyDescent="0.2">
      <c r="B2544" s="460" t="s">
        <v>3110</v>
      </c>
      <c r="C2544" s="460">
        <v>8000</v>
      </c>
      <c r="D2544" s="460" t="s">
        <v>2326</v>
      </c>
      <c r="E2544" s="460" t="s">
        <v>2327</v>
      </c>
      <c r="F2544" s="460">
        <v>2</v>
      </c>
      <c r="G2544" s="460">
        <v>3</v>
      </c>
      <c r="H2544" s="461" t="s">
        <v>700</v>
      </c>
      <c r="I2544" s="461" t="s">
        <v>872</v>
      </c>
      <c r="J2544" s="461" t="s">
        <v>700</v>
      </c>
      <c r="K2544" s="594"/>
      <c r="L2544" s="594"/>
      <c r="M2544" s="352">
        <v>8000</v>
      </c>
      <c r="N2544" s="352" t="s">
        <v>760</v>
      </c>
      <c r="O2544" s="460">
        <v>2321</v>
      </c>
      <c r="P2544" s="460" t="s">
        <v>790</v>
      </c>
      <c r="Q2544" s="460" t="s">
        <v>2553</v>
      </c>
      <c r="R2544" s="460">
        <v>2321</v>
      </c>
      <c r="S2544" s="460" t="s">
        <v>2324</v>
      </c>
      <c r="T2544" s="462">
        <v>1</v>
      </c>
      <c r="U2544" s="460" t="s">
        <v>2327</v>
      </c>
      <c r="V2544" s="475">
        <v>0</v>
      </c>
      <c r="W2544" s="463" t="s">
        <v>2554</v>
      </c>
      <c r="X2544" s="463" t="s">
        <v>2554</v>
      </c>
      <c r="Y2544" s="463" t="s">
        <v>2268</v>
      </c>
      <c r="Z2544" s="463"/>
      <c r="AA2544" s="463"/>
      <c r="AB2544" s="464">
        <v>0</v>
      </c>
      <c r="AC2544" s="465">
        <v>0</v>
      </c>
      <c r="AD2544" s="465">
        <v>0</v>
      </c>
      <c r="AE2544" s="476">
        <v>0</v>
      </c>
      <c r="AF2544" s="467">
        <v>0</v>
      </c>
      <c r="AG2544" s="468">
        <v>0</v>
      </c>
      <c r="AH2544" s="218">
        <v>0</v>
      </c>
      <c r="AI2544" s="470">
        <v>0</v>
      </c>
      <c r="AJ2544" s="471">
        <v>0</v>
      </c>
      <c r="AK2544" s="218">
        <v>0</v>
      </c>
      <c r="AL2544" s="470">
        <v>0</v>
      </c>
      <c r="AM2544" s="471">
        <v>0</v>
      </c>
      <c r="AN2544" s="477">
        <v>0</v>
      </c>
      <c r="AO2544" s="473">
        <v>0</v>
      </c>
      <c r="AP2544" s="474">
        <v>0</v>
      </c>
      <c r="AQ2544" s="352"/>
      <c r="AR2544" s="352"/>
      <c r="AS2544" s="352"/>
      <c r="AT2544" s="352"/>
      <c r="AU2544" s="352"/>
      <c r="AV2544" s="352"/>
      <c r="AW2544" s="352" t="s">
        <v>254</v>
      </c>
    </row>
    <row r="2545" spans="2:49" x14ac:dyDescent="0.2">
      <c r="B2545" s="460" t="s">
        <v>3111</v>
      </c>
      <c r="C2545" s="460">
        <v>8000</v>
      </c>
      <c r="D2545" s="460" t="s">
        <v>2329</v>
      </c>
      <c r="E2545" s="460" t="s">
        <v>2330</v>
      </c>
      <c r="F2545" s="460">
        <v>3</v>
      </c>
      <c r="G2545" s="460">
        <v>3</v>
      </c>
      <c r="H2545" s="461" t="s">
        <v>700</v>
      </c>
      <c r="I2545" s="461" t="s">
        <v>872</v>
      </c>
      <c r="J2545" s="461" t="s">
        <v>700</v>
      </c>
      <c r="K2545" s="594"/>
      <c r="L2545" s="594"/>
      <c r="M2545" s="352">
        <v>8000</v>
      </c>
      <c r="N2545" s="352" t="s">
        <v>760</v>
      </c>
      <c r="O2545" s="460">
        <v>2321</v>
      </c>
      <c r="P2545" s="460" t="s">
        <v>790</v>
      </c>
      <c r="Q2545" s="460" t="s">
        <v>2553</v>
      </c>
      <c r="R2545" s="460">
        <v>2321</v>
      </c>
      <c r="S2545" s="460" t="s">
        <v>2324</v>
      </c>
      <c r="T2545" s="462">
        <v>1</v>
      </c>
      <c r="U2545" s="460" t="s">
        <v>2330</v>
      </c>
      <c r="V2545" s="475">
        <v>0</v>
      </c>
      <c r="W2545" s="463" t="s">
        <v>2554</v>
      </c>
      <c r="X2545" s="463" t="s">
        <v>2554</v>
      </c>
      <c r="Y2545" s="463" t="s">
        <v>2268</v>
      </c>
      <c r="Z2545" s="463"/>
      <c r="AA2545" s="463"/>
      <c r="AB2545" s="464">
        <v>0</v>
      </c>
      <c r="AC2545" s="465">
        <v>0</v>
      </c>
      <c r="AD2545" s="465">
        <v>0</v>
      </c>
      <c r="AE2545" s="476">
        <v>0</v>
      </c>
      <c r="AF2545" s="467">
        <v>0</v>
      </c>
      <c r="AG2545" s="468">
        <v>0</v>
      </c>
      <c r="AH2545" s="218">
        <v>0</v>
      </c>
      <c r="AI2545" s="470">
        <v>0</v>
      </c>
      <c r="AJ2545" s="471">
        <v>0</v>
      </c>
      <c r="AK2545" s="218">
        <v>0</v>
      </c>
      <c r="AL2545" s="470">
        <v>0</v>
      </c>
      <c r="AM2545" s="471">
        <v>0</v>
      </c>
      <c r="AN2545" s="477">
        <v>0</v>
      </c>
      <c r="AO2545" s="473">
        <v>0</v>
      </c>
      <c r="AP2545" s="474">
        <v>0</v>
      </c>
      <c r="AQ2545" s="352"/>
      <c r="AR2545" s="352"/>
      <c r="AS2545" s="352"/>
      <c r="AT2545" s="352"/>
      <c r="AU2545" s="352"/>
      <c r="AV2545" s="352"/>
      <c r="AW2545" s="352" t="s">
        <v>254</v>
      </c>
    </row>
    <row r="2546" spans="2:49" x14ac:dyDescent="0.2">
      <c r="B2546" s="460" t="s">
        <v>3112</v>
      </c>
      <c r="C2546" s="460">
        <v>8000</v>
      </c>
      <c r="D2546" s="460" t="s">
        <v>2332</v>
      </c>
      <c r="E2546" s="460" t="s">
        <v>2333</v>
      </c>
      <c r="F2546" s="460">
        <v>4</v>
      </c>
      <c r="G2546" s="460">
        <v>3</v>
      </c>
      <c r="H2546" s="461" t="s">
        <v>700</v>
      </c>
      <c r="I2546" s="461" t="s">
        <v>872</v>
      </c>
      <c r="J2546" s="461" t="s">
        <v>700</v>
      </c>
      <c r="K2546" s="594"/>
      <c r="L2546" s="594"/>
      <c r="M2546" s="352">
        <v>8000</v>
      </c>
      <c r="N2546" s="352" t="s">
        <v>760</v>
      </c>
      <c r="O2546" s="460">
        <v>2321</v>
      </c>
      <c r="P2546" s="460" t="s">
        <v>790</v>
      </c>
      <c r="Q2546" s="460" t="s">
        <v>2553</v>
      </c>
      <c r="R2546" s="460">
        <v>2321</v>
      </c>
      <c r="S2546" s="460" t="s">
        <v>2333</v>
      </c>
      <c r="T2546" s="462">
        <v>1</v>
      </c>
      <c r="U2546" s="460" t="s">
        <v>2333</v>
      </c>
      <c r="V2546" s="475">
        <v>0</v>
      </c>
      <c r="W2546" s="463" t="s">
        <v>2554</v>
      </c>
      <c r="X2546" s="463" t="s">
        <v>2554</v>
      </c>
      <c r="Y2546" s="463" t="s">
        <v>2268</v>
      </c>
      <c r="Z2546" s="463"/>
      <c r="AA2546" s="463"/>
      <c r="AB2546" s="464">
        <v>0</v>
      </c>
      <c r="AC2546" s="465">
        <v>0</v>
      </c>
      <c r="AD2546" s="465">
        <v>0</v>
      </c>
      <c r="AE2546" s="476">
        <v>0</v>
      </c>
      <c r="AF2546" s="467">
        <v>0</v>
      </c>
      <c r="AG2546" s="468">
        <v>0</v>
      </c>
      <c r="AH2546" s="218">
        <v>0</v>
      </c>
      <c r="AI2546" s="470">
        <v>0</v>
      </c>
      <c r="AJ2546" s="471">
        <v>0</v>
      </c>
      <c r="AK2546" s="218">
        <v>0</v>
      </c>
      <c r="AL2546" s="470">
        <v>0</v>
      </c>
      <c r="AM2546" s="471">
        <v>0</v>
      </c>
      <c r="AN2546" s="477">
        <v>0</v>
      </c>
      <c r="AO2546" s="473">
        <v>0</v>
      </c>
      <c r="AP2546" s="474">
        <v>0</v>
      </c>
      <c r="AQ2546" s="352"/>
      <c r="AR2546" s="352"/>
      <c r="AS2546" s="352"/>
      <c r="AT2546" s="352"/>
      <c r="AU2546" s="352"/>
      <c r="AV2546" s="352"/>
      <c r="AW2546" s="352" t="s">
        <v>254</v>
      </c>
    </row>
    <row r="2547" spans="2:49" x14ac:dyDescent="0.2">
      <c r="B2547" s="460" t="s">
        <v>3109</v>
      </c>
      <c r="C2547" s="460">
        <v>8000</v>
      </c>
      <c r="D2547" s="460" t="s">
        <v>2334</v>
      </c>
      <c r="E2547" s="460" t="s">
        <v>2324</v>
      </c>
      <c r="F2547" s="460">
        <v>1</v>
      </c>
      <c r="G2547" s="460">
        <v>3</v>
      </c>
      <c r="H2547" s="461" t="s">
        <v>712</v>
      </c>
      <c r="I2547" s="461" t="s">
        <v>713</v>
      </c>
      <c r="J2547" s="461" t="s">
        <v>712</v>
      </c>
      <c r="K2547" s="594"/>
      <c r="L2547" s="594"/>
      <c r="M2547" s="352">
        <v>8000</v>
      </c>
      <c r="N2547" s="352" t="s">
        <v>760</v>
      </c>
      <c r="O2547" s="460">
        <v>2321</v>
      </c>
      <c r="P2547" s="460" t="s">
        <v>790</v>
      </c>
      <c r="Q2547" s="460" t="s">
        <v>2280</v>
      </c>
      <c r="R2547" s="460">
        <v>2321</v>
      </c>
      <c r="S2547" s="460" t="s">
        <v>2324</v>
      </c>
      <c r="T2547" s="462">
        <v>1</v>
      </c>
      <c r="U2547" s="460" t="s">
        <v>2324</v>
      </c>
      <c r="V2547" s="475">
        <v>0</v>
      </c>
      <c r="W2547" s="463" t="s">
        <v>713</v>
      </c>
      <c r="X2547" s="463" t="s">
        <v>713</v>
      </c>
      <c r="Y2547" s="463" t="s">
        <v>713</v>
      </c>
      <c r="Z2547" s="463"/>
      <c r="AA2547" s="463"/>
      <c r="AB2547" s="464">
        <v>305.22646480727536</v>
      </c>
      <c r="AC2547" s="465">
        <v>1</v>
      </c>
      <c r="AD2547" s="465">
        <v>7.6211876739321321E-4</v>
      </c>
      <c r="AE2547" s="476">
        <v>305.22646480727536</v>
      </c>
      <c r="AF2547" s="467">
        <v>1</v>
      </c>
      <c r="AG2547" s="468">
        <v>7.4764511907231615E-4</v>
      </c>
      <c r="AH2547" s="218">
        <v>305.22646480727536</v>
      </c>
      <c r="AI2547" s="470">
        <v>1</v>
      </c>
      <c r="AJ2547" s="471">
        <v>7.5717628503179236E-4</v>
      </c>
      <c r="AK2547" s="218">
        <v>305.22646480727536</v>
      </c>
      <c r="AL2547" s="470">
        <v>1</v>
      </c>
      <c r="AM2547" s="471">
        <v>7.5717628503179236E-4</v>
      </c>
      <c r="AN2547" s="477">
        <v>305.22646480727536</v>
      </c>
      <c r="AO2547" s="473">
        <v>1</v>
      </c>
      <c r="AP2547" s="474">
        <v>7.5680780307129508E-4</v>
      </c>
      <c r="AQ2547" s="352"/>
      <c r="AR2547" s="352"/>
      <c r="AS2547" s="352"/>
      <c r="AT2547" s="352"/>
      <c r="AU2547" s="352"/>
      <c r="AV2547" s="352"/>
      <c r="AW2547" s="352" t="s">
        <v>254</v>
      </c>
    </row>
    <row r="2548" spans="2:49" x14ac:dyDescent="0.2">
      <c r="B2548" s="460" t="s">
        <v>3110</v>
      </c>
      <c r="C2548" s="460">
        <v>8000</v>
      </c>
      <c r="D2548" s="460" t="s">
        <v>2335</v>
      </c>
      <c r="E2548" s="460" t="s">
        <v>2327</v>
      </c>
      <c r="F2548" s="460">
        <v>2</v>
      </c>
      <c r="G2548" s="460">
        <v>3</v>
      </c>
      <c r="H2548" s="461" t="s">
        <v>712</v>
      </c>
      <c r="I2548" s="461" t="s">
        <v>713</v>
      </c>
      <c r="J2548" s="461" t="s">
        <v>712</v>
      </c>
      <c r="K2548" s="594"/>
      <c r="L2548" s="594"/>
      <c r="M2548" s="352">
        <v>8000</v>
      </c>
      <c r="N2548" s="352" t="s">
        <v>760</v>
      </c>
      <c r="O2548" s="460">
        <v>2321</v>
      </c>
      <c r="P2548" s="460" t="s">
        <v>790</v>
      </c>
      <c r="Q2548" s="460" t="s">
        <v>2280</v>
      </c>
      <c r="R2548" s="460">
        <v>2321</v>
      </c>
      <c r="S2548" s="460" t="s">
        <v>2324</v>
      </c>
      <c r="T2548" s="462">
        <v>1</v>
      </c>
      <c r="U2548" s="460" t="s">
        <v>2327</v>
      </c>
      <c r="V2548" s="475">
        <v>0</v>
      </c>
      <c r="W2548" s="463" t="s">
        <v>713</v>
      </c>
      <c r="X2548" s="463" t="s">
        <v>713</v>
      </c>
      <c r="Y2548" s="463" t="s">
        <v>713</v>
      </c>
      <c r="Z2548" s="463"/>
      <c r="AA2548" s="463"/>
      <c r="AB2548" s="464">
        <v>168.18672981855602</v>
      </c>
      <c r="AC2548" s="465">
        <v>1</v>
      </c>
      <c r="AD2548" s="465">
        <v>5.3863456758082822E-4</v>
      </c>
      <c r="AE2548" s="476">
        <v>168.18672981855602</v>
      </c>
      <c r="AF2548" s="467">
        <v>1</v>
      </c>
      <c r="AG2548" s="468">
        <v>5.2981921530140263E-4</v>
      </c>
      <c r="AH2548" s="218">
        <v>168.18672981855602</v>
      </c>
      <c r="AI2548" s="470">
        <v>1</v>
      </c>
      <c r="AJ2548" s="471">
        <v>5.509930266631225E-4</v>
      </c>
      <c r="AK2548" s="218">
        <v>168.18672981855602</v>
      </c>
      <c r="AL2548" s="470">
        <v>1</v>
      </c>
      <c r="AM2548" s="471">
        <v>5.509930266631225E-4</v>
      </c>
      <c r="AN2548" s="477">
        <v>168.18672981855602</v>
      </c>
      <c r="AO2548" s="473">
        <v>1</v>
      </c>
      <c r="AP2548" s="474">
        <v>5.5077700222676414E-4</v>
      </c>
      <c r="AQ2548" s="352"/>
      <c r="AR2548" s="352"/>
      <c r="AS2548" s="352"/>
      <c r="AT2548" s="352"/>
      <c r="AU2548" s="352"/>
      <c r="AV2548" s="352"/>
      <c r="AW2548" s="352" t="s">
        <v>254</v>
      </c>
    </row>
    <row r="2549" spans="2:49" x14ac:dyDescent="0.2">
      <c r="B2549" s="460" t="s">
        <v>3111</v>
      </c>
      <c r="C2549" s="460">
        <v>8000</v>
      </c>
      <c r="D2549" s="460" t="s">
        <v>2336</v>
      </c>
      <c r="E2549" s="460" t="s">
        <v>2330</v>
      </c>
      <c r="F2549" s="460">
        <v>3</v>
      </c>
      <c r="G2549" s="460">
        <v>3</v>
      </c>
      <c r="H2549" s="461" t="s">
        <v>712</v>
      </c>
      <c r="I2549" s="461" t="s">
        <v>713</v>
      </c>
      <c r="J2549" s="461" t="s">
        <v>712</v>
      </c>
      <c r="K2549" s="594"/>
      <c r="L2549" s="594"/>
      <c r="M2549" s="352">
        <v>8000</v>
      </c>
      <c r="N2549" s="352" t="s">
        <v>760</v>
      </c>
      <c r="O2549" s="460">
        <v>2321</v>
      </c>
      <c r="P2549" s="460" t="s">
        <v>790</v>
      </c>
      <c r="Q2549" s="460" t="s">
        <v>2280</v>
      </c>
      <c r="R2549" s="460">
        <v>2321</v>
      </c>
      <c r="S2549" s="460" t="s">
        <v>2324</v>
      </c>
      <c r="T2549" s="462">
        <v>1</v>
      </c>
      <c r="U2549" s="460" t="s">
        <v>2330</v>
      </c>
      <c r="V2549" s="475">
        <v>0</v>
      </c>
      <c r="W2549" s="463" t="s">
        <v>713</v>
      </c>
      <c r="X2549" s="463" t="s">
        <v>713</v>
      </c>
      <c r="Y2549" s="463" t="s">
        <v>713</v>
      </c>
      <c r="Z2549" s="463"/>
      <c r="AA2549" s="463"/>
      <c r="AB2549" s="464">
        <v>52.038280584858867</v>
      </c>
      <c r="AC2549" s="465">
        <v>1</v>
      </c>
      <c r="AD2549" s="465">
        <v>4.6076062530544458E-4</v>
      </c>
      <c r="AE2549" s="476">
        <v>52.038280584858867</v>
      </c>
      <c r="AF2549" s="467">
        <v>1</v>
      </c>
      <c r="AG2549" s="468">
        <v>4.5363837668510501E-4</v>
      </c>
      <c r="AH2549" s="218">
        <v>52.038280584858867</v>
      </c>
      <c r="AI2549" s="470">
        <v>1</v>
      </c>
      <c r="AJ2549" s="471">
        <v>4.7095887587390178E-4</v>
      </c>
      <c r="AK2549" s="218">
        <v>52.038280584858867</v>
      </c>
      <c r="AL2549" s="470">
        <v>1</v>
      </c>
      <c r="AM2549" s="471">
        <v>4.7095887587390178E-4</v>
      </c>
      <c r="AN2549" s="477">
        <v>52.038280584858867</v>
      </c>
      <c r="AO2549" s="473">
        <v>1</v>
      </c>
      <c r="AP2549" s="474">
        <v>4.7217447274557886E-4</v>
      </c>
      <c r="AQ2549" s="352"/>
      <c r="AR2549" s="352"/>
      <c r="AS2549" s="352"/>
      <c r="AT2549" s="352"/>
      <c r="AU2549" s="352"/>
      <c r="AV2549" s="352"/>
      <c r="AW2549" s="352" t="s">
        <v>254</v>
      </c>
    </row>
    <row r="2550" spans="2:49" x14ac:dyDescent="0.2">
      <c r="B2550" s="460" t="s">
        <v>3112</v>
      </c>
      <c r="C2550" s="460">
        <v>8000</v>
      </c>
      <c r="D2550" s="460" t="s">
        <v>2337</v>
      </c>
      <c r="E2550" s="460" t="s">
        <v>2333</v>
      </c>
      <c r="F2550" s="460">
        <v>4</v>
      </c>
      <c r="G2550" s="460">
        <v>3</v>
      </c>
      <c r="H2550" s="461" t="s">
        <v>712</v>
      </c>
      <c r="I2550" s="461" t="s">
        <v>713</v>
      </c>
      <c r="J2550" s="461" t="s">
        <v>712</v>
      </c>
      <c r="K2550" s="594"/>
      <c r="L2550" s="594"/>
      <c r="M2550" s="352">
        <v>8000</v>
      </c>
      <c r="N2550" s="352" t="s">
        <v>760</v>
      </c>
      <c r="O2550" s="460">
        <v>2321</v>
      </c>
      <c r="P2550" s="460" t="s">
        <v>790</v>
      </c>
      <c r="Q2550" s="460" t="s">
        <v>2280</v>
      </c>
      <c r="R2550" s="460">
        <v>2321</v>
      </c>
      <c r="S2550" s="460" t="s">
        <v>2333</v>
      </c>
      <c r="T2550" s="462">
        <v>1</v>
      </c>
      <c r="U2550" s="460" t="s">
        <v>2333</v>
      </c>
      <c r="V2550" s="475">
        <v>0</v>
      </c>
      <c r="W2550" s="463" t="s">
        <v>713</v>
      </c>
      <c r="X2550" s="463" t="s">
        <v>713</v>
      </c>
      <c r="Y2550" s="463" t="s">
        <v>713</v>
      </c>
      <c r="Z2550" s="463"/>
      <c r="AA2550" s="463"/>
      <c r="AB2550" s="464">
        <v>59.71541564625214</v>
      </c>
      <c r="AC2550" s="465">
        <v>1</v>
      </c>
      <c r="AD2550" s="465">
        <v>4.5398469377442419E-4</v>
      </c>
      <c r="AE2550" s="476">
        <v>59.71541564625214</v>
      </c>
      <c r="AF2550" s="467">
        <v>1</v>
      </c>
      <c r="AG2550" s="468">
        <v>4.4933394465074137E-4</v>
      </c>
      <c r="AH2550" s="218">
        <v>59.71541564625214</v>
      </c>
      <c r="AI2550" s="470">
        <v>1</v>
      </c>
      <c r="AJ2550" s="471">
        <v>4.5076549235296162E-4</v>
      </c>
      <c r="AK2550" s="218">
        <v>59.71541564625214</v>
      </c>
      <c r="AL2550" s="470">
        <v>1</v>
      </c>
      <c r="AM2550" s="471">
        <v>4.5076549235296162E-4</v>
      </c>
      <c r="AN2550" s="477">
        <v>59.71541564625214</v>
      </c>
      <c r="AO2550" s="473">
        <v>1</v>
      </c>
      <c r="AP2550" s="474">
        <v>4.5090873829170482E-4</v>
      </c>
      <c r="AQ2550" s="352"/>
      <c r="AR2550" s="352"/>
      <c r="AS2550" s="352"/>
      <c r="AT2550" s="352"/>
      <c r="AU2550" s="352"/>
      <c r="AV2550" s="352"/>
      <c r="AW2550" s="352" t="s">
        <v>254</v>
      </c>
    </row>
    <row r="2551" spans="2:49" x14ac:dyDescent="0.2">
      <c r="B2551" s="460" t="s">
        <v>3109</v>
      </c>
      <c r="C2551" s="460">
        <v>8000</v>
      </c>
      <c r="D2551" s="460" t="s">
        <v>2338</v>
      </c>
      <c r="E2551" s="460" t="s">
        <v>2324</v>
      </c>
      <c r="F2551" s="460">
        <v>1</v>
      </c>
      <c r="G2551" s="460">
        <v>3</v>
      </c>
      <c r="H2551" s="461" t="s">
        <v>746</v>
      </c>
      <c r="I2551" s="461" t="s">
        <v>762</v>
      </c>
      <c r="J2551" s="461" t="s">
        <v>700</v>
      </c>
      <c r="K2551" s="594"/>
      <c r="L2551" s="594"/>
      <c r="M2551" s="352">
        <v>8000</v>
      </c>
      <c r="N2551" s="352" t="s">
        <v>760</v>
      </c>
      <c r="O2551" s="460">
        <v>2321</v>
      </c>
      <c r="P2551" s="460" t="s">
        <v>790</v>
      </c>
      <c r="Q2551" s="460" t="s">
        <v>2553</v>
      </c>
      <c r="R2551" s="460">
        <v>2321</v>
      </c>
      <c r="S2551" s="460" t="s">
        <v>2324</v>
      </c>
      <c r="T2551" s="462">
        <v>1</v>
      </c>
      <c r="U2551" s="460" t="s">
        <v>2324</v>
      </c>
      <c r="V2551" s="475">
        <v>0</v>
      </c>
      <c r="W2551" s="463" t="s">
        <v>2268</v>
      </c>
      <c r="X2551" s="463" t="s">
        <v>2268</v>
      </c>
      <c r="Y2551" s="463" t="s">
        <v>2554</v>
      </c>
      <c r="Z2551" s="463"/>
      <c r="AA2551" s="463"/>
      <c r="AB2551" s="464">
        <v>0</v>
      </c>
      <c r="AC2551" s="465">
        <v>0</v>
      </c>
      <c r="AD2551" s="465">
        <v>0</v>
      </c>
      <c r="AE2551" s="476">
        <v>0</v>
      </c>
      <c r="AF2551" s="467">
        <v>0</v>
      </c>
      <c r="AG2551" s="468">
        <v>0</v>
      </c>
      <c r="AH2551" s="218">
        <v>0</v>
      </c>
      <c r="AI2551" s="470">
        <v>0</v>
      </c>
      <c r="AJ2551" s="471">
        <v>0</v>
      </c>
      <c r="AK2551" s="218">
        <v>0</v>
      </c>
      <c r="AL2551" s="470">
        <v>0</v>
      </c>
      <c r="AM2551" s="471">
        <v>0</v>
      </c>
      <c r="AN2551" s="477">
        <v>0</v>
      </c>
      <c r="AO2551" s="473">
        <v>0</v>
      </c>
      <c r="AP2551" s="474">
        <v>0</v>
      </c>
      <c r="AQ2551" s="352"/>
      <c r="AR2551" s="352"/>
      <c r="AS2551" s="352"/>
      <c r="AT2551" s="352"/>
      <c r="AU2551" s="352"/>
      <c r="AV2551" s="352"/>
      <c r="AW2551" s="352" t="s">
        <v>254</v>
      </c>
    </row>
    <row r="2552" spans="2:49" x14ac:dyDescent="0.2">
      <c r="B2552" s="460" t="s">
        <v>3110</v>
      </c>
      <c r="C2552" s="460">
        <v>8000</v>
      </c>
      <c r="D2552" s="460" t="s">
        <v>2339</v>
      </c>
      <c r="E2552" s="460" t="s">
        <v>2327</v>
      </c>
      <c r="F2552" s="460">
        <v>2</v>
      </c>
      <c r="G2552" s="460">
        <v>3</v>
      </c>
      <c r="H2552" s="461" t="s">
        <v>746</v>
      </c>
      <c r="I2552" s="461" t="s">
        <v>762</v>
      </c>
      <c r="J2552" s="461" t="s">
        <v>700</v>
      </c>
      <c r="K2552" s="594"/>
      <c r="L2552" s="594"/>
      <c r="M2552" s="352">
        <v>8000</v>
      </c>
      <c r="N2552" s="352" t="s">
        <v>760</v>
      </c>
      <c r="O2552" s="460">
        <v>2321</v>
      </c>
      <c r="P2552" s="460" t="s">
        <v>790</v>
      </c>
      <c r="Q2552" s="460" t="s">
        <v>2553</v>
      </c>
      <c r="R2552" s="460">
        <v>2321</v>
      </c>
      <c r="S2552" s="460" t="s">
        <v>2324</v>
      </c>
      <c r="T2552" s="462">
        <v>1</v>
      </c>
      <c r="U2552" s="460" t="s">
        <v>2327</v>
      </c>
      <c r="V2552" s="475">
        <v>0</v>
      </c>
      <c r="W2552" s="463" t="s">
        <v>2268</v>
      </c>
      <c r="X2552" s="463" t="s">
        <v>2268</v>
      </c>
      <c r="Y2552" s="463" t="s">
        <v>2554</v>
      </c>
      <c r="Z2552" s="463"/>
      <c r="AA2552" s="463"/>
      <c r="AB2552" s="464">
        <v>0</v>
      </c>
      <c r="AC2552" s="465">
        <v>0</v>
      </c>
      <c r="AD2552" s="465">
        <v>0</v>
      </c>
      <c r="AE2552" s="476">
        <v>0</v>
      </c>
      <c r="AF2552" s="467">
        <v>0</v>
      </c>
      <c r="AG2552" s="468">
        <v>0</v>
      </c>
      <c r="AH2552" s="218">
        <v>0</v>
      </c>
      <c r="AI2552" s="470">
        <v>0</v>
      </c>
      <c r="AJ2552" s="471">
        <v>0</v>
      </c>
      <c r="AK2552" s="218">
        <v>0</v>
      </c>
      <c r="AL2552" s="470">
        <v>0</v>
      </c>
      <c r="AM2552" s="471">
        <v>0</v>
      </c>
      <c r="AN2552" s="477">
        <v>0</v>
      </c>
      <c r="AO2552" s="473">
        <v>0</v>
      </c>
      <c r="AP2552" s="474">
        <v>0</v>
      </c>
      <c r="AQ2552" s="352"/>
      <c r="AR2552" s="352"/>
      <c r="AS2552" s="352"/>
      <c r="AT2552" s="352"/>
      <c r="AU2552" s="352"/>
      <c r="AV2552" s="352"/>
      <c r="AW2552" s="352" t="s">
        <v>254</v>
      </c>
    </row>
    <row r="2553" spans="2:49" x14ac:dyDescent="0.2">
      <c r="B2553" s="460" t="s">
        <v>3111</v>
      </c>
      <c r="C2553" s="460">
        <v>8000</v>
      </c>
      <c r="D2553" s="460" t="s">
        <v>2340</v>
      </c>
      <c r="E2553" s="460" t="s">
        <v>2330</v>
      </c>
      <c r="F2553" s="460">
        <v>3</v>
      </c>
      <c r="G2553" s="460">
        <v>3</v>
      </c>
      <c r="H2553" s="461" t="s">
        <v>746</v>
      </c>
      <c r="I2553" s="461" t="s">
        <v>762</v>
      </c>
      <c r="J2553" s="461" t="s">
        <v>700</v>
      </c>
      <c r="K2553" s="594"/>
      <c r="L2553" s="594"/>
      <c r="M2553" s="352">
        <v>8000</v>
      </c>
      <c r="N2553" s="352" t="s">
        <v>760</v>
      </c>
      <c r="O2553" s="460">
        <v>2321</v>
      </c>
      <c r="P2553" s="460" t="s">
        <v>790</v>
      </c>
      <c r="Q2553" s="460" t="s">
        <v>2553</v>
      </c>
      <c r="R2553" s="460">
        <v>2321</v>
      </c>
      <c r="S2553" s="460" t="s">
        <v>2324</v>
      </c>
      <c r="T2553" s="462">
        <v>1</v>
      </c>
      <c r="U2553" s="460" t="s">
        <v>2330</v>
      </c>
      <c r="V2553" s="475">
        <v>0</v>
      </c>
      <c r="W2553" s="463" t="s">
        <v>2268</v>
      </c>
      <c r="X2553" s="463" t="s">
        <v>2268</v>
      </c>
      <c r="Y2553" s="463" t="s">
        <v>2554</v>
      </c>
      <c r="Z2553" s="463"/>
      <c r="AA2553" s="463"/>
      <c r="AB2553" s="464">
        <v>0</v>
      </c>
      <c r="AC2553" s="465">
        <v>0</v>
      </c>
      <c r="AD2553" s="465">
        <v>0</v>
      </c>
      <c r="AE2553" s="476">
        <v>0</v>
      </c>
      <c r="AF2553" s="467">
        <v>0</v>
      </c>
      <c r="AG2553" s="468">
        <v>0</v>
      </c>
      <c r="AH2553" s="218">
        <v>0</v>
      </c>
      <c r="AI2553" s="470">
        <v>0</v>
      </c>
      <c r="AJ2553" s="471">
        <v>0</v>
      </c>
      <c r="AK2553" s="218">
        <v>0</v>
      </c>
      <c r="AL2553" s="470">
        <v>0</v>
      </c>
      <c r="AM2553" s="471">
        <v>0</v>
      </c>
      <c r="AN2553" s="477">
        <v>0</v>
      </c>
      <c r="AO2553" s="473">
        <v>0</v>
      </c>
      <c r="AP2553" s="474">
        <v>0</v>
      </c>
      <c r="AQ2553" s="352"/>
      <c r="AR2553" s="352"/>
      <c r="AS2553" s="352"/>
      <c r="AT2553" s="352"/>
      <c r="AU2553" s="352"/>
      <c r="AV2553" s="352"/>
      <c r="AW2553" s="352" t="s">
        <v>254</v>
      </c>
    </row>
    <row r="2554" spans="2:49" x14ac:dyDescent="0.2">
      <c r="B2554" s="460" t="s">
        <v>3112</v>
      </c>
      <c r="C2554" s="460">
        <v>8000</v>
      </c>
      <c r="D2554" s="460" t="s">
        <v>2341</v>
      </c>
      <c r="E2554" s="460" t="s">
        <v>2333</v>
      </c>
      <c r="F2554" s="460">
        <v>4</v>
      </c>
      <c r="G2554" s="460">
        <v>3</v>
      </c>
      <c r="H2554" s="461" t="s">
        <v>746</v>
      </c>
      <c r="I2554" s="461" t="s">
        <v>762</v>
      </c>
      <c r="J2554" s="461" t="s">
        <v>700</v>
      </c>
      <c r="K2554" s="594"/>
      <c r="L2554" s="594"/>
      <c r="M2554" s="352">
        <v>8000</v>
      </c>
      <c r="N2554" s="352" t="s">
        <v>760</v>
      </c>
      <c r="O2554" s="460">
        <v>2321</v>
      </c>
      <c r="P2554" s="460" t="s">
        <v>790</v>
      </c>
      <c r="Q2554" s="460" t="s">
        <v>2553</v>
      </c>
      <c r="R2554" s="460">
        <v>2321</v>
      </c>
      <c r="S2554" s="460" t="s">
        <v>2333</v>
      </c>
      <c r="T2554" s="462">
        <v>1</v>
      </c>
      <c r="U2554" s="460" t="s">
        <v>2333</v>
      </c>
      <c r="V2554" s="475">
        <v>0</v>
      </c>
      <c r="W2554" s="463" t="s">
        <v>2268</v>
      </c>
      <c r="X2554" s="463" t="s">
        <v>2268</v>
      </c>
      <c r="Y2554" s="463" t="s">
        <v>2554</v>
      </c>
      <c r="Z2554" s="463"/>
      <c r="AA2554" s="463"/>
      <c r="AB2554" s="464">
        <v>0</v>
      </c>
      <c r="AC2554" s="465">
        <v>0</v>
      </c>
      <c r="AD2554" s="465">
        <v>0</v>
      </c>
      <c r="AE2554" s="476">
        <v>0</v>
      </c>
      <c r="AF2554" s="467">
        <v>0</v>
      </c>
      <c r="AG2554" s="468">
        <v>0</v>
      </c>
      <c r="AH2554" s="218">
        <v>0</v>
      </c>
      <c r="AI2554" s="470">
        <v>0</v>
      </c>
      <c r="AJ2554" s="471">
        <v>0</v>
      </c>
      <c r="AK2554" s="218">
        <v>0</v>
      </c>
      <c r="AL2554" s="470">
        <v>0</v>
      </c>
      <c r="AM2554" s="471">
        <v>0</v>
      </c>
      <c r="AN2554" s="477">
        <v>0</v>
      </c>
      <c r="AO2554" s="473">
        <v>0</v>
      </c>
      <c r="AP2554" s="474">
        <v>0</v>
      </c>
      <c r="AQ2554" s="352"/>
      <c r="AR2554" s="352"/>
      <c r="AS2554" s="352"/>
      <c r="AT2554" s="352"/>
      <c r="AU2554" s="352"/>
      <c r="AV2554" s="352"/>
      <c r="AW2554" s="352" t="s">
        <v>254</v>
      </c>
    </row>
    <row r="2555" spans="2:49" x14ac:dyDescent="0.2">
      <c r="B2555" s="460" t="s">
        <v>3109</v>
      </c>
      <c r="C2555" s="460">
        <v>8000</v>
      </c>
      <c r="D2555" s="460" t="s">
        <v>2342</v>
      </c>
      <c r="E2555" s="460" t="s">
        <v>2324</v>
      </c>
      <c r="F2555" s="460">
        <v>1</v>
      </c>
      <c r="G2555" s="460">
        <v>3</v>
      </c>
      <c r="H2555" s="461" t="s">
        <v>748</v>
      </c>
      <c r="I2555" s="461" t="s">
        <v>765</v>
      </c>
      <c r="J2555" s="461" t="s">
        <v>700</v>
      </c>
      <c r="K2555" s="594"/>
      <c r="L2555" s="594"/>
      <c r="M2555" s="352">
        <v>8000</v>
      </c>
      <c r="N2555" s="352" t="s">
        <v>760</v>
      </c>
      <c r="O2555" s="460">
        <v>2321</v>
      </c>
      <c r="P2555" s="460" t="s">
        <v>790</v>
      </c>
      <c r="Q2555" s="460" t="s">
        <v>2553</v>
      </c>
      <c r="R2555" s="460">
        <v>2321</v>
      </c>
      <c r="S2555" s="460" t="s">
        <v>2324</v>
      </c>
      <c r="T2555" s="462">
        <v>1</v>
      </c>
      <c r="U2555" s="460" t="s">
        <v>2324</v>
      </c>
      <c r="V2555" s="475">
        <v>0</v>
      </c>
      <c r="W2555" s="463" t="s">
        <v>2268</v>
      </c>
      <c r="X2555" s="463" t="s">
        <v>2268</v>
      </c>
      <c r="Y2555" s="463" t="s">
        <v>2554</v>
      </c>
      <c r="Z2555" s="463"/>
      <c r="AA2555" s="463"/>
      <c r="AB2555" s="464">
        <v>0</v>
      </c>
      <c r="AC2555" s="465">
        <v>0</v>
      </c>
      <c r="AD2555" s="465">
        <v>0</v>
      </c>
      <c r="AE2555" s="476">
        <v>0</v>
      </c>
      <c r="AF2555" s="467">
        <v>0</v>
      </c>
      <c r="AG2555" s="468">
        <v>0</v>
      </c>
      <c r="AH2555" s="218">
        <v>0</v>
      </c>
      <c r="AI2555" s="470">
        <v>0</v>
      </c>
      <c r="AJ2555" s="471">
        <v>0</v>
      </c>
      <c r="AK2555" s="218">
        <v>0</v>
      </c>
      <c r="AL2555" s="470">
        <v>0</v>
      </c>
      <c r="AM2555" s="471">
        <v>0</v>
      </c>
      <c r="AN2555" s="477">
        <v>0</v>
      </c>
      <c r="AO2555" s="473">
        <v>0</v>
      </c>
      <c r="AP2555" s="474">
        <v>0</v>
      </c>
      <c r="AQ2555" s="352"/>
      <c r="AR2555" s="352"/>
      <c r="AS2555" s="352"/>
      <c r="AT2555" s="352"/>
      <c r="AU2555" s="352"/>
      <c r="AV2555" s="352"/>
      <c r="AW2555" s="352" t="s">
        <v>254</v>
      </c>
    </row>
    <row r="2556" spans="2:49" x14ac:dyDescent="0.2">
      <c r="B2556" s="460" t="s">
        <v>3110</v>
      </c>
      <c r="C2556" s="460">
        <v>8000</v>
      </c>
      <c r="D2556" s="460" t="s">
        <v>2343</v>
      </c>
      <c r="E2556" s="460" t="s">
        <v>2327</v>
      </c>
      <c r="F2556" s="460">
        <v>2</v>
      </c>
      <c r="G2556" s="460">
        <v>3</v>
      </c>
      <c r="H2556" s="461" t="s">
        <v>748</v>
      </c>
      <c r="I2556" s="461" t="s">
        <v>765</v>
      </c>
      <c r="J2556" s="461" t="s">
        <v>700</v>
      </c>
      <c r="K2556" s="594"/>
      <c r="L2556" s="594"/>
      <c r="M2556" s="352">
        <v>8000</v>
      </c>
      <c r="N2556" s="352" t="s">
        <v>760</v>
      </c>
      <c r="O2556" s="460">
        <v>2321</v>
      </c>
      <c r="P2556" s="460" t="s">
        <v>790</v>
      </c>
      <c r="Q2556" s="460" t="s">
        <v>2553</v>
      </c>
      <c r="R2556" s="460">
        <v>2321</v>
      </c>
      <c r="S2556" s="460" t="s">
        <v>2324</v>
      </c>
      <c r="T2556" s="462">
        <v>1</v>
      </c>
      <c r="U2556" s="460" t="s">
        <v>2327</v>
      </c>
      <c r="V2556" s="475">
        <v>0</v>
      </c>
      <c r="W2556" s="463" t="s">
        <v>2268</v>
      </c>
      <c r="X2556" s="463" t="s">
        <v>2268</v>
      </c>
      <c r="Y2556" s="463" t="s">
        <v>2554</v>
      </c>
      <c r="Z2556" s="463"/>
      <c r="AA2556" s="463"/>
      <c r="AB2556" s="464">
        <v>0</v>
      </c>
      <c r="AC2556" s="465">
        <v>0</v>
      </c>
      <c r="AD2556" s="465">
        <v>0</v>
      </c>
      <c r="AE2556" s="476">
        <v>0</v>
      </c>
      <c r="AF2556" s="467">
        <v>0</v>
      </c>
      <c r="AG2556" s="468">
        <v>0</v>
      </c>
      <c r="AH2556" s="218">
        <v>0</v>
      </c>
      <c r="AI2556" s="470">
        <v>0</v>
      </c>
      <c r="AJ2556" s="471">
        <v>0</v>
      </c>
      <c r="AK2556" s="218">
        <v>0</v>
      </c>
      <c r="AL2556" s="470">
        <v>0</v>
      </c>
      <c r="AM2556" s="471">
        <v>0</v>
      </c>
      <c r="AN2556" s="477">
        <v>0</v>
      </c>
      <c r="AO2556" s="473">
        <v>0</v>
      </c>
      <c r="AP2556" s="474">
        <v>0</v>
      </c>
      <c r="AQ2556" s="352"/>
      <c r="AR2556" s="352"/>
      <c r="AS2556" s="352"/>
      <c r="AT2556" s="352"/>
      <c r="AU2556" s="352"/>
      <c r="AV2556" s="352"/>
      <c r="AW2556" s="352" t="s">
        <v>254</v>
      </c>
    </row>
    <row r="2557" spans="2:49" x14ac:dyDescent="0.2">
      <c r="B2557" s="460" t="s">
        <v>3111</v>
      </c>
      <c r="C2557" s="460">
        <v>8000</v>
      </c>
      <c r="D2557" s="460" t="s">
        <v>2344</v>
      </c>
      <c r="E2557" s="460" t="s">
        <v>2330</v>
      </c>
      <c r="F2557" s="460">
        <v>3</v>
      </c>
      <c r="G2557" s="460">
        <v>3</v>
      </c>
      <c r="H2557" s="461" t="s">
        <v>748</v>
      </c>
      <c r="I2557" s="461" t="s">
        <v>765</v>
      </c>
      <c r="J2557" s="461" t="s">
        <v>700</v>
      </c>
      <c r="K2557" s="594"/>
      <c r="L2557" s="594"/>
      <c r="M2557" s="352">
        <v>8000</v>
      </c>
      <c r="N2557" s="352" t="s">
        <v>760</v>
      </c>
      <c r="O2557" s="460">
        <v>2321</v>
      </c>
      <c r="P2557" s="460" t="s">
        <v>790</v>
      </c>
      <c r="Q2557" s="460" t="s">
        <v>2553</v>
      </c>
      <c r="R2557" s="460">
        <v>2321</v>
      </c>
      <c r="S2557" s="460" t="s">
        <v>2324</v>
      </c>
      <c r="T2557" s="462">
        <v>1</v>
      </c>
      <c r="U2557" s="460" t="s">
        <v>2330</v>
      </c>
      <c r="V2557" s="475">
        <v>0</v>
      </c>
      <c r="W2557" s="463" t="s">
        <v>2268</v>
      </c>
      <c r="X2557" s="463" t="s">
        <v>2268</v>
      </c>
      <c r="Y2557" s="463" t="s">
        <v>2554</v>
      </c>
      <c r="Z2557" s="463"/>
      <c r="AA2557" s="463"/>
      <c r="AB2557" s="464">
        <v>0</v>
      </c>
      <c r="AC2557" s="465">
        <v>0</v>
      </c>
      <c r="AD2557" s="465">
        <v>0</v>
      </c>
      <c r="AE2557" s="476">
        <v>0</v>
      </c>
      <c r="AF2557" s="467">
        <v>0</v>
      </c>
      <c r="AG2557" s="468">
        <v>0</v>
      </c>
      <c r="AH2557" s="218">
        <v>0</v>
      </c>
      <c r="AI2557" s="470">
        <v>0</v>
      </c>
      <c r="AJ2557" s="471">
        <v>0</v>
      </c>
      <c r="AK2557" s="218">
        <v>0</v>
      </c>
      <c r="AL2557" s="470">
        <v>0</v>
      </c>
      <c r="AM2557" s="471">
        <v>0</v>
      </c>
      <c r="AN2557" s="477">
        <v>0</v>
      </c>
      <c r="AO2557" s="473">
        <v>0</v>
      </c>
      <c r="AP2557" s="474">
        <v>0</v>
      </c>
      <c r="AQ2557" s="352"/>
      <c r="AR2557" s="352"/>
      <c r="AS2557" s="352"/>
      <c r="AT2557" s="352"/>
      <c r="AU2557" s="352"/>
      <c r="AV2557" s="352"/>
      <c r="AW2557" s="352" t="s">
        <v>254</v>
      </c>
    </row>
    <row r="2558" spans="2:49" x14ac:dyDescent="0.2">
      <c r="B2558" s="460" t="s">
        <v>3112</v>
      </c>
      <c r="C2558" s="460">
        <v>8000</v>
      </c>
      <c r="D2558" s="460" t="s">
        <v>2345</v>
      </c>
      <c r="E2558" s="460" t="s">
        <v>2333</v>
      </c>
      <c r="F2558" s="460">
        <v>4</v>
      </c>
      <c r="G2558" s="460">
        <v>3</v>
      </c>
      <c r="H2558" s="461" t="s">
        <v>748</v>
      </c>
      <c r="I2558" s="461" t="s">
        <v>765</v>
      </c>
      <c r="J2558" s="461" t="s">
        <v>700</v>
      </c>
      <c r="K2558" s="594"/>
      <c r="L2558" s="594"/>
      <c r="M2558" s="352">
        <v>8000</v>
      </c>
      <c r="N2558" s="352" t="s">
        <v>760</v>
      </c>
      <c r="O2558" s="460">
        <v>2321</v>
      </c>
      <c r="P2558" s="460" t="s">
        <v>790</v>
      </c>
      <c r="Q2558" s="460" t="s">
        <v>2553</v>
      </c>
      <c r="R2558" s="460">
        <v>2321</v>
      </c>
      <c r="S2558" s="460" t="s">
        <v>2333</v>
      </c>
      <c r="T2558" s="462">
        <v>1</v>
      </c>
      <c r="U2558" s="460" t="s">
        <v>2333</v>
      </c>
      <c r="V2558" s="475">
        <v>0</v>
      </c>
      <c r="W2558" s="463" t="s">
        <v>2268</v>
      </c>
      <c r="X2558" s="463" t="s">
        <v>2268</v>
      </c>
      <c r="Y2558" s="463" t="s">
        <v>2554</v>
      </c>
      <c r="Z2558" s="463"/>
      <c r="AA2558" s="463"/>
      <c r="AB2558" s="464">
        <v>0</v>
      </c>
      <c r="AC2558" s="465">
        <v>0</v>
      </c>
      <c r="AD2558" s="465">
        <v>0</v>
      </c>
      <c r="AE2558" s="476">
        <v>0</v>
      </c>
      <c r="AF2558" s="467">
        <v>0</v>
      </c>
      <c r="AG2558" s="468">
        <v>0</v>
      </c>
      <c r="AH2558" s="218">
        <v>0</v>
      </c>
      <c r="AI2558" s="470">
        <v>0</v>
      </c>
      <c r="AJ2558" s="471">
        <v>0</v>
      </c>
      <c r="AK2558" s="218">
        <v>0</v>
      </c>
      <c r="AL2558" s="470">
        <v>0</v>
      </c>
      <c r="AM2558" s="471">
        <v>0</v>
      </c>
      <c r="AN2558" s="477">
        <v>0</v>
      </c>
      <c r="AO2558" s="473">
        <v>0</v>
      </c>
      <c r="AP2558" s="474">
        <v>0</v>
      </c>
      <c r="AQ2558" s="352"/>
      <c r="AR2558" s="352"/>
      <c r="AS2558" s="352"/>
      <c r="AT2558" s="352"/>
      <c r="AU2558" s="352"/>
      <c r="AV2558" s="352"/>
      <c r="AW2558" s="352" t="s">
        <v>254</v>
      </c>
    </row>
    <row r="2559" spans="2:49" x14ac:dyDescent="0.2">
      <c r="B2559" s="460" t="s">
        <v>3113</v>
      </c>
      <c r="C2559" s="460">
        <v>8000</v>
      </c>
      <c r="D2559" s="460" t="s">
        <v>2351</v>
      </c>
      <c r="E2559" s="460" t="s">
        <v>1136</v>
      </c>
      <c r="F2559" s="460">
        <v>1</v>
      </c>
      <c r="G2559" s="460">
        <v>4</v>
      </c>
      <c r="H2559" s="461" t="s">
        <v>700</v>
      </c>
      <c r="I2559" s="461" t="s">
        <v>872</v>
      </c>
      <c r="J2559" s="461" t="s">
        <v>700</v>
      </c>
      <c r="K2559" s="594"/>
      <c r="L2559" s="594"/>
      <c r="M2559" s="352">
        <v>8000</v>
      </c>
      <c r="N2559" s="352" t="s">
        <v>760</v>
      </c>
      <c r="O2559" s="460">
        <v>2321</v>
      </c>
      <c r="P2559" s="460" t="s">
        <v>790</v>
      </c>
      <c r="Q2559" s="460" t="s">
        <v>2553</v>
      </c>
      <c r="R2559" s="460">
        <v>2321</v>
      </c>
      <c r="S2559" s="460" t="s">
        <v>1136</v>
      </c>
      <c r="T2559" s="462">
        <v>1</v>
      </c>
      <c r="U2559" s="460" t="s">
        <v>1136</v>
      </c>
      <c r="V2559" s="475">
        <v>0</v>
      </c>
      <c r="W2559" s="463" t="s">
        <v>2554</v>
      </c>
      <c r="X2559" s="463" t="s">
        <v>2554</v>
      </c>
      <c r="Y2559" s="463" t="s">
        <v>2268</v>
      </c>
      <c r="Z2559" s="463"/>
      <c r="AA2559" s="463"/>
      <c r="AB2559" s="464">
        <v>5.4349397116230345E-2</v>
      </c>
      <c r="AC2559" s="465">
        <v>2.062272151692929E-3</v>
      </c>
      <c r="AD2559" s="465">
        <v>1.5463540621622155E-4</v>
      </c>
      <c r="AE2559" s="476">
        <v>3.26096382697382E-2</v>
      </c>
      <c r="AF2559" s="467">
        <v>1.2373632910157573E-3</v>
      </c>
      <c r="AG2559" s="468">
        <v>1.0085892408177043E-4</v>
      </c>
      <c r="AH2559" s="218">
        <v>3.26096382697382E-2</v>
      </c>
      <c r="AI2559" s="470">
        <v>1.2373632910157573E-3</v>
      </c>
      <c r="AJ2559" s="471">
        <v>2.546703586196167E-5</v>
      </c>
      <c r="AK2559" s="218">
        <v>3.26096382697382E-2</v>
      </c>
      <c r="AL2559" s="470">
        <v>1.2373632910157573E-3</v>
      </c>
      <c r="AM2559" s="471">
        <v>2.546703586196167E-5</v>
      </c>
      <c r="AN2559" s="477">
        <v>0</v>
      </c>
      <c r="AO2559" s="473">
        <v>0</v>
      </c>
      <c r="AP2559" s="474">
        <v>0</v>
      </c>
      <c r="AQ2559" s="352"/>
      <c r="AR2559" s="352"/>
      <c r="AS2559" s="352"/>
      <c r="AT2559" s="352"/>
      <c r="AU2559" s="352"/>
      <c r="AV2559" s="352"/>
      <c r="AW2559" s="352" t="s">
        <v>254</v>
      </c>
    </row>
    <row r="2560" spans="2:49" x14ac:dyDescent="0.2">
      <c r="B2560" s="460" t="s">
        <v>3114</v>
      </c>
      <c r="C2560" s="460">
        <v>8000</v>
      </c>
      <c r="D2560" s="460" t="s">
        <v>2353</v>
      </c>
      <c r="E2560" s="460" t="s">
        <v>1137</v>
      </c>
      <c r="F2560" s="460">
        <v>2</v>
      </c>
      <c r="G2560" s="460">
        <v>4</v>
      </c>
      <c r="H2560" s="461" t="s">
        <v>700</v>
      </c>
      <c r="I2560" s="461" t="s">
        <v>872</v>
      </c>
      <c r="J2560" s="461" t="s">
        <v>700</v>
      </c>
      <c r="K2560" s="594"/>
      <c r="L2560" s="594"/>
      <c r="M2560" s="352">
        <v>8000</v>
      </c>
      <c r="N2560" s="352" t="s">
        <v>760</v>
      </c>
      <c r="O2560" s="460">
        <v>2321</v>
      </c>
      <c r="P2560" s="460" t="s">
        <v>790</v>
      </c>
      <c r="Q2560" s="460" t="s">
        <v>2553</v>
      </c>
      <c r="R2560" s="460">
        <v>2321</v>
      </c>
      <c r="S2560" s="460" t="s">
        <v>1137</v>
      </c>
      <c r="T2560" s="462">
        <v>1</v>
      </c>
      <c r="U2560" s="460" t="s">
        <v>1137</v>
      </c>
      <c r="V2560" s="475">
        <v>0</v>
      </c>
      <c r="W2560" s="463" t="s">
        <v>2554</v>
      </c>
      <c r="X2560" s="463" t="s">
        <v>2554</v>
      </c>
      <c r="Y2560" s="463" t="s">
        <v>2268</v>
      </c>
      <c r="Z2560" s="463"/>
      <c r="AA2560" s="463"/>
      <c r="AB2560" s="464">
        <v>0.6847876495054992</v>
      </c>
      <c r="AC2560" s="465">
        <v>3.812713585573449E-2</v>
      </c>
      <c r="AD2560" s="465">
        <v>1.5463540621622168E-4</v>
      </c>
      <c r="AE2560" s="476">
        <v>0.41087258970329954</v>
      </c>
      <c r="AF2560" s="467">
        <v>2.2876281513440695E-2</v>
      </c>
      <c r="AG2560" s="468">
        <v>9.9956085681407339E-5</v>
      </c>
      <c r="AH2560" s="218">
        <v>0.41087258970329954</v>
      </c>
      <c r="AI2560" s="470">
        <v>2.2876281513440695E-2</v>
      </c>
      <c r="AJ2560" s="471">
        <v>8.4890150832977695E-5</v>
      </c>
      <c r="AK2560" s="218">
        <v>0.41087258970329954</v>
      </c>
      <c r="AL2560" s="470">
        <v>2.2876281513440695E-2</v>
      </c>
      <c r="AM2560" s="471">
        <v>8.4890150832977695E-5</v>
      </c>
      <c r="AN2560" s="477">
        <v>0</v>
      </c>
      <c r="AO2560" s="473">
        <v>0</v>
      </c>
      <c r="AP2560" s="474">
        <v>0</v>
      </c>
      <c r="AQ2560" s="352"/>
      <c r="AR2560" s="352"/>
      <c r="AS2560" s="352"/>
      <c r="AT2560" s="352"/>
      <c r="AU2560" s="352"/>
      <c r="AV2560" s="352"/>
      <c r="AW2560" s="352" t="s">
        <v>254</v>
      </c>
    </row>
    <row r="2561" spans="2:49" x14ac:dyDescent="0.2">
      <c r="B2561" s="460" t="s">
        <v>3115</v>
      </c>
      <c r="C2561" s="460">
        <v>8000</v>
      </c>
      <c r="D2561" s="460" t="s">
        <v>2355</v>
      </c>
      <c r="E2561" s="460" t="s">
        <v>1138</v>
      </c>
      <c r="F2561" s="460">
        <v>3</v>
      </c>
      <c r="G2561" s="460">
        <v>4</v>
      </c>
      <c r="H2561" s="461" t="s">
        <v>700</v>
      </c>
      <c r="I2561" s="461" t="s">
        <v>872</v>
      </c>
      <c r="J2561" s="461" t="s">
        <v>700</v>
      </c>
      <c r="K2561" s="594"/>
      <c r="L2561" s="594"/>
      <c r="M2561" s="352">
        <v>8000</v>
      </c>
      <c r="N2561" s="352" t="s">
        <v>760</v>
      </c>
      <c r="O2561" s="460">
        <v>2321</v>
      </c>
      <c r="P2561" s="460" t="s">
        <v>790</v>
      </c>
      <c r="Q2561" s="460" t="s">
        <v>2553</v>
      </c>
      <c r="R2561" s="460">
        <v>2321</v>
      </c>
      <c r="S2561" s="460" t="s">
        <v>1138</v>
      </c>
      <c r="T2561" s="462">
        <v>1</v>
      </c>
      <c r="U2561" s="460" t="s">
        <v>1138</v>
      </c>
      <c r="V2561" s="475">
        <v>0</v>
      </c>
      <c r="W2561" s="463" t="s">
        <v>2554</v>
      </c>
      <c r="X2561" s="463" t="s">
        <v>2554</v>
      </c>
      <c r="Y2561" s="463" t="s">
        <v>2268</v>
      </c>
      <c r="Z2561" s="463"/>
      <c r="AA2561" s="463"/>
      <c r="AB2561" s="464">
        <v>0.36855848801766622</v>
      </c>
      <c r="AC2561" s="465">
        <v>1.751138558029448E-2</v>
      </c>
      <c r="AD2561" s="465">
        <v>1.5463540621622171E-4</v>
      </c>
      <c r="AE2561" s="476">
        <v>0.22113509281059976</v>
      </c>
      <c r="AF2561" s="467">
        <v>1.0506831348176688E-2</v>
      </c>
      <c r="AG2561" s="468">
        <v>1.0009840994514784E-4</v>
      </c>
      <c r="AH2561" s="218">
        <v>0.22113509281059976</v>
      </c>
      <c r="AI2561" s="470">
        <v>1.0506831348176688E-2</v>
      </c>
      <c r="AJ2561" s="471">
        <v>7.6204520771182841E-5</v>
      </c>
      <c r="AK2561" s="218">
        <v>0.22113509281059976</v>
      </c>
      <c r="AL2561" s="470">
        <v>1.0506831348176688E-2</v>
      </c>
      <c r="AM2561" s="471">
        <v>7.6204520771182841E-5</v>
      </c>
      <c r="AN2561" s="477">
        <v>0</v>
      </c>
      <c r="AO2561" s="473">
        <v>0</v>
      </c>
      <c r="AP2561" s="474">
        <v>0</v>
      </c>
      <c r="AQ2561" s="352"/>
      <c r="AR2561" s="352"/>
      <c r="AS2561" s="352"/>
      <c r="AT2561" s="352"/>
      <c r="AU2561" s="352"/>
      <c r="AV2561" s="352"/>
      <c r="AW2561" s="352" t="s">
        <v>254</v>
      </c>
    </row>
    <row r="2562" spans="2:49" x14ac:dyDescent="0.2">
      <c r="B2562" s="460" t="s">
        <v>3116</v>
      </c>
      <c r="C2562" s="460">
        <v>8000</v>
      </c>
      <c r="D2562" s="460" t="s">
        <v>2357</v>
      </c>
      <c r="E2562" s="460" t="s">
        <v>1139</v>
      </c>
      <c r="F2562" s="460">
        <v>4</v>
      </c>
      <c r="G2562" s="460">
        <v>4</v>
      </c>
      <c r="H2562" s="461" t="s">
        <v>700</v>
      </c>
      <c r="I2562" s="461" t="s">
        <v>872</v>
      </c>
      <c r="J2562" s="461" t="s">
        <v>700</v>
      </c>
      <c r="K2562" s="594"/>
      <c r="L2562" s="594"/>
      <c r="M2562" s="352">
        <v>8000</v>
      </c>
      <c r="N2562" s="352" t="s">
        <v>760</v>
      </c>
      <c r="O2562" s="460">
        <v>2321</v>
      </c>
      <c r="P2562" s="460" t="s">
        <v>790</v>
      </c>
      <c r="Q2562" s="460" t="s">
        <v>2553</v>
      </c>
      <c r="R2562" s="460">
        <v>2321</v>
      </c>
      <c r="S2562" s="460" t="s">
        <v>1139</v>
      </c>
      <c r="T2562" s="462">
        <v>1</v>
      </c>
      <c r="U2562" s="460" t="s">
        <v>1139</v>
      </c>
      <c r="V2562" s="475">
        <v>0</v>
      </c>
      <c r="W2562" s="463" t="s">
        <v>2554</v>
      </c>
      <c r="X2562" s="463" t="s">
        <v>2554</v>
      </c>
      <c r="Y2562" s="463" t="s">
        <v>2268</v>
      </c>
      <c r="Z2562" s="463"/>
      <c r="AA2562" s="463"/>
      <c r="AB2562" s="464">
        <v>0</v>
      </c>
      <c r="AC2562" s="465">
        <v>0</v>
      </c>
      <c r="AD2562" s="465">
        <v>0</v>
      </c>
      <c r="AE2562" s="476">
        <v>0</v>
      </c>
      <c r="AF2562" s="467">
        <v>0</v>
      </c>
      <c r="AG2562" s="468">
        <v>0</v>
      </c>
      <c r="AH2562" s="218">
        <v>0</v>
      </c>
      <c r="AI2562" s="470">
        <v>0</v>
      </c>
      <c r="AJ2562" s="471">
        <v>0</v>
      </c>
      <c r="AK2562" s="218">
        <v>0</v>
      </c>
      <c r="AL2562" s="470">
        <v>0</v>
      </c>
      <c r="AM2562" s="471">
        <v>0</v>
      </c>
      <c r="AN2562" s="477">
        <v>0</v>
      </c>
      <c r="AO2562" s="473">
        <v>0</v>
      </c>
      <c r="AP2562" s="474">
        <v>0</v>
      </c>
      <c r="AQ2562" s="352"/>
      <c r="AR2562" s="352"/>
      <c r="AS2562" s="352"/>
      <c r="AT2562" s="352"/>
      <c r="AU2562" s="352"/>
      <c r="AV2562" s="352"/>
      <c r="AW2562" s="352" t="s">
        <v>254</v>
      </c>
    </row>
    <row r="2563" spans="2:49" x14ac:dyDescent="0.2">
      <c r="B2563" s="460" t="s">
        <v>3113</v>
      </c>
      <c r="C2563" s="460">
        <v>8000</v>
      </c>
      <c r="D2563" s="460" t="s">
        <v>2358</v>
      </c>
      <c r="E2563" s="460" t="s">
        <v>1136</v>
      </c>
      <c r="F2563" s="460">
        <v>1</v>
      </c>
      <c r="G2563" s="460">
        <v>4</v>
      </c>
      <c r="H2563" s="461" t="s">
        <v>712</v>
      </c>
      <c r="I2563" s="461" t="s">
        <v>713</v>
      </c>
      <c r="J2563" s="461" t="s">
        <v>712</v>
      </c>
      <c r="K2563" s="594"/>
      <c r="L2563" s="594"/>
      <c r="M2563" s="352">
        <v>8000</v>
      </c>
      <c r="N2563" s="352" t="s">
        <v>760</v>
      </c>
      <c r="O2563" s="460">
        <v>2321</v>
      </c>
      <c r="P2563" s="460" t="s">
        <v>790</v>
      </c>
      <c r="Q2563" s="460" t="s">
        <v>2280</v>
      </c>
      <c r="R2563" s="460">
        <v>2321</v>
      </c>
      <c r="S2563" s="460" t="s">
        <v>1136</v>
      </c>
      <c r="T2563" s="462">
        <v>1</v>
      </c>
      <c r="U2563" s="460" t="s">
        <v>1136</v>
      </c>
      <c r="V2563" s="475">
        <v>0</v>
      </c>
      <c r="W2563" s="463" t="s">
        <v>713</v>
      </c>
      <c r="X2563" s="463" t="s">
        <v>713</v>
      </c>
      <c r="Y2563" s="463" t="s">
        <v>713</v>
      </c>
      <c r="Z2563" s="463"/>
      <c r="AA2563" s="463"/>
      <c r="AB2563" s="464">
        <v>26.299784838568748</v>
      </c>
      <c r="AC2563" s="465">
        <v>0.99793772784830714</v>
      </c>
      <c r="AD2563" s="465">
        <v>1.7332532373077154E-4</v>
      </c>
      <c r="AE2563" s="476">
        <v>26.321524597415241</v>
      </c>
      <c r="AF2563" s="467">
        <v>0.99876263670898424</v>
      </c>
      <c r="AG2563" s="468">
        <v>1.7343642255725003E-4</v>
      </c>
      <c r="AH2563" s="218">
        <v>26.321524597415241</v>
      </c>
      <c r="AI2563" s="470">
        <v>0.99876263670898424</v>
      </c>
      <c r="AJ2563" s="471">
        <v>1.7519909541476088E-4</v>
      </c>
      <c r="AK2563" s="218">
        <v>26.321524597415241</v>
      </c>
      <c r="AL2563" s="470">
        <v>0.99876263670898424</v>
      </c>
      <c r="AM2563" s="471">
        <v>1.7519909541476088E-4</v>
      </c>
      <c r="AN2563" s="477">
        <v>26.321524597415241</v>
      </c>
      <c r="AO2563" s="473">
        <v>0.99876263670898424</v>
      </c>
      <c r="AP2563" s="474">
        <v>1.7491402202114326E-4</v>
      </c>
      <c r="AQ2563" s="352"/>
      <c r="AR2563" s="352"/>
      <c r="AS2563" s="352"/>
      <c r="AT2563" s="352"/>
      <c r="AU2563" s="352"/>
      <c r="AV2563" s="352"/>
      <c r="AW2563" s="352" t="s">
        <v>254</v>
      </c>
    </row>
    <row r="2564" spans="2:49" x14ac:dyDescent="0.2">
      <c r="B2564" s="460" t="s">
        <v>3114</v>
      </c>
      <c r="C2564" s="460">
        <v>8000</v>
      </c>
      <c r="D2564" s="460" t="s">
        <v>2359</v>
      </c>
      <c r="E2564" s="460" t="s">
        <v>1137</v>
      </c>
      <c r="F2564" s="460">
        <v>2</v>
      </c>
      <c r="G2564" s="460">
        <v>4</v>
      </c>
      <c r="H2564" s="461" t="s">
        <v>712</v>
      </c>
      <c r="I2564" s="461" t="s">
        <v>713</v>
      </c>
      <c r="J2564" s="461" t="s">
        <v>712</v>
      </c>
      <c r="K2564" s="594"/>
      <c r="L2564" s="594"/>
      <c r="M2564" s="352">
        <v>8000</v>
      </c>
      <c r="N2564" s="352" t="s">
        <v>760</v>
      </c>
      <c r="O2564" s="460">
        <v>2321</v>
      </c>
      <c r="P2564" s="460" t="s">
        <v>790</v>
      </c>
      <c r="Q2564" s="460" t="s">
        <v>2280</v>
      </c>
      <c r="R2564" s="460">
        <v>2321</v>
      </c>
      <c r="S2564" s="460" t="s">
        <v>1137</v>
      </c>
      <c r="T2564" s="462">
        <v>1</v>
      </c>
      <c r="U2564" s="460" t="s">
        <v>1137</v>
      </c>
      <c r="V2564" s="475">
        <v>0</v>
      </c>
      <c r="W2564" s="463" t="s">
        <v>713</v>
      </c>
      <c r="X2564" s="463" t="s">
        <v>713</v>
      </c>
      <c r="Y2564" s="463" t="s">
        <v>713</v>
      </c>
      <c r="Z2564" s="463"/>
      <c r="AA2564" s="463"/>
      <c r="AB2564" s="464">
        <v>17.275849417401382</v>
      </c>
      <c r="AC2564" s="465">
        <v>0.96187286414426554</v>
      </c>
      <c r="AD2564" s="465">
        <v>9.9908620306295485E-5</v>
      </c>
      <c r="AE2564" s="476">
        <v>17.549764477203581</v>
      </c>
      <c r="AF2564" s="467">
        <v>0.97712371848655932</v>
      </c>
      <c r="AG2564" s="468">
        <v>1.0130647836591239E-4</v>
      </c>
      <c r="AH2564" s="218">
        <v>17.549764477203581</v>
      </c>
      <c r="AI2564" s="470">
        <v>0.97712371848655932</v>
      </c>
      <c r="AJ2564" s="471">
        <v>1.0178719984214055E-4</v>
      </c>
      <c r="AK2564" s="218">
        <v>17.549764477203581</v>
      </c>
      <c r="AL2564" s="470">
        <v>0.97712371848655932</v>
      </c>
      <c r="AM2564" s="471">
        <v>1.0178719984214055E-4</v>
      </c>
      <c r="AN2564" s="477">
        <v>17.549764477203581</v>
      </c>
      <c r="AO2564" s="473">
        <v>0.97712371848655932</v>
      </c>
      <c r="AP2564" s="474">
        <v>1.0170321080059096E-4</v>
      </c>
      <c r="AQ2564" s="352"/>
      <c r="AR2564" s="352"/>
      <c r="AS2564" s="352"/>
      <c r="AT2564" s="352"/>
      <c r="AU2564" s="352"/>
      <c r="AV2564" s="352"/>
      <c r="AW2564" s="352" t="s">
        <v>254</v>
      </c>
    </row>
    <row r="2565" spans="2:49" x14ac:dyDescent="0.2">
      <c r="B2565" s="460" t="s">
        <v>3115</v>
      </c>
      <c r="C2565" s="460">
        <v>8000</v>
      </c>
      <c r="D2565" s="460" t="s">
        <v>2360</v>
      </c>
      <c r="E2565" s="460" t="s">
        <v>1138</v>
      </c>
      <c r="F2565" s="460">
        <v>3</v>
      </c>
      <c r="G2565" s="460">
        <v>4</v>
      </c>
      <c r="H2565" s="461" t="s">
        <v>712</v>
      </c>
      <c r="I2565" s="461" t="s">
        <v>713</v>
      </c>
      <c r="J2565" s="461" t="s">
        <v>712</v>
      </c>
      <c r="K2565" s="594"/>
      <c r="L2565" s="594"/>
      <c r="M2565" s="352">
        <v>8000</v>
      </c>
      <c r="N2565" s="352" t="s">
        <v>760</v>
      </c>
      <c r="O2565" s="460">
        <v>2321</v>
      </c>
      <c r="P2565" s="460" t="s">
        <v>790</v>
      </c>
      <c r="Q2565" s="460" t="s">
        <v>2280</v>
      </c>
      <c r="R2565" s="460">
        <v>2321</v>
      </c>
      <c r="S2565" s="460" t="s">
        <v>1138</v>
      </c>
      <c r="T2565" s="462">
        <v>1</v>
      </c>
      <c r="U2565" s="460" t="s">
        <v>1138</v>
      </c>
      <c r="V2565" s="475">
        <v>0</v>
      </c>
      <c r="W2565" s="463" t="s">
        <v>713</v>
      </c>
      <c r="X2565" s="463" t="s">
        <v>713</v>
      </c>
      <c r="Y2565" s="463" t="s">
        <v>713</v>
      </c>
      <c r="Z2565" s="463"/>
      <c r="AA2565" s="463"/>
      <c r="AB2565" s="464">
        <v>20.678233402191424</v>
      </c>
      <c r="AC2565" s="465">
        <v>0.98248861441970559</v>
      </c>
      <c r="AD2565" s="465">
        <v>2.5805497915815686E-4</v>
      </c>
      <c r="AE2565" s="476">
        <v>20.825656797398491</v>
      </c>
      <c r="AF2565" s="467">
        <v>0.98949316865182335</v>
      </c>
      <c r="AG2565" s="468">
        <v>2.5933090277394696E-4</v>
      </c>
      <c r="AH2565" s="218">
        <v>20.825656797398491</v>
      </c>
      <c r="AI2565" s="470">
        <v>0.98949316865182335</v>
      </c>
      <c r="AJ2565" s="471">
        <v>2.6237165427491274E-4</v>
      </c>
      <c r="AK2565" s="218">
        <v>20.825656797398491</v>
      </c>
      <c r="AL2565" s="470">
        <v>0.98949316865182335</v>
      </c>
      <c r="AM2565" s="471">
        <v>2.6237165427491274E-4</v>
      </c>
      <c r="AN2565" s="477">
        <v>20.825656797398491</v>
      </c>
      <c r="AO2565" s="473">
        <v>0.98949316865182335</v>
      </c>
      <c r="AP2565" s="474">
        <v>2.6235188087493004E-4</v>
      </c>
      <c r="AQ2565" s="352"/>
      <c r="AR2565" s="352"/>
      <c r="AS2565" s="352"/>
      <c r="AT2565" s="352"/>
      <c r="AU2565" s="352"/>
      <c r="AV2565" s="352"/>
      <c r="AW2565" s="352" t="s">
        <v>254</v>
      </c>
    </row>
    <row r="2566" spans="2:49" x14ac:dyDescent="0.2">
      <c r="B2566" s="460" t="s">
        <v>3116</v>
      </c>
      <c r="C2566" s="460">
        <v>8000</v>
      </c>
      <c r="D2566" s="460" t="s">
        <v>2361</v>
      </c>
      <c r="E2566" s="460" t="s">
        <v>1139</v>
      </c>
      <c r="F2566" s="460">
        <v>4</v>
      </c>
      <c r="G2566" s="460">
        <v>4</v>
      </c>
      <c r="H2566" s="461" t="s">
        <v>712</v>
      </c>
      <c r="I2566" s="461" t="s">
        <v>713</v>
      </c>
      <c r="J2566" s="461" t="s">
        <v>712</v>
      </c>
      <c r="K2566" s="594"/>
      <c r="L2566" s="594"/>
      <c r="M2566" s="352">
        <v>8000</v>
      </c>
      <c r="N2566" s="352" t="s">
        <v>760</v>
      </c>
      <c r="O2566" s="460">
        <v>2321</v>
      </c>
      <c r="P2566" s="460" t="s">
        <v>790</v>
      </c>
      <c r="Q2566" s="460" t="s">
        <v>2280</v>
      </c>
      <c r="R2566" s="460">
        <v>2321</v>
      </c>
      <c r="S2566" s="460" t="s">
        <v>1139</v>
      </c>
      <c r="T2566" s="462">
        <v>1</v>
      </c>
      <c r="U2566" s="460" t="s">
        <v>1139</v>
      </c>
      <c r="V2566" s="475">
        <v>0</v>
      </c>
      <c r="W2566" s="463" t="s">
        <v>713</v>
      </c>
      <c r="X2566" s="463" t="s">
        <v>713</v>
      </c>
      <c r="Y2566" s="463" t="s">
        <v>713</v>
      </c>
      <c r="Z2566" s="463"/>
      <c r="AA2566" s="463"/>
      <c r="AB2566" s="464">
        <v>23.609527967595415</v>
      </c>
      <c r="AC2566" s="465">
        <v>1</v>
      </c>
      <c r="AD2566" s="465">
        <v>2.6141024974427296E-4</v>
      </c>
      <c r="AE2566" s="476">
        <v>23.609527967595415</v>
      </c>
      <c r="AF2566" s="467">
        <v>1</v>
      </c>
      <c r="AG2566" s="468">
        <v>2.6141024974427296E-4</v>
      </c>
      <c r="AH2566" s="218">
        <v>23.609527967595415</v>
      </c>
      <c r="AI2566" s="470">
        <v>1</v>
      </c>
      <c r="AJ2566" s="471">
        <v>2.6703262407693905E-4</v>
      </c>
      <c r="AK2566" s="218">
        <v>23.609527967595415</v>
      </c>
      <c r="AL2566" s="470">
        <v>1</v>
      </c>
      <c r="AM2566" s="471">
        <v>2.6703262407693905E-4</v>
      </c>
      <c r="AN2566" s="477">
        <v>23.609527967595415</v>
      </c>
      <c r="AO2566" s="473">
        <v>1</v>
      </c>
      <c r="AP2566" s="474">
        <v>2.6703262407693905E-4</v>
      </c>
      <c r="AQ2566" s="352"/>
      <c r="AR2566" s="352"/>
      <c r="AS2566" s="352"/>
      <c r="AT2566" s="352"/>
      <c r="AU2566" s="352"/>
      <c r="AV2566" s="352"/>
      <c r="AW2566" s="352" t="s">
        <v>254</v>
      </c>
    </row>
    <row r="2567" spans="2:49" x14ac:dyDescent="0.2">
      <c r="B2567" s="460" t="s">
        <v>3113</v>
      </c>
      <c r="C2567" s="460">
        <v>8000</v>
      </c>
      <c r="D2567" s="460" t="s">
        <v>2362</v>
      </c>
      <c r="E2567" s="460" t="s">
        <v>1136</v>
      </c>
      <c r="F2567" s="460">
        <v>1</v>
      </c>
      <c r="G2567" s="460">
        <v>4</v>
      </c>
      <c r="H2567" s="461" t="s">
        <v>746</v>
      </c>
      <c r="I2567" s="461" t="s">
        <v>762</v>
      </c>
      <c r="J2567" s="461" t="s">
        <v>700</v>
      </c>
      <c r="K2567" s="594"/>
      <c r="L2567" s="594"/>
      <c r="M2567" s="352">
        <v>8000</v>
      </c>
      <c r="N2567" s="352" t="s">
        <v>760</v>
      </c>
      <c r="O2567" s="460">
        <v>2321</v>
      </c>
      <c r="P2567" s="460" t="s">
        <v>790</v>
      </c>
      <c r="Q2567" s="460" t="s">
        <v>2553</v>
      </c>
      <c r="R2567" s="460">
        <v>2321</v>
      </c>
      <c r="S2567" s="460" t="s">
        <v>1136</v>
      </c>
      <c r="T2567" s="462">
        <v>1</v>
      </c>
      <c r="U2567" s="460" t="s">
        <v>1136</v>
      </c>
      <c r="V2567" s="475">
        <v>0</v>
      </c>
      <c r="W2567" s="463" t="s">
        <v>2268</v>
      </c>
      <c r="X2567" s="463" t="s">
        <v>2268</v>
      </c>
      <c r="Y2567" s="463" t="s">
        <v>2554</v>
      </c>
      <c r="Z2567" s="463"/>
      <c r="AA2567" s="463"/>
      <c r="AB2567" s="464">
        <v>0</v>
      </c>
      <c r="AC2567" s="465">
        <v>0</v>
      </c>
      <c r="AD2567" s="465">
        <v>0</v>
      </c>
      <c r="AE2567" s="476">
        <v>0</v>
      </c>
      <c r="AF2567" s="467">
        <v>0</v>
      </c>
      <c r="AG2567" s="468">
        <v>0</v>
      </c>
      <c r="AH2567" s="218">
        <v>0</v>
      </c>
      <c r="AI2567" s="470">
        <v>0</v>
      </c>
      <c r="AJ2567" s="471">
        <v>0</v>
      </c>
      <c r="AK2567" s="218">
        <v>0</v>
      </c>
      <c r="AL2567" s="470">
        <v>0</v>
      </c>
      <c r="AM2567" s="471">
        <v>0</v>
      </c>
      <c r="AN2567" s="477">
        <v>2.1739758846492138E-2</v>
      </c>
      <c r="AO2567" s="473">
        <v>8.2490886067717163E-4</v>
      </c>
      <c r="AP2567" s="474">
        <v>9.8056989388165984E-5</v>
      </c>
      <c r="AQ2567" s="352"/>
      <c r="AR2567" s="352"/>
      <c r="AS2567" s="352"/>
      <c r="AT2567" s="352"/>
      <c r="AU2567" s="352"/>
      <c r="AV2567" s="352"/>
      <c r="AW2567" s="352" t="s">
        <v>254</v>
      </c>
    </row>
    <row r="2568" spans="2:49" x14ac:dyDescent="0.2">
      <c r="B2568" s="460" t="s">
        <v>3114</v>
      </c>
      <c r="C2568" s="460">
        <v>8000</v>
      </c>
      <c r="D2568" s="460" t="s">
        <v>2363</v>
      </c>
      <c r="E2568" s="460" t="s">
        <v>1137</v>
      </c>
      <c r="F2568" s="460">
        <v>2</v>
      </c>
      <c r="G2568" s="460">
        <v>4</v>
      </c>
      <c r="H2568" s="461" t="s">
        <v>746</v>
      </c>
      <c r="I2568" s="461" t="s">
        <v>762</v>
      </c>
      <c r="J2568" s="461" t="s">
        <v>700</v>
      </c>
      <c r="K2568" s="594"/>
      <c r="L2568" s="594"/>
      <c r="M2568" s="352">
        <v>8000</v>
      </c>
      <c r="N2568" s="352" t="s">
        <v>760</v>
      </c>
      <c r="O2568" s="460">
        <v>2321</v>
      </c>
      <c r="P2568" s="460" t="s">
        <v>790</v>
      </c>
      <c r="Q2568" s="460" t="s">
        <v>2553</v>
      </c>
      <c r="R2568" s="460">
        <v>2321</v>
      </c>
      <c r="S2568" s="460" t="s">
        <v>1137</v>
      </c>
      <c r="T2568" s="462">
        <v>1</v>
      </c>
      <c r="U2568" s="460" t="s">
        <v>1137</v>
      </c>
      <c r="V2568" s="475">
        <v>0</v>
      </c>
      <c r="W2568" s="463" t="s">
        <v>2268</v>
      </c>
      <c r="X2568" s="463" t="s">
        <v>2268</v>
      </c>
      <c r="Y2568" s="463" t="s">
        <v>2554</v>
      </c>
      <c r="Z2568" s="463"/>
      <c r="AA2568" s="463"/>
      <c r="AB2568" s="464">
        <v>0</v>
      </c>
      <c r="AC2568" s="465">
        <v>0</v>
      </c>
      <c r="AD2568" s="465">
        <v>0</v>
      </c>
      <c r="AE2568" s="476">
        <v>0</v>
      </c>
      <c r="AF2568" s="467">
        <v>0</v>
      </c>
      <c r="AG2568" s="468">
        <v>0</v>
      </c>
      <c r="AH2568" s="218">
        <v>0</v>
      </c>
      <c r="AI2568" s="470">
        <v>0</v>
      </c>
      <c r="AJ2568" s="471">
        <v>0</v>
      </c>
      <c r="AK2568" s="218">
        <v>0</v>
      </c>
      <c r="AL2568" s="470">
        <v>0</v>
      </c>
      <c r="AM2568" s="471">
        <v>0</v>
      </c>
      <c r="AN2568" s="477">
        <v>0.27391505980219971</v>
      </c>
      <c r="AO2568" s="473">
        <v>1.5250854342293797E-2</v>
      </c>
      <c r="AP2568" s="474">
        <v>7.4851008266953859E-5</v>
      </c>
      <c r="AQ2568" s="352"/>
      <c r="AR2568" s="352"/>
      <c r="AS2568" s="352"/>
      <c r="AT2568" s="352"/>
      <c r="AU2568" s="352"/>
      <c r="AV2568" s="352"/>
      <c r="AW2568" s="352" t="s">
        <v>254</v>
      </c>
    </row>
    <row r="2569" spans="2:49" x14ac:dyDescent="0.2">
      <c r="B2569" s="460" t="s">
        <v>3115</v>
      </c>
      <c r="C2569" s="460">
        <v>8000</v>
      </c>
      <c r="D2569" s="460" t="s">
        <v>2364</v>
      </c>
      <c r="E2569" s="460" t="s">
        <v>1138</v>
      </c>
      <c r="F2569" s="460">
        <v>3</v>
      </c>
      <c r="G2569" s="460">
        <v>4</v>
      </c>
      <c r="H2569" s="461" t="s">
        <v>746</v>
      </c>
      <c r="I2569" s="461" t="s">
        <v>762</v>
      </c>
      <c r="J2569" s="461" t="s">
        <v>700</v>
      </c>
      <c r="K2569" s="594"/>
      <c r="L2569" s="594"/>
      <c r="M2569" s="352">
        <v>8000</v>
      </c>
      <c r="N2569" s="352" t="s">
        <v>760</v>
      </c>
      <c r="O2569" s="460">
        <v>2321</v>
      </c>
      <c r="P2569" s="460" t="s">
        <v>790</v>
      </c>
      <c r="Q2569" s="460" t="s">
        <v>2553</v>
      </c>
      <c r="R2569" s="460">
        <v>2321</v>
      </c>
      <c r="S2569" s="460" t="s">
        <v>1138</v>
      </c>
      <c r="T2569" s="462">
        <v>1</v>
      </c>
      <c r="U2569" s="460" t="s">
        <v>1138</v>
      </c>
      <c r="V2569" s="475">
        <v>0</v>
      </c>
      <c r="W2569" s="463" t="s">
        <v>2268</v>
      </c>
      <c r="X2569" s="463" t="s">
        <v>2268</v>
      </c>
      <c r="Y2569" s="463" t="s">
        <v>2554</v>
      </c>
      <c r="Z2569" s="463"/>
      <c r="AA2569" s="463"/>
      <c r="AB2569" s="464">
        <v>0</v>
      </c>
      <c r="AC2569" s="465">
        <v>0</v>
      </c>
      <c r="AD2569" s="465">
        <v>0</v>
      </c>
      <c r="AE2569" s="476">
        <v>0</v>
      </c>
      <c r="AF2569" s="467">
        <v>0</v>
      </c>
      <c r="AG2569" s="468">
        <v>0</v>
      </c>
      <c r="AH2569" s="218">
        <v>0</v>
      </c>
      <c r="AI2569" s="470">
        <v>0</v>
      </c>
      <c r="AJ2569" s="471">
        <v>0</v>
      </c>
      <c r="AK2569" s="218">
        <v>0</v>
      </c>
      <c r="AL2569" s="470">
        <v>0</v>
      </c>
      <c r="AM2569" s="471">
        <v>0</v>
      </c>
      <c r="AN2569" s="477">
        <v>0.14742339520706652</v>
      </c>
      <c r="AO2569" s="473">
        <v>7.0045542321177925E-3</v>
      </c>
      <c r="AP2569" s="474">
        <v>7.6303253018470288E-5</v>
      </c>
      <c r="AQ2569" s="352"/>
      <c r="AR2569" s="352"/>
      <c r="AS2569" s="352"/>
      <c r="AT2569" s="352"/>
      <c r="AU2569" s="352"/>
      <c r="AV2569" s="352"/>
      <c r="AW2569" s="352" t="s">
        <v>254</v>
      </c>
    </row>
    <row r="2570" spans="2:49" x14ac:dyDescent="0.2">
      <c r="B2570" s="460" t="s">
        <v>3116</v>
      </c>
      <c r="C2570" s="460">
        <v>8000</v>
      </c>
      <c r="D2570" s="460" t="s">
        <v>2365</v>
      </c>
      <c r="E2570" s="460" t="s">
        <v>1139</v>
      </c>
      <c r="F2570" s="460">
        <v>4</v>
      </c>
      <c r="G2570" s="460">
        <v>4</v>
      </c>
      <c r="H2570" s="461" t="s">
        <v>746</v>
      </c>
      <c r="I2570" s="461" t="s">
        <v>762</v>
      </c>
      <c r="J2570" s="461" t="s">
        <v>700</v>
      </c>
      <c r="K2570" s="594"/>
      <c r="L2570" s="594"/>
      <c r="M2570" s="352">
        <v>8000</v>
      </c>
      <c r="N2570" s="352" t="s">
        <v>760</v>
      </c>
      <c r="O2570" s="460">
        <v>2321</v>
      </c>
      <c r="P2570" s="460" t="s">
        <v>790</v>
      </c>
      <c r="Q2570" s="460" t="s">
        <v>2553</v>
      </c>
      <c r="R2570" s="460">
        <v>2321</v>
      </c>
      <c r="S2570" s="460" t="s">
        <v>1139</v>
      </c>
      <c r="T2570" s="462">
        <v>1</v>
      </c>
      <c r="U2570" s="460" t="s">
        <v>1139</v>
      </c>
      <c r="V2570" s="475">
        <v>0</v>
      </c>
      <c r="W2570" s="463" t="s">
        <v>2268</v>
      </c>
      <c r="X2570" s="463" t="s">
        <v>2268</v>
      </c>
      <c r="Y2570" s="463" t="s">
        <v>2554</v>
      </c>
      <c r="Z2570" s="463"/>
      <c r="AA2570" s="463"/>
      <c r="AB2570" s="464">
        <v>0</v>
      </c>
      <c r="AC2570" s="465">
        <v>0</v>
      </c>
      <c r="AD2570" s="465">
        <v>0</v>
      </c>
      <c r="AE2570" s="476">
        <v>0</v>
      </c>
      <c r="AF2570" s="467">
        <v>0</v>
      </c>
      <c r="AG2570" s="468">
        <v>0</v>
      </c>
      <c r="AH2570" s="218">
        <v>0</v>
      </c>
      <c r="AI2570" s="470">
        <v>0</v>
      </c>
      <c r="AJ2570" s="471">
        <v>0</v>
      </c>
      <c r="AK2570" s="218">
        <v>0</v>
      </c>
      <c r="AL2570" s="470">
        <v>0</v>
      </c>
      <c r="AM2570" s="471">
        <v>0</v>
      </c>
      <c r="AN2570" s="477">
        <v>0</v>
      </c>
      <c r="AO2570" s="473">
        <v>0</v>
      </c>
      <c r="AP2570" s="474">
        <v>0</v>
      </c>
      <c r="AQ2570" s="352"/>
      <c r="AR2570" s="352"/>
      <c r="AS2570" s="352"/>
      <c r="AT2570" s="352"/>
      <c r="AU2570" s="352"/>
      <c r="AV2570" s="352"/>
      <c r="AW2570" s="352" t="s">
        <v>254</v>
      </c>
    </row>
    <row r="2571" spans="2:49" x14ac:dyDescent="0.2">
      <c r="B2571" s="460" t="s">
        <v>3113</v>
      </c>
      <c r="C2571" s="460">
        <v>8000</v>
      </c>
      <c r="D2571" s="460" t="s">
        <v>2366</v>
      </c>
      <c r="E2571" s="460" t="s">
        <v>1136</v>
      </c>
      <c r="F2571" s="460">
        <v>1</v>
      </c>
      <c r="G2571" s="460">
        <v>4</v>
      </c>
      <c r="H2571" s="461" t="s">
        <v>748</v>
      </c>
      <c r="I2571" s="461" t="s">
        <v>765</v>
      </c>
      <c r="J2571" s="461" t="s">
        <v>700</v>
      </c>
      <c r="K2571" s="594"/>
      <c r="L2571" s="594"/>
      <c r="M2571" s="352">
        <v>8000</v>
      </c>
      <c r="N2571" s="352" t="s">
        <v>760</v>
      </c>
      <c r="O2571" s="460">
        <v>2321</v>
      </c>
      <c r="P2571" s="460" t="s">
        <v>790</v>
      </c>
      <c r="Q2571" s="460" t="s">
        <v>2553</v>
      </c>
      <c r="R2571" s="460">
        <v>2321</v>
      </c>
      <c r="S2571" s="460" t="s">
        <v>1136</v>
      </c>
      <c r="T2571" s="462">
        <v>1</v>
      </c>
      <c r="U2571" s="460" t="s">
        <v>1136</v>
      </c>
      <c r="V2571" s="475">
        <v>0</v>
      </c>
      <c r="W2571" s="463" t="s">
        <v>2268</v>
      </c>
      <c r="X2571" s="463" t="s">
        <v>2268</v>
      </c>
      <c r="Y2571" s="463" t="s">
        <v>2554</v>
      </c>
      <c r="Z2571" s="463"/>
      <c r="AA2571" s="463"/>
      <c r="AB2571" s="464">
        <v>0</v>
      </c>
      <c r="AC2571" s="465">
        <v>0</v>
      </c>
      <c r="AD2571" s="465">
        <v>0</v>
      </c>
      <c r="AE2571" s="476">
        <v>0</v>
      </c>
      <c r="AF2571" s="467">
        <v>0</v>
      </c>
      <c r="AG2571" s="468">
        <v>0</v>
      </c>
      <c r="AH2571" s="218">
        <v>0</v>
      </c>
      <c r="AI2571" s="470">
        <v>0</v>
      </c>
      <c r="AJ2571" s="471">
        <v>0</v>
      </c>
      <c r="AK2571" s="218">
        <v>0</v>
      </c>
      <c r="AL2571" s="470">
        <v>0</v>
      </c>
      <c r="AM2571" s="471">
        <v>0</v>
      </c>
      <c r="AN2571" s="477">
        <v>1.0869879423246066E-2</v>
      </c>
      <c r="AO2571" s="473">
        <v>4.1245443033858571E-4</v>
      </c>
      <c r="AP2571" s="474">
        <v>1.3355251836843283E-5</v>
      </c>
      <c r="AQ2571" s="352"/>
      <c r="AR2571" s="352"/>
      <c r="AS2571" s="352"/>
      <c r="AT2571" s="352"/>
      <c r="AU2571" s="352"/>
      <c r="AV2571" s="352"/>
      <c r="AW2571" s="352" t="s">
        <v>254</v>
      </c>
    </row>
    <row r="2572" spans="2:49" x14ac:dyDescent="0.2">
      <c r="B2572" s="460" t="s">
        <v>3114</v>
      </c>
      <c r="C2572" s="460">
        <v>8000</v>
      </c>
      <c r="D2572" s="460" t="s">
        <v>2367</v>
      </c>
      <c r="E2572" s="460" t="s">
        <v>1137</v>
      </c>
      <c r="F2572" s="460">
        <v>2</v>
      </c>
      <c r="G2572" s="460">
        <v>4</v>
      </c>
      <c r="H2572" s="461" t="s">
        <v>748</v>
      </c>
      <c r="I2572" s="461" t="s">
        <v>765</v>
      </c>
      <c r="J2572" s="461" t="s">
        <v>700</v>
      </c>
      <c r="K2572" s="594"/>
      <c r="L2572" s="594"/>
      <c r="M2572" s="352">
        <v>8000</v>
      </c>
      <c r="N2572" s="352" t="s">
        <v>760</v>
      </c>
      <c r="O2572" s="460">
        <v>2321</v>
      </c>
      <c r="P2572" s="460" t="s">
        <v>790</v>
      </c>
      <c r="Q2572" s="460" t="s">
        <v>2553</v>
      </c>
      <c r="R2572" s="460">
        <v>2321</v>
      </c>
      <c r="S2572" s="460" t="s">
        <v>1137</v>
      </c>
      <c r="T2572" s="462">
        <v>1</v>
      </c>
      <c r="U2572" s="460" t="s">
        <v>1137</v>
      </c>
      <c r="V2572" s="475">
        <v>0</v>
      </c>
      <c r="W2572" s="463" t="s">
        <v>2268</v>
      </c>
      <c r="X2572" s="463" t="s">
        <v>2268</v>
      </c>
      <c r="Y2572" s="463" t="s">
        <v>2554</v>
      </c>
      <c r="Z2572" s="463"/>
      <c r="AA2572" s="463"/>
      <c r="AB2572" s="464">
        <v>0</v>
      </c>
      <c r="AC2572" s="465">
        <v>0</v>
      </c>
      <c r="AD2572" s="465">
        <v>0</v>
      </c>
      <c r="AE2572" s="476">
        <v>0</v>
      </c>
      <c r="AF2572" s="467">
        <v>0</v>
      </c>
      <c r="AG2572" s="468">
        <v>0</v>
      </c>
      <c r="AH2572" s="218">
        <v>0</v>
      </c>
      <c r="AI2572" s="470">
        <v>0</v>
      </c>
      <c r="AJ2572" s="471">
        <v>0</v>
      </c>
      <c r="AK2572" s="218">
        <v>0</v>
      </c>
      <c r="AL2572" s="470">
        <v>0</v>
      </c>
      <c r="AM2572" s="471">
        <v>0</v>
      </c>
      <c r="AN2572" s="477">
        <v>0.1369575299010998</v>
      </c>
      <c r="AO2572" s="473">
        <v>7.6254271711468959E-3</v>
      </c>
      <c r="AP2572" s="474">
        <v>1.3191901111349522E-4</v>
      </c>
      <c r="AQ2572" s="352"/>
      <c r="AR2572" s="352"/>
      <c r="AS2572" s="352"/>
      <c r="AT2572" s="352"/>
      <c r="AU2572" s="352"/>
      <c r="AV2572" s="352"/>
      <c r="AW2572" s="352" t="s">
        <v>254</v>
      </c>
    </row>
    <row r="2573" spans="2:49" x14ac:dyDescent="0.2">
      <c r="B2573" s="460" t="s">
        <v>3115</v>
      </c>
      <c r="C2573" s="460">
        <v>8000</v>
      </c>
      <c r="D2573" s="460" t="s">
        <v>2368</v>
      </c>
      <c r="E2573" s="460" t="s">
        <v>1138</v>
      </c>
      <c r="F2573" s="460">
        <v>3</v>
      </c>
      <c r="G2573" s="460">
        <v>4</v>
      </c>
      <c r="H2573" s="461" t="s">
        <v>748</v>
      </c>
      <c r="I2573" s="461" t="s">
        <v>765</v>
      </c>
      <c r="J2573" s="461" t="s">
        <v>700</v>
      </c>
      <c r="K2573" s="594"/>
      <c r="L2573" s="594"/>
      <c r="M2573" s="352">
        <v>8000</v>
      </c>
      <c r="N2573" s="352" t="s">
        <v>760</v>
      </c>
      <c r="O2573" s="460">
        <v>2321</v>
      </c>
      <c r="P2573" s="460" t="s">
        <v>790</v>
      </c>
      <c r="Q2573" s="460" t="s">
        <v>2553</v>
      </c>
      <c r="R2573" s="460">
        <v>2321</v>
      </c>
      <c r="S2573" s="460" t="s">
        <v>1138</v>
      </c>
      <c r="T2573" s="462">
        <v>1</v>
      </c>
      <c r="U2573" s="460" t="s">
        <v>1138</v>
      </c>
      <c r="V2573" s="475">
        <v>0</v>
      </c>
      <c r="W2573" s="463" t="s">
        <v>2268</v>
      </c>
      <c r="X2573" s="463" t="s">
        <v>2268</v>
      </c>
      <c r="Y2573" s="463" t="s">
        <v>2554</v>
      </c>
      <c r="Z2573" s="463"/>
      <c r="AA2573" s="463"/>
      <c r="AB2573" s="464">
        <v>0</v>
      </c>
      <c r="AC2573" s="465">
        <v>0</v>
      </c>
      <c r="AD2573" s="465">
        <v>0</v>
      </c>
      <c r="AE2573" s="476">
        <v>0</v>
      </c>
      <c r="AF2573" s="467">
        <v>0</v>
      </c>
      <c r="AG2573" s="468">
        <v>0</v>
      </c>
      <c r="AH2573" s="218">
        <v>0</v>
      </c>
      <c r="AI2573" s="470">
        <v>0</v>
      </c>
      <c r="AJ2573" s="471">
        <v>0</v>
      </c>
      <c r="AK2573" s="218">
        <v>0</v>
      </c>
      <c r="AL2573" s="470">
        <v>0</v>
      </c>
      <c r="AM2573" s="471">
        <v>0</v>
      </c>
      <c r="AN2573" s="477">
        <v>7.3711697603533244E-2</v>
      </c>
      <c r="AO2573" s="473">
        <v>3.5022771160588954E-3</v>
      </c>
      <c r="AP2573" s="474">
        <v>7.6479608384017871E-5</v>
      </c>
      <c r="AQ2573" s="352"/>
      <c r="AR2573" s="352"/>
      <c r="AS2573" s="352"/>
      <c r="AT2573" s="352"/>
      <c r="AU2573" s="352"/>
      <c r="AV2573" s="352"/>
      <c r="AW2573" s="352" t="s">
        <v>254</v>
      </c>
    </row>
    <row r="2574" spans="2:49" x14ac:dyDescent="0.2">
      <c r="B2574" s="460" t="s">
        <v>3116</v>
      </c>
      <c r="C2574" s="460">
        <v>8000</v>
      </c>
      <c r="D2574" s="460" t="s">
        <v>2369</v>
      </c>
      <c r="E2574" s="460" t="s">
        <v>1139</v>
      </c>
      <c r="F2574" s="460">
        <v>4</v>
      </c>
      <c r="G2574" s="460">
        <v>4</v>
      </c>
      <c r="H2574" s="461" t="s">
        <v>748</v>
      </c>
      <c r="I2574" s="461" t="s">
        <v>765</v>
      </c>
      <c r="J2574" s="461" t="s">
        <v>700</v>
      </c>
      <c r="K2574" s="594"/>
      <c r="L2574" s="594"/>
      <c r="M2574" s="352">
        <v>8000</v>
      </c>
      <c r="N2574" s="352" t="s">
        <v>760</v>
      </c>
      <c r="O2574" s="460">
        <v>2321</v>
      </c>
      <c r="P2574" s="460" t="s">
        <v>790</v>
      </c>
      <c r="Q2574" s="460" t="s">
        <v>2553</v>
      </c>
      <c r="R2574" s="460">
        <v>2321</v>
      </c>
      <c r="S2574" s="460" t="s">
        <v>1139</v>
      </c>
      <c r="T2574" s="462">
        <v>1</v>
      </c>
      <c r="U2574" s="460" t="s">
        <v>1139</v>
      </c>
      <c r="V2574" s="475">
        <v>0</v>
      </c>
      <c r="W2574" s="463" t="s">
        <v>2268</v>
      </c>
      <c r="X2574" s="463" t="s">
        <v>2268</v>
      </c>
      <c r="Y2574" s="463" t="s">
        <v>2554</v>
      </c>
      <c r="Z2574" s="463"/>
      <c r="AA2574" s="463"/>
      <c r="AB2574" s="464">
        <v>0</v>
      </c>
      <c r="AC2574" s="465">
        <v>0</v>
      </c>
      <c r="AD2574" s="465">
        <v>0</v>
      </c>
      <c r="AE2574" s="476">
        <v>0</v>
      </c>
      <c r="AF2574" s="467">
        <v>0</v>
      </c>
      <c r="AG2574" s="468">
        <v>0</v>
      </c>
      <c r="AH2574" s="218">
        <v>0</v>
      </c>
      <c r="AI2574" s="470">
        <v>0</v>
      </c>
      <c r="AJ2574" s="471">
        <v>0</v>
      </c>
      <c r="AK2574" s="218">
        <v>0</v>
      </c>
      <c r="AL2574" s="470">
        <v>0</v>
      </c>
      <c r="AM2574" s="471">
        <v>0</v>
      </c>
      <c r="AN2574" s="477">
        <v>0</v>
      </c>
      <c r="AO2574" s="473">
        <v>0</v>
      </c>
      <c r="AP2574" s="474">
        <v>0</v>
      </c>
      <c r="AQ2574" s="352"/>
      <c r="AR2574" s="352"/>
      <c r="AS2574" s="352"/>
      <c r="AT2574" s="352"/>
      <c r="AU2574" s="352"/>
      <c r="AV2574" s="352"/>
      <c r="AW2574" s="352" t="s">
        <v>254</v>
      </c>
    </row>
    <row r="2575" spans="2:49" x14ac:dyDescent="0.2">
      <c r="B2575" s="460" t="s">
        <v>3113</v>
      </c>
      <c r="C2575" s="460">
        <v>8000</v>
      </c>
      <c r="D2575" s="460" t="s">
        <v>2370</v>
      </c>
      <c r="E2575" s="460" t="s">
        <v>1136</v>
      </c>
      <c r="F2575" s="460">
        <v>1</v>
      </c>
      <c r="G2575" s="460">
        <v>4</v>
      </c>
      <c r="H2575" s="461" t="s">
        <v>752</v>
      </c>
      <c r="I2575" s="461" t="s">
        <v>964</v>
      </c>
      <c r="J2575" s="461" t="s">
        <v>752</v>
      </c>
      <c r="K2575" s="594"/>
      <c r="L2575" s="594"/>
      <c r="M2575" s="352">
        <v>8000</v>
      </c>
      <c r="N2575" s="352" t="s">
        <v>760</v>
      </c>
      <c r="O2575" s="460">
        <v>2321</v>
      </c>
      <c r="P2575" s="460" t="s">
        <v>790</v>
      </c>
      <c r="Q2575" s="460" t="s">
        <v>2553</v>
      </c>
      <c r="R2575" s="460">
        <v>2321</v>
      </c>
      <c r="S2575" s="460" t="s">
        <v>1136</v>
      </c>
      <c r="T2575" s="462">
        <v>1</v>
      </c>
      <c r="U2575" s="460" t="s">
        <v>1136</v>
      </c>
      <c r="V2575" s="475">
        <v>0</v>
      </c>
      <c r="W2575" s="463" t="s">
        <v>2278</v>
      </c>
      <c r="X2575" s="463" t="s">
        <v>2278</v>
      </c>
      <c r="Y2575" s="463" t="s">
        <v>2278</v>
      </c>
      <c r="Z2575" s="463"/>
      <c r="AA2575" s="463"/>
      <c r="AB2575" s="464">
        <v>0</v>
      </c>
      <c r="AC2575" s="465">
        <v>0</v>
      </c>
      <c r="AD2575" s="465">
        <v>0</v>
      </c>
      <c r="AE2575" s="476">
        <v>0</v>
      </c>
      <c r="AF2575" s="467">
        <v>0</v>
      </c>
      <c r="AG2575" s="468">
        <v>0</v>
      </c>
      <c r="AH2575" s="218">
        <v>0</v>
      </c>
      <c r="AI2575" s="470">
        <v>0</v>
      </c>
      <c r="AJ2575" s="471">
        <v>0</v>
      </c>
      <c r="AK2575" s="218">
        <v>0</v>
      </c>
      <c r="AL2575" s="470">
        <v>0</v>
      </c>
      <c r="AM2575" s="471">
        <v>0</v>
      </c>
      <c r="AN2575" s="477">
        <v>0</v>
      </c>
      <c r="AO2575" s="473">
        <v>0</v>
      </c>
      <c r="AP2575" s="474">
        <v>0</v>
      </c>
      <c r="AQ2575" s="352"/>
      <c r="AR2575" s="352"/>
      <c r="AS2575" s="352"/>
      <c r="AT2575" s="352"/>
      <c r="AU2575" s="352"/>
      <c r="AV2575" s="352"/>
      <c r="AW2575" s="352" t="s">
        <v>254</v>
      </c>
    </row>
    <row r="2576" spans="2:49" x14ac:dyDescent="0.2">
      <c r="B2576" s="460" t="s">
        <v>3114</v>
      </c>
      <c r="C2576" s="460">
        <v>8000</v>
      </c>
      <c r="D2576" s="460" t="s">
        <v>2371</v>
      </c>
      <c r="E2576" s="460" t="s">
        <v>1137</v>
      </c>
      <c r="F2576" s="460">
        <v>2</v>
      </c>
      <c r="G2576" s="460">
        <v>4</v>
      </c>
      <c r="H2576" s="461" t="s">
        <v>752</v>
      </c>
      <c r="I2576" s="461" t="s">
        <v>964</v>
      </c>
      <c r="J2576" s="461" t="s">
        <v>752</v>
      </c>
      <c r="K2576" s="594"/>
      <c r="L2576" s="594"/>
      <c r="M2576" s="352">
        <v>8000</v>
      </c>
      <c r="N2576" s="352" t="s">
        <v>760</v>
      </c>
      <c r="O2576" s="460">
        <v>2321</v>
      </c>
      <c r="P2576" s="460" t="s">
        <v>790</v>
      </c>
      <c r="Q2576" s="460" t="s">
        <v>2553</v>
      </c>
      <c r="R2576" s="460">
        <v>2321</v>
      </c>
      <c r="S2576" s="460" t="s">
        <v>1137</v>
      </c>
      <c r="T2576" s="462">
        <v>1</v>
      </c>
      <c r="U2576" s="460" t="s">
        <v>1137</v>
      </c>
      <c r="V2576" s="475">
        <v>0</v>
      </c>
      <c r="W2576" s="463" t="s">
        <v>2278</v>
      </c>
      <c r="X2576" s="463" t="s">
        <v>2278</v>
      </c>
      <c r="Y2576" s="463" t="s">
        <v>2278</v>
      </c>
      <c r="Z2576" s="463"/>
      <c r="AA2576" s="463"/>
      <c r="AB2576" s="464">
        <v>0</v>
      </c>
      <c r="AC2576" s="465">
        <v>0</v>
      </c>
      <c r="AD2576" s="465">
        <v>0</v>
      </c>
      <c r="AE2576" s="476">
        <v>0</v>
      </c>
      <c r="AF2576" s="467">
        <v>0</v>
      </c>
      <c r="AG2576" s="468">
        <v>0</v>
      </c>
      <c r="AH2576" s="218">
        <v>0</v>
      </c>
      <c r="AI2576" s="470">
        <v>0</v>
      </c>
      <c r="AJ2576" s="471">
        <v>0</v>
      </c>
      <c r="AK2576" s="218">
        <v>0</v>
      </c>
      <c r="AL2576" s="470">
        <v>0</v>
      </c>
      <c r="AM2576" s="471">
        <v>0</v>
      </c>
      <c r="AN2576" s="477">
        <v>0</v>
      </c>
      <c r="AO2576" s="473">
        <v>0</v>
      </c>
      <c r="AP2576" s="474">
        <v>0</v>
      </c>
      <c r="AQ2576" s="352"/>
      <c r="AR2576" s="352"/>
      <c r="AS2576" s="352"/>
      <c r="AT2576" s="352"/>
      <c r="AU2576" s="352"/>
      <c r="AV2576" s="352"/>
      <c r="AW2576" s="352" t="s">
        <v>254</v>
      </c>
    </row>
    <row r="2577" spans="2:49" x14ac:dyDescent="0.2">
      <c r="B2577" s="460" t="s">
        <v>3115</v>
      </c>
      <c r="C2577" s="460">
        <v>8000</v>
      </c>
      <c r="D2577" s="460" t="s">
        <v>2372</v>
      </c>
      <c r="E2577" s="460" t="s">
        <v>1138</v>
      </c>
      <c r="F2577" s="460">
        <v>3</v>
      </c>
      <c r="G2577" s="460">
        <v>4</v>
      </c>
      <c r="H2577" s="461" t="s">
        <v>752</v>
      </c>
      <c r="I2577" s="461" t="s">
        <v>964</v>
      </c>
      <c r="J2577" s="461" t="s">
        <v>752</v>
      </c>
      <c r="K2577" s="594"/>
      <c r="L2577" s="594"/>
      <c r="M2577" s="352">
        <v>8000</v>
      </c>
      <c r="N2577" s="352" t="s">
        <v>760</v>
      </c>
      <c r="O2577" s="460">
        <v>2321</v>
      </c>
      <c r="P2577" s="460" t="s">
        <v>790</v>
      </c>
      <c r="Q2577" s="460" t="s">
        <v>2553</v>
      </c>
      <c r="R2577" s="460">
        <v>2321</v>
      </c>
      <c r="S2577" s="460" t="s">
        <v>1138</v>
      </c>
      <c r="T2577" s="462">
        <v>1</v>
      </c>
      <c r="U2577" s="460" t="s">
        <v>1138</v>
      </c>
      <c r="V2577" s="475">
        <v>0</v>
      </c>
      <c r="W2577" s="463" t="s">
        <v>2278</v>
      </c>
      <c r="X2577" s="463" t="s">
        <v>2278</v>
      </c>
      <c r="Y2577" s="463" t="s">
        <v>2278</v>
      </c>
      <c r="Z2577" s="463"/>
      <c r="AA2577" s="463"/>
      <c r="AB2577" s="464">
        <v>0</v>
      </c>
      <c r="AC2577" s="465">
        <v>0</v>
      </c>
      <c r="AD2577" s="465">
        <v>0</v>
      </c>
      <c r="AE2577" s="476">
        <v>0</v>
      </c>
      <c r="AF2577" s="467">
        <v>0</v>
      </c>
      <c r="AG2577" s="468">
        <v>0</v>
      </c>
      <c r="AH2577" s="218">
        <v>0</v>
      </c>
      <c r="AI2577" s="470">
        <v>0</v>
      </c>
      <c r="AJ2577" s="471">
        <v>0</v>
      </c>
      <c r="AK2577" s="218">
        <v>0</v>
      </c>
      <c r="AL2577" s="470">
        <v>0</v>
      </c>
      <c r="AM2577" s="471">
        <v>0</v>
      </c>
      <c r="AN2577" s="477">
        <v>0</v>
      </c>
      <c r="AO2577" s="473">
        <v>0</v>
      </c>
      <c r="AP2577" s="474">
        <v>0</v>
      </c>
      <c r="AQ2577" s="352"/>
      <c r="AR2577" s="352"/>
      <c r="AS2577" s="352"/>
      <c r="AT2577" s="352"/>
      <c r="AU2577" s="352"/>
      <c r="AV2577" s="352"/>
      <c r="AW2577" s="352" t="s">
        <v>254</v>
      </c>
    </row>
    <row r="2578" spans="2:49" x14ac:dyDescent="0.2">
      <c r="B2578" s="460" t="s">
        <v>3116</v>
      </c>
      <c r="C2578" s="460">
        <v>8000</v>
      </c>
      <c r="D2578" s="460" t="s">
        <v>2373</v>
      </c>
      <c r="E2578" s="460" t="s">
        <v>1139</v>
      </c>
      <c r="F2578" s="460">
        <v>4</v>
      </c>
      <c r="G2578" s="460">
        <v>4</v>
      </c>
      <c r="H2578" s="461" t="s">
        <v>752</v>
      </c>
      <c r="I2578" s="461" t="s">
        <v>964</v>
      </c>
      <c r="J2578" s="461" t="s">
        <v>752</v>
      </c>
      <c r="K2578" s="594"/>
      <c r="L2578" s="594"/>
      <c r="M2578" s="352">
        <v>8000</v>
      </c>
      <c r="N2578" s="352" t="s">
        <v>760</v>
      </c>
      <c r="O2578" s="460">
        <v>2321</v>
      </c>
      <c r="P2578" s="460" t="s">
        <v>790</v>
      </c>
      <c r="Q2578" s="460" t="s">
        <v>2553</v>
      </c>
      <c r="R2578" s="460">
        <v>2321</v>
      </c>
      <c r="S2578" s="460" t="s">
        <v>1139</v>
      </c>
      <c r="T2578" s="462">
        <v>1</v>
      </c>
      <c r="U2578" s="460" t="s">
        <v>1139</v>
      </c>
      <c r="V2578" s="475">
        <v>0</v>
      </c>
      <c r="W2578" s="463" t="s">
        <v>2278</v>
      </c>
      <c r="X2578" s="463" t="s">
        <v>2278</v>
      </c>
      <c r="Y2578" s="463" t="s">
        <v>2278</v>
      </c>
      <c r="Z2578" s="463"/>
      <c r="AA2578" s="463"/>
      <c r="AB2578" s="464">
        <v>0</v>
      </c>
      <c r="AC2578" s="465">
        <v>0</v>
      </c>
      <c r="AD2578" s="465">
        <v>0</v>
      </c>
      <c r="AE2578" s="476">
        <v>0</v>
      </c>
      <c r="AF2578" s="467">
        <v>0</v>
      </c>
      <c r="AG2578" s="468">
        <v>0</v>
      </c>
      <c r="AH2578" s="218">
        <v>0</v>
      </c>
      <c r="AI2578" s="470">
        <v>0</v>
      </c>
      <c r="AJ2578" s="471">
        <v>0</v>
      </c>
      <c r="AK2578" s="218">
        <v>0</v>
      </c>
      <c r="AL2578" s="470">
        <v>0</v>
      </c>
      <c r="AM2578" s="471">
        <v>0</v>
      </c>
      <c r="AN2578" s="477">
        <v>0</v>
      </c>
      <c r="AO2578" s="473">
        <v>0</v>
      </c>
      <c r="AP2578" s="474">
        <v>0</v>
      </c>
      <c r="AQ2578" s="352"/>
      <c r="AR2578" s="352"/>
      <c r="AS2578" s="352"/>
      <c r="AT2578" s="352"/>
      <c r="AU2578" s="352"/>
      <c r="AV2578" s="352"/>
      <c r="AW2578" s="352" t="s">
        <v>254</v>
      </c>
    </row>
    <row r="2579" spans="2:49" x14ac:dyDescent="0.2">
      <c r="B2579" s="460" t="s">
        <v>3117</v>
      </c>
      <c r="C2579" s="460">
        <v>8000</v>
      </c>
      <c r="D2579" s="460" t="s">
        <v>2375</v>
      </c>
      <c r="E2579" s="460" t="s">
        <v>2376</v>
      </c>
      <c r="F2579" s="460">
        <v>1</v>
      </c>
      <c r="G2579" s="460">
        <v>5</v>
      </c>
      <c r="H2579" s="461" t="s">
        <v>754</v>
      </c>
      <c r="I2579" s="461" t="s">
        <v>1991</v>
      </c>
      <c r="J2579" s="461" t="s">
        <v>754</v>
      </c>
      <c r="K2579" s="594"/>
      <c r="L2579" s="594"/>
      <c r="M2579" s="352">
        <v>8000</v>
      </c>
      <c r="N2579" s="352" t="s">
        <v>760</v>
      </c>
      <c r="O2579" s="460">
        <v>2321</v>
      </c>
      <c r="P2579" s="460" t="s">
        <v>790</v>
      </c>
      <c r="Q2579" s="460" t="s">
        <v>2377</v>
      </c>
      <c r="R2579" s="460">
        <v>2321</v>
      </c>
      <c r="S2579" s="460" t="s">
        <v>2376</v>
      </c>
      <c r="T2579" s="462">
        <v>1</v>
      </c>
      <c r="U2579" s="460" t="s">
        <v>2376</v>
      </c>
      <c r="V2579" s="475">
        <v>0</v>
      </c>
      <c r="W2579" s="463" t="s">
        <v>2278</v>
      </c>
      <c r="X2579" s="463" t="s">
        <v>2278</v>
      </c>
      <c r="Y2579" s="463" t="s">
        <v>2278</v>
      </c>
      <c r="Z2579" s="463"/>
      <c r="AA2579" s="463"/>
      <c r="AB2579" s="464">
        <v>0</v>
      </c>
      <c r="AC2579" s="465">
        <v>0</v>
      </c>
      <c r="AD2579" s="465">
        <v>0</v>
      </c>
      <c r="AE2579" s="476">
        <v>0</v>
      </c>
      <c r="AF2579" s="467">
        <v>0</v>
      </c>
      <c r="AG2579" s="468">
        <v>0</v>
      </c>
      <c r="AH2579" s="218">
        <v>0</v>
      </c>
      <c r="AI2579" s="470">
        <v>0</v>
      </c>
      <c r="AJ2579" s="471">
        <v>0</v>
      </c>
      <c r="AK2579" s="218">
        <v>0</v>
      </c>
      <c r="AL2579" s="470">
        <v>0</v>
      </c>
      <c r="AM2579" s="471">
        <v>0</v>
      </c>
      <c r="AN2579" s="477">
        <v>0</v>
      </c>
      <c r="AO2579" s="473">
        <v>0</v>
      </c>
      <c r="AP2579" s="474">
        <v>0</v>
      </c>
      <c r="AQ2579" s="352"/>
      <c r="AR2579" s="352"/>
      <c r="AS2579" s="352"/>
      <c r="AT2579" s="352"/>
      <c r="AU2579" s="352"/>
      <c r="AV2579" s="352"/>
      <c r="AW2579" s="352" t="s">
        <v>127</v>
      </c>
    </row>
    <row r="2580" spans="2:49" x14ac:dyDescent="0.2">
      <c r="B2580" s="460" t="s">
        <v>3118</v>
      </c>
      <c r="C2580" s="460">
        <v>8000</v>
      </c>
      <c r="D2580" s="460" t="s">
        <v>2379</v>
      </c>
      <c r="E2580" s="460" t="s">
        <v>2380</v>
      </c>
      <c r="F2580" s="460">
        <v>2</v>
      </c>
      <c r="G2580" s="460">
        <v>5</v>
      </c>
      <c r="H2580" s="461" t="s">
        <v>754</v>
      </c>
      <c r="I2580" s="461" t="s">
        <v>1991</v>
      </c>
      <c r="J2580" s="461" t="s">
        <v>754</v>
      </c>
      <c r="K2580" s="594"/>
      <c r="L2580" s="594"/>
      <c r="M2580" s="352">
        <v>8000</v>
      </c>
      <c r="N2580" s="352" t="s">
        <v>760</v>
      </c>
      <c r="O2580" s="460">
        <v>2321</v>
      </c>
      <c r="P2580" s="460" t="s">
        <v>790</v>
      </c>
      <c r="Q2580" s="460" t="s">
        <v>2377</v>
      </c>
      <c r="R2580" s="460">
        <v>2321</v>
      </c>
      <c r="S2580" s="460" t="s">
        <v>2380</v>
      </c>
      <c r="T2580" s="462">
        <v>1</v>
      </c>
      <c r="U2580" s="460" t="s">
        <v>2380</v>
      </c>
      <c r="V2580" s="475">
        <v>0</v>
      </c>
      <c r="W2580" s="463" t="s">
        <v>2278</v>
      </c>
      <c r="X2580" s="463" t="s">
        <v>2278</v>
      </c>
      <c r="Y2580" s="463" t="s">
        <v>2278</v>
      </c>
      <c r="Z2580" s="463"/>
      <c r="AA2580" s="463"/>
      <c r="AB2580" s="464">
        <v>0</v>
      </c>
      <c r="AC2580" s="465">
        <v>0</v>
      </c>
      <c r="AD2580" s="465">
        <v>0</v>
      </c>
      <c r="AE2580" s="476">
        <v>0</v>
      </c>
      <c r="AF2580" s="467">
        <v>0</v>
      </c>
      <c r="AG2580" s="468">
        <v>0</v>
      </c>
      <c r="AH2580" s="218">
        <v>0</v>
      </c>
      <c r="AI2580" s="470">
        <v>0</v>
      </c>
      <c r="AJ2580" s="471">
        <v>0</v>
      </c>
      <c r="AK2580" s="218">
        <v>0</v>
      </c>
      <c r="AL2580" s="470">
        <v>0</v>
      </c>
      <c r="AM2580" s="471">
        <v>0</v>
      </c>
      <c r="AN2580" s="477">
        <v>0</v>
      </c>
      <c r="AO2580" s="473">
        <v>0</v>
      </c>
      <c r="AP2580" s="474">
        <v>0</v>
      </c>
      <c r="AQ2580" s="352"/>
      <c r="AR2580" s="352"/>
      <c r="AS2580" s="352"/>
      <c r="AT2580" s="352"/>
      <c r="AU2580" s="352"/>
      <c r="AV2580" s="352"/>
      <c r="AW2580" s="352" t="s">
        <v>127</v>
      </c>
    </row>
    <row r="2581" spans="2:49" x14ac:dyDescent="0.2">
      <c r="B2581" s="460" t="s">
        <v>3119</v>
      </c>
      <c r="C2581" s="460">
        <v>8000</v>
      </c>
      <c r="D2581" s="460" t="s">
        <v>2382</v>
      </c>
      <c r="E2581" s="460" t="s">
        <v>2383</v>
      </c>
      <c r="F2581" s="460">
        <v>3</v>
      </c>
      <c r="G2581" s="460">
        <v>5</v>
      </c>
      <c r="H2581" s="461" t="s">
        <v>754</v>
      </c>
      <c r="I2581" s="461" t="s">
        <v>1991</v>
      </c>
      <c r="J2581" s="461" t="s">
        <v>754</v>
      </c>
      <c r="K2581" s="594"/>
      <c r="L2581" s="594"/>
      <c r="M2581" s="352">
        <v>8000</v>
      </c>
      <c r="N2581" s="352" t="s">
        <v>760</v>
      </c>
      <c r="O2581" s="460">
        <v>2321</v>
      </c>
      <c r="P2581" s="460" t="s">
        <v>790</v>
      </c>
      <c r="Q2581" s="460" t="s">
        <v>2377</v>
      </c>
      <c r="R2581" s="460">
        <v>2321</v>
      </c>
      <c r="S2581" s="460" t="s">
        <v>2383</v>
      </c>
      <c r="T2581" s="462">
        <v>1</v>
      </c>
      <c r="U2581" s="460" t="s">
        <v>2383</v>
      </c>
      <c r="V2581" s="475">
        <v>0</v>
      </c>
      <c r="W2581" s="463" t="s">
        <v>2278</v>
      </c>
      <c r="X2581" s="463" t="s">
        <v>2278</v>
      </c>
      <c r="Y2581" s="463" t="s">
        <v>2278</v>
      </c>
      <c r="Z2581" s="463"/>
      <c r="AA2581" s="463"/>
      <c r="AB2581" s="464">
        <v>0</v>
      </c>
      <c r="AC2581" s="465">
        <v>0</v>
      </c>
      <c r="AD2581" s="465">
        <v>0</v>
      </c>
      <c r="AE2581" s="476">
        <v>0</v>
      </c>
      <c r="AF2581" s="467">
        <v>0</v>
      </c>
      <c r="AG2581" s="468">
        <v>0</v>
      </c>
      <c r="AH2581" s="218">
        <v>0</v>
      </c>
      <c r="AI2581" s="470">
        <v>0</v>
      </c>
      <c r="AJ2581" s="471">
        <v>0</v>
      </c>
      <c r="AK2581" s="218">
        <v>0</v>
      </c>
      <c r="AL2581" s="470">
        <v>0</v>
      </c>
      <c r="AM2581" s="471">
        <v>0</v>
      </c>
      <c r="AN2581" s="477">
        <v>0</v>
      </c>
      <c r="AO2581" s="473">
        <v>0</v>
      </c>
      <c r="AP2581" s="474">
        <v>0</v>
      </c>
      <c r="AQ2581" s="352"/>
      <c r="AR2581" s="352"/>
      <c r="AS2581" s="352"/>
      <c r="AT2581" s="352"/>
      <c r="AU2581" s="352"/>
      <c r="AV2581" s="352"/>
      <c r="AW2581" s="352" t="s">
        <v>127</v>
      </c>
    </row>
    <row r="2582" spans="2:49" x14ac:dyDescent="0.2">
      <c r="B2582" s="460" t="s">
        <v>3120</v>
      </c>
      <c r="C2582" s="460">
        <v>8000</v>
      </c>
      <c r="D2582" s="460" t="s">
        <v>2385</v>
      </c>
      <c r="E2582" s="460" t="s">
        <v>2386</v>
      </c>
      <c r="F2582" s="460">
        <v>4</v>
      </c>
      <c r="G2582" s="460">
        <v>5</v>
      </c>
      <c r="H2582" s="461" t="s">
        <v>754</v>
      </c>
      <c r="I2582" s="461" t="s">
        <v>1991</v>
      </c>
      <c r="J2582" s="461" t="s">
        <v>754</v>
      </c>
      <c r="K2582" s="594"/>
      <c r="L2582" s="594"/>
      <c r="M2582" s="352">
        <v>8000</v>
      </c>
      <c r="N2582" s="352" t="s">
        <v>760</v>
      </c>
      <c r="O2582" s="460">
        <v>2321</v>
      </c>
      <c r="P2582" s="460" t="s">
        <v>790</v>
      </c>
      <c r="Q2582" s="460" t="s">
        <v>2377</v>
      </c>
      <c r="R2582" s="460">
        <v>2321</v>
      </c>
      <c r="S2582" s="460" t="s">
        <v>2386</v>
      </c>
      <c r="T2582" s="462">
        <v>1</v>
      </c>
      <c r="U2582" s="460" t="s">
        <v>2386</v>
      </c>
      <c r="V2582" s="475">
        <v>0</v>
      </c>
      <c r="W2582" s="463" t="s">
        <v>2278</v>
      </c>
      <c r="X2582" s="463" t="s">
        <v>2278</v>
      </c>
      <c r="Y2582" s="463" t="s">
        <v>2278</v>
      </c>
      <c r="Z2582" s="463"/>
      <c r="AA2582" s="463"/>
      <c r="AB2582" s="464">
        <v>0</v>
      </c>
      <c r="AC2582" s="465">
        <v>0</v>
      </c>
      <c r="AD2582" s="465">
        <v>0</v>
      </c>
      <c r="AE2582" s="476">
        <v>0</v>
      </c>
      <c r="AF2582" s="467">
        <v>0</v>
      </c>
      <c r="AG2582" s="468">
        <v>0</v>
      </c>
      <c r="AH2582" s="218">
        <v>0</v>
      </c>
      <c r="AI2582" s="470">
        <v>0</v>
      </c>
      <c r="AJ2582" s="471">
        <v>0</v>
      </c>
      <c r="AK2582" s="218">
        <v>0</v>
      </c>
      <c r="AL2582" s="470">
        <v>0</v>
      </c>
      <c r="AM2582" s="471">
        <v>0</v>
      </c>
      <c r="AN2582" s="477">
        <v>0</v>
      </c>
      <c r="AO2582" s="473">
        <v>0</v>
      </c>
      <c r="AP2582" s="474">
        <v>0</v>
      </c>
      <c r="AQ2582" s="352"/>
      <c r="AR2582" s="352"/>
      <c r="AS2582" s="352"/>
      <c r="AT2582" s="352"/>
      <c r="AU2582" s="352"/>
      <c r="AV2582" s="352"/>
      <c r="AW2582" s="352" t="s">
        <v>127</v>
      </c>
    </row>
    <row r="2583" spans="2:49" x14ac:dyDescent="0.2">
      <c r="B2583" s="460" t="s">
        <v>3121</v>
      </c>
      <c r="C2583" s="460">
        <v>8000</v>
      </c>
      <c r="D2583" s="460" t="s">
        <v>2264</v>
      </c>
      <c r="E2583" s="460" t="s">
        <v>2265</v>
      </c>
      <c r="F2583" s="460">
        <v>1</v>
      </c>
      <c r="G2583" s="460">
        <v>1</v>
      </c>
      <c r="H2583" s="461" t="s">
        <v>700</v>
      </c>
      <c r="I2583" s="461" t="s">
        <v>872</v>
      </c>
      <c r="J2583" s="461" t="s">
        <v>700</v>
      </c>
      <c r="K2583" s="594"/>
      <c r="L2583" s="594"/>
      <c r="M2583" s="352">
        <v>8000</v>
      </c>
      <c r="N2583" s="352" t="s">
        <v>760</v>
      </c>
      <c r="O2583" s="460">
        <v>2322</v>
      </c>
      <c r="P2583" s="460" t="s">
        <v>791</v>
      </c>
      <c r="Q2583" s="460" t="s">
        <v>2553</v>
      </c>
      <c r="R2583" s="460">
        <v>2322</v>
      </c>
      <c r="S2583" s="460" t="s">
        <v>2265</v>
      </c>
      <c r="T2583" s="462">
        <v>1</v>
      </c>
      <c r="U2583" s="460" t="s">
        <v>2265</v>
      </c>
      <c r="V2583" s="475">
        <v>0</v>
      </c>
      <c r="W2583" s="463" t="s">
        <v>2554</v>
      </c>
      <c r="X2583" s="463" t="s">
        <v>2554</v>
      </c>
      <c r="Y2583" s="463" t="s">
        <v>2268</v>
      </c>
      <c r="Z2583" s="463"/>
      <c r="AA2583" s="463"/>
      <c r="AB2583" s="464">
        <v>685.72904601080484</v>
      </c>
      <c r="AC2583" s="465">
        <v>9.7268630495694633E-2</v>
      </c>
      <c r="AD2583" s="465">
        <v>6.359063863681967E-3</v>
      </c>
      <c r="AE2583" s="476">
        <v>171.43226150270121</v>
      </c>
      <c r="AF2583" s="467">
        <v>2.4317157623923658E-2</v>
      </c>
      <c r="AG2583" s="468">
        <v>1.698202773540004E-3</v>
      </c>
      <c r="AH2583" s="218">
        <v>171.43226150270121</v>
      </c>
      <c r="AI2583" s="470">
        <v>2.4317157623923658E-2</v>
      </c>
      <c r="AJ2583" s="471">
        <v>1.634664762108422E-3</v>
      </c>
      <c r="AK2583" s="218">
        <v>171.43226150270121</v>
      </c>
      <c r="AL2583" s="470">
        <v>2.4317157623923658E-2</v>
      </c>
      <c r="AM2583" s="471">
        <v>1.634664762108422E-3</v>
      </c>
      <c r="AN2583" s="477">
        <v>0</v>
      </c>
      <c r="AO2583" s="473">
        <v>0</v>
      </c>
      <c r="AP2583" s="474">
        <v>0</v>
      </c>
      <c r="AQ2583" s="352"/>
      <c r="AR2583" s="352"/>
      <c r="AS2583" s="352"/>
      <c r="AT2583" s="352"/>
      <c r="AU2583" s="352"/>
      <c r="AV2583" s="352"/>
      <c r="AW2583" s="352" t="s">
        <v>254</v>
      </c>
    </row>
    <row r="2584" spans="2:49" x14ac:dyDescent="0.2">
      <c r="B2584" s="460" t="s">
        <v>3122</v>
      </c>
      <c r="C2584" s="460">
        <v>8000</v>
      </c>
      <c r="D2584" s="460" t="s">
        <v>2270</v>
      </c>
      <c r="E2584" s="460" t="s">
        <v>2271</v>
      </c>
      <c r="F2584" s="460">
        <v>2</v>
      </c>
      <c r="G2584" s="460">
        <v>1</v>
      </c>
      <c r="H2584" s="461" t="s">
        <v>700</v>
      </c>
      <c r="I2584" s="461" t="s">
        <v>872</v>
      </c>
      <c r="J2584" s="461" t="s">
        <v>700</v>
      </c>
      <c r="K2584" s="594"/>
      <c r="L2584" s="594"/>
      <c r="M2584" s="352">
        <v>8000</v>
      </c>
      <c r="N2584" s="352" t="s">
        <v>760</v>
      </c>
      <c r="O2584" s="460">
        <v>2322</v>
      </c>
      <c r="P2584" s="460" t="s">
        <v>791</v>
      </c>
      <c r="Q2584" s="460" t="s">
        <v>2553</v>
      </c>
      <c r="R2584" s="460">
        <v>2322</v>
      </c>
      <c r="S2584" s="460" t="s">
        <v>2265</v>
      </c>
      <c r="T2584" s="462">
        <v>1</v>
      </c>
      <c r="U2584" s="460" t="s">
        <v>2271</v>
      </c>
      <c r="V2584" s="475">
        <v>0</v>
      </c>
      <c r="W2584" s="463" t="s">
        <v>2554</v>
      </c>
      <c r="X2584" s="463" t="s">
        <v>2554</v>
      </c>
      <c r="Y2584" s="463" t="s">
        <v>2268</v>
      </c>
      <c r="Z2584" s="463"/>
      <c r="AA2584" s="463"/>
      <c r="AB2584" s="464">
        <v>512.54694233296073</v>
      </c>
      <c r="AC2584" s="465">
        <v>9.189260852060796E-2</v>
      </c>
      <c r="AD2584" s="465">
        <v>6.3590638636819635E-3</v>
      </c>
      <c r="AE2584" s="476">
        <v>128.13673558324018</v>
      </c>
      <c r="AF2584" s="467">
        <v>2.297315213015199E-2</v>
      </c>
      <c r="AG2584" s="468">
        <v>1.722767776235315E-3</v>
      </c>
      <c r="AH2584" s="218">
        <v>135.63315904320632</v>
      </c>
      <c r="AI2584" s="470">
        <v>2.4317157623923658E-2</v>
      </c>
      <c r="AJ2584" s="471">
        <v>1.6013392576403728E-3</v>
      </c>
      <c r="AK2584" s="218">
        <v>135.63315904320632</v>
      </c>
      <c r="AL2584" s="470">
        <v>2.4317157623923658E-2</v>
      </c>
      <c r="AM2584" s="471">
        <v>1.6013392576403728E-3</v>
      </c>
      <c r="AN2584" s="477">
        <v>0</v>
      </c>
      <c r="AO2584" s="473">
        <v>0</v>
      </c>
      <c r="AP2584" s="474">
        <v>0</v>
      </c>
      <c r="AQ2584" s="352"/>
      <c r="AR2584" s="352"/>
      <c r="AS2584" s="352"/>
      <c r="AT2584" s="352"/>
      <c r="AU2584" s="352"/>
      <c r="AV2584" s="352"/>
      <c r="AW2584" s="352" t="s">
        <v>254</v>
      </c>
    </row>
    <row r="2585" spans="2:49" x14ac:dyDescent="0.2">
      <c r="B2585" s="460" t="s">
        <v>3123</v>
      </c>
      <c r="C2585" s="460">
        <v>8000</v>
      </c>
      <c r="D2585" s="460" t="s">
        <v>2273</v>
      </c>
      <c r="E2585" s="460" t="s">
        <v>2274</v>
      </c>
      <c r="F2585" s="460">
        <v>3</v>
      </c>
      <c r="G2585" s="460">
        <v>1</v>
      </c>
      <c r="H2585" s="461" t="s">
        <v>700</v>
      </c>
      <c r="I2585" s="461" t="s">
        <v>872</v>
      </c>
      <c r="J2585" s="461" t="s">
        <v>700</v>
      </c>
      <c r="K2585" s="594"/>
      <c r="L2585" s="594"/>
      <c r="M2585" s="352">
        <v>8000</v>
      </c>
      <c r="N2585" s="352" t="s">
        <v>760</v>
      </c>
      <c r="O2585" s="460">
        <v>2322</v>
      </c>
      <c r="P2585" s="460" t="s">
        <v>791</v>
      </c>
      <c r="Q2585" s="460" t="s">
        <v>2553</v>
      </c>
      <c r="R2585" s="460">
        <v>2322</v>
      </c>
      <c r="S2585" s="460" t="s">
        <v>2265</v>
      </c>
      <c r="T2585" s="462">
        <v>0.74223365950407583</v>
      </c>
      <c r="U2585" s="460" t="s">
        <v>2274</v>
      </c>
      <c r="V2585" s="475">
        <v>0</v>
      </c>
      <c r="W2585" s="463" t="s">
        <v>2554</v>
      </c>
      <c r="X2585" s="463" t="s">
        <v>2554</v>
      </c>
      <c r="Y2585" s="463" t="s">
        <v>2268</v>
      </c>
      <c r="Z2585" s="463"/>
      <c r="AA2585" s="463"/>
      <c r="AB2585" s="464">
        <v>128.54473663066582</v>
      </c>
      <c r="AC2585" s="465">
        <v>4.1447913103439135E-2</v>
      </c>
      <c r="AD2585" s="465">
        <v>6.3590638636819635E-3</v>
      </c>
      <c r="AE2585" s="476">
        <v>32.136184157666456</v>
      </c>
      <c r="AF2585" s="467">
        <v>1.0361978275859784E-2</v>
      </c>
      <c r="AG2585" s="468">
        <v>1.7219932389393887E-3</v>
      </c>
      <c r="AH2585" s="218">
        <v>55.976415576052347</v>
      </c>
      <c r="AI2585" s="470">
        <v>1.8049012891942294E-2</v>
      </c>
      <c r="AJ2585" s="471">
        <v>2.1721135900592526E-3</v>
      </c>
      <c r="AK2585" s="218">
        <v>55.976415576052347</v>
      </c>
      <c r="AL2585" s="470">
        <v>1.8049012891942294E-2</v>
      </c>
      <c r="AM2585" s="471">
        <v>2.1721135900592526E-3</v>
      </c>
      <c r="AN2585" s="477">
        <v>0</v>
      </c>
      <c r="AO2585" s="473">
        <v>0</v>
      </c>
      <c r="AP2585" s="474">
        <v>0</v>
      </c>
      <c r="AQ2585" s="352"/>
      <c r="AR2585" s="352"/>
      <c r="AS2585" s="352"/>
      <c r="AT2585" s="352"/>
      <c r="AU2585" s="352"/>
      <c r="AV2585" s="352"/>
      <c r="AW2585" s="352" t="s">
        <v>254</v>
      </c>
    </row>
    <row r="2586" spans="2:49" x14ac:dyDescent="0.2">
      <c r="B2586" s="460" t="s">
        <v>3124</v>
      </c>
      <c r="C2586" s="460">
        <v>8000</v>
      </c>
      <c r="D2586" s="460" t="s">
        <v>2276</v>
      </c>
      <c r="E2586" s="460" t="s">
        <v>2277</v>
      </c>
      <c r="F2586" s="460">
        <v>4</v>
      </c>
      <c r="G2586" s="460">
        <v>1</v>
      </c>
      <c r="H2586" s="461" t="s">
        <v>700</v>
      </c>
      <c r="I2586" s="461" t="s">
        <v>872</v>
      </c>
      <c r="J2586" s="461" t="s">
        <v>700</v>
      </c>
      <c r="K2586" s="594"/>
      <c r="L2586" s="594"/>
      <c r="M2586" s="352">
        <v>8000</v>
      </c>
      <c r="N2586" s="352" t="s">
        <v>760</v>
      </c>
      <c r="O2586" s="460">
        <v>2322</v>
      </c>
      <c r="P2586" s="460" t="s">
        <v>791</v>
      </c>
      <c r="Q2586" s="460" t="s">
        <v>2553</v>
      </c>
      <c r="R2586" s="460">
        <v>2322</v>
      </c>
      <c r="S2586" s="460" t="s">
        <v>2277</v>
      </c>
      <c r="T2586" s="462">
        <v>1</v>
      </c>
      <c r="U2586" s="460" t="s">
        <v>2277</v>
      </c>
      <c r="V2586" s="475">
        <v>0</v>
      </c>
      <c r="W2586" s="463" t="s">
        <v>2554</v>
      </c>
      <c r="X2586" s="463" t="s">
        <v>2554</v>
      </c>
      <c r="Y2586" s="463" t="s">
        <v>2268</v>
      </c>
      <c r="Z2586" s="463"/>
      <c r="AA2586" s="463"/>
      <c r="AB2586" s="464">
        <v>1.5755038319957995</v>
      </c>
      <c r="AC2586" s="465">
        <v>4.4806698929444861E-4</v>
      </c>
      <c r="AD2586" s="465">
        <v>6.3590638636819661E-3</v>
      </c>
      <c r="AE2586" s="476">
        <v>0.39387595799894987</v>
      </c>
      <c r="AF2586" s="467">
        <v>1.1201674732361215E-4</v>
      </c>
      <c r="AG2586" s="468">
        <v>1.7772745490933321E-3</v>
      </c>
      <c r="AH2586" s="218">
        <v>0.39387595799894987</v>
      </c>
      <c r="AI2586" s="470">
        <v>1.1201674732361215E-4</v>
      </c>
      <c r="AJ2586" s="471">
        <v>1.7034407236878905E-3</v>
      </c>
      <c r="AK2586" s="218">
        <v>0.39387595799894987</v>
      </c>
      <c r="AL2586" s="470">
        <v>1.1201674732361215E-4</v>
      </c>
      <c r="AM2586" s="471">
        <v>1.7034407236878905E-3</v>
      </c>
      <c r="AN2586" s="477">
        <v>0</v>
      </c>
      <c r="AO2586" s="473">
        <v>0</v>
      </c>
      <c r="AP2586" s="474">
        <v>0</v>
      </c>
      <c r="AQ2586" s="352"/>
      <c r="AR2586" s="352"/>
      <c r="AS2586" s="352"/>
      <c r="AT2586" s="352"/>
      <c r="AU2586" s="352"/>
      <c r="AV2586" s="352"/>
      <c r="AW2586" s="352" t="s">
        <v>254</v>
      </c>
    </row>
    <row r="2587" spans="2:49" x14ac:dyDescent="0.2">
      <c r="B2587" s="460" t="s">
        <v>3121</v>
      </c>
      <c r="C2587" s="460">
        <v>8000</v>
      </c>
      <c r="D2587" s="460" t="s">
        <v>2279</v>
      </c>
      <c r="E2587" s="460" t="s">
        <v>2265</v>
      </c>
      <c r="F2587" s="460">
        <v>1</v>
      </c>
      <c r="G2587" s="460">
        <v>1</v>
      </c>
      <c r="H2587" s="461" t="s">
        <v>712</v>
      </c>
      <c r="I2587" s="461" t="s">
        <v>713</v>
      </c>
      <c r="J2587" s="461" t="s">
        <v>712</v>
      </c>
      <c r="K2587" s="594"/>
      <c r="L2587" s="594"/>
      <c r="M2587" s="352">
        <v>8000</v>
      </c>
      <c r="N2587" s="352" t="s">
        <v>760</v>
      </c>
      <c r="O2587" s="460">
        <v>2322</v>
      </c>
      <c r="P2587" s="460" t="s">
        <v>791</v>
      </c>
      <c r="Q2587" s="460" t="s">
        <v>2280</v>
      </c>
      <c r="R2587" s="460">
        <v>2322</v>
      </c>
      <c r="S2587" s="460" t="s">
        <v>2265</v>
      </c>
      <c r="T2587" s="462">
        <v>1</v>
      </c>
      <c r="U2587" s="460" t="s">
        <v>2265</v>
      </c>
      <c r="V2587" s="475">
        <v>0</v>
      </c>
      <c r="W2587" s="463" t="s">
        <v>713</v>
      </c>
      <c r="X2587" s="463" t="s">
        <v>713</v>
      </c>
      <c r="Y2587" s="463" t="s">
        <v>713</v>
      </c>
      <c r="Z2587" s="463"/>
      <c r="AA2587" s="463"/>
      <c r="AB2587" s="464">
        <v>6364.1188084951445</v>
      </c>
      <c r="AC2587" s="465">
        <v>0.90273136950430533</v>
      </c>
      <c r="AD2587" s="465">
        <v>2.3510155477981343E-2</v>
      </c>
      <c r="AE2587" s="476">
        <v>6878.4155930032484</v>
      </c>
      <c r="AF2587" s="467">
        <v>0.97568284237607639</v>
      </c>
      <c r="AG2587" s="468">
        <v>2.4779737647524832E-2</v>
      </c>
      <c r="AH2587" s="218">
        <v>6878.4155930032484</v>
      </c>
      <c r="AI2587" s="470">
        <v>0.97568284237607639</v>
      </c>
      <c r="AJ2587" s="471">
        <v>2.5135038104288875E-2</v>
      </c>
      <c r="AK2587" s="218">
        <v>6878.4155930032484</v>
      </c>
      <c r="AL2587" s="470">
        <v>0.97568284237607639</v>
      </c>
      <c r="AM2587" s="471">
        <v>2.5135038104288875E-2</v>
      </c>
      <c r="AN2587" s="477">
        <v>6912.7020453037885</v>
      </c>
      <c r="AO2587" s="473">
        <v>0.98054627390086102</v>
      </c>
      <c r="AP2587" s="474">
        <v>2.5252096490816726E-2</v>
      </c>
      <c r="AQ2587" s="352"/>
      <c r="AR2587" s="352"/>
      <c r="AS2587" s="352"/>
      <c r="AT2587" s="352"/>
      <c r="AU2587" s="352"/>
      <c r="AV2587" s="352"/>
      <c r="AW2587" s="352" t="s">
        <v>254</v>
      </c>
    </row>
    <row r="2588" spans="2:49" x14ac:dyDescent="0.2">
      <c r="B2588" s="460" t="s">
        <v>3122</v>
      </c>
      <c r="C2588" s="460">
        <v>8000</v>
      </c>
      <c r="D2588" s="460" t="s">
        <v>2281</v>
      </c>
      <c r="E2588" s="460" t="s">
        <v>2271</v>
      </c>
      <c r="F2588" s="460">
        <v>2</v>
      </c>
      <c r="G2588" s="460">
        <v>1</v>
      </c>
      <c r="H2588" s="461" t="s">
        <v>712</v>
      </c>
      <c r="I2588" s="461" t="s">
        <v>713</v>
      </c>
      <c r="J2588" s="461" t="s">
        <v>712</v>
      </c>
      <c r="K2588" s="594"/>
      <c r="L2588" s="594"/>
      <c r="M2588" s="352">
        <v>8000</v>
      </c>
      <c r="N2588" s="352" t="s">
        <v>760</v>
      </c>
      <c r="O2588" s="460">
        <v>2322</v>
      </c>
      <c r="P2588" s="460" t="s">
        <v>791</v>
      </c>
      <c r="Q2588" s="460" t="s">
        <v>2280</v>
      </c>
      <c r="R2588" s="460">
        <v>2322</v>
      </c>
      <c r="S2588" s="460" t="s">
        <v>2265</v>
      </c>
      <c r="T2588" s="462">
        <v>1</v>
      </c>
      <c r="U2588" s="460" t="s">
        <v>2271</v>
      </c>
      <c r="V2588" s="475">
        <v>0</v>
      </c>
      <c r="W2588" s="463" t="s">
        <v>713</v>
      </c>
      <c r="X2588" s="463" t="s">
        <v>713</v>
      </c>
      <c r="Y2588" s="463" t="s">
        <v>713</v>
      </c>
      <c r="Z2588" s="463"/>
      <c r="AA2588" s="463"/>
      <c r="AB2588" s="464">
        <v>5065.1262849758086</v>
      </c>
      <c r="AC2588" s="465">
        <v>0.90810739147939212</v>
      </c>
      <c r="AD2588" s="465">
        <v>2.1151565192792696E-2</v>
      </c>
      <c r="AE2588" s="476">
        <v>5449.5364917255292</v>
      </c>
      <c r="AF2588" s="467">
        <v>0.97702684786984806</v>
      </c>
      <c r="AG2588" s="468">
        <v>2.2180471111348975E-2</v>
      </c>
      <c r="AH2588" s="218">
        <v>5442.0400682655627</v>
      </c>
      <c r="AI2588" s="470">
        <v>0.97568284237607639</v>
      </c>
      <c r="AJ2588" s="471">
        <v>2.3379795906796421E-2</v>
      </c>
      <c r="AK2588" s="218">
        <v>5442.0400682655627</v>
      </c>
      <c r="AL2588" s="470">
        <v>0.97568284237607639</v>
      </c>
      <c r="AM2588" s="471">
        <v>2.3379795906796421E-2</v>
      </c>
      <c r="AN2588" s="477">
        <v>5469.1667000742036</v>
      </c>
      <c r="AO2588" s="473">
        <v>0.98054627390086102</v>
      </c>
      <c r="AP2588" s="474">
        <v>2.3488085529439883E-2</v>
      </c>
      <c r="AQ2588" s="352"/>
      <c r="AR2588" s="352"/>
      <c r="AS2588" s="352"/>
      <c r="AT2588" s="352"/>
      <c r="AU2588" s="352"/>
      <c r="AV2588" s="352"/>
      <c r="AW2588" s="352" t="s">
        <v>254</v>
      </c>
    </row>
    <row r="2589" spans="2:49" x14ac:dyDescent="0.2">
      <c r="B2589" s="460" t="s">
        <v>3123</v>
      </c>
      <c r="C2589" s="460">
        <v>8000</v>
      </c>
      <c r="D2589" s="460" t="s">
        <v>2282</v>
      </c>
      <c r="E2589" s="460" t="s">
        <v>2274</v>
      </c>
      <c r="F2589" s="460">
        <v>3</v>
      </c>
      <c r="G2589" s="460">
        <v>1</v>
      </c>
      <c r="H2589" s="461" t="s">
        <v>712</v>
      </c>
      <c r="I2589" s="461" t="s">
        <v>713</v>
      </c>
      <c r="J2589" s="461" t="s">
        <v>712</v>
      </c>
      <c r="K2589" s="594"/>
      <c r="L2589" s="594"/>
      <c r="M2589" s="352">
        <v>8000</v>
      </c>
      <c r="N2589" s="352" t="s">
        <v>760</v>
      </c>
      <c r="O2589" s="460">
        <v>2322</v>
      </c>
      <c r="P2589" s="460" t="s">
        <v>791</v>
      </c>
      <c r="Q2589" s="460" t="s">
        <v>2280</v>
      </c>
      <c r="R2589" s="460">
        <v>2322</v>
      </c>
      <c r="S2589" s="460" t="s">
        <v>2265</v>
      </c>
      <c r="T2589" s="462">
        <v>0.74223365950407583</v>
      </c>
      <c r="U2589" s="460" t="s">
        <v>2274</v>
      </c>
      <c r="V2589" s="475">
        <v>0</v>
      </c>
      <c r="W2589" s="463" t="s">
        <v>713</v>
      </c>
      <c r="X2589" s="463" t="s">
        <v>713</v>
      </c>
      <c r="Y2589" s="463" t="s">
        <v>713</v>
      </c>
      <c r="Z2589" s="463"/>
      <c r="AA2589" s="463"/>
      <c r="AB2589" s="464">
        <v>2972.8113270597846</v>
      </c>
      <c r="AC2589" s="465">
        <v>0.95855208689656091</v>
      </c>
      <c r="AD2589" s="465">
        <v>1.7792907399629444E-2</v>
      </c>
      <c r="AE2589" s="476">
        <v>3069.2198795327836</v>
      </c>
      <c r="AF2589" s="467">
        <v>0.98963802172414017</v>
      </c>
      <c r="AG2589" s="468">
        <v>1.820084157864351E-2</v>
      </c>
      <c r="AH2589" s="218">
        <v>3045.3796481143982</v>
      </c>
      <c r="AI2589" s="470">
        <v>0.98195098710805773</v>
      </c>
      <c r="AJ2589" s="471">
        <v>1.913768561735079E-2</v>
      </c>
      <c r="AK2589" s="218">
        <v>3045.3796481143982</v>
      </c>
      <c r="AL2589" s="470">
        <v>0.98195098710805773</v>
      </c>
      <c r="AM2589" s="471">
        <v>1.913768561735079E-2</v>
      </c>
      <c r="AN2589" s="477">
        <v>3056.5749312296084</v>
      </c>
      <c r="AO2589" s="473">
        <v>0.98556078968644611</v>
      </c>
      <c r="AP2589" s="474">
        <v>1.9346605418453452E-2</v>
      </c>
      <c r="AQ2589" s="352"/>
      <c r="AR2589" s="352"/>
      <c r="AS2589" s="352"/>
      <c r="AT2589" s="352"/>
      <c r="AU2589" s="352"/>
      <c r="AV2589" s="352"/>
      <c r="AW2589" s="352" t="s">
        <v>254</v>
      </c>
    </row>
    <row r="2590" spans="2:49" x14ac:dyDescent="0.2">
      <c r="B2590" s="460" t="s">
        <v>3124</v>
      </c>
      <c r="C2590" s="460">
        <v>8000</v>
      </c>
      <c r="D2590" s="460" t="s">
        <v>2283</v>
      </c>
      <c r="E2590" s="460" t="s">
        <v>2277</v>
      </c>
      <c r="F2590" s="460">
        <v>4</v>
      </c>
      <c r="G2590" s="460">
        <v>1</v>
      </c>
      <c r="H2590" s="461" t="s">
        <v>712</v>
      </c>
      <c r="I2590" s="461" t="s">
        <v>713</v>
      </c>
      <c r="J2590" s="461" t="s">
        <v>712</v>
      </c>
      <c r="K2590" s="594"/>
      <c r="L2590" s="594"/>
      <c r="M2590" s="352">
        <v>8000</v>
      </c>
      <c r="N2590" s="352" t="s">
        <v>760</v>
      </c>
      <c r="O2590" s="460">
        <v>2322</v>
      </c>
      <c r="P2590" s="460" t="s">
        <v>791</v>
      </c>
      <c r="Q2590" s="460" t="s">
        <v>2280</v>
      </c>
      <c r="R2590" s="460">
        <v>2322</v>
      </c>
      <c r="S2590" s="460" t="s">
        <v>2277</v>
      </c>
      <c r="T2590" s="462">
        <v>1</v>
      </c>
      <c r="U2590" s="460" t="s">
        <v>2277</v>
      </c>
      <c r="V2590" s="475">
        <v>0</v>
      </c>
      <c r="W2590" s="463" t="s">
        <v>713</v>
      </c>
      <c r="X2590" s="463" t="s">
        <v>713</v>
      </c>
      <c r="Y2590" s="463" t="s">
        <v>713</v>
      </c>
      <c r="Z2590" s="463"/>
      <c r="AA2590" s="463"/>
      <c r="AB2590" s="464">
        <v>3514.6483413494493</v>
      </c>
      <c r="AC2590" s="465">
        <v>0.99955193301070555</v>
      </c>
      <c r="AD2590" s="465">
        <v>1.8252534911331674E-2</v>
      </c>
      <c r="AE2590" s="476">
        <v>3515.8299692234459</v>
      </c>
      <c r="AF2590" s="467">
        <v>0.99988798325267636</v>
      </c>
      <c r="AG2590" s="468">
        <v>1.8256193183526837E-2</v>
      </c>
      <c r="AH2590" s="218">
        <v>3515.8299692234459</v>
      </c>
      <c r="AI2590" s="470">
        <v>0.99988798325267636</v>
      </c>
      <c r="AJ2590" s="471">
        <v>1.8257103825239557E-2</v>
      </c>
      <c r="AK2590" s="218">
        <v>3515.8299692234459</v>
      </c>
      <c r="AL2590" s="470">
        <v>0.99988798325267636</v>
      </c>
      <c r="AM2590" s="471">
        <v>1.8257103825239557E-2</v>
      </c>
      <c r="AN2590" s="477">
        <v>3515.9087444150459</v>
      </c>
      <c r="AO2590" s="473">
        <v>0.99991038660214115</v>
      </c>
      <c r="AP2590" s="474">
        <v>1.8257603930856802E-2</v>
      </c>
      <c r="AQ2590" s="352"/>
      <c r="AR2590" s="352"/>
      <c r="AS2590" s="352"/>
      <c r="AT2590" s="352"/>
      <c r="AU2590" s="352"/>
      <c r="AV2590" s="352"/>
      <c r="AW2590" s="352" t="s">
        <v>254</v>
      </c>
    </row>
    <row r="2591" spans="2:49" x14ac:dyDescent="0.2">
      <c r="B2591" s="460" t="s">
        <v>3121</v>
      </c>
      <c r="C2591" s="460">
        <v>8000</v>
      </c>
      <c r="D2591" s="460" t="s">
        <v>2284</v>
      </c>
      <c r="E2591" s="460" t="s">
        <v>2265</v>
      </c>
      <c r="F2591" s="460">
        <v>1</v>
      </c>
      <c r="G2591" s="460">
        <v>1</v>
      </c>
      <c r="H2591" s="461" t="s">
        <v>746</v>
      </c>
      <c r="I2591" s="461" t="s">
        <v>762</v>
      </c>
      <c r="J2591" s="461" t="s">
        <v>700</v>
      </c>
      <c r="K2591" s="594"/>
      <c r="L2591" s="594"/>
      <c r="M2591" s="352">
        <v>8000</v>
      </c>
      <c r="N2591" s="352" t="s">
        <v>760</v>
      </c>
      <c r="O2591" s="460">
        <v>2322</v>
      </c>
      <c r="P2591" s="460" t="s">
        <v>791</v>
      </c>
      <c r="Q2591" s="460" t="s">
        <v>2553</v>
      </c>
      <c r="R2591" s="460">
        <v>2322</v>
      </c>
      <c r="S2591" s="460" t="s">
        <v>2265</v>
      </c>
      <c r="T2591" s="462">
        <v>1</v>
      </c>
      <c r="U2591" s="460" t="s">
        <v>2265</v>
      </c>
      <c r="V2591" s="475">
        <v>0</v>
      </c>
      <c r="W2591" s="463" t="s">
        <v>2268</v>
      </c>
      <c r="X2591" s="463" t="s">
        <v>2268</v>
      </c>
      <c r="Y2591" s="463" t="s">
        <v>2554</v>
      </c>
      <c r="Z2591" s="463"/>
      <c r="AA2591" s="463"/>
      <c r="AB2591" s="464">
        <v>0</v>
      </c>
      <c r="AC2591" s="465">
        <v>0</v>
      </c>
      <c r="AD2591" s="465">
        <v>0</v>
      </c>
      <c r="AE2591" s="476">
        <v>0</v>
      </c>
      <c r="AF2591" s="467">
        <v>0</v>
      </c>
      <c r="AG2591" s="468">
        <v>0</v>
      </c>
      <c r="AH2591" s="218">
        <v>0</v>
      </c>
      <c r="AI2591" s="470">
        <v>0</v>
      </c>
      <c r="AJ2591" s="471">
        <v>0</v>
      </c>
      <c r="AK2591" s="218">
        <v>0</v>
      </c>
      <c r="AL2591" s="470">
        <v>0</v>
      </c>
      <c r="AM2591" s="471">
        <v>0</v>
      </c>
      <c r="AN2591" s="477">
        <v>68.572904601080467</v>
      </c>
      <c r="AO2591" s="473">
        <v>9.7268630495694619E-3</v>
      </c>
      <c r="AP2591" s="474">
        <v>7.7325414449929731E-4</v>
      </c>
      <c r="AQ2591" s="352"/>
      <c r="AR2591" s="352"/>
      <c r="AS2591" s="352"/>
      <c r="AT2591" s="352"/>
      <c r="AU2591" s="352"/>
      <c r="AV2591" s="352"/>
      <c r="AW2591" s="352" t="s">
        <v>254</v>
      </c>
    </row>
    <row r="2592" spans="2:49" x14ac:dyDescent="0.2">
      <c r="B2592" s="460" t="s">
        <v>3122</v>
      </c>
      <c r="C2592" s="460">
        <v>8000</v>
      </c>
      <c r="D2592" s="460" t="s">
        <v>2285</v>
      </c>
      <c r="E2592" s="460" t="s">
        <v>2271</v>
      </c>
      <c r="F2592" s="460">
        <v>2</v>
      </c>
      <c r="G2592" s="460">
        <v>1</v>
      </c>
      <c r="H2592" s="461" t="s">
        <v>746</v>
      </c>
      <c r="I2592" s="461" t="s">
        <v>762</v>
      </c>
      <c r="J2592" s="461" t="s">
        <v>700</v>
      </c>
      <c r="K2592" s="594"/>
      <c r="L2592" s="594"/>
      <c r="M2592" s="352">
        <v>8000</v>
      </c>
      <c r="N2592" s="352" t="s">
        <v>760</v>
      </c>
      <c r="O2592" s="460">
        <v>2322</v>
      </c>
      <c r="P2592" s="460" t="s">
        <v>791</v>
      </c>
      <c r="Q2592" s="460" t="s">
        <v>2553</v>
      </c>
      <c r="R2592" s="460">
        <v>2322</v>
      </c>
      <c r="S2592" s="460" t="s">
        <v>2265</v>
      </c>
      <c r="T2592" s="462">
        <v>1</v>
      </c>
      <c r="U2592" s="460" t="s">
        <v>2271</v>
      </c>
      <c r="V2592" s="475">
        <v>0</v>
      </c>
      <c r="W2592" s="463" t="s">
        <v>2268</v>
      </c>
      <c r="X2592" s="463" t="s">
        <v>2268</v>
      </c>
      <c r="Y2592" s="463" t="s">
        <v>2554</v>
      </c>
      <c r="Z2592" s="463"/>
      <c r="AA2592" s="463"/>
      <c r="AB2592" s="464">
        <v>0</v>
      </c>
      <c r="AC2592" s="465">
        <v>0</v>
      </c>
      <c r="AD2592" s="465">
        <v>0</v>
      </c>
      <c r="AE2592" s="476">
        <v>0</v>
      </c>
      <c r="AF2592" s="467">
        <v>0</v>
      </c>
      <c r="AG2592" s="468">
        <v>0</v>
      </c>
      <c r="AH2592" s="218">
        <v>0</v>
      </c>
      <c r="AI2592" s="470">
        <v>0</v>
      </c>
      <c r="AJ2592" s="471">
        <v>0</v>
      </c>
      <c r="AK2592" s="218">
        <v>0</v>
      </c>
      <c r="AL2592" s="470">
        <v>0</v>
      </c>
      <c r="AM2592" s="471">
        <v>0</v>
      </c>
      <c r="AN2592" s="477">
        <v>54.253263617282514</v>
      </c>
      <c r="AO2592" s="473">
        <v>9.7268630495694619E-3</v>
      </c>
      <c r="AP2592" s="474">
        <v>7.8746832476562893E-4</v>
      </c>
      <c r="AQ2592" s="352"/>
      <c r="AR2592" s="352"/>
      <c r="AS2592" s="352"/>
      <c r="AT2592" s="352"/>
      <c r="AU2592" s="352"/>
      <c r="AV2592" s="352"/>
      <c r="AW2592" s="352" t="s">
        <v>254</v>
      </c>
    </row>
    <row r="2593" spans="2:49" x14ac:dyDescent="0.2">
      <c r="B2593" s="460" t="s">
        <v>3123</v>
      </c>
      <c r="C2593" s="460">
        <v>8000</v>
      </c>
      <c r="D2593" s="460" t="s">
        <v>2286</v>
      </c>
      <c r="E2593" s="460" t="s">
        <v>2274</v>
      </c>
      <c r="F2593" s="460">
        <v>3</v>
      </c>
      <c r="G2593" s="460">
        <v>1</v>
      </c>
      <c r="H2593" s="461" t="s">
        <v>746</v>
      </c>
      <c r="I2593" s="461" t="s">
        <v>762</v>
      </c>
      <c r="J2593" s="461" t="s">
        <v>700</v>
      </c>
      <c r="K2593" s="594"/>
      <c r="L2593" s="594"/>
      <c r="M2593" s="352">
        <v>8000</v>
      </c>
      <c r="N2593" s="352" t="s">
        <v>760</v>
      </c>
      <c r="O2593" s="460">
        <v>2322</v>
      </c>
      <c r="P2593" s="460" t="s">
        <v>791</v>
      </c>
      <c r="Q2593" s="460" t="s">
        <v>2553</v>
      </c>
      <c r="R2593" s="460">
        <v>2322</v>
      </c>
      <c r="S2593" s="460" t="s">
        <v>2265</v>
      </c>
      <c r="T2593" s="462">
        <v>0.74223365950407583</v>
      </c>
      <c r="U2593" s="460" t="s">
        <v>2274</v>
      </c>
      <c r="V2593" s="475">
        <v>0</v>
      </c>
      <c r="W2593" s="463" t="s">
        <v>2268</v>
      </c>
      <c r="X2593" s="463" t="s">
        <v>2268</v>
      </c>
      <c r="Y2593" s="463" t="s">
        <v>2554</v>
      </c>
      <c r="Z2593" s="463"/>
      <c r="AA2593" s="463"/>
      <c r="AB2593" s="464">
        <v>0</v>
      </c>
      <c r="AC2593" s="465">
        <v>0</v>
      </c>
      <c r="AD2593" s="465">
        <v>0</v>
      </c>
      <c r="AE2593" s="476">
        <v>0</v>
      </c>
      <c r="AF2593" s="467">
        <v>0</v>
      </c>
      <c r="AG2593" s="468">
        <v>0</v>
      </c>
      <c r="AH2593" s="218">
        <v>0</v>
      </c>
      <c r="AI2593" s="470">
        <v>0</v>
      </c>
      <c r="AJ2593" s="471">
        <v>0</v>
      </c>
      <c r="AK2593" s="218">
        <v>0</v>
      </c>
      <c r="AL2593" s="470">
        <v>0</v>
      </c>
      <c r="AM2593" s="471">
        <v>0</v>
      </c>
      <c r="AN2593" s="477">
        <v>22.390566230420934</v>
      </c>
      <c r="AO2593" s="473">
        <v>7.2196051567769157E-3</v>
      </c>
      <c r="AP2593" s="474">
        <v>1.1303919948603333E-3</v>
      </c>
      <c r="AQ2593" s="352"/>
      <c r="AR2593" s="352"/>
      <c r="AS2593" s="352"/>
      <c r="AT2593" s="352"/>
      <c r="AU2593" s="352"/>
      <c r="AV2593" s="352"/>
      <c r="AW2593" s="352" t="s">
        <v>254</v>
      </c>
    </row>
    <row r="2594" spans="2:49" x14ac:dyDescent="0.2">
      <c r="B2594" s="460" t="s">
        <v>3124</v>
      </c>
      <c r="C2594" s="460">
        <v>8000</v>
      </c>
      <c r="D2594" s="460" t="s">
        <v>2287</v>
      </c>
      <c r="E2594" s="460" t="s">
        <v>2277</v>
      </c>
      <c r="F2594" s="460">
        <v>4</v>
      </c>
      <c r="G2594" s="460">
        <v>1</v>
      </c>
      <c r="H2594" s="461" t="s">
        <v>746</v>
      </c>
      <c r="I2594" s="461" t="s">
        <v>762</v>
      </c>
      <c r="J2594" s="461" t="s">
        <v>700</v>
      </c>
      <c r="K2594" s="594"/>
      <c r="L2594" s="594"/>
      <c r="M2594" s="352">
        <v>8000</v>
      </c>
      <c r="N2594" s="352" t="s">
        <v>760</v>
      </c>
      <c r="O2594" s="460">
        <v>2322</v>
      </c>
      <c r="P2594" s="460" t="s">
        <v>791</v>
      </c>
      <c r="Q2594" s="460" t="s">
        <v>2553</v>
      </c>
      <c r="R2594" s="460">
        <v>2322</v>
      </c>
      <c r="S2594" s="460" t="s">
        <v>2277</v>
      </c>
      <c r="T2594" s="462">
        <v>1</v>
      </c>
      <c r="U2594" s="460" t="s">
        <v>2277</v>
      </c>
      <c r="V2594" s="475">
        <v>0</v>
      </c>
      <c r="W2594" s="463" t="s">
        <v>2268</v>
      </c>
      <c r="X2594" s="463" t="s">
        <v>2268</v>
      </c>
      <c r="Y2594" s="463" t="s">
        <v>2554</v>
      </c>
      <c r="Z2594" s="463"/>
      <c r="AA2594" s="463"/>
      <c r="AB2594" s="464">
        <v>0</v>
      </c>
      <c r="AC2594" s="465">
        <v>0</v>
      </c>
      <c r="AD2594" s="465">
        <v>0</v>
      </c>
      <c r="AE2594" s="476">
        <v>0</v>
      </c>
      <c r="AF2594" s="467">
        <v>0</v>
      </c>
      <c r="AG2594" s="468">
        <v>0</v>
      </c>
      <c r="AH2594" s="218">
        <v>0</v>
      </c>
      <c r="AI2594" s="470">
        <v>0</v>
      </c>
      <c r="AJ2594" s="471">
        <v>0</v>
      </c>
      <c r="AK2594" s="218">
        <v>0</v>
      </c>
      <c r="AL2594" s="470">
        <v>0</v>
      </c>
      <c r="AM2594" s="471">
        <v>0</v>
      </c>
      <c r="AN2594" s="477">
        <v>0.1575503831995799</v>
      </c>
      <c r="AO2594" s="473">
        <v>4.4806698929444849E-5</v>
      </c>
      <c r="AP2594" s="474">
        <v>8.2586751744592247E-4</v>
      </c>
      <c r="AQ2594" s="352"/>
      <c r="AR2594" s="352"/>
      <c r="AS2594" s="352"/>
      <c r="AT2594" s="352"/>
      <c r="AU2594" s="352"/>
      <c r="AV2594" s="352"/>
      <c r="AW2594" s="352" t="s">
        <v>254</v>
      </c>
    </row>
    <row r="2595" spans="2:49" x14ac:dyDescent="0.2">
      <c r="B2595" s="460" t="s">
        <v>3121</v>
      </c>
      <c r="C2595" s="460">
        <v>8000</v>
      </c>
      <c r="D2595" s="460" t="s">
        <v>2288</v>
      </c>
      <c r="E2595" s="460" t="s">
        <v>2265</v>
      </c>
      <c r="F2595" s="460">
        <v>1</v>
      </c>
      <c r="G2595" s="460">
        <v>1</v>
      </c>
      <c r="H2595" s="461" t="s">
        <v>748</v>
      </c>
      <c r="I2595" s="461" t="s">
        <v>765</v>
      </c>
      <c r="J2595" s="461" t="s">
        <v>700</v>
      </c>
      <c r="K2595" s="594"/>
      <c r="L2595" s="594"/>
      <c r="M2595" s="352">
        <v>8000</v>
      </c>
      <c r="N2595" s="352" t="s">
        <v>760</v>
      </c>
      <c r="O2595" s="460">
        <v>2322</v>
      </c>
      <c r="P2595" s="460" t="s">
        <v>791</v>
      </c>
      <c r="Q2595" s="460" t="s">
        <v>2553</v>
      </c>
      <c r="R2595" s="460">
        <v>2322</v>
      </c>
      <c r="S2595" s="460" t="s">
        <v>2265</v>
      </c>
      <c r="T2595" s="462">
        <v>1</v>
      </c>
      <c r="U2595" s="460" t="s">
        <v>2265</v>
      </c>
      <c r="V2595" s="475">
        <v>0</v>
      </c>
      <c r="W2595" s="463" t="s">
        <v>2268</v>
      </c>
      <c r="X2595" s="463" t="s">
        <v>2268</v>
      </c>
      <c r="Y2595" s="463" t="s">
        <v>2554</v>
      </c>
      <c r="Z2595" s="463"/>
      <c r="AA2595" s="463"/>
      <c r="AB2595" s="464">
        <v>0</v>
      </c>
      <c r="AC2595" s="465">
        <v>0</v>
      </c>
      <c r="AD2595" s="465">
        <v>0</v>
      </c>
      <c r="AE2595" s="476">
        <v>0</v>
      </c>
      <c r="AF2595" s="467">
        <v>0</v>
      </c>
      <c r="AG2595" s="468">
        <v>0</v>
      </c>
      <c r="AH2595" s="218">
        <v>0</v>
      </c>
      <c r="AI2595" s="470">
        <v>0</v>
      </c>
      <c r="AJ2595" s="471">
        <v>0</v>
      </c>
      <c r="AK2595" s="218">
        <v>0</v>
      </c>
      <c r="AL2595" s="470">
        <v>0</v>
      </c>
      <c r="AM2595" s="471">
        <v>0</v>
      </c>
      <c r="AN2595" s="477">
        <v>68.572904601080467</v>
      </c>
      <c r="AO2595" s="473">
        <v>9.7268630495694619E-3</v>
      </c>
      <c r="AP2595" s="474">
        <v>4.2584193486221843E-3</v>
      </c>
      <c r="AQ2595" s="352"/>
      <c r="AR2595" s="352"/>
      <c r="AS2595" s="352"/>
      <c r="AT2595" s="352"/>
      <c r="AU2595" s="352"/>
      <c r="AV2595" s="352"/>
      <c r="AW2595" s="352" t="s">
        <v>254</v>
      </c>
    </row>
    <row r="2596" spans="2:49" x14ac:dyDescent="0.2">
      <c r="B2596" s="460" t="s">
        <v>3122</v>
      </c>
      <c r="C2596" s="460">
        <v>8000</v>
      </c>
      <c r="D2596" s="460" t="s">
        <v>2291</v>
      </c>
      <c r="E2596" s="460" t="s">
        <v>2271</v>
      </c>
      <c r="F2596" s="460">
        <v>2</v>
      </c>
      <c r="G2596" s="460">
        <v>1</v>
      </c>
      <c r="H2596" s="461" t="s">
        <v>748</v>
      </c>
      <c r="I2596" s="461" t="s">
        <v>765</v>
      </c>
      <c r="J2596" s="461" t="s">
        <v>700</v>
      </c>
      <c r="K2596" s="594"/>
      <c r="L2596" s="594"/>
      <c r="M2596" s="352">
        <v>8000</v>
      </c>
      <c r="N2596" s="352" t="s">
        <v>760</v>
      </c>
      <c r="O2596" s="460">
        <v>2322</v>
      </c>
      <c r="P2596" s="460" t="s">
        <v>791</v>
      </c>
      <c r="Q2596" s="460" t="s">
        <v>2553</v>
      </c>
      <c r="R2596" s="460">
        <v>2322</v>
      </c>
      <c r="S2596" s="460" t="s">
        <v>2265</v>
      </c>
      <c r="T2596" s="462">
        <v>1</v>
      </c>
      <c r="U2596" s="460" t="s">
        <v>2271</v>
      </c>
      <c r="V2596" s="475">
        <v>0</v>
      </c>
      <c r="W2596" s="463" t="s">
        <v>2268</v>
      </c>
      <c r="X2596" s="463" t="s">
        <v>2268</v>
      </c>
      <c r="Y2596" s="463" t="s">
        <v>2554</v>
      </c>
      <c r="Z2596" s="463"/>
      <c r="AA2596" s="463"/>
      <c r="AB2596" s="464">
        <v>0</v>
      </c>
      <c r="AC2596" s="465">
        <v>0</v>
      </c>
      <c r="AD2596" s="465">
        <v>0</v>
      </c>
      <c r="AE2596" s="476">
        <v>0</v>
      </c>
      <c r="AF2596" s="467">
        <v>0</v>
      </c>
      <c r="AG2596" s="468">
        <v>0</v>
      </c>
      <c r="AH2596" s="218">
        <v>0</v>
      </c>
      <c r="AI2596" s="470">
        <v>0</v>
      </c>
      <c r="AJ2596" s="471">
        <v>0</v>
      </c>
      <c r="AK2596" s="218">
        <v>0</v>
      </c>
      <c r="AL2596" s="470">
        <v>0</v>
      </c>
      <c r="AM2596" s="471">
        <v>0</v>
      </c>
      <c r="AN2596" s="477">
        <v>54.253263617282514</v>
      </c>
      <c r="AO2596" s="473">
        <v>9.7268630495694619E-3</v>
      </c>
      <c r="AP2596" s="474">
        <v>3.4507287745405356E-3</v>
      </c>
      <c r="AQ2596" s="352"/>
      <c r="AR2596" s="352"/>
      <c r="AS2596" s="352"/>
      <c r="AT2596" s="352"/>
      <c r="AU2596" s="352"/>
      <c r="AV2596" s="352"/>
      <c r="AW2596" s="352" t="s">
        <v>254</v>
      </c>
    </row>
    <row r="2597" spans="2:49" x14ac:dyDescent="0.2">
      <c r="B2597" s="460" t="s">
        <v>3123</v>
      </c>
      <c r="C2597" s="460">
        <v>8000</v>
      </c>
      <c r="D2597" s="460" t="s">
        <v>2292</v>
      </c>
      <c r="E2597" s="460" t="s">
        <v>2274</v>
      </c>
      <c r="F2597" s="460">
        <v>3</v>
      </c>
      <c r="G2597" s="460">
        <v>1</v>
      </c>
      <c r="H2597" s="461" t="s">
        <v>748</v>
      </c>
      <c r="I2597" s="461" t="s">
        <v>765</v>
      </c>
      <c r="J2597" s="461" t="s">
        <v>700</v>
      </c>
      <c r="K2597" s="594"/>
      <c r="L2597" s="594"/>
      <c r="M2597" s="352">
        <v>8000</v>
      </c>
      <c r="N2597" s="352" t="s">
        <v>760</v>
      </c>
      <c r="O2597" s="460">
        <v>2322</v>
      </c>
      <c r="P2597" s="460" t="s">
        <v>791</v>
      </c>
      <c r="Q2597" s="460" t="s">
        <v>2553</v>
      </c>
      <c r="R2597" s="460">
        <v>2322</v>
      </c>
      <c r="S2597" s="460" t="s">
        <v>2265</v>
      </c>
      <c r="T2597" s="462">
        <v>0.74223365950407583</v>
      </c>
      <c r="U2597" s="460" t="s">
        <v>2274</v>
      </c>
      <c r="V2597" s="475">
        <v>0</v>
      </c>
      <c r="W2597" s="463" t="s">
        <v>2268</v>
      </c>
      <c r="X2597" s="463" t="s">
        <v>2268</v>
      </c>
      <c r="Y2597" s="463" t="s">
        <v>2554</v>
      </c>
      <c r="Z2597" s="463"/>
      <c r="AA2597" s="463"/>
      <c r="AB2597" s="464">
        <v>0</v>
      </c>
      <c r="AC2597" s="465">
        <v>0</v>
      </c>
      <c r="AD2597" s="465">
        <v>0</v>
      </c>
      <c r="AE2597" s="476">
        <v>0</v>
      </c>
      <c r="AF2597" s="467">
        <v>0</v>
      </c>
      <c r="AG2597" s="468">
        <v>0</v>
      </c>
      <c r="AH2597" s="218">
        <v>0</v>
      </c>
      <c r="AI2597" s="470">
        <v>0</v>
      </c>
      <c r="AJ2597" s="471">
        <v>0</v>
      </c>
      <c r="AK2597" s="218">
        <v>0</v>
      </c>
      <c r="AL2597" s="470">
        <v>0</v>
      </c>
      <c r="AM2597" s="471">
        <v>0</v>
      </c>
      <c r="AN2597" s="477">
        <v>22.390566230420934</v>
      </c>
      <c r="AO2597" s="473">
        <v>7.2196051567769157E-3</v>
      </c>
      <c r="AP2597" s="474">
        <v>3.152519838358007E-3</v>
      </c>
      <c r="AQ2597" s="352"/>
      <c r="AR2597" s="352"/>
      <c r="AS2597" s="352"/>
      <c r="AT2597" s="352"/>
      <c r="AU2597" s="352"/>
      <c r="AV2597" s="352"/>
      <c r="AW2597" s="352" t="s">
        <v>254</v>
      </c>
    </row>
    <row r="2598" spans="2:49" x14ac:dyDescent="0.2">
      <c r="B2598" s="460" t="s">
        <v>3124</v>
      </c>
      <c r="C2598" s="460">
        <v>8000</v>
      </c>
      <c r="D2598" s="460" t="s">
        <v>2293</v>
      </c>
      <c r="E2598" s="460" t="s">
        <v>2277</v>
      </c>
      <c r="F2598" s="460">
        <v>4</v>
      </c>
      <c r="G2598" s="460">
        <v>1</v>
      </c>
      <c r="H2598" s="461" t="s">
        <v>748</v>
      </c>
      <c r="I2598" s="461" t="s">
        <v>765</v>
      </c>
      <c r="J2598" s="461" t="s">
        <v>700</v>
      </c>
      <c r="K2598" s="594"/>
      <c r="L2598" s="594"/>
      <c r="M2598" s="352">
        <v>8000</v>
      </c>
      <c r="N2598" s="352" t="s">
        <v>760</v>
      </c>
      <c r="O2598" s="460">
        <v>2322</v>
      </c>
      <c r="P2598" s="460" t="s">
        <v>791</v>
      </c>
      <c r="Q2598" s="460" t="s">
        <v>2553</v>
      </c>
      <c r="R2598" s="460">
        <v>2322</v>
      </c>
      <c r="S2598" s="460" t="s">
        <v>2277</v>
      </c>
      <c r="T2598" s="462">
        <v>1</v>
      </c>
      <c r="U2598" s="460" t="s">
        <v>2277</v>
      </c>
      <c r="V2598" s="475">
        <v>0</v>
      </c>
      <c r="W2598" s="463" t="s">
        <v>2268</v>
      </c>
      <c r="X2598" s="463" t="s">
        <v>2268</v>
      </c>
      <c r="Y2598" s="463" t="s">
        <v>2554</v>
      </c>
      <c r="Z2598" s="463"/>
      <c r="AA2598" s="463"/>
      <c r="AB2598" s="464">
        <v>0</v>
      </c>
      <c r="AC2598" s="465">
        <v>0</v>
      </c>
      <c r="AD2598" s="465">
        <v>0</v>
      </c>
      <c r="AE2598" s="476">
        <v>0</v>
      </c>
      <c r="AF2598" s="467">
        <v>0</v>
      </c>
      <c r="AG2598" s="468">
        <v>0</v>
      </c>
      <c r="AH2598" s="218">
        <v>0</v>
      </c>
      <c r="AI2598" s="470">
        <v>0</v>
      </c>
      <c r="AJ2598" s="471">
        <v>0</v>
      </c>
      <c r="AK2598" s="218">
        <v>0</v>
      </c>
      <c r="AL2598" s="470">
        <v>0</v>
      </c>
      <c r="AM2598" s="471">
        <v>0</v>
      </c>
      <c r="AN2598" s="477">
        <v>0.1575503831995799</v>
      </c>
      <c r="AO2598" s="473">
        <v>4.4806698929444849E-5</v>
      </c>
      <c r="AP2598" s="474">
        <v>3.8042380728479366E-3</v>
      </c>
      <c r="AQ2598" s="352"/>
      <c r="AR2598" s="352"/>
      <c r="AS2598" s="352"/>
      <c r="AT2598" s="352"/>
      <c r="AU2598" s="352"/>
      <c r="AV2598" s="352"/>
      <c r="AW2598" s="352" t="s">
        <v>254</v>
      </c>
    </row>
    <row r="2599" spans="2:49" x14ac:dyDescent="0.2">
      <c r="B2599" s="460" t="s">
        <v>3125</v>
      </c>
      <c r="C2599" s="460">
        <v>8000</v>
      </c>
      <c r="D2599" s="460" t="s">
        <v>2295</v>
      </c>
      <c r="E2599" s="460" t="s">
        <v>2296</v>
      </c>
      <c r="F2599" s="460">
        <v>1</v>
      </c>
      <c r="G2599" s="460">
        <v>2</v>
      </c>
      <c r="H2599" s="461" t="s">
        <v>700</v>
      </c>
      <c r="I2599" s="461" t="s">
        <v>872</v>
      </c>
      <c r="J2599" s="461" t="s">
        <v>700</v>
      </c>
      <c r="K2599" s="594"/>
      <c r="L2599" s="594"/>
      <c r="M2599" s="352">
        <v>8000</v>
      </c>
      <c r="N2599" s="352" t="s">
        <v>760</v>
      </c>
      <c r="O2599" s="460">
        <v>2322</v>
      </c>
      <c r="P2599" s="460" t="s">
        <v>791</v>
      </c>
      <c r="Q2599" s="460" t="s">
        <v>2553</v>
      </c>
      <c r="R2599" s="460">
        <v>2322</v>
      </c>
      <c r="S2599" s="460" t="s">
        <v>2296</v>
      </c>
      <c r="T2599" s="462">
        <v>1</v>
      </c>
      <c r="U2599" s="460" t="s">
        <v>2296</v>
      </c>
      <c r="V2599" s="475">
        <v>0</v>
      </c>
      <c r="W2599" s="463" t="s">
        <v>2554</v>
      </c>
      <c r="X2599" s="463" t="s">
        <v>2554</v>
      </c>
      <c r="Y2599" s="463" t="s">
        <v>2268</v>
      </c>
      <c r="Z2599" s="463"/>
      <c r="AA2599" s="463"/>
      <c r="AB2599" s="464">
        <v>71.900908780096373</v>
      </c>
      <c r="AC2599" s="465">
        <v>2.3742258414367425E-2</v>
      </c>
      <c r="AD2599" s="465">
        <v>4.1999999999999997E-3</v>
      </c>
      <c r="AE2599" s="476">
        <v>17.975227195024093</v>
      </c>
      <c r="AF2599" s="467">
        <v>5.9355646035918561E-3</v>
      </c>
      <c r="AG2599" s="468">
        <v>1.1671321979480054E-3</v>
      </c>
      <c r="AH2599" s="218">
        <v>17.975227195024093</v>
      </c>
      <c r="AI2599" s="470">
        <v>5.9355646035918561E-3</v>
      </c>
      <c r="AJ2599" s="471">
        <v>1.0722824000138705E-3</v>
      </c>
      <c r="AK2599" s="218">
        <v>17.975227195024093</v>
      </c>
      <c r="AL2599" s="470">
        <v>5.9355646035918561E-3</v>
      </c>
      <c r="AM2599" s="471">
        <v>1.0722824000138705E-3</v>
      </c>
      <c r="AN2599" s="477">
        <v>0</v>
      </c>
      <c r="AO2599" s="473">
        <v>0</v>
      </c>
      <c r="AP2599" s="474">
        <v>0</v>
      </c>
      <c r="AQ2599" s="352"/>
      <c r="AR2599" s="352"/>
      <c r="AS2599" s="352"/>
      <c r="AT2599" s="352"/>
      <c r="AU2599" s="352"/>
      <c r="AV2599" s="352"/>
      <c r="AW2599" s="352" t="s">
        <v>254</v>
      </c>
    </row>
    <row r="2600" spans="2:49" x14ac:dyDescent="0.2">
      <c r="B2600" s="460" t="s">
        <v>3126</v>
      </c>
      <c r="C2600" s="460">
        <v>8000</v>
      </c>
      <c r="D2600" s="460" t="s">
        <v>2298</v>
      </c>
      <c r="E2600" s="460" t="s">
        <v>2299</v>
      </c>
      <c r="F2600" s="460">
        <v>2</v>
      </c>
      <c r="G2600" s="460">
        <v>2</v>
      </c>
      <c r="H2600" s="461" t="s">
        <v>700</v>
      </c>
      <c r="I2600" s="461" t="s">
        <v>872</v>
      </c>
      <c r="J2600" s="461" t="s">
        <v>700</v>
      </c>
      <c r="K2600" s="594"/>
      <c r="L2600" s="594"/>
      <c r="M2600" s="352">
        <v>8000</v>
      </c>
      <c r="N2600" s="352" t="s">
        <v>760</v>
      </c>
      <c r="O2600" s="460">
        <v>2322</v>
      </c>
      <c r="P2600" s="460" t="s">
        <v>791</v>
      </c>
      <c r="Q2600" s="460" t="s">
        <v>2553</v>
      </c>
      <c r="R2600" s="460">
        <v>2322</v>
      </c>
      <c r="S2600" s="460" t="s">
        <v>2296</v>
      </c>
      <c r="T2600" s="462">
        <v>0.55517361979372948</v>
      </c>
      <c r="U2600" s="460" t="s">
        <v>2299</v>
      </c>
      <c r="V2600" s="475">
        <v>0</v>
      </c>
      <c r="W2600" s="463" t="s">
        <v>2554</v>
      </c>
      <c r="X2600" s="463" t="s">
        <v>2554</v>
      </c>
      <c r="Y2600" s="463" t="s">
        <v>2268</v>
      </c>
      <c r="Z2600" s="463"/>
      <c r="AA2600" s="463"/>
      <c r="AB2600" s="464">
        <v>13.880652586875476</v>
      </c>
      <c r="AC2600" s="465">
        <v>7.3856791150712156E-3</v>
      </c>
      <c r="AD2600" s="465">
        <v>4.2000000000000006E-3</v>
      </c>
      <c r="AE2600" s="476">
        <v>3.4701631467188689</v>
      </c>
      <c r="AF2600" s="467">
        <v>1.8464197787678039E-3</v>
      </c>
      <c r="AG2600" s="468">
        <v>1.1783026811449319E-3</v>
      </c>
      <c r="AH2600" s="218">
        <v>6.1931315835869079</v>
      </c>
      <c r="AI2600" s="470">
        <v>3.2952688864956239E-3</v>
      </c>
      <c r="AJ2600" s="471">
        <v>1.4584055610154425E-3</v>
      </c>
      <c r="AK2600" s="218">
        <v>6.1931315835869079</v>
      </c>
      <c r="AL2600" s="470">
        <v>3.2952688864956239E-3</v>
      </c>
      <c r="AM2600" s="471">
        <v>1.4584055610154425E-3</v>
      </c>
      <c r="AN2600" s="477">
        <v>0</v>
      </c>
      <c r="AO2600" s="473">
        <v>0</v>
      </c>
      <c r="AP2600" s="474">
        <v>0</v>
      </c>
      <c r="AQ2600" s="352"/>
      <c r="AR2600" s="352"/>
      <c r="AS2600" s="352"/>
      <c r="AT2600" s="352"/>
      <c r="AU2600" s="352"/>
      <c r="AV2600" s="352"/>
      <c r="AW2600" s="352" t="s">
        <v>254</v>
      </c>
    </row>
    <row r="2601" spans="2:49" x14ac:dyDescent="0.2">
      <c r="B2601" s="460" t="s">
        <v>3127</v>
      </c>
      <c r="C2601" s="460">
        <v>8000</v>
      </c>
      <c r="D2601" s="460" t="s">
        <v>2301</v>
      </c>
      <c r="E2601" s="460" t="s">
        <v>2302</v>
      </c>
      <c r="F2601" s="460">
        <v>3</v>
      </c>
      <c r="G2601" s="460">
        <v>2</v>
      </c>
      <c r="H2601" s="461" t="s">
        <v>700</v>
      </c>
      <c r="I2601" s="461" t="s">
        <v>872</v>
      </c>
      <c r="J2601" s="461" t="s">
        <v>700</v>
      </c>
      <c r="K2601" s="594"/>
      <c r="L2601" s="594"/>
      <c r="M2601" s="352">
        <v>8000</v>
      </c>
      <c r="N2601" s="352" t="s">
        <v>760</v>
      </c>
      <c r="O2601" s="460">
        <v>2322</v>
      </c>
      <c r="P2601" s="460" t="s">
        <v>791</v>
      </c>
      <c r="Q2601" s="460" t="s">
        <v>2553</v>
      </c>
      <c r="R2601" s="460">
        <v>2322</v>
      </c>
      <c r="S2601" s="460" t="s">
        <v>2296</v>
      </c>
      <c r="T2601" s="462">
        <v>0.28481449642268464</v>
      </c>
      <c r="U2601" s="460" t="s">
        <v>2302</v>
      </c>
      <c r="V2601" s="475">
        <v>0</v>
      </c>
      <c r="W2601" s="463" t="s">
        <v>2554</v>
      </c>
      <c r="X2601" s="463" t="s">
        <v>2554</v>
      </c>
      <c r="Y2601" s="463" t="s">
        <v>2268</v>
      </c>
      <c r="Z2601" s="463"/>
      <c r="AA2601" s="463"/>
      <c r="AB2601" s="464">
        <v>2.1592299917393079</v>
      </c>
      <c r="AC2601" s="465">
        <v>3.2314862184049352E-3</v>
      </c>
      <c r="AD2601" s="465">
        <v>4.1999999999999997E-3</v>
      </c>
      <c r="AE2601" s="476">
        <v>0.53980749793482696</v>
      </c>
      <c r="AF2601" s="467">
        <v>8.078715546012338E-4</v>
      </c>
      <c r="AG2601" s="468">
        <v>1.184860390718205E-3</v>
      </c>
      <c r="AH2601" s="218">
        <v>1.1295896963747247</v>
      </c>
      <c r="AI2601" s="470">
        <v>1.6905348435563262E-3</v>
      </c>
      <c r="AJ2601" s="471">
        <v>1.1726484383277709E-3</v>
      </c>
      <c r="AK2601" s="218">
        <v>1.1295896963747247</v>
      </c>
      <c r="AL2601" s="470">
        <v>1.6905348435563262E-3</v>
      </c>
      <c r="AM2601" s="471">
        <v>1.1726484383277709E-3</v>
      </c>
      <c r="AN2601" s="477">
        <v>0</v>
      </c>
      <c r="AO2601" s="473">
        <v>0</v>
      </c>
      <c r="AP2601" s="474">
        <v>0</v>
      </c>
      <c r="AQ2601" s="352"/>
      <c r="AR2601" s="352"/>
      <c r="AS2601" s="352"/>
      <c r="AT2601" s="352"/>
      <c r="AU2601" s="352"/>
      <c r="AV2601" s="352"/>
      <c r="AW2601" s="352" t="s">
        <v>254</v>
      </c>
    </row>
    <row r="2602" spans="2:49" x14ac:dyDescent="0.2">
      <c r="B2602" s="460" t="s">
        <v>3128</v>
      </c>
      <c r="C2602" s="460">
        <v>8000</v>
      </c>
      <c r="D2602" s="460" t="s">
        <v>2304</v>
      </c>
      <c r="E2602" s="460" t="s">
        <v>2305</v>
      </c>
      <c r="F2602" s="460">
        <v>4</v>
      </c>
      <c r="G2602" s="460">
        <v>2</v>
      </c>
      <c r="H2602" s="461" t="s">
        <v>700</v>
      </c>
      <c r="I2602" s="461" t="s">
        <v>872</v>
      </c>
      <c r="J2602" s="461" t="s">
        <v>700</v>
      </c>
      <c r="K2602" s="594"/>
      <c r="L2602" s="594"/>
      <c r="M2602" s="352">
        <v>8000</v>
      </c>
      <c r="N2602" s="352" t="s">
        <v>760</v>
      </c>
      <c r="O2602" s="460">
        <v>2322</v>
      </c>
      <c r="P2602" s="460" t="s">
        <v>791</v>
      </c>
      <c r="Q2602" s="460" t="s">
        <v>2553</v>
      </c>
      <c r="R2602" s="460">
        <v>2322</v>
      </c>
      <c r="S2602" s="460" t="s">
        <v>2305</v>
      </c>
      <c r="T2602" s="462">
        <v>1</v>
      </c>
      <c r="U2602" s="460" t="s">
        <v>2305</v>
      </c>
      <c r="V2602" s="475">
        <v>0</v>
      </c>
      <c r="W2602" s="463" t="s">
        <v>2554</v>
      </c>
      <c r="X2602" s="463" t="s">
        <v>2554</v>
      </c>
      <c r="Y2602" s="463" t="s">
        <v>2268</v>
      </c>
      <c r="Z2602" s="463"/>
      <c r="AA2602" s="463"/>
      <c r="AB2602" s="464">
        <v>5.3048324688393163E-2</v>
      </c>
      <c r="AC2602" s="465">
        <v>6.9905060723038484E-5</v>
      </c>
      <c r="AD2602" s="465">
        <v>4.2000000000000006E-3</v>
      </c>
      <c r="AE2602" s="476">
        <v>1.3262081172098291E-2</v>
      </c>
      <c r="AF2602" s="467">
        <v>1.7476265180759621E-5</v>
      </c>
      <c r="AG2602" s="468">
        <v>1.1659401954174206E-3</v>
      </c>
      <c r="AH2602" s="218">
        <v>1.3262081172098291E-2</v>
      </c>
      <c r="AI2602" s="470">
        <v>1.7476265180759621E-5</v>
      </c>
      <c r="AJ2602" s="471">
        <v>1.1611017639347415E-3</v>
      </c>
      <c r="AK2602" s="218">
        <v>1.3262081172098291E-2</v>
      </c>
      <c r="AL2602" s="470">
        <v>1.7476265180759621E-5</v>
      </c>
      <c r="AM2602" s="471">
        <v>1.1611017639347415E-3</v>
      </c>
      <c r="AN2602" s="477">
        <v>0</v>
      </c>
      <c r="AO2602" s="473">
        <v>0</v>
      </c>
      <c r="AP2602" s="474">
        <v>0</v>
      </c>
      <c r="AQ2602" s="352"/>
      <c r="AR2602" s="352"/>
      <c r="AS2602" s="352"/>
      <c r="AT2602" s="352"/>
      <c r="AU2602" s="352"/>
      <c r="AV2602" s="352"/>
      <c r="AW2602" s="352" t="s">
        <v>254</v>
      </c>
    </row>
    <row r="2603" spans="2:49" x14ac:dyDescent="0.2">
      <c r="B2603" s="460" t="s">
        <v>3125</v>
      </c>
      <c r="C2603" s="460">
        <v>8000</v>
      </c>
      <c r="D2603" s="460" t="s">
        <v>2306</v>
      </c>
      <c r="E2603" s="460" t="s">
        <v>2296</v>
      </c>
      <c r="F2603" s="460">
        <v>1</v>
      </c>
      <c r="G2603" s="460">
        <v>2</v>
      </c>
      <c r="H2603" s="461" t="s">
        <v>712</v>
      </c>
      <c r="I2603" s="461" t="s">
        <v>713</v>
      </c>
      <c r="J2603" s="461" t="s">
        <v>712</v>
      </c>
      <c r="K2603" s="594"/>
      <c r="L2603" s="594"/>
      <c r="M2603" s="352">
        <v>8000</v>
      </c>
      <c r="N2603" s="352" t="s">
        <v>760</v>
      </c>
      <c r="O2603" s="460">
        <v>2322</v>
      </c>
      <c r="P2603" s="460" t="s">
        <v>791</v>
      </c>
      <c r="Q2603" s="460" t="s">
        <v>2280</v>
      </c>
      <c r="R2603" s="460">
        <v>2322</v>
      </c>
      <c r="S2603" s="460" t="s">
        <v>2296</v>
      </c>
      <c r="T2603" s="462">
        <v>1</v>
      </c>
      <c r="U2603" s="460" t="s">
        <v>2296</v>
      </c>
      <c r="V2603" s="475">
        <v>0</v>
      </c>
      <c r="W2603" s="463" t="s">
        <v>713</v>
      </c>
      <c r="X2603" s="463" t="s">
        <v>713</v>
      </c>
      <c r="Y2603" s="463" t="s">
        <v>713</v>
      </c>
      <c r="Z2603" s="463"/>
      <c r="AA2603" s="463"/>
      <c r="AB2603" s="464">
        <v>2956.4929164924883</v>
      </c>
      <c r="AC2603" s="465">
        <v>0.97625774158563261</v>
      </c>
      <c r="AD2603" s="465">
        <v>2.557063887617203E-2</v>
      </c>
      <c r="AE2603" s="476">
        <v>3010.4185980775605</v>
      </c>
      <c r="AF2603" s="467">
        <v>0.9940644353964081</v>
      </c>
      <c r="AG2603" s="468">
        <v>2.5655806746120106E-2</v>
      </c>
      <c r="AH2603" s="218">
        <v>3010.4185980775605</v>
      </c>
      <c r="AI2603" s="470">
        <v>0.9940644353964081</v>
      </c>
      <c r="AJ2603" s="471">
        <v>2.5957175197186794E-2</v>
      </c>
      <c r="AK2603" s="218">
        <v>3010.4185980775605</v>
      </c>
      <c r="AL2603" s="470">
        <v>0.9940644353964081</v>
      </c>
      <c r="AM2603" s="471">
        <v>2.5957175197186794E-2</v>
      </c>
      <c r="AN2603" s="477">
        <v>3014.0136435165655</v>
      </c>
      <c r="AO2603" s="473">
        <v>0.99525154831712648</v>
      </c>
      <c r="AP2603" s="474">
        <v>2.5981795430926973E-2</v>
      </c>
      <c r="AQ2603" s="352"/>
      <c r="AR2603" s="352"/>
      <c r="AS2603" s="352"/>
      <c r="AT2603" s="352"/>
      <c r="AU2603" s="352"/>
      <c r="AV2603" s="352"/>
      <c r="AW2603" s="352" t="s">
        <v>254</v>
      </c>
    </row>
    <row r="2604" spans="2:49" x14ac:dyDescent="0.2">
      <c r="B2604" s="460" t="s">
        <v>3126</v>
      </c>
      <c r="C2604" s="460">
        <v>8000</v>
      </c>
      <c r="D2604" s="460" t="s">
        <v>2307</v>
      </c>
      <c r="E2604" s="460" t="s">
        <v>2299</v>
      </c>
      <c r="F2604" s="460">
        <v>2</v>
      </c>
      <c r="G2604" s="460">
        <v>2</v>
      </c>
      <c r="H2604" s="461" t="s">
        <v>712</v>
      </c>
      <c r="I2604" s="461" t="s">
        <v>713</v>
      </c>
      <c r="J2604" s="461" t="s">
        <v>712</v>
      </c>
      <c r="K2604" s="594"/>
      <c r="L2604" s="594"/>
      <c r="M2604" s="352">
        <v>8000</v>
      </c>
      <c r="N2604" s="352" t="s">
        <v>760</v>
      </c>
      <c r="O2604" s="460">
        <v>2322</v>
      </c>
      <c r="P2604" s="460" t="s">
        <v>791</v>
      </c>
      <c r="Q2604" s="460" t="s">
        <v>2280</v>
      </c>
      <c r="R2604" s="460">
        <v>2322</v>
      </c>
      <c r="S2604" s="460" t="s">
        <v>2296</v>
      </c>
      <c r="T2604" s="462">
        <v>0.55517361979372948</v>
      </c>
      <c r="U2604" s="460" t="s">
        <v>2299</v>
      </c>
      <c r="V2604" s="475">
        <v>0</v>
      </c>
      <c r="W2604" s="463" t="s">
        <v>713</v>
      </c>
      <c r="X2604" s="463" t="s">
        <v>713</v>
      </c>
      <c r="Y2604" s="463" t="s">
        <v>713</v>
      </c>
      <c r="Z2604" s="463"/>
      <c r="AA2604" s="463"/>
      <c r="AB2604" s="464">
        <v>1865.5203301271742</v>
      </c>
      <c r="AC2604" s="465">
        <v>0.99261432088492885</v>
      </c>
      <c r="AD2604" s="465">
        <v>2.1578012007152213E-2</v>
      </c>
      <c r="AE2604" s="476">
        <v>1875.9308195673309</v>
      </c>
      <c r="AF2604" s="467">
        <v>0.99815358022123224</v>
      </c>
      <c r="AG2604" s="468">
        <v>2.1608482944192774E-2</v>
      </c>
      <c r="AH2604" s="218">
        <v>1873.2078511304626</v>
      </c>
      <c r="AI2604" s="470">
        <v>0.99670473111350433</v>
      </c>
      <c r="AJ2604" s="471">
        <v>2.1946318233160754E-2</v>
      </c>
      <c r="AK2604" s="218">
        <v>1873.2078511304626</v>
      </c>
      <c r="AL2604" s="470">
        <v>0.99670473111350433</v>
      </c>
      <c r="AM2604" s="471">
        <v>2.1946318233160754E-2</v>
      </c>
      <c r="AN2604" s="477">
        <v>1874.4464774471801</v>
      </c>
      <c r="AO2604" s="473">
        <v>0.99736378489080346</v>
      </c>
      <c r="AP2604" s="474">
        <v>2.1958057638007168E-2</v>
      </c>
      <c r="AQ2604" s="352"/>
      <c r="AR2604" s="352"/>
      <c r="AS2604" s="352"/>
      <c r="AT2604" s="352"/>
      <c r="AU2604" s="352"/>
      <c r="AV2604" s="352"/>
      <c r="AW2604" s="352" t="s">
        <v>254</v>
      </c>
    </row>
    <row r="2605" spans="2:49" x14ac:dyDescent="0.2">
      <c r="B2605" s="460" t="s">
        <v>3127</v>
      </c>
      <c r="C2605" s="460">
        <v>8000</v>
      </c>
      <c r="D2605" s="460" t="s">
        <v>2308</v>
      </c>
      <c r="E2605" s="460" t="s">
        <v>2302</v>
      </c>
      <c r="F2605" s="460">
        <v>3</v>
      </c>
      <c r="G2605" s="460">
        <v>2</v>
      </c>
      <c r="H2605" s="461" t="s">
        <v>712</v>
      </c>
      <c r="I2605" s="461" t="s">
        <v>713</v>
      </c>
      <c r="J2605" s="461" t="s">
        <v>712</v>
      </c>
      <c r="K2605" s="594"/>
      <c r="L2605" s="594"/>
      <c r="M2605" s="352">
        <v>8000</v>
      </c>
      <c r="N2605" s="352" t="s">
        <v>760</v>
      </c>
      <c r="O2605" s="460">
        <v>2322</v>
      </c>
      <c r="P2605" s="460" t="s">
        <v>791</v>
      </c>
      <c r="Q2605" s="460" t="s">
        <v>2280</v>
      </c>
      <c r="R2605" s="460">
        <v>2322</v>
      </c>
      <c r="S2605" s="460" t="s">
        <v>2296</v>
      </c>
      <c r="T2605" s="462">
        <v>0.28481449642268464</v>
      </c>
      <c r="U2605" s="460" t="s">
        <v>2302</v>
      </c>
      <c r="V2605" s="475">
        <v>0</v>
      </c>
      <c r="W2605" s="463" t="s">
        <v>713</v>
      </c>
      <c r="X2605" s="463" t="s">
        <v>713</v>
      </c>
      <c r="Y2605" s="463" t="s">
        <v>713</v>
      </c>
      <c r="Z2605" s="463"/>
      <c r="AA2605" s="463"/>
      <c r="AB2605" s="464">
        <v>666.02557594721532</v>
      </c>
      <c r="AC2605" s="465">
        <v>0.99676851378159514</v>
      </c>
      <c r="AD2605" s="465">
        <v>1.93730196729433E-2</v>
      </c>
      <c r="AE2605" s="476">
        <v>667.64499844101977</v>
      </c>
      <c r="AF2605" s="467">
        <v>0.99919212844539873</v>
      </c>
      <c r="AG2605" s="468">
        <v>1.9387126695760315E-2</v>
      </c>
      <c r="AH2605" s="218">
        <v>667.05521624257983</v>
      </c>
      <c r="AI2605" s="470">
        <v>0.9983094651564437</v>
      </c>
      <c r="AJ2605" s="471">
        <v>1.9659834452716844E-2</v>
      </c>
      <c r="AK2605" s="218">
        <v>667.05521624257983</v>
      </c>
      <c r="AL2605" s="470">
        <v>0.9983094651564437</v>
      </c>
      <c r="AM2605" s="471">
        <v>1.9659834452716844E-2</v>
      </c>
      <c r="AN2605" s="477">
        <v>667.28113418185478</v>
      </c>
      <c r="AO2605" s="473">
        <v>0.99864757212515498</v>
      </c>
      <c r="AP2605" s="474">
        <v>1.9683593943578156E-2</v>
      </c>
      <c r="AQ2605" s="352"/>
      <c r="AR2605" s="352"/>
      <c r="AS2605" s="352"/>
      <c r="AT2605" s="352"/>
      <c r="AU2605" s="352"/>
      <c r="AV2605" s="352"/>
      <c r="AW2605" s="352" t="s">
        <v>254</v>
      </c>
    </row>
    <row r="2606" spans="2:49" x14ac:dyDescent="0.2">
      <c r="B2606" s="460" t="s">
        <v>3128</v>
      </c>
      <c r="C2606" s="460">
        <v>8000</v>
      </c>
      <c r="D2606" s="460" t="s">
        <v>2309</v>
      </c>
      <c r="E2606" s="460" t="s">
        <v>2305</v>
      </c>
      <c r="F2606" s="460">
        <v>4</v>
      </c>
      <c r="G2606" s="460">
        <v>2</v>
      </c>
      <c r="H2606" s="461" t="s">
        <v>712</v>
      </c>
      <c r="I2606" s="461" t="s">
        <v>713</v>
      </c>
      <c r="J2606" s="461" t="s">
        <v>712</v>
      </c>
      <c r="K2606" s="594"/>
      <c r="L2606" s="594"/>
      <c r="M2606" s="352">
        <v>8000</v>
      </c>
      <c r="N2606" s="352" t="s">
        <v>760</v>
      </c>
      <c r="O2606" s="460">
        <v>2322</v>
      </c>
      <c r="P2606" s="460" t="s">
        <v>791</v>
      </c>
      <c r="Q2606" s="460" t="s">
        <v>2280</v>
      </c>
      <c r="R2606" s="460">
        <v>2322</v>
      </c>
      <c r="S2606" s="460" t="s">
        <v>2305</v>
      </c>
      <c r="T2606" s="462">
        <v>1</v>
      </c>
      <c r="U2606" s="460" t="s">
        <v>2305</v>
      </c>
      <c r="V2606" s="475">
        <v>0</v>
      </c>
      <c r="W2606" s="463" t="s">
        <v>713</v>
      </c>
      <c r="X2606" s="463" t="s">
        <v>713</v>
      </c>
      <c r="Y2606" s="463" t="s">
        <v>713</v>
      </c>
      <c r="Z2606" s="463"/>
      <c r="AA2606" s="463"/>
      <c r="AB2606" s="464">
        <v>758.80938795254849</v>
      </c>
      <c r="AC2606" s="465">
        <v>0.99993009493927698</v>
      </c>
      <c r="AD2606" s="465">
        <v>1.9379917721697101E-2</v>
      </c>
      <c r="AE2606" s="476">
        <v>758.84917419606472</v>
      </c>
      <c r="AF2606" s="467">
        <v>0.99998252373481922</v>
      </c>
      <c r="AG2606" s="468">
        <v>1.9380312188147546E-2</v>
      </c>
      <c r="AH2606" s="218">
        <v>758.84917419606472</v>
      </c>
      <c r="AI2606" s="470">
        <v>0.99998252373481922</v>
      </c>
      <c r="AJ2606" s="471">
        <v>1.9380335648596276E-2</v>
      </c>
      <c r="AK2606" s="218">
        <v>758.84917419606472</v>
      </c>
      <c r="AL2606" s="470">
        <v>0.99998252373481922</v>
      </c>
      <c r="AM2606" s="471">
        <v>1.9380335648596276E-2</v>
      </c>
      <c r="AN2606" s="477">
        <v>758.85182661229919</v>
      </c>
      <c r="AO2606" s="473">
        <v>0.99998601898785544</v>
      </c>
      <c r="AP2606" s="474">
        <v>1.9380427095044658E-2</v>
      </c>
      <c r="AQ2606" s="352"/>
      <c r="AR2606" s="352"/>
      <c r="AS2606" s="352"/>
      <c r="AT2606" s="352"/>
      <c r="AU2606" s="352"/>
      <c r="AV2606" s="352"/>
      <c r="AW2606" s="352" t="s">
        <v>254</v>
      </c>
    </row>
    <row r="2607" spans="2:49" x14ac:dyDescent="0.2">
      <c r="B2607" s="460" t="s">
        <v>3125</v>
      </c>
      <c r="C2607" s="460">
        <v>8000</v>
      </c>
      <c r="D2607" s="460" t="s">
        <v>2310</v>
      </c>
      <c r="E2607" s="460" t="s">
        <v>2296</v>
      </c>
      <c r="F2607" s="460">
        <v>1</v>
      </c>
      <c r="G2607" s="460">
        <v>2</v>
      </c>
      <c r="H2607" s="461" t="s">
        <v>746</v>
      </c>
      <c r="I2607" s="461" t="s">
        <v>762</v>
      </c>
      <c r="J2607" s="461" t="s">
        <v>700</v>
      </c>
      <c r="K2607" s="594"/>
      <c r="L2607" s="594"/>
      <c r="M2607" s="352">
        <v>8000</v>
      </c>
      <c r="N2607" s="352" t="s">
        <v>760</v>
      </c>
      <c r="O2607" s="460">
        <v>2322</v>
      </c>
      <c r="P2607" s="460" t="s">
        <v>791</v>
      </c>
      <c r="Q2607" s="460" t="s">
        <v>2553</v>
      </c>
      <c r="R2607" s="460">
        <v>2322</v>
      </c>
      <c r="S2607" s="460" t="s">
        <v>2296</v>
      </c>
      <c r="T2607" s="462">
        <v>1</v>
      </c>
      <c r="U2607" s="460" t="s">
        <v>2296</v>
      </c>
      <c r="V2607" s="475">
        <v>0</v>
      </c>
      <c r="W2607" s="463" t="s">
        <v>2268</v>
      </c>
      <c r="X2607" s="463" t="s">
        <v>2268</v>
      </c>
      <c r="Y2607" s="463" t="s">
        <v>2554</v>
      </c>
      <c r="Z2607" s="463"/>
      <c r="AA2607" s="463"/>
      <c r="AB2607" s="464">
        <v>0</v>
      </c>
      <c r="AC2607" s="465">
        <v>0</v>
      </c>
      <c r="AD2607" s="465">
        <v>0</v>
      </c>
      <c r="AE2607" s="476">
        <v>0</v>
      </c>
      <c r="AF2607" s="467">
        <v>0</v>
      </c>
      <c r="AG2607" s="468">
        <v>0</v>
      </c>
      <c r="AH2607" s="218">
        <v>0</v>
      </c>
      <c r="AI2607" s="470">
        <v>0</v>
      </c>
      <c r="AJ2607" s="471">
        <v>0</v>
      </c>
      <c r="AK2607" s="218">
        <v>0</v>
      </c>
      <c r="AL2607" s="470">
        <v>0</v>
      </c>
      <c r="AM2607" s="471">
        <v>0</v>
      </c>
      <c r="AN2607" s="477">
        <v>7.1900908780096371</v>
      </c>
      <c r="AO2607" s="473">
        <v>2.3742258414367421E-3</v>
      </c>
      <c r="AP2607" s="474">
        <v>5.3411933375412818E-4</v>
      </c>
      <c r="AQ2607" s="352"/>
      <c r="AR2607" s="352"/>
      <c r="AS2607" s="352"/>
      <c r="AT2607" s="352"/>
      <c r="AU2607" s="352"/>
      <c r="AV2607" s="352"/>
      <c r="AW2607" s="352" t="s">
        <v>254</v>
      </c>
    </row>
    <row r="2608" spans="2:49" x14ac:dyDescent="0.2">
      <c r="B2608" s="460" t="s">
        <v>3126</v>
      </c>
      <c r="C2608" s="460">
        <v>8000</v>
      </c>
      <c r="D2608" s="460" t="s">
        <v>2311</v>
      </c>
      <c r="E2608" s="460" t="s">
        <v>2299</v>
      </c>
      <c r="F2608" s="460">
        <v>2</v>
      </c>
      <c r="G2608" s="460">
        <v>2</v>
      </c>
      <c r="H2608" s="461" t="s">
        <v>746</v>
      </c>
      <c r="I2608" s="461" t="s">
        <v>762</v>
      </c>
      <c r="J2608" s="461" t="s">
        <v>700</v>
      </c>
      <c r="K2608" s="594"/>
      <c r="L2608" s="594"/>
      <c r="M2608" s="352">
        <v>8000</v>
      </c>
      <c r="N2608" s="352" t="s">
        <v>760</v>
      </c>
      <c r="O2608" s="460">
        <v>2322</v>
      </c>
      <c r="P2608" s="460" t="s">
        <v>791</v>
      </c>
      <c r="Q2608" s="460" t="s">
        <v>2553</v>
      </c>
      <c r="R2608" s="460">
        <v>2322</v>
      </c>
      <c r="S2608" s="460" t="s">
        <v>2296</v>
      </c>
      <c r="T2608" s="462">
        <v>0.55517361979372948</v>
      </c>
      <c r="U2608" s="460" t="s">
        <v>2299</v>
      </c>
      <c r="V2608" s="475">
        <v>0</v>
      </c>
      <c r="W2608" s="463" t="s">
        <v>2268</v>
      </c>
      <c r="X2608" s="463" t="s">
        <v>2268</v>
      </c>
      <c r="Y2608" s="463" t="s">
        <v>2554</v>
      </c>
      <c r="Z2608" s="463"/>
      <c r="AA2608" s="463"/>
      <c r="AB2608" s="464">
        <v>0</v>
      </c>
      <c r="AC2608" s="465">
        <v>0</v>
      </c>
      <c r="AD2608" s="465">
        <v>0</v>
      </c>
      <c r="AE2608" s="476">
        <v>0</v>
      </c>
      <c r="AF2608" s="467">
        <v>0</v>
      </c>
      <c r="AG2608" s="468">
        <v>0</v>
      </c>
      <c r="AH2608" s="218">
        <v>0</v>
      </c>
      <c r="AI2608" s="470">
        <v>0</v>
      </c>
      <c r="AJ2608" s="471">
        <v>0</v>
      </c>
      <c r="AK2608" s="218">
        <v>0</v>
      </c>
      <c r="AL2608" s="470">
        <v>0</v>
      </c>
      <c r="AM2608" s="471">
        <v>0</v>
      </c>
      <c r="AN2608" s="477">
        <v>2.4772526334347624</v>
      </c>
      <c r="AO2608" s="473">
        <v>1.3181075545982493E-3</v>
      </c>
      <c r="AP2608" s="474">
        <v>7.8483959328602877E-4</v>
      </c>
      <c r="AQ2608" s="352"/>
      <c r="AR2608" s="352"/>
      <c r="AS2608" s="352"/>
      <c r="AT2608" s="352"/>
      <c r="AU2608" s="352"/>
      <c r="AV2608" s="352"/>
      <c r="AW2608" s="352" t="s">
        <v>254</v>
      </c>
    </row>
    <row r="2609" spans="2:49" x14ac:dyDescent="0.2">
      <c r="B2609" s="460" t="s">
        <v>3127</v>
      </c>
      <c r="C2609" s="460">
        <v>8000</v>
      </c>
      <c r="D2609" s="460" t="s">
        <v>2312</v>
      </c>
      <c r="E2609" s="460" t="s">
        <v>2302</v>
      </c>
      <c r="F2609" s="460">
        <v>3</v>
      </c>
      <c r="G2609" s="460">
        <v>2</v>
      </c>
      <c r="H2609" s="461" t="s">
        <v>746</v>
      </c>
      <c r="I2609" s="461" t="s">
        <v>762</v>
      </c>
      <c r="J2609" s="461" t="s">
        <v>700</v>
      </c>
      <c r="K2609" s="594"/>
      <c r="L2609" s="594"/>
      <c r="M2609" s="352">
        <v>8000</v>
      </c>
      <c r="N2609" s="352" t="s">
        <v>760</v>
      </c>
      <c r="O2609" s="460">
        <v>2322</v>
      </c>
      <c r="P2609" s="460" t="s">
        <v>791</v>
      </c>
      <c r="Q2609" s="460" t="s">
        <v>2553</v>
      </c>
      <c r="R2609" s="460">
        <v>2322</v>
      </c>
      <c r="S2609" s="460" t="s">
        <v>2296</v>
      </c>
      <c r="T2609" s="462">
        <v>0.28481449642268464</v>
      </c>
      <c r="U2609" s="460" t="s">
        <v>2302</v>
      </c>
      <c r="V2609" s="475">
        <v>0</v>
      </c>
      <c r="W2609" s="463" t="s">
        <v>2268</v>
      </c>
      <c r="X2609" s="463" t="s">
        <v>2268</v>
      </c>
      <c r="Y2609" s="463" t="s">
        <v>2554</v>
      </c>
      <c r="Z2609" s="463"/>
      <c r="AA2609" s="463"/>
      <c r="AB2609" s="464">
        <v>0</v>
      </c>
      <c r="AC2609" s="465">
        <v>0</v>
      </c>
      <c r="AD2609" s="465">
        <v>0</v>
      </c>
      <c r="AE2609" s="476">
        <v>0</v>
      </c>
      <c r="AF2609" s="467">
        <v>0</v>
      </c>
      <c r="AG2609" s="468">
        <v>0</v>
      </c>
      <c r="AH2609" s="218">
        <v>0</v>
      </c>
      <c r="AI2609" s="470">
        <v>0</v>
      </c>
      <c r="AJ2609" s="471">
        <v>0</v>
      </c>
      <c r="AK2609" s="218">
        <v>0</v>
      </c>
      <c r="AL2609" s="470">
        <v>0</v>
      </c>
      <c r="AM2609" s="471">
        <v>0</v>
      </c>
      <c r="AN2609" s="477">
        <v>0.45183587854988977</v>
      </c>
      <c r="AO2609" s="473">
        <v>6.7621393742253028E-4</v>
      </c>
      <c r="AP2609" s="474">
        <v>5.9526031529186045E-4</v>
      </c>
      <c r="AQ2609" s="352"/>
      <c r="AR2609" s="352"/>
      <c r="AS2609" s="352"/>
      <c r="AT2609" s="352"/>
      <c r="AU2609" s="352"/>
      <c r="AV2609" s="352"/>
      <c r="AW2609" s="352" t="s">
        <v>254</v>
      </c>
    </row>
    <row r="2610" spans="2:49" x14ac:dyDescent="0.2">
      <c r="B2610" s="460" t="s">
        <v>3128</v>
      </c>
      <c r="C2610" s="460">
        <v>8000</v>
      </c>
      <c r="D2610" s="460" t="s">
        <v>2313</v>
      </c>
      <c r="E2610" s="460" t="s">
        <v>2305</v>
      </c>
      <c r="F2610" s="460">
        <v>4</v>
      </c>
      <c r="G2610" s="460">
        <v>2</v>
      </c>
      <c r="H2610" s="461" t="s">
        <v>746</v>
      </c>
      <c r="I2610" s="461" t="s">
        <v>762</v>
      </c>
      <c r="J2610" s="461" t="s">
        <v>700</v>
      </c>
      <c r="K2610" s="594"/>
      <c r="L2610" s="594"/>
      <c r="M2610" s="352">
        <v>8000</v>
      </c>
      <c r="N2610" s="352" t="s">
        <v>760</v>
      </c>
      <c r="O2610" s="460">
        <v>2322</v>
      </c>
      <c r="P2610" s="460" t="s">
        <v>791</v>
      </c>
      <c r="Q2610" s="460" t="s">
        <v>2553</v>
      </c>
      <c r="R2610" s="460">
        <v>2322</v>
      </c>
      <c r="S2610" s="460" t="s">
        <v>2305</v>
      </c>
      <c r="T2610" s="462">
        <v>1</v>
      </c>
      <c r="U2610" s="460" t="s">
        <v>2305</v>
      </c>
      <c r="V2610" s="475">
        <v>0</v>
      </c>
      <c r="W2610" s="463" t="s">
        <v>2268</v>
      </c>
      <c r="X2610" s="463" t="s">
        <v>2268</v>
      </c>
      <c r="Y2610" s="463" t="s">
        <v>2554</v>
      </c>
      <c r="Z2610" s="463"/>
      <c r="AA2610" s="463"/>
      <c r="AB2610" s="464">
        <v>0</v>
      </c>
      <c r="AC2610" s="465">
        <v>0</v>
      </c>
      <c r="AD2610" s="465">
        <v>0</v>
      </c>
      <c r="AE2610" s="476">
        <v>0</v>
      </c>
      <c r="AF2610" s="467">
        <v>0</v>
      </c>
      <c r="AG2610" s="468">
        <v>0</v>
      </c>
      <c r="AH2610" s="218">
        <v>0</v>
      </c>
      <c r="AI2610" s="470">
        <v>0</v>
      </c>
      <c r="AJ2610" s="471">
        <v>0</v>
      </c>
      <c r="AK2610" s="218">
        <v>0</v>
      </c>
      <c r="AL2610" s="470">
        <v>0</v>
      </c>
      <c r="AM2610" s="471">
        <v>0</v>
      </c>
      <c r="AN2610" s="477">
        <v>5.3048324688393152E-3</v>
      </c>
      <c r="AO2610" s="473">
        <v>6.9905060723038471E-6</v>
      </c>
      <c r="AP2610" s="474">
        <v>5.1777559850909563E-4</v>
      </c>
      <c r="AQ2610" s="352"/>
      <c r="AR2610" s="352"/>
      <c r="AS2610" s="352"/>
      <c r="AT2610" s="352"/>
      <c r="AU2610" s="352"/>
      <c r="AV2610" s="352"/>
      <c r="AW2610" s="352" t="s">
        <v>254</v>
      </c>
    </row>
    <row r="2611" spans="2:49" x14ac:dyDescent="0.2">
      <c r="B2611" s="460" t="s">
        <v>3125</v>
      </c>
      <c r="C2611" s="460">
        <v>8000</v>
      </c>
      <c r="D2611" s="460" t="s">
        <v>2314</v>
      </c>
      <c r="E2611" s="460" t="s">
        <v>2296</v>
      </c>
      <c r="F2611" s="460">
        <v>1</v>
      </c>
      <c r="G2611" s="460">
        <v>2</v>
      </c>
      <c r="H2611" s="461" t="s">
        <v>748</v>
      </c>
      <c r="I2611" s="461" t="s">
        <v>765</v>
      </c>
      <c r="J2611" s="461" t="s">
        <v>700</v>
      </c>
      <c r="K2611" s="594"/>
      <c r="L2611" s="594"/>
      <c r="M2611" s="352">
        <v>8000</v>
      </c>
      <c r="N2611" s="352" t="s">
        <v>760</v>
      </c>
      <c r="O2611" s="460">
        <v>2322</v>
      </c>
      <c r="P2611" s="460" t="s">
        <v>791</v>
      </c>
      <c r="Q2611" s="460" t="s">
        <v>2553</v>
      </c>
      <c r="R2611" s="460">
        <v>2322</v>
      </c>
      <c r="S2611" s="460" t="s">
        <v>2296</v>
      </c>
      <c r="T2611" s="462">
        <v>1</v>
      </c>
      <c r="U2611" s="460" t="s">
        <v>2296</v>
      </c>
      <c r="V2611" s="475">
        <v>0</v>
      </c>
      <c r="W2611" s="463" t="s">
        <v>2268</v>
      </c>
      <c r="X2611" s="463" t="s">
        <v>2268</v>
      </c>
      <c r="Y2611" s="463" t="s">
        <v>2554</v>
      </c>
      <c r="Z2611" s="463"/>
      <c r="AA2611" s="463"/>
      <c r="AB2611" s="464">
        <v>0</v>
      </c>
      <c r="AC2611" s="465">
        <v>0</v>
      </c>
      <c r="AD2611" s="465">
        <v>0</v>
      </c>
      <c r="AE2611" s="476">
        <v>0</v>
      </c>
      <c r="AF2611" s="467">
        <v>0</v>
      </c>
      <c r="AG2611" s="468">
        <v>0</v>
      </c>
      <c r="AH2611" s="218">
        <v>0</v>
      </c>
      <c r="AI2611" s="470">
        <v>0</v>
      </c>
      <c r="AJ2611" s="471">
        <v>0</v>
      </c>
      <c r="AK2611" s="218">
        <v>0</v>
      </c>
      <c r="AL2611" s="470">
        <v>0</v>
      </c>
      <c r="AM2611" s="471">
        <v>0</v>
      </c>
      <c r="AN2611" s="477">
        <v>7.1900908780096371</v>
      </c>
      <c r="AO2611" s="473">
        <v>2.3742258414367421E-3</v>
      </c>
      <c r="AP2611" s="474">
        <v>2.196474276507807E-3</v>
      </c>
      <c r="AQ2611" s="352"/>
      <c r="AR2611" s="352"/>
      <c r="AS2611" s="352"/>
      <c r="AT2611" s="352"/>
      <c r="AU2611" s="352"/>
      <c r="AV2611" s="352"/>
      <c r="AW2611" s="352" t="s">
        <v>254</v>
      </c>
    </row>
    <row r="2612" spans="2:49" x14ac:dyDescent="0.2">
      <c r="B2612" s="460" t="s">
        <v>3126</v>
      </c>
      <c r="C2612" s="460">
        <v>8000</v>
      </c>
      <c r="D2612" s="460" t="s">
        <v>2315</v>
      </c>
      <c r="E2612" s="460" t="s">
        <v>2299</v>
      </c>
      <c r="F2612" s="460">
        <v>2</v>
      </c>
      <c r="G2612" s="460">
        <v>2</v>
      </c>
      <c r="H2612" s="461" t="s">
        <v>748</v>
      </c>
      <c r="I2612" s="461" t="s">
        <v>765</v>
      </c>
      <c r="J2612" s="461" t="s">
        <v>700</v>
      </c>
      <c r="K2612" s="594"/>
      <c r="L2612" s="594"/>
      <c r="M2612" s="352">
        <v>8000</v>
      </c>
      <c r="N2612" s="352" t="s">
        <v>760</v>
      </c>
      <c r="O2612" s="460">
        <v>2322</v>
      </c>
      <c r="P2612" s="460" t="s">
        <v>791</v>
      </c>
      <c r="Q2612" s="460" t="s">
        <v>2553</v>
      </c>
      <c r="R2612" s="460">
        <v>2322</v>
      </c>
      <c r="S2612" s="460" t="s">
        <v>2296</v>
      </c>
      <c r="T2612" s="462">
        <v>0.55517361979372948</v>
      </c>
      <c r="U2612" s="460" t="s">
        <v>2299</v>
      </c>
      <c r="V2612" s="475">
        <v>0</v>
      </c>
      <c r="W2612" s="463" t="s">
        <v>2268</v>
      </c>
      <c r="X2612" s="463" t="s">
        <v>2268</v>
      </c>
      <c r="Y2612" s="463" t="s">
        <v>2554</v>
      </c>
      <c r="Z2612" s="463"/>
      <c r="AA2612" s="463"/>
      <c r="AB2612" s="464">
        <v>0</v>
      </c>
      <c r="AC2612" s="465">
        <v>0</v>
      </c>
      <c r="AD2612" s="465">
        <v>0</v>
      </c>
      <c r="AE2612" s="476">
        <v>0</v>
      </c>
      <c r="AF2612" s="467">
        <v>0</v>
      </c>
      <c r="AG2612" s="468">
        <v>0</v>
      </c>
      <c r="AH2612" s="218">
        <v>0</v>
      </c>
      <c r="AI2612" s="470">
        <v>0</v>
      </c>
      <c r="AJ2612" s="471">
        <v>0</v>
      </c>
      <c r="AK2612" s="218">
        <v>0</v>
      </c>
      <c r="AL2612" s="470">
        <v>0</v>
      </c>
      <c r="AM2612" s="471">
        <v>0</v>
      </c>
      <c r="AN2612" s="477">
        <v>2.4772526334347624</v>
      </c>
      <c r="AO2612" s="473">
        <v>1.3181075545982493E-3</v>
      </c>
      <c r="AP2612" s="474">
        <v>2.2951302373749476E-3</v>
      </c>
      <c r="AQ2612" s="352"/>
      <c r="AR2612" s="352"/>
      <c r="AS2612" s="352"/>
      <c r="AT2612" s="352"/>
      <c r="AU2612" s="352"/>
      <c r="AV2612" s="352"/>
      <c r="AW2612" s="352" t="s">
        <v>254</v>
      </c>
    </row>
    <row r="2613" spans="2:49" x14ac:dyDescent="0.2">
      <c r="B2613" s="460" t="s">
        <v>3127</v>
      </c>
      <c r="C2613" s="460">
        <v>8000</v>
      </c>
      <c r="D2613" s="460" t="s">
        <v>2316</v>
      </c>
      <c r="E2613" s="460" t="s">
        <v>2302</v>
      </c>
      <c r="F2613" s="460">
        <v>3</v>
      </c>
      <c r="G2613" s="460">
        <v>2</v>
      </c>
      <c r="H2613" s="461" t="s">
        <v>748</v>
      </c>
      <c r="I2613" s="461" t="s">
        <v>765</v>
      </c>
      <c r="J2613" s="461" t="s">
        <v>700</v>
      </c>
      <c r="K2613" s="594"/>
      <c r="L2613" s="594"/>
      <c r="M2613" s="352">
        <v>8000</v>
      </c>
      <c r="N2613" s="352" t="s">
        <v>760</v>
      </c>
      <c r="O2613" s="460">
        <v>2322</v>
      </c>
      <c r="P2613" s="460" t="s">
        <v>791</v>
      </c>
      <c r="Q2613" s="460" t="s">
        <v>2553</v>
      </c>
      <c r="R2613" s="460">
        <v>2322</v>
      </c>
      <c r="S2613" s="460" t="s">
        <v>2296</v>
      </c>
      <c r="T2613" s="462">
        <v>0.28481449642268464</v>
      </c>
      <c r="U2613" s="460" t="s">
        <v>2302</v>
      </c>
      <c r="V2613" s="475">
        <v>0</v>
      </c>
      <c r="W2613" s="463" t="s">
        <v>2268</v>
      </c>
      <c r="X2613" s="463" t="s">
        <v>2268</v>
      </c>
      <c r="Y2613" s="463" t="s">
        <v>2554</v>
      </c>
      <c r="Z2613" s="463"/>
      <c r="AA2613" s="463"/>
      <c r="AB2613" s="464">
        <v>0</v>
      </c>
      <c r="AC2613" s="465">
        <v>0</v>
      </c>
      <c r="AD2613" s="465">
        <v>0</v>
      </c>
      <c r="AE2613" s="476">
        <v>0</v>
      </c>
      <c r="AF2613" s="467">
        <v>0</v>
      </c>
      <c r="AG2613" s="468">
        <v>0</v>
      </c>
      <c r="AH2613" s="218">
        <v>0</v>
      </c>
      <c r="AI2613" s="470">
        <v>0</v>
      </c>
      <c r="AJ2613" s="471">
        <v>0</v>
      </c>
      <c r="AK2613" s="218">
        <v>0</v>
      </c>
      <c r="AL2613" s="470">
        <v>0</v>
      </c>
      <c r="AM2613" s="471">
        <v>0</v>
      </c>
      <c r="AN2613" s="477">
        <v>0.45183587854988977</v>
      </c>
      <c r="AO2613" s="473">
        <v>6.7621393742253028E-4</v>
      </c>
      <c r="AP2613" s="474">
        <v>1.9333757208085066E-3</v>
      </c>
      <c r="AQ2613" s="352"/>
      <c r="AR2613" s="352"/>
      <c r="AS2613" s="352"/>
      <c r="AT2613" s="352"/>
      <c r="AU2613" s="352"/>
      <c r="AV2613" s="352"/>
      <c r="AW2613" s="352" t="s">
        <v>254</v>
      </c>
    </row>
    <row r="2614" spans="2:49" x14ac:dyDescent="0.2">
      <c r="B2614" s="460" t="s">
        <v>3128</v>
      </c>
      <c r="C2614" s="460">
        <v>8000</v>
      </c>
      <c r="D2614" s="460" t="s">
        <v>2317</v>
      </c>
      <c r="E2614" s="460" t="s">
        <v>2305</v>
      </c>
      <c r="F2614" s="460">
        <v>4</v>
      </c>
      <c r="G2614" s="460">
        <v>2</v>
      </c>
      <c r="H2614" s="461" t="s">
        <v>748</v>
      </c>
      <c r="I2614" s="461" t="s">
        <v>765</v>
      </c>
      <c r="J2614" s="461" t="s">
        <v>700</v>
      </c>
      <c r="K2614" s="594"/>
      <c r="L2614" s="594"/>
      <c r="M2614" s="352">
        <v>8000</v>
      </c>
      <c r="N2614" s="352" t="s">
        <v>760</v>
      </c>
      <c r="O2614" s="460">
        <v>2322</v>
      </c>
      <c r="P2614" s="460" t="s">
        <v>791</v>
      </c>
      <c r="Q2614" s="460" t="s">
        <v>2553</v>
      </c>
      <c r="R2614" s="460">
        <v>2322</v>
      </c>
      <c r="S2614" s="460" t="s">
        <v>2305</v>
      </c>
      <c r="T2614" s="462">
        <v>1</v>
      </c>
      <c r="U2614" s="460" t="s">
        <v>2305</v>
      </c>
      <c r="V2614" s="475">
        <v>0</v>
      </c>
      <c r="W2614" s="463" t="s">
        <v>2268</v>
      </c>
      <c r="X2614" s="463" t="s">
        <v>2268</v>
      </c>
      <c r="Y2614" s="463" t="s">
        <v>2554</v>
      </c>
      <c r="Z2614" s="463"/>
      <c r="AA2614" s="463"/>
      <c r="AB2614" s="464">
        <v>0</v>
      </c>
      <c r="AC2614" s="465">
        <v>0</v>
      </c>
      <c r="AD2614" s="465">
        <v>0</v>
      </c>
      <c r="AE2614" s="476">
        <v>0</v>
      </c>
      <c r="AF2614" s="467">
        <v>0</v>
      </c>
      <c r="AG2614" s="468">
        <v>0</v>
      </c>
      <c r="AH2614" s="218">
        <v>0</v>
      </c>
      <c r="AI2614" s="470">
        <v>0</v>
      </c>
      <c r="AJ2614" s="471">
        <v>0</v>
      </c>
      <c r="AK2614" s="218">
        <v>0</v>
      </c>
      <c r="AL2614" s="470">
        <v>0</v>
      </c>
      <c r="AM2614" s="471">
        <v>0</v>
      </c>
      <c r="AN2614" s="477">
        <v>5.3048324688393152E-3</v>
      </c>
      <c r="AO2614" s="473">
        <v>6.9905060723038471E-6</v>
      </c>
      <c r="AP2614" s="474">
        <v>4.3324299215132915E-3</v>
      </c>
      <c r="AQ2614" s="352"/>
      <c r="AR2614" s="352"/>
      <c r="AS2614" s="352"/>
      <c r="AT2614" s="352"/>
      <c r="AU2614" s="352"/>
      <c r="AV2614" s="352"/>
      <c r="AW2614" s="352" t="s">
        <v>254</v>
      </c>
    </row>
    <row r="2615" spans="2:49" x14ac:dyDescent="0.2">
      <c r="B2615" s="460" t="s">
        <v>3129</v>
      </c>
      <c r="C2615" s="460">
        <v>8000</v>
      </c>
      <c r="D2615" s="460" t="s">
        <v>2323</v>
      </c>
      <c r="E2615" s="460" t="s">
        <v>2324</v>
      </c>
      <c r="F2615" s="460">
        <v>1</v>
      </c>
      <c r="G2615" s="460">
        <v>3</v>
      </c>
      <c r="H2615" s="461" t="s">
        <v>700</v>
      </c>
      <c r="I2615" s="461" t="s">
        <v>872</v>
      </c>
      <c r="J2615" s="461" t="s">
        <v>700</v>
      </c>
      <c r="K2615" s="594"/>
      <c r="L2615" s="594"/>
      <c r="M2615" s="352">
        <v>8000</v>
      </c>
      <c r="N2615" s="352" t="s">
        <v>760</v>
      </c>
      <c r="O2615" s="460">
        <v>2322</v>
      </c>
      <c r="P2615" s="460" t="s">
        <v>791</v>
      </c>
      <c r="Q2615" s="460" t="s">
        <v>2553</v>
      </c>
      <c r="R2615" s="460">
        <v>2322</v>
      </c>
      <c r="S2615" s="460" t="s">
        <v>2324</v>
      </c>
      <c r="T2615" s="462">
        <v>1</v>
      </c>
      <c r="U2615" s="460" t="s">
        <v>2324</v>
      </c>
      <c r="V2615" s="475">
        <v>0</v>
      </c>
      <c r="W2615" s="463" t="s">
        <v>2554</v>
      </c>
      <c r="X2615" s="463" t="s">
        <v>2554</v>
      </c>
      <c r="Y2615" s="463" t="s">
        <v>2268</v>
      </c>
      <c r="Z2615" s="463"/>
      <c r="AA2615" s="463"/>
      <c r="AB2615" s="464">
        <v>583.24819699872762</v>
      </c>
      <c r="AC2615" s="465">
        <v>4.6988614790375721E-2</v>
      </c>
      <c r="AD2615" s="465">
        <v>4.9999999999999975E-3</v>
      </c>
      <c r="AE2615" s="476">
        <v>145.81204924968191</v>
      </c>
      <c r="AF2615" s="467">
        <v>1.174715369759393E-2</v>
      </c>
      <c r="AG2615" s="468">
        <v>1.3389976321885519E-3</v>
      </c>
      <c r="AH2615" s="218">
        <v>145.81204924968191</v>
      </c>
      <c r="AI2615" s="470">
        <v>1.174715369759393E-2</v>
      </c>
      <c r="AJ2615" s="471">
        <v>1.2786561624502494E-3</v>
      </c>
      <c r="AK2615" s="218">
        <v>145.81204924968191</v>
      </c>
      <c r="AL2615" s="470">
        <v>1.174715369759393E-2</v>
      </c>
      <c r="AM2615" s="471">
        <v>1.2786561624502494E-3</v>
      </c>
      <c r="AN2615" s="477">
        <v>0</v>
      </c>
      <c r="AO2615" s="473">
        <v>0</v>
      </c>
      <c r="AP2615" s="474">
        <v>0</v>
      </c>
      <c r="AQ2615" s="352"/>
      <c r="AR2615" s="352"/>
      <c r="AS2615" s="352"/>
      <c r="AT2615" s="352"/>
      <c r="AU2615" s="352"/>
      <c r="AV2615" s="352"/>
      <c r="AW2615" s="352" t="s">
        <v>254</v>
      </c>
    </row>
    <row r="2616" spans="2:49" x14ac:dyDescent="0.2">
      <c r="B2616" s="460" t="s">
        <v>3130</v>
      </c>
      <c r="C2616" s="460">
        <v>8000</v>
      </c>
      <c r="D2616" s="460" t="s">
        <v>2326</v>
      </c>
      <c r="E2616" s="460" t="s">
        <v>2327</v>
      </c>
      <c r="F2616" s="460">
        <v>2</v>
      </c>
      <c r="G2616" s="460">
        <v>3</v>
      </c>
      <c r="H2616" s="461" t="s">
        <v>700</v>
      </c>
      <c r="I2616" s="461" t="s">
        <v>872</v>
      </c>
      <c r="J2616" s="461" t="s">
        <v>700</v>
      </c>
      <c r="K2616" s="594"/>
      <c r="L2616" s="594"/>
      <c r="M2616" s="352">
        <v>8000</v>
      </c>
      <c r="N2616" s="352" t="s">
        <v>760</v>
      </c>
      <c r="O2616" s="460">
        <v>2322</v>
      </c>
      <c r="P2616" s="460" t="s">
        <v>791</v>
      </c>
      <c r="Q2616" s="460" t="s">
        <v>2553</v>
      </c>
      <c r="R2616" s="460">
        <v>2322</v>
      </c>
      <c r="S2616" s="460" t="s">
        <v>2324</v>
      </c>
      <c r="T2616" s="462">
        <v>1</v>
      </c>
      <c r="U2616" s="460" t="s">
        <v>2327</v>
      </c>
      <c r="V2616" s="475">
        <v>0</v>
      </c>
      <c r="W2616" s="463" t="s">
        <v>2554</v>
      </c>
      <c r="X2616" s="463" t="s">
        <v>2554</v>
      </c>
      <c r="Y2616" s="463" t="s">
        <v>2268</v>
      </c>
      <c r="Z2616" s="463"/>
      <c r="AA2616" s="463"/>
      <c r="AB2616" s="464">
        <v>338.52820460488914</v>
      </c>
      <c r="AC2616" s="465">
        <v>4.9495367777480689E-2</v>
      </c>
      <c r="AD2616" s="465">
        <v>4.9999999999999992E-3</v>
      </c>
      <c r="AE2616" s="476">
        <v>84.632051151222285</v>
      </c>
      <c r="AF2616" s="467">
        <v>1.2373841944370172E-2</v>
      </c>
      <c r="AG2616" s="468">
        <v>1.3538885109177271E-3</v>
      </c>
      <c r="AH2616" s="218">
        <v>84.632051151222285</v>
      </c>
      <c r="AI2616" s="470">
        <v>1.2373841944370172E-2</v>
      </c>
      <c r="AJ2616" s="471">
        <v>1.1394174602195595E-3</v>
      </c>
      <c r="AK2616" s="218">
        <v>84.632051151222285</v>
      </c>
      <c r="AL2616" s="470">
        <v>1.2373841944370172E-2</v>
      </c>
      <c r="AM2616" s="471">
        <v>1.1394174602195595E-3</v>
      </c>
      <c r="AN2616" s="477">
        <v>0</v>
      </c>
      <c r="AO2616" s="473">
        <v>0</v>
      </c>
      <c r="AP2616" s="474">
        <v>0</v>
      </c>
      <c r="AQ2616" s="352"/>
      <c r="AR2616" s="352"/>
      <c r="AS2616" s="352"/>
      <c r="AT2616" s="352"/>
      <c r="AU2616" s="352"/>
      <c r="AV2616" s="352"/>
      <c r="AW2616" s="352" t="s">
        <v>254</v>
      </c>
    </row>
    <row r="2617" spans="2:49" x14ac:dyDescent="0.2">
      <c r="B2617" s="460" t="s">
        <v>3131</v>
      </c>
      <c r="C2617" s="460">
        <v>8000</v>
      </c>
      <c r="D2617" s="460" t="s">
        <v>2329</v>
      </c>
      <c r="E2617" s="460" t="s">
        <v>2330</v>
      </c>
      <c r="F2617" s="460">
        <v>3</v>
      </c>
      <c r="G2617" s="460">
        <v>3</v>
      </c>
      <c r="H2617" s="461" t="s">
        <v>700</v>
      </c>
      <c r="I2617" s="461" t="s">
        <v>872</v>
      </c>
      <c r="J2617" s="461" t="s">
        <v>700</v>
      </c>
      <c r="K2617" s="594"/>
      <c r="L2617" s="594"/>
      <c r="M2617" s="352">
        <v>8000</v>
      </c>
      <c r="N2617" s="352" t="s">
        <v>760</v>
      </c>
      <c r="O2617" s="460">
        <v>2322</v>
      </c>
      <c r="P2617" s="460" t="s">
        <v>791</v>
      </c>
      <c r="Q2617" s="460" t="s">
        <v>2553</v>
      </c>
      <c r="R2617" s="460">
        <v>2322</v>
      </c>
      <c r="S2617" s="460" t="s">
        <v>2324</v>
      </c>
      <c r="T2617" s="462">
        <v>1</v>
      </c>
      <c r="U2617" s="460" t="s">
        <v>2330</v>
      </c>
      <c r="V2617" s="475">
        <v>0</v>
      </c>
      <c r="W2617" s="463" t="s">
        <v>2554</v>
      </c>
      <c r="X2617" s="463" t="s">
        <v>2554</v>
      </c>
      <c r="Y2617" s="463" t="s">
        <v>2268</v>
      </c>
      <c r="Z2617" s="463"/>
      <c r="AA2617" s="463"/>
      <c r="AB2617" s="464">
        <v>132.41100837308576</v>
      </c>
      <c r="AC2617" s="465">
        <v>6.2569484733595068E-2</v>
      </c>
      <c r="AD2617" s="465">
        <v>4.9999999999999992E-3</v>
      </c>
      <c r="AE2617" s="476">
        <v>33.102752093271441</v>
      </c>
      <c r="AF2617" s="467">
        <v>1.5642371183398767E-2</v>
      </c>
      <c r="AG2617" s="468">
        <v>1.3397035302149763E-3</v>
      </c>
      <c r="AH2617" s="218">
        <v>33.102752093271441</v>
      </c>
      <c r="AI2617" s="470">
        <v>1.5642371183398767E-2</v>
      </c>
      <c r="AJ2617" s="471">
        <v>1.1662876505617189E-3</v>
      </c>
      <c r="AK2617" s="218">
        <v>33.102752093271441</v>
      </c>
      <c r="AL2617" s="470">
        <v>1.5642371183398767E-2</v>
      </c>
      <c r="AM2617" s="471">
        <v>1.1662876505617189E-3</v>
      </c>
      <c r="AN2617" s="477">
        <v>0</v>
      </c>
      <c r="AO2617" s="473">
        <v>0</v>
      </c>
      <c r="AP2617" s="474">
        <v>0</v>
      </c>
      <c r="AQ2617" s="352"/>
      <c r="AR2617" s="352"/>
      <c r="AS2617" s="352"/>
      <c r="AT2617" s="352"/>
      <c r="AU2617" s="352"/>
      <c r="AV2617" s="352"/>
      <c r="AW2617" s="352" t="s">
        <v>254</v>
      </c>
    </row>
    <row r="2618" spans="2:49" x14ac:dyDescent="0.2">
      <c r="B2618" s="460" t="s">
        <v>3132</v>
      </c>
      <c r="C2618" s="460">
        <v>8000</v>
      </c>
      <c r="D2618" s="460" t="s">
        <v>2332</v>
      </c>
      <c r="E2618" s="460" t="s">
        <v>2333</v>
      </c>
      <c r="F2618" s="460">
        <v>4</v>
      </c>
      <c r="G2618" s="460">
        <v>3</v>
      </c>
      <c r="H2618" s="461" t="s">
        <v>700</v>
      </c>
      <c r="I2618" s="461" t="s">
        <v>872</v>
      </c>
      <c r="J2618" s="461" t="s">
        <v>700</v>
      </c>
      <c r="K2618" s="594"/>
      <c r="L2618" s="594"/>
      <c r="M2618" s="352">
        <v>8000</v>
      </c>
      <c r="N2618" s="352" t="s">
        <v>760</v>
      </c>
      <c r="O2618" s="460">
        <v>2322</v>
      </c>
      <c r="P2618" s="460" t="s">
        <v>791</v>
      </c>
      <c r="Q2618" s="460" t="s">
        <v>2553</v>
      </c>
      <c r="R2618" s="460">
        <v>2322</v>
      </c>
      <c r="S2618" s="460" t="s">
        <v>2333</v>
      </c>
      <c r="T2618" s="462">
        <v>1</v>
      </c>
      <c r="U2618" s="460" t="s">
        <v>2333</v>
      </c>
      <c r="V2618" s="475">
        <v>0</v>
      </c>
      <c r="W2618" s="463" t="s">
        <v>2554</v>
      </c>
      <c r="X2618" s="463" t="s">
        <v>2554</v>
      </c>
      <c r="Y2618" s="463" t="s">
        <v>2268</v>
      </c>
      <c r="Z2618" s="463"/>
      <c r="AA2618" s="463"/>
      <c r="AB2618" s="464">
        <v>72.496816091738225</v>
      </c>
      <c r="AC2618" s="465">
        <v>2.9853406748106239E-2</v>
      </c>
      <c r="AD2618" s="465">
        <v>5.0000000000000001E-3</v>
      </c>
      <c r="AE2618" s="476">
        <v>18.124204022934556</v>
      </c>
      <c r="AF2618" s="467">
        <v>7.4633516870265598E-3</v>
      </c>
      <c r="AG2618" s="468">
        <v>1.37953355096982E-3</v>
      </c>
      <c r="AH2618" s="218">
        <v>18.124204022934556</v>
      </c>
      <c r="AI2618" s="470">
        <v>7.4633516870265598E-3</v>
      </c>
      <c r="AJ2618" s="471">
        <v>1.3365951756700851E-3</v>
      </c>
      <c r="AK2618" s="218">
        <v>18.124204022934556</v>
      </c>
      <c r="AL2618" s="470">
        <v>7.4633516870265598E-3</v>
      </c>
      <c r="AM2618" s="471">
        <v>1.3365951756700851E-3</v>
      </c>
      <c r="AN2618" s="477">
        <v>0</v>
      </c>
      <c r="AO2618" s="473">
        <v>0</v>
      </c>
      <c r="AP2618" s="474">
        <v>0</v>
      </c>
      <c r="AQ2618" s="352"/>
      <c r="AR2618" s="352"/>
      <c r="AS2618" s="352"/>
      <c r="AT2618" s="352"/>
      <c r="AU2618" s="352"/>
      <c r="AV2618" s="352"/>
      <c r="AW2618" s="352" t="s">
        <v>254</v>
      </c>
    </row>
    <row r="2619" spans="2:49" x14ac:dyDescent="0.2">
      <c r="B2619" s="460" t="s">
        <v>3129</v>
      </c>
      <c r="C2619" s="460">
        <v>8000</v>
      </c>
      <c r="D2619" s="460" t="s">
        <v>2334</v>
      </c>
      <c r="E2619" s="460" t="s">
        <v>2324</v>
      </c>
      <c r="F2619" s="460">
        <v>1</v>
      </c>
      <c r="G2619" s="460">
        <v>3</v>
      </c>
      <c r="H2619" s="461" t="s">
        <v>712</v>
      </c>
      <c r="I2619" s="461" t="s">
        <v>713</v>
      </c>
      <c r="J2619" s="461" t="s">
        <v>712</v>
      </c>
      <c r="K2619" s="594"/>
      <c r="L2619" s="594"/>
      <c r="M2619" s="352">
        <v>8000</v>
      </c>
      <c r="N2619" s="352" t="s">
        <v>760</v>
      </c>
      <c r="O2619" s="460">
        <v>2322</v>
      </c>
      <c r="P2619" s="460" t="s">
        <v>791</v>
      </c>
      <c r="Q2619" s="460" t="s">
        <v>2280</v>
      </c>
      <c r="R2619" s="460">
        <v>2322</v>
      </c>
      <c r="S2619" s="460" t="s">
        <v>2324</v>
      </c>
      <c r="T2619" s="462">
        <v>1</v>
      </c>
      <c r="U2619" s="460" t="s">
        <v>2324</v>
      </c>
      <c r="V2619" s="475">
        <v>0</v>
      </c>
      <c r="W2619" s="463" t="s">
        <v>713</v>
      </c>
      <c r="X2619" s="463" t="s">
        <v>713</v>
      </c>
      <c r="Y2619" s="463" t="s">
        <v>713</v>
      </c>
      <c r="Z2619" s="463"/>
      <c r="AA2619" s="463"/>
      <c r="AB2619" s="464">
        <v>11829.294705163806</v>
      </c>
      <c r="AC2619" s="465">
        <v>0.95301138520962425</v>
      </c>
      <c r="AD2619" s="465">
        <v>2.9536519729778079E-2</v>
      </c>
      <c r="AE2619" s="476">
        <v>12266.730852912851</v>
      </c>
      <c r="AF2619" s="467">
        <v>0.98825284630240606</v>
      </c>
      <c r="AG2619" s="468">
        <v>3.0047071622524259E-2</v>
      </c>
      <c r="AH2619" s="218">
        <v>12266.730852912851</v>
      </c>
      <c r="AI2619" s="470">
        <v>0.98825284630240606</v>
      </c>
      <c r="AJ2619" s="471">
        <v>3.043011916597093E-2</v>
      </c>
      <c r="AK2619" s="218">
        <v>12266.730852912851</v>
      </c>
      <c r="AL2619" s="470">
        <v>0.98825284630240606</v>
      </c>
      <c r="AM2619" s="471">
        <v>3.043011916597093E-2</v>
      </c>
      <c r="AN2619" s="477">
        <v>12295.893262762787</v>
      </c>
      <c r="AO2619" s="473">
        <v>0.99060227704192483</v>
      </c>
      <c r="AP2619" s="474">
        <v>3.0487618342224545E-2</v>
      </c>
      <c r="AQ2619" s="352"/>
      <c r="AR2619" s="352"/>
      <c r="AS2619" s="352"/>
      <c r="AT2619" s="352"/>
      <c r="AU2619" s="352"/>
      <c r="AV2619" s="352"/>
      <c r="AW2619" s="352" t="s">
        <v>254</v>
      </c>
    </row>
    <row r="2620" spans="2:49" x14ac:dyDescent="0.2">
      <c r="B2620" s="460" t="s">
        <v>3130</v>
      </c>
      <c r="C2620" s="460">
        <v>8000</v>
      </c>
      <c r="D2620" s="460" t="s">
        <v>2335</v>
      </c>
      <c r="E2620" s="460" t="s">
        <v>2327</v>
      </c>
      <c r="F2620" s="460">
        <v>2</v>
      </c>
      <c r="G2620" s="460">
        <v>3</v>
      </c>
      <c r="H2620" s="461" t="s">
        <v>712</v>
      </c>
      <c r="I2620" s="461" t="s">
        <v>713</v>
      </c>
      <c r="J2620" s="461" t="s">
        <v>712</v>
      </c>
      <c r="K2620" s="594"/>
      <c r="L2620" s="594"/>
      <c r="M2620" s="352">
        <v>8000</v>
      </c>
      <c r="N2620" s="352" t="s">
        <v>760</v>
      </c>
      <c r="O2620" s="460">
        <v>2322</v>
      </c>
      <c r="P2620" s="460" t="s">
        <v>791</v>
      </c>
      <c r="Q2620" s="460" t="s">
        <v>2280</v>
      </c>
      <c r="R2620" s="460">
        <v>2322</v>
      </c>
      <c r="S2620" s="460" t="s">
        <v>2324</v>
      </c>
      <c r="T2620" s="462">
        <v>1</v>
      </c>
      <c r="U2620" s="460" t="s">
        <v>2327</v>
      </c>
      <c r="V2620" s="475">
        <v>0</v>
      </c>
      <c r="W2620" s="463" t="s">
        <v>713</v>
      </c>
      <c r="X2620" s="463" t="s">
        <v>713</v>
      </c>
      <c r="Y2620" s="463" t="s">
        <v>713</v>
      </c>
      <c r="Z2620" s="463"/>
      <c r="AA2620" s="463"/>
      <c r="AB2620" s="464">
        <v>6501.065474683056</v>
      </c>
      <c r="AC2620" s="465">
        <v>0.95050463222251935</v>
      </c>
      <c r="AD2620" s="465">
        <v>2.0820302496803871E-2</v>
      </c>
      <c r="AE2620" s="476">
        <v>6754.9616281367225</v>
      </c>
      <c r="AF2620" s="467">
        <v>0.98762615805562981</v>
      </c>
      <c r="AG2620" s="468">
        <v>2.1279374853601696E-2</v>
      </c>
      <c r="AH2620" s="218">
        <v>6754.9616281367225</v>
      </c>
      <c r="AI2620" s="470">
        <v>0.98762615805562981</v>
      </c>
      <c r="AJ2620" s="471">
        <v>2.2129788458908877E-2</v>
      </c>
      <c r="AK2620" s="218">
        <v>6754.9616281367225</v>
      </c>
      <c r="AL2620" s="470">
        <v>0.98762615805562981</v>
      </c>
      <c r="AM2620" s="471">
        <v>2.2129788458908877E-2</v>
      </c>
      <c r="AN2620" s="477">
        <v>6771.8880383669666</v>
      </c>
      <c r="AO2620" s="473">
        <v>0.99010092644450387</v>
      </c>
      <c r="AP2620" s="474">
        <v>2.2176542686874526E-2</v>
      </c>
      <c r="AQ2620" s="352"/>
      <c r="AR2620" s="352"/>
      <c r="AS2620" s="352"/>
      <c r="AT2620" s="352"/>
      <c r="AU2620" s="352"/>
      <c r="AV2620" s="352"/>
      <c r="AW2620" s="352" t="s">
        <v>254</v>
      </c>
    </row>
    <row r="2621" spans="2:49" x14ac:dyDescent="0.2">
      <c r="B2621" s="460" t="s">
        <v>3131</v>
      </c>
      <c r="C2621" s="460">
        <v>8000</v>
      </c>
      <c r="D2621" s="460" t="s">
        <v>2336</v>
      </c>
      <c r="E2621" s="460" t="s">
        <v>2330</v>
      </c>
      <c r="F2621" s="460">
        <v>3</v>
      </c>
      <c r="G2621" s="460">
        <v>3</v>
      </c>
      <c r="H2621" s="461" t="s">
        <v>712</v>
      </c>
      <c r="I2621" s="461" t="s">
        <v>713</v>
      </c>
      <c r="J2621" s="461" t="s">
        <v>712</v>
      </c>
      <c r="K2621" s="594"/>
      <c r="L2621" s="594"/>
      <c r="M2621" s="352">
        <v>8000</v>
      </c>
      <c r="N2621" s="352" t="s">
        <v>760</v>
      </c>
      <c r="O2621" s="460">
        <v>2322</v>
      </c>
      <c r="P2621" s="460" t="s">
        <v>791</v>
      </c>
      <c r="Q2621" s="460" t="s">
        <v>2280</v>
      </c>
      <c r="R2621" s="460">
        <v>2322</v>
      </c>
      <c r="S2621" s="460" t="s">
        <v>2324</v>
      </c>
      <c r="T2621" s="462">
        <v>1</v>
      </c>
      <c r="U2621" s="460" t="s">
        <v>2330</v>
      </c>
      <c r="V2621" s="475">
        <v>0</v>
      </c>
      <c r="W2621" s="463" t="s">
        <v>713</v>
      </c>
      <c r="X2621" s="463" t="s">
        <v>713</v>
      </c>
      <c r="Y2621" s="463" t="s">
        <v>713</v>
      </c>
      <c r="Z2621" s="463"/>
      <c r="AA2621" s="463"/>
      <c r="AB2621" s="464">
        <v>1983.8124020778414</v>
      </c>
      <c r="AC2621" s="465">
        <v>0.93743051526640497</v>
      </c>
      <c r="AD2621" s="465">
        <v>1.7565196862711855E-2</v>
      </c>
      <c r="AE2621" s="476">
        <v>2083.1206583576559</v>
      </c>
      <c r="AF2621" s="467">
        <v>0.98435762881660127</v>
      </c>
      <c r="AG2621" s="468">
        <v>1.8159390803767793E-2</v>
      </c>
      <c r="AH2621" s="218">
        <v>2083.1206583576559</v>
      </c>
      <c r="AI2621" s="470">
        <v>0.98435762881660127</v>
      </c>
      <c r="AJ2621" s="471">
        <v>1.885273980123155E-2</v>
      </c>
      <c r="AK2621" s="218">
        <v>2083.1206583576559</v>
      </c>
      <c r="AL2621" s="470">
        <v>0.98435762881660127</v>
      </c>
      <c r="AM2621" s="471">
        <v>1.885273980123155E-2</v>
      </c>
      <c r="AN2621" s="477">
        <v>2089.74120877631</v>
      </c>
      <c r="AO2621" s="473">
        <v>0.98748610305328099</v>
      </c>
      <c r="AP2621" s="474">
        <v>1.8961473022145951E-2</v>
      </c>
      <c r="AQ2621" s="352"/>
      <c r="AR2621" s="352"/>
      <c r="AS2621" s="352"/>
      <c r="AT2621" s="352"/>
      <c r="AU2621" s="352"/>
      <c r="AV2621" s="352"/>
      <c r="AW2621" s="352" t="s">
        <v>254</v>
      </c>
    </row>
    <row r="2622" spans="2:49" x14ac:dyDescent="0.2">
      <c r="B2622" s="460" t="s">
        <v>3132</v>
      </c>
      <c r="C2622" s="460">
        <v>8000</v>
      </c>
      <c r="D2622" s="460" t="s">
        <v>2337</v>
      </c>
      <c r="E2622" s="460" t="s">
        <v>2333</v>
      </c>
      <c r="F2622" s="460">
        <v>4</v>
      </c>
      <c r="G2622" s="460">
        <v>3</v>
      </c>
      <c r="H2622" s="461" t="s">
        <v>712</v>
      </c>
      <c r="I2622" s="461" t="s">
        <v>713</v>
      </c>
      <c r="J2622" s="461" t="s">
        <v>712</v>
      </c>
      <c r="K2622" s="594"/>
      <c r="L2622" s="594"/>
      <c r="M2622" s="352">
        <v>8000</v>
      </c>
      <c r="N2622" s="352" t="s">
        <v>760</v>
      </c>
      <c r="O2622" s="460">
        <v>2322</v>
      </c>
      <c r="P2622" s="460" t="s">
        <v>791</v>
      </c>
      <c r="Q2622" s="460" t="s">
        <v>2280</v>
      </c>
      <c r="R2622" s="460">
        <v>2322</v>
      </c>
      <c r="S2622" s="460" t="s">
        <v>2333</v>
      </c>
      <c r="T2622" s="462">
        <v>1</v>
      </c>
      <c r="U2622" s="460" t="s">
        <v>2333</v>
      </c>
      <c r="V2622" s="475">
        <v>0</v>
      </c>
      <c r="W2622" s="463" t="s">
        <v>713</v>
      </c>
      <c r="X2622" s="463" t="s">
        <v>713</v>
      </c>
      <c r="Y2622" s="463" t="s">
        <v>713</v>
      </c>
      <c r="Z2622" s="463"/>
      <c r="AA2622" s="463"/>
      <c r="AB2622" s="464">
        <v>2355.9300868558485</v>
      </c>
      <c r="AC2622" s="465">
        <v>0.97014659325189367</v>
      </c>
      <c r="AD2622" s="465">
        <v>1.7910889298186315E-2</v>
      </c>
      <c r="AE2622" s="476">
        <v>2410.3026989246523</v>
      </c>
      <c r="AF2622" s="467">
        <v>0.99253664831297339</v>
      </c>
      <c r="AG2622" s="468">
        <v>1.8136536567473688E-2</v>
      </c>
      <c r="AH2622" s="218">
        <v>2410.3026989246523</v>
      </c>
      <c r="AI2622" s="470">
        <v>0.99253664831297339</v>
      </c>
      <c r="AJ2622" s="471">
        <v>1.8194318352176334E-2</v>
      </c>
      <c r="AK2622" s="218">
        <v>2410.3026989246523</v>
      </c>
      <c r="AL2622" s="470">
        <v>0.99253664831297339</v>
      </c>
      <c r="AM2622" s="471">
        <v>1.8194318352176334E-2</v>
      </c>
      <c r="AN2622" s="477">
        <v>2413.9275397292395</v>
      </c>
      <c r="AO2622" s="473">
        <v>0.9940293186503788</v>
      </c>
      <c r="AP2622" s="474">
        <v>1.8227471239835948E-2</v>
      </c>
      <c r="AQ2622" s="352"/>
      <c r="AR2622" s="352"/>
      <c r="AS2622" s="352"/>
      <c r="AT2622" s="352"/>
      <c r="AU2622" s="352"/>
      <c r="AV2622" s="352"/>
      <c r="AW2622" s="352" t="s">
        <v>254</v>
      </c>
    </row>
    <row r="2623" spans="2:49" x14ac:dyDescent="0.2">
      <c r="B2623" s="460" t="s">
        <v>3129</v>
      </c>
      <c r="C2623" s="460">
        <v>8000</v>
      </c>
      <c r="D2623" s="460" t="s">
        <v>2338</v>
      </c>
      <c r="E2623" s="460" t="s">
        <v>2324</v>
      </c>
      <c r="F2623" s="460">
        <v>1</v>
      </c>
      <c r="G2623" s="460">
        <v>3</v>
      </c>
      <c r="H2623" s="461" t="s">
        <v>746</v>
      </c>
      <c r="I2623" s="461" t="s">
        <v>762</v>
      </c>
      <c r="J2623" s="461" t="s">
        <v>700</v>
      </c>
      <c r="K2623" s="594"/>
      <c r="L2623" s="594"/>
      <c r="M2623" s="352">
        <v>8000</v>
      </c>
      <c r="N2623" s="352" t="s">
        <v>760</v>
      </c>
      <c r="O2623" s="460">
        <v>2322</v>
      </c>
      <c r="P2623" s="460" t="s">
        <v>791</v>
      </c>
      <c r="Q2623" s="460" t="s">
        <v>2553</v>
      </c>
      <c r="R2623" s="460">
        <v>2322</v>
      </c>
      <c r="S2623" s="460" t="s">
        <v>2324</v>
      </c>
      <c r="T2623" s="462">
        <v>1</v>
      </c>
      <c r="U2623" s="460" t="s">
        <v>2324</v>
      </c>
      <c r="V2623" s="475">
        <v>0</v>
      </c>
      <c r="W2623" s="463" t="s">
        <v>2268</v>
      </c>
      <c r="X2623" s="463" t="s">
        <v>2268</v>
      </c>
      <c r="Y2623" s="463" t="s">
        <v>2554</v>
      </c>
      <c r="Z2623" s="463"/>
      <c r="AA2623" s="463"/>
      <c r="AB2623" s="464">
        <v>0</v>
      </c>
      <c r="AC2623" s="465">
        <v>0</v>
      </c>
      <c r="AD2623" s="465">
        <v>0</v>
      </c>
      <c r="AE2623" s="476">
        <v>0</v>
      </c>
      <c r="AF2623" s="467">
        <v>0</v>
      </c>
      <c r="AG2623" s="468">
        <v>0</v>
      </c>
      <c r="AH2623" s="218">
        <v>0</v>
      </c>
      <c r="AI2623" s="470">
        <v>0</v>
      </c>
      <c r="AJ2623" s="471">
        <v>0</v>
      </c>
      <c r="AK2623" s="218">
        <v>0</v>
      </c>
      <c r="AL2623" s="470">
        <v>0</v>
      </c>
      <c r="AM2623" s="471">
        <v>0</v>
      </c>
      <c r="AN2623" s="477">
        <v>58.324819699872748</v>
      </c>
      <c r="AO2623" s="473">
        <v>4.6988614790375713E-3</v>
      </c>
      <c r="AP2623" s="474">
        <v>6.1636232816991905E-4</v>
      </c>
      <c r="AQ2623" s="352"/>
      <c r="AR2623" s="352"/>
      <c r="AS2623" s="352"/>
      <c r="AT2623" s="352"/>
      <c r="AU2623" s="352"/>
      <c r="AV2623" s="352"/>
      <c r="AW2623" s="352" t="s">
        <v>254</v>
      </c>
    </row>
    <row r="2624" spans="2:49" x14ac:dyDescent="0.2">
      <c r="B2624" s="460" t="s">
        <v>3130</v>
      </c>
      <c r="C2624" s="460">
        <v>8000</v>
      </c>
      <c r="D2624" s="460" t="s">
        <v>2339</v>
      </c>
      <c r="E2624" s="460" t="s">
        <v>2327</v>
      </c>
      <c r="F2624" s="460">
        <v>2</v>
      </c>
      <c r="G2624" s="460">
        <v>3</v>
      </c>
      <c r="H2624" s="461" t="s">
        <v>746</v>
      </c>
      <c r="I2624" s="461" t="s">
        <v>762</v>
      </c>
      <c r="J2624" s="461" t="s">
        <v>700</v>
      </c>
      <c r="K2624" s="594"/>
      <c r="L2624" s="594"/>
      <c r="M2624" s="352">
        <v>8000</v>
      </c>
      <c r="N2624" s="352" t="s">
        <v>760</v>
      </c>
      <c r="O2624" s="460">
        <v>2322</v>
      </c>
      <c r="P2624" s="460" t="s">
        <v>791</v>
      </c>
      <c r="Q2624" s="460" t="s">
        <v>2553</v>
      </c>
      <c r="R2624" s="460">
        <v>2322</v>
      </c>
      <c r="S2624" s="460" t="s">
        <v>2324</v>
      </c>
      <c r="T2624" s="462">
        <v>1</v>
      </c>
      <c r="U2624" s="460" t="s">
        <v>2327</v>
      </c>
      <c r="V2624" s="475">
        <v>0</v>
      </c>
      <c r="W2624" s="463" t="s">
        <v>2268</v>
      </c>
      <c r="X2624" s="463" t="s">
        <v>2268</v>
      </c>
      <c r="Y2624" s="463" t="s">
        <v>2554</v>
      </c>
      <c r="Z2624" s="463"/>
      <c r="AA2624" s="463"/>
      <c r="AB2624" s="464">
        <v>0</v>
      </c>
      <c r="AC2624" s="465">
        <v>0</v>
      </c>
      <c r="AD2624" s="465">
        <v>0</v>
      </c>
      <c r="AE2624" s="476">
        <v>0</v>
      </c>
      <c r="AF2624" s="467">
        <v>0</v>
      </c>
      <c r="AG2624" s="468">
        <v>0</v>
      </c>
      <c r="AH2624" s="218">
        <v>0</v>
      </c>
      <c r="AI2624" s="470">
        <v>0</v>
      </c>
      <c r="AJ2624" s="471">
        <v>0</v>
      </c>
      <c r="AK2624" s="218">
        <v>0</v>
      </c>
      <c r="AL2624" s="470">
        <v>0</v>
      </c>
      <c r="AM2624" s="471">
        <v>0</v>
      </c>
      <c r="AN2624" s="477">
        <v>33.852820460488907</v>
      </c>
      <c r="AO2624" s="473">
        <v>4.9495367777480682E-3</v>
      </c>
      <c r="AP2624" s="474">
        <v>5.3813681818594297E-4</v>
      </c>
      <c r="AQ2624" s="352"/>
      <c r="AR2624" s="352"/>
      <c r="AS2624" s="352"/>
      <c r="AT2624" s="352"/>
      <c r="AU2624" s="352"/>
      <c r="AV2624" s="352"/>
      <c r="AW2624" s="352" t="s">
        <v>254</v>
      </c>
    </row>
    <row r="2625" spans="2:49" x14ac:dyDescent="0.2">
      <c r="B2625" s="460" t="s">
        <v>3131</v>
      </c>
      <c r="C2625" s="460">
        <v>8000</v>
      </c>
      <c r="D2625" s="460" t="s">
        <v>2340</v>
      </c>
      <c r="E2625" s="460" t="s">
        <v>2330</v>
      </c>
      <c r="F2625" s="460">
        <v>3</v>
      </c>
      <c r="G2625" s="460">
        <v>3</v>
      </c>
      <c r="H2625" s="461" t="s">
        <v>746</v>
      </c>
      <c r="I2625" s="461" t="s">
        <v>762</v>
      </c>
      <c r="J2625" s="461" t="s">
        <v>700</v>
      </c>
      <c r="K2625" s="594"/>
      <c r="L2625" s="594"/>
      <c r="M2625" s="352">
        <v>8000</v>
      </c>
      <c r="N2625" s="352" t="s">
        <v>760</v>
      </c>
      <c r="O2625" s="460">
        <v>2322</v>
      </c>
      <c r="P2625" s="460" t="s">
        <v>791</v>
      </c>
      <c r="Q2625" s="460" t="s">
        <v>2553</v>
      </c>
      <c r="R2625" s="460">
        <v>2322</v>
      </c>
      <c r="S2625" s="460" t="s">
        <v>2324</v>
      </c>
      <c r="T2625" s="462">
        <v>1</v>
      </c>
      <c r="U2625" s="460" t="s">
        <v>2330</v>
      </c>
      <c r="V2625" s="475">
        <v>0</v>
      </c>
      <c r="W2625" s="463" t="s">
        <v>2268</v>
      </c>
      <c r="X2625" s="463" t="s">
        <v>2268</v>
      </c>
      <c r="Y2625" s="463" t="s">
        <v>2554</v>
      </c>
      <c r="Z2625" s="463"/>
      <c r="AA2625" s="463"/>
      <c r="AB2625" s="464">
        <v>0</v>
      </c>
      <c r="AC2625" s="465">
        <v>0</v>
      </c>
      <c r="AD2625" s="465">
        <v>0</v>
      </c>
      <c r="AE2625" s="476">
        <v>0</v>
      </c>
      <c r="AF2625" s="467">
        <v>0</v>
      </c>
      <c r="AG2625" s="468">
        <v>0</v>
      </c>
      <c r="AH2625" s="218">
        <v>0</v>
      </c>
      <c r="AI2625" s="470">
        <v>0</v>
      </c>
      <c r="AJ2625" s="471">
        <v>0</v>
      </c>
      <c r="AK2625" s="218">
        <v>0</v>
      </c>
      <c r="AL2625" s="470">
        <v>0</v>
      </c>
      <c r="AM2625" s="471">
        <v>0</v>
      </c>
      <c r="AN2625" s="477">
        <v>13.241100837308574</v>
      </c>
      <c r="AO2625" s="473">
        <v>6.2569484733595053E-3</v>
      </c>
      <c r="AP2625" s="474">
        <v>5.2966816557435811E-4</v>
      </c>
      <c r="AQ2625" s="352"/>
      <c r="AR2625" s="352"/>
      <c r="AS2625" s="352"/>
      <c r="AT2625" s="352"/>
      <c r="AU2625" s="352"/>
      <c r="AV2625" s="352"/>
      <c r="AW2625" s="352" t="s">
        <v>254</v>
      </c>
    </row>
    <row r="2626" spans="2:49" x14ac:dyDescent="0.2">
      <c r="B2626" s="460" t="s">
        <v>3132</v>
      </c>
      <c r="C2626" s="460">
        <v>8000</v>
      </c>
      <c r="D2626" s="460" t="s">
        <v>2341</v>
      </c>
      <c r="E2626" s="460" t="s">
        <v>2333</v>
      </c>
      <c r="F2626" s="460">
        <v>4</v>
      </c>
      <c r="G2626" s="460">
        <v>3</v>
      </c>
      <c r="H2626" s="461" t="s">
        <v>746</v>
      </c>
      <c r="I2626" s="461" t="s">
        <v>762</v>
      </c>
      <c r="J2626" s="461" t="s">
        <v>700</v>
      </c>
      <c r="K2626" s="594"/>
      <c r="L2626" s="594"/>
      <c r="M2626" s="352">
        <v>8000</v>
      </c>
      <c r="N2626" s="352" t="s">
        <v>760</v>
      </c>
      <c r="O2626" s="460">
        <v>2322</v>
      </c>
      <c r="P2626" s="460" t="s">
        <v>791</v>
      </c>
      <c r="Q2626" s="460" t="s">
        <v>2553</v>
      </c>
      <c r="R2626" s="460">
        <v>2322</v>
      </c>
      <c r="S2626" s="460" t="s">
        <v>2333</v>
      </c>
      <c r="T2626" s="462">
        <v>1</v>
      </c>
      <c r="U2626" s="460" t="s">
        <v>2333</v>
      </c>
      <c r="V2626" s="475">
        <v>0</v>
      </c>
      <c r="W2626" s="463" t="s">
        <v>2268</v>
      </c>
      <c r="X2626" s="463" t="s">
        <v>2268</v>
      </c>
      <c r="Y2626" s="463" t="s">
        <v>2554</v>
      </c>
      <c r="Z2626" s="463"/>
      <c r="AA2626" s="463"/>
      <c r="AB2626" s="464">
        <v>0</v>
      </c>
      <c r="AC2626" s="465">
        <v>0</v>
      </c>
      <c r="AD2626" s="465">
        <v>0</v>
      </c>
      <c r="AE2626" s="476">
        <v>0</v>
      </c>
      <c r="AF2626" s="467">
        <v>0</v>
      </c>
      <c r="AG2626" s="468">
        <v>0</v>
      </c>
      <c r="AH2626" s="218">
        <v>0</v>
      </c>
      <c r="AI2626" s="470">
        <v>0</v>
      </c>
      <c r="AJ2626" s="471">
        <v>0</v>
      </c>
      <c r="AK2626" s="218">
        <v>0</v>
      </c>
      <c r="AL2626" s="470">
        <v>0</v>
      </c>
      <c r="AM2626" s="471">
        <v>0</v>
      </c>
      <c r="AN2626" s="477">
        <v>7.2496816091738205</v>
      </c>
      <c r="AO2626" s="473">
        <v>2.9853406748106231E-3</v>
      </c>
      <c r="AP2626" s="474">
        <v>6.0433055564724765E-4</v>
      </c>
      <c r="AQ2626" s="352"/>
      <c r="AR2626" s="352"/>
      <c r="AS2626" s="352"/>
      <c r="AT2626" s="352"/>
      <c r="AU2626" s="352"/>
      <c r="AV2626" s="352"/>
      <c r="AW2626" s="352" t="s">
        <v>254</v>
      </c>
    </row>
    <row r="2627" spans="2:49" x14ac:dyDescent="0.2">
      <c r="B2627" s="460" t="s">
        <v>3129</v>
      </c>
      <c r="C2627" s="460">
        <v>8000</v>
      </c>
      <c r="D2627" s="460" t="s">
        <v>2342</v>
      </c>
      <c r="E2627" s="460" t="s">
        <v>2324</v>
      </c>
      <c r="F2627" s="460">
        <v>1</v>
      </c>
      <c r="G2627" s="460">
        <v>3</v>
      </c>
      <c r="H2627" s="461" t="s">
        <v>748</v>
      </c>
      <c r="I2627" s="461" t="s">
        <v>765</v>
      </c>
      <c r="J2627" s="461" t="s">
        <v>700</v>
      </c>
      <c r="K2627" s="594"/>
      <c r="L2627" s="594"/>
      <c r="M2627" s="352">
        <v>8000</v>
      </c>
      <c r="N2627" s="352" t="s">
        <v>760</v>
      </c>
      <c r="O2627" s="460">
        <v>2322</v>
      </c>
      <c r="P2627" s="460" t="s">
        <v>791</v>
      </c>
      <c r="Q2627" s="460" t="s">
        <v>2553</v>
      </c>
      <c r="R2627" s="460">
        <v>2322</v>
      </c>
      <c r="S2627" s="460" t="s">
        <v>2324</v>
      </c>
      <c r="T2627" s="462">
        <v>1</v>
      </c>
      <c r="U2627" s="460" t="s">
        <v>2324</v>
      </c>
      <c r="V2627" s="475">
        <v>0</v>
      </c>
      <c r="W2627" s="463" t="s">
        <v>2268</v>
      </c>
      <c r="X2627" s="463" t="s">
        <v>2268</v>
      </c>
      <c r="Y2627" s="463" t="s">
        <v>2554</v>
      </c>
      <c r="Z2627" s="463"/>
      <c r="AA2627" s="463"/>
      <c r="AB2627" s="464">
        <v>0</v>
      </c>
      <c r="AC2627" s="465">
        <v>0</v>
      </c>
      <c r="AD2627" s="465">
        <v>0</v>
      </c>
      <c r="AE2627" s="476">
        <v>0</v>
      </c>
      <c r="AF2627" s="467">
        <v>0</v>
      </c>
      <c r="AG2627" s="468">
        <v>0</v>
      </c>
      <c r="AH2627" s="218">
        <v>0</v>
      </c>
      <c r="AI2627" s="470">
        <v>0</v>
      </c>
      <c r="AJ2627" s="471">
        <v>0</v>
      </c>
      <c r="AK2627" s="218">
        <v>0</v>
      </c>
      <c r="AL2627" s="470">
        <v>0</v>
      </c>
      <c r="AM2627" s="471">
        <v>0</v>
      </c>
      <c r="AN2627" s="477">
        <v>58.324819699872748</v>
      </c>
      <c r="AO2627" s="473">
        <v>4.6988614790375713E-3</v>
      </c>
      <c r="AP2627" s="474">
        <v>3.0359127389879134E-3</v>
      </c>
      <c r="AQ2627" s="352"/>
      <c r="AR2627" s="352"/>
      <c r="AS2627" s="352"/>
      <c r="AT2627" s="352"/>
      <c r="AU2627" s="352"/>
      <c r="AV2627" s="352"/>
      <c r="AW2627" s="352" t="s">
        <v>254</v>
      </c>
    </row>
    <row r="2628" spans="2:49" x14ac:dyDescent="0.2">
      <c r="B2628" s="460" t="s">
        <v>3130</v>
      </c>
      <c r="C2628" s="460">
        <v>8000</v>
      </c>
      <c r="D2628" s="460" t="s">
        <v>2343</v>
      </c>
      <c r="E2628" s="460" t="s">
        <v>2327</v>
      </c>
      <c r="F2628" s="460">
        <v>2</v>
      </c>
      <c r="G2628" s="460">
        <v>3</v>
      </c>
      <c r="H2628" s="461" t="s">
        <v>748</v>
      </c>
      <c r="I2628" s="461" t="s">
        <v>765</v>
      </c>
      <c r="J2628" s="461" t="s">
        <v>700</v>
      </c>
      <c r="K2628" s="594"/>
      <c r="L2628" s="594"/>
      <c r="M2628" s="352">
        <v>8000</v>
      </c>
      <c r="N2628" s="352" t="s">
        <v>760</v>
      </c>
      <c r="O2628" s="460">
        <v>2322</v>
      </c>
      <c r="P2628" s="460" t="s">
        <v>791</v>
      </c>
      <c r="Q2628" s="460" t="s">
        <v>2553</v>
      </c>
      <c r="R2628" s="460">
        <v>2322</v>
      </c>
      <c r="S2628" s="460" t="s">
        <v>2324</v>
      </c>
      <c r="T2628" s="462">
        <v>1</v>
      </c>
      <c r="U2628" s="460" t="s">
        <v>2327</v>
      </c>
      <c r="V2628" s="475">
        <v>0</v>
      </c>
      <c r="W2628" s="463" t="s">
        <v>2268</v>
      </c>
      <c r="X2628" s="463" t="s">
        <v>2268</v>
      </c>
      <c r="Y2628" s="463" t="s">
        <v>2554</v>
      </c>
      <c r="Z2628" s="463"/>
      <c r="AA2628" s="463"/>
      <c r="AB2628" s="464">
        <v>0</v>
      </c>
      <c r="AC2628" s="465">
        <v>0</v>
      </c>
      <c r="AD2628" s="465">
        <v>0</v>
      </c>
      <c r="AE2628" s="476">
        <v>0</v>
      </c>
      <c r="AF2628" s="467">
        <v>0</v>
      </c>
      <c r="AG2628" s="468">
        <v>0</v>
      </c>
      <c r="AH2628" s="218">
        <v>0</v>
      </c>
      <c r="AI2628" s="470">
        <v>0</v>
      </c>
      <c r="AJ2628" s="471">
        <v>0</v>
      </c>
      <c r="AK2628" s="218">
        <v>0</v>
      </c>
      <c r="AL2628" s="470">
        <v>0</v>
      </c>
      <c r="AM2628" s="471">
        <v>0</v>
      </c>
      <c r="AN2628" s="477">
        <v>33.852820460488907</v>
      </c>
      <c r="AO2628" s="473">
        <v>4.9495367777480682E-3</v>
      </c>
      <c r="AP2628" s="474">
        <v>3.0092961185409655E-3</v>
      </c>
      <c r="AQ2628" s="352"/>
      <c r="AR2628" s="352"/>
      <c r="AS2628" s="352"/>
      <c r="AT2628" s="352"/>
      <c r="AU2628" s="352"/>
      <c r="AV2628" s="352"/>
      <c r="AW2628" s="352" t="s">
        <v>254</v>
      </c>
    </row>
    <row r="2629" spans="2:49" x14ac:dyDescent="0.2">
      <c r="B2629" s="460" t="s">
        <v>3131</v>
      </c>
      <c r="C2629" s="460">
        <v>8000</v>
      </c>
      <c r="D2629" s="460" t="s">
        <v>2344</v>
      </c>
      <c r="E2629" s="460" t="s">
        <v>2330</v>
      </c>
      <c r="F2629" s="460">
        <v>3</v>
      </c>
      <c r="G2629" s="460">
        <v>3</v>
      </c>
      <c r="H2629" s="461" t="s">
        <v>748</v>
      </c>
      <c r="I2629" s="461" t="s">
        <v>765</v>
      </c>
      <c r="J2629" s="461" t="s">
        <v>700</v>
      </c>
      <c r="K2629" s="594"/>
      <c r="L2629" s="594"/>
      <c r="M2629" s="352">
        <v>8000</v>
      </c>
      <c r="N2629" s="352" t="s">
        <v>760</v>
      </c>
      <c r="O2629" s="460">
        <v>2322</v>
      </c>
      <c r="P2629" s="460" t="s">
        <v>791</v>
      </c>
      <c r="Q2629" s="460" t="s">
        <v>2553</v>
      </c>
      <c r="R2629" s="460">
        <v>2322</v>
      </c>
      <c r="S2629" s="460" t="s">
        <v>2324</v>
      </c>
      <c r="T2629" s="462">
        <v>1</v>
      </c>
      <c r="U2629" s="460" t="s">
        <v>2330</v>
      </c>
      <c r="V2629" s="475">
        <v>0</v>
      </c>
      <c r="W2629" s="463" t="s">
        <v>2268</v>
      </c>
      <c r="X2629" s="463" t="s">
        <v>2268</v>
      </c>
      <c r="Y2629" s="463" t="s">
        <v>2554</v>
      </c>
      <c r="Z2629" s="463"/>
      <c r="AA2629" s="463"/>
      <c r="AB2629" s="464">
        <v>0</v>
      </c>
      <c r="AC2629" s="465">
        <v>0</v>
      </c>
      <c r="AD2629" s="465">
        <v>0</v>
      </c>
      <c r="AE2629" s="476">
        <v>0</v>
      </c>
      <c r="AF2629" s="467">
        <v>0</v>
      </c>
      <c r="AG2629" s="468">
        <v>0</v>
      </c>
      <c r="AH2629" s="218">
        <v>0</v>
      </c>
      <c r="AI2629" s="470">
        <v>0</v>
      </c>
      <c r="AJ2629" s="471">
        <v>0</v>
      </c>
      <c r="AK2629" s="218">
        <v>0</v>
      </c>
      <c r="AL2629" s="470">
        <v>0</v>
      </c>
      <c r="AM2629" s="471">
        <v>0</v>
      </c>
      <c r="AN2629" s="477">
        <v>13.241100837308574</v>
      </c>
      <c r="AO2629" s="473">
        <v>6.2569484733595053E-3</v>
      </c>
      <c r="AP2629" s="474">
        <v>3.6092952589415815E-3</v>
      </c>
      <c r="AQ2629" s="352"/>
      <c r="AR2629" s="352"/>
      <c r="AS2629" s="352"/>
      <c r="AT2629" s="352"/>
      <c r="AU2629" s="352"/>
      <c r="AV2629" s="352"/>
      <c r="AW2629" s="352" t="s">
        <v>254</v>
      </c>
    </row>
    <row r="2630" spans="2:49" x14ac:dyDescent="0.2">
      <c r="B2630" s="460" t="s">
        <v>3132</v>
      </c>
      <c r="C2630" s="460">
        <v>8000</v>
      </c>
      <c r="D2630" s="460" t="s">
        <v>2345</v>
      </c>
      <c r="E2630" s="460" t="s">
        <v>2333</v>
      </c>
      <c r="F2630" s="460">
        <v>4</v>
      </c>
      <c r="G2630" s="460">
        <v>3</v>
      </c>
      <c r="H2630" s="461" t="s">
        <v>748</v>
      </c>
      <c r="I2630" s="461" t="s">
        <v>765</v>
      </c>
      <c r="J2630" s="461" t="s">
        <v>700</v>
      </c>
      <c r="K2630" s="594"/>
      <c r="L2630" s="594"/>
      <c r="M2630" s="352">
        <v>8000</v>
      </c>
      <c r="N2630" s="352" t="s">
        <v>760</v>
      </c>
      <c r="O2630" s="460">
        <v>2322</v>
      </c>
      <c r="P2630" s="460" t="s">
        <v>791</v>
      </c>
      <c r="Q2630" s="460" t="s">
        <v>2553</v>
      </c>
      <c r="R2630" s="460">
        <v>2322</v>
      </c>
      <c r="S2630" s="460" t="s">
        <v>2333</v>
      </c>
      <c r="T2630" s="462">
        <v>1</v>
      </c>
      <c r="U2630" s="460" t="s">
        <v>2333</v>
      </c>
      <c r="V2630" s="475">
        <v>0</v>
      </c>
      <c r="W2630" s="463" t="s">
        <v>2268</v>
      </c>
      <c r="X2630" s="463" t="s">
        <v>2268</v>
      </c>
      <c r="Y2630" s="463" t="s">
        <v>2554</v>
      </c>
      <c r="Z2630" s="463"/>
      <c r="AA2630" s="463"/>
      <c r="AB2630" s="464">
        <v>0</v>
      </c>
      <c r="AC2630" s="465">
        <v>0</v>
      </c>
      <c r="AD2630" s="465">
        <v>0</v>
      </c>
      <c r="AE2630" s="476">
        <v>0</v>
      </c>
      <c r="AF2630" s="467">
        <v>0</v>
      </c>
      <c r="AG2630" s="468">
        <v>0</v>
      </c>
      <c r="AH2630" s="218">
        <v>0</v>
      </c>
      <c r="AI2630" s="470">
        <v>0</v>
      </c>
      <c r="AJ2630" s="471">
        <v>0</v>
      </c>
      <c r="AK2630" s="218">
        <v>0</v>
      </c>
      <c r="AL2630" s="470">
        <v>0</v>
      </c>
      <c r="AM2630" s="471">
        <v>0</v>
      </c>
      <c r="AN2630" s="477">
        <v>7.2496816091738205</v>
      </c>
      <c r="AO2630" s="473">
        <v>2.9853406748106231E-3</v>
      </c>
      <c r="AP2630" s="474">
        <v>4.514554608382737E-3</v>
      </c>
      <c r="AQ2630" s="352"/>
      <c r="AR2630" s="352"/>
      <c r="AS2630" s="352"/>
      <c r="AT2630" s="352"/>
      <c r="AU2630" s="352"/>
      <c r="AV2630" s="352"/>
      <c r="AW2630" s="352" t="s">
        <v>254</v>
      </c>
    </row>
    <row r="2631" spans="2:49" x14ac:dyDescent="0.2">
      <c r="B2631" s="460" t="s">
        <v>3133</v>
      </c>
      <c r="C2631" s="460">
        <v>8000</v>
      </c>
      <c r="D2631" s="460" t="s">
        <v>2351</v>
      </c>
      <c r="E2631" s="460" t="s">
        <v>1136</v>
      </c>
      <c r="F2631" s="460">
        <v>1</v>
      </c>
      <c r="G2631" s="460">
        <v>4</v>
      </c>
      <c r="H2631" s="461" t="s">
        <v>700</v>
      </c>
      <c r="I2631" s="461" t="s">
        <v>872</v>
      </c>
      <c r="J2631" s="461" t="s">
        <v>700</v>
      </c>
      <c r="K2631" s="594"/>
      <c r="L2631" s="594"/>
      <c r="M2631" s="352">
        <v>8000</v>
      </c>
      <c r="N2631" s="352" t="s">
        <v>760</v>
      </c>
      <c r="O2631" s="460">
        <v>2322</v>
      </c>
      <c r="P2631" s="460" t="s">
        <v>791</v>
      </c>
      <c r="Q2631" s="460" t="s">
        <v>2553</v>
      </c>
      <c r="R2631" s="460">
        <v>2322</v>
      </c>
      <c r="S2631" s="460" t="s">
        <v>1136</v>
      </c>
      <c r="T2631" s="462">
        <v>1</v>
      </c>
      <c r="U2631" s="460" t="s">
        <v>1136</v>
      </c>
      <c r="V2631" s="475">
        <v>0</v>
      </c>
      <c r="W2631" s="463" t="s">
        <v>2554</v>
      </c>
      <c r="X2631" s="463" t="s">
        <v>2554</v>
      </c>
      <c r="Y2631" s="463" t="s">
        <v>2268</v>
      </c>
      <c r="Z2631" s="463"/>
      <c r="AA2631" s="463"/>
      <c r="AB2631" s="464">
        <v>2.2350074647940863</v>
      </c>
      <c r="AC2631" s="465">
        <v>3.2584094846247001E-3</v>
      </c>
      <c r="AD2631" s="465">
        <v>6.3590638636819618E-3</v>
      </c>
      <c r="AE2631" s="476">
        <v>0.55875186619852157</v>
      </c>
      <c r="AF2631" s="467">
        <v>8.1460237115617501E-4</v>
      </c>
      <c r="AG2631" s="468">
        <v>1.7281734801014911E-3</v>
      </c>
      <c r="AH2631" s="218">
        <v>0.55875186619852157</v>
      </c>
      <c r="AI2631" s="470">
        <v>8.1460237115617501E-4</v>
      </c>
      <c r="AJ2631" s="471">
        <v>4.3636650295569189E-4</v>
      </c>
      <c r="AK2631" s="218">
        <v>0.55875186619852157</v>
      </c>
      <c r="AL2631" s="470">
        <v>8.1460237115617501E-4</v>
      </c>
      <c r="AM2631" s="471">
        <v>4.3636650295569189E-4</v>
      </c>
      <c r="AN2631" s="477">
        <v>0</v>
      </c>
      <c r="AO2631" s="473">
        <v>0</v>
      </c>
      <c r="AP2631" s="474">
        <v>0</v>
      </c>
      <c r="AQ2631" s="352"/>
      <c r="AR2631" s="352"/>
      <c r="AS2631" s="352"/>
      <c r="AT2631" s="352"/>
      <c r="AU2631" s="352"/>
      <c r="AV2631" s="352"/>
      <c r="AW2631" s="352" t="s">
        <v>254</v>
      </c>
    </row>
    <row r="2632" spans="2:49" x14ac:dyDescent="0.2">
      <c r="B2632" s="460" t="s">
        <v>3134</v>
      </c>
      <c r="C2632" s="460">
        <v>8000</v>
      </c>
      <c r="D2632" s="460" t="s">
        <v>2353</v>
      </c>
      <c r="E2632" s="460" t="s">
        <v>1137</v>
      </c>
      <c r="F2632" s="460">
        <v>2</v>
      </c>
      <c r="G2632" s="460">
        <v>4</v>
      </c>
      <c r="H2632" s="461" t="s">
        <v>700</v>
      </c>
      <c r="I2632" s="461" t="s">
        <v>872</v>
      </c>
      <c r="J2632" s="461" t="s">
        <v>700</v>
      </c>
      <c r="K2632" s="594"/>
      <c r="L2632" s="594"/>
      <c r="M2632" s="352">
        <v>8000</v>
      </c>
      <c r="N2632" s="352" t="s">
        <v>760</v>
      </c>
      <c r="O2632" s="460">
        <v>2322</v>
      </c>
      <c r="P2632" s="460" t="s">
        <v>791</v>
      </c>
      <c r="Q2632" s="460" t="s">
        <v>2553</v>
      </c>
      <c r="R2632" s="460">
        <v>2322</v>
      </c>
      <c r="S2632" s="460" t="s">
        <v>1137</v>
      </c>
      <c r="T2632" s="462">
        <v>1</v>
      </c>
      <c r="U2632" s="460" t="s">
        <v>1137</v>
      </c>
      <c r="V2632" s="475">
        <v>0</v>
      </c>
      <c r="W2632" s="463" t="s">
        <v>2554</v>
      </c>
      <c r="X2632" s="463" t="s">
        <v>2554</v>
      </c>
      <c r="Y2632" s="463" t="s">
        <v>2268</v>
      </c>
      <c r="Z2632" s="463"/>
      <c r="AA2632" s="463"/>
      <c r="AB2632" s="464">
        <v>28.160487321882961</v>
      </c>
      <c r="AC2632" s="465">
        <v>6.0241234888380554E-2</v>
      </c>
      <c r="AD2632" s="465">
        <v>6.359063863681967E-3</v>
      </c>
      <c r="AE2632" s="476">
        <v>7.0401218304707402</v>
      </c>
      <c r="AF2632" s="467">
        <v>1.5060308722095139E-2</v>
      </c>
      <c r="AG2632" s="468">
        <v>1.7127037396245867E-3</v>
      </c>
      <c r="AH2632" s="218">
        <v>7.0401218304707402</v>
      </c>
      <c r="AI2632" s="470">
        <v>1.5060308722095139E-2</v>
      </c>
      <c r="AJ2632" s="471">
        <v>1.4545555460459591E-3</v>
      </c>
      <c r="AK2632" s="218">
        <v>7.0401218304707402</v>
      </c>
      <c r="AL2632" s="470">
        <v>1.5060308722095139E-2</v>
      </c>
      <c r="AM2632" s="471">
        <v>1.4545555460459591E-3</v>
      </c>
      <c r="AN2632" s="477">
        <v>0</v>
      </c>
      <c r="AO2632" s="473">
        <v>0</v>
      </c>
      <c r="AP2632" s="474">
        <v>0</v>
      </c>
      <c r="AQ2632" s="352"/>
      <c r="AR2632" s="352"/>
      <c r="AS2632" s="352"/>
      <c r="AT2632" s="352"/>
      <c r="AU2632" s="352"/>
      <c r="AV2632" s="352"/>
      <c r="AW2632" s="352" t="s">
        <v>254</v>
      </c>
    </row>
    <row r="2633" spans="2:49" x14ac:dyDescent="0.2">
      <c r="B2633" s="460" t="s">
        <v>3135</v>
      </c>
      <c r="C2633" s="460">
        <v>8000</v>
      </c>
      <c r="D2633" s="460" t="s">
        <v>2355</v>
      </c>
      <c r="E2633" s="460" t="s">
        <v>1138</v>
      </c>
      <c r="F2633" s="460">
        <v>3</v>
      </c>
      <c r="G2633" s="460">
        <v>4</v>
      </c>
      <c r="H2633" s="461" t="s">
        <v>700</v>
      </c>
      <c r="I2633" s="461" t="s">
        <v>872</v>
      </c>
      <c r="J2633" s="461" t="s">
        <v>700</v>
      </c>
      <c r="K2633" s="594"/>
      <c r="L2633" s="594"/>
      <c r="M2633" s="352">
        <v>8000</v>
      </c>
      <c r="N2633" s="352" t="s">
        <v>760</v>
      </c>
      <c r="O2633" s="460">
        <v>2322</v>
      </c>
      <c r="P2633" s="460" t="s">
        <v>791</v>
      </c>
      <c r="Q2633" s="460" t="s">
        <v>2553</v>
      </c>
      <c r="R2633" s="460">
        <v>2322</v>
      </c>
      <c r="S2633" s="460" t="s">
        <v>1138</v>
      </c>
      <c r="T2633" s="462">
        <v>1</v>
      </c>
      <c r="U2633" s="460" t="s">
        <v>1138</v>
      </c>
      <c r="V2633" s="475">
        <v>0</v>
      </c>
      <c r="W2633" s="463" t="s">
        <v>2554</v>
      </c>
      <c r="X2633" s="463" t="s">
        <v>2554</v>
      </c>
      <c r="Y2633" s="463" t="s">
        <v>2268</v>
      </c>
      <c r="Z2633" s="463"/>
      <c r="AA2633" s="463"/>
      <c r="AB2633" s="464">
        <v>15.156211763878337</v>
      </c>
      <c r="AC2633" s="465">
        <v>2.7668154669552952E-2</v>
      </c>
      <c r="AD2633" s="465">
        <v>6.3590638636819678E-3</v>
      </c>
      <c r="AE2633" s="476">
        <v>3.7890529409695843</v>
      </c>
      <c r="AF2633" s="467">
        <v>6.9170386673882379E-3</v>
      </c>
      <c r="AG2633" s="468">
        <v>1.7151424035347022E-3</v>
      </c>
      <c r="AH2633" s="218">
        <v>3.7890529409695843</v>
      </c>
      <c r="AI2633" s="470">
        <v>6.9170386673882379E-3</v>
      </c>
      <c r="AJ2633" s="471">
        <v>1.3057310799174417E-3</v>
      </c>
      <c r="AK2633" s="218">
        <v>3.7890529409695843</v>
      </c>
      <c r="AL2633" s="470">
        <v>6.9170386673882379E-3</v>
      </c>
      <c r="AM2633" s="471">
        <v>1.3057310799174417E-3</v>
      </c>
      <c r="AN2633" s="477">
        <v>0</v>
      </c>
      <c r="AO2633" s="473">
        <v>0</v>
      </c>
      <c r="AP2633" s="474">
        <v>0</v>
      </c>
      <c r="AQ2633" s="352"/>
      <c r="AR2633" s="352"/>
      <c r="AS2633" s="352"/>
      <c r="AT2633" s="352"/>
      <c r="AU2633" s="352"/>
      <c r="AV2633" s="352"/>
      <c r="AW2633" s="352" t="s">
        <v>254</v>
      </c>
    </row>
    <row r="2634" spans="2:49" x14ac:dyDescent="0.2">
      <c r="B2634" s="460" t="s">
        <v>3136</v>
      </c>
      <c r="C2634" s="460">
        <v>8000</v>
      </c>
      <c r="D2634" s="460" t="s">
        <v>2357</v>
      </c>
      <c r="E2634" s="460" t="s">
        <v>1139</v>
      </c>
      <c r="F2634" s="460">
        <v>4</v>
      </c>
      <c r="G2634" s="460">
        <v>4</v>
      </c>
      <c r="H2634" s="461" t="s">
        <v>700</v>
      </c>
      <c r="I2634" s="461" t="s">
        <v>872</v>
      </c>
      <c r="J2634" s="461" t="s">
        <v>700</v>
      </c>
      <c r="K2634" s="594"/>
      <c r="L2634" s="594"/>
      <c r="M2634" s="352">
        <v>8000</v>
      </c>
      <c r="N2634" s="352" t="s">
        <v>760</v>
      </c>
      <c r="O2634" s="460">
        <v>2322</v>
      </c>
      <c r="P2634" s="460" t="s">
        <v>791</v>
      </c>
      <c r="Q2634" s="460" t="s">
        <v>2553</v>
      </c>
      <c r="R2634" s="460">
        <v>2322</v>
      </c>
      <c r="S2634" s="460" t="s">
        <v>1139</v>
      </c>
      <c r="T2634" s="462">
        <v>1</v>
      </c>
      <c r="U2634" s="460" t="s">
        <v>1139</v>
      </c>
      <c r="V2634" s="475">
        <v>0</v>
      </c>
      <c r="W2634" s="463" t="s">
        <v>2554</v>
      </c>
      <c r="X2634" s="463" t="s">
        <v>2554</v>
      </c>
      <c r="Y2634" s="463" t="s">
        <v>2268</v>
      </c>
      <c r="Z2634" s="463"/>
      <c r="AA2634" s="463"/>
      <c r="AB2634" s="464">
        <v>0</v>
      </c>
      <c r="AC2634" s="465">
        <v>0</v>
      </c>
      <c r="AD2634" s="465">
        <v>0</v>
      </c>
      <c r="AE2634" s="476">
        <v>0</v>
      </c>
      <c r="AF2634" s="467">
        <v>0</v>
      </c>
      <c r="AG2634" s="468">
        <v>0</v>
      </c>
      <c r="AH2634" s="218">
        <v>0</v>
      </c>
      <c r="AI2634" s="470">
        <v>0</v>
      </c>
      <c r="AJ2634" s="471">
        <v>0</v>
      </c>
      <c r="AK2634" s="218">
        <v>0</v>
      </c>
      <c r="AL2634" s="470">
        <v>0</v>
      </c>
      <c r="AM2634" s="471">
        <v>0</v>
      </c>
      <c r="AN2634" s="477">
        <v>0</v>
      </c>
      <c r="AO2634" s="473">
        <v>0</v>
      </c>
      <c r="AP2634" s="474">
        <v>0</v>
      </c>
      <c r="AQ2634" s="352"/>
      <c r="AR2634" s="352"/>
      <c r="AS2634" s="352"/>
      <c r="AT2634" s="352"/>
      <c r="AU2634" s="352"/>
      <c r="AV2634" s="352"/>
      <c r="AW2634" s="352" t="s">
        <v>254</v>
      </c>
    </row>
    <row r="2635" spans="2:49" x14ac:dyDescent="0.2">
      <c r="B2635" s="460" t="s">
        <v>3133</v>
      </c>
      <c r="C2635" s="460">
        <v>8000</v>
      </c>
      <c r="D2635" s="460" t="s">
        <v>2358</v>
      </c>
      <c r="E2635" s="460" t="s">
        <v>1136</v>
      </c>
      <c r="F2635" s="460">
        <v>1</v>
      </c>
      <c r="G2635" s="460">
        <v>4</v>
      </c>
      <c r="H2635" s="461" t="s">
        <v>712</v>
      </c>
      <c r="I2635" s="461" t="s">
        <v>713</v>
      </c>
      <c r="J2635" s="461" t="s">
        <v>712</v>
      </c>
      <c r="K2635" s="594"/>
      <c r="L2635" s="594"/>
      <c r="M2635" s="352">
        <v>8000</v>
      </c>
      <c r="N2635" s="352" t="s">
        <v>760</v>
      </c>
      <c r="O2635" s="460">
        <v>2322</v>
      </c>
      <c r="P2635" s="460" t="s">
        <v>791</v>
      </c>
      <c r="Q2635" s="460" t="s">
        <v>2280</v>
      </c>
      <c r="R2635" s="460">
        <v>2322</v>
      </c>
      <c r="S2635" s="460" t="s">
        <v>1136</v>
      </c>
      <c r="T2635" s="462">
        <v>1</v>
      </c>
      <c r="U2635" s="460" t="s">
        <v>1136</v>
      </c>
      <c r="V2635" s="475">
        <v>0</v>
      </c>
      <c r="W2635" s="463" t="s">
        <v>713</v>
      </c>
      <c r="X2635" s="463" t="s">
        <v>713</v>
      </c>
      <c r="Y2635" s="463" t="s">
        <v>713</v>
      </c>
      <c r="Z2635" s="463"/>
      <c r="AA2635" s="463"/>
      <c r="AB2635" s="464">
        <v>683.68475656127703</v>
      </c>
      <c r="AC2635" s="465">
        <v>0.99674159051537536</v>
      </c>
      <c r="AD2635" s="465">
        <v>4.5057357878835755E-3</v>
      </c>
      <c r="AE2635" s="476">
        <v>685.36101215987264</v>
      </c>
      <c r="AF2635" s="467">
        <v>0.99918539762884384</v>
      </c>
      <c r="AG2635" s="468">
        <v>4.5159451789846886E-3</v>
      </c>
      <c r="AH2635" s="218">
        <v>685.36101215987264</v>
      </c>
      <c r="AI2635" s="470">
        <v>0.99918539762884384</v>
      </c>
      <c r="AJ2635" s="471">
        <v>4.5618417321748109E-3</v>
      </c>
      <c r="AK2635" s="218">
        <v>685.36101215987264</v>
      </c>
      <c r="AL2635" s="470">
        <v>0.99918539762884384</v>
      </c>
      <c r="AM2635" s="471">
        <v>4.5618417321748109E-3</v>
      </c>
      <c r="AN2635" s="477">
        <v>685.47276253311225</v>
      </c>
      <c r="AO2635" s="473">
        <v>0.99934831810307501</v>
      </c>
      <c r="AP2635" s="474">
        <v>4.5551615916801687E-3</v>
      </c>
      <c r="AQ2635" s="352"/>
      <c r="AR2635" s="352"/>
      <c r="AS2635" s="352"/>
      <c r="AT2635" s="352"/>
      <c r="AU2635" s="352"/>
      <c r="AV2635" s="352"/>
      <c r="AW2635" s="352" t="s">
        <v>254</v>
      </c>
    </row>
    <row r="2636" spans="2:49" x14ac:dyDescent="0.2">
      <c r="B2636" s="460" t="s">
        <v>3134</v>
      </c>
      <c r="C2636" s="460">
        <v>8000</v>
      </c>
      <c r="D2636" s="460" t="s">
        <v>2359</v>
      </c>
      <c r="E2636" s="460" t="s">
        <v>1137</v>
      </c>
      <c r="F2636" s="460">
        <v>2</v>
      </c>
      <c r="G2636" s="460">
        <v>4</v>
      </c>
      <c r="H2636" s="461" t="s">
        <v>712</v>
      </c>
      <c r="I2636" s="461" t="s">
        <v>713</v>
      </c>
      <c r="J2636" s="461" t="s">
        <v>712</v>
      </c>
      <c r="K2636" s="594"/>
      <c r="L2636" s="594"/>
      <c r="M2636" s="352">
        <v>8000</v>
      </c>
      <c r="N2636" s="352" t="s">
        <v>760</v>
      </c>
      <c r="O2636" s="460">
        <v>2322</v>
      </c>
      <c r="P2636" s="460" t="s">
        <v>791</v>
      </c>
      <c r="Q2636" s="460" t="s">
        <v>2280</v>
      </c>
      <c r="R2636" s="460">
        <v>2322</v>
      </c>
      <c r="S2636" s="460" t="s">
        <v>1137</v>
      </c>
      <c r="T2636" s="462">
        <v>1</v>
      </c>
      <c r="U2636" s="460" t="s">
        <v>1137</v>
      </c>
      <c r="V2636" s="475">
        <v>0</v>
      </c>
      <c r="W2636" s="463" t="s">
        <v>713</v>
      </c>
      <c r="X2636" s="463" t="s">
        <v>713</v>
      </c>
      <c r="Y2636" s="463" t="s">
        <v>713</v>
      </c>
      <c r="Z2636" s="463"/>
      <c r="AA2636" s="463"/>
      <c r="AB2636" s="464">
        <v>439.30149904112585</v>
      </c>
      <c r="AC2636" s="465">
        <v>0.93975876511161949</v>
      </c>
      <c r="AD2636" s="465">
        <v>2.5405411686141082E-3</v>
      </c>
      <c r="AE2636" s="476">
        <v>460.42186453253805</v>
      </c>
      <c r="AF2636" s="467">
        <v>0.98493969127790482</v>
      </c>
      <c r="AG2636" s="468">
        <v>2.6577973578532561E-3</v>
      </c>
      <c r="AH2636" s="218">
        <v>460.42186453253805</v>
      </c>
      <c r="AI2636" s="470">
        <v>0.98493969127790482</v>
      </c>
      <c r="AJ2636" s="471">
        <v>2.6704091896925558E-3</v>
      </c>
      <c r="AK2636" s="218">
        <v>460.42186453253805</v>
      </c>
      <c r="AL2636" s="470">
        <v>0.98493969127790482</v>
      </c>
      <c r="AM2636" s="471">
        <v>2.6704091896925558E-3</v>
      </c>
      <c r="AN2636" s="477">
        <v>461.82988889863219</v>
      </c>
      <c r="AO2636" s="473">
        <v>0.98795175302232385</v>
      </c>
      <c r="AP2636" s="474">
        <v>2.6763654068225609E-3</v>
      </c>
      <c r="AQ2636" s="352"/>
      <c r="AR2636" s="352"/>
      <c r="AS2636" s="352"/>
      <c r="AT2636" s="352"/>
      <c r="AU2636" s="352"/>
      <c r="AV2636" s="352"/>
      <c r="AW2636" s="352" t="s">
        <v>254</v>
      </c>
    </row>
    <row r="2637" spans="2:49" x14ac:dyDescent="0.2">
      <c r="B2637" s="460" t="s">
        <v>3135</v>
      </c>
      <c r="C2637" s="460">
        <v>8000</v>
      </c>
      <c r="D2637" s="460" t="s">
        <v>2360</v>
      </c>
      <c r="E2637" s="460" t="s">
        <v>1138</v>
      </c>
      <c r="F2637" s="460">
        <v>3</v>
      </c>
      <c r="G2637" s="460">
        <v>4</v>
      </c>
      <c r="H2637" s="461" t="s">
        <v>712</v>
      </c>
      <c r="I2637" s="461" t="s">
        <v>713</v>
      </c>
      <c r="J2637" s="461" t="s">
        <v>712</v>
      </c>
      <c r="K2637" s="594"/>
      <c r="L2637" s="594"/>
      <c r="M2637" s="352">
        <v>8000</v>
      </c>
      <c r="N2637" s="352" t="s">
        <v>760</v>
      </c>
      <c r="O2637" s="460">
        <v>2322</v>
      </c>
      <c r="P2637" s="460" t="s">
        <v>791</v>
      </c>
      <c r="Q2637" s="460" t="s">
        <v>2280</v>
      </c>
      <c r="R2637" s="460">
        <v>2322</v>
      </c>
      <c r="S2637" s="460" t="s">
        <v>1138</v>
      </c>
      <c r="T2637" s="462">
        <v>1</v>
      </c>
      <c r="U2637" s="460" t="s">
        <v>1138</v>
      </c>
      <c r="V2637" s="475">
        <v>0</v>
      </c>
      <c r="W2637" s="463" t="s">
        <v>713</v>
      </c>
      <c r="X2637" s="463" t="s">
        <v>713</v>
      </c>
      <c r="Y2637" s="463" t="s">
        <v>713</v>
      </c>
      <c r="Z2637" s="463"/>
      <c r="AA2637" s="463"/>
      <c r="AB2637" s="464">
        <v>532.62920959480687</v>
      </c>
      <c r="AC2637" s="465">
        <v>0.97233184533044703</v>
      </c>
      <c r="AD2637" s="465">
        <v>6.6469710882771605E-3</v>
      </c>
      <c r="AE2637" s="476">
        <v>543.99636841771564</v>
      </c>
      <c r="AF2637" s="467">
        <v>0.99308296133261176</v>
      </c>
      <c r="AG2637" s="468">
        <v>6.7740994053612624E-3</v>
      </c>
      <c r="AH2637" s="218">
        <v>543.99636841771564</v>
      </c>
      <c r="AI2637" s="470">
        <v>0.99308296133261176</v>
      </c>
      <c r="AJ2637" s="471">
        <v>6.8535282459437474E-3</v>
      </c>
      <c r="AK2637" s="218">
        <v>543.99636841771564</v>
      </c>
      <c r="AL2637" s="470">
        <v>0.99308296133261176</v>
      </c>
      <c r="AM2637" s="471">
        <v>6.8535282459437474E-3</v>
      </c>
      <c r="AN2637" s="477">
        <v>544.75417900590958</v>
      </c>
      <c r="AO2637" s="473">
        <v>0.99446636906608943</v>
      </c>
      <c r="AP2637" s="474">
        <v>6.8625582792919033E-3</v>
      </c>
      <c r="AQ2637" s="352"/>
      <c r="AR2637" s="352"/>
      <c r="AS2637" s="352"/>
      <c r="AT2637" s="352"/>
      <c r="AU2637" s="352"/>
      <c r="AV2637" s="352"/>
      <c r="AW2637" s="352" t="s">
        <v>254</v>
      </c>
    </row>
    <row r="2638" spans="2:49" x14ac:dyDescent="0.2">
      <c r="B2638" s="460" t="s">
        <v>3136</v>
      </c>
      <c r="C2638" s="460">
        <v>8000</v>
      </c>
      <c r="D2638" s="460" t="s">
        <v>2361</v>
      </c>
      <c r="E2638" s="460" t="s">
        <v>1139</v>
      </c>
      <c r="F2638" s="460">
        <v>4</v>
      </c>
      <c r="G2638" s="460">
        <v>4</v>
      </c>
      <c r="H2638" s="461" t="s">
        <v>712</v>
      </c>
      <c r="I2638" s="461" t="s">
        <v>713</v>
      </c>
      <c r="J2638" s="461" t="s">
        <v>712</v>
      </c>
      <c r="K2638" s="594"/>
      <c r="L2638" s="594"/>
      <c r="M2638" s="352">
        <v>8000</v>
      </c>
      <c r="N2638" s="352" t="s">
        <v>760</v>
      </c>
      <c r="O2638" s="460">
        <v>2322</v>
      </c>
      <c r="P2638" s="460" t="s">
        <v>791</v>
      </c>
      <c r="Q2638" s="460" t="s">
        <v>2280</v>
      </c>
      <c r="R2638" s="460">
        <v>2322</v>
      </c>
      <c r="S2638" s="460" t="s">
        <v>1139</v>
      </c>
      <c r="T2638" s="462">
        <v>1</v>
      </c>
      <c r="U2638" s="460" t="s">
        <v>1139</v>
      </c>
      <c r="V2638" s="475">
        <v>0</v>
      </c>
      <c r="W2638" s="463" t="s">
        <v>713</v>
      </c>
      <c r="X2638" s="463" t="s">
        <v>713</v>
      </c>
      <c r="Y2638" s="463" t="s">
        <v>713</v>
      </c>
      <c r="Z2638" s="463"/>
      <c r="AA2638" s="463"/>
      <c r="AB2638" s="464">
        <v>614.4858225079563</v>
      </c>
      <c r="AC2638" s="465">
        <v>1</v>
      </c>
      <c r="AD2638" s="465">
        <v>6.8037316352360759E-3</v>
      </c>
      <c r="AE2638" s="476">
        <v>614.4858225079563</v>
      </c>
      <c r="AF2638" s="467">
        <v>1</v>
      </c>
      <c r="AG2638" s="468">
        <v>6.8037316352360759E-3</v>
      </c>
      <c r="AH2638" s="218">
        <v>614.4858225079563</v>
      </c>
      <c r="AI2638" s="470">
        <v>1</v>
      </c>
      <c r="AJ2638" s="471">
        <v>6.9500653239484402E-3</v>
      </c>
      <c r="AK2638" s="218">
        <v>614.4858225079563</v>
      </c>
      <c r="AL2638" s="470">
        <v>1</v>
      </c>
      <c r="AM2638" s="471">
        <v>6.9500653239484402E-3</v>
      </c>
      <c r="AN2638" s="477">
        <v>614.4858225079563</v>
      </c>
      <c r="AO2638" s="473">
        <v>1</v>
      </c>
      <c r="AP2638" s="474">
        <v>6.9500653239484402E-3</v>
      </c>
      <c r="AQ2638" s="352"/>
      <c r="AR2638" s="352"/>
      <c r="AS2638" s="352"/>
      <c r="AT2638" s="352"/>
      <c r="AU2638" s="352"/>
      <c r="AV2638" s="352"/>
      <c r="AW2638" s="352" t="s">
        <v>254</v>
      </c>
    </row>
    <row r="2639" spans="2:49" x14ac:dyDescent="0.2">
      <c r="B2639" s="460" t="s">
        <v>3133</v>
      </c>
      <c r="C2639" s="460">
        <v>8000</v>
      </c>
      <c r="D2639" s="460" t="s">
        <v>2362</v>
      </c>
      <c r="E2639" s="460" t="s">
        <v>1136</v>
      </c>
      <c r="F2639" s="460">
        <v>1</v>
      </c>
      <c r="G2639" s="460">
        <v>4</v>
      </c>
      <c r="H2639" s="461" t="s">
        <v>746</v>
      </c>
      <c r="I2639" s="461" t="s">
        <v>762</v>
      </c>
      <c r="J2639" s="461" t="s">
        <v>700</v>
      </c>
      <c r="K2639" s="594"/>
      <c r="L2639" s="594"/>
      <c r="M2639" s="352">
        <v>8000</v>
      </c>
      <c r="N2639" s="352" t="s">
        <v>760</v>
      </c>
      <c r="O2639" s="460">
        <v>2322</v>
      </c>
      <c r="P2639" s="460" t="s">
        <v>791</v>
      </c>
      <c r="Q2639" s="460" t="s">
        <v>2553</v>
      </c>
      <c r="R2639" s="460">
        <v>2322</v>
      </c>
      <c r="S2639" s="460" t="s">
        <v>1136</v>
      </c>
      <c r="T2639" s="462">
        <v>1</v>
      </c>
      <c r="U2639" s="460" t="s">
        <v>1136</v>
      </c>
      <c r="V2639" s="475">
        <v>0</v>
      </c>
      <c r="W2639" s="463" t="s">
        <v>2268</v>
      </c>
      <c r="X2639" s="463" t="s">
        <v>2268</v>
      </c>
      <c r="Y2639" s="463" t="s">
        <v>2554</v>
      </c>
      <c r="Z2639" s="463"/>
      <c r="AA2639" s="463"/>
      <c r="AB2639" s="464">
        <v>0</v>
      </c>
      <c r="AC2639" s="465">
        <v>0</v>
      </c>
      <c r="AD2639" s="465">
        <v>0</v>
      </c>
      <c r="AE2639" s="476">
        <v>0</v>
      </c>
      <c r="AF2639" s="467">
        <v>0</v>
      </c>
      <c r="AG2639" s="468">
        <v>0</v>
      </c>
      <c r="AH2639" s="218">
        <v>0</v>
      </c>
      <c r="AI2639" s="470">
        <v>0</v>
      </c>
      <c r="AJ2639" s="471">
        <v>0</v>
      </c>
      <c r="AK2639" s="218">
        <v>0</v>
      </c>
      <c r="AL2639" s="470">
        <v>0</v>
      </c>
      <c r="AM2639" s="471">
        <v>0</v>
      </c>
      <c r="AN2639" s="477">
        <v>0.2235007464794086</v>
      </c>
      <c r="AO2639" s="473">
        <v>3.2584094846246995E-4</v>
      </c>
      <c r="AP2639" s="474">
        <v>1.0080981339549134E-3</v>
      </c>
      <c r="AQ2639" s="352"/>
      <c r="AR2639" s="352"/>
      <c r="AS2639" s="352"/>
      <c r="AT2639" s="352"/>
      <c r="AU2639" s="352"/>
      <c r="AV2639" s="352"/>
      <c r="AW2639" s="352" t="s">
        <v>254</v>
      </c>
    </row>
    <row r="2640" spans="2:49" x14ac:dyDescent="0.2">
      <c r="B2640" s="460" t="s">
        <v>3134</v>
      </c>
      <c r="C2640" s="460">
        <v>8000</v>
      </c>
      <c r="D2640" s="460" t="s">
        <v>2363</v>
      </c>
      <c r="E2640" s="460" t="s">
        <v>1137</v>
      </c>
      <c r="F2640" s="460">
        <v>2</v>
      </c>
      <c r="G2640" s="460">
        <v>4</v>
      </c>
      <c r="H2640" s="461" t="s">
        <v>746</v>
      </c>
      <c r="I2640" s="461" t="s">
        <v>762</v>
      </c>
      <c r="J2640" s="461" t="s">
        <v>700</v>
      </c>
      <c r="K2640" s="594"/>
      <c r="L2640" s="594"/>
      <c r="M2640" s="352">
        <v>8000</v>
      </c>
      <c r="N2640" s="352" t="s">
        <v>760</v>
      </c>
      <c r="O2640" s="460">
        <v>2322</v>
      </c>
      <c r="P2640" s="460" t="s">
        <v>791</v>
      </c>
      <c r="Q2640" s="460" t="s">
        <v>2553</v>
      </c>
      <c r="R2640" s="460">
        <v>2322</v>
      </c>
      <c r="S2640" s="460" t="s">
        <v>1137</v>
      </c>
      <c r="T2640" s="462">
        <v>1</v>
      </c>
      <c r="U2640" s="460" t="s">
        <v>1137</v>
      </c>
      <c r="V2640" s="475">
        <v>0</v>
      </c>
      <c r="W2640" s="463" t="s">
        <v>2268</v>
      </c>
      <c r="X2640" s="463" t="s">
        <v>2268</v>
      </c>
      <c r="Y2640" s="463" t="s">
        <v>2554</v>
      </c>
      <c r="Z2640" s="463"/>
      <c r="AA2640" s="463"/>
      <c r="AB2640" s="464">
        <v>0</v>
      </c>
      <c r="AC2640" s="465">
        <v>0</v>
      </c>
      <c r="AD2640" s="465">
        <v>0</v>
      </c>
      <c r="AE2640" s="476">
        <v>0</v>
      </c>
      <c r="AF2640" s="467">
        <v>0</v>
      </c>
      <c r="AG2640" s="468">
        <v>0</v>
      </c>
      <c r="AH2640" s="218">
        <v>0</v>
      </c>
      <c r="AI2640" s="470">
        <v>0</v>
      </c>
      <c r="AJ2640" s="471">
        <v>0</v>
      </c>
      <c r="AK2640" s="218">
        <v>0</v>
      </c>
      <c r="AL2640" s="470">
        <v>0</v>
      </c>
      <c r="AM2640" s="471">
        <v>0</v>
      </c>
      <c r="AN2640" s="477">
        <v>2.8160487321882957</v>
      </c>
      <c r="AO2640" s="473">
        <v>6.0241234888380544E-3</v>
      </c>
      <c r="AP2640" s="474">
        <v>7.6952354166062655E-4</v>
      </c>
      <c r="AQ2640" s="352"/>
      <c r="AR2640" s="352"/>
      <c r="AS2640" s="352"/>
      <c r="AT2640" s="352"/>
      <c r="AU2640" s="352"/>
      <c r="AV2640" s="352"/>
      <c r="AW2640" s="352" t="s">
        <v>254</v>
      </c>
    </row>
    <row r="2641" spans="2:49" x14ac:dyDescent="0.2">
      <c r="B2641" s="460" t="s">
        <v>3135</v>
      </c>
      <c r="C2641" s="460">
        <v>8000</v>
      </c>
      <c r="D2641" s="460" t="s">
        <v>2364</v>
      </c>
      <c r="E2641" s="460" t="s">
        <v>1138</v>
      </c>
      <c r="F2641" s="460">
        <v>3</v>
      </c>
      <c r="G2641" s="460">
        <v>4</v>
      </c>
      <c r="H2641" s="461" t="s">
        <v>746</v>
      </c>
      <c r="I2641" s="461" t="s">
        <v>762</v>
      </c>
      <c r="J2641" s="461" t="s">
        <v>700</v>
      </c>
      <c r="K2641" s="594"/>
      <c r="L2641" s="594"/>
      <c r="M2641" s="352">
        <v>8000</v>
      </c>
      <c r="N2641" s="352" t="s">
        <v>760</v>
      </c>
      <c r="O2641" s="460">
        <v>2322</v>
      </c>
      <c r="P2641" s="460" t="s">
        <v>791</v>
      </c>
      <c r="Q2641" s="460" t="s">
        <v>2553</v>
      </c>
      <c r="R2641" s="460">
        <v>2322</v>
      </c>
      <c r="S2641" s="460" t="s">
        <v>1138</v>
      </c>
      <c r="T2641" s="462">
        <v>1</v>
      </c>
      <c r="U2641" s="460" t="s">
        <v>1138</v>
      </c>
      <c r="V2641" s="475">
        <v>0</v>
      </c>
      <c r="W2641" s="463" t="s">
        <v>2268</v>
      </c>
      <c r="X2641" s="463" t="s">
        <v>2268</v>
      </c>
      <c r="Y2641" s="463" t="s">
        <v>2554</v>
      </c>
      <c r="Z2641" s="463"/>
      <c r="AA2641" s="463"/>
      <c r="AB2641" s="464">
        <v>0</v>
      </c>
      <c r="AC2641" s="465">
        <v>0</v>
      </c>
      <c r="AD2641" s="465">
        <v>0</v>
      </c>
      <c r="AE2641" s="476">
        <v>0</v>
      </c>
      <c r="AF2641" s="467">
        <v>0</v>
      </c>
      <c r="AG2641" s="468">
        <v>0</v>
      </c>
      <c r="AH2641" s="218">
        <v>0</v>
      </c>
      <c r="AI2641" s="470">
        <v>0</v>
      </c>
      <c r="AJ2641" s="471">
        <v>0</v>
      </c>
      <c r="AK2641" s="218">
        <v>0</v>
      </c>
      <c r="AL2641" s="470">
        <v>0</v>
      </c>
      <c r="AM2641" s="471">
        <v>0</v>
      </c>
      <c r="AN2641" s="477">
        <v>1.5156211763878333</v>
      </c>
      <c r="AO2641" s="473">
        <v>2.7668154669552945E-3</v>
      </c>
      <c r="AP2641" s="474">
        <v>7.8445368823339297E-4</v>
      </c>
      <c r="AQ2641" s="352"/>
      <c r="AR2641" s="352"/>
      <c r="AS2641" s="352"/>
      <c r="AT2641" s="352"/>
      <c r="AU2641" s="352"/>
      <c r="AV2641" s="352"/>
      <c r="AW2641" s="352" t="s">
        <v>254</v>
      </c>
    </row>
    <row r="2642" spans="2:49" x14ac:dyDescent="0.2">
      <c r="B2642" s="460" t="s">
        <v>3136</v>
      </c>
      <c r="C2642" s="460">
        <v>8000</v>
      </c>
      <c r="D2642" s="460" t="s">
        <v>2365</v>
      </c>
      <c r="E2642" s="460" t="s">
        <v>1139</v>
      </c>
      <c r="F2642" s="460">
        <v>4</v>
      </c>
      <c r="G2642" s="460">
        <v>4</v>
      </c>
      <c r="H2642" s="461" t="s">
        <v>746</v>
      </c>
      <c r="I2642" s="461" t="s">
        <v>762</v>
      </c>
      <c r="J2642" s="461" t="s">
        <v>700</v>
      </c>
      <c r="K2642" s="594"/>
      <c r="L2642" s="594"/>
      <c r="M2642" s="352">
        <v>8000</v>
      </c>
      <c r="N2642" s="352" t="s">
        <v>760</v>
      </c>
      <c r="O2642" s="460">
        <v>2322</v>
      </c>
      <c r="P2642" s="460" t="s">
        <v>791</v>
      </c>
      <c r="Q2642" s="460" t="s">
        <v>2553</v>
      </c>
      <c r="R2642" s="460">
        <v>2322</v>
      </c>
      <c r="S2642" s="460" t="s">
        <v>1139</v>
      </c>
      <c r="T2642" s="462">
        <v>1</v>
      </c>
      <c r="U2642" s="460" t="s">
        <v>1139</v>
      </c>
      <c r="V2642" s="475">
        <v>0</v>
      </c>
      <c r="W2642" s="463" t="s">
        <v>2268</v>
      </c>
      <c r="X2642" s="463" t="s">
        <v>2268</v>
      </c>
      <c r="Y2642" s="463" t="s">
        <v>2554</v>
      </c>
      <c r="Z2642" s="463"/>
      <c r="AA2642" s="463"/>
      <c r="AB2642" s="464">
        <v>0</v>
      </c>
      <c r="AC2642" s="465">
        <v>0</v>
      </c>
      <c r="AD2642" s="465">
        <v>0</v>
      </c>
      <c r="AE2642" s="476">
        <v>0</v>
      </c>
      <c r="AF2642" s="467">
        <v>0</v>
      </c>
      <c r="AG2642" s="468">
        <v>0</v>
      </c>
      <c r="AH2642" s="218">
        <v>0</v>
      </c>
      <c r="AI2642" s="470">
        <v>0</v>
      </c>
      <c r="AJ2642" s="471">
        <v>0</v>
      </c>
      <c r="AK2642" s="218">
        <v>0</v>
      </c>
      <c r="AL2642" s="470">
        <v>0</v>
      </c>
      <c r="AM2642" s="471">
        <v>0</v>
      </c>
      <c r="AN2642" s="477">
        <v>0</v>
      </c>
      <c r="AO2642" s="473">
        <v>0</v>
      </c>
      <c r="AP2642" s="474">
        <v>0</v>
      </c>
      <c r="AQ2642" s="352"/>
      <c r="AR2642" s="352"/>
      <c r="AS2642" s="352"/>
      <c r="AT2642" s="352"/>
      <c r="AU2642" s="352"/>
      <c r="AV2642" s="352"/>
      <c r="AW2642" s="352" t="s">
        <v>254</v>
      </c>
    </row>
    <row r="2643" spans="2:49" x14ac:dyDescent="0.2">
      <c r="B2643" s="460" t="s">
        <v>3133</v>
      </c>
      <c r="C2643" s="460">
        <v>8000</v>
      </c>
      <c r="D2643" s="460" t="s">
        <v>2366</v>
      </c>
      <c r="E2643" s="460" t="s">
        <v>1136</v>
      </c>
      <c r="F2643" s="460">
        <v>1</v>
      </c>
      <c r="G2643" s="460">
        <v>4</v>
      </c>
      <c r="H2643" s="461" t="s">
        <v>748</v>
      </c>
      <c r="I2643" s="461" t="s">
        <v>765</v>
      </c>
      <c r="J2643" s="461" t="s">
        <v>700</v>
      </c>
      <c r="K2643" s="594"/>
      <c r="L2643" s="594"/>
      <c r="M2643" s="352">
        <v>8000</v>
      </c>
      <c r="N2643" s="352" t="s">
        <v>760</v>
      </c>
      <c r="O2643" s="460">
        <v>2322</v>
      </c>
      <c r="P2643" s="460" t="s">
        <v>791</v>
      </c>
      <c r="Q2643" s="460" t="s">
        <v>2553</v>
      </c>
      <c r="R2643" s="460">
        <v>2322</v>
      </c>
      <c r="S2643" s="460" t="s">
        <v>1136</v>
      </c>
      <c r="T2643" s="462">
        <v>1</v>
      </c>
      <c r="U2643" s="460" t="s">
        <v>1136</v>
      </c>
      <c r="V2643" s="475">
        <v>0</v>
      </c>
      <c r="W2643" s="463" t="s">
        <v>2268</v>
      </c>
      <c r="X2643" s="463" t="s">
        <v>2268</v>
      </c>
      <c r="Y2643" s="463" t="s">
        <v>2554</v>
      </c>
      <c r="Z2643" s="463"/>
      <c r="AA2643" s="463"/>
      <c r="AB2643" s="464">
        <v>0</v>
      </c>
      <c r="AC2643" s="465">
        <v>0</v>
      </c>
      <c r="AD2643" s="465">
        <v>0</v>
      </c>
      <c r="AE2643" s="476">
        <v>0</v>
      </c>
      <c r="AF2643" s="467">
        <v>0</v>
      </c>
      <c r="AG2643" s="468">
        <v>0</v>
      </c>
      <c r="AH2643" s="218">
        <v>0</v>
      </c>
      <c r="AI2643" s="470">
        <v>0</v>
      </c>
      <c r="AJ2643" s="471">
        <v>0</v>
      </c>
      <c r="AK2643" s="218">
        <v>0</v>
      </c>
      <c r="AL2643" s="470">
        <v>0</v>
      </c>
      <c r="AM2643" s="471">
        <v>0</v>
      </c>
      <c r="AN2643" s="477">
        <v>0.2235007464794086</v>
      </c>
      <c r="AO2643" s="473">
        <v>3.2584094846246995E-4</v>
      </c>
      <c r="AP2643" s="474">
        <v>2.7460366750449059E-4</v>
      </c>
      <c r="AQ2643" s="352"/>
      <c r="AR2643" s="352"/>
      <c r="AS2643" s="352"/>
      <c r="AT2643" s="352"/>
      <c r="AU2643" s="352"/>
      <c r="AV2643" s="352"/>
      <c r="AW2643" s="352" t="s">
        <v>254</v>
      </c>
    </row>
    <row r="2644" spans="2:49" x14ac:dyDescent="0.2">
      <c r="B2644" s="460" t="s">
        <v>3134</v>
      </c>
      <c r="C2644" s="460">
        <v>8000</v>
      </c>
      <c r="D2644" s="460" t="s">
        <v>2367</v>
      </c>
      <c r="E2644" s="460" t="s">
        <v>1137</v>
      </c>
      <c r="F2644" s="460">
        <v>2</v>
      </c>
      <c r="G2644" s="460">
        <v>4</v>
      </c>
      <c r="H2644" s="461" t="s">
        <v>748</v>
      </c>
      <c r="I2644" s="461" t="s">
        <v>765</v>
      </c>
      <c r="J2644" s="461" t="s">
        <v>700</v>
      </c>
      <c r="K2644" s="594"/>
      <c r="L2644" s="594"/>
      <c r="M2644" s="352">
        <v>8000</v>
      </c>
      <c r="N2644" s="352" t="s">
        <v>760</v>
      </c>
      <c r="O2644" s="460">
        <v>2322</v>
      </c>
      <c r="P2644" s="460" t="s">
        <v>791</v>
      </c>
      <c r="Q2644" s="460" t="s">
        <v>2553</v>
      </c>
      <c r="R2644" s="460">
        <v>2322</v>
      </c>
      <c r="S2644" s="460" t="s">
        <v>1137</v>
      </c>
      <c r="T2644" s="462">
        <v>1</v>
      </c>
      <c r="U2644" s="460" t="s">
        <v>1137</v>
      </c>
      <c r="V2644" s="475">
        <v>0</v>
      </c>
      <c r="W2644" s="463" t="s">
        <v>2268</v>
      </c>
      <c r="X2644" s="463" t="s">
        <v>2268</v>
      </c>
      <c r="Y2644" s="463" t="s">
        <v>2554</v>
      </c>
      <c r="Z2644" s="463"/>
      <c r="AA2644" s="463"/>
      <c r="AB2644" s="464">
        <v>0</v>
      </c>
      <c r="AC2644" s="465">
        <v>0</v>
      </c>
      <c r="AD2644" s="465">
        <v>0</v>
      </c>
      <c r="AE2644" s="476">
        <v>0</v>
      </c>
      <c r="AF2644" s="467">
        <v>0</v>
      </c>
      <c r="AG2644" s="468">
        <v>0</v>
      </c>
      <c r="AH2644" s="218">
        <v>0</v>
      </c>
      <c r="AI2644" s="470">
        <v>0</v>
      </c>
      <c r="AJ2644" s="471">
        <v>0</v>
      </c>
      <c r="AK2644" s="218">
        <v>0</v>
      </c>
      <c r="AL2644" s="470">
        <v>0</v>
      </c>
      <c r="AM2644" s="471">
        <v>0</v>
      </c>
      <c r="AN2644" s="477">
        <v>2.8160487321882957</v>
      </c>
      <c r="AO2644" s="473">
        <v>6.0241234888380544E-3</v>
      </c>
      <c r="AP2644" s="474">
        <v>2.7124493575924865E-3</v>
      </c>
      <c r="AQ2644" s="352"/>
      <c r="AR2644" s="352"/>
      <c r="AS2644" s="352"/>
      <c r="AT2644" s="352"/>
      <c r="AU2644" s="352"/>
      <c r="AV2644" s="352"/>
      <c r="AW2644" s="352" t="s">
        <v>254</v>
      </c>
    </row>
    <row r="2645" spans="2:49" x14ac:dyDescent="0.2">
      <c r="B2645" s="460" t="s">
        <v>3135</v>
      </c>
      <c r="C2645" s="460">
        <v>8000</v>
      </c>
      <c r="D2645" s="460" t="s">
        <v>2368</v>
      </c>
      <c r="E2645" s="460" t="s">
        <v>1138</v>
      </c>
      <c r="F2645" s="460">
        <v>3</v>
      </c>
      <c r="G2645" s="460">
        <v>4</v>
      </c>
      <c r="H2645" s="461" t="s">
        <v>748</v>
      </c>
      <c r="I2645" s="461" t="s">
        <v>765</v>
      </c>
      <c r="J2645" s="461" t="s">
        <v>700</v>
      </c>
      <c r="K2645" s="594"/>
      <c r="L2645" s="594"/>
      <c r="M2645" s="352">
        <v>8000</v>
      </c>
      <c r="N2645" s="352" t="s">
        <v>760</v>
      </c>
      <c r="O2645" s="460">
        <v>2322</v>
      </c>
      <c r="P2645" s="460" t="s">
        <v>791</v>
      </c>
      <c r="Q2645" s="460" t="s">
        <v>2553</v>
      </c>
      <c r="R2645" s="460">
        <v>2322</v>
      </c>
      <c r="S2645" s="460" t="s">
        <v>1138</v>
      </c>
      <c r="T2645" s="462">
        <v>1</v>
      </c>
      <c r="U2645" s="460" t="s">
        <v>1138</v>
      </c>
      <c r="V2645" s="475">
        <v>0</v>
      </c>
      <c r="W2645" s="463" t="s">
        <v>2268</v>
      </c>
      <c r="X2645" s="463" t="s">
        <v>2268</v>
      </c>
      <c r="Y2645" s="463" t="s">
        <v>2554</v>
      </c>
      <c r="Z2645" s="463"/>
      <c r="AA2645" s="463"/>
      <c r="AB2645" s="464">
        <v>0</v>
      </c>
      <c r="AC2645" s="465">
        <v>0</v>
      </c>
      <c r="AD2645" s="465">
        <v>0</v>
      </c>
      <c r="AE2645" s="476">
        <v>0</v>
      </c>
      <c r="AF2645" s="467">
        <v>0</v>
      </c>
      <c r="AG2645" s="468">
        <v>0</v>
      </c>
      <c r="AH2645" s="218">
        <v>0</v>
      </c>
      <c r="AI2645" s="470">
        <v>0</v>
      </c>
      <c r="AJ2645" s="471">
        <v>0</v>
      </c>
      <c r="AK2645" s="218">
        <v>0</v>
      </c>
      <c r="AL2645" s="470">
        <v>0</v>
      </c>
      <c r="AM2645" s="471">
        <v>0</v>
      </c>
      <c r="AN2645" s="477">
        <v>1.5156211763878333</v>
      </c>
      <c r="AO2645" s="473">
        <v>2.7668154669552945E-3</v>
      </c>
      <c r="AP2645" s="474">
        <v>1.5725335027843644E-3</v>
      </c>
      <c r="AQ2645" s="352"/>
      <c r="AR2645" s="352"/>
      <c r="AS2645" s="352"/>
      <c r="AT2645" s="352"/>
      <c r="AU2645" s="352"/>
      <c r="AV2645" s="352"/>
      <c r="AW2645" s="352" t="s">
        <v>254</v>
      </c>
    </row>
    <row r="2646" spans="2:49" x14ac:dyDescent="0.2">
      <c r="B2646" s="460" t="s">
        <v>3136</v>
      </c>
      <c r="C2646" s="460">
        <v>8000</v>
      </c>
      <c r="D2646" s="460" t="s">
        <v>2369</v>
      </c>
      <c r="E2646" s="460" t="s">
        <v>1139</v>
      </c>
      <c r="F2646" s="460">
        <v>4</v>
      </c>
      <c r="G2646" s="460">
        <v>4</v>
      </c>
      <c r="H2646" s="461" t="s">
        <v>748</v>
      </c>
      <c r="I2646" s="461" t="s">
        <v>765</v>
      </c>
      <c r="J2646" s="461" t="s">
        <v>700</v>
      </c>
      <c r="K2646" s="594"/>
      <c r="L2646" s="594"/>
      <c r="M2646" s="352">
        <v>8000</v>
      </c>
      <c r="N2646" s="352" t="s">
        <v>760</v>
      </c>
      <c r="O2646" s="460">
        <v>2322</v>
      </c>
      <c r="P2646" s="460" t="s">
        <v>791</v>
      </c>
      <c r="Q2646" s="460" t="s">
        <v>2553</v>
      </c>
      <c r="R2646" s="460">
        <v>2322</v>
      </c>
      <c r="S2646" s="460" t="s">
        <v>1139</v>
      </c>
      <c r="T2646" s="462">
        <v>1</v>
      </c>
      <c r="U2646" s="460" t="s">
        <v>1139</v>
      </c>
      <c r="V2646" s="475">
        <v>0</v>
      </c>
      <c r="W2646" s="463" t="s">
        <v>2268</v>
      </c>
      <c r="X2646" s="463" t="s">
        <v>2268</v>
      </c>
      <c r="Y2646" s="463" t="s">
        <v>2554</v>
      </c>
      <c r="Z2646" s="463"/>
      <c r="AA2646" s="463"/>
      <c r="AB2646" s="464">
        <v>0</v>
      </c>
      <c r="AC2646" s="465">
        <v>0</v>
      </c>
      <c r="AD2646" s="465">
        <v>0</v>
      </c>
      <c r="AE2646" s="476">
        <v>0</v>
      </c>
      <c r="AF2646" s="467">
        <v>0</v>
      </c>
      <c r="AG2646" s="468">
        <v>0</v>
      </c>
      <c r="AH2646" s="218">
        <v>0</v>
      </c>
      <c r="AI2646" s="470">
        <v>0</v>
      </c>
      <c r="AJ2646" s="471">
        <v>0</v>
      </c>
      <c r="AK2646" s="218">
        <v>0</v>
      </c>
      <c r="AL2646" s="470">
        <v>0</v>
      </c>
      <c r="AM2646" s="471">
        <v>0</v>
      </c>
      <c r="AN2646" s="477">
        <v>0</v>
      </c>
      <c r="AO2646" s="473">
        <v>0</v>
      </c>
      <c r="AP2646" s="474">
        <v>0</v>
      </c>
      <c r="AQ2646" s="352"/>
      <c r="AR2646" s="352"/>
      <c r="AS2646" s="352"/>
      <c r="AT2646" s="352"/>
      <c r="AU2646" s="352"/>
      <c r="AV2646" s="352"/>
      <c r="AW2646" s="352" t="s">
        <v>254</v>
      </c>
    </row>
    <row r="2647" spans="2:49" x14ac:dyDescent="0.2">
      <c r="B2647" s="460" t="s">
        <v>3133</v>
      </c>
      <c r="C2647" s="460">
        <v>8000</v>
      </c>
      <c r="D2647" s="460" t="s">
        <v>2370</v>
      </c>
      <c r="E2647" s="460" t="s">
        <v>1136</v>
      </c>
      <c r="F2647" s="460">
        <v>1</v>
      </c>
      <c r="G2647" s="460">
        <v>4</v>
      </c>
      <c r="H2647" s="461" t="s">
        <v>752</v>
      </c>
      <c r="I2647" s="461" t="s">
        <v>964</v>
      </c>
      <c r="J2647" s="461" t="s">
        <v>752</v>
      </c>
      <c r="K2647" s="594"/>
      <c r="L2647" s="594"/>
      <c r="M2647" s="352">
        <v>8000</v>
      </c>
      <c r="N2647" s="352" t="s">
        <v>760</v>
      </c>
      <c r="O2647" s="460">
        <v>2322</v>
      </c>
      <c r="P2647" s="460" t="s">
        <v>791</v>
      </c>
      <c r="Q2647" s="460" t="s">
        <v>2553</v>
      </c>
      <c r="R2647" s="460">
        <v>2322</v>
      </c>
      <c r="S2647" s="460" t="s">
        <v>1136</v>
      </c>
      <c r="T2647" s="462">
        <v>1</v>
      </c>
      <c r="U2647" s="460" t="s">
        <v>1136</v>
      </c>
      <c r="V2647" s="475">
        <v>0</v>
      </c>
      <c r="W2647" s="463" t="s">
        <v>2278</v>
      </c>
      <c r="X2647" s="463" t="s">
        <v>2278</v>
      </c>
      <c r="Y2647" s="463" t="s">
        <v>2278</v>
      </c>
      <c r="Z2647" s="463"/>
      <c r="AA2647" s="463"/>
      <c r="AB2647" s="464">
        <v>0</v>
      </c>
      <c r="AC2647" s="465">
        <v>0</v>
      </c>
      <c r="AD2647" s="465">
        <v>0</v>
      </c>
      <c r="AE2647" s="476">
        <v>0</v>
      </c>
      <c r="AF2647" s="467">
        <v>0</v>
      </c>
      <c r="AG2647" s="468">
        <v>0</v>
      </c>
      <c r="AH2647" s="218">
        <v>0</v>
      </c>
      <c r="AI2647" s="470">
        <v>0</v>
      </c>
      <c r="AJ2647" s="471">
        <v>0</v>
      </c>
      <c r="AK2647" s="218">
        <v>0</v>
      </c>
      <c r="AL2647" s="470">
        <v>0</v>
      </c>
      <c r="AM2647" s="471">
        <v>0</v>
      </c>
      <c r="AN2647" s="477">
        <v>0</v>
      </c>
      <c r="AO2647" s="473">
        <v>0</v>
      </c>
      <c r="AP2647" s="474">
        <v>0</v>
      </c>
      <c r="AQ2647" s="352"/>
      <c r="AR2647" s="352"/>
      <c r="AS2647" s="352"/>
      <c r="AT2647" s="352"/>
      <c r="AU2647" s="352"/>
      <c r="AV2647" s="352"/>
      <c r="AW2647" s="352" t="s">
        <v>254</v>
      </c>
    </row>
    <row r="2648" spans="2:49" x14ac:dyDescent="0.2">
      <c r="B2648" s="460" t="s">
        <v>3134</v>
      </c>
      <c r="C2648" s="460">
        <v>8000</v>
      </c>
      <c r="D2648" s="460" t="s">
        <v>2371</v>
      </c>
      <c r="E2648" s="460" t="s">
        <v>1137</v>
      </c>
      <c r="F2648" s="460">
        <v>2</v>
      </c>
      <c r="G2648" s="460">
        <v>4</v>
      </c>
      <c r="H2648" s="461" t="s">
        <v>752</v>
      </c>
      <c r="I2648" s="461" t="s">
        <v>964</v>
      </c>
      <c r="J2648" s="461" t="s">
        <v>752</v>
      </c>
      <c r="K2648" s="594"/>
      <c r="L2648" s="594"/>
      <c r="M2648" s="352">
        <v>8000</v>
      </c>
      <c r="N2648" s="352" t="s">
        <v>760</v>
      </c>
      <c r="O2648" s="460">
        <v>2322</v>
      </c>
      <c r="P2648" s="460" t="s">
        <v>791</v>
      </c>
      <c r="Q2648" s="460" t="s">
        <v>2553</v>
      </c>
      <c r="R2648" s="460">
        <v>2322</v>
      </c>
      <c r="S2648" s="460" t="s">
        <v>1137</v>
      </c>
      <c r="T2648" s="462">
        <v>1</v>
      </c>
      <c r="U2648" s="460" t="s">
        <v>1137</v>
      </c>
      <c r="V2648" s="475">
        <v>0</v>
      </c>
      <c r="W2648" s="463" t="s">
        <v>2278</v>
      </c>
      <c r="X2648" s="463" t="s">
        <v>2278</v>
      </c>
      <c r="Y2648" s="463" t="s">
        <v>2278</v>
      </c>
      <c r="Z2648" s="463"/>
      <c r="AA2648" s="463"/>
      <c r="AB2648" s="464">
        <v>0</v>
      </c>
      <c r="AC2648" s="465">
        <v>0</v>
      </c>
      <c r="AD2648" s="465">
        <v>0</v>
      </c>
      <c r="AE2648" s="476">
        <v>0</v>
      </c>
      <c r="AF2648" s="467">
        <v>0</v>
      </c>
      <c r="AG2648" s="468">
        <v>0</v>
      </c>
      <c r="AH2648" s="218">
        <v>0</v>
      </c>
      <c r="AI2648" s="470">
        <v>0</v>
      </c>
      <c r="AJ2648" s="471">
        <v>0</v>
      </c>
      <c r="AK2648" s="218">
        <v>0</v>
      </c>
      <c r="AL2648" s="470">
        <v>0</v>
      </c>
      <c r="AM2648" s="471">
        <v>0</v>
      </c>
      <c r="AN2648" s="477">
        <v>0</v>
      </c>
      <c r="AO2648" s="473">
        <v>0</v>
      </c>
      <c r="AP2648" s="474">
        <v>0</v>
      </c>
      <c r="AQ2648" s="352"/>
      <c r="AR2648" s="352"/>
      <c r="AS2648" s="352"/>
      <c r="AT2648" s="352"/>
      <c r="AU2648" s="352"/>
      <c r="AV2648" s="352"/>
      <c r="AW2648" s="352" t="s">
        <v>254</v>
      </c>
    </row>
    <row r="2649" spans="2:49" x14ac:dyDescent="0.2">
      <c r="B2649" s="460" t="s">
        <v>3135</v>
      </c>
      <c r="C2649" s="460">
        <v>8000</v>
      </c>
      <c r="D2649" s="460" t="s">
        <v>2372</v>
      </c>
      <c r="E2649" s="460" t="s">
        <v>1138</v>
      </c>
      <c r="F2649" s="460">
        <v>3</v>
      </c>
      <c r="G2649" s="460">
        <v>4</v>
      </c>
      <c r="H2649" s="461" t="s">
        <v>752</v>
      </c>
      <c r="I2649" s="461" t="s">
        <v>964</v>
      </c>
      <c r="J2649" s="461" t="s">
        <v>752</v>
      </c>
      <c r="K2649" s="594"/>
      <c r="L2649" s="594"/>
      <c r="M2649" s="352">
        <v>8000</v>
      </c>
      <c r="N2649" s="352" t="s">
        <v>760</v>
      </c>
      <c r="O2649" s="460">
        <v>2322</v>
      </c>
      <c r="P2649" s="460" t="s">
        <v>791</v>
      </c>
      <c r="Q2649" s="460" t="s">
        <v>2553</v>
      </c>
      <c r="R2649" s="460">
        <v>2322</v>
      </c>
      <c r="S2649" s="460" t="s">
        <v>1138</v>
      </c>
      <c r="T2649" s="462">
        <v>1</v>
      </c>
      <c r="U2649" s="460" t="s">
        <v>1138</v>
      </c>
      <c r="V2649" s="475">
        <v>0</v>
      </c>
      <c r="W2649" s="463" t="s">
        <v>2278</v>
      </c>
      <c r="X2649" s="463" t="s">
        <v>2278</v>
      </c>
      <c r="Y2649" s="463" t="s">
        <v>2278</v>
      </c>
      <c r="Z2649" s="463"/>
      <c r="AA2649" s="463"/>
      <c r="AB2649" s="464">
        <v>0</v>
      </c>
      <c r="AC2649" s="465">
        <v>0</v>
      </c>
      <c r="AD2649" s="465">
        <v>0</v>
      </c>
      <c r="AE2649" s="476">
        <v>0</v>
      </c>
      <c r="AF2649" s="467">
        <v>0</v>
      </c>
      <c r="AG2649" s="468">
        <v>0</v>
      </c>
      <c r="AH2649" s="218">
        <v>0</v>
      </c>
      <c r="AI2649" s="470">
        <v>0</v>
      </c>
      <c r="AJ2649" s="471">
        <v>0</v>
      </c>
      <c r="AK2649" s="218">
        <v>0</v>
      </c>
      <c r="AL2649" s="470">
        <v>0</v>
      </c>
      <c r="AM2649" s="471">
        <v>0</v>
      </c>
      <c r="AN2649" s="477">
        <v>0</v>
      </c>
      <c r="AO2649" s="473">
        <v>0</v>
      </c>
      <c r="AP2649" s="474">
        <v>0</v>
      </c>
      <c r="AQ2649" s="352"/>
      <c r="AR2649" s="352"/>
      <c r="AS2649" s="352"/>
      <c r="AT2649" s="352"/>
      <c r="AU2649" s="352"/>
      <c r="AV2649" s="352"/>
      <c r="AW2649" s="352" t="s">
        <v>254</v>
      </c>
    </row>
    <row r="2650" spans="2:49" x14ac:dyDescent="0.2">
      <c r="B2650" s="460" t="s">
        <v>3136</v>
      </c>
      <c r="C2650" s="460">
        <v>8000</v>
      </c>
      <c r="D2650" s="460" t="s">
        <v>2373</v>
      </c>
      <c r="E2650" s="460" t="s">
        <v>1139</v>
      </c>
      <c r="F2650" s="460">
        <v>4</v>
      </c>
      <c r="G2650" s="460">
        <v>4</v>
      </c>
      <c r="H2650" s="461" t="s">
        <v>752</v>
      </c>
      <c r="I2650" s="461" t="s">
        <v>964</v>
      </c>
      <c r="J2650" s="461" t="s">
        <v>752</v>
      </c>
      <c r="K2650" s="594"/>
      <c r="L2650" s="594"/>
      <c r="M2650" s="352">
        <v>8000</v>
      </c>
      <c r="N2650" s="352" t="s">
        <v>760</v>
      </c>
      <c r="O2650" s="460">
        <v>2322</v>
      </c>
      <c r="P2650" s="460" t="s">
        <v>791</v>
      </c>
      <c r="Q2650" s="460" t="s">
        <v>2553</v>
      </c>
      <c r="R2650" s="460">
        <v>2322</v>
      </c>
      <c r="S2650" s="460" t="s">
        <v>1139</v>
      </c>
      <c r="T2650" s="462">
        <v>1</v>
      </c>
      <c r="U2650" s="460" t="s">
        <v>1139</v>
      </c>
      <c r="V2650" s="475">
        <v>0</v>
      </c>
      <c r="W2650" s="463" t="s">
        <v>2278</v>
      </c>
      <c r="X2650" s="463" t="s">
        <v>2278</v>
      </c>
      <c r="Y2650" s="463" t="s">
        <v>2278</v>
      </c>
      <c r="Z2650" s="463"/>
      <c r="AA2650" s="463"/>
      <c r="AB2650" s="464">
        <v>0</v>
      </c>
      <c r="AC2650" s="465">
        <v>0</v>
      </c>
      <c r="AD2650" s="465">
        <v>0</v>
      </c>
      <c r="AE2650" s="476">
        <v>0</v>
      </c>
      <c r="AF2650" s="467">
        <v>0</v>
      </c>
      <c r="AG2650" s="468">
        <v>0</v>
      </c>
      <c r="AH2650" s="218">
        <v>0</v>
      </c>
      <c r="AI2650" s="470">
        <v>0</v>
      </c>
      <c r="AJ2650" s="471">
        <v>0</v>
      </c>
      <c r="AK2650" s="218">
        <v>0</v>
      </c>
      <c r="AL2650" s="470">
        <v>0</v>
      </c>
      <c r="AM2650" s="471">
        <v>0</v>
      </c>
      <c r="AN2650" s="477">
        <v>0</v>
      </c>
      <c r="AO2650" s="473">
        <v>0</v>
      </c>
      <c r="AP2650" s="474">
        <v>0</v>
      </c>
      <c r="AQ2650" s="352"/>
      <c r="AR2650" s="352"/>
      <c r="AS2650" s="352"/>
      <c r="AT2650" s="352"/>
      <c r="AU2650" s="352"/>
      <c r="AV2650" s="352"/>
      <c r="AW2650" s="352" t="s">
        <v>254</v>
      </c>
    </row>
    <row r="2651" spans="2:49" x14ac:dyDescent="0.2">
      <c r="B2651" s="460" t="s">
        <v>3137</v>
      </c>
      <c r="C2651" s="460">
        <v>8000</v>
      </c>
      <c r="D2651" s="460" t="s">
        <v>2375</v>
      </c>
      <c r="E2651" s="460" t="s">
        <v>2376</v>
      </c>
      <c r="F2651" s="460">
        <v>1</v>
      </c>
      <c r="G2651" s="460">
        <v>5</v>
      </c>
      <c r="H2651" s="461" t="s">
        <v>754</v>
      </c>
      <c r="I2651" s="461" t="s">
        <v>1991</v>
      </c>
      <c r="J2651" s="461" t="s">
        <v>754</v>
      </c>
      <c r="K2651" s="594"/>
      <c r="L2651" s="594"/>
      <c r="M2651" s="352">
        <v>8000</v>
      </c>
      <c r="N2651" s="352" t="s">
        <v>760</v>
      </c>
      <c r="O2651" s="460">
        <v>2322</v>
      </c>
      <c r="P2651" s="460" t="s">
        <v>791</v>
      </c>
      <c r="Q2651" s="460" t="s">
        <v>2377</v>
      </c>
      <c r="R2651" s="460">
        <v>2322</v>
      </c>
      <c r="S2651" s="460" t="s">
        <v>2376</v>
      </c>
      <c r="T2651" s="462">
        <v>1</v>
      </c>
      <c r="U2651" s="460" t="s">
        <v>2376</v>
      </c>
      <c r="V2651" s="475">
        <v>0</v>
      </c>
      <c r="W2651" s="463" t="s">
        <v>2278</v>
      </c>
      <c r="X2651" s="463" t="s">
        <v>2278</v>
      </c>
      <c r="Y2651" s="463" t="s">
        <v>2278</v>
      </c>
      <c r="Z2651" s="463"/>
      <c r="AA2651" s="463"/>
      <c r="AB2651" s="464">
        <v>0</v>
      </c>
      <c r="AC2651" s="465">
        <v>0</v>
      </c>
      <c r="AD2651" s="465">
        <v>0</v>
      </c>
      <c r="AE2651" s="476">
        <v>0</v>
      </c>
      <c r="AF2651" s="467">
        <v>0</v>
      </c>
      <c r="AG2651" s="468">
        <v>0</v>
      </c>
      <c r="AH2651" s="218">
        <v>0</v>
      </c>
      <c r="AI2651" s="470">
        <v>0</v>
      </c>
      <c r="AJ2651" s="471">
        <v>0</v>
      </c>
      <c r="AK2651" s="218">
        <v>0</v>
      </c>
      <c r="AL2651" s="470">
        <v>0</v>
      </c>
      <c r="AM2651" s="471">
        <v>0</v>
      </c>
      <c r="AN2651" s="477">
        <v>0</v>
      </c>
      <c r="AO2651" s="473">
        <v>0</v>
      </c>
      <c r="AP2651" s="474">
        <v>0</v>
      </c>
      <c r="AQ2651" s="352"/>
      <c r="AR2651" s="352"/>
      <c r="AS2651" s="352"/>
      <c r="AT2651" s="352"/>
      <c r="AU2651" s="352"/>
      <c r="AV2651" s="352"/>
      <c r="AW2651" s="352" t="s">
        <v>127</v>
      </c>
    </row>
    <row r="2652" spans="2:49" x14ac:dyDescent="0.2">
      <c r="B2652" s="460" t="s">
        <v>3138</v>
      </c>
      <c r="C2652" s="460">
        <v>8000</v>
      </c>
      <c r="D2652" s="460" t="s">
        <v>2379</v>
      </c>
      <c r="E2652" s="460" t="s">
        <v>2380</v>
      </c>
      <c r="F2652" s="460">
        <v>2</v>
      </c>
      <c r="G2652" s="460">
        <v>5</v>
      </c>
      <c r="H2652" s="461" t="s">
        <v>754</v>
      </c>
      <c r="I2652" s="461" t="s">
        <v>1991</v>
      </c>
      <c r="J2652" s="461" t="s">
        <v>754</v>
      </c>
      <c r="K2652" s="594"/>
      <c r="L2652" s="594"/>
      <c r="M2652" s="352">
        <v>8000</v>
      </c>
      <c r="N2652" s="352" t="s">
        <v>760</v>
      </c>
      <c r="O2652" s="460">
        <v>2322</v>
      </c>
      <c r="P2652" s="460" t="s">
        <v>791</v>
      </c>
      <c r="Q2652" s="460" t="s">
        <v>2377</v>
      </c>
      <c r="R2652" s="460">
        <v>2322</v>
      </c>
      <c r="S2652" s="460" t="s">
        <v>2380</v>
      </c>
      <c r="T2652" s="462">
        <v>1</v>
      </c>
      <c r="U2652" s="460" t="s">
        <v>2380</v>
      </c>
      <c r="V2652" s="475">
        <v>0</v>
      </c>
      <c r="W2652" s="463" t="s">
        <v>2278</v>
      </c>
      <c r="X2652" s="463" t="s">
        <v>2278</v>
      </c>
      <c r="Y2652" s="463" t="s">
        <v>2278</v>
      </c>
      <c r="Z2652" s="463"/>
      <c r="AA2652" s="463"/>
      <c r="AB2652" s="464">
        <v>0</v>
      </c>
      <c r="AC2652" s="465">
        <v>0</v>
      </c>
      <c r="AD2652" s="465">
        <v>0</v>
      </c>
      <c r="AE2652" s="476">
        <v>0</v>
      </c>
      <c r="AF2652" s="467">
        <v>0</v>
      </c>
      <c r="AG2652" s="468">
        <v>0</v>
      </c>
      <c r="AH2652" s="218">
        <v>0</v>
      </c>
      <c r="AI2652" s="470">
        <v>0</v>
      </c>
      <c r="AJ2652" s="471">
        <v>0</v>
      </c>
      <c r="AK2652" s="218">
        <v>0</v>
      </c>
      <c r="AL2652" s="470">
        <v>0</v>
      </c>
      <c r="AM2652" s="471">
        <v>0</v>
      </c>
      <c r="AN2652" s="477">
        <v>0</v>
      </c>
      <c r="AO2652" s="473">
        <v>0</v>
      </c>
      <c r="AP2652" s="474">
        <v>0</v>
      </c>
      <c r="AQ2652" s="352"/>
      <c r="AR2652" s="352"/>
      <c r="AS2652" s="352"/>
      <c r="AT2652" s="352"/>
      <c r="AU2652" s="352"/>
      <c r="AV2652" s="352"/>
      <c r="AW2652" s="352" t="s">
        <v>127</v>
      </c>
    </row>
    <row r="2653" spans="2:49" x14ac:dyDescent="0.2">
      <c r="B2653" s="460" t="s">
        <v>3139</v>
      </c>
      <c r="C2653" s="460">
        <v>8000</v>
      </c>
      <c r="D2653" s="460" t="s">
        <v>2382</v>
      </c>
      <c r="E2653" s="460" t="s">
        <v>2383</v>
      </c>
      <c r="F2653" s="460">
        <v>3</v>
      </c>
      <c r="G2653" s="460">
        <v>5</v>
      </c>
      <c r="H2653" s="461" t="s">
        <v>754</v>
      </c>
      <c r="I2653" s="461" t="s">
        <v>1991</v>
      </c>
      <c r="J2653" s="461" t="s">
        <v>754</v>
      </c>
      <c r="K2653" s="594"/>
      <c r="L2653" s="594"/>
      <c r="M2653" s="352">
        <v>8000</v>
      </c>
      <c r="N2653" s="352" t="s">
        <v>760</v>
      </c>
      <c r="O2653" s="460">
        <v>2322</v>
      </c>
      <c r="P2653" s="460" t="s">
        <v>791</v>
      </c>
      <c r="Q2653" s="460" t="s">
        <v>2377</v>
      </c>
      <c r="R2653" s="460">
        <v>2322</v>
      </c>
      <c r="S2653" s="460" t="s">
        <v>2383</v>
      </c>
      <c r="T2653" s="462">
        <v>1</v>
      </c>
      <c r="U2653" s="460" t="s">
        <v>2383</v>
      </c>
      <c r="V2653" s="475">
        <v>0</v>
      </c>
      <c r="W2653" s="463" t="s">
        <v>2278</v>
      </c>
      <c r="X2653" s="463" t="s">
        <v>2278</v>
      </c>
      <c r="Y2653" s="463" t="s">
        <v>2278</v>
      </c>
      <c r="Z2653" s="463"/>
      <c r="AA2653" s="463"/>
      <c r="AB2653" s="464">
        <v>0</v>
      </c>
      <c r="AC2653" s="465">
        <v>0</v>
      </c>
      <c r="AD2653" s="465">
        <v>0</v>
      </c>
      <c r="AE2653" s="476">
        <v>0</v>
      </c>
      <c r="AF2653" s="467">
        <v>0</v>
      </c>
      <c r="AG2653" s="468">
        <v>0</v>
      </c>
      <c r="AH2653" s="218">
        <v>0</v>
      </c>
      <c r="AI2653" s="470">
        <v>0</v>
      </c>
      <c r="AJ2653" s="471">
        <v>0</v>
      </c>
      <c r="AK2653" s="218">
        <v>0</v>
      </c>
      <c r="AL2653" s="470">
        <v>0</v>
      </c>
      <c r="AM2653" s="471">
        <v>0</v>
      </c>
      <c r="AN2653" s="477">
        <v>0</v>
      </c>
      <c r="AO2653" s="473">
        <v>0</v>
      </c>
      <c r="AP2653" s="474">
        <v>0</v>
      </c>
      <c r="AQ2653" s="352"/>
      <c r="AR2653" s="352"/>
      <c r="AS2653" s="352"/>
      <c r="AT2653" s="352"/>
      <c r="AU2653" s="352"/>
      <c r="AV2653" s="352"/>
      <c r="AW2653" s="352" t="s">
        <v>127</v>
      </c>
    </row>
    <row r="2654" spans="2:49" x14ac:dyDescent="0.2">
      <c r="B2654" s="460" t="s">
        <v>3140</v>
      </c>
      <c r="C2654" s="460">
        <v>8000</v>
      </c>
      <c r="D2654" s="460" t="s">
        <v>2385</v>
      </c>
      <c r="E2654" s="460" t="s">
        <v>2386</v>
      </c>
      <c r="F2654" s="460">
        <v>4</v>
      </c>
      <c r="G2654" s="460">
        <v>5</v>
      </c>
      <c r="H2654" s="461" t="s">
        <v>754</v>
      </c>
      <c r="I2654" s="461" t="s">
        <v>1991</v>
      </c>
      <c r="J2654" s="461" t="s">
        <v>754</v>
      </c>
      <c r="K2654" s="594"/>
      <c r="L2654" s="594"/>
      <c r="M2654" s="352">
        <v>8000</v>
      </c>
      <c r="N2654" s="352" t="s">
        <v>760</v>
      </c>
      <c r="O2654" s="460">
        <v>2322</v>
      </c>
      <c r="P2654" s="460" t="s">
        <v>791</v>
      </c>
      <c r="Q2654" s="460" t="s">
        <v>2377</v>
      </c>
      <c r="R2654" s="460">
        <v>2322</v>
      </c>
      <c r="S2654" s="460" t="s">
        <v>2386</v>
      </c>
      <c r="T2654" s="462">
        <v>1</v>
      </c>
      <c r="U2654" s="460" t="s">
        <v>2386</v>
      </c>
      <c r="V2654" s="475">
        <v>0</v>
      </c>
      <c r="W2654" s="463" t="s">
        <v>2278</v>
      </c>
      <c r="X2654" s="463" t="s">
        <v>2278</v>
      </c>
      <c r="Y2654" s="463" t="s">
        <v>2278</v>
      </c>
      <c r="Z2654" s="463"/>
      <c r="AA2654" s="463"/>
      <c r="AB2654" s="464">
        <v>0</v>
      </c>
      <c r="AC2654" s="465">
        <v>0</v>
      </c>
      <c r="AD2654" s="465">
        <v>0</v>
      </c>
      <c r="AE2654" s="476">
        <v>0</v>
      </c>
      <c r="AF2654" s="467">
        <v>0</v>
      </c>
      <c r="AG2654" s="468">
        <v>0</v>
      </c>
      <c r="AH2654" s="218">
        <v>0</v>
      </c>
      <c r="AI2654" s="470">
        <v>0</v>
      </c>
      <c r="AJ2654" s="471">
        <v>0</v>
      </c>
      <c r="AK2654" s="218">
        <v>0</v>
      </c>
      <c r="AL2654" s="470">
        <v>0</v>
      </c>
      <c r="AM2654" s="471">
        <v>0</v>
      </c>
      <c r="AN2654" s="477">
        <v>0</v>
      </c>
      <c r="AO2654" s="473">
        <v>0</v>
      </c>
      <c r="AP2654" s="474">
        <v>0</v>
      </c>
      <c r="AQ2654" s="352"/>
      <c r="AR2654" s="352"/>
      <c r="AS2654" s="352"/>
      <c r="AT2654" s="352"/>
      <c r="AU2654" s="352"/>
      <c r="AV2654" s="352"/>
      <c r="AW2654" s="352" t="s">
        <v>127</v>
      </c>
    </row>
    <row r="2655" spans="2:49" x14ac:dyDescent="0.2">
      <c r="B2655" s="460" t="s">
        <v>3141</v>
      </c>
      <c r="C2655" s="460">
        <v>3111</v>
      </c>
      <c r="D2655" s="460" t="s">
        <v>2264</v>
      </c>
      <c r="E2655" s="460" t="s">
        <v>2265</v>
      </c>
      <c r="F2655" s="460">
        <v>1</v>
      </c>
      <c r="G2655" s="460">
        <v>1</v>
      </c>
      <c r="H2655" s="461" t="s">
        <v>700</v>
      </c>
      <c r="I2655" s="461" t="s">
        <v>872</v>
      </c>
      <c r="J2655" s="461" t="s">
        <v>700</v>
      </c>
      <c r="K2655" s="594"/>
      <c r="L2655" s="594"/>
      <c r="M2655" s="352">
        <v>3000</v>
      </c>
      <c r="N2655" s="352" t="s">
        <v>709</v>
      </c>
      <c r="O2655" s="460">
        <v>3111</v>
      </c>
      <c r="P2655" s="460" t="s">
        <v>763</v>
      </c>
      <c r="Q2655" s="460" t="s">
        <v>2553</v>
      </c>
      <c r="R2655" s="460">
        <v>3111</v>
      </c>
      <c r="S2655" s="460" t="s">
        <v>2265</v>
      </c>
      <c r="T2655" s="462">
        <v>1</v>
      </c>
      <c r="U2655" s="460" t="s">
        <v>2265</v>
      </c>
      <c r="V2655" s="475">
        <v>0</v>
      </c>
      <c r="W2655" s="463" t="s">
        <v>2554</v>
      </c>
      <c r="X2655" s="463" t="s">
        <v>2554</v>
      </c>
      <c r="Y2655" s="463" t="s">
        <v>2268</v>
      </c>
      <c r="Z2655" s="463"/>
      <c r="AA2655" s="463"/>
      <c r="AB2655" s="464">
        <v>367.58149573049531</v>
      </c>
      <c r="AC2655" s="465">
        <v>6.9598446594293484E-2</v>
      </c>
      <c r="AD2655" s="465">
        <v>3.4087431764136312E-3</v>
      </c>
      <c r="AE2655" s="476">
        <v>220.54889743829716</v>
      </c>
      <c r="AF2655" s="467">
        <v>4.1759067956576086E-2</v>
      </c>
      <c r="AG2655" s="468">
        <v>2.1847506767272312E-3</v>
      </c>
      <c r="AH2655" s="218">
        <v>220.54889743829716</v>
      </c>
      <c r="AI2655" s="470">
        <v>4.1759067956576086E-2</v>
      </c>
      <c r="AJ2655" s="471">
        <v>2.1030085457897792E-3</v>
      </c>
      <c r="AK2655" s="218">
        <v>220.54889743829716</v>
      </c>
      <c r="AL2655" s="470">
        <v>4.1759067956576086E-2</v>
      </c>
      <c r="AM2655" s="471">
        <v>2.1030085457897792E-3</v>
      </c>
      <c r="AN2655" s="477">
        <v>0</v>
      </c>
      <c r="AO2655" s="473">
        <v>0</v>
      </c>
      <c r="AP2655" s="474">
        <v>0</v>
      </c>
      <c r="AQ2655" s="352"/>
      <c r="AR2655" s="352"/>
      <c r="AS2655" s="352"/>
      <c r="AT2655" s="352"/>
      <c r="AU2655" s="352"/>
      <c r="AV2655" s="352"/>
      <c r="AW2655" s="352" t="s">
        <v>254</v>
      </c>
    </row>
    <row r="2656" spans="2:49" x14ac:dyDescent="0.2">
      <c r="B2656" s="460" t="s">
        <v>3142</v>
      </c>
      <c r="C2656" s="460">
        <v>3111</v>
      </c>
      <c r="D2656" s="460" t="s">
        <v>2270</v>
      </c>
      <c r="E2656" s="460" t="s">
        <v>2271</v>
      </c>
      <c r="F2656" s="460">
        <v>2</v>
      </c>
      <c r="G2656" s="460">
        <v>1</v>
      </c>
      <c r="H2656" s="461" t="s">
        <v>700</v>
      </c>
      <c r="I2656" s="461" t="s">
        <v>872</v>
      </c>
      <c r="J2656" s="461" t="s">
        <v>700</v>
      </c>
      <c r="K2656" s="594"/>
      <c r="L2656" s="594"/>
      <c r="M2656" s="352">
        <v>3000</v>
      </c>
      <c r="N2656" s="352" t="s">
        <v>709</v>
      </c>
      <c r="O2656" s="460">
        <v>3111</v>
      </c>
      <c r="P2656" s="460" t="s">
        <v>763</v>
      </c>
      <c r="Q2656" s="460" t="s">
        <v>2553</v>
      </c>
      <c r="R2656" s="460">
        <v>3111</v>
      </c>
      <c r="S2656" s="460" t="s">
        <v>2265</v>
      </c>
      <c r="T2656" s="462">
        <v>1</v>
      </c>
      <c r="U2656" s="460" t="s">
        <v>2271</v>
      </c>
      <c r="V2656" s="475">
        <v>0</v>
      </c>
      <c r="W2656" s="463" t="s">
        <v>2554</v>
      </c>
      <c r="X2656" s="463" t="s">
        <v>2554</v>
      </c>
      <c r="Y2656" s="463" t="s">
        <v>2268</v>
      </c>
      <c r="Z2656" s="463"/>
      <c r="AA2656" s="463"/>
      <c r="AB2656" s="464">
        <v>279.85987576369956</v>
      </c>
      <c r="AC2656" s="465">
        <v>9.1039788292339469E-2</v>
      </c>
      <c r="AD2656" s="465">
        <v>3.4721635734729864E-3</v>
      </c>
      <c r="AE2656" s="476">
        <v>167.91592545821973</v>
      </c>
      <c r="AF2656" s="467">
        <v>5.4623872975403678E-2</v>
      </c>
      <c r="AG2656" s="468">
        <v>2.2575894740835658E-3</v>
      </c>
      <c r="AH2656" s="218">
        <v>167.91592545821973</v>
      </c>
      <c r="AI2656" s="470">
        <v>5.4623872975403678E-2</v>
      </c>
      <c r="AJ2656" s="471">
        <v>1.9824824940751105E-3</v>
      </c>
      <c r="AK2656" s="218">
        <v>167.91592545821973</v>
      </c>
      <c r="AL2656" s="470">
        <v>5.4623872975403678E-2</v>
      </c>
      <c r="AM2656" s="471">
        <v>1.9824824940751105E-3</v>
      </c>
      <c r="AN2656" s="477">
        <v>0</v>
      </c>
      <c r="AO2656" s="473">
        <v>0</v>
      </c>
      <c r="AP2656" s="474">
        <v>0</v>
      </c>
      <c r="AQ2656" s="352"/>
      <c r="AR2656" s="352"/>
      <c r="AS2656" s="352"/>
      <c r="AT2656" s="352"/>
      <c r="AU2656" s="352"/>
      <c r="AV2656" s="352"/>
      <c r="AW2656" s="352" t="s">
        <v>254</v>
      </c>
    </row>
    <row r="2657" spans="2:49" x14ac:dyDescent="0.2">
      <c r="B2657" s="460" t="s">
        <v>3143</v>
      </c>
      <c r="C2657" s="460">
        <v>3111</v>
      </c>
      <c r="D2657" s="460" t="s">
        <v>2273</v>
      </c>
      <c r="E2657" s="460" t="s">
        <v>2274</v>
      </c>
      <c r="F2657" s="460">
        <v>3</v>
      </c>
      <c r="G2657" s="460">
        <v>1</v>
      </c>
      <c r="H2657" s="461" t="s">
        <v>700</v>
      </c>
      <c r="I2657" s="461" t="s">
        <v>872</v>
      </c>
      <c r="J2657" s="461" t="s">
        <v>700</v>
      </c>
      <c r="K2657" s="594"/>
      <c r="L2657" s="594"/>
      <c r="M2657" s="352">
        <v>3000</v>
      </c>
      <c r="N2657" s="352" t="s">
        <v>709</v>
      </c>
      <c r="O2657" s="460">
        <v>3111</v>
      </c>
      <c r="P2657" s="460" t="s">
        <v>763</v>
      </c>
      <c r="Q2657" s="460" t="s">
        <v>2553</v>
      </c>
      <c r="R2657" s="460">
        <v>3111</v>
      </c>
      <c r="S2657" s="460" t="s">
        <v>2265</v>
      </c>
      <c r="T2657" s="462">
        <v>0.74223365950407583</v>
      </c>
      <c r="U2657" s="460" t="s">
        <v>2274</v>
      </c>
      <c r="V2657" s="475">
        <v>0</v>
      </c>
      <c r="W2657" s="463" t="s">
        <v>2554</v>
      </c>
      <c r="X2657" s="463" t="s">
        <v>2554</v>
      </c>
      <c r="Y2657" s="463" t="s">
        <v>2268</v>
      </c>
      <c r="Z2657" s="463"/>
      <c r="AA2657" s="463"/>
      <c r="AB2657" s="464">
        <v>108.48925798245203</v>
      </c>
      <c r="AC2657" s="465">
        <v>4.9226388342704895E-2</v>
      </c>
      <c r="AD2657" s="465">
        <v>5.3669262399756593E-3</v>
      </c>
      <c r="AE2657" s="476">
        <v>65.093554789471213</v>
      </c>
      <c r="AF2657" s="467">
        <v>2.9535833005622937E-2</v>
      </c>
      <c r="AG2657" s="468">
        <v>3.4879891369822007E-3</v>
      </c>
      <c r="AH2657" s="218">
        <v>68.309358592912361</v>
      </c>
      <c r="AI2657" s="470">
        <v>3.0994985826888859E-2</v>
      </c>
      <c r="AJ2657" s="471">
        <v>2.6506821596374839E-3</v>
      </c>
      <c r="AK2657" s="218">
        <v>68.309358592912361</v>
      </c>
      <c r="AL2657" s="470">
        <v>3.0994985826888859E-2</v>
      </c>
      <c r="AM2657" s="471">
        <v>2.6506821596374839E-3</v>
      </c>
      <c r="AN2657" s="477">
        <v>0</v>
      </c>
      <c r="AO2657" s="473">
        <v>0</v>
      </c>
      <c r="AP2657" s="474">
        <v>0</v>
      </c>
      <c r="AQ2657" s="352"/>
      <c r="AR2657" s="352"/>
      <c r="AS2657" s="352"/>
      <c r="AT2657" s="352"/>
      <c r="AU2657" s="352"/>
      <c r="AV2657" s="352"/>
      <c r="AW2657" s="352" t="s">
        <v>254</v>
      </c>
    </row>
    <row r="2658" spans="2:49" x14ac:dyDescent="0.2">
      <c r="B2658" s="460" t="s">
        <v>3144</v>
      </c>
      <c r="C2658" s="460">
        <v>3111</v>
      </c>
      <c r="D2658" s="460" t="s">
        <v>2276</v>
      </c>
      <c r="E2658" s="460" t="s">
        <v>2277</v>
      </c>
      <c r="F2658" s="460">
        <v>4</v>
      </c>
      <c r="G2658" s="460">
        <v>1</v>
      </c>
      <c r="H2658" s="461" t="s">
        <v>700</v>
      </c>
      <c r="I2658" s="461" t="s">
        <v>872</v>
      </c>
      <c r="J2658" s="461" t="s">
        <v>700</v>
      </c>
      <c r="K2658" s="594"/>
      <c r="L2658" s="594"/>
      <c r="M2658" s="352">
        <v>3000</v>
      </c>
      <c r="N2658" s="352" t="s">
        <v>709</v>
      </c>
      <c r="O2658" s="460">
        <v>3111</v>
      </c>
      <c r="P2658" s="460" t="s">
        <v>763</v>
      </c>
      <c r="Q2658" s="460" t="s">
        <v>2553</v>
      </c>
      <c r="R2658" s="460">
        <v>3111</v>
      </c>
      <c r="S2658" s="460" t="s">
        <v>2277</v>
      </c>
      <c r="T2658" s="462">
        <v>1</v>
      </c>
      <c r="U2658" s="460" t="s">
        <v>2277</v>
      </c>
      <c r="V2658" s="475">
        <v>0</v>
      </c>
      <c r="W2658" s="463" t="s">
        <v>2554</v>
      </c>
      <c r="X2658" s="463" t="s">
        <v>2554</v>
      </c>
      <c r="Y2658" s="463" t="s">
        <v>2268</v>
      </c>
      <c r="Z2658" s="463"/>
      <c r="AA2658" s="463"/>
      <c r="AB2658" s="464">
        <v>1.3296945963087989</v>
      </c>
      <c r="AC2658" s="465">
        <v>6.4208268002685154E-4</v>
      </c>
      <c r="AD2658" s="465">
        <v>5.3669262399756619E-3</v>
      </c>
      <c r="AE2658" s="476">
        <v>0.79781675778527927</v>
      </c>
      <c r="AF2658" s="467">
        <v>3.8524960801611093E-4</v>
      </c>
      <c r="AG2658" s="468">
        <v>3.5999643787745909E-3</v>
      </c>
      <c r="AH2658" s="218">
        <v>0.79781675778527927</v>
      </c>
      <c r="AI2658" s="470">
        <v>3.8524960801611093E-4</v>
      </c>
      <c r="AJ2658" s="471">
        <v>3.4504100279603915E-3</v>
      </c>
      <c r="AK2658" s="218">
        <v>0.79781675778527927</v>
      </c>
      <c r="AL2658" s="470">
        <v>3.8524960801611093E-4</v>
      </c>
      <c r="AM2658" s="471">
        <v>3.4504100279603915E-3</v>
      </c>
      <c r="AN2658" s="477">
        <v>0</v>
      </c>
      <c r="AO2658" s="473">
        <v>0</v>
      </c>
      <c r="AP2658" s="474">
        <v>0</v>
      </c>
      <c r="AQ2658" s="352"/>
      <c r="AR2658" s="352"/>
      <c r="AS2658" s="352"/>
      <c r="AT2658" s="352"/>
      <c r="AU2658" s="352"/>
      <c r="AV2658" s="352"/>
      <c r="AW2658" s="352" t="s">
        <v>254</v>
      </c>
    </row>
    <row r="2659" spans="2:49" x14ac:dyDescent="0.2">
      <c r="B2659" s="460" t="s">
        <v>3141</v>
      </c>
      <c r="C2659" s="460">
        <v>3111</v>
      </c>
      <c r="D2659" s="460" t="s">
        <v>3145</v>
      </c>
      <c r="E2659" s="460" t="s">
        <v>2265</v>
      </c>
      <c r="F2659" s="460">
        <v>1</v>
      </c>
      <c r="G2659" s="460">
        <v>1</v>
      </c>
      <c r="H2659" s="461" t="s">
        <v>706</v>
      </c>
      <c r="I2659" s="461" t="s">
        <v>707</v>
      </c>
      <c r="J2659" s="461" t="s">
        <v>706</v>
      </c>
      <c r="K2659" s="594"/>
      <c r="L2659" s="594"/>
      <c r="M2659" s="352">
        <v>3000</v>
      </c>
      <c r="N2659" s="352" t="s">
        <v>709</v>
      </c>
      <c r="O2659" s="460">
        <v>3111</v>
      </c>
      <c r="P2659" s="460" t="s">
        <v>763</v>
      </c>
      <c r="Q2659" s="460" t="s">
        <v>2266</v>
      </c>
      <c r="R2659" s="460">
        <v>3111</v>
      </c>
      <c r="S2659" s="460" t="s">
        <v>2265</v>
      </c>
      <c r="T2659" s="462">
        <v>1</v>
      </c>
      <c r="U2659" s="460" t="s">
        <v>2265</v>
      </c>
      <c r="V2659" s="475">
        <v>0</v>
      </c>
      <c r="W2659" s="463" t="s">
        <v>2267</v>
      </c>
      <c r="X2659" s="463" t="s">
        <v>2267</v>
      </c>
      <c r="Y2659" s="463" t="s">
        <v>2267</v>
      </c>
      <c r="Z2659" s="463"/>
      <c r="AA2659" s="463"/>
      <c r="AB2659" s="464">
        <v>3811.1352237227379</v>
      </c>
      <c r="AC2659" s="465">
        <v>0.72160621362282606</v>
      </c>
      <c r="AD2659" s="465">
        <v>0.18000000000000005</v>
      </c>
      <c r="AE2659" s="476">
        <v>3811.1352237227379</v>
      </c>
      <c r="AF2659" s="467">
        <v>0.72160621362282606</v>
      </c>
      <c r="AG2659" s="468">
        <v>0.18000000000000005</v>
      </c>
      <c r="AH2659" s="218">
        <v>3811.1352237227379</v>
      </c>
      <c r="AI2659" s="470">
        <v>0.72160621362282606</v>
      </c>
      <c r="AJ2659" s="471">
        <v>0.18000000000000005</v>
      </c>
      <c r="AK2659" s="218">
        <v>3811.1352237227379</v>
      </c>
      <c r="AL2659" s="470">
        <v>0.72160621362282606</v>
      </c>
      <c r="AM2659" s="471">
        <v>0.18000000000000005</v>
      </c>
      <c r="AN2659" s="477">
        <v>3811.1352237227379</v>
      </c>
      <c r="AO2659" s="473">
        <v>0.72160621362282606</v>
      </c>
      <c r="AP2659" s="474">
        <v>0.18000000000000005</v>
      </c>
      <c r="AQ2659" s="352"/>
      <c r="AR2659" s="352"/>
      <c r="AS2659" s="352"/>
      <c r="AT2659" s="352"/>
      <c r="AU2659" s="352"/>
      <c r="AV2659" s="352"/>
      <c r="AW2659" s="352" t="s">
        <v>254</v>
      </c>
    </row>
    <row r="2660" spans="2:49" x14ac:dyDescent="0.2">
      <c r="B2660" s="460" t="s">
        <v>3142</v>
      </c>
      <c r="C2660" s="460">
        <v>3111</v>
      </c>
      <c r="D2660" s="460" t="s">
        <v>3146</v>
      </c>
      <c r="E2660" s="460" t="s">
        <v>2271</v>
      </c>
      <c r="F2660" s="460">
        <v>2</v>
      </c>
      <c r="G2660" s="460">
        <v>1</v>
      </c>
      <c r="H2660" s="461" t="s">
        <v>706</v>
      </c>
      <c r="I2660" s="461" t="s">
        <v>707</v>
      </c>
      <c r="J2660" s="461" t="s">
        <v>706</v>
      </c>
      <c r="K2660" s="594"/>
      <c r="L2660" s="594"/>
      <c r="M2660" s="352">
        <v>3000</v>
      </c>
      <c r="N2660" s="352" t="s">
        <v>709</v>
      </c>
      <c r="O2660" s="460">
        <v>3111</v>
      </c>
      <c r="P2660" s="460" t="s">
        <v>763</v>
      </c>
      <c r="Q2660" s="460" t="s">
        <v>2266</v>
      </c>
      <c r="R2660" s="460">
        <v>3111</v>
      </c>
      <c r="S2660" s="460" t="s">
        <v>2265</v>
      </c>
      <c r="T2660" s="462">
        <v>1</v>
      </c>
      <c r="U2660" s="460" t="s">
        <v>2271</v>
      </c>
      <c r="V2660" s="475">
        <v>0</v>
      </c>
      <c r="W2660" s="463" t="s">
        <v>2267</v>
      </c>
      <c r="X2660" s="463" t="s">
        <v>2267</v>
      </c>
      <c r="Y2660" s="463" t="s">
        <v>2267</v>
      </c>
      <c r="Z2660" s="463"/>
      <c r="AA2660" s="463"/>
      <c r="AB2660" s="464">
        <v>1954.5996727068652</v>
      </c>
      <c r="AC2660" s="465">
        <v>0.63584084683064213</v>
      </c>
      <c r="AD2660" s="465">
        <v>0.18000000000000005</v>
      </c>
      <c r="AE2660" s="476">
        <v>1954.5996727068652</v>
      </c>
      <c r="AF2660" s="467">
        <v>0.63584084683064213</v>
      </c>
      <c r="AG2660" s="468">
        <v>0.18000000000000005</v>
      </c>
      <c r="AH2660" s="218">
        <v>2218.2457701496073</v>
      </c>
      <c r="AI2660" s="470">
        <v>0.72160621362282606</v>
      </c>
      <c r="AJ2660" s="471">
        <v>0.16478531457189594</v>
      </c>
      <c r="AK2660" s="218">
        <v>2218.2457701496073</v>
      </c>
      <c r="AL2660" s="470">
        <v>0.72160621362282606</v>
      </c>
      <c r="AM2660" s="471">
        <v>0.16478531457189594</v>
      </c>
      <c r="AN2660" s="477">
        <v>2218.2457701496073</v>
      </c>
      <c r="AO2660" s="473">
        <v>0.72160621362282606</v>
      </c>
      <c r="AP2660" s="474">
        <v>0.16478531457189594</v>
      </c>
      <c r="AQ2660" s="352"/>
      <c r="AR2660" s="352"/>
      <c r="AS2660" s="352"/>
      <c r="AT2660" s="352"/>
      <c r="AU2660" s="352"/>
      <c r="AV2660" s="352"/>
      <c r="AW2660" s="352" t="s">
        <v>254</v>
      </c>
    </row>
    <row r="2661" spans="2:49" x14ac:dyDescent="0.2">
      <c r="B2661" s="460" t="s">
        <v>3143</v>
      </c>
      <c r="C2661" s="460">
        <v>3111</v>
      </c>
      <c r="D2661" s="460" t="s">
        <v>3147</v>
      </c>
      <c r="E2661" s="460" t="s">
        <v>2274</v>
      </c>
      <c r="F2661" s="460">
        <v>3</v>
      </c>
      <c r="G2661" s="460">
        <v>1</v>
      </c>
      <c r="H2661" s="461" t="s">
        <v>706</v>
      </c>
      <c r="I2661" s="461" t="s">
        <v>707</v>
      </c>
      <c r="J2661" s="461" t="s">
        <v>706</v>
      </c>
      <c r="K2661" s="594"/>
      <c r="L2661" s="594"/>
      <c r="M2661" s="352">
        <v>3000</v>
      </c>
      <c r="N2661" s="352" t="s">
        <v>709</v>
      </c>
      <c r="O2661" s="460">
        <v>3111</v>
      </c>
      <c r="P2661" s="460" t="s">
        <v>763</v>
      </c>
      <c r="Q2661" s="460" t="s">
        <v>2266</v>
      </c>
      <c r="R2661" s="460">
        <v>3111</v>
      </c>
      <c r="S2661" s="460" t="s">
        <v>2265</v>
      </c>
      <c r="T2661" s="462">
        <v>0.74223365950407583</v>
      </c>
      <c r="U2661" s="460" t="s">
        <v>2274</v>
      </c>
      <c r="V2661" s="475">
        <v>0</v>
      </c>
      <c r="W2661" s="463" t="s">
        <v>2267</v>
      </c>
      <c r="X2661" s="463" t="s">
        <v>2267</v>
      </c>
      <c r="Y2661" s="463" t="s">
        <v>2267</v>
      </c>
      <c r="Z2661" s="463"/>
      <c r="AA2661" s="463"/>
      <c r="AB2661" s="464">
        <v>377.76886809390089</v>
      </c>
      <c r="AC2661" s="465">
        <v>0.17141049123575289</v>
      </c>
      <c r="AD2661" s="465">
        <v>0.18</v>
      </c>
      <c r="AE2661" s="476">
        <v>377.76886809390089</v>
      </c>
      <c r="AF2661" s="467">
        <v>0.17141049123575289</v>
      </c>
      <c r="AG2661" s="468">
        <v>0.18</v>
      </c>
      <c r="AH2661" s="218">
        <v>1180.4012881823173</v>
      </c>
      <c r="AI2661" s="470">
        <v>0.53560042065815006</v>
      </c>
      <c r="AJ2661" s="471">
        <v>0.26283089403762028</v>
      </c>
      <c r="AK2661" s="218">
        <v>1180.4012881823173</v>
      </c>
      <c r="AL2661" s="470">
        <v>0.53560042065815006</v>
      </c>
      <c r="AM2661" s="471">
        <v>0.26283089403762028</v>
      </c>
      <c r="AN2661" s="477">
        <v>1180.4012881823173</v>
      </c>
      <c r="AO2661" s="473">
        <v>0.53560042065815006</v>
      </c>
      <c r="AP2661" s="474">
        <v>0.26283089403762028</v>
      </c>
      <c r="AQ2661" s="352"/>
      <c r="AR2661" s="352"/>
      <c r="AS2661" s="352"/>
      <c r="AT2661" s="352"/>
      <c r="AU2661" s="352"/>
      <c r="AV2661" s="352"/>
      <c r="AW2661" s="352" t="s">
        <v>254</v>
      </c>
    </row>
    <row r="2662" spans="2:49" x14ac:dyDescent="0.2">
      <c r="B2662" s="460" t="s">
        <v>3144</v>
      </c>
      <c r="C2662" s="460">
        <v>3111</v>
      </c>
      <c r="D2662" s="460" t="s">
        <v>3148</v>
      </c>
      <c r="E2662" s="460" t="s">
        <v>2277</v>
      </c>
      <c r="F2662" s="460">
        <v>4</v>
      </c>
      <c r="G2662" s="460">
        <v>1</v>
      </c>
      <c r="H2662" s="461" t="s">
        <v>706</v>
      </c>
      <c r="I2662" s="461" t="s">
        <v>707</v>
      </c>
      <c r="J2662" s="461" t="s">
        <v>706</v>
      </c>
      <c r="K2662" s="594"/>
      <c r="L2662" s="594"/>
      <c r="M2662" s="352">
        <v>3000</v>
      </c>
      <c r="N2662" s="352" t="s">
        <v>709</v>
      </c>
      <c r="O2662" s="460">
        <v>3111</v>
      </c>
      <c r="P2662" s="460" t="s">
        <v>763</v>
      </c>
      <c r="Q2662" s="460" t="s">
        <v>2266</v>
      </c>
      <c r="R2662" s="460">
        <v>3111</v>
      </c>
      <c r="S2662" s="460" t="s">
        <v>2277</v>
      </c>
      <c r="T2662" s="462">
        <v>1</v>
      </c>
      <c r="U2662" s="460" t="s">
        <v>2277</v>
      </c>
      <c r="V2662" s="475">
        <v>0</v>
      </c>
      <c r="W2662" s="463" t="s">
        <v>2278</v>
      </c>
      <c r="X2662" s="463" t="s">
        <v>2278</v>
      </c>
      <c r="Y2662" s="463" t="s">
        <v>2278</v>
      </c>
      <c r="Z2662" s="463"/>
      <c r="AA2662" s="463"/>
      <c r="AB2662" s="464">
        <v>0.51430096487446519</v>
      </c>
      <c r="AC2662" s="465">
        <v>2.4834555452333613E-4</v>
      </c>
      <c r="AD2662" s="465">
        <v>0.18</v>
      </c>
      <c r="AE2662" s="476">
        <v>0.51430096487446519</v>
      </c>
      <c r="AF2662" s="467">
        <v>2.4834555452333613E-4</v>
      </c>
      <c r="AG2662" s="468">
        <v>0.18</v>
      </c>
      <c r="AH2662" s="218">
        <v>0.51430096487446519</v>
      </c>
      <c r="AI2662" s="470">
        <v>2.4834555452333613E-4</v>
      </c>
      <c r="AJ2662" s="471">
        <v>0.18</v>
      </c>
      <c r="AK2662" s="218">
        <v>0.51430096487446519</v>
      </c>
      <c r="AL2662" s="470">
        <v>2.4834555452333613E-4</v>
      </c>
      <c r="AM2662" s="471">
        <v>0.18</v>
      </c>
      <c r="AN2662" s="477">
        <v>0.51430096487446519</v>
      </c>
      <c r="AO2662" s="473">
        <v>2.4834555452333613E-4</v>
      </c>
      <c r="AP2662" s="474">
        <v>0.18</v>
      </c>
      <c r="AQ2662" s="352"/>
      <c r="AR2662" s="352"/>
      <c r="AS2662" s="352"/>
      <c r="AT2662" s="352"/>
      <c r="AU2662" s="352"/>
      <c r="AV2662" s="352"/>
      <c r="AW2662" s="352" t="s">
        <v>254</v>
      </c>
    </row>
    <row r="2663" spans="2:49" x14ac:dyDescent="0.2">
      <c r="B2663" s="460" t="s">
        <v>3141</v>
      </c>
      <c r="C2663" s="460">
        <v>3111</v>
      </c>
      <c r="D2663" s="460" t="s">
        <v>2279</v>
      </c>
      <c r="E2663" s="460" t="s">
        <v>2265</v>
      </c>
      <c r="F2663" s="460">
        <v>1</v>
      </c>
      <c r="G2663" s="460">
        <v>1</v>
      </c>
      <c r="H2663" s="461" t="s">
        <v>712</v>
      </c>
      <c r="I2663" s="461" t="s">
        <v>713</v>
      </c>
      <c r="J2663" s="461" t="s">
        <v>712</v>
      </c>
      <c r="K2663" s="594"/>
      <c r="L2663" s="594"/>
      <c r="M2663" s="352">
        <v>3000</v>
      </c>
      <c r="N2663" s="352" t="s">
        <v>709</v>
      </c>
      <c r="O2663" s="460">
        <v>3111</v>
      </c>
      <c r="P2663" s="460" t="s">
        <v>763</v>
      </c>
      <c r="Q2663" s="460" t="s">
        <v>2280</v>
      </c>
      <c r="R2663" s="460">
        <v>3111</v>
      </c>
      <c r="S2663" s="460" t="s">
        <v>2265</v>
      </c>
      <c r="T2663" s="462">
        <v>1</v>
      </c>
      <c r="U2663" s="460" t="s">
        <v>2265</v>
      </c>
      <c r="V2663" s="475">
        <v>0</v>
      </c>
      <c r="W2663" s="463" t="s">
        <v>713</v>
      </c>
      <c r="X2663" s="463" t="s">
        <v>713</v>
      </c>
      <c r="Y2663" s="463" t="s">
        <v>713</v>
      </c>
      <c r="Z2663" s="463"/>
      <c r="AA2663" s="463"/>
      <c r="AB2663" s="464">
        <v>1102.7444871914859</v>
      </c>
      <c r="AC2663" s="465">
        <v>0.20879533978288045</v>
      </c>
      <c r="AD2663" s="465">
        <v>4.0737288423578332E-3</v>
      </c>
      <c r="AE2663" s="476">
        <v>1249.7770854836838</v>
      </c>
      <c r="AF2663" s="467">
        <v>0.2366347184205978</v>
      </c>
      <c r="AG2663" s="468">
        <v>4.5023665519245215E-3</v>
      </c>
      <c r="AH2663" s="218">
        <v>1249.7770854836838</v>
      </c>
      <c r="AI2663" s="470">
        <v>0.2366347184205978</v>
      </c>
      <c r="AJ2663" s="471">
        <v>4.5669230421978438E-3</v>
      </c>
      <c r="AK2663" s="218">
        <v>1249.7770854836838</v>
      </c>
      <c r="AL2663" s="470">
        <v>0.2366347184205978</v>
      </c>
      <c r="AM2663" s="471">
        <v>4.5669230421978438E-3</v>
      </c>
      <c r="AN2663" s="477">
        <v>1249.7770854836842</v>
      </c>
      <c r="AO2663" s="473">
        <v>0.23663471842059791</v>
      </c>
      <c r="AP2663" s="474">
        <v>4.5654349555085986E-3</v>
      </c>
      <c r="AQ2663" s="352"/>
      <c r="AR2663" s="352"/>
      <c r="AS2663" s="352"/>
      <c r="AT2663" s="352"/>
      <c r="AU2663" s="352"/>
      <c r="AV2663" s="352"/>
      <c r="AW2663" s="352" t="s">
        <v>254</v>
      </c>
    </row>
    <row r="2664" spans="2:49" x14ac:dyDescent="0.2">
      <c r="B2664" s="460" t="s">
        <v>3142</v>
      </c>
      <c r="C2664" s="460">
        <v>3111</v>
      </c>
      <c r="D2664" s="460" t="s">
        <v>2281</v>
      </c>
      <c r="E2664" s="460" t="s">
        <v>2271</v>
      </c>
      <c r="F2664" s="460">
        <v>2</v>
      </c>
      <c r="G2664" s="460">
        <v>1</v>
      </c>
      <c r="H2664" s="461" t="s">
        <v>712</v>
      </c>
      <c r="I2664" s="461" t="s">
        <v>713</v>
      </c>
      <c r="J2664" s="461" t="s">
        <v>712</v>
      </c>
      <c r="K2664" s="594"/>
      <c r="L2664" s="594"/>
      <c r="M2664" s="352">
        <v>3000</v>
      </c>
      <c r="N2664" s="352" t="s">
        <v>709</v>
      </c>
      <c r="O2664" s="460">
        <v>3111</v>
      </c>
      <c r="P2664" s="460" t="s">
        <v>763</v>
      </c>
      <c r="Q2664" s="460" t="s">
        <v>2280</v>
      </c>
      <c r="R2664" s="460">
        <v>3111</v>
      </c>
      <c r="S2664" s="460" t="s">
        <v>2265</v>
      </c>
      <c r="T2664" s="462">
        <v>1</v>
      </c>
      <c r="U2664" s="460" t="s">
        <v>2271</v>
      </c>
      <c r="V2664" s="475">
        <v>0</v>
      </c>
      <c r="W2664" s="463" t="s">
        <v>713</v>
      </c>
      <c r="X2664" s="463" t="s">
        <v>713</v>
      </c>
      <c r="Y2664" s="463" t="s">
        <v>713</v>
      </c>
      <c r="Z2664" s="463"/>
      <c r="AA2664" s="463"/>
      <c r="AB2664" s="464">
        <v>839.57962729109863</v>
      </c>
      <c r="AC2664" s="465">
        <v>0.27311936487701838</v>
      </c>
      <c r="AD2664" s="465">
        <v>3.5060178605740492E-3</v>
      </c>
      <c r="AE2664" s="476">
        <v>951.52357759657843</v>
      </c>
      <c r="AF2664" s="467">
        <v>0.30953528019395415</v>
      </c>
      <c r="AG2664" s="468">
        <v>3.8728507014668357E-3</v>
      </c>
      <c r="AH2664" s="218">
        <v>687.87748015383659</v>
      </c>
      <c r="AI2664" s="470">
        <v>0.22376991340177022</v>
      </c>
      <c r="AJ2664" s="471">
        <v>2.9552217354407964E-3</v>
      </c>
      <c r="AK2664" s="218">
        <v>687.87748015383659</v>
      </c>
      <c r="AL2664" s="470">
        <v>0.22376991340177022</v>
      </c>
      <c r="AM2664" s="471">
        <v>2.9552217354407964E-3</v>
      </c>
      <c r="AN2664" s="477">
        <v>687.87748015383659</v>
      </c>
      <c r="AO2664" s="473">
        <v>0.22376991340177022</v>
      </c>
      <c r="AP2664" s="474">
        <v>2.9541840601438767E-3</v>
      </c>
      <c r="AQ2664" s="352"/>
      <c r="AR2664" s="352"/>
      <c r="AS2664" s="352"/>
      <c r="AT2664" s="352"/>
      <c r="AU2664" s="352"/>
      <c r="AV2664" s="352"/>
      <c r="AW2664" s="352" t="s">
        <v>254</v>
      </c>
    </row>
    <row r="2665" spans="2:49" x14ac:dyDescent="0.2">
      <c r="B2665" s="460" t="s">
        <v>3143</v>
      </c>
      <c r="C2665" s="460">
        <v>3111</v>
      </c>
      <c r="D2665" s="460" t="s">
        <v>2282</v>
      </c>
      <c r="E2665" s="460" t="s">
        <v>2274</v>
      </c>
      <c r="F2665" s="460">
        <v>3</v>
      </c>
      <c r="G2665" s="460">
        <v>1</v>
      </c>
      <c r="H2665" s="461" t="s">
        <v>712</v>
      </c>
      <c r="I2665" s="461" t="s">
        <v>713</v>
      </c>
      <c r="J2665" s="461" t="s">
        <v>712</v>
      </c>
      <c r="K2665" s="594"/>
      <c r="L2665" s="594"/>
      <c r="M2665" s="352">
        <v>3000</v>
      </c>
      <c r="N2665" s="352" t="s">
        <v>709</v>
      </c>
      <c r="O2665" s="460">
        <v>3111</v>
      </c>
      <c r="P2665" s="460" t="s">
        <v>763</v>
      </c>
      <c r="Q2665" s="460" t="s">
        <v>2280</v>
      </c>
      <c r="R2665" s="460">
        <v>3111</v>
      </c>
      <c r="S2665" s="460" t="s">
        <v>2265</v>
      </c>
      <c r="T2665" s="462">
        <v>0.74223365950407583</v>
      </c>
      <c r="U2665" s="460" t="s">
        <v>2274</v>
      </c>
      <c r="V2665" s="475">
        <v>0</v>
      </c>
      <c r="W2665" s="463" t="s">
        <v>713</v>
      </c>
      <c r="X2665" s="463" t="s">
        <v>713</v>
      </c>
      <c r="Y2665" s="463" t="s">
        <v>713</v>
      </c>
      <c r="Z2665" s="463"/>
      <c r="AA2665" s="463"/>
      <c r="AB2665" s="464">
        <v>1717.6260432673362</v>
      </c>
      <c r="AC2665" s="465">
        <v>0.77936312042154232</v>
      </c>
      <c r="AD2665" s="465">
        <v>1.028035679791159E-2</v>
      </c>
      <c r="AE2665" s="476">
        <v>1761.0217464603168</v>
      </c>
      <c r="AF2665" s="467">
        <v>0.79905367575862418</v>
      </c>
      <c r="AG2665" s="468">
        <v>1.044306992718603E-2</v>
      </c>
      <c r="AH2665" s="218">
        <v>955.17352256845913</v>
      </c>
      <c r="AI2665" s="470">
        <v>0.43340459351496108</v>
      </c>
      <c r="AJ2665" s="471">
        <v>6.002473483478806E-3</v>
      </c>
      <c r="AK2665" s="218">
        <v>955.17352256845913</v>
      </c>
      <c r="AL2665" s="470">
        <v>0.43340459351496108</v>
      </c>
      <c r="AM2665" s="471">
        <v>6.002473483478806E-3</v>
      </c>
      <c r="AN2665" s="477">
        <v>955.17352256845936</v>
      </c>
      <c r="AO2665" s="473">
        <v>0.43340459351496119</v>
      </c>
      <c r="AP2665" s="474">
        <v>6.0457753083292777E-3</v>
      </c>
      <c r="AQ2665" s="352"/>
      <c r="AR2665" s="352"/>
      <c r="AS2665" s="352"/>
      <c r="AT2665" s="352"/>
      <c r="AU2665" s="352"/>
      <c r="AV2665" s="352"/>
      <c r="AW2665" s="352" t="s">
        <v>254</v>
      </c>
    </row>
    <row r="2666" spans="2:49" x14ac:dyDescent="0.2">
      <c r="B2666" s="460" t="s">
        <v>3144</v>
      </c>
      <c r="C2666" s="460">
        <v>3111</v>
      </c>
      <c r="D2666" s="460" t="s">
        <v>2283</v>
      </c>
      <c r="E2666" s="460" t="s">
        <v>2277</v>
      </c>
      <c r="F2666" s="460">
        <v>4</v>
      </c>
      <c r="G2666" s="460">
        <v>1</v>
      </c>
      <c r="H2666" s="461" t="s">
        <v>712</v>
      </c>
      <c r="I2666" s="461" t="s">
        <v>713</v>
      </c>
      <c r="J2666" s="461" t="s">
        <v>712</v>
      </c>
      <c r="K2666" s="594"/>
      <c r="L2666" s="594"/>
      <c r="M2666" s="352">
        <v>3000</v>
      </c>
      <c r="N2666" s="352" t="s">
        <v>709</v>
      </c>
      <c r="O2666" s="460">
        <v>3111</v>
      </c>
      <c r="P2666" s="460" t="s">
        <v>763</v>
      </c>
      <c r="Q2666" s="460" t="s">
        <v>2280</v>
      </c>
      <c r="R2666" s="460">
        <v>3111</v>
      </c>
      <c r="S2666" s="460" t="s">
        <v>2277</v>
      </c>
      <c r="T2666" s="462">
        <v>1</v>
      </c>
      <c r="U2666" s="460" t="s">
        <v>2277</v>
      </c>
      <c r="V2666" s="475">
        <v>0</v>
      </c>
      <c r="W2666" s="463" t="s">
        <v>713</v>
      </c>
      <c r="X2666" s="463" t="s">
        <v>713</v>
      </c>
      <c r="Y2666" s="463" t="s">
        <v>713</v>
      </c>
      <c r="Z2666" s="463"/>
      <c r="AA2666" s="463"/>
      <c r="AB2666" s="464">
        <v>2069.0646859394478</v>
      </c>
      <c r="AC2666" s="465">
        <v>0.99910957176544979</v>
      </c>
      <c r="AD2666" s="465">
        <v>1.0745221639844954E-2</v>
      </c>
      <c r="AE2666" s="476">
        <v>2069.5965637779714</v>
      </c>
      <c r="AF2666" s="467">
        <v>0.99936640483746053</v>
      </c>
      <c r="AG2666" s="468">
        <v>1.0746525005769612E-2</v>
      </c>
      <c r="AH2666" s="218">
        <v>2069.5965637779714</v>
      </c>
      <c r="AI2666" s="470">
        <v>0.99936640483746053</v>
      </c>
      <c r="AJ2666" s="471">
        <v>1.0747061055856212E-2</v>
      </c>
      <c r="AK2666" s="218">
        <v>2069.5965637779714</v>
      </c>
      <c r="AL2666" s="470">
        <v>0.99936640483746053</v>
      </c>
      <c r="AM2666" s="471">
        <v>1.0747061055856212E-2</v>
      </c>
      <c r="AN2666" s="477">
        <v>2069.5965637779714</v>
      </c>
      <c r="AO2666" s="473">
        <v>0.99936640483746053</v>
      </c>
      <c r="AP2666" s="474">
        <v>1.0747114645151858E-2</v>
      </c>
      <c r="AQ2666" s="352"/>
      <c r="AR2666" s="352"/>
      <c r="AS2666" s="352"/>
      <c r="AT2666" s="352"/>
      <c r="AU2666" s="352"/>
      <c r="AV2666" s="352"/>
      <c r="AW2666" s="352" t="s">
        <v>254</v>
      </c>
    </row>
    <row r="2667" spans="2:49" x14ac:dyDescent="0.2">
      <c r="B2667" s="460" t="s">
        <v>3141</v>
      </c>
      <c r="C2667" s="460">
        <v>3111</v>
      </c>
      <c r="D2667" s="460" t="s">
        <v>2284</v>
      </c>
      <c r="E2667" s="460" t="s">
        <v>2265</v>
      </c>
      <c r="F2667" s="460">
        <v>1</v>
      </c>
      <c r="G2667" s="460">
        <v>1</v>
      </c>
      <c r="H2667" s="461" t="s">
        <v>746</v>
      </c>
      <c r="I2667" s="461" t="s">
        <v>762</v>
      </c>
      <c r="J2667" s="461" t="s">
        <v>700</v>
      </c>
      <c r="K2667" s="594"/>
      <c r="L2667" s="594"/>
      <c r="M2667" s="352">
        <v>3000</v>
      </c>
      <c r="N2667" s="352" t="s">
        <v>709</v>
      </c>
      <c r="O2667" s="460">
        <v>3111</v>
      </c>
      <c r="P2667" s="460" t="s">
        <v>763</v>
      </c>
      <c r="Q2667" s="460" t="s">
        <v>2553</v>
      </c>
      <c r="R2667" s="460">
        <v>3111</v>
      </c>
      <c r="S2667" s="460" t="s">
        <v>2265</v>
      </c>
      <c r="T2667" s="462">
        <v>1</v>
      </c>
      <c r="U2667" s="460" t="s">
        <v>2265</v>
      </c>
      <c r="V2667" s="475">
        <v>0</v>
      </c>
      <c r="W2667" s="463" t="s">
        <v>2268</v>
      </c>
      <c r="X2667" s="463" t="s">
        <v>2268</v>
      </c>
      <c r="Y2667" s="463" t="s">
        <v>2554</v>
      </c>
      <c r="Z2667" s="463"/>
      <c r="AA2667" s="463"/>
      <c r="AB2667" s="464">
        <v>0</v>
      </c>
      <c r="AC2667" s="465">
        <v>0</v>
      </c>
      <c r="AD2667" s="465">
        <v>0</v>
      </c>
      <c r="AE2667" s="476">
        <v>0</v>
      </c>
      <c r="AF2667" s="467">
        <v>0</v>
      </c>
      <c r="AG2667" s="468">
        <v>0</v>
      </c>
      <c r="AH2667" s="218">
        <v>0</v>
      </c>
      <c r="AI2667" s="470">
        <v>0</v>
      </c>
      <c r="AJ2667" s="471">
        <v>0</v>
      </c>
      <c r="AK2667" s="218">
        <v>0</v>
      </c>
      <c r="AL2667" s="470">
        <v>0</v>
      </c>
      <c r="AM2667" s="471">
        <v>0</v>
      </c>
      <c r="AN2667" s="477">
        <v>36.758149573049522</v>
      </c>
      <c r="AO2667" s="473">
        <v>6.9598446594293468E-3</v>
      </c>
      <c r="AP2667" s="474">
        <v>4.1449887046257286E-4</v>
      </c>
      <c r="AQ2667" s="352"/>
      <c r="AR2667" s="352"/>
      <c r="AS2667" s="352"/>
      <c r="AT2667" s="352"/>
      <c r="AU2667" s="352"/>
      <c r="AV2667" s="352"/>
      <c r="AW2667" s="352" t="s">
        <v>254</v>
      </c>
    </row>
    <row r="2668" spans="2:49" x14ac:dyDescent="0.2">
      <c r="B2668" s="460" t="s">
        <v>3142</v>
      </c>
      <c r="C2668" s="460">
        <v>3111</v>
      </c>
      <c r="D2668" s="460" t="s">
        <v>2285</v>
      </c>
      <c r="E2668" s="460" t="s">
        <v>2271</v>
      </c>
      <c r="F2668" s="460">
        <v>2</v>
      </c>
      <c r="G2668" s="460">
        <v>1</v>
      </c>
      <c r="H2668" s="461" t="s">
        <v>746</v>
      </c>
      <c r="I2668" s="461" t="s">
        <v>762</v>
      </c>
      <c r="J2668" s="461" t="s">
        <v>700</v>
      </c>
      <c r="K2668" s="594"/>
      <c r="L2668" s="594"/>
      <c r="M2668" s="352">
        <v>3000</v>
      </c>
      <c r="N2668" s="352" t="s">
        <v>709</v>
      </c>
      <c r="O2668" s="460">
        <v>3111</v>
      </c>
      <c r="P2668" s="460" t="s">
        <v>763</v>
      </c>
      <c r="Q2668" s="460" t="s">
        <v>2553</v>
      </c>
      <c r="R2668" s="460">
        <v>3111</v>
      </c>
      <c r="S2668" s="460" t="s">
        <v>2265</v>
      </c>
      <c r="T2668" s="462">
        <v>1</v>
      </c>
      <c r="U2668" s="460" t="s">
        <v>2271</v>
      </c>
      <c r="V2668" s="475">
        <v>0</v>
      </c>
      <c r="W2668" s="463" t="s">
        <v>2268</v>
      </c>
      <c r="X2668" s="463" t="s">
        <v>2268</v>
      </c>
      <c r="Y2668" s="463" t="s">
        <v>2554</v>
      </c>
      <c r="Z2668" s="463"/>
      <c r="AA2668" s="463"/>
      <c r="AB2668" s="464">
        <v>0</v>
      </c>
      <c r="AC2668" s="465">
        <v>0</v>
      </c>
      <c r="AD2668" s="465">
        <v>0</v>
      </c>
      <c r="AE2668" s="476">
        <v>0</v>
      </c>
      <c r="AF2668" s="467">
        <v>0</v>
      </c>
      <c r="AG2668" s="468">
        <v>0</v>
      </c>
      <c r="AH2668" s="218">
        <v>0</v>
      </c>
      <c r="AI2668" s="470">
        <v>0</v>
      </c>
      <c r="AJ2668" s="471">
        <v>0</v>
      </c>
      <c r="AK2668" s="218">
        <v>0</v>
      </c>
      <c r="AL2668" s="470">
        <v>0</v>
      </c>
      <c r="AM2668" s="471">
        <v>0</v>
      </c>
      <c r="AN2668" s="477">
        <v>27.985987576369947</v>
      </c>
      <c r="AO2668" s="473">
        <v>9.1039788292339441E-3</v>
      </c>
      <c r="AP2668" s="474">
        <v>4.062074294578559E-4</v>
      </c>
      <c r="AQ2668" s="352"/>
      <c r="AR2668" s="352"/>
      <c r="AS2668" s="352"/>
      <c r="AT2668" s="352"/>
      <c r="AU2668" s="352"/>
      <c r="AV2668" s="352"/>
      <c r="AW2668" s="352" t="s">
        <v>254</v>
      </c>
    </row>
    <row r="2669" spans="2:49" x14ac:dyDescent="0.2">
      <c r="B2669" s="460" t="s">
        <v>3143</v>
      </c>
      <c r="C2669" s="460">
        <v>3111</v>
      </c>
      <c r="D2669" s="460" t="s">
        <v>2286</v>
      </c>
      <c r="E2669" s="460" t="s">
        <v>2274</v>
      </c>
      <c r="F2669" s="460">
        <v>3</v>
      </c>
      <c r="G2669" s="460">
        <v>1</v>
      </c>
      <c r="H2669" s="461" t="s">
        <v>746</v>
      </c>
      <c r="I2669" s="461" t="s">
        <v>762</v>
      </c>
      <c r="J2669" s="461" t="s">
        <v>700</v>
      </c>
      <c r="K2669" s="594"/>
      <c r="L2669" s="594"/>
      <c r="M2669" s="352">
        <v>3000</v>
      </c>
      <c r="N2669" s="352" t="s">
        <v>709</v>
      </c>
      <c r="O2669" s="460">
        <v>3111</v>
      </c>
      <c r="P2669" s="460" t="s">
        <v>763</v>
      </c>
      <c r="Q2669" s="460" t="s">
        <v>2553</v>
      </c>
      <c r="R2669" s="460">
        <v>3111</v>
      </c>
      <c r="S2669" s="460" t="s">
        <v>2265</v>
      </c>
      <c r="T2669" s="462">
        <v>0.74223365950407583</v>
      </c>
      <c r="U2669" s="460" t="s">
        <v>2274</v>
      </c>
      <c r="V2669" s="475">
        <v>0</v>
      </c>
      <c r="W2669" s="463" t="s">
        <v>2268</v>
      </c>
      <c r="X2669" s="463" t="s">
        <v>2268</v>
      </c>
      <c r="Y2669" s="463" t="s">
        <v>2554</v>
      </c>
      <c r="Z2669" s="463"/>
      <c r="AA2669" s="463"/>
      <c r="AB2669" s="464">
        <v>0</v>
      </c>
      <c r="AC2669" s="465">
        <v>0</v>
      </c>
      <c r="AD2669" s="465">
        <v>0</v>
      </c>
      <c r="AE2669" s="476">
        <v>0</v>
      </c>
      <c r="AF2669" s="467">
        <v>0</v>
      </c>
      <c r="AG2669" s="468">
        <v>0</v>
      </c>
      <c r="AH2669" s="218">
        <v>0</v>
      </c>
      <c r="AI2669" s="470">
        <v>0</v>
      </c>
      <c r="AJ2669" s="471">
        <v>0</v>
      </c>
      <c r="AK2669" s="218">
        <v>0</v>
      </c>
      <c r="AL2669" s="470">
        <v>0</v>
      </c>
      <c r="AM2669" s="471">
        <v>0</v>
      </c>
      <c r="AN2669" s="477">
        <v>11.384893098818726</v>
      </c>
      <c r="AO2669" s="473">
        <v>5.1658309711481425E-3</v>
      </c>
      <c r="AP2669" s="474">
        <v>5.7476849351671808E-4</v>
      </c>
      <c r="AQ2669" s="352"/>
      <c r="AR2669" s="352"/>
      <c r="AS2669" s="352"/>
      <c r="AT2669" s="352"/>
      <c r="AU2669" s="352"/>
      <c r="AV2669" s="352"/>
      <c r="AW2669" s="352" t="s">
        <v>254</v>
      </c>
    </row>
    <row r="2670" spans="2:49" x14ac:dyDescent="0.2">
      <c r="B2670" s="460" t="s">
        <v>3144</v>
      </c>
      <c r="C2670" s="460">
        <v>3111</v>
      </c>
      <c r="D2670" s="460" t="s">
        <v>2287</v>
      </c>
      <c r="E2670" s="460" t="s">
        <v>2277</v>
      </c>
      <c r="F2670" s="460">
        <v>4</v>
      </c>
      <c r="G2670" s="460">
        <v>1</v>
      </c>
      <c r="H2670" s="461" t="s">
        <v>746</v>
      </c>
      <c r="I2670" s="461" t="s">
        <v>762</v>
      </c>
      <c r="J2670" s="461" t="s">
        <v>700</v>
      </c>
      <c r="K2670" s="594"/>
      <c r="L2670" s="594"/>
      <c r="M2670" s="352">
        <v>3000</v>
      </c>
      <c r="N2670" s="352" t="s">
        <v>709</v>
      </c>
      <c r="O2670" s="460">
        <v>3111</v>
      </c>
      <c r="P2670" s="460" t="s">
        <v>763</v>
      </c>
      <c r="Q2670" s="460" t="s">
        <v>2553</v>
      </c>
      <c r="R2670" s="460">
        <v>3111</v>
      </c>
      <c r="S2670" s="460" t="s">
        <v>2277</v>
      </c>
      <c r="T2670" s="462">
        <v>1</v>
      </c>
      <c r="U2670" s="460" t="s">
        <v>2277</v>
      </c>
      <c r="V2670" s="475">
        <v>0</v>
      </c>
      <c r="W2670" s="463" t="s">
        <v>2268</v>
      </c>
      <c r="X2670" s="463" t="s">
        <v>2268</v>
      </c>
      <c r="Y2670" s="463" t="s">
        <v>2554</v>
      </c>
      <c r="Z2670" s="463"/>
      <c r="AA2670" s="463"/>
      <c r="AB2670" s="464">
        <v>0</v>
      </c>
      <c r="AC2670" s="465">
        <v>0</v>
      </c>
      <c r="AD2670" s="465">
        <v>0</v>
      </c>
      <c r="AE2670" s="476">
        <v>0</v>
      </c>
      <c r="AF2670" s="467">
        <v>0</v>
      </c>
      <c r="AG2670" s="468">
        <v>0</v>
      </c>
      <c r="AH2670" s="218">
        <v>0</v>
      </c>
      <c r="AI2670" s="470">
        <v>0</v>
      </c>
      <c r="AJ2670" s="471">
        <v>0</v>
      </c>
      <c r="AK2670" s="218">
        <v>0</v>
      </c>
      <c r="AL2670" s="470">
        <v>0</v>
      </c>
      <c r="AM2670" s="471">
        <v>0</v>
      </c>
      <c r="AN2670" s="477">
        <v>0.13296945963087986</v>
      </c>
      <c r="AO2670" s="473">
        <v>6.4208268002685141E-5</v>
      </c>
      <c r="AP2670" s="474">
        <v>6.9701612456486478E-4</v>
      </c>
      <c r="AQ2670" s="352"/>
      <c r="AR2670" s="352"/>
      <c r="AS2670" s="352"/>
      <c r="AT2670" s="352"/>
      <c r="AU2670" s="352"/>
      <c r="AV2670" s="352"/>
      <c r="AW2670" s="352" t="s">
        <v>254</v>
      </c>
    </row>
    <row r="2671" spans="2:49" x14ac:dyDescent="0.2">
      <c r="B2671" s="460" t="s">
        <v>3141</v>
      </c>
      <c r="C2671" s="460">
        <v>3111</v>
      </c>
      <c r="D2671" s="460" t="s">
        <v>2288</v>
      </c>
      <c r="E2671" s="460" t="s">
        <v>2265</v>
      </c>
      <c r="F2671" s="460">
        <v>1</v>
      </c>
      <c r="G2671" s="460">
        <v>1</v>
      </c>
      <c r="H2671" s="461" t="s">
        <v>748</v>
      </c>
      <c r="I2671" s="461" t="s">
        <v>765</v>
      </c>
      <c r="J2671" s="461" t="s">
        <v>700</v>
      </c>
      <c r="K2671" s="594"/>
      <c r="L2671" s="594"/>
      <c r="M2671" s="352">
        <v>3000</v>
      </c>
      <c r="N2671" s="352" t="s">
        <v>709</v>
      </c>
      <c r="O2671" s="460">
        <v>3111</v>
      </c>
      <c r="P2671" s="460" t="s">
        <v>763</v>
      </c>
      <c r="Q2671" s="460" t="s">
        <v>2553</v>
      </c>
      <c r="R2671" s="460">
        <v>3111</v>
      </c>
      <c r="S2671" s="460" t="s">
        <v>2265</v>
      </c>
      <c r="T2671" s="462">
        <v>1</v>
      </c>
      <c r="U2671" s="460" t="s">
        <v>2265</v>
      </c>
      <c r="V2671" s="475">
        <v>0</v>
      </c>
      <c r="W2671" s="463" t="s">
        <v>2268</v>
      </c>
      <c r="X2671" s="463" t="s">
        <v>2268</v>
      </c>
      <c r="Y2671" s="463" t="s">
        <v>2554</v>
      </c>
      <c r="Z2671" s="463"/>
      <c r="AA2671" s="463"/>
      <c r="AB2671" s="464">
        <v>0</v>
      </c>
      <c r="AC2671" s="465">
        <v>0</v>
      </c>
      <c r="AD2671" s="465">
        <v>0</v>
      </c>
      <c r="AE2671" s="476">
        <v>0</v>
      </c>
      <c r="AF2671" s="467">
        <v>0</v>
      </c>
      <c r="AG2671" s="468">
        <v>0</v>
      </c>
      <c r="AH2671" s="218">
        <v>0</v>
      </c>
      <c r="AI2671" s="470">
        <v>0</v>
      </c>
      <c r="AJ2671" s="471">
        <v>0</v>
      </c>
      <c r="AK2671" s="218">
        <v>0</v>
      </c>
      <c r="AL2671" s="470">
        <v>0</v>
      </c>
      <c r="AM2671" s="471">
        <v>0</v>
      </c>
      <c r="AN2671" s="477">
        <v>183.79074786524765</v>
      </c>
      <c r="AO2671" s="473">
        <v>3.4799223297146742E-2</v>
      </c>
      <c r="AP2671" s="474">
        <v>1.1413517939194604E-2</v>
      </c>
      <c r="AQ2671" s="352"/>
      <c r="AR2671" s="352"/>
      <c r="AS2671" s="352"/>
      <c r="AT2671" s="352"/>
      <c r="AU2671" s="352"/>
      <c r="AV2671" s="352"/>
      <c r="AW2671" s="352" t="s">
        <v>254</v>
      </c>
    </row>
    <row r="2672" spans="2:49" x14ac:dyDescent="0.2">
      <c r="B2672" s="460" t="s">
        <v>3142</v>
      </c>
      <c r="C2672" s="460">
        <v>3111</v>
      </c>
      <c r="D2672" s="460" t="s">
        <v>2291</v>
      </c>
      <c r="E2672" s="460" t="s">
        <v>2271</v>
      </c>
      <c r="F2672" s="460">
        <v>2</v>
      </c>
      <c r="G2672" s="460">
        <v>1</v>
      </c>
      <c r="H2672" s="461" t="s">
        <v>748</v>
      </c>
      <c r="I2672" s="461" t="s">
        <v>765</v>
      </c>
      <c r="J2672" s="461" t="s">
        <v>700</v>
      </c>
      <c r="K2672" s="594"/>
      <c r="L2672" s="594"/>
      <c r="M2672" s="352">
        <v>3000</v>
      </c>
      <c r="N2672" s="352" t="s">
        <v>709</v>
      </c>
      <c r="O2672" s="460">
        <v>3111</v>
      </c>
      <c r="P2672" s="460" t="s">
        <v>763</v>
      </c>
      <c r="Q2672" s="460" t="s">
        <v>2553</v>
      </c>
      <c r="R2672" s="460">
        <v>3111</v>
      </c>
      <c r="S2672" s="460" t="s">
        <v>2265</v>
      </c>
      <c r="T2672" s="462">
        <v>1</v>
      </c>
      <c r="U2672" s="460" t="s">
        <v>2271</v>
      </c>
      <c r="V2672" s="475">
        <v>0</v>
      </c>
      <c r="W2672" s="463" t="s">
        <v>2268</v>
      </c>
      <c r="X2672" s="463" t="s">
        <v>2268</v>
      </c>
      <c r="Y2672" s="463" t="s">
        <v>2554</v>
      </c>
      <c r="Z2672" s="463"/>
      <c r="AA2672" s="463"/>
      <c r="AB2672" s="464">
        <v>0</v>
      </c>
      <c r="AC2672" s="465">
        <v>0</v>
      </c>
      <c r="AD2672" s="465">
        <v>0</v>
      </c>
      <c r="AE2672" s="476">
        <v>0</v>
      </c>
      <c r="AF2672" s="467">
        <v>0</v>
      </c>
      <c r="AG2672" s="468">
        <v>0</v>
      </c>
      <c r="AH2672" s="218">
        <v>0</v>
      </c>
      <c r="AI2672" s="470">
        <v>0</v>
      </c>
      <c r="AJ2672" s="471">
        <v>0</v>
      </c>
      <c r="AK2672" s="218">
        <v>0</v>
      </c>
      <c r="AL2672" s="470">
        <v>0</v>
      </c>
      <c r="AM2672" s="471">
        <v>0</v>
      </c>
      <c r="AN2672" s="477">
        <v>139.92993788184978</v>
      </c>
      <c r="AO2672" s="473">
        <v>4.5519894146169734E-2</v>
      </c>
      <c r="AP2672" s="474">
        <v>8.9001145898760722E-3</v>
      </c>
      <c r="AQ2672" s="352"/>
      <c r="AR2672" s="352"/>
      <c r="AS2672" s="352"/>
      <c r="AT2672" s="352"/>
      <c r="AU2672" s="352"/>
      <c r="AV2672" s="352"/>
      <c r="AW2672" s="352" t="s">
        <v>254</v>
      </c>
    </row>
    <row r="2673" spans="2:49" x14ac:dyDescent="0.2">
      <c r="B2673" s="460" t="s">
        <v>3143</v>
      </c>
      <c r="C2673" s="460">
        <v>3111</v>
      </c>
      <c r="D2673" s="460" t="s">
        <v>2292</v>
      </c>
      <c r="E2673" s="460" t="s">
        <v>2274</v>
      </c>
      <c r="F2673" s="460">
        <v>3</v>
      </c>
      <c r="G2673" s="460">
        <v>1</v>
      </c>
      <c r="H2673" s="461" t="s">
        <v>748</v>
      </c>
      <c r="I2673" s="461" t="s">
        <v>765</v>
      </c>
      <c r="J2673" s="461" t="s">
        <v>700</v>
      </c>
      <c r="K2673" s="594"/>
      <c r="L2673" s="594"/>
      <c r="M2673" s="352">
        <v>3000</v>
      </c>
      <c r="N2673" s="352" t="s">
        <v>709</v>
      </c>
      <c r="O2673" s="460">
        <v>3111</v>
      </c>
      <c r="P2673" s="460" t="s">
        <v>763</v>
      </c>
      <c r="Q2673" s="460" t="s">
        <v>2553</v>
      </c>
      <c r="R2673" s="460">
        <v>3111</v>
      </c>
      <c r="S2673" s="460" t="s">
        <v>2265</v>
      </c>
      <c r="T2673" s="462">
        <v>0.74223365950407583</v>
      </c>
      <c r="U2673" s="460" t="s">
        <v>2274</v>
      </c>
      <c r="V2673" s="475">
        <v>0</v>
      </c>
      <c r="W2673" s="463" t="s">
        <v>2268</v>
      </c>
      <c r="X2673" s="463" t="s">
        <v>2268</v>
      </c>
      <c r="Y2673" s="463" t="s">
        <v>2554</v>
      </c>
      <c r="Z2673" s="463"/>
      <c r="AA2673" s="463"/>
      <c r="AB2673" s="464">
        <v>0</v>
      </c>
      <c r="AC2673" s="465">
        <v>0</v>
      </c>
      <c r="AD2673" s="465">
        <v>0</v>
      </c>
      <c r="AE2673" s="476">
        <v>0</v>
      </c>
      <c r="AF2673" s="467">
        <v>0</v>
      </c>
      <c r="AG2673" s="468">
        <v>0</v>
      </c>
      <c r="AH2673" s="218">
        <v>0</v>
      </c>
      <c r="AI2673" s="470">
        <v>0</v>
      </c>
      <c r="AJ2673" s="471">
        <v>0</v>
      </c>
      <c r="AK2673" s="218">
        <v>0</v>
      </c>
      <c r="AL2673" s="470">
        <v>0</v>
      </c>
      <c r="AM2673" s="471">
        <v>0</v>
      </c>
      <c r="AN2673" s="477">
        <v>56.924465494093639</v>
      </c>
      <c r="AO2673" s="473">
        <v>2.5829154855740718E-2</v>
      </c>
      <c r="AP2673" s="474">
        <v>8.0147819805574567E-3</v>
      </c>
      <c r="AQ2673" s="352"/>
      <c r="AR2673" s="352"/>
      <c r="AS2673" s="352"/>
      <c r="AT2673" s="352"/>
      <c r="AU2673" s="352"/>
      <c r="AV2673" s="352"/>
      <c r="AW2673" s="352" t="s">
        <v>254</v>
      </c>
    </row>
    <row r="2674" spans="2:49" x14ac:dyDescent="0.2">
      <c r="B2674" s="460" t="s">
        <v>3144</v>
      </c>
      <c r="C2674" s="460">
        <v>3111</v>
      </c>
      <c r="D2674" s="460" t="s">
        <v>2293</v>
      </c>
      <c r="E2674" s="460" t="s">
        <v>2277</v>
      </c>
      <c r="F2674" s="460">
        <v>4</v>
      </c>
      <c r="G2674" s="460">
        <v>1</v>
      </c>
      <c r="H2674" s="461" t="s">
        <v>748</v>
      </c>
      <c r="I2674" s="461" t="s">
        <v>765</v>
      </c>
      <c r="J2674" s="461" t="s">
        <v>700</v>
      </c>
      <c r="K2674" s="594"/>
      <c r="L2674" s="594"/>
      <c r="M2674" s="352">
        <v>3000</v>
      </c>
      <c r="N2674" s="352" t="s">
        <v>709</v>
      </c>
      <c r="O2674" s="460">
        <v>3111</v>
      </c>
      <c r="P2674" s="460" t="s">
        <v>763</v>
      </c>
      <c r="Q2674" s="460" t="s">
        <v>2553</v>
      </c>
      <c r="R2674" s="460">
        <v>3111</v>
      </c>
      <c r="S2674" s="460" t="s">
        <v>2277</v>
      </c>
      <c r="T2674" s="462">
        <v>1</v>
      </c>
      <c r="U2674" s="460" t="s">
        <v>2277</v>
      </c>
      <c r="V2674" s="475">
        <v>0</v>
      </c>
      <c r="W2674" s="463" t="s">
        <v>2268</v>
      </c>
      <c r="X2674" s="463" t="s">
        <v>2268</v>
      </c>
      <c r="Y2674" s="463" t="s">
        <v>2554</v>
      </c>
      <c r="Z2674" s="463"/>
      <c r="AA2674" s="463"/>
      <c r="AB2674" s="464">
        <v>0</v>
      </c>
      <c r="AC2674" s="465">
        <v>0</v>
      </c>
      <c r="AD2674" s="465">
        <v>0</v>
      </c>
      <c r="AE2674" s="476">
        <v>0</v>
      </c>
      <c r="AF2674" s="467">
        <v>0</v>
      </c>
      <c r="AG2674" s="468">
        <v>0</v>
      </c>
      <c r="AH2674" s="218">
        <v>0</v>
      </c>
      <c r="AI2674" s="470">
        <v>0</v>
      </c>
      <c r="AJ2674" s="471">
        <v>0</v>
      </c>
      <c r="AK2674" s="218">
        <v>0</v>
      </c>
      <c r="AL2674" s="470">
        <v>0</v>
      </c>
      <c r="AM2674" s="471">
        <v>0</v>
      </c>
      <c r="AN2674" s="477">
        <v>0.66484729815439947</v>
      </c>
      <c r="AO2674" s="473">
        <v>3.2104134001342577E-4</v>
      </c>
      <c r="AP2674" s="474">
        <v>1.605351477352544E-2</v>
      </c>
      <c r="AQ2674" s="352"/>
      <c r="AR2674" s="352"/>
      <c r="AS2674" s="352"/>
      <c r="AT2674" s="352"/>
      <c r="AU2674" s="352"/>
      <c r="AV2674" s="352"/>
      <c r="AW2674" s="352" t="s">
        <v>254</v>
      </c>
    </row>
    <row r="2675" spans="2:49" x14ac:dyDescent="0.2">
      <c r="B2675" s="460" t="s">
        <v>3149</v>
      </c>
      <c r="C2675" s="460">
        <v>3111</v>
      </c>
      <c r="D2675" s="460" t="s">
        <v>2295</v>
      </c>
      <c r="E2675" s="460" t="s">
        <v>2296</v>
      </c>
      <c r="F2675" s="460">
        <v>1</v>
      </c>
      <c r="G2675" s="460">
        <v>2</v>
      </c>
      <c r="H2675" s="461" t="s">
        <v>700</v>
      </c>
      <c r="I2675" s="461" t="s">
        <v>872</v>
      </c>
      <c r="J2675" s="461" t="s">
        <v>700</v>
      </c>
      <c r="K2675" s="594"/>
      <c r="L2675" s="594"/>
      <c r="M2675" s="352">
        <v>3000</v>
      </c>
      <c r="N2675" s="352" t="s">
        <v>709</v>
      </c>
      <c r="O2675" s="460">
        <v>3111</v>
      </c>
      <c r="P2675" s="460" t="s">
        <v>763</v>
      </c>
      <c r="Q2675" s="460" t="s">
        <v>2553</v>
      </c>
      <c r="R2675" s="460">
        <v>3111</v>
      </c>
      <c r="S2675" s="460" t="s">
        <v>2296</v>
      </c>
      <c r="T2675" s="462">
        <v>1</v>
      </c>
      <c r="U2675" s="460" t="s">
        <v>2296</v>
      </c>
      <c r="V2675" s="475">
        <v>0</v>
      </c>
      <c r="W2675" s="463" t="s">
        <v>2554</v>
      </c>
      <c r="X2675" s="463" t="s">
        <v>2554</v>
      </c>
      <c r="Y2675" s="463" t="s">
        <v>2268</v>
      </c>
      <c r="Z2675" s="463"/>
      <c r="AA2675" s="463"/>
      <c r="AB2675" s="464">
        <v>158.13502397527802</v>
      </c>
      <c r="AC2675" s="465">
        <v>0.1393966831386767</v>
      </c>
      <c r="AD2675" s="465">
        <v>9.2372559952958837E-3</v>
      </c>
      <c r="AE2675" s="476">
        <v>94.881014385166807</v>
      </c>
      <c r="AF2675" s="467">
        <v>8.3638009883206021E-2</v>
      </c>
      <c r="AG2675" s="468">
        <v>6.1606279387417563E-3</v>
      </c>
      <c r="AH2675" s="218">
        <v>94.881014385166807</v>
      </c>
      <c r="AI2675" s="470">
        <v>8.3638009883206021E-2</v>
      </c>
      <c r="AJ2675" s="471">
        <v>5.6599697303876487E-3</v>
      </c>
      <c r="AK2675" s="218">
        <v>94.881014385166807</v>
      </c>
      <c r="AL2675" s="470">
        <v>8.3638009883206021E-2</v>
      </c>
      <c r="AM2675" s="471">
        <v>5.6599697303876487E-3</v>
      </c>
      <c r="AN2675" s="477">
        <v>0</v>
      </c>
      <c r="AO2675" s="473">
        <v>0</v>
      </c>
      <c r="AP2675" s="474">
        <v>0</v>
      </c>
      <c r="AQ2675" s="352"/>
      <c r="AR2675" s="352"/>
      <c r="AS2675" s="352"/>
      <c r="AT2675" s="352"/>
      <c r="AU2675" s="352"/>
      <c r="AV2675" s="352"/>
      <c r="AW2675" s="352" t="s">
        <v>254</v>
      </c>
    </row>
    <row r="2676" spans="2:49" x14ac:dyDescent="0.2">
      <c r="B2676" s="460" t="s">
        <v>3150</v>
      </c>
      <c r="C2676" s="460">
        <v>3111</v>
      </c>
      <c r="D2676" s="460" t="s">
        <v>2298</v>
      </c>
      <c r="E2676" s="460" t="s">
        <v>2299</v>
      </c>
      <c r="F2676" s="460">
        <v>2</v>
      </c>
      <c r="G2676" s="460">
        <v>2</v>
      </c>
      <c r="H2676" s="461" t="s">
        <v>700</v>
      </c>
      <c r="I2676" s="461" t="s">
        <v>872</v>
      </c>
      <c r="J2676" s="461" t="s">
        <v>700</v>
      </c>
      <c r="K2676" s="594"/>
      <c r="L2676" s="594"/>
      <c r="M2676" s="352">
        <v>3000</v>
      </c>
      <c r="N2676" s="352" t="s">
        <v>709</v>
      </c>
      <c r="O2676" s="460">
        <v>3111</v>
      </c>
      <c r="P2676" s="460" t="s">
        <v>763</v>
      </c>
      <c r="Q2676" s="460" t="s">
        <v>2553</v>
      </c>
      <c r="R2676" s="460">
        <v>3111</v>
      </c>
      <c r="S2676" s="460" t="s">
        <v>2296</v>
      </c>
      <c r="T2676" s="462">
        <v>0.55517361979372948</v>
      </c>
      <c r="U2676" s="460" t="s">
        <v>2299</v>
      </c>
      <c r="V2676" s="475">
        <v>0</v>
      </c>
      <c r="W2676" s="463" t="s">
        <v>2554</v>
      </c>
      <c r="X2676" s="463" t="s">
        <v>2554</v>
      </c>
      <c r="Y2676" s="463" t="s">
        <v>2268</v>
      </c>
      <c r="Z2676" s="463"/>
      <c r="AA2676" s="463"/>
      <c r="AB2676" s="464">
        <v>49.904250967099934</v>
      </c>
      <c r="AC2676" s="465">
        <v>0.13868482088822293</v>
      </c>
      <c r="AD2676" s="465">
        <v>1.5100000000000006E-2</v>
      </c>
      <c r="AE2676" s="476">
        <v>29.942550580259958</v>
      </c>
      <c r="AF2676" s="467">
        <v>8.3210892532933747E-2</v>
      </c>
      <c r="AG2676" s="468">
        <v>1.016706884873627E-2</v>
      </c>
      <c r="AH2676" s="218">
        <v>29.942550580259958</v>
      </c>
      <c r="AI2676" s="470">
        <v>8.3210892532933747E-2</v>
      </c>
      <c r="AJ2676" s="471">
        <v>7.0510987354067559E-3</v>
      </c>
      <c r="AK2676" s="218">
        <v>29.942550580259958</v>
      </c>
      <c r="AL2676" s="470">
        <v>8.3210892532933747E-2</v>
      </c>
      <c r="AM2676" s="471">
        <v>7.0510987354067559E-3</v>
      </c>
      <c r="AN2676" s="477">
        <v>0</v>
      </c>
      <c r="AO2676" s="473">
        <v>0</v>
      </c>
      <c r="AP2676" s="474">
        <v>0</v>
      </c>
      <c r="AQ2676" s="352"/>
      <c r="AR2676" s="352"/>
      <c r="AS2676" s="352"/>
      <c r="AT2676" s="352"/>
      <c r="AU2676" s="352"/>
      <c r="AV2676" s="352"/>
      <c r="AW2676" s="352" t="s">
        <v>254</v>
      </c>
    </row>
    <row r="2677" spans="2:49" x14ac:dyDescent="0.2">
      <c r="B2677" s="460" t="s">
        <v>3151</v>
      </c>
      <c r="C2677" s="460">
        <v>3111</v>
      </c>
      <c r="D2677" s="460" t="s">
        <v>2301</v>
      </c>
      <c r="E2677" s="460" t="s">
        <v>2302</v>
      </c>
      <c r="F2677" s="460">
        <v>3</v>
      </c>
      <c r="G2677" s="460">
        <v>2</v>
      </c>
      <c r="H2677" s="461" t="s">
        <v>700</v>
      </c>
      <c r="I2677" s="461" t="s">
        <v>872</v>
      </c>
      <c r="J2677" s="461" t="s">
        <v>700</v>
      </c>
      <c r="K2677" s="594"/>
      <c r="L2677" s="594"/>
      <c r="M2677" s="352">
        <v>3000</v>
      </c>
      <c r="N2677" s="352" t="s">
        <v>709</v>
      </c>
      <c r="O2677" s="460">
        <v>3111</v>
      </c>
      <c r="P2677" s="460" t="s">
        <v>763</v>
      </c>
      <c r="Q2677" s="460" t="s">
        <v>2553</v>
      </c>
      <c r="R2677" s="460">
        <v>3111</v>
      </c>
      <c r="S2677" s="460" t="s">
        <v>2296</v>
      </c>
      <c r="T2677" s="462">
        <v>0.28481449642268464</v>
      </c>
      <c r="U2677" s="460" t="s">
        <v>2302</v>
      </c>
      <c r="V2677" s="475">
        <v>0</v>
      </c>
      <c r="W2677" s="463" t="s">
        <v>2554</v>
      </c>
      <c r="X2677" s="463" t="s">
        <v>2554</v>
      </c>
      <c r="Y2677" s="463" t="s">
        <v>2268</v>
      </c>
      <c r="Z2677" s="463"/>
      <c r="AA2677" s="463"/>
      <c r="AB2677" s="464">
        <v>7.7629459226817978</v>
      </c>
      <c r="AC2677" s="465">
        <v>8.5116993978481131E-2</v>
      </c>
      <c r="AD2677" s="465">
        <v>1.5100000000000001E-2</v>
      </c>
      <c r="AE2677" s="476">
        <v>4.6577675536090792</v>
      </c>
      <c r="AF2677" s="467">
        <v>5.1070196387088679E-2</v>
      </c>
      <c r="AG2677" s="468">
        <v>1.0223652514197086E-2</v>
      </c>
      <c r="AH2677" s="218">
        <v>4.6577675536090792</v>
      </c>
      <c r="AI2677" s="470">
        <v>5.1070196387088679E-2</v>
      </c>
      <c r="AJ2677" s="471">
        <v>4.8353166334314151E-3</v>
      </c>
      <c r="AK2677" s="218">
        <v>4.6577675536090792</v>
      </c>
      <c r="AL2677" s="470">
        <v>5.1070196387088679E-2</v>
      </c>
      <c r="AM2677" s="471">
        <v>4.8353166334314151E-3</v>
      </c>
      <c r="AN2677" s="477">
        <v>0</v>
      </c>
      <c r="AO2677" s="473">
        <v>0</v>
      </c>
      <c r="AP2677" s="474">
        <v>0</v>
      </c>
      <c r="AQ2677" s="352"/>
      <c r="AR2677" s="352"/>
      <c r="AS2677" s="352"/>
      <c r="AT2677" s="352"/>
      <c r="AU2677" s="352"/>
      <c r="AV2677" s="352"/>
      <c r="AW2677" s="352" t="s">
        <v>254</v>
      </c>
    </row>
    <row r="2678" spans="2:49" x14ac:dyDescent="0.2">
      <c r="B2678" s="460" t="s">
        <v>3152</v>
      </c>
      <c r="C2678" s="460">
        <v>3111</v>
      </c>
      <c r="D2678" s="460" t="s">
        <v>2304</v>
      </c>
      <c r="E2678" s="460" t="s">
        <v>2305</v>
      </c>
      <c r="F2678" s="460">
        <v>4</v>
      </c>
      <c r="G2678" s="460">
        <v>2</v>
      </c>
      <c r="H2678" s="461" t="s">
        <v>700</v>
      </c>
      <c r="I2678" s="461" t="s">
        <v>872</v>
      </c>
      <c r="J2678" s="461" t="s">
        <v>700</v>
      </c>
      <c r="K2678" s="594"/>
      <c r="L2678" s="594"/>
      <c r="M2678" s="352">
        <v>3000</v>
      </c>
      <c r="N2678" s="352" t="s">
        <v>709</v>
      </c>
      <c r="O2678" s="460">
        <v>3111</v>
      </c>
      <c r="P2678" s="460" t="s">
        <v>763</v>
      </c>
      <c r="Q2678" s="460" t="s">
        <v>2553</v>
      </c>
      <c r="R2678" s="460">
        <v>3111</v>
      </c>
      <c r="S2678" s="460" t="s">
        <v>2305</v>
      </c>
      <c r="T2678" s="462">
        <v>1</v>
      </c>
      <c r="U2678" s="460" t="s">
        <v>2305</v>
      </c>
      <c r="V2678" s="475">
        <v>0</v>
      </c>
      <c r="W2678" s="463" t="s">
        <v>2554</v>
      </c>
      <c r="X2678" s="463" t="s">
        <v>2554</v>
      </c>
      <c r="Y2678" s="463" t="s">
        <v>2268</v>
      </c>
      <c r="Z2678" s="463"/>
      <c r="AA2678" s="463"/>
      <c r="AB2678" s="464">
        <v>0.19072135780827068</v>
      </c>
      <c r="AC2678" s="465">
        <v>2.3440437437738941E-3</v>
      </c>
      <c r="AD2678" s="465">
        <v>1.5100000000000004E-2</v>
      </c>
      <c r="AE2678" s="476">
        <v>0.1144328146849624</v>
      </c>
      <c r="AF2678" s="467">
        <v>1.4064262462643365E-3</v>
      </c>
      <c r="AG2678" s="468">
        <v>1.0060398257601744E-2</v>
      </c>
      <c r="AH2678" s="218">
        <v>0.1144328146849624</v>
      </c>
      <c r="AI2678" s="470">
        <v>1.4064262462643365E-3</v>
      </c>
      <c r="AJ2678" s="471">
        <v>1.00186495059512E-2</v>
      </c>
      <c r="AK2678" s="218">
        <v>0.1144328146849624</v>
      </c>
      <c r="AL2678" s="470">
        <v>1.4064262462643365E-3</v>
      </c>
      <c r="AM2678" s="471">
        <v>1.00186495059512E-2</v>
      </c>
      <c r="AN2678" s="477">
        <v>0</v>
      </c>
      <c r="AO2678" s="473">
        <v>0</v>
      </c>
      <c r="AP2678" s="474">
        <v>0</v>
      </c>
      <c r="AQ2678" s="352"/>
      <c r="AR2678" s="352"/>
      <c r="AS2678" s="352"/>
      <c r="AT2678" s="352"/>
      <c r="AU2678" s="352"/>
      <c r="AV2678" s="352"/>
      <c r="AW2678" s="352" t="s">
        <v>254</v>
      </c>
    </row>
    <row r="2679" spans="2:49" x14ac:dyDescent="0.2">
      <c r="B2679" s="460" t="s">
        <v>3149</v>
      </c>
      <c r="C2679" s="460">
        <v>3111</v>
      </c>
      <c r="D2679" s="460" t="s">
        <v>3153</v>
      </c>
      <c r="E2679" s="460" t="s">
        <v>2296</v>
      </c>
      <c r="F2679" s="460">
        <v>1</v>
      </c>
      <c r="G2679" s="460">
        <v>2</v>
      </c>
      <c r="H2679" s="461" t="s">
        <v>706</v>
      </c>
      <c r="I2679" s="461" t="s">
        <v>707</v>
      </c>
      <c r="J2679" s="461" t="s">
        <v>706</v>
      </c>
      <c r="K2679" s="594"/>
      <c r="L2679" s="594"/>
      <c r="M2679" s="352">
        <v>3000</v>
      </c>
      <c r="N2679" s="352" t="s">
        <v>709</v>
      </c>
      <c r="O2679" s="460">
        <v>3111</v>
      </c>
      <c r="P2679" s="460" t="s">
        <v>763</v>
      </c>
      <c r="Q2679" s="460" t="s">
        <v>2266</v>
      </c>
      <c r="R2679" s="460">
        <v>3111</v>
      </c>
      <c r="S2679" s="460" t="s">
        <v>2296</v>
      </c>
      <c r="T2679" s="462">
        <v>1</v>
      </c>
      <c r="U2679" s="460" t="s">
        <v>2296</v>
      </c>
      <c r="V2679" s="475">
        <v>0</v>
      </c>
      <c r="W2679" s="463" t="s">
        <v>2267</v>
      </c>
      <c r="X2679" s="463" t="s">
        <v>2267</v>
      </c>
      <c r="Y2679" s="463" t="s">
        <v>2267</v>
      </c>
      <c r="Z2679" s="463"/>
      <c r="AA2679" s="463"/>
      <c r="AB2679" s="464">
        <v>501.88448590877039</v>
      </c>
      <c r="AC2679" s="465">
        <v>0.44241326744529313</v>
      </c>
      <c r="AD2679" s="465">
        <v>0.17999451304384984</v>
      </c>
      <c r="AE2679" s="476">
        <v>501.88448590877039</v>
      </c>
      <c r="AF2679" s="467">
        <v>0.44241326744529313</v>
      </c>
      <c r="AG2679" s="468">
        <v>0.17999451304384984</v>
      </c>
      <c r="AH2679" s="218">
        <v>501.88448590877039</v>
      </c>
      <c r="AI2679" s="470">
        <v>0.44241326744529313</v>
      </c>
      <c r="AJ2679" s="471">
        <v>0.17999451304384984</v>
      </c>
      <c r="AK2679" s="218">
        <v>501.88448590877039</v>
      </c>
      <c r="AL2679" s="470">
        <v>0.44241326744529313</v>
      </c>
      <c r="AM2679" s="471">
        <v>0.17999451304384984</v>
      </c>
      <c r="AN2679" s="477">
        <v>501.88448590877039</v>
      </c>
      <c r="AO2679" s="473">
        <v>0.44241326744529313</v>
      </c>
      <c r="AP2679" s="474">
        <v>0.17999451304384984</v>
      </c>
      <c r="AQ2679" s="352"/>
      <c r="AR2679" s="352"/>
      <c r="AS2679" s="352"/>
      <c r="AT2679" s="352"/>
      <c r="AU2679" s="352"/>
      <c r="AV2679" s="352"/>
      <c r="AW2679" s="352" t="s">
        <v>254</v>
      </c>
    </row>
    <row r="2680" spans="2:49" x14ac:dyDescent="0.2">
      <c r="B2680" s="460" t="s">
        <v>3150</v>
      </c>
      <c r="C2680" s="460">
        <v>3111</v>
      </c>
      <c r="D2680" s="460" t="s">
        <v>3154</v>
      </c>
      <c r="E2680" s="460" t="s">
        <v>2299</v>
      </c>
      <c r="F2680" s="460">
        <v>2</v>
      </c>
      <c r="G2680" s="460">
        <v>2</v>
      </c>
      <c r="H2680" s="461" t="s">
        <v>706</v>
      </c>
      <c r="I2680" s="461" t="s">
        <v>707</v>
      </c>
      <c r="J2680" s="461" t="s">
        <v>706</v>
      </c>
      <c r="K2680" s="594"/>
      <c r="L2680" s="594"/>
      <c r="M2680" s="352">
        <v>3000</v>
      </c>
      <c r="N2680" s="352" t="s">
        <v>709</v>
      </c>
      <c r="O2680" s="460">
        <v>3111</v>
      </c>
      <c r="P2680" s="460" t="s">
        <v>763</v>
      </c>
      <c r="Q2680" s="460" t="s">
        <v>2266</v>
      </c>
      <c r="R2680" s="460">
        <v>3111</v>
      </c>
      <c r="S2680" s="460" t="s">
        <v>2296</v>
      </c>
      <c r="T2680" s="462">
        <v>0.55517361979372948</v>
      </c>
      <c r="U2680" s="460" t="s">
        <v>2299</v>
      </c>
      <c r="V2680" s="475">
        <v>0</v>
      </c>
      <c r="W2680" s="463" t="s">
        <v>2267</v>
      </c>
      <c r="X2680" s="463" t="s">
        <v>2267</v>
      </c>
      <c r="Y2680" s="463" t="s">
        <v>2267</v>
      </c>
      <c r="Z2680" s="463"/>
      <c r="AA2680" s="463"/>
      <c r="AB2680" s="464">
        <v>23.861911653412516</v>
      </c>
      <c r="AC2680" s="465">
        <v>6.631268638589137E-2</v>
      </c>
      <c r="AD2680" s="465">
        <v>0.18000000000000002</v>
      </c>
      <c r="AE2680" s="476">
        <v>23.861911653412516</v>
      </c>
      <c r="AF2680" s="467">
        <v>6.631268638589137E-2</v>
      </c>
      <c r="AG2680" s="468">
        <v>0.18000000000000002</v>
      </c>
      <c r="AH2680" s="218">
        <v>88.382356244050087</v>
      </c>
      <c r="AI2680" s="470">
        <v>0.24561617513237471</v>
      </c>
      <c r="AJ2680" s="471">
        <v>0.30311285676851074</v>
      </c>
      <c r="AK2680" s="218">
        <v>88.382356244050087</v>
      </c>
      <c r="AL2680" s="470">
        <v>0.24561617513237471</v>
      </c>
      <c r="AM2680" s="471">
        <v>0.30311285676851074</v>
      </c>
      <c r="AN2680" s="477">
        <v>88.382356244050087</v>
      </c>
      <c r="AO2680" s="473">
        <v>0.24561617513237471</v>
      </c>
      <c r="AP2680" s="474">
        <v>0.30311285676851074</v>
      </c>
      <c r="AQ2680" s="352"/>
      <c r="AR2680" s="352"/>
      <c r="AS2680" s="352"/>
      <c r="AT2680" s="352"/>
      <c r="AU2680" s="352"/>
      <c r="AV2680" s="352"/>
      <c r="AW2680" s="352" t="s">
        <v>254</v>
      </c>
    </row>
    <row r="2681" spans="2:49" x14ac:dyDescent="0.2">
      <c r="B2681" s="460" t="s">
        <v>3151</v>
      </c>
      <c r="C2681" s="460">
        <v>3111</v>
      </c>
      <c r="D2681" s="460" t="s">
        <v>3155</v>
      </c>
      <c r="E2681" s="460" t="s">
        <v>2302</v>
      </c>
      <c r="F2681" s="460">
        <v>3</v>
      </c>
      <c r="G2681" s="460">
        <v>2</v>
      </c>
      <c r="H2681" s="461" t="s">
        <v>706</v>
      </c>
      <c r="I2681" s="461" t="s">
        <v>707</v>
      </c>
      <c r="J2681" s="461" t="s">
        <v>706</v>
      </c>
      <c r="K2681" s="594"/>
      <c r="L2681" s="594"/>
      <c r="M2681" s="352">
        <v>3000</v>
      </c>
      <c r="N2681" s="352" t="s">
        <v>709</v>
      </c>
      <c r="O2681" s="460">
        <v>3111</v>
      </c>
      <c r="P2681" s="460" t="s">
        <v>763</v>
      </c>
      <c r="Q2681" s="460" t="s">
        <v>2266</v>
      </c>
      <c r="R2681" s="460">
        <v>3111</v>
      </c>
      <c r="S2681" s="460" t="s">
        <v>2296</v>
      </c>
      <c r="T2681" s="462">
        <v>0.28481449642268464</v>
      </c>
      <c r="U2681" s="460" t="s">
        <v>2302</v>
      </c>
      <c r="V2681" s="475">
        <v>0</v>
      </c>
      <c r="W2681" s="463" t="s">
        <v>2267</v>
      </c>
      <c r="X2681" s="463" t="s">
        <v>2267</v>
      </c>
      <c r="Y2681" s="463" t="s">
        <v>2267</v>
      </c>
      <c r="Z2681" s="463"/>
      <c r="AA2681" s="463"/>
      <c r="AB2681" s="464">
        <v>19.831736102380862</v>
      </c>
      <c r="AC2681" s="465">
        <v>0.21744551349728244</v>
      </c>
      <c r="AD2681" s="465">
        <v>0.18000000000000002</v>
      </c>
      <c r="AE2681" s="476">
        <v>19.831736102380862</v>
      </c>
      <c r="AF2681" s="467">
        <v>0.21744551349728244</v>
      </c>
      <c r="AG2681" s="468">
        <v>0.18000000000000002</v>
      </c>
      <c r="AH2681" s="218">
        <v>19.831736102380862</v>
      </c>
      <c r="AI2681" s="470">
        <v>0.21744551349728244</v>
      </c>
      <c r="AJ2681" s="471">
        <v>0.18000000000000002</v>
      </c>
      <c r="AK2681" s="218">
        <v>19.831736102380862</v>
      </c>
      <c r="AL2681" s="470">
        <v>0.21744551349728244</v>
      </c>
      <c r="AM2681" s="471">
        <v>0.18000000000000002</v>
      </c>
      <c r="AN2681" s="477">
        <v>19.831736102380862</v>
      </c>
      <c r="AO2681" s="473">
        <v>0.21744551349728244</v>
      </c>
      <c r="AP2681" s="474">
        <v>0.18000000000000002</v>
      </c>
      <c r="AQ2681" s="352"/>
      <c r="AR2681" s="352"/>
      <c r="AS2681" s="352"/>
      <c r="AT2681" s="352"/>
      <c r="AU2681" s="352"/>
      <c r="AV2681" s="352"/>
      <c r="AW2681" s="352" t="s">
        <v>254</v>
      </c>
    </row>
    <row r="2682" spans="2:49" x14ac:dyDescent="0.2">
      <c r="B2682" s="460" t="s">
        <v>3152</v>
      </c>
      <c r="C2682" s="460">
        <v>3111</v>
      </c>
      <c r="D2682" s="460" t="s">
        <v>3156</v>
      </c>
      <c r="E2682" s="460" t="s">
        <v>2305</v>
      </c>
      <c r="F2682" s="460">
        <v>4</v>
      </c>
      <c r="G2682" s="460">
        <v>2</v>
      </c>
      <c r="H2682" s="461" t="s">
        <v>706</v>
      </c>
      <c r="I2682" s="461" t="s">
        <v>707</v>
      </c>
      <c r="J2682" s="461" t="s">
        <v>706</v>
      </c>
      <c r="K2682" s="594"/>
      <c r="L2682" s="594"/>
      <c r="M2682" s="352">
        <v>3000</v>
      </c>
      <c r="N2682" s="352" t="s">
        <v>709</v>
      </c>
      <c r="O2682" s="460">
        <v>3111</v>
      </c>
      <c r="P2682" s="460" t="s">
        <v>763</v>
      </c>
      <c r="Q2682" s="460" t="s">
        <v>2266</v>
      </c>
      <c r="R2682" s="460">
        <v>3111</v>
      </c>
      <c r="S2682" s="460" t="s">
        <v>2305</v>
      </c>
      <c r="T2682" s="462">
        <v>1</v>
      </c>
      <c r="U2682" s="460" t="s">
        <v>2305</v>
      </c>
      <c r="V2682" s="475">
        <v>0</v>
      </c>
      <c r="W2682" s="463" t="s">
        <v>2278</v>
      </c>
      <c r="X2682" s="463" t="s">
        <v>2278</v>
      </c>
      <c r="Y2682" s="463" t="s">
        <v>2278</v>
      </c>
      <c r="Z2682" s="463"/>
      <c r="AA2682" s="463"/>
      <c r="AB2682" s="464">
        <v>0.30709871731163813</v>
      </c>
      <c r="AC2682" s="465">
        <v>3.7743692437371924E-3</v>
      </c>
      <c r="AD2682" s="465">
        <v>0.18</v>
      </c>
      <c r="AE2682" s="476">
        <v>0.30709871731163813</v>
      </c>
      <c r="AF2682" s="467">
        <v>3.7743692437371924E-3</v>
      </c>
      <c r="AG2682" s="468">
        <v>0.18</v>
      </c>
      <c r="AH2682" s="218">
        <v>0.30709871731163813</v>
      </c>
      <c r="AI2682" s="470">
        <v>3.7743692437371924E-3</v>
      </c>
      <c r="AJ2682" s="471">
        <v>0.18</v>
      </c>
      <c r="AK2682" s="218">
        <v>0.30709871731163813</v>
      </c>
      <c r="AL2682" s="470">
        <v>3.7743692437371924E-3</v>
      </c>
      <c r="AM2682" s="471">
        <v>0.18</v>
      </c>
      <c r="AN2682" s="477">
        <v>0.30709871731163813</v>
      </c>
      <c r="AO2682" s="473">
        <v>3.7743692437371924E-3</v>
      </c>
      <c r="AP2682" s="474">
        <v>0.18</v>
      </c>
      <c r="AQ2682" s="352"/>
      <c r="AR2682" s="352"/>
      <c r="AS2682" s="352"/>
      <c r="AT2682" s="352"/>
      <c r="AU2682" s="352"/>
      <c r="AV2682" s="352"/>
      <c r="AW2682" s="352" t="s">
        <v>254</v>
      </c>
    </row>
    <row r="2683" spans="2:49" x14ac:dyDescent="0.2">
      <c r="B2683" s="460" t="s">
        <v>3149</v>
      </c>
      <c r="C2683" s="460">
        <v>3111</v>
      </c>
      <c r="D2683" s="460" t="s">
        <v>2306</v>
      </c>
      <c r="E2683" s="460" t="s">
        <v>2296</v>
      </c>
      <c r="F2683" s="460">
        <v>1</v>
      </c>
      <c r="G2683" s="460">
        <v>2</v>
      </c>
      <c r="H2683" s="461" t="s">
        <v>712</v>
      </c>
      <c r="I2683" s="461" t="s">
        <v>713</v>
      </c>
      <c r="J2683" s="461" t="s">
        <v>712</v>
      </c>
      <c r="K2683" s="594"/>
      <c r="L2683" s="594"/>
      <c r="M2683" s="352">
        <v>3000</v>
      </c>
      <c r="N2683" s="352" t="s">
        <v>709</v>
      </c>
      <c r="O2683" s="460">
        <v>3111</v>
      </c>
      <c r="P2683" s="460" t="s">
        <v>763</v>
      </c>
      <c r="Q2683" s="460" t="s">
        <v>2280</v>
      </c>
      <c r="R2683" s="460">
        <v>3111</v>
      </c>
      <c r="S2683" s="460" t="s">
        <v>2296</v>
      </c>
      <c r="T2683" s="462">
        <v>1</v>
      </c>
      <c r="U2683" s="460" t="s">
        <v>2296</v>
      </c>
      <c r="V2683" s="475">
        <v>0</v>
      </c>
      <c r="W2683" s="463" t="s">
        <v>713</v>
      </c>
      <c r="X2683" s="463" t="s">
        <v>713</v>
      </c>
      <c r="Y2683" s="463" t="s">
        <v>713</v>
      </c>
      <c r="Z2683" s="463"/>
      <c r="AA2683" s="463"/>
      <c r="AB2683" s="464">
        <v>474.40507192583402</v>
      </c>
      <c r="AC2683" s="465">
        <v>0.41819004941603005</v>
      </c>
      <c r="AD2683" s="465">
        <v>4.1031184981263737E-3</v>
      </c>
      <c r="AE2683" s="476">
        <v>537.65908151594545</v>
      </c>
      <c r="AF2683" s="467">
        <v>0.4739487226715009</v>
      </c>
      <c r="AG2683" s="468">
        <v>4.5821127664698747E-3</v>
      </c>
      <c r="AH2683" s="218">
        <v>537.65908151594545</v>
      </c>
      <c r="AI2683" s="470">
        <v>0.4739487226715009</v>
      </c>
      <c r="AJ2683" s="471">
        <v>4.6359370036380453E-3</v>
      </c>
      <c r="AK2683" s="218">
        <v>537.65908151594545</v>
      </c>
      <c r="AL2683" s="470">
        <v>0.4739487226715009</v>
      </c>
      <c r="AM2683" s="471">
        <v>4.6359370036380453E-3</v>
      </c>
      <c r="AN2683" s="477">
        <v>537.65908151594545</v>
      </c>
      <c r="AO2683" s="473">
        <v>0.4739487226715009</v>
      </c>
      <c r="AP2683" s="474">
        <v>4.6347992808781083E-3</v>
      </c>
      <c r="AQ2683" s="352"/>
      <c r="AR2683" s="352"/>
      <c r="AS2683" s="352"/>
      <c r="AT2683" s="352"/>
      <c r="AU2683" s="352"/>
      <c r="AV2683" s="352"/>
      <c r="AW2683" s="352" t="s">
        <v>254</v>
      </c>
    </row>
    <row r="2684" spans="2:49" x14ac:dyDescent="0.2">
      <c r="B2684" s="460" t="s">
        <v>3150</v>
      </c>
      <c r="C2684" s="460">
        <v>3111</v>
      </c>
      <c r="D2684" s="460" t="s">
        <v>2307</v>
      </c>
      <c r="E2684" s="460" t="s">
        <v>2299</v>
      </c>
      <c r="F2684" s="460">
        <v>2</v>
      </c>
      <c r="G2684" s="460">
        <v>2</v>
      </c>
      <c r="H2684" s="461" t="s">
        <v>712</v>
      </c>
      <c r="I2684" s="461" t="s">
        <v>713</v>
      </c>
      <c r="J2684" s="461" t="s">
        <v>712</v>
      </c>
      <c r="K2684" s="594"/>
      <c r="L2684" s="594"/>
      <c r="M2684" s="352">
        <v>3000</v>
      </c>
      <c r="N2684" s="352" t="s">
        <v>709</v>
      </c>
      <c r="O2684" s="460">
        <v>3111</v>
      </c>
      <c r="P2684" s="460" t="s">
        <v>763</v>
      </c>
      <c r="Q2684" s="460" t="s">
        <v>2280</v>
      </c>
      <c r="R2684" s="460">
        <v>3111</v>
      </c>
      <c r="S2684" s="460" t="s">
        <v>2296</v>
      </c>
      <c r="T2684" s="462">
        <v>0.55517361979372948</v>
      </c>
      <c r="U2684" s="460" t="s">
        <v>2299</v>
      </c>
      <c r="V2684" s="475">
        <v>0</v>
      </c>
      <c r="W2684" s="463" t="s">
        <v>713</v>
      </c>
      <c r="X2684" s="463" t="s">
        <v>713</v>
      </c>
      <c r="Y2684" s="463" t="s">
        <v>713</v>
      </c>
      <c r="Z2684" s="463"/>
      <c r="AA2684" s="463"/>
      <c r="AB2684" s="464">
        <v>286.07315250772155</v>
      </c>
      <c r="AC2684" s="465">
        <v>0.79500249272588575</v>
      </c>
      <c r="AD2684" s="465">
        <v>3.3089373618966082E-3</v>
      </c>
      <c r="AE2684" s="476">
        <v>306.03485289456148</v>
      </c>
      <c r="AF2684" s="467">
        <v>0.85047642108117483</v>
      </c>
      <c r="AG2684" s="468">
        <v>3.5251560612591794E-3</v>
      </c>
      <c r="AH2684" s="218">
        <v>241.51440830392394</v>
      </c>
      <c r="AI2684" s="470">
        <v>0.67117293233469155</v>
      </c>
      <c r="AJ2684" s="471">
        <v>2.8295589618272882E-3</v>
      </c>
      <c r="AK2684" s="218">
        <v>241.51440830392394</v>
      </c>
      <c r="AL2684" s="470">
        <v>0.67117293233469155</v>
      </c>
      <c r="AM2684" s="471">
        <v>2.8295589618272882E-3</v>
      </c>
      <c r="AN2684" s="477">
        <v>241.51440830392394</v>
      </c>
      <c r="AO2684" s="473">
        <v>0.67117293233469155</v>
      </c>
      <c r="AP2684" s="474">
        <v>2.8292017732985376E-3</v>
      </c>
      <c r="AQ2684" s="352"/>
      <c r="AR2684" s="352"/>
      <c r="AS2684" s="352"/>
      <c r="AT2684" s="352"/>
      <c r="AU2684" s="352"/>
      <c r="AV2684" s="352"/>
      <c r="AW2684" s="352" t="s">
        <v>254</v>
      </c>
    </row>
    <row r="2685" spans="2:49" x14ac:dyDescent="0.2">
      <c r="B2685" s="460" t="s">
        <v>3151</v>
      </c>
      <c r="C2685" s="460">
        <v>3111</v>
      </c>
      <c r="D2685" s="460" t="s">
        <v>2308</v>
      </c>
      <c r="E2685" s="460" t="s">
        <v>2302</v>
      </c>
      <c r="F2685" s="460">
        <v>3</v>
      </c>
      <c r="G2685" s="460">
        <v>2</v>
      </c>
      <c r="H2685" s="461" t="s">
        <v>712</v>
      </c>
      <c r="I2685" s="461" t="s">
        <v>713</v>
      </c>
      <c r="J2685" s="461" t="s">
        <v>712</v>
      </c>
      <c r="K2685" s="594"/>
      <c r="L2685" s="594"/>
      <c r="M2685" s="352">
        <v>3000</v>
      </c>
      <c r="N2685" s="352" t="s">
        <v>709</v>
      </c>
      <c r="O2685" s="460">
        <v>3111</v>
      </c>
      <c r="P2685" s="460" t="s">
        <v>763</v>
      </c>
      <c r="Q2685" s="460" t="s">
        <v>2280</v>
      </c>
      <c r="R2685" s="460">
        <v>3111</v>
      </c>
      <c r="S2685" s="460" t="s">
        <v>2296</v>
      </c>
      <c r="T2685" s="462">
        <v>0.28481449642268464</v>
      </c>
      <c r="U2685" s="460" t="s">
        <v>2302</v>
      </c>
      <c r="V2685" s="475">
        <v>0</v>
      </c>
      <c r="W2685" s="463" t="s">
        <v>713</v>
      </c>
      <c r="X2685" s="463" t="s">
        <v>713</v>
      </c>
      <c r="Y2685" s="463" t="s">
        <v>713</v>
      </c>
      <c r="Z2685" s="463"/>
      <c r="AA2685" s="463"/>
      <c r="AB2685" s="464">
        <v>63.608561414718451</v>
      </c>
      <c r="AC2685" s="465">
        <v>0.69743749252423637</v>
      </c>
      <c r="AD2685" s="465">
        <v>1.8502141001153168E-3</v>
      </c>
      <c r="AE2685" s="476">
        <v>66.713739783791183</v>
      </c>
      <c r="AF2685" s="467">
        <v>0.73148429011562888</v>
      </c>
      <c r="AG2685" s="468">
        <v>1.9372386950497072E-3</v>
      </c>
      <c r="AH2685" s="218">
        <v>66.713739783791183</v>
      </c>
      <c r="AI2685" s="470">
        <v>0.73148429011562888</v>
      </c>
      <c r="AJ2685" s="471">
        <v>1.9662256555895031E-3</v>
      </c>
      <c r="AK2685" s="218">
        <v>66.713739783791183</v>
      </c>
      <c r="AL2685" s="470">
        <v>0.73148429011562888</v>
      </c>
      <c r="AM2685" s="471">
        <v>1.9662256555895031E-3</v>
      </c>
      <c r="AN2685" s="477">
        <v>66.713739783791183</v>
      </c>
      <c r="AO2685" s="473">
        <v>0.73148429011562888</v>
      </c>
      <c r="AP2685" s="474">
        <v>1.9679353979814491E-3</v>
      </c>
      <c r="AQ2685" s="352"/>
      <c r="AR2685" s="352"/>
      <c r="AS2685" s="352"/>
      <c r="AT2685" s="352"/>
      <c r="AU2685" s="352"/>
      <c r="AV2685" s="352"/>
      <c r="AW2685" s="352" t="s">
        <v>254</v>
      </c>
    </row>
    <row r="2686" spans="2:49" x14ac:dyDescent="0.2">
      <c r="B2686" s="460" t="s">
        <v>3152</v>
      </c>
      <c r="C2686" s="460">
        <v>3111</v>
      </c>
      <c r="D2686" s="460" t="s">
        <v>2309</v>
      </c>
      <c r="E2686" s="460" t="s">
        <v>2305</v>
      </c>
      <c r="F2686" s="460">
        <v>4</v>
      </c>
      <c r="G2686" s="460">
        <v>2</v>
      </c>
      <c r="H2686" s="461" t="s">
        <v>712</v>
      </c>
      <c r="I2686" s="461" t="s">
        <v>713</v>
      </c>
      <c r="J2686" s="461" t="s">
        <v>712</v>
      </c>
      <c r="K2686" s="594"/>
      <c r="L2686" s="594"/>
      <c r="M2686" s="352">
        <v>3000</v>
      </c>
      <c r="N2686" s="352" t="s">
        <v>709</v>
      </c>
      <c r="O2686" s="460">
        <v>3111</v>
      </c>
      <c r="P2686" s="460" t="s">
        <v>763</v>
      </c>
      <c r="Q2686" s="460" t="s">
        <v>2280</v>
      </c>
      <c r="R2686" s="460">
        <v>3111</v>
      </c>
      <c r="S2686" s="460" t="s">
        <v>2305</v>
      </c>
      <c r="T2686" s="462">
        <v>1</v>
      </c>
      <c r="U2686" s="460" t="s">
        <v>2305</v>
      </c>
      <c r="V2686" s="475">
        <v>0</v>
      </c>
      <c r="W2686" s="463" t="s">
        <v>713</v>
      </c>
      <c r="X2686" s="463" t="s">
        <v>713</v>
      </c>
      <c r="Y2686" s="463" t="s">
        <v>713</v>
      </c>
      <c r="Z2686" s="463"/>
      <c r="AA2686" s="463"/>
      <c r="AB2686" s="464">
        <v>80.866428486730996</v>
      </c>
      <c r="AC2686" s="465">
        <v>0.99388158701248897</v>
      </c>
      <c r="AD2686" s="465">
        <v>2.0653206923928464E-3</v>
      </c>
      <c r="AE2686" s="476">
        <v>80.942717029854307</v>
      </c>
      <c r="AF2686" s="467">
        <v>0.9948192045099985</v>
      </c>
      <c r="AG2686" s="468">
        <v>2.0672027838171672E-3</v>
      </c>
      <c r="AH2686" s="218">
        <v>80.942717029854307</v>
      </c>
      <c r="AI2686" s="470">
        <v>0.9948192045099985</v>
      </c>
      <c r="AJ2686" s="471">
        <v>2.0672052862280906E-3</v>
      </c>
      <c r="AK2686" s="218">
        <v>80.942717029854307</v>
      </c>
      <c r="AL2686" s="470">
        <v>0.9948192045099985</v>
      </c>
      <c r="AM2686" s="471">
        <v>2.0672052862280906E-3</v>
      </c>
      <c r="AN2686" s="477">
        <v>80.942717029854307</v>
      </c>
      <c r="AO2686" s="473">
        <v>0.9948192045099985</v>
      </c>
      <c r="AP2686" s="474">
        <v>2.0672078148312599E-3</v>
      </c>
      <c r="AQ2686" s="352"/>
      <c r="AR2686" s="352"/>
      <c r="AS2686" s="352"/>
      <c r="AT2686" s="352"/>
      <c r="AU2686" s="352"/>
      <c r="AV2686" s="352"/>
      <c r="AW2686" s="352" t="s">
        <v>254</v>
      </c>
    </row>
    <row r="2687" spans="2:49" x14ac:dyDescent="0.2">
      <c r="B2687" s="460" t="s">
        <v>3149</v>
      </c>
      <c r="C2687" s="460">
        <v>3111</v>
      </c>
      <c r="D2687" s="460" t="s">
        <v>2310</v>
      </c>
      <c r="E2687" s="460" t="s">
        <v>2296</v>
      </c>
      <c r="F2687" s="460">
        <v>1</v>
      </c>
      <c r="G2687" s="460">
        <v>2</v>
      </c>
      <c r="H2687" s="461" t="s">
        <v>746</v>
      </c>
      <c r="I2687" s="461" t="s">
        <v>762</v>
      </c>
      <c r="J2687" s="461" t="s">
        <v>700</v>
      </c>
      <c r="K2687" s="594"/>
      <c r="L2687" s="594"/>
      <c r="M2687" s="352">
        <v>3000</v>
      </c>
      <c r="N2687" s="352" t="s">
        <v>709</v>
      </c>
      <c r="O2687" s="460">
        <v>3111</v>
      </c>
      <c r="P2687" s="460" t="s">
        <v>763</v>
      </c>
      <c r="Q2687" s="460" t="s">
        <v>2553</v>
      </c>
      <c r="R2687" s="460">
        <v>3111</v>
      </c>
      <c r="S2687" s="460" t="s">
        <v>2296</v>
      </c>
      <c r="T2687" s="462">
        <v>1</v>
      </c>
      <c r="U2687" s="460" t="s">
        <v>2296</v>
      </c>
      <c r="V2687" s="475">
        <v>0</v>
      </c>
      <c r="W2687" s="463" t="s">
        <v>2268</v>
      </c>
      <c r="X2687" s="463" t="s">
        <v>2268</v>
      </c>
      <c r="Y2687" s="463" t="s">
        <v>2554</v>
      </c>
      <c r="Z2687" s="463"/>
      <c r="AA2687" s="463"/>
      <c r="AB2687" s="464">
        <v>0</v>
      </c>
      <c r="AC2687" s="465">
        <v>0</v>
      </c>
      <c r="AD2687" s="465">
        <v>0</v>
      </c>
      <c r="AE2687" s="476">
        <v>0</v>
      </c>
      <c r="AF2687" s="467">
        <v>0</v>
      </c>
      <c r="AG2687" s="468">
        <v>0</v>
      </c>
      <c r="AH2687" s="218">
        <v>0</v>
      </c>
      <c r="AI2687" s="470">
        <v>0</v>
      </c>
      <c r="AJ2687" s="471">
        <v>0</v>
      </c>
      <c r="AK2687" s="218">
        <v>0</v>
      </c>
      <c r="AL2687" s="470">
        <v>0</v>
      </c>
      <c r="AM2687" s="471">
        <v>0</v>
      </c>
      <c r="AN2687" s="477">
        <v>15.813502397527797</v>
      </c>
      <c r="AO2687" s="473">
        <v>1.3939668313867667E-2</v>
      </c>
      <c r="AP2687" s="474">
        <v>1.1747135756961337E-3</v>
      </c>
      <c r="AQ2687" s="352"/>
      <c r="AR2687" s="352"/>
      <c r="AS2687" s="352"/>
      <c r="AT2687" s="352"/>
      <c r="AU2687" s="352"/>
      <c r="AV2687" s="352"/>
      <c r="AW2687" s="352" t="s">
        <v>254</v>
      </c>
    </row>
    <row r="2688" spans="2:49" x14ac:dyDescent="0.2">
      <c r="B2688" s="460" t="s">
        <v>3150</v>
      </c>
      <c r="C2688" s="460">
        <v>3111</v>
      </c>
      <c r="D2688" s="460" t="s">
        <v>2311</v>
      </c>
      <c r="E2688" s="460" t="s">
        <v>2299</v>
      </c>
      <c r="F2688" s="460">
        <v>2</v>
      </c>
      <c r="G2688" s="460">
        <v>2</v>
      </c>
      <c r="H2688" s="461" t="s">
        <v>746</v>
      </c>
      <c r="I2688" s="461" t="s">
        <v>762</v>
      </c>
      <c r="J2688" s="461" t="s">
        <v>700</v>
      </c>
      <c r="K2688" s="594"/>
      <c r="L2688" s="594"/>
      <c r="M2688" s="352">
        <v>3000</v>
      </c>
      <c r="N2688" s="352" t="s">
        <v>709</v>
      </c>
      <c r="O2688" s="460">
        <v>3111</v>
      </c>
      <c r="P2688" s="460" t="s">
        <v>763</v>
      </c>
      <c r="Q2688" s="460" t="s">
        <v>2553</v>
      </c>
      <c r="R2688" s="460">
        <v>3111</v>
      </c>
      <c r="S2688" s="460" t="s">
        <v>2296</v>
      </c>
      <c r="T2688" s="462">
        <v>0.55517361979372948</v>
      </c>
      <c r="U2688" s="460" t="s">
        <v>2299</v>
      </c>
      <c r="V2688" s="475">
        <v>0</v>
      </c>
      <c r="W2688" s="463" t="s">
        <v>2268</v>
      </c>
      <c r="X2688" s="463" t="s">
        <v>2268</v>
      </c>
      <c r="Y2688" s="463" t="s">
        <v>2554</v>
      </c>
      <c r="Z2688" s="463"/>
      <c r="AA2688" s="463"/>
      <c r="AB2688" s="464">
        <v>0</v>
      </c>
      <c r="AC2688" s="465">
        <v>0</v>
      </c>
      <c r="AD2688" s="465">
        <v>0</v>
      </c>
      <c r="AE2688" s="476">
        <v>0</v>
      </c>
      <c r="AF2688" s="467">
        <v>0</v>
      </c>
      <c r="AG2688" s="468">
        <v>0</v>
      </c>
      <c r="AH2688" s="218">
        <v>0</v>
      </c>
      <c r="AI2688" s="470">
        <v>0</v>
      </c>
      <c r="AJ2688" s="471">
        <v>0</v>
      </c>
      <c r="AK2688" s="218">
        <v>0</v>
      </c>
      <c r="AL2688" s="470">
        <v>0</v>
      </c>
      <c r="AM2688" s="471">
        <v>0</v>
      </c>
      <c r="AN2688" s="477">
        <v>4.9904250967099921</v>
      </c>
      <c r="AO2688" s="473">
        <v>1.3868482088822289E-2</v>
      </c>
      <c r="AP2688" s="474">
        <v>1.5810592550650347E-3</v>
      </c>
      <c r="AQ2688" s="352"/>
      <c r="AR2688" s="352"/>
      <c r="AS2688" s="352"/>
      <c r="AT2688" s="352"/>
      <c r="AU2688" s="352"/>
      <c r="AV2688" s="352"/>
      <c r="AW2688" s="352" t="s">
        <v>254</v>
      </c>
    </row>
    <row r="2689" spans="2:49" x14ac:dyDescent="0.2">
      <c r="B2689" s="460" t="s">
        <v>3151</v>
      </c>
      <c r="C2689" s="460">
        <v>3111</v>
      </c>
      <c r="D2689" s="460" t="s">
        <v>2312</v>
      </c>
      <c r="E2689" s="460" t="s">
        <v>2302</v>
      </c>
      <c r="F2689" s="460">
        <v>3</v>
      </c>
      <c r="G2689" s="460">
        <v>2</v>
      </c>
      <c r="H2689" s="461" t="s">
        <v>746</v>
      </c>
      <c r="I2689" s="461" t="s">
        <v>762</v>
      </c>
      <c r="J2689" s="461" t="s">
        <v>700</v>
      </c>
      <c r="K2689" s="594"/>
      <c r="L2689" s="594"/>
      <c r="M2689" s="352">
        <v>3000</v>
      </c>
      <c r="N2689" s="352" t="s">
        <v>709</v>
      </c>
      <c r="O2689" s="460">
        <v>3111</v>
      </c>
      <c r="P2689" s="460" t="s">
        <v>763</v>
      </c>
      <c r="Q2689" s="460" t="s">
        <v>2553</v>
      </c>
      <c r="R2689" s="460">
        <v>3111</v>
      </c>
      <c r="S2689" s="460" t="s">
        <v>2296</v>
      </c>
      <c r="T2689" s="462">
        <v>0.28481449642268464</v>
      </c>
      <c r="U2689" s="460" t="s">
        <v>2302</v>
      </c>
      <c r="V2689" s="475">
        <v>0</v>
      </c>
      <c r="W2689" s="463" t="s">
        <v>2268</v>
      </c>
      <c r="X2689" s="463" t="s">
        <v>2268</v>
      </c>
      <c r="Y2689" s="463" t="s">
        <v>2554</v>
      </c>
      <c r="Z2689" s="463"/>
      <c r="AA2689" s="463"/>
      <c r="AB2689" s="464">
        <v>0</v>
      </c>
      <c r="AC2689" s="465">
        <v>0</v>
      </c>
      <c r="AD2689" s="465">
        <v>0</v>
      </c>
      <c r="AE2689" s="476">
        <v>0</v>
      </c>
      <c r="AF2689" s="467">
        <v>0</v>
      </c>
      <c r="AG2689" s="468">
        <v>0</v>
      </c>
      <c r="AH2689" s="218">
        <v>0</v>
      </c>
      <c r="AI2689" s="470">
        <v>0</v>
      </c>
      <c r="AJ2689" s="471">
        <v>0</v>
      </c>
      <c r="AK2689" s="218">
        <v>0</v>
      </c>
      <c r="AL2689" s="470">
        <v>0</v>
      </c>
      <c r="AM2689" s="471">
        <v>0</v>
      </c>
      <c r="AN2689" s="477">
        <v>0.77629459226817965</v>
      </c>
      <c r="AO2689" s="473">
        <v>8.5116993978481114E-3</v>
      </c>
      <c r="AP2689" s="474">
        <v>1.0227106471402095E-3</v>
      </c>
      <c r="AQ2689" s="352"/>
      <c r="AR2689" s="352"/>
      <c r="AS2689" s="352"/>
      <c r="AT2689" s="352"/>
      <c r="AU2689" s="352"/>
      <c r="AV2689" s="352"/>
      <c r="AW2689" s="352" t="s">
        <v>254</v>
      </c>
    </row>
    <row r="2690" spans="2:49" x14ac:dyDescent="0.2">
      <c r="B2690" s="460" t="s">
        <v>3152</v>
      </c>
      <c r="C2690" s="460">
        <v>3111</v>
      </c>
      <c r="D2690" s="460" t="s">
        <v>2313</v>
      </c>
      <c r="E2690" s="460" t="s">
        <v>2305</v>
      </c>
      <c r="F2690" s="460">
        <v>4</v>
      </c>
      <c r="G2690" s="460">
        <v>2</v>
      </c>
      <c r="H2690" s="461" t="s">
        <v>746</v>
      </c>
      <c r="I2690" s="461" t="s">
        <v>762</v>
      </c>
      <c r="J2690" s="461" t="s">
        <v>700</v>
      </c>
      <c r="K2690" s="594"/>
      <c r="L2690" s="594"/>
      <c r="M2690" s="352">
        <v>3000</v>
      </c>
      <c r="N2690" s="352" t="s">
        <v>709</v>
      </c>
      <c r="O2690" s="460">
        <v>3111</v>
      </c>
      <c r="P2690" s="460" t="s">
        <v>763</v>
      </c>
      <c r="Q2690" s="460" t="s">
        <v>2553</v>
      </c>
      <c r="R2690" s="460">
        <v>3111</v>
      </c>
      <c r="S2690" s="460" t="s">
        <v>2305</v>
      </c>
      <c r="T2690" s="462">
        <v>1</v>
      </c>
      <c r="U2690" s="460" t="s">
        <v>2305</v>
      </c>
      <c r="V2690" s="475">
        <v>0</v>
      </c>
      <c r="W2690" s="463" t="s">
        <v>2268</v>
      </c>
      <c r="X2690" s="463" t="s">
        <v>2268</v>
      </c>
      <c r="Y2690" s="463" t="s">
        <v>2554</v>
      </c>
      <c r="Z2690" s="463"/>
      <c r="AA2690" s="463"/>
      <c r="AB2690" s="464">
        <v>0</v>
      </c>
      <c r="AC2690" s="465">
        <v>0</v>
      </c>
      <c r="AD2690" s="465">
        <v>0</v>
      </c>
      <c r="AE2690" s="476">
        <v>0</v>
      </c>
      <c r="AF2690" s="467">
        <v>0</v>
      </c>
      <c r="AG2690" s="468">
        <v>0</v>
      </c>
      <c r="AH2690" s="218">
        <v>0</v>
      </c>
      <c r="AI2690" s="470">
        <v>0</v>
      </c>
      <c r="AJ2690" s="471">
        <v>0</v>
      </c>
      <c r="AK2690" s="218">
        <v>0</v>
      </c>
      <c r="AL2690" s="470">
        <v>0</v>
      </c>
      <c r="AM2690" s="471">
        <v>0</v>
      </c>
      <c r="AN2690" s="477">
        <v>1.907213578082706E-2</v>
      </c>
      <c r="AO2690" s="473">
        <v>2.3440437437738935E-4</v>
      </c>
      <c r="AP2690" s="474">
        <v>1.8615265565446054E-3</v>
      </c>
      <c r="AQ2690" s="352"/>
      <c r="AR2690" s="352"/>
      <c r="AS2690" s="352"/>
      <c r="AT2690" s="352"/>
      <c r="AU2690" s="352"/>
      <c r="AV2690" s="352"/>
      <c r="AW2690" s="352" t="s">
        <v>254</v>
      </c>
    </row>
    <row r="2691" spans="2:49" x14ac:dyDescent="0.2">
      <c r="B2691" s="460" t="s">
        <v>3149</v>
      </c>
      <c r="C2691" s="460">
        <v>3111</v>
      </c>
      <c r="D2691" s="460" t="s">
        <v>2314</v>
      </c>
      <c r="E2691" s="460" t="s">
        <v>2296</v>
      </c>
      <c r="F2691" s="460">
        <v>1</v>
      </c>
      <c r="G2691" s="460">
        <v>2</v>
      </c>
      <c r="H2691" s="461" t="s">
        <v>748</v>
      </c>
      <c r="I2691" s="461" t="s">
        <v>765</v>
      </c>
      <c r="J2691" s="461" t="s">
        <v>700</v>
      </c>
      <c r="K2691" s="594"/>
      <c r="L2691" s="594"/>
      <c r="M2691" s="352">
        <v>3000</v>
      </c>
      <c r="N2691" s="352" t="s">
        <v>709</v>
      </c>
      <c r="O2691" s="460">
        <v>3111</v>
      </c>
      <c r="P2691" s="460" t="s">
        <v>763</v>
      </c>
      <c r="Q2691" s="460" t="s">
        <v>2553</v>
      </c>
      <c r="R2691" s="460">
        <v>3111</v>
      </c>
      <c r="S2691" s="460" t="s">
        <v>2296</v>
      </c>
      <c r="T2691" s="462">
        <v>1</v>
      </c>
      <c r="U2691" s="460" t="s">
        <v>2296</v>
      </c>
      <c r="V2691" s="475">
        <v>0</v>
      </c>
      <c r="W2691" s="463" t="s">
        <v>2268</v>
      </c>
      <c r="X2691" s="463" t="s">
        <v>2268</v>
      </c>
      <c r="Y2691" s="463" t="s">
        <v>2554</v>
      </c>
      <c r="Z2691" s="463"/>
      <c r="AA2691" s="463"/>
      <c r="AB2691" s="464">
        <v>0</v>
      </c>
      <c r="AC2691" s="465">
        <v>0</v>
      </c>
      <c r="AD2691" s="465">
        <v>0</v>
      </c>
      <c r="AE2691" s="476">
        <v>0</v>
      </c>
      <c r="AF2691" s="467">
        <v>0</v>
      </c>
      <c r="AG2691" s="468">
        <v>0</v>
      </c>
      <c r="AH2691" s="218">
        <v>0</v>
      </c>
      <c r="AI2691" s="470">
        <v>0</v>
      </c>
      <c r="AJ2691" s="471">
        <v>0</v>
      </c>
      <c r="AK2691" s="218">
        <v>0</v>
      </c>
      <c r="AL2691" s="470">
        <v>0</v>
      </c>
      <c r="AM2691" s="471">
        <v>0</v>
      </c>
      <c r="AN2691" s="477">
        <v>79.067511987639008</v>
      </c>
      <c r="AO2691" s="473">
        <v>6.9698341569338351E-2</v>
      </c>
      <c r="AP2691" s="474">
        <v>2.4154041879982061E-2</v>
      </c>
      <c r="AQ2691" s="352"/>
      <c r="AR2691" s="352"/>
      <c r="AS2691" s="352"/>
      <c r="AT2691" s="352"/>
      <c r="AU2691" s="352"/>
      <c r="AV2691" s="352"/>
      <c r="AW2691" s="352" t="s">
        <v>254</v>
      </c>
    </row>
    <row r="2692" spans="2:49" x14ac:dyDescent="0.2">
      <c r="B2692" s="460" t="s">
        <v>3150</v>
      </c>
      <c r="C2692" s="460">
        <v>3111</v>
      </c>
      <c r="D2692" s="460" t="s">
        <v>2315</v>
      </c>
      <c r="E2692" s="460" t="s">
        <v>2299</v>
      </c>
      <c r="F2692" s="460">
        <v>2</v>
      </c>
      <c r="G2692" s="460">
        <v>2</v>
      </c>
      <c r="H2692" s="461" t="s">
        <v>748</v>
      </c>
      <c r="I2692" s="461" t="s">
        <v>765</v>
      </c>
      <c r="J2692" s="461" t="s">
        <v>700</v>
      </c>
      <c r="K2692" s="594"/>
      <c r="L2692" s="594"/>
      <c r="M2692" s="352">
        <v>3000</v>
      </c>
      <c r="N2692" s="352" t="s">
        <v>709</v>
      </c>
      <c r="O2692" s="460">
        <v>3111</v>
      </c>
      <c r="P2692" s="460" t="s">
        <v>763</v>
      </c>
      <c r="Q2692" s="460" t="s">
        <v>2553</v>
      </c>
      <c r="R2692" s="460">
        <v>3111</v>
      </c>
      <c r="S2692" s="460" t="s">
        <v>2296</v>
      </c>
      <c r="T2692" s="462">
        <v>0.55517361979372948</v>
      </c>
      <c r="U2692" s="460" t="s">
        <v>2299</v>
      </c>
      <c r="V2692" s="475">
        <v>0</v>
      </c>
      <c r="W2692" s="463" t="s">
        <v>2268</v>
      </c>
      <c r="X2692" s="463" t="s">
        <v>2268</v>
      </c>
      <c r="Y2692" s="463" t="s">
        <v>2554</v>
      </c>
      <c r="Z2692" s="463"/>
      <c r="AA2692" s="463"/>
      <c r="AB2692" s="464">
        <v>0</v>
      </c>
      <c r="AC2692" s="465">
        <v>0</v>
      </c>
      <c r="AD2692" s="465">
        <v>0</v>
      </c>
      <c r="AE2692" s="476">
        <v>0</v>
      </c>
      <c r="AF2692" s="467">
        <v>0</v>
      </c>
      <c r="AG2692" s="468">
        <v>0</v>
      </c>
      <c r="AH2692" s="218">
        <v>0</v>
      </c>
      <c r="AI2692" s="470">
        <v>0</v>
      </c>
      <c r="AJ2692" s="471">
        <v>0</v>
      </c>
      <c r="AK2692" s="218">
        <v>0</v>
      </c>
      <c r="AL2692" s="470">
        <v>0</v>
      </c>
      <c r="AM2692" s="471">
        <v>0</v>
      </c>
      <c r="AN2692" s="477">
        <v>24.952125483549967</v>
      </c>
      <c r="AO2692" s="473">
        <v>6.9342410444111463E-2</v>
      </c>
      <c r="AP2692" s="474">
        <v>2.3117697771771351E-2</v>
      </c>
      <c r="AQ2692" s="352"/>
      <c r="AR2692" s="352"/>
      <c r="AS2692" s="352"/>
      <c r="AT2692" s="352"/>
      <c r="AU2692" s="352"/>
      <c r="AV2692" s="352"/>
      <c r="AW2692" s="352" t="s">
        <v>254</v>
      </c>
    </row>
    <row r="2693" spans="2:49" x14ac:dyDescent="0.2">
      <c r="B2693" s="460" t="s">
        <v>3151</v>
      </c>
      <c r="C2693" s="460">
        <v>3111</v>
      </c>
      <c r="D2693" s="460" t="s">
        <v>2316</v>
      </c>
      <c r="E2693" s="460" t="s">
        <v>2302</v>
      </c>
      <c r="F2693" s="460">
        <v>3</v>
      </c>
      <c r="G2693" s="460">
        <v>2</v>
      </c>
      <c r="H2693" s="461" t="s">
        <v>748</v>
      </c>
      <c r="I2693" s="461" t="s">
        <v>765</v>
      </c>
      <c r="J2693" s="461" t="s">
        <v>700</v>
      </c>
      <c r="K2693" s="594"/>
      <c r="L2693" s="594"/>
      <c r="M2693" s="352">
        <v>3000</v>
      </c>
      <c r="N2693" s="352" t="s">
        <v>709</v>
      </c>
      <c r="O2693" s="460">
        <v>3111</v>
      </c>
      <c r="P2693" s="460" t="s">
        <v>763</v>
      </c>
      <c r="Q2693" s="460" t="s">
        <v>2553</v>
      </c>
      <c r="R2693" s="460">
        <v>3111</v>
      </c>
      <c r="S2693" s="460" t="s">
        <v>2296</v>
      </c>
      <c r="T2693" s="462">
        <v>0.28481449642268464</v>
      </c>
      <c r="U2693" s="460" t="s">
        <v>2302</v>
      </c>
      <c r="V2693" s="475">
        <v>0</v>
      </c>
      <c r="W2693" s="463" t="s">
        <v>2268</v>
      </c>
      <c r="X2693" s="463" t="s">
        <v>2268</v>
      </c>
      <c r="Y2693" s="463" t="s">
        <v>2554</v>
      </c>
      <c r="Z2693" s="463"/>
      <c r="AA2693" s="463"/>
      <c r="AB2693" s="464">
        <v>0</v>
      </c>
      <c r="AC2693" s="465">
        <v>0</v>
      </c>
      <c r="AD2693" s="465">
        <v>0</v>
      </c>
      <c r="AE2693" s="476">
        <v>0</v>
      </c>
      <c r="AF2693" s="467">
        <v>0</v>
      </c>
      <c r="AG2693" s="468">
        <v>0</v>
      </c>
      <c r="AH2693" s="218">
        <v>0</v>
      </c>
      <c r="AI2693" s="470">
        <v>0</v>
      </c>
      <c r="AJ2693" s="471">
        <v>0</v>
      </c>
      <c r="AK2693" s="218">
        <v>0</v>
      </c>
      <c r="AL2693" s="470">
        <v>0</v>
      </c>
      <c r="AM2693" s="471">
        <v>0</v>
      </c>
      <c r="AN2693" s="477">
        <v>3.8814729613408989</v>
      </c>
      <c r="AO2693" s="473">
        <v>4.2558496989240566E-2</v>
      </c>
      <c r="AP2693" s="474">
        <v>1.6608565057992825E-2</v>
      </c>
      <c r="AQ2693" s="352"/>
      <c r="AR2693" s="352"/>
      <c r="AS2693" s="352"/>
      <c r="AT2693" s="352"/>
      <c r="AU2693" s="352"/>
      <c r="AV2693" s="352"/>
      <c r="AW2693" s="352" t="s">
        <v>254</v>
      </c>
    </row>
    <row r="2694" spans="2:49" x14ac:dyDescent="0.2">
      <c r="B2694" s="460" t="s">
        <v>3152</v>
      </c>
      <c r="C2694" s="460">
        <v>3111</v>
      </c>
      <c r="D2694" s="460" t="s">
        <v>2317</v>
      </c>
      <c r="E2694" s="460" t="s">
        <v>2305</v>
      </c>
      <c r="F2694" s="460">
        <v>4</v>
      </c>
      <c r="G2694" s="460">
        <v>2</v>
      </c>
      <c r="H2694" s="461" t="s">
        <v>748</v>
      </c>
      <c r="I2694" s="461" t="s">
        <v>765</v>
      </c>
      <c r="J2694" s="461" t="s">
        <v>700</v>
      </c>
      <c r="K2694" s="594"/>
      <c r="L2694" s="594"/>
      <c r="M2694" s="352">
        <v>3000</v>
      </c>
      <c r="N2694" s="352" t="s">
        <v>709</v>
      </c>
      <c r="O2694" s="460">
        <v>3111</v>
      </c>
      <c r="P2694" s="460" t="s">
        <v>763</v>
      </c>
      <c r="Q2694" s="460" t="s">
        <v>2553</v>
      </c>
      <c r="R2694" s="460">
        <v>3111</v>
      </c>
      <c r="S2694" s="460" t="s">
        <v>2305</v>
      </c>
      <c r="T2694" s="462">
        <v>1</v>
      </c>
      <c r="U2694" s="460" t="s">
        <v>2305</v>
      </c>
      <c r="V2694" s="475">
        <v>0</v>
      </c>
      <c r="W2694" s="463" t="s">
        <v>2268</v>
      </c>
      <c r="X2694" s="463" t="s">
        <v>2268</v>
      </c>
      <c r="Y2694" s="463" t="s">
        <v>2554</v>
      </c>
      <c r="Z2694" s="463"/>
      <c r="AA2694" s="463"/>
      <c r="AB2694" s="464">
        <v>0</v>
      </c>
      <c r="AC2694" s="465">
        <v>0</v>
      </c>
      <c r="AD2694" s="465">
        <v>0</v>
      </c>
      <c r="AE2694" s="476">
        <v>0</v>
      </c>
      <c r="AF2694" s="467">
        <v>0</v>
      </c>
      <c r="AG2694" s="468">
        <v>0</v>
      </c>
      <c r="AH2694" s="218">
        <v>0</v>
      </c>
      <c r="AI2694" s="470">
        <v>0</v>
      </c>
      <c r="AJ2694" s="471">
        <v>0</v>
      </c>
      <c r="AK2694" s="218">
        <v>0</v>
      </c>
      <c r="AL2694" s="470">
        <v>0</v>
      </c>
      <c r="AM2694" s="471">
        <v>0</v>
      </c>
      <c r="AN2694" s="477">
        <v>9.5360678904135326E-2</v>
      </c>
      <c r="AO2694" s="473">
        <v>1.1720218718869471E-3</v>
      </c>
      <c r="AP2694" s="474">
        <v>7.7880585493869905E-2</v>
      </c>
      <c r="AQ2694" s="352"/>
      <c r="AR2694" s="352"/>
      <c r="AS2694" s="352"/>
      <c r="AT2694" s="352"/>
      <c r="AU2694" s="352"/>
      <c r="AV2694" s="352"/>
      <c r="AW2694" s="352" t="s">
        <v>254</v>
      </c>
    </row>
    <row r="2695" spans="2:49" x14ac:dyDescent="0.2">
      <c r="B2695" s="460" t="s">
        <v>3157</v>
      </c>
      <c r="C2695" s="460">
        <v>3111</v>
      </c>
      <c r="D2695" s="460" t="s">
        <v>2323</v>
      </c>
      <c r="E2695" s="460" t="s">
        <v>2324</v>
      </c>
      <c r="F2695" s="460">
        <v>1</v>
      </c>
      <c r="G2695" s="460">
        <v>3</v>
      </c>
      <c r="H2695" s="461" t="s">
        <v>700</v>
      </c>
      <c r="I2695" s="461" t="s">
        <v>872</v>
      </c>
      <c r="J2695" s="461" t="s">
        <v>700</v>
      </c>
      <c r="K2695" s="594"/>
      <c r="L2695" s="594"/>
      <c r="M2695" s="352">
        <v>3000</v>
      </c>
      <c r="N2695" s="352" t="s">
        <v>709</v>
      </c>
      <c r="O2695" s="460">
        <v>3111</v>
      </c>
      <c r="P2695" s="460" t="s">
        <v>763</v>
      </c>
      <c r="Q2695" s="460" t="s">
        <v>2553</v>
      </c>
      <c r="R2695" s="460">
        <v>3111</v>
      </c>
      <c r="S2695" s="460" t="s">
        <v>2324</v>
      </c>
      <c r="T2695" s="462">
        <v>1</v>
      </c>
      <c r="U2695" s="460" t="s">
        <v>2324</v>
      </c>
      <c r="V2695" s="475">
        <v>0</v>
      </c>
      <c r="W2695" s="463" t="s">
        <v>2554</v>
      </c>
      <c r="X2695" s="463" t="s">
        <v>2554</v>
      </c>
      <c r="Y2695" s="463" t="s">
        <v>2268</v>
      </c>
      <c r="Z2695" s="463"/>
      <c r="AA2695" s="463"/>
      <c r="AB2695" s="464">
        <v>116.64963939974555</v>
      </c>
      <c r="AC2695" s="465">
        <v>2.860043004735794E-2</v>
      </c>
      <c r="AD2695" s="465">
        <v>9.999999999999998E-4</v>
      </c>
      <c r="AE2695" s="476">
        <v>69.989783639847332</v>
      </c>
      <c r="AF2695" s="467">
        <v>1.7160258028414765E-2</v>
      </c>
      <c r="AG2695" s="468">
        <v>6.4271886345050513E-4</v>
      </c>
      <c r="AH2695" s="218">
        <v>69.989783639847332</v>
      </c>
      <c r="AI2695" s="470">
        <v>1.7160258028414765E-2</v>
      </c>
      <c r="AJ2695" s="471">
        <v>6.1375495797611986E-4</v>
      </c>
      <c r="AK2695" s="218">
        <v>69.989783639847332</v>
      </c>
      <c r="AL2695" s="470">
        <v>1.7160258028414765E-2</v>
      </c>
      <c r="AM2695" s="471">
        <v>6.1375495797611986E-4</v>
      </c>
      <c r="AN2695" s="477">
        <v>0</v>
      </c>
      <c r="AO2695" s="473">
        <v>0</v>
      </c>
      <c r="AP2695" s="474">
        <v>0</v>
      </c>
      <c r="AQ2695" s="352"/>
      <c r="AR2695" s="352"/>
      <c r="AS2695" s="352"/>
      <c r="AT2695" s="352"/>
      <c r="AU2695" s="352"/>
      <c r="AV2695" s="352"/>
      <c r="AW2695" s="352" t="s">
        <v>254</v>
      </c>
    </row>
    <row r="2696" spans="2:49" x14ac:dyDescent="0.2">
      <c r="B2696" s="460" t="s">
        <v>3158</v>
      </c>
      <c r="C2696" s="460">
        <v>3111</v>
      </c>
      <c r="D2696" s="460" t="s">
        <v>2326</v>
      </c>
      <c r="E2696" s="460" t="s">
        <v>2327</v>
      </c>
      <c r="F2696" s="460">
        <v>2</v>
      </c>
      <c r="G2696" s="460">
        <v>3</v>
      </c>
      <c r="H2696" s="461" t="s">
        <v>700</v>
      </c>
      <c r="I2696" s="461" t="s">
        <v>872</v>
      </c>
      <c r="J2696" s="461" t="s">
        <v>700</v>
      </c>
      <c r="K2696" s="594"/>
      <c r="L2696" s="594"/>
      <c r="M2696" s="352">
        <v>3000</v>
      </c>
      <c r="N2696" s="352" t="s">
        <v>709</v>
      </c>
      <c r="O2696" s="460">
        <v>3111</v>
      </c>
      <c r="P2696" s="460" t="s">
        <v>763</v>
      </c>
      <c r="Q2696" s="460" t="s">
        <v>2553</v>
      </c>
      <c r="R2696" s="460">
        <v>3111</v>
      </c>
      <c r="S2696" s="460" t="s">
        <v>2324</v>
      </c>
      <c r="T2696" s="462">
        <v>1</v>
      </c>
      <c r="U2696" s="460" t="s">
        <v>2327</v>
      </c>
      <c r="V2696" s="475">
        <v>0</v>
      </c>
      <c r="W2696" s="463" t="s">
        <v>2554</v>
      </c>
      <c r="X2696" s="463" t="s">
        <v>2554</v>
      </c>
      <c r="Y2696" s="463" t="s">
        <v>2268</v>
      </c>
      <c r="Z2696" s="463"/>
      <c r="AA2696" s="463"/>
      <c r="AB2696" s="464">
        <v>67.705640920977842</v>
      </c>
      <c r="AC2696" s="465">
        <v>3.4801262649105734E-2</v>
      </c>
      <c r="AD2696" s="465">
        <v>1E-3</v>
      </c>
      <c r="AE2696" s="476">
        <v>40.6233845525867</v>
      </c>
      <c r="AF2696" s="467">
        <v>2.088075758946344E-2</v>
      </c>
      <c r="AG2696" s="468">
        <v>6.4986648524050915E-4</v>
      </c>
      <c r="AH2696" s="218">
        <v>40.6233845525867</v>
      </c>
      <c r="AI2696" s="470">
        <v>2.088075758946344E-2</v>
      </c>
      <c r="AJ2696" s="471">
        <v>5.469203809053885E-4</v>
      </c>
      <c r="AK2696" s="218">
        <v>40.6233845525867</v>
      </c>
      <c r="AL2696" s="470">
        <v>2.088075758946344E-2</v>
      </c>
      <c r="AM2696" s="471">
        <v>5.469203809053885E-4</v>
      </c>
      <c r="AN2696" s="477">
        <v>0</v>
      </c>
      <c r="AO2696" s="473">
        <v>0</v>
      </c>
      <c r="AP2696" s="474">
        <v>0</v>
      </c>
      <c r="AQ2696" s="352"/>
      <c r="AR2696" s="352"/>
      <c r="AS2696" s="352"/>
      <c r="AT2696" s="352"/>
      <c r="AU2696" s="352"/>
      <c r="AV2696" s="352"/>
      <c r="AW2696" s="352" t="s">
        <v>254</v>
      </c>
    </row>
    <row r="2697" spans="2:49" x14ac:dyDescent="0.2">
      <c r="B2697" s="460" t="s">
        <v>3159</v>
      </c>
      <c r="C2697" s="460">
        <v>3111</v>
      </c>
      <c r="D2697" s="460" t="s">
        <v>2329</v>
      </c>
      <c r="E2697" s="460" t="s">
        <v>2330</v>
      </c>
      <c r="F2697" s="460">
        <v>3</v>
      </c>
      <c r="G2697" s="460">
        <v>3</v>
      </c>
      <c r="H2697" s="461" t="s">
        <v>700</v>
      </c>
      <c r="I2697" s="461" t="s">
        <v>872</v>
      </c>
      <c r="J2697" s="461" t="s">
        <v>700</v>
      </c>
      <c r="K2697" s="594"/>
      <c r="L2697" s="594"/>
      <c r="M2697" s="352">
        <v>3000</v>
      </c>
      <c r="N2697" s="352" t="s">
        <v>709</v>
      </c>
      <c r="O2697" s="460">
        <v>3111</v>
      </c>
      <c r="P2697" s="460" t="s">
        <v>763</v>
      </c>
      <c r="Q2697" s="460" t="s">
        <v>2553</v>
      </c>
      <c r="R2697" s="460">
        <v>3111</v>
      </c>
      <c r="S2697" s="460" t="s">
        <v>2324</v>
      </c>
      <c r="T2697" s="462">
        <v>1</v>
      </c>
      <c r="U2697" s="460" t="s">
        <v>2330</v>
      </c>
      <c r="V2697" s="475">
        <v>0</v>
      </c>
      <c r="W2697" s="463" t="s">
        <v>2554</v>
      </c>
      <c r="X2697" s="463" t="s">
        <v>2554</v>
      </c>
      <c r="Y2697" s="463" t="s">
        <v>2268</v>
      </c>
      <c r="Z2697" s="463"/>
      <c r="AA2697" s="463"/>
      <c r="AB2697" s="464">
        <v>26.482201674617158</v>
      </c>
      <c r="AC2697" s="465">
        <v>8.9384569832111807E-2</v>
      </c>
      <c r="AD2697" s="465">
        <v>1E-3</v>
      </c>
      <c r="AE2697" s="476">
        <v>15.889321004770295</v>
      </c>
      <c r="AF2697" s="467">
        <v>5.363074189926708E-2</v>
      </c>
      <c r="AG2697" s="468">
        <v>6.4305769450318884E-4</v>
      </c>
      <c r="AH2697" s="218">
        <v>15.889321004770295</v>
      </c>
      <c r="AI2697" s="470">
        <v>5.363074189926708E-2</v>
      </c>
      <c r="AJ2697" s="471">
        <v>5.5981807226962519E-4</v>
      </c>
      <c r="AK2697" s="218">
        <v>15.889321004770295</v>
      </c>
      <c r="AL2697" s="470">
        <v>5.363074189926708E-2</v>
      </c>
      <c r="AM2697" s="471">
        <v>5.5981807226962519E-4</v>
      </c>
      <c r="AN2697" s="477">
        <v>0</v>
      </c>
      <c r="AO2697" s="473">
        <v>0</v>
      </c>
      <c r="AP2697" s="474">
        <v>0</v>
      </c>
      <c r="AQ2697" s="352"/>
      <c r="AR2697" s="352"/>
      <c r="AS2697" s="352"/>
      <c r="AT2697" s="352"/>
      <c r="AU2697" s="352"/>
      <c r="AV2697" s="352"/>
      <c r="AW2697" s="352" t="s">
        <v>254</v>
      </c>
    </row>
    <row r="2698" spans="2:49" x14ac:dyDescent="0.2">
      <c r="B2698" s="460" t="s">
        <v>3160</v>
      </c>
      <c r="C2698" s="460">
        <v>3111</v>
      </c>
      <c r="D2698" s="460" t="s">
        <v>2332</v>
      </c>
      <c r="E2698" s="460" t="s">
        <v>2333</v>
      </c>
      <c r="F2698" s="460">
        <v>4</v>
      </c>
      <c r="G2698" s="460">
        <v>3</v>
      </c>
      <c r="H2698" s="461" t="s">
        <v>700</v>
      </c>
      <c r="I2698" s="461" t="s">
        <v>872</v>
      </c>
      <c r="J2698" s="461" t="s">
        <v>700</v>
      </c>
      <c r="K2698" s="594"/>
      <c r="L2698" s="594"/>
      <c r="M2698" s="352">
        <v>3000</v>
      </c>
      <c r="N2698" s="352" t="s">
        <v>709</v>
      </c>
      <c r="O2698" s="460">
        <v>3111</v>
      </c>
      <c r="P2698" s="460" t="s">
        <v>763</v>
      </c>
      <c r="Q2698" s="460" t="s">
        <v>2553</v>
      </c>
      <c r="R2698" s="460">
        <v>3111</v>
      </c>
      <c r="S2698" s="460" t="s">
        <v>2333</v>
      </c>
      <c r="T2698" s="462">
        <v>1</v>
      </c>
      <c r="U2698" s="460" t="s">
        <v>2333</v>
      </c>
      <c r="V2698" s="475">
        <v>0</v>
      </c>
      <c r="W2698" s="463" t="s">
        <v>2554</v>
      </c>
      <c r="X2698" s="463" t="s">
        <v>2554</v>
      </c>
      <c r="Y2698" s="463" t="s">
        <v>2268</v>
      </c>
      <c r="Z2698" s="463"/>
      <c r="AA2698" s="463"/>
      <c r="AB2698" s="464">
        <v>14.499363218347648</v>
      </c>
      <c r="AC2698" s="465">
        <v>4.3252379863252491E-2</v>
      </c>
      <c r="AD2698" s="465">
        <v>1.0000000000000002E-3</v>
      </c>
      <c r="AE2698" s="476">
        <v>8.6996179310085893</v>
      </c>
      <c r="AF2698" s="467">
        <v>2.5951427917951495E-2</v>
      </c>
      <c r="AG2698" s="468">
        <v>6.6217610446551371E-4</v>
      </c>
      <c r="AH2698" s="218">
        <v>8.6996179310085893</v>
      </c>
      <c r="AI2698" s="470">
        <v>2.5951427917951495E-2</v>
      </c>
      <c r="AJ2698" s="471">
        <v>6.415656843216411E-4</v>
      </c>
      <c r="AK2698" s="218">
        <v>8.6996179310085893</v>
      </c>
      <c r="AL2698" s="470">
        <v>2.5951427917951495E-2</v>
      </c>
      <c r="AM2698" s="471">
        <v>6.415656843216411E-4</v>
      </c>
      <c r="AN2698" s="477">
        <v>0</v>
      </c>
      <c r="AO2698" s="473">
        <v>0</v>
      </c>
      <c r="AP2698" s="474">
        <v>0</v>
      </c>
      <c r="AQ2698" s="352"/>
      <c r="AR2698" s="352"/>
      <c r="AS2698" s="352"/>
      <c r="AT2698" s="352"/>
      <c r="AU2698" s="352"/>
      <c r="AV2698" s="352"/>
      <c r="AW2698" s="352" t="s">
        <v>254</v>
      </c>
    </row>
    <row r="2699" spans="2:49" x14ac:dyDescent="0.2">
      <c r="B2699" s="460" t="s">
        <v>3157</v>
      </c>
      <c r="C2699" s="460">
        <v>3111</v>
      </c>
      <c r="D2699" s="460" t="s">
        <v>3161</v>
      </c>
      <c r="E2699" s="460" t="s">
        <v>2324</v>
      </c>
      <c r="F2699" s="460">
        <v>1</v>
      </c>
      <c r="G2699" s="460">
        <v>3</v>
      </c>
      <c r="H2699" s="461" t="s">
        <v>706</v>
      </c>
      <c r="I2699" s="461" t="s">
        <v>707</v>
      </c>
      <c r="J2699" s="461" t="s">
        <v>706</v>
      </c>
      <c r="K2699" s="594"/>
      <c r="L2699" s="594"/>
      <c r="M2699" s="352">
        <v>3000</v>
      </c>
      <c r="N2699" s="352" t="s">
        <v>709</v>
      </c>
      <c r="O2699" s="460">
        <v>3111</v>
      </c>
      <c r="P2699" s="460" t="s">
        <v>763</v>
      </c>
      <c r="Q2699" s="460" t="s">
        <v>2266</v>
      </c>
      <c r="R2699" s="460">
        <v>3111</v>
      </c>
      <c r="S2699" s="460" t="s">
        <v>2324</v>
      </c>
      <c r="T2699" s="462">
        <v>1</v>
      </c>
      <c r="U2699" s="460" t="s">
        <v>2324</v>
      </c>
      <c r="V2699" s="475">
        <v>0</v>
      </c>
      <c r="W2699" s="463" t="s">
        <v>2267</v>
      </c>
      <c r="X2699" s="463" t="s">
        <v>2267</v>
      </c>
      <c r="Y2699" s="463" t="s">
        <v>2267</v>
      </c>
      <c r="Z2699" s="463"/>
      <c r="AA2699" s="463"/>
      <c r="AB2699" s="464">
        <v>1590.0871499244479</v>
      </c>
      <c r="AC2699" s="465">
        <v>0.38986126776416019</v>
      </c>
      <c r="AD2699" s="465">
        <v>0.17979323778635764</v>
      </c>
      <c r="AE2699" s="476">
        <v>1590.0871499244479</v>
      </c>
      <c r="AF2699" s="467">
        <v>0.38986126776416019</v>
      </c>
      <c r="AG2699" s="468">
        <v>0.17979323778635764</v>
      </c>
      <c r="AH2699" s="218">
        <v>1590.0871499244479</v>
      </c>
      <c r="AI2699" s="470">
        <v>0.38986126776416019</v>
      </c>
      <c r="AJ2699" s="471">
        <v>0.17979323778635764</v>
      </c>
      <c r="AK2699" s="218">
        <v>1590.0871499244479</v>
      </c>
      <c r="AL2699" s="470">
        <v>0.38986126776416019</v>
      </c>
      <c r="AM2699" s="471">
        <v>0.17979323778635764</v>
      </c>
      <c r="AN2699" s="477">
        <v>1590.0871499244479</v>
      </c>
      <c r="AO2699" s="473">
        <v>0.38986126776416019</v>
      </c>
      <c r="AP2699" s="474">
        <v>0.17979323778635764</v>
      </c>
      <c r="AQ2699" s="352"/>
      <c r="AR2699" s="352"/>
      <c r="AS2699" s="352"/>
      <c r="AT2699" s="352"/>
      <c r="AU2699" s="352"/>
      <c r="AV2699" s="352"/>
      <c r="AW2699" s="352" t="s">
        <v>254</v>
      </c>
    </row>
    <row r="2700" spans="2:49" x14ac:dyDescent="0.2">
      <c r="B2700" s="460" t="s">
        <v>3158</v>
      </c>
      <c r="C2700" s="460">
        <v>3111</v>
      </c>
      <c r="D2700" s="460" t="s">
        <v>3162</v>
      </c>
      <c r="E2700" s="460" t="s">
        <v>2327</v>
      </c>
      <c r="F2700" s="460">
        <v>2</v>
      </c>
      <c r="G2700" s="460">
        <v>3</v>
      </c>
      <c r="H2700" s="461" t="s">
        <v>706</v>
      </c>
      <c r="I2700" s="461" t="s">
        <v>707</v>
      </c>
      <c r="J2700" s="461" t="s">
        <v>706</v>
      </c>
      <c r="K2700" s="594"/>
      <c r="L2700" s="594"/>
      <c r="M2700" s="352">
        <v>3000</v>
      </c>
      <c r="N2700" s="352" t="s">
        <v>709</v>
      </c>
      <c r="O2700" s="460">
        <v>3111</v>
      </c>
      <c r="P2700" s="460" t="s">
        <v>763</v>
      </c>
      <c r="Q2700" s="460" t="s">
        <v>2266</v>
      </c>
      <c r="R2700" s="460">
        <v>3111</v>
      </c>
      <c r="S2700" s="460" t="s">
        <v>2324</v>
      </c>
      <c r="T2700" s="462">
        <v>1</v>
      </c>
      <c r="U2700" s="460" t="s">
        <v>2327</v>
      </c>
      <c r="V2700" s="475">
        <v>0</v>
      </c>
      <c r="W2700" s="463" t="s">
        <v>2267</v>
      </c>
      <c r="X2700" s="463" t="s">
        <v>2267</v>
      </c>
      <c r="Y2700" s="463" t="s">
        <v>2267</v>
      </c>
      <c r="Z2700" s="463"/>
      <c r="AA2700" s="463"/>
      <c r="AB2700" s="464">
        <v>743.69392092803957</v>
      </c>
      <c r="AC2700" s="465">
        <v>0.38226486184463376</v>
      </c>
      <c r="AD2700" s="465">
        <v>0.18000000000000002</v>
      </c>
      <c r="AE2700" s="476">
        <v>743.69392092803957</v>
      </c>
      <c r="AF2700" s="467">
        <v>0.38226486184463376</v>
      </c>
      <c r="AG2700" s="468">
        <v>0.18000000000000002</v>
      </c>
      <c r="AH2700" s="218">
        <v>758.47268159150246</v>
      </c>
      <c r="AI2700" s="470">
        <v>0.38986126776416019</v>
      </c>
      <c r="AJ2700" s="471">
        <v>0.16617915341972639</v>
      </c>
      <c r="AK2700" s="218">
        <v>758.47268159150246</v>
      </c>
      <c r="AL2700" s="470">
        <v>0.38986126776416019</v>
      </c>
      <c r="AM2700" s="471">
        <v>0.16617915341972639</v>
      </c>
      <c r="AN2700" s="477">
        <v>758.47268159150246</v>
      </c>
      <c r="AO2700" s="473">
        <v>0.38986126776416019</v>
      </c>
      <c r="AP2700" s="474">
        <v>0.16617915341972639</v>
      </c>
      <c r="AQ2700" s="352"/>
      <c r="AR2700" s="352"/>
      <c r="AS2700" s="352"/>
      <c r="AT2700" s="352"/>
      <c r="AU2700" s="352"/>
      <c r="AV2700" s="352"/>
      <c r="AW2700" s="352" t="s">
        <v>254</v>
      </c>
    </row>
    <row r="2701" spans="2:49" x14ac:dyDescent="0.2">
      <c r="B2701" s="460" t="s">
        <v>3159</v>
      </c>
      <c r="C2701" s="460">
        <v>3111</v>
      </c>
      <c r="D2701" s="460" t="s">
        <v>3163</v>
      </c>
      <c r="E2701" s="460" t="s">
        <v>2330</v>
      </c>
      <c r="F2701" s="460">
        <v>3</v>
      </c>
      <c r="G2701" s="460">
        <v>3</v>
      </c>
      <c r="H2701" s="461" t="s">
        <v>706</v>
      </c>
      <c r="I2701" s="461" t="s">
        <v>707</v>
      </c>
      <c r="J2701" s="461" t="s">
        <v>706</v>
      </c>
      <c r="K2701" s="594"/>
      <c r="L2701" s="594"/>
      <c r="M2701" s="352">
        <v>3000</v>
      </c>
      <c r="N2701" s="352" t="s">
        <v>709</v>
      </c>
      <c r="O2701" s="460">
        <v>3111</v>
      </c>
      <c r="P2701" s="460" t="s">
        <v>763</v>
      </c>
      <c r="Q2701" s="460" t="s">
        <v>2266</v>
      </c>
      <c r="R2701" s="460">
        <v>3111</v>
      </c>
      <c r="S2701" s="460" t="s">
        <v>2324</v>
      </c>
      <c r="T2701" s="462">
        <v>1</v>
      </c>
      <c r="U2701" s="460" t="s">
        <v>2330</v>
      </c>
      <c r="V2701" s="475">
        <v>0</v>
      </c>
      <c r="W2701" s="463" t="s">
        <v>2267</v>
      </c>
      <c r="X2701" s="463" t="s">
        <v>2267</v>
      </c>
      <c r="Y2701" s="463" t="s">
        <v>2267</v>
      </c>
      <c r="Z2701" s="463"/>
      <c r="AA2701" s="463"/>
      <c r="AB2701" s="464">
        <v>45.700626549203754</v>
      </c>
      <c r="AC2701" s="465">
        <v>0.1542519347654511</v>
      </c>
      <c r="AD2701" s="465">
        <v>0.17997065073578961</v>
      </c>
      <c r="AE2701" s="476">
        <v>45.700626549203754</v>
      </c>
      <c r="AF2701" s="467">
        <v>0.1542519347654511</v>
      </c>
      <c r="AG2701" s="468">
        <v>0.17997065073578961</v>
      </c>
      <c r="AH2701" s="218">
        <v>115.50522352397483</v>
      </c>
      <c r="AI2701" s="470">
        <v>0.38986126776416019</v>
      </c>
      <c r="AJ2701" s="471">
        <v>0.14460667961761742</v>
      </c>
      <c r="AK2701" s="218">
        <v>115.50522352397483</v>
      </c>
      <c r="AL2701" s="470">
        <v>0.38986126776416019</v>
      </c>
      <c r="AM2701" s="471">
        <v>0.14460667961761742</v>
      </c>
      <c r="AN2701" s="477">
        <v>115.50522352397483</v>
      </c>
      <c r="AO2701" s="473">
        <v>0.38986126776416019</v>
      </c>
      <c r="AP2701" s="474">
        <v>0.14460667961761742</v>
      </c>
      <c r="AQ2701" s="352"/>
      <c r="AR2701" s="352"/>
      <c r="AS2701" s="352"/>
      <c r="AT2701" s="352"/>
      <c r="AU2701" s="352"/>
      <c r="AV2701" s="352"/>
      <c r="AW2701" s="352" t="s">
        <v>254</v>
      </c>
    </row>
    <row r="2702" spans="2:49" x14ac:dyDescent="0.2">
      <c r="B2702" s="460" t="s">
        <v>3160</v>
      </c>
      <c r="C2702" s="460">
        <v>3111</v>
      </c>
      <c r="D2702" s="460" t="s">
        <v>3164</v>
      </c>
      <c r="E2702" s="460" t="s">
        <v>2333</v>
      </c>
      <c r="F2702" s="460">
        <v>4</v>
      </c>
      <c r="G2702" s="460">
        <v>3</v>
      </c>
      <c r="H2702" s="461" t="s">
        <v>706</v>
      </c>
      <c r="I2702" s="461" t="s">
        <v>707</v>
      </c>
      <c r="J2702" s="461" t="s">
        <v>706</v>
      </c>
      <c r="K2702" s="594"/>
      <c r="L2702" s="594"/>
      <c r="M2702" s="352">
        <v>3000</v>
      </c>
      <c r="N2702" s="352" t="s">
        <v>709</v>
      </c>
      <c r="O2702" s="460">
        <v>3111</v>
      </c>
      <c r="P2702" s="460" t="s">
        <v>763</v>
      </c>
      <c r="Q2702" s="460" t="s">
        <v>2266</v>
      </c>
      <c r="R2702" s="460">
        <v>3111</v>
      </c>
      <c r="S2702" s="460" t="s">
        <v>2333</v>
      </c>
      <c r="T2702" s="462">
        <v>1</v>
      </c>
      <c r="U2702" s="460" t="s">
        <v>2333</v>
      </c>
      <c r="V2702" s="475">
        <v>0</v>
      </c>
      <c r="W2702" s="463" t="s">
        <v>2278</v>
      </c>
      <c r="X2702" s="463" t="s">
        <v>2278</v>
      </c>
      <c r="Y2702" s="463" t="s">
        <v>2278</v>
      </c>
      <c r="Z2702" s="463"/>
      <c r="AA2702" s="463"/>
      <c r="AB2702" s="464">
        <v>47.688402927587447</v>
      </c>
      <c r="AC2702" s="465">
        <v>0.14225706932327703</v>
      </c>
      <c r="AD2702" s="465">
        <v>0.18</v>
      </c>
      <c r="AE2702" s="476">
        <v>47.688402927587447</v>
      </c>
      <c r="AF2702" s="467">
        <v>0.14225706932327703</v>
      </c>
      <c r="AG2702" s="468">
        <v>0.18</v>
      </c>
      <c r="AH2702" s="218">
        <v>47.688402927587447</v>
      </c>
      <c r="AI2702" s="470">
        <v>0.14225706932327703</v>
      </c>
      <c r="AJ2702" s="471">
        <v>0.18</v>
      </c>
      <c r="AK2702" s="218">
        <v>47.688402927587447</v>
      </c>
      <c r="AL2702" s="470">
        <v>0.14225706932327703</v>
      </c>
      <c r="AM2702" s="471">
        <v>0.18</v>
      </c>
      <c r="AN2702" s="477">
        <v>47.688402927587447</v>
      </c>
      <c r="AO2702" s="473">
        <v>0.14225706932327703</v>
      </c>
      <c r="AP2702" s="474">
        <v>0.18</v>
      </c>
      <c r="AQ2702" s="352"/>
      <c r="AR2702" s="352"/>
      <c r="AS2702" s="352"/>
      <c r="AT2702" s="352"/>
      <c r="AU2702" s="352"/>
      <c r="AV2702" s="352"/>
      <c r="AW2702" s="352" t="s">
        <v>254</v>
      </c>
    </row>
    <row r="2703" spans="2:49" x14ac:dyDescent="0.2">
      <c r="B2703" s="460" t="s">
        <v>3157</v>
      </c>
      <c r="C2703" s="460">
        <v>3111</v>
      </c>
      <c r="D2703" s="460" t="s">
        <v>2334</v>
      </c>
      <c r="E2703" s="460" t="s">
        <v>2324</v>
      </c>
      <c r="F2703" s="460">
        <v>1</v>
      </c>
      <c r="G2703" s="460">
        <v>3</v>
      </c>
      <c r="H2703" s="461" t="s">
        <v>712</v>
      </c>
      <c r="I2703" s="461" t="s">
        <v>713</v>
      </c>
      <c r="J2703" s="461" t="s">
        <v>712</v>
      </c>
      <c r="K2703" s="594"/>
      <c r="L2703" s="594"/>
      <c r="M2703" s="352">
        <v>3000</v>
      </c>
      <c r="N2703" s="352" t="s">
        <v>709</v>
      </c>
      <c r="O2703" s="460">
        <v>3111</v>
      </c>
      <c r="P2703" s="460" t="s">
        <v>763</v>
      </c>
      <c r="Q2703" s="460" t="s">
        <v>2280</v>
      </c>
      <c r="R2703" s="460">
        <v>3111</v>
      </c>
      <c r="S2703" s="460" t="s">
        <v>2324</v>
      </c>
      <c r="T2703" s="462">
        <v>1</v>
      </c>
      <c r="U2703" s="460" t="s">
        <v>2324</v>
      </c>
      <c r="V2703" s="475">
        <v>0</v>
      </c>
      <c r="W2703" s="463" t="s">
        <v>713</v>
      </c>
      <c r="X2703" s="463" t="s">
        <v>713</v>
      </c>
      <c r="Y2703" s="463" t="s">
        <v>713</v>
      </c>
      <c r="Z2703" s="463"/>
      <c r="AA2703" s="463"/>
      <c r="AB2703" s="464">
        <v>2371.8606026238149</v>
      </c>
      <c r="AC2703" s="465">
        <v>0.5815383021884819</v>
      </c>
      <c r="AD2703" s="465">
        <v>5.9222894713325622E-3</v>
      </c>
      <c r="AE2703" s="476">
        <v>2418.5204583837135</v>
      </c>
      <c r="AF2703" s="467">
        <v>0.59297847420742511</v>
      </c>
      <c r="AG2703" s="468">
        <v>5.9241095533077255E-3</v>
      </c>
      <c r="AH2703" s="218">
        <v>2418.5204583837135</v>
      </c>
      <c r="AI2703" s="470">
        <v>0.59297847420742511</v>
      </c>
      <c r="AJ2703" s="471">
        <v>5.9996315755537271E-3</v>
      </c>
      <c r="AK2703" s="218">
        <v>2418.5204583837135</v>
      </c>
      <c r="AL2703" s="470">
        <v>0.59297847420742511</v>
      </c>
      <c r="AM2703" s="471">
        <v>5.9996315755537271E-3</v>
      </c>
      <c r="AN2703" s="477">
        <v>2418.5204583837135</v>
      </c>
      <c r="AO2703" s="473">
        <v>0.59297847420742511</v>
      </c>
      <c r="AP2703" s="474">
        <v>5.9967118380382708E-3</v>
      </c>
      <c r="AQ2703" s="352"/>
      <c r="AR2703" s="352"/>
      <c r="AS2703" s="352"/>
      <c r="AT2703" s="352"/>
      <c r="AU2703" s="352"/>
      <c r="AV2703" s="352"/>
      <c r="AW2703" s="352" t="s">
        <v>254</v>
      </c>
    </row>
    <row r="2704" spans="2:49" x14ac:dyDescent="0.2">
      <c r="B2704" s="460" t="s">
        <v>3158</v>
      </c>
      <c r="C2704" s="460">
        <v>3111</v>
      </c>
      <c r="D2704" s="460" t="s">
        <v>2335</v>
      </c>
      <c r="E2704" s="460" t="s">
        <v>2327</v>
      </c>
      <c r="F2704" s="460">
        <v>2</v>
      </c>
      <c r="G2704" s="460">
        <v>3</v>
      </c>
      <c r="H2704" s="461" t="s">
        <v>712</v>
      </c>
      <c r="I2704" s="461" t="s">
        <v>713</v>
      </c>
      <c r="J2704" s="461" t="s">
        <v>712</v>
      </c>
      <c r="K2704" s="594"/>
      <c r="L2704" s="594"/>
      <c r="M2704" s="352">
        <v>3000</v>
      </c>
      <c r="N2704" s="352" t="s">
        <v>709</v>
      </c>
      <c r="O2704" s="460">
        <v>3111</v>
      </c>
      <c r="P2704" s="460" t="s">
        <v>763</v>
      </c>
      <c r="Q2704" s="460" t="s">
        <v>2280</v>
      </c>
      <c r="R2704" s="460">
        <v>3111</v>
      </c>
      <c r="S2704" s="460" t="s">
        <v>2324</v>
      </c>
      <c r="T2704" s="462">
        <v>1</v>
      </c>
      <c r="U2704" s="460" t="s">
        <v>2327</v>
      </c>
      <c r="V2704" s="475">
        <v>0</v>
      </c>
      <c r="W2704" s="463" t="s">
        <v>713</v>
      </c>
      <c r="X2704" s="463" t="s">
        <v>713</v>
      </c>
      <c r="Y2704" s="463" t="s">
        <v>713</v>
      </c>
      <c r="Z2704" s="463"/>
      <c r="AA2704" s="463"/>
      <c r="AB2704" s="464">
        <v>1134.0942440407418</v>
      </c>
      <c r="AC2704" s="465">
        <v>0.58293387550626052</v>
      </c>
      <c r="AD2704" s="465">
        <v>3.6320485177029405E-3</v>
      </c>
      <c r="AE2704" s="476">
        <v>1161.176500409133</v>
      </c>
      <c r="AF2704" s="467">
        <v>0.59685438056590279</v>
      </c>
      <c r="AG2704" s="468">
        <v>3.6579201161524651E-3</v>
      </c>
      <c r="AH2704" s="218">
        <v>1146.3977397456702</v>
      </c>
      <c r="AI2704" s="470">
        <v>0.58925797464637641</v>
      </c>
      <c r="AJ2704" s="471">
        <v>3.7556896496154998E-3</v>
      </c>
      <c r="AK2704" s="218">
        <v>1146.3977397456702</v>
      </c>
      <c r="AL2704" s="470">
        <v>0.58925797464637641</v>
      </c>
      <c r="AM2704" s="471">
        <v>3.7556896496154998E-3</v>
      </c>
      <c r="AN2704" s="477">
        <v>1146.3977397456702</v>
      </c>
      <c r="AO2704" s="473">
        <v>0.58925797464637641</v>
      </c>
      <c r="AP2704" s="474">
        <v>3.7542171795470337E-3</v>
      </c>
      <c r="AQ2704" s="352"/>
      <c r="AR2704" s="352"/>
      <c r="AS2704" s="352"/>
      <c r="AT2704" s="352"/>
      <c r="AU2704" s="352"/>
      <c r="AV2704" s="352"/>
      <c r="AW2704" s="352" t="s">
        <v>254</v>
      </c>
    </row>
    <row r="2705" spans="2:49" x14ac:dyDescent="0.2">
      <c r="B2705" s="460" t="s">
        <v>3159</v>
      </c>
      <c r="C2705" s="460">
        <v>3111</v>
      </c>
      <c r="D2705" s="460" t="s">
        <v>2336</v>
      </c>
      <c r="E2705" s="460" t="s">
        <v>2330</v>
      </c>
      <c r="F2705" s="460">
        <v>3</v>
      </c>
      <c r="G2705" s="460">
        <v>3</v>
      </c>
      <c r="H2705" s="461" t="s">
        <v>712</v>
      </c>
      <c r="I2705" s="461" t="s">
        <v>713</v>
      </c>
      <c r="J2705" s="461" t="s">
        <v>712</v>
      </c>
      <c r="K2705" s="594"/>
      <c r="L2705" s="594"/>
      <c r="M2705" s="352">
        <v>3000</v>
      </c>
      <c r="N2705" s="352" t="s">
        <v>709</v>
      </c>
      <c r="O2705" s="460">
        <v>3111</v>
      </c>
      <c r="P2705" s="460" t="s">
        <v>763</v>
      </c>
      <c r="Q2705" s="460" t="s">
        <v>2280</v>
      </c>
      <c r="R2705" s="460">
        <v>3111</v>
      </c>
      <c r="S2705" s="460" t="s">
        <v>2324</v>
      </c>
      <c r="T2705" s="462">
        <v>1</v>
      </c>
      <c r="U2705" s="460" t="s">
        <v>2330</v>
      </c>
      <c r="V2705" s="475">
        <v>0</v>
      </c>
      <c r="W2705" s="463" t="s">
        <v>713</v>
      </c>
      <c r="X2705" s="463" t="s">
        <v>713</v>
      </c>
      <c r="Y2705" s="463" t="s">
        <v>713</v>
      </c>
      <c r="Z2705" s="463"/>
      <c r="AA2705" s="463"/>
      <c r="AB2705" s="464">
        <v>224.08980277231004</v>
      </c>
      <c r="AC2705" s="465">
        <v>0.75636349540243708</v>
      </c>
      <c r="AD2705" s="465">
        <v>1.984150062021565E-3</v>
      </c>
      <c r="AE2705" s="476">
        <v>234.6826834421569</v>
      </c>
      <c r="AF2705" s="467">
        <v>0.79211732333528184</v>
      </c>
      <c r="AG2705" s="468">
        <v>2.0458222361747383E-3</v>
      </c>
      <c r="AH2705" s="218">
        <v>164.87808646738583</v>
      </c>
      <c r="AI2705" s="470">
        <v>0.55650799033657272</v>
      </c>
      <c r="AJ2705" s="471">
        <v>1.4921860865924419E-3</v>
      </c>
      <c r="AK2705" s="218">
        <v>164.87808646738583</v>
      </c>
      <c r="AL2705" s="470">
        <v>0.55650799033657272</v>
      </c>
      <c r="AM2705" s="471">
        <v>1.4921860865924419E-3</v>
      </c>
      <c r="AN2705" s="477">
        <v>164.87808646738583</v>
      </c>
      <c r="AO2705" s="473">
        <v>0.55650799033657272</v>
      </c>
      <c r="AP2705" s="474">
        <v>1.4960375836800719E-3</v>
      </c>
      <c r="AQ2705" s="352"/>
      <c r="AR2705" s="352"/>
      <c r="AS2705" s="352"/>
      <c r="AT2705" s="352"/>
      <c r="AU2705" s="352"/>
      <c r="AV2705" s="352"/>
      <c r="AW2705" s="352" t="s">
        <v>254</v>
      </c>
    </row>
    <row r="2706" spans="2:49" x14ac:dyDescent="0.2">
      <c r="B2706" s="460" t="s">
        <v>3160</v>
      </c>
      <c r="C2706" s="460">
        <v>3111</v>
      </c>
      <c r="D2706" s="460" t="s">
        <v>2337</v>
      </c>
      <c r="E2706" s="460" t="s">
        <v>2333</v>
      </c>
      <c r="F2706" s="460">
        <v>4</v>
      </c>
      <c r="G2706" s="460">
        <v>3</v>
      </c>
      <c r="H2706" s="461" t="s">
        <v>712</v>
      </c>
      <c r="I2706" s="461" t="s">
        <v>713</v>
      </c>
      <c r="J2706" s="461" t="s">
        <v>712</v>
      </c>
      <c r="K2706" s="594"/>
      <c r="L2706" s="594"/>
      <c r="M2706" s="352">
        <v>3000</v>
      </c>
      <c r="N2706" s="352" t="s">
        <v>709</v>
      </c>
      <c r="O2706" s="460">
        <v>3111</v>
      </c>
      <c r="P2706" s="460" t="s">
        <v>763</v>
      </c>
      <c r="Q2706" s="460" t="s">
        <v>2280</v>
      </c>
      <c r="R2706" s="460">
        <v>3111</v>
      </c>
      <c r="S2706" s="460" t="s">
        <v>2333</v>
      </c>
      <c r="T2706" s="462">
        <v>1</v>
      </c>
      <c r="U2706" s="460" t="s">
        <v>2333</v>
      </c>
      <c r="V2706" s="475">
        <v>0</v>
      </c>
      <c r="W2706" s="463" t="s">
        <v>713</v>
      </c>
      <c r="X2706" s="463" t="s">
        <v>713</v>
      </c>
      <c r="Y2706" s="463" t="s">
        <v>713</v>
      </c>
      <c r="Z2706" s="463"/>
      <c r="AA2706" s="463"/>
      <c r="AB2706" s="464">
        <v>273.03918007503813</v>
      </c>
      <c r="AC2706" s="465">
        <v>0.81449055081347055</v>
      </c>
      <c r="AD2706" s="465">
        <v>2.0757723481167087E-3</v>
      </c>
      <c r="AE2706" s="476">
        <v>278.83892536237715</v>
      </c>
      <c r="AF2706" s="467">
        <v>0.83179150275877145</v>
      </c>
      <c r="AG2706" s="468">
        <v>2.0981482402712562E-3</v>
      </c>
      <c r="AH2706" s="218">
        <v>278.83892536237715</v>
      </c>
      <c r="AI2706" s="470">
        <v>0.83179150275877145</v>
      </c>
      <c r="AJ2706" s="471">
        <v>2.1048327993348106E-3</v>
      </c>
      <c r="AK2706" s="218">
        <v>278.83892536237715</v>
      </c>
      <c r="AL2706" s="470">
        <v>0.83179150275877145</v>
      </c>
      <c r="AM2706" s="471">
        <v>2.1048327993348106E-3</v>
      </c>
      <c r="AN2706" s="477">
        <v>278.83892536237715</v>
      </c>
      <c r="AO2706" s="473">
        <v>0.83179150275877145</v>
      </c>
      <c r="AP2706" s="474">
        <v>2.1055016809492051E-3</v>
      </c>
      <c r="AQ2706" s="352"/>
      <c r="AR2706" s="352"/>
      <c r="AS2706" s="352"/>
      <c r="AT2706" s="352"/>
      <c r="AU2706" s="352"/>
      <c r="AV2706" s="352"/>
      <c r="AW2706" s="352" t="s">
        <v>254</v>
      </c>
    </row>
    <row r="2707" spans="2:49" x14ac:dyDescent="0.2">
      <c r="B2707" s="460" t="s">
        <v>3157</v>
      </c>
      <c r="C2707" s="460">
        <v>3111</v>
      </c>
      <c r="D2707" s="460" t="s">
        <v>2338</v>
      </c>
      <c r="E2707" s="460" t="s">
        <v>2324</v>
      </c>
      <c r="F2707" s="460">
        <v>1</v>
      </c>
      <c r="G2707" s="460">
        <v>3</v>
      </c>
      <c r="H2707" s="461" t="s">
        <v>746</v>
      </c>
      <c r="I2707" s="461" t="s">
        <v>762</v>
      </c>
      <c r="J2707" s="461" t="s">
        <v>700</v>
      </c>
      <c r="K2707" s="594"/>
      <c r="L2707" s="594"/>
      <c r="M2707" s="352">
        <v>3000</v>
      </c>
      <c r="N2707" s="352" t="s">
        <v>709</v>
      </c>
      <c r="O2707" s="460">
        <v>3111</v>
      </c>
      <c r="P2707" s="460" t="s">
        <v>763</v>
      </c>
      <c r="Q2707" s="460" t="s">
        <v>2553</v>
      </c>
      <c r="R2707" s="460">
        <v>3111</v>
      </c>
      <c r="S2707" s="460" t="s">
        <v>2324</v>
      </c>
      <c r="T2707" s="462">
        <v>1</v>
      </c>
      <c r="U2707" s="460" t="s">
        <v>2324</v>
      </c>
      <c r="V2707" s="475">
        <v>0</v>
      </c>
      <c r="W2707" s="463" t="s">
        <v>2268</v>
      </c>
      <c r="X2707" s="463" t="s">
        <v>2268</v>
      </c>
      <c r="Y2707" s="463" t="s">
        <v>2554</v>
      </c>
      <c r="Z2707" s="463"/>
      <c r="AA2707" s="463"/>
      <c r="AB2707" s="464">
        <v>0</v>
      </c>
      <c r="AC2707" s="465">
        <v>0</v>
      </c>
      <c r="AD2707" s="465">
        <v>0</v>
      </c>
      <c r="AE2707" s="476">
        <v>0</v>
      </c>
      <c r="AF2707" s="467">
        <v>0</v>
      </c>
      <c r="AG2707" s="468">
        <v>0</v>
      </c>
      <c r="AH2707" s="218">
        <v>0</v>
      </c>
      <c r="AI2707" s="470">
        <v>0</v>
      </c>
      <c r="AJ2707" s="471">
        <v>0</v>
      </c>
      <c r="AK2707" s="218">
        <v>0</v>
      </c>
      <c r="AL2707" s="470">
        <v>0</v>
      </c>
      <c r="AM2707" s="471">
        <v>0</v>
      </c>
      <c r="AN2707" s="477">
        <v>11.664963939974552</v>
      </c>
      <c r="AO2707" s="473">
        <v>2.8600430047357934E-3</v>
      </c>
      <c r="AP2707" s="474">
        <v>1.2327246563398383E-4</v>
      </c>
      <c r="AQ2707" s="352"/>
      <c r="AR2707" s="352"/>
      <c r="AS2707" s="352"/>
      <c r="AT2707" s="352"/>
      <c r="AU2707" s="352"/>
      <c r="AV2707" s="352"/>
      <c r="AW2707" s="352" t="s">
        <v>254</v>
      </c>
    </row>
    <row r="2708" spans="2:49" x14ac:dyDescent="0.2">
      <c r="B2708" s="460" t="s">
        <v>3158</v>
      </c>
      <c r="C2708" s="460">
        <v>3111</v>
      </c>
      <c r="D2708" s="460" t="s">
        <v>2339</v>
      </c>
      <c r="E2708" s="460" t="s">
        <v>2327</v>
      </c>
      <c r="F2708" s="460">
        <v>2</v>
      </c>
      <c r="G2708" s="460">
        <v>3</v>
      </c>
      <c r="H2708" s="461" t="s">
        <v>746</v>
      </c>
      <c r="I2708" s="461" t="s">
        <v>762</v>
      </c>
      <c r="J2708" s="461" t="s">
        <v>700</v>
      </c>
      <c r="K2708" s="594"/>
      <c r="L2708" s="594"/>
      <c r="M2708" s="352">
        <v>3000</v>
      </c>
      <c r="N2708" s="352" t="s">
        <v>709</v>
      </c>
      <c r="O2708" s="460">
        <v>3111</v>
      </c>
      <c r="P2708" s="460" t="s">
        <v>763</v>
      </c>
      <c r="Q2708" s="460" t="s">
        <v>2553</v>
      </c>
      <c r="R2708" s="460">
        <v>3111</v>
      </c>
      <c r="S2708" s="460" t="s">
        <v>2324</v>
      </c>
      <c r="T2708" s="462">
        <v>1</v>
      </c>
      <c r="U2708" s="460" t="s">
        <v>2327</v>
      </c>
      <c r="V2708" s="475">
        <v>0</v>
      </c>
      <c r="W2708" s="463" t="s">
        <v>2268</v>
      </c>
      <c r="X2708" s="463" t="s">
        <v>2268</v>
      </c>
      <c r="Y2708" s="463" t="s">
        <v>2554</v>
      </c>
      <c r="Z2708" s="463"/>
      <c r="AA2708" s="463"/>
      <c r="AB2708" s="464">
        <v>0</v>
      </c>
      <c r="AC2708" s="465">
        <v>0</v>
      </c>
      <c r="AD2708" s="465">
        <v>0</v>
      </c>
      <c r="AE2708" s="476">
        <v>0</v>
      </c>
      <c r="AF2708" s="467">
        <v>0</v>
      </c>
      <c r="AG2708" s="468">
        <v>0</v>
      </c>
      <c r="AH2708" s="218">
        <v>0</v>
      </c>
      <c r="AI2708" s="470">
        <v>0</v>
      </c>
      <c r="AJ2708" s="471">
        <v>0</v>
      </c>
      <c r="AK2708" s="218">
        <v>0</v>
      </c>
      <c r="AL2708" s="470">
        <v>0</v>
      </c>
      <c r="AM2708" s="471">
        <v>0</v>
      </c>
      <c r="AN2708" s="477">
        <v>6.7705640920977821</v>
      </c>
      <c r="AO2708" s="473">
        <v>3.4801262649105727E-3</v>
      </c>
      <c r="AP2708" s="474">
        <v>1.0762736363718862E-4</v>
      </c>
      <c r="AQ2708" s="352"/>
      <c r="AR2708" s="352"/>
      <c r="AS2708" s="352"/>
      <c r="AT2708" s="352"/>
      <c r="AU2708" s="352"/>
      <c r="AV2708" s="352"/>
      <c r="AW2708" s="352" t="s">
        <v>254</v>
      </c>
    </row>
    <row r="2709" spans="2:49" x14ac:dyDescent="0.2">
      <c r="B2709" s="460" t="s">
        <v>3159</v>
      </c>
      <c r="C2709" s="460">
        <v>3111</v>
      </c>
      <c r="D2709" s="460" t="s">
        <v>2340</v>
      </c>
      <c r="E2709" s="460" t="s">
        <v>2330</v>
      </c>
      <c r="F2709" s="460">
        <v>3</v>
      </c>
      <c r="G2709" s="460">
        <v>3</v>
      </c>
      <c r="H2709" s="461" t="s">
        <v>746</v>
      </c>
      <c r="I2709" s="461" t="s">
        <v>762</v>
      </c>
      <c r="J2709" s="461" t="s">
        <v>700</v>
      </c>
      <c r="K2709" s="594"/>
      <c r="L2709" s="594"/>
      <c r="M2709" s="352">
        <v>3000</v>
      </c>
      <c r="N2709" s="352" t="s">
        <v>709</v>
      </c>
      <c r="O2709" s="460">
        <v>3111</v>
      </c>
      <c r="P2709" s="460" t="s">
        <v>763</v>
      </c>
      <c r="Q2709" s="460" t="s">
        <v>2553</v>
      </c>
      <c r="R2709" s="460">
        <v>3111</v>
      </c>
      <c r="S2709" s="460" t="s">
        <v>2324</v>
      </c>
      <c r="T2709" s="462">
        <v>1</v>
      </c>
      <c r="U2709" s="460" t="s">
        <v>2330</v>
      </c>
      <c r="V2709" s="475">
        <v>0</v>
      </c>
      <c r="W2709" s="463" t="s">
        <v>2268</v>
      </c>
      <c r="X2709" s="463" t="s">
        <v>2268</v>
      </c>
      <c r="Y2709" s="463" t="s">
        <v>2554</v>
      </c>
      <c r="Z2709" s="463"/>
      <c r="AA2709" s="463"/>
      <c r="AB2709" s="464">
        <v>0</v>
      </c>
      <c r="AC2709" s="465">
        <v>0</v>
      </c>
      <c r="AD2709" s="465">
        <v>0</v>
      </c>
      <c r="AE2709" s="476">
        <v>0</v>
      </c>
      <c r="AF2709" s="467">
        <v>0</v>
      </c>
      <c r="AG2709" s="468">
        <v>0</v>
      </c>
      <c r="AH2709" s="218">
        <v>0</v>
      </c>
      <c r="AI2709" s="470">
        <v>0</v>
      </c>
      <c r="AJ2709" s="471">
        <v>0</v>
      </c>
      <c r="AK2709" s="218">
        <v>0</v>
      </c>
      <c r="AL2709" s="470">
        <v>0</v>
      </c>
      <c r="AM2709" s="471">
        <v>0</v>
      </c>
      <c r="AN2709" s="477">
        <v>2.6482201674617154</v>
      </c>
      <c r="AO2709" s="473">
        <v>8.9384569832111783E-3</v>
      </c>
      <c r="AP2709" s="474">
        <v>1.0593363311487164E-4</v>
      </c>
      <c r="AQ2709" s="352"/>
      <c r="AR2709" s="352"/>
      <c r="AS2709" s="352"/>
      <c r="AT2709" s="352"/>
      <c r="AU2709" s="352"/>
      <c r="AV2709" s="352"/>
      <c r="AW2709" s="352" t="s">
        <v>254</v>
      </c>
    </row>
    <row r="2710" spans="2:49" x14ac:dyDescent="0.2">
      <c r="B2710" s="460" t="s">
        <v>3160</v>
      </c>
      <c r="C2710" s="460">
        <v>3111</v>
      </c>
      <c r="D2710" s="460" t="s">
        <v>2341</v>
      </c>
      <c r="E2710" s="460" t="s">
        <v>2333</v>
      </c>
      <c r="F2710" s="460">
        <v>4</v>
      </c>
      <c r="G2710" s="460">
        <v>3</v>
      </c>
      <c r="H2710" s="461" t="s">
        <v>746</v>
      </c>
      <c r="I2710" s="461" t="s">
        <v>762</v>
      </c>
      <c r="J2710" s="461" t="s">
        <v>700</v>
      </c>
      <c r="K2710" s="594"/>
      <c r="L2710" s="594"/>
      <c r="M2710" s="352">
        <v>3000</v>
      </c>
      <c r="N2710" s="352" t="s">
        <v>709</v>
      </c>
      <c r="O2710" s="460">
        <v>3111</v>
      </c>
      <c r="P2710" s="460" t="s">
        <v>763</v>
      </c>
      <c r="Q2710" s="460" t="s">
        <v>2553</v>
      </c>
      <c r="R2710" s="460">
        <v>3111</v>
      </c>
      <c r="S2710" s="460" t="s">
        <v>2333</v>
      </c>
      <c r="T2710" s="462">
        <v>1</v>
      </c>
      <c r="U2710" s="460" t="s">
        <v>2333</v>
      </c>
      <c r="V2710" s="475">
        <v>0</v>
      </c>
      <c r="W2710" s="463" t="s">
        <v>2268</v>
      </c>
      <c r="X2710" s="463" t="s">
        <v>2268</v>
      </c>
      <c r="Y2710" s="463" t="s">
        <v>2554</v>
      </c>
      <c r="Z2710" s="463"/>
      <c r="AA2710" s="463"/>
      <c r="AB2710" s="464">
        <v>0</v>
      </c>
      <c r="AC2710" s="465">
        <v>0</v>
      </c>
      <c r="AD2710" s="465">
        <v>0</v>
      </c>
      <c r="AE2710" s="476">
        <v>0</v>
      </c>
      <c r="AF2710" s="467">
        <v>0</v>
      </c>
      <c r="AG2710" s="468">
        <v>0</v>
      </c>
      <c r="AH2710" s="218">
        <v>0</v>
      </c>
      <c r="AI2710" s="470">
        <v>0</v>
      </c>
      <c r="AJ2710" s="471">
        <v>0</v>
      </c>
      <c r="AK2710" s="218">
        <v>0</v>
      </c>
      <c r="AL2710" s="470">
        <v>0</v>
      </c>
      <c r="AM2710" s="471">
        <v>0</v>
      </c>
      <c r="AN2710" s="477">
        <v>1.4499363218347645</v>
      </c>
      <c r="AO2710" s="473">
        <v>4.325237986325248E-3</v>
      </c>
      <c r="AP2710" s="474">
        <v>1.2086611112944957E-4</v>
      </c>
      <c r="AQ2710" s="352"/>
      <c r="AR2710" s="352"/>
      <c r="AS2710" s="352"/>
      <c r="AT2710" s="352"/>
      <c r="AU2710" s="352"/>
      <c r="AV2710" s="352"/>
      <c r="AW2710" s="352" t="s">
        <v>254</v>
      </c>
    </row>
    <row r="2711" spans="2:49" x14ac:dyDescent="0.2">
      <c r="B2711" s="460" t="s">
        <v>3157</v>
      </c>
      <c r="C2711" s="460">
        <v>3111</v>
      </c>
      <c r="D2711" s="460" t="s">
        <v>2342</v>
      </c>
      <c r="E2711" s="460" t="s">
        <v>2324</v>
      </c>
      <c r="F2711" s="460">
        <v>1</v>
      </c>
      <c r="G2711" s="460">
        <v>3</v>
      </c>
      <c r="H2711" s="461" t="s">
        <v>748</v>
      </c>
      <c r="I2711" s="461" t="s">
        <v>765</v>
      </c>
      <c r="J2711" s="461" t="s">
        <v>700</v>
      </c>
      <c r="K2711" s="594"/>
      <c r="L2711" s="594"/>
      <c r="M2711" s="352">
        <v>3000</v>
      </c>
      <c r="N2711" s="352" t="s">
        <v>709</v>
      </c>
      <c r="O2711" s="460">
        <v>3111</v>
      </c>
      <c r="P2711" s="460" t="s">
        <v>763</v>
      </c>
      <c r="Q2711" s="460" t="s">
        <v>2553</v>
      </c>
      <c r="R2711" s="460">
        <v>3111</v>
      </c>
      <c r="S2711" s="460" t="s">
        <v>2324</v>
      </c>
      <c r="T2711" s="462">
        <v>1</v>
      </c>
      <c r="U2711" s="460" t="s">
        <v>2324</v>
      </c>
      <c r="V2711" s="475">
        <v>0</v>
      </c>
      <c r="W2711" s="463" t="s">
        <v>2268</v>
      </c>
      <c r="X2711" s="463" t="s">
        <v>2268</v>
      </c>
      <c r="Y2711" s="463" t="s">
        <v>2554</v>
      </c>
      <c r="Z2711" s="463"/>
      <c r="AA2711" s="463"/>
      <c r="AB2711" s="464">
        <v>0</v>
      </c>
      <c r="AC2711" s="465">
        <v>0</v>
      </c>
      <c r="AD2711" s="465">
        <v>0</v>
      </c>
      <c r="AE2711" s="476">
        <v>0</v>
      </c>
      <c r="AF2711" s="467">
        <v>0</v>
      </c>
      <c r="AG2711" s="468">
        <v>0</v>
      </c>
      <c r="AH2711" s="218">
        <v>0</v>
      </c>
      <c r="AI2711" s="470">
        <v>0</v>
      </c>
      <c r="AJ2711" s="471">
        <v>0</v>
      </c>
      <c r="AK2711" s="218">
        <v>0</v>
      </c>
      <c r="AL2711" s="470">
        <v>0</v>
      </c>
      <c r="AM2711" s="471">
        <v>0</v>
      </c>
      <c r="AN2711" s="477">
        <v>58.324819699872776</v>
      </c>
      <c r="AO2711" s="473">
        <v>1.430021502367897E-2</v>
      </c>
      <c r="AP2711" s="474">
        <v>3.0359127389879147E-3</v>
      </c>
      <c r="AQ2711" s="352"/>
      <c r="AR2711" s="352"/>
      <c r="AS2711" s="352"/>
      <c r="AT2711" s="352"/>
      <c r="AU2711" s="352"/>
      <c r="AV2711" s="352"/>
      <c r="AW2711" s="352" t="s">
        <v>254</v>
      </c>
    </row>
    <row r="2712" spans="2:49" x14ac:dyDescent="0.2">
      <c r="B2712" s="460" t="s">
        <v>3158</v>
      </c>
      <c r="C2712" s="460">
        <v>3111</v>
      </c>
      <c r="D2712" s="460" t="s">
        <v>2343</v>
      </c>
      <c r="E2712" s="460" t="s">
        <v>2327</v>
      </c>
      <c r="F2712" s="460">
        <v>2</v>
      </c>
      <c r="G2712" s="460">
        <v>3</v>
      </c>
      <c r="H2712" s="461" t="s">
        <v>748</v>
      </c>
      <c r="I2712" s="461" t="s">
        <v>765</v>
      </c>
      <c r="J2712" s="461" t="s">
        <v>700</v>
      </c>
      <c r="K2712" s="594"/>
      <c r="L2712" s="594"/>
      <c r="M2712" s="352">
        <v>3000</v>
      </c>
      <c r="N2712" s="352" t="s">
        <v>709</v>
      </c>
      <c r="O2712" s="460">
        <v>3111</v>
      </c>
      <c r="P2712" s="460" t="s">
        <v>763</v>
      </c>
      <c r="Q2712" s="460" t="s">
        <v>2553</v>
      </c>
      <c r="R2712" s="460">
        <v>3111</v>
      </c>
      <c r="S2712" s="460" t="s">
        <v>2324</v>
      </c>
      <c r="T2712" s="462">
        <v>1</v>
      </c>
      <c r="U2712" s="460" t="s">
        <v>2327</v>
      </c>
      <c r="V2712" s="475">
        <v>0</v>
      </c>
      <c r="W2712" s="463" t="s">
        <v>2268</v>
      </c>
      <c r="X2712" s="463" t="s">
        <v>2268</v>
      </c>
      <c r="Y2712" s="463" t="s">
        <v>2554</v>
      </c>
      <c r="Z2712" s="463"/>
      <c r="AA2712" s="463"/>
      <c r="AB2712" s="464">
        <v>0</v>
      </c>
      <c r="AC2712" s="465">
        <v>0</v>
      </c>
      <c r="AD2712" s="465">
        <v>0</v>
      </c>
      <c r="AE2712" s="476">
        <v>0</v>
      </c>
      <c r="AF2712" s="467">
        <v>0</v>
      </c>
      <c r="AG2712" s="468">
        <v>0</v>
      </c>
      <c r="AH2712" s="218">
        <v>0</v>
      </c>
      <c r="AI2712" s="470">
        <v>0</v>
      </c>
      <c r="AJ2712" s="471">
        <v>0</v>
      </c>
      <c r="AK2712" s="218">
        <v>0</v>
      </c>
      <c r="AL2712" s="470">
        <v>0</v>
      </c>
      <c r="AM2712" s="471">
        <v>0</v>
      </c>
      <c r="AN2712" s="477">
        <v>33.852820460488921</v>
      </c>
      <c r="AO2712" s="473">
        <v>1.7400631324552867E-2</v>
      </c>
      <c r="AP2712" s="474">
        <v>3.0092961185409664E-3</v>
      </c>
      <c r="AQ2712" s="352"/>
      <c r="AR2712" s="352"/>
      <c r="AS2712" s="352"/>
      <c r="AT2712" s="352"/>
      <c r="AU2712" s="352"/>
      <c r="AV2712" s="352"/>
      <c r="AW2712" s="352" t="s">
        <v>254</v>
      </c>
    </row>
    <row r="2713" spans="2:49" x14ac:dyDescent="0.2">
      <c r="B2713" s="460" t="s">
        <v>3159</v>
      </c>
      <c r="C2713" s="460">
        <v>3111</v>
      </c>
      <c r="D2713" s="460" t="s">
        <v>2344</v>
      </c>
      <c r="E2713" s="460" t="s">
        <v>2330</v>
      </c>
      <c r="F2713" s="460">
        <v>3</v>
      </c>
      <c r="G2713" s="460">
        <v>3</v>
      </c>
      <c r="H2713" s="461" t="s">
        <v>748</v>
      </c>
      <c r="I2713" s="461" t="s">
        <v>765</v>
      </c>
      <c r="J2713" s="461" t="s">
        <v>700</v>
      </c>
      <c r="K2713" s="594"/>
      <c r="L2713" s="594"/>
      <c r="M2713" s="352">
        <v>3000</v>
      </c>
      <c r="N2713" s="352" t="s">
        <v>709</v>
      </c>
      <c r="O2713" s="460">
        <v>3111</v>
      </c>
      <c r="P2713" s="460" t="s">
        <v>763</v>
      </c>
      <c r="Q2713" s="460" t="s">
        <v>2553</v>
      </c>
      <c r="R2713" s="460">
        <v>3111</v>
      </c>
      <c r="S2713" s="460" t="s">
        <v>2324</v>
      </c>
      <c r="T2713" s="462">
        <v>1</v>
      </c>
      <c r="U2713" s="460" t="s">
        <v>2330</v>
      </c>
      <c r="V2713" s="475">
        <v>0</v>
      </c>
      <c r="W2713" s="463" t="s">
        <v>2268</v>
      </c>
      <c r="X2713" s="463" t="s">
        <v>2268</v>
      </c>
      <c r="Y2713" s="463" t="s">
        <v>2554</v>
      </c>
      <c r="Z2713" s="463"/>
      <c r="AA2713" s="463"/>
      <c r="AB2713" s="464">
        <v>0</v>
      </c>
      <c r="AC2713" s="465">
        <v>0</v>
      </c>
      <c r="AD2713" s="465">
        <v>0</v>
      </c>
      <c r="AE2713" s="476">
        <v>0</v>
      </c>
      <c r="AF2713" s="467">
        <v>0</v>
      </c>
      <c r="AG2713" s="468">
        <v>0</v>
      </c>
      <c r="AH2713" s="218">
        <v>0</v>
      </c>
      <c r="AI2713" s="470">
        <v>0</v>
      </c>
      <c r="AJ2713" s="471">
        <v>0</v>
      </c>
      <c r="AK2713" s="218">
        <v>0</v>
      </c>
      <c r="AL2713" s="470">
        <v>0</v>
      </c>
      <c r="AM2713" s="471">
        <v>0</v>
      </c>
      <c r="AN2713" s="477">
        <v>13.241100837308579</v>
      </c>
      <c r="AO2713" s="473">
        <v>4.4692284916055904E-2</v>
      </c>
      <c r="AP2713" s="474">
        <v>3.6092952589415832E-3</v>
      </c>
      <c r="AQ2713" s="352"/>
      <c r="AR2713" s="352"/>
      <c r="AS2713" s="352"/>
      <c r="AT2713" s="352"/>
      <c r="AU2713" s="352"/>
      <c r="AV2713" s="352"/>
      <c r="AW2713" s="352" t="s">
        <v>254</v>
      </c>
    </row>
    <row r="2714" spans="2:49" x14ac:dyDescent="0.2">
      <c r="B2714" s="460" t="s">
        <v>3160</v>
      </c>
      <c r="C2714" s="460">
        <v>3111</v>
      </c>
      <c r="D2714" s="460" t="s">
        <v>2345</v>
      </c>
      <c r="E2714" s="460" t="s">
        <v>2333</v>
      </c>
      <c r="F2714" s="460">
        <v>4</v>
      </c>
      <c r="G2714" s="460">
        <v>3</v>
      </c>
      <c r="H2714" s="461" t="s">
        <v>748</v>
      </c>
      <c r="I2714" s="461" t="s">
        <v>765</v>
      </c>
      <c r="J2714" s="461" t="s">
        <v>700</v>
      </c>
      <c r="K2714" s="594"/>
      <c r="L2714" s="594"/>
      <c r="M2714" s="352">
        <v>3000</v>
      </c>
      <c r="N2714" s="352" t="s">
        <v>709</v>
      </c>
      <c r="O2714" s="460">
        <v>3111</v>
      </c>
      <c r="P2714" s="460" t="s">
        <v>763</v>
      </c>
      <c r="Q2714" s="460" t="s">
        <v>2553</v>
      </c>
      <c r="R2714" s="460">
        <v>3111</v>
      </c>
      <c r="S2714" s="460" t="s">
        <v>2333</v>
      </c>
      <c r="T2714" s="462">
        <v>1</v>
      </c>
      <c r="U2714" s="460" t="s">
        <v>2333</v>
      </c>
      <c r="V2714" s="475">
        <v>0</v>
      </c>
      <c r="W2714" s="463" t="s">
        <v>2268</v>
      </c>
      <c r="X2714" s="463" t="s">
        <v>2268</v>
      </c>
      <c r="Y2714" s="463" t="s">
        <v>2554</v>
      </c>
      <c r="Z2714" s="463"/>
      <c r="AA2714" s="463"/>
      <c r="AB2714" s="464">
        <v>0</v>
      </c>
      <c r="AC2714" s="465">
        <v>0</v>
      </c>
      <c r="AD2714" s="465">
        <v>0</v>
      </c>
      <c r="AE2714" s="476">
        <v>0</v>
      </c>
      <c r="AF2714" s="467">
        <v>0</v>
      </c>
      <c r="AG2714" s="468">
        <v>0</v>
      </c>
      <c r="AH2714" s="218">
        <v>0</v>
      </c>
      <c r="AI2714" s="470">
        <v>0</v>
      </c>
      <c r="AJ2714" s="471">
        <v>0</v>
      </c>
      <c r="AK2714" s="218">
        <v>0</v>
      </c>
      <c r="AL2714" s="470">
        <v>0</v>
      </c>
      <c r="AM2714" s="471">
        <v>0</v>
      </c>
      <c r="AN2714" s="477">
        <v>7.2496816091738241</v>
      </c>
      <c r="AO2714" s="473">
        <v>2.1626189931626245E-2</v>
      </c>
      <c r="AP2714" s="474">
        <v>4.5145546083827388E-3</v>
      </c>
      <c r="AQ2714" s="352"/>
      <c r="AR2714" s="352"/>
      <c r="AS2714" s="352"/>
      <c r="AT2714" s="352"/>
      <c r="AU2714" s="352"/>
      <c r="AV2714" s="352"/>
      <c r="AW2714" s="352" t="s">
        <v>254</v>
      </c>
    </row>
    <row r="2715" spans="2:49" x14ac:dyDescent="0.2">
      <c r="B2715" s="460" t="s">
        <v>3165</v>
      </c>
      <c r="C2715" s="460">
        <v>3111</v>
      </c>
      <c r="D2715" s="460" t="s">
        <v>2351</v>
      </c>
      <c r="E2715" s="460" t="s">
        <v>1136</v>
      </c>
      <c r="F2715" s="460">
        <v>1</v>
      </c>
      <c r="G2715" s="460">
        <v>4</v>
      </c>
      <c r="H2715" s="461" t="s">
        <v>700</v>
      </c>
      <c r="I2715" s="461" t="s">
        <v>872</v>
      </c>
      <c r="J2715" s="461" t="s">
        <v>700</v>
      </c>
      <c r="K2715" s="594"/>
      <c r="L2715" s="594"/>
      <c r="M2715" s="352">
        <v>3000</v>
      </c>
      <c r="N2715" s="352" t="s">
        <v>709</v>
      </c>
      <c r="O2715" s="460">
        <v>3111</v>
      </c>
      <c r="P2715" s="460" t="s">
        <v>763</v>
      </c>
      <c r="Q2715" s="460" t="s">
        <v>2553</v>
      </c>
      <c r="R2715" s="460">
        <v>3111</v>
      </c>
      <c r="S2715" s="460" t="s">
        <v>1136</v>
      </c>
      <c r="T2715" s="462">
        <v>1</v>
      </c>
      <c r="U2715" s="460" t="s">
        <v>1136</v>
      </c>
      <c r="V2715" s="475">
        <v>0</v>
      </c>
      <c r="W2715" s="463" t="s">
        <v>2554</v>
      </c>
      <c r="X2715" s="463" t="s">
        <v>2554</v>
      </c>
      <c r="Y2715" s="463" t="s">
        <v>2268</v>
      </c>
      <c r="Z2715" s="463"/>
      <c r="AA2715" s="463"/>
      <c r="AB2715" s="464">
        <v>1.8863028374115995</v>
      </c>
      <c r="AC2715" s="465">
        <v>1.0842252926117221E-2</v>
      </c>
      <c r="AD2715" s="465">
        <v>5.3669262399756584E-3</v>
      </c>
      <c r="AE2715" s="476">
        <v>1.1317817024469596</v>
      </c>
      <c r="AF2715" s="467">
        <v>6.5053517556703322E-3</v>
      </c>
      <c r="AG2715" s="468">
        <v>3.5005075450397268E-3</v>
      </c>
      <c r="AH2715" s="218">
        <v>1.1317817024469596</v>
      </c>
      <c r="AI2715" s="470">
        <v>6.5053517556703322E-3</v>
      </c>
      <c r="AJ2715" s="471">
        <v>8.8388362255697453E-4</v>
      </c>
      <c r="AK2715" s="218">
        <v>1.1317817024469596</v>
      </c>
      <c r="AL2715" s="470">
        <v>6.5053517556703322E-3</v>
      </c>
      <c r="AM2715" s="471">
        <v>8.8388362255697453E-4</v>
      </c>
      <c r="AN2715" s="477">
        <v>0</v>
      </c>
      <c r="AO2715" s="473">
        <v>0</v>
      </c>
      <c r="AP2715" s="474">
        <v>0</v>
      </c>
      <c r="AQ2715" s="352"/>
      <c r="AR2715" s="352"/>
      <c r="AS2715" s="352"/>
      <c r="AT2715" s="352"/>
      <c r="AU2715" s="352"/>
      <c r="AV2715" s="352"/>
      <c r="AW2715" s="352" t="s">
        <v>254</v>
      </c>
    </row>
    <row r="2716" spans="2:49" x14ac:dyDescent="0.2">
      <c r="B2716" s="460" t="s">
        <v>3166</v>
      </c>
      <c r="C2716" s="460">
        <v>3111</v>
      </c>
      <c r="D2716" s="460" t="s">
        <v>2353</v>
      </c>
      <c r="E2716" s="460" t="s">
        <v>1137</v>
      </c>
      <c r="F2716" s="460">
        <v>2</v>
      </c>
      <c r="G2716" s="460">
        <v>4</v>
      </c>
      <c r="H2716" s="461" t="s">
        <v>700</v>
      </c>
      <c r="I2716" s="461" t="s">
        <v>872</v>
      </c>
      <c r="J2716" s="461" t="s">
        <v>700</v>
      </c>
      <c r="K2716" s="594"/>
      <c r="L2716" s="594"/>
      <c r="M2716" s="352">
        <v>3000</v>
      </c>
      <c r="N2716" s="352" t="s">
        <v>709</v>
      </c>
      <c r="O2716" s="460">
        <v>3111</v>
      </c>
      <c r="P2716" s="460" t="s">
        <v>763</v>
      </c>
      <c r="Q2716" s="460" t="s">
        <v>2553</v>
      </c>
      <c r="R2716" s="460">
        <v>3111</v>
      </c>
      <c r="S2716" s="460" t="s">
        <v>1137</v>
      </c>
      <c r="T2716" s="462">
        <v>1</v>
      </c>
      <c r="U2716" s="460" t="s">
        <v>1137</v>
      </c>
      <c r="V2716" s="475">
        <v>0</v>
      </c>
      <c r="W2716" s="463" t="s">
        <v>2554</v>
      </c>
      <c r="X2716" s="463" t="s">
        <v>2554</v>
      </c>
      <c r="Y2716" s="463" t="s">
        <v>2268</v>
      </c>
      <c r="Z2716" s="463"/>
      <c r="AA2716" s="463"/>
      <c r="AB2716" s="464">
        <v>23.766903679247953</v>
      </c>
      <c r="AC2716" s="465">
        <v>2.8791540639436695E-2</v>
      </c>
      <c r="AD2716" s="465">
        <v>5.3669262399756628E-3</v>
      </c>
      <c r="AE2716" s="476">
        <v>14.260142207548769</v>
      </c>
      <c r="AF2716" s="467">
        <v>1.7274924383662016E-2</v>
      </c>
      <c r="AG2716" s="468">
        <v>3.4691727607239586E-3</v>
      </c>
      <c r="AH2716" s="218">
        <v>14.260142207548769</v>
      </c>
      <c r="AI2716" s="470">
        <v>1.7274924383662016E-2</v>
      </c>
      <c r="AJ2716" s="471">
        <v>2.9462798279454201E-3</v>
      </c>
      <c r="AK2716" s="218">
        <v>14.260142207548769</v>
      </c>
      <c r="AL2716" s="470">
        <v>1.7274924383662016E-2</v>
      </c>
      <c r="AM2716" s="471">
        <v>2.9462798279454201E-3</v>
      </c>
      <c r="AN2716" s="477">
        <v>0</v>
      </c>
      <c r="AO2716" s="473">
        <v>0</v>
      </c>
      <c r="AP2716" s="474">
        <v>0</v>
      </c>
      <c r="AQ2716" s="352"/>
      <c r="AR2716" s="352"/>
      <c r="AS2716" s="352"/>
      <c r="AT2716" s="352"/>
      <c r="AU2716" s="352"/>
      <c r="AV2716" s="352"/>
      <c r="AW2716" s="352" t="s">
        <v>254</v>
      </c>
    </row>
    <row r="2717" spans="2:49" x14ac:dyDescent="0.2">
      <c r="B2717" s="460" t="s">
        <v>3167</v>
      </c>
      <c r="C2717" s="460">
        <v>3111</v>
      </c>
      <c r="D2717" s="460" t="s">
        <v>2355</v>
      </c>
      <c r="E2717" s="460" t="s">
        <v>1138</v>
      </c>
      <c r="F2717" s="460">
        <v>3</v>
      </c>
      <c r="G2717" s="460">
        <v>4</v>
      </c>
      <c r="H2717" s="461" t="s">
        <v>700</v>
      </c>
      <c r="I2717" s="461" t="s">
        <v>872</v>
      </c>
      <c r="J2717" s="461" t="s">
        <v>700</v>
      </c>
      <c r="K2717" s="594"/>
      <c r="L2717" s="594"/>
      <c r="M2717" s="352">
        <v>3000</v>
      </c>
      <c r="N2717" s="352" t="s">
        <v>709</v>
      </c>
      <c r="O2717" s="460">
        <v>3111</v>
      </c>
      <c r="P2717" s="460" t="s">
        <v>763</v>
      </c>
      <c r="Q2717" s="460" t="s">
        <v>2553</v>
      </c>
      <c r="R2717" s="460">
        <v>3111</v>
      </c>
      <c r="S2717" s="460" t="s">
        <v>1138</v>
      </c>
      <c r="T2717" s="462">
        <v>1</v>
      </c>
      <c r="U2717" s="460" t="s">
        <v>1138</v>
      </c>
      <c r="V2717" s="475">
        <v>0</v>
      </c>
      <c r="W2717" s="463" t="s">
        <v>2554</v>
      </c>
      <c r="X2717" s="463" t="s">
        <v>2554</v>
      </c>
      <c r="Y2717" s="463" t="s">
        <v>2268</v>
      </c>
      <c r="Z2717" s="463"/>
      <c r="AA2717" s="463"/>
      <c r="AB2717" s="464">
        <v>12.791547994784317</v>
      </c>
      <c r="AC2717" s="465">
        <v>1.5207690088948273E-2</v>
      </c>
      <c r="AD2717" s="465">
        <v>5.3669262399756636E-3</v>
      </c>
      <c r="AE2717" s="476">
        <v>7.6749287968705895</v>
      </c>
      <c r="AF2717" s="467">
        <v>9.1246140533689634E-3</v>
      </c>
      <c r="AG2717" s="468">
        <v>3.4741124045244609E-3</v>
      </c>
      <c r="AH2717" s="218">
        <v>7.6749287968705895</v>
      </c>
      <c r="AI2717" s="470">
        <v>9.1246140533689634E-3</v>
      </c>
      <c r="AJ2717" s="471">
        <v>2.6448279351997976E-3</v>
      </c>
      <c r="AK2717" s="218">
        <v>7.6749287968705895</v>
      </c>
      <c r="AL2717" s="470">
        <v>9.1246140533689634E-3</v>
      </c>
      <c r="AM2717" s="471">
        <v>2.6448279351997976E-3</v>
      </c>
      <c r="AN2717" s="477">
        <v>0</v>
      </c>
      <c r="AO2717" s="473">
        <v>0</v>
      </c>
      <c r="AP2717" s="474">
        <v>0</v>
      </c>
      <c r="AQ2717" s="352"/>
      <c r="AR2717" s="352"/>
      <c r="AS2717" s="352"/>
      <c r="AT2717" s="352"/>
      <c r="AU2717" s="352"/>
      <c r="AV2717" s="352"/>
      <c r="AW2717" s="352" t="s">
        <v>254</v>
      </c>
    </row>
    <row r="2718" spans="2:49" x14ac:dyDescent="0.2">
      <c r="B2718" s="460" t="s">
        <v>3168</v>
      </c>
      <c r="C2718" s="460">
        <v>3111</v>
      </c>
      <c r="D2718" s="460" t="s">
        <v>2357</v>
      </c>
      <c r="E2718" s="460" t="s">
        <v>1139</v>
      </c>
      <c r="F2718" s="460">
        <v>4</v>
      </c>
      <c r="G2718" s="460">
        <v>4</v>
      </c>
      <c r="H2718" s="461" t="s">
        <v>700</v>
      </c>
      <c r="I2718" s="461" t="s">
        <v>872</v>
      </c>
      <c r="J2718" s="461" t="s">
        <v>700</v>
      </c>
      <c r="K2718" s="594"/>
      <c r="L2718" s="594"/>
      <c r="M2718" s="352">
        <v>3000</v>
      </c>
      <c r="N2718" s="352" t="s">
        <v>709</v>
      </c>
      <c r="O2718" s="460">
        <v>3111</v>
      </c>
      <c r="P2718" s="460" t="s">
        <v>763</v>
      </c>
      <c r="Q2718" s="460" t="s">
        <v>2553</v>
      </c>
      <c r="R2718" s="460">
        <v>3111</v>
      </c>
      <c r="S2718" s="460" t="s">
        <v>1139</v>
      </c>
      <c r="T2718" s="462">
        <v>1</v>
      </c>
      <c r="U2718" s="460" t="s">
        <v>1139</v>
      </c>
      <c r="V2718" s="475">
        <v>0</v>
      </c>
      <c r="W2718" s="463" t="s">
        <v>2554</v>
      </c>
      <c r="X2718" s="463" t="s">
        <v>2554</v>
      </c>
      <c r="Y2718" s="463" t="s">
        <v>2268</v>
      </c>
      <c r="Z2718" s="463"/>
      <c r="AA2718" s="463"/>
      <c r="AB2718" s="464">
        <v>0</v>
      </c>
      <c r="AC2718" s="465">
        <v>0</v>
      </c>
      <c r="AD2718" s="465">
        <v>0</v>
      </c>
      <c r="AE2718" s="476">
        <v>0</v>
      </c>
      <c r="AF2718" s="467">
        <v>0</v>
      </c>
      <c r="AG2718" s="468">
        <v>0</v>
      </c>
      <c r="AH2718" s="218">
        <v>0</v>
      </c>
      <c r="AI2718" s="470">
        <v>0</v>
      </c>
      <c r="AJ2718" s="471">
        <v>0</v>
      </c>
      <c r="AK2718" s="218">
        <v>0</v>
      </c>
      <c r="AL2718" s="470">
        <v>0</v>
      </c>
      <c r="AM2718" s="471">
        <v>0</v>
      </c>
      <c r="AN2718" s="477">
        <v>0</v>
      </c>
      <c r="AO2718" s="473">
        <v>0</v>
      </c>
      <c r="AP2718" s="474">
        <v>0</v>
      </c>
      <c r="AQ2718" s="352"/>
      <c r="AR2718" s="352"/>
      <c r="AS2718" s="352"/>
      <c r="AT2718" s="352"/>
      <c r="AU2718" s="352"/>
      <c r="AV2718" s="352"/>
      <c r="AW2718" s="352" t="s">
        <v>254</v>
      </c>
    </row>
    <row r="2719" spans="2:49" x14ac:dyDescent="0.2">
      <c r="B2719" s="460" t="s">
        <v>3165</v>
      </c>
      <c r="C2719" s="460">
        <v>3111</v>
      </c>
      <c r="D2719" s="460" t="s">
        <v>3169</v>
      </c>
      <c r="E2719" s="460" t="s">
        <v>1136</v>
      </c>
      <c r="F2719" s="460">
        <v>1</v>
      </c>
      <c r="G2719" s="460">
        <v>4</v>
      </c>
      <c r="H2719" s="461" t="s">
        <v>706</v>
      </c>
      <c r="I2719" s="461" t="s">
        <v>707</v>
      </c>
      <c r="J2719" s="461" t="s">
        <v>706</v>
      </c>
      <c r="K2719" s="594"/>
      <c r="L2719" s="594"/>
      <c r="M2719" s="352">
        <v>3000</v>
      </c>
      <c r="N2719" s="352" t="s">
        <v>709</v>
      </c>
      <c r="O2719" s="460">
        <v>3111</v>
      </c>
      <c r="P2719" s="460" t="s">
        <v>763</v>
      </c>
      <c r="Q2719" s="460" t="s">
        <v>2266</v>
      </c>
      <c r="R2719" s="460">
        <v>3111</v>
      </c>
      <c r="S2719" s="460" t="s">
        <v>1136</v>
      </c>
      <c r="T2719" s="462">
        <v>1</v>
      </c>
      <c r="U2719" s="460" t="s">
        <v>1136</v>
      </c>
      <c r="V2719" s="475">
        <v>0</v>
      </c>
      <c r="W2719" s="463" t="s">
        <v>2267</v>
      </c>
      <c r="X2719" s="463" t="s">
        <v>2267</v>
      </c>
      <c r="Y2719" s="463" t="s">
        <v>2267</v>
      </c>
      <c r="Z2719" s="463"/>
      <c r="AA2719" s="463"/>
      <c r="AB2719" s="464">
        <v>26.769899290605114</v>
      </c>
      <c r="AC2719" s="465">
        <v>0.1538703187838622</v>
      </c>
      <c r="AD2719" s="465">
        <v>0.11896188399058888</v>
      </c>
      <c r="AE2719" s="476">
        <v>26.769899290605114</v>
      </c>
      <c r="AF2719" s="467">
        <v>0.1538703187838622</v>
      </c>
      <c r="AG2719" s="468">
        <v>0.11896188399058888</v>
      </c>
      <c r="AH2719" s="218">
        <v>26.769899290605114</v>
      </c>
      <c r="AI2719" s="470">
        <v>0.1538703187838622</v>
      </c>
      <c r="AJ2719" s="471">
        <v>0.11896188399058888</v>
      </c>
      <c r="AK2719" s="218">
        <v>26.769899290605114</v>
      </c>
      <c r="AL2719" s="470">
        <v>0.1538703187838622</v>
      </c>
      <c r="AM2719" s="471">
        <v>0.11896188399058888</v>
      </c>
      <c r="AN2719" s="477">
        <v>26.769899290605114</v>
      </c>
      <c r="AO2719" s="473">
        <v>0.1538703187838622</v>
      </c>
      <c r="AP2719" s="474">
        <v>0.11896188399058888</v>
      </c>
      <c r="AQ2719" s="352"/>
      <c r="AR2719" s="352"/>
      <c r="AS2719" s="352"/>
      <c r="AT2719" s="352"/>
      <c r="AU2719" s="352"/>
      <c r="AV2719" s="352"/>
      <c r="AW2719" s="352" t="s">
        <v>254</v>
      </c>
    </row>
    <row r="2720" spans="2:49" x14ac:dyDescent="0.2">
      <c r="B2720" s="460" t="s">
        <v>3166</v>
      </c>
      <c r="C2720" s="460">
        <v>3111</v>
      </c>
      <c r="D2720" s="460" t="s">
        <v>3170</v>
      </c>
      <c r="E2720" s="460" t="s">
        <v>1137</v>
      </c>
      <c r="F2720" s="460">
        <v>2</v>
      </c>
      <c r="G2720" s="460">
        <v>4</v>
      </c>
      <c r="H2720" s="461" t="s">
        <v>706</v>
      </c>
      <c r="I2720" s="461" t="s">
        <v>707</v>
      </c>
      <c r="J2720" s="461" t="s">
        <v>706</v>
      </c>
      <c r="K2720" s="594"/>
      <c r="L2720" s="594"/>
      <c r="M2720" s="352">
        <v>3000</v>
      </c>
      <c r="N2720" s="352" t="s">
        <v>709</v>
      </c>
      <c r="O2720" s="460">
        <v>3111</v>
      </c>
      <c r="P2720" s="460" t="s">
        <v>763</v>
      </c>
      <c r="Q2720" s="460" t="s">
        <v>2266</v>
      </c>
      <c r="R2720" s="460">
        <v>3111</v>
      </c>
      <c r="S2720" s="460" t="s">
        <v>1137</v>
      </c>
      <c r="T2720" s="462">
        <v>1</v>
      </c>
      <c r="U2720" s="460" t="s">
        <v>1137</v>
      </c>
      <c r="V2720" s="475">
        <v>0</v>
      </c>
      <c r="W2720" s="463" t="s">
        <v>2267</v>
      </c>
      <c r="X2720" s="463" t="s">
        <v>2267</v>
      </c>
      <c r="Y2720" s="463" t="s">
        <v>2267</v>
      </c>
      <c r="Z2720" s="463"/>
      <c r="AA2720" s="463"/>
      <c r="AB2720" s="464">
        <v>657.46621074815209</v>
      </c>
      <c r="AC2720" s="465">
        <v>0.79646324070140084</v>
      </c>
      <c r="AD2720" s="465">
        <v>0.17834092995391537</v>
      </c>
      <c r="AE2720" s="476">
        <v>657.46621074815209</v>
      </c>
      <c r="AF2720" s="467">
        <v>0.79646324070140084</v>
      </c>
      <c r="AG2720" s="468">
        <v>0.17834092995391537</v>
      </c>
      <c r="AH2720" s="218">
        <v>657.46621074815209</v>
      </c>
      <c r="AI2720" s="470">
        <v>0.79646324070140084</v>
      </c>
      <c r="AJ2720" s="471">
        <v>0.17834092995391537</v>
      </c>
      <c r="AK2720" s="218">
        <v>657.46621074815209</v>
      </c>
      <c r="AL2720" s="470">
        <v>0.79646324070140084</v>
      </c>
      <c r="AM2720" s="471">
        <v>0.17834092995391537</v>
      </c>
      <c r="AN2720" s="477">
        <v>657.46621074815209</v>
      </c>
      <c r="AO2720" s="473">
        <v>0.79646324070140084</v>
      </c>
      <c r="AP2720" s="474">
        <v>0.17834092995391537</v>
      </c>
      <c r="AQ2720" s="352"/>
      <c r="AR2720" s="352"/>
      <c r="AS2720" s="352"/>
      <c r="AT2720" s="352"/>
      <c r="AU2720" s="352"/>
      <c r="AV2720" s="352"/>
      <c r="AW2720" s="352" t="s">
        <v>254</v>
      </c>
    </row>
    <row r="2721" spans="2:49" x14ac:dyDescent="0.2">
      <c r="B2721" s="460" t="s">
        <v>3167</v>
      </c>
      <c r="C2721" s="460">
        <v>3111</v>
      </c>
      <c r="D2721" s="460" t="s">
        <v>3171</v>
      </c>
      <c r="E2721" s="460" t="s">
        <v>1138</v>
      </c>
      <c r="F2721" s="460">
        <v>3</v>
      </c>
      <c r="G2721" s="460">
        <v>4</v>
      </c>
      <c r="H2721" s="461" t="s">
        <v>706</v>
      </c>
      <c r="I2721" s="461" t="s">
        <v>707</v>
      </c>
      <c r="J2721" s="461" t="s">
        <v>706</v>
      </c>
      <c r="K2721" s="594"/>
      <c r="L2721" s="594"/>
      <c r="M2721" s="352">
        <v>3000</v>
      </c>
      <c r="N2721" s="352" t="s">
        <v>709</v>
      </c>
      <c r="O2721" s="460">
        <v>3111</v>
      </c>
      <c r="P2721" s="460" t="s">
        <v>763</v>
      </c>
      <c r="Q2721" s="460" t="s">
        <v>2266</v>
      </c>
      <c r="R2721" s="460">
        <v>3111</v>
      </c>
      <c r="S2721" s="460" t="s">
        <v>1138</v>
      </c>
      <c r="T2721" s="462">
        <v>1</v>
      </c>
      <c r="U2721" s="460" t="s">
        <v>1138</v>
      </c>
      <c r="V2721" s="475">
        <v>0</v>
      </c>
      <c r="W2721" s="463" t="s">
        <v>2267</v>
      </c>
      <c r="X2721" s="463" t="s">
        <v>2267</v>
      </c>
      <c r="Y2721" s="463" t="s">
        <v>2267</v>
      </c>
      <c r="Z2721" s="463"/>
      <c r="AA2721" s="463"/>
      <c r="AB2721" s="464">
        <v>408.79078330226582</v>
      </c>
      <c r="AC2721" s="465">
        <v>0.48600556759933355</v>
      </c>
      <c r="AD2721" s="465">
        <v>0.17963509073816647</v>
      </c>
      <c r="AE2721" s="476">
        <v>408.79078330226582</v>
      </c>
      <c r="AF2721" s="467">
        <v>0.48600556759933355</v>
      </c>
      <c r="AG2721" s="468">
        <v>0.17963509073816647</v>
      </c>
      <c r="AH2721" s="218">
        <v>408.79078330226582</v>
      </c>
      <c r="AI2721" s="470">
        <v>0.48600556759933355</v>
      </c>
      <c r="AJ2721" s="471">
        <v>0.17963509073816647</v>
      </c>
      <c r="AK2721" s="218">
        <v>408.79078330226582</v>
      </c>
      <c r="AL2721" s="470">
        <v>0.48600556759933355</v>
      </c>
      <c r="AM2721" s="471">
        <v>0.17963509073816647</v>
      </c>
      <c r="AN2721" s="477">
        <v>408.79078330226582</v>
      </c>
      <c r="AO2721" s="473">
        <v>0.48600556759933355</v>
      </c>
      <c r="AP2721" s="474">
        <v>0.17963509073816647</v>
      </c>
      <c r="AQ2721" s="352"/>
      <c r="AR2721" s="352"/>
      <c r="AS2721" s="352"/>
      <c r="AT2721" s="352"/>
      <c r="AU2721" s="352"/>
      <c r="AV2721" s="352"/>
      <c r="AW2721" s="352" t="s">
        <v>254</v>
      </c>
    </row>
    <row r="2722" spans="2:49" x14ac:dyDescent="0.2">
      <c r="B2722" s="460" t="s">
        <v>3168</v>
      </c>
      <c r="C2722" s="460">
        <v>3111</v>
      </c>
      <c r="D2722" s="460" t="s">
        <v>3172</v>
      </c>
      <c r="E2722" s="460" t="s">
        <v>1139</v>
      </c>
      <c r="F2722" s="460">
        <v>4</v>
      </c>
      <c r="G2722" s="460">
        <v>4</v>
      </c>
      <c r="H2722" s="461" t="s">
        <v>706</v>
      </c>
      <c r="I2722" s="461" t="s">
        <v>707</v>
      </c>
      <c r="J2722" s="461" t="s">
        <v>706</v>
      </c>
      <c r="K2722" s="594"/>
      <c r="L2722" s="594"/>
      <c r="M2722" s="352">
        <v>3000</v>
      </c>
      <c r="N2722" s="352" t="s">
        <v>709</v>
      </c>
      <c r="O2722" s="460">
        <v>3111</v>
      </c>
      <c r="P2722" s="460" t="s">
        <v>763</v>
      </c>
      <c r="Q2722" s="460" t="s">
        <v>2266</v>
      </c>
      <c r="R2722" s="460">
        <v>3111</v>
      </c>
      <c r="S2722" s="460" t="s">
        <v>1139</v>
      </c>
      <c r="T2722" s="462">
        <v>1</v>
      </c>
      <c r="U2722" s="460" t="s">
        <v>1139</v>
      </c>
      <c r="V2722" s="475">
        <v>0</v>
      </c>
      <c r="W2722" s="463" t="s">
        <v>2267</v>
      </c>
      <c r="X2722" s="463" t="s">
        <v>2267</v>
      </c>
      <c r="Y2722" s="463" t="s">
        <v>2267</v>
      </c>
      <c r="Z2722" s="463"/>
      <c r="AA2722" s="463"/>
      <c r="AB2722" s="464">
        <v>305.59328345152329</v>
      </c>
      <c r="AC2722" s="465">
        <v>0.38654870858415891</v>
      </c>
      <c r="AD2722" s="465">
        <v>0.17977663333134711</v>
      </c>
      <c r="AE2722" s="476">
        <v>305.59328345152329</v>
      </c>
      <c r="AF2722" s="467">
        <v>0.38654870858415891</v>
      </c>
      <c r="AG2722" s="468">
        <v>0.17977663333134711</v>
      </c>
      <c r="AH2722" s="218">
        <v>305.59328345152329</v>
      </c>
      <c r="AI2722" s="470">
        <v>0.38654870858415891</v>
      </c>
      <c r="AJ2722" s="471">
        <v>0.17977663333134711</v>
      </c>
      <c r="AK2722" s="218">
        <v>305.59328345152329</v>
      </c>
      <c r="AL2722" s="470">
        <v>0.38654870858415891</v>
      </c>
      <c r="AM2722" s="471">
        <v>0.17977663333134711</v>
      </c>
      <c r="AN2722" s="477">
        <v>305.59328345152329</v>
      </c>
      <c r="AO2722" s="473">
        <v>0.38654870858415891</v>
      </c>
      <c r="AP2722" s="474">
        <v>0.17977663333134711</v>
      </c>
      <c r="AQ2722" s="352"/>
      <c r="AR2722" s="352"/>
      <c r="AS2722" s="352"/>
      <c r="AT2722" s="352"/>
      <c r="AU2722" s="352"/>
      <c r="AV2722" s="352"/>
      <c r="AW2722" s="352" t="s">
        <v>254</v>
      </c>
    </row>
    <row r="2723" spans="2:49" x14ac:dyDescent="0.2">
      <c r="B2723" s="460" t="s">
        <v>3165</v>
      </c>
      <c r="C2723" s="460">
        <v>3111</v>
      </c>
      <c r="D2723" s="460" t="s">
        <v>2358</v>
      </c>
      <c r="E2723" s="460" t="s">
        <v>1136</v>
      </c>
      <c r="F2723" s="460">
        <v>1</v>
      </c>
      <c r="G2723" s="460">
        <v>4</v>
      </c>
      <c r="H2723" s="461" t="s">
        <v>712</v>
      </c>
      <c r="I2723" s="461" t="s">
        <v>713</v>
      </c>
      <c r="J2723" s="461" t="s">
        <v>712</v>
      </c>
      <c r="K2723" s="594"/>
      <c r="L2723" s="594"/>
      <c r="M2723" s="352">
        <v>3000</v>
      </c>
      <c r="N2723" s="352" t="s">
        <v>709</v>
      </c>
      <c r="O2723" s="460">
        <v>3111</v>
      </c>
      <c r="P2723" s="460" t="s">
        <v>763</v>
      </c>
      <c r="Q2723" s="460" t="s">
        <v>2280</v>
      </c>
      <c r="R2723" s="460">
        <v>3111</v>
      </c>
      <c r="S2723" s="460" t="s">
        <v>1136</v>
      </c>
      <c r="T2723" s="462">
        <v>1</v>
      </c>
      <c r="U2723" s="460" t="s">
        <v>1136</v>
      </c>
      <c r="V2723" s="475">
        <v>0</v>
      </c>
      <c r="W2723" s="463" t="s">
        <v>713</v>
      </c>
      <c r="X2723" s="463" t="s">
        <v>713</v>
      </c>
      <c r="Y2723" s="463" t="s">
        <v>713</v>
      </c>
      <c r="Z2723" s="463"/>
      <c r="AA2723" s="463"/>
      <c r="AB2723" s="464">
        <v>145.32081632612795</v>
      </c>
      <c r="AC2723" s="465">
        <v>0.83528742829002067</v>
      </c>
      <c r="AD2723" s="465">
        <v>9.5771800754841663E-4</v>
      </c>
      <c r="AE2723" s="476">
        <v>146.07533746109257</v>
      </c>
      <c r="AF2723" s="467">
        <v>0.8396243294604675</v>
      </c>
      <c r="AG2723" s="468">
        <v>9.6251202544638339E-4</v>
      </c>
      <c r="AH2723" s="218">
        <v>146.07533746109257</v>
      </c>
      <c r="AI2723" s="470">
        <v>0.8396243294604675</v>
      </c>
      <c r="AJ2723" s="471">
        <v>9.7229424879524261E-4</v>
      </c>
      <c r="AK2723" s="218">
        <v>146.07533746109257</v>
      </c>
      <c r="AL2723" s="470">
        <v>0.8396243294604675</v>
      </c>
      <c r="AM2723" s="471">
        <v>9.7229424879524261E-4</v>
      </c>
      <c r="AN2723" s="477">
        <v>146.07533746109257</v>
      </c>
      <c r="AO2723" s="473">
        <v>0.8396243294604675</v>
      </c>
      <c r="AP2723" s="474">
        <v>9.7071219027808668E-4</v>
      </c>
      <c r="AQ2723" s="352"/>
      <c r="AR2723" s="352"/>
      <c r="AS2723" s="352"/>
      <c r="AT2723" s="352"/>
      <c r="AU2723" s="352"/>
      <c r="AV2723" s="352"/>
      <c r="AW2723" s="352" t="s">
        <v>254</v>
      </c>
    </row>
    <row r="2724" spans="2:49" x14ac:dyDescent="0.2">
      <c r="B2724" s="460" t="s">
        <v>3166</v>
      </c>
      <c r="C2724" s="460">
        <v>3111</v>
      </c>
      <c r="D2724" s="460" t="s">
        <v>2359</v>
      </c>
      <c r="E2724" s="460" t="s">
        <v>1137</v>
      </c>
      <c r="F2724" s="460">
        <v>2</v>
      </c>
      <c r="G2724" s="460">
        <v>4</v>
      </c>
      <c r="H2724" s="461" t="s">
        <v>712</v>
      </c>
      <c r="I2724" s="461" t="s">
        <v>713</v>
      </c>
      <c r="J2724" s="461" t="s">
        <v>712</v>
      </c>
      <c r="K2724" s="594"/>
      <c r="L2724" s="594"/>
      <c r="M2724" s="352">
        <v>3000</v>
      </c>
      <c r="N2724" s="352" t="s">
        <v>709</v>
      </c>
      <c r="O2724" s="460">
        <v>3111</v>
      </c>
      <c r="P2724" s="460" t="s">
        <v>763</v>
      </c>
      <c r="Q2724" s="460" t="s">
        <v>2280</v>
      </c>
      <c r="R2724" s="460">
        <v>3111</v>
      </c>
      <c r="S2724" s="460" t="s">
        <v>1137</v>
      </c>
      <c r="T2724" s="462">
        <v>1</v>
      </c>
      <c r="U2724" s="460" t="s">
        <v>1137</v>
      </c>
      <c r="V2724" s="475">
        <v>0</v>
      </c>
      <c r="W2724" s="463" t="s">
        <v>713</v>
      </c>
      <c r="X2724" s="463" t="s">
        <v>713</v>
      </c>
      <c r="Y2724" s="463" t="s">
        <v>713</v>
      </c>
      <c r="Z2724" s="463"/>
      <c r="AA2724" s="463"/>
      <c r="AB2724" s="464">
        <v>144.24906371952625</v>
      </c>
      <c r="AC2724" s="465">
        <v>0.17474521865916234</v>
      </c>
      <c r="AD2724" s="465">
        <v>8.3421223399738167E-4</v>
      </c>
      <c r="AE2724" s="476">
        <v>153.75582519122557</v>
      </c>
      <c r="AF2724" s="467">
        <v>0.1862618349149372</v>
      </c>
      <c r="AG2724" s="468">
        <v>8.8755955663114906E-4</v>
      </c>
      <c r="AH2724" s="218">
        <v>153.75582519122557</v>
      </c>
      <c r="AI2724" s="470">
        <v>0.1862618349149372</v>
      </c>
      <c r="AJ2724" s="471">
        <v>8.9177122154326894E-4</v>
      </c>
      <c r="AK2724" s="218">
        <v>153.75582519122557</v>
      </c>
      <c r="AL2724" s="470">
        <v>0.1862618349149372</v>
      </c>
      <c r="AM2724" s="471">
        <v>8.9177122154326894E-4</v>
      </c>
      <c r="AN2724" s="477">
        <v>153.75582519122548</v>
      </c>
      <c r="AO2724" s="473">
        <v>0.18626183491493709</v>
      </c>
      <c r="AP2724" s="474">
        <v>8.9103538235823251E-4</v>
      </c>
      <c r="AQ2724" s="352"/>
      <c r="AR2724" s="352"/>
      <c r="AS2724" s="352"/>
      <c r="AT2724" s="352"/>
      <c r="AU2724" s="352"/>
      <c r="AV2724" s="352"/>
      <c r="AW2724" s="352" t="s">
        <v>254</v>
      </c>
    </row>
    <row r="2725" spans="2:49" x14ac:dyDescent="0.2">
      <c r="B2725" s="460" t="s">
        <v>3167</v>
      </c>
      <c r="C2725" s="460">
        <v>3111</v>
      </c>
      <c r="D2725" s="460" t="s">
        <v>2360</v>
      </c>
      <c r="E2725" s="460" t="s">
        <v>1138</v>
      </c>
      <c r="F2725" s="460">
        <v>3</v>
      </c>
      <c r="G2725" s="460">
        <v>4</v>
      </c>
      <c r="H2725" s="461" t="s">
        <v>712</v>
      </c>
      <c r="I2725" s="461" t="s">
        <v>713</v>
      </c>
      <c r="J2725" s="461" t="s">
        <v>712</v>
      </c>
      <c r="K2725" s="594"/>
      <c r="L2725" s="594"/>
      <c r="M2725" s="352">
        <v>3000</v>
      </c>
      <c r="N2725" s="352" t="s">
        <v>709</v>
      </c>
      <c r="O2725" s="460">
        <v>3111</v>
      </c>
      <c r="P2725" s="460" t="s">
        <v>763</v>
      </c>
      <c r="Q2725" s="460" t="s">
        <v>2280</v>
      </c>
      <c r="R2725" s="460">
        <v>3111</v>
      </c>
      <c r="S2725" s="460" t="s">
        <v>1138</v>
      </c>
      <c r="T2725" s="462">
        <v>1</v>
      </c>
      <c r="U2725" s="460" t="s">
        <v>1138</v>
      </c>
      <c r="V2725" s="475">
        <v>0</v>
      </c>
      <c r="W2725" s="463" t="s">
        <v>713</v>
      </c>
      <c r="X2725" s="463" t="s">
        <v>713</v>
      </c>
      <c r="Y2725" s="463" t="s">
        <v>713</v>
      </c>
      <c r="Z2725" s="463"/>
      <c r="AA2725" s="463"/>
      <c r="AB2725" s="464">
        <v>419.54133179496586</v>
      </c>
      <c r="AC2725" s="465">
        <v>0.49878674231171821</v>
      </c>
      <c r="AD2725" s="465">
        <v>5.2356856374810865E-3</v>
      </c>
      <c r="AE2725" s="476">
        <v>424.65795099287953</v>
      </c>
      <c r="AF2725" s="467">
        <v>0.50486981834729749</v>
      </c>
      <c r="AG2725" s="468">
        <v>5.2880411346678327E-3</v>
      </c>
      <c r="AH2725" s="218">
        <v>424.65795099287953</v>
      </c>
      <c r="AI2725" s="470">
        <v>0.50486981834729749</v>
      </c>
      <c r="AJ2725" s="471">
        <v>5.3500453880962274E-3</v>
      </c>
      <c r="AK2725" s="218">
        <v>424.65795099287953</v>
      </c>
      <c r="AL2725" s="470">
        <v>0.50486981834729749</v>
      </c>
      <c r="AM2725" s="471">
        <v>5.3500453880962274E-3</v>
      </c>
      <c r="AN2725" s="477">
        <v>424.65795099287953</v>
      </c>
      <c r="AO2725" s="473">
        <v>0.50486981834729749</v>
      </c>
      <c r="AP2725" s="474">
        <v>5.3496421868141492E-3</v>
      </c>
      <c r="AQ2725" s="352"/>
      <c r="AR2725" s="352"/>
      <c r="AS2725" s="352"/>
      <c r="AT2725" s="352"/>
      <c r="AU2725" s="352"/>
      <c r="AV2725" s="352"/>
      <c r="AW2725" s="352" t="s">
        <v>254</v>
      </c>
    </row>
    <row r="2726" spans="2:49" x14ac:dyDescent="0.2">
      <c r="B2726" s="460" t="s">
        <v>3168</v>
      </c>
      <c r="C2726" s="460">
        <v>3111</v>
      </c>
      <c r="D2726" s="460" t="s">
        <v>2361</v>
      </c>
      <c r="E2726" s="460" t="s">
        <v>1139</v>
      </c>
      <c r="F2726" s="460">
        <v>4</v>
      </c>
      <c r="G2726" s="460">
        <v>4</v>
      </c>
      <c r="H2726" s="461" t="s">
        <v>712</v>
      </c>
      <c r="I2726" s="461" t="s">
        <v>713</v>
      </c>
      <c r="J2726" s="461" t="s">
        <v>712</v>
      </c>
      <c r="K2726" s="594"/>
      <c r="L2726" s="594"/>
      <c r="M2726" s="352">
        <v>3000</v>
      </c>
      <c r="N2726" s="352" t="s">
        <v>709</v>
      </c>
      <c r="O2726" s="460">
        <v>3111</v>
      </c>
      <c r="P2726" s="460" t="s">
        <v>763</v>
      </c>
      <c r="Q2726" s="460" t="s">
        <v>2280</v>
      </c>
      <c r="R2726" s="460">
        <v>3111</v>
      </c>
      <c r="S2726" s="460" t="s">
        <v>1139</v>
      </c>
      <c r="T2726" s="462">
        <v>1</v>
      </c>
      <c r="U2726" s="460" t="s">
        <v>1139</v>
      </c>
      <c r="V2726" s="475">
        <v>0</v>
      </c>
      <c r="W2726" s="463" t="s">
        <v>713</v>
      </c>
      <c r="X2726" s="463" t="s">
        <v>713</v>
      </c>
      <c r="Y2726" s="463" t="s">
        <v>713</v>
      </c>
      <c r="Z2726" s="463"/>
      <c r="AA2726" s="463"/>
      <c r="AB2726" s="464">
        <v>484.97534778473886</v>
      </c>
      <c r="AC2726" s="465">
        <v>0.61345129141584109</v>
      </c>
      <c r="AD2726" s="465">
        <v>5.3697611810888E-3</v>
      </c>
      <c r="AE2726" s="476">
        <v>484.97534778473886</v>
      </c>
      <c r="AF2726" s="467">
        <v>0.61345129141584109</v>
      </c>
      <c r="AG2726" s="468">
        <v>5.3697611810888E-3</v>
      </c>
      <c r="AH2726" s="218">
        <v>484.97534778473886</v>
      </c>
      <c r="AI2726" s="470">
        <v>0.61345129141584109</v>
      </c>
      <c r="AJ2726" s="471">
        <v>5.4852532379864732E-3</v>
      </c>
      <c r="AK2726" s="218">
        <v>484.97534778473886</v>
      </c>
      <c r="AL2726" s="470">
        <v>0.61345129141584109</v>
      </c>
      <c r="AM2726" s="471">
        <v>5.4852532379864732E-3</v>
      </c>
      <c r="AN2726" s="477">
        <v>484.97534778473886</v>
      </c>
      <c r="AO2726" s="473">
        <v>0.61345129141584109</v>
      </c>
      <c r="AP2726" s="474">
        <v>5.4852532379864732E-3</v>
      </c>
      <c r="AQ2726" s="352"/>
      <c r="AR2726" s="352"/>
      <c r="AS2726" s="352"/>
      <c r="AT2726" s="352"/>
      <c r="AU2726" s="352"/>
      <c r="AV2726" s="352"/>
      <c r="AW2726" s="352" t="s">
        <v>254</v>
      </c>
    </row>
    <row r="2727" spans="2:49" x14ac:dyDescent="0.2">
      <c r="B2727" s="460" t="s">
        <v>3165</v>
      </c>
      <c r="C2727" s="460">
        <v>3111</v>
      </c>
      <c r="D2727" s="460" t="s">
        <v>2362</v>
      </c>
      <c r="E2727" s="460" t="s">
        <v>1136</v>
      </c>
      <c r="F2727" s="460">
        <v>1</v>
      </c>
      <c r="G2727" s="460">
        <v>4</v>
      </c>
      <c r="H2727" s="461" t="s">
        <v>746</v>
      </c>
      <c r="I2727" s="461" t="s">
        <v>762</v>
      </c>
      <c r="J2727" s="461" t="s">
        <v>700</v>
      </c>
      <c r="K2727" s="594"/>
      <c r="L2727" s="594"/>
      <c r="M2727" s="352">
        <v>3000</v>
      </c>
      <c r="N2727" s="352" t="s">
        <v>709</v>
      </c>
      <c r="O2727" s="460">
        <v>3111</v>
      </c>
      <c r="P2727" s="460" t="s">
        <v>763</v>
      </c>
      <c r="Q2727" s="460" t="s">
        <v>2553</v>
      </c>
      <c r="R2727" s="460">
        <v>3111</v>
      </c>
      <c r="S2727" s="460" t="s">
        <v>1136</v>
      </c>
      <c r="T2727" s="462">
        <v>1</v>
      </c>
      <c r="U2727" s="460" t="s">
        <v>1136</v>
      </c>
      <c r="V2727" s="475">
        <v>0</v>
      </c>
      <c r="W2727" s="463" t="s">
        <v>2268</v>
      </c>
      <c r="X2727" s="463" t="s">
        <v>2268</v>
      </c>
      <c r="Y2727" s="463" t="s">
        <v>2554</v>
      </c>
      <c r="Z2727" s="463"/>
      <c r="AA2727" s="463"/>
      <c r="AB2727" s="464">
        <v>0</v>
      </c>
      <c r="AC2727" s="465">
        <v>0</v>
      </c>
      <c r="AD2727" s="465">
        <v>0</v>
      </c>
      <c r="AE2727" s="476">
        <v>0</v>
      </c>
      <c r="AF2727" s="467">
        <v>0</v>
      </c>
      <c r="AG2727" s="468">
        <v>0</v>
      </c>
      <c r="AH2727" s="218">
        <v>0</v>
      </c>
      <c r="AI2727" s="470">
        <v>0</v>
      </c>
      <c r="AJ2727" s="471">
        <v>0</v>
      </c>
      <c r="AK2727" s="218">
        <v>0</v>
      </c>
      <c r="AL2727" s="470">
        <v>0</v>
      </c>
      <c r="AM2727" s="471">
        <v>0</v>
      </c>
      <c r="AN2727" s="477">
        <v>0.18863028374115992</v>
      </c>
      <c r="AO2727" s="473">
        <v>1.0842252926117218E-3</v>
      </c>
      <c r="AP2727" s="474">
        <v>8.5081522116691735E-4</v>
      </c>
      <c r="AQ2727" s="352"/>
      <c r="AR2727" s="352"/>
      <c r="AS2727" s="352"/>
      <c r="AT2727" s="352"/>
      <c r="AU2727" s="352"/>
      <c r="AV2727" s="352"/>
      <c r="AW2727" s="352" t="s">
        <v>254</v>
      </c>
    </row>
    <row r="2728" spans="2:49" x14ac:dyDescent="0.2">
      <c r="B2728" s="460" t="s">
        <v>3166</v>
      </c>
      <c r="C2728" s="460">
        <v>3111</v>
      </c>
      <c r="D2728" s="460" t="s">
        <v>2363</v>
      </c>
      <c r="E2728" s="460" t="s">
        <v>1137</v>
      </c>
      <c r="F2728" s="460">
        <v>2</v>
      </c>
      <c r="G2728" s="460">
        <v>4</v>
      </c>
      <c r="H2728" s="461" t="s">
        <v>746</v>
      </c>
      <c r="I2728" s="461" t="s">
        <v>762</v>
      </c>
      <c r="J2728" s="461" t="s">
        <v>700</v>
      </c>
      <c r="K2728" s="594"/>
      <c r="L2728" s="594"/>
      <c r="M2728" s="352">
        <v>3000</v>
      </c>
      <c r="N2728" s="352" t="s">
        <v>709</v>
      </c>
      <c r="O2728" s="460">
        <v>3111</v>
      </c>
      <c r="P2728" s="460" t="s">
        <v>763</v>
      </c>
      <c r="Q2728" s="460" t="s">
        <v>2553</v>
      </c>
      <c r="R2728" s="460">
        <v>3111</v>
      </c>
      <c r="S2728" s="460" t="s">
        <v>1137</v>
      </c>
      <c r="T2728" s="462">
        <v>1</v>
      </c>
      <c r="U2728" s="460" t="s">
        <v>1137</v>
      </c>
      <c r="V2728" s="475">
        <v>0</v>
      </c>
      <c r="W2728" s="463" t="s">
        <v>2268</v>
      </c>
      <c r="X2728" s="463" t="s">
        <v>2268</v>
      </c>
      <c r="Y2728" s="463" t="s">
        <v>2554</v>
      </c>
      <c r="Z2728" s="463"/>
      <c r="AA2728" s="463"/>
      <c r="AB2728" s="464">
        <v>0</v>
      </c>
      <c r="AC2728" s="465">
        <v>0</v>
      </c>
      <c r="AD2728" s="465">
        <v>0</v>
      </c>
      <c r="AE2728" s="476">
        <v>0</v>
      </c>
      <c r="AF2728" s="467">
        <v>0</v>
      </c>
      <c r="AG2728" s="468">
        <v>0</v>
      </c>
      <c r="AH2728" s="218">
        <v>0</v>
      </c>
      <c r="AI2728" s="470">
        <v>0</v>
      </c>
      <c r="AJ2728" s="471">
        <v>0</v>
      </c>
      <c r="AK2728" s="218">
        <v>0</v>
      </c>
      <c r="AL2728" s="470">
        <v>0</v>
      </c>
      <c r="AM2728" s="471">
        <v>0</v>
      </c>
      <c r="AN2728" s="477">
        <v>2.3766903679247946</v>
      </c>
      <c r="AO2728" s="473">
        <v>2.879154063943669E-3</v>
      </c>
      <c r="AP2728" s="474">
        <v>6.4946290469020704E-4</v>
      </c>
      <c r="AQ2728" s="352"/>
      <c r="AR2728" s="352"/>
      <c r="AS2728" s="352"/>
      <c r="AT2728" s="352"/>
      <c r="AU2728" s="352"/>
      <c r="AV2728" s="352"/>
      <c r="AW2728" s="352" t="s">
        <v>254</v>
      </c>
    </row>
    <row r="2729" spans="2:49" x14ac:dyDescent="0.2">
      <c r="B2729" s="460" t="s">
        <v>3167</v>
      </c>
      <c r="C2729" s="460">
        <v>3111</v>
      </c>
      <c r="D2729" s="460" t="s">
        <v>2364</v>
      </c>
      <c r="E2729" s="460" t="s">
        <v>1138</v>
      </c>
      <c r="F2729" s="460">
        <v>3</v>
      </c>
      <c r="G2729" s="460">
        <v>4</v>
      </c>
      <c r="H2729" s="461" t="s">
        <v>746</v>
      </c>
      <c r="I2729" s="461" t="s">
        <v>762</v>
      </c>
      <c r="J2729" s="461" t="s">
        <v>700</v>
      </c>
      <c r="K2729" s="594"/>
      <c r="L2729" s="594"/>
      <c r="M2729" s="352">
        <v>3000</v>
      </c>
      <c r="N2729" s="352" t="s">
        <v>709</v>
      </c>
      <c r="O2729" s="460">
        <v>3111</v>
      </c>
      <c r="P2729" s="460" t="s">
        <v>763</v>
      </c>
      <c r="Q2729" s="460" t="s">
        <v>2553</v>
      </c>
      <c r="R2729" s="460">
        <v>3111</v>
      </c>
      <c r="S2729" s="460" t="s">
        <v>1138</v>
      </c>
      <c r="T2729" s="462">
        <v>1</v>
      </c>
      <c r="U2729" s="460" t="s">
        <v>1138</v>
      </c>
      <c r="V2729" s="475">
        <v>0</v>
      </c>
      <c r="W2729" s="463" t="s">
        <v>2268</v>
      </c>
      <c r="X2729" s="463" t="s">
        <v>2268</v>
      </c>
      <c r="Y2729" s="463" t="s">
        <v>2554</v>
      </c>
      <c r="Z2729" s="463"/>
      <c r="AA2729" s="463"/>
      <c r="AB2729" s="464">
        <v>0</v>
      </c>
      <c r="AC2729" s="465">
        <v>0</v>
      </c>
      <c r="AD2729" s="465">
        <v>0</v>
      </c>
      <c r="AE2729" s="476">
        <v>0</v>
      </c>
      <c r="AF2729" s="467">
        <v>0</v>
      </c>
      <c r="AG2729" s="468">
        <v>0</v>
      </c>
      <c r="AH2729" s="218">
        <v>0</v>
      </c>
      <c r="AI2729" s="470">
        <v>0</v>
      </c>
      <c r="AJ2729" s="471">
        <v>0</v>
      </c>
      <c r="AK2729" s="218">
        <v>0</v>
      </c>
      <c r="AL2729" s="470">
        <v>0</v>
      </c>
      <c r="AM2729" s="471">
        <v>0</v>
      </c>
      <c r="AN2729" s="477">
        <v>1.2791547994784316</v>
      </c>
      <c r="AO2729" s="473">
        <v>1.5207690088948271E-3</v>
      </c>
      <c r="AP2729" s="474">
        <v>6.6206365805984984E-4</v>
      </c>
      <c r="AQ2729" s="352"/>
      <c r="AR2729" s="352"/>
      <c r="AS2729" s="352"/>
      <c r="AT2729" s="352"/>
      <c r="AU2729" s="352"/>
      <c r="AV2729" s="352"/>
      <c r="AW2729" s="352" t="s">
        <v>254</v>
      </c>
    </row>
    <row r="2730" spans="2:49" x14ac:dyDescent="0.2">
      <c r="B2730" s="460" t="s">
        <v>3168</v>
      </c>
      <c r="C2730" s="460">
        <v>3111</v>
      </c>
      <c r="D2730" s="460" t="s">
        <v>2365</v>
      </c>
      <c r="E2730" s="460" t="s">
        <v>1139</v>
      </c>
      <c r="F2730" s="460">
        <v>4</v>
      </c>
      <c r="G2730" s="460">
        <v>4</v>
      </c>
      <c r="H2730" s="461" t="s">
        <v>746</v>
      </c>
      <c r="I2730" s="461" t="s">
        <v>762</v>
      </c>
      <c r="J2730" s="461" t="s">
        <v>700</v>
      </c>
      <c r="K2730" s="594"/>
      <c r="L2730" s="594"/>
      <c r="M2730" s="352">
        <v>3000</v>
      </c>
      <c r="N2730" s="352" t="s">
        <v>709</v>
      </c>
      <c r="O2730" s="460">
        <v>3111</v>
      </c>
      <c r="P2730" s="460" t="s">
        <v>763</v>
      </c>
      <c r="Q2730" s="460" t="s">
        <v>2553</v>
      </c>
      <c r="R2730" s="460">
        <v>3111</v>
      </c>
      <c r="S2730" s="460" t="s">
        <v>1139</v>
      </c>
      <c r="T2730" s="462">
        <v>1</v>
      </c>
      <c r="U2730" s="460" t="s">
        <v>1139</v>
      </c>
      <c r="V2730" s="475">
        <v>0</v>
      </c>
      <c r="W2730" s="463" t="s">
        <v>2268</v>
      </c>
      <c r="X2730" s="463" t="s">
        <v>2268</v>
      </c>
      <c r="Y2730" s="463" t="s">
        <v>2554</v>
      </c>
      <c r="Z2730" s="463"/>
      <c r="AA2730" s="463"/>
      <c r="AB2730" s="464">
        <v>0</v>
      </c>
      <c r="AC2730" s="465">
        <v>0</v>
      </c>
      <c r="AD2730" s="465">
        <v>0</v>
      </c>
      <c r="AE2730" s="476">
        <v>0</v>
      </c>
      <c r="AF2730" s="467">
        <v>0</v>
      </c>
      <c r="AG2730" s="468">
        <v>0</v>
      </c>
      <c r="AH2730" s="218">
        <v>0</v>
      </c>
      <c r="AI2730" s="470">
        <v>0</v>
      </c>
      <c r="AJ2730" s="471">
        <v>0</v>
      </c>
      <c r="AK2730" s="218">
        <v>0</v>
      </c>
      <c r="AL2730" s="470">
        <v>0</v>
      </c>
      <c r="AM2730" s="471">
        <v>0</v>
      </c>
      <c r="AN2730" s="477">
        <v>0</v>
      </c>
      <c r="AO2730" s="473">
        <v>0</v>
      </c>
      <c r="AP2730" s="474">
        <v>0</v>
      </c>
      <c r="AQ2730" s="352"/>
      <c r="AR2730" s="352"/>
      <c r="AS2730" s="352"/>
      <c r="AT2730" s="352"/>
      <c r="AU2730" s="352"/>
      <c r="AV2730" s="352"/>
      <c r="AW2730" s="352" t="s">
        <v>254</v>
      </c>
    </row>
    <row r="2731" spans="2:49" x14ac:dyDescent="0.2">
      <c r="B2731" s="460" t="s">
        <v>3165</v>
      </c>
      <c r="C2731" s="460">
        <v>3111</v>
      </c>
      <c r="D2731" s="460" t="s">
        <v>2366</v>
      </c>
      <c r="E2731" s="460" t="s">
        <v>1136</v>
      </c>
      <c r="F2731" s="460">
        <v>1</v>
      </c>
      <c r="G2731" s="460">
        <v>4</v>
      </c>
      <c r="H2731" s="461" t="s">
        <v>748</v>
      </c>
      <c r="I2731" s="461" t="s">
        <v>765</v>
      </c>
      <c r="J2731" s="461" t="s">
        <v>700</v>
      </c>
      <c r="K2731" s="594"/>
      <c r="L2731" s="594"/>
      <c r="M2731" s="352">
        <v>3000</v>
      </c>
      <c r="N2731" s="352" t="s">
        <v>709</v>
      </c>
      <c r="O2731" s="460">
        <v>3111</v>
      </c>
      <c r="P2731" s="460" t="s">
        <v>763</v>
      </c>
      <c r="Q2731" s="460" t="s">
        <v>2553</v>
      </c>
      <c r="R2731" s="460">
        <v>3111</v>
      </c>
      <c r="S2731" s="460" t="s">
        <v>1136</v>
      </c>
      <c r="T2731" s="462">
        <v>1</v>
      </c>
      <c r="U2731" s="460" t="s">
        <v>1136</v>
      </c>
      <c r="V2731" s="475">
        <v>0</v>
      </c>
      <c r="W2731" s="463" t="s">
        <v>2268</v>
      </c>
      <c r="X2731" s="463" t="s">
        <v>2268</v>
      </c>
      <c r="Y2731" s="463" t="s">
        <v>2554</v>
      </c>
      <c r="Z2731" s="463"/>
      <c r="AA2731" s="463"/>
      <c r="AB2731" s="464">
        <v>0</v>
      </c>
      <c r="AC2731" s="465">
        <v>0</v>
      </c>
      <c r="AD2731" s="465">
        <v>0</v>
      </c>
      <c r="AE2731" s="476">
        <v>0</v>
      </c>
      <c r="AF2731" s="467">
        <v>0</v>
      </c>
      <c r="AG2731" s="468">
        <v>0</v>
      </c>
      <c r="AH2731" s="218">
        <v>0</v>
      </c>
      <c r="AI2731" s="470">
        <v>0</v>
      </c>
      <c r="AJ2731" s="471">
        <v>0</v>
      </c>
      <c r="AK2731" s="218">
        <v>0</v>
      </c>
      <c r="AL2731" s="470">
        <v>0</v>
      </c>
      <c r="AM2731" s="471">
        <v>0</v>
      </c>
      <c r="AN2731" s="477">
        <v>0.94315141870579988</v>
      </c>
      <c r="AO2731" s="473">
        <v>5.4211264630586106E-3</v>
      </c>
      <c r="AP2731" s="474">
        <v>1.1588007765895199E-3</v>
      </c>
      <c r="AQ2731" s="352"/>
      <c r="AR2731" s="352"/>
      <c r="AS2731" s="352"/>
      <c r="AT2731" s="352"/>
      <c r="AU2731" s="352"/>
      <c r="AV2731" s="352"/>
      <c r="AW2731" s="352" t="s">
        <v>254</v>
      </c>
    </row>
    <row r="2732" spans="2:49" x14ac:dyDescent="0.2">
      <c r="B2732" s="460" t="s">
        <v>3166</v>
      </c>
      <c r="C2732" s="460">
        <v>3111</v>
      </c>
      <c r="D2732" s="460" t="s">
        <v>2367</v>
      </c>
      <c r="E2732" s="460" t="s">
        <v>1137</v>
      </c>
      <c r="F2732" s="460">
        <v>2</v>
      </c>
      <c r="G2732" s="460">
        <v>4</v>
      </c>
      <c r="H2732" s="461" t="s">
        <v>748</v>
      </c>
      <c r="I2732" s="461" t="s">
        <v>765</v>
      </c>
      <c r="J2732" s="461" t="s">
        <v>700</v>
      </c>
      <c r="K2732" s="594"/>
      <c r="L2732" s="594"/>
      <c r="M2732" s="352">
        <v>3000</v>
      </c>
      <c r="N2732" s="352" t="s">
        <v>709</v>
      </c>
      <c r="O2732" s="460">
        <v>3111</v>
      </c>
      <c r="P2732" s="460" t="s">
        <v>763</v>
      </c>
      <c r="Q2732" s="460" t="s">
        <v>2553</v>
      </c>
      <c r="R2732" s="460">
        <v>3111</v>
      </c>
      <c r="S2732" s="460" t="s">
        <v>1137</v>
      </c>
      <c r="T2732" s="462">
        <v>1</v>
      </c>
      <c r="U2732" s="460" t="s">
        <v>1137</v>
      </c>
      <c r="V2732" s="475">
        <v>0</v>
      </c>
      <c r="W2732" s="463" t="s">
        <v>2268</v>
      </c>
      <c r="X2732" s="463" t="s">
        <v>2268</v>
      </c>
      <c r="Y2732" s="463" t="s">
        <v>2554</v>
      </c>
      <c r="Z2732" s="463"/>
      <c r="AA2732" s="463"/>
      <c r="AB2732" s="464">
        <v>0</v>
      </c>
      <c r="AC2732" s="465">
        <v>0</v>
      </c>
      <c r="AD2732" s="465">
        <v>0</v>
      </c>
      <c r="AE2732" s="476">
        <v>0</v>
      </c>
      <c r="AF2732" s="467">
        <v>0</v>
      </c>
      <c r="AG2732" s="468">
        <v>0</v>
      </c>
      <c r="AH2732" s="218">
        <v>0</v>
      </c>
      <c r="AI2732" s="470">
        <v>0</v>
      </c>
      <c r="AJ2732" s="471">
        <v>0</v>
      </c>
      <c r="AK2732" s="218">
        <v>0</v>
      </c>
      <c r="AL2732" s="470">
        <v>0</v>
      </c>
      <c r="AM2732" s="471">
        <v>0</v>
      </c>
      <c r="AN2732" s="477">
        <v>11.883451839623977</v>
      </c>
      <c r="AO2732" s="473">
        <v>1.4395770319718348E-2</v>
      </c>
      <c r="AP2732" s="474">
        <v>1.144627255200995E-2</v>
      </c>
      <c r="AQ2732" s="352"/>
      <c r="AR2732" s="352"/>
      <c r="AS2732" s="352"/>
      <c r="AT2732" s="352"/>
      <c r="AU2732" s="352"/>
      <c r="AV2732" s="352"/>
      <c r="AW2732" s="352" t="s">
        <v>254</v>
      </c>
    </row>
    <row r="2733" spans="2:49" x14ac:dyDescent="0.2">
      <c r="B2733" s="460" t="s">
        <v>3167</v>
      </c>
      <c r="C2733" s="460">
        <v>3111</v>
      </c>
      <c r="D2733" s="460" t="s">
        <v>2368</v>
      </c>
      <c r="E2733" s="460" t="s">
        <v>1138</v>
      </c>
      <c r="F2733" s="460">
        <v>3</v>
      </c>
      <c r="G2733" s="460">
        <v>4</v>
      </c>
      <c r="H2733" s="461" t="s">
        <v>748</v>
      </c>
      <c r="I2733" s="461" t="s">
        <v>765</v>
      </c>
      <c r="J2733" s="461" t="s">
        <v>700</v>
      </c>
      <c r="K2733" s="594"/>
      <c r="L2733" s="594"/>
      <c r="M2733" s="352">
        <v>3000</v>
      </c>
      <c r="N2733" s="352" t="s">
        <v>709</v>
      </c>
      <c r="O2733" s="460">
        <v>3111</v>
      </c>
      <c r="P2733" s="460" t="s">
        <v>763</v>
      </c>
      <c r="Q2733" s="460" t="s">
        <v>2553</v>
      </c>
      <c r="R2733" s="460">
        <v>3111</v>
      </c>
      <c r="S2733" s="460" t="s">
        <v>1138</v>
      </c>
      <c r="T2733" s="462">
        <v>1</v>
      </c>
      <c r="U2733" s="460" t="s">
        <v>1138</v>
      </c>
      <c r="V2733" s="475">
        <v>0</v>
      </c>
      <c r="W2733" s="463" t="s">
        <v>2268</v>
      </c>
      <c r="X2733" s="463" t="s">
        <v>2268</v>
      </c>
      <c r="Y2733" s="463" t="s">
        <v>2554</v>
      </c>
      <c r="Z2733" s="463"/>
      <c r="AA2733" s="463"/>
      <c r="AB2733" s="464">
        <v>0</v>
      </c>
      <c r="AC2733" s="465">
        <v>0</v>
      </c>
      <c r="AD2733" s="465">
        <v>0</v>
      </c>
      <c r="AE2733" s="476">
        <v>0</v>
      </c>
      <c r="AF2733" s="467">
        <v>0</v>
      </c>
      <c r="AG2733" s="468">
        <v>0</v>
      </c>
      <c r="AH2733" s="218">
        <v>0</v>
      </c>
      <c r="AI2733" s="470">
        <v>0</v>
      </c>
      <c r="AJ2733" s="471">
        <v>0</v>
      </c>
      <c r="AK2733" s="218">
        <v>0</v>
      </c>
      <c r="AL2733" s="470">
        <v>0</v>
      </c>
      <c r="AM2733" s="471">
        <v>0</v>
      </c>
      <c r="AN2733" s="477">
        <v>6.3957739973921583</v>
      </c>
      <c r="AO2733" s="473">
        <v>7.6038450444741367E-3</v>
      </c>
      <c r="AP2733" s="474">
        <v>6.6359384810829591E-3</v>
      </c>
      <c r="AQ2733" s="352"/>
      <c r="AR2733" s="352"/>
      <c r="AS2733" s="352"/>
      <c r="AT2733" s="352"/>
      <c r="AU2733" s="352"/>
      <c r="AV2733" s="352"/>
      <c r="AW2733" s="352" t="s">
        <v>254</v>
      </c>
    </row>
    <row r="2734" spans="2:49" x14ac:dyDescent="0.2">
      <c r="B2734" s="460" t="s">
        <v>3168</v>
      </c>
      <c r="C2734" s="460">
        <v>3111</v>
      </c>
      <c r="D2734" s="460" t="s">
        <v>2369</v>
      </c>
      <c r="E2734" s="460" t="s">
        <v>1139</v>
      </c>
      <c r="F2734" s="460">
        <v>4</v>
      </c>
      <c r="G2734" s="460">
        <v>4</v>
      </c>
      <c r="H2734" s="461" t="s">
        <v>748</v>
      </c>
      <c r="I2734" s="461" t="s">
        <v>765</v>
      </c>
      <c r="J2734" s="461" t="s">
        <v>700</v>
      </c>
      <c r="K2734" s="594"/>
      <c r="L2734" s="594"/>
      <c r="M2734" s="352">
        <v>3000</v>
      </c>
      <c r="N2734" s="352" t="s">
        <v>709</v>
      </c>
      <c r="O2734" s="460">
        <v>3111</v>
      </c>
      <c r="P2734" s="460" t="s">
        <v>763</v>
      </c>
      <c r="Q2734" s="460" t="s">
        <v>2553</v>
      </c>
      <c r="R2734" s="460">
        <v>3111</v>
      </c>
      <c r="S2734" s="460" t="s">
        <v>1139</v>
      </c>
      <c r="T2734" s="462">
        <v>1</v>
      </c>
      <c r="U2734" s="460" t="s">
        <v>1139</v>
      </c>
      <c r="V2734" s="475">
        <v>0</v>
      </c>
      <c r="W2734" s="463" t="s">
        <v>2268</v>
      </c>
      <c r="X2734" s="463" t="s">
        <v>2268</v>
      </c>
      <c r="Y2734" s="463" t="s">
        <v>2554</v>
      </c>
      <c r="Z2734" s="463"/>
      <c r="AA2734" s="463"/>
      <c r="AB2734" s="464">
        <v>0</v>
      </c>
      <c r="AC2734" s="465">
        <v>0</v>
      </c>
      <c r="AD2734" s="465">
        <v>0</v>
      </c>
      <c r="AE2734" s="476">
        <v>0</v>
      </c>
      <c r="AF2734" s="467">
        <v>0</v>
      </c>
      <c r="AG2734" s="468">
        <v>0</v>
      </c>
      <c r="AH2734" s="218">
        <v>0</v>
      </c>
      <c r="AI2734" s="470">
        <v>0</v>
      </c>
      <c r="AJ2734" s="471">
        <v>0</v>
      </c>
      <c r="AK2734" s="218">
        <v>0</v>
      </c>
      <c r="AL2734" s="470">
        <v>0</v>
      </c>
      <c r="AM2734" s="471">
        <v>0</v>
      </c>
      <c r="AN2734" s="477">
        <v>0</v>
      </c>
      <c r="AO2734" s="473">
        <v>0</v>
      </c>
      <c r="AP2734" s="474">
        <v>0</v>
      </c>
      <c r="AQ2734" s="352"/>
      <c r="AR2734" s="352"/>
      <c r="AS2734" s="352"/>
      <c r="AT2734" s="352"/>
      <c r="AU2734" s="352"/>
      <c r="AV2734" s="352"/>
      <c r="AW2734" s="352" t="s">
        <v>254</v>
      </c>
    </row>
    <row r="2735" spans="2:49" x14ac:dyDescent="0.2">
      <c r="B2735" s="460" t="s">
        <v>3173</v>
      </c>
      <c r="C2735" s="460">
        <v>3111</v>
      </c>
      <c r="D2735" s="460" t="s">
        <v>2375</v>
      </c>
      <c r="E2735" s="460" t="s">
        <v>2376</v>
      </c>
      <c r="F2735" s="460">
        <v>1</v>
      </c>
      <c r="G2735" s="460">
        <v>5</v>
      </c>
      <c r="H2735" s="461" t="s">
        <v>754</v>
      </c>
      <c r="I2735" s="461" t="s">
        <v>1991</v>
      </c>
      <c r="J2735" s="461" t="s">
        <v>754</v>
      </c>
      <c r="K2735" s="594"/>
      <c r="L2735" s="594"/>
      <c r="M2735" s="352">
        <v>3000</v>
      </c>
      <c r="N2735" s="352" t="s">
        <v>709</v>
      </c>
      <c r="O2735" s="460">
        <v>3111</v>
      </c>
      <c r="P2735" s="460" t="s">
        <v>763</v>
      </c>
      <c r="Q2735" s="460" t="s">
        <v>2377</v>
      </c>
      <c r="R2735" s="460">
        <v>3111</v>
      </c>
      <c r="S2735" s="460" t="s">
        <v>2376</v>
      </c>
      <c r="T2735" s="462">
        <v>1</v>
      </c>
      <c r="U2735" s="460" t="s">
        <v>2376</v>
      </c>
      <c r="V2735" s="475">
        <v>0</v>
      </c>
      <c r="W2735" s="463" t="s">
        <v>2278</v>
      </c>
      <c r="X2735" s="463" t="s">
        <v>2278</v>
      </c>
      <c r="Y2735" s="463" t="s">
        <v>2278</v>
      </c>
      <c r="Z2735" s="463"/>
      <c r="AA2735" s="463"/>
      <c r="AB2735" s="464">
        <v>454.59128568442583</v>
      </c>
      <c r="AC2735" s="465">
        <v>1</v>
      </c>
      <c r="AD2735" s="465">
        <v>7.6421560928678601E-4</v>
      </c>
      <c r="AE2735" s="476">
        <v>454.59128568442583</v>
      </c>
      <c r="AF2735" s="467">
        <v>1</v>
      </c>
      <c r="AG2735" s="468">
        <v>7.6421560928678601E-4</v>
      </c>
      <c r="AH2735" s="218">
        <v>454.59128568442583</v>
      </c>
      <c r="AI2735" s="470">
        <v>1</v>
      </c>
      <c r="AJ2735" s="471">
        <v>7.6421560928678601E-4</v>
      </c>
      <c r="AK2735" s="218">
        <v>454.59128568442583</v>
      </c>
      <c r="AL2735" s="470">
        <v>1</v>
      </c>
      <c r="AM2735" s="471">
        <v>7.6421560928678601E-4</v>
      </c>
      <c r="AN2735" s="477">
        <v>454.59128568442583</v>
      </c>
      <c r="AO2735" s="473">
        <v>1</v>
      </c>
      <c r="AP2735" s="474">
        <v>7.6421560928678601E-4</v>
      </c>
      <c r="AQ2735" s="352"/>
      <c r="AR2735" s="352"/>
      <c r="AS2735" s="352"/>
      <c r="AT2735" s="352"/>
      <c r="AU2735" s="352"/>
      <c r="AV2735" s="352"/>
      <c r="AW2735" s="352" t="s">
        <v>127</v>
      </c>
    </row>
    <row r="2736" spans="2:49" x14ac:dyDescent="0.2">
      <c r="B2736" s="460" t="s">
        <v>3174</v>
      </c>
      <c r="C2736" s="460">
        <v>3111</v>
      </c>
      <c r="D2736" s="460" t="s">
        <v>2379</v>
      </c>
      <c r="E2736" s="460" t="s">
        <v>2380</v>
      </c>
      <c r="F2736" s="460">
        <v>2</v>
      </c>
      <c r="G2736" s="460">
        <v>5</v>
      </c>
      <c r="H2736" s="461" t="s">
        <v>754</v>
      </c>
      <c r="I2736" s="461" t="s">
        <v>1991</v>
      </c>
      <c r="J2736" s="461" t="s">
        <v>754</v>
      </c>
      <c r="K2736" s="594"/>
      <c r="L2736" s="594"/>
      <c r="M2736" s="352">
        <v>3000</v>
      </c>
      <c r="N2736" s="352" t="s">
        <v>709</v>
      </c>
      <c r="O2736" s="460">
        <v>3111</v>
      </c>
      <c r="P2736" s="460" t="s">
        <v>763</v>
      </c>
      <c r="Q2736" s="460" t="s">
        <v>2377</v>
      </c>
      <c r="R2736" s="460">
        <v>3111</v>
      </c>
      <c r="S2736" s="460" t="s">
        <v>2380</v>
      </c>
      <c r="T2736" s="462">
        <v>1</v>
      </c>
      <c r="U2736" s="460" t="s">
        <v>2380</v>
      </c>
      <c r="V2736" s="475">
        <v>0</v>
      </c>
      <c r="W2736" s="463" t="s">
        <v>2278</v>
      </c>
      <c r="X2736" s="463" t="s">
        <v>2278</v>
      </c>
      <c r="Y2736" s="463" t="s">
        <v>2278</v>
      </c>
      <c r="Z2736" s="463"/>
      <c r="AA2736" s="463"/>
      <c r="AB2736" s="464">
        <v>413.20080938841738</v>
      </c>
      <c r="AC2736" s="465">
        <v>1</v>
      </c>
      <c r="AD2736" s="465">
        <v>8.1367656276766585E-4</v>
      </c>
      <c r="AE2736" s="476">
        <v>413.20080938841738</v>
      </c>
      <c r="AF2736" s="467">
        <v>1</v>
      </c>
      <c r="AG2736" s="468">
        <v>8.1367656276766585E-4</v>
      </c>
      <c r="AH2736" s="218">
        <v>413.20080938841738</v>
      </c>
      <c r="AI2736" s="470">
        <v>1</v>
      </c>
      <c r="AJ2736" s="471">
        <v>8.1367656276766585E-4</v>
      </c>
      <c r="AK2736" s="218">
        <v>413.20080938841738</v>
      </c>
      <c r="AL2736" s="470">
        <v>1</v>
      </c>
      <c r="AM2736" s="471">
        <v>8.1367656276766585E-4</v>
      </c>
      <c r="AN2736" s="477">
        <v>413.20080938841738</v>
      </c>
      <c r="AO2736" s="473">
        <v>1</v>
      </c>
      <c r="AP2736" s="474">
        <v>8.1367656276766585E-4</v>
      </c>
      <c r="AQ2736" s="352"/>
      <c r="AR2736" s="352"/>
      <c r="AS2736" s="352"/>
      <c r="AT2736" s="352"/>
      <c r="AU2736" s="352"/>
      <c r="AV2736" s="352"/>
      <c r="AW2736" s="352" t="s">
        <v>127</v>
      </c>
    </row>
    <row r="2737" spans="2:49" x14ac:dyDescent="0.2">
      <c r="B2737" s="460" t="s">
        <v>3175</v>
      </c>
      <c r="C2737" s="460">
        <v>3111</v>
      </c>
      <c r="D2737" s="460" t="s">
        <v>2382</v>
      </c>
      <c r="E2737" s="460" t="s">
        <v>2383</v>
      </c>
      <c r="F2737" s="460">
        <v>3</v>
      </c>
      <c r="G2737" s="460">
        <v>5</v>
      </c>
      <c r="H2737" s="461" t="s">
        <v>754</v>
      </c>
      <c r="I2737" s="461" t="s">
        <v>1991</v>
      </c>
      <c r="J2737" s="461" t="s">
        <v>754</v>
      </c>
      <c r="K2737" s="594"/>
      <c r="L2737" s="594"/>
      <c r="M2737" s="352">
        <v>3000</v>
      </c>
      <c r="N2737" s="352" t="s">
        <v>709</v>
      </c>
      <c r="O2737" s="460">
        <v>3111</v>
      </c>
      <c r="P2737" s="460" t="s">
        <v>763</v>
      </c>
      <c r="Q2737" s="460" t="s">
        <v>2377</v>
      </c>
      <c r="R2737" s="460">
        <v>3111</v>
      </c>
      <c r="S2737" s="460" t="s">
        <v>2383</v>
      </c>
      <c r="T2737" s="462">
        <v>1</v>
      </c>
      <c r="U2737" s="460" t="s">
        <v>2383</v>
      </c>
      <c r="V2737" s="475">
        <v>0</v>
      </c>
      <c r="W2737" s="463" t="s">
        <v>2278</v>
      </c>
      <c r="X2737" s="463" t="s">
        <v>2278</v>
      </c>
      <c r="Y2737" s="463" t="s">
        <v>2278</v>
      </c>
      <c r="Z2737" s="463"/>
      <c r="AA2737" s="463"/>
      <c r="AB2737" s="464">
        <v>51.246102290833171</v>
      </c>
      <c r="AC2737" s="465">
        <v>1</v>
      </c>
      <c r="AD2737" s="465">
        <v>4.5550908358359311E-4</v>
      </c>
      <c r="AE2737" s="476">
        <v>51.246102290833171</v>
      </c>
      <c r="AF2737" s="467">
        <v>1</v>
      </c>
      <c r="AG2737" s="468">
        <v>4.5550908358359311E-4</v>
      </c>
      <c r="AH2737" s="218">
        <v>51.246102290833171</v>
      </c>
      <c r="AI2737" s="470">
        <v>1</v>
      </c>
      <c r="AJ2737" s="471">
        <v>4.5550908358359311E-4</v>
      </c>
      <c r="AK2737" s="218">
        <v>51.246102290833171</v>
      </c>
      <c r="AL2737" s="470">
        <v>1</v>
      </c>
      <c r="AM2737" s="471">
        <v>4.5550908358359311E-4</v>
      </c>
      <c r="AN2737" s="477">
        <v>51.246102290833171</v>
      </c>
      <c r="AO2737" s="473">
        <v>1</v>
      </c>
      <c r="AP2737" s="474">
        <v>4.5550908358359311E-4</v>
      </c>
      <c r="AQ2737" s="352"/>
      <c r="AR2737" s="352"/>
      <c r="AS2737" s="352"/>
      <c r="AT2737" s="352"/>
      <c r="AU2737" s="352"/>
      <c r="AV2737" s="352"/>
      <c r="AW2737" s="352" t="s">
        <v>127</v>
      </c>
    </row>
    <row r="2738" spans="2:49" x14ac:dyDescent="0.2">
      <c r="B2738" s="460" t="s">
        <v>3176</v>
      </c>
      <c r="C2738" s="460">
        <v>3111</v>
      </c>
      <c r="D2738" s="460" t="s">
        <v>2385</v>
      </c>
      <c r="E2738" s="460" t="s">
        <v>2386</v>
      </c>
      <c r="F2738" s="460">
        <v>4</v>
      </c>
      <c r="G2738" s="460">
        <v>5</v>
      </c>
      <c r="H2738" s="461" t="s">
        <v>754</v>
      </c>
      <c r="I2738" s="461" t="s">
        <v>1991</v>
      </c>
      <c r="J2738" s="461" t="s">
        <v>754</v>
      </c>
      <c r="K2738" s="594"/>
      <c r="L2738" s="594"/>
      <c r="M2738" s="352">
        <v>3000</v>
      </c>
      <c r="N2738" s="352" t="s">
        <v>709</v>
      </c>
      <c r="O2738" s="460">
        <v>3111</v>
      </c>
      <c r="P2738" s="460" t="s">
        <v>763</v>
      </c>
      <c r="Q2738" s="460" t="s">
        <v>2377</v>
      </c>
      <c r="R2738" s="460">
        <v>3111</v>
      </c>
      <c r="S2738" s="460" t="s">
        <v>2386</v>
      </c>
      <c r="T2738" s="462">
        <v>1</v>
      </c>
      <c r="U2738" s="460" t="s">
        <v>2386</v>
      </c>
      <c r="V2738" s="475">
        <v>0</v>
      </c>
      <c r="W2738" s="463" t="s">
        <v>2278</v>
      </c>
      <c r="X2738" s="463" t="s">
        <v>2278</v>
      </c>
      <c r="Y2738" s="463" t="s">
        <v>2278</v>
      </c>
      <c r="Z2738" s="463"/>
      <c r="AA2738" s="463"/>
      <c r="AB2738" s="464">
        <v>1.9269880307683014</v>
      </c>
      <c r="AC2738" s="465">
        <v>1</v>
      </c>
      <c r="AD2738" s="465">
        <v>3.5747049107237172E-5</v>
      </c>
      <c r="AE2738" s="476">
        <v>1.9269880307683014</v>
      </c>
      <c r="AF2738" s="467">
        <v>1</v>
      </c>
      <c r="AG2738" s="468">
        <v>3.5747049107237172E-5</v>
      </c>
      <c r="AH2738" s="218">
        <v>1.9269880307683014</v>
      </c>
      <c r="AI2738" s="470">
        <v>1</v>
      </c>
      <c r="AJ2738" s="471">
        <v>3.5747049107237172E-5</v>
      </c>
      <c r="AK2738" s="218">
        <v>1.9269880307683014</v>
      </c>
      <c r="AL2738" s="470">
        <v>1</v>
      </c>
      <c r="AM2738" s="471">
        <v>3.5747049107237172E-5</v>
      </c>
      <c r="AN2738" s="477">
        <v>1.9269880307683014</v>
      </c>
      <c r="AO2738" s="473">
        <v>1</v>
      </c>
      <c r="AP2738" s="474">
        <v>3.5747049107237172E-5</v>
      </c>
      <c r="AQ2738" s="352"/>
      <c r="AR2738" s="352"/>
      <c r="AS2738" s="352"/>
      <c r="AT2738" s="352"/>
      <c r="AU2738" s="352"/>
      <c r="AV2738" s="352"/>
      <c r="AW2738" s="352" t="s">
        <v>127</v>
      </c>
    </row>
    <row r="2739" spans="2:49" x14ac:dyDescent="0.2">
      <c r="B2739" s="460" t="s">
        <v>3177</v>
      </c>
      <c r="C2739" s="460">
        <v>3111</v>
      </c>
      <c r="D2739" s="460" t="s">
        <v>2388</v>
      </c>
      <c r="E2739" s="460" t="s">
        <v>2389</v>
      </c>
      <c r="F2739" s="460">
        <v>1</v>
      </c>
      <c r="G2739" s="460">
        <v>6</v>
      </c>
      <c r="H2739" s="461" t="s">
        <v>754</v>
      </c>
      <c r="I2739" s="461" t="s">
        <v>1991</v>
      </c>
      <c r="J2739" s="461" t="s">
        <v>754</v>
      </c>
      <c r="K2739" s="594"/>
      <c r="L2739" s="594"/>
      <c r="M2739" s="352">
        <v>3000</v>
      </c>
      <c r="N2739" s="352" t="s">
        <v>709</v>
      </c>
      <c r="O2739" s="460">
        <v>3111</v>
      </c>
      <c r="P2739" s="460" t="s">
        <v>763</v>
      </c>
      <c r="Q2739" s="460" t="s">
        <v>2377</v>
      </c>
      <c r="R2739" s="460">
        <v>3111</v>
      </c>
      <c r="S2739" s="460" t="s">
        <v>2389</v>
      </c>
      <c r="T2739" s="462">
        <v>1</v>
      </c>
      <c r="U2739" s="460" t="s">
        <v>2389</v>
      </c>
      <c r="V2739" s="475">
        <v>0</v>
      </c>
      <c r="W2739" s="463" t="s">
        <v>2278</v>
      </c>
      <c r="X2739" s="463" t="s">
        <v>2278</v>
      </c>
      <c r="Y2739" s="463" t="s">
        <v>2278</v>
      </c>
      <c r="Z2739" s="463"/>
      <c r="AA2739" s="463"/>
      <c r="AB2739" s="464">
        <v>22207.68511170258</v>
      </c>
      <c r="AC2739" s="465">
        <v>1</v>
      </c>
      <c r="AD2739" s="465">
        <v>0.74243593690253151</v>
      </c>
      <c r="AE2739" s="476">
        <v>22207.68511170258</v>
      </c>
      <c r="AF2739" s="467">
        <v>1</v>
      </c>
      <c r="AG2739" s="468">
        <v>0.74243593690253151</v>
      </c>
      <c r="AH2739" s="218">
        <v>22207.68511170258</v>
      </c>
      <c r="AI2739" s="470">
        <v>1</v>
      </c>
      <c r="AJ2739" s="471">
        <v>0.74243593690253151</v>
      </c>
      <c r="AK2739" s="218">
        <v>22207.68511170258</v>
      </c>
      <c r="AL2739" s="470">
        <v>1</v>
      </c>
      <c r="AM2739" s="471">
        <v>0.74243593690253151</v>
      </c>
      <c r="AN2739" s="477">
        <v>22207.68511170258</v>
      </c>
      <c r="AO2739" s="473">
        <v>1</v>
      </c>
      <c r="AP2739" s="474">
        <v>0.74243593690253151</v>
      </c>
      <c r="AQ2739" s="352"/>
      <c r="AR2739" s="352"/>
      <c r="AS2739" s="352"/>
      <c r="AT2739" s="352"/>
      <c r="AU2739" s="352"/>
      <c r="AV2739" s="352"/>
      <c r="AW2739" s="352" t="s">
        <v>127</v>
      </c>
    </row>
    <row r="2740" spans="2:49" x14ac:dyDescent="0.2">
      <c r="B2740" s="460" t="s">
        <v>3178</v>
      </c>
      <c r="C2740" s="460">
        <v>3111</v>
      </c>
      <c r="D2740" s="460" t="s">
        <v>2391</v>
      </c>
      <c r="E2740" s="460" t="s">
        <v>2392</v>
      </c>
      <c r="F2740" s="460">
        <v>2</v>
      </c>
      <c r="G2740" s="460">
        <v>6</v>
      </c>
      <c r="H2740" s="461" t="s">
        <v>754</v>
      </c>
      <c r="I2740" s="461" t="s">
        <v>1991</v>
      </c>
      <c r="J2740" s="461" t="s">
        <v>754</v>
      </c>
      <c r="K2740" s="594"/>
      <c r="L2740" s="594"/>
      <c r="M2740" s="352">
        <v>3000</v>
      </c>
      <c r="N2740" s="352" t="s">
        <v>709</v>
      </c>
      <c r="O2740" s="460">
        <v>3111</v>
      </c>
      <c r="P2740" s="460" t="s">
        <v>763</v>
      </c>
      <c r="Q2740" s="460" t="s">
        <v>2377</v>
      </c>
      <c r="R2740" s="460">
        <v>3111</v>
      </c>
      <c r="S2740" s="460" t="s">
        <v>2392</v>
      </c>
      <c r="T2740" s="462">
        <v>1</v>
      </c>
      <c r="U2740" s="460" t="s">
        <v>2392</v>
      </c>
      <c r="V2740" s="475">
        <v>0</v>
      </c>
      <c r="W2740" s="463" t="s">
        <v>2278</v>
      </c>
      <c r="X2740" s="463" t="s">
        <v>2278</v>
      </c>
      <c r="Y2740" s="463" t="s">
        <v>2278</v>
      </c>
      <c r="Z2740" s="463"/>
      <c r="AA2740" s="463"/>
      <c r="AB2740" s="464">
        <v>16679.231790174141</v>
      </c>
      <c r="AC2740" s="465">
        <v>1</v>
      </c>
      <c r="AD2740" s="465">
        <v>0.71689446493335807</v>
      </c>
      <c r="AE2740" s="476">
        <v>16679.231790174141</v>
      </c>
      <c r="AF2740" s="467">
        <v>1</v>
      </c>
      <c r="AG2740" s="468">
        <v>0.71689446493335807</v>
      </c>
      <c r="AH2740" s="218">
        <v>16679.231790174141</v>
      </c>
      <c r="AI2740" s="470">
        <v>1</v>
      </c>
      <c r="AJ2740" s="471">
        <v>0.71689446493335807</v>
      </c>
      <c r="AK2740" s="218">
        <v>16679.231790174141</v>
      </c>
      <c r="AL2740" s="470">
        <v>1</v>
      </c>
      <c r="AM2740" s="471">
        <v>0.71689446493335807</v>
      </c>
      <c r="AN2740" s="477">
        <v>16679.231790174141</v>
      </c>
      <c r="AO2740" s="473">
        <v>1</v>
      </c>
      <c r="AP2740" s="474">
        <v>0.71689446493335807</v>
      </c>
      <c r="AQ2740" s="352"/>
      <c r="AR2740" s="352"/>
      <c r="AS2740" s="352"/>
      <c r="AT2740" s="352"/>
      <c r="AU2740" s="352"/>
      <c r="AV2740" s="352"/>
      <c r="AW2740" s="352" t="s">
        <v>127</v>
      </c>
    </row>
    <row r="2741" spans="2:49" x14ac:dyDescent="0.2">
      <c r="B2741" s="460" t="s">
        <v>3179</v>
      </c>
      <c r="C2741" s="460">
        <v>3111</v>
      </c>
      <c r="D2741" s="460" t="s">
        <v>2394</v>
      </c>
      <c r="E2741" s="460" t="s">
        <v>2395</v>
      </c>
      <c r="F2741" s="460">
        <v>3</v>
      </c>
      <c r="G2741" s="460">
        <v>6</v>
      </c>
      <c r="H2741" s="461" t="s">
        <v>754</v>
      </c>
      <c r="I2741" s="461" t="s">
        <v>1991</v>
      </c>
      <c r="J2741" s="461" t="s">
        <v>754</v>
      </c>
      <c r="K2741" s="594"/>
      <c r="L2741" s="594"/>
      <c r="M2741" s="352">
        <v>3000</v>
      </c>
      <c r="N2741" s="352" t="s">
        <v>709</v>
      </c>
      <c r="O2741" s="460">
        <v>3111</v>
      </c>
      <c r="P2741" s="460" t="s">
        <v>763</v>
      </c>
      <c r="Q2741" s="460" t="s">
        <v>2377</v>
      </c>
      <c r="R2741" s="460">
        <v>3111</v>
      </c>
      <c r="S2741" s="460" t="s">
        <v>2395</v>
      </c>
      <c r="T2741" s="462">
        <v>1</v>
      </c>
      <c r="U2741" s="460" t="s">
        <v>2395</v>
      </c>
      <c r="V2741" s="475">
        <v>0</v>
      </c>
      <c r="W2741" s="463" t="s">
        <v>2278</v>
      </c>
      <c r="X2741" s="463" t="s">
        <v>2278</v>
      </c>
      <c r="Y2741" s="463" t="s">
        <v>2278</v>
      </c>
      <c r="Z2741" s="463"/>
      <c r="AA2741" s="463"/>
      <c r="AB2741" s="464">
        <v>7305.8918478463765</v>
      </c>
      <c r="AC2741" s="465">
        <v>1</v>
      </c>
      <c r="AD2741" s="465">
        <v>0.69378932255002912</v>
      </c>
      <c r="AE2741" s="476">
        <v>7305.8918478463765</v>
      </c>
      <c r="AF2741" s="467">
        <v>1</v>
      </c>
      <c r="AG2741" s="468">
        <v>0.69378932255002912</v>
      </c>
      <c r="AH2741" s="218">
        <v>7305.8918478463765</v>
      </c>
      <c r="AI2741" s="470">
        <v>1</v>
      </c>
      <c r="AJ2741" s="471">
        <v>0.69378932255002912</v>
      </c>
      <c r="AK2741" s="218">
        <v>7305.8918478463765</v>
      </c>
      <c r="AL2741" s="470">
        <v>1</v>
      </c>
      <c r="AM2741" s="471">
        <v>0.69378932255002912</v>
      </c>
      <c r="AN2741" s="477">
        <v>7305.8918478463765</v>
      </c>
      <c r="AO2741" s="473">
        <v>1</v>
      </c>
      <c r="AP2741" s="474">
        <v>0.69378932255002912</v>
      </c>
      <c r="AQ2741" s="352"/>
      <c r="AR2741" s="352"/>
      <c r="AS2741" s="352"/>
      <c r="AT2741" s="352"/>
      <c r="AU2741" s="352"/>
      <c r="AV2741" s="352"/>
      <c r="AW2741" s="352" t="s">
        <v>127</v>
      </c>
    </row>
    <row r="2742" spans="2:49" x14ac:dyDescent="0.2">
      <c r="B2742" s="460" t="s">
        <v>3180</v>
      </c>
      <c r="C2742" s="460">
        <v>3111</v>
      </c>
      <c r="D2742" s="460" t="s">
        <v>2397</v>
      </c>
      <c r="E2742" s="460" t="s">
        <v>2398</v>
      </c>
      <c r="F2742" s="460">
        <v>4</v>
      </c>
      <c r="G2742" s="460">
        <v>6</v>
      </c>
      <c r="H2742" s="461" t="s">
        <v>754</v>
      </c>
      <c r="I2742" s="461" t="s">
        <v>1991</v>
      </c>
      <c r="J2742" s="461" t="s">
        <v>754</v>
      </c>
      <c r="K2742" s="594"/>
      <c r="L2742" s="594"/>
      <c r="M2742" s="352">
        <v>3000</v>
      </c>
      <c r="N2742" s="352" t="s">
        <v>709</v>
      </c>
      <c r="O2742" s="460">
        <v>3111</v>
      </c>
      <c r="P2742" s="460" t="s">
        <v>763</v>
      </c>
      <c r="Q2742" s="460" t="s">
        <v>2377</v>
      </c>
      <c r="R2742" s="460">
        <v>3111</v>
      </c>
      <c r="S2742" s="460" t="s">
        <v>2398</v>
      </c>
      <c r="T2742" s="462">
        <v>1</v>
      </c>
      <c r="U2742" s="460" t="s">
        <v>2398</v>
      </c>
      <c r="V2742" s="475">
        <v>0</v>
      </c>
      <c r="W2742" s="463" t="s">
        <v>2278</v>
      </c>
      <c r="X2742" s="463" t="s">
        <v>2278</v>
      </c>
      <c r="Y2742" s="463" t="s">
        <v>2278</v>
      </c>
      <c r="Z2742" s="463"/>
      <c r="AA2742" s="463"/>
      <c r="AB2742" s="464">
        <v>7810.2803582838342</v>
      </c>
      <c r="AC2742" s="465">
        <v>1</v>
      </c>
      <c r="AD2742" s="465">
        <v>0.61966956080090141</v>
      </c>
      <c r="AE2742" s="476">
        <v>7810.2803582838342</v>
      </c>
      <c r="AF2742" s="467">
        <v>1</v>
      </c>
      <c r="AG2742" s="468">
        <v>0.61966956080090141</v>
      </c>
      <c r="AH2742" s="218">
        <v>7810.2803582838342</v>
      </c>
      <c r="AI2742" s="470">
        <v>1</v>
      </c>
      <c r="AJ2742" s="471">
        <v>0.61966956080090141</v>
      </c>
      <c r="AK2742" s="218">
        <v>7810.2803582838342</v>
      </c>
      <c r="AL2742" s="470">
        <v>1</v>
      </c>
      <c r="AM2742" s="471">
        <v>0.61966956080090141</v>
      </c>
      <c r="AN2742" s="477">
        <v>7810.2803582838342</v>
      </c>
      <c r="AO2742" s="473">
        <v>1</v>
      </c>
      <c r="AP2742" s="474">
        <v>0.61966956080090141</v>
      </c>
      <c r="AQ2742" s="352"/>
      <c r="AR2742" s="352"/>
      <c r="AS2742" s="352"/>
      <c r="AT2742" s="352"/>
      <c r="AU2742" s="352"/>
      <c r="AV2742" s="352"/>
      <c r="AW2742" s="352" t="s">
        <v>127</v>
      </c>
    </row>
    <row r="2743" spans="2:49" x14ac:dyDescent="0.2">
      <c r="B2743" s="460" t="s">
        <v>3181</v>
      </c>
      <c r="C2743" s="460">
        <v>3121</v>
      </c>
      <c r="D2743" s="460" t="s">
        <v>2264</v>
      </c>
      <c r="E2743" s="460" t="s">
        <v>2265</v>
      </c>
      <c r="F2743" s="460">
        <v>1</v>
      </c>
      <c r="G2743" s="460">
        <v>1</v>
      </c>
      <c r="H2743" s="461" t="s">
        <v>700</v>
      </c>
      <c r="I2743" s="461" t="s">
        <v>872</v>
      </c>
      <c r="J2743" s="461" t="s">
        <v>700</v>
      </c>
      <c r="K2743" s="594"/>
      <c r="L2743" s="594"/>
      <c r="M2743" s="352">
        <v>3000</v>
      </c>
      <c r="N2743" s="352" t="s">
        <v>709</v>
      </c>
      <c r="O2743" s="460">
        <v>3121</v>
      </c>
      <c r="P2743" s="460" t="s">
        <v>766</v>
      </c>
      <c r="Q2743" s="460" t="s">
        <v>2553</v>
      </c>
      <c r="R2743" s="460">
        <v>3121</v>
      </c>
      <c r="S2743" s="460" t="s">
        <v>2265</v>
      </c>
      <c r="T2743" s="462">
        <v>1</v>
      </c>
      <c r="U2743" s="460" t="s">
        <v>2265</v>
      </c>
      <c r="V2743" s="475">
        <v>0</v>
      </c>
      <c r="W2743" s="463" t="s">
        <v>2554</v>
      </c>
      <c r="X2743" s="463" t="s">
        <v>2554</v>
      </c>
      <c r="Y2743" s="463" t="s">
        <v>2268</v>
      </c>
      <c r="Z2743" s="463"/>
      <c r="AA2743" s="463"/>
      <c r="AB2743" s="464">
        <v>702.39782047094604</v>
      </c>
      <c r="AC2743" s="465">
        <v>3.4821420051565855E-2</v>
      </c>
      <c r="AD2743" s="465">
        <v>6.51364066327648E-3</v>
      </c>
      <c r="AE2743" s="476">
        <v>421.43869228256762</v>
      </c>
      <c r="AF2743" s="467">
        <v>2.0892852030939511E-2</v>
      </c>
      <c r="AG2743" s="468">
        <v>4.1747588804925823E-3</v>
      </c>
      <c r="AH2743" s="218">
        <v>421.43869228256762</v>
      </c>
      <c r="AI2743" s="470">
        <v>2.0892852030939511E-2</v>
      </c>
      <c r="AJ2743" s="471">
        <v>4.0185608801089805E-3</v>
      </c>
      <c r="AK2743" s="218">
        <v>421.43869228256762</v>
      </c>
      <c r="AL2743" s="470">
        <v>2.0892852030939511E-2</v>
      </c>
      <c r="AM2743" s="471">
        <v>4.0185608801089805E-3</v>
      </c>
      <c r="AN2743" s="477">
        <v>0</v>
      </c>
      <c r="AO2743" s="473">
        <v>0</v>
      </c>
      <c r="AP2743" s="474">
        <v>0</v>
      </c>
      <c r="AQ2743" s="352"/>
      <c r="AR2743" s="352"/>
      <c r="AS2743" s="352"/>
      <c r="AT2743" s="352"/>
      <c r="AU2743" s="352"/>
      <c r="AV2743" s="352"/>
      <c r="AW2743" s="352" t="s">
        <v>254</v>
      </c>
    </row>
    <row r="2744" spans="2:49" x14ac:dyDescent="0.2">
      <c r="B2744" s="460" t="s">
        <v>3182</v>
      </c>
      <c r="C2744" s="460">
        <v>3121</v>
      </c>
      <c r="D2744" s="460" t="s">
        <v>2270</v>
      </c>
      <c r="E2744" s="460" t="s">
        <v>2271</v>
      </c>
      <c r="F2744" s="460">
        <v>2</v>
      </c>
      <c r="G2744" s="460">
        <v>1</v>
      </c>
      <c r="H2744" s="461" t="s">
        <v>700</v>
      </c>
      <c r="I2744" s="461" t="s">
        <v>872</v>
      </c>
      <c r="J2744" s="461" t="s">
        <v>700</v>
      </c>
      <c r="K2744" s="594"/>
      <c r="L2744" s="594"/>
      <c r="M2744" s="352">
        <v>3000</v>
      </c>
      <c r="N2744" s="352" t="s">
        <v>709</v>
      </c>
      <c r="O2744" s="460">
        <v>3121</v>
      </c>
      <c r="P2744" s="460" t="s">
        <v>766</v>
      </c>
      <c r="Q2744" s="460" t="s">
        <v>2553</v>
      </c>
      <c r="R2744" s="460">
        <v>3121</v>
      </c>
      <c r="S2744" s="460" t="s">
        <v>2265</v>
      </c>
      <c r="T2744" s="462">
        <v>1</v>
      </c>
      <c r="U2744" s="460" t="s">
        <v>2271</v>
      </c>
      <c r="V2744" s="475">
        <v>0</v>
      </c>
      <c r="W2744" s="463" t="s">
        <v>2554</v>
      </c>
      <c r="X2744" s="463" t="s">
        <v>2554</v>
      </c>
      <c r="Y2744" s="463" t="s">
        <v>2268</v>
      </c>
      <c r="Z2744" s="463"/>
      <c r="AA2744" s="463"/>
      <c r="AB2744" s="464">
        <v>1039.582826878385</v>
      </c>
      <c r="AC2744" s="465">
        <v>7.9584564957759896E-2</v>
      </c>
      <c r="AD2744" s="465">
        <v>1.2897889035522116E-2</v>
      </c>
      <c r="AE2744" s="476">
        <v>623.74969612703092</v>
      </c>
      <c r="AF2744" s="467">
        <v>4.7750738974655933E-2</v>
      </c>
      <c r="AG2744" s="468">
        <v>8.3861655444324359E-3</v>
      </c>
      <c r="AH2744" s="218">
        <v>623.74969612703092</v>
      </c>
      <c r="AI2744" s="470">
        <v>4.7750738974655933E-2</v>
      </c>
      <c r="AJ2744" s="471">
        <v>7.3642380845180067E-3</v>
      </c>
      <c r="AK2744" s="218">
        <v>623.74969612703092</v>
      </c>
      <c r="AL2744" s="470">
        <v>4.7750738974655933E-2</v>
      </c>
      <c r="AM2744" s="471">
        <v>7.3642380845180067E-3</v>
      </c>
      <c r="AN2744" s="477">
        <v>0</v>
      </c>
      <c r="AO2744" s="473">
        <v>0</v>
      </c>
      <c r="AP2744" s="474">
        <v>0</v>
      </c>
      <c r="AQ2744" s="352"/>
      <c r="AR2744" s="352"/>
      <c r="AS2744" s="352"/>
      <c r="AT2744" s="352"/>
      <c r="AU2744" s="352"/>
      <c r="AV2744" s="352"/>
      <c r="AW2744" s="352" t="s">
        <v>254</v>
      </c>
    </row>
    <row r="2745" spans="2:49" x14ac:dyDescent="0.2">
      <c r="B2745" s="460" t="s">
        <v>3183</v>
      </c>
      <c r="C2745" s="460">
        <v>3121</v>
      </c>
      <c r="D2745" s="460" t="s">
        <v>2273</v>
      </c>
      <c r="E2745" s="460" t="s">
        <v>2274</v>
      </c>
      <c r="F2745" s="460">
        <v>3</v>
      </c>
      <c r="G2745" s="460">
        <v>1</v>
      </c>
      <c r="H2745" s="461" t="s">
        <v>700</v>
      </c>
      <c r="I2745" s="461" t="s">
        <v>872</v>
      </c>
      <c r="J2745" s="461" t="s">
        <v>700</v>
      </c>
      <c r="K2745" s="594"/>
      <c r="L2745" s="594"/>
      <c r="M2745" s="352">
        <v>3000</v>
      </c>
      <c r="N2745" s="352" t="s">
        <v>709</v>
      </c>
      <c r="O2745" s="460">
        <v>3121</v>
      </c>
      <c r="P2745" s="460" t="s">
        <v>766</v>
      </c>
      <c r="Q2745" s="460" t="s">
        <v>2553</v>
      </c>
      <c r="R2745" s="460">
        <v>3121</v>
      </c>
      <c r="S2745" s="460" t="s">
        <v>2265</v>
      </c>
      <c r="T2745" s="462">
        <v>0.74223365950407583</v>
      </c>
      <c r="U2745" s="460" t="s">
        <v>2274</v>
      </c>
      <c r="V2745" s="475">
        <v>0</v>
      </c>
      <c r="W2745" s="463" t="s">
        <v>2554</v>
      </c>
      <c r="X2745" s="463" t="s">
        <v>2554</v>
      </c>
      <c r="Y2745" s="463" t="s">
        <v>2268</v>
      </c>
      <c r="Z2745" s="463"/>
      <c r="AA2745" s="463"/>
      <c r="AB2745" s="464">
        <v>433.95703192980812</v>
      </c>
      <c r="AC2745" s="465">
        <v>8.3738661613940335E-2</v>
      </c>
      <c r="AD2745" s="465">
        <v>2.1467704959902637E-2</v>
      </c>
      <c r="AE2745" s="476">
        <v>260.37421915788485</v>
      </c>
      <c r="AF2745" s="467">
        <v>5.0243196968364198E-2</v>
      </c>
      <c r="AG2745" s="468">
        <v>1.3951956547928803E-2</v>
      </c>
      <c r="AH2745" s="218">
        <v>260.37421915788485</v>
      </c>
      <c r="AI2745" s="470">
        <v>5.0243196968364198E-2</v>
      </c>
      <c r="AJ2745" s="471">
        <v>1.0103583341550456E-2</v>
      </c>
      <c r="AK2745" s="218">
        <v>260.37421915788485</v>
      </c>
      <c r="AL2745" s="470">
        <v>5.0243196968364198E-2</v>
      </c>
      <c r="AM2745" s="471">
        <v>1.0103583341550456E-2</v>
      </c>
      <c r="AN2745" s="477">
        <v>0</v>
      </c>
      <c r="AO2745" s="473">
        <v>0</v>
      </c>
      <c r="AP2745" s="474">
        <v>0</v>
      </c>
      <c r="AQ2745" s="352"/>
      <c r="AR2745" s="352"/>
      <c r="AS2745" s="352"/>
      <c r="AT2745" s="352"/>
      <c r="AU2745" s="352"/>
      <c r="AV2745" s="352"/>
      <c r="AW2745" s="352" t="s">
        <v>254</v>
      </c>
    </row>
    <row r="2746" spans="2:49" x14ac:dyDescent="0.2">
      <c r="B2746" s="460" t="s">
        <v>3184</v>
      </c>
      <c r="C2746" s="460">
        <v>3121</v>
      </c>
      <c r="D2746" s="460" t="s">
        <v>2276</v>
      </c>
      <c r="E2746" s="460" t="s">
        <v>2277</v>
      </c>
      <c r="F2746" s="460">
        <v>4</v>
      </c>
      <c r="G2746" s="460">
        <v>1</v>
      </c>
      <c r="H2746" s="461" t="s">
        <v>700</v>
      </c>
      <c r="I2746" s="461" t="s">
        <v>872</v>
      </c>
      <c r="J2746" s="461" t="s">
        <v>700</v>
      </c>
      <c r="K2746" s="594"/>
      <c r="L2746" s="594"/>
      <c r="M2746" s="352">
        <v>3000</v>
      </c>
      <c r="N2746" s="352" t="s">
        <v>709</v>
      </c>
      <c r="O2746" s="460">
        <v>3121</v>
      </c>
      <c r="P2746" s="460" t="s">
        <v>766</v>
      </c>
      <c r="Q2746" s="460" t="s">
        <v>2553</v>
      </c>
      <c r="R2746" s="460">
        <v>3121</v>
      </c>
      <c r="S2746" s="460" t="s">
        <v>2277</v>
      </c>
      <c r="T2746" s="462">
        <v>1</v>
      </c>
      <c r="U2746" s="460" t="s">
        <v>2277</v>
      </c>
      <c r="V2746" s="475">
        <v>0</v>
      </c>
      <c r="W2746" s="463" t="s">
        <v>2554</v>
      </c>
      <c r="X2746" s="463" t="s">
        <v>2554</v>
      </c>
      <c r="Y2746" s="463" t="s">
        <v>2268</v>
      </c>
      <c r="Z2746" s="463"/>
      <c r="AA2746" s="463"/>
      <c r="AB2746" s="464">
        <v>5.3187783852351957</v>
      </c>
      <c r="AC2746" s="465">
        <v>1.3545176497871539E-3</v>
      </c>
      <c r="AD2746" s="465">
        <v>2.1467704959902648E-2</v>
      </c>
      <c r="AE2746" s="476">
        <v>3.1912670311411171</v>
      </c>
      <c r="AF2746" s="467">
        <v>8.127105898722923E-4</v>
      </c>
      <c r="AG2746" s="468">
        <v>1.4399857515098364E-2</v>
      </c>
      <c r="AH2746" s="218">
        <v>3.1912670311411171</v>
      </c>
      <c r="AI2746" s="470">
        <v>8.127105898722923E-4</v>
      </c>
      <c r="AJ2746" s="471">
        <v>1.3801640111841566E-2</v>
      </c>
      <c r="AK2746" s="218">
        <v>3.1912670311411171</v>
      </c>
      <c r="AL2746" s="470">
        <v>8.127105898722923E-4</v>
      </c>
      <c r="AM2746" s="471">
        <v>1.3801640111841566E-2</v>
      </c>
      <c r="AN2746" s="477">
        <v>0</v>
      </c>
      <c r="AO2746" s="473">
        <v>0</v>
      </c>
      <c r="AP2746" s="474">
        <v>0</v>
      </c>
      <c r="AQ2746" s="352"/>
      <c r="AR2746" s="352"/>
      <c r="AS2746" s="352"/>
      <c r="AT2746" s="352"/>
      <c r="AU2746" s="352"/>
      <c r="AV2746" s="352"/>
      <c r="AW2746" s="352" t="s">
        <v>254</v>
      </c>
    </row>
    <row r="2747" spans="2:49" x14ac:dyDescent="0.2">
      <c r="B2747" s="460" t="s">
        <v>3181</v>
      </c>
      <c r="C2747" s="460">
        <v>3121</v>
      </c>
      <c r="D2747" s="460" t="s">
        <v>3145</v>
      </c>
      <c r="E2747" s="460" t="s">
        <v>2265</v>
      </c>
      <c r="F2747" s="460">
        <v>1</v>
      </c>
      <c r="G2747" s="460">
        <v>1</v>
      </c>
      <c r="H2747" s="461" t="s">
        <v>706</v>
      </c>
      <c r="I2747" s="461" t="s">
        <v>707</v>
      </c>
      <c r="J2747" s="461" t="s">
        <v>706</v>
      </c>
      <c r="K2747" s="594"/>
      <c r="L2747" s="594"/>
      <c r="M2747" s="352">
        <v>3000</v>
      </c>
      <c r="N2747" s="352" t="s">
        <v>709</v>
      </c>
      <c r="O2747" s="460">
        <v>3121</v>
      </c>
      <c r="P2747" s="460" t="s">
        <v>766</v>
      </c>
      <c r="Q2747" s="460" t="s">
        <v>2266</v>
      </c>
      <c r="R2747" s="460">
        <v>3121</v>
      </c>
      <c r="S2747" s="460" t="s">
        <v>2265</v>
      </c>
      <c r="T2747" s="462">
        <v>1</v>
      </c>
      <c r="U2747" s="460" t="s">
        <v>2265</v>
      </c>
      <c r="V2747" s="475">
        <v>0</v>
      </c>
      <c r="W2747" s="463" t="s">
        <v>2267</v>
      </c>
      <c r="X2747" s="463" t="s">
        <v>2267</v>
      </c>
      <c r="Y2747" s="463" t="s">
        <v>2267</v>
      </c>
      <c r="Z2747" s="463"/>
      <c r="AA2747" s="463"/>
      <c r="AB2747" s="464">
        <v>17361.83824140358</v>
      </c>
      <c r="AC2747" s="465">
        <v>0.86071431979373669</v>
      </c>
      <c r="AD2747" s="465">
        <v>0.82000000000000006</v>
      </c>
      <c r="AE2747" s="476">
        <v>17361.83824140358</v>
      </c>
      <c r="AF2747" s="467">
        <v>0.86071431979373669</v>
      </c>
      <c r="AG2747" s="468">
        <v>0.82000000000000006</v>
      </c>
      <c r="AH2747" s="218">
        <v>17361.83824140358</v>
      </c>
      <c r="AI2747" s="470">
        <v>0.86071431979373669</v>
      </c>
      <c r="AJ2747" s="471">
        <v>0.82000000000000006</v>
      </c>
      <c r="AK2747" s="218">
        <v>17361.83824140358</v>
      </c>
      <c r="AL2747" s="470">
        <v>0.86071431979373669</v>
      </c>
      <c r="AM2747" s="471">
        <v>0.82000000000000006</v>
      </c>
      <c r="AN2747" s="477">
        <v>17361.83824140358</v>
      </c>
      <c r="AO2747" s="473">
        <v>0.86071431979373669</v>
      </c>
      <c r="AP2747" s="474">
        <v>0.82000000000000006</v>
      </c>
      <c r="AQ2747" s="352"/>
      <c r="AR2747" s="352"/>
      <c r="AS2747" s="352"/>
      <c r="AT2747" s="352"/>
      <c r="AU2747" s="352"/>
      <c r="AV2747" s="352"/>
      <c r="AW2747" s="352" t="s">
        <v>254</v>
      </c>
    </row>
    <row r="2748" spans="2:49" x14ac:dyDescent="0.2">
      <c r="B2748" s="460" t="s">
        <v>3182</v>
      </c>
      <c r="C2748" s="460">
        <v>3121</v>
      </c>
      <c r="D2748" s="460" t="s">
        <v>3146</v>
      </c>
      <c r="E2748" s="460" t="s">
        <v>2271</v>
      </c>
      <c r="F2748" s="460">
        <v>2</v>
      </c>
      <c r="G2748" s="460">
        <v>1</v>
      </c>
      <c r="H2748" s="461" t="s">
        <v>706</v>
      </c>
      <c r="I2748" s="461" t="s">
        <v>707</v>
      </c>
      <c r="J2748" s="461" t="s">
        <v>706</v>
      </c>
      <c r="K2748" s="594"/>
      <c r="L2748" s="594"/>
      <c r="M2748" s="352">
        <v>3000</v>
      </c>
      <c r="N2748" s="352" t="s">
        <v>709</v>
      </c>
      <c r="O2748" s="460">
        <v>3121</v>
      </c>
      <c r="P2748" s="460" t="s">
        <v>766</v>
      </c>
      <c r="Q2748" s="460" t="s">
        <v>2266</v>
      </c>
      <c r="R2748" s="460">
        <v>3121</v>
      </c>
      <c r="S2748" s="460" t="s">
        <v>2265</v>
      </c>
      <c r="T2748" s="462">
        <v>1</v>
      </c>
      <c r="U2748" s="460" t="s">
        <v>2271</v>
      </c>
      <c r="V2748" s="475">
        <v>0</v>
      </c>
      <c r="W2748" s="463" t="s">
        <v>2267</v>
      </c>
      <c r="X2748" s="463" t="s">
        <v>2267</v>
      </c>
      <c r="Y2748" s="463" t="s">
        <v>2267</v>
      </c>
      <c r="Z2748" s="463"/>
      <c r="AA2748" s="463"/>
      <c r="AB2748" s="464">
        <v>8904.2873978868283</v>
      </c>
      <c r="AC2748" s="465">
        <v>0.68166174016896053</v>
      </c>
      <c r="AD2748" s="465">
        <v>0.82</v>
      </c>
      <c r="AE2748" s="476">
        <v>8904.2873978868283</v>
      </c>
      <c r="AF2748" s="467">
        <v>0.68166174016896053</v>
      </c>
      <c r="AG2748" s="468">
        <v>0.82</v>
      </c>
      <c r="AH2748" s="218">
        <v>11243.182973743618</v>
      </c>
      <c r="AI2748" s="470">
        <v>0.86071431979373669</v>
      </c>
      <c r="AJ2748" s="471">
        <v>0.83521468542810406</v>
      </c>
      <c r="AK2748" s="218">
        <v>11243.182973743618</v>
      </c>
      <c r="AL2748" s="470">
        <v>0.86071431979373669</v>
      </c>
      <c r="AM2748" s="471">
        <v>0.83521468542810406</v>
      </c>
      <c r="AN2748" s="477">
        <v>11243.182973743618</v>
      </c>
      <c r="AO2748" s="473">
        <v>0.86071431979373669</v>
      </c>
      <c r="AP2748" s="474">
        <v>0.83521468542810406</v>
      </c>
      <c r="AQ2748" s="352"/>
      <c r="AR2748" s="352"/>
      <c r="AS2748" s="352"/>
      <c r="AT2748" s="352"/>
      <c r="AU2748" s="352"/>
      <c r="AV2748" s="352"/>
      <c r="AW2748" s="352" t="s">
        <v>254</v>
      </c>
    </row>
    <row r="2749" spans="2:49" x14ac:dyDescent="0.2">
      <c r="B2749" s="460" t="s">
        <v>3183</v>
      </c>
      <c r="C2749" s="460">
        <v>3121</v>
      </c>
      <c r="D2749" s="460" t="s">
        <v>3147</v>
      </c>
      <c r="E2749" s="460" t="s">
        <v>2274</v>
      </c>
      <c r="F2749" s="460">
        <v>3</v>
      </c>
      <c r="G2749" s="460">
        <v>1</v>
      </c>
      <c r="H2749" s="461" t="s">
        <v>706</v>
      </c>
      <c r="I2749" s="461" t="s">
        <v>707</v>
      </c>
      <c r="J2749" s="461" t="s">
        <v>706</v>
      </c>
      <c r="K2749" s="594"/>
      <c r="L2749" s="594"/>
      <c r="M2749" s="352">
        <v>3000</v>
      </c>
      <c r="N2749" s="352" t="s">
        <v>709</v>
      </c>
      <c r="O2749" s="460">
        <v>3121</v>
      </c>
      <c r="P2749" s="460" t="s">
        <v>766</v>
      </c>
      <c r="Q2749" s="460" t="s">
        <v>2266</v>
      </c>
      <c r="R2749" s="460">
        <v>3121</v>
      </c>
      <c r="S2749" s="460" t="s">
        <v>2265</v>
      </c>
      <c r="T2749" s="462">
        <v>0.74223365950407583</v>
      </c>
      <c r="U2749" s="460" t="s">
        <v>2274</v>
      </c>
      <c r="V2749" s="475">
        <v>0</v>
      </c>
      <c r="W2749" s="463" t="s">
        <v>2267</v>
      </c>
      <c r="X2749" s="463" t="s">
        <v>2267</v>
      </c>
      <c r="Y2749" s="463" t="s">
        <v>2267</v>
      </c>
      <c r="Z2749" s="463"/>
      <c r="AA2749" s="463"/>
      <c r="AB2749" s="464">
        <v>1720.9470657611041</v>
      </c>
      <c r="AC2749" s="465">
        <v>0.33208311743311525</v>
      </c>
      <c r="AD2749" s="465">
        <v>0.82</v>
      </c>
      <c r="AE2749" s="476">
        <v>1720.9470657611041</v>
      </c>
      <c r="AF2749" s="467">
        <v>0.33208311743311525</v>
      </c>
      <c r="AG2749" s="468">
        <v>0.82</v>
      </c>
      <c r="AH2749" s="218">
        <v>3310.7042666059288</v>
      </c>
      <c r="AI2749" s="470">
        <v>0.63885113936806659</v>
      </c>
      <c r="AJ2749" s="471">
        <v>0.73716910596237972</v>
      </c>
      <c r="AK2749" s="218">
        <v>3310.7042666059288</v>
      </c>
      <c r="AL2749" s="470">
        <v>0.63885113936806659</v>
      </c>
      <c r="AM2749" s="471">
        <v>0.73716910596237972</v>
      </c>
      <c r="AN2749" s="477">
        <v>3310.7042666059288</v>
      </c>
      <c r="AO2749" s="473">
        <v>0.63885113936806659</v>
      </c>
      <c r="AP2749" s="474">
        <v>0.73716910596237972</v>
      </c>
      <c r="AQ2749" s="352"/>
      <c r="AR2749" s="352"/>
      <c r="AS2749" s="352"/>
      <c r="AT2749" s="352"/>
      <c r="AU2749" s="352"/>
      <c r="AV2749" s="352"/>
      <c r="AW2749" s="352" t="s">
        <v>254</v>
      </c>
    </row>
    <row r="2750" spans="2:49" x14ac:dyDescent="0.2">
      <c r="B2750" s="460" t="s">
        <v>3184</v>
      </c>
      <c r="C2750" s="460">
        <v>3121</v>
      </c>
      <c r="D2750" s="460" t="s">
        <v>3148</v>
      </c>
      <c r="E2750" s="460" t="s">
        <v>2277</v>
      </c>
      <c r="F2750" s="460">
        <v>4</v>
      </c>
      <c r="G2750" s="460">
        <v>1</v>
      </c>
      <c r="H2750" s="461" t="s">
        <v>706</v>
      </c>
      <c r="I2750" s="461" t="s">
        <v>707</v>
      </c>
      <c r="J2750" s="461" t="s">
        <v>706</v>
      </c>
      <c r="K2750" s="594"/>
      <c r="L2750" s="594"/>
      <c r="M2750" s="352">
        <v>3000</v>
      </c>
      <c r="N2750" s="352" t="s">
        <v>709</v>
      </c>
      <c r="O2750" s="460">
        <v>3121</v>
      </c>
      <c r="P2750" s="460" t="s">
        <v>766</v>
      </c>
      <c r="Q2750" s="460" t="s">
        <v>2266</v>
      </c>
      <c r="R2750" s="460">
        <v>3121</v>
      </c>
      <c r="S2750" s="460" t="s">
        <v>2277</v>
      </c>
      <c r="T2750" s="462">
        <v>1</v>
      </c>
      <c r="U2750" s="460" t="s">
        <v>2277</v>
      </c>
      <c r="V2750" s="475">
        <v>0</v>
      </c>
      <c r="W2750" s="463" t="s">
        <v>2278</v>
      </c>
      <c r="X2750" s="463" t="s">
        <v>2278</v>
      </c>
      <c r="Y2750" s="463" t="s">
        <v>2278</v>
      </c>
      <c r="Z2750" s="463"/>
      <c r="AA2750" s="463"/>
      <c r="AB2750" s="464">
        <v>2.3429266177614525</v>
      </c>
      <c r="AC2750" s="465">
        <v>5.9666623161507698E-4</v>
      </c>
      <c r="AD2750" s="465">
        <v>0.82</v>
      </c>
      <c r="AE2750" s="476">
        <v>2.3429266177614525</v>
      </c>
      <c r="AF2750" s="467">
        <v>5.9666623161507698E-4</v>
      </c>
      <c r="AG2750" s="468">
        <v>0.82</v>
      </c>
      <c r="AH2750" s="218">
        <v>2.3429266177614525</v>
      </c>
      <c r="AI2750" s="470">
        <v>5.9666623161507698E-4</v>
      </c>
      <c r="AJ2750" s="471">
        <v>0.82</v>
      </c>
      <c r="AK2750" s="218">
        <v>2.3429266177614525</v>
      </c>
      <c r="AL2750" s="470">
        <v>5.9666623161507698E-4</v>
      </c>
      <c r="AM2750" s="471">
        <v>0.82</v>
      </c>
      <c r="AN2750" s="477">
        <v>2.3429266177614525</v>
      </c>
      <c r="AO2750" s="473">
        <v>5.9666623161507698E-4</v>
      </c>
      <c r="AP2750" s="474">
        <v>0.82</v>
      </c>
      <c r="AQ2750" s="352"/>
      <c r="AR2750" s="352"/>
      <c r="AS2750" s="352"/>
      <c r="AT2750" s="352"/>
      <c r="AU2750" s="352"/>
      <c r="AV2750" s="352"/>
      <c r="AW2750" s="352" t="s">
        <v>254</v>
      </c>
    </row>
    <row r="2751" spans="2:49" x14ac:dyDescent="0.2">
      <c r="B2751" s="460" t="s">
        <v>3181</v>
      </c>
      <c r="C2751" s="460">
        <v>3121</v>
      </c>
      <c r="D2751" s="460" t="s">
        <v>2279</v>
      </c>
      <c r="E2751" s="460" t="s">
        <v>2265</v>
      </c>
      <c r="F2751" s="460">
        <v>1</v>
      </c>
      <c r="G2751" s="460">
        <v>1</v>
      </c>
      <c r="H2751" s="461" t="s">
        <v>712</v>
      </c>
      <c r="I2751" s="461" t="s">
        <v>713</v>
      </c>
      <c r="J2751" s="461" t="s">
        <v>712</v>
      </c>
      <c r="K2751" s="594"/>
      <c r="L2751" s="594"/>
      <c r="M2751" s="352">
        <v>3000</v>
      </c>
      <c r="N2751" s="352" t="s">
        <v>709</v>
      </c>
      <c r="O2751" s="460">
        <v>3121</v>
      </c>
      <c r="P2751" s="460" t="s">
        <v>766</v>
      </c>
      <c r="Q2751" s="460" t="s">
        <v>2280</v>
      </c>
      <c r="R2751" s="460">
        <v>3121</v>
      </c>
      <c r="S2751" s="460" t="s">
        <v>2265</v>
      </c>
      <c r="T2751" s="462">
        <v>1</v>
      </c>
      <c r="U2751" s="460" t="s">
        <v>2265</v>
      </c>
      <c r="V2751" s="475">
        <v>0</v>
      </c>
      <c r="W2751" s="463" t="s">
        <v>713</v>
      </c>
      <c r="X2751" s="463" t="s">
        <v>713</v>
      </c>
      <c r="Y2751" s="463" t="s">
        <v>713</v>
      </c>
      <c r="Z2751" s="463"/>
      <c r="AA2751" s="463"/>
      <c r="AB2751" s="464">
        <v>2107.1934614128381</v>
      </c>
      <c r="AC2751" s="465">
        <v>0.10446426015469756</v>
      </c>
      <c r="AD2751" s="465">
        <v>7.7843370607526118E-3</v>
      </c>
      <c r="AE2751" s="476">
        <v>2388.1525896012149</v>
      </c>
      <c r="AF2751" s="467">
        <v>0.11839282817532382</v>
      </c>
      <c r="AG2751" s="468">
        <v>8.6034049313291026E-3</v>
      </c>
      <c r="AH2751" s="218">
        <v>2388.1525896012149</v>
      </c>
      <c r="AI2751" s="470">
        <v>0.11839282817532382</v>
      </c>
      <c r="AJ2751" s="471">
        <v>8.7267635296043589E-3</v>
      </c>
      <c r="AK2751" s="218">
        <v>2388.1525896012149</v>
      </c>
      <c r="AL2751" s="470">
        <v>0.11839282817532382</v>
      </c>
      <c r="AM2751" s="471">
        <v>8.7267635296043589E-3</v>
      </c>
      <c r="AN2751" s="477">
        <v>2388.1525896012126</v>
      </c>
      <c r="AO2751" s="473">
        <v>0.11839282817532371</v>
      </c>
      <c r="AP2751" s="474">
        <v>8.7239200000487557E-3</v>
      </c>
      <c r="AQ2751" s="352"/>
      <c r="AR2751" s="352"/>
      <c r="AS2751" s="352"/>
      <c r="AT2751" s="352"/>
      <c r="AU2751" s="352"/>
      <c r="AV2751" s="352"/>
      <c r="AW2751" s="352" t="s">
        <v>254</v>
      </c>
    </row>
    <row r="2752" spans="2:49" x14ac:dyDescent="0.2">
      <c r="B2752" s="460" t="s">
        <v>3182</v>
      </c>
      <c r="C2752" s="460">
        <v>3121</v>
      </c>
      <c r="D2752" s="460" t="s">
        <v>2281</v>
      </c>
      <c r="E2752" s="460" t="s">
        <v>2271</v>
      </c>
      <c r="F2752" s="460">
        <v>2</v>
      </c>
      <c r="G2752" s="460">
        <v>1</v>
      </c>
      <c r="H2752" s="461" t="s">
        <v>712</v>
      </c>
      <c r="I2752" s="461" t="s">
        <v>713</v>
      </c>
      <c r="J2752" s="461" t="s">
        <v>712</v>
      </c>
      <c r="K2752" s="594"/>
      <c r="L2752" s="594"/>
      <c r="M2752" s="352">
        <v>3000</v>
      </c>
      <c r="N2752" s="352" t="s">
        <v>709</v>
      </c>
      <c r="O2752" s="460">
        <v>3121</v>
      </c>
      <c r="P2752" s="460" t="s">
        <v>766</v>
      </c>
      <c r="Q2752" s="460" t="s">
        <v>2280</v>
      </c>
      <c r="R2752" s="460">
        <v>3121</v>
      </c>
      <c r="S2752" s="460" t="s">
        <v>2265</v>
      </c>
      <c r="T2752" s="462">
        <v>1</v>
      </c>
      <c r="U2752" s="460" t="s">
        <v>2271</v>
      </c>
      <c r="V2752" s="475">
        <v>0</v>
      </c>
      <c r="W2752" s="463" t="s">
        <v>713</v>
      </c>
      <c r="X2752" s="463" t="s">
        <v>713</v>
      </c>
      <c r="Y2752" s="463" t="s">
        <v>713</v>
      </c>
      <c r="Z2752" s="463"/>
      <c r="AA2752" s="463"/>
      <c r="AB2752" s="464">
        <v>3118.7484806351549</v>
      </c>
      <c r="AC2752" s="465">
        <v>0.23875369487327969</v>
      </c>
      <c r="AD2752" s="465">
        <v>1.3023646025124271E-2</v>
      </c>
      <c r="AE2752" s="476">
        <v>3534.5816113865071</v>
      </c>
      <c r="AF2752" s="467">
        <v>0.27058752085638349</v>
      </c>
      <c r="AG2752" s="468">
        <v>1.4386303393160644E-2</v>
      </c>
      <c r="AH2752" s="218">
        <v>1195.6860355297172</v>
      </c>
      <c r="AI2752" s="470">
        <v>9.1534941231607325E-2</v>
      </c>
      <c r="AJ2752" s="471">
        <v>5.1368411714397483E-3</v>
      </c>
      <c r="AK2752" s="218">
        <v>1195.6860355297172</v>
      </c>
      <c r="AL2752" s="470">
        <v>9.1534941231607325E-2</v>
      </c>
      <c r="AM2752" s="471">
        <v>5.1368411714397483E-3</v>
      </c>
      <c r="AN2752" s="477">
        <v>1195.6860355297172</v>
      </c>
      <c r="AO2752" s="473">
        <v>9.1534941231607325E-2</v>
      </c>
      <c r="AP2752" s="474">
        <v>5.1350374579911514E-3</v>
      </c>
      <c r="AQ2752" s="352"/>
      <c r="AR2752" s="352"/>
      <c r="AS2752" s="352"/>
      <c r="AT2752" s="352"/>
      <c r="AU2752" s="352"/>
      <c r="AV2752" s="352"/>
      <c r="AW2752" s="352" t="s">
        <v>254</v>
      </c>
    </row>
    <row r="2753" spans="2:49" x14ac:dyDescent="0.2">
      <c r="B2753" s="460" t="s">
        <v>3183</v>
      </c>
      <c r="C2753" s="460">
        <v>3121</v>
      </c>
      <c r="D2753" s="460" t="s">
        <v>2282</v>
      </c>
      <c r="E2753" s="460" t="s">
        <v>2274</v>
      </c>
      <c r="F2753" s="460">
        <v>3</v>
      </c>
      <c r="G2753" s="460">
        <v>1</v>
      </c>
      <c r="H2753" s="461" t="s">
        <v>712</v>
      </c>
      <c r="I2753" s="461" t="s">
        <v>713</v>
      </c>
      <c r="J2753" s="461" t="s">
        <v>712</v>
      </c>
      <c r="K2753" s="594"/>
      <c r="L2753" s="594"/>
      <c r="M2753" s="352">
        <v>3000</v>
      </c>
      <c r="N2753" s="352" t="s">
        <v>709</v>
      </c>
      <c r="O2753" s="460">
        <v>3121</v>
      </c>
      <c r="P2753" s="460" t="s">
        <v>766</v>
      </c>
      <c r="Q2753" s="460" t="s">
        <v>2280</v>
      </c>
      <c r="R2753" s="460">
        <v>3121</v>
      </c>
      <c r="S2753" s="460" t="s">
        <v>2265</v>
      </c>
      <c r="T2753" s="462">
        <v>0.74223365950407583</v>
      </c>
      <c r="U2753" s="460" t="s">
        <v>2274</v>
      </c>
      <c r="V2753" s="475">
        <v>0</v>
      </c>
      <c r="W2753" s="463" t="s">
        <v>713</v>
      </c>
      <c r="X2753" s="463" t="s">
        <v>713</v>
      </c>
      <c r="Y2753" s="463" t="s">
        <v>713</v>
      </c>
      <c r="Z2753" s="463"/>
      <c r="AA2753" s="463"/>
      <c r="AB2753" s="464">
        <v>3027.3739990199792</v>
      </c>
      <c r="AC2753" s="465">
        <v>0.58417822095294436</v>
      </c>
      <c r="AD2753" s="465">
        <v>1.8119476583764078E-2</v>
      </c>
      <c r="AE2753" s="476">
        <v>3200.956811791903</v>
      </c>
      <c r="AF2753" s="467">
        <v>0.61767368559852054</v>
      </c>
      <c r="AG2753" s="468">
        <v>1.8982057369044857E-2</v>
      </c>
      <c r="AH2753" s="218">
        <v>1611.1996109470781</v>
      </c>
      <c r="AI2753" s="470">
        <v>0.3109056636635692</v>
      </c>
      <c r="AJ2753" s="471">
        <v>1.0125053419922507E-2</v>
      </c>
      <c r="AK2753" s="218">
        <v>1611.1996109470781</v>
      </c>
      <c r="AL2753" s="470">
        <v>0.3109056636635692</v>
      </c>
      <c r="AM2753" s="471">
        <v>1.0125053419922507E-2</v>
      </c>
      <c r="AN2753" s="477">
        <v>1611.1996109470781</v>
      </c>
      <c r="AO2753" s="473">
        <v>0.3109056636635692</v>
      </c>
      <c r="AP2753" s="474">
        <v>1.0198095523481629E-2</v>
      </c>
      <c r="AQ2753" s="352"/>
      <c r="AR2753" s="352"/>
      <c r="AS2753" s="352"/>
      <c r="AT2753" s="352"/>
      <c r="AU2753" s="352"/>
      <c r="AV2753" s="352"/>
      <c r="AW2753" s="352" t="s">
        <v>254</v>
      </c>
    </row>
    <row r="2754" spans="2:49" x14ac:dyDescent="0.2">
      <c r="B2754" s="460" t="s">
        <v>3184</v>
      </c>
      <c r="C2754" s="460">
        <v>3121</v>
      </c>
      <c r="D2754" s="460" t="s">
        <v>2283</v>
      </c>
      <c r="E2754" s="460" t="s">
        <v>2277</v>
      </c>
      <c r="F2754" s="460">
        <v>4</v>
      </c>
      <c r="G2754" s="460">
        <v>1</v>
      </c>
      <c r="H2754" s="461" t="s">
        <v>712</v>
      </c>
      <c r="I2754" s="461" t="s">
        <v>713</v>
      </c>
      <c r="J2754" s="461" t="s">
        <v>712</v>
      </c>
      <c r="K2754" s="594"/>
      <c r="L2754" s="594"/>
      <c r="M2754" s="352">
        <v>3000</v>
      </c>
      <c r="N2754" s="352" t="s">
        <v>709</v>
      </c>
      <c r="O2754" s="460">
        <v>3121</v>
      </c>
      <c r="P2754" s="460" t="s">
        <v>766</v>
      </c>
      <c r="Q2754" s="460" t="s">
        <v>2280</v>
      </c>
      <c r="R2754" s="460">
        <v>3121</v>
      </c>
      <c r="S2754" s="460" t="s">
        <v>2277</v>
      </c>
      <c r="T2754" s="462">
        <v>1</v>
      </c>
      <c r="U2754" s="460" t="s">
        <v>2277</v>
      </c>
      <c r="V2754" s="475">
        <v>0</v>
      </c>
      <c r="W2754" s="463" t="s">
        <v>713</v>
      </c>
      <c r="X2754" s="463" t="s">
        <v>713</v>
      </c>
      <c r="Y2754" s="463" t="s">
        <v>713</v>
      </c>
      <c r="Z2754" s="463"/>
      <c r="AA2754" s="463"/>
      <c r="AB2754" s="464">
        <v>3919.0338135611041</v>
      </c>
      <c r="AC2754" s="465">
        <v>0.99804881611859775</v>
      </c>
      <c r="AD2754" s="465">
        <v>2.0352619822342891E-2</v>
      </c>
      <c r="AE2754" s="476">
        <v>3921.1613249151983</v>
      </c>
      <c r="AF2754" s="467">
        <v>0.99859062317851266</v>
      </c>
      <c r="AG2754" s="468">
        <v>2.0360904616566897E-2</v>
      </c>
      <c r="AH2754" s="218">
        <v>3921.1613249151983</v>
      </c>
      <c r="AI2754" s="470">
        <v>0.99859062317851266</v>
      </c>
      <c r="AJ2754" s="471">
        <v>2.0361920243914072E-2</v>
      </c>
      <c r="AK2754" s="218">
        <v>3921.1613249151983</v>
      </c>
      <c r="AL2754" s="470">
        <v>0.99859062317851266</v>
      </c>
      <c r="AM2754" s="471">
        <v>2.0361920243914072E-2</v>
      </c>
      <c r="AN2754" s="477">
        <v>3921.1613249151983</v>
      </c>
      <c r="AO2754" s="473">
        <v>0.99859062317851266</v>
      </c>
      <c r="AP2754" s="474">
        <v>2.0362021776878125E-2</v>
      </c>
      <c r="AQ2754" s="352"/>
      <c r="AR2754" s="352"/>
      <c r="AS2754" s="352"/>
      <c r="AT2754" s="352"/>
      <c r="AU2754" s="352"/>
      <c r="AV2754" s="352"/>
      <c r="AW2754" s="352" t="s">
        <v>254</v>
      </c>
    </row>
    <row r="2755" spans="2:49" x14ac:dyDescent="0.2">
      <c r="B2755" s="460" t="s">
        <v>3181</v>
      </c>
      <c r="C2755" s="460">
        <v>3121</v>
      </c>
      <c r="D2755" s="460" t="s">
        <v>2284</v>
      </c>
      <c r="E2755" s="460" t="s">
        <v>2265</v>
      </c>
      <c r="F2755" s="460">
        <v>1</v>
      </c>
      <c r="G2755" s="460">
        <v>1</v>
      </c>
      <c r="H2755" s="461" t="s">
        <v>746</v>
      </c>
      <c r="I2755" s="461" t="s">
        <v>762</v>
      </c>
      <c r="J2755" s="461" t="s">
        <v>700</v>
      </c>
      <c r="K2755" s="594"/>
      <c r="L2755" s="594"/>
      <c r="M2755" s="352">
        <v>3000</v>
      </c>
      <c r="N2755" s="352" t="s">
        <v>709</v>
      </c>
      <c r="O2755" s="460">
        <v>3121</v>
      </c>
      <c r="P2755" s="460" t="s">
        <v>766</v>
      </c>
      <c r="Q2755" s="460" t="s">
        <v>2553</v>
      </c>
      <c r="R2755" s="460">
        <v>3121</v>
      </c>
      <c r="S2755" s="460" t="s">
        <v>2265</v>
      </c>
      <c r="T2755" s="462">
        <v>1</v>
      </c>
      <c r="U2755" s="460" t="s">
        <v>2265</v>
      </c>
      <c r="V2755" s="475">
        <v>0</v>
      </c>
      <c r="W2755" s="463" t="s">
        <v>2268</v>
      </c>
      <c r="X2755" s="463" t="s">
        <v>2268</v>
      </c>
      <c r="Y2755" s="463" t="s">
        <v>2554</v>
      </c>
      <c r="Z2755" s="463"/>
      <c r="AA2755" s="463"/>
      <c r="AB2755" s="464">
        <v>0</v>
      </c>
      <c r="AC2755" s="465">
        <v>0</v>
      </c>
      <c r="AD2755" s="465">
        <v>0</v>
      </c>
      <c r="AE2755" s="476">
        <v>0</v>
      </c>
      <c r="AF2755" s="467">
        <v>0</v>
      </c>
      <c r="AG2755" s="468">
        <v>0</v>
      </c>
      <c r="AH2755" s="218">
        <v>0</v>
      </c>
      <c r="AI2755" s="470">
        <v>0</v>
      </c>
      <c r="AJ2755" s="471">
        <v>0</v>
      </c>
      <c r="AK2755" s="218">
        <v>0</v>
      </c>
      <c r="AL2755" s="470">
        <v>0</v>
      </c>
      <c r="AM2755" s="471">
        <v>0</v>
      </c>
      <c r="AN2755" s="477">
        <v>70.239782047094579</v>
      </c>
      <c r="AO2755" s="473">
        <v>3.4821420051565845E-3</v>
      </c>
      <c r="AP2755" s="474">
        <v>7.92050488346784E-4</v>
      </c>
      <c r="AQ2755" s="352"/>
      <c r="AR2755" s="352"/>
      <c r="AS2755" s="352"/>
      <c r="AT2755" s="352"/>
      <c r="AU2755" s="352"/>
      <c r="AV2755" s="352"/>
      <c r="AW2755" s="352" t="s">
        <v>254</v>
      </c>
    </row>
    <row r="2756" spans="2:49" x14ac:dyDescent="0.2">
      <c r="B2756" s="460" t="s">
        <v>3182</v>
      </c>
      <c r="C2756" s="460">
        <v>3121</v>
      </c>
      <c r="D2756" s="460" t="s">
        <v>2285</v>
      </c>
      <c r="E2756" s="460" t="s">
        <v>2271</v>
      </c>
      <c r="F2756" s="460">
        <v>2</v>
      </c>
      <c r="G2756" s="460">
        <v>1</v>
      </c>
      <c r="H2756" s="461" t="s">
        <v>746</v>
      </c>
      <c r="I2756" s="461" t="s">
        <v>762</v>
      </c>
      <c r="J2756" s="461" t="s">
        <v>700</v>
      </c>
      <c r="K2756" s="594"/>
      <c r="L2756" s="594"/>
      <c r="M2756" s="352">
        <v>3000</v>
      </c>
      <c r="N2756" s="352" t="s">
        <v>709</v>
      </c>
      <c r="O2756" s="460">
        <v>3121</v>
      </c>
      <c r="P2756" s="460" t="s">
        <v>766</v>
      </c>
      <c r="Q2756" s="460" t="s">
        <v>2553</v>
      </c>
      <c r="R2756" s="460">
        <v>3121</v>
      </c>
      <c r="S2756" s="460" t="s">
        <v>2265</v>
      </c>
      <c r="T2756" s="462">
        <v>1</v>
      </c>
      <c r="U2756" s="460" t="s">
        <v>2271</v>
      </c>
      <c r="V2756" s="475">
        <v>0</v>
      </c>
      <c r="W2756" s="463" t="s">
        <v>2268</v>
      </c>
      <c r="X2756" s="463" t="s">
        <v>2268</v>
      </c>
      <c r="Y2756" s="463" t="s">
        <v>2554</v>
      </c>
      <c r="Z2756" s="463"/>
      <c r="AA2756" s="463"/>
      <c r="AB2756" s="464">
        <v>0</v>
      </c>
      <c r="AC2756" s="465">
        <v>0</v>
      </c>
      <c r="AD2756" s="465">
        <v>0</v>
      </c>
      <c r="AE2756" s="476">
        <v>0</v>
      </c>
      <c r="AF2756" s="467">
        <v>0</v>
      </c>
      <c r="AG2756" s="468">
        <v>0</v>
      </c>
      <c r="AH2756" s="218">
        <v>0</v>
      </c>
      <c r="AI2756" s="470">
        <v>0</v>
      </c>
      <c r="AJ2756" s="471">
        <v>0</v>
      </c>
      <c r="AK2756" s="218">
        <v>0</v>
      </c>
      <c r="AL2756" s="470">
        <v>0</v>
      </c>
      <c r="AM2756" s="471">
        <v>0</v>
      </c>
      <c r="AN2756" s="477">
        <v>103.95828268783848</v>
      </c>
      <c r="AO2756" s="473">
        <v>7.9584564957759871E-3</v>
      </c>
      <c r="AP2756" s="474">
        <v>1.508920371891248E-3</v>
      </c>
      <c r="AQ2756" s="352"/>
      <c r="AR2756" s="352"/>
      <c r="AS2756" s="352"/>
      <c r="AT2756" s="352"/>
      <c r="AU2756" s="352"/>
      <c r="AV2756" s="352"/>
      <c r="AW2756" s="352" t="s">
        <v>254</v>
      </c>
    </row>
    <row r="2757" spans="2:49" x14ac:dyDescent="0.2">
      <c r="B2757" s="460" t="s">
        <v>3183</v>
      </c>
      <c r="C2757" s="460">
        <v>3121</v>
      </c>
      <c r="D2757" s="460" t="s">
        <v>2286</v>
      </c>
      <c r="E2757" s="460" t="s">
        <v>2274</v>
      </c>
      <c r="F2757" s="460">
        <v>3</v>
      </c>
      <c r="G2757" s="460">
        <v>1</v>
      </c>
      <c r="H2757" s="461" t="s">
        <v>746</v>
      </c>
      <c r="I2757" s="461" t="s">
        <v>762</v>
      </c>
      <c r="J2757" s="461" t="s">
        <v>700</v>
      </c>
      <c r="K2757" s="594"/>
      <c r="L2757" s="594"/>
      <c r="M2757" s="352">
        <v>3000</v>
      </c>
      <c r="N2757" s="352" t="s">
        <v>709</v>
      </c>
      <c r="O2757" s="460">
        <v>3121</v>
      </c>
      <c r="P2757" s="460" t="s">
        <v>766</v>
      </c>
      <c r="Q2757" s="460" t="s">
        <v>2553</v>
      </c>
      <c r="R2757" s="460">
        <v>3121</v>
      </c>
      <c r="S2757" s="460" t="s">
        <v>2265</v>
      </c>
      <c r="T2757" s="462">
        <v>0.74223365950407583</v>
      </c>
      <c r="U2757" s="460" t="s">
        <v>2274</v>
      </c>
      <c r="V2757" s="475">
        <v>0</v>
      </c>
      <c r="W2757" s="463" t="s">
        <v>2268</v>
      </c>
      <c r="X2757" s="463" t="s">
        <v>2268</v>
      </c>
      <c r="Y2757" s="463" t="s">
        <v>2554</v>
      </c>
      <c r="Z2757" s="463"/>
      <c r="AA2757" s="463"/>
      <c r="AB2757" s="464">
        <v>0</v>
      </c>
      <c r="AC2757" s="465">
        <v>0</v>
      </c>
      <c r="AD2757" s="465">
        <v>0</v>
      </c>
      <c r="AE2757" s="476">
        <v>0</v>
      </c>
      <c r="AF2757" s="467">
        <v>0</v>
      </c>
      <c r="AG2757" s="468">
        <v>0</v>
      </c>
      <c r="AH2757" s="218">
        <v>0</v>
      </c>
      <c r="AI2757" s="470">
        <v>0</v>
      </c>
      <c r="AJ2757" s="471">
        <v>0</v>
      </c>
      <c r="AK2757" s="218">
        <v>0</v>
      </c>
      <c r="AL2757" s="470">
        <v>0</v>
      </c>
      <c r="AM2757" s="471">
        <v>0</v>
      </c>
      <c r="AN2757" s="477">
        <v>43.395703192980811</v>
      </c>
      <c r="AO2757" s="473">
        <v>8.3738661613940325E-3</v>
      </c>
      <c r="AP2757" s="474">
        <v>2.1908403296220847E-3</v>
      </c>
      <c r="AQ2757" s="352"/>
      <c r="AR2757" s="352"/>
      <c r="AS2757" s="352"/>
      <c r="AT2757" s="352"/>
      <c r="AU2757" s="352"/>
      <c r="AV2757" s="352"/>
      <c r="AW2757" s="352" t="s">
        <v>254</v>
      </c>
    </row>
    <row r="2758" spans="2:49" x14ac:dyDescent="0.2">
      <c r="B2758" s="460" t="s">
        <v>3184</v>
      </c>
      <c r="C2758" s="460">
        <v>3121</v>
      </c>
      <c r="D2758" s="460" t="s">
        <v>2287</v>
      </c>
      <c r="E2758" s="460" t="s">
        <v>2277</v>
      </c>
      <c r="F2758" s="460">
        <v>4</v>
      </c>
      <c r="G2758" s="460">
        <v>1</v>
      </c>
      <c r="H2758" s="461" t="s">
        <v>746</v>
      </c>
      <c r="I2758" s="461" t="s">
        <v>762</v>
      </c>
      <c r="J2758" s="461" t="s">
        <v>700</v>
      </c>
      <c r="K2758" s="594"/>
      <c r="L2758" s="594"/>
      <c r="M2758" s="352">
        <v>3000</v>
      </c>
      <c r="N2758" s="352" t="s">
        <v>709</v>
      </c>
      <c r="O2758" s="460">
        <v>3121</v>
      </c>
      <c r="P2758" s="460" t="s">
        <v>766</v>
      </c>
      <c r="Q2758" s="460" t="s">
        <v>2553</v>
      </c>
      <c r="R2758" s="460">
        <v>3121</v>
      </c>
      <c r="S2758" s="460" t="s">
        <v>2277</v>
      </c>
      <c r="T2758" s="462">
        <v>1</v>
      </c>
      <c r="U2758" s="460" t="s">
        <v>2277</v>
      </c>
      <c r="V2758" s="475">
        <v>0</v>
      </c>
      <c r="W2758" s="463" t="s">
        <v>2268</v>
      </c>
      <c r="X2758" s="463" t="s">
        <v>2268</v>
      </c>
      <c r="Y2758" s="463" t="s">
        <v>2554</v>
      </c>
      <c r="Z2758" s="463"/>
      <c r="AA2758" s="463"/>
      <c r="AB2758" s="464">
        <v>0</v>
      </c>
      <c r="AC2758" s="465">
        <v>0</v>
      </c>
      <c r="AD2758" s="465">
        <v>0</v>
      </c>
      <c r="AE2758" s="476">
        <v>0</v>
      </c>
      <c r="AF2758" s="467">
        <v>0</v>
      </c>
      <c r="AG2758" s="468">
        <v>0</v>
      </c>
      <c r="AH2758" s="218">
        <v>0</v>
      </c>
      <c r="AI2758" s="470">
        <v>0</v>
      </c>
      <c r="AJ2758" s="471">
        <v>0</v>
      </c>
      <c r="AK2758" s="218">
        <v>0</v>
      </c>
      <c r="AL2758" s="470">
        <v>0</v>
      </c>
      <c r="AM2758" s="471">
        <v>0</v>
      </c>
      <c r="AN2758" s="477">
        <v>0.53187783852351944</v>
      </c>
      <c r="AO2758" s="473">
        <v>1.3545176497871536E-4</v>
      </c>
      <c r="AP2758" s="474">
        <v>2.7880644982594591E-3</v>
      </c>
      <c r="AQ2758" s="352"/>
      <c r="AR2758" s="352"/>
      <c r="AS2758" s="352"/>
      <c r="AT2758" s="352"/>
      <c r="AU2758" s="352"/>
      <c r="AV2758" s="352"/>
      <c r="AW2758" s="352" t="s">
        <v>254</v>
      </c>
    </row>
    <row r="2759" spans="2:49" x14ac:dyDescent="0.2">
      <c r="B2759" s="460" t="s">
        <v>3181</v>
      </c>
      <c r="C2759" s="460">
        <v>3121</v>
      </c>
      <c r="D2759" s="460" t="s">
        <v>2288</v>
      </c>
      <c r="E2759" s="460" t="s">
        <v>2265</v>
      </c>
      <c r="F2759" s="460">
        <v>1</v>
      </c>
      <c r="G2759" s="460">
        <v>1</v>
      </c>
      <c r="H2759" s="461" t="s">
        <v>748</v>
      </c>
      <c r="I2759" s="461" t="s">
        <v>765</v>
      </c>
      <c r="J2759" s="461" t="s">
        <v>700</v>
      </c>
      <c r="K2759" s="594"/>
      <c r="L2759" s="594"/>
      <c r="M2759" s="352">
        <v>3000</v>
      </c>
      <c r="N2759" s="352" t="s">
        <v>709</v>
      </c>
      <c r="O2759" s="460">
        <v>3121</v>
      </c>
      <c r="P2759" s="460" t="s">
        <v>766</v>
      </c>
      <c r="Q2759" s="460" t="s">
        <v>2553</v>
      </c>
      <c r="R2759" s="460">
        <v>3121</v>
      </c>
      <c r="S2759" s="460" t="s">
        <v>2265</v>
      </c>
      <c r="T2759" s="462">
        <v>1</v>
      </c>
      <c r="U2759" s="460" t="s">
        <v>2265</v>
      </c>
      <c r="V2759" s="475">
        <v>0</v>
      </c>
      <c r="W2759" s="463" t="s">
        <v>2268</v>
      </c>
      <c r="X2759" s="463" t="s">
        <v>2268</v>
      </c>
      <c r="Y2759" s="463" t="s">
        <v>2554</v>
      </c>
      <c r="Z2759" s="463"/>
      <c r="AA2759" s="463"/>
      <c r="AB2759" s="464">
        <v>0</v>
      </c>
      <c r="AC2759" s="465">
        <v>0</v>
      </c>
      <c r="AD2759" s="465">
        <v>0</v>
      </c>
      <c r="AE2759" s="476">
        <v>0</v>
      </c>
      <c r="AF2759" s="467">
        <v>0</v>
      </c>
      <c r="AG2759" s="468">
        <v>0</v>
      </c>
      <c r="AH2759" s="218">
        <v>0</v>
      </c>
      <c r="AI2759" s="470">
        <v>0</v>
      </c>
      <c r="AJ2759" s="471">
        <v>0</v>
      </c>
      <c r="AK2759" s="218">
        <v>0</v>
      </c>
      <c r="AL2759" s="470">
        <v>0</v>
      </c>
      <c r="AM2759" s="471">
        <v>0</v>
      </c>
      <c r="AN2759" s="477">
        <v>351.19891023547302</v>
      </c>
      <c r="AO2759" s="473">
        <v>1.7410710025782927E-2</v>
      </c>
      <c r="AP2759" s="474">
        <v>2.1809667291506265E-2</v>
      </c>
      <c r="AQ2759" s="352"/>
      <c r="AR2759" s="352"/>
      <c r="AS2759" s="352"/>
      <c r="AT2759" s="352"/>
      <c r="AU2759" s="352"/>
      <c r="AV2759" s="352"/>
      <c r="AW2759" s="352" t="s">
        <v>254</v>
      </c>
    </row>
    <row r="2760" spans="2:49" x14ac:dyDescent="0.2">
      <c r="B2760" s="460" t="s">
        <v>3182</v>
      </c>
      <c r="C2760" s="460">
        <v>3121</v>
      </c>
      <c r="D2760" s="460" t="s">
        <v>2291</v>
      </c>
      <c r="E2760" s="460" t="s">
        <v>2271</v>
      </c>
      <c r="F2760" s="460">
        <v>2</v>
      </c>
      <c r="G2760" s="460">
        <v>1</v>
      </c>
      <c r="H2760" s="461" t="s">
        <v>748</v>
      </c>
      <c r="I2760" s="461" t="s">
        <v>765</v>
      </c>
      <c r="J2760" s="461" t="s">
        <v>700</v>
      </c>
      <c r="K2760" s="594"/>
      <c r="L2760" s="594"/>
      <c r="M2760" s="352">
        <v>3000</v>
      </c>
      <c r="N2760" s="352" t="s">
        <v>709</v>
      </c>
      <c r="O2760" s="460">
        <v>3121</v>
      </c>
      <c r="P2760" s="460" t="s">
        <v>766</v>
      </c>
      <c r="Q2760" s="460" t="s">
        <v>2553</v>
      </c>
      <c r="R2760" s="460">
        <v>3121</v>
      </c>
      <c r="S2760" s="460" t="s">
        <v>2265</v>
      </c>
      <c r="T2760" s="462">
        <v>1</v>
      </c>
      <c r="U2760" s="460" t="s">
        <v>2271</v>
      </c>
      <c r="V2760" s="475">
        <v>0</v>
      </c>
      <c r="W2760" s="463" t="s">
        <v>2268</v>
      </c>
      <c r="X2760" s="463" t="s">
        <v>2268</v>
      </c>
      <c r="Y2760" s="463" t="s">
        <v>2554</v>
      </c>
      <c r="Z2760" s="463"/>
      <c r="AA2760" s="463"/>
      <c r="AB2760" s="464">
        <v>0</v>
      </c>
      <c r="AC2760" s="465">
        <v>0</v>
      </c>
      <c r="AD2760" s="465">
        <v>0</v>
      </c>
      <c r="AE2760" s="476">
        <v>0</v>
      </c>
      <c r="AF2760" s="467">
        <v>0</v>
      </c>
      <c r="AG2760" s="468">
        <v>0</v>
      </c>
      <c r="AH2760" s="218">
        <v>0</v>
      </c>
      <c r="AI2760" s="470">
        <v>0</v>
      </c>
      <c r="AJ2760" s="471">
        <v>0</v>
      </c>
      <c r="AK2760" s="218">
        <v>0</v>
      </c>
      <c r="AL2760" s="470">
        <v>0</v>
      </c>
      <c r="AM2760" s="471">
        <v>0</v>
      </c>
      <c r="AN2760" s="477">
        <v>519.79141343919252</v>
      </c>
      <c r="AO2760" s="473">
        <v>3.9792282478879948E-2</v>
      </c>
      <c r="AP2760" s="474">
        <v>3.3060853256067405E-2</v>
      </c>
      <c r="AQ2760" s="352"/>
      <c r="AR2760" s="352"/>
      <c r="AS2760" s="352"/>
      <c r="AT2760" s="352"/>
      <c r="AU2760" s="352"/>
      <c r="AV2760" s="352"/>
      <c r="AW2760" s="352" t="s">
        <v>254</v>
      </c>
    </row>
    <row r="2761" spans="2:49" x14ac:dyDescent="0.2">
      <c r="B2761" s="460" t="s">
        <v>3183</v>
      </c>
      <c r="C2761" s="460">
        <v>3121</v>
      </c>
      <c r="D2761" s="460" t="s">
        <v>2292</v>
      </c>
      <c r="E2761" s="460" t="s">
        <v>2274</v>
      </c>
      <c r="F2761" s="460">
        <v>3</v>
      </c>
      <c r="G2761" s="460">
        <v>1</v>
      </c>
      <c r="H2761" s="461" t="s">
        <v>748</v>
      </c>
      <c r="I2761" s="461" t="s">
        <v>765</v>
      </c>
      <c r="J2761" s="461" t="s">
        <v>700</v>
      </c>
      <c r="K2761" s="594"/>
      <c r="L2761" s="594"/>
      <c r="M2761" s="352">
        <v>3000</v>
      </c>
      <c r="N2761" s="352" t="s">
        <v>709</v>
      </c>
      <c r="O2761" s="460">
        <v>3121</v>
      </c>
      <c r="P2761" s="460" t="s">
        <v>766</v>
      </c>
      <c r="Q2761" s="460" t="s">
        <v>2553</v>
      </c>
      <c r="R2761" s="460">
        <v>3121</v>
      </c>
      <c r="S2761" s="460" t="s">
        <v>2265</v>
      </c>
      <c r="T2761" s="462">
        <v>0.74223365950407583</v>
      </c>
      <c r="U2761" s="460" t="s">
        <v>2274</v>
      </c>
      <c r="V2761" s="475">
        <v>0</v>
      </c>
      <c r="W2761" s="463" t="s">
        <v>2268</v>
      </c>
      <c r="X2761" s="463" t="s">
        <v>2268</v>
      </c>
      <c r="Y2761" s="463" t="s">
        <v>2554</v>
      </c>
      <c r="Z2761" s="463"/>
      <c r="AA2761" s="463"/>
      <c r="AB2761" s="464">
        <v>0</v>
      </c>
      <c r="AC2761" s="465">
        <v>0</v>
      </c>
      <c r="AD2761" s="465">
        <v>0</v>
      </c>
      <c r="AE2761" s="476">
        <v>0</v>
      </c>
      <c r="AF2761" s="467">
        <v>0</v>
      </c>
      <c r="AG2761" s="468">
        <v>0</v>
      </c>
      <c r="AH2761" s="218">
        <v>0</v>
      </c>
      <c r="AI2761" s="470">
        <v>0</v>
      </c>
      <c r="AJ2761" s="471">
        <v>0</v>
      </c>
      <c r="AK2761" s="218">
        <v>0</v>
      </c>
      <c r="AL2761" s="470">
        <v>0</v>
      </c>
      <c r="AM2761" s="471">
        <v>0</v>
      </c>
      <c r="AN2761" s="477">
        <v>216.97851596490406</v>
      </c>
      <c r="AO2761" s="473">
        <v>4.1869330806970168E-2</v>
      </c>
      <c r="AP2761" s="474">
        <v>3.0549878419219419E-2</v>
      </c>
      <c r="AQ2761" s="352"/>
      <c r="AR2761" s="352"/>
      <c r="AS2761" s="352"/>
      <c r="AT2761" s="352"/>
      <c r="AU2761" s="352"/>
      <c r="AV2761" s="352"/>
      <c r="AW2761" s="352" t="s">
        <v>254</v>
      </c>
    </row>
    <row r="2762" spans="2:49" x14ac:dyDescent="0.2">
      <c r="B2762" s="460" t="s">
        <v>3184</v>
      </c>
      <c r="C2762" s="460">
        <v>3121</v>
      </c>
      <c r="D2762" s="460" t="s">
        <v>2293</v>
      </c>
      <c r="E2762" s="460" t="s">
        <v>2277</v>
      </c>
      <c r="F2762" s="460">
        <v>4</v>
      </c>
      <c r="G2762" s="460">
        <v>1</v>
      </c>
      <c r="H2762" s="461" t="s">
        <v>748</v>
      </c>
      <c r="I2762" s="461" t="s">
        <v>765</v>
      </c>
      <c r="J2762" s="461" t="s">
        <v>700</v>
      </c>
      <c r="K2762" s="594"/>
      <c r="L2762" s="594"/>
      <c r="M2762" s="352">
        <v>3000</v>
      </c>
      <c r="N2762" s="352" t="s">
        <v>709</v>
      </c>
      <c r="O2762" s="460">
        <v>3121</v>
      </c>
      <c r="P2762" s="460" t="s">
        <v>766</v>
      </c>
      <c r="Q2762" s="460" t="s">
        <v>2553</v>
      </c>
      <c r="R2762" s="460">
        <v>3121</v>
      </c>
      <c r="S2762" s="460" t="s">
        <v>2277</v>
      </c>
      <c r="T2762" s="462">
        <v>1</v>
      </c>
      <c r="U2762" s="460" t="s">
        <v>2277</v>
      </c>
      <c r="V2762" s="475">
        <v>0</v>
      </c>
      <c r="W2762" s="463" t="s">
        <v>2268</v>
      </c>
      <c r="X2762" s="463" t="s">
        <v>2268</v>
      </c>
      <c r="Y2762" s="463" t="s">
        <v>2554</v>
      </c>
      <c r="Z2762" s="463"/>
      <c r="AA2762" s="463"/>
      <c r="AB2762" s="464">
        <v>0</v>
      </c>
      <c r="AC2762" s="465">
        <v>0</v>
      </c>
      <c r="AD2762" s="465">
        <v>0</v>
      </c>
      <c r="AE2762" s="476">
        <v>0</v>
      </c>
      <c r="AF2762" s="467">
        <v>0</v>
      </c>
      <c r="AG2762" s="468">
        <v>0</v>
      </c>
      <c r="AH2762" s="218">
        <v>0</v>
      </c>
      <c r="AI2762" s="470">
        <v>0</v>
      </c>
      <c r="AJ2762" s="471">
        <v>0</v>
      </c>
      <c r="AK2762" s="218">
        <v>0</v>
      </c>
      <c r="AL2762" s="470">
        <v>0</v>
      </c>
      <c r="AM2762" s="471">
        <v>0</v>
      </c>
      <c r="AN2762" s="477">
        <v>2.6593891926175979</v>
      </c>
      <c r="AO2762" s="473">
        <v>6.7725882489357697E-4</v>
      </c>
      <c r="AP2762" s="474">
        <v>6.4214059094101758E-2</v>
      </c>
      <c r="AQ2762" s="352"/>
      <c r="AR2762" s="352"/>
      <c r="AS2762" s="352"/>
      <c r="AT2762" s="352"/>
      <c r="AU2762" s="352"/>
      <c r="AV2762" s="352"/>
      <c r="AW2762" s="352" t="s">
        <v>254</v>
      </c>
    </row>
    <row r="2763" spans="2:49" x14ac:dyDescent="0.2">
      <c r="B2763" s="460" t="s">
        <v>3185</v>
      </c>
      <c r="C2763" s="460">
        <v>3121</v>
      </c>
      <c r="D2763" s="460" t="s">
        <v>2295</v>
      </c>
      <c r="E2763" s="460" t="s">
        <v>2296</v>
      </c>
      <c r="F2763" s="460">
        <v>1</v>
      </c>
      <c r="G2763" s="460">
        <v>2</v>
      </c>
      <c r="H2763" s="461" t="s">
        <v>700</v>
      </c>
      <c r="I2763" s="461" t="s">
        <v>872</v>
      </c>
      <c r="J2763" s="461" t="s">
        <v>700</v>
      </c>
      <c r="K2763" s="594"/>
      <c r="L2763" s="594"/>
      <c r="M2763" s="352">
        <v>3000</v>
      </c>
      <c r="N2763" s="352" t="s">
        <v>709</v>
      </c>
      <c r="O2763" s="460">
        <v>3121</v>
      </c>
      <c r="P2763" s="460" t="s">
        <v>766</v>
      </c>
      <c r="Q2763" s="460" t="s">
        <v>2553</v>
      </c>
      <c r="R2763" s="460">
        <v>3121</v>
      </c>
      <c r="S2763" s="460" t="s">
        <v>2296</v>
      </c>
      <c r="T2763" s="462">
        <v>1</v>
      </c>
      <c r="U2763" s="460" t="s">
        <v>2296</v>
      </c>
      <c r="V2763" s="475">
        <v>0</v>
      </c>
      <c r="W2763" s="463" t="s">
        <v>2554</v>
      </c>
      <c r="X2763" s="463" t="s">
        <v>2554</v>
      </c>
      <c r="Y2763" s="463" t="s">
        <v>2268</v>
      </c>
      <c r="Z2763" s="463"/>
      <c r="AA2763" s="463"/>
      <c r="AB2763" s="464">
        <v>247.49228550266727</v>
      </c>
      <c r="AC2763" s="465">
        <v>7.5539444905941014E-2</v>
      </c>
      <c r="AD2763" s="465">
        <v>1.4456946605366805E-2</v>
      </c>
      <c r="AE2763" s="476">
        <v>148.49537130160036</v>
      </c>
      <c r="AF2763" s="467">
        <v>4.5323666943564607E-2</v>
      </c>
      <c r="AG2763" s="468">
        <v>9.6418102097935495E-3</v>
      </c>
      <c r="AH2763" s="218">
        <v>148.49537130160036</v>
      </c>
      <c r="AI2763" s="470">
        <v>4.5323666943564607E-2</v>
      </c>
      <c r="AJ2763" s="471">
        <v>8.8582453730714841E-3</v>
      </c>
      <c r="AK2763" s="218">
        <v>148.49537130160036</v>
      </c>
      <c r="AL2763" s="470">
        <v>4.5323666943564607E-2</v>
      </c>
      <c r="AM2763" s="471">
        <v>8.8582453730714841E-3</v>
      </c>
      <c r="AN2763" s="477">
        <v>0</v>
      </c>
      <c r="AO2763" s="473">
        <v>0</v>
      </c>
      <c r="AP2763" s="474">
        <v>0</v>
      </c>
      <c r="AQ2763" s="352"/>
      <c r="AR2763" s="352"/>
      <c r="AS2763" s="352"/>
      <c r="AT2763" s="352"/>
      <c r="AU2763" s="352"/>
      <c r="AV2763" s="352"/>
      <c r="AW2763" s="352" t="s">
        <v>254</v>
      </c>
    </row>
    <row r="2764" spans="2:49" x14ac:dyDescent="0.2">
      <c r="B2764" s="460" t="s">
        <v>3186</v>
      </c>
      <c r="C2764" s="460">
        <v>3121</v>
      </c>
      <c r="D2764" s="460" t="s">
        <v>2298</v>
      </c>
      <c r="E2764" s="460" t="s">
        <v>2299</v>
      </c>
      <c r="F2764" s="460">
        <v>2</v>
      </c>
      <c r="G2764" s="460">
        <v>2</v>
      </c>
      <c r="H2764" s="461" t="s">
        <v>700</v>
      </c>
      <c r="I2764" s="461" t="s">
        <v>872</v>
      </c>
      <c r="J2764" s="461" t="s">
        <v>700</v>
      </c>
      <c r="K2764" s="594"/>
      <c r="L2764" s="594"/>
      <c r="M2764" s="352">
        <v>3000</v>
      </c>
      <c r="N2764" s="352" t="s">
        <v>709</v>
      </c>
      <c r="O2764" s="460">
        <v>3121</v>
      </c>
      <c r="P2764" s="460" t="s">
        <v>766</v>
      </c>
      <c r="Q2764" s="460" t="s">
        <v>2553</v>
      </c>
      <c r="R2764" s="460">
        <v>3121</v>
      </c>
      <c r="S2764" s="460" t="s">
        <v>2296</v>
      </c>
      <c r="T2764" s="462">
        <v>0.55517361979372948</v>
      </c>
      <c r="U2764" s="460" t="s">
        <v>2299</v>
      </c>
      <c r="V2764" s="475">
        <v>0</v>
      </c>
      <c r="W2764" s="463" t="s">
        <v>2554</v>
      </c>
      <c r="X2764" s="463" t="s">
        <v>2554</v>
      </c>
      <c r="Y2764" s="463" t="s">
        <v>2268</v>
      </c>
      <c r="Z2764" s="463"/>
      <c r="AA2764" s="463"/>
      <c r="AB2764" s="464">
        <v>103.9465532246585</v>
      </c>
      <c r="AC2764" s="465">
        <v>0.19818577793802872</v>
      </c>
      <c r="AD2764" s="465">
        <v>3.145208921634992E-2</v>
      </c>
      <c r="AE2764" s="476">
        <v>62.367931934795088</v>
      </c>
      <c r="AF2764" s="467">
        <v>0.11891146676281722</v>
      </c>
      <c r="AG2764" s="468">
        <v>2.1177189172134112E-2</v>
      </c>
      <c r="AH2764" s="218">
        <v>62.367931934795088</v>
      </c>
      <c r="AI2764" s="470">
        <v>0.11891146676281722</v>
      </c>
      <c r="AJ2764" s="471">
        <v>1.4686873278099687E-2</v>
      </c>
      <c r="AK2764" s="218">
        <v>62.367931934795088</v>
      </c>
      <c r="AL2764" s="470">
        <v>0.11891146676281722</v>
      </c>
      <c r="AM2764" s="471">
        <v>1.4686873278099687E-2</v>
      </c>
      <c r="AN2764" s="477">
        <v>0</v>
      </c>
      <c r="AO2764" s="473">
        <v>0</v>
      </c>
      <c r="AP2764" s="474">
        <v>0</v>
      </c>
      <c r="AQ2764" s="352"/>
      <c r="AR2764" s="352"/>
      <c r="AS2764" s="352"/>
      <c r="AT2764" s="352"/>
      <c r="AU2764" s="352"/>
      <c r="AV2764" s="352"/>
      <c r="AW2764" s="352" t="s">
        <v>254</v>
      </c>
    </row>
    <row r="2765" spans="2:49" x14ac:dyDescent="0.2">
      <c r="B2765" s="460" t="s">
        <v>3187</v>
      </c>
      <c r="C2765" s="460">
        <v>3121</v>
      </c>
      <c r="D2765" s="460" t="s">
        <v>2301</v>
      </c>
      <c r="E2765" s="460" t="s">
        <v>2302</v>
      </c>
      <c r="F2765" s="460">
        <v>3</v>
      </c>
      <c r="G2765" s="460">
        <v>2</v>
      </c>
      <c r="H2765" s="461" t="s">
        <v>700</v>
      </c>
      <c r="I2765" s="461" t="s">
        <v>872</v>
      </c>
      <c r="J2765" s="461" t="s">
        <v>700</v>
      </c>
      <c r="K2765" s="594"/>
      <c r="L2765" s="594"/>
      <c r="M2765" s="352">
        <v>3000</v>
      </c>
      <c r="N2765" s="352" t="s">
        <v>709</v>
      </c>
      <c r="O2765" s="460">
        <v>3121</v>
      </c>
      <c r="P2765" s="460" t="s">
        <v>766</v>
      </c>
      <c r="Q2765" s="460" t="s">
        <v>2553</v>
      </c>
      <c r="R2765" s="460">
        <v>3121</v>
      </c>
      <c r="S2765" s="460" t="s">
        <v>2296</v>
      </c>
      <c r="T2765" s="462">
        <v>0.28481449642268464</v>
      </c>
      <c r="U2765" s="460" t="s">
        <v>2302</v>
      </c>
      <c r="V2765" s="475">
        <v>0</v>
      </c>
      <c r="W2765" s="463" t="s">
        <v>2554</v>
      </c>
      <c r="X2765" s="463" t="s">
        <v>2554</v>
      </c>
      <c r="Y2765" s="463" t="s">
        <v>2268</v>
      </c>
      <c r="Z2765" s="463"/>
      <c r="AA2765" s="463"/>
      <c r="AB2765" s="464">
        <v>17.016788744421689</v>
      </c>
      <c r="AC2765" s="465">
        <v>4.6402917916971445E-2</v>
      </c>
      <c r="AD2765" s="465">
        <v>3.3099999999999997E-2</v>
      </c>
      <c r="AE2765" s="476">
        <v>10.210073246653012</v>
      </c>
      <c r="AF2765" s="467">
        <v>2.7841750750182866E-2</v>
      </c>
      <c r="AG2765" s="468">
        <v>2.2410787961584334E-2</v>
      </c>
      <c r="AH2765" s="218">
        <v>10.210073246653012</v>
      </c>
      <c r="AI2765" s="470">
        <v>2.7841750750182866E-2</v>
      </c>
      <c r="AJ2765" s="471">
        <v>1.0599270236197337E-2</v>
      </c>
      <c r="AK2765" s="218">
        <v>10.210073246653012</v>
      </c>
      <c r="AL2765" s="470">
        <v>2.7841750750182866E-2</v>
      </c>
      <c r="AM2765" s="471">
        <v>1.0599270236197337E-2</v>
      </c>
      <c r="AN2765" s="477">
        <v>0</v>
      </c>
      <c r="AO2765" s="473">
        <v>0</v>
      </c>
      <c r="AP2765" s="474">
        <v>0</v>
      </c>
      <c r="AQ2765" s="352"/>
      <c r="AR2765" s="352"/>
      <c r="AS2765" s="352"/>
      <c r="AT2765" s="352"/>
      <c r="AU2765" s="352"/>
      <c r="AV2765" s="352"/>
      <c r="AW2765" s="352" t="s">
        <v>254</v>
      </c>
    </row>
    <row r="2766" spans="2:49" x14ac:dyDescent="0.2">
      <c r="B2766" s="460" t="s">
        <v>3188</v>
      </c>
      <c r="C2766" s="460">
        <v>3121</v>
      </c>
      <c r="D2766" s="460" t="s">
        <v>2304</v>
      </c>
      <c r="E2766" s="460" t="s">
        <v>2305</v>
      </c>
      <c r="F2766" s="460">
        <v>4</v>
      </c>
      <c r="G2766" s="460">
        <v>2</v>
      </c>
      <c r="H2766" s="461" t="s">
        <v>700</v>
      </c>
      <c r="I2766" s="461" t="s">
        <v>872</v>
      </c>
      <c r="J2766" s="461" t="s">
        <v>700</v>
      </c>
      <c r="K2766" s="594"/>
      <c r="L2766" s="594"/>
      <c r="M2766" s="352">
        <v>3000</v>
      </c>
      <c r="N2766" s="352" t="s">
        <v>709</v>
      </c>
      <c r="O2766" s="460">
        <v>3121</v>
      </c>
      <c r="P2766" s="460" t="s">
        <v>766</v>
      </c>
      <c r="Q2766" s="460" t="s">
        <v>2553</v>
      </c>
      <c r="R2766" s="460">
        <v>3121</v>
      </c>
      <c r="S2766" s="460" t="s">
        <v>2305</v>
      </c>
      <c r="T2766" s="462">
        <v>1</v>
      </c>
      <c r="U2766" s="460" t="s">
        <v>2305</v>
      </c>
      <c r="V2766" s="475">
        <v>0</v>
      </c>
      <c r="W2766" s="463" t="s">
        <v>2554</v>
      </c>
      <c r="X2766" s="463" t="s">
        <v>2554</v>
      </c>
      <c r="Y2766" s="463" t="s">
        <v>2268</v>
      </c>
      <c r="Z2766" s="463"/>
      <c r="AA2766" s="463"/>
      <c r="AB2766" s="464">
        <v>0.41807132075852704</v>
      </c>
      <c r="AC2766" s="465">
        <v>1.3260384203032196E-3</v>
      </c>
      <c r="AD2766" s="465">
        <v>3.3100000000000004E-2</v>
      </c>
      <c r="AE2766" s="476">
        <v>0.2508427924551162</v>
      </c>
      <c r="AF2766" s="467">
        <v>7.956230521819317E-4</v>
      </c>
      <c r="AG2766" s="468">
        <v>2.2052925981895212E-2</v>
      </c>
      <c r="AH2766" s="218">
        <v>0.2508427924551162</v>
      </c>
      <c r="AI2766" s="470">
        <v>7.956230521819317E-4</v>
      </c>
      <c r="AJ2766" s="471">
        <v>2.1961410506422824E-2</v>
      </c>
      <c r="AK2766" s="218">
        <v>0.2508427924551162</v>
      </c>
      <c r="AL2766" s="470">
        <v>7.956230521819317E-4</v>
      </c>
      <c r="AM2766" s="471">
        <v>2.1961410506422824E-2</v>
      </c>
      <c r="AN2766" s="477">
        <v>0</v>
      </c>
      <c r="AO2766" s="473">
        <v>0</v>
      </c>
      <c r="AP2766" s="474">
        <v>0</v>
      </c>
      <c r="AQ2766" s="352"/>
      <c r="AR2766" s="352"/>
      <c r="AS2766" s="352"/>
      <c r="AT2766" s="352"/>
      <c r="AU2766" s="352"/>
      <c r="AV2766" s="352"/>
      <c r="AW2766" s="352" t="s">
        <v>254</v>
      </c>
    </row>
    <row r="2767" spans="2:49" x14ac:dyDescent="0.2">
      <c r="B2767" s="460" t="s">
        <v>3185</v>
      </c>
      <c r="C2767" s="460">
        <v>3121</v>
      </c>
      <c r="D2767" s="460" t="s">
        <v>3153</v>
      </c>
      <c r="E2767" s="460" t="s">
        <v>2296</v>
      </c>
      <c r="F2767" s="460">
        <v>1</v>
      </c>
      <c r="G2767" s="460">
        <v>2</v>
      </c>
      <c r="H2767" s="461" t="s">
        <v>706</v>
      </c>
      <c r="I2767" s="461" t="s">
        <v>707</v>
      </c>
      <c r="J2767" s="461" t="s">
        <v>706</v>
      </c>
      <c r="K2767" s="594"/>
      <c r="L2767" s="594"/>
      <c r="M2767" s="352">
        <v>3000</v>
      </c>
      <c r="N2767" s="352" t="s">
        <v>709</v>
      </c>
      <c r="O2767" s="460">
        <v>3121</v>
      </c>
      <c r="P2767" s="460" t="s">
        <v>766</v>
      </c>
      <c r="Q2767" s="460" t="s">
        <v>2266</v>
      </c>
      <c r="R2767" s="460">
        <v>3121</v>
      </c>
      <c r="S2767" s="460" t="s">
        <v>2296</v>
      </c>
      <c r="T2767" s="462">
        <v>1</v>
      </c>
      <c r="U2767" s="460" t="s">
        <v>2296</v>
      </c>
      <c r="V2767" s="475">
        <v>0</v>
      </c>
      <c r="W2767" s="463" t="s">
        <v>2267</v>
      </c>
      <c r="X2767" s="463" t="s">
        <v>2267</v>
      </c>
      <c r="Y2767" s="463" t="s">
        <v>2267</v>
      </c>
      <c r="Z2767" s="463"/>
      <c r="AA2767" s="463"/>
      <c r="AB2767" s="464">
        <v>2286.3626580288433</v>
      </c>
      <c r="AC2767" s="465">
        <v>0.697842220376236</v>
      </c>
      <c r="AD2767" s="465">
        <v>0.81997500386642719</v>
      </c>
      <c r="AE2767" s="476">
        <v>2286.3626580288433</v>
      </c>
      <c r="AF2767" s="467">
        <v>0.697842220376236</v>
      </c>
      <c r="AG2767" s="468">
        <v>0.81997500386642719</v>
      </c>
      <c r="AH2767" s="218">
        <v>2286.3626580288433</v>
      </c>
      <c r="AI2767" s="470">
        <v>0.697842220376236</v>
      </c>
      <c r="AJ2767" s="471">
        <v>0.81997500386642719</v>
      </c>
      <c r="AK2767" s="218">
        <v>2286.3626580288433</v>
      </c>
      <c r="AL2767" s="470">
        <v>0.697842220376236</v>
      </c>
      <c r="AM2767" s="471">
        <v>0.81997500386642719</v>
      </c>
      <c r="AN2767" s="477">
        <v>2286.3626580288433</v>
      </c>
      <c r="AO2767" s="473">
        <v>0.697842220376236</v>
      </c>
      <c r="AP2767" s="474">
        <v>0.81997500386642719</v>
      </c>
      <c r="AQ2767" s="352"/>
      <c r="AR2767" s="352"/>
      <c r="AS2767" s="352"/>
      <c r="AT2767" s="352"/>
      <c r="AU2767" s="352"/>
      <c r="AV2767" s="352"/>
      <c r="AW2767" s="352" t="s">
        <v>254</v>
      </c>
    </row>
    <row r="2768" spans="2:49" x14ac:dyDescent="0.2">
      <c r="B2768" s="460" t="s">
        <v>3186</v>
      </c>
      <c r="C2768" s="460">
        <v>3121</v>
      </c>
      <c r="D2768" s="460" t="s">
        <v>3154</v>
      </c>
      <c r="E2768" s="460" t="s">
        <v>2299</v>
      </c>
      <c r="F2768" s="460">
        <v>2</v>
      </c>
      <c r="G2768" s="460">
        <v>2</v>
      </c>
      <c r="H2768" s="461" t="s">
        <v>706</v>
      </c>
      <c r="I2768" s="461" t="s">
        <v>707</v>
      </c>
      <c r="J2768" s="461" t="s">
        <v>706</v>
      </c>
      <c r="K2768" s="594"/>
      <c r="L2768" s="594"/>
      <c r="M2768" s="352">
        <v>3000</v>
      </c>
      <c r="N2768" s="352" t="s">
        <v>709</v>
      </c>
      <c r="O2768" s="460">
        <v>3121</v>
      </c>
      <c r="P2768" s="460" t="s">
        <v>766</v>
      </c>
      <c r="Q2768" s="460" t="s">
        <v>2266</v>
      </c>
      <c r="R2768" s="460">
        <v>3121</v>
      </c>
      <c r="S2768" s="460" t="s">
        <v>2296</v>
      </c>
      <c r="T2768" s="462">
        <v>0.55517361979372948</v>
      </c>
      <c r="U2768" s="460" t="s">
        <v>2299</v>
      </c>
      <c r="V2768" s="475">
        <v>0</v>
      </c>
      <c r="W2768" s="463" t="s">
        <v>2267</v>
      </c>
      <c r="X2768" s="463" t="s">
        <v>2267</v>
      </c>
      <c r="Y2768" s="463" t="s">
        <v>2267</v>
      </c>
      <c r="Z2768" s="463"/>
      <c r="AA2768" s="463"/>
      <c r="AB2768" s="464">
        <v>108.70426419887922</v>
      </c>
      <c r="AC2768" s="465">
        <v>0.20725688824788505</v>
      </c>
      <c r="AD2768" s="465">
        <v>0.82</v>
      </c>
      <c r="AE2768" s="476">
        <v>108.70426419887922</v>
      </c>
      <c r="AF2768" s="467">
        <v>0.20725688824788505</v>
      </c>
      <c r="AG2768" s="468">
        <v>0.82</v>
      </c>
      <c r="AH2768" s="218">
        <v>203.1999843610146</v>
      </c>
      <c r="AI2768" s="470">
        <v>0.3874235915311684</v>
      </c>
      <c r="AJ2768" s="471">
        <v>0.69688714323148926</v>
      </c>
      <c r="AK2768" s="218">
        <v>203.1999843610146</v>
      </c>
      <c r="AL2768" s="470">
        <v>0.3874235915311684</v>
      </c>
      <c r="AM2768" s="471">
        <v>0.69688714323148926</v>
      </c>
      <c r="AN2768" s="477">
        <v>203.1999843610146</v>
      </c>
      <c r="AO2768" s="473">
        <v>0.3874235915311684</v>
      </c>
      <c r="AP2768" s="474">
        <v>0.69688714323148926</v>
      </c>
      <c r="AQ2768" s="352"/>
      <c r="AR2768" s="352"/>
      <c r="AS2768" s="352"/>
      <c r="AT2768" s="352"/>
      <c r="AU2768" s="352"/>
      <c r="AV2768" s="352"/>
      <c r="AW2768" s="352" t="s">
        <v>254</v>
      </c>
    </row>
    <row r="2769" spans="2:49" x14ac:dyDescent="0.2">
      <c r="B2769" s="460" t="s">
        <v>3187</v>
      </c>
      <c r="C2769" s="460">
        <v>3121</v>
      </c>
      <c r="D2769" s="460" t="s">
        <v>3155</v>
      </c>
      <c r="E2769" s="460" t="s">
        <v>2302</v>
      </c>
      <c r="F2769" s="460">
        <v>3</v>
      </c>
      <c r="G2769" s="460">
        <v>2</v>
      </c>
      <c r="H2769" s="461" t="s">
        <v>706</v>
      </c>
      <c r="I2769" s="461" t="s">
        <v>707</v>
      </c>
      <c r="J2769" s="461" t="s">
        <v>706</v>
      </c>
      <c r="K2769" s="594"/>
      <c r="L2769" s="594"/>
      <c r="M2769" s="352">
        <v>3000</v>
      </c>
      <c r="N2769" s="352" t="s">
        <v>709</v>
      </c>
      <c r="O2769" s="460">
        <v>3121</v>
      </c>
      <c r="P2769" s="460" t="s">
        <v>766</v>
      </c>
      <c r="Q2769" s="460" t="s">
        <v>2266</v>
      </c>
      <c r="R2769" s="460">
        <v>3121</v>
      </c>
      <c r="S2769" s="460" t="s">
        <v>2296</v>
      </c>
      <c r="T2769" s="462">
        <v>0.28481449642268464</v>
      </c>
      <c r="U2769" s="460" t="s">
        <v>2302</v>
      </c>
      <c r="V2769" s="475">
        <v>0</v>
      </c>
      <c r="W2769" s="463" t="s">
        <v>2267</v>
      </c>
      <c r="X2769" s="463" t="s">
        <v>2267</v>
      </c>
      <c r="Y2769" s="463" t="s">
        <v>2267</v>
      </c>
      <c r="Z2769" s="463"/>
      <c r="AA2769" s="463"/>
      <c r="AB2769" s="464">
        <v>90.344575577512813</v>
      </c>
      <c r="AC2769" s="465">
        <v>0.2463597561050537</v>
      </c>
      <c r="AD2769" s="465">
        <v>0.82000000000000006</v>
      </c>
      <c r="AE2769" s="476">
        <v>90.344575577512813</v>
      </c>
      <c r="AF2769" s="467">
        <v>0.2463597561050537</v>
      </c>
      <c r="AG2769" s="468">
        <v>0.82000000000000006</v>
      </c>
      <c r="AH2769" s="218">
        <v>90.344575577512813</v>
      </c>
      <c r="AI2769" s="470">
        <v>0.2463597561050537</v>
      </c>
      <c r="AJ2769" s="471">
        <v>0.82000000000000006</v>
      </c>
      <c r="AK2769" s="218">
        <v>90.344575577512813</v>
      </c>
      <c r="AL2769" s="470">
        <v>0.2463597561050537</v>
      </c>
      <c r="AM2769" s="471">
        <v>0.82000000000000006</v>
      </c>
      <c r="AN2769" s="477">
        <v>90.344575577512813</v>
      </c>
      <c r="AO2769" s="473">
        <v>0.2463597561050537</v>
      </c>
      <c r="AP2769" s="474">
        <v>0.82000000000000006</v>
      </c>
      <c r="AQ2769" s="352"/>
      <c r="AR2769" s="352"/>
      <c r="AS2769" s="352"/>
      <c r="AT2769" s="352"/>
      <c r="AU2769" s="352"/>
      <c r="AV2769" s="352"/>
      <c r="AW2769" s="352" t="s">
        <v>254</v>
      </c>
    </row>
    <row r="2770" spans="2:49" x14ac:dyDescent="0.2">
      <c r="B2770" s="460" t="s">
        <v>3188</v>
      </c>
      <c r="C2770" s="460">
        <v>3121</v>
      </c>
      <c r="D2770" s="460" t="s">
        <v>3156</v>
      </c>
      <c r="E2770" s="460" t="s">
        <v>2305</v>
      </c>
      <c r="F2770" s="460">
        <v>4</v>
      </c>
      <c r="G2770" s="460">
        <v>2</v>
      </c>
      <c r="H2770" s="461" t="s">
        <v>706</v>
      </c>
      <c r="I2770" s="461" t="s">
        <v>707</v>
      </c>
      <c r="J2770" s="461" t="s">
        <v>706</v>
      </c>
      <c r="K2770" s="594"/>
      <c r="L2770" s="594"/>
      <c r="M2770" s="352">
        <v>3000</v>
      </c>
      <c r="N2770" s="352" t="s">
        <v>709</v>
      </c>
      <c r="O2770" s="460">
        <v>3121</v>
      </c>
      <c r="P2770" s="460" t="s">
        <v>766</v>
      </c>
      <c r="Q2770" s="460" t="s">
        <v>2266</v>
      </c>
      <c r="R2770" s="460">
        <v>3121</v>
      </c>
      <c r="S2770" s="460" t="s">
        <v>2305</v>
      </c>
      <c r="T2770" s="462">
        <v>1</v>
      </c>
      <c r="U2770" s="460" t="s">
        <v>2305</v>
      </c>
      <c r="V2770" s="475">
        <v>0</v>
      </c>
      <c r="W2770" s="463" t="s">
        <v>2278</v>
      </c>
      <c r="X2770" s="463" t="s">
        <v>2278</v>
      </c>
      <c r="Y2770" s="463" t="s">
        <v>2278</v>
      </c>
      <c r="Z2770" s="463"/>
      <c r="AA2770" s="463"/>
      <c r="AB2770" s="464">
        <v>1.399005267753018</v>
      </c>
      <c r="AC2770" s="465">
        <v>4.4373642561303514E-3</v>
      </c>
      <c r="AD2770" s="465">
        <v>0.82</v>
      </c>
      <c r="AE2770" s="476">
        <v>1.399005267753018</v>
      </c>
      <c r="AF2770" s="467">
        <v>4.4373642561303514E-3</v>
      </c>
      <c r="AG2770" s="468">
        <v>0.82</v>
      </c>
      <c r="AH2770" s="218">
        <v>1.399005267753018</v>
      </c>
      <c r="AI2770" s="470">
        <v>4.4373642561303514E-3</v>
      </c>
      <c r="AJ2770" s="471">
        <v>0.82</v>
      </c>
      <c r="AK2770" s="218">
        <v>1.399005267753018</v>
      </c>
      <c r="AL2770" s="470">
        <v>4.4373642561303514E-3</v>
      </c>
      <c r="AM2770" s="471">
        <v>0.82</v>
      </c>
      <c r="AN2770" s="477">
        <v>1.399005267753018</v>
      </c>
      <c r="AO2770" s="473">
        <v>4.4373642561303514E-3</v>
      </c>
      <c r="AP2770" s="474">
        <v>0.82</v>
      </c>
      <c r="AQ2770" s="352"/>
      <c r="AR2770" s="352"/>
      <c r="AS2770" s="352"/>
      <c r="AT2770" s="352"/>
      <c r="AU2770" s="352"/>
      <c r="AV2770" s="352"/>
      <c r="AW2770" s="352" t="s">
        <v>254</v>
      </c>
    </row>
    <row r="2771" spans="2:49" x14ac:dyDescent="0.2">
      <c r="B2771" s="460" t="s">
        <v>3185</v>
      </c>
      <c r="C2771" s="460">
        <v>3121</v>
      </c>
      <c r="D2771" s="460" t="s">
        <v>2306</v>
      </c>
      <c r="E2771" s="460" t="s">
        <v>2296</v>
      </c>
      <c r="F2771" s="460">
        <v>1</v>
      </c>
      <c r="G2771" s="460">
        <v>2</v>
      </c>
      <c r="H2771" s="461" t="s">
        <v>712</v>
      </c>
      <c r="I2771" s="461" t="s">
        <v>713</v>
      </c>
      <c r="J2771" s="461" t="s">
        <v>712</v>
      </c>
      <c r="K2771" s="594"/>
      <c r="L2771" s="594"/>
      <c r="M2771" s="352">
        <v>3000</v>
      </c>
      <c r="N2771" s="352" t="s">
        <v>709</v>
      </c>
      <c r="O2771" s="460">
        <v>3121</v>
      </c>
      <c r="P2771" s="460" t="s">
        <v>766</v>
      </c>
      <c r="Q2771" s="460" t="s">
        <v>2280</v>
      </c>
      <c r="R2771" s="460">
        <v>3121</v>
      </c>
      <c r="S2771" s="460" t="s">
        <v>2296</v>
      </c>
      <c r="T2771" s="462">
        <v>1</v>
      </c>
      <c r="U2771" s="460" t="s">
        <v>2296</v>
      </c>
      <c r="V2771" s="475">
        <v>0</v>
      </c>
      <c r="W2771" s="463" t="s">
        <v>713</v>
      </c>
      <c r="X2771" s="463" t="s">
        <v>713</v>
      </c>
      <c r="Y2771" s="463" t="s">
        <v>713</v>
      </c>
      <c r="Z2771" s="463"/>
      <c r="AA2771" s="463"/>
      <c r="AB2771" s="464">
        <v>742.47685650800179</v>
      </c>
      <c r="AC2771" s="465">
        <v>0.22661833471782303</v>
      </c>
      <c r="AD2771" s="465">
        <v>6.4216651647539136E-3</v>
      </c>
      <c r="AE2771" s="476">
        <v>841.4737707090685</v>
      </c>
      <c r="AF2771" s="467">
        <v>0.2568341126801994</v>
      </c>
      <c r="AG2771" s="468">
        <v>7.1713244320996683E-3</v>
      </c>
      <c r="AH2771" s="218">
        <v>841.4737707090685</v>
      </c>
      <c r="AI2771" s="470">
        <v>0.2568341126801994</v>
      </c>
      <c r="AJ2771" s="471">
        <v>7.2555630981289646E-3</v>
      </c>
      <c r="AK2771" s="218">
        <v>841.4737707090685</v>
      </c>
      <c r="AL2771" s="470">
        <v>0.2568341126801994</v>
      </c>
      <c r="AM2771" s="471">
        <v>7.2555630981289646E-3</v>
      </c>
      <c r="AN2771" s="477">
        <v>841.4737707090685</v>
      </c>
      <c r="AO2771" s="473">
        <v>0.2568341126801994</v>
      </c>
      <c r="AP2771" s="474">
        <v>7.2537824830631384E-3</v>
      </c>
      <c r="AQ2771" s="352"/>
      <c r="AR2771" s="352"/>
      <c r="AS2771" s="352"/>
      <c r="AT2771" s="352"/>
      <c r="AU2771" s="352"/>
      <c r="AV2771" s="352"/>
      <c r="AW2771" s="352" t="s">
        <v>254</v>
      </c>
    </row>
    <row r="2772" spans="2:49" x14ac:dyDescent="0.2">
      <c r="B2772" s="460" t="s">
        <v>3186</v>
      </c>
      <c r="C2772" s="460">
        <v>3121</v>
      </c>
      <c r="D2772" s="460" t="s">
        <v>2307</v>
      </c>
      <c r="E2772" s="460" t="s">
        <v>2299</v>
      </c>
      <c r="F2772" s="460">
        <v>2</v>
      </c>
      <c r="G2772" s="460">
        <v>2</v>
      </c>
      <c r="H2772" s="461" t="s">
        <v>712</v>
      </c>
      <c r="I2772" s="461" t="s">
        <v>713</v>
      </c>
      <c r="J2772" s="461" t="s">
        <v>712</v>
      </c>
      <c r="K2772" s="594"/>
      <c r="L2772" s="594"/>
      <c r="M2772" s="352">
        <v>3000</v>
      </c>
      <c r="N2772" s="352" t="s">
        <v>709</v>
      </c>
      <c r="O2772" s="460">
        <v>3121</v>
      </c>
      <c r="P2772" s="460" t="s">
        <v>766</v>
      </c>
      <c r="Q2772" s="460" t="s">
        <v>2280</v>
      </c>
      <c r="R2772" s="460">
        <v>3121</v>
      </c>
      <c r="S2772" s="460" t="s">
        <v>2296</v>
      </c>
      <c r="T2772" s="462">
        <v>0.55517361979372948</v>
      </c>
      <c r="U2772" s="460" t="s">
        <v>2299</v>
      </c>
      <c r="V2772" s="475">
        <v>0</v>
      </c>
      <c r="W2772" s="463" t="s">
        <v>713</v>
      </c>
      <c r="X2772" s="463" t="s">
        <v>713</v>
      </c>
      <c r="Y2772" s="463" t="s">
        <v>713</v>
      </c>
      <c r="Z2772" s="463"/>
      <c r="AA2772" s="463"/>
      <c r="AB2772" s="464">
        <v>311.83965967397552</v>
      </c>
      <c r="AC2772" s="465">
        <v>0.59455733381408626</v>
      </c>
      <c r="AD2772" s="465">
        <v>3.6069721739738904E-3</v>
      </c>
      <c r="AE2772" s="476">
        <v>353.41828096383892</v>
      </c>
      <c r="AF2772" s="467">
        <v>0.67383164498929771</v>
      </c>
      <c r="AG2772" s="468">
        <v>4.0709565708475434E-3</v>
      </c>
      <c r="AH2772" s="218">
        <v>258.92256080170353</v>
      </c>
      <c r="AI2772" s="470">
        <v>0.49366494170601438</v>
      </c>
      <c r="AJ2772" s="471">
        <v>3.0335111577019223E-3</v>
      </c>
      <c r="AK2772" s="218">
        <v>258.92256080170353</v>
      </c>
      <c r="AL2772" s="470">
        <v>0.49366494170601438</v>
      </c>
      <c r="AM2772" s="471">
        <v>3.0335111577019223E-3</v>
      </c>
      <c r="AN2772" s="477">
        <v>258.92256080170353</v>
      </c>
      <c r="AO2772" s="473">
        <v>0.49366494170601438</v>
      </c>
      <c r="AP2772" s="474">
        <v>3.0331282233287617E-3</v>
      </c>
      <c r="AQ2772" s="352"/>
      <c r="AR2772" s="352"/>
      <c r="AS2772" s="352"/>
      <c r="AT2772" s="352"/>
      <c r="AU2772" s="352"/>
      <c r="AV2772" s="352"/>
      <c r="AW2772" s="352" t="s">
        <v>254</v>
      </c>
    </row>
    <row r="2773" spans="2:49" x14ac:dyDescent="0.2">
      <c r="B2773" s="460" t="s">
        <v>3187</v>
      </c>
      <c r="C2773" s="460">
        <v>3121</v>
      </c>
      <c r="D2773" s="460" t="s">
        <v>2308</v>
      </c>
      <c r="E2773" s="460" t="s">
        <v>2302</v>
      </c>
      <c r="F2773" s="460">
        <v>3</v>
      </c>
      <c r="G2773" s="460">
        <v>2</v>
      </c>
      <c r="H2773" s="461" t="s">
        <v>712</v>
      </c>
      <c r="I2773" s="461" t="s">
        <v>713</v>
      </c>
      <c r="J2773" s="461" t="s">
        <v>712</v>
      </c>
      <c r="K2773" s="594"/>
      <c r="L2773" s="594"/>
      <c r="M2773" s="352">
        <v>3000</v>
      </c>
      <c r="N2773" s="352" t="s">
        <v>709</v>
      </c>
      <c r="O2773" s="460">
        <v>3121</v>
      </c>
      <c r="P2773" s="460" t="s">
        <v>766</v>
      </c>
      <c r="Q2773" s="460" t="s">
        <v>2280</v>
      </c>
      <c r="R2773" s="460">
        <v>3121</v>
      </c>
      <c r="S2773" s="460" t="s">
        <v>2296</v>
      </c>
      <c r="T2773" s="462">
        <v>0.28481449642268464</v>
      </c>
      <c r="U2773" s="460" t="s">
        <v>2302</v>
      </c>
      <c r="V2773" s="475">
        <v>0</v>
      </c>
      <c r="W2773" s="463" t="s">
        <v>713</v>
      </c>
      <c r="X2773" s="463" t="s">
        <v>713</v>
      </c>
      <c r="Y2773" s="463" t="s">
        <v>713</v>
      </c>
      <c r="Z2773" s="463"/>
      <c r="AA2773" s="463"/>
      <c r="AB2773" s="464">
        <v>259.35671092647465</v>
      </c>
      <c r="AC2773" s="465">
        <v>0.70723732597797484</v>
      </c>
      <c r="AD2773" s="465">
        <v>7.544038614346953E-3</v>
      </c>
      <c r="AE2773" s="476">
        <v>266.16342642424331</v>
      </c>
      <c r="AF2773" s="467">
        <v>0.72579849314476341</v>
      </c>
      <c r="AG2773" s="468">
        <v>7.7288740002750649E-3</v>
      </c>
      <c r="AH2773" s="218">
        <v>266.16342642424331</v>
      </c>
      <c r="AI2773" s="470">
        <v>0.72579849314476341</v>
      </c>
      <c r="AJ2773" s="471">
        <v>7.8445213731236016E-3</v>
      </c>
      <c r="AK2773" s="218">
        <v>266.16342642424331</v>
      </c>
      <c r="AL2773" s="470">
        <v>0.72579849314476341</v>
      </c>
      <c r="AM2773" s="471">
        <v>7.8445213731236016E-3</v>
      </c>
      <c r="AN2773" s="477">
        <v>266.16342642424331</v>
      </c>
      <c r="AO2773" s="473">
        <v>0.72579849314476341</v>
      </c>
      <c r="AP2773" s="474">
        <v>7.8513426200634059E-3</v>
      </c>
      <c r="AQ2773" s="352"/>
      <c r="AR2773" s="352"/>
      <c r="AS2773" s="352"/>
      <c r="AT2773" s="352"/>
      <c r="AU2773" s="352"/>
      <c r="AV2773" s="352"/>
      <c r="AW2773" s="352" t="s">
        <v>254</v>
      </c>
    </row>
    <row r="2774" spans="2:49" x14ac:dyDescent="0.2">
      <c r="B2774" s="460" t="s">
        <v>3188</v>
      </c>
      <c r="C2774" s="460">
        <v>3121</v>
      </c>
      <c r="D2774" s="460" t="s">
        <v>2309</v>
      </c>
      <c r="E2774" s="460" t="s">
        <v>2305</v>
      </c>
      <c r="F2774" s="460">
        <v>4</v>
      </c>
      <c r="G2774" s="460">
        <v>2</v>
      </c>
      <c r="H2774" s="461" t="s">
        <v>712</v>
      </c>
      <c r="I2774" s="461" t="s">
        <v>713</v>
      </c>
      <c r="J2774" s="461" t="s">
        <v>712</v>
      </c>
      <c r="K2774" s="594"/>
      <c r="L2774" s="594"/>
      <c r="M2774" s="352">
        <v>3000</v>
      </c>
      <c r="N2774" s="352" t="s">
        <v>709</v>
      </c>
      <c r="O2774" s="460">
        <v>3121</v>
      </c>
      <c r="P2774" s="460" t="s">
        <v>766</v>
      </c>
      <c r="Q2774" s="460" t="s">
        <v>2280</v>
      </c>
      <c r="R2774" s="460">
        <v>3121</v>
      </c>
      <c r="S2774" s="460" t="s">
        <v>2305</v>
      </c>
      <c r="T2774" s="462">
        <v>1</v>
      </c>
      <c r="U2774" s="460" t="s">
        <v>2305</v>
      </c>
      <c r="V2774" s="475">
        <v>0</v>
      </c>
      <c r="W2774" s="463" t="s">
        <v>713</v>
      </c>
      <c r="X2774" s="463" t="s">
        <v>713</v>
      </c>
      <c r="Y2774" s="463" t="s">
        <v>713</v>
      </c>
      <c r="Z2774" s="463"/>
      <c r="AA2774" s="463"/>
      <c r="AB2774" s="464">
        <v>313.46136056486176</v>
      </c>
      <c r="AC2774" s="465">
        <v>0.9942365973235664</v>
      </c>
      <c r="AD2774" s="465">
        <v>8.005772560444567E-3</v>
      </c>
      <c r="AE2774" s="476">
        <v>313.6285890931652</v>
      </c>
      <c r="AF2774" s="467">
        <v>0.99476701269168777</v>
      </c>
      <c r="AG2774" s="468">
        <v>8.0097866274851503E-3</v>
      </c>
      <c r="AH2774" s="218">
        <v>313.6285890931652</v>
      </c>
      <c r="AI2774" s="470">
        <v>0.99476701269168777</v>
      </c>
      <c r="AJ2774" s="471">
        <v>8.0097963235719136E-3</v>
      </c>
      <c r="AK2774" s="218">
        <v>313.6285890931652</v>
      </c>
      <c r="AL2774" s="470">
        <v>0.99476701269168777</v>
      </c>
      <c r="AM2774" s="471">
        <v>8.0097963235719136E-3</v>
      </c>
      <c r="AN2774" s="477">
        <v>313.6285890931652</v>
      </c>
      <c r="AO2774" s="473">
        <v>0.99476701269168777</v>
      </c>
      <c r="AP2774" s="474">
        <v>8.0098061211457214E-3</v>
      </c>
      <c r="AQ2774" s="352"/>
      <c r="AR2774" s="352"/>
      <c r="AS2774" s="352"/>
      <c r="AT2774" s="352"/>
      <c r="AU2774" s="352"/>
      <c r="AV2774" s="352"/>
      <c r="AW2774" s="352" t="s">
        <v>254</v>
      </c>
    </row>
    <row r="2775" spans="2:49" x14ac:dyDescent="0.2">
      <c r="B2775" s="460" t="s">
        <v>3185</v>
      </c>
      <c r="C2775" s="460">
        <v>3121</v>
      </c>
      <c r="D2775" s="460" t="s">
        <v>2310</v>
      </c>
      <c r="E2775" s="460" t="s">
        <v>2296</v>
      </c>
      <c r="F2775" s="460">
        <v>1</v>
      </c>
      <c r="G2775" s="460">
        <v>2</v>
      </c>
      <c r="H2775" s="461" t="s">
        <v>746</v>
      </c>
      <c r="I2775" s="461" t="s">
        <v>762</v>
      </c>
      <c r="J2775" s="461" t="s">
        <v>700</v>
      </c>
      <c r="K2775" s="594"/>
      <c r="L2775" s="594"/>
      <c r="M2775" s="352">
        <v>3000</v>
      </c>
      <c r="N2775" s="352" t="s">
        <v>709</v>
      </c>
      <c r="O2775" s="460">
        <v>3121</v>
      </c>
      <c r="P2775" s="460" t="s">
        <v>766</v>
      </c>
      <c r="Q2775" s="460" t="s">
        <v>2553</v>
      </c>
      <c r="R2775" s="460">
        <v>3121</v>
      </c>
      <c r="S2775" s="460" t="s">
        <v>2296</v>
      </c>
      <c r="T2775" s="462">
        <v>1</v>
      </c>
      <c r="U2775" s="460" t="s">
        <v>2296</v>
      </c>
      <c r="V2775" s="475">
        <v>0</v>
      </c>
      <c r="W2775" s="463" t="s">
        <v>2268</v>
      </c>
      <c r="X2775" s="463" t="s">
        <v>2268</v>
      </c>
      <c r="Y2775" s="463" t="s">
        <v>2554</v>
      </c>
      <c r="Z2775" s="463"/>
      <c r="AA2775" s="463"/>
      <c r="AB2775" s="464">
        <v>0</v>
      </c>
      <c r="AC2775" s="465">
        <v>0</v>
      </c>
      <c r="AD2775" s="465">
        <v>0</v>
      </c>
      <c r="AE2775" s="476">
        <v>0</v>
      </c>
      <c r="AF2775" s="467">
        <v>0</v>
      </c>
      <c r="AG2775" s="468">
        <v>0</v>
      </c>
      <c r="AH2775" s="218">
        <v>0</v>
      </c>
      <c r="AI2775" s="470">
        <v>0</v>
      </c>
      <c r="AJ2775" s="471">
        <v>0</v>
      </c>
      <c r="AK2775" s="218">
        <v>0</v>
      </c>
      <c r="AL2775" s="470">
        <v>0</v>
      </c>
      <c r="AM2775" s="471">
        <v>0</v>
      </c>
      <c r="AN2775" s="477">
        <v>24.749228550266722</v>
      </c>
      <c r="AO2775" s="473">
        <v>7.5539444905941E-3</v>
      </c>
      <c r="AP2775" s="474">
        <v>1.8385082592803621E-3</v>
      </c>
      <c r="AQ2775" s="352"/>
      <c r="AR2775" s="352"/>
      <c r="AS2775" s="352"/>
      <c r="AT2775" s="352"/>
      <c r="AU2775" s="352"/>
      <c r="AV2775" s="352"/>
      <c r="AW2775" s="352" t="s">
        <v>254</v>
      </c>
    </row>
    <row r="2776" spans="2:49" x14ac:dyDescent="0.2">
      <c r="B2776" s="460" t="s">
        <v>3186</v>
      </c>
      <c r="C2776" s="460">
        <v>3121</v>
      </c>
      <c r="D2776" s="460" t="s">
        <v>2311</v>
      </c>
      <c r="E2776" s="460" t="s">
        <v>2299</v>
      </c>
      <c r="F2776" s="460">
        <v>2</v>
      </c>
      <c r="G2776" s="460">
        <v>2</v>
      </c>
      <c r="H2776" s="461" t="s">
        <v>746</v>
      </c>
      <c r="I2776" s="461" t="s">
        <v>762</v>
      </c>
      <c r="J2776" s="461" t="s">
        <v>700</v>
      </c>
      <c r="K2776" s="594"/>
      <c r="L2776" s="594"/>
      <c r="M2776" s="352">
        <v>3000</v>
      </c>
      <c r="N2776" s="352" t="s">
        <v>709</v>
      </c>
      <c r="O2776" s="460">
        <v>3121</v>
      </c>
      <c r="P2776" s="460" t="s">
        <v>766</v>
      </c>
      <c r="Q2776" s="460" t="s">
        <v>2553</v>
      </c>
      <c r="R2776" s="460">
        <v>3121</v>
      </c>
      <c r="S2776" s="460" t="s">
        <v>2296</v>
      </c>
      <c r="T2776" s="462">
        <v>0.55517361979372948</v>
      </c>
      <c r="U2776" s="460" t="s">
        <v>2299</v>
      </c>
      <c r="V2776" s="475">
        <v>0</v>
      </c>
      <c r="W2776" s="463" t="s">
        <v>2268</v>
      </c>
      <c r="X2776" s="463" t="s">
        <v>2268</v>
      </c>
      <c r="Y2776" s="463" t="s">
        <v>2554</v>
      </c>
      <c r="Z2776" s="463"/>
      <c r="AA2776" s="463"/>
      <c r="AB2776" s="464">
        <v>0</v>
      </c>
      <c r="AC2776" s="465">
        <v>0</v>
      </c>
      <c r="AD2776" s="465">
        <v>0</v>
      </c>
      <c r="AE2776" s="476">
        <v>0</v>
      </c>
      <c r="AF2776" s="467">
        <v>0</v>
      </c>
      <c r="AG2776" s="468">
        <v>0</v>
      </c>
      <c r="AH2776" s="218">
        <v>0</v>
      </c>
      <c r="AI2776" s="470">
        <v>0</v>
      </c>
      <c r="AJ2776" s="471">
        <v>0</v>
      </c>
      <c r="AK2776" s="218">
        <v>0</v>
      </c>
      <c r="AL2776" s="470">
        <v>0</v>
      </c>
      <c r="AM2776" s="471">
        <v>0</v>
      </c>
      <c r="AN2776" s="477">
        <v>10.394655322465848</v>
      </c>
      <c r="AO2776" s="473">
        <v>1.9818577793802868E-2</v>
      </c>
      <c r="AP2776" s="474">
        <v>3.2932196520954436E-3</v>
      </c>
      <c r="AQ2776" s="352"/>
      <c r="AR2776" s="352"/>
      <c r="AS2776" s="352"/>
      <c r="AT2776" s="352"/>
      <c r="AU2776" s="352"/>
      <c r="AV2776" s="352"/>
      <c r="AW2776" s="352" t="s">
        <v>254</v>
      </c>
    </row>
    <row r="2777" spans="2:49" x14ac:dyDescent="0.2">
      <c r="B2777" s="460" t="s">
        <v>3187</v>
      </c>
      <c r="C2777" s="460">
        <v>3121</v>
      </c>
      <c r="D2777" s="460" t="s">
        <v>2312</v>
      </c>
      <c r="E2777" s="460" t="s">
        <v>2302</v>
      </c>
      <c r="F2777" s="460">
        <v>3</v>
      </c>
      <c r="G2777" s="460">
        <v>2</v>
      </c>
      <c r="H2777" s="461" t="s">
        <v>746</v>
      </c>
      <c r="I2777" s="461" t="s">
        <v>762</v>
      </c>
      <c r="J2777" s="461" t="s">
        <v>700</v>
      </c>
      <c r="K2777" s="594"/>
      <c r="L2777" s="594"/>
      <c r="M2777" s="352">
        <v>3000</v>
      </c>
      <c r="N2777" s="352" t="s">
        <v>709</v>
      </c>
      <c r="O2777" s="460">
        <v>3121</v>
      </c>
      <c r="P2777" s="460" t="s">
        <v>766</v>
      </c>
      <c r="Q2777" s="460" t="s">
        <v>2553</v>
      </c>
      <c r="R2777" s="460">
        <v>3121</v>
      </c>
      <c r="S2777" s="460" t="s">
        <v>2296</v>
      </c>
      <c r="T2777" s="462">
        <v>0.28481449642268464</v>
      </c>
      <c r="U2777" s="460" t="s">
        <v>2302</v>
      </c>
      <c r="V2777" s="475">
        <v>0</v>
      </c>
      <c r="W2777" s="463" t="s">
        <v>2268</v>
      </c>
      <c r="X2777" s="463" t="s">
        <v>2268</v>
      </c>
      <c r="Y2777" s="463" t="s">
        <v>2554</v>
      </c>
      <c r="Z2777" s="463"/>
      <c r="AA2777" s="463"/>
      <c r="AB2777" s="464">
        <v>0</v>
      </c>
      <c r="AC2777" s="465">
        <v>0</v>
      </c>
      <c r="AD2777" s="465">
        <v>0</v>
      </c>
      <c r="AE2777" s="476">
        <v>0</v>
      </c>
      <c r="AF2777" s="467">
        <v>0</v>
      </c>
      <c r="AG2777" s="468">
        <v>0</v>
      </c>
      <c r="AH2777" s="218">
        <v>0</v>
      </c>
      <c r="AI2777" s="470">
        <v>0</v>
      </c>
      <c r="AJ2777" s="471">
        <v>0</v>
      </c>
      <c r="AK2777" s="218">
        <v>0</v>
      </c>
      <c r="AL2777" s="470">
        <v>0</v>
      </c>
      <c r="AM2777" s="471">
        <v>0</v>
      </c>
      <c r="AN2777" s="477">
        <v>1.7016788744421683</v>
      </c>
      <c r="AO2777" s="473">
        <v>4.6402917916971431E-3</v>
      </c>
      <c r="AP2777" s="474">
        <v>2.2418359218768823E-3</v>
      </c>
      <c r="AQ2777" s="352"/>
      <c r="AR2777" s="352"/>
      <c r="AS2777" s="352"/>
      <c r="AT2777" s="352"/>
      <c r="AU2777" s="352"/>
      <c r="AV2777" s="352"/>
      <c r="AW2777" s="352" t="s">
        <v>254</v>
      </c>
    </row>
    <row r="2778" spans="2:49" x14ac:dyDescent="0.2">
      <c r="B2778" s="460" t="s">
        <v>3188</v>
      </c>
      <c r="C2778" s="460">
        <v>3121</v>
      </c>
      <c r="D2778" s="460" t="s">
        <v>2313</v>
      </c>
      <c r="E2778" s="460" t="s">
        <v>2305</v>
      </c>
      <c r="F2778" s="460">
        <v>4</v>
      </c>
      <c r="G2778" s="460">
        <v>2</v>
      </c>
      <c r="H2778" s="461" t="s">
        <v>746</v>
      </c>
      <c r="I2778" s="461" t="s">
        <v>762</v>
      </c>
      <c r="J2778" s="461" t="s">
        <v>700</v>
      </c>
      <c r="K2778" s="594"/>
      <c r="L2778" s="594"/>
      <c r="M2778" s="352">
        <v>3000</v>
      </c>
      <c r="N2778" s="352" t="s">
        <v>709</v>
      </c>
      <c r="O2778" s="460">
        <v>3121</v>
      </c>
      <c r="P2778" s="460" t="s">
        <v>766</v>
      </c>
      <c r="Q2778" s="460" t="s">
        <v>2553</v>
      </c>
      <c r="R2778" s="460">
        <v>3121</v>
      </c>
      <c r="S2778" s="460" t="s">
        <v>2305</v>
      </c>
      <c r="T2778" s="462">
        <v>1</v>
      </c>
      <c r="U2778" s="460" t="s">
        <v>2305</v>
      </c>
      <c r="V2778" s="475">
        <v>0</v>
      </c>
      <c r="W2778" s="463" t="s">
        <v>2268</v>
      </c>
      <c r="X2778" s="463" t="s">
        <v>2268</v>
      </c>
      <c r="Y2778" s="463" t="s">
        <v>2554</v>
      </c>
      <c r="Z2778" s="463"/>
      <c r="AA2778" s="463"/>
      <c r="AB2778" s="464">
        <v>0</v>
      </c>
      <c r="AC2778" s="465">
        <v>0</v>
      </c>
      <c r="AD2778" s="465">
        <v>0</v>
      </c>
      <c r="AE2778" s="476">
        <v>0</v>
      </c>
      <c r="AF2778" s="467">
        <v>0</v>
      </c>
      <c r="AG2778" s="468">
        <v>0</v>
      </c>
      <c r="AH2778" s="218">
        <v>0</v>
      </c>
      <c r="AI2778" s="470">
        <v>0</v>
      </c>
      <c r="AJ2778" s="471">
        <v>0</v>
      </c>
      <c r="AK2778" s="218">
        <v>0</v>
      </c>
      <c r="AL2778" s="470">
        <v>0</v>
      </c>
      <c r="AM2778" s="471">
        <v>0</v>
      </c>
      <c r="AN2778" s="477">
        <v>4.1807132075852696E-2</v>
      </c>
      <c r="AO2778" s="473">
        <v>1.3260384203032192E-4</v>
      </c>
      <c r="AP2778" s="474">
        <v>4.0805648358693009E-3</v>
      </c>
      <c r="AQ2778" s="352"/>
      <c r="AR2778" s="352"/>
      <c r="AS2778" s="352"/>
      <c r="AT2778" s="352"/>
      <c r="AU2778" s="352"/>
      <c r="AV2778" s="352"/>
      <c r="AW2778" s="352" t="s">
        <v>254</v>
      </c>
    </row>
    <row r="2779" spans="2:49" x14ac:dyDescent="0.2">
      <c r="B2779" s="460" t="s">
        <v>3185</v>
      </c>
      <c r="C2779" s="460">
        <v>3121</v>
      </c>
      <c r="D2779" s="460" t="s">
        <v>2314</v>
      </c>
      <c r="E2779" s="460" t="s">
        <v>2296</v>
      </c>
      <c r="F2779" s="460">
        <v>1</v>
      </c>
      <c r="G2779" s="460">
        <v>2</v>
      </c>
      <c r="H2779" s="461" t="s">
        <v>748</v>
      </c>
      <c r="I2779" s="461" t="s">
        <v>765</v>
      </c>
      <c r="J2779" s="461" t="s">
        <v>700</v>
      </c>
      <c r="K2779" s="594"/>
      <c r="L2779" s="594"/>
      <c r="M2779" s="352">
        <v>3000</v>
      </c>
      <c r="N2779" s="352" t="s">
        <v>709</v>
      </c>
      <c r="O2779" s="460">
        <v>3121</v>
      </c>
      <c r="P2779" s="460" t="s">
        <v>766</v>
      </c>
      <c r="Q2779" s="460" t="s">
        <v>2553</v>
      </c>
      <c r="R2779" s="460">
        <v>3121</v>
      </c>
      <c r="S2779" s="460" t="s">
        <v>2296</v>
      </c>
      <c r="T2779" s="462">
        <v>1</v>
      </c>
      <c r="U2779" s="460" t="s">
        <v>2296</v>
      </c>
      <c r="V2779" s="475">
        <v>0</v>
      </c>
      <c r="W2779" s="463" t="s">
        <v>2268</v>
      </c>
      <c r="X2779" s="463" t="s">
        <v>2268</v>
      </c>
      <c r="Y2779" s="463" t="s">
        <v>2554</v>
      </c>
      <c r="Z2779" s="463"/>
      <c r="AA2779" s="463"/>
      <c r="AB2779" s="464">
        <v>0</v>
      </c>
      <c r="AC2779" s="465">
        <v>0</v>
      </c>
      <c r="AD2779" s="465">
        <v>0</v>
      </c>
      <c r="AE2779" s="476">
        <v>0</v>
      </c>
      <c r="AF2779" s="467">
        <v>0</v>
      </c>
      <c r="AG2779" s="468">
        <v>0</v>
      </c>
      <c r="AH2779" s="218">
        <v>0</v>
      </c>
      <c r="AI2779" s="470">
        <v>0</v>
      </c>
      <c r="AJ2779" s="471">
        <v>0</v>
      </c>
      <c r="AK2779" s="218">
        <v>0</v>
      </c>
      <c r="AL2779" s="470">
        <v>0</v>
      </c>
      <c r="AM2779" s="471">
        <v>0</v>
      </c>
      <c r="AN2779" s="477">
        <v>123.74614275133364</v>
      </c>
      <c r="AO2779" s="473">
        <v>3.7769722452970507E-2</v>
      </c>
      <c r="AP2779" s="474">
        <v>3.7802751589922683E-2</v>
      </c>
      <c r="AQ2779" s="352"/>
      <c r="AR2779" s="352"/>
      <c r="AS2779" s="352"/>
      <c r="AT2779" s="352"/>
      <c r="AU2779" s="352"/>
      <c r="AV2779" s="352"/>
      <c r="AW2779" s="352" t="s">
        <v>254</v>
      </c>
    </row>
    <row r="2780" spans="2:49" x14ac:dyDescent="0.2">
      <c r="B2780" s="460" t="s">
        <v>3186</v>
      </c>
      <c r="C2780" s="460">
        <v>3121</v>
      </c>
      <c r="D2780" s="460" t="s">
        <v>2315</v>
      </c>
      <c r="E2780" s="460" t="s">
        <v>2299</v>
      </c>
      <c r="F2780" s="460">
        <v>2</v>
      </c>
      <c r="G2780" s="460">
        <v>2</v>
      </c>
      <c r="H2780" s="461" t="s">
        <v>748</v>
      </c>
      <c r="I2780" s="461" t="s">
        <v>765</v>
      </c>
      <c r="J2780" s="461" t="s">
        <v>700</v>
      </c>
      <c r="K2780" s="594"/>
      <c r="L2780" s="594"/>
      <c r="M2780" s="352">
        <v>3000</v>
      </c>
      <c r="N2780" s="352" t="s">
        <v>709</v>
      </c>
      <c r="O2780" s="460">
        <v>3121</v>
      </c>
      <c r="P2780" s="460" t="s">
        <v>766</v>
      </c>
      <c r="Q2780" s="460" t="s">
        <v>2553</v>
      </c>
      <c r="R2780" s="460">
        <v>3121</v>
      </c>
      <c r="S2780" s="460" t="s">
        <v>2296</v>
      </c>
      <c r="T2780" s="462">
        <v>0.55517361979372948</v>
      </c>
      <c r="U2780" s="460" t="s">
        <v>2299</v>
      </c>
      <c r="V2780" s="475">
        <v>0</v>
      </c>
      <c r="W2780" s="463" t="s">
        <v>2268</v>
      </c>
      <c r="X2780" s="463" t="s">
        <v>2268</v>
      </c>
      <c r="Y2780" s="463" t="s">
        <v>2554</v>
      </c>
      <c r="Z2780" s="463"/>
      <c r="AA2780" s="463"/>
      <c r="AB2780" s="464">
        <v>0</v>
      </c>
      <c r="AC2780" s="465">
        <v>0</v>
      </c>
      <c r="AD2780" s="465">
        <v>0</v>
      </c>
      <c r="AE2780" s="476">
        <v>0</v>
      </c>
      <c r="AF2780" s="467">
        <v>0</v>
      </c>
      <c r="AG2780" s="468">
        <v>0</v>
      </c>
      <c r="AH2780" s="218">
        <v>0</v>
      </c>
      <c r="AI2780" s="470">
        <v>0</v>
      </c>
      <c r="AJ2780" s="471">
        <v>0</v>
      </c>
      <c r="AK2780" s="218">
        <v>0</v>
      </c>
      <c r="AL2780" s="470">
        <v>0</v>
      </c>
      <c r="AM2780" s="471">
        <v>0</v>
      </c>
      <c r="AN2780" s="477">
        <v>51.973276612329251</v>
      </c>
      <c r="AO2780" s="473">
        <v>9.9092888969014359E-2</v>
      </c>
      <c r="AP2780" s="474">
        <v>4.8152310781083847E-2</v>
      </c>
      <c r="AQ2780" s="352"/>
      <c r="AR2780" s="352"/>
      <c r="AS2780" s="352"/>
      <c r="AT2780" s="352"/>
      <c r="AU2780" s="352"/>
      <c r="AV2780" s="352"/>
      <c r="AW2780" s="352" t="s">
        <v>254</v>
      </c>
    </row>
    <row r="2781" spans="2:49" x14ac:dyDescent="0.2">
      <c r="B2781" s="460" t="s">
        <v>3187</v>
      </c>
      <c r="C2781" s="460">
        <v>3121</v>
      </c>
      <c r="D2781" s="460" t="s">
        <v>2316</v>
      </c>
      <c r="E2781" s="460" t="s">
        <v>2302</v>
      </c>
      <c r="F2781" s="460">
        <v>3</v>
      </c>
      <c r="G2781" s="460">
        <v>2</v>
      </c>
      <c r="H2781" s="461" t="s">
        <v>748</v>
      </c>
      <c r="I2781" s="461" t="s">
        <v>765</v>
      </c>
      <c r="J2781" s="461" t="s">
        <v>700</v>
      </c>
      <c r="K2781" s="594"/>
      <c r="L2781" s="594"/>
      <c r="M2781" s="352">
        <v>3000</v>
      </c>
      <c r="N2781" s="352" t="s">
        <v>709</v>
      </c>
      <c r="O2781" s="460">
        <v>3121</v>
      </c>
      <c r="P2781" s="460" t="s">
        <v>766</v>
      </c>
      <c r="Q2781" s="460" t="s">
        <v>2553</v>
      </c>
      <c r="R2781" s="460">
        <v>3121</v>
      </c>
      <c r="S2781" s="460" t="s">
        <v>2296</v>
      </c>
      <c r="T2781" s="462">
        <v>0.28481449642268464</v>
      </c>
      <c r="U2781" s="460" t="s">
        <v>2302</v>
      </c>
      <c r="V2781" s="475">
        <v>0</v>
      </c>
      <c r="W2781" s="463" t="s">
        <v>2268</v>
      </c>
      <c r="X2781" s="463" t="s">
        <v>2268</v>
      </c>
      <c r="Y2781" s="463" t="s">
        <v>2554</v>
      </c>
      <c r="Z2781" s="463"/>
      <c r="AA2781" s="463"/>
      <c r="AB2781" s="464">
        <v>0</v>
      </c>
      <c r="AC2781" s="465">
        <v>0</v>
      </c>
      <c r="AD2781" s="465">
        <v>0</v>
      </c>
      <c r="AE2781" s="476">
        <v>0</v>
      </c>
      <c r="AF2781" s="467">
        <v>0</v>
      </c>
      <c r="AG2781" s="468">
        <v>0</v>
      </c>
      <c r="AH2781" s="218">
        <v>0</v>
      </c>
      <c r="AI2781" s="470">
        <v>0</v>
      </c>
      <c r="AJ2781" s="471">
        <v>0</v>
      </c>
      <c r="AK2781" s="218">
        <v>0</v>
      </c>
      <c r="AL2781" s="470">
        <v>0</v>
      </c>
      <c r="AM2781" s="471">
        <v>0</v>
      </c>
      <c r="AN2781" s="477">
        <v>8.5083943722108444</v>
      </c>
      <c r="AO2781" s="473">
        <v>2.3201458958485723E-2</v>
      </c>
      <c r="AP2781" s="474">
        <v>3.6406854531096856E-2</v>
      </c>
      <c r="AQ2781" s="352"/>
      <c r="AR2781" s="352"/>
      <c r="AS2781" s="352"/>
      <c r="AT2781" s="352"/>
      <c r="AU2781" s="352"/>
      <c r="AV2781" s="352"/>
      <c r="AW2781" s="352" t="s">
        <v>254</v>
      </c>
    </row>
    <row r="2782" spans="2:49" x14ac:dyDescent="0.2">
      <c r="B2782" s="460" t="s">
        <v>3188</v>
      </c>
      <c r="C2782" s="460">
        <v>3121</v>
      </c>
      <c r="D2782" s="460" t="s">
        <v>2317</v>
      </c>
      <c r="E2782" s="460" t="s">
        <v>2305</v>
      </c>
      <c r="F2782" s="460">
        <v>4</v>
      </c>
      <c r="G2782" s="460">
        <v>2</v>
      </c>
      <c r="H2782" s="461" t="s">
        <v>748</v>
      </c>
      <c r="I2782" s="461" t="s">
        <v>765</v>
      </c>
      <c r="J2782" s="461" t="s">
        <v>700</v>
      </c>
      <c r="K2782" s="594"/>
      <c r="L2782" s="594"/>
      <c r="M2782" s="352">
        <v>3000</v>
      </c>
      <c r="N2782" s="352" t="s">
        <v>709</v>
      </c>
      <c r="O2782" s="460">
        <v>3121</v>
      </c>
      <c r="P2782" s="460" t="s">
        <v>766</v>
      </c>
      <c r="Q2782" s="460" t="s">
        <v>2553</v>
      </c>
      <c r="R2782" s="460">
        <v>3121</v>
      </c>
      <c r="S2782" s="460" t="s">
        <v>2305</v>
      </c>
      <c r="T2782" s="462">
        <v>1</v>
      </c>
      <c r="U2782" s="460" t="s">
        <v>2305</v>
      </c>
      <c r="V2782" s="475">
        <v>0</v>
      </c>
      <c r="W2782" s="463" t="s">
        <v>2268</v>
      </c>
      <c r="X2782" s="463" t="s">
        <v>2268</v>
      </c>
      <c r="Y2782" s="463" t="s">
        <v>2554</v>
      </c>
      <c r="Z2782" s="463"/>
      <c r="AA2782" s="463"/>
      <c r="AB2782" s="464">
        <v>0</v>
      </c>
      <c r="AC2782" s="465">
        <v>0</v>
      </c>
      <c r="AD2782" s="465">
        <v>0</v>
      </c>
      <c r="AE2782" s="476">
        <v>0</v>
      </c>
      <c r="AF2782" s="467">
        <v>0</v>
      </c>
      <c r="AG2782" s="468">
        <v>0</v>
      </c>
      <c r="AH2782" s="218">
        <v>0</v>
      </c>
      <c r="AI2782" s="470">
        <v>0</v>
      </c>
      <c r="AJ2782" s="471">
        <v>0</v>
      </c>
      <c r="AK2782" s="218">
        <v>0</v>
      </c>
      <c r="AL2782" s="470">
        <v>0</v>
      </c>
      <c r="AM2782" s="471">
        <v>0</v>
      </c>
      <c r="AN2782" s="477">
        <v>0.20903566037926352</v>
      </c>
      <c r="AO2782" s="473">
        <v>6.6301921015160981E-4</v>
      </c>
      <c r="AP2782" s="474">
        <v>0.1707183695262976</v>
      </c>
      <c r="AQ2782" s="352"/>
      <c r="AR2782" s="352"/>
      <c r="AS2782" s="352"/>
      <c r="AT2782" s="352"/>
      <c r="AU2782" s="352"/>
      <c r="AV2782" s="352"/>
      <c r="AW2782" s="352" t="s">
        <v>254</v>
      </c>
    </row>
    <row r="2783" spans="2:49" x14ac:dyDescent="0.2">
      <c r="B2783" s="460" t="s">
        <v>3189</v>
      </c>
      <c r="C2783" s="460">
        <v>3121</v>
      </c>
      <c r="D2783" s="460" t="s">
        <v>2323</v>
      </c>
      <c r="E2783" s="460" t="s">
        <v>2324</v>
      </c>
      <c r="F2783" s="460">
        <v>1</v>
      </c>
      <c r="G2783" s="460">
        <v>3</v>
      </c>
      <c r="H2783" s="461" t="s">
        <v>700</v>
      </c>
      <c r="I2783" s="461" t="s">
        <v>872</v>
      </c>
      <c r="J2783" s="461" t="s">
        <v>700</v>
      </c>
      <c r="K2783" s="594"/>
      <c r="L2783" s="594"/>
      <c r="M2783" s="352">
        <v>3000</v>
      </c>
      <c r="N2783" s="352" t="s">
        <v>709</v>
      </c>
      <c r="O2783" s="460">
        <v>3121</v>
      </c>
      <c r="P2783" s="460" t="s">
        <v>766</v>
      </c>
      <c r="Q2783" s="460" t="s">
        <v>2553</v>
      </c>
      <c r="R2783" s="460">
        <v>3121</v>
      </c>
      <c r="S2783" s="460" t="s">
        <v>2324</v>
      </c>
      <c r="T2783" s="462">
        <v>1</v>
      </c>
      <c r="U2783" s="460" t="s">
        <v>2324</v>
      </c>
      <c r="V2783" s="475">
        <v>0</v>
      </c>
      <c r="W2783" s="463" t="s">
        <v>2554</v>
      </c>
      <c r="X2783" s="463" t="s">
        <v>2554</v>
      </c>
      <c r="Y2783" s="463" t="s">
        <v>2268</v>
      </c>
      <c r="Z2783" s="463"/>
      <c r="AA2783" s="463"/>
      <c r="AB2783" s="464">
        <v>466.59855759898221</v>
      </c>
      <c r="AC2783" s="465">
        <v>5.0508527965485488E-2</v>
      </c>
      <c r="AD2783" s="465">
        <v>3.9999999999999992E-3</v>
      </c>
      <c r="AE2783" s="476">
        <v>279.95913455938933</v>
      </c>
      <c r="AF2783" s="467">
        <v>3.0305116779291291E-2</v>
      </c>
      <c r="AG2783" s="468">
        <v>2.5708754538020205E-3</v>
      </c>
      <c r="AH2783" s="218">
        <v>279.95913455938933</v>
      </c>
      <c r="AI2783" s="470">
        <v>3.0305116779291291E-2</v>
      </c>
      <c r="AJ2783" s="471">
        <v>2.4550198319044795E-3</v>
      </c>
      <c r="AK2783" s="218">
        <v>279.95913455938933</v>
      </c>
      <c r="AL2783" s="470">
        <v>3.0305116779291291E-2</v>
      </c>
      <c r="AM2783" s="471">
        <v>2.4550198319044795E-3</v>
      </c>
      <c r="AN2783" s="477">
        <v>0</v>
      </c>
      <c r="AO2783" s="473">
        <v>0</v>
      </c>
      <c r="AP2783" s="474">
        <v>0</v>
      </c>
      <c r="AQ2783" s="352"/>
      <c r="AR2783" s="352"/>
      <c r="AS2783" s="352"/>
      <c r="AT2783" s="352"/>
      <c r="AU2783" s="352"/>
      <c r="AV2783" s="352"/>
      <c r="AW2783" s="352" t="s">
        <v>254</v>
      </c>
    </row>
    <row r="2784" spans="2:49" x14ac:dyDescent="0.2">
      <c r="B2784" s="460" t="s">
        <v>3190</v>
      </c>
      <c r="C2784" s="460">
        <v>3121</v>
      </c>
      <c r="D2784" s="460" t="s">
        <v>2326</v>
      </c>
      <c r="E2784" s="460" t="s">
        <v>2327</v>
      </c>
      <c r="F2784" s="460">
        <v>2</v>
      </c>
      <c r="G2784" s="460">
        <v>3</v>
      </c>
      <c r="H2784" s="461" t="s">
        <v>700</v>
      </c>
      <c r="I2784" s="461" t="s">
        <v>872</v>
      </c>
      <c r="J2784" s="461" t="s">
        <v>700</v>
      </c>
      <c r="K2784" s="594"/>
      <c r="L2784" s="594"/>
      <c r="M2784" s="352">
        <v>3000</v>
      </c>
      <c r="N2784" s="352" t="s">
        <v>709</v>
      </c>
      <c r="O2784" s="460">
        <v>3121</v>
      </c>
      <c r="P2784" s="460" t="s">
        <v>766</v>
      </c>
      <c r="Q2784" s="460" t="s">
        <v>2553</v>
      </c>
      <c r="R2784" s="460">
        <v>3121</v>
      </c>
      <c r="S2784" s="460" t="s">
        <v>2324</v>
      </c>
      <c r="T2784" s="462">
        <v>1</v>
      </c>
      <c r="U2784" s="460" t="s">
        <v>2327</v>
      </c>
      <c r="V2784" s="475">
        <v>0</v>
      </c>
      <c r="W2784" s="463" t="s">
        <v>2554</v>
      </c>
      <c r="X2784" s="463" t="s">
        <v>2554</v>
      </c>
      <c r="Y2784" s="463" t="s">
        <v>2268</v>
      </c>
      <c r="Z2784" s="463"/>
      <c r="AA2784" s="463"/>
      <c r="AB2784" s="464">
        <v>270.82256368391137</v>
      </c>
      <c r="AC2784" s="465">
        <v>5.5799754717961336E-2</v>
      </c>
      <c r="AD2784" s="465">
        <v>4.0000000000000001E-3</v>
      </c>
      <c r="AE2784" s="476">
        <v>162.4935382103468</v>
      </c>
      <c r="AF2784" s="467">
        <v>3.3479852830776799E-2</v>
      </c>
      <c r="AG2784" s="468">
        <v>2.5994659409620366E-3</v>
      </c>
      <c r="AH2784" s="218">
        <v>162.4935382103468</v>
      </c>
      <c r="AI2784" s="470">
        <v>3.3479852830776799E-2</v>
      </c>
      <c r="AJ2784" s="471">
        <v>2.187681523621554E-3</v>
      </c>
      <c r="AK2784" s="218">
        <v>162.4935382103468</v>
      </c>
      <c r="AL2784" s="470">
        <v>3.3479852830776799E-2</v>
      </c>
      <c r="AM2784" s="471">
        <v>2.187681523621554E-3</v>
      </c>
      <c r="AN2784" s="477">
        <v>0</v>
      </c>
      <c r="AO2784" s="473">
        <v>0</v>
      </c>
      <c r="AP2784" s="474">
        <v>0</v>
      </c>
      <c r="AQ2784" s="352"/>
      <c r="AR2784" s="352"/>
      <c r="AS2784" s="352"/>
      <c r="AT2784" s="352"/>
      <c r="AU2784" s="352"/>
      <c r="AV2784" s="352"/>
      <c r="AW2784" s="352" t="s">
        <v>254</v>
      </c>
    </row>
    <row r="2785" spans="2:49" x14ac:dyDescent="0.2">
      <c r="B2785" s="460" t="s">
        <v>3191</v>
      </c>
      <c r="C2785" s="460">
        <v>3121</v>
      </c>
      <c r="D2785" s="460" t="s">
        <v>2329</v>
      </c>
      <c r="E2785" s="460" t="s">
        <v>2330</v>
      </c>
      <c r="F2785" s="460">
        <v>3</v>
      </c>
      <c r="G2785" s="460">
        <v>3</v>
      </c>
      <c r="H2785" s="461" t="s">
        <v>700</v>
      </c>
      <c r="I2785" s="461" t="s">
        <v>872</v>
      </c>
      <c r="J2785" s="461" t="s">
        <v>700</v>
      </c>
      <c r="K2785" s="594"/>
      <c r="L2785" s="594"/>
      <c r="M2785" s="352">
        <v>3000</v>
      </c>
      <c r="N2785" s="352" t="s">
        <v>709</v>
      </c>
      <c r="O2785" s="460">
        <v>3121</v>
      </c>
      <c r="P2785" s="460" t="s">
        <v>766</v>
      </c>
      <c r="Q2785" s="460" t="s">
        <v>2553</v>
      </c>
      <c r="R2785" s="460">
        <v>3121</v>
      </c>
      <c r="S2785" s="460" t="s">
        <v>2324</v>
      </c>
      <c r="T2785" s="462">
        <v>1</v>
      </c>
      <c r="U2785" s="460" t="s">
        <v>2330</v>
      </c>
      <c r="V2785" s="475">
        <v>0</v>
      </c>
      <c r="W2785" s="463" t="s">
        <v>2554</v>
      </c>
      <c r="X2785" s="463" t="s">
        <v>2554</v>
      </c>
      <c r="Y2785" s="463" t="s">
        <v>2268</v>
      </c>
      <c r="Z2785" s="463"/>
      <c r="AA2785" s="463"/>
      <c r="AB2785" s="464">
        <v>105.92880669846863</v>
      </c>
      <c r="AC2785" s="465">
        <v>0.1215751651036619</v>
      </c>
      <c r="AD2785" s="465">
        <v>4.0000000000000001E-3</v>
      </c>
      <c r="AE2785" s="476">
        <v>63.55728401908118</v>
      </c>
      <c r="AF2785" s="467">
        <v>7.2945099062197136E-2</v>
      </c>
      <c r="AG2785" s="468">
        <v>2.5722307780127554E-3</v>
      </c>
      <c r="AH2785" s="218">
        <v>63.55728401908118</v>
      </c>
      <c r="AI2785" s="470">
        <v>7.2945099062197136E-2</v>
      </c>
      <c r="AJ2785" s="471">
        <v>2.2392722890785008E-3</v>
      </c>
      <c r="AK2785" s="218">
        <v>63.55728401908118</v>
      </c>
      <c r="AL2785" s="470">
        <v>7.2945099062197136E-2</v>
      </c>
      <c r="AM2785" s="471">
        <v>2.2392722890785008E-3</v>
      </c>
      <c r="AN2785" s="477">
        <v>0</v>
      </c>
      <c r="AO2785" s="473">
        <v>0</v>
      </c>
      <c r="AP2785" s="474">
        <v>0</v>
      </c>
      <c r="AQ2785" s="352"/>
      <c r="AR2785" s="352"/>
      <c r="AS2785" s="352"/>
      <c r="AT2785" s="352"/>
      <c r="AU2785" s="352"/>
      <c r="AV2785" s="352"/>
      <c r="AW2785" s="352" t="s">
        <v>254</v>
      </c>
    </row>
    <row r="2786" spans="2:49" x14ac:dyDescent="0.2">
      <c r="B2786" s="460" t="s">
        <v>3192</v>
      </c>
      <c r="C2786" s="460">
        <v>3121</v>
      </c>
      <c r="D2786" s="460" t="s">
        <v>2332</v>
      </c>
      <c r="E2786" s="460" t="s">
        <v>2333</v>
      </c>
      <c r="F2786" s="460">
        <v>4</v>
      </c>
      <c r="G2786" s="460">
        <v>3</v>
      </c>
      <c r="H2786" s="461" t="s">
        <v>700</v>
      </c>
      <c r="I2786" s="461" t="s">
        <v>872</v>
      </c>
      <c r="J2786" s="461" t="s">
        <v>700</v>
      </c>
      <c r="K2786" s="594"/>
      <c r="L2786" s="594"/>
      <c r="M2786" s="352">
        <v>3000</v>
      </c>
      <c r="N2786" s="352" t="s">
        <v>709</v>
      </c>
      <c r="O2786" s="460">
        <v>3121</v>
      </c>
      <c r="P2786" s="460" t="s">
        <v>766</v>
      </c>
      <c r="Q2786" s="460" t="s">
        <v>2553</v>
      </c>
      <c r="R2786" s="460">
        <v>3121</v>
      </c>
      <c r="S2786" s="460" t="s">
        <v>2333</v>
      </c>
      <c r="T2786" s="462">
        <v>1</v>
      </c>
      <c r="U2786" s="460" t="s">
        <v>2333</v>
      </c>
      <c r="V2786" s="475">
        <v>0</v>
      </c>
      <c r="W2786" s="463" t="s">
        <v>2554</v>
      </c>
      <c r="X2786" s="463" t="s">
        <v>2554</v>
      </c>
      <c r="Y2786" s="463" t="s">
        <v>2268</v>
      </c>
      <c r="Z2786" s="463"/>
      <c r="AA2786" s="463"/>
      <c r="AB2786" s="464">
        <v>57.997452873390593</v>
      </c>
      <c r="AC2786" s="465">
        <v>5.9290803986513846E-2</v>
      </c>
      <c r="AD2786" s="465">
        <v>4.000000000000001E-3</v>
      </c>
      <c r="AE2786" s="476">
        <v>34.798471724034357</v>
      </c>
      <c r="AF2786" s="467">
        <v>3.5574482391908309E-2</v>
      </c>
      <c r="AG2786" s="468">
        <v>2.6487044178620548E-3</v>
      </c>
      <c r="AH2786" s="218">
        <v>34.798471724034357</v>
      </c>
      <c r="AI2786" s="470">
        <v>3.5574482391908309E-2</v>
      </c>
      <c r="AJ2786" s="471">
        <v>2.5662627372865644E-3</v>
      </c>
      <c r="AK2786" s="218">
        <v>34.798471724034357</v>
      </c>
      <c r="AL2786" s="470">
        <v>3.5574482391908309E-2</v>
      </c>
      <c r="AM2786" s="471">
        <v>2.5662627372865644E-3</v>
      </c>
      <c r="AN2786" s="477">
        <v>0</v>
      </c>
      <c r="AO2786" s="473">
        <v>0</v>
      </c>
      <c r="AP2786" s="474">
        <v>0</v>
      </c>
      <c r="AQ2786" s="352"/>
      <c r="AR2786" s="352"/>
      <c r="AS2786" s="352"/>
      <c r="AT2786" s="352"/>
      <c r="AU2786" s="352"/>
      <c r="AV2786" s="352"/>
      <c r="AW2786" s="352" t="s">
        <v>254</v>
      </c>
    </row>
    <row r="2787" spans="2:49" x14ac:dyDescent="0.2">
      <c r="B2787" s="460" t="s">
        <v>3189</v>
      </c>
      <c r="C2787" s="460">
        <v>3121</v>
      </c>
      <c r="D2787" s="460" t="s">
        <v>3161</v>
      </c>
      <c r="E2787" s="460" t="s">
        <v>2324</v>
      </c>
      <c r="F2787" s="460">
        <v>1</v>
      </c>
      <c r="G2787" s="460">
        <v>3</v>
      </c>
      <c r="H2787" s="461" t="s">
        <v>706</v>
      </c>
      <c r="I2787" s="461" t="s">
        <v>707</v>
      </c>
      <c r="J2787" s="461" t="s">
        <v>706</v>
      </c>
      <c r="K2787" s="594"/>
      <c r="L2787" s="594"/>
      <c r="M2787" s="352">
        <v>3000</v>
      </c>
      <c r="N2787" s="352" t="s">
        <v>709</v>
      </c>
      <c r="O2787" s="460">
        <v>3121</v>
      </c>
      <c r="P2787" s="460" t="s">
        <v>766</v>
      </c>
      <c r="Q2787" s="460" t="s">
        <v>2266</v>
      </c>
      <c r="R2787" s="460">
        <v>3121</v>
      </c>
      <c r="S2787" s="460" t="s">
        <v>2324</v>
      </c>
      <c r="T2787" s="462">
        <v>1</v>
      </c>
      <c r="U2787" s="460" t="s">
        <v>2324</v>
      </c>
      <c r="V2787" s="475">
        <v>0</v>
      </c>
      <c r="W2787" s="463" t="s">
        <v>2267</v>
      </c>
      <c r="X2787" s="463" t="s">
        <v>2267</v>
      </c>
      <c r="Y2787" s="463" t="s">
        <v>2267</v>
      </c>
      <c r="Z2787" s="463"/>
      <c r="AA2787" s="463"/>
      <c r="AB2787" s="464">
        <v>7243.7303496558188</v>
      </c>
      <c r="AC2787" s="465">
        <v>0.78412192018491778</v>
      </c>
      <c r="AD2787" s="465">
        <v>0.81905808324896268</v>
      </c>
      <c r="AE2787" s="476">
        <v>7243.7303496558188</v>
      </c>
      <c r="AF2787" s="467">
        <v>0.78412192018491778</v>
      </c>
      <c r="AG2787" s="468">
        <v>0.81905808324896268</v>
      </c>
      <c r="AH2787" s="218">
        <v>7243.7303496558188</v>
      </c>
      <c r="AI2787" s="470">
        <v>0.78412192018491778</v>
      </c>
      <c r="AJ2787" s="471">
        <v>0.81905808324896268</v>
      </c>
      <c r="AK2787" s="218">
        <v>7243.7303496558188</v>
      </c>
      <c r="AL2787" s="470">
        <v>0.78412192018491778</v>
      </c>
      <c r="AM2787" s="471">
        <v>0.81905808324896268</v>
      </c>
      <c r="AN2787" s="477">
        <v>7243.7303496558188</v>
      </c>
      <c r="AO2787" s="473">
        <v>0.78412192018491778</v>
      </c>
      <c r="AP2787" s="474">
        <v>0.81905808324896268</v>
      </c>
      <c r="AQ2787" s="352"/>
      <c r="AR2787" s="352"/>
      <c r="AS2787" s="352"/>
      <c r="AT2787" s="352"/>
      <c r="AU2787" s="352"/>
      <c r="AV2787" s="352"/>
      <c r="AW2787" s="352" t="s">
        <v>254</v>
      </c>
    </row>
    <row r="2788" spans="2:49" x14ac:dyDescent="0.2">
      <c r="B2788" s="460" t="s">
        <v>3190</v>
      </c>
      <c r="C2788" s="460">
        <v>3121</v>
      </c>
      <c r="D2788" s="460" t="s">
        <v>3162</v>
      </c>
      <c r="E2788" s="460" t="s">
        <v>2327</v>
      </c>
      <c r="F2788" s="460">
        <v>2</v>
      </c>
      <c r="G2788" s="460">
        <v>3</v>
      </c>
      <c r="H2788" s="461" t="s">
        <v>706</v>
      </c>
      <c r="I2788" s="461" t="s">
        <v>707</v>
      </c>
      <c r="J2788" s="461" t="s">
        <v>706</v>
      </c>
      <c r="K2788" s="594"/>
      <c r="L2788" s="594"/>
      <c r="M2788" s="352">
        <v>3000</v>
      </c>
      <c r="N2788" s="352" t="s">
        <v>709</v>
      </c>
      <c r="O2788" s="460">
        <v>3121</v>
      </c>
      <c r="P2788" s="460" t="s">
        <v>766</v>
      </c>
      <c r="Q2788" s="460" t="s">
        <v>2266</v>
      </c>
      <c r="R2788" s="460">
        <v>3121</v>
      </c>
      <c r="S2788" s="460" t="s">
        <v>2324</v>
      </c>
      <c r="T2788" s="462">
        <v>1</v>
      </c>
      <c r="U2788" s="460" t="s">
        <v>2327</v>
      </c>
      <c r="V2788" s="475">
        <v>0</v>
      </c>
      <c r="W2788" s="463" t="s">
        <v>2267</v>
      </c>
      <c r="X2788" s="463" t="s">
        <v>2267</v>
      </c>
      <c r="Y2788" s="463" t="s">
        <v>2267</v>
      </c>
      <c r="Z2788" s="463"/>
      <c r="AA2788" s="463"/>
      <c r="AB2788" s="464">
        <v>3387.9389731166243</v>
      </c>
      <c r="AC2788" s="465">
        <v>0.69804436206420872</v>
      </c>
      <c r="AD2788" s="465">
        <v>0.82</v>
      </c>
      <c r="AE2788" s="476">
        <v>3387.9389731166243</v>
      </c>
      <c r="AF2788" s="467">
        <v>0.69804436206420872</v>
      </c>
      <c r="AG2788" s="468">
        <v>0.82</v>
      </c>
      <c r="AH2788" s="218">
        <v>3805.7140168194155</v>
      </c>
      <c r="AI2788" s="470">
        <v>0.78412192018491778</v>
      </c>
      <c r="AJ2788" s="471">
        <v>0.83382084658027356</v>
      </c>
      <c r="AK2788" s="218">
        <v>3805.7140168194155</v>
      </c>
      <c r="AL2788" s="470">
        <v>0.78412192018491778</v>
      </c>
      <c r="AM2788" s="471">
        <v>0.83382084658027356</v>
      </c>
      <c r="AN2788" s="477">
        <v>3805.7140168194155</v>
      </c>
      <c r="AO2788" s="473">
        <v>0.78412192018491778</v>
      </c>
      <c r="AP2788" s="474">
        <v>0.83382084658027356</v>
      </c>
      <c r="AQ2788" s="352"/>
      <c r="AR2788" s="352"/>
      <c r="AS2788" s="352"/>
      <c r="AT2788" s="352"/>
      <c r="AU2788" s="352"/>
      <c r="AV2788" s="352"/>
      <c r="AW2788" s="352" t="s">
        <v>254</v>
      </c>
    </row>
    <row r="2789" spans="2:49" x14ac:dyDescent="0.2">
      <c r="B2789" s="460" t="s">
        <v>3191</v>
      </c>
      <c r="C2789" s="460">
        <v>3121</v>
      </c>
      <c r="D2789" s="460" t="s">
        <v>3163</v>
      </c>
      <c r="E2789" s="460" t="s">
        <v>2330</v>
      </c>
      <c r="F2789" s="460">
        <v>3</v>
      </c>
      <c r="G2789" s="460">
        <v>3</v>
      </c>
      <c r="H2789" s="461" t="s">
        <v>706</v>
      </c>
      <c r="I2789" s="461" t="s">
        <v>707</v>
      </c>
      <c r="J2789" s="461" t="s">
        <v>706</v>
      </c>
      <c r="K2789" s="594"/>
      <c r="L2789" s="594"/>
      <c r="M2789" s="352">
        <v>3000</v>
      </c>
      <c r="N2789" s="352" t="s">
        <v>709</v>
      </c>
      <c r="O2789" s="460">
        <v>3121</v>
      </c>
      <c r="P2789" s="460" t="s">
        <v>766</v>
      </c>
      <c r="Q2789" s="460" t="s">
        <v>2266</v>
      </c>
      <c r="R2789" s="460">
        <v>3121</v>
      </c>
      <c r="S2789" s="460" t="s">
        <v>2324</v>
      </c>
      <c r="T2789" s="462">
        <v>1</v>
      </c>
      <c r="U2789" s="460" t="s">
        <v>2330</v>
      </c>
      <c r="V2789" s="475">
        <v>0</v>
      </c>
      <c r="W2789" s="463" t="s">
        <v>2267</v>
      </c>
      <c r="X2789" s="463" t="s">
        <v>2267</v>
      </c>
      <c r="Y2789" s="463" t="s">
        <v>2267</v>
      </c>
      <c r="Z2789" s="463"/>
      <c r="AA2789" s="463"/>
      <c r="AB2789" s="464">
        <v>208.19174316859488</v>
      </c>
      <c r="AC2789" s="465">
        <v>0.23894298763309874</v>
      </c>
      <c r="AD2789" s="465">
        <v>0.81986629779637488</v>
      </c>
      <c r="AE2789" s="476">
        <v>208.19174316859488</v>
      </c>
      <c r="AF2789" s="467">
        <v>0.23894298763309874</v>
      </c>
      <c r="AG2789" s="468">
        <v>0.81986629779637488</v>
      </c>
      <c r="AH2789" s="218">
        <v>683.20778540977176</v>
      </c>
      <c r="AI2789" s="470">
        <v>0.78412192018491778</v>
      </c>
      <c r="AJ2789" s="471">
        <v>0.85534148433127877</v>
      </c>
      <c r="AK2789" s="218">
        <v>683.20778540977176</v>
      </c>
      <c r="AL2789" s="470">
        <v>0.78412192018491778</v>
      </c>
      <c r="AM2789" s="471">
        <v>0.85534148433127877</v>
      </c>
      <c r="AN2789" s="477">
        <v>683.20778540977176</v>
      </c>
      <c r="AO2789" s="473">
        <v>0.78412192018491778</v>
      </c>
      <c r="AP2789" s="474">
        <v>0.85534148433127877</v>
      </c>
      <c r="AQ2789" s="352"/>
      <c r="AR2789" s="352"/>
      <c r="AS2789" s="352"/>
      <c r="AT2789" s="352"/>
      <c r="AU2789" s="352"/>
      <c r="AV2789" s="352"/>
      <c r="AW2789" s="352" t="s">
        <v>254</v>
      </c>
    </row>
    <row r="2790" spans="2:49" x14ac:dyDescent="0.2">
      <c r="B2790" s="460" t="s">
        <v>3192</v>
      </c>
      <c r="C2790" s="460">
        <v>3121</v>
      </c>
      <c r="D2790" s="460" t="s">
        <v>3164</v>
      </c>
      <c r="E2790" s="460" t="s">
        <v>2333</v>
      </c>
      <c r="F2790" s="460">
        <v>4</v>
      </c>
      <c r="G2790" s="460">
        <v>3</v>
      </c>
      <c r="H2790" s="461" t="s">
        <v>706</v>
      </c>
      <c r="I2790" s="461" t="s">
        <v>707</v>
      </c>
      <c r="J2790" s="461" t="s">
        <v>706</v>
      </c>
      <c r="K2790" s="594"/>
      <c r="L2790" s="594"/>
      <c r="M2790" s="352">
        <v>3000</v>
      </c>
      <c r="N2790" s="352" t="s">
        <v>709</v>
      </c>
      <c r="O2790" s="460">
        <v>3121</v>
      </c>
      <c r="P2790" s="460" t="s">
        <v>766</v>
      </c>
      <c r="Q2790" s="460" t="s">
        <v>2266</v>
      </c>
      <c r="R2790" s="460">
        <v>3121</v>
      </c>
      <c r="S2790" s="460" t="s">
        <v>2333</v>
      </c>
      <c r="T2790" s="462">
        <v>1</v>
      </c>
      <c r="U2790" s="460" t="s">
        <v>2333</v>
      </c>
      <c r="V2790" s="475">
        <v>0</v>
      </c>
      <c r="W2790" s="463" t="s">
        <v>2278</v>
      </c>
      <c r="X2790" s="463" t="s">
        <v>2278</v>
      </c>
      <c r="Y2790" s="463" t="s">
        <v>2278</v>
      </c>
      <c r="Z2790" s="463"/>
      <c r="AA2790" s="463"/>
      <c r="AB2790" s="464">
        <v>217.24716889234281</v>
      </c>
      <c r="AC2790" s="465">
        <v>0.22209181040312029</v>
      </c>
      <c r="AD2790" s="465">
        <v>0.82</v>
      </c>
      <c r="AE2790" s="476">
        <v>217.24716889234281</v>
      </c>
      <c r="AF2790" s="467">
        <v>0.22209181040312029</v>
      </c>
      <c r="AG2790" s="468">
        <v>0.82</v>
      </c>
      <c r="AH2790" s="218">
        <v>217.24716889234281</v>
      </c>
      <c r="AI2790" s="470">
        <v>0.22209181040312029</v>
      </c>
      <c r="AJ2790" s="471">
        <v>0.82</v>
      </c>
      <c r="AK2790" s="218">
        <v>217.24716889234281</v>
      </c>
      <c r="AL2790" s="470">
        <v>0.22209181040312029</v>
      </c>
      <c r="AM2790" s="471">
        <v>0.82</v>
      </c>
      <c r="AN2790" s="477">
        <v>217.24716889234281</v>
      </c>
      <c r="AO2790" s="473">
        <v>0.22209181040312029</v>
      </c>
      <c r="AP2790" s="474">
        <v>0.82</v>
      </c>
      <c r="AQ2790" s="352"/>
      <c r="AR2790" s="352"/>
      <c r="AS2790" s="352"/>
      <c r="AT2790" s="352"/>
      <c r="AU2790" s="352"/>
      <c r="AV2790" s="352"/>
      <c r="AW2790" s="352" t="s">
        <v>254</v>
      </c>
    </row>
    <row r="2791" spans="2:49" x14ac:dyDescent="0.2">
      <c r="B2791" s="460" t="s">
        <v>3189</v>
      </c>
      <c r="C2791" s="460">
        <v>3121</v>
      </c>
      <c r="D2791" s="460" t="s">
        <v>2334</v>
      </c>
      <c r="E2791" s="460" t="s">
        <v>2324</v>
      </c>
      <c r="F2791" s="460">
        <v>1</v>
      </c>
      <c r="G2791" s="460">
        <v>3</v>
      </c>
      <c r="H2791" s="461" t="s">
        <v>712</v>
      </c>
      <c r="I2791" s="461" t="s">
        <v>713</v>
      </c>
      <c r="J2791" s="461" t="s">
        <v>712</v>
      </c>
      <c r="K2791" s="594"/>
      <c r="L2791" s="594"/>
      <c r="M2791" s="352">
        <v>3000</v>
      </c>
      <c r="N2791" s="352" t="s">
        <v>709</v>
      </c>
      <c r="O2791" s="460">
        <v>3121</v>
      </c>
      <c r="P2791" s="460" t="s">
        <v>766</v>
      </c>
      <c r="Q2791" s="460" t="s">
        <v>2280</v>
      </c>
      <c r="R2791" s="460">
        <v>3121</v>
      </c>
      <c r="S2791" s="460" t="s">
        <v>2324</v>
      </c>
      <c r="T2791" s="462">
        <v>1</v>
      </c>
      <c r="U2791" s="460" t="s">
        <v>2324</v>
      </c>
      <c r="V2791" s="475">
        <v>0</v>
      </c>
      <c r="W2791" s="463" t="s">
        <v>713</v>
      </c>
      <c r="X2791" s="463" t="s">
        <v>713</v>
      </c>
      <c r="Y2791" s="463" t="s">
        <v>713</v>
      </c>
      <c r="Z2791" s="463"/>
      <c r="AA2791" s="463"/>
      <c r="AB2791" s="464">
        <v>1527.6864615127815</v>
      </c>
      <c r="AC2791" s="465">
        <v>0.16536955184959665</v>
      </c>
      <c r="AD2791" s="465">
        <v>3.8144743567585589E-3</v>
      </c>
      <c r="AE2791" s="476">
        <v>1714.3258845523756</v>
      </c>
      <c r="AF2791" s="467">
        <v>0.18557296303579096</v>
      </c>
      <c r="AG2791" s="468">
        <v>4.1992013402055561E-3</v>
      </c>
      <c r="AH2791" s="218">
        <v>1714.3258845523756</v>
      </c>
      <c r="AI2791" s="470">
        <v>0.18557296303579096</v>
      </c>
      <c r="AJ2791" s="471">
        <v>4.2527338034688954E-3</v>
      </c>
      <c r="AK2791" s="218">
        <v>1714.3258845523756</v>
      </c>
      <c r="AL2791" s="470">
        <v>0.18557296303579096</v>
      </c>
      <c r="AM2791" s="471">
        <v>4.2527338034688954E-3</v>
      </c>
      <c r="AN2791" s="477">
        <v>1714.3258845523744</v>
      </c>
      <c r="AO2791" s="473">
        <v>0.18557296303579085</v>
      </c>
      <c r="AP2791" s="474">
        <v>4.2506641986485173E-3</v>
      </c>
      <c r="AQ2791" s="352"/>
      <c r="AR2791" s="352"/>
      <c r="AS2791" s="352"/>
      <c r="AT2791" s="352"/>
      <c r="AU2791" s="352"/>
      <c r="AV2791" s="352"/>
      <c r="AW2791" s="352" t="s">
        <v>254</v>
      </c>
    </row>
    <row r="2792" spans="2:49" x14ac:dyDescent="0.2">
      <c r="B2792" s="460" t="s">
        <v>3190</v>
      </c>
      <c r="C2792" s="460">
        <v>3121</v>
      </c>
      <c r="D2792" s="460" t="s">
        <v>2335</v>
      </c>
      <c r="E2792" s="460" t="s">
        <v>2327</v>
      </c>
      <c r="F2792" s="460">
        <v>2</v>
      </c>
      <c r="G2792" s="460">
        <v>3</v>
      </c>
      <c r="H2792" s="461" t="s">
        <v>712</v>
      </c>
      <c r="I2792" s="461" t="s">
        <v>713</v>
      </c>
      <c r="J2792" s="461" t="s">
        <v>712</v>
      </c>
      <c r="K2792" s="594"/>
      <c r="L2792" s="594"/>
      <c r="M2792" s="352">
        <v>3000</v>
      </c>
      <c r="N2792" s="352" t="s">
        <v>709</v>
      </c>
      <c r="O2792" s="460">
        <v>3121</v>
      </c>
      <c r="P2792" s="460" t="s">
        <v>766</v>
      </c>
      <c r="Q2792" s="460" t="s">
        <v>2280</v>
      </c>
      <c r="R2792" s="460">
        <v>3121</v>
      </c>
      <c r="S2792" s="460" t="s">
        <v>2324</v>
      </c>
      <c r="T2792" s="462">
        <v>1</v>
      </c>
      <c r="U2792" s="460" t="s">
        <v>2327</v>
      </c>
      <c r="V2792" s="475">
        <v>0</v>
      </c>
      <c r="W2792" s="463" t="s">
        <v>713</v>
      </c>
      <c r="X2792" s="463" t="s">
        <v>713</v>
      </c>
      <c r="Y2792" s="463" t="s">
        <v>713</v>
      </c>
      <c r="Z2792" s="463"/>
      <c r="AA2792" s="463"/>
      <c r="AB2792" s="464">
        <v>1194.7107598570067</v>
      </c>
      <c r="AC2792" s="465">
        <v>0.24615588321782989</v>
      </c>
      <c r="AD2792" s="465">
        <v>3.8261788799507468E-3</v>
      </c>
      <c r="AE2792" s="476">
        <v>1303.0397853305715</v>
      </c>
      <c r="AF2792" s="467">
        <v>0.26847578510501446</v>
      </c>
      <c r="AG2792" s="468">
        <v>4.1048156255558662E-3</v>
      </c>
      <c r="AH2792" s="218">
        <v>885.26474162778061</v>
      </c>
      <c r="AI2792" s="470">
        <v>0.18239822698430541</v>
      </c>
      <c r="AJ2792" s="471">
        <v>2.900197298049979E-3</v>
      </c>
      <c r="AK2792" s="218">
        <v>885.26474162778061</v>
      </c>
      <c r="AL2792" s="470">
        <v>0.18239822698430541</v>
      </c>
      <c r="AM2792" s="471">
        <v>2.900197298049979E-3</v>
      </c>
      <c r="AN2792" s="477">
        <v>885.26474162778061</v>
      </c>
      <c r="AO2792" s="473">
        <v>0.18239822698430541</v>
      </c>
      <c r="AP2792" s="474">
        <v>2.8990602355894366E-3</v>
      </c>
      <c r="AQ2792" s="352"/>
      <c r="AR2792" s="352"/>
      <c r="AS2792" s="352"/>
      <c r="AT2792" s="352"/>
      <c r="AU2792" s="352"/>
      <c r="AV2792" s="352"/>
      <c r="AW2792" s="352" t="s">
        <v>254</v>
      </c>
    </row>
    <row r="2793" spans="2:49" x14ac:dyDescent="0.2">
      <c r="B2793" s="460" t="s">
        <v>3191</v>
      </c>
      <c r="C2793" s="460">
        <v>3121</v>
      </c>
      <c r="D2793" s="460" t="s">
        <v>2336</v>
      </c>
      <c r="E2793" s="460" t="s">
        <v>2330</v>
      </c>
      <c r="F2793" s="460">
        <v>3</v>
      </c>
      <c r="G2793" s="460">
        <v>3</v>
      </c>
      <c r="H2793" s="461" t="s">
        <v>712</v>
      </c>
      <c r="I2793" s="461" t="s">
        <v>713</v>
      </c>
      <c r="J2793" s="461" t="s">
        <v>712</v>
      </c>
      <c r="K2793" s="594"/>
      <c r="L2793" s="594"/>
      <c r="M2793" s="352">
        <v>3000</v>
      </c>
      <c r="N2793" s="352" t="s">
        <v>709</v>
      </c>
      <c r="O2793" s="460">
        <v>3121</v>
      </c>
      <c r="P2793" s="460" t="s">
        <v>766</v>
      </c>
      <c r="Q2793" s="460" t="s">
        <v>2280</v>
      </c>
      <c r="R2793" s="460">
        <v>3121</v>
      </c>
      <c r="S2793" s="460" t="s">
        <v>2324</v>
      </c>
      <c r="T2793" s="462">
        <v>1</v>
      </c>
      <c r="U2793" s="460" t="s">
        <v>2330</v>
      </c>
      <c r="V2793" s="475">
        <v>0</v>
      </c>
      <c r="W2793" s="463" t="s">
        <v>713</v>
      </c>
      <c r="X2793" s="463" t="s">
        <v>713</v>
      </c>
      <c r="Y2793" s="463" t="s">
        <v>713</v>
      </c>
      <c r="Z2793" s="463"/>
      <c r="AA2793" s="463"/>
      <c r="AB2793" s="464">
        <v>557.18245521746758</v>
      </c>
      <c r="AC2793" s="465">
        <v>0.63948184726323931</v>
      </c>
      <c r="AD2793" s="465">
        <v>4.9334400289528608E-3</v>
      </c>
      <c r="AE2793" s="476">
        <v>599.55397789685503</v>
      </c>
      <c r="AF2793" s="467">
        <v>0.68811191330470411</v>
      </c>
      <c r="AG2793" s="468">
        <v>5.2265503435438738E-3</v>
      </c>
      <c r="AH2793" s="218">
        <v>124.53793565567821</v>
      </c>
      <c r="AI2793" s="470">
        <v>0.14293298075288507</v>
      </c>
      <c r="AJ2793" s="471">
        <v>1.1270980808908598E-3</v>
      </c>
      <c r="AK2793" s="218">
        <v>124.53793565567821</v>
      </c>
      <c r="AL2793" s="470">
        <v>0.14293298075288507</v>
      </c>
      <c r="AM2793" s="471">
        <v>1.1270980808908598E-3</v>
      </c>
      <c r="AN2793" s="477">
        <v>124.53793565567821</v>
      </c>
      <c r="AO2793" s="473">
        <v>0.14293298075288507</v>
      </c>
      <c r="AP2793" s="474">
        <v>1.1300072455151847E-3</v>
      </c>
      <c r="AQ2793" s="352"/>
      <c r="AR2793" s="352"/>
      <c r="AS2793" s="352"/>
      <c r="AT2793" s="352"/>
      <c r="AU2793" s="352"/>
      <c r="AV2793" s="352"/>
      <c r="AW2793" s="352" t="s">
        <v>254</v>
      </c>
    </row>
    <row r="2794" spans="2:49" x14ac:dyDescent="0.2">
      <c r="B2794" s="460" t="s">
        <v>3192</v>
      </c>
      <c r="C2794" s="460">
        <v>3121</v>
      </c>
      <c r="D2794" s="460" t="s">
        <v>2337</v>
      </c>
      <c r="E2794" s="460" t="s">
        <v>2333</v>
      </c>
      <c r="F2794" s="460">
        <v>4</v>
      </c>
      <c r="G2794" s="460">
        <v>3</v>
      </c>
      <c r="H2794" s="461" t="s">
        <v>712</v>
      </c>
      <c r="I2794" s="461" t="s">
        <v>713</v>
      </c>
      <c r="J2794" s="461" t="s">
        <v>712</v>
      </c>
      <c r="K2794" s="594"/>
      <c r="L2794" s="594"/>
      <c r="M2794" s="352">
        <v>3000</v>
      </c>
      <c r="N2794" s="352" t="s">
        <v>709</v>
      </c>
      <c r="O2794" s="460">
        <v>3121</v>
      </c>
      <c r="P2794" s="460" t="s">
        <v>766</v>
      </c>
      <c r="Q2794" s="460" t="s">
        <v>2280</v>
      </c>
      <c r="R2794" s="460">
        <v>3121</v>
      </c>
      <c r="S2794" s="460" t="s">
        <v>2333</v>
      </c>
      <c r="T2794" s="462">
        <v>1</v>
      </c>
      <c r="U2794" s="460" t="s">
        <v>2333</v>
      </c>
      <c r="V2794" s="475">
        <v>0</v>
      </c>
      <c r="W2794" s="463" t="s">
        <v>713</v>
      </c>
      <c r="X2794" s="463" t="s">
        <v>713</v>
      </c>
      <c r="Y2794" s="463" t="s">
        <v>713</v>
      </c>
      <c r="Z2794" s="463"/>
      <c r="AA2794" s="463"/>
      <c r="AB2794" s="464">
        <v>702.94169000333216</v>
      </c>
      <c r="AC2794" s="465">
        <v>0.71861738561036581</v>
      </c>
      <c r="AD2794" s="465">
        <v>5.3440935548016719E-3</v>
      </c>
      <c r="AE2794" s="476">
        <v>726.14067115268836</v>
      </c>
      <c r="AF2794" s="467">
        <v>0.74233370720497138</v>
      </c>
      <c r="AG2794" s="468">
        <v>5.4639099235818892E-3</v>
      </c>
      <c r="AH2794" s="218">
        <v>726.14067115268836</v>
      </c>
      <c r="AI2794" s="470">
        <v>0.74233370720497138</v>
      </c>
      <c r="AJ2794" s="471">
        <v>5.4813175728132902E-3</v>
      </c>
      <c r="AK2794" s="218">
        <v>726.14067115268836</v>
      </c>
      <c r="AL2794" s="470">
        <v>0.74233370720497138</v>
      </c>
      <c r="AM2794" s="471">
        <v>5.4813175728132902E-3</v>
      </c>
      <c r="AN2794" s="477">
        <v>726.14067115268836</v>
      </c>
      <c r="AO2794" s="473">
        <v>0.74233370720497138</v>
      </c>
      <c r="AP2794" s="474">
        <v>5.483059446347506E-3</v>
      </c>
      <c r="AQ2794" s="352"/>
      <c r="AR2794" s="352"/>
      <c r="AS2794" s="352"/>
      <c r="AT2794" s="352"/>
      <c r="AU2794" s="352"/>
      <c r="AV2794" s="352"/>
      <c r="AW2794" s="352" t="s">
        <v>254</v>
      </c>
    </row>
    <row r="2795" spans="2:49" x14ac:dyDescent="0.2">
      <c r="B2795" s="460" t="s">
        <v>3189</v>
      </c>
      <c r="C2795" s="460">
        <v>3121</v>
      </c>
      <c r="D2795" s="460" t="s">
        <v>2338</v>
      </c>
      <c r="E2795" s="460" t="s">
        <v>2324</v>
      </c>
      <c r="F2795" s="460">
        <v>1</v>
      </c>
      <c r="G2795" s="460">
        <v>3</v>
      </c>
      <c r="H2795" s="461" t="s">
        <v>746</v>
      </c>
      <c r="I2795" s="461" t="s">
        <v>762</v>
      </c>
      <c r="J2795" s="461" t="s">
        <v>700</v>
      </c>
      <c r="K2795" s="594"/>
      <c r="L2795" s="594"/>
      <c r="M2795" s="352">
        <v>3000</v>
      </c>
      <c r="N2795" s="352" t="s">
        <v>709</v>
      </c>
      <c r="O2795" s="460">
        <v>3121</v>
      </c>
      <c r="P2795" s="460" t="s">
        <v>766</v>
      </c>
      <c r="Q2795" s="460" t="s">
        <v>2553</v>
      </c>
      <c r="R2795" s="460">
        <v>3121</v>
      </c>
      <c r="S2795" s="460" t="s">
        <v>2324</v>
      </c>
      <c r="T2795" s="462">
        <v>1</v>
      </c>
      <c r="U2795" s="460" t="s">
        <v>2324</v>
      </c>
      <c r="V2795" s="475">
        <v>0</v>
      </c>
      <c r="W2795" s="463" t="s">
        <v>2268</v>
      </c>
      <c r="X2795" s="463" t="s">
        <v>2268</v>
      </c>
      <c r="Y2795" s="463" t="s">
        <v>2554</v>
      </c>
      <c r="Z2795" s="463"/>
      <c r="AA2795" s="463"/>
      <c r="AB2795" s="464">
        <v>0</v>
      </c>
      <c r="AC2795" s="465">
        <v>0</v>
      </c>
      <c r="AD2795" s="465">
        <v>0</v>
      </c>
      <c r="AE2795" s="476">
        <v>0</v>
      </c>
      <c r="AF2795" s="467">
        <v>0</v>
      </c>
      <c r="AG2795" s="468">
        <v>0</v>
      </c>
      <c r="AH2795" s="218">
        <v>0</v>
      </c>
      <c r="AI2795" s="470">
        <v>0</v>
      </c>
      <c r="AJ2795" s="471">
        <v>0</v>
      </c>
      <c r="AK2795" s="218">
        <v>0</v>
      </c>
      <c r="AL2795" s="470">
        <v>0</v>
      </c>
      <c r="AM2795" s="471">
        <v>0</v>
      </c>
      <c r="AN2795" s="477">
        <v>46.659855759898207</v>
      </c>
      <c r="AO2795" s="473">
        <v>5.0508527965485474E-3</v>
      </c>
      <c r="AP2795" s="474">
        <v>4.930898625359353E-4</v>
      </c>
      <c r="AQ2795" s="352"/>
      <c r="AR2795" s="352"/>
      <c r="AS2795" s="352"/>
      <c r="AT2795" s="352"/>
      <c r="AU2795" s="352"/>
      <c r="AV2795" s="352"/>
      <c r="AW2795" s="352" t="s">
        <v>254</v>
      </c>
    </row>
    <row r="2796" spans="2:49" x14ac:dyDescent="0.2">
      <c r="B2796" s="460" t="s">
        <v>3190</v>
      </c>
      <c r="C2796" s="460">
        <v>3121</v>
      </c>
      <c r="D2796" s="460" t="s">
        <v>2339</v>
      </c>
      <c r="E2796" s="460" t="s">
        <v>2327</v>
      </c>
      <c r="F2796" s="460">
        <v>2</v>
      </c>
      <c r="G2796" s="460">
        <v>3</v>
      </c>
      <c r="H2796" s="461" t="s">
        <v>746</v>
      </c>
      <c r="I2796" s="461" t="s">
        <v>762</v>
      </c>
      <c r="J2796" s="461" t="s">
        <v>700</v>
      </c>
      <c r="K2796" s="594"/>
      <c r="L2796" s="594"/>
      <c r="M2796" s="352">
        <v>3000</v>
      </c>
      <c r="N2796" s="352" t="s">
        <v>709</v>
      </c>
      <c r="O2796" s="460">
        <v>3121</v>
      </c>
      <c r="P2796" s="460" t="s">
        <v>766</v>
      </c>
      <c r="Q2796" s="460" t="s">
        <v>2553</v>
      </c>
      <c r="R2796" s="460">
        <v>3121</v>
      </c>
      <c r="S2796" s="460" t="s">
        <v>2324</v>
      </c>
      <c r="T2796" s="462">
        <v>1</v>
      </c>
      <c r="U2796" s="460" t="s">
        <v>2327</v>
      </c>
      <c r="V2796" s="475">
        <v>0</v>
      </c>
      <c r="W2796" s="463" t="s">
        <v>2268</v>
      </c>
      <c r="X2796" s="463" t="s">
        <v>2268</v>
      </c>
      <c r="Y2796" s="463" t="s">
        <v>2554</v>
      </c>
      <c r="Z2796" s="463"/>
      <c r="AA2796" s="463"/>
      <c r="AB2796" s="464">
        <v>0</v>
      </c>
      <c r="AC2796" s="465">
        <v>0</v>
      </c>
      <c r="AD2796" s="465">
        <v>0</v>
      </c>
      <c r="AE2796" s="476">
        <v>0</v>
      </c>
      <c r="AF2796" s="467">
        <v>0</v>
      </c>
      <c r="AG2796" s="468">
        <v>0</v>
      </c>
      <c r="AH2796" s="218">
        <v>0</v>
      </c>
      <c r="AI2796" s="470">
        <v>0</v>
      </c>
      <c r="AJ2796" s="471">
        <v>0</v>
      </c>
      <c r="AK2796" s="218">
        <v>0</v>
      </c>
      <c r="AL2796" s="470">
        <v>0</v>
      </c>
      <c r="AM2796" s="471">
        <v>0</v>
      </c>
      <c r="AN2796" s="477">
        <v>27.082256368391132</v>
      </c>
      <c r="AO2796" s="473">
        <v>5.5799754717961326E-3</v>
      </c>
      <c r="AP2796" s="474">
        <v>4.3050945454875452E-4</v>
      </c>
      <c r="AQ2796" s="352"/>
      <c r="AR2796" s="352"/>
      <c r="AS2796" s="352"/>
      <c r="AT2796" s="352"/>
      <c r="AU2796" s="352"/>
      <c r="AV2796" s="352"/>
      <c r="AW2796" s="352" t="s">
        <v>254</v>
      </c>
    </row>
    <row r="2797" spans="2:49" x14ac:dyDescent="0.2">
      <c r="B2797" s="460" t="s">
        <v>3191</v>
      </c>
      <c r="C2797" s="460">
        <v>3121</v>
      </c>
      <c r="D2797" s="460" t="s">
        <v>2340</v>
      </c>
      <c r="E2797" s="460" t="s">
        <v>2330</v>
      </c>
      <c r="F2797" s="460">
        <v>3</v>
      </c>
      <c r="G2797" s="460">
        <v>3</v>
      </c>
      <c r="H2797" s="461" t="s">
        <v>746</v>
      </c>
      <c r="I2797" s="461" t="s">
        <v>762</v>
      </c>
      <c r="J2797" s="461" t="s">
        <v>700</v>
      </c>
      <c r="K2797" s="594"/>
      <c r="L2797" s="594"/>
      <c r="M2797" s="352">
        <v>3000</v>
      </c>
      <c r="N2797" s="352" t="s">
        <v>709</v>
      </c>
      <c r="O2797" s="460">
        <v>3121</v>
      </c>
      <c r="P2797" s="460" t="s">
        <v>766</v>
      </c>
      <c r="Q2797" s="460" t="s">
        <v>2553</v>
      </c>
      <c r="R2797" s="460">
        <v>3121</v>
      </c>
      <c r="S2797" s="460" t="s">
        <v>2324</v>
      </c>
      <c r="T2797" s="462">
        <v>1</v>
      </c>
      <c r="U2797" s="460" t="s">
        <v>2330</v>
      </c>
      <c r="V2797" s="475">
        <v>0</v>
      </c>
      <c r="W2797" s="463" t="s">
        <v>2268</v>
      </c>
      <c r="X2797" s="463" t="s">
        <v>2268</v>
      </c>
      <c r="Y2797" s="463" t="s">
        <v>2554</v>
      </c>
      <c r="Z2797" s="463"/>
      <c r="AA2797" s="463"/>
      <c r="AB2797" s="464">
        <v>0</v>
      </c>
      <c r="AC2797" s="465">
        <v>0</v>
      </c>
      <c r="AD2797" s="465">
        <v>0</v>
      </c>
      <c r="AE2797" s="476">
        <v>0</v>
      </c>
      <c r="AF2797" s="467">
        <v>0</v>
      </c>
      <c r="AG2797" s="468">
        <v>0</v>
      </c>
      <c r="AH2797" s="218">
        <v>0</v>
      </c>
      <c r="AI2797" s="470">
        <v>0</v>
      </c>
      <c r="AJ2797" s="471">
        <v>0</v>
      </c>
      <c r="AK2797" s="218">
        <v>0</v>
      </c>
      <c r="AL2797" s="470">
        <v>0</v>
      </c>
      <c r="AM2797" s="471">
        <v>0</v>
      </c>
      <c r="AN2797" s="477">
        <v>10.592880669846862</v>
      </c>
      <c r="AO2797" s="473">
        <v>1.2157516510366187E-2</v>
      </c>
      <c r="AP2797" s="474">
        <v>4.2373453245948654E-4</v>
      </c>
      <c r="AQ2797" s="352"/>
      <c r="AR2797" s="352"/>
      <c r="AS2797" s="352"/>
      <c r="AT2797" s="352"/>
      <c r="AU2797" s="352"/>
      <c r="AV2797" s="352"/>
      <c r="AW2797" s="352" t="s">
        <v>254</v>
      </c>
    </row>
    <row r="2798" spans="2:49" x14ac:dyDescent="0.2">
      <c r="B2798" s="460" t="s">
        <v>3192</v>
      </c>
      <c r="C2798" s="460">
        <v>3121</v>
      </c>
      <c r="D2798" s="460" t="s">
        <v>2341</v>
      </c>
      <c r="E2798" s="460" t="s">
        <v>2333</v>
      </c>
      <c r="F2798" s="460">
        <v>4</v>
      </c>
      <c r="G2798" s="460">
        <v>3</v>
      </c>
      <c r="H2798" s="461" t="s">
        <v>746</v>
      </c>
      <c r="I2798" s="461" t="s">
        <v>762</v>
      </c>
      <c r="J2798" s="461" t="s">
        <v>700</v>
      </c>
      <c r="K2798" s="594"/>
      <c r="L2798" s="594"/>
      <c r="M2798" s="352">
        <v>3000</v>
      </c>
      <c r="N2798" s="352" t="s">
        <v>709</v>
      </c>
      <c r="O2798" s="460">
        <v>3121</v>
      </c>
      <c r="P2798" s="460" t="s">
        <v>766</v>
      </c>
      <c r="Q2798" s="460" t="s">
        <v>2553</v>
      </c>
      <c r="R2798" s="460">
        <v>3121</v>
      </c>
      <c r="S2798" s="460" t="s">
        <v>2333</v>
      </c>
      <c r="T2798" s="462">
        <v>1</v>
      </c>
      <c r="U2798" s="460" t="s">
        <v>2333</v>
      </c>
      <c r="V2798" s="475">
        <v>0</v>
      </c>
      <c r="W2798" s="463" t="s">
        <v>2268</v>
      </c>
      <c r="X2798" s="463" t="s">
        <v>2268</v>
      </c>
      <c r="Y2798" s="463" t="s">
        <v>2554</v>
      </c>
      <c r="Z2798" s="463"/>
      <c r="AA2798" s="463"/>
      <c r="AB2798" s="464">
        <v>0</v>
      </c>
      <c r="AC2798" s="465">
        <v>0</v>
      </c>
      <c r="AD2798" s="465">
        <v>0</v>
      </c>
      <c r="AE2798" s="476">
        <v>0</v>
      </c>
      <c r="AF2798" s="467">
        <v>0</v>
      </c>
      <c r="AG2798" s="468">
        <v>0</v>
      </c>
      <c r="AH2798" s="218">
        <v>0</v>
      </c>
      <c r="AI2798" s="470">
        <v>0</v>
      </c>
      <c r="AJ2798" s="471">
        <v>0</v>
      </c>
      <c r="AK2798" s="218">
        <v>0</v>
      </c>
      <c r="AL2798" s="470">
        <v>0</v>
      </c>
      <c r="AM2798" s="471">
        <v>0</v>
      </c>
      <c r="AN2798" s="477">
        <v>5.799745287339058</v>
      </c>
      <c r="AO2798" s="473">
        <v>5.9290803986513834E-3</v>
      </c>
      <c r="AP2798" s="474">
        <v>4.8346444451779829E-4</v>
      </c>
      <c r="AQ2798" s="352"/>
      <c r="AR2798" s="352"/>
      <c r="AS2798" s="352"/>
      <c r="AT2798" s="352"/>
      <c r="AU2798" s="352"/>
      <c r="AV2798" s="352"/>
      <c r="AW2798" s="352" t="s">
        <v>254</v>
      </c>
    </row>
    <row r="2799" spans="2:49" x14ac:dyDescent="0.2">
      <c r="B2799" s="460" t="s">
        <v>3189</v>
      </c>
      <c r="C2799" s="460">
        <v>3121</v>
      </c>
      <c r="D2799" s="460" t="s">
        <v>2342</v>
      </c>
      <c r="E2799" s="460" t="s">
        <v>2324</v>
      </c>
      <c r="F2799" s="460">
        <v>1</v>
      </c>
      <c r="G2799" s="460">
        <v>3</v>
      </c>
      <c r="H2799" s="461" t="s">
        <v>748</v>
      </c>
      <c r="I2799" s="461" t="s">
        <v>765</v>
      </c>
      <c r="J2799" s="461" t="s">
        <v>700</v>
      </c>
      <c r="K2799" s="594"/>
      <c r="L2799" s="594"/>
      <c r="M2799" s="352">
        <v>3000</v>
      </c>
      <c r="N2799" s="352" t="s">
        <v>709</v>
      </c>
      <c r="O2799" s="460">
        <v>3121</v>
      </c>
      <c r="P2799" s="460" t="s">
        <v>766</v>
      </c>
      <c r="Q2799" s="460" t="s">
        <v>2553</v>
      </c>
      <c r="R2799" s="460">
        <v>3121</v>
      </c>
      <c r="S2799" s="460" t="s">
        <v>2324</v>
      </c>
      <c r="T2799" s="462">
        <v>1</v>
      </c>
      <c r="U2799" s="460" t="s">
        <v>2324</v>
      </c>
      <c r="V2799" s="475">
        <v>0</v>
      </c>
      <c r="W2799" s="463" t="s">
        <v>2268</v>
      </c>
      <c r="X2799" s="463" t="s">
        <v>2268</v>
      </c>
      <c r="Y2799" s="463" t="s">
        <v>2554</v>
      </c>
      <c r="Z2799" s="463"/>
      <c r="AA2799" s="463"/>
      <c r="AB2799" s="464">
        <v>0</v>
      </c>
      <c r="AC2799" s="465">
        <v>0</v>
      </c>
      <c r="AD2799" s="465">
        <v>0</v>
      </c>
      <c r="AE2799" s="476">
        <v>0</v>
      </c>
      <c r="AF2799" s="467">
        <v>0</v>
      </c>
      <c r="AG2799" s="468">
        <v>0</v>
      </c>
      <c r="AH2799" s="218">
        <v>0</v>
      </c>
      <c r="AI2799" s="470">
        <v>0</v>
      </c>
      <c r="AJ2799" s="471">
        <v>0</v>
      </c>
      <c r="AK2799" s="218">
        <v>0</v>
      </c>
      <c r="AL2799" s="470">
        <v>0</v>
      </c>
      <c r="AM2799" s="471">
        <v>0</v>
      </c>
      <c r="AN2799" s="477">
        <v>233.29927879949111</v>
      </c>
      <c r="AO2799" s="473">
        <v>2.5254263982742744E-2</v>
      </c>
      <c r="AP2799" s="474">
        <v>1.2143650955951659E-2</v>
      </c>
      <c r="AQ2799" s="352"/>
      <c r="AR2799" s="352"/>
      <c r="AS2799" s="352"/>
      <c r="AT2799" s="352"/>
      <c r="AU2799" s="352"/>
      <c r="AV2799" s="352"/>
      <c r="AW2799" s="352" t="s">
        <v>254</v>
      </c>
    </row>
    <row r="2800" spans="2:49" x14ac:dyDescent="0.2">
      <c r="B2800" s="460" t="s">
        <v>3190</v>
      </c>
      <c r="C2800" s="460">
        <v>3121</v>
      </c>
      <c r="D2800" s="460" t="s">
        <v>2343</v>
      </c>
      <c r="E2800" s="460" t="s">
        <v>2327</v>
      </c>
      <c r="F2800" s="460">
        <v>2</v>
      </c>
      <c r="G2800" s="460">
        <v>3</v>
      </c>
      <c r="H2800" s="461" t="s">
        <v>748</v>
      </c>
      <c r="I2800" s="461" t="s">
        <v>765</v>
      </c>
      <c r="J2800" s="461" t="s">
        <v>700</v>
      </c>
      <c r="K2800" s="594"/>
      <c r="L2800" s="594"/>
      <c r="M2800" s="352">
        <v>3000</v>
      </c>
      <c r="N2800" s="352" t="s">
        <v>709</v>
      </c>
      <c r="O2800" s="460">
        <v>3121</v>
      </c>
      <c r="P2800" s="460" t="s">
        <v>766</v>
      </c>
      <c r="Q2800" s="460" t="s">
        <v>2553</v>
      </c>
      <c r="R2800" s="460">
        <v>3121</v>
      </c>
      <c r="S2800" s="460" t="s">
        <v>2324</v>
      </c>
      <c r="T2800" s="462">
        <v>1</v>
      </c>
      <c r="U2800" s="460" t="s">
        <v>2327</v>
      </c>
      <c r="V2800" s="475">
        <v>0</v>
      </c>
      <c r="W2800" s="463" t="s">
        <v>2268</v>
      </c>
      <c r="X2800" s="463" t="s">
        <v>2268</v>
      </c>
      <c r="Y2800" s="463" t="s">
        <v>2554</v>
      </c>
      <c r="Z2800" s="463"/>
      <c r="AA2800" s="463"/>
      <c r="AB2800" s="464">
        <v>0</v>
      </c>
      <c r="AC2800" s="465">
        <v>0</v>
      </c>
      <c r="AD2800" s="465">
        <v>0</v>
      </c>
      <c r="AE2800" s="476">
        <v>0</v>
      </c>
      <c r="AF2800" s="467">
        <v>0</v>
      </c>
      <c r="AG2800" s="468">
        <v>0</v>
      </c>
      <c r="AH2800" s="218">
        <v>0</v>
      </c>
      <c r="AI2800" s="470">
        <v>0</v>
      </c>
      <c r="AJ2800" s="471">
        <v>0</v>
      </c>
      <c r="AK2800" s="218">
        <v>0</v>
      </c>
      <c r="AL2800" s="470">
        <v>0</v>
      </c>
      <c r="AM2800" s="471">
        <v>0</v>
      </c>
      <c r="AN2800" s="477">
        <v>135.41128184195568</v>
      </c>
      <c r="AO2800" s="473">
        <v>2.7899877358980668E-2</v>
      </c>
      <c r="AP2800" s="474">
        <v>1.2037184474163866E-2</v>
      </c>
      <c r="AQ2800" s="352"/>
      <c r="AR2800" s="352"/>
      <c r="AS2800" s="352"/>
      <c r="AT2800" s="352"/>
      <c r="AU2800" s="352"/>
      <c r="AV2800" s="352"/>
      <c r="AW2800" s="352" t="s">
        <v>254</v>
      </c>
    </row>
    <row r="2801" spans="2:49" x14ac:dyDescent="0.2">
      <c r="B2801" s="460" t="s">
        <v>3191</v>
      </c>
      <c r="C2801" s="460">
        <v>3121</v>
      </c>
      <c r="D2801" s="460" t="s">
        <v>2344</v>
      </c>
      <c r="E2801" s="460" t="s">
        <v>2330</v>
      </c>
      <c r="F2801" s="460">
        <v>3</v>
      </c>
      <c r="G2801" s="460">
        <v>3</v>
      </c>
      <c r="H2801" s="461" t="s">
        <v>748</v>
      </c>
      <c r="I2801" s="461" t="s">
        <v>765</v>
      </c>
      <c r="J2801" s="461" t="s">
        <v>700</v>
      </c>
      <c r="K2801" s="594"/>
      <c r="L2801" s="594"/>
      <c r="M2801" s="352">
        <v>3000</v>
      </c>
      <c r="N2801" s="352" t="s">
        <v>709</v>
      </c>
      <c r="O2801" s="460">
        <v>3121</v>
      </c>
      <c r="P2801" s="460" t="s">
        <v>766</v>
      </c>
      <c r="Q2801" s="460" t="s">
        <v>2553</v>
      </c>
      <c r="R2801" s="460">
        <v>3121</v>
      </c>
      <c r="S2801" s="460" t="s">
        <v>2324</v>
      </c>
      <c r="T2801" s="462">
        <v>1</v>
      </c>
      <c r="U2801" s="460" t="s">
        <v>2330</v>
      </c>
      <c r="V2801" s="475">
        <v>0</v>
      </c>
      <c r="W2801" s="463" t="s">
        <v>2268</v>
      </c>
      <c r="X2801" s="463" t="s">
        <v>2268</v>
      </c>
      <c r="Y2801" s="463" t="s">
        <v>2554</v>
      </c>
      <c r="Z2801" s="463"/>
      <c r="AA2801" s="463"/>
      <c r="AB2801" s="464">
        <v>0</v>
      </c>
      <c r="AC2801" s="465">
        <v>0</v>
      </c>
      <c r="AD2801" s="465">
        <v>0</v>
      </c>
      <c r="AE2801" s="476">
        <v>0</v>
      </c>
      <c r="AF2801" s="467">
        <v>0</v>
      </c>
      <c r="AG2801" s="468">
        <v>0</v>
      </c>
      <c r="AH2801" s="218">
        <v>0</v>
      </c>
      <c r="AI2801" s="470">
        <v>0</v>
      </c>
      <c r="AJ2801" s="471">
        <v>0</v>
      </c>
      <c r="AK2801" s="218">
        <v>0</v>
      </c>
      <c r="AL2801" s="470">
        <v>0</v>
      </c>
      <c r="AM2801" s="471">
        <v>0</v>
      </c>
      <c r="AN2801" s="477">
        <v>52.964403349234317</v>
      </c>
      <c r="AO2801" s="473">
        <v>6.0787582551830949E-2</v>
      </c>
      <c r="AP2801" s="474">
        <v>1.4437181035766333E-2</v>
      </c>
      <c r="AQ2801" s="352"/>
      <c r="AR2801" s="352"/>
      <c r="AS2801" s="352"/>
      <c r="AT2801" s="352"/>
      <c r="AU2801" s="352"/>
      <c r="AV2801" s="352"/>
      <c r="AW2801" s="352" t="s">
        <v>254</v>
      </c>
    </row>
    <row r="2802" spans="2:49" x14ac:dyDescent="0.2">
      <c r="B2802" s="460" t="s">
        <v>3192</v>
      </c>
      <c r="C2802" s="460">
        <v>3121</v>
      </c>
      <c r="D2802" s="460" t="s">
        <v>2345</v>
      </c>
      <c r="E2802" s="460" t="s">
        <v>2333</v>
      </c>
      <c r="F2802" s="460">
        <v>4</v>
      </c>
      <c r="G2802" s="460">
        <v>3</v>
      </c>
      <c r="H2802" s="461" t="s">
        <v>748</v>
      </c>
      <c r="I2802" s="461" t="s">
        <v>765</v>
      </c>
      <c r="J2802" s="461" t="s">
        <v>700</v>
      </c>
      <c r="K2802" s="594"/>
      <c r="L2802" s="594"/>
      <c r="M2802" s="352">
        <v>3000</v>
      </c>
      <c r="N2802" s="352" t="s">
        <v>709</v>
      </c>
      <c r="O2802" s="460">
        <v>3121</v>
      </c>
      <c r="P2802" s="460" t="s">
        <v>766</v>
      </c>
      <c r="Q2802" s="460" t="s">
        <v>2553</v>
      </c>
      <c r="R2802" s="460">
        <v>3121</v>
      </c>
      <c r="S2802" s="460" t="s">
        <v>2333</v>
      </c>
      <c r="T2802" s="462">
        <v>1</v>
      </c>
      <c r="U2802" s="460" t="s">
        <v>2333</v>
      </c>
      <c r="V2802" s="475">
        <v>0</v>
      </c>
      <c r="W2802" s="463" t="s">
        <v>2268</v>
      </c>
      <c r="X2802" s="463" t="s">
        <v>2268</v>
      </c>
      <c r="Y2802" s="463" t="s">
        <v>2554</v>
      </c>
      <c r="Z2802" s="463"/>
      <c r="AA2802" s="463"/>
      <c r="AB2802" s="464">
        <v>0</v>
      </c>
      <c r="AC2802" s="465">
        <v>0</v>
      </c>
      <c r="AD2802" s="465">
        <v>0</v>
      </c>
      <c r="AE2802" s="476">
        <v>0</v>
      </c>
      <c r="AF2802" s="467">
        <v>0</v>
      </c>
      <c r="AG2802" s="468">
        <v>0</v>
      </c>
      <c r="AH2802" s="218">
        <v>0</v>
      </c>
      <c r="AI2802" s="470">
        <v>0</v>
      </c>
      <c r="AJ2802" s="471">
        <v>0</v>
      </c>
      <c r="AK2802" s="218">
        <v>0</v>
      </c>
      <c r="AL2802" s="470">
        <v>0</v>
      </c>
      <c r="AM2802" s="471">
        <v>0</v>
      </c>
      <c r="AN2802" s="477">
        <v>28.998726436695296</v>
      </c>
      <c r="AO2802" s="473">
        <v>2.9645401993256923E-2</v>
      </c>
      <c r="AP2802" s="474">
        <v>1.8058218433530955E-2</v>
      </c>
      <c r="AQ2802" s="352"/>
      <c r="AR2802" s="352"/>
      <c r="AS2802" s="352"/>
      <c r="AT2802" s="352"/>
      <c r="AU2802" s="352"/>
      <c r="AV2802" s="352"/>
      <c r="AW2802" s="352" t="s">
        <v>254</v>
      </c>
    </row>
    <row r="2803" spans="2:49" x14ac:dyDescent="0.2">
      <c r="B2803" s="460" t="s">
        <v>3193</v>
      </c>
      <c r="C2803" s="460">
        <v>3121</v>
      </c>
      <c r="D2803" s="460" t="s">
        <v>2351</v>
      </c>
      <c r="E2803" s="460" t="s">
        <v>1136</v>
      </c>
      <c r="F2803" s="460">
        <v>1</v>
      </c>
      <c r="G2803" s="460">
        <v>4</v>
      </c>
      <c r="H2803" s="461" t="s">
        <v>700</v>
      </c>
      <c r="I2803" s="461" t="s">
        <v>872</v>
      </c>
      <c r="J2803" s="461" t="s">
        <v>700</v>
      </c>
      <c r="K2803" s="594"/>
      <c r="L2803" s="594"/>
      <c r="M2803" s="352">
        <v>3000</v>
      </c>
      <c r="N2803" s="352" t="s">
        <v>709</v>
      </c>
      <c r="O2803" s="460">
        <v>3121</v>
      </c>
      <c r="P2803" s="460" t="s">
        <v>766</v>
      </c>
      <c r="Q2803" s="460" t="s">
        <v>2553</v>
      </c>
      <c r="R2803" s="460">
        <v>3121</v>
      </c>
      <c r="S2803" s="460" t="s">
        <v>1136</v>
      </c>
      <c r="T2803" s="462">
        <v>1</v>
      </c>
      <c r="U2803" s="460" t="s">
        <v>1136</v>
      </c>
      <c r="V2803" s="475">
        <v>0</v>
      </c>
      <c r="W2803" s="463" t="s">
        <v>2554</v>
      </c>
      <c r="X2803" s="463" t="s">
        <v>2554</v>
      </c>
      <c r="Y2803" s="463" t="s">
        <v>2268</v>
      </c>
      <c r="Z2803" s="463"/>
      <c r="AA2803" s="463"/>
      <c r="AB2803" s="464">
        <v>7.5452113496463982</v>
      </c>
      <c r="AC2803" s="465">
        <v>2.5898057807787072E-2</v>
      </c>
      <c r="AD2803" s="465">
        <v>2.1467704959902634E-2</v>
      </c>
      <c r="AE2803" s="476">
        <v>4.5271268097878385</v>
      </c>
      <c r="AF2803" s="467">
        <v>1.5538834684672242E-2</v>
      </c>
      <c r="AG2803" s="468">
        <v>1.4002030180158907E-2</v>
      </c>
      <c r="AH2803" s="218">
        <v>4.5271268097878385</v>
      </c>
      <c r="AI2803" s="470">
        <v>1.5538834684672242E-2</v>
      </c>
      <c r="AJ2803" s="471">
        <v>3.5355344902278981E-3</v>
      </c>
      <c r="AK2803" s="218">
        <v>4.5271268097878385</v>
      </c>
      <c r="AL2803" s="470">
        <v>1.5538834684672242E-2</v>
      </c>
      <c r="AM2803" s="471">
        <v>3.5355344902278981E-3</v>
      </c>
      <c r="AN2803" s="477">
        <v>0</v>
      </c>
      <c r="AO2803" s="473">
        <v>0</v>
      </c>
      <c r="AP2803" s="474">
        <v>0</v>
      </c>
      <c r="AQ2803" s="352"/>
      <c r="AR2803" s="352"/>
      <c r="AS2803" s="352"/>
      <c r="AT2803" s="352"/>
      <c r="AU2803" s="352"/>
      <c r="AV2803" s="352"/>
      <c r="AW2803" s="352" t="s">
        <v>254</v>
      </c>
    </row>
    <row r="2804" spans="2:49" x14ac:dyDescent="0.2">
      <c r="B2804" s="460" t="s">
        <v>3194</v>
      </c>
      <c r="C2804" s="460">
        <v>3121</v>
      </c>
      <c r="D2804" s="460" t="s">
        <v>2353</v>
      </c>
      <c r="E2804" s="460" t="s">
        <v>1137</v>
      </c>
      <c r="F2804" s="460">
        <v>2</v>
      </c>
      <c r="G2804" s="460">
        <v>4</v>
      </c>
      <c r="H2804" s="461" t="s">
        <v>700</v>
      </c>
      <c r="I2804" s="461" t="s">
        <v>872</v>
      </c>
      <c r="J2804" s="461" t="s">
        <v>700</v>
      </c>
      <c r="K2804" s="594"/>
      <c r="L2804" s="594"/>
      <c r="M2804" s="352">
        <v>3000</v>
      </c>
      <c r="N2804" s="352" t="s">
        <v>709</v>
      </c>
      <c r="O2804" s="460">
        <v>3121</v>
      </c>
      <c r="P2804" s="460" t="s">
        <v>766</v>
      </c>
      <c r="Q2804" s="460" t="s">
        <v>2553</v>
      </c>
      <c r="R2804" s="460">
        <v>3121</v>
      </c>
      <c r="S2804" s="460" t="s">
        <v>1137</v>
      </c>
      <c r="T2804" s="462">
        <v>1</v>
      </c>
      <c r="U2804" s="460" t="s">
        <v>1137</v>
      </c>
      <c r="V2804" s="475">
        <v>0</v>
      </c>
      <c r="W2804" s="463" t="s">
        <v>2554</v>
      </c>
      <c r="X2804" s="463" t="s">
        <v>2554</v>
      </c>
      <c r="Y2804" s="463" t="s">
        <v>2268</v>
      </c>
      <c r="Z2804" s="463"/>
      <c r="AA2804" s="463"/>
      <c r="AB2804" s="464">
        <v>89.606094939991081</v>
      </c>
      <c r="AC2804" s="465">
        <v>2.6719787171240923E-2</v>
      </c>
      <c r="AD2804" s="465">
        <v>2.0234411208351642E-2</v>
      </c>
      <c r="AE2804" s="476">
        <v>53.763656963994656</v>
      </c>
      <c r="AF2804" s="467">
        <v>1.6031872302744554E-2</v>
      </c>
      <c r="AG2804" s="468">
        <v>1.307949188316391E-2</v>
      </c>
      <c r="AH2804" s="218">
        <v>53.763656963994656</v>
      </c>
      <c r="AI2804" s="470">
        <v>1.6031872302744554E-2</v>
      </c>
      <c r="AJ2804" s="471">
        <v>1.1108078424753889E-2</v>
      </c>
      <c r="AK2804" s="218">
        <v>53.763656963994656</v>
      </c>
      <c r="AL2804" s="470">
        <v>1.6031872302744554E-2</v>
      </c>
      <c r="AM2804" s="471">
        <v>1.1108078424753889E-2</v>
      </c>
      <c r="AN2804" s="477">
        <v>0</v>
      </c>
      <c r="AO2804" s="473">
        <v>0</v>
      </c>
      <c r="AP2804" s="474">
        <v>0</v>
      </c>
      <c r="AQ2804" s="352"/>
      <c r="AR2804" s="352"/>
      <c r="AS2804" s="352"/>
      <c r="AT2804" s="352"/>
      <c r="AU2804" s="352"/>
      <c r="AV2804" s="352"/>
      <c r="AW2804" s="352" t="s">
        <v>254</v>
      </c>
    </row>
    <row r="2805" spans="2:49" x14ac:dyDescent="0.2">
      <c r="B2805" s="460" t="s">
        <v>3195</v>
      </c>
      <c r="C2805" s="460">
        <v>3121</v>
      </c>
      <c r="D2805" s="460" t="s">
        <v>2355</v>
      </c>
      <c r="E2805" s="460" t="s">
        <v>1138</v>
      </c>
      <c r="F2805" s="460">
        <v>3</v>
      </c>
      <c r="G2805" s="460">
        <v>4</v>
      </c>
      <c r="H2805" s="461" t="s">
        <v>700</v>
      </c>
      <c r="I2805" s="461" t="s">
        <v>872</v>
      </c>
      <c r="J2805" s="461" t="s">
        <v>700</v>
      </c>
      <c r="K2805" s="594"/>
      <c r="L2805" s="594"/>
      <c r="M2805" s="352">
        <v>3000</v>
      </c>
      <c r="N2805" s="352" t="s">
        <v>709</v>
      </c>
      <c r="O2805" s="460">
        <v>3121</v>
      </c>
      <c r="P2805" s="460" t="s">
        <v>766</v>
      </c>
      <c r="Q2805" s="460" t="s">
        <v>2553</v>
      </c>
      <c r="R2805" s="460">
        <v>3121</v>
      </c>
      <c r="S2805" s="460" t="s">
        <v>1138</v>
      </c>
      <c r="T2805" s="462">
        <v>1</v>
      </c>
      <c r="U2805" s="460" t="s">
        <v>1138</v>
      </c>
      <c r="V2805" s="475">
        <v>0</v>
      </c>
      <c r="W2805" s="463" t="s">
        <v>2554</v>
      </c>
      <c r="X2805" s="463" t="s">
        <v>2554</v>
      </c>
      <c r="Y2805" s="463" t="s">
        <v>2268</v>
      </c>
      <c r="Z2805" s="463"/>
      <c r="AA2805" s="463"/>
      <c r="AB2805" s="464">
        <v>51.166191979137267</v>
      </c>
      <c r="AC2805" s="465">
        <v>2.2570689428110056E-2</v>
      </c>
      <c r="AD2805" s="465">
        <v>2.1467704959902655E-2</v>
      </c>
      <c r="AE2805" s="476">
        <v>30.699715187482358</v>
      </c>
      <c r="AF2805" s="467">
        <v>1.3542413656866033E-2</v>
      </c>
      <c r="AG2805" s="468">
        <v>1.3896449618097844E-2</v>
      </c>
      <c r="AH2805" s="218">
        <v>30.699715187482358</v>
      </c>
      <c r="AI2805" s="470">
        <v>1.3542413656866033E-2</v>
      </c>
      <c r="AJ2805" s="471">
        <v>1.057931174079919E-2</v>
      </c>
      <c r="AK2805" s="218">
        <v>30.699715187482358</v>
      </c>
      <c r="AL2805" s="470">
        <v>1.3542413656866033E-2</v>
      </c>
      <c r="AM2805" s="471">
        <v>1.057931174079919E-2</v>
      </c>
      <c r="AN2805" s="477">
        <v>0</v>
      </c>
      <c r="AO2805" s="473">
        <v>0</v>
      </c>
      <c r="AP2805" s="474">
        <v>0</v>
      </c>
      <c r="AQ2805" s="352"/>
      <c r="AR2805" s="352"/>
      <c r="AS2805" s="352"/>
      <c r="AT2805" s="352"/>
      <c r="AU2805" s="352"/>
      <c r="AV2805" s="352"/>
      <c r="AW2805" s="352" t="s">
        <v>254</v>
      </c>
    </row>
    <row r="2806" spans="2:49" x14ac:dyDescent="0.2">
      <c r="B2806" s="460" t="s">
        <v>3196</v>
      </c>
      <c r="C2806" s="460">
        <v>3121</v>
      </c>
      <c r="D2806" s="460" t="s">
        <v>2357</v>
      </c>
      <c r="E2806" s="460" t="s">
        <v>1139</v>
      </c>
      <c r="F2806" s="460">
        <v>4</v>
      </c>
      <c r="G2806" s="460">
        <v>4</v>
      </c>
      <c r="H2806" s="461" t="s">
        <v>700</v>
      </c>
      <c r="I2806" s="461" t="s">
        <v>872</v>
      </c>
      <c r="J2806" s="461" t="s">
        <v>700</v>
      </c>
      <c r="K2806" s="594"/>
      <c r="L2806" s="594"/>
      <c r="M2806" s="352">
        <v>3000</v>
      </c>
      <c r="N2806" s="352" t="s">
        <v>709</v>
      </c>
      <c r="O2806" s="460">
        <v>3121</v>
      </c>
      <c r="P2806" s="460" t="s">
        <v>766</v>
      </c>
      <c r="Q2806" s="460" t="s">
        <v>2553</v>
      </c>
      <c r="R2806" s="460">
        <v>3121</v>
      </c>
      <c r="S2806" s="460" t="s">
        <v>1139</v>
      </c>
      <c r="T2806" s="462">
        <v>1</v>
      </c>
      <c r="U2806" s="460" t="s">
        <v>1139</v>
      </c>
      <c r="V2806" s="475">
        <v>0</v>
      </c>
      <c r="W2806" s="463" t="s">
        <v>2554</v>
      </c>
      <c r="X2806" s="463" t="s">
        <v>2554</v>
      </c>
      <c r="Y2806" s="463" t="s">
        <v>2268</v>
      </c>
      <c r="Z2806" s="463"/>
      <c r="AA2806" s="463"/>
      <c r="AB2806" s="464">
        <v>0</v>
      </c>
      <c r="AC2806" s="465">
        <v>0</v>
      </c>
      <c r="AD2806" s="465">
        <v>0</v>
      </c>
      <c r="AE2806" s="476">
        <v>0</v>
      </c>
      <c r="AF2806" s="467">
        <v>0</v>
      </c>
      <c r="AG2806" s="468">
        <v>0</v>
      </c>
      <c r="AH2806" s="218">
        <v>0</v>
      </c>
      <c r="AI2806" s="470">
        <v>0</v>
      </c>
      <c r="AJ2806" s="471">
        <v>0</v>
      </c>
      <c r="AK2806" s="218">
        <v>0</v>
      </c>
      <c r="AL2806" s="470">
        <v>0</v>
      </c>
      <c r="AM2806" s="471">
        <v>0</v>
      </c>
      <c r="AN2806" s="477">
        <v>0</v>
      </c>
      <c r="AO2806" s="473">
        <v>0</v>
      </c>
      <c r="AP2806" s="474">
        <v>0</v>
      </c>
      <c r="AQ2806" s="352"/>
      <c r="AR2806" s="352"/>
      <c r="AS2806" s="352"/>
      <c r="AT2806" s="352"/>
      <c r="AU2806" s="352"/>
      <c r="AV2806" s="352"/>
      <c r="AW2806" s="352" t="s">
        <v>254</v>
      </c>
    </row>
    <row r="2807" spans="2:49" x14ac:dyDescent="0.2">
      <c r="B2807" s="460" t="s">
        <v>3193</v>
      </c>
      <c r="C2807" s="460">
        <v>3121</v>
      </c>
      <c r="D2807" s="460" t="s">
        <v>3169</v>
      </c>
      <c r="E2807" s="460" t="s">
        <v>1136</v>
      </c>
      <c r="F2807" s="460">
        <v>1</v>
      </c>
      <c r="G2807" s="460">
        <v>4</v>
      </c>
      <c r="H2807" s="461" t="s">
        <v>706</v>
      </c>
      <c r="I2807" s="461" t="s">
        <v>707</v>
      </c>
      <c r="J2807" s="461" t="s">
        <v>706</v>
      </c>
      <c r="K2807" s="594"/>
      <c r="L2807" s="594"/>
      <c r="M2807" s="352">
        <v>3000</v>
      </c>
      <c r="N2807" s="352" t="s">
        <v>709</v>
      </c>
      <c r="O2807" s="460">
        <v>3121</v>
      </c>
      <c r="P2807" s="460" t="s">
        <v>766</v>
      </c>
      <c r="Q2807" s="460" t="s">
        <v>2266</v>
      </c>
      <c r="R2807" s="460">
        <v>3121</v>
      </c>
      <c r="S2807" s="460" t="s">
        <v>1136</v>
      </c>
      <c r="T2807" s="462">
        <v>1</v>
      </c>
      <c r="U2807" s="460" t="s">
        <v>1136</v>
      </c>
      <c r="V2807" s="475">
        <v>0</v>
      </c>
      <c r="W2807" s="463" t="s">
        <v>2267</v>
      </c>
      <c r="X2807" s="463" t="s">
        <v>2267</v>
      </c>
      <c r="Y2807" s="463" t="s">
        <v>2267</v>
      </c>
      <c r="Z2807" s="463"/>
      <c r="AA2807" s="463"/>
      <c r="AB2807" s="464">
        <v>121.95176343497886</v>
      </c>
      <c r="AC2807" s="465">
        <v>0.41858520230167817</v>
      </c>
      <c r="AD2807" s="465">
        <v>0.54193747151268268</v>
      </c>
      <c r="AE2807" s="476">
        <v>121.95176343497884</v>
      </c>
      <c r="AF2807" s="467">
        <v>0.41858520230167817</v>
      </c>
      <c r="AG2807" s="468">
        <v>0.54193747151268257</v>
      </c>
      <c r="AH2807" s="218">
        <v>121.95176343497884</v>
      </c>
      <c r="AI2807" s="470">
        <v>0.41858520230167817</v>
      </c>
      <c r="AJ2807" s="471">
        <v>0.54193747151268257</v>
      </c>
      <c r="AK2807" s="218">
        <v>121.95176343497884</v>
      </c>
      <c r="AL2807" s="470">
        <v>0.41858520230167817</v>
      </c>
      <c r="AM2807" s="471">
        <v>0.54193747151268257</v>
      </c>
      <c r="AN2807" s="477">
        <v>121.95176343497884</v>
      </c>
      <c r="AO2807" s="473">
        <v>0.41858520230167817</v>
      </c>
      <c r="AP2807" s="474">
        <v>0.54193747151268257</v>
      </c>
      <c r="AQ2807" s="352"/>
      <c r="AR2807" s="352"/>
      <c r="AS2807" s="352"/>
      <c r="AT2807" s="352"/>
      <c r="AU2807" s="352"/>
      <c r="AV2807" s="352"/>
      <c r="AW2807" s="352" t="s">
        <v>254</v>
      </c>
    </row>
    <row r="2808" spans="2:49" x14ac:dyDescent="0.2">
      <c r="B2808" s="460" t="s">
        <v>3194</v>
      </c>
      <c r="C2808" s="460">
        <v>3121</v>
      </c>
      <c r="D2808" s="460" t="s">
        <v>3170</v>
      </c>
      <c r="E2808" s="460" t="s">
        <v>1137</v>
      </c>
      <c r="F2808" s="460">
        <v>2</v>
      </c>
      <c r="G2808" s="460">
        <v>4</v>
      </c>
      <c r="H2808" s="461" t="s">
        <v>706</v>
      </c>
      <c r="I2808" s="461" t="s">
        <v>707</v>
      </c>
      <c r="J2808" s="461" t="s">
        <v>706</v>
      </c>
      <c r="K2808" s="594"/>
      <c r="L2808" s="594"/>
      <c r="M2808" s="352">
        <v>3000</v>
      </c>
      <c r="N2808" s="352" t="s">
        <v>709</v>
      </c>
      <c r="O2808" s="460">
        <v>3121</v>
      </c>
      <c r="P2808" s="460" t="s">
        <v>766</v>
      </c>
      <c r="Q2808" s="460" t="s">
        <v>2266</v>
      </c>
      <c r="R2808" s="460">
        <v>3121</v>
      </c>
      <c r="S2808" s="460" t="s">
        <v>1137</v>
      </c>
      <c r="T2808" s="462">
        <v>1</v>
      </c>
      <c r="U2808" s="460" t="s">
        <v>1137</v>
      </c>
      <c r="V2808" s="475">
        <v>0</v>
      </c>
      <c r="W2808" s="463" t="s">
        <v>2267</v>
      </c>
      <c r="X2808" s="463" t="s">
        <v>2267</v>
      </c>
      <c r="Y2808" s="463" t="s">
        <v>2267</v>
      </c>
      <c r="Z2808" s="463"/>
      <c r="AA2808" s="463"/>
      <c r="AB2808" s="464">
        <v>2995.1238489638049</v>
      </c>
      <c r="AC2808" s="465">
        <v>0.89312085131503638</v>
      </c>
      <c r="AD2808" s="465">
        <v>0.81244201423450357</v>
      </c>
      <c r="AE2808" s="476">
        <v>2995.1238489638049</v>
      </c>
      <c r="AF2808" s="467">
        <v>0.89312085131503638</v>
      </c>
      <c r="AG2808" s="468">
        <v>0.81244201423450357</v>
      </c>
      <c r="AH2808" s="218">
        <v>2995.1238489638049</v>
      </c>
      <c r="AI2808" s="470">
        <v>0.89312085131503638</v>
      </c>
      <c r="AJ2808" s="471">
        <v>0.81244201423450357</v>
      </c>
      <c r="AK2808" s="218">
        <v>2995.1238489638049</v>
      </c>
      <c r="AL2808" s="470">
        <v>0.89312085131503638</v>
      </c>
      <c r="AM2808" s="471">
        <v>0.81244201423450357</v>
      </c>
      <c r="AN2808" s="477">
        <v>2995.1238489638049</v>
      </c>
      <c r="AO2808" s="473">
        <v>0.89312085131503638</v>
      </c>
      <c r="AP2808" s="474">
        <v>0.81244201423450357</v>
      </c>
      <c r="AQ2808" s="352"/>
      <c r="AR2808" s="352"/>
      <c r="AS2808" s="352"/>
      <c r="AT2808" s="352"/>
      <c r="AU2808" s="352"/>
      <c r="AV2808" s="352"/>
      <c r="AW2808" s="352" t="s">
        <v>254</v>
      </c>
    </row>
    <row r="2809" spans="2:49" x14ac:dyDescent="0.2">
      <c r="B2809" s="460" t="s">
        <v>3195</v>
      </c>
      <c r="C2809" s="460">
        <v>3121</v>
      </c>
      <c r="D2809" s="460" t="s">
        <v>3171</v>
      </c>
      <c r="E2809" s="460" t="s">
        <v>1138</v>
      </c>
      <c r="F2809" s="460">
        <v>3</v>
      </c>
      <c r="G2809" s="460">
        <v>4</v>
      </c>
      <c r="H2809" s="461" t="s">
        <v>706</v>
      </c>
      <c r="I2809" s="461" t="s">
        <v>707</v>
      </c>
      <c r="J2809" s="461" t="s">
        <v>706</v>
      </c>
      <c r="K2809" s="594"/>
      <c r="L2809" s="594"/>
      <c r="M2809" s="352">
        <v>3000</v>
      </c>
      <c r="N2809" s="352" t="s">
        <v>709</v>
      </c>
      <c r="O2809" s="460">
        <v>3121</v>
      </c>
      <c r="P2809" s="460" t="s">
        <v>766</v>
      </c>
      <c r="Q2809" s="460" t="s">
        <v>2266</v>
      </c>
      <c r="R2809" s="460">
        <v>3121</v>
      </c>
      <c r="S2809" s="460" t="s">
        <v>1138</v>
      </c>
      <c r="T2809" s="462">
        <v>1</v>
      </c>
      <c r="U2809" s="460" t="s">
        <v>1138</v>
      </c>
      <c r="V2809" s="475">
        <v>0</v>
      </c>
      <c r="W2809" s="463" t="s">
        <v>2267</v>
      </c>
      <c r="X2809" s="463" t="s">
        <v>2267</v>
      </c>
      <c r="Y2809" s="463" t="s">
        <v>2267</v>
      </c>
      <c r="Z2809" s="463"/>
      <c r="AA2809" s="463"/>
      <c r="AB2809" s="464">
        <v>1862.2691239325445</v>
      </c>
      <c r="AC2809" s="465">
        <v>0.82149357616800289</v>
      </c>
      <c r="AD2809" s="465">
        <v>0.81833763558498074</v>
      </c>
      <c r="AE2809" s="476">
        <v>1862.2691239325445</v>
      </c>
      <c r="AF2809" s="467">
        <v>0.82149357616800289</v>
      </c>
      <c r="AG2809" s="468">
        <v>0.81833763558498074</v>
      </c>
      <c r="AH2809" s="218">
        <v>1862.2691239325445</v>
      </c>
      <c r="AI2809" s="470">
        <v>0.82149357616800289</v>
      </c>
      <c r="AJ2809" s="471">
        <v>0.81833763558498074</v>
      </c>
      <c r="AK2809" s="218">
        <v>1862.2691239325445</v>
      </c>
      <c r="AL2809" s="470">
        <v>0.82149357616800289</v>
      </c>
      <c r="AM2809" s="471">
        <v>0.81833763558498074</v>
      </c>
      <c r="AN2809" s="477">
        <v>1862.2691239325445</v>
      </c>
      <c r="AO2809" s="473">
        <v>0.82149357616800289</v>
      </c>
      <c r="AP2809" s="474">
        <v>0.81833763558498074</v>
      </c>
      <c r="AQ2809" s="352"/>
      <c r="AR2809" s="352"/>
      <c r="AS2809" s="352"/>
      <c r="AT2809" s="352"/>
      <c r="AU2809" s="352"/>
      <c r="AV2809" s="352"/>
      <c r="AW2809" s="352" t="s">
        <v>254</v>
      </c>
    </row>
    <row r="2810" spans="2:49" x14ac:dyDescent="0.2">
      <c r="B2810" s="460" t="s">
        <v>3196</v>
      </c>
      <c r="C2810" s="460">
        <v>3121</v>
      </c>
      <c r="D2810" s="460" t="s">
        <v>3172</v>
      </c>
      <c r="E2810" s="460" t="s">
        <v>1139</v>
      </c>
      <c r="F2810" s="460">
        <v>4</v>
      </c>
      <c r="G2810" s="460">
        <v>4</v>
      </c>
      <c r="H2810" s="461" t="s">
        <v>706</v>
      </c>
      <c r="I2810" s="461" t="s">
        <v>707</v>
      </c>
      <c r="J2810" s="461" t="s">
        <v>706</v>
      </c>
      <c r="K2810" s="594"/>
      <c r="L2810" s="594"/>
      <c r="M2810" s="352">
        <v>3000</v>
      </c>
      <c r="N2810" s="352" t="s">
        <v>709</v>
      </c>
      <c r="O2810" s="460">
        <v>3121</v>
      </c>
      <c r="P2810" s="460" t="s">
        <v>766</v>
      </c>
      <c r="Q2810" s="460" t="s">
        <v>2266</v>
      </c>
      <c r="R2810" s="460">
        <v>3121</v>
      </c>
      <c r="S2810" s="460" t="s">
        <v>1139</v>
      </c>
      <c r="T2810" s="462">
        <v>1</v>
      </c>
      <c r="U2810" s="460" t="s">
        <v>1139</v>
      </c>
      <c r="V2810" s="475">
        <v>0</v>
      </c>
      <c r="W2810" s="463" t="s">
        <v>2267</v>
      </c>
      <c r="X2810" s="463" t="s">
        <v>2267</v>
      </c>
      <c r="Y2810" s="463" t="s">
        <v>2267</v>
      </c>
      <c r="Z2810" s="463"/>
      <c r="AA2810" s="463"/>
      <c r="AB2810" s="464">
        <v>1392.1471801680505</v>
      </c>
      <c r="AC2810" s="465">
        <v>0.75410906118558019</v>
      </c>
      <c r="AD2810" s="465">
        <v>0.81898244073169235</v>
      </c>
      <c r="AE2810" s="476">
        <v>1392.1471801680505</v>
      </c>
      <c r="AF2810" s="467">
        <v>0.75410906118558019</v>
      </c>
      <c r="AG2810" s="468">
        <v>0.81898244073169235</v>
      </c>
      <c r="AH2810" s="218">
        <v>1392.1471801680505</v>
      </c>
      <c r="AI2810" s="470">
        <v>0.75410906118558019</v>
      </c>
      <c r="AJ2810" s="471">
        <v>0.81898244073169235</v>
      </c>
      <c r="AK2810" s="218">
        <v>1392.1471801680505</v>
      </c>
      <c r="AL2810" s="470">
        <v>0.75410906118558019</v>
      </c>
      <c r="AM2810" s="471">
        <v>0.81898244073169235</v>
      </c>
      <c r="AN2810" s="477">
        <v>1392.1471801680505</v>
      </c>
      <c r="AO2810" s="473">
        <v>0.75410906118558019</v>
      </c>
      <c r="AP2810" s="474">
        <v>0.81898244073169235</v>
      </c>
      <c r="AQ2810" s="352"/>
      <c r="AR2810" s="352"/>
      <c r="AS2810" s="352"/>
      <c r="AT2810" s="352"/>
      <c r="AU2810" s="352"/>
      <c r="AV2810" s="352"/>
      <c r="AW2810" s="352" t="s">
        <v>254</v>
      </c>
    </row>
    <row r="2811" spans="2:49" x14ac:dyDescent="0.2">
      <c r="B2811" s="460" t="s">
        <v>3193</v>
      </c>
      <c r="C2811" s="460">
        <v>3121</v>
      </c>
      <c r="D2811" s="460" t="s">
        <v>2358</v>
      </c>
      <c r="E2811" s="460" t="s">
        <v>1136</v>
      </c>
      <c r="F2811" s="460">
        <v>1</v>
      </c>
      <c r="G2811" s="460">
        <v>4</v>
      </c>
      <c r="H2811" s="461" t="s">
        <v>712</v>
      </c>
      <c r="I2811" s="461" t="s">
        <v>713</v>
      </c>
      <c r="J2811" s="461" t="s">
        <v>712</v>
      </c>
      <c r="K2811" s="594"/>
      <c r="L2811" s="594"/>
      <c r="M2811" s="352">
        <v>3000</v>
      </c>
      <c r="N2811" s="352" t="s">
        <v>709</v>
      </c>
      <c r="O2811" s="460">
        <v>3121</v>
      </c>
      <c r="P2811" s="460" t="s">
        <v>766</v>
      </c>
      <c r="Q2811" s="460" t="s">
        <v>2280</v>
      </c>
      <c r="R2811" s="460">
        <v>3121</v>
      </c>
      <c r="S2811" s="460" t="s">
        <v>1136</v>
      </c>
      <c r="T2811" s="462">
        <v>1</v>
      </c>
      <c r="U2811" s="460" t="s">
        <v>1136</v>
      </c>
      <c r="V2811" s="475">
        <v>0</v>
      </c>
      <c r="W2811" s="463" t="s">
        <v>713</v>
      </c>
      <c r="X2811" s="463" t="s">
        <v>713</v>
      </c>
      <c r="Y2811" s="463" t="s">
        <v>713</v>
      </c>
      <c r="Z2811" s="463"/>
      <c r="AA2811" s="463"/>
      <c r="AB2811" s="464">
        <v>161.84577399006056</v>
      </c>
      <c r="AC2811" s="465">
        <v>0.55551673989053485</v>
      </c>
      <c r="AD2811" s="465">
        <v>1.0666235995264188E-3</v>
      </c>
      <c r="AE2811" s="476">
        <v>164.8638585299191</v>
      </c>
      <c r="AF2811" s="467">
        <v>0.56587596301364962</v>
      </c>
      <c r="AG2811" s="468">
        <v>1.086312372468789E-3</v>
      </c>
      <c r="AH2811" s="218">
        <v>164.8638585299191</v>
      </c>
      <c r="AI2811" s="470">
        <v>0.56587596301364962</v>
      </c>
      <c r="AJ2811" s="471">
        <v>1.0973528062225291E-3</v>
      </c>
      <c r="AK2811" s="218">
        <v>164.8638585299191</v>
      </c>
      <c r="AL2811" s="470">
        <v>0.56587596301364962</v>
      </c>
      <c r="AM2811" s="471">
        <v>1.0973528062225291E-3</v>
      </c>
      <c r="AN2811" s="477">
        <v>164.8638585299191</v>
      </c>
      <c r="AO2811" s="473">
        <v>0.56587596301364962</v>
      </c>
      <c r="AP2811" s="474">
        <v>1.0955672599688507E-3</v>
      </c>
      <c r="AQ2811" s="352"/>
      <c r="AR2811" s="352"/>
      <c r="AS2811" s="352"/>
      <c r="AT2811" s="352"/>
      <c r="AU2811" s="352"/>
      <c r="AV2811" s="352"/>
      <c r="AW2811" s="352" t="s">
        <v>254</v>
      </c>
    </row>
    <row r="2812" spans="2:49" x14ac:dyDescent="0.2">
      <c r="B2812" s="460" t="s">
        <v>3194</v>
      </c>
      <c r="C2812" s="460">
        <v>3121</v>
      </c>
      <c r="D2812" s="460" t="s">
        <v>2359</v>
      </c>
      <c r="E2812" s="460" t="s">
        <v>1137</v>
      </c>
      <c r="F2812" s="460">
        <v>2</v>
      </c>
      <c r="G2812" s="460">
        <v>4</v>
      </c>
      <c r="H2812" s="461" t="s">
        <v>712</v>
      </c>
      <c r="I2812" s="461" t="s">
        <v>713</v>
      </c>
      <c r="J2812" s="461" t="s">
        <v>712</v>
      </c>
      <c r="K2812" s="594"/>
      <c r="L2812" s="594"/>
      <c r="M2812" s="352">
        <v>3000</v>
      </c>
      <c r="N2812" s="352" t="s">
        <v>709</v>
      </c>
      <c r="O2812" s="460">
        <v>3121</v>
      </c>
      <c r="P2812" s="460" t="s">
        <v>766</v>
      </c>
      <c r="Q2812" s="460" t="s">
        <v>2280</v>
      </c>
      <c r="R2812" s="460">
        <v>3121</v>
      </c>
      <c r="S2812" s="460" t="s">
        <v>1137</v>
      </c>
      <c r="T2812" s="462">
        <v>1</v>
      </c>
      <c r="U2812" s="460" t="s">
        <v>1137</v>
      </c>
      <c r="V2812" s="475">
        <v>0</v>
      </c>
      <c r="W2812" s="463" t="s">
        <v>713</v>
      </c>
      <c r="X2812" s="463" t="s">
        <v>713</v>
      </c>
      <c r="Y2812" s="463" t="s">
        <v>713</v>
      </c>
      <c r="Z2812" s="463"/>
      <c r="AA2812" s="463"/>
      <c r="AB2812" s="464">
        <v>268.81828481997326</v>
      </c>
      <c r="AC2812" s="465">
        <v>8.0159361513722771E-2</v>
      </c>
      <c r="AD2812" s="465">
        <v>1.5546132233831514E-3</v>
      </c>
      <c r="AE2812" s="476">
        <v>304.66072279596926</v>
      </c>
      <c r="AF2812" s="467">
        <v>9.0847276382219011E-2</v>
      </c>
      <c r="AG2812" s="468">
        <v>1.7586620585686085E-3</v>
      </c>
      <c r="AH2812" s="218">
        <v>304.66072279596926</v>
      </c>
      <c r="AI2812" s="470">
        <v>9.0847276382219011E-2</v>
      </c>
      <c r="AJ2812" s="471">
        <v>1.7670072960560667E-3</v>
      </c>
      <c r="AK2812" s="218">
        <v>304.66072279596926</v>
      </c>
      <c r="AL2812" s="470">
        <v>9.0847276382219011E-2</v>
      </c>
      <c r="AM2812" s="471">
        <v>1.7670072960560667E-3</v>
      </c>
      <c r="AN2812" s="477">
        <v>304.66072279596926</v>
      </c>
      <c r="AO2812" s="473">
        <v>9.0847276382219011E-2</v>
      </c>
      <c r="AP2812" s="474">
        <v>1.7655492615543114E-3</v>
      </c>
      <c r="AQ2812" s="352"/>
      <c r="AR2812" s="352"/>
      <c r="AS2812" s="352"/>
      <c r="AT2812" s="352"/>
      <c r="AU2812" s="352"/>
      <c r="AV2812" s="352"/>
      <c r="AW2812" s="352" t="s">
        <v>254</v>
      </c>
    </row>
    <row r="2813" spans="2:49" x14ac:dyDescent="0.2">
      <c r="B2813" s="460" t="s">
        <v>3195</v>
      </c>
      <c r="C2813" s="460">
        <v>3121</v>
      </c>
      <c r="D2813" s="460" t="s">
        <v>2360</v>
      </c>
      <c r="E2813" s="460" t="s">
        <v>1138</v>
      </c>
      <c r="F2813" s="460">
        <v>3</v>
      </c>
      <c r="G2813" s="460">
        <v>4</v>
      </c>
      <c r="H2813" s="461" t="s">
        <v>712</v>
      </c>
      <c r="I2813" s="461" t="s">
        <v>713</v>
      </c>
      <c r="J2813" s="461" t="s">
        <v>712</v>
      </c>
      <c r="K2813" s="594"/>
      <c r="L2813" s="594"/>
      <c r="M2813" s="352">
        <v>3000</v>
      </c>
      <c r="N2813" s="352" t="s">
        <v>709</v>
      </c>
      <c r="O2813" s="460">
        <v>3121</v>
      </c>
      <c r="P2813" s="460" t="s">
        <v>766</v>
      </c>
      <c r="Q2813" s="460" t="s">
        <v>2280</v>
      </c>
      <c r="R2813" s="460">
        <v>3121</v>
      </c>
      <c r="S2813" s="460" t="s">
        <v>1138</v>
      </c>
      <c r="T2813" s="462">
        <v>1</v>
      </c>
      <c r="U2813" s="460" t="s">
        <v>1138</v>
      </c>
      <c r="V2813" s="475">
        <v>0</v>
      </c>
      <c r="W2813" s="463" t="s">
        <v>713</v>
      </c>
      <c r="X2813" s="463" t="s">
        <v>713</v>
      </c>
      <c r="Y2813" s="463" t="s">
        <v>713</v>
      </c>
      <c r="Z2813" s="463"/>
      <c r="AA2813" s="463"/>
      <c r="AB2813" s="464">
        <v>353.4955256165224</v>
      </c>
      <c r="AC2813" s="465">
        <v>0.15593573440388714</v>
      </c>
      <c r="AD2813" s="465">
        <v>4.4114639157620695E-3</v>
      </c>
      <c r="AE2813" s="476">
        <v>373.96200240817706</v>
      </c>
      <c r="AF2813" s="467">
        <v>0.16496401017513107</v>
      </c>
      <c r="AG2813" s="468">
        <v>4.6567512674932808E-3</v>
      </c>
      <c r="AH2813" s="218">
        <v>373.96200240817706</v>
      </c>
      <c r="AI2813" s="470">
        <v>0.16496401017513107</v>
      </c>
      <c r="AJ2813" s="471">
        <v>4.7113534119149108E-3</v>
      </c>
      <c r="AK2813" s="218">
        <v>373.96200240817706</v>
      </c>
      <c r="AL2813" s="470">
        <v>0.16496401017513107</v>
      </c>
      <c r="AM2813" s="471">
        <v>4.7113534119149108E-3</v>
      </c>
      <c r="AN2813" s="477">
        <v>373.96200240817706</v>
      </c>
      <c r="AO2813" s="473">
        <v>0.16496401017513107</v>
      </c>
      <c r="AP2813" s="474">
        <v>4.7109983450700135E-3</v>
      </c>
      <c r="AQ2813" s="352"/>
      <c r="AR2813" s="352"/>
      <c r="AS2813" s="352"/>
      <c r="AT2813" s="352"/>
      <c r="AU2813" s="352"/>
      <c r="AV2813" s="352"/>
      <c r="AW2813" s="352" t="s">
        <v>254</v>
      </c>
    </row>
    <row r="2814" spans="2:49" x14ac:dyDescent="0.2">
      <c r="B2814" s="460" t="s">
        <v>3196</v>
      </c>
      <c r="C2814" s="460">
        <v>3121</v>
      </c>
      <c r="D2814" s="460" t="s">
        <v>2361</v>
      </c>
      <c r="E2814" s="460" t="s">
        <v>1139</v>
      </c>
      <c r="F2814" s="460">
        <v>4</v>
      </c>
      <c r="G2814" s="460">
        <v>4</v>
      </c>
      <c r="H2814" s="461" t="s">
        <v>712</v>
      </c>
      <c r="I2814" s="461" t="s">
        <v>713</v>
      </c>
      <c r="J2814" s="461" t="s">
        <v>712</v>
      </c>
      <c r="K2814" s="594"/>
      <c r="L2814" s="594"/>
      <c r="M2814" s="352">
        <v>3000</v>
      </c>
      <c r="N2814" s="352" t="s">
        <v>709</v>
      </c>
      <c r="O2814" s="460">
        <v>3121</v>
      </c>
      <c r="P2814" s="460" t="s">
        <v>766</v>
      </c>
      <c r="Q2814" s="460" t="s">
        <v>2280</v>
      </c>
      <c r="R2814" s="460">
        <v>3121</v>
      </c>
      <c r="S2814" s="460" t="s">
        <v>1139</v>
      </c>
      <c r="T2814" s="462">
        <v>1</v>
      </c>
      <c r="U2814" s="460" t="s">
        <v>1139</v>
      </c>
      <c r="V2814" s="475">
        <v>0</v>
      </c>
      <c r="W2814" s="463" t="s">
        <v>713</v>
      </c>
      <c r="X2814" s="463" t="s">
        <v>713</v>
      </c>
      <c r="Y2814" s="463" t="s">
        <v>713</v>
      </c>
      <c r="Z2814" s="463"/>
      <c r="AA2814" s="463"/>
      <c r="AB2814" s="464">
        <v>453.93484141563431</v>
      </c>
      <c r="AC2814" s="465">
        <v>0.24589093881441984</v>
      </c>
      <c r="AD2814" s="465">
        <v>5.0260733897329801E-3</v>
      </c>
      <c r="AE2814" s="476">
        <v>453.93484141563425</v>
      </c>
      <c r="AF2814" s="467">
        <v>0.24589093881441981</v>
      </c>
      <c r="AG2814" s="468">
        <v>5.0260733897329801E-3</v>
      </c>
      <c r="AH2814" s="218">
        <v>453.93484141563425</v>
      </c>
      <c r="AI2814" s="470">
        <v>0.24589093881441981</v>
      </c>
      <c r="AJ2814" s="471">
        <v>5.1341734586789183E-3</v>
      </c>
      <c r="AK2814" s="218">
        <v>453.93484141563425</v>
      </c>
      <c r="AL2814" s="470">
        <v>0.24589093881441981</v>
      </c>
      <c r="AM2814" s="471">
        <v>5.1341734586789183E-3</v>
      </c>
      <c r="AN2814" s="477">
        <v>453.93484141563425</v>
      </c>
      <c r="AO2814" s="473">
        <v>0.24589093881441981</v>
      </c>
      <c r="AP2814" s="474">
        <v>5.1341734586789183E-3</v>
      </c>
      <c r="AQ2814" s="352"/>
      <c r="AR2814" s="352"/>
      <c r="AS2814" s="352"/>
      <c r="AT2814" s="352"/>
      <c r="AU2814" s="352"/>
      <c r="AV2814" s="352"/>
      <c r="AW2814" s="352" t="s">
        <v>254</v>
      </c>
    </row>
    <row r="2815" spans="2:49" x14ac:dyDescent="0.2">
      <c r="B2815" s="460" t="s">
        <v>3193</v>
      </c>
      <c r="C2815" s="460">
        <v>3121</v>
      </c>
      <c r="D2815" s="460" t="s">
        <v>2362</v>
      </c>
      <c r="E2815" s="460" t="s">
        <v>1136</v>
      </c>
      <c r="F2815" s="460">
        <v>1</v>
      </c>
      <c r="G2815" s="460">
        <v>4</v>
      </c>
      <c r="H2815" s="461" t="s">
        <v>746</v>
      </c>
      <c r="I2815" s="461" t="s">
        <v>762</v>
      </c>
      <c r="J2815" s="461" t="s">
        <v>700</v>
      </c>
      <c r="K2815" s="594"/>
      <c r="L2815" s="594"/>
      <c r="M2815" s="352">
        <v>3000</v>
      </c>
      <c r="N2815" s="352" t="s">
        <v>709</v>
      </c>
      <c r="O2815" s="460">
        <v>3121</v>
      </c>
      <c r="P2815" s="460" t="s">
        <v>766</v>
      </c>
      <c r="Q2815" s="460" t="s">
        <v>2553</v>
      </c>
      <c r="R2815" s="460">
        <v>3121</v>
      </c>
      <c r="S2815" s="460" t="s">
        <v>1136</v>
      </c>
      <c r="T2815" s="462">
        <v>1</v>
      </c>
      <c r="U2815" s="460" t="s">
        <v>1136</v>
      </c>
      <c r="V2815" s="475">
        <v>0</v>
      </c>
      <c r="W2815" s="463" t="s">
        <v>2268</v>
      </c>
      <c r="X2815" s="463" t="s">
        <v>2268</v>
      </c>
      <c r="Y2815" s="463" t="s">
        <v>2554</v>
      </c>
      <c r="Z2815" s="463"/>
      <c r="AA2815" s="463"/>
      <c r="AB2815" s="464">
        <v>0</v>
      </c>
      <c r="AC2815" s="465">
        <v>0</v>
      </c>
      <c r="AD2815" s="465">
        <v>0</v>
      </c>
      <c r="AE2815" s="476">
        <v>0</v>
      </c>
      <c r="AF2815" s="467">
        <v>0</v>
      </c>
      <c r="AG2815" s="468">
        <v>0</v>
      </c>
      <c r="AH2815" s="218">
        <v>0</v>
      </c>
      <c r="AI2815" s="470">
        <v>0</v>
      </c>
      <c r="AJ2815" s="471">
        <v>0</v>
      </c>
      <c r="AK2815" s="218">
        <v>0</v>
      </c>
      <c r="AL2815" s="470">
        <v>0</v>
      </c>
      <c r="AM2815" s="471">
        <v>0</v>
      </c>
      <c r="AN2815" s="477">
        <v>0.75452113496463968</v>
      </c>
      <c r="AO2815" s="473">
        <v>2.5898057807787066E-3</v>
      </c>
      <c r="AP2815" s="474">
        <v>3.4032608846676694E-3</v>
      </c>
      <c r="AQ2815" s="352"/>
      <c r="AR2815" s="352"/>
      <c r="AS2815" s="352"/>
      <c r="AT2815" s="352"/>
      <c r="AU2815" s="352"/>
      <c r="AV2815" s="352"/>
      <c r="AW2815" s="352" t="s">
        <v>254</v>
      </c>
    </row>
    <row r="2816" spans="2:49" x14ac:dyDescent="0.2">
      <c r="B2816" s="460" t="s">
        <v>3194</v>
      </c>
      <c r="C2816" s="460">
        <v>3121</v>
      </c>
      <c r="D2816" s="460" t="s">
        <v>2363</v>
      </c>
      <c r="E2816" s="460" t="s">
        <v>1137</v>
      </c>
      <c r="F2816" s="460">
        <v>2</v>
      </c>
      <c r="G2816" s="460">
        <v>4</v>
      </c>
      <c r="H2816" s="461" t="s">
        <v>746</v>
      </c>
      <c r="I2816" s="461" t="s">
        <v>762</v>
      </c>
      <c r="J2816" s="461" t="s">
        <v>700</v>
      </c>
      <c r="K2816" s="594"/>
      <c r="L2816" s="594"/>
      <c r="M2816" s="352">
        <v>3000</v>
      </c>
      <c r="N2816" s="352" t="s">
        <v>709</v>
      </c>
      <c r="O2816" s="460">
        <v>3121</v>
      </c>
      <c r="P2816" s="460" t="s">
        <v>766</v>
      </c>
      <c r="Q2816" s="460" t="s">
        <v>2553</v>
      </c>
      <c r="R2816" s="460">
        <v>3121</v>
      </c>
      <c r="S2816" s="460" t="s">
        <v>1137</v>
      </c>
      <c r="T2816" s="462">
        <v>1</v>
      </c>
      <c r="U2816" s="460" t="s">
        <v>1137</v>
      </c>
      <c r="V2816" s="475">
        <v>0</v>
      </c>
      <c r="W2816" s="463" t="s">
        <v>2268</v>
      </c>
      <c r="X2816" s="463" t="s">
        <v>2268</v>
      </c>
      <c r="Y2816" s="463" t="s">
        <v>2554</v>
      </c>
      <c r="Z2816" s="463"/>
      <c r="AA2816" s="463"/>
      <c r="AB2816" s="464">
        <v>0</v>
      </c>
      <c r="AC2816" s="465">
        <v>0</v>
      </c>
      <c r="AD2816" s="465">
        <v>0</v>
      </c>
      <c r="AE2816" s="476">
        <v>0</v>
      </c>
      <c r="AF2816" s="467">
        <v>0</v>
      </c>
      <c r="AG2816" s="468">
        <v>0</v>
      </c>
      <c r="AH2816" s="218">
        <v>0</v>
      </c>
      <c r="AI2816" s="470">
        <v>0</v>
      </c>
      <c r="AJ2816" s="471">
        <v>0</v>
      </c>
      <c r="AK2816" s="218">
        <v>0</v>
      </c>
      <c r="AL2816" s="470">
        <v>0</v>
      </c>
      <c r="AM2816" s="471">
        <v>0</v>
      </c>
      <c r="AN2816" s="477">
        <v>8.9606094939991063</v>
      </c>
      <c r="AO2816" s="473">
        <v>2.6719787171240916E-3</v>
      </c>
      <c r="AP2816" s="474">
        <v>2.4486081772817007E-3</v>
      </c>
      <c r="AQ2816" s="352"/>
      <c r="AR2816" s="352"/>
      <c r="AS2816" s="352"/>
      <c r="AT2816" s="352"/>
      <c r="AU2816" s="352"/>
      <c r="AV2816" s="352"/>
      <c r="AW2816" s="352" t="s">
        <v>254</v>
      </c>
    </row>
    <row r="2817" spans="2:49" x14ac:dyDescent="0.2">
      <c r="B2817" s="460" t="s">
        <v>3195</v>
      </c>
      <c r="C2817" s="460">
        <v>3121</v>
      </c>
      <c r="D2817" s="460" t="s">
        <v>2364</v>
      </c>
      <c r="E2817" s="460" t="s">
        <v>1138</v>
      </c>
      <c r="F2817" s="460">
        <v>3</v>
      </c>
      <c r="G2817" s="460">
        <v>4</v>
      </c>
      <c r="H2817" s="461" t="s">
        <v>746</v>
      </c>
      <c r="I2817" s="461" t="s">
        <v>762</v>
      </c>
      <c r="J2817" s="461" t="s">
        <v>700</v>
      </c>
      <c r="K2817" s="594"/>
      <c r="L2817" s="594"/>
      <c r="M2817" s="352">
        <v>3000</v>
      </c>
      <c r="N2817" s="352" t="s">
        <v>709</v>
      </c>
      <c r="O2817" s="460">
        <v>3121</v>
      </c>
      <c r="P2817" s="460" t="s">
        <v>766</v>
      </c>
      <c r="Q2817" s="460" t="s">
        <v>2553</v>
      </c>
      <c r="R2817" s="460">
        <v>3121</v>
      </c>
      <c r="S2817" s="460" t="s">
        <v>1138</v>
      </c>
      <c r="T2817" s="462">
        <v>1</v>
      </c>
      <c r="U2817" s="460" t="s">
        <v>1138</v>
      </c>
      <c r="V2817" s="475">
        <v>0</v>
      </c>
      <c r="W2817" s="463" t="s">
        <v>2268</v>
      </c>
      <c r="X2817" s="463" t="s">
        <v>2268</v>
      </c>
      <c r="Y2817" s="463" t="s">
        <v>2554</v>
      </c>
      <c r="Z2817" s="463"/>
      <c r="AA2817" s="463"/>
      <c r="AB2817" s="464">
        <v>0</v>
      </c>
      <c r="AC2817" s="465">
        <v>0</v>
      </c>
      <c r="AD2817" s="465">
        <v>0</v>
      </c>
      <c r="AE2817" s="476">
        <v>0</v>
      </c>
      <c r="AF2817" s="467">
        <v>0</v>
      </c>
      <c r="AG2817" s="468">
        <v>0</v>
      </c>
      <c r="AH2817" s="218">
        <v>0</v>
      </c>
      <c r="AI2817" s="470">
        <v>0</v>
      </c>
      <c r="AJ2817" s="471">
        <v>0</v>
      </c>
      <c r="AK2817" s="218">
        <v>0</v>
      </c>
      <c r="AL2817" s="470">
        <v>0</v>
      </c>
      <c r="AM2817" s="471">
        <v>0</v>
      </c>
      <c r="AN2817" s="477">
        <v>5.1166191979137254</v>
      </c>
      <c r="AO2817" s="473">
        <v>2.2570689428110051E-3</v>
      </c>
      <c r="AP2817" s="474">
        <v>2.6482546322393989E-3</v>
      </c>
      <c r="AQ2817" s="352"/>
      <c r="AR2817" s="352"/>
      <c r="AS2817" s="352"/>
      <c r="AT2817" s="352"/>
      <c r="AU2817" s="352"/>
      <c r="AV2817" s="352"/>
      <c r="AW2817" s="352" t="s">
        <v>254</v>
      </c>
    </row>
    <row r="2818" spans="2:49" x14ac:dyDescent="0.2">
      <c r="B2818" s="460" t="s">
        <v>3196</v>
      </c>
      <c r="C2818" s="460">
        <v>3121</v>
      </c>
      <c r="D2818" s="460" t="s">
        <v>2365</v>
      </c>
      <c r="E2818" s="460" t="s">
        <v>1139</v>
      </c>
      <c r="F2818" s="460">
        <v>4</v>
      </c>
      <c r="G2818" s="460">
        <v>4</v>
      </c>
      <c r="H2818" s="461" t="s">
        <v>746</v>
      </c>
      <c r="I2818" s="461" t="s">
        <v>762</v>
      </c>
      <c r="J2818" s="461" t="s">
        <v>700</v>
      </c>
      <c r="K2818" s="594"/>
      <c r="L2818" s="594"/>
      <c r="M2818" s="352">
        <v>3000</v>
      </c>
      <c r="N2818" s="352" t="s">
        <v>709</v>
      </c>
      <c r="O2818" s="460">
        <v>3121</v>
      </c>
      <c r="P2818" s="460" t="s">
        <v>766</v>
      </c>
      <c r="Q2818" s="460" t="s">
        <v>2553</v>
      </c>
      <c r="R2818" s="460">
        <v>3121</v>
      </c>
      <c r="S2818" s="460" t="s">
        <v>1139</v>
      </c>
      <c r="T2818" s="462">
        <v>1</v>
      </c>
      <c r="U2818" s="460" t="s">
        <v>1139</v>
      </c>
      <c r="V2818" s="475">
        <v>0</v>
      </c>
      <c r="W2818" s="463" t="s">
        <v>2268</v>
      </c>
      <c r="X2818" s="463" t="s">
        <v>2268</v>
      </c>
      <c r="Y2818" s="463" t="s">
        <v>2554</v>
      </c>
      <c r="Z2818" s="463"/>
      <c r="AA2818" s="463"/>
      <c r="AB2818" s="464">
        <v>0</v>
      </c>
      <c r="AC2818" s="465">
        <v>0</v>
      </c>
      <c r="AD2818" s="465">
        <v>0</v>
      </c>
      <c r="AE2818" s="476">
        <v>0</v>
      </c>
      <c r="AF2818" s="467">
        <v>0</v>
      </c>
      <c r="AG2818" s="468">
        <v>0</v>
      </c>
      <c r="AH2818" s="218">
        <v>0</v>
      </c>
      <c r="AI2818" s="470">
        <v>0</v>
      </c>
      <c r="AJ2818" s="471">
        <v>0</v>
      </c>
      <c r="AK2818" s="218">
        <v>0</v>
      </c>
      <c r="AL2818" s="470">
        <v>0</v>
      </c>
      <c r="AM2818" s="471">
        <v>0</v>
      </c>
      <c r="AN2818" s="477">
        <v>0</v>
      </c>
      <c r="AO2818" s="473">
        <v>0</v>
      </c>
      <c r="AP2818" s="474">
        <v>0</v>
      </c>
      <c r="AQ2818" s="352"/>
      <c r="AR2818" s="352"/>
      <c r="AS2818" s="352"/>
      <c r="AT2818" s="352"/>
      <c r="AU2818" s="352"/>
      <c r="AV2818" s="352"/>
      <c r="AW2818" s="352" t="s">
        <v>254</v>
      </c>
    </row>
    <row r="2819" spans="2:49" x14ac:dyDescent="0.2">
      <c r="B2819" s="460" t="s">
        <v>3193</v>
      </c>
      <c r="C2819" s="460">
        <v>3121</v>
      </c>
      <c r="D2819" s="460" t="s">
        <v>2366</v>
      </c>
      <c r="E2819" s="460" t="s">
        <v>1136</v>
      </c>
      <c r="F2819" s="460">
        <v>1</v>
      </c>
      <c r="G2819" s="460">
        <v>4</v>
      </c>
      <c r="H2819" s="461" t="s">
        <v>748</v>
      </c>
      <c r="I2819" s="461" t="s">
        <v>765</v>
      </c>
      <c r="J2819" s="461" t="s">
        <v>700</v>
      </c>
      <c r="K2819" s="594"/>
      <c r="L2819" s="594"/>
      <c r="M2819" s="352">
        <v>3000</v>
      </c>
      <c r="N2819" s="352" t="s">
        <v>709</v>
      </c>
      <c r="O2819" s="460">
        <v>3121</v>
      </c>
      <c r="P2819" s="460" t="s">
        <v>766</v>
      </c>
      <c r="Q2819" s="460" t="s">
        <v>2553</v>
      </c>
      <c r="R2819" s="460">
        <v>3121</v>
      </c>
      <c r="S2819" s="460" t="s">
        <v>1136</v>
      </c>
      <c r="T2819" s="462">
        <v>1</v>
      </c>
      <c r="U2819" s="460" t="s">
        <v>1136</v>
      </c>
      <c r="V2819" s="475">
        <v>0</v>
      </c>
      <c r="W2819" s="463" t="s">
        <v>2268</v>
      </c>
      <c r="X2819" s="463" t="s">
        <v>2268</v>
      </c>
      <c r="Y2819" s="463" t="s">
        <v>2554</v>
      </c>
      <c r="Z2819" s="463"/>
      <c r="AA2819" s="463"/>
      <c r="AB2819" s="464">
        <v>0</v>
      </c>
      <c r="AC2819" s="465">
        <v>0</v>
      </c>
      <c r="AD2819" s="465">
        <v>0</v>
      </c>
      <c r="AE2819" s="476">
        <v>0</v>
      </c>
      <c r="AF2819" s="467">
        <v>0</v>
      </c>
      <c r="AG2819" s="468">
        <v>0</v>
      </c>
      <c r="AH2819" s="218">
        <v>0</v>
      </c>
      <c r="AI2819" s="470">
        <v>0</v>
      </c>
      <c r="AJ2819" s="471">
        <v>0</v>
      </c>
      <c r="AK2819" s="218">
        <v>0</v>
      </c>
      <c r="AL2819" s="470">
        <v>0</v>
      </c>
      <c r="AM2819" s="471">
        <v>0</v>
      </c>
      <c r="AN2819" s="477">
        <v>3.7726056748231995</v>
      </c>
      <c r="AO2819" s="473">
        <v>1.2949028903893536E-2</v>
      </c>
      <c r="AP2819" s="474">
        <v>4.6352031063580795E-3</v>
      </c>
      <c r="AQ2819" s="352"/>
      <c r="AR2819" s="352"/>
      <c r="AS2819" s="352"/>
      <c r="AT2819" s="352"/>
      <c r="AU2819" s="352"/>
      <c r="AV2819" s="352"/>
      <c r="AW2819" s="352" t="s">
        <v>254</v>
      </c>
    </row>
    <row r="2820" spans="2:49" x14ac:dyDescent="0.2">
      <c r="B2820" s="460" t="s">
        <v>3194</v>
      </c>
      <c r="C2820" s="460">
        <v>3121</v>
      </c>
      <c r="D2820" s="460" t="s">
        <v>2367</v>
      </c>
      <c r="E2820" s="460" t="s">
        <v>1137</v>
      </c>
      <c r="F2820" s="460">
        <v>2</v>
      </c>
      <c r="G2820" s="460">
        <v>4</v>
      </c>
      <c r="H2820" s="461" t="s">
        <v>748</v>
      </c>
      <c r="I2820" s="461" t="s">
        <v>765</v>
      </c>
      <c r="J2820" s="461" t="s">
        <v>700</v>
      </c>
      <c r="K2820" s="594"/>
      <c r="L2820" s="594"/>
      <c r="M2820" s="352">
        <v>3000</v>
      </c>
      <c r="N2820" s="352" t="s">
        <v>709</v>
      </c>
      <c r="O2820" s="460">
        <v>3121</v>
      </c>
      <c r="P2820" s="460" t="s">
        <v>766</v>
      </c>
      <c r="Q2820" s="460" t="s">
        <v>2553</v>
      </c>
      <c r="R2820" s="460">
        <v>3121</v>
      </c>
      <c r="S2820" s="460" t="s">
        <v>1137</v>
      </c>
      <c r="T2820" s="462">
        <v>1</v>
      </c>
      <c r="U2820" s="460" t="s">
        <v>1137</v>
      </c>
      <c r="V2820" s="475">
        <v>0</v>
      </c>
      <c r="W2820" s="463" t="s">
        <v>2268</v>
      </c>
      <c r="X2820" s="463" t="s">
        <v>2268</v>
      </c>
      <c r="Y2820" s="463" t="s">
        <v>2554</v>
      </c>
      <c r="Z2820" s="463"/>
      <c r="AA2820" s="463"/>
      <c r="AB2820" s="464">
        <v>0</v>
      </c>
      <c r="AC2820" s="465">
        <v>0</v>
      </c>
      <c r="AD2820" s="465">
        <v>0</v>
      </c>
      <c r="AE2820" s="476">
        <v>0</v>
      </c>
      <c r="AF2820" s="467">
        <v>0</v>
      </c>
      <c r="AG2820" s="468">
        <v>0</v>
      </c>
      <c r="AH2820" s="218">
        <v>0</v>
      </c>
      <c r="AI2820" s="470">
        <v>0</v>
      </c>
      <c r="AJ2820" s="471">
        <v>0</v>
      </c>
      <c r="AK2820" s="218">
        <v>0</v>
      </c>
      <c r="AL2820" s="470">
        <v>0</v>
      </c>
      <c r="AM2820" s="471">
        <v>0</v>
      </c>
      <c r="AN2820" s="477">
        <v>44.803047469995541</v>
      </c>
      <c r="AO2820" s="473">
        <v>1.3359893585620461E-2</v>
      </c>
      <c r="AP2820" s="474">
        <v>4.3154792010200636E-2</v>
      </c>
      <c r="AQ2820" s="352"/>
      <c r="AR2820" s="352"/>
      <c r="AS2820" s="352"/>
      <c r="AT2820" s="352"/>
      <c r="AU2820" s="352"/>
      <c r="AV2820" s="352"/>
      <c r="AW2820" s="352" t="s">
        <v>254</v>
      </c>
    </row>
    <row r="2821" spans="2:49" x14ac:dyDescent="0.2">
      <c r="B2821" s="460" t="s">
        <v>3195</v>
      </c>
      <c r="C2821" s="460">
        <v>3121</v>
      </c>
      <c r="D2821" s="460" t="s">
        <v>2368</v>
      </c>
      <c r="E2821" s="460" t="s">
        <v>1138</v>
      </c>
      <c r="F2821" s="460">
        <v>3</v>
      </c>
      <c r="G2821" s="460">
        <v>4</v>
      </c>
      <c r="H2821" s="461" t="s">
        <v>748</v>
      </c>
      <c r="I2821" s="461" t="s">
        <v>765</v>
      </c>
      <c r="J2821" s="461" t="s">
        <v>700</v>
      </c>
      <c r="K2821" s="594"/>
      <c r="L2821" s="594"/>
      <c r="M2821" s="352">
        <v>3000</v>
      </c>
      <c r="N2821" s="352" t="s">
        <v>709</v>
      </c>
      <c r="O2821" s="460">
        <v>3121</v>
      </c>
      <c r="P2821" s="460" t="s">
        <v>766</v>
      </c>
      <c r="Q2821" s="460" t="s">
        <v>2553</v>
      </c>
      <c r="R2821" s="460">
        <v>3121</v>
      </c>
      <c r="S2821" s="460" t="s">
        <v>1138</v>
      </c>
      <c r="T2821" s="462">
        <v>1</v>
      </c>
      <c r="U2821" s="460" t="s">
        <v>1138</v>
      </c>
      <c r="V2821" s="475">
        <v>0</v>
      </c>
      <c r="W2821" s="463" t="s">
        <v>2268</v>
      </c>
      <c r="X2821" s="463" t="s">
        <v>2268</v>
      </c>
      <c r="Y2821" s="463" t="s">
        <v>2554</v>
      </c>
      <c r="Z2821" s="463"/>
      <c r="AA2821" s="463"/>
      <c r="AB2821" s="464">
        <v>0</v>
      </c>
      <c r="AC2821" s="465">
        <v>0</v>
      </c>
      <c r="AD2821" s="465">
        <v>0</v>
      </c>
      <c r="AE2821" s="476">
        <v>0</v>
      </c>
      <c r="AF2821" s="467">
        <v>0</v>
      </c>
      <c r="AG2821" s="468">
        <v>0</v>
      </c>
      <c r="AH2821" s="218">
        <v>0</v>
      </c>
      <c r="AI2821" s="470">
        <v>0</v>
      </c>
      <c r="AJ2821" s="471">
        <v>0</v>
      </c>
      <c r="AK2821" s="218">
        <v>0</v>
      </c>
      <c r="AL2821" s="470">
        <v>0</v>
      </c>
      <c r="AM2821" s="471">
        <v>0</v>
      </c>
      <c r="AN2821" s="477">
        <v>25.583095989568633</v>
      </c>
      <c r="AO2821" s="473">
        <v>1.1285344714055028E-2</v>
      </c>
      <c r="AP2821" s="474">
        <v>2.6543753924331837E-2</v>
      </c>
      <c r="AQ2821" s="352"/>
      <c r="AR2821" s="352"/>
      <c r="AS2821" s="352"/>
      <c r="AT2821" s="352"/>
      <c r="AU2821" s="352"/>
      <c r="AV2821" s="352"/>
      <c r="AW2821" s="352" t="s">
        <v>254</v>
      </c>
    </row>
    <row r="2822" spans="2:49" x14ac:dyDescent="0.2">
      <c r="B2822" s="460" t="s">
        <v>3196</v>
      </c>
      <c r="C2822" s="460">
        <v>3121</v>
      </c>
      <c r="D2822" s="460" t="s">
        <v>2369</v>
      </c>
      <c r="E2822" s="460" t="s">
        <v>1139</v>
      </c>
      <c r="F2822" s="460">
        <v>4</v>
      </c>
      <c r="G2822" s="460">
        <v>4</v>
      </c>
      <c r="H2822" s="461" t="s">
        <v>748</v>
      </c>
      <c r="I2822" s="461" t="s">
        <v>765</v>
      </c>
      <c r="J2822" s="461" t="s">
        <v>700</v>
      </c>
      <c r="K2822" s="594"/>
      <c r="L2822" s="594"/>
      <c r="M2822" s="352">
        <v>3000</v>
      </c>
      <c r="N2822" s="352" t="s">
        <v>709</v>
      </c>
      <c r="O2822" s="460">
        <v>3121</v>
      </c>
      <c r="P2822" s="460" t="s">
        <v>766</v>
      </c>
      <c r="Q2822" s="460" t="s">
        <v>2553</v>
      </c>
      <c r="R2822" s="460">
        <v>3121</v>
      </c>
      <c r="S2822" s="460" t="s">
        <v>1139</v>
      </c>
      <c r="T2822" s="462">
        <v>1</v>
      </c>
      <c r="U2822" s="460" t="s">
        <v>1139</v>
      </c>
      <c r="V2822" s="475">
        <v>0</v>
      </c>
      <c r="W2822" s="463" t="s">
        <v>2268</v>
      </c>
      <c r="X2822" s="463" t="s">
        <v>2268</v>
      </c>
      <c r="Y2822" s="463" t="s">
        <v>2554</v>
      </c>
      <c r="Z2822" s="463"/>
      <c r="AA2822" s="463"/>
      <c r="AB2822" s="464">
        <v>0</v>
      </c>
      <c r="AC2822" s="465">
        <v>0</v>
      </c>
      <c r="AD2822" s="465">
        <v>0</v>
      </c>
      <c r="AE2822" s="476">
        <v>0</v>
      </c>
      <c r="AF2822" s="467">
        <v>0</v>
      </c>
      <c r="AG2822" s="468">
        <v>0</v>
      </c>
      <c r="AH2822" s="218">
        <v>0</v>
      </c>
      <c r="AI2822" s="470">
        <v>0</v>
      </c>
      <c r="AJ2822" s="471">
        <v>0</v>
      </c>
      <c r="AK2822" s="218">
        <v>0</v>
      </c>
      <c r="AL2822" s="470">
        <v>0</v>
      </c>
      <c r="AM2822" s="471">
        <v>0</v>
      </c>
      <c r="AN2822" s="477">
        <v>0</v>
      </c>
      <c r="AO2822" s="473">
        <v>0</v>
      </c>
      <c r="AP2822" s="474">
        <v>0</v>
      </c>
      <c r="AQ2822" s="352"/>
      <c r="AR2822" s="352"/>
      <c r="AS2822" s="352"/>
      <c r="AT2822" s="352"/>
      <c r="AU2822" s="352"/>
      <c r="AV2822" s="352"/>
      <c r="AW2822" s="352" t="s">
        <v>254</v>
      </c>
    </row>
    <row r="2823" spans="2:49" x14ac:dyDescent="0.2">
      <c r="B2823" s="460" t="s">
        <v>3197</v>
      </c>
      <c r="C2823" s="460">
        <v>3121</v>
      </c>
      <c r="D2823" s="460" t="s">
        <v>2375</v>
      </c>
      <c r="E2823" s="460" t="s">
        <v>2376</v>
      </c>
      <c r="F2823" s="460">
        <v>1</v>
      </c>
      <c r="G2823" s="460">
        <v>5</v>
      </c>
      <c r="H2823" s="461" t="s">
        <v>754</v>
      </c>
      <c r="I2823" s="461" t="s">
        <v>1991</v>
      </c>
      <c r="J2823" s="461" t="s">
        <v>754</v>
      </c>
      <c r="K2823" s="594"/>
      <c r="L2823" s="594"/>
      <c r="M2823" s="352">
        <v>3000</v>
      </c>
      <c r="N2823" s="352" t="s">
        <v>709</v>
      </c>
      <c r="O2823" s="460">
        <v>3121</v>
      </c>
      <c r="P2823" s="460" t="s">
        <v>766</v>
      </c>
      <c r="Q2823" s="460" t="s">
        <v>2377</v>
      </c>
      <c r="R2823" s="460">
        <v>3121</v>
      </c>
      <c r="S2823" s="460" t="s">
        <v>2376</v>
      </c>
      <c r="T2823" s="462">
        <v>1</v>
      </c>
      <c r="U2823" s="460" t="s">
        <v>2376</v>
      </c>
      <c r="V2823" s="475">
        <v>0</v>
      </c>
      <c r="W2823" s="463" t="s">
        <v>2278</v>
      </c>
      <c r="X2823" s="463" t="s">
        <v>2278</v>
      </c>
      <c r="Y2823" s="463" t="s">
        <v>2278</v>
      </c>
      <c r="Z2823" s="463"/>
      <c r="AA2823" s="463"/>
      <c r="AB2823" s="464">
        <v>2070.9158570068289</v>
      </c>
      <c r="AC2823" s="465">
        <v>1</v>
      </c>
      <c r="AD2823" s="465">
        <v>3.4814266645286918E-3</v>
      </c>
      <c r="AE2823" s="476">
        <v>2070.9158570068289</v>
      </c>
      <c r="AF2823" s="467">
        <v>1</v>
      </c>
      <c r="AG2823" s="468">
        <v>3.4814266645286918E-3</v>
      </c>
      <c r="AH2823" s="218">
        <v>2070.9158570068289</v>
      </c>
      <c r="AI2823" s="470">
        <v>1</v>
      </c>
      <c r="AJ2823" s="471">
        <v>3.4814266645286918E-3</v>
      </c>
      <c r="AK2823" s="218">
        <v>2070.9158570068289</v>
      </c>
      <c r="AL2823" s="470">
        <v>1</v>
      </c>
      <c r="AM2823" s="471">
        <v>3.4814266645286918E-3</v>
      </c>
      <c r="AN2823" s="477">
        <v>2070.9158570068289</v>
      </c>
      <c r="AO2823" s="473">
        <v>1</v>
      </c>
      <c r="AP2823" s="474">
        <v>3.4814266645286918E-3</v>
      </c>
      <c r="AQ2823" s="352"/>
      <c r="AR2823" s="352"/>
      <c r="AS2823" s="352"/>
      <c r="AT2823" s="352"/>
      <c r="AU2823" s="352"/>
      <c r="AV2823" s="352"/>
      <c r="AW2823" s="352" t="s">
        <v>127</v>
      </c>
    </row>
    <row r="2824" spans="2:49" x14ac:dyDescent="0.2">
      <c r="B2824" s="460" t="s">
        <v>3198</v>
      </c>
      <c r="C2824" s="460">
        <v>3121</v>
      </c>
      <c r="D2824" s="460" t="s">
        <v>2379</v>
      </c>
      <c r="E2824" s="460" t="s">
        <v>2380</v>
      </c>
      <c r="F2824" s="460">
        <v>2</v>
      </c>
      <c r="G2824" s="460">
        <v>5</v>
      </c>
      <c r="H2824" s="461" t="s">
        <v>754</v>
      </c>
      <c r="I2824" s="461" t="s">
        <v>1991</v>
      </c>
      <c r="J2824" s="461" t="s">
        <v>754</v>
      </c>
      <c r="K2824" s="594"/>
      <c r="L2824" s="594"/>
      <c r="M2824" s="352">
        <v>3000</v>
      </c>
      <c r="N2824" s="352" t="s">
        <v>709</v>
      </c>
      <c r="O2824" s="460">
        <v>3121</v>
      </c>
      <c r="P2824" s="460" t="s">
        <v>766</v>
      </c>
      <c r="Q2824" s="460" t="s">
        <v>2377</v>
      </c>
      <c r="R2824" s="460">
        <v>3121</v>
      </c>
      <c r="S2824" s="460" t="s">
        <v>2380</v>
      </c>
      <c r="T2824" s="462">
        <v>1</v>
      </c>
      <c r="U2824" s="460" t="s">
        <v>2380</v>
      </c>
      <c r="V2824" s="475">
        <v>0</v>
      </c>
      <c r="W2824" s="463" t="s">
        <v>2278</v>
      </c>
      <c r="X2824" s="463" t="s">
        <v>2278</v>
      </c>
      <c r="Y2824" s="463" t="s">
        <v>2278</v>
      </c>
      <c r="Z2824" s="463"/>
      <c r="AA2824" s="463"/>
      <c r="AB2824" s="464">
        <v>1882.3592427694566</v>
      </c>
      <c r="AC2824" s="465">
        <v>1</v>
      </c>
      <c r="AD2824" s="465">
        <v>3.706748785941588E-3</v>
      </c>
      <c r="AE2824" s="476">
        <v>1882.3592427694566</v>
      </c>
      <c r="AF2824" s="467">
        <v>1</v>
      </c>
      <c r="AG2824" s="468">
        <v>3.706748785941588E-3</v>
      </c>
      <c r="AH2824" s="218">
        <v>1882.3592427694566</v>
      </c>
      <c r="AI2824" s="470">
        <v>1</v>
      </c>
      <c r="AJ2824" s="471">
        <v>3.706748785941588E-3</v>
      </c>
      <c r="AK2824" s="218">
        <v>1882.3592427694566</v>
      </c>
      <c r="AL2824" s="470">
        <v>1</v>
      </c>
      <c r="AM2824" s="471">
        <v>3.706748785941588E-3</v>
      </c>
      <c r="AN2824" s="477">
        <v>1882.3592427694566</v>
      </c>
      <c r="AO2824" s="473">
        <v>1</v>
      </c>
      <c r="AP2824" s="474">
        <v>3.706748785941588E-3</v>
      </c>
      <c r="AQ2824" s="352"/>
      <c r="AR2824" s="352"/>
      <c r="AS2824" s="352"/>
      <c r="AT2824" s="352"/>
      <c r="AU2824" s="352"/>
      <c r="AV2824" s="352"/>
      <c r="AW2824" s="352" t="s">
        <v>127</v>
      </c>
    </row>
    <row r="2825" spans="2:49" x14ac:dyDescent="0.2">
      <c r="B2825" s="460" t="s">
        <v>3199</v>
      </c>
      <c r="C2825" s="460">
        <v>3121</v>
      </c>
      <c r="D2825" s="460" t="s">
        <v>2382</v>
      </c>
      <c r="E2825" s="460" t="s">
        <v>2383</v>
      </c>
      <c r="F2825" s="460">
        <v>3</v>
      </c>
      <c r="G2825" s="460">
        <v>5</v>
      </c>
      <c r="H2825" s="461" t="s">
        <v>754</v>
      </c>
      <c r="I2825" s="461" t="s">
        <v>1991</v>
      </c>
      <c r="J2825" s="461" t="s">
        <v>754</v>
      </c>
      <c r="K2825" s="594"/>
      <c r="L2825" s="594"/>
      <c r="M2825" s="352">
        <v>3000</v>
      </c>
      <c r="N2825" s="352" t="s">
        <v>709</v>
      </c>
      <c r="O2825" s="460">
        <v>3121</v>
      </c>
      <c r="P2825" s="460" t="s">
        <v>766</v>
      </c>
      <c r="Q2825" s="460" t="s">
        <v>2377</v>
      </c>
      <c r="R2825" s="460">
        <v>3121</v>
      </c>
      <c r="S2825" s="460" t="s">
        <v>2383</v>
      </c>
      <c r="T2825" s="462">
        <v>1</v>
      </c>
      <c r="U2825" s="460" t="s">
        <v>2383</v>
      </c>
      <c r="V2825" s="475">
        <v>0</v>
      </c>
      <c r="W2825" s="463" t="s">
        <v>2278</v>
      </c>
      <c r="X2825" s="463" t="s">
        <v>2278</v>
      </c>
      <c r="Y2825" s="463" t="s">
        <v>2278</v>
      </c>
      <c r="Z2825" s="463"/>
      <c r="AA2825" s="463"/>
      <c r="AB2825" s="464">
        <v>233.45446599157333</v>
      </c>
      <c r="AC2825" s="465">
        <v>1</v>
      </c>
      <c r="AD2825" s="465">
        <v>2.0750969363252571E-3</v>
      </c>
      <c r="AE2825" s="476">
        <v>233.45446599157333</v>
      </c>
      <c r="AF2825" s="467">
        <v>1</v>
      </c>
      <c r="AG2825" s="468">
        <v>2.0750969363252571E-3</v>
      </c>
      <c r="AH2825" s="218">
        <v>233.45446599157333</v>
      </c>
      <c r="AI2825" s="470">
        <v>1</v>
      </c>
      <c r="AJ2825" s="471">
        <v>2.0750969363252571E-3</v>
      </c>
      <c r="AK2825" s="218">
        <v>233.45446599157333</v>
      </c>
      <c r="AL2825" s="470">
        <v>1</v>
      </c>
      <c r="AM2825" s="471">
        <v>2.0750969363252571E-3</v>
      </c>
      <c r="AN2825" s="477">
        <v>233.45446599157333</v>
      </c>
      <c r="AO2825" s="473">
        <v>1</v>
      </c>
      <c r="AP2825" s="474">
        <v>2.0750969363252571E-3</v>
      </c>
      <c r="AQ2825" s="352"/>
      <c r="AR2825" s="352"/>
      <c r="AS2825" s="352"/>
      <c r="AT2825" s="352"/>
      <c r="AU2825" s="352"/>
      <c r="AV2825" s="352"/>
      <c r="AW2825" s="352" t="s">
        <v>127</v>
      </c>
    </row>
    <row r="2826" spans="2:49" x14ac:dyDescent="0.2">
      <c r="B2826" s="460" t="s">
        <v>3200</v>
      </c>
      <c r="C2826" s="460">
        <v>3121</v>
      </c>
      <c r="D2826" s="460" t="s">
        <v>2385</v>
      </c>
      <c r="E2826" s="460" t="s">
        <v>2386</v>
      </c>
      <c r="F2826" s="460">
        <v>4</v>
      </c>
      <c r="G2826" s="460">
        <v>5</v>
      </c>
      <c r="H2826" s="461" t="s">
        <v>754</v>
      </c>
      <c r="I2826" s="461" t="s">
        <v>1991</v>
      </c>
      <c r="J2826" s="461" t="s">
        <v>754</v>
      </c>
      <c r="K2826" s="594"/>
      <c r="L2826" s="594"/>
      <c r="M2826" s="352">
        <v>3000</v>
      </c>
      <c r="N2826" s="352" t="s">
        <v>709</v>
      </c>
      <c r="O2826" s="460">
        <v>3121</v>
      </c>
      <c r="P2826" s="460" t="s">
        <v>766</v>
      </c>
      <c r="Q2826" s="460" t="s">
        <v>2377</v>
      </c>
      <c r="R2826" s="460">
        <v>3121</v>
      </c>
      <c r="S2826" s="460" t="s">
        <v>2386</v>
      </c>
      <c r="T2826" s="462">
        <v>1</v>
      </c>
      <c r="U2826" s="460" t="s">
        <v>2386</v>
      </c>
      <c r="V2826" s="475">
        <v>0</v>
      </c>
      <c r="W2826" s="463" t="s">
        <v>2278</v>
      </c>
      <c r="X2826" s="463" t="s">
        <v>2278</v>
      </c>
      <c r="Y2826" s="463" t="s">
        <v>2278</v>
      </c>
      <c r="Z2826" s="463"/>
      <c r="AA2826" s="463"/>
      <c r="AB2826" s="464">
        <v>8.7785010290555956</v>
      </c>
      <c r="AC2826" s="465">
        <v>1</v>
      </c>
      <c r="AD2826" s="465">
        <v>1.6284766815519156E-4</v>
      </c>
      <c r="AE2826" s="476">
        <v>8.7785010290555956</v>
      </c>
      <c r="AF2826" s="467">
        <v>1</v>
      </c>
      <c r="AG2826" s="468">
        <v>1.6284766815519156E-4</v>
      </c>
      <c r="AH2826" s="218">
        <v>8.7785010290555956</v>
      </c>
      <c r="AI2826" s="470">
        <v>1</v>
      </c>
      <c r="AJ2826" s="471">
        <v>1.6284766815519156E-4</v>
      </c>
      <c r="AK2826" s="218">
        <v>8.7785010290555956</v>
      </c>
      <c r="AL2826" s="470">
        <v>1</v>
      </c>
      <c r="AM2826" s="471">
        <v>1.6284766815519156E-4</v>
      </c>
      <c r="AN2826" s="477">
        <v>8.7785010290555956</v>
      </c>
      <c r="AO2826" s="473">
        <v>1</v>
      </c>
      <c r="AP2826" s="474">
        <v>1.6284766815519156E-4</v>
      </c>
      <c r="AQ2826" s="352"/>
      <c r="AR2826" s="352"/>
      <c r="AS2826" s="352"/>
      <c r="AT2826" s="352"/>
      <c r="AU2826" s="352"/>
      <c r="AV2826" s="352"/>
      <c r="AW2826" s="352" t="s">
        <v>127</v>
      </c>
    </row>
    <row r="2827" spans="2:49" x14ac:dyDescent="0.2">
      <c r="B2827" s="460" t="s">
        <v>3201</v>
      </c>
      <c r="C2827" s="460">
        <v>3121</v>
      </c>
      <c r="D2827" s="460" t="s">
        <v>2388</v>
      </c>
      <c r="E2827" s="460" t="s">
        <v>2389</v>
      </c>
      <c r="F2827" s="460">
        <v>1</v>
      </c>
      <c r="G2827" s="460">
        <v>6</v>
      </c>
      <c r="H2827" s="461" t="s">
        <v>754</v>
      </c>
      <c r="I2827" s="461" t="s">
        <v>1991</v>
      </c>
      <c r="J2827" s="461" t="s">
        <v>754</v>
      </c>
      <c r="K2827" s="594"/>
      <c r="L2827" s="594"/>
      <c r="M2827" s="352">
        <v>3000</v>
      </c>
      <c r="N2827" s="352" t="s">
        <v>709</v>
      </c>
      <c r="O2827" s="460">
        <v>3121</v>
      </c>
      <c r="P2827" s="460" t="s">
        <v>766</v>
      </c>
      <c r="Q2827" s="460" t="s">
        <v>2377</v>
      </c>
      <c r="R2827" s="460">
        <v>3121</v>
      </c>
      <c r="S2827" s="460" t="s">
        <v>2389</v>
      </c>
      <c r="T2827" s="462">
        <v>1</v>
      </c>
      <c r="U2827" s="460" t="s">
        <v>2389</v>
      </c>
      <c r="V2827" s="475">
        <v>0</v>
      </c>
      <c r="W2827" s="463" t="s">
        <v>2278</v>
      </c>
      <c r="X2827" s="463" t="s">
        <v>2278</v>
      </c>
      <c r="Y2827" s="463" t="s">
        <v>2278</v>
      </c>
      <c r="Z2827" s="463"/>
      <c r="AA2827" s="463"/>
      <c r="AB2827" s="464">
        <v>0</v>
      </c>
      <c r="AC2827" s="465">
        <v>0</v>
      </c>
      <c r="AD2827" s="465">
        <v>0</v>
      </c>
      <c r="AE2827" s="476">
        <v>0</v>
      </c>
      <c r="AF2827" s="467">
        <v>0</v>
      </c>
      <c r="AG2827" s="468">
        <v>0</v>
      </c>
      <c r="AH2827" s="218">
        <v>0</v>
      </c>
      <c r="AI2827" s="470">
        <v>0</v>
      </c>
      <c r="AJ2827" s="471">
        <v>0</v>
      </c>
      <c r="AK2827" s="218">
        <v>0</v>
      </c>
      <c r="AL2827" s="470">
        <v>0</v>
      </c>
      <c r="AM2827" s="471">
        <v>0</v>
      </c>
      <c r="AN2827" s="477">
        <v>0</v>
      </c>
      <c r="AO2827" s="473">
        <v>0</v>
      </c>
      <c r="AP2827" s="474">
        <v>0</v>
      </c>
      <c r="AQ2827" s="352"/>
      <c r="AR2827" s="352"/>
      <c r="AS2827" s="352"/>
      <c r="AT2827" s="352"/>
      <c r="AU2827" s="352"/>
      <c r="AV2827" s="352"/>
      <c r="AW2827" s="352" t="s">
        <v>127</v>
      </c>
    </row>
    <row r="2828" spans="2:49" x14ac:dyDescent="0.2">
      <c r="B2828" s="460" t="s">
        <v>3202</v>
      </c>
      <c r="C2828" s="460">
        <v>3121</v>
      </c>
      <c r="D2828" s="460" t="s">
        <v>2391</v>
      </c>
      <c r="E2828" s="460" t="s">
        <v>2392</v>
      </c>
      <c r="F2828" s="460">
        <v>2</v>
      </c>
      <c r="G2828" s="460">
        <v>6</v>
      </c>
      <c r="H2828" s="461" t="s">
        <v>754</v>
      </c>
      <c r="I2828" s="461" t="s">
        <v>1991</v>
      </c>
      <c r="J2828" s="461" t="s">
        <v>754</v>
      </c>
      <c r="K2828" s="594"/>
      <c r="L2828" s="594"/>
      <c r="M2828" s="352">
        <v>3000</v>
      </c>
      <c r="N2828" s="352" t="s">
        <v>709</v>
      </c>
      <c r="O2828" s="460">
        <v>3121</v>
      </c>
      <c r="P2828" s="460" t="s">
        <v>766</v>
      </c>
      <c r="Q2828" s="460" t="s">
        <v>2377</v>
      </c>
      <c r="R2828" s="460">
        <v>3121</v>
      </c>
      <c r="S2828" s="460" t="s">
        <v>2392</v>
      </c>
      <c r="T2828" s="462">
        <v>1</v>
      </c>
      <c r="U2828" s="460" t="s">
        <v>2392</v>
      </c>
      <c r="V2828" s="475">
        <v>0</v>
      </c>
      <c r="W2828" s="463" t="s">
        <v>2278</v>
      </c>
      <c r="X2828" s="463" t="s">
        <v>2278</v>
      </c>
      <c r="Y2828" s="463" t="s">
        <v>2278</v>
      </c>
      <c r="Z2828" s="463"/>
      <c r="AA2828" s="463"/>
      <c r="AB2828" s="464">
        <v>0</v>
      </c>
      <c r="AC2828" s="465">
        <v>0</v>
      </c>
      <c r="AD2828" s="465">
        <v>0</v>
      </c>
      <c r="AE2828" s="476">
        <v>0</v>
      </c>
      <c r="AF2828" s="467">
        <v>0</v>
      </c>
      <c r="AG2828" s="468">
        <v>0</v>
      </c>
      <c r="AH2828" s="218">
        <v>0</v>
      </c>
      <c r="AI2828" s="470">
        <v>0</v>
      </c>
      <c r="AJ2828" s="471">
        <v>0</v>
      </c>
      <c r="AK2828" s="218">
        <v>0</v>
      </c>
      <c r="AL2828" s="470">
        <v>0</v>
      </c>
      <c r="AM2828" s="471">
        <v>0</v>
      </c>
      <c r="AN2828" s="477">
        <v>0</v>
      </c>
      <c r="AO2828" s="473">
        <v>0</v>
      </c>
      <c r="AP2828" s="474">
        <v>0</v>
      </c>
      <c r="AQ2828" s="352"/>
      <c r="AR2828" s="352"/>
      <c r="AS2828" s="352"/>
      <c r="AT2828" s="352"/>
      <c r="AU2828" s="352"/>
      <c r="AV2828" s="352"/>
      <c r="AW2828" s="352" t="s">
        <v>127</v>
      </c>
    </row>
    <row r="2829" spans="2:49" x14ac:dyDescent="0.2">
      <c r="B2829" s="460" t="s">
        <v>3203</v>
      </c>
      <c r="C2829" s="460">
        <v>3121</v>
      </c>
      <c r="D2829" s="460" t="s">
        <v>2394</v>
      </c>
      <c r="E2829" s="460" t="s">
        <v>2395</v>
      </c>
      <c r="F2829" s="460">
        <v>3</v>
      </c>
      <c r="G2829" s="460">
        <v>6</v>
      </c>
      <c r="H2829" s="461" t="s">
        <v>754</v>
      </c>
      <c r="I2829" s="461" t="s">
        <v>1991</v>
      </c>
      <c r="J2829" s="461" t="s">
        <v>754</v>
      </c>
      <c r="K2829" s="594"/>
      <c r="L2829" s="594"/>
      <c r="M2829" s="352">
        <v>3000</v>
      </c>
      <c r="N2829" s="352" t="s">
        <v>709</v>
      </c>
      <c r="O2829" s="460">
        <v>3121</v>
      </c>
      <c r="P2829" s="460" t="s">
        <v>766</v>
      </c>
      <c r="Q2829" s="460" t="s">
        <v>2377</v>
      </c>
      <c r="R2829" s="460">
        <v>3121</v>
      </c>
      <c r="S2829" s="460" t="s">
        <v>2395</v>
      </c>
      <c r="T2829" s="462">
        <v>1</v>
      </c>
      <c r="U2829" s="460" t="s">
        <v>2395</v>
      </c>
      <c r="V2829" s="475">
        <v>0</v>
      </c>
      <c r="W2829" s="463" t="s">
        <v>2278</v>
      </c>
      <c r="X2829" s="463" t="s">
        <v>2278</v>
      </c>
      <c r="Y2829" s="463" t="s">
        <v>2278</v>
      </c>
      <c r="Z2829" s="463"/>
      <c r="AA2829" s="463"/>
      <c r="AB2829" s="464">
        <v>0</v>
      </c>
      <c r="AC2829" s="465">
        <v>0</v>
      </c>
      <c r="AD2829" s="465">
        <v>0</v>
      </c>
      <c r="AE2829" s="476">
        <v>0</v>
      </c>
      <c r="AF2829" s="467">
        <v>0</v>
      </c>
      <c r="AG2829" s="468">
        <v>0</v>
      </c>
      <c r="AH2829" s="218">
        <v>0</v>
      </c>
      <c r="AI2829" s="470">
        <v>0</v>
      </c>
      <c r="AJ2829" s="471">
        <v>0</v>
      </c>
      <c r="AK2829" s="218">
        <v>0</v>
      </c>
      <c r="AL2829" s="470">
        <v>0</v>
      </c>
      <c r="AM2829" s="471">
        <v>0</v>
      </c>
      <c r="AN2829" s="477">
        <v>0</v>
      </c>
      <c r="AO2829" s="473">
        <v>0</v>
      </c>
      <c r="AP2829" s="474">
        <v>0</v>
      </c>
      <c r="AQ2829" s="352"/>
      <c r="AR2829" s="352"/>
      <c r="AS2829" s="352"/>
      <c r="AT2829" s="352"/>
      <c r="AU2829" s="352"/>
      <c r="AV2829" s="352"/>
      <c r="AW2829" s="352" t="s">
        <v>127</v>
      </c>
    </row>
    <row r="2830" spans="2:49" x14ac:dyDescent="0.2">
      <c r="B2830" s="460" t="s">
        <v>3204</v>
      </c>
      <c r="C2830" s="460">
        <v>3121</v>
      </c>
      <c r="D2830" s="460" t="s">
        <v>2397</v>
      </c>
      <c r="E2830" s="460" t="s">
        <v>2398</v>
      </c>
      <c r="F2830" s="460">
        <v>4</v>
      </c>
      <c r="G2830" s="460">
        <v>6</v>
      </c>
      <c r="H2830" s="461" t="s">
        <v>754</v>
      </c>
      <c r="I2830" s="461" t="s">
        <v>1991</v>
      </c>
      <c r="J2830" s="461" t="s">
        <v>754</v>
      </c>
      <c r="K2830" s="594"/>
      <c r="L2830" s="594"/>
      <c r="M2830" s="352">
        <v>3000</v>
      </c>
      <c r="N2830" s="352" t="s">
        <v>709</v>
      </c>
      <c r="O2830" s="460">
        <v>3121</v>
      </c>
      <c r="P2830" s="460" t="s">
        <v>766</v>
      </c>
      <c r="Q2830" s="460" t="s">
        <v>2377</v>
      </c>
      <c r="R2830" s="460">
        <v>3121</v>
      </c>
      <c r="S2830" s="460" t="s">
        <v>2398</v>
      </c>
      <c r="T2830" s="462">
        <v>1</v>
      </c>
      <c r="U2830" s="460" t="s">
        <v>2398</v>
      </c>
      <c r="V2830" s="475">
        <v>0</v>
      </c>
      <c r="W2830" s="463" t="s">
        <v>2278</v>
      </c>
      <c r="X2830" s="463" t="s">
        <v>2278</v>
      </c>
      <c r="Y2830" s="463" t="s">
        <v>2278</v>
      </c>
      <c r="Z2830" s="463"/>
      <c r="AA2830" s="463"/>
      <c r="AB2830" s="464">
        <v>0</v>
      </c>
      <c r="AC2830" s="465">
        <v>0</v>
      </c>
      <c r="AD2830" s="465">
        <v>0</v>
      </c>
      <c r="AE2830" s="476">
        <v>0</v>
      </c>
      <c r="AF2830" s="467">
        <v>0</v>
      </c>
      <c r="AG2830" s="468">
        <v>0</v>
      </c>
      <c r="AH2830" s="218">
        <v>0</v>
      </c>
      <c r="AI2830" s="470">
        <v>0</v>
      </c>
      <c r="AJ2830" s="471">
        <v>0</v>
      </c>
      <c r="AK2830" s="218">
        <v>0</v>
      </c>
      <c r="AL2830" s="470">
        <v>0</v>
      </c>
      <c r="AM2830" s="471">
        <v>0</v>
      </c>
      <c r="AN2830" s="477">
        <v>0</v>
      </c>
      <c r="AO2830" s="473">
        <v>0</v>
      </c>
      <c r="AP2830" s="474">
        <v>0</v>
      </c>
      <c r="AQ2830" s="352"/>
      <c r="AR2830" s="352"/>
      <c r="AS2830" s="352"/>
      <c r="AT2830" s="352"/>
      <c r="AU2830" s="352"/>
      <c r="AV2830" s="352"/>
      <c r="AW2830" s="352" t="s">
        <v>127</v>
      </c>
    </row>
    <row r="2831" spans="2:49" x14ac:dyDescent="0.2">
      <c r="B2831" s="460" t="s">
        <v>3205</v>
      </c>
      <c r="C2831" s="460">
        <v>8000</v>
      </c>
      <c r="D2831" s="460" t="s">
        <v>2264</v>
      </c>
      <c r="E2831" s="460" t="s">
        <v>2265</v>
      </c>
      <c r="F2831" s="460">
        <v>1</v>
      </c>
      <c r="G2831" s="460">
        <v>1</v>
      </c>
      <c r="H2831" s="461" t="s">
        <v>700</v>
      </c>
      <c r="I2831" s="461" t="s">
        <v>872</v>
      </c>
      <c r="J2831" s="461" t="s">
        <v>700</v>
      </c>
      <c r="K2831" s="594"/>
      <c r="L2831" s="594"/>
      <c r="M2831" s="352">
        <v>8000</v>
      </c>
      <c r="N2831" s="352" t="s">
        <v>760</v>
      </c>
      <c r="O2831" s="460">
        <v>3211</v>
      </c>
      <c r="P2831" s="460" t="s">
        <v>745</v>
      </c>
      <c r="Q2831" s="460" t="s">
        <v>2553</v>
      </c>
      <c r="R2831" s="460">
        <v>3211</v>
      </c>
      <c r="S2831" s="460" t="s">
        <v>2265</v>
      </c>
      <c r="T2831" s="462">
        <v>1</v>
      </c>
      <c r="U2831" s="460" t="s">
        <v>2265</v>
      </c>
      <c r="V2831" s="475">
        <v>0</v>
      </c>
      <c r="W2831" s="463" t="s">
        <v>2554</v>
      </c>
      <c r="X2831" s="463" t="s">
        <v>2554</v>
      </c>
      <c r="Y2831" s="463" t="s">
        <v>2268</v>
      </c>
      <c r="Z2831" s="463"/>
      <c r="AA2831" s="463"/>
      <c r="AB2831" s="464">
        <v>105.26894523708631</v>
      </c>
      <c r="AC2831" s="465">
        <v>0.11889263490463955</v>
      </c>
      <c r="AD2831" s="465">
        <v>9.7620474080738261E-4</v>
      </c>
      <c r="AE2831" s="476">
        <v>63.161367142251791</v>
      </c>
      <c r="AF2831" s="467">
        <v>7.1335580942783736E-2</v>
      </c>
      <c r="AG2831" s="468">
        <v>6.2567458377640536E-4</v>
      </c>
      <c r="AH2831" s="218">
        <v>63.161367142251791</v>
      </c>
      <c r="AI2831" s="470">
        <v>7.1335580942783736E-2</v>
      </c>
      <c r="AJ2831" s="471">
        <v>6.0226505961600977E-4</v>
      </c>
      <c r="AK2831" s="218">
        <v>63.161367142251791</v>
      </c>
      <c r="AL2831" s="470">
        <v>7.1335580942783736E-2</v>
      </c>
      <c r="AM2831" s="471">
        <v>6.0226505961600977E-4</v>
      </c>
      <c r="AN2831" s="477">
        <v>0</v>
      </c>
      <c r="AO2831" s="473">
        <v>0</v>
      </c>
      <c r="AP2831" s="474">
        <v>0</v>
      </c>
      <c r="AQ2831" s="352"/>
      <c r="AR2831" s="352"/>
      <c r="AS2831" s="352"/>
      <c r="AT2831" s="352"/>
      <c r="AU2831" s="352"/>
      <c r="AV2831" s="352"/>
      <c r="AW2831" s="352" t="s">
        <v>254</v>
      </c>
    </row>
    <row r="2832" spans="2:49" x14ac:dyDescent="0.2">
      <c r="B2832" s="460" t="s">
        <v>3206</v>
      </c>
      <c r="C2832" s="460">
        <v>8000</v>
      </c>
      <c r="D2832" s="460" t="s">
        <v>2270</v>
      </c>
      <c r="E2832" s="460" t="s">
        <v>2271</v>
      </c>
      <c r="F2832" s="460">
        <v>2</v>
      </c>
      <c r="G2832" s="460">
        <v>1</v>
      </c>
      <c r="H2832" s="461" t="s">
        <v>700</v>
      </c>
      <c r="I2832" s="461" t="s">
        <v>872</v>
      </c>
      <c r="J2832" s="461" t="s">
        <v>700</v>
      </c>
      <c r="K2832" s="594"/>
      <c r="L2832" s="594"/>
      <c r="M2832" s="352">
        <v>8000</v>
      </c>
      <c r="N2832" s="352" t="s">
        <v>760</v>
      </c>
      <c r="O2832" s="460">
        <v>3211</v>
      </c>
      <c r="P2832" s="460" t="s">
        <v>745</v>
      </c>
      <c r="Q2832" s="460" t="s">
        <v>2553</v>
      </c>
      <c r="R2832" s="460">
        <v>3211</v>
      </c>
      <c r="S2832" s="460" t="s">
        <v>2265</v>
      </c>
      <c r="T2832" s="462">
        <v>1</v>
      </c>
      <c r="U2832" s="460" t="s">
        <v>2271</v>
      </c>
      <c r="V2832" s="475">
        <v>0</v>
      </c>
      <c r="W2832" s="463" t="s">
        <v>2554</v>
      </c>
      <c r="X2832" s="463" t="s">
        <v>2554</v>
      </c>
      <c r="Y2832" s="463" t="s">
        <v>2268</v>
      </c>
      <c r="Z2832" s="463"/>
      <c r="AA2832" s="463"/>
      <c r="AB2832" s="464">
        <v>78.683083818261238</v>
      </c>
      <c r="AC2832" s="465">
        <v>0.15057066919591533</v>
      </c>
      <c r="AD2832" s="465">
        <v>9.7620474080738196E-4</v>
      </c>
      <c r="AE2832" s="476">
        <v>47.209850290956744</v>
      </c>
      <c r="AF2832" s="467">
        <v>9.0342401517549201E-2</v>
      </c>
      <c r="AG2832" s="468">
        <v>6.347251506912243E-4</v>
      </c>
      <c r="AH2832" s="218">
        <v>47.209850290956744</v>
      </c>
      <c r="AI2832" s="470">
        <v>9.0342401517549201E-2</v>
      </c>
      <c r="AJ2832" s="471">
        <v>5.5737835166215911E-4</v>
      </c>
      <c r="AK2832" s="218">
        <v>47.209850290956744</v>
      </c>
      <c r="AL2832" s="470">
        <v>9.0342401517549201E-2</v>
      </c>
      <c r="AM2832" s="471">
        <v>5.5737835166215911E-4</v>
      </c>
      <c r="AN2832" s="477">
        <v>0</v>
      </c>
      <c r="AO2832" s="473">
        <v>0</v>
      </c>
      <c r="AP2832" s="474">
        <v>0</v>
      </c>
      <c r="AQ2832" s="352"/>
      <c r="AR2832" s="352"/>
      <c r="AS2832" s="352"/>
      <c r="AT2832" s="352"/>
      <c r="AU2832" s="352"/>
      <c r="AV2832" s="352"/>
      <c r="AW2832" s="352" t="s">
        <v>254</v>
      </c>
    </row>
    <row r="2833" spans="2:49" x14ac:dyDescent="0.2">
      <c r="B2833" s="460" t="s">
        <v>3207</v>
      </c>
      <c r="C2833" s="460">
        <v>8000</v>
      </c>
      <c r="D2833" s="460" t="s">
        <v>2273</v>
      </c>
      <c r="E2833" s="460" t="s">
        <v>2274</v>
      </c>
      <c r="F2833" s="460">
        <v>3</v>
      </c>
      <c r="G2833" s="460">
        <v>1</v>
      </c>
      <c r="H2833" s="461" t="s">
        <v>700</v>
      </c>
      <c r="I2833" s="461" t="s">
        <v>872</v>
      </c>
      <c r="J2833" s="461" t="s">
        <v>700</v>
      </c>
      <c r="K2833" s="594"/>
      <c r="L2833" s="594"/>
      <c r="M2833" s="352">
        <v>8000</v>
      </c>
      <c r="N2833" s="352" t="s">
        <v>760</v>
      </c>
      <c r="O2833" s="460">
        <v>3211</v>
      </c>
      <c r="P2833" s="460" t="s">
        <v>745</v>
      </c>
      <c r="Q2833" s="460" t="s">
        <v>2553</v>
      </c>
      <c r="R2833" s="460">
        <v>3211</v>
      </c>
      <c r="S2833" s="460" t="s">
        <v>2265</v>
      </c>
      <c r="T2833" s="462">
        <v>0.74223365950407583</v>
      </c>
      <c r="U2833" s="460" t="s">
        <v>2274</v>
      </c>
      <c r="V2833" s="475">
        <v>0</v>
      </c>
      <c r="W2833" s="463" t="s">
        <v>2554</v>
      </c>
      <c r="X2833" s="463" t="s">
        <v>2554</v>
      </c>
      <c r="Y2833" s="463" t="s">
        <v>2268</v>
      </c>
      <c r="Z2833" s="463"/>
      <c r="AA2833" s="463"/>
      <c r="AB2833" s="464">
        <v>19.733404789558858</v>
      </c>
      <c r="AC2833" s="465">
        <v>4.4534652616478147E-2</v>
      </c>
      <c r="AD2833" s="465">
        <v>9.7620474080738196E-4</v>
      </c>
      <c r="AE2833" s="476">
        <v>11.840042873735314</v>
      </c>
      <c r="AF2833" s="467">
        <v>2.6720791569886888E-2</v>
      </c>
      <c r="AG2833" s="468">
        <v>6.3443978529917637E-4</v>
      </c>
      <c r="AH2833" s="218">
        <v>23.461231411857824</v>
      </c>
      <c r="AI2833" s="470">
        <v>5.2947669296011579E-2</v>
      </c>
      <c r="AJ2833" s="471">
        <v>9.1039161876994412E-4</v>
      </c>
      <c r="AK2833" s="218">
        <v>23.461231411857824</v>
      </c>
      <c r="AL2833" s="470">
        <v>5.2947669296011579E-2</v>
      </c>
      <c r="AM2833" s="471">
        <v>9.1039161876994412E-4</v>
      </c>
      <c r="AN2833" s="477">
        <v>0</v>
      </c>
      <c r="AO2833" s="473">
        <v>0</v>
      </c>
      <c r="AP2833" s="474">
        <v>0</v>
      </c>
      <c r="AQ2833" s="352"/>
      <c r="AR2833" s="352"/>
      <c r="AS2833" s="352"/>
      <c r="AT2833" s="352"/>
      <c r="AU2833" s="352"/>
      <c r="AV2833" s="352"/>
      <c r="AW2833" s="352" t="s">
        <v>254</v>
      </c>
    </row>
    <row r="2834" spans="2:49" x14ac:dyDescent="0.2">
      <c r="B2834" s="460" t="s">
        <v>3208</v>
      </c>
      <c r="C2834" s="460">
        <v>8000</v>
      </c>
      <c r="D2834" s="460" t="s">
        <v>2276</v>
      </c>
      <c r="E2834" s="460" t="s">
        <v>2277</v>
      </c>
      <c r="F2834" s="460">
        <v>4</v>
      </c>
      <c r="G2834" s="460">
        <v>1</v>
      </c>
      <c r="H2834" s="461" t="s">
        <v>700</v>
      </c>
      <c r="I2834" s="461" t="s">
        <v>872</v>
      </c>
      <c r="J2834" s="461" t="s">
        <v>700</v>
      </c>
      <c r="K2834" s="594"/>
      <c r="L2834" s="594"/>
      <c r="M2834" s="352">
        <v>8000</v>
      </c>
      <c r="N2834" s="352" t="s">
        <v>760</v>
      </c>
      <c r="O2834" s="460">
        <v>3211</v>
      </c>
      <c r="P2834" s="460" t="s">
        <v>745</v>
      </c>
      <c r="Q2834" s="460" t="s">
        <v>2553</v>
      </c>
      <c r="R2834" s="460">
        <v>3211</v>
      </c>
      <c r="S2834" s="460" t="s">
        <v>2277</v>
      </c>
      <c r="T2834" s="462">
        <v>1</v>
      </c>
      <c r="U2834" s="460" t="s">
        <v>2277</v>
      </c>
      <c r="V2834" s="475">
        <v>0</v>
      </c>
      <c r="W2834" s="463" t="s">
        <v>2554</v>
      </c>
      <c r="X2834" s="463" t="s">
        <v>2554</v>
      </c>
      <c r="Y2834" s="463" t="s">
        <v>2268</v>
      </c>
      <c r="Z2834" s="463"/>
      <c r="AA2834" s="463"/>
      <c r="AB2834" s="464">
        <v>0.24186174929590509</v>
      </c>
      <c r="AC2834" s="465">
        <v>4.8143576414426962E-4</v>
      </c>
      <c r="AD2834" s="465">
        <v>9.762047408073825E-4</v>
      </c>
      <c r="AE2834" s="476">
        <v>0.14511704957754307</v>
      </c>
      <c r="AF2834" s="467">
        <v>2.8886145848656177E-4</v>
      </c>
      <c r="AG2834" s="468">
        <v>6.5480726511967056E-4</v>
      </c>
      <c r="AH2834" s="218">
        <v>0.14511704957754307</v>
      </c>
      <c r="AI2834" s="470">
        <v>2.8886145848656177E-4</v>
      </c>
      <c r="AJ2834" s="471">
        <v>6.2760441944131179E-4</v>
      </c>
      <c r="AK2834" s="218">
        <v>0.14511704957754307</v>
      </c>
      <c r="AL2834" s="470">
        <v>2.8886145848656177E-4</v>
      </c>
      <c r="AM2834" s="471">
        <v>6.2760441944131179E-4</v>
      </c>
      <c r="AN2834" s="477">
        <v>0</v>
      </c>
      <c r="AO2834" s="473">
        <v>0</v>
      </c>
      <c r="AP2834" s="474">
        <v>0</v>
      </c>
      <c r="AQ2834" s="352"/>
      <c r="AR2834" s="352"/>
      <c r="AS2834" s="352"/>
      <c r="AT2834" s="352"/>
      <c r="AU2834" s="352"/>
      <c r="AV2834" s="352"/>
      <c r="AW2834" s="352" t="s">
        <v>254</v>
      </c>
    </row>
    <row r="2835" spans="2:49" x14ac:dyDescent="0.2">
      <c r="B2835" s="460" t="s">
        <v>3205</v>
      </c>
      <c r="C2835" s="460">
        <v>8000</v>
      </c>
      <c r="D2835" s="460" t="s">
        <v>3145</v>
      </c>
      <c r="E2835" s="460" t="s">
        <v>2265</v>
      </c>
      <c r="F2835" s="460">
        <v>1</v>
      </c>
      <c r="G2835" s="460">
        <v>1</v>
      </c>
      <c r="H2835" s="461" t="s">
        <v>706</v>
      </c>
      <c r="I2835" s="461" t="s">
        <v>707</v>
      </c>
      <c r="J2835" s="461" t="s">
        <v>706</v>
      </c>
      <c r="K2835" s="594"/>
      <c r="L2835" s="594"/>
      <c r="M2835" s="352">
        <v>8000</v>
      </c>
      <c r="N2835" s="352" t="s">
        <v>760</v>
      </c>
      <c r="O2835" s="460">
        <v>3211</v>
      </c>
      <c r="P2835" s="460" t="s">
        <v>745</v>
      </c>
      <c r="Q2835" s="460" t="s">
        <v>2553</v>
      </c>
      <c r="R2835" s="460">
        <v>3211</v>
      </c>
      <c r="S2835" s="460" t="s">
        <v>2265</v>
      </c>
      <c r="T2835" s="462">
        <v>1</v>
      </c>
      <c r="U2835" s="460" t="s">
        <v>2265</v>
      </c>
      <c r="V2835" s="475">
        <v>0</v>
      </c>
      <c r="W2835" s="463" t="s">
        <v>2278</v>
      </c>
      <c r="X2835" s="463" t="s">
        <v>2278</v>
      </c>
      <c r="Y2835" s="463" t="s">
        <v>2278</v>
      </c>
      <c r="Z2835" s="463"/>
      <c r="AA2835" s="463"/>
      <c r="AB2835" s="464">
        <v>0</v>
      </c>
      <c r="AC2835" s="465">
        <v>0</v>
      </c>
      <c r="AD2835" s="465">
        <v>0</v>
      </c>
      <c r="AE2835" s="476">
        <v>0</v>
      </c>
      <c r="AF2835" s="467">
        <v>0</v>
      </c>
      <c r="AG2835" s="468">
        <v>0</v>
      </c>
      <c r="AH2835" s="218">
        <v>0</v>
      </c>
      <c r="AI2835" s="470">
        <v>0</v>
      </c>
      <c r="AJ2835" s="471">
        <v>0</v>
      </c>
      <c r="AK2835" s="218">
        <v>0</v>
      </c>
      <c r="AL2835" s="470">
        <v>0</v>
      </c>
      <c r="AM2835" s="471">
        <v>0</v>
      </c>
      <c r="AN2835" s="477">
        <v>0</v>
      </c>
      <c r="AO2835" s="473">
        <v>0</v>
      </c>
      <c r="AP2835" s="474">
        <v>0</v>
      </c>
      <c r="AQ2835" s="352"/>
      <c r="AR2835" s="352"/>
      <c r="AS2835" s="352"/>
      <c r="AT2835" s="352"/>
      <c r="AU2835" s="352"/>
      <c r="AV2835" s="352"/>
      <c r="AW2835" s="352" t="s">
        <v>254</v>
      </c>
    </row>
    <row r="2836" spans="2:49" x14ac:dyDescent="0.2">
      <c r="B2836" s="460" t="s">
        <v>3206</v>
      </c>
      <c r="C2836" s="460">
        <v>8000</v>
      </c>
      <c r="D2836" s="460" t="s">
        <v>3146</v>
      </c>
      <c r="E2836" s="460" t="s">
        <v>2271</v>
      </c>
      <c r="F2836" s="460">
        <v>2</v>
      </c>
      <c r="G2836" s="460">
        <v>1</v>
      </c>
      <c r="H2836" s="461" t="s">
        <v>706</v>
      </c>
      <c r="I2836" s="461" t="s">
        <v>707</v>
      </c>
      <c r="J2836" s="461" t="s">
        <v>706</v>
      </c>
      <c r="K2836" s="594"/>
      <c r="L2836" s="594"/>
      <c r="M2836" s="352">
        <v>8000</v>
      </c>
      <c r="N2836" s="352" t="s">
        <v>760</v>
      </c>
      <c r="O2836" s="460">
        <v>3211</v>
      </c>
      <c r="P2836" s="460" t="s">
        <v>745</v>
      </c>
      <c r="Q2836" s="460" t="s">
        <v>2553</v>
      </c>
      <c r="R2836" s="460">
        <v>3211</v>
      </c>
      <c r="S2836" s="460" t="s">
        <v>2265</v>
      </c>
      <c r="T2836" s="462">
        <v>1</v>
      </c>
      <c r="U2836" s="460" t="s">
        <v>2271</v>
      </c>
      <c r="V2836" s="475">
        <v>0</v>
      </c>
      <c r="W2836" s="463" t="s">
        <v>2278</v>
      </c>
      <c r="X2836" s="463" t="s">
        <v>2278</v>
      </c>
      <c r="Y2836" s="463" t="s">
        <v>2278</v>
      </c>
      <c r="Z2836" s="463"/>
      <c r="AA2836" s="463"/>
      <c r="AB2836" s="464">
        <v>0</v>
      </c>
      <c r="AC2836" s="465">
        <v>0</v>
      </c>
      <c r="AD2836" s="465">
        <v>0</v>
      </c>
      <c r="AE2836" s="476">
        <v>0</v>
      </c>
      <c r="AF2836" s="467">
        <v>0</v>
      </c>
      <c r="AG2836" s="468">
        <v>0</v>
      </c>
      <c r="AH2836" s="218">
        <v>0</v>
      </c>
      <c r="AI2836" s="470">
        <v>0</v>
      </c>
      <c r="AJ2836" s="471">
        <v>0</v>
      </c>
      <c r="AK2836" s="218">
        <v>0</v>
      </c>
      <c r="AL2836" s="470">
        <v>0</v>
      </c>
      <c r="AM2836" s="471">
        <v>0</v>
      </c>
      <c r="AN2836" s="477">
        <v>0</v>
      </c>
      <c r="AO2836" s="473">
        <v>0</v>
      </c>
      <c r="AP2836" s="474">
        <v>0</v>
      </c>
      <c r="AQ2836" s="352"/>
      <c r="AR2836" s="352"/>
      <c r="AS2836" s="352"/>
      <c r="AT2836" s="352"/>
      <c r="AU2836" s="352"/>
      <c r="AV2836" s="352"/>
      <c r="AW2836" s="352" t="s">
        <v>254</v>
      </c>
    </row>
    <row r="2837" spans="2:49" x14ac:dyDescent="0.2">
      <c r="B2837" s="460" t="s">
        <v>3207</v>
      </c>
      <c r="C2837" s="460">
        <v>8000</v>
      </c>
      <c r="D2837" s="460" t="s">
        <v>3147</v>
      </c>
      <c r="E2837" s="460" t="s">
        <v>2274</v>
      </c>
      <c r="F2837" s="460">
        <v>3</v>
      </c>
      <c r="G2837" s="460">
        <v>1</v>
      </c>
      <c r="H2837" s="461" t="s">
        <v>706</v>
      </c>
      <c r="I2837" s="461" t="s">
        <v>707</v>
      </c>
      <c r="J2837" s="461" t="s">
        <v>706</v>
      </c>
      <c r="K2837" s="594"/>
      <c r="L2837" s="594"/>
      <c r="M2837" s="352">
        <v>8000</v>
      </c>
      <c r="N2837" s="352" t="s">
        <v>760</v>
      </c>
      <c r="O2837" s="460">
        <v>3211</v>
      </c>
      <c r="P2837" s="460" t="s">
        <v>745</v>
      </c>
      <c r="Q2837" s="460" t="s">
        <v>2553</v>
      </c>
      <c r="R2837" s="460">
        <v>3211</v>
      </c>
      <c r="S2837" s="460" t="s">
        <v>2265</v>
      </c>
      <c r="T2837" s="462">
        <v>0.74223365950407583</v>
      </c>
      <c r="U2837" s="460" t="s">
        <v>2274</v>
      </c>
      <c r="V2837" s="475">
        <v>0</v>
      </c>
      <c r="W2837" s="463" t="s">
        <v>2278</v>
      </c>
      <c r="X2837" s="463" t="s">
        <v>2278</v>
      </c>
      <c r="Y2837" s="463" t="s">
        <v>2278</v>
      </c>
      <c r="Z2837" s="463"/>
      <c r="AA2837" s="463"/>
      <c r="AB2837" s="464">
        <v>0</v>
      </c>
      <c r="AC2837" s="465">
        <v>0</v>
      </c>
      <c r="AD2837" s="465">
        <v>0</v>
      </c>
      <c r="AE2837" s="476">
        <v>0</v>
      </c>
      <c r="AF2837" s="467">
        <v>0</v>
      </c>
      <c r="AG2837" s="468">
        <v>0</v>
      </c>
      <c r="AH2837" s="218">
        <v>0</v>
      </c>
      <c r="AI2837" s="470">
        <v>0</v>
      </c>
      <c r="AJ2837" s="471">
        <v>0</v>
      </c>
      <c r="AK2837" s="218">
        <v>0</v>
      </c>
      <c r="AL2837" s="470">
        <v>0</v>
      </c>
      <c r="AM2837" s="471">
        <v>0</v>
      </c>
      <c r="AN2837" s="477">
        <v>0</v>
      </c>
      <c r="AO2837" s="473">
        <v>0</v>
      </c>
      <c r="AP2837" s="474">
        <v>0</v>
      </c>
      <c r="AQ2837" s="352"/>
      <c r="AR2837" s="352"/>
      <c r="AS2837" s="352"/>
      <c r="AT2837" s="352"/>
      <c r="AU2837" s="352"/>
      <c r="AV2837" s="352"/>
      <c r="AW2837" s="352" t="s">
        <v>254</v>
      </c>
    </row>
    <row r="2838" spans="2:49" x14ac:dyDescent="0.2">
      <c r="B2838" s="460" t="s">
        <v>3208</v>
      </c>
      <c r="C2838" s="460">
        <v>8000</v>
      </c>
      <c r="D2838" s="460" t="s">
        <v>3148</v>
      </c>
      <c r="E2838" s="460" t="s">
        <v>2277</v>
      </c>
      <c r="F2838" s="460">
        <v>4</v>
      </c>
      <c r="G2838" s="460">
        <v>1</v>
      </c>
      <c r="H2838" s="461" t="s">
        <v>706</v>
      </c>
      <c r="I2838" s="461" t="s">
        <v>707</v>
      </c>
      <c r="J2838" s="461" t="s">
        <v>706</v>
      </c>
      <c r="K2838" s="594"/>
      <c r="L2838" s="594"/>
      <c r="M2838" s="352">
        <v>8000</v>
      </c>
      <c r="N2838" s="352" t="s">
        <v>760</v>
      </c>
      <c r="O2838" s="460">
        <v>3211</v>
      </c>
      <c r="P2838" s="460" t="s">
        <v>745</v>
      </c>
      <c r="Q2838" s="460" t="s">
        <v>2553</v>
      </c>
      <c r="R2838" s="460">
        <v>3211</v>
      </c>
      <c r="S2838" s="460" t="s">
        <v>2277</v>
      </c>
      <c r="T2838" s="462">
        <v>1</v>
      </c>
      <c r="U2838" s="460" t="s">
        <v>2277</v>
      </c>
      <c r="V2838" s="475">
        <v>0</v>
      </c>
      <c r="W2838" s="463" t="s">
        <v>2554</v>
      </c>
      <c r="X2838" s="463" t="s">
        <v>2554</v>
      </c>
      <c r="Y2838" s="463" t="s">
        <v>2554</v>
      </c>
      <c r="Z2838" s="463"/>
      <c r="AA2838" s="463"/>
      <c r="AB2838" s="464">
        <v>0</v>
      </c>
      <c r="AC2838" s="465">
        <v>0</v>
      </c>
      <c r="AD2838" s="465">
        <v>0</v>
      </c>
      <c r="AE2838" s="476">
        <v>0</v>
      </c>
      <c r="AF2838" s="467">
        <v>0</v>
      </c>
      <c r="AG2838" s="468">
        <v>0</v>
      </c>
      <c r="AH2838" s="218">
        <v>0</v>
      </c>
      <c r="AI2838" s="470">
        <v>0</v>
      </c>
      <c r="AJ2838" s="471">
        <v>0</v>
      </c>
      <c r="AK2838" s="218">
        <v>0</v>
      </c>
      <c r="AL2838" s="470">
        <v>0</v>
      </c>
      <c r="AM2838" s="471">
        <v>0</v>
      </c>
      <c r="AN2838" s="477">
        <v>0</v>
      </c>
      <c r="AO2838" s="473">
        <v>0</v>
      </c>
      <c r="AP2838" s="474">
        <v>0</v>
      </c>
      <c r="AQ2838" s="352"/>
      <c r="AR2838" s="352"/>
      <c r="AS2838" s="352"/>
      <c r="AT2838" s="352"/>
      <c r="AU2838" s="352"/>
      <c r="AV2838" s="352"/>
      <c r="AW2838" s="352" t="s">
        <v>254</v>
      </c>
    </row>
    <row r="2839" spans="2:49" x14ac:dyDescent="0.2">
      <c r="B2839" s="460" t="s">
        <v>3205</v>
      </c>
      <c r="C2839" s="460">
        <v>8000</v>
      </c>
      <c r="D2839" s="460" t="s">
        <v>2279</v>
      </c>
      <c r="E2839" s="460" t="s">
        <v>2265</v>
      </c>
      <c r="F2839" s="460">
        <v>1</v>
      </c>
      <c r="G2839" s="460">
        <v>1</v>
      </c>
      <c r="H2839" s="461" t="s">
        <v>712</v>
      </c>
      <c r="I2839" s="461" t="s">
        <v>713</v>
      </c>
      <c r="J2839" s="461" t="s">
        <v>712</v>
      </c>
      <c r="K2839" s="594"/>
      <c r="L2839" s="594"/>
      <c r="M2839" s="352">
        <v>8000</v>
      </c>
      <c r="N2839" s="352" t="s">
        <v>760</v>
      </c>
      <c r="O2839" s="460">
        <v>3211</v>
      </c>
      <c r="P2839" s="460" t="s">
        <v>745</v>
      </c>
      <c r="Q2839" s="460" t="s">
        <v>2280</v>
      </c>
      <c r="R2839" s="460">
        <v>3211</v>
      </c>
      <c r="S2839" s="460" t="s">
        <v>2265</v>
      </c>
      <c r="T2839" s="462">
        <v>1</v>
      </c>
      <c r="U2839" s="460" t="s">
        <v>2265</v>
      </c>
      <c r="V2839" s="475">
        <v>0</v>
      </c>
      <c r="W2839" s="463" t="s">
        <v>713</v>
      </c>
      <c r="X2839" s="463" t="s">
        <v>713</v>
      </c>
      <c r="Y2839" s="463" t="s">
        <v>713</v>
      </c>
      <c r="Z2839" s="463"/>
      <c r="AA2839" s="463"/>
      <c r="AB2839" s="464">
        <v>780.14288301888246</v>
      </c>
      <c r="AC2839" s="465">
        <v>0.88110736509536047</v>
      </c>
      <c r="AD2839" s="465">
        <v>2.8819827263959433E-3</v>
      </c>
      <c r="AE2839" s="476">
        <v>822.25046111371705</v>
      </c>
      <c r="AF2839" s="467">
        <v>0.92866441905721631</v>
      </c>
      <c r="AG2839" s="468">
        <v>2.9621866302582691E-3</v>
      </c>
      <c r="AH2839" s="218">
        <v>822.25046111371705</v>
      </c>
      <c r="AI2839" s="470">
        <v>0.92866441905721631</v>
      </c>
      <c r="AJ2839" s="471">
        <v>3.0046594876275332E-3</v>
      </c>
      <c r="AK2839" s="218">
        <v>822.25046111371705</v>
      </c>
      <c r="AL2839" s="470">
        <v>0.92866441905721631</v>
      </c>
      <c r="AM2839" s="471">
        <v>3.0046594876275332E-3</v>
      </c>
      <c r="AN2839" s="477">
        <v>822.25046111371705</v>
      </c>
      <c r="AO2839" s="473">
        <v>0.92866441905721631</v>
      </c>
      <c r="AP2839" s="474">
        <v>3.0036804490608774E-3</v>
      </c>
      <c r="AQ2839" s="352"/>
      <c r="AR2839" s="352"/>
      <c r="AS2839" s="352"/>
      <c r="AT2839" s="352"/>
      <c r="AU2839" s="352"/>
      <c r="AV2839" s="352"/>
      <c r="AW2839" s="352" t="s">
        <v>254</v>
      </c>
    </row>
    <row r="2840" spans="2:49" x14ac:dyDescent="0.2">
      <c r="B2840" s="460" t="s">
        <v>3206</v>
      </c>
      <c r="C2840" s="460">
        <v>8000</v>
      </c>
      <c r="D2840" s="460" t="s">
        <v>2281</v>
      </c>
      <c r="E2840" s="460" t="s">
        <v>2271</v>
      </c>
      <c r="F2840" s="460">
        <v>2</v>
      </c>
      <c r="G2840" s="460">
        <v>1</v>
      </c>
      <c r="H2840" s="461" t="s">
        <v>712</v>
      </c>
      <c r="I2840" s="461" t="s">
        <v>713</v>
      </c>
      <c r="J2840" s="461" t="s">
        <v>712</v>
      </c>
      <c r="K2840" s="594"/>
      <c r="L2840" s="594"/>
      <c r="M2840" s="352">
        <v>8000</v>
      </c>
      <c r="N2840" s="352" t="s">
        <v>760</v>
      </c>
      <c r="O2840" s="460">
        <v>3211</v>
      </c>
      <c r="P2840" s="460" t="s">
        <v>745</v>
      </c>
      <c r="Q2840" s="460" t="s">
        <v>2280</v>
      </c>
      <c r="R2840" s="460">
        <v>3211</v>
      </c>
      <c r="S2840" s="460" t="s">
        <v>2265</v>
      </c>
      <c r="T2840" s="462">
        <v>1</v>
      </c>
      <c r="U2840" s="460" t="s">
        <v>2271</v>
      </c>
      <c r="V2840" s="475">
        <v>0</v>
      </c>
      <c r="W2840" s="463" t="s">
        <v>713</v>
      </c>
      <c r="X2840" s="463" t="s">
        <v>713</v>
      </c>
      <c r="Y2840" s="463" t="s">
        <v>713</v>
      </c>
      <c r="Z2840" s="463"/>
      <c r="AA2840" s="463"/>
      <c r="AB2840" s="464">
        <v>443.88272689672328</v>
      </c>
      <c r="AC2840" s="465">
        <v>0.84942933080408467</v>
      </c>
      <c r="AD2840" s="465">
        <v>1.8536190230359637E-3</v>
      </c>
      <c r="AE2840" s="476">
        <v>475.35596042402778</v>
      </c>
      <c r="AF2840" s="467">
        <v>0.90965759848245076</v>
      </c>
      <c r="AG2840" s="468">
        <v>1.9347735653852255E-3</v>
      </c>
      <c r="AH2840" s="218">
        <v>475.35596042402778</v>
      </c>
      <c r="AI2840" s="470">
        <v>0.90965759848245076</v>
      </c>
      <c r="AJ2840" s="471">
        <v>2.0421983664914529E-3</v>
      </c>
      <c r="AK2840" s="218">
        <v>475.35596042402778</v>
      </c>
      <c r="AL2840" s="470">
        <v>0.90965759848245076</v>
      </c>
      <c r="AM2840" s="471">
        <v>2.0421983664914529E-3</v>
      </c>
      <c r="AN2840" s="477">
        <v>475.35596042402784</v>
      </c>
      <c r="AO2840" s="473">
        <v>0.90965759848245087</v>
      </c>
      <c r="AP2840" s="474">
        <v>2.0414812836509664E-3</v>
      </c>
      <c r="AQ2840" s="352"/>
      <c r="AR2840" s="352"/>
      <c r="AS2840" s="352"/>
      <c r="AT2840" s="352"/>
      <c r="AU2840" s="352"/>
      <c r="AV2840" s="352"/>
      <c r="AW2840" s="352" t="s">
        <v>254</v>
      </c>
    </row>
    <row r="2841" spans="2:49" x14ac:dyDescent="0.2">
      <c r="B2841" s="460" t="s">
        <v>3207</v>
      </c>
      <c r="C2841" s="460">
        <v>8000</v>
      </c>
      <c r="D2841" s="460" t="s">
        <v>2282</v>
      </c>
      <c r="E2841" s="460" t="s">
        <v>2274</v>
      </c>
      <c r="F2841" s="460">
        <v>3</v>
      </c>
      <c r="G2841" s="460">
        <v>1</v>
      </c>
      <c r="H2841" s="461" t="s">
        <v>712</v>
      </c>
      <c r="I2841" s="461" t="s">
        <v>713</v>
      </c>
      <c r="J2841" s="461" t="s">
        <v>712</v>
      </c>
      <c r="K2841" s="594"/>
      <c r="L2841" s="594"/>
      <c r="M2841" s="352">
        <v>8000</v>
      </c>
      <c r="N2841" s="352" t="s">
        <v>760</v>
      </c>
      <c r="O2841" s="460">
        <v>3211</v>
      </c>
      <c r="P2841" s="460" t="s">
        <v>745</v>
      </c>
      <c r="Q2841" s="460" t="s">
        <v>2280</v>
      </c>
      <c r="R2841" s="460">
        <v>3211</v>
      </c>
      <c r="S2841" s="460" t="s">
        <v>2265</v>
      </c>
      <c r="T2841" s="462">
        <v>0.74223365950407583</v>
      </c>
      <c r="U2841" s="460" t="s">
        <v>2274</v>
      </c>
      <c r="V2841" s="475">
        <v>0</v>
      </c>
      <c r="W2841" s="463" t="s">
        <v>713</v>
      </c>
      <c r="X2841" s="463" t="s">
        <v>713</v>
      </c>
      <c r="Y2841" s="463" t="s">
        <v>713</v>
      </c>
      <c r="Z2841" s="463"/>
      <c r="AA2841" s="463"/>
      <c r="AB2841" s="464">
        <v>423.36884548503639</v>
      </c>
      <c r="AC2841" s="465">
        <v>0.95546534738352185</v>
      </c>
      <c r="AD2841" s="465">
        <v>2.5339524896972341E-3</v>
      </c>
      <c r="AE2841" s="476">
        <v>431.26220740085989</v>
      </c>
      <c r="AF2841" s="467">
        <v>0.97327920843011306</v>
      </c>
      <c r="AG2841" s="468">
        <v>2.5574365551659429E-3</v>
      </c>
      <c r="AH2841" s="218">
        <v>419.64101886273738</v>
      </c>
      <c r="AI2841" s="470">
        <v>0.94705233070398842</v>
      </c>
      <c r="AJ2841" s="471">
        <v>2.6370958038392203E-3</v>
      </c>
      <c r="AK2841" s="218">
        <v>419.64101886273738</v>
      </c>
      <c r="AL2841" s="470">
        <v>0.94705233070398842</v>
      </c>
      <c r="AM2841" s="471">
        <v>2.6370958038392203E-3</v>
      </c>
      <c r="AN2841" s="477">
        <v>419.64101886273738</v>
      </c>
      <c r="AO2841" s="473">
        <v>0.94705233070398842</v>
      </c>
      <c r="AP2841" s="474">
        <v>2.6561198046825491E-3</v>
      </c>
      <c r="AQ2841" s="352"/>
      <c r="AR2841" s="352"/>
      <c r="AS2841" s="352"/>
      <c r="AT2841" s="352"/>
      <c r="AU2841" s="352"/>
      <c r="AV2841" s="352"/>
      <c r="AW2841" s="352" t="s">
        <v>254</v>
      </c>
    </row>
    <row r="2842" spans="2:49" x14ac:dyDescent="0.2">
      <c r="B2842" s="460" t="s">
        <v>3208</v>
      </c>
      <c r="C2842" s="460">
        <v>8000</v>
      </c>
      <c r="D2842" s="460" t="s">
        <v>2283</v>
      </c>
      <c r="E2842" s="460" t="s">
        <v>2277</v>
      </c>
      <c r="F2842" s="460">
        <v>4</v>
      </c>
      <c r="G2842" s="460">
        <v>1</v>
      </c>
      <c r="H2842" s="461" t="s">
        <v>712</v>
      </c>
      <c r="I2842" s="461" t="s">
        <v>713</v>
      </c>
      <c r="J2842" s="461" t="s">
        <v>712</v>
      </c>
      <c r="K2842" s="594"/>
      <c r="L2842" s="594"/>
      <c r="M2842" s="352">
        <v>8000</v>
      </c>
      <c r="N2842" s="352" t="s">
        <v>760</v>
      </c>
      <c r="O2842" s="460">
        <v>3211</v>
      </c>
      <c r="P2842" s="460" t="s">
        <v>745</v>
      </c>
      <c r="Q2842" s="460" t="s">
        <v>2280</v>
      </c>
      <c r="R2842" s="460">
        <v>3211</v>
      </c>
      <c r="S2842" s="460" t="s">
        <v>2277</v>
      </c>
      <c r="T2842" s="462">
        <v>1</v>
      </c>
      <c r="U2842" s="460" t="s">
        <v>2277</v>
      </c>
      <c r="V2842" s="475">
        <v>0</v>
      </c>
      <c r="W2842" s="463" t="s">
        <v>713</v>
      </c>
      <c r="X2842" s="463" t="s">
        <v>713</v>
      </c>
      <c r="Y2842" s="463" t="s">
        <v>713</v>
      </c>
      <c r="Z2842" s="463"/>
      <c r="AA2842" s="463"/>
      <c r="AB2842" s="464">
        <v>502.13408808443421</v>
      </c>
      <c r="AC2842" s="465">
        <v>0.99951856423585583</v>
      </c>
      <c r="AD2842" s="465">
        <v>2.6077203414927833E-3</v>
      </c>
      <c r="AE2842" s="476">
        <v>502.23083278415254</v>
      </c>
      <c r="AF2842" s="467">
        <v>0.99971113854151339</v>
      </c>
      <c r="AG2842" s="468">
        <v>2.607868749709817E-3</v>
      </c>
      <c r="AH2842" s="218">
        <v>502.23083278415254</v>
      </c>
      <c r="AI2842" s="470">
        <v>0.99971113854151339</v>
      </c>
      <c r="AJ2842" s="471">
        <v>2.6079988334595291E-3</v>
      </c>
      <c r="AK2842" s="218">
        <v>502.23083278415254</v>
      </c>
      <c r="AL2842" s="470">
        <v>0.99971113854151339</v>
      </c>
      <c r="AM2842" s="471">
        <v>2.6079988334595291E-3</v>
      </c>
      <c r="AN2842" s="477">
        <v>502.23083278415254</v>
      </c>
      <c r="AO2842" s="473">
        <v>0.99971113854151339</v>
      </c>
      <c r="AP2842" s="474">
        <v>2.6080118380214091E-3</v>
      </c>
      <c r="AQ2842" s="352"/>
      <c r="AR2842" s="352"/>
      <c r="AS2842" s="352"/>
      <c r="AT2842" s="352"/>
      <c r="AU2842" s="352"/>
      <c r="AV2842" s="352"/>
      <c r="AW2842" s="352" t="s">
        <v>254</v>
      </c>
    </row>
    <row r="2843" spans="2:49" x14ac:dyDescent="0.2">
      <c r="B2843" s="460" t="s">
        <v>3205</v>
      </c>
      <c r="C2843" s="460">
        <v>8000</v>
      </c>
      <c r="D2843" s="460" t="s">
        <v>2284</v>
      </c>
      <c r="E2843" s="460" t="s">
        <v>2265</v>
      </c>
      <c r="F2843" s="460">
        <v>1</v>
      </c>
      <c r="G2843" s="460">
        <v>1</v>
      </c>
      <c r="H2843" s="461" t="s">
        <v>746</v>
      </c>
      <c r="I2843" s="461" t="s">
        <v>762</v>
      </c>
      <c r="J2843" s="461" t="s">
        <v>700</v>
      </c>
      <c r="K2843" s="594"/>
      <c r="L2843" s="594"/>
      <c r="M2843" s="352">
        <v>8000</v>
      </c>
      <c r="N2843" s="352" t="s">
        <v>760</v>
      </c>
      <c r="O2843" s="460">
        <v>3211</v>
      </c>
      <c r="P2843" s="460" t="s">
        <v>745</v>
      </c>
      <c r="Q2843" s="460" t="s">
        <v>2553</v>
      </c>
      <c r="R2843" s="460">
        <v>3211</v>
      </c>
      <c r="S2843" s="460" t="s">
        <v>2265</v>
      </c>
      <c r="T2843" s="462">
        <v>1</v>
      </c>
      <c r="U2843" s="460" t="s">
        <v>2265</v>
      </c>
      <c r="V2843" s="475">
        <v>0</v>
      </c>
      <c r="W2843" s="463" t="s">
        <v>2268</v>
      </c>
      <c r="X2843" s="463" t="s">
        <v>2268</v>
      </c>
      <c r="Y2843" s="463" t="s">
        <v>2554</v>
      </c>
      <c r="Z2843" s="463"/>
      <c r="AA2843" s="463"/>
      <c r="AB2843" s="464">
        <v>0</v>
      </c>
      <c r="AC2843" s="465">
        <v>0</v>
      </c>
      <c r="AD2843" s="465">
        <v>0</v>
      </c>
      <c r="AE2843" s="476">
        <v>0</v>
      </c>
      <c r="AF2843" s="467">
        <v>0</v>
      </c>
      <c r="AG2843" s="468">
        <v>0</v>
      </c>
      <c r="AH2843" s="218">
        <v>0</v>
      </c>
      <c r="AI2843" s="470">
        <v>0</v>
      </c>
      <c r="AJ2843" s="471">
        <v>0</v>
      </c>
      <c r="AK2843" s="218">
        <v>0</v>
      </c>
      <c r="AL2843" s="470">
        <v>0</v>
      </c>
      <c r="AM2843" s="471">
        <v>0</v>
      </c>
      <c r="AN2843" s="477">
        <v>10.526894523708629</v>
      </c>
      <c r="AO2843" s="473">
        <v>1.1889263490463953E-2</v>
      </c>
      <c r="AP2843" s="474">
        <v>1.1870526509732236E-4</v>
      </c>
      <c r="AQ2843" s="352"/>
      <c r="AR2843" s="352"/>
      <c r="AS2843" s="352"/>
      <c r="AT2843" s="352"/>
      <c r="AU2843" s="352"/>
      <c r="AV2843" s="352"/>
      <c r="AW2843" s="352" t="s">
        <v>254</v>
      </c>
    </row>
    <row r="2844" spans="2:49" x14ac:dyDescent="0.2">
      <c r="B2844" s="460" t="s">
        <v>3206</v>
      </c>
      <c r="C2844" s="460">
        <v>8000</v>
      </c>
      <c r="D2844" s="460" t="s">
        <v>2285</v>
      </c>
      <c r="E2844" s="460" t="s">
        <v>2271</v>
      </c>
      <c r="F2844" s="460">
        <v>2</v>
      </c>
      <c r="G2844" s="460">
        <v>1</v>
      </c>
      <c r="H2844" s="461" t="s">
        <v>746</v>
      </c>
      <c r="I2844" s="461" t="s">
        <v>762</v>
      </c>
      <c r="J2844" s="461" t="s">
        <v>700</v>
      </c>
      <c r="K2844" s="594"/>
      <c r="L2844" s="594"/>
      <c r="M2844" s="352">
        <v>8000</v>
      </c>
      <c r="N2844" s="352" t="s">
        <v>760</v>
      </c>
      <c r="O2844" s="460">
        <v>3211</v>
      </c>
      <c r="P2844" s="460" t="s">
        <v>745</v>
      </c>
      <c r="Q2844" s="460" t="s">
        <v>2553</v>
      </c>
      <c r="R2844" s="460">
        <v>3211</v>
      </c>
      <c r="S2844" s="460" t="s">
        <v>2265</v>
      </c>
      <c r="T2844" s="462">
        <v>1</v>
      </c>
      <c r="U2844" s="460" t="s">
        <v>2271</v>
      </c>
      <c r="V2844" s="475">
        <v>0</v>
      </c>
      <c r="W2844" s="463" t="s">
        <v>2268</v>
      </c>
      <c r="X2844" s="463" t="s">
        <v>2268</v>
      </c>
      <c r="Y2844" s="463" t="s">
        <v>2554</v>
      </c>
      <c r="Z2844" s="463"/>
      <c r="AA2844" s="463"/>
      <c r="AB2844" s="464">
        <v>0</v>
      </c>
      <c r="AC2844" s="465">
        <v>0</v>
      </c>
      <c r="AD2844" s="465">
        <v>0</v>
      </c>
      <c r="AE2844" s="476">
        <v>0</v>
      </c>
      <c r="AF2844" s="467">
        <v>0</v>
      </c>
      <c r="AG2844" s="468">
        <v>0</v>
      </c>
      <c r="AH2844" s="218">
        <v>0</v>
      </c>
      <c r="AI2844" s="470">
        <v>0</v>
      </c>
      <c r="AJ2844" s="471">
        <v>0</v>
      </c>
      <c r="AK2844" s="218">
        <v>0</v>
      </c>
      <c r="AL2844" s="470">
        <v>0</v>
      </c>
      <c r="AM2844" s="471">
        <v>0</v>
      </c>
      <c r="AN2844" s="477">
        <v>7.8683083818261226</v>
      </c>
      <c r="AO2844" s="473">
        <v>1.5057066919591529E-2</v>
      </c>
      <c r="AP2844" s="474">
        <v>1.1420591512954085E-4</v>
      </c>
      <c r="AQ2844" s="352"/>
      <c r="AR2844" s="352"/>
      <c r="AS2844" s="352"/>
      <c r="AT2844" s="352"/>
      <c r="AU2844" s="352"/>
      <c r="AV2844" s="352"/>
      <c r="AW2844" s="352" t="s">
        <v>254</v>
      </c>
    </row>
    <row r="2845" spans="2:49" x14ac:dyDescent="0.2">
      <c r="B2845" s="460" t="s">
        <v>3207</v>
      </c>
      <c r="C2845" s="460">
        <v>8000</v>
      </c>
      <c r="D2845" s="460" t="s">
        <v>2286</v>
      </c>
      <c r="E2845" s="460" t="s">
        <v>2274</v>
      </c>
      <c r="F2845" s="460">
        <v>3</v>
      </c>
      <c r="G2845" s="460">
        <v>1</v>
      </c>
      <c r="H2845" s="461" t="s">
        <v>746</v>
      </c>
      <c r="I2845" s="461" t="s">
        <v>762</v>
      </c>
      <c r="J2845" s="461" t="s">
        <v>700</v>
      </c>
      <c r="K2845" s="594"/>
      <c r="L2845" s="594"/>
      <c r="M2845" s="352">
        <v>8000</v>
      </c>
      <c r="N2845" s="352" t="s">
        <v>760</v>
      </c>
      <c r="O2845" s="460">
        <v>3211</v>
      </c>
      <c r="P2845" s="460" t="s">
        <v>745</v>
      </c>
      <c r="Q2845" s="460" t="s">
        <v>2553</v>
      </c>
      <c r="R2845" s="460">
        <v>3211</v>
      </c>
      <c r="S2845" s="460" t="s">
        <v>2265</v>
      </c>
      <c r="T2845" s="462">
        <v>0.74223365950407583</v>
      </c>
      <c r="U2845" s="460" t="s">
        <v>2274</v>
      </c>
      <c r="V2845" s="475">
        <v>0</v>
      </c>
      <c r="W2845" s="463" t="s">
        <v>2268</v>
      </c>
      <c r="X2845" s="463" t="s">
        <v>2268</v>
      </c>
      <c r="Y2845" s="463" t="s">
        <v>2554</v>
      </c>
      <c r="Z2845" s="463"/>
      <c r="AA2845" s="463"/>
      <c r="AB2845" s="464">
        <v>0</v>
      </c>
      <c r="AC2845" s="465">
        <v>0</v>
      </c>
      <c r="AD2845" s="465">
        <v>0</v>
      </c>
      <c r="AE2845" s="476">
        <v>0</v>
      </c>
      <c r="AF2845" s="467">
        <v>0</v>
      </c>
      <c r="AG2845" s="468">
        <v>0</v>
      </c>
      <c r="AH2845" s="218">
        <v>0</v>
      </c>
      <c r="AI2845" s="470">
        <v>0</v>
      </c>
      <c r="AJ2845" s="471">
        <v>0</v>
      </c>
      <c r="AK2845" s="218">
        <v>0</v>
      </c>
      <c r="AL2845" s="470">
        <v>0</v>
      </c>
      <c r="AM2845" s="471">
        <v>0</v>
      </c>
      <c r="AN2845" s="477">
        <v>3.9102052353096366</v>
      </c>
      <c r="AO2845" s="473">
        <v>8.8246115493352609E-3</v>
      </c>
      <c r="AP2845" s="474">
        <v>1.9740745503120239E-4</v>
      </c>
      <c r="AQ2845" s="352"/>
      <c r="AR2845" s="352"/>
      <c r="AS2845" s="352"/>
      <c r="AT2845" s="352"/>
      <c r="AU2845" s="352"/>
      <c r="AV2845" s="352"/>
      <c r="AW2845" s="352" t="s">
        <v>254</v>
      </c>
    </row>
    <row r="2846" spans="2:49" x14ac:dyDescent="0.2">
      <c r="B2846" s="460" t="s">
        <v>3208</v>
      </c>
      <c r="C2846" s="460">
        <v>8000</v>
      </c>
      <c r="D2846" s="460" t="s">
        <v>2287</v>
      </c>
      <c r="E2846" s="460" t="s">
        <v>2277</v>
      </c>
      <c r="F2846" s="460">
        <v>4</v>
      </c>
      <c r="G2846" s="460">
        <v>1</v>
      </c>
      <c r="H2846" s="461" t="s">
        <v>746</v>
      </c>
      <c r="I2846" s="461" t="s">
        <v>762</v>
      </c>
      <c r="J2846" s="461" t="s">
        <v>700</v>
      </c>
      <c r="K2846" s="594"/>
      <c r="L2846" s="594"/>
      <c r="M2846" s="352">
        <v>8000</v>
      </c>
      <c r="N2846" s="352" t="s">
        <v>760</v>
      </c>
      <c r="O2846" s="460">
        <v>3211</v>
      </c>
      <c r="P2846" s="460" t="s">
        <v>745</v>
      </c>
      <c r="Q2846" s="460" t="s">
        <v>2553</v>
      </c>
      <c r="R2846" s="460">
        <v>3211</v>
      </c>
      <c r="S2846" s="460" t="s">
        <v>2277</v>
      </c>
      <c r="T2846" s="462">
        <v>1</v>
      </c>
      <c r="U2846" s="460" t="s">
        <v>2277</v>
      </c>
      <c r="V2846" s="475">
        <v>0</v>
      </c>
      <c r="W2846" s="463" t="s">
        <v>2268</v>
      </c>
      <c r="X2846" s="463" t="s">
        <v>2268</v>
      </c>
      <c r="Y2846" s="463" t="s">
        <v>2554</v>
      </c>
      <c r="Z2846" s="463"/>
      <c r="AA2846" s="463"/>
      <c r="AB2846" s="464">
        <v>0</v>
      </c>
      <c r="AC2846" s="465">
        <v>0</v>
      </c>
      <c r="AD2846" s="465">
        <v>0</v>
      </c>
      <c r="AE2846" s="476">
        <v>0</v>
      </c>
      <c r="AF2846" s="467">
        <v>0</v>
      </c>
      <c r="AG2846" s="468">
        <v>0</v>
      </c>
      <c r="AH2846" s="218">
        <v>0</v>
      </c>
      <c r="AI2846" s="470">
        <v>0</v>
      </c>
      <c r="AJ2846" s="471">
        <v>0</v>
      </c>
      <c r="AK2846" s="218">
        <v>0</v>
      </c>
      <c r="AL2846" s="470">
        <v>0</v>
      </c>
      <c r="AM2846" s="471">
        <v>0</v>
      </c>
      <c r="AN2846" s="477">
        <v>2.4186174929590503E-2</v>
      </c>
      <c r="AO2846" s="473">
        <v>4.8143576414426948E-5</v>
      </c>
      <c r="AP2846" s="474">
        <v>1.2678214955726607E-4</v>
      </c>
      <c r="AQ2846" s="352"/>
      <c r="AR2846" s="352"/>
      <c r="AS2846" s="352"/>
      <c r="AT2846" s="352"/>
      <c r="AU2846" s="352"/>
      <c r="AV2846" s="352"/>
      <c r="AW2846" s="352" t="s">
        <v>254</v>
      </c>
    </row>
    <row r="2847" spans="2:49" x14ac:dyDescent="0.2">
      <c r="B2847" s="460" t="s">
        <v>3205</v>
      </c>
      <c r="C2847" s="460">
        <v>8000</v>
      </c>
      <c r="D2847" s="460" t="s">
        <v>2288</v>
      </c>
      <c r="E2847" s="460" t="s">
        <v>2265</v>
      </c>
      <c r="F2847" s="460">
        <v>1</v>
      </c>
      <c r="G2847" s="460">
        <v>1</v>
      </c>
      <c r="H2847" s="461" t="s">
        <v>748</v>
      </c>
      <c r="I2847" s="461" t="s">
        <v>765</v>
      </c>
      <c r="J2847" s="461" t="s">
        <v>700</v>
      </c>
      <c r="K2847" s="594"/>
      <c r="L2847" s="594"/>
      <c r="M2847" s="352">
        <v>8000</v>
      </c>
      <c r="N2847" s="352" t="s">
        <v>760</v>
      </c>
      <c r="O2847" s="460">
        <v>3211</v>
      </c>
      <c r="P2847" s="460" t="s">
        <v>745</v>
      </c>
      <c r="Q2847" s="460" t="s">
        <v>2553</v>
      </c>
      <c r="R2847" s="460">
        <v>3211</v>
      </c>
      <c r="S2847" s="460" t="s">
        <v>2265</v>
      </c>
      <c r="T2847" s="462">
        <v>1</v>
      </c>
      <c r="U2847" s="460" t="s">
        <v>2265</v>
      </c>
      <c r="V2847" s="475">
        <v>0</v>
      </c>
      <c r="W2847" s="463" t="s">
        <v>2268</v>
      </c>
      <c r="X2847" s="463" t="s">
        <v>2268</v>
      </c>
      <c r="Y2847" s="463" t="s">
        <v>2554</v>
      </c>
      <c r="Z2847" s="463"/>
      <c r="AA2847" s="463"/>
      <c r="AB2847" s="464">
        <v>0</v>
      </c>
      <c r="AC2847" s="465">
        <v>0</v>
      </c>
      <c r="AD2847" s="465">
        <v>0</v>
      </c>
      <c r="AE2847" s="476">
        <v>0</v>
      </c>
      <c r="AF2847" s="467">
        <v>0</v>
      </c>
      <c r="AG2847" s="468">
        <v>0</v>
      </c>
      <c r="AH2847" s="218">
        <v>0</v>
      </c>
      <c r="AI2847" s="470">
        <v>0</v>
      </c>
      <c r="AJ2847" s="471">
        <v>0</v>
      </c>
      <c r="AK2847" s="218">
        <v>0</v>
      </c>
      <c r="AL2847" s="470">
        <v>0</v>
      </c>
      <c r="AM2847" s="471">
        <v>0</v>
      </c>
      <c r="AN2847" s="477">
        <v>52.634472618543157</v>
      </c>
      <c r="AO2847" s="473">
        <v>5.9446317452319777E-2</v>
      </c>
      <c r="AP2847" s="474">
        <v>3.2686329667271689E-3</v>
      </c>
      <c r="AQ2847" s="352"/>
      <c r="AR2847" s="352"/>
      <c r="AS2847" s="352"/>
      <c r="AT2847" s="352"/>
      <c r="AU2847" s="352"/>
      <c r="AV2847" s="352"/>
      <c r="AW2847" s="352" t="s">
        <v>254</v>
      </c>
    </row>
    <row r="2848" spans="2:49" x14ac:dyDescent="0.2">
      <c r="B2848" s="460" t="s">
        <v>3206</v>
      </c>
      <c r="C2848" s="460">
        <v>8000</v>
      </c>
      <c r="D2848" s="460" t="s">
        <v>2291</v>
      </c>
      <c r="E2848" s="460" t="s">
        <v>2271</v>
      </c>
      <c r="F2848" s="460">
        <v>2</v>
      </c>
      <c r="G2848" s="460">
        <v>1</v>
      </c>
      <c r="H2848" s="461" t="s">
        <v>748</v>
      </c>
      <c r="I2848" s="461" t="s">
        <v>765</v>
      </c>
      <c r="J2848" s="461" t="s">
        <v>700</v>
      </c>
      <c r="K2848" s="594"/>
      <c r="L2848" s="594"/>
      <c r="M2848" s="352">
        <v>8000</v>
      </c>
      <c r="N2848" s="352" t="s">
        <v>760</v>
      </c>
      <c r="O2848" s="460">
        <v>3211</v>
      </c>
      <c r="P2848" s="460" t="s">
        <v>745</v>
      </c>
      <c r="Q2848" s="460" t="s">
        <v>2553</v>
      </c>
      <c r="R2848" s="460">
        <v>3211</v>
      </c>
      <c r="S2848" s="460" t="s">
        <v>2265</v>
      </c>
      <c r="T2848" s="462">
        <v>1</v>
      </c>
      <c r="U2848" s="460" t="s">
        <v>2271</v>
      </c>
      <c r="V2848" s="475">
        <v>0</v>
      </c>
      <c r="W2848" s="463" t="s">
        <v>2268</v>
      </c>
      <c r="X2848" s="463" t="s">
        <v>2268</v>
      </c>
      <c r="Y2848" s="463" t="s">
        <v>2554</v>
      </c>
      <c r="Z2848" s="463"/>
      <c r="AA2848" s="463"/>
      <c r="AB2848" s="464">
        <v>0</v>
      </c>
      <c r="AC2848" s="465">
        <v>0</v>
      </c>
      <c r="AD2848" s="465">
        <v>0</v>
      </c>
      <c r="AE2848" s="476">
        <v>0</v>
      </c>
      <c r="AF2848" s="467">
        <v>0</v>
      </c>
      <c r="AG2848" s="468">
        <v>0</v>
      </c>
      <c r="AH2848" s="218">
        <v>0</v>
      </c>
      <c r="AI2848" s="470">
        <v>0</v>
      </c>
      <c r="AJ2848" s="471">
        <v>0</v>
      </c>
      <c r="AK2848" s="218">
        <v>0</v>
      </c>
      <c r="AL2848" s="470">
        <v>0</v>
      </c>
      <c r="AM2848" s="471">
        <v>0</v>
      </c>
      <c r="AN2848" s="477">
        <v>39.341541909130619</v>
      </c>
      <c r="AO2848" s="473">
        <v>7.5285334597957665E-2</v>
      </c>
      <c r="AP2848" s="474">
        <v>2.5022824738857499E-3</v>
      </c>
      <c r="AQ2848" s="352"/>
      <c r="AR2848" s="352"/>
      <c r="AS2848" s="352"/>
      <c r="AT2848" s="352"/>
      <c r="AU2848" s="352"/>
      <c r="AV2848" s="352"/>
      <c r="AW2848" s="352" t="s">
        <v>254</v>
      </c>
    </row>
    <row r="2849" spans="2:49" x14ac:dyDescent="0.2">
      <c r="B2849" s="460" t="s">
        <v>3207</v>
      </c>
      <c r="C2849" s="460">
        <v>8000</v>
      </c>
      <c r="D2849" s="460" t="s">
        <v>2292</v>
      </c>
      <c r="E2849" s="460" t="s">
        <v>2274</v>
      </c>
      <c r="F2849" s="460">
        <v>3</v>
      </c>
      <c r="G2849" s="460">
        <v>1</v>
      </c>
      <c r="H2849" s="461" t="s">
        <v>748</v>
      </c>
      <c r="I2849" s="461" t="s">
        <v>765</v>
      </c>
      <c r="J2849" s="461" t="s">
        <v>700</v>
      </c>
      <c r="K2849" s="594"/>
      <c r="L2849" s="594"/>
      <c r="M2849" s="352">
        <v>8000</v>
      </c>
      <c r="N2849" s="352" t="s">
        <v>760</v>
      </c>
      <c r="O2849" s="460">
        <v>3211</v>
      </c>
      <c r="P2849" s="460" t="s">
        <v>745</v>
      </c>
      <c r="Q2849" s="460" t="s">
        <v>2553</v>
      </c>
      <c r="R2849" s="460">
        <v>3211</v>
      </c>
      <c r="S2849" s="460" t="s">
        <v>2265</v>
      </c>
      <c r="T2849" s="462">
        <v>0.74223365950407583</v>
      </c>
      <c r="U2849" s="460" t="s">
        <v>2274</v>
      </c>
      <c r="V2849" s="475">
        <v>0</v>
      </c>
      <c r="W2849" s="463" t="s">
        <v>2268</v>
      </c>
      <c r="X2849" s="463" t="s">
        <v>2268</v>
      </c>
      <c r="Y2849" s="463" t="s">
        <v>2554</v>
      </c>
      <c r="Z2849" s="463"/>
      <c r="AA2849" s="463"/>
      <c r="AB2849" s="464">
        <v>0</v>
      </c>
      <c r="AC2849" s="465">
        <v>0</v>
      </c>
      <c r="AD2849" s="465">
        <v>0</v>
      </c>
      <c r="AE2849" s="476">
        <v>0</v>
      </c>
      <c r="AF2849" s="467">
        <v>0</v>
      </c>
      <c r="AG2849" s="468">
        <v>0</v>
      </c>
      <c r="AH2849" s="218">
        <v>0</v>
      </c>
      <c r="AI2849" s="470">
        <v>0</v>
      </c>
      <c r="AJ2849" s="471">
        <v>0</v>
      </c>
      <c r="AK2849" s="218">
        <v>0</v>
      </c>
      <c r="AL2849" s="470">
        <v>0</v>
      </c>
      <c r="AM2849" s="471">
        <v>0</v>
      </c>
      <c r="AN2849" s="477">
        <v>19.551026176548188</v>
      </c>
      <c r="AO2849" s="473">
        <v>4.4123057746676318E-2</v>
      </c>
      <c r="AP2849" s="474">
        <v>2.7527217153662012E-3</v>
      </c>
      <c r="AQ2849" s="352"/>
      <c r="AR2849" s="352"/>
      <c r="AS2849" s="352"/>
      <c r="AT2849" s="352"/>
      <c r="AU2849" s="352"/>
      <c r="AV2849" s="352"/>
      <c r="AW2849" s="352" t="s">
        <v>254</v>
      </c>
    </row>
    <row r="2850" spans="2:49" x14ac:dyDescent="0.2">
      <c r="B2850" s="460" t="s">
        <v>3208</v>
      </c>
      <c r="C2850" s="460">
        <v>8000</v>
      </c>
      <c r="D2850" s="460" t="s">
        <v>2293</v>
      </c>
      <c r="E2850" s="460" t="s">
        <v>2277</v>
      </c>
      <c r="F2850" s="460">
        <v>4</v>
      </c>
      <c r="G2850" s="460">
        <v>1</v>
      </c>
      <c r="H2850" s="461" t="s">
        <v>748</v>
      </c>
      <c r="I2850" s="461" t="s">
        <v>765</v>
      </c>
      <c r="J2850" s="461" t="s">
        <v>700</v>
      </c>
      <c r="K2850" s="594"/>
      <c r="L2850" s="594"/>
      <c r="M2850" s="352">
        <v>8000</v>
      </c>
      <c r="N2850" s="352" t="s">
        <v>760</v>
      </c>
      <c r="O2850" s="460">
        <v>3211</v>
      </c>
      <c r="P2850" s="460" t="s">
        <v>745</v>
      </c>
      <c r="Q2850" s="460" t="s">
        <v>2553</v>
      </c>
      <c r="R2850" s="460">
        <v>3211</v>
      </c>
      <c r="S2850" s="460" t="s">
        <v>2277</v>
      </c>
      <c r="T2850" s="462">
        <v>1</v>
      </c>
      <c r="U2850" s="460" t="s">
        <v>2277</v>
      </c>
      <c r="V2850" s="475">
        <v>0</v>
      </c>
      <c r="W2850" s="463" t="s">
        <v>2268</v>
      </c>
      <c r="X2850" s="463" t="s">
        <v>2268</v>
      </c>
      <c r="Y2850" s="463" t="s">
        <v>2554</v>
      </c>
      <c r="Z2850" s="463"/>
      <c r="AA2850" s="463"/>
      <c r="AB2850" s="464">
        <v>0</v>
      </c>
      <c r="AC2850" s="465">
        <v>0</v>
      </c>
      <c r="AD2850" s="465">
        <v>0</v>
      </c>
      <c r="AE2850" s="476">
        <v>0</v>
      </c>
      <c r="AF2850" s="467">
        <v>0</v>
      </c>
      <c r="AG2850" s="468">
        <v>0</v>
      </c>
      <c r="AH2850" s="218">
        <v>0</v>
      </c>
      <c r="AI2850" s="470">
        <v>0</v>
      </c>
      <c r="AJ2850" s="471">
        <v>0</v>
      </c>
      <c r="AK2850" s="218">
        <v>0</v>
      </c>
      <c r="AL2850" s="470">
        <v>0</v>
      </c>
      <c r="AM2850" s="471">
        <v>0</v>
      </c>
      <c r="AN2850" s="477">
        <v>0.12093087464795255</v>
      </c>
      <c r="AO2850" s="473">
        <v>2.4071788207213481E-4</v>
      </c>
      <c r="AP2850" s="474">
        <v>2.9200172552786854E-3</v>
      </c>
      <c r="AQ2850" s="352"/>
      <c r="AR2850" s="352"/>
      <c r="AS2850" s="352"/>
      <c r="AT2850" s="352"/>
      <c r="AU2850" s="352"/>
      <c r="AV2850" s="352"/>
      <c r="AW2850" s="352" t="s">
        <v>254</v>
      </c>
    </row>
    <row r="2851" spans="2:49" x14ac:dyDescent="0.2">
      <c r="B2851" s="460" t="s">
        <v>3209</v>
      </c>
      <c r="C2851" s="460">
        <v>8000</v>
      </c>
      <c r="D2851" s="460" t="s">
        <v>2295</v>
      </c>
      <c r="E2851" s="460" t="s">
        <v>2296</v>
      </c>
      <c r="F2851" s="460">
        <v>1</v>
      </c>
      <c r="G2851" s="460">
        <v>2</v>
      </c>
      <c r="H2851" s="461" t="s">
        <v>700</v>
      </c>
      <c r="I2851" s="461" t="s">
        <v>872</v>
      </c>
      <c r="J2851" s="461" t="s">
        <v>700</v>
      </c>
      <c r="K2851" s="594"/>
      <c r="L2851" s="594"/>
      <c r="M2851" s="352">
        <v>8000</v>
      </c>
      <c r="N2851" s="352" t="s">
        <v>760</v>
      </c>
      <c r="O2851" s="460">
        <v>3211</v>
      </c>
      <c r="P2851" s="460" t="s">
        <v>745</v>
      </c>
      <c r="Q2851" s="460" t="s">
        <v>2553</v>
      </c>
      <c r="R2851" s="460">
        <v>3211</v>
      </c>
      <c r="S2851" s="460" t="s">
        <v>2296</v>
      </c>
      <c r="T2851" s="462">
        <v>1</v>
      </c>
      <c r="U2851" s="460" t="s">
        <v>2296</v>
      </c>
      <c r="V2851" s="475">
        <v>0</v>
      </c>
      <c r="W2851" s="463" t="s">
        <v>2554</v>
      </c>
      <c r="X2851" s="463" t="s">
        <v>2554</v>
      </c>
      <c r="Y2851" s="463" t="s">
        <v>2268</v>
      </c>
      <c r="Z2851" s="463"/>
      <c r="AA2851" s="463"/>
      <c r="AB2851" s="464">
        <v>0</v>
      </c>
      <c r="AC2851" s="465">
        <v>0</v>
      </c>
      <c r="AD2851" s="465">
        <v>0</v>
      </c>
      <c r="AE2851" s="476">
        <v>0</v>
      </c>
      <c r="AF2851" s="467">
        <v>0</v>
      </c>
      <c r="AG2851" s="468">
        <v>0</v>
      </c>
      <c r="AH2851" s="218">
        <v>0</v>
      </c>
      <c r="AI2851" s="470">
        <v>0</v>
      </c>
      <c r="AJ2851" s="471">
        <v>0</v>
      </c>
      <c r="AK2851" s="218">
        <v>0</v>
      </c>
      <c r="AL2851" s="470">
        <v>0</v>
      </c>
      <c r="AM2851" s="471">
        <v>0</v>
      </c>
      <c r="AN2851" s="477">
        <v>0</v>
      </c>
      <c r="AO2851" s="473">
        <v>0</v>
      </c>
      <c r="AP2851" s="474">
        <v>0</v>
      </c>
      <c r="AQ2851" s="352"/>
      <c r="AR2851" s="352"/>
      <c r="AS2851" s="352"/>
      <c r="AT2851" s="352"/>
      <c r="AU2851" s="352"/>
      <c r="AV2851" s="352"/>
      <c r="AW2851" s="352" t="s">
        <v>254</v>
      </c>
    </row>
    <row r="2852" spans="2:49" x14ac:dyDescent="0.2">
      <c r="B2852" s="460" t="s">
        <v>3210</v>
      </c>
      <c r="C2852" s="460">
        <v>8000</v>
      </c>
      <c r="D2852" s="460" t="s">
        <v>2298</v>
      </c>
      <c r="E2852" s="460" t="s">
        <v>2299</v>
      </c>
      <c r="F2852" s="460">
        <v>2</v>
      </c>
      <c r="G2852" s="460">
        <v>2</v>
      </c>
      <c r="H2852" s="461" t="s">
        <v>700</v>
      </c>
      <c r="I2852" s="461" t="s">
        <v>872</v>
      </c>
      <c r="J2852" s="461" t="s">
        <v>700</v>
      </c>
      <c r="K2852" s="594"/>
      <c r="L2852" s="594"/>
      <c r="M2852" s="352">
        <v>8000</v>
      </c>
      <c r="N2852" s="352" t="s">
        <v>760</v>
      </c>
      <c r="O2852" s="460">
        <v>3211</v>
      </c>
      <c r="P2852" s="460" t="s">
        <v>745</v>
      </c>
      <c r="Q2852" s="460" t="s">
        <v>2553</v>
      </c>
      <c r="R2852" s="460">
        <v>3211</v>
      </c>
      <c r="S2852" s="460" t="s">
        <v>2296</v>
      </c>
      <c r="T2852" s="462">
        <v>0.55517361979372948</v>
      </c>
      <c r="U2852" s="460" t="s">
        <v>2299</v>
      </c>
      <c r="V2852" s="475">
        <v>0</v>
      </c>
      <c r="W2852" s="463" t="s">
        <v>2554</v>
      </c>
      <c r="X2852" s="463" t="s">
        <v>2554</v>
      </c>
      <c r="Y2852" s="463" t="s">
        <v>2268</v>
      </c>
      <c r="Z2852" s="463"/>
      <c r="AA2852" s="463"/>
      <c r="AB2852" s="464">
        <v>0</v>
      </c>
      <c r="AC2852" s="465">
        <v>0</v>
      </c>
      <c r="AD2852" s="465">
        <v>0</v>
      </c>
      <c r="AE2852" s="476">
        <v>0</v>
      </c>
      <c r="AF2852" s="467">
        <v>0</v>
      </c>
      <c r="AG2852" s="468">
        <v>0</v>
      </c>
      <c r="AH2852" s="218">
        <v>0</v>
      </c>
      <c r="AI2852" s="470">
        <v>0</v>
      </c>
      <c r="AJ2852" s="471">
        <v>0</v>
      </c>
      <c r="AK2852" s="218">
        <v>0</v>
      </c>
      <c r="AL2852" s="470">
        <v>0</v>
      </c>
      <c r="AM2852" s="471">
        <v>0</v>
      </c>
      <c r="AN2852" s="477">
        <v>0</v>
      </c>
      <c r="AO2852" s="473">
        <v>0</v>
      </c>
      <c r="AP2852" s="474">
        <v>0</v>
      </c>
      <c r="AQ2852" s="352"/>
      <c r="AR2852" s="352"/>
      <c r="AS2852" s="352"/>
      <c r="AT2852" s="352"/>
      <c r="AU2852" s="352"/>
      <c r="AV2852" s="352"/>
      <c r="AW2852" s="352" t="s">
        <v>254</v>
      </c>
    </row>
    <row r="2853" spans="2:49" x14ac:dyDescent="0.2">
      <c r="B2853" s="460" t="s">
        <v>3211</v>
      </c>
      <c r="C2853" s="460">
        <v>8000</v>
      </c>
      <c r="D2853" s="460" t="s">
        <v>2301</v>
      </c>
      <c r="E2853" s="460" t="s">
        <v>2302</v>
      </c>
      <c r="F2853" s="460">
        <v>3</v>
      </c>
      <c r="G2853" s="460">
        <v>2</v>
      </c>
      <c r="H2853" s="461" t="s">
        <v>700</v>
      </c>
      <c r="I2853" s="461" t="s">
        <v>872</v>
      </c>
      <c r="J2853" s="461" t="s">
        <v>700</v>
      </c>
      <c r="K2853" s="594"/>
      <c r="L2853" s="594"/>
      <c r="M2853" s="352">
        <v>8000</v>
      </c>
      <c r="N2853" s="352" t="s">
        <v>760</v>
      </c>
      <c r="O2853" s="460">
        <v>3211</v>
      </c>
      <c r="P2853" s="460" t="s">
        <v>745</v>
      </c>
      <c r="Q2853" s="460" t="s">
        <v>2553</v>
      </c>
      <c r="R2853" s="460">
        <v>3211</v>
      </c>
      <c r="S2853" s="460" t="s">
        <v>2296</v>
      </c>
      <c r="T2853" s="462">
        <v>0.28481449642268464</v>
      </c>
      <c r="U2853" s="460" t="s">
        <v>2302</v>
      </c>
      <c r="V2853" s="475">
        <v>0</v>
      </c>
      <c r="W2853" s="463" t="s">
        <v>2554</v>
      </c>
      <c r="X2853" s="463" t="s">
        <v>2554</v>
      </c>
      <c r="Y2853" s="463" t="s">
        <v>2268</v>
      </c>
      <c r="Z2853" s="463"/>
      <c r="AA2853" s="463"/>
      <c r="AB2853" s="464">
        <v>0</v>
      </c>
      <c r="AC2853" s="465">
        <v>0</v>
      </c>
      <c r="AD2853" s="465">
        <v>0</v>
      </c>
      <c r="AE2853" s="476">
        <v>0</v>
      </c>
      <c r="AF2853" s="467">
        <v>0</v>
      </c>
      <c r="AG2853" s="468">
        <v>0</v>
      </c>
      <c r="AH2853" s="218">
        <v>0</v>
      </c>
      <c r="AI2853" s="470">
        <v>0</v>
      </c>
      <c r="AJ2853" s="471">
        <v>0</v>
      </c>
      <c r="AK2853" s="218">
        <v>0</v>
      </c>
      <c r="AL2853" s="470">
        <v>0</v>
      </c>
      <c r="AM2853" s="471">
        <v>0</v>
      </c>
      <c r="AN2853" s="477">
        <v>0</v>
      </c>
      <c r="AO2853" s="473">
        <v>0</v>
      </c>
      <c r="AP2853" s="474">
        <v>0</v>
      </c>
      <c r="AQ2853" s="352"/>
      <c r="AR2853" s="352"/>
      <c r="AS2853" s="352"/>
      <c r="AT2853" s="352"/>
      <c r="AU2853" s="352"/>
      <c r="AV2853" s="352"/>
      <c r="AW2853" s="352" t="s">
        <v>254</v>
      </c>
    </row>
    <row r="2854" spans="2:49" x14ac:dyDescent="0.2">
      <c r="B2854" s="460" t="s">
        <v>3212</v>
      </c>
      <c r="C2854" s="460">
        <v>8000</v>
      </c>
      <c r="D2854" s="460" t="s">
        <v>2304</v>
      </c>
      <c r="E2854" s="460" t="s">
        <v>2305</v>
      </c>
      <c r="F2854" s="460">
        <v>4</v>
      </c>
      <c r="G2854" s="460">
        <v>2</v>
      </c>
      <c r="H2854" s="461" t="s">
        <v>700</v>
      </c>
      <c r="I2854" s="461" t="s">
        <v>872</v>
      </c>
      <c r="J2854" s="461" t="s">
        <v>700</v>
      </c>
      <c r="K2854" s="594"/>
      <c r="L2854" s="594"/>
      <c r="M2854" s="352">
        <v>8000</v>
      </c>
      <c r="N2854" s="352" t="s">
        <v>760</v>
      </c>
      <c r="O2854" s="460">
        <v>3211</v>
      </c>
      <c r="P2854" s="460" t="s">
        <v>745</v>
      </c>
      <c r="Q2854" s="460" t="s">
        <v>2553</v>
      </c>
      <c r="R2854" s="460">
        <v>3211</v>
      </c>
      <c r="S2854" s="460" t="s">
        <v>2305</v>
      </c>
      <c r="T2854" s="462">
        <v>1</v>
      </c>
      <c r="U2854" s="460" t="s">
        <v>2305</v>
      </c>
      <c r="V2854" s="475">
        <v>0</v>
      </c>
      <c r="W2854" s="463" t="s">
        <v>2554</v>
      </c>
      <c r="X2854" s="463" t="s">
        <v>2554</v>
      </c>
      <c r="Y2854" s="463" t="s">
        <v>2268</v>
      </c>
      <c r="Z2854" s="463"/>
      <c r="AA2854" s="463"/>
      <c r="AB2854" s="464">
        <v>0</v>
      </c>
      <c r="AC2854" s="465">
        <v>0</v>
      </c>
      <c r="AD2854" s="465">
        <v>0</v>
      </c>
      <c r="AE2854" s="476">
        <v>0</v>
      </c>
      <c r="AF2854" s="467">
        <v>0</v>
      </c>
      <c r="AG2854" s="468">
        <v>0</v>
      </c>
      <c r="AH2854" s="218">
        <v>0</v>
      </c>
      <c r="AI2854" s="470">
        <v>0</v>
      </c>
      <c r="AJ2854" s="471">
        <v>0</v>
      </c>
      <c r="AK2854" s="218">
        <v>0</v>
      </c>
      <c r="AL2854" s="470">
        <v>0</v>
      </c>
      <c r="AM2854" s="471">
        <v>0</v>
      </c>
      <c r="AN2854" s="477">
        <v>0</v>
      </c>
      <c r="AO2854" s="473">
        <v>0</v>
      </c>
      <c r="AP2854" s="474">
        <v>0</v>
      </c>
      <c r="AQ2854" s="352"/>
      <c r="AR2854" s="352"/>
      <c r="AS2854" s="352"/>
      <c r="AT2854" s="352"/>
      <c r="AU2854" s="352"/>
      <c r="AV2854" s="352"/>
      <c r="AW2854" s="352" t="s">
        <v>254</v>
      </c>
    </row>
    <row r="2855" spans="2:49" x14ac:dyDescent="0.2">
      <c r="B2855" s="460" t="s">
        <v>3209</v>
      </c>
      <c r="C2855" s="460">
        <v>8000</v>
      </c>
      <c r="D2855" s="460" t="s">
        <v>3153</v>
      </c>
      <c r="E2855" s="460" t="s">
        <v>2296</v>
      </c>
      <c r="F2855" s="460">
        <v>1</v>
      </c>
      <c r="G2855" s="460">
        <v>2</v>
      </c>
      <c r="H2855" s="461" t="s">
        <v>706</v>
      </c>
      <c r="I2855" s="461" t="s">
        <v>707</v>
      </c>
      <c r="J2855" s="461" t="s">
        <v>706</v>
      </c>
      <c r="K2855" s="594"/>
      <c r="L2855" s="594"/>
      <c r="M2855" s="352">
        <v>8000</v>
      </c>
      <c r="N2855" s="352" t="s">
        <v>760</v>
      </c>
      <c r="O2855" s="460">
        <v>3211</v>
      </c>
      <c r="P2855" s="460" t="s">
        <v>745</v>
      </c>
      <c r="Q2855" s="460" t="s">
        <v>2553</v>
      </c>
      <c r="R2855" s="460">
        <v>3211</v>
      </c>
      <c r="S2855" s="460" t="s">
        <v>2296</v>
      </c>
      <c r="T2855" s="462">
        <v>1</v>
      </c>
      <c r="U2855" s="460" t="s">
        <v>2296</v>
      </c>
      <c r="V2855" s="475">
        <v>0</v>
      </c>
      <c r="W2855" s="463" t="s">
        <v>2278</v>
      </c>
      <c r="X2855" s="463" t="s">
        <v>2278</v>
      </c>
      <c r="Y2855" s="463" t="s">
        <v>2278</v>
      </c>
      <c r="Z2855" s="463"/>
      <c r="AA2855" s="463"/>
      <c r="AB2855" s="464">
        <v>8.4996978829174188E-2</v>
      </c>
      <c r="AC2855" s="465">
        <v>1.290711508668917E-4</v>
      </c>
      <c r="AD2855" s="465">
        <v>3.0483089723033564E-5</v>
      </c>
      <c r="AE2855" s="476">
        <v>8.4996978829174188E-2</v>
      </c>
      <c r="AF2855" s="467">
        <v>1.290711508668917E-4</v>
      </c>
      <c r="AG2855" s="468">
        <v>3.0483089723033564E-5</v>
      </c>
      <c r="AH2855" s="218">
        <v>8.4996978829174188E-2</v>
      </c>
      <c r="AI2855" s="470">
        <v>1.290711508668917E-4</v>
      </c>
      <c r="AJ2855" s="471">
        <v>3.0483089723033564E-5</v>
      </c>
      <c r="AK2855" s="218">
        <v>8.4996978829174188E-2</v>
      </c>
      <c r="AL2855" s="470">
        <v>1.290711508668917E-4</v>
      </c>
      <c r="AM2855" s="471">
        <v>3.0483089723033564E-5</v>
      </c>
      <c r="AN2855" s="477">
        <v>8.4996978829174188E-2</v>
      </c>
      <c r="AO2855" s="473">
        <v>1.290711508668917E-4</v>
      </c>
      <c r="AP2855" s="474">
        <v>3.0483089723033564E-5</v>
      </c>
      <c r="AQ2855" s="352"/>
      <c r="AR2855" s="352"/>
      <c r="AS2855" s="352"/>
      <c r="AT2855" s="352"/>
      <c r="AU2855" s="352"/>
      <c r="AV2855" s="352"/>
      <c r="AW2855" s="352" t="s">
        <v>254</v>
      </c>
    </row>
    <row r="2856" spans="2:49" x14ac:dyDescent="0.2">
      <c r="B2856" s="460" t="s">
        <v>3210</v>
      </c>
      <c r="C2856" s="460">
        <v>8000</v>
      </c>
      <c r="D2856" s="460" t="s">
        <v>3154</v>
      </c>
      <c r="E2856" s="460" t="s">
        <v>2299</v>
      </c>
      <c r="F2856" s="460">
        <v>2</v>
      </c>
      <c r="G2856" s="460">
        <v>2</v>
      </c>
      <c r="H2856" s="461" t="s">
        <v>706</v>
      </c>
      <c r="I2856" s="461" t="s">
        <v>707</v>
      </c>
      <c r="J2856" s="461" t="s">
        <v>706</v>
      </c>
      <c r="K2856" s="594"/>
      <c r="L2856" s="594"/>
      <c r="M2856" s="352">
        <v>8000</v>
      </c>
      <c r="N2856" s="352" t="s">
        <v>760</v>
      </c>
      <c r="O2856" s="460">
        <v>3211</v>
      </c>
      <c r="P2856" s="460" t="s">
        <v>745</v>
      </c>
      <c r="Q2856" s="460" t="s">
        <v>2553</v>
      </c>
      <c r="R2856" s="460">
        <v>3211</v>
      </c>
      <c r="S2856" s="460" t="s">
        <v>2296</v>
      </c>
      <c r="T2856" s="462">
        <v>0.55517361979372948</v>
      </c>
      <c r="U2856" s="460" t="s">
        <v>2299</v>
      </c>
      <c r="V2856" s="475">
        <v>0</v>
      </c>
      <c r="W2856" s="463" t="s">
        <v>2278</v>
      </c>
      <c r="X2856" s="463" t="s">
        <v>2278</v>
      </c>
      <c r="Y2856" s="463" t="s">
        <v>2278</v>
      </c>
      <c r="Z2856" s="463"/>
      <c r="AA2856" s="463"/>
      <c r="AB2856" s="464">
        <v>0</v>
      </c>
      <c r="AC2856" s="465">
        <v>0</v>
      </c>
      <c r="AD2856" s="465">
        <v>0</v>
      </c>
      <c r="AE2856" s="476">
        <v>0</v>
      </c>
      <c r="AF2856" s="467">
        <v>0</v>
      </c>
      <c r="AG2856" s="468">
        <v>0</v>
      </c>
      <c r="AH2856" s="218">
        <v>0</v>
      </c>
      <c r="AI2856" s="470">
        <v>0</v>
      </c>
      <c r="AJ2856" s="471">
        <v>0</v>
      </c>
      <c r="AK2856" s="218">
        <v>0</v>
      </c>
      <c r="AL2856" s="470">
        <v>0</v>
      </c>
      <c r="AM2856" s="471">
        <v>0</v>
      </c>
      <c r="AN2856" s="477">
        <v>0</v>
      </c>
      <c r="AO2856" s="473">
        <v>0</v>
      </c>
      <c r="AP2856" s="474">
        <v>0</v>
      </c>
      <c r="AQ2856" s="352"/>
      <c r="AR2856" s="352"/>
      <c r="AS2856" s="352"/>
      <c r="AT2856" s="352"/>
      <c r="AU2856" s="352"/>
      <c r="AV2856" s="352"/>
      <c r="AW2856" s="352" t="s">
        <v>254</v>
      </c>
    </row>
    <row r="2857" spans="2:49" x14ac:dyDescent="0.2">
      <c r="B2857" s="460" t="s">
        <v>3211</v>
      </c>
      <c r="C2857" s="460">
        <v>8000</v>
      </c>
      <c r="D2857" s="460" t="s">
        <v>3155</v>
      </c>
      <c r="E2857" s="460" t="s">
        <v>2302</v>
      </c>
      <c r="F2857" s="460">
        <v>3</v>
      </c>
      <c r="G2857" s="460">
        <v>2</v>
      </c>
      <c r="H2857" s="461" t="s">
        <v>706</v>
      </c>
      <c r="I2857" s="461" t="s">
        <v>707</v>
      </c>
      <c r="J2857" s="461" t="s">
        <v>706</v>
      </c>
      <c r="K2857" s="594"/>
      <c r="L2857" s="594"/>
      <c r="M2857" s="352">
        <v>8000</v>
      </c>
      <c r="N2857" s="352" t="s">
        <v>760</v>
      </c>
      <c r="O2857" s="460">
        <v>3211</v>
      </c>
      <c r="P2857" s="460" t="s">
        <v>745</v>
      </c>
      <c r="Q2857" s="460" t="s">
        <v>2553</v>
      </c>
      <c r="R2857" s="460">
        <v>3211</v>
      </c>
      <c r="S2857" s="460" t="s">
        <v>2296</v>
      </c>
      <c r="T2857" s="462">
        <v>0.28481449642268464</v>
      </c>
      <c r="U2857" s="460" t="s">
        <v>2302</v>
      </c>
      <c r="V2857" s="475">
        <v>0</v>
      </c>
      <c r="W2857" s="463" t="s">
        <v>2278</v>
      </c>
      <c r="X2857" s="463" t="s">
        <v>2278</v>
      </c>
      <c r="Y2857" s="463" t="s">
        <v>2278</v>
      </c>
      <c r="Z2857" s="463"/>
      <c r="AA2857" s="463"/>
      <c r="AB2857" s="464">
        <v>0</v>
      </c>
      <c r="AC2857" s="465">
        <v>0</v>
      </c>
      <c r="AD2857" s="465">
        <v>0</v>
      </c>
      <c r="AE2857" s="476">
        <v>0</v>
      </c>
      <c r="AF2857" s="467">
        <v>0</v>
      </c>
      <c r="AG2857" s="468">
        <v>0</v>
      </c>
      <c r="AH2857" s="218">
        <v>0</v>
      </c>
      <c r="AI2857" s="470">
        <v>0</v>
      </c>
      <c r="AJ2857" s="471">
        <v>0</v>
      </c>
      <c r="AK2857" s="218">
        <v>0</v>
      </c>
      <c r="AL2857" s="470">
        <v>0</v>
      </c>
      <c r="AM2857" s="471">
        <v>0</v>
      </c>
      <c r="AN2857" s="477">
        <v>0</v>
      </c>
      <c r="AO2857" s="473">
        <v>0</v>
      </c>
      <c r="AP2857" s="474">
        <v>0</v>
      </c>
      <c r="AQ2857" s="352"/>
      <c r="AR2857" s="352"/>
      <c r="AS2857" s="352"/>
      <c r="AT2857" s="352"/>
      <c r="AU2857" s="352"/>
      <c r="AV2857" s="352"/>
      <c r="AW2857" s="352" t="s">
        <v>254</v>
      </c>
    </row>
    <row r="2858" spans="2:49" x14ac:dyDescent="0.2">
      <c r="B2858" s="460" t="s">
        <v>3212</v>
      </c>
      <c r="C2858" s="460">
        <v>8000</v>
      </c>
      <c r="D2858" s="460" t="s">
        <v>3156</v>
      </c>
      <c r="E2858" s="460" t="s">
        <v>2305</v>
      </c>
      <c r="F2858" s="460">
        <v>4</v>
      </c>
      <c r="G2858" s="460">
        <v>2</v>
      </c>
      <c r="H2858" s="461" t="s">
        <v>706</v>
      </c>
      <c r="I2858" s="461" t="s">
        <v>707</v>
      </c>
      <c r="J2858" s="461" t="s">
        <v>706</v>
      </c>
      <c r="K2858" s="594"/>
      <c r="L2858" s="594"/>
      <c r="M2858" s="352">
        <v>8000</v>
      </c>
      <c r="N2858" s="352" t="s">
        <v>760</v>
      </c>
      <c r="O2858" s="460">
        <v>3211</v>
      </c>
      <c r="P2858" s="460" t="s">
        <v>745</v>
      </c>
      <c r="Q2858" s="460" t="s">
        <v>2553</v>
      </c>
      <c r="R2858" s="460">
        <v>3211</v>
      </c>
      <c r="S2858" s="460" t="s">
        <v>2305</v>
      </c>
      <c r="T2858" s="462">
        <v>1</v>
      </c>
      <c r="U2858" s="460" t="s">
        <v>2305</v>
      </c>
      <c r="V2858" s="475">
        <v>0</v>
      </c>
      <c r="W2858" s="463" t="s">
        <v>2554</v>
      </c>
      <c r="X2858" s="463" t="s">
        <v>2554</v>
      </c>
      <c r="Y2858" s="463" t="s">
        <v>2554</v>
      </c>
      <c r="Z2858" s="463"/>
      <c r="AA2858" s="463"/>
      <c r="AB2858" s="464">
        <v>0</v>
      </c>
      <c r="AC2858" s="465">
        <v>0</v>
      </c>
      <c r="AD2858" s="465">
        <v>0</v>
      </c>
      <c r="AE2858" s="476">
        <v>0</v>
      </c>
      <c r="AF2858" s="467">
        <v>0</v>
      </c>
      <c r="AG2858" s="468">
        <v>0</v>
      </c>
      <c r="AH2858" s="218">
        <v>0</v>
      </c>
      <c r="AI2858" s="470">
        <v>0</v>
      </c>
      <c r="AJ2858" s="471">
        <v>0</v>
      </c>
      <c r="AK2858" s="218">
        <v>0</v>
      </c>
      <c r="AL2858" s="470">
        <v>0</v>
      </c>
      <c r="AM2858" s="471">
        <v>0</v>
      </c>
      <c r="AN2858" s="477">
        <v>0</v>
      </c>
      <c r="AO2858" s="473">
        <v>0</v>
      </c>
      <c r="AP2858" s="474">
        <v>0</v>
      </c>
      <c r="AQ2858" s="352"/>
      <c r="AR2858" s="352"/>
      <c r="AS2858" s="352"/>
      <c r="AT2858" s="352"/>
      <c r="AU2858" s="352"/>
      <c r="AV2858" s="352"/>
      <c r="AW2858" s="352" t="s">
        <v>254</v>
      </c>
    </row>
    <row r="2859" spans="2:49" x14ac:dyDescent="0.2">
      <c r="B2859" s="460" t="s">
        <v>3209</v>
      </c>
      <c r="C2859" s="460">
        <v>8000</v>
      </c>
      <c r="D2859" s="460" t="s">
        <v>2306</v>
      </c>
      <c r="E2859" s="460" t="s">
        <v>2296</v>
      </c>
      <c r="F2859" s="460">
        <v>1</v>
      </c>
      <c r="G2859" s="460">
        <v>2</v>
      </c>
      <c r="H2859" s="461" t="s">
        <v>712</v>
      </c>
      <c r="I2859" s="461" t="s">
        <v>713</v>
      </c>
      <c r="J2859" s="461" t="s">
        <v>712</v>
      </c>
      <c r="K2859" s="594"/>
      <c r="L2859" s="594"/>
      <c r="M2859" s="352">
        <v>8000</v>
      </c>
      <c r="N2859" s="352" t="s">
        <v>760</v>
      </c>
      <c r="O2859" s="460">
        <v>3211</v>
      </c>
      <c r="P2859" s="460" t="s">
        <v>745</v>
      </c>
      <c r="Q2859" s="460" t="s">
        <v>2280</v>
      </c>
      <c r="R2859" s="460">
        <v>3211</v>
      </c>
      <c r="S2859" s="460" t="s">
        <v>2296</v>
      </c>
      <c r="T2859" s="462">
        <v>1</v>
      </c>
      <c r="U2859" s="460" t="s">
        <v>2296</v>
      </c>
      <c r="V2859" s="475">
        <v>0</v>
      </c>
      <c r="W2859" s="463" t="s">
        <v>713</v>
      </c>
      <c r="X2859" s="463" t="s">
        <v>713</v>
      </c>
      <c r="Y2859" s="463" t="s">
        <v>713</v>
      </c>
      <c r="Z2859" s="463"/>
      <c r="AA2859" s="463"/>
      <c r="AB2859" s="464">
        <v>658.44309592420643</v>
      </c>
      <c r="AC2859" s="465">
        <v>0.99987092884913309</v>
      </c>
      <c r="AD2859" s="465">
        <v>5.6948591124518465E-3</v>
      </c>
      <c r="AE2859" s="476">
        <v>658.44309592420643</v>
      </c>
      <c r="AF2859" s="467">
        <v>0.99987092884913309</v>
      </c>
      <c r="AG2859" s="468">
        <v>5.6114750397623057E-3</v>
      </c>
      <c r="AH2859" s="218">
        <v>658.44309592420643</v>
      </c>
      <c r="AI2859" s="470">
        <v>0.99987092884913309</v>
      </c>
      <c r="AJ2859" s="471">
        <v>5.6773907818657293E-3</v>
      </c>
      <c r="AK2859" s="218">
        <v>658.44309592420643</v>
      </c>
      <c r="AL2859" s="470">
        <v>0.99987092884913309</v>
      </c>
      <c r="AM2859" s="471">
        <v>5.6773907818657293E-3</v>
      </c>
      <c r="AN2859" s="477">
        <v>658.44309592420643</v>
      </c>
      <c r="AO2859" s="473">
        <v>0.99987092884913309</v>
      </c>
      <c r="AP2859" s="474">
        <v>5.6759974720117529E-3</v>
      </c>
      <c r="AQ2859" s="352"/>
      <c r="AR2859" s="352"/>
      <c r="AS2859" s="352"/>
      <c r="AT2859" s="352"/>
      <c r="AU2859" s="352"/>
      <c r="AV2859" s="352"/>
      <c r="AW2859" s="352" t="s">
        <v>254</v>
      </c>
    </row>
    <row r="2860" spans="2:49" x14ac:dyDescent="0.2">
      <c r="B2860" s="460" t="s">
        <v>3210</v>
      </c>
      <c r="C2860" s="460">
        <v>8000</v>
      </c>
      <c r="D2860" s="460" t="s">
        <v>2307</v>
      </c>
      <c r="E2860" s="460" t="s">
        <v>2299</v>
      </c>
      <c r="F2860" s="460">
        <v>2</v>
      </c>
      <c r="G2860" s="460">
        <v>2</v>
      </c>
      <c r="H2860" s="461" t="s">
        <v>712</v>
      </c>
      <c r="I2860" s="461" t="s">
        <v>713</v>
      </c>
      <c r="J2860" s="461" t="s">
        <v>712</v>
      </c>
      <c r="K2860" s="594"/>
      <c r="L2860" s="594"/>
      <c r="M2860" s="352">
        <v>8000</v>
      </c>
      <c r="N2860" s="352" t="s">
        <v>760</v>
      </c>
      <c r="O2860" s="460">
        <v>3211</v>
      </c>
      <c r="P2860" s="460" t="s">
        <v>745</v>
      </c>
      <c r="Q2860" s="460" t="s">
        <v>2280</v>
      </c>
      <c r="R2860" s="460">
        <v>3211</v>
      </c>
      <c r="S2860" s="460" t="s">
        <v>2296</v>
      </c>
      <c r="T2860" s="462">
        <v>0.55517361979372948</v>
      </c>
      <c r="U2860" s="460" t="s">
        <v>2299</v>
      </c>
      <c r="V2860" s="475">
        <v>0</v>
      </c>
      <c r="W2860" s="463" t="s">
        <v>713</v>
      </c>
      <c r="X2860" s="463" t="s">
        <v>713</v>
      </c>
      <c r="Y2860" s="463" t="s">
        <v>713</v>
      </c>
      <c r="Z2860" s="463"/>
      <c r="AA2860" s="463"/>
      <c r="AB2860" s="464">
        <v>389.49932967417629</v>
      </c>
      <c r="AC2860" s="465">
        <v>1</v>
      </c>
      <c r="AD2860" s="465">
        <v>4.5052423587976466E-3</v>
      </c>
      <c r="AE2860" s="476">
        <v>389.49932967417629</v>
      </c>
      <c r="AF2860" s="467">
        <v>1</v>
      </c>
      <c r="AG2860" s="468">
        <v>4.486567166682701E-3</v>
      </c>
      <c r="AH2860" s="218">
        <v>389.49932967417629</v>
      </c>
      <c r="AI2860" s="470">
        <v>1</v>
      </c>
      <c r="AJ2860" s="471">
        <v>4.5633356893489347E-3</v>
      </c>
      <c r="AK2860" s="218">
        <v>389.49932967417629</v>
      </c>
      <c r="AL2860" s="470">
        <v>1</v>
      </c>
      <c r="AM2860" s="471">
        <v>4.5633356893489347E-3</v>
      </c>
      <c r="AN2860" s="477">
        <v>389.49932967417629</v>
      </c>
      <c r="AO2860" s="473">
        <v>1</v>
      </c>
      <c r="AP2860" s="474">
        <v>4.5627596380338493E-3</v>
      </c>
      <c r="AQ2860" s="352"/>
      <c r="AR2860" s="352"/>
      <c r="AS2860" s="352"/>
      <c r="AT2860" s="352"/>
      <c r="AU2860" s="352"/>
      <c r="AV2860" s="352"/>
      <c r="AW2860" s="352" t="s">
        <v>254</v>
      </c>
    </row>
    <row r="2861" spans="2:49" x14ac:dyDescent="0.2">
      <c r="B2861" s="460" t="s">
        <v>3211</v>
      </c>
      <c r="C2861" s="460">
        <v>8000</v>
      </c>
      <c r="D2861" s="460" t="s">
        <v>2308</v>
      </c>
      <c r="E2861" s="460" t="s">
        <v>2302</v>
      </c>
      <c r="F2861" s="460">
        <v>3</v>
      </c>
      <c r="G2861" s="460">
        <v>2</v>
      </c>
      <c r="H2861" s="461" t="s">
        <v>712</v>
      </c>
      <c r="I2861" s="461" t="s">
        <v>713</v>
      </c>
      <c r="J2861" s="461" t="s">
        <v>712</v>
      </c>
      <c r="K2861" s="594"/>
      <c r="L2861" s="594"/>
      <c r="M2861" s="352">
        <v>8000</v>
      </c>
      <c r="N2861" s="352" t="s">
        <v>760</v>
      </c>
      <c r="O2861" s="460">
        <v>3211</v>
      </c>
      <c r="P2861" s="460" t="s">
        <v>745</v>
      </c>
      <c r="Q2861" s="460" t="s">
        <v>2280</v>
      </c>
      <c r="R2861" s="460">
        <v>3211</v>
      </c>
      <c r="S2861" s="460" t="s">
        <v>2296</v>
      </c>
      <c r="T2861" s="462">
        <v>0.28481449642268464</v>
      </c>
      <c r="U2861" s="460" t="s">
        <v>2302</v>
      </c>
      <c r="V2861" s="475">
        <v>0</v>
      </c>
      <c r="W2861" s="463" t="s">
        <v>713</v>
      </c>
      <c r="X2861" s="463" t="s">
        <v>713</v>
      </c>
      <c r="Y2861" s="463" t="s">
        <v>713</v>
      </c>
      <c r="Z2861" s="463"/>
      <c r="AA2861" s="463"/>
      <c r="AB2861" s="464">
        <v>961.04775489685983</v>
      </c>
      <c r="AC2861" s="465">
        <v>1</v>
      </c>
      <c r="AD2861" s="465">
        <v>2.7954477627643571E-2</v>
      </c>
      <c r="AE2861" s="476">
        <v>961.04775489685983</v>
      </c>
      <c r="AF2861" s="467">
        <v>1</v>
      </c>
      <c r="AG2861" s="468">
        <v>2.7906978451673951E-2</v>
      </c>
      <c r="AH2861" s="218">
        <v>961.04775489685983</v>
      </c>
      <c r="AI2861" s="470">
        <v>1</v>
      </c>
      <c r="AJ2861" s="471">
        <v>2.832455140498668E-2</v>
      </c>
      <c r="AK2861" s="218">
        <v>961.04775489685983</v>
      </c>
      <c r="AL2861" s="470">
        <v>1</v>
      </c>
      <c r="AM2861" s="471">
        <v>2.832455140498668E-2</v>
      </c>
      <c r="AN2861" s="477">
        <v>961.04775489685983</v>
      </c>
      <c r="AO2861" s="473">
        <v>1</v>
      </c>
      <c r="AP2861" s="474">
        <v>2.8349181175294218E-2</v>
      </c>
      <c r="AQ2861" s="352"/>
      <c r="AR2861" s="352"/>
      <c r="AS2861" s="352"/>
      <c r="AT2861" s="352"/>
      <c r="AU2861" s="352"/>
      <c r="AV2861" s="352"/>
      <c r="AW2861" s="352" t="s">
        <v>254</v>
      </c>
    </row>
    <row r="2862" spans="2:49" x14ac:dyDescent="0.2">
      <c r="B2862" s="460" t="s">
        <v>3212</v>
      </c>
      <c r="C2862" s="460">
        <v>8000</v>
      </c>
      <c r="D2862" s="460" t="s">
        <v>2309</v>
      </c>
      <c r="E2862" s="460" t="s">
        <v>2305</v>
      </c>
      <c r="F2862" s="460">
        <v>4</v>
      </c>
      <c r="G2862" s="460">
        <v>2</v>
      </c>
      <c r="H2862" s="461" t="s">
        <v>712</v>
      </c>
      <c r="I2862" s="461" t="s">
        <v>713</v>
      </c>
      <c r="J2862" s="461" t="s">
        <v>712</v>
      </c>
      <c r="K2862" s="594"/>
      <c r="L2862" s="594"/>
      <c r="M2862" s="352">
        <v>8000</v>
      </c>
      <c r="N2862" s="352" t="s">
        <v>760</v>
      </c>
      <c r="O2862" s="460">
        <v>3211</v>
      </c>
      <c r="P2862" s="460" t="s">
        <v>745</v>
      </c>
      <c r="Q2862" s="460" t="s">
        <v>2280</v>
      </c>
      <c r="R2862" s="460">
        <v>3211</v>
      </c>
      <c r="S2862" s="460" t="s">
        <v>2305</v>
      </c>
      <c r="T2862" s="462">
        <v>1</v>
      </c>
      <c r="U2862" s="460" t="s">
        <v>2305</v>
      </c>
      <c r="V2862" s="475">
        <v>0</v>
      </c>
      <c r="W2862" s="463" t="s">
        <v>713</v>
      </c>
      <c r="X2862" s="463" t="s">
        <v>713</v>
      </c>
      <c r="Y2862" s="463" t="s">
        <v>713</v>
      </c>
      <c r="Z2862" s="463"/>
      <c r="AA2862" s="463"/>
      <c r="AB2862" s="464">
        <v>1091.4690579277092</v>
      </c>
      <c r="AC2862" s="465">
        <v>1</v>
      </c>
      <c r="AD2862" s="465">
        <v>2.7876013231059302E-2</v>
      </c>
      <c r="AE2862" s="476">
        <v>1091.4690579277092</v>
      </c>
      <c r="AF2862" s="467">
        <v>1</v>
      </c>
      <c r="AG2862" s="468">
        <v>2.7875119069282896E-2</v>
      </c>
      <c r="AH2862" s="218">
        <v>1091.4690579277092</v>
      </c>
      <c r="AI2862" s="470">
        <v>1</v>
      </c>
      <c r="AJ2862" s="471">
        <v>2.7875152812949944E-2</v>
      </c>
      <c r="AK2862" s="218">
        <v>1091.4690579277092</v>
      </c>
      <c r="AL2862" s="470">
        <v>1</v>
      </c>
      <c r="AM2862" s="471">
        <v>2.7875152812949944E-2</v>
      </c>
      <c r="AN2862" s="477">
        <v>1091.4690579277092</v>
      </c>
      <c r="AO2862" s="473">
        <v>1</v>
      </c>
      <c r="AP2862" s="474">
        <v>2.7875186909805352E-2</v>
      </c>
      <c r="AQ2862" s="352"/>
      <c r="AR2862" s="352"/>
      <c r="AS2862" s="352"/>
      <c r="AT2862" s="352"/>
      <c r="AU2862" s="352"/>
      <c r="AV2862" s="352"/>
      <c r="AW2862" s="352" t="s">
        <v>254</v>
      </c>
    </row>
    <row r="2863" spans="2:49" x14ac:dyDescent="0.2">
      <c r="B2863" s="460" t="s">
        <v>3209</v>
      </c>
      <c r="C2863" s="460">
        <v>8000</v>
      </c>
      <c r="D2863" s="460" t="s">
        <v>2310</v>
      </c>
      <c r="E2863" s="460" t="s">
        <v>2296</v>
      </c>
      <c r="F2863" s="460">
        <v>1</v>
      </c>
      <c r="G2863" s="460">
        <v>2</v>
      </c>
      <c r="H2863" s="461" t="s">
        <v>746</v>
      </c>
      <c r="I2863" s="461" t="s">
        <v>762</v>
      </c>
      <c r="J2863" s="461" t="s">
        <v>700</v>
      </c>
      <c r="K2863" s="594"/>
      <c r="L2863" s="594"/>
      <c r="M2863" s="352">
        <v>8000</v>
      </c>
      <c r="N2863" s="352" t="s">
        <v>760</v>
      </c>
      <c r="O2863" s="460">
        <v>3211</v>
      </c>
      <c r="P2863" s="460" t="s">
        <v>745</v>
      </c>
      <c r="Q2863" s="460" t="s">
        <v>2553</v>
      </c>
      <c r="R2863" s="460">
        <v>3211</v>
      </c>
      <c r="S2863" s="460" t="s">
        <v>2296</v>
      </c>
      <c r="T2863" s="462">
        <v>1</v>
      </c>
      <c r="U2863" s="460" t="s">
        <v>2296</v>
      </c>
      <c r="V2863" s="475">
        <v>0</v>
      </c>
      <c r="W2863" s="463" t="s">
        <v>2268</v>
      </c>
      <c r="X2863" s="463" t="s">
        <v>2268</v>
      </c>
      <c r="Y2863" s="463" t="s">
        <v>2554</v>
      </c>
      <c r="Z2863" s="463"/>
      <c r="AA2863" s="463"/>
      <c r="AB2863" s="464">
        <v>0</v>
      </c>
      <c r="AC2863" s="465">
        <v>0</v>
      </c>
      <c r="AD2863" s="465">
        <v>0</v>
      </c>
      <c r="AE2863" s="476">
        <v>0</v>
      </c>
      <c r="AF2863" s="467">
        <v>0</v>
      </c>
      <c r="AG2863" s="468">
        <v>0</v>
      </c>
      <c r="AH2863" s="218">
        <v>0</v>
      </c>
      <c r="AI2863" s="470">
        <v>0</v>
      </c>
      <c r="AJ2863" s="471">
        <v>0</v>
      </c>
      <c r="AK2863" s="218">
        <v>0</v>
      </c>
      <c r="AL2863" s="470">
        <v>0</v>
      </c>
      <c r="AM2863" s="471">
        <v>0</v>
      </c>
      <c r="AN2863" s="477">
        <v>0</v>
      </c>
      <c r="AO2863" s="473">
        <v>0</v>
      </c>
      <c r="AP2863" s="474">
        <v>0</v>
      </c>
      <c r="AQ2863" s="352"/>
      <c r="AR2863" s="352"/>
      <c r="AS2863" s="352"/>
      <c r="AT2863" s="352"/>
      <c r="AU2863" s="352"/>
      <c r="AV2863" s="352"/>
      <c r="AW2863" s="352" t="s">
        <v>254</v>
      </c>
    </row>
    <row r="2864" spans="2:49" x14ac:dyDescent="0.2">
      <c r="B2864" s="460" t="s">
        <v>3210</v>
      </c>
      <c r="C2864" s="460">
        <v>8000</v>
      </c>
      <c r="D2864" s="460" t="s">
        <v>2311</v>
      </c>
      <c r="E2864" s="460" t="s">
        <v>2299</v>
      </c>
      <c r="F2864" s="460">
        <v>2</v>
      </c>
      <c r="G2864" s="460">
        <v>2</v>
      </c>
      <c r="H2864" s="461" t="s">
        <v>746</v>
      </c>
      <c r="I2864" s="461" t="s">
        <v>762</v>
      </c>
      <c r="J2864" s="461" t="s">
        <v>700</v>
      </c>
      <c r="K2864" s="594"/>
      <c r="L2864" s="594"/>
      <c r="M2864" s="352">
        <v>8000</v>
      </c>
      <c r="N2864" s="352" t="s">
        <v>760</v>
      </c>
      <c r="O2864" s="460">
        <v>3211</v>
      </c>
      <c r="P2864" s="460" t="s">
        <v>745</v>
      </c>
      <c r="Q2864" s="460" t="s">
        <v>2553</v>
      </c>
      <c r="R2864" s="460">
        <v>3211</v>
      </c>
      <c r="S2864" s="460" t="s">
        <v>2296</v>
      </c>
      <c r="T2864" s="462">
        <v>0.55517361979372948</v>
      </c>
      <c r="U2864" s="460" t="s">
        <v>2299</v>
      </c>
      <c r="V2864" s="475">
        <v>0</v>
      </c>
      <c r="W2864" s="463" t="s">
        <v>2268</v>
      </c>
      <c r="X2864" s="463" t="s">
        <v>2268</v>
      </c>
      <c r="Y2864" s="463" t="s">
        <v>2554</v>
      </c>
      <c r="Z2864" s="463"/>
      <c r="AA2864" s="463"/>
      <c r="AB2864" s="464">
        <v>0</v>
      </c>
      <c r="AC2864" s="465">
        <v>0</v>
      </c>
      <c r="AD2864" s="465">
        <v>0</v>
      </c>
      <c r="AE2864" s="476">
        <v>0</v>
      </c>
      <c r="AF2864" s="467">
        <v>0</v>
      </c>
      <c r="AG2864" s="468">
        <v>0</v>
      </c>
      <c r="AH2864" s="218">
        <v>0</v>
      </c>
      <c r="AI2864" s="470">
        <v>0</v>
      </c>
      <c r="AJ2864" s="471">
        <v>0</v>
      </c>
      <c r="AK2864" s="218">
        <v>0</v>
      </c>
      <c r="AL2864" s="470">
        <v>0</v>
      </c>
      <c r="AM2864" s="471">
        <v>0</v>
      </c>
      <c r="AN2864" s="477">
        <v>0</v>
      </c>
      <c r="AO2864" s="473">
        <v>0</v>
      </c>
      <c r="AP2864" s="474">
        <v>0</v>
      </c>
      <c r="AQ2864" s="352"/>
      <c r="AR2864" s="352"/>
      <c r="AS2864" s="352"/>
      <c r="AT2864" s="352"/>
      <c r="AU2864" s="352"/>
      <c r="AV2864" s="352"/>
      <c r="AW2864" s="352" t="s">
        <v>254</v>
      </c>
    </row>
    <row r="2865" spans="2:49" x14ac:dyDescent="0.2">
      <c r="B2865" s="460" t="s">
        <v>3211</v>
      </c>
      <c r="C2865" s="460">
        <v>8000</v>
      </c>
      <c r="D2865" s="460" t="s">
        <v>2312</v>
      </c>
      <c r="E2865" s="460" t="s">
        <v>2302</v>
      </c>
      <c r="F2865" s="460">
        <v>3</v>
      </c>
      <c r="G2865" s="460">
        <v>2</v>
      </c>
      <c r="H2865" s="461" t="s">
        <v>746</v>
      </c>
      <c r="I2865" s="461" t="s">
        <v>762</v>
      </c>
      <c r="J2865" s="461" t="s">
        <v>700</v>
      </c>
      <c r="K2865" s="594"/>
      <c r="L2865" s="594"/>
      <c r="M2865" s="352">
        <v>8000</v>
      </c>
      <c r="N2865" s="352" t="s">
        <v>760</v>
      </c>
      <c r="O2865" s="460">
        <v>3211</v>
      </c>
      <c r="P2865" s="460" t="s">
        <v>745</v>
      </c>
      <c r="Q2865" s="460" t="s">
        <v>2553</v>
      </c>
      <c r="R2865" s="460">
        <v>3211</v>
      </c>
      <c r="S2865" s="460" t="s">
        <v>2296</v>
      </c>
      <c r="T2865" s="462">
        <v>0.28481449642268464</v>
      </c>
      <c r="U2865" s="460" t="s">
        <v>2302</v>
      </c>
      <c r="V2865" s="475">
        <v>0</v>
      </c>
      <c r="W2865" s="463" t="s">
        <v>2268</v>
      </c>
      <c r="X2865" s="463" t="s">
        <v>2268</v>
      </c>
      <c r="Y2865" s="463" t="s">
        <v>2554</v>
      </c>
      <c r="Z2865" s="463"/>
      <c r="AA2865" s="463"/>
      <c r="AB2865" s="464">
        <v>0</v>
      </c>
      <c r="AC2865" s="465">
        <v>0</v>
      </c>
      <c r="AD2865" s="465">
        <v>0</v>
      </c>
      <c r="AE2865" s="476">
        <v>0</v>
      </c>
      <c r="AF2865" s="467">
        <v>0</v>
      </c>
      <c r="AG2865" s="468">
        <v>0</v>
      </c>
      <c r="AH2865" s="218">
        <v>0</v>
      </c>
      <c r="AI2865" s="470">
        <v>0</v>
      </c>
      <c r="AJ2865" s="471">
        <v>0</v>
      </c>
      <c r="AK2865" s="218">
        <v>0</v>
      </c>
      <c r="AL2865" s="470">
        <v>0</v>
      </c>
      <c r="AM2865" s="471">
        <v>0</v>
      </c>
      <c r="AN2865" s="477">
        <v>0</v>
      </c>
      <c r="AO2865" s="473">
        <v>0</v>
      </c>
      <c r="AP2865" s="474">
        <v>0</v>
      </c>
      <c r="AQ2865" s="352"/>
      <c r="AR2865" s="352"/>
      <c r="AS2865" s="352"/>
      <c r="AT2865" s="352"/>
      <c r="AU2865" s="352"/>
      <c r="AV2865" s="352"/>
      <c r="AW2865" s="352" t="s">
        <v>254</v>
      </c>
    </row>
    <row r="2866" spans="2:49" x14ac:dyDescent="0.2">
      <c r="B2866" s="460" t="s">
        <v>3212</v>
      </c>
      <c r="C2866" s="460">
        <v>8000</v>
      </c>
      <c r="D2866" s="460" t="s">
        <v>2313</v>
      </c>
      <c r="E2866" s="460" t="s">
        <v>2305</v>
      </c>
      <c r="F2866" s="460">
        <v>4</v>
      </c>
      <c r="G2866" s="460">
        <v>2</v>
      </c>
      <c r="H2866" s="461" t="s">
        <v>746</v>
      </c>
      <c r="I2866" s="461" t="s">
        <v>762</v>
      </c>
      <c r="J2866" s="461" t="s">
        <v>700</v>
      </c>
      <c r="K2866" s="594"/>
      <c r="L2866" s="594"/>
      <c r="M2866" s="352">
        <v>8000</v>
      </c>
      <c r="N2866" s="352" t="s">
        <v>760</v>
      </c>
      <c r="O2866" s="460">
        <v>3211</v>
      </c>
      <c r="P2866" s="460" t="s">
        <v>745</v>
      </c>
      <c r="Q2866" s="460" t="s">
        <v>2553</v>
      </c>
      <c r="R2866" s="460">
        <v>3211</v>
      </c>
      <c r="S2866" s="460" t="s">
        <v>2305</v>
      </c>
      <c r="T2866" s="462">
        <v>1</v>
      </c>
      <c r="U2866" s="460" t="s">
        <v>2305</v>
      </c>
      <c r="V2866" s="475">
        <v>0</v>
      </c>
      <c r="W2866" s="463" t="s">
        <v>2268</v>
      </c>
      <c r="X2866" s="463" t="s">
        <v>2268</v>
      </c>
      <c r="Y2866" s="463" t="s">
        <v>2554</v>
      </c>
      <c r="Z2866" s="463"/>
      <c r="AA2866" s="463"/>
      <c r="AB2866" s="464">
        <v>0</v>
      </c>
      <c r="AC2866" s="465">
        <v>0</v>
      </c>
      <c r="AD2866" s="465">
        <v>0</v>
      </c>
      <c r="AE2866" s="476">
        <v>0</v>
      </c>
      <c r="AF2866" s="467">
        <v>0</v>
      </c>
      <c r="AG2866" s="468">
        <v>0</v>
      </c>
      <c r="AH2866" s="218">
        <v>0</v>
      </c>
      <c r="AI2866" s="470">
        <v>0</v>
      </c>
      <c r="AJ2866" s="471">
        <v>0</v>
      </c>
      <c r="AK2866" s="218">
        <v>0</v>
      </c>
      <c r="AL2866" s="470">
        <v>0</v>
      </c>
      <c r="AM2866" s="471">
        <v>0</v>
      </c>
      <c r="AN2866" s="477">
        <v>0</v>
      </c>
      <c r="AO2866" s="473">
        <v>0</v>
      </c>
      <c r="AP2866" s="474">
        <v>0</v>
      </c>
      <c r="AQ2866" s="352"/>
      <c r="AR2866" s="352"/>
      <c r="AS2866" s="352"/>
      <c r="AT2866" s="352"/>
      <c r="AU2866" s="352"/>
      <c r="AV2866" s="352"/>
      <c r="AW2866" s="352" t="s">
        <v>254</v>
      </c>
    </row>
    <row r="2867" spans="2:49" x14ac:dyDescent="0.2">
      <c r="B2867" s="460" t="s">
        <v>3209</v>
      </c>
      <c r="C2867" s="460">
        <v>8000</v>
      </c>
      <c r="D2867" s="460" t="s">
        <v>2314</v>
      </c>
      <c r="E2867" s="460" t="s">
        <v>2296</v>
      </c>
      <c r="F2867" s="460">
        <v>1</v>
      </c>
      <c r="G2867" s="460">
        <v>2</v>
      </c>
      <c r="H2867" s="461" t="s">
        <v>748</v>
      </c>
      <c r="I2867" s="461" t="s">
        <v>765</v>
      </c>
      <c r="J2867" s="461" t="s">
        <v>700</v>
      </c>
      <c r="K2867" s="594"/>
      <c r="L2867" s="594"/>
      <c r="M2867" s="352">
        <v>8000</v>
      </c>
      <c r="N2867" s="352" t="s">
        <v>760</v>
      </c>
      <c r="O2867" s="460">
        <v>3211</v>
      </c>
      <c r="P2867" s="460" t="s">
        <v>745</v>
      </c>
      <c r="Q2867" s="460" t="s">
        <v>2553</v>
      </c>
      <c r="R2867" s="460">
        <v>3211</v>
      </c>
      <c r="S2867" s="460" t="s">
        <v>2296</v>
      </c>
      <c r="T2867" s="462">
        <v>1</v>
      </c>
      <c r="U2867" s="460" t="s">
        <v>2296</v>
      </c>
      <c r="V2867" s="475">
        <v>0</v>
      </c>
      <c r="W2867" s="463" t="s">
        <v>2268</v>
      </c>
      <c r="X2867" s="463" t="s">
        <v>2268</v>
      </c>
      <c r="Y2867" s="463" t="s">
        <v>2554</v>
      </c>
      <c r="Z2867" s="463"/>
      <c r="AA2867" s="463"/>
      <c r="AB2867" s="464">
        <v>0</v>
      </c>
      <c r="AC2867" s="465">
        <v>0</v>
      </c>
      <c r="AD2867" s="465">
        <v>0</v>
      </c>
      <c r="AE2867" s="476">
        <v>0</v>
      </c>
      <c r="AF2867" s="467">
        <v>0</v>
      </c>
      <c r="AG2867" s="468">
        <v>0</v>
      </c>
      <c r="AH2867" s="218">
        <v>0</v>
      </c>
      <c r="AI2867" s="470">
        <v>0</v>
      </c>
      <c r="AJ2867" s="471">
        <v>0</v>
      </c>
      <c r="AK2867" s="218">
        <v>0</v>
      </c>
      <c r="AL2867" s="470">
        <v>0</v>
      </c>
      <c r="AM2867" s="471">
        <v>0</v>
      </c>
      <c r="AN2867" s="477">
        <v>0</v>
      </c>
      <c r="AO2867" s="473">
        <v>0</v>
      </c>
      <c r="AP2867" s="474">
        <v>0</v>
      </c>
      <c r="AQ2867" s="352"/>
      <c r="AR2867" s="352"/>
      <c r="AS2867" s="352"/>
      <c r="AT2867" s="352"/>
      <c r="AU2867" s="352"/>
      <c r="AV2867" s="352"/>
      <c r="AW2867" s="352" t="s">
        <v>254</v>
      </c>
    </row>
    <row r="2868" spans="2:49" x14ac:dyDescent="0.2">
      <c r="B2868" s="460" t="s">
        <v>3210</v>
      </c>
      <c r="C2868" s="460">
        <v>8000</v>
      </c>
      <c r="D2868" s="460" t="s">
        <v>2315</v>
      </c>
      <c r="E2868" s="460" t="s">
        <v>2299</v>
      </c>
      <c r="F2868" s="460">
        <v>2</v>
      </c>
      <c r="G2868" s="460">
        <v>2</v>
      </c>
      <c r="H2868" s="461" t="s">
        <v>748</v>
      </c>
      <c r="I2868" s="461" t="s">
        <v>765</v>
      </c>
      <c r="J2868" s="461" t="s">
        <v>700</v>
      </c>
      <c r="K2868" s="594"/>
      <c r="L2868" s="594"/>
      <c r="M2868" s="352">
        <v>8000</v>
      </c>
      <c r="N2868" s="352" t="s">
        <v>760</v>
      </c>
      <c r="O2868" s="460">
        <v>3211</v>
      </c>
      <c r="P2868" s="460" t="s">
        <v>745</v>
      </c>
      <c r="Q2868" s="460" t="s">
        <v>2553</v>
      </c>
      <c r="R2868" s="460">
        <v>3211</v>
      </c>
      <c r="S2868" s="460" t="s">
        <v>2296</v>
      </c>
      <c r="T2868" s="462">
        <v>0.55517361979372948</v>
      </c>
      <c r="U2868" s="460" t="s">
        <v>2299</v>
      </c>
      <c r="V2868" s="475">
        <v>0</v>
      </c>
      <c r="W2868" s="463" t="s">
        <v>2268</v>
      </c>
      <c r="X2868" s="463" t="s">
        <v>2268</v>
      </c>
      <c r="Y2868" s="463" t="s">
        <v>2554</v>
      </c>
      <c r="Z2868" s="463"/>
      <c r="AA2868" s="463"/>
      <c r="AB2868" s="464">
        <v>0</v>
      </c>
      <c r="AC2868" s="465">
        <v>0</v>
      </c>
      <c r="AD2868" s="465">
        <v>0</v>
      </c>
      <c r="AE2868" s="476">
        <v>0</v>
      </c>
      <c r="AF2868" s="467">
        <v>0</v>
      </c>
      <c r="AG2868" s="468">
        <v>0</v>
      </c>
      <c r="AH2868" s="218">
        <v>0</v>
      </c>
      <c r="AI2868" s="470">
        <v>0</v>
      </c>
      <c r="AJ2868" s="471">
        <v>0</v>
      </c>
      <c r="AK2868" s="218">
        <v>0</v>
      </c>
      <c r="AL2868" s="470">
        <v>0</v>
      </c>
      <c r="AM2868" s="471">
        <v>0</v>
      </c>
      <c r="AN2868" s="477">
        <v>0</v>
      </c>
      <c r="AO2868" s="473">
        <v>0</v>
      </c>
      <c r="AP2868" s="474">
        <v>0</v>
      </c>
      <c r="AQ2868" s="352"/>
      <c r="AR2868" s="352"/>
      <c r="AS2868" s="352"/>
      <c r="AT2868" s="352"/>
      <c r="AU2868" s="352"/>
      <c r="AV2868" s="352"/>
      <c r="AW2868" s="352" t="s">
        <v>254</v>
      </c>
    </row>
    <row r="2869" spans="2:49" x14ac:dyDescent="0.2">
      <c r="B2869" s="460" t="s">
        <v>3211</v>
      </c>
      <c r="C2869" s="460">
        <v>8000</v>
      </c>
      <c r="D2869" s="460" t="s">
        <v>2316</v>
      </c>
      <c r="E2869" s="460" t="s">
        <v>2302</v>
      </c>
      <c r="F2869" s="460">
        <v>3</v>
      </c>
      <c r="G2869" s="460">
        <v>2</v>
      </c>
      <c r="H2869" s="461" t="s">
        <v>748</v>
      </c>
      <c r="I2869" s="461" t="s">
        <v>765</v>
      </c>
      <c r="J2869" s="461" t="s">
        <v>700</v>
      </c>
      <c r="K2869" s="594"/>
      <c r="L2869" s="594"/>
      <c r="M2869" s="352">
        <v>8000</v>
      </c>
      <c r="N2869" s="352" t="s">
        <v>760</v>
      </c>
      <c r="O2869" s="460">
        <v>3211</v>
      </c>
      <c r="P2869" s="460" t="s">
        <v>745</v>
      </c>
      <c r="Q2869" s="460" t="s">
        <v>2553</v>
      </c>
      <c r="R2869" s="460">
        <v>3211</v>
      </c>
      <c r="S2869" s="460" t="s">
        <v>2296</v>
      </c>
      <c r="T2869" s="462">
        <v>0.28481449642268464</v>
      </c>
      <c r="U2869" s="460" t="s">
        <v>2302</v>
      </c>
      <c r="V2869" s="475">
        <v>0</v>
      </c>
      <c r="W2869" s="463" t="s">
        <v>2268</v>
      </c>
      <c r="X2869" s="463" t="s">
        <v>2268</v>
      </c>
      <c r="Y2869" s="463" t="s">
        <v>2554</v>
      </c>
      <c r="Z2869" s="463"/>
      <c r="AA2869" s="463"/>
      <c r="AB2869" s="464">
        <v>0</v>
      </c>
      <c r="AC2869" s="465">
        <v>0</v>
      </c>
      <c r="AD2869" s="465">
        <v>0</v>
      </c>
      <c r="AE2869" s="476">
        <v>0</v>
      </c>
      <c r="AF2869" s="467">
        <v>0</v>
      </c>
      <c r="AG2869" s="468">
        <v>0</v>
      </c>
      <c r="AH2869" s="218">
        <v>0</v>
      </c>
      <c r="AI2869" s="470">
        <v>0</v>
      </c>
      <c r="AJ2869" s="471">
        <v>0</v>
      </c>
      <c r="AK2869" s="218">
        <v>0</v>
      </c>
      <c r="AL2869" s="470">
        <v>0</v>
      </c>
      <c r="AM2869" s="471">
        <v>0</v>
      </c>
      <c r="AN2869" s="477">
        <v>0</v>
      </c>
      <c r="AO2869" s="473">
        <v>0</v>
      </c>
      <c r="AP2869" s="474">
        <v>0</v>
      </c>
      <c r="AQ2869" s="352"/>
      <c r="AR2869" s="352"/>
      <c r="AS2869" s="352"/>
      <c r="AT2869" s="352"/>
      <c r="AU2869" s="352"/>
      <c r="AV2869" s="352"/>
      <c r="AW2869" s="352" t="s">
        <v>254</v>
      </c>
    </row>
    <row r="2870" spans="2:49" x14ac:dyDescent="0.2">
      <c r="B2870" s="460" t="s">
        <v>3212</v>
      </c>
      <c r="C2870" s="460">
        <v>8000</v>
      </c>
      <c r="D2870" s="460" t="s">
        <v>2317</v>
      </c>
      <c r="E2870" s="460" t="s">
        <v>2305</v>
      </c>
      <c r="F2870" s="460">
        <v>4</v>
      </c>
      <c r="G2870" s="460">
        <v>2</v>
      </c>
      <c r="H2870" s="461" t="s">
        <v>748</v>
      </c>
      <c r="I2870" s="461" t="s">
        <v>765</v>
      </c>
      <c r="J2870" s="461" t="s">
        <v>700</v>
      </c>
      <c r="K2870" s="594"/>
      <c r="L2870" s="594"/>
      <c r="M2870" s="352">
        <v>8000</v>
      </c>
      <c r="N2870" s="352" t="s">
        <v>760</v>
      </c>
      <c r="O2870" s="460">
        <v>3211</v>
      </c>
      <c r="P2870" s="460" t="s">
        <v>745</v>
      </c>
      <c r="Q2870" s="460" t="s">
        <v>2553</v>
      </c>
      <c r="R2870" s="460">
        <v>3211</v>
      </c>
      <c r="S2870" s="460" t="s">
        <v>2305</v>
      </c>
      <c r="T2870" s="462">
        <v>1</v>
      </c>
      <c r="U2870" s="460" t="s">
        <v>2305</v>
      </c>
      <c r="V2870" s="475">
        <v>0</v>
      </c>
      <c r="W2870" s="463" t="s">
        <v>2268</v>
      </c>
      <c r="X2870" s="463" t="s">
        <v>2268</v>
      </c>
      <c r="Y2870" s="463" t="s">
        <v>2554</v>
      </c>
      <c r="Z2870" s="463"/>
      <c r="AA2870" s="463"/>
      <c r="AB2870" s="464">
        <v>0</v>
      </c>
      <c r="AC2870" s="465">
        <v>0</v>
      </c>
      <c r="AD2870" s="465">
        <v>0</v>
      </c>
      <c r="AE2870" s="476">
        <v>0</v>
      </c>
      <c r="AF2870" s="467">
        <v>0</v>
      </c>
      <c r="AG2870" s="468">
        <v>0</v>
      </c>
      <c r="AH2870" s="218">
        <v>0</v>
      </c>
      <c r="AI2870" s="470">
        <v>0</v>
      </c>
      <c r="AJ2870" s="471">
        <v>0</v>
      </c>
      <c r="AK2870" s="218">
        <v>0</v>
      </c>
      <c r="AL2870" s="470">
        <v>0</v>
      </c>
      <c r="AM2870" s="471">
        <v>0</v>
      </c>
      <c r="AN2870" s="477">
        <v>0</v>
      </c>
      <c r="AO2870" s="473">
        <v>0</v>
      </c>
      <c r="AP2870" s="474">
        <v>0</v>
      </c>
      <c r="AQ2870" s="352"/>
      <c r="AR2870" s="352"/>
      <c r="AS2870" s="352"/>
      <c r="AT2870" s="352"/>
      <c r="AU2870" s="352"/>
      <c r="AV2870" s="352"/>
      <c r="AW2870" s="352" t="s">
        <v>254</v>
      </c>
    </row>
    <row r="2871" spans="2:49" x14ac:dyDescent="0.2">
      <c r="B2871" s="460" t="s">
        <v>3213</v>
      </c>
      <c r="C2871" s="460">
        <v>8000</v>
      </c>
      <c r="D2871" s="460" t="s">
        <v>2323</v>
      </c>
      <c r="E2871" s="460" t="s">
        <v>2324</v>
      </c>
      <c r="F2871" s="460">
        <v>1</v>
      </c>
      <c r="G2871" s="460">
        <v>3</v>
      </c>
      <c r="H2871" s="461" t="s">
        <v>700</v>
      </c>
      <c r="I2871" s="461" t="s">
        <v>872</v>
      </c>
      <c r="J2871" s="461" t="s">
        <v>700</v>
      </c>
      <c r="K2871" s="594"/>
      <c r="L2871" s="594"/>
      <c r="M2871" s="352">
        <v>8000</v>
      </c>
      <c r="N2871" s="352" t="s">
        <v>760</v>
      </c>
      <c r="O2871" s="460">
        <v>3211</v>
      </c>
      <c r="P2871" s="460" t="s">
        <v>745</v>
      </c>
      <c r="Q2871" s="460" t="s">
        <v>2553</v>
      </c>
      <c r="R2871" s="460">
        <v>3211</v>
      </c>
      <c r="S2871" s="460" t="s">
        <v>2324</v>
      </c>
      <c r="T2871" s="462">
        <v>1</v>
      </c>
      <c r="U2871" s="460" t="s">
        <v>2324</v>
      </c>
      <c r="V2871" s="475">
        <v>0</v>
      </c>
      <c r="W2871" s="463" t="s">
        <v>2554</v>
      </c>
      <c r="X2871" s="463" t="s">
        <v>2554</v>
      </c>
      <c r="Y2871" s="463" t="s">
        <v>2268</v>
      </c>
      <c r="Z2871" s="463"/>
      <c r="AA2871" s="463"/>
      <c r="AB2871" s="464">
        <v>23.329927879949111</v>
      </c>
      <c r="AC2871" s="465">
        <v>7.0771657272895435E-3</v>
      </c>
      <c r="AD2871" s="465">
        <v>1.9999999999999996E-4</v>
      </c>
      <c r="AE2871" s="476">
        <v>13.997956727969465</v>
      </c>
      <c r="AF2871" s="467">
        <v>4.2462994363737256E-3</v>
      </c>
      <c r="AG2871" s="468">
        <v>1.2854377269010101E-4</v>
      </c>
      <c r="AH2871" s="218">
        <v>13.997956727969465</v>
      </c>
      <c r="AI2871" s="470">
        <v>4.2462994363737256E-3</v>
      </c>
      <c r="AJ2871" s="471">
        <v>1.2275099159522396E-4</v>
      </c>
      <c r="AK2871" s="218">
        <v>13.997956727969465</v>
      </c>
      <c r="AL2871" s="470">
        <v>4.2462994363737256E-3</v>
      </c>
      <c r="AM2871" s="471">
        <v>1.2275099159522396E-4</v>
      </c>
      <c r="AN2871" s="477">
        <v>0</v>
      </c>
      <c r="AO2871" s="473">
        <v>0</v>
      </c>
      <c r="AP2871" s="474">
        <v>0</v>
      </c>
      <c r="AQ2871" s="352"/>
      <c r="AR2871" s="352"/>
      <c r="AS2871" s="352"/>
      <c r="AT2871" s="352"/>
      <c r="AU2871" s="352"/>
      <c r="AV2871" s="352"/>
      <c r="AW2871" s="352" t="s">
        <v>254</v>
      </c>
    </row>
    <row r="2872" spans="2:49" x14ac:dyDescent="0.2">
      <c r="B2872" s="460" t="s">
        <v>3214</v>
      </c>
      <c r="C2872" s="460">
        <v>8000</v>
      </c>
      <c r="D2872" s="460" t="s">
        <v>2326</v>
      </c>
      <c r="E2872" s="460" t="s">
        <v>2327</v>
      </c>
      <c r="F2872" s="460">
        <v>2</v>
      </c>
      <c r="G2872" s="460">
        <v>3</v>
      </c>
      <c r="H2872" s="461" t="s">
        <v>700</v>
      </c>
      <c r="I2872" s="461" t="s">
        <v>872</v>
      </c>
      <c r="J2872" s="461" t="s">
        <v>700</v>
      </c>
      <c r="K2872" s="594"/>
      <c r="L2872" s="594"/>
      <c r="M2872" s="352">
        <v>8000</v>
      </c>
      <c r="N2872" s="352" t="s">
        <v>760</v>
      </c>
      <c r="O2872" s="460">
        <v>3211</v>
      </c>
      <c r="P2872" s="460" t="s">
        <v>745</v>
      </c>
      <c r="Q2872" s="460" t="s">
        <v>2553</v>
      </c>
      <c r="R2872" s="460">
        <v>3211</v>
      </c>
      <c r="S2872" s="460" t="s">
        <v>2324</v>
      </c>
      <c r="T2872" s="462">
        <v>1</v>
      </c>
      <c r="U2872" s="460" t="s">
        <v>2327</v>
      </c>
      <c r="V2872" s="475">
        <v>0</v>
      </c>
      <c r="W2872" s="463" t="s">
        <v>2554</v>
      </c>
      <c r="X2872" s="463" t="s">
        <v>2554</v>
      </c>
      <c r="Y2872" s="463" t="s">
        <v>2268</v>
      </c>
      <c r="Z2872" s="463"/>
      <c r="AA2872" s="463"/>
      <c r="AB2872" s="464">
        <v>13.541128184195568</v>
      </c>
      <c r="AC2872" s="465">
        <v>2.0724726385206115E-3</v>
      </c>
      <c r="AD2872" s="465">
        <v>2.0000000000000001E-4</v>
      </c>
      <c r="AE2872" s="476">
        <v>8.1246769105173389</v>
      </c>
      <c r="AF2872" s="467">
        <v>1.2434835831123669E-3</v>
      </c>
      <c r="AG2872" s="468">
        <v>1.299732970481018E-4</v>
      </c>
      <c r="AH2872" s="218">
        <v>27.74448449049676</v>
      </c>
      <c r="AI2872" s="470">
        <v>4.2462994363737256E-3</v>
      </c>
      <c r="AJ2872" s="471">
        <v>3.7352929089213286E-4</v>
      </c>
      <c r="AK2872" s="218">
        <v>27.74448449049676</v>
      </c>
      <c r="AL2872" s="470">
        <v>4.2462994363737256E-3</v>
      </c>
      <c r="AM2872" s="471">
        <v>3.7352929089213286E-4</v>
      </c>
      <c r="AN2872" s="477">
        <v>0</v>
      </c>
      <c r="AO2872" s="473">
        <v>0</v>
      </c>
      <c r="AP2872" s="474">
        <v>0</v>
      </c>
      <c r="AQ2872" s="352"/>
      <c r="AR2872" s="352"/>
      <c r="AS2872" s="352"/>
      <c r="AT2872" s="352"/>
      <c r="AU2872" s="352"/>
      <c r="AV2872" s="352"/>
      <c r="AW2872" s="352" t="s">
        <v>254</v>
      </c>
    </row>
    <row r="2873" spans="2:49" x14ac:dyDescent="0.2">
      <c r="B2873" s="460" t="s">
        <v>3215</v>
      </c>
      <c r="C2873" s="460">
        <v>8000</v>
      </c>
      <c r="D2873" s="460" t="s">
        <v>2329</v>
      </c>
      <c r="E2873" s="460" t="s">
        <v>2330</v>
      </c>
      <c r="F2873" s="460">
        <v>3</v>
      </c>
      <c r="G2873" s="460">
        <v>3</v>
      </c>
      <c r="H2873" s="461" t="s">
        <v>700</v>
      </c>
      <c r="I2873" s="461" t="s">
        <v>872</v>
      </c>
      <c r="J2873" s="461" t="s">
        <v>700</v>
      </c>
      <c r="K2873" s="594"/>
      <c r="L2873" s="594"/>
      <c r="M2873" s="352">
        <v>8000</v>
      </c>
      <c r="N2873" s="352" t="s">
        <v>760</v>
      </c>
      <c r="O2873" s="460">
        <v>3211</v>
      </c>
      <c r="P2873" s="460" t="s">
        <v>745</v>
      </c>
      <c r="Q2873" s="460" t="s">
        <v>2553</v>
      </c>
      <c r="R2873" s="460">
        <v>3211</v>
      </c>
      <c r="S2873" s="460" t="s">
        <v>2324</v>
      </c>
      <c r="T2873" s="462">
        <v>1</v>
      </c>
      <c r="U2873" s="460" t="s">
        <v>2330</v>
      </c>
      <c r="V2873" s="475">
        <v>0</v>
      </c>
      <c r="W2873" s="463" t="s">
        <v>2554</v>
      </c>
      <c r="X2873" s="463" t="s">
        <v>2554</v>
      </c>
      <c r="Y2873" s="463" t="s">
        <v>2268</v>
      </c>
      <c r="Z2873" s="463"/>
      <c r="AA2873" s="463"/>
      <c r="AB2873" s="464">
        <v>5.2964403349234317</v>
      </c>
      <c r="AC2873" s="465">
        <v>8.6899942170503934E-4</v>
      </c>
      <c r="AD2873" s="465">
        <v>2.0000000000000001E-4</v>
      </c>
      <c r="AE2873" s="476">
        <v>3.1778642009540587</v>
      </c>
      <c r="AF2873" s="467">
        <v>5.2139965302302354E-4</v>
      </c>
      <c r="AG2873" s="468">
        <v>1.2861153890063776E-4</v>
      </c>
      <c r="AH2873" s="218">
        <v>25.880651985757257</v>
      </c>
      <c r="AI2873" s="470">
        <v>4.2462994363737256E-3</v>
      </c>
      <c r="AJ2873" s="471">
        <v>9.1183611303453102E-4</v>
      </c>
      <c r="AK2873" s="218">
        <v>25.880651985757257</v>
      </c>
      <c r="AL2873" s="470">
        <v>4.2462994363737256E-3</v>
      </c>
      <c r="AM2873" s="471">
        <v>9.1183611303453102E-4</v>
      </c>
      <c r="AN2873" s="477">
        <v>0</v>
      </c>
      <c r="AO2873" s="473">
        <v>0</v>
      </c>
      <c r="AP2873" s="474">
        <v>0</v>
      </c>
      <c r="AQ2873" s="352"/>
      <c r="AR2873" s="352"/>
      <c r="AS2873" s="352"/>
      <c r="AT2873" s="352"/>
      <c r="AU2873" s="352"/>
      <c r="AV2873" s="352"/>
      <c r="AW2873" s="352" t="s">
        <v>254</v>
      </c>
    </row>
    <row r="2874" spans="2:49" x14ac:dyDescent="0.2">
      <c r="B2874" s="460" t="s">
        <v>3216</v>
      </c>
      <c r="C2874" s="460">
        <v>8000</v>
      </c>
      <c r="D2874" s="460" t="s">
        <v>2332</v>
      </c>
      <c r="E2874" s="460" t="s">
        <v>2333</v>
      </c>
      <c r="F2874" s="460">
        <v>4</v>
      </c>
      <c r="G2874" s="460">
        <v>3</v>
      </c>
      <c r="H2874" s="461" t="s">
        <v>700</v>
      </c>
      <c r="I2874" s="461" t="s">
        <v>872</v>
      </c>
      <c r="J2874" s="461" t="s">
        <v>700</v>
      </c>
      <c r="K2874" s="594"/>
      <c r="L2874" s="594"/>
      <c r="M2874" s="352">
        <v>8000</v>
      </c>
      <c r="N2874" s="352" t="s">
        <v>760</v>
      </c>
      <c r="O2874" s="460">
        <v>3211</v>
      </c>
      <c r="P2874" s="460" t="s">
        <v>745</v>
      </c>
      <c r="Q2874" s="460" t="s">
        <v>2553</v>
      </c>
      <c r="R2874" s="460">
        <v>3211</v>
      </c>
      <c r="S2874" s="460" t="s">
        <v>2333</v>
      </c>
      <c r="T2874" s="462">
        <v>1</v>
      </c>
      <c r="U2874" s="460" t="s">
        <v>2333</v>
      </c>
      <c r="V2874" s="475">
        <v>0</v>
      </c>
      <c r="W2874" s="463" t="s">
        <v>2554</v>
      </c>
      <c r="X2874" s="463" t="s">
        <v>2554</v>
      </c>
      <c r="Y2874" s="463" t="s">
        <v>2268</v>
      </c>
      <c r="Z2874" s="463"/>
      <c r="AA2874" s="463"/>
      <c r="AB2874" s="464">
        <v>2.8998726436695295</v>
      </c>
      <c r="AC2874" s="465">
        <v>4.1462335110185796E-4</v>
      </c>
      <c r="AD2874" s="465">
        <v>2.0000000000000001E-4</v>
      </c>
      <c r="AE2874" s="476">
        <v>1.7399235862017177</v>
      </c>
      <c r="AF2874" s="467">
        <v>2.4877401066111479E-4</v>
      </c>
      <c r="AG2874" s="468">
        <v>1.3243522089310275E-4</v>
      </c>
      <c r="AH2874" s="218">
        <v>1.7399235862017177</v>
      </c>
      <c r="AI2874" s="470">
        <v>2.4877401066111479E-4</v>
      </c>
      <c r="AJ2874" s="471">
        <v>1.2831313686432821E-4</v>
      </c>
      <c r="AK2874" s="218">
        <v>1.7399235862017177</v>
      </c>
      <c r="AL2874" s="470">
        <v>2.4877401066111479E-4</v>
      </c>
      <c r="AM2874" s="471">
        <v>1.2831313686432821E-4</v>
      </c>
      <c r="AN2874" s="477">
        <v>0</v>
      </c>
      <c r="AO2874" s="473">
        <v>0</v>
      </c>
      <c r="AP2874" s="474">
        <v>0</v>
      </c>
      <c r="AQ2874" s="352"/>
      <c r="AR2874" s="352"/>
      <c r="AS2874" s="352"/>
      <c r="AT2874" s="352"/>
      <c r="AU2874" s="352"/>
      <c r="AV2874" s="352"/>
      <c r="AW2874" s="352" t="s">
        <v>254</v>
      </c>
    </row>
    <row r="2875" spans="2:49" x14ac:dyDescent="0.2">
      <c r="B2875" s="460" t="s">
        <v>3213</v>
      </c>
      <c r="C2875" s="460">
        <v>8000</v>
      </c>
      <c r="D2875" s="460" t="s">
        <v>3161</v>
      </c>
      <c r="E2875" s="460" t="s">
        <v>2324</v>
      </c>
      <c r="F2875" s="460">
        <v>1</v>
      </c>
      <c r="G2875" s="460">
        <v>3</v>
      </c>
      <c r="H2875" s="461" t="s">
        <v>706</v>
      </c>
      <c r="I2875" s="461" t="s">
        <v>707</v>
      </c>
      <c r="J2875" s="461" t="s">
        <v>706</v>
      </c>
      <c r="K2875" s="594"/>
      <c r="L2875" s="594"/>
      <c r="M2875" s="352">
        <v>8000</v>
      </c>
      <c r="N2875" s="352" t="s">
        <v>760</v>
      </c>
      <c r="O2875" s="460">
        <v>3211</v>
      </c>
      <c r="P2875" s="460" t="s">
        <v>745</v>
      </c>
      <c r="Q2875" s="460" t="s">
        <v>2553</v>
      </c>
      <c r="R2875" s="460">
        <v>3211</v>
      </c>
      <c r="S2875" s="460" t="s">
        <v>2324</v>
      </c>
      <c r="T2875" s="462">
        <v>1</v>
      </c>
      <c r="U2875" s="460" t="s">
        <v>2324</v>
      </c>
      <c r="V2875" s="475">
        <v>0</v>
      </c>
      <c r="W2875" s="463" t="s">
        <v>2278</v>
      </c>
      <c r="X2875" s="463" t="s">
        <v>2278</v>
      </c>
      <c r="Y2875" s="463" t="s">
        <v>2278</v>
      </c>
      <c r="Z2875" s="463"/>
      <c r="AA2875" s="463"/>
      <c r="AB2875" s="464">
        <v>10.158889642423089</v>
      </c>
      <c r="AC2875" s="465">
        <v>3.0817131529353977E-3</v>
      </c>
      <c r="AD2875" s="465">
        <v>1.1486789646795934E-3</v>
      </c>
      <c r="AE2875" s="476">
        <v>10.158889642423089</v>
      </c>
      <c r="AF2875" s="467">
        <v>3.0817131529353977E-3</v>
      </c>
      <c r="AG2875" s="468">
        <v>1.1486789646795934E-3</v>
      </c>
      <c r="AH2875" s="218">
        <v>10.158889642423089</v>
      </c>
      <c r="AI2875" s="470">
        <v>3.0817131529353977E-3</v>
      </c>
      <c r="AJ2875" s="471">
        <v>1.1486789646795934E-3</v>
      </c>
      <c r="AK2875" s="218">
        <v>10.158889642423089</v>
      </c>
      <c r="AL2875" s="470">
        <v>3.0817131529353977E-3</v>
      </c>
      <c r="AM2875" s="471">
        <v>1.1486789646795934E-3</v>
      </c>
      <c r="AN2875" s="477">
        <v>10.158889642423089</v>
      </c>
      <c r="AO2875" s="473">
        <v>3.0817131529353977E-3</v>
      </c>
      <c r="AP2875" s="474">
        <v>1.1486789646795934E-3</v>
      </c>
      <c r="AQ2875" s="352"/>
      <c r="AR2875" s="352"/>
      <c r="AS2875" s="352"/>
      <c r="AT2875" s="352"/>
      <c r="AU2875" s="352"/>
      <c r="AV2875" s="352"/>
      <c r="AW2875" s="352" t="s">
        <v>254</v>
      </c>
    </row>
    <row r="2876" spans="2:49" x14ac:dyDescent="0.2">
      <c r="B2876" s="460" t="s">
        <v>3214</v>
      </c>
      <c r="C2876" s="460">
        <v>8000</v>
      </c>
      <c r="D2876" s="460" t="s">
        <v>3162</v>
      </c>
      <c r="E2876" s="460" t="s">
        <v>2327</v>
      </c>
      <c r="F2876" s="460">
        <v>2</v>
      </c>
      <c r="G2876" s="460">
        <v>3</v>
      </c>
      <c r="H2876" s="461" t="s">
        <v>706</v>
      </c>
      <c r="I2876" s="461" t="s">
        <v>707</v>
      </c>
      <c r="J2876" s="461" t="s">
        <v>706</v>
      </c>
      <c r="K2876" s="594"/>
      <c r="L2876" s="594"/>
      <c r="M2876" s="352">
        <v>8000</v>
      </c>
      <c r="N2876" s="352" t="s">
        <v>760</v>
      </c>
      <c r="O2876" s="460">
        <v>3211</v>
      </c>
      <c r="P2876" s="460" t="s">
        <v>745</v>
      </c>
      <c r="Q2876" s="460" t="s">
        <v>2553</v>
      </c>
      <c r="R2876" s="460">
        <v>3211</v>
      </c>
      <c r="S2876" s="460" t="s">
        <v>2324</v>
      </c>
      <c r="T2876" s="462">
        <v>1</v>
      </c>
      <c r="U2876" s="460" t="s">
        <v>2327</v>
      </c>
      <c r="V2876" s="475">
        <v>0</v>
      </c>
      <c r="W2876" s="463" t="s">
        <v>2278</v>
      </c>
      <c r="X2876" s="463" t="s">
        <v>2278</v>
      </c>
      <c r="Y2876" s="463" t="s">
        <v>2278</v>
      </c>
      <c r="Z2876" s="463"/>
      <c r="AA2876" s="463"/>
      <c r="AB2876" s="464">
        <v>0</v>
      </c>
      <c r="AC2876" s="465">
        <v>0</v>
      </c>
      <c r="AD2876" s="465">
        <v>0</v>
      </c>
      <c r="AE2876" s="476">
        <v>0</v>
      </c>
      <c r="AF2876" s="467">
        <v>0</v>
      </c>
      <c r="AG2876" s="468">
        <v>0</v>
      </c>
      <c r="AH2876" s="218">
        <v>0</v>
      </c>
      <c r="AI2876" s="470">
        <v>0</v>
      </c>
      <c r="AJ2876" s="471">
        <v>0</v>
      </c>
      <c r="AK2876" s="218">
        <v>0</v>
      </c>
      <c r="AL2876" s="470">
        <v>0</v>
      </c>
      <c r="AM2876" s="471">
        <v>0</v>
      </c>
      <c r="AN2876" s="477">
        <v>0</v>
      </c>
      <c r="AO2876" s="473">
        <v>0</v>
      </c>
      <c r="AP2876" s="474">
        <v>0</v>
      </c>
      <c r="AQ2876" s="352"/>
      <c r="AR2876" s="352"/>
      <c r="AS2876" s="352"/>
      <c r="AT2876" s="352"/>
      <c r="AU2876" s="352"/>
      <c r="AV2876" s="352"/>
      <c r="AW2876" s="352" t="s">
        <v>254</v>
      </c>
    </row>
    <row r="2877" spans="2:49" x14ac:dyDescent="0.2">
      <c r="B2877" s="460" t="s">
        <v>3215</v>
      </c>
      <c r="C2877" s="460">
        <v>8000</v>
      </c>
      <c r="D2877" s="460" t="s">
        <v>3163</v>
      </c>
      <c r="E2877" s="460" t="s">
        <v>2330</v>
      </c>
      <c r="F2877" s="460">
        <v>3</v>
      </c>
      <c r="G2877" s="460">
        <v>3</v>
      </c>
      <c r="H2877" s="461" t="s">
        <v>706</v>
      </c>
      <c r="I2877" s="461" t="s">
        <v>707</v>
      </c>
      <c r="J2877" s="461" t="s">
        <v>706</v>
      </c>
      <c r="K2877" s="594"/>
      <c r="L2877" s="594"/>
      <c r="M2877" s="352">
        <v>8000</v>
      </c>
      <c r="N2877" s="352" t="s">
        <v>760</v>
      </c>
      <c r="O2877" s="460">
        <v>3211</v>
      </c>
      <c r="P2877" s="460" t="s">
        <v>745</v>
      </c>
      <c r="Q2877" s="460" t="s">
        <v>2553</v>
      </c>
      <c r="R2877" s="460">
        <v>3211</v>
      </c>
      <c r="S2877" s="460" t="s">
        <v>2324</v>
      </c>
      <c r="T2877" s="462">
        <v>1</v>
      </c>
      <c r="U2877" s="460" t="s">
        <v>2330</v>
      </c>
      <c r="V2877" s="475">
        <v>0</v>
      </c>
      <c r="W2877" s="463" t="s">
        <v>2278</v>
      </c>
      <c r="X2877" s="463" t="s">
        <v>2278</v>
      </c>
      <c r="Y2877" s="463" t="s">
        <v>2278</v>
      </c>
      <c r="Z2877" s="463"/>
      <c r="AA2877" s="463"/>
      <c r="AB2877" s="464">
        <v>4.1404274582486418E-2</v>
      </c>
      <c r="AC2877" s="465">
        <v>6.7932967036468099E-6</v>
      </c>
      <c r="AD2877" s="465">
        <v>1.6305146783558098E-4</v>
      </c>
      <c r="AE2877" s="476">
        <v>4.1404274582486418E-2</v>
      </c>
      <c r="AF2877" s="467">
        <v>6.7932967036468099E-6</v>
      </c>
      <c r="AG2877" s="468">
        <v>1.6305146783558098E-4</v>
      </c>
      <c r="AH2877" s="218">
        <v>4.1404274582486418E-2</v>
      </c>
      <c r="AI2877" s="470">
        <v>6.7932967036468099E-6</v>
      </c>
      <c r="AJ2877" s="471">
        <v>5.1836051103842176E-5</v>
      </c>
      <c r="AK2877" s="218">
        <v>4.1404274582486418E-2</v>
      </c>
      <c r="AL2877" s="470">
        <v>6.7932967036468099E-6</v>
      </c>
      <c r="AM2877" s="471">
        <v>5.1836051103842176E-5</v>
      </c>
      <c r="AN2877" s="477">
        <v>4.1404274582486418E-2</v>
      </c>
      <c r="AO2877" s="473">
        <v>6.7932967036468099E-6</v>
      </c>
      <c r="AP2877" s="474">
        <v>5.1836051103842176E-5</v>
      </c>
      <c r="AQ2877" s="352"/>
      <c r="AR2877" s="352"/>
      <c r="AS2877" s="352"/>
      <c r="AT2877" s="352"/>
      <c r="AU2877" s="352"/>
      <c r="AV2877" s="352"/>
      <c r="AW2877" s="352" t="s">
        <v>254</v>
      </c>
    </row>
    <row r="2878" spans="2:49" x14ac:dyDescent="0.2">
      <c r="B2878" s="460" t="s">
        <v>3216</v>
      </c>
      <c r="C2878" s="460">
        <v>8000</v>
      </c>
      <c r="D2878" s="460" t="s">
        <v>3164</v>
      </c>
      <c r="E2878" s="460" t="s">
        <v>2333</v>
      </c>
      <c r="F2878" s="460">
        <v>4</v>
      </c>
      <c r="G2878" s="460">
        <v>3</v>
      </c>
      <c r="H2878" s="461" t="s">
        <v>706</v>
      </c>
      <c r="I2878" s="461" t="s">
        <v>707</v>
      </c>
      <c r="J2878" s="461" t="s">
        <v>706</v>
      </c>
      <c r="K2878" s="594"/>
      <c r="L2878" s="594"/>
      <c r="M2878" s="352">
        <v>8000</v>
      </c>
      <c r="N2878" s="352" t="s">
        <v>760</v>
      </c>
      <c r="O2878" s="460">
        <v>3211</v>
      </c>
      <c r="P2878" s="460" t="s">
        <v>745</v>
      </c>
      <c r="Q2878" s="460" t="s">
        <v>2553</v>
      </c>
      <c r="R2878" s="460">
        <v>3211</v>
      </c>
      <c r="S2878" s="460" t="s">
        <v>2333</v>
      </c>
      <c r="T2878" s="462">
        <v>1</v>
      </c>
      <c r="U2878" s="460" t="s">
        <v>2333</v>
      </c>
      <c r="V2878" s="475">
        <v>0</v>
      </c>
      <c r="W2878" s="463" t="s">
        <v>2554</v>
      </c>
      <c r="X2878" s="463" t="s">
        <v>2554</v>
      </c>
      <c r="Y2878" s="463" t="s">
        <v>2554</v>
      </c>
      <c r="Z2878" s="463"/>
      <c r="AA2878" s="463"/>
      <c r="AB2878" s="464">
        <v>0</v>
      </c>
      <c r="AC2878" s="465">
        <v>0</v>
      </c>
      <c r="AD2878" s="465">
        <v>0</v>
      </c>
      <c r="AE2878" s="476">
        <v>0</v>
      </c>
      <c r="AF2878" s="467">
        <v>0</v>
      </c>
      <c r="AG2878" s="468">
        <v>0</v>
      </c>
      <c r="AH2878" s="218">
        <v>0</v>
      </c>
      <c r="AI2878" s="470">
        <v>0</v>
      </c>
      <c r="AJ2878" s="471">
        <v>0</v>
      </c>
      <c r="AK2878" s="218">
        <v>0</v>
      </c>
      <c r="AL2878" s="470">
        <v>0</v>
      </c>
      <c r="AM2878" s="471">
        <v>0</v>
      </c>
      <c r="AN2878" s="477">
        <v>0</v>
      </c>
      <c r="AO2878" s="473">
        <v>0</v>
      </c>
      <c r="AP2878" s="474">
        <v>0</v>
      </c>
      <c r="AQ2878" s="352"/>
      <c r="AR2878" s="352"/>
      <c r="AS2878" s="352"/>
      <c r="AT2878" s="352"/>
      <c r="AU2878" s="352"/>
      <c r="AV2878" s="352"/>
      <c r="AW2878" s="352" t="s">
        <v>254</v>
      </c>
    </row>
    <row r="2879" spans="2:49" x14ac:dyDescent="0.2">
      <c r="B2879" s="460" t="s">
        <v>3213</v>
      </c>
      <c r="C2879" s="460">
        <v>8000</v>
      </c>
      <c r="D2879" s="460" t="s">
        <v>2334</v>
      </c>
      <c r="E2879" s="460" t="s">
        <v>2324</v>
      </c>
      <c r="F2879" s="460">
        <v>1</v>
      </c>
      <c r="G2879" s="460">
        <v>3</v>
      </c>
      <c r="H2879" s="461" t="s">
        <v>712</v>
      </c>
      <c r="I2879" s="461" t="s">
        <v>713</v>
      </c>
      <c r="J2879" s="461" t="s">
        <v>712</v>
      </c>
      <c r="K2879" s="594"/>
      <c r="L2879" s="594"/>
      <c r="M2879" s="352">
        <v>8000</v>
      </c>
      <c r="N2879" s="352" t="s">
        <v>760</v>
      </c>
      <c r="O2879" s="460">
        <v>3211</v>
      </c>
      <c r="P2879" s="460" t="s">
        <v>745</v>
      </c>
      <c r="Q2879" s="460" t="s">
        <v>2280</v>
      </c>
      <c r="R2879" s="460">
        <v>3211</v>
      </c>
      <c r="S2879" s="460" t="s">
        <v>2324</v>
      </c>
      <c r="T2879" s="462">
        <v>1</v>
      </c>
      <c r="U2879" s="460" t="s">
        <v>2324</v>
      </c>
      <c r="V2879" s="475">
        <v>0</v>
      </c>
      <c r="W2879" s="463" t="s">
        <v>713</v>
      </c>
      <c r="X2879" s="463" t="s">
        <v>713</v>
      </c>
      <c r="Y2879" s="463" t="s">
        <v>713</v>
      </c>
      <c r="Z2879" s="463"/>
      <c r="AA2879" s="463"/>
      <c r="AB2879" s="464">
        <v>3263.0183972216505</v>
      </c>
      <c r="AC2879" s="465">
        <v>0.98984112111977507</v>
      </c>
      <c r="AD2879" s="465">
        <v>8.147417886722734E-3</v>
      </c>
      <c r="AE2879" s="476">
        <v>3272.3503683736303</v>
      </c>
      <c r="AF2879" s="467">
        <v>0.99267198741069085</v>
      </c>
      <c r="AG2879" s="468">
        <v>8.0155460384270204E-3</v>
      </c>
      <c r="AH2879" s="218">
        <v>3272.3503683736303</v>
      </c>
      <c r="AI2879" s="470">
        <v>0.99267198741069085</v>
      </c>
      <c r="AJ2879" s="471">
        <v>8.1177302132436294E-3</v>
      </c>
      <c r="AK2879" s="218">
        <v>3272.3503683736303</v>
      </c>
      <c r="AL2879" s="470">
        <v>0.99267198741069085</v>
      </c>
      <c r="AM2879" s="471">
        <v>8.1177302132436294E-3</v>
      </c>
      <c r="AN2879" s="477">
        <v>3272.3503683736303</v>
      </c>
      <c r="AO2879" s="473">
        <v>0.99267198741069085</v>
      </c>
      <c r="AP2879" s="474">
        <v>8.1137796970918476E-3</v>
      </c>
      <c r="AQ2879" s="352"/>
      <c r="AR2879" s="352"/>
      <c r="AS2879" s="352"/>
      <c r="AT2879" s="352"/>
      <c r="AU2879" s="352"/>
      <c r="AV2879" s="352"/>
      <c r="AW2879" s="352" t="s">
        <v>254</v>
      </c>
    </row>
    <row r="2880" spans="2:49" x14ac:dyDescent="0.2">
      <c r="B2880" s="460" t="s">
        <v>3214</v>
      </c>
      <c r="C2880" s="460">
        <v>8000</v>
      </c>
      <c r="D2880" s="460" t="s">
        <v>2335</v>
      </c>
      <c r="E2880" s="460" t="s">
        <v>2327</v>
      </c>
      <c r="F2880" s="460">
        <v>2</v>
      </c>
      <c r="G2880" s="460">
        <v>3</v>
      </c>
      <c r="H2880" s="461" t="s">
        <v>712</v>
      </c>
      <c r="I2880" s="461" t="s">
        <v>713</v>
      </c>
      <c r="J2880" s="461" t="s">
        <v>712</v>
      </c>
      <c r="K2880" s="594"/>
      <c r="L2880" s="594"/>
      <c r="M2880" s="352">
        <v>8000</v>
      </c>
      <c r="N2880" s="352" t="s">
        <v>760</v>
      </c>
      <c r="O2880" s="460">
        <v>3211</v>
      </c>
      <c r="P2880" s="460" t="s">
        <v>745</v>
      </c>
      <c r="Q2880" s="460" t="s">
        <v>2280</v>
      </c>
      <c r="R2880" s="460">
        <v>3211</v>
      </c>
      <c r="S2880" s="460" t="s">
        <v>2324</v>
      </c>
      <c r="T2880" s="462">
        <v>1</v>
      </c>
      <c r="U2880" s="460" t="s">
        <v>2327</v>
      </c>
      <c r="V2880" s="475">
        <v>0</v>
      </c>
      <c r="W2880" s="463" t="s">
        <v>713</v>
      </c>
      <c r="X2880" s="463" t="s">
        <v>713</v>
      </c>
      <c r="Y2880" s="463" t="s">
        <v>713</v>
      </c>
      <c r="Z2880" s="463"/>
      <c r="AA2880" s="463"/>
      <c r="AB2880" s="464">
        <v>6520.261988204159</v>
      </c>
      <c r="AC2880" s="465">
        <v>0.99792752736147938</v>
      </c>
      <c r="AD2880" s="465">
        <v>2.0881781222091257E-2</v>
      </c>
      <c r="AE2880" s="476">
        <v>6525.6784394778369</v>
      </c>
      <c r="AF2880" s="467">
        <v>0.99875651641688767</v>
      </c>
      <c r="AG2880" s="468">
        <v>2.0557090525770906E-2</v>
      </c>
      <c r="AH2880" s="218">
        <v>6506.0586318978576</v>
      </c>
      <c r="AI2880" s="470">
        <v>0.99575370056362622</v>
      </c>
      <c r="AJ2880" s="471">
        <v>2.131436256061639E-2</v>
      </c>
      <c r="AK2880" s="218">
        <v>6506.0586318978576</v>
      </c>
      <c r="AL2880" s="470">
        <v>0.99575370056362622</v>
      </c>
      <c r="AM2880" s="471">
        <v>2.131436256061639E-2</v>
      </c>
      <c r="AN2880" s="477">
        <v>6506.0586318978576</v>
      </c>
      <c r="AO2880" s="473">
        <v>0.99575370056362622</v>
      </c>
      <c r="AP2880" s="474">
        <v>2.1306005969996034E-2</v>
      </c>
      <c r="AQ2880" s="352"/>
      <c r="AR2880" s="352"/>
      <c r="AS2880" s="352"/>
      <c r="AT2880" s="352"/>
      <c r="AU2880" s="352"/>
      <c r="AV2880" s="352"/>
      <c r="AW2880" s="352" t="s">
        <v>254</v>
      </c>
    </row>
    <row r="2881" spans="2:49" x14ac:dyDescent="0.2">
      <c r="B2881" s="460" t="s">
        <v>3215</v>
      </c>
      <c r="C2881" s="460">
        <v>8000</v>
      </c>
      <c r="D2881" s="460" t="s">
        <v>2336</v>
      </c>
      <c r="E2881" s="460" t="s">
        <v>2330</v>
      </c>
      <c r="F2881" s="460">
        <v>3</v>
      </c>
      <c r="G2881" s="460">
        <v>3</v>
      </c>
      <c r="H2881" s="461" t="s">
        <v>712</v>
      </c>
      <c r="I2881" s="461" t="s">
        <v>713</v>
      </c>
      <c r="J2881" s="461" t="s">
        <v>712</v>
      </c>
      <c r="K2881" s="594"/>
      <c r="L2881" s="594"/>
      <c r="M2881" s="352">
        <v>8000</v>
      </c>
      <c r="N2881" s="352" t="s">
        <v>760</v>
      </c>
      <c r="O2881" s="460">
        <v>3211</v>
      </c>
      <c r="P2881" s="460" t="s">
        <v>745</v>
      </c>
      <c r="Q2881" s="460" t="s">
        <v>2280</v>
      </c>
      <c r="R2881" s="460">
        <v>3211</v>
      </c>
      <c r="S2881" s="460" t="s">
        <v>2324</v>
      </c>
      <c r="T2881" s="462">
        <v>1</v>
      </c>
      <c r="U2881" s="460" t="s">
        <v>2330</v>
      </c>
      <c r="V2881" s="475">
        <v>0</v>
      </c>
      <c r="W2881" s="463" t="s">
        <v>713</v>
      </c>
      <c r="X2881" s="463" t="s">
        <v>713</v>
      </c>
      <c r="Y2881" s="463" t="s">
        <v>713</v>
      </c>
      <c r="Z2881" s="463"/>
      <c r="AA2881" s="463"/>
      <c r="AB2881" s="464">
        <v>6089.5342607498224</v>
      </c>
      <c r="AC2881" s="465">
        <v>0.99912420728159135</v>
      </c>
      <c r="AD2881" s="465">
        <v>5.391833823614843E-2</v>
      </c>
      <c r="AE2881" s="476">
        <v>6091.6528368837908</v>
      </c>
      <c r="AF2881" s="467">
        <v>0.99947180705027328</v>
      </c>
      <c r="AG2881" s="468">
        <v>5.3103359165506757E-2</v>
      </c>
      <c r="AH2881" s="218">
        <v>6068.9500490989885</v>
      </c>
      <c r="AI2881" s="470">
        <v>0.99574690726692261</v>
      </c>
      <c r="AJ2881" s="471">
        <v>5.4925448357149492E-2</v>
      </c>
      <c r="AK2881" s="218">
        <v>6068.9500490989885</v>
      </c>
      <c r="AL2881" s="470">
        <v>0.99574690726692261</v>
      </c>
      <c r="AM2881" s="471">
        <v>5.4925448357149492E-2</v>
      </c>
      <c r="AN2881" s="477">
        <v>6068.9500490989885</v>
      </c>
      <c r="AO2881" s="473">
        <v>0.99574690726692261</v>
      </c>
      <c r="AP2881" s="474">
        <v>5.5067217005366424E-2</v>
      </c>
      <c r="AQ2881" s="352"/>
      <c r="AR2881" s="352"/>
      <c r="AS2881" s="352"/>
      <c r="AT2881" s="352"/>
      <c r="AU2881" s="352"/>
      <c r="AV2881" s="352"/>
      <c r="AW2881" s="352" t="s">
        <v>254</v>
      </c>
    </row>
    <row r="2882" spans="2:49" x14ac:dyDescent="0.2">
      <c r="B2882" s="460" t="s">
        <v>3216</v>
      </c>
      <c r="C2882" s="460">
        <v>8000</v>
      </c>
      <c r="D2882" s="460" t="s">
        <v>2337</v>
      </c>
      <c r="E2882" s="460" t="s">
        <v>2333</v>
      </c>
      <c r="F2882" s="460">
        <v>4</v>
      </c>
      <c r="G2882" s="460">
        <v>3</v>
      </c>
      <c r="H2882" s="461" t="s">
        <v>712</v>
      </c>
      <c r="I2882" s="461" t="s">
        <v>713</v>
      </c>
      <c r="J2882" s="461" t="s">
        <v>712</v>
      </c>
      <c r="K2882" s="594"/>
      <c r="L2882" s="594"/>
      <c r="M2882" s="352">
        <v>8000</v>
      </c>
      <c r="N2882" s="352" t="s">
        <v>760</v>
      </c>
      <c r="O2882" s="460">
        <v>3211</v>
      </c>
      <c r="P2882" s="460" t="s">
        <v>745</v>
      </c>
      <c r="Q2882" s="460" t="s">
        <v>2280</v>
      </c>
      <c r="R2882" s="460">
        <v>3211</v>
      </c>
      <c r="S2882" s="460" t="s">
        <v>2333</v>
      </c>
      <c r="T2882" s="462">
        <v>1</v>
      </c>
      <c r="U2882" s="460" t="s">
        <v>2333</v>
      </c>
      <c r="V2882" s="475">
        <v>0</v>
      </c>
      <c r="W2882" s="463" t="s">
        <v>713</v>
      </c>
      <c r="X2882" s="463" t="s">
        <v>713</v>
      </c>
      <c r="Y2882" s="463" t="s">
        <v>713</v>
      </c>
      <c r="Z2882" s="463"/>
      <c r="AA2882" s="463"/>
      <c r="AB2882" s="464">
        <v>6991.0927135508682</v>
      </c>
      <c r="AC2882" s="465">
        <v>0.99958537664889813</v>
      </c>
      <c r="AD2882" s="465">
        <v>5.3149577045758976E-2</v>
      </c>
      <c r="AE2882" s="476">
        <v>6992.2526626083354</v>
      </c>
      <c r="AF2882" s="467">
        <v>0.99975122598933885</v>
      </c>
      <c r="AG2882" s="468">
        <v>5.2613825707862119E-2</v>
      </c>
      <c r="AH2882" s="218">
        <v>6992.2526626083354</v>
      </c>
      <c r="AI2882" s="470">
        <v>0.99975122598933885</v>
      </c>
      <c r="AJ2882" s="471">
        <v>5.2781449815040696E-2</v>
      </c>
      <c r="AK2882" s="218">
        <v>6992.2526626083354</v>
      </c>
      <c r="AL2882" s="470">
        <v>0.99975122598933885</v>
      </c>
      <c r="AM2882" s="471">
        <v>5.2781449815040696E-2</v>
      </c>
      <c r="AN2882" s="477">
        <v>6992.2526626083354</v>
      </c>
      <c r="AO2882" s="473">
        <v>0.99975122598933885</v>
      </c>
      <c r="AP2882" s="474">
        <v>5.2798222900947329E-2</v>
      </c>
      <c r="AQ2882" s="352"/>
      <c r="AR2882" s="352"/>
      <c r="AS2882" s="352"/>
      <c r="AT2882" s="352"/>
      <c r="AU2882" s="352"/>
      <c r="AV2882" s="352"/>
      <c r="AW2882" s="352" t="s">
        <v>254</v>
      </c>
    </row>
    <row r="2883" spans="2:49" x14ac:dyDescent="0.2">
      <c r="B2883" s="460" t="s">
        <v>3213</v>
      </c>
      <c r="C2883" s="460">
        <v>8000</v>
      </c>
      <c r="D2883" s="460" t="s">
        <v>2338</v>
      </c>
      <c r="E2883" s="460" t="s">
        <v>2324</v>
      </c>
      <c r="F2883" s="460">
        <v>1</v>
      </c>
      <c r="G2883" s="460">
        <v>3</v>
      </c>
      <c r="H2883" s="461" t="s">
        <v>746</v>
      </c>
      <c r="I2883" s="461" t="s">
        <v>762</v>
      </c>
      <c r="J2883" s="461" t="s">
        <v>700</v>
      </c>
      <c r="K2883" s="594"/>
      <c r="L2883" s="594"/>
      <c r="M2883" s="352">
        <v>8000</v>
      </c>
      <c r="N2883" s="352" t="s">
        <v>760</v>
      </c>
      <c r="O2883" s="460">
        <v>3211</v>
      </c>
      <c r="P2883" s="460" t="s">
        <v>745</v>
      </c>
      <c r="Q2883" s="460" t="s">
        <v>2553</v>
      </c>
      <c r="R2883" s="460">
        <v>3211</v>
      </c>
      <c r="S2883" s="460" t="s">
        <v>2324</v>
      </c>
      <c r="T2883" s="462">
        <v>1</v>
      </c>
      <c r="U2883" s="460" t="s">
        <v>2324</v>
      </c>
      <c r="V2883" s="475">
        <v>0</v>
      </c>
      <c r="W2883" s="463" t="s">
        <v>2268</v>
      </c>
      <c r="X2883" s="463" t="s">
        <v>2268</v>
      </c>
      <c r="Y2883" s="463" t="s">
        <v>2554</v>
      </c>
      <c r="Z2883" s="463"/>
      <c r="AA2883" s="463"/>
      <c r="AB2883" s="464">
        <v>0</v>
      </c>
      <c r="AC2883" s="465">
        <v>0</v>
      </c>
      <c r="AD2883" s="465">
        <v>0</v>
      </c>
      <c r="AE2883" s="476">
        <v>0</v>
      </c>
      <c r="AF2883" s="467">
        <v>0</v>
      </c>
      <c r="AG2883" s="468">
        <v>0</v>
      </c>
      <c r="AH2883" s="218">
        <v>0</v>
      </c>
      <c r="AI2883" s="470">
        <v>0</v>
      </c>
      <c r="AJ2883" s="471">
        <v>0</v>
      </c>
      <c r="AK2883" s="218">
        <v>0</v>
      </c>
      <c r="AL2883" s="470">
        <v>0</v>
      </c>
      <c r="AM2883" s="471">
        <v>0</v>
      </c>
      <c r="AN2883" s="477">
        <v>2.3329927879949102</v>
      </c>
      <c r="AO2883" s="473">
        <v>7.0771657272895416E-4</v>
      </c>
      <c r="AP2883" s="474">
        <v>2.4654493126796763E-5</v>
      </c>
      <c r="AQ2883" s="352"/>
      <c r="AR2883" s="352"/>
      <c r="AS2883" s="352"/>
      <c r="AT2883" s="352"/>
      <c r="AU2883" s="352"/>
      <c r="AV2883" s="352"/>
      <c r="AW2883" s="352" t="s">
        <v>254</v>
      </c>
    </row>
    <row r="2884" spans="2:49" x14ac:dyDescent="0.2">
      <c r="B2884" s="460" t="s">
        <v>3214</v>
      </c>
      <c r="C2884" s="460">
        <v>8000</v>
      </c>
      <c r="D2884" s="460" t="s">
        <v>2339</v>
      </c>
      <c r="E2884" s="460" t="s">
        <v>2327</v>
      </c>
      <c r="F2884" s="460">
        <v>2</v>
      </c>
      <c r="G2884" s="460">
        <v>3</v>
      </c>
      <c r="H2884" s="461" t="s">
        <v>746</v>
      </c>
      <c r="I2884" s="461" t="s">
        <v>762</v>
      </c>
      <c r="J2884" s="461" t="s">
        <v>700</v>
      </c>
      <c r="K2884" s="594"/>
      <c r="L2884" s="594"/>
      <c r="M2884" s="352">
        <v>8000</v>
      </c>
      <c r="N2884" s="352" t="s">
        <v>760</v>
      </c>
      <c r="O2884" s="460">
        <v>3211</v>
      </c>
      <c r="P2884" s="460" t="s">
        <v>745</v>
      </c>
      <c r="Q2884" s="460" t="s">
        <v>2553</v>
      </c>
      <c r="R2884" s="460">
        <v>3211</v>
      </c>
      <c r="S2884" s="460" t="s">
        <v>2324</v>
      </c>
      <c r="T2884" s="462">
        <v>1</v>
      </c>
      <c r="U2884" s="460" t="s">
        <v>2327</v>
      </c>
      <c r="V2884" s="475">
        <v>0</v>
      </c>
      <c r="W2884" s="463" t="s">
        <v>2268</v>
      </c>
      <c r="X2884" s="463" t="s">
        <v>2268</v>
      </c>
      <c r="Y2884" s="463" t="s">
        <v>2554</v>
      </c>
      <c r="Z2884" s="463"/>
      <c r="AA2884" s="463"/>
      <c r="AB2884" s="464">
        <v>0</v>
      </c>
      <c r="AC2884" s="465">
        <v>0</v>
      </c>
      <c r="AD2884" s="465">
        <v>0</v>
      </c>
      <c r="AE2884" s="476">
        <v>0</v>
      </c>
      <c r="AF2884" s="467">
        <v>0</v>
      </c>
      <c r="AG2884" s="468">
        <v>0</v>
      </c>
      <c r="AH2884" s="218">
        <v>0</v>
      </c>
      <c r="AI2884" s="470">
        <v>0</v>
      </c>
      <c r="AJ2884" s="471">
        <v>0</v>
      </c>
      <c r="AK2884" s="218">
        <v>0</v>
      </c>
      <c r="AL2884" s="470">
        <v>0</v>
      </c>
      <c r="AM2884" s="471">
        <v>0</v>
      </c>
      <c r="AN2884" s="477">
        <v>4.6240807484161257</v>
      </c>
      <c r="AO2884" s="473">
        <v>7.0771657272895416E-4</v>
      </c>
      <c r="AP2884" s="474">
        <v>7.3506079172689127E-5</v>
      </c>
      <c r="AQ2884" s="352"/>
      <c r="AR2884" s="352"/>
      <c r="AS2884" s="352"/>
      <c r="AT2884" s="352"/>
      <c r="AU2884" s="352"/>
      <c r="AV2884" s="352"/>
      <c r="AW2884" s="352" t="s">
        <v>254</v>
      </c>
    </row>
    <row r="2885" spans="2:49" x14ac:dyDescent="0.2">
      <c r="B2885" s="460" t="s">
        <v>3215</v>
      </c>
      <c r="C2885" s="460">
        <v>8000</v>
      </c>
      <c r="D2885" s="460" t="s">
        <v>2340</v>
      </c>
      <c r="E2885" s="460" t="s">
        <v>2330</v>
      </c>
      <c r="F2885" s="460">
        <v>3</v>
      </c>
      <c r="G2885" s="460">
        <v>3</v>
      </c>
      <c r="H2885" s="461" t="s">
        <v>746</v>
      </c>
      <c r="I2885" s="461" t="s">
        <v>762</v>
      </c>
      <c r="J2885" s="461" t="s">
        <v>700</v>
      </c>
      <c r="K2885" s="594"/>
      <c r="L2885" s="594"/>
      <c r="M2885" s="352">
        <v>8000</v>
      </c>
      <c r="N2885" s="352" t="s">
        <v>760</v>
      </c>
      <c r="O2885" s="460">
        <v>3211</v>
      </c>
      <c r="P2885" s="460" t="s">
        <v>745</v>
      </c>
      <c r="Q2885" s="460" t="s">
        <v>2553</v>
      </c>
      <c r="R2885" s="460">
        <v>3211</v>
      </c>
      <c r="S2885" s="460" t="s">
        <v>2324</v>
      </c>
      <c r="T2885" s="462">
        <v>1</v>
      </c>
      <c r="U2885" s="460" t="s">
        <v>2330</v>
      </c>
      <c r="V2885" s="475">
        <v>0</v>
      </c>
      <c r="W2885" s="463" t="s">
        <v>2268</v>
      </c>
      <c r="X2885" s="463" t="s">
        <v>2268</v>
      </c>
      <c r="Y2885" s="463" t="s">
        <v>2554</v>
      </c>
      <c r="Z2885" s="463"/>
      <c r="AA2885" s="463"/>
      <c r="AB2885" s="464">
        <v>0</v>
      </c>
      <c r="AC2885" s="465">
        <v>0</v>
      </c>
      <c r="AD2885" s="465">
        <v>0</v>
      </c>
      <c r="AE2885" s="476">
        <v>0</v>
      </c>
      <c r="AF2885" s="467">
        <v>0</v>
      </c>
      <c r="AG2885" s="468">
        <v>0</v>
      </c>
      <c r="AH2885" s="218">
        <v>0</v>
      </c>
      <c r="AI2885" s="470">
        <v>0</v>
      </c>
      <c r="AJ2885" s="471">
        <v>0</v>
      </c>
      <c r="AK2885" s="218">
        <v>0</v>
      </c>
      <c r="AL2885" s="470">
        <v>0</v>
      </c>
      <c r="AM2885" s="471">
        <v>0</v>
      </c>
      <c r="AN2885" s="477">
        <v>4.3134419976262093</v>
      </c>
      <c r="AO2885" s="473">
        <v>7.0771657272895416E-4</v>
      </c>
      <c r="AP2885" s="474">
        <v>1.725455412103381E-4</v>
      </c>
      <c r="AQ2885" s="352"/>
      <c r="AR2885" s="352"/>
      <c r="AS2885" s="352"/>
      <c r="AT2885" s="352"/>
      <c r="AU2885" s="352"/>
      <c r="AV2885" s="352"/>
      <c r="AW2885" s="352" t="s">
        <v>254</v>
      </c>
    </row>
    <row r="2886" spans="2:49" x14ac:dyDescent="0.2">
      <c r="B2886" s="460" t="s">
        <v>3216</v>
      </c>
      <c r="C2886" s="460">
        <v>8000</v>
      </c>
      <c r="D2886" s="460" t="s">
        <v>2341</v>
      </c>
      <c r="E2886" s="460" t="s">
        <v>2333</v>
      </c>
      <c r="F2886" s="460">
        <v>4</v>
      </c>
      <c r="G2886" s="460">
        <v>3</v>
      </c>
      <c r="H2886" s="461" t="s">
        <v>746</v>
      </c>
      <c r="I2886" s="461" t="s">
        <v>762</v>
      </c>
      <c r="J2886" s="461" t="s">
        <v>700</v>
      </c>
      <c r="K2886" s="594"/>
      <c r="L2886" s="594"/>
      <c r="M2886" s="352">
        <v>8000</v>
      </c>
      <c r="N2886" s="352" t="s">
        <v>760</v>
      </c>
      <c r="O2886" s="460">
        <v>3211</v>
      </c>
      <c r="P2886" s="460" t="s">
        <v>745</v>
      </c>
      <c r="Q2886" s="460" t="s">
        <v>2553</v>
      </c>
      <c r="R2886" s="460">
        <v>3211</v>
      </c>
      <c r="S2886" s="460" t="s">
        <v>2333</v>
      </c>
      <c r="T2886" s="462">
        <v>1</v>
      </c>
      <c r="U2886" s="460" t="s">
        <v>2333</v>
      </c>
      <c r="V2886" s="475">
        <v>0</v>
      </c>
      <c r="W2886" s="463" t="s">
        <v>2268</v>
      </c>
      <c r="X2886" s="463" t="s">
        <v>2268</v>
      </c>
      <c r="Y2886" s="463" t="s">
        <v>2554</v>
      </c>
      <c r="Z2886" s="463"/>
      <c r="AA2886" s="463"/>
      <c r="AB2886" s="464">
        <v>0</v>
      </c>
      <c r="AC2886" s="465">
        <v>0</v>
      </c>
      <c r="AD2886" s="465">
        <v>0</v>
      </c>
      <c r="AE2886" s="476">
        <v>0</v>
      </c>
      <c r="AF2886" s="467">
        <v>0</v>
      </c>
      <c r="AG2886" s="468">
        <v>0</v>
      </c>
      <c r="AH2886" s="218">
        <v>0</v>
      </c>
      <c r="AI2886" s="470">
        <v>0</v>
      </c>
      <c r="AJ2886" s="471">
        <v>0</v>
      </c>
      <c r="AK2886" s="218">
        <v>0</v>
      </c>
      <c r="AL2886" s="470">
        <v>0</v>
      </c>
      <c r="AM2886" s="471">
        <v>0</v>
      </c>
      <c r="AN2886" s="477">
        <v>0.28998726436695288</v>
      </c>
      <c r="AO2886" s="473">
        <v>4.1462335110185786E-5</v>
      </c>
      <c r="AP2886" s="474">
        <v>2.4173222225889912E-5</v>
      </c>
      <c r="AQ2886" s="352"/>
      <c r="AR2886" s="352"/>
      <c r="AS2886" s="352"/>
      <c r="AT2886" s="352"/>
      <c r="AU2886" s="352"/>
      <c r="AV2886" s="352"/>
      <c r="AW2886" s="352" t="s">
        <v>254</v>
      </c>
    </row>
    <row r="2887" spans="2:49" x14ac:dyDescent="0.2">
      <c r="B2887" s="460" t="s">
        <v>3213</v>
      </c>
      <c r="C2887" s="460">
        <v>8000</v>
      </c>
      <c r="D2887" s="460" t="s">
        <v>2342</v>
      </c>
      <c r="E2887" s="460" t="s">
        <v>2324</v>
      </c>
      <c r="F2887" s="460">
        <v>1</v>
      </c>
      <c r="G2887" s="460">
        <v>3</v>
      </c>
      <c r="H2887" s="461" t="s">
        <v>748</v>
      </c>
      <c r="I2887" s="461" t="s">
        <v>765</v>
      </c>
      <c r="J2887" s="461" t="s">
        <v>700</v>
      </c>
      <c r="K2887" s="594"/>
      <c r="L2887" s="594"/>
      <c r="M2887" s="352">
        <v>8000</v>
      </c>
      <c r="N2887" s="352" t="s">
        <v>760</v>
      </c>
      <c r="O2887" s="460">
        <v>3211</v>
      </c>
      <c r="P2887" s="460" t="s">
        <v>745</v>
      </c>
      <c r="Q2887" s="460" t="s">
        <v>2553</v>
      </c>
      <c r="R2887" s="460">
        <v>3211</v>
      </c>
      <c r="S2887" s="460" t="s">
        <v>2324</v>
      </c>
      <c r="T2887" s="462">
        <v>1</v>
      </c>
      <c r="U2887" s="460" t="s">
        <v>2324</v>
      </c>
      <c r="V2887" s="475">
        <v>0</v>
      </c>
      <c r="W2887" s="463" t="s">
        <v>2268</v>
      </c>
      <c r="X2887" s="463" t="s">
        <v>2268</v>
      </c>
      <c r="Y2887" s="463" t="s">
        <v>2554</v>
      </c>
      <c r="Z2887" s="463"/>
      <c r="AA2887" s="463"/>
      <c r="AB2887" s="464">
        <v>0</v>
      </c>
      <c r="AC2887" s="465">
        <v>0</v>
      </c>
      <c r="AD2887" s="465">
        <v>0</v>
      </c>
      <c r="AE2887" s="476">
        <v>0</v>
      </c>
      <c r="AF2887" s="467">
        <v>0</v>
      </c>
      <c r="AG2887" s="468">
        <v>0</v>
      </c>
      <c r="AH2887" s="218">
        <v>0</v>
      </c>
      <c r="AI2887" s="470">
        <v>0</v>
      </c>
      <c r="AJ2887" s="471">
        <v>0</v>
      </c>
      <c r="AK2887" s="218">
        <v>0</v>
      </c>
      <c r="AL2887" s="470">
        <v>0</v>
      </c>
      <c r="AM2887" s="471">
        <v>0</v>
      </c>
      <c r="AN2887" s="477">
        <v>11.664963939974555</v>
      </c>
      <c r="AO2887" s="473">
        <v>3.5385828636447718E-3</v>
      </c>
      <c r="AP2887" s="474">
        <v>6.0718254779758296E-4</v>
      </c>
      <c r="AQ2887" s="352"/>
      <c r="AR2887" s="352"/>
      <c r="AS2887" s="352"/>
      <c r="AT2887" s="352"/>
      <c r="AU2887" s="352"/>
      <c r="AV2887" s="352"/>
      <c r="AW2887" s="352" t="s">
        <v>254</v>
      </c>
    </row>
    <row r="2888" spans="2:49" x14ac:dyDescent="0.2">
      <c r="B2888" s="460" t="s">
        <v>3214</v>
      </c>
      <c r="C2888" s="460">
        <v>8000</v>
      </c>
      <c r="D2888" s="460" t="s">
        <v>2343</v>
      </c>
      <c r="E2888" s="460" t="s">
        <v>2327</v>
      </c>
      <c r="F2888" s="460">
        <v>2</v>
      </c>
      <c r="G2888" s="460">
        <v>3</v>
      </c>
      <c r="H2888" s="461" t="s">
        <v>748</v>
      </c>
      <c r="I2888" s="461" t="s">
        <v>765</v>
      </c>
      <c r="J2888" s="461" t="s">
        <v>700</v>
      </c>
      <c r="K2888" s="594"/>
      <c r="L2888" s="594"/>
      <c r="M2888" s="352">
        <v>8000</v>
      </c>
      <c r="N2888" s="352" t="s">
        <v>760</v>
      </c>
      <c r="O2888" s="460">
        <v>3211</v>
      </c>
      <c r="P2888" s="460" t="s">
        <v>745</v>
      </c>
      <c r="Q2888" s="460" t="s">
        <v>2553</v>
      </c>
      <c r="R2888" s="460">
        <v>3211</v>
      </c>
      <c r="S2888" s="460" t="s">
        <v>2324</v>
      </c>
      <c r="T2888" s="462">
        <v>1</v>
      </c>
      <c r="U2888" s="460" t="s">
        <v>2327</v>
      </c>
      <c r="V2888" s="475">
        <v>0</v>
      </c>
      <c r="W2888" s="463" t="s">
        <v>2268</v>
      </c>
      <c r="X2888" s="463" t="s">
        <v>2268</v>
      </c>
      <c r="Y2888" s="463" t="s">
        <v>2554</v>
      </c>
      <c r="Z2888" s="463"/>
      <c r="AA2888" s="463"/>
      <c r="AB2888" s="464">
        <v>0</v>
      </c>
      <c r="AC2888" s="465">
        <v>0</v>
      </c>
      <c r="AD2888" s="465">
        <v>0</v>
      </c>
      <c r="AE2888" s="476">
        <v>0</v>
      </c>
      <c r="AF2888" s="467">
        <v>0</v>
      </c>
      <c r="AG2888" s="468">
        <v>0</v>
      </c>
      <c r="AH2888" s="218">
        <v>0</v>
      </c>
      <c r="AI2888" s="470">
        <v>0</v>
      </c>
      <c r="AJ2888" s="471">
        <v>0</v>
      </c>
      <c r="AK2888" s="218">
        <v>0</v>
      </c>
      <c r="AL2888" s="470">
        <v>0</v>
      </c>
      <c r="AM2888" s="471">
        <v>0</v>
      </c>
      <c r="AN2888" s="477">
        <v>23.120403742080637</v>
      </c>
      <c r="AO2888" s="473">
        <v>3.5385828636447718E-3</v>
      </c>
      <c r="AP2888" s="474">
        <v>2.0552538988988702E-3</v>
      </c>
      <c r="AQ2888" s="352"/>
      <c r="AR2888" s="352"/>
      <c r="AS2888" s="352"/>
      <c r="AT2888" s="352"/>
      <c r="AU2888" s="352"/>
      <c r="AV2888" s="352"/>
      <c r="AW2888" s="352" t="s">
        <v>254</v>
      </c>
    </row>
    <row r="2889" spans="2:49" x14ac:dyDescent="0.2">
      <c r="B2889" s="460" t="s">
        <v>3215</v>
      </c>
      <c r="C2889" s="460">
        <v>8000</v>
      </c>
      <c r="D2889" s="460" t="s">
        <v>2344</v>
      </c>
      <c r="E2889" s="460" t="s">
        <v>2330</v>
      </c>
      <c r="F2889" s="460">
        <v>3</v>
      </c>
      <c r="G2889" s="460">
        <v>3</v>
      </c>
      <c r="H2889" s="461" t="s">
        <v>748</v>
      </c>
      <c r="I2889" s="461" t="s">
        <v>765</v>
      </c>
      <c r="J2889" s="461" t="s">
        <v>700</v>
      </c>
      <c r="K2889" s="594"/>
      <c r="L2889" s="594"/>
      <c r="M2889" s="352">
        <v>8000</v>
      </c>
      <c r="N2889" s="352" t="s">
        <v>760</v>
      </c>
      <c r="O2889" s="460">
        <v>3211</v>
      </c>
      <c r="P2889" s="460" t="s">
        <v>745</v>
      </c>
      <c r="Q2889" s="460" t="s">
        <v>2553</v>
      </c>
      <c r="R2889" s="460">
        <v>3211</v>
      </c>
      <c r="S2889" s="460" t="s">
        <v>2324</v>
      </c>
      <c r="T2889" s="462">
        <v>1</v>
      </c>
      <c r="U2889" s="460" t="s">
        <v>2330</v>
      </c>
      <c r="V2889" s="475">
        <v>0</v>
      </c>
      <c r="W2889" s="463" t="s">
        <v>2268</v>
      </c>
      <c r="X2889" s="463" t="s">
        <v>2268</v>
      </c>
      <c r="Y2889" s="463" t="s">
        <v>2554</v>
      </c>
      <c r="Z2889" s="463"/>
      <c r="AA2889" s="463"/>
      <c r="AB2889" s="464">
        <v>0</v>
      </c>
      <c r="AC2889" s="465">
        <v>0</v>
      </c>
      <c r="AD2889" s="465">
        <v>0</v>
      </c>
      <c r="AE2889" s="476">
        <v>0</v>
      </c>
      <c r="AF2889" s="467">
        <v>0</v>
      </c>
      <c r="AG2889" s="468">
        <v>0</v>
      </c>
      <c r="AH2889" s="218">
        <v>0</v>
      </c>
      <c r="AI2889" s="470">
        <v>0</v>
      </c>
      <c r="AJ2889" s="471">
        <v>0</v>
      </c>
      <c r="AK2889" s="218">
        <v>0</v>
      </c>
      <c r="AL2889" s="470">
        <v>0</v>
      </c>
      <c r="AM2889" s="471">
        <v>0</v>
      </c>
      <c r="AN2889" s="477">
        <v>21.567209988131051</v>
      </c>
      <c r="AO2889" s="473">
        <v>3.5385828636447718E-3</v>
      </c>
      <c r="AP2889" s="474">
        <v>5.878848723772835E-3</v>
      </c>
      <c r="AQ2889" s="352"/>
      <c r="AR2889" s="352"/>
      <c r="AS2889" s="352"/>
      <c r="AT2889" s="352"/>
      <c r="AU2889" s="352"/>
      <c r="AV2889" s="352"/>
      <c r="AW2889" s="352" t="s">
        <v>254</v>
      </c>
    </row>
    <row r="2890" spans="2:49" x14ac:dyDescent="0.2">
      <c r="B2890" s="460" t="s">
        <v>3216</v>
      </c>
      <c r="C2890" s="460">
        <v>8000</v>
      </c>
      <c r="D2890" s="460" t="s">
        <v>2345</v>
      </c>
      <c r="E2890" s="460" t="s">
        <v>2333</v>
      </c>
      <c r="F2890" s="460">
        <v>4</v>
      </c>
      <c r="G2890" s="460">
        <v>3</v>
      </c>
      <c r="H2890" s="461" t="s">
        <v>748</v>
      </c>
      <c r="I2890" s="461" t="s">
        <v>765</v>
      </c>
      <c r="J2890" s="461" t="s">
        <v>700</v>
      </c>
      <c r="K2890" s="594"/>
      <c r="L2890" s="594"/>
      <c r="M2890" s="352">
        <v>8000</v>
      </c>
      <c r="N2890" s="352" t="s">
        <v>760</v>
      </c>
      <c r="O2890" s="460">
        <v>3211</v>
      </c>
      <c r="P2890" s="460" t="s">
        <v>745</v>
      </c>
      <c r="Q2890" s="460" t="s">
        <v>2553</v>
      </c>
      <c r="R2890" s="460">
        <v>3211</v>
      </c>
      <c r="S2890" s="460" t="s">
        <v>2333</v>
      </c>
      <c r="T2890" s="462">
        <v>1</v>
      </c>
      <c r="U2890" s="460" t="s">
        <v>2333</v>
      </c>
      <c r="V2890" s="475">
        <v>0</v>
      </c>
      <c r="W2890" s="463" t="s">
        <v>2268</v>
      </c>
      <c r="X2890" s="463" t="s">
        <v>2268</v>
      </c>
      <c r="Y2890" s="463" t="s">
        <v>2554</v>
      </c>
      <c r="Z2890" s="463"/>
      <c r="AA2890" s="463"/>
      <c r="AB2890" s="464">
        <v>0</v>
      </c>
      <c r="AC2890" s="465">
        <v>0</v>
      </c>
      <c r="AD2890" s="465">
        <v>0</v>
      </c>
      <c r="AE2890" s="476">
        <v>0</v>
      </c>
      <c r="AF2890" s="467">
        <v>0</v>
      </c>
      <c r="AG2890" s="468">
        <v>0</v>
      </c>
      <c r="AH2890" s="218">
        <v>0</v>
      </c>
      <c r="AI2890" s="470">
        <v>0</v>
      </c>
      <c r="AJ2890" s="471">
        <v>0</v>
      </c>
      <c r="AK2890" s="218">
        <v>0</v>
      </c>
      <c r="AL2890" s="470">
        <v>0</v>
      </c>
      <c r="AM2890" s="471">
        <v>0</v>
      </c>
      <c r="AN2890" s="477">
        <v>1.4499363218347647</v>
      </c>
      <c r="AO2890" s="473">
        <v>2.0731167555092898E-4</v>
      </c>
      <c r="AP2890" s="474">
        <v>9.0291092167654773E-4</v>
      </c>
      <c r="AQ2890" s="352"/>
      <c r="AR2890" s="352"/>
      <c r="AS2890" s="352"/>
      <c r="AT2890" s="352"/>
      <c r="AU2890" s="352"/>
      <c r="AV2890" s="352"/>
      <c r="AW2890" s="352" t="s">
        <v>254</v>
      </c>
    </row>
    <row r="2891" spans="2:49" x14ac:dyDescent="0.2">
      <c r="B2891" s="460" t="s">
        <v>3217</v>
      </c>
      <c r="C2891" s="460">
        <v>8000</v>
      </c>
      <c r="D2891" s="460" t="s">
        <v>2351</v>
      </c>
      <c r="E2891" s="460" t="s">
        <v>1136</v>
      </c>
      <c r="F2891" s="460">
        <v>1</v>
      </c>
      <c r="G2891" s="460">
        <v>4</v>
      </c>
      <c r="H2891" s="461" t="s">
        <v>700</v>
      </c>
      <c r="I2891" s="461" t="s">
        <v>872</v>
      </c>
      <c r="J2891" s="461" t="s">
        <v>700</v>
      </c>
      <c r="K2891" s="594"/>
      <c r="L2891" s="594"/>
      <c r="M2891" s="352">
        <v>8000</v>
      </c>
      <c r="N2891" s="352" t="s">
        <v>760</v>
      </c>
      <c r="O2891" s="460">
        <v>3211</v>
      </c>
      <c r="P2891" s="460" t="s">
        <v>745</v>
      </c>
      <c r="Q2891" s="460" t="s">
        <v>2553</v>
      </c>
      <c r="R2891" s="460">
        <v>3211</v>
      </c>
      <c r="S2891" s="460" t="s">
        <v>1136</v>
      </c>
      <c r="T2891" s="462">
        <v>1</v>
      </c>
      <c r="U2891" s="460" t="s">
        <v>1136</v>
      </c>
      <c r="V2891" s="475">
        <v>0</v>
      </c>
      <c r="W2891" s="463" t="s">
        <v>2554</v>
      </c>
      <c r="X2891" s="463" t="s">
        <v>2554</v>
      </c>
      <c r="Y2891" s="463" t="s">
        <v>2268</v>
      </c>
      <c r="Z2891" s="463"/>
      <c r="AA2891" s="463"/>
      <c r="AB2891" s="464">
        <v>0.3431047288788473</v>
      </c>
      <c r="AC2891" s="465">
        <v>4.9280955211361663E-4</v>
      </c>
      <c r="AD2891" s="465">
        <v>9.7620474080738196E-4</v>
      </c>
      <c r="AE2891" s="476">
        <v>0.20586283732730837</v>
      </c>
      <c r="AF2891" s="467">
        <v>2.9568573126816995E-4</v>
      </c>
      <c r="AG2891" s="468">
        <v>6.367167924251722E-4</v>
      </c>
      <c r="AH2891" s="218">
        <v>0.20586283732730837</v>
      </c>
      <c r="AI2891" s="470">
        <v>2.9568573126816995E-4</v>
      </c>
      <c r="AJ2891" s="471">
        <v>1.6077198457380598E-4</v>
      </c>
      <c r="AK2891" s="218">
        <v>0.20586283732730837</v>
      </c>
      <c r="AL2891" s="470">
        <v>2.9568573126816995E-4</v>
      </c>
      <c r="AM2891" s="471">
        <v>1.6077198457380598E-4</v>
      </c>
      <c r="AN2891" s="477">
        <v>0</v>
      </c>
      <c r="AO2891" s="473">
        <v>0</v>
      </c>
      <c r="AP2891" s="474">
        <v>0</v>
      </c>
      <c r="AQ2891" s="352"/>
      <c r="AR2891" s="352"/>
      <c r="AS2891" s="352"/>
      <c r="AT2891" s="352"/>
      <c r="AU2891" s="352"/>
      <c r="AV2891" s="352"/>
      <c r="AW2891" s="352" t="s">
        <v>254</v>
      </c>
    </row>
    <row r="2892" spans="2:49" x14ac:dyDescent="0.2">
      <c r="B2892" s="460" t="s">
        <v>3218</v>
      </c>
      <c r="C2892" s="460">
        <v>8000</v>
      </c>
      <c r="D2892" s="460" t="s">
        <v>2353</v>
      </c>
      <c r="E2892" s="460" t="s">
        <v>1137</v>
      </c>
      <c r="F2892" s="460">
        <v>2</v>
      </c>
      <c r="G2892" s="460">
        <v>4</v>
      </c>
      <c r="H2892" s="461" t="s">
        <v>700</v>
      </c>
      <c r="I2892" s="461" t="s">
        <v>872</v>
      </c>
      <c r="J2892" s="461" t="s">
        <v>700</v>
      </c>
      <c r="K2892" s="594"/>
      <c r="L2892" s="594"/>
      <c r="M2892" s="352">
        <v>8000</v>
      </c>
      <c r="N2892" s="352" t="s">
        <v>760</v>
      </c>
      <c r="O2892" s="460">
        <v>3211</v>
      </c>
      <c r="P2892" s="460" t="s">
        <v>745</v>
      </c>
      <c r="Q2892" s="460" t="s">
        <v>2553</v>
      </c>
      <c r="R2892" s="460">
        <v>3211</v>
      </c>
      <c r="S2892" s="460" t="s">
        <v>1137</v>
      </c>
      <c r="T2892" s="462">
        <v>1</v>
      </c>
      <c r="U2892" s="460" t="s">
        <v>1137</v>
      </c>
      <c r="V2892" s="475">
        <v>0</v>
      </c>
      <c r="W2892" s="463" t="s">
        <v>2554</v>
      </c>
      <c r="X2892" s="463" t="s">
        <v>2554</v>
      </c>
      <c r="Y2892" s="463" t="s">
        <v>2268</v>
      </c>
      <c r="Z2892" s="463"/>
      <c r="AA2892" s="463"/>
      <c r="AB2892" s="464">
        <v>4.3230264416861983</v>
      </c>
      <c r="AC2892" s="465">
        <v>1.4617308652180925E-3</v>
      </c>
      <c r="AD2892" s="465">
        <v>9.7620474080738272E-4</v>
      </c>
      <c r="AE2892" s="476">
        <v>2.5938158650117189</v>
      </c>
      <c r="AF2892" s="467">
        <v>8.7703851913085551E-4</v>
      </c>
      <c r="AG2892" s="468">
        <v>6.3101722369002071E-4</v>
      </c>
      <c r="AH2892" s="218">
        <v>2.5938158650117189</v>
      </c>
      <c r="AI2892" s="470">
        <v>8.7703851913085551E-4</v>
      </c>
      <c r="AJ2892" s="471">
        <v>5.3590681279765855E-4</v>
      </c>
      <c r="AK2892" s="218">
        <v>2.5938158650117189</v>
      </c>
      <c r="AL2892" s="470">
        <v>8.7703851913085551E-4</v>
      </c>
      <c r="AM2892" s="471">
        <v>5.3590681279765855E-4</v>
      </c>
      <c r="AN2892" s="477">
        <v>0</v>
      </c>
      <c r="AO2892" s="473">
        <v>0</v>
      </c>
      <c r="AP2892" s="474">
        <v>0</v>
      </c>
      <c r="AQ2892" s="352"/>
      <c r="AR2892" s="352"/>
      <c r="AS2892" s="352"/>
      <c r="AT2892" s="352"/>
      <c r="AU2892" s="352"/>
      <c r="AV2892" s="352"/>
      <c r="AW2892" s="352" t="s">
        <v>254</v>
      </c>
    </row>
    <row r="2893" spans="2:49" x14ac:dyDescent="0.2">
      <c r="B2893" s="460" t="s">
        <v>3219</v>
      </c>
      <c r="C2893" s="460">
        <v>8000</v>
      </c>
      <c r="D2893" s="460" t="s">
        <v>2355</v>
      </c>
      <c r="E2893" s="460" t="s">
        <v>1138</v>
      </c>
      <c r="F2893" s="460">
        <v>3</v>
      </c>
      <c r="G2893" s="460">
        <v>4</v>
      </c>
      <c r="H2893" s="461" t="s">
        <v>700</v>
      </c>
      <c r="I2893" s="461" t="s">
        <v>872</v>
      </c>
      <c r="J2893" s="461" t="s">
        <v>700</v>
      </c>
      <c r="K2893" s="594"/>
      <c r="L2893" s="594"/>
      <c r="M2893" s="352">
        <v>8000</v>
      </c>
      <c r="N2893" s="352" t="s">
        <v>760</v>
      </c>
      <c r="O2893" s="460">
        <v>3211</v>
      </c>
      <c r="P2893" s="460" t="s">
        <v>745</v>
      </c>
      <c r="Q2893" s="460" t="s">
        <v>2553</v>
      </c>
      <c r="R2893" s="460">
        <v>3211</v>
      </c>
      <c r="S2893" s="460" t="s">
        <v>1138</v>
      </c>
      <c r="T2893" s="462">
        <v>1</v>
      </c>
      <c r="U2893" s="460" t="s">
        <v>1138</v>
      </c>
      <c r="V2893" s="475">
        <v>0</v>
      </c>
      <c r="W2893" s="463" t="s">
        <v>2554</v>
      </c>
      <c r="X2893" s="463" t="s">
        <v>2554</v>
      </c>
      <c r="Y2893" s="463" t="s">
        <v>2268</v>
      </c>
      <c r="Z2893" s="463"/>
      <c r="AA2893" s="463"/>
      <c r="AB2893" s="464">
        <v>2.3266892885098129</v>
      </c>
      <c r="AC2893" s="465">
        <v>1.9859279582114696E-3</v>
      </c>
      <c r="AD2893" s="465">
        <v>9.7620474080738293E-4</v>
      </c>
      <c r="AE2893" s="476">
        <v>1.3960135731058878</v>
      </c>
      <c r="AF2893" s="467">
        <v>1.1915567749268816E-3</v>
      </c>
      <c r="AG2893" s="468">
        <v>6.3191570887135835E-4</v>
      </c>
      <c r="AH2893" s="218">
        <v>1.3960135731058878</v>
      </c>
      <c r="AI2893" s="470">
        <v>1.1915567749268816E-3</v>
      </c>
      <c r="AJ2893" s="471">
        <v>4.810749120661572E-4</v>
      </c>
      <c r="AK2893" s="218">
        <v>1.3960135731058878</v>
      </c>
      <c r="AL2893" s="470">
        <v>1.1915567749268816E-3</v>
      </c>
      <c r="AM2893" s="471">
        <v>4.810749120661572E-4</v>
      </c>
      <c r="AN2893" s="477">
        <v>0</v>
      </c>
      <c r="AO2893" s="473">
        <v>0</v>
      </c>
      <c r="AP2893" s="474">
        <v>0</v>
      </c>
      <c r="AQ2893" s="352"/>
      <c r="AR2893" s="352"/>
      <c r="AS2893" s="352"/>
      <c r="AT2893" s="352"/>
      <c r="AU2893" s="352"/>
      <c r="AV2893" s="352"/>
      <c r="AW2893" s="352" t="s">
        <v>254</v>
      </c>
    </row>
    <row r="2894" spans="2:49" x14ac:dyDescent="0.2">
      <c r="B2894" s="460" t="s">
        <v>3220</v>
      </c>
      <c r="C2894" s="460">
        <v>8000</v>
      </c>
      <c r="D2894" s="460" t="s">
        <v>2357</v>
      </c>
      <c r="E2894" s="460" t="s">
        <v>1139</v>
      </c>
      <c r="F2894" s="460">
        <v>4</v>
      </c>
      <c r="G2894" s="460">
        <v>4</v>
      </c>
      <c r="H2894" s="461" t="s">
        <v>700</v>
      </c>
      <c r="I2894" s="461" t="s">
        <v>872</v>
      </c>
      <c r="J2894" s="461" t="s">
        <v>700</v>
      </c>
      <c r="K2894" s="594"/>
      <c r="L2894" s="594"/>
      <c r="M2894" s="352">
        <v>8000</v>
      </c>
      <c r="N2894" s="352" t="s">
        <v>760</v>
      </c>
      <c r="O2894" s="460">
        <v>3211</v>
      </c>
      <c r="P2894" s="460" t="s">
        <v>745</v>
      </c>
      <c r="Q2894" s="460" t="s">
        <v>2553</v>
      </c>
      <c r="R2894" s="460">
        <v>3211</v>
      </c>
      <c r="S2894" s="460" t="s">
        <v>1139</v>
      </c>
      <c r="T2894" s="462">
        <v>1</v>
      </c>
      <c r="U2894" s="460" t="s">
        <v>1139</v>
      </c>
      <c r="V2894" s="475">
        <v>0</v>
      </c>
      <c r="W2894" s="463" t="s">
        <v>2554</v>
      </c>
      <c r="X2894" s="463" t="s">
        <v>2554</v>
      </c>
      <c r="Y2894" s="463" t="s">
        <v>2268</v>
      </c>
      <c r="Z2894" s="463"/>
      <c r="AA2894" s="463"/>
      <c r="AB2894" s="464">
        <v>0</v>
      </c>
      <c r="AC2894" s="465">
        <v>0</v>
      </c>
      <c r="AD2894" s="465">
        <v>0</v>
      </c>
      <c r="AE2894" s="476">
        <v>0</v>
      </c>
      <c r="AF2894" s="467">
        <v>0</v>
      </c>
      <c r="AG2894" s="468">
        <v>0</v>
      </c>
      <c r="AH2894" s="218">
        <v>0</v>
      </c>
      <c r="AI2894" s="470">
        <v>0</v>
      </c>
      <c r="AJ2894" s="471">
        <v>0</v>
      </c>
      <c r="AK2894" s="218">
        <v>0</v>
      </c>
      <c r="AL2894" s="470">
        <v>0</v>
      </c>
      <c r="AM2894" s="471">
        <v>0</v>
      </c>
      <c r="AN2894" s="477">
        <v>0</v>
      </c>
      <c r="AO2894" s="473">
        <v>0</v>
      </c>
      <c r="AP2894" s="474">
        <v>0</v>
      </c>
      <c r="AQ2894" s="352"/>
      <c r="AR2894" s="352"/>
      <c r="AS2894" s="352"/>
      <c r="AT2894" s="352"/>
      <c r="AU2894" s="352"/>
      <c r="AV2894" s="352"/>
      <c r="AW2894" s="352" t="s">
        <v>254</v>
      </c>
    </row>
    <row r="2895" spans="2:49" x14ac:dyDescent="0.2">
      <c r="B2895" s="460" t="s">
        <v>3217</v>
      </c>
      <c r="C2895" s="460">
        <v>8000</v>
      </c>
      <c r="D2895" s="460" t="s">
        <v>3169</v>
      </c>
      <c r="E2895" s="460" t="s">
        <v>1136</v>
      </c>
      <c r="F2895" s="460">
        <v>1</v>
      </c>
      <c r="G2895" s="460">
        <v>4</v>
      </c>
      <c r="H2895" s="461" t="s">
        <v>706</v>
      </c>
      <c r="I2895" s="461" t="s">
        <v>707</v>
      </c>
      <c r="J2895" s="461" t="s">
        <v>706</v>
      </c>
      <c r="K2895" s="594"/>
      <c r="L2895" s="594"/>
      <c r="M2895" s="352">
        <v>8000</v>
      </c>
      <c r="N2895" s="352" t="s">
        <v>760</v>
      </c>
      <c r="O2895" s="460">
        <v>3211</v>
      </c>
      <c r="P2895" s="460" t="s">
        <v>745</v>
      </c>
      <c r="Q2895" s="460" t="s">
        <v>2553</v>
      </c>
      <c r="R2895" s="460">
        <v>3211</v>
      </c>
      <c r="S2895" s="460" t="s">
        <v>1136</v>
      </c>
      <c r="T2895" s="462">
        <v>1</v>
      </c>
      <c r="U2895" s="460" t="s">
        <v>1136</v>
      </c>
      <c r="V2895" s="475">
        <v>0</v>
      </c>
      <c r="W2895" s="463" t="s">
        <v>2278</v>
      </c>
      <c r="X2895" s="463" t="s">
        <v>2278</v>
      </c>
      <c r="Y2895" s="463" t="s">
        <v>2278</v>
      </c>
      <c r="Z2895" s="463"/>
      <c r="AA2895" s="463"/>
      <c r="AB2895" s="464">
        <v>76.30755161270686</v>
      </c>
      <c r="AC2895" s="465">
        <v>0.10960236676429888</v>
      </c>
      <c r="AD2895" s="465">
        <v>0.33910064449672839</v>
      </c>
      <c r="AE2895" s="476">
        <v>76.30755161270686</v>
      </c>
      <c r="AF2895" s="467">
        <v>0.10960236676429888</v>
      </c>
      <c r="AG2895" s="468">
        <v>0.33910064449672839</v>
      </c>
      <c r="AH2895" s="218">
        <v>76.30755161270686</v>
      </c>
      <c r="AI2895" s="470">
        <v>0.10960236676429888</v>
      </c>
      <c r="AJ2895" s="471">
        <v>0.33910064449672839</v>
      </c>
      <c r="AK2895" s="218">
        <v>76.30755161270686</v>
      </c>
      <c r="AL2895" s="470">
        <v>0.10960236676429888</v>
      </c>
      <c r="AM2895" s="471">
        <v>0.33910064449672839</v>
      </c>
      <c r="AN2895" s="477">
        <v>76.30755161270686</v>
      </c>
      <c r="AO2895" s="473">
        <v>0.10960236676429888</v>
      </c>
      <c r="AP2895" s="474">
        <v>0.33910064449672839</v>
      </c>
      <c r="AQ2895" s="352"/>
      <c r="AR2895" s="352"/>
      <c r="AS2895" s="352"/>
      <c r="AT2895" s="352"/>
      <c r="AU2895" s="352"/>
      <c r="AV2895" s="352"/>
      <c r="AW2895" s="352" t="s">
        <v>254</v>
      </c>
    </row>
    <row r="2896" spans="2:49" x14ac:dyDescent="0.2">
      <c r="B2896" s="460" t="s">
        <v>3218</v>
      </c>
      <c r="C2896" s="460">
        <v>8000</v>
      </c>
      <c r="D2896" s="460" t="s">
        <v>3170</v>
      </c>
      <c r="E2896" s="460" t="s">
        <v>1137</v>
      </c>
      <c r="F2896" s="460">
        <v>2</v>
      </c>
      <c r="G2896" s="460">
        <v>4</v>
      </c>
      <c r="H2896" s="461" t="s">
        <v>706</v>
      </c>
      <c r="I2896" s="461" t="s">
        <v>707</v>
      </c>
      <c r="J2896" s="461" t="s">
        <v>706</v>
      </c>
      <c r="K2896" s="594"/>
      <c r="L2896" s="594"/>
      <c r="M2896" s="352">
        <v>8000</v>
      </c>
      <c r="N2896" s="352" t="s">
        <v>760</v>
      </c>
      <c r="O2896" s="460">
        <v>3211</v>
      </c>
      <c r="P2896" s="460" t="s">
        <v>745</v>
      </c>
      <c r="Q2896" s="460" t="s">
        <v>2553</v>
      </c>
      <c r="R2896" s="460">
        <v>3211</v>
      </c>
      <c r="S2896" s="460" t="s">
        <v>1137</v>
      </c>
      <c r="T2896" s="462">
        <v>1</v>
      </c>
      <c r="U2896" s="460" t="s">
        <v>1137</v>
      </c>
      <c r="V2896" s="475">
        <v>0</v>
      </c>
      <c r="W2896" s="463" t="s">
        <v>2278</v>
      </c>
      <c r="X2896" s="463" t="s">
        <v>2278</v>
      </c>
      <c r="Y2896" s="463" t="s">
        <v>2278</v>
      </c>
      <c r="Z2896" s="463"/>
      <c r="AA2896" s="463"/>
      <c r="AB2896" s="464">
        <v>33.979315686310912</v>
      </c>
      <c r="AC2896" s="465">
        <v>1.1489315457042794E-2</v>
      </c>
      <c r="AD2896" s="465">
        <v>9.2170558115809362E-3</v>
      </c>
      <c r="AE2896" s="476">
        <v>33.979315686310912</v>
      </c>
      <c r="AF2896" s="467">
        <v>1.1489315457042794E-2</v>
      </c>
      <c r="AG2896" s="468">
        <v>9.2170558115809362E-3</v>
      </c>
      <c r="AH2896" s="218">
        <v>33.979315686310912</v>
      </c>
      <c r="AI2896" s="470">
        <v>1.1489315457042794E-2</v>
      </c>
      <c r="AJ2896" s="471">
        <v>9.2170558115809362E-3</v>
      </c>
      <c r="AK2896" s="218">
        <v>33.979315686310912</v>
      </c>
      <c r="AL2896" s="470">
        <v>1.1489315457042794E-2</v>
      </c>
      <c r="AM2896" s="471">
        <v>9.2170558115809362E-3</v>
      </c>
      <c r="AN2896" s="477">
        <v>33.979315686310912</v>
      </c>
      <c r="AO2896" s="473">
        <v>1.1489315457042794E-2</v>
      </c>
      <c r="AP2896" s="474">
        <v>9.2170558115809362E-3</v>
      </c>
      <c r="AQ2896" s="352"/>
      <c r="AR2896" s="352"/>
      <c r="AS2896" s="352"/>
      <c r="AT2896" s="352"/>
      <c r="AU2896" s="352"/>
      <c r="AV2896" s="352"/>
      <c r="AW2896" s="352" t="s">
        <v>254</v>
      </c>
    </row>
    <row r="2897" spans="2:49" x14ac:dyDescent="0.2">
      <c r="B2897" s="460" t="s">
        <v>3219</v>
      </c>
      <c r="C2897" s="460">
        <v>8000</v>
      </c>
      <c r="D2897" s="460" t="s">
        <v>3171</v>
      </c>
      <c r="E2897" s="460" t="s">
        <v>1138</v>
      </c>
      <c r="F2897" s="460">
        <v>3</v>
      </c>
      <c r="G2897" s="460">
        <v>4</v>
      </c>
      <c r="H2897" s="461" t="s">
        <v>706</v>
      </c>
      <c r="I2897" s="461" t="s">
        <v>707</v>
      </c>
      <c r="J2897" s="461" t="s">
        <v>706</v>
      </c>
      <c r="K2897" s="594"/>
      <c r="L2897" s="594"/>
      <c r="M2897" s="352">
        <v>8000</v>
      </c>
      <c r="N2897" s="352" t="s">
        <v>760</v>
      </c>
      <c r="O2897" s="460">
        <v>3211</v>
      </c>
      <c r="P2897" s="460" t="s">
        <v>745</v>
      </c>
      <c r="Q2897" s="460" t="s">
        <v>2553</v>
      </c>
      <c r="R2897" s="460">
        <v>3211</v>
      </c>
      <c r="S2897" s="460" t="s">
        <v>1138</v>
      </c>
      <c r="T2897" s="462">
        <v>1</v>
      </c>
      <c r="U2897" s="460" t="s">
        <v>1138</v>
      </c>
      <c r="V2897" s="475">
        <v>0</v>
      </c>
      <c r="W2897" s="463" t="s">
        <v>2278</v>
      </c>
      <c r="X2897" s="463" t="s">
        <v>2278</v>
      </c>
      <c r="Y2897" s="463" t="s">
        <v>2278</v>
      </c>
      <c r="Z2897" s="463"/>
      <c r="AA2897" s="463"/>
      <c r="AB2897" s="464">
        <v>4.6134126184549498</v>
      </c>
      <c r="AC2897" s="465">
        <v>3.9377432762512272E-3</v>
      </c>
      <c r="AD2897" s="465">
        <v>2.0272736768528893E-3</v>
      </c>
      <c r="AE2897" s="476">
        <v>4.6134126184549498</v>
      </c>
      <c r="AF2897" s="467">
        <v>3.9377432762512272E-3</v>
      </c>
      <c r="AG2897" s="468">
        <v>2.0272736768528893E-3</v>
      </c>
      <c r="AH2897" s="218">
        <v>4.6134126184549498</v>
      </c>
      <c r="AI2897" s="470">
        <v>3.9377432762512272E-3</v>
      </c>
      <c r="AJ2897" s="471">
        <v>2.0272736768528893E-3</v>
      </c>
      <c r="AK2897" s="218">
        <v>4.6134126184549498</v>
      </c>
      <c r="AL2897" s="470">
        <v>3.9377432762512272E-3</v>
      </c>
      <c r="AM2897" s="471">
        <v>2.0272736768528893E-3</v>
      </c>
      <c r="AN2897" s="477">
        <v>4.6134126184549498</v>
      </c>
      <c r="AO2897" s="473">
        <v>3.9377432762512272E-3</v>
      </c>
      <c r="AP2897" s="474">
        <v>2.0272736768528893E-3</v>
      </c>
      <c r="AQ2897" s="352"/>
      <c r="AR2897" s="352"/>
      <c r="AS2897" s="352"/>
      <c r="AT2897" s="352"/>
      <c r="AU2897" s="352"/>
      <c r="AV2897" s="352"/>
      <c r="AW2897" s="352" t="s">
        <v>254</v>
      </c>
    </row>
    <row r="2898" spans="2:49" x14ac:dyDescent="0.2">
      <c r="B2898" s="460" t="s">
        <v>3220</v>
      </c>
      <c r="C2898" s="460">
        <v>8000</v>
      </c>
      <c r="D2898" s="460" t="s">
        <v>3172</v>
      </c>
      <c r="E2898" s="460" t="s">
        <v>1139</v>
      </c>
      <c r="F2898" s="460">
        <v>4</v>
      </c>
      <c r="G2898" s="460">
        <v>4</v>
      </c>
      <c r="H2898" s="461" t="s">
        <v>706</v>
      </c>
      <c r="I2898" s="461" t="s">
        <v>707</v>
      </c>
      <c r="J2898" s="461" t="s">
        <v>706</v>
      </c>
      <c r="K2898" s="594"/>
      <c r="L2898" s="594"/>
      <c r="M2898" s="352">
        <v>8000</v>
      </c>
      <c r="N2898" s="352" t="s">
        <v>760</v>
      </c>
      <c r="O2898" s="460">
        <v>3211</v>
      </c>
      <c r="P2898" s="460" t="s">
        <v>745</v>
      </c>
      <c r="Q2898" s="460" t="s">
        <v>2553</v>
      </c>
      <c r="R2898" s="460">
        <v>3211</v>
      </c>
      <c r="S2898" s="460" t="s">
        <v>1139</v>
      </c>
      <c r="T2898" s="462">
        <v>1</v>
      </c>
      <c r="U2898" s="460" t="s">
        <v>1139</v>
      </c>
      <c r="V2898" s="475">
        <v>0</v>
      </c>
      <c r="W2898" s="463" t="s">
        <v>2278</v>
      </c>
      <c r="X2898" s="463" t="s">
        <v>2278</v>
      </c>
      <c r="Y2898" s="463" t="s">
        <v>2278</v>
      </c>
      <c r="Z2898" s="463"/>
      <c r="AA2898" s="463"/>
      <c r="AB2898" s="464">
        <v>2.1093877695273013</v>
      </c>
      <c r="AC2898" s="465">
        <v>1.6087716279047891E-3</v>
      </c>
      <c r="AD2898" s="465">
        <v>1.2409259369605672E-3</v>
      </c>
      <c r="AE2898" s="476">
        <v>2.1093877695273013</v>
      </c>
      <c r="AF2898" s="467">
        <v>1.6087716279047891E-3</v>
      </c>
      <c r="AG2898" s="468">
        <v>1.2409259369605672E-3</v>
      </c>
      <c r="AH2898" s="218">
        <v>2.1093877695273013</v>
      </c>
      <c r="AI2898" s="470">
        <v>1.6087716279047891E-3</v>
      </c>
      <c r="AJ2898" s="471">
        <v>1.2409259369605672E-3</v>
      </c>
      <c r="AK2898" s="218">
        <v>2.1093877695273013</v>
      </c>
      <c r="AL2898" s="470">
        <v>1.6087716279047891E-3</v>
      </c>
      <c r="AM2898" s="471">
        <v>1.2409259369605672E-3</v>
      </c>
      <c r="AN2898" s="477">
        <v>2.1093877695273013</v>
      </c>
      <c r="AO2898" s="473">
        <v>1.6087716279047891E-3</v>
      </c>
      <c r="AP2898" s="474">
        <v>1.2409259369605672E-3</v>
      </c>
      <c r="AQ2898" s="352"/>
      <c r="AR2898" s="352"/>
      <c r="AS2898" s="352"/>
      <c r="AT2898" s="352"/>
      <c r="AU2898" s="352"/>
      <c r="AV2898" s="352"/>
      <c r="AW2898" s="352" t="s">
        <v>254</v>
      </c>
    </row>
    <row r="2899" spans="2:49" x14ac:dyDescent="0.2">
      <c r="B2899" s="460" t="s">
        <v>3217</v>
      </c>
      <c r="C2899" s="460">
        <v>8000</v>
      </c>
      <c r="D2899" s="460" t="s">
        <v>2358</v>
      </c>
      <c r="E2899" s="460" t="s">
        <v>1136</v>
      </c>
      <c r="F2899" s="460">
        <v>1</v>
      </c>
      <c r="G2899" s="460">
        <v>4</v>
      </c>
      <c r="H2899" s="461" t="s">
        <v>712</v>
      </c>
      <c r="I2899" s="461" t="s">
        <v>713</v>
      </c>
      <c r="J2899" s="461" t="s">
        <v>712</v>
      </c>
      <c r="K2899" s="594"/>
      <c r="L2899" s="594"/>
      <c r="M2899" s="352">
        <v>8000</v>
      </c>
      <c r="N2899" s="352" t="s">
        <v>760</v>
      </c>
      <c r="O2899" s="460">
        <v>3211</v>
      </c>
      <c r="P2899" s="460" t="s">
        <v>745</v>
      </c>
      <c r="Q2899" s="460" t="s">
        <v>2280</v>
      </c>
      <c r="R2899" s="460">
        <v>3211</v>
      </c>
      <c r="S2899" s="460" t="s">
        <v>1136</v>
      </c>
      <c r="T2899" s="462">
        <v>1</v>
      </c>
      <c r="U2899" s="460" t="s">
        <v>1136</v>
      </c>
      <c r="V2899" s="475">
        <v>0</v>
      </c>
      <c r="W2899" s="463" t="s">
        <v>713</v>
      </c>
      <c r="X2899" s="463" t="s">
        <v>713</v>
      </c>
      <c r="Y2899" s="463" t="s">
        <v>713</v>
      </c>
      <c r="Z2899" s="463"/>
      <c r="AA2899" s="463"/>
      <c r="AB2899" s="464">
        <v>619.57109384020657</v>
      </c>
      <c r="AC2899" s="465">
        <v>0.88990482368358759</v>
      </c>
      <c r="AD2899" s="465">
        <v>4.0832030023530081E-3</v>
      </c>
      <c r="AE2899" s="476">
        <v>619.7083357317581</v>
      </c>
      <c r="AF2899" s="467">
        <v>0.89010194750443294</v>
      </c>
      <c r="AG2899" s="468">
        <v>4.0833499739136633E-3</v>
      </c>
      <c r="AH2899" s="218">
        <v>619.7083357317581</v>
      </c>
      <c r="AI2899" s="470">
        <v>0.89010194750443294</v>
      </c>
      <c r="AJ2899" s="471">
        <v>4.1248499660180285E-3</v>
      </c>
      <c r="AK2899" s="218">
        <v>619.7083357317581</v>
      </c>
      <c r="AL2899" s="470">
        <v>0.89010194750443294</v>
      </c>
      <c r="AM2899" s="471">
        <v>4.1248499660180285E-3</v>
      </c>
      <c r="AN2899" s="477">
        <v>619.7083357317581</v>
      </c>
      <c r="AO2899" s="473">
        <v>0.89010194750443294</v>
      </c>
      <c r="AP2899" s="474">
        <v>4.1181382591157041E-3</v>
      </c>
      <c r="AQ2899" s="352"/>
      <c r="AR2899" s="352"/>
      <c r="AS2899" s="352"/>
      <c r="AT2899" s="352"/>
      <c r="AU2899" s="352"/>
      <c r="AV2899" s="352"/>
      <c r="AW2899" s="352" t="s">
        <v>254</v>
      </c>
    </row>
    <row r="2900" spans="2:49" x14ac:dyDescent="0.2">
      <c r="B2900" s="460" t="s">
        <v>3218</v>
      </c>
      <c r="C2900" s="460">
        <v>8000</v>
      </c>
      <c r="D2900" s="460" t="s">
        <v>2359</v>
      </c>
      <c r="E2900" s="460" t="s">
        <v>1137</v>
      </c>
      <c r="F2900" s="460">
        <v>2</v>
      </c>
      <c r="G2900" s="460">
        <v>4</v>
      </c>
      <c r="H2900" s="461" t="s">
        <v>712</v>
      </c>
      <c r="I2900" s="461" t="s">
        <v>713</v>
      </c>
      <c r="J2900" s="461" t="s">
        <v>712</v>
      </c>
      <c r="K2900" s="594"/>
      <c r="L2900" s="594"/>
      <c r="M2900" s="352">
        <v>8000</v>
      </c>
      <c r="N2900" s="352" t="s">
        <v>760</v>
      </c>
      <c r="O2900" s="460">
        <v>3211</v>
      </c>
      <c r="P2900" s="460" t="s">
        <v>745</v>
      </c>
      <c r="Q2900" s="460" t="s">
        <v>2280</v>
      </c>
      <c r="R2900" s="460">
        <v>3211</v>
      </c>
      <c r="S2900" s="460" t="s">
        <v>1137</v>
      </c>
      <c r="T2900" s="462">
        <v>1</v>
      </c>
      <c r="U2900" s="460" t="s">
        <v>1137</v>
      </c>
      <c r="V2900" s="475">
        <v>0</v>
      </c>
      <c r="W2900" s="463" t="s">
        <v>713</v>
      </c>
      <c r="X2900" s="463" t="s">
        <v>713</v>
      </c>
      <c r="Y2900" s="463" t="s">
        <v>713</v>
      </c>
      <c r="Z2900" s="463"/>
      <c r="AA2900" s="463"/>
      <c r="AB2900" s="464">
        <v>2919.1685196788349</v>
      </c>
      <c r="AC2900" s="465">
        <v>0.98704895367773904</v>
      </c>
      <c r="AD2900" s="465">
        <v>1.6881954235426135E-2</v>
      </c>
      <c r="AE2900" s="476">
        <v>2920.8977302555095</v>
      </c>
      <c r="AF2900" s="467">
        <v>0.98763364602382631</v>
      </c>
      <c r="AG2900" s="468">
        <v>1.6860959194269633E-2</v>
      </c>
      <c r="AH2900" s="218">
        <v>2920.8977302555095</v>
      </c>
      <c r="AI2900" s="470">
        <v>0.98763364602382631</v>
      </c>
      <c r="AJ2900" s="471">
        <v>1.6940968146562065E-2</v>
      </c>
      <c r="AK2900" s="218">
        <v>2920.8977302555095</v>
      </c>
      <c r="AL2900" s="470">
        <v>0.98763364602382631</v>
      </c>
      <c r="AM2900" s="471">
        <v>1.6940968146562065E-2</v>
      </c>
      <c r="AN2900" s="477">
        <v>2920.8977302555095</v>
      </c>
      <c r="AO2900" s="473">
        <v>0.98763364602382631</v>
      </c>
      <c r="AP2900" s="474">
        <v>1.6926989417608337E-2</v>
      </c>
      <c r="AQ2900" s="352"/>
      <c r="AR2900" s="352"/>
      <c r="AS2900" s="352"/>
      <c r="AT2900" s="352"/>
      <c r="AU2900" s="352"/>
      <c r="AV2900" s="352"/>
      <c r="AW2900" s="352" t="s">
        <v>254</v>
      </c>
    </row>
    <row r="2901" spans="2:49" x14ac:dyDescent="0.2">
      <c r="B2901" s="460" t="s">
        <v>3219</v>
      </c>
      <c r="C2901" s="460">
        <v>8000</v>
      </c>
      <c r="D2901" s="460" t="s">
        <v>2360</v>
      </c>
      <c r="E2901" s="460" t="s">
        <v>1138</v>
      </c>
      <c r="F2901" s="460">
        <v>3</v>
      </c>
      <c r="G2901" s="460">
        <v>4</v>
      </c>
      <c r="H2901" s="461" t="s">
        <v>712</v>
      </c>
      <c r="I2901" s="461" t="s">
        <v>713</v>
      </c>
      <c r="J2901" s="461" t="s">
        <v>712</v>
      </c>
      <c r="K2901" s="594"/>
      <c r="L2901" s="594"/>
      <c r="M2901" s="352">
        <v>8000</v>
      </c>
      <c r="N2901" s="352" t="s">
        <v>760</v>
      </c>
      <c r="O2901" s="460">
        <v>3211</v>
      </c>
      <c r="P2901" s="460" t="s">
        <v>745</v>
      </c>
      <c r="Q2901" s="460" t="s">
        <v>2280</v>
      </c>
      <c r="R2901" s="460">
        <v>3211</v>
      </c>
      <c r="S2901" s="460" t="s">
        <v>1138</v>
      </c>
      <c r="T2901" s="462">
        <v>1</v>
      </c>
      <c r="U2901" s="460" t="s">
        <v>1138</v>
      </c>
      <c r="V2901" s="475">
        <v>0</v>
      </c>
      <c r="W2901" s="463" t="s">
        <v>713</v>
      </c>
      <c r="X2901" s="463" t="s">
        <v>713</v>
      </c>
      <c r="Y2901" s="463" t="s">
        <v>713</v>
      </c>
      <c r="Z2901" s="463"/>
      <c r="AA2901" s="463"/>
      <c r="AB2901" s="464">
        <v>1164.647859725457</v>
      </c>
      <c r="AC2901" s="465">
        <v>0.9940763287655372</v>
      </c>
      <c r="AD2901" s="465">
        <v>1.4534277339968222E-2</v>
      </c>
      <c r="AE2901" s="476">
        <v>1165.5785354408611</v>
      </c>
      <c r="AF2901" s="467">
        <v>0.99487069994882193</v>
      </c>
      <c r="AG2901" s="468">
        <v>1.4514333775421316E-2</v>
      </c>
      <c r="AH2901" s="218">
        <v>1165.5785354408611</v>
      </c>
      <c r="AI2901" s="470">
        <v>0.99487069994882193</v>
      </c>
      <c r="AJ2901" s="471">
        <v>1.4684519749175482E-2</v>
      </c>
      <c r="AK2901" s="218">
        <v>1165.5785354408611</v>
      </c>
      <c r="AL2901" s="470">
        <v>0.99487069994882193</v>
      </c>
      <c r="AM2901" s="471">
        <v>1.4684519749175482E-2</v>
      </c>
      <c r="AN2901" s="477">
        <v>1165.5785354408611</v>
      </c>
      <c r="AO2901" s="473">
        <v>0.99487069994882193</v>
      </c>
      <c r="AP2901" s="474">
        <v>1.4683413063762543E-2</v>
      </c>
      <c r="AQ2901" s="352"/>
      <c r="AR2901" s="352"/>
      <c r="AS2901" s="352"/>
      <c r="AT2901" s="352"/>
      <c r="AU2901" s="352"/>
      <c r="AV2901" s="352"/>
      <c r="AW2901" s="352" t="s">
        <v>254</v>
      </c>
    </row>
    <row r="2902" spans="2:49" x14ac:dyDescent="0.2">
      <c r="B2902" s="460" t="s">
        <v>3220</v>
      </c>
      <c r="C2902" s="460">
        <v>8000</v>
      </c>
      <c r="D2902" s="460" t="s">
        <v>2361</v>
      </c>
      <c r="E2902" s="460" t="s">
        <v>1139</v>
      </c>
      <c r="F2902" s="460">
        <v>4</v>
      </c>
      <c r="G2902" s="460">
        <v>4</v>
      </c>
      <c r="H2902" s="461" t="s">
        <v>712</v>
      </c>
      <c r="I2902" s="461" t="s">
        <v>713</v>
      </c>
      <c r="J2902" s="461" t="s">
        <v>712</v>
      </c>
      <c r="K2902" s="594"/>
      <c r="L2902" s="594"/>
      <c r="M2902" s="352">
        <v>8000</v>
      </c>
      <c r="N2902" s="352" t="s">
        <v>760</v>
      </c>
      <c r="O2902" s="460">
        <v>3211</v>
      </c>
      <c r="P2902" s="460" t="s">
        <v>745</v>
      </c>
      <c r="Q2902" s="460" t="s">
        <v>2280</v>
      </c>
      <c r="R2902" s="460">
        <v>3211</v>
      </c>
      <c r="S2902" s="460" t="s">
        <v>1139</v>
      </c>
      <c r="T2902" s="462">
        <v>1</v>
      </c>
      <c r="U2902" s="460" t="s">
        <v>1139</v>
      </c>
      <c r="V2902" s="475">
        <v>0</v>
      </c>
      <c r="W2902" s="463" t="s">
        <v>713</v>
      </c>
      <c r="X2902" s="463" t="s">
        <v>713</v>
      </c>
      <c r="Y2902" s="463" t="s">
        <v>713</v>
      </c>
      <c r="Z2902" s="463"/>
      <c r="AA2902" s="463"/>
      <c r="AB2902" s="464">
        <v>1309.0697335794102</v>
      </c>
      <c r="AC2902" s="465">
        <v>0.99839122837209526</v>
      </c>
      <c r="AD2902" s="465">
        <v>1.4494328156723215E-2</v>
      </c>
      <c r="AE2902" s="476">
        <v>1309.0697335794102</v>
      </c>
      <c r="AF2902" s="467">
        <v>0.99839122837209526</v>
      </c>
      <c r="AG2902" s="468">
        <v>1.4494328156723215E-2</v>
      </c>
      <c r="AH2902" s="218">
        <v>1309.0697335794102</v>
      </c>
      <c r="AI2902" s="470">
        <v>0.99839122837209526</v>
      </c>
      <c r="AJ2902" s="471">
        <v>1.4806070097512919E-2</v>
      </c>
      <c r="AK2902" s="218">
        <v>1309.0697335794102</v>
      </c>
      <c r="AL2902" s="470">
        <v>0.99839122837209526</v>
      </c>
      <c r="AM2902" s="471">
        <v>1.4806070097512919E-2</v>
      </c>
      <c r="AN2902" s="477">
        <v>1309.0697335794102</v>
      </c>
      <c r="AO2902" s="473">
        <v>0.99839122837209526</v>
      </c>
      <c r="AP2902" s="474">
        <v>1.4806070097512919E-2</v>
      </c>
      <c r="AQ2902" s="352"/>
      <c r="AR2902" s="352"/>
      <c r="AS2902" s="352"/>
      <c r="AT2902" s="352"/>
      <c r="AU2902" s="352"/>
      <c r="AV2902" s="352"/>
      <c r="AW2902" s="352" t="s">
        <v>254</v>
      </c>
    </row>
    <row r="2903" spans="2:49" x14ac:dyDescent="0.2">
      <c r="B2903" s="460" t="s">
        <v>3217</v>
      </c>
      <c r="C2903" s="460">
        <v>8000</v>
      </c>
      <c r="D2903" s="460" t="s">
        <v>2362</v>
      </c>
      <c r="E2903" s="460" t="s">
        <v>1136</v>
      </c>
      <c r="F2903" s="460">
        <v>1</v>
      </c>
      <c r="G2903" s="460">
        <v>4</v>
      </c>
      <c r="H2903" s="461" t="s">
        <v>746</v>
      </c>
      <c r="I2903" s="461" t="s">
        <v>762</v>
      </c>
      <c r="J2903" s="461" t="s">
        <v>700</v>
      </c>
      <c r="K2903" s="594"/>
      <c r="L2903" s="594"/>
      <c r="M2903" s="352">
        <v>8000</v>
      </c>
      <c r="N2903" s="352" t="s">
        <v>760</v>
      </c>
      <c r="O2903" s="460">
        <v>3211</v>
      </c>
      <c r="P2903" s="460" t="s">
        <v>745</v>
      </c>
      <c r="Q2903" s="460" t="s">
        <v>2553</v>
      </c>
      <c r="R2903" s="460">
        <v>3211</v>
      </c>
      <c r="S2903" s="460" t="s">
        <v>1136</v>
      </c>
      <c r="T2903" s="462">
        <v>1</v>
      </c>
      <c r="U2903" s="460" t="s">
        <v>1136</v>
      </c>
      <c r="V2903" s="475">
        <v>0</v>
      </c>
      <c r="W2903" s="463" t="s">
        <v>2268</v>
      </c>
      <c r="X2903" s="463" t="s">
        <v>2268</v>
      </c>
      <c r="Y2903" s="463" t="s">
        <v>2554</v>
      </c>
      <c r="Z2903" s="463"/>
      <c r="AA2903" s="463"/>
      <c r="AB2903" s="464">
        <v>0</v>
      </c>
      <c r="AC2903" s="465">
        <v>0</v>
      </c>
      <c r="AD2903" s="465">
        <v>0</v>
      </c>
      <c r="AE2903" s="476">
        <v>0</v>
      </c>
      <c r="AF2903" s="467">
        <v>0</v>
      </c>
      <c r="AG2903" s="468">
        <v>0</v>
      </c>
      <c r="AH2903" s="218">
        <v>0</v>
      </c>
      <c r="AI2903" s="470">
        <v>0</v>
      </c>
      <c r="AJ2903" s="471">
        <v>0</v>
      </c>
      <c r="AK2903" s="218">
        <v>0</v>
      </c>
      <c r="AL2903" s="470">
        <v>0</v>
      </c>
      <c r="AM2903" s="471">
        <v>0</v>
      </c>
      <c r="AN2903" s="477">
        <v>3.4310472887884726E-2</v>
      </c>
      <c r="AO2903" s="473">
        <v>4.9280955211361651E-5</v>
      </c>
      <c r="AP2903" s="474">
        <v>1.5475708353651475E-4</v>
      </c>
      <c r="AQ2903" s="352"/>
      <c r="AR2903" s="352"/>
      <c r="AS2903" s="352"/>
      <c r="AT2903" s="352"/>
      <c r="AU2903" s="352"/>
      <c r="AV2903" s="352"/>
      <c r="AW2903" s="352" t="s">
        <v>254</v>
      </c>
    </row>
    <row r="2904" spans="2:49" x14ac:dyDescent="0.2">
      <c r="B2904" s="460" t="s">
        <v>3218</v>
      </c>
      <c r="C2904" s="460">
        <v>8000</v>
      </c>
      <c r="D2904" s="460" t="s">
        <v>2363</v>
      </c>
      <c r="E2904" s="460" t="s">
        <v>1137</v>
      </c>
      <c r="F2904" s="460">
        <v>2</v>
      </c>
      <c r="G2904" s="460">
        <v>4</v>
      </c>
      <c r="H2904" s="461" t="s">
        <v>746</v>
      </c>
      <c r="I2904" s="461" t="s">
        <v>762</v>
      </c>
      <c r="J2904" s="461" t="s">
        <v>700</v>
      </c>
      <c r="K2904" s="594"/>
      <c r="L2904" s="594"/>
      <c r="M2904" s="352">
        <v>8000</v>
      </c>
      <c r="N2904" s="352" t="s">
        <v>760</v>
      </c>
      <c r="O2904" s="460">
        <v>3211</v>
      </c>
      <c r="P2904" s="460" t="s">
        <v>745</v>
      </c>
      <c r="Q2904" s="460" t="s">
        <v>2553</v>
      </c>
      <c r="R2904" s="460">
        <v>3211</v>
      </c>
      <c r="S2904" s="460" t="s">
        <v>1137</v>
      </c>
      <c r="T2904" s="462">
        <v>1</v>
      </c>
      <c r="U2904" s="460" t="s">
        <v>1137</v>
      </c>
      <c r="V2904" s="475">
        <v>0</v>
      </c>
      <c r="W2904" s="463" t="s">
        <v>2268</v>
      </c>
      <c r="X2904" s="463" t="s">
        <v>2268</v>
      </c>
      <c r="Y2904" s="463" t="s">
        <v>2554</v>
      </c>
      <c r="Z2904" s="463"/>
      <c r="AA2904" s="463"/>
      <c r="AB2904" s="464">
        <v>0</v>
      </c>
      <c r="AC2904" s="465">
        <v>0</v>
      </c>
      <c r="AD2904" s="465">
        <v>0</v>
      </c>
      <c r="AE2904" s="476">
        <v>0</v>
      </c>
      <c r="AF2904" s="467">
        <v>0</v>
      </c>
      <c r="AG2904" s="468">
        <v>0</v>
      </c>
      <c r="AH2904" s="218">
        <v>0</v>
      </c>
      <c r="AI2904" s="470">
        <v>0</v>
      </c>
      <c r="AJ2904" s="471">
        <v>0</v>
      </c>
      <c r="AK2904" s="218">
        <v>0</v>
      </c>
      <c r="AL2904" s="470">
        <v>0</v>
      </c>
      <c r="AM2904" s="471">
        <v>0</v>
      </c>
      <c r="AN2904" s="477">
        <v>0.4323026441686198</v>
      </c>
      <c r="AO2904" s="473">
        <v>1.4617308652180923E-4</v>
      </c>
      <c r="AP2904" s="474">
        <v>1.1813256567878387E-4</v>
      </c>
      <c r="AQ2904" s="352"/>
      <c r="AR2904" s="352"/>
      <c r="AS2904" s="352"/>
      <c r="AT2904" s="352"/>
      <c r="AU2904" s="352"/>
      <c r="AV2904" s="352"/>
      <c r="AW2904" s="352" t="s">
        <v>254</v>
      </c>
    </row>
    <row r="2905" spans="2:49" x14ac:dyDescent="0.2">
      <c r="B2905" s="460" t="s">
        <v>3219</v>
      </c>
      <c r="C2905" s="460">
        <v>8000</v>
      </c>
      <c r="D2905" s="460" t="s">
        <v>2364</v>
      </c>
      <c r="E2905" s="460" t="s">
        <v>1138</v>
      </c>
      <c r="F2905" s="460">
        <v>3</v>
      </c>
      <c r="G2905" s="460">
        <v>4</v>
      </c>
      <c r="H2905" s="461" t="s">
        <v>746</v>
      </c>
      <c r="I2905" s="461" t="s">
        <v>762</v>
      </c>
      <c r="J2905" s="461" t="s">
        <v>700</v>
      </c>
      <c r="K2905" s="594"/>
      <c r="L2905" s="594"/>
      <c r="M2905" s="352">
        <v>8000</v>
      </c>
      <c r="N2905" s="352" t="s">
        <v>760</v>
      </c>
      <c r="O2905" s="460">
        <v>3211</v>
      </c>
      <c r="P2905" s="460" t="s">
        <v>745</v>
      </c>
      <c r="Q2905" s="460" t="s">
        <v>2553</v>
      </c>
      <c r="R2905" s="460">
        <v>3211</v>
      </c>
      <c r="S2905" s="460" t="s">
        <v>1138</v>
      </c>
      <c r="T2905" s="462">
        <v>1</v>
      </c>
      <c r="U2905" s="460" t="s">
        <v>1138</v>
      </c>
      <c r="V2905" s="475">
        <v>0</v>
      </c>
      <c r="W2905" s="463" t="s">
        <v>2268</v>
      </c>
      <c r="X2905" s="463" t="s">
        <v>2268</v>
      </c>
      <c r="Y2905" s="463" t="s">
        <v>2554</v>
      </c>
      <c r="Z2905" s="463"/>
      <c r="AA2905" s="463"/>
      <c r="AB2905" s="464">
        <v>0</v>
      </c>
      <c r="AC2905" s="465">
        <v>0</v>
      </c>
      <c r="AD2905" s="465">
        <v>0</v>
      </c>
      <c r="AE2905" s="476">
        <v>0</v>
      </c>
      <c r="AF2905" s="467">
        <v>0</v>
      </c>
      <c r="AG2905" s="468">
        <v>0</v>
      </c>
      <c r="AH2905" s="218">
        <v>0</v>
      </c>
      <c r="AI2905" s="470">
        <v>0</v>
      </c>
      <c r="AJ2905" s="471">
        <v>0</v>
      </c>
      <c r="AK2905" s="218">
        <v>0</v>
      </c>
      <c r="AL2905" s="470">
        <v>0</v>
      </c>
      <c r="AM2905" s="471">
        <v>0</v>
      </c>
      <c r="AN2905" s="477">
        <v>0.23266892885098128</v>
      </c>
      <c r="AO2905" s="473">
        <v>1.9859279582114692E-4</v>
      </c>
      <c r="AP2905" s="474">
        <v>1.2042455081649011E-4</v>
      </c>
      <c r="AQ2905" s="352"/>
      <c r="AR2905" s="352"/>
      <c r="AS2905" s="352"/>
      <c r="AT2905" s="352"/>
      <c r="AU2905" s="352"/>
      <c r="AV2905" s="352"/>
      <c r="AW2905" s="352" t="s">
        <v>254</v>
      </c>
    </row>
    <row r="2906" spans="2:49" x14ac:dyDescent="0.2">
      <c r="B2906" s="460" t="s">
        <v>3220</v>
      </c>
      <c r="C2906" s="460">
        <v>8000</v>
      </c>
      <c r="D2906" s="460" t="s">
        <v>2365</v>
      </c>
      <c r="E2906" s="460" t="s">
        <v>1139</v>
      </c>
      <c r="F2906" s="460">
        <v>4</v>
      </c>
      <c r="G2906" s="460">
        <v>4</v>
      </c>
      <c r="H2906" s="461" t="s">
        <v>746</v>
      </c>
      <c r="I2906" s="461" t="s">
        <v>762</v>
      </c>
      <c r="J2906" s="461" t="s">
        <v>700</v>
      </c>
      <c r="K2906" s="594"/>
      <c r="L2906" s="594"/>
      <c r="M2906" s="352">
        <v>8000</v>
      </c>
      <c r="N2906" s="352" t="s">
        <v>760</v>
      </c>
      <c r="O2906" s="460">
        <v>3211</v>
      </c>
      <c r="P2906" s="460" t="s">
        <v>745</v>
      </c>
      <c r="Q2906" s="460" t="s">
        <v>2553</v>
      </c>
      <c r="R2906" s="460">
        <v>3211</v>
      </c>
      <c r="S2906" s="460" t="s">
        <v>1139</v>
      </c>
      <c r="T2906" s="462">
        <v>1</v>
      </c>
      <c r="U2906" s="460" t="s">
        <v>1139</v>
      </c>
      <c r="V2906" s="475">
        <v>0</v>
      </c>
      <c r="W2906" s="463" t="s">
        <v>2268</v>
      </c>
      <c r="X2906" s="463" t="s">
        <v>2268</v>
      </c>
      <c r="Y2906" s="463" t="s">
        <v>2554</v>
      </c>
      <c r="Z2906" s="463"/>
      <c r="AA2906" s="463"/>
      <c r="AB2906" s="464">
        <v>0</v>
      </c>
      <c r="AC2906" s="465">
        <v>0</v>
      </c>
      <c r="AD2906" s="465">
        <v>0</v>
      </c>
      <c r="AE2906" s="476">
        <v>0</v>
      </c>
      <c r="AF2906" s="467">
        <v>0</v>
      </c>
      <c r="AG2906" s="468">
        <v>0</v>
      </c>
      <c r="AH2906" s="218">
        <v>0</v>
      </c>
      <c r="AI2906" s="470">
        <v>0</v>
      </c>
      <c r="AJ2906" s="471">
        <v>0</v>
      </c>
      <c r="AK2906" s="218">
        <v>0</v>
      </c>
      <c r="AL2906" s="470">
        <v>0</v>
      </c>
      <c r="AM2906" s="471">
        <v>0</v>
      </c>
      <c r="AN2906" s="477">
        <v>0</v>
      </c>
      <c r="AO2906" s="473">
        <v>0</v>
      </c>
      <c r="AP2906" s="474">
        <v>0</v>
      </c>
      <c r="AQ2906" s="352"/>
      <c r="AR2906" s="352"/>
      <c r="AS2906" s="352"/>
      <c r="AT2906" s="352"/>
      <c r="AU2906" s="352"/>
      <c r="AV2906" s="352"/>
      <c r="AW2906" s="352" t="s">
        <v>254</v>
      </c>
    </row>
    <row r="2907" spans="2:49" x14ac:dyDescent="0.2">
      <c r="B2907" s="460" t="s">
        <v>3217</v>
      </c>
      <c r="C2907" s="460">
        <v>8000</v>
      </c>
      <c r="D2907" s="460" t="s">
        <v>2366</v>
      </c>
      <c r="E2907" s="460" t="s">
        <v>1136</v>
      </c>
      <c r="F2907" s="460">
        <v>1</v>
      </c>
      <c r="G2907" s="460">
        <v>4</v>
      </c>
      <c r="H2907" s="461" t="s">
        <v>748</v>
      </c>
      <c r="I2907" s="461" t="s">
        <v>765</v>
      </c>
      <c r="J2907" s="461" t="s">
        <v>700</v>
      </c>
      <c r="K2907" s="594"/>
      <c r="L2907" s="594"/>
      <c r="M2907" s="352">
        <v>8000</v>
      </c>
      <c r="N2907" s="352" t="s">
        <v>760</v>
      </c>
      <c r="O2907" s="460">
        <v>3211</v>
      </c>
      <c r="P2907" s="460" t="s">
        <v>745</v>
      </c>
      <c r="Q2907" s="460" t="s">
        <v>2553</v>
      </c>
      <c r="R2907" s="460">
        <v>3211</v>
      </c>
      <c r="S2907" s="460" t="s">
        <v>1136</v>
      </c>
      <c r="T2907" s="462">
        <v>1</v>
      </c>
      <c r="U2907" s="460" t="s">
        <v>1136</v>
      </c>
      <c r="V2907" s="475">
        <v>0</v>
      </c>
      <c r="W2907" s="463" t="s">
        <v>2268</v>
      </c>
      <c r="X2907" s="463" t="s">
        <v>2268</v>
      </c>
      <c r="Y2907" s="463" t="s">
        <v>2554</v>
      </c>
      <c r="Z2907" s="463"/>
      <c r="AA2907" s="463"/>
      <c r="AB2907" s="464">
        <v>0</v>
      </c>
      <c r="AC2907" s="465">
        <v>0</v>
      </c>
      <c r="AD2907" s="465">
        <v>0</v>
      </c>
      <c r="AE2907" s="476">
        <v>0</v>
      </c>
      <c r="AF2907" s="467">
        <v>0</v>
      </c>
      <c r="AG2907" s="468">
        <v>0</v>
      </c>
      <c r="AH2907" s="218">
        <v>0</v>
      </c>
      <c r="AI2907" s="470">
        <v>0</v>
      </c>
      <c r="AJ2907" s="471">
        <v>0</v>
      </c>
      <c r="AK2907" s="218">
        <v>0</v>
      </c>
      <c r="AL2907" s="470">
        <v>0</v>
      </c>
      <c r="AM2907" s="471">
        <v>0</v>
      </c>
      <c r="AN2907" s="477">
        <v>0.17155236443942365</v>
      </c>
      <c r="AO2907" s="473">
        <v>2.4640477605680831E-4</v>
      </c>
      <c r="AP2907" s="474">
        <v>2.1077740985743371E-4</v>
      </c>
      <c r="AQ2907" s="352"/>
      <c r="AR2907" s="352"/>
      <c r="AS2907" s="352"/>
      <c r="AT2907" s="352"/>
      <c r="AU2907" s="352"/>
      <c r="AV2907" s="352"/>
      <c r="AW2907" s="352" t="s">
        <v>254</v>
      </c>
    </row>
    <row r="2908" spans="2:49" x14ac:dyDescent="0.2">
      <c r="B2908" s="460" t="s">
        <v>3218</v>
      </c>
      <c r="C2908" s="460">
        <v>8000</v>
      </c>
      <c r="D2908" s="460" t="s">
        <v>2367</v>
      </c>
      <c r="E2908" s="460" t="s">
        <v>1137</v>
      </c>
      <c r="F2908" s="460">
        <v>2</v>
      </c>
      <c r="G2908" s="460">
        <v>4</v>
      </c>
      <c r="H2908" s="461" t="s">
        <v>748</v>
      </c>
      <c r="I2908" s="461" t="s">
        <v>765</v>
      </c>
      <c r="J2908" s="461" t="s">
        <v>700</v>
      </c>
      <c r="K2908" s="594"/>
      <c r="L2908" s="594"/>
      <c r="M2908" s="352">
        <v>8000</v>
      </c>
      <c r="N2908" s="352" t="s">
        <v>760</v>
      </c>
      <c r="O2908" s="460">
        <v>3211</v>
      </c>
      <c r="P2908" s="460" t="s">
        <v>745</v>
      </c>
      <c r="Q2908" s="460" t="s">
        <v>2553</v>
      </c>
      <c r="R2908" s="460">
        <v>3211</v>
      </c>
      <c r="S2908" s="460" t="s">
        <v>1137</v>
      </c>
      <c r="T2908" s="462">
        <v>1</v>
      </c>
      <c r="U2908" s="460" t="s">
        <v>1137</v>
      </c>
      <c r="V2908" s="475">
        <v>0</v>
      </c>
      <c r="W2908" s="463" t="s">
        <v>2268</v>
      </c>
      <c r="X2908" s="463" t="s">
        <v>2268</v>
      </c>
      <c r="Y2908" s="463" t="s">
        <v>2554</v>
      </c>
      <c r="Z2908" s="463"/>
      <c r="AA2908" s="463"/>
      <c r="AB2908" s="464">
        <v>0</v>
      </c>
      <c r="AC2908" s="465">
        <v>0</v>
      </c>
      <c r="AD2908" s="465">
        <v>0</v>
      </c>
      <c r="AE2908" s="476">
        <v>0</v>
      </c>
      <c r="AF2908" s="467">
        <v>0</v>
      </c>
      <c r="AG2908" s="468">
        <v>0</v>
      </c>
      <c r="AH2908" s="218">
        <v>0</v>
      </c>
      <c r="AI2908" s="470">
        <v>0</v>
      </c>
      <c r="AJ2908" s="471">
        <v>0</v>
      </c>
      <c r="AK2908" s="218">
        <v>0</v>
      </c>
      <c r="AL2908" s="470">
        <v>0</v>
      </c>
      <c r="AM2908" s="471">
        <v>0</v>
      </c>
      <c r="AN2908" s="477">
        <v>2.1615132208430992</v>
      </c>
      <c r="AO2908" s="473">
        <v>7.3086543260904627E-4</v>
      </c>
      <c r="AP2908" s="474">
        <v>2.0819934968765662E-3</v>
      </c>
      <c r="AQ2908" s="352"/>
      <c r="AR2908" s="352"/>
      <c r="AS2908" s="352"/>
      <c r="AT2908" s="352"/>
      <c r="AU2908" s="352"/>
      <c r="AV2908" s="352"/>
      <c r="AW2908" s="352" t="s">
        <v>254</v>
      </c>
    </row>
    <row r="2909" spans="2:49" x14ac:dyDescent="0.2">
      <c r="B2909" s="460" t="s">
        <v>3219</v>
      </c>
      <c r="C2909" s="460">
        <v>8000</v>
      </c>
      <c r="D2909" s="460" t="s">
        <v>2368</v>
      </c>
      <c r="E2909" s="460" t="s">
        <v>1138</v>
      </c>
      <c r="F2909" s="460">
        <v>3</v>
      </c>
      <c r="G2909" s="460">
        <v>4</v>
      </c>
      <c r="H2909" s="461" t="s">
        <v>748</v>
      </c>
      <c r="I2909" s="461" t="s">
        <v>765</v>
      </c>
      <c r="J2909" s="461" t="s">
        <v>700</v>
      </c>
      <c r="K2909" s="594"/>
      <c r="L2909" s="594"/>
      <c r="M2909" s="352">
        <v>8000</v>
      </c>
      <c r="N2909" s="352" t="s">
        <v>760</v>
      </c>
      <c r="O2909" s="460">
        <v>3211</v>
      </c>
      <c r="P2909" s="460" t="s">
        <v>745</v>
      </c>
      <c r="Q2909" s="460" t="s">
        <v>2553</v>
      </c>
      <c r="R2909" s="460">
        <v>3211</v>
      </c>
      <c r="S2909" s="460" t="s">
        <v>1138</v>
      </c>
      <c r="T2909" s="462">
        <v>1</v>
      </c>
      <c r="U2909" s="460" t="s">
        <v>1138</v>
      </c>
      <c r="V2909" s="475">
        <v>0</v>
      </c>
      <c r="W2909" s="463" t="s">
        <v>2268</v>
      </c>
      <c r="X2909" s="463" t="s">
        <v>2268</v>
      </c>
      <c r="Y2909" s="463" t="s">
        <v>2554</v>
      </c>
      <c r="Z2909" s="463"/>
      <c r="AA2909" s="463"/>
      <c r="AB2909" s="464">
        <v>0</v>
      </c>
      <c r="AC2909" s="465">
        <v>0</v>
      </c>
      <c r="AD2909" s="465">
        <v>0</v>
      </c>
      <c r="AE2909" s="476">
        <v>0</v>
      </c>
      <c r="AF2909" s="467">
        <v>0</v>
      </c>
      <c r="AG2909" s="468">
        <v>0</v>
      </c>
      <c r="AH2909" s="218">
        <v>0</v>
      </c>
      <c r="AI2909" s="470">
        <v>0</v>
      </c>
      <c r="AJ2909" s="471">
        <v>0</v>
      </c>
      <c r="AK2909" s="218">
        <v>0</v>
      </c>
      <c r="AL2909" s="470">
        <v>0</v>
      </c>
      <c r="AM2909" s="471">
        <v>0</v>
      </c>
      <c r="AN2909" s="477">
        <v>1.1633446442549065</v>
      </c>
      <c r="AO2909" s="473">
        <v>9.9296397910573478E-4</v>
      </c>
      <c r="AP2909" s="474">
        <v>1.2070288122626972E-3</v>
      </c>
      <c r="AQ2909" s="352"/>
      <c r="AR2909" s="352"/>
      <c r="AS2909" s="352"/>
      <c r="AT2909" s="352"/>
      <c r="AU2909" s="352"/>
      <c r="AV2909" s="352"/>
      <c r="AW2909" s="352" t="s">
        <v>254</v>
      </c>
    </row>
    <row r="2910" spans="2:49" x14ac:dyDescent="0.2">
      <c r="B2910" s="460" t="s">
        <v>3220</v>
      </c>
      <c r="C2910" s="460">
        <v>8000</v>
      </c>
      <c r="D2910" s="460" t="s">
        <v>2369</v>
      </c>
      <c r="E2910" s="460" t="s">
        <v>1139</v>
      </c>
      <c r="F2910" s="460">
        <v>4</v>
      </c>
      <c r="G2910" s="460">
        <v>4</v>
      </c>
      <c r="H2910" s="461" t="s">
        <v>748</v>
      </c>
      <c r="I2910" s="461" t="s">
        <v>765</v>
      </c>
      <c r="J2910" s="461" t="s">
        <v>700</v>
      </c>
      <c r="K2910" s="594"/>
      <c r="L2910" s="594"/>
      <c r="M2910" s="352">
        <v>8000</v>
      </c>
      <c r="N2910" s="352" t="s">
        <v>760</v>
      </c>
      <c r="O2910" s="460">
        <v>3211</v>
      </c>
      <c r="P2910" s="460" t="s">
        <v>745</v>
      </c>
      <c r="Q2910" s="460" t="s">
        <v>2553</v>
      </c>
      <c r="R2910" s="460">
        <v>3211</v>
      </c>
      <c r="S2910" s="460" t="s">
        <v>1139</v>
      </c>
      <c r="T2910" s="462">
        <v>1</v>
      </c>
      <c r="U2910" s="460" t="s">
        <v>1139</v>
      </c>
      <c r="V2910" s="475">
        <v>0</v>
      </c>
      <c r="W2910" s="463" t="s">
        <v>2268</v>
      </c>
      <c r="X2910" s="463" t="s">
        <v>2268</v>
      </c>
      <c r="Y2910" s="463" t="s">
        <v>2554</v>
      </c>
      <c r="Z2910" s="463"/>
      <c r="AA2910" s="463"/>
      <c r="AB2910" s="464">
        <v>0</v>
      </c>
      <c r="AC2910" s="465">
        <v>0</v>
      </c>
      <c r="AD2910" s="465">
        <v>0</v>
      </c>
      <c r="AE2910" s="476">
        <v>0</v>
      </c>
      <c r="AF2910" s="467">
        <v>0</v>
      </c>
      <c r="AG2910" s="468">
        <v>0</v>
      </c>
      <c r="AH2910" s="218">
        <v>0</v>
      </c>
      <c r="AI2910" s="470">
        <v>0</v>
      </c>
      <c r="AJ2910" s="471">
        <v>0</v>
      </c>
      <c r="AK2910" s="218">
        <v>0</v>
      </c>
      <c r="AL2910" s="470">
        <v>0</v>
      </c>
      <c r="AM2910" s="471">
        <v>0</v>
      </c>
      <c r="AN2910" s="477">
        <v>0</v>
      </c>
      <c r="AO2910" s="473">
        <v>0</v>
      </c>
      <c r="AP2910" s="474">
        <v>0</v>
      </c>
      <c r="AQ2910" s="352"/>
      <c r="AR2910" s="352"/>
      <c r="AS2910" s="352"/>
      <c r="AT2910" s="352"/>
      <c r="AU2910" s="352"/>
      <c r="AV2910" s="352"/>
      <c r="AW2910" s="352" t="s">
        <v>254</v>
      </c>
    </row>
    <row r="2911" spans="2:49" x14ac:dyDescent="0.2">
      <c r="B2911" s="460" t="s">
        <v>3217</v>
      </c>
      <c r="C2911" s="460">
        <v>8000</v>
      </c>
      <c r="D2911" s="460" t="s">
        <v>2370</v>
      </c>
      <c r="E2911" s="460" t="s">
        <v>1136</v>
      </c>
      <c r="F2911" s="460">
        <v>1</v>
      </c>
      <c r="G2911" s="460">
        <v>4</v>
      </c>
      <c r="H2911" s="461" t="s">
        <v>752</v>
      </c>
      <c r="I2911" s="461" t="s">
        <v>964</v>
      </c>
      <c r="J2911" s="461" t="s">
        <v>752</v>
      </c>
      <c r="K2911" s="594"/>
      <c r="L2911" s="594"/>
      <c r="M2911" s="352">
        <v>8000</v>
      </c>
      <c r="N2911" s="352" t="s">
        <v>760</v>
      </c>
      <c r="O2911" s="460">
        <v>3211</v>
      </c>
      <c r="P2911" s="460" t="s">
        <v>745</v>
      </c>
      <c r="Q2911" s="460" t="s">
        <v>2553</v>
      </c>
      <c r="R2911" s="460">
        <v>3211</v>
      </c>
      <c r="S2911" s="460" t="s">
        <v>1136</v>
      </c>
      <c r="T2911" s="462">
        <v>1</v>
      </c>
      <c r="U2911" s="460" t="s">
        <v>1136</v>
      </c>
      <c r="V2911" s="475">
        <v>0</v>
      </c>
      <c r="W2911" s="463" t="s">
        <v>2278</v>
      </c>
      <c r="X2911" s="463" t="s">
        <v>2278</v>
      </c>
      <c r="Y2911" s="463" t="s">
        <v>2278</v>
      </c>
      <c r="Z2911" s="463"/>
      <c r="AA2911" s="463"/>
      <c r="AB2911" s="464">
        <v>0</v>
      </c>
      <c r="AC2911" s="465">
        <v>0</v>
      </c>
      <c r="AD2911" s="465">
        <v>0</v>
      </c>
      <c r="AE2911" s="476">
        <v>0</v>
      </c>
      <c r="AF2911" s="467">
        <v>0</v>
      </c>
      <c r="AG2911" s="468">
        <v>0</v>
      </c>
      <c r="AH2911" s="218">
        <v>0</v>
      </c>
      <c r="AI2911" s="470">
        <v>0</v>
      </c>
      <c r="AJ2911" s="471">
        <v>0</v>
      </c>
      <c r="AK2911" s="218">
        <v>0</v>
      </c>
      <c r="AL2911" s="470">
        <v>0</v>
      </c>
      <c r="AM2911" s="471">
        <v>0</v>
      </c>
      <c r="AN2911" s="477">
        <v>0</v>
      </c>
      <c r="AO2911" s="473">
        <v>0</v>
      </c>
      <c r="AP2911" s="474">
        <v>0</v>
      </c>
      <c r="AQ2911" s="352"/>
      <c r="AR2911" s="352"/>
      <c r="AS2911" s="352"/>
      <c r="AT2911" s="352"/>
      <c r="AU2911" s="352"/>
      <c r="AV2911" s="352"/>
      <c r="AW2911" s="352" t="s">
        <v>254</v>
      </c>
    </row>
    <row r="2912" spans="2:49" x14ac:dyDescent="0.2">
      <c r="B2912" s="460" t="s">
        <v>3218</v>
      </c>
      <c r="C2912" s="460">
        <v>8000</v>
      </c>
      <c r="D2912" s="460" t="s">
        <v>2371</v>
      </c>
      <c r="E2912" s="460" t="s">
        <v>1137</v>
      </c>
      <c r="F2912" s="460">
        <v>2</v>
      </c>
      <c r="G2912" s="460">
        <v>4</v>
      </c>
      <c r="H2912" s="461" t="s">
        <v>752</v>
      </c>
      <c r="I2912" s="461" t="s">
        <v>964</v>
      </c>
      <c r="J2912" s="461" t="s">
        <v>752</v>
      </c>
      <c r="K2912" s="594"/>
      <c r="L2912" s="594"/>
      <c r="M2912" s="352">
        <v>8000</v>
      </c>
      <c r="N2912" s="352" t="s">
        <v>760</v>
      </c>
      <c r="O2912" s="460">
        <v>3211</v>
      </c>
      <c r="P2912" s="460" t="s">
        <v>745</v>
      </c>
      <c r="Q2912" s="460" t="s">
        <v>2553</v>
      </c>
      <c r="R2912" s="460">
        <v>3211</v>
      </c>
      <c r="S2912" s="460" t="s">
        <v>1137</v>
      </c>
      <c r="T2912" s="462">
        <v>1</v>
      </c>
      <c r="U2912" s="460" t="s">
        <v>1137</v>
      </c>
      <c r="V2912" s="475">
        <v>0</v>
      </c>
      <c r="W2912" s="463" t="s">
        <v>2278</v>
      </c>
      <c r="X2912" s="463" t="s">
        <v>2278</v>
      </c>
      <c r="Y2912" s="463" t="s">
        <v>2278</v>
      </c>
      <c r="Z2912" s="463"/>
      <c r="AA2912" s="463"/>
      <c r="AB2912" s="464">
        <v>0</v>
      </c>
      <c r="AC2912" s="465">
        <v>0</v>
      </c>
      <c r="AD2912" s="465">
        <v>0</v>
      </c>
      <c r="AE2912" s="476">
        <v>0</v>
      </c>
      <c r="AF2912" s="467">
        <v>0</v>
      </c>
      <c r="AG2912" s="468">
        <v>0</v>
      </c>
      <c r="AH2912" s="218">
        <v>0</v>
      </c>
      <c r="AI2912" s="470">
        <v>0</v>
      </c>
      <c r="AJ2912" s="471">
        <v>0</v>
      </c>
      <c r="AK2912" s="218">
        <v>0</v>
      </c>
      <c r="AL2912" s="470">
        <v>0</v>
      </c>
      <c r="AM2912" s="471">
        <v>0</v>
      </c>
      <c r="AN2912" s="477">
        <v>0</v>
      </c>
      <c r="AO2912" s="473">
        <v>0</v>
      </c>
      <c r="AP2912" s="474">
        <v>0</v>
      </c>
      <c r="AQ2912" s="352"/>
      <c r="AR2912" s="352"/>
      <c r="AS2912" s="352"/>
      <c r="AT2912" s="352"/>
      <c r="AU2912" s="352"/>
      <c r="AV2912" s="352"/>
      <c r="AW2912" s="352" t="s">
        <v>254</v>
      </c>
    </row>
    <row r="2913" spans="2:49" x14ac:dyDescent="0.2">
      <c r="B2913" s="460" t="s">
        <v>3219</v>
      </c>
      <c r="C2913" s="460">
        <v>8000</v>
      </c>
      <c r="D2913" s="460" t="s">
        <v>2372</v>
      </c>
      <c r="E2913" s="460" t="s">
        <v>1138</v>
      </c>
      <c r="F2913" s="460">
        <v>3</v>
      </c>
      <c r="G2913" s="460">
        <v>4</v>
      </c>
      <c r="H2913" s="461" t="s">
        <v>752</v>
      </c>
      <c r="I2913" s="461" t="s">
        <v>964</v>
      </c>
      <c r="J2913" s="461" t="s">
        <v>752</v>
      </c>
      <c r="K2913" s="594"/>
      <c r="L2913" s="594"/>
      <c r="M2913" s="352">
        <v>8000</v>
      </c>
      <c r="N2913" s="352" t="s">
        <v>760</v>
      </c>
      <c r="O2913" s="460">
        <v>3211</v>
      </c>
      <c r="P2913" s="460" t="s">
        <v>745</v>
      </c>
      <c r="Q2913" s="460" t="s">
        <v>2553</v>
      </c>
      <c r="R2913" s="460">
        <v>3211</v>
      </c>
      <c r="S2913" s="460" t="s">
        <v>1138</v>
      </c>
      <c r="T2913" s="462">
        <v>1</v>
      </c>
      <c r="U2913" s="460" t="s">
        <v>1138</v>
      </c>
      <c r="V2913" s="475">
        <v>0</v>
      </c>
      <c r="W2913" s="463" t="s">
        <v>2278</v>
      </c>
      <c r="X2913" s="463" t="s">
        <v>2278</v>
      </c>
      <c r="Y2913" s="463" t="s">
        <v>2278</v>
      </c>
      <c r="Z2913" s="463"/>
      <c r="AA2913" s="463"/>
      <c r="AB2913" s="464">
        <v>0</v>
      </c>
      <c r="AC2913" s="465">
        <v>0</v>
      </c>
      <c r="AD2913" s="465">
        <v>0</v>
      </c>
      <c r="AE2913" s="476">
        <v>0</v>
      </c>
      <c r="AF2913" s="467">
        <v>0</v>
      </c>
      <c r="AG2913" s="468">
        <v>0</v>
      </c>
      <c r="AH2913" s="218">
        <v>0</v>
      </c>
      <c r="AI2913" s="470">
        <v>0</v>
      </c>
      <c r="AJ2913" s="471">
        <v>0</v>
      </c>
      <c r="AK2913" s="218">
        <v>0</v>
      </c>
      <c r="AL2913" s="470">
        <v>0</v>
      </c>
      <c r="AM2913" s="471">
        <v>0</v>
      </c>
      <c r="AN2913" s="477">
        <v>0</v>
      </c>
      <c r="AO2913" s="473">
        <v>0</v>
      </c>
      <c r="AP2913" s="474">
        <v>0</v>
      </c>
      <c r="AQ2913" s="352"/>
      <c r="AR2913" s="352"/>
      <c r="AS2913" s="352"/>
      <c r="AT2913" s="352"/>
      <c r="AU2913" s="352"/>
      <c r="AV2913" s="352"/>
      <c r="AW2913" s="352" t="s">
        <v>254</v>
      </c>
    </row>
    <row r="2914" spans="2:49" x14ac:dyDescent="0.2">
      <c r="B2914" s="460" t="s">
        <v>3220</v>
      </c>
      <c r="C2914" s="460">
        <v>8000</v>
      </c>
      <c r="D2914" s="460" t="s">
        <v>2373</v>
      </c>
      <c r="E2914" s="460" t="s">
        <v>1139</v>
      </c>
      <c r="F2914" s="460">
        <v>4</v>
      </c>
      <c r="G2914" s="460">
        <v>4</v>
      </c>
      <c r="H2914" s="461" t="s">
        <v>752</v>
      </c>
      <c r="I2914" s="461" t="s">
        <v>964</v>
      </c>
      <c r="J2914" s="461" t="s">
        <v>752</v>
      </c>
      <c r="K2914" s="594"/>
      <c r="L2914" s="594"/>
      <c r="M2914" s="352">
        <v>8000</v>
      </c>
      <c r="N2914" s="352" t="s">
        <v>760</v>
      </c>
      <c r="O2914" s="460">
        <v>3211</v>
      </c>
      <c r="P2914" s="460" t="s">
        <v>745</v>
      </c>
      <c r="Q2914" s="460" t="s">
        <v>2553</v>
      </c>
      <c r="R2914" s="460">
        <v>3211</v>
      </c>
      <c r="S2914" s="460" t="s">
        <v>1139</v>
      </c>
      <c r="T2914" s="462">
        <v>1</v>
      </c>
      <c r="U2914" s="460" t="s">
        <v>1139</v>
      </c>
      <c r="V2914" s="475">
        <v>0</v>
      </c>
      <c r="W2914" s="463" t="s">
        <v>2278</v>
      </c>
      <c r="X2914" s="463" t="s">
        <v>2278</v>
      </c>
      <c r="Y2914" s="463" t="s">
        <v>2278</v>
      </c>
      <c r="Z2914" s="463"/>
      <c r="AA2914" s="463"/>
      <c r="AB2914" s="464">
        <v>0</v>
      </c>
      <c r="AC2914" s="465">
        <v>0</v>
      </c>
      <c r="AD2914" s="465">
        <v>0</v>
      </c>
      <c r="AE2914" s="476">
        <v>0</v>
      </c>
      <c r="AF2914" s="467">
        <v>0</v>
      </c>
      <c r="AG2914" s="468">
        <v>0</v>
      </c>
      <c r="AH2914" s="218">
        <v>0</v>
      </c>
      <c r="AI2914" s="470">
        <v>0</v>
      </c>
      <c r="AJ2914" s="471">
        <v>0</v>
      </c>
      <c r="AK2914" s="218">
        <v>0</v>
      </c>
      <c r="AL2914" s="470">
        <v>0</v>
      </c>
      <c r="AM2914" s="471">
        <v>0</v>
      </c>
      <c r="AN2914" s="477">
        <v>0</v>
      </c>
      <c r="AO2914" s="473">
        <v>0</v>
      </c>
      <c r="AP2914" s="474">
        <v>0</v>
      </c>
      <c r="AQ2914" s="352"/>
      <c r="AR2914" s="352"/>
      <c r="AS2914" s="352"/>
      <c r="AT2914" s="352"/>
      <c r="AU2914" s="352"/>
      <c r="AV2914" s="352"/>
      <c r="AW2914" s="352" t="s">
        <v>254</v>
      </c>
    </row>
    <row r="2915" spans="2:49" x14ac:dyDescent="0.2">
      <c r="B2915" s="460" t="s">
        <v>3221</v>
      </c>
      <c r="C2915" s="460">
        <v>8000</v>
      </c>
      <c r="D2915" s="460" t="s">
        <v>2375</v>
      </c>
      <c r="E2915" s="460" t="s">
        <v>2376</v>
      </c>
      <c r="F2915" s="460">
        <v>1</v>
      </c>
      <c r="G2915" s="460">
        <v>5</v>
      </c>
      <c r="H2915" s="461" t="s">
        <v>754</v>
      </c>
      <c r="I2915" s="461" t="s">
        <v>1991</v>
      </c>
      <c r="J2915" s="461" t="s">
        <v>754</v>
      </c>
      <c r="K2915" s="594"/>
      <c r="L2915" s="594"/>
      <c r="M2915" s="352">
        <v>8000</v>
      </c>
      <c r="N2915" s="352" t="s">
        <v>760</v>
      </c>
      <c r="O2915" s="460">
        <v>3211</v>
      </c>
      <c r="P2915" s="460" t="s">
        <v>745</v>
      </c>
      <c r="Q2915" s="460" t="s">
        <v>2377</v>
      </c>
      <c r="R2915" s="460">
        <v>3211</v>
      </c>
      <c r="S2915" s="460" t="s">
        <v>2376</v>
      </c>
      <c r="T2915" s="462">
        <v>1</v>
      </c>
      <c r="U2915" s="460" t="s">
        <v>2376</v>
      </c>
      <c r="V2915" s="475">
        <v>0</v>
      </c>
      <c r="W2915" s="463" t="s">
        <v>2278</v>
      </c>
      <c r="X2915" s="463" t="s">
        <v>2278</v>
      </c>
      <c r="Y2915" s="463" t="s">
        <v>2278</v>
      </c>
      <c r="Z2915" s="463"/>
      <c r="AA2915" s="463"/>
      <c r="AB2915" s="464">
        <v>208.83339774185546</v>
      </c>
      <c r="AC2915" s="465">
        <v>1</v>
      </c>
      <c r="AD2915" s="465">
        <v>3.5107083510067696E-4</v>
      </c>
      <c r="AE2915" s="476">
        <v>208.83339774185546</v>
      </c>
      <c r="AF2915" s="467">
        <v>1</v>
      </c>
      <c r="AG2915" s="468">
        <v>3.5107083510067696E-4</v>
      </c>
      <c r="AH2915" s="218">
        <v>208.83339774185546</v>
      </c>
      <c r="AI2915" s="470">
        <v>1</v>
      </c>
      <c r="AJ2915" s="471">
        <v>3.5107083510067696E-4</v>
      </c>
      <c r="AK2915" s="218">
        <v>208.83339774185546</v>
      </c>
      <c r="AL2915" s="470">
        <v>1</v>
      </c>
      <c r="AM2915" s="471">
        <v>3.5107083510067696E-4</v>
      </c>
      <c r="AN2915" s="477">
        <v>208.83339774185546</v>
      </c>
      <c r="AO2915" s="473">
        <v>1</v>
      </c>
      <c r="AP2915" s="474">
        <v>3.5107083510067696E-4</v>
      </c>
      <c r="AQ2915" s="352"/>
      <c r="AR2915" s="352"/>
      <c r="AS2915" s="352"/>
      <c r="AT2915" s="352"/>
      <c r="AU2915" s="352"/>
      <c r="AV2915" s="352"/>
      <c r="AW2915" s="352" t="s">
        <v>127</v>
      </c>
    </row>
    <row r="2916" spans="2:49" x14ac:dyDescent="0.2">
      <c r="B2916" s="460" t="s">
        <v>3222</v>
      </c>
      <c r="C2916" s="460">
        <v>8000</v>
      </c>
      <c r="D2916" s="460" t="s">
        <v>2379</v>
      </c>
      <c r="E2916" s="460" t="s">
        <v>2380</v>
      </c>
      <c r="F2916" s="460">
        <v>2</v>
      </c>
      <c r="G2916" s="460">
        <v>5</v>
      </c>
      <c r="H2916" s="461" t="s">
        <v>754</v>
      </c>
      <c r="I2916" s="461" t="s">
        <v>1991</v>
      </c>
      <c r="J2916" s="461" t="s">
        <v>754</v>
      </c>
      <c r="K2916" s="594"/>
      <c r="L2916" s="594"/>
      <c r="M2916" s="352">
        <v>8000</v>
      </c>
      <c r="N2916" s="352" t="s">
        <v>760</v>
      </c>
      <c r="O2916" s="460">
        <v>3211</v>
      </c>
      <c r="P2916" s="460" t="s">
        <v>745</v>
      </c>
      <c r="Q2916" s="460" t="s">
        <v>2377</v>
      </c>
      <c r="R2916" s="460">
        <v>3211</v>
      </c>
      <c r="S2916" s="460" t="s">
        <v>2380</v>
      </c>
      <c r="T2916" s="462">
        <v>1</v>
      </c>
      <c r="U2916" s="460" t="s">
        <v>2380</v>
      </c>
      <c r="V2916" s="475">
        <v>0</v>
      </c>
      <c r="W2916" s="463" t="s">
        <v>2278</v>
      </c>
      <c r="X2916" s="463" t="s">
        <v>2278</v>
      </c>
      <c r="Y2916" s="463" t="s">
        <v>2278</v>
      </c>
      <c r="Z2916" s="463"/>
      <c r="AA2916" s="463"/>
      <c r="AB2916" s="464">
        <v>66.005246387074962</v>
      </c>
      <c r="AC2916" s="465">
        <v>1</v>
      </c>
      <c r="AD2916" s="465">
        <v>1.2997777541713966E-4</v>
      </c>
      <c r="AE2916" s="476">
        <v>66.005246387074962</v>
      </c>
      <c r="AF2916" s="467">
        <v>1</v>
      </c>
      <c r="AG2916" s="468">
        <v>1.2997777541713966E-4</v>
      </c>
      <c r="AH2916" s="218">
        <v>66.005246387074962</v>
      </c>
      <c r="AI2916" s="470">
        <v>1</v>
      </c>
      <c r="AJ2916" s="471">
        <v>1.2997777541713966E-4</v>
      </c>
      <c r="AK2916" s="218">
        <v>66.005246387074962</v>
      </c>
      <c r="AL2916" s="470">
        <v>1</v>
      </c>
      <c r="AM2916" s="471">
        <v>1.2997777541713966E-4</v>
      </c>
      <c r="AN2916" s="477">
        <v>66.005246387074962</v>
      </c>
      <c r="AO2916" s="473">
        <v>1</v>
      </c>
      <c r="AP2916" s="474">
        <v>1.2997777541713966E-4</v>
      </c>
      <c r="AQ2916" s="352"/>
      <c r="AR2916" s="352"/>
      <c r="AS2916" s="352"/>
      <c r="AT2916" s="352"/>
      <c r="AU2916" s="352"/>
      <c r="AV2916" s="352"/>
      <c r="AW2916" s="352" t="s">
        <v>127</v>
      </c>
    </row>
    <row r="2917" spans="2:49" x14ac:dyDescent="0.2">
      <c r="B2917" s="460" t="s">
        <v>3223</v>
      </c>
      <c r="C2917" s="460">
        <v>8000</v>
      </c>
      <c r="D2917" s="460" t="s">
        <v>2382</v>
      </c>
      <c r="E2917" s="460" t="s">
        <v>2383</v>
      </c>
      <c r="F2917" s="460">
        <v>3</v>
      </c>
      <c r="G2917" s="460">
        <v>5</v>
      </c>
      <c r="H2917" s="461" t="s">
        <v>754</v>
      </c>
      <c r="I2917" s="461" t="s">
        <v>1991</v>
      </c>
      <c r="J2917" s="461" t="s">
        <v>754</v>
      </c>
      <c r="K2917" s="594"/>
      <c r="L2917" s="594"/>
      <c r="M2917" s="352">
        <v>8000</v>
      </c>
      <c r="N2917" s="352" t="s">
        <v>760</v>
      </c>
      <c r="O2917" s="460">
        <v>3211</v>
      </c>
      <c r="P2917" s="460" t="s">
        <v>745</v>
      </c>
      <c r="Q2917" s="460" t="s">
        <v>2377</v>
      </c>
      <c r="R2917" s="460">
        <v>3211</v>
      </c>
      <c r="S2917" s="460" t="s">
        <v>2383</v>
      </c>
      <c r="T2917" s="462">
        <v>1</v>
      </c>
      <c r="U2917" s="460" t="s">
        <v>2383</v>
      </c>
      <c r="V2917" s="475">
        <v>0</v>
      </c>
      <c r="W2917" s="463" t="s">
        <v>2278</v>
      </c>
      <c r="X2917" s="463" t="s">
        <v>2278</v>
      </c>
      <c r="Y2917" s="463" t="s">
        <v>2278</v>
      </c>
      <c r="Z2917" s="463"/>
      <c r="AA2917" s="463"/>
      <c r="AB2917" s="464">
        <v>21.258247356638268</v>
      </c>
      <c r="AC2917" s="465">
        <v>1</v>
      </c>
      <c r="AD2917" s="465">
        <v>1.889572931236914E-4</v>
      </c>
      <c r="AE2917" s="476">
        <v>21.258247356638268</v>
      </c>
      <c r="AF2917" s="467">
        <v>1</v>
      </c>
      <c r="AG2917" s="468">
        <v>1.889572931236914E-4</v>
      </c>
      <c r="AH2917" s="218">
        <v>21.258247356638268</v>
      </c>
      <c r="AI2917" s="470">
        <v>1</v>
      </c>
      <c r="AJ2917" s="471">
        <v>1.889572931236914E-4</v>
      </c>
      <c r="AK2917" s="218">
        <v>21.258247356638268</v>
      </c>
      <c r="AL2917" s="470">
        <v>1</v>
      </c>
      <c r="AM2917" s="471">
        <v>1.889572931236914E-4</v>
      </c>
      <c r="AN2917" s="477">
        <v>21.258247356638268</v>
      </c>
      <c r="AO2917" s="473">
        <v>1</v>
      </c>
      <c r="AP2917" s="474">
        <v>1.889572931236914E-4</v>
      </c>
      <c r="AQ2917" s="352"/>
      <c r="AR2917" s="352"/>
      <c r="AS2917" s="352"/>
      <c r="AT2917" s="352"/>
      <c r="AU2917" s="352"/>
      <c r="AV2917" s="352"/>
      <c r="AW2917" s="352" t="s">
        <v>127</v>
      </c>
    </row>
    <row r="2918" spans="2:49" x14ac:dyDescent="0.2">
      <c r="B2918" s="460" t="s">
        <v>3224</v>
      </c>
      <c r="C2918" s="460">
        <v>8000</v>
      </c>
      <c r="D2918" s="460" t="s">
        <v>2385</v>
      </c>
      <c r="E2918" s="460" t="s">
        <v>2386</v>
      </c>
      <c r="F2918" s="460">
        <v>4</v>
      </c>
      <c r="G2918" s="460">
        <v>5</v>
      </c>
      <c r="H2918" s="461" t="s">
        <v>754</v>
      </c>
      <c r="I2918" s="461" t="s">
        <v>1991</v>
      </c>
      <c r="J2918" s="461" t="s">
        <v>754</v>
      </c>
      <c r="K2918" s="594"/>
      <c r="L2918" s="594"/>
      <c r="M2918" s="352">
        <v>8000</v>
      </c>
      <c r="N2918" s="352" t="s">
        <v>760</v>
      </c>
      <c r="O2918" s="460">
        <v>3211</v>
      </c>
      <c r="P2918" s="460" t="s">
        <v>745</v>
      </c>
      <c r="Q2918" s="460" t="s">
        <v>2377</v>
      </c>
      <c r="R2918" s="460">
        <v>3211</v>
      </c>
      <c r="S2918" s="460" t="s">
        <v>2386</v>
      </c>
      <c r="T2918" s="462">
        <v>1</v>
      </c>
      <c r="U2918" s="460" t="s">
        <v>2386</v>
      </c>
      <c r="V2918" s="475">
        <v>0</v>
      </c>
      <c r="W2918" s="463" t="s">
        <v>2278</v>
      </c>
      <c r="X2918" s="463" t="s">
        <v>2278</v>
      </c>
      <c r="Y2918" s="463" t="s">
        <v>2278</v>
      </c>
      <c r="Z2918" s="463"/>
      <c r="AA2918" s="463"/>
      <c r="AB2918" s="464">
        <v>11.386072815649806</v>
      </c>
      <c r="AC2918" s="465">
        <v>1</v>
      </c>
      <c r="AD2918" s="465">
        <v>2.1122004785744888E-4</v>
      </c>
      <c r="AE2918" s="476">
        <v>11.386072815649806</v>
      </c>
      <c r="AF2918" s="467">
        <v>1</v>
      </c>
      <c r="AG2918" s="468">
        <v>2.1122004785744888E-4</v>
      </c>
      <c r="AH2918" s="218">
        <v>11.386072815649806</v>
      </c>
      <c r="AI2918" s="470">
        <v>1</v>
      </c>
      <c r="AJ2918" s="471">
        <v>2.1122004785744888E-4</v>
      </c>
      <c r="AK2918" s="218">
        <v>11.386072815649806</v>
      </c>
      <c r="AL2918" s="470">
        <v>1</v>
      </c>
      <c r="AM2918" s="471">
        <v>2.1122004785744888E-4</v>
      </c>
      <c r="AN2918" s="477">
        <v>11.386072815649806</v>
      </c>
      <c r="AO2918" s="473">
        <v>1</v>
      </c>
      <c r="AP2918" s="474">
        <v>2.1122004785744888E-4</v>
      </c>
      <c r="AQ2918" s="352"/>
      <c r="AR2918" s="352"/>
      <c r="AS2918" s="352"/>
      <c r="AT2918" s="352"/>
      <c r="AU2918" s="352"/>
      <c r="AV2918" s="352"/>
      <c r="AW2918" s="352" t="s">
        <v>127</v>
      </c>
    </row>
    <row r="2919" spans="2:49" x14ac:dyDescent="0.2">
      <c r="B2919" s="460" t="s">
        <v>3225</v>
      </c>
      <c r="C2919" s="460">
        <v>4111</v>
      </c>
      <c r="D2919" s="460" t="s">
        <v>2264</v>
      </c>
      <c r="E2919" s="460" t="s">
        <v>2265</v>
      </c>
      <c r="F2919" s="460">
        <v>1</v>
      </c>
      <c r="G2919" s="460">
        <v>1</v>
      </c>
      <c r="H2919" s="461" t="s">
        <v>700</v>
      </c>
      <c r="I2919" s="461" t="s">
        <v>872</v>
      </c>
      <c r="J2919" s="461" t="s">
        <v>700</v>
      </c>
      <c r="K2919" s="594"/>
      <c r="L2919" s="594"/>
      <c r="M2919" s="352">
        <v>4000</v>
      </c>
      <c r="N2919" s="352" t="s">
        <v>716</v>
      </c>
      <c r="O2919" s="460">
        <v>4111</v>
      </c>
      <c r="P2919" s="460" t="s">
        <v>770</v>
      </c>
      <c r="Q2919" s="460" t="s">
        <v>2266</v>
      </c>
      <c r="R2919" s="460">
        <v>4111</v>
      </c>
      <c r="S2919" s="460" t="s">
        <v>2265</v>
      </c>
      <c r="T2919" s="462">
        <v>1</v>
      </c>
      <c r="U2919" s="460" t="s">
        <v>2265</v>
      </c>
      <c r="V2919" s="475">
        <v>0</v>
      </c>
      <c r="W2919" s="463" t="s">
        <v>2267</v>
      </c>
      <c r="X2919" s="463" t="s">
        <v>2267</v>
      </c>
      <c r="Y2919" s="463" t="s">
        <v>2268</v>
      </c>
      <c r="Z2919" s="463"/>
      <c r="AA2919" s="463"/>
      <c r="AB2919" s="464">
        <v>114.27098073398778</v>
      </c>
      <c r="AC2919" s="465">
        <v>0.25569581291624727</v>
      </c>
      <c r="AD2919" s="465">
        <v>1.0596845335344746E-3</v>
      </c>
      <c r="AE2919" s="476">
        <v>114.27098073398778</v>
      </c>
      <c r="AF2919" s="467">
        <v>0.25569581291624727</v>
      </c>
      <c r="AG2919" s="468">
        <v>1.131964863069468E-3</v>
      </c>
      <c r="AH2919" s="218">
        <v>114.27098073398778</v>
      </c>
      <c r="AI2919" s="470">
        <v>0.25569581291624727</v>
      </c>
      <c r="AJ2919" s="471">
        <v>1.089612561253396E-3</v>
      </c>
      <c r="AK2919" s="218">
        <v>114.27098073398778</v>
      </c>
      <c r="AL2919" s="470">
        <v>0.25569581291624727</v>
      </c>
      <c r="AM2919" s="471">
        <v>1.089612561253396E-3</v>
      </c>
      <c r="AN2919" s="477">
        <v>0</v>
      </c>
      <c r="AO2919" s="473">
        <v>0</v>
      </c>
      <c r="AP2919" s="474">
        <v>0</v>
      </c>
      <c r="AQ2919" s="352"/>
      <c r="AR2919" s="352"/>
      <c r="AS2919" s="352"/>
      <c r="AT2919" s="352"/>
      <c r="AU2919" s="352"/>
      <c r="AV2919" s="352"/>
      <c r="AW2919" s="352" t="s">
        <v>254</v>
      </c>
    </row>
    <row r="2920" spans="2:49" x14ac:dyDescent="0.2">
      <c r="B2920" s="460" t="s">
        <v>3226</v>
      </c>
      <c r="C2920" s="460">
        <v>4111</v>
      </c>
      <c r="D2920" s="460" t="s">
        <v>2270</v>
      </c>
      <c r="E2920" s="460" t="s">
        <v>2271</v>
      </c>
      <c r="F2920" s="460">
        <v>2</v>
      </c>
      <c r="G2920" s="460">
        <v>1</v>
      </c>
      <c r="H2920" s="461" t="s">
        <v>700</v>
      </c>
      <c r="I2920" s="461" t="s">
        <v>872</v>
      </c>
      <c r="J2920" s="461" t="s">
        <v>700</v>
      </c>
      <c r="K2920" s="594"/>
      <c r="L2920" s="594"/>
      <c r="M2920" s="352">
        <v>4000</v>
      </c>
      <c r="N2920" s="352" t="s">
        <v>716</v>
      </c>
      <c r="O2920" s="460">
        <v>4111</v>
      </c>
      <c r="P2920" s="460" t="s">
        <v>770</v>
      </c>
      <c r="Q2920" s="460" t="s">
        <v>2266</v>
      </c>
      <c r="R2920" s="460">
        <v>4111</v>
      </c>
      <c r="S2920" s="460" t="s">
        <v>2265</v>
      </c>
      <c r="T2920" s="462">
        <v>1</v>
      </c>
      <c r="U2920" s="460" t="s">
        <v>2271</v>
      </c>
      <c r="V2920" s="475">
        <v>0</v>
      </c>
      <c r="W2920" s="463" t="s">
        <v>2267</v>
      </c>
      <c r="X2920" s="463" t="s">
        <v>2267</v>
      </c>
      <c r="Y2920" s="463" t="s">
        <v>2268</v>
      </c>
      <c r="Z2920" s="463"/>
      <c r="AA2920" s="463"/>
      <c r="AB2920" s="464">
        <v>138.3661478023449</v>
      </c>
      <c r="AC2920" s="465">
        <v>0.25737787415069668</v>
      </c>
      <c r="AD2920" s="465">
        <v>1.7166801667800836E-3</v>
      </c>
      <c r="AE2920" s="476">
        <v>138.3661478023449</v>
      </c>
      <c r="AF2920" s="467">
        <v>0.25737787415069668</v>
      </c>
      <c r="AG2920" s="468">
        <v>1.8602997779730462E-3</v>
      </c>
      <c r="AH2920" s="218">
        <v>138.3661478023449</v>
      </c>
      <c r="AI2920" s="470">
        <v>0.25737787415069668</v>
      </c>
      <c r="AJ2920" s="471">
        <v>1.6336060146898369E-3</v>
      </c>
      <c r="AK2920" s="218">
        <v>138.3661478023449</v>
      </c>
      <c r="AL2920" s="470">
        <v>0.25737787415069668</v>
      </c>
      <c r="AM2920" s="471">
        <v>1.6336060146898369E-3</v>
      </c>
      <c r="AN2920" s="477">
        <v>0</v>
      </c>
      <c r="AO2920" s="473">
        <v>0</v>
      </c>
      <c r="AP2920" s="474">
        <v>0</v>
      </c>
      <c r="AQ2920" s="352"/>
      <c r="AR2920" s="352"/>
      <c r="AS2920" s="352"/>
      <c r="AT2920" s="352"/>
      <c r="AU2920" s="352"/>
      <c r="AV2920" s="352"/>
      <c r="AW2920" s="352" t="s">
        <v>254</v>
      </c>
    </row>
    <row r="2921" spans="2:49" x14ac:dyDescent="0.2">
      <c r="B2921" s="460" t="s">
        <v>3227</v>
      </c>
      <c r="C2921" s="460">
        <v>4111</v>
      </c>
      <c r="D2921" s="460" t="s">
        <v>2273</v>
      </c>
      <c r="E2921" s="460" t="s">
        <v>2274</v>
      </c>
      <c r="F2921" s="460">
        <v>3</v>
      </c>
      <c r="G2921" s="460">
        <v>1</v>
      </c>
      <c r="H2921" s="461" t="s">
        <v>700</v>
      </c>
      <c r="I2921" s="461" t="s">
        <v>872</v>
      </c>
      <c r="J2921" s="461" t="s">
        <v>700</v>
      </c>
      <c r="K2921" s="594"/>
      <c r="L2921" s="594"/>
      <c r="M2921" s="352">
        <v>4000</v>
      </c>
      <c r="N2921" s="352" t="s">
        <v>716</v>
      </c>
      <c r="O2921" s="460">
        <v>4111</v>
      </c>
      <c r="P2921" s="460" t="s">
        <v>770</v>
      </c>
      <c r="Q2921" s="460" t="s">
        <v>2266</v>
      </c>
      <c r="R2921" s="460">
        <v>4111</v>
      </c>
      <c r="S2921" s="460" t="s">
        <v>2265</v>
      </c>
      <c r="T2921" s="462">
        <v>0.74223365950407583</v>
      </c>
      <c r="U2921" s="460" t="s">
        <v>2274</v>
      </c>
      <c r="V2921" s="475">
        <v>0</v>
      </c>
      <c r="W2921" s="463" t="s">
        <v>2267</v>
      </c>
      <c r="X2921" s="463" t="s">
        <v>2267</v>
      </c>
      <c r="Y2921" s="463" t="s">
        <v>2268</v>
      </c>
      <c r="Z2921" s="463"/>
      <c r="AA2921" s="463"/>
      <c r="AB2921" s="464">
        <v>51.683995745783072</v>
      </c>
      <c r="AC2921" s="465">
        <v>0.11657323961360179</v>
      </c>
      <c r="AD2921" s="465">
        <v>2.5567894749515198E-3</v>
      </c>
      <c r="AE2921" s="476">
        <v>51.683995745783072</v>
      </c>
      <c r="AF2921" s="467">
        <v>0.11657323961360179</v>
      </c>
      <c r="AG2921" s="468">
        <v>2.7694480091028082E-3</v>
      </c>
      <c r="AH2921" s="218">
        <v>84.143675355792681</v>
      </c>
      <c r="AI2921" s="470">
        <v>0.18978603894069576</v>
      </c>
      <c r="AJ2921" s="471">
        <v>3.2651183338013347E-3</v>
      </c>
      <c r="AK2921" s="218">
        <v>84.143675355792681</v>
      </c>
      <c r="AL2921" s="470">
        <v>0.18978603894069576</v>
      </c>
      <c r="AM2921" s="471">
        <v>3.2651183338013347E-3</v>
      </c>
      <c r="AN2921" s="477">
        <v>0</v>
      </c>
      <c r="AO2921" s="473">
        <v>0</v>
      </c>
      <c r="AP2921" s="474">
        <v>0</v>
      </c>
      <c r="AQ2921" s="352"/>
      <c r="AR2921" s="352"/>
      <c r="AS2921" s="352"/>
      <c r="AT2921" s="352"/>
      <c r="AU2921" s="352"/>
      <c r="AV2921" s="352"/>
      <c r="AW2921" s="352" t="s">
        <v>254</v>
      </c>
    </row>
    <row r="2922" spans="2:49" x14ac:dyDescent="0.2">
      <c r="B2922" s="460" t="s">
        <v>3228</v>
      </c>
      <c r="C2922" s="460">
        <v>4111</v>
      </c>
      <c r="D2922" s="460" t="s">
        <v>2276</v>
      </c>
      <c r="E2922" s="460" t="s">
        <v>2277</v>
      </c>
      <c r="F2922" s="460">
        <v>4</v>
      </c>
      <c r="G2922" s="460">
        <v>1</v>
      </c>
      <c r="H2922" s="461" t="s">
        <v>700</v>
      </c>
      <c r="I2922" s="461" t="s">
        <v>872</v>
      </c>
      <c r="J2922" s="461" t="s">
        <v>700</v>
      </c>
      <c r="K2922" s="594"/>
      <c r="L2922" s="594"/>
      <c r="M2922" s="352">
        <v>4000</v>
      </c>
      <c r="N2922" s="352" t="s">
        <v>716</v>
      </c>
      <c r="O2922" s="460">
        <v>4111</v>
      </c>
      <c r="P2922" s="460" t="s">
        <v>770</v>
      </c>
      <c r="Q2922" s="460" t="s">
        <v>2266</v>
      </c>
      <c r="R2922" s="460">
        <v>4111</v>
      </c>
      <c r="S2922" s="460" t="s">
        <v>2277</v>
      </c>
      <c r="T2922" s="462">
        <v>1</v>
      </c>
      <c r="U2922" s="460" t="s">
        <v>2277</v>
      </c>
      <c r="V2922" s="475">
        <v>0</v>
      </c>
      <c r="W2922" s="463" t="s">
        <v>2278</v>
      </c>
      <c r="X2922" s="463" t="s">
        <v>2278</v>
      </c>
      <c r="Y2922" s="463" t="s">
        <v>2268</v>
      </c>
      <c r="Z2922" s="463"/>
      <c r="AA2922" s="463"/>
      <c r="AB2922" s="464">
        <v>0.24078357105060325</v>
      </c>
      <c r="AC2922" s="465">
        <v>5.4192449430349608E-4</v>
      </c>
      <c r="AD2922" s="465">
        <v>9.7185298730537942E-4</v>
      </c>
      <c r="AE2922" s="476">
        <v>0.24078357105060325</v>
      </c>
      <c r="AF2922" s="467">
        <v>5.4192449430349608E-4</v>
      </c>
      <c r="AG2922" s="468">
        <v>1.0864804108434163E-3</v>
      </c>
      <c r="AH2922" s="218">
        <v>0.24078357105060325</v>
      </c>
      <c r="AI2922" s="470">
        <v>5.4192449430349608E-4</v>
      </c>
      <c r="AJ2922" s="471">
        <v>1.0413444440893946E-3</v>
      </c>
      <c r="AK2922" s="218">
        <v>0.24078357105060325</v>
      </c>
      <c r="AL2922" s="470">
        <v>5.4192449430349608E-4</v>
      </c>
      <c r="AM2922" s="471">
        <v>1.0413444440893946E-3</v>
      </c>
      <c r="AN2922" s="477">
        <v>0</v>
      </c>
      <c r="AO2922" s="473">
        <v>0</v>
      </c>
      <c r="AP2922" s="474">
        <v>0</v>
      </c>
      <c r="AQ2922" s="352"/>
      <c r="AR2922" s="352"/>
      <c r="AS2922" s="352"/>
      <c r="AT2922" s="352"/>
      <c r="AU2922" s="352"/>
      <c r="AV2922" s="352"/>
      <c r="AW2922" s="352" t="s">
        <v>254</v>
      </c>
    </row>
    <row r="2923" spans="2:49" x14ac:dyDescent="0.2">
      <c r="B2923" s="460" t="s">
        <v>3225</v>
      </c>
      <c r="C2923" s="460">
        <v>4111</v>
      </c>
      <c r="D2923" s="460" t="s">
        <v>2279</v>
      </c>
      <c r="E2923" s="460" t="s">
        <v>2265</v>
      </c>
      <c r="F2923" s="460">
        <v>1</v>
      </c>
      <c r="G2923" s="460">
        <v>1</v>
      </c>
      <c r="H2923" s="461" t="s">
        <v>712</v>
      </c>
      <c r="I2923" s="461" t="s">
        <v>713</v>
      </c>
      <c r="J2923" s="461" t="s">
        <v>712</v>
      </c>
      <c r="K2923" s="594"/>
      <c r="L2923" s="594"/>
      <c r="M2923" s="352">
        <v>4000</v>
      </c>
      <c r="N2923" s="352" t="s">
        <v>716</v>
      </c>
      <c r="O2923" s="460">
        <v>4111</v>
      </c>
      <c r="P2923" s="460" t="s">
        <v>770</v>
      </c>
      <c r="Q2923" s="460" t="s">
        <v>2280</v>
      </c>
      <c r="R2923" s="460">
        <v>4111</v>
      </c>
      <c r="S2923" s="460" t="s">
        <v>2265</v>
      </c>
      <c r="T2923" s="462">
        <v>1</v>
      </c>
      <c r="U2923" s="460" t="s">
        <v>2265</v>
      </c>
      <c r="V2923" s="475">
        <v>0</v>
      </c>
      <c r="W2923" s="463" t="s">
        <v>713</v>
      </c>
      <c r="X2923" s="463" t="s">
        <v>713</v>
      </c>
      <c r="Y2923" s="463" t="s">
        <v>713</v>
      </c>
      <c r="Z2923" s="463"/>
      <c r="AA2923" s="463"/>
      <c r="AB2923" s="464">
        <v>332.63106052633213</v>
      </c>
      <c r="AC2923" s="465">
        <v>0.74430418708375268</v>
      </c>
      <c r="AD2923" s="465">
        <v>1.2287966622089278E-3</v>
      </c>
      <c r="AE2923" s="476">
        <v>332.63106052633219</v>
      </c>
      <c r="AF2923" s="467">
        <v>0.74430418708375279</v>
      </c>
      <c r="AG2923" s="468">
        <v>1.198315266330342E-3</v>
      </c>
      <c r="AH2923" s="218">
        <v>332.63106052633219</v>
      </c>
      <c r="AI2923" s="470">
        <v>0.74430418708375279</v>
      </c>
      <c r="AJ2923" s="471">
        <v>1.215497125457774E-3</v>
      </c>
      <c r="AK2923" s="218">
        <v>332.63106052633219</v>
      </c>
      <c r="AL2923" s="470">
        <v>0.74430418708375279</v>
      </c>
      <c r="AM2923" s="471">
        <v>1.215497125457774E-3</v>
      </c>
      <c r="AN2923" s="477">
        <v>332.63106052633219</v>
      </c>
      <c r="AO2923" s="473">
        <v>0.74430418708375279</v>
      </c>
      <c r="AP2923" s="474">
        <v>1.2151010677452837E-3</v>
      </c>
      <c r="AQ2923" s="352"/>
      <c r="AR2923" s="352"/>
      <c r="AS2923" s="352"/>
      <c r="AT2923" s="352"/>
      <c r="AU2923" s="352"/>
      <c r="AV2923" s="352"/>
      <c r="AW2923" s="352" t="s">
        <v>254</v>
      </c>
    </row>
    <row r="2924" spans="2:49" x14ac:dyDescent="0.2">
      <c r="B2924" s="460" t="s">
        <v>3226</v>
      </c>
      <c r="C2924" s="460">
        <v>4111</v>
      </c>
      <c r="D2924" s="460" t="s">
        <v>2281</v>
      </c>
      <c r="E2924" s="460" t="s">
        <v>2271</v>
      </c>
      <c r="F2924" s="460">
        <v>2</v>
      </c>
      <c r="G2924" s="460">
        <v>1</v>
      </c>
      <c r="H2924" s="461" t="s">
        <v>712</v>
      </c>
      <c r="I2924" s="461" t="s">
        <v>713</v>
      </c>
      <c r="J2924" s="461" t="s">
        <v>712</v>
      </c>
      <c r="K2924" s="594"/>
      <c r="L2924" s="594"/>
      <c r="M2924" s="352">
        <v>4000</v>
      </c>
      <c r="N2924" s="352" t="s">
        <v>716</v>
      </c>
      <c r="O2924" s="460">
        <v>4111</v>
      </c>
      <c r="P2924" s="460" t="s">
        <v>770</v>
      </c>
      <c r="Q2924" s="460" t="s">
        <v>2280</v>
      </c>
      <c r="R2924" s="460">
        <v>4111</v>
      </c>
      <c r="S2924" s="460" t="s">
        <v>2265</v>
      </c>
      <c r="T2924" s="462">
        <v>1</v>
      </c>
      <c r="U2924" s="460" t="s">
        <v>2271</v>
      </c>
      <c r="V2924" s="475">
        <v>0</v>
      </c>
      <c r="W2924" s="463" t="s">
        <v>713</v>
      </c>
      <c r="X2924" s="463" t="s">
        <v>713</v>
      </c>
      <c r="Y2924" s="463" t="s">
        <v>713</v>
      </c>
      <c r="Z2924" s="463"/>
      <c r="AA2924" s="463"/>
      <c r="AB2924" s="464">
        <v>399.233085460925</v>
      </c>
      <c r="AC2924" s="465">
        <v>0.74262212584930343</v>
      </c>
      <c r="AD2924" s="465">
        <v>1.6671656656013394E-3</v>
      </c>
      <c r="AE2924" s="476">
        <v>399.23308546092494</v>
      </c>
      <c r="AF2924" s="467">
        <v>0.74262212584930332</v>
      </c>
      <c r="AG2924" s="468">
        <v>1.6249414848778963E-3</v>
      </c>
      <c r="AH2924" s="218">
        <v>399.23308546092494</v>
      </c>
      <c r="AI2924" s="470">
        <v>0.74262212584930332</v>
      </c>
      <c r="AJ2924" s="471">
        <v>1.7151634203773664E-3</v>
      </c>
      <c r="AK2924" s="218">
        <v>399.23308546092494</v>
      </c>
      <c r="AL2924" s="470">
        <v>0.74262212584930332</v>
      </c>
      <c r="AM2924" s="471">
        <v>1.7151634203773664E-3</v>
      </c>
      <c r="AN2924" s="477">
        <v>399.23308546092494</v>
      </c>
      <c r="AO2924" s="473">
        <v>0.74262212584930332</v>
      </c>
      <c r="AP2924" s="474">
        <v>1.7145611702347929E-3</v>
      </c>
      <c r="AQ2924" s="352"/>
      <c r="AR2924" s="352"/>
      <c r="AS2924" s="352"/>
      <c r="AT2924" s="352"/>
      <c r="AU2924" s="352"/>
      <c r="AV2924" s="352"/>
      <c r="AW2924" s="352" t="s">
        <v>254</v>
      </c>
    </row>
    <row r="2925" spans="2:49" x14ac:dyDescent="0.2">
      <c r="B2925" s="460" t="s">
        <v>3227</v>
      </c>
      <c r="C2925" s="460">
        <v>4111</v>
      </c>
      <c r="D2925" s="460" t="s">
        <v>2282</v>
      </c>
      <c r="E2925" s="460" t="s">
        <v>2274</v>
      </c>
      <c r="F2925" s="460">
        <v>3</v>
      </c>
      <c r="G2925" s="460">
        <v>1</v>
      </c>
      <c r="H2925" s="461" t="s">
        <v>712</v>
      </c>
      <c r="I2925" s="461" t="s">
        <v>713</v>
      </c>
      <c r="J2925" s="461" t="s">
        <v>712</v>
      </c>
      <c r="K2925" s="594"/>
      <c r="L2925" s="594"/>
      <c r="M2925" s="352">
        <v>4000</v>
      </c>
      <c r="N2925" s="352" t="s">
        <v>716</v>
      </c>
      <c r="O2925" s="460">
        <v>4111</v>
      </c>
      <c r="P2925" s="460" t="s">
        <v>770</v>
      </c>
      <c r="Q2925" s="460" t="s">
        <v>2280</v>
      </c>
      <c r="R2925" s="460">
        <v>4111</v>
      </c>
      <c r="S2925" s="460" t="s">
        <v>2265</v>
      </c>
      <c r="T2925" s="462">
        <v>0.74223365950407583</v>
      </c>
      <c r="U2925" s="460" t="s">
        <v>2274</v>
      </c>
      <c r="V2925" s="475">
        <v>0</v>
      </c>
      <c r="W2925" s="463" t="s">
        <v>713</v>
      </c>
      <c r="X2925" s="463" t="s">
        <v>713</v>
      </c>
      <c r="Y2925" s="463" t="s">
        <v>713</v>
      </c>
      <c r="Z2925" s="463"/>
      <c r="AA2925" s="463"/>
      <c r="AB2925" s="464">
        <v>391.67672681024146</v>
      </c>
      <c r="AC2925" s="465">
        <v>0.88342676038639822</v>
      </c>
      <c r="AD2925" s="465">
        <v>2.3442684260817992E-3</v>
      </c>
      <c r="AE2925" s="476">
        <v>391.67672681024146</v>
      </c>
      <c r="AF2925" s="467">
        <v>0.88342676038639822</v>
      </c>
      <c r="AG2925" s="468">
        <v>2.3226899129169063E-3</v>
      </c>
      <c r="AH2925" s="218">
        <v>359.21704720023183</v>
      </c>
      <c r="AI2925" s="470">
        <v>0.81021396105930421</v>
      </c>
      <c r="AJ2925" s="471">
        <v>2.2573812503040858E-3</v>
      </c>
      <c r="AK2925" s="218">
        <v>359.21704720023183</v>
      </c>
      <c r="AL2925" s="470">
        <v>0.81021396105930421</v>
      </c>
      <c r="AM2925" s="471">
        <v>2.2573812503040858E-3</v>
      </c>
      <c r="AN2925" s="477">
        <v>359.21704720023183</v>
      </c>
      <c r="AO2925" s="473">
        <v>0.81021396105930421</v>
      </c>
      <c r="AP2925" s="474">
        <v>2.273665991551248E-3</v>
      </c>
      <c r="AQ2925" s="352"/>
      <c r="AR2925" s="352"/>
      <c r="AS2925" s="352"/>
      <c r="AT2925" s="352"/>
      <c r="AU2925" s="352"/>
      <c r="AV2925" s="352"/>
      <c r="AW2925" s="352" t="s">
        <v>254</v>
      </c>
    </row>
    <row r="2926" spans="2:49" x14ac:dyDescent="0.2">
      <c r="B2926" s="460" t="s">
        <v>3228</v>
      </c>
      <c r="C2926" s="460">
        <v>4111</v>
      </c>
      <c r="D2926" s="460" t="s">
        <v>2283</v>
      </c>
      <c r="E2926" s="460" t="s">
        <v>2277</v>
      </c>
      <c r="F2926" s="460">
        <v>4</v>
      </c>
      <c r="G2926" s="460">
        <v>1</v>
      </c>
      <c r="H2926" s="461" t="s">
        <v>712</v>
      </c>
      <c r="I2926" s="461" t="s">
        <v>713</v>
      </c>
      <c r="J2926" s="461" t="s">
        <v>712</v>
      </c>
      <c r="K2926" s="594"/>
      <c r="L2926" s="594"/>
      <c r="M2926" s="352">
        <v>4000</v>
      </c>
      <c r="N2926" s="352" t="s">
        <v>716</v>
      </c>
      <c r="O2926" s="460">
        <v>4111</v>
      </c>
      <c r="P2926" s="460" t="s">
        <v>770</v>
      </c>
      <c r="Q2926" s="460" t="s">
        <v>2280</v>
      </c>
      <c r="R2926" s="460">
        <v>4111</v>
      </c>
      <c r="S2926" s="460" t="s">
        <v>2277</v>
      </c>
      <c r="T2926" s="462">
        <v>1</v>
      </c>
      <c r="U2926" s="460" t="s">
        <v>2277</v>
      </c>
      <c r="V2926" s="475">
        <v>0</v>
      </c>
      <c r="W2926" s="463" t="s">
        <v>713</v>
      </c>
      <c r="X2926" s="463" t="s">
        <v>713</v>
      </c>
      <c r="Y2926" s="463" t="s">
        <v>713</v>
      </c>
      <c r="Z2926" s="463"/>
      <c r="AA2926" s="463"/>
      <c r="AB2926" s="464">
        <v>444.07124436204424</v>
      </c>
      <c r="AC2926" s="465">
        <v>0.99945807550569654</v>
      </c>
      <c r="AD2926" s="465">
        <v>2.3061840342538035E-3</v>
      </c>
      <c r="AE2926" s="476">
        <v>444.07124436204424</v>
      </c>
      <c r="AF2926" s="467">
        <v>0.99945807550569654</v>
      </c>
      <c r="AG2926" s="468">
        <v>2.3058710163146104E-3</v>
      </c>
      <c r="AH2926" s="218">
        <v>444.07124436204424</v>
      </c>
      <c r="AI2926" s="470">
        <v>0.99945807550569654</v>
      </c>
      <c r="AJ2926" s="471">
        <v>2.3059860360402726E-3</v>
      </c>
      <c r="AK2926" s="218">
        <v>444.07124436204424</v>
      </c>
      <c r="AL2926" s="470">
        <v>0.99945807550569654</v>
      </c>
      <c r="AM2926" s="471">
        <v>2.3059860360402726E-3</v>
      </c>
      <c r="AN2926" s="477">
        <v>444.07124436204424</v>
      </c>
      <c r="AO2926" s="473">
        <v>0.99945807550569654</v>
      </c>
      <c r="AP2926" s="474">
        <v>2.3059975346413132E-3</v>
      </c>
      <c r="AQ2926" s="352"/>
      <c r="AR2926" s="352"/>
      <c r="AS2926" s="352"/>
      <c r="AT2926" s="352"/>
      <c r="AU2926" s="352"/>
      <c r="AV2926" s="352"/>
      <c r="AW2926" s="352" t="s">
        <v>254</v>
      </c>
    </row>
    <row r="2927" spans="2:49" x14ac:dyDescent="0.2">
      <c r="B2927" s="460" t="s">
        <v>3225</v>
      </c>
      <c r="C2927" s="460">
        <v>4111</v>
      </c>
      <c r="D2927" s="460" t="s">
        <v>2284</v>
      </c>
      <c r="E2927" s="460" t="s">
        <v>2265</v>
      </c>
      <c r="F2927" s="460">
        <v>1</v>
      </c>
      <c r="G2927" s="460">
        <v>1</v>
      </c>
      <c r="H2927" s="461" t="s">
        <v>746</v>
      </c>
      <c r="I2927" s="461" t="s">
        <v>762</v>
      </c>
      <c r="J2927" s="461" t="s">
        <v>700</v>
      </c>
      <c r="K2927" s="594"/>
      <c r="L2927" s="594"/>
      <c r="M2927" s="352">
        <v>4000</v>
      </c>
      <c r="N2927" s="352" t="s">
        <v>716</v>
      </c>
      <c r="O2927" s="460">
        <v>4111</v>
      </c>
      <c r="P2927" s="460" t="s">
        <v>770</v>
      </c>
      <c r="Q2927" s="460" t="s">
        <v>2289</v>
      </c>
      <c r="R2927" s="460">
        <v>4111</v>
      </c>
      <c r="S2927" s="460" t="s">
        <v>2265</v>
      </c>
      <c r="T2927" s="462">
        <v>1</v>
      </c>
      <c r="U2927" s="460" t="s">
        <v>2265</v>
      </c>
      <c r="V2927" s="475">
        <v>0</v>
      </c>
      <c r="W2927" s="463" t="s">
        <v>2268</v>
      </c>
      <c r="X2927" s="463" t="s">
        <v>2268</v>
      </c>
      <c r="Y2927" s="463" t="s">
        <v>2290</v>
      </c>
      <c r="Z2927" s="463"/>
      <c r="AA2927" s="463"/>
      <c r="AB2927" s="464">
        <v>0</v>
      </c>
      <c r="AC2927" s="465">
        <v>0</v>
      </c>
      <c r="AD2927" s="465">
        <v>0</v>
      </c>
      <c r="AE2927" s="476">
        <v>0</v>
      </c>
      <c r="AF2927" s="467">
        <v>0</v>
      </c>
      <c r="AG2927" s="468">
        <v>0</v>
      </c>
      <c r="AH2927" s="218">
        <v>0</v>
      </c>
      <c r="AI2927" s="470">
        <v>0</v>
      </c>
      <c r="AJ2927" s="471">
        <v>0</v>
      </c>
      <c r="AK2927" s="218">
        <v>0</v>
      </c>
      <c r="AL2927" s="470">
        <v>0</v>
      </c>
      <c r="AM2927" s="471">
        <v>0</v>
      </c>
      <c r="AN2927" s="477">
        <v>0</v>
      </c>
      <c r="AO2927" s="473">
        <v>0</v>
      </c>
      <c r="AP2927" s="474">
        <v>0</v>
      </c>
      <c r="AQ2927" s="352"/>
      <c r="AR2927" s="352"/>
      <c r="AS2927" s="352"/>
      <c r="AT2927" s="352"/>
      <c r="AU2927" s="352"/>
      <c r="AV2927" s="352"/>
      <c r="AW2927" s="352" t="s">
        <v>254</v>
      </c>
    </row>
    <row r="2928" spans="2:49" x14ac:dyDescent="0.2">
      <c r="B2928" s="460" t="s">
        <v>3226</v>
      </c>
      <c r="C2928" s="460">
        <v>4111</v>
      </c>
      <c r="D2928" s="460" t="s">
        <v>2285</v>
      </c>
      <c r="E2928" s="460" t="s">
        <v>2271</v>
      </c>
      <c r="F2928" s="460">
        <v>2</v>
      </c>
      <c r="G2928" s="460">
        <v>1</v>
      </c>
      <c r="H2928" s="461" t="s">
        <v>746</v>
      </c>
      <c r="I2928" s="461" t="s">
        <v>762</v>
      </c>
      <c r="J2928" s="461" t="s">
        <v>700</v>
      </c>
      <c r="K2928" s="594"/>
      <c r="L2928" s="594"/>
      <c r="M2928" s="352">
        <v>4000</v>
      </c>
      <c r="N2928" s="352" t="s">
        <v>716</v>
      </c>
      <c r="O2928" s="460">
        <v>4111</v>
      </c>
      <c r="P2928" s="460" t="s">
        <v>770</v>
      </c>
      <c r="Q2928" s="460" t="s">
        <v>2289</v>
      </c>
      <c r="R2928" s="460">
        <v>4111</v>
      </c>
      <c r="S2928" s="460" t="s">
        <v>2265</v>
      </c>
      <c r="T2928" s="462">
        <v>1</v>
      </c>
      <c r="U2928" s="460" t="s">
        <v>2271</v>
      </c>
      <c r="V2928" s="475">
        <v>0</v>
      </c>
      <c r="W2928" s="463" t="s">
        <v>2268</v>
      </c>
      <c r="X2928" s="463" t="s">
        <v>2268</v>
      </c>
      <c r="Y2928" s="463" t="s">
        <v>2290</v>
      </c>
      <c r="Z2928" s="463"/>
      <c r="AA2928" s="463"/>
      <c r="AB2928" s="464">
        <v>0</v>
      </c>
      <c r="AC2928" s="465">
        <v>0</v>
      </c>
      <c r="AD2928" s="465">
        <v>0</v>
      </c>
      <c r="AE2928" s="476">
        <v>0</v>
      </c>
      <c r="AF2928" s="467">
        <v>0</v>
      </c>
      <c r="AG2928" s="468">
        <v>0</v>
      </c>
      <c r="AH2928" s="218">
        <v>0</v>
      </c>
      <c r="AI2928" s="470">
        <v>0</v>
      </c>
      <c r="AJ2928" s="471">
        <v>0</v>
      </c>
      <c r="AK2928" s="218">
        <v>0</v>
      </c>
      <c r="AL2928" s="470">
        <v>0</v>
      </c>
      <c r="AM2928" s="471">
        <v>0</v>
      </c>
      <c r="AN2928" s="477">
        <v>0</v>
      </c>
      <c r="AO2928" s="473">
        <v>0</v>
      </c>
      <c r="AP2928" s="474">
        <v>0</v>
      </c>
      <c r="AQ2928" s="352"/>
      <c r="AR2928" s="352"/>
      <c r="AS2928" s="352"/>
      <c r="AT2928" s="352"/>
      <c r="AU2928" s="352"/>
      <c r="AV2928" s="352"/>
      <c r="AW2928" s="352" t="s">
        <v>254</v>
      </c>
    </row>
    <row r="2929" spans="2:49" x14ac:dyDescent="0.2">
      <c r="B2929" s="460" t="s">
        <v>3227</v>
      </c>
      <c r="C2929" s="460">
        <v>4111</v>
      </c>
      <c r="D2929" s="460" t="s">
        <v>2286</v>
      </c>
      <c r="E2929" s="460" t="s">
        <v>2274</v>
      </c>
      <c r="F2929" s="460">
        <v>3</v>
      </c>
      <c r="G2929" s="460">
        <v>1</v>
      </c>
      <c r="H2929" s="461" t="s">
        <v>746</v>
      </c>
      <c r="I2929" s="461" t="s">
        <v>762</v>
      </c>
      <c r="J2929" s="461" t="s">
        <v>700</v>
      </c>
      <c r="K2929" s="594"/>
      <c r="L2929" s="594"/>
      <c r="M2929" s="352">
        <v>4000</v>
      </c>
      <c r="N2929" s="352" t="s">
        <v>716</v>
      </c>
      <c r="O2929" s="460">
        <v>4111</v>
      </c>
      <c r="P2929" s="460" t="s">
        <v>770</v>
      </c>
      <c r="Q2929" s="460" t="s">
        <v>2289</v>
      </c>
      <c r="R2929" s="460">
        <v>4111</v>
      </c>
      <c r="S2929" s="460" t="s">
        <v>2265</v>
      </c>
      <c r="T2929" s="462">
        <v>0.74223365950407583</v>
      </c>
      <c r="U2929" s="460" t="s">
        <v>2274</v>
      </c>
      <c r="V2929" s="475">
        <v>0</v>
      </c>
      <c r="W2929" s="463" t="s">
        <v>2268</v>
      </c>
      <c r="X2929" s="463" t="s">
        <v>2268</v>
      </c>
      <c r="Y2929" s="463" t="s">
        <v>2290</v>
      </c>
      <c r="Z2929" s="463"/>
      <c r="AA2929" s="463"/>
      <c r="AB2929" s="464">
        <v>0</v>
      </c>
      <c r="AC2929" s="465">
        <v>0</v>
      </c>
      <c r="AD2929" s="465">
        <v>0</v>
      </c>
      <c r="AE2929" s="476">
        <v>0</v>
      </c>
      <c r="AF2929" s="467">
        <v>0</v>
      </c>
      <c r="AG2929" s="468">
        <v>0</v>
      </c>
      <c r="AH2929" s="218">
        <v>0</v>
      </c>
      <c r="AI2929" s="470">
        <v>0</v>
      </c>
      <c r="AJ2929" s="471">
        <v>0</v>
      </c>
      <c r="AK2929" s="218">
        <v>0</v>
      </c>
      <c r="AL2929" s="470">
        <v>0</v>
      </c>
      <c r="AM2929" s="471">
        <v>0</v>
      </c>
      <c r="AN2929" s="477">
        <v>0</v>
      </c>
      <c r="AO2929" s="473">
        <v>0</v>
      </c>
      <c r="AP2929" s="474">
        <v>0</v>
      </c>
      <c r="AQ2929" s="352"/>
      <c r="AR2929" s="352"/>
      <c r="AS2929" s="352"/>
      <c r="AT2929" s="352"/>
      <c r="AU2929" s="352"/>
      <c r="AV2929" s="352"/>
      <c r="AW2929" s="352" t="s">
        <v>254</v>
      </c>
    </row>
    <row r="2930" spans="2:49" x14ac:dyDescent="0.2">
      <c r="B2930" s="460" t="s">
        <v>3228</v>
      </c>
      <c r="C2930" s="460">
        <v>4111</v>
      </c>
      <c r="D2930" s="460" t="s">
        <v>2287</v>
      </c>
      <c r="E2930" s="460" t="s">
        <v>2277</v>
      </c>
      <c r="F2930" s="460">
        <v>4</v>
      </c>
      <c r="G2930" s="460">
        <v>1</v>
      </c>
      <c r="H2930" s="461" t="s">
        <v>746</v>
      </c>
      <c r="I2930" s="461" t="s">
        <v>762</v>
      </c>
      <c r="J2930" s="461" t="s">
        <v>700</v>
      </c>
      <c r="K2930" s="594"/>
      <c r="L2930" s="594"/>
      <c r="M2930" s="352">
        <v>4000</v>
      </c>
      <c r="N2930" s="352" t="s">
        <v>716</v>
      </c>
      <c r="O2930" s="460">
        <v>4111</v>
      </c>
      <c r="P2930" s="460" t="s">
        <v>770</v>
      </c>
      <c r="Q2930" s="460" t="s">
        <v>2289</v>
      </c>
      <c r="R2930" s="460">
        <v>4111</v>
      </c>
      <c r="S2930" s="460" t="s">
        <v>2277</v>
      </c>
      <c r="T2930" s="462">
        <v>1</v>
      </c>
      <c r="U2930" s="460" t="s">
        <v>2277</v>
      </c>
      <c r="V2930" s="475">
        <v>0</v>
      </c>
      <c r="W2930" s="463" t="s">
        <v>2268</v>
      </c>
      <c r="X2930" s="463" t="s">
        <v>2268</v>
      </c>
      <c r="Y2930" s="463" t="s">
        <v>2290</v>
      </c>
      <c r="Z2930" s="463"/>
      <c r="AA2930" s="463"/>
      <c r="AB2930" s="464">
        <v>0</v>
      </c>
      <c r="AC2930" s="465">
        <v>0</v>
      </c>
      <c r="AD2930" s="465">
        <v>0</v>
      </c>
      <c r="AE2930" s="476">
        <v>0</v>
      </c>
      <c r="AF2930" s="467">
        <v>0</v>
      </c>
      <c r="AG2930" s="468">
        <v>0</v>
      </c>
      <c r="AH2930" s="218">
        <v>0</v>
      </c>
      <c r="AI2930" s="470">
        <v>0</v>
      </c>
      <c r="AJ2930" s="471">
        <v>0</v>
      </c>
      <c r="AK2930" s="218">
        <v>0</v>
      </c>
      <c r="AL2930" s="470">
        <v>0</v>
      </c>
      <c r="AM2930" s="471">
        <v>0</v>
      </c>
      <c r="AN2930" s="477">
        <v>0</v>
      </c>
      <c r="AO2930" s="473">
        <v>0</v>
      </c>
      <c r="AP2930" s="474">
        <v>0</v>
      </c>
      <c r="AQ2930" s="352"/>
      <c r="AR2930" s="352"/>
      <c r="AS2930" s="352"/>
      <c r="AT2930" s="352"/>
      <c r="AU2930" s="352"/>
      <c r="AV2930" s="352"/>
      <c r="AW2930" s="352" t="s">
        <v>254</v>
      </c>
    </row>
    <row r="2931" spans="2:49" x14ac:dyDescent="0.2">
      <c r="B2931" s="460" t="s">
        <v>3225</v>
      </c>
      <c r="C2931" s="460">
        <v>4111</v>
      </c>
      <c r="D2931" s="460" t="s">
        <v>2288</v>
      </c>
      <c r="E2931" s="460" t="s">
        <v>2265</v>
      </c>
      <c r="F2931" s="460">
        <v>1</v>
      </c>
      <c r="G2931" s="460">
        <v>1</v>
      </c>
      <c r="H2931" s="461" t="s">
        <v>748</v>
      </c>
      <c r="I2931" s="461" t="s">
        <v>765</v>
      </c>
      <c r="J2931" s="461" t="s">
        <v>700</v>
      </c>
      <c r="K2931" s="594"/>
      <c r="L2931" s="594"/>
      <c r="M2931" s="352">
        <v>4000</v>
      </c>
      <c r="N2931" s="352" t="s">
        <v>716</v>
      </c>
      <c r="O2931" s="460">
        <v>4111</v>
      </c>
      <c r="P2931" s="460" t="s">
        <v>770</v>
      </c>
      <c r="Q2931" s="460" t="s">
        <v>2266</v>
      </c>
      <c r="R2931" s="460">
        <v>4111</v>
      </c>
      <c r="S2931" s="460" t="s">
        <v>2265</v>
      </c>
      <c r="T2931" s="462">
        <v>1</v>
      </c>
      <c r="U2931" s="460" t="s">
        <v>2265</v>
      </c>
      <c r="V2931" s="475">
        <v>0</v>
      </c>
      <c r="W2931" s="463" t="s">
        <v>2268</v>
      </c>
      <c r="X2931" s="463" t="s">
        <v>2268</v>
      </c>
      <c r="Y2931" s="463" t="s">
        <v>2267</v>
      </c>
      <c r="Z2931" s="463"/>
      <c r="AA2931" s="463"/>
      <c r="AB2931" s="464">
        <v>0</v>
      </c>
      <c r="AC2931" s="465">
        <v>0</v>
      </c>
      <c r="AD2931" s="465">
        <v>0</v>
      </c>
      <c r="AE2931" s="476">
        <v>0</v>
      </c>
      <c r="AF2931" s="467">
        <v>0</v>
      </c>
      <c r="AG2931" s="468">
        <v>0</v>
      </c>
      <c r="AH2931" s="218">
        <v>0</v>
      </c>
      <c r="AI2931" s="470">
        <v>0</v>
      </c>
      <c r="AJ2931" s="471">
        <v>0</v>
      </c>
      <c r="AK2931" s="218">
        <v>0</v>
      </c>
      <c r="AL2931" s="470">
        <v>0</v>
      </c>
      <c r="AM2931" s="471">
        <v>0</v>
      </c>
      <c r="AN2931" s="477">
        <v>114.27098073398778</v>
      </c>
      <c r="AO2931" s="473">
        <v>0.25569581291624727</v>
      </c>
      <c r="AP2931" s="474">
        <v>7.0962978478817298E-3</v>
      </c>
      <c r="AQ2931" s="352"/>
      <c r="AR2931" s="352"/>
      <c r="AS2931" s="352"/>
      <c r="AT2931" s="352"/>
      <c r="AU2931" s="352"/>
      <c r="AV2931" s="352"/>
      <c r="AW2931" s="352" t="s">
        <v>254</v>
      </c>
    </row>
    <row r="2932" spans="2:49" x14ac:dyDescent="0.2">
      <c r="B2932" s="460" t="s">
        <v>3226</v>
      </c>
      <c r="C2932" s="460">
        <v>4111</v>
      </c>
      <c r="D2932" s="460" t="s">
        <v>2291</v>
      </c>
      <c r="E2932" s="460" t="s">
        <v>2271</v>
      </c>
      <c r="F2932" s="460">
        <v>2</v>
      </c>
      <c r="G2932" s="460">
        <v>1</v>
      </c>
      <c r="H2932" s="461" t="s">
        <v>748</v>
      </c>
      <c r="I2932" s="461" t="s">
        <v>765</v>
      </c>
      <c r="J2932" s="461" t="s">
        <v>700</v>
      </c>
      <c r="K2932" s="594"/>
      <c r="L2932" s="594"/>
      <c r="M2932" s="352">
        <v>4000</v>
      </c>
      <c r="N2932" s="352" t="s">
        <v>716</v>
      </c>
      <c r="O2932" s="460">
        <v>4111</v>
      </c>
      <c r="P2932" s="460" t="s">
        <v>770</v>
      </c>
      <c r="Q2932" s="460" t="s">
        <v>2266</v>
      </c>
      <c r="R2932" s="460">
        <v>4111</v>
      </c>
      <c r="S2932" s="460" t="s">
        <v>2265</v>
      </c>
      <c r="T2932" s="462">
        <v>1</v>
      </c>
      <c r="U2932" s="460" t="s">
        <v>2271</v>
      </c>
      <c r="V2932" s="475">
        <v>0</v>
      </c>
      <c r="W2932" s="463" t="s">
        <v>2268</v>
      </c>
      <c r="X2932" s="463" t="s">
        <v>2268</v>
      </c>
      <c r="Y2932" s="463" t="s">
        <v>2267</v>
      </c>
      <c r="Z2932" s="463"/>
      <c r="AA2932" s="463"/>
      <c r="AB2932" s="464">
        <v>0</v>
      </c>
      <c r="AC2932" s="465">
        <v>0</v>
      </c>
      <c r="AD2932" s="465">
        <v>0</v>
      </c>
      <c r="AE2932" s="476">
        <v>0</v>
      </c>
      <c r="AF2932" s="467">
        <v>0</v>
      </c>
      <c r="AG2932" s="468">
        <v>0</v>
      </c>
      <c r="AH2932" s="218">
        <v>0</v>
      </c>
      <c r="AI2932" s="470">
        <v>0</v>
      </c>
      <c r="AJ2932" s="471">
        <v>0</v>
      </c>
      <c r="AK2932" s="218">
        <v>0</v>
      </c>
      <c r="AL2932" s="470">
        <v>0</v>
      </c>
      <c r="AM2932" s="471">
        <v>0</v>
      </c>
      <c r="AN2932" s="477">
        <v>138.3661478023449</v>
      </c>
      <c r="AO2932" s="473">
        <v>0.25737787415069668</v>
      </c>
      <c r="AP2932" s="474">
        <v>8.8006511647307217E-3</v>
      </c>
      <c r="AQ2932" s="352"/>
      <c r="AR2932" s="352"/>
      <c r="AS2932" s="352"/>
      <c r="AT2932" s="352"/>
      <c r="AU2932" s="352"/>
      <c r="AV2932" s="352"/>
      <c r="AW2932" s="352" t="s">
        <v>254</v>
      </c>
    </row>
    <row r="2933" spans="2:49" x14ac:dyDescent="0.2">
      <c r="B2933" s="460" t="s">
        <v>3227</v>
      </c>
      <c r="C2933" s="460">
        <v>4111</v>
      </c>
      <c r="D2933" s="460" t="s">
        <v>2292</v>
      </c>
      <c r="E2933" s="460" t="s">
        <v>2274</v>
      </c>
      <c r="F2933" s="460">
        <v>3</v>
      </c>
      <c r="G2933" s="460">
        <v>1</v>
      </c>
      <c r="H2933" s="461" t="s">
        <v>748</v>
      </c>
      <c r="I2933" s="461" t="s">
        <v>765</v>
      </c>
      <c r="J2933" s="461" t="s">
        <v>700</v>
      </c>
      <c r="K2933" s="594"/>
      <c r="L2933" s="594"/>
      <c r="M2933" s="352">
        <v>4000</v>
      </c>
      <c r="N2933" s="352" t="s">
        <v>716</v>
      </c>
      <c r="O2933" s="460">
        <v>4111</v>
      </c>
      <c r="P2933" s="460" t="s">
        <v>770</v>
      </c>
      <c r="Q2933" s="460" t="s">
        <v>2266</v>
      </c>
      <c r="R2933" s="460">
        <v>4111</v>
      </c>
      <c r="S2933" s="460" t="s">
        <v>2265</v>
      </c>
      <c r="T2933" s="462">
        <v>0.74223365950407583</v>
      </c>
      <c r="U2933" s="460" t="s">
        <v>2274</v>
      </c>
      <c r="V2933" s="475">
        <v>0</v>
      </c>
      <c r="W2933" s="463" t="s">
        <v>2268</v>
      </c>
      <c r="X2933" s="463" t="s">
        <v>2268</v>
      </c>
      <c r="Y2933" s="463" t="s">
        <v>2267</v>
      </c>
      <c r="Z2933" s="463"/>
      <c r="AA2933" s="463"/>
      <c r="AB2933" s="464">
        <v>0</v>
      </c>
      <c r="AC2933" s="465">
        <v>0</v>
      </c>
      <c r="AD2933" s="465">
        <v>0</v>
      </c>
      <c r="AE2933" s="476">
        <v>0</v>
      </c>
      <c r="AF2933" s="467">
        <v>0</v>
      </c>
      <c r="AG2933" s="468">
        <v>0</v>
      </c>
      <c r="AH2933" s="218">
        <v>0</v>
      </c>
      <c r="AI2933" s="470">
        <v>0</v>
      </c>
      <c r="AJ2933" s="471">
        <v>0</v>
      </c>
      <c r="AK2933" s="218">
        <v>0</v>
      </c>
      <c r="AL2933" s="470">
        <v>0</v>
      </c>
      <c r="AM2933" s="471">
        <v>0</v>
      </c>
      <c r="AN2933" s="477">
        <v>84.143675355792681</v>
      </c>
      <c r="AO2933" s="473">
        <v>0.18978603894069576</v>
      </c>
      <c r="AP2933" s="474">
        <v>1.1847159339413689E-2</v>
      </c>
      <c r="AQ2933" s="352"/>
      <c r="AR2933" s="352"/>
      <c r="AS2933" s="352"/>
      <c r="AT2933" s="352"/>
      <c r="AU2933" s="352"/>
      <c r="AV2933" s="352"/>
      <c r="AW2933" s="352" t="s">
        <v>254</v>
      </c>
    </row>
    <row r="2934" spans="2:49" x14ac:dyDescent="0.2">
      <c r="B2934" s="460" t="s">
        <v>3228</v>
      </c>
      <c r="C2934" s="460">
        <v>4111</v>
      </c>
      <c r="D2934" s="460" t="s">
        <v>2293</v>
      </c>
      <c r="E2934" s="460" t="s">
        <v>2277</v>
      </c>
      <c r="F2934" s="460">
        <v>4</v>
      </c>
      <c r="G2934" s="460">
        <v>1</v>
      </c>
      <c r="H2934" s="461" t="s">
        <v>748</v>
      </c>
      <c r="I2934" s="461" t="s">
        <v>765</v>
      </c>
      <c r="J2934" s="461" t="s">
        <v>700</v>
      </c>
      <c r="K2934" s="594"/>
      <c r="L2934" s="594"/>
      <c r="M2934" s="352">
        <v>4000</v>
      </c>
      <c r="N2934" s="352" t="s">
        <v>716</v>
      </c>
      <c r="O2934" s="460">
        <v>4111</v>
      </c>
      <c r="P2934" s="460" t="s">
        <v>770</v>
      </c>
      <c r="Q2934" s="460" t="s">
        <v>2266</v>
      </c>
      <c r="R2934" s="460">
        <v>4111</v>
      </c>
      <c r="S2934" s="460" t="s">
        <v>2277</v>
      </c>
      <c r="T2934" s="462">
        <v>1</v>
      </c>
      <c r="U2934" s="460" t="s">
        <v>2277</v>
      </c>
      <c r="V2934" s="475">
        <v>0</v>
      </c>
      <c r="W2934" s="463" t="s">
        <v>2268</v>
      </c>
      <c r="X2934" s="463" t="s">
        <v>2268</v>
      </c>
      <c r="Y2934" s="463" t="s">
        <v>2278</v>
      </c>
      <c r="Z2934" s="463"/>
      <c r="AA2934" s="463"/>
      <c r="AB2934" s="464">
        <v>0</v>
      </c>
      <c r="AC2934" s="465">
        <v>0</v>
      </c>
      <c r="AD2934" s="465">
        <v>0</v>
      </c>
      <c r="AE2934" s="476">
        <v>0</v>
      </c>
      <c r="AF2934" s="467">
        <v>0</v>
      </c>
      <c r="AG2934" s="468">
        <v>0</v>
      </c>
      <c r="AH2934" s="218">
        <v>0</v>
      </c>
      <c r="AI2934" s="470">
        <v>0</v>
      </c>
      <c r="AJ2934" s="471">
        <v>0</v>
      </c>
      <c r="AK2934" s="218">
        <v>0</v>
      </c>
      <c r="AL2934" s="470">
        <v>0</v>
      </c>
      <c r="AM2934" s="471">
        <v>0</v>
      </c>
      <c r="AN2934" s="477">
        <v>0.24078357105060325</v>
      </c>
      <c r="AO2934" s="473">
        <v>5.4192449430349608E-4</v>
      </c>
      <c r="AP2934" s="474">
        <v>5.8140006371589304E-3</v>
      </c>
      <c r="AQ2934" s="352"/>
      <c r="AR2934" s="352"/>
      <c r="AS2934" s="352"/>
      <c r="AT2934" s="352"/>
      <c r="AU2934" s="352"/>
      <c r="AV2934" s="352"/>
      <c r="AW2934" s="352" t="s">
        <v>254</v>
      </c>
    </row>
    <row r="2935" spans="2:49" x14ac:dyDescent="0.2">
      <c r="B2935" s="460" t="s">
        <v>3229</v>
      </c>
      <c r="C2935" s="460">
        <v>4111</v>
      </c>
      <c r="D2935" s="460" t="s">
        <v>2295</v>
      </c>
      <c r="E2935" s="460" t="s">
        <v>2296</v>
      </c>
      <c r="F2935" s="460">
        <v>1</v>
      </c>
      <c r="G2935" s="460">
        <v>2</v>
      </c>
      <c r="H2935" s="461" t="s">
        <v>700</v>
      </c>
      <c r="I2935" s="461" t="s">
        <v>872</v>
      </c>
      <c r="J2935" s="461" t="s">
        <v>700</v>
      </c>
      <c r="K2935" s="594"/>
      <c r="L2935" s="594"/>
      <c r="M2935" s="352">
        <v>4000</v>
      </c>
      <c r="N2935" s="352" t="s">
        <v>716</v>
      </c>
      <c r="O2935" s="460">
        <v>4111</v>
      </c>
      <c r="P2935" s="460" t="s">
        <v>770</v>
      </c>
      <c r="Q2935" s="460" t="s">
        <v>2266</v>
      </c>
      <c r="R2935" s="460">
        <v>4111</v>
      </c>
      <c r="S2935" s="460" t="s">
        <v>2296</v>
      </c>
      <c r="T2935" s="462">
        <v>1</v>
      </c>
      <c r="U2935" s="460" t="s">
        <v>2296</v>
      </c>
      <c r="V2935" s="475">
        <v>0</v>
      </c>
      <c r="W2935" s="463" t="s">
        <v>2267</v>
      </c>
      <c r="X2935" s="463" t="s">
        <v>2267</v>
      </c>
      <c r="Y2935" s="463" t="s">
        <v>2268</v>
      </c>
      <c r="Z2935" s="463"/>
      <c r="AA2935" s="463"/>
      <c r="AB2935" s="464">
        <v>19.00546760635277</v>
      </c>
      <c r="AC2935" s="465">
        <v>9.2722692470164375E-2</v>
      </c>
      <c r="AD2935" s="465">
        <v>1.1101801813216893E-3</v>
      </c>
      <c r="AE2935" s="476">
        <v>19.00546760635277</v>
      </c>
      <c r="AF2935" s="467">
        <v>9.2722692470164375E-2</v>
      </c>
      <c r="AG2935" s="468">
        <v>1.2340257477564745E-3</v>
      </c>
      <c r="AH2935" s="218">
        <v>19.00546760635277</v>
      </c>
      <c r="AI2935" s="470">
        <v>9.2722692470164375E-2</v>
      </c>
      <c r="AJ2935" s="471">
        <v>1.1337396850242428E-3</v>
      </c>
      <c r="AK2935" s="218">
        <v>19.00546760635277</v>
      </c>
      <c r="AL2935" s="470">
        <v>9.2722692470164375E-2</v>
      </c>
      <c r="AM2935" s="471">
        <v>1.1337396850242428E-3</v>
      </c>
      <c r="AN2935" s="477">
        <v>0</v>
      </c>
      <c r="AO2935" s="473">
        <v>0</v>
      </c>
      <c r="AP2935" s="474">
        <v>0</v>
      </c>
      <c r="AQ2935" s="352"/>
      <c r="AR2935" s="352"/>
      <c r="AS2935" s="352"/>
      <c r="AT2935" s="352"/>
      <c r="AU2935" s="352"/>
      <c r="AV2935" s="352"/>
      <c r="AW2935" s="352" t="s">
        <v>254</v>
      </c>
    </row>
    <row r="2936" spans="2:49" x14ac:dyDescent="0.2">
      <c r="B2936" s="460" t="s">
        <v>3230</v>
      </c>
      <c r="C2936" s="460">
        <v>4111</v>
      </c>
      <c r="D2936" s="460" t="s">
        <v>2298</v>
      </c>
      <c r="E2936" s="460" t="s">
        <v>2299</v>
      </c>
      <c r="F2936" s="460">
        <v>2</v>
      </c>
      <c r="G2936" s="460">
        <v>2</v>
      </c>
      <c r="H2936" s="461" t="s">
        <v>700</v>
      </c>
      <c r="I2936" s="461" t="s">
        <v>872</v>
      </c>
      <c r="J2936" s="461" t="s">
        <v>700</v>
      </c>
      <c r="K2936" s="594"/>
      <c r="L2936" s="594"/>
      <c r="M2936" s="352">
        <v>4000</v>
      </c>
      <c r="N2936" s="352" t="s">
        <v>716</v>
      </c>
      <c r="O2936" s="460">
        <v>4111</v>
      </c>
      <c r="P2936" s="460" t="s">
        <v>770</v>
      </c>
      <c r="Q2936" s="460" t="s">
        <v>2266</v>
      </c>
      <c r="R2936" s="460">
        <v>4111</v>
      </c>
      <c r="S2936" s="460" t="s">
        <v>2296</v>
      </c>
      <c r="T2936" s="462">
        <v>0.55517361979372948</v>
      </c>
      <c r="U2936" s="460" t="s">
        <v>2299</v>
      </c>
      <c r="V2936" s="475">
        <v>0</v>
      </c>
      <c r="W2936" s="463" t="s">
        <v>2267</v>
      </c>
      <c r="X2936" s="463" t="s">
        <v>2267</v>
      </c>
      <c r="Y2936" s="463" t="s">
        <v>2268</v>
      </c>
      <c r="Z2936" s="463"/>
      <c r="AA2936" s="463"/>
      <c r="AB2936" s="464">
        <v>2.7526722639430994</v>
      </c>
      <c r="AC2936" s="465">
        <v>2.1619229800124862E-2</v>
      </c>
      <c r="AD2936" s="465">
        <v>8.3290201495947404E-4</v>
      </c>
      <c r="AE2936" s="476">
        <v>2.7526722639430994</v>
      </c>
      <c r="AF2936" s="467">
        <v>2.1619229800124862E-2</v>
      </c>
      <c r="AG2936" s="468">
        <v>9.346768355788231E-4</v>
      </c>
      <c r="AH2936" s="218">
        <v>6.5543426939548173</v>
      </c>
      <c r="AI2936" s="470">
        <v>5.1477192815681937E-2</v>
      </c>
      <c r="AJ2936" s="471">
        <v>1.5434662907853752E-3</v>
      </c>
      <c r="AK2936" s="218">
        <v>6.5543426939548173</v>
      </c>
      <c r="AL2936" s="470">
        <v>5.1477192815681937E-2</v>
      </c>
      <c r="AM2936" s="471">
        <v>1.5434662907853752E-3</v>
      </c>
      <c r="AN2936" s="477">
        <v>0</v>
      </c>
      <c r="AO2936" s="473">
        <v>0</v>
      </c>
      <c r="AP2936" s="474">
        <v>0</v>
      </c>
      <c r="AQ2936" s="352"/>
      <c r="AR2936" s="352"/>
      <c r="AS2936" s="352"/>
      <c r="AT2936" s="352"/>
      <c r="AU2936" s="352"/>
      <c r="AV2936" s="352"/>
      <c r="AW2936" s="352" t="s">
        <v>254</v>
      </c>
    </row>
    <row r="2937" spans="2:49" x14ac:dyDescent="0.2">
      <c r="B2937" s="460" t="s">
        <v>3231</v>
      </c>
      <c r="C2937" s="460">
        <v>4111</v>
      </c>
      <c r="D2937" s="460" t="s">
        <v>2301</v>
      </c>
      <c r="E2937" s="460" t="s">
        <v>2302</v>
      </c>
      <c r="F2937" s="460">
        <v>3</v>
      </c>
      <c r="G2937" s="460">
        <v>2</v>
      </c>
      <c r="H2937" s="461" t="s">
        <v>700</v>
      </c>
      <c r="I2937" s="461" t="s">
        <v>872</v>
      </c>
      <c r="J2937" s="461" t="s">
        <v>700</v>
      </c>
      <c r="K2937" s="594"/>
      <c r="L2937" s="594"/>
      <c r="M2937" s="352">
        <v>4000</v>
      </c>
      <c r="N2937" s="352" t="s">
        <v>716</v>
      </c>
      <c r="O2937" s="460">
        <v>4111</v>
      </c>
      <c r="P2937" s="460" t="s">
        <v>770</v>
      </c>
      <c r="Q2937" s="460" t="s">
        <v>2266</v>
      </c>
      <c r="R2937" s="460">
        <v>4111</v>
      </c>
      <c r="S2937" s="460" t="s">
        <v>2296</v>
      </c>
      <c r="T2937" s="462">
        <v>0.28481449642268464</v>
      </c>
      <c r="U2937" s="460" t="s">
        <v>2302</v>
      </c>
      <c r="V2937" s="475">
        <v>0</v>
      </c>
      <c r="W2937" s="463" t="s">
        <v>2267</v>
      </c>
      <c r="X2937" s="463" t="s">
        <v>2267</v>
      </c>
      <c r="Y2937" s="463" t="s">
        <v>2268</v>
      </c>
      <c r="Z2937" s="463"/>
      <c r="AA2937" s="463"/>
      <c r="AB2937" s="464">
        <v>0.3799031408529342</v>
      </c>
      <c r="AC2937" s="465">
        <v>1.0353034649691981E-2</v>
      </c>
      <c r="AD2937" s="465">
        <v>7.38963981459445E-4</v>
      </c>
      <c r="AE2937" s="476">
        <v>0.3799031408529342</v>
      </c>
      <c r="AF2937" s="467">
        <v>1.0353034649691981E-2</v>
      </c>
      <c r="AG2937" s="468">
        <v>8.3387538266544629E-4</v>
      </c>
      <c r="AH2937" s="218">
        <v>0.96906596516960652</v>
      </c>
      <c r="AI2937" s="470">
        <v>2.6408766962845318E-2</v>
      </c>
      <c r="AJ2937" s="471">
        <v>1.0060057154733092E-3</v>
      </c>
      <c r="AK2937" s="218">
        <v>0.96906596516960652</v>
      </c>
      <c r="AL2937" s="470">
        <v>2.6408766962845318E-2</v>
      </c>
      <c r="AM2937" s="471">
        <v>1.0060057154733092E-3</v>
      </c>
      <c r="AN2937" s="477">
        <v>0</v>
      </c>
      <c r="AO2937" s="473">
        <v>0</v>
      </c>
      <c r="AP2937" s="474">
        <v>0</v>
      </c>
      <c r="AQ2937" s="352"/>
      <c r="AR2937" s="352"/>
      <c r="AS2937" s="352"/>
      <c r="AT2937" s="352"/>
      <c r="AU2937" s="352"/>
      <c r="AV2937" s="352"/>
      <c r="AW2937" s="352" t="s">
        <v>254</v>
      </c>
    </row>
    <row r="2938" spans="2:49" x14ac:dyDescent="0.2">
      <c r="B2938" s="460" t="s">
        <v>3232</v>
      </c>
      <c r="C2938" s="460">
        <v>4111</v>
      </c>
      <c r="D2938" s="460" t="s">
        <v>2304</v>
      </c>
      <c r="E2938" s="460" t="s">
        <v>2305</v>
      </c>
      <c r="F2938" s="460">
        <v>4</v>
      </c>
      <c r="G2938" s="460">
        <v>2</v>
      </c>
      <c r="H2938" s="461" t="s">
        <v>700</v>
      </c>
      <c r="I2938" s="461" t="s">
        <v>872</v>
      </c>
      <c r="J2938" s="461" t="s">
        <v>700</v>
      </c>
      <c r="K2938" s="594"/>
      <c r="L2938" s="594"/>
      <c r="M2938" s="352">
        <v>4000</v>
      </c>
      <c r="N2938" s="352" t="s">
        <v>716</v>
      </c>
      <c r="O2938" s="460">
        <v>4111</v>
      </c>
      <c r="P2938" s="460" t="s">
        <v>770</v>
      </c>
      <c r="Q2938" s="460" t="s">
        <v>2266</v>
      </c>
      <c r="R2938" s="460">
        <v>4111</v>
      </c>
      <c r="S2938" s="460" t="s">
        <v>2305</v>
      </c>
      <c r="T2938" s="462">
        <v>1</v>
      </c>
      <c r="U2938" s="460" t="s">
        <v>2305</v>
      </c>
      <c r="V2938" s="475">
        <v>0</v>
      </c>
      <c r="W2938" s="463" t="s">
        <v>2278</v>
      </c>
      <c r="X2938" s="463" t="s">
        <v>2278</v>
      </c>
      <c r="Y2938" s="463" t="s">
        <v>2268</v>
      </c>
      <c r="Z2938" s="463"/>
      <c r="AA2938" s="463"/>
      <c r="AB2938" s="464">
        <v>0</v>
      </c>
      <c r="AC2938" s="465">
        <v>0</v>
      </c>
      <c r="AD2938" s="465">
        <v>0</v>
      </c>
      <c r="AE2938" s="476">
        <v>0</v>
      </c>
      <c r="AF2938" s="467">
        <v>0</v>
      </c>
      <c r="AG2938" s="468">
        <v>0</v>
      </c>
      <c r="AH2938" s="218">
        <v>0</v>
      </c>
      <c r="AI2938" s="470">
        <v>0</v>
      </c>
      <c r="AJ2938" s="471">
        <v>0</v>
      </c>
      <c r="AK2938" s="218">
        <v>0</v>
      </c>
      <c r="AL2938" s="470">
        <v>0</v>
      </c>
      <c r="AM2938" s="471">
        <v>0</v>
      </c>
      <c r="AN2938" s="477">
        <v>0</v>
      </c>
      <c r="AO2938" s="473">
        <v>0</v>
      </c>
      <c r="AP2938" s="474">
        <v>0</v>
      </c>
      <c r="AQ2938" s="352"/>
      <c r="AR2938" s="352"/>
      <c r="AS2938" s="352"/>
      <c r="AT2938" s="352"/>
      <c r="AU2938" s="352"/>
      <c r="AV2938" s="352"/>
      <c r="AW2938" s="352" t="s">
        <v>254</v>
      </c>
    </row>
    <row r="2939" spans="2:49" x14ac:dyDescent="0.2">
      <c r="B2939" s="460" t="s">
        <v>3229</v>
      </c>
      <c r="C2939" s="460">
        <v>4111</v>
      </c>
      <c r="D2939" s="460" t="s">
        <v>2306</v>
      </c>
      <c r="E2939" s="460" t="s">
        <v>2296</v>
      </c>
      <c r="F2939" s="460">
        <v>1</v>
      </c>
      <c r="G2939" s="460">
        <v>2</v>
      </c>
      <c r="H2939" s="461" t="s">
        <v>712</v>
      </c>
      <c r="I2939" s="461" t="s">
        <v>713</v>
      </c>
      <c r="J2939" s="461" t="s">
        <v>712</v>
      </c>
      <c r="K2939" s="594"/>
      <c r="L2939" s="594"/>
      <c r="M2939" s="352">
        <v>4000</v>
      </c>
      <c r="N2939" s="352" t="s">
        <v>716</v>
      </c>
      <c r="O2939" s="460">
        <v>4111</v>
      </c>
      <c r="P2939" s="460" t="s">
        <v>770</v>
      </c>
      <c r="Q2939" s="460" t="s">
        <v>2280</v>
      </c>
      <c r="R2939" s="460">
        <v>4111</v>
      </c>
      <c r="S2939" s="460" t="s">
        <v>2296</v>
      </c>
      <c r="T2939" s="462">
        <v>1</v>
      </c>
      <c r="U2939" s="460" t="s">
        <v>2296</v>
      </c>
      <c r="V2939" s="475">
        <v>0</v>
      </c>
      <c r="W2939" s="463" t="s">
        <v>713</v>
      </c>
      <c r="X2939" s="463" t="s">
        <v>713</v>
      </c>
      <c r="Y2939" s="463" t="s">
        <v>713</v>
      </c>
      <c r="Z2939" s="463"/>
      <c r="AA2939" s="463"/>
      <c r="AB2939" s="464">
        <v>185.9655820907665</v>
      </c>
      <c r="AC2939" s="465">
        <v>0.9072773075298356</v>
      </c>
      <c r="AD2939" s="465">
        <v>1.6084120196985417E-3</v>
      </c>
      <c r="AE2939" s="476">
        <v>185.9655820907665</v>
      </c>
      <c r="AF2939" s="467">
        <v>0.9072773075298356</v>
      </c>
      <c r="AG2939" s="468">
        <v>1.5848616662803108E-3</v>
      </c>
      <c r="AH2939" s="218">
        <v>185.9655820907665</v>
      </c>
      <c r="AI2939" s="470">
        <v>0.9072773075298356</v>
      </c>
      <c r="AJ2939" s="471">
        <v>1.6034783993360388E-3</v>
      </c>
      <c r="AK2939" s="218">
        <v>185.9655820907665</v>
      </c>
      <c r="AL2939" s="470">
        <v>0.9072773075298356</v>
      </c>
      <c r="AM2939" s="471">
        <v>1.6034783993360388E-3</v>
      </c>
      <c r="AN2939" s="477">
        <v>185.9655820907665</v>
      </c>
      <c r="AO2939" s="473">
        <v>0.9072773075298356</v>
      </c>
      <c r="AP2939" s="474">
        <v>1.6030848836630345E-3</v>
      </c>
      <c r="AQ2939" s="352"/>
      <c r="AR2939" s="352"/>
      <c r="AS2939" s="352"/>
      <c r="AT2939" s="352"/>
      <c r="AU2939" s="352"/>
      <c r="AV2939" s="352"/>
      <c r="AW2939" s="352" t="s">
        <v>254</v>
      </c>
    </row>
    <row r="2940" spans="2:49" x14ac:dyDescent="0.2">
      <c r="B2940" s="460" t="s">
        <v>3230</v>
      </c>
      <c r="C2940" s="460">
        <v>4111</v>
      </c>
      <c r="D2940" s="460" t="s">
        <v>2307</v>
      </c>
      <c r="E2940" s="460" t="s">
        <v>2299</v>
      </c>
      <c r="F2940" s="460">
        <v>2</v>
      </c>
      <c r="G2940" s="460">
        <v>2</v>
      </c>
      <c r="H2940" s="461" t="s">
        <v>712</v>
      </c>
      <c r="I2940" s="461" t="s">
        <v>713</v>
      </c>
      <c r="J2940" s="461" t="s">
        <v>712</v>
      </c>
      <c r="K2940" s="594"/>
      <c r="L2940" s="594"/>
      <c r="M2940" s="352">
        <v>4000</v>
      </c>
      <c r="N2940" s="352" t="s">
        <v>716</v>
      </c>
      <c r="O2940" s="460">
        <v>4111</v>
      </c>
      <c r="P2940" s="460" t="s">
        <v>770</v>
      </c>
      <c r="Q2940" s="460" t="s">
        <v>2280</v>
      </c>
      <c r="R2940" s="460">
        <v>4111</v>
      </c>
      <c r="S2940" s="460" t="s">
        <v>2296</v>
      </c>
      <c r="T2940" s="462">
        <v>0.55517361979372948</v>
      </c>
      <c r="U2940" s="460" t="s">
        <v>2299</v>
      </c>
      <c r="V2940" s="475">
        <v>0</v>
      </c>
      <c r="W2940" s="463" t="s">
        <v>713</v>
      </c>
      <c r="X2940" s="463" t="s">
        <v>713</v>
      </c>
      <c r="Y2940" s="463" t="s">
        <v>713</v>
      </c>
      <c r="Z2940" s="463"/>
      <c r="AA2940" s="463"/>
      <c r="AB2940" s="464">
        <v>124.57250487660431</v>
      </c>
      <c r="AC2940" s="465">
        <v>0.97838077019987513</v>
      </c>
      <c r="AD2940" s="465">
        <v>1.4408993365433601E-3</v>
      </c>
      <c r="AE2940" s="476">
        <v>124.57250487660431</v>
      </c>
      <c r="AF2940" s="467">
        <v>0.97838077019987513</v>
      </c>
      <c r="AG2940" s="468">
        <v>1.4349265009475796E-3</v>
      </c>
      <c r="AH2940" s="218">
        <v>120.77083444659259</v>
      </c>
      <c r="AI2940" s="470">
        <v>0.94852280718431803</v>
      </c>
      <c r="AJ2940" s="471">
        <v>1.4149391720997527E-3</v>
      </c>
      <c r="AK2940" s="218">
        <v>120.77083444659259</v>
      </c>
      <c r="AL2940" s="470">
        <v>0.94852280718431803</v>
      </c>
      <c r="AM2940" s="471">
        <v>1.4149391720997527E-3</v>
      </c>
      <c r="AN2940" s="477">
        <v>120.77083444659259</v>
      </c>
      <c r="AO2940" s="473">
        <v>0.94852280718431803</v>
      </c>
      <c r="AP2940" s="474">
        <v>1.4147605576768083E-3</v>
      </c>
      <c r="AQ2940" s="352"/>
      <c r="AR2940" s="352"/>
      <c r="AS2940" s="352"/>
      <c r="AT2940" s="352"/>
      <c r="AU2940" s="352"/>
      <c r="AV2940" s="352"/>
      <c r="AW2940" s="352" t="s">
        <v>254</v>
      </c>
    </row>
    <row r="2941" spans="2:49" x14ac:dyDescent="0.2">
      <c r="B2941" s="460" t="s">
        <v>3231</v>
      </c>
      <c r="C2941" s="460">
        <v>4111</v>
      </c>
      <c r="D2941" s="460" t="s">
        <v>2308</v>
      </c>
      <c r="E2941" s="460" t="s">
        <v>2302</v>
      </c>
      <c r="F2941" s="460">
        <v>3</v>
      </c>
      <c r="G2941" s="460">
        <v>2</v>
      </c>
      <c r="H2941" s="461" t="s">
        <v>712</v>
      </c>
      <c r="I2941" s="461" t="s">
        <v>713</v>
      </c>
      <c r="J2941" s="461" t="s">
        <v>712</v>
      </c>
      <c r="K2941" s="594"/>
      <c r="L2941" s="594"/>
      <c r="M2941" s="352">
        <v>4000</v>
      </c>
      <c r="N2941" s="352" t="s">
        <v>716</v>
      </c>
      <c r="O2941" s="460">
        <v>4111</v>
      </c>
      <c r="P2941" s="460" t="s">
        <v>770</v>
      </c>
      <c r="Q2941" s="460" t="s">
        <v>2280</v>
      </c>
      <c r="R2941" s="460">
        <v>4111</v>
      </c>
      <c r="S2941" s="460" t="s">
        <v>2296</v>
      </c>
      <c r="T2941" s="462">
        <v>0.28481449642268464</v>
      </c>
      <c r="U2941" s="460" t="s">
        <v>2302</v>
      </c>
      <c r="V2941" s="475">
        <v>0</v>
      </c>
      <c r="W2941" s="463" t="s">
        <v>713</v>
      </c>
      <c r="X2941" s="463" t="s">
        <v>713</v>
      </c>
      <c r="Y2941" s="463" t="s">
        <v>713</v>
      </c>
      <c r="Z2941" s="463"/>
      <c r="AA2941" s="463"/>
      <c r="AB2941" s="464">
        <v>36.314955295097235</v>
      </c>
      <c r="AC2941" s="465">
        <v>0.98964696535030805</v>
      </c>
      <c r="AD2941" s="465">
        <v>1.0563113020898949E-3</v>
      </c>
      <c r="AE2941" s="476">
        <v>36.314955295097235</v>
      </c>
      <c r="AF2941" s="467">
        <v>0.98964696535030805</v>
      </c>
      <c r="AG2941" s="468">
        <v>1.0545164584485653E-3</v>
      </c>
      <c r="AH2941" s="218">
        <v>35.725792470780561</v>
      </c>
      <c r="AI2941" s="470">
        <v>0.97359123303715467</v>
      </c>
      <c r="AJ2941" s="471">
        <v>1.0529310746177328E-3</v>
      </c>
      <c r="AK2941" s="218">
        <v>35.725792470780561</v>
      </c>
      <c r="AL2941" s="470">
        <v>0.97359123303715467</v>
      </c>
      <c r="AM2941" s="471">
        <v>1.0529310746177328E-3</v>
      </c>
      <c r="AN2941" s="477">
        <v>35.725792470780561</v>
      </c>
      <c r="AO2941" s="473">
        <v>0.97359123303715467</v>
      </c>
      <c r="AP2941" s="474">
        <v>1.053846656656322E-3</v>
      </c>
      <c r="AQ2941" s="352"/>
      <c r="AR2941" s="352"/>
      <c r="AS2941" s="352"/>
      <c r="AT2941" s="352"/>
      <c r="AU2941" s="352"/>
      <c r="AV2941" s="352"/>
      <c r="AW2941" s="352" t="s">
        <v>254</v>
      </c>
    </row>
    <row r="2942" spans="2:49" x14ac:dyDescent="0.2">
      <c r="B2942" s="460" t="s">
        <v>3232</v>
      </c>
      <c r="C2942" s="460">
        <v>4111</v>
      </c>
      <c r="D2942" s="460" t="s">
        <v>2309</v>
      </c>
      <c r="E2942" s="460" t="s">
        <v>2305</v>
      </c>
      <c r="F2942" s="460">
        <v>4</v>
      </c>
      <c r="G2942" s="460">
        <v>2</v>
      </c>
      <c r="H2942" s="461" t="s">
        <v>712</v>
      </c>
      <c r="I2942" s="461" t="s">
        <v>713</v>
      </c>
      <c r="J2942" s="461" t="s">
        <v>712</v>
      </c>
      <c r="K2942" s="594"/>
      <c r="L2942" s="594"/>
      <c r="M2942" s="352">
        <v>4000</v>
      </c>
      <c r="N2942" s="352" t="s">
        <v>716</v>
      </c>
      <c r="O2942" s="460">
        <v>4111</v>
      </c>
      <c r="P2942" s="460" t="s">
        <v>770</v>
      </c>
      <c r="Q2942" s="460" t="s">
        <v>2280</v>
      </c>
      <c r="R2942" s="460">
        <v>4111</v>
      </c>
      <c r="S2942" s="460" t="s">
        <v>2305</v>
      </c>
      <c r="T2942" s="462">
        <v>1</v>
      </c>
      <c r="U2942" s="460" t="s">
        <v>2305</v>
      </c>
      <c r="V2942" s="475">
        <v>0</v>
      </c>
      <c r="W2942" s="463" t="s">
        <v>713</v>
      </c>
      <c r="X2942" s="463" t="s">
        <v>713</v>
      </c>
      <c r="Y2942" s="463" t="s">
        <v>713</v>
      </c>
      <c r="Z2942" s="463"/>
      <c r="AA2942" s="463"/>
      <c r="AB2942" s="464">
        <v>41.243163872621999</v>
      </c>
      <c r="AC2942" s="465">
        <v>1</v>
      </c>
      <c r="AD2942" s="465">
        <v>1.0533463806906243E-3</v>
      </c>
      <c r="AE2942" s="476">
        <v>41.243163872621999</v>
      </c>
      <c r="AF2942" s="467">
        <v>1</v>
      </c>
      <c r="AG2942" s="468">
        <v>1.053312593144926E-3</v>
      </c>
      <c r="AH2942" s="218">
        <v>41.243163872621999</v>
      </c>
      <c r="AI2942" s="470">
        <v>1</v>
      </c>
      <c r="AJ2942" s="471">
        <v>1.0533138682113877E-3</v>
      </c>
      <c r="AK2942" s="218">
        <v>41.243163872621999</v>
      </c>
      <c r="AL2942" s="470">
        <v>1</v>
      </c>
      <c r="AM2942" s="471">
        <v>1.0533138682113877E-3</v>
      </c>
      <c r="AN2942" s="477">
        <v>41.243163872621999</v>
      </c>
      <c r="AO2942" s="473">
        <v>1</v>
      </c>
      <c r="AP2942" s="474">
        <v>1.0533151566237205E-3</v>
      </c>
      <c r="AQ2942" s="352"/>
      <c r="AR2942" s="352"/>
      <c r="AS2942" s="352"/>
      <c r="AT2942" s="352"/>
      <c r="AU2942" s="352"/>
      <c r="AV2942" s="352"/>
      <c r="AW2942" s="352" t="s">
        <v>254</v>
      </c>
    </row>
    <row r="2943" spans="2:49" x14ac:dyDescent="0.2">
      <c r="B2943" s="460" t="s">
        <v>3229</v>
      </c>
      <c r="C2943" s="460">
        <v>4111</v>
      </c>
      <c r="D2943" s="460" t="s">
        <v>2310</v>
      </c>
      <c r="E2943" s="460" t="s">
        <v>2296</v>
      </c>
      <c r="F2943" s="460">
        <v>1</v>
      </c>
      <c r="G2943" s="460">
        <v>2</v>
      </c>
      <c r="H2943" s="461" t="s">
        <v>746</v>
      </c>
      <c r="I2943" s="461" t="s">
        <v>762</v>
      </c>
      <c r="J2943" s="461" t="s">
        <v>700</v>
      </c>
      <c r="K2943" s="594"/>
      <c r="L2943" s="594"/>
      <c r="M2943" s="352">
        <v>4000</v>
      </c>
      <c r="N2943" s="352" t="s">
        <v>716</v>
      </c>
      <c r="O2943" s="460">
        <v>4111</v>
      </c>
      <c r="P2943" s="460" t="s">
        <v>770</v>
      </c>
      <c r="Q2943" s="460" t="s">
        <v>2289</v>
      </c>
      <c r="R2943" s="460">
        <v>4111</v>
      </c>
      <c r="S2943" s="460" t="s">
        <v>2296</v>
      </c>
      <c r="T2943" s="462">
        <v>1</v>
      </c>
      <c r="U2943" s="460" t="s">
        <v>2296</v>
      </c>
      <c r="V2943" s="475">
        <v>0</v>
      </c>
      <c r="W2943" s="463" t="s">
        <v>2268</v>
      </c>
      <c r="X2943" s="463" t="s">
        <v>2268</v>
      </c>
      <c r="Y2943" s="463" t="s">
        <v>2290</v>
      </c>
      <c r="Z2943" s="463"/>
      <c r="AA2943" s="463"/>
      <c r="AB2943" s="464">
        <v>0</v>
      </c>
      <c r="AC2943" s="465">
        <v>0</v>
      </c>
      <c r="AD2943" s="465">
        <v>0</v>
      </c>
      <c r="AE2943" s="476">
        <v>0</v>
      </c>
      <c r="AF2943" s="467">
        <v>0</v>
      </c>
      <c r="AG2943" s="468">
        <v>0</v>
      </c>
      <c r="AH2943" s="218">
        <v>0</v>
      </c>
      <c r="AI2943" s="470">
        <v>0</v>
      </c>
      <c r="AJ2943" s="471">
        <v>0</v>
      </c>
      <c r="AK2943" s="218">
        <v>0</v>
      </c>
      <c r="AL2943" s="470">
        <v>0</v>
      </c>
      <c r="AM2943" s="471">
        <v>0</v>
      </c>
      <c r="AN2943" s="477">
        <v>0</v>
      </c>
      <c r="AO2943" s="473">
        <v>0</v>
      </c>
      <c r="AP2943" s="474">
        <v>0</v>
      </c>
      <c r="AQ2943" s="352"/>
      <c r="AR2943" s="352"/>
      <c r="AS2943" s="352"/>
      <c r="AT2943" s="352"/>
      <c r="AU2943" s="352"/>
      <c r="AV2943" s="352"/>
      <c r="AW2943" s="352" t="s">
        <v>254</v>
      </c>
    </row>
    <row r="2944" spans="2:49" x14ac:dyDescent="0.2">
      <c r="B2944" s="460" t="s">
        <v>3230</v>
      </c>
      <c r="C2944" s="460">
        <v>4111</v>
      </c>
      <c r="D2944" s="460" t="s">
        <v>2311</v>
      </c>
      <c r="E2944" s="460" t="s">
        <v>2299</v>
      </c>
      <c r="F2944" s="460">
        <v>2</v>
      </c>
      <c r="G2944" s="460">
        <v>2</v>
      </c>
      <c r="H2944" s="461" t="s">
        <v>746</v>
      </c>
      <c r="I2944" s="461" t="s">
        <v>762</v>
      </c>
      <c r="J2944" s="461" t="s">
        <v>700</v>
      </c>
      <c r="K2944" s="594"/>
      <c r="L2944" s="594"/>
      <c r="M2944" s="352">
        <v>4000</v>
      </c>
      <c r="N2944" s="352" t="s">
        <v>716</v>
      </c>
      <c r="O2944" s="460">
        <v>4111</v>
      </c>
      <c r="P2944" s="460" t="s">
        <v>770</v>
      </c>
      <c r="Q2944" s="460" t="s">
        <v>2289</v>
      </c>
      <c r="R2944" s="460">
        <v>4111</v>
      </c>
      <c r="S2944" s="460" t="s">
        <v>2296</v>
      </c>
      <c r="T2944" s="462">
        <v>0.55517361979372948</v>
      </c>
      <c r="U2944" s="460" t="s">
        <v>2299</v>
      </c>
      <c r="V2944" s="475">
        <v>0</v>
      </c>
      <c r="W2944" s="463" t="s">
        <v>2268</v>
      </c>
      <c r="X2944" s="463" t="s">
        <v>2268</v>
      </c>
      <c r="Y2944" s="463" t="s">
        <v>2290</v>
      </c>
      <c r="Z2944" s="463"/>
      <c r="AA2944" s="463"/>
      <c r="AB2944" s="464">
        <v>0</v>
      </c>
      <c r="AC2944" s="465">
        <v>0</v>
      </c>
      <c r="AD2944" s="465">
        <v>0</v>
      </c>
      <c r="AE2944" s="476">
        <v>0</v>
      </c>
      <c r="AF2944" s="467">
        <v>0</v>
      </c>
      <c r="AG2944" s="468">
        <v>0</v>
      </c>
      <c r="AH2944" s="218">
        <v>0</v>
      </c>
      <c r="AI2944" s="470">
        <v>0</v>
      </c>
      <c r="AJ2944" s="471">
        <v>0</v>
      </c>
      <c r="AK2944" s="218">
        <v>0</v>
      </c>
      <c r="AL2944" s="470">
        <v>0</v>
      </c>
      <c r="AM2944" s="471">
        <v>0</v>
      </c>
      <c r="AN2944" s="477">
        <v>0</v>
      </c>
      <c r="AO2944" s="473">
        <v>0</v>
      </c>
      <c r="AP2944" s="474">
        <v>0</v>
      </c>
      <c r="AQ2944" s="352"/>
      <c r="AR2944" s="352"/>
      <c r="AS2944" s="352"/>
      <c r="AT2944" s="352"/>
      <c r="AU2944" s="352"/>
      <c r="AV2944" s="352"/>
      <c r="AW2944" s="352" t="s">
        <v>254</v>
      </c>
    </row>
    <row r="2945" spans="2:49" x14ac:dyDescent="0.2">
      <c r="B2945" s="460" t="s">
        <v>3231</v>
      </c>
      <c r="C2945" s="460">
        <v>4111</v>
      </c>
      <c r="D2945" s="460" t="s">
        <v>2312</v>
      </c>
      <c r="E2945" s="460" t="s">
        <v>2302</v>
      </c>
      <c r="F2945" s="460">
        <v>3</v>
      </c>
      <c r="G2945" s="460">
        <v>2</v>
      </c>
      <c r="H2945" s="461" t="s">
        <v>746</v>
      </c>
      <c r="I2945" s="461" t="s">
        <v>762</v>
      </c>
      <c r="J2945" s="461" t="s">
        <v>700</v>
      </c>
      <c r="K2945" s="594"/>
      <c r="L2945" s="594"/>
      <c r="M2945" s="352">
        <v>4000</v>
      </c>
      <c r="N2945" s="352" t="s">
        <v>716</v>
      </c>
      <c r="O2945" s="460">
        <v>4111</v>
      </c>
      <c r="P2945" s="460" t="s">
        <v>770</v>
      </c>
      <c r="Q2945" s="460" t="s">
        <v>2289</v>
      </c>
      <c r="R2945" s="460">
        <v>4111</v>
      </c>
      <c r="S2945" s="460" t="s">
        <v>2296</v>
      </c>
      <c r="T2945" s="462">
        <v>0.28481449642268464</v>
      </c>
      <c r="U2945" s="460" t="s">
        <v>2302</v>
      </c>
      <c r="V2945" s="475">
        <v>0</v>
      </c>
      <c r="W2945" s="463" t="s">
        <v>2268</v>
      </c>
      <c r="X2945" s="463" t="s">
        <v>2268</v>
      </c>
      <c r="Y2945" s="463" t="s">
        <v>2290</v>
      </c>
      <c r="Z2945" s="463"/>
      <c r="AA2945" s="463"/>
      <c r="AB2945" s="464">
        <v>0</v>
      </c>
      <c r="AC2945" s="465">
        <v>0</v>
      </c>
      <c r="AD2945" s="465">
        <v>0</v>
      </c>
      <c r="AE2945" s="476">
        <v>0</v>
      </c>
      <c r="AF2945" s="467">
        <v>0</v>
      </c>
      <c r="AG2945" s="468">
        <v>0</v>
      </c>
      <c r="AH2945" s="218">
        <v>0</v>
      </c>
      <c r="AI2945" s="470">
        <v>0</v>
      </c>
      <c r="AJ2945" s="471">
        <v>0</v>
      </c>
      <c r="AK2945" s="218">
        <v>0</v>
      </c>
      <c r="AL2945" s="470">
        <v>0</v>
      </c>
      <c r="AM2945" s="471">
        <v>0</v>
      </c>
      <c r="AN2945" s="477">
        <v>0</v>
      </c>
      <c r="AO2945" s="473">
        <v>0</v>
      </c>
      <c r="AP2945" s="474">
        <v>0</v>
      </c>
      <c r="AQ2945" s="352"/>
      <c r="AR2945" s="352"/>
      <c r="AS2945" s="352"/>
      <c r="AT2945" s="352"/>
      <c r="AU2945" s="352"/>
      <c r="AV2945" s="352"/>
      <c r="AW2945" s="352" t="s">
        <v>254</v>
      </c>
    </row>
    <row r="2946" spans="2:49" x14ac:dyDescent="0.2">
      <c r="B2946" s="460" t="s">
        <v>3232</v>
      </c>
      <c r="C2946" s="460">
        <v>4111</v>
      </c>
      <c r="D2946" s="460" t="s">
        <v>2313</v>
      </c>
      <c r="E2946" s="460" t="s">
        <v>2305</v>
      </c>
      <c r="F2946" s="460">
        <v>4</v>
      </c>
      <c r="G2946" s="460">
        <v>2</v>
      </c>
      <c r="H2946" s="461" t="s">
        <v>746</v>
      </c>
      <c r="I2946" s="461" t="s">
        <v>762</v>
      </c>
      <c r="J2946" s="461" t="s">
        <v>700</v>
      </c>
      <c r="K2946" s="594"/>
      <c r="L2946" s="594"/>
      <c r="M2946" s="352">
        <v>4000</v>
      </c>
      <c r="N2946" s="352" t="s">
        <v>716</v>
      </c>
      <c r="O2946" s="460">
        <v>4111</v>
      </c>
      <c r="P2946" s="460" t="s">
        <v>770</v>
      </c>
      <c r="Q2946" s="460" t="s">
        <v>2289</v>
      </c>
      <c r="R2946" s="460">
        <v>4111</v>
      </c>
      <c r="S2946" s="460" t="s">
        <v>2305</v>
      </c>
      <c r="T2946" s="462">
        <v>1</v>
      </c>
      <c r="U2946" s="460" t="s">
        <v>2305</v>
      </c>
      <c r="V2946" s="475">
        <v>0</v>
      </c>
      <c r="W2946" s="463" t="s">
        <v>2268</v>
      </c>
      <c r="X2946" s="463" t="s">
        <v>2268</v>
      </c>
      <c r="Y2946" s="463" t="s">
        <v>2290</v>
      </c>
      <c r="Z2946" s="463"/>
      <c r="AA2946" s="463"/>
      <c r="AB2946" s="464">
        <v>0</v>
      </c>
      <c r="AC2946" s="465">
        <v>0</v>
      </c>
      <c r="AD2946" s="465">
        <v>0</v>
      </c>
      <c r="AE2946" s="476">
        <v>0</v>
      </c>
      <c r="AF2946" s="467">
        <v>0</v>
      </c>
      <c r="AG2946" s="468">
        <v>0</v>
      </c>
      <c r="AH2946" s="218">
        <v>0</v>
      </c>
      <c r="AI2946" s="470">
        <v>0</v>
      </c>
      <c r="AJ2946" s="471">
        <v>0</v>
      </c>
      <c r="AK2946" s="218">
        <v>0</v>
      </c>
      <c r="AL2946" s="470">
        <v>0</v>
      </c>
      <c r="AM2946" s="471">
        <v>0</v>
      </c>
      <c r="AN2946" s="477">
        <v>0</v>
      </c>
      <c r="AO2946" s="473">
        <v>0</v>
      </c>
      <c r="AP2946" s="474">
        <v>0</v>
      </c>
      <c r="AQ2946" s="352"/>
      <c r="AR2946" s="352"/>
      <c r="AS2946" s="352"/>
      <c r="AT2946" s="352"/>
      <c r="AU2946" s="352"/>
      <c r="AV2946" s="352"/>
      <c r="AW2946" s="352" t="s">
        <v>254</v>
      </c>
    </row>
    <row r="2947" spans="2:49" x14ac:dyDescent="0.2">
      <c r="B2947" s="460" t="s">
        <v>3229</v>
      </c>
      <c r="C2947" s="460">
        <v>4111</v>
      </c>
      <c r="D2947" s="460" t="s">
        <v>2314</v>
      </c>
      <c r="E2947" s="460" t="s">
        <v>2296</v>
      </c>
      <c r="F2947" s="460">
        <v>1</v>
      </c>
      <c r="G2947" s="460">
        <v>2</v>
      </c>
      <c r="H2947" s="461" t="s">
        <v>748</v>
      </c>
      <c r="I2947" s="461" t="s">
        <v>765</v>
      </c>
      <c r="J2947" s="461" t="s">
        <v>700</v>
      </c>
      <c r="K2947" s="594"/>
      <c r="L2947" s="594"/>
      <c r="M2947" s="352">
        <v>4000</v>
      </c>
      <c r="N2947" s="352" t="s">
        <v>716</v>
      </c>
      <c r="O2947" s="460">
        <v>4111</v>
      </c>
      <c r="P2947" s="460" t="s">
        <v>770</v>
      </c>
      <c r="Q2947" s="460" t="s">
        <v>2266</v>
      </c>
      <c r="R2947" s="460">
        <v>4111</v>
      </c>
      <c r="S2947" s="460" t="s">
        <v>2296</v>
      </c>
      <c r="T2947" s="462">
        <v>1</v>
      </c>
      <c r="U2947" s="460" t="s">
        <v>2296</v>
      </c>
      <c r="V2947" s="475">
        <v>0</v>
      </c>
      <c r="W2947" s="463" t="s">
        <v>2268</v>
      </c>
      <c r="X2947" s="463" t="s">
        <v>2268</v>
      </c>
      <c r="Y2947" s="463" t="s">
        <v>2267</v>
      </c>
      <c r="Z2947" s="463"/>
      <c r="AA2947" s="463"/>
      <c r="AB2947" s="464">
        <v>0</v>
      </c>
      <c r="AC2947" s="465">
        <v>0</v>
      </c>
      <c r="AD2947" s="465">
        <v>0</v>
      </c>
      <c r="AE2947" s="476">
        <v>0</v>
      </c>
      <c r="AF2947" s="467">
        <v>0</v>
      </c>
      <c r="AG2947" s="468">
        <v>0</v>
      </c>
      <c r="AH2947" s="218">
        <v>0</v>
      </c>
      <c r="AI2947" s="470">
        <v>0</v>
      </c>
      <c r="AJ2947" s="471">
        <v>0</v>
      </c>
      <c r="AK2947" s="218">
        <v>0</v>
      </c>
      <c r="AL2947" s="470">
        <v>0</v>
      </c>
      <c r="AM2947" s="471">
        <v>0</v>
      </c>
      <c r="AN2947" s="477">
        <v>19.00546760635277</v>
      </c>
      <c r="AO2947" s="473">
        <v>9.2722692470164375E-2</v>
      </c>
      <c r="AP2947" s="474">
        <v>5.805910025147294E-3</v>
      </c>
      <c r="AQ2947" s="352"/>
      <c r="AR2947" s="352"/>
      <c r="AS2947" s="352"/>
      <c r="AT2947" s="352"/>
      <c r="AU2947" s="352"/>
      <c r="AV2947" s="352"/>
      <c r="AW2947" s="352" t="s">
        <v>254</v>
      </c>
    </row>
    <row r="2948" spans="2:49" x14ac:dyDescent="0.2">
      <c r="B2948" s="460" t="s">
        <v>3230</v>
      </c>
      <c r="C2948" s="460">
        <v>4111</v>
      </c>
      <c r="D2948" s="460" t="s">
        <v>2315</v>
      </c>
      <c r="E2948" s="460" t="s">
        <v>2299</v>
      </c>
      <c r="F2948" s="460">
        <v>2</v>
      </c>
      <c r="G2948" s="460">
        <v>2</v>
      </c>
      <c r="H2948" s="461" t="s">
        <v>748</v>
      </c>
      <c r="I2948" s="461" t="s">
        <v>765</v>
      </c>
      <c r="J2948" s="461" t="s">
        <v>700</v>
      </c>
      <c r="K2948" s="594"/>
      <c r="L2948" s="594"/>
      <c r="M2948" s="352">
        <v>4000</v>
      </c>
      <c r="N2948" s="352" t="s">
        <v>716</v>
      </c>
      <c r="O2948" s="460">
        <v>4111</v>
      </c>
      <c r="P2948" s="460" t="s">
        <v>770</v>
      </c>
      <c r="Q2948" s="460" t="s">
        <v>2266</v>
      </c>
      <c r="R2948" s="460">
        <v>4111</v>
      </c>
      <c r="S2948" s="460" t="s">
        <v>2296</v>
      </c>
      <c r="T2948" s="462">
        <v>0.55517361979372948</v>
      </c>
      <c r="U2948" s="460" t="s">
        <v>2299</v>
      </c>
      <c r="V2948" s="475">
        <v>0</v>
      </c>
      <c r="W2948" s="463" t="s">
        <v>2268</v>
      </c>
      <c r="X2948" s="463" t="s">
        <v>2268</v>
      </c>
      <c r="Y2948" s="463" t="s">
        <v>2267</v>
      </c>
      <c r="Z2948" s="463"/>
      <c r="AA2948" s="463"/>
      <c r="AB2948" s="464">
        <v>0</v>
      </c>
      <c r="AC2948" s="465">
        <v>0</v>
      </c>
      <c r="AD2948" s="465">
        <v>0</v>
      </c>
      <c r="AE2948" s="476">
        <v>0</v>
      </c>
      <c r="AF2948" s="467">
        <v>0</v>
      </c>
      <c r="AG2948" s="468">
        <v>0</v>
      </c>
      <c r="AH2948" s="218">
        <v>0</v>
      </c>
      <c r="AI2948" s="470">
        <v>0</v>
      </c>
      <c r="AJ2948" s="471">
        <v>0</v>
      </c>
      <c r="AK2948" s="218">
        <v>0</v>
      </c>
      <c r="AL2948" s="470">
        <v>0</v>
      </c>
      <c r="AM2948" s="471">
        <v>0</v>
      </c>
      <c r="AN2948" s="477">
        <v>6.5543426939548173</v>
      </c>
      <c r="AO2948" s="473">
        <v>5.1477192815681937E-2</v>
      </c>
      <c r="AP2948" s="474">
        <v>6.0724812237481591E-3</v>
      </c>
      <c r="AQ2948" s="352"/>
      <c r="AR2948" s="352"/>
      <c r="AS2948" s="352"/>
      <c r="AT2948" s="352"/>
      <c r="AU2948" s="352"/>
      <c r="AV2948" s="352"/>
      <c r="AW2948" s="352" t="s">
        <v>254</v>
      </c>
    </row>
    <row r="2949" spans="2:49" x14ac:dyDescent="0.2">
      <c r="B2949" s="460" t="s">
        <v>3231</v>
      </c>
      <c r="C2949" s="460">
        <v>4111</v>
      </c>
      <c r="D2949" s="460" t="s">
        <v>2316</v>
      </c>
      <c r="E2949" s="460" t="s">
        <v>2302</v>
      </c>
      <c r="F2949" s="460">
        <v>3</v>
      </c>
      <c r="G2949" s="460">
        <v>2</v>
      </c>
      <c r="H2949" s="461" t="s">
        <v>748</v>
      </c>
      <c r="I2949" s="461" t="s">
        <v>765</v>
      </c>
      <c r="J2949" s="461" t="s">
        <v>700</v>
      </c>
      <c r="K2949" s="594"/>
      <c r="L2949" s="594"/>
      <c r="M2949" s="352">
        <v>4000</v>
      </c>
      <c r="N2949" s="352" t="s">
        <v>716</v>
      </c>
      <c r="O2949" s="460">
        <v>4111</v>
      </c>
      <c r="P2949" s="460" t="s">
        <v>770</v>
      </c>
      <c r="Q2949" s="460" t="s">
        <v>2266</v>
      </c>
      <c r="R2949" s="460">
        <v>4111</v>
      </c>
      <c r="S2949" s="460" t="s">
        <v>2296</v>
      </c>
      <c r="T2949" s="462">
        <v>0.28481449642268464</v>
      </c>
      <c r="U2949" s="460" t="s">
        <v>2302</v>
      </c>
      <c r="V2949" s="475">
        <v>0</v>
      </c>
      <c r="W2949" s="463" t="s">
        <v>2268</v>
      </c>
      <c r="X2949" s="463" t="s">
        <v>2268</v>
      </c>
      <c r="Y2949" s="463" t="s">
        <v>2267</v>
      </c>
      <c r="Z2949" s="463"/>
      <c r="AA2949" s="463"/>
      <c r="AB2949" s="464">
        <v>0</v>
      </c>
      <c r="AC2949" s="465">
        <v>0</v>
      </c>
      <c r="AD2949" s="465">
        <v>0</v>
      </c>
      <c r="AE2949" s="476">
        <v>0</v>
      </c>
      <c r="AF2949" s="467">
        <v>0</v>
      </c>
      <c r="AG2949" s="468">
        <v>0</v>
      </c>
      <c r="AH2949" s="218">
        <v>0</v>
      </c>
      <c r="AI2949" s="470">
        <v>0</v>
      </c>
      <c r="AJ2949" s="471">
        <v>0</v>
      </c>
      <c r="AK2949" s="218">
        <v>0</v>
      </c>
      <c r="AL2949" s="470">
        <v>0</v>
      </c>
      <c r="AM2949" s="471">
        <v>0</v>
      </c>
      <c r="AN2949" s="477">
        <v>0.96906596516960652</v>
      </c>
      <c r="AO2949" s="473">
        <v>2.6408766962845318E-2</v>
      </c>
      <c r="AP2949" s="474">
        <v>4.1465689155402207E-3</v>
      </c>
      <c r="AQ2949" s="352"/>
      <c r="AR2949" s="352"/>
      <c r="AS2949" s="352"/>
      <c r="AT2949" s="352"/>
      <c r="AU2949" s="352"/>
      <c r="AV2949" s="352"/>
      <c r="AW2949" s="352" t="s">
        <v>254</v>
      </c>
    </row>
    <row r="2950" spans="2:49" x14ac:dyDescent="0.2">
      <c r="B2950" s="460" t="s">
        <v>3232</v>
      </c>
      <c r="C2950" s="460">
        <v>4111</v>
      </c>
      <c r="D2950" s="460" t="s">
        <v>2317</v>
      </c>
      <c r="E2950" s="460" t="s">
        <v>2305</v>
      </c>
      <c r="F2950" s="460">
        <v>4</v>
      </c>
      <c r="G2950" s="460">
        <v>2</v>
      </c>
      <c r="H2950" s="461" t="s">
        <v>748</v>
      </c>
      <c r="I2950" s="461" t="s">
        <v>765</v>
      </c>
      <c r="J2950" s="461" t="s">
        <v>700</v>
      </c>
      <c r="K2950" s="594"/>
      <c r="L2950" s="594"/>
      <c r="M2950" s="352">
        <v>4000</v>
      </c>
      <c r="N2950" s="352" t="s">
        <v>716</v>
      </c>
      <c r="O2950" s="460">
        <v>4111</v>
      </c>
      <c r="P2950" s="460" t="s">
        <v>770</v>
      </c>
      <c r="Q2950" s="460" t="s">
        <v>2266</v>
      </c>
      <c r="R2950" s="460">
        <v>4111</v>
      </c>
      <c r="S2950" s="460" t="s">
        <v>2305</v>
      </c>
      <c r="T2950" s="462">
        <v>1</v>
      </c>
      <c r="U2950" s="460" t="s">
        <v>2305</v>
      </c>
      <c r="V2950" s="475">
        <v>0</v>
      </c>
      <c r="W2950" s="463" t="s">
        <v>2268</v>
      </c>
      <c r="X2950" s="463" t="s">
        <v>2268</v>
      </c>
      <c r="Y2950" s="463" t="s">
        <v>2278</v>
      </c>
      <c r="Z2950" s="463"/>
      <c r="AA2950" s="463"/>
      <c r="AB2950" s="464">
        <v>0</v>
      </c>
      <c r="AC2950" s="465">
        <v>0</v>
      </c>
      <c r="AD2950" s="465">
        <v>0</v>
      </c>
      <c r="AE2950" s="476">
        <v>0</v>
      </c>
      <c r="AF2950" s="467">
        <v>0</v>
      </c>
      <c r="AG2950" s="468">
        <v>0</v>
      </c>
      <c r="AH2950" s="218">
        <v>0</v>
      </c>
      <c r="AI2950" s="470">
        <v>0</v>
      </c>
      <c r="AJ2950" s="471">
        <v>0</v>
      </c>
      <c r="AK2950" s="218">
        <v>0</v>
      </c>
      <c r="AL2950" s="470">
        <v>0</v>
      </c>
      <c r="AM2950" s="471">
        <v>0</v>
      </c>
      <c r="AN2950" s="477">
        <v>0</v>
      </c>
      <c r="AO2950" s="473">
        <v>0</v>
      </c>
      <c r="AP2950" s="474">
        <v>0</v>
      </c>
      <c r="AQ2950" s="352"/>
      <c r="AR2950" s="352"/>
      <c r="AS2950" s="352"/>
      <c r="AT2950" s="352"/>
      <c r="AU2950" s="352"/>
      <c r="AV2950" s="352"/>
      <c r="AW2950" s="352" t="s">
        <v>254</v>
      </c>
    </row>
    <row r="2951" spans="2:49" x14ac:dyDescent="0.2">
      <c r="B2951" s="460" t="s">
        <v>3233</v>
      </c>
      <c r="C2951" s="460">
        <v>4111</v>
      </c>
      <c r="D2951" s="460" t="s">
        <v>2323</v>
      </c>
      <c r="E2951" s="460" t="s">
        <v>2324</v>
      </c>
      <c r="F2951" s="460">
        <v>1</v>
      </c>
      <c r="G2951" s="460">
        <v>3</v>
      </c>
      <c r="H2951" s="461" t="s">
        <v>700</v>
      </c>
      <c r="I2951" s="461" t="s">
        <v>872</v>
      </c>
      <c r="J2951" s="461" t="s">
        <v>700</v>
      </c>
      <c r="K2951" s="594"/>
      <c r="L2951" s="594"/>
      <c r="M2951" s="352">
        <v>4000</v>
      </c>
      <c r="N2951" s="352" t="s">
        <v>716</v>
      </c>
      <c r="O2951" s="460">
        <v>4111</v>
      </c>
      <c r="P2951" s="460" t="s">
        <v>770</v>
      </c>
      <c r="Q2951" s="460" t="s">
        <v>2266</v>
      </c>
      <c r="R2951" s="460">
        <v>4111</v>
      </c>
      <c r="S2951" s="460" t="s">
        <v>2324</v>
      </c>
      <c r="T2951" s="462">
        <v>1</v>
      </c>
      <c r="U2951" s="460" t="s">
        <v>2324</v>
      </c>
      <c r="V2951" s="475">
        <v>0</v>
      </c>
      <c r="W2951" s="463" t="s">
        <v>2267</v>
      </c>
      <c r="X2951" s="463" t="s">
        <v>2267</v>
      </c>
      <c r="Y2951" s="463" t="s">
        <v>2268</v>
      </c>
      <c r="Z2951" s="463"/>
      <c r="AA2951" s="463"/>
      <c r="AB2951" s="464">
        <v>59.240460196359635</v>
      </c>
      <c r="AC2951" s="465">
        <v>8.1709907232362045E-2</v>
      </c>
      <c r="AD2951" s="465">
        <v>5.0784949273052651E-4</v>
      </c>
      <c r="AE2951" s="476">
        <v>59.240460196359635</v>
      </c>
      <c r="AF2951" s="467">
        <v>8.1709907232362045E-2</v>
      </c>
      <c r="AG2951" s="468">
        <v>5.4400741461946604E-4</v>
      </c>
      <c r="AH2951" s="218">
        <v>59.240460196359635</v>
      </c>
      <c r="AI2951" s="470">
        <v>8.1709907232362045E-2</v>
      </c>
      <c r="AJ2951" s="471">
        <v>5.19491906781697E-4</v>
      </c>
      <c r="AK2951" s="218">
        <v>59.240460196359635</v>
      </c>
      <c r="AL2951" s="470">
        <v>8.1709907232362045E-2</v>
      </c>
      <c r="AM2951" s="471">
        <v>5.19491906781697E-4</v>
      </c>
      <c r="AN2951" s="477">
        <v>0</v>
      </c>
      <c r="AO2951" s="473">
        <v>0</v>
      </c>
      <c r="AP2951" s="474">
        <v>0</v>
      </c>
      <c r="AQ2951" s="352"/>
      <c r="AR2951" s="352"/>
      <c r="AS2951" s="352"/>
      <c r="AT2951" s="352"/>
      <c r="AU2951" s="352"/>
      <c r="AV2951" s="352"/>
      <c r="AW2951" s="352" t="s">
        <v>254</v>
      </c>
    </row>
    <row r="2952" spans="2:49" x14ac:dyDescent="0.2">
      <c r="B2952" s="460" t="s">
        <v>3234</v>
      </c>
      <c r="C2952" s="460">
        <v>4111</v>
      </c>
      <c r="D2952" s="460" t="s">
        <v>2326</v>
      </c>
      <c r="E2952" s="460" t="s">
        <v>2327</v>
      </c>
      <c r="F2952" s="460">
        <v>2</v>
      </c>
      <c r="G2952" s="460">
        <v>3</v>
      </c>
      <c r="H2952" s="461" t="s">
        <v>700</v>
      </c>
      <c r="I2952" s="461" t="s">
        <v>872</v>
      </c>
      <c r="J2952" s="461" t="s">
        <v>700</v>
      </c>
      <c r="K2952" s="594"/>
      <c r="L2952" s="594"/>
      <c r="M2952" s="352">
        <v>4000</v>
      </c>
      <c r="N2952" s="352" t="s">
        <v>716</v>
      </c>
      <c r="O2952" s="460">
        <v>4111</v>
      </c>
      <c r="P2952" s="460" t="s">
        <v>770</v>
      </c>
      <c r="Q2952" s="460" t="s">
        <v>2266</v>
      </c>
      <c r="R2952" s="460">
        <v>4111</v>
      </c>
      <c r="S2952" s="460" t="s">
        <v>2324</v>
      </c>
      <c r="T2952" s="462">
        <v>1</v>
      </c>
      <c r="U2952" s="460" t="s">
        <v>2327</v>
      </c>
      <c r="V2952" s="475">
        <v>0</v>
      </c>
      <c r="W2952" s="463" t="s">
        <v>2267</v>
      </c>
      <c r="X2952" s="463" t="s">
        <v>2267</v>
      </c>
      <c r="Y2952" s="463" t="s">
        <v>2268</v>
      </c>
      <c r="Z2952" s="463"/>
      <c r="AA2952" s="463"/>
      <c r="AB2952" s="464">
        <v>45.020147375933924</v>
      </c>
      <c r="AC2952" s="465">
        <v>0.10724541603594775</v>
      </c>
      <c r="AD2952" s="465">
        <v>6.6493938708118679E-4</v>
      </c>
      <c r="AE2952" s="476">
        <v>45.020147375933924</v>
      </c>
      <c r="AF2952" s="467">
        <v>0.10724541603594775</v>
      </c>
      <c r="AG2952" s="468">
        <v>7.2020303730071546E-4</v>
      </c>
      <c r="AH2952" s="218">
        <v>45.020147375933924</v>
      </c>
      <c r="AI2952" s="470">
        <v>0.10724541603594775</v>
      </c>
      <c r="AJ2952" s="471">
        <v>6.0611483810239721E-4</v>
      </c>
      <c r="AK2952" s="218">
        <v>45.020147375933924</v>
      </c>
      <c r="AL2952" s="470">
        <v>0.10724541603594775</v>
      </c>
      <c r="AM2952" s="471">
        <v>6.0611483810239721E-4</v>
      </c>
      <c r="AN2952" s="477">
        <v>0</v>
      </c>
      <c r="AO2952" s="473">
        <v>0</v>
      </c>
      <c r="AP2952" s="474">
        <v>0</v>
      </c>
      <c r="AQ2952" s="352"/>
      <c r="AR2952" s="352"/>
      <c r="AS2952" s="352"/>
      <c r="AT2952" s="352"/>
      <c r="AU2952" s="352"/>
      <c r="AV2952" s="352"/>
      <c r="AW2952" s="352" t="s">
        <v>254</v>
      </c>
    </row>
    <row r="2953" spans="2:49" x14ac:dyDescent="0.2">
      <c r="B2953" s="460" t="s">
        <v>3235</v>
      </c>
      <c r="C2953" s="460">
        <v>4111</v>
      </c>
      <c r="D2953" s="460" t="s">
        <v>2329</v>
      </c>
      <c r="E2953" s="460" t="s">
        <v>2330</v>
      </c>
      <c r="F2953" s="460">
        <v>3</v>
      </c>
      <c r="G2953" s="460">
        <v>3</v>
      </c>
      <c r="H2953" s="461" t="s">
        <v>700</v>
      </c>
      <c r="I2953" s="461" t="s">
        <v>872</v>
      </c>
      <c r="J2953" s="461" t="s">
        <v>700</v>
      </c>
      <c r="K2953" s="594"/>
      <c r="L2953" s="594"/>
      <c r="M2953" s="352">
        <v>4000</v>
      </c>
      <c r="N2953" s="352" t="s">
        <v>716</v>
      </c>
      <c r="O2953" s="460">
        <v>4111</v>
      </c>
      <c r="P2953" s="460" t="s">
        <v>770</v>
      </c>
      <c r="Q2953" s="460" t="s">
        <v>2266</v>
      </c>
      <c r="R2953" s="460">
        <v>4111</v>
      </c>
      <c r="S2953" s="460" t="s">
        <v>2324</v>
      </c>
      <c r="T2953" s="462">
        <v>1</v>
      </c>
      <c r="U2953" s="460" t="s">
        <v>2330</v>
      </c>
      <c r="V2953" s="475">
        <v>0</v>
      </c>
      <c r="W2953" s="463" t="s">
        <v>2267</v>
      </c>
      <c r="X2953" s="463" t="s">
        <v>2267</v>
      </c>
      <c r="Y2953" s="463" t="s">
        <v>2268</v>
      </c>
      <c r="Z2953" s="463"/>
      <c r="AA2953" s="463"/>
      <c r="AB2953" s="464">
        <v>10.503647379413795</v>
      </c>
      <c r="AC2953" s="465">
        <v>6.438794558341597E-2</v>
      </c>
      <c r="AD2953" s="465">
        <v>3.9663044290918619E-4</v>
      </c>
      <c r="AE2953" s="476">
        <v>10.503647379413795</v>
      </c>
      <c r="AF2953" s="467">
        <v>6.438794558341597E-2</v>
      </c>
      <c r="AG2953" s="468">
        <v>4.2509376364493318E-4</v>
      </c>
      <c r="AH2953" s="218">
        <v>13.329390232857483</v>
      </c>
      <c r="AI2953" s="470">
        <v>8.1709907232362045E-2</v>
      </c>
      <c r="AJ2953" s="471">
        <v>4.6962570285083883E-4</v>
      </c>
      <c r="AK2953" s="218">
        <v>13.329390232857483</v>
      </c>
      <c r="AL2953" s="470">
        <v>8.1709907232362045E-2</v>
      </c>
      <c r="AM2953" s="471">
        <v>4.6962570285083883E-4</v>
      </c>
      <c r="AN2953" s="477">
        <v>0</v>
      </c>
      <c r="AO2953" s="473">
        <v>0</v>
      </c>
      <c r="AP2953" s="474">
        <v>0</v>
      </c>
      <c r="AQ2953" s="352"/>
      <c r="AR2953" s="352"/>
      <c r="AS2953" s="352"/>
      <c r="AT2953" s="352"/>
      <c r="AU2953" s="352"/>
      <c r="AV2953" s="352"/>
      <c r="AW2953" s="352" t="s">
        <v>254</v>
      </c>
    </row>
    <row r="2954" spans="2:49" x14ac:dyDescent="0.2">
      <c r="B2954" s="460" t="s">
        <v>3236</v>
      </c>
      <c r="C2954" s="460">
        <v>4111</v>
      </c>
      <c r="D2954" s="460" t="s">
        <v>2332</v>
      </c>
      <c r="E2954" s="460" t="s">
        <v>2333</v>
      </c>
      <c r="F2954" s="460">
        <v>4</v>
      </c>
      <c r="G2954" s="460">
        <v>3</v>
      </c>
      <c r="H2954" s="461" t="s">
        <v>700</v>
      </c>
      <c r="I2954" s="461" t="s">
        <v>872</v>
      </c>
      <c r="J2954" s="461" t="s">
        <v>700</v>
      </c>
      <c r="K2954" s="594"/>
      <c r="L2954" s="594"/>
      <c r="M2954" s="352">
        <v>4000</v>
      </c>
      <c r="N2954" s="352" t="s">
        <v>716</v>
      </c>
      <c r="O2954" s="460">
        <v>4111</v>
      </c>
      <c r="P2954" s="460" t="s">
        <v>770</v>
      </c>
      <c r="Q2954" s="460" t="s">
        <v>2266</v>
      </c>
      <c r="R2954" s="460">
        <v>4111</v>
      </c>
      <c r="S2954" s="460" t="s">
        <v>2333</v>
      </c>
      <c r="T2954" s="462">
        <v>1</v>
      </c>
      <c r="U2954" s="460" t="s">
        <v>2333</v>
      </c>
      <c r="V2954" s="475">
        <v>0</v>
      </c>
      <c r="W2954" s="463" t="s">
        <v>2278</v>
      </c>
      <c r="X2954" s="463" t="s">
        <v>2278</v>
      </c>
      <c r="Y2954" s="463" t="s">
        <v>2268</v>
      </c>
      <c r="Z2954" s="463"/>
      <c r="AA2954" s="463"/>
      <c r="AB2954" s="464">
        <v>40.325862751401722</v>
      </c>
      <c r="AC2954" s="465">
        <v>0.18715327563846415</v>
      </c>
      <c r="AD2954" s="465">
        <v>2.7812161226758534E-3</v>
      </c>
      <c r="AE2954" s="476">
        <v>40.325862751401722</v>
      </c>
      <c r="AF2954" s="467">
        <v>0.18715327563846415</v>
      </c>
      <c r="AG2954" s="468">
        <v>3.0694247629836275E-3</v>
      </c>
      <c r="AH2954" s="218">
        <v>40.325862751401722</v>
      </c>
      <c r="AI2954" s="470">
        <v>0.18715327563846415</v>
      </c>
      <c r="AJ2954" s="471">
        <v>2.9738880416515247E-3</v>
      </c>
      <c r="AK2954" s="218">
        <v>40.325862751401722</v>
      </c>
      <c r="AL2954" s="470">
        <v>0.18715327563846415</v>
      </c>
      <c r="AM2954" s="471">
        <v>2.9738880416515247E-3</v>
      </c>
      <c r="AN2954" s="477">
        <v>0</v>
      </c>
      <c r="AO2954" s="473">
        <v>0</v>
      </c>
      <c r="AP2954" s="474">
        <v>0</v>
      </c>
      <c r="AQ2954" s="352"/>
      <c r="AR2954" s="352"/>
      <c r="AS2954" s="352"/>
      <c r="AT2954" s="352"/>
      <c r="AU2954" s="352"/>
      <c r="AV2954" s="352"/>
      <c r="AW2954" s="352" t="s">
        <v>254</v>
      </c>
    </row>
    <row r="2955" spans="2:49" x14ac:dyDescent="0.2">
      <c r="B2955" s="460" t="s">
        <v>3233</v>
      </c>
      <c r="C2955" s="460">
        <v>4111</v>
      </c>
      <c r="D2955" s="460" t="s">
        <v>2334</v>
      </c>
      <c r="E2955" s="460" t="s">
        <v>2324</v>
      </c>
      <c r="F2955" s="460">
        <v>1</v>
      </c>
      <c r="G2955" s="460">
        <v>3</v>
      </c>
      <c r="H2955" s="461" t="s">
        <v>712</v>
      </c>
      <c r="I2955" s="461" t="s">
        <v>713</v>
      </c>
      <c r="J2955" s="461" t="s">
        <v>712</v>
      </c>
      <c r="K2955" s="594"/>
      <c r="L2955" s="594"/>
      <c r="M2955" s="352">
        <v>4000</v>
      </c>
      <c r="N2955" s="352" t="s">
        <v>716</v>
      </c>
      <c r="O2955" s="460">
        <v>4111</v>
      </c>
      <c r="P2955" s="460" t="s">
        <v>770</v>
      </c>
      <c r="Q2955" s="460" t="s">
        <v>2280</v>
      </c>
      <c r="R2955" s="460">
        <v>4111</v>
      </c>
      <c r="S2955" s="460" t="s">
        <v>2324</v>
      </c>
      <c r="T2955" s="462">
        <v>1</v>
      </c>
      <c r="U2955" s="460" t="s">
        <v>2324</v>
      </c>
      <c r="V2955" s="475">
        <v>0</v>
      </c>
      <c r="W2955" s="463" t="s">
        <v>713</v>
      </c>
      <c r="X2955" s="463" t="s">
        <v>713</v>
      </c>
      <c r="Y2955" s="463" t="s">
        <v>713</v>
      </c>
      <c r="Z2955" s="463"/>
      <c r="AA2955" s="463"/>
      <c r="AB2955" s="464">
        <v>665.76905459717625</v>
      </c>
      <c r="AC2955" s="465">
        <v>0.91829009276763796</v>
      </c>
      <c r="AD2955" s="465">
        <v>1.6623561511237954E-3</v>
      </c>
      <c r="AE2955" s="476">
        <v>665.76905459717625</v>
      </c>
      <c r="AF2955" s="467">
        <v>0.91829009276763796</v>
      </c>
      <c r="AG2955" s="468">
        <v>1.6307857983850183E-3</v>
      </c>
      <c r="AH2955" s="218">
        <v>665.76905459717625</v>
      </c>
      <c r="AI2955" s="470">
        <v>0.91829009276763796</v>
      </c>
      <c r="AJ2955" s="471">
        <v>1.6515754614113089E-3</v>
      </c>
      <c r="AK2955" s="218">
        <v>665.76905459717625</v>
      </c>
      <c r="AL2955" s="470">
        <v>0.91829009276763796</v>
      </c>
      <c r="AM2955" s="471">
        <v>1.6515754614113089E-3</v>
      </c>
      <c r="AN2955" s="477">
        <v>665.76905459717625</v>
      </c>
      <c r="AO2955" s="473">
        <v>0.91829009276763796</v>
      </c>
      <c r="AP2955" s="474">
        <v>1.6507717175857815E-3</v>
      </c>
      <c r="AQ2955" s="352"/>
      <c r="AR2955" s="352"/>
      <c r="AS2955" s="352"/>
      <c r="AT2955" s="352"/>
      <c r="AU2955" s="352"/>
      <c r="AV2955" s="352"/>
      <c r="AW2955" s="352" t="s">
        <v>254</v>
      </c>
    </row>
    <row r="2956" spans="2:49" x14ac:dyDescent="0.2">
      <c r="B2956" s="460" t="s">
        <v>3234</v>
      </c>
      <c r="C2956" s="460">
        <v>4111</v>
      </c>
      <c r="D2956" s="460" t="s">
        <v>2335</v>
      </c>
      <c r="E2956" s="460" t="s">
        <v>2327</v>
      </c>
      <c r="F2956" s="460">
        <v>2</v>
      </c>
      <c r="G2956" s="460">
        <v>3</v>
      </c>
      <c r="H2956" s="461" t="s">
        <v>712</v>
      </c>
      <c r="I2956" s="461" t="s">
        <v>713</v>
      </c>
      <c r="J2956" s="461" t="s">
        <v>712</v>
      </c>
      <c r="K2956" s="594"/>
      <c r="L2956" s="594"/>
      <c r="M2956" s="352">
        <v>4000</v>
      </c>
      <c r="N2956" s="352" t="s">
        <v>716</v>
      </c>
      <c r="O2956" s="460">
        <v>4111</v>
      </c>
      <c r="P2956" s="460" t="s">
        <v>770</v>
      </c>
      <c r="Q2956" s="460" t="s">
        <v>2280</v>
      </c>
      <c r="R2956" s="460">
        <v>4111</v>
      </c>
      <c r="S2956" s="460" t="s">
        <v>2324</v>
      </c>
      <c r="T2956" s="462">
        <v>1</v>
      </c>
      <c r="U2956" s="460" t="s">
        <v>2327</v>
      </c>
      <c r="V2956" s="475">
        <v>0</v>
      </c>
      <c r="W2956" s="463" t="s">
        <v>713</v>
      </c>
      <c r="X2956" s="463" t="s">
        <v>713</v>
      </c>
      <c r="Y2956" s="463" t="s">
        <v>713</v>
      </c>
      <c r="Z2956" s="463"/>
      <c r="AA2956" s="463"/>
      <c r="AB2956" s="464">
        <v>374.76606857611716</v>
      </c>
      <c r="AC2956" s="465">
        <v>0.89275458396405227</v>
      </c>
      <c r="AD2956" s="465">
        <v>1.2002252467197474E-3</v>
      </c>
      <c r="AE2956" s="476">
        <v>374.76606857611716</v>
      </c>
      <c r="AF2956" s="467">
        <v>0.89275458396405227</v>
      </c>
      <c r="AG2956" s="468">
        <v>1.1805822289832236E-3</v>
      </c>
      <c r="AH2956" s="218">
        <v>374.76606857611716</v>
      </c>
      <c r="AI2956" s="470">
        <v>0.89275458396405227</v>
      </c>
      <c r="AJ2956" s="471">
        <v>1.2277632761999973E-3</v>
      </c>
      <c r="AK2956" s="218">
        <v>374.76606857611716</v>
      </c>
      <c r="AL2956" s="470">
        <v>0.89275458396405227</v>
      </c>
      <c r="AM2956" s="471">
        <v>1.2277632761999973E-3</v>
      </c>
      <c r="AN2956" s="477">
        <v>374.76606857611716</v>
      </c>
      <c r="AO2956" s="473">
        <v>0.89275458396405227</v>
      </c>
      <c r="AP2956" s="474">
        <v>1.227281914627549E-3</v>
      </c>
      <c r="AQ2956" s="352"/>
      <c r="AR2956" s="352"/>
      <c r="AS2956" s="352"/>
      <c r="AT2956" s="352"/>
      <c r="AU2956" s="352"/>
      <c r="AV2956" s="352"/>
      <c r="AW2956" s="352" t="s">
        <v>254</v>
      </c>
    </row>
    <row r="2957" spans="2:49" x14ac:dyDescent="0.2">
      <c r="B2957" s="460" t="s">
        <v>3235</v>
      </c>
      <c r="C2957" s="460">
        <v>4111</v>
      </c>
      <c r="D2957" s="460" t="s">
        <v>2336</v>
      </c>
      <c r="E2957" s="460" t="s">
        <v>2330</v>
      </c>
      <c r="F2957" s="460">
        <v>3</v>
      </c>
      <c r="G2957" s="460">
        <v>3</v>
      </c>
      <c r="H2957" s="461" t="s">
        <v>712</v>
      </c>
      <c r="I2957" s="461" t="s">
        <v>713</v>
      </c>
      <c r="J2957" s="461" t="s">
        <v>712</v>
      </c>
      <c r="K2957" s="594"/>
      <c r="L2957" s="594"/>
      <c r="M2957" s="352">
        <v>4000</v>
      </c>
      <c r="N2957" s="352" t="s">
        <v>716</v>
      </c>
      <c r="O2957" s="460">
        <v>4111</v>
      </c>
      <c r="P2957" s="460" t="s">
        <v>770</v>
      </c>
      <c r="Q2957" s="460" t="s">
        <v>2280</v>
      </c>
      <c r="R2957" s="460">
        <v>4111</v>
      </c>
      <c r="S2957" s="460" t="s">
        <v>2324</v>
      </c>
      <c r="T2957" s="462">
        <v>1</v>
      </c>
      <c r="U2957" s="460" t="s">
        <v>2330</v>
      </c>
      <c r="V2957" s="475">
        <v>0</v>
      </c>
      <c r="W2957" s="463" t="s">
        <v>713</v>
      </c>
      <c r="X2957" s="463" t="s">
        <v>713</v>
      </c>
      <c r="Y2957" s="463" t="s">
        <v>713</v>
      </c>
      <c r="Z2957" s="463"/>
      <c r="AA2957" s="463"/>
      <c r="AB2957" s="464">
        <v>152.62700206499338</v>
      </c>
      <c r="AC2957" s="465">
        <v>0.93561205441658402</v>
      </c>
      <c r="AD2957" s="465">
        <v>1.3513996258059198E-3</v>
      </c>
      <c r="AE2957" s="476">
        <v>152.62700206499338</v>
      </c>
      <c r="AF2957" s="467">
        <v>0.93561205441658402</v>
      </c>
      <c r="AG2957" s="468">
        <v>1.3305102450910571E-3</v>
      </c>
      <c r="AH2957" s="218">
        <v>149.80125921154968</v>
      </c>
      <c r="AI2957" s="470">
        <v>0.91829009276763796</v>
      </c>
      <c r="AJ2957" s="471">
        <v>1.3557371967300128E-3</v>
      </c>
      <c r="AK2957" s="218">
        <v>149.80125921154968</v>
      </c>
      <c r="AL2957" s="470">
        <v>0.91829009276763796</v>
      </c>
      <c r="AM2957" s="471">
        <v>1.3557371967300128E-3</v>
      </c>
      <c r="AN2957" s="477">
        <v>149.80125921154968</v>
      </c>
      <c r="AO2957" s="473">
        <v>0.91829009276763796</v>
      </c>
      <c r="AP2957" s="474">
        <v>1.3592365041633916E-3</v>
      </c>
      <c r="AQ2957" s="352"/>
      <c r="AR2957" s="352"/>
      <c r="AS2957" s="352"/>
      <c r="AT2957" s="352"/>
      <c r="AU2957" s="352"/>
      <c r="AV2957" s="352"/>
      <c r="AW2957" s="352" t="s">
        <v>254</v>
      </c>
    </row>
    <row r="2958" spans="2:49" x14ac:dyDescent="0.2">
      <c r="B2958" s="460" t="s">
        <v>3236</v>
      </c>
      <c r="C2958" s="460">
        <v>4111</v>
      </c>
      <c r="D2958" s="460" t="s">
        <v>2337</v>
      </c>
      <c r="E2958" s="460" t="s">
        <v>2333</v>
      </c>
      <c r="F2958" s="460">
        <v>4</v>
      </c>
      <c r="G2958" s="460">
        <v>3</v>
      </c>
      <c r="H2958" s="461" t="s">
        <v>712</v>
      </c>
      <c r="I2958" s="461" t="s">
        <v>713</v>
      </c>
      <c r="J2958" s="461" t="s">
        <v>712</v>
      </c>
      <c r="K2958" s="594"/>
      <c r="L2958" s="594"/>
      <c r="M2958" s="352">
        <v>4000</v>
      </c>
      <c r="N2958" s="352" t="s">
        <v>716</v>
      </c>
      <c r="O2958" s="460">
        <v>4111</v>
      </c>
      <c r="P2958" s="460" t="s">
        <v>770</v>
      </c>
      <c r="Q2958" s="460" t="s">
        <v>2280</v>
      </c>
      <c r="R2958" s="460">
        <v>4111</v>
      </c>
      <c r="S2958" s="460" t="s">
        <v>2333</v>
      </c>
      <c r="T2958" s="462">
        <v>1</v>
      </c>
      <c r="U2958" s="460" t="s">
        <v>2333</v>
      </c>
      <c r="V2958" s="475">
        <v>0</v>
      </c>
      <c r="W2958" s="463" t="s">
        <v>713</v>
      </c>
      <c r="X2958" s="463" t="s">
        <v>713</v>
      </c>
      <c r="Y2958" s="463" t="s">
        <v>713</v>
      </c>
      <c r="Z2958" s="463"/>
      <c r="AA2958" s="463"/>
      <c r="AB2958" s="464">
        <v>175.14385111725505</v>
      </c>
      <c r="AC2958" s="465">
        <v>0.81284672436153582</v>
      </c>
      <c r="AD2958" s="465">
        <v>1.3315259846295778E-3</v>
      </c>
      <c r="AE2958" s="476">
        <v>175.14385111725505</v>
      </c>
      <c r="AF2958" s="467">
        <v>0.81284672436153582</v>
      </c>
      <c r="AG2958" s="468">
        <v>1.3178854513889266E-3</v>
      </c>
      <c r="AH2958" s="218">
        <v>175.14385111725505</v>
      </c>
      <c r="AI2958" s="470">
        <v>0.81284672436153582</v>
      </c>
      <c r="AJ2958" s="471">
        <v>1.3220841457279259E-3</v>
      </c>
      <c r="AK2958" s="218">
        <v>175.14385111725505</v>
      </c>
      <c r="AL2958" s="470">
        <v>0.81284672436153582</v>
      </c>
      <c r="AM2958" s="471">
        <v>1.3220841457279259E-3</v>
      </c>
      <c r="AN2958" s="477">
        <v>175.14385111725505</v>
      </c>
      <c r="AO2958" s="473">
        <v>0.81284672436153582</v>
      </c>
      <c r="AP2958" s="474">
        <v>1.322504282556865E-3</v>
      </c>
      <c r="AQ2958" s="352"/>
      <c r="AR2958" s="352"/>
      <c r="AS2958" s="352"/>
      <c r="AT2958" s="352"/>
      <c r="AU2958" s="352"/>
      <c r="AV2958" s="352"/>
      <c r="AW2958" s="352" t="s">
        <v>254</v>
      </c>
    </row>
    <row r="2959" spans="2:49" x14ac:dyDescent="0.2">
      <c r="B2959" s="460" t="s">
        <v>3233</v>
      </c>
      <c r="C2959" s="460">
        <v>4111</v>
      </c>
      <c r="D2959" s="460" t="s">
        <v>2338</v>
      </c>
      <c r="E2959" s="460" t="s">
        <v>2324</v>
      </c>
      <c r="F2959" s="460">
        <v>1</v>
      </c>
      <c r="G2959" s="460">
        <v>3</v>
      </c>
      <c r="H2959" s="461" t="s">
        <v>746</v>
      </c>
      <c r="I2959" s="461" t="s">
        <v>762</v>
      </c>
      <c r="J2959" s="461" t="s">
        <v>700</v>
      </c>
      <c r="K2959" s="594"/>
      <c r="L2959" s="594"/>
      <c r="M2959" s="352">
        <v>4000</v>
      </c>
      <c r="N2959" s="352" t="s">
        <v>716</v>
      </c>
      <c r="O2959" s="460">
        <v>4111</v>
      </c>
      <c r="P2959" s="460" t="s">
        <v>770</v>
      </c>
      <c r="Q2959" s="460" t="s">
        <v>2289</v>
      </c>
      <c r="R2959" s="460">
        <v>4111</v>
      </c>
      <c r="S2959" s="460" t="s">
        <v>2324</v>
      </c>
      <c r="T2959" s="462">
        <v>1</v>
      </c>
      <c r="U2959" s="460" t="s">
        <v>2324</v>
      </c>
      <c r="V2959" s="475">
        <v>0</v>
      </c>
      <c r="W2959" s="463" t="s">
        <v>2268</v>
      </c>
      <c r="X2959" s="463" t="s">
        <v>2268</v>
      </c>
      <c r="Y2959" s="463" t="s">
        <v>2290</v>
      </c>
      <c r="Z2959" s="463"/>
      <c r="AA2959" s="463"/>
      <c r="AB2959" s="464">
        <v>0</v>
      </c>
      <c r="AC2959" s="465">
        <v>0</v>
      </c>
      <c r="AD2959" s="465">
        <v>0</v>
      </c>
      <c r="AE2959" s="476">
        <v>0</v>
      </c>
      <c r="AF2959" s="467">
        <v>0</v>
      </c>
      <c r="AG2959" s="468">
        <v>0</v>
      </c>
      <c r="AH2959" s="218">
        <v>0</v>
      </c>
      <c r="AI2959" s="470">
        <v>0</v>
      </c>
      <c r="AJ2959" s="471">
        <v>0</v>
      </c>
      <c r="AK2959" s="218">
        <v>0</v>
      </c>
      <c r="AL2959" s="470">
        <v>0</v>
      </c>
      <c r="AM2959" s="471">
        <v>0</v>
      </c>
      <c r="AN2959" s="477">
        <v>0</v>
      </c>
      <c r="AO2959" s="473">
        <v>0</v>
      </c>
      <c r="AP2959" s="474">
        <v>0</v>
      </c>
      <c r="AQ2959" s="352"/>
      <c r="AR2959" s="352"/>
      <c r="AS2959" s="352"/>
      <c r="AT2959" s="352"/>
      <c r="AU2959" s="352"/>
      <c r="AV2959" s="352"/>
      <c r="AW2959" s="352" t="s">
        <v>254</v>
      </c>
    </row>
    <row r="2960" spans="2:49" x14ac:dyDescent="0.2">
      <c r="B2960" s="460" t="s">
        <v>3234</v>
      </c>
      <c r="C2960" s="460">
        <v>4111</v>
      </c>
      <c r="D2960" s="460" t="s">
        <v>2339</v>
      </c>
      <c r="E2960" s="460" t="s">
        <v>2327</v>
      </c>
      <c r="F2960" s="460">
        <v>2</v>
      </c>
      <c r="G2960" s="460">
        <v>3</v>
      </c>
      <c r="H2960" s="461" t="s">
        <v>746</v>
      </c>
      <c r="I2960" s="461" t="s">
        <v>762</v>
      </c>
      <c r="J2960" s="461" t="s">
        <v>700</v>
      </c>
      <c r="K2960" s="594"/>
      <c r="L2960" s="594"/>
      <c r="M2960" s="352">
        <v>4000</v>
      </c>
      <c r="N2960" s="352" t="s">
        <v>716</v>
      </c>
      <c r="O2960" s="460">
        <v>4111</v>
      </c>
      <c r="P2960" s="460" t="s">
        <v>770</v>
      </c>
      <c r="Q2960" s="460" t="s">
        <v>2289</v>
      </c>
      <c r="R2960" s="460">
        <v>4111</v>
      </c>
      <c r="S2960" s="460" t="s">
        <v>2324</v>
      </c>
      <c r="T2960" s="462">
        <v>1</v>
      </c>
      <c r="U2960" s="460" t="s">
        <v>2327</v>
      </c>
      <c r="V2960" s="475">
        <v>0</v>
      </c>
      <c r="W2960" s="463" t="s">
        <v>2268</v>
      </c>
      <c r="X2960" s="463" t="s">
        <v>2268</v>
      </c>
      <c r="Y2960" s="463" t="s">
        <v>2290</v>
      </c>
      <c r="Z2960" s="463"/>
      <c r="AA2960" s="463"/>
      <c r="AB2960" s="464">
        <v>0</v>
      </c>
      <c r="AC2960" s="465">
        <v>0</v>
      </c>
      <c r="AD2960" s="465">
        <v>0</v>
      </c>
      <c r="AE2960" s="476">
        <v>0</v>
      </c>
      <c r="AF2960" s="467">
        <v>0</v>
      </c>
      <c r="AG2960" s="468">
        <v>0</v>
      </c>
      <c r="AH2960" s="218">
        <v>0</v>
      </c>
      <c r="AI2960" s="470">
        <v>0</v>
      </c>
      <c r="AJ2960" s="471">
        <v>0</v>
      </c>
      <c r="AK2960" s="218">
        <v>0</v>
      </c>
      <c r="AL2960" s="470">
        <v>0</v>
      </c>
      <c r="AM2960" s="471">
        <v>0</v>
      </c>
      <c r="AN2960" s="477">
        <v>0</v>
      </c>
      <c r="AO2960" s="473">
        <v>0</v>
      </c>
      <c r="AP2960" s="474">
        <v>0</v>
      </c>
      <c r="AQ2960" s="352"/>
      <c r="AR2960" s="352"/>
      <c r="AS2960" s="352"/>
      <c r="AT2960" s="352"/>
      <c r="AU2960" s="352"/>
      <c r="AV2960" s="352"/>
      <c r="AW2960" s="352" t="s">
        <v>254</v>
      </c>
    </row>
    <row r="2961" spans="2:49" x14ac:dyDescent="0.2">
      <c r="B2961" s="460" t="s">
        <v>3235</v>
      </c>
      <c r="C2961" s="460">
        <v>4111</v>
      </c>
      <c r="D2961" s="460" t="s">
        <v>2340</v>
      </c>
      <c r="E2961" s="460" t="s">
        <v>2330</v>
      </c>
      <c r="F2961" s="460">
        <v>3</v>
      </c>
      <c r="G2961" s="460">
        <v>3</v>
      </c>
      <c r="H2961" s="461" t="s">
        <v>746</v>
      </c>
      <c r="I2961" s="461" t="s">
        <v>762</v>
      </c>
      <c r="J2961" s="461" t="s">
        <v>700</v>
      </c>
      <c r="K2961" s="594"/>
      <c r="L2961" s="594"/>
      <c r="M2961" s="352">
        <v>4000</v>
      </c>
      <c r="N2961" s="352" t="s">
        <v>716</v>
      </c>
      <c r="O2961" s="460">
        <v>4111</v>
      </c>
      <c r="P2961" s="460" t="s">
        <v>770</v>
      </c>
      <c r="Q2961" s="460" t="s">
        <v>2289</v>
      </c>
      <c r="R2961" s="460">
        <v>4111</v>
      </c>
      <c r="S2961" s="460" t="s">
        <v>2324</v>
      </c>
      <c r="T2961" s="462">
        <v>1</v>
      </c>
      <c r="U2961" s="460" t="s">
        <v>2330</v>
      </c>
      <c r="V2961" s="475">
        <v>0</v>
      </c>
      <c r="W2961" s="463" t="s">
        <v>2268</v>
      </c>
      <c r="X2961" s="463" t="s">
        <v>2268</v>
      </c>
      <c r="Y2961" s="463" t="s">
        <v>2290</v>
      </c>
      <c r="Z2961" s="463"/>
      <c r="AA2961" s="463"/>
      <c r="AB2961" s="464">
        <v>0</v>
      </c>
      <c r="AC2961" s="465">
        <v>0</v>
      </c>
      <c r="AD2961" s="465">
        <v>0</v>
      </c>
      <c r="AE2961" s="476">
        <v>0</v>
      </c>
      <c r="AF2961" s="467">
        <v>0</v>
      </c>
      <c r="AG2961" s="468">
        <v>0</v>
      </c>
      <c r="AH2961" s="218">
        <v>0</v>
      </c>
      <c r="AI2961" s="470">
        <v>0</v>
      </c>
      <c r="AJ2961" s="471">
        <v>0</v>
      </c>
      <c r="AK2961" s="218">
        <v>0</v>
      </c>
      <c r="AL2961" s="470">
        <v>0</v>
      </c>
      <c r="AM2961" s="471">
        <v>0</v>
      </c>
      <c r="AN2961" s="477">
        <v>0</v>
      </c>
      <c r="AO2961" s="473">
        <v>0</v>
      </c>
      <c r="AP2961" s="474">
        <v>0</v>
      </c>
      <c r="AQ2961" s="352"/>
      <c r="AR2961" s="352"/>
      <c r="AS2961" s="352"/>
      <c r="AT2961" s="352"/>
      <c r="AU2961" s="352"/>
      <c r="AV2961" s="352"/>
      <c r="AW2961" s="352" t="s">
        <v>254</v>
      </c>
    </row>
    <row r="2962" spans="2:49" x14ac:dyDescent="0.2">
      <c r="B2962" s="460" t="s">
        <v>3236</v>
      </c>
      <c r="C2962" s="460">
        <v>4111</v>
      </c>
      <c r="D2962" s="460" t="s">
        <v>2341</v>
      </c>
      <c r="E2962" s="460" t="s">
        <v>2333</v>
      </c>
      <c r="F2962" s="460">
        <v>4</v>
      </c>
      <c r="G2962" s="460">
        <v>3</v>
      </c>
      <c r="H2962" s="461" t="s">
        <v>746</v>
      </c>
      <c r="I2962" s="461" t="s">
        <v>762</v>
      </c>
      <c r="J2962" s="461" t="s">
        <v>700</v>
      </c>
      <c r="K2962" s="594"/>
      <c r="L2962" s="594"/>
      <c r="M2962" s="352">
        <v>4000</v>
      </c>
      <c r="N2962" s="352" t="s">
        <v>716</v>
      </c>
      <c r="O2962" s="460">
        <v>4111</v>
      </c>
      <c r="P2962" s="460" t="s">
        <v>770</v>
      </c>
      <c r="Q2962" s="460" t="s">
        <v>2289</v>
      </c>
      <c r="R2962" s="460">
        <v>4111</v>
      </c>
      <c r="S2962" s="460" t="s">
        <v>2333</v>
      </c>
      <c r="T2962" s="462">
        <v>1</v>
      </c>
      <c r="U2962" s="460" t="s">
        <v>2333</v>
      </c>
      <c r="V2962" s="475">
        <v>0</v>
      </c>
      <c r="W2962" s="463" t="s">
        <v>2268</v>
      </c>
      <c r="X2962" s="463" t="s">
        <v>2268</v>
      </c>
      <c r="Y2962" s="463" t="s">
        <v>2290</v>
      </c>
      <c r="Z2962" s="463"/>
      <c r="AA2962" s="463"/>
      <c r="AB2962" s="464">
        <v>0</v>
      </c>
      <c r="AC2962" s="465">
        <v>0</v>
      </c>
      <c r="AD2962" s="465">
        <v>0</v>
      </c>
      <c r="AE2962" s="476">
        <v>0</v>
      </c>
      <c r="AF2962" s="467">
        <v>0</v>
      </c>
      <c r="AG2962" s="468">
        <v>0</v>
      </c>
      <c r="AH2962" s="218">
        <v>0</v>
      </c>
      <c r="AI2962" s="470">
        <v>0</v>
      </c>
      <c r="AJ2962" s="471">
        <v>0</v>
      </c>
      <c r="AK2962" s="218">
        <v>0</v>
      </c>
      <c r="AL2962" s="470">
        <v>0</v>
      </c>
      <c r="AM2962" s="471">
        <v>0</v>
      </c>
      <c r="AN2962" s="477">
        <v>0</v>
      </c>
      <c r="AO2962" s="473">
        <v>0</v>
      </c>
      <c r="AP2962" s="474">
        <v>0</v>
      </c>
      <c r="AQ2962" s="352"/>
      <c r="AR2962" s="352"/>
      <c r="AS2962" s="352"/>
      <c r="AT2962" s="352"/>
      <c r="AU2962" s="352"/>
      <c r="AV2962" s="352"/>
      <c r="AW2962" s="352" t="s">
        <v>254</v>
      </c>
    </row>
    <row r="2963" spans="2:49" x14ac:dyDescent="0.2">
      <c r="B2963" s="460" t="s">
        <v>3233</v>
      </c>
      <c r="C2963" s="460">
        <v>4111</v>
      </c>
      <c r="D2963" s="460" t="s">
        <v>2342</v>
      </c>
      <c r="E2963" s="460" t="s">
        <v>2324</v>
      </c>
      <c r="F2963" s="460">
        <v>1</v>
      </c>
      <c r="G2963" s="460">
        <v>3</v>
      </c>
      <c r="H2963" s="461" t="s">
        <v>748</v>
      </c>
      <c r="I2963" s="461" t="s">
        <v>765</v>
      </c>
      <c r="J2963" s="461" t="s">
        <v>700</v>
      </c>
      <c r="K2963" s="594"/>
      <c r="L2963" s="594"/>
      <c r="M2963" s="352">
        <v>4000</v>
      </c>
      <c r="N2963" s="352" t="s">
        <v>716</v>
      </c>
      <c r="O2963" s="460">
        <v>4111</v>
      </c>
      <c r="P2963" s="460" t="s">
        <v>770</v>
      </c>
      <c r="Q2963" s="460" t="s">
        <v>2266</v>
      </c>
      <c r="R2963" s="460">
        <v>4111</v>
      </c>
      <c r="S2963" s="460" t="s">
        <v>2324</v>
      </c>
      <c r="T2963" s="462">
        <v>1</v>
      </c>
      <c r="U2963" s="460" t="s">
        <v>2324</v>
      </c>
      <c r="V2963" s="475">
        <v>0</v>
      </c>
      <c r="W2963" s="463" t="s">
        <v>2268</v>
      </c>
      <c r="X2963" s="463" t="s">
        <v>2268</v>
      </c>
      <c r="Y2963" s="463" t="s">
        <v>2267</v>
      </c>
      <c r="Z2963" s="463"/>
      <c r="AA2963" s="463"/>
      <c r="AB2963" s="464">
        <v>0</v>
      </c>
      <c r="AC2963" s="465">
        <v>0</v>
      </c>
      <c r="AD2963" s="465">
        <v>0</v>
      </c>
      <c r="AE2963" s="476">
        <v>0</v>
      </c>
      <c r="AF2963" s="467">
        <v>0</v>
      </c>
      <c r="AG2963" s="468">
        <v>0</v>
      </c>
      <c r="AH2963" s="218">
        <v>0</v>
      </c>
      <c r="AI2963" s="470">
        <v>0</v>
      </c>
      <c r="AJ2963" s="471">
        <v>0</v>
      </c>
      <c r="AK2963" s="218">
        <v>0</v>
      </c>
      <c r="AL2963" s="470">
        <v>0</v>
      </c>
      <c r="AM2963" s="471">
        <v>0</v>
      </c>
      <c r="AN2963" s="477">
        <v>59.240460196359635</v>
      </c>
      <c r="AO2963" s="473">
        <v>8.1709907232362045E-2</v>
      </c>
      <c r="AP2963" s="474">
        <v>3.0835734889383126E-3</v>
      </c>
      <c r="AQ2963" s="352"/>
      <c r="AR2963" s="352"/>
      <c r="AS2963" s="352"/>
      <c r="AT2963" s="352"/>
      <c r="AU2963" s="352"/>
      <c r="AV2963" s="352"/>
      <c r="AW2963" s="352" t="s">
        <v>254</v>
      </c>
    </row>
    <row r="2964" spans="2:49" x14ac:dyDescent="0.2">
      <c r="B2964" s="460" t="s">
        <v>3234</v>
      </c>
      <c r="C2964" s="460">
        <v>4111</v>
      </c>
      <c r="D2964" s="460" t="s">
        <v>2343</v>
      </c>
      <c r="E2964" s="460" t="s">
        <v>2327</v>
      </c>
      <c r="F2964" s="460">
        <v>2</v>
      </c>
      <c r="G2964" s="460">
        <v>3</v>
      </c>
      <c r="H2964" s="461" t="s">
        <v>748</v>
      </c>
      <c r="I2964" s="461" t="s">
        <v>765</v>
      </c>
      <c r="J2964" s="461" t="s">
        <v>700</v>
      </c>
      <c r="K2964" s="594"/>
      <c r="L2964" s="594"/>
      <c r="M2964" s="352">
        <v>4000</v>
      </c>
      <c r="N2964" s="352" t="s">
        <v>716</v>
      </c>
      <c r="O2964" s="460">
        <v>4111</v>
      </c>
      <c r="P2964" s="460" t="s">
        <v>770</v>
      </c>
      <c r="Q2964" s="460" t="s">
        <v>2266</v>
      </c>
      <c r="R2964" s="460">
        <v>4111</v>
      </c>
      <c r="S2964" s="460" t="s">
        <v>2324</v>
      </c>
      <c r="T2964" s="462">
        <v>1</v>
      </c>
      <c r="U2964" s="460" t="s">
        <v>2327</v>
      </c>
      <c r="V2964" s="475">
        <v>0</v>
      </c>
      <c r="W2964" s="463" t="s">
        <v>2268</v>
      </c>
      <c r="X2964" s="463" t="s">
        <v>2268</v>
      </c>
      <c r="Y2964" s="463" t="s">
        <v>2267</v>
      </c>
      <c r="Z2964" s="463"/>
      <c r="AA2964" s="463"/>
      <c r="AB2964" s="464">
        <v>0</v>
      </c>
      <c r="AC2964" s="465">
        <v>0</v>
      </c>
      <c r="AD2964" s="465">
        <v>0</v>
      </c>
      <c r="AE2964" s="476">
        <v>0</v>
      </c>
      <c r="AF2964" s="467">
        <v>0</v>
      </c>
      <c r="AG2964" s="468">
        <v>0</v>
      </c>
      <c r="AH2964" s="218">
        <v>0</v>
      </c>
      <c r="AI2964" s="470">
        <v>0</v>
      </c>
      <c r="AJ2964" s="471">
        <v>0</v>
      </c>
      <c r="AK2964" s="218">
        <v>0</v>
      </c>
      <c r="AL2964" s="470">
        <v>0</v>
      </c>
      <c r="AM2964" s="471">
        <v>0</v>
      </c>
      <c r="AN2964" s="477">
        <v>45.020147375933924</v>
      </c>
      <c r="AO2964" s="473">
        <v>0.10724541603594775</v>
      </c>
      <c r="AP2964" s="474">
        <v>4.0019990332168494E-3</v>
      </c>
      <c r="AQ2964" s="352"/>
      <c r="AR2964" s="352"/>
      <c r="AS2964" s="352"/>
      <c r="AT2964" s="352"/>
      <c r="AU2964" s="352"/>
      <c r="AV2964" s="352"/>
      <c r="AW2964" s="352" t="s">
        <v>254</v>
      </c>
    </row>
    <row r="2965" spans="2:49" x14ac:dyDescent="0.2">
      <c r="B2965" s="460" t="s">
        <v>3235</v>
      </c>
      <c r="C2965" s="460">
        <v>4111</v>
      </c>
      <c r="D2965" s="460" t="s">
        <v>2344</v>
      </c>
      <c r="E2965" s="460" t="s">
        <v>2330</v>
      </c>
      <c r="F2965" s="460">
        <v>3</v>
      </c>
      <c r="G2965" s="460">
        <v>3</v>
      </c>
      <c r="H2965" s="461" t="s">
        <v>748</v>
      </c>
      <c r="I2965" s="461" t="s">
        <v>765</v>
      </c>
      <c r="J2965" s="461" t="s">
        <v>700</v>
      </c>
      <c r="K2965" s="594"/>
      <c r="L2965" s="594"/>
      <c r="M2965" s="352">
        <v>4000</v>
      </c>
      <c r="N2965" s="352" t="s">
        <v>716</v>
      </c>
      <c r="O2965" s="460">
        <v>4111</v>
      </c>
      <c r="P2965" s="460" t="s">
        <v>770</v>
      </c>
      <c r="Q2965" s="460" t="s">
        <v>2266</v>
      </c>
      <c r="R2965" s="460">
        <v>4111</v>
      </c>
      <c r="S2965" s="460" t="s">
        <v>2324</v>
      </c>
      <c r="T2965" s="462">
        <v>1</v>
      </c>
      <c r="U2965" s="460" t="s">
        <v>2330</v>
      </c>
      <c r="V2965" s="475">
        <v>0</v>
      </c>
      <c r="W2965" s="463" t="s">
        <v>2268</v>
      </c>
      <c r="X2965" s="463" t="s">
        <v>2268</v>
      </c>
      <c r="Y2965" s="463" t="s">
        <v>2267</v>
      </c>
      <c r="Z2965" s="463"/>
      <c r="AA2965" s="463"/>
      <c r="AB2965" s="464">
        <v>0</v>
      </c>
      <c r="AC2965" s="465">
        <v>0</v>
      </c>
      <c r="AD2965" s="465">
        <v>0</v>
      </c>
      <c r="AE2965" s="476">
        <v>0</v>
      </c>
      <c r="AF2965" s="467">
        <v>0</v>
      </c>
      <c r="AG2965" s="468">
        <v>0</v>
      </c>
      <c r="AH2965" s="218">
        <v>0</v>
      </c>
      <c r="AI2965" s="470">
        <v>0</v>
      </c>
      <c r="AJ2965" s="471">
        <v>0</v>
      </c>
      <c r="AK2965" s="218">
        <v>0</v>
      </c>
      <c r="AL2965" s="470">
        <v>0</v>
      </c>
      <c r="AM2965" s="471">
        <v>0</v>
      </c>
      <c r="AN2965" s="477">
        <v>13.329390232857483</v>
      </c>
      <c r="AO2965" s="473">
        <v>8.1709907232362045E-2</v>
      </c>
      <c r="AP2965" s="474">
        <v>3.6333614223735241E-3</v>
      </c>
      <c r="AQ2965" s="352"/>
      <c r="AR2965" s="352"/>
      <c r="AS2965" s="352"/>
      <c r="AT2965" s="352"/>
      <c r="AU2965" s="352"/>
      <c r="AV2965" s="352"/>
      <c r="AW2965" s="352" t="s">
        <v>254</v>
      </c>
    </row>
    <row r="2966" spans="2:49" x14ac:dyDescent="0.2">
      <c r="B2966" s="460" t="s">
        <v>3236</v>
      </c>
      <c r="C2966" s="460">
        <v>4111</v>
      </c>
      <c r="D2966" s="460" t="s">
        <v>2345</v>
      </c>
      <c r="E2966" s="460" t="s">
        <v>2333</v>
      </c>
      <c r="F2966" s="460">
        <v>4</v>
      </c>
      <c r="G2966" s="460">
        <v>3</v>
      </c>
      <c r="H2966" s="461" t="s">
        <v>748</v>
      </c>
      <c r="I2966" s="461" t="s">
        <v>765</v>
      </c>
      <c r="J2966" s="461" t="s">
        <v>700</v>
      </c>
      <c r="K2966" s="594"/>
      <c r="L2966" s="594"/>
      <c r="M2966" s="352">
        <v>4000</v>
      </c>
      <c r="N2966" s="352" t="s">
        <v>716</v>
      </c>
      <c r="O2966" s="460">
        <v>4111</v>
      </c>
      <c r="P2966" s="460" t="s">
        <v>770</v>
      </c>
      <c r="Q2966" s="460" t="s">
        <v>2266</v>
      </c>
      <c r="R2966" s="460">
        <v>4111</v>
      </c>
      <c r="S2966" s="460" t="s">
        <v>2333</v>
      </c>
      <c r="T2966" s="462">
        <v>1</v>
      </c>
      <c r="U2966" s="460" t="s">
        <v>2333</v>
      </c>
      <c r="V2966" s="475">
        <v>0</v>
      </c>
      <c r="W2966" s="463" t="s">
        <v>2268</v>
      </c>
      <c r="X2966" s="463" t="s">
        <v>2268</v>
      </c>
      <c r="Y2966" s="463" t="s">
        <v>2278</v>
      </c>
      <c r="Z2966" s="463"/>
      <c r="AA2966" s="463"/>
      <c r="AB2966" s="464">
        <v>0</v>
      </c>
      <c r="AC2966" s="465">
        <v>0</v>
      </c>
      <c r="AD2966" s="465">
        <v>0</v>
      </c>
      <c r="AE2966" s="476">
        <v>0</v>
      </c>
      <c r="AF2966" s="467">
        <v>0</v>
      </c>
      <c r="AG2966" s="468">
        <v>0</v>
      </c>
      <c r="AH2966" s="218">
        <v>0</v>
      </c>
      <c r="AI2966" s="470">
        <v>0</v>
      </c>
      <c r="AJ2966" s="471">
        <v>0</v>
      </c>
      <c r="AK2966" s="218">
        <v>0</v>
      </c>
      <c r="AL2966" s="470">
        <v>0</v>
      </c>
      <c r="AM2966" s="471">
        <v>0</v>
      </c>
      <c r="AN2966" s="477">
        <v>40.325862751401722</v>
      </c>
      <c r="AO2966" s="473">
        <v>0.18715327563846415</v>
      </c>
      <c r="AP2966" s="474">
        <v>2.511190412706929E-2</v>
      </c>
      <c r="AQ2966" s="352"/>
      <c r="AR2966" s="352"/>
      <c r="AS2966" s="352"/>
      <c r="AT2966" s="352"/>
      <c r="AU2966" s="352"/>
      <c r="AV2966" s="352"/>
      <c r="AW2966" s="352" t="s">
        <v>254</v>
      </c>
    </row>
    <row r="2967" spans="2:49" x14ac:dyDescent="0.2">
      <c r="B2967" s="460" t="s">
        <v>3233</v>
      </c>
      <c r="C2967" s="460">
        <v>4111</v>
      </c>
      <c r="D2967" s="460" t="s">
        <v>2346</v>
      </c>
      <c r="E2967" s="460" t="s">
        <v>2324</v>
      </c>
      <c r="F2967" s="460">
        <v>1</v>
      </c>
      <c r="G2967" s="460">
        <v>3</v>
      </c>
      <c r="H2967" s="461" t="s">
        <v>752</v>
      </c>
      <c r="I2967" s="461" t="s">
        <v>964</v>
      </c>
      <c r="J2967" s="461" t="s">
        <v>752</v>
      </c>
      <c r="K2967" s="594"/>
      <c r="L2967" s="594"/>
      <c r="M2967" s="352">
        <v>4000</v>
      </c>
      <c r="N2967" s="352" t="s">
        <v>716</v>
      </c>
      <c r="O2967" s="460">
        <v>4111</v>
      </c>
      <c r="P2967" s="460" t="s">
        <v>770</v>
      </c>
      <c r="Q2967" s="460" t="s">
        <v>2266</v>
      </c>
      <c r="R2967" s="460">
        <v>4111</v>
      </c>
      <c r="S2967" s="460" t="s">
        <v>2324</v>
      </c>
      <c r="T2967" s="462">
        <v>1</v>
      </c>
      <c r="U2967" s="460" t="s">
        <v>2324</v>
      </c>
      <c r="V2967" s="475">
        <v>0</v>
      </c>
      <c r="W2967" s="463" t="s">
        <v>2278</v>
      </c>
      <c r="X2967" s="463" t="s">
        <v>2278</v>
      </c>
      <c r="Y2967" s="463" t="s">
        <v>2278</v>
      </c>
      <c r="Z2967" s="463"/>
      <c r="AA2967" s="463"/>
      <c r="AB2967" s="464">
        <v>0</v>
      </c>
      <c r="AC2967" s="465">
        <v>0</v>
      </c>
      <c r="AD2967" s="465">
        <v>0</v>
      </c>
      <c r="AE2967" s="476">
        <v>0</v>
      </c>
      <c r="AF2967" s="467">
        <v>0</v>
      </c>
      <c r="AG2967" s="468">
        <v>0</v>
      </c>
      <c r="AH2967" s="218">
        <v>0</v>
      </c>
      <c r="AI2967" s="470">
        <v>0</v>
      </c>
      <c r="AJ2967" s="471">
        <v>0</v>
      </c>
      <c r="AK2967" s="218">
        <v>0</v>
      </c>
      <c r="AL2967" s="470">
        <v>0</v>
      </c>
      <c r="AM2967" s="471">
        <v>0</v>
      </c>
      <c r="AN2967" s="477">
        <v>0</v>
      </c>
      <c r="AO2967" s="473">
        <v>0</v>
      </c>
      <c r="AP2967" s="474">
        <v>0</v>
      </c>
      <c r="AQ2967" s="352"/>
      <c r="AR2967" s="352"/>
      <c r="AS2967" s="352"/>
      <c r="AT2967" s="352"/>
      <c r="AU2967" s="352"/>
      <c r="AV2967" s="352"/>
      <c r="AW2967" s="352" t="s">
        <v>254</v>
      </c>
    </row>
    <row r="2968" spans="2:49" x14ac:dyDescent="0.2">
      <c r="B2968" s="460" t="s">
        <v>3234</v>
      </c>
      <c r="C2968" s="460">
        <v>4111</v>
      </c>
      <c r="D2968" s="460" t="s">
        <v>2347</v>
      </c>
      <c r="E2968" s="460" t="s">
        <v>2327</v>
      </c>
      <c r="F2968" s="460">
        <v>2</v>
      </c>
      <c r="G2968" s="460">
        <v>3</v>
      </c>
      <c r="H2968" s="461" t="s">
        <v>752</v>
      </c>
      <c r="I2968" s="461" t="s">
        <v>964</v>
      </c>
      <c r="J2968" s="461" t="s">
        <v>752</v>
      </c>
      <c r="K2968" s="594"/>
      <c r="L2968" s="594"/>
      <c r="M2968" s="352">
        <v>4000</v>
      </c>
      <c r="N2968" s="352" t="s">
        <v>716</v>
      </c>
      <c r="O2968" s="460">
        <v>4111</v>
      </c>
      <c r="P2968" s="460" t="s">
        <v>770</v>
      </c>
      <c r="Q2968" s="460" t="s">
        <v>2266</v>
      </c>
      <c r="R2968" s="460">
        <v>4111</v>
      </c>
      <c r="S2968" s="460" t="s">
        <v>2324</v>
      </c>
      <c r="T2968" s="462">
        <v>1</v>
      </c>
      <c r="U2968" s="460" t="s">
        <v>2327</v>
      </c>
      <c r="V2968" s="475">
        <v>0</v>
      </c>
      <c r="W2968" s="463" t="s">
        <v>2278</v>
      </c>
      <c r="X2968" s="463" t="s">
        <v>2278</v>
      </c>
      <c r="Y2968" s="463" t="s">
        <v>2278</v>
      </c>
      <c r="Z2968" s="463"/>
      <c r="AA2968" s="463"/>
      <c r="AB2968" s="464">
        <v>0</v>
      </c>
      <c r="AC2968" s="465">
        <v>0</v>
      </c>
      <c r="AD2968" s="465">
        <v>0</v>
      </c>
      <c r="AE2968" s="476">
        <v>0</v>
      </c>
      <c r="AF2968" s="467">
        <v>0</v>
      </c>
      <c r="AG2968" s="468">
        <v>0</v>
      </c>
      <c r="AH2968" s="218">
        <v>0</v>
      </c>
      <c r="AI2968" s="470">
        <v>0</v>
      </c>
      <c r="AJ2968" s="471">
        <v>0</v>
      </c>
      <c r="AK2968" s="218">
        <v>0</v>
      </c>
      <c r="AL2968" s="470">
        <v>0</v>
      </c>
      <c r="AM2968" s="471">
        <v>0</v>
      </c>
      <c r="AN2968" s="477">
        <v>0</v>
      </c>
      <c r="AO2968" s="473">
        <v>0</v>
      </c>
      <c r="AP2968" s="474">
        <v>0</v>
      </c>
      <c r="AQ2968" s="352"/>
      <c r="AR2968" s="352"/>
      <c r="AS2968" s="352"/>
      <c r="AT2968" s="352"/>
      <c r="AU2968" s="352"/>
      <c r="AV2968" s="352"/>
      <c r="AW2968" s="352" t="s">
        <v>254</v>
      </c>
    </row>
    <row r="2969" spans="2:49" x14ac:dyDescent="0.2">
      <c r="B2969" s="460" t="s">
        <v>3235</v>
      </c>
      <c r="C2969" s="460">
        <v>4111</v>
      </c>
      <c r="D2969" s="460" t="s">
        <v>2348</v>
      </c>
      <c r="E2969" s="460" t="s">
        <v>2330</v>
      </c>
      <c r="F2969" s="460">
        <v>3</v>
      </c>
      <c r="G2969" s="460">
        <v>3</v>
      </c>
      <c r="H2969" s="461" t="s">
        <v>752</v>
      </c>
      <c r="I2969" s="461" t="s">
        <v>964</v>
      </c>
      <c r="J2969" s="461" t="s">
        <v>752</v>
      </c>
      <c r="K2969" s="594"/>
      <c r="L2969" s="594"/>
      <c r="M2969" s="352">
        <v>4000</v>
      </c>
      <c r="N2969" s="352" t="s">
        <v>716</v>
      </c>
      <c r="O2969" s="460">
        <v>4111</v>
      </c>
      <c r="P2969" s="460" t="s">
        <v>770</v>
      </c>
      <c r="Q2969" s="460" t="s">
        <v>2266</v>
      </c>
      <c r="R2969" s="460">
        <v>4111</v>
      </c>
      <c r="S2969" s="460" t="s">
        <v>2324</v>
      </c>
      <c r="T2969" s="462">
        <v>1</v>
      </c>
      <c r="U2969" s="460" t="s">
        <v>2330</v>
      </c>
      <c r="V2969" s="475">
        <v>0</v>
      </c>
      <c r="W2969" s="463" t="s">
        <v>2278</v>
      </c>
      <c r="X2969" s="463" t="s">
        <v>2278</v>
      </c>
      <c r="Y2969" s="463" t="s">
        <v>2278</v>
      </c>
      <c r="Z2969" s="463"/>
      <c r="AA2969" s="463"/>
      <c r="AB2969" s="464">
        <v>0</v>
      </c>
      <c r="AC2969" s="465">
        <v>0</v>
      </c>
      <c r="AD2969" s="465">
        <v>0</v>
      </c>
      <c r="AE2969" s="476">
        <v>0</v>
      </c>
      <c r="AF2969" s="467">
        <v>0</v>
      </c>
      <c r="AG2969" s="468">
        <v>0</v>
      </c>
      <c r="AH2969" s="218">
        <v>0</v>
      </c>
      <c r="AI2969" s="470">
        <v>0</v>
      </c>
      <c r="AJ2969" s="471">
        <v>0</v>
      </c>
      <c r="AK2969" s="218">
        <v>0</v>
      </c>
      <c r="AL2969" s="470">
        <v>0</v>
      </c>
      <c r="AM2969" s="471">
        <v>0</v>
      </c>
      <c r="AN2969" s="477">
        <v>0</v>
      </c>
      <c r="AO2969" s="473">
        <v>0</v>
      </c>
      <c r="AP2969" s="474">
        <v>0</v>
      </c>
      <c r="AQ2969" s="352"/>
      <c r="AR2969" s="352"/>
      <c r="AS2969" s="352"/>
      <c r="AT2969" s="352"/>
      <c r="AU2969" s="352"/>
      <c r="AV2969" s="352"/>
      <c r="AW2969" s="352" t="s">
        <v>254</v>
      </c>
    </row>
    <row r="2970" spans="2:49" x14ac:dyDescent="0.2">
      <c r="B2970" s="460" t="s">
        <v>3236</v>
      </c>
      <c r="C2970" s="460">
        <v>4111</v>
      </c>
      <c r="D2970" s="460" t="s">
        <v>2349</v>
      </c>
      <c r="E2970" s="460" t="s">
        <v>2333</v>
      </c>
      <c r="F2970" s="460">
        <v>4</v>
      </c>
      <c r="G2970" s="460">
        <v>3</v>
      </c>
      <c r="H2970" s="461" t="s">
        <v>752</v>
      </c>
      <c r="I2970" s="461" t="s">
        <v>964</v>
      </c>
      <c r="J2970" s="461" t="s">
        <v>752</v>
      </c>
      <c r="K2970" s="594"/>
      <c r="L2970" s="594"/>
      <c r="M2970" s="352">
        <v>4000</v>
      </c>
      <c r="N2970" s="352" t="s">
        <v>716</v>
      </c>
      <c r="O2970" s="460">
        <v>4111</v>
      </c>
      <c r="P2970" s="460" t="s">
        <v>770</v>
      </c>
      <c r="Q2970" s="460" t="s">
        <v>2266</v>
      </c>
      <c r="R2970" s="460">
        <v>4111</v>
      </c>
      <c r="S2970" s="460" t="s">
        <v>2333</v>
      </c>
      <c r="T2970" s="462">
        <v>1</v>
      </c>
      <c r="U2970" s="460" t="s">
        <v>2333</v>
      </c>
      <c r="V2970" s="475">
        <v>0</v>
      </c>
      <c r="W2970" s="463" t="s">
        <v>2278</v>
      </c>
      <c r="X2970" s="463" t="s">
        <v>2278</v>
      </c>
      <c r="Y2970" s="463" t="s">
        <v>2278</v>
      </c>
      <c r="Z2970" s="463"/>
      <c r="AA2970" s="463"/>
      <c r="AB2970" s="464">
        <v>0</v>
      </c>
      <c r="AC2970" s="465">
        <v>0</v>
      </c>
      <c r="AD2970" s="465">
        <v>0</v>
      </c>
      <c r="AE2970" s="476">
        <v>0</v>
      </c>
      <c r="AF2970" s="467">
        <v>0</v>
      </c>
      <c r="AG2970" s="468">
        <v>0</v>
      </c>
      <c r="AH2970" s="218">
        <v>0</v>
      </c>
      <c r="AI2970" s="470">
        <v>0</v>
      </c>
      <c r="AJ2970" s="471">
        <v>0</v>
      </c>
      <c r="AK2970" s="218">
        <v>0</v>
      </c>
      <c r="AL2970" s="470">
        <v>0</v>
      </c>
      <c r="AM2970" s="471">
        <v>0</v>
      </c>
      <c r="AN2970" s="477">
        <v>0</v>
      </c>
      <c r="AO2970" s="473">
        <v>0</v>
      </c>
      <c r="AP2970" s="474">
        <v>0</v>
      </c>
      <c r="AQ2970" s="352"/>
      <c r="AR2970" s="352"/>
      <c r="AS2970" s="352"/>
      <c r="AT2970" s="352"/>
      <c r="AU2970" s="352"/>
      <c r="AV2970" s="352"/>
      <c r="AW2970" s="352" t="s">
        <v>254</v>
      </c>
    </row>
    <row r="2971" spans="2:49" x14ac:dyDescent="0.2">
      <c r="B2971" s="460" t="s">
        <v>3237</v>
      </c>
      <c r="C2971" s="460">
        <v>4111</v>
      </c>
      <c r="D2971" s="460" t="s">
        <v>2351</v>
      </c>
      <c r="E2971" s="460" t="s">
        <v>1136</v>
      </c>
      <c r="F2971" s="460">
        <v>1</v>
      </c>
      <c r="G2971" s="460">
        <v>4</v>
      </c>
      <c r="H2971" s="461" t="s">
        <v>700</v>
      </c>
      <c r="I2971" s="461" t="s">
        <v>872</v>
      </c>
      <c r="J2971" s="461" t="s">
        <v>700</v>
      </c>
      <c r="K2971" s="594"/>
      <c r="L2971" s="594"/>
      <c r="M2971" s="352">
        <v>4000</v>
      </c>
      <c r="N2971" s="352" t="s">
        <v>716</v>
      </c>
      <c r="O2971" s="460">
        <v>4111</v>
      </c>
      <c r="P2971" s="460" t="s">
        <v>770</v>
      </c>
      <c r="Q2971" s="460" t="s">
        <v>2266</v>
      </c>
      <c r="R2971" s="460">
        <v>4111</v>
      </c>
      <c r="S2971" s="460" t="s">
        <v>1136</v>
      </c>
      <c r="T2971" s="462">
        <v>1</v>
      </c>
      <c r="U2971" s="460" t="s">
        <v>1136</v>
      </c>
      <c r="V2971" s="475">
        <v>0</v>
      </c>
      <c r="W2971" s="463" t="s">
        <v>2267</v>
      </c>
      <c r="X2971" s="463" t="s">
        <v>2267</v>
      </c>
      <c r="Y2971" s="463" t="s">
        <v>2268</v>
      </c>
      <c r="Z2971" s="463"/>
      <c r="AA2971" s="463"/>
      <c r="AB2971" s="464">
        <v>0.25913910697835096</v>
      </c>
      <c r="AC2971" s="465">
        <v>4.5266141349548043E-3</v>
      </c>
      <c r="AD2971" s="465">
        <v>7.3730497853378171E-4</v>
      </c>
      <c r="AE2971" s="476">
        <v>0.25913910697835096</v>
      </c>
      <c r="AF2971" s="467">
        <v>4.5266141349548043E-3</v>
      </c>
      <c r="AG2971" s="468">
        <v>8.0149590440572267E-4</v>
      </c>
      <c r="AH2971" s="218">
        <v>0.25913910697835096</v>
      </c>
      <c r="AI2971" s="470">
        <v>4.5266141349548043E-3</v>
      </c>
      <c r="AJ2971" s="471">
        <v>2.0237896771699971E-4</v>
      </c>
      <c r="AK2971" s="218">
        <v>0.25913910697835096</v>
      </c>
      <c r="AL2971" s="470">
        <v>4.5266141349548043E-3</v>
      </c>
      <c r="AM2971" s="471">
        <v>2.0237896771699971E-4</v>
      </c>
      <c r="AN2971" s="477">
        <v>0</v>
      </c>
      <c r="AO2971" s="473">
        <v>0</v>
      </c>
      <c r="AP2971" s="474">
        <v>0</v>
      </c>
      <c r="AQ2971" s="352"/>
      <c r="AR2971" s="352"/>
      <c r="AS2971" s="352"/>
      <c r="AT2971" s="352"/>
      <c r="AU2971" s="352"/>
      <c r="AV2971" s="352"/>
      <c r="AW2971" s="352" t="s">
        <v>254</v>
      </c>
    </row>
    <row r="2972" spans="2:49" x14ac:dyDescent="0.2">
      <c r="B2972" s="460" t="s">
        <v>3238</v>
      </c>
      <c r="C2972" s="460">
        <v>4111</v>
      </c>
      <c r="D2972" s="460" t="s">
        <v>2353</v>
      </c>
      <c r="E2972" s="460" t="s">
        <v>1137</v>
      </c>
      <c r="F2972" s="460">
        <v>2</v>
      </c>
      <c r="G2972" s="460">
        <v>4</v>
      </c>
      <c r="H2972" s="461" t="s">
        <v>700</v>
      </c>
      <c r="I2972" s="461" t="s">
        <v>872</v>
      </c>
      <c r="J2972" s="461" t="s">
        <v>700</v>
      </c>
      <c r="K2972" s="594"/>
      <c r="L2972" s="594"/>
      <c r="M2972" s="352">
        <v>4000</v>
      </c>
      <c r="N2972" s="352" t="s">
        <v>716</v>
      </c>
      <c r="O2972" s="460">
        <v>4111</v>
      </c>
      <c r="P2972" s="460" t="s">
        <v>770</v>
      </c>
      <c r="Q2972" s="460" t="s">
        <v>2266</v>
      </c>
      <c r="R2972" s="460">
        <v>4111</v>
      </c>
      <c r="S2972" s="460" t="s">
        <v>1137</v>
      </c>
      <c r="T2972" s="462">
        <v>1</v>
      </c>
      <c r="U2972" s="460" t="s">
        <v>1137</v>
      </c>
      <c r="V2972" s="475">
        <v>0</v>
      </c>
      <c r="W2972" s="463" t="s">
        <v>2267</v>
      </c>
      <c r="X2972" s="463" t="s">
        <v>2267</v>
      </c>
      <c r="Y2972" s="463" t="s">
        <v>2268</v>
      </c>
      <c r="Z2972" s="463"/>
      <c r="AA2972" s="463"/>
      <c r="AB2972" s="464">
        <v>3.2874616580122593</v>
      </c>
      <c r="AC2972" s="465">
        <v>3.6261712010713376E-2</v>
      </c>
      <c r="AD2972" s="465">
        <v>7.4235855344949092E-4</v>
      </c>
      <c r="AE2972" s="476">
        <v>3.2874616580122593</v>
      </c>
      <c r="AF2972" s="467">
        <v>3.6261712010713376E-2</v>
      </c>
      <c r="AG2972" s="468">
        <v>7.9976568746020673E-4</v>
      </c>
      <c r="AH2972" s="218">
        <v>3.2874616580122593</v>
      </c>
      <c r="AI2972" s="470">
        <v>3.6261712010713376E-2</v>
      </c>
      <c r="AJ2972" s="471">
        <v>6.7922057348195628E-4</v>
      </c>
      <c r="AK2972" s="218">
        <v>3.2874616580122593</v>
      </c>
      <c r="AL2972" s="470">
        <v>3.6261712010713376E-2</v>
      </c>
      <c r="AM2972" s="471">
        <v>6.7922057348195628E-4</v>
      </c>
      <c r="AN2972" s="477">
        <v>0</v>
      </c>
      <c r="AO2972" s="473">
        <v>0</v>
      </c>
      <c r="AP2972" s="474">
        <v>0</v>
      </c>
      <c r="AQ2972" s="352"/>
      <c r="AR2972" s="352"/>
      <c r="AS2972" s="352"/>
      <c r="AT2972" s="352"/>
      <c r="AU2972" s="352"/>
      <c r="AV2972" s="352"/>
      <c r="AW2972" s="352" t="s">
        <v>254</v>
      </c>
    </row>
    <row r="2973" spans="2:49" x14ac:dyDescent="0.2">
      <c r="B2973" s="460" t="s">
        <v>3239</v>
      </c>
      <c r="C2973" s="460">
        <v>4111</v>
      </c>
      <c r="D2973" s="460" t="s">
        <v>2355</v>
      </c>
      <c r="E2973" s="460" t="s">
        <v>1138</v>
      </c>
      <c r="F2973" s="460">
        <v>3</v>
      </c>
      <c r="G2973" s="460">
        <v>4</v>
      </c>
      <c r="H2973" s="461" t="s">
        <v>700</v>
      </c>
      <c r="I2973" s="461" t="s">
        <v>872</v>
      </c>
      <c r="J2973" s="461" t="s">
        <v>700</v>
      </c>
      <c r="K2973" s="594"/>
      <c r="L2973" s="594"/>
      <c r="M2973" s="352">
        <v>4000</v>
      </c>
      <c r="N2973" s="352" t="s">
        <v>716</v>
      </c>
      <c r="O2973" s="460">
        <v>4111</v>
      </c>
      <c r="P2973" s="460" t="s">
        <v>770</v>
      </c>
      <c r="Q2973" s="460" t="s">
        <v>2266</v>
      </c>
      <c r="R2973" s="460">
        <v>4111</v>
      </c>
      <c r="S2973" s="460" t="s">
        <v>1138</v>
      </c>
      <c r="T2973" s="462">
        <v>1</v>
      </c>
      <c r="U2973" s="460" t="s">
        <v>1138</v>
      </c>
      <c r="V2973" s="475">
        <v>0</v>
      </c>
      <c r="W2973" s="463" t="s">
        <v>2267</v>
      </c>
      <c r="X2973" s="463" t="s">
        <v>2267</v>
      </c>
      <c r="Y2973" s="463" t="s">
        <v>2268</v>
      </c>
      <c r="Z2973" s="463"/>
      <c r="AA2973" s="463"/>
      <c r="AB2973" s="464">
        <v>2.8580486971872281</v>
      </c>
      <c r="AC2973" s="465">
        <v>4.0421198970643925E-2</v>
      </c>
      <c r="AD2973" s="465">
        <v>1.1991462295506971E-3</v>
      </c>
      <c r="AE2973" s="476">
        <v>2.8580486971872281</v>
      </c>
      <c r="AF2973" s="467">
        <v>4.0421198970643925E-2</v>
      </c>
      <c r="AG2973" s="468">
        <v>1.2937165535244698E-3</v>
      </c>
      <c r="AH2973" s="218">
        <v>2.8580486971872281</v>
      </c>
      <c r="AI2973" s="470">
        <v>4.0421198970643925E-2</v>
      </c>
      <c r="AJ2973" s="471">
        <v>9.8490125896208034E-4</v>
      </c>
      <c r="AK2973" s="218">
        <v>2.8580486971872281</v>
      </c>
      <c r="AL2973" s="470">
        <v>4.0421198970643925E-2</v>
      </c>
      <c r="AM2973" s="471">
        <v>9.8490125896208034E-4</v>
      </c>
      <c r="AN2973" s="477">
        <v>0</v>
      </c>
      <c r="AO2973" s="473">
        <v>0</v>
      </c>
      <c r="AP2973" s="474">
        <v>0</v>
      </c>
      <c r="AQ2973" s="352"/>
      <c r="AR2973" s="352"/>
      <c r="AS2973" s="352"/>
      <c r="AT2973" s="352"/>
      <c r="AU2973" s="352"/>
      <c r="AV2973" s="352"/>
      <c r="AW2973" s="352" t="s">
        <v>254</v>
      </c>
    </row>
    <row r="2974" spans="2:49" x14ac:dyDescent="0.2">
      <c r="B2974" s="460" t="s">
        <v>3240</v>
      </c>
      <c r="C2974" s="460">
        <v>4111</v>
      </c>
      <c r="D2974" s="460" t="s">
        <v>2357</v>
      </c>
      <c r="E2974" s="460" t="s">
        <v>1139</v>
      </c>
      <c r="F2974" s="460">
        <v>4</v>
      </c>
      <c r="G2974" s="460">
        <v>4</v>
      </c>
      <c r="H2974" s="461" t="s">
        <v>700</v>
      </c>
      <c r="I2974" s="461" t="s">
        <v>872</v>
      </c>
      <c r="J2974" s="461" t="s">
        <v>700</v>
      </c>
      <c r="K2974" s="594"/>
      <c r="L2974" s="594"/>
      <c r="M2974" s="352">
        <v>4000</v>
      </c>
      <c r="N2974" s="352" t="s">
        <v>716</v>
      </c>
      <c r="O2974" s="460">
        <v>4111</v>
      </c>
      <c r="P2974" s="460" t="s">
        <v>770</v>
      </c>
      <c r="Q2974" s="460" t="s">
        <v>2266</v>
      </c>
      <c r="R2974" s="460">
        <v>4111</v>
      </c>
      <c r="S2974" s="460" t="s">
        <v>1139</v>
      </c>
      <c r="T2974" s="462">
        <v>1</v>
      </c>
      <c r="U2974" s="460" t="s">
        <v>1139</v>
      </c>
      <c r="V2974" s="475">
        <v>0</v>
      </c>
      <c r="W2974" s="463" t="s">
        <v>2267</v>
      </c>
      <c r="X2974" s="463" t="s">
        <v>2267</v>
      </c>
      <c r="Y2974" s="463" t="s">
        <v>2268</v>
      </c>
      <c r="Z2974" s="463"/>
      <c r="AA2974" s="463"/>
      <c r="AB2974" s="464">
        <v>0</v>
      </c>
      <c r="AC2974" s="465">
        <v>0</v>
      </c>
      <c r="AD2974" s="465">
        <v>0</v>
      </c>
      <c r="AE2974" s="476">
        <v>0</v>
      </c>
      <c r="AF2974" s="467">
        <v>0</v>
      </c>
      <c r="AG2974" s="468">
        <v>0</v>
      </c>
      <c r="AH2974" s="218">
        <v>0</v>
      </c>
      <c r="AI2974" s="470">
        <v>0</v>
      </c>
      <c r="AJ2974" s="471">
        <v>0</v>
      </c>
      <c r="AK2974" s="218">
        <v>0</v>
      </c>
      <c r="AL2974" s="470">
        <v>0</v>
      </c>
      <c r="AM2974" s="471">
        <v>0</v>
      </c>
      <c r="AN2974" s="477">
        <v>0</v>
      </c>
      <c r="AO2974" s="473">
        <v>0</v>
      </c>
      <c r="AP2974" s="474">
        <v>0</v>
      </c>
      <c r="AQ2974" s="352"/>
      <c r="AR2974" s="352"/>
      <c r="AS2974" s="352"/>
      <c r="AT2974" s="352"/>
      <c r="AU2974" s="352"/>
      <c r="AV2974" s="352"/>
      <c r="AW2974" s="352" t="s">
        <v>254</v>
      </c>
    </row>
    <row r="2975" spans="2:49" x14ac:dyDescent="0.2">
      <c r="B2975" s="460" t="s">
        <v>3237</v>
      </c>
      <c r="C2975" s="460">
        <v>4111</v>
      </c>
      <c r="D2975" s="460" t="s">
        <v>2358</v>
      </c>
      <c r="E2975" s="460" t="s">
        <v>1136</v>
      </c>
      <c r="F2975" s="460">
        <v>1</v>
      </c>
      <c r="G2975" s="460">
        <v>4</v>
      </c>
      <c r="H2975" s="461" t="s">
        <v>712</v>
      </c>
      <c r="I2975" s="461" t="s">
        <v>713</v>
      </c>
      <c r="J2975" s="461" t="s">
        <v>712</v>
      </c>
      <c r="K2975" s="594"/>
      <c r="L2975" s="594"/>
      <c r="M2975" s="352">
        <v>4000</v>
      </c>
      <c r="N2975" s="352" t="s">
        <v>716</v>
      </c>
      <c r="O2975" s="460">
        <v>4111</v>
      </c>
      <c r="P2975" s="460" t="s">
        <v>770</v>
      </c>
      <c r="Q2975" s="460" t="s">
        <v>2280</v>
      </c>
      <c r="R2975" s="460">
        <v>4111</v>
      </c>
      <c r="S2975" s="460" t="s">
        <v>1136</v>
      </c>
      <c r="T2975" s="462">
        <v>1</v>
      </c>
      <c r="U2975" s="460" t="s">
        <v>1136</v>
      </c>
      <c r="V2975" s="475">
        <v>0</v>
      </c>
      <c r="W2975" s="463" t="s">
        <v>713</v>
      </c>
      <c r="X2975" s="463" t="s">
        <v>713</v>
      </c>
      <c r="Y2975" s="463" t="s">
        <v>713</v>
      </c>
      <c r="Z2975" s="463"/>
      <c r="AA2975" s="463"/>
      <c r="AB2975" s="464">
        <v>43.912307530196955</v>
      </c>
      <c r="AC2975" s="465">
        <v>0.76705547951617292</v>
      </c>
      <c r="AD2975" s="465">
        <v>2.893983720838222E-4</v>
      </c>
      <c r="AE2975" s="476">
        <v>43.912307530196962</v>
      </c>
      <c r="AF2975" s="467">
        <v>0.76705547951617303</v>
      </c>
      <c r="AG2975" s="468">
        <v>2.8934469567234105E-4</v>
      </c>
      <c r="AH2975" s="218">
        <v>43.912307530196962</v>
      </c>
      <c r="AI2975" s="470">
        <v>0.76705547951617303</v>
      </c>
      <c r="AJ2975" s="471">
        <v>2.9228537003592821E-4</v>
      </c>
      <c r="AK2975" s="218">
        <v>43.912307530196962</v>
      </c>
      <c r="AL2975" s="470">
        <v>0.76705547951617303</v>
      </c>
      <c r="AM2975" s="471">
        <v>2.9228537003592821E-4</v>
      </c>
      <c r="AN2975" s="477">
        <v>43.912307530196962</v>
      </c>
      <c r="AO2975" s="473">
        <v>0.76705547951617303</v>
      </c>
      <c r="AP2975" s="474">
        <v>2.9180978092318958E-4</v>
      </c>
      <c r="AQ2975" s="352"/>
      <c r="AR2975" s="352"/>
      <c r="AS2975" s="352"/>
      <c r="AT2975" s="352"/>
      <c r="AU2975" s="352"/>
      <c r="AV2975" s="352"/>
      <c r="AW2975" s="352" t="s">
        <v>254</v>
      </c>
    </row>
    <row r="2976" spans="2:49" x14ac:dyDescent="0.2">
      <c r="B2976" s="460" t="s">
        <v>3238</v>
      </c>
      <c r="C2976" s="460">
        <v>4111</v>
      </c>
      <c r="D2976" s="460" t="s">
        <v>2359</v>
      </c>
      <c r="E2976" s="460" t="s">
        <v>1137</v>
      </c>
      <c r="F2976" s="460">
        <v>2</v>
      </c>
      <c r="G2976" s="460">
        <v>4</v>
      </c>
      <c r="H2976" s="461" t="s">
        <v>712</v>
      </c>
      <c r="I2976" s="461" t="s">
        <v>713</v>
      </c>
      <c r="J2976" s="461" t="s">
        <v>712</v>
      </c>
      <c r="K2976" s="594"/>
      <c r="L2976" s="594"/>
      <c r="M2976" s="352">
        <v>4000</v>
      </c>
      <c r="N2976" s="352" t="s">
        <v>716</v>
      </c>
      <c r="O2976" s="460">
        <v>4111</v>
      </c>
      <c r="P2976" s="460" t="s">
        <v>770</v>
      </c>
      <c r="Q2976" s="460" t="s">
        <v>2280</v>
      </c>
      <c r="R2976" s="460">
        <v>4111</v>
      </c>
      <c r="S2976" s="460" t="s">
        <v>1137</v>
      </c>
      <c r="T2976" s="462">
        <v>1</v>
      </c>
      <c r="U2976" s="460" t="s">
        <v>1137</v>
      </c>
      <c r="V2976" s="475">
        <v>0</v>
      </c>
      <c r="W2976" s="463" t="s">
        <v>713</v>
      </c>
      <c r="X2976" s="463" t="s">
        <v>713</v>
      </c>
      <c r="Y2976" s="463" t="s">
        <v>713</v>
      </c>
      <c r="Z2976" s="463"/>
      <c r="AA2976" s="463"/>
      <c r="AB2976" s="464">
        <v>80.507679357807433</v>
      </c>
      <c r="AC2976" s="465">
        <v>0.88802443563367051</v>
      </c>
      <c r="AD2976" s="465">
        <v>4.6558701539724625E-4</v>
      </c>
      <c r="AE2976" s="476">
        <v>80.507679357807419</v>
      </c>
      <c r="AF2976" s="467">
        <v>0.88802443563367039</v>
      </c>
      <c r="AG2976" s="468">
        <v>4.6473270269500026E-4</v>
      </c>
      <c r="AH2976" s="218">
        <v>80.507679357807419</v>
      </c>
      <c r="AI2976" s="470">
        <v>0.88802443563367039</v>
      </c>
      <c r="AJ2976" s="471">
        <v>4.6693796137632681E-4</v>
      </c>
      <c r="AK2976" s="218">
        <v>80.507679357807419</v>
      </c>
      <c r="AL2976" s="470">
        <v>0.88802443563367039</v>
      </c>
      <c r="AM2976" s="471">
        <v>4.6693796137632681E-4</v>
      </c>
      <c r="AN2976" s="477">
        <v>80.507679357807419</v>
      </c>
      <c r="AO2976" s="473">
        <v>0.88802443563367039</v>
      </c>
      <c r="AP2976" s="474">
        <v>4.6655267057453694E-4</v>
      </c>
      <c r="AQ2976" s="352"/>
      <c r="AR2976" s="352"/>
      <c r="AS2976" s="352"/>
      <c r="AT2976" s="352"/>
      <c r="AU2976" s="352"/>
      <c r="AV2976" s="352"/>
      <c r="AW2976" s="352" t="s">
        <v>254</v>
      </c>
    </row>
    <row r="2977" spans="2:49" x14ac:dyDescent="0.2">
      <c r="B2977" s="460" t="s">
        <v>3239</v>
      </c>
      <c r="C2977" s="460">
        <v>4111</v>
      </c>
      <c r="D2977" s="460" t="s">
        <v>2360</v>
      </c>
      <c r="E2977" s="460" t="s">
        <v>1138</v>
      </c>
      <c r="F2977" s="460">
        <v>3</v>
      </c>
      <c r="G2977" s="460">
        <v>4</v>
      </c>
      <c r="H2977" s="461" t="s">
        <v>712</v>
      </c>
      <c r="I2977" s="461" t="s">
        <v>713</v>
      </c>
      <c r="J2977" s="461" t="s">
        <v>712</v>
      </c>
      <c r="K2977" s="594"/>
      <c r="L2977" s="594"/>
      <c r="M2977" s="352">
        <v>4000</v>
      </c>
      <c r="N2977" s="352" t="s">
        <v>716</v>
      </c>
      <c r="O2977" s="460">
        <v>4111</v>
      </c>
      <c r="P2977" s="460" t="s">
        <v>770</v>
      </c>
      <c r="Q2977" s="460" t="s">
        <v>2280</v>
      </c>
      <c r="R2977" s="460">
        <v>4111</v>
      </c>
      <c r="S2977" s="460" t="s">
        <v>1138</v>
      </c>
      <c r="T2977" s="462">
        <v>1</v>
      </c>
      <c r="U2977" s="460" t="s">
        <v>1138</v>
      </c>
      <c r="V2977" s="475">
        <v>0</v>
      </c>
      <c r="W2977" s="463" t="s">
        <v>713</v>
      </c>
      <c r="X2977" s="463" t="s">
        <v>713</v>
      </c>
      <c r="Y2977" s="463" t="s">
        <v>713</v>
      </c>
      <c r="Z2977" s="463"/>
      <c r="AA2977" s="463"/>
      <c r="AB2977" s="464">
        <v>59.274947940823431</v>
      </c>
      <c r="AC2977" s="465">
        <v>0.83832177773898409</v>
      </c>
      <c r="AD2977" s="465">
        <v>7.3972448022803408E-4</v>
      </c>
      <c r="AE2977" s="476">
        <v>59.274947940823424</v>
      </c>
      <c r="AF2977" s="467">
        <v>0.83832177773898398</v>
      </c>
      <c r="AG2977" s="468">
        <v>7.3811961422953396E-4</v>
      </c>
      <c r="AH2977" s="218">
        <v>59.274947940823424</v>
      </c>
      <c r="AI2977" s="470">
        <v>0.83832177773898398</v>
      </c>
      <c r="AJ2977" s="471">
        <v>7.4677434184144997E-4</v>
      </c>
      <c r="AK2977" s="218">
        <v>59.274947940823424</v>
      </c>
      <c r="AL2977" s="470">
        <v>0.83832177773898398</v>
      </c>
      <c r="AM2977" s="471">
        <v>7.4677434184144997E-4</v>
      </c>
      <c r="AN2977" s="477">
        <v>59.274947940823424</v>
      </c>
      <c r="AO2977" s="473">
        <v>0.83832177773898398</v>
      </c>
      <c r="AP2977" s="474">
        <v>7.4671806187554099E-4</v>
      </c>
      <c r="AQ2977" s="352"/>
      <c r="AR2977" s="352"/>
      <c r="AS2977" s="352"/>
      <c r="AT2977" s="352"/>
      <c r="AU2977" s="352"/>
      <c r="AV2977" s="352"/>
      <c r="AW2977" s="352" t="s">
        <v>254</v>
      </c>
    </row>
    <row r="2978" spans="2:49" x14ac:dyDescent="0.2">
      <c r="B2978" s="460" t="s">
        <v>3240</v>
      </c>
      <c r="C2978" s="460">
        <v>4111</v>
      </c>
      <c r="D2978" s="460" t="s">
        <v>2361</v>
      </c>
      <c r="E2978" s="460" t="s">
        <v>1139</v>
      </c>
      <c r="F2978" s="460">
        <v>4</v>
      </c>
      <c r="G2978" s="460">
        <v>4</v>
      </c>
      <c r="H2978" s="461" t="s">
        <v>712</v>
      </c>
      <c r="I2978" s="461" t="s">
        <v>713</v>
      </c>
      <c r="J2978" s="461" t="s">
        <v>712</v>
      </c>
      <c r="K2978" s="594"/>
      <c r="L2978" s="594"/>
      <c r="M2978" s="352">
        <v>4000</v>
      </c>
      <c r="N2978" s="352" t="s">
        <v>716</v>
      </c>
      <c r="O2978" s="460">
        <v>4111</v>
      </c>
      <c r="P2978" s="460" t="s">
        <v>770</v>
      </c>
      <c r="Q2978" s="460" t="s">
        <v>2280</v>
      </c>
      <c r="R2978" s="460">
        <v>4111</v>
      </c>
      <c r="S2978" s="460" t="s">
        <v>1139</v>
      </c>
      <c r="T2978" s="462">
        <v>1</v>
      </c>
      <c r="U2978" s="460" t="s">
        <v>1139</v>
      </c>
      <c r="V2978" s="475">
        <v>0</v>
      </c>
      <c r="W2978" s="463" t="s">
        <v>713</v>
      </c>
      <c r="X2978" s="463" t="s">
        <v>713</v>
      </c>
      <c r="Y2978" s="463" t="s">
        <v>713</v>
      </c>
      <c r="Z2978" s="463"/>
      <c r="AA2978" s="463"/>
      <c r="AB2978" s="464">
        <v>66.492487239238343</v>
      </c>
      <c r="AC2978" s="465">
        <v>0.64570480962469279</v>
      </c>
      <c r="AD2978" s="465">
        <v>7.3622046654994949E-4</v>
      </c>
      <c r="AE2978" s="476">
        <v>66.492487239238358</v>
      </c>
      <c r="AF2978" s="467">
        <v>0.6457048096246929</v>
      </c>
      <c r="AG2978" s="468">
        <v>7.362204665499496E-4</v>
      </c>
      <c r="AH2978" s="218">
        <v>66.492487239238358</v>
      </c>
      <c r="AI2978" s="470">
        <v>0.6457048096246929</v>
      </c>
      <c r="AJ2978" s="471">
        <v>7.5205499124193559E-4</v>
      </c>
      <c r="AK2978" s="218">
        <v>66.492487239238358</v>
      </c>
      <c r="AL2978" s="470">
        <v>0.6457048096246929</v>
      </c>
      <c r="AM2978" s="471">
        <v>7.5205499124193559E-4</v>
      </c>
      <c r="AN2978" s="477">
        <v>66.492487239238358</v>
      </c>
      <c r="AO2978" s="473">
        <v>0.6457048096246929</v>
      </c>
      <c r="AP2978" s="474">
        <v>7.5205499124193559E-4</v>
      </c>
      <c r="AQ2978" s="352"/>
      <c r="AR2978" s="352"/>
      <c r="AS2978" s="352"/>
      <c r="AT2978" s="352"/>
      <c r="AU2978" s="352"/>
      <c r="AV2978" s="352"/>
      <c r="AW2978" s="352" t="s">
        <v>254</v>
      </c>
    </row>
    <row r="2979" spans="2:49" x14ac:dyDescent="0.2">
      <c r="B2979" s="460" t="s">
        <v>3237</v>
      </c>
      <c r="C2979" s="460">
        <v>4111</v>
      </c>
      <c r="D2979" s="460" t="s">
        <v>2362</v>
      </c>
      <c r="E2979" s="460" t="s">
        <v>1136</v>
      </c>
      <c r="F2979" s="460">
        <v>1</v>
      </c>
      <c r="G2979" s="460">
        <v>4</v>
      </c>
      <c r="H2979" s="461" t="s">
        <v>746</v>
      </c>
      <c r="I2979" s="461" t="s">
        <v>762</v>
      </c>
      <c r="J2979" s="461" t="s">
        <v>700</v>
      </c>
      <c r="K2979" s="594"/>
      <c r="L2979" s="594"/>
      <c r="M2979" s="352">
        <v>4000</v>
      </c>
      <c r="N2979" s="352" t="s">
        <v>716</v>
      </c>
      <c r="O2979" s="460">
        <v>4111</v>
      </c>
      <c r="P2979" s="460" t="s">
        <v>770</v>
      </c>
      <c r="Q2979" s="460" t="s">
        <v>2289</v>
      </c>
      <c r="R2979" s="460">
        <v>4111</v>
      </c>
      <c r="S2979" s="460" t="s">
        <v>1136</v>
      </c>
      <c r="T2979" s="462">
        <v>1</v>
      </c>
      <c r="U2979" s="460" t="s">
        <v>1136</v>
      </c>
      <c r="V2979" s="475">
        <v>0</v>
      </c>
      <c r="W2979" s="463" t="s">
        <v>2268</v>
      </c>
      <c r="X2979" s="463" t="s">
        <v>2268</v>
      </c>
      <c r="Y2979" s="463" t="s">
        <v>2290</v>
      </c>
      <c r="Z2979" s="463"/>
      <c r="AA2979" s="463"/>
      <c r="AB2979" s="464">
        <v>0</v>
      </c>
      <c r="AC2979" s="465">
        <v>0</v>
      </c>
      <c r="AD2979" s="465">
        <v>0</v>
      </c>
      <c r="AE2979" s="476">
        <v>0</v>
      </c>
      <c r="AF2979" s="467">
        <v>0</v>
      </c>
      <c r="AG2979" s="468">
        <v>0</v>
      </c>
      <c r="AH2979" s="218">
        <v>0</v>
      </c>
      <c r="AI2979" s="470">
        <v>0</v>
      </c>
      <c r="AJ2979" s="471">
        <v>0</v>
      </c>
      <c r="AK2979" s="218">
        <v>0</v>
      </c>
      <c r="AL2979" s="470">
        <v>0</v>
      </c>
      <c r="AM2979" s="471">
        <v>0</v>
      </c>
      <c r="AN2979" s="477">
        <v>0</v>
      </c>
      <c r="AO2979" s="473">
        <v>0</v>
      </c>
      <c r="AP2979" s="474">
        <v>0</v>
      </c>
      <c r="AQ2979" s="352"/>
      <c r="AR2979" s="352"/>
      <c r="AS2979" s="352"/>
      <c r="AT2979" s="352"/>
      <c r="AU2979" s="352"/>
      <c r="AV2979" s="352"/>
      <c r="AW2979" s="352" t="s">
        <v>254</v>
      </c>
    </row>
    <row r="2980" spans="2:49" x14ac:dyDescent="0.2">
      <c r="B2980" s="460" t="s">
        <v>3238</v>
      </c>
      <c r="C2980" s="460">
        <v>4111</v>
      </c>
      <c r="D2980" s="460" t="s">
        <v>2363</v>
      </c>
      <c r="E2980" s="460" t="s">
        <v>1137</v>
      </c>
      <c r="F2980" s="460">
        <v>2</v>
      </c>
      <c r="G2980" s="460">
        <v>4</v>
      </c>
      <c r="H2980" s="461" t="s">
        <v>746</v>
      </c>
      <c r="I2980" s="461" t="s">
        <v>762</v>
      </c>
      <c r="J2980" s="461" t="s">
        <v>700</v>
      </c>
      <c r="K2980" s="594"/>
      <c r="L2980" s="594"/>
      <c r="M2980" s="352">
        <v>4000</v>
      </c>
      <c r="N2980" s="352" t="s">
        <v>716</v>
      </c>
      <c r="O2980" s="460">
        <v>4111</v>
      </c>
      <c r="P2980" s="460" t="s">
        <v>770</v>
      </c>
      <c r="Q2980" s="460" t="s">
        <v>2289</v>
      </c>
      <c r="R2980" s="460">
        <v>4111</v>
      </c>
      <c r="S2980" s="460" t="s">
        <v>1137</v>
      </c>
      <c r="T2980" s="462">
        <v>1</v>
      </c>
      <c r="U2980" s="460" t="s">
        <v>1137</v>
      </c>
      <c r="V2980" s="475">
        <v>0</v>
      </c>
      <c r="W2980" s="463" t="s">
        <v>2268</v>
      </c>
      <c r="X2980" s="463" t="s">
        <v>2268</v>
      </c>
      <c r="Y2980" s="463" t="s">
        <v>2290</v>
      </c>
      <c r="Z2980" s="463"/>
      <c r="AA2980" s="463"/>
      <c r="AB2980" s="464">
        <v>0</v>
      </c>
      <c r="AC2980" s="465">
        <v>0</v>
      </c>
      <c r="AD2980" s="465">
        <v>0</v>
      </c>
      <c r="AE2980" s="476">
        <v>0</v>
      </c>
      <c r="AF2980" s="467">
        <v>0</v>
      </c>
      <c r="AG2980" s="468">
        <v>0</v>
      </c>
      <c r="AH2980" s="218">
        <v>0</v>
      </c>
      <c r="AI2980" s="470">
        <v>0</v>
      </c>
      <c r="AJ2980" s="471">
        <v>0</v>
      </c>
      <c r="AK2980" s="218">
        <v>0</v>
      </c>
      <c r="AL2980" s="470">
        <v>0</v>
      </c>
      <c r="AM2980" s="471">
        <v>0</v>
      </c>
      <c r="AN2980" s="477">
        <v>0</v>
      </c>
      <c r="AO2980" s="473">
        <v>0</v>
      </c>
      <c r="AP2980" s="474">
        <v>0</v>
      </c>
      <c r="AQ2980" s="352"/>
      <c r="AR2980" s="352"/>
      <c r="AS2980" s="352"/>
      <c r="AT2980" s="352"/>
      <c r="AU2980" s="352"/>
      <c r="AV2980" s="352"/>
      <c r="AW2980" s="352" t="s">
        <v>254</v>
      </c>
    </row>
    <row r="2981" spans="2:49" x14ac:dyDescent="0.2">
      <c r="B2981" s="460" t="s">
        <v>3239</v>
      </c>
      <c r="C2981" s="460">
        <v>4111</v>
      </c>
      <c r="D2981" s="460" t="s">
        <v>2364</v>
      </c>
      <c r="E2981" s="460" t="s">
        <v>1138</v>
      </c>
      <c r="F2981" s="460">
        <v>3</v>
      </c>
      <c r="G2981" s="460">
        <v>4</v>
      </c>
      <c r="H2981" s="461" t="s">
        <v>746</v>
      </c>
      <c r="I2981" s="461" t="s">
        <v>762</v>
      </c>
      <c r="J2981" s="461" t="s">
        <v>700</v>
      </c>
      <c r="K2981" s="594"/>
      <c r="L2981" s="594"/>
      <c r="M2981" s="352">
        <v>4000</v>
      </c>
      <c r="N2981" s="352" t="s">
        <v>716</v>
      </c>
      <c r="O2981" s="460">
        <v>4111</v>
      </c>
      <c r="P2981" s="460" t="s">
        <v>770</v>
      </c>
      <c r="Q2981" s="460" t="s">
        <v>2289</v>
      </c>
      <c r="R2981" s="460">
        <v>4111</v>
      </c>
      <c r="S2981" s="460" t="s">
        <v>1138</v>
      </c>
      <c r="T2981" s="462">
        <v>1</v>
      </c>
      <c r="U2981" s="460" t="s">
        <v>1138</v>
      </c>
      <c r="V2981" s="475">
        <v>0</v>
      </c>
      <c r="W2981" s="463" t="s">
        <v>2268</v>
      </c>
      <c r="X2981" s="463" t="s">
        <v>2268</v>
      </c>
      <c r="Y2981" s="463" t="s">
        <v>2290</v>
      </c>
      <c r="Z2981" s="463"/>
      <c r="AA2981" s="463"/>
      <c r="AB2981" s="464">
        <v>0</v>
      </c>
      <c r="AC2981" s="465">
        <v>0</v>
      </c>
      <c r="AD2981" s="465">
        <v>0</v>
      </c>
      <c r="AE2981" s="476">
        <v>0</v>
      </c>
      <c r="AF2981" s="467">
        <v>0</v>
      </c>
      <c r="AG2981" s="468">
        <v>0</v>
      </c>
      <c r="AH2981" s="218">
        <v>0</v>
      </c>
      <c r="AI2981" s="470">
        <v>0</v>
      </c>
      <c r="AJ2981" s="471">
        <v>0</v>
      </c>
      <c r="AK2981" s="218">
        <v>0</v>
      </c>
      <c r="AL2981" s="470">
        <v>0</v>
      </c>
      <c r="AM2981" s="471">
        <v>0</v>
      </c>
      <c r="AN2981" s="477">
        <v>0</v>
      </c>
      <c r="AO2981" s="473">
        <v>0</v>
      </c>
      <c r="AP2981" s="474">
        <v>0</v>
      </c>
      <c r="AQ2981" s="352"/>
      <c r="AR2981" s="352"/>
      <c r="AS2981" s="352"/>
      <c r="AT2981" s="352"/>
      <c r="AU2981" s="352"/>
      <c r="AV2981" s="352"/>
      <c r="AW2981" s="352" t="s">
        <v>254</v>
      </c>
    </row>
    <row r="2982" spans="2:49" x14ac:dyDescent="0.2">
      <c r="B2982" s="460" t="s">
        <v>3240</v>
      </c>
      <c r="C2982" s="460">
        <v>4111</v>
      </c>
      <c r="D2982" s="460" t="s">
        <v>2365</v>
      </c>
      <c r="E2982" s="460" t="s">
        <v>1139</v>
      </c>
      <c r="F2982" s="460">
        <v>4</v>
      </c>
      <c r="G2982" s="460">
        <v>4</v>
      </c>
      <c r="H2982" s="461" t="s">
        <v>746</v>
      </c>
      <c r="I2982" s="461" t="s">
        <v>762</v>
      </c>
      <c r="J2982" s="461" t="s">
        <v>700</v>
      </c>
      <c r="K2982" s="594"/>
      <c r="L2982" s="594"/>
      <c r="M2982" s="352">
        <v>4000</v>
      </c>
      <c r="N2982" s="352" t="s">
        <v>716</v>
      </c>
      <c r="O2982" s="460">
        <v>4111</v>
      </c>
      <c r="P2982" s="460" t="s">
        <v>770</v>
      </c>
      <c r="Q2982" s="460" t="s">
        <v>2289</v>
      </c>
      <c r="R2982" s="460">
        <v>4111</v>
      </c>
      <c r="S2982" s="460" t="s">
        <v>1139</v>
      </c>
      <c r="T2982" s="462">
        <v>1</v>
      </c>
      <c r="U2982" s="460" t="s">
        <v>1139</v>
      </c>
      <c r="V2982" s="475">
        <v>0</v>
      </c>
      <c r="W2982" s="463" t="s">
        <v>2268</v>
      </c>
      <c r="X2982" s="463" t="s">
        <v>2268</v>
      </c>
      <c r="Y2982" s="463" t="s">
        <v>2290</v>
      </c>
      <c r="Z2982" s="463"/>
      <c r="AA2982" s="463"/>
      <c r="AB2982" s="464">
        <v>0</v>
      </c>
      <c r="AC2982" s="465">
        <v>0</v>
      </c>
      <c r="AD2982" s="465">
        <v>0</v>
      </c>
      <c r="AE2982" s="476">
        <v>0</v>
      </c>
      <c r="AF2982" s="467">
        <v>0</v>
      </c>
      <c r="AG2982" s="468">
        <v>0</v>
      </c>
      <c r="AH2982" s="218">
        <v>0</v>
      </c>
      <c r="AI2982" s="470">
        <v>0</v>
      </c>
      <c r="AJ2982" s="471">
        <v>0</v>
      </c>
      <c r="AK2982" s="218">
        <v>0</v>
      </c>
      <c r="AL2982" s="470">
        <v>0</v>
      </c>
      <c r="AM2982" s="471">
        <v>0</v>
      </c>
      <c r="AN2982" s="477">
        <v>0</v>
      </c>
      <c r="AO2982" s="473">
        <v>0</v>
      </c>
      <c r="AP2982" s="474">
        <v>0</v>
      </c>
      <c r="AQ2982" s="352"/>
      <c r="AR2982" s="352"/>
      <c r="AS2982" s="352"/>
      <c r="AT2982" s="352"/>
      <c r="AU2982" s="352"/>
      <c r="AV2982" s="352"/>
      <c r="AW2982" s="352" t="s">
        <v>254</v>
      </c>
    </row>
    <row r="2983" spans="2:49" x14ac:dyDescent="0.2">
      <c r="B2983" s="460" t="s">
        <v>3237</v>
      </c>
      <c r="C2983" s="460">
        <v>4111</v>
      </c>
      <c r="D2983" s="460" t="s">
        <v>2366</v>
      </c>
      <c r="E2983" s="460" t="s">
        <v>1136</v>
      </c>
      <c r="F2983" s="460">
        <v>1</v>
      </c>
      <c r="G2983" s="460">
        <v>4</v>
      </c>
      <c r="H2983" s="461" t="s">
        <v>748</v>
      </c>
      <c r="I2983" s="461" t="s">
        <v>765</v>
      </c>
      <c r="J2983" s="461" t="s">
        <v>700</v>
      </c>
      <c r="K2983" s="594"/>
      <c r="L2983" s="594"/>
      <c r="M2983" s="352">
        <v>4000</v>
      </c>
      <c r="N2983" s="352" t="s">
        <v>716</v>
      </c>
      <c r="O2983" s="460">
        <v>4111</v>
      </c>
      <c r="P2983" s="460" t="s">
        <v>770</v>
      </c>
      <c r="Q2983" s="460" t="s">
        <v>2266</v>
      </c>
      <c r="R2983" s="460">
        <v>4111</v>
      </c>
      <c r="S2983" s="460" t="s">
        <v>1136</v>
      </c>
      <c r="T2983" s="462">
        <v>1</v>
      </c>
      <c r="U2983" s="460" t="s">
        <v>1136</v>
      </c>
      <c r="V2983" s="475">
        <v>0</v>
      </c>
      <c r="W2983" s="463" t="s">
        <v>2268</v>
      </c>
      <c r="X2983" s="463" t="s">
        <v>2268</v>
      </c>
      <c r="Y2983" s="463" t="s">
        <v>2267</v>
      </c>
      <c r="Z2983" s="463"/>
      <c r="AA2983" s="463"/>
      <c r="AB2983" s="464">
        <v>0</v>
      </c>
      <c r="AC2983" s="465">
        <v>0</v>
      </c>
      <c r="AD2983" s="465">
        <v>0</v>
      </c>
      <c r="AE2983" s="476">
        <v>0</v>
      </c>
      <c r="AF2983" s="467">
        <v>0</v>
      </c>
      <c r="AG2983" s="468">
        <v>0</v>
      </c>
      <c r="AH2983" s="218">
        <v>0</v>
      </c>
      <c r="AI2983" s="470">
        <v>0</v>
      </c>
      <c r="AJ2983" s="471">
        <v>0</v>
      </c>
      <c r="AK2983" s="218">
        <v>0</v>
      </c>
      <c r="AL2983" s="470">
        <v>0</v>
      </c>
      <c r="AM2983" s="471">
        <v>0</v>
      </c>
      <c r="AN2983" s="477">
        <v>0.25913910697835096</v>
      </c>
      <c r="AO2983" s="473">
        <v>4.5266141349548043E-3</v>
      </c>
      <c r="AP2983" s="474">
        <v>3.1839065547214991E-4</v>
      </c>
      <c r="AQ2983" s="352"/>
      <c r="AR2983" s="352"/>
      <c r="AS2983" s="352"/>
      <c r="AT2983" s="352"/>
      <c r="AU2983" s="352"/>
      <c r="AV2983" s="352"/>
      <c r="AW2983" s="352" t="s">
        <v>254</v>
      </c>
    </row>
    <row r="2984" spans="2:49" x14ac:dyDescent="0.2">
      <c r="B2984" s="460" t="s">
        <v>3238</v>
      </c>
      <c r="C2984" s="460">
        <v>4111</v>
      </c>
      <c r="D2984" s="460" t="s">
        <v>2367</v>
      </c>
      <c r="E2984" s="460" t="s">
        <v>1137</v>
      </c>
      <c r="F2984" s="460">
        <v>2</v>
      </c>
      <c r="G2984" s="460">
        <v>4</v>
      </c>
      <c r="H2984" s="461" t="s">
        <v>748</v>
      </c>
      <c r="I2984" s="461" t="s">
        <v>765</v>
      </c>
      <c r="J2984" s="461" t="s">
        <v>700</v>
      </c>
      <c r="K2984" s="594"/>
      <c r="L2984" s="594"/>
      <c r="M2984" s="352">
        <v>4000</v>
      </c>
      <c r="N2984" s="352" t="s">
        <v>716</v>
      </c>
      <c r="O2984" s="460">
        <v>4111</v>
      </c>
      <c r="P2984" s="460" t="s">
        <v>770</v>
      </c>
      <c r="Q2984" s="460" t="s">
        <v>2266</v>
      </c>
      <c r="R2984" s="460">
        <v>4111</v>
      </c>
      <c r="S2984" s="460" t="s">
        <v>1137</v>
      </c>
      <c r="T2984" s="462">
        <v>1</v>
      </c>
      <c r="U2984" s="460" t="s">
        <v>1137</v>
      </c>
      <c r="V2984" s="475">
        <v>0</v>
      </c>
      <c r="W2984" s="463" t="s">
        <v>2268</v>
      </c>
      <c r="X2984" s="463" t="s">
        <v>2268</v>
      </c>
      <c r="Y2984" s="463" t="s">
        <v>2267</v>
      </c>
      <c r="Z2984" s="463"/>
      <c r="AA2984" s="463"/>
      <c r="AB2984" s="464">
        <v>0</v>
      </c>
      <c r="AC2984" s="465">
        <v>0</v>
      </c>
      <c r="AD2984" s="465">
        <v>0</v>
      </c>
      <c r="AE2984" s="476">
        <v>0</v>
      </c>
      <c r="AF2984" s="467">
        <v>0</v>
      </c>
      <c r="AG2984" s="468">
        <v>0</v>
      </c>
      <c r="AH2984" s="218">
        <v>0</v>
      </c>
      <c r="AI2984" s="470">
        <v>0</v>
      </c>
      <c r="AJ2984" s="471">
        <v>0</v>
      </c>
      <c r="AK2984" s="218">
        <v>0</v>
      </c>
      <c r="AL2984" s="470">
        <v>0</v>
      </c>
      <c r="AM2984" s="471">
        <v>0</v>
      </c>
      <c r="AN2984" s="477">
        <v>3.2874616580122593</v>
      </c>
      <c r="AO2984" s="473">
        <v>3.6261712010713376E-2</v>
      </c>
      <c r="AP2984" s="474">
        <v>3.1665195138352604E-3</v>
      </c>
      <c r="AQ2984" s="352"/>
      <c r="AR2984" s="352"/>
      <c r="AS2984" s="352"/>
      <c r="AT2984" s="352"/>
      <c r="AU2984" s="352"/>
      <c r="AV2984" s="352"/>
      <c r="AW2984" s="352" t="s">
        <v>254</v>
      </c>
    </row>
    <row r="2985" spans="2:49" x14ac:dyDescent="0.2">
      <c r="B2985" s="460" t="s">
        <v>3239</v>
      </c>
      <c r="C2985" s="460">
        <v>4111</v>
      </c>
      <c r="D2985" s="460" t="s">
        <v>2368</v>
      </c>
      <c r="E2985" s="460" t="s">
        <v>1138</v>
      </c>
      <c r="F2985" s="460">
        <v>3</v>
      </c>
      <c r="G2985" s="460">
        <v>4</v>
      </c>
      <c r="H2985" s="461" t="s">
        <v>748</v>
      </c>
      <c r="I2985" s="461" t="s">
        <v>765</v>
      </c>
      <c r="J2985" s="461" t="s">
        <v>700</v>
      </c>
      <c r="K2985" s="594"/>
      <c r="L2985" s="594"/>
      <c r="M2985" s="352">
        <v>4000</v>
      </c>
      <c r="N2985" s="352" t="s">
        <v>716</v>
      </c>
      <c r="O2985" s="460">
        <v>4111</v>
      </c>
      <c r="P2985" s="460" t="s">
        <v>770</v>
      </c>
      <c r="Q2985" s="460" t="s">
        <v>2266</v>
      </c>
      <c r="R2985" s="460">
        <v>4111</v>
      </c>
      <c r="S2985" s="460" t="s">
        <v>1138</v>
      </c>
      <c r="T2985" s="462">
        <v>1</v>
      </c>
      <c r="U2985" s="460" t="s">
        <v>1138</v>
      </c>
      <c r="V2985" s="475">
        <v>0</v>
      </c>
      <c r="W2985" s="463" t="s">
        <v>2268</v>
      </c>
      <c r="X2985" s="463" t="s">
        <v>2268</v>
      </c>
      <c r="Y2985" s="463" t="s">
        <v>2267</v>
      </c>
      <c r="Z2985" s="463"/>
      <c r="AA2985" s="463"/>
      <c r="AB2985" s="464">
        <v>0</v>
      </c>
      <c r="AC2985" s="465">
        <v>0</v>
      </c>
      <c r="AD2985" s="465">
        <v>0</v>
      </c>
      <c r="AE2985" s="476">
        <v>0</v>
      </c>
      <c r="AF2985" s="467">
        <v>0</v>
      </c>
      <c r="AG2985" s="468">
        <v>0</v>
      </c>
      <c r="AH2985" s="218">
        <v>0</v>
      </c>
      <c r="AI2985" s="470">
        <v>0</v>
      </c>
      <c r="AJ2985" s="471">
        <v>0</v>
      </c>
      <c r="AK2985" s="218">
        <v>0</v>
      </c>
      <c r="AL2985" s="470">
        <v>0</v>
      </c>
      <c r="AM2985" s="471">
        <v>0</v>
      </c>
      <c r="AN2985" s="477">
        <v>2.8580486971872281</v>
      </c>
      <c r="AO2985" s="473">
        <v>4.0421198970643925E-2</v>
      </c>
      <c r="AP2985" s="474">
        <v>2.9653698423688767E-3</v>
      </c>
      <c r="AQ2985" s="352"/>
      <c r="AR2985" s="352"/>
      <c r="AS2985" s="352"/>
      <c r="AT2985" s="352"/>
      <c r="AU2985" s="352"/>
      <c r="AV2985" s="352"/>
      <c r="AW2985" s="352" t="s">
        <v>254</v>
      </c>
    </row>
    <row r="2986" spans="2:49" x14ac:dyDescent="0.2">
      <c r="B2986" s="460" t="s">
        <v>3240</v>
      </c>
      <c r="C2986" s="460">
        <v>4111</v>
      </c>
      <c r="D2986" s="460" t="s">
        <v>2369</v>
      </c>
      <c r="E2986" s="460" t="s">
        <v>1139</v>
      </c>
      <c r="F2986" s="460">
        <v>4</v>
      </c>
      <c r="G2986" s="460">
        <v>4</v>
      </c>
      <c r="H2986" s="461" t="s">
        <v>748</v>
      </c>
      <c r="I2986" s="461" t="s">
        <v>765</v>
      </c>
      <c r="J2986" s="461" t="s">
        <v>700</v>
      </c>
      <c r="K2986" s="594"/>
      <c r="L2986" s="594"/>
      <c r="M2986" s="352">
        <v>4000</v>
      </c>
      <c r="N2986" s="352" t="s">
        <v>716</v>
      </c>
      <c r="O2986" s="460">
        <v>4111</v>
      </c>
      <c r="P2986" s="460" t="s">
        <v>770</v>
      </c>
      <c r="Q2986" s="460" t="s">
        <v>2266</v>
      </c>
      <c r="R2986" s="460">
        <v>4111</v>
      </c>
      <c r="S2986" s="460" t="s">
        <v>1139</v>
      </c>
      <c r="T2986" s="462">
        <v>1</v>
      </c>
      <c r="U2986" s="460" t="s">
        <v>1139</v>
      </c>
      <c r="V2986" s="475">
        <v>0</v>
      </c>
      <c r="W2986" s="463" t="s">
        <v>2268</v>
      </c>
      <c r="X2986" s="463" t="s">
        <v>2268</v>
      </c>
      <c r="Y2986" s="463" t="s">
        <v>2267</v>
      </c>
      <c r="Z2986" s="463"/>
      <c r="AA2986" s="463"/>
      <c r="AB2986" s="464">
        <v>0</v>
      </c>
      <c r="AC2986" s="465">
        <v>0</v>
      </c>
      <c r="AD2986" s="465">
        <v>0</v>
      </c>
      <c r="AE2986" s="476">
        <v>0</v>
      </c>
      <c r="AF2986" s="467">
        <v>0</v>
      </c>
      <c r="AG2986" s="468">
        <v>0</v>
      </c>
      <c r="AH2986" s="218">
        <v>0</v>
      </c>
      <c r="AI2986" s="470">
        <v>0</v>
      </c>
      <c r="AJ2986" s="471">
        <v>0</v>
      </c>
      <c r="AK2986" s="218">
        <v>0</v>
      </c>
      <c r="AL2986" s="470">
        <v>0</v>
      </c>
      <c r="AM2986" s="471">
        <v>0</v>
      </c>
      <c r="AN2986" s="477">
        <v>0</v>
      </c>
      <c r="AO2986" s="473">
        <v>0</v>
      </c>
      <c r="AP2986" s="474">
        <v>0</v>
      </c>
      <c r="AQ2986" s="352"/>
      <c r="AR2986" s="352"/>
      <c r="AS2986" s="352"/>
      <c r="AT2986" s="352"/>
      <c r="AU2986" s="352"/>
      <c r="AV2986" s="352"/>
      <c r="AW2986" s="352" t="s">
        <v>254</v>
      </c>
    </row>
    <row r="2987" spans="2:49" x14ac:dyDescent="0.2">
      <c r="B2987" s="460" t="s">
        <v>3237</v>
      </c>
      <c r="C2987" s="460">
        <v>4111</v>
      </c>
      <c r="D2987" s="460" t="s">
        <v>2370</v>
      </c>
      <c r="E2987" s="460" t="s">
        <v>1136</v>
      </c>
      <c r="F2987" s="460">
        <v>1</v>
      </c>
      <c r="G2987" s="460">
        <v>4</v>
      </c>
      <c r="H2987" s="461" t="s">
        <v>752</v>
      </c>
      <c r="I2987" s="461" t="s">
        <v>964</v>
      </c>
      <c r="J2987" s="461" t="s">
        <v>752</v>
      </c>
      <c r="K2987" s="594"/>
      <c r="L2987" s="594"/>
      <c r="M2987" s="352">
        <v>4000</v>
      </c>
      <c r="N2987" s="352" t="s">
        <v>716</v>
      </c>
      <c r="O2987" s="460">
        <v>4111</v>
      </c>
      <c r="P2987" s="460" t="s">
        <v>770</v>
      </c>
      <c r="Q2987" s="460" t="s">
        <v>2266</v>
      </c>
      <c r="R2987" s="460">
        <v>4111</v>
      </c>
      <c r="S2987" s="460" t="s">
        <v>1136</v>
      </c>
      <c r="T2987" s="462">
        <v>1</v>
      </c>
      <c r="U2987" s="460" t="s">
        <v>1136</v>
      </c>
      <c r="V2987" s="475">
        <v>0</v>
      </c>
      <c r="W2987" s="463" t="s">
        <v>2267</v>
      </c>
      <c r="X2987" s="463" t="s">
        <v>2267</v>
      </c>
      <c r="Y2987" s="463" t="s">
        <v>2267</v>
      </c>
      <c r="Z2987" s="463"/>
      <c r="AA2987" s="463"/>
      <c r="AB2987" s="464">
        <v>13.076443121587687</v>
      </c>
      <c r="AC2987" s="465">
        <v>0.22841790634887221</v>
      </c>
      <c r="AD2987" s="465">
        <v>4.2346536732218651E-3</v>
      </c>
      <c r="AE2987" s="476">
        <v>13.076443121587687</v>
      </c>
      <c r="AF2987" s="467">
        <v>0.22841790634887221</v>
      </c>
      <c r="AG2987" s="468">
        <v>4.2346536732218651E-3</v>
      </c>
      <c r="AH2987" s="218">
        <v>13.076443121587687</v>
      </c>
      <c r="AI2987" s="470">
        <v>0.22841790634887221</v>
      </c>
      <c r="AJ2987" s="471">
        <v>3.5750304705420588E-3</v>
      </c>
      <c r="AK2987" s="218">
        <v>13.076443121587687</v>
      </c>
      <c r="AL2987" s="470">
        <v>0.22841790634887221</v>
      </c>
      <c r="AM2987" s="471">
        <v>3.5750304705420588E-3</v>
      </c>
      <c r="AN2987" s="477">
        <v>13.076443121587687</v>
      </c>
      <c r="AO2987" s="473">
        <v>0.22841790634887221</v>
      </c>
      <c r="AP2987" s="474">
        <v>3.5750304705420588E-3</v>
      </c>
      <c r="AQ2987" s="352"/>
      <c r="AR2987" s="352"/>
      <c r="AS2987" s="352"/>
      <c r="AT2987" s="352"/>
      <c r="AU2987" s="352"/>
      <c r="AV2987" s="352"/>
      <c r="AW2987" s="352" t="s">
        <v>254</v>
      </c>
    </row>
    <row r="2988" spans="2:49" x14ac:dyDescent="0.2">
      <c r="B2988" s="460" t="s">
        <v>3238</v>
      </c>
      <c r="C2988" s="460">
        <v>4111</v>
      </c>
      <c r="D2988" s="460" t="s">
        <v>2371</v>
      </c>
      <c r="E2988" s="460" t="s">
        <v>1137</v>
      </c>
      <c r="F2988" s="460">
        <v>2</v>
      </c>
      <c r="G2988" s="460">
        <v>4</v>
      </c>
      <c r="H2988" s="461" t="s">
        <v>752</v>
      </c>
      <c r="I2988" s="461" t="s">
        <v>964</v>
      </c>
      <c r="J2988" s="461" t="s">
        <v>752</v>
      </c>
      <c r="K2988" s="594"/>
      <c r="L2988" s="594"/>
      <c r="M2988" s="352">
        <v>4000</v>
      </c>
      <c r="N2988" s="352" t="s">
        <v>716</v>
      </c>
      <c r="O2988" s="460">
        <v>4111</v>
      </c>
      <c r="P2988" s="460" t="s">
        <v>770</v>
      </c>
      <c r="Q2988" s="460" t="s">
        <v>2266</v>
      </c>
      <c r="R2988" s="460">
        <v>4111</v>
      </c>
      <c r="S2988" s="460" t="s">
        <v>1137</v>
      </c>
      <c r="T2988" s="462">
        <v>1</v>
      </c>
      <c r="U2988" s="460" t="s">
        <v>1137</v>
      </c>
      <c r="V2988" s="475">
        <v>0</v>
      </c>
      <c r="W2988" s="463" t="s">
        <v>2267</v>
      </c>
      <c r="X2988" s="463" t="s">
        <v>2267</v>
      </c>
      <c r="Y2988" s="463" t="s">
        <v>2267</v>
      </c>
      <c r="Z2988" s="463"/>
      <c r="AA2988" s="463"/>
      <c r="AB2988" s="464">
        <v>6.8641653357665779</v>
      </c>
      <c r="AC2988" s="465">
        <v>7.5713852355616174E-2</v>
      </c>
      <c r="AD2988" s="465">
        <v>6.7165130421227624E-4</v>
      </c>
      <c r="AE2988" s="476">
        <v>6.8641653357665779</v>
      </c>
      <c r="AF2988" s="467">
        <v>7.5713852355616174E-2</v>
      </c>
      <c r="AG2988" s="468">
        <v>6.7165130421227624E-4</v>
      </c>
      <c r="AH2988" s="218">
        <v>6.8641653357665779</v>
      </c>
      <c r="AI2988" s="470">
        <v>7.5713852355616174E-2</v>
      </c>
      <c r="AJ2988" s="471">
        <v>6.6587635257795417E-4</v>
      </c>
      <c r="AK2988" s="218">
        <v>6.8641653357665779</v>
      </c>
      <c r="AL2988" s="470">
        <v>7.5713852355616174E-2</v>
      </c>
      <c r="AM2988" s="471">
        <v>6.6587635257795417E-4</v>
      </c>
      <c r="AN2988" s="477">
        <v>6.8641653357665779</v>
      </c>
      <c r="AO2988" s="473">
        <v>7.5713852355616174E-2</v>
      </c>
      <c r="AP2988" s="474">
        <v>6.6587635257795417E-4</v>
      </c>
      <c r="AQ2988" s="352"/>
      <c r="AR2988" s="352"/>
      <c r="AS2988" s="352"/>
      <c r="AT2988" s="352"/>
      <c r="AU2988" s="352"/>
      <c r="AV2988" s="352"/>
      <c r="AW2988" s="352" t="s">
        <v>254</v>
      </c>
    </row>
    <row r="2989" spans="2:49" x14ac:dyDescent="0.2">
      <c r="B2989" s="460" t="s">
        <v>3239</v>
      </c>
      <c r="C2989" s="460">
        <v>4111</v>
      </c>
      <c r="D2989" s="460" t="s">
        <v>2372</v>
      </c>
      <c r="E2989" s="460" t="s">
        <v>1138</v>
      </c>
      <c r="F2989" s="460">
        <v>3</v>
      </c>
      <c r="G2989" s="460">
        <v>4</v>
      </c>
      <c r="H2989" s="461" t="s">
        <v>752</v>
      </c>
      <c r="I2989" s="461" t="s">
        <v>964</v>
      </c>
      <c r="J2989" s="461" t="s">
        <v>752</v>
      </c>
      <c r="K2989" s="594"/>
      <c r="L2989" s="594"/>
      <c r="M2989" s="352">
        <v>4000</v>
      </c>
      <c r="N2989" s="352" t="s">
        <v>716</v>
      </c>
      <c r="O2989" s="460">
        <v>4111</v>
      </c>
      <c r="P2989" s="460" t="s">
        <v>770</v>
      </c>
      <c r="Q2989" s="460" t="s">
        <v>2266</v>
      </c>
      <c r="R2989" s="460">
        <v>4111</v>
      </c>
      <c r="S2989" s="460" t="s">
        <v>1138</v>
      </c>
      <c r="T2989" s="462">
        <v>1</v>
      </c>
      <c r="U2989" s="460" t="s">
        <v>1138</v>
      </c>
      <c r="V2989" s="475">
        <v>0</v>
      </c>
      <c r="W2989" s="463" t="s">
        <v>2267</v>
      </c>
      <c r="X2989" s="463" t="s">
        <v>2267</v>
      </c>
      <c r="Y2989" s="463" t="s">
        <v>2267</v>
      </c>
      <c r="Z2989" s="463"/>
      <c r="AA2989" s="463"/>
      <c r="AB2989" s="464">
        <v>8.5736812926192254</v>
      </c>
      <c r="AC2989" s="465">
        <v>0.12125702329037209</v>
      </c>
      <c r="AD2989" s="465">
        <v>1.480875767963751E-3</v>
      </c>
      <c r="AE2989" s="476">
        <v>8.5736812926192254</v>
      </c>
      <c r="AF2989" s="467">
        <v>0.12125702329037209</v>
      </c>
      <c r="AG2989" s="468">
        <v>1.480875767963751E-3</v>
      </c>
      <c r="AH2989" s="218">
        <v>8.5736812926192254</v>
      </c>
      <c r="AI2989" s="470">
        <v>0.12125702329037209</v>
      </c>
      <c r="AJ2989" s="471">
        <v>1.4224007604154635E-3</v>
      </c>
      <c r="AK2989" s="218">
        <v>8.5736812926192254</v>
      </c>
      <c r="AL2989" s="470">
        <v>0.12125702329037209</v>
      </c>
      <c r="AM2989" s="471">
        <v>1.4224007604154635E-3</v>
      </c>
      <c r="AN2989" s="477">
        <v>8.5736812926192254</v>
      </c>
      <c r="AO2989" s="473">
        <v>0.12125702329037209</v>
      </c>
      <c r="AP2989" s="474">
        <v>1.4224007604154635E-3</v>
      </c>
      <c r="AQ2989" s="352"/>
      <c r="AR2989" s="352"/>
      <c r="AS2989" s="352"/>
      <c r="AT2989" s="352"/>
      <c r="AU2989" s="352"/>
      <c r="AV2989" s="352"/>
      <c r="AW2989" s="352" t="s">
        <v>254</v>
      </c>
    </row>
    <row r="2990" spans="2:49" x14ac:dyDescent="0.2">
      <c r="B2990" s="460" t="s">
        <v>3240</v>
      </c>
      <c r="C2990" s="460">
        <v>4111</v>
      </c>
      <c r="D2990" s="460" t="s">
        <v>2373</v>
      </c>
      <c r="E2990" s="460" t="s">
        <v>1139</v>
      </c>
      <c r="F2990" s="460">
        <v>4</v>
      </c>
      <c r="G2990" s="460">
        <v>4</v>
      </c>
      <c r="H2990" s="461" t="s">
        <v>752</v>
      </c>
      <c r="I2990" s="461" t="s">
        <v>964</v>
      </c>
      <c r="J2990" s="461" t="s">
        <v>752</v>
      </c>
      <c r="K2990" s="594"/>
      <c r="L2990" s="594"/>
      <c r="M2990" s="352">
        <v>4000</v>
      </c>
      <c r="N2990" s="352" t="s">
        <v>716</v>
      </c>
      <c r="O2990" s="460">
        <v>4111</v>
      </c>
      <c r="P2990" s="460" t="s">
        <v>770</v>
      </c>
      <c r="Q2990" s="460" t="s">
        <v>2266</v>
      </c>
      <c r="R2990" s="460">
        <v>4111</v>
      </c>
      <c r="S2990" s="460" t="s">
        <v>1139</v>
      </c>
      <c r="T2990" s="462">
        <v>1</v>
      </c>
      <c r="U2990" s="460" t="s">
        <v>1139</v>
      </c>
      <c r="V2990" s="475">
        <v>0</v>
      </c>
      <c r="W2990" s="463" t="s">
        <v>2267</v>
      </c>
      <c r="X2990" s="463" t="s">
        <v>2267</v>
      </c>
      <c r="Y2990" s="463" t="s">
        <v>2267</v>
      </c>
      <c r="Z2990" s="463"/>
      <c r="AA2990" s="463"/>
      <c r="AB2990" s="464">
        <v>36.484114836695092</v>
      </c>
      <c r="AC2990" s="465">
        <v>0.35429519037530716</v>
      </c>
      <c r="AD2990" s="465">
        <v>1.4545221639159947E-3</v>
      </c>
      <c r="AE2990" s="476">
        <v>36.484114836695092</v>
      </c>
      <c r="AF2990" s="467">
        <v>0.35429519037530716</v>
      </c>
      <c r="AG2990" s="468">
        <v>1.4545221639159947E-3</v>
      </c>
      <c r="AH2990" s="218">
        <v>36.484114836695092</v>
      </c>
      <c r="AI2990" s="470">
        <v>0.35429519037530716</v>
      </c>
      <c r="AJ2990" s="471">
        <v>1.3520229096130132E-3</v>
      </c>
      <c r="AK2990" s="218">
        <v>36.484114836695092</v>
      </c>
      <c r="AL2990" s="470">
        <v>0.35429519037530716</v>
      </c>
      <c r="AM2990" s="471">
        <v>1.3520229096130132E-3</v>
      </c>
      <c r="AN2990" s="477">
        <v>36.484114836695092</v>
      </c>
      <c r="AO2990" s="473">
        <v>0.35429519037530716</v>
      </c>
      <c r="AP2990" s="474">
        <v>1.3520229096130132E-3</v>
      </c>
      <c r="AQ2990" s="352"/>
      <c r="AR2990" s="352"/>
      <c r="AS2990" s="352"/>
      <c r="AT2990" s="352"/>
      <c r="AU2990" s="352"/>
      <c r="AV2990" s="352"/>
      <c r="AW2990" s="352" t="s">
        <v>254</v>
      </c>
    </row>
    <row r="2991" spans="2:49" x14ac:dyDescent="0.2">
      <c r="B2991" s="460" t="s">
        <v>3241</v>
      </c>
      <c r="C2991" s="460">
        <v>4111</v>
      </c>
      <c r="D2991" s="460" t="s">
        <v>2375</v>
      </c>
      <c r="E2991" s="460" t="s">
        <v>2376</v>
      </c>
      <c r="F2991" s="460">
        <v>1</v>
      </c>
      <c r="G2991" s="460">
        <v>5</v>
      </c>
      <c r="H2991" s="461" t="s">
        <v>754</v>
      </c>
      <c r="I2991" s="461" t="s">
        <v>1991</v>
      </c>
      <c r="J2991" s="461" t="s">
        <v>754</v>
      </c>
      <c r="K2991" s="594"/>
      <c r="L2991" s="594"/>
      <c r="M2991" s="352">
        <v>4000</v>
      </c>
      <c r="N2991" s="352" t="s">
        <v>716</v>
      </c>
      <c r="O2991" s="460">
        <v>4111</v>
      </c>
      <c r="P2991" s="460" t="s">
        <v>770</v>
      </c>
      <c r="Q2991" s="460" t="s">
        <v>2377</v>
      </c>
      <c r="R2991" s="460">
        <v>4111</v>
      </c>
      <c r="S2991" s="460" t="s">
        <v>2376</v>
      </c>
      <c r="T2991" s="462">
        <v>1</v>
      </c>
      <c r="U2991" s="460" t="s">
        <v>2376</v>
      </c>
      <c r="V2991" s="475">
        <v>0</v>
      </c>
      <c r="W2991" s="463" t="s">
        <v>2278</v>
      </c>
      <c r="X2991" s="463" t="s">
        <v>2278</v>
      </c>
      <c r="Y2991" s="463" t="s">
        <v>2278</v>
      </c>
      <c r="Z2991" s="463"/>
      <c r="AA2991" s="463"/>
      <c r="AB2991" s="464">
        <v>1556.4467014137724</v>
      </c>
      <c r="AC2991" s="465">
        <v>1</v>
      </c>
      <c r="AD2991" s="465">
        <v>2.6165500785007346E-3</v>
      </c>
      <c r="AE2991" s="476">
        <v>1556.4467014137724</v>
      </c>
      <c r="AF2991" s="467">
        <v>1</v>
      </c>
      <c r="AG2991" s="468">
        <v>2.6165500785007346E-3</v>
      </c>
      <c r="AH2991" s="218">
        <v>1556.4467014137724</v>
      </c>
      <c r="AI2991" s="470">
        <v>1</v>
      </c>
      <c r="AJ2991" s="471">
        <v>2.6165500785007346E-3</v>
      </c>
      <c r="AK2991" s="218">
        <v>1556.4467014137724</v>
      </c>
      <c r="AL2991" s="470">
        <v>1</v>
      </c>
      <c r="AM2991" s="471">
        <v>2.6165500785007346E-3</v>
      </c>
      <c r="AN2991" s="477">
        <v>1556.4467014137724</v>
      </c>
      <c r="AO2991" s="473">
        <v>1</v>
      </c>
      <c r="AP2991" s="474">
        <v>2.6165500785007346E-3</v>
      </c>
      <c r="AQ2991" s="352"/>
      <c r="AR2991" s="352"/>
      <c r="AS2991" s="352"/>
      <c r="AT2991" s="352"/>
      <c r="AU2991" s="352"/>
      <c r="AV2991" s="352"/>
      <c r="AW2991" s="352" t="s">
        <v>127</v>
      </c>
    </row>
    <row r="2992" spans="2:49" x14ac:dyDescent="0.2">
      <c r="B2992" s="460" t="s">
        <v>3242</v>
      </c>
      <c r="C2992" s="460">
        <v>4111</v>
      </c>
      <c r="D2992" s="460" t="s">
        <v>2379</v>
      </c>
      <c r="E2992" s="460" t="s">
        <v>2380</v>
      </c>
      <c r="F2992" s="460">
        <v>2</v>
      </c>
      <c r="G2992" s="460">
        <v>5</v>
      </c>
      <c r="H2992" s="461" t="s">
        <v>754</v>
      </c>
      <c r="I2992" s="461" t="s">
        <v>1991</v>
      </c>
      <c r="J2992" s="461" t="s">
        <v>754</v>
      </c>
      <c r="K2992" s="594"/>
      <c r="L2992" s="594"/>
      <c r="M2992" s="352">
        <v>4000</v>
      </c>
      <c r="N2992" s="352" t="s">
        <v>716</v>
      </c>
      <c r="O2992" s="460">
        <v>4111</v>
      </c>
      <c r="P2992" s="460" t="s">
        <v>770</v>
      </c>
      <c r="Q2992" s="460" t="s">
        <v>2377</v>
      </c>
      <c r="R2992" s="460">
        <v>4111</v>
      </c>
      <c r="S2992" s="460" t="s">
        <v>2380</v>
      </c>
      <c r="T2992" s="462">
        <v>1</v>
      </c>
      <c r="U2992" s="460" t="s">
        <v>2380</v>
      </c>
      <c r="V2992" s="475">
        <v>0</v>
      </c>
      <c r="W2992" s="463" t="s">
        <v>2278</v>
      </c>
      <c r="X2992" s="463" t="s">
        <v>2278</v>
      </c>
      <c r="Y2992" s="463" t="s">
        <v>2278</v>
      </c>
      <c r="Z2992" s="463"/>
      <c r="AA2992" s="463"/>
      <c r="AB2992" s="464">
        <v>1353.307064357683</v>
      </c>
      <c r="AC2992" s="465">
        <v>1</v>
      </c>
      <c r="AD2992" s="465">
        <v>2.6649372786214749E-3</v>
      </c>
      <c r="AE2992" s="476">
        <v>1353.307064357683</v>
      </c>
      <c r="AF2992" s="467">
        <v>1</v>
      </c>
      <c r="AG2992" s="468">
        <v>2.6649372786214749E-3</v>
      </c>
      <c r="AH2992" s="218">
        <v>1353.307064357683</v>
      </c>
      <c r="AI2992" s="470">
        <v>1</v>
      </c>
      <c r="AJ2992" s="471">
        <v>2.6649372786214749E-3</v>
      </c>
      <c r="AK2992" s="218">
        <v>1353.307064357683</v>
      </c>
      <c r="AL2992" s="470">
        <v>1</v>
      </c>
      <c r="AM2992" s="471">
        <v>2.6649372786214749E-3</v>
      </c>
      <c r="AN2992" s="477">
        <v>1353.307064357683</v>
      </c>
      <c r="AO2992" s="473">
        <v>1</v>
      </c>
      <c r="AP2992" s="474">
        <v>2.6649372786214749E-3</v>
      </c>
      <c r="AQ2992" s="352"/>
      <c r="AR2992" s="352"/>
      <c r="AS2992" s="352"/>
      <c r="AT2992" s="352"/>
      <c r="AU2992" s="352"/>
      <c r="AV2992" s="352"/>
      <c r="AW2992" s="352" t="s">
        <v>127</v>
      </c>
    </row>
    <row r="2993" spans="2:49" x14ac:dyDescent="0.2">
      <c r="B2993" s="460" t="s">
        <v>3243</v>
      </c>
      <c r="C2993" s="460">
        <v>4111</v>
      </c>
      <c r="D2993" s="460" t="s">
        <v>2382</v>
      </c>
      <c r="E2993" s="460" t="s">
        <v>2383</v>
      </c>
      <c r="F2993" s="460">
        <v>3</v>
      </c>
      <c r="G2993" s="460">
        <v>5</v>
      </c>
      <c r="H2993" s="461" t="s">
        <v>754</v>
      </c>
      <c r="I2993" s="461" t="s">
        <v>1991</v>
      </c>
      <c r="J2993" s="461" t="s">
        <v>754</v>
      </c>
      <c r="K2993" s="594"/>
      <c r="L2993" s="594"/>
      <c r="M2993" s="352">
        <v>4000</v>
      </c>
      <c r="N2993" s="352" t="s">
        <v>716</v>
      </c>
      <c r="O2993" s="460">
        <v>4111</v>
      </c>
      <c r="P2993" s="460" t="s">
        <v>770</v>
      </c>
      <c r="Q2993" s="460" t="s">
        <v>2377</v>
      </c>
      <c r="R2993" s="460">
        <v>4111</v>
      </c>
      <c r="S2993" s="460" t="s">
        <v>2383</v>
      </c>
      <c r="T2993" s="462">
        <v>1</v>
      </c>
      <c r="U2993" s="460" t="s">
        <v>2383</v>
      </c>
      <c r="V2993" s="475">
        <v>0</v>
      </c>
      <c r="W2993" s="463" t="s">
        <v>2278</v>
      </c>
      <c r="X2993" s="463" t="s">
        <v>2278</v>
      </c>
      <c r="Y2993" s="463" t="s">
        <v>2278</v>
      </c>
      <c r="Z2993" s="463"/>
      <c r="AA2993" s="463"/>
      <c r="AB2993" s="464">
        <v>389.88845644359122</v>
      </c>
      <c r="AC2993" s="465">
        <v>1</v>
      </c>
      <c r="AD2993" s="465">
        <v>3.465585196831844E-3</v>
      </c>
      <c r="AE2993" s="476">
        <v>389.88845644359122</v>
      </c>
      <c r="AF2993" s="467">
        <v>1</v>
      </c>
      <c r="AG2993" s="468">
        <v>3.465585196831844E-3</v>
      </c>
      <c r="AH2993" s="218">
        <v>389.88845644359122</v>
      </c>
      <c r="AI2993" s="470">
        <v>1</v>
      </c>
      <c r="AJ2993" s="471">
        <v>3.465585196831844E-3</v>
      </c>
      <c r="AK2993" s="218">
        <v>389.88845644359122</v>
      </c>
      <c r="AL2993" s="470">
        <v>1</v>
      </c>
      <c r="AM2993" s="471">
        <v>3.465585196831844E-3</v>
      </c>
      <c r="AN2993" s="477">
        <v>389.88845644359122</v>
      </c>
      <c r="AO2993" s="473">
        <v>1</v>
      </c>
      <c r="AP2993" s="474">
        <v>3.465585196831844E-3</v>
      </c>
      <c r="AQ2993" s="352"/>
      <c r="AR2993" s="352"/>
      <c r="AS2993" s="352"/>
      <c r="AT2993" s="352"/>
      <c r="AU2993" s="352"/>
      <c r="AV2993" s="352"/>
      <c r="AW2993" s="352" t="s">
        <v>127</v>
      </c>
    </row>
    <row r="2994" spans="2:49" x14ac:dyDescent="0.2">
      <c r="B2994" s="460" t="s">
        <v>3244</v>
      </c>
      <c r="C2994" s="460">
        <v>4111</v>
      </c>
      <c r="D2994" s="460" t="s">
        <v>2385</v>
      </c>
      <c r="E2994" s="460" t="s">
        <v>2386</v>
      </c>
      <c r="F2994" s="460">
        <v>4</v>
      </c>
      <c r="G2994" s="460">
        <v>5</v>
      </c>
      <c r="H2994" s="461" t="s">
        <v>754</v>
      </c>
      <c r="I2994" s="461" t="s">
        <v>1991</v>
      </c>
      <c r="J2994" s="461" t="s">
        <v>754</v>
      </c>
      <c r="K2994" s="594"/>
      <c r="L2994" s="594"/>
      <c r="M2994" s="352">
        <v>4000</v>
      </c>
      <c r="N2994" s="352" t="s">
        <v>716</v>
      </c>
      <c r="O2994" s="460">
        <v>4111</v>
      </c>
      <c r="P2994" s="460" t="s">
        <v>770</v>
      </c>
      <c r="Q2994" s="460" t="s">
        <v>2377</v>
      </c>
      <c r="R2994" s="460">
        <v>4111</v>
      </c>
      <c r="S2994" s="460" t="s">
        <v>2386</v>
      </c>
      <c r="T2994" s="462">
        <v>1</v>
      </c>
      <c r="U2994" s="460" t="s">
        <v>2386</v>
      </c>
      <c r="V2994" s="475">
        <v>0</v>
      </c>
      <c r="W2994" s="463" t="s">
        <v>2278</v>
      </c>
      <c r="X2994" s="463" t="s">
        <v>2278</v>
      </c>
      <c r="Y2994" s="463" t="s">
        <v>2278</v>
      </c>
      <c r="Z2994" s="463"/>
      <c r="AA2994" s="463"/>
      <c r="AB2994" s="464">
        <v>70.347021930417171</v>
      </c>
      <c r="AC2994" s="465">
        <v>1</v>
      </c>
      <c r="AD2994" s="465">
        <v>1.3049891371104613E-3</v>
      </c>
      <c r="AE2994" s="476">
        <v>70.347021930417171</v>
      </c>
      <c r="AF2994" s="467">
        <v>1</v>
      </c>
      <c r="AG2994" s="468">
        <v>1.3049891371104613E-3</v>
      </c>
      <c r="AH2994" s="218">
        <v>70.347021930417171</v>
      </c>
      <c r="AI2994" s="470">
        <v>1</v>
      </c>
      <c r="AJ2994" s="471">
        <v>1.3049891371104613E-3</v>
      </c>
      <c r="AK2994" s="218">
        <v>70.347021930417171</v>
      </c>
      <c r="AL2994" s="470">
        <v>1</v>
      </c>
      <c r="AM2994" s="471">
        <v>1.3049891371104613E-3</v>
      </c>
      <c r="AN2994" s="477">
        <v>70.347021930417171</v>
      </c>
      <c r="AO2994" s="473">
        <v>1</v>
      </c>
      <c r="AP2994" s="474">
        <v>1.3049891371104613E-3</v>
      </c>
      <c r="AQ2994" s="352"/>
      <c r="AR2994" s="352"/>
      <c r="AS2994" s="352"/>
      <c r="AT2994" s="352"/>
      <c r="AU2994" s="352"/>
      <c r="AV2994" s="352"/>
      <c r="AW2994" s="352" t="s">
        <v>127</v>
      </c>
    </row>
    <row r="2995" spans="2:49" x14ac:dyDescent="0.2">
      <c r="B2995" s="460" t="s">
        <v>3245</v>
      </c>
      <c r="C2995" s="460">
        <v>4111</v>
      </c>
      <c r="D2995" s="460" t="s">
        <v>2388</v>
      </c>
      <c r="E2995" s="460" t="s">
        <v>2389</v>
      </c>
      <c r="F2995" s="460">
        <v>1</v>
      </c>
      <c r="G2995" s="460">
        <v>6</v>
      </c>
      <c r="H2995" s="461" t="s">
        <v>754</v>
      </c>
      <c r="I2995" s="461" t="s">
        <v>1991</v>
      </c>
      <c r="J2995" s="461" t="s">
        <v>754</v>
      </c>
      <c r="K2995" s="594"/>
      <c r="L2995" s="594"/>
      <c r="M2995" s="352">
        <v>4000</v>
      </c>
      <c r="N2995" s="352" t="s">
        <v>716</v>
      </c>
      <c r="O2995" s="460">
        <v>4111</v>
      </c>
      <c r="P2995" s="460" t="s">
        <v>770</v>
      </c>
      <c r="Q2995" s="460" t="s">
        <v>2377</v>
      </c>
      <c r="R2995" s="460">
        <v>4111</v>
      </c>
      <c r="S2995" s="460" t="s">
        <v>2389</v>
      </c>
      <c r="T2995" s="462">
        <v>1</v>
      </c>
      <c r="U2995" s="460" t="s">
        <v>2389</v>
      </c>
      <c r="V2995" s="475">
        <v>0</v>
      </c>
      <c r="W2995" s="463" t="s">
        <v>2278</v>
      </c>
      <c r="X2995" s="463" t="s">
        <v>2278</v>
      </c>
      <c r="Y2995" s="463" t="s">
        <v>2278</v>
      </c>
      <c r="Z2995" s="463"/>
      <c r="AA2995" s="463"/>
      <c r="AB2995" s="464">
        <v>4228.6799480529053</v>
      </c>
      <c r="AC2995" s="465">
        <v>1</v>
      </c>
      <c r="AD2995" s="465">
        <v>0.14137105886102469</v>
      </c>
      <c r="AE2995" s="476">
        <v>4228.6799480529053</v>
      </c>
      <c r="AF2995" s="467">
        <v>1</v>
      </c>
      <c r="AG2995" s="468">
        <v>0.14137105886102469</v>
      </c>
      <c r="AH2995" s="218">
        <v>4228.6799480529053</v>
      </c>
      <c r="AI2995" s="470">
        <v>1</v>
      </c>
      <c r="AJ2995" s="471">
        <v>0.14137105886102469</v>
      </c>
      <c r="AK2995" s="218">
        <v>4228.6799480529053</v>
      </c>
      <c r="AL2995" s="470">
        <v>1</v>
      </c>
      <c r="AM2995" s="471">
        <v>0.14137105886102469</v>
      </c>
      <c r="AN2995" s="477">
        <v>4228.6799480529053</v>
      </c>
      <c r="AO2995" s="473">
        <v>1</v>
      </c>
      <c r="AP2995" s="474">
        <v>0.14137105886102469</v>
      </c>
      <c r="AQ2995" s="352"/>
      <c r="AR2995" s="352"/>
      <c r="AS2995" s="352"/>
      <c r="AT2995" s="352"/>
      <c r="AU2995" s="352"/>
      <c r="AV2995" s="352"/>
      <c r="AW2995" s="352" t="s">
        <v>127</v>
      </c>
    </row>
    <row r="2996" spans="2:49" x14ac:dyDescent="0.2">
      <c r="B2996" s="460" t="s">
        <v>3246</v>
      </c>
      <c r="C2996" s="460">
        <v>4111</v>
      </c>
      <c r="D2996" s="460" t="s">
        <v>2391</v>
      </c>
      <c r="E2996" s="460" t="s">
        <v>2392</v>
      </c>
      <c r="F2996" s="460">
        <v>2</v>
      </c>
      <c r="G2996" s="460">
        <v>6</v>
      </c>
      <c r="H2996" s="461" t="s">
        <v>754</v>
      </c>
      <c r="I2996" s="461" t="s">
        <v>1991</v>
      </c>
      <c r="J2996" s="461" t="s">
        <v>754</v>
      </c>
      <c r="K2996" s="594"/>
      <c r="L2996" s="594"/>
      <c r="M2996" s="352">
        <v>4000</v>
      </c>
      <c r="N2996" s="352" t="s">
        <v>716</v>
      </c>
      <c r="O2996" s="460">
        <v>4111</v>
      </c>
      <c r="P2996" s="460" t="s">
        <v>770</v>
      </c>
      <c r="Q2996" s="460" t="s">
        <v>2377</v>
      </c>
      <c r="R2996" s="460">
        <v>4111</v>
      </c>
      <c r="S2996" s="460" t="s">
        <v>2392</v>
      </c>
      <c r="T2996" s="462">
        <v>1</v>
      </c>
      <c r="U2996" s="460" t="s">
        <v>2392</v>
      </c>
      <c r="V2996" s="475">
        <v>0</v>
      </c>
      <c r="W2996" s="463" t="s">
        <v>2278</v>
      </c>
      <c r="X2996" s="463" t="s">
        <v>2278</v>
      </c>
      <c r="Y2996" s="463" t="s">
        <v>2278</v>
      </c>
      <c r="Z2996" s="463"/>
      <c r="AA2996" s="463"/>
      <c r="AB2996" s="464">
        <v>3825.869119870461</v>
      </c>
      <c r="AC2996" s="465">
        <v>1</v>
      </c>
      <c r="AD2996" s="465">
        <v>0.1644406906803923</v>
      </c>
      <c r="AE2996" s="476">
        <v>3825.869119870461</v>
      </c>
      <c r="AF2996" s="467">
        <v>1</v>
      </c>
      <c r="AG2996" s="468">
        <v>0.1644406906803923</v>
      </c>
      <c r="AH2996" s="218">
        <v>3825.869119870461</v>
      </c>
      <c r="AI2996" s="470">
        <v>1</v>
      </c>
      <c r="AJ2996" s="471">
        <v>0.1644406906803923</v>
      </c>
      <c r="AK2996" s="218">
        <v>3825.869119870461</v>
      </c>
      <c r="AL2996" s="470">
        <v>1</v>
      </c>
      <c r="AM2996" s="471">
        <v>0.1644406906803923</v>
      </c>
      <c r="AN2996" s="477">
        <v>3825.869119870461</v>
      </c>
      <c r="AO2996" s="473">
        <v>1</v>
      </c>
      <c r="AP2996" s="474">
        <v>0.1644406906803923</v>
      </c>
      <c r="AQ2996" s="352"/>
      <c r="AR2996" s="352"/>
      <c r="AS2996" s="352"/>
      <c r="AT2996" s="352"/>
      <c r="AU2996" s="352"/>
      <c r="AV2996" s="352"/>
      <c r="AW2996" s="352" t="s">
        <v>127</v>
      </c>
    </row>
    <row r="2997" spans="2:49" x14ac:dyDescent="0.2">
      <c r="B2997" s="460" t="s">
        <v>3247</v>
      </c>
      <c r="C2997" s="460">
        <v>4111</v>
      </c>
      <c r="D2997" s="460" t="s">
        <v>2394</v>
      </c>
      <c r="E2997" s="460" t="s">
        <v>2395</v>
      </c>
      <c r="F2997" s="460">
        <v>3</v>
      </c>
      <c r="G2997" s="460">
        <v>6</v>
      </c>
      <c r="H2997" s="461" t="s">
        <v>754</v>
      </c>
      <c r="I2997" s="461" t="s">
        <v>1991</v>
      </c>
      <c r="J2997" s="461" t="s">
        <v>754</v>
      </c>
      <c r="K2997" s="594"/>
      <c r="L2997" s="594"/>
      <c r="M2997" s="352">
        <v>4000</v>
      </c>
      <c r="N2997" s="352" t="s">
        <v>716</v>
      </c>
      <c r="O2997" s="460">
        <v>4111</v>
      </c>
      <c r="P2997" s="460" t="s">
        <v>770</v>
      </c>
      <c r="Q2997" s="460" t="s">
        <v>2377</v>
      </c>
      <c r="R2997" s="460">
        <v>4111</v>
      </c>
      <c r="S2997" s="460" t="s">
        <v>2395</v>
      </c>
      <c r="T2997" s="462">
        <v>1</v>
      </c>
      <c r="U2997" s="460" t="s">
        <v>2395</v>
      </c>
      <c r="V2997" s="475">
        <v>0</v>
      </c>
      <c r="W2997" s="463" t="s">
        <v>2278</v>
      </c>
      <c r="X2997" s="463" t="s">
        <v>2278</v>
      </c>
      <c r="Y2997" s="463" t="s">
        <v>2278</v>
      </c>
      <c r="Z2997" s="463"/>
      <c r="AA2997" s="463"/>
      <c r="AB2997" s="464">
        <v>1936.8730536393643</v>
      </c>
      <c r="AC2997" s="465">
        <v>1</v>
      </c>
      <c r="AD2997" s="465">
        <v>0.18393125325910475</v>
      </c>
      <c r="AE2997" s="476">
        <v>1936.8730536393643</v>
      </c>
      <c r="AF2997" s="467">
        <v>1</v>
      </c>
      <c r="AG2997" s="468">
        <v>0.18393125325910475</v>
      </c>
      <c r="AH2997" s="218">
        <v>1936.8730536393643</v>
      </c>
      <c r="AI2997" s="470">
        <v>1</v>
      </c>
      <c r="AJ2997" s="471">
        <v>0.18393125325910475</v>
      </c>
      <c r="AK2997" s="218">
        <v>1936.8730536393643</v>
      </c>
      <c r="AL2997" s="470">
        <v>1</v>
      </c>
      <c r="AM2997" s="471">
        <v>0.18393125325910475</v>
      </c>
      <c r="AN2997" s="477">
        <v>1936.8730536393643</v>
      </c>
      <c r="AO2997" s="473">
        <v>1</v>
      </c>
      <c r="AP2997" s="474">
        <v>0.18393125325910475</v>
      </c>
      <c r="AQ2997" s="352"/>
      <c r="AR2997" s="352"/>
      <c r="AS2997" s="352"/>
      <c r="AT2997" s="352"/>
      <c r="AU2997" s="352"/>
      <c r="AV2997" s="352"/>
      <c r="AW2997" s="352" t="s">
        <v>127</v>
      </c>
    </row>
    <row r="2998" spans="2:49" x14ac:dyDescent="0.2">
      <c r="B2998" s="460" t="s">
        <v>3248</v>
      </c>
      <c r="C2998" s="460">
        <v>4111</v>
      </c>
      <c r="D2998" s="460" t="s">
        <v>2397</v>
      </c>
      <c r="E2998" s="460" t="s">
        <v>2398</v>
      </c>
      <c r="F2998" s="460">
        <v>4</v>
      </c>
      <c r="G2998" s="460">
        <v>6</v>
      </c>
      <c r="H2998" s="461" t="s">
        <v>754</v>
      </c>
      <c r="I2998" s="461" t="s">
        <v>1991</v>
      </c>
      <c r="J2998" s="461" t="s">
        <v>754</v>
      </c>
      <c r="K2998" s="594"/>
      <c r="L2998" s="594"/>
      <c r="M2998" s="352">
        <v>4000</v>
      </c>
      <c r="N2998" s="352" t="s">
        <v>716</v>
      </c>
      <c r="O2998" s="460">
        <v>4111</v>
      </c>
      <c r="P2998" s="460" t="s">
        <v>770</v>
      </c>
      <c r="Q2998" s="460" t="s">
        <v>2377</v>
      </c>
      <c r="R2998" s="460">
        <v>4111</v>
      </c>
      <c r="S2998" s="460" t="s">
        <v>2398</v>
      </c>
      <c r="T2998" s="462">
        <v>1</v>
      </c>
      <c r="U2998" s="460" t="s">
        <v>2398</v>
      </c>
      <c r="V2998" s="475">
        <v>0</v>
      </c>
      <c r="W2998" s="463" t="s">
        <v>2278</v>
      </c>
      <c r="X2998" s="463" t="s">
        <v>2278</v>
      </c>
      <c r="Y2998" s="463" t="s">
        <v>2278</v>
      </c>
      <c r="Z2998" s="463"/>
      <c r="AA2998" s="463"/>
      <c r="AB2998" s="464">
        <v>2612.0891347353513</v>
      </c>
      <c r="AC2998" s="465">
        <v>1</v>
      </c>
      <c r="AD2998" s="465">
        <v>0.20724379313445368</v>
      </c>
      <c r="AE2998" s="476">
        <v>2612.0891347353513</v>
      </c>
      <c r="AF2998" s="467">
        <v>1</v>
      </c>
      <c r="AG2998" s="468">
        <v>0.20724379313445368</v>
      </c>
      <c r="AH2998" s="218">
        <v>2612.0891347353513</v>
      </c>
      <c r="AI2998" s="470">
        <v>1</v>
      </c>
      <c r="AJ2998" s="471">
        <v>0.20724379313445368</v>
      </c>
      <c r="AK2998" s="218">
        <v>2612.0891347353513</v>
      </c>
      <c r="AL2998" s="470">
        <v>1</v>
      </c>
      <c r="AM2998" s="471">
        <v>0.20724379313445368</v>
      </c>
      <c r="AN2998" s="477">
        <v>2612.0891347353513</v>
      </c>
      <c r="AO2998" s="473">
        <v>1</v>
      </c>
      <c r="AP2998" s="474">
        <v>0.20724379313445368</v>
      </c>
      <c r="AQ2998" s="352"/>
      <c r="AR2998" s="352"/>
      <c r="AS2998" s="352"/>
      <c r="AT2998" s="352"/>
      <c r="AU2998" s="352"/>
      <c r="AV2998" s="352"/>
      <c r="AW2998" s="352" t="s">
        <v>127</v>
      </c>
    </row>
    <row r="2999" spans="2:49" x14ac:dyDescent="0.2">
      <c r="B2999" s="460" t="s">
        <v>3249</v>
      </c>
      <c r="C2999" s="460">
        <v>4121</v>
      </c>
      <c r="D2999" s="460" t="s">
        <v>2264</v>
      </c>
      <c r="E2999" s="460" t="s">
        <v>2265</v>
      </c>
      <c r="F2999" s="460">
        <v>1</v>
      </c>
      <c r="G2999" s="460">
        <v>1</v>
      </c>
      <c r="H2999" s="461" t="s">
        <v>700</v>
      </c>
      <c r="I2999" s="461" t="s">
        <v>872</v>
      </c>
      <c r="J2999" s="461" t="s">
        <v>700</v>
      </c>
      <c r="K2999" s="594"/>
      <c r="L2999" s="594"/>
      <c r="M2999" s="352">
        <v>4000</v>
      </c>
      <c r="N2999" s="352" t="s">
        <v>716</v>
      </c>
      <c r="O2999" s="460">
        <v>4121</v>
      </c>
      <c r="P2999" s="460" t="s">
        <v>772</v>
      </c>
      <c r="Q2999" s="460" t="s">
        <v>2527</v>
      </c>
      <c r="R2999" s="460">
        <v>4121</v>
      </c>
      <c r="S2999" s="460" t="s">
        <v>2265</v>
      </c>
      <c r="T2999" s="462">
        <v>1</v>
      </c>
      <c r="U2999" s="460" t="s">
        <v>2265</v>
      </c>
      <c r="V2999" s="475">
        <v>0</v>
      </c>
      <c r="W2999" s="463" t="s">
        <v>2267</v>
      </c>
      <c r="X2999" s="463" t="s">
        <v>2267</v>
      </c>
      <c r="Y2999" s="463" t="s">
        <v>2268</v>
      </c>
      <c r="Z2999" s="463"/>
      <c r="AA2999" s="463"/>
      <c r="AB2999" s="464">
        <v>76.180653822658513</v>
      </c>
      <c r="AC2999" s="465">
        <v>9.6967020657639333E-2</v>
      </c>
      <c r="AD2999" s="465">
        <v>7.0645635568964966E-4</v>
      </c>
      <c r="AE2999" s="476">
        <v>76.180653822658513</v>
      </c>
      <c r="AF2999" s="467">
        <v>9.6967020657639333E-2</v>
      </c>
      <c r="AG2999" s="468">
        <v>7.5464324204631186E-4</v>
      </c>
      <c r="AH2999" s="218">
        <v>76.180653822658513</v>
      </c>
      <c r="AI2999" s="470">
        <v>9.6967020657639333E-2</v>
      </c>
      <c r="AJ2999" s="471">
        <v>7.2640837416893054E-4</v>
      </c>
      <c r="AK2999" s="218">
        <v>76.180653822658513</v>
      </c>
      <c r="AL2999" s="470">
        <v>9.6967020657639333E-2</v>
      </c>
      <c r="AM2999" s="471">
        <v>7.2640837416893054E-4</v>
      </c>
      <c r="AN2999" s="477">
        <v>0</v>
      </c>
      <c r="AO2999" s="473">
        <v>0</v>
      </c>
      <c r="AP2999" s="474">
        <v>0</v>
      </c>
      <c r="AQ2999" s="352"/>
      <c r="AR2999" s="352"/>
      <c r="AS2999" s="352"/>
      <c r="AT2999" s="352"/>
      <c r="AU2999" s="352"/>
      <c r="AV2999" s="352"/>
      <c r="AW2999" s="352" t="s">
        <v>254</v>
      </c>
    </row>
    <row r="3000" spans="2:49" x14ac:dyDescent="0.2">
      <c r="B3000" s="460" t="s">
        <v>3250</v>
      </c>
      <c r="C3000" s="460">
        <v>4121</v>
      </c>
      <c r="D3000" s="460" t="s">
        <v>2270</v>
      </c>
      <c r="E3000" s="460" t="s">
        <v>2271</v>
      </c>
      <c r="F3000" s="460">
        <v>2</v>
      </c>
      <c r="G3000" s="460">
        <v>1</v>
      </c>
      <c r="H3000" s="461" t="s">
        <v>700</v>
      </c>
      <c r="I3000" s="461" t="s">
        <v>872</v>
      </c>
      <c r="J3000" s="461" t="s">
        <v>700</v>
      </c>
      <c r="K3000" s="594"/>
      <c r="L3000" s="594"/>
      <c r="M3000" s="352">
        <v>4000</v>
      </c>
      <c r="N3000" s="352" t="s">
        <v>716</v>
      </c>
      <c r="O3000" s="460">
        <v>4121</v>
      </c>
      <c r="P3000" s="460" t="s">
        <v>772</v>
      </c>
      <c r="Q3000" s="460" t="s">
        <v>2527</v>
      </c>
      <c r="R3000" s="460">
        <v>4121</v>
      </c>
      <c r="S3000" s="460" t="s">
        <v>2265</v>
      </c>
      <c r="T3000" s="462">
        <v>1</v>
      </c>
      <c r="U3000" s="460" t="s">
        <v>2271</v>
      </c>
      <c r="V3000" s="475">
        <v>0</v>
      </c>
      <c r="W3000" s="463" t="s">
        <v>2503</v>
      </c>
      <c r="X3000" s="463" t="s">
        <v>2267</v>
      </c>
      <c r="Y3000" s="463" t="s">
        <v>2268</v>
      </c>
      <c r="Z3000" s="463"/>
      <c r="AA3000" s="463"/>
      <c r="AB3000" s="464">
        <v>92.244098534896636</v>
      </c>
      <c r="AC3000" s="465">
        <v>0.11400010584494902</v>
      </c>
      <c r="AD3000" s="465">
        <v>1.1444534445200563E-3</v>
      </c>
      <c r="AE3000" s="476">
        <v>55.346459120937979</v>
      </c>
      <c r="AF3000" s="467">
        <v>6.8400063506969408E-2</v>
      </c>
      <c r="AG3000" s="468">
        <v>7.4411991118921881E-4</v>
      </c>
      <c r="AH3000" s="218">
        <v>92.244098534896636</v>
      </c>
      <c r="AI3000" s="470">
        <v>0.11400010584494902</v>
      </c>
      <c r="AJ3000" s="471">
        <v>1.0890706764598917E-3</v>
      </c>
      <c r="AK3000" s="218">
        <v>92.244098534896636</v>
      </c>
      <c r="AL3000" s="470">
        <v>0.11400010584494902</v>
      </c>
      <c r="AM3000" s="471">
        <v>1.0890706764598917E-3</v>
      </c>
      <c r="AN3000" s="477">
        <v>0</v>
      </c>
      <c r="AO3000" s="473">
        <v>0</v>
      </c>
      <c r="AP3000" s="474">
        <v>0</v>
      </c>
      <c r="AQ3000" s="352"/>
      <c r="AR3000" s="352"/>
      <c r="AS3000" s="352"/>
      <c r="AT3000" s="352"/>
      <c r="AU3000" s="352"/>
      <c r="AV3000" s="352"/>
      <c r="AW3000" s="352" t="s">
        <v>254</v>
      </c>
    </row>
    <row r="3001" spans="2:49" x14ac:dyDescent="0.2">
      <c r="B3001" s="460" t="s">
        <v>3251</v>
      </c>
      <c r="C3001" s="460">
        <v>4121</v>
      </c>
      <c r="D3001" s="460" t="s">
        <v>2273</v>
      </c>
      <c r="E3001" s="460" t="s">
        <v>2274</v>
      </c>
      <c r="F3001" s="460">
        <v>3</v>
      </c>
      <c r="G3001" s="460">
        <v>1</v>
      </c>
      <c r="H3001" s="461" t="s">
        <v>700</v>
      </c>
      <c r="I3001" s="461" t="s">
        <v>872</v>
      </c>
      <c r="J3001" s="461" t="s">
        <v>700</v>
      </c>
      <c r="K3001" s="594"/>
      <c r="L3001" s="594"/>
      <c r="M3001" s="352">
        <v>4000</v>
      </c>
      <c r="N3001" s="352" t="s">
        <v>716</v>
      </c>
      <c r="O3001" s="460">
        <v>4121</v>
      </c>
      <c r="P3001" s="460" t="s">
        <v>772</v>
      </c>
      <c r="Q3001" s="460" t="s">
        <v>2527</v>
      </c>
      <c r="R3001" s="460">
        <v>4121</v>
      </c>
      <c r="S3001" s="460" t="s">
        <v>2265</v>
      </c>
      <c r="T3001" s="462">
        <v>0.74223365950407583</v>
      </c>
      <c r="U3001" s="460" t="s">
        <v>2274</v>
      </c>
      <c r="V3001" s="475">
        <v>0</v>
      </c>
      <c r="W3001" s="463" t="s">
        <v>2503</v>
      </c>
      <c r="X3001" s="463" t="s">
        <v>2267</v>
      </c>
      <c r="Y3001" s="463" t="s">
        <v>2268</v>
      </c>
      <c r="Z3001" s="463"/>
      <c r="AA3001" s="463"/>
      <c r="AB3001" s="464">
        <v>34.455997163855386</v>
      </c>
      <c r="AC3001" s="465">
        <v>8.2337573453803492E-2</v>
      </c>
      <c r="AD3001" s="465">
        <v>1.7045263166343468E-3</v>
      </c>
      <c r="AE3001" s="476">
        <v>20.673598298313234</v>
      </c>
      <c r="AF3001" s="467">
        <v>4.9402544072282097E-2</v>
      </c>
      <c r="AG3001" s="468">
        <v>1.1077792036411236E-3</v>
      </c>
      <c r="AH3001" s="218">
        <v>34.455997163855386</v>
      </c>
      <c r="AI3001" s="470">
        <v>8.2337573453803492E-2</v>
      </c>
      <c r="AJ3001" s="471">
        <v>1.3370334439683589E-3</v>
      </c>
      <c r="AK3001" s="218">
        <v>34.455997163855386</v>
      </c>
      <c r="AL3001" s="470">
        <v>8.2337573453803492E-2</v>
      </c>
      <c r="AM3001" s="471">
        <v>1.3370334439683589E-3</v>
      </c>
      <c r="AN3001" s="477">
        <v>0</v>
      </c>
      <c r="AO3001" s="473">
        <v>0</v>
      </c>
      <c r="AP3001" s="474">
        <v>0</v>
      </c>
      <c r="AQ3001" s="352"/>
      <c r="AR3001" s="352"/>
      <c r="AS3001" s="352"/>
      <c r="AT3001" s="352"/>
      <c r="AU3001" s="352"/>
      <c r="AV3001" s="352"/>
      <c r="AW3001" s="352" t="s">
        <v>254</v>
      </c>
    </row>
    <row r="3002" spans="2:49" x14ac:dyDescent="0.2">
      <c r="B3002" s="460" t="s">
        <v>3252</v>
      </c>
      <c r="C3002" s="460">
        <v>4121</v>
      </c>
      <c r="D3002" s="460" t="s">
        <v>2276</v>
      </c>
      <c r="E3002" s="460" t="s">
        <v>2277</v>
      </c>
      <c r="F3002" s="460">
        <v>4</v>
      </c>
      <c r="G3002" s="460">
        <v>1</v>
      </c>
      <c r="H3002" s="461" t="s">
        <v>700</v>
      </c>
      <c r="I3002" s="461" t="s">
        <v>872</v>
      </c>
      <c r="J3002" s="461" t="s">
        <v>700</v>
      </c>
      <c r="K3002" s="594"/>
      <c r="L3002" s="594"/>
      <c r="M3002" s="352">
        <v>4000</v>
      </c>
      <c r="N3002" s="352" t="s">
        <v>716</v>
      </c>
      <c r="O3002" s="460">
        <v>4121</v>
      </c>
      <c r="P3002" s="460" t="s">
        <v>772</v>
      </c>
      <c r="Q3002" s="460" t="s">
        <v>2527</v>
      </c>
      <c r="R3002" s="460">
        <v>4121</v>
      </c>
      <c r="S3002" s="460" t="s">
        <v>2277</v>
      </c>
      <c r="T3002" s="462">
        <v>1</v>
      </c>
      <c r="U3002" s="460" t="s">
        <v>2277</v>
      </c>
      <c r="V3002" s="475">
        <v>0</v>
      </c>
      <c r="W3002" s="463" t="s">
        <v>2503</v>
      </c>
      <c r="X3002" s="463" t="s">
        <v>2278</v>
      </c>
      <c r="Y3002" s="463" t="s">
        <v>2268</v>
      </c>
      <c r="Z3002" s="463"/>
      <c r="AA3002" s="463"/>
      <c r="AB3002" s="464">
        <v>0.16052238070040223</v>
      </c>
      <c r="AC3002" s="465">
        <v>3.6855381230086864E-4</v>
      </c>
      <c r="AD3002" s="465">
        <v>6.4790199153691983E-4</v>
      </c>
      <c r="AE3002" s="476">
        <v>9.6313428420241334E-2</v>
      </c>
      <c r="AF3002" s="467">
        <v>2.2113228738052118E-4</v>
      </c>
      <c r="AG3002" s="468">
        <v>4.3459216433736666E-4</v>
      </c>
      <c r="AH3002" s="218">
        <v>0.16052238070040223</v>
      </c>
      <c r="AI3002" s="470">
        <v>3.6855381230086864E-4</v>
      </c>
      <c r="AJ3002" s="471">
        <v>6.9422962939293001E-4</v>
      </c>
      <c r="AK3002" s="218">
        <v>0.16052238070040223</v>
      </c>
      <c r="AL3002" s="470">
        <v>3.6855381230086864E-4</v>
      </c>
      <c r="AM3002" s="471">
        <v>6.9422962939293001E-4</v>
      </c>
      <c r="AN3002" s="477">
        <v>0</v>
      </c>
      <c r="AO3002" s="473">
        <v>0</v>
      </c>
      <c r="AP3002" s="474">
        <v>0</v>
      </c>
      <c r="AQ3002" s="352"/>
      <c r="AR3002" s="352"/>
      <c r="AS3002" s="352"/>
      <c r="AT3002" s="352"/>
      <c r="AU3002" s="352"/>
      <c r="AV3002" s="352"/>
      <c r="AW3002" s="352" t="s">
        <v>254</v>
      </c>
    </row>
    <row r="3003" spans="2:49" x14ac:dyDescent="0.2">
      <c r="B3003" s="460" t="s">
        <v>3249</v>
      </c>
      <c r="C3003" s="460">
        <v>4121</v>
      </c>
      <c r="D3003" s="460" t="s">
        <v>2279</v>
      </c>
      <c r="E3003" s="460" t="s">
        <v>2265</v>
      </c>
      <c r="F3003" s="460">
        <v>1</v>
      </c>
      <c r="G3003" s="460">
        <v>1</v>
      </c>
      <c r="H3003" s="461" t="s">
        <v>712</v>
      </c>
      <c r="I3003" s="461" t="s">
        <v>713</v>
      </c>
      <c r="J3003" s="461" t="s">
        <v>712</v>
      </c>
      <c r="K3003" s="594"/>
      <c r="L3003" s="594"/>
      <c r="M3003" s="352">
        <v>4000</v>
      </c>
      <c r="N3003" s="352" t="s">
        <v>716</v>
      </c>
      <c r="O3003" s="460">
        <v>4121</v>
      </c>
      <c r="P3003" s="460" t="s">
        <v>772</v>
      </c>
      <c r="Q3003" s="460" t="s">
        <v>2280</v>
      </c>
      <c r="R3003" s="460">
        <v>4121</v>
      </c>
      <c r="S3003" s="460" t="s">
        <v>2265</v>
      </c>
      <c r="T3003" s="462">
        <v>1</v>
      </c>
      <c r="U3003" s="460" t="s">
        <v>2265</v>
      </c>
      <c r="V3003" s="475">
        <v>0</v>
      </c>
      <c r="W3003" s="463" t="s">
        <v>713</v>
      </c>
      <c r="X3003" s="463" t="s">
        <v>713</v>
      </c>
      <c r="Y3003" s="463" t="s">
        <v>713</v>
      </c>
      <c r="Z3003" s="463"/>
      <c r="AA3003" s="463"/>
      <c r="AB3003" s="464">
        <v>709.45402182267173</v>
      </c>
      <c r="AC3003" s="465">
        <v>0.9030329793423606</v>
      </c>
      <c r="AD3003" s="465">
        <v>2.6208458483310709E-3</v>
      </c>
      <c r="AE3003" s="476">
        <v>709.45402182267173</v>
      </c>
      <c r="AF3003" s="467">
        <v>0.90303297934236071</v>
      </c>
      <c r="AG3003" s="468">
        <v>2.5558334322848555E-3</v>
      </c>
      <c r="AH3003" s="218">
        <v>709.45402182267173</v>
      </c>
      <c r="AI3003" s="470">
        <v>0.90303297934236071</v>
      </c>
      <c r="AJ3003" s="471">
        <v>2.5924798568281891E-3</v>
      </c>
      <c r="AK3003" s="218">
        <v>709.45402182267173</v>
      </c>
      <c r="AL3003" s="470">
        <v>0.90303297934236071</v>
      </c>
      <c r="AM3003" s="471">
        <v>2.5924798568281891E-3</v>
      </c>
      <c r="AN3003" s="477">
        <v>709.45402182267173</v>
      </c>
      <c r="AO3003" s="473">
        <v>0.90303297934236071</v>
      </c>
      <c r="AP3003" s="474">
        <v>2.591635122916222E-3</v>
      </c>
      <c r="AQ3003" s="352"/>
      <c r="AR3003" s="352"/>
      <c r="AS3003" s="352"/>
      <c r="AT3003" s="352"/>
      <c r="AU3003" s="352"/>
      <c r="AV3003" s="352"/>
      <c r="AW3003" s="352" t="s">
        <v>254</v>
      </c>
    </row>
    <row r="3004" spans="2:49" x14ac:dyDescent="0.2">
      <c r="B3004" s="460" t="s">
        <v>3250</v>
      </c>
      <c r="C3004" s="460">
        <v>4121</v>
      </c>
      <c r="D3004" s="460" t="s">
        <v>2281</v>
      </c>
      <c r="E3004" s="460" t="s">
        <v>2271</v>
      </c>
      <c r="F3004" s="460">
        <v>2</v>
      </c>
      <c r="G3004" s="460">
        <v>1</v>
      </c>
      <c r="H3004" s="461" t="s">
        <v>712</v>
      </c>
      <c r="I3004" s="461" t="s">
        <v>713</v>
      </c>
      <c r="J3004" s="461" t="s">
        <v>712</v>
      </c>
      <c r="K3004" s="594"/>
      <c r="L3004" s="594"/>
      <c r="M3004" s="352">
        <v>4000</v>
      </c>
      <c r="N3004" s="352" t="s">
        <v>716</v>
      </c>
      <c r="O3004" s="460">
        <v>4121</v>
      </c>
      <c r="P3004" s="460" t="s">
        <v>772</v>
      </c>
      <c r="Q3004" s="460" t="s">
        <v>2280</v>
      </c>
      <c r="R3004" s="460">
        <v>4121</v>
      </c>
      <c r="S3004" s="460" t="s">
        <v>2265</v>
      </c>
      <c r="T3004" s="462">
        <v>1</v>
      </c>
      <c r="U3004" s="460" t="s">
        <v>2271</v>
      </c>
      <c r="V3004" s="475">
        <v>0</v>
      </c>
      <c r="W3004" s="463" t="s">
        <v>713</v>
      </c>
      <c r="X3004" s="463" t="s">
        <v>713</v>
      </c>
      <c r="Y3004" s="463" t="s">
        <v>713</v>
      </c>
      <c r="Z3004" s="463"/>
      <c r="AA3004" s="463"/>
      <c r="AB3004" s="464">
        <v>716.91390926868723</v>
      </c>
      <c r="AC3004" s="465">
        <v>0.88599989415505109</v>
      </c>
      <c r="AD3004" s="465">
        <v>2.9937755618246998E-3</v>
      </c>
      <c r="AE3004" s="476">
        <v>753.81154868264582</v>
      </c>
      <c r="AF3004" s="467">
        <v>0.93159993649303063</v>
      </c>
      <c r="AG3004" s="468">
        <v>3.0681316299732693E-3</v>
      </c>
      <c r="AH3004" s="218">
        <v>716.91390926868712</v>
      </c>
      <c r="AI3004" s="470">
        <v>0.88599989415505098</v>
      </c>
      <c r="AJ3004" s="471">
        <v>3.0799664594875873E-3</v>
      </c>
      <c r="AK3004" s="218">
        <v>716.91390926868712</v>
      </c>
      <c r="AL3004" s="470">
        <v>0.88599989415505098</v>
      </c>
      <c r="AM3004" s="471">
        <v>3.0799664594875873E-3</v>
      </c>
      <c r="AN3004" s="477">
        <v>716.91390926868712</v>
      </c>
      <c r="AO3004" s="473">
        <v>0.88599989415505098</v>
      </c>
      <c r="AP3004" s="474">
        <v>3.0788849822258229E-3</v>
      </c>
      <c r="AQ3004" s="352"/>
      <c r="AR3004" s="352"/>
      <c r="AS3004" s="352"/>
      <c r="AT3004" s="352"/>
      <c r="AU3004" s="352"/>
      <c r="AV3004" s="352"/>
      <c r="AW3004" s="352" t="s">
        <v>254</v>
      </c>
    </row>
    <row r="3005" spans="2:49" x14ac:dyDescent="0.2">
      <c r="B3005" s="460" t="s">
        <v>3251</v>
      </c>
      <c r="C3005" s="460">
        <v>4121</v>
      </c>
      <c r="D3005" s="460" t="s">
        <v>2282</v>
      </c>
      <c r="E3005" s="460" t="s">
        <v>2274</v>
      </c>
      <c r="F3005" s="460">
        <v>3</v>
      </c>
      <c r="G3005" s="460">
        <v>1</v>
      </c>
      <c r="H3005" s="461" t="s">
        <v>712</v>
      </c>
      <c r="I3005" s="461" t="s">
        <v>713</v>
      </c>
      <c r="J3005" s="461" t="s">
        <v>712</v>
      </c>
      <c r="K3005" s="594"/>
      <c r="L3005" s="594"/>
      <c r="M3005" s="352">
        <v>4000</v>
      </c>
      <c r="N3005" s="352" t="s">
        <v>716</v>
      </c>
      <c r="O3005" s="460">
        <v>4121</v>
      </c>
      <c r="P3005" s="460" t="s">
        <v>772</v>
      </c>
      <c r="Q3005" s="460" t="s">
        <v>2280</v>
      </c>
      <c r="R3005" s="460">
        <v>4121</v>
      </c>
      <c r="S3005" s="460" t="s">
        <v>2265</v>
      </c>
      <c r="T3005" s="462">
        <v>0.74223365950407583</v>
      </c>
      <c r="U3005" s="460" t="s">
        <v>2274</v>
      </c>
      <c r="V3005" s="475">
        <v>0</v>
      </c>
      <c r="W3005" s="463" t="s">
        <v>713</v>
      </c>
      <c r="X3005" s="463" t="s">
        <v>713</v>
      </c>
      <c r="Y3005" s="463" t="s">
        <v>713</v>
      </c>
      <c r="Z3005" s="463"/>
      <c r="AA3005" s="463"/>
      <c r="AB3005" s="464">
        <v>384.01634442375951</v>
      </c>
      <c r="AC3005" s="465">
        <v>0.91766242654619656</v>
      </c>
      <c r="AD3005" s="465">
        <v>2.2984194099643748E-3</v>
      </c>
      <c r="AE3005" s="476">
        <v>397.79874328930168</v>
      </c>
      <c r="AF3005" s="467">
        <v>0.95059745592771794</v>
      </c>
      <c r="AG3005" s="468">
        <v>2.3589942040562499E-3</v>
      </c>
      <c r="AH3005" s="218">
        <v>384.01634442375951</v>
      </c>
      <c r="AI3005" s="470">
        <v>0.91766242654619656</v>
      </c>
      <c r="AJ3005" s="471">
        <v>2.4132242678040453E-3</v>
      </c>
      <c r="AK3005" s="218">
        <v>384.01634442375951</v>
      </c>
      <c r="AL3005" s="470">
        <v>0.91766242654619656</v>
      </c>
      <c r="AM3005" s="471">
        <v>2.4132242678040453E-3</v>
      </c>
      <c r="AN3005" s="477">
        <v>384.01634442375951</v>
      </c>
      <c r="AO3005" s="473">
        <v>0.91766242654619656</v>
      </c>
      <c r="AP3005" s="474">
        <v>2.4306332600898045E-3</v>
      </c>
      <c r="AQ3005" s="352"/>
      <c r="AR3005" s="352"/>
      <c r="AS3005" s="352"/>
      <c r="AT3005" s="352"/>
      <c r="AU3005" s="352"/>
      <c r="AV3005" s="352"/>
      <c r="AW3005" s="352" t="s">
        <v>254</v>
      </c>
    </row>
    <row r="3006" spans="2:49" x14ac:dyDescent="0.2">
      <c r="B3006" s="460" t="s">
        <v>3252</v>
      </c>
      <c r="C3006" s="460">
        <v>4121</v>
      </c>
      <c r="D3006" s="460" t="s">
        <v>2283</v>
      </c>
      <c r="E3006" s="460" t="s">
        <v>2277</v>
      </c>
      <c r="F3006" s="460">
        <v>4</v>
      </c>
      <c r="G3006" s="460">
        <v>1</v>
      </c>
      <c r="H3006" s="461" t="s">
        <v>712</v>
      </c>
      <c r="I3006" s="461" t="s">
        <v>713</v>
      </c>
      <c r="J3006" s="461" t="s">
        <v>712</v>
      </c>
      <c r="K3006" s="594"/>
      <c r="L3006" s="594"/>
      <c r="M3006" s="352">
        <v>4000</v>
      </c>
      <c r="N3006" s="352" t="s">
        <v>716</v>
      </c>
      <c r="O3006" s="460">
        <v>4121</v>
      </c>
      <c r="P3006" s="460" t="s">
        <v>772</v>
      </c>
      <c r="Q3006" s="460" t="s">
        <v>2280</v>
      </c>
      <c r="R3006" s="460">
        <v>4121</v>
      </c>
      <c r="S3006" s="460" t="s">
        <v>2277</v>
      </c>
      <c r="T3006" s="462">
        <v>1</v>
      </c>
      <c r="U3006" s="460" t="s">
        <v>2277</v>
      </c>
      <c r="V3006" s="475">
        <v>0</v>
      </c>
      <c r="W3006" s="463" t="s">
        <v>713</v>
      </c>
      <c r="X3006" s="463" t="s">
        <v>713</v>
      </c>
      <c r="Y3006" s="463" t="s">
        <v>713</v>
      </c>
      <c r="Z3006" s="463"/>
      <c r="AA3006" s="463"/>
      <c r="AB3006" s="464">
        <v>435.38613415302689</v>
      </c>
      <c r="AC3006" s="465">
        <v>0.99963144618769917</v>
      </c>
      <c r="AD3006" s="465">
        <v>2.2610798696539431E-3</v>
      </c>
      <c r="AE3006" s="476">
        <v>435.45034310530707</v>
      </c>
      <c r="AF3006" s="467">
        <v>0.99977886771261948</v>
      </c>
      <c r="AG3006" s="468">
        <v>2.2611063831734163E-3</v>
      </c>
      <c r="AH3006" s="218">
        <v>435.38613415302689</v>
      </c>
      <c r="AI3006" s="470">
        <v>0.99963144618769917</v>
      </c>
      <c r="AJ3006" s="471">
        <v>2.2608857438737827E-3</v>
      </c>
      <c r="AK3006" s="218">
        <v>435.38613415302689</v>
      </c>
      <c r="AL3006" s="470">
        <v>0.99963144618769917</v>
      </c>
      <c r="AM3006" s="471">
        <v>2.2608857438737827E-3</v>
      </c>
      <c r="AN3006" s="477">
        <v>435.38613415302689</v>
      </c>
      <c r="AO3006" s="473">
        <v>0.99963144618769917</v>
      </c>
      <c r="AP3006" s="474">
        <v>2.2608970175860953E-3</v>
      </c>
      <c r="AQ3006" s="352"/>
      <c r="AR3006" s="352"/>
      <c r="AS3006" s="352"/>
      <c r="AT3006" s="352"/>
      <c r="AU3006" s="352"/>
      <c r="AV3006" s="352"/>
      <c r="AW3006" s="352" t="s">
        <v>254</v>
      </c>
    </row>
    <row r="3007" spans="2:49" x14ac:dyDescent="0.2">
      <c r="B3007" s="460" t="s">
        <v>3249</v>
      </c>
      <c r="C3007" s="460">
        <v>4121</v>
      </c>
      <c r="D3007" s="460" t="s">
        <v>2284</v>
      </c>
      <c r="E3007" s="460" t="s">
        <v>2265</v>
      </c>
      <c r="F3007" s="460">
        <v>1</v>
      </c>
      <c r="G3007" s="460">
        <v>1</v>
      </c>
      <c r="H3007" s="461" t="s">
        <v>746</v>
      </c>
      <c r="I3007" s="461" t="s">
        <v>762</v>
      </c>
      <c r="J3007" s="461" t="s">
        <v>700</v>
      </c>
      <c r="K3007" s="594"/>
      <c r="L3007" s="594"/>
      <c r="M3007" s="352">
        <v>4000</v>
      </c>
      <c r="N3007" s="352" t="s">
        <v>716</v>
      </c>
      <c r="O3007" s="460">
        <v>4121</v>
      </c>
      <c r="P3007" s="460" t="s">
        <v>772</v>
      </c>
      <c r="Q3007" s="460" t="s">
        <v>2531</v>
      </c>
      <c r="R3007" s="460">
        <v>4121</v>
      </c>
      <c r="S3007" s="460" t="s">
        <v>2265</v>
      </c>
      <c r="T3007" s="462">
        <v>1</v>
      </c>
      <c r="U3007" s="460" t="s">
        <v>2265</v>
      </c>
      <c r="V3007" s="475">
        <v>0</v>
      </c>
      <c r="W3007" s="463" t="s">
        <v>2268</v>
      </c>
      <c r="X3007" s="463" t="s">
        <v>2268</v>
      </c>
      <c r="Y3007" s="463" t="s">
        <v>2290</v>
      </c>
      <c r="Z3007" s="463"/>
      <c r="AA3007" s="463"/>
      <c r="AB3007" s="464">
        <v>0</v>
      </c>
      <c r="AC3007" s="465">
        <v>0</v>
      </c>
      <c r="AD3007" s="465">
        <v>0</v>
      </c>
      <c r="AE3007" s="476">
        <v>0</v>
      </c>
      <c r="AF3007" s="467">
        <v>0</v>
      </c>
      <c r="AG3007" s="468">
        <v>0</v>
      </c>
      <c r="AH3007" s="218">
        <v>0</v>
      </c>
      <c r="AI3007" s="470">
        <v>0</v>
      </c>
      <c r="AJ3007" s="471">
        <v>0</v>
      </c>
      <c r="AK3007" s="218">
        <v>0</v>
      </c>
      <c r="AL3007" s="470">
        <v>0</v>
      </c>
      <c r="AM3007" s="471">
        <v>0</v>
      </c>
      <c r="AN3007" s="477">
        <v>0</v>
      </c>
      <c r="AO3007" s="473">
        <v>0</v>
      </c>
      <c r="AP3007" s="474">
        <v>0</v>
      </c>
      <c r="AQ3007" s="352"/>
      <c r="AR3007" s="352"/>
      <c r="AS3007" s="352"/>
      <c r="AT3007" s="352"/>
      <c r="AU3007" s="352"/>
      <c r="AV3007" s="352"/>
      <c r="AW3007" s="352" t="s">
        <v>254</v>
      </c>
    </row>
    <row r="3008" spans="2:49" x14ac:dyDescent="0.2">
      <c r="B3008" s="460" t="s">
        <v>3250</v>
      </c>
      <c r="C3008" s="460">
        <v>4121</v>
      </c>
      <c r="D3008" s="460" t="s">
        <v>2285</v>
      </c>
      <c r="E3008" s="460" t="s">
        <v>2271</v>
      </c>
      <c r="F3008" s="460">
        <v>2</v>
      </c>
      <c r="G3008" s="460">
        <v>1</v>
      </c>
      <c r="H3008" s="461" t="s">
        <v>746</v>
      </c>
      <c r="I3008" s="461" t="s">
        <v>762</v>
      </c>
      <c r="J3008" s="461" t="s">
        <v>700</v>
      </c>
      <c r="K3008" s="594"/>
      <c r="L3008" s="594"/>
      <c r="M3008" s="352">
        <v>4000</v>
      </c>
      <c r="N3008" s="352" t="s">
        <v>716</v>
      </c>
      <c r="O3008" s="460">
        <v>4121</v>
      </c>
      <c r="P3008" s="460" t="s">
        <v>772</v>
      </c>
      <c r="Q3008" s="460" t="s">
        <v>2531</v>
      </c>
      <c r="R3008" s="460">
        <v>4121</v>
      </c>
      <c r="S3008" s="460" t="s">
        <v>2265</v>
      </c>
      <c r="T3008" s="462">
        <v>1</v>
      </c>
      <c r="U3008" s="460" t="s">
        <v>2271</v>
      </c>
      <c r="V3008" s="475">
        <v>0</v>
      </c>
      <c r="W3008" s="463" t="s">
        <v>2268</v>
      </c>
      <c r="X3008" s="463" t="s">
        <v>2268</v>
      </c>
      <c r="Y3008" s="463" t="s">
        <v>2290</v>
      </c>
      <c r="Z3008" s="463"/>
      <c r="AA3008" s="463"/>
      <c r="AB3008" s="464">
        <v>0</v>
      </c>
      <c r="AC3008" s="465">
        <v>0</v>
      </c>
      <c r="AD3008" s="465">
        <v>0</v>
      </c>
      <c r="AE3008" s="476">
        <v>0</v>
      </c>
      <c r="AF3008" s="467">
        <v>0</v>
      </c>
      <c r="AG3008" s="468">
        <v>0</v>
      </c>
      <c r="AH3008" s="218">
        <v>0</v>
      </c>
      <c r="AI3008" s="470">
        <v>0</v>
      </c>
      <c r="AJ3008" s="471">
        <v>0</v>
      </c>
      <c r="AK3008" s="218">
        <v>0</v>
      </c>
      <c r="AL3008" s="470">
        <v>0</v>
      </c>
      <c r="AM3008" s="471">
        <v>0</v>
      </c>
      <c r="AN3008" s="477">
        <v>0</v>
      </c>
      <c r="AO3008" s="473">
        <v>0</v>
      </c>
      <c r="AP3008" s="474">
        <v>0</v>
      </c>
      <c r="AQ3008" s="352"/>
      <c r="AR3008" s="352"/>
      <c r="AS3008" s="352"/>
      <c r="AT3008" s="352"/>
      <c r="AU3008" s="352"/>
      <c r="AV3008" s="352"/>
      <c r="AW3008" s="352" t="s">
        <v>254</v>
      </c>
    </row>
    <row r="3009" spans="2:49" x14ac:dyDescent="0.2">
      <c r="B3009" s="460" t="s">
        <v>3251</v>
      </c>
      <c r="C3009" s="460">
        <v>4121</v>
      </c>
      <c r="D3009" s="460" t="s">
        <v>2286</v>
      </c>
      <c r="E3009" s="460" t="s">
        <v>2274</v>
      </c>
      <c r="F3009" s="460">
        <v>3</v>
      </c>
      <c r="G3009" s="460">
        <v>1</v>
      </c>
      <c r="H3009" s="461" t="s">
        <v>746</v>
      </c>
      <c r="I3009" s="461" t="s">
        <v>762</v>
      </c>
      <c r="J3009" s="461" t="s">
        <v>700</v>
      </c>
      <c r="K3009" s="594"/>
      <c r="L3009" s="594"/>
      <c r="M3009" s="352">
        <v>4000</v>
      </c>
      <c r="N3009" s="352" t="s">
        <v>716</v>
      </c>
      <c r="O3009" s="460">
        <v>4121</v>
      </c>
      <c r="P3009" s="460" t="s">
        <v>772</v>
      </c>
      <c r="Q3009" s="460" t="s">
        <v>2531</v>
      </c>
      <c r="R3009" s="460">
        <v>4121</v>
      </c>
      <c r="S3009" s="460" t="s">
        <v>2265</v>
      </c>
      <c r="T3009" s="462">
        <v>0.74223365950407583</v>
      </c>
      <c r="U3009" s="460" t="s">
        <v>2274</v>
      </c>
      <c r="V3009" s="475">
        <v>0</v>
      </c>
      <c r="W3009" s="463" t="s">
        <v>2268</v>
      </c>
      <c r="X3009" s="463" t="s">
        <v>2268</v>
      </c>
      <c r="Y3009" s="463" t="s">
        <v>2290</v>
      </c>
      <c r="Z3009" s="463"/>
      <c r="AA3009" s="463"/>
      <c r="AB3009" s="464">
        <v>0</v>
      </c>
      <c r="AC3009" s="465">
        <v>0</v>
      </c>
      <c r="AD3009" s="465">
        <v>0</v>
      </c>
      <c r="AE3009" s="476">
        <v>0</v>
      </c>
      <c r="AF3009" s="467">
        <v>0</v>
      </c>
      <c r="AG3009" s="468">
        <v>0</v>
      </c>
      <c r="AH3009" s="218">
        <v>0</v>
      </c>
      <c r="AI3009" s="470">
        <v>0</v>
      </c>
      <c r="AJ3009" s="471">
        <v>0</v>
      </c>
      <c r="AK3009" s="218">
        <v>0</v>
      </c>
      <c r="AL3009" s="470">
        <v>0</v>
      </c>
      <c r="AM3009" s="471">
        <v>0</v>
      </c>
      <c r="AN3009" s="477">
        <v>0</v>
      </c>
      <c r="AO3009" s="473">
        <v>0</v>
      </c>
      <c r="AP3009" s="474">
        <v>0</v>
      </c>
      <c r="AQ3009" s="352"/>
      <c r="AR3009" s="352"/>
      <c r="AS3009" s="352"/>
      <c r="AT3009" s="352"/>
      <c r="AU3009" s="352"/>
      <c r="AV3009" s="352"/>
      <c r="AW3009" s="352" t="s">
        <v>254</v>
      </c>
    </row>
    <row r="3010" spans="2:49" x14ac:dyDescent="0.2">
      <c r="B3010" s="460" t="s">
        <v>3252</v>
      </c>
      <c r="C3010" s="460">
        <v>4121</v>
      </c>
      <c r="D3010" s="460" t="s">
        <v>2287</v>
      </c>
      <c r="E3010" s="460" t="s">
        <v>2277</v>
      </c>
      <c r="F3010" s="460">
        <v>4</v>
      </c>
      <c r="G3010" s="460">
        <v>1</v>
      </c>
      <c r="H3010" s="461" t="s">
        <v>746</v>
      </c>
      <c r="I3010" s="461" t="s">
        <v>762</v>
      </c>
      <c r="J3010" s="461" t="s">
        <v>700</v>
      </c>
      <c r="K3010" s="594"/>
      <c r="L3010" s="594"/>
      <c r="M3010" s="352">
        <v>4000</v>
      </c>
      <c r="N3010" s="352" t="s">
        <v>716</v>
      </c>
      <c r="O3010" s="460">
        <v>4121</v>
      </c>
      <c r="P3010" s="460" t="s">
        <v>772</v>
      </c>
      <c r="Q3010" s="460" t="s">
        <v>2531</v>
      </c>
      <c r="R3010" s="460">
        <v>4121</v>
      </c>
      <c r="S3010" s="460" t="s">
        <v>2277</v>
      </c>
      <c r="T3010" s="462">
        <v>1</v>
      </c>
      <c r="U3010" s="460" t="s">
        <v>2277</v>
      </c>
      <c r="V3010" s="475">
        <v>0</v>
      </c>
      <c r="W3010" s="463" t="s">
        <v>2268</v>
      </c>
      <c r="X3010" s="463" t="s">
        <v>2268</v>
      </c>
      <c r="Y3010" s="463" t="s">
        <v>2290</v>
      </c>
      <c r="Z3010" s="463"/>
      <c r="AA3010" s="463"/>
      <c r="AB3010" s="464">
        <v>0</v>
      </c>
      <c r="AC3010" s="465">
        <v>0</v>
      </c>
      <c r="AD3010" s="465">
        <v>0</v>
      </c>
      <c r="AE3010" s="476">
        <v>0</v>
      </c>
      <c r="AF3010" s="467">
        <v>0</v>
      </c>
      <c r="AG3010" s="468">
        <v>0</v>
      </c>
      <c r="AH3010" s="218">
        <v>0</v>
      </c>
      <c r="AI3010" s="470">
        <v>0</v>
      </c>
      <c r="AJ3010" s="471">
        <v>0</v>
      </c>
      <c r="AK3010" s="218">
        <v>0</v>
      </c>
      <c r="AL3010" s="470">
        <v>0</v>
      </c>
      <c r="AM3010" s="471">
        <v>0</v>
      </c>
      <c r="AN3010" s="477">
        <v>0</v>
      </c>
      <c r="AO3010" s="473">
        <v>0</v>
      </c>
      <c r="AP3010" s="474">
        <v>0</v>
      </c>
      <c r="AQ3010" s="352"/>
      <c r="AR3010" s="352"/>
      <c r="AS3010" s="352"/>
      <c r="AT3010" s="352"/>
      <c r="AU3010" s="352"/>
      <c r="AV3010" s="352"/>
      <c r="AW3010" s="352" t="s">
        <v>254</v>
      </c>
    </row>
    <row r="3011" spans="2:49" x14ac:dyDescent="0.2">
      <c r="B3011" s="460" t="s">
        <v>3249</v>
      </c>
      <c r="C3011" s="460">
        <v>4121</v>
      </c>
      <c r="D3011" s="460" t="s">
        <v>2288</v>
      </c>
      <c r="E3011" s="460" t="s">
        <v>2265</v>
      </c>
      <c r="F3011" s="460">
        <v>1</v>
      </c>
      <c r="G3011" s="460">
        <v>1</v>
      </c>
      <c r="H3011" s="461" t="s">
        <v>748</v>
      </c>
      <c r="I3011" s="461" t="s">
        <v>765</v>
      </c>
      <c r="J3011" s="461" t="s">
        <v>700</v>
      </c>
      <c r="K3011" s="594"/>
      <c r="L3011" s="594"/>
      <c r="M3011" s="352">
        <v>4000</v>
      </c>
      <c r="N3011" s="352" t="s">
        <v>716</v>
      </c>
      <c r="O3011" s="460">
        <v>4121</v>
      </c>
      <c r="P3011" s="460" t="s">
        <v>772</v>
      </c>
      <c r="Q3011" s="460" t="s">
        <v>2527</v>
      </c>
      <c r="R3011" s="460">
        <v>4121</v>
      </c>
      <c r="S3011" s="460" t="s">
        <v>2265</v>
      </c>
      <c r="T3011" s="462">
        <v>1</v>
      </c>
      <c r="U3011" s="460" t="s">
        <v>2265</v>
      </c>
      <c r="V3011" s="475">
        <v>0</v>
      </c>
      <c r="W3011" s="463" t="s">
        <v>2268</v>
      </c>
      <c r="X3011" s="463" t="s">
        <v>2268</v>
      </c>
      <c r="Y3011" s="463" t="s">
        <v>2267</v>
      </c>
      <c r="Z3011" s="463"/>
      <c r="AA3011" s="463"/>
      <c r="AB3011" s="464">
        <v>0</v>
      </c>
      <c r="AC3011" s="465">
        <v>0</v>
      </c>
      <c r="AD3011" s="465">
        <v>0</v>
      </c>
      <c r="AE3011" s="476">
        <v>0</v>
      </c>
      <c r="AF3011" s="467">
        <v>0</v>
      </c>
      <c r="AG3011" s="468">
        <v>0</v>
      </c>
      <c r="AH3011" s="218">
        <v>0</v>
      </c>
      <c r="AI3011" s="470">
        <v>0</v>
      </c>
      <c r="AJ3011" s="471">
        <v>0</v>
      </c>
      <c r="AK3011" s="218">
        <v>0</v>
      </c>
      <c r="AL3011" s="470">
        <v>0</v>
      </c>
      <c r="AM3011" s="471">
        <v>0</v>
      </c>
      <c r="AN3011" s="477">
        <v>76.180653822658513</v>
      </c>
      <c r="AO3011" s="473">
        <v>9.6967020657639333E-2</v>
      </c>
      <c r="AP3011" s="474">
        <v>4.7308652319211523E-3</v>
      </c>
      <c r="AQ3011" s="352"/>
      <c r="AR3011" s="352"/>
      <c r="AS3011" s="352"/>
      <c r="AT3011" s="352"/>
      <c r="AU3011" s="352"/>
      <c r="AV3011" s="352"/>
      <c r="AW3011" s="352" t="s">
        <v>254</v>
      </c>
    </row>
    <row r="3012" spans="2:49" x14ac:dyDescent="0.2">
      <c r="B3012" s="460" t="s">
        <v>3250</v>
      </c>
      <c r="C3012" s="460">
        <v>4121</v>
      </c>
      <c r="D3012" s="460" t="s">
        <v>2291</v>
      </c>
      <c r="E3012" s="460" t="s">
        <v>2271</v>
      </c>
      <c r="F3012" s="460">
        <v>2</v>
      </c>
      <c r="G3012" s="460">
        <v>1</v>
      </c>
      <c r="H3012" s="461" t="s">
        <v>748</v>
      </c>
      <c r="I3012" s="461" t="s">
        <v>765</v>
      </c>
      <c r="J3012" s="461" t="s">
        <v>700</v>
      </c>
      <c r="K3012" s="594"/>
      <c r="L3012" s="594"/>
      <c r="M3012" s="352">
        <v>4000</v>
      </c>
      <c r="N3012" s="352" t="s">
        <v>716</v>
      </c>
      <c r="O3012" s="460">
        <v>4121</v>
      </c>
      <c r="P3012" s="460" t="s">
        <v>772</v>
      </c>
      <c r="Q3012" s="460" t="s">
        <v>2527</v>
      </c>
      <c r="R3012" s="460">
        <v>4121</v>
      </c>
      <c r="S3012" s="460" t="s">
        <v>2265</v>
      </c>
      <c r="T3012" s="462">
        <v>1</v>
      </c>
      <c r="U3012" s="460" t="s">
        <v>2271</v>
      </c>
      <c r="V3012" s="475">
        <v>0</v>
      </c>
      <c r="W3012" s="463" t="s">
        <v>2268</v>
      </c>
      <c r="X3012" s="463" t="s">
        <v>2268</v>
      </c>
      <c r="Y3012" s="463" t="s">
        <v>2267</v>
      </c>
      <c r="Z3012" s="463"/>
      <c r="AA3012" s="463"/>
      <c r="AB3012" s="464">
        <v>0</v>
      </c>
      <c r="AC3012" s="465">
        <v>0</v>
      </c>
      <c r="AD3012" s="465">
        <v>0</v>
      </c>
      <c r="AE3012" s="476">
        <v>0</v>
      </c>
      <c r="AF3012" s="467">
        <v>0</v>
      </c>
      <c r="AG3012" s="468">
        <v>0</v>
      </c>
      <c r="AH3012" s="218">
        <v>0</v>
      </c>
      <c r="AI3012" s="470">
        <v>0</v>
      </c>
      <c r="AJ3012" s="471">
        <v>0</v>
      </c>
      <c r="AK3012" s="218">
        <v>0</v>
      </c>
      <c r="AL3012" s="470">
        <v>0</v>
      </c>
      <c r="AM3012" s="471">
        <v>0</v>
      </c>
      <c r="AN3012" s="477">
        <v>92.244098534896636</v>
      </c>
      <c r="AO3012" s="473">
        <v>0.11400010584494902</v>
      </c>
      <c r="AP3012" s="474">
        <v>5.8671007764871507E-3</v>
      </c>
      <c r="AQ3012" s="352"/>
      <c r="AR3012" s="352"/>
      <c r="AS3012" s="352"/>
      <c r="AT3012" s="352"/>
      <c r="AU3012" s="352"/>
      <c r="AV3012" s="352"/>
      <c r="AW3012" s="352" t="s">
        <v>254</v>
      </c>
    </row>
    <row r="3013" spans="2:49" x14ac:dyDescent="0.2">
      <c r="B3013" s="460" t="s">
        <v>3251</v>
      </c>
      <c r="C3013" s="460">
        <v>4121</v>
      </c>
      <c r="D3013" s="460" t="s">
        <v>2292</v>
      </c>
      <c r="E3013" s="460" t="s">
        <v>2274</v>
      </c>
      <c r="F3013" s="460">
        <v>3</v>
      </c>
      <c r="G3013" s="460">
        <v>1</v>
      </c>
      <c r="H3013" s="461" t="s">
        <v>748</v>
      </c>
      <c r="I3013" s="461" t="s">
        <v>765</v>
      </c>
      <c r="J3013" s="461" t="s">
        <v>700</v>
      </c>
      <c r="K3013" s="594"/>
      <c r="L3013" s="594"/>
      <c r="M3013" s="352">
        <v>4000</v>
      </c>
      <c r="N3013" s="352" t="s">
        <v>716</v>
      </c>
      <c r="O3013" s="460">
        <v>4121</v>
      </c>
      <c r="P3013" s="460" t="s">
        <v>772</v>
      </c>
      <c r="Q3013" s="460" t="s">
        <v>2527</v>
      </c>
      <c r="R3013" s="460">
        <v>4121</v>
      </c>
      <c r="S3013" s="460" t="s">
        <v>2265</v>
      </c>
      <c r="T3013" s="462">
        <v>0.74223365950407583</v>
      </c>
      <c r="U3013" s="460" t="s">
        <v>2274</v>
      </c>
      <c r="V3013" s="475">
        <v>0</v>
      </c>
      <c r="W3013" s="463" t="s">
        <v>2268</v>
      </c>
      <c r="X3013" s="463" t="s">
        <v>2268</v>
      </c>
      <c r="Y3013" s="463" t="s">
        <v>2267</v>
      </c>
      <c r="Z3013" s="463"/>
      <c r="AA3013" s="463"/>
      <c r="AB3013" s="464">
        <v>0</v>
      </c>
      <c r="AC3013" s="465">
        <v>0</v>
      </c>
      <c r="AD3013" s="465">
        <v>0</v>
      </c>
      <c r="AE3013" s="476">
        <v>0</v>
      </c>
      <c r="AF3013" s="467">
        <v>0</v>
      </c>
      <c r="AG3013" s="468">
        <v>0</v>
      </c>
      <c r="AH3013" s="218">
        <v>0</v>
      </c>
      <c r="AI3013" s="470">
        <v>0</v>
      </c>
      <c r="AJ3013" s="471">
        <v>0</v>
      </c>
      <c r="AK3013" s="218">
        <v>0</v>
      </c>
      <c r="AL3013" s="470">
        <v>0</v>
      </c>
      <c r="AM3013" s="471">
        <v>0</v>
      </c>
      <c r="AN3013" s="477">
        <v>34.455997163855386</v>
      </c>
      <c r="AO3013" s="473">
        <v>8.2337573453803492E-2</v>
      </c>
      <c r="AP3013" s="474">
        <v>4.8512937766567264E-3</v>
      </c>
      <c r="AQ3013" s="352"/>
      <c r="AR3013" s="352"/>
      <c r="AS3013" s="352"/>
      <c r="AT3013" s="352"/>
      <c r="AU3013" s="352"/>
      <c r="AV3013" s="352"/>
      <c r="AW3013" s="352" t="s">
        <v>254</v>
      </c>
    </row>
    <row r="3014" spans="2:49" x14ac:dyDescent="0.2">
      <c r="B3014" s="460" t="s">
        <v>3252</v>
      </c>
      <c r="C3014" s="460">
        <v>4121</v>
      </c>
      <c r="D3014" s="460" t="s">
        <v>2293</v>
      </c>
      <c r="E3014" s="460" t="s">
        <v>2277</v>
      </c>
      <c r="F3014" s="460">
        <v>4</v>
      </c>
      <c r="G3014" s="460">
        <v>1</v>
      </c>
      <c r="H3014" s="461" t="s">
        <v>748</v>
      </c>
      <c r="I3014" s="461" t="s">
        <v>765</v>
      </c>
      <c r="J3014" s="461" t="s">
        <v>700</v>
      </c>
      <c r="K3014" s="594"/>
      <c r="L3014" s="594"/>
      <c r="M3014" s="352">
        <v>4000</v>
      </c>
      <c r="N3014" s="352" t="s">
        <v>716</v>
      </c>
      <c r="O3014" s="460">
        <v>4121</v>
      </c>
      <c r="P3014" s="460" t="s">
        <v>772</v>
      </c>
      <c r="Q3014" s="460" t="s">
        <v>2527</v>
      </c>
      <c r="R3014" s="460">
        <v>4121</v>
      </c>
      <c r="S3014" s="460" t="s">
        <v>2277</v>
      </c>
      <c r="T3014" s="462">
        <v>1</v>
      </c>
      <c r="U3014" s="460" t="s">
        <v>2277</v>
      </c>
      <c r="V3014" s="475">
        <v>0</v>
      </c>
      <c r="W3014" s="463" t="s">
        <v>2268</v>
      </c>
      <c r="X3014" s="463" t="s">
        <v>2268</v>
      </c>
      <c r="Y3014" s="463" t="s">
        <v>2278</v>
      </c>
      <c r="Z3014" s="463"/>
      <c r="AA3014" s="463"/>
      <c r="AB3014" s="464">
        <v>0</v>
      </c>
      <c r="AC3014" s="465">
        <v>0</v>
      </c>
      <c r="AD3014" s="465">
        <v>0</v>
      </c>
      <c r="AE3014" s="476">
        <v>0</v>
      </c>
      <c r="AF3014" s="467">
        <v>0</v>
      </c>
      <c r="AG3014" s="468">
        <v>0</v>
      </c>
      <c r="AH3014" s="218">
        <v>0</v>
      </c>
      <c r="AI3014" s="470">
        <v>0</v>
      </c>
      <c r="AJ3014" s="471">
        <v>0</v>
      </c>
      <c r="AK3014" s="218">
        <v>0</v>
      </c>
      <c r="AL3014" s="470">
        <v>0</v>
      </c>
      <c r="AM3014" s="471">
        <v>0</v>
      </c>
      <c r="AN3014" s="477">
        <v>0.16052238070040223</v>
      </c>
      <c r="AO3014" s="473">
        <v>3.6855381230086864E-4</v>
      </c>
      <c r="AP3014" s="474">
        <v>3.8760004247726217E-3</v>
      </c>
      <c r="AQ3014" s="352"/>
      <c r="AR3014" s="352"/>
      <c r="AS3014" s="352"/>
      <c r="AT3014" s="352"/>
      <c r="AU3014" s="352"/>
      <c r="AV3014" s="352"/>
      <c r="AW3014" s="352" t="s">
        <v>254</v>
      </c>
    </row>
    <row r="3015" spans="2:49" x14ac:dyDescent="0.2">
      <c r="B3015" s="460" t="s">
        <v>3253</v>
      </c>
      <c r="C3015" s="460">
        <v>4121</v>
      </c>
      <c r="D3015" s="460" t="s">
        <v>2295</v>
      </c>
      <c r="E3015" s="460" t="s">
        <v>2296</v>
      </c>
      <c r="F3015" s="460">
        <v>1</v>
      </c>
      <c r="G3015" s="460">
        <v>2</v>
      </c>
      <c r="H3015" s="461" t="s">
        <v>700</v>
      </c>
      <c r="I3015" s="461" t="s">
        <v>872</v>
      </c>
      <c r="J3015" s="461" t="s">
        <v>700</v>
      </c>
      <c r="K3015" s="594"/>
      <c r="L3015" s="594"/>
      <c r="M3015" s="352">
        <v>4000</v>
      </c>
      <c r="N3015" s="352" t="s">
        <v>716</v>
      </c>
      <c r="O3015" s="460">
        <v>4121</v>
      </c>
      <c r="P3015" s="460" t="s">
        <v>772</v>
      </c>
      <c r="Q3015" s="460" t="s">
        <v>2527</v>
      </c>
      <c r="R3015" s="460">
        <v>4121</v>
      </c>
      <c r="S3015" s="460" t="s">
        <v>2296</v>
      </c>
      <c r="T3015" s="462">
        <v>1</v>
      </c>
      <c r="U3015" s="460" t="s">
        <v>2296</v>
      </c>
      <c r="V3015" s="475">
        <v>0</v>
      </c>
      <c r="W3015" s="463" t="s">
        <v>2267</v>
      </c>
      <c r="X3015" s="463" t="s">
        <v>2267</v>
      </c>
      <c r="Y3015" s="463" t="s">
        <v>2268</v>
      </c>
      <c r="Z3015" s="463"/>
      <c r="AA3015" s="463"/>
      <c r="AB3015" s="464">
        <v>12.670311737568515</v>
      </c>
      <c r="AC3015" s="465">
        <v>5.6231163276908858E-2</v>
      </c>
      <c r="AD3015" s="465">
        <v>7.4012012088112632E-4</v>
      </c>
      <c r="AE3015" s="476">
        <v>12.670311737568515</v>
      </c>
      <c r="AF3015" s="467">
        <v>5.6231163276908858E-2</v>
      </c>
      <c r="AG3015" s="468">
        <v>8.2268383183764981E-4</v>
      </c>
      <c r="AH3015" s="218">
        <v>12.670311737568515</v>
      </c>
      <c r="AI3015" s="470">
        <v>5.6231163276908858E-2</v>
      </c>
      <c r="AJ3015" s="471">
        <v>7.5582645668282862E-4</v>
      </c>
      <c r="AK3015" s="218">
        <v>12.670311737568515</v>
      </c>
      <c r="AL3015" s="470">
        <v>5.6231163276908858E-2</v>
      </c>
      <c r="AM3015" s="471">
        <v>7.5582645668282862E-4</v>
      </c>
      <c r="AN3015" s="477">
        <v>0</v>
      </c>
      <c r="AO3015" s="473">
        <v>0</v>
      </c>
      <c r="AP3015" s="474">
        <v>0</v>
      </c>
      <c r="AQ3015" s="352"/>
      <c r="AR3015" s="352"/>
      <c r="AS3015" s="352"/>
      <c r="AT3015" s="352"/>
      <c r="AU3015" s="352"/>
      <c r="AV3015" s="352"/>
      <c r="AW3015" s="352" t="s">
        <v>254</v>
      </c>
    </row>
    <row r="3016" spans="2:49" x14ac:dyDescent="0.2">
      <c r="B3016" s="460" t="s">
        <v>3254</v>
      </c>
      <c r="C3016" s="460">
        <v>4121</v>
      </c>
      <c r="D3016" s="460" t="s">
        <v>2298</v>
      </c>
      <c r="E3016" s="460" t="s">
        <v>2299</v>
      </c>
      <c r="F3016" s="460">
        <v>2</v>
      </c>
      <c r="G3016" s="460">
        <v>2</v>
      </c>
      <c r="H3016" s="461" t="s">
        <v>700</v>
      </c>
      <c r="I3016" s="461" t="s">
        <v>872</v>
      </c>
      <c r="J3016" s="461" t="s">
        <v>700</v>
      </c>
      <c r="K3016" s="594"/>
      <c r="L3016" s="594"/>
      <c r="M3016" s="352">
        <v>4000</v>
      </c>
      <c r="N3016" s="352" t="s">
        <v>716</v>
      </c>
      <c r="O3016" s="460">
        <v>4121</v>
      </c>
      <c r="P3016" s="460" t="s">
        <v>772</v>
      </c>
      <c r="Q3016" s="460" t="s">
        <v>2527</v>
      </c>
      <c r="R3016" s="460">
        <v>4121</v>
      </c>
      <c r="S3016" s="460" t="s">
        <v>2296</v>
      </c>
      <c r="T3016" s="462">
        <v>0.55517361979372948</v>
      </c>
      <c r="U3016" s="460" t="s">
        <v>2299</v>
      </c>
      <c r="V3016" s="475">
        <v>0</v>
      </c>
      <c r="W3016" s="463" t="s">
        <v>2503</v>
      </c>
      <c r="X3016" s="463" t="s">
        <v>2267</v>
      </c>
      <c r="Y3016" s="463" t="s">
        <v>2268</v>
      </c>
      <c r="Z3016" s="463"/>
      <c r="AA3016" s="463"/>
      <c r="AB3016" s="464">
        <v>1.8351148426287329</v>
      </c>
      <c r="AC3016" s="465">
        <v>5.5482357274700004E-3</v>
      </c>
      <c r="AD3016" s="465">
        <v>5.5526800997298266E-4</v>
      </c>
      <c r="AE3016" s="476">
        <v>1.1010689055772398</v>
      </c>
      <c r="AF3016" s="467">
        <v>3.328941436482E-3</v>
      </c>
      <c r="AG3016" s="468">
        <v>3.7387073423152925E-4</v>
      </c>
      <c r="AH3016" s="218">
        <v>10.325574697085907</v>
      </c>
      <c r="AI3016" s="470">
        <v>3.1218058461653722E-2</v>
      </c>
      <c r="AJ3016" s="471">
        <v>2.4315445838127506E-3</v>
      </c>
      <c r="AK3016" s="218">
        <v>10.325574697085907</v>
      </c>
      <c r="AL3016" s="470">
        <v>3.1218058461653722E-2</v>
      </c>
      <c r="AM3016" s="471">
        <v>2.4315445838127506E-3</v>
      </c>
      <c r="AN3016" s="477">
        <v>0</v>
      </c>
      <c r="AO3016" s="473">
        <v>0</v>
      </c>
      <c r="AP3016" s="474">
        <v>0</v>
      </c>
      <c r="AQ3016" s="352"/>
      <c r="AR3016" s="352"/>
      <c r="AS3016" s="352"/>
      <c r="AT3016" s="352"/>
      <c r="AU3016" s="352"/>
      <c r="AV3016" s="352"/>
      <c r="AW3016" s="352" t="s">
        <v>254</v>
      </c>
    </row>
    <row r="3017" spans="2:49" x14ac:dyDescent="0.2">
      <c r="B3017" s="460" t="s">
        <v>3255</v>
      </c>
      <c r="C3017" s="460">
        <v>4121</v>
      </c>
      <c r="D3017" s="460" t="s">
        <v>2301</v>
      </c>
      <c r="E3017" s="460" t="s">
        <v>2302</v>
      </c>
      <c r="F3017" s="460">
        <v>3</v>
      </c>
      <c r="G3017" s="460">
        <v>2</v>
      </c>
      <c r="H3017" s="461" t="s">
        <v>700</v>
      </c>
      <c r="I3017" s="461" t="s">
        <v>872</v>
      </c>
      <c r="J3017" s="461" t="s">
        <v>700</v>
      </c>
      <c r="K3017" s="594"/>
      <c r="L3017" s="594"/>
      <c r="M3017" s="352">
        <v>4000</v>
      </c>
      <c r="N3017" s="352" t="s">
        <v>716</v>
      </c>
      <c r="O3017" s="460">
        <v>4121</v>
      </c>
      <c r="P3017" s="460" t="s">
        <v>772</v>
      </c>
      <c r="Q3017" s="460" t="s">
        <v>2527</v>
      </c>
      <c r="R3017" s="460">
        <v>4121</v>
      </c>
      <c r="S3017" s="460" t="s">
        <v>2296</v>
      </c>
      <c r="T3017" s="462">
        <v>0.28481449642268464</v>
      </c>
      <c r="U3017" s="460" t="s">
        <v>2302</v>
      </c>
      <c r="V3017" s="475">
        <v>0</v>
      </c>
      <c r="W3017" s="463" t="s">
        <v>2503</v>
      </c>
      <c r="X3017" s="463" t="s">
        <v>2267</v>
      </c>
      <c r="Y3017" s="463" t="s">
        <v>2268</v>
      </c>
      <c r="Z3017" s="463"/>
      <c r="AA3017" s="463"/>
      <c r="AB3017" s="464">
        <v>0.25326876056862285</v>
      </c>
      <c r="AC3017" s="465">
        <v>9.7370757373728221E-3</v>
      </c>
      <c r="AD3017" s="465">
        <v>4.9264265430629681E-4</v>
      </c>
      <c r="AE3017" s="476">
        <v>0.15196125634117372</v>
      </c>
      <c r="AF3017" s="467">
        <v>5.8422454424236934E-3</v>
      </c>
      <c r="AG3017" s="468">
        <v>3.335501530661786E-4</v>
      </c>
      <c r="AH3017" s="218">
        <v>0.41657407165389876</v>
      </c>
      <c r="AI3017" s="470">
        <v>1.6015450451974552E-2</v>
      </c>
      <c r="AJ3017" s="471">
        <v>4.324534263552049E-4</v>
      </c>
      <c r="AK3017" s="218">
        <v>0.41657407165389876</v>
      </c>
      <c r="AL3017" s="470">
        <v>1.6015450451974552E-2</v>
      </c>
      <c r="AM3017" s="471">
        <v>4.324534263552049E-4</v>
      </c>
      <c r="AN3017" s="477">
        <v>0</v>
      </c>
      <c r="AO3017" s="473">
        <v>0</v>
      </c>
      <c r="AP3017" s="474">
        <v>0</v>
      </c>
      <c r="AQ3017" s="352"/>
      <c r="AR3017" s="352"/>
      <c r="AS3017" s="352"/>
      <c r="AT3017" s="352"/>
      <c r="AU3017" s="352"/>
      <c r="AV3017" s="352"/>
      <c r="AW3017" s="352" t="s">
        <v>254</v>
      </c>
    </row>
    <row r="3018" spans="2:49" x14ac:dyDescent="0.2">
      <c r="B3018" s="460" t="s">
        <v>3256</v>
      </c>
      <c r="C3018" s="460">
        <v>4121</v>
      </c>
      <c r="D3018" s="460" t="s">
        <v>2304</v>
      </c>
      <c r="E3018" s="460" t="s">
        <v>2305</v>
      </c>
      <c r="F3018" s="460">
        <v>4</v>
      </c>
      <c r="G3018" s="460">
        <v>2</v>
      </c>
      <c r="H3018" s="461" t="s">
        <v>700</v>
      </c>
      <c r="I3018" s="461" t="s">
        <v>872</v>
      </c>
      <c r="J3018" s="461" t="s">
        <v>700</v>
      </c>
      <c r="K3018" s="594"/>
      <c r="L3018" s="594"/>
      <c r="M3018" s="352">
        <v>4000</v>
      </c>
      <c r="N3018" s="352" t="s">
        <v>716</v>
      </c>
      <c r="O3018" s="460">
        <v>4121</v>
      </c>
      <c r="P3018" s="460" t="s">
        <v>772</v>
      </c>
      <c r="Q3018" s="460" t="s">
        <v>2527</v>
      </c>
      <c r="R3018" s="460">
        <v>4121</v>
      </c>
      <c r="S3018" s="460" t="s">
        <v>2305</v>
      </c>
      <c r="T3018" s="462">
        <v>1</v>
      </c>
      <c r="U3018" s="460" t="s">
        <v>2305</v>
      </c>
      <c r="V3018" s="475">
        <v>0</v>
      </c>
      <c r="W3018" s="463" t="s">
        <v>2503</v>
      </c>
      <c r="X3018" s="463" t="s">
        <v>2278</v>
      </c>
      <c r="Y3018" s="463" t="s">
        <v>2268</v>
      </c>
      <c r="Z3018" s="463"/>
      <c r="AA3018" s="463"/>
      <c r="AB3018" s="464">
        <v>0</v>
      </c>
      <c r="AC3018" s="465">
        <v>0</v>
      </c>
      <c r="AD3018" s="465">
        <v>0</v>
      </c>
      <c r="AE3018" s="476">
        <v>0</v>
      </c>
      <c r="AF3018" s="467">
        <v>0</v>
      </c>
      <c r="AG3018" s="468">
        <v>0</v>
      </c>
      <c r="AH3018" s="218">
        <v>0</v>
      </c>
      <c r="AI3018" s="470">
        <v>0</v>
      </c>
      <c r="AJ3018" s="471">
        <v>0</v>
      </c>
      <c r="AK3018" s="218">
        <v>0</v>
      </c>
      <c r="AL3018" s="470">
        <v>0</v>
      </c>
      <c r="AM3018" s="471">
        <v>0</v>
      </c>
      <c r="AN3018" s="477">
        <v>0</v>
      </c>
      <c r="AO3018" s="473">
        <v>0</v>
      </c>
      <c r="AP3018" s="474">
        <v>0</v>
      </c>
      <c r="AQ3018" s="352"/>
      <c r="AR3018" s="352"/>
      <c r="AS3018" s="352"/>
      <c r="AT3018" s="352"/>
      <c r="AU3018" s="352"/>
      <c r="AV3018" s="352"/>
      <c r="AW3018" s="352" t="s">
        <v>254</v>
      </c>
    </row>
    <row r="3019" spans="2:49" x14ac:dyDescent="0.2">
      <c r="B3019" s="460" t="s">
        <v>3253</v>
      </c>
      <c r="C3019" s="460">
        <v>4121</v>
      </c>
      <c r="D3019" s="460" t="s">
        <v>2306</v>
      </c>
      <c r="E3019" s="460" t="s">
        <v>2296</v>
      </c>
      <c r="F3019" s="460">
        <v>1</v>
      </c>
      <c r="G3019" s="460">
        <v>2</v>
      </c>
      <c r="H3019" s="461" t="s">
        <v>712</v>
      </c>
      <c r="I3019" s="461" t="s">
        <v>713</v>
      </c>
      <c r="J3019" s="461" t="s">
        <v>712</v>
      </c>
      <c r="K3019" s="594"/>
      <c r="L3019" s="594"/>
      <c r="M3019" s="352">
        <v>4000</v>
      </c>
      <c r="N3019" s="352" t="s">
        <v>716</v>
      </c>
      <c r="O3019" s="460">
        <v>4121</v>
      </c>
      <c r="P3019" s="460" t="s">
        <v>772</v>
      </c>
      <c r="Q3019" s="460" t="s">
        <v>2280</v>
      </c>
      <c r="R3019" s="460">
        <v>4121</v>
      </c>
      <c r="S3019" s="460" t="s">
        <v>2296</v>
      </c>
      <c r="T3019" s="462">
        <v>1</v>
      </c>
      <c r="U3019" s="460" t="s">
        <v>2296</v>
      </c>
      <c r="V3019" s="475">
        <v>0</v>
      </c>
      <c r="W3019" s="463" t="s">
        <v>713</v>
      </c>
      <c r="X3019" s="463" t="s">
        <v>713</v>
      </c>
      <c r="Y3019" s="463" t="s">
        <v>713</v>
      </c>
      <c r="Z3019" s="463"/>
      <c r="AA3019" s="463"/>
      <c r="AB3019" s="464">
        <v>212.65513058298075</v>
      </c>
      <c r="AC3019" s="465">
        <v>0.9437688367230912</v>
      </c>
      <c r="AD3019" s="465">
        <v>1.8392493075051219E-3</v>
      </c>
      <c r="AE3019" s="476">
        <v>212.65513058298075</v>
      </c>
      <c r="AF3019" s="467">
        <v>0.9437688367230912</v>
      </c>
      <c r="AG3019" s="468">
        <v>1.8123190367253122E-3</v>
      </c>
      <c r="AH3019" s="218">
        <v>212.65513058298075</v>
      </c>
      <c r="AI3019" s="470">
        <v>0.9437688367230912</v>
      </c>
      <c r="AJ3019" s="471">
        <v>1.8336076200991004E-3</v>
      </c>
      <c r="AK3019" s="218">
        <v>212.65513058298075</v>
      </c>
      <c r="AL3019" s="470">
        <v>0.9437688367230912</v>
      </c>
      <c r="AM3019" s="471">
        <v>1.8336076200991004E-3</v>
      </c>
      <c r="AN3019" s="477">
        <v>212.65513058298075</v>
      </c>
      <c r="AO3019" s="473">
        <v>0.9437688367230912</v>
      </c>
      <c r="AP3019" s="474">
        <v>1.8331576275473157E-3</v>
      </c>
      <c r="AQ3019" s="352"/>
      <c r="AR3019" s="352"/>
      <c r="AS3019" s="352"/>
      <c r="AT3019" s="352"/>
      <c r="AU3019" s="352"/>
      <c r="AV3019" s="352"/>
      <c r="AW3019" s="352" t="s">
        <v>254</v>
      </c>
    </row>
    <row r="3020" spans="2:49" x14ac:dyDescent="0.2">
      <c r="B3020" s="460" t="s">
        <v>3254</v>
      </c>
      <c r="C3020" s="460">
        <v>4121</v>
      </c>
      <c r="D3020" s="460" t="s">
        <v>2307</v>
      </c>
      <c r="E3020" s="460" t="s">
        <v>2299</v>
      </c>
      <c r="F3020" s="460">
        <v>2</v>
      </c>
      <c r="G3020" s="460">
        <v>2</v>
      </c>
      <c r="H3020" s="461" t="s">
        <v>712</v>
      </c>
      <c r="I3020" s="461" t="s">
        <v>713</v>
      </c>
      <c r="J3020" s="461" t="s">
        <v>712</v>
      </c>
      <c r="K3020" s="594"/>
      <c r="L3020" s="594"/>
      <c r="M3020" s="352">
        <v>4000</v>
      </c>
      <c r="N3020" s="352" t="s">
        <v>716</v>
      </c>
      <c r="O3020" s="460">
        <v>4121</v>
      </c>
      <c r="P3020" s="460" t="s">
        <v>772</v>
      </c>
      <c r="Q3020" s="460" t="s">
        <v>2280</v>
      </c>
      <c r="R3020" s="460">
        <v>4121</v>
      </c>
      <c r="S3020" s="460" t="s">
        <v>2296</v>
      </c>
      <c r="T3020" s="462">
        <v>0.55517361979372948</v>
      </c>
      <c r="U3020" s="460" t="s">
        <v>2299</v>
      </c>
      <c r="V3020" s="475">
        <v>0</v>
      </c>
      <c r="W3020" s="463" t="s">
        <v>713</v>
      </c>
      <c r="X3020" s="463" t="s">
        <v>713</v>
      </c>
      <c r="Y3020" s="463" t="s">
        <v>713</v>
      </c>
      <c r="Z3020" s="463"/>
      <c r="AA3020" s="463"/>
      <c r="AB3020" s="464">
        <v>328.92135131522622</v>
      </c>
      <c r="AC3020" s="465">
        <v>0.99445176427253001</v>
      </c>
      <c r="AD3020" s="465">
        <v>3.8045518740633835E-3</v>
      </c>
      <c r="AE3020" s="476">
        <v>329.65539725227774</v>
      </c>
      <c r="AF3020" s="467">
        <v>0.99667105856351801</v>
      </c>
      <c r="AG3020" s="468">
        <v>3.7972365263607556E-3</v>
      </c>
      <c r="AH3020" s="218">
        <v>320.43089146076903</v>
      </c>
      <c r="AI3020" s="470">
        <v>0.96878194153834629</v>
      </c>
      <c r="AJ3020" s="471">
        <v>3.7541366866947084E-3</v>
      </c>
      <c r="AK3020" s="218">
        <v>320.43089146076903</v>
      </c>
      <c r="AL3020" s="470">
        <v>0.96878194153834629</v>
      </c>
      <c r="AM3020" s="471">
        <v>3.7541366866947084E-3</v>
      </c>
      <c r="AN3020" s="477">
        <v>320.43089146076903</v>
      </c>
      <c r="AO3020" s="473">
        <v>0.96878194153834629</v>
      </c>
      <c r="AP3020" s="474">
        <v>3.7536627843735557E-3</v>
      </c>
      <c r="AQ3020" s="352"/>
      <c r="AR3020" s="352"/>
      <c r="AS3020" s="352"/>
      <c r="AT3020" s="352"/>
      <c r="AU3020" s="352"/>
      <c r="AV3020" s="352"/>
      <c r="AW3020" s="352" t="s">
        <v>254</v>
      </c>
    </row>
    <row r="3021" spans="2:49" x14ac:dyDescent="0.2">
      <c r="B3021" s="460" t="s">
        <v>3255</v>
      </c>
      <c r="C3021" s="460">
        <v>4121</v>
      </c>
      <c r="D3021" s="460" t="s">
        <v>2308</v>
      </c>
      <c r="E3021" s="460" t="s">
        <v>2302</v>
      </c>
      <c r="F3021" s="460">
        <v>3</v>
      </c>
      <c r="G3021" s="460">
        <v>2</v>
      </c>
      <c r="H3021" s="461" t="s">
        <v>712</v>
      </c>
      <c r="I3021" s="461" t="s">
        <v>713</v>
      </c>
      <c r="J3021" s="461" t="s">
        <v>712</v>
      </c>
      <c r="K3021" s="594"/>
      <c r="L3021" s="594"/>
      <c r="M3021" s="352">
        <v>4000</v>
      </c>
      <c r="N3021" s="352" t="s">
        <v>716</v>
      </c>
      <c r="O3021" s="460">
        <v>4121</v>
      </c>
      <c r="P3021" s="460" t="s">
        <v>772</v>
      </c>
      <c r="Q3021" s="460" t="s">
        <v>2280</v>
      </c>
      <c r="R3021" s="460">
        <v>4121</v>
      </c>
      <c r="S3021" s="460" t="s">
        <v>2296</v>
      </c>
      <c r="T3021" s="462">
        <v>0.28481449642268464</v>
      </c>
      <c r="U3021" s="460" t="s">
        <v>2302</v>
      </c>
      <c r="V3021" s="475">
        <v>0</v>
      </c>
      <c r="W3021" s="463" t="s">
        <v>713</v>
      </c>
      <c r="X3021" s="463" t="s">
        <v>713</v>
      </c>
      <c r="Y3021" s="463" t="s">
        <v>713</v>
      </c>
      <c r="Z3021" s="463"/>
      <c r="AA3021" s="463"/>
      <c r="AB3021" s="464">
        <v>25.757493340883176</v>
      </c>
      <c r="AC3021" s="465">
        <v>0.99026292426262719</v>
      </c>
      <c r="AD3021" s="465">
        <v>7.492211158842693E-4</v>
      </c>
      <c r="AE3021" s="476">
        <v>25.858800845110625</v>
      </c>
      <c r="AF3021" s="467">
        <v>0.99415775455757627</v>
      </c>
      <c r="AG3021" s="468">
        <v>7.5088984318794571E-4</v>
      </c>
      <c r="AH3021" s="218">
        <v>25.594188029797902</v>
      </c>
      <c r="AI3021" s="470">
        <v>0.9839845495480255</v>
      </c>
      <c r="AJ3021" s="471">
        <v>7.5432660949996887E-4</v>
      </c>
      <c r="AK3021" s="218">
        <v>25.594188029797902</v>
      </c>
      <c r="AL3021" s="470">
        <v>0.9839845495480255</v>
      </c>
      <c r="AM3021" s="471">
        <v>7.5432660949996887E-4</v>
      </c>
      <c r="AN3021" s="477">
        <v>25.594188029797902</v>
      </c>
      <c r="AO3021" s="473">
        <v>0.9839845495480255</v>
      </c>
      <c r="AP3021" s="474">
        <v>7.5498253837464745E-4</v>
      </c>
      <c r="AQ3021" s="352"/>
      <c r="AR3021" s="352"/>
      <c r="AS3021" s="352"/>
      <c r="AT3021" s="352"/>
      <c r="AU3021" s="352"/>
      <c r="AV3021" s="352"/>
      <c r="AW3021" s="352" t="s">
        <v>254</v>
      </c>
    </row>
    <row r="3022" spans="2:49" x14ac:dyDescent="0.2">
      <c r="B3022" s="460" t="s">
        <v>3256</v>
      </c>
      <c r="C3022" s="460">
        <v>4121</v>
      </c>
      <c r="D3022" s="460" t="s">
        <v>2309</v>
      </c>
      <c r="E3022" s="460" t="s">
        <v>2305</v>
      </c>
      <c r="F3022" s="460">
        <v>4</v>
      </c>
      <c r="G3022" s="460">
        <v>2</v>
      </c>
      <c r="H3022" s="461" t="s">
        <v>712</v>
      </c>
      <c r="I3022" s="461" t="s">
        <v>713</v>
      </c>
      <c r="J3022" s="461" t="s">
        <v>712</v>
      </c>
      <c r="K3022" s="594"/>
      <c r="L3022" s="594"/>
      <c r="M3022" s="352">
        <v>4000</v>
      </c>
      <c r="N3022" s="352" t="s">
        <v>716</v>
      </c>
      <c r="O3022" s="460">
        <v>4121</v>
      </c>
      <c r="P3022" s="460" t="s">
        <v>772</v>
      </c>
      <c r="Q3022" s="460" t="s">
        <v>2280</v>
      </c>
      <c r="R3022" s="460">
        <v>4121</v>
      </c>
      <c r="S3022" s="460" t="s">
        <v>2305</v>
      </c>
      <c r="T3022" s="462">
        <v>1</v>
      </c>
      <c r="U3022" s="460" t="s">
        <v>2305</v>
      </c>
      <c r="V3022" s="475">
        <v>0</v>
      </c>
      <c r="W3022" s="463" t="s">
        <v>713</v>
      </c>
      <c r="X3022" s="463" t="s">
        <v>713</v>
      </c>
      <c r="Y3022" s="463" t="s">
        <v>713</v>
      </c>
      <c r="Z3022" s="463"/>
      <c r="AA3022" s="463"/>
      <c r="AB3022" s="464">
        <v>29.252976085845145</v>
      </c>
      <c r="AC3022" s="465">
        <v>1</v>
      </c>
      <c r="AD3022" s="465">
        <v>7.4711815465032668E-4</v>
      </c>
      <c r="AE3022" s="476">
        <v>29.252976085845145</v>
      </c>
      <c r="AF3022" s="467">
        <v>1</v>
      </c>
      <c r="AG3022" s="468">
        <v>7.4709418979958535E-4</v>
      </c>
      <c r="AH3022" s="218">
        <v>29.252976085845145</v>
      </c>
      <c r="AI3022" s="470">
        <v>1</v>
      </c>
      <c r="AJ3022" s="471">
        <v>7.4709509417949236E-4</v>
      </c>
      <c r="AK3022" s="218">
        <v>29.252976085845145</v>
      </c>
      <c r="AL3022" s="470">
        <v>1</v>
      </c>
      <c r="AM3022" s="471">
        <v>7.4709509417949236E-4</v>
      </c>
      <c r="AN3022" s="477">
        <v>29.252976085845145</v>
      </c>
      <c r="AO3022" s="473">
        <v>1</v>
      </c>
      <c r="AP3022" s="474">
        <v>7.4709600802536698E-4</v>
      </c>
      <c r="AQ3022" s="352"/>
      <c r="AR3022" s="352"/>
      <c r="AS3022" s="352"/>
      <c r="AT3022" s="352"/>
      <c r="AU3022" s="352"/>
      <c r="AV3022" s="352"/>
      <c r="AW3022" s="352" t="s">
        <v>254</v>
      </c>
    </row>
    <row r="3023" spans="2:49" x14ac:dyDescent="0.2">
      <c r="B3023" s="460" t="s">
        <v>3253</v>
      </c>
      <c r="C3023" s="460">
        <v>4121</v>
      </c>
      <c r="D3023" s="460" t="s">
        <v>2310</v>
      </c>
      <c r="E3023" s="460" t="s">
        <v>2296</v>
      </c>
      <c r="F3023" s="460">
        <v>1</v>
      </c>
      <c r="G3023" s="460">
        <v>2</v>
      </c>
      <c r="H3023" s="461" t="s">
        <v>746</v>
      </c>
      <c r="I3023" s="461" t="s">
        <v>762</v>
      </c>
      <c r="J3023" s="461" t="s">
        <v>700</v>
      </c>
      <c r="K3023" s="594"/>
      <c r="L3023" s="594"/>
      <c r="M3023" s="352">
        <v>4000</v>
      </c>
      <c r="N3023" s="352" t="s">
        <v>716</v>
      </c>
      <c r="O3023" s="460">
        <v>4121</v>
      </c>
      <c r="P3023" s="460" t="s">
        <v>772</v>
      </c>
      <c r="Q3023" s="460" t="s">
        <v>2531</v>
      </c>
      <c r="R3023" s="460">
        <v>4121</v>
      </c>
      <c r="S3023" s="460" t="s">
        <v>2296</v>
      </c>
      <c r="T3023" s="462">
        <v>1</v>
      </c>
      <c r="U3023" s="460" t="s">
        <v>2296</v>
      </c>
      <c r="V3023" s="475">
        <v>0</v>
      </c>
      <c r="W3023" s="463" t="s">
        <v>2268</v>
      </c>
      <c r="X3023" s="463" t="s">
        <v>2268</v>
      </c>
      <c r="Y3023" s="463" t="s">
        <v>2290</v>
      </c>
      <c r="Z3023" s="463"/>
      <c r="AA3023" s="463"/>
      <c r="AB3023" s="464">
        <v>0</v>
      </c>
      <c r="AC3023" s="465">
        <v>0</v>
      </c>
      <c r="AD3023" s="465">
        <v>0</v>
      </c>
      <c r="AE3023" s="476">
        <v>0</v>
      </c>
      <c r="AF3023" s="467">
        <v>0</v>
      </c>
      <c r="AG3023" s="468">
        <v>0</v>
      </c>
      <c r="AH3023" s="218">
        <v>0</v>
      </c>
      <c r="AI3023" s="470">
        <v>0</v>
      </c>
      <c r="AJ3023" s="471">
        <v>0</v>
      </c>
      <c r="AK3023" s="218">
        <v>0</v>
      </c>
      <c r="AL3023" s="470">
        <v>0</v>
      </c>
      <c r="AM3023" s="471">
        <v>0</v>
      </c>
      <c r="AN3023" s="477">
        <v>0</v>
      </c>
      <c r="AO3023" s="473">
        <v>0</v>
      </c>
      <c r="AP3023" s="474">
        <v>0</v>
      </c>
      <c r="AQ3023" s="352"/>
      <c r="AR3023" s="352"/>
      <c r="AS3023" s="352"/>
      <c r="AT3023" s="352"/>
      <c r="AU3023" s="352"/>
      <c r="AV3023" s="352"/>
      <c r="AW3023" s="352" t="s">
        <v>254</v>
      </c>
    </row>
    <row r="3024" spans="2:49" x14ac:dyDescent="0.2">
      <c r="B3024" s="460" t="s">
        <v>3254</v>
      </c>
      <c r="C3024" s="460">
        <v>4121</v>
      </c>
      <c r="D3024" s="460" t="s">
        <v>2311</v>
      </c>
      <c r="E3024" s="460" t="s">
        <v>2299</v>
      </c>
      <c r="F3024" s="460">
        <v>2</v>
      </c>
      <c r="G3024" s="460">
        <v>2</v>
      </c>
      <c r="H3024" s="461" t="s">
        <v>746</v>
      </c>
      <c r="I3024" s="461" t="s">
        <v>762</v>
      </c>
      <c r="J3024" s="461" t="s">
        <v>700</v>
      </c>
      <c r="K3024" s="594"/>
      <c r="L3024" s="594"/>
      <c r="M3024" s="352">
        <v>4000</v>
      </c>
      <c r="N3024" s="352" t="s">
        <v>716</v>
      </c>
      <c r="O3024" s="460">
        <v>4121</v>
      </c>
      <c r="P3024" s="460" t="s">
        <v>772</v>
      </c>
      <c r="Q3024" s="460" t="s">
        <v>2531</v>
      </c>
      <c r="R3024" s="460">
        <v>4121</v>
      </c>
      <c r="S3024" s="460" t="s">
        <v>2296</v>
      </c>
      <c r="T3024" s="462">
        <v>0.55517361979372948</v>
      </c>
      <c r="U3024" s="460" t="s">
        <v>2299</v>
      </c>
      <c r="V3024" s="475">
        <v>0</v>
      </c>
      <c r="W3024" s="463" t="s">
        <v>2268</v>
      </c>
      <c r="X3024" s="463" t="s">
        <v>2268</v>
      </c>
      <c r="Y3024" s="463" t="s">
        <v>2290</v>
      </c>
      <c r="Z3024" s="463"/>
      <c r="AA3024" s="463"/>
      <c r="AB3024" s="464">
        <v>0</v>
      </c>
      <c r="AC3024" s="465">
        <v>0</v>
      </c>
      <c r="AD3024" s="465">
        <v>0</v>
      </c>
      <c r="AE3024" s="476">
        <v>0</v>
      </c>
      <c r="AF3024" s="467">
        <v>0</v>
      </c>
      <c r="AG3024" s="468">
        <v>0</v>
      </c>
      <c r="AH3024" s="218">
        <v>0</v>
      </c>
      <c r="AI3024" s="470">
        <v>0</v>
      </c>
      <c r="AJ3024" s="471">
        <v>0</v>
      </c>
      <c r="AK3024" s="218">
        <v>0</v>
      </c>
      <c r="AL3024" s="470">
        <v>0</v>
      </c>
      <c r="AM3024" s="471">
        <v>0</v>
      </c>
      <c r="AN3024" s="477">
        <v>0</v>
      </c>
      <c r="AO3024" s="473">
        <v>0</v>
      </c>
      <c r="AP3024" s="474">
        <v>0</v>
      </c>
      <c r="AQ3024" s="352"/>
      <c r="AR3024" s="352"/>
      <c r="AS3024" s="352"/>
      <c r="AT3024" s="352"/>
      <c r="AU3024" s="352"/>
      <c r="AV3024" s="352"/>
      <c r="AW3024" s="352" t="s">
        <v>254</v>
      </c>
    </row>
    <row r="3025" spans="2:49" x14ac:dyDescent="0.2">
      <c r="B3025" s="460" t="s">
        <v>3255</v>
      </c>
      <c r="C3025" s="460">
        <v>4121</v>
      </c>
      <c r="D3025" s="460" t="s">
        <v>2312</v>
      </c>
      <c r="E3025" s="460" t="s">
        <v>2302</v>
      </c>
      <c r="F3025" s="460">
        <v>3</v>
      </c>
      <c r="G3025" s="460">
        <v>2</v>
      </c>
      <c r="H3025" s="461" t="s">
        <v>746</v>
      </c>
      <c r="I3025" s="461" t="s">
        <v>762</v>
      </c>
      <c r="J3025" s="461" t="s">
        <v>700</v>
      </c>
      <c r="K3025" s="594"/>
      <c r="L3025" s="594"/>
      <c r="M3025" s="352">
        <v>4000</v>
      </c>
      <c r="N3025" s="352" t="s">
        <v>716</v>
      </c>
      <c r="O3025" s="460">
        <v>4121</v>
      </c>
      <c r="P3025" s="460" t="s">
        <v>772</v>
      </c>
      <c r="Q3025" s="460" t="s">
        <v>2531</v>
      </c>
      <c r="R3025" s="460">
        <v>4121</v>
      </c>
      <c r="S3025" s="460" t="s">
        <v>2296</v>
      </c>
      <c r="T3025" s="462">
        <v>0.28481449642268464</v>
      </c>
      <c r="U3025" s="460" t="s">
        <v>2302</v>
      </c>
      <c r="V3025" s="475">
        <v>0</v>
      </c>
      <c r="W3025" s="463" t="s">
        <v>2268</v>
      </c>
      <c r="X3025" s="463" t="s">
        <v>2268</v>
      </c>
      <c r="Y3025" s="463" t="s">
        <v>2290</v>
      </c>
      <c r="Z3025" s="463"/>
      <c r="AA3025" s="463"/>
      <c r="AB3025" s="464">
        <v>0</v>
      </c>
      <c r="AC3025" s="465">
        <v>0</v>
      </c>
      <c r="AD3025" s="465">
        <v>0</v>
      </c>
      <c r="AE3025" s="476">
        <v>0</v>
      </c>
      <c r="AF3025" s="467">
        <v>0</v>
      </c>
      <c r="AG3025" s="468">
        <v>0</v>
      </c>
      <c r="AH3025" s="218">
        <v>0</v>
      </c>
      <c r="AI3025" s="470">
        <v>0</v>
      </c>
      <c r="AJ3025" s="471">
        <v>0</v>
      </c>
      <c r="AK3025" s="218">
        <v>0</v>
      </c>
      <c r="AL3025" s="470">
        <v>0</v>
      </c>
      <c r="AM3025" s="471">
        <v>0</v>
      </c>
      <c r="AN3025" s="477">
        <v>0</v>
      </c>
      <c r="AO3025" s="473">
        <v>0</v>
      </c>
      <c r="AP3025" s="474">
        <v>0</v>
      </c>
      <c r="AQ3025" s="352"/>
      <c r="AR3025" s="352"/>
      <c r="AS3025" s="352"/>
      <c r="AT3025" s="352"/>
      <c r="AU3025" s="352"/>
      <c r="AV3025" s="352"/>
      <c r="AW3025" s="352" t="s">
        <v>254</v>
      </c>
    </row>
    <row r="3026" spans="2:49" x14ac:dyDescent="0.2">
      <c r="B3026" s="460" t="s">
        <v>3256</v>
      </c>
      <c r="C3026" s="460">
        <v>4121</v>
      </c>
      <c r="D3026" s="460" t="s">
        <v>2313</v>
      </c>
      <c r="E3026" s="460" t="s">
        <v>2305</v>
      </c>
      <c r="F3026" s="460">
        <v>4</v>
      </c>
      <c r="G3026" s="460">
        <v>2</v>
      </c>
      <c r="H3026" s="461" t="s">
        <v>746</v>
      </c>
      <c r="I3026" s="461" t="s">
        <v>762</v>
      </c>
      <c r="J3026" s="461" t="s">
        <v>700</v>
      </c>
      <c r="K3026" s="594"/>
      <c r="L3026" s="594"/>
      <c r="M3026" s="352">
        <v>4000</v>
      </c>
      <c r="N3026" s="352" t="s">
        <v>716</v>
      </c>
      <c r="O3026" s="460">
        <v>4121</v>
      </c>
      <c r="P3026" s="460" t="s">
        <v>772</v>
      </c>
      <c r="Q3026" s="460" t="s">
        <v>2531</v>
      </c>
      <c r="R3026" s="460">
        <v>4121</v>
      </c>
      <c r="S3026" s="460" t="s">
        <v>2305</v>
      </c>
      <c r="T3026" s="462">
        <v>1</v>
      </c>
      <c r="U3026" s="460" t="s">
        <v>2305</v>
      </c>
      <c r="V3026" s="475">
        <v>0</v>
      </c>
      <c r="W3026" s="463" t="s">
        <v>2268</v>
      </c>
      <c r="X3026" s="463" t="s">
        <v>2268</v>
      </c>
      <c r="Y3026" s="463" t="s">
        <v>2290</v>
      </c>
      <c r="Z3026" s="463"/>
      <c r="AA3026" s="463"/>
      <c r="AB3026" s="464">
        <v>0</v>
      </c>
      <c r="AC3026" s="465">
        <v>0</v>
      </c>
      <c r="AD3026" s="465">
        <v>0</v>
      </c>
      <c r="AE3026" s="476">
        <v>0</v>
      </c>
      <c r="AF3026" s="467">
        <v>0</v>
      </c>
      <c r="AG3026" s="468">
        <v>0</v>
      </c>
      <c r="AH3026" s="218">
        <v>0</v>
      </c>
      <c r="AI3026" s="470">
        <v>0</v>
      </c>
      <c r="AJ3026" s="471">
        <v>0</v>
      </c>
      <c r="AK3026" s="218">
        <v>0</v>
      </c>
      <c r="AL3026" s="470">
        <v>0</v>
      </c>
      <c r="AM3026" s="471">
        <v>0</v>
      </c>
      <c r="AN3026" s="477">
        <v>0</v>
      </c>
      <c r="AO3026" s="473">
        <v>0</v>
      </c>
      <c r="AP3026" s="474">
        <v>0</v>
      </c>
      <c r="AQ3026" s="352"/>
      <c r="AR3026" s="352"/>
      <c r="AS3026" s="352"/>
      <c r="AT3026" s="352"/>
      <c r="AU3026" s="352"/>
      <c r="AV3026" s="352"/>
      <c r="AW3026" s="352" t="s">
        <v>254</v>
      </c>
    </row>
    <row r="3027" spans="2:49" x14ac:dyDescent="0.2">
      <c r="B3027" s="460" t="s">
        <v>3253</v>
      </c>
      <c r="C3027" s="460">
        <v>4121</v>
      </c>
      <c r="D3027" s="460" t="s">
        <v>2314</v>
      </c>
      <c r="E3027" s="460" t="s">
        <v>2296</v>
      </c>
      <c r="F3027" s="460">
        <v>1</v>
      </c>
      <c r="G3027" s="460">
        <v>2</v>
      </c>
      <c r="H3027" s="461" t="s">
        <v>748</v>
      </c>
      <c r="I3027" s="461" t="s">
        <v>765</v>
      </c>
      <c r="J3027" s="461" t="s">
        <v>700</v>
      </c>
      <c r="K3027" s="594"/>
      <c r="L3027" s="594"/>
      <c r="M3027" s="352">
        <v>4000</v>
      </c>
      <c r="N3027" s="352" t="s">
        <v>716</v>
      </c>
      <c r="O3027" s="460">
        <v>4121</v>
      </c>
      <c r="P3027" s="460" t="s">
        <v>772</v>
      </c>
      <c r="Q3027" s="460" t="s">
        <v>2527</v>
      </c>
      <c r="R3027" s="460">
        <v>4121</v>
      </c>
      <c r="S3027" s="460" t="s">
        <v>2296</v>
      </c>
      <c r="T3027" s="462">
        <v>1</v>
      </c>
      <c r="U3027" s="460" t="s">
        <v>2296</v>
      </c>
      <c r="V3027" s="475">
        <v>0</v>
      </c>
      <c r="W3027" s="463" t="s">
        <v>2268</v>
      </c>
      <c r="X3027" s="463" t="s">
        <v>2268</v>
      </c>
      <c r="Y3027" s="463" t="s">
        <v>2267</v>
      </c>
      <c r="Z3027" s="463"/>
      <c r="AA3027" s="463"/>
      <c r="AB3027" s="464">
        <v>0</v>
      </c>
      <c r="AC3027" s="465">
        <v>0</v>
      </c>
      <c r="AD3027" s="465">
        <v>0</v>
      </c>
      <c r="AE3027" s="476">
        <v>0</v>
      </c>
      <c r="AF3027" s="467">
        <v>0</v>
      </c>
      <c r="AG3027" s="468">
        <v>0</v>
      </c>
      <c r="AH3027" s="218">
        <v>0</v>
      </c>
      <c r="AI3027" s="470">
        <v>0</v>
      </c>
      <c r="AJ3027" s="471">
        <v>0</v>
      </c>
      <c r="AK3027" s="218">
        <v>0</v>
      </c>
      <c r="AL3027" s="470">
        <v>0</v>
      </c>
      <c r="AM3027" s="471">
        <v>0</v>
      </c>
      <c r="AN3027" s="477">
        <v>12.670311737568515</v>
      </c>
      <c r="AO3027" s="473">
        <v>5.6231163276908858E-2</v>
      </c>
      <c r="AP3027" s="474">
        <v>3.8706066834315301E-3</v>
      </c>
      <c r="AQ3027" s="352"/>
      <c r="AR3027" s="352"/>
      <c r="AS3027" s="352"/>
      <c r="AT3027" s="352"/>
      <c r="AU3027" s="352"/>
      <c r="AV3027" s="352"/>
      <c r="AW3027" s="352" t="s">
        <v>254</v>
      </c>
    </row>
    <row r="3028" spans="2:49" x14ac:dyDescent="0.2">
      <c r="B3028" s="460" t="s">
        <v>3254</v>
      </c>
      <c r="C3028" s="460">
        <v>4121</v>
      </c>
      <c r="D3028" s="460" t="s">
        <v>2315</v>
      </c>
      <c r="E3028" s="460" t="s">
        <v>2299</v>
      </c>
      <c r="F3028" s="460">
        <v>2</v>
      </c>
      <c r="G3028" s="460">
        <v>2</v>
      </c>
      <c r="H3028" s="461" t="s">
        <v>748</v>
      </c>
      <c r="I3028" s="461" t="s">
        <v>765</v>
      </c>
      <c r="J3028" s="461" t="s">
        <v>700</v>
      </c>
      <c r="K3028" s="594"/>
      <c r="L3028" s="594"/>
      <c r="M3028" s="352">
        <v>4000</v>
      </c>
      <c r="N3028" s="352" t="s">
        <v>716</v>
      </c>
      <c r="O3028" s="460">
        <v>4121</v>
      </c>
      <c r="P3028" s="460" t="s">
        <v>772</v>
      </c>
      <c r="Q3028" s="460" t="s">
        <v>2527</v>
      </c>
      <c r="R3028" s="460">
        <v>4121</v>
      </c>
      <c r="S3028" s="460" t="s">
        <v>2296</v>
      </c>
      <c r="T3028" s="462">
        <v>0.55517361979372948</v>
      </c>
      <c r="U3028" s="460" t="s">
        <v>2299</v>
      </c>
      <c r="V3028" s="475">
        <v>0</v>
      </c>
      <c r="W3028" s="463" t="s">
        <v>2268</v>
      </c>
      <c r="X3028" s="463" t="s">
        <v>2268</v>
      </c>
      <c r="Y3028" s="463" t="s">
        <v>2267</v>
      </c>
      <c r="Z3028" s="463"/>
      <c r="AA3028" s="463"/>
      <c r="AB3028" s="464">
        <v>0</v>
      </c>
      <c r="AC3028" s="465">
        <v>0</v>
      </c>
      <c r="AD3028" s="465">
        <v>0</v>
      </c>
      <c r="AE3028" s="476">
        <v>0</v>
      </c>
      <c r="AF3028" s="467">
        <v>0</v>
      </c>
      <c r="AG3028" s="468">
        <v>0</v>
      </c>
      <c r="AH3028" s="218">
        <v>0</v>
      </c>
      <c r="AI3028" s="470">
        <v>0</v>
      </c>
      <c r="AJ3028" s="471">
        <v>0</v>
      </c>
      <c r="AK3028" s="218">
        <v>0</v>
      </c>
      <c r="AL3028" s="470">
        <v>0</v>
      </c>
      <c r="AM3028" s="471">
        <v>0</v>
      </c>
      <c r="AN3028" s="477">
        <v>10.325574697085907</v>
      </c>
      <c r="AO3028" s="473">
        <v>3.1218058461653722E-2</v>
      </c>
      <c r="AP3028" s="474">
        <v>9.5664601929182393E-3</v>
      </c>
      <c r="AQ3028" s="352"/>
      <c r="AR3028" s="352"/>
      <c r="AS3028" s="352"/>
      <c r="AT3028" s="352"/>
      <c r="AU3028" s="352"/>
      <c r="AV3028" s="352"/>
      <c r="AW3028" s="352" t="s">
        <v>254</v>
      </c>
    </row>
    <row r="3029" spans="2:49" x14ac:dyDescent="0.2">
      <c r="B3029" s="460" t="s">
        <v>3255</v>
      </c>
      <c r="C3029" s="460">
        <v>4121</v>
      </c>
      <c r="D3029" s="460" t="s">
        <v>2316</v>
      </c>
      <c r="E3029" s="460" t="s">
        <v>2302</v>
      </c>
      <c r="F3029" s="460">
        <v>3</v>
      </c>
      <c r="G3029" s="460">
        <v>2</v>
      </c>
      <c r="H3029" s="461" t="s">
        <v>748</v>
      </c>
      <c r="I3029" s="461" t="s">
        <v>765</v>
      </c>
      <c r="J3029" s="461" t="s">
        <v>700</v>
      </c>
      <c r="K3029" s="594"/>
      <c r="L3029" s="594"/>
      <c r="M3029" s="352">
        <v>4000</v>
      </c>
      <c r="N3029" s="352" t="s">
        <v>716</v>
      </c>
      <c r="O3029" s="460">
        <v>4121</v>
      </c>
      <c r="P3029" s="460" t="s">
        <v>772</v>
      </c>
      <c r="Q3029" s="460" t="s">
        <v>2527</v>
      </c>
      <c r="R3029" s="460">
        <v>4121</v>
      </c>
      <c r="S3029" s="460" t="s">
        <v>2296</v>
      </c>
      <c r="T3029" s="462">
        <v>0.28481449642268464</v>
      </c>
      <c r="U3029" s="460" t="s">
        <v>2302</v>
      </c>
      <c r="V3029" s="475">
        <v>0</v>
      </c>
      <c r="W3029" s="463" t="s">
        <v>2268</v>
      </c>
      <c r="X3029" s="463" t="s">
        <v>2268</v>
      </c>
      <c r="Y3029" s="463" t="s">
        <v>2267</v>
      </c>
      <c r="Z3029" s="463"/>
      <c r="AA3029" s="463"/>
      <c r="AB3029" s="464">
        <v>0</v>
      </c>
      <c r="AC3029" s="465">
        <v>0</v>
      </c>
      <c r="AD3029" s="465">
        <v>0</v>
      </c>
      <c r="AE3029" s="476">
        <v>0</v>
      </c>
      <c r="AF3029" s="467">
        <v>0</v>
      </c>
      <c r="AG3029" s="468">
        <v>0</v>
      </c>
      <c r="AH3029" s="218">
        <v>0</v>
      </c>
      <c r="AI3029" s="470">
        <v>0</v>
      </c>
      <c r="AJ3029" s="471">
        <v>0</v>
      </c>
      <c r="AK3029" s="218">
        <v>0</v>
      </c>
      <c r="AL3029" s="470">
        <v>0</v>
      </c>
      <c r="AM3029" s="471">
        <v>0</v>
      </c>
      <c r="AN3029" s="477">
        <v>0.41657407165389876</v>
      </c>
      <c r="AO3029" s="473">
        <v>1.6015450451974552E-2</v>
      </c>
      <c r="AP3029" s="474">
        <v>1.7824927906097277E-3</v>
      </c>
      <c r="AQ3029" s="352"/>
      <c r="AR3029" s="352"/>
      <c r="AS3029" s="352"/>
      <c r="AT3029" s="352"/>
      <c r="AU3029" s="352"/>
      <c r="AV3029" s="352"/>
      <c r="AW3029" s="352" t="s">
        <v>254</v>
      </c>
    </row>
    <row r="3030" spans="2:49" x14ac:dyDescent="0.2">
      <c r="B3030" s="460" t="s">
        <v>3256</v>
      </c>
      <c r="C3030" s="460">
        <v>4121</v>
      </c>
      <c r="D3030" s="460" t="s">
        <v>2317</v>
      </c>
      <c r="E3030" s="460" t="s">
        <v>2305</v>
      </c>
      <c r="F3030" s="460">
        <v>4</v>
      </c>
      <c r="G3030" s="460">
        <v>2</v>
      </c>
      <c r="H3030" s="461" t="s">
        <v>748</v>
      </c>
      <c r="I3030" s="461" t="s">
        <v>765</v>
      </c>
      <c r="J3030" s="461" t="s">
        <v>700</v>
      </c>
      <c r="K3030" s="594"/>
      <c r="L3030" s="594"/>
      <c r="M3030" s="352">
        <v>4000</v>
      </c>
      <c r="N3030" s="352" t="s">
        <v>716</v>
      </c>
      <c r="O3030" s="460">
        <v>4121</v>
      </c>
      <c r="P3030" s="460" t="s">
        <v>772</v>
      </c>
      <c r="Q3030" s="460" t="s">
        <v>2527</v>
      </c>
      <c r="R3030" s="460">
        <v>4121</v>
      </c>
      <c r="S3030" s="460" t="s">
        <v>2305</v>
      </c>
      <c r="T3030" s="462">
        <v>1</v>
      </c>
      <c r="U3030" s="460" t="s">
        <v>2305</v>
      </c>
      <c r="V3030" s="475">
        <v>0</v>
      </c>
      <c r="W3030" s="463" t="s">
        <v>2268</v>
      </c>
      <c r="X3030" s="463" t="s">
        <v>2268</v>
      </c>
      <c r="Y3030" s="463" t="s">
        <v>2278</v>
      </c>
      <c r="Z3030" s="463"/>
      <c r="AA3030" s="463"/>
      <c r="AB3030" s="464">
        <v>0</v>
      </c>
      <c r="AC3030" s="465">
        <v>0</v>
      </c>
      <c r="AD3030" s="465">
        <v>0</v>
      </c>
      <c r="AE3030" s="476">
        <v>0</v>
      </c>
      <c r="AF3030" s="467">
        <v>0</v>
      </c>
      <c r="AG3030" s="468">
        <v>0</v>
      </c>
      <c r="AH3030" s="218">
        <v>0</v>
      </c>
      <c r="AI3030" s="470">
        <v>0</v>
      </c>
      <c r="AJ3030" s="471">
        <v>0</v>
      </c>
      <c r="AK3030" s="218">
        <v>0</v>
      </c>
      <c r="AL3030" s="470">
        <v>0</v>
      </c>
      <c r="AM3030" s="471">
        <v>0</v>
      </c>
      <c r="AN3030" s="477">
        <v>0</v>
      </c>
      <c r="AO3030" s="473">
        <v>0</v>
      </c>
      <c r="AP3030" s="474">
        <v>0</v>
      </c>
      <c r="AQ3030" s="352"/>
      <c r="AR3030" s="352"/>
      <c r="AS3030" s="352"/>
      <c r="AT3030" s="352"/>
      <c r="AU3030" s="352"/>
      <c r="AV3030" s="352"/>
      <c r="AW3030" s="352" t="s">
        <v>254</v>
      </c>
    </row>
    <row r="3031" spans="2:49" x14ac:dyDescent="0.2">
      <c r="B3031" s="460" t="s">
        <v>3257</v>
      </c>
      <c r="C3031" s="460">
        <v>4121</v>
      </c>
      <c r="D3031" s="460" t="s">
        <v>2323</v>
      </c>
      <c r="E3031" s="460" t="s">
        <v>2324</v>
      </c>
      <c r="F3031" s="460">
        <v>1</v>
      </c>
      <c r="G3031" s="460">
        <v>3</v>
      </c>
      <c r="H3031" s="461" t="s">
        <v>700</v>
      </c>
      <c r="I3031" s="461" t="s">
        <v>872</v>
      </c>
      <c r="J3031" s="461" t="s">
        <v>700</v>
      </c>
      <c r="K3031" s="594"/>
      <c r="L3031" s="594"/>
      <c r="M3031" s="352">
        <v>4000</v>
      </c>
      <c r="N3031" s="352" t="s">
        <v>716</v>
      </c>
      <c r="O3031" s="460">
        <v>4121</v>
      </c>
      <c r="P3031" s="460" t="s">
        <v>772</v>
      </c>
      <c r="Q3031" s="460" t="s">
        <v>2527</v>
      </c>
      <c r="R3031" s="460">
        <v>4121</v>
      </c>
      <c r="S3031" s="460" t="s">
        <v>2324</v>
      </c>
      <c r="T3031" s="462">
        <v>1</v>
      </c>
      <c r="U3031" s="460" t="s">
        <v>2324</v>
      </c>
      <c r="V3031" s="475">
        <v>0</v>
      </c>
      <c r="W3031" s="463" t="s">
        <v>2267</v>
      </c>
      <c r="X3031" s="463" t="s">
        <v>2267</v>
      </c>
      <c r="Y3031" s="463" t="s">
        <v>2268</v>
      </c>
      <c r="Z3031" s="463"/>
      <c r="AA3031" s="463"/>
      <c r="AB3031" s="464">
        <v>72.405006906661782</v>
      </c>
      <c r="AC3031" s="465">
        <v>9.0924046045135321E-2</v>
      </c>
      <c r="AD3031" s="465">
        <v>6.2070493555953254E-4</v>
      </c>
      <c r="AE3031" s="476">
        <v>72.405006906661782</v>
      </c>
      <c r="AF3031" s="467">
        <v>9.0924046045135321E-2</v>
      </c>
      <c r="AG3031" s="468">
        <v>6.6489795120156967E-4</v>
      </c>
      <c r="AH3031" s="218">
        <v>72.405006906661782</v>
      </c>
      <c r="AI3031" s="470">
        <v>9.0924046045135321E-2</v>
      </c>
      <c r="AJ3031" s="471">
        <v>6.3493455273318526E-4</v>
      </c>
      <c r="AK3031" s="218">
        <v>72.405006906661782</v>
      </c>
      <c r="AL3031" s="470">
        <v>9.0924046045135321E-2</v>
      </c>
      <c r="AM3031" s="471">
        <v>6.3493455273318526E-4</v>
      </c>
      <c r="AN3031" s="477">
        <v>0</v>
      </c>
      <c r="AO3031" s="473">
        <v>0</v>
      </c>
      <c r="AP3031" s="474">
        <v>0</v>
      </c>
      <c r="AQ3031" s="352"/>
      <c r="AR3031" s="352"/>
      <c r="AS3031" s="352"/>
      <c r="AT3031" s="352"/>
      <c r="AU3031" s="352"/>
      <c r="AV3031" s="352"/>
      <c r="AW3031" s="352" t="s">
        <v>254</v>
      </c>
    </row>
    <row r="3032" spans="2:49" x14ac:dyDescent="0.2">
      <c r="B3032" s="460" t="s">
        <v>3258</v>
      </c>
      <c r="C3032" s="460">
        <v>4121</v>
      </c>
      <c r="D3032" s="460" t="s">
        <v>2326</v>
      </c>
      <c r="E3032" s="460" t="s">
        <v>2327</v>
      </c>
      <c r="F3032" s="460">
        <v>2</v>
      </c>
      <c r="G3032" s="460">
        <v>3</v>
      </c>
      <c r="H3032" s="461" t="s">
        <v>700</v>
      </c>
      <c r="I3032" s="461" t="s">
        <v>872</v>
      </c>
      <c r="J3032" s="461" t="s">
        <v>700</v>
      </c>
      <c r="K3032" s="594"/>
      <c r="L3032" s="594"/>
      <c r="M3032" s="352">
        <v>4000</v>
      </c>
      <c r="N3032" s="352" t="s">
        <v>716</v>
      </c>
      <c r="O3032" s="460">
        <v>4121</v>
      </c>
      <c r="P3032" s="460" t="s">
        <v>772</v>
      </c>
      <c r="Q3032" s="460" t="s">
        <v>2527</v>
      </c>
      <c r="R3032" s="460">
        <v>4121</v>
      </c>
      <c r="S3032" s="460" t="s">
        <v>2324</v>
      </c>
      <c r="T3032" s="462">
        <v>1</v>
      </c>
      <c r="U3032" s="460" t="s">
        <v>2327</v>
      </c>
      <c r="V3032" s="475">
        <v>0</v>
      </c>
      <c r="W3032" s="463" t="s">
        <v>2503</v>
      </c>
      <c r="X3032" s="463" t="s">
        <v>2267</v>
      </c>
      <c r="Y3032" s="463" t="s">
        <v>2268</v>
      </c>
      <c r="Z3032" s="463"/>
      <c r="AA3032" s="463"/>
      <c r="AB3032" s="464">
        <v>55.024624570585914</v>
      </c>
      <c r="AC3032" s="465">
        <v>0.15911956694551241</v>
      </c>
      <c r="AD3032" s="465">
        <v>8.1270369532145071E-4</v>
      </c>
      <c r="AE3032" s="476">
        <v>33.014774742351548</v>
      </c>
      <c r="AF3032" s="467">
        <v>9.5471740167307445E-2</v>
      </c>
      <c r="AG3032" s="468">
        <v>5.2814889402052481E-4</v>
      </c>
      <c r="AH3032" s="218">
        <v>55.024624570585914</v>
      </c>
      <c r="AI3032" s="470">
        <v>0.15911956694551241</v>
      </c>
      <c r="AJ3032" s="471">
        <v>7.4080702434737439E-4</v>
      </c>
      <c r="AK3032" s="218">
        <v>55.024624570585914</v>
      </c>
      <c r="AL3032" s="470">
        <v>0.15911956694551241</v>
      </c>
      <c r="AM3032" s="471">
        <v>7.4080702434737439E-4</v>
      </c>
      <c r="AN3032" s="477">
        <v>0</v>
      </c>
      <c r="AO3032" s="473">
        <v>0</v>
      </c>
      <c r="AP3032" s="474">
        <v>0</v>
      </c>
      <c r="AQ3032" s="352"/>
      <c r="AR3032" s="352"/>
      <c r="AS3032" s="352"/>
      <c r="AT3032" s="352"/>
      <c r="AU3032" s="352"/>
      <c r="AV3032" s="352"/>
      <c r="AW3032" s="352" t="s">
        <v>254</v>
      </c>
    </row>
    <row r="3033" spans="2:49" x14ac:dyDescent="0.2">
      <c r="B3033" s="460" t="s">
        <v>3259</v>
      </c>
      <c r="C3033" s="460">
        <v>4121</v>
      </c>
      <c r="D3033" s="460" t="s">
        <v>2329</v>
      </c>
      <c r="E3033" s="460" t="s">
        <v>2330</v>
      </c>
      <c r="F3033" s="460">
        <v>3</v>
      </c>
      <c r="G3033" s="460">
        <v>3</v>
      </c>
      <c r="H3033" s="461" t="s">
        <v>700</v>
      </c>
      <c r="I3033" s="461" t="s">
        <v>872</v>
      </c>
      <c r="J3033" s="461" t="s">
        <v>700</v>
      </c>
      <c r="K3033" s="594"/>
      <c r="L3033" s="594"/>
      <c r="M3033" s="352">
        <v>4000</v>
      </c>
      <c r="N3033" s="352" t="s">
        <v>716</v>
      </c>
      <c r="O3033" s="460">
        <v>4121</v>
      </c>
      <c r="P3033" s="460" t="s">
        <v>772</v>
      </c>
      <c r="Q3033" s="460" t="s">
        <v>2527</v>
      </c>
      <c r="R3033" s="460">
        <v>4121</v>
      </c>
      <c r="S3033" s="460" t="s">
        <v>2324</v>
      </c>
      <c r="T3033" s="462">
        <v>1</v>
      </c>
      <c r="U3033" s="460" t="s">
        <v>2330</v>
      </c>
      <c r="V3033" s="475">
        <v>0</v>
      </c>
      <c r="W3033" s="463" t="s">
        <v>2503</v>
      </c>
      <c r="X3033" s="463" t="s">
        <v>2267</v>
      </c>
      <c r="Y3033" s="463" t="s">
        <v>2268</v>
      </c>
      <c r="Z3033" s="463"/>
      <c r="AA3033" s="463"/>
      <c r="AB3033" s="464">
        <v>12.837791241505753</v>
      </c>
      <c r="AC3033" s="465">
        <v>0.22270561174245526</v>
      </c>
      <c r="AD3033" s="465">
        <v>4.8477054133344989E-4</v>
      </c>
      <c r="AE3033" s="476">
        <v>7.7026747449034509</v>
      </c>
      <c r="AF3033" s="467">
        <v>0.13362336704547315</v>
      </c>
      <c r="AG3033" s="468">
        <v>3.1173542667295104E-4</v>
      </c>
      <c r="AH3033" s="218">
        <v>12.837791241505753</v>
      </c>
      <c r="AI3033" s="470">
        <v>0.22270561174245526</v>
      </c>
      <c r="AJ3033" s="471">
        <v>4.5230551657065763E-4</v>
      </c>
      <c r="AK3033" s="218">
        <v>12.837791241505753</v>
      </c>
      <c r="AL3033" s="470">
        <v>0.22270561174245526</v>
      </c>
      <c r="AM3033" s="471">
        <v>4.5230551657065763E-4</v>
      </c>
      <c r="AN3033" s="477">
        <v>0</v>
      </c>
      <c r="AO3033" s="473">
        <v>0</v>
      </c>
      <c r="AP3033" s="474">
        <v>0</v>
      </c>
      <c r="AQ3033" s="352"/>
      <c r="AR3033" s="352"/>
      <c r="AS3033" s="352"/>
      <c r="AT3033" s="352"/>
      <c r="AU3033" s="352"/>
      <c r="AV3033" s="352"/>
      <c r="AW3033" s="352" t="s">
        <v>254</v>
      </c>
    </row>
    <row r="3034" spans="2:49" x14ac:dyDescent="0.2">
      <c r="B3034" s="460" t="s">
        <v>3260</v>
      </c>
      <c r="C3034" s="460">
        <v>4121</v>
      </c>
      <c r="D3034" s="460" t="s">
        <v>2332</v>
      </c>
      <c r="E3034" s="460" t="s">
        <v>2333</v>
      </c>
      <c r="F3034" s="460">
        <v>4</v>
      </c>
      <c r="G3034" s="460">
        <v>3</v>
      </c>
      <c r="H3034" s="461" t="s">
        <v>700</v>
      </c>
      <c r="I3034" s="461" t="s">
        <v>872</v>
      </c>
      <c r="J3034" s="461" t="s">
        <v>700</v>
      </c>
      <c r="K3034" s="594"/>
      <c r="L3034" s="594"/>
      <c r="M3034" s="352">
        <v>4000</v>
      </c>
      <c r="N3034" s="352" t="s">
        <v>716</v>
      </c>
      <c r="O3034" s="460">
        <v>4121</v>
      </c>
      <c r="P3034" s="460" t="s">
        <v>772</v>
      </c>
      <c r="Q3034" s="460" t="s">
        <v>2527</v>
      </c>
      <c r="R3034" s="460">
        <v>4121</v>
      </c>
      <c r="S3034" s="460" t="s">
        <v>2333</v>
      </c>
      <c r="T3034" s="462">
        <v>1</v>
      </c>
      <c r="U3034" s="460" t="s">
        <v>2333</v>
      </c>
      <c r="V3034" s="475">
        <v>0</v>
      </c>
      <c r="W3034" s="463" t="s">
        <v>2503</v>
      </c>
      <c r="X3034" s="463" t="s">
        <v>2278</v>
      </c>
      <c r="Y3034" s="463" t="s">
        <v>2268</v>
      </c>
      <c r="Z3034" s="463"/>
      <c r="AA3034" s="463"/>
      <c r="AB3034" s="464">
        <v>535.75789084005146</v>
      </c>
      <c r="AC3034" s="465">
        <v>0.91243297449359329</v>
      </c>
      <c r="AD3034" s="465">
        <v>3.6950442772693479E-2</v>
      </c>
      <c r="AE3034" s="476">
        <v>321.45473450403085</v>
      </c>
      <c r="AF3034" s="467">
        <v>0.54745978469615597</v>
      </c>
      <c r="AG3034" s="468">
        <v>2.4467700253498058E-2</v>
      </c>
      <c r="AH3034" s="218">
        <v>535.75789084005146</v>
      </c>
      <c r="AI3034" s="470">
        <v>0.91243297449359329</v>
      </c>
      <c r="AJ3034" s="471">
        <v>3.951022683908454E-2</v>
      </c>
      <c r="AK3034" s="218">
        <v>535.75789084005146</v>
      </c>
      <c r="AL3034" s="470">
        <v>0.91243297449359329</v>
      </c>
      <c r="AM3034" s="471">
        <v>3.951022683908454E-2</v>
      </c>
      <c r="AN3034" s="477">
        <v>0</v>
      </c>
      <c r="AO3034" s="473">
        <v>0</v>
      </c>
      <c r="AP3034" s="474">
        <v>0</v>
      </c>
      <c r="AQ3034" s="352"/>
      <c r="AR3034" s="352"/>
      <c r="AS3034" s="352"/>
      <c r="AT3034" s="352"/>
      <c r="AU3034" s="352"/>
      <c r="AV3034" s="352"/>
      <c r="AW3034" s="352" t="s">
        <v>254</v>
      </c>
    </row>
    <row r="3035" spans="2:49" x14ac:dyDescent="0.2">
      <c r="B3035" s="460" t="s">
        <v>3257</v>
      </c>
      <c r="C3035" s="460">
        <v>4121</v>
      </c>
      <c r="D3035" s="460" t="s">
        <v>2334</v>
      </c>
      <c r="E3035" s="460" t="s">
        <v>2324</v>
      </c>
      <c r="F3035" s="460">
        <v>1</v>
      </c>
      <c r="G3035" s="460">
        <v>3</v>
      </c>
      <c r="H3035" s="461" t="s">
        <v>712</v>
      </c>
      <c r="I3035" s="461" t="s">
        <v>713</v>
      </c>
      <c r="J3035" s="461" t="s">
        <v>712</v>
      </c>
      <c r="K3035" s="594"/>
      <c r="L3035" s="594"/>
      <c r="M3035" s="352">
        <v>4000</v>
      </c>
      <c r="N3035" s="352" t="s">
        <v>716</v>
      </c>
      <c r="O3035" s="460">
        <v>4121</v>
      </c>
      <c r="P3035" s="460" t="s">
        <v>772</v>
      </c>
      <c r="Q3035" s="460" t="s">
        <v>2280</v>
      </c>
      <c r="R3035" s="460">
        <v>4121</v>
      </c>
      <c r="S3035" s="460" t="s">
        <v>2324</v>
      </c>
      <c r="T3035" s="462">
        <v>1</v>
      </c>
      <c r="U3035" s="460" t="s">
        <v>2324</v>
      </c>
      <c r="V3035" s="475">
        <v>0</v>
      </c>
      <c r="W3035" s="463" t="s">
        <v>713</v>
      </c>
      <c r="X3035" s="463" t="s">
        <v>713</v>
      </c>
      <c r="Y3035" s="463" t="s">
        <v>713</v>
      </c>
      <c r="Z3035" s="463"/>
      <c r="AA3035" s="463"/>
      <c r="AB3035" s="464">
        <v>723.91906858288951</v>
      </c>
      <c r="AC3035" s="465">
        <v>0.90907595395486462</v>
      </c>
      <c r="AD3035" s="465">
        <v>1.807550693840373E-3</v>
      </c>
      <c r="AE3035" s="476">
        <v>723.91906858288962</v>
      </c>
      <c r="AF3035" s="467">
        <v>0.90907595395486473</v>
      </c>
      <c r="AG3035" s="468">
        <v>1.7732229037580947E-3</v>
      </c>
      <c r="AH3035" s="218">
        <v>723.91906858288962</v>
      </c>
      <c r="AI3035" s="470">
        <v>0.90907595395486473</v>
      </c>
      <c r="AJ3035" s="471">
        <v>1.7958283904358295E-3</v>
      </c>
      <c r="AK3035" s="218">
        <v>723.91906858288962</v>
      </c>
      <c r="AL3035" s="470">
        <v>0.90907595395486473</v>
      </c>
      <c r="AM3035" s="471">
        <v>1.7958283904358295E-3</v>
      </c>
      <c r="AN3035" s="477">
        <v>723.91906858288962</v>
      </c>
      <c r="AO3035" s="473">
        <v>0.90907595395486473</v>
      </c>
      <c r="AP3035" s="474">
        <v>1.7949544455182378E-3</v>
      </c>
      <c r="AQ3035" s="352"/>
      <c r="AR3035" s="352"/>
      <c r="AS3035" s="352"/>
      <c r="AT3035" s="352"/>
      <c r="AU3035" s="352"/>
      <c r="AV3035" s="352"/>
      <c r="AW3035" s="352" t="s">
        <v>254</v>
      </c>
    </row>
    <row r="3036" spans="2:49" x14ac:dyDescent="0.2">
      <c r="B3036" s="460" t="s">
        <v>3258</v>
      </c>
      <c r="C3036" s="460">
        <v>4121</v>
      </c>
      <c r="D3036" s="460" t="s">
        <v>2335</v>
      </c>
      <c r="E3036" s="460" t="s">
        <v>2327</v>
      </c>
      <c r="F3036" s="460">
        <v>2</v>
      </c>
      <c r="G3036" s="460">
        <v>3</v>
      </c>
      <c r="H3036" s="461" t="s">
        <v>712</v>
      </c>
      <c r="I3036" s="461" t="s">
        <v>713</v>
      </c>
      <c r="J3036" s="461" t="s">
        <v>712</v>
      </c>
      <c r="K3036" s="594"/>
      <c r="L3036" s="594"/>
      <c r="M3036" s="352">
        <v>4000</v>
      </c>
      <c r="N3036" s="352" t="s">
        <v>716</v>
      </c>
      <c r="O3036" s="460">
        <v>4121</v>
      </c>
      <c r="P3036" s="460" t="s">
        <v>772</v>
      </c>
      <c r="Q3036" s="460" t="s">
        <v>2280</v>
      </c>
      <c r="R3036" s="460">
        <v>4121</v>
      </c>
      <c r="S3036" s="460" t="s">
        <v>2324</v>
      </c>
      <c r="T3036" s="462">
        <v>1</v>
      </c>
      <c r="U3036" s="460" t="s">
        <v>2327</v>
      </c>
      <c r="V3036" s="475">
        <v>0</v>
      </c>
      <c r="W3036" s="463" t="s">
        <v>713</v>
      </c>
      <c r="X3036" s="463" t="s">
        <v>713</v>
      </c>
      <c r="Y3036" s="463" t="s">
        <v>713</v>
      </c>
      <c r="Z3036" s="463"/>
      <c r="AA3036" s="463"/>
      <c r="AB3036" s="464">
        <v>290.78215222530679</v>
      </c>
      <c r="AC3036" s="465">
        <v>0.84088043305448767</v>
      </c>
      <c r="AD3036" s="465">
        <v>9.3125848271782168E-4</v>
      </c>
      <c r="AE3036" s="476">
        <v>312.79200205354113</v>
      </c>
      <c r="AF3036" s="467">
        <v>0.90452825983269258</v>
      </c>
      <c r="AG3036" s="468">
        <v>9.8535249040960691E-4</v>
      </c>
      <c r="AH3036" s="218">
        <v>290.78215222530679</v>
      </c>
      <c r="AI3036" s="470">
        <v>0.84088043305448756</v>
      </c>
      <c r="AJ3036" s="471">
        <v>9.5262532500088885E-4</v>
      </c>
      <c r="AK3036" s="218">
        <v>290.78215222530679</v>
      </c>
      <c r="AL3036" s="470">
        <v>0.84088043305448756</v>
      </c>
      <c r="AM3036" s="471">
        <v>9.5262532500088885E-4</v>
      </c>
      <c r="AN3036" s="477">
        <v>290.78215222530679</v>
      </c>
      <c r="AO3036" s="473">
        <v>0.84088043305448756</v>
      </c>
      <c r="AP3036" s="474">
        <v>9.5225183506737678E-4</v>
      </c>
      <c r="AQ3036" s="352"/>
      <c r="AR3036" s="352"/>
      <c r="AS3036" s="352"/>
      <c r="AT3036" s="352"/>
      <c r="AU3036" s="352"/>
      <c r="AV3036" s="352"/>
      <c r="AW3036" s="352" t="s">
        <v>254</v>
      </c>
    </row>
    <row r="3037" spans="2:49" x14ac:dyDescent="0.2">
      <c r="B3037" s="460" t="s">
        <v>3259</v>
      </c>
      <c r="C3037" s="460">
        <v>4121</v>
      </c>
      <c r="D3037" s="460" t="s">
        <v>2336</v>
      </c>
      <c r="E3037" s="460" t="s">
        <v>2330</v>
      </c>
      <c r="F3037" s="460">
        <v>3</v>
      </c>
      <c r="G3037" s="460">
        <v>3</v>
      </c>
      <c r="H3037" s="461" t="s">
        <v>712</v>
      </c>
      <c r="I3037" s="461" t="s">
        <v>713</v>
      </c>
      <c r="J3037" s="461" t="s">
        <v>712</v>
      </c>
      <c r="K3037" s="594"/>
      <c r="L3037" s="594"/>
      <c r="M3037" s="352">
        <v>4000</v>
      </c>
      <c r="N3037" s="352" t="s">
        <v>716</v>
      </c>
      <c r="O3037" s="460">
        <v>4121</v>
      </c>
      <c r="P3037" s="460" t="s">
        <v>772</v>
      </c>
      <c r="Q3037" s="460" t="s">
        <v>2280</v>
      </c>
      <c r="R3037" s="460">
        <v>4121</v>
      </c>
      <c r="S3037" s="460" t="s">
        <v>2324</v>
      </c>
      <c r="T3037" s="462">
        <v>1</v>
      </c>
      <c r="U3037" s="460" t="s">
        <v>2330</v>
      </c>
      <c r="V3037" s="475">
        <v>0</v>
      </c>
      <c r="W3037" s="463" t="s">
        <v>713</v>
      </c>
      <c r="X3037" s="463" t="s">
        <v>713</v>
      </c>
      <c r="Y3037" s="463" t="s">
        <v>713</v>
      </c>
      <c r="Z3037" s="463"/>
      <c r="AA3037" s="463"/>
      <c r="AB3037" s="464">
        <v>44.806877615567473</v>
      </c>
      <c r="AC3037" s="465">
        <v>0.77729438825754471</v>
      </c>
      <c r="AD3037" s="465">
        <v>3.9673188114790187E-4</v>
      </c>
      <c r="AE3037" s="476">
        <v>49.941994112169773</v>
      </c>
      <c r="AF3037" s="467">
        <v>0.86637663295452683</v>
      </c>
      <c r="AG3037" s="468">
        <v>4.3536421424449746E-4</v>
      </c>
      <c r="AH3037" s="218">
        <v>44.806877615567473</v>
      </c>
      <c r="AI3037" s="470">
        <v>0.77729438825754471</v>
      </c>
      <c r="AJ3037" s="471">
        <v>4.0551295077545421E-4</v>
      </c>
      <c r="AK3037" s="218">
        <v>44.806877615567473</v>
      </c>
      <c r="AL3037" s="470">
        <v>0.77729438825754471</v>
      </c>
      <c r="AM3037" s="471">
        <v>4.0551295077545421E-4</v>
      </c>
      <c r="AN3037" s="477">
        <v>44.806877615567473</v>
      </c>
      <c r="AO3037" s="473">
        <v>0.77729438825754471</v>
      </c>
      <c r="AP3037" s="474">
        <v>4.0655962448655586E-4</v>
      </c>
      <c r="AQ3037" s="352"/>
      <c r="AR3037" s="352"/>
      <c r="AS3037" s="352"/>
      <c r="AT3037" s="352"/>
      <c r="AU3037" s="352"/>
      <c r="AV3037" s="352"/>
      <c r="AW3037" s="352" t="s">
        <v>254</v>
      </c>
    </row>
    <row r="3038" spans="2:49" x14ac:dyDescent="0.2">
      <c r="B3038" s="460" t="s">
        <v>3260</v>
      </c>
      <c r="C3038" s="460">
        <v>4121</v>
      </c>
      <c r="D3038" s="460" t="s">
        <v>2337</v>
      </c>
      <c r="E3038" s="460" t="s">
        <v>2333</v>
      </c>
      <c r="F3038" s="460">
        <v>4</v>
      </c>
      <c r="G3038" s="460">
        <v>3</v>
      </c>
      <c r="H3038" s="461" t="s">
        <v>712</v>
      </c>
      <c r="I3038" s="461" t="s">
        <v>713</v>
      </c>
      <c r="J3038" s="461" t="s">
        <v>712</v>
      </c>
      <c r="K3038" s="594"/>
      <c r="L3038" s="594"/>
      <c r="M3038" s="352">
        <v>4000</v>
      </c>
      <c r="N3038" s="352" t="s">
        <v>716</v>
      </c>
      <c r="O3038" s="460">
        <v>4121</v>
      </c>
      <c r="P3038" s="460" t="s">
        <v>772</v>
      </c>
      <c r="Q3038" s="460" t="s">
        <v>2280</v>
      </c>
      <c r="R3038" s="460">
        <v>4121</v>
      </c>
      <c r="S3038" s="460" t="s">
        <v>2333</v>
      </c>
      <c r="T3038" s="462">
        <v>1</v>
      </c>
      <c r="U3038" s="460" t="s">
        <v>2333</v>
      </c>
      <c r="V3038" s="475">
        <v>0</v>
      </c>
      <c r="W3038" s="463" t="s">
        <v>713</v>
      </c>
      <c r="X3038" s="463" t="s">
        <v>713</v>
      </c>
      <c r="Y3038" s="463" t="s">
        <v>713</v>
      </c>
      <c r="Z3038" s="463"/>
      <c r="AA3038" s="463"/>
      <c r="AB3038" s="464">
        <v>51.417173868017414</v>
      </c>
      <c r="AC3038" s="465">
        <v>8.756702550640659E-2</v>
      </c>
      <c r="AD3038" s="465">
        <v>3.908975543517504E-4</v>
      </c>
      <c r="AE3038" s="476">
        <v>265.72033020403808</v>
      </c>
      <c r="AF3038" s="467">
        <v>0.45254021530384403</v>
      </c>
      <c r="AG3038" s="468">
        <v>1.9994362067539519E-3</v>
      </c>
      <c r="AH3038" s="218">
        <v>51.417173868017485</v>
      </c>
      <c r="AI3038" s="470">
        <v>8.7567025506406715E-2</v>
      </c>
      <c r="AJ3038" s="471">
        <v>3.8812570327423276E-4</v>
      </c>
      <c r="AK3038" s="218">
        <v>51.417173868017485</v>
      </c>
      <c r="AL3038" s="470">
        <v>8.7567025506406715E-2</v>
      </c>
      <c r="AM3038" s="471">
        <v>3.8812570327423276E-4</v>
      </c>
      <c r="AN3038" s="477">
        <v>51.417173868017485</v>
      </c>
      <c r="AO3038" s="473">
        <v>8.7567025506406715E-2</v>
      </c>
      <c r="AP3038" s="474">
        <v>3.8824904330726339E-4</v>
      </c>
      <c r="AQ3038" s="352"/>
      <c r="AR3038" s="352"/>
      <c r="AS3038" s="352"/>
      <c r="AT3038" s="352"/>
      <c r="AU3038" s="352"/>
      <c r="AV3038" s="352"/>
      <c r="AW3038" s="352" t="s">
        <v>254</v>
      </c>
    </row>
    <row r="3039" spans="2:49" x14ac:dyDescent="0.2">
      <c r="B3039" s="460" t="s">
        <v>3257</v>
      </c>
      <c r="C3039" s="460">
        <v>4121</v>
      </c>
      <c r="D3039" s="460" t="s">
        <v>2338</v>
      </c>
      <c r="E3039" s="460" t="s">
        <v>2324</v>
      </c>
      <c r="F3039" s="460">
        <v>1</v>
      </c>
      <c r="G3039" s="460">
        <v>3</v>
      </c>
      <c r="H3039" s="461" t="s">
        <v>746</v>
      </c>
      <c r="I3039" s="461" t="s">
        <v>762</v>
      </c>
      <c r="J3039" s="461" t="s">
        <v>700</v>
      </c>
      <c r="K3039" s="594"/>
      <c r="L3039" s="594"/>
      <c r="M3039" s="352">
        <v>4000</v>
      </c>
      <c r="N3039" s="352" t="s">
        <v>716</v>
      </c>
      <c r="O3039" s="460">
        <v>4121</v>
      </c>
      <c r="P3039" s="460" t="s">
        <v>772</v>
      </c>
      <c r="Q3039" s="460" t="s">
        <v>2531</v>
      </c>
      <c r="R3039" s="460">
        <v>4121</v>
      </c>
      <c r="S3039" s="460" t="s">
        <v>2324</v>
      </c>
      <c r="T3039" s="462">
        <v>1</v>
      </c>
      <c r="U3039" s="460" t="s">
        <v>2324</v>
      </c>
      <c r="V3039" s="475">
        <v>0</v>
      </c>
      <c r="W3039" s="463" t="s">
        <v>2268</v>
      </c>
      <c r="X3039" s="463" t="s">
        <v>2268</v>
      </c>
      <c r="Y3039" s="463" t="s">
        <v>2290</v>
      </c>
      <c r="Z3039" s="463"/>
      <c r="AA3039" s="463"/>
      <c r="AB3039" s="464">
        <v>0</v>
      </c>
      <c r="AC3039" s="465">
        <v>0</v>
      </c>
      <c r="AD3039" s="465">
        <v>0</v>
      </c>
      <c r="AE3039" s="476">
        <v>0</v>
      </c>
      <c r="AF3039" s="467">
        <v>0</v>
      </c>
      <c r="AG3039" s="468">
        <v>0</v>
      </c>
      <c r="AH3039" s="218">
        <v>0</v>
      </c>
      <c r="AI3039" s="470">
        <v>0</v>
      </c>
      <c r="AJ3039" s="471">
        <v>0</v>
      </c>
      <c r="AK3039" s="218">
        <v>0</v>
      </c>
      <c r="AL3039" s="470">
        <v>0</v>
      </c>
      <c r="AM3039" s="471">
        <v>0</v>
      </c>
      <c r="AN3039" s="477">
        <v>0</v>
      </c>
      <c r="AO3039" s="473">
        <v>0</v>
      </c>
      <c r="AP3039" s="474">
        <v>0</v>
      </c>
      <c r="AQ3039" s="352"/>
      <c r="AR3039" s="352"/>
      <c r="AS3039" s="352"/>
      <c r="AT3039" s="352"/>
      <c r="AU3039" s="352"/>
      <c r="AV3039" s="352"/>
      <c r="AW3039" s="352" t="s">
        <v>254</v>
      </c>
    </row>
    <row r="3040" spans="2:49" x14ac:dyDescent="0.2">
      <c r="B3040" s="460" t="s">
        <v>3258</v>
      </c>
      <c r="C3040" s="460">
        <v>4121</v>
      </c>
      <c r="D3040" s="460" t="s">
        <v>2339</v>
      </c>
      <c r="E3040" s="460" t="s">
        <v>2327</v>
      </c>
      <c r="F3040" s="460">
        <v>2</v>
      </c>
      <c r="G3040" s="460">
        <v>3</v>
      </c>
      <c r="H3040" s="461" t="s">
        <v>746</v>
      </c>
      <c r="I3040" s="461" t="s">
        <v>762</v>
      </c>
      <c r="J3040" s="461" t="s">
        <v>700</v>
      </c>
      <c r="K3040" s="594"/>
      <c r="L3040" s="594"/>
      <c r="M3040" s="352">
        <v>4000</v>
      </c>
      <c r="N3040" s="352" t="s">
        <v>716</v>
      </c>
      <c r="O3040" s="460">
        <v>4121</v>
      </c>
      <c r="P3040" s="460" t="s">
        <v>772</v>
      </c>
      <c r="Q3040" s="460" t="s">
        <v>2531</v>
      </c>
      <c r="R3040" s="460">
        <v>4121</v>
      </c>
      <c r="S3040" s="460" t="s">
        <v>2324</v>
      </c>
      <c r="T3040" s="462">
        <v>1</v>
      </c>
      <c r="U3040" s="460" t="s">
        <v>2327</v>
      </c>
      <c r="V3040" s="475">
        <v>0</v>
      </c>
      <c r="W3040" s="463" t="s">
        <v>2268</v>
      </c>
      <c r="X3040" s="463" t="s">
        <v>2268</v>
      </c>
      <c r="Y3040" s="463" t="s">
        <v>2290</v>
      </c>
      <c r="Z3040" s="463"/>
      <c r="AA3040" s="463"/>
      <c r="AB3040" s="464">
        <v>0</v>
      </c>
      <c r="AC3040" s="465">
        <v>0</v>
      </c>
      <c r="AD3040" s="465">
        <v>0</v>
      </c>
      <c r="AE3040" s="476">
        <v>0</v>
      </c>
      <c r="AF3040" s="467">
        <v>0</v>
      </c>
      <c r="AG3040" s="468">
        <v>0</v>
      </c>
      <c r="AH3040" s="218">
        <v>0</v>
      </c>
      <c r="AI3040" s="470">
        <v>0</v>
      </c>
      <c r="AJ3040" s="471">
        <v>0</v>
      </c>
      <c r="AK3040" s="218">
        <v>0</v>
      </c>
      <c r="AL3040" s="470">
        <v>0</v>
      </c>
      <c r="AM3040" s="471">
        <v>0</v>
      </c>
      <c r="AN3040" s="477">
        <v>0</v>
      </c>
      <c r="AO3040" s="473">
        <v>0</v>
      </c>
      <c r="AP3040" s="474">
        <v>0</v>
      </c>
      <c r="AQ3040" s="352"/>
      <c r="AR3040" s="352"/>
      <c r="AS3040" s="352"/>
      <c r="AT3040" s="352"/>
      <c r="AU3040" s="352"/>
      <c r="AV3040" s="352"/>
      <c r="AW3040" s="352" t="s">
        <v>254</v>
      </c>
    </row>
    <row r="3041" spans="2:49" x14ac:dyDescent="0.2">
      <c r="B3041" s="460" t="s">
        <v>3259</v>
      </c>
      <c r="C3041" s="460">
        <v>4121</v>
      </c>
      <c r="D3041" s="460" t="s">
        <v>2340</v>
      </c>
      <c r="E3041" s="460" t="s">
        <v>2330</v>
      </c>
      <c r="F3041" s="460">
        <v>3</v>
      </c>
      <c r="G3041" s="460">
        <v>3</v>
      </c>
      <c r="H3041" s="461" t="s">
        <v>746</v>
      </c>
      <c r="I3041" s="461" t="s">
        <v>762</v>
      </c>
      <c r="J3041" s="461" t="s">
        <v>700</v>
      </c>
      <c r="K3041" s="594"/>
      <c r="L3041" s="594"/>
      <c r="M3041" s="352">
        <v>4000</v>
      </c>
      <c r="N3041" s="352" t="s">
        <v>716</v>
      </c>
      <c r="O3041" s="460">
        <v>4121</v>
      </c>
      <c r="P3041" s="460" t="s">
        <v>772</v>
      </c>
      <c r="Q3041" s="460" t="s">
        <v>2531</v>
      </c>
      <c r="R3041" s="460">
        <v>4121</v>
      </c>
      <c r="S3041" s="460" t="s">
        <v>2324</v>
      </c>
      <c r="T3041" s="462">
        <v>1</v>
      </c>
      <c r="U3041" s="460" t="s">
        <v>2330</v>
      </c>
      <c r="V3041" s="475">
        <v>0</v>
      </c>
      <c r="W3041" s="463" t="s">
        <v>2268</v>
      </c>
      <c r="X3041" s="463" t="s">
        <v>2268</v>
      </c>
      <c r="Y3041" s="463" t="s">
        <v>2290</v>
      </c>
      <c r="Z3041" s="463"/>
      <c r="AA3041" s="463"/>
      <c r="AB3041" s="464">
        <v>0</v>
      </c>
      <c r="AC3041" s="465">
        <v>0</v>
      </c>
      <c r="AD3041" s="465">
        <v>0</v>
      </c>
      <c r="AE3041" s="476">
        <v>0</v>
      </c>
      <c r="AF3041" s="467">
        <v>0</v>
      </c>
      <c r="AG3041" s="468">
        <v>0</v>
      </c>
      <c r="AH3041" s="218">
        <v>0</v>
      </c>
      <c r="AI3041" s="470">
        <v>0</v>
      </c>
      <c r="AJ3041" s="471">
        <v>0</v>
      </c>
      <c r="AK3041" s="218">
        <v>0</v>
      </c>
      <c r="AL3041" s="470">
        <v>0</v>
      </c>
      <c r="AM3041" s="471">
        <v>0</v>
      </c>
      <c r="AN3041" s="477">
        <v>0</v>
      </c>
      <c r="AO3041" s="473">
        <v>0</v>
      </c>
      <c r="AP3041" s="474">
        <v>0</v>
      </c>
      <c r="AQ3041" s="352"/>
      <c r="AR3041" s="352"/>
      <c r="AS3041" s="352"/>
      <c r="AT3041" s="352"/>
      <c r="AU3041" s="352"/>
      <c r="AV3041" s="352"/>
      <c r="AW3041" s="352" t="s">
        <v>254</v>
      </c>
    </row>
    <row r="3042" spans="2:49" x14ac:dyDescent="0.2">
      <c r="B3042" s="460" t="s">
        <v>3260</v>
      </c>
      <c r="C3042" s="460">
        <v>4121</v>
      </c>
      <c r="D3042" s="460" t="s">
        <v>2341</v>
      </c>
      <c r="E3042" s="460" t="s">
        <v>2333</v>
      </c>
      <c r="F3042" s="460">
        <v>4</v>
      </c>
      <c r="G3042" s="460">
        <v>3</v>
      </c>
      <c r="H3042" s="461" t="s">
        <v>746</v>
      </c>
      <c r="I3042" s="461" t="s">
        <v>762</v>
      </c>
      <c r="J3042" s="461" t="s">
        <v>700</v>
      </c>
      <c r="K3042" s="594"/>
      <c r="L3042" s="594"/>
      <c r="M3042" s="352">
        <v>4000</v>
      </c>
      <c r="N3042" s="352" t="s">
        <v>716</v>
      </c>
      <c r="O3042" s="460">
        <v>4121</v>
      </c>
      <c r="P3042" s="460" t="s">
        <v>772</v>
      </c>
      <c r="Q3042" s="460" t="s">
        <v>2531</v>
      </c>
      <c r="R3042" s="460">
        <v>4121</v>
      </c>
      <c r="S3042" s="460" t="s">
        <v>2333</v>
      </c>
      <c r="T3042" s="462">
        <v>1</v>
      </c>
      <c r="U3042" s="460" t="s">
        <v>2333</v>
      </c>
      <c r="V3042" s="475">
        <v>0</v>
      </c>
      <c r="W3042" s="463" t="s">
        <v>2268</v>
      </c>
      <c r="X3042" s="463" t="s">
        <v>2268</v>
      </c>
      <c r="Y3042" s="463" t="s">
        <v>2290</v>
      </c>
      <c r="Z3042" s="463"/>
      <c r="AA3042" s="463"/>
      <c r="AB3042" s="464">
        <v>0</v>
      </c>
      <c r="AC3042" s="465">
        <v>0</v>
      </c>
      <c r="AD3042" s="465">
        <v>0</v>
      </c>
      <c r="AE3042" s="476">
        <v>0</v>
      </c>
      <c r="AF3042" s="467">
        <v>0</v>
      </c>
      <c r="AG3042" s="468">
        <v>0</v>
      </c>
      <c r="AH3042" s="218">
        <v>0</v>
      </c>
      <c r="AI3042" s="470">
        <v>0</v>
      </c>
      <c r="AJ3042" s="471">
        <v>0</v>
      </c>
      <c r="AK3042" s="218">
        <v>0</v>
      </c>
      <c r="AL3042" s="470">
        <v>0</v>
      </c>
      <c r="AM3042" s="471">
        <v>0</v>
      </c>
      <c r="AN3042" s="477">
        <v>0</v>
      </c>
      <c r="AO3042" s="473">
        <v>0</v>
      </c>
      <c r="AP3042" s="474">
        <v>0</v>
      </c>
      <c r="AQ3042" s="352"/>
      <c r="AR3042" s="352"/>
      <c r="AS3042" s="352"/>
      <c r="AT3042" s="352"/>
      <c r="AU3042" s="352"/>
      <c r="AV3042" s="352"/>
      <c r="AW3042" s="352" t="s">
        <v>254</v>
      </c>
    </row>
    <row r="3043" spans="2:49" x14ac:dyDescent="0.2">
      <c r="B3043" s="460" t="s">
        <v>3257</v>
      </c>
      <c r="C3043" s="460">
        <v>4121</v>
      </c>
      <c r="D3043" s="460" t="s">
        <v>2342</v>
      </c>
      <c r="E3043" s="460" t="s">
        <v>2324</v>
      </c>
      <c r="F3043" s="460">
        <v>1</v>
      </c>
      <c r="G3043" s="460">
        <v>3</v>
      </c>
      <c r="H3043" s="461" t="s">
        <v>748</v>
      </c>
      <c r="I3043" s="461" t="s">
        <v>765</v>
      </c>
      <c r="J3043" s="461" t="s">
        <v>700</v>
      </c>
      <c r="K3043" s="594"/>
      <c r="L3043" s="594"/>
      <c r="M3043" s="352">
        <v>4000</v>
      </c>
      <c r="N3043" s="352" t="s">
        <v>716</v>
      </c>
      <c r="O3043" s="460">
        <v>4121</v>
      </c>
      <c r="P3043" s="460" t="s">
        <v>772</v>
      </c>
      <c r="Q3043" s="460" t="s">
        <v>2527</v>
      </c>
      <c r="R3043" s="460">
        <v>4121</v>
      </c>
      <c r="S3043" s="460" t="s">
        <v>2324</v>
      </c>
      <c r="T3043" s="462">
        <v>1</v>
      </c>
      <c r="U3043" s="460" t="s">
        <v>2324</v>
      </c>
      <c r="V3043" s="475">
        <v>0</v>
      </c>
      <c r="W3043" s="463" t="s">
        <v>2268</v>
      </c>
      <c r="X3043" s="463" t="s">
        <v>2268</v>
      </c>
      <c r="Y3043" s="463" t="s">
        <v>2267</v>
      </c>
      <c r="Z3043" s="463"/>
      <c r="AA3043" s="463"/>
      <c r="AB3043" s="464">
        <v>0</v>
      </c>
      <c r="AC3043" s="465">
        <v>0</v>
      </c>
      <c r="AD3043" s="465">
        <v>0</v>
      </c>
      <c r="AE3043" s="476">
        <v>0</v>
      </c>
      <c r="AF3043" s="467">
        <v>0</v>
      </c>
      <c r="AG3043" s="468">
        <v>0</v>
      </c>
      <c r="AH3043" s="218">
        <v>0</v>
      </c>
      <c r="AI3043" s="470">
        <v>0</v>
      </c>
      <c r="AJ3043" s="471">
        <v>0</v>
      </c>
      <c r="AK3043" s="218">
        <v>0</v>
      </c>
      <c r="AL3043" s="470">
        <v>0</v>
      </c>
      <c r="AM3043" s="471">
        <v>0</v>
      </c>
      <c r="AN3043" s="477">
        <v>72.405006906661782</v>
      </c>
      <c r="AO3043" s="473">
        <v>9.0924046045135321E-2</v>
      </c>
      <c r="AP3043" s="474">
        <v>3.7688120420357155E-3</v>
      </c>
      <c r="AQ3043" s="352"/>
      <c r="AR3043" s="352"/>
      <c r="AS3043" s="352"/>
      <c r="AT3043" s="352"/>
      <c r="AU3043" s="352"/>
      <c r="AV3043" s="352"/>
      <c r="AW3043" s="352" t="s">
        <v>254</v>
      </c>
    </row>
    <row r="3044" spans="2:49" x14ac:dyDescent="0.2">
      <c r="B3044" s="460" t="s">
        <v>3258</v>
      </c>
      <c r="C3044" s="460">
        <v>4121</v>
      </c>
      <c r="D3044" s="460" t="s">
        <v>2343</v>
      </c>
      <c r="E3044" s="460" t="s">
        <v>2327</v>
      </c>
      <c r="F3044" s="460">
        <v>2</v>
      </c>
      <c r="G3044" s="460">
        <v>3</v>
      </c>
      <c r="H3044" s="461" t="s">
        <v>748</v>
      </c>
      <c r="I3044" s="461" t="s">
        <v>765</v>
      </c>
      <c r="J3044" s="461" t="s">
        <v>700</v>
      </c>
      <c r="K3044" s="594"/>
      <c r="L3044" s="594"/>
      <c r="M3044" s="352">
        <v>4000</v>
      </c>
      <c r="N3044" s="352" t="s">
        <v>716</v>
      </c>
      <c r="O3044" s="460">
        <v>4121</v>
      </c>
      <c r="P3044" s="460" t="s">
        <v>772</v>
      </c>
      <c r="Q3044" s="460" t="s">
        <v>2527</v>
      </c>
      <c r="R3044" s="460">
        <v>4121</v>
      </c>
      <c r="S3044" s="460" t="s">
        <v>2324</v>
      </c>
      <c r="T3044" s="462">
        <v>1</v>
      </c>
      <c r="U3044" s="460" t="s">
        <v>2327</v>
      </c>
      <c r="V3044" s="475">
        <v>0</v>
      </c>
      <c r="W3044" s="463" t="s">
        <v>2268</v>
      </c>
      <c r="X3044" s="463" t="s">
        <v>2268</v>
      </c>
      <c r="Y3044" s="463" t="s">
        <v>2267</v>
      </c>
      <c r="Z3044" s="463"/>
      <c r="AA3044" s="463"/>
      <c r="AB3044" s="464">
        <v>0</v>
      </c>
      <c r="AC3044" s="465">
        <v>0</v>
      </c>
      <c r="AD3044" s="465">
        <v>0</v>
      </c>
      <c r="AE3044" s="476">
        <v>0</v>
      </c>
      <c r="AF3044" s="467">
        <v>0</v>
      </c>
      <c r="AG3044" s="468">
        <v>0</v>
      </c>
      <c r="AH3044" s="218">
        <v>0</v>
      </c>
      <c r="AI3044" s="470">
        <v>0</v>
      </c>
      <c r="AJ3044" s="471">
        <v>0</v>
      </c>
      <c r="AK3044" s="218">
        <v>0</v>
      </c>
      <c r="AL3044" s="470">
        <v>0</v>
      </c>
      <c r="AM3044" s="471">
        <v>0</v>
      </c>
      <c r="AN3044" s="477">
        <v>55.024624570585914</v>
      </c>
      <c r="AO3044" s="473">
        <v>0.15911956694551241</v>
      </c>
      <c r="AP3044" s="474">
        <v>4.8913321517094835E-3</v>
      </c>
      <c r="AQ3044" s="352"/>
      <c r="AR3044" s="352"/>
      <c r="AS3044" s="352"/>
      <c r="AT3044" s="352"/>
      <c r="AU3044" s="352"/>
      <c r="AV3044" s="352"/>
      <c r="AW3044" s="352" t="s">
        <v>254</v>
      </c>
    </row>
    <row r="3045" spans="2:49" x14ac:dyDescent="0.2">
      <c r="B3045" s="460" t="s">
        <v>3259</v>
      </c>
      <c r="C3045" s="460">
        <v>4121</v>
      </c>
      <c r="D3045" s="460" t="s">
        <v>2344</v>
      </c>
      <c r="E3045" s="460" t="s">
        <v>2330</v>
      </c>
      <c r="F3045" s="460">
        <v>3</v>
      </c>
      <c r="G3045" s="460">
        <v>3</v>
      </c>
      <c r="H3045" s="461" t="s">
        <v>748</v>
      </c>
      <c r="I3045" s="461" t="s">
        <v>765</v>
      </c>
      <c r="J3045" s="461" t="s">
        <v>700</v>
      </c>
      <c r="K3045" s="594"/>
      <c r="L3045" s="594"/>
      <c r="M3045" s="352">
        <v>4000</v>
      </c>
      <c r="N3045" s="352" t="s">
        <v>716</v>
      </c>
      <c r="O3045" s="460">
        <v>4121</v>
      </c>
      <c r="P3045" s="460" t="s">
        <v>772</v>
      </c>
      <c r="Q3045" s="460" t="s">
        <v>2527</v>
      </c>
      <c r="R3045" s="460">
        <v>4121</v>
      </c>
      <c r="S3045" s="460" t="s">
        <v>2324</v>
      </c>
      <c r="T3045" s="462">
        <v>1</v>
      </c>
      <c r="U3045" s="460" t="s">
        <v>2330</v>
      </c>
      <c r="V3045" s="475">
        <v>0</v>
      </c>
      <c r="W3045" s="463" t="s">
        <v>2268</v>
      </c>
      <c r="X3045" s="463" t="s">
        <v>2268</v>
      </c>
      <c r="Y3045" s="463" t="s">
        <v>2267</v>
      </c>
      <c r="Z3045" s="463"/>
      <c r="AA3045" s="463"/>
      <c r="AB3045" s="464">
        <v>0</v>
      </c>
      <c r="AC3045" s="465">
        <v>0</v>
      </c>
      <c r="AD3045" s="465">
        <v>0</v>
      </c>
      <c r="AE3045" s="476">
        <v>0</v>
      </c>
      <c r="AF3045" s="467">
        <v>0</v>
      </c>
      <c r="AG3045" s="468">
        <v>0</v>
      </c>
      <c r="AH3045" s="218">
        <v>0</v>
      </c>
      <c r="AI3045" s="470">
        <v>0</v>
      </c>
      <c r="AJ3045" s="471">
        <v>0</v>
      </c>
      <c r="AK3045" s="218">
        <v>0</v>
      </c>
      <c r="AL3045" s="470">
        <v>0</v>
      </c>
      <c r="AM3045" s="471">
        <v>0</v>
      </c>
      <c r="AN3045" s="477">
        <v>12.837791241505753</v>
      </c>
      <c r="AO3045" s="473">
        <v>0.22270561174245526</v>
      </c>
      <c r="AP3045" s="474">
        <v>3.4993600330187309E-3</v>
      </c>
      <c r="AQ3045" s="352"/>
      <c r="AR3045" s="352"/>
      <c r="AS3045" s="352"/>
      <c r="AT3045" s="352"/>
      <c r="AU3045" s="352"/>
      <c r="AV3045" s="352"/>
      <c r="AW3045" s="352" t="s">
        <v>254</v>
      </c>
    </row>
    <row r="3046" spans="2:49" x14ac:dyDescent="0.2">
      <c r="B3046" s="460" t="s">
        <v>3260</v>
      </c>
      <c r="C3046" s="460">
        <v>4121</v>
      </c>
      <c r="D3046" s="460" t="s">
        <v>2345</v>
      </c>
      <c r="E3046" s="460" t="s">
        <v>2333</v>
      </c>
      <c r="F3046" s="460">
        <v>4</v>
      </c>
      <c r="G3046" s="460">
        <v>3</v>
      </c>
      <c r="H3046" s="461" t="s">
        <v>748</v>
      </c>
      <c r="I3046" s="461" t="s">
        <v>765</v>
      </c>
      <c r="J3046" s="461" t="s">
        <v>700</v>
      </c>
      <c r="K3046" s="594"/>
      <c r="L3046" s="594"/>
      <c r="M3046" s="352">
        <v>4000</v>
      </c>
      <c r="N3046" s="352" t="s">
        <v>716</v>
      </c>
      <c r="O3046" s="460">
        <v>4121</v>
      </c>
      <c r="P3046" s="460" t="s">
        <v>772</v>
      </c>
      <c r="Q3046" s="460" t="s">
        <v>2527</v>
      </c>
      <c r="R3046" s="460">
        <v>4121</v>
      </c>
      <c r="S3046" s="460" t="s">
        <v>2333</v>
      </c>
      <c r="T3046" s="462">
        <v>1</v>
      </c>
      <c r="U3046" s="460" t="s">
        <v>2333</v>
      </c>
      <c r="V3046" s="475">
        <v>0</v>
      </c>
      <c r="W3046" s="463" t="s">
        <v>2268</v>
      </c>
      <c r="X3046" s="463" t="s">
        <v>2268</v>
      </c>
      <c r="Y3046" s="463" t="s">
        <v>2278</v>
      </c>
      <c r="Z3046" s="463"/>
      <c r="AA3046" s="463"/>
      <c r="AB3046" s="464">
        <v>0</v>
      </c>
      <c r="AC3046" s="465">
        <v>0</v>
      </c>
      <c r="AD3046" s="465">
        <v>0</v>
      </c>
      <c r="AE3046" s="476">
        <v>0</v>
      </c>
      <c r="AF3046" s="467">
        <v>0</v>
      </c>
      <c r="AG3046" s="468">
        <v>0</v>
      </c>
      <c r="AH3046" s="218">
        <v>0</v>
      </c>
      <c r="AI3046" s="470">
        <v>0</v>
      </c>
      <c r="AJ3046" s="471">
        <v>0</v>
      </c>
      <c r="AK3046" s="218">
        <v>0</v>
      </c>
      <c r="AL3046" s="470">
        <v>0</v>
      </c>
      <c r="AM3046" s="471">
        <v>0</v>
      </c>
      <c r="AN3046" s="477">
        <v>535.75789084005146</v>
      </c>
      <c r="AO3046" s="473">
        <v>0.91243297449359329</v>
      </c>
      <c r="AP3046" s="474">
        <v>0.33362958340249199</v>
      </c>
      <c r="AQ3046" s="352"/>
      <c r="AR3046" s="352"/>
      <c r="AS3046" s="352"/>
      <c r="AT3046" s="352"/>
      <c r="AU3046" s="352"/>
      <c r="AV3046" s="352"/>
      <c r="AW3046" s="352" t="s">
        <v>254</v>
      </c>
    </row>
    <row r="3047" spans="2:49" x14ac:dyDescent="0.2">
      <c r="B3047" s="460" t="s">
        <v>3257</v>
      </c>
      <c r="C3047" s="460">
        <v>4121</v>
      </c>
      <c r="D3047" s="460" t="s">
        <v>2346</v>
      </c>
      <c r="E3047" s="460" t="s">
        <v>2324</v>
      </c>
      <c r="F3047" s="460">
        <v>1</v>
      </c>
      <c r="G3047" s="460">
        <v>3</v>
      </c>
      <c r="H3047" s="461" t="s">
        <v>752</v>
      </c>
      <c r="I3047" s="461" t="s">
        <v>964</v>
      </c>
      <c r="J3047" s="461" t="s">
        <v>752</v>
      </c>
      <c r="K3047" s="594"/>
      <c r="L3047" s="594"/>
      <c r="M3047" s="352">
        <v>4000</v>
      </c>
      <c r="N3047" s="352" t="s">
        <v>716</v>
      </c>
      <c r="O3047" s="460">
        <v>4121</v>
      </c>
      <c r="P3047" s="460" t="s">
        <v>772</v>
      </c>
      <c r="Q3047" s="460" t="s">
        <v>2527</v>
      </c>
      <c r="R3047" s="460">
        <v>4121</v>
      </c>
      <c r="S3047" s="460" t="s">
        <v>2324</v>
      </c>
      <c r="T3047" s="462">
        <v>1</v>
      </c>
      <c r="U3047" s="460" t="s">
        <v>2324</v>
      </c>
      <c r="V3047" s="475">
        <v>0</v>
      </c>
      <c r="W3047" s="463" t="s">
        <v>2278</v>
      </c>
      <c r="X3047" s="463" t="s">
        <v>2278</v>
      </c>
      <c r="Y3047" s="463" t="s">
        <v>2278</v>
      </c>
      <c r="Z3047" s="463"/>
      <c r="AA3047" s="463"/>
      <c r="AB3047" s="464">
        <v>0</v>
      </c>
      <c r="AC3047" s="465">
        <v>0</v>
      </c>
      <c r="AD3047" s="465">
        <v>0</v>
      </c>
      <c r="AE3047" s="476">
        <v>0</v>
      </c>
      <c r="AF3047" s="467">
        <v>0</v>
      </c>
      <c r="AG3047" s="468">
        <v>0</v>
      </c>
      <c r="AH3047" s="218">
        <v>0</v>
      </c>
      <c r="AI3047" s="470">
        <v>0</v>
      </c>
      <c r="AJ3047" s="471">
        <v>0</v>
      </c>
      <c r="AK3047" s="218">
        <v>0</v>
      </c>
      <c r="AL3047" s="470">
        <v>0</v>
      </c>
      <c r="AM3047" s="471">
        <v>0</v>
      </c>
      <c r="AN3047" s="477">
        <v>0</v>
      </c>
      <c r="AO3047" s="473">
        <v>0</v>
      </c>
      <c r="AP3047" s="474">
        <v>0</v>
      </c>
      <c r="AQ3047" s="352"/>
      <c r="AR3047" s="352"/>
      <c r="AS3047" s="352"/>
      <c r="AT3047" s="352"/>
      <c r="AU3047" s="352"/>
      <c r="AV3047" s="352"/>
      <c r="AW3047" s="352" t="s">
        <v>254</v>
      </c>
    </row>
    <row r="3048" spans="2:49" x14ac:dyDescent="0.2">
      <c r="B3048" s="460" t="s">
        <v>3258</v>
      </c>
      <c r="C3048" s="460">
        <v>4121</v>
      </c>
      <c r="D3048" s="460" t="s">
        <v>2347</v>
      </c>
      <c r="E3048" s="460" t="s">
        <v>2327</v>
      </c>
      <c r="F3048" s="460">
        <v>2</v>
      </c>
      <c r="G3048" s="460">
        <v>3</v>
      </c>
      <c r="H3048" s="461" t="s">
        <v>752</v>
      </c>
      <c r="I3048" s="461" t="s">
        <v>964</v>
      </c>
      <c r="J3048" s="461" t="s">
        <v>752</v>
      </c>
      <c r="K3048" s="594"/>
      <c r="L3048" s="594"/>
      <c r="M3048" s="352">
        <v>4000</v>
      </c>
      <c r="N3048" s="352" t="s">
        <v>716</v>
      </c>
      <c r="O3048" s="460">
        <v>4121</v>
      </c>
      <c r="P3048" s="460" t="s">
        <v>772</v>
      </c>
      <c r="Q3048" s="460" t="s">
        <v>2527</v>
      </c>
      <c r="R3048" s="460">
        <v>4121</v>
      </c>
      <c r="S3048" s="460" t="s">
        <v>2324</v>
      </c>
      <c r="T3048" s="462">
        <v>1</v>
      </c>
      <c r="U3048" s="460" t="s">
        <v>2327</v>
      </c>
      <c r="V3048" s="475">
        <v>0</v>
      </c>
      <c r="W3048" s="463" t="s">
        <v>2278</v>
      </c>
      <c r="X3048" s="463" t="s">
        <v>2278</v>
      </c>
      <c r="Y3048" s="463" t="s">
        <v>2278</v>
      </c>
      <c r="Z3048" s="463"/>
      <c r="AA3048" s="463"/>
      <c r="AB3048" s="464">
        <v>0</v>
      </c>
      <c r="AC3048" s="465">
        <v>0</v>
      </c>
      <c r="AD3048" s="465">
        <v>0</v>
      </c>
      <c r="AE3048" s="476">
        <v>0</v>
      </c>
      <c r="AF3048" s="467">
        <v>0</v>
      </c>
      <c r="AG3048" s="468">
        <v>0</v>
      </c>
      <c r="AH3048" s="218">
        <v>0</v>
      </c>
      <c r="AI3048" s="470">
        <v>0</v>
      </c>
      <c r="AJ3048" s="471">
        <v>0</v>
      </c>
      <c r="AK3048" s="218">
        <v>0</v>
      </c>
      <c r="AL3048" s="470">
        <v>0</v>
      </c>
      <c r="AM3048" s="471">
        <v>0</v>
      </c>
      <c r="AN3048" s="477">
        <v>0</v>
      </c>
      <c r="AO3048" s="473">
        <v>0</v>
      </c>
      <c r="AP3048" s="474">
        <v>0</v>
      </c>
      <c r="AQ3048" s="352"/>
      <c r="AR3048" s="352"/>
      <c r="AS3048" s="352"/>
      <c r="AT3048" s="352"/>
      <c r="AU3048" s="352"/>
      <c r="AV3048" s="352"/>
      <c r="AW3048" s="352" t="s">
        <v>254</v>
      </c>
    </row>
    <row r="3049" spans="2:49" x14ac:dyDescent="0.2">
      <c r="B3049" s="460" t="s">
        <v>3259</v>
      </c>
      <c r="C3049" s="460">
        <v>4121</v>
      </c>
      <c r="D3049" s="460" t="s">
        <v>2348</v>
      </c>
      <c r="E3049" s="460" t="s">
        <v>2330</v>
      </c>
      <c r="F3049" s="460">
        <v>3</v>
      </c>
      <c r="G3049" s="460">
        <v>3</v>
      </c>
      <c r="H3049" s="461" t="s">
        <v>752</v>
      </c>
      <c r="I3049" s="461" t="s">
        <v>964</v>
      </c>
      <c r="J3049" s="461" t="s">
        <v>752</v>
      </c>
      <c r="K3049" s="594"/>
      <c r="L3049" s="594"/>
      <c r="M3049" s="352">
        <v>4000</v>
      </c>
      <c r="N3049" s="352" t="s">
        <v>716</v>
      </c>
      <c r="O3049" s="460">
        <v>4121</v>
      </c>
      <c r="P3049" s="460" t="s">
        <v>772</v>
      </c>
      <c r="Q3049" s="460" t="s">
        <v>2527</v>
      </c>
      <c r="R3049" s="460">
        <v>4121</v>
      </c>
      <c r="S3049" s="460" t="s">
        <v>2324</v>
      </c>
      <c r="T3049" s="462">
        <v>1</v>
      </c>
      <c r="U3049" s="460" t="s">
        <v>2330</v>
      </c>
      <c r="V3049" s="475">
        <v>0</v>
      </c>
      <c r="W3049" s="463" t="s">
        <v>2278</v>
      </c>
      <c r="X3049" s="463" t="s">
        <v>2278</v>
      </c>
      <c r="Y3049" s="463" t="s">
        <v>2278</v>
      </c>
      <c r="Z3049" s="463"/>
      <c r="AA3049" s="463"/>
      <c r="AB3049" s="464">
        <v>0</v>
      </c>
      <c r="AC3049" s="465">
        <v>0</v>
      </c>
      <c r="AD3049" s="465">
        <v>0</v>
      </c>
      <c r="AE3049" s="476">
        <v>0</v>
      </c>
      <c r="AF3049" s="467">
        <v>0</v>
      </c>
      <c r="AG3049" s="468">
        <v>0</v>
      </c>
      <c r="AH3049" s="218">
        <v>0</v>
      </c>
      <c r="AI3049" s="470">
        <v>0</v>
      </c>
      <c r="AJ3049" s="471">
        <v>0</v>
      </c>
      <c r="AK3049" s="218">
        <v>0</v>
      </c>
      <c r="AL3049" s="470">
        <v>0</v>
      </c>
      <c r="AM3049" s="471">
        <v>0</v>
      </c>
      <c r="AN3049" s="477">
        <v>0</v>
      </c>
      <c r="AO3049" s="473">
        <v>0</v>
      </c>
      <c r="AP3049" s="474">
        <v>0</v>
      </c>
      <c r="AQ3049" s="352"/>
      <c r="AR3049" s="352"/>
      <c r="AS3049" s="352"/>
      <c r="AT3049" s="352"/>
      <c r="AU3049" s="352"/>
      <c r="AV3049" s="352"/>
      <c r="AW3049" s="352" t="s">
        <v>254</v>
      </c>
    </row>
    <row r="3050" spans="2:49" x14ac:dyDescent="0.2">
      <c r="B3050" s="460" t="s">
        <v>3260</v>
      </c>
      <c r="C3050" s="460">
        <v>4121</v>
      </c>
      <c r="D3050" s="460" t="s">
        <v>2349</v>
      </c>
      <c r="E3050" s="460" t="s">
        <v>2333</v>
      </c>
      <c r="F3050" s="460">
        <v>4</v>
      </c>
      <c r="G3050" s="460">
        <v>3</v>
      </c>
      <c r="H3050" s="461" t="s">
        <v>752</v>
      </c>
      <c r="I3050" s="461" t="s">
        <v>964</v>
      </c>
      <c r="J3050" s="461" t="s">
        <v>752</v>
      </c>
      <c r="K3050" s="594"/>
      <c r="L3050" s="594"/>
      <c r="M3050" s="352">
        <v>4000</v>
      </c>
      <c r="N3050" s="352" t="s">
        <v>716</v>
      </c>
      <c r="O3050" s="460">
        <v>4121</v>
      </c>
      <c r="P3050" s="460" t="s">
        <v>772</v>
      </c>
      <c r="Q3050" s="460" t="s">
        <v>2527</v>
      </c>
      <c r="R3050" s="460">
        <v>4121</v>
      </c>
      <c r="S3050" s="460" t="s">
        <v>2333</v>
      </c>
      <c r="T3050" s="462">
        <v>1</v>
      </c>
      <c r="U3050" s="460" t="s">
        <v>2333</v>
      </c>
      <c r="V3050" s="475">
        <v>0</v>
      </c>
      <c r="W3050" s="463" t="s">
        <v>2278</v>
      </c>
      <c r="X3050" s="463" t="s">
        <v>2278</v>
      </c>
      <c r="Y3050" s="463" t="s">
        <v>2278</v>
      </c>
      <c r="Z3050" s="463"/>
      <c r="AA3050" s="463"/>
      <c r="AB3050" s="464">
        <v>0</v>
      </c>
      <c r="AC3050" s="465">
        <v>0</v>
      </c>
      <c r="AD3050" s="465">
        <v>0</v>
      </c>
      <c r="AE3050" s="476">
        <v>0</v>
      </c>
      <c r="AF3050" s="467">
        <v>0</v>
      </c>
      <c r="AG3050" s="468">
        <v>0</v>
      </c>
      <c r="AH3050" s="218">
        <v>0</v>
      </c>
      <c r="AI3050" s="470">
        <v>0</v>
      </c>
      <c r="AJ3050" s="471">
        <v>0</v>
      </c>
      <c r="AK3050" s="218">
        <v>0</v>
      </c>
      <c r="AL3050" s="470">
        <v>0</v>
      </c>
      <c r="AM3050" s="471">
        <v>0</v>
      </c>
      <c r="AN3050" s="477">
        <v>0</v>
      </c>
      <c r="AO3050" s="473">
        <v>0</v>
      </c>
      <c r="AP3050" s="474">
        <v>0</v>
      </c>
      <c r="AQ3050" s="352"/>
      <c r="AR3050" s="352"/>
      <c r="AS3050" s="352"/>
      <c r="AT3050" s="352"/>
      <c r="AU3050" s="352"/>
      <c r="AV3050" s="352"/>
      <c r="AW3050" s="352" t="s">
        <v>254</v>
      </c>
    </row>
    <row r="3051" spans="2:49" x14ac:dyDescent="0.2">
      <c r="B3051" s="460" t="s">
        <v>3261</v>
      </c>
      <c r="C3051" s="460">
        <v>4121</v>
      </c>
      <c r="D3051" s="460" t="s">
        <v>2351</v>
      </c>
      <c r="E3051" s="460" t="s">
        <v>1136</v>
      </c>
      <c r="F3051" s="460">
        <v>1</v>
      </c>
      <c r="G3051" s="460">
        <v>4</v>
      </c>
      <c r="H3051" s="461" t="s">
        <v>700</v>
      </c>
      <c r="I3051" s="461" t="s">
        <v>872</v>
      </c>
      <c r="J3051" s="461" t="s">
        <v>700</v>
      </c>
      <c r="K3051" s="594"/>
      <c r="L3051" s="594"/>
      <c r="M3051" s="352">
        <v>4000</v>
      </c>
      <c r="N3051" s="352" t="s">
        <v>716</v>
      </c>
      <c r="O3051" s="460">
        <v>4121</v>
      </c>
      <c r="P3051" s="460" t="s">
        <v>772</v>
      </c>
      <c r="Q3051" s="460" t="s">
        <v>2527</v>
      </c>
      <c r="R3051" s="460">
        <v>4121</v>
      </c>
      <c r="S3051" s="460" t="s">
        <v>1136</v>
      </c>
      <c r="T3051" s="462">
        <v>1</v>
      </c>
      <c r="U3051" s="460" t="s">
        <v>1136</v>
      </c>
      <c r="V3051" s="475">
        <v>0</v>
      </c>
      <c r="W3051" s="463" t="s">
        <v>2267</v>
      </c>
      <c r="X3051" s="463" t="s">
        <v>2267</v>
      </c>
      <c r="Y3051" s="463" t="s">
        <v>2268</v>
      </c>
      <c r="Z3051" s="463"/>
      <c r="AA3051" s="463"/>
      <c r="AB3051" s="464">
        <v>0.31672557519576222</v>
      </c>
      <c r="AC3051" s="465">
        <v>2.5388368367423139E-3</v>
      </c>
      <c r="AD3051" s="465">
        <v>9.0115052931906642E-4</v>
      </c>
      <c r="AE3051" s="476">
        <v>0.31672557519576222</v>
      </c>
      <c r="AF3051" s="467">
        <v>2.5388368367423139E-3</v>
      </c>
      <c r="AG3051" s="468">
        <v>9.7960610538477193E-4</v>
      </c>
      <c r="AH3051" s="218">
        <v>0.31672557519576222</v>
      </c>
      <c r="AI3051" s="470">
        <v>2.5388368367423139E-3</v>
      </c>
      <c r="AJ3051" s="471">
        <v>2.473520716541107E-4</v>
      </c>
      <c r="AK3051" s="218">
        <v>0.31672557519576222</v>
      </c>
      <c r="AL3051" s="470">
        <v>2.5388368367423139E-3</v>
      </c>
      <c r="AM3051" s="471">
        <v>2.473520716541107E-4</v>
      </c>
      <c r="AN3051" s="477">
        <v>0</v>
      </c>
      <c r="AO3051" s="473">
        <v>0</v>
      </c>
      <c r="AP3051" s="474">
        <v>0</v>
      </c>
      <c r="AQ3051" s="352"/>
      <c r="AR3051" s="352"/>
      <c r="AS3051" s="352"/>
      <c r="AT3051" s="352"/>
      <c r="AU3051" s="352"/>
      <c r="AV3051" s="352"/>
      <c r="AW3051" s="352" t="s">
        <v>254</v>
      </c>
    </row>
    <row r="3052" spans="2:49" x14ac:dyDescent="0.2">
      <c r="B3052" s="460" t="s">
        <v>3262</v>
      </c>
      <c r="C3052" s="460">
        <v>4121</v>
      </c>
      <c r="D3052" s="460" t="s">
        <v>2353</v>
      </c>
      <c r="E3052" s="460" t="s">
        <v>1137</v>
      </c>
      <c r="F3052" s="460">
        <v>2</v>
      </c>
      <c r="G3052" s="460">
        <v>4</v>
      </c>
      <c r="H3052" s="461" t="s">
        <v>700</v>
      </c>
      <c r="I3052" s="461" t="s">
        <v>872</v>
      </c>
      <c r="J3052" s="461" t="s">
        <v>700</v>
      </c>
      <c r="K3052" s="594"/>
      <c r="L3052" s="594"/>
      <c r="M3052" s="352">
        <v>4000</v>
      </c>
      <c r="N3052" s="352" t="s">
        <v>716</v>
      </c>
      <c r="O3052" s="460">
        <v>4121</v>
      </c>
      <c r="P3052" s="460" t="s">
        <v>772</v>
      </c>
      <c r="Q3052" s="460" t="s">
        <v>2527</v>
      </c>
      <c r="R3052" s="460">
        <v>4121</v>
      </c>
      <c r="S3052" s="460" t="s">
        <v>1137</v>
      </c>
      <c r="T3052" s="462">
        <v>1</v>
      </c>
      <c r="U3052" s="460" t="s">
        <v>1137</v>
      </c>
      <c r="V3052" s="475">
        <v>0</v>
      </c>
      <c r="W3052" s="463" t="s">
        <v>2503</v>
      </c>
      <c r="X3052" s="463" t="s">
        <v>2267</v>
      </c>
      <c r="Y3052" s="463" t="s">
        <v>2268</v>
      </c>
      <c r="Z3052" s="463"/>
      <c r="AA3052" s="463"/>
      <c r="AB3052" s="464">
        <v>3.8741674713185428</v>
      </c>
      <c r="AC3052" s="465">
        <v>2.3248012349276863E-2</v>
      </c>
      <c r="AD3052" s="465">
        <v>8.7484559791583139E-4</v>
      </c>
      <c r="AE3052" s="476">
        <v>2.3245004827911258</v>
      </c>
      <c r="AF3052" s="467">
        <v>1.3948807409566118E-2</v>
      </c>
      <c r="AG3052" s="468">
        <v>5.6549883162594573E-4</v>
      </c>
      <c r="AH3052" s="218">
        <v>3.8741674713185428</v>
      </c>
      <c r="AI3052" s="470">
        <v>2.3248012349276863E-2</v>
      </c>
      <c r="AJ3052" s="471">
        <v>8.0043952610695608E-4</v>
      </c>
      <c r="AK3052" s="218">
        <v>3.8741674713185428</v>
      </c>
      <c r="AL3052" s="470">
        <v>2.3248012349276863E-2</v>
      </c>
      <c r="AM3052" s="471">
        <v>8.0043952610695608E-4</v>
      </c>
      <c r="AN3052" s="477">
        <v>0</v>
      </c>
      <c r="AO3052" s="473">
        <v>0</v>
      </c>
      <c r="AP3052" s="474">
        <v>0</v>
      </c>
      <c r="AQ3052" s="352"/>
      <c r="AR3052" s="352"/>
      <c r="AS3052" s="352"/>
      <c r="AT3052" s="352"/>
      <c r="AU3052" s="352"/>
      <c r="AV3052" s="352"/>
      <c r="AW3052" s="352" t="s">
        <v>254</v>
      </c>
    </row>
    <row r="3053" spans="2:49" x14ac:dyDescent="0.2">
      <c r="B3053" s="460" t="s">
        <v>3263</v>
      </c>
      <c r="C3053" s="460">
        <v>4121</v>
      </c>
      <c r="D3053" s="460" t="s">
        <v>2355</v>
      </c>
      <c r="E3053" s="460" t="s">
        <v>1138</v>
      </c>
      <c r="F3053" s="460">
        <v>3</v>
      </c>
      <c r="G3053" s="460">
        <v>4</v>
      </c>
      <c r="H3053" s="461" t="s">
        <v>700</v>
      </c>
      <c r="I3053" s="461" t="s">
        <v>872</v>
      </c>
      <c r="J3053" s="461" t="s">
        <v>700</v>
      </c>
      <c r="K3053" s="594"/>
      <c r="L3053" s="594"/>
      <c r="M3053" s="352">
        <v>4000</v>
      </c>
      <c r="N3053" s="352" t="s">
        <v>716</v>
      </c>
      <c r="O3053" s="460">
        <v>4121</v>
      </c>
      <c r="P3053" s="460" t="s">
        <v>772</v>
      </c>
      <c r="Q3053" s="460" t="s">
        <v>2527</v>
      </c>
      <c r="R3053" s="460">
        <v>4121</v>
      </c>
      <c r="S3053" s="460" t="s">
        <v>1138</v>
      </c>
      <c r="T3053" s="462">
        <v>1</v>
      </c>
      <c r="U3053" s="460" t="s">
        <v>1138</v>
      </c>
      <c r="V3053" s="475">
        <v>0</v>
      </c>
      <c r="W3053" s="463" t="s">
        <v>2503</v>
      </c>
      <c r="X3053" s="463" t="s">
        <v>2267</v>
      </c>
      <c r="Y3053" s="463" t="s">
        <v>2268</v>
      </c>
      <c r="Z3053" s="463"/>
      <c r="AA3053" s="463"/>
      <c r="AB3053" s="464">
        <v>2.5937411376720254</v>
      </c>
      <c r="AC3053" s="465">
        <v>2.444473342037521E-2</v>
      </c>
      <c r="AD3053" s="465">
        <v>1.0882511934562024E-3</v>
      </c>
      <c r="AE3053" s="476">
        <v>1.5562446826032152</v>
      </c>
      <c r="AF3053" s="467">
        <v>1.4666840052225126E-2</v>
      </c>
      <c r="AG3053" s="468">
        <v>7.0444548730035929E-4</v>
      </c>
      <c r="AH3053" s="218">
        <v>2.5937411376720254</v>
      </c>
      <c r="AI3053" s="470">
        <v>2.444473342037521E-2</v>
      </c>
      <c r="AJ3053" s="471">
        <v>8.9381923912948923E-4</v>
      </c>
      <c r="AK3053" s="218">
        <v>2.5937411376720254</v>
      </c>
      <c r="AL3053" s="470">
        <v>2.444473342037521E-2</v>
      </c>
      <c r="AM3053" s="471">
        <v>8.9381923912948923E-4</v>
      </c>
      <c r="AN3053" s="477">
        <v>0</v>
      </c>
      <c r="AO3053" s="473">
        <v>0</v>
      </c>
      <c r="AP3053" s="474">
        <v>0</v>
      </c>
      <c r="AQ3053" s="352"/>
      <c r="AR3053" s="352"/>
      <c r="AS3053" s="352"/>
      <c r="AT3053" s="352"/>
      <c r="AU3053" s="352"/>
      <c r="AV3053" s="352"/>
      <c r="AW3053" s="352" t="s">
        <v>254</v>
      </c>
    </row>
    <row r="3054" spans="2:49" x14ac:dyDescent="0.2">
      <c r="B3054" s="460" t="s">
        <v>3264</v>
      </c>
      <c r="C3054" s="460">
        <v>4121</v>
      </c>
      <c r="D3054" s="460" t="s">
        <v>2357</v>
      </c>
      <c r="E3054" s="460" t="s">
        <v>1139</v>
      </c>
      <c r="F3054" s="460">
        <v>4</v>
      </c>
      <c r="G3054" s="460">
        <v>4</v>
      </c>
      <c r="H3054" s="461" t="s">
        <v>700</v>
      </c>
      <c r="I3054" s="461" t="s">
        <v>872</v>
      </c>
      <c r="J3054" s="461" t="s">
        <v>700</v>
      </c>
      <c r="K3054" s="594"/>
      <c r="L3054" s="594"/>
      <c r="M3054" s="352">
        <v>4000</v>
      </c>
      <c r="N3054" s="352" t="s">
        <v>716</v>
      </c>
      <c r="O3054" s="460">
        <v>4121</v>
      </c>
      <c r="P3054" s="460" t="s">
        <v>772</v>
      </c>
      <c r="Q3054" s="460" t="s">
        <v>2527</v>
      </c>
      <c r="R3054" s="460">
        <v>4121</v>
      </c>
      <c r="S3054" s="460" t="s">
        <v>1139</v>
      </c>
      <c r="T3054" s="462">
        <v>1</v>
      </c>
      <c r="U3054" s="460" t="s">
        <v>1139</v>
      </c>
      <c r="V3054" s="475">
        <v>0</v>
      </c>
      <c r="W3054" s="463" t="s">
        <v>2503</v>
      </c>
      <c r="X3054" s="463" t="s">
        <v>2267</v>
      </c>
      <c r="Y3054" s="463" t="s">
        <v>2268</v>
      </c>
      <c r="Z3054" s="463"/>
      <c r="AA3054" s="463"/>
      <c r="AB3054" s="464">
        <v>0</v>
      </c>
      <c r="AC3054" s="465">
        <v>0</v>
      </c>
      <c r="AD3054" s="465">
        <v>0</v>
      </c>
      <c r="AE3054" s="476">
        <v>0</v>
      </c>
      <c r="AF3054" s="467">
        <v>0</v>
      </c>
      <c r="AG3054" s="468">
        <v>0</v>
      </c>
      <c r="AH3054" s="218">
        <v>0</v>
      </c>
      <c r="AI3054" s="470">
        <v>0</v>
      </c>
      <c r="AJ3054" s="471">
        <v>0</v>
      </c>
      <c r="AK3054" s="218">
        <v>0</v>
      </c>
      <c r="AL3054" s="470">
        <v>0</v>
      </c>
      <c r="AM3054" s="471">
        <v>0</v>
      </c>
      <c r="AN3054" s="477">
        <v>0</v>
      </c>
      <c r="AO3054" s="473">
        <v>0</v>
      </c>
      <c r="AP3054" s="474">
        <v>0</v>
      </c>
      <c r="AQ3054" s="352"/>
      <c r="AR3054" s="352"/>
      <c r="AS3054" s="352"/>
      <c r="AT3054" s="352"/>
      <c r="AU3054" s="352"/>
      <c r="AV3054" s="352"/>
      <c r="AW3054" s="352" t="s">
        <v>254</v>
      </c>
    </row>
    <row r="3055" spans="2:49" x14ac:dyDescent="0.2">
      <c r="B3055" s="460" t="s">
        <v>3261</v>
      </c>
      <c r="C3055" s="460">
        <v>4121</v>
      </c>
      <c r="D3055" s="460" t="s">
        <v>2358</v>
      </c>
      <c r="E3055" s="460" t="s">
        <v>1136</v>
      </c>
      <c r="F3055" s="460">
        <v>1</v>
      </c>
      <c r="G3055" s="460">
        <v>4</v>
      </c>
      <c r="H3055" s="461" t="s">
        <v>712</v>
      </c>
      <c r="I3055" s="461" t="s">
        <v>713</v>
      </c>
      <c r="J3055" s="461" t="s">
        <v>712</v>
      </c>
      <c r="K3055" s="594"/>
      <c r="L3055" s="594"/>
      <c r="M3055" s="352">
        <v>4000</v>
      </c>
      <c r="N3055" s="352" t="s">
        <v>716</v>
      </c>
      <c r="O3055" s="460">
        <v>4121</v>
      </c>
      <c r="P3055" s="460" t="s">
        <v>772</v>
      </c>
      <c r="Q3055" s="460" t="s">
        <v>2280</v>
      </c>
      <c r="R3055" s="460">
        <v>4121</v>
      </c>
      <c r="S3055" s="460" t="s">
        <v>1136</v>
      </c>
      <c r="T3055" s="462">
        <v>1</v>
      </c>
      <c r="U3055" s="460" t="s">
        <v>1136</v>
      </c>
      <c r="V3055" s="475">
        <v>0</v>
      </c>
      <c r="W3055" s="463" t="s">
        <v>713</v>
      </c>
      <c r="X3055" s="463" t="s">
        <v>713</v>
      </c>
      <c r="Y3055" s="463" t="s">
        <v>713</v>
      </c>
      <c r="Z3055" s="463"/>
      <c r="AA3055" s="463"/>
      <c r="AB3055" s="464">
        <v>108.45319222498024</v>
      </c>
      <c r="AC3055" s="465">
        <v>0.8693486760988256</v>
      </c>
      <c r="AD3055" s="465">
        <v>7.1474670866749485E-4</v>
      </c>
      <c r="AE3055" s="476">
        <v>108.45319222498024</v>
      </c>
      <c r="AF3055" s="467">
        <v>0.8693486760988256</v>
      </c>
      <c r="AG3055" s="468">
        <v>7.1461414040816776E-4</v>
      </c>
      <c r="AH3055" s="218">
        <v>108.45319222498024</v>
      </c>
      <c r="AI3055" s="470">
        <v>0.8693486760988256</v>
      </c>
      <c r="AJ3055" s="471">
        <v>7.2187692252923658E-4</v>
      </c>
      <c r="AK3055" s="218">
        <v>108.45319222498024</v>
      </c>
      <c r="AL3055" s="470">
        <v>0.8693486760988256</v>
      </c>
      <c r="AM3055" s="471">
        <v>7.2187692252923658E-4</v>
      </c>
      <c r="AN3055" s="477">
        <v>108.45319222498024</v>
      </c>
      <c r="AO3055" s="473">
        <v>0.8693486760988256</v>
      </c>
      <c r="AP3055" s="474">
        <v>7.2070232797101432E-4</v>
      </c>
      <c r="AQ3055" s="352"/>
      <c r="AR3055" s="352"/>
      <c r="AS3055" s="352"/>
      <c r="AT3055" s="352"/>
      <c r="AU3055" s="352"/>
      <c r="AV3055" s="352"/>
      <c r="AW3055" s="352" t="s">
        <v>254</v>
      </c>
    </row>
    <row r="3056" spans="2:49" x14ac:dyDescent="0.2">
      <c r="B3056" s="460" t="s">
        <v>3262</v>
      </c>
      <c r="C3056" s="460">
        <v>4121</v>
      </c>
      <c r="D3056" s="460" t="s">
        <v>2359</v>
      </c>
      <c r="E3056" s="460" t="s">
        <v>1137</v>
      </c>
      <c r="F3056" s="460">
        <v>2</v>
      </c>
      <c r="G3056" s="460">
        <v>4</v>
      </c>
      <c r="H3056" s="461" t="s">
        <v>712</v>
      </c>
      <c r="I3056" s="461" t="s">
        <v>713</v>
      </c>
      <c r="J3056" s="461" t="s">
        <v>712</v>
      </c>
      <c r="K3056" s="594"/>
      <c r="L3056" s="594"/>
      <c r="M3056" s="352">
        <v>4000</v>
      </c>
      <c r="N3056" s="352" t="s">
        <v>716</v>
      </c>
      <c r="O3056" s="460">
        <v>4121</v>
      </c>
      <c r="P3056" s="460" t="s">
        <v>772</v>
      </c>
      <c r="Q3056" s="460" t="s">
        <v>2280</v>
      </c>
      <c r="R3056" s="460">
        <v>4121</v>
      </c>
      <c r="S3056" s="460" t="s">
        <v>1137</v>
      </c>
      <c r="T3056" s="462">
        <v>1</v>
      </c>
      <c r="U3056" s="460" t="s">
        <v>1137</v>
      </c>
      <c r="V3056" s="475">
        <v>0</v>
      </c>
      <c r="W3056" s="463" t="s">
        <v>713</v>
      </c>
      <c r="X3056" s="463" t="s">
        <v>713</v>
      </c>
      <c r="Y3056" s="463" t="s">
        <v>713</v>
      </c>
      <c r="Z3056" s="463"/>
      <c r="AA3056" s="463"/>
      <c r="AB3056" s="464">
        <v>154.68174073062329</v>
      </c>
      <c r="AC3056" s="465">
        <v>0.92821052402499449</v>
      </c>
      <c r="AD3056" s="465">
        <v>8.9454584429326806E-4</v>
      </c>
      <c r="AE3056" s="476">
        <v>156.23140771915072</v>
      </c>
      <c r="AF3056" s="467">
        <v>0.9375097289647053</v>
      </c>
      <c r="AG3056" s="468">
        <v>9.0184992207360554E-4</v>
      </c>
      <c r="AH3056" s="218">
        <v>154.68174073062329</v>
      </c>
      <c r="AI3056" s="470">
        <v>0.92821052402499449</v>
      </c>
      <c r="AJ3056" s="471">
        <v>8.9714145600812694E-4</v>
      </c>
      <c r="AK3056" s="218">
        <v>154.68174073062329</v>
      </c>
      <c r="AL3056" s="470">
        <v>0.92821052402499449</v>
      </c>
      <c r="AM3056" s="471">
        <v>8.9714145600812694E-4</v>
      </c>
      <c r="AN3056" s="477">
        <v>154.68174073062329</v>
      </c>
      <c r="AO3056" s="473">
        <v>0.92821052402499449</v>
      </c>
      <c r="AP3056" s="474">
        <v>8.9640118560928121E-4</v>
      </c>
      <c r="AQ3056" s="352"/>
      <c r="AR3056" s="352"/>
      <c r="AS3056" s="352"/>
      <c r="AT3056" s="352"/>
      <c r="AU3056" s="352"/>
      <c r="AV3056" s="352"/>
      <c r="AW3056" s="352" t="s">
        <v>254</v>
      </c>
    </row>
    <row r="3057" spans="2:49" x14ac:dyDescent="0.2">
      <c r="B3057" s="460" t="s">
        <v>3263</v>
      </c>
      <c r="C3057" s="460">
        <v>4121</v>
      </c>
      <c r="D3057" s="460" t="s">
        <v>2360</v>
      </c>
      <c r="E3057" s="460" t="s">
        <v>1138</v>
      </c>
      <c r="F3057" s="460">
        <v>3</v>
      </c>
      <c r="G3057" s="460">
        <v>4</v>
      </c>
      <c r="H3057" s="461" t="s">
        <v>712</v>
      </c>
      <c r="I3057" s="461" t="s">
        <v>713</v>
      </c>
      <c r="J3057" s="461" t="s">
        <v>712</v>
      </c>
      <c r="K3057" s="594"/>
      <c r="L3057" s="594"/>
      <c r="M3057" s="352">
        <v>4000</v>
      </c>
      <c r="N3057" s="352" t="s">
        <v>716</v>
      </c>
      <c r="O3057" s="460">
        <v>4121</v>
      </c>
      <c r="P3057" s="460" t="s">
        <v>772</v>
      </c>
      <c r="Q3057" s="460" t="s">
        <v>2280</v>
      </c>
      <c r="R3057" s="460">
        <v>4121</v>
      </c>
      <c r="S3057" s="460" t="s">
        <v>1138</v>
      </c>
      <c r="T3057" s="462">
        <v>1</v>
      </c>
      <c r="U3057" s="460" t="s">
        <v>1138</v>
      </c>
      <c r="V3057" s="475">
        <v>0</v>
      </c>
      <c r="W3057" s="463" t="s">
        <v>713</v>
      </c>
      <c r="X3057" s="463" t="s">
        <v>713</v>
      </c>
      <c r="Y3057" s="463" t="s">
        <v>713</v>
      </c>
      <c r="Z3057" s="463"/>
      <c r="AA3057" s="463"/>
      <c r="AB3057" s="464">
        <v>95.731794898285841</v>
      </c>
      <c r="AC3057" s="465">
        <v>0.90222504171830731</v>
      </c>
      <c r="AD3057" s="465">
        <v>1.1946894039135873E-3</v>
      </c>
      <c r="AE3057" s="476">
        <v>96.769291353354646</v>
      </c>
      <c r="AF3057" s="467">
        <v>0.91200293508645736</v>
      </c>
      <c r="AG3057" s="468">
        <v>1.2050168660512749E-3</v>
      </c>
      <c r="AH3057" s="218">
        <v>95.731794898285841</v>
      </c>
      <c r="AI3057" s="470">
        <v>0.90222504171830731</v>
      </c>
      <c r="AJ3057" s="471">
        <v>1.2060752579629338E-3</v>
      </c>
      <c r="AK3057" s="218">
        <v>95.731794898285841</v>
      </c>
      <c r="AL3057" s="470">
        <v>0.90222504171830731</v>
      </c>
      <c r="AM3057" s="471">
        <v>1.2060752579629338E-3</v>
      </c>
      <c r="AN3057" s="477">
        <v>95.731794898285841</v>
      </c>
      <c r="AO3057" s="473">
        <v>0.90222504171830731</v>
      </c>
      <c r="AP3057" s="474">
        <v>1.205984363203167E-3</v>
      </c>
      <c r="AQ3057" s="352"/>
      <c r="AR3057" s="352"/>
      <c r="AS3057" s="352"/>
      <c r="AT3057" s="352"/>
      <c r="AU3057" s="352"/>
      <c r="AV3057" s="352"/>
      <c r="AW3057" s="352" t="s">
        <v>254</v>
      </c>
    </row>
    <row r="3058" spans="2:49" x14ac:dyDescent="0.2">
      <c r="B3058" s="460" t="s">
        <v>3264</v>
      </c>
      <c r="C3058" s="460">
        <v>4121</v>
      </c>
      <c r="D3058" s="460" t="s">
        <v>2361</v>
      </c>
      <c r="E3058" s="460" t="s">
        <v>1139</v>
      </c>
      <c r="F3058" s="460">
        <v>4</v>
      </c>
      <c r="G3058" s="460">
        <v>4</v>
      </c>
      <c r="H3058" s="461" t="s">
        <v>712</v>
      </c>
      <c r="I3058" s="461" t="s">
        <v>713</v>
      </c>
      <c r="J3058" s="461" t="s">
        <v>712</v>
      </c>
      <c r="K3058" s="594"/>
      <c r="L3058" s="594"/>
      <c r="M3058" s="352">
        <v>4000</v>
      </c>
      <c r="N3058" s="352" t="s">
        <v>716</v>
      </c>
      <c r="O3058" s="460">
        <v>4121</v>
      </c>
      <c r="P3058" s="460" t="s">
        <v>772</v>
      </c>
      <c r="Q3058" s="460" t="s">
        <v>2280</v>
      </c>
      <c r="R3058" s="460">
        <v>4121</v>
      </c>
      <c r="S3058" s="460" t="s">
        <v>1139</v>
      </c>
      <c r="T3058" s="462">
        <v>1</v>
      </c>
      <c r="U3058" s="460" t="s">
        <v>1139</v>
      </c>
      <c r="V3058" s="475">
        <v>0</v>
      </c>
      <c r="W3058" s="463" t="s">
        <v>713</v>
      </c>
      <c r="X3058" s="463" t="s">
        <v>713</v>
      </c>
      <c r="Y3058" s="463" t="s">
        <v>713</v>
      </c>
      <c r="Z3058" s="463"/>
      <c r="AA3058" s="463"/>
      <c r="AB3058" s="464">
        <v>107.38845619938014</v>
      </c>
      <c r="AC3058" s="465">
        <v>0.7065952672624074</v>
      </c>
      <c r="AD3058" s="465">
        <v>1.1890302590234717E-3</v>
      </c>
      <c r="AE3058" s="476">
        <v>107.38845619938014</v>
      </c>
      <c r="AF3058" s="467">
        <v>0.7065952672624074</v>
      </c>
      <c r="AG3058" s="468">
        <v>1.1890302590234717E-3</v>
      </c>
      <c r="AH3058" s="218">
        <v>107.38845619938014</v>
      </c>
      <c r="AI3058" s="470">
        <v>0.7065952672624074</v>
      </c>
      <c r="AJ3058" s="471">
        <v>1.2146037520890144E-3</v>
      </c>
      <c r="AK3058" s="218">
        <v>107.38845619938014</v>
      </c>
      <c r="AL3058" s="470">
        <v>0.7065952672624074</v>
      </c>
      <c r="AM3058" s="471">
        <v>1.2146037520890144E-3</v>
      </c>
      <c r="AN3058" s="477">
        <v>107.38845619938014</v>
      </c>
      <c r="AO3058" s="473">
        <v>0.7065952672624074</v>
      </c>
      <c r="AP3058" s="474">
        <v>1.2146037520890144E-3</v>
      </c>
      <c r="AQ3058" s="352"/>
      <c r="AR3058" s="352"/>
      <c r="AS3058" s="352"/>
      <c r="AT3058" s="352"/>
      <c r="AU3058" s="352"/>
      <c r="AV3058" s="352"/>
      <c r="AW3058" s="352" t="s">
        <v>254</v>
      </c>
    </row>
    <row r="3059" spans="2:49" x14ac:dyDescent="0.2">
      <c r="B3059" s="460" t="s">
        <v>3261</v>
      </c>
      <c r="C3059" s="460">
        <v>4121</v>
      </c>
      <c r="D3059" s="460" t="s">
        <v>2362</v>
      </c>
      <c r="E3059" s="460" t="s">
        <v>1136</v>
      </c>
      <c r="F3059" s="460">
        <v>1</v>
      </c>
      <c r="G3059" s="460">
        <v>4</v>
      </c>
      <c r="H3059" s="461" t="s">
        <v>746</v>
      </c>
      <c r="I3059" s="461" t="s">
        <v>762</v>
      </c>
      <c r="J3059" s="461" t="s">
        <v>700</v>
      </c>
      <c r="K3059" s="594"/>
      <c r="L3059" s="594"/>
      <c r="M3059" s="352">
        <v>4000</v>
      </c>
      <c r="N3059" s="352" t="s">
        <v>716</v>
      </c>
      <c r="O3059" s="460">
        <v>4121</v>
      </c>
      <c r="P3059" s="460" t="s">
        <v>772</v>
      </c>
      <c r="Q3059" s="460" t="s">
        <v>2531</v>
      </c>
      <c r="R3059" s="460">
        <v>4121</v>
      </c>
      <c r="S3059" s="460" t="s">
        <v>1136</v>
      </c>
      <c r="T3059" s="462">
        <v>1</v>
      </c>
      <c r="U3059" s="460" t="s">
        <v>1136</v>
      </c>
      <c r="V3059" s="475">
        <v>0</v>
      </c>
      <c r="W3059" s="463" t="s">
        <v>2268</v>
      </c>
      <c r="X3059" s="463" t="s">
        <v>2268</v>
      </c>
      <c r="Y3059" s="463" t="s">
        <v>2290</v>
      </c>
      <c r="Z3059" s="463"/>
      <c r="AA3059" s="463"/>
      <c r="AB3059" s="464">
        <v>0</v>
      </c>
      <c r="AC3059" s="465">
        <v>0</v>
      </c>
      <c r="AD3059" s="465">
        <v>0</v>
      </c>
      <c r="AE3059" s="476">
        <v>0</v>
      </c>
      <c r="AF3059" s="467">
        <v>0</v>
      </c>
      <c r="AG3059" s="468">
        <v>0</v>
      </c>
      <c r="AH3059" s="218">
        <v>0</v>
      </c>
      <c r="AI3059" s="470">
        <v>0</v>
      </c>
      <c r="AJ3059" s="471">
        <v>0</v>
      </c>
      <c r="AK3059" s="218">
        <v>0</v>
      </c>
      <c r="AL3059" s="470">
        <v>0</v>
      </c>
      <c r="AM3059" s="471">
        <v>0</v>
      </c>
      <c r="AN3059" s="477">
        <v>0</v>
      </c>
      <c r="AO3059" s="473">
        <v>0</v>
      </c>
      <c r="AP3059" s="474">
        <v>0</v>
      </c>
      <c r="AQ3059" s="352"/>
      <c r="AR3059" s="352"/>
      <c r="AS3059" s="352"/>
      <c r="AT3059" s="352"/>
      <c r="AU3059" s="352"/>
      <c r="AV3059" s="352"/>
      <c r="AW3059" s="352" t="s">
        <v>254</v>
      </c>
    </row>
    <row r="3060" spans="2:49" x14ac:dyDescent="0.2">
      <c r="B3060" s="460" t="s">
        <v>3262</v>
      </c>
      <c r="C3060" s="460">
        <v>4121</v>
      </c>
      <c r="D3060" s="460" t="s">
        <v>2363</v>
      </c>
      <c r="E3060" s="460" t="s">
        <v>1137</v>
      </c>
      <c r="F3060" s="460">
        <v>2</v>
      </c>
      <c r="G3060" s="460">
        <v>4</v>
      </c>
      <c r="H3060" s="461" t="s">
        <v>746</v>
      </c>
      <c r="I3060" s="461" t="s">
        <v>762</v>
      </c>
      <c r="J3060" s="461" t="s">
        <v>700</v>
      </c>
      <c r="K3060" s="594"/>
      <c r="L3060" s="594"/>
      <c r="M3060" s="352">
        <v>4000</v>
      </c>
      <c r="N3060" s="352" t="s">
        <v>716</v>
      </c>
      <c r="O3060" s="460">
        <v>4121</v>
      </c>
      <c r="P3060" s="460" t="s">
        <v>772</v>
      </c>
      <c r="Q3060" s="460" t="s">
        <v>2531</v>
      </c>
      <c r="R3060" s="460">
        <v>4121</v>
      </c>
      <c r="S3060" s="460" t="s">
        <v>1137</v>
      </c>
      <c r="T3060" s="462">
        <v>1</v>
      </c>
      <c r="U3060" s="460" t="s">
        <v>1137</v>
      </c>
      <c r="V3060" s="475">
        <v>0</v>
      </c>
      <c r="W3060" s="463" t="s">
        <v>2268</v>
      </c>
      <c r="X3060" s="463" t="s">
        <v>2268</v>
      </c>
      <c r="Y3060" s="463" t="s">
        <v>2290</v>
      </c>
      <c r="Z3060" s="463"/>
      <c r="AA3060" s="463"/>
      <c r="AB3060" s="464">
        <v>0</v>
      </c>
      <c r="AC3060" s="465">
        <v>0</v>
      </c>
      <c r="AD3060" s="465">
        <v>0</v>
      </c>
      <c r="AE3060" s="476">
        <v>0</v>
      </c>
      <c r="AF3060" s="467">
        <v>0</v>
      </c>
      <c r="AG3060" s="468">
        <v>0</v>
      </c>
      <c r="AH3060" s="218">
        <v>0</v>
      </c>
      <c r="AI3060" s="470">
        <v>0</v>
      </c>
      <c r="AJ3060" s="471">
        <v>0</v>
      </c>
      <c r="AK3060" s="218">
        <v>0</v>
      </c>
      <c r="AL3060" s="470">
        <v>0</v>
      </c>
      <c r="AM3060" s="471">
        <v>0</v>
      </c>
      <c r="AN3060" s="477">
        <v>0</v>
      </c>
      <c r="AO3060" s="473">
        <v>0</v>
      </c>
      <c r="AP3060" s="474">
        <v>0</v>
      </c>
      <c r="AQ3060" s="352"/>
      <c r="AR3060" s="352"/>
      <c r="AS3060" s="352"/>
      <c r="AT3060" s="352"/>
      <c r="AU3060" s="352"/>
      <c r="AV3060" s="352"/>
      <c r="AW3060" s="352" t="s">
        <v>254</v>
      </c>
    </row>
    <row r="3061" spans="2:49" x14ac:dyDescent="0.2">
      <c r="B3061" s="460" t="s">
        <v>3263</v>
      </c>
      <c r="C3061" s="460">
        <v>4121</v>
      </c>
      <c r="D3061" s="460" t="s">
        <v>2364</v>
      </c>
      <c r="E3061" s="460" t="s">
        <v>1138</v>
      </c>
      <c r="F3061" s="460">
        <v>3</v>
      </c>
      <c r="G3061" s="460">
        <v>4</v>
      </c>
      <c r="H3061" s="461" t="s">
        <v>746</v>
      </c>
      <c r="I3061" s="461" t="s">
        <v>762</v>
      </c>
      <c r="J3061" s="461" t="s">
        <v>700</v>
      </c>
      <c r="K3061" s="594"/>
      <c r="L3061" s="594"/>
      <c r="M3061" s="352">
        <v>4000</v>
      </c>
      <c r="N3061" s="352" t="s">
        <v>716</v>
      </c>
      <c r="O3061" s="460">
        <v>4121</v>
      </c>
      <c r="P3061" s="460" t="s">
        <v>772</v>
      </c>
      <c r="Q3061" s="460" t="s">
        <v>2531</v>
      </c>
      <c r="R3061" s="460">
        <v>4121</v>
      </c>
      <c r="S3061" s="460" t="s">
        <v>1138</v>
      </c>
      <c r="T3061" s="462">
        <v>1</v>
      </c>
      <c r="U3061" s="460" t="s">
        <v>1138</v>
      </c>
      <c r="V3061" s="475">
        <v>0</v>
      </c>
      <c r="W3061" s="463" t="s">
        <v>2268</v>
      </c>
      <c r="X3061" s="463" t="s">
        <v>2268</v>
      </c>
      <c r="Y3061" s="463" t="s">
        <v>2290</v>
      </c>
      <c r="Z3061" s="463"/>
      <c r="AA3061" s="463"/>
      <c r="AB3061" s="464">
        <v>0</v>
      </c>
      <c r="AC3061" s="465">
        <v>0</v>
      </c>
      <c r="AD3061" s="465">
        <v>0</v>
      </c>
      <c r="AE3061" s="476">
        <v>0</v>
      </c>
      <c r="AF3061" s="467">
        <v>0</v>
      </c>
      <c r="AG3061" s="468">
        <v>0</v>
      </c>
      <c r="AH3061" s="218">
        <v>0</v>
      </c>
      <c r="AI3061" s="470">
        <v>0</v>
      </c>
      <c r="AJ3061" s="471">
        <v>0</v>
      </c>
      <c r="AK3061" s="218">
        <v>0</v>
      </c>
      <c r="AL3061" s="470">
        <v>0</v>
      </c>
      <c r="AM3061" s="471">
        <v>0</v>
      </c>
      <c r="AN3061" s="477">
        <v>0</v>
      </c>
      <c r="AO3061" s="473">
        <v>0</v>
      </c>
      <c r="AP3061" s="474">
        <v>0</v>
      </c>
      <c r="AQ3061" s="352"/>
      <c r="AR3061" s="352"/>
      <c r="AS3061" s="352"/>
      <c r="AT3061" s="352"/>
      <c r="AU3061" s="352"/>
      <c r="AV3061" s="352"/>
      <c r="AW3061" s="352" t="s">
        <v>254</v>
      </c>
    </row>
    <row r="3062" spans="2:49" x14ac:dyDescent="0.2">
      <c r="B3062" s="460" t="s">
        <v>3264</v>
      </c>
      <c r="C3062" s="460">
        <v>4121</v>
      </c>
      <c r="D3062" s="460" t="s">
        <v>2365</v>
      </c>
      <c r="E3062" s="460" t="s">
        <v>1139</v>
      </c>
      <c r="F3062" s="460">
        <v>4</v>
      </c>
      <c r="G3062" s="460">
        <v>4</v>
      </c>
      <c r="H3062" s="461" t="s">
        <v>746</v>
      </c>
      <c r="I3062" s="461" t="s">
        <v>762</v>
      </c>
      <c r="J3062" s="461" t="s">
        <v>700</v>
      </c>
      <c r="K3062" s="594"/>
      <c r="L3062" s="594"/>
      <c r="M3062" s="352">
        <v>4000</v>
      </c>
      <c r="N3062" s="352" t="s">
        <v>716</v>
      </c>
      <c r="O3062" s="460">
        <v>4121</v>
      </c>
      <c r="P3062" s="460" t="s">
        <v>772</v>
      </c>
      <c r="Q3062" s="460" t="s">
        <v>2531</v>
      </c>
      <c r="R3062" s="460">
        <v>4121</v>
      </c>
      <c r="S3062" s="460" t="s">
        <v>1139</v>
      </c>
      <c r="T3062" s="462">
        <v>1</v>
      </c>
      <c r="U3062" s="460" t="s">
        <v>1139</v>
      </c>
      <c r="V3062" s="475">
        <v>0</v>
      </c>
      <c r="W3062" s="463" t="s">
        <v>2268</v>
      </c>
      <c r="X3062" s="463" t="s">
        <v>2268</v>
      </c>
      <c r="Y3062" s="463" t="s">
        <v>2290</v>
      </c>
      <c r="Z3062" s="463"/>
      <c r="AA3062" s="463"/>
      <c r="AB3062" s="464">
        <v>0</v>
      </c>
      <c r="AC3062" s="465">
        <v>0</v>
      </c>
      <c r="AD3062" s="465">
        <v>0</v>
      </c>
      <c r="AE3062" s="476">
        <v>0</v>
      </c>
      <c r="AF3062" s="467">
        <v>0</v>
      </c>
      <c r="AG3062" s="468">
        <v>0</v>
      </c>
      <c r="AH3062" s="218">
        <v>0</v>
      </c>
      <c r="AI3062" s="470">
        <v>0</v>
      </c>
      <c r="AJ3062" s="471">
        <v>0</v>
      </c>
      <c r="AK3062" s="218">
        <v>0</v>
      </c>
      <c r="AL3062" s="470">
        <v>0</v>
      </c>
      <c r="AM3062" s="471">
        <v>0</v>
      </c>
      <c r="AN3062" s="477">
        <v>0</v>
      </c>
      <c r="AO3062" s="473">
        <v>0</v>
      </c>
      <c r="AP3062" s="474">
        <v>0</v>
      </c>
      <c r="AQ3062" s="352"/>
      <c r="AR3062" s="352"/>
      <c r="AS3062" s="352"/>
      <c r="AT3062" s="352"/>
      <c r="AU3062" s="352"/>
      <c r="AV3062" s="352"/>
      <c r="AW3062" s="352" t="s">
        <v>254</v>
      </c>
    </row>
    <row r="3063" spans="2:49" x14ac:dyDescent="0.2">
      <c r="B3063" s="460" t="s">
        <v>3261</v>
      </c>
      <c r="C3063" s="460">
        <v>4121</v>
      </c>
      <c r="D3063" s="460" t="s">
        <v>2366</v>
      </c>
      <c r="E3063" s="460" t="s">
        <v>1136</v>
      </c>
      <c r="F3063" s="460">
        <v>1</v>
      </c>
      <c r="G3063" s="460">
        <v>4</v>
      </c>
      <c r="H3063" s="461" t="s">
        <v>748</v>
      </c>
      <c r="I3063" s="461" t="s">
        <v>765</v>
      </c>
      <c r="J3063" s="461" t="s">
        <v>700</v>
      </c>
      <c r="K3063" s="594"/>
      <c r="L3063" s="594"/>
      <c r="M3063" s="352">
        <v>4000</v>
      </c>
      <c r="N3063" s="352" t="s">
        <v>716</v>
      </c>
      <c r="O3063" s="460">
        <v>4121</v>
      </c>
      <c r="P3063" s="460" t="s">
        <v>772</v>
      </c>
      <c r="Q3063" s="460" t="s">
        <v>2527</v>
      </c>
      <c r="R3063" s="460">
        <v>4121</v>
      </c>
      <c r="S3063" s="460" t="s">
        <v>1136</v>
      </c>
      <c r="T3063" s="462">
        <v>1</v>
      </c>
      <c r="U3063" s="460" t="s">
        <v>1136</v>
      </c>
      <c r="V3063" s="475">
        <v>0</v>
      </c>
      <c r="W3063" s="463" t="s">
        <v>2268</v>
      </c>
      <c r="X3063" s="463" t="s">
        <v>2268</v>
      </c>
      <c r="Y3063" s="463" t="s">
        <v>2267</v>
      </c>
      <c r="Z3063" s="463"/>
      <c r="AA3063" s="463"/>
      <c r="AB3063" s="464">
        <v>0</v>
      </c>
      <c r="AC3063" s="465">
        <v>0</v>
      </c>
      <c r="AD3063" s="465">
        <v>0</v>
      </c>
      <c r="AE3063" s="476">
        <v>0</v>
      </c>
      <c r="AF3063" s="467">
        <v>0</v>
      </c>
      <c r="AG3063" s="468">
        <v>0</v>
      </c>
      <c r="AH3063" s="218">
        <v>0</v>
      </c>
      <c r="AI3063" s="470">
        <v>0</v>
      </c>
      <c r="AJ3063" s="471">
        <v>0</v>
      </c>
      <c r="AK3063" s="218">
        <v>0</v>
      </c>
      <c r="AL3063" s="470">
        <v>0</v>
      </c>
      <c r="AM3063" s="471">
        <v>0</v>
      </c>
      <c r="AN3063" s="477">
        <v>0.31672557519576222</v>
      </c>
      <c r="AO3063" s="473">
        <v>2.5388368367423139E-3</v>
      </c>
      <c r="AP3063" s="474">
        <v>3.8914413446596095E-4</v>
      </c>
      <c r="AQ3063" s="352"/>
      <c r="AR3063" s="352"/>
      <c r="AS3063" s="352"/>
      <c r="AT3063" s="352"/>
      <c r="AU3063" s="352"/>
      <c r="AV3063" s="352"/>
      <c r="AW3063" s="352" t="s">
        <v>254</v>
      </c>
    </row>
    <row r="3064" spans="2:49" x14ac:dyDescent="0.2">
      <c r="B3064" s="460" t="s">
        <v>3262</v>
      </c>
      <c r="C3064" s="460">
        <v>4121</v>
      </c>
      <c r="D3064" s="460" t="s">
        <v>2367</v>
      </c>
      <c r="E3064" s="460" t="s">
        <v>1137</v>
      </c>
      <c r="F3064" s="460">
        <v>2</v>
      </c>
      <c r="G3064" s="460">
        <v>4</v>
      </c>
      <c r="H3064" s="461" t="s">
        <v>748</v>
      </c>
      <c r="I3064" s="461" t="s">
        <v>765</v>
      </c>
      <c r="J3064" s="461" t="s">
        <v>700</v>
      </c>
      <c r="K3064" s="594"/>
      <c r="L3064" s="594"/>
      <c r="M3064" s="352">
        <v>4000</v>
      </c>
      <c r="N3064" s="352" t="s">
        <v>716</v>
      </c>
      <c r="O3064" s="460">
        <v>4121</v>
      </c>
      <c r="P3064" s="460" t="s">
        <v>772</v>
      </c>
      <c r="Q3064" s="460" t="s">
        <v>2527</v>
      </c>
      <c r="R3064" s="460">
        <v>4121</v>
      </c>
      <c r="S3064" s="460" t="s">
        <v>1137</v>
      </c>
      <c r="T3064" s="462">
        <v>1</v>
      </c>
      <c r="U3064" s="460" t="s">
        <v>1137</v>
      </c>
      <c r="V3064" s="475">
        <v>0</v>
      </c>
      <c r="W3064" s="463" t="s">
        <v>2268</v>
      </c>
      <c r="X3064" s="463" t="s">
        <v>2268</v>
      </c>
      <c r="Y3064" s="463" t="s">
        <v>2267</v>
      </c>
      <c r="Z3064" s="463"/>
      <c r="AA3064" s="463"/>
      <c r="AB3064" s="464">
        <v>0</v>
      </c>
      <c r="AC3064" s="465">
        <v>0</v>
      </c>
      <c r="AD3064" s="465">
        <v>0</v>
      </c>
      <c r="AE3064" s="476">
        <v>0</v>
      </c>
      <c r="AF3064" s="467">
        <v>0</v>
      </c>
      <c r="AG3064" s="468">
        <v>0</v>
      </c>
      <c r="AH3064" s="218">
        <v>0</v>
      </c>
      <c r="AI3064" s="470">
        <v>0</v>
      </c>
      <c r="AJ3064" s="471">
        <v>0</v>
      </c>
      <c r="AK3064" s="218">
        <v>0</v>
      </c>
      <c r="AL3064" s="470">
        <v>0</v>
      </c>
      <c r="AM3064" s="471">
        <v>0</v>
      </c>
      <c r="AN3064" s="477">
        <v>3.8741674713185428</v>
      </c>
      <c r="AO3064" s="473">
        <v>2.3248012349276863E-2</v>
      </c>
      <c r="AP3064" s="474">
        <v>3.7316410574392851E-3</v>
      </c>
      <c r="AQ3064" s="352"/>
      <c r="AR3064" s="352"/>
      <c r="AS3064" s="352"/>
      <c r="AT3064" s="352"/>
      <c r="AU3064" s="352"/>
      <c r="AV3064" s="352"/>
      <c r="AW3064" s="352" t="s">
        <v>254</v>
      </c>
    </row>
    <row r="3065" spans="2:49" x14ac:dyDescent="0.2">
      <c r="B3065" s="460" t="s">
        <v>3263</v>
      </c>
      <c r="C3065" s="460">
        <v>4121</v>
      </c>
      <c r="D3065" s="460" t="s">
        <v>2368</v>
      </c>
      <c r="E3065" s="460" t="s">
        <v>1138</v>
      </c>
      <c r="F3065" s="460">
        <v>3</v>
      </c>
      <c r="G3065" s="460">
        <v>4</v>
      </c>
      <c r="H3065" s="461" t="s">
        <v>748</v>
      </c>
      <c r="I3065" s="461" t="s">
        <v>765</v>
      </c>
      <c r="J3065" s="461" t="s">
        <v>700</v>
      </c>
      <c r="K3065" s="594"/>
      <c r="L3065" s="594"/>
      <c r="M3065" s="352">
        <v>4000</v>
      </c>
      <c r="N3065" s="352" t="s">
        <v>716</v>
      </c>
      <c r="O3065" s="460">
        <v>4121</v>
      </c>
      <c r="P3065" s="460" t="s">
        <v>772</v>
      </c>
      <c r="Q3065" s="460" t="s">
        <v>2527</v>
      </c>
      <c r="R3065" s="460">
        <v>4121</v>
      </c>
      <c r="S3065" s="460" t="s">
        <v>1138</v>
      </c>
      <c r="T3065" s="462">
        <v>1</v>
      </c>
      <c r="U3065" s="460" t="s">
        <v>1138</v>
      </c>
      <c r="V3065" s="475">
        <v>0</v>
      </c>
      <c r="W3065" s="463" t="s">
        <v>2268</v>
      </c>
      <c r="X3065" s="463" t="s">
        <v>2268</v>
      </c>
      <c r="Y3065" s="463" t="s">
        <v>2267</v>
      </c>
      <c r="Z3065" s="463"/>
      <c r="AA3065" s="463"/>
      <c r="AB3065" s="464">
        <v>0</v>
      </c>
      <c r="AC3065" s="465">
        <v>0</v>
      </c>
      <c r="AD3065" s="465">
        <v>0</v>
      </c>
      <c r="AE3065" s="476">
        <v>0</v>
      </c>
      <c r="AF3065" s="467">
        <v>0</v>
      </c>
      <c r="AG3065" s="468">
        <v>0</v>
      </c>
      <c r="AH3065" s="218">
        <v>0</v>
      </c>
      <c r="AI3065" s="470">
        <v>0</v>
      </c>
      <c r="AJ3065" s="471">
        <v>0</v>
      </c>
      <c r="AK3065" s="218">
        <v>0</v>
      </c>
      <c r="AL3065" s="470">
        <v>0</v>
      </c>
      <c r="AM3065" s="471">
        <v>0</v>
      </c>
      <c r="AN3065" s="477">
        <v>2.5937411376720254</v>
      </c>
      <c r="AO3065" s="473">
        <v>2.444473342037521E-2</v>
      </c>
      <c r="AP3065" s="474">
        <v>2.6911374029888716E-3</v>
      </c>
      <c r="AQ3065" s="352"/>
      <c r="AR3065" s="352"/>
      <c r="AS3065" s="352"/>
      <c r="AT3065" s="352"/>
      <c r="AU3065" s="352"/>
      <c r="AV3065" s="352"/>
      <c r="AW3065" s="352" t="s">
        <v>254</v>
      </c>
    </row>
    <row r="3066" spans="2:49" x14ac:dyDescent="0.2">
      <c r="B3066" s="460" t="s">
        <v>3264</v>
      </c>
      <c r="C3066" s="460">
        <v>4121</v>
      </c>
      <c r="D3066" s="460" t="s">
        <v>2369</v>
      </c>
      <c r="E3066" s="460" t="s">
        <v>1139</v>
      </c>
      <c r="F3066" s="460">
        <v>4</v>
      </c>
      <c r="G3066" s="460">
        <v>4</v>
      </c>
      <c r="H3066" s="461" t="s">
        <v>748</v>
      </c>
      <c r="I3066" s="461" t="s">
        <v>765</v>
      </c>
      <c r="J3066" s="461" t="s">
        <v>700</v>
      </c>
      <c r="K3066" s="594"/>
      <c r="L3066" s="594"/>
      <c r="M3066" s="352">
        <v>4000</v>
      </c>
      <c r="N3066" s="352" t="s">
        <v>716</v>
      </c>
      <c r="O3066" s="460">
        <v>4121</v>
      </c>
      <c r="P3066" s="460" t="s">
        <v>772</v>
      </c>
      <c r="Q3066" s="460" t="s">
        <v>2527</v>
      </c>
      <c r="R3066" s="460">
        <v>4121</v>
      </c>
      <c r="S3066" s="460" t="s">
        <v>1139</v>
      </c>
      <c r="T3066" s="462">
        <v>1</v>
      </c>
      <c r="U3066" s="460" t="s">
        <v>1139</v>
      </c>
      <c r="V3066" s="475">
        <v>0</v>
      </c>
      <c r="W3066" s="463" t="s">
        <v>2268</v>
      </c>
      <c r="X3066" s="463" t="s">
        <v>2268</v>
      </c>
      <c r="Y3066" s="463" t="s">
        <v>2267</v>
      </c>
      <c r="Z3066" s="463"/>
      <c r="AA3066" s="463"/>
      <c r="AB3066" s="464">
        <v>0</v>
      </c>
      <c r="AC3066" s="465">
        <v>0</v>
      </c>
      <c r="AD3066" s="465">
        <v>0</v>
      </c>
      <c r="AE3066" s="476">
        <v>0</v>
      </c>
      <c r="AF3066" s="467">
        <v>0</v>
      </c>
      <c r="AG3066" s="468">
        <v>0</v>
      </c>
      <c r="AH3066" s="218">
        <v>0</v>
      </c>
      <c r="AI3066" s="470">
        <v>0</v>
      </c>
      <c r="AJ3066" s="471">
        <v>0</v>
      </c>
      <c r="AK3066" s="218">
        <v>0</v>
      </c>
      <c r="AL3066" s="470">
        <v>0</v>
      </c>
      <c r="AM3066" s="471">
        <v>0</v>
      </c>
      <c r="AN3066" s="477">
        <v>0</v>
      </c>
      <c r="AO3066" s="473">
        <v>0</v>
      </c>
      <c r="AP3066" s="474">
        <v>0</v>
      </c>
      <c r="AQ3066" s="352"/>
      <c r="AR3066" s="352"/>
      <c r="AS3066" s="352"/>
      <c r="AT3066" s="352"/>
      <c r="AU3066" s="352"/>
      <c r="AV3066" s="352"/>
      <c r="AW3066" s="352" t="s">
        <v>254</v>
      </c>
    </row>
    <row r="3067" spans="2:49" x14ac:dyDescent="0.2">
      <c r="B3067" s="460" t="s">
        <v>3261</v>
      </c>
      <c r="C3067" s="460">
        <v>4121</v>
      </c>
      <c r="D3067" s="460" t="s">
        <v>2370</v>
      </c>
      <c r="E3067" s="460" t="s">
        <v>1136</v>
      </c>
      <c r="F3067" s="460">
        <v>1</v>
      </c>
      <c r="G3067" s="460">
        <v>4</v>
      </c>
      <c r="H3067" s="461" t="s">
        <v>752</v>
      </c>
      <c r="I3067" s="461" t="s">
        <v>964</v>
      </c>
      <c r="J3067" s="461" t="s">
        <v>752</v>
      </c>
      <c r="K3067" s="594"/>
      <c r="L3067" s="594"/>
      <c r="M3067" s="352">
        <v>4000</v>
      </c>
      <c r="N3067" s="352" t="s">
        <v>716</v>
      </c>
      <c r="O3067" s="460">
        <v>4121</v>
      </c>
      <c r="P3067" s="460" t="s">
        <v>772</v>
      </c>
      <c r="Q3067" s="460" t="s">
        <v>2527</v>
      </c>
      <c r="R3067" s="460">
        <v>4121</v>
      </c>
      <c r="S3067" s="460" t="s">
        <v>1136</v>
      </c>
      <c r="T3067" s="462">
        <v>1</v>
      </c>
      <c r="U3067" s="460" t="s">
        <v>1136</v>
      </c>
      <c r="V3067" s="475">
        <v>0</v>
      </c>
      <c r="W3067" s="463" t="s">
        <v>2267</v>
      </c>
      <c r="X3067" s="463" t="s">
        <v>2267</v>
      </c>
      <c r="Y3067" s="463" t="s">
        <v>2267</v>
      </c>
      <c r="Z3067" s="463"/>
      <c r="AA3067" s="463"/>
      <c r="AB3067" s="464">
        <v>15.982319370829391</v>
      </c>
      <c r="AC3067" s="465">
        <v>0.12811248706443207</v>
      </c>
      <c r="AD3067" s="465">
        <v>5.1756878228267226E-3</v>
      </c>
      <c r="AE3067" s="476">
        <v>15.982319370829389</v>
      </c>
      <c r="AF3067" s="467">
        <v>0.12811248706443207</v>
      </c>
      <c r="AG3067" s="468">
        <v>5.1756878228267226E-3</v>
      </c>
      <c r="AH3067" s="218">
        <v>15.982319370829389</v>
      </c>
      <c r="AI3067" s="470">
        <v>0.12811248706443207</v>
      </c>
      <c r="AJ3067" s="471">
        <v>4.3694816862180699E-3</v>
      </c>
      <c r="AK3067" s="218">
        <v>15.982319370829389</v>
      </c>
      <c r="AL3067" s="470">
        <v>0.12811248706443207</v>
      </c>
      <c r="AM3067" s="471">
        <v>4.3694816862180699E-3</v>
      </c>
      <c r="AN3067" s="477">
        <v>15.982319370829389</v>
      </c>
      <c r="AO3067" s="473">
        <v>0.12811248706443207</v>
      </c>
      <c r="AP3067" s="474">
        <v>4.3694816862180699E-3</v>
      </c>
      <c r="AQ3067" s="352"/>
      <c r="AR3067" s="352"/>
      <c r="AS3067" s="352"/>
      <c r="AT3067" s="352"/>
      <c r="AU3067" s="352"/>
      <c r="AV3067" s="352"/>
      <c r="AW3067" s="352" t="s">
        <v>254</v>
      </c>
    </row>
    <row r="3068" spans="2:49" x14ac:dyDescent="0.2">
      <c r="B3068" s="460" t="s">
        <v>3262</v>
      </c>
      <c r="C3068" s="460">
        <v>4121</v>
      </c>
      <c r="D3068" s="460" t="s">
        <v>2371</v>
      </c>
      <c r="E3068" s="460" t="s">
        <v>1137</v>
      </c>
      <c r="F3068" s="460">
        <v>2</v>
      </c>
      <c r="G3068" s="460">
        <v>4</v>
      </c>
      <c r="H3068" s="461" t="s">
        <v>752</v>
      </c>
      <c r="I3068" s="461" t="s">
        <v>964</v>
      </c>
      <c r="J3068" s="461" t="s">
        <v>752</v>
      </c>
      <c r="K3068" s="594"/>
      <c r="L3068" s="594"/>
      <c r="M3068" s="352">
        <v>4000</v>
      </c>
      <c r="N3068" s="352" t="s">
        <v>716</v>
      </c>
      <c r="O3068" s="460">
        <v>4121</v>
      </c>
      <c r="P3068" s="460" t="s">
        <v>772</v>
      </c>
      <c r="Q3068" s="460" t="s">
        <v>2527</v>
      </c>
      <c r="R3068" s="460">
        <v>4121</v>
      </c>
      <c r="S3068" s="460" t="s">
        <v>1137</v>
      </c>
      <c r="T3068" s="462">
        <v>1</v>
      </c>
      <c r="U3068" s="460" t="s">
        <v>1137</v>
      </c>
      <c r="V3068" s="475">
        <v>0</v>
      </c>
      <c r="W3068" s="463" t="s">
        <v>2267</v>
      </c>
      <c r="X3068" s="463" t="s">
        <v>2267</v>
      </c>
      <c r="Y3068" s="463" t="s">
        <v>2267</v>
      </c>
      <c r="Z3068" s="463"/>
      <c r="AA3068" s="463"/>
      <c r="AB3068" s="464">
        <v>8.0891973285122454</v>
      </c>
      <c r="AC3068" s="465">
        <v>4.8541463625728629E-2</v>
      </c>
      <c r="AD3068" s="465">
        <v>7.9151938654737383E-4</v>
      </c>
      <c r="AE3068" s="476">
        <v>8.0891973285122454</v>
      </c>
      <c r="AF3068" s="467">
        <v>4.8541463625728629E-2</v>
      </c>
      <c r="AG3068" s="468">
        <v>7.9151938654737383E-4</v>
      </c>
      <c r="AH3068" s="218">
        <v>8.0891973285122454</v>
      </c>
      <c r="AI3068" s="470">
        <v>4.8541463625728629E-2</v>
      </c>
      <c r="AJ3068" s="471">
        <v>7.8471379241501341E-4</v>
      </c>
      <c r="AK3068" s="218">
        <v>8.0891973285122454</v>
      </c>
      <c r="AL3068" s="470">
        <v>4.8541463625728629E-2</v>
      </c>
      <c r="AM3068" s="471">
        <v>7.8471379241501341E-4</v>
      </c>
      <c r="AN3068" s="477">
        <v>8.0891973285122454</v>
      </c>
      <c r="AO3068" s="473">
        <v>4.8541463625728629E-2</v>
      </c>
      <c r="AP3068" s="474">
        <v>7.8471379241501341E-4</v>
      </c>
      <c r="AQ3068" s="352"/>
      <c r="AR3068" s="352"/>
      <c r="AS3068" s="352"/>
      <c r="AT3068" s="352"/>
      <c r="AU3068" s="352"/>
      <c r="AV3068" s="352"/>
      <c r="AW3068" s="352" t="s">
        <v>254</v>
      </c>
    </row>
    <row r="3069" spans="2:49" x14ac:dyDescent="0.2">
      <c r="B3069" s="460" t="s">
        <v>3263</v>
      </c>
      <c r="C3069" s="460">
        <v>4121</v>
      </c>
      <c r="D3069" s="460" t="s">
        <v>2372</v>
      </c>
      <c r="E3069" s="460" t="s">
        <v>1138</v>
      </c>
      <c r="F3069" s="460">
        <v>3</v>
      </c>
      <c r="G3069" s="460">
        <v>4</v>
      </c>
      <c r="H3069" s="461" t="s">
        <v>752</v>
      </c>
      <c r="I3069" s="461" t="s">
        <v>964</v>
      </c>
      <c r="J3069" s="461" t="s">
        <v>752</v>
      </c>
      <c r="K3069" s="594"/>
      <c r="L3069" s="594"/>
      <c r="M3069" s="352">
        <v>4000</v>
      </c>
      <c r="N3069" s="352" t="s">
        <v>716</v>
      </c>
      <c r="O3069" s="460">
        <v>4121</v>
      </c>
      <c r="P3069" s="460" t="s">
        <v>772</v>
      </c>
      <c r="Q3069" s="460" t="s">
        <v>2527</v>
      </c>
      <c r="R3069" s="460">
        <v>4121</v>
      </c>
      <c r="S3069" s="460" t="s">
        <v>1138</v>
      </c>
      <c r="T3069" s="462">
        <v>1</v>
      </c>
      <c r="U3069" s="460" t="s">
        <v>1138</v>
      </c>
      <c r="V3069" s="475">
        <v>0</v>
      </c>
      <c r="W3069" s="463" t="s">
        <v>2267</v>
      </c>
      <c r="X3069" s="463" t="s">
        <v>2267</v>
      </c>
      <c r="Y3069" s="463" t="s">
        <v>2267</v>
      </c>
      <c r="Z3069" s="463"/>
      <c r="AA3069" s="463"/>
      <c r="AB3069" s="464">
        <v>7.7808015979018021</v>
      </c>
      <c r="AC3069" s="465">
        <v>7.3330224861317475E-2</v>
      </c>
      <c r="AD3069" s="465">
        <v>1.343926855735311E-3</v>
      </c>
      <c r="AE3069" s="476">
        <v>7.7808015979018021</v>
      </c>
      <c r="AF3069" s="467">
        <v>7.3330224861317475E-2</v>
      </c>
      <c r="AG3069" s="468">
        <v>1.343926855735311E-3</v>
      </c>
      <c r="AH3069" s="218">
        <v>7.7808015979018021</v>
      </c>
      <c r="AI3069" s="470">
        <v>7.3330224861317475E-2</v>
      </c>
      <c r="AJ3069" s="471">
        <v>1.290859519005555E-3</v>
      </c>
      <c r="AK3069" s="218">
        <v>7.7808015979018021</v>
      </c>
      <c r="AL3069" s="470">
        <v>7.3330224861317475E-2</v>
      </c>
      <c r="AM3069" s="471">
        <v>1.290859519005555E-3</v>
      </c>
      <c r="AN3069" s="477">
        <v>7.7808015979018021</v>
      </c>
      <c r="AO3069" s="473">
        <v>7.3330224861317475E-2</v>
      </c>
      <c r="AP3069" s="474">
        <v>1.290859519005555E-3</v>
      </c>
      <c r="AQ3069" s="352"/>
      <c r="AR3069" s="352"/>
      <c r="AS3069" s="352"/>
      <c r="AT3069" s="352"/>
      <c r="AU3069" s="352"/>
      <c r="AV3069" s="352"/>
      <c r="AW3069" s="352" t="s">
        <v>254</v>
      </c>
    </row>
    <row r="3070" spans="2:49" x14ac:dyDescent="0.2">
      <c r="B3070" s="460" t="s">
        <v>3264</v>
      </c>
      <c r="C3070" s="460">
        <v>4121</v>
      </c>
      <c r="D3070" s="460" t="s">
        <v>2373</v>
      </c>
      <c r="E3070" s="460" t="s">
        <v>1139</v>
      </c>
      <c r="F3070" s="460">
        <v>4</v>
      </c>
      <c r="G3070" s="460">
        <v>4</v>
      </c>
      <c r="H3070" s="461" t="s">
        <v>752</v>
      </c>
      <c r="I3070" s="461" t="s">
        <v>964</v>
      </c>
      <c r="J3070" s="461" t="s">
        <v>752</v>
      </c>
      <c r="K3070" s="594"/>
      <c r="L3070" s="594"/>
      <c r="M3070" s="352">
        <v>4000</v>
      </c>
      <c r="N3070" s="352" t="s">
        <v>716</v>
      </c>
      <c r="O3070" s="460">
        <v>4121</v>
      </c>
      <c r="P3070" s="460" t="s">
        <v>772</v>
      </c>
      <c r="Q3070" s="460" t="s">
        <v>2527</v>
      </c>
      <c r="R3070" s="460">
        <v>4121</v>
      </c>
      <c r="S3070" s="460" t="s">
        <v>1139</v>
      </c>
      <c r="T3070" s="462">
        <v>1</v>
      </c>
      <c r="U3070" s="460" t="s">
        <v>1139</v>
      </c>
      <c r="V3070" s="475">
        <v>0</v>
      </c>
      <c r="W3070" s="463" t="s">
        <v>2267</v>
      </c>
      <c r="X3070" s="463" t="s">
        <v>2267</v>
      </c>
      <c r="Y3070" s="463" t="s">
        <v>2267</v>
      </c>
      <c r="Z3070" s="463"/>
      <c r="AA3070" s="463"/>
      <c r="AB3070" s="464">
        <v>44.591695911516226</v>
      </c>
      <c r="AC3070" s="465">
        <v>0.29340473273759266</v>
      </c>
      <c r="AD3070" s="465">
        <v>1.7777493114528823E-3</v>
      </c>
      <c r="AE3070" s="476">
        <v>44.591695911516226</v>
      </c>
      <c r="AF3070" s="467">
        <v>0.29340473273759266</v>
      </c>
      <c r="AG3070" s="468">
        <v>1.7777493114528823E-3</v>
      </c>
      <c r="AH3070" s="218">
        <v>44.591695911516226</v>
      </c>
      <c r="AI3070" s="470">
        <v>0.29340473273759266</v>
      </c>
      <c r="AJ3070" s="471">
        <v>1.6524724450825718E-3</v>
      </c>
      <c r="AK3070" s="218">
        <v>44.591695911516226</v>
      </c>
      <c r="AL3070" s="470">
        <v>0.29340473273759266</v>
      </c>
      <c r="AM3070" s="471">
        <v>1.6524724450825718E-3</v>
      </c>
      <c r="AN3070" s="477">
        <v>44.591695911516226</v>
      </c>
      <c r="AO3070" s="473">
        <v>0.29340473273759266</v>
      </c>
      <c r="AP3070" s="474">
        <v>1.6524724450825718E-3</v>
      </c>
      <c r="AQ3070" s="352"/>
      <c r="AR3070" s="352"/>
      <c r="AS3070" s="352"/>
      <c r="AT3070" s="352"/>
      <c r="AU3070" s="352"/>
      <c r="AV3070" s="352"/>
      <c r="AW3070" s="352" t="s">
        <v>254</v>
      </c>
    </row>
    <row r="3071" spans="2:49" x14ac:dyDescent="0.2">
      <c r="B3071" s="460" t="s">
        <v>3265</v>
      </c>
      <c r="C3071" s="460">
        <v>4121</v>
      </c>
      <c r="D3071" s="460" t="s">
        <v>2375</v>
      </c>
      <c r="E3071" s="460" t="s">
        <v>2376</v>
      </c>
      <c r="F3071" s="460">
        <v>1</v>
      </c>
      <c r="G3071" s="460">
        <v>5</v>
      </c>
      <c r="H3071" s="461" t="s">
        <v>754</v>
      </c>
      <c r="I3071" s="461" t="s">
        <v>1991</v>
      </c>
      <c r="J3071" s="461" t="s">
        <v>754</v>
      </c>
      <c r="K3071" s="594"/>
      <c r="L3071" s="594"/>
      <c r="M3071" s="352">
        <v>4000</v>
      </c>
      <c r="N3071" s="352" t="s">
        <v>716</v>
      </c>
      <c r="O3071" s="460">
        <v>4121</v>
      </c>
      <c r="P3071" s="460" t="s">
        <v>772</v>
      </c>
      <c r="Q3071" s="460" t="s">
        <v>2377</v>
      </c>
      <c r="R3071" s="460">
        <v>4121</v>
      </c>
      <c r="S3071" s="460" t="s">
        <v>2376</v>
      </c>
      <c r="T3071" s="462">
        <v>1</v>
      </c>
      <c r="U3071" s="460" t="s">
        <v>2376</v>
      </c>
      <c r="V3071" s="475">
        <v>0</v>
      </c>
      <c r="W3071" s="463" t="s">
        <v>2278</v>
      </c>
      <c r="X3071" s="463" t="s">
        <v>2278</v>
      </c>
      <c r="Y3071" s="463" t="s">
        <v>2278</v>
      </c>
      <c r="Z3071" s="463"/>
      <c r="AA3071" s="463"/>
      <c r="AB3071" s="464">
        <v>3631.7089699654684</v>
      </c>
      <c r="AC3071" s="465">
        <v>1</v>
      </c>
      <c r="AD3071" s="465">
        <v>6.1052835165017133E-3</v>
      </c>
      <c r="AE3071" s="476">
        <v>3631.7089699654684</v>
      </c>
      <c r="AF3071" s="467">
        <v>1</v>
      </c>
      <c r="AG3071" s="468">
        <v>6.1052835165017133E-3</v>
      </c>
      <c r="AH3071" s="218">
        <v>3631.7089699654684</v>
      </c>
      <c r="AI3071" s="470">
        <v>1</v>
      </c>
      <c r="AJ3071" s="471">
        <v>6.1052835165017133E-3</v>
      </c>
      <c r="AK3071" s="218">
        <v>3631.7089699654684</v>
      </c>
      <c r="AL3071" s="470">
        <v>1</v>
      </c>
      <c r="AM3071" s="471">
        <v>6.1052835165017133E-3</v>
      </c>
      <c r="AN3071" s="477">
        <v>3631.7089699654684</v>
      </c>
      <c r="AO3071" s="473">
        <v>1</v>
      </c>
      <c r="AP3071" s="474">
        <v>6.1052835165017133E-3</v>
      </c>
      <c r="AQ3071" s="352"/>
      <c r="AR3071" s="352"/>
      <c r="AS3071" s="352"/>
      <c r="AT3071" s="352"/>
      <c r="AU3071" s="352"/>
      <c r="AV3071" s="352"/>
      <c r="AW3071" s="352" t="s">
        <v>127</v>
      </c>
    </row>
    <row r="3072" spans="2:49" x14ac:dyDescent="0.2">
      <c r="B3072" s="460" t="s">
        <v>3266</v>
      </c>
      <c r="C3072" s="460">
        <v>4121</v>
      </c>
      <c r="D3072" s="460" t="s">
        <v>2379</v>
      </c>
      <c r="E3072" s="460" t="s">
        <v>2380</v>
      </c>
      <c r="F3072" s="460">
        <v>2</v>
      </c>
      <c r="G3072" s="460">
        <v>5</v>
      </c>
      <c r="H3072" s="461" t="s">
        <v>754</v>
      </c>
      <c r="I3072" s="461" t="s">
        <v>1991</v>
      </c>
      <c r="J3072" s="461" t="s">
        <v>754</v>
      </c>
      <c r="K3072" s="594"/>
      <c r="L3072" s="594"/>
      <c r="M3072" s="352">
        <v>4000</v>
      </c>
      <c r="N3072" s="352" t="s">
        <v>716</v>
      </c>
      <c r="O3072" s="460">
        <v>4121</v>
      </c>
      <c r="P3072" s="460" t="s">
        <v>772</v>
      </c>
      <c r="Q3072" s="460" t="s">
        <v>2377</v>
      </c>
      <c r="R3072" s="460">
        <v>4121</v>
      </c>
      <c r="S3072" s="460" t="s">
        <v>2380</v>
      </c>
      <c r="T3072" s="462">
        <v>1</v>
      </c>
      <c r="U3072" s="460" t="s">
        <v>2380</v>
      </c>
      <c r="V3072" s="475">
        <v>0</v>
      </c>
      <c r="W3072" s="463" t="s">
        <v>2278</v>
      </c>
      <c r="X3072" s="463" t="s">
        <v>2278</v>
      </c>
      <c r="Y3072" s="463" t="s">
        <v>2278</v>
      </c>
      <c r="Z3072" s="463"/>
      <c r="AA3072" s="463"/>
      <c r="AB3072" s="464">
        <v>3157.71648350126</v>
      </c>
      <c r="AC3072" s="465">
        <v>1</v>
      </c>
      <c r="AD3072" s="465">
        <v>6.2181869834501075E-3</v>
      </c>
      <c r="AE3072" s="476">
        <v>3157.71648350126</v>
      </c>
      <c r="AF3072" s="467">
        <v>1</v>
      </c>
      <c r="AG3072" s="468">
        <v>6.2181869834501075E-3</v>
      </c>
      <c r="AH3072" s="218">
        <v>3157.71648350126</v>
      </c>
      <c r="AI3072" s="470">
        <v>1</v>
      </c>
      <c r="AJ3072" s="471">
        <v>6.2181869834501075E-3</v>
      </c>
      <c r="AK3072" s="218">
        <v>3157.71648350126</v>
      </c>
      <c r="AL3072" s="470">
        <v>1</v>
      </c>
      <c r="AM3072" s="471">
        <v>6.2181869834501075E-3</v>
      </c>
      <c r="AN3072" s="477">
        <v>3157.71648350126</v>
      </c>
      <c r="AO3072" s="473">
        <v>1</v>
      </c>
      <c r="AP3072" s="474">
        <v>6.2181869834501075E-3</v>
      </c>
      <c r="AQ3072" s="352"/>
      <c r="AR3072" s="352"/>
      <c r="AS3072" s="352"/>
      <c r="AT3072" s="352"/>
      <c r="AU3072" s="352"/>
      <c r="AV3072" s="352"/>
      <c r="AW3072" s="352" t="s">
        <v>127</v>
      </c>
    </row>
    <row r="3073" spans="2:49" x14ac:dyDescent="0.2">
      <c r="B3073" s="460" t="s">
        <v>3267</v>
      </c>
      <c r="C3073" s="460">
        <v>4121</v>
      </c>
      <c r="D3073" s="460" t="s">
        <v>2382</v>
      </c>
      <c r="E3073" s="460" t="s">
        <v>2383</v>
      </c>
      <c r="F3073" s="460">
        <v>3</v>
      </c>
      <c r="G3073" s="460">
        <v>5</v>
      </c>
      <c r="H3073" s="461" t="s">
        <v>754</v>
      </c>
      <c r="I3073" s="461" t="s">
        <v>1991</v>
      </c>
      <c r="J3073" s="461" t="s">
        <v>754</v>
      </c>
      <c r="K3073" s="594"/>
      <c r="L3073" s="594"/>
      <c r="M3073" s="352">
        <v>4000</v>
      </c>
      <c r="N3073" s="352" t="s">
        <v>716</v>
      </c>
      <c r="O3073" s="460">
        <v>4121</v>
      </c>
      <c r="P3073" s="460" t="s">
        <v>772</v>
      </c>
      <c r="Q3073" s="460" t="s">
        <v>2377</v>
      </c>
      <c r="R3073" s="460">
        <v>4121</v>
      </c>
      <c r="S3073" s="460" t="s">
        <v>2383</v>
      </c>
      <c r="T3073" s="462">
        <v>1</v>
      </c>
      <c r="U3073" s="460" t="s">
        <v>2383</v>
      </c>
      <c r="V3073" s="475">
        <v>0</v>
      </c>
      <c r="W3073" s="463" t="s">
        <v>2278</v>
      </c>
      <c r="X3073" s="463" t="s">
        <v>2278</v>
      </c>
      <c r="Y3073" s="463" t="s">
        <v>2278</v>
      </c>
      <c r="Z3073" s="463"/>
      <c r="AA3073" s="463"/>
      <c r="AB3073" s="464">
        <v>909.73973170171269</v>
      </c>
      <c r="AC3073" s="465">
        <v>1</v>
      </c>
      <c r="AD3073" s="465">
        <v>8.0863654592743008E-3</v>
      </c>
      <c r="AE3073" s="476">
        <v>909.73973170171269</v>
      </c>
      <c r="AF3073" s="467">
        <v>1</v>
      </c>
      <c r="AG3073" s="468">
        <v>8.0863654592743008E-3</v>
      </c>
      <c r="AH3073" s="218">
        <v>909.73973170171269</v>
      </c>
      <c r="AI3073" s="470">
        <v>1</v>
      </c>
      <c r="AJ3073" s="471">
        <v>8.0863654592743008E-3</v>
      </c>
      <c r="AK3073" s="218">
        <v>909.73973170171269</v>
      </c>
      <c r="AL3073" s="470">
        <v>1</v>
      </c>
      <c r="AM3073" s="471">
        <v>8.0863654592743008E-3</v>
      </c>
      <c r="AN3073" s="477">
        <v>909.73973170171269</v>
      </c>
      <c r="AO3073" s="473">
        <v>1</v>
      </c>
      <c r="AP3073" s="474">
        <v>8.0863654592743008E-3</v>
      </c>
      <c r="AQ3073" s="352"/>
      <c r="AR3073" s="352"/>
      <c r="AS3073" s="352"/>
      <c r="AT3073" s="352"/>
      <c r="AU3073" s="352"/>
      <c r="AV3073" s="352"/>
      <c r="AW3073" s="352" t="s">
        <v>127</v>
      </c>
    </row>
    <row r="3074" spans="2:49" x14ac:dyDescent="0.2">
      <c r="B3074" s="460" t="s">
        <v>3268</v>
      </c>
      <c r="C3074" s="460">
        <v>4121</v>
      </c>
      <c r="D3074" s="460" t="s">
        <v>2385</v>
      </c>
      <c r="E3074" s="460" t="s">
        <v>2386</v>
      </c>
      <c r="F3074" s="460">
        <v>4</v>
      </c>
      <c r="G3074" s="460">
        <v>5</v>
      </c>
      <c r="H3074" s="461" t="s">
        <v>754</v>
      </c>
      <c r="I3074" s="461" t="s">
        <v>1991</v>
      </c>
      <c r="J3074" s="461" t="s">
        <v>754</v>
      </c>
      <c r="K3074" s="594"/>
      <c r="L3074" s="594"/>
      <c r="M3074" s="352">
        <v>4000</v>
      </c>
      <c r="N3074" s="352" t="s">
        <v>716</v>
      </c>
      <c r="O3074" s="460">
        <v>4121</v>
      </c>
      <c r="P3074" s="460" t="s">
        <v>772</v>
      </c>
      <c r="Q3074" s="460" t="s">
        <v>2377</v>
      </c>
      <c r="R3074" s="460">
        <v>4121</v>
      </c>
      <c r="S3074" s="460" t="s">
        <v>2386</v>
      </c>
      <c r="T3074" s="462">
        <v>1</v>
      </c>
      <c r="U3074" s="460" t="s">
        <v>2386</v>
      </c>
      <c r="V3074" s="475">
        <v>0</v>
      </c>
      <c r="W3074" s="463" t="s">
        <v>2278</v>
      </c>
      <c r="X3074" s="463" t="s">
        <v>2278</v>
      </c>
      <c r="Y3074" s="463" t="s">
        <v>2278</v>
      </c>
      <c r="Z3074" s="463"/>
      <c r="AA3074" s="463"/>
      <c r="AB3074" s="464">
        <v>164.14305117097339</v>
      </c>
      <c r="AC3074" s="465">
        <v>1</v>
      </c>
      <c r="AD3074" s="465">
        <v>3.0449746532577428E-3</v>
      </c>
      <c r="AE3074" s="476">
        <v>164.14305117097339</v>
      </c>
      <c r="AF3074" s="467">
        <v>1</v>
      </c>
      <c r="AG3074" s="468">
        <v>3.0449746532577428E-3</v>
      </c>
      <c r="AH3074" s="218">
        <v>164.14305117097339</v>
      </c>
      <c r="AI3074" s="470">
        <v>1</v>
      </c>
      <c r="AJ3074" s="471">
        <v>3.0449746532577428E-3</v>
      </c>
      <c r="AK3074" s="218">
        <v>164.14305117097339</v>
      </c>
      <c r="AL3074" s="470">
        <v>1</v>
      </c>
      <c r="AM3074" s="471">
        <v>3.0449746532577428E-3</v>
      </c>
      <c r="AN3074" s="477">
        <v>164.14305117097339</v>
      </c>
      <c r="AO3074" s="473">
        <v>1</v>
      </c>
      <c r="AP3074" s="474">
        <v>3.0449746532577428E-3</v>
      </c>
      <c r="AQ3074" s="352"/>
      <c r="AR3074" s="352"/>
      <c r="AS3074" s="352"/>
      <c r="AT3074" s="352"/>
      <c r="AU3074" s="352"/>
      <c r="AV3074" s="352"/>
      <c r="AW3074" s="352" t="s">
        <v>127</v>
      </c>
    </row>
    <row r="3075" spans="2:49" x14ac:dyDescent="0.2">
      <c r="B3075" s="460" t="s">
        <v>3269</v>
      </c>
      <c r="C3075" s="460">
        <v>4231</v>
      </c>
      <c r="D3075" s="460" t="s">
        <v>2264</v>
      </c>
      <c r="E3075" s="460" t="s">
        <v>2265</v>
      </c>
      <c r="F3075" s="460">
        <v>1</v>
      </c>
      <c r="G3075" s="460">
        <v>1</v>
      </c>
      <c r="H3075" s="461" t="s">
        <v>700</v>
      </c>
      <c r="I3075" s="461" t="s">
        <v>872</v>
      </c>
      <c r="J3075" s="461" t="s">
        <v>700</v>
      </c>
      <c r="K3075" s="594"/>
      <c r="L3075" s="594"/>
      <c r="M3075" s="352">
        <v>4000</v>
      </c>
      <c r="N3075" s="352" t="s">
        <v>716</v>
      </c>
      <c r="O3075" s="460">
        <v>4231</v>
      </c>
      <c r="P3075" s="460" t="s">
        <v>774</v>
      </c>
      <c r="Q3075" s="460" t="s">
        <v>2266</v>
      </c>
      <c r="R3075" s="460">
        <v>4231</v>
      </c>
      <c r="S3075" s="460" t="s">
        <v>2265</v>
      </c>
      <c r="T3075" s="462">
        <v>1</v>
      </c>
      <c r="U3075" s="460" t="s">
        <v>2265</v>
      </c>
      <c r="V3075" s="475">
        <v>0</v>
      </c>
      <c r="W3075" s="463" t="s">
        <v>2267</v>
      </c>
      <c r="X3075" s="463" t="s">
        <v>2267</v>
      </c>
      <c r="Y3075" s="463" t="s">
        <v>2268</v>
      </c>
      <c r="Z3075" s="463"/>
      <c r="AA3075" s="463"/>
      <c r="AB3075" s="464">
        <v>2304.5574264685529</v>
      </c>
      <c r="AC3075" s="465">
        <v>0.50054406672904117</v>
      </c>
      <c r="AD3075" s="465">
        <v>2.1371163927924347E-2</v>
      </c>
      <c r="AE3075" s="476">
        <v>2304.5574264685529</v>
      </c>
      <c r="AF3075" s="467">
        <v>0.50054406672904117</v>
      </c>
      <c r="AG3075" s="468">
        <v>2.2828875843473862E-2</v>
      </c>
      <c r="AH3075" s="218">
        <v>2304.5574264685529</v>
      </c>
      <c r="AI3075" s="470">
        <v>0.50054406672904117</v>
      </c>
      <c r="AJ3075" s="471">
        <v>2.1974736751892269E-2</v>
      </c>
      <c r="AK3075" s="218">
        <v>2304.5574264685529</v>
      </c>
      <c r="AL3075" s="470">
        <v>0.50054406672904117</v>
      </c>
      <c r="AM3075" s="471">
        <v>2.1974736751892269E-2</v>
      </c>
      <c r="AN3075" s="477">
        <v>0</v>
      </c>
      <c r="AO3075" s="473">
        <v>0</v>
      </c>
      <c r="AP3075" s="474">
        <v>0</v>
      </c>
      <c r="AQ3075" s="352"/>
      <c r="AR3075" s="352"/>
      <c r="AS3075" s="352"/>
      <c r="AT3075" s="352"/>
      <c r="AU3075" s="352"/>
      <c r="AV3075" s="352"/>
      <c r="AW3075" s="352" t="s">
        <v>254</v>
      </c>
    </row>
    <row r="3076" spans="2:49" x14ac:dyDescent="0.2">
      <c r="B3076" s="460" t="s">
        <v>3270</v>
      </c>
      <c r="C3076" s="460">
        <v>4231</v>
      </c>
      <c r="D3076" s="460" t="s">
        <v>2270</v>
      </c>
      <c r="E3076" s="460" t="s">
        <v>2271</v>
      </c>
      <c r="F3076" s="460">
        <v>2</v>
      </c>
      <c r="G3076" s="460">
        <v>1</v>
      </c>
      <c r="H3076" s="461" t="s">
        <v>700</v>
      </c>
      <c r="I3076" s="461" t="s">
        <v>872</v>
      </c>
      <c r="J3076" s="461" t="s">
        <v>700</v>
      </c>
      <c r="K3076" s="594"/>
      <c r="L3076" s="594"/>
      <c r="M3076" s="352">
        <v>4000</v>
      </c>
      <c r="N3076" s="352" t="s">
        <v>716</v>
      </c>
      <c r="O3076" s="460">
        <v>4231</v>
      </c>
      <c r="P3076" s="460" t="s">
        <v>774</v>
      </c>
      <c r="Q3076" s="460" t="s">
        <v>2266</v>
      </c>
      <c r="R3076" s="460">
        <v>4231</v>
      </c>
      <c r="S3076" s="460" t="s">
        <v>2265</v>
      </c>
      <c r="T3076" s="462">
        <v>1</v>
      </c>
      <c r="U3076" s="460" t="s">
        <v>2271</v>
      </c>
      <c r="V3076" s="475">
        <v>0</v>
      </c>
      <c r="W3076" s="463" t="s">
        <v>2267</v>
      </c>
      <c r="X3076" s="463" t="s">
        <v>2267</v>
      </c>
      <c r="Y3076" s="463" t="s">
        <v>2268</v>
      </c>
      <c r="Z3076" s="463"/>
      <c r="AA3076" s="463"/>
      <c r="AB3076" s="464">
        <v>1624.3712524316713</v>
      </c>
      <c r="AC3076" s="465">
        <v>0.32623637090607532</v>
      </c>
      <c r="AD3076" s="465">
        <v>2.015323803420881E-2</v>
      </c>
      <c r="AE3076" s="476">
        <v>1624.3712524316713</v>
      </c>
      <c r="AF3076" s="467">
        <v>0.32623637090607532</v>
      </c>
      <c r="AG3076" s="468">
        <v>2.1839283150103181E-2</v>
      </c>
      <c r="AH3076" s="218">
        <v>2492.2708351362221</v>
      </c>
      <c r="AI3076" s="470">
        <v>0.50054406672904117</v>
      </c>
      <c r="AJ3076" s="471">
        <v>2.9424745078041388E-2</v>
      </c>
      <c r="AK3076" s="218">
        <v>2492.2708351362221</v>
      </c>
      <c r="AL3076" s="470">
        <v>0.50054406672904117</v>
      </c>
      <c r="AM3076" s="471">
        <v>2.9424745078041388E-2</v>
      </c>
      <c r="AN3076" s="477">
        <v>0</v>
      </c>
      <c r="AO3076" s="473">
        <v>0</v>
      </c>
      <c r="AP3076" s="474">
        <v>0</v>
      </c>
      <c r="AQ3076" s="352"/>
      <c r="AR3076" s="352"/>
      <c r="AS3076" s="352"/>
      <c r="AT3076" s="352"/>
      <c r="AU3076" s="352"/>
      <c r="AV3076" s="352"/>
      <c r="AW3076" s="352" t="s">
        <v>254</v>
      </c>
    </row>
    <row r="3077" spans="2:49" x14ac:dyDescent="0.2">
      <c r="B3077" s="460" t="s">
        <v>3271</v>
      </c>
      <c r="C3077" s="460">
        <v>4231</v>
      </c>
      <c r="D3077" s="460" t="s">
        <v>2273</v>
      </c>
      <c r="E3077" s="460" t="s">
        <v>2274</v>
      </c>
      <c r="F3077" s="460">
        <v>3</v>
      </c>
      <c r="G3077" s="460">
        <v>1</v>
      </c>
      <c r="H3077" s="461" t="s">
        <v>700</v>
      </c>
      <c r="I3077" s="461" t="s">
        <v>872</v>
      </c>
      <c r="J3077" s="461" t="s">
        <v>700</v>
      </c>
      <c r="K3077" s="594"/>
      <c r="L3077" s="594"/>
      <c r="M3077" s="352">
        <v>4000</v>
      </c>
      <c r="N3077" s="352" t="s">
        <v>716</v>
      </c>
      <c r="O3077" s="460">
        <v>4231</v>
      </c>
      <c r="P3077" s="460" t="s">
        <v>774</v>
      </c>
      <c r="Q3077" s="460" t="s">
        <v>2266</v>
      </c>
      <c r="R3077" s="460">
        <v>4231</v>
      </c>
      <c r="S3077" s="460" t="s">
        <v>2265</v>
      </c>
      <c r="T3077" s="462">
        <v>0.74223365950407583</v>
      </c>
      <c r="U3077" s="460" t="s">
        <v>2274</v>
      </c>
      <c r="V3077" s="475">
        <v>0</v>
      </c>
      <c r="W3077" s="463" t="s">
        <v>2267</v>
      </c>
      <c r="X3077" s="463" t="s">
        <v>2267</v>
      </c>
      <c r="Y3077" s="463" t="s">
        <v>2268</v>
      </c>
      <c r="Z3077" s="463"/>
      <c r="AA3077" s="463"/>
      <c r="AB3077" s="464">
        <v>435.72025957947847</v>
      </c>
      <c r="AC3077" s="465">
        <v>0.18184662542006327</v>
      </c>
      <c r="AD3077" s="465">
        <v>2.1554931224659624E-2</v>
      </c>
      <c r="AE3077" s="476">
        <v>435.72025957947847</v>
      </c>
      <c r="AF3077" s="467">
        <v>0.18184662542006327</v>
      </c>
      <c r="AG3077" s="468">
        <v>2.3347742139627453E-2</v>
      </c>
      <c r="AH3077" s="218">
        <v>890.19565579838286</v>
      </c>
      <c r="AI3077" s="470">
        <v>0.37152065439134857</v>
      </c>
      <c r="AJ3077" s="471">
        <v>3.4543227926845062E-2</v>
      </c>
      <c r="AK3077" s="218">
        <v>890.19565579838286</v>
      </c>
      <c r="AL3077" s="470">
        <v>0.37152065439134857</v>
      </c>
      <c r="AM3077" s="471">
        <v>3.4543227926845062E-2</v>
      </c>
      <c r="AN3077" s="477">
        <v>0</v>
      </c>
      <c r="AO3077" s="473">
        <v>0</v>
      </c>
      <c r="AP3077" s="474">
        <v>0</v>
      </c>
      <c r="AQ3077" s="352"/>
      <c r="AR3077" s="352"/>
      <c r="AS3077" s="352"/>
      <c r="AT3077" s="352"/>
      <c r="AU3077" s="352"/>
      <c r="AV3077" s="352"/>
      <c r="AW3077" s="352" t="s">
        <v>254</v>
      </c>
    </row>
    <row r="3078" spans="2:49" x14ac:dyDescent="0.2">
      <c r="B3078" s="460" t="s">
        <v>3272</v>
      </c>
      <c r="C3078" s="460">
        <v>4231</v>
      </c>
      <c r="D3078" s="460" t="s">
        <v>2276</v>
      </c>
      <c r="E3078" s="460" t="s">
        <v>2277</v>
      </c>
      <c r="F3078" s="460">
        <v>4</v>
      </c>
      <c r="G3078" s="460">
        <v>1</v>
      </c>
      <c r="H3078" s="461" t="s">
        <v>700</v>
      </c>
      <c r="I3078" s="461" t="s">
        <v>872</v>
      </c>
      <c r="J3078" s="461" t="s">
        <v>700</v>
      </c>
      <c r="K3078" s="594"/>
      <c r="L3078" s="594"/>
      <c r="M3078" s="352">
        <v>4000</v>
      </c>
      <c r="N3078" s="352" t="s">
        <v>716</v>
      </c>
      <c r="O3078" s="460">
        <v>4231</v>
      </c>
      <c r="P3078" s="460" t="s">
        <v>774</v>
      </c>
      <c r="Q3078" s="460" t="s">
        <v>2266</v>
      </c>
      <c r="R3078" s="460">
        <v>4231</v>
      </c>
      <c r="S3078" s="460" t="s">
        <v>2277</v>
      </c>
      <c r="T3078" s="462">
        <v>1</v>
      </c>
      <c r="U3078" s="460" t="s">
        <v>2277</v>
      </c>
      <c r="V3078" s="475">
        <v>0</v>
      </c>
      <c r="W3078" s="463" t="s">
        <v>2278</v>
      </c>
      <c r="X3078" s="463" t="s">
        <v>2278</v>
      </c>
      <c r="Y3078" s="463" t="s">
        <v>2268</v>
      </c>
      <c r="Z3078" s="463"/>
      <c r="AA3078" s="463"/>
      <c r="AB3078" s="464">
        <v>3.0624905189365563</v>
      </c>
      <c r="AC3078" s="465">
        <v>1.3759879765969348E-3</v>
      </c>
      <c r="AD3078" s="465">
        <v>1.2360853967056558E-2</v>
      </c>
      <c r="AE3078" s="476">
        <v>3.0624905189365563</v>
      </c>
      <c r="AF3078" s="467">
        <v>1.3759879765969348E-3</v>
      </c>
      <c r="AG3078" s="468">
        <v>1.3818783161576175E-2</v>
      </c>
      <c r="AH3078" s="218">
        <v>3.0624905189365563</v>
      </c>
      <c r="AI3078" s="470">
        <v>1.3759879765969348E-3</v>
      </c>
      <c r="AJ3078" s="471">
        <v>1.3244705496542391E-2</v>
      </c>
      <c r="AK3078" s="218">
        <v>3.0624905189365563</v>
      </c>
      <c r="AL3078" s="470">
        <v>1.3759879765969348E-3</v>
      </c>
      <c r="AM3078" s="471">
        <v>1.3244705496542391E-2</v>
      </c>
      <c r="AN3078" s="477">
        <v>0</v>
      </c>
      <c r="AO3078" s="473">
        <v>0</v>
      </c>
      <c r="AP3078" s="474">
        <v>0</v>
      </c>
      <c r="AQ3078" s="352"/>
      <c r="AR3078" s="352"/>
      <c r="AS3078" s="352"/>
      <c r="AT3078" s="352"/>
      <c r="AU3078" s="352"/>
      <c r="AV3078" s="352"/>
      <c r="AW3078" s="352" t="s">
        <v>254</v>
      </c>
    </row>
    <row r="3079" spans="2:49" x14ac:dyDescent="0.2">
      <c r="B3079" s="460" t="s">
        <v>3269</v>
      </c>
      <c r="C3079" s="460">
        <v>4231</v>
      </c>
      <c r="D3079" s="460" t="s">
        <v>2279</v>
      </c>
      <c r="E3079" s="460" t="s">
        <v>2265</v>
      </c>
      <c r="F3079" s="460">
        <v>1</v>
      </c>
      <c r="G3079" s="460">
        <v>1</v>
      </c>
      <c r="H3079" s="461" t="s">
        <v>712</v>
      </c>
      <c r="I3079" s="461" t="s">
        <v>713</v>
      </c>
      <c r="J3079" s="461" t="s">
        <v>712</v>
      </c>
      <c r="K3079" s="594"/>
      <c r="L3079" s="594"/>
      <c r="M3079" s="352">
        <v>4000</v>
      </c>
      <c r="N3079" s="352" t="s">
        <v>716</v>
      </c>
      <c r="O3079" s="460">
        <v>4231</v>
      </c>
      <c r="P3079" s="460" t="s">
        <v>774</v>
      </c>
      <c r="Q3079" s="460" t="s">
        <v>2280</v>
      </c>
      <c r="R3079" s="460">
        <v>4231</v>
      </c>
      <c r="S3079" s="460" t="s">
        <v>2265</v>
      </c>
      <c r="T3079" s="462">
        <v>1</v>
      </c>
      <c r="U3079" s="460" t="s">
        <v>2265</v>
      </c>
      <c r="V3079" s="475">
        <v>0</v>
      </c>
      <c r="W3079" s="463" t="s">
        <v>713</v>
      </c>
      <c r="X3079" s="463" t="s">
        <v>713</v>
      </c>
      <c r="Y3079" s="463" t="s">
        <v>713</v>
      </c>
      <c r="Z3079" s="463"/>
      <c r="AA3079" s="463"/>
      <c r="AB3079" s="464">
        <v>2299.5475458037004</v>
      </c>
      <c r="AC3079" s="465">
        <v>0.49945593327095889</v>
      </c>
      <c r="AD3079" s="465">
        <v>8.4949263138660754E-3</v>
      </c>
      <c r="AE3079" s="476">
        <v>2299.5475458036999</v>
      </c>
      <c r="AF3079" s="467">
        <v>0.49945593327095883</v>
      </c>
      <c r="AG3079" s="468">
        <v>8.2842020989525242E-3</v>
      </c>
      <c r="AH3079" s="218">
        <v>2299.5475458036999</v>
      </c>
      <c r="AI3079" s="470">
        <v>0.49945593327095883</v>
      </c>
      <c r="AJ3079" s="471">
        <v>8.4029838565139268E-3</v>
      </c>
      <c r="AK3079" s="218">
        <v>2299.5475458036999</v>
      </c>
      <c r="AL3079" s="470">
        <v>0.49945593327095883</v>
      </c>
      <c r="AM3079" s="471">
        <v>8.4029838565139268E-3</v>
      </c>
      <c r="AN3079" s="477">
        <v>2299.5475458036999</v>
      </c>
      <c r="AO3079" s="473">
        <v>0.49945593327095883</v>
      </c>
      <c r="AP3079" s="474">
        <v>8.4002458273614092E-3</v>
      </c>
      <c r="AQ3079" s="352"/>
      <c r="AR3079" s="352"/>
      <c r="AS3079" s="352"/>
      <c r="AT3079" s="352"/>
      <c r="AU3079" s="352"/>
      <c r="AV3079" s="352"/>
      <c r="AW3079" s="352" t="s">
        <v>254</v>
      </c>
    </row>
    <row r="3080" spans="2:49" x14ac:dyDescent="0.2">
      <c r="B3080" s="460" t="s">
        <v>3270</v>
      </c>
      <c r="C3080" s="460">
        <v>4231</v>
      </c>
      <c r="D3080" s="460" t="s">
        <v>2281</v>
      </c>
      <c r="E3080" s="460" t="s">
        <v>2271</v>
      </c>
      <c r="F3080" s="460">
        <v>2</v>
      </c>
      <c r="G3080" s="460">
        <v>1</v>
      </c>
      <c r="H3080" s="461" t="s">
        <v>712</v>
      </c>
      <c r="I3080" s="461" t="s">
        <v>713</v>
      </c>
      <c r="J3080" s="461" t="s">
        <v>712</v>
      </c>
      <c r="K3080" s="594"/>
      <c r="L3080" s="594"/>
      <c r="M3080" s="352">
        <v>4000</v>
      </c>
      <c r="N3080" s="352" t="s">
        <v>716</v>
      </c>
      <c r="O3080" s="460">
        <v>4231</v>
      </c>
      <c r="P3080" s="460" t="s">
        <v>774</v>
      </c>
      <c r="Q3080" s="460" t="s">
        <v>2280</v>
      </c>
      <c r="R3080" s="460">
        <v>4231</v>
      </c>
      <c r="S3080" s="460" t="s">
        <v>2265</v>
      </c>
      <c r="T3080" s="462">
        <v>1</v>
      </c>
      <c r="U3080" s="460" t="s">
        <v>2271</v>
      </c>
      <c r="V3080" s="475">
        <v>0</v>
      </c>
      <c r="W3080" s="463" t="s">
        <v>713</v>
      </c>
      <c r="X3080" s="463" t="s">
        <v>713</v>
      </c>
      <c r="Y3080" s="463" t="s">
        <v>713</v>
      </c>
      <c r="Z3080" s="463"/>
      <c r="AA3080" s="463"/>
      <c r="AB3080" s="464">
        <v>3354.7524667300213</v>
      </c>
      <c r="AC3080" s="465">
        <v>0.67376362909392462</v>
      </c>
      <c r="AD3080" s="465">
        <v>1.40091799322356E-2</v>
      </c>
      <c r="AE3080" s="476">
        <v>3354.7524667300213</v>
      </c>
      <c r="AF3080" s="467">
        <v>0.67376362909392462</v>
      </c>
      <c r="AG3080" s="468">
        <v>1.3654370474812792E-2</v>
      </c>
      <c r="AH3080" s="218">
        <v>2486.8528840254708</v>
      </c>
      <c r="AI3080" s="470">
        <v>0.49945593327095883</v>
      </c>
      <c r="AJ3080" s="471">
        <v>1.0683881807080135E-2</v>
      </c>
      <c r="AK3080" s="218">
        <v>2486.8528840254708</v>
      </c>
      <c r="AL3080" s="470">
        <v>0.49945593327095883</v>
      </c>
      <c r="AM3080" s="471">
        <v>1.0683881807080135E-2</v>
      </c>
      <c r="AN3080" s="477">
        <v>2486.8528840254708</v>
      </c>
      <c r="AO3080" s="473">
        <v>0.49945593327095883</v>
      </c>
      <c r="AP3080" s="474">
        <v>1.0680130345694526E-2</v>
      </c>
      <c r="AQ3080" s="352"/>
      <c r="AR3080" s="352"/>
      <c r="AS3080" s="352"/>
      <c r="AT3080" s="352"/>
      <c r="AU3080" s="352"/>
      <c r="AV3080" s="352"/>
      <c r="AW3080" s="352" t="s">
        <v>254</v>
      </c>
    </row>
    <row r="3081" spans="2:49" x14ac:dyDescent="0.2">
      <c r="B3081" s="460" t="s">
        <v>3271</v>
      </c>
      <c r="C3081" s="460">
        <v>4231</v>
      </c>
      <c r="D3081" s="460" t="s">
        <v>2282</v>
      </c>
      <c r="E3081" s="460" t="s">
        <v>2274</v>
      </c>
      <c r="F3081" s="460">
        <v>3</v>
      </c>
      <c r="G3081" s="460">
        <v>1</v>
      </c>
      <c r="H3081" s="461" t="s">
        <v>712</v>
      </c>
      <c r="I3081" s="461" t="s">
        <v>713</v>
      </c>
      <c r="J3081" s="461" t="s">
        <v>712</v>
      </c>
      <c r="K3081" s="594"/>
      <c r="L3081" s="594"/>
      <c r="M3081" s="352">
        <v>4000</v>
      </c>
      <c r="N3081" s="352" t="s">
        <v>716</v>
      </c>
      <c r="O3081" s="460">
        <v>4231</v>
      </c>
      <c r="P3081" s="460" t="s">
        <v>774</v>
      </c>
      <c r="Q3081" s="460" t="s">
        <v>2280</v>
      </c>
      <c r="R3081" s="460">
        <v>4231</v>
      </c>
      <c r="S3081" s="460" t="s">
        <v>2265</v>
      </c>
      <c r="T3081" s="462">
        <v>0.74223365950407583</v>
      </c>
      <c r="U3081" s="460" t="s">
        <v>2274</v>
      </c>
      <c r="V3081" s="475">
        <v>0</v>
      </c>
      <c r="W3081" s="463" t="s">
        <v>713</v>
      </c>
      <c r="X3081" s="463" t="s">
        <v>713</v>
      </c>
      <c r="Y3081" s="463" t="s">
        <v>713</v>
      </c>
      <c r="Z3081" s="463"/>
      <c r="AA3081" s="463"/>
      <c r="AB3081" s="464">
        <v>1960.3663247768191</v>
      </c>
      <c r="AC3081" s="465">
        <v>0.81815337457993675</v>
      </c>
      <c r="AD3081" s="465">
        <v>1.173320895564671E-2</v>
      </c>
      <c r="AE3081" s="476">
        <v>1960.3663247768191</v>
      </c>
      <c r="AF3081" s="467">
        <v>0.81815337457993675</v>
      </c>
      <c r="AG3081" s="468">
        <v>1.1625207158114064E-2</v>
      </c>
      <c r="AH3081" s="218">
        <v>1505.8909285579148</v>
      </c>
      <c r="AI3081" s="470">
        <v>0.62847934560865149</v>
      </c>
      <c r="AJ3081" s="471">
        <v>9.4632756814428051E-3</v>
      </c>
      <c r="AK3081" s="218">
        <v>1505.8909285579148</v>
      </c>
      <c r="AL3081" s="470">
        <v>0.62847934560865149</v>
      </c>
      <c r="AM3081" s="471">
        <v>9.4632756814428051E-3</v>
      </c>
      <c r="AN3081" s="477">
        <v>1505.8909285579148</v>
      </c>
      <c r="AO3081" s="473">
        <v>0.62847934560865149</v>
      </c>
      <c r="AP3081" s="474">
        <v>9.5315437224757944E-3</v>
      </c>
      <c r="AQ3081" s="352"/>
      <c r="AR3081" s="352"/>
      <c r="AS3081" s="352"/>
      <c r="AT3081" s="352"/>
      <c r="AU3081" s="352"/>
      <c r="AV3081" s="352"/>
      <c r="AW3081" s="352" t="s">
        <v>254</v>
      </c>
    </row>
    <row r="3082" spans="2:49" x14ac:dyDescent="0.2">
      <c r="B3082" s="460" t="s">
        <v>3272</v>
      </c>
      <c r="C3082" s="460">
        <v>4231</v>
      </c>
      <c r="D3082" s="460" t="s">
        <v>2283</v>
      </c>
      <c r="E3082" s="460" t="s">
        <v>2277</v>
      </c>
      <c r="F3082" s="460">
        <v>4</v>
      </c>
      <c r="G3082" s="460">
        <v>1</v>
      </c>
      <c r="H3082" s="461" t="s">
        <v>712</v>
      </c>
      <c r="I3082" s="461" t="s">
        <v>713</v>
      </c>
      <c r="J3082" s="461" t="s">
        <v>712</v>
      </c>
      <c r="K3082" s="594"/>
      <c r="L3082" s="594"/>
      <c r="M3082" s="352">
        <v>4000</v>
      </c>
      <c r="N3082" s="352" t="s">
        <v>716</v>
      </c>
      <c r="O3082" s="460">
        <v>4231</v>
      </c>
      <c r="P3082" s="460" t="s">
        <v>774</v>
      </c>
      <c r="Q3082" s="460" t="s">
        <v>2280</v>
      </c>
      <c r="R3082" s="460">
        <v>4231</v>
      </c>
      <c r="S3082" s="460" t="s">
        <v>2277</v>
      </c>
      <c r="T3082" s="462">
        <v>1</v>
      </c>
      <c r="U3082" s="460" t="s">
        <v>2277</v>
      </c>
      <c r="V3082" s="475">
        <v>0</v>
      </c>
      <c r="W3082" s="463" t="s">
        <v>713</v>
      </c>
      <c r="X3082" s="463" t="s">
        <v>713</v>
      </c>
      <c r="Y3082" s="463" t="s">
        <v>713</v>
      </c>
      <c r="Z3082" s="463"/>
      <c r="AA3082" s="463"/>
      <c r="AB3082" s="464">
        <v>2222.6041366783775</v>
      </c>
      <c r="AC3082" s="465">
        <v>0.99862401202340312</v>
      </c>
      <c r="AD3082" s="465">
        <v>1.1542594211065833E-2</v>
      </c>
      <c r="AE3082" s="476">
        <v>2222.6041366783775</v>
      </c>
      <c r="AF3082" s="467">
        <v>0.99862401202340312</v>
      </c>
      <c r="AG3082" s="468">
        <v>1.154102753685457E-2</v>
      </c>
      <c r="AH3082" s="218">
        <v>2222.6041366783775</v>
      </c>
      <c r="AI3082" s="470">
        <v>0.99862401202340312</v>
      </c>
      <c r="AJ3082" s="471">
        <v>1.1541603217719526E-2</v>
      </c>
      <c r="AK3082" s="218">
        <v>2222.6041366783775</v>
      </c>
      <c r="AL3082" s="470">
        <v>0.99862401202340312</v>
      </c>
      <c r="AM3082" s="471">
        <v>1.1541603217719526E-2</v>
      </c>
      <c r="AN3082" s="477">
        <v>2222.6041366783775</v>
      </c>
      <c r="AO3082" s="473">
        <v>0.99862401202340312</v>
      </c>
      <c r="AP3082" s="474">
        <v>1.1541660768931327E-2</v>
      </c>
      <c r="AQ3082" s="352"/>
      <c r="AR3082" s="352"/>
      <c r="AS3082" s="352"/>
      <c r="AT3082" s="352"/>
      <c r="AU3082" s="352"/>
      <c r="AV3082" s="352"/>
      <c r="AW3082" s="352" t="s">
        <v>254</v>
      </c>
    </row>
    <row r="3083" spans="2:49" x14ac:dyDescent="0.2">
      <c r="B3083" s="460" t="s">
        <v>3269</v>
      </c>
      <c r="C3083" s="460">
        <v>4231</v>
      </c>
      <c r="D3083" s="460" t="s">
        <v>2284</v>
      </c>
      <c r="E3083" s="460" t="s">
        <v>2265</v>
      </c>
      <c r="F3083" s="460">
        <v>1</v>
      </c>
      <c r="G3083" s="460">
        <v>1</v>
      </c>
      <c r="H3083" s="461" t="s">
        <v>746</v>
      </c>
      <c r="I3083" s="461" t="s">
        <v>762</v>
      </c>
      <c r="J3083" s="461" t="s">
        <v>700</v>
      </c>
      <c r="K3083" s="594"/>
      <c r="L3083" s="594"/>
      <c r="M3083" s="352">
        <v>4000</v>
      </c>
      <c r="N3083" s="352" t="s">
        <v>716</v>
      </c>
      <c r="O3083" s="460">
        <v>4231</v>
      </c>
      <c r="P3083" s="460" t="s">
        <v>774</v>
      </c>
      <c r="Q3083" s="460" t="s">
        <v>2289</v>
      </c>
      <c r="R3083" s="460">
        <v>4231</v>
      </c>
      <c r="S3083" s="460" t="s">
        <v>2265</v>
      </c>
      <c r="T3083" s="462">
        <v>1</v>
      </c>
      <c r="U3083" s="460" t="s">
        <v>2265</v>
      </c>
      <c r="V3083" s="475">
        <v>0</v>
      </c>
      <c r="W3083" s="463" t="s">
        <v>2268</v>
      </c>
      <c r="X3083" s="463" t="s">
        <v>2268</v>
      </c>
      <c r="Y3083" s="463" t="s">
        <v>2290</v>
      </c>
      <c r="Z3083" s="463"/>
      <c r="AA3083" s="463"/>
      <c r="AB3083" s="464">
        <v>0</v>
      </c>
      <c r="AC3083" s="465">
        <v>0</v>
      </c>
      <c r="AD3083" s="465">
        <v>0</v>
      </c>
      <c r="AE3083" s="476">
        <v>0</v>
      </c>
      <c r="AF3083" s="467">
        <v>0</v>
      </c>
      <c r="AG3083" s="468">
        <v>0</v>
      </c>
      <c r="AH3083" s="218">
        <v>0</v>
      </c>
      <c r="AI3083" s="470">
        <v>0</v>
      </c>
      <c r="AJ3083" s="471">
        <v>0</v>
      </c>
      <c r="AK3083" s="218">
        <v>0</v>
      </c>
      <c r="AL3083" s="470">
        <v>0</v>
      </c>
      <c r="AM3083" s="471">
        <v>0</v>
      </c>
      <c r="AN3083" s="477">
        <v>0</v>
      </c>
      <c r="AO3083" s="473">
        <v>0</v>
      </c>
      <c r="AP3083" s="474">
        <v>0</v>
      </c>
      <c r="AQ3083" s="352"/>
      <c r="AR3083" s="352"/>
      <c r="AS3083" s="352"/>
      <c r="AT3083" s="352"/>
      <c r="AU3083" s="352"/>
      <c r="AV3083" s="352"/>
      <c r="AW3083" s="352" t="s">
        <v>254</v>
      </c>
    </row>
    <row r="3084" spans="2:49" x14ac:dyDescent="0.2">
      <c r="B3084" s="460" t="s">
        <v>3270</v>
      </c>
      <c r="C3084" s="460">
        <v>4231</v>
      </c>
      <c r="D3084" s="460" t="s">
        <v>2285</v>
      </c>
      <c r="E3084" s="460" t="s">
        <v>2271</v>
      </c>
      <c r="F3084" s="460">
        <v>2</v>
      </c>
      <c r="G3084" s="460">
        <v>1</v>
      </c>
      <c r="H3084" s="461" t="s">
        <v>746</v>
      </c>
      <c r="I3084" s="461" t="s">
        <v>762</v>
      </c>
      <c r="J3084" s="461" t="s">
        <v>700</v>
      </c>
      <c r="K3084" s="594"/>
      <c r="L3084" s="594"/>
      <c r="M3084" s="352">
        <v>4000</v>
      </c>
      <c r="N3084" s="352" t="s">
        <v>716</v>
      </c>
      <c r="O3084" s="460">
        <v>4231</v>
      </c>
      <c r="P3084" s="460" t="s">
        <v>774</v>
      </c>
      <c r="Q3084" s="460" t="s">
        <v>2289</v>
      </c>
      <c r="R3084" s="460">
        <v>4231</v>
      </c>
      <c r="S3084" s="460" t="s">
        <v>2265</v>
      </c>
      <c r="T3084" s="462">
        <v>1</v>
      </c>
      <c r="U3084" s="460" t="s">
        <v>2271</v>
      </c>
      <c r="V3084" s="475">
        <v>0</v>
      </c>
      <c r="W3084" s="463" t="s">
        <v>2268</v>
      </c>
      <c r="X3084" s="463" t="s">
        <v>2268</v>
      </c>
      <c r="Y3084" s="463" t="s">
        <v>2290</v>
      </c>
      <c r="Z3084" s="463"/>
      <c r="AA3084" s="463"/>
      <c r="AB3084" s="464">
        <v>0</v>
      </c>
      <c r="AC3084" s="465">
        <v>0</v>
      </c>
      <c r="AD3084" s="465">
        <v>0</v>
      </c>
      <c r="AE3084" s="476">
        <v>0</v>
      </c>
      <c r="AF3084" s="467">
        <v>0</v>
      </c>
      <c r="AG3084" s="468">
        <v>0</v>
      </c>
      <c r="AH3084" s="218">
        <v>0</v>
      </c>
      <c r="AI3084" s="470">
        <v>0</v>
      </c>
      <c r="AJ3084" s="471">
        <v>0</v>
      </c>
      <c r="AK3084" s="218">
        <v>0</v>
      </c>
      <c r="AL3084" s="470">
        <v>0</v>
      </c>
      <c r="AM3084" s="471">
        <v>0</v>
      </c>
      <c r="AN3084" s="477">
        <v>0</v>
      </c>
      <c r="AO3084" s="473">
        <v>0</v>
      </c>
      <c r="AP3084" s="474">
        <v>0</v>
      </c>
      <c r="AQ3084" s="352"/>
      <c r="AR3084" s="352"/>
      <c r="AS3084" s="352"/>
      <c r="AT3084" s="352"/>
      <c r="AU3084" s="352"/>
      <c r="AV3084" s="352"/>
      <c r="AW3084" s="352" t="s">
        <v>254</v>
      </c>
    </row>
    <row r="3085" spans="2:49" x14ac:dyDescent="0.2">
      <c r="B3085" s="460" t="s">
        <v>3271</v>
      </c>
      <c r="C3085" s="460">
        <v>4231</v>
      </c>
      <c r="D3085" s="460" t="s">
        <v>2286</v>
      </c>
      <c r="E3085" s="460" t="s">
        <v>2274</v>
      </c>
      <c r="F3085" s="460">
        <v>3</v>
      </c>
      <c r="G3085" s="460">
        <v>1</v>
      </c>
      <c r="H3085" s="461" t="s">
        <v>746</v>
      </c>
      <c r="I3085" s="461" t="s">
        <v>762</v>
      </c>
      <c r="J3085" s="461" t="s">
        <v>700</v>
      </c>
      <c r="K3085" s="594"/>
      <c r="L3085" s="594"/>
      <c r="M3085" s="352">
        <v>4000</v>
      </c>
      <c r="N3085" s="352" t="s">
        <v>716</v>
      </c>
      <c r="O3085" s="460">
        <v>4231</v>
      </c>
      <c r="P3085" s="460" t="s">
        <v>774</v>
      </c>
      <c r="Q3085" s="460" t="s">
        <v>2289</v>
      </c>
      <c r="R3085" s="460">
        <v>4231</v>
      </c>
      <c r="S3085" s="460" t="s">
        <v>2265</v>
      </c>
      <c r="T3085" s="462">
        <v>0.74223365950407583</v>
      </c>
      <c r="U3085" s="460" t="s">
        <v>2274</v>
      </c>
      <c r="V3085" s="475">
        <v>0</v>
      </c>
      <c r="W3085" s="463" t="s">
        <v>2268</v>
      </c>
      <c r="X3085" s="463" t="s">
        <v>2268</v>
      </c>
      <c r="Y3085" s="463" t="s">
        <v>2290</v>
      </c>
      <c r="Z3085" s="463"/>
      <c r="AA3085" s="463"/>
      <c r="AB3085" s="464">
        <v>0</v>
      </c>
      <c r="AC3085" s="465">
        <v>0</v>
      </c>
      <c r="AD3085" s="465">
        <v>0</v>
      </c>
      <c r="AE3085" s="476">
        <v>0</v>
      </c>
      <c r="AF3085" s="467">
        <v>0</v>
      </c>
      <c r="AG3085" s="468">
        <v>0</v>
      </c>
      <c r="AH3085" s="218">
        <v>0</v>
      </c>
      <c r="AI3085" s="470">
        <v>0</v>
      </c>
      <c r="AJ3085" s="471">
        <v>0</v>
      </c>
      <c r="AK3085" s="218">
        <v>0</v>
      </c>
      <c r="AL3085" s="470">
        <v>0</v>
      </c>
      <c r="AM3085" s="471">
        <v>0</v>
      </c>
      <c r="AN3085" s="477">
        <v>0</v>
      </c>
      <c r="AO3085" s="473">
        <v>0</v>
      </c>
      <c r="AP3085" s="474">
        <v>0</v>
      </c>
      <c r="AQ3085" s="352"/>
      <c r="AR3085" s="352"/>
      <c r="AS3085" s="352"/>
      <c r="AT3085" s="352"/>
      <c r="AU3085" s="352"/>
      <c r="AV3085" s="352"/>
      <c r="AW3085" s="352" t="s">
        <v>254</v>
      </c>
    </row>
    <row r="3086" spans="2:49" x14ac:dyDescent="0.2">
      <c r="B3086" s="460" t="s">
        <v>3272</v>
      </c>
      <c r="C3086" s="460">
        <v>4231</v>
      </c>
      <c r="D3086" s="460" t="s">
        <v>2287</v>
      </c>
      <c r="E3086" s="460" t="s">
        <v>2277</v>
      </c>
      <c r="F3086" s="460">
        <v>4</v>
      </c>
      <c r="G3086" s="460">
        <v>1</v>
      </c>
      <c r="H3086" s="461" t="s">
        <v>746</v>
      </c>
      <c r="I3086" s="461" t="s">
        <v>762</v>
      </c>
      <c r="J3086" s="461" t="s">
        <v>700</v>
      </c>
      <c r="K3086" s="594"/>
      <c r="L3086" s="594"/>
      <c r="M3086" s="352">
        <v>4000</v>
      </c>
      <c r="N3086" s="352" t="s">
        <v>716</v>
      </c>
      <c r="O3086" s="460">
        <v>4231</v>
      </c>
      <c r="P3086" s="460" t="s">
        <v>774</v>
      </c>
      <c r="Q3086" s="460" t="s">
        <v>2289</v>
      </c>
      <c r="R3086" s="460">
        <v>4231</v>
      </c>
      <c r="S3086" s="460" t="s">
        <v>2277</v>
      </c>
      <c r="T3086" s="462">
        <v>1</v>
      </c>
      <c r="U3086" s="460" t="s">
        <v>2277</v>
      </c>
      <c r="V3086" s="475">
        <v>0</v>
      </c>
      <c r="W3086" s="463" t="s">
        <v>2268</v>
      </c>
      <c r="X3086" s="463" t="s">
        <v>2268</v>
      </c>
      <c r="Y3086" s="463" t="s">
        <v>2290</v>
      </c>
      <c r="Z3086" s="463"/>
      <c r="AA3086" s="463"/>
      <c r="AB3086" s="464">
        <v>0</v>
      </c>
      <c r="AC3086" s="465">
        <v>0</v>
      </c>
      <c r="AD3086" s="465">
        <v>0</v>
      </c>
      <c r="AE3086" s="476">
        <v>0</v>
      </c>
      <c r="AF3086" s="467">
        <v>0</v>
      </c>
      <c r="AG3086" s="468">
        <v>0</v>
      </c>
      <c r="AH3086" s="218">
        <v>0</v>
      </c>
      <c r="AI3086" s="470">
        <v>0</v>
      </c>
      <c r="AJ3086" s="471">
        <v>0</v>
      </c>
      <c r="AK3086" s="218">
        <v>0</v>
      </c>
      <c r="AL3086" s="470">
        <v>0</v>
      </c>
      <c r="AM3086" s="471">
        <v>0</v>
      </c>
      <c r="AN3086" s="477">
        <v>0</v>
      </c>
      <c r="AO3086" s="473">
        <v>0</v>
      </c>
      <c r="AP3086" s="474">
        <v>0</v>
      </c>
      <c r="AQ3086" s="352"/>
      <c r="AR3086" s="352"/>
      <c r="AS3086" s="352"/>
      <c r="AT3086" s="352"/>
      <c r="AU3086" s="352"/>
      <c r="AV3086" s="352"/>
      <c r="AW3086" s="352" t="s">
        <v>254</v>
      </c>
    </row>
    <row r="3087" spans="2:49" x14ac:dyDescent="0.2">
      <c r="B3087" s="460" t="s">
        <v>3269</v>
      </c>
      <c r="C3087" s="460">
        <v>4231</v>
      </c>
      <c r="D3087" s="460" t="s">
        <v>2288</v>
      </c>
      <c r="E3087" s="460" t="s">
        <v>2265</v>
      </c>
      <c r="F3087" s="460">
        <v>1</v>
      </c>
      <c r="G3087" s="460">
        <v>1</v>
      </c>
      <c r="H3087" s="461" t="s">
        <v>748</v>
      </c>
      <c r="I3087" s="461" t="s">
        <v>765</v>
      </c>
      <c r="J3087" s="461" t="s">
        <v>700</v>
      </c>
      <c r="K3087" s="594"/>
      <c r="L3087" s="594"/>
      <c r="M3087" s="352">
        <v>4000</v>
      </c>
      <c r="N3087" s="352" t="s">
        <v>716</v>
      </c>
      <c r="O3087" s="460">
        <v>4231</v>
      </c>
      <c r="P3087" s="460" t="s">
        <v>774</v>
      </c>
      <c r="Q3087" s="460" t="s">
        <v>2266</v>
      </c>
      <c r="R3087" s="460">
        <v>4231</v>
      </c>
      <c r="S3087" s="460" t="s">
        <v>2265</v>
      </c>
      <c r="T3087" s="462">
        <v>1</v>
      </c>
      <c r="U3087" s="460" t="s">
        <v>2265</v>
      </c>
      <c r="V3087" s="475">
        <v>0</v>
      </c>
      <c r="W3087" s="463" t="s">
        <v>2268</v>
      </c>
      <c r="X3087" s="463" t="s">
        <v>2268</v>
      </c>
      <c r="Y3087" s="463" t="s">
        <v>2267</v>
      </c>
      <c r="Z3087" s="463"/>
      <c r="AA3087" s="463"/>
      <c r="AB3087" s="464">
        <v>0</v>
      </c>
      <c r="AC3087" s="465">
        <v>0</v>
      </c>
      <c r="AD3087" s="465">
        <v>0</v>
      </c>
      <c r="AE3087" s="476">
        <v>0</v>
      </c>
      <c r="AF3087" s="467">
        <v>0</v>
      </c>
      <c r="AG3087" s="468">
        <v>0</v>
      </c>
      <c r="AH3087" s="218">
        <v>0</v>
      </c>
      <c r="AI3087" s="470">
        <v>0</v>
      </c>
      <c r="AJ3087" s="471">
        <v>0</v>
      </c>
      <c r="AK3087" s="218">
        <v>0</v>
      </c>
      <c r="AL3087" s="470">
        <v>0</v>
      </c>
      <c r="AM3087" s="471">
        <v>0</v>
      </c>
      <c r="AN3087" s="477">
        <v>2304.5574264685529</v>
      </c>
      <c r="AO3087" s="473">
        <v>0.50054406672904117</v>
      </c>
      <c r="AP3087" s="474">
        <v>0.14311442678381167</v>
      </c>
      <c r="AQ3087" s="352"/>
      <c r="AR3087" s="352"/>
      <c r="AS3087" s="352"/>
      <c r="AT3087" s="352"/>
      <c r="AU3087" s="352"/>
      <c r="AV3087" s="352"/>
      <c r="AW3087" s="352" t="s">
        <v>254</v>
      </c>
    </row>
    <row r="3088" spans="2:49" x14ac:dyDescent="0.2">
      <c r="B3088" s="460" t="s">
        <v>3270</v>
      </c>
      <c r="C3088" s="460">
        <v>4231</v>
      </c>
      <c r="D3088" s="460" t="s">
        <v>2291</v>
      </c>
      <c r="E3088" s="460" t="s">
        <v>2271</v>
      </c>
      <c r="F3088" s="460">
        <v>2</v>
      </c>
      <c r="G3088" s="460">
        <v>1</v>
      </c>
      <c r="H3088" s="461" t="s">
        <v>748</v>
      </c>
      <c r="I3088" s="461" t="s">
        <v>765</v>
      </c>
      <c r="J3088" s="461" t="s">
        <v>700</v>
      </c>
      <c r="K3088" s="594"/>
      <c r="L3088" s="594"/>
      <c r="M3088" s="352">
        <v>4000</v>
      </c>
      <c r="N3088" s="352" t="s">
        <v>716</v>
      </c>
      <c r="O3088" s="460">
        <v>4231</v>
      </c>
      <c r="P3088" s="460" t="s">
        <v>774</v>
      </c>
      <c r="Q3088" s="460" t="s">
        <v>2266</v>
      </c>
      <c r="R3088" s="460">
        <v>4231</v>
      </c>
      <c r="S3088" s="460" t="s">
        <v>2265</v>
      </c>
      <c r="T3088" s="462">
        <v>1</v>
      </c>
      <c r="U3088" s="460" t="s">
        <v>2271</v>
      </c>
      <c r="V3088" s="475">
        <v>0</v>
      </c>
      <c r="W3088" s="463" t="s">
        <v>2268</v>
      </c>
      <c r="X3088" s="463" t="s">
        <v>2268</v>
      </c>
      <c r="Y3088" s="463" t="s">
        <v>2267</v>
      </c>
      <c r="Z3088" s="463"/>
      <c r="AA3088" s="463"/>
      <c r="AB3088" s="464">
        <v>0</v>
      </c>
      <c r="AC3088" s="465">
        <v>0</v>
      </c>
      <c r="AD3088" s="465">
        <v>0</v>
      </c>
      <c r="AE3088" s="476">
        <v>0</v>
      </c>
      <c r="AF3088" s="467">
        <v>0</v>
      </c>
      <c r="AG3088" s="468">
        <v>0</v>
      </c>
      <c r="AH3088" s="218">
        <v>0</v>
      </c>
      <c r="AI3088" s="470">
        <v>0</v>
      </c>
      <c r="AJ3088" s="471">
        <v>0</v>
      </c>
      <c r="AK3088" s="218">
        <v>0</v>
      </c>
      <c r="AL3088" s="470">
        <v>0</v>
      </c>
      <c r="AM3088" s="471">
        <v>0</v>
      </c>
      <c r="AN3088" s="477">
        <v>2492.2708351362221</v>
      </c>
      <c r="AO3088" s="473">
        <v>0.50054406672904117</v>
      </c>
      <c r="AP3088" s="474">
        <v>0.15851858692631965</v>
      </c>
      <c r="AQ3088" s="352"/>
      <c r="AR3088" s="352"/>
      <c r="AS3088" s="352"/>
      <c r="AT3088" s="352"/>
      <c r="AU3088" s="352"/>
      <c r="AV3088" s="352"/>
      <c r="AW3088" s="352" t="s">
        <v>254</v>
      </c>
    </row>
    <row r="3089" spans="2:49" x14ac:dyDescent="0.2">
      <c r="B3089" s="460" t="s">
        <v>3271</v>
      </c>
      <c r="C3089" s="460">
        <v>4231</v>
      </c>
      <c r="D3089" s="460" t="s">
        <v>2292</v>
      </c>
      <c r="E3089" s="460" t="s">
        <v>2274</v>
      </c>
      <c r="F3089" s="460">
        <v>3</v>
      </c>
      <c r="G3089" s="460">
        <v>1</v>
      </c>
      <c r="H3089" s="461" t="s">
        <v>748</v>
      </c>
      <c r="I3089" s="461" t="s">
        <v>765</v>
      </c>
      <c r="J3089" s="461" t="s">
        <v>700</v>
      </c>
      <c r="K3089" s="594"/>
      <c r="L3089" s="594"/>
      <c r="M3089" s="352">
        <v>4000</v>
      </c>
      <c r="N3089" s="352" t="s">
        <v>716</v>
      </c>
      <c r="O3089" s="460">
        <v>4231</v>
      </c>
      <c r="P3089" s="460" t="s">
        <v>774</v>
      </c>
      <c r="Q3089" s="460" t="s">
        <v>2266</v>
      </c>
      <c r="R3089" s="460">
        <v>4231</v>
      </c>
      <c r="S3089" s="460" t="s">
        <v>2265</v>
      </c>
      <c r="T3089" s="462">
        <v>0.74223365950407583</v>
      </c>
      <c r="U3089" s="460" t="s">
        <v>2274</v>
      </c>
      <c r="V3089" s="475">
        <v>0</v>
      </c>
      <c r="W3089" s="463" t="s">
        <v>2268</v>
      </c>
      <c r="X3089" s="463" t="s">
        <v>2268</v>
      </c>
      <c r="Y3089" s="463" t="s">
        <v>2267</v>
      </c>
      <c r="Z3089" s="463"/>
      <c r="AA3089" s="463"/>
      <c r="AB3089" s="464">
        <v>0</v>
      </c>
      <c r="AC3089" s="465">
        <v>0</v>
      </c>
      <c r="AD3089" s="465">
        <v>0</v>
      </c>
      <c r="AE3089" s="476">
        <v>0</v>
      </c>
      <c r="AF3089" s="467">
        <v>0</v>
      </c>
      <c r="AG3089" s="468">
        <v>0</v>
      </c>
      <c r="AH3089" s="218">
        <v>0</v>
      </c>
      <c r="AI3089" s="470">
        <v>0</v>
      </c>
      <c r="AJ3089" s="471">
        <v>0</v>
      </c>
      <c r="AK3089" s="218">
        <v>0</v>
      </c>
      <c r="AL3089" s="470">
        <v>0</v>
      </c>
      <c r="AM3089" s="471">
        <v>0</v>
      </c>
      <c r="AN3089" s="477">
        <v>890.19565579838286</v>
      </c>
      <c r="AO3089" s="473">
        <v>0.37152065439134857</v>
      </c>
      <c r="AP3089" s="474">
        <v>0.12533669028484232</v>
      </c>
      <c r="AQ3089" s="352"/>
      <c r="AR3089" s="352"/>
      <c r="AS3089" s="352"/>
      <c r="AT3089" s="352"/>
      <c r="AU3089" s="352"/>
      <c r="AV3089" s="352"/>
      <c r="AW3089" s="352" t="s">
        <v>254</v>
      </c>
    </row>
    <row r="3090" spans="2:49" x14ac:dyDescent="0.2">
      <c r="B3090" s="460" t="s">
        <v>3272</v>
      </c>
      <c r="C3090" s="460">
        <v>4231</v>
      </c>
      <c r="D3090" s="460" t="s">
        <v>2293</v>
      </c>
      <c r="E3090" s="460" t="s">
        <v>2277</v>
      </c>
      <c r="F3090" s="460">
        <v>4</v>
      </c>
      <c r="G3090" s="460">
        <v>1</v>
      </c>
      <c r="H3090" s="461" t="s">
        <v>748</v>
      </c>
      <c r="I3090" s="461" t="s">
        <v>765</v>
      </c>
      <c r="J3090" s="461" t="s">
        <v>700</v>
      </c>
      <c r="K3090" s="594"/>
      <c r="L3090" s="594"/>
      <c r="M3090" s="352">
        <v>4000</v>
      </c>
      <c r="N3090" s="352" t="s">
        <v>716</v>
      </c>
      <c r="O3090" s="460">
        <v>4231</v>
      </c>
      <c r="P3090" s="460" t="s">
        <v>774</v>
      </c>
      <c r="Q3090" s="460" t="s">
        <v>2266</v>
      </c>
      <c r="R3090" s="460">
        <v>4231</v>
      </c>
      <c r="S3090" s="460" t="s">
        <v>2277</v>
      </c>
      <c r="T3090" s="462">
        <v>1</v>
      </c>
      <c r="U3090" s="460" t="s">
        <v>2277</v>
      </c>
      <c r="V3090" s="475">
        <v>0</v>
      </c>
      <c r="W3090" s="463" t="s">
        <v>2268</v>
      </c>
      <c r="X3090" s="463" t="s">
        <v>2268</v>
      </c>
      <c r="Y3090" s="463" t="s">
        <v>2278</v>
      </c>
      <c r="Z3090" s="463"/>
      <c r="AA3090" s="463"/>
      <c r="AB3090" s="464">
        <v>0</v>
      </c>
      <c r="AC3090" s="465">
        <v>0</v>
      </c>
      <c r="AD3090" s="465">
        <v>0</v>
      </c>
      <c r="AE3090" s="476">
        <v>0</v>
      </c>
      <c r="AF3090" s="467">
        <v>0</v>
      </c>
      <c r="AG3090" s="468">
        <v>0</v>
      </c>
      <c r="AH3090" s="218">
        <v>0</v>
      </c>
      <c r="AI3090" s="470">
        <v>0</v>
      </c>
      <c r="AJ3090" s="471">
        <v>0</v>
      </c>
      <c r="AK3090" s="218">
        <v>0</v>
      </c>
      <c r="AL3090" s="470">
        <v>0</v>
      </c>
      <c r="AM3090" s="471">
        <v>0</v>
      </c>
      <c r="AN3090" s="477">
        <v>3.0624905189365563</v>
      </c>
      <c r="AO3090" s="473">
        <v>1.3759879765969348E-3</v>
      </c>
      <c r="AP3090" s="474">
        <v>7.3947411572562571E-2</v>
      </c>
      <c r="AQ3090" s="352"/>
      <c r="AR3090" s="352"/>
      <c r="AS3090" s="352"/>
      <c r="AT3090" s="352"/>
      <c r="AU3090" s="352"/>
      <c r="AV3090" s="352"/>
      <c r="AW3090" s="352" t="s">
        <v>254</v>
      </c>
    </row>
    <row r="3091" spans="2:49" x14ac:dyDescent="0.2">
      <c r="B3091" s="460" t="s">
        <v>3273</v>
      </c>
      <c r="C3091" s="460">
        <v>4231</v>
      </c>
      <c r="D3091" s="460" t="s">
        <v>2295</v>
      </c>
      <c r="E3091" s="460" t="s">
        <v>2296</v>
      </c>
      <c r="F3091" s="460">
        <v>1</v>
      </c>
      <c r="G3091" s="460">
        <v>2</v>
      </c>
      <c r="H3091" s="461" t="s">
        <v>700</v>
      </c>
      <c r="I3091" s="461" t="s">
        <v>872</v>
      </c>
      <c r="J3091" s="461" t="s">
        <v>700</v>
      </c>
      <c r="K3091" s="594"/>
      <c r="L3091" s="594"/>
      <c r="M3091" s="352">
        <v>4000</v>
      </c>
      <c r="N3091" s="352" t="s">
        <v>716</v>
      </c>
      <c r="O3091" s="460">
        <v>4231</v>
      </c>
      <c r="P3091" s="460" t="s">
        <v>774</v>
      </c>
      <c r="Q3091" s="460" t="s">
        <v>2266</v>
      </c>
      <c r="R3091" s="460">
        <v>4231</v>
      </c>
      <c r="S3091" s="460" t="s">
        <v>2296</v>
      </c>
      <c r="T3091" s="462">
        <v>1</v>
      </c>
      <c r="U3091" s="460" t="s">
        <v>2296</v>
      </c>
      <c r="V3091" s="475">
        <v>0</v>
      </c>
      <c r="W3091" s="463" t="s">
        <v>2267</v>
      </c>
      <c r="X3091" s="463" t="s">
        <v>2267</v>
      </c>
      <c r="Y3091" s="463" t="s">
        <v>2268</v>
      </c>
      <c r="Z3091" s="463"/>
      <c r="AA3091" s="463"/>
      <c r="AB3091" s="464">
        <v>260.45363738330951</v>
      </c>
      <c r="AC3091" s="465">
        <v>0.24203970971922911</v>
      </c>
      <c r="AD3091" s="465">
        <v>1.5214067465482648E-2</v>
      </c>
      <c r="AE3091" s="476">
        <v>260.45363738330951</v>
      </c>
      <c r="AF3091" s="467">
        <v>0.24203970971922911</v>
      </c>
      <c r="AG3091" s="468">
        <v>1.6911264762588574E-2</v>
      </c>
      <c r="AH3091" s="218">
        <v>260.45363738330951</v>
      </c>
      <c r="AI3091" s="470">
        <v>0.24203970971922911</v>
      </c>
      <c r="AJ3091" s="471">
        <v>1.5536930262724456E-2</v>
      </c>
      <c r="AK3091" s="218">
        <v>260.45363738330951</v>
      </c>
      <c r="AL3091" s="470">
        <v>0.24203970971922911</v>
      </c>
      <c r="AM3091" s="471">
        <v>1.5536930262724456E-2</v>
      </c>
      <c r="AN3091" s="477">
        <v>0</v>
      </c>
      <c r="AO3091" s="473">
        <v>0</v>
      </c>
      <c r="AP3091" s="474">
        <v>0</v>
      </c>
      <c r="AQ3091" s="352"/>
      <c r="AR3091" s="352"/>
      <c r="AS3091" s="352"/>
      <c r="AT3091" s="352"/>
      <c r="AU3091" s="352"/>
      <c r="AV3091" s="352"/>
      <c r="AW3091" s="352" t="s">
        <v>254</v>
      </c>
    </row>
    <row r="3092" spans="2:49" x14ac:dyDescent="0.2">
      <c r="B3092" s="460" t="s">
        <v>3274</v>
      </c>
      <c r="C3092" s="460">
        <v>4231</v>
      </c>
      <c r="D3092" s="460" t="s">
        <v>2298</v>
      </c>
      <c r="E3092" s="460" t="s">
        <v>2299</v>
      </c>
      <c r="F3092" s="460">
        <v>2</v>
      </c>
      <c r="G3092" s="460">
        <v>2</v>
      </c>
      <c r="H3092" s="461" t="s">
        <v>700</v>
      </c>
      <c r="I3092" s="461" t="s">
        <v>872</v>
      </c>
      <c r="J3092" s="461" t="s">
        <v>700</v>
      </c>
      <c r="K3092" s="594"/>
      <c r="L3092" s="594"/>
      <c r="M3092" s="352">
        <v>4000</v>
      </c>
      <c r="N3092" s="352" t="s">
        <v>716</v>
      </c>
      <c r="O3092" s="460">
        <v>4231</v>
      </c>
      <c r="P3092" s="460" t="s">
        <v>774</v>
      </c>
      <c r="Q3092" s="460" t="s">
        <v>2266</v>
      </c>
      <c r="R3092" s="460">
        <v>4231</v>
      </c>
      <c r="S3092" s="460" t="s">
        <v>2296</v>
      </c>
      <c r="T3092" s="462">
        <v>0.55517361979372948</v>
      </c>
      <c r="U3092" s="460" t="s">
        <v>2299</v>
      </c>
      <c r="V3092" s="475">
        <v>0</v>
      </c>
      <c r="W3092" s="463" t="s">
        <v>2267</v>
      </c>
      <c r="X3092" s="463" t="s">
        <v>2267</v>
      </c>
      <c r="Y3092" s="463" t="s">
        <v>2268</v>
      </c>
      <c r="Z3092" s="463"/>
      <c r="AA3092" s="463"/>
      <c r="AB3092" s="464">
        <v>61.249757449845461</v>
      </c>
      <c r="AC3092" s="465">
        <v>9.198288401187292E-2</v>
      </c>
      <c r="AD3092" s="465">
        <v>1.8532916927305472E-2</v>
      </c>
      <c r="AE3092" s="476">
        <v>61.249757449845461</v>
      </c>
      <c r="AF3092" s="467">
        <v>9.198288401187292E-2</v>
      </c>
      <c r="AG3092" s="468">
        <v>2.079751019512412E-2</v>
      </c>
      <c r="AH3092" s="218">
        <v>89.477284604713844</v>
      </c>
      <c r="AI3092" s="470">
        <v>0.13437406177864794</v>
      </c>
      <c r="AJ3092" s="471">
        <v>2.1070789097701863E-2</v>
      </c>
      <c r="AK3092" s="218">
        <v>89.477284604713844</v>
      </c>
      <c r="AL3092" s="470">
        <v>0.13437406177864794</v>
      </c>
      <c r="AM3092" s="471">
        <v>2.1070789097701863E-2</v>
      </c>
      <c r="AN3092" s="477">
        <v>0</v>
      </c>
      <c r="AO3092" s="473">
        <v>0</v>
      </c>
      <c r="AP3092" s="474">
        <v>0</v>
      </c>
      <c r="AQ3092" s="352"/>
      <c r="AR3092" s="352"/>
      <c r="AS3092" s="352"/>
      <c r="AT3092" s="352"/>
      <c r="AU3092" s="352"/>
      <c r="AV3092" s="352"/>
      <c r="AW3092" s="352" t="s">
        <v>254</v>
      </c>
    </row>
    <row r="3093" spans="2:49" x14ac:dyDescent="0.2">
      <c r="B3093" s="460" t="s">
        <v>3275</v>
      </c>
      <c r="C3093" s="460">
        <v>4231</v>
      </c>
      <c r="D3093" s="460" t="s">
        <v>2301</v>
      </c>
      <c r="E3093" s="460" t="s">
        <v>2302</v>
      </c>
      <c r="F3093" s="460">
        <v>3</v>
      </c>
      <c r="G3093" s="460">
        <v>2</v>
      </c>
      <c r="H3093" s="461" t="s">
        <v>700</v>
      </c>
      <c r="I3093" s="461" t="s">
        <v>872</v>
      </c>
      <c r="J3093" s="461" t="s">
        <v>700</v>
      </c>
      <c r="K3093" s="594"/>
      <c r="L3093" s="594"/>
      <c r="M3093" s="352">
        <v>4000</v>
      </c>
      <c r="N3093" s="352" t="s">
        <v>716</v>
      </c>
      <c r="O3093" s="460">
        <v>4231</v>
      </c>
      <c r="P3093" s="460" t="s">
        <v>774</v>
      </c>
      <c r="Q3093" s="460" t="s">
        <v>2266</v>
      </c>
      <c r="R3093" s="460">
        <v>4231</v>
      </c>
      <c r="S3093" s="460" t="s">
        <v>2296</v>
      </c>
      <c r="T3093" s="462">
        <v>0.28481449642268464</v>
      </c>
      <c r="U3093" s="460" t="s">
        <v>2302</v>
      </c>
      <c r="V3093" s="475">
        <v>0</v>
      </c>
      <c r="W3093" s="463" t="s">
        <v>2267</v>
      </c>
      <c r="X3093" s="463" t="s">
        <v>2267</v>
      </c>
      <c r="Y3093" s="463" t="s">
        <v>2268</v>
      </c>
      <c r="Z3093" s="463"/>
      <c r="AA3093" s="463"/>
      <c r="AB3093" s="464">
        <v>4.9296780898478882</v>
      </c>
      <c r="AC3093" s="465">
        <v>1.3003638951274092E-2</v>
      </c>
      <c r="AD3093" s="465">
        <v>9.5889034778935591E-3</v>
      </c>
      <c r="AE3093" s="476">
        <v>4.9296780898478882</v>
      </c>
      <c r="AF3093" s="467">
        <v>1.3003638951274092E-2</v>
      </c>
      <c r="AG3093" s="468">
        <v>1.0820487544167732E-2</v>
      </c>
      <c r="AH3093" s="218">
        <v>26.133788462429074</v>
      </c>
      <c r="AI3093" s="470">
        <v>6.8936418037975011E-2</v>
      </c>
      <c r="AJ3093" s="471">
        <v>2.7129980316224038E-2</v>
      </c>
      <c r="AK3093" s="218">
        <v>26.133788462429074</v>
      </c>
      <c r="AL3093" s="470">
        <v>6.8936418037975011E-2</v>
      </c>
      <c r="AM3093" s="471">
        <v>2.7129980316224038E-2</v>
      </c>
      <c r="AN3093" s="477">
        <v>0</v>
      </c>
      <c r="AO3093" s="473">
        <v>0</v>
      </c>
      <c r="AP3093" s="474">
        <v>0</v>
      </c>
      <c r="AQ3093" s="352"/>
      <c r="AR3093" s="352"/>
      <c r="AS3093" s="352"/>
      <c r="AT3093" s="352"/>
      <c r="AU3093" s="352"/>
      <c r="AV3093" s="352"/>
      <c r="AW3093" s="352" t="s">
        <v>254</v>
      </c>
    </row>
    <row r="3094" spans="2:49" x14ac:dyDescent="0.2">
      <c r="B3094" s="460" t="s">
        <v>3276</v>
      </c>
      <c r="C3094" s="460">
        <v>4231</v>
      </c>
      <c r="D3094" s="460" t="s">
        <v>2304</v>
      </c>
      <c r="E3094" s="460" t="s">
        <v>2305</v>
      </c>
      <c r="F3094" s="460">
        <v>4</v>
      </c>
      <c r="G3094" s="460">
        <v>2</v>
      </c>
      <c r="H3094" s="461" t="s">
        <v>700</v>
      </c>
      <c r="I3094" s="461" t="s">
        <v>872</v>
      </c>
      <c r="J3094" s="461" t="s">
        <v>700</v>
      </c>
      <c r="K3094" s="594"/>
      <c r="L3094" s="594"/>
      <c r="M3094" s="352">
        <v>4000</v>
      </c>
      <c r="N3094" s="352" t="s">
        <v>716</v>
      </c>
      <c r="O3094" s="460">
        <v>4231</v>
      </c>
      <c r="P3094" s="460" t="s">
        <v>774</v>
      </c>
      <c r="Q3094" s="460" t="s">
        <v>2266</v>
      </c>
      <c r="R3094" s="460">
        <v>4231</v>
      </c>
      <c r="S3094" s="460" t="s">
        <v>2305</v>
      </c>
      <c r="T3094" s="462">
        <v>1</v>
      </c>
      <c r="U3094" s="460" t="s">
        <v>2305</v>
      </c>
      <c r="V3094" s="475">
        <v>0</v>
      </c>
      <c r="W3094" s="463" t="s">
        <v>2278</v>
      </c>
      <c r="X3094" s="463" t="s">
        <v>2278</v>
      </c>
      <c r="Y3094" s="463" t="s">
        <v>2268</v>
      </c>
      <c r="Z3094" s="463"/>
      <c r="AA3094" s="463"/>
      <c r="AB3094" s="464">
        <v>0.2950353597223051</v>
      </c>
      <c r="AC3094" s="465">
        <v>6.9380428810982648E-4</v>
      </c>
      <c r="AD3094" s="465">
        <v>2.3358862284765122E-2</v>
      </c>
      <c r="AE3094" s="476">
        <v>0.2950353597223051</v>
      </c>
      <c r="AF3094" s="467">
        <v>6.9380428810982648E-4</v>
      </c>
      <c r="AG3094" s="468">
        <v>2.5938129959073963E-2</v>
      </c>
      <c r="AH3094" s="218">
        <v>0.2950353597223051</v>
      </c>
      <c r="AI3094" s="470">
        <v>6.9380428810982648E-4</v>
      </c>
      <c r="AJ3094" s="471">
        <v>2.5830491621285229E-2</v>
      </c>
      <c r="AK3094" s="218">
        <v>0.2950353597223051</v>
      </c>
      <c r="AL3094" s="470">
        <v>6.9380428810982648E-4</v>
      </c>
      <c r="AM3094" s="471">
        <v>2.5830491621285229E-2</v>
      </c>
      <c r="AN3094" s="477">
        <v>0</v>
      </c>
      <c r="AO3094" s="473">
        <v>0</v>
      </c>
      <c r="AP3094" s="474">
        <v>0</v>
      </c>
      <c r="AQ3094" s="352"/>
      <c r="AR3094" s="352"/>
      <c r="AS3094" s="352"/>
      <c r="AT3094" s="352"/>
      <c r="AU3094" s="352"/>
      <c r="AV3094" s="352"/>
      <c r="AW3094" s="352" t="s">
        <v>254</v>
      </c>
    </row>
    <row r="3095" spans="2:49" x14ac:dyDescent="0.2">
      <c r="B3095" s="460" t="s">
        <v>3273</v>
      </c>
      <c r="C3095" s="460">
        <v>4231</v>
      </c>
      <c r="D3095" s="460" t="s">
        <v>2306</v>
      </c>
      <c r="E3095" s="460" t="s">
        <v>2296</v>
      </c>
      <c r="F3095" s="460">
        <v>1</v>
      </c>
      <c r="G3095" s="460">
        <v>2</v>
      </c>
      <c r="H3095" s="461" t="s">
        <v>712</v>
      </c>
      <c r="I3095" s="461" t="s">
        <v>713</v>
      </c>
      <c r="J3095" s="461" t="s">
        <v>712</v>
      </c>
      <c r="K3095" s="594"/>
      <c r="L3095" s="594"/>
      <c r="M3095" s="352">
        <v>4000</v>
      </c>
      <c r="N3095" s="352" t="s">
        <v>716</v>
      </c>
      <c r="O3095" s="460">
        <v>4231</v>
      </c>
      <c r="P3095" s="460" t="s">
        <v>774</v>
      </c>
      <c r="Q3095" s="460" t="s">
        <v>2280</v>
      </c>
      <c r="R3095" s="460">
        <v>4231</v>
      </c>
      <c r="S3095" s="460" t="s">
        <v>2296</v>
      </c>
      <c r="T3095" s="462">
        <v>1</v>
      </c>
      <c r="U3095" s="460" t="s">
        <v>2296</v>
      </c>
      <c r="V3095" s="475">
        <v>0</v>
      </c>
      <c r="W3095" s="463" t="s">
        <v>713</v>
      </c>
      <c r="X3095" s="463" t="s">
        <v>713</v>
      </c>
      <c r="Y3095" s="463" t="s">
        <v>713</v>
      </c>
      <c r="Z3095" s="463"/>
      <c r="AA3095" s="463"/>
      <c r="AB3095" s="464">
        <v>815.62448915816151</v>
      </c>
      <c r="AC3095" s="465">
        <v>0.75796029028077094</v>
      </c>
      <c r="AD3095" s="465">
        <v>7.0543173482616487E-3</v>
      </c>
      <c r="AE3095" s="476">
        <v>815.62448915816151</v>
      </c>
      <c r="AF3095" s="467">
        <v>0.75796029028077094</v>
      </c>
      <c r="AG3095" s="468">
        <v>6.9510281010779218E-3</v>
      </c>
      <c r="AH3095" s="218">
        <v>815.62448915816151</v>
      </c>
      <c r="AI3095" s="470">
        <v>0.75796029028077094</v>
      </c>
      <c r="AJ3095" s="471">
        <v>7.0326790346413211E-3</v>
      </c>
      <c r="AK3095" s="218">
        <v>815.62448915816151</v>
      </c>
      <c r="AL3095" s="470">
        <v>0.75796029028077094</v>
      </c>
      <c r="AM3095" s="471">
        <v>7.0326790346413211E-3</v>
      </c>
      <c r="AN3095" s="477">
        <v>815.62448915816151</v>
      </c>
      <c r="AO3095" s="473">
        <v>0.75796029028077094</v>
      </c>
      <c r="AP3095" s="474">
        <v>7.0309531183929417E-3</v>
      </c>
      <c r="AQ3095" s="352"/>
      <c r="AR3095" s="352"/>
      <c r="AS3095" s="352"/>
      <c r="AT3095" s="352"/>
      <c r="AU3095" s="352"/>
      <c r="AV3095" s="352"/>
      <c r="AW3095" s="352" t="s">
        <v>254</v>
      </c>
    </row>
    <row r="3096" spans="2:49" x14ac:dyDescent="0.2">
      <c r="B3096" s="460" t="s">
        <v>3274</v>
      </c>
      <c r="C3096" s="460">
        <v>4231</v>
      </c>
      <c r="D3096" s="460" t="s">
        <v>2307</v>
      </c>
      <c r="E3096" s="460" t="s">
        <v>2299</v>
      </c>
      <c r="F3096" s="460">
        <v>2</v>
      </c>
      <c r="G3096" s="460">
        <v>2</v>
      </c>
      <c r="H3096" s="461" t="s">
        <v>712</v>
      </c>
      <c r="I3096" s="461" t="s">
        <v>713</v>
      </c>
      <c r="J3096" s="461" t="s">
        <v>712</v>
      </c>
      <c r="K3096" s="594"/>
      <c r="L3096" s="594"/>
      <c r="M3096" s="352">
        <v>4000</v>
      </c>
      <c r="N3096" s="352" t="s">
        <v>716</v>
      </c>
      <c r="O3096" s="460">
        <v>4231</v>
      </c>
      <c r="P3096" s="460" t="s">
        <v>774</v>
      </c>
      <c r="Q3096" s="460" t="s">
        <v>2280</v>
      </c>
      <c r="R3096" s="460">
        <v>4231</v>
      </c>
      <c r="S3096" s="460" t="s">
        <v>2296</v>
      </c>
      <c r="T3096" s="462">
        <v>0.55517361979372948</v>
      </c>
      <c r="U3096" s="460" t="s">
        <v>2299</v>
      </c>
      <c r="V3096" s="475">
        <v>0</v>
      </c>
      <c r="W3096" s="463" t="s">
        <v>713</v>
      </c>
      <c r="X3096" s="463" t="s">
        <v>713</v>
      </c>
      <c r="Y3096" s="463" t="s">
        <v>713</v>
      </c>
      <c r="Z3096" s="463"/>
      <c r="AA3096" s="463"/>
      <c r="AB3096" s="464">
        <v>604.63235863970328</v>
      </c>
      <c r="AC3096" s="465">
        <v>0.90801711598812707</v>
      </c>
      <c r="AD3096" s="465">
        <v>6.9936328668961066E-3</v>
      </c>
      <c r="AE3096" s="476">
        <v>604.63235863970328</v>
      </c>
      <c r="AF3096" s="467">
        <v>0.90801711598812707</v>
      </c>
      <c r="AG3096" s="468">
        <v>6.964642764484494E-3</v>
      </c>
      <c r="AH3096" s="218">
        <v>576.40483148483486</v>
      </c>
      <c r="AI3096" s="470">
        <v>0.86562593822135203</v>
      </c>
      <c r="AJ3096" s="471">
        <v>6.7531020944971232E-3</v>
      </c>
      <c r="AK3096" s="218">
        <v>576.40483148483486</v>
      </c>
      <c r="AL3096" s="470">
        <v>0.86562593822135203</v>
      </c>
      <c r="AM3096" s="471">
        <v>6.7531020944971232E-3</v>
      </c>
      <c r="AN3096" s="477">
        <v>576.40483148483486</v>
      </c>
      <c r="AO3096" s="473">
        <v>0.86562593822135203</v>
      </c>
      <c r="AP3096" s="474">
        <v>6.7522496186752101E-3</v>
      </c>
      <c r="AQ3096" s="352"/>
      <c r="AR3096" s="352"/>
      <c r="AS3096" s="352"/>
      <c r="AT3096" s="352"/>
      <c r="AU3096" s="352"/>
      <c r="AV3096" s="352"/>
      <c r="AW3096" s="352" t="s">
        <v>254</v>
      </c>
    </row>
    <row r="3097" spans="2:49" x14ac:dyDescent="0.2">
      <c r="B3097" s="460" t="s">
        <v>3275</v>
      </c>
      <c r="C3097" s="460">
        <v>4231</v>
      </c>
      <c r="D3097" s="460" t="s">
        <v>2308</v>
      </c>
      <c r="E3097" s="460" t="s">
        <v>2302</v>
      </c>
      <c r="F3097" s="460">
        <v>3</v>
      </c>
      <c r="G3097" s="460">
        <v>2</v>
      </c>
      <c r="H3097" s="461" t="s">
        <v>712</v>
      </c>
      <c r="I3097" s="461" t="s">
        <v>713</v>
      </c>
      <c r="J3097" s="461" t="s">
        <v>712</v>
      </c>
      <c r="K3097" s="594"/>
      <c r="L3097" s="594"/>
      <c r="M3097" s="352">
        <v>4000</v>
      </c>
      <c r="N3097" s="352" t="s">
        <v>716</v>
      </c>
      <c r="O3097" s="460">
        <v>4231</v>
      </c>
      <c r="P3097" s="460" t="s">
        <v>774</v>
      </c>
      <c r="Q3097" s="460" t="s">
        <v>2280</v>
      </c>
      <c r="R3097" s="460">
        <v>4231</v>
      </c>
      <c r="S3097" s="460" t="s">
        <v>2296</v>
      </c>
      <c r="T3097" s="462">
        <v>0.28481449642268464</v>
      </c>
      <c r="U3097" s="460" t="s">
        <v>2302</v>
      </c>
      <c r="V3097" s="475">
        <v>0</v>
      </c>
      <c r="W3097" s="463" t="s">
        <v>713</v>
      </c>
      <c r="X3097" s="463" t="s">
        <v>713</v>
      </c>
      <c r="Y3097" s="463" t="s">
        <v>713</v>
      </c>
      <c r="Z3097" s="463"/>
      <c r="AA3097" s="463"/>
      <c r="AB3097" s="464">
        <v>374.1702114349132</v>
      </c>
      <c r="AC3097" s="465">
        <v>0.98699636104872601</v>
      </c>
      <c r="AD3097" s="465">
        <v>1.0883676436672485E-2</v>
      </c>
      <c r="AE3097" s="476">
        <v>374.1702114349132</v>
      </c>
      <c r="AF3097" s="467">
        <v>0.9869963610487259</v>
      </c>
      <c r="AG3097" s="468">
        <v>1.0865183311200852E-2</v>
      </c>
      <c r="AH3097" s="218">
        <v>352.96610106233197</v>
      </c>
      <c r="AI3097" s="470">
        <v>0.93106358196202499</v>
      </c>
      <c r="AJ3097" s="471">
        <v>1.0402819654711844E-2</v>
      </c>
      <c r="AK3097" s="218">
        <v>352.96610106233197</v>
      </c>
      <c r="AL3097" s="470">
        <v>0.93106358196202499</v>
      </c>
      <c r="AM3097" s="471">
        <v>1.0402819654711844E-2</v>
      </c>
      <c r="AN3097" s="477">
        <v>352.96610106233197</v>
      </c>
      <c r="AO3097" s="473">
        <v>0.93106358196202499</v>
      </c>
      <c r="AP3097" s="474">
        <v>1.0411865484069664E-2</v>
      </c>
      <c r="AQ3097" s="352"/>
      <c r="AR3097" s="352"/>
      <c r="AS3097" s="352"/>
      <c r="AT3097" s="352"/>
      <c r="AU3097" s="352"/>
      <c r="AV3097" s="352"/>
      <c r="AW3097" s="352" t="s">
        <v>254</v>
      </c>
    </row>
    <row r="3098" spans="2:49" x14ac:dyDescent="0.2">
      <c r="B3098" s="460" t="s">
        <v>3276</v>
      </c>
      <c r="C3098" s="460">
        <v>4231</v>
      </c>
      <c r="D3098" s="460" t="s">
        <v>2309</v>
      </c>
      <c r="E3098" s="460" t="s">
        <v>2305</v>
      </c>
      <c r="F3098" s="460">
        <v>4</v>
      </c>
      <c r="G3098" s="460">
        <v>2</v>
      </c>
      <c r="H3098" s="461" t="s">
        <v>712</v>
      </c>
      <c r="I3098" s="461" t="s">
        <v>713</v>
      </c>
      <c r="J3098" s="461" t="s">
        <v>712</v>
      </c>
      <c r="K3098" s="594"/>
      <c r="L3098" s="594"/>
      <c r="M3098" s="352">
        <v>4000</v>
      </c>
      <c r="N3098" s="352" t="s">
        <v>716</v>
      </c>
      <c r="O3098" s="460">
        <v>4231</v>
      </c>
      <c r="P3098" s="460" t="s">
        <v>774</v>
      </c>
      <c r="Q3098" s="460" t="s">
        <v>2280</v>
      </c>
      <c r="R3098" s="460">
        <v>4231</v>
      </c>
      <c r="S3098" s="460" t="s">
        <v>2305</v>
      </c>
      <c r="T3098" s="462">
        <v>1</v>
      </c>
      <c r="U3098" s="460" t="s">
        <v>2305</v>
      </c>
      <c r="V3098" s="475">
        <v>0</v>
      </c>
      <c r="W3098" s="463" t="s">
        <v>713</v>
      </c>
      <c r="X3098" s="463" t="s">
        <v>713</v>
      </c>
      <c r="Y3098" s="463" t="s">
        <v>713</v>
      </c>
      <c r="Z3098" s="463"/>
      <c r="AA3098" s="463"/>
      <c r="AB3098" s="464">
        <v>424.94788224473359</v>
      </c>
      <c r="AC3098" s="465">
        <v>0.99930619571189017</v>
      </c>
      <c r="AD3098" s="465">
        <v>1.0853127445001198E-2</v>
      </c>
      <c r="AE3098" s="476">
        <v>424.94788224473359</v>
      </c>
      <c r="AF3098" s="467">
        <v>0.99930619571189017</v>
      </c>
      <c r="AG3098" s="468">
        <v>1.0852779315889788E-2</v>
      </c>
      <c r="AH3098" s="218">
        <v>424.94788224473359</v>
      </c>
      <c r="AI3098" s="470">
        <v>0.99930619571189017</v>
      </c>
      <c r="AJ3098" s="471">
        <v>1.0852792453504408E-2</v>
      </c>
      <c r="AK3098" s="218">
        <v>424.94788224473359</v>
      </c>
      <c r="AL3098" s="470">
        <v>0.99930619571189017</v>
      </c>
      <c r="AM3098" s="471">
        <v>1.0852792453504408E-2</v>
      </c>
      <c r="AN3098" s="477">
        <v>424.94788224473359</v>
      </c>
      <c r="AO3098" s="473">
        <v>0.99930619571189017</v>
      </c>
      <c r="AP3098" s="474">
        <v>1.0852805728627866E-2</v>
      </c>
      <c r="AQ3098" s="352"/>
      <c r="AR3098" s="352"/>
      <c r="AS3098" s="352"/>
      <c r="AT3098" s="352"/>
      <c r="AU3098" s="352"/>
      <c r="AV3098" s="352"/>
      <c r="AW3098" s="352" t="s">
        <v>254</v>
      </c>
    </row>
    <row r="3099" spans="2:49" x14ac:dyDescent="0.2">
      <c r="B3099" s="460" t="s">
        <v>3273</v>
      </c>
      <c r="C3099" s="460">
        <v>4231</v>
      </c>
      <c r="D3099" s="460" t="s">
        <v>2310</v>
      </c>
      <c r="E3099" s="460" t="s">
        <v>2296</v>
      </c>
      <c r="F3099" s="460">
        <v>1</v>
      </c>
      <c r="G3099" s="460">
        <v>2</v>
      </c>
      <c r="H3099" s="461" t="s">
        <v>746</v>
      </c>
      <c r="I3099" s="461" t="s">
        <v>762</v>
      </c>
      <c r="J3099" s="461" t="s">
        <v>700</v>
      </c>
      <c r="K3099" s="594"/>
      <c r="L3099" s="594"/>
      <c r="M3099" s="352">
        <v>4000</v>
      </c>
      <c r="N3099" s="352" t="s">
        <v>716</v>
      </c>
      <c r="O3099" s="460">
        <v>4231</v>
      </c>
      <c r="P3099" s="460" t="s">
        <v>774</v>
      </c>
      <c r="Q3099" s="460" t="s">
        <v>2289</v>
      </c>
      <c r="R3099" s="460">
        <v>4231</v>
      </c>
      <c r="S3099" s="460" t="s">
        <v>2296</v>
      </c>
      <c r="T3099" s="462">
        <v>1</v>
      </c>
      <c r="U3099" s="460" t="s">
        <v>2296</v>
      </c>
      <c r="V3099" s="475">
        <v>0</v>
      </c>
      <c r="W3099" s="463" t="s">
        <v>2268</v>
      </c>
      <c r="X3099" s="463" t="s">
        <v>2268</v>
      </c>
      <c r="Y3099" s="463" t="s">
        <v>2290</v>
      </c>
      <c r="Z3099" s="463"/>
      <c r="AA3099" s="463"/>
      <c r="AB3099" s="464">
        <v>0</v>
      </c>
      <c r="AC3099" s="465">
        <v>0</v>
      </c>
      <c r="AD3099" s="465">
        <v>0</v>
      </c>
      <c r="AE3099" s="476">
        <v>0</v>
      </c>
      <c r="AF3099" s="467">
        <v>0</v>
      </c>
      <c r="AG3099" s="468">
        <v>0</v>
      </c>
      <c r="AH3099" s="218">
        <v>0</v>
      </c>
      <c r="AI3099" s="470">
        <v>0</v>
      </c>
      <c r="AJ3099" s="471">
        <v>0</v>
      </c>
      <c r="AK3099" s="218">
        <v>0</v>
      </c>
      <c r="AL3099" s="470">
        <v>0</v>
      </c>
      <c r="AM3099" s="471">
        <v>0</v>
      </c>
      <c r="AN3099" s="477">
        <v>0</v>
      </c>
      <c r="AO3099" s="473">
        <v>0</v>
      </c>
      <c r="AP3099" s="474">
        <v>0</v>
      </c>
      <c r="AQ3099" s="352"/>
      <c r="AR3099" s="352"/>
      <c r="AS3099" s="352"/>
      <c r="AT3099" s="352"/>
      <c r="AU3099" s="352"/>
      <c r="AV3099" s="352"/>
      <c r="AW3099" s="352" t="s">
        <v>254</v>
      </c>
    </row>
    <row r="3100" spans="2:49" x14ac:dyDescent="0.2">
      <c r="B3100" s="460" t="s">
        <v>3274</v>
      </c>
      <c r="C3100" s="460">
        <v>4231</v>
      </c>
      <c r="D3100" s="460" t="s">
        <v>2311</v>
      </c>
      <c r="E3100" s="460" t="s">
        <v>2299</v>
      </c>
      <c r="F3100" s="460">
        <v>2</v>
      </c>
      <c r="G3100" s="460">
        <v>2</v>
      </c>
      <c r="H3100" s="461" t="s">
        <v>746</v>
      </c>
      <c r="I3100" s="461" t="s">
        <v>762</v>
      </c>
      <c r="J3100" s="461" t="s">
        <v>700</v>
      </c>
      <c r="K3100" s="594"/>
      <c r="L3100" s="594"/>
      <c r="M3100" s="352">
        <v>4000</v>
      </c>
      <c r="N3100" s="352" t="s">
        <v>716</v>
      </c>
      <c r="O3100" s="460">
        <v>4231</v>
      </c>
      <c r="P3100" s="460" t="s">
        <v>774</v>
      </c>
      <c r="Q3100" s="460" t="s">
        <v>2289</v>
      </c>
      <c r="R3100" s="460">
        <v>4231</v>
      </c>
      <c r="S3100" s="460" t="s">
        <v>2296</v>
      </c>
      <c r="T3100" s="462">
        <v>0.55517361979372948</v>
      </c>
      <c r="U3100" s="460" t="s">
        <v>2299</v>
      </c>
      <c r="V3100" s="475">
        <v>0</v>
      </c>
      <c r="W3100" s="463" t="s">
        <v>2268</v>
      </c>
      <c r="X3100" s="463" t="s">
        <v>2268</v>
      </c>
      <c r="Y3100" s="463" t="s">
        <v>2290</v>
      </c>
      <c r="Z3100" s="463"/>
      <c r="AA3100" s="463"/>
      <c r="AB3100" s="464">
        <v>0</v>
      </c>
      <c r="AC3100" s="465">
        <v>0</v>
      </c>
      <c r="AD3100" s="465">
        <v>0</v>
      </c>
      <c r="AE3100" s="476">
        <v>0</v>
      </c>
      <c r="AF3100" s="467">
        <v>0</v>
      </c>
      <c r="AG3100" s="468">
        <v>0</v>
      </c>
      <c r="AH3100" s="218">
        <v>0</v>
      </c>
      <c r="AI3100" s="470">
        <v>0</v>
      </c>
      <c r="AJ3100" s="471">
        <v>0</v>
      </c>
      <c r="AK3100" s="218">
        <v>0</v>
      </c>
      <c r="AL3100" s="470">
        <v>0</v>
      </c>
      <c r="AM3100" s="471">
        <v>0</v>
      </c>
      <c r="AN3100" s="477">
        <v>0</v>
      </c>
      <c r="AO3100" s="473">
        <v>0</v>
      </c>
      <c r="AP3100" s="474">
        <v>0</v>
      </c>
      <c r="AQ3100" s="352"/>
      <c r="AR3100" s="352"/>
      <c r="AS3100" s="352"/>
      <c r="AT3100" s="352"/>
      <c r="AU3100" s="352"/>
      <c r="AV3100" s="352"/>
      <c r="AW3100" s="352" t="s">
        <v>254</v>
      </c>
    </row>
    <row r="3101" spans="2:49" x14ac:dyDescent="0.2">
      <c r="B3101" s="460" t="s">
        <v>3275</v>
      </c>
      <c r="C3101" s="460">
        <v>4231</v>
      </c>
      <c r="D3101" s="460" t="s">
        <v>2312</v>
      </c>
      <c r="E3101" s="460" t="s">
        <v>2302</v>
      </c>
      <c r="F3101" s="460">
        <v>3</v>
      </c>
      <c r="G3101" s="460">
        <v>2</v>
      </c>
      <c r="H3101" s="461" t="s">
        <v>746</v>
      </c>
      <c r="I3101" s="461" t="s">
        <v>762</v>
      </c>
      <c r="J3101" s="461" t="s">
        <v>700</v>
      </c>
      <c r="K3101" s="594"/>
      <c r="L3101" s="594"/>
      <c r="M3101" s="352">
        <v>4000</v>
      </c>
      <c r="N3101" s="352" t="s">
        <v>716</v>
      </c>
      <c r="O3101" s="460">
        <v>4231</v>
      </c>
      <c r="P3101" s="460" t="s">
        <v>774</v>
      </c>
      <c r="Q3101" s="460" t="s">
        <v>2289</v>
      </c>
      <c r="R3101" s="460">
        <v>4231</v>
      </c>
      <c r="S3101" s="460" t="s">
        <v>2296</v>
      </c>
      <c r="T3101" s="462">
        <v>0.28481449642268464</v>
      </c>
      <c r="U3101" s="460" t="s">
        <v>2302</v>
      </c>
      <c r="V3101" s="475">
        <v>0</v>
      </c>
      <c r="W3101" s="463" t="s">
        <v>2268</v>
      </c>
      <c r="X3101" s="463" t="s">
        <v>2268</v>
      </c>
      <c r="Y3101" s="463" t="s">
        <v>2290</v>
      </c>
      <c r="Z3101" s="463"/>
      <c r="AA3101" s="463"/>
      <c r="AB3101" s="464">
        <v>0</v>
      </c>
      <c r="AC3101" s="465">
        <v>0</v>
      </c>
      <c r="AD3101" s="465">
        <v>0</v>
      </c>
      <c r="AE3101" s="476">
        <v>0</v>
      </c>
      <c r="AF3101" s="467">
        <v>0</v>
      </c>
      <c r="AG3101" s="468">
        <v>0</v>
      </c>
      <c r="AH3101" s="218">
        <v>0</v>
      </c>
      <c r="AI3101" s="470">
        <v>0</v>
      </c>
      <c r="AJ3101" s="471">
        <v>0</v>
      </c>
      <c r="AK3101" s="218">
        <v>0</v>
      </c>
      <c r="AL3101" s="470">
        <v>0</v>
      </c>
      <c r="AM3101" s="471">
        <v>0</v>
      </c>
      <c r="AN3101" s="477">
        <v>0</v>
      </c>
      <c r="AO3101" s="473">
        <v>0</v>
      </c>
      <c r="AP3101" s="474">
        <v>0</v>
      </c>
      <c r="AQ3101" s="352"/>
      <c r="AR3101" s="352"/>
      <c r="AS3101" s="352"/>
      <c r="AT3101" s="352"/>
      <c r="AU3101" s="352"/>
      <c r="AV3101" s="352"/>
      <c r="AW3101" s="352" t="s">
        <v>254</v>
      </c>
    </row>
    <row r="3102" spans="2:49" x14ac:dyDescent="0.2">
      <c r="B3102" s="460" t="s">
        <v>3276</v>
      </c>
      <c r="C3102" s="460">
        <v>4231</v>
      </c>
      <c r="D3102" s="460" t="s">
        <v>2313</v>
      </c>
      <c r="E3102" s="460" t="s">
        <v>2305</v>
      </c>
      <c r="F3102" s="460">
        <v>4</v>
      </c>
      <c r="G3102" s="460">
        <v>2</v>
      </c>
      <c r="H3102" s="461" t="s">
        <v>746</v>
      </c>
      <c r="I3102" s="461" t="s">
        <v>762</v>
      </c>
      <c r="J3102" s="461" t="s">
        <v>700</v>
      </c>
      <c r="K3102" s="594"/>
      <c r="L3102" s="594"/>
      <c r="M3102" s="352">
        <v>4000</v>
      </c>
      <c r="N3102" s="352" t="s">
        <v>716</v>
      </c>
      <c r="O3102" s="460">
        <v>4231</v>
      </c>
      <c r="P3102" s="460" t="s">
        <v>774</v>
      </c>
      <c r="Q3102" s="460" t="s">
        <v>2289</v>
      </c>
      <c r="R3102" s="460">
        <v>4231</v>
      </c>
      <c r="S3102" s="460" t="s">
        <v>2305</v>
      </c>
      <c r="T3102" s="462">
        <v>1</v>
      </c>
      <c r="U3102" s="460" t="s">
        <v>2305</v>
      </c>
      <c r="V3102" s="475">
        <v>0</v>
      </c>
      <c r="W3102" s="463" t="s">
        <v>2268</v>
      </c>
      <c r="X3102" s="463" t="s">
        <v>2268</v>
      </c>
      <c r="Y3102" s="463" t="s">
        <v>2290</v>
      </c>
      <c r="Z3102" s="463"/>
      <c r="AA3102" s="463"/>
      <c r="AB3102" s="464">
        <v>0</v>
      </c>
      <c r="AC3102" s="465">
        <v>0</v>
      </c>
      <c r="AD3102" s="465">
        <v>0</v>
      </c>
      <c r="AE3102" s="476">
        <v>0</v>
      </c>
      <c r="AF3102" s="467">
        <v>0</v>
      </c>
      <c r="AG3102" s="468">
        <v>0</v>
      </c>
      <c r="AH3102" s="218">
        <v>0</v>
      </c>
      <c r="AI3102" s="470">
        <v>0</v>
      </c>
      <c r="AJ3102" s="471">
        <v>0</v>
      </c>
      <c r="AK3102" s="218">
        <v>0</v>
      </c>
      <c r="AL3102" s="470">
        <v>0</v>
      </c>
      <c r="AM3102" s="471">
        <v>0</v>
      </c>
      <c r="AN3102" s="477">
        <v>0</v>
      </c>
      <c r="AO3102" s="473">
        <v>0</v>
      </c>
      <c r="AP3102" s="474">
        <v>0</v>
      </c>
      <c r="AQ3102" s="352"/>
      <c r="AR3102" s="352"/>
      <c r="AS3102" s="352"/>
      <c r="AT3102" s="352"/>
      <c r="AU3102" s="352"/>
      <c r="AV3102" s="352"/>
      <c r="AW3102" s="352" t="s">
        <v>254</v>
      </c>
    </row>
    <row r="3103" spans="2:49" x14ac:dyDescent="0.2">
      <c r="B3103" s="460" t="s">
        <v>3273</v>
      </c>
      <c r="C3103" s="460">
        <v>4231</v>
      </c>
      <c r="D3103" s="460" t="s">
        <v>2314</v>
      </c>
      <c r="E3103" s="460" t="s">
        <v>2296</v>
      </c>
      <c r="F3103" s="460">
        <v>1</v>
      </c>
      <c r="G3103" s="460">
        <v>2</v>
      </c>
      <c r="H3103" s="461" t="s">
        <v>748</v>
      </c>
      <c r="I3103" s="461" t="s">
        <v>765</v>
      </c>
      <c r="J3103" s="461" t="s">
        <v>700</v>
      </c>
      <c r="K3103" s="594"/>
      <c r="L3103" s="594"/>
      <c r="M3103" s="352">
        <v>4000</v>
      </c>
      <c r="N3103" s="352" t="s">
        <v>716</v>
      </c>
      <c r="O3103" s="460">
        <v>4231</v>
      </c>
      <c r="P3103" s="460" t="s">
        <v>774</v>
      </c>
      <c r="Q3103" s="460" t="s">
        <v>2266</v>
      </c>
      <c r="R3103" s="460">
        <v>4231</v>
      </c>
      <c r="S3103" s="460" t="s">
        <v>2296</v>
      </c>
      <c r="T3103" s="462">
        <v>1</v>
      </c>
      <c r="U3103" s="460" t="s">
        <v>2296</v>
      </c>
      <c r="V3103" s="475">
        <v>0</v>
      </c>
      <c r="W3103" s="463" t="s">
        <v>2268</v>
      </c>
      <c r="X3103" s="463" t="s">
        <v>2268</v>
      </c>
      <c r="Y3103" s="463" t="s">
        <v>2267</v>
      </c>
      <c r="Z3103" s="463"/>
      <c r="AA3103" s="463"/>
      <c r="AB3103" s="464">
        <v>0</v>
      </c>
      <c r="AC3103" s="465">
        <v>0</v>
      </c>
      <c r="AD3103" s="465">
        <v>0</v>
      </c>
      <c r="AE3103" s="476">
        <v>0</v>
      </c>
      <c r="AF3103" s="467">
        <v>0</v>
      </c>
      <c r="AG3103" s="468">
        <v>0</v>
      </c>
      <c r="AH3103" s="218">
        <v>0</v>
      </c>
      <c r="AI3103" s="470">
        <v>0</v>
      </c>
      <c r="AJ3103" s="471">
        <v>0</v>
      </c>
      <c r="AK3103" s="218">
        <v>0</v>
      </c>
      <c r="AL3103" s="470">
        <v>0</v>
      </c>
      <c r="AM3103" s="471">
        <v>0</v>
      </c>
      <c r="AN3103" s="477">
        <v>260.45363738330951</v>
      </c>
      <c r="AO3103" s="473">
        <v>0.24203970971922911</v>
      </c>
      <c r="AP3103" s="474">
        <v>7.9565018640445156E-2</v>
      </c>
      <c r="AQ3103" s="352"/>
      <c r="AR3103" s="352"/>
      <c r="AS3103" s="352"/>
      <c r="AT3103" s="352"/>
      <c r="AU3103" s="352"/>
      <c r="AV3103" s="352"/>
      <c r="AW3103" s="352" t="s">
        <v>254</v>
      </c>
    </row>
    <row r="3104" spans="2:49" x14ac:dyDescent="0.2">
      <c r="B3104" s="460" t="s">
        <v>3274</v>
      </c>
      <c r="C3104" s="460">
        <v>4231</v>
      </c>
      <c r="D3104" s="460" t="s">
        <v>2315</v>
      </c>
      <c r="E3104" s="460" t="s">
        <v>2299</v>
      </c>
      <c r="F3104" s="460">
        <v>2</v>
      </c>
      <c r="G3104" s="460">
        <v>2</v>
      </c>
      <c r="H3104" s="461" t="s">
        <v>748</v>
      </c>
      <c r="I3104" s="461" t="s">
        <v>765</v>
      </c>
      <c r="J3104" s="461" t="s">
        <v>700</v>
      </c>
      <c r="K3104" s="594"/>
      <c r="L3104" s="594"/>
      <c r="M3104" s="352">
        <v>4000</v>
      </c>
      <c r="N3104" s="352" t="s">
        <v>716</v>
      </c>
      <c r="O3104" s="460">
        <v>4231</v>
      </c>
      <c r="P3104" s="460" t="s">
        <v>774</v>
      </c>
      <c r="Q3104" s="460" t="s">
        <v>2266</v>
      </c>
      <c r="R3104" s="460">
        <v>4231</v>
      </c>
      <c r="S3104" s="460" t="s">
        <v>2296</v>
      </c>
      <c r="T3104" s="462">
        <v>0.55517361979372948</v>
      </c>
      <c r="U3104" s="460" t="s">
        <v>2299</v>
      </c>
      <c r="V3104" s="475">
        <v>0</v>
      </c>
      <c r="W3104" s="463" t="s">
        <v>2268</v>
      </c>
      <c r="X3104" s="463" t="s">
        <v>2268</v>
      </c>
      <c r="Y3104" s="463" t="s">
        <v>2267</v>
      </c>
      <c r="Z3104" s="463"/>
      <c r="AA3104" s="463"/>
      <c r="AB3104" s="464">
        <v>0</v>
      </c>
      <c r="AC3104" s="465">
        <v>0</v>
      </c>
      <c r="AD3104" s="465">
        <v>0</v>
      </c>
      <c r="AE3104" s="476">
        <v>0</v>
      </c>
      <c r="AF3104" s="467">
        <v>0</v>
      </c>
      <c r="AG3104" s="468">
        <v>0</v>
      </c>
      <c r="AH3104" s="218">
        <v>0</v>
      </c>
      <c r="AI3104" s="470">
        <v>0</v>
      </c>
      <c r="AJ3104" s="471">
        <v>0</v>
      </c>
      <c r="AK3104" s="218">
        <v>0</v>
      </c>
      <c r="AL3104" s="470">
        <v>0</v>
      </c>
      <c r="AM3104" s="471">
        <v>0</v>
      </c>
      <c r="AN3104" s="477">
        <v>89.477284604713844</v>
      </c>
      <c r="AO3104" s="473">
        <v>0.13437406177864794</v>
      </c>
      <c r="AP3104" s="474">
        <v>8.2899103096216689E-2</v>
      </c>
      <c r="AQ3104" s="352"/>
      <c r="AR3104" s="352"/>
      <c r="AS3104" s="352"/>
      <c r="AT3104" s="352"/>
      <c r="AU3104" s="352"/>
      <c r="AV3104" s="352"/>
      <c r="AW3104" s="352" t="s">
        <v>254</v>
      </c>
    </row>
    <row r="3105" spans="2:49" x14ac:dyDescent="0.2">
      <c r="B3105" s="460" t="s">
        <v>3275</v>
      </c>
      <c r="C3105" s="460">
        <v>4231</v>
      </c>
      <c r="D3105" s="460" t="s">
        <v>2316</v>
      </c>
      <c r="E3105" s="460" t="s">
        <v>2302</v>
      </c>
      <c r="F3105" s="460">
        <v>3</v>
      </c>
      <c r="G3105" s="460">
        <v>2</v>
      </c>
      <c r="H3105" s="461" t="s">
        <v>748</v>
      </c>
      <c r="I3105" s="461" t="s">
        <v>765</v>
      </c>
      <c r="J3105" s="461" t="s">
        <v>700</v>
      </c>
      <c r="K3105" s="594"/>
      <c r="L3105" s="594"/>
      <c r="M3105" s="352">
        <v>4000</v>
      </c>
      <c r="N3105" s="352" t="s">
        <v>716</v>
      </c>
      <c r="O3105" s="460">
        <v>4231</v>
      </c>
      <c r="P3105" s="460" t="s">
        <v>774</v>
      </c>
      <c r="Q3105" s="460" t="s">
        <v>2266</v>
      </c>
      <c r="R3105" s="460">
        <v>4231</v>
      </c>
      <c r="S3105" s="460" t="s">
        <v>2296</v>
      </c>
      <c r="T3105" s="462">
        <v>0.28481449642268464</v>
      </c>
      <c r="U3105" s="460" t="s">
        <v>2302</v>
      </c>
      <c r="V3105" s="475">
        <v>0</v>
      </c>
      <c r="W3105" s="463" t="s">
        <v>2268</v>
      </c>
      <c r="X3105" s="463" t="s">
        <v>2268</v>
      </c>
      <c r="Y3105" s="463" t="s">
        <v>2267</v>
      </c>
      <c r="Z3105" s="463"/>
      <c r="AA3105" s="463"/>
      <c r="AB3105" s="464">
        <v>0</v>
      </c>
      <c r="AC3105" s="465">
        <v>0</v>
      </c>
      <c r="AD3105" s="465">
        <v>0</v>
      </c>
      <c r="AE3105" s="476">
        <v>0</v>
      </c>
      <c r="AF3105" s="467">
        <v>0</v>
      </c>
      <c r="AG3105" s="468">
        <v>0</v>
      </c>
      <c r="AH3105" s="218">
        <v>0</v>
      </c>
      <c r="AI3105" s="470">
        <v>0</v>
      </c>
      <c r="AJ3105" s="471">
        <v>0</v>
      </c>
      <c r="AK3105" s="218">
        <v>0</v>
      </c>
      <c r="AL3105" s="470">
        <v>0</v>
      </c>
      <c r="AM3105" s="471">
        <v>0</v>
      </c>
      <c r="AN3105" s="477">
        <v>26.133788462429074</v>
      </c>
      <c r="AO3105" s="473">
        <v>6.8936418037975011E-2</v>
      </c>
      <c r="AP3105" s="474">
        <v>0.11182474545439829</v>
      </c>
      <c r="AQ3105" s="352"/>
      <c r="AR3105" s="352"/>
      <c r="AS3105" s="352"/>
      <c r="AT3105" s="352"/>
      <c r="AU3105" s="352"/>
      <c r="AV3105" s="352"/>
      <c r="AW3105" s="352" t="s">
        <v>254</v>
      </c>
    </row>
    <row r="3106" spans="2:49" x14ac:dyDescent="0.2">
      <c r="B3106" s="460" t="s">
        <v>3276</v>
      </c>
      <c r="C3106" s="460">
        <v>4231</v>
      </c>
      <c r="D3106" s="460" t="s">
        <v>2317</v>
      </c>
      <c r="E3106" s="460" t="s">
        <v>2305</v>
      </c>
      <c r="F3106" s="460">
        <v>4</v>
      </c>
      <c r="G3106" s="460">
        <v>2</v>
      </c>
      <c r="H3106" s="461" t="s">
        <v>748</v>
      </c>
      <c r="I3106" s="461" t="s">
        <v>765</v>
      </c>
      <c r="J3106" s="461" t="s">
        <v>700</v>
      </c>
      <c r="K3106" s="594"/>
      <c r="L3106" s="594"/>
      <c r="M3106" s="352">
        <v>4000</v>
      </c>
      <c r="N3106" s="352" t="s">
        <v>716</v>
      </c>
      <c r="O3106" s="460">
        <v>4231</v>
      </c>
      <c r="P3106" s="460" t="s">
        <v>774</v>
      </c>
      <c r="Q3106" s="460" t="s">
        <v>2266</v>
      </c>
      <c r="R3106" s="460">
        <v>4231</v>
      </c>
      <c r="S3106" s="460" t="s">
        <v>2305</v>
      </c>
      <c r="T3106" s="462">
        <v>1</v>
      </c>
      <c r="U3106" s="460" t="s">
        <v>2305</v>
      </c>
      <c r="V3106" s="475">
        <v>0</v>
      </c>
      <c r="W3106" s="463" t="s">
        <v>2268</v>
      </c>
      <c r="X3106" s="463" t="s">
        <v>2268</v>
      </c>
      <c r="Y3106" s="463" t="s">
        <v>2278</v>
      </c>
      <c r="Z3106" s="463"/>
      <c r="AA3106" s="463"/>
      <c r="AB3106" s="464">
        <v>0</v>
      </c>
      <c r="AC3106" s="465">
        <v>0</v>
      </c>
      <c r="AD3106" s="465">
        <v>0</v>
      </c>
      <c r="AE3106" s="476">
        <v>0</v>
      </c>
      <c r="AF3106" s="467">
        <v>0</v>
      </c>
      <c r="AG3106" s="468">
        <v>0</v>
      </c>
      <c r="AH3106" s="218">
        <v>0</v>
      </c>
      <c r="AI3106" s="470">
        <v>0</v>
      </c>
      <c r="AJ3106" s="471">
        <v>0</v>
      </c>
      <c r="AK3106" s="218">
        <v>0</v>
      </c>
      <c r="AL3106" s="470">
        <v>0</v>
      </c>
      <c r="AM3106" s="471">
        <v>0</v>
      </c>
      <c r="AN3106" s="477">
        <v>0.2950353597223051</v>
      </c>
      <c r="AO3106" s="473">
        <v>6.9380428810982648E-4</v>
      </c>
      <c r="AP3106" s="474">
        <v>0.24095389022624944</v>
      </c>
      <c r="AQ3106" s="352"/>
      <c r="AR3106" s="352"/>
      <c r="AS3106" s="352"/>
      <c r="AT3106" s="352"/>
      <c r="AU3106" s="352"/>
      <c r="AV3106" s="352"/>
      <c r="AW3106" s="352" t="s">
        <v>254</v>
      </c>
    </row>
    <row r="3107" spans="2:49" x14ac:dyDescent="0.2">
      <c r="B3107" s="460" t="s">
        <v>3277</v>
      </c>
      <c r="C3107" s="460">
        <v>4231</v>
      </c>
      <c r="D3107" s="460" t="s">
        <v>2323</v>
      </c>
      <c r="E3107" s="460" t="s">
        <v>2324</v>
      </c>
      <c r="F3107" s="460">
        <v>1</v>
      </c>
      <c r="G3107" s="460">
        <v>3</v>
      </c>
      <c r="H3107" s="461" t="s">
        <v>700</v>
      </c>
      <c r="I3107" s="461" t="s">
        <v>872</v>
      </c>
      <c r="J3107" s="461" t="s">
        <v>700</v>
      </c>
      <c r="K3107" s="594"/>
      <c r="L3107" s="594"/>
      <c r="M3107" s="352">
        <v>4000</v>
      </c>
      <c r="N3107" s="352" t="s">
        <v>716</v>
      </c>
      <c r="O3107" s="460">
        <v>4231</v>
      </c>
      <c r="P3107" s="460" t="s">
        <v>774</v>
      </c>
      <c r="Q3107" s="460" t="s">
        <v>2266</v>
      </c>
      <c r="R3107" s="460">
        <v>4231</v>
      </c>
      <c r="S3107" s="460" t="s">
        <v>2324</v>
      </c>
      <c r="T3107" s="462">
        <v>1</v>
      </c>
      <c r="U3107" s="460" t="s">
        <v>2324</v>
      </c>
      <c r="V3107" s="475">
        <v>0</v>
      </c>
      <c r="W3107" s="463" t="s">
        <v>2267</v>
      </c>
      <c r="X3107" s="463" t="s">
        <v>2267</v>
      </c>
      <c r="Y3107" s="463" t="s">
        <v>2268</v>
      </c>
      <c r="Z3107" s="463"/>
      <c r="AA3107" s="463"/>
      <c r="AB3107" s="464">
        <v>1447.005260254655</v>
      </c>
      <c r="AC3107" s="465">
        <v>0.45152653692347866</v>
      </c>
      <c r="AD3107" s="465">
        <v>1.2404712673786551E-2</v>
      </c>
      <c r="AE3107" s="476">
        <v>1447.005260254655</v>
      </c>
      <c r="AF3107" s="467">
        <v>0.45152653692347866</v>
      </c>
      <c r="AG3107" s="468">
        <v>1.3287904718543617E-2</v>
      </c>
      <c r="AH3107" s="218">
        <v>1447.005260254655</v>
      </c>
      <c r="AI3107" s="470">
        <v>0.45152653692347866</v>
      </c>
      <c r="AJ3107" s="471">
        <v>1.2689089843009514E-2</v>
      </c>
      <c r="AK3107" s="218">
        <v>1447.005260254655</v>
      </c>
      <c r="AL3107" s="470">
        <v>0.45152653692347866</v>
      </c>
      <c r="AM3107" s="471">
        <v>1.2689089843009514E-2</v>
      </c>
      <c r="AN3107" s="477">
        <v>0</v>
      </c>
      <c r="AO3107" s="473">
        <v>0</v>
      </c>
      <c r="AP3107" s="474">
        <v>0</v>
      </c>
      <c r="AQ3107" s="352"/>
      <c r="AR3107" s="352"/>
      <c r="AS3107" s="352"/>
      <c r="AT3107" s="352"/>
      <c r="AU3107" s="352"/>
      <c r="AV3107" s="352"/>
      <c r="AW3107" s="352" t="s">
        <v>254</v>
      </c>
    </row>
    <row r="3108" spans="2:49" x14ac:dyDescent="0.2">
      <c r="B3108" s="460" t="s">
        <v>3278</v>
      </c>
      <c r="C3108" s="460">
        <v>4231</v>
      </c>
      <c r="D3108" s="460" t="s">
        <v>2326</v>
      </c>
      <c r="E3108" s="460" t="s">
        <v>2327</v>
      </c>
      <c r="F3108" s="460">
        <v>2</v>
      </c>
      <c r="G3108" s="460">
        <v>3</v>
      </c>
      <c r="H3108" s="461" t="s">
        <v>700</v>
      </c>
      <c r="I3108" s="461" t="s">
        <v>872</v>
      </c>
      <c r="J3108" s="461" t="s">
        <v>700</v>
      </c>
      <c r="K3108" s="594"/>
      <c r="L3108" s="594"/>
      <c r="M3108" s="352">
        <v>4000</v>
      </c>
      <c r="N3108" s="352" t="s">
        <v>716</v>
      </c>
      <c r="O3108" s="460">
        <v>4231</v>
      </c>
      <c r="P3108" s="460" t="s">
        <v>774</v>
      </c>
      <c r="Q3108" s="460" t="s">
        <v>2266</v>
      </c>
      <c r="R3108" s="460">
        <v>4231</v>
      </c>
      <c r="S3108" s="460" t="s">
        <v>2324</v>
      </c>
      <c r="T3108" s="462">
        <v>1</v>
      </c>
      <c r="U3108" s="460" t="s">
        <v>2327</v>
      </c>
      <c r="V3108" s="475">
        <v>0</v>
      </c>
      <c r="W3108" s="463" t="s">
        <v>2267</v>
      </c>
      <c r="X3108" s="463" t="s">
        <v>2267</v>
      </c>
      <c r="Y3108" s="463" t="s">
        <v>2268</v>
      </c>
      <c r="Z3108" s="463"/>
      <c r="AA3108" s="463"/>
      <c r="AB3108" s="464">
        <v>425.30411931927586</v>
      </c>
      <c r="AC3108" s="465">
        <v>0.18902722275620629</v>
      </c>
      <c r="AD3108" s="465">
        <v>6.2816644748355096E-3</v>
      </c>
      <c r="AE3108" s="476">
        <v>425.30411931927586</v>
      </c>
      <c r="AF3108" s="467">
        <v>0.18902722275620629</v>
      </c>
      <c r="AG3108" s="468">
        <v>6.8037386895358695E-3</v>
      </c>
      <c r="AH3108" s="218">
        <v>1015.9176722561116</v>
      </c>
      <c r="AI3108" s="470">
        <v>0.45152653692347866</v>
      </c>
      <c r="AJ3108" s="471">
        <v>1.3677493552010025E-2</v>
      </c>
      <c r="AK3108" s="218">
        <v>1015.9176722561116</v>
      </c>
      <c r="AL3108" s="470">
        <v>0.45152653692347866</v>
      </c>
      <c r="AM3108" s="471">
        <v>1.3677493552010025E-2</v>
      </c>
      <c r="AN3108" s="477">
        <v>0</v>
      </c>
      <c r="AO3108" s="473">
        <v>0</v>
      </c>
      <c r="AP3108" s="474">
        <v>0</v>
      </c>
      <c r="AQ3108" s="352"/>
      <c r="AR3108" s="352"/>
      <c r="AS3108" s="352"/>
      <c r="AT3108" s="352"/>
      <c r="AU3108" s="352"/>
      <c r="AV3108" s="352"/>
      <c r="AW3108" s="352" t="s">
        <v>254</v>
      </c>
    </row>
    <row r="3109" spans="2:49" x14ac:dyDescent="0.2">
      <c r="B3109" s="460" t="s">
        <v>3279</v>
      </c>
      <c r="C3109" s="460">
        <v>4231</v>
      </c>
      <c r="D3109" s="460" t="s">
        <v>2329</v>
      </c>
      <c r="E3109" s="460" t="s">
        <v>2330</v>
      </c>
      <c r="F3109" s="460">
        <v>3</v>
      </c>
      <c r="G3109" s="460">
        <v>3</v>
      </c>
      <c r="H3109" s="461" t="s">
        <v>700</v>
      </c>
      <c r="I3109" s="461" t="s">
        <v>872</v>
      </c>
      <c r="J3109" s="461" t="s">
        <v>700</v>
      </c>
      <c r="K3109" s="594"/>
      <c r="L3109" s="594"/>
      <c r="M3109" s="352">
        <v>4000</v>
      </c>
      <c r="N3109" s="352" t="s">
        <v>716</v>
      </c>
      <c r="O3109" s="460">
        <v>4231</v>
      </c>
      <c r="P3109" s="460" t="s">
        <v>774</v>
      </c>
      <c r="Q3109" s="460" t="s">
        <v>2266</v>
      </c>
      <c r="R3109" s="460">
        <v>4231</v>
      </c>
      <c r="S3109" s="460" t="s">
        <v>2324</v>
      </c>
      <c r="T3109" s="462">
        <v>1</v>
      </c>
      <c r="U3109" s="460" t="s">
        <v>2330</v>
      </c>
      <c r="V3109" s="475">
        <v>0</v>
      </c>
      <c r="W3109" s="463" t="s">
        <v>2267</v>
      </c>
      <c r="X3109" s="463" t="s">
        <v>2267</v>
      </c>
      <c r="Y3109" s="463" t="s">
        <v>2268</v>
      </c>
      <c r="Z3109" s="463"/>
      <c r="AA3109" s="463"/>
      <c r="AB3109" s="464">
        <v>616.95734235465818</v>
      </c>
      <c r="AC3109" s="465">
        <v>0.55544223379586943</v>
      </c>
      <c r="AD3109" s="465">
        <v>2.3297056261980049E-2</v>
      </c>
      <c r="AE3109" s="476">
        <v>616.95734235465818</v>
      </c>
      <c r="AF3109" s="467">
        <v>0.55544223379586943</v>
      </c>
      <c r="AG3109" s="468">
        <v>2.4968918814233278E-2</v>
      </c>
      <c r="AH3109" s="218">
        <v>616.95734235465818</v>
      </c>
      <c r="AI3109" s="470">
        <v>0.55544223379586943</v>
      </c>
      <c r="AJ3109" s="471">
        <v>2.1736855210231117E-2</v>
      </c>
      <c r="AK3109" s="218">
        <v>616.95734235465818</v>
      </c>
      <c r="AL3109" s="470">
        <v>0.55544223379586943</v>
      </c>
      <c r="AM3109" s="471">
        <v>2.1736855210231117E-2</v>
      </c>
      <c r="AN3109" s="477">
        <v>0</v>
      </c>
      <c r="AO3109" s="473">
        <v>0</v>
      </c>
      <c r="AP3109" s="474">
        <v>0</v>
      </c>
      <c r="AQ3109" s="352"/>
      <c r="AR3109" s="352"/>
      <c r="AS3109" s="352"/>
      <c r="AT3109" s="352"/>
      <c r="AU3109" s="352"/>
      <c r="AV3109" s="352"/>
      <c r="AW3109" s="352" t="s">
        <v>254</v>
      </c>
    </row>
    <row r="3110" spans="2:49" x14ac:dyDescent="0.2">
      <c r="B3110" s="460" t="s">
        <v>3280</v>
      </c>
      <c r="C3110" s="460">
        <v>4231</v>
      </c>
      <c r="D3110" s="460" t="s">
        <v>2332</v>
      </c>
      <c r="E3110" s="460" t="s">
        <v>2333</v>
      </c>
      <c r="F3110" s="460">
        <v>4</v>
      </c>
      <c r="G3110" s="460">
        <v>3</v>
      </c>
      <c r="H3110" s="461" t="s">
        <v>700</v>
      </c>
      <c r="I3110" s="461" t="s">
        <v>872</v>
      </c>
      <c r="J3110" s="461" t="s">
        <v>700</v>
      </c>
      <c r="K3110" s="594"/>
      <c r="L3110" s="594"/>
      <c r="M3110" s="352">
        <v>4000</v>
      </c>
      <c r="N3110" s="352" t="s">
        <v>716</v>
      </c>
      <c r="O3110" s="460">
        <v>4231</v>
      </c>
      <c r="P3110" s="460" t="s">
        <v>774</v>
      </c>
      <c r="Q3110" s="460" t="s">
        <v>2266</v>
      </c>
      <c r="R3110" s="460">
        <v>4231</v>
      </c>
      <c r="S3110" s="460" t="s">
        <v>2333</v>
      </c>
      <c r="T3110" s="462">
        <v>1</v>
      </c>
      <c r="U3110" s="460" t="s">
        <v>2333</v>
      </c>
      <c r="V3110" s="475">
        <v>0</v>
      </c>
      <c r="W3110" s="463" t="s">
        <v>2278</v>
      </c>
      <c r="X3110" s="463" t="s">
        <v>2278</v>
      </c>
      <c r="Y3110" s="463" t="s">
        <v>2268</v>
      </c>
      <c r="Z3110" s="463"/>
      <c r="AA3110" s="463"/>
      <c r="AB3110" s="464">
        <v>17.352313651731258</v>
      </c>
      <c r="AC3110" s="465">
        <v>2.9713208313675507E-2</v>
      </c>
      <c r="AD3110" s="465">
        <v>1.1967638433785465E-3</v>
      </c>
      <c r="AE3110" s="476">
        <v>17.352313651731258</v>
      </c>
      <c r="AF3110" s="467">
        <v>2.9713208313675507E-2</v>
      </c>
      <c r="AG3110" s="468">
        <v>1.3207806996226364E-3</v>
      </c>
      <c r="AH3110" s="218">
        <v>17.352313651731258</v>
      </c>
      <c r="AI3110" s="470">
        <v>2.9713208313675507E-2</v>
      </c>
      <c r="AJ3110" s="471">
        <v>1.2796710235809237E-3</v>
      </c>
      <c r="AK3110" s="218">
        <v>17.352313651731258</v>
      </c>
      <c r="AL3110" s="470">
        <v>2.9713208313675507E-2</v>
      </c>
      <c r="AM3110" s="471">
        <v>1.2796710235809237E-3</v>
      </c>
      <c r="AN3110" s="477">
        <v>0</v>
      </c>
      <c r="AO3110" s="473">
        <v>0</v>
      </c>
      <c r="AP3110" s="474">
        <v>0</v>
      </c>
      <c r="AQ3110" s="352"/>
      <c r="AR3110" s="352"/>
      <c r="AS3110" s="352"/>
      <c r="AT3110" s="352"/>
      <c r="AU3110" s="352"/>
      <c r="AV3110" s="352"/>
      <c r="AW3110" s="352" t="s">
        <v>254</v>
      </c>
    </row>
    <row r="3111" spans="2:49" x14ac:dyDescent="0.2">
      <c r="B3111" s="460" t="s">
        <v>3277</v>
      </c>
      <c r="C3111" s="460">
        <v>4231</v>
      </c>
      <c r="D3111" s="460" t="s">
        <v>2334</v>
      </c>
      <c r="E3111" s="460" t="s">
        <v>2324</v>
      </c>
      <c r="F3111" s="460">
        <v>1</v>
      </c>
      <c r="G3111" s="460">
        <v>3</v>
      </c>
      <c r="H3111" s="461" t="s">
        <v>712</v>
      </c>
      <c r="I3111" s="461" t="s">
        <v>713</v>
      </c>
      <c r="J3111" s="461" t="s">
        <v>712</v>
      </c>
      <c r="K3111" s="594"/>
      <c r="L3111" s="594"/>
      <c r="M3111" s="352">
        <v>4000</v>
      </c>
      <c r="N3111" s="352" t="s">
        <v>716</v>
      </c>
      <c r="O3111" s="460">
        <v>4231</v>
      </c>
      <c r="P3111" s="460" t="s">
        <v>774</v>
      </c>
      <c r="Q3111" s="460" t="s">
        <v>2280</v>
      </c>
      <c r="R3111" s="460">
        <v>4231</v>
      </c>
      <c r="S3111" s="460" t="s">
        <v>2324</v>
      </c>
      <c r="T3111" s="462">
        <v>1</v>
      </c>
      <c r="U3111" s="460" t="s">
        <v>2324</v>
      </c>
      <c r="V3111" s="475">
        <v>0</v>
      </c>
      <c r="W3111" s="463" t="s">
        <v>713</v>
      </c>
      <c r="X3111" s="463" t="s">
        <v>713</v>
      </c>
      <c r="Y3111" s="463" t="s">
        <v>713</v>
      </c>
      <c r="Z3111" s="463"/>
      <c r="AA3111" s="463"/>
      <c r="AB3111" s="464">
        <v>1757.690681015974</v>
      </c>
      <c r="AC3111" s="465">
        <v>0.54847346307652123</v>
      </c>
      <c r="AD3111" s="465">
        <v>4.3887709937611603E-3</v>
      </c>
      <c r="AE3111" s="476">
        <v>1757.6906810159742</v>
      </c>
      <c r="AF3111" s="467">
        <v>0.54847346307652134</v>
      </c>
      <c r="AG3111" s="468">
        <v>4.3054223994968771E-3</v>
      </c>
      <c r="AH3111" s="218">
        <v>1757.6906810159742</v>
      </c>
      <c r="AI3111" s="470">
        <v>0.54847346307652134</v>
      </c>
      <c r="AJ3111" s="471">
        <v>4.3603089952472347E-3</v>
      </c>
      <c r="AK3111" s="218">
        <v>1757.6906810159742</v>
      </c>
      <c r="AL3111" s="470">
        <v>0.54847346307652134</v>
      </c>
      <c r="AM3111" s="471">
        <v>4.3603089952472347E-3</v>
      </c>
      <c r="AN3111" s="477">
        <v>1757.6906810159742</v>
      </c>
      <c r="AO3111" s="473">
        <v>0.54847346307652134</v>
      </c>
      <c r="AP3111" s="474">
        <v>4.3581870386583876E-3</v>
      </c>
      <c r="AQ3111" s="352"/>
      <c r="AR3111" s="352"/>
      <c r="AS3111" s="352"/>
      <c r="AT3111" s="352"/>
      <c r="AU3111" s="352"/>
      <c r="AV3111" s="352"/>
      <c r="AW3111" s="352" t="s">
        <v>254</v>
      </c>
    </row>
    <row r="3112" spans="2:49" x14ac:dyDescent="0.2">
      <c r="B3112" s="460" t="s">
        <v>3278</v>
      </c>
      <c r="C3112" s="460">
        <v>4231</v>
      </c>
      <c r="D3112" s="460" t="s">
        <v>2335</v>
      </c>
      <c r="E3112" s="460" t="s">
        <v>2327</v>
      </c>
      <c r="F3112" s="460">
        <v>2</v>
      </c>
      <c r="G3112" s="460">
        <v>3</v>
      </c>
      <c r="H3112" s="461" t="s">
        <v>712</v>
      </c>
      <c r="I3112" s="461" t="s">
        <v>713</v>
      </c>
      <c r="J3112" s="461" t="s">
        <v>712</v>
      </c>
      <c r="K3112" s="594"/>
      <c r="L3112" s="594"/>
      <c r="M3112" s="352">
        <v>4000</v>
      </c>
      <c r="N3112" s="352" t="s">
        <v>716</v>
      </c>
      <c r="O3112" s="460">
        <v>4231</v>
      </c>
      <c r="P3112" s="460" t="s">
        <v>774</v>
      </c>
      <c r="Q3112" s="460" t="s">
        <v>2280</v>
      </c>
      <c r="R3112" s="460">
        <v>4231</v>
      </c>
      <c r="S3112" s="460" t="s">
        <v>2324</v>
      </c>
      <c r="T3112" s="462">
        <v>1</v>
      </c>
      <c r="U3112" s="460" t="s">
        <v>2327</v>
      </c>
      <c r="V3112" s="475">
        <v>0</v>
      </c>
      <c r="W3112" s="463" t="s">
        <v>713</v>
      </c>
      <c r="X3112" s="463" t="s">
        <v>713</v>
      </c>
      <c r="Y3112" s="463" t="s">
        <v>713</v>
      </c>
      <c r="Z3112" s="463"/>
      <c r="AA3112" s="463"/>
      <c r="AB3112" s="464">
        <v>1824.6581512887121</v>
      </c>
      <c r="AC3112" s="465">
        <v>0.81097277724379369</v>
      </c>
      <c r="AD3112" s="465">
        <v>5.8436474468736245E-3</v>
      </c>
      <c r="AE3112" s="476">
        <v>1824.6581512887121</v>
      </c>
      <c r="AF3112" s="467">
        <v>0.81097277724379369</v>
      </c>
      <c r="AG3112" s="468">
        <v>5.7480096732485091E-3</v>
      </c>
      <c r="AH3112" s="218">
        <v>1234.0445983518764</v>
      </c>
      <c r="AI3112" s="470">
        <v>0.54847346307652134</v>
      </c>
      <c r="AJ3112" s="471">
        <v>4.0428276892994141E-3</v>
      </c>
      <c r="AK3112" s="218">
        <v>1234.0445983518764</v>
      </c>
      <c r="AL3112" s="470">
        <v>0.54847346307652134</v>
      </c>
      <c r="AM3112" s="471">
        <v>4.0428276892994141E-3</v>
      </c>
      <c r="AN3112" s="477">
        <v>1234.0445983518764</v>
      </c>
      <c r="AO3112" s="473">
        <v>0.54847346307652134</v>
      </c>
      <c r="AP3112" s="474">
        <v>4.0412426427913596E-3</v>
      </c>
      <c r="AQ3112" s="352"/>
      <c r="AR3112" s="352"/>
      <c r="AS3112" s="352"/>
      <c r="AT3112" s="352"/>
      <c r="AU3112" s="352"/>
      <c r="AV3112" s="352"/>
      <c r="AW3112" s="352" t="s">
        <v>254</v>
      </c>
    </row>
    <row r="3113" spans="2:49" x14ac:dyDescent="0.2">
      <c r="B3113" s="460" t="s">
        <v>3279</v>
      </c>
      <c r="C3113" s="460">
        <v>4231</v>
      </c>
      <c r="D3113" s="460" t="s">
        <v>2336</v>
      </c>
      <c r="E3113" s="460" t="s">
        <v>2330</v>
      </c>
      <c r="F3113" s="460">
        <v>3</v>
      </c>
      <c r="G3113" s="460">
        <v>3</v>
      </c>
      <c r="H3113" s="461" t="s">
        <v>712</v>
      </c>
      <c r="I3113" s="461" t="s">
        <v>713</v>
      </c>
      <c r="J3113" s="461" t="s">
        <v>712</v>
      </c>
      <c r="K3113" s="594"/>
      <c r="L3113" s="594"/>
      <c r="M3113" s="352">
        <v>4000</v>
      </c>
      <c r="N3113" s="352" t="s">
        <v>716</v>
      </c>
      <c r="O3113" s="460">
        <v>4231</v>
      </c>
      <c r="P3113" s="460" t="s">
        <v>774</v>
      </c>
      <c r="Q3113" s="460" t="s">
        <v>2280</v>
      </c>
      <c r="R3113" s="460">
        <v>4231</v>
      </c>
      <c r="S3113" s="460" t="s">
        <v>2324</v>
      </c>
      <c r="T3113" s="462">
        <v>1</v>
      </c>
      <c r="U3113" s="460" t="s">
        <v>2330</v>
      </c>
      <c r="V3113" s="475">
        <v>0</v>
      </c>
      <c r="W3113" s="463" t="s">
        <v>713</v>
      </c>
      <c r="X3113" s="463" t="s">
        <v>713</v>
      </c>
      <c r="Y3113" s="463" t="s">
        <v>713</v>
      </c>
      <c r="Z3113" s="463"/>
      <c r="AA3113" s="463"/>
      <c r="AB3113" s="464">
        <v>493.79244370031466</v>
      </c>
      <c r="AC3113" s="465">
        <v>0.44455776620413057</v>
      </c>
      <c r="AD3113" s="465">
        <v>4.3721681918264628E-3</v>
      </c>
      <c r="AE3113" s="476">
        <v>493.79244370031466</v>
      </c>
      <c r="AF3113" s="467">
        <v>0.44455776620413057</v>
      </c>
      <c r="AG3113" s="468">
        <v>4.30458501053469E-3</v>
      </c>
      <c r="AH3113" s="218">
        <v>493.79244370031466</v>
      </c>
      <c r="AI3113" s="470">
        <v>0.44455776620413057</v>
      </c>
      <c r="AJ3113" s="471">
        <v>4.468939626490886E-3</v>
      </c>
      <c r="AK3113" s="218">
        <v>493.79244370031466</v>
      </c>
      <c r="AL3113" s="470">
        <v>0.44455776620413057</v>
      </c>
      <c r="AM3113" s="471">
        <v>4.468939626490886E-3</v>
      </c>
      <c r="AN3113" s="477">
        <v>493.79244370031466</v>
      </c>
      <c r="AO3113" s="473">
        <v>0.44455776620413057</v>
      </c>
      <c r="AP3113" s="474">
        <v>4.4804744532198565E-3</v>
      </c>
      <c r="AQ3113" s="352"/>
      <c r="AR3113" s="352"/>
      <c r="AS3113" s="352"/>
      <c r="AT3113" s="352"/>
      <c r="AU3113" s="352"/>
      <c r="AV3113" s="352"/>
      <c r="AW3113" s="352" t="s">
        <v>254</v>
      </c>
    </row>
    <row r="3114" spans="2:49" x14ac:dyDescent="0.2">
      <c r="B3114" s="460" t="s">
        <v>3280</v>
      </c>
      <c r="C3114" s="460">
        <v>4231</v>
      </c>
      <c r="D3114" s="460" t="s">
        <v>2337</v>
      </c>
      <c r="E3114" s="460" t="s">
        <v>2333</v>
      </c>
      <c r="F3114" s="460">
        <v>4</v>
      </c>
      <c r="G3114" s="460">
        <v>3</v>
      </c>
      <c r="H3114" s="461" t="s">
        <v>712</v>
      </c>
      <c r="I3114" s="461" t="s">
        <v>713</v>
      </c>
      <c r="J3114" s="461" t="s">
        <v>712</v>
      </c>
      <c r="K3114" s="594"/>
      <c r="L3114" s="594"/>
      <c r="M3114" s="352">
        <v>4000</v>
      </c>
      <c r="N3114" s="352" t="s">
        <v>716</v>
      </c>
      <c r="O3114" s="460">
        <v>4231</v>
      </c>
      <c r="P3114" s="460" t="s">
        <v>774</v>
      </c>
      <c r="Q3114" s="460" t="s">
        <v>2280</v>
      </c>
      <c r="R3114" s="460">
        <v>4231</v>
      </c>
      <c r="S3114" s="460" t="s">
        <v>2333</v>
      </c>
      <c r="T3114" s="462">
        <v>1</v>
      </c>
      <c r="U3114" s="460" t="s">
        <v>2333</v>
      </c>
      <c r="V3114" s="475">
        <v>0</v>
      </c>
      <c r="W3114" s="463" t="s">
        <v>713</v>
      </c>
      <c r="X3114" s="463" t="s">
        <v>713</v>
      </c>
      <c r="Y3114" s="463" t="s">
        <v>713</v>
      </c>
      <c r="Z3114" s="463"/>
      <c r="AA3114" s="463"/>
      <c r="AB3114" s="464">
        <v>566.6409552186941</v>
      </c>
      <c r="AC3114" s="465">
        <v>0.97028679168632448</v>
      </c>
      <c r="AD3114" s="465">
        <v>4.3078712213761739E-3</v>
      </c>
      <c r="AE3114" s="476">
        <v>566.6409552186941</v>
      </c>
      <c r="AF3114" s="467">
        <v>0.97028679168632448</v>
      </c>
      <c r="AG3114" s="468">
        <v>4.2637401557642819E-3</v>
      </c>
      <c r="AH3114" s="218">
        <v>566.6409552186941</v>
      </c>
      <c r="AI3114" s="470">
        <v>0.97028679168632448</v>
      </c>
      <c r="AJ3114" s="471">
        <v>4.2773241449008976E-3</v>
      </c>
      <c r="AK3114" s="218">
        <v>566.6409552186941</v>
      </c>
      <c r="AL3114" s="470">
        <v>0.97028679168632448</v>
      </c>
      <c r="AM3114" s="471">
        <v>4.2773241449008976E-3</v>
      </c>
      <c r="AN3114" s="477">
        <v>566.6409552186941</v>
      </c>
      <c r="AO3114" s="473">
        <v>0.97028679168632448</v>
      </c>
      <c r="AP3114" s="474">
        <v>4.2786834089147581E-3</v>
      </c>
      <c r="AQ3114" s="352"/>
      <c r="AR3114" s="352"/>
      <c r="AS3114" s="352"/>
      <c r="AT3114" s="352"/>
      <c r="AU3114" s="352"/>
      <c r="AV3114" s="352"/>
      <c r="AW3114" s="352" t="s">
        <v>254</v>
      </c>
    </row>
    <row r="3115" spans="2:49" x14ac:dyDescent="0.2">
      <c r="B3115" s="460" t="s">
        <v>3277</v>
      </c>
      <c r="C3115" s="460">
        <v>4231</v>
      </c>
      <c r="D3115" s="460" t="s">
        <v>2338</v>
      </c>
      <c r="E3115" s="460" t="s">
        <v>2324</v>
      </c>
      <c r="F3115" s="460">
        <v>1</v>
      </c>
      <c r="G3115" s="460">
        <v>3</v>
      </c>
      <c r="H3115" s="461" t="s">
        <v>746</v>
      </c>
      <c r="I3115" s="461" t="s">
        <v>762</v>
      </c>
      <c r="J3115" s="461" t="s">
        <v>700</v>
      </c>
      <c r="K3115" s="594"/>
      <c r="L3115" s="594"/>
      <c r="M3115" s="352">
        <v>4000</v>
      </c>
      <c r="N3115" s="352" t="s">
        <v>716</v>
      </c>
      <c r="O3115" s="460">
        <v>4231</v>
      </c>
      <c r="P3115" s="460" t="s">
        <v>774</v>
      </c>
      <c r="Q3115" s="460" t="s">
        <v>2289</v>
      </c>
      <c r="R3115" s="460">
        <v>4231</v>
      </c>
      <c r="S3115" s="460" t="s">
        <v>2324</v>
      </c>
      <c r="T3115" s="462">
        <v>1</v>
      </c>
      <c r="U3115" s="460" t="s">
        <v>2324</v>
      </c>
      <c r="V3115" s="475">
        <v>0</v>
      </c>
      <c r="W3115" s="463" t="s">
        <v>2268</v>
      </c>
      <c r="X3115" s="463" t="s">
        <v>2268</v>
      </c>
      <c r="Y3115" s="463" t="s">
        <v>2290</v>
      </c>
      <c r="Z3115" s="463"/>
      <c r="AA3115" s="463"/>
      <c r="AB3115" s="464">
        <v>0</v>
      </c>
      <c r="AC3115" s="465">
        <v>0</v>
      </c>
      <c r="AD3115" s="465">
        <v>0</v>
      </c>
      <c r="AE3115" s="476">
        <v>0</v>
      </c>
      <c r="AF3115" s="467">
        <v>0</v>
      </c>
      <c r="AG3115" s="468">
        <v>0</v>
      </c>
      <c r="AH3115" s="218">
        <v>0</v>
      </c>
      <c r="AI3115" s="470">
        <v>0</v>
      </c>
      <c r="AJ3115" s="471">
        <v>0</v>
      </c>
      <c r="AK3115" s="218">
        <v>0</v>
      </c>
      <c r="AL3115" s="470">
        <v>0</v>
      </c>
      <c r="AM3115" s="471">
        <v>0</v>
      </c>
      <c r="AN3115" s="477">
        <v>0</v>
      </c>
      <c r="AO3115" s="473">
        <v>0</v>
      </c>
      <c r="AP3115" s="474">
        <v>0</v>
      </c>
      <c r="AQ3115" s="352"/>
      <c r="AR3115" s="352"/>
      <c r="AS3115" s="352"/>
      <c r="AT3115" s="352"/>
      <c r="AU3115" s="352"/>
      <c r="AV3115" s="352"/>
      <c r="AW3115" s="352" t="s">
        <v>254</v>
      </c>
    </row>
    <row r="3116" spans="2:49" x14ac:dyDescent="0.2">
      <c r="B3116" s="460" t="s">
        <v>3278</v>
      </c>
      <c r="C3116" s="460">
        <v>4231</v>
      </c>
      <c r="D3116" s="460" t="s">
        <v>2339</v>
      </c>
      <c r="E3116" s="460" t="s">
        <v>2327</v>
      </c>
      <c r="F3116" s="460">
        <v>2</v>
      </c>
      <c r="G3116" s="460">
        <v>3</v>
      </c>
      <c r="H3116" s="461" t="s">
        <v>746</v>
      </c>
      <c r="I3116" s="461" t="s">
        <v>762</v>
      </c>
      <c r="J3116" s="461" t="s">
        <v>700</v>
      </c>
      <c r="K3116" s="594"/>
      <c r="L3116" s="594"/>
      <c r="M3116" s="352">
        <v>4000</v>
      </c>
      <c r="N3116" s="352" t="s">
        <v>716</v>
      </c>
      <c r="O3116" s="460">
        <v>4231</v>
      </c>
      <c r="P3116" s="460" t="s">
        <v>774</v>
      </c>
      <c r="Q3116" s="460" t="s">
        <v>2289</v>
      </c>
      <c r="R3116" s="460">
        <v>4231</v>
      </c>
      <c r="S3116" s="460" t="s">
        <v>2324</v>
      </c>
      <c r="T3116" s="462">
        <v>1</v>
      </c>
      <c r="U3116" s="460" t="s">
        <v>2327</v>
      </c>
      <c r="V3116" s="475">
        <v>0</v>
      </c>
      <c r="W3116" s="463" t="s">
        <v>2268</v>
      </c>
      <c r="X3116" s="463" t="s">
        <v>2268</v>
      </c>
      <c r="Y3116" s="463" t="s">
        <v>2290</v>
      </c>
      <c r="Z3116" s="463"/>
      <c r="AA3116" s="463"/>
      <c r="AB3116" s="464">
        <v>0</v>
      </c>
      <c r="AC3116" s="465">
        <v>0</v>
      </c>
      <c r="AD3116" s="465">
        <v>0</v>
      </c>
      <c r="AE3116" s="476">
        <v>0</v>
      </c>
      <c r="AF3116" s="467">
        <v>0</v>
      </c>
      <c r="AG3116" s="468">
        <v>0</v>
      </c>
      <c r="AH3116" s="218">
        <v>0</v>
      </c>
      <c r="AI3116" s="470">
        <v>0</v>
      </c>
      <c r="AJ3116" s="471">
        <v>0</v>
      </c>
      <c r="AK3116" s="218">
        <v>0</v>
      </c>
      <c r="AL3116" s="470">
        <v>0</v>
      </c>
      <c r="AM3116" s="471">
        <v>0</v>
      </c>
      <c r="AN3116" s="477">
        <v>0</v>
      </c>
      <c r="AO3116" s="473">
        <v>0</v>
      </c>
      <c r="AP3116" s="474">
        <v>0</v>
      </c>
      <c r="AQ3116" s="352"/>
      <c r="AR3116" s="352"/>
      <c r="AS3116" s="352"/>
      <c r="AT3116" s="352"/>
      <c r="AU3116" s="352"/>
      <c r="AV3116" s="352"/>
      <c r="AW3116" s="352" t="s">
        <v>254</v>
      </c>
    </row>
    <row r="3117" spans="2:49" x14ac:dyDescent="0.2">
      <c r="B3117" s="460" t="s">
        <v>3279</v>
      </c>
      <c r="C3117" s="460">
        <v>4231</v>
      </c>
      <c r="D3117" s="460" t="s">
        <v>2340</v>
      </c>
      <c r="E3117" s="460" t="s">
        <v>2330</v>
      </c>
      <c r="F3117" s="460">
        <v>3</v>
      </c>
      <c r="G3117" s="460">
        <v>3</v>
      </c>
      <c r="H3117" s="461" t="s">
        <v>746</v>
      </c>
      <c r="I3117" s="461" t="s">
        <v>762</v>
      </c>
      <c r="J3117" s="461" t="s">
        <v>700</v>
      </c>
      <c r="K3117" s="594"/>
      <c r="L3117" s="594"/>
      <c r="M3117" s="352">
        <v>4000</v>
      </c>
      <c r="N3117" s="352" t="s">
        <v>716</v>
      </c>
      <c r="O3117" s="460">
        <v>4231</v>
      </c>
      <c r="P3117" s="460" t="s">
        <v>774</v>
      </c>
      <c r="Q3117" s="460" t="s">
        <v>2289</v>
      </c>
      <c r="R3117" s="460">
        <v>4231</v>
      </c>
      <c r="S3117" s="460" t="s">
        <v>2324</v>
      </c>
      <c r="T3117" s="462">
        <v>1</v>
      </c>
      <c r="U3117" s="460" t="s">
        <v>2330</v>
      </c>
      <c r="V3117" s="475">
        <v>0</v>
      </c>
      <c r="W3117" s="463" t="s">
        <v>2268</v>
      </c>
      <c r="X3117" s="463" t="s">
        <v>2268</v>
      </c>
      <c r="Y3117" s="463" t="s">
        <v>2290</v>
      </c>
      <c r="Z3117" s="463"/>
      <c r="AA3117" s="463"/>
      <c r="AB3117" s="464">
        <v>0</v>
      </c>
      <c r="AC3117" s="465">
        <v>0</v>
      </c>
      <c r="AD3117" s="465">
        <v>0</v>
      </c>
      <c r="AE3117" s="476">
        <v>0</v>
      </c>
      <c r="AF3117" s="467">
        <v>0</v>
      </c>
      <c r="AG3117" s="468">
        <v>0</v>
      </c>
      <c r="AH3117" s="218">
        <v>0</v>
      </c>
      <c r="AI3117" s="470">
        <v>0</v>
      </c>
      <c r="AJ3117" s="471">
        <v>0</v>
      </c>
      <c r="AK3117" s="218">
        <v>0</v>
      </c>
      <c r="AL3117" s="470">
        <v>0</v>
      </c>
      <c r="AM3117" s="471">
        <v>0</v>
      </c>
      <c r="AN3117" s="477">
        <v>0</v>
      </c>
      <c r="AO3117" s="473">
        <v>0</v>
      </c>
      <c r="AP3117" s="474">
        <v>0</v>
      </c>
      <c r="AQ3117" s="352"/>
      <c r="AR3117" s="352"/>
      <c r="AS3117" s="352"/>
      <c r="AT3117" s="352"/>
      <c r="AU3117" s="352"/>
      <c r="AV3117" s="352"/>
      <c r="AW3117" s="352" t="s">
        <v>254</v>
      </c>
    </row>
    <row r="3118" spans="2:49" x14ac:dyDescent="0.2">
      <c r="B3118" s="460" t="s">
        <v>3280</v>
      </c>
      <c r="C3118" s="460">
        <v>4231</v>
      </c>
      <c r="D3118" s="460" t="s">
        <v>2341</v>
      </c>
      <c r="E3118" s="460" t="s">
        <v>2333</v>
      </c>
      <c r="F3118" s="460">
        <v>4</v>
      </c>
      <c r="G3118" s="460">
        <v>3</v>
      </c>
      <c r="H3118" s="461" t="s">
        <v>746</v>
      </c>
      <c r="I3118" s="461" t="s">
        <v>762</v>
      </c>
      <c r="J3118" s="461" t="s">
        <v>700</v>
      </c>
      <c r="K3118" s="594"/>
      <c r="L3118" s="594"/>
      <c r="M3118" s="352">
        <v>4000</v>
      </c>
      <c r="N3118" s="352" t="s">
        <v>716</v>
      </c>
      <c r="O3118" s="460">
        <v>4231</v>
      </c>
      <c r="P3118" s="460" t="s">
        <v>774</v>
      </c>
      <c r="Q3118" s="460" t="s">
        <v>2289</v>
      </c>
      <c r="R3118" s="460">
        <v>4231</v>
      </c>
      <c r="S3118" s="460" t="s">
        <v>2333</v>
      </c>
      <c r="T3118" s="462">
        <v>1</v>
      </c>
      <c r="U3118" s="460" t="s">
        <v>2333</v>
      </c>
      <c r="V3118" s="475">
        <v>0</v>
      </c>
      <c r="W3118" s="463" t="s">
        <v>2268</v>
      </c>
      <c r="X3118" s="463" t="s">
        <v>2268</v>
      </c>
      <c r="Y3118" s="463" t="s">
        <v>2290</v>
      </c>
      <c r="Z3118" s="463"/>
      <c r="AA3118" s="463"/>
      <c r="AB3118" s="464">
        <v>0</v>
      </c>
      <c r="AC3118" s="465">
        <v>0</v>
      </c>
      <c r="AD3118" s="465">
        <v>0</v>
      </c>
      <c r="AE3118" s="476">
        <v>0</v>
      </c>
      <c r="AF3118" s="467">
        <v>0</v>
      </c>
      <c r="AG3118" s="468">
        <v>0</v>
      </c>
      <c r="AH3118" s="218">
        <v>0</v>
      </c>
      <c r="AI3118" s="470">
        <v>0</v>
      </c>
      <c r="AJ3118" s="471">
        <v>0</v>
      </c>
      <c r="AK3118" s="218">
        <v>0</v>
      </c>
      <c r="AL3118" s="470">
        <v>0</v>
      </c>
      <c r="AM3118" s="471">
        <v>0</v>
      </c>
      <c r="AN3118" s="477">
        <v>0</v>
      </c>
      <c r="AO3118" s="473">
        <v>0</v>
      </c>
      <c r="AP3118" s="474">
        <v>0</v>
      </c>
      <c r="AQ3118" s="352"/>
      <c r="AR3118" s="352"/>
      <c r="AS3118" s="352"/>
      <c r="AT3118" s="352"/>
      <c r="AU3118" s="352"/>
      <c r="AV3118" s="352"/>
      <c r="AW3118" s="352" t="s">
        <v>254</v>
      </c>
    </row>
    <row r="3119" spans="2:49" x14ac:dyDescent="0.2">
      <c r="B3119" s="460" t="s">
        <v>3277</v>
      </c>
      <c r="C3119" s="460">
        <v>4231</v>
      </c>
      <c r="D3119" s="460" t="s">
        <v>2342</v>
      </c>
      <c r="E3119" s="460" t="s">
        <v>2324</v>
      </c>
      <c r="F3119" s="460">
        <v>1</v>
      </c>
      <c r="G3119" s="460">
        <v>3</v>
      </c>
      <c r="H3119" s="461" t="s">
        <v>748</v>
      </c>
      <c r="I3119" s="461" t="s">
        <v>765</v>
      </c>
      <c r="J3119" s="461" t="s">
        <v>700</v>
      </c>
      <c r="K3119" s="594"/>
      <c r="L3119" s="594"/>
      <c r="M3119" s="352">
        <v>4000</v>
      </c>
      <c r="N3119" s="352" t="s">
        <v>716</v>
      </c>
      <c r="O3119" s="460">
        <v>4231</v>
      </c>
      <c r="P3119" s="460" t="s">
        <v>774</v>
      </c>
      <c r="Q3119" s="460" t="s">
        <v>2266</v>
      </c>
      <c r="R3119" s="460">
        <v>4231</v>
      </c>
      <c r="S3119" s="460" t="s">
        <v>2324</v>
      </c>
      <c r="T3119" s="462">
        <v>1</v>
      </c>
      <c r="U3119" s="460" t="s">
        <v>2324</v>
      </c>
      <c r="V3119" s="475">
        <v>0</v>
      </c>
      <c r="W3119" s="463" t="s">
        <v>2268</v>
      </c>
      <c r="X3119" s="463" t="s">
        <v>2268</v>
      </c>
      <c r="Y3119" s="463" t="s">
        <v>2267</v>
      </c>
      <c r="Z3119" s="463"/>
      <c r="AA3119" s="463"/>
      <c r="AB3119" s="464">
        <v>0</v>
      </c>
      <c r="AC3119" s="465">
        <v>0</v>
      </c>
      <c r="AD3119" s="465">
        <v>0</v>
      </c>
      <c r="AE3119" s="476">
        <v>0</v>
      </c>
      <c r="AF3119" s="467">
        <v>0</v>
      </c>
      <c r="AG3119" s="468">
        <v>0</v>
      </c>
      <c r="AH3119" s="218">
        <v>0</v>
      </c>
      <c r="AI3119" s="470">
        <v>0</v>
      </c>
      <c r="AJ3119" s="471">
        <v>0</v>
      </c>
      <c r="AK3119" s="218">
        <v>0</v>
      </c>
      <c r="AL3119" s="470">
        <v>0</v>
      </c>
      <c r="AM3119" s="471">
        <v>0</v>
      </c>
      <c r="AN3119" s="477">
        <v>1447.005260254655</v>
      </c>
      <c r="AO3119" s="473">
        <v>0.45152653692347866</v>
      </c>
      <c r="AP3119" s="474">
        <v>7.5319250459666878E-2</v>
      </c>
      <c r="AQ3119" s="352"/>
      <c r="AR3119" s="352"/>
      <c r="AS3119" s="352"/>
      <c r="AT3119" s="352"/>
      <c r="AU3119" s="352"/>
      <c r="AV3119" s="352"/>
      <c r="AW3119" s="352" t="s">
        <v>254</v>
      </c>
    </row>
    <row r="3120" spans="2:49" x14ac:dyDescent="0.2">
      <c r="B3120" s="460" t="s">
        <v>3278</v>
      </c>
      <c r="C3120" s="460">
        <v>4231</v>
      </c>
      <c r="D3120" s="460" t="s">
        <v>2343</v>
      </c>
      <c r="E3120" s="460" t="s">
        <v>2327</v>
      </c>
      <c r="F3120" s="460">
        <v>2</v>
      </c>
      <c r="G3120" s="460">
        <v>3</v>
      </c>
      <c r="H3120" s="461" t="s">
        <v>748</v>
      </c>
      <c r="I3120" s="461" t="s">
        <v>765</v>
      </c>
      <c r="J3120" s="461" t="s">
        <v>700</v>
      </c>
      <c r="K3120" s="594"/>
      <c r="L3120" s="594"/>
      <c r="M3120" s="352">
        <v>4000</v>
      </c>
      <c r="N3120" s="352" t="s">
        <v>716</v>
      </c>
      <c r="O3120" s="460">
        <v>4231</v>
      </c>
      <c r="P3120" s="460" t="s">
        <v>774</v>
      </c>
      <c r="Q3120" s="460" t="s">
        <v>2266</v>
      </c>
      <c r="R3120" s="460">
        <v>4231</v>
      </c>
      <c r="S3120" s="460" t="s">
        <v>2324</v>
      </c>
      <c r="T3120" s="462">
        <v>1</v>
      </c>
      <c r="U3120" s="460" t="s">
        <v>2327</v>
      </c>
      <c r="V3120" s="475">
        <v>0</v>
      </c>
      <c r="W3120" s="463" t="s">
        <v>2268</v>
      </c>
      <c r="X3120" s="463" t="s">
        <v>2268</v>
      </c>
      <c r="Y3120" s="463" t="s">
        <v>2267</v>
      </c>
      <c r="Z3120" s="463"/>
      <c r="AA3120" s="463"/>
      <c r="AB3120" s="464">
        <v>0</v>
      </c>
      <c r="AC3120" s="465">
        <v>0</v>
      </c>
      <c r="AD3120" s="465">
        <v>0</v>
      </c>
      <c r="AE3120" s="476">
        <v>0</v>
      </c>
      <c r="AF3120" s="467">
        <v>0</v>
      </c>
      <c r="AG3120" s="468">
        <v>0</v>
      </c>
      <c r="AH3120" s="218">
        <v>0</v>
      </c>
      <c r="AI3120" s="470">
        <v>0</v>
      </c>
      <c r="AJ3120" s="471">
        <v>0</v>
      </c>
      <c r="AK3120" s="218">
        <v>0</v>
      </c>
      <c r="AL3120" s="470">
        <v>0</v>
      </c>
      <c r="AM3120" s="471">
        <v>0</v>
      </c>
      <c r="AN3120" s="477">
        <v>1015.9176722561116</v>
      </c>
      <c r="AO3120" s="473">
        <v>0.45152653692347866</v>
      </c>
      <c r="AP3120" s="474">
        <v>9.030849029095453E-2</v>
      </c>
      <c r="AQ3120" s="352"/>
      <c r="AR3120" s="352"/>
      <c r="AS3120" s="352"/>
      <c r="AT3120" s="352"/>
      <c r="AU3120" s="352"/>
      <c r="AV3120" s="352"/>
      <c r="AW3120" s="352" t="s">
        <v>254</v>
      </c>
    </row>
    <row r="3121" spans="2:49" x14ac:dyDescent="0.2">
      <c r="B3121" s="460" t="s">
        <v>3279</v>
      </c>
      <c r="C3121" s="460">
        <v>4231</v>
      </c>
      <c r="D3121" s="460" t="s">
        <v>2344</v>
      </c>
      <c r="E3121" s="460" t="s">
        <v>2330</v>
      </c>
      <c r="F3121" s="460">
        <v>3</v>
      </c>
      <c r="G3121" s="460">
        <v>3</v>
      </c>
      <c r="H3121" s="461" t="s">
        <v>748</v>
      </c>
      <c r="I3121" s="461" t="s">
        <v>765</v>
      </c>
      <c r="J3121" s="461" t="s">
        <v>700</v>
      </c>
      <c r="K3121" s="594"/>
      <c r="L3121" s="594"/>
      <c r="M3121" s="352">
        <v>4000</v>
      </c>
      <c r="N3121" s="352" t="s">
        <v>716</v>
      </c>
      <c r="O3121" s="460">
        <v>4231</v>
      </c>
      <c r="P3121" s="460" t="s">
        <v>774</v>
      </c>
      <c r="Q3121" s="460" t="s">
        <v>2266</v>
      </c>
      <c r="R3121" s="460">
        <v>4231</v>
      </c>
      <c r="S3121" s="460" t="s">
        <v>2324</v>
      </c>
      <c r="T3121" s="462">
        <v>1</v>
      </c>
      <c r="U3121" s="460" t="s">
        <v>2330</v>
      </c>
      <c r="V3121" s="475">
        <v>0</v>
      </c>
      <c r="W3121" s="463" t="s">
        <v>2268</v>
      </c>
      <c r="X3121" s="463" t="s">
        <v>2268</v>
      </c>
      <c r="Y3121" s="463" t="s">
        <v>2267</v>
      </c>
      <c r="Z3121" s="463"/>
      <c r="AA3121" s="463"/>
      <c r="AB3121" s="464">
        <v>0</v>
      </c>
      <c r="AC3121" s="465">
        <v>0</v>
      </c>
      <c r="AD3121" s="465">
        <v>0</v>
      </c>
      <c r="AE3121" s="476">
        <v>0</v>
      </c>
      <c r="AF3121" s="467">
        <v>0</v>
      </c>
      <c r="AG3121" s="468">
        <v>0</v>
      </c>
      <c r="AH3121" s="218">
        <v>0</v>
      </c>
      <c r="AI3121" s="470">
        <v>0</v>
      </c>
      <c r="AJ3121" s="471">
        <v>0</v>
      </c>
      <c r="AK3121" s="218">
        <v>0</v>
      </c>
      <c r="AL3121" s="470">
        <v>0</v>
      </c>
      <c r="AM3121" s="471">
        <v>0</v>
      </c>
      <c r="AN3121" s="477">
        <v>616.95734235465818</v>
      </c>
      <c r="AO3121" s="473">
        <v>0.55544223379586943</v>
      </c>
      <c r="AP3121" s="474">
        <v>0.16817190942731983</v>
      </c>
      <c r="AQ3121" s="352"/>
      <c r="AR3121" s="352"/>
      <c r="AS3121" s="352"/>
      <c r="AT3121" s="352"/>
      <c r="AU3121" s="352"/>
      <c r="AV3121" s="352"/>
      <c r="AW3121" s="352" t="s">
        <v>254</v>
      </c>
    </row>
    <row r="3122" spans="2:49" x14ac:dyDescent="0.2">
      <c r="B3122" s="460" t="s">
        <v>3280</v>
      </c>
      <c r="C3122" s="460">
        <v>4231</v>
      </c>
      <c r="D3122" s="460" t="s">
        <v>2345</v>
      </c>
      <c r="E3122" s="460" t="s">
        <v>2333</v>
      </c>
      <c r="F3122" s="460">
        <v>4</v>
      </c>
      <c r="G3122" s="460">
        <v>3</v>
      </c>
      <c r="H3122" s="461" t="s">
        <v>748</v>
      </c>
      <c r="I3122" s="461" t="s">
        <v>765</v>
      </c>
      <c r="J3122" s="461" t="s">
        <v>700</v>
      </c>
      <c r="K3122" s="594"/>
      <c r="L3122" s="594"/>
      <c r="M3122" s="352">
        <v>4000</v>
      </c>
      <c r="N3122" s="352" t="s">
        <v>716</v>
      </c>
      <c r="O3122" s="460">
        <v>4231</v>
      </c>
      <c r="P3122" s="460" t="s">
        <v>774</v>
      </c>
      <c r="Q3122" s="460" t="s">
        <v>2266</v>
      </c>
      <c r="R3122" s="460">
        <v>4231</v>
      </c>
      <c r="S3122" s="460" t="s">
        <v>2333</v>
      </c>
      <c r="T3122" s="462">
        <v>1</v>
      </c>
      <c r="U3122" s="460" t="s">
        <v>2333</v>
      </c>
      <c r="V3122" s="475">
        <v>0</v>
      </c>
      <c r="W3122" s="463" t="s">
        <v>2268</v>
      </c>
      <c r="X3122" s="463" t="s">
        <v>2268</v>
      </c>
      <c r="Y3122" s="463" t="s">
        <v>2278</v>
      </c>
      <c r="Z3122" s="463"/>
      <c r="AA3122" s="463"/>
      <c r="AB3122" s="464">
        <v>0</v>
      </c>
      <c r="AC3122" s="465">
        <v>0</v>
      </c>
      <c r="AD3122" s="465">
        <v>0</v>
      </c>
      <c r="AE3122" s="476">
        <v>0</v>
      </c>
      <c r="AF3122" s="467">
        <v>0</v>
      </c>
      <c r="AG3122" s="468">
        <v>0</v>
      </c>
      <c r="AH3122" s="218">
        <v>0</v>
      </c>
      <c r="AI3122" s="470">
        <v>0</v>
      </c>
      <c r="AJ3122" s="471">
        <v>0</v>
      </c>
      <c r="AK3122" s="218">
        <v>0</v>
      </c>
      <c r="AL3122" s="470">
        <v>0</v>
      </c>
      <c r="AM3122" s="471">
        <v>0</v>
      </c>
      <c r="AN3122" s="477">
        <v>17.352313651731258</v>
      </c>
      <c r="AO3122" s="473">
        <v>2.9713208313675507E-2</v>
      </c>
      <c r="AP3122" s="474">
        <v>1.0805711448540908E-2</v>
      </c>
      <c r="AQ3122" s="352"/>
      <c r="AR3122" s="352"/>
      <c r="AS3122" s="352"/>
      <c r="AT3122" s="352"/>
      <c r="AU3122" s="352"/>
      <c r="AV3122" s="352"/>
      <c r="AW3122" s="352" t="s">
        <v>254</v>
      </c>
    </row>
    <row r="3123" spans="2:49" x14ac:dyDescent="0.2">
      <c r="B3123" s="460" t="s">
        <v>3277</v>
      </c>
      <c r="C3123" s="460">
        <v>4231</v>
      </c>
      <c r="D3123" s="460" t="s">
        <v>2346</v>
      </c>
      <c r="E3123" s="460" t="s">
        <v>2324</v>
      </c>
      <c r="F3123" s="460">
        <v>1</v>
      </c>
      <c r="G3123" s="460">
        <v>3</v>
      </c>
      <c r="H3123" s="461" t="s">
        <v>752</v>
      </c>
      <c r="I3123" s="461" t="s">
        <v>964</v>
      </c>
      <c r="J3123" s="461" t="s">
        <v>752</v>
      </c>
      <c r="K3123" s="594"/>
      <c r="L3123" s="594"/>
      <c r="M3123" s="352">
        <v>4000</v>
      </c>
      <c r="N3123" s="352" t="s">
        <v>716</v>
      </c>
      <c r="O3123" s="460">
        <v>4231</v>
      </c>
      <c r="P3123" s="460" t="s">
        <v>774</v>
      </c>
      <c r="Q3123" s="460" t="s">
        <v>2266</v>
      </c>
      <c r="R3123" s="460">
        <v>4231</v>
      </c>
      <c r="S3123" s="460" t="s">
        <v>2324</v>
      </c>
      <c r="T3123" s="462">
        <v>1</v>
      </c>
      <c r="U3123" s="460" t="s">
        <v>2324</v>
      </c>
      <c r="V3123" s="475">
        <v>0</v>
      </c>
      <c r="W3123" s="463" t="s">
        <v>2278</v>
      </c>
      <c r="X3123" s="463" t="s">
        <v>2278</v>
      </c>
      <c r="Y3123" s="463" t="s">
        <v>2278</v>
      </c>
      <c r="Z3123" s="463"/>
      <c r="AA3123" s="463"/>
      <c r="AB3123" s="464">
        <v>0</v>
      </c>
      <c r="AC3123" s="465">
        <v>0</v>
      </c>
      <c r="AD3123" s="465">
        <v>0</v>
      </c>
      <c r="AE3123" s="476">
        <v>0</v>
      </c>
      <c r="AF3123" s="467">
        <v>0</v>
      </c>
      <c r="AG3123" s="468">
        <v>0</v>
      </c>
      <c r="AH3123" s="218">
        <v>0</v>
      </c>
      <c r="AI3123" s="470">
        <v>0</v>
      </c>
      <c r="AJ3123" s="471">
        <v>0</v>
      </c>
      <c r="AK3123" s="218">
        <v>0</v>
      </c>
      <c r="AL3123" s="470">
        <v>0</v>
      </c>
      <c r="AM3123" s="471">
        <v>0</v>
      </c>
      <c r="AN3123" s="477">
        <v>0</v>
      </c>
      <c r="AO3123" s="473">
        <v>0</v>
      </c>
      <c r="AP3123" s="474">
        <v>0</v>
      </c>
      <c r="AQ3123" s="352"/>
      <c r="AR3123" s="352"/>
      <c r="AS3123" s="352"/>
      <c r="AT3123" s="352"/>
      <c r="AU3123" s="352"/>
      <c r="AV3123" s="352"/>
      <c r="AW3123" s="352" t="s">
        <v>254</v>
      </c>
    </row>
    <row r="3124" spans="2:49" x14ac:dyDescent="0.2">
      <c r="B3124" s="460" t="s">
        <v>3278</v>
      </c>
      <c r="C3124" s="460">
        <v>4231</v>
      </c>
      <c r="D3124" s="460" t="s">
        <v>2347</v>
      </c>
      <c r="E3124" s="460" t="s">
        <v>2327</v>
      </c>
      <c r="F3124" s="460">
        <v>2</v>
      </c>
      <c r="G3124" s="460">
        <v>3</v>
      </c>
      <c r="H3124" s="461" t="s">
        <v>752</v>
      </c>
      <c r="I3124" s="461" t="s">
        <v>964</v>
      </c>
      <c r="J3124" s="461" t="s">
        <v>752</v>
      </c>
      <c r="K3124" s="594"/>
      <c r="L3124" s="594"/>
      <c r="M3124" s="352">
        <v>4000</v>
      </c>
      <c r="N3124" s="352" t="s">
        <v>716</v>
      </c>
      <c r="O3124" s="460">
        <v>4231</v>
      </c>
      <c r="P3124" s="460" t="s">
        <v>774</v>
      </c>
      <c r="Q3124" s="460" t="s">
        <v>2266</v>
      </c>
      <c r="R3124" s="460">
        <v>4231</v>
      </c>
      <c r="S3124" s="460" t="s">
        <v>2324</v>
      </c>
      <c r="T3124" s="462">
        <v>1</v>
      </c>
      <c r="U3124" s="460" t="s">
        <v>2327</v>
      </c>
      <c r="V3124" s="475">
        <v>0</v>
      </c>
      <c r="W3124" s="463" t="s">
        <v>2278</v>
      </c>
      <c r="X3124" s="463" t="s">
        <v>2278</v>
      </c>
      <c r="Y3124" s="463" t="s">
        <v>2278</v>
      </c>
      <c r="Z3124" s="463"/>
      <c r="AA3124" s="463"/>
      <c r="AB3124" s="464">
        <v>0</v>
      </c>
      <c r="AC3124" s="465">
        <v>0</v>
      </c>
      <c r="AD3124" s="465">
        <v>0</v>
      </c>
      <c r="AE3124" s="476">
        <v>0</v>
      </c>
      <c r="AF3124" s="467">
        <v>0</v>
      </c>
      <c r="AG3124" s="468">
        <v>0</v>
      </c>
      <c r="AH3124" s="218">
        <v>0</v>
      </c>
      <c r="AI3124" s="470">
        <v>0</v>
      </c>
      <c r="AJ3124" s="471">
        <v>0</v>
      </c>
      <c r="AK3124" s="218">
        <v>0</v>
      </c>
      <c r="AL3124" s="470">
        <v>0</v>
      </c>
      <c r="AM3124" s="471">
        <v>0</v>
      </c>
      <c r="AN3124" s="477">
        <v>0</v>
      </c>
      <c r="AO3124" s="473">
        <v>0</v>
      </c>
      <c r="AP3124" s="474">
        <v>0</v>
      </c>
      <c r="AQ3124" s="352"/>
      <c r="AR3124" s="352"/>
      <c r="AS3124" s="352"/>
      <c r="AT3124" s="352"/>
      <c r="AU3124" s="352"/>
      <c r="AV3124" s="352"/>
      <c r="AW3124" s="352" t="s">
        <v>254</v>
      </c>
    </row>
    <row r="3125" spans="2:49" x14ac:dyDescent="0.2">
      <c r="B3125" s="460" t="s">
        <v>3279</v>
      </c>
      <c r="C3125" s="460">
        <v>4231</v>
      </c>
      <c r="D3125" s="460" t="s">
        <v>2348</v>
      </c>
      <c r="E3125" s="460" t="s">
        <v>2330</v>
      </c>
      <c r="F3125" s="460">
        <v>3</v>
      </c>
      <c r="G3125" s="460">
        <v>3</v>
      </c>
      <c r="H3125" s="461" t="s">
        <v>752</v>
      </c>
      <c r="I3125" s="461" t="s">
        <v>964</v>
      </c>
      <c r="J3125" s="461" t="s">
        <v>752</v>
      </c>
      <c r="K3125" s="594"/>
      <c r="L3125" s="594"/>
      <c r="M3125" s="352">
        <v>4000</v>
      </c>
      <c r="N3125" s="352" t="s">
        <v>716</v>
      </c>
      <c r="O3125" s="460">
        <v>4231</v>
      </c>
      <c r="P3125" s="460" t="s">
        <v>774</v>
      </c>
      <c r="Q3125" s="460" t="s">
        <v>2266</v>
      </c>
      <c r="R3125" s="460">
        <v>4231</v>
      </c>
      <c r="S3125" s="460" t="s">
        <v>2324</v>
      </c>
      <c r="T3125" s="462">
        <v>1</v>
      </c>
      <c r="U3125" s="460" t="s">
        <v>2330</v>
      </c>
      <c r="V3125" s="475">
        <v>0</v>
      </c>
      <c r="W3125" s="463" t="s">
        <v>2278</v>
      </c>
      <c r="X3125" s="463" t="s">
        <v>2278</v>
      </c>
      <c r="Y3125" s="463" t="s">
        <v>2278</v>
      </c>
      <c r="Z3125" s="463"/>
      <c r="AA3125" s="463"/>
      <c r="AB3125" s="464">
        <v>0</v>
      </c>
      <c r="AC3125" s="465">
        <v>0</v>
      </c>
      <c r="AD3125" s="465">
        <v>0</v>
      </c>
      <c r="AE3125" s="476">
        <v>0</v>
      </c>
      <c r="AF3125" s="467">
        <v>0</v>
      </c>
      <c r="AG3125" s="468">
        <v>0</v>
      </c>
      <c r="AH3125" s="218">
        <v>0</v>
      </c>
      <c r="AI3125" s="470">
        <v>0</v>
      </c>
      <c r="AJ3125" s="471">
        <v>0</v>
      </c>
      <c r="AK3125" s="218">
        <v>0</v>
      </c>
      <c r="AL3125" s="470">
        <v>0</v>
      </c>
      <c r="AM3125" s="471">
        <v>0</v>
      </c>
      <c r="AN3125" s="477">
        <v>0</v>
      </c>
      <c r="AO3125" s="473">
        <v>0</v>
      </c>
      <c r="AP3125" s="474">
        <v>0</v>
      </c>
      <c r="AQ3125" s="352"/>
      <c r="AR3125" s="352"/>
      <c r="AS3125" s="352"/>
      <c r="AT3125" s="352"/>
      <c r="AU3125" s="352"/>
      <c r="AV3125" s="352"/>
      <c r="AW3125" s="352" t="s">
        <v>254</v>
      </c>
    </row>
    <row r="3126" spans="2:49" x14ac:dyDescent="0.2">
      <c r="B3126" s="460" t="s">
        <v>3280</v>
      </c>
      <c r="C3126" s="460">
        <v>4231</v>
      </c>
      <c r="D3126" s="460" t="s">
        <v>2349</v>
      </c>
      <c r="E3126" s="460" t="s">
        <v>2333</v>
      </c>
      <c r="F3126" s="460">
        <v>4</v>
      </c>
      <c r="G3126" s="460">
        <v>3</v>
      </c>
      <c r="H3126" s="461" t="s">
        <v>752</v>
      </c>
      <c r="I3126" s="461" t="s">
        <v>964</v>
      </c>
      <c r="J3126" s="461" t="s">
        <v>752</v>
      </c>
      <c r="K3126" s="594"/>
      <c r="L3126" s="594"/>
      <c r="M3126" s="352">
        <v>4000</v>
      </c>
      <c r="N3126" s="352" t="s">
        <v>716</v>
      </c>
      <c r="O3126" s="460">
        <v>4231</v>
      </c>
      <c r="P3126" s="460" t="s">
        <v>774</v>
      </c>
      <c r="Q3126" s="460" t="s">
        <v>2266</v>
      </c>
      <c r="R3126" s="460">
        <v>4231</v>
      </c>
      <c r="S3126" s="460" t="s">
        <v>2333</v>
      </c>
      <c r="T3126" s="462">
        <v>1</v>
      </c>
      <c r="U3126" s="460" t="s">
        <v>2333</v>
      </c>
      <c r="V3126" s="475">
        <v>0</v>
      </c>
      <c r="W3126" s="463" t="s">
        <v>2278</v>
      </c>
      <c r="X3126" s="463" t="s">
        <v>2278</v>
      </c>
      <c r="Y3126" s="463" t="s">
        <v>2278</v>
      </c>
      <c r="Z3126" s="463"/>
      <c r="AA3126" s="463"/>
      <c r="AB3126" s="464">
        <v>0</v>
      </c>
      <c r="AC3126" s="465">
        <v>0</v>
      </c>
      <c r="AD3126" s="465">
        <v>0</v>
      </c>
      <c r="AE3126" s="476">
        <v>0</v>
      </c>
      <c r="AF3126" s="467">
        <v>0</v>
      </c>
      <c r="AG3126" s="468">
        <v>0</v>
      </c>
      <c r="AH3126" s="218">
        <v>0</v>
      </c>
      <c r="AI3126" s="470">
        <v>0</v>
      </c>
      <c r="AJ3126" s="471">
        <v>0</v>
      </c>
      <c r="AK3126" s="218">
        <v>0</v>
      </c>
      <c r="AL3126" s="470">
        <v>0</v>
      </c>
      <c r="AM3126" s="471">
        <v>0</v>
      </c>
      <c r="AN3126" s="477">
        <v>0</v>
      </c>
      <c r="AO3126" s="473">
        <v>0</v>
      </c>
      <c r="AP3126" s="474">
        <v>0</v>
      </c>
      <c r="AQ3126" s="352"/>
      <c r="AR3126" s="352"/>
      <c r="AS3126" s="352"/>
      <c r="AT3126" s="352"/>
      <c r="AU3126" s="352"/>
      <c r="AV3126" s="352"/>
      <c r="AW3126" s="352" t="s">
        <v>254</v>
      </c>
    </row>
    <row r="3127" spans="2:49" x14ac:dyDescent="0.2">
      <c r="B3127" s="460" t="s">
        <v>3281</v>
      </c>
      <c r="C3127" s="460">
        <v>4231</v>
      </c>
      <c r="D3127" s="460" t="s">
        <v>2351</v>
      </c>
      <c r="E3127" s="460" t="s">
        <v>1136</v>
      </c>
      <c r="F3127" s="460">
        <v>1</v>
      </c>
      <c r="G3127" s="460">
        <v>4</v>
      </c>
      <c r="H3127" s="461" t="s">
        <v>700</v>
      </c>
      <c r="I3127" s="461" t="s">
        <v>872</v>
      </c>
      <c r="J3127" s="461" t="s">
        <v>700</v>
      </c>
      <c r="K3127" s="594"/>
      <c r="L3127" s="594"/>
      <c r="M3127" s="352">
        <v>4000</v>
      </c>
      <c r="N3127" s="352" t="s">
        <v>716</v>
      </c>
      <c r="O3127" s="460">
        <v>4231</v>
      </c>
      <c r="P3127" s="460" t="s">
        <v>774</v>
      </c>
      <c r="Q3127" s="460" t="s">
        <v>2266</v>
      </c>
      <c r="R3127" s="460">
        <v>4231</v>
      </c>
      <c r="S3127" s="460" t="s">
        <v>1136</v>
      </c>
      <c r="T3127" s="462">
        <v>1</v>
      </c>
      <c r="U3127" s="460" t="s">
        <v>1136</v>
      </c>
      <c r="V3127" s="475">
        <v>0</v>
      </c>
      <c r="W3127" s="463" t="s">
        <v>2267</v>
      </c>
      <c r="X3127" s="463" t="s">
        <v>2267</v>
      </c>
      <c r="Y3127" s="463" t="s">
        <v>2268</v>
      </c>
      <c r="Z3127" s="463"/>
      <c r="AA3127" s="463"/>
      <c r="AB3127" s="464">
        <v>5.2260285315269863</v>
      </c>
      <c r="AC3127" s="465">
        <v>2.187937856995047E-2</v>
      </c>
      <c r="AD3127" s="465">
        <v>1.4869144604161727E-2</v>
      </c>
      <c r="AE3127" s="476">
        <v>5.2260285315269863</v>
      </c>
      <c r="AF3127" s="467">
        <v>2.187937856995047E-2</v>
      </c>
      <c r="AG3127" s="468">
        <v>1.6163675614874525E-2</v>
      </c>
      <c r="AH3127" s="218">
        <v>5.2260285315269863</v>
      </c>
      <c r="AI3127" s="470">
        <v>2.187937856995047E-2</v>
      </c>
      <c r="AJ3127" s="471">
        <v>4.0813533387624766E-3</v>
      </c>
      <c r="AK3127" s="218">
        <v>5.2260285315269863</v>
      </c>
      <c r="AL3127" s="470">
        <v>2.187937856995047E-2</v>
      </c>
      <c r="AM3127" s="471">
        <v>4.0813533387624766E-3</v>
      </c>
      <c r="AN3127" s="477">
        <v>0</v>
      </c>
      <c r="AO3127" s="473">
        <v>0</v>
      </c>
      <c r="AP3127" s="474">
        <v>0</v>
      </c>
      <c r="AQ3127" s="352"/>
      <c r="AR3127" s="352"/>
      <c r="AS3127" s="352"/>
      <c r="AT3127" s="352"/>
      <c r="AU3127" s="352"/>
      <c r="AV3127" s="352"/>
      <c r="AW3127" s="352" t="s">
        <v>254</v>
      </c>
    </row>
    <row r="3128" spans="2:49" x14ac:dyDescent="0.2">
      <c r="B3128" s="460" t="s">
        <v>3282</v>
      </c>
      <c r="C3128" s="460">
        <v>4231</v>
      </c>
      <c r="D3128" s="460" t="s">
        <v>2353</v>
      </c>
      <c r="E3128" s="460" t="s">
        <v>1137</v>
      </c>
      <c r="F3128" s="460">
        <v>2</v>
      </c>
      <c r="G3128" s="460">
        <v>4</v>
      </c>
      <c r="H3128" s="461" t="s">
        <v>700</v>
      </c>
      <c r="I3128" s="461" t="s">
        <v>872</v>
      </c>
      <c r="J3128" s="461" t="s">
        <v>700</v>
      </c>
      <c r="K3128" s="594"/>
      <c r="L3128" s="594"/>
      <c r="M3128" s="352">
        <v>4000</v>
      </c>
      <c r="N3128" s="352" t="s">
        <v>716</v>
      </c>
      <c r="O3128" s="460">
        <v>4231</v>
      </c>
      <c r="P3128" s="460" t="s">
        <v>774</v>
      </c>
      <c r="Q3128" s="460" t="s">
        <v>2266</v>
      </c>
      <c r="R3128" s="460">
        <v>4231</v>
      </c>
      <c r="S3128" s="460" t="s">
        <v>1137</v>
      </c>
      <c r="T3128" s="462">
        <v>1</v>
      </c>
      <c r="U3128" s="460" t="s">
        <v>1137</v>
      </c>
      <c r="V3128" s="475">
        <v>0</v>
      </c>
      <c r="W3128" s="463" t="s">
        <v>2267</v>
      </c>
      <c r="X3128" s="463" t="s">
        <v>2267</v>
      </c>
      <c r="Y3128" s="463" t="s">
        <v>2268</v>
      </c>
      <c r="Z3128" s="463"/>
      <c r="AA3128" s="463"/>
      <c r="AB3128" s="464">
        <v>84.020671383094339</v>
      </c>
      <c r="AC3128" s="465">
        <v>0.19761439967894806</v>
      </c>
      <c r="AD3128" s="465">
        <v>1.8973138109699698E-2</v>
      </c>
      <c r="AE3128" s="476">
        <v>84.020671383094339</v>
      </c>
      <c r="AF3128" s="467">
        <v>0.19761439967894806</v>
      </c>
      <c r="AG3128" s="468">
        <v>2.0440344861755336E-2</v>
      </c>
      <c r="AH3128" s="218">
        <v>84.020671383094339</v>
      </c>
      <c r="AI3128" s="470">
        <v>0.19761439967894806</v>
      </c>
      <c r="AJ3128" s="471">
        <v>1.7359462873757267E-2</v>
      </c>
      <c r="AK3128" s="218">
        <v>84.020671383094339</v>
      </c>
      <c r="AL3128" s="470">
        <v>0.19761439967894806</v>
      </c>
      <c r="AM3128" s="471">
        <v>1.7359462873757267E-2</v>
      </c>
      <c r="AN3128" s="477">
        <v>0</v>
      </c>
      <c r="AO3128" s="473">
        <v>0</v>
      </c>
      <c r="AP3128" s="474">
        <v>0</v>
      </c>
      <c r="AQ3128" s="352"/>
      <c r="AR3128" s="352"/>
      <c r="AS3128" s="352"/>
      <c r="AT3128" s="352"/>
      <c r="AU3128" s="352"/>
      <c r="AV3128" s="352"/>
      <c r="AW3128" s="352" t="s">
        <v>254</v>
      </c>
    </row>
    <row r="3129" spans="2:49" x14ac:dyDescent="0.2">
      <c r="B3129" s="460" t="s">
        <v>3283</v>
      </c>
      <c r="C3129" s="460">
        <v>4231</v>
      </c>
      <c r="D3129" s="460" t="s">
        <v>2355</v>
      </c>
      <c r="E3129" s="460" t="s">
        <v>1138</v>
      </c>
      <c r="F3129" s="460">
        <v>3</v>
      </c>
      <c r="G3129" s="460">
        <v>4</v>
      </c>
      <c r="H3129" s="461" t="s">
        <v>700</v>
      </c>
      <c r="I3129" s="461" t="s">
        <v>872</v>
      </c>
      <c r="J3129" s="461" t="s">
        <v>700</v>
      </c>
      <c r="K3129" s="594"/>
      <c r="L3129" s="594"/>
      <c r="M3129" s="352">
        <v>4000</v>
      </c>
      <c r="N3129" s="352" t="s">
        <v>716</v>
      </c>
      <c r="O3129" s="460">
        <v>4231</v>
      </c>
      <c r="P3129" s="460" t="s">
        <v>774</v>
      </c>
      <c r="Q3129" s="460" t="s">
        <v>2266</v>
      </c>
      <c r="R3129" s="460">
        <v>4231</v>
      </c>
      <c r="S3129" s="460" t="s">
        <v>1138</v>
      </c>
      <c r="T3129" s="462">
        <v>1</v>
      </c>
      <c r="U3129" s="460" t="s">
        <v>1138</v>
      </c>
      <c r="V3129" s="475">
        <v>0</v>
      </c>
      <c r="W3129" s="463" t="s">
        <v>2267</v>
      </c>
      <c r="X3129" s="463" t="s">
        <v>2267</v>
      </c>
      <c r="Y3129" s="463" t="s">
        <v>2268</v>
      </c>
      <c r="Z3129" s="463"/>
      <c r="AA3129" s="463"/>
      <c r="AB3129" s="464">
        <v>37.438865992855064</v>
      </c>
      <c r="AC3129" s="465">
        <v>5.0614188773792021E-2</v>
      </c>
      <c r="AD3129" s="465">
        <v>1.5708156071017765E-2</v>
      </c>
      <c r="AE3129" s="476">
        <v>37.438865992855064</v>
      </c>
      <c r="AF3129" s="467">
        <v>5.0614188773792021E-2</v>
      </c>
      <c r="AG3129" s="468">
        <v>1.6946975300948828E-2</v>
      </c>
      <c r="AH3129" s="218">
        <v>37.438865992855064</v>
      </c>
      <c r="AI3129" s="470">
        <v>5.0614188773792021E-2</v>
      </c>
      <c r="AJ3129" s="471">
        <v>1.2901664792053754E-2</v>
      </c>
      <c r="AK3129" s="218">
        <v>37.438865992855064</v>
      </c>
      <c r="AL3129" s="470">
        <v>5.0614188773792021E-2</v>
      </c>
      <c r="AM3129" s="471">
        <v>1.2901664792053754E-2</v>
      </c>
      <c r="AN3129" s="477">
        <v>0</v>
      </c>
      <c r="AO3129" s="473">
        <v>0</v>
      </c>
      <c r="AP3129" s="474">
        <v>0</v>
      </c>
      <c r="AQ3129" s="352"/>
      <c r="AR3129" s="352"/>
      <c r="AS3129" s="352"/>
      <c r="AT3129" s="352"/>
      <c r="AU3129" s="352"/>
      <c r="AV3129" s="352"/>
      <c r="AW3129" s="352" t="s">
        <v>254</v>
      </c>
    </row>
    <row r="3130" spans="2:49" x14ac:dyDescent="0.2">
      <c r="B3130" s="460" t="s">
        <v>3284</v>
      </c>
      <c r="C3130" s="460">
        <v>4231</v>
      </c>
      <c r="D3130" s="460" t="s">
        <v>2357</v>
      </c>
      <c r="E3130" s="460" t="s">
        <v>1139</v>
      </c>
      <c r="F3130" s="460">
        <v>4</v>
      </c>
      <c r="G3130" s="460">
        <v>4</v>
      </c>
      <c r="H3130" s="461" t="s">
        <v>700</v>
      </c>
      <c r="I3130" s="461" t="s">
        <v>872</v>
      </c>
      <c r="J3130" s="461" t="s">
        <v>700</v>
      </c>
      <c r="K3130" s="594"/>
      <c r="L3130" s="594"/>
      <c r="M3130" s="352">
        <v>4000</v>
      </c>
      <c r="N3130" s="352" t="s">
        <v>716</v>
      </c>
      <c r="O3130" s="460">
        <v>4231</v>
      </c>
      <c r="P3130" s="460" t="s">
        <v>774</v>
      </c>
      <c r="Q3130" s="460" t="s">
        <v>2266</v>
      </c>
      <c r="R3130" s="460">
        <v>4231</v>
      </c>
      <c r="S3130" s="460" t="s">
        <v>1139</v>
      </c>
      <c r="T3130" s="462">
        <v>1</v>
      </c>
      <c r="U3130" s="460" t="s">
        <v>1139</v>
      </c>
      <c r="V3130" s="475">
        <v>0</v>
      </c>
      <c r="W3130" s="463" t="s">
        <v>2267</v>
      </c>
      <c r="X3130" s="463" t="s">
        <v>2267</v>
      </c>
      <c r="Y3130" s="463" t="s">
        <v>2268</v>
      </c>
      <c r="Z3130" s="463"/>
      <c r="AA3130" s="463"/>
      <c r="AB3130" s="464">
        <v>0</v>
      </c>
      <c r="AC3130" s="465">
        <v>0</v>
      </c>
      <c r="AD3130" s="465">
        <v>0</v>
      </c>
      <c r="AE3130" s="476">
        <v>0</v>
      </c>
      <c r="AF3130" s="467">
        <v>0</v>
      </c>
      <c r="AG3130" s="468">
        <v>0</v>
      </c>
      <c r="AH3130" s="218">
        <v>0</v>
      </c>
      <c r="AI3130" s="470">
        <v>0</v>
      </c>
      <c r="AJ3130" s="471">
        <v>0</v>
      </c>
      <c r="AK3130" s="218">
        <v>0</v>
      </c>
      <c r="AL3130" s="470">
        <v>0</v>
      </c>
      <c r="AM3130" s="471">
        <v>0</v>
      </c>
      <c r="AN3130" s="477">
        <v>0</v>
      </c>
      <c r="AO3130" s="473">
        <v>0</v>
      </c>
      <c r="AP3130" s="474">
        <v>0</v>
      </c>
      <c r="AQ3130" s="352"/>
      <c r="AR3130" s="352"/>
      <c r="AS3130" s="352"/>
      <c r="AT3130" s="352"/>
      <c r="AU3130" s="352"/>
      <c r="AV3130" s="352"/>
      <c r="AW3130" s="352" t="s">
        <v>254</v>
      </c>
    </row>
    <row r="3131" spans="2:49" x14ac:dyDescent="0.2">
      <c r="B3131" s="460" t="s">
        <v>3281</v>
      </c>
      <c r="C3131" s="460">
        <v>4231</v>
      </c>
      <c r="D3131" s="460" t="s">
        <v>2358</v>
      </c>
      <c r="E3131" s="460" t="s">
        <v>1136</v>
      </c>
      <c r="F3131" s="460">
        <v>1</v>
      </c>
      <c r="G3131" s="460">
        <v>4</v>
      </c>
      <c r="H3131" s="461" t="s">
        <v>712</v>
      </c>
      <c r="I3131" s="461" t="s">
        <v>713</v>
      </c>
      <c r="J3131" s="461" t="s">
        <v>712</v>
      </c>
      <c r="K3131" s="594"/>
      <c r="L3131" s="594"/>
      <c r="M3131" s="352">
        <v>4000</v>
      </c>
      <c r="N3131" s="352" t="s">
        <v>716</v>
      </c>
      <c r="O3131" s="460">
        <v>4231</v>
      </c>
      <c r="P3131" s="460" t="s">
        <v>774</v>
      </c>
      <c r="Q3131" s="460" t="s">
        <v>2280</v>
      </c>
      <c r="R3131" s="460">
        <v>4231</v>
      </c>
      <c r="S3131" s="460" t="s">
        <v>1136</v>
      </c>
      <c r="T3131" s="462">
        <v>1</v>
      </c>
      <c r="U3131" s="460" t="s">
        <v>1136</v>
      </c>
      <c r="V3131" s="475">
        <v>0</v>
      </c>
      <c r="W3131" s="463" t="s">
        <v>713</v>
      </c>
      <c r="X3131" s="463" t="s">
        <v>713</v>
      </c>
      <c r="Y3131" s="463" t="s">
        <v>713</v>
      </c>
      <c r="Z3131" s="463"/>
      <c r="AA3131" s="463"/>
      <c r="AB3131" s="464">
        <v>233.63032265865294</v>
      </c>
      <c r="AC3131" s="465">
        <v>0.97812062143004952</v>
      </c>
      <c r="AD3131" s="465">
        <v>1.5397103648068988E-3</v>
      </c>
      <c r="AE3131" s="476">
        <v>233.63032265865294</v>
      </c>
      <c r="AF3131" s="467">
        <v>0.97812062143004952</v>
      </c>
      <c r="AG3131" s="468">
        <v>1.5394247857053022E-3</v>
      </c>
      <c r="AH3131" s="218">
        <v>233.63032265865294</v>
      </c>
      <c r="AI3131" s="470">
        <v>0.97812062143004952</v>
      </c>
      <c r="AJ3131" s="471">
        <v>1.5550703014852792E-3</v>
      </c>
      <c r="AK3131" s="218">
        <v>233.63032265865294</v>
      </c>
      <c r="AL3131" s="470">
        <v>0.97812062143004952</v>
      </c>
      <c r="AM3131" s="471">
        <v>1.5550703014852792E-3</v>
      </c>
      <c r="AN3131" s="477">
        <v>233.63032265865294</v>
      </c>
      <c r="AO3131" s="473">
        <v>0.97812062143004952</v>
      </c>
      <c r="AP3131" s="474">
        <v>1.5525399849496322E-3</v>
      </c>
      <c r="AQ3131" s="352"/>
      <c r="AR3131" s="352"/>
      <c r="AS3131" s="352"/>
      <c r="AT3131" s="352"/>
      <c r="AU3131" s="352"/>
      <c r="AV3131" s="352"/>
      <c r="AW3131" s="352" t="s">
        <v>254</v>
      </c>
    </row>
    <row r="3132" spans="2:49" x14ac:dyDescent="0.2">
      <c r="B3132" s="460" t="s">
        <v>3282</v>
      </c>
      <c r="C3132" s="460">
        <v>4231</v>
      </c>
      <c r="D3132" s="460" t="s">
        <v>2359</v>
      </c>
      <c r="E3132" s="460" t="s">
        <v>1137</v>
      </c>
      <c r="F3132" s="460">
        <v>2</v>
      </c>
      <c r="G3132" s="460">
        <v>4</v>
      </c>
      <c r="H3132" s="461" t="s">
        <v>712</v>
      </c>
      <c r="I3132" s="461" t="s">
        <v>713</v>
      </c>
      <c r="J3132" s="461" t="s">
        <v>712</v>
      </c>
      <c r="K3132" s="594"/>
      <c r="L3132" s="594"/>
      <c r="M3132" s="352">
        <v>4000</v>
      </c>
      <c r="N3132" s="352" t="s">
        <v>716</v>
      </c>
      <c r="O3132" s="460">
        <v>4231</v>
      </c>
      <c r="P3132" s="460" t="s">
        <v>774</v>
      </c>
      <c r="Q3132" s="460" t="s">
        <v>2280</v>
      </c>
      <c r="R3132" s="460">
        <v>4231</v>
      </c>
      <c r="S3132" s="460" t="s">
        <v>1137</v>
      </c>
      <c r="T3132" s="462">
        <v>1</v>
      </c>
      <c r="U3132" s="460" t="s">
        <v>1137</v>
      </c>
      <c r="V3132" s="475">
        <v>0</v>
      </c>
      <c r="W3132" s="463" t="s">
        <v>713</v>
      </c>
      <c r="X3132" s="463" t="s">
        <v>713</v>
      </c>
      <c r="Y3132" s="463" t="s">
        <v>713</v>
      </c>
      <c r="Z3132" s="463"/>
      <c r="AA3132" s="463"/>
      <c r="AB3132" s="464">
        <v>330.73882573250057</v>
      </c>
      <c r="AC3132" s="465">
        <v>0.77788898162505093</v>
      </c>
      <c r="AD3132" s="465">
        <v>1.9127082531394759E-3</v>
      </c>
      <c r="AE3132" s="476">
        <v>330.73882573250057</v>
      </c>
      <c r="AF3132" s="467">
        <v>0.77788898162505093</v>
      </c>
      <c r="AG3132" s="468">
        <v>1.9091985956483761E-3</v>
      </c>
      <c r="AH3132" s="218">
        <v>330.73882573250057</v>
      </c>
      <c r="AI3132" s="470">
        <v>0.77788898162505093</v>
      </c>
      <c r="AJ3132" s="471">
        <v>1.918258162046468E-3</v>
      </c>
      <c r="AK3132" s="218">
        <v>330.73882573250057</v>
      </c>
      <c r="AL3132" s="470">
        <v>0.77788898162505093</v>
      </c>
      <c r="AM3132" s="471">
        <v>1.918258162046468E-3</v>
      </c>
      <c r="AN3132" s="477">
        <v>330.73882573250057</v>
      </c>
      <c r="AO3132" s="473">
        <v>0.77788898162505093</v>
      </c>
      <c r="AP3132" s="474">
        <v>1.9166753238828791E-3</v>
      </c>
      <c r="AQ3132" s="352"/>
      <c r="AR3132" s="352"/>
      <c r="AS3132" s="352"/>
      <c r="AT3132" s="352"/>
      <c r="AU3132" s="352"/>
      <c r="AV3132" s="352"/>
      <c r="AW3132" s="352" t="s">
        <v>254</v>
      </c>
    </row>
    <row r="3133" spans="2:49" x14ac:dyDescent="0.2">
      <c r="B3133" s="460" t="s">
        <v>3283</v>
      </c>
      <c r="C3133" s="460">
        <v>4231</v>
      </c>
      <c r="D3133" s="460" t="s">
        <v>2360</v>
      </c>
      <c r="E3133" s="460" t="s">
        <v>1138</v>
      </c>
      <c r="F3133" s="460">
        <v>3</v>
      </c>
      <c r="G3133" s="460">
        <v>4</v>
      </c>
      <c r="H3133" s="461" t="s">
        <v>712</v>
      </c>
      <c r="I3133" s="461" t="s">
        <v>713</v>
      </c>
      <c r="J3133" s="461" t="s">
        <v>712</v>
      </c>
      <c r="K3133" s="594"/>
      <c r="L3133" s="594"/>
      <c r="M3133" s="352">
        <v>4000</v>
      </c>
      <c r="N3133" s="352" t="s">
        <v>716</v>
      </c>
      <c r="O3133" s="460">
        <v>4231</v>
      </c>
      <c r="P3133" s="460" t="s">
        <v>774</v>
      </c>
      <c r="Q3133" s="460" t="s">
        <v>2280</v>
      </c>
      <c r="R3133" s="460">
        <v>4231</v>
      </c>
      <c r="S3133" s="460" t="s">
        <v>1138</v>
      </c>
      <c r="T3133" s="462">
        <v>1</v>
      </c>
      <c r="U3133" s="460" t="s">
        <v>1138</v>
      </c>
      <c r="V3133" s="475">
        <v>0</v>
      </c>
      <c r="W3133" s="463" t="s">
        <v>713</v>
      </c>
      <c r="X3133" s="463" t="s">
        <v>713</v>
      </c>
      <c r="Y3133" s="463" t="s">
        <v>713</v>
      </c>
      <c r="Z3133" s="463"/>
      <c r="AA3133" s="463"/>
      <c r="AB3133" s="464">
        <v>300.41757798580267</v>
      </c>
      <c r="AC3133" s="465">
        <v>0.40613922457054769</v>
      </c>
      <c r="AD3133" s="465">
        <v>3.7490751902265725E-3</v>
      </c>
      <c r="AE3133" s="476">
        <v>300.41757798580272</v>
      </c>
      <c r="AF3133" s="467">
        <v>0.40613922457054774</v>
      </c>
      <c r="AG3133" s="468">
        <v>3.7409414006070113E-3</v>
      </c>
      <c r="AH3133" s="218">
        <v>300.41757798580272</v>
      </c>
      <c r="AI3133" s="470">
        <v>0.40613922457054774</v>
      </c>
      <c r="AJ3133" s="471">
        <v>3.7848053329700452E-3</v>
      </c>
      <c r="AK3133" s="218">
        <v>300.41757798580272</v>
      </c>
      <c r="AL3133" s="470">
        <v>0.40613922457054774</v>
      </c>
      <c r="AM3133" s="471">
        <v>3.7848053329700452E-3</v>
      </c>
      <c r="AN3133" s="477">
        <v>300.41757798580272</v>
      </c>
      <c r="AO3133" s="473">
        <v>0.40613922457054774</v>
      </c>
      <c r="AP3133" s="474">
        <v>3.7845200945744858E-3</v>
      </c>
      <c r="AQ3133" s="352"/>
      <c r="AR3133" s="352"/>
      <c r="AS3133" s="352"/>
      <c r="AT3133" s="352"/>
      <c r="AU3133" s="352"/>
      <c r="AV3133" s="352"/>
      <c r="AW3133" s="352" t="s">
        <v>254</v>
      </c>
    </row>
    <row r="3134" spans="2:49" x14ac:dyDescent="0.2">
      <c r="B3134" s="460" t="s">
        <v>3284</v>
      </c>
      <c r="C3134" s="460">
        <v>4231</v>
      </c>
      <c r="D3134" s="460" t="s">
        <v>2361</v>
      </c>
      <c r="E3134" s="460" t="s">
        <v>1139</v>
      </c>
      <c r="F3134" s="460">
        <v>4</v>
      </c>
      <c r="G3134" s="460">
        <v>4</v>
      </c>
      <c r="H3134" s="461" t="s">
        <v>712</v>
      </c>
      <c r="I3134" s="461" t="s">
        <v>713</v>
      </c>
      <c r="J3134" s="461" t="s">
        <v>712</v>
      </c>
      <c r="K3134" s="594"/>
      <c r="L3134" s="594"/>
      <c r="M3134" s="352">
        <v>4000</v>
      </c>
      <c r="N3134" s="352" t="s">
        <v>716</v>
      </c>
      <c r="O3134" s="460">
        <v>4231</v>
      </c>
      <c r="P3134" s="460" t="s">
        <v>774</v>
      </c>
      <c r="Q3134" s="460" t="s">
        <v>2280</v>
      </c>
      <c r="R3134" s="460">
        <v>4231</v>
      </c>
      <c r="S3134" s="460" t="s">
        <v>1139</v>
      </c>
      <c r="T3134" s="462">
        <v>1</v>
      </c>
      <c r="U3134" s="460" t="s">
        <v>1139</v>
      </c>
      <c r="V3134" s="475">
        <v>0</v>
      </c>
      <c r="W3134" s="463" t="s">
        <v>713</v>
      </c>
      <c r="X3134" s="463" t="s">
        <v>713</v>
      </c>
      <c r="Y3134" s="463" t="s">
        <v>713</v>
      </c>
      <c r="Z3134" s="463"/>
      <c r="AA3134" s="463"/>
      <c r="AB3134" s="464">
        <v>336.99754558378072</v>
      </c>
      <c r="AC3134" s="465">
        <v>0.62653154141725531</v>
      </c>
      <c r="AD3134" s="465">
        <v>3.7313161311473431E-3</v>
      </c>
      <c r="AE3134" s="476">
        <v>336.99754558378072</v>
      </c>
      <c r="AF3134" s="467">
        <v>0.62653154141725531</v>
      </c>
      <c r="AG3134" s="468">
        <v>3.7313161311473431E-3</v>
      </c>
      <c r="AH3134" s="218">
        <v>336.99754558378072</v>
      </c>
      <c r="AI3134" s="470">
        <v>0.62653154141725531</v>
      </c>
      <c r="AJ3134" s="471">
        <v>3.8115687458147047E-3</v>
      </c>
      <c r="AK3134" s="218">
        <v>336.99754558378072</v>
      </c>
      <c r="AL3134" s="470">
        <v>0.62653154141725531</v>
      </c>
      <c r="AM3134" s="471">
        <v>3.8115687458147047E-3</v>
      </c>
      <c r="AN3134" s="477">
        <v>336.99754558378072</v>
      </c>
      <c r="AO3134" s="473">
        <v>0.62653154141725531</v>
      </c>
      <c r="AP3134" s="474">
        <v>3.8115687458147047E-3</v>
      </c>
      <c r="AQ3134" s="352"/>
      <c r="AR3134" s="352"/>
      <c r="AS3134" s="352"/>
      <c r="AT3134" s="352"/>
      <c r="AU3134" s="352"/>
      <c r="AV3134" s="352"/>
      <c r="AW3134" s="352" t="s">
        <v>254</v>
      </c>
    </row>
    <row r="3135" spans="2:49" x14ac:dyDescent="0.2">
      <c r="B3135" s="460" t="s">
        <v>3281</v>
      </c>
      <c r="C3135" s="460">
        <v>4231</v>
      </c>
      <c r="D3135" s="460" t="s">
        <v>2362</v>
      </c>
      <c r="E3135" s="460" t="s">
        <v>1136</v>
      </c>
      <c r="F3135" s="460">
        <v>1</v>
      </c>
      <c r="G3135" s="460">
        <v>4</v>
      </c>
      <c r="H3135" s="461" t="s">
        <v>746</v>
      </c>
      <c r="I3135" s="461" t="s">
        <v>762</v>
      </c>
      <c r="J3135" s="461" t="s">
        <v>700</v>
      </c>
      <c r="K3135" s="594"/>
      <c r="L3135" s="594"/>
      <c r="M3135" s="352">
        <v>4000</v>
      </c>
      <c r="N3135" s="352" t="s">
        <v>716</v>
      </c>
      <c r="O3135" s="460">
        <v>4231</v>
      </c>
      <c r="P3135" s="460" t="s">
        <v>774</v>
      </c>
      <c r="Q3135" s="460" t="s">
        <v>2289</v>
      </c>
      <c r="R3135" s="460">
        <v>4231</v>
      </c>
      <c r="S3135" s="460" t="s">
        <v>1136</v>
      </c>
      <c r="T3135" s="462">
        <v>1</v>
      </c>
      <c r="U3135" s="460" t="s">
        <v>1136</v>
      </c>
      <c r="V3135" s="475">
        <v>0</v>
      </c>
      <c r="W3135" s="463" t="s">
        <v>2268</v>
      </c>
      <c r="X3135" s="463" t="s">
        <v>2268</v>
      </c>
      <c r="Y3135" s="463" t="s">
        <v>2290</v>
      </c>
      <c r="Z3135" s="463"/>
      <c r="AA3135" s="463"/>
      <c r="AB3135" s="464">
        <v>0</v>
      </c>
      <c r="AC3135" s="465">
        <v>0</v>
      </c>
      <c r="AD3135" s="465">
        <v>0</v>
      </c>
      <c r="AE3135" s="476">
        <v>0</v>
      </c>
      <c r="AF3135" s="467">
        <v>0</v>
      </c>
      <c r="AG3135" s="468">
        <v>0</v>
      </c>
      <c r="AH3135" s="218">
        <v>0</v>
      </c>
      <c r="AI3135" s="470">
        <v>0</v>
      </c>
      <c r="AJ3135" s="471">
        <v>0</v>
      </c>
      <c r="AK3135" s="218">
        <v>0</v>
      </c>
      <c r="AL3135" s="470">
        <v>0</v>
      </c>
      <c r="AM3135" s="471">
        <v>0</v>
      </c>
      <c r="AN3135" s="477">
        <v>0</v>
      </c>
      <c r="AO3135" s="473">
        <v>0</v>
      </c>
      <c r="AP3135" s="474">
        <v>0</v>
      </c>
      <c r="AQ3135" s="352"/>
      <c r="AR3135" s="352"/>
      <c r="AS3135" s="352"/>
      <c r="AT3135" s="352"/>
      <c r="AU3135" s="352"/>
      <c r="AV3135" s="352"/>
      <c r="AW3135" s="352" t="s">
        <v>254</v>
      </c>
    </row>
    <row r="3136" spans="2:49" x14ac:dyDescent="0.2">
      <c r="B3136" s="460" t="s">
        <v>3282</v>
      </c>
      <c r="C3136" s="460">
        <v>4231</v>
      </c>
      <c r="D3136" s="460" t="s">
        <v>2363</v>
      </c>
      <c r="E3136" s="460" t="s">
        <v>1137</v>
      </c>
      <c r="F3136" s="460">
        <v>2</v>
      </c>
      <c r="G3136" s="460">
        <v>4</v>
      </c>
      <c r="H3136" s="461" t="s">
        <v>746</v>
      </c>
      <c r="I3136" s="461" t="s">
        <v>762</v>
      </c>
      <c r="J3136" s="461" t="s">
        <v>700</v>
      </c>
      <c r="K3136" s="594"/>
      <c r="L3136" s="594"/>
      <c r="M3136" s="352">
        <v>4000</v>
      </c>
      <c r="N3136" s="352" t="s">
        <v>716</v>
      </c>
      <c r="O3136" s="460">
        <v>4231</v>
      </c>
      <c r="P3136" s="460" t="s">
        <v>774</v>
      </c>
      <c r="Q3136" s="460" t="s">
        <v>2289</v>
      </c>
      <c r="R3136" s="460">
        <v>4231</v>
      </c>
      <c r="S3136" s="460" t="s">
        <v>1137</v>
      </c>
      <c r="T3136" s="462">
        <v>1</v>
      </c>
      <c r="U3136" s="460" t="s">
        <v>1137</v>
      </c>
      <c r="V3136" s="475">
        <v>0</v>
      </c>
      <c r="W3136" s="463" t="s">
        <v>2268</v>
      </c>
      <c r="X3136" s="463" t="s">
        <v>2268</v>
      </c>
      <c r="Y3136" s="463" t="s">
        <v>2290</v>
      </c>
      <c r="Z3136" s="463"/>
      <c r="AA3136" s="463"/>
      <c r="AB3136" s="464">
        <v>0</v>
      </c>
      <c r="AC3136" s="465">
        <v>0</v>
      </c>
      <c r="AD3136" s="465">
        <v>0</v>
      </c>
      <c r="AE3136" s="476">
        <v>0</v>
      </c>
      <c r="AF3136" s="467">
        <v>0</v>
      </c>
      <c r="AG3136" s="468">
        <v>0</v>
      </c>
      <c r="AH3136" s="218">
        <v>0</v>
      </c>
      <c r="AI3136" s="470">
        <v>0</v>
      </c>
      <c r="AJ3136" s="471">
        <v>0</v>
      </c>
      <c r="AK3136" s="218">
        <v>0</v>
      </c>
      <c r="AL3136" s="470">
        <v>0</v>
      </c>
      <c r="AM3136" s="471">
        <v>0</v>
      </c>
      <c r="AN3136" s="477">
        <v>0</v>
      </c>
      <c r="AO3136" s="473">
        <v>0</v>
      </c>
      <c r="AP3136" s="474">
        <v>0</v>
      </c>
      <c r="AQ3136" s="352"/>
      <c r="AR3136" s="352"/>
      <c r="AS3136" s="352"/>
      <c r="AT3136" s="352"/>
      <c r="AU3136" s="352"/>
      <c r="AV3136" s="352"/>
      <c r="AW3136" s="352" t="s">
        <v>254</v>
      </c>
    </row>
    <row r="3137" spans="2:49" x14ac:dyDescent="0.2">
      <c r="B3137" s="460" t="s">
        <v>3283</v>
      </c>
      <c r="C3137" s="460">
        <v>4231</v>
      </c>
      <c r="D3137" s="460" t="s">
        <v>2364</v>
      </c>
      <c r="E3137" s="460" t="s">
        <v>1138</v>
      </c>
      <c r="F3137" s="460">
        <v>3</v>
      </c>
      <c r="G3137" s="460">
        <v>4</v>
      </c>
      <c r="H3137" s="461" t="s">
        <v>746</v>
      </c>
      <c r="I3137" s="461" t="s">
        <v>762</v>
      </c>
      <c r="J3137" s="461" t="s">
        <v>700</v>
      </c>
      <c r="K3137" s="594"/>
      <c r="L3137" s="594"/>
      <c r="M3137" s="352">
        <v>4000</v>
      </c>
      <c r="N3137" s="352" t="s">
        <v>716</v>
      </c>
      <c r="O3137" s="460">
        <v>4231</v>
      </c>
      <c r="P3137" s="460" t="s">
        <v>774</v>
      </c>
      <c r="Q3137" s="460" t="s">
        <v>2289</v>
      </c>
      <c r="R3137" s="460">
        <v>4231</v>
      </c>
      <c r="S3137" s="460" t="s">
        <v>1138</v>
      </c>
      <c r="T3137" s="462">
        <v>1</v>
      </c>
      <c r="U3137" s="460" t="s">
        <v>1138</v>
      </c>
      <c r="V3137" s="475">
        <v>0</v>
      </c>
      <c r="W3137" s="463" t="s">
        <v>2268</v>
      </c>
      <c r="X3137" s="463" t="s">
        <v>2268</v>
      </c>
      <c r="Y3137" s="463" t="s">
        <v>2290</v>
      </c>
      <c r="Z3137" s="463"/>
      <c r="AA3137" s="463"/>
      <c r="AB3137" s="464">
        <v>0</v>
      </c>
      <c r="AC3137" s="465">
        <v>0</v>
      </c>
      <c r="AD3137" s="465">
        <v>0</v>
      </c>
      <c r="AE3137" s="476">
        <v>0</v>
      </c>
      <c r="AF3137" s="467">
        <v>0</v>
      </c>
      <c r="AG3137" s="468">
        <v>0</v>
      </c>
      <c r="AH3137" s="218">
        <v>0</v>
      </c>
      <c r="AI3137" s="470">
        <v>0</v>
      </c>
      <c r="AJ3137" s="471">
        <v>0</v>
      </c>
      <c r="AK3137" s="218">
        <v>0</v>
      </c>
      <c r="AL3137" s="470">
        <v>0</v>
      </c>
      <c r="AM3137" s="471">
        <v>0</v>
      </c>
      <c r="AN3137" s="477">
        <v>0</v>
      </c>
      <c r="AO3137" s="473">
        <v>0</v>
      </c>
      <c r="AP3137" s="474">
        <v>0</v>
      </c>
      <c r="AQ3137" s="352"/>
      <c r="AR3137" s="352"/>
      <c r="AS3137" s="352"/>
      <c r="AT3137" s="352"/>
      <c r="AU3137" s="352"/>
      <c r="AV3137" s="352"/>
      <c r="AW3137" s="352" t="s">
        <v>254</v>
      </c>
    </row>
    <row r="3138" spans="2:49" x14ac:dyDescent="0.2">
      <c r="B3138" s="460" t="s">
        <v>3284</v>
      </c>
      <c r="C3138" s="460">
        <v>4231</v>
      </c>
      <c r="D3138" s="460" t="s">
        <v>2365</v>
      </c>
      <c r="E3138" s="460" t="s">
        <v>1139</v>
      </c>
      <c r="F3138" s="460">
        <v>4</v>
      </c>
      <c r="G3138" s="460">
        <v>4</v>
      </c>
      <c r="H3138" s="461" t="s">
        <v>746</v>
      </c>
      <c r="I3138" s="461" t="s">
        <v>762</v>
      </c>
      <c r="J3138" s="461" t="s">
        <v>700</v>
      </c>
      <c r="K3138" s="594"/>
      <c r="L3138" s="594"/>
      <c r="M3138" s="352">
        <v>4000</v>
      </c>
      <c r="N3138" s="352" t="s">
        <v>716</v>
      </c>
      <c r="O3138" s="460">
        <v>4231</v>
      </c>
      <c r="P3138" s="460" t="s">
        <v>774</v>
      </c>
      <c r="Q3138" s="460" t="s">
        <v>2289</v>
      </c>
      <c r="R3138" s="460">
        <v>4231</v>
      </c>
      <c r="S3138" s="460" t="s">
        <v>1139</v>
      </c>
      <c r="T3138" s="462">
        <v>1</v>
      </c>
      <c r="U3138" s="460" t="s">
        <v>1139</v>
      </c>
      <c r="V3138" s="475">
        <v>0</v>
      </c>
      <c r="W3138" s="463" t="s">
        <v>2268</v>
      </c>
      <c r="X3138" s="463" t="s">
        <v>2268</v>
      </c>
      <c r="Y3138" s="463" t="s">
        <v>2290</v>
      </c>
      <c r="Z3138" s="463"/>
      <c r="AA3138" s="463"/>
      <c r="AB3138" s="464">
        <v>0</v>
      </c>
      <c r="AC3138" s="465">
        <v>0</v>
      </c>
      <c r="AD3138" s="465">
        <v>0</v>
      </c>
      <c r="AE3138" s="476">
        <v>0</v>
      </c>
      <c r="AF3138" s="467">
        <v>0</v>
      </c>
      <c r="AG3138" s="468">
        <v>0</v>
      </c>
      <c r="AH3138" s="218">
        <v>0</v>
      </c>
      <c r="AI3138" s="470">
        <v>0</v>
      </c>
      <c r="AJ3138" s="471">
        <v>0</v>
      </c>
      <c r="AK3138" s="218">
        <v>0</v>
      </c>
      <c r="AL3138" s="470">
        <v>0</v>
      </c>
      <c r="AM3138" s="471">
        <v>0</v>
      </c>
      <c r="AN3138" s="477">
        <v>0</v>
      </c>
      <c r="AO3138" s="473">
        <v>0</v>
      </c>
      <c r="AP3138" s="474">
        <v>0</v>
      </c>
      <c r="AQ3138" s="352"/>
      <c r="AR3138" s="352"/>
      <c r="AS3138" s="352"/>
      <c r="AT3138" s="352"/>
      <c r="AU3138" s="352"/>
      <c r="AV3138" s="352"/>
      <c r="AW3138" s="352" t="s">
        <v>254</v>
      </c>
    </row>
    <row r="3139" spans="2:49" x14ac:dyDescent="0.2">
      <c r="B3139" s="460" t="s">
        <v>3281</v>
      </c>
      <c r="C3139" s="460">
        <v>4231</v>
      </c>
      <c r="D3139" s="460" t="s">
        <v>2366</v>
      </c>
      <c r="E3139" s="460" t="s">
        <v>1136</v>
      </c>
      <c r="F3139" s="460">
        <v>1</v>
      </c>
      <c r="G3139" s="460">
        <v>4</v>
      </c>
      <c r="H3139" s="461" t="s">
        <v>748</v>
      </c>
      <c r="I3139" s="461" t="s">
        <v>765</v>
      </c>
      <c r="J3139" s="461" t="s">
        <v>700</v>
      </c>
      <c r="K3139" s="594"/>
      <c r="L3139" s="594"/>
      <c r="M3139" s="352">
        <v>4000</v>
      </c>
      <c r="N3139" s="352" t="s">
        <v>716</v>
      </c>
      <c r="O3139" s="460">
        <v>4231</v>
      </c>
      <c r="P3139" s="460" t="s">
        <v>774</v>
      </c>
      <c r="Q3139" s="460" t="s">
        <v>2266</v>
      </c>
      <c r="R3139" s="460">
        <v>4231</v>
      </c>
      <c r="S3139" s="460" t="s">
        <v>1136</v>
      </c>
      <c r="T3139" s="462">
        <v>1</v>
      </c>
      <c r="U3139" s="460" t="s">
        <v>1136</v>
      </c>
      <c r="V3139" s="475">
        <v>0</v>
      </c>
      <c r="W3139" s="463" t="s">
        <v>2268</v>
      </c>
      <c r="X3139" s="463" t="s">
        <v>2268</v>
      </c>
      <c r="Y3139" s="463" t="s">
        <v>2267</v>
      </c>
      <c r="Z3139" s="463"/>
      <c r="AA3139" s="463"/>
      <c r="AB3139" s="464">
        <v>0</v>
      </c>
      <c r="AC3139" s="465">
        <v>0</v>
      </c>
      <c r="AD3139" s="465">
        <v>0</v>
      </c>
      <c r="AE3139" s="476">
        <v>0</v>
      </c>
      <c r="AF3139" s="467">
        <v>0</v>
      </c>
      <c r="AG3139" s="468">
        <v>0</v>
      </c>
      <c r="AH3139" s="218">
        <v>0</v>
      </c>
      <c r="AI3139" s="470">
        <v>0</v>
      </c>
      <c r="AJ3139" s="471">
        <v>0</v>
      </c>
      <c r="AK3139" s="218">
        <v>0</v>
      </c>
      <c r="AL3139" s="470">
        <v>0</v>
      </c>
      <c r="AM3139" s="471">
        <v>0</v>
      </c>
      <c r="AN3139" s="477">
        <v>5.2260285315269863</v>
      </c>
      <c r="AO3139" s="473">
        <v>2.187937856995047E-2</v>
      </c>
      <c r="AP3139" s="474">
        <v>6.4209476874057519E-3</v>
      </c>
      <c r="AQ3139" s="352"/>
      <c r="AR3139" s="352"/>
      <c r="AS3139" s="352"/>
      <c r="AT3139" s="352"/>
      <c r="AU3139" s="352"/>
      <c r="AV3139" s="352"/>
      <c r="AW3139" s="352" t="s">
        <v>254</v>
      </c>
    </row>
    <row r="3140" spans="2:49" x14ac:dyDescent="0.2">
      <c r="B3140" s="460" t="s">
        <v>3282</v>
      </c>
      <c r="C3140" s="460">
        <v>4231</v>
      </c>
      <c r="D3140" s="460" t="s">
        <v>2367</v>
      </c>
      <c r="E3140" s="460" t="s">
        <v>1137</v>
      </c>
      <c r="F3140" s="460">
        <v>2</v>
      </c>
      <c r="G3140" s="460">
        <v>4</v>
      </c>
      <c r="H3140" s="461" t="s">
        <v>748</v>
      </c>
      <c r="I3140" s="461" t="s">
        <v>765</v>
      </c>
      <c r="J3140" s="461" t="s">
        <v>700</v>
      </c>
      <c r="K3140" s="594"/>
      <c r="L3140" s="594"/>
      <c r="M3140" s="352">
        <v>4000</v>
      </c>
      <c r="N3140" s="352" t="s">
        <v>716</v>
      </c>
      <c r="O3140" s="460">
        <v>4231</v>
      </c>
      <c r="P3140" s="460" t="s">
        <v>774</v>
      </c>
      <c r="Q3140" s="460" t="s">
        <v>2266</v>
      </c>
      <c r="R3140" s="460">
        <v>4231</v>
      </c>
      <c r="S3140" s="460" t="s">
        <v>1137</v>
      </c>
      <c r="T3140" s="462">
        <v>1</v>
      </c>
      <c r="U3140" s="460" t="s">
        <v>1137</v>
      </c>
      <c r="V3140" s="475">
        <v>0</v>
      </c>
      <c r="W3140" s="463" t="s">
        <v>2268</v>
      </c>
      <c r="X3140" s="463" t="s">
        <v>2268</v>
      </c>
      <c r="Y3140" s="463" t="s">
        <v>2267</v>
      </c>
      <c r="Z3140" s="463"/>
      <c r="AA3140" s="463"/>
      <c r="AB3140" s="464">
        <v>0</v>
      </c>
      <c r="AC3140" s="465">
        <v>0</v>
      </c>
      <c r="AD3140" s="465">
        <v>0</v>
      </c>
      <c r="AE3140" s="476">
        <v>0</v>
      </c>
      <c r="AF3140" s="467">
        <v>0</v>
      </c>
      <c r="AG3140" s="468">
        <v>0</v>
      </c>
      <c r="AH3140" s="218">
        <v>0</v>
      </c>
      <c r="AI3140" s="470">
        <v>0</v>
      </c>
      <c r="AJ3140" s="471">
        <v>0</v>
      </c>
      <c r="AK3140" s="218">
        <v>0</v>
      </c>
      <c r="AL3140" s="470">
        <v>0</v>
      </c>
      <c r="AM3140" s="471">
        <v>0</v>
      </c>
      <c r="AN3140" s="477">
        <v>84.020671383094339</v>
      </c>
      <c r="AO3140" s="473">
        <v>0.19761439967894806</v>
      </c>
      <c r="AP3140" s="474">
        <v>8.0929642130328369E-2</v>
      </c>
      <c r="AQ3140" s="352"/>
      <c r="AR3140" s="352"/>
      <c r="AS3140" s="352"/>
      <c r="AT3140" s="352"/>
      <c r="AU3140" s="352"/>
      <c r="AV3140" s="352"/>
      <c r="AW3140" s="352" t="s">
        <v>254</v>
      </c>
    </row>
    <row r="3141" spans="2:49" x14ac:dyDescent="0.2">
      <c r="B3141" s="460" t="s">
        <v>3283</v>
      </c>
      <c r="C3141" s="460">
        <v>4231</v>
      </c>
      <c r="D3141" s="460" t="s">
        <v>2368</v>
      </c>
      <c r="E3141" s="460" t="s">
        <v>1138</v>
      </c>
      <c r="F3141" s="460">
        <v>3</v>
      </c>
      <c r="G3141" s="460">
        <v>4</v>
      </c>
      <c r="H3141" s="461" t="s">
        <v>748</v>
      </c>
      <c r="I3141" s="461" t="s">
        <v>765</v>
      </c>
      <c r="J3141" s="461" t="s">
        <v>700</v>
      </c>
      <c r="K3141" s="594"/>
      <c r="L3141" s="594"/>
      <c r="M3141" s="352">
        <v>4000</v>
      </c>
      <c r="N3141" s="352" t="s">
        <v>716</v>
      </c>
      <c r="O3141" s="460">
        <v>4231</v>
      </c>
      <c r="P3141" s="460" t="s">
        <v>774</v>
      </c>
      <c r="Q3141" s="460" t="s">
        <v>2266</v>
      </c>
      <c r="R3141" s="460">
        <v>4231</v>
      </c>
      <c r="S3141" s="460" t="s">
        <v>1138</v>
      </c>
      <c r="T3141" s="462">
        <v>1</v>
      </c>
      <c r="U3141" s="460" t="s">
        <v>1138</v>
      </c>
      <c r="V3141" s="475">
        <v>0</v>
      </c>
      <c r="W3141" s="463" t="s">
        <v>2268</v>
      </c>
      <c r="X3141" s="463" t="s">
        <v>2268</v>
      </c>
      <c r="Y3141" s="463" t="s">
        <v>2267</v>
      </c>
      <c r="Z3141" s="463"/>
      <c r="AA3141" s="463"/>
      <c r="AB3141" s="464">
        <v>0</v>
      </c>
      <c r="AC3141" s="465">
        <v>0</v>
      </c>
      <c r="AD3141" s="465">
        <v>0</v>
      </c>
      <c r="AE3141" s="476">
        <v>0</v>
      </c>
      <c r="AF3141" s="467">
        <v>0</v>
      </c>
      <c r="AG3141" s="468">
        <v>0</v>
      </c>
      <c r="AH3141" s="218">
        <v>0</v>
      </c>
      <c r="AI3141" s="470">
        <v>0</v>
      </c>
      <c r="AJ3141" s="471">
        <v>0</v>
      </c>
      <c r="AK3141" s="218">
        <v>0</v>
      </c>
      <c r="AL3141" s="470">
        <v>0</v>
      </c>
      <c r="AM3141" s="471">
        <v>0</v>
      </c>
      <c r="AN3141" s="477">
        <v>37.438865992855064</v>
      </c>
      <c r="AO3141" s="473">
        <v>5.0614188773792021E-2</v>
      </c>
      <c r="AP3141" s="474">
        <v>3.8844713967597345E-2</v>
      </c>
      <c r="AQ3141" s="352"/>
      <c r="AR3141" s="352"/>
      <c r="AS3141" s="352"/>
      <c r="AT3141" s="352"/>
      <c r="AU3141" s="352"/>
      <c r="AV3141" s="352"/>
      <c r="AW3141" s="352" t="s">
        <v>254</v>
      </c>
    </row>
    <row r="3142" spans="2:49" x14ac:dyDescent="0.2">
      <c r="B3142" s="460" t="s">
        <v>3284</v>
      </c>
      <c r="C3142" s="460">
        <v>4231</v>
      </c>
      <c r="D3142" s="460" t="s">
        <v>2369</v>
      </c>
      <c r="E3142" s="460" t="s">
        <v>1139</v>
      </c>
      <c r="F3142" s="460">
        <v>4</v>
      </c>
      <c r="G3142" s="460">
        <v>4</v>
      </c>
      <c r="H3142" s="461" t="s">
        <v>748</v>
      </c>
      <c r="I3142" s="461" t="s">
        <v>765</v>
      </c>
      <c r="J3142" s="461" t="s">
        <v>700</v>
      </c>
      <c r="K3142" s="594"/>
      <c r="L3142" s="594"/>
      <c r="M3142" s="352">
        <v>4000</v>
      </c>
      <c r="N3142" s="352" t="s">
        <v>716</v>
      </c>
      <c r="O3142" s="460">
        <v>4231</v>
      </c>
      <c r="P3142" s="460" t="s">
        <v>774</v>
      </c>
      <c r="Q3142" s="460" t="s">
        <v>2266</v>
      </c>
      <c r="R3142" s="460">
        <v>4231</v>
      </c>
      <c r="S3142" s="460" t="s">
        <v>1139</v>
      </c>
      <c r="T3142" s="462">
        <v>1</v>
      </c>
      <c r="U3142" s="460" t="s">
        <v>1139</v>
      </c>
      <c r="V3142" s="475">
        <v>0</v>
      </c>
      <c r="W3142" s="463" t="s">
        <v>2268</v>
      </c>
      <c r="X3142" s="463" t="s">
        <v>2268</v>
      </c>
      <c r="Y3142" s="463" t="s">
        <v>2267</v>
      </c>
      <c r="Z3142" s="463"/>
      <c r="AA3142" s="463"/>
      <c r="AB3142" s="464">
        <v>0</v>
      </c>
      <c r="AC3142" s="465">
        <v>0</v>
      </c>
      <c r="AD3142" s="465">
        <v>0</v>
      </c>
      <c r="AE3142" s="476">
        <v>0</v>
      </c>
      <c r="AF3142" s="467">
        <v>0</v>
      </c>
      <c r="AG3142" s="468">
        <v>0</v>
      </c>
      <c r="AH3142" s="218">
        <v>0</v>
      </c>
      <c r="AI3142" s="470">
        <v>0</v>
      </c>
      <c r="AJ3142" s="471">
        <v>0</v>
      </c>
      <c r="AK3142" s="218">
        <v>0</v>
      </c>
      <c r="AL3142" s="470">
        <v>0</v>
      </c>
      <c r="AM3142" s="471">
        <v>0</v>
      </c>
      <c r="AN3142" s="477">
        <v>0</v>
      </c>
      <c r="AO3142" s="473">
        <v>0</v>
      </c>
      <c r="AP3142" s="474">
        <v>0</v>
      </c>
      <c r="AQ3142" s="352"/>
      <c r="AR3142" s="352"/>
      <c r="AS3142" s="352"/>
      <c r="AT3142" s="352"/>
      <c r="AU3142" s="352"/>
      <c r="AV3142" s="352"/>
      <c r="AW3142" s="352" t="s">
        <v>254</v>
      </c>
    </row>
    <row r="3143" spans="2:49" x14ac:dyDescent="0.2">
      <c r="B3143" s="460" t="s">
        <v>3281</v>
      </c>
      <c r="C3143" s="460">
        <v>4231</v>
      </c>
      <c r="D3143" s="460" t="s">
        <v>2370</v>
      </c>
      <c r="E3143" s="460" t="s">
        <v>1136</v>
      </c>
      <c r="F3143" s="460">
        <v>1</v>
      </c>
      <c r="G3143" s="460">
        <v>4</v>
      </c>
      <c r="H3143" s="461" t="s">
        <v>752</v>
      </c>
      <c r="I3143" s="461" t="s">
        <v>964</v>
      </c>
      <c r="J3143" s="461" t="s">
        <v>752</v>
      </c>
      <c r="K3143" s="594"/>
      <c r="L3143" s="594"/>
      <c r="M3143" s="352">
        <v>4000</v>
      </c>
      <c r="N3143" s="352" t="s">
        <v>716</v>
      </c>
      <c r="O3143" s="460">
        <v>4231</v>
      </c>
      <c r="P3143" s="460" t="s">
        <v>774</v>
      </c>
      <c r="Q3143" s="460" t="s">
        <v>2266</v>
      </c>
      <c r="R3143" s="460">
        <v>4231</v>
      </c>
      <c r="S3143" s="460" t="s">
        <v>1136</v>
      </c>
      <c r="T3143" s="462">
        <v>1</v>
      </c>
      <c r="U3143" s="460" t="s">
        <v>1136</v>
      </c>
      <c r="V3143" s="475">
        <v>0</v>
      </c>
      <c r="W3143" s="463" t="s">
        <v>2267</v>
      </c>
      <c r="X3143" s="463" t="s">
        <v>2267</v>
      </c>
      <c r="Y3143" s="463" t="s">
        <v>2267</v>
      </c>
      <c r="Z3143" s="463"/>
      <c r="AA3143" s="463"/>
      <c r="AB3143" s="464">
        <v>0</v>
      </c>
      <c r="AC3143" s="465">
        <v>0</v>
      </c>
      <c r="AD3143" s="465">
        <v>0</v>
      </c>
      <c r="AE3143" s="476">
        <v>0</v>
      </c>
      <c r="AF3143" s="467">
        <v>0</v>
      </c>
      <c r="AG3143" s="468">
        <v>0</v>
      </c>
      <c r="AH3143" s="218">
        <v>0</v>
      </c>
      <c r="AI3143" s="470">
        <v>0</v>
      </c>
      <c r="AJ3143" s="471">
        <v>0</v>
      </c>
      <c r="AK3143" s="218">
        <v>0</v>
      </c>
      <c r="AL3143" s="470">
        <v>0</v>
      </c>
      <c r="AM3143" s="471">
        <v>0</v>
      </c>
      <c r="AN3143" s="477">
        <v>0</v>
      </c>
      <c r="AO3143" s="473">
        <v>0</v>
      </c>
      <c r="AP3143" s="474">
        <v>0</v>
      </c>
      <c r="AQ3143" s="352"/>
      <c r="AR3143" s="352"/>
      <c r="AS3143" s="352"/>
      <c r="AT3143" s="352"/>
      <c r="AU3143" s="352"/>
      <c r="AV3143" s="352"/>
      <c r="AW3143" s="352" t="s">
        <v>254</v>
      </c>
    </row>
    <row r="3144" spans="2:49" x14ac:dyDescent="0.2">
      <c r="B3144" s="460" t="s">
        <v>3282</v>
      </c>
      <c r="C3144" s="460">
        <v>4231</v>
      </c>
      <c r="D3144" s="460" t="s">
        <v>2371</v>
      </c>
      <c r="E3144" s="460" t="s">
        <v>1137</v>
      </c>
      <c r="F3144" s="460">
        <v>2</v>
      </c>
      <c r="G3144" s="460">
        <v>4</v>
      </c>
      <c r="H3144" s="461" t="s">
        <v>752</v>
      </c>
      <c r="I3144" s="461" t="s">
        <v>964</v>
      </c>
      <c r="J3144" s="461" t="s">
        <v>752</v>
      </c>
      <c r="K3144" s="594"/>
      <c r="L3144" s="594"/>
      <c r="M3144" s="352">
        <v>4000</v>
      </c>
      <c r="N3144" s="352" t="s">
        <v>716</v>
      </c>
      <c r="O3144" s="460">
        <v>4231</v>
      </c>
      <c r="P3144" s="460" t="s">
        <v>774</v>
      </c>
      <c r="Q3144" s="460" t="s">
        <v>2266</v>
      </c>
      <c r="R3144" s="460">
        <v>4231</v>
      </c>
      <c r="S3144" s="460" t="s">
        <v>1137</v>
      </c>
      <c r="T3144" s="462">
        <v>1</v>
      </c>
      <c r="U3144" s="460" t="s">
        <v>1137</v>
      </c>
      <c r="V3144" s="475">
        <v>0</v>
      </c>
      <c r="W3144" s="463" t="s">
        <v>2267</v>
      </c>
      <c r="X3144" s="463" t="s">
        <v>2267</v>
      </c>
      <c r="Y3144" s="463" t="s">
        <v>2267</v>
      </c>
      <c r="Z3144" s="463"/>
      <c r="AA3144" s="463"/>
      <c r="AB3144" s="464">
        <v>10.415346011209373</v>
      </c>
      <c r="AC3144" s="465">
        <v>2.4496618696001015E-2</v>
      </c>
      <c r="AD3144" s="465">
        <v>1.0191305701510555E-3</v>
      </c>
      <c r="AE3144" s="476">
        <v>10.415346011209373</v>
      </c>
      <c r="AF3144" s="467">
        <v>2.4496618696001015E-2</v>
      </c>
      <c r="AG3144" s="468">
        <v>1.0191305701510555E-3</v>
      </c>
      <c r="AH3144" s="218">
        <v>10.415346011209373</v>
      </c>
      <c r="AI3144" s="470">
        <v>2.4496618696001015E-2</v>
      </c>
      <c r="AJ3144" s="471">
        <v>1.0103679433017205E-3</v>
      </c>
      <c r="AK3144" s="218">
        <v>10.415346011209373</v>
      </c>
      <c r="AL3144" s="470">
        <v>2.4496618696001015E-2</v>
      </c>
      <c r="AM3144" s="471">
        <v>1.0103679433017205E-3</v>
      </c>
      <c r="AN3144" s="477">
        <v>10.415346011209373</v>
      </c>
      <c r="AO3144" s="473">
        <v>2.4496618696001015E-2</v>
      </c>
      <c r="AP3144" s="474">
        <v>1.0103679433017205E-3</v>
      </c>
      <c r="AQ3144" s="352"/>
      <c r="AR3144" s="352"/>
      <c r="AS3144" s="352"/>
      <c r="AT3144" s="352"/>
      <c r="AU3144" s="352"/>
      <c r="AV3144" s="352"/>
      <c r="AW3144" s="352" t="s">
        <v>254</v>
      </c>
    </row>
    <row r="3145" spans="2:49" x14ac:dyDescent="0.2">
      <c r="B3145" s="460" t="s">
        <v>3283</v>
      </c>
      <c r="C3145" s="460">
        <v>4231</v>
      </c>
      <c r="D3145" s="460" t="s">
        <v>2372</v>
      </c>
      <c r="E3145" s="460" t="s">
        <v>1138</v>
      </c>
      <c r="F3145" s="460">
        <v>3</v>
      </c>
      <c r="G3145" s="460">
        <v>4</v>
      </c>
      <c r="H3145" s="461" t="s">
        <v>752</v>
      </c>
      <c r="I3145" s="461" t="s">
        <v>964</v>
      </c>
      <c r="J3145" s="461" t="s">
        <v>752</v>
      </c>
      <c r="K3145" s="594"/>
      <c r="L3145" s="594"/>
      <c r="M3145" s="352">
        <v>4000</v>
      </c>
      <c r="N3145" s="352" t="s">
        <v>716</v>
      </c>
      <c r="O3145" s="460">
        <v>4231</v>
      </c>
      <c r="P3145" s="460" t="s">
        <v>774</v>
      </c>
      <c r="Q3145" s="460" t="s">
        <v>2266</v>
      </c>
      <c r="R3145" s="460">
        <v>4231</v>
      </c>
      <c r="S3145" s="460" t="s">
        <v>1138</v>
      </c>
      <c r="T3145" s="462">
        <v>1</v>
      </c>
      <c r="U3145" s="460" t="s">
        <v>1138</v>
      </c>
      <c r="V3145" s="475">
        <v>0</v>
      </c>
      <c r="W3145" s="463" t="s">
        <v>2267</v>
      </c>
      <c r="X3145" s="463" t="s">
        <v>2267</v>
      </c>
      <c r="Y3145" s="463" t="s">
        <v>2267</v>
      </c>
      <c r="Z3145" s="463"/>
      <c r="AA3145" s="463"/>
      <c r="AB3145" s="464">
        <v>401.83467623625069</v>
      </c>
      <c r="AC3145" s="465">
        <v>0.54324658665566028</v>
      </c>
      <c r="AD3145" s="465">
        <v>6.9406269542360413E-2</v>
      </c>
      <c r="AE3145" s="476">
        <v>401.83467623625069</v>
      </c>
      <c r="AF3145" s="467">
        <v>0.54324658665566028</v>
      </c>
      <c r="AG3145" s="468">
        <v>6.9406269542360413E-2</v>
      </c>
      <c r="AH3145" s="218">
        <v>401.83467623625069</v>
      </c>
      <c r="AI3145" s="470">
        <v>0.54324658665566028</v>
      </c>
      <c r="AJ3145" s="471">
        <v>6.6665639826358911E-2</v>
      </c>
      <c r="AK3145" s="218">
        <v>401.83467623625069</v>
      </c>
      <c r="AL3145" s="470">
        <v>0.54324658665566028</v>
      </c>
      <c r="AM3145" s="471">
        <v>6.6665639826358911E-2</v>
      </c>
      <c r="AN3145" s="477">
        <v>401.83467623625069</v>
      </c>
      <c r="AO3145" s="473">
        <v>0.54324658665566028</v>
      </c>
      <c r="AP3145" s="474">
        <v>6.6665639826358911E-2</v>
      </c>
      <c r="AQ3145" s="352"/>
      <c r="AR3145" s="352"/>
      <c r="AS3145" s="352"/>
      <c r="AT3145" s="352"/>
      <c r="AU3145" s="352"/>
      <c r="AV3145" s="352"/>
      <c r="AW3145" s="352" t="s">
        <v>254</v>
      </c>
    </row>
    <row r="3146" spans="2:49" x14ac:dyDescent="0.2">
      <c r="B3146" s="460" t="s">
        <v>3284</v>
      </c>
      <c r="C3146" s="460">
        <v>4231</v>
      </c>
      <c r="D3146" s="460" t="s">
        <v>2373</v>
      </c>
      <c r="E3146" s="460" t="s">
        <v>1139</v>
      </c>
      <c r="F3146" s="460">
        <v>4</v>
      </c>
      <c r="G3146" s="460">
        <v>4</v>
      </c>
      <c r="H3146" s="461" t="s">
        <v>752</v>
      </c>
      <c r="I3146" s="461" t="s">
        <v>964</v>
      </c>
      <c r="J3146" s="461" t="s">
        <v>752</v>
      </c>
      <c r="K3146" s="594"/>
      <c r="L3146" s="594"/>
      <c r="M3146" s="352">
        <v>4000</v>
      </c>
      <c r="N3146" s="352" t="s">
        <v>716</v>
      </c>
      <c r="O3146" s="460">
        <v>4231</v>
      </c>
      <c r="P3146" s="460" t="s">
        <v>774</v>
      </c>
      <c r="Q3146" s="460" t="s">
        <v>2266</v>
      </c>
      <c r="R3146" s="460">
        <v>4231</v>
      </c>
      <c r="S3146" s="460" t="s">
        <v>1139</v>
      </c>
      <c r="T3146" s="462">
        <v>1</v>
      </c>
      <c r="U3146" s="460" t="s">
        <v>1139</v>
      </c>
      <c r="V3146" s="475">
        <v>0</v>
      </c>
      <c r="W3146" s="463" t="s">
        <v>2267</v>
      </c>
      <c r="X3146" s="463" t="s">
        <v>2267</v>
      </c>
      <c r="Y3146" s="463" t="s">
        <v>2267</v>
      </c>
      <c r="Z3146" s="463"/>
      <c r="AA3146" s="463"/>
      <c r="AB3146" s="464">
        <v>200.88047540375047</v>
      </c>
      <c r="AC3146" s="465">
        <v>0.37346845858274469</v>
      </c>
      <c r="AD3146" s="465">
        <v>8.0085567398461895E-3</v>
      </c>
      <c r="AE3146" s="476">
        <v>200.88047540375047</v>
      </c>
      <c r="AF3146" s="467">
        <v>0.37346845858274469</v>
      </c>
      <c r="AG3146" s="468">
        <v>8.0085567398461895E-3</v>
      </c>
      <c r="AH3146" s="218">
        <v>200.88047540375047</v>
      </c>
      <c r="AI3146" s="470">
        <v>0.37346845858274469</v>
      </c>
      <c r="AJ3146" s="471">
        <v>7.4441988261329146E-3</v>
      </c>
      <c r="AK3146" s="218">
        <v>200.88047540375047</v>
      </c>
      <c r="AL3146" s="470">
        <v>0.37346845858274469</v>
      </c>
      <c r="AM3146" s="471">
        <v>7.4441988261329146E-3</v>
      </c>
      <c r="AN3146" s="477">
        <v>200.88047540375047</v>
      </c>
      <c r="AO3146" s="473">
        <v>0.37346845858274469</v>
      </c>
      <c r="AP3146" s="474">
        <v>7.4441988261329146E-3</v>
      </c>
      <c r="AQ3146" s="352"/>
      <c r="AR3146" s="352"/>
      <c r="AS3146" s="352"/>
      <c r="AT3146" s="352"/>
      <c r="AU3146" s="352"/>
      <c r="AV3146" s="352"/>
      <c r="AW3146" s="352" t="s">
        <v>254</v>
      </c>
    </row>
    <row r="3147" spans="2:49" x14ac:dyDescent="0.2">
      <c r="B3147" s="460" t="s">
        <v>3285</v>
      </c>
      <c r="C3147" s="460">
        <v>4231</v>
      </c>
      <c r="D3147" s="460" t="s">
        <v>2375</v>
      </c>
      <c r="E3147" s="460" t="s">
        <v>2376</v>
      </c>
      <c r="F3147" s="460">
        <v>1</v>
      </c>
      <c r="G3147" s="460">
        <v>5</v>
      </c>
      <c r="H3147" s="461" t="s">
        <v>754</v>
      </c>
      <c r="I3147" s="461" t="s">
        <v>1991</v>
      </c>
      <c r="J3147" s="461" t="s">
        <v>754</v>
      </c>
      <c r="K3147" s="594"/>
      <c r="L3147" s="594"/>
      <c r="M3147" s="352">
        <v>4000</v>
      </c>
      <c r="N3147" s="352" t="s">
        <v>716</v>
      </c>
      <c r="O3147" s="460">
        <v>4231</v>
      </c>
      <c r="P3147" s="460" t="s">
        <v>774</v>
      </c>
      <c r="Q3147" s="460" t="s">
        <v>2377</v>
      </c>
      <c r="R3147" s="460">
        <v>4231</v>
      </c>
      <c r="S3147" s="460" t="s">
        <v>2376</v>
      </c>
      <c r="T3147" s="462">
        <v>1</v>
      </c>
      <c r="U3147" s="460" t="s">
        <v>2376</v>
      </c>
      <c r="V3147" s="475">
        <v>0</v>
      </c>
      <c r="W3147" s="463" t="s">
        <v>2278</v>
      </c>
      <c r="X3147" s="463" t="s">
        <v>2278</v>
      </c>
      <c r="Y3147" s="463" t="s">
        <v>2278</v>
      </c>
      <c r="Z3147" s="463"/>
      <c r="AA3147" s="463"/>
      <c r="AB3147" s="464">
        <v>681.07035252643004</v>
      </c>
      <c r="AC3147" s="465">
        <v>1</v>
      </c>
      <c r="AD3147" s="465">
        <v>1.1449506640663339E-3</v>
      </c>
      <c r="AE3147" s="476">
        <v>681.07035252643004</v>
      </c>
      <c r="AF3147" s="467">
        <v>1</v>
      </c>
      <c r="AG3147" s="468">
        <v>1.1449506640663339E-3</v>
      </c>
      <c r="AH3147" s="218">
        <v>681.07035252643004</v>
      </c>
      <c r="AI3147" s="470">
        <v>1</v>
      </c>
      <c r="AJ3147" s="471">
        <v>1.1449506640663339E-3</v>
      </c>
      <c r="AK3147" s="218">
        <v>681.07035252643004</v>
      </c>
      <c r="AL3147" s="470">
        <v>1</v>
      </c>
      <c r="AM3147" s="471">
        <v>1.1449506640663339E-3</v>
      </c>
      <c r="AN3147" s="477">
        <v>681.07035252643004</v>
      </c>
      <c r="AO3147" s="473">
        <v>1</v>
      </c>
      <c r="AP3147" s="474">
        <v>1.1449506640663339E-3</v>
      </c>
      <c r="AQ3147" s="352"/>
      <c r="AR3147" s="352"/>
      <c r="AS3147" s="352"/>
      <c r="AT3147" s="352"/>
      <c r="AU3147" s="352"/>
      <c r="AV3147" s="352"/>
      <c r="AW3147" s="352" t="s">
        <v>127</v>
      </c>
    </row>
    <row r="3148" spans="2:49" x14ac:dyDescent="0.2">
      <c r="B3148" s="460" t="s">
        <v>3286</v>
      </c>
      <c r="C3148" s="460">
        <v>4231</v>
      </c>
      <c r="D3148" s="460" t="s">
        <v>2379</v>
      </c>
      <c r="E3148" s="460" t="s">
        <v>2380</v>
      </c>
      <c r="F3148" s="460">
        <v>2</v>
      </c>
      <c r="G3148" s="460">
        <v>5</v>
      </c>
      <c r="H3148" s="461" t="s">
        <v>754</v>
      </c>
      <c r="I3148" s="461" t="s">
        <v>1991</v>
      </c>
      <c r="J3148" s="461" t="s">
        <v>754</v>
      </c>
      <c r="K3148" s="594"/>
      <c r="L3148" s="594"/>
      <c r="M3148" s="352">
        <v>4000</v>
      </c>
      <c r="N3148" s="352" t="s">
        <v>716</v>
      </c>
      <c r="O3148" s="460">
        <v>4231</v>
      </c>
      <c r="P3148" s="460" t="s">
        <v>774</v>
      </c>
      <c r="Q3148" s="460" t="s">
        <v>2377</v>
      </c>
      <c r="R3148" s="460">
        <v>4231</v>
      </c>
      <c r="S3148" s="460" t="s">
        <v>2380</v>
      </c>
      <c r="T3148" s="462">
        <v>1</v>
      </c>
      <c r="U3148" s="460" t="s">
        <v>2380</v>
      </c>
      <c r="V3148" s="475">
        <v>0</v>
      </c>
      <c r="W3148" s="463" t="s">
        <v>2278</v>
      </c>
      <c r="X3148" s="463" t="s">
        <v>2278</v>
      </c>
      <c r="Y3148" s="463" t="s">
        <v>2278</v>
      </c>
      <c r="Z3148" s="463"/>
      <c r="AA3148" s="463"/>
      <c r="AB3148" s="464">
        <v>448.96699959429731</v>
      </c>
      <c r="AC3148" s="465">
        <v>1</v>
      </c>
      <c r="AD3148" s="465">
        <v>8.8410747686265339E-4</v>
      </c>
      <c r="AE3148" s="476">
        <v>448.96699959429731</v>
      </c>
      <c r="AF3148" s="467">
        <v>1</v>
      </c>
      <c r="AG3148" s="468">
        <v>8.8410747686265339E-4</v>
      </c>
      <c r="AH3148" s="218">
        <v>448.96699959429731</v>
      </c>
      <c r="AI3148" s="470">
        <v>1</v>
      </c>
      <c r="AJ3148" s="471">
        <v>8.8410747686265339E-4</v>
      </c>
      <c r="AK3148" s="218">
        <v>448.96699959429731</v>
      </c>
      <c r="AL3148" s="470">
        <v>1</v>
      </c>
      <c r="AM3148" s="471">
        <v>8.8410747686265339E-4</v>
      </c>
      <c r="AN3148" s="477">
        <v>448.96699959429731</v>
      </c>
      <c r="AO3148" s="473">
        <v>1</v>
      </c>
      <c r="AP3148" s="474">
        <v>8.8410747686265339E-4</v>
      </c>
      <c r="AQ3148" s="352"/>
      <c r="AR3148" s="352"/>
      <c r="AS3148" s="352"/>
      <c r="AT3148" s="352"/>
      <c r="AU3148" s="352"/>
      <c r="AV3148" s="352"/>
      <c r="AW3148" s="352" t="s">
        <v>127</v>
      </c>
    </row>
    <row r="3149" spans="2:49" x14ac:dyDescent="0.2">
      <c r="B3149" s="460" t="s">
        <v>3287</v>
      </c>
      <c r="C3149" s="460">
        <v>4231</v>
      </c>
      <c r="D3149" s="460" t="s">
        <v>2382</v>
      </c>
      <c r="E3149" s="460" t="s">
        <v>2383</v>
      </c>
      <c r="F3149" s="460">
        <v>3</v>
      </c>
      <c r="G3149" s="460">
        <v>5</v>
      </c>
      <c r="H3149" s="461" t="s">
        <v>754</v>
      </c>
      <c r="I3149" s="461" t="s">
        <v>1991</v>
      </c>
      <c r="J3149" s="461" t="s">
        <v>754</v>
      </c>
      <c r="K3149" s="594"/>
      <c r="L3149" s="594"/>
      <c r="M3149" s="352">
        <v>4000</v>
      </c>
      <c r="N3149" s="352" t="s">
        <v>716</v>
      </c>
      <c r="O3149" s="460">
        <v>4231</v>
      </c>
      <c r="P3149" s="460" t="s">
        <v>774</v>
      </c>
      <c r="Q3149" s="460" t="s">
        <v>2377</v>
      </c>
      <c r="R3149" s="460">
        <v>4231</v>
      </c>
      <c r="S3149" s="460" t="s">
        <v>2383</v>
      </c>
      <c r="T3149" s="462">
        <v>1</v>
      </c>
      <c r="U3149" s="460" t="s">
        <v>2383</v>
      </c>
      <c r="V3149" s="475">
        <v>0</v>
      </c>
      <c r="W3149" s="463" t="s">
        <v>2278</v>
      </c>
      <c r="X3149" s="463" t="s">
        <v>2278</v>
      </c>
      <c r="Y3149" s="463" t="s">
        <v>2278</v>
      </c>
      <c r="Z3149" s="463"/>
      <c r="AA3149" s="463"/>
      <c r="AB3149" s="464">
        <v>59.043922808246393</v>
      </c>
      <c r="AC3149" s="465">
        <v>1</v>
      </c>
      <c r="AD3149" s="465">
        <v>5.2482124429540603E-4</v>
      </c>
      <c r="AE3149" s="476">
        <v>59.043922808246393</v>
      </c>
      <c r="AF3149" s="467">
        <v>1</v>
      </c>
      <c r="AG3149" s="468">
        <v>5.2482124429540603E-4</v>
      </c>
      <c r="AH3149" s="218">
        <v>59.043922808246393</v>
      </c>
      <c r="AI3149" s="470">
        <v>1</v>
      </c>
      <c r="AJ3149" s="471">
        <v>5.2482124429540603E-4</v>
      </c>
      <c r="AK3149" s="218">
        <v>59.043922808246393</v>
      </c>
      <c r="AL3149" s="470">
        <v>1</v>
      </c>
      <c r="AM3149" s="471">
        <v>5.2482124429540603E-4</v>
      </c>
      <c r="AN3149" s="477">
        <v>59.043922808246393</v>
      </c>
      <c r="AO3149" s="473">
        <v>1</v>
      </c>
      <c r="AP3149" s="474">
        <v>5.2482124429540603E-4</v>
      </c>
      <c r="AQ3149" s="352"/>
      <c r="AR3149" s="352"/>
      <c r="AS3149" s="352"/>
      <c r="AT3149" s="352"/>
      <c r="AU3149" s="352"/>
      <c r="AV3149" s="352"/>
      <c r="AW3149" s="352" t="s">
        <v>127</v>
      </c>
    </row>
    <row r="3150" spans="2:49" x14ac:dyDescent="0.2">
      <c r="B3150" s="460" t="s">
        <v>3288</v>
      </c>
      <c r="C3150" s="460">
        <v>4231</v>
      </c>
      <c r="D3150" s="460" t="s">
        <v>2385</v>
      </c>
      <c r="E3150" s="460" t="s">
        <v>2386</v>
      </c>
      <c r="F3150" s="460">
        <v>4</v>
      </c>
      <c r="G3150" s="460">
        <v>5</v>
      </c>
      <c r="H3150" s="461" t="s">
        <v>754</v>
      </c>
      <c r="I3150" s="461" t="s">
        <v>1991</v>
      </c>
      <c r="J3150" s="461" t="s">
        <v>754</v>
      </c>
      <c r="K3150" s="594"/>
      <c r="L3150" s="594"/>
      <c r="M3150" s="352">
        <v>4000</v>
      </c>
      <c r="N3150" s="352" t="s">
        <v>716</v>
      </c>
      <c r="O3150" s="460">
        <v>4231</v>
      </c>
      <c r="P3150" s="460" t="s">
        <v>774</v>
      </c>
      <c r="Q3150" s="460" t="s">
        <v>2377</v>
      </c>
      <c r="R3150" s="460">
        <v>4231</v>
      </c>
      <c r="S3150" s="460" t="s">
        <v>2386</v>
      </c>
      <c r="T3150" s="462">
        <v>1</v>
      </c>
      <c r="U3150" s="460" t="s">
        <v>2386</v>
      </c>
      <c r="V3150" s="475">
        <v>0</v>
      </c>
      <c r="W3150" s="463" t="s">
        <v>2278</v>
      </c>
      <c r="X3150" s="463" t="s">
        <v>2278</v>
      </c>
      <c r="Y3150" s="463" t="s">
        <v>2278</v>
      </c>
      <c r="Z3150" s="463"/>
      <c r="AA3150" s="463"/>
      <c r="AB3150" s="464">
        <v>34.618098879364851</v>
      </c>
      <c r="AC3150" s="465">
        <v>1</v>
      </c>
      <c r="AD3150" s="465">
        <v>6.4219126475136999E-4</v>
      </c>
      <c r="AE3150" s="476">
        <v>34.618098879364851</v>
      </c>
      <c r="AF3150" s="467">
        <v>1</v>
      </c>
      <c r="AG3150" s="468">
        <v>6.4219126475136999E-4</v>
      </c>
      <c r="AH3150" s="218">
        <v>34.618098879364851</v>
      </c>
      <c r="AI3150" s="470">
        <v>1</v>
      </c>
      <c r="AJ3150" s="471">
        <v>6.4219126475136999E-4</v>
      </c>
      <c r="AK3150" s="218">
        <v>34.618098879364851</v>
      </c>
      <c r="AL3150" s="470">
        <v>1</v>
      </c>
      <c r="AM3150" s="471">
        <v>6.4219126475136999E-4</v>
      </c>
      <c r="AN3150" s="477">
        <v>34.618098879364851</v>
      </c>
      <c r="AO3150" s="473">
        <v>1</v>
      </c>
      <c r="AP3150" s="474">
        <v>6.4219126475136999E-4</v>
      </c>
      <c r="AQ3150" s="352"/>
      <c r="AR3150" s="352"/>
      <c r="AS3150" s="352"/>
      <c r="AT3150" s="352"/>
      <c r="AU3150" s="352"/>
      <c r="AV3150" s="352"/>
      <c r="AW3150" s="352" t="s">
        <v>127</v>
      </c>
    </row>
    <row r="3151" spans="2:49" x14ac:dyDescent="0.2">
      <c r="B3151" s="460" t="s">
        <v>3289</v>
      </c>
      <c r="C3151" s="460">
        <v>4231</v>
      </c>
      <c r="D3151" s="460" t="s">
        <v>2388</v>
      </c>
      <c r="E3151" s="460" t="s">
        <v>2389</v>
      </c>
      <c r="F3151" s="460">
        <v>1</v>
      </c>
      <c r="G3151" s="460">
        <v>6</v>
      </c>
      <c r="H3151" s="461" t="s">
        <v>754</v>
      </c>
      <c r="I3151" s="461" t="s">
        <v>1991</v>
      </c>
      <c r="J3151" s="461" t="s">
        <v>754</v>
      </c>
      <c r="K3151" s="594"/>
      <c r="L3151" s="594"/>
      <c r="M3151" s="352">
        <v>4000</v>
      </c>
      <c r="N3151" s="352" t="s">
        <v>716</v>
      </c>
      <c r="O3151" s="460">
        <v>4231</v>
      </c>
      <c r="P3151" s="460" t="s">
        <v>774</v>
      </c>
      <c r="Q3151" s="460" t="s">
        <v>2377</v>
      </c>
      <c r="R3151" s="460">
        <v>4231</v>
      </c>
      <c r="S3151" s="460" t="s">
        <v>2389</v>
      </c>
      <c r="T3151" s="462">
        <v>1</v>
      </c>
      <c r="U3151" s="460" t="s">
        <v>2389</v>
      </c>
      <c r="V3151" s="475">
        <v>0</v>
      </c>
      <c r="W3151" s="463" t="s">
        <v>2278</v>
      </c>
      <c r="X3151" s="463" t="s">
        <v>2278</v>
      </c>
      <c r="Y3151" s="463" t="s">
        <v>2278</v>
      </c>
      <c r="Z3151" s="463"/>
      <c r="AA3151" s="463"/>
      <c r="AB3151" s="464">
        <v>0</v>
      </c>
      <c r="AC3151" s="465">
        <v>0</v>
      </c>
      <c r="AD3151" s="465">
        <v>0</v>
      </c>
      <c r="AE3151" s="476">
        <v>0</v>
      </c>
      <c r="AF3151" s="467">
        <v>0</v>
      </c>
      <c r="AG3151" s="468">
        <v>0</v>
      </c>
      <c r="AH3151" s="218">
        <v>0</v>
      </c>
      <c r="AI3151" s="470">
        <v>0</v>
      </c>
      <c r="AJ3151" s="471">
        <v>0</v>
      </c>
      <c r="AK3151" s="218">
        <v>0</v>
      </c>
      <c r="AL3151" s="470">
        <v>0</v>
      </c>
      <c r="AM3151" s="471">
        <v>0</v>
      </c>
      <c r="AN3151" s="477">
        <v>0</v>
      </c>
      <c r="AO3151" s="473">
        <v>0</v>
      </c>
      <c r="AP3151" s="474">
        <v>0</v>
      </c>
      <c r="AQ3151" s="352"/>
      <c r="AR3151" s="352"/>
      <c r="AS3151" s="352"/>
      <c r="AT3151" s="352"/>
      <c r="AU3151" s="352"/>
      <c r="AV3151" s="352"/>
      <c r="AW3151" s="352" t="s">
        <v>127</v>
      </c>
    </row>
    <row r="3152" spans="2:49" x14ac:dyDescent="0.2">
      <c r="B3152" s="460" t="s">
        <v>3290</v>
      </c>
      <c r="C3152" s="460">
        <v>4231</v>
      </c>
      <c r="D3152" s="460" t="s">
        <v>2391</v>
      </c>
      <c r="E3152" s="460" t="s">
        <v>2392</v>
      </c>
      <c r="F3152" s="460">
        <v>2</v>
      </c>
      <c r="G3152" s="460">
        <v>6</v>
      </c>
      <c r="H3152" s="461" t="s">
        <v>754</v>
      </c>
      <c r="I3152" s="461" t="s">
        <v>1991</v>
      </c>
      <c r="J3152" s="461" t="s">
        <v>754</v>
      </c>
      <c r="K3152" s="594"/>
      <c r="L3152" s="594"/>
      <c r="M3152" s="352">
        <v>4000</v>
      </c>
      <c r="N3152" s="352" t="s">
        <v>716</v>
      </c>
      <c r="O3152" s="460">
        <v>4231</v>
      </c>
      <c r="P3152" s="460" t="s">
        <v>774</v>
      </c>
      <c r="Q3152" s="460" t="s">
        <v>2377</v>
      </c>
      <c r="R3152" s="460">
        <v>4231</v>
      </c>
      <c r="S3152" s="460" t="s">
        <v>2392</v>
      </c>
      <c r="T3152" s="462">
        <v>1</v>
      </c>
      <c r="U3152" s="460" t="s">
        <v>2392</v>
      </c>
      <c r="V3152" s="475">
        <v>0</v>
      </c>
      <c r="W3152" s="463" t="s">
        <v>2278</v>
      </c>
      <c r="X3152" s="463" t="s">
        <v>2278</v>
      </c>
      <c r="Y3152" s="463" t="s">
        <v>2278</v>
      </c>
      <c r="Z3152" s="463"/>
      <c r="AA3152" s="463"/>
      <c r="AB3152" s="464">
        <v>0</v>
      </c>
      <c r="AC3152" s="465">
        <v>0</v>
      </c>
      <c r="AD3152" s="465">
        <v>0</v>
      </c>
      <c r="AE3152" s="476">
        <v>0</v>
      </c>
      <c r="AF3152" s="467">
        <v>0</v>
      </c>
      <c r="AG3152" s="468">
        <v>0</v>
      </c>
      <c r="AH3152" s="218">
        <v>0</v>
      </c>
      <c r="AI3152" s="470">
        <v>0</v>
      </c>
      <c r="AJ3152" s="471">
        <v>0</v>
      </c>
      <c r="AK3152" s="218">
        <v>0</v>
      </c>
      <c r="AL3152" s="470">
        <v>0</v>
      </c>
      <c r="AM3152" s="471">
        <v>0</v>
      </c>
      <c r="AN3152" s="477">
        <v>0</v>
      </c>
      <c r="AO3152" s="473">
        <v>0</v>
      </c>
      <c r="AP3152" s="474">
        <v>0</v>
      </c>
      <c r="AQ3152" s="352"/>
      <c r="AR3152" s="352"/>
      <c r="AS3152" s="352"/>
      <c r="AT3152" s="352"/>
      <c r="AU3152" s="352"/>
      <c r="AV3152" s="352"/>
      <c r="AW3152" s="352" t="s">
        <v>127</v>
      </c>
    </row>
    <row r="3153" spans="2:49" x14ac:dyDescent="0.2">
      <c r="B3153" s="460" t="s">
        <v>3291</v>
      </c>
      <c r="C3153" s="460">
        <v>4231</v>
      </c>
      <c r="D3153" s="460" t="s">
        <v>2394</v>
      </c>
      <c r="E3153" s="460" t="s">
        <v>2395</v>
      </c>
      <c r="F3153" s="460">
        <v>3</v>
      </c>
      <c r="G3153" s="460">
        <v>6</v>
      </c>
      <c r="H3153" s="461" t="s">
        <v>754</v>
      </c>
      <c r="I3153" s="461" t="s">
        <v>1991</v>
      </c>
      <c r="J3153" s="461" t="s">
        <v>754</v>
      </c>
      <c r="K3153" s="594"/>
      <c r="L3153" s="594"/>
      <c r="M3153" s="352">
        <v>4000</v>
      </c>
      <c r="N3153" s="352" t="s">
        <v>716</v>
      </c>
      <c r="O3153" s="460">
        <v>4231</v>
      </c>
      <c r="P3153" s="460" t="s">
        <v>774</v>
      </c>
      <c r="Q3153" s="460" t="s">
        <v>2377</v>
      </c>
      <c r="R3153" s="460">
        <v>4231</v>
      </c>
      <c r="S3153" s="460" t="s">
        <v>2395</v>
      </c>
      <c r="T3153" s="462">
        <v>1</v>
      </c>
      <c r="U3153" s="460" t="s">
        <v>2395</v>
      </c>
      <c r="V3153" s="475">
        <v>0</v>
      </c>
      <c r="W3153" s="463" t="s">
        <v>2278</v>
      </c>
      <c r="X3153" s="463" t="s">
        <v>2278</v>
      </c>
      <c r="Y3153" s="463" t="s">
        <v>2278</v>
      </c>
      <c r="Z3153" s="463"/>
      <c r="AA3153" s="463"/>
      <c r="AB3153" s="464">
        <v>0</v>
      </c>
      <c r="AC3153" s="465">
        <v>0</v>
      </c>
      <c r="AD3153" s="465">
        <v>0</v>
      </c>
      <c r="AE3153" s="476">
        <v>0</v>
      </c>
      <c r="AF3153" s="467">
        <v>0</v>
      </c>
      <c r="AG3153" s="468">
        <v>0</v>
      </c>
      <c r="AH3153" s="218">
        <v>0</v>
      </c>
      <c r="AI3153" s="470">
        <v>0</v>
      </c>
      <c r="AJ3153" s="471">
        <v>0</v>
      </c>
      <c r="AK3153" s="218">
        <v>0</v>
      </c>
      <c r="AL3153" s="470">
        <v>0</v>
      </c>
      <c r="AM3153" s="471">
        <v>0</v>
      </c>
      <c r="AN3153" s="477">
        <v>0</v>
      </c>
      <c r="AO3153" s="473">
        <v>0</v>
      </c>
      <c r="AP3153" s="474">
        <v>0</v>
      </c>
      <c r="AQ3153" s="352"/>
      <c r="AR3153" s="352"/>
      <c r="AS3153" s="352"/>
      <c r="AT3153" s="352"/>
      <c r="AU3153" s="352"/>
      <c r="AV3153" s="352"/>
      <c r="AW3153" s="352" t="s">
        <v>127</v>
      </c>
    </row>
    <row r="3154" spans="2:49" x14ac:dyDescent="0.2">
      <c r="B3154" s="460" t="s">
        <v>3292</v>
      </c>
      <c r="C3154" s="460">
        <v>4231</v>
      </c>
      <c r="D3154" s="460" t="s">
        <v>2397</v>
      </c>
      <c r="E3154" s="460" t="s">
        <v>2398</v>
      </c>
      <c r="F3154" s="460">
        <v>4</v>
      </c>
      <c r="G3154" s="460">
        <v>6</v>
      </c>
      <c r="H3154" s="461" t="s">
        <v>754</v>
      </c>
      <c r="I3154" s="461" t="s">
        <v>1991</v>
      </c>
      <c r="J3154" s="461" t="s">
        <v>754</v>
      </c>
      <c r="K3154" s="594"/>
      <c r="L3154" s="594"/>
      <c r="M3154" s="352">
        <v>4000</v>
      </c>
      <c r="N3154" s="352" t="s">
        <v>716</v>
      </c>
      <c r="O3154" s="460">
        <v>4231</v>
      </c>
      <c r="P3154" s="460" t="s">
        <v>774</v>
      </c>
      <c r="Q3154" s="460" t="s">
        <v>2377</v>
      </c>
      <c r="R3154" s="460">
        <v>4231</v>
      </c>
      <c r="S3154" s="460" t="s">
        <v>2398</v>
      </c>
      <c r="T3154" s="462">
        <v>1</v>
      </c>
      <c r="U3154" s="460" t="s">
        <v>2398</v>
      </c>
      <c r="V3154" s="475">
        <v>0</v>
      </c>
      <c r="W3154" s="463" t="s">
        <v>2278</v>
      </c>
      <c r="X3154" s="463" t="s">
        <v>2278</v>
      </c>
      <c r="Y3154" s="463" t="s">
        <v>2278</v>
      </c>
      <c r="Z3154" s="463"/>
      <c r="AA3154" s="463"/>
      <c r="AB3154" s="464">
        <v>0</v>
      </c>
      <c r="AC3154" s="465">
        <v>0</v>
      </c>
      <c r="AD3154" s="465">
        <v>0</v>
      </c>
      <c r="AE3154" s="476">
        <v>0</v>
      </c>
      <c r="AF3154" s="467">
        <v>0</v>
      </c>
      <c r="AG3154" s="468">
        <v>0</v>
      </c>
      <c r="AH3154" s="218">
        <v>0</v>
      </c>
      <c r="AI3154" s="470">
        <v>0</v>
      </c>
      <c r="AJ3154" s="471">
        <v>0</v>
      </c>
      <c r="AK3154" s="218">
        <v>0</v>
      </c>
      <c r="AL3154" s="470">
        <v>0</v>
      </c>
      <c r="AM3154" s="471">
        <v>0</v>
      </c>
      <c r="AN3154" s="477">
        <v>0</v>
      </c>
      <c r="AO3154" s="473">
        <v>0</v>
      </c>
      <c r="AP3154" s="474">
        <v>0</v>
      </c>
      <c r="AQ3154" s="352"/>
      <c r="AR3154" s="352"/>
      <c r="AS3154" s="352"/>
      <c r="AT3154" s="352"/>
      <c r="AU3154" s="352"/>
      <c r="AV3154" s="352"/>
      <c r="AW3154" s="352" t="s">
        <v>127</v>
      </c>
    </row>
    <row r="3155" spans="2:49" x14ac:dyDescent="0.2">
      <c r="B3155" s="460" t="s">
        <v>3293</v>
      </c>
      <c r="C3155" s="460">
        <v>4241</v>
      </c>
      <c r="D3155" s="460" t="s">
        <v>2264</v>
      </c>
      <c r="E3155" s="460" t="s">
        <v>2265</v>
      </c>
      <c r="F3155" s="460">
        <v>1</v>
      </c>
      <c r="G3155" s="460">
        <v>1</v>
      </c>
      <c r="H3155" s="461" t="s">
        <v>700</v>
      </c>
      <c r="I3155" s="461" t="s">
        <v>872</v>
      </c>
      <c r="J3155" s="461" t="s">
        <v>700</v>
      </c>
      <c r="K3155" s="594"/>
      <c r="L3155" s="594"/>
      <c r="M3155" s="352">
        <v>4000</v>
      </c>
      <c r="N3155" s="352" t="s">
        <v>716</v>
      </c>
      <c r="O3155" s="460">
        <v>4241</v>
      </c>
      <c r="P3155" s="460" t="s">
        <v>777</v>
      </c>
      <c r="Q3155" s="460" t="s">
        <v>2440</v>
      </c>
      <c r="R3155" s="460">
        <v>4241</v>
      </c>
      <c r="S3155" s="460" t="s">
        <v>2265</v>
      </c>
      <c r="T3155" s="462">
        <v>1</v>
      </c>
      <c r="U3155" s="460" t="s">
        <v>2265</v>
      </c>
      <c r="V3155" s="475">
        <v>0</v>
      </c>
      <c r="W3155" s="463" t="s">
        <v>2267</v>
      </c>
      <c r="X3155" s="463" t="s">
        <v>2267</v>
      </c>
      <c r="Y3155" s="463" t="s">
        <v>2268</v>
      </c>
      <c r="Z3155" s="463"/>
      <c r="AA3155" s="463"/>
      <c r="AB3155" s="464">
        <v>1622.6550577952582</v>
      </c>
      <c r="AC3155" s="465">
        <v>0.5599732436556365</v>
      </c>
      <c r="AD3155" s="465">
        <v>1.5047586508511431E-2</v>
      </c>
      <c r="AE3155" s="476">
        <v>1622.6550577952582</v>
      </c>
      <c r="AF3155" s="467">
        <v>0.5599732436556365</v>
      </c>
      <c r="AG3155" s="468">
        <v>1.6073971698747053E-2</v>
      </c>
      <c r="AH3155" s="218">
        <v>1622.6550577952582</v>
      </c>
      <c r="AI3155" s="470">
        <v>0.5599732436556365</v>
      </c>
      <c r="AJ3155" s="471">
        <v>1.547256636985518E-2</v>
      </c>
      <c r="AK3155" s="218">
        <v>1622.6550577952582</v>
      </c>
      <c r="AL3155" s="470">
        <v>0.5599732436556365</v>
      </c>
      <c r="AM3155" s="471">
        <v>1.547256636985518E-2</v>
      </c>
      <c r="AN3155" s="477">
        <v>0</v>
      </c>
      <c r="AO3155" s="473">
        <v>0</v>
      </c>
      <c r="AP3155" s="474">
        <v>0</v>
      </c>
      <c r="AQ3155" s="352"/>
      <c r="AR3155" s="352"/>
      <c r="AS3155" s="352"/>
      <c r="AT3155" s="352"/>
      <c r="AU3155" s="352"/>
      <c r="AV3155" s="352"/>
      <c r="AW3155" s="352" t="s">
        <v>254</v>
      </c>
    </row>
    <row r="3156" spans="2:49" x14ac:dyDescent="0.2">
      <c r="B3156" s="460" t="s">
        <v>3294</v>
      </c>
      <c r="C3156" s="460">
        <v>4241</v>
      </c>
      <c r="D3156" s="460" t="s">
        <v>2270</v>
      </c>
      <c r="E3156" s="460" t="s">
        <v>2271</v>
      </c>
      <c r="F3156" s="460">
        <v>2</v>
      </c>
      <c r="G3156" s="460">
        <v>1</v>
      </c>
      <c r="H3156" s="461" t="s">
        <v>700</v>
      </c>
      <c r="I3156" s="461" t="s">
        <v>872</v>
      </c>
      <c r="J3156" s="461" t="s">
        <v>700</v>
      </c>
      <c r="K3156" s="594"/>
      <c r="L3156" s="594"/>
      <c r="M3156" s="352">
        <v>4000</v>
      </c>
      <c r="N3156" s="352" t="s">
        <v>716</v>
      </c>
      <c r="O3156" s="460">
        <v>4241</v>
      </c>
      <c r="P3156" s="460" t="s">
        <v>777</v>
      </c>
      <c r="Q3156" s="460" t="s">
        <v>2440</v>
      </c>
      <c r="R3156" s="460">
        <v>4241</v>
      </c>
      <c r="S3156" s="460" t="s">
        <v>2265</v>
      </c>
      <c r="T3156" s="462">
        <v>1</v>
      </c>
      <c r="U3156" s="460" t="s">
        <v>2271</v>
      </c>
      <c r="V3156" s="475">
        <v>0</v>
      </c>
      <c r="W3156" s="463" t="s">
        <v>2503</v>
      </c>
      <c r="X3156" s="463" t="s">
        <v>2267</v>
      </c>
      <c r="Y3156" s="463" t="s">
        <v>2268</v>
      </c>
      <c r="Z3156" s="463"/>
      <c r="AA3156" s="463"/>
      <c r="AB3156" s="464">
        <v>1175.6064106035451</v>
      </c>
      <c r="AC3156" s="465">
        <v>0.60937246253424682</v>
      </c>
      <c r="AD3156" s="465">
        <v>1.4585505494490811E-2</v>
      </c>
      <c r="AE3156" s="476">
        <v>705.36384636212699</v>
      </c>
      <c r="AF3156" s="467">
        <v>0.36562347752054808</v>
      </c>
      <c r="AG3156" s="468">
        <v>9.4834482828280425E-3</v>
      </c>
      <c r="AH3156" s="218">
        <v>1175.6064106035451</v>
      </c>
      <c r="AI3156" s="470">
        <v>0.60937246253424682</v>
      </c>
      <c r="AJ3156" s="471">
        <v>1.3879678908263535E-2</v>
      </c>
      <c r="AK3156" s="218">
        <v>1175.6064106035451</v>
      </c>
      <c r="AL3156" s="470">
        <v>0.60937246253424682</v>
      </c>
      <c r="AM3156" s="471">
        <v>1.3879678908263535E-2</v>
      </c>
      <c r="AN3156" s="477">
        <v>0</v>
      </c>
      <c r="AO3156" s="473">
        <v>0</v>
      </c>
      <c r="AP3156" s="474">
        <v>0</v>
      </c>
      <c r="AQ3156" s="352"/>
      <c r="AR3156" s="352"/>
      <c r="AS3156" s="352"/>
      <c r="AT3156" s="352"/>
      <c r="AU3156" s="352"/>
      <c r="AV3156" s="352"/>
      <c r="AW3156" s="352" t="s">
        <v>254</v>
      </c>
    </row>
    <row r="3157" spans="2:49" x14ac:dyDescent="0.2">
      <c r="B3157" s="460" t="s">
        <v>3295</v>
      </c>
      <c r="C3157" s="460">
        <v>4241</v>
      </c>
      <c r="D3157" s="460" t="s">
        <v>2273</v>
      </c>
      <c r="E3157" s="460" t="s">
        <v>2274</v>
      </c>
      <c r="F3157" s="460">
        <v>3</v>
      </c>
      <c r="G3157" s="460">
        <v>1</v>
      </c>
      <c r="H3157" s="461" t="s">
        <v>700</v>
      </c>
      <c r="I3157" s="461" t="s">
        <v>872</v>
      </c>
      <c r="J3157" s="461" t="s">
        <v>700</v>
      </c>
      <c r="K3157" s="594"/>
      <c r="L3157" s="594"/>
      <c r="M3157" s="352">
        <v>4000</v>
      </c>
      <c r="N3157" s="352" t="s">
        <v>716</v>
      </c>
      <c r="O3157" s="460">
        <v>4241</v>
      </c>
      <c r="P3157" s="460" t="s">
        <v>777</v>
      </c>
      <c r="Q3157" s="460" t="s">
        <v>2440</v>
      </c>
      <c r="R3157" s="460">
        <v>4241</v>
      </c>
      <c r="S3157" s="460" t="s">
        <v>2265</v>
      </c>
      <c r="T3157" s="462">
        <v>0.74223365950407583</v>
      </c>
      <c r="U3157" s="460" t="s">
        <v>2274</v>
      </c>
      <c r="V3157" s="475">
        <v>0</v>
      </c>
      <c r="W3157" s="463" t="s">
        <v>2503</v>
      </c>
      <c r="X3157" s="463" t="s">
        <v>2267</v>
      </c>
      <c r="Y3157" s="463" t="s">
        <v>2268</v>
      </c>
      <c r="Z3157" s="463"/>
      <c r="AA3157" s="463"/>
      <c r="AB3157" s="464">
        <v>206.48331182729524</v>
      </c>
      <c r="AC3157" s="465">
        <v>0.1723137045659561</v>
      </c>
      <c r="AD3157" s="465">
        <v>1.0214658344720485E-2</v>
      </c>
      <c r="AE3157" s="476">
        <v>123.88998709637713</v>
      </c>
      <c r="AF3157" s="467">
        <v>0.10338822273957365</v>
      </c>
      <c r="AG3157" s="468">
        <v>6.6385517056279176E-3</v>
      </c>
      <c r="AH3157" s="218">
        <v>498.05013188662065</v>
      </c>
      <c r="AI3157" s="470">
        <v>0.4156309898628906</v>
      </c>
      <c r="AJ3157" s="471">
        <v>1.9326379670236572E-2</v>
      </c>
      <c r="AK3157" s="218">
        <v>498.05013188662065</v>
      </c>
      <c r="AL3157" s="470">
        <v>0.4156309898628906</v>
      </c>
      <c r="AM3157" s="471">
        <v>1.9326379670236572E-2</v>
      </c>
      <c r="AN3157" s="477">
        <v>0</v>
      </c>
      <c r="AO3157" s="473">
        <v>0</v>
      </c>
      <c r="AP3157" s="474">
        <v>0</v>
      </c>
      <c r="AQ3157" s="352"/>
      <c r="AR3157" s="352"/>
      <c r="AS3157" s="352"/>
      <c r="AT3157" s="352"/>
      <c r="AU3157" s="352"/>
      <c r="AV3157" s="352"/>
      <c r="AW3157" s="352" t="s">
        <v>254</v>
      </c>
    </row>
    <row r="3158" spans="2:49" x14ac:dyDescent="0.2">
      <c r="B3158" s="460" t="s">
        <v>3296</v>
      </c>
      <c r="C3158" s="460">
        <v>4241</v>
      </c>
      <c r="D3158" s="460" t="s">
        <v>2276</v>
      </c>
      <c r="E3158" s="460" t="s">
        <v>2277</v>
      </c>
      <c r="F3158" s="460">
        <v>4</v>
      </c>
      <c r="G3158" s="460">
        <v>1</v>
      </c>
      <c r="H3158" s="461" t="s">
        <v>700</v>
      </c>
      <c r="I3158" s="461" t="s">
        <v>872</v>
      </c>
      <c r="J3158" s="461" t="s">
        <v>700</v>
      </c>
      <c r="K3158" s="594"/>
      <c r="L3158" s="594"/>
      <c r="M3158" s="352">
        <v>4000</v>
      </c>
      <c r="N3158" s="352" t="s">
        <v>716</v>
      </c>
      <c r="O3158" s="460">
        <v>4241</v>
      </c>
      <c r="P3158" s="460" t="s">
        <v>777</v>
      </c>
      <c r="Q3158" s="460" t="s">
        <v>2440</v>
      </c>
      <c r="R3158" s="460">
        <v>4241</v>
      </c>
      <c r="S3158" s="460" t="s">
        <v>2277</v>
      </c>
      <c r="T3158" s="462">
        <v>1</v>
      </c>
      <c r="U3158" s="460" t="s">
        <v>2277</v>
      </c>
      <c r="V3158" s="475">
        <v>0</v>
      </c>
      <c r="W3158" s="463" t="s">
        <v>2503</v>
      </c>
      <c r="X3158" s="463" t="s">
        <v>2278</v>
      </c>
      <c r="Y3158" s="463" t="s">
        <v>2268</v>
      </c>
      <c r="Z3158" s="463"/>
      <c r="AA3158" s="463"/>
      <c r="AB3158" s="464">
        <v>20.526581545467025</v>
      </c>
      <c r="AC3158" s="465">
        <v>1</v>
      </c>
      <c r="AD3158" s="465">
        <v>8.2849587731785662E-2</v>
      </c>
      <c r="AE3158" s="476">
        <v>12.315948927280214</v>
      </c>
      <c r="AF3158" s="467">
        <v>0.6</v>
      </c>
      <c r="AG3158" s="468">
        <v>5.557288311678777E-2</v>
      </c>
      <c r="AH3158" s="218">
        <v>20.526581545467025</v>
      </c>
      <c r="AI3158" s="470">
        <v>1</v>
      </c>
      <c r="AJ3158" s="471">
        <v>8.8773671539358265E-2</v>
      </c>
      <c r="AK3158" s="218">
        <v>20.526581545467025</v>
      </c>
      <c r="AL3158" s="470">
        <v>1</v>
      </c>
      <c r="AM3158" s="471">
        <v>8.8773671539358265E-2</v>
      </c>
      <c r="AN3158" s="477">
        <v>0</v>
      </c>
      <c r="AO3158" s="473">
        <v>0</v>
      </c>
      <c r="AP3158" s="474">
        <v>0</v>
      </c>
      <c r="AQ3158" s="352"/>
      <c r="AR3158" s="352"/>
      <c r="AS3158" s="352"/>
      <c r="AT3158" s="352"/>
      <c r="AU3158" s="352"/>
      <c r="AV3158" s="352"/>
      <c r="AW3158" s="352" t="s">
        <v>254</v>
      </c>
    </row>
    <row r="3159" spans="2:49" x14ac:dyDescent="0.2">
      <c r="B3159" s="460" t="s">
        <v>3293</v>
      </c>
      <c r="C3159" s="460">
        <v>4241</v>
      </c>
      <c r="D3159" s="460" t="s">
        <v>2279</v>
      </c>
      <c r="E3159" s="460" t="s">
        <v>2265</v>
      </c>
      <c r="F3159" s="460">
        <v>1</v>
      </c>
      <c r="G3159" s="460">
        <v>1</v>
      </c>
      <c r="H3159" s="461" t="s">
        <v>712</v>
      </c>
      <c r="I3159" s="461" t="s">
        <v>713</v>
      </c>
      <c r="J3159" s="461" t="s">
        <v>712</v>
      </c>
      <c r="K3159" s="594"/>
      <c r="L3159" s="594"/>
      <c r="M3159" s="352">
        <v>4000</v>
      </c>
      <c r="N3159" s="352" t="s">
        <v>716</v>
      </c>
      <c r="O3159" s="460">
        <v>4241</v>
      </c>
      <c r="P3159" s="460" t="s">
        <v>777</v>
      </c>
      <c r="Q3159" s="460" t="s">
        <v>2280</v>
      </c>
      <c r="R3159" s="460">
        <v>4241</v>
      </c>
      <c r="S3159" s="460" t="s">
        <v>2265</v>
      </c>
      <c r="T3159" s="462">
        <v>1</v>
      </c>
      <c r="U3159" s="460" t="s">
        <v>2265</v>
      </c>
      <c r="V3159" s="475">
        <v>0</v>
      </c>
      <c r="W3159" s="463" t="s">
        <v>713</v>
      </c>
      <c r="X3159" s="463" t="s">
        <v>713</v>
      </c>
      <c r="Y3159" s="463" t="s">
        <v>713</v>
      </c>
      <c r="Z3159" s="463"/>
      <c r="AA3159" s="463"/>
      <c r="AB3159" s="464">
        <v>1275.081711201392</v>
      </c>
      <c r="AC3159" s="465">
        <v>0.44002675634436339</v>
      </c>
      <c r="AD3159" s="465">
        <v>4.7103723515437733E-3</v>
      </c>
      <c r="AE3159" s="476">
        <v>1275.0817112013922</v>
      </c>
      <c r="AF3159" s="467">
        <v>0.4400267563443635</v>
      </c>
      <c r="AG3159" s="468">
        <v>4.5935273691324052E-3</v>
      </c>
      <c r="AH3159" s="218">
        <v>1275.0817112013922</v>
      </c>
      <c r="AI3159" s="470">
        <v>0.4400267563443635</v>
      </c>
      <c r="AJ3159" s="471">
        <v>4.6593909547613631E-3</v>
      </c>
      <c r="AK3159" s="218">
        <v>1275.0817112013922</v>
      </c>
      <c r="AL3159" s="470">
        <v>0.4400267563443635</v>
      </c>
      <c r="AM3159" s="471">
        <v>4.6593909547613631E-3</v>
      </c>
      <c r="AN3159" s="477">
        <v>1275.0817112013922</v>
      </c>
      <c r="AO3159" s="473">
        <v>0.4400267563443635</v>
      </c>
      <c r="AP3159" s="474">
        <v>4.6578727383176626E-3</v>
      </c>
      <c r="AQ3159" s="352"/>
      <c r="AR3159" s="352"/>
      <c r="AS3159" s="352"/>
      <c r="AT3159" s="352"/>
      <c r="AU3159" s="352"/>
      <c r="AV3159" s="352"/>
      <c r="AW3159" s="352" t="s">
        <v>254</v>
      </c>
    </row>
    <row r="3160" spans="2:49" x14ac:dyDescent="0.2">
      <c r="B3160" s="460" t="s">
        <v>3294</v>
      </c>
      <c r="C3160" s="460">
        <v>4241</v>
      </c>
      <c r="D3160" s="460" t="s">
        <v>2281</v>
      </c>
      <c r="E3160" s="460" t="s">
        <v>2271</v>
      </c>
      <c r="F3160" s="460">
        <v>2</v>
      </c>
      <c r="G3160" s="460">
        <v>1</v>
      </c>
      <c r="H3160" s="461" t="s">
        <v>712</v>
      </c>
      <c r="I3160" s="461" t="s">
        <v>713</v>
      </c>
      <c r="J3160" s="461" t="s">
        <v>712</v>
      </c>
      <c r="K3160" s="594"/>
      <c r="L3160" s="594"/>
      <c r="M3160" s="352">
        <v>4000</v>
      </c>
      <c r="N3160" s="352" t="s">
        <v>716</v>
      </c>
      <c r="O3160" s="460">
        <v>4241</v>
      </c>
      <c r="P3160" s="460" t="s">
        <v>777</v>
      </c>
      <c r="Q3160" s="460" t="s">
        <v>2280</v>
      </c>
      <c r="R3160" s="460">
        <v>4241</v>
      </c>
      <c r="S3160" s="460" t="s">
        <v>2265</v>
      </c>
      <c r="T3160" s="462">
        <v>1</v>
      </c>
      <c r="U3160" s="460" t="s">
        <v>2271</v>
      </c>
      <c r="V3160" s="475">
        <v>0</v>
      </c>
      <c r="W3160" s="463" t="s">
        <v>713</v>
      </c>
      <c r="X3160" s="463" t="s">
        <v>713</v>
      </c>
      <c r="Y3160" s="463" t="s">
        <v>713</v>
      </c>
      <c r="Z3160" s="463"/>
      <c r="AA3160" s="463"/>
      <c r="AB3160" s="464">
        <v>753.60188626378476</v>
      </c>
      <c r="AC3160" s="465">
        <v>0.39062753746575318</v>
      </c>
      <c r="AD3160" s="465">
        <v>3.1469816407146342E-3</v>
      </c>
      <c r="AE3160" s="476">
        <v>1223.844450505203</v>
      </c>
      <c r="AF3160" s="467">
        <v>0.63437652247945198</v>
      </c>
      <c r="AG3160" s="468">
        <v>4.9812395091642266E-3</v>
      </c>
      <c r="AH3160" s="218">
        <v>753.60188626378476</v>
      </c>
      <c r="AI3160" s="470">
        <v>0.39062753746575318</v>
      </c>
      <c r="AJ3160" s="471">
        <v>3.2375833464672529E-3</v>
      </c>
      <c r="AK3160" s="218">
        <v>753.60188626378476</v>
      </c>
      <c r="AL3160" s="470">
        <v>0.39062753746575318</v>
      </c>
      <c r="AM3160" s="471">
        <v>3.2375833464672529E-3</v>
      </c>
      <c r="AN3160" s="477">
        <v>753.60188626378476</v>
      </c>
      <c r="AO3160" s="473">
        <v>0.39062753746575318</v>
      </c>
      <c r="AP3160" s="474">
        <v>3.2364465247458718E-3</v>
      </c>
      <c r="AQ3160" s="352"/>
      <c r="AR3160" s="352"/>
      <c r="AS3160" s="352"/>
      <c r="AT3160" s="352"/>
      <c r="AU3160" s="352"/>
      <c r="AV3160" s="352"/>
      <c r="AW3160" s="352" t="s">
        <v>254</v>
      </c>
    </row>
    <row r="3161" spans="2:49" x14ac:dyDescent="0.2">
      <c r="B3161" s="460" t="s">
        <v>3295</v>
      </c>
      <c r="C3161" s="460">
        <v>4241</v>
      </c>
      <c r="D3161" s="460" t="s">
        <v>2282</v>
      </c>
      <c r="E3161" s="460" t="s">
        <v>2274</v>
      </c>
      <c r="F3161" s="460">
        <v>3</v>
      </c>
      <c r="G3161" s="460">
        <v>1</v>
      </c>
      <c r="H3161" s="461" t="s">
        <v>712</v>
      </c>
      <c r="I3161" s="461" t="s">
        <v>713</v>
      </c>
      <c r="J3161" s="461" t="s">
        <v>712</v>
      </c>
      <c r="K3161" s="594"/>
      <c r="L3161" s="594"/>
      <c r="M3161" s="352">
        <v>4000</v>
      </c>
      <c r="N3161" s="352" t="s">
        <v>716</v>
      </c>
      <c r="O3161" s="460">
        <v>4241</v>
      </c>
      <c r="P3161" s="460" t="s">
        <v>777</v>
      </c>
      <c r="Q3161" s="460" t="s">
        <v>2280</v>
      </c>
      <c r="R3161" s="460">
        <v>4241</v>
      </c>
      <c r="S3161" s="460" t="s">
        <v>2265</v>
      </c>
      <c r="T3161" s="462">
        <v>0.74223365950407583</v>
      </c>
      <c r="U3161" s="460" t="s">
        <v>2274</v>
      </c>
      <c r="V3161" s="475">
        <v>0</v>
      </c>
      <c r="W3161" s="463" t="s">
        <v>713</v>
      </c>
      <c r="X3161" s="463" t="s">
        <v>713</v>
      </c>
      <c r="Y3161" s="463" t="s">
        <v>713</v>
      </c>
      <c r="Z3161" s="463"/>
      <c r="AA3161" s="463"/>
      <c r="AB3161" s="464">
        <v>991.81552544400313</v>
      </c>
      <c r="AC3161" s="465">
        <v>0.82768629543404382</v>
      </c>
      <c r="AD3161" s="465">
        <v>5.9362266421373452E-3</v>
      </c>
      <c r="AE3161" s="476">
        <v>1074.4088501749213</v>
      </c>
      <c r="AF3161" s="467">
        <v>0.89661177726042629</v>
      </c>
      <c r="AG3161" s="468">
        <v>6.3713731958829501E-3</v>
      </c>
      <c r="AH3161" s="218">
        <v>700.24870538467781</v>
      </c>
      <c r="AI3161" s="470">
        <v>0.5843690101371094</v>
      </c>
      <c r="AJ3161" s="471">
        <v>4.4004824114150815E-3</v>
      </c>
      <c r="AK3161" s="218">
        <v>700.24870538467781</v>
      </c>
      <c r="AL3161" s="470">
        <v>0.5843690101371094</v>
      </c>
      <c r="AM3161" s="471">
        <v>4.4004824114150815E-3</v>
      </c>
      <c r="AN3161" s="477">
        <v>700.24870538467781</v>
      </c>
      <c r="AO3161" s="473">
        <v>0.5843690101371094</v>
      </c>
      <c r="AP3161" s="474">
        <v>4.432227477705027E-3</v>
      </c>
      <c r="AQ3161" s="352"/>
      <c r="AR3161" s="352"/>
      <c r="AS3161" s="352"/>
      <c r="AT3161" s="352"/>
      <c r="AU3161" s="352"/>
      <c r="AV3161" s="352"/>
      <c r="AW3161" s="352" t="s">
        <v>254</v>
      </c>
    </row>
    <row r="3162" spans="2:49" x14ac:dyDescent="0.2">
      <c r="B3162" s="460" t="s">
        <v>3296</v>
      </c>
      <c r="C3162" s="460">
        <v>4241</v>
      </c>
      <c r="D3162" s="460" t="s">
        <v>2283</v>
      </c>
      <c r="E3162" s="460" t="s">
        <v>2277</v>
      </c>
      <c r="F3162" s="460">
        <v>4</v>
      </c>
      <c r="G3162" s="460">
        <v>1</v>
      </c>
      <c r="H3162" s="461" t="s">
        <v>712</v>
      </c>
      <c r="I3162" s="461" t="s">
        <v>713</v>
      </c>
      <c r="J3162" s="461" t="s">
        <v>712</v>
      </c>
      <c r="K3162" s="594"/>
      <c r="L3162" s="594"/>
      <c r="M3162" s="352">
        <v>4000</v>
      </c>
      <c r="N3162" s="352" t="s">
        <v>716</v>
      </c>
      <c r="O3162" s="460">
        <v>4241</v>
      </c>
      <c r="P3162" s="460" t="s">
        <v>777</v>
      </c>
      <c r="Q3162" s="460" t="s">
        <v>2280</v>
      </c>
      <c r="R3162" s="460">
        <v>4241</v>
      </c>
      <c r="S3162" s="460" t="s">
        <v>2277</v>
      </c>
      <c r="T3162" s="462">
        <v>1</v>
      </c>
      <c r="U3162" s="460" t="s">
        <v>2277</v>
      </c>
      <c r="V3162" s="475">
        <v>0</v>
      </c>
      <c r="W3162" s="463" t="s">
        <v>713</v>
      </c>
      <c r="X3162" s="463" t="s">
        <v>713</v>
      </c>
      <c r="Y3162" s="463" t="s">
        <v>713</v>
      </c>
      <c r="Z3162" s="463"/>
      <c r="AA3162" s="463"/>
      <c r="AB3162" s="464">
        <v>0</v>
      </c>
      <c r="AC3162" s="465">
        <v>0</v>
      </c>
      <c r="AD3162" s="465">
        <v>0</v>
      </c>
      <c r="AE3162" s="476">
        <v>8.2106326181868106</v>
      </c>
      <c r="AF3162" s="467">
        <v>0.4</v>
      </c>
      <c r="AG3162" s="468">
        <v>4.2634284521356703E-5</v>
      </c>
      <c r="AH3162" s="218">
        <v>0</v>
      </c>
      <c r="AI3162" s="470">
        <v>0</v>
      </c>
      <c r="AJ3162" s="471">
        <v>0</v>
      </c>
      <c r="AK3162" s="218">
        <v>0</v>
      </c>
      <c r="AL3162" s="470">
        <v>0</v>
      </c>
      <c r="AM3162" s="471">
        <v>0</v>
      </c>
      <c r="AN3162" s="477">
        <v>0</v>
      </c>
      <c r="AO3162" s="473">
        <v>0</v>
      </c>
      <c r="AP3162" s="474">
        <v>0</v>
      </c>
      <c r="AQ3162" s="352"/>
      <c r="AR3162" s="352"/>
      <c r="AS3162" s="352"/>
      <c r="AT3162" s="352"/>
      <c r="AU3162" s="352"/>
      <c r="AV3162" s="352"/>
      <c r="AW3162" s="352" t="s">
        <v>254</v>
      </c>
    </row>
    <row r="3163" spans="2:49" x14ac:dyDescent="0.2">
      <c r="B3163" s="460" t="s">
        <v>3293</v>
      </c>
      <c r="C3163" s="460">
        <v>4241</v>
      </c>
      <c r="D3163" s="460" t="s">
        <v>2284</v>
      </c>
      <c r="E3163" s="460" t="s">
        <v>2265</v>
      </c>
      <c r="F3163" s="460">
        <v>1</v>
      </c>
      <c r="G3163" s="460">
        <v>1</v>
      </c>
      <c r="H3163" s="461" t="s">
        <v>746</v>
      </c>
      <c r="I3163" s="461" t="s">
        <v>762</v>
      </c>
      <c r="J3163" s="461" t="s">
        <v>700</v>
      </c>
      <c r="K3163" s="594"/>
      <c r="L3163" s="594"/>
      <c r="M3163" s="352">
        <v>4000</v>
      </c>
      <c r="N3163" s="352" t="s">
        <v>716</v>
      </c>
      <c r="O3163" s="460">
        <v>4241</v>
      </c>
      <c r="P3163" s="460" t="s">
        <v>777</v>
      </c>
      <c r="Q3163" s="460" t="s">
        <v>2444</v>
      </c>
      <c r="R3163" s="460">
        <v>4241</v>
      </c>
      <c r="S3163" s="460" t="s">
        <v>2265</v>
      </c>
      <c r="T3163" s="462">
        <v>1</v>
      </c>
      <c r="U3163" s="460" t="s">
        <v>2265</v>
      </c>
      <c r="V3163" s="475">
        <v>0</v>
      </c>
      <c r="W3163" s="463" t="s">
        <v>2268</v>
      </c>
      <c r="X3163" s="463" t="s">
        <v>2268</v>
      </c>
      <c r="Y3163" s="463" t="s">
        <v>2290</v>
      </c>
      <c r="Z3163" s="463"/>
      <c r="AA3163" s="463"/>
      <c r="AB3163" s="464">
        <v>0</v>
      </c>
      <c r="AC3163" s="465">
        <v>0</v>
      </c>
      <c r="AD3163" s="465">
        <v>0</v>
      </c>
      <c r="AE3163" s="476">
        <v>0</v>
      </c>
      <c r="AF3163" s="467">
        <v>0</v>
      </c>
      <c r="AG3163" s="468">
        <v>0</v>
      </c>
      <c r="AH3163" s="218">
        <v>0</v>
      </c>
      <c r="AI3163" s="470">
        <v>0</v>
      </c>
      <c r="AJ3163" s="471">
        <v>0</v>
      </c>
      <c r="AK3163" s="218">
        <v>0</v>
      </c>
      <c r="AL3163" s="470">
        <v>0</v>
      </c>
      <c r="AM3163" s="471">
        <v>0</v>
      </c>
      <c r="AN3163" s="477">
        <v>0</v>
      </c>
      <c r="AO3163" s="473">
        <v>0</v>
      </c>
      <c r="AP3163" s="474">
        <v>0</v>
      </c>
      <c r="AQ3163" s="352"/>
      <c r="AR3163" s="352"/>
      <c r="AS3163" s="352"/>
      <c r="AT3163" s="352"/>
      <c r="AU3163" s="352"/>
      <c r="AV3163" s="352"/>
      <c r="AW3163" s="352" t="s">
        <v>254</v>
      </c>
    </row>
    <row r="3164" spans="2:49" x14ac:dyDescent="0.2">
      <c r="B3164" s="460" t="s">
        <v>3294</v>
      </c>
      <c r="C3164" s="460">
        <v>4241</v>
      </c>
      <c r="D3164" s="460" t="s">
        <v>2285</v>
      </c>
      <c r="E3164" s="460" t="s">
        <v>2271</v>
      </c>
      <c r="F3164" s="460">
        <v>2</v>
      </c>
      <c r="G3164" s="460">
        <v>1</v>
      </c>
      <c r="H3164" s="461" t="s">
        <v>746</v>
      </c>
      <c r="I3164" s="461" t="s">
        <v>762</v>
      </c>
      <c r="J3164" s="461" t="s">
        <v>700</v>
      </c>
      <c r="K3164" s="594"/>
      <c r="L3164" s="594"/>
      <c r="M3164" s="352">
        <v>4000</v>
      </c>
      <c r="N3164" s="352" t="s">
        <v>716</v>
      </c>
      <c r="O3164" s="460">
        <v>4241</v>
      </c>
      <c r="P3164" s="460" t="s">
        <v>777</v>
      </c>
      <c r="Q3164" s="460" t="s">
        <v>2444</v>
      </c>
      <c r="R3164" s="460">
        <v>4241</v>
      </c>
      <c r="S3164" s="460" t="s">
        <v>2265</v>
      </c>
      <c r="T3164" s="462">
        <v>1</v>
      </c>
      <c r="U3164" s="460" t="s">
        <v>2271</v>
      </c>
      <c r="V3164" s="475">
        <v>0</v>
      </c>
      <c r="W3164" s="463" t="s">
        <v>2268</v>
      </c>
      <c r="X3164" s="463" t="s">
        <v>2268</v>
      </c>
      <c r="Y3164" s="463" t="s">
        <v>2290</v>
      </c>
      <c r="Z3164" s="463"/>
      <c r="AA3164" s="463"/>
      <c r="AB3164" s="464">
        <v>0</v>
      </c>
      <c r="AC3164" s="465">
        <v>0</v>
      </c>
      <c r="AD3164" s="465">
        <v>0</v>
      </c>
      <c r="AE3164" s="476">
        <v>0</v>
      </c>
      <c r="AF3164" s="467">
        <v>0</v>
      </c>
      <c r="AG3164" s="468">
        <v>0</v>
      </c>
      <c r="AH3164" s="218">
        <v>0</v>
      </c>
      <c r="AI3164" s="470">
        <v>0</v>
      </c>
      <c r="AJ3164" s="471">
        <v>0</v>
      </c>
      <c r="AK3164" s="218">
        <v>0</v>
      </c>
      <c r="AL3164" s="470">
        <v>0</v>
      </c>
      <c r="AM3164" s="471">
        <v>0</v>
      </c>
      <c r="AN3164" s="477">
        <v>0</v>
      </c>
      <c r="AO3164" s="473">
        <v>0</v>
      </c>
      <c r="AP3164" s="474">
        <v>0</v>
      </c>
      <c r="AQ3164" s="352"/>
      <c r="AR3164" s="352"/>
      <c r="AS3164" s="352"/>
      <c r="AT3164" s="352"/>
      <c r="AU3164" s="352"/>
      <c r="AV3164" s="352"/>
      <c r="AW3164" s="352" t="s">
        <v>254</v>
      </c>
    </row>
    <row r="3165" spans="2:49" x14ac:dyDescent="0.2">
      <c r="B3165" s="460" t="s">
        <v>3295</v>
      </c>
      <c r="C3165" s="460">
        <v>4241</v>
      </c>
      <c r="D3165" s="460" t="s">
        <v>2286</v>
      </c>
      <c r="E3165" s="460" t="s">
        <v>2274</v>
      </c>
      <c r="F3165" s="460">
        <v>3</v>
      </c>
      <c r="G3165" s="460">
        <v>1</v>
      </c>
      <c r="H3165" s="461" t="s">
        <v>746</v>
      </c>
      <c r="I3165" s="461" t="s">
        <v>762</v>
      </c>
      <c r="J3165" s="461" t="s">
        <v>700</v>
      </c>
      <c r="K3165" s="594"/>
      <c r="L3165" s="594"/>
      <c r="M3165" s="352">
        <v>4000</v>
      </c>
      <c r="N3165" s="352" t="s">
        <v>716</v>
      </c>
      <c r="O3165" s="460">
        <v>4241</v>
      </c>
      <c r="P3165" s="460" t="s">
        <v>777</v>
      </c>
      <c r="Q3165" s="460" t="s">
        <v>2444</v>
      </c>
      <c r="R3165" s="460">
        <v>4241</v>
      </c>
      <c r="S3165" s="460" t="s">
        <v>2265</v>
      </c>
      <c r="T3165" s="462">
        <v>0.74223365950407583</v>
      </c>
      <c r="U3165" s="460" t="s">
        <v>2274</v>
      </c>
      <c r="V3165" s="475">
        <v>0</v>
      </c>
      <c r="W3165" s="463" t="s">
        <v>2268</v>
      </c>
      <c r="X3165" s="463" t="s">
        <v>2268</v>
      </c>
      <c r="Y3165" s="463" t="s">
        <v>2290</v>
      </c>
      <c r="Z3165" s="463"/>
      <c r="AA3165" s="463"/>
      <c r="AB3165" s="464">
        <v>0</v>
      </c>
      <c r="AC3165" s="465">
        <v>0</v>
      </c>
      <c r="AD3165" s="465">
        <v>0</v>
      </c>
      <c r="AE3165" s="476">
        <v>0</v>
      </c>
      <c r="AF3165" s="467">
        <v>0</v>
      </c>
      <c r="AG3165" s="468">
        <v>0</v>
      </c>
      <c r="AH3165" s="218">
        <v>0</v>
      </c>
      <c r="AI3165" s="470">
        <v>0</v>
      </c>
      <c r="AJ3165" s="471">
        <v>0</v>
      </c>
      <c r="AK3165" s="218">
        <v>0</v>
      </c>
      <c r="AL3165" s="470">
        <v>0</v>
      </c>
      <c r="AM3165" s="471">
        <v>0</v>
      </c>
      <c r="AN3165" s="477">
        <v>0</v>
      </c>
      <c r="AO3165" s="473">
        <v>0</v>
      </c>
      <c r="AP3165" s="474">
        <v>0</v>
      </c>
      <c r="AQ3165" s="352"/>
      <c r="AR3165" s="352"/>
      <c r="AS3165" s="352"/>
      <c r="AT3165" s="352"/>
      <c r="AU3165" s="352"/>
      <c r="AV3165" s="352"/>
      <c r="AW3165" s="352" t="s">
        <v>254</v>
      </c>
    </row>
    <row r="3166" spans="2:49" x14ac:dyDescent="0.2">
      <c r="B3166" s="460" t="s">
        <v>3296</v>
      </c>
      <c r="C3166" s="460">
        <v>4241</v>
      </c>
      <c r="D3166" s="460" t="s">
        <v>2287</v>
      </c>
      <c r="E3166" s="460" t="s">
        <v>2277</v>
      </c>
      <c r="F3166" s="460">
        <v>4</v>
      </c>
      <c r="G3166" s="460">
        <v>1</v>
      </c>
      <c r="H3166" s="461" t="s">
        <v>746</v>
      </c>
      <c r="I3166" s="461" t="s">
        <v>762</v>
      </c>
      <c r="J3166" s="461" t="s">
        <v>700</v>
      </c>
      <c r="K3166" s="594"/>
      <c r="L3166" s="594"/>
      <c r="M3166" s="352">
        <v>4000</v>
      </c>
      <c r="N3166" s="352" t="s">
        <v>716</v>
      </c>
      <c r="O3166" s="460">
        <v>4241</v>
      </c>
      <c r="P3166" s="460" t="s">
        <v>777</v>
      </c>
      <c r="Q3166" s="460" t="s">
        <v>2444</v>
      </c>
      <c r="R3166" s="460">
        <v>4241</v>
      </c>
      <c r="S3166" s="460" t="s">
        <v>2277</v>
      </c>
      <c r="T3166" s="462">
        <v>1</v>
      </c>
      <c r="U3166" s="460" t="s">
        <v>2277</v>
      </c>
      <c r="V3166" s="475">
        <v>0</v>
      </c>
      <c r="W3166" s="463" t="s">
        <v>2268</v>
      </c>
      <c r="X3166" s="463" t="s">
        <v>2268</v>
      </c>
      <c r="Y3166" s="463" t="s">
        <v>2290</v>
      </c>
      <c r="Z3166" s="463"/>
      <c r="AA3166" s="463"/>
      <c r="AB3166" s="464">
        <v>0</v>
      </c>
      <c r="AC3166" s="465">
        <v>0</v>
      </c>
      <c r="AD3166" s="465">
        <v>0</v>
      </c>
      <c r="AE3166" s="476">
        <v>0</v>
      </c>
      <c r="AF3166" s="467">
        <v>0</v>
      </c>
      <c r="AG3166" s="468">
        <v>0</v>
      </c>
      <c r="AH3166" s="218">
        <v>0</v>
      </c>
      <c r="AI3166" s="470">
        <v>0</v>
      </c>
      <c r="AJ3166" s="471">
        <v>0</v>
      </c>
      <c r="AK3166" s="218">
        <v>0</v>
      </c>
      <c r="AL3166" s="470">
        <v>0</v>
      </c>
      <c r="AM3166" s="471">
        <v>0</v>
      </c>
      <c r="AN3166" s="477">
        <v>0</v>
      </c>
      <c r="AO3166" s="473">
        <v>0</v>
      </c>
      <c r="AP3166" s="474">
        <v>0</v>
      </c>
      <c r="AQ3166" s="352"/>
      <c r="AR3166" s="352"/>
      <c r="AS3166" s="352"/>
      <c r="AT3166" s="352"/>
      <c r="AU3166" s="352"/>
      <c r="AV3166" s="352"/>
      <c r="AW3166" s="352" t="s">
        <v>254</v>
      </c>
    </row>
    <row r="3167" spans="2:49" x14ac:dyDescent="0.2">
      <c r="B3167" s="460" t="s">
        <v>3293</v>
      </c>
      <c r="C3167" s="460">
        <v>4241</v>
      </c>
      <c r="D3167" s="460" t="s">
        <v>2288</v>
      </c>
      <c r="E3167" s="460" t="s">
        <v>2265</v>
      </c>
      <c r="F3167" s="460">
        <v>1</v>
      </c>
      <c r="G3167" s="460">
        <v>1</v>
      </c>
      <c r="H3167" s="461" t="s">
        <v>748</v>
      </c>
      <c r="I3167" s="461" t="s">
        <v>765</v>
      </c>
      <c r="J3167" s="461" t="s">
        <v>700</v>
      </c>
      <c r="K3167" s="594"/>
      <c r="L3167" s="594"/>
      <c r="M3167" s="352">
        <v>4000</v>
      </c>
      <c r="N3167" s="352" t="s">
        <v>716</v>
      </c>
      <c r="O3167" s="460">
        <v>4241</v>
      </c>
      <c r="P3167" s="460" t="s">
        <v>777</v>
      </c>
      <c r="Q3167" s="460" t="s">
        <v>2440</v>
      </c>
      <c r="R3167" s="460">
        <v>4241</v>
      </c>
      <c r="S3167" s="460" t="s">
        <v>2265</v>
      </c>
      <c r="T3167" s="462">
        <v>1</v>
      </c>
      <c r="U3167" s="460" t="s">
        <v>2265</v>
      </c>
      <c r="V3167" s="475">
        <v>0</v>
      </c>
      <c r="W3167" s="463" t="s">
        <v>2268</v>
      </c>
      <c r="X3167" s="463" t="s">
        <v>2268</v>
      </c>
      <c r="Y3167" s="463" t="s">
        <v>2267</v>
      </c>
      <c r="Z3167" s="463"/>
      <c r="AA3167" s="463"/>
      <c r="AB3167" s="464">
        <v>0</v>
      </c>
      <c r="AC3167" s="465">
        <v>0</v>
      </c>
      <c r="AD3167" s="465">
        <v>0</v>
      </c>
      <c r="AE3167" s="476">
        <v>0</v>
      </c>
      <c r="AF3167" s="467">
        <v>0</v>
      </c>
      <c r="AG3167" s="468">
        <v>0</v>
      </c>
      <c r="AH3167" s="218">
        <v>0</v>
      </c>
      <c r="AI3167" s="470">
        <v>0</v>
      </c>
      <c r="AJ3167" s="471">
        <v>0</v>
      </c>
      <c r="AK3167" s="218">
        <v>0</v>
      </c>
      <c r="AL3167" s="470">
        <v>0</v>
      </c>
      <c r="AM3167" s="471">
        <v>0</v>
      </c>
      <c r="AN3167" s="477">
        <v>1622.6550577952582</v>
      </c>
      <c r="AO3167" s="473">
        <v>0.5599732436556365</v>
      </c>
      <c r="AP3167" s="474">
        <v>0.10076787230252604</v>
      </c>
      <c r="AQ3167" s="352"/>
      <c r="AR3167" s="352"/>
      <c r="AS3167" s="352"/>
      <c r="AT3167" s="352"/>
      <c r="AU3167" s="352"/>
      <c r="AV3167" s="352"/>
      <c r="AW3167" s="352" t="s">
        <v>254</v>
      </c>
    </row>
    <row r="3168" spans="2:49" x14ac:dyDescent="0.2">
      <c r="B3168" s="460" t="s">
        <v>3294</v>
      </c>
      <c r="C3168" s="460">
        <v>4241</v>
      </c>
      <c r="D3168" s="460" t="s">
        <v>2291</v>
      </c>
      <c r="E3168" s="460" t="s">
        <v>2271</v>
      </c>
      <c r="F3168" s="460">
        <v>2</v>
      </c>
      <c r="G3168" s="460">
        <v>1</v>
      </c>
      <c r="H3168" s="461" t="s">
        <v>748</v>
      </c>
      <c r="I3168" s="461" t="s">
        <v>765</v>
      </c>
      <c r="J3168" s="461" t="s">
        <v>700</v>
      </c>
      <c r="K3168" s="594"/>
      <c r="L3168" s="594"/>
      <c r="M3168" s="352">
        <v>4000</v>
      </c>
      <c r="N3168" s="352" t="s">
        <v>716</v>
      </c>
      <c r="O3168" s="460">
        <v>4241</v>
      </c>
      <c r="P3168" s="460" t="s">
        <v>777</v>
      </c>
      <c r="Q3168" s="460" t="s">
        <v>2440</v>
      </c>
      <c r="R3168" s="460">
        <v>4241</v>
      </c>
      <c r="S3168" s="460" t="s">
        <v>2265</v>
      </c>
      <c r="T3168" s="462">
        <v>1</v>
      </c>
      <c r="U3168" s="460" t="s">
        <v>2271</v>
      </c>
      <c r="V3168" s="475">
        <v>0</v>
      </c>
      <c r="W3168" s="463" t="s">
        <v>2268</v>
      </c>
      <c r="X3168" s="463" t="s">
        <v>2268</v>
      </c>
      <c r="Y3168" s="463" t="s">
        <v>2267</v>
      </c>
      <c r="Z3168" s="463"/>
      <c r="AA3168" s="463"/>
      <c r="AB3168" s="464">
        <v>0</v>
      </c>
      <c r="AC3168" s="465">
        <v>0</v>
      </c>
      <c r="AD3168" s="465">
        <v>0</v>
      </c>
      <c r="AE3168" s="476">
        <v>0</v>
      </c>
      <c r="AF3168" s="467">
        <v>0</v>
      </c>
      <c r="AG3168" s="468">
        <v>0</v>
      </c>
      <c r="AH3168" s="218">
        <v>0</v>
      </c>
      <c r="AI3168" s="470">
        <v>0</v>
      </c>
      <c r="AJ3168" s="471">
        <v>0</v>
      </c>
      <c r="AK3168" s="218">
        <v>0</v>
      </c>
      <c r="AL3168" s="470">
        <v>0</v>
      </c>
      <c r="AM3168" s="471">
        <v>0</v>
      </c>
      <c r="AN3168" s="477">
        <v>1175.6064106035451</v>
      </c>
      <c r="AO3168" s="473">
        <v>0.60937246253424682</v>
      </c>
      <c r="AP3168" s="474">
        <v>7.4773361050148826E-2</v>
      </c>
      <c r="AQ3168" s="352"/>
      <c r="AR3168" s="352"/>
      <c r="AS3168" s="352"/>
      <c r="AT3168" s="352"/>
      <c r="AU3168" s="352"/>
      <c r="AV3168" s="352"/>
      <c r="AW3168" s="352" t="s">
        <v>254</v>
      </c>
    </row>
    <row r="3169" spans="2:49" x14ac:dyDescent="0.2">
      <c r="B3169" s="460" t="s">
        <v>3295</v>
      </c>
      <c r="C3169" s="460">
        <v>4241</v>
      </c>
      <c r="D3169" s="460" t="s">
        <v>2292</v>
      </c>
      <c r="E3169" s="460" t="s">
        <v>2274</v>
      </c>
      <c r="F3169" s="460">
        <v>3</v>
      </c>
      <c r="G3169" s="460">
        <v>1</v>
      </c>
      <c r="H3169" s="461" t="s">
        <v>748</v>
      </c>
      <c r="I3169" s="461" t="s">
        <v>765</v>
      </c>
      <c r="J3169" s="461" t="s">
        <v>700</v>
      </c>
      <c r="K3169" s="594"/>
      <c r="L3169" s="594"/>
      <c r="M3169" s="352">
        <v>4000</v>
      </c>
      <c r="N3169" s="352" t="s">
        <v>716</v>
      </c>
      <c r="O3169" s="460">
        <v>4241</v>
      </c>
      <c r="P3169" s="460" t="s">
        <v>777</v>
      </c>
      <c r="Q3169" s="460" t="s">
        <v>2440</v>
      </c>
      <c r="R3169" s="460">
        <v>4241</v>
      </c>
      <c r="S3169" s="460" t="s">
        <v>2265</v>
      </c>
      <c r="T3169" s="462">
        <v>0.74223365950407583</v>
      </c>
      <c r="U3169" s="460" t="s">
        <v>2274</v>
      </c>
      <c r="V3169" s="475">
        <v>0</v>
      </c>
      <c r="W3169" s="463" t="s">
        <v>2268</v>
      </c>
      <c r="X3169" s="463" t="s">
        <v>2268</v>
      </c>
      <c r="Y3169" s="463" t="s">
        <v>2267</v>
      </c>
      <c r="Z3169" s="463"/>
      <c r="AA3169" s="463"/>
      <c r="AB3169" s="464">
        <v>0</v>
      </c>
      <c r="AC3169" s="465">
        <v>0</v>
      </c>
      <c r="AD3169" s="465">
        <v>0</v>
      </c>
      <c r="AE3169" s="476">
        <v>0</v>
      </c>
      <c r="AF3169" s="467">
        <v>0</v>
      </c>
      <c r="AG3169" s="468">
        <v>0</v>
      </c>
      <c r="AH3169" s="218">
        <v>0</v>
      </c>
      <c r="AI3169" s="470">
        <v>0</v>
      </c>
      <c r="AJ3169" s="471">
        <v>0</v>
      </c>
      <c r="AK3169" s="218">
        <v>0</v>
      </c>
      <c r="AL3169" s="470">
        <v>0</v>
      </c>
      <c r="AM3169" s="471">
        <v>0</v>
      </c>
      <c r="AN3169" s="477">
        <v>498.05013188662065</v>
      </c>
      <c r="AO3169" s="473">
        <v>0.4156309898628906</v>
      </c>
      <c r="AP3169" s="474">
        <v>7.0123859535814681E-2</v>
      </c>
      <c r="AQ3169" s="352"/>
      <c r="AR3169" s="352"/>
      <c r="AS3169" s="352"/>
      <c r="AT3169" s="352"/>
      <c r="AU3169" s="352"/>
      <c r="AV3169" s="352"/>
      <c r="AW3169" s="352" t="s">
        <v>254</v>
      </c>
    </row>
    <row r="3170" spans="2:49" x14ac:dyDescent="0.2">
      <c r="B3170" s="460" t="s">
        <v>3296</v>
      </c>
      <c r="C3170" s="460">
        <v>4241</v>
      </c>
      <c r="D3170" s="460" t="s">
        <v>2293</v>
      </c>
      <c r="E3170" s="460" t="s">
        <v>2277</v>
      </c>
      <c r="F3170" s="460">
        <v>4</v>
      </c>
      <c r="G3170" s="460">
        <v>1</v>
      </c>
      <c r="H3170" s="461" t="s">
        <v>748</v>
      </c>
      <c r="I3170" s="461" t="s">
        <v>765</v>
      </c>
      <c r="J3170" s="461" t="s">
        <v>700</v>
      </c>
      <c r="K3170" s="594"/>
      <c r="L3170" s="594"/>
      <c r="M3170" s="352">
        <v>4000</v>
      </c>
      <c r="N3170" s="352" t="s">
        <v>716</v>
      </c>
      <c r="O3170" s="460">
        <v>4241</v>
      </c>
      <c r="P3170" s="460" t="s">
        <v>777</v>
      </c>
      <c r="Q3170" s="460" t="s">
        <v>2440</v>
      </c>
      <c r="R3170" s="460">
        <v>4241</v>
      </c>
      <c r="S3170" s="460" t="s">
        <v>2277</v>
      </c>
      <c r="T3170" s="462">
        <v>1</v>
      </c>
      <c r="U3170" s="460" t="s">
        <v>2277</v>
      </c>
      <c r="V3170" s="475">
        <v>0</v>
      </c>
      <c r="W3170" s="463" t="s">
        <v>2268</v>
      </c>
      <c r="X3170" s="463" t="s">
        <v>2268</v>
      </c>
      <c r="Y3170" s="463" t="s">
        <v>2278</v>
      </c>
      <c r="Z3170" s="463"/>
      <c r="AA3170" s="463"/>
      <c r="AB3170" s="464">
        <v>0</v>
      </c>
      <c r="AC3170" s="465">
        <v>0</v>
      </c>
      <c r="AD3170" s="465">
        <v>0</v>
      </c>
      <c r="AE3170" s="476">
        <v>0</v>
      </c>
      <c r="AF3170" s="467">
        <v>0</v>
      </c>
      <c r="AG3170" s="468">
        <v>0</v>
      </c>
      <c r="AH3170" s="218">
        <v>0</v>
      </c>
      <c r="AI3170" s="470">
        <v>0</v>
      </c>
      <c r="AJ3170" s="471">
        <v>0</v>
      </c>
      <c r="AK3170" s="218">
        <v>0</v>
      </c>
      <c r="AL3170" s="470">
        <v>0</v>
      </c>
      <c r="AM3170" s="471">
        <v>0</v>
      </c>
      <c r="AN3170" s="477">
        <v>20.526581545467025</v>
      </c>
      <c r="AO3170" s="473">
        <v>1</v>
      </c>
      <c r="AP3170" s="474">
        <v>0.49563829319135361</v>
      </c>
      <c r="AQ3170" s="352"/>
      <c r="AR3170" s="352"/>
      <c r="AS3170" s="352"/>
      <c r="AT3170" s="352"/>
      <c r="AU3170" s="352"/>
      <c r="AV3170" s="352"/>
      <c r="AW3170" s="352" t="s">
        <v>254</v>
      </c>
    </row>
    <row r="3171" spans="2:49" x14ac:dyDescent="0.2">
      <c r="B3171" s="460" t="s">
        <v>3297</v>
      </c>
      <c r="C3171" s="460">
        <v>4241</v>
      </c>
      <c r="D3171" s="460" t="s">
        <v>2295</v>
      </c>
      <c r="E3171" s="460" t="s">
        <v>2296</v>
      </c>
      <c r="F3171" s="460">
        <v>1</v>
      </c>
      <c r="G3171" s="460">
        <v>2</v>
      </c>
      <c r="H3171" s="461" t="s">
        <v>700</v>
      </c>
      <c r="I3171" s="461" t="s">
        <v>872</v>
      </c>
      <c r="J3171" s="461" t="s">
        <v>700</v>
      </c>
      <c r="K3171" s="594"/>
      <c r="L3171" s="594"/>
      <c r="M3171" s="352">
        <v>4000</v>
      </c>
      <c r="N3171" s="352" t="s">
        <v>716</v>
      </c>
      <c r="O3171" s="460">
        <v>4241</v>
      </c>
      <c r="P3171" s="460" t="s">
        <v>777</v>
      </c>
      <c r="Q3171" s="460" t="s">
        <v>2440</v>
      </c>
      <c r="R3171" s="460">
        <v>4241</v>
      </c>
      <c r="S3171" s="460" t="s">
        <v>2296</v>
      </c>
      <c r="T3171" s="462">
        <v>1</v>
      </c>
      <c r="U3171" s="460" t="s">
        <v>2296</v>
      </c>
      <c r="V3171" s="475">
        <v>0</v>
      </c>
      <c r="W3171" s="463" t="s">
        <v>2267</v>
      </c>
      <c r="X3171" s="463" t="s">
        <v>2267</v>
      </c>
      <c r="Y3171" s="463" t="s">
        <v>2268</v>
      </c>
      <c r="Z3171" s="463"/>
      <c r="AA3171" s="463"/>
      <c r="AB3171" s="464">
        <v>242.65107963767542</v>
      </c>
      <c r="AC3171" s="465">
        <v>0.18757841399054384</v>
      </c>
      <c r="AD3171" s="465">
        <v>1.4174153731424794E-2</v>
      </c>
      <c r="AE3171" s="476">
        <v>242.65107963767542</v>
      </c>
      <c r="AF3171" s="467">
        <v>0.18757841399054384</v>
      </c>
      <c r="AG3171" s="468">
        <v>1.5755343998676896E-2</v>
      </c>
      <c r="AH3171" s="218">
        <v>242.65107963767542</v>
      </c>
      <c r="AI3171" s="470">
        <v>0.18757841399054384</v>
      </c>
      <c r="AJ3171" s="471">
        <v>1.4474948172664513E-2</v>
      </c>
      <c r="AK3171" s="218">
        <v>242.65107963767542</v>
      </c>
      <c r="AL3171" s="470">
        <v>0.18757841399054384</v>
      </c>
      <c r="AM3171" s="471">
        <v>1.4474948172664513E-2</v>
      </c>
      <c r="AN3171" s="477">
        <v>0</v>
      </c>
      <c r="AO3171" s="473">
        <v>0</v>
      </c>
      <c r="AP3171" s="474">
        <v>0</v>
      </c>
      <c r="AQ3171" s="352"/>
      <c r="AR3171" s="352"/>
      <c r="AS3171" s="352"/>
      <c r="AT3171" s="352"/>
      <c r="AU3171" s="352"/>
      <c r="AV3171" s="352"/>
      <c r="AW3171" s="352" t="s">
        <v>254</v>
      </c>
    </row>
    <row r="3172" spans="2:49" x14ac:dyDescent="0.2">
      <c r="B3172" s="460" t="s">
        <v>3298</v>
      </c>
      <c r="C3172" s="460">
        <v>4241</v>
      </c>
      <c r="D3172" s="460" t="s">
        <v>2298</v>
      </c>
      <c r="E3172" s="460" t="s">
        <v>2299</v>
      </c>
      <c r="F3172" s="460">
        <v>2</v>
      </c>
      <c r="G3172" s="460">
        <v>2</v>
      </c>
      <c r="H3172" s="461" t="s">
        <v>700</v>
      </c>
      <c r="I3172" s="461" t="s">
        <v>872</v>
      </c>
      <c r="J3172" s="461" t="s">
        <v>700</v>
      </c>
      <c r="K3172" s="594"/>
      <c r="L3172" s="594"/>
      <c r="M3172" s="352">
        <v>4000</v>
      </c>
      <c r="N3172" s="352" t="s">
        <v>716</v>
      </c>
      <c r="O3172" s="460">
        <v>4241</v>
      </c>
      <c r="P3172" s="460" t="s">
        <v>777</v>
      </c>
      <c r="Q3172" s="460" t="s">
        <v>2440</v>
      </c>
      <c r="R3172" s="460">
        <v>4241</v>
      </c>
      <c r="S3172" s="460" t="s">
        <v>2296</v>
      </c>
      <c r="T3172" s="462">
        <v>0.55517361979372948</v>
      </c>
      <c r="U3172" s="460" t="s">
        <v>2299</v>
      </c>
      <c r="V3172" s="475">
        <v>0</v>
      </c>
      <c r="W3172" s="463" t="s">
        <v>2503</v>
      </c>
      <c r="X3172" s="463" t="s">
        <v>2267</v>
      </c>
      <c r="Y3172" s="463" t="s">
        <v>2268</v>
      </c>
      <c r="Z3172" s="463"/>
      <c r="AA3172" s="463"/>
      <c r="AB3172" s="464">
        <v>52.864581915956769</v>
      </c>
      <c r="AC3172" s="465">
        <v>5.9059311286055939E-2</v>
      </c>
      <c r="AD3172" s="465">
        <v>1.5995735262256682E-2</v>
      </c>
      <c r="AE3172" s="476">
        <v>31.718749149574059</v>
      </c>
      <c r="AF3172" s="467">
        <v>3.5435586771633561E-2</v>
      </c>
      <c r="AG3172" s="468">
        <v>1.0770181569372327E-2</v>
      </c>
      <c r="AH3172" s="218">
        <v>93.21549384790751</v>
      </c>
      <c r="AI3172" s="470">
        <v>0.10413858709029697</v>
      </c>
      <c r="AJ3172" s="471">
        <v>2.1951090940950511E-2</v>
      </c>
      <c r="AK3172" s="218">
        <v>93.21549384790751</v>
      </c>
      <c r="AL3172" s="470">
        <v>0.10413858709029697</v>
      </c>
      <c r="AM3172" s="471">
        <v>2.1951090940950511E-2</v>
      </c>
      <c r="AN3172" s="477">
        <v>0</v>
      </c>
      <c r="AO3172" s="473">
        <v>0</v>
      </c>
      <c r="AP3172" s="474">
        <v>0</v>
      </c>
      <c r="AQ3172" s="352"/>
      <c r="AR3172" s="352"/>
      <c r="AS3172" s="352"/>
      <c r="AT3172" s="352"/>
      <c r="AU3172" s="352"/>
      <c r="AV3172" s="352"/>
      <c r="AW3172" s="352" t="s">
        <v>254</v>
      </c>
    </row>
    <row r="3173" spans="2:49" x14ac:dyDescent="0.2">
      <c r="B3173" s="460" t="s">
        <v>3299</v>
      </c>
      <c r="C3173" s="460">
        <v>4241</v>
      </c>
      <c r="D3173" s="460" t="s">
        <v>2301</v>
      </c>
      <c r="E3173" s="460" t="s">
        <v>2302</v>
      </c>
      <c r="F3173" s="460">
        <v>3</v>
      </c>
      <c r="G3173" s="460">
        <v>2</v>
      </c>
      <c r="H3173" s="461" t="s">
        <v>700</v>
      </c>
      <c r="I3173" s="461" t="s">
        <v>872</v>
      </c>
      <c r="J3173" s="461" t="s">
        <v>700</v>
      </c>
      <c r="K3173" s="594"/>
      <c r="L3173" s="594"/>
      <c r="M3173" s="352">
        <v>4000</v>
      </c>
      <c r="N3173" s="352" t="s">
        <v>716</v>
      </c>
      <c r="O3173" s="460">
        <v>4241</v>
      </c>
      <c r="P3173" s="460" t="s">
        <v>777</v>
      </c>
      <c r="Q3173" s="460" t="s">
        <v>2440</v>
      </c>
      <c r="R3173" s="460">
        <v>4241</v>
      </c>
      <c r="S3173" s="460" t="s">
        <v>2296</v>
      </c>
      <c r="T3173" s="462">
        <v>0.28481449642268464</v>
      </c>
      <c r="U3173" s="460" t="s">
        <v>2302</v>
      </c>
      <c r="V3173" s="475">
        <v>0</v>
      </c>
      <c r="W3173" s="463" t="s">
        <v>2503</v>
      </c>
      <c r="X3173" s="463" t="s">
        <v>2267</v>
      </c>
      <c r="Y3173" s="463" t="s">
        <v>2268</v>
      </c>
      <c r="Z3173" s="463"/>
      <c r="AA3173" s="463"/>
      <c r="AB3173" s="464">
        <v>14.1083834781526</v>
      </c>
      <c r="AC3173" s="465">
        <v>7.6675086264278269E-2</v>
      </c>
      <c r="AD3173" s="465">
        <v>2.7442750811602763E-2</v>
      </c>
      <c r="AE3173" s="476">
        <v>8.4650300868915593</v>
      </c>
      <c r="AF3173" s="467">
        <v>4.6005051758566957E-2</v>
      </c>
      <c r="AG3173" s="468">
        <v>1.858047339943885E-2</v>
      </c>
      <c r="AH3173" s="218">
        <v>14.1083834781526</v>
      </c>
      <c r="AI3173" s="470">
        <v>7.6675086264278269E-2</v>
      </c>
      <c r="AJ3173" s="471">
        <v>1.4646179852809745E-2</v>
      </c>
      <c r="AK3173" s="218">
        <v>14.1083834781526</v>
      </c>
      <c r="AL3173" s="470">
        <v>7.6675086264278269E-2</v>
      </c>
      <c r="AM3173" s="471">
        <v>1.4646179852809745E-2</v>
      </c>
      <c r="AN3173" s="477">
        <v>0</v>
      </c>
      <c r="AO3173" s="473">
        <v>0</v>
      </c>
      <c r="AP3173" s="474">
        <v>0</v>
      </c>
      <c r="AQ3173" s="352"/>
      <c r="AR3173" s="352"/>
      <c r="AS3173" s="352"/>
      <c r="AT3173" s="352"/>
      <c r="AU3173" s="352"/>
      <c r="AV3173" s="352"/>
      <c r="AW3173" s="352" t="s">
        <v>254</v>
      </c>
    </row>
    <row r="3174" spans="2:49" x14ac:dyDescent="0.2">
      <c r="B3174" s="460" t="s">
        <v>3300</v>
      </c>
      <c r="C3174" s="460">
        <v>4241</v>
      </c>
      <c r="D3174" s="460" t="s">
        <v>2304</v>
      </c>
      <c r="E3174" s="460" t="s">
        <v>2305</v>
      </c>
      <c r="F3174" s="460">
        <v>4</v>
      </c>
      <c r="G3174" s="460">
        <v>2</v>
      </c>
      <c r="H3174" s="461" t="s">
        <v>700</v>
      </c>
      <c r="I3174" s="461" t="s">
        <v>872</v>
      </c>
      <c r="J3174" s="461" t="s">
        <v>700</v>
      </c>
      <c r="K3174" s="594"/>
      <c r="L3174" s="594"/>
      <c r="M3174" s="352">
        <v>4000</v>
      </c>
      <c r="N3174" s="352" t="s">
        <v>716</v>
      </c>
      <c r="O3174" s="460">
        <v>4241</v>
      </c>
      <c r="P3174" s="460" t="s">
        <v>777</v>
      </c>
      <c r="Q3174" s="460" t="s">
        <v>2440</v>
      </c>
      <c r="R3174" s="460">
        <v>4241</v>
      </c>
      <c r="S3174" s="460" t="s">
        <v>2305</v>
      </c>
      <c r="T3174" s="462">
        <v>1</v>
      </c>
      <c r="U3174" s="460" t="s">
        <v>2305</v>
      </c>
      <c r="V3174" s="475">
        <v>0</v>
      </c>
      <c r="W3174" s="463" t="s">
        <v>2503</v>
      </c>
      <c r="X3174" s="463" t="s">
        <v>2278</v>
      </c>
      <c r="Y3174" s="463" t="s">
        <v>2268</v>
      </c>
      <c r="Z3174" s="463"/>
      <c r="AA3174" s="463"/>
      <c r="AB3174" s="464">
        <v>0</v>
      </c>
      <c r="AC3174" s="465">
        <v>0</v>
      </c>
      <c r="AD3174" s="465">
        <v>0</v>
      </c>
      <c r="AE3174" s="476">
        <v>0</v>
      </c>
      <c r="AF3174" s="467">
        <v>0</v>
      </c>
      <c r="AG3174" s="468">
        <v>0</v>
      </c>
      <c r="AH3174" s="218">
        <v>0</v>
      </c>
      <c r="AI3174" s="470">
        <v>0</v>
      </c>
      <c r="AJ3174" s="471">
        <v>0</v>
      </c>
      <c r="AK3174" s="218">
        <v>0</v>
      </c>
      <c r="AL3174" s="470">
        <v>0</v>
      </c>
      <c r="AM3174" s="471">
        <v>0</v>
      </c>
      <c r="AN3174" s="477">
        <v>0</v>
      </c>
      <c r="AO3174" s="473">
        <v>0</v>
      </c>
      <c r="AP3174" s="474">
        <v>0</v>
      </c>
      <c r="AQ3174" s="352"/>
      <c r="AR3174" s="352"/>
      <c r="AS3174" s="352"/>
      <c r="AT3174" s="352"/>
      <c r="AU3174" s="352"/>
      <c r="AV3174" s="352"/>
      <c r="AW3174" s="352" t="s">
        <v>254</v>
      </c>
    </row>
    <row r="3175" spans="2:49" x14ac:dyDescent="0.2">
      <c r="B3175" s="460" t="s">
        <v>3297</v>
      </c>
      <c r="C3175" s="460">
        <v>4241</v>
      </c>
      <c r="D3175" s="460" t="s">
        <v>2306</v>
      </c>
      <c r="E3175" s="460" t="s">
        <v>2296</v>
      </c>
      <c r="F3175" s="460">
        <v>1</v>
      </c>
      <c r="G3175" s="460">
        <v>2</v>
      </c>
      <c r="H3175" s="461" t="s">
        <v>712</v>
      </c>
      <c r="I3175" s="461" t="s">
        <v>713</v>
      </c>
      <c r="J3175" s="461" t="s">
        <v>712</v>
      </c>
      <c r="K3175" s="594"/>
      <c r="L3175" s="594"/>
      <c r="M3175" s="352">
        <v>4000</v>
      </c>
      <c r="N3175" s="352" t="s">
        <v>716</v>
      </c>
      <c r="O3175" s="460">
        <v>4241</v>
      </c>
      <c r="P3175" s="460" t="s">
        <v>777</v>
      </c>
      <c r="Q3175" s="460" t="s">
        <v>2280</v>
      </c>
      <c r="R3175" s="460">
        <v>4241</v>
      </c>
      <c r="S3175" s="460" t="s">
        <v>2296</v>
      </c>
      <c r="T3175" s="462">
        <v>1</v>
      </c>
      <c r="U3175" s="460" t="s">
        <v>2296</v>
      </c>
      <c r="V3175" s="475">
        <v>0</v>
      </c>
      <c r="W3175" s="463" t="s">
        <v>713</v>
      </c>
      <c r="X3175" s="463" t="s">
        <v>713</v>
      </c>
      <c r="Y3175" s="463" t="s">
        <v>713</v>
      </c>
      <c r="Z3175" s="463"/>
      <c r="AA3175" s="463"/>
      <c r="AB3175" s="464">
        <v>1050.9470187549675</v>
      </c>
      <c r="AC3175" s="465">
        <v>0.81242158600945624</v>
      </c>
      <c r="AD3175" s="465">
        <v>9.089616465732921E-3</v>
      </c>
      <c r="AE3175" s="476">
        <v>1050.9470187549675</v>
      </c>
      <c r="AF3175" s="467">
        <v>0.81242158600945613</v>
      </c>
      <c r="AG3175" s="468">
        <v>8.9565263883258257E-3</v>
      </c>
      <c r="AH3175" s="218">
        <v>1050.9470187549675</v>
      </c>
      <c r="AI3175" s="470">
        <v>0.81242158600945613</v>
      </c>
      <c r="AJ3175" s="471">
        <v>9.0617351042823358E-3</v>
      </c>
      <c r="AK3175" s="218">
        <v>1050.9470187549675</v>
      </c>
      <c r="AL3175" s="470">
        <v>0.81242158600945613</v>
      </c>
      <c r="AM3175" s="471">
        <v>9.0617351042823358E-3</v>
      </c>
      <c r="AN3175" s="477">
        <v>1050.9470187549675</v>
      </c>
      <c r="AO3175" s="473">
        <v>0.81242158600945613</v>
      </c>
      <c r="AP3175" s="474">
        <v>9.0595112297420718E-3</v>
      </c>
      <c r="AQ3175" s="352"/>
      <c r="AR3175" s="352"/>
      <c r="AS3175" s="352"/>
      <c r="AT3175" s="352"/>
      <c r="AU3175" s="352"/>
      <c r="AV3175" s="352"/>
      <c r="AW3175" s="352" t="s">
        <v>254</v>
      </c>
    </row>
    <row r="3176" spans="2:49" x14ac:dyDescent="0.2">
      <c r="B3176" s="460" t="s">
        <v>3298</v>
      </c>
      <c r="C3176" s="460">
        <v>4241</v>
      </c>
      <c r="D3176" s="460" t="s">
        <v>2307</v>
      </c>
      <c r="E3176" s="460" t="s">
        <v>2299</v>
      </c>
      <c r="F3176" s="460">
        <v>2</v>
      </c>
      <c r="G3176" s="460">
        <v>2</v>
      </c>
      <c r="H3176" s="461" t="s">
        <v>712</v>
      </c>
      <c r="I3176" s="461" t="s">
        <v>713</v>
      </c>
      <c r="J3176" s="461" t="s">
        <v>712</v>
      </c>
      <c r="K3176" s="594"/>
      <c r="L3176" s="594"/>
      <c r="M3176" s="352">
        <v>4000</v>
      </c>
      <c r="N3176" s="352" t="s">
        <v>716</v>
      </c>
      <c r="O3176" s="460">
        <v>4241</v>
      </c>
      <c r="P3176" s="460" t="s">
        <v>777</v>
      </c>
      <c r="Q3176" s="460" t="s">
        <v>2280</v>
      </c>
      <c r="R3176" s="460">
        <v>4241</v>
      </c>
      <c r="S3176" s="460" t="s">
        <v>2296</v>
      </c>
      <c r="T3176" s="462">
        <v>0.55517361979372948</v>
      </c>
      <c r="U3176" s="460" t="s">
        <v>2299</v>
      </c>
      <c r="V3176" s="475">
        <v>0</v>
      </c>
      <c r="W3176" s="463" t="s">
        <v>713</v>
      </c>
      <c r="X3176" s="463" t="s">
        <v>713</v>
      </c>
      <c r="Y3176" s="463" t="s">
        <v>713</v>
      </c>
      <c r="Z3176" s="463"/>
      <c r="AA3176" s="463"/>
      <c r="AB3176" s="464">
        <v>842.24544840432964</v>
      </c>
      <c r="AC3176" s="465">
        <v>0.94094068871394398</v>
      </c>
      <c r="AD3176" s="465">
        <v>9.7420446752241978E-3</v>
      </c>
      <c r="AE3176" s="476">
        <v>863.39128117071232</v>
      </c>
      <c r="AF3176" s="467">
        <v>0.96456441322836639</v>
      </c>
      <c r="AG3176" s="468">
        <v>9.9452365613594863E-3</v>
      </c>
      <c r="AH3176" s="218">
        <v>801.89453647237895</v>
      </c>
      <c r="AI3176" s="470">
        <v>0.895861412909703</v>
      </c>
      <c r="AJ3176" s="471">
        <v>9.3949172144645651E-3</v>
      </c>
      <c r="AK3176" s="218">
        <v>801.89453647237895</v>
      </c>
      <c r="AL3176" s="470">
        <v>0.895861412909703</v>
      </c>
      <c r="AM3176" s="471">
        <v>9.3949172144645651E-3</v>
      </c>
      <c r="AN3176" s="477">
        <v>801.89453647237895</v>
      </c>
      <c r="AO3176" s="473">
        <v>0.895861412909703</v>
      </c>
      <c r="AP3176" s="474">
        <v>9.3937312499015931E-3</v>
      </c>
      <c r="AQ3176" s="352"/>
      <c r="AR3176" s="352"/>
      <c r="AS3176" s="352"/>
      <c r="AT3176" s="352"/>
      <c r="AU3176" s="352"/>
      <c r="AV3176" s="352"/>
      <c r="AW3176" s="352" t="s">
        <v>254</v>
      </c>
    </row>
    <row r="3177" spans="2:49" x14ac:dyDescent="0.2">
      <c r="B3177" s="460" t="s">
        <v>3299</v>
      </c>
      <c r="C3177" s="460">
        <v>4241</v>
      </c>
      <c r="D3177" s="460" t="s">
        <v>2308</v>
      </c>
      <c r="E3177" s="460" t="s">
        <v>2302</v>
      </c>
      <c r="F3177" s="460">
        <v>3</v>
      </c>
      <c r="G3177" s="460">
        <v>2</v>
      </c>
      <c r="H3177" s="461" t="s">
        <v>712</v>
      </c>
      <c r="I3177" s="461" t="s">
        <v>713</v>
      </c>
      <c r="J3177" s="461" t="s">
        <v>712</v>
      </c>
      <c r="K3177" s="594"/>
      <c r="L3177" s="594"/>
      <c r="M3177" s="352">
        <v>4000</v>
      </c>
      <c r="N3177" s="352" t="s">
        <v>716</v>
      </c>
      <c r="O3177" s="460">
        <v>4241</v>
      </c>
      <c r="P3177" s="460" t="s">
        <v>777</v>
      </c>
      <c r="Q3177" s="460" t="s">
        <v>2280</v>
      </c>
      <c r="R3177" s="460">
        <v>4241</v>
      </c>
      <c r="S3177" s="460" t="s">
        <v>2296</v>
      </c>
      <c r="T3177" s="462">
        <v>0.28481449642268464</v>
      </c>
      <c r="U3177" s="460" t="s">
        <v>2302</v>
      </c>
      <c r="V3177" s="475">
        <v>0</v>
      </c>
      <c r="W3177" s="463" t="s">
        <v>713</v>
      </c>
      <c r="X3177" s="463" t="s">
        <v>713</v>
      </c>
      <c r="Y3177" s="463" t="s">
        <v>713</v>
      </c>
      <c r="Z3177" s="463"/>
      <c r="AA3177" s="463"/>
      <c r="AB3177" s="464">
        <v>169.89380244081488</v>
      </c>
      <c r="AC3177" s="465">
        <v>0.92332491373572168</v>
      </c>
      <c r="AD3177" s="465">
        <v>4.9417861653677691E-3</v>
      </c>
      <c r="AE3177" s="476">
        <v>175.53715583207594</v>
      </c>
      <c r="AF3177" s="467">
        <v>0.95399494824143305</v>
      </c>
      <c r="AG3177" s="468">
        <v>5.0972614007090706E-3</v>
      </c>
      <c r="AH3177" s="218">
        <v>169.89380244081488</v>
      </c>
      <c r="AI3177" s="470">
        <v>0.92332491373572179</v>
      </c>
      <c r="AJ3177" s="471">
        <v>5.0072077231375009E-3</v>
      </c>
      <c r="AK3177" s="218">
        <v>169.89380244081488</v>
      </c>
      <c r="AL3177" s="470">
        <v>0.92332491373572179</v>
      </c>
      <c r="AM3177" s="471">
        <v>5.0072077231375009E-3</v>
      </c>
      <c r="AN3177" s="477">
        <v>169.89380244081488</v>
      </c>
      <c r="AO3177" s="473">
        <v>0.92332491373572179</v>
      </c>
      <c r="AP3177" s="474">
        <v>5.0115617683027594E-3</v>
      </c>
      <c r="AQ3177" s="352"/>
      <c r="AR3177" s="352"/>
      <c r="AS3177" s="352"/>
      <c r="AT3177" s="352"/>
      <c r="AU3177" s="352"/>
      <c r="AV3177" s="352"/>
      <c r="AW3177" s="352" t="s">
        <v>254</v>
      </c>
    </row>
    <row r="3178" spans="2:49" x14ac:dyDescent="0.2">
      <c r="B3178" s="460" t="s">
        <v>3300</v>
      </c>
      <c r="C3178" s="460">
        <v>4241</v>
      </c>
      <c r="D3178" s="460" t="s">
        <v>2309</v>
      </c>
      <c r="E3178" s="460" t="s">
        <v>2305</v>
      </c>
      <c r="F3178" s="460">
        <v>4</v>
      </c>
      <c r="G3178" s="460">
        <v>2</v>
      </c>
      <c r="H3178" s="461" t="s">
        <v>712</v>
      </c>
      <c r="I3178" s="461" t="s">
        <v>713</v>
      </c>
      <c r="J3178" s="461" t="s">
        <v>712</v>
      </c>
      <c r="K3178" s="594"/>
      <c r="L3178" s="594"/>
      <c r="M3178" s="352">
        <v>4000</v>
      </c>
      <c r="N3178" s="352" t="s">
        <v>716</v>
      </c>
      <c r="O3178" s="460">
        <v>4241</v>
      </c>
      <c r="P3178" s="460" t="s">
        <v>777</v>
      </c>
      <c r="Q3178" s="460" t="s">
        <v>2280</v>
      </c>
      <c r="R3178" s="460">
        <v>4241</v>
      </c>
      <c r="S3178" s="460" t="s">
        <v>2305</v>
      </c>
      <c r="T3178" s="462">
        <v>1</v>
      </c>
      <c r="U3178" s="460" t="s">
        <v>2305</v>
      </c>
      <c r="V3178" s="475">
        <v>0</v>
      </c>
      <c r="W3178" s="463" t="s">
        <v>713</v>
      </c>
      <c r="X3178" s="463" t="s">
        <v>713</v>
      </c>
      <c r="Y3178" s="463" t="s">
        <v>713</v>
      </c>
      <c r="Z3178" s="463"/>
      <c r="AA3178" s="463"/>
      <c r="AB3178" s="464">
        <v>0</v>
      </c>
      <c r="AC3178" s="465">
        <v>0</v>
      </c>
      <c r="AD3178" s="465">
        <v>0</v>
      </c>
      <c r="AE3178" s="476">
        <v>0</v>
      </c>
      <c r="AF3178" s="467">
        <v>0</v>
      </c>
      <c r="AG3178" s="468">
        <v>0</v>
      </c>
      <c r="AH3178" s="218">
        <v>0</v>
      </c>
      <c r="AI3178" s="470">
        <v>0</v>
      </c>
      <c r="AJ3178" s="471">
        <v>0</v>
      </c>
      <c r="AK3178" s="218">
        <v>0</v>
      </c>
      <c r="AL3178" s="470">
        <v>0</v>
      </c>
      <c r="AM3178" s="471">
        <v>0</v>
      </c>
      <c r="AN3178" s="477">
        <v>0</v>
      </c>
      <c r="AO3178" s="473">
        <v>0</v>
      </c>
      <c r="AP3178" s="474">
        <v>0</v>
      </c>
      <c r="AQ3178" s="352"/>
      <c r="AR3178" s="352"/>
      <c r="AS3178" s="352"/>
      <c r="AT3178" s="352"/>
      <c r="AU3178" s="352"/>
      <c r="AV3178" s="352"/>
      <c r="AW3178" s="352" t="s">
        <v>254</v>
      </c>
    </row>
    <row r="3179" spans="2:49" x14ac:dyDescent="0.2">
      <c r="B3179" s="460" t="s">
        <v>3297</v>
      </c>
      <c r="C3179" s="460">
        <v>4241</v>
      </c>
      <c r="D3179" s="460" t="s">
        <v>2310</v>
      </c>
      <c r="E3179" s="460" t="s">
        <v>2296</v>
      </c>
      <c r="F3179" s="460">
        <v>1</v>
      </c>
      <c r="G3179" s="460">
        <v>2</v>
      </c>
      <c r="H3179" s="461" t="s">
        <v>746</v>
      </c>
      <c r="I3179" s="461" t="s">
        <v>762</v>
      </c>
      <c r="J3179" s="461" t="s">
        <v>700</v>
      </c>
      <c r="K3179" s="594"/>
      <c r="L3179" s="594"/>
      <c r="M3179" s="352">
        <v>4000</v>
      </c>
      <c r="N3179" s="352" t="s">
        <v>716</v>
      </c>
      <c r="O3179" s="460">
        <v>4241</v>
      </c>
      <c r="P3179" s="460" t="s">
        <v>777</v>
      </c>
      <c r="Q3179" s="460" t="s">
        <v>2444</v>
      </c>
      <c r="R3179" s="460">
        <v>4241</v>
      </c>
      <c r="S3179" s="460" t="s">
        <v>2296</v>
      </c>
      <c r="T3179" s="462">
        <v>1</v>
      </c>
      <c r="U3179" s="460" t="s">
        <v>2296</v>
      </c>
      <c r="V3179" s="475">
        <v>0</v>
      </c>
      <c r="W3179" s="463" t="s">
        <v>2268</v>
      </c>
      <c r="X3179" s="463" t="s">
        <v>2268</v>
      </c>
      <c r="Y3179" s="463" t="s">
        <v>2290</v>
      </c>
      <c r="Z3179" s="463"/>
      <c r="AA3179" s="463"/>
      <c r="AB3179" s="464">
        <v>0</v>
      </c>
      <c r="AC3179" s="465">
        <v>0</v>
      </c>
      <c r="AD3179" s="465">
        <v>0</v>
      </c>
      <c r="AE3179" s="476">
        <v>0</v>
      </c>
      <c r="AF3179" s="467">
        <v>0</v>
      </c>
      <c r="AG3179" s="468">
        <v>0</v>
      </c>
      <c r="AH3179" s="218">
        <v>0</v>
      </c>
      <c r="AI3179" s="470">
        <v>0</v>
      </c>
      <c r="AJ3179" s="471">
        <v>0</v>
      </c>
      <c r="AK3179" s="218">
        <v>0</v>
      </c>
      <c r="AL3179" s="470">
        <v>0</v>
      </c>
      <c r="AM3179" s="471">
        <v>0</v>
      </c>
      <c r="AN3179" s="477">
        <v>0</v>
      </c>
      <c r="AO3179" s="473">
        <v>0</v>
      </c>
      <c r="AP3179" s="474">
        <v>0</v>
      </c>
      <c r="AQ3179" s="352"/>
      <c r="AR3179" s="352"/>
      <c r="AS3179" s="352"/>
      <c r="AT3179" s="352"/>
      <c r="AU3179" s="352"/>
      <c r="AV3179" s="352"/>
      <c r="AW3179" s="352" t="s">
        <v>254</v>
      </c>
    </row>
    <row r="3180" spans="2:49" x14ac:dyDescent="0.2">
      <c r="B3180" s="460" t="s">
        <v>3298</v>
      </c>
      <c r="C3180" s="460">
        <v>4241</v>
      </c>
      <c r="D3180" s="460" t="s">
        <v>2311</v>
      </c>
      <c r="E3180" s="460" t="s">
        <v>2299</v>
      </c>
      <c r="F3180" s="460">
        <v>2</v>
      </c>
      <c r="G3180" s="460">
        <v>2</v>
      </c>
      <c r="H3180" s="461" t="s">
        <v>746</v>
      </c>
      <c r="I3180" s="461" t="s">
        <v>762</v>
      </c>
      <c r="J3180" s="461" t="s">
        <v>700</v>
      </c>
      <c r="K3180" s="594"/>
      <c r="L3180" s="594"/>
      <c r="M3180" s="352">
        <v>4000</v>
      </c>
      <c r="N3180" s="352" t="s">
        <v>716</v>
      </c>
      <c r="O3180" s="460">
        <v>4241</v>
      </c>
      <c r="P3180" s="460" t="s">
        <v>777</v>
      </c>
      <c r="Q3180" s="460" t="s">
        <v>2444</v>
      </c>
      <c r="R3180" s="460">
        <v>4241</v>
      </c>
      <c r="S3180" s="460" t="s">
        <v>2296</v>
      </c>
      <c r="T3180" s="462">
        <v>0.55517361979372948</v>
      </c>
      <c r="U3180" s="460" t="s">
        <v>2299</v>
      </c>
      <c r="V3180" s="475">
        <v>0</v>
      </c>
      <c r="W3180" s="463" t="s">
        <v>2268</v>
      </c>
      <c r="X3180" s="463" t="s">
        <v>2268</v>
      </c>
      <c r="Y3180" s="463" t="s">
        <v>2290</v>
      </c>
      <c r="Z3180" s="463"/>
      <c r="AA3180" s="463"/>
      <c r="AB3180" s="464">
        <v>0</v>
      </c>
      <c r="AC3180" s="465">
        <v>0</v>
      </c>
      <c r="AD3180" s="465">
        <v>0</v>
      </c>
      <c r="AE3180" s="476">
        <v>0</v>
      </c>
      <c r="AF3180" s="467">
        <v>0</v>
      </c>
      <c r="AG3180" s="468">
        <v>0</v>
      </c>
      <c r="AH3180" s="218">
        <v>0</v>
      </c>
      <c r="AI3180" s="470">
        <v>0</v>
      </c>
      <c r="AJ3180" s="471">
        <v>0</v>
      </c>
      <c r="AK3180" s="218">
        <v>0</v>
      </c>
      <c r="AL3180" s="470">
        <v>0</v>
      </c>
      <c r="AM3180" s="471">
        <v>0</v>
      </c>
      <c r="AN3180" s="477">
        <v>0</v>
      </c>
      <c r="AO3180" s="473">
        <v>0</v>
      </c>
      <c r="AP3180" s="474">
        <v>0</v>
      </c>
      <c r="AQ3180" s="352"/>
      <c r="AR3180" s="352"/>
      <c r="AS3180" s="352"/>
      <c r="AT3180" s="352"/>
      <c r="AU3180" s="352"/>
      <c r="AV3180" s="352"/>
      <c r="AW3180" s="352" t="s">
        <v>254</v>
      </c>
    </row>
    <row r="3181" spans="2:49" x14ac:dyDescent="0.2">
      <c r="B3181" s="460" t="s">
        <v>3299</v>
      </c>
      <c r="C3181" s="460">
        <v>4241</v>
      </c>
      <c r="D3181" s="460" t="s">
        <v>2312</v>
      </c>
      <c r="E3181" s="460" t="s">
        <v>2302</v>
      </c>
      <c r="F3181" s="460">
        <v>3</v>
      </c>
      <c r="G3181" s="460">
        <v>2</v>
      </c>
      <c r="H3181" s="461" t="s">
        <v>746</v>
      </c>
      <c r="I3181" s="461" t="s">
        <v>762</v>
      </c>
      <c r="J3181" s="461" t="s">
        <v>700</v>
      </c>
      <c r="K3181" s="594"/>
      <c r="L3181" s="594"/>
      <c r="M3181" s="352">
        <v>4000</v>
      </c>
      <c r="N3181" s="352" t="s">
        <v>716</v>
      </c>
      <c r="O3181" s="460">
        <v>4241</v>
      </c>
      <c r="P3181" s="460" t="s">
        <v>777</v>
      </c>
      <c r="Q3181" s="460" t="s">
        <v>2444</v>
      </c>
      <c r="R3181" s="460">
        <v>4241</v>
      </c>
      <c r="S3181" s="460" t="s">
        <v>2296</v>
      </c>
      <c r="T3181" s="462">
        <v>0.28481449642268464</v>
      </c>
      <c r="U3181" s="460" t="s">
        <v>2302</v>
      </c>
      <c r="V3181" s="475">
        <v>0</v>
      </c>
      <c r="W3181" s="463" t="s">
        <v>2268</v>
      </c>
      <c r="X3181" s="463" t="s">
        <v>2268</v>
      </c>
      <c r="Y3181" s="463" t="s">
        <v>2290</v>
      </c>
      <c r="Z3181" s="463"/>
      <c r="AA3181" s="463"/>
      <c r="AB3181" s="464">
        <v>0</v>
      </c>
      <c r="AC3181" s="465">
        <v>0</v>
      </c>
      <c r="AD3181" s="465">
        <v>0</v>
      </c>
      <c r="AE3181" s="476">
        <v>0</v>
      </c>
      <c r="AF3181" s="467">
        <v>0</v>
      </c>
      <c r="AG3181" s="468">
        <v>0</v>
      </c>
      <c r="AH3181" s="218">
        <v>0</v>
      </c>
      <c r="AI3181" s="470">
        <v>0</v>
      </c>
      <c r="AJ3181" s="471">
        <v>0</v>
      </c>
      <c r="AK3181" s="218">
        <v>0</v>
      </c>
      <c r="AL3181" s="470">
        <v>0</v>
      </c>
      <c r="AM3181" s="471">
        <v>0</v>
      </c>
      <c r="AN3181" s="477">
        <v>0</v>
      </c>
      <c r="AO3181" s="473">
        <v>0</v>
      </c>
      <c r="AP3181" s="474">
        <v>0</v>
      </c>
      <c r="AQ3181" s="352"/>
      <c r="AR3181" s="352"/>
      <c r="AS3181" s="352"/>
      <c r="AT3181" s="352"/>
      <c r="AU3181" s="352"/>
      <c r="AV3181" s="352"/>
      <c r="AW3181" s="352" t="s">
        <v>254</v>
      </c>
    </row>
    <row r="3182" spans="2:49" x14ac:dyDescent="0.2">
      <c r="B3182" s="460" t="s">
        <v>3300</v>
      </c>
      <c r="C3182" s="460">
        <v>4241</v>
      </c>
      <c r="D3182" s="460" t="s">
        <v>2313</v>
      </c>
      <c r="E3182" s="460" t="s">
        <v>2305</v>
      </c>
      <c r="F3182" s="460">
        <v>4</v>
      </c>
      <c r="G3182" s="460">
        <v>2</v>
      </c>
      <c r="H3182" s="461" t="s">
        <v>746</v>
      </c>
      <c r="I3182" s="461" t="s">
        <v>762</v>
      </c>
      <c r="J3182" s="461" t="s">
        <v>700</v>
      </c>
      <c r="K3182" s="594"/>
      <c r="L3182" s="594"/>
      <c r="M3182" s="352">
        <v>4000</v>
      </c>
      <c r="N3182" s="352" t="s">
        <v>716</v>
      </c>
      <c r="O3182" s="460">
        <v>4241</v>
      </c>
      <c r="P3182" s="460" t="s">
        <v>777</v>
      </c>
      <c r="Q3182" s="460" t="s">
        <v>2444</v>
      </c>
      <c r="R3182" s="460">
        <v>4241</v>
      </c>
      <c r="S3182" s="460" t="s">
        <v>2305</v>
      </c>
      <c r="T3182" s="462">
        <v>1</v>
      </c>
      <c r="U3182" s="460" t="s">
        <v>2305</v>
      </c>
      <c r="V3182" s="475">
        <v>0</v>
      </c>
      <c r="W3182" s="463" t="s">
        <v>2268</v>
      </c>
      <c r="X3182" s="463" t="s">
        <v>2268</v>
      </c>
      <c r="Y3182" s="463" t="s">
        <v>2290</v>
      </c>
      <c r="Z3182" s="463"/>
      <c r="AA3182" s="463"/>
      <c r="AB3182" s="464">
        <v>0</v>
      </c>
      <c r="AC3182" s="465">
        <v>0</v>
      </c>
      <c r="AD3182" s="465">
        <v>0</v>
      </c>
      <c r="AE3182" s="476">
        <v>0</v>
      </c>
      <c r="AF3182" s="467">
        <v>0</v>
      </c>
      <c r="AG3182" s="468">
        <v>0</v>
      </c>
      <c r="AH3182" s="218">
        <v>0</v>
      </c>
      <c r="AI3182" s="470">
        <v>0</v>
      </c>
      <c r="AJ3182" s="471">
        <v>0</v>
      </c>
      <c r="AK3182" s="218">
        <v>0</v>
      </c>
      <c r="AL3182" s="470">
        <v>0</v>
      </c>
      <c r="AM3182" s="471">
        <v>0</v>
      </c>
      <c r="AN3182" s="477">
        <v>0</v>
      </c>
      <c r="AO3182" s="473">
        <v>0</v>
      </c>
      <c r="AP3182" s="474">
        <v>0</v>
      </c>
      <c r="AQ3182" s="352"/>
      <c r="AR3182" s="352"/>
      <c r="AS3182" s="352"/>
      <c r="AT3182" s="352"/>
      <c r="AU3182" s="352"/>
      <c r="AV3182" s="352"/>
      <c r="AW3182" s="352" t="s">
        <v>254</v>
      </c>
    </row>
    <row r="3183" spans="2:49" x14ac:dyDescent="0.2">
      <c r="B3183" s="460" t="s">
        <v>3297</v>
      </c>
      <c r="C3183" s="460">
        <v>4241</v>
      </c>
      <c r="D3183" s="460" t="s">
        <v>2314</v>
      </c>
      <c r="E3183" s="460" t="s">
        <v>2296</v>
      </c>
      <c r="F3183" s="460">
        <v>1</v>
      </c>
      <c r="G3183" s="460">
        <v>2</v>
      </c>
      <c r="H3183" s="461" t="s">
        <v>748</v>
      </c>
      <c r="I3183" s="461" t="s">
        <v>765</v>
      </c>
      <c r="J3183" s="461" t="s">
        <v>700</v>
      </c>
      <c r="K3183" s="594"/>
      <c r="L3183" s="594"/>
      <c r="M3183" s="352">
        <v>4000</v>
      </c>
      <c r="N3183" s="352" t="s">
        <v>716</v>
      </c>
      <c r="O3183" s="460">
        <v>4241</v>
      </c>
      <c r="P3183" s="460" t="s">
        <v>777</v>
      </c>
      <c r="Q3183" s="460" t="s">
        <v>2440</v>
      </c>
      <c r="R3183" s="460">
        <v>4241</v>
      </c>
      <c r="S3183" s="460" t="s">
        <v>2296</v>
      </c>
      <c r="T3183" s="462">
        <v>1</v>
      </c>
      <c r="U3183" s="460" t="s">
        <v>2296</v>
      </c>
      <c r="V3183" s="475">
        <v>0</v>
      </c>
      <c r="W3183" s="463" t="s">
        <v>2268</v>
      </c>
      <c r="X3183" s="463" t="s">
        <v>2268</v>
      </c>
      <c r="Y3183" s="463" t="s">
        <v>2267</v>
      </c>
      <c r="Z3183" s="463"/>
      <c r="AA3183" s="463"/>
      <c r="AB3183" s="464">
        <v>0</v>
      </c>
      <c r="AC3183" s="465">
        <v>0</v>
      </c>
      <c r="AD3183" s="465">
        <v>0</v>
      </c>
      <c r="AE3183" s="476">
        <v>0</v>
      </c>
      <c r="AF3183" s="467">
        <v>0</v>
      </c>
      <c r="AG3183" s="468">
        <v>0</v>
      </c>
      <c r="AH3183" s="218">
        <v>0</v>
      </c>
      <c r="AI3183" s="470">
        <v>0</v>
      </c>
      <c r="AJ3183" s="471">
        <v>0</v>
      </c>
      <c r="AK3183" s="218">
        <v>0</v>
      </c>
      <c r="AL3183" s="470">
        <v>0</v>
      </c>
      <c r="AM3183" s="471">
        <v>0</v>
      </c>
      <c r="AN3183" s="477">
        <v>242.65107963767542</v>
      </c>
      <c r="AO3183" s="473">
        <v>0.18757841399054384</v>
      </c>
      <c r="AP3183" s="474">
        <v>7.4126581100813591E-2</v>
      </c>
      <c r="AQ3183" s="352"/>
      <c r="AR3183" s="352"/>
      <c r="AS3183" s="352"/>
      <c r="AT3183" s="352"/>
      <c r="AU3183" s="352"/>
      <c r="AV3183" s="352"/>
      <c r="AW3183" s="352" t="s">
        <v>254</v>
      </c>
    </row>
    <row r="3184" spans="2:49" x14ac:dyDescent="0.2">
      <c r="B3184" s="460" t="s">
        <v>3298</v>
      </c>
      <c r="C3184" s="460">
        <v>4241</v>
      </c>
      <c r="D3184" s="460" t="s">
        <v>2315</v>
      </c>
      <c r="E3184" s="460" t="s">
        <v>2299</v>
      </c>
      <c r="F3184" s="460">
        <v>2</v>
      </c>
      <c r="G3184" s="460">
        <v>2</v>
      </c>
      <c r="H3184" s="461" t="s">
        <v>748</v>
      </c>
      <c r="I3184" s="461" t="s">
        <v>765</v>
      </c>
      <c r="J3184" s="461" t="s">
        <v>700</v>
      </c>
      <c r="K3184" s="594"/>
      <c r="L3184" s="594"/>
      <c r="M3184" s="352">
        <v>4000</v>
      </c>
      <c r="N3184" s="352" t="s">
        <v>716</v>
      </c>
      <c r="O3184" s="460">
        <v>4241</v>
      </c>
      <c r="P3184" s="460" t="s">
        <v>777</v>
      </c>
      <c r="Q3184" s="460" t="s">
        <v>2440</v>
      </c>
      <c r="R3184" s="460">
        <v>4241</v>
      </c>
      <c r="S3184" s="460" t="s">
        <v>2296</v>
      </c>
      <c r="T3184" s="462">
        <v>0.55517361979372948</v>
      </c>
      <c r="U3184" s="460" t="s">
        <v>2299</v>
      </c>
      <c r="V3184" s="475">
        <v>0</v>
      </c>
      <c r="W3184" s="463" t="s">
        <v>2268</v>
      </c>
      <c r="X3184" s="463" t="s">
        <v>2268</v>
      </c>
      <c r="Y3184" s="463" t="s">
        <v>2267</v>
      </c>
      <c r="Z3184" s="463"/>
      <c r="AA3184" s="463"/>
      <c r="AB3184" s="464">
        <v>0</v>
      </c>
      <c r="AC3184" s="465">
        <v>0</v>
      </c>
      <c r="AD3184" s="465">
        <v>0</v>
      </c>
      <c r="AE3184" s="476">
        <v>0</v>
      </c>
      <c r="AF3184" s="467">
        <v>0</v>
      </c>
      <c r="AG3184" s="468">
        <v>0</v>
      </c>
      <c r="AH3184" s="218">
        <v>0</v>
      </c>
      <c r="AI3184" s="470">
        <v>0</v>
      </c>
      <c r="AJ3184" s="471">
        <v>0</v>
      </c>
      <c r="AK3184" s="218">
        <v>0</v>
      </c>
      <c r="AL3184" s="470">
        <v>0</v>
      </c>
      <c r="AM3184" s="471">
        <v>0</v>
      </c>
      <c r="AN3184" s="477">
        <v>93.21549384790751</v>
      </c>
      <c r="AO3184" s="473">
        <v>0.10413858709029697</v>
      </c>
      <c r="AP3184" s="474">
        <v>8.6362487069207933E-2</v>
      </c>
      <c r="AQ3184" s="352"/>
      <c r="AR3184" s="352"/>
      <c r="AS3184" s="352"/>
      <c r="AT3184" s="352"/>
      <c r="AU3184" s="352"/>
      <c r="AV3184" s="352"/>
      <c r="AW3184" s="352" t="s">
        <v>254</v>
      </c>
    </row>
    <row r="3185" spans="2:49" x14ac:dyDescent="0.2">
      <c r="B3185" s="460" t="s">
        <v>3299</v>
      </c>
      <c r="C3185" s="460">
        <v>4241</v>
      </c>
      <c r="D3185" s="460" t="s">
        <v>2316</v>
      </c>
      <c r="E3185" s="460" t="s">
        <v>2302</v>
      </c>
      <c r="F3185" s="460">
        <v>3</v>
      </c>
      <c r="G3185" s="460">
        <v>2</v>
      </c>
      <c r="H3185" s="461" t="s">
        <v>748</v>
      </c>
      <c r="I3185" s="461" t="s">
        <v>765</v>
      </c>
      <c r="J3185" s="461" t="s">
        <v>700</v>
      </c>
      <c r="K3185" s="594"/>
      <c r="L3185" s="594"/>
      <c r="M3185" s="352">
        <v>4000</v>
      </c>
      <c r="N3185" s="352" t="s">
        <v>716</v>
      </c>
      <c r="O3185" s="460">
        <v>4241</v>
      </c>
      <c r="P3185" s="460" t="s">
        <v>777</v>
      </c>
      <c r="Q3185" s="460" t="s">
        <v>2440</v>
      </c>
      <c r="R3185" s="460">
        <v>4241</v>
      </c>
      <c r="S3185" s="460" t="s">
        <v>2296</v>
      </c>
      <c r="T3185" s="462">
        <v>0.28481449642268464</v>
      </c>
      <c r="U3185" s="460" t="s">
        <v>2302</v>
      </c>
      <c r="V3185" s="475">
        <v>0</v>
      </c>
      <c r="W3185" s="463" t="s">
        <v>2268</v>
      </c>
      <c r="X3185" s="463" t="s">
        <v>2268</v>
      </c>
      <c r="Y3185" s="463" t="s">
        <v>2267</v>
      </c>
      <c r="Z3185" s="463"/>
      <c r="AA3185" s="463"/>
      <c r="AB3185" s="464">
        <v>0</v>
      </c>
      <c r="AC3185" s="465">
        <v>0</v>
      </c>
      <c r="AD3185" s="465">
        <v>0</v>
      </c>
      <c r="AE3185" s="476">
        <v>0</v>
      </c>
      <c r="AF3185" s="467">
        <v>0</v>
      </c>
      <c r="AG3185" s="468">
        <v>0</v>
      </c>
      <c r="AH3185" s="218">
        <v>0</v>
      </c>
      <c r="AI3185" s="470">
        <v>0</v>
      </c>
      <c r="AJ3185" s="471">
        <v>0</v>
      </c>
      <c r="AK3185" s="218">
        <v>0</v>
      </c>
      <c r="AL3185" s="470">
        <v>0</v>
      </c>
      <c r="AM3185" s="471">
        <v>0</v>
      </c>
      <c r="AN3185" s="477">
        <v>14.1083834781526</v>
      </c>
      <c r="AO3185" s="473">
        <v>7.6675086264278269E-2</v>
      </c>
      <c r="AP3185" s="474">
        <v>6.0368836056263558E-2</v>
      </c>
      <c r="AQ3185" s="352"/>
      <c r="AR3185" s="352"/>
      <c r="AS3185" s="352"/>
      <c r="AT3185" s="352"/>
      <c r="AU3185" s="352"/>
      <c r="AV3185" s="352"/>
      <c r="AW3185" s="352" t="s">
        <v>254</v>
      </c>
    </row>
    <row r="3186" spans="2:49" x14ac:dyDescent="0.2">
      <c r="B3186" s="460" t="s">
        <v>3300</v>
      </c>
      <c r="C3186" s="460">
        <v>4241</v>
      </c>
      <c r="D3186" s="460" t="s">
        <v>2317</v>
      </c>
      <c r="E3186" s="460" t="s">
        <v>2305</v>
      </c>
      <c r="F3186" s="460">
        <v>4</v>
      </c>
      <c r="G3186" s="460">
        <v>2</v>
      </c>
      <c r="H3186" s="461" t="s">
        <v>748</v>
      </c>
      <c r="I3186" s="461" t="s">
        <v>765</v>
      </c>
      <c r="J3186" s="461" t="s">
        <v>700</v>
      </c>
      <c r="K3186" s="594"/>
      <c r="L3186" s="594"/>
      <c r="M3186" s="352">
        <v>4000</v>
      </c>
      <c r="N3186" s="352" t="s">
        <v>716</v>
      </c>
      <c r="O3186" s="460">
        <v>4241</v>
      </c>
      <c r="P3186" s="460" t="s">
        <v>777</v>
      </c>
      <c r="Q3186" s="460" t="s">
        <v>2440</v>
      </c>
      <c r="R3186" s="460">
        <v>4241</v>
      </c>
      <c r="S3186" s="460" t="s">
        <v>2305</v>
      </c>
      <c r="T3186" s="462">
        <v>1</v>
      </c>
      <c r="U3186" s="460" t="s">
        <v>2305</v>
      </c>
      <c r="V3186" s="475">
        <v>0</v>
      </c>
      <c r="W3186" s="463" t="s">
        <v>2268</v>
      </c>
      <c r="X3186" s="463" t="s">
        <v>2268</v>
      </c>
      <c r="Y3186" s="463" t="s">
        <v>2278</v>
      </c>
      <c r="Z3186" s="463"/>
      <c r="AA3186" s="463"/>
      <c r="AB3186" s="464">
        <v>0</v>
      </c>
      <c r="AC3186" s="465">
        <v>0</v>
      </c>
      <c r="AD3186" s="465">
        <v>0</v>
      </c>
      <c r="AE3186" s="476">
        <v>0</v>
      </c>
      <c r="AF3186" s="467">
        <v>0</v>
      </c>
      <c r="AG3186" s="468">
        <v>0</v>
      </c>
      <c r="AH3186" s="218">
        <v>0</v>
      </c>
      <c r="AI3186" s="470">
        <v>0</v>
      </c>
      <c r="AJ3186" s="471">
        <v>0</v>
      </c>
      <c r="AK3186" s="218">
        <v>0</v>
      </c>
      <c r="AL3186" s="470">
        <v>0</v>
      </c>
      <c r="AM3186" s="471">
        <v>0</v>
      </c>
      <c r="AN3186" s="477">
        <v>0</v>
      </c>
      <c r="AO3186" s="473">
        <v>0</v>
      </c>
      <c r="AP3186" s="474">
        <v>0</v>
      </c>
      <c r="AQ3186" s="352"/>
      <c r="AR3186" s="352"/>
      <c r="AS3186" s="352"/>
      <c r="AT3186" s="352"/>
      <c r="AU3186" s="352"/>
      <c r="AV3186" s="352"/>
      <c r="AW3186" s="352" t="s">
        <v>254</v>
      </c>
    </row>
    <row r="3187" spans="2:49" x14ac:dyDescent="0.2">
      <c r="B3187" s="460" t="s">
        <v>3301</v>
      </c>
      <c r="C3187" s="460">
        <v>4241</v>
      </c>
      <c r="D3187" s="460" t="s">
        <v>2323</v>
      </c>
      <c r="E3187" s="460" t="s">
        <v>2324</v>
      </c>
      <c r="F3187" s="460">
        <v>1</v>
      </c>
      <c r="G3187" s="460">
        <v>3</v>
      </c>
      <c r="H3187" s="461" t="s">
        <v>700</v>
      </c>
      <c r="I3187" s="461" t="s">
        <v>872</v>
      </c>
      <c r="J3187" s="461" t="s">
        <v>700</v>
      </c>
      <c r="K3187" s="594"/>
      <c r="L3187" s="594"/>
      <c r="M3187" s="352">
        <v>4000</v>
      </c>
      <c r="N3187" s="352" t="s">
        <v>716</v>
      </c>
      <c r="O3187" s="460">
        <v>4241</v>
      </c>
      <c r="P3187" s="460" t="s">
        <v>777</v>
      </c>
      <c r="Q3187" s="460" t="s">
        <v>2440</v>
      </c>
      <c r="R3187" s="460">
        <v>4241</v>
      </c>
      <c r="S3187" s="460" t="s">
        <v>2324</v>
      </c>
      <c r="T3187" s="462">
        <v>1</v>
      </c>
      <c r="U3187" s="460" t="s">
        <v>2324</v>
      </c>
      <c r="V3187" s="475">
        <v>0</v>
      </c>
      <c r="W3187" s="463" t="s">
        <v>2267</v>
      </c>
      <c r="X3187" s="463" t="s">
        <v>2267</v>
      </c>
      <c r="Y3187" s="463" t="s">
        <v>2268</v>
      </c>
      <c r="Z3187" s="463"/>
      <c r="AA3187" s="463"/>
      <c r="AB3187" s="464">
        <v>5958.9179775312004</v>
      </c>
      <c r="AC3187" s="465">
        <v>0.71702079816895559</v>
      </c>
      <c r="AD3187" s="465">
        <v>5.1083895399887516E-2</v>
      </c>
      <c r="AE3187" s="476">
        <v>5958.9179775312004</v>
      </c>
      <c r="AF3187" s="467">
        <v>0.71702079816895559</v>
      </c>
      <c r="AG3187" s="468">
        <v>5.472097198673366E-2</v>
      </c>
      <c r="AH3187" s="218">
        <v>5958.9179775312004</v>
      </c>
      <c r="AI3187" s="470">
        <v>0.71702079816895559</v>
      </c>
      <c r="AJ3187" s="471">
        <v>5.2254990124024119E-2</v>
      </c>
      <c r="AK3187" s="218">
        <v>5958.9179775312004</v>
      </c>
      <c r="AL3187" s="470">
        <v>0.71702079816895559</v>
      </c>
      <c r="AM3187" s="471">
        <v>5.2254990124024119E-2</v>
      </c>
      <c r="AN3187" s="477">
        <v>0</v>
      </c>
      <c r="AO3187" s="473">
        <v>0</v>
      </c>
      <c r="AP3187" s="474">
        <v>0</v>
      </c>
      <c r="AQ3187" s="352"/>
      <c r="AR3187" s="352"/>
      <c r="AS3187" s="352"/>
      <c r="AT3187" s="352"/>
      <c r="AU3187" s="352"/>
      <c r="AV3187" s="352"/>
      <c r="AW3187" s="352" t="s">
        <v>254</v>
      </c>
    </row>
    <row r="3188" spans="2:49" x14ac:dyDescent="0.2">
      <c r="B3188" s="460" t="s">
        <v>3302</v>
      </c>
      <c r="C3188" s="460">
        <v>4241</v>
      </c>
      <c r="D3188" s="460" t="s">
        <v>2326</v>
      </c>
      <c r="E3188" s="460" t="s">
        <v>2327</v>
      </c>
      <c r="F3188" s="460">
        <v>2</v>
      </c>
      <c r="G3188" s="460">
        <v>3</v>
      </c>
      <c r="H3188" s="461" t="s">
        <v>700</v>
      </c>
      <c r="I3188" s="461" t="s">
        <v>872</v>
      </c>
      <c r="J3188" s="461" t="s">
        <v>700</v>
      </c>
      <c r="K3188" s="594"/>
      <c r="L3188" s="594"/>
      <c r="M3188" s="352">
        <v>4000</v>
      </c>
      <c r="N3188" s="352" t="s">
        <v>716</v>
      </c>
      <c r="O3188" s="460">
        <v>4241</v>
      </c>
      <c r="P3188" s="460" t="s">
        <v>777</v>
      </c>
      <c r="Q3188" s="460" t="s">
        <v>2440</v>
      </c>
      <c r="R3188" s="460">
        <v>4241</v>
      </c>
      <c r="S3188" s="460" t="s">
        <v>2324</v>
      </c>
      <c r="T3188" s="462">
        <v>1</v>
      </c>
      <c r="U3188" s="460" t="s">
        <v>2327</v>
      </c>
      <c r="V3188" s="475">
        <v>0</v>
      </c>
      <c r="W3188" s="463" t="s">
        <v>2503</v>
      </c>
      <c r="X3188" s="463" t="s">
        <v>2267</v>
      </c>
      <c r="Y3188" s="463" t="s">
        <v>2268</v>
      </c>
      <c r="Z3188" s="463"/>
      <c r="AA3188" s="463"/>
      <c r="AB3188" s="464">
        <v>1489.2688240702348</v>
      </c>
      <c r="AC3188" s="465">
        <v>0.59702584794028357</v>
      </c>
      <c r="AD3188" s="465">
        <v>2.1996229617092387E-2</v>
      </c>
      <c r="AE3188" s="476">
        <v>893.56129444214082</v>
      </c>
      <c r="AF3188" s="467">
        <v>0.35821550876417013</v>
      </c>
      <c r="AG3188" s="468">
        <v>1.4294612429803018E-2</v>
      </c>
      <c r="AH3188" s="218">
        <v>1788.59378468617</v>
      </c>
      <c r="AI3188" s="470">
        <v>0.71702079816895559</v>
      </c>
      <c r="AJ3188" s="471">
        <v>2.4080179551245254E-2</v>
      </c>
      <c r="AK3188" s="218">
        <v>1788.59378468617</v>
      </c>
      <c r="AL3188" s="470">
        <v>0.71702079816895559</v>
      </c>
      <c r="AM3188" s="471">
        <v>2.4080179551245254E-2</v>
      </c>
      <c r="AN3188" s="477">
        <v>0</v>
      </c>
      <c r="AO3188" s="473">
        <v>0</v>
      </c>
      <c r="AP3188" s="474">
        <v>0</v>
      </c>
      <c r="AQ3188" s="352"/>
      <c r="AR3188" s="352"/>
      <c r="AS3188" s="352"/>
      <c r="AT3188" s="352"/>
      <c r="AU3188" s="352"/>
      <c r="AV3188" s="352"/>
      <c r="AW3188" s="352" t="s">
        <v>254</v>
      </c>
    </row>
    <row r="3189" spans="2:49" x14ac:dyDescent="0.2">
      <c r="B3189" s="460" t="s">
        <v>3303</v>
      </c>
      <c r="C3189" s="460">
        <v>4241</v>
      </c>
      <c r="D3189" s="460" t="s">
        <v>2329</v>
      </c>
      <c r="E3189" s="460" t="s">
        <v>2330</v>
      </c>
      <c r="F3189" s="460">
        <v>3</v>
      </c>
      <c r="G3189" s="460">
        <v>3</v>
      </c>
      <c r="H3189" s="461" t="s">
        <v>700</v>
      </c>
      <c r="I3189" s="461" t="s">
        <v>872</v>
      </c>
      <c r="J3189" s="461" t="s">
        <v>700</v>
      </c>
      <c r="K3189" s="594"/>
      <c r="L3189" s="594"/>
      <c r="M3189" s="352">
        <v>4000</v>
      </c>
      <c r="N3189" s="352" t="s">
        <v>716</v>
      </c>
      <c r="O3189" s="460">
        <v>4241</v>
      </c>
      <c r="P3189" s="460" t="s">
        <v>777</v>
      </c>
      <c r="Q3189" s="460" t="s">
        <v>2440</v>
      </c>
      <c r="R3189" s="460">
        <v>4241</v>
      </c>
      <c r="S3189" s="460" t="s">
        <v>2324</v>
      </c>
      <c r="T3189" s="462">
        <v>1</v>
      </c>
      <c r="U3189" s="460" t="s">
        <v>2330</v>
      </c>
      <c r="V3189" s="475">
        <v>0</v>
      </c>
      <c r="W3189" s="463" t="s">
        <v>2503</v>
      </c>
      <c r="X3189" s="463" t="s">
        <v>2267</v>
      </c>
      <c r="Y3189" s="463" t="s">
        <v>2268</v>
      </c>
      <c r="Z3189" s="463"/>
      <c r="AA3189" s="463"/>
      <c r="AB3189" s="464">
        <v>26.713908229469009</v>
      </c>
      <c r="AC3189" s="465">
        <v>3.5073406417701791E-2</v>
      </c>
      <c r="AD3189" s="465">
        <v>1.0087495200625234E-3</v>
      </c>
      <c r="AE3189" s="476">
        <v>16.028344937681407</v>
      </c>
      <c r="AF3189" s="467">
        <v>2.1044043850621075E-2</v>
      </c>
      <c r="AG3189" s="468">
        <v>6.4868414070260447E-4</v>
      </c>
      <c r="AH3189" s="218">
        <v>546.12396562766503</v>
      </c>
      <c r="AI3189" s="470">
        <v>0.71702079816895559</v>
      </c>
      <c r="AJ3189" s="471">
        <v>1.9241229097589265E-2</v>
      </c>
      <c r="AK3189" s="218">
        <v>546.12396562766503</v>
      </c>
      <c r="AL3189" s="470">
        <v>0.71702079816895559</v>
      </c>
      <c r="AM3189" s="471">
        <v>1.9241229097589265E-2</v>
      </c>
      <c r="AN3189" s="477">
        <v>0</v>
      </c>
      <c r="AO3189" s="473">
        <v>0</v>
      </c>
      <c r="AP3189" s="474">
        <v>0</v>
      </c>
      <c r="AQ3189" s="352"/>
      <c r="AR3189" s="352"/>
      <c r="AS3189" s="352"/>
      <c r="AT3189" s="352"/>
      <c r="AU3189" s="352"/>
      <c r="AV3189" s="352"/>
      <c r="AW3189" s="352" t="s">
        <v>254</v>
      </c>
    </row>
    <row r="3190" spans="2:49" x14ac:dyDescent="0.2">
      <c r="B3190" s="460" t="s">
        <v>3304</v>
      </c>
      <c r="C3190" s="460">
        <v>4241</v>
      </c>
      <c r="D3190" s="460" t="s">
        <v>2332</v>
      </c>
      <c r="E3190" s="460" t="s">
        <v>2333</v>
      </c>
      <c r="F3190" s="460">
        <v>4</v>
      </c>
      <c r="G3190" s="460">
        <v>3</v>
      </c>
      <c r="H3190" s="461" t="s">
        <v>700</v>
      </c>
      <c r="I3190" s="461" t="s">
        <v>872</v>
      </c>
      <c r="J3190" s="461" t="s">
        <v>700</v>
      </c>
      <c r="K3190" s="594"/>
      <c r="L3190" s="594"/>
      <c r="M3190" s="352">
        <v>4000</v>
      </c>
      <c r="N3190" s="352" t="s">
        <v>716</v>
      </c>
      <c r="O3190" s="460">
        <v>4241</v>
      </c>
      <c r="P3190" s="460" t="s">
        <v>777</v>
      </c>
      <c r="Q3190" s="460" t="s">
        <v>2440</v>
      </c>
      <c r="R3190" s="460">
        <v>4241</v>
      </c>
      <c r="S3190" s="460" t="s">
        <v>2333</v>
      </c>
      <c r="T3190" s="462">
        <v>1</v>
      </c>
      <c r="U3190" s="460" t="s">
        <v>2333</v>
      </c>
      <c r="V3190" s="475">
        <v>0</v>
      </c>
      <c r="W3190" s="463" t="s">
        <v>2503</v>
      </c>
      <c r="X3190" s="463" t="s">
        <v>2278</v>
      </c>
      <c r="Y3190" s="463" t="s">
        <v>2268</v>
      </c>
      <c r="Z3190" s="463"/>
      <c r="AA3190" s="463"/>
      <c r="AB3190" s="464">
        <v>514.6332440479265</v>
      </c>
      <c r="AC3190" s="465">
        <v>1</v>
      </c>
      <c r="AD3190" s="465">
        <v>3.5493506597358997E-2</v>
      </c>
      <c r="AE3190" s="476">
        <v>308.77994642875586</v>
      </c>
      <c r="AF3190" s="467">
        <v>0.6</v>
      </c>
      <c r="AG3190" s="468">
        <v>2.3502951932460183E-2</v>
      </c>
      <c r="AH3190" s="218">
        <v>514.6332440479265</v>
      </c>
      <c r="AI3190" s="470">
        <v>1</v>
      </c>
      <c r="AJ3190" s="471">
        <v>3.7952359748515498E-2</v>
      </c>
      <c r="AK3190" s="218">
        <v>514.6332440479265</v>
      </c>
      <c r="AL3190" s="470">
        <v>1</v>
      </c>
      <c r="AM3190" s="471">
        <v>3.7952359748515498E-2</v>
      </c>
      <c r="AN3190" s="477">
        <v>0</v>
      </c>
      <c r="AO3190" s="473">
        <v>0</v>
      </c>
      <c r="AP3190" s="474">
        <v>0</v>
      </c>
      <c r="AQ3190" s="352"/>
      <c r="AR3190" s="352"/>
      <c r="AS3190" s="352"/>
      <c r="AT3190" s="352"/>
      <c r="AU3190" s="352"/>
      <c r="AV3190" s="352"/>
      <c r="AW3190" s="352" t="s">
        <v>254</v>
      </c>
    </row>
    <row r="3191" spans="2:49" x14ac:dyDescent="0.2">
      <c r="B3191" s="460" t="s">
        <v>3301</v>
      </c>
      <c r="C3191" s="460">
        <v>4241</v>
      </c>
      <c r="D3191" s="460" t="s">
        <v>2334</v>
      </c>
      <c r="E3191" s="460" t="s">
        <v>2324</v>
      </c>
      <c r="F3191" s="460">
        <v>1</v>
      </c>
      <c r="G3191" s="460">
        <v>3</v>
      </c>
      <c r="H3191" s="461" t="s">
        <v>712</v>
      </c>
      <c r="I3191" s="461" t="s">
        <v>713</v>
      </c>
      <c r="J3191" s="461" t="s">
        <v>712</v>
      </c>
      <c r="K3191" s="594"/>
      <c r="L3191" s="594"/>
      <c r="M3191" s="352">
        <v>4000</v>
      </c>
      <c r="N3191" s="352" t="s">
        <v>716</v>
      </c>
      <c r="O3191" s="460">
        <v>4241</v>
      </c>
      <c r="P3191" s="460" t="s">
        <v>777</v>
      </c>
      <c r="Q3191" s="460" t="s">
        <v>2280</v>
      </c>
      <c r="R3191" s="460">
        <v>4241</v>
      </c>
      <c r="S3191" s="460" t="s">
        <v>2324</v>
      </c>
      <c r="T3191" s="462">
        <v>1</v>
      </c>
      <c r="U3191" s="460" t="s">
        <v>2324</v>
      </c>
      <c r="V3191" s="475">
        <v>0</v>
      </c>
      <c r="W3191" s="463" t="s">
        <v>713</v>
      </c>
      <c r="X3191" s="463" t="s">
        <v>713</v>
      </c>
      <c r="Y3191" s="463" t="s">
        <v>713</v>
      </c>
      <c r="Z3191" s="463"/>
      <c r="AA3191" s="463"/>
      <c r="AB3191" s="464">
        <v>2351.7446876918907</v>
      </c>
      <c r="AC3191" s="465">
        <v>0.28297920183104441</v>
      </c>
      <c r="AD3191" s="465">
        <v>5.8720621219361564E-3</v>
      </c>
      <c r="AE3191" s="476">
        <v>2351.7446876918907</v>
      </c>
      <c r="AF3191" s="467">
        <v>0.28297920183104441</v>
      </c>
      <c r="AG3191" s="468">
        <v>5.7605438577132866E-3</v>
      </c>
      <c r="AH3191" s="218">
        <v>2351.7446876918907</v>
      </c>
      <c r="AI3191" s="470">
        <v>0.28297920183104441</v>
      </c>
      <c r="AJ3191" s="471">
        <v>5.8339807037838289E-3</v>
      </c>
      <c r="AK3191" s="218">
        <v>2351.7446876918907</v>
      </c>
      <c r="AL3191" s="470">
        <v>0.28297920183104441</v>
      </c>
      <c r="AM3191" s="471">
        <v>5.8339807037838289E-3</v>
      </c>
      <c r="AN3191" s="477">
        <v>2351.7446876918907</v>
      </c>
      <c r="AO3191" s="473">
        <v>0.28297920183104441</v>
      </c>
      <c r="AP3191" s="474">
        <v>5.8311415807292249E-3</v>
      </c>
      <c r="AQ3191" s="352"/>
      <c r="AR3191" s="352"/>
      <c r="AS3191" s="352"/>
      <c r="AT3191" s="352"/>
      <c r="AU3191" s="352"/>
      <c r="AV3191" s="352"/>
      <c r="AW3191" s="352" t="s">
        <v>254</v>
      </c>
    </row>
    <row r="3192" spans="2:49" x14ac:dyDescent="0.2">
      <c r="B3192" s="460" t="s">
        <v>3302</v>
      </c>
      <c r="C3192" s="460">
        <v>4241</v>
      </c>
      <c r="D3192" s="460" t="s">
        <v>2335</v>
      </c>
      <c r="E3192" s="460" t="s">
        <v>2327</v>
      </c>
      <c r="F3192" s="460">
        <v>2</v>
      </c>
      <c r="G3192" s="460">
        <v>3</v>
      </c>
      <c r="H3192" s="461" t="s">
        <v>712</v>
      </c>
      <c r="I3192" s="461" t="s">
        <v>713</v>
      </c>
      <c r="J3192" s="461" t="s">
        <v>712</v>
      </c>
      <c r="K3192" s="594"/>
      <c r="L3192" s="594"/>
      <c r="M3192" s="352">
        <v>4000</v>
      </c>
      <c r="N3192" s="352" t="s">
        <v>716</v>
      </c>
      <c r="O3192" s="460">
        <v>4241</v>
      </c>
      <c r="P3192" s="460" t="s">
        <v>777</v>
      </c>
      <c r="Q3192" s="460" t="s">
        <v>2280</v>
      </c>
      <c r="R3192" s="460">
        <v>4241</v>
      </c>
      <c r="S3192" s="460" t="s">
        <v>2324</v>
      </c>
      <c r="T3192" s="462">
        <v>1</v>
      </c>
      <c r="U3192" s="460" t="s">
        <v>2327</v>
      </c>
      <c r="V3192" s="475">
        <v>0</v>
      </c>
      <c r="W3192" s="463" t="s">
        <v>713</v>
      </c>
      <c r="X3192" s="463" t="s">
        <v>713</v>
      </c>
      <c r="Y3192" s="463" t="s">
        <v>713</v>
      </c>
      <c r="Z3192" s="463"/>
      <c r="AA3192" s="463"/>
      <c r="AB3192" s="464">
        <v>1005.2108189940573</v>
      </c>
      <c r="AC3192" s="465">
        <v>0.40297415205971648</v>
      </c>
      <c r="AD3192" s="465">
        <v>3.2192866547827788E-3</v>
      </c>
      <c r="AE3192" s="476">
        <v>1600.9183486221511</v>
      </c>
      <c r="AF3192" s="467">
        <v>0.64178449123582992</v>
      </c>
      <c r="AG3192" s="468">
        <v>5.0431880335842288E-3</v>
      </c>
      <c r="AH3192" s="218">
        <v>705.88585837812184</v>
      </c>
      <c r="AI3192" s="470">
        <v>0.28297920183104441</v>
      </c>
      <c r="AJ3192" s="471">
        <v>2.3125378916996225E-3</v>
      </c>
      <c r="AK3192" s="218">
        <v>705.88585837812184</v>
      </c>
      <c r="AL3192" s="470">
        <v>0.28297920183104441</v>
      </c>
      <c r="AM3192" s="471">
        <v>2.3125378916996225E-3</v>
      </c>
      <c r="AN3192" s="477">
        <v>705.88585837812184</v>
      </c>
      <c r="AO3192" s="473">
        <v>0.28297920183104441</v>
      </c>
      <c r="AP3192" s="474">
        <v>2.3116312292366923E-3</v>
      </c>
      <c r="AQ3192" s="352"/>
      <c r="AR3192" s="352"/>
      <c r="AS3192" s="352"/>
      <c r="AT3192" s="352"/>
      <c r="AU3192" s="352"/>
      <c r="AV3192" s="352"/>
      <c r="AW3192" s="352" t="s">
        <v>254</v>
      </c>
    </row>
    <row r="3193" spans="2:49" x14ac:dyDescent="0.2">
      <c r="B3193" s="460" t="s">
        <v>3303</v>
      </c>
      <c r="C3193" s="460">
        <v>4241</v>
      </c>
      <c r="D3193" s="460" t="s">
        <v>2336</v>
      </c>
      <c r="E3193" s="460" t="s">
        <v>2330</v>
      </c>
      <c r="F3193" s="460">
        <v>3</v>
      </c>
      <c r="G3193" s="460">
        <v>3</v>
      </c>
      <c r="H3193" s="461" t="s">
        <v>712</v>
      </c>
      <c r="I3193" s="461" t="s">
        <v>713</v>
      </c>
      <c r="J3193" s="461" t="s">
        <v>712</v>
      </c>
      <c r="K3193" s="594"/>
      <c r="L3193" s="594"/>
      <c r="M3193" s="352">
        <v>4000</v>
      </c>
      <c r="N3193" s="352" t="s">
        <v>716</v>
      </c>
      <c r="O3193" s="460">
        <v>4241</v>
      </c>
      <c r="P3193" s="460" t="s">
        <v>777</v>
      </c>
      <c r="Q3193" s="460" t="s">
        <v>2280</v>
      </c>
      <c r="R3193" s="460">
        <v>4241</v>
      </c>
      <c r="S3193" s="460" t="s">
        <v>2324</v>
      </c>
      <c r="T3193" s="462">
        <v>1</v>
      </c>
      <c r="U3193" s="460" t="s">
        <v>2330</v>
      </c>
      <c r="V3193" s="475">
        <v>0</v>
      </c>
      <c r="W3193" s="463" t="s">
        <v>713</v>
      </c>
      <c r="X3193" s="463" t="s">
        <v>713</v>
      </c>
      <c r="Y3193" s="463" t="s">
        <v>713</v>
      </c>
      <c r="Z3193" s="463"/>
      <c r="AA3193" s="463"/>
      <c r="AB3193" s="464">
        <v>734.94316925321073</v>
      </c>
      <c r="AC3193" s="465">
        <v>0.96492659358229826</v>
      </c>
      <c r="AD3193" s="465">
        <v>6.5073801521336903E-3</v>
      </c>
      <c r="AE3193" s="476">
        <v>745.62873254499834</v>
      </c>
      <c r="AF3193" s="467">
        <v>0.97895595614937891</v>
      </c>
      <c r="AG3193" s="468">
        <v>6.499942043432962E-3</v>
      </c>
      <c r="AH3193" s="218">
        <v>215.53311185501465</v>
      </c>
      <c r="AI3193" s="470">
        <v>0.28297920183104441</v>
      </c>
      <c r="AJ3193" s="471">
        <v>1.9506261723485215E-3</v>
      </c>
      <c r="AK3193" s="218">
        <v>215.53311185501465</v>
      </c>
      <c r="AL3193" s="470">
        <v>0.28297920183104441</v>
      </c>
      <c r="AM3193" s="471">
        <v>1.9506261723485215E-3</v>
      </c>
      <c r="AN3193" s="477">
        <v>215.53311185501465</v>
      </c>
      <c r="AO3193" s="473">
        <v>0.28297920183104441</v>
      </c>
      <c r="AP3193" s="474">
        <v>1.9556609539279502E-3</v>
      </c>
      <c r="AQ3193" s="352"/>
      <c r="AR3193" s="352"/>
      <c r="AS3193" s="352"/>
      <c r="AT3193" s="352"/>
      <c r="AU3193" s="352"/>
      <c r="AV3193" s="352"/>
      <c r="AW3193" s="352" t="s">
        <v>254</v>
      </c>
    </row>
    <row r="3194" spans="2:49" x14ac:dyDescent="0.2">
      <c r="B3194" s="460" t="s">
        <v>3304</v>
      </c>
      <c r="C3194" s="460">
        <v>4241</v>
      </c>
      <c r="D3194" s="460" t="s">
        <v>2337</v>
      </c>
      <c r="E3194" s="460" t="s">
        <v>2333</v>
      </c>
      <c r="F3194" s="460">
        <v>4</v>
      </c>
      <c r="G3194" s="460">
        <v>3</v>
      </c>
      <c r="H3194" s="461" t="s">
        <v>712</v>
      </c>
      <c r="I3194" s="461" t="s">
        <v>713</v>
      </c>
      <c r="J3194" s="461" t="s">
        <v>712</v>
      </c>
      <c r="K3194" s="594"/>
      <c r="L3194" s="594"/>
      <c r="M3194" s="352">
        <v>4000</v>
      </c>
      <c r="N3194" s="352" t="s">
        <v>716</v>
      </c>
      <c r="O3194" s="460">
        <v>4241</v>
      </c>
      <c r="P3194" s="460" t="s">
        <v>777</v>
      </c>
      <c r="Q3194" s="460" t="s">
        <v>2280</v>
      </c>
      <c r="R3194" s="460">
        <v>4241</v>
      </c>
      <c r="S3194" s="460" t="s">
        <v>2333</v>
      </c>
      <c r="T3194" s="462">
        <v>1</v>
      </c>
      <c r="U3194" s="460" t="s">
        <v>2333</v>
      </c>
      <c r="V3194" s="475">
        <v>0</v>
      </c>
      <c r="W3194" s="463" t="s">
        <v>713</v>
      </c>
      <c r="X3194" s="463" t="s">
        <v>713</v>
      </c>
      <c r="Y3194" s="463" t="s">
        <v>713</v>
      </c>
      <c r="Z3194" s="463"/>
      <c r="AA3194" s="463"/>
      <c r="AB3194" s="464">
        <v>0</v>
      </c>
      <c r="AC3194" s="465">
        <v>0</v>
      </c>
      <c r="AD3194" s="465">
        <v>0</v>
      </c>
      <c r="AE3194" s="476">
        <v>205.8532976191706</v>
      </c>
      <c r="AF3194" s="467">
        <v>0.4</v>
      </c>
      <c r="AG3194" s="468">
        <v>1.5489614069929074E-3</v>
      </c>
      <c r="AH3194" s="218">
        <v>0</v>
      </c>
      <c r="AI3194" s="470">
        <v>0</v>
      </c>
      <c r="AJ3194" s="471">
        <v>0</v>
      </c>
      <c r="AK3194" s="218">
        <v>0</v>
      </c>
      <c r="AL3194" s="470">
        <v>0</v>
      </c>
      <c r="AM3194" s="471">
        <v>0</v>
      </c>
      <c r="AN3194" s="477">
        <v>0</v>
      </c>
      <c r="AO3194" s="473">
        <v>0</v>
      </c>
      <c r="AP3194" s="474">
        <v>0</v>
      </c>
      <c r="AQ3194" s="352"/>
      <c r="AR3194" s="352"/>
      <c r="AS3194" s="352"/>
      <c r="AT3194" s="352"/>
      <c r="AU3194" s="352"/>
      <c r="AV3194" s="352"/>
      <c r="AW3194" s="352" t="s">
        <v>254</v>
      </c>
    </row>
    <row r="3195" spans="2:49" x14ac:dyDescent="0.2">
      <c r="B3195" s="460" t="s">
        <v>3301</v>
      </c>
      <c r="C3195" s="460">
        <v>4241</v>
      </c>
      <c r="D3195" s="460" t="s">
        <v>2338</v>
      </c>
      <c r="E3195" s="460" t="s">
        <v>2324</v>
      </c>
      <c r="F3195" s="460">
        <v>1</v>
      </c>
      <c r="G3195" s="460">
        <v>3</v>
      </c>
      <c r="H3195" s="461" t="s">
        <v>746</v>
      </c>
      <c r="I3195" s="461" t="s">
        <v>762</v>
      </c>
      <c r="J3195" s="461" t="s">
        <v>700</v>
      </c>
      <c r="K3195" s="594"/>
      <c r="L3195" s="594"/>
      <c r="M3195" s="352">
        <v>4000</v>
      </c>
      <c r="N3195" s="352" t="s">
        <v>716</v>
      </c>
      <c r="O3195" s="460">
        <v>4241</v>
      </c>
      <c r="P3195" s="460" t="s">
        <v>777</v>
      </c>
      <c r="Q3195" s="460" t="s">
        <v>2444</v>
      </c>
      <c r="R3195" s="460">
        <v>4241</v>
      </c>
      <c r="S3195" s="460" t="s">
        <v>2324</v>
      </c>
      <c r="T3195" s="462">
        <v>1</v>
      </c>
      <c r="U3195" s="460" t="s">
        <v>2324</v>
      </c>
      <c r="V3195" s="475">
        <v>0</v>
      </c>
      <c r="W3195" s="463" t="s">
        <v>2268</v>
      </c>
      <c r="X3195" s="463" t="s">
        <v>2268</v>
      </c>
      <c r="Y3195" s="463" t="s">
        <v>2290</v>
      </c>
      <c r="Z3195" s="463"/>
      <c r="AA3195" s="463"/>
      <c r="AB3195" s="464">
        <v>0</v>
      </c>
      <c r="AC3195" s="465">
        <v>0</v>
      </c>
      <c r="AD3195" s="465">
        <v>0</v>
      </c>
      <c r="AE3195" s="476">
        <v>0</v>
      </c>
      <c r="AF3195" s="467">
        <v>0</v>
      </c>
      <c r="AG3195" s="468">
        <v>0</v>
      </c>
      <c r="AH3195" s="218">
        <v>0</v>
      </c>
      <c r="AI3195" s="470">
        <v>0</v>
      </c>
      <c r="AJ3195" s="471">
        <v>0</v>
      </c>
      <c r="AK3195" s="218">
        <v>0</v>
      </c>
      <c r="AL3195" s="470">
        <v>0</v>
      </c>
      <c r="AM3195" s="471">
        <v>0</v>
      </c>
      <c r="AN3195" s="477">
        <v>0</v>
      </c>
      <c r="AO3195" s="473">
        <v>0</v>
      </c>
      <c r="AP3195" s="474">
        <v>0</v>
      </c>
      <c r="AQ3195" s="352"/>
      <c r="AR3195" s="352"/>
      <c r="AS3195" s="352"/>
      <c r="AT3195" s="352"/>
      <c r="AU3195" s="352"/>
      <c r="AV3195" s="352"/>
      <c r="AW3195" s="352" t="s">
        <v>254</v>
      </c>
    </row>
    <row r="3196" spans="2:49" x14ac:dyDescent="0.2">
      <c r="B3196" s="460" t="s">
        <v>3302</v>
      </c>
      <c r="C3196" s="460">
        <v>4241</v>
      </c>
      <c r="D3196" s="460" t="s">
        <v>2339</v>
      </c>
      <c r="E3196" s="460" t="s">
        <v>2327</v>
      </c>
      <c r="F3196" s="460">
        <v>2</v>
      </c>
      <c r="G3196" s="460">
        <v>3</v>
      </c>
      <c r="H3196" s="461" t="s">
        <v>746</v>
      </c>
      <c r="I3196" s="461" t="s">
        <v>762</v>
      </c>
      <c r="J3196" s="461" t="s">
        <v>700</v>
      </c>
      <c r="K3196" s="594"/>
      <c r="L3196" s="594"/>
      <c r="M3196" s="352">
        <v>4000</v>
      </c>
      <c r="N3196" s="352" t="s">
        <v>716</v>
      </c>
      <c r="O3196" s="460">
        <v>4241</v>
      </c>
      <c r="P3196" s="460" t="s">
        <v>777</v>
      </c>
      <c r="Q3196" s="460" t="s">
        <v>2444</v>
      </c>
      <c r="R3196" s="460">
        <v>4241</v>
      </c>
      <c r="S3196" s="460" t="s">
        <v>2324</v>
      </c>
      <c r="T3196" s="462">
        <v>1</v>
      </c>
      <c r="U3196" s="460" t="s">
        <v>2327</v>
      </c>
      <c r="V3196" s="475">
        <v>0</v>
      </c>
      <c r="W3196" s="463" t="s">
        <v>2268</v>
      </c>
      <c r="X3196" s="463" t="s">
        <v>2268</v>
      </c>
      <c r="Y3196" s="463" t="s">
        <v>2290</v>
      </c>
      <c r="Z3196" s="463"/>
      <c r="AA3196" s="463"/>
      <c r="AB3196" s="464">
        <v>0</v>
      </c>
      <c r="AC3196" s="465">
        <v>0</v>
      </c>
      <c r="AD3196" s="465">
        <v>0</v>
      </c>
      <c r="AE3196" s="476">
        <v>0</v>
      </c>
      <c r="AF3196" s="467">
        <v>0</v>
      </c>
      <c r="AG3196" s="468">
        <v>0</v>
      </c>
      <c r="AH3196" s="218">
        <v>0</v>
      </c>
      <c r="AI3196" s="470">
        <v>0</v>
      </c>
      <c r="AJ3196" s="471">
        <v>0</v>
      </c>
      <c r="AK3196" s="218">
        <v>0</v>
      </c>
      <c r="AL3196" s="470">
        <v>0</v>
      </c>
      <c r="AM3196" s="471">
        <v>0</v>
      </c>
      <c r="AN3196" s="477">
        <v>0</v>
      </c>
      <c r="AO3196" s="473">
        <v>0</v>
      </c>
      <c r="AP3196" s="474">
        <v>0</v>
      </c>
      <c r="AQ3196" s="352"/>
      <c r="AR3196" s="352"/>
      <c r="AS3196" s="352"/>
      <c r="AT3196" s="352"/>
      <c r="AU3196" s="352"/>
      <c r="AV3196" s="352"/>
      <c r="AW3196" s="352" t="s">
        <v>254</v>
      </c>
    </row>
    <row r="3197" spans="2:49" x14ac:dyDescent="0.2">
      <c r="B3197" s="460" t="s">
        <v>3303</v>
      </c>
      <c r="C3197" s="460">
        <v>4241</v>
      </c>
      <c r="D3197" s="460" t="s">
        <v>2340</v>
      </c>
      <c r="E3197" s="460" t="s">
        <v>2330</v>
      </c>
      <c r="F3197" s="460">
        <v>3</v>
      </c>
      <c r="G3197" s="460">
        <v>3</v>
      </c>
      <c r="H3197" s="461" t="s">
        <v>746</v>
      </c>
      <c r="I3197" s="461" t="s">
        <v>762</v>
      </c>
      <c r="J3197" s="461" t="s">
        <v>700</v>
      </c>
      <c r="K3197" s="594"/>
      <c r="L3197" s="594"/>
      <c r="M3197" s="352">
        <v>4000</v>
      </c>
      <c r="N3197" s="352" t="s">
        <v>716</v>
      </c>
      <c r="O3197" s="460">
        <v>4241</v>
      </c>
      <c r="P3197" s="460" t="s">
        <v>777</v>
      </c>
      <c r="Q3197" s="460" t="s">
        <v>2444</v>
      </c>
      <c r="R3197" s="460">
        <v>4241</v>
      </c>
      <c r="S3197" s="460" t="s">
        <v>2324</v>
      </c>
      <c r="T3197" s="462">
        <v>1</v>
      </c>
      <c r="U3197" s="460" t="s">
        <v>2330</v>
      </c>
      <c r="V3197" s="475">
        <v>0</v>
      </c>
      <c r="W3197" s="463" t="s">
        <v>2268</v>
      </c>
      <c r="X3197" s="463" t="s">
        <v>2268</v>
      </c>
      <c r="Y3197" s="463" t="s">
        <v>2290</v>
      </c>
      <c r="Z3197" s="463"/>
      <c r="AA3197" s="463"/>
      <c r="AB3197" s="464">
        <v>0</v>
      </c>
      <c r="AC3197" s="465">
        <v>0</v>
      </c>
      <c r="AD3197" s="465">
        <v>0</v>
      </c>
      <c r="AE3197" s="476">
        <v>0</v>
      </c>
      <c r="AF3197" s="467">
        <v>0</v>
      </c>
      <c r="AG3197" s="468">
        <v>0</v>
      </c>
      <c r="AH3197" s="218">
        <v>0</v>
      </c>
      <c r="AI3197" s="470">
        <v>0</v>
      </c>
      <c r="AJ3197" s="471">
        <v>0</v>
      </c>
      <c r="AK3197" s="218">
        <v>0</v>
      </c>
      <c r="AL3197" s="470">
        <v>0</v>
      </c>
      <c r="AM3197" s="471">
        <v>0</v>
      </c>
      <c r="AN3197" s="477">
        <v>0</v>
      </c>
      <c r="AO3197" s="473">
        <v>0</v>
      </c>
      <c r="AP3197" s="474">
        <v>0</v>
      </c>
      <c r="AQ3197" s="352"/>
      <c r="AR3197" s="352"/>
      <c r="AS3197" s="352"/>
      <c r="AT3197" s="352"/>
      <c r="AU3197" s="352"/>
      <c r="AV3197" s="352"/>
      <c r="AW3197" s="352" t="s">
        <v>254</v>
      </c>
    </row>
    <row r="3198" spans="2:49" x14ac:dyDescent="0.2">
      <c r="B3198" s="460" t="s">
        <v>3304</v>
      </c>
      <c r="C3198" s="460">
        <v>4241</v>
      </c>
      <c r="D3198" s="460" t="s">
        <v>2341</v>
      </c>
      <c r="E3198" s="460" t="s">
        <v>2333</v>
      </c>
      <c r="F3198" s="460">
        <v>4</v>
      </c>
      <c r="G3198" s="460">
        <v>3</v>
      </c>
      <c r="H3198" s="461" t="s">
        <v>746</v>
      </c>
      <c r="I3198" s="461" t="s">
        <v>762</v>
      </c>
      <c r="J3198" s="461" t="s">
        <v>700</v>
      </c>
      <c r="K3198" s="594"/>
      <c r="L3198" s="594"/>
      <c r="M3198" s="352">
        <v>4000</v>
      </c>
      <c r="N3198" s="352" t="s">
        <v>716</v>
      </c>
      <c r="O3198" s="460">
        <v>4241</v>
      </c>
      <c r="P3198" s="460" t="s">
        <v>777</v>
      </c>
      <c r="Q3198" s="460" t="s">
        <v>2444</v>
      </c>
      <c r="R3198" s="460">
        <v>4241</v>
      </c>
      <c r="S3198" s="460" t="s">
        <v>2333</v>
      </c>
      <c r="T3198" s="462">
        <v>1</v>
      </c>
      <c r="U3198" s="460" t="s">
        <v>2333</v>
      </c>
      <c r="V3198" s="475">
        <v>0</v>
      </c>
      <c r="W3198" s="463" t="s">
        <v>2268</v>
      </c>
      <c r="X3198" s="463" t="s">
        <v>2268</v>
      </c>
      <c r="Y3198" s="463" t="s">
        <v>2290</v>
      </c>
      <c r="Z3198" s="463"/>
      <c r="AA3198" s="463"/>
      <c r="AB3198" s="464">
        <v>0</v>
      </c>
      <c r="AC3198" s="465">
        <v>0</v>
      </c>
      <c r="AD3198" s="465">
        <v>0</v>
      </c>
      <c r="AE3198" s="476">
        <v>0</v>
      </c>
      <c r="AF3198" s="467">
        <v>0</v>
      </c>
      <c r="AG3198" s="468">
        <v>0</v>
      </c>
      <c r="AH3198" s="218">
        <v>0</v>
      </c>
      <c r="AI3198" s="470">
        <v>0</v>
      </c>
      <c r="AJ3198" s="471">
        <v>0</v>
      </c>
      <c r="AK3198" s="218">
        <v>0</v>
      </c>
      <c r="AL3198" s="470">
        <v>0</v>
      </c>
      <c r="AM3198" s="471">
        <v>0</v>
      </c>
      <c r="AN3198" s="477">
        <v>0</v>
      </c>
      <c r="AO3198" s="473">
        <v>0</v>
      </c>
      <c r="AP3198" s="474">
        <v>0</v>
      </c>
      <c r="AQ3198" s="352"/>
      <c r="AR3198" s="352"/>
      <c r="AS3198" s="352"/>
      <c r="AT3198" s="352"/>
      <c r="AU3198" s="352"/>
      <c r="AV3198" s="352"/>
      <c r="AW3198" s="352" t="s">
        <v>254</v>
      </c>
    </row>
    <row r="3199" spans="2:49" x14ac:dyDescent="0.2">
      <c r="B3199" s="460" t="s">
        <v>3301</v>
      </c>
      <c r="C3199" s="460">
        <v>4241</v>
      </c>
      <c r="D3199" s="460" t="s">
        <v>2342</v>
      </c>
      <c r="E3199" s="460" t="s">
        <v>2324</v>
      </c>
      <c r="F3199" s="460">
        <v>1</v>
      </c>
      <c r="G3199" s="460">
        <v>3</v>
      </c>
      <c r="H3199" s="461" t="s">
        <v>748</v>
      </c>
      <c r="I3199" s="461" t="s">
        <v>765</v>
      </c>
      <c r="J3199" s="461" t="s">
        <v>700</v>
      </c>
      <c r="K3199" s="594"/>
      <c r="L3199" s="594"/>
      <c r="M3199" s="352">
        <v>4000</v>
      </c>
      <c r="N3199" s="352" t="s">
        <v>716</v>
      </c>
      <c r="O3199" s="460">
        <v>4241</v>
      </c>
      <c r="P3199" s="460" t="s">
        <v>777</v>
      </c>
      <c r="Q3199" s="460" t="s">
        <v>2440</v>
      </c>
      <c r="R3199" s="460">
        <v>4241</v>
      </c>
      <c r="S3199" s="460" t="s">
        <v>2324</v>
      </c>
      <c r="T3199" s="462">
        <v>1</v>
      </c>
      <c r="U3199" s="460" t="s">
        <v>2324</v>
      </c>
      <c r="V3199" s="475">
        <v>0</v>
      </c>
      <c r="W3199" s="463" t="s">
        <v>2268</v>
      </c>
      <c r="X3199" s="463" t="s">
        <v>2268</v>
      </c>
      <c r="Y3199" s="463" t="s">
        <v>2267</v>
      </c>
      <c r="Z3199" s="463"/>
      <c r="AA3199" s="463"/>
      <c r="AB3199" s="464">
        <v>0</v>
      </c>
      <c r="AC3199" s="465">
        <v>0</v>
      </c>
      <c r="AD3199" s="465">
        <v>0</v>
      </c>
      <c r="AE3199" s="476">
        <v>0</v>
      </c>
      <c r="AF3199" s="467">
        <v>0</v>
      </c>
      <c r="AG3199" s="468">
        <v>0</v>
      </c>
      <c r="AH3199" s="218">
        <v>0</v>
      </c>
      <c r="AI3199" s="470">
        <v>0</v>
      </c>
      <c r="AJ3199" s="471">
        <v>0</v>
      </c>
      <c r="AK3199" s="218">
        <v>0</v>
      </c>
      <c r="AL3199" s="470">
        <v>0</v>
      </c>
      <c r="AM3199" s="471">
        <v>0</v>
      </c>
      <c r="AN3199" s="477">
        <v>5958.9179775312004</v>
      </c>
      <c r="AO3199" s="473">
        <v>0.71702079816895559</v>
      </c>
      <c r="AP3199" s="474">
        <v>0.31017249760328935</v>
      </c>
      <c r="AQ3199" s="352"/>
      <c r="AR3199" s="352"/>
      <c r="AS3199" s="352"/>
      <c r="AT3199" s="352"/>
      <c r="AU3199" s="352"/>
      <c r="AV3199" s="352"/>
      <c r="AW3199" s="352" t="s">
        <v>254</v>
      </c>
    </row>
    <row r="3200" spans="2:49" x14ac:dyDescent="0.2">
      <c r="B3200" s="460" t="s">
        <v>3302</v>
      </c>
      <c r="C3200" s="460">
        <v>4241</v>
      </c>
      <c r="D3200" s="460" t="s">
        <v>2343</v>
      </c>
      <c r="E3200" s="460" t="s">
        <v>2327</v>
      </c>
      <c r="F3200" s="460">
        <v>2</v>
      </c>
      <c r="G3200" s="460">
        <v>3</v>
      </c>
      <c r="H3200" s="461" t="s">
        <v>748</v>
      </c>
      <c r="I3200" s="461" t="s">
        <v>765</v>
      </c>
      <c r="J3200" s="461" t="s">
        <v>700</v>
      </c>
      <c r="K3200" s="594"/>
      <c r="L3200" s="594"/>
      <c r="M3200" s="352">
        <v>4000</v>
      </c>
      <c r="N3200" s="352" t="s">
        <v>716</v>
      </c>
      <c r="O3200" s="460">
        <v>4241</v>
      </c>
      <c r="P3200" s="460" t="s">
        <v>777</v>
      </c>
      <c r="Q3200" s="460" t="s">
        <v>2440</v>
      </c>
      <c r="R3200" s="460">
        <v>4241</v>
      </c>
      <c r="S3200" s="460" t="s">
        <v>2324</v>
      </c>
      <c r="T3200" s="462">
        <v>1</v>
      </c>
      <c r="U3200" s="460" t="s">
        <v>2327</v>
      </c>
      <c r="V3200" s="475">
        <v>0</v>
      </c>
      <c r="W3200" s="463" t="s">
        <v>2268</v>
      </c>
      <c r="X3200" s="463" t="s">
        <v>2268</v>
      </c>
      <c r="Y3200" s="463" t="s">
        <v>2267</v>
      </c>
      <c r="Z3200" s="463"/>
      <c r="AA3200" s="463"/>
      <c r="AB3200" s="464">
        <v>0</v>
      </c>
      <c r="AC3200" s="465">
        <v>0</v>
      </c>
      <c r="AD3200" s="465">
        <v>0</v>
      </c>
      <c r="AE3200" s="476">
        <v>0</v>
      </c>
      <c r="AF3200" s="467">
        <v>0</v>
      </c>
      <c r="AG3200" s="468">
        <v>0</v>
      </c>
      <c r="AH3200" s="218">
        <v>0</v>
      </c>
      <c r="AI3200" s="470">
        <v>0</v>
      </c>
      <c r="AJ3200" s="471">
        <v>0</v>
      </c>
      <c r="AK3200" s="218">
        <v>0</v>
      </c>
      <c r="AL3200" s="470">
        <v>0</v>
      </c>
      <c r="AM3200" s="471">
        <v>0</v>
      </c>
      <c r="AN3200" s="477">
        <v>1788.59378468617</v>
      </c>
      <c r="AO3200" s="473">
        <v>0.71702079816895559</v>
      </c>
      <c r="AP3200" s="474">
        <v>0.15899438394460008</v>
      </c>
      <c r="AQ3200" s="352"/>
      <c r="AR3200" s="352"/>
      <c r="AS3200" s="352"/>
      <c r="AT3200" s="352"/>
      <c r="AU3200" s="352"/>
      <c r="AV3200" s="352"/>
      <c r="AW3200" s="352" t="s">
        <v>254</v>
      </c>
    </row>
    <row r="3201" spans="2:49" x14ac:dyDescent="0.2">
      <c r="B3201" s="460" t="s">
        <v>3303</v>
      </c>
      <c r="C3201" s="460">
        <v>4241</v>
      </c>
      <c r="D3201" s="460" t="s">
        <v>2344</v>
      </c>
      <c r="E3201" s="460" t="s">
        <v>2330</v>
      </c>
      <c r="F3201" s="460">
        <v>3</v>
      </c>
      <c r="G3201" s="460">
        <v>3</v>
      </c>
      <c r="H3201" s="461" t="s">
        <v>748</v>
      </c>
      <c r="I3201" s="461" t="s">
        <v>765</v>
      </c>
      <c r="J3201" s="461" t="s">
        <v>700</v>
      </c>
      <c r="K3201" s="594"/>
      <c r="L3201" s="594"/>
      <c r="M3201" s="352">
        <v>4000</v>
      </c>
      <c r="N3201" s="352" t="s">
        <v>716</v>
      </c>
      <c r="O3201" s="460">
        <v>4241</v>
      </c>
      <c r="P3201" s="460" t="s">
        <v>777</v>
      </c>
      <c r="Q3201" s="460" t="s">
        <v>2440</v>
      </c>
      <c r="R3201" s="460">
        <v>4241</v>
      </c>
      <c r="S3201" s="460" t="s">
        <v>2324</v>
      </c>
      <c r="T3201" s="462">
        <v>1</v>
      </c>
      <c r="U3201" s="460" t="s">
        <v>2330</v>
      </c>
      <c r="V3201" s="475">
        <v>0</v>
      </c>
      <c r="W3201" s="463" t="s">
        <v>2268</v>
      </c>
      <c r="X3201" s="463" t="s">
        <v>2268</v>
      </c>
      <c r="Y3201" s="463" t="s">
        <v>2267</v>
      </c>
      <c r="Z3201" s="463"/>
      <c r="AA3201" s="463"/>
      <c r="AB3201" s="464">
        <v>0</v>
      </c>
      <c r="AC3201" s="465">
        <v>0</v>
      </c>
      <c r="AD3201" s="465">
        <v>0</v>
      </c>
      <c r="AE3201" s="476">
        <v>0</v>
      </c>
      <c r="AF3201" s="467">
        <v>0</v>
      </c>
      <c r="AG3201" s="468">
        <v>0</v>
      </c>
      <c r="AH3201" s="218">
        <v>0</v>
      </c>
      <c r="AI3201" s="470">
        <v>0</v>
      </c>
      <c r="AJ3201" s="471">
        <v>0</v>
      </c>
      <c r="AK3201" s="218">
        <v>0</v>
      </c>
      <c r="AL3201" s="470">
        <v>0</v>
      </c>
      <c r="AM3201" s="471">
        <v>0</v>
      </c>
      <c r="AN3201" s="477">
        <v>546.12396562766503</v>
      </c>
      <c r="AO3201" s="473">
        <v>0.71702079816895559</v>
      </c>
      <c r="AP3201" s="474">
        <v>0.1488639550557915</v>
      </c>
      <c r="AQ3201" s="352"/>
      <c r="AR3201" s="352"/>
      <c r="AS3201" s="352"/>
      <c r="AT3201" s="352"/>
      <c r="AU3201" s="352"/>
      <c r="AV3201" s="352"/>
      <c r="AW3201" s="352" t="s">
        <v>254</v>
      </c>
    </row>
    <row r="3202" spans="2:49" x14ac:dyDescent="0.2">
      <c r="B3202" s="460" t="s">
        <v>3304</v>
      </c>
      <c r="C3202" s="460">
        <v>4241</v>
      </c>
      <c r="D3202" s="460" t="s">
        <v>2345</v>
      </c>
      <c r="E3202" s="460" t="s">
        <v>2333</v>
      </c>
      <c r="F3202" s="460">
        <v>4</v>
      </c>
      <c r="G3202" s="460">
        <v>3</v>
      </c>
      <c r="H3202" s="461" t="s">
        <v>748</v>
      </c>
      <c r="I3202" s="461" t="s">
        <v>765</v>
      </c>
      <c r="J3202" s="461" t="s">
        <v>700</v>
      </c>
      <c r="K3202" s="594"/>
      <c r="L3202" s="594"/>
      <c r="M3202" s="352">
        <v>4000</v>
      </c>
      <c r="N3202" s="352" t="s">
        <v>716</v>
      </c>
      <c r="O3202" s="460">
        <v>4241</v>
      </c>
      <c r="P3202" s="460" t="s">
        <v>777</v>
      </c>
      <c r="Q3202" s="460" t="s">
        <v>2440</v>
      </c>
      <c r="R3202" s="460">
        <v>4241</v>
      </c>
      <c r="S3202" s="460" t="s">
        <v>2333</v>
      </c>
      <c r="T3202" s="462">
        <v>1</v>
      </c>
      <c r="U3202" s="460" t="s">
        <v>2333</v>
      </c>
      <c r="V3202" s="475">
        <v>0</v>
      </c>
      <c r="W3202" s="463" t="s">
        <v>2268</v>
      </c>
      <c r="X3202" s="463" t="s">
        <v>2268</v>
      </c>
      <c r="Y3202" s="463" t="s">
        <v>2278</v>
      </c>
      <c r="Z3202" s="463"/>
      <c r="AA3202" s="463"/>
      <c r="AB3202" s="464">
        <v>0</v>
      </c>
      <c r="AC3202" s="465">
        <v>0</v>
      </c>
      <c r="AD3202" s="465">
        <v>0</v>
      </c>
      <c r="AE3202" s="476">
        <v>0</v>
      </c>
      <c r="AF3202" s="467">
        <v>0</v>
      </c>
      <c r="AG3202" s="468">
        <v>0</v>
      </c>
      <c r="AH3202" s="218">
        <v>0</v>
      </c>
      <c r="AI3202" s="470">
        <v>0</v>
      </c>
      <c r="AJ3202" s="471">
        <v>0</v>
      </c>
      <c r="AK3202" s="218">
        <v>0</v>
      </c>
      <c r="AL3202" s="470">
        <v>0</v>
      </c>
      <c r="AM3202" s="471">
        <v>0</v>
      </c>
      <c r="AN3202" s="477">
        <v>514.6332440479265</v>
      </c>
      <c r="AO3202" s="473">
        <v>1</v>
      </c>
      <c r="AP3202" s="474">
        <v>0.32047474755354033</v>
      </c>
      <c r="AQ3202" s="352"/>
      <c r="AR3202" s="352"/>
      <c r="AS3202" s="352"/>
      <c r="AT3202" s="352"/>
      <c r="AU3202" s="352"/>
      <c r="AV3202" s="352"/>
      <c r="AW3202" s="352" t="s">
        <v>254</v>
      </c>
    </row>
    <row r="3203" spans="2:49" x14ac:dyDescent="0.2">
      <c r="B3203" s="460" t="s">
        <v>3301</v>
      </c>
      <c r="C3203" s="460">
        <v>4241</v>
      </c>
      <c r="D3203" s="460" t="s">
        <v>2346</v>
      </c>
      <c r="E3203" s="460" t="s">
        <v>2324</v>
      </c>
      <c r="F3203" s="460">
        <v>1</v>
      </c>
      <c r="G3203" s="460">
        <v>3</v>
      </c>
      <c r="H3203" s="461" t="s">
        <v>752</v>
      </c>
      <c r="I3203" s="461" t="s">
        <v>964</v>
      </c>
      <c r="J3203" s="461" t="s">
        <v>752</v>
      </c>
      <c r="K3203" s="594"/>
      <c r="L3203" s="594"/>
      <c r="M3203" s="352">
        <v>4000</v>
      </c>
      <c r="N3203" s="352" t="s">
        <v>716</v>
      </c>
      <c r="O3203" s="460">
        <v>4241</v>
      </c>
      <c r="P3203" s="460" t="s">
        <v>777</v>
      </c>
      <c r="Q3203" s="460" t="s">
        <v>2440</v>
      </c>
      <c r="R3203" s="460">
        <v>4241</v>
      </c>
      <c r="S3203" s="460" t="s">
        <v>2324</v>
      </c>
      <c r="T3203" s="462">
        <v>1</v>
      </c>
      <c r="U3203" s="460" t="s">
        <v>2324</v>
      </c>
      <c r="V3203" s="475">
        <v>0</v>
      </c>
      <c r="W3203" s="463" t="s">
        <v>2278</v>
      </c>
      <c r="X3203" s="463" t="s">
        <v>2278</v>
      </c>
      <c r="Y3203" s="463" t="s">
        <v>2278</v>
      </c>
      <c r="Z3203" s="463"/>
      <c r="AA3203" s="463"/>
      <c r="AB3203" s="464">
        <v>0</v>
      </c>
      <c r="AC3203" s="465">
        <v>0</v>
      </c>
      <c r="AD3203" s="465">
        <v>0</v>
      </c>
      <c r="AE3203" s="476">
        <v>0</v>
      </c>
      <c r="AF3203" s="467">
        <v>0</v>
      </c>
      <c r="AG3203" s="468">
        <v>0</v>
      </c>
      <c r="AH3203" s="218">
        <v>0</v>
      </c>
      <c r="AI3203" s="470">
        <v>0</v>
      </c>
      <c r="AJ3203" s="471">
        <v>0</v>
      </c>
      <c r="AK3203" s="218">
        <v>0</v>
      </c>
      <c r="AL3203" s="470">
        <v>0</v>
      </c>
      <c r="AM3203" s="471">
        <v>0</v>
      </c>
      <c r="AN3203" s="477">
        <v>0</v>
      </c>
      <c r="AO3203" s="473">
        <v>0</v>
      </c>
      <c r="AP3203" s="474">
        <v>0</v>
      </c>
      <c r="AQ3203" s="352"/>
      <c r="AR3203" s="352"/>
      <c r="AS3203" s="352"/>
      <c r="AT3203" s="352"/>
      <c r="AU3203" s="352"/>
      <c r="AV3203" s="352"/>
      <c r="AW3203" s="352" t="s">
        <v>254</v>
      </c>
    </row>
    <row r="3204" spans="2:49" x14ac:dyDescent="0.2">
      <c r="B3204" s="460" t="s">
        <v>3302</v>
      </c>
      <c r="C3204" s="460">
        <v>4241</v>
      </c>
      <c r="D3204" s="460" t="s">
        <v>2347</v>
      </c>
      <c r="E3204" s="460" t="s">
        <v>2327</v>
      </c>
      <c r="F3204" s="460">
        <v>2</v>
      </c>
      <c r="G3204" s="460">
        <v>3</v>
      </c>
      <c r="H3204" s="461" t="s">
        <v>752</v>
      </c>
      <c r="I3204" s="461" t="s">
        <v>964</v>
      </c>
      <c r="J3204" s="461" t="s">
        <v>752</v>
      </c>
      <c r="K3204" s="594"/>
      <c r="L3204" s="594"/>
      <c r="M3204" s="352">
        <v>4000</v>
      </c>
      <c r="N3204" s="352" t="s">
        <v>716</v>
      </c>
      <c r="O3204" s="460">
        <v>4241</v>
      </c>
      <c r="P3204" s="460" t="s">
        <v>777</v>
      </c>
      <c r="Q3204" s="460" t="s">
        <v>2440</v>
      </c>
      <c r="R3204" s="460">
        <v>4241</v>
      </c>
      <c r="S3204" s="460" t="s">
        <v>2324</v>
      </c>
      <c r="T3204" s="462">
        <v>1</v>
      </c>
      <c r="U3204" s="460" t="s">
        <v>2327</v>
      </c>
      <c r="V3204" s="475">
        <v>0</v>
      </c>
      <c r="W3204" s="463" t="s">
        <v>2278</v>
      </c>
      <c r="X3204" s="463" t="s">
        <v>2278</v>
      </c>
      <c r="Y3204" s="463" t="s">
        <v>2278</v>
      </c>
      <c r="Z3204" s="463"/>
      <c r="AA3204" s="463"/>
      <c r="AB3204" s="464">
        <v>0</v>
      </c>
      <c r="AC3204" s="465">
        <v>0</v>
      </c>
      <c r="AD3204" s="465">
        <v>0</v>
      </c>
      <c r="AE3204" s="476">
        <v>0</v>
      </c>
      <c r="AF3204" s="467">
        <v>0</v>
      </c>
      <c r="AG3204" s="468">
        <v>0</v>
      </c>
      <c r="AH3204" s="218">
        <v>0</v>
      </c>
      <c r="AI3204" s="470">
        <v>0</v>
      </c>
      <c r="AJ3204" s="471">
        <v>0</v>
      </c>
      <c r="AK3204" s="218">
        <v>0</v>
      </c>
      <c r="AL3204" s="470">
        <v>0</v>
      </c>
      <c r="AM3204" s="471">
        <v>0</v>
      </c>
      <c r="AN3204" s="477">
        <v>0</v>
      </c>
      <c r="AO3204" s="473">
        <v>0</v>
      </c>
      <c r="AP3204" s="474">
        <v>0</v>
      </c>
      <c r="AQ3204" s="352"/>
      <c r="AR3204" s="352"/>
      <c r="AS3204" s="352"/>
      <c r="AT3204" s="352"/>
      <c r="AU3204" s="352"/>
      <c r="AV3204" s="352"/>
      <c r="AW3204" s="352" t="s">
        <v>254</v>
      </c>
    </row>
    <row r="3205" spans="2:49" x14ac:dyDescent="0.2">
      <c r="B3205" s="460" t="s">
        <v>3303</v>
      </c>
      <c r="C3205" s="460">
        <v>4241</v>
      </c>
      <c r="D3205" s="460" t="s">
        <v>2348</v>
      </c>
      <c r="E3205" s="460" t="s">
        <v>2330</v>
      </c>
      <c r="F3205" s="460">
        <v>3</v>
      </c>
      <c r="G3205" s="460">
        <v>3</v>
      </c>
      <c r="H3205" s="461" t="s">
        <v>752</v>
      </c>
      <c r="I3205" s="461" t="s">
        <v>964</v>
      </c>
      <c r="J3205" s="461" t="s">
        <v>752</v>
      </c>
      <c r="K3205" s="594"/>
      <c r="L3205" s="594"/>
      <c r="M3205" s="352">
        <v>4000</v>
      </c>
      <c r="N3205" s="352" t="s">
        <v>716</v>
      </c>
      <c r="O3205" s="460">
        <v>4241</v>
      </c>
      <c r="P3205" s="460" t="s">
        <v>777</v>
      </c>
      <c r="Q3205" s="460" t="s">
        <v>2440</v>
      </c>
      <c r="R3205" s="460">
        <v>4241</v>
      </c>
      <c r="S3205" s="460" t="s">
        <v>2324</v>
      </c>
      <c r="T3205" s="462">
        <v>1</v>
      </c>
      <c r="U3205" s="460" t="s">
        <v>2330</v>
      </c>
      <c r="V3205" s="475">
        <v>0</v>
      </c>
      <c r="W3205" s="463" t="s">
        <v>2278</v>
      </c>
      <c r="X3205" s="463" t="s">
        <v>2278</v>
      </c>
      <c r="Y3205" s="463" t="s">
        <v>2278</v>
      </c>
      <c r="Z3205" s="463"/>
      <c r="AA3205" s="463"/>
      <c r="AB3205" s="464">
        <v>0</v>
      </c>
      <c r="AC3205" s="465">
        <v>0</v>
      </c>
      <c r="AD3205" s="465">
        <v>0</v>
      </c>
      <c r="AE3205" s="476">
        <v>0</v>
      </c>
      <c r="AF3205" s="467">
        <v>0</v>
      </c>
      <c r="AG3205" s="468">
        <v>0</v>
      </c>
      <c r="AH3205" s="218">
        <v>0</v>
      </c>
      <c r="AI3205" s="470">
        <v>0</v>
      </c>
      <c r="AJ3205" s="471">
        <v>0</v>
      </c>
      <c r="AK3205" s="218">
        <v>0</v>
      </c>
      <c r="AL3205" s="470">
        <v>0</v>
      </c>
      <c r="AM3205" s="471">
        <v>0</v>
      </c>
      <c r="AN3205" s="477">
        <v>0</v>
      </c>
      <c r="AO3205" s="473">
        <v>0</v>
      </c>
      <c r="AP3205" s="474">
        <v>0</v>
      </c>
      <c r="AQ3205" s="352"/>
      <c r="AR3205" s="352"/>
      <c r="AS3205" s="352"/>
      <c r="AT3205" s="352"/>
      <c r="AU3205" s="352"/>
      <c r="AV3205" s="352"/>
      <c r="AW3205" s="352" t="s">
        <v>254</v>
      </c>
    </row>
    <row r="3206" spans="2:49" x14ac:dyDescent="0.2">
      <c r="B3206" s="460" t="s">
        <v>3304</v>
      </c>
      <c r="C3206" s="460">
        <v>4241</v>
      </c>
      <c r="D3206" s="460" t="s">
        <v>2349</v>
      </c>
      <c r="E3206" s="460" t="s">
        <v>2333</v>
      </c>
      <c r="F3206" s="460">
        <v>4</v>
      </c>
      <c r="G3206" s="460">
        <v>3</v>
      </c>
      <c r="H3206" s="461" t="s">
        <v>752</v>
      </c>
      <c r="I3206" s="461" t="s">
        <v>964</v>
      </c>
      <c r="J3206" s="461" t="s">
        <v>752</v>
      </c>
      <c r="K3206" s="594"/>
      <c r="L3206" s="594"/>
      <c r="M3206" s="352">
        <v>4000</v>
      </c>
      <c r="N3206" s="352" t="s">
        <v>716</v>
      </c>
      <c r="O3206" s="460">
        <v>4241</v>
      </c>
      <c r="P3206" s="460" t="s">
        <v>777</v>
      </c>
      <c r="Q3206" s="460" t="s">
        <v>2440</v>
      </c>
      <c r="R3206" s="460">
        <v>4241</v>
      </c>
      <c r="S3206" s="460" t="s">
        <v>2333</v>
      </c>
      <c r="T3206" s="462">
        <v>1</v>
      </c>
      <c r="U3206" s="460" t="s">
        <v>2333</v>
      </c>
      <c r="V3206" s="475">
        <v>0</v>
      </c>
      <c r="W3206" s="463" t="s">
        <v>2278</v>
      </c>
      <c r="X3206" s="463" t="s">
        <v>2278</v>
      </c>
      <c r="Y3206" s="463" t="s">
        <v>2278</v>
      </c>
      <c r="Z3206" s="463"/>
      <c r="AA3206" s="463"/>
      <c r="AB3206" s="464">
        <v>0</v>
      </c>
      <c r="AC3206" s="465">
        <v>0</v>
      </c>
      <c r="AD3206" s="465">
        <v>0</v>
      </c>
      <c r="AE3206" s="476">
        <v>0</v>
      </c>
      <c r="AF3206" s="467">
        <v>0</v>
      </c>
      <c r="AG3206" s="468">
        <v>0</v>
      </c>
      <c r="AH3206" s="218">
        <v>0</v>
      </c>
      <c r="AI3206" s="470">
        <v>0</v>
      </c>
      <c r="AJ3206" s="471">
        <v>0</v>
      </c>
      <c r="AK3206" s="218">
        <v>0</v>
      </c>
      <c r="AL3206" s="470">
        <v>0</v>
      </c>
      <c r="AM3206" s="471">
        <v>0</v>
      </c>
      <c r="AN3206" s="477">
        <v>0</v>
      </c>
      <c r="AO3206" s="473">
        <v>0</v>
      </c>
      <c r="AP3206" s="474">
        <v>0</v>
      </c>
      <c r="AQ3206" s="352"/>
      <c r="AR3206" s="352"/>
      <c r="AS3206" s="352"/>
      <c r="AT3206" s="352"/>
      <c r="AU3206" s="352"/>
      <c r="AV3206" s="352"/>
      <c r="AW3206" s="352" t="s">
        <v>254</v>
      </c>
    </row>
    <row r="3207" spans="2:49" x14ac:dyDescent="0.2">
      <c r="B3207" s="460" t="s">
        <v>3305</v>
      </c>
      <c r="C3207" s="460">
        <v>4241</v>
      </c>
      <c r="D3207" s="460" t="s">
        <v>2351</v>
      </c>
      <c r="E3207" s="460" t="s">
        <v>1136</v>
      </c>
      <c r="F3207" s="460">
        <v>1</v>
      </c>
      <c r="G3207" s="460">
        <v>4</v>
      </c>
      <c r="H3207" s="461" t="s">
        <v>700</v>
      </c>
      <c r="I3207" s="461" t="s">
        <v>872</v>
      </c>
      <c r="J3207" s="461" t="s">
        <v>700</v>
      </c>
      <c r="K3207" s="594"/>
      <c r="L3207" s="594"/>
      <c r="M3207" s="352">
        <v>4000</v>
      </c>
      <c r="N3207" s="352" t="s">
        <v>716</v>
      </c>
      <c r="O3207" s="460">
        <v>4241</v>
      </c>
      <c r="P3207" s="460" t="s">
        <v>777</v>
      </c>
      <c r="Q3207" s="460" t="s">
        <v>2440</v>
      </c>
      <c r="R3207" s="460">
        <v>4241</v>
      </c>
      <c r="S3207" s="460" t="s">
        <v>1136</v>
      </c>
      <c r="T3207" s="462">
        <v>1</v>
      </c>
      <c r="U3207" s="460" t="s">
        <v>1136</v>
      </c>
      <c r="V3207" s="475">
        <v>0</v>
      </c>
      <c r="W3207" s="463" t="s">
        <v>2267</v>
      </c>
      <c r="X3207" s="463" t="s">
        <v>2267</v>
      </c>
      <c r="Y3207" s="463" t="s">
        <v>2268</v>
      </c>
      <c r="Z3207" s="463"/>
      <c r="AA3207" s="463"/>
      <c r="AB3207" s="464">
        <v>2.8477435779313596</v>
      </c>
      <c r="AC3207" s="465">
        <v>1.0935925856449872E-3</v>
      </c>
      <c r="AD3207" s="465">
        <v>8.1024263071640731E-3</v>
      </c>
      <c r="AE3207" s="476">
        <v>2.8477435779313596</v>
      </c>
      <c r="AF3207" s="467">
        <v>1.0935925856449872E-3</v>
      </c>
      <c r="AG3207" s="468">
        <v>8.8078362279004254E-3</v>
      </c>
      <c r="AH3207" s="218">
        <v>2.8477435779313596</v>
      </c>
      <c r="AI3207" s="470">
        <v>1.0935925856449872E-3</v>
      </c>
      <c r="AJ3207" s="471">
        <v>2.2239924044834005E-3</v>
      </c>
      <c r="AK3207" s="218">
        <v>2.8477435779313596</v>
      </c>
      <c r="AL3207" s="470">
        <v>1.0935925856449872E-3</v>
      </c>
      <c r="AM3207" s="471">
        <v>2.2239924044834005E-3</v>
      </c>
      <c r="AN3207" s="477">
        <v>0</v>
      </c>
      <c r="AO3207" s="473">
        <v>0</v>
      </c>
      <c r="AP3207" s="474">
        <v>0</v>
      </c>
      <c r="AQ3207" s="352"/>
      <c r="AR3207" s="352"/>
      <c r="AS3207" s="352"/>
      <c r="AT3207" s="352"/>
      <c r="AU3207" s="352"/>
      <c r="AV3207" s="352"/>
      <c r="AW3207" s="352" t="s">
        <v>254</v>
      </c>
    </row>
    <row r="3208" spans="2:49" x14ac:dyDescent="0.2">
      <c r="B3208" s="460" t="s">
        <v>3306</v>
      </c>
      <c r="C3208" s="460">
        <v>4241</v>
      </c>
      <c r="D3208" s="460" t="s">
        <v>2353</v>
      </c>
      <c r="E3208" s="460" t="s">
        <v>1137</v>
      </c>
      <c r="F3208" s="460">
        <v>2</v>
      </c>
      <c r="G3208" s="460">
        <v>4</v>
      </c>
      <c r="H3208" s="461" t="s">
        <v>700</v>
      </c>
      <c r="I3208" s="461" t="s">
        <v>872</v>
      </c>
      <c r="J3208" s="461" t="s">
        <v>700</v>
      </c>
      <c r="K3208" s="594"/>
      <c r="L3208" s="594"/>
      <c r="M3208" s="352">
        <v>4000</v>
      </c>
      <c r="N3208" s="352" t="s">
        <v>716</v>
      </c>
      <c r="O3208" s="460">
        <v>4241</v>
      </c>
      <c r="P3208" s="460" t="s">
        <v>777</v>
      </c>
      <c r="Q3208" s="460" t="s">
        <v>2440</v>
      </c>
      <c r="R3208" s="460">
        <v>4241</v>
      </c>
      <c r="S3208" s="460" t="s">
        <v>1137</v>
      </c>
      <c r="T3208" s="462">
        <v>1</v>
      </c>
      <c r="U3208" s="460" t="s">
        <v>1137</v>
      </c>
      <c r="V3208" s="475">
        <v>0</v>
      </c>
      <c r="W3208" s="463" t="s">
        <v>2503</v>
      </c>
      <c r="X3208" s="463" t="s">
        <v>2267</v>
      </c>
      <c r="Y3208" s="463" t="s">
        <v>2268</v>
      </c>
      <c r="Z3208" s="463"/>
      <c r="AA3208" s="463"/>
      <c r="AB3208" s="464">
        <v>8.3975606576398381</v>
      </c>
      <c r="AC3208" s="465">
        <v>1.3632052150738283E-3</v>
      </c>
      <c r="AD3208" s="465">
        <v>1.896296179490413E-3</v>
      </c>
      <c r="AE3208" s="476">
        <v>5.038536394583903</v>
      </c>
      <c r="AF3208" s="467">
        <v>8.1792312904429697E-4</v>
      </c>
      <c r="AG3208" s="468">
        <v>1.2257628963022386E-3</v>
      </c>
      <c r="AH3208" s="218">
        <v>8.3975606576398381</v>
      </c>
      <c r="AI3208" s="470">
        <v>1.3632052150738283E-3</v>
      </c>
      <c r="AJ3208" s="471">
        <v>1.735015205981263E-3</v>
      </c>
      <c r="AK3208" s="218">
        <v>8.3975606576398381</v>
      </c>
      <c r="AL3208" s="470">
        <v>1.3632052150738283E-3</v>
      </c>
      <c r="AM3208" s="471">
        <v>1.735015205981263E-3</v>
      </c>
      <c r="AN3208" s="477">
        <v>0</v>
      </c>
      <c r="AO3208" s="473">
        <v>0</v>
      </c>
      <c r="AP3208" s="474">
        <v>0</v>
      </c>
      <c r="AQ3208" s="352"/>
      <c r="AR3208" s="352"/>
      <c r="AS3208" s="352"/>
      <c r="AT3208" s="352"/>
      <c r="AU3208" s="352"/>
      <c r="AV3208" s="352"/>
      <c r="AW3208" s="352" t="s">
        <v>254</v>
      </c>
    </row>
    <row r="3209" spans="2:49" x14ac:dyDescent="0.2">
      <c r="B3209" s="460" t="s">
        <v>3307</v>
      </c>
      <c r="C3209" s="460">
        <v>4241</v>
      </c>
      <c r="D3209" s="460" t="s">
        <v>2355</v>
      </c>
      <c r="E3209" s="460" t="s">
        <v>1138</v>
      </c>
      <c r="F3209" s="460">
        <v>3</v>
      </c>
      <c r="G3209" s="460">
        <v>4</v>
      </c>
      <c r="H3209" s="461" t="s">
        <v>700</v>
      </c>
      <c r="I3209" s="461" t="s">
        <v>872</v>
      </c>
      <c r="J3209" s="461" t="s">
        <v>700</v>
      </c>
      <c r="K3209" s="594"/>
      <c r="L3209" s="594"/>
      <c r="M3209" s="352">
        <v>4000</v>
      </c>
      <c r="N3209" s="352" t="s">
        <v>716</v>
      </c>
      <c r="O3209" s="460">
        <v>4241</v>
      </c>
      <c r="P3209" s="460" t="s">
        <v>777</v>
      </c>
      <c r="Q3209" s="460" t="s">
        <v>2440</v>
      </c>
      <c r="R3209" s="460">
        <v>4241</v>
      </c>
      <c r="S3209" s="460" t="s">
        <v>1138</v>
      </c>
      <c r="T3209" s="462">
        <v>1</v>
      </c>
      <c r="U3209" s="460" t="s">
        <v>1138</v>
      </c>
      <c r="V3209" s="475">
        <v>0</v>
      </c>
      <c r="W3209" s="463" t="s">
        <v>2503</v>
      </c>
      <c r="X3209" s="463" t="s">
        <v>2267</v>
      </c>
      <c r="Y3209" s="463" t="s">
        <v>2268</v>
      </c>
      <c r="Z3209" s="463"/>
      <c r="AA3209" s="463"/>
      <c r="AB3209" s="464">
        <v>2.4265362212887749</v>
      </c>
      <c r="AC3209" s="465">
        <v>8.9401470340054771E-4</v>
      </c>
      <c r="AD3209" s="465">
        <v>1.0180973345521741E-3</v>
      </c>
      <c r="AE3209" s="476">
        <v>1.455921732773265</v>
      </c>
      <c r="AF3209" s="467">
        <v>5.3640882204032865E-4</v>
      </c>
      <c r="AG3209" s="468">
        <v>6.590335735631494E-4</v>
      </c>
      <c r="AH3209" s="218">
        <v>2.4265362212887749</v>
      </c>
      <c r="AI3209" s="470">
        <v>8.9401470340054771E-4</v>
      </c>
      <c r="AJ3209" s="471">
        <v>8.3619939072992057E-4</v>
      </c>
      <c r="AK3209" s="218">
        <v>2.4265362212887749</v>
      </c>
      <c r="AL3209" s="470">
        <v>8.9401470340054771E-4</v>
      </c>
      <c r="AM3209" s="471">
        <v>8.3619939072992057E-4</v>
      </c>
      <c r="AN3209" s="477">
        <v>0</v>
      </c>
      <c r="AO3209" s="473">
        <v>0</v>
      </c>
      <c r="AP3209" s="474">
        <v>0</v>
      </c>
      <c r="AQ3209" s="352"/>
      <c r="AR3209" s="352"/>
      <c r="AS3209" s="352"/>
      <c r="AT3209" s="352"/>
      <c r="AU3209" s="352"/>
      <c r="AV3209" s="352"/>
      <c r="AW3209" s="352" t="s">
        <v>254</v>
      </c>
    </row>
    <row r="3210" spans="2:49" x14ac:dyDescent="0.2">
      <c r="B3210" s="460" t="s">
        <v>3308</v>
      </c>
      <c r="C3210" s="460">
        <v>4241</v>
      </c>
      <c r="D3210" s="460" t="s">
        <v>2357</v>
      </c>
      <c r="E3210" s="460" t="s">
        <v>1139</v>
      </c>
      <c r="F3210" s="460">
        <v>4</v>
      </c>
      <c r="G3210" s="460">
        <v>4</v>
      </c>
      <c r="H3210" s="461" t="s">
        <v>700</v>
      </c>
      <c r="I3210" s="461" t="s">
        <v>872</v>
      </c>
      <c r="J3210" s="461" t="s">
        <v>700</v>
      </c>
      <c r="K3210" s="594"/>
      <c r="L3210" s="594"/>
      <c r="M3210" s="352">
        <v>4000</v>
      </c>
      <c r="N3210" s="352" t="s">
        <v>716</v>
      </c>
      <c r="O3210" s="460">
        <v>4241</v>
      </c>
      <c r="P3210" s="460" t="s">
        <v>777</v>
      </c>
      <c r="Q3210" s="460" t="s">
        <v>2440</v>
      </c>
      <c r="R3210" s="460">
        <v>4241</v>
      </c>
      <c r="S3210" s="460" t="s">
        <v>1139</v>
      </c>
      <c r="T3210" s="462">
        <v>1</v>
      </c>
      <c r="U3210" s="460" t="s">
        <v>1139</v>
      </c>
      <c r="V3210" s="475">
        <v>0</v>
      </c>
      <c r="W3210" s="463" t="s">
        <v>2503</v>
      </c>
      <c r="X3210" s="463" t="s">
        <v>2267</v>
      </c>
      <c r="Y3210" s="463" t="s">
        <v>2268</v>
      </c>
      <c r="Z3210" s="463"/>
      <c r="AA3210" s="463"/>
      <c r="AB3210" s="464">
        <v>0</v>
      </c>
      <c r="AC3210" s="465">
        <v>0</v>
      </c>
      <c r="AD3210" s="465">
        <v>0</v>
      </c>
      <c r="AE3210" s="476">
        <v>0</v>
      </c>
      <c r="AF3210" s="467">
        <v>0</v>
      </c>
      <c r="AG3210" s="468">
        <v>0</v>
      </c>
      <c r="AH3210" s="218">
        <v>0</v>
      </c>
      <c r="AI3210" s="470">
        <v>0</v>
      </c>
      <c r="AJ3210" s="471">
        <v>0</v>
      </c>
      <c r="AK3210" s="218">
        <v>0</v>
      </c>
      <c r="AL3210" s="470">
        <v>0</v>
      </c>
      <c r="AM3210" s="471">
        <v>0</v>
      </c>
      <c r="AN3210" s="477">
        <v>0</v>
      </c>
      <c r="AO3210" s="473">
        <v>0</v>
      </c>
      <c r="AP3210" s="474">
        <v>0</v>
      </c>
      <c r="AQ3210" s="352"/>
      <c r="AR3210" s="352"/>
      <c r="AS3210" s="352"/>
      <c r="AT3210" s="352"/>
      <c r="AU3210" s="352"/>
      <c r="AV3210" s="352"/>
      <c r="AW3210" s="352" t="s">
        <v>254</v>
      </c>
    </row>
    <row r="3211" spans="2:49" x14ac:dyDescent="0.2">
      <c r="B3211" s="460" t="s">
        <v>3305</v>
      </c>
      <c r="C3211" s="460">
        <v>4241</v>
      </c>
      <c r="D3211" s="460" t="s">
        <v>2358</v>
      </c>
      <c r="E3211" s="460" t="s">
        <v>1136</v>
      </c>
      <c r="F3211" s="460">
        <v>1</v>
      </c>
      <c r="G3211" s="460">
        <v>4</v>
      </c>
      <c r="H3211" s="461" t="s">
        <v>712</v>
      </c>
      <c r="I3211" s="461" t="s">
        <v>713</v>
      </c>
      <c r="J3211" s="461" t="s">
        <v>712</v>
      </c>
      <c r="K3211" s="594"/>
      <c r="L3211" s="594"/>
      <c r="M3211" s="352">
        <v>4000</v>
      </c>
      <c r="N3211" s="352" t="s">
        <v>716</v>
      </c>
      <c r="O3211" s="460">
        <v>4241</v>
      </c>
      <c r="P3211" s="460" t="s">
        <v>777</v>
      </c>
      <c r="Q3211" s="460" t="s">
        <v>2280</v>
      </c>
      <c r="R3211" s="460">
        <v>4241</v>
      </c>
      <c r="S3211" s="460" t="s">
        <v>1136</v>
      </c>
      <c r="T3211" s="462">
        <v>1</v>
      </c>
      <c r="U3211" s="460" t="s">
        <v>1136</v>
      </c>
      <c r="V3211" s="475">
        <v>0</v>
      </c>
      <c r="W3211" s="463" t="s">
        <v>713</v>
      </c>
      <c r="X3211" s="463" t="s">
        <v>713</v>
      </c>
      <c r="Y3211" s="463" t="s">
        <v>713</v>
      </c>
      <c r="Z3211" s="463"/>
      <c r="AA3211" s="463"/>
      <c r="AB3211" s="464">
        <v>1446.0992647499197</v>
      </c>
      <c r="AC3211" s="465">
        <v>0.55533210443967085</v>
      </c>
      <c r="AD3211" s="465">
        <v>9.5303298011030733E-3</v>
      </c>
      <c r="AE3211" s="476">
        <v>1446.0992647499197</v>
      </c>
      <c r="AF3211" s="467">
        <v>0.55533210443967085</v>
      </c>
      <c r="AG3211" s="468">
        <v>9.5285621550024006E-3</v>
      </c>
      <c r="AH3211" s="218">
        <v>1446.0992647499197</v>
      </c>
      <c r="AI3211" s="470">
        <v>0.55533210443967085</v>
      </c>
      <c r="AJ3211" s="471">
        <v>9.6254030470946245E-3</v>
      </c>
      <c r="AK3211" s="218">
        <v>1446.0992647499197</v>
      </c>
      <c r="AL3211" s="470">
        <v>0.55533210443967085</v>
      </c>
      <c r="AM3211" s="471">
        <v>9.6254030470946245E-3</v>
      </c>
      <c r="AN3211" s="477">
        <v>1446.0992647499197</v>
      </c>
      <c r="AO3211" s="473">
        <v>0.55533210443967085</v>
      </c>
      <c r="AP3211" s="474">
        <v>9.6097411722140674E-3</v>
      </c>
      <c r="AQ3211" s="352"/>
      <c r="AR3211" s="352"/>
      <c r="AS3211" s="352"/>
      <c r="AT3211" s="352"/>
      <c r="AU3211" s="352"/>
      <c r="AV3211" s="352"/>
      <c r="AW3211" s="352" t="s">
        <v>254</v>
      </c>
    </row>
    <row r="3212" spans="2:49" x14ac:dyDescent="0.2">
      <c r="B3212" s="460" t="s">
        <v>3306</v>
      </c>
      <c r="C3212" s="460">
        <v>4241</v>
      </c>
      <c r="D3212" s="460" t="s">
        <v>2359</v>
      </c>
      <c r="E3212" s="460" t="s">
        <v>1137</v>
      </c>
      <c r="F3212" s="460">
        <v>2</v>
      </c>
      <c r="G3212" s="460">
        <v>4</v>
      </c>
      <c r="H3212" s="461" t="s">
        <v>712</v>
      </c>
      <c r="I3212" s="461" t="s">
        <v>713</v>
      </c>
      <c r="J3212" s="461" t="s">
        <v>712</v>
      </c>
      <c r="K3212" s="594"/>
      <c r="L3212" s="594"/>
      <c r="M3212" s="352">
        <v>4000</v>
      </c>
      <c r="N3212" s="352" t="s">
        <v>716</v>
      </c>
      <c r="O3212" s="460">
        <v>4241</v>
      </c>
      <c r="P3212" s="460" t="s">
        <v>777</v>
      </c>
      <c r="Q3212" s="460" t="s">
        <v>2280</v>
      </c>
      <c r="R3212" s="460">
        <v>4241</v>
      </c>
      <c r="S3212" s="460" t="s">
        <v>1137</v>
      </c>
      <c r="T3212" s="462">
        <v>1</v>
      </c>
      <c r="U3212" s="460" t="s">
        <v>1137</v>
      </c>
      <c r="V3212" s="475">
        <v>0</v>
      </c>
      <c r="W3212" s="463" t="s">
        <v>713</v>
      </c>
      <c r="X3212" s="463" t="s">
        <v>713</v>
      </c>
      <c r="Y3212" s="463" t="s">
        <v>713</v>
      </c>
      <c r="Z3212" s="463"/>
      <c r="AA3212" s="463"/>
      <c r="AB3212" s="464">
        <v>977.46770935487268</v>
      </c>
      <c r="AC3212" s="465">
        <v>0.1586757313561736</v>
      </c>
      <c r="AD3212" s="465">
        <v>5.6528306004585398E-3</v>
      </c>
      <c r="AE3212" s="476">
        <v>980.82673361792831</v>
      </c>
      <c r="AF3212" s="467">
        <v>0.15922101344220307</v>
      </c>
      <c r="AG3212" s="468">
        <v>5.6618481916975594E-3</v>
      </c>
      <c r="AH3212" s="218">
        <v>977.46770935487223</v>
      </c>
      <c r="AI3212" s="470">
        <v>0.15867573135617352</v>
      </c>
      <c r="AJ3212" s="471">
        <v>5.6692328378869098E-3</v>
      </c>
      <c r="AK3212" s="218">
        <v>977.46770935487223</v>
      </c>
      <c r="AL3212" s="470">
        <v>0.15867573135617352</v>
      </c>
      <c r="AM3212" s="471">
        <v>5.6692328378869098E-3</v>
      </c>
      <c r="AN3212" s="477">
        <v>977.46770935487223</v>
      </c>
      <c r="AO3212" s="473">
        <v>0.15867573135617352</v>
      </c>
      <c r="AP3212" s="474">
        <v>5.6645549075271589E-3</v>
      </c>
      <c r="AQ3212" s="352"/>
      <c r="AR3212" s="352"/>
      <c r="AS3212" s="352"/>
      <c r="AT3212" s="352"/>
      <c r="AU3212" s="352"/>
      <c r="AV3212" s="352"/>
      <c r="AW3212" s="352" t="s">
        <v>254</v>
      </c>
    </row>
    <row r="3213" spans="2:49" x14ac:dyDescent="0.2">
      <c r="B3213" s="460" t="s">
        <v>3307</v>
      </c>
      <c r="C3213" s="460">
        <v>4241</v>
      </c>
      <c r="D3213" s="460" t="s">
        <v>2360</v>
      </c>
      <c r="E3213" s="460" t="s">
        <v>1138</v>
      </c>
      <c r="F3213" s="460">
        <v>3</v>
      </c>
      <c r="G3213" s="460">
        <v>4</v>
      </c>
      <c r="H3213" s="461" t="s">
        <v>712</v>
      </c>
      <c r="I3213" s="461" t="s">
        <v>713</v>
      </c>
      <c r="J3213" s="461" t="s">
        <v>712</v>
      </c>
      <c r="K3213" s="594"/>
      <c r="L3213" s="594"/>
      <c r="M3213" s="352">
        <v>4000</v>
      </c>
      <c r="N3213" s="352" t="s">
        <v>716</v>
      </c>
      <c r="O3213" s="460">
        <v>4241</v>
      </c>
      <c r="P3213" s="460" t="s">
        <v>777</v>
      </c>
      <c r="Q3213" s="460" t="s">
        <v>2280</v>
      </c>
      <c r="R3213" s="460">
        <v>4241</v>
      </c>
      <c r="S3213" s="460" t="s">
        <v>1138</v>
      </c>
      <c r="T3213" s="462">
        <v>1</v>
      </c>
      <c r="U3213" s="460" t="s">
        <v>1138</v>
      </c>
      <c r="V3213" s="475">
        <v>0</v>
      </c>
      <c r="W3213" s="463" t="s">
        <v>713</v>
      </c>
      <c r="X3213" s="463" t="s">
        <v>713</v>
      </c>
      <c r="Y3213" s="463" t="s">
        <v>713</v>
      </c>
      <c r="Z3213" s="463"/>
      <c r="AA3213" s="463"/>
      <c r="AB3213" s="464">
        <v>1381.4349924756611</v>
      </c>
      <c r="AC3213" s="465">
        <v>0.50896548925584306</v>
      </c>
      <c r="AD3213" s="465">
        <v>1.7239682484378762E-2</v>
      </c>
      <c r="AE3213" s="476">
        <v>1382.4056069641765</v>
      </c>
      <c r="AF3213" s="467">
        <v>0.50932309513720331</v>
      </c>
      <c r="AG3213" s="468">
        <v>1.7214366756421785E-2</v>
      </c>
      <c r="AH3213" s="218">
        <v>1381.4349924756609</v>
      </c>
      <c r="AI3213" s="470">
        <v>0.50896548925584306</v>
      </c>
      <c r="AJ3213" s="471">
        <v>1.7403983354530621E-2</v>
      </c>
      <c r="AK3213" s="218">
        <v>1381.4349924756609</v>
      </c>
      <c r="AL3213" s="470">
        <v>0.50896548925584306</v>
      </c>
      <c r="AM3213" s="471">
        <v>1.7403983354530621E-2</v>
      </c>
      <c r="AN3213" s="477">
        <v>1381.4349924756609</v>
      </c>
      <c r="AO3213" s="473">
        <v>0.50896548925584306</v>
      </c>
      <c r="AP3213" s="474">
        <v>1.740267171922797E-2</v>
      </c>
      <c r="AQ3213" s="352"/>
      <c r="AR3213" s="352"/>
      <c r="AS3213" s="352"/>
      <c r="AT3213" s="352"/>
      <c r="AU3213" s="352"/>
      <c r="AV3213" s="352"/>
      <c r="AW3213" s="352" t="s">
        <v>254</v>
      </c>
    </row>
    <row r="3214" spans="2:49" x14ac:dyDescent="0.2">
      <c r="B3214" s="460" t="s">
        <v>3308</v>
      </c>
      <c r="C3214" s="460">
        <v>4241</v>
      </c>
      <c r="D3214" s="460" t="s">
        <v>2361</v>
      </c>
      <c r="E3214" s="460" t="s">
        <v>1139</v>
      </c>
      <c r="F3214" s="460">
        <v>4</v>
      </c>
      <c r="G3214" s="460">
        <v>4</v>
      </c>
      <c r="H3214" s="461" t="s">
        <v>712</v>
      </c>
      <c r="I3214" s="461" t="s">
        <v>713</v>
      </c>
      <c r="J3214" s="461" t="s">
        <v>712</v>
      </c>
      <c r="K3214" s="594"/>
      <c r="L3214" s="594"/>
      <c r="M3214" s="352">
        <v>4000</v>
      </c>
      <c r="N3214" s="352" t="s">
        <v>716</v>
      </c>
      <c r="O3214" s="460">
        <v>4241</v>
      </c>
      <c r="P3214" s="460" t="s">
        <v>777</v>
      </c>
      <c r="Q3214" s="460" t="s">
        <v>2280</v>
      </c>
      <c r="R3214" s="460">
        <v>4241</v>
      </c>
      <c r="S3214" s="460" t="s">
        <v>1139</v>
      </c>
      <c r="T3214" s="462">
        <v>1</v>
      </c>
      <c r="U3214" s="460" t="s">
        <v>1139</v>
      </c>
      <c r="V3214" s="475">
        <v>0</v>
      </c>
      <c r="W3214" s="463" t="s">
        <v>713</v>
      </c>
      <c r="X3214" s="463" t="s">
        <v>713</v>
      </c>
      <c r="Y3214" s="463" t="s">
        <v>713</v>
      </c>
      <c r="Z3214" s="463"/>
      <c r="AA3214" s="463"/>
      <c r="AB3214" s="464">
        <v>0</v>
      </c>
      <c r="AC3214" s="465">
        <v>0</v>
      </c>
      <c r="AD3214" s="465">
        <v>0</v>
      </c>
      <c r="AE3214" s="476">
        <v>0</v>
      </c>
      <c r="AF3214" s="467">
        <v>0</v>
      </c>
      <c r="AG3214" s="468">
        <v>0</v>
      </c>
      <c r="AH3214" s="218">
        <v>0</v>
      </c>
      <c r="AI3214" s="470">
        <v>0</v>
      </c>
      <c r="AJ3214" s="471">
        <v>0</v>
      </c>
      <c r="AK3214" s="218">
        <v>0</v>
      </c>
      <c r="AL3214" s="470">
        <v>0</v>
      </c>
      <c r="AM3214" s="471">
        <v>0</v>
      </c>
      <c r="AN3214" s="477">
        <v>0</v>
      </c>
      <c r="AO3214" s="473">
        <v>0</v>
      </c>
      <c r="AP3214" s="474">
        <v>0</v>
      </c>
      <c r="AQ3214" s="352"/>
      <c r="AR3214" s="352"/>
      <c r="AS3214" s="352"/>
      <c r="AT3214" s="352"/>
      <c r="AU3214" s="352"/>
      <c r="AV3214" s="352"/>
      <c r="AW3214" s="352" t="s">
        <v>254</v>
      </c>
    </row>
    <row r="3215" spans="2:49" x14ac:dyDescent="0.2">
      <c r="B3215" s="460" t="s">
        <v>3305</v>
      </c>
      <c r="C3215" s="460">
        <v>4241</v>
      </c>
      <c r="D3215" s="460" t="s">
        <v>2362</v>
      </c>
      <c r="E3215" s="460" t="s">
        <v>1136</v>
      </c>
      <c r="F3215" s="460">
        <v>1</v>
      </c>
      <c r="G3215" s="460">
        <v>4</v>
      </c>
      <c r="H3215" s="461" t="s">
        <v>746</v>
      </c>
      <c r="I3215" s="461" t="s">
        <v>762</v>
      </c>
      <c r="J3215" s="461" t="s">
        <v>700</v>
      </c>
      <c r="K3215" s="594"/>
      <c r="L3215" s="594"/>
      <c r="M3215" s="352">
        <v>4000</v>
      </c>
      <c r="N3215" s="352" t="s">
        <v>716</v>
      </c>
      <c r="O3215" s="460">
        <v>4241</v>
      </c>
      <c r="P3215" s="460" t="s">
        <v>777</v>
      </c>
      <c r="Q3215" s="460" t="s">
        <v>2444</v>
      </c>
      <c r="R3215" s="460">
        <v>4241</v>
      </c>
      <c r="S3215" s="460" t="s">
        <v>1136</v>
      </c>
      <c r="T3215" s="462">
        <v>1</v>
      </c>
      <c r="U3215" s="460" t="s">
        <v>1136</v>
      </c>
      <c r="V3215" s="475">
        <v>0</v>
      </c>
      <c r="W3215" s="463" t="s">
        <v>2268</v>
      </c>
      <c r="X3215" s="463" t="s">
        <v>2268</v>
      </c>
      <c r="Y3215" s="463" t="s">
        <v>2290</v>
      </c>
      <c r="Z3215" s="463"/>
      <c r="AA3215" s="463"/>
      <c r="AB3215" s="464">
        <v>0</v>
      </c>
      <c r="AC3215" s="465">
        <v>0</v>
      </c>
      <c r="AD3215" s="465">
        <v>0</v>
      </c>
      <c r="AE3215" s="476">
        <v>0</v>
      </c>
      <c r="AF3215" s="467">
        <v>0</v>
      </c>
      <c r="AG3215" s="468">
        <v>0</v>
      </c>
      <c r="AH3215" s="218">
        <v>0</v>
      </c>
      <c r="AI3215" s="470">
        <v>0</v>
      </c>
      <c r="AJ3215" s="471">
        <v>0</v>
      </c>
      <c r="AK3215" s="218">
        <v>0</v>
      </c>
      <c r="AL3215" s="470">
        <v>0</v>
      </c>
      <c r="AM3215" s="471">
        <v>0</v>
      </c>
      <c r="AN3215" s="477">
        <v>0</v>
      </c>
      <c r="AO3215" s="473">
        <v>0</v>
      </c>
      <c r="AP3215" s="474">
        <v>0</v>
      </c>
      <c r="AQ3215" s="352"/>
      <c r="AR3215" s="352"/>
      <c r="AS3215" s="352"/>
      <c r="AT3215" s="352"/>
      <c r="AU3215" s="352"/>
      <c r="AV3215" s="352"/>
      <c r="AW3215" s="352" t="s">
        <v>254</v>
      </c>
    </row>
    <row r="3216" spans="2:49" x14ac:dyDescent="0.2">
      <c r="B3216" s="460" t="s">
        <v>3306</v>
      </c>
      <c r="C3216" s="460">
        <v>4241</v>
      </c>
      <c r="D3216" s="460" t="s">
        <v>2363</v>
      </c>
      <c r="E3216" s="460" t="s">
        <v>1137</v>
      </c>
      <c r="F3216" s="460">
        <v>2</v>
      </c>
      <c r="G3216" s="460">
        <v>4</v>
      </c>
      <c r="H3216" s="461" t="s">
        <v>746</v>
      </c>
      <c r="I3216" s="461" t="s">
        <v>762</v>
      </c>
      <c r="J3216" s="461" t="s">
        <v>700</v>
      </c>
      <c r="K3216" s="594"/>
      <c r="L3216" s="594"/>
      <c r="M3216" s="352">
        <v>4000</v>
      </c>
      <c r="N3216" s="352" t="s">
        <v>716</v>
      </c>
      <c r="O3216" s="460">
        <v>4241</v>
      </c>
      <c r="P3216" s="460" t="s">
        <v>777</v>
      </c>
      <c r="Q3216" s="460" t="s">
        <v>2444</v>
      </c>
      <c r="R3216" s="460">
        <v>4241</v>
      </c>
      <c r="S3216" s="460" t="s">
        <v>1137</v>
      </c>
      <c r="T3216" s="462">
        <v>1</v>
      </c>
      <c r="U3216" s="460" t="s">
        <v>1137</v>
      </c>
      <c r="V3216" s="475">
        <v>0</v>
      </c>
      <c r="W3216" s="463" t="s">
        <v>2268</v>
      </c>
      <c r="X3216" s="463" t="s">
        <v>2268</v>
      </c>
      <c r="Y3216" s="463" t="s">
        <v>2290</v>
      </c>
      <c r="Z3216" s="463"/>
      <c r="AA3216" s="463"/>
      <c r="AB3216" s="464">
        <v>0</v>
      </c>
      <c r="AC3216" s="465">
        <v>0</v>
      </c>
      <c r="AD3216" s="465">
        <v>0</v>
      </c>
      <c r="AE3216" s="476">
        <v>0</v>
      </c>
      <c r="AF3216" s="467">
        <v>0</v>
      </c>
      <c r="AG3216" s="468">
        <v>0</v>
      </c>
      <c r="AH3216" s="218">
        <v>0</v>
      </c>
      <c r="AI3216" s="470">
        <v>0</v>
      </c>
      <c r="AJ3216" s="471">
        <v>0</v>
      </c>
      <c r="AK3216" s="218">
        <v>0</v>
      </c>
      <c r="AL3216" s="470">
        <v>0</v>
      </c>
      <c r="AM3216" s="471">
        <v>0</v>
      </c>
      <c r="AN3216" s="477">
        <v>0</v>
      </c>
      <c r="AO3216" s="473">
        <v>0</v>
      </c>
      <c r="AP3216" s="474">
        <v>0</v>
      </c>
      <c r="AQ3216" s="352"/>
      <c r="AR3216" s="352"/>
      <c r="AS3216" s="352"/>
      <c r="AT3216" s="352"/>
      <c r="AU3216" s="352"/>
      <c r="AV3216" s="352"/>
      <c r="AW3216" s="352" t="s">
        <v>254</v>
      </c>
    </row>
    <row r="3217" spans="2:49" x14ac:dyDescent="0.2">
      <c r="B3217" s="460" t="s">
        <v>3307</v>
      </c>
      <c r="C3217" s="460">
        <v>4241</v>
      </c>
      <c r="D3217" s="460" t="s">
        <v>2364</v>
      </c>
      <c r="E3217" s="460" t="s">
        <v>1138</v>
      </c>
      <c r="F3217" s="460">
        <v>3</v>
      </c>
      <c r="G3217" s="460">
        <v>4</v>
      </c>
      <c r="H3217" s="461" t="s">
        <v>746</v>
      </c>
      <c r="I3217" s="461" t="s">
        <v>762</v>
      </c>
      <c r="J3217" s="461" t="s">
        <v>700</v>
      </c>
      <c r="K3217" s="594"/>
      <c r="L3217" s="594"/>
      <c r="M3217" s="352">
        <v>4000</v>
      </c>
      <c r="N3217" s="352" t="s">
        <v>716</v>
      </c>
      <c r="O3217" s="460">
        <v>4241</v>
      </c>
      <c r="P3217" s="460" t="s">
        <v>777</v>
      </c>
      <c r="Q3217" s="460" t="s">
        <v>2444</v>
      </c>
      <c r="R3217" s="460">
        <v>4241</v>
      </c>
      <c r="S3217" s="460" t="s">
        <v>1138</v>
      </c>
      <c r="T3217" s="462">
        <v>1</v>
      </c>
      <c r="U3217" s="460" t="s">
        <v>1138</v>
      </c>
      <c r="V3217" s="475">
        <v>0</v>
      </c>
      <c r="W3217" s="463" t="s">
        <v>2268</v>
      </c>
      <c r="X3217" s="463" t="s">
        <v>2268</v>
      </c>
      <c r="Y3217" s="463" t="s">
        <v>2290</v>
      </c>
      <c r="Z3217" s="463"/>
      <c r="AA3217" s="463"/>
      <c r="AB3217" s="464">
        <v>0</v>
      </c>
      <c r="AC3217" s="465">
        <v>0</v>
      </c>
      <c r="AD3217" s="465">
        <v>0</v>
      </c>
      <c r="AE3217" s="476">
        <v>0</v>
      </c>
      <c r="AF3217" s="467">
        <v>0</v>
      </c>
      <c r="AG3217" s="468">
        <v>0</v>
      </c>
      <c r="AH3217" s="218">
        <v>0</v>
      </c>
      <c r="AI3217" s="470">
        <v>0</v>
      </c>
      <c r="AJ3217" s="471">
        <v>0</v>
      </c>
      <c r="AK3217" s="218">
        <v>0</v>
      </c>
      <c r="AL3217" s="470">
        <v>0</v>
      </c>
      <c r="AM3217" s="471">
        <v>0</v>
      </c>
      <c r="AN3217" s="477">
        <v>0</v>
      </c>
      <c r="AO3217" s="473">
        <v>0</v>
      </c>
      <c r="AP3217" s="474">
        <v>0</v>
      </c>
      <c r="AQ3217" s="352"/>
      <c r="AR3217" s="352"/>
      <c r="AS3217" s="352"/>
      <c r="AT3217" s="352"/>
      <c r="AU3217" s="352"/>
      <c r="AV3217" s="352"/>
      <c r="AW3217" s="352" t="s">
        <v>254</v>
      </c>
    </row>
    <row r="3218" spans="2:49" x14ac:dyDescent="0.2">
      <c r="B3218" s="460" t="s">
        <v>3308</v>
      </c>
      <c r="C3218" s="460">
        <v>4241</v>
      </c>
      <c r="D3218" s="460" t="s">
        <v>2365</v>
      </c>
      <c r="E3218" s="460" t="s">
        <v>1139</v>
      </c>
      <c r="F3218" s="460">
        <v>4</v>
      </c>
      <c r="G3218" s="460">
        <v>4</v>
      </c>
      <c r="H3218" s="461" t="s">
        <v>746</v>
      </c>
      <c r="I3218" s="461" t="s">
        <v>762</v>
      </c>
      <c r="J3218" s="461" t="s">
        <v>700</v>
      </c>
      <c r="K3218" s="594"/>
      <c r="L3218" s="594"/>
      <c r="M3218" s="352">
        <v>4000</v>
      </c>
      <c r="N3218" s="352" t="s">
        <v>716</v>
      </c>
      <c r="O3218" s="460">
        <v>4241</v>
      </c>
      <c r="P3218" s="460" t="s">
        <v>777</v>
      </c>
      <c r="Q3218" s="460" t="s">
        <v>2444</v>
      </c>
      <c r="R3218" s="460">
        <v>4241</v>
      </c>
      <c r="S3218" s="460" t="s">
        <v>1139</v>
      </c>
      <c r="T3218" s="462">
        <v>1</v>
      </c>
      <c r="U3218" s="460" t="s">
        <v>1139</v>
      </c>
      <c r="V3218" s="475">
        <v>0</v>
      </c>
      <c r="W3218" s="463" t="s">
        <v>2268</v>
      </c>
      <c r="X3218" s="463" t="s">
        <v>2268</v>
      </c>
      <c r="Y3218" s="463" t="s">
        <v>2290</v>
      </c>
      <c r="Z3218" s="463"/>
      <c r="AA3218" s="463"/>
      <c r="AB3218" s="464">
        <v>0</v>
      </c>
      <c r="AC3218" s="465">
        <v>0</v>
      </c>
      <c r="AD3218" s="465">
        <v>0</v>
      </c>
      <c r="AE3218" s="476">
        <v>0</v>
      </c>
      <c r="AF3218" s="467">
        <v>0</v>
      </c>
      <c r="AG3218" s="468">
        <v>0</v>
      </c>
      <c r="AH3218" s="218">
        <v>0</v>
      </c>
      <c r="AI3218" s="470">
        <v>0</v>
      </c>
      <c r="AJ3218" s="471">
        <v>0</v>
      </c>
      <c r="AK3218" s="218">
        <v>0</v>
      </c>
      <c r="AL3218" s="470">
        <v>0</v>
      </c>
      <c r="AM3218" s="471">
        <v>0</v>
      </c>
      <c r="AN3218" s="477">
        <v>0</v>
      </c>
      <c r="AO3218" s="473">
        <v>0</v>
      </c>
      <c r="AP3218" s="474">
        <v>0</v>
      </c>
      <c r="AQ3218" s="352"/>
      <c r="AR3218" s="352"/>
      <c r="AS3218" s="352"/>
      <c r="AT3218" s="352"/>
      <c r="AU3218" s="352"/>
      <c r="AV3218" s="352"/>
      <c r="AW3218" s="352" t="s">
        <v>254</v>
      </c>
    </row>
    <row r="3219" spans="2:49" x14ac:dyDescent="0.2">
      <c r="B3219" s="460" t="s">
        <v>3305</v>
      </c>
      <c r="C3219" s="460">
        <v>4241</v>
      </c>
      <c r="D3219" s="460" t="s">
        <v>2366</v>
      </c>
      <c r="E3219" s="460" t="s">
        <v>1136</v>
      </c>
      <c r="F3219" s="460">
        <v>1</v>
      </c>
      <c r="G3219" s="460">
        <v>4</v>
      </c>
      <c r="H3219" s="461" t="s">
        <v>748</v>
      </c>
      <c r="I3219" s="461" t="s">
        <v>765</v>
      </c>
      <c r="J3219" s="461" t="s">
        <v>700</v>
      </c>
      <c r="K3219" s="594"/>
      <c r="L3219" s="594"/>
      <c r="M3219" s="352">
        <v>4000</v>
      </c>
      <c r="N3219" s="352" t="s">
        <v>716</v>
      </c>
      <c r="O3219" s="460">
        <v>4241</v>
      </c>
      <c r="P3219" s="460" t="s">
        <v>777</v>
      </c>
      <c r="Q3219" s="460" t="s">
        <v>2440</v>
      </c>
      <c r="R3219" s="460">
        <v>4241</v>
      </c>
      <c r="S3219" s="460" t="s">
        <v>1136</v>
      </c>
      <c r="T3219" s="462">
        <v>1</v>
      </c>
      <c r="U3219" s="460" t="s">
        <v>1136</v>
      </c>
      <c r="V3219" s="475">
        <v>0</v>
      </c>
      <c r="W3219" s="463" t="s">
        <v>2268</v>
      </c>
      <c r="X3219" s="463" t="s">
        <v>2268</v>
      </c>
      <c r="Y3219" s="463" t="s">
        <v>2267</v>
      </c>
      <c r="Z3219" s="463"/>
      <c r="AA3219" s="463"/>
      <c r="AB3219" s="464">
        <v>0</v>
      </c>
      <c r="AC3219" s="465">
        <v>0</v>
      </c>
      <c r="AD3219" s="465">
        <v>0</v>
      </c>
      <c r="AE3219" s="476">
        <v>0</v>
      </c>
      <c r="AF3219" s="467">
        <v>0</v>
      </c>
      <c r="AG3219" s="468">
        <v>0</v>
      </c>
      <c r="AH3219" s="218">
        <v>0</v>
      </c>
      <c r="AI3219" s="470">
        <v>0</v>
      </c>
      <c r="AJ3219" s="471">
        <v>0</v>
      </c>
      <c r="AK3219" s="218">
        <v>0</v>
      </c>
      <c r="AL3219" s="470">
        <v>0</v>
      </c>
      <c r="AM3219" s="471">
        <v>0</v>
      </c>
      <c r="AN3219" s="477">
        <v>2.8477435779313596</v>
      </c>
      <c r="AO3219" s="473">
        <v>1.0935925856449872E-3</v>
      </c>
      <c r="AP3219" s="474">
        <v>3.498873462081963E-3</v>
      </c>
      <c r="AQ3219" s="352"/>
      <c r="AR3219" s="352"/>
      <c r="AS3219" s="352"/>
      <c r="AT3219" s="352"/>
      <c r="AU3219" s="352"/>
      <c r="AV3219" s="352"/>
      <c r="AW3219" s="352" t="s">
        <v>254</v>
      </c>
    </row>
    <row r="3220" spans="2:49" x14ac:dyDescent="0.2">
      <c r="B3220" s="460" t="s">
        <v>3306</v>
      </c>
      <c r="C3220" s="460">
        <v>4241</v>
      </c>
      <c r="D3220" s="460" t="s">
        <v>2367</v>
      </c>
      <c r="E3220" s="460" t="s">
        <v>1137</v>
      </c>
      <c r="F3220" s="460">
        <v>2</v>
      </c>
      <c r="G3220" s="460">
        <v>4</v>
      </c>
      <c r="H3220" s="461" t="s">
        <v>748</v>
      </c>
      <c r="I3220" s="461" t="s">
        <v>765</v>
      </c>
      <c r="J3220" s="461" t="s">
        <v>700</v>
      </c>
      <c r="K3220" s="594"/>
      <c r="L3220" s="594"/>
      <c r="M3220" s="352">
        <v>4000</v>
      </c>
      <c r="N3220" s="352" t="s">
        <v>716</v>
      </c>
      <c r="O3220" s="460">
        <v>4241</v>
      </c>
      <c r="P3220" s="460" t="s">
        <v>777</v>
      </c>
      <c r="Q3220" s="460" t="s">
        <v>2440</v>
      </c>
      <c r="R3220" s="460">
        <v>4241</v>
      </c>
      <c r="S3220" s="460" t="s">
        <v>1137</v>
      </c>
      <c r="T3220" s="462">
        <v>1</v>
      </c>
      <c r="U3220" s="460" t="s">
        <v>1137</v>
      </c>
      <c r="V3220" s="475">
        <v>0</v>
      </c>
      <c r="W3220" s="463" t="s">
        <v>2268</v>
      </c>
      <c r="X3220" s="463" t="s">
        <v>2268</v>
      </c>
      <c r="Y3220" s="463" t="s">
        <v>2267</v>
      </c>
      <c r="Z3220" s="463"/>
      <c r="AA3220" s="463"/>
      <c r="AB3220" s="464">
        <v>0</v>
      </c>
      <c r="AC3220" s="465">
        <v>0</v>
      </c>
      <c r="AD3220" s="465">
        <v>0</v>
      </c>
      <c r="AE3220" s="476">
        <v>0</v>
      </c>
      <c r="AF3220" s="467">
        <v>0</v>
      </c>
      <c r="AG3220" s="468">
        <v>0</v>
      </c>
      <c r="AH3220" s="218">
        <v>0</v>
      </c>
      <c r="AI3220" s="470">
        <v>0</v>
      </c>
      <c r="AJ3220" s="471">
        <v>0</v>
      </c>
      <c r="AK3220" s="218">
        <v>0</v>
      </c>
      <c r="AL3220" s="470">
        <v>0</v>
      </c>
      <c r="AM3220" s="471">
        <v>0</v>
      </c>
      <c r="AN3220" s="477">
        <v>8.3975606576398381</v>
      </c>
      <c r="AO3220" s="473">
        <v>1.3632052150738283E-3</v>
      </c>
      <c r="AP3220" s="474">
        <v>8.0886235208929846E-3</v>
      </c>
      <c r="AQ3220" s="352"/>
      <c r="AR3220" s="352"/>
      <c r="AS3220" s="352"/>
      <c r="AT3220" s="352"/>
      <c r="AU3220" s="352"/>
      <c r="AV3220" s="352"/>
      <c r="AW3220" s="352" t="s">
        <v>254</v>
      </c>
    </row>
    <row r="3221" spans="2:49" x14ac:dyDescent="0.2">
      <c r="B3221" s="460" t="s">
        <v>3307</v>
      </c>
      <c r="C3221" s="460">
        <v>4241</v>
      </c>
      <c r="D3221" s="460" t="s">
        <v>2368</v>
      </c>
      <c r="E3221" s="460" t="s">
        <v>1138</v>
      </c>
      <c r="F3221" s="460">
        <v>3</v>
      </c>
      <c r="G3221" s="460">
        <v>4</v>
      </c>
      <c r="H3221" s="461" t="s">
        <v>748</v>
      </c>
      <c r="I3221" s="461" t="s">
        <v>765</v>
      </c>
      <c r="J3221" s="461" t="s">
        <v>700</v>
      </c>
      <c r="K3221" s="594"/>
      <c r="L3221" s="594"/>
      <c r="M3221" s="352">
        <v>4000</v>
      </c>
      <c r="N3221" s="352" t="s">
        <v>716</v>
      </c>
      <c r="O3221" s="460">
        <v>4241</v>
      </c>
      <c r="P3221" s="460" t="s">
        <v>777</v>
      </c>
      <c r="Q3221" s="460" t="s">
        <v>2440</v>
      </c>
      <c r="R3221" s="460">
        <v>4241</v>
      </c>
      <c r="S3221" s="460" t="s">
        <v>1138</v>
      </c>
      <c r="T3221" s="462">
        <v>1</v>
      </c>
      <c r="U3221" s="460" t="s">
        <v>1138</v>
      </c>
      <c r="V3221" s="475">
        <v>0</v>
      </c>
      <c r="W3221" s="463" t="s">
        <v>2268</v>
      </c>
      <c r="X3221" s="463" t="s">
        <v>2268</v>
      </c>
      <c r="Y3221" s="463" t="s">
        <v>2267</v>
      </c>
      <c r="Z3221" s="463"/>
      <c r="AA3221" s="463"/>
      <c r="AB3221" s="464">
        <v>0</v>
      </c>
      <c r="AC3221" s="465">
        <v>0</v>
      </c>
      <c r="AD3221" s="465">
        <v>0</v>
      </c>
      <c r="AE3221" s="476">
        <v>0</v>
      </c>
      <c r="AF3221" s="467">
        <v>0</v>
      </c>
      <c r="AG3221" s="468">
        <v>0</v>
      </c>
      <c r="AH3221" s="218">
        <v>0</v>
      </c>
      <c r="AI3221" s="470">
        <v>0</v>
      </c>
      <c r="AJ3221" s="471">
        <v>0</v>
      </c>
      <c r="AK3221" s="218">
        <v>0</v>
      </c>
      <c r="AL3221" s="470">
        <v>0</v>
      </c>
      <c r="AM3221" s="471">
        <v>0</v>
      </c>
      <c r="AN3221" s="477">
        <v>2.4265362212887749</v>
      </c>
      <c r="AO3221" s="473">
        <v>8.9401470340054771E-4</v>
      </c>
      <c r="AP3221" s="474">
        <v>2.5176538591197028E-3</v>
      </c>
      <c r="AQ3221" s="352"/>
      <c r="AR3221" s="352"/>
      <c r="AS3221" s="352"/>
      <c r="AT3221" s="352"/>
      <c r="AU3221" s="352"/>
      <c r="AV3221" s="352"/>
      <c r="AW3221" s="352" t="s">
        <v>254</v>
      </c>
    </row>
    <row r="3222" spans="2:49" x14ac:dyDescent="0.2">
      <c r="B3222" s="460" t="s">
        <v>3308</v>
      </c>
      <c r="C3222" s="460">
        <v>4241</v>
      </c>
      <c r="D3222" s="460" t="s">
        <v>2369</v>
      </c>
      <c r="E3222" s="460" t="s">
        <v>1139</v>
      </c>
      <c r="F3222" s="460">
        <v>4</v>
      </c>
      <c r="G3222" s="460">
        <v>4</v>
      </c>
      <c r="H3222" s="461" t="s">
        <v>748</v>
      </c>
      <c r="I3222" s="461" t="s">
        <v>765</v>
      </c>
      <c r="J3222" s="461" t="s">
        <v>700</v>
      </c>
      <c r="K3222" s="594"/>
      <c r="L3222" s="594"/>
      <c r="M3222" s="352">
        <v>4000</v>
      </c>
      <c r="N3222" s="352" t="s">
        <v>716</v>
      </c>
      <c r="O3222" s="460">
        <v>4241</v>
      </c>
      <c r="P3222" s="460" t="s">
        <v>777</v>
      </c>
      <c r="Q3222" s="460" t="s">
        <v>2440</v>
      </c>
      <c r="R3222" s="460">
        <v>4241</v>
      </c>
      <c r="S3222" s="460" t="s">
        <v>1139</v>
      </c>
      <c r="T3222" s="462">
        <v>1</v>
      </c>
      <c r="U3222" s="460" t="s">
        <v>1139</v>
      </c>
      <c r="V3222" s="475">
        <v>0</v>
      </c>
      <c r="W3222" s="463" t="s">
        <v>2268</v>
      </c>
      <c r="X3222" s="463" t="s">
        <v>2268</v>
      </c>
      <c r="Y3222" s="463" t="s">
        <v>2267</v>
      </c>
      <c r="Z3222" s="463"/>
      <c r="AA3222" s="463"/>
      <c r="AB3222" s="464">
        <v>0</v>
      </c>
      <c r="AC3222" s="465">
        <v>0</v>
      </c>
      <c r="AD3222" s="465">
        <v>0</v>
      </c>
      <c r="AE3222" s="476">
        <v>0</v>
      </c>
      <c r="AF3222" s="467">
        <v>0</v>
      </c>
      <c r="AG3222" s="468">
        <v>0</v>
      </c>
      <c r="AH3222" s="218">
        <v>0</v>
      </c>
      <c r="AI3222" s="470">
        <v>0</v>
      </c>
      <c r="AJ3222" s="471">
        <v>0</v>
      </c>
      <c r="AK3222" s="218">
        <v>0</v>
      </c>
      <c r="AL3222" s="470">
        <v>0</v>
      </c>
      <c r="AM3222" s="471">
        <v>0</v>
      </c>
      <c r="AN3222" s="477">
        <v>0</v>
      </c>
      <c r="AO3222" s="473">
        <v>0</v>
      </c>
      <c r="AP3222" s="474">
        <v>0</v>
      </c>
      <c r="AQ3222" s="352"/>
      <c r="AR3222" s="352"/>
      <c r="AS3222" s="352"/>
      <c r="AT3222" s="352"/>
      <c r="AU3222" s="352"/>
      <c r="AV3222" s="352"/>
      <c r="AW3222" s="352" t="s">
        <v>254</v>
      </c>
    </row>
    <row r="3223" spans="2:49" x14ac:dyDescent="0.2">
      <c r="B3223" s="460" t="s">
        <v>3305</v>
      </c>
      <c r="C3223" s="460">
        <v>4241</v>
      </c>
      <c r="D3223" s="460" t="s">
        <v>2370</v>
      </c>
      <c r="E3223" s="460" t="s">
        <v>1136</v>
      </c>
      <c r="F3223" s="460">
        <v>1</v>
      </c>
      <c r="G3223" s="460">
        <v>4</v>
      </c>
      <c r="H3223" s="461" t="s">
        <v>752</v>
      </c>
      <c r="I3223" s="461" t="s">
        <v>964</v>
      </c>
      <c r="J3223" s="461" t="s">
        <v>752</v>
      </c>
      <c r="K3223" s="594"/>
      <c r="L3223" s="594"/>
      <c r="M3223" s="352">
        <v>4000</v>
      </c>
      <c r="N3223" s="352" t="s">
        <v>716</v>
      </c>
      <c r="O3223" s="460">
        <v>4241</v>
      </c>
      <c r="P3223" s="460" t="s">
        <v>777</v>
      </c>
      <c r="Q3223" s="460" t="s">
        <v>2440</v>
      </c>
      <c r="R3223" s="460">
        <v>4241</v>
      </c>
      <c r="S3223" s="460" t="s">
        <v>1136</v>
      </c>
      <c r="T3223" s="462">
        <v>1</v>
      </c>
      <c r="U3223" s="460" t="s">
        <v>1136</v>
      </c>
      <c r="V3223" s="475">
        <v>0</v>
      </c>
      <c r="W3223" s="463" t="s">
        <v>2267</v>
      </c>
      <c r="X3223" s="463" t="s">
        <v>2267</v>
      </c>
      <c r="Y3223" s="463" t="s">
        <v>2267</v>
      </c>
      <c r="Z3223" s="463"/>
      <c r="AA3223" s="463"/>
      <c r="AB3223" s="464">
        <v>1155.0790387688344</v>
      </c>
      <c r="AC3223" s="465">
        <v>0.4435743029746842</v>
      </c>
      <c r="AD3223" s="465">
        <v>0.37405888198366111</v>
      </c>
      <c r="AE3223" s="476">
        <v>1155.0790387688344</v>
      </c>
      <c r="AF3223" s="467">
        <v>0.4435743029746842</v>
      </c>
      <c r="AG3223" s="468">
        <v>0.37405888198366111</v>
      </c>
      <c r="AH3223" s="218">
        <v>1155.0790387688344</v>
      </c>
      <c r="AI3223" s="470">
        <v>0.4435743029746842</v>
      </c>
      <c r="AJ3223" s="471">
        <v>0.31579250726566349</v>
      </c>
      <c r="AK3223" s="218">
        <v>1155.0790387688344</v>
      </c>
      <c r="AL3223" s="470">
        <v>0.4435743029746842</v>
      </c>
      <c r="AM3223" s="471">
        <v>0.31579250726566349</v>
      </c>
      <c r="AN3223" s="477">
        <v>1155.0790387688344</v>
      </c>
      <c r="AO3223" s="473">
        <v>0.4435743029746842</v>
      </c>
      <c r="AP3223" s="474">
        <v>0.31579250726566349</v>
      </c>
      <c r="AQ3223" s="352"/>
      <c r="AR3223" s="352"/>
      <c r="AS3223" s="352"/>
      <c r="AT3223" s="352"/>
      <c r="AU3223" s="352"/>
      <c r="AV3223" s="352"/>
      <c r="AW3223" s="352" t="s">
        <v>254</v>
      </c>
    </row>
    <row r="3224" spans="2:49" x14ac:dyDescent="0.2">
      <c r="B3224" s="460" t="s">
        <v>3306</v>
      </c>
      <c r="C3224" s="460">
        <v>4241</v>
      </c>
      <c r="D3224" s="460" t="s">
        <v>2371</v>
      </c>
      <c r="E3224" s="460" t="s">
        <v>1137</v>
      </c>
      <c r="F3224" s="460">
        <v>2</v>
      </c>
      <c r="G3224" s="460">
        <v>4</v>
      </c>
      <c r="H3224" s="461" t="s">
        <v>752</v>
      </c>
      <c r="I3224" s="461" t="s">
        <v>964</v>
      </c>
      <c r="J3224" s="461" t="s">
        <v>752</v>
      </c>
      <c r="K3224" s="594"/>
      <c r="L3224" s="594"/>
      <c r="M3224" s="352">
        <v>4000</v>
      </c>
      <c r="N3224" s="352" t="s">
        <v>716</v>
      </c>
      <c r="O3224" s="460">
        <v>4241</v>
      </c>
      <c r="P3224" s="460" t="s">
        <v>777</v>
      </c>
      <c r="Q3224" s="460" t="s">
        <v>2440</v>
      </c>
      <c r="R3224" s="460">
        <v>4241</v>
      </c>
      <c r="S3224" s="460" t="s">
        <v>1137</v>
      </c>
      <c r="T3224" s="462">
        <v>1</v>
      </c>
      <c r="U3224" s="460" t="s">
        <v>1137</v>
      </c>
      <c r="V3224" s="475">
        <v>0</v>
      </c>
      <c r="W3224" s="463" t="s">
        <v>2267</v>
      </c>
      <c r="X3224" s="463" t="s">
        <v>2267</v>
      </c>
      <c r="Y3224" s="463" t="s">
        <v>2267</v>
      </c>
      <c r="Z3224" s="463"/>
      <c r="AA3224" s="463"/>
      <c r="AB3224" s="464">
        <v>5174.2935709181575</v>
      </c>
      <c r="AC3224" s="465">
        <v>0.83996106342875265</v>
      </c>
      <c r="AD3224" s="465">
        <v>0.50629914276332899</v>
      </c>
      <c r="AE3224" s="476">
        <v>5174.2935709181575</v>
      </c>
      <c r="AF3224" s="467">
        <v>0.83996106342875265</v>
      </c>
      <c r="AG3224" s="468">
        <v>0.50629914276332899</v>
      </c>
      <c r="AH3224" s="218">
        <v>5174.2935709181575</v>
      </c>
      <c r="AI3224" s="470">
        <v>0.83996106342875265</v>
      </c>
      <c r="AJ3224" s="471">
        <v>0.5019459120860118</v>
      </c>
      <c r="AK3224" s="218">
        <v>5174.2935709181575</v>
      </c>
      <c r="AL3224" s="470">
        <v>0.83996106342875265</v>
      </c>
      <c r="AM3224" s="471">
        <v>0.5019459120860118</v>
      </c>
      <c r="AN3224" s="477">
        <v>5174.2935709181575</v>
      </c>
      <c r="AO3224" s="473">
        <v>0.83996106342875265</v>
      </c>
      <c r="AP3224" s="474">
        <v>0.5019459120860118</v>
      </c>
      <c r="AQ3224" s="352"/>
      <c r="AR3224" s="352"/>
      <c r="AS3224" s="352"/>
      <c r="AT3224" s="352"/>
      <c r="AU3224" s="352"/>
      <c r="AV3224" s="352"/>
      <c r="AW3224" s="352" t="s">
        <v>254</v>
      </c>
    </row>
    <row r="3225" spans="2:49" x14ac:dyDescent="0.2">
      <c r="B3225" s="460" t="s">
        <v>3307</v>
      </c>
      <c r="C3225" s="460">
        <v>4241</v>
      </c>
      <c r="D3225" s="460" t="s">
        <v>2372</v>
      </c>
      <c r="E3225" s="460" t="s">
        <v>1138</v>
      </c>
      <c r="F3225" s="460">
        <v>3</v>
      </c>
      <c r="G3225" s="460">
        <v>4</v>
      </c>
      <c r="H3225" s="461" t="s">
        <v>752</v>
      </c>
      <c r="I3225" s="461" t="s">
        <v>964</v>
      </c>
      <c r="J3225" s="461" t="s">
        <v>752</v>
      </c>
      <c r="K3225" s="594"/>
      <c r="L3225" s="594"/>
      <c r="M3225" s="352">
        <v>4000</v>
      </c>
      <c r="N3225" s="352" t="s">
        <v>716</v>
      </c>
      <c r="O3225" s="460">
        <v>4241</v>
      </c>
      <c r="P3225" s="460" t="s">
        <v>777</v>
      </c>
      <c r="Q3225" s="460" t="s">
        <v>2440</v>
      </c>
      <c r="R3225" s="460">
        <v>4241</v>
      </c>
      <c r="S3225" s="460" t="s">
        <v>1138</v>
      </c>
      <c r="T3225" s="462">
        <v>1</v>
      </c>
      <c r="U3225" s="460" t="s">
        <v>1138</v>
      </c>
      <c r="V3225" s="475">
        <v>0</v>
      </c>
      <c r="W3225" s="463" t="s">
        <v>2267</v>
      </c>
      <c r="X3225" s="463" t="s">
        <v>2267</v>
      </c>
      <c r="Y3225" s="463" t="s">
        <v>2267</v>
      </c>
      <c r="Z3225" s="463"/>
      <c r="AA3225" s="463"/>
      <c r="AB3225" s="464">
        <v>1330.3401640257789</v>
      </c>
      <c r="AC3225" s="465">
        <v>0.49014049604075638</v>
      </c>
      <c r="AD3225" s="465">
        <v>0.22978093596162236</v>
      </c>
      <c r="AE3225" s="476">
        <v>1330.3401640257789</v>
      </c>
      <c r="AF3225" s="467">
        <v>0.49014049604075638</v>
      </c>
      <c r="AG3225" s="468">
        <v>0.22978093596162236</v>
      </c>
      <c r="AH3225" s="218">
        <v>1330.3401640257789</v>
      </c>
      <c r="AI3225" s="470">
        <v>0.49014049604075638</v>
      </c>
      <c r="AJ3225" s="471">
        <v>0.22070762795329163</v>
      </c>
      <c r="AK3225" s="218">
        <v>1330.3401640257789</v>
      </c>
      <c r="AL3225" s="470">
        <v>0.49014049604075638</v>
      </c>
      <c r="AM3225" s="471">
        <v>0.22070762795329163</v>
      </c>
      <c r="AN3225" s="477">
        <v>1330.3401640257789</v>
      </c>
      <c r="AO3225" s="473">
        <v>0.49014049604075638</v>
      </c>
      <c r="AP3225" s="474">
        <v>0.22070762795329163</v>
      </c>
      <c r="AQ3225" s="352"/>
      <c r="AR3225" s="352"/>
      <c r="AS3225" s="352"/>
      <c r="AT3225" s="352"/>
      <c r="AU3225" s="352"/>
      <c r="AV3225" s="352"/>
      <c r="AW3225" s="352" t="s">
        <v>254</v>
      </c>
    </row>
    <row r="3226" spans="2:49" x14ac:dyDescent="0.2">
      <c r="B3226" s="460" t="s">
        <v>3308</v>
      </c>
      <c r="C3226" s="460">
        <v>4241</v>
      </c>
      <c r="D3226" s="460" t="s">
        <v>2373</v>
      </c>
      <c r="E3226" s="460" t="s">
        <v>1139</v>
      </c>
      <c r="F3226" s="460">
        <v>4</v>
      </c>
      <c r="G3226" s="460">
        <v>4</v>
      </c>
      <c r="H3226" s="461" t="s">
        <v>752</v>
      </c>
      <c r="I3226" s="461" t="s">
        <v>964</v>
      </c>
      <c r="J3226" s="461" t="s">
        <v>752</v>
      </c>
      <c r="K3226" s="594"/>
      <c r="L3226" s="594"/>
      <c r="M3226" s="352">
        <v>4000</v>
      </c>
      <c r="N3226" s="352" t="s">
        <v>716</v>
      </c>
      <c r="O3226" s="460">
        <v>4241</v>
      </c>
      <c r="P3226" s="460" t="s">
        <v>777</v>
      </c>
      <c r="Q3226" s="460" t="s">
        <v>2440</v>
      </c>
      <c r="R3226" s="460">
        <v>4241</v>
      </c>
      <c r="S3226" s="460" t="s">
        <v>1139</v>
      </c>
      <c r="T3226" s="462">
        <v>1</v>
      </c>
      <c r="U3226" s="460" t="s">
        <v>1139</v>
      </c>
      <c r="V3226" s="475">
        <v>0</v>
      </c>
      <c r="W3226" s="463" t="s">
        <v>2267</v>
      </c>
      <c r="X3226" s="463" t="s">
        <v>2267</v>
      </c>
      <c r="Y3226" s="463" t="s">
        <v>2267</v>
      </c>
      <c r="Z3226" s="463"/>
      <c r="AA3226" s="463"/>
      <c r="AB3226" s="464">
        <v>12162.833730905368</v>
      </c>
      <c r="AC3226" s="465">
        <v>1</v>
      </c>
      <c r="AD3226" s="465">
        <v>0.48489901198955526</v>
      </c>
      <c r="AE3226" s="476">
        <v>12162.833730905368</v>
      </c>
      <c r="AF3226" s="467">
        <v>1</v>
      </c>
      <c r="AG3226" s="468">
        <v>0.48489901198955526</v>
      </c>
      <c r="AH3226" s="218">
        <v>12162.833730905368</v>
      </c>
      <c r="AI3226" s="470">
        <v>1</v>
      </c>
      <c r="AJ3226" s="471">
        <v>0.45072848618101746</v>
      </c>
      <c r="AK3226" s="218">
        <v>12162.833730905368</v>
      </c>
      <c r="AL3226" s="470">
        <v>1</v>
      </c>
      <c r="AM3226" s="471">
        <v>0.45072848618101746</v>
      </c>
      <c r="AN3226" s="477">
        <v>12162.833730905368</v>
      </c>
      <c r="AO3226" s="473">
        <v>1</v>
      </c>
      <c r="AP3226" s="474">
        <v>0.45072848618101746</v>
      </c>
      <c r="AQ3226" s="352"/>
      <c r="AR3226" s="352"/>
      <c r="AS3226" s="352"/>
      <c r="AT3226" s="352"/>
      <c r="AU3226" s="352"/>
      <c r="AV3226" s="352"/>
      <c r="AW3226" s="352" t="s">
        <v>254</v>
      </c>
    </row>
    <row r="3227" spans="2:49" x14ac:dyDescent="0.2">
      <c r="B3227" s="460" t="s">
        <v>3309</v>
      </c>
      <c r="C3227" s="460">
        <v>4241</v>
      </c>
      <c r="D3227" s="460" t="s">
        <v>2375</v>
      </c>
      <c r="E3227" s="460" t="s">
        <v>2376</v>
      </c>
      <c r="F3227" s="460">
        <v>1</v>
      </c>
      <c r="G3227" s="460">
        <v>5</v>
      </c>
      <c r="H3227" s="461" t="s">
        <v>754</v>
      </c>
      <c r="I3227" s="461" t="s">
        <v>1991</v>
      </c>
      <c r="J3227" s="461" t="s">
        <v>754</v>
      </c>
      <c r="K3227" s="594"/>
      <c r="L3227" s="594"/>
      <c r="M3227" s="352">
        <v>4000</v>
      </c>
      <c r="N3227" s="352" t="s">
        <v>716</v>
      </c>
      <c r="O3227" s="460">
        <v>4241</v>
      </c>
      <c r="P3227" s="460" t="s">
        <v>777</v>
      </c>
      <c r="Q3227" s="460" t="s">
        <v>2377</v>
      </c>
      <c r="R3227" s="460">
        <v>4241</v>
      </c>
      <c r="S3227" s="460" t="s">
        <v>2376</v>
      </c>
      <c r="T3227" s="462">
        <v>1</v>
      </c>
      <c r="U3227" s="460" t="s">
        <v>2376</v>
      </c>
      <c r="V3227" s="475">
        <v>0</v>
      </c>
      <c r="W3227" s="463" t="s">
        <v>2278</v>
      </c>
      <c r="X3227" s="463" t="s">
        <v>2278</v>
      </c>
      <c r="Y3227" s="463" t="s">
        <v>2278</v>
      </c>
      <c r="Z3227" s="463"/>
      <c r="AA3227" s="463"/>
      <c r="AB3227" s="464">
        <v>91500.655005679873</v>
      </c>
      <c r="AC3227" s="465">
        <v>1</v>
      </c>
      <c r="AD3227" s="465">
        <v>0.15382219373172928</v>
      </c>
      <c r="AE3227" s="476">
        <v>91500.655005679873</v>
      </c>
      <c r="AF3227" s="467">
        <v>1</v>
      </c>
      <c r="AG3227" s="468">
        <v>0.15382219373172928</v>
      </c>
      <c r="AH3227" s="218">
        <v>91500.655005679873</v>
      </c>
      <c r="AI3227" s="470">
        <v>1</v>
      </c>
      <c r="AJ3227" s="471">
        <v>0.15382219373172928</v>
      </c>
      <c r="AK3227" s="218">
        <v>91500.655005679873</v>
      </c>
      <c r="AL3227" s="470">
        <v>1</v>
      </c>
      <c r="AM3227" s="471">
        <v>0.15382219373172928</v>
      </c>
      <c r="AN3227" s="477">
        <v>91500.655005679873</v>
      </c>
      <c r="AO3227" s="473">
        <v>1</v>
      </c>
      <c r="AP3227" s="474">
        <v>0.15382219373172928</v>
      </c>
      <c r="AQ3227" s="352"/>
      <c r="AR3227" s="352"/>
      <c r="AS3227" s="352"/>
      <c r="AT3227" s="352"/>
      <c r="AU3227" s="352"/>
      <c r="AV3227" s="352"/>
      <c r="AW3227" s="352" t="s">
        <v>127</v>
      </c>
    </row>
    <row r="3228" spans="2:49" x14ac:dyDescent="0.2">
      <c r="B3228" s="460" t="s">
        <v>3310</v>
      </c>
      <c r="C3228" s="460">
        <v>4241</v>
      </c>
      <c r="D3228" s="460" t="s">
        <v>2379</v>
      </c>
      <c r="E3228" s="460" t="s">
        <v>2380</v>
      </c>
      <c r="F3228" s="460">
        <v>2</v>
      </c>
      <c r="G3228" s="460">
        <v>5</v>
      </c>
      <c r="H3228" s="461" t="s">
        <v>754</v>
      </c>
      <c r="I3228" s="461" t="s">
        <v>1991</v>
      </c>
      <c r="J3228" s="461" t="s">
        <v>754</v>
      </c>
      <c r="K3228" s="594"/>
      <c r="L3228" s="594"/>
      <c r="M3228" s="352">
        <v>4000</v>
      </c>
      <c r="N3228" s="352" t="s">
        <v>716</v>
      </c>
      <c r="O3228" s="460">
        <v>4241</v>
      </c>
      <c r="P3228" s="460" t="s">
        <v>777</v>
      </c>
      <c r="Q3228" s="460" t="s">
        <v>2377</v>
      </c>
      <c r="R3228" s="460">
        <v>4241</v>
      </c>
      <c r="S3228" s="460" t="s">
        <v>2380</v>
      </c>
      <c r="T3228" s="462">
        <v>1</v>
      </c>
      <c r="U3228" s="460" t="s">
        <v>2380</v>
      </c>
      <c r="V3228" s="475">
        <v>0</v>
      </c>
      <c r="W3228" s="463" t="s">
        <v>2278</v>
      </c>
      <c r="X3228" s="463" t="s">
        <v>2278</v>
      </c>
      <c r="Y3228" s="463" t="s">
        <v>2278</v>
      </c>
      <c r="Z3228" s="463"/>
      <c r="AA3228" s="463"/>
      <c r="AB3228" s="464">
        <v>82402.384808435934</v>
      </c>
      <c r="AC3228" s="465">
        <v>1</v>
      </c>
      <c r="AD3228" s="465">
        <v>0.16226708106895144</v>
      </c>
      <c r="AE3228" s="476">
        <v>82402.384808435934</v>
      </c>
      <c r="AF3228" s="467">
        <v>1</v>
      </c>
      <c r="AG3228" s="468">
        <v>0.16226708106895144</v>
      </c>
      <c r="AH3228" s="218">
        <v>82402.384808435934</v>
      </c>
      <c r="AI3228" s="470">
        <v>1</v>
      </c>
      <c r="AJ3228" s="471">
        <v>0.16226708106895144</v>
      </c>
      <c r="AK3228" s="218">
        <v>82402.384808435934</v>
      </c>
      <c r="AL3228" s="470">
        <v>1</v>
      </c>
      <c r="AM3228" s="471">
        <v>0.16226708106895144</v>
      </c>
      <c r="AN3228" s="477">
        <v>82402.384808435934</v>
      </c>
      <c r="AO3228" s="473">
        <v>1</v>
      </c>
      <c r="AP3228" s="474">
        <v>0.16226708106895144</v>
      </c>
      <c r="AQ3228" s="352"/>
      <c r="AR3228" s="352"/>
      <c r="AS3228" s="352"/>
      <c r="AT3228" s="352"/>
      <c r="AU3228" s="352"/>
      <c r="AV3228" s="352"/>
      <c r="AW3228" s="352" t="s">
        <v>127</v>
      </c>
    </row>
    <row r="3229" spans="2:49" x14ac:dyDescent="0.2">
      <c r="B3229" s="460" t="s">
        <v>3311</v>
      </c>
      <c r="C3229" s="460">
        <v>4241</v>
      </c>
      <c r="D3229" s="460" t="s">
        <v>2382</v>
      </c>
      <c r="E3229" s="460" t="s">
        <v>2383</v>
      </c>
      <c r="F3229" s="460">
        <v>3</v>
      </c>
      <c r="G3229" s="460">
        <v>5</v>
      </c>
      <c r="H3229" s="461" t="s">
        <v>754</v>
      </c>
      <c r="I3229" s="461" t="s">
        <v>1991</v>
      </c>
      <c r="J3229" s="461" t="s">
        <v>754</v>
      </c>
      <c r="K3229" s="594"/>
      <c r="L3229" s="594"/>
      <c r="M3229" s="352">
        <v>4000</v>
      </c>
      <c r="N3229" s="352" t="s">
        <v>716</v>
      </c>
      <c r="O3229" s="460">
        <v>4241</v>
      </c>
      <c r="P3229" s="460" t="s">
        <v>777</v>
      </c>
      <c r="Q3229" s="460" t="s">
        <v>2377</v>
      </c>
      <c r="R3229" s="460">
        <v>4241</v>
      </c>
      <c r="S3229" s="460" t="s">
        <v>2383</v>
      </c>
      <c r="T3229" s="462">
        <v>1</v>
      </c>
      <c r="U3229" s="460" t="s">
        <v>2383</v>
      </c>
      <c r="V3229" s="475">
        <v>0</v>
      </c>
      <c r="W3229" s="463" t="s">
        <v>2278</v>
      </c>
      <c r="X3229" s="463" t="s">
        <v>2278</v>
      </c>
      <c r="Y3229" s="463" t="s">
        <v>2278</v>
      </c>
      <c r="Z3229" s="463"/>
      <c r="AA3229" s="463"/>
      <c r="AB3229" s="464">
        <v>14989.639580087613</v>
      </c>
      <c r="AC3229" s="465">
        <v>1</v>
      </c>
      <c r="AD3229" s="465">
        <v>0.13323778166823491</v>
      </c>
      <c r="AE3229" s="476">
        <v>14989.639580087613</v>
      </c>
      <c r="AF3229" s="467">
        <v>1</v>
      </c>
      <c r="AG3229" s="468">
        <v>0.13323778166823491</v>
      </c>
      <c r="AH3229" s="218">
        <v>14989.639580087613</v>
      </c>
      <c r="AI3229" s="470">
        <v>1</v>
      </c>
      <c r="AJ3229" s="471">
        <v>0.13323778166823491</v>
      </c>
      <c r="AK3229" s="218">
        <v>14989.639580087613</v>
      </c>
      <c r="AL3229" s="470">
        <v>1</v>
      </c>
      <c r="AM3229" s="471">
        <v>0.13323778166823491</v>
      </c>
      <c r="AN3229" s="477">
        <v>14989.639580087613</v>
      </c>
      <c r="AO3229" s="473">
        <v>1</v>
      </c>
      <c r="AP3229" s="474">
        <v>0.13323778166823491</v>
      </c>
      <c r="AQ3229" s="352"/>
      <c r="AR3229" s="352"/>
      <c r="AS3229" s="352"/>
      <c r="AT3229" s="352"/>
      <c r="AU3229" s="352"/>
      <c r="AV3229" s="352"/>
      <c r="AW3229" s="352" t="s">
        <v>127</v>
      </c>
    </row>
    <row r="3230" spans="2:49" x14ac:dyDescent="0.2">
      <c r="B3230" s="460" t="s">
        <v>3312</v>
      </c>
      <c r="C3230" s="460">
        <v>4241</v>
      </c>
      <c r="D3230" s="460" t="s">
        <v>2385</v>
      </c>
      <c r="E3230" s="460" t="s">
        <v>2386</v>
      </c>
      <c r="F3230" s="460">
        <v>4</v>
      </c>
      <c r="G3230" s="460">
        <v>5</v>
      </c>
      <c r="H3230" s="461" t="s">
        <v>754</v>
      </c>
      <c r="I3230" s="461" t="s">
        <v>1991</v>
      </c>
      <c r="J3230" s="461" t="s">
        <v>754</v>
      </c>
      <c r="K3230" s="594"/>
      <c r="L3230" s="594"/>
      <c r="M3230" s="352">
        <v>4000</v>
      </c>
      <c r="N3230" s="352" t="s">
        <v>716</v>
      </c>
      <c r="O3230" s="460">
        <v>4241</v>
      </c>
      <c r="P3230" s="460" t="s">
        <v>777</v>
      </c>
      <c r="Q3230" s="460" t="s">
        <v>2377</v>
      </c>
      <c r="R3230" s="460">
        <v>4241</v>
      </c>
      <c r="S3230" s="460" t="s">
        <v>2386</v>
      </c>
      <c r="T3230" s="462">
        <v>1</v>
      </c>
      <c r="U3230" s="460" t="s">
        <v>2386</v>
      </c>
      <c r="V3230" s="475">
        <v>0</v>
      </c>
      <c r="W3230" s="463" t="s">
        <v>2278</v>
      </c>
      <c r="X3230" s="463" t="s">
        <v>2278</v>
      </c>
      <c r="Y3230" s="463" t="s">
        <v>2278</v>
      </c>
      <c r="Z3230" s="463"/>
      <c r="AA3230" s="463"/>
      <c r="AB3230" s="464">
        <v>1438.2675731384536</v>
      </c>
      <c r="AC3230" s="465">
        <v>1</v>
      </c>
      <c r="AD3230" s="465">
        <v>2.6680924191225069E-2</v>
      </c>
      <c r="AE3230" s="476">
        <v>1438.2675731384536</v>
      </c>
      <c r="AF3230" s="467">
        <v>1</v>
      </c>
      <c r="AG3230" s="468">
        <v>2.6680924191225069E-2</v>
      </c>
      <c r="AH3230" s="218">
        <v>1438.2675731384536</v>
      </c>
      <c r="AI3230" s="470">
        <v>1</v>
      </c>
      <c r="AJ3230" s="471">
        <v>2.6680924191225069E-2</v>
      </c>
      <c r="AK3230" s="218">
        <v>1438.2675731384536</v>
      </c>
      <c r="AL3230" s="470">
        <v>1</v>
      </c>
      <c r="AM3230" s="471">
        <v>2.6680924191225069E-2</v>
      </c>
      <c r="AN3230" s="477">
        <v>1438.2675731384536</v>
      </c>
      <c r="AO3230" s="473">
        <v>1</v>
      </c>
      <c r="AP3230" s="474">
        <v>2.6680924191225069E-2</v>
      </c>
      <c r="AQ3230" s="352"/>
      <c r="AR3230" s="352"/>
      <c r="AS3230" s="352"/>
      <c r="AT3230" s="352"/>
      <c r="AU3230" s="352"/>
      <c r="AV3230" s="352"/>
      <c r="AW3230" s="352" t="s">
        <v>127</v>
      </c>
    </row>
    <row r="3231" spans="2:49" x14ac:dyDescent="0.2">
      <c r="B3231" s="460" t="s">
        <v>3313</v>
      </c>
      <c r="C3231" s="460">
        <v>4241</v>
      </c>
      <c r="D3231" s="460" t="s">
        <v>2388</v>
      </c>
      <c r="E3231" s="460" t="s">
        <v>2389</v>
      </c>
      <c r="F3231" s="460">
        <v>1</v>
      </c>
      <c r="G3231" s="460">
        <v>6</v>
      </c>
      <c r="H3231" s="461" t="s">
        <v>754</v>
      </c>
      <c r="I3231" s="461" t="s">
        <v>1991</v>
      </c>
      <c r="J3231" s="461" t="s">
        <v>754</v>
      </c>
      <c r="K3231" s="594"/>
      <c r="L3231" s="594"/>
      <c r="M3231" s="352">
        <v>4000</v>
      </c>
      <c r="N3231" s="352" t="s">
        <v>716</v>
      </c>
      <c r="O3231" s="460">
        <v>4241</v>
      </c>
      <c r="P3231" s="460" t="s">
        <v>777</v>
      </c>
      <c r="Q3231" s="460" t="s">
        <v>2377</v>
      </c>
      <c r="R3231" s="460">
        <v>4241</v>
      </c>
      <c r="S3231" s="460" t="s">
        <v>2389</v>
      </c>
      <c r="T3231" s="462">
        <v>1</v>
      </c>
      <c r="U3231" s="460" t="s">
        <v>2389</v>
      </c>
      <c r="V3231" s="475">
        <v>0</v>
      </c>
      <c r="W3231" s="463" t="s">
        <v>2278</v>
      </c>
      <c r="X3231" s="463" t="s">
        <v>2278</v>
      </c>
      <c r="Y3231" s="463" t="s">
        <v>2278</v>
      </c>
      <c r="Z3231" s="463"/>
      <c r="AA3231" s="463"/>
      <c r="AB3231" s="464">
        <v>5.023722609541732</v>
      </c>
      <c r="AC3231" s="465">
        <v>1</v>
      </c>
      <c r="AD3231" s="465">
        <v>1.6795051729133587E-4</v>
      </c>
      <c r="AE3231" s="476">
        <v>5.023722609541732</v>
      </c>
      <c r="AF3231" s="467">
        <v>1</v>
      </c>
      <c r="AG3231" s="468">
        <v>1.6795051729133587E-4</v>
      </c>
      <c r="AH3231" s="218">
        <v>5.023722609541732</v>
      </c>
      <c r="AI3231" s="470">
        <v>1</v>
      </c>
      <c r="AJ3231" s="471">
        <v>1.6795051729133587E-4</v>
      </c>
      <c r="AK3231" s="218">
        <v>5.023722609541732</v>
      </c>
      <c r="AL3231" s="470">
        <v>1</v>
      </c>
      <c r="AM3231" s="471">
        <v>1.6795051729133587E-4</v>
      </c>
      <c r="AN3231" s="477">
        <v>5.023722609541732</v>
      </c>
      <c r="AO3231" s="473">
        <v>1</v>
      </c>
      <c r="AP3231" s="474">
        <v>1.6795051729133587E-4</v>
      </c>
      <c r="AQ3231" s="352"/>
      <c r="AR3231" s="352"/>
      <c r="AS3231" s="352"/>
      <c r="AT3231" s="352"/>
      <c r="AU3231" s="352"/>
      <c r="AV3231" s="352"/>
      <c r="AW3231" s="352" t="s">
        <v>127</v>
      </c>
    </row>
    <row r="3232" spans="2:49" x14ac:dyDescent="0.2">
      <c r="B3232" s="460" t="s">
        <v>3314</v>
      </c>
      <c r="C3232" s="460">
        <v>4241</v>
      </c>
      <c r="D3232" s="460" t="s">
        <v>2391</v>
      </c>
      <c r="E3232" s="460" t="s">
        <v>2392</v>
      </c>
      <c r="F3232" s="460">
        <v>2</v>
      </c>
      <c r="G3232" s="460">
        <v>6</v>
      </c>
      <c r="H3232" s="461" t="s">
        <v>754</v>
      </c>
      <c r="I3232" s="461" t="s">
        <v>1991</v>
      </c>
      <c r="J3232" s="461" t="s">
        <v>754</v>
      </c>
      <c r="K3232" s="594"/>
      <c r="L3232" s="594"/>
      <c r="M3232" s="352">
        <v>4000</v>
      </c>
      <c r="N3232" s="352" t="s">
        <v>716</v>
      </c>
      <c r="O3232" s="460">
        <v>4241</v>
      </c>
      <c r="P3232" s="460" t="s">
        <v>777</v>
      </c>
      <c r="Q3232" s="460" t="s">
        <v>2377</v>
      </c>
      <c r="R3232" s="460">
        <v>4241</v>
      </c>
      <c r="S3232" s="460" t="s">
        <v>2392</v>
      </c>
      <c r="T3232" s="462">
        <v>1</v>
      </c>
      <c r="U3232" s="460" t="s">
        <v>2392</v>
      </c>
      <c r="V3232" s="475">
        <v>0</v>
      </c>
      <c r="W3232" s="463" t="s">
        <v>2278</v>
      </c>
      <c r="X3232" s="463" t="s">
        <v>2278</v>
      </c>
      <c r="Y3232" s="463" t="s">
        <v>2278</v>
      </c>
      <c r="Z3232" s="463"/>
      <c r="AA3232" s="463"/>
      <c r="AB3232" s="464">
        <v>0</v>
      </c>
      <c r="AC3232" s="465">
        <v>0</v>
      </c>
      <c r="AD3232" s="465">
        <v>0</v>
      </c>
      <c r="AE3232" s="476">
        <v>0</v>
      </c>
      <c r="AF3232" s="467">
        <v>0</v>
      </c>
      <c r="AG3232" s="468">
        <v>0</v>
      </c>
      <c r="AH3232" s="218">
        <v>0</v>
      </c>
      <c r="AI3232" s="470">
        <v>0</v>
      </c>
      <c r="AJ3232" s="471">
        <v>0</v>
      </c>
      <c r="AK3232" s="218">
        <v>0</v>
      </c>
      <c r="AL3232" s="470">
        <v>0</v>
      </c>
      <c r="AM3232" s="471">
        <v>0</v>
      </c>
      <c r="AN3232" s="477">
        <v>0</v>
      </c>
      <c r="AO3232" s="473">
        <v>0</v>
      </c>
      <c r="AP3232" s="474">
        <v>0</v>
      </c>
      <c r="AQ3232" s="352"/>
      <c r="AR3232" s="352"/>
      <c r="AS3232" s="352"/>
      <c r="AT3232" s="352"/>
      <c r="AU3232" s="352"/>
      <c r="AV3232" s="352"/>
      <c r="AW3232" s="352" t="s">
        <v>127</v>
      </c>
    </row>
    <row r="3233" spans="2:49" x14ac:dyDescent="0.2">
      <c r="B3233" s="460" t="s">
        <v>3315</v>
      </c>
      <c r="C3233" s="460">
        <v>4241</v>
      </c>
      <c r="D3233" s="460" t="s">
        <v>2394</v>
      </c>
      <c r="E3233" s="460" t="s">
        <v>2395</v>
      </c>
      <c r="F3233" s="460">
        <v>3</v>
      </c>
      <c r="G3233" s="460">
        <v>6</v>
      </c>
      <c r="H3233" s="461" t="s">
        <v>754</v>
      </c>
      <c r="I3233" s="461" t="s">
        <v>1991</v>
      </c>
      <c r="J3233" s="461" t="s">
        <v>754</v>
      </c>
      <c r="K3233" s="594"/>
      <c r="L3233" s="594"/>
      <c r="M3233" s="352">
        <v>4000</v>
      </c>
      <c r="N3233" s="352" t="s">
        <v>716</v>
      </c>
      <c r="O3233" s="460">
        <v>4241</v>
      </c>
      <c r="P3233" s="460" t="s">
        <v>777</v>
      </c>
      <c r="Q3233" s="460" t="s">
        <v>2377</v>
      </c>
      <c r="R3233" s="460">
        <v>4241</v>
      </c>
      <c r="S3233" s="460" t="s">
        <v>2395</v>
      </c>
      <c r="T3233" s="462">
        <v>1</v>
      </c>
      <c r="U3233" s="460" t="s">
        <v>2395</v>
      </c>
      <c r="V3233" s="475">
        <v>0</v>
      </c>
      <c r="W3233" s="463" t="s">
        <v>2278</v>
      </c>
      <c r="X3233" s="463" t="s">
        <v>2278</v>
      </c>
      <c r="Y3233" s="463" t="s">
        <v>2278</v>
      </c>
      <c r="Z3233" s="463"/>
      <c r="AA3233" s="463"/>
      <c r="AB3233" s="464">
        <v>0</v>
      </c>
      <c r="AC3233" s="465">
        <v>0</v>
      </c>
      <c r="AD3233" s="465">
        <v>0</v>
      </c>
      <c r="AE3233" s="476">
        <v>0</v>
      </c>
      <c r="AF3233" s="467">
        <v>0</v>
      </c>
      <c r="AG3233" s="468">
        <v>0</v>
      </c>
      <c r="AH3233" s="218">
        <v>0</v>
      </c>
      <c r="AI3233" s="470">
        <v>0</v>
      </c>
      <c r="AJ3233" s="471">
        <v>0</v>
      </c>
      <c r="AK3233" s="218">
        <v>0</v>
      </c>
      <c r="AL3233" s="470">
        <v>0</v>
      </c>
      <c r="AM3233" s="471">
        <v>0</v>
      </c>
      <c r="AN3233" s="477">
        <v>0</v>
      </c>
      <c r="AO3233" s="473">
        <v>0</v>
      </c>
      <c r="AP3233" s="474">
        <v>0</v>
      </c>
      <c r="AQ3233" s="352"/>
      <c r="AR3233" s="352"/>
      <c r="AS3233" s="352"/>
      <c r="AT3233" s="352"/>
      <c r="AU3233" s="352"/>
      <c r="AV3233" s="352"/>
      <c r="AW3233" s="352" t="s">
        <v>127</v>
      </c>
    </row>
    <row r="3234" spans="2:49" x14ac:dyDescent="0.2">
      <c r="B3234" s="460" t="s">
        <v>3316</v>
      </c>
      <c r="C3234" s="460">
        <v>4241</v>
      </c>
      <c r="D3234" s="460" t="s">
        <v>2397</v>
      </c>
      <c r="E3234" s="460" t="s">
        <v>2398</v>
      </c>
      <c r="F3234" s="460">
        <v>4</v>
      </c>
      <c r="G3234" s="460">
        <v>6</v>
      </c>
      <c r="H3234" s="461" t="s">
        <v>754</v>
      </c>
      <c r="I3234" s="461" t="s">
        <v>1991</v>
      </c>
      <c r="J3234" s="461" t="s">
        <v>754</v>
      </c>
      <c r="K3234" s="594"/>
      <c r="L3234" s="594"/>
      <c r="M3234" s="352">
        <v>4000</v>
      </c>
      <c r="N3234" s="352" t="s">
        <v>716</v>
      </c>
      <c r="O3234" s="460">
        <v>4241</v>
      </c>
      <c r="P3234" s="460" t="s">
        <v>777</v>
      </c>
      <c r="Q3234" s="460" t="s">
        <v>2377</v>
      </c>
      <c r="R3234" s="460">
        <v>4241</v>
      </c>
      <c r="S3234" s="460" t="s">
        <v>2398</v>
      </c>
      <c r="T3234" s="462">
        <v>1</v>
      </c>
      <c r="U3234" s="460" t="s">
        <v>2398</v>
      </c>
      <c r="V3234" s="475">
        <v>0</v>
      </c>
      <c r="W3234" s="463" t="s">
        <v>2278</v>
      </c>
      <c r="X3234" s="463" t="s">
        <v>2278</v>
      </c>
      <c r="Y3234" s="463" t="s">
        <v>2278</v>
      </c>
      <c r="Z3234" s="463"/>
      <c r="AA3234" s="463"/>
      <c r="AB3234" s="464">
        <v>0</v>
      </c>
      <c r="AC3234" s="465">
        <v>0</v>
      </c>
      <c r="AD3234" s="465">
        <v>0</v>
      </c>
      <c r="AE3234" s="476">
        <v>0</v>
      </c>
      <c r="AF3234" s="467">
        <v>0</v>
      </c>
      <c r="AG3234" s="468">
        <v>0</v>
      </c>
      <c r="AH3234" s="218">
        <v>0</v>
      </c>
      <c r="AI3234" s="470">
        <v>0</v>
      </c>
      <c r="AJ3234" s="471">
        <v>0</v>
      </c>
      <c r="AK3234" s="218">
        <v>0</v>
      </c>
      <c r="AL3234" s="470">
        <v>0</v>
      </c>
      <c r="AM3234" s="471">
        <v>0</v>
      </c>
      <c r="AN3234" s="477">
        <v>0</v>
      </c>
      <c r="AO3234" s="473">
        <v>0</v>
      </c>
      <c r="AP3234" s="474">
        <v>0</v>
      </c>
      <c r="AQ3234" s="352"/>
      <c r="AR3234" s="352"/>
      <c r="AS3234" s="352"/>
      <c r="AT3234" s="352"/>
      <c r="AU3234" s="352"/>
      <c r="AV3234" s="352"/>
      <c r="AW3234" s="352" t="s">
        <v>127</v>
      </c>
    </row>
    <row r="3235" spans="2:49" x14ac:dyDescent="0.2">
      <c r="B3235" s="460" t="s">
        <v>3317</v>
      </c>
      <c r="C3235" s="460">
        <v>4311</v>
      </c>
      <c r="D3235" s="460" t="s">
        <v>2264</v>
      </c>
      <c r="E3235" s="460" t="s">
        <v>2265</v>
      </c>
      <c r="F3235" s="460">
        <v>1</v>
      </c>
      <c r="G3235" s="460">
        <v>1</v>
      </c>
      <c r="H3235" s="461" t="s">
        <v>700</v>
      </c>
      <c r="I3235" s="461" t="s">
        <v>872</v>
      </c>
      <c r="J3235" s="461" t="s">
        <v>700</v>
      </c>
      <c r="K3235" s="594"/>
      <c r="L3235" s="594"/>
      <c r="M3235" s="352">
        <v>4000</v>
      </c>
      <c r="N3235" s="352" t="s">
        <v>716</v>
      </c>
      <c r="O3235" s="460">
        <v>4311</v>
      </c>
      <c r="P3235" s="460" t="s">
        <v>779</v>
      </c>
      <c r="Q3235" s="460" t="s">
        <v>2444</v>
      </c>
      <c r="R3235" s="460">
        <v>4311</v>
      </c>
      <c r="S3235" s="460" t="s">
        <v>2265</v>
      </c>
      <c r="T3235" s="462">
        <v>1</v>
      </c>
      <c r="U3235" s="460" t="s">
        <v>2265</v>
      </c>
      <c r="V3235" s="475">
        <v>0</v>
      </c>
      <c r="W3235" s="463" t="s">
        <v>2503</v>
      </c>
      <c r="X3235" s="463" t="s">
        <v>2503</v>
      </c>
      <c r="Y3235" s="463" t="s">
        <v>2268</v>
      </c>
      <c r="Z3235" s="463"/>
      <c r="AA3235" s="463"/>
      <c r="AB3235" s="464">
        <v>195.68431573307674</v>
      </c>
      <c r="AC3235" s="465">
        <v>0.25</v>
      </c>
      <c r="AD3235" s="465">
        <v>1.8146658189653728E-3</v>
      </c>
      <c r="AE3235" s="476">
        <v>117.41058943984604</v>
      </c>
      <c r="AF3235" s="467">
        <v>0.15</v>
      </c>
      <c r="AG3235" s="468">
        <v>1.1630657315138523E-3</v>
      </c>
      <c r="AH3235" s="218">
        <v>117.41058943984604</v>
      </c>
      <c r="AI3235" s="470">
        <v>0.15</v>
      </c>
      <c r="AJ3235" s="471">
        <v>1.1195497951980958E-3</v>
      </c>
      <c r="AK3235" s="218">
        <v>117.41058943984604</v>
      </c>
      <c r="AL3235" s="470">
        <v>0.15</v>
      </c>
      <c r="AM3235" s="471">
        <v>1.1195497951980958E-3</v>
      </c>
      <c r="AN3235" s="477">
        <v>0</v>
      </c>
      <c r="AO3235" s="473">
        <v>0</v>
      </c>
      <c r="AP3235" s="474">
        <v>0</v>
      </c>
      <c r="AQ3235" s="352"/>
      <c r="AR3235" s="352"/>
      <c r="AS3235" s="352"/>
      <c r="AT3235" s="352"/>
      <c r="AU3235" s="352"/>
      <c r="AV3235" s="352"/>
      <c r="AW3235" s="352" t="s">
        <v>254</v>
      </c>
    </row>
    <row r="3236" spans="2:49" x14ac:dyDescent="0.2">
      <c r="B3236" s="460" t="s">
        <v>3318</v>
      </c>
      <c r="C3236" s="460">
        <v>4311</v>
      </c>
      <c r="D3236" s="460" t="s">
        <v>2270</v>
      </c>
      <c r="E3236" s="460" t="s">
        <v>2271</v>
      </c>
      <c r="F3236" s="460">
        <v>2</v>
      </c>
      <c r="G3236" s="460">
        <v>1</v>
      </c>
      <c r="H3236" s="461" t="s">
        <v>700</v>
      </c>
      <c r="I3236" s="461" t="s">
        <v>872</v>
      </c>
      <c r="J3236" s="461" t="s">
        <v>700</v>
      </c>
      <c r="K3236" s="594"/>
      <c r="L3236" s="594"/>
      <c r="M3236" s="352">
        <v>4000</v>
      </c>
      <c r="N3236" s="352" t="s">
        <v>716</v>
      </c>
      <c r="O3236" s="460">
        <v>4311</v>
      </c>
      <c r="P3236" s="460" t="s">
        <v>779</v>
      </c>
      <c r="Q3236" s="460" t="s">
        <v>2444</v>
      </c>
      <c r="R3236" s="460">
        <v>4311</v>
      </c>
      <c r="S3236" s="460" t="s">
        <v>2265</v>
      </c>
      <c r="T3236" s="462">
        <v>1</v>
      </c>
      <c r="U3236" s="460" t="s">
        <v>2271</v>
      </c>
      <c r="V3236" s="475">
        <v>0</v>
      </c>
      <c r="W3236" s="463" t="s">
        <v>2503</v>
      </c>
      <c r="X3236" s="463" t="s">
        <v>2503</v>
      </c>
      <c r="Y3236" s="463" t="s">
        <v>2268</v>
      </c>
      <c r="Z3236" s="463"/>
      <c r="AA3236" s="463"/>
      <c r="AB3236" s="464">
        <v>219.63292778554637</v>
      </c>
      <c r="AC3236" s="465">
        <v>0.25</v>
      </c>
      <c r="AD3236" s="465">
        <v>2.7249402913195804E-3</v>
      </c>
      <c r="AE3236" s="476">
        <v>131.77975667132782</v>
      </c>
      <c r="AF3236" s="467">
        <v>0.15</v>
      </c>
      <c r="AG3236" s="468">
        <v>1.7717473238266928E-3</v>
      </c>
      <c r="AH3236" s="218">
        <v>131.77975667132782</v>
      </c>
      <c r="AI3236" s="470">
        <v>0.15</v>
      </c>
      <c r="AJ3236" s="471">
        <v>1.5558444499023337E-3</v>
      </c>
      <c r="AK3236" s="218">
        <v>131.77975667132782</v>
      </c>
      <c r="AL3236" s="470">
        <v>0.15</v>
      </c>
      <c r="AM3236" s="471">
        <v>1.5558444499023337E-3</v>
      </c>
      <c r="AN3236" s="477">
        <v>0</v>
      </c>
      <c r="AO3236" s="473">
        <v>0</v>
      </c>
      <c r="AP3236" s="474">
        <v>0</v>
      </c>
      <c r="AQ3236" s="352"/>
      <c r="AR3236" s="352"/>
      <c r="AS3236" s="352"/>
      <c r="AT3236" s="352"/>
      <c r="AU3236" s="352"/>
      <c r="AV3236" s="352"/>
      <c r="AW3236" s="352" t="s">
        <v>254</v>
      </c>
    </row>
    <row r="3237" spans="2:49" x14ac:dyDescent="0.2">
      <c r="B3237" s="460" t="s">
        <v>3319</v>
      </c>
      <c r="C3237" s="460">
        <v>4311</v>
      </c>
      <c r="D3237" s="460" t="s">
        <v>2273</v>
      </c>
      <c r="E3237" s="460" t="s">
        <v>2274</v>
      </c>
      <c r="F3237" s="460">
        <v>3</v>
      </c>
      <c r="G3237" s="460">
        <v>1</v>
      </c>
      <c r="H3237" s="461" t="s">
        <v>700</v>
      </c>
      <c r="I3237" s="461" t="s">
        <v>872</v>
      </c>
      <c r="J3237" s="461" t="s">
        <v>700</v>
      </c>
      <c r="K3237" s="594"/>
      <c r="L3237" s="594"/>
      <c r="M3237" s="352">
        <v>4000</v>
      </c>
      <c r="N3237" s="352" t="s">
        <v>716</v>
      </c>
      <c r="O3237" s="460">
        <v>4311</v>
      </c>
      <c r="P3237" s="460" t="s">
        <v>779</v>
      </c>
      <c r="Q3237" s="460" t="s">
        <v>2444</v>
      </c>
      <c r="R3237" s="460">
        <v>4311</v>
      </c>
      <c r="S3237" s="460" t="s">
        <v>2265</v>
      </c>
      <c r="T3237" s="462">
        <v>0.74223365950407583</v>
      </c>
      <c r="U3237" s="460" t="s">
        <v>2274</v>
      </c>
      <c r="V3237" s="475">
        <v>0</v>
      </c>
      <c r="W3237" s="463" t="s">
        <v>2503</v>
      </c>
      <c r="X3237" s="463" t="s">
        <v>2503</v>
      </c>
      <c r="Y3237" s="463" t="s">
        <v>2268</v>
      </c>
      <c r="Z3237" s="463"/>
      <c r="AA3237" s="463"/>
      <c r="AB3237" s="464">
        <v>69.570849287750065</v>
      </c>
      <c r="AC3237" s="465">
        <v>0.11079139646399112</v>
      </c>
      <c r="AD3237" s="465">
        <v>3.441645961300718E-3</v>
      </c>
      <c r="AE3237" s="476">
        <v>41.742509572650036</v>
      </c>
      <c r="AF3237" s="467">
        <v>6.6474837878394671E-2</v>
      </c>
      <c r="AG3237" s="468">
        <v>2.2367409555473995E-3</v>
      </c>
      <c r="AH3237" s="218">
        <v>69.912232866975813</v>
      </c>
      <c r="AI3237" s="470">
        <v>0.11133504892561137</v>
      </c>
      <c r="AJ3237" s="471">
        <v>2.7128802292712799E-3</v>
      </c>
      <c r="AK3237" s="218">
        <v>69.912232866975813</v>
      </c>
      <c r="AL3237" s="470">
        <v>0.11133504892561137</v>
      </c>
      <c r="AM3237" s="471">
        <v>2.7128802292712799E-3</v>
      </c>
      <c r="AN3237" s="477">
        <v>0</v>
      </c>
      <c r="AO3237" s="473">
        <v>0</v>
      </c>
      <c r="AP3237" s="474">
        <v>0</v>
      </c>
      <c r="AQ3237" s="352"/>
      <c r="AR3237" s="352"/>
      <c r="AS3237" s="352"/>
      <c r="AT3237" s="352"/>
      <c r="AU3237" s="352"/>
      <c r="AV3237" s="352"/>
      <c r="AW3237" s="352" t="s">
        <v>254</v>
      </c>
    </row>
    <row r="3238" spans="2:49" x14ac:dyDescent="0.2">
      <c r="B3238" s="460" t="s">
        <v>3320</v>
      </c>
      <c r="C3238" s="460">
        <v>4311</v>
      </c>
      <c r="D3238" s="460" t="s">
        <v>2276</v>
      </c>
      <c r="E3238" s="460" t="s">
        <v>2277</v>
      </c>
      <c r="F3238" s="460">
        <v>4</v>
      </c>
      <c r="G3238" s="460">
        <v>1</v>
      </c>
      <c r="H3238" s="461" t="s">
        <v>700</v>
      </c>
      <c r="I3238" s="461" t="s">
        <v>872</v>
      </c>
      <c r="J3238" s="461" t="s">
        <v>700</v>
      </c>
      <c r="K3238" s="594"/>
      <c r="L3238" s="594"/>
      <c r="M3238" s="352">
        <v>4000</v>
      </c>
      <c r="N3238" s="352" t="s">
        <v>716</v>
      </c>
      <c r="O3238" s="460">
        <v>4311</v>
      </c>
      <c r="P3238" s="460" t="s">
        <v>779</v>
      </c>
      <c r="Q3238" s="460" t="s">
        <v>2444</v>
      </c>
      <c r="R3238" s="460">
        <v>4311</v>
      </c>
      <c r="S3238" s="460" t="s">
        <v>2277</v>
      </c>
      <c r="T3238" s="462">
        <v>1</v>
      </c>
      <c r="U3238" s="460" t="s">
        <v>2277</v>
      </c>
      <c r="V3238" s="475">
        <v>0</v>
      </c>
      <c r="W3238" s="463" t="s">
        <v>2503</v>
      </c>
      <c r="X3238" s="463" t="s">
        <v>2503</v>
      </c>
      <c r="Y3238" s="463" t="s">
        <v>2268</v>
      </c>
      <c r="Z3238" s="463"/>
      <c r="AA3238" s="463"/>
      <c r="AB3238" s="464">
        <v>0.85269255296683977</v>
      </c>
      <c r="AC3238" s="465">
        <v>4.6431948138743169E-4</v>
      </c>
      <c r="AD3238" s="465">
        <v>3.4416459613007201E-3</v>
      </c>
      <c r="AE3238" s="476">
        <v>0.51161553178010388</v>
      </c>
      <c r="AF3238" s="467">
        <v>2.7859168883245903E-4</v>
      </c>
      <c r="AG3238" s="468">
        <v>2.308547259835681E-3</v>
      </c>
      <c r="AH3238" s="218">
        <v>0.51161553178010388</v>
      </c>
      <c r="AI3238" s="470">
        <v>2.7859168883245903E-4</v>
      </c>
      <c r="AJ3238" s="471">
        <v>2.2126426201108441E-3</v>
      </c>
      <c r="AK3238" s="218">
        <v>0.51161553178010388</v>
      </c>
      <c r="AL3238" s="470">
        <v>2.7859168883245903E-4</v>
      </c>
      <c r="AM3238" s="471">
        <v>2.2126426201108441E-3</v>
      </c>
      <c r="AN3238" s="477">
        <v>0</v>
      </c>
      <c r="AO3238" s="473">
        <v>0</v>
      </c>
      <c r="AP3238" s="474">
        <v>0</v>
      </c>
      <c r="AQ3238" s="352"/>
      <c r="AR3238" s="352"/>
      <c r="AS3238" s="352"/>
      <c r="AT3238" s="352"/>
      <c r="AU3238" s="352"/>
      <c r="AV3238" s="352"/>
      <c r="AW3238" s="352" t="s">
        <v>254</v>
      </c>
    </row>
    <row r="3239" spans="2:49" x14ac:dyDescent="0.2">
      <c r="B3239" s="460" t="s">
        <v>3317</v>
      </c>
      <c r="C3239" s="460">
        <v>4311</v>
      </c>
      <c r="D3239" s="460" t="s">
        <v>2279</v>
      </c>
      <c r="E3239" s="460" t="s">
        <v>2265</v>
      </c>
      <c r="F3239" s="460">
        <v>1</v>
      </c>
      <c r="G3239" s="460">
        <v>1</v>
      </c>
      <c r="H3239" s="461" t="s">
        <v>712</v>
      </c>
      <c r="I3239" s="461" t="s">
        <v>713</v>
      </c>
      <c r="J3239" s="461" t="s">
        <v>712</v>
      </c>
      <c r="K3239" s="594"/>
      <c r="L3239" s="594"/>
      <c r="M3239" s="352">
        <v>4000</v>
      </c>
      <c r="N3239" s="352" t="s">
        <v>716</v>
      </c>
      <c r="O3239" s="460">
        <v>4311</v>
      </c>
      <c r="P3239" s="460" t="s">
        <v>779</v>
      </c>
      <c r="Q3239" s="460" t="s">
        <v>2280</v>
      </c>
      <c r="R3239" s="460">
        <v>4311</v>
      </c>
      <c r="S3239" s="460" t="s">
        <v>2265</v>
      </c>
      <c r="T3239" s="462">
        <v>1</v>
      </c>
      <c r="U3239" s="460" t="s">
        <v>2265</v>
      </c>
      <c r="V3239" s="475">
        <v>0</v>
      </c>
      <c r="W3239" s="463" t="s">
        <v>713</v>
      </c>
      <c r="X3239" s="463" t="s">
        <v>713</v>
      </c>
      <c r="Y3239" s="463" t="s">
        <v>713</v>
      </c>
      <c r="Z3239" s="463"/>
      <c r="AA3239" s="463"/>
      <c r="AB3239" s="464">
        <v>587.05294719923018</v>
      </c>
      <c r="AC3239" s="465">
        <v>0.74999999999999989</v>
      </c>
      <c r="AD3239" s="465">
        <v>2.1686751108476897E-3</v>
      </c>
      <c r="AE3239" s="476">
        <v>665.32667349246094</v>
      </c>
      <c r="AF3239" s="467">
        <v>0.85</v>
      </c>
      <c r="AG3239" s="468">
        <v>2.396863085128769E-3</v>
      </c>
      <c r="AH3239" s="218">
        <v>665.32667349246094</v>
      </c>
      <c r="AI3239" s="470">
        <v>0.85</v>
      </c>
      <c r="AJ3239" s="471">
        <v>2.4312301378014265E-3</v>
      </c>
      <c r="AK3239" s="218">
        <v>665.32667349246094</v>
      </c>
      <c r="AL3239" s="470">
        <v>0.85</v>
      </c>
      <c r="AM3239" s="471">
        <v>2.4312301378014265E-3</v>
      </c>
      <c r="AN3239" s="477">
        <v>665.32667349246094</v>
      </c>
      <c r="AO3239" s="473">
        <v>0.85</v>
      </c>
      <c r="AP3239" s="474">
        <v>2.4304379455150375E-3</v>
      </c>
      <c r="AQ3239" s="352"/>
      <c r="AR3239" s="352"/>
      <c r="AS3239" s="352"/>
      <c r="AT3239" s="352"/>
      <c r="AU3239" s="352"/>
      <c r="AV3239" s="352"/>
      <c r="AW3239" s="352" t="s">
        <v>254</v>
      </c>
    </row>
    <row r="3240" spans="2:49" x14ac:dyDescent="0.2">
      <c r="B3240" s="460" t="s">
        <v>3318</v>
      </c>
      <c r="C3240" s="460">
        <v>4311</v>
      </c>
      <c r="D3240" s="460" t="s">
        <v>2281</v>
      </c>
      <c r="E3240" s="460" t="s">
        <v>2271</v>
      </c>
      <c r="F3240" s="460">
        <v>2</v>
      </c>
      <c r="G3240" s="460">
        <v>1</v>
      </c>
      <c r="H3240" s="461" t="s">
        <v>712</v>
      </c>
      <c r="I3240" s="461" t="s">
        <v>713</v>
      </c>
      <c r="J3240" s="461" t="s">
        <v>712</v>
      </c>
      <c r="K3240" s="594"/>
      <c r="L3240" s="594"/>
      <c r="M3240" s="352">
        <v>4000</v>
      </c>
      <c r="N3240" s="352" t="s">
        <v>716</v>
      </c>
      <c r="O3240" s="460">
        <v>4311</v>
      </c>
      <c r="P3240" s="460" t="s">
        <v>779</v>
      </c>
      <c r="Q3240" s="460" t="s">
        <v>2280</v>
      </c>
      <c r="R3240" s="460">
        <v>4311</v>
      </c>
      <c r="S3240" s="460" t="s">
        <v>2265</v>
      </c>
      <c r="T3240" s="462">
        <v>1</v>
      </c>
      <c r="U3240" s="460" t="s">
        <v>2271</v>
      </c>
      <c r="V3240" s="475">
        <v>0</v>
      </c>
      <c r="W3240" s="463" t="s">
        <v>713</v>
      </c>
      <c r="X3240" s="463" t="s">
        <v>713</v>
      </c>
      <c r="Y3240" s="463" t="s">
        <v>713</v>
      </c>
      <c r="Z3240" s="463"/>
      <c r="AA3240" s="463"/>
      <c r="AB3240" s="464">
        <v>658.89878335663911</v>
      </c>
      <c r="AC3240" s="465">
        <v>0.75</v>
      </c>
      <c r="AD3240" s="465">
        <v>2.7515090024426325E-3</v>
      </c>
      <c r="AE3240" s="476">
        <v>746.75195447085764</v>
      </c>
      <c r="AF3240" s="467">
        <v>0.85</v>
      </c>
      <c r="AG3240" s="468">
        <v>3.0393979705675253E-3</v>
      </c>
      <c r="AH3240" s="218">
        <v>746.75195447085764</v>
      </c>
      <c r="AI3240" s="470">
        <v>0.85</v>
      </c>
      <c r="AJ3240" s="471">
        <v>3.2081550428742669E-3</v>
      </c>
      <c r="AK3240" s="218">
        <v>746.75195447085764</v>
      </c>
      <c r="AL3240" s="470">
        <v>0.85</v>
      </c>
      <c r="AM3240" s="471">
        <v>3.2081550428742669E-3</v>
      </c>
      <c r="AN3240" s="477">
        <v>746.75195447085764</v>
      </c>
      <c r="AO3240" s="473">
        <v>0.85</v>
      </c>
      <c r="AP3240" s="474">
        <v>3.2070285543956685E-3</v>
      </c>
      <c r="AQ3240" s="352"/>
      <c r="AR3240" s="352"/>
      <c r="AS3240" s="352"/>
      <c r="AT3240" s="352"/>
      <c r="AU3240" s="352"/>
      <c r="AV3240" s="352"/>
      <c r="AW3240" s="352" t="s">
        <v>254</v>
      </c>
    </row>
    <row r="3241" spans="2:49" x14ac:dyDescent="0.2">
      <c r="B3241" s="460" t="s">
        <v>3319</v>
      </c>
      <c r="C3241" s="460">
        <v>4311</v>
      </c>
      <c r="D3241" s="460" t="s">
        <v>2282</v>
      </c>
      <c r="E3241" s="460" t="s">
        <v>2274</v>
      </c>
      <c r="F3241" s="460">
        <v>3</v>
      </c>
      <c r="G3241" s="460">
        <v>1</v>
      </c>
      <c r="H3241" s="461" t="s">
        <v>712</v>
      </c>
      <c r="I3241" s="461" t="s">
        <v>713</v>
      </c>
      <c r="J3241" s="461" t="s">
        <v>712</v>
      </c>
      <c r="K3241" s="594"/>
      <c r="L3241" s="594"/>
      <c r="M3241" s="352">
        <v>4000</v>
      </c>
      <c r="N3241" s="352" t="s">
        <v>716</v>
      </c>
      <c r="O3241" s="460">
        <v>4311</v>
      </c>
      <c r="P3241" s="460" t="s">
        <v>779</v>
      </c>
      <c r="Q3241" s="460" t="s">
        <v>2280</v>
      </c>
      <c r="R3241" s="460">
        <v>4311</v>
      </c>
      <c r="S3241" s="460" t="s">
        <v>2265</v>
      </c>
      <c r="T3241" s="462">
        <v>0.74223365950407583</v>
      </c>
      <c r="U3241" s="460" t="s">
        <v>2274</v>
      </c>
      <c r="V3241" s="475">
        <v>0</v>
      </c>
      <c r="W3241" s="463" t="s">
        <v>713</v>
      </c>
      <c r="X3241" s="463" t="s">
        <v>713</v>
      </c>
      <c r="Y3241" s="463" t="s">
        <v>713</v>
      </c>
      <c r="Z3241" s="463"/>
      <c r="AA3241" s="463"/>
      <c r="AB3241" s="464">
        <v>558.37366182202402</v>
      </c>
      <c r="AC3241" s="465">
        <v>0.88920860353600883</v>
      </c>
      <c r="AD3241" s="465">
        <v>3.3419849987645993E-3</v>
      </c>
      <c r="AE3241" s="476">
        <v>586.20200153712403</v>
      </c>
      <c r="AF3241" s="467">
        <v>0.9335251621216053</v>
      </c>
      <c r="AG3241" s="468">
        <v>3.4762480962051813E-3</v>
      </c>
      <c r="AH3241" s="218">
        <v>558.03227824279827</v>
      </c>
      <c r="AI3241" s="470">
        <v>0.88866495107438859</v>
      </c>
      <c r="AJ3241" s="471">
        <v>3.506770104002326E-3</v>
      </c>
      <c r="AK3241" s="218">
        <v>558.03227824279827</v>
      </c>
      <c r="AL3241" s="470">
        <v>0.88866495107438859</v>
      </c>
      <c r="AM3241" s="471">
        <v>3.506770104002326E-3</v>
      </c>
      <c r="AN3241" s="477">
        <v>558.03227824279827</v>
      </c>
      <c r="AO3241" s="473">
        <v>0.88866495107438859</v>
      </c>
      <c r="AP3241" s="474">
        <v>3.5320679325145763E-3</v>
      </c>
      <c r="AQ3241" s="352"/>
      <c r="AR3241" s="352"/>
      <c r="AS3241" s="352"/>
      <c r="AT3241" s="352"/>
      <c r="AU3241" s="352"/>
      <c r="AV3241" s="352"/>
      <c r="AW3241" s="352" t="s">
        <v>254</v>
      </c>
    </row>
    <row r="3242" spans="2:49" x14ac:dyDescent="0.2">
      <c r="B3242" s="460" t="s">
        <v>3320</v>
      </c>
      <c r="C3242" s="460">
        <v>4311</v>
      </c>
      <c r="D3242" s="460" t="s">
        <v>2283</v>
      </c>
      <c r="E3242" s="460" t="s">
        <v>2277</v>
      </c>
      <c r="F3242" s="460">
        <v>4</v>
      </c>
      <c r="G3242" s="460">
        <v>1</v>
      </c>
      <c r="H3242" s="461" t="s">
        <v>712</v>
      </c>
      <c r="I3242" s="461" t="s">
        <v>713</v>
      </c>
      <c r="J3242" s="461" t="s">
        <v>712</v>
      </c>
      <c r="K3242" s="594"/>
      <c r="L3242" s="594"/>
      <c r="M3242" s="352">
        <v>4000</v>
      </c>
      <c r="N3242" s="352" t="s">
        <v>716</v>
      </c>
      <c r="O3242" s="460">
        <v>4311</v>
      </c>
      <c r="P3242" s="460" t="s">
        <v>779</v>
      </c>
      <c r="Q3242" s="460" t="s">
        <v>2280</v>
      </c>
      <c r="R3242" s="460">
        <v>4311</v>
      </c>
      <c r="S3242" s="460" t="s">
        <v>2277</v>
      </c>
      <c r="T3242" s="462">
        <v>1</v>
      </c>
      <c r="U3242" s="460" t="s">
        <v>2277</v>
      </c>
      <c r="V3242" s="475">
        <v>0</v>
      </c>
      <c r="W3242" s="463" t="s">
        <v>713</v>
      </c>
      <c r="X3242" s="463" t="s">
        <v>713</v>
      </c>
      <c r="Y3242" s="463" t="s">
        <v>713</v>
      </c>
      <c r="Z3242" s="463"/>
      <c r="AA3242" s="463"/>
      <c r="AB3242" s="464">
        <v>1835.5823207247695</v>
      </c>
      <c r="AC3242" s="465">
        <v>0.99953568051861263</v>
      </c>
      <c r="AD3242" s="465">
        <v>9.5326835397672241E-3</v>
      </c>
      <c r="AE3242" s="476">
        <v>1835.9233977459562</v>
      </c>
      <c r="AF3242" s="467">
        <v>0.99972140831116751</v>
      </c>
      <c r="AG3242" s="468">
        <v>9.5331607366695749E-3</v>
      </c>
      <c r="AH3242" s="218">
        <v>1835.9233977459562</v>
      </c>
      <c r="AI3242" s="470">
        <v>0.99972140831116751</v>
      </c>
      <c r="AJ3242" s="471">
        <v>9.5336362626312916E-3</v>
      </c>
      <c r="AK3242" s="218">
        <v>1835.9233977459562</v>
      </c>
      <c r="AL3242" s="470">
        <v>0.99972140831116751</v>
      </c>
      <c r="AM3242" s="471">
        <v>9.5336362626312916E-3</v>
      </c>
      <c r="AN3242" s="477">
        <v>1835.9233977459562</v>
      </c>
      <c r="AO3242" s="473">
        <v>0.99972140831116751</v>
      </c>
      <c r="AP3242" s="474">
        <v>9.5336838012885679E-3</v>
      </c>
      <c r="AQ3242" s="352"/>
      <c r="AR3242" s="352"/>
      <c r="AS3242" s="352"/>
      <c r="AT3242" s="352"/>
      <c r="AU3242" s="352"/>
      <c r="AV3242" s="352"/>
      <c r="AW3242" s="352" t="s">
        <v>254</v>
      </c>
    </row>
    <row r="3243" spans="2:49" x14ac:dyDescent="0.2">
      <c r="B3243" s="460" t="s">
        <v>3317</v>
      </c>
      <c r="C3243" s="460">
        <v>4311</v>
      </c>
      <c r="D3243" s="460" t="s">
        <v>2284</v>
      </c>
      <c r="E3243" s="460" t="s">
        <v>2265</v>
      </c>
      <c r="F3243" s="460">
        <v>1</v>
      </c>
      <c r="G3243" s="460">
        <v>1</v>
      </c>
      <c r="H3243" s="461" t="s">
        <v>746</v>
      </c>
      <c r="I3243" s="461" t="s">
        <v>762</v>
      </c>
      <c r="J3243" s="461" t="s">
        <v>700</v>
      </c>
      <c r="K3243" s="594"/>
      <c r="L3243" s="594"/>
      <c r="M3243" s="352">
        <v>4000</v>
      </c>
      <c r="N3243" s="352" t="s">
        <v>716</v>
      </c>
      <c r="O3243" s="460">
        <v>4311</v>
      </c>
      <c r="P3243" s="460" t="s">
        <v>779</v>
      </c>
      <c r="Q3243" s="460" t="s">
        <v>2444</v>
      </c>
      <c r="R3243" s="460">
        <v>4311</v>
      </c>
      <c r="S3243" s="460" t="s">
        <v>2265</v>
      </c>
      <c r="T3243" s="462">
        <v>1</v>
      </c>
      <c r="U3243" s="460" t="s">
        <v>2265</v>
      </c>
      <c r="V3243" s="475">
        <v>0</v>
      </c>
      <c r="W3243" s="463" t="s">
        <v>2268</v>
      </c>
      <c r="X3243" s="463" t="s">
        <v>2268</v>
      </c>
      <c r="Y3243" s="463" t="s">
        <v>2554</v>
      </c>
      <c r="Z3243" s="463"/>
      <c r="AA3243" s="463"/>
      <c r="AB3243" s="464">
        <v>0</v>
      </c>
      <c r="AC3243" s="465">
        <v>0</v>
      </c>
      <c r="AD3243" s="465">
        <v>0</v>
      </c>
      <c r="AE3243" s="476">
        <v>0</v>
      </c>
      <c r="AF3243" s="467">
        <v>0</v>
      </c>
      <c r="AG3243" s="468">
        <v>0</v>
      </c>
      <c r="AH3243" s="218">
        <v>0</v>
      </c>
      <c r="AI3243" s="470">
        <v>0</v>
      </c>
      <c r="AJ3243" s="471">
        <v>0</v>
      </c>
      <c r="AK3243" s="218">
        <v>0</v>
      </c>
      <c r="AL3243" s="470">
        <v>0</v>
      </c>
      <c r="AM3243" s="471">
        <v>0</v>
      </c>
      <c r="AN3243" s="477">
        <v>78.273726293230709</v>
      </c>
      <c r="AO3243" s="473">
        <v>0.1</v>
      </c>
      <c r="AP3243" s="474">
        <v>8.8264429826544926E-4</v>
      </c>
      <c r="AQ3243" s="352"/>
      <c r="AR3243" s="352"/>
      <c r="AS3243" s="352"/>
      <c r="AT3243" s="352"/>
      <c r="AU3243" s="352"/>
      <c r="AV3243" s="352"/>
      <c r="AW3243" s="352" t="s">
        <v>254</v>
      </c>
    </row>
    <row r="3244" spans="2:49" x14ac:dyDescent="0.2">
      <c r="B3244" s="460" t="s">
        <v>3318</v>
      </c>
      <c r="C3244" s="460">
        <v>4311</v>
      </c>
      <c r="D3244" s="460" t="s">
        <v>2285</v>
      </c>
      <c r="E3244" s="460" t="s">
        <v>2271</v>
      </c>
      <c r="F3244" s="460">
        <v>2</v>
      </c>
      <c r="G3244" s="460">
        <v>1</v>
      </c>
      <c r="H3244" s="461" t="s">
        <v>746</v>
      </c>
      <c r="I3244" s="461" t="s">
        <v>762</v>
      </c>
      <c r="J3244" s="461" t="s">
        <v>700</v>
      </c>
      <c r="K3244" s="594"/>
      <c r="L3244" s="594"/>
      <c r="M3244" s="352">
        <v>4000</v>
      </c>
      <c r="N3244" s="352" t="s">
        <v>716</v>
      </c>
      <c r="O3244" s="460">
        <v>4311</v>
      </c>
      <c r="P3244" s="460" t="s">
        <v>779</v>
      </c>
      <c r="Q3244" s="460" t="s">
        <v>2444</v>
      </c>
      <c r="R3244" s="460">
        <v>4311</v>
      </c>
      <c r="S3244" s="460" t="s">
        <v>2265</v>
      </c>
      <c r="T3244" s="462">
        <v>1</v>
      </c>
      <c r="U3244" s="460" t="s">
        <v>2271</v>
      </c>
      <c r="V3244" s="475">
        <v>0</v>
      </c>
      <c r="W3244" s="463" t="s">
        <v>2268</v>
      </c>
      <c r="X3244" s="463" t="s">
        <v>2268</v>
      </c>
      <c r="Y3244" s="463" t="s">
        <v>2554</v>
      </c>
      <c r="Z3244" s="463"/>
      <c r="AA3244" s="463"/>
      <c r="AB3244" s="464">
        <v>0</v>
      </c>
      <c r="AC3244" s="465">
        <v>0</v>
      </c>
      <c r="AD3244" s="465">
        <v>0</v>
      </c>
      <c r="AE3244" s="476">
        <v>0</v>
      </c>
      <c r="AF3244" s="467">
        <v>0</v>
      </c>
      <c r="AG3244" s="468">
        <v>0</v>
      </c>
      <c r="AH3244" s="218">
        <v>0</v>
      </c>
      <c r="AI3244" s="470">
        <v>0</v>
      </c>
      <c r="AJ3244" s="471">
        <v>0</v>
      </c>
      <c r="AK3244" s="218">
        <v>0</v>
      </c>
      <c r="AL3244" s="470">
        <v>0</v>
      </c>
      <c r="AM3244" s="471">
        <v>0</v>
      </c>
      <c r="AN3244" s="477">
        <v>87.853171114218554</v>
      </c>
      <c r="AO3244" s="473">
        <v>0.1</v>
      </c>
      <c r="AP3244" s="474">
        <v>1.2751599603424385E-3</v>
      </c>
      <c r="AQ3244" s="352"/>
      <c r="AR3244" s="352"/>
      <c r="AS3244" s="352"/>
      <c r="AT3244" s="352"/>
      <c r="AU3244" s="352"/>
      <c r="AV3244" s="352"/>
      <c r="AW3244" s="352" t="s">
        <v>254</v>
      </c>
    </row>
    <row r="3245" spans="2:49" x14ac:dyDescent="0.2">
      <c r="B3245" s="460" t="s">
        <v>3319</v>
      </c>
      <c r="C3245" s="460">
        <v>4311</v>
      </c>
      <c r="D3245" s="460" t="s">
        <v>2286</v>
      </c>
      <c r="E3245" s="460" t="s">
        <v>2274</v>
      </c>
      <c r="F3245" s="460">
        <v>3</v>
      </c>
      <c r="G3245" s="460">
        <v>1</v>
      </c>
      <c r="H3245" s="461" t="s">
        <v>746</v>
      </c>
      <c r="I3245" s="461" t="s">
        <v>762</v>
      </c>
      <c r="J3245" s="461" t="s">
        <v>700</v>
      </c>
      <c r="K3245" s="594"/>
      <c r="L3245" s="594"/>
      <c r="M3245" s="352">
        <v>4000</v>
      </c>
      <c r="N3245" s="352" t="s">
        <v>716</v>
      </c>
      <c r="O3245" s="460">
        <v>4311</v>
      </c>
      <c r="P3245" s="460" t="s">
        <v>779</v>
      </c>
      <c r="Q3245" s="460" t="s">
        <v>2444</v>
      </c>
      <c r="R3245" s="460">
        <v>4311</v>
      </c>
      <c r="S3245" s="460" t="s">
        <v>2265</v>
      </c>
      <c r="T3245" s="462">
        <v>0.74223365950407583</v>
      </c>
      <c r="U3245" s="460" t="s">
        <v>2274</v>
      </c>
      <c r="V3245" s="475">
        <v>0</v>
      </c>
      <c r="W3245" s="463" t="s">
        <v>2268</v>
      </c>
      <c r="X3245" s="463" t="s">
        <v>2268</v>
      </c>
      <c r="Y3245" s="463" t="s">
        <v>2554</v>
      </c>
      <c r="Z3245" s="463"/>
      <c r="AA3245" s="463"/>
      <c r="AB3245" s="464">
        <v>0</v>
      </c>
      <c r="AC3245" s="465">
        <v>0</v>
      </c>
      <c r="AD3245" s="465">
        <v>0</v>
      </c>
      <c r="AE3245" s="476">
        <v>0</v>
      </c>
      <c r="AF3245" s="467">
        <v>0</v>
      </c>
      <c r="AG3245" s="468">
        <v>0</v>
      </c>
      <c r="AH3245" s="218">
        <v>0</v>
      </c>
      <c r="AI3245" s="470">
        <v>0</v>
      </c>
      <c r="AJ3245" s="471">
        <v>0</v>
      </c>
      <c r="AK3245" s="218">
        <v>0</v>
      </c>
      <c r="AL3245" s="470">
        <v>0</v>
      </c>
      <c r="AM3245" s="471">
        <v>0</v>
      </c>
      <c r="AN3245" s="477">
        <v>46.608155244650547</v>
      </c>
      <c r="AO3245" s="473">
        <v>7.4223365950407585E-2</v>
      </c>
      <c r="AP3245" s="474">
        <v>2.3530215824635789E-3</v>
      </c>
      <c r="AQ3245" s="352"/>
      <c r="AR3245" s="352"/>
      <c r="AS3245" s="352"/>
      <c r="AT3245" s="352"/>
      <c r="AU3245" s="352"/>
      <c r="AV3245" s="352"/>
      <c r="AW3245" s="352" t="s">
        <v>254</v>
      </c>
    </row>
    <row r="3246" spans="2:49" x14ac:dyDescent="0.2">
      <c r="B3246" s="460" t="s">
        <v>3320</v>
      </c>
      <c r="C3246" s="460">
        <v>4311</v>
      </c>
      <c r="D3246" s="460" t="s">
        <v>2287</v>
      </c>
      <c r="E3246" s="460" t="s">
        <v>2277</v>
      </c>
      <c r="F3246" s="460">
        <v>4</v>
      </c>
      <c r="G3246" s="460">
        <v>1</v>
      </c>
      <c r="H3246" s="461" t="s">
        <v>746</v>
      </c>
      <c r="I3246" s="461" t="s">
        <v>762</v>
      </c>
      <c r="J3246" s="461" t="s">
        <v>700</v>
      </c>
      <c r="K3246" s="594"/>
      <c r="L3246" s="594"/>
      <c r="M3246" s="352">
        <v>4000</v>
      </c>
      <c r="N3246" s="352" t="s">
        <v>716</v>
      </c>
      <c r="O3246" s="460">
        <v>4311</v>
      </c>
      <c r="P3246" s="460" t="s">
        <v>779</v>
      </c>
      <c r="Q3246" s="460" t="s">
        <v>2444</v>
      </c>
      <c r="R3246" s="460">
        <v>4311</v>
      </c>
      <c r="S3246" s="460" t="s">
        <v>2277</v>
      </c>
      <c r="T3246" s="462">
        <v>1</v>
      </c>
      <c r="U3246" s="460" t="s">
        <v>2277</v>
      </c>
      <c r="V3246" s="475">
        <v>0</v>
      </c>
      <c r="W3246" s="463" t="s">
        <v>2268</v>
      </c>
      <c r="X3246" s="463" t="s">
        <v>2268</v>
      </c>
      <c r="Y3246" s="463" t="s">
        <v>2554</v>
      </c>
      <c r="Z3246" s="463"/>
      <c r="AA3246" s="463"/>
      <c r="AB3246" s="464">
        <v>0</v>
      </c>
      <c r="AC3246" s="465">
        <v>0</v>
      </c>
      <c r="AD3246" s="465">
        <v>0</v>
      </c>
      <c r="AE3246" s="476">
        <v>0</v>
      </c>
      <c r="AF3246" s="467">
        <v>0</v>
      </c>
      <c r="AG3246" s="468">
        <v>0</v>
      </c>
      <c r="AH3246" s="218">
        <v>0</v>
      </c>
      <c r="AI3246" s="470">
        <v>0</v>
      </c>
      <c r="AJ3246" s="471">
        <v>0</v>
      </c>
      <c r="AK3246" s="218">
        <v>0</v>
      </c>
      <c r="AL3246" s="470">
        <v>0</v>
      </c>
      <c r="AM3246" s="471">
        <v>0</v>
      </c>
      <c r="AN3246" s="477">
        <v>0.34107702118673594</v>
      </c>
      <c r="AO3246" s="473">
        <v>1.8572779255497269E-4</v>
      </c>
      <c r="AP3246" s="474">
        <v>1.7879006513650359E-3</v>
      </c>
      <c r="AQ3246" s="352"/>
      <c r="AR3246" s="352"/>
      <c r="AS3246" s="352"/>
      <c r="AT3246" s="352"/>
      <c r="AU3246" s="352"/>
      <c r="AV3246" s="352"/>
      <c r="AW3246" s="352" t="s">
        <v>254</v>
      </c>
    </row>
    <row r="3247" spans="2:49" x14ac:dyDescent="0.2">
      <c r="B3247" s="460" t="s">
        <v>3317</v>
      </c>
      <c r="C3247" s="460">
        <v>4311</v>
      </c>
      <c r="D3247" s="460" t="s">
        <v>2288</v>
      </c>
      <c r="E3247" s="460" t="s">
        <v>2265</v>
      </c>
      <c r="F3247" s="460">
        <v>1</v>
      </c>
      <c r="G3247" s="460">
        <v>1</v>
      </c>
      <c r="H3247" s="461" t="s">
        <v>748</v>
      </c>
      <c r="I3247" s="461" t="s">
        <v>765</v>
      </c>
      <c r="J3247" s="461" t="s">
        <v>700</v>
      </c>
      <c r="K3247" s="594"/>
      <c r="L3247" s="594"/>
      <c r="M3247" s="352">
        <v>4000</v>
      </c>
      <c r="N3247" s="352" t="s">
        <v>716</v>
      </c>
      <c r="O3247" s="460">
        <v>4311</v>
      </c>
      <c r="P3247" s="460" t="s">
        <v>779</v>
      </c>
      <c r="Q3247" s="460" t="s">
        <v>2444</v>
      </c>
      <c r="R3247" s="460">
        <v>4311</v>
      </c>
      <c r="S3247" s="460" t="s">
        <v>2265</v>
      </c>
      <c r="T3247" s="462">
        <v>1</v>
      </c>
      <c r="U3247" s="460" t="s">
        <v>2265</v>
      </c>
      <c r="V3247" s="475">
        <v>0</v>
      </c>
      <c r="W3247" s="463" t="s">
        <v>2268</v>
      </c>
      <c r="X3247" s="463" t="s">
        <v>2268</v>
      </c>
      <c r="Y3247" s="463" t="s">
        <v>2554</v>
      </c>
      <c r="Z3247" s="463"/>
      <c r="AA3247" s="463"/>
      <c r="AB3247" s="464">
        <v>0</v>
      </c>
      <c r="AC3247" s="465">
        <v>0</v>
      </c>
      <c r="AD3247" s="465">
        <v>0</v>
      </c>
      <c r="AE3247" s="476">
        <v>0</v>
      </c>
      <c r="AF3247" s="467">
        <v>0</v>
      </c>
      <c r="AG3247" s="468">
        <v>0</v>
      </c>
      <c r="AH3247" s="218">
        <v>0</v>
      </c>
      <c r="AI3247" s="470">
        <v>0</v>
      </c>
      <c r="AJ3247" s="471">
        <v>0</v>
      </c>
      <c r="AK3247" s="218">
        <v>0</v>
      </c>
      <c r="AL3247" s="470">
        <v>0</v>
      </c>
      <c r="AM3247" s="471">
        <v>0</v>
      </c>
      <c r="AN3247" s="477">
        <v>39.13686314661534</v>
      </c>
      <c r="AO3247" s="473">
        <v>4.9999999999999989E-2</v>
      </c>
      <c r="AP3247" s="474">
        <v>2.4304231567478228E-3</v>
      </c>
      <c r="AQ3247" s="352"/>
      <c r="AR3247" s="352"/>
      <c r="AS3247" s="352"/>
      <c r="AT3247" s="352"/>
      <c r="AU3247" s="352"/>
      <c r="AV3247" s="352"/>
      <c r="AW3247" s="352" t="s">
        <v>254</v>
      </c>
    </row>
    <row r="3248" spans="2:49" x14ac:dyDescent="0.2">
      <c r="B3248" s="460" t="s">
        <v>3318</v>
      </c>
      <c r="C3248" s="460">
        <v>4311</v>
      </c>
      <c r="D3248" s="460" t="s">
        <v>2291</v>
      </c>
      <c r="E3248" s="460" t="s">
        <v>2271</v>
      </c>
      <c r="F3248" s="460">
        <v>2</v>
      </c>
      <c r="G3248" s="460">
        <v>1</v>
      </c>
      <c r="H3248" s="461" t="s">
        <v>748</v>
      </c>
      <c r="I3248" s="461" t="s">
        <v>765</v>
      </c>
      <c r="J3248" s="461" t="s">
        <v>700</v>
      </c>
      <c r="K3248" s="594"/>
      <c r="L3248" s="594"/>
      <c r="M3248" s="352">
        <v>4000</v>
      </c>
      <c r="N3248" s="352" t="s">
        <v>716</v>
      </c>
      <c r="O3248" s="460">
        <v>4311</v>
      </c>
      <c r="P3248" s="460" t="s">
        <v>779</v>
      </c>
      <c r="Q3248" s="460" t="s">
        <v>2444</v>
      </c>
      <c r="R3248" s="460">
        <v>4311</v>
      </c>
      <c r="S3248" s="460" t="s">
        <v>2265</v>
      </c>
      <c r="T3248" s="462">
        <v>1</v>
      </c>
      <c r="U3248" s="460" t="s">
        <v>2271</v>
      </c>
      <c r="V3248" s="475">
        <v>0</v>
      </c>
      <c r="W3248" s="463" t="s">
        <v>2268</v>
      </c>
      <c r="X3248" s="463" t="s">
        <v>2268</v>
      </c>
      <c r="Y3248" s="463" t="s">
        <v>2554</v>
      </c>
      <c r="Z3248" s="463"/>
      <c r="AA3248" s="463"/>
      <c r="AB3248" s="464">
        <v>0</v>
      </c>
      <c r="AC3248" s="465">
        <v>0</v>
      </c>
      <c r="AD3248" s="465">
        <v>0</v>
      </c>
      <c r="AE3248" s="476">
        <v>0</v>
      </c>
      <c r="AF3248" s="467">
        <v>0</v>
      </c>
      <c r="AG3248" s="468">
        <v>0</v>
      </c>
      <c r="AH3248" s="218">
        <v>0</v>
      </c>
      <c r="AI3248" s="470">
        <v>0</v>
      </c>
      <c r="AJ3248" s="471">
        <v>0</v>
      </c>
      <c r="AK3248" s="218">
        <v>0</v>
      </c>
      <c r="AL3248" s="470">
        <v>0</v>
      </c>
      <c r="AM3248" s="471">
        <v>0</v>
      </c>
      <c r="AN3248" s="477">
        <v>43.926585557109263</v>
      </c>
      <c r="AO3248" s="473">
        <v>4.9999999999999989E-2</v>
      </c>
      <c r="AP3248" s="474">
        <v>2.7939099446350701E-3</v>
      </c>
      <c r="AQ3248" s="352"/>
      <c r="AR3248" s="352"/>
      <c r="AS3248" s="352"/>
      <c r="AT3248" s="352"/>
      <c r="AU3248" s="352"/>
      <c r="AV3248" s="352"/>
      <c r="AW3248" s="352" t="s">
        <v>254</v>
      </c>
    </row>
    <row r="3249" spans="2:49" x14ac:dyDescent="0.2">
      <c r="B3249" s="460" t="s">
        <v>3319</v>
      </c>
      <c r="C3249" s="460">
        <v>4311</v>
      </c>
      <c r="D3249" s="460" t="s">
        <v>2292</v>
      </c>
      <c r="E3249" s="460" t="s">
        <v>2274</v>
      </c>
      <c r="F3249" s="460">
        <v>3</v>
      </c>
      <c r="G3249" s="460">
        <v>1</v>
      </c>
      <c r="H3249" s="461" t="s">
        <v>748</v>
      </c>
      <c r="I3249" s="461" t="s">
        <v>765</v>
      </c>
      <c r="J3249" s="461" t="s">
        <v>700</v>
      </c>
      <c r="K3249" s="594"/>
      <c r="L3249" s="594"/>
      <c r="M3249" s="352">
        <v>4000</v>
      </c>
      <c r="N3249" s="352" t="s">
        <v>716</v>
      </c>
      <c r="O3249" s="460">
        <v>4311</v>
      </c>
      <c r="P3249" s="460" t="s">
        <v>779</v>
      </c>
      <c r="Q3249" s="460" t="s">
        <v>2444</v>
      </c>
      <c r="R3249" s="460">
        <v>4311</v>
      </c>
      <c r="S3249" s="460" t="s">
        <v>2265</v>
      </c>
      <c r="T3249" s="462">
        <v>0.74223365950407583</v>
      </c>
      <c r="U3249" s="460" t="s">
        <v>2274</v>
      </c>
      <c r="V3249" s="475">
        <v>0</v>
      </c>
      <c r="W3249" s="463" t="s">
        <v>2268</v>
      </c>
      <c r="X3249" s="463" t="s">
        <v>2268</v>
      </c>
      <c r="Y3249" s="463" t="s">
        <v>2554</v>
      </c>
      <c r="Z3249" s="463"/>
      <c r="AA3249" s="463"/>
      <c r="AB3249" s="464">
        <v>0</v>
      </c>
      <c r="AC3249" s="465">
        <v>0</v>
      </c>
      <c r="AD3249" s="465">
        <v>0</v>
      </c>
      <c r="AE3249" s="476">
        <v>0</v>
      </c>
      <c r="AF3249" s="467">
        <v>0</v>
      </c>
      <c r="AG3249" s="468">
        <v>0</v>
      </c>
      <c r="AH3249" s="218">
        <v>0</v>
      </c>
      <c r="AI3249" s="470">
        <v>0</v>
      </c>
      <c r="AJ3249" s="471">
        <v>0</v>
      </c>
      <c r="AK3249" s="218">
        <v>0</v>
      </c>
      <c r="AL3249" s="470">
        <v>0</v>
      </c>
      <c r="AM3249" s="471">
        <v>0</v>
      </c>
      <c r="AN3249" s="477">
        <v>23.30407762232527</v>
      </c>
      <c r="AO3249" s="473">
        <v>3.7111682975203786E-2</v>
      </c>
      <c r="AP3249" s="474">
        <v>3.2811393094293426E-3</v>
      </c>
      <c r="AQ3249" s="352"/>
      <c r="AR3249" s="352"/>
      <c r="AS3249" s="352"/>
      <c r="AT3249" s="352"/>
      <c r="AU3249" s="352"/>
      <c r="AV3249" s="352"/>
      <c r="AW3249" s="352" t="s">
        <v>254</v>
      </c>
    </row>
    <row r="3250" spans="2:49" x14ac:dyDescent="0.2">
      <c r="B3250" s="460" t="s">
        <v>3320</v>
      </c>
      <c r="C3250" s="460">
        <v>4311</v>
      </c>
      <c r="D3250" s="460" t="s">
        <v>2293</v>
      </c>
      <c r="E3250" s="460" t="s">
        <v>2277</v>
      </c>
      <c r="F3250" s="460">
        <v>4</v>
      </c>
      <c r="G3250" s="460">
        <v>1</v>
      </c>
      <c r="H3250" s="461" t="s">
        <v>748</v>
      </c>
      <c r="I3250" s="461" t="s">
        <v>765</v>
      </c>
      <c r="J3250" s="461" t="s">
        <v>700</v>
      </c>
      <c r="K3250" s="594"/>
      <c r="L3250" s="594"/>
      <c r="M3250" s="352">
        <v>4000</v>
      </c>
      <c r="N3250" s="352" t="s">
        <v>716</v>
      </c>
      <c r="O3250" s="460">
        <v>4311</v>
      </c>
      <c r="P3250" s="460" t="s">
        <v>779</v>
      </c>
      <c r="Q3250" s="460" t="s">
        <v>2444</v>
      </c>
      <c r="R3250" s="460">
        <v>4311</v>
      </c>
      <c r="S3250" s="460" t="s">
        <v>2277</v>
      </c>
      <c r="T3250" s="462">
        <v>1</v>
      </c>
      <c r="U3250" s="460" t="s">
        <v>2277</v>
      </c>
      <c r="V3250" s="475">
        <v>0</v>
      </c>
      <c r="W3250" s="463" t="s">
        <v>2268</v>
      </c>
      <c r="X3250" s="463" t="s">
        <v>2268</v>
      </c>
      <c r="Y3250" s="463" t="s">
        <v>2554</v>
      </c>
      <c r="Z3250" s="463"/>
      <c r="AA3250" s="463"/>
      <c r="AB3250" s="464">
        <v>0</v>
      </c>
      <c r="AC3250" s="465">
        <v>0</v>
      </c>
      <c r="AD3250" s="465">
        <v>0</v>
      </c>
      <c r="AE3250" s="476">
        <v>0</v>
      </c>
      <c r="AF3250" s="467">
        <v>0</v>
      </c>
      <c r="AG3250" s="468">
        <v>0</v>
      </c>
      <c r="AH3250" s="218">
        <v>0</v>
      </c>
      <c r="AI3250" s="470">
        <v>0</v>
      </c>
      <c r="AJ3250" s="471">
        <v>0</v>
      </c>
      <c r="AK3250" s="218">
        <v>0</v>
      </c>
      <c r="AL3250" s="470">
        <v>0</v>
      </c>
      <c r="AM3250" s="471">
        <v>0</v>
      </c>
      <c r="AN3250" s="477">
        <v>0.17053851059336791</v>
      </c>
      <c r="AO3250" s="473">
        <v>9.2863896277486319E-5</v>
      </c>
      <c r="AP3250" s="474">
        <v>4.1178515831613747E-3</v>
      </c>
      <c r="AQ3250" s="352"/>
      <c r="AR3250" s="352"/>
      <c r="AS3250" s="352"/>
      <c r="AT3250" s="352"/>
      <c r="AU3250" s="352"/>
      <c r="AV3250" s="352"/>
      <c r="AW3250" s="352" t="s">
        <v>254</v>
      </c>
    </row>
    <row r="3251" spans="2:49" x14ac:dyDescent="0.2">
      <c r="B3251" s="460" t="s">
        <v>3321</v>
      </c>
      <c r="C3251" s="460">
        <v>4311</v>
      </c>
      <c r="D3251" s="460" t="s">
        <v>2295</v>
      </c>
      <c r="E3251" s="460" t="s">
        <v>2296</v>
      </c>
      <c r="F3251" s="460">
        <v>1</v>
      </c>
      <c r="G3251" s="460">
        <v>2</v>
      </c>
      <c r="H3251" s="461" t="s">
        <v>700</v>
      </c>
      <c r="I3251" s="461" t="s">
        <v>872</v>
      </c>
      <c r="J3251" s="461" t="s">
        <v>700</v>
      </c>
      <c r="K3251" s="594"/>
      <c r="L3251" s="594"/>
      <c r="M3251" s="352">
        <v>4000</v>
      </c>
      <c r="N3251" s="352" t="s">
        <v>716</v>
      </c>
      <c r="O3251" s="460">
        <v>4311</v>
      </c>
      <c r="P3251" s="460" t="s">
        <v>779</v>
      </c>
      <c r="Q3251" s="460" t="s">
        <v>2444</v>
      </c>
      <c r="R3251" s="460">
        <v>4311</v>
      </c>
      <c r="S3251" s="460" t="s">
        <v>2296</v>
      </c>
      <c r="T3251" s="462">
        <v>1</v>
      </c>
      <c r="U3251" s="460" t="s">
        <v>2296</v>
      </c>
      <c r="V3251" s="475">
        <v>0</v>
      </c>
      <c r="W3251" s="463" t="s">
        <v>2503</v>
      </c>
      <c r="X3251" s="463" t="s">
        <v>2503</v>
      </c>
      <c r="Y3251" s="463" t="s">
        <v>2268</v>
      </c>
      <c r="Z3251" s="463"/>
      <c r="AA3251" s="463"/>
      <c r="AB3251" s="464">
        <v>0</v>
      </c>
      <c r="AC3251" s="465">
        <v>0</v>
      </c>
      <c r="AD3251" s="465">
        <v>0</v>
      </c>
      <c r="AE3251" s="476">
        <v>0</v>
      </c>
      <c r="AF3251" s="467">
        <v>0</v>
      </c>
      <c r="AG3251" s="468">
        <v>0</v>
      </c>
      <c r="AH3251" s="218">
        <v>0</v>
      </c>
      <c r="AI3251" s="470">
        <v>0</v>
      </c>
      <c r="AJ3251" s="471">
        <v>0</v>
      </c>
      <c r="AK3251" s="218">
        <v>0</v>
      </c>
      <c r="AL3251" s="470">
        <v>0</v>
      </c>
      <c r="AM3251" s="471">
        <v>0</v>
      </c>
      <c r="AN3251" s="477">
        <v>0</v>
      </c>
      <c r="AO3251" s="473">
        <v>0</v>
      </c>
      <c r="AP3251" s="474">
        <v>0</v>
      </c>
      <c r="AQ3251" s="352"/>
      <c r="AR3251" s="352"/>
      <c r="AS3251" s="352"/>
      <c r="AT3251" s="352"/>
      <c r="AU3251" s="352"/>
      <c r="AV3251" s="352"/>
      <c r="AW3251" s="352" t="s">
        <v>254</v>
      </c>
    </row>
    <row r="3252" spans="2:49" x14ac:dyDescent="0.2">
      <c r="B3252" s="460" t="s">
        <v>3322</v>
      </c>
      <c r="C3252" s="460">
        <v>4311</v>
      </c>
      <c r="D3252" s="460" t="s">
        <v>2298</v>
      </c>
      <c r="E3252" s="460" t="s">
        <v>2299</v>
      </c>
      <c r="F3252" s="460">
        <v>2</v>
      </c>
      <c r="G3252" s="460">
        <v>2</v>
      </c>
      <c r="H3252" s="461" t="s">
        <v>700</v>
      </c>
      <c r="I3252" s="461" t="s">
        <v>872</v>
      </c>
      <c r="J3252" s="461" t="s">
        <v>700</v>
      </c>
      <c r="K3252" s="594"/>
      <c r="L3252" s="594"/>
      <c r="M3252" s="352">
        <v>4000</v>
      </c>
      <c r="N3252" s="352" t="s">
        <v>716</v>
      </c>
      <c r="O3252" s="460">
        <v>4311</v>
      </c>
      <c r="P3252" s="460" t="s">
        <v>779</v>
      </c>
      <c r="Q3252" s="460" t="s">
        <v>2444</v>
      </c>
      <c r="R3252" s="460">
        <v>4311</v>
      </c>
      <c r="S3252" s="460" t="s">
        <v>2296</v>
      </c>
      <c r="T3252" s="462">
        <v>0.55517361979372948</v>
      </c>
      <c r="U3252" s="460" t="s">
        <v>2299</v>
      </c>
      <c r="V3252" s="475">
        <v>0</v>
      </c>
      <c r="W3252" s="463" t="s">
        <v>2503</v>
      </c>
      <c r="X3252" s="463" t="s">
        <v>2503</v>
      </c>
      <c r="Y3252" s="463" t="s">
        <v>2268</v>
      </c>
      <c r="Z3252" s="463"/>
      <c r="AA3252" s="463"/>
      <c r="AB3252" s="464">
        <v>0</v>
      </c>
      <c r="AC3252" s="465">
        <v>0</v>
      </c>
      <c r="AD3252" s="465">
        <v>0</v>
      </c>
      <c r="AE3252" s="476">
        <v>0</v>
      </c>
      <c r="AF3252" s="467">
        <v>0</v>
      </c>
      <c r="AG3252" s="468">
        <v>0</v>
      </c>
      <c r="AH3252" s="218">
        <v>0</v>
      </c>
      <c r="AI3252" s="470">
        <v>0</v>
      </c>
      <c r="AJ3252" s="471">
        <v>0</v>
      </c>
      <c r="AK3252" s="218">
        <v>0</v>
      </c>
      <c r="AL3252" s="470">
        <v>0</v>
      </c>
      <c r="AM3252" s="471">
        <v>0</v>
      </c>
      <c r="AN3252" s="477">
        <v>0</v>
      </c>
      <c r="AO3252" s="473">
        <v>0</v>
      </c>
      <c r="AP3252" s="474">
        <v>0</v>
      </c>
      <c r="AQ3252" s="352"/>
      <c r="AR3252" s="352"/>
      <c r="AS3252" s="352"/>
      <c r="AT3252" s="352"/>
      <c r="AU3252" s="352"/>
      <c r="AV3252" s="352"/>
      <c r="AW3252" s="352" t="s">
        <v>254</v>
      </c>
    </row>
    <row r="3253" spans="2:49" x14ac:dyDescent="0.2">
      <c r="B3253" s="460" t="s">
        <v>3323</v>
      </c>
      <c r="C3253" s="460">
        <v>4311</v>
      </c>
      <c r="D3253" s="460" t="s">
        <v>2301</v>
      </c>
      <c r="E3253" s="460" t="s">
        <v>2302</v>
      </c>
      <c r="F3253" s="460">
        <v>3</v>
      </c>
      <c r="G3253" s="460">
        <v>2</v>
      </c>
      <c r="H3253" s="461" t="s">
        <v>700</v>
      </c>
      <c r="I3253" s="461" t="s">
        <v>872</v>
      </c>
      <c r="J3253" s="461" t="s">
        <v>700</v>
      </c>
      <c r="K3253" s="594"/>
      <c r="L3253" s="594"/>
      <c r="M3253" s="352">
        <v>4000</v>
      </c>
      <c r="N3253" s="352" t="s">
        <v>716</v>
      </c>
      <c r="O3253" s="460">
        <v>4311</v>
      </c>
      <c r="P3253" s="460" t="s">
        <v>779</v>
      </c>
      <c r="Q3253" s="460" t="s">
        <v>2444</v>
      </c>
      <c r="R3253" s="460">
        <v>4311</v>
      </c>
      <c r="S3253" s="460" t="s">
        <v>2296</v>
      </c>
      <c r="T3253" s="462">
        <v>0.28481449642268464</v>
      </c>
      <c r="U3253" s="460" t="s">
        <v>2302</v>
      </c>
      <c r="V3253" s="475">
        <v>0</v>
      </c>
      <c r="W3253" s="463" t="s">
        <v>2503</v>
      </c>
      <c r="X3253" s="463" t="s">
        <v>2503</v>
      </c>
      <c r="Y3253" s="463" t="s">
        <v>2268</v>
      </c>
      <c r="Z3253" s="463"/>
      <c r="AA3253" s="463"/>
      <c r="AB3253" s="464">
        <v>0</v>
      </c>
      <c r="AC3253" s="465">
        <v>0</v>
      </c>
      <c r="AD3253" s="465">
        <v>0</v>
      </c>
      <c r="AE3253" s="476">
        <v>0</v>
      </c>
      <c r="AF3253" s="467">
        <v>0</v>
      </c>
      <c r="AG3253" s="468">
        <v>0</v>
      </c>
      <c r="AH3253" s="218">
        <v>0</v>
      </c>
      <c r="AI3253" s="470">
        <v>0</v>
      </c>
      <c r="AJ3253" s="471">
        <v>0</v>
      </c>
      <c r="AK3253" s="218">
        <v>0</v>
      </c>
      <c r="AL3253" s="470">
        <v>0</v>
      </c>
      <c r="AM3253" s="471">
        <v>0</v>
      </c>
      <c r="AN3253" s="477">
        <v>0</v>
      </c>
      <c r="AO3253" s="473">
        <v>0</v>
      </c>
      <c r="AP3253" s="474">
        <v>0</v>
      </c>
      <c r="AQ3253" s="352"/>
      <c r="AR3253" s="352"/>
      <c r="AS3253" s="352"/>
      <c r="AT3253" s="352"/>
      <c r="AU3253" s="352"/>
      <c r="AV3253" s="352"/>
      <c r="AW3253" s="352" t="s">
        <v>254</v>
      </c>
    </row>
    <row r="3254" spans="2:49" x14ac:dyDescent="0.2">
      <c r="B3254" s="460" t="s">
        <v>3324</v>
      </c>
      <c r="C3254" s="460">
        <v>4311</v>
      </c>
      <c r="D3254" s="460" t="s">
        <v>2304</v>
      </c>
      <c r="E3254" s="460" t="s">
        <v>2305</v>
      </c>
      <c r="F3254" s="460">
        <v>4</v>
      </c>
      <c r="G3254" s="460">
        <v>2</v>
      </c>
      <c r="H3254" s="461" t="s">
        <v>700</v>
      </c>
      <c r="I3254" s="461" t="s">
        <v>872</v>
      </c>
      <c r="J3254" s="461" t="s">
        <v>700</v>
      </c>
      <c r="K3254" s="594"/>
      <c r="L3254" s="594"/>
      <c r="M3254" s="352">
        <v>4000</v>
      </c>
      <c r="N3254" s="352" t="s">
        <v>716</v>
      </c>
      <c r="O3254" s="460">
        <v>4311</v>
      </c>
      <c r="P3254" s="460" t="s">
        <v>779</v>
      </c>
      <c r="Q3254" s="460" t="s">
        <v>2444</v>
      </c>
      <c r="R3254" s="460">
        <v>4311</v>
      </c>
      <c r="S3254" s="460" t="s">
        <v>2305</v>
      </c>
      <c r="T3254" s="462">
        <v>1</v>
      </c>
      <c r="U3254" s="460" t="s">
        <v>2305</v>
      </c>
      <c r="V3254" s="475">
        <v>0</v>
      </c>
      <c r="W3254" s="463" t="s">
        <v>2503</v>
      </c>
      <c r="X3254" s="463" t="s">
        <v>2503</v>
      </c>
      <c r="Y3254" s="463" t="s">
        <v>2268</v>
      </c>
      <c r="Z3254" s="463"/>
      <c r="AA3254" s="463"/>
      <c r="AB3254" s="464">
        <v>0</v>
      </c>
      <c r="AC3254" s="465">
        <v>0</v>
      </c>
      <c r="AD3254" s="465">
        <v>0</v>
      </c>
      <c r="AE3254" s="476">
        <v>0</v>
      </c>
      <c r="AF3254" s="467">
        <v>0</v>
      </c>
      <c r="AG3254" s="468">
        <v>0</v>
      </c>
      <c r="AH3254" s="218">
        <v>0</v>
      </c>
      <c r="AI3254" s="470">
        <v>0</v>
      </c>
      <c r="AJ3254" s="471">
        <v>0</v>
      </c>
      <c r="AK3254" s="218">
        <v>0</v>
      </c>
      <c r="AL3254" s="470">
        <v>0</v>
      </c>
      <c r="AM3254" s="471">
        <v>0</v>
      </c>
      <c r="AN3254" s="477">
        <v>0</v>
      </c>
      <c r="AO3254" s="473">
        <v>0</v>
      </c>
      <c r="AP3254" s="474">
        <v>0</v>
      </c>
      <c r="AQ3254" s="352"/>
      <c r="AR3254" s="352"/>
      <c r="AS3254" s="352"/>
      <c r="AT3254" s="352"/>
      <c r="AU3254" s="352"/>
      <c r="AV3254" s="352"/>
      <c r="AW3254" s="352" t="s">
        <v>254</v>
      </c>
    </row>
    <row r="3255" spans="2:49" x14ac:dyDescent="0.2">
      <c r="B3255" s="460" t="s">
        <v>3321</v>
      </c>
      <c r="C3255" s="460">
        <v>4311</v>
      </c>
      <c r="D3255" s="460" t="s">
        <v>2306</v>
      </c>
      <c r="E3255" s="460" t="s">
        <v>2296</v>
      </c>
      <c r="F3255" s="460">
        <v>1</v>
      </c>
      <c r="G3255" s="460">
        <v>2</v>
      </c>
      <c r="H3255" s="461" t="s">
        <v>712</v>
      </c>
      <c r="I3255" s="461" t="s">
        <v>713</v>
      </c>
      <c r="J3255" s="461" t="s">
        <v>712</v>
      </c>
      <c r="K3255" s="594"/>
      <c r="L3255" s="594"/>
      <c r="M3255" s="352">
        <v>4000</v>
      </c>
      <c r="N3255" s="352" t="s">
        <v>716</v>
      </c>
      <c r="O3255" s="460">
        <v>4311</v>
      </c>
      <c r="P3255" s="460" t="s">
        <v>779</v>
      </c>
      <c r="Q3255" s="460" t="s">
        <v>2280</v>
      </c>
      <c r="R3255" s="460">
        <v>4311</v>
      </c>
      <c r="S3255" s="460" t="s">
        <v>2296</v>
      </c>
      <c r="T3255" s="462">
        <v>1</v>
      </c>
      <c r="U3255" s="460" t="s">
        <v>2296</v>
      </c>
      <c r="V3255" s="475">
        <v>0</v>
      </c>
      <c r="W3255" s="463" t="s">
        <v>713</v>
      </c>
      <c r="X3255" s="463" t="s">
        <v>713</v>
      </c>
      <c r="Y3255" s="463" t="s">
        <v>713</v>
      </c>
      <c r="Z3255" s="463"/>
      <c r="AA3255" s="463"/>
      <c r="AB3255" s="464">
        <v>533.1060083546439</v>
      </c>
      <c r="AC3255" s="465">
        <v>1</v>
      </c>
      <c r="AD3255" s="465">
        <v>4.610821540045041E-3</v>
      </c>
      <c r="AE3255" s="476">
        <v>533.1060083546439</v>
      </c>
      <c r="AF3255" s="467">
        <v>1</v>
      </c>
      <c r="AG3255" s="468">
        <v>4.5433099351287797E-3</v>
      </c>
      <c r="AH3255" s="218">
        <v>533.1060083546439</v>
      </c>
      <c r="AI3255" s="470">
        <v>1</v>
      </c>
      <c r="AJ3255" s="471">
        <v>4.5966783710316081E-3</v>
      </c>
      <c r="AK3255" s="218">
        <v>533.1060083546439</v>
      </c>
      <c r="AL3255" s="470">
        <v>1</v>
      </c>
      <c r="AM3255" s="471">
        <v>4.5966783710316081E-3</v>
      </c>
      <c r="AN3255" s="477">
        <v>533.1060083546439</v>
      </c>
      <c r="AO3255" s="473">
        <v>1</v>
      </c>
      <c r="AP3255" s="474">
        <v>4.5955502828805552E-3</v>
      </c>
      <c r="AQ3255" s="352"/>
      <c r="AR3255" s="352"/>
      <c r="AS3255" s="352"/>
      <c r="AT3255" s="352"/>
      <c r="AU3255" s="352"/>
      <c r="AV3255" s="352"/>
      <c r="AW3255" s="352" t="s">
        <v>254</v>
      </c>
    </row>
    <row r="3256" spans="2:49" x14ac:dyDescent="0.2">
      <c r="B3256" s="460" t="s">
        <v>3322</v>
      </c>
      <c r="C3256" s="460">
        <v>4311</v>
      </c>
      <c r="D3256" s="460" t="s">
        <v>2307</v>
      </c>
      <c r="E3256" s="460" t="s">
        <v>2299</v>
      </c>
      <c r="F3256" s="460">
        <v>2</v>
      </c>
      <c r="G3256" s="460">
        <v>2</v>
      </c>
      <c r="H3256" s="461" t="s">
        <v>712</v>
      </c>
      <c r="I3256" s="461" t="s">
        <v>713</v>
      </c>
      <c r="J3256" s="461" t="s">
        <v>712</v>
      </c>
      <c r="K3256" s="594"/>
      <c r="L3256" s="594"/>
      <c r="M3256" s="352">
        <v>4000</v>
      </c>
      <c r="N3256" s="352" t="s">
        <v>716</v>
      </c>
      <c r="O3256" s="460">
        <v>4311</v>
      </c>
      <c r="P3256" s="460" t="s">
        <v>779</v>
      </c>
      <c r="Q3256" s="460" t="s">
        <v>2280</v>
      </c>
      <c r="R3256" s="460">
        <v>4311</v>
      </c>
      <c r="S3256" s="460" t="s">
        <v>2296</v>
      </c>
      <c r="T3256" s="462">
        <v>0.55517361979372948</v>
      </c>
      <c r="U3256" s="460" t="s">
        <v>2299</v>
      </c>
      <c r="V3256" s="475">
        <v>0</v>
      </c>
      <c r="W3256" s="463" t="s">
        <v>713</v>
      </c>
      <c r="X3256" s="463" t="s">
        <v>713</v>
      </c>
      <c r="Y3256" s="463" t="s">
        <v>713</v>
      </c>
      <c r="Z3256" s="463"/>
      <c r="AA3256" s="463"/>
      <c r="AB3256" s="464">
        <v>416.01535318720295</v>
      </c>
      <c r="AC3256" s="465">
        <v>1</v>
      </c>
      <c r="AD3256" s="465">
        <v>4.8119466409788083E-3</v>
      </c>
      <c r="AE3256" s="476">
        <v>416.01535318720295</v>
      </c>
      <c r="AF3256" s="467">
        <v>1</v>
      </c>
      <c r="AG3256" s="468">
        <v>4.7920000940873493E-3</v>
      </c>
      <c r="AH3256" s="218">
        <v>416.01535318720295</v>
      </c>
      <c r="AI3256" s="470">
        <v>1</v>
      </c>
      <c r="AJ3256" s="471">
        <v>4.873994802774958E-3</v>
      </c>
      <c r="AK3256" s="218">
        <v>416.01535318720295</v>
      </c>
      <c r="AL3256" s="470">
        <v>1</v>
      </c>
      <c r="AM3256" s="471">
        <v>4.873994802774958E-3</v>
      </c>
      <c r="AN3256" s="477">
        <v>416.01535318720295</v>
      </c>
      <c r="AO3256" s="473">
        <v>1</v>
      </c>
      <c r="AP3256" s="474">
        <v>4.8733795354996591E-3</v>
      </c>
      <c r="AQ3256" s="352"/>
      <c r="AR3256" s="352"/>
      <c r="AS3256" s="352"/>
      <c r="AT3256" s="352"/>
      <c r="AU3256" s="352"/>
      <c r="AV3256" s="352"/>
      <c r="AW3256" s="352" t="s">
        <v>254</v>
      </c>
    </row>
    <row r="3257" spans="2:49" x14ac:dyDescent="0.2">
      <c r="B3257" s="460" t="s">
        <v>3323</v>
      </c>
      <c r="C3257" s="460">
        <v>4311</v>
      </c>
      <c r="D3257" s="460" t="s">
        <v>2308</v>
      </c>
      <c r="E3257" s="460" t="s">
        <v>2302</v>
      </c>
      <c r="F3257" s="460">
        <v>3</v>
      </c>
      <c r="G3257" s="460">
        <v>2</v>
      </c>
      <c r="H3257" s="461" t="s">
        <v>712</v>
      </c>
      <c r="I3257" s="461" t="s">
        <v>713</v>
      </c>
      <c r="J3257" s="461" t="s">
        <v>712</v>
      </c>
      <c r="K3257" s="594"/>
      <c r="L3257" s="594"/>
      <c r="M3257" s="352">
        <v>4000</v>
      </c>
      <c r="N3257" s="352" t="s">
        <v>716</v>
      </c>
      <c r="O3257" s="460">
        <v>4311</v>
      </c>
      <c r="P3257" s="460" t="s">
        <v>779</v>
      </c>
      <c r="Q3257" s="460" t="s">
        <v>2280</v>
      </c>
      <c r="R3257" s="460">
        <v>4311</v>
      </c>
      <c r="S3257" s="460" t="s">
        <v>2296</v>
      </c>
      <c r="T3257" s="462">
        <v>0.28481449642268464</v>
      </c>
      <c r="U3257" s="460" t="s">
        <v>2302</v>
      </c>
      <c r="V3257" s="475">
        <v>0</v>
      </c>
      <c r="W3257" s="463" t="s">
        <v>713</v>
      </c>
      <c r="X3257" s="463" t="s">
        <v>713</v>
      </c>
      <c r="Y3257" s="463" t="s">
        <v>713</v>
      </c>
      <c r="Z3257" s="463"/>
      <c r="AA3257" s="463"/>
      <c r="AB3257" s="464">
        <v>101.05246879368796</v>
      </c>
      <c r="AC3257" s="465">
        <v>1</v>
      </c>
      <c r="AD3257" s="465">
        <v>2.9393637971866101E-3</v>
      </c>
      <c r="AE3257" s="476">
        <v>101.05246879368796</v>
      </c>
      <c r="AF3257" s="467">
        <v>1</v>
      </c>
      <c r="AG3257" s="468">
        <v>2.9343693429849963E-3</v>
      </c>
      <c r="AH3257" s="218">
        <v>101.05246879368796</v>
      </c>
      <c r="AI3257" s="470">
        <v>1</v>
      </c>
      <c r="AJ3257" s="471">
        <v>2.9782763992355476E-3</v>
      </c>
      <c r="AK3257" s="218">
        <v>101.05246879368796</v>
      </c>
      <c r="AL3257" s="470">
        <v>1</v>
      </c>
      <c r="AM3257" s="471">
        <v>2.9782763992355476E-3</v>
      </c>
      <c r="AN3257" s="477">
        <v>101.05246879368796</v>
      </c>
      <c r="AO3257" s="473">
        <v>1</v>
      </c>
      <c r="AP3257" s="474">
        <v>2.9808661759482204E-3</v>
      </c>
      <c r="AQ3257" s="352"/>
      <c r="AR3257" s="352"/>
      <c r="AS3257" s="352"/>
      <c r="AT3257" s="352"/>
      <c r="AU3257" s="352"/>
      <c r="AV3257" s="352"/>
      <c r="AW3257" s="352" t="s">
        <v>254</v>
      </c>
    </row>
    <row r="3258" spans="2:49" x14ac:dyDescent="0.2">
      <c r="B3258" s="460" t="s">
        <v>3324</v>
      </c>
      <c r="C3258" s="460">
        <v>4311</v>
      </c>
      <c r="D3258" s="460" t="s">
        <v>2309</v>
      </c>
      <c r="E3258" s="460" t="s">
        <v>2305</v>
      </c>
      <c r="F3258" s="460">
        <v>4</v>
      </c>
      <c r="G3258" s="460">
        <v>2</v>
      </c>
      <c r="H3258" s="461" t="s">
        <v>712</v>
      </c>
      <c r="I3258" s="461" t="s">
        <v>713</v>
      </c>
      <c r="J3258" s="461" t="s">
        <v>712</v>
      </c>
      <c r="K3258" s="594"/>
      <c r="L3258" s="594"/>
      <c r="M3258" s="352">
        <v>4000</v>
      </c>
      <c r="N3258" s="352" t="s">
        <v>716</v>
      </c>
      <c r="O3258" s="460">
        <v>4311</v>
      </c>
      <c r="P3258" s="460" t="s">
        <v>779</v>
      </c>
      <c r="Q3258" s="460" t="s">
        <v>2280</v>
      </c>
      <c r="R3258" s="460">
        <v>4311</v>
      </c>
      <c r="S3258" s="460" t="s">
        <v>2305</v>
      </c>
      <c r="T3258" s="462">
        <v>1</v>
      </c>
      <c r="U3258" s="460" t="s">
        <v>2305</v>
      </c>
      <c r="V3258" s="475">
        <v>0</v>
      </c>
      <c r="W3258" s="463" t="s">
        <v>713</v>
      </c>
      <c r="X3258" s="463" t="s">
        <v>713</v>
      </c>
      <c r="Y3258" s="463" t="s">
        <v>713</v>
      </c>
      <c r="Z3258" s="463"/>
      <c r="AA3258" s="463"/>
      <c r="AB3258" s="464">
        <v>307.715688327149</v>
      </c>
      <c r="AC3258" s="465">
        <v>1</v>
      </c>
      <c r="AD3258" s="465">
        <v>7.8590286521711562E-3</v>
      </c>
      <c r="AE3258" s="476">
        <v>307.715688327149</v>
      </c>
      <c r="AF3258" s="467">
        <v>1</v>
      </c>
      <c r="AG3258" s="468">
        <v>7.8587765629300511E-3</v>
      </c>
      <c r="AH3258" s="218">
        <v>307.715688327149</v>
      </c>
      <c r="AI3258" s="470">
        <v>1</v>
      </c>
      <c r="AJ3258" s="471">
        <v>7.8587860762146071E-3</v>
      </c>
      <c r="AK3258" s="218">
        <v>307.715688327149</v>
      </c>
      <c r="AL3258" s="470">
        <v>1</v>
      </c>
      <c r="AM3258" s="471">
        <v>7.8587860762146071E-3</v>
      </c>
      <c r="AN3258" s="477">
        <v>307.715688327149</v>
      </c>
      <c r="AO3258" s="473">
        <v>1</v>
      </c>
      <c r="AP3258" s="474">
        <v>7.8587956890728509E-3</v>
      </c>
      <c r="AQ3258" s="352"/>
      <c r="AR3258" s="352"/>
      <c r="AS3258" s="352"/>
      <c r="AT3258" s="352"/>
      <c r="AU3258" s="352"/>
      <c r="AV3258" s="352"/>
      <c r="AW3258" s="352" t="s">
        <v>254</v>
      </c>
    </row>
    <row r="3259" spans="2:49" x14ac:dyDescent="0.2">
      <c r="B3259" s="460" t="s">
        <v>3321</v>
      </c>
      <c r="C3259" s="460">
        <v>4311</v>
      </c>
      <c r="D3259" s="460" t="s">
        <v>2310</v>
      </c>
      <c r="E3259" s="460" t="s">
        <v>2296</v>
      </c>
      <c r="F3259" s="460">
        <v>1</v>
      </c>
      <c r="G3259" s="460">
        <v>2</v>
      </c>
      <c r="H3259" s="461" t="s">
        <v>746</v>
      </c>
      <c r="I3259" s="461" t="s">
        <v>762</v>
      </c>
      <c r="J3259" s="461" t="s">
        <v>700</v>
      </c>
      <c r="K3259" s="594"/>
      <c r="L3259" s="594"/>
      <c r="M3259" s="352">
        <v>4000</v>
      </c>
      <c r="N3259" s="352" t="s">
        <v>716</v>
      </c>
      <c r="O3259" s="460">
        <v>4311</v>
      </c>
      <c r="P3259" s="460" t="s">
        <v>779</v>
      </c>
      <c r="Q3259" s="460" t="s">
        <v>2444</v>
      </c>
      <c r="R3259" s="460">
        <v>4311</v>
      </c>
      <c r="S3259" s="460" t="s">
        <v>2296</v>
      </c>
      <c r="T3259" s="462">
        <v>1</v>
      </c>
      <c r="U3259" s="460" t="s">
        <v>2296</v>
      </c>
      <c r="V3259" s="475">
        <v>0</v>
      </c>
      <c r="W3259" s="463" t="s">
        <v>2268</v>
      </c>
      <c r="X3259" s="463" t="s">
        <v>2268</v>
      </c>
      <c r="Y3259" s="463" t="s">
        <v>2554</v>
      </c>
      <c r="Z3259" s="463"/>
      <c r="AA3259" s="463"/>
      <c r="AB3259" s="464">
        <v>0</v>
      </c>
      <c r="AC3259" s="465">
        <v>0</v>
      </c>
      <c r="AD3259" s="465">
        <v>0</v>
      </c>
      <c r="AE3259" s="476">
        <v>0</v>
      </c>
      <c r="AF3259" s="467">
        <v>0</v>
      </c>
      <c r="AG3259" s="468">
        <v>0</v>
      </c>
      <c r="AH3259" s="218">
        <v>0</v>
      </c>
      <c r="AI3259" s="470">
        <v>0</v>
      </c>
      <c r="AJ3259" s="471">
        <v>0</v>
      </c>
      <c r="AK3259" s="218">
        <v>0</v>
      </c>
      <c r="AL3259" s="470">
        <v>0</v>
      </c>
      <c r="AM3259" s="471">
        <v>0</v>
      </c>
      <c r="AN3259" s="477">
        <v>0</v>
      </c>
      <c r="AO3259" s="473">
        <v>0</v>
      </c>
      <c r="AP3259" s="474">
        <v>0</v>
      </c>
      <c r="AQ3259" s="352"/>
      <c r="AR3259" s="352"/>
      <c r="AS3259" s="352"/>
      <c r="AT3259" s="352"/>
      <c r="AU3259" s="352"/>
      <c r="AV3259" s="352"/>
      <c r="AW3259" s="352" t="s">
        <v>254</v>
      </c>
    </row>
    <row r="3260" spans="2:49" x14ac:dyDescent="0.2">
      <c r="B3260" s="460" t="s">
        <v>3322</v>
      </c>
      <c r="C3260" s="460">
        <v>4311</v>
      </c>
      <c r="D3260" s="460" t="s">
        <v>2311</v>
      </c>
      <c r="E3260" s="460" t="s">
        <v>2299</v>
      </c>
      <c r="F3260" s="460">
        <v>2</v>
      </c>
      <c r="G3260" s="460">
        <v>2</v>
      </c>
      <c r="H3260" s="461" t="s">
        <v>746</v>
      </c>
      <c r="I3260" s="461" t="s">
        <v>762</v>
      </c>
      <c r="J3260" s="461" t="s">
        <v>700</v>
      </c>
      <c r="K3260" s="594"/>
      <c r="L3260" s="594"/>
      <c r="M3260" s="352">
        <v>4000</v>
      </c>
      <c r="N3260" s="352" t="s">
        <v>716</v>
      </c>
      <c r="O3260" s="460">
        <v>4311</v>
      </c>
      <c r="P3260" s="460" t="s">
        <v>779</v>
      </c>
      <c r="Q3260" s="460" t="s">
        <v>2444</v>
      </c>
      <c r="R3260" s="460">
        <v>4311</v>
      </c>
      <c r="S3260" s="460" t="s">
        <v>2296</v>
      </c>
      <c r="T3260" s="462">
        <v>0.55517361979372948</v>
      </c>
      <c r="U3260" s="460" t="s">
        <v>2299</v>
      </c>
      <c r="V3260" s="475">
        <v>0</v>
      </c>
      <c r="W3260" s="463" t="s">
        <v>2268</v>
      </c>
      <c r="X3260" s="463" t="s">
        <v>2268</v>
      </c>
      <c r="Y3260" s="463" t="s">
        <v>2554</v>
      </c>
      <c r="Z3260" s="463"/>
      <c r="AA3260" s="463"/>
      <c r="AB3260" s="464">
        <v>0</v>
      </c>
      <c r="AC3260" s="465">
        <v>0</v>
      </c>
      <c r="AD3260" s="465">
        <v>0</v>
      </c>
      <c r="AE3260" s="476">
        <v>0</v>
      </c>
      <c r="AF3260" s="467">
        <v>0</v>
      </c>
      <c r="AG3260" s="468">
        <v>0</v>
      </c>
      <c r="AH3260" s="218">
        <v>0</v>
      </c>
      <c r="AI3260" s="470">
        <v>0</v>
      </c>
      <c r="AJ3260" s="471">
        <v>0</v>
      </c>
      <c r="AK3260" s="218">
        <v>0</v>
      </c>
      <c r="AL3260" s="470">
        <v>0</v>
      </c>
      <c r="AM3260" s="471">
        <v>0</v>
      </c>
      <c r="AN3260" s="477">
        <v>0</v>
      </c>
      <c r="AO3260" s="473">
        <v>0</v>
      </c>
      <c r="AP3260" s="474">
        <v>0</v>
      </c>
      <c r="AQ3260" s="352"/>
      <c r="AR3260" s="352"/>
      <c r="AS3260" s="352"/>
      <c r="AT3260" s="352"/>
      <c r="AU3260" s="352"/>
      <c r="AV3260" s="352"/>
      <c r="AW3260" s="352" t="s">
        <v>254</v>
      </c>
    </row>
    <row r="3261" spans="2:49" x14ac:dyDescent="0.2">
      <c r="B3261" s="460" t="s">
        <v>3323</v>
      </c>
      <c r="C3261" s="460">
        <v>4311</v>
      </c>
      <c r="D3261" s="460" t="s">
        <v>2312</v>
      </c>
      <c r="E3261" s="460" t="s">
        <v>2302</v>
      </c>
      <c r="F3261" s="460">
        <v>3</v>
      </c>
      <c r="G3261" s="460">
        <v>2</v>
      </c>
      <c r="H3261" s="461" t="s">
        <v>746</v>
      </c>
      <c r="I3261" s="461" t="s">
        <v>762</v>
      </c>
      <c r="J3261" s="461" t="s">
        <v>700</v>
      </c>
      <c r="K3261" s="594"/>
      <c r="L3261" s="594"/>
      <c r="M3261" s="352">
        <v>4000</v>
      </c>
      <c r="N3261" s="352" t="s">
        <v>716</v>
      </c>
      <c r="O3261" s="460">
        <v>4311</v>
      </c>
      <c r="P3261" s="460" t="s">
        <v>779</v>
      </c>
      <c r="Q3261" s="460" t="s">
        <v>2444</v>
      </c>
      <c r="R3261" s="460">
        <v>4311</v>
      </c>
      <c r="S3261" s="460" t="s">
        <v>2296</v>
      </c>
      <c r="T3261" s="462">
        <v>0.28481449642268464</v>
      </c>
      <c r="U3261" s="460" t="s">
        <v>2302</v>
      </c>
      <c r="V3261" s="475">
        <v>0</v>
      </c>
      <c r="W3261" s="463" t="s">
        <v>2268</v>
      </c>
      <c r="X3261" s="463" t="s">
        <v>2268</v>
      </c>
      <c r="Y3261" s="463" t="s">
        <v>2554</v>
      </c>
      <c r="Z3261" s="463"/>
      <c r="AA3261" s="463"/>
      <c r="AB3261" s="464">
        <v>0</v>
      </c>
      <c r="AC3261" s="465">
        <v>0</v>
      </c>
      <c r="AD3261" s="465">
        <v>0</v>
      </c>
      <c r="AE3261" s="476">
        <v>0</v>
      </c>
      <c r="AF3261" s="467">
        <v>0</v>
      </c>
      <c r="AG3261" s="468">
        <v>0</v>
      </c>
      <c r="AH3261" s="218">
        <v>0</v>
      </c>
      <c r="AI3261" s="470">
        <v>0</v>
      </c>
      <c r="AJ3261" s="471">
        <v>0</v>
      </c>
      <c r="AK3261" s="218">
        <v>0</v>
      </c>
      <c r="AL3261" s="470">
        <v>0</v>
      </c>
      <c r="AM3261" s="471">
        <v>0</v>
      </c>
      <c r="AN3261" s="477">
        <v>0</v>
      </c>
      <c r="AO3261" s="473">
        <v>0</v>
      </c>
      <c r="AP3261" s="474">
        <v>0</v>
      </c>
      <c r="AQ3261" s="352"/>
      <c r="AR3261" s="352"/>
      <c r="AS3261" s="352"/>
      <c r="AT3261" s="352"/>
      <c r="AU3261" s="352"/>
      <c r="AV3261" s="352"/>
      <c r="AW3261" s="352" t="s">
        <v>254</v>
      </c>
    </row>
    <row r="3262" spans="2:49" x14ac:dyDescent="0.2">
      <c r="B3262" s="460" t="s">
        <v>3324</v>
      </c>
      <c r="C3262" s="460">
        <v>4311</v>
      </c>
      <c r="D3262" s="460" t="s">
        <v>2313</v>
      </c>
      <c r="E3262" s="460" t="s">
        <v>2305</v>
      </c>
      <c r="F3262" s="460">
        <v>4</v>
      </c>
      <c r="G3262" s="460">
        <v>2</v>
      </c>
      <c r="H3262" s="461" t="s">
        <v>746</v>
      </c>
      <c r="I3262" s="461" t="s">
        <v>762</v>
      </c>
      <c r="J3262" s="461" t="s">
        <v>700</v>
      </c>
      <c r="K3262" s="594"/>
      <c r="L3262" s="594"/>
      <c r="M3262" s="352">
        <v>4000</v>
      </c>
      <c r="N3262" s="352" t="s">
        <v>716</v>
      </c>
      <c r="O3262" s="460">
        <v>4311</v>
      </c>
      <c r="P3262" s="460" t="s">
        <v>779</v>
      </c>
      <c r="Q3262" s="460" t="s">
        <v>2444</v>
      </c>
      <c r="R3262" s="460">
        <v>4311</v>
      </c>
      <c r="S3262" s="460" t="s">
        <v>2305</v>
      </c>
      <c r="T3262" s="462">
        <v>1</v>
      </c>
      <c r="U3262" s="460" t="s">
        <v>2305</v>
      </c>
      <c r="V3262" s="475">
        <v>0</v>
      </c>
      <c r="W3262" s="463" t="s">
        <v>2268</v>
      </c>
      <c r="X3262" s="463" t="s">
        <v>2268</v>
      </c>
      <c r="Y3262" s="463" t="s">
        <v>2554</v>
      </c>
      <c r="Z3262" s="463"/>
      <c r="AA3262" s="463"/>
      <c r="AB3262" s="464">
        <v>0</v>
      </c>
      <c r="AC3262" s="465">
        <v>0</v>
      </c>
      <c r="AD3262" s="465">
        <v>0</v>
      </c>
      <c r="AE3262" s="476">
        <v>0</v>
      </c>
      <c r="AF3262" s="467">
        <v>0</v>
      </c>
      <c r="AG3262" s="468">
        <v>0</v>
      </c>
      <c r="AH3262" s="218">
        <v>0</v>
      </c>
      <c r="AI3262" s="470">
        <v>0</v>
      </c>
      <c r="AJ3262" s="471">
        <v>0</v>
      </c>
      <c r="AK3262" s="218">
        <v>0</v>
      </c>
      <c r="AL3262" s="470">
        <v>0</v>
      </c>
      <c r="AM3262" s="471">
        <v>0</v>
      </c>
      <c r="AN3262" s="477">
        <v>0</v>
      </c>
      <c r="AO3262" s="473">
        <v>0</v>
      </c>
      <c r="AP3262" s="474">
        <v>0</v>
      </c>
      <c r="AQ3262" s="352"/>
      <c r="AR3262" s="352"/>
      <c r="AS3262" s="352"/>
      <c r="AT3262" s="352"/>
      <c r="AU3262" s="352"/>
      <c r="AV3262" s="352"/>
      <c r="AW3262" s="352" t="s">
        <v>254</v>
      </c>
    </row>
    <row r="3263" spans="2:49" x14ac:dyDescent="0.2">
      <c r="B3263" s="460" t="s">
        <v>3321</v>
      </c>
      <c r="C3263" s="460">
        <v>4311</v>
      </c>
      <c r="D3263" s="460" t="s">
        <v>2314</v>
      </c>
      <c r="E3263" s="460" t="s">
        <v>2296</v>
      </c>
      <c r="F3263" s="460">
        <v>1</v>
      </c>
      <c r="G3263" s="460">
        <v>2</v>
      </c>
      <c r="H3263" s="461" t="s">
        <v>748</v>
      </c>
      <c r="I3263" s="461" t="s">
        <v>765</v>
      </c>
      <c r="J3263" s="461" t="s">
        <v>700</v>
      </c>
      <c r="K3263" s="594"/>
      <c r="L3263" s="594"/>
      <c r="M3263" s="352">
        <v>4000</v>
      </c>
      <c r="N3263" s="352" t="s">
        <v>716</v>
      </c>
      <c r="O3263" s="460">
        <v>4311</v>
      </c>
      <c r="P3263" s="460" t="s">
        <v>779</v>
      </c>
      <c r="Q3263" s="460" t="s">
        <v>2444</v>
      </c>
      <c r="R3263" s="460">
        <v>4311</v>
      </c>
      <c r="S3263" s="460" t="s">
        <v>2296</v>
      </c>
      <c r="T3263" s="462">
        <v>1</v>
      </c>
      <c r="U3263" s="460" t="s">
        <v>2296</v>
      </c>
      <c r="V3263" s="475">
        <v>0</v>
      </c>
      <c r="W3263" s="463" t="s">
        <v>2268</v>
      </c>
      <c r="X3263" s="463" t="s">
        <v>2268</v>
      </c>
      <c r="Y3263" s="463" t="s">
        <v>2554</v>
      </c>
      <c r="Z3263" s="463"/>
      <c r="AA3263" s="463"/>
      <c r="AB3263" s="464">
        <v>0</v>
      </c>
      <c r="AC3263" s="465">
        <v>0</v>
      </c>
      <c r="AD3263" s="465">
        <v>0</v>
      </c>
      <c r="AE3263" s="476">
        <v>0</v>
      </c>
      <c r="AF3263" s="467">
        <v>0</v>
      </c>
      <c r="AG3263" s="468">
        <v>0</v>
      </c>
      <c r="AH3263" s="218">
        <v>0</v>
      </c>
      <c r="AI3263" s="470">
        <v>0</v>
      </c>
      <c r="AJ3263" s="471">
        <v>0</v>
      </c>
      <c r="AK3263" s="218">
        <v>0</v>
      </c>
      <c r="AL3263" s="470">
        <v>0</v>
      </c>
      <c r="AM3263" s="471">
        <v>0</v>
      </c>
      <c r="AN3263" s="477">
        <v>0</v>
      </c>
      <c r="AO3263" s="473">
        <v>0</v>
      </c>
      <c r="AP3263" s="474">
        <v>0</v>
      </c>
      <c r="AQ3263" s="352"/>
      <c r="AR3263" s="352"/>
      <c r="AS3263" s="352"/>
      <c r="AT3263" s="352"/>
      <c r="AU3263" s="352"/>
      <c r="AV3263" s="352"/>
      <c r="AW3263" s="352" t="s">
        <v>254</v>
      </c>
    </row>
    <row r="3264" spans="2:49" x14ac:dyDescent="0.2">
      <c r="B3264" s="460" t="s">
        <v>3322</v>
      </c>
      <c r="C3264" s="460">
        <v>4311</v>
      </c>
      <c r="D3264" s="460" t="s">
        <v>2315</v>
      </c>
      <c r="E3264" s="460" t="s">
        <v>2299</v>
      </c>
      <c r="F3264" s="460">
        <v>2</v>
      </c>
      <c r="G3264" s="460">
        <v>2</v>
      </c>
      <c r="H3264" s="461" t="s">
        <v>748</v>
      </c>
      <c r="I3264" s="461" t="s">
        <v>765</v>
      </c>
      <c r="J3264" s="461" t="s">
        <v>700</v>
      </c>
      <c r="K3264" s="594"/>
      <c r="L3264" s="594"/>
      <c r="M3264" s="352">
        <v>4000</v>
      </c>
      <c r="N3264" s="352" t="s">
        <v>716</v>
      </c>
      <c r="O3264" s="460">
        <v>4311</v>
      </c>
      <c r="P3264" s="460" t="s">
        <v>779</v>
      </c>
      <c r="Q3264" s="460" t="s">
        <v>2444</v>
      </c>
      <c r="R3264" s="460">
        <v>4311</v>
      </c>
      <c r="S3264" s="460" t="s">
        <v>2296</v>
      </c>
      <c r="T3264" s="462">
        <v>0.55517361979372948</v>
      </c>
      <c r="U3264" s="460" t="s">
        <v>2299</v>
      </c>
      <c r="V3264" s="475">
        <v>0</v>
      </c>
      <c r="W3264" s="463" t="s">
        <v>2268</v>
      </c>
      <c r="X3264" s="463" t="s">
        <v>2268</v>
      </c>
      <c r="Y3264" s="463" t="s">
        <v>2554</v>
      </c>
      <c r="Z3264" s="463"/>
      <c r="AA3264" s="463"/>
      <c r="AB3264" s="464">
        <v>0</v>
      </c>
      <c r="AC3264" s="465">
        <v>0</v>
      </c>
      <c r="AD3264" s="465">
        <v>0</v>
      </c>
      <c r="AE3264" s="476">
        <v>0</v>
      </c>
      <c r="AF3264" s="467">
        <v>0</v>
      </c>
      <c r="AG3264" s="468">
        <v>0</v>
      </c>
      <c r="AH3264" s="218">
        <v>0</v>
      </c>
      <c r="AI3264" s="470">
        <v>0</v>
      </c>
      <c r="AJ3264" s="471">
        <v>0</v>
      </c>
      <c r="AK3264" s="218">
        <v>0</v>
      </c>
      <c r="AL3264" s="470">
        <v>0</v>
      </c>
      <c r="AM3264" s="471">
        <v>0</v>
      </c>
      <c r="AN3264" s="477">
        <v>0</v>
      </c>
      <c r="AO3264" s="473">
        <v>0</v>
      </c>
      <c r="AP3264" s="474">
        <v>0</v>
      </c>
      <c r="AQ3264" s="352"/>
      <c r="AR3264" s="352"/>
      <c r="AS3264" s="352"/>
      <c r="AT3264" s="352"/>
      <c r="AU3264" s="352"/>
      <c r="AV3264" s="352"/>
      <c r="AW3264" s="352" t="s">
        <v>254</v>
      </c>
    </row>
    <row r="3265" spans="2:49" x14ac:dyDescent="0.2">
      <c r="B3265" s="460" t="s">
        <v>3323</v>
      </c>
      <c r="C3265" s="460">
        <v>4311</v>
      </c>
      <c r="D3265" s="460" t="s">
        <v>2316</v>
      </c>
      <c r="E3265" s="460" t="s">
        <v>2302</v>
      </c>
      <c r="F3265" s="460">
        <v>3</v>
      </c>
      <c r="G3265" s="460">
        <v>2</v>
      </c>
      <c r="H3265" s="461" t="s">
        <v>748</v>
      </c>
      <c r="I3265" s="461" t="s">
        <v>765</v>
      </c>
      <c r="J3265" s="461" t="s">
        <v>700</v>
      </c>
      <c r="K3265" s="594"/>
      <c r="L3265" s="594"/>
      <c r="M3265" s="352">
        <v>4000</v>
      </c>
      <c r="N3265" s="352" t="s">
        <v>716</v>
      </c>
      <c r="O3265" s="460">
        <v>4311</v>
      </c>
      <c r="P3265" s="460" t="s">
        <v>779</v>
      </c>
      <c r="Q3265" s="460" t="s">
        <v>2444</v>
      </c>
      <c r="R3265" s="460">
        <v>4311</v>
      </c>
      <c r="S3265" s="460" t="s">
        <v>2296</v>
      </c>
      <c r="T3265" s="462">
        <v>0.28481449642268464</v>
      </c>
      <c r="U3265" s="460" t="s">
        <v>2302</v>
      </c>
      <c r="V3265" s="475">
        <v>0</v>
      </c>
      <c r="W3265" s="463" t="s">
        <v>2268</v>
      </c>
      <c r="X3265" s="463" t="s">
        <v>2268</v>
      </c>
      <c r="Y3265" s="463" t="s">
        <v>2554</v>
      </c>
      <c r="Z3265" s="463"/>
      <c r="AA3265" s="463"/>
      <c r="AB3265" s="464">
        <v>0</v>
      </c>
      <c r="AC3265" s="465">
        <v>0</v>
      </c>
      <c r="AD3265" s="465">
        <v>0</v>
      </c>
      <c r="AE3265" s="476">
        <v>0</v>
      </c>
      <c r="AF3265" s="467">
        <v>0</v>
      </c>
      <c r="AG3265" s="468">
        <v>0</v>
      </c>
      <c r="AH3265" s="218">
        <v>0</v>
      </c>
      <c r="AI3265" s="470">
        <v>0</v>
      </c>
      <c r="AJ3265" s="471">
        <v>0</v>
      </c>
      <c r="AK3265" s="218">
        <v>0</v>
      </c>
      <c r="AL3265" s="470">
        <v>0</v>
      </c>
      <c r="AM3265" s="471">
        <v>0</v>
      </c>
      <c r="AN3265" s="477">
        <v>0</v>
      </c>
      <c r="AO3265" s="473">
        <v>0</v>
      </c>
      <c r="AP3265" s="474">
        <v>0</v>
      </c>
      <c r="AQ3265" s="352"/>
      <c r="AR3265" s="352"/>
      <c r="AS3265" s="352"/>
      <c r="AT3265" s="352"/>
      <c r="AU3265" s="352"/>
      <c r="AV3265" s="352"/>
      <c r="AW3265" s="352" t="s">
        <v>254</v>
      </c>
    </row>
    <row r="3266" spans="2:49" x14ac:dyDescent="0.2">
      <c r="B3266" s="460" t="s">
        <v>3324</v>
      </c>
      <c r="C3266" s="460">
        <v>4311</v>
      </c>
      <c r="D3266" s="460" t="s">
        <v>2317</v>
      </c>
      <c r="E3266" s="460" t="s">
        <v>2305</v>
      </c>
      <c r="F3266" s="460">
        <v>4</v>
      </c>
      <c r="G3266" s="460">
        <v>2</v>
      </c>
      <c r="H3266" s="461" t="s">
        <v>748</v>
      </c>
      <c r="I3266" s="461" t="s">
        <v>765</v>
      </c>
      <c r="J3266" s="461" t="s">
        <v>700</v>
      </c>
      <c r="K3266" s="594"/>
      <c r="L3266" s="594"/>
      <c r="M3266" s="352">
        <v>4000</v>
      </c>
      <c r="N3266" s="352" t="s">
        <v>716</v>
      </c>
      <c r="O3266" s="460">
        <v>4311</v>
      </c>
      <c r="P3266" s="460" t="s">
        <v>779</v>
      </c>
      <c r="Q3266" s="460" t="s">
        <v>2444</v>
      </c>
      <c r="R3266" s="460">
        <v>4311</v>
      </c>
      <c r="S3266" s="460" t="s">
        <v>2305</v>
      </c>
      <c r="T3266" s="462">
        <v>1</v>
      </c>
      <c r="U3266" s="460" t="s">
        <v>2305</v>
      </c>
      <c r="V3266" s="475">
        <v>0</v>
      </c>
      <c r="W3266" s="463" t="s">
        <v>2268</v>
      </c>
      <c r="X3266" s="463" t="s">
        <v>2268</v>
      </c>
      <c r="Y3266" s="463" t="s">
        <v>2554</v>
      </c>
      <c r="Z3266" s="463"/>
      <c r="AA3266" s="463"/>
      <c r="AB3266" s="464">
        <v>0</v>
      </c>
      <c r="AC3266" s="465">
        <v>0</v>
      </c>
      <c r="AD3266" s="465">
        <v>0</v>
      </c>
      <c r="AE3266" s="476">
        <v>0</v>
      </c>
      <c r="AF3266" s="467">
        <v>0</v>
      </c>
      <c r="AG3266" s="468">
        <v>0</v>
      </c>
      <c r="AH3266" s="218">
        <v>0</v>
      </c>
      <c r="AI3266" s="470">
        <v>0</v>
      </c>
      <c r="AJ3266" s="471">
        <v>0</v>
      </c>
      <c r="AK3266" s="218">
        <v>0</v>
      </c>
      <c r="AL3266" s="470">
        <v>0</v>
      </c>
      <c r="AM3266" s="471">
        <v>0</v>
      </c>
      <c r="AN3266" s="477">
        <v>0</v>
      </c>
      <c r="AO3266" s="473">
        <v>0</v>
      </c>
      <c r="AP3266" s="474">
        <v>0</v>
      </c>
      <c r="AQ3266" s="352"/>
      <c r="AR3266" s="352"/>
      <c r="AS3266" s="352"/>
      <c r="AT3266" s="352"/>
      <c r="AU3266" s="352"/>
      <c r="AV3266" s="352"/>
      <c r="AW3266" s="352" t="s">
        <v>254</v>
      </c>
    </row>
    <row r="3267" spans="2:49" x14ac:dyDescent="0.2">
      <c r="B3267" s="460" t="s">
        <v>3321</v>
      </c>
      <c r="C3267" s="460">
        <v>4311</v>
      </c>
      <c r="D3267" s="460" t="s">
        <v>3325</v>
      </c>
      <c r="E3267" s="460" t="s">
        <v>2296</v>
      </c>
      <c r="F3267" s="460">
        <v>1</v>
      </c>
      <c r="G3267" s="460">
        <v>2</v>
      </c>
      <c r="H3267" s="461" t="s">
        <v>750</v>
      </c>
      <c r="I3267" s="461" t="s">
        <v>963</v>
      </c>
      <c r="J3267" s="461" t="s">
        <v>750</v>
      </c>
      <c r="K3267" s="594"/>
      <c r="L3267" s="594"/>
      <c r="M3267" s="352">
        <v>4000</v>
      </c>
      <c r="N3267" s="352" t="s">
        <v>716</v>
      </c>
      <c r="O3267" s="460">
        <v>4311</v>
      </c>
      <c r="P3267" s="460" t="s">
        <v>779</v>
      </c>
      <c r="Q3267" s="460" t="s">
        <v>2440</v>
      </c>
      <c r="R3267" s="460">
        <v>4311</v>
      </c>
      <c r="S3267" s="460" t="s">
        <v>2296</v>
      </c>
      <c r="T3267" s="462">
        <v>1</v>
      </c>
      <c r="U3267" s="460" t="s">
        <v>2296</v>
      </c>
      <c r="V3267" s="475">
        <v>0</v>
      </c>
      <c r="W3267" s="463" t="s">
        <v>2278</v>
      </c>
      <c r="X3267" s="463" t="s">
        <v>2278</v>
      </c>
      <c r="Y3267" s="463" t="s">
        <v>2278</v>
      </c>
      <c r="Z3267" s="463"/>
      <c r="AA3267" s="463"/>
      <c r="AB3267" s="464">
        <v>0</v>
      </c>
      <c r="AC3267" s="465">
        <v>0</v>
      </c>
      <c r="AD3267" s="465">
        <v>0</v>
      </c>
      <c r="AE3267" s="476">
        <v>0</v>
      </c>
      <c r="AF3267" s="467">
        <v>0</v>
      </c>
      <c r="AG3267" s="468">
        <v>0</v>
      </c>
      <c r="AH3267" s="218">
        <v>0</v>
      </c>
      <c r="AI3267" s="470">
        <v>0</v>
      </c>
      <c r="AJ3267" s="471">
        <v>0</v>
      </c>
      <c r="AK3267" s="218">
        <v>0</v>
      </c>
      <c r="AL3267" s="470">
        <v>0</v>
      </c>
      <c r="AM3267" s="471">
        <v>0</v>
      </c>
      <c r="AN3267" s="477">
        <v>0</v>
      </c>
      <c r="AO3267" s="473">
        <v>0</v>
      </c>
      <c r="AP3267" s="474">
        <v>0</v>
      </c>
      <c r="AQ3267" s="352"/>
      <c r="AR3267" s="352"/>
      <c r="AS3267" s="352"/>
      <c r="AT3267" s="352"/>
      <c r="AU3267" s="352"/>
      <c r="AV3267" s="352"/>
      <c r="AW3267" s="352" t="s">
        <v>254</v>
      </c>
    </row>
    <row r="3268" spans="2:49" x14ac:dyDescent="0.2">
      <c r="B3268" s="460" t="s">
        <v>3322</v>
      </c>
      <c r="C3268" s="460">
        <v>4311</v>
      </c>
      <c r="D3268" s="460" t="s">
        <v>3326</v>
      </c>
      <c r="E3268" s="460" t="s">
        <v>2299</v>
      </c>
      <c r="F3268" s="460">
        <v>2</v>
      </c>
      <c r="G3268" s="460">
        <v>2</v>
      </c>
      <c r="H3268" s="461" t="s">
        <v>750</v>
      </c>
      <c r="I3268" s="461" t="s">
        <v>963</v>
      </c>
      <c r="J3268" s="461" t="s">
        <v>750</v>
      </c>
      <c r="K3268" s="594"/>
      <c r="L3268" s="594"/>
      <c r="M3268" s="352">
        <v>4000</v>
      </c>
      <c r="N3268" s="352" t="s">
        <v>716</v>
      </c>
      <c r="O3268" s="460">
        <v>4311</v>
      </c>
      <c r="P3268" s="460" t="s">
        <v>779</v>
      </c>
      <c r="Q3268" s="460" t="s">
        <v>2440</v>
      </c>
      <c r="R3268" s="460">
        <v>4311</v>
      </c>
      <c r="S3268" s="460" t="s">
        <v>2296</v>
      </c>
      <c r="T3268" s="462">
        <v>0.55517361979372948</v>
      </c>
      <c r="U3268" s="460" t="s">
        <v>2299</v>
      </c>
      <c r="V3268" s="475">
        <v>0</v>
      </c>
      <c r="W3268" s="463" t="s">
        <v>2278</v>
      </c>
      <c r="X3268" s="463" t="s">
        <v>2278</v>
      </c>
      <c r="Y3268" s="463" t="s">
        <v>2278</v>
      </c>
      <c r="Z3268" s="463"/>
      <c r="AA3268" s="463"/>
      <c r="AB3268" s="464">
        <v>0</v>
      </c>
      <c r="AC3268" s="465">
        <v>0</v>
      </c>
      <c r="AD3268" s="465">
        <v>0</v>
      </c>
      <c r="AE3268" s="476">
        <v>0</v>
      </c>
      <c r="AF3268" s="467">
        <v>0</v>
      </c>
      <c r="AG3268" s="468">
        <v>0</v>
      </c>
      <c r="AH3268" s="218">
        <v>0</v>
      </c>
      <c r="AI3268" s="470">
        <v>0</v>
      </c>
      <c r="AJ3268" s="471">
        <v>0</v>
      </c>
      <c r="AK3268" s="218">
        <v>0</v>
      </c>
      <c r="AL3268" s="470">
        <v>0</v>
      </c>
      <c r="AM3268" s="471">
        <v>0</v>
      </c>
      <c r="AN3268" s="477">
        <v>0</v>
      </c>
      <c r="AO3268" s="473">
        <v>0</v>
      </c>
      <c r="AP3268" s="474">
        <v>0</v>
      </c>
      <c r="AQ3268" s="352"/>
      <c r="AR3268" s="352"/>
      <c r="AS3268" s="352"/>
      <c r="AT3268" s="352"/>
      <c r="AU3268" s="352"/>
      <c r="AV3268" s="352"/>
      <c r="AW3268" s="352" t="s">
        <v>254</v>
      </c>
    </row>
    <row r="3269" spans="2:49" x14ac:dyDescent="0.2">
      <c r="B3269" s="460" t="s">
        <v>3323</v>
      </c>
      <c r="C3269" s="460">
        <v>4311</v>
      </c>
      <c r="D3269" s="460" t="s">
        <v>3327</v>
      </c>
      <c r="E3269" s="460" t="s">
        <v>2302</v>
      </c>
      <c r="F3269" s="460">
        <v>3</v>
      </c>
      <c r="G3269" s="460">
        <v>2</v>
      </c>
      <c r="H3269" s="461" t="s">
        <v>750</v>
      </c>
      <c r="I3269" s="461" t="s">
        <v>963</v>
      </c>
      <c r="J3269" s="461" t="s">
        <v>750</v>
      </c>
      <c r="K3269" s="594"/>
      <c r="L3269" s="594"/>
      <c r="M3269" s="352">
        <v>4000</v>
      </c>
      <c r="N3269" s="352" t="s">
        <v>716</v>
      </c>
      <c r="O3269" s="460">
        <v>4311</v>
      </c>
      <c r="P3269" s="460" t="s">
        <v>779</v>
      </c>
      <c r="Q3269" s="460" t="s">
        <v>2440</v>
      </c>
      <c r="R3269" s="460">
        <v>4311</v>
      </c>
      <c r="S3269" s="460" t="s">
        <v>2296</v>
      </c>
      <c r="T3269" s="462">
        <v>0.28481449642268464</v>
      </c>
      <c r="U3269" s="460" t="s">
        <v>2302</v>
      </c>
      <c r="V3269" s="475">
        <v>0</v>
      </c>
      <c r="W3269" s="463" t="s">
        <v>2278</v>
      </c>
      <c r="X3269" s="463" t="s">
        <v>2278</v>
      </c>
      <c r="Y3269" s="463" t="s">
        <v>2278</v>
      </c>
      <c r="Z3269" s="463"/>
      <c r="AA3269" s="463"/>
      <c r="AB3269" s="464">
        <v>0</v>
      </c>
      <c r="AC3269" s="465">
        <v>0</v>
      </c>
      <c r="AD3269" s="465">
        <v>0</v>
      </c>
      <c r="AE3269" s="476">
        <v>0</v>
      </c>
      <c r="AF3269" s="467">
        <v>0</v>
      </c>
      <c r="AG3269" s="468">
        <v>0</v>
      </c>
      <c r="AH3269" s="218">
        <v>0</v>
      </c>
      <c r="AI3269" s="470">
        <v>0</v>
      </c>
      <c r="AJ3269" s="471">
        <v>0</v>
      </c>
      <c r="AK3269" s="218">
        <v>0</v>
      </c>
      <c r="AL3269" s="470">
        <v>0</v>
      </c>
      <c r="AM3269" s="471">
        <v>0</v>
      </c>
      <c r="AN3269" s="477">
        <v>0</v>
      </c>
      <c r="AO3269" s="473">
        <v>0</v>
      </c>
      <c r="AP3269" s="474">
        <v>0</v>
      </c>
      <c r="AQ3269" s="352"/>
      <c r="AR3269" s="352"/>
      <c r="AS3269" s="352"/>
      <c r="AT3269" s="352"/>
      <c r="AU3269" s="352"/>
      <c r="AV3269" s="352"/>
      <c r="AW3269" s="352" t="s">
        <v>254</v>
      </c>
    </row>
    <row r="3270" spans="2:49" x14ac:dyDescent="0.2">
      <c r="B3270" s="460" t="s">
        <v>3324</v>
      </c>
      <c r="C3270" s="460">
        <v>4311</v>
      </c>
      <c r="D3270" s="460" t="s">
        <v>3328</v>
      </c>
      <c r="E3270" s="460" t="s">
        <v>2305</v>
      </c>
      <c r="F3270" s="460">
        <v>4</v>
      </c>
      <c r="G3270" s="460">
        <v>2</v>
      </c>
      <c r="H3270" s="461" t="s">
        <v>750</v>
      </c>
      <c r="I3270" s="461" t="s">
        <v>963</v>
      </c>
      <c r="J3270" s="461" t="s">
        <v>750</v>
      </c>
      <c r="K3270" s="594"/>
      <c r="L3270" s="594"/>
      <c r="M3270" s="352">
        <v>4000</v>
      </c>
      <c r="N3270" s="352" t="s">
        <v>716</v>
      </c>
      <c r="O3270" s="460">
        <v>4311</v>
      </c>
      <c r="P3270" s="460" t="s">
        <v>779</v>
      </c>
      <c r="Q3270" s="460" t="s">
        <v>2440</v>
      </c>
      <c r="R3270" s="460">
        <v>4311</v>
      </c>
      <c r="S3270" s="460" t="s">
        <v>2305</v>
      </c>
      <c r="T3270" s="462">
        <v>1</v>
      </c>
      <c r="U3270" s="460" t="s">
        <v>2305</v>
      </c>
      <c r="V3270" s="475">
        <v>0</v>
      </c>
      <c r="W3270" s="463" t="s">
        <v>2278</v>
      </c>
      <c r="X3270" s="463" t="s">
        <v>2278</v>
      </c>
      <c r="Y3270" s="463" t="s">
        <v>2278</v>
      </c>
      <c r="Z3270" s="463"/>
      <c r="AA3270" s="463"/>
      <c r="AB3270" s="464">
        <v>0</v>
      </c>
      <c r="AC3270" s="465">
        <v>0</v>
      </c>
      <c r="AD3270" s="465">
        <v>0</v>
      </c>
      <c r="AE3270" s="476">
        <v>0</v>
      </c>
      <c r="AF3270" s="467">
        <v>0</v>
      </c>
      <c r="AG3270" s="468">
        <v>0</v>
      </c>
      <c r="AH3270" s="218">
        <v>0</v>
      </c>
      <c r="AI3270" s="470">
        <v>0</v>
      </c>
      <c r="AJ3270" s="471">
        <v>0</v>
      </c>
      <c r="AK3270" s="218">
        <v>0</v>
      </c>
      <c r="AL3270" s="470">
        <v>0</v>
      </c>
      <c r="AM3270" s="471">
        <v>0</v>
      </c>
      <c r="AN3270" s="477">
        <v>0</v>
      </c>
      <c r="AO3270" s="473">
        <v>0</v>
      </c>
      <c r="AP3270" s="474">
        <v>0</v>
      </c>
      <c r="AQ3270" s="352"/>
      <c r="AR3270" s="352"/>
      <c r="AS3270" s="352"/>
      <c r="AT3270" s="352"/>
      <c r="AU3270" s="352"/>
      <c r="AV3270" s="352"/>
      <c r="AW3270" s="352" t="s">
        <v>254</v>
      </c>
    </row>
    <row r="3271" spans="2:49" x14ac:dyDescent="0.2">
      <c r="B3271" s="460" t="s">
        <v>3329</v>
      </c>
      <c r="C3271" s="460">
        <v>4311</v>
      </c>
      <c r="D3271" s="460" t="s">
        <v>2323</v>
      </c>
      <c r="E3271" s="460" t="s">
        <v>2324</v>
      </c>
      <c r="F3271" s="460">
        <v>1</v>
      </c>
      <c r="G3271" s="460">
        <v>3</v>
      </c>
      <c r="H3271" s="461" t="s">
        <v>700</v>
      </c>
      <c r="I3271" s="461" t="s">
        <v>872</v>
      </c>
      <c r="J3271" s="461" t="s">
        <v>700</v>
      </c>
      <c r="K3271" s="594"/>
      <c r="L3271" s="594"/>
      <c r="M3271" s="352">
        <v>4000</v>
      </c>
      <c r="N3271" s="352" t="s">
        <v>716</v>
      </c>
      <c r="O3271" s="460">
        <v>4311</v>
      </c>
      <c r="P3271" s="460" t="s">
        <v>779</v>
      </c>
      <c r="Q3271" s="460" t="s">
        <v>2444</v>
      </c>
      <c r="R3271" s="460">
        <v>4311</v>
      </c>
      <c r="S3271" s="460" t="s">
        <v>2324</v>
      </c>
      <c r="T3271" s="462">
        <v>1</v>
      </c>
      <c r="U3271" s="460" t="s">
        <v>2324</v>
      </c>
      <c r="V3271" s="475">
        <v>0</v>
      </c>
      <c r="W3271" s="463" t="s">
        <v>2503</v>
      </c>
      <c r="X3271" s="463" t="s">
        <v>2503</v>
      </c>
      <c r="Y3271" s="463" t="s">
        <v>2268</v>
      </c>
      <c r="Z3271" s="463"/>
      <c r="AA3271" s="463"/>
      <c r="AB3271" s="464">
        <v>0</v>
      </c>
      <c r="AC3271" s="465">
        <v>0</v>
      </c>
      <c r="AD3271" s="465">
        <v>0</v>
      </c>
      <c r="AE3271" s="476">
        <v>0</v>
      </c>
      <c r="AF3271" s="467">
        <v>0</v>
      </c>
      <c r="AG3271" s="468">
        <v>0</v>
      </c>
      <c r="AH3271" s="218">
        <v>0</v>
      </c>
      <c r="AI3271" s="470">
        <v>0</v>
      </c>
      <c r="AJ3271" s="471">
        <v>0</v>
      </c>
      <c r="AK3271" s="218">
        <v>0</v>
      </c>
      <c r="AL3271" s="470">
        <v>0</v>
      </c>
      <c r="AM3271" s="471">
        <v>0</v>
      </c>
      <c r="AN3271" s="477">
        <v>0</v>
      </c>
      <c r="AO3271" s="473">
        <v>0</v>
      </c>
      <c r="AP3271" s="474">
        <v>0</v>
      </c>
      <c r="AQ3271" s="352"/>
      <c r="AR3271" s="352"/>
      <c r="AS3271" s="352"/>
      <c r="AT3271" s="352"/>
      <c r="AU3271" s="352"/>
      <c r="AV3271" s="352"/>
      <c r="AW3271" s="352" t="s">
        <v>254</v>
      </c>
    </row>
    <row r="3272" spans="2:49" x14ac:dyDescent="0.2">
      <c r="B3272" s="460" t="s">
        <v>3330</v>
      </c>
      <c r="C3272" s="460">
        <v>4311</v>
      </c>
      <c r="D3272" s="460" t="s">
        <v>2326</v>
      </c>
      <c r="E3272" s="460" t="s">
        <v>2327</v>
      </c>
      <c r="F3272" s="460">
        <v>2</v>
      </c>
      <c r="G3272" s="460">
        <v>3</v>
      </c>
      <c r="H3272" s="461" t="s">
        <v>700</v>
      </c>
      <c r="I3272" s="461" t="s">
        <v>872</v>
      </c>
      <c r="J3272" s="461" t="s">
        <v>700</v>
      </c>
      <c r="K3272" s="594"/>
      <c r="L3272" s="594"/>
      <c r="M3272" s="352">
        <v>4000</v>
      </c>
      <c r="N3272" s="352" t="s">
        <v>716</v>
      </c>
      <c r="O3272" s="460">
        <v>4311</v>
      </c>
      <c r="P3272" s="460" t="s">
        <v>779</v>
      </c>
      <c r="Q3272" s="460" t="s">
        <v>2444</v>
      </c>
      <c r="R3272" s="460">
        <v>4311</v>
      </c>
      <c r="S3272" s="460" t="s">
        <v>2324</v>
      </c>
      <c r="T3272" s="462">
        <v>1</v>
      </c>
      <c r="U3272" s="460" t="s">
        <v>2327</v>
      </c>
      <c r="V3272" s="475">
        <v>0</v>
      </c>
      <c r="W3272" s="463" t="s">
        <v>2503</v>
      </c>
      <c r="X3272" s="463" t="s">
        <v>2503</v>
      </c>
      <c r="Y3272" s="463" t="s">
        <v>2268</v>
      </c>
      <c r="Z3272" s="463"/>
      <c r="AA3272" s="463"/>
      <c r="AB3272" s="464">
        <v>0</v>
      </c>
      <c r="AC3272" s="465">
        <v>0</v>
      </c>
      <c r="AD3272" s="465">
        <v>0</v>
      </c>
      <c r="AE3272" s="476">
        <v>0</v>
      </c>
      <c r="AF3272" s="467">
        <v>0</v>
      </c>
      <c r="AG3272" s="468">
        <v>0</v>
      </c>
      <c r="AH3272" s="218">
        <v>0</v>
      </c>
      <c r="AI3272" s="470">
        <v>0</v>
      </c>
      <c r="AJ3272" s="471">
        <v>0</v>
      </c>
      <c r="AK3272" s="218">
        <v>0</v>
      </c>
      <c r="AL3272" s="470">
        <v>0</v>
      </c>
      <c r="AM3272" s="471">
        <v>0</v>
      </c>
      <c r="AN3272" s="477">
        <v>0</v>
      </c>
      <c r="AO3272" s="473">
        <v>0</v>
      </c>
      <c r="AP3272" s="474">
        <v>0</v>
      </c>
      <c r="AQ3272" s="352"/>
      <c r="AR3272" s="352"/>
      <c r="AS3272" s="352"/>
      <c r="AT3272" s="352"/>
      <c r="AU3272" s="352"/>
      <c r="AV3272" s="352"/>
      <c r="AW3272" s="352" t="s">
        <v>254</v>
      </c>
    </row>
    <row r="3273" spans="2:49" x14ac:dyDescent="0.2">
      <c r="B3273" s="460" t="s">
        <v>3331</v>
      </c>
      <c r="C3273" s="460">
        <v>4311</v>
      </c>
      <c r="D3273" s="460" t="s">
        <v>2329</v>
      </c>
      <c r="E3273" s="460" t="s">
        <v>2330</v>
      </c>
      <c r="F3273" s="460">
        <v>3</v>
      </c>
      <c r="G3273" s="460">
        <v>3</v>
      </c>
      <c r="H3273" s="461" t="s">
        <v>700</v>
      </c>
      <c r="I3273" s="461" t="s">
        <v>872</v>
      </c>
      <c r="J3273" s="461" t="s">
        <v>700</v>
      </c>
      <c r="K3273" s="594"/>
      <c r="L3273" s="594"/>
      <c r="M3273" s="352">
        <v>4000</v>
      </c>
      <c r="N3273" s="352" t="s">
        <v>716</v>
      </c>
      <c r="O3273" s="460">
        <v>4311</v>
      </c>
      <c r="P3273" s="460" t="s">
        <v>779</v>
      </c>
      <c r="Q3273" s="460" t="s">
        <v>2444</v>
      </c>
      <c r="R3273" s="460">
        <v>4311</v>
      </c>
      <c r="S3273" s="460" t="s">
        <v>2324</v>
      </c>
      <c r="T3273" s="462">
        <v>1</v>
      </c>
      <c r="U3273" s="460" t="s">
        <v>2330</v>
      </c>
      <c r="V3273" s="475">
        <v>0</v>
      </c>
      <c r="W3273" s="463" t="s">
        <v>2503</v>
      </c>
      <c r="X3273" s="463" t="s">
        <v>2503</v>
      </c>
      <c r="Y3273" s="463" t="s">
        <v>2268</v>
      </c>
      <c r="Z3273" s="463"/>
      <c r="AA3273" s="463"/>
      <c r="AB3273" s="464">
        <v>0</v>
      </c>
      <c r="AC3273" s="465">
        <v>0</v>
      </c>
      <c r="AD3273" s="465">
        <v>0</v>
      </c>
      <c r="AE3273" s="476">
        <v>0</v>
      </c>
      <c r="AF3273" s="467">
        <v>0</v>
      </c>
      <c r="AG3273" s="468">
        <v>0</v>
      </c>
      <c r="AH3273" s="218">
        <v>0</v>
      </c>
      <c r="AI3273" s="470">
        <v>0</v>
      </c>
      <c r="AJ3273" s="471">
        <v>0</v>
      </c>
      <c r="AK3273" s="218">
        <v>0</v>
      </c>
      <c r="AL3273" s="470">
        <v>0</v>
      </c>
      <c r="AM3273" s="471">
        <v>0</v>
      </c>
      <c r="AN3273" s="477">
        <v>0</v>
      </c>
      <c r="AO3273" s="473">
        <v>0</v>
      </c>
      <c r="AP3273" s="474">
        <v>0</v>
      </c>
      <c r="AQ3273" s="352"/>
      <c r="AR3273" s="352"/>
      <c r="AS3273" s="352"/>
      <c r="AT3273" s="352"/>
      <c r="AU3273" s="352"/>
      <c r="AV3273" s="352"/>
      <c r="AW3273" s="352" t="s">
        <v>254</v>
      </c>
    </row>
    <row r="3274" spans="2:49" x14ac:dyDescent="0.2">
      <c r="B3274" s="460" t="s">
        <v>3332</v>
      </c>
      <c r="C3274" s="460">
        <v>4311</v>
      </c>
      <c r="D3274" s="460" t="s">
        <v>2332</v>
      </c>
      <c r="E3274" s="460" t="s">
        <v>2333</v>
      </c>
      <c r="F3274" s="460">
        <v>4</v>
      </c>
      <c r="G3274" s="460">
        <v>3</v>
      </c>
      <c r="H3274" s="461" t="s">
        <v>700</v>
      </c>
      <c r="I3274" s="461" t="s">
        <v>872</v>
      </c>
      <c r="J3274" s="461" t="s">
        <v>700</v>
      </c>
      <c r="K3274" s="594"/>
      <c r="L3274" s="594"/>
      <c r="M3274" s="352">
        <v>4000</v>
      </c>
      <c r="N3274" s="352" t="s">
        <v>716</v>
      </c>
      <c r="O3274" s="460">
        <v>4311</v>
      </c>
      <c r="P3274" s="460" t="s">
        <v>779</v>
      </c>
      <c r="Q3274" s="460" t="s">
        <v>2444</v>
      </c>
      <c r="R3274" s="460">
        <v>4311</v>
      </c>
      <c r="S3274" s="460" t="s">
        <v>2333</v>
      </c>
      <c r="T3274" s="462">
        <v>1</v>
      </c>
      <c r="U3274" s="460" t="s">
        <v>2333</v>
      </c>
      <c r="V3274" s="475">
        <v>0</v>
      </c>
      <c r="W3274" s="463" t="s">
        <v>2503</v>
      </c>
      <c r="X3274" s="463" t="s">
        <v>2503</v>
      </c>
      <c r="Y3274" s="463" t="s">
        <v>2268</v>
      </c>
      <c r="Z3274" s="463"/>
      <c r="AA3274" s="463"/>
      <c r="AB3274" s="464">
        <v>0</v>
      </c>
      <c r="AC3274" s="465">
        <v>0</v>
      </c>
      <c r="AD3274" s="465">
        <v>0</v>
      </c>
      <c r="AE3274" s="476">
        <v>0</v>
      </c>
      <c r="AF3274" s="467">
        <v>0</v>
      </c>
      <c r="AG3274" s="468">
        <v>0</v>
      </c>
      <c r="AH3274" s="218">
        <v>0</v>
      </c>
      <c r="AI3274" s="470">
        <v>0</v>
      </c>
      <c r="AJ3274" s="471">
        <v>0</v>
      </c>
      <c r="AK3274" s="218">
        <v>0</v>
      </c>
      <c r="AL3274" s="470">
        <v>0</v>
      </c>
      <c r="AM3274" s="471">
        <v>0</v>
      </c>
      <c r="AN3274" s="477">
        <v>0</v>
      </c>
      <c r="AO3274" s="473">
        <v>0</v>
      </c>
      <c r="AP3274" s="474">
        <v>0</v>
      </c>
      <c r="AQ3274" s="352"/>
      <c r="AR3274" s="352"/>
      <c r="AS3274" s="352"/>
      <c r="AT3274" s="352"/>
      <c r="AU3274" s="352"/>
      <c r="AV3274" s="352"/>
      <c r="AW3274" s="352" t="s">
        <v>254</v>
      </c>
    </row>
    <row r="3275" spans="2:49" x14ac:dyDescent="0.2">
      <c r="B3275" s="460" t="s">
        <v>3329</v>
      </c>
      <c r="C3275" s="460">
        <v>4311</v>
      </c>
      <c r="D3275" s="460" t="s">
        <v>2334</v>
      </c>
      <c r="E3275" s="460" t="s">
        <v>2324</v>
      </c>
      <c r="F3275" s="460">
        <v>1</v>
      </c>
      <c r="G3275" s="460">
        <v>3</v>
      </c>
      <c r="H3275" s="461" t="s">
        <v>712</v>
      </c>
      <c r="I3275" s="461" t="s">
        <v>713</v>
      </c>
      <c r="J3275" s="461" t="s">
        <v>712</v>
      </c>
      <c r="K3275" s="594"/>
      <c r="L3275" s="594"/>
      <c r="M3275" s="352">
        <v>4000</v>
      </c>
      <c r="N3275" s="352" t="s">
        <v>716</v>
      </c>
      <c r="O3275" s="460">
        <v>4311</v>
      </c>
      <c r="P3275" s="460" t="s">
        <v>779</v>
      </c>
      <c r="Q3275" s="460" t="s">
        <v>2280</v>
      </c>
      <c r="R3275" s="460">
        <v>4311</v>
      </c>
      <c r="S3275" s="460" t="s">
        <v>2324</v>
      </c>
      <c r="T3275" s="462">
        <v>1</v>
      </c>
      <c r="U3275" s="460" t="s">
        <v>2324</v>
      </c>
      <c r="V3275" s="475">
        <v>0</v>
      </c>
      <c r="W3275" s="463" t="s">
        <v>713</v>
      </c>
      <c r="X3275" s="463" t="s">
        <v>713</v>
      </c>
      <c r="Y3275" s="463" t="s">
        <v>713</v>
      </c>
      <c r="Z3275" s="463"/>
      <c r="AA3275" s="463"/>
      <c r="AB3275" s="464">
        <v>2687.0364099617223</v>
      </c>
      <c r="AC3275" s="465">
        <v>0.43598978803621352</v>
      </c>
      <c r="AD3275" s="465">
        <v>6.709250713216334E-3</v>
      </c>
      <c r="AE3275" s="476">
        <v>2687.0364099617223</v>
      </c>
      <c r="AF3275" s="467">
        <v>0.43598978803621358</v>
      </c>
      <c r="AG3275" s="468">
        <v>6.5818331249420407E-3</v>
      </c>
      <c r="AH3275" s="218">
        <v>2687.0364099617223</v>
      </c>
      <c r="AI3275" s="470">
        <v>0.43598978803621358</v>
      </c>
      <c r="AJ3275" s="471">
        <v>6.6657399708922134E-3</v>
      </c>
      <c r="AK3275" s="218">
        <v>2687.0364099617223</v>
      </c>
      <c r="AL3275" s="470">
        <v>0.43598978803621358</v>
      </c>
      <c r="AM3275" s="471">
        <v>6.6657399708922134E-3</v>
      </c>
      <c r="AN3275" s="477">
        <v>2687.0364099617223</v>
      </c>
      <c r="AO3275" s="473">
        <v>0.43598978803621358</v>
      </c>
      <c r="AP3275" s="474">
        <v>6.6624960698599247E-3</v>
      </c>
      <c r="AQ3275" s="352"/>
      <c r="AR3275" s="352"/>
      <c r="AS3275" s="352"/>
      <c r="AT3275" s="352"/>
      <c r="AU3275" s="352"/>
      <c r="AV3275" s="352"/>
      <c r="AW3275" s="352" t="s">
        <v>254</v>
      </c>
    </row>
    <row r="3276" spans="2:49" x14ac:dyDescent="0.2">
      <c r="B3276" s="460" t="s">
        <v>3330</v>
      </c>
      <c r="C3276" s="460">
        <v>4311</v>
      </c>
      <c r="D3276" s="460" t="s">
        <v>2335</v>
      </c>
      <c r="E3276" s="460" t="s">
        <v>2327</v>
      </c>
      <c r="F3276" s="460">
        <v>2</v>
      </c>
      <c r="G3276" s="460">
        <v>3</v>
      </c>
      <c r="H3276" s="461" t="s">
        <v>712</v>
      </c>
      <c r="I3276" s="461" t="s">
        <v>713</v>
      </c>
      <c r="J3276" s="461" t="s">
        <v>712</v>
      </c>
      <c r="K3276" s="594"/>
      <c r="L3276" s="594"/>
      <c r="M3276" s="352">
        <v>4000</v>
      </c>
      <c r="N3276" s="352" t="s">
        <v>716</v>
      </c>
      <c r="O3276" s="460">
        <v>4311</v>
      </c>
      <c r="P3276" s="460" t="s">
        <v>779</v>
      </c>
      <c r="Q3276" s="460" t="s">
        <v>2280</v>
      </c>
      <c r="R3276" s="460">
        <v>4311</v>
      </c>
      <c r="S3276" s="460" t="s">
        <v>2324</v>
      </c>
      <c r="T3276" s="462">
        <v>1</v>
      </c>
      <c r="U3276" s="460" t="s">
        <v>2327</v>
      </c>
      <c r="V3276" s="475">
        <v>0</v>
      </c>
      <c r="W3276" s="463" t="s">
        <v>713</v>
      </c>
      <c r="X3276" s="463" t="s">
        <v>713</v>
      </c>
      <c r="Y3276" s="463" t="s">
        <v>713</v>
      </c>
      <c r="Z3276" s="463"/>
      <c r="AA3276" s="463"/>
      <c r="AB3276" s="464">
        <v>3586.8523223319085</v>
      </c>
      <c r="AC3276" s="465">
        <v>0.80502252993717216</v>
      </c>
      <c r="AD3276" s="465">
        <v>1.1487247844701119E-2</v>
      </c>
      <c r="AE3276" s="476">
        <v>3586.8523223319089</v>
      </c>
      <c r="AF3276" s="467">
        <v>0.80502252993717227</v>
      </c>
      <c r="AG3276" s="468">
        <v>1.129924628934807E-2</v>
      </c>
      <c r="AH3276" s="218">
        <v>3586.8523223319089</v>
      </c>
      <c r="AI3276" s="470">
        <v>0.80502252993717227</v>
      </c>
      <c r="AJ3276" s="471">
        <v>1.1750811847090566E-2</v>
      </c>
      <c r="AK3276" s="218">
        <v>3586.8523223319089</v>
      </c>
      <c r="AL3276" s="470">
        <v>0.80502252993717227</v>
      </c>
      <c r="AM3276" s="471">
        <v>1.1750811847090566E-2</v>
      </c>
      <c r="AN3276" s="477">
        <v>3586.8523223319089</v>
      </c>
      <c r="AO3276" s="473">
        <v>0.80502252993717227</v>
      </c>
      <c r="AP3276" s="474">
        <v>1.1746204778791729E-2</v>
      </c>
      <c r="AQ3276" s="352"/>
      <c r="AR3276" s="352"/>
      <c r="AS3276" s="352"/>
      <c r="AT3276" s="352"/>
      <c r="AU3276" s="352"/>
      <c r="AV3276" s="352"/>
      <c r="AW3276" s="352" t="s">
        <v>254</v>
      </c>
    </row>
    <row r="3277" spans="2:49" x14ac:dyDescent="0.2">
      <c r="B3277" s="460" t="s">
        <v>3331</v>
      </c>
      <c r="C3277" s="460">
        <v>4311</v>
      </c>
      <c r="D3277" s="460" t="s">
        <v>2336</v>
      </c>
      <c r="E3277" s="460" t="s">
        <v>2330</v>
      </c>
      <c r="F3277" s="460">
        <v>3</v>
      </c>
      <c r="G3277" s="460">
        <v>3</v>
      </c>
      <c r="H3277" s="461" t="s">
        <v>712</v>
      </c>
      <c r="I3277" s="461" t="s">
        <v>713</v>
      </c>
      <c r="J3277" s="461" t="s">
        <v>712</v>
      </c>
      <c r="K3277" s="594"/>
      <c r="L3277" s="594"/>
      <c r="M3277" s="352">
        <v>4000</v>
      </c>
      <c r="N3277" s="352" t="s">
        <v>716</v>
      </c>
      <c r="O3277" s="460">
        <v>4311</v>
      </c>
      <c r="P3277" s="460" t="s">
        <v>779</v>
      </c>
      <c r="Q3277" s="460" t="s">
        <v>2280</v>
      </c>
      <c r="R3277" s="460">
        <v>4311</v>
      </c>
      <c r="S3277" s="460" t="s">
        <v>2324</v>
      </c>
      <c r="T3277" s="462">
        <v>1</v>
      </c>
      <c r="U3277" s="460" t="s">
        <v>2330</v>
      </c>
      <c r="V3277" s="475">
        <v>0</v>
      </c>
      <c r="W3277" s="463" t="s">
        <v>713</v>
      </c>
      <c r="X3277" s="463" t="s">
        <v>713</v>
      </c>
      <c r="Y3277" s="463" t="s">
        <v>713</v>
      </c>
      <c r="Z3277" s="463"/>
      <c r="AA3277" s="463"/>
      <c r="AB3277" s="464">
        <v>925.73318480516321</v>
      </c>
      <c r="AC3277" s="465">
        <v>0.98344540175499384</v>
      </c>
      <c r="AD3277" s="465">
        <v>8.1966851383812791E-3</v>
      </c>
      <c r="AE3277" s="476">
        <v>925.73318480516332</v>
      </c>
      <c r="AF3277" s="467">
        <v>0.98344540175499395</v>
      </c>
      <c r="AG3277" s="468">
        <v>8.0699841439560421E-3</v>
      </c>
      <c r="AH3277" s="218">
        <v>925.73318480516332</v>
      </c>
      <c r="AI3277" s="470">
        <v>0.98344540175499395</v>
      </c>
      <c r="AJ3277" s="471">
        <v>8.3781065626111536E-3</v>
      </c>
      <c r="AK3277" s="218">
        <v>925.73318480516332</v>
      </c>
      <c r="AL3277" s="470">
        <v>0.98344540175499395</v>
      </c>
      <c r="AM3277" s="471">
        <v>8.3781065626111536E-3</v>
      </c>
      <c r="AN3277" s="477">
        <v>925.73318480516332</v>
      </c>
      <c r="AO3277" s="473">
        <v>0.98344540175499395</v>
      </c>
      <c r="AP3277" s="474">
        <v>8.3997313809335387E-3</v>
      </c>
      <c r="AQ3277" s="352"/>
      <c r="AR3277" s="352"/>
      <c r="AS3277" s="352"/>
      <c r="AT3277" s="352"/>
      <c r="AU3277" s="352"/>
      <c r="AV3277" s="352"/>
      <c r="AW3277" s="352" t="s">
        <v>254</v>
      </c>
    </row>
    <row r="3278" spans="2:49" x14ac:dyDescent="0.2">
      <c r="B3278" s="460" t="s">
        <v>3332</v>
      </c>
      <c r="C3278" s="460">
        <v>4311</v>
      </c>
      <c r="D3278" s="460" t="s">
        <v>2337</v>
      </c>
      <c r="E3278" s="460" t="s">
        <v>2333</v>
      </c>
      <c r="F3278" s="460">
        <v>4</v>
      </c>
      <c r="G3278" s="460">
        <v>3</v>
      </c>
      <c r="H3278" s="461" t="s">
        <v>712</v>
      </c>
      <c r="I3278" s="461" t="s">
        <v>713</v>
      </c>
      <c r="J3278" s="461" t="s">
        <v>712</v>
      </c>
      <c r="K3278" s="594"/>
      <c r="L3278" s="594"/>
      <c r="M3278" s="352">
        <v>4000</v>
      </c>
      <c r="N3278" s="352" t="s">
        <v>716</v>
      </c>
      <c r="O3278" s="460">
        <v>4311</v>
      </c>
      <c r="P3278" s="460" t="s">
        <v>779</v>
      </c>
      <c r="Q3278" s="460" t="s">
        <v>2280</v>
      </c>
      <c r="R3278" s="460">
        <v>4311</v>
      </c>
      <c r="S3278" s="460" t="s">
        <v>2333</v>
      </c>
      <c r="T3278" s="462">
        <v>1</v>
      </c>
      <c r="U3278" s="460" t="s">
        <v>2333</v>
      </c>
      <c r="V3278" s="475">
        <v>0</v>
      </c>
      <c r="W3278" s="463" t="s">
        <v>713</v>
      </c>
      <c r="X3278" s="463" t="s">
        <v>713</v>
      </c>
      <c r="Y3278" s="463" t="s">
        <v>713</v>
      </c>
      <c r="Z3278" s="463"/>
      <c r="AA3278" s="463"/>
      <c r="AB3278" s="464">
        <v>1905.6736237621285</v>
      </c>
      <c r="AC3278" s="465">
        <v>0.86390772729915011</v>
      </c>
      <c r="AD3278" s="465">
        <v>1.4487827760300376E-2</v>
      </c>
      <c r="AE3278" s="476">
        <v>1905.6736237621283</v>
      </c>
      <c r="AF3278" s="467">
        <v>0.86390772729915</v>
      </c>
      <c r="AG3278" s="468">
        <v>1.4339410306619074E-2</v>
      </c>
      <c r="AH3278" s="218">
        <v>1905.6736237621283</v>
      </c>
      <c r="AI3278" s="470">
        <v>0.86390772729915</v>
      </c>
      <c r="AJ3278" s="471">
        <v>1.4385094702645708E-2</v>
      </c>
      <c r="AK3278" s="218">
        <v>1905.6736237621283</v>
      </c>
      <c r="AL3278" s="470">
        <v>0.86390772729915</v>
      </c>
      <c r="AM3278" s="471">
        <v>1.4385094702645708E-2</v>
      </c>
      <c r="AN3278" s="477">
        <v>1905.6736237621283</v>
      </c>
      <c r="AO3278" s="473">
        <v>0.86390772729915</v>
      </c>
      <c r="AP3278" s="474">
        <v>1.4389666051672082E-2</v>
      </c>
      <c r="AQ3278" s="352"/>
      <c r="AR3278" s="352"/>
      <c r="AS3278" s="352"/>
      <c r="AT3278" s="352"/>
      <c r="AU3278" s="352"/>
      <c r="AV3278" s="352"/>
      <c r="AW3278" s="352" t="s">
        <v>254</v>
      </c>
    </row>
    <row r="3279" spans="2:49" x14ac:dyDescent="0.2">
      <c r="B3279" s="460" t="s">
        <v>3329</v>
      </c>
      <c r="C3279" s="460">
        <v>4311</v>
      </c>
      <c r="D3279" s="460" t="s">
        <v>2338</v>
      </c>
      <c r="E3279" s="460" t="s">
        <v>2324</v>
      </c>
      <c r="F3279" s="460">
        <v>1</v>
      </c>
      <c r="G3279" s="460">
        <v>3</v>
      </c>
      <c r="H3279" s="461" t="s">
        <v>746</v>
      </c>
      <c r="I3279" s="461" t="s">
        <v>762</v>
      </c>
      <c r="J3279" s="461" t="s">
        <v>700</v>
      </c>
      <c r="K3279" s="594"/>
      <c r="L3279" s="594"/>
      <c r="M3279" s="352">
        <v>4000</v>
      </c>
      <c r="N3279" s="352" t="s">
        <v>716</v>
      </c>
      <c r="O3279" s="460">
        <v>4311</v>
      </c>
      <c r="P3279" s="460" t="s">
        <v>779</v>
      </c>
      <c r="Q3279" s="460" t="s">
        <v>2444</v>
      </c>
      <c r="R3279" s="460">
        <v>4311</v>
      </c>
      <c r="S3279" s="460" t="s">
        <v>2324</v>
      </c>
      <c r="T3279" s="462">
        <v>1</v>
      </c>
      <c r="U3279" s="460" t="s">
        <v>2324</v>
      </c>
      <c r="V3279" s="475">
        <v>0</v>
      </c>
      <c r="W3279" s="463" t="s">
        <v>2268</v>
      </c>
      <c r="X3279" s="463" t="s">
        <v>2268</v>
      </c>
      <c r="Y3279" s="463" t="s">
        <v>2554</v>
      </c>
      <c r="Z3279" s="463"/>
      <c r="AA3279" s="463"/>
      <c r="AB3279" s="464">
        <v>0</v>
      </c>
      <c r="AC3279" s="465">
        <v>0</v>
      </c>
      <c r="AD3279" s="465">
        <v>0</v>
      </c>
      <c r="AE3279" s="476">
        <v>0</v>
      </c>
      <c r="AF3279" s="467">
        <v>0</v>
      </c>
      <c r="AG3279" s="468">
        <v>0</v>
      </c>
      <c r="AH3279" s="218">
        <v>0</v>
      </c>
      <c r="AI3279" s="470">
        <v>0</v>
      </c>
      <c r="AJ3279" s="471">
        <v>0</v>
      </c>
      <c r="AK3279" s="218">
        <v>0</v>
      </c>
      <c r="AL3279" s="470">
        <v>0</v>
      </c>
      <c r="AM3279" s="471">
        <v>0</v>
      </c>
      <c r="AN3279" s="477">
        <v>0</v>
      </c>
      <c r="AO3279" s="473">
        <v>0</v>
      </c>
      <c r="AP3279" s="474">
        <v>0</v>
      </c>
      <c r="AQ3279" s="352"/>
      <c r="AR3279" s="352"/>
      <c r="AS3279" s="352"/>
      <c r="AT3279" s="352"/>
      <c r="AU3279" s="352"/>
      <c r="AV3279" s="352"/>
      <c r="AW3279" s="352" t="s">
        <v>254</v>
      </c>
    </row>
    <row r="3280" spans="2:49" x14ac:dyDescent="0.2">
      <c r="B3280" s="460" t="s">
        <v>3330</v>
      </c>
      <c r="C3280" s="460">
        <v>4311</v>
      </c>
      <c r="D3280" s="460" t="s">
        <v>2339</v>
      </c>
      <c r="E3280" s="460" t="s">
        <v>2327</v>
      </c>
      <c r="F3280" s="460">
        <v>2</v>
      </c>
      <c r="G3280" s="460">
        <v>3</v>
      </c>
      <c r="H3280" s="461" t="s">
        <v>746</v>
      </c>
      <c r="I3280" s="461" t="s">
        <v>762</v>
      </c>
      <c r="J3280" s="461" t="s">
        <v>700</v>
      </c>
      <c r="K3280" s="594"/>
      <c r="L3280" s="594"/>
      <c r="M3280" s="352">
        <v>4000</v>
      </c>
      <c r="N3280" s="352" t="s">
        <v>716</v>
      </c>
      <c r="O3280" s="460">
        <v>4311</v>
      </c>
      <c r="P3280" s="460" t="s">
        <v>779</v>
      </c>
      <c r="Q3280" s="460" t="s">
        <v>2444</v>
      </c>
      <c r="R3280" s="460">
        <v>4311</v>
      </c>
      <c r="S3280" s="460" t="s">
        <v>2324</v>
      </c>
      <c r="T3280" s="462">
        <v>1</v>
      </c>
      <c r="U3280" s="460" t="s">
        <v>2327</v>
      </c>
      <c r="V3280" s="475">
        <v>0</v>
      </c>
      <c r="W3280" s="463" t="s">
        <v>2268</v>
      </c>
      <c r="X3280" s="463" t="s">
        <v>2268</v>
      </c>
      <c r="Y3280" s="463" t="s">
        <v>2554</v>
      </c>
      <c r="Z3280" s="463"/>
      <c r="AA3280" s="463"/>
      <c r="AB3280" s="464">
        <v>0</v>
      </c>
      <c r="AC3280" s="465">
        <v>0</v>
      </c>
      <c r="AD3280" s="465">
        <v>0</v>
      </c>
      <c r="AE3280" s="476">
        <v>0</v>
      </c>
      <c r="AF3280" s="467">
        <v>0</v>
      </c>
      <c r="AG3280" s="468">
        <v>0</v>
      </c>
      <c r="AH3280" s="218">
        <v>0</v>
      </c>
      <c r="AI3280" s="470">
        <v>0</v>
      </c>
      <c r="AJ3280" s="471">
        <v>0</v>
      </c>
      <c r="AK3280" s="218">
        <v>0</v>
      </c>
      <c r="AL3280" s="470">
        <v>0</v>
      </c>
      <c r="AM3280" s="471">
        <v>0</v>
      </c>
      <c r="AN3280" s="477">
        <v>0</v>
      </c>
      <c r="AO3280" s="473">
        <v>0</v>
      </c>
      <c r="AP3280" s="474">
        <v>0</v>
      </c>
      <c r="AQ3280" s="352"/>
      <c r="AR3280" s="352"/>
      <c r="AS3280" s="352"/>
      <c r="AT3280" s="352"/>
      <c r="AU3280" s="352"/>
      <c r="AV3280" s="352"/>
      <c r="AW3280" s="352" t="s">
        <v>254</v>
      </c>
    </row>
    <row r="3281" spans="2:49" x14ac:dyDescent="0.2">
      <c r="B3281" s="460" t="s">
        <v>3331</v>
      </c>
      <c r="C3281" s="460">
        <v>4311</v>
      </c>
      <c r="D3281" s="460" t="s">
        <v>2340</v>
      </c>
      <c r="E3281" s="460" t="s">
        <v>2330</v>
      </c>
      <c r="F3281" s="460">
        <v>3</v>
      </c>
      <c r="G3281" s="460">
        <v>3</v>
      </c>
      <c r="H3281" s="461" t="s">
        <v>746</v>
      </c>
      <c r="I3281" s="461" t="s">
        <v>762</v>
      </c>
      <c r="J3281" s="461" t="s">
        <v>700</v>
      </c>
      <c r="K3281" s="594"/>
      <c r="L3281" s="594"/>
      <c r="M3281" s="352">
        <v>4000</v>
      </c>
      <c r="N3281" s="352" t="s">
        <v>716</v>
      </c>
      <c r="O3281" s="460">
        <v>4311</v>
      </c>
      <c r="P3281" s="460" t="s">
        <v>779</v>
      </c>
      <c r="Q3281" s="460" t="s">
        <v>2444</v>
      </c>
      <c r="R3281" s="460">
        <v>4311</v>
      </c>
      <c r="S3281" s="460" t="s">
        <v>2324</v>
      </c>
      <c r="T3281" s="462">
        <v>1</v>
      </c>
      <c r="U3281" s="460" t="s">
        <v>2330</v>
      </c>
      <c r="V3281" s="475">
        <v>0</v>
      </c>
      <c r="W3281" s="463" t="s">
        <v>2268</v>
      </c>
      <c r="X3281" s="463" t="s">
        <v>2268</v>
      </c>
      <c r="Y3281" s="463" t="s">
        <v>2554</v>
      </c>
      <c r="Z3281" s="463"/>
      <c r="AA3281" s="463"/>
      <c r="AB3281" s="464">
        <v>0</v>
      </c>
      <c r="AC3281" s="465">
        <v>0</v>
      </c>
      <c r="AD3281" s="465">
        <v>0</v>
      </c>
      <c r="AE3281" s="476">
        <v>0</v>
      </c>
      <c r="AF3281" s="467">
        <v>0</v>
      </c>
      <c r="AG3281" s="468">
        <v>0</v>
      </c>
      <c r="AH3281" s="218">
        <v>0</v>
      </c>
      <c r="AI3281" s="470">
        <v>0</v>
      </c>
      <c r="AJ3281" s="471">
        <v>0</v>
      </c>
      <c r="AK3281" s="218">
        <v>0</v>
      </c>
      <c r="AL3281" s="470">
        <v>0</v>
      </c>
      <c r="AM3281" s="471">
        <v>0</v>
      </c>
      <c r="AN3281" s="477">
        <v>0</v>
      </c>
      <c r="AO3281" s="473">
        <v>0</v>
      </c>
      <c r="AP3281" s="474">
        <v>0</v>
      </c>
      <c r="AQ3281" s="352"/>
      <c r="AR3281" s="352"/>
      <c r="AS3281" s="352"/>
      <c r="AT3281" s="352"/>
      <c r="AU3281" s="352"/>
      <c r="AV3281" s="352"/>
      <c r="AW3281" s="352" t="s">
        <v>254</v>
      </c>
    </row>
    <row r="3282" spans="2:49" x14ac:dyDescent="0.2">
      <c r="B3282" s="460" t="s">
        <v>3332</v>
      </c>
      <c r="C3282" s="460">
        <v>4311</v>
      </c>
      <c r="D3282" s="460" t="s">
        <v>2341</v>
      </c>
      <c r="E3282" s="460" t="s">
        <v>2333</v>
      </c>
      <c r="F3282" s="460">
        <v>4</v>
      </c>
      <c r="G3282" s="460">
        <v>3</v>
      </c>
      <c r="H3282" s="461" t="s">
        <v>746</v>
      </c>
      <c r="I3282" s="461" t="s">
        <v>762</v>
      </c>
      <c r="J3282" s="461" t="s">
        <v>700</v>
      </c>
      <c r="K3282" s="594"/>
      <c r="L3282" s="594"/>
      <c r="M3282" s="352">
        <v>4000</v>
      </c>
      <c r="N3282" s="352" t="s">
        <v>716</v>
      </c>
      <c r="O3282" s="460">
        <v>4311</v>
      </c>
      <c r="P3282" s="460" t="s">
        <v>779</v>
      </c>
      <c r="Q3282" s="460" t="s">
        <v>2444</v>
      </c>
      <c r="R3282" s="460">
        <v>4311</v>
      </c>
      <c r="S3282" s="460" t="s">
        <v>2333</v>
      </c>
      <c r="T3282" s="462">
        <v>1</v>
      </c>
      <c r="U3282" s="460" t="s">
        <v>2333</v>
      </c>
      <c r="V3282" s="475">
        <v>0</v>
      </c>
      <c r="W3282" s="463" t="s">
        <v>2268</v>
      </c>
      <c r="X3282" s="463" t="s">
        <v>2268</v>
      </c>
      <c r="Y3282" s="463" t="s">
        <v>2554</v>
      </c>
      <c r="Z3282" s="463"/>
      <c r="AA3282" s="463"/>
      <c r="AB3282" s="464">
        <v>0</v>
      </c>
      <c r="AC3282" s="465">
        <v>0</v>
      </c>
      <c r="AD3282" s="465">
        <v>0</v>
      </c>
      <c r="AE3282" s="476">
        <v>0</v>
      </c>
      <c r="AF3282" s="467">
        <v>0</v>
      </c>
      <c r="AG3282" s="468">
        <v>0</v>
      </c>
      <c r="AH3282" s="218">
        <v>0</v>
      </c>
      <c r="AI3282" s="470">
        <v>0</v>
      </c>
      <c r="AJ3282" s="471">
        <v>0</v>
      </c>
      <c r="AK3282" s="218">
        <v>0</v>
      </c>
      <c r="AL3282" s="470">
        <v>0</v>
      </c>
      <c r="AM3282" s="471">
        <v>0</v>
      </c>
      <c r="AN3282" s="477">
        <v>0</v>
      </c>
      <c r="AO3282" s="473">
        <v>0</v>
      </c>
      <c r="AP3282" s="474">
        <v>0</v>
      </c>
      <c r="AQ3282" s="352"/>
      <c r="AR3282" s="352"/>
      <c r="AS3282" s="352"/>
      <c r="AT3282" s="352"/>
      <c r="AU3282" s="352"/>
      <c r="AV3282" s="352"/>
      <c r="AW3282" s="352" t="s">
        <v>254</v>
      </c>
    </row>
    <row r="3283" spans="2:49" x14ac:dyDescent="0.2">
      <c r="B3283" s="460" t="s">
        <v>3329</v>
      </c>
      <c r="C3283" s="460">
        <v>4311</v>
      </c>
      <c r="D3283" s="460" t="s">
        <v>2342</v>
      </c>
      <c r="E3283" s="460" t="s">
        <v>2324</v>
      </c>
      <c r="F3283" s="460">
        <v>1</v>
      </c>
      <c r="G3283" s="460">
        <v>3</v>
      </c>
      <c r="H3283" s="461" t="s">
        <v>748</v>
      </c>
      <c r="I3283" s="461" t="s">
        <v>765</v>
      </c>
      <c r="J3283" s="461" t="s">
        <v>700</v>
      </c>
      <c r="K3283" s="594"/>
      <c r="L3283" s="594"/>
      <c r="M3283" s="352">
        <v>4000</v>
      </c>
      <c r="N3283" s="352" t="s">
        <v>716</v>
      </c>
      <c r="O3283" s="460">
        <v>4311</v>
      </c>
      <c r="P3283" s="460" t="s">
        <v>779</v>
      </c>
      <c r="Q3283" s="460" t="s">
        <v>2444</v>
      </c>
      <c r="R3283" s="460">
        <v>4311</v>
      </c>
      <c r="S3283" s="460" t="s">
        <v>2324</v>
      </c>
      <c r="T3283" s="462">
        <v>1</v>
      </c>
      <c r="U3283" s="460" t="s">
        <v>2324</v>
      </c>
      <c r="V3283" s="475">
        <v>0</v>
      </c>
      <c r="W3283" s="463" t="s">
        <v>2268</v>
      </c>
      <c r="X3283" s="463" t="s">
        <v>2268</v>
      </c>
      <c r="Y3283" s="463" t="s">
        <v>2554</v>
      </c>
      <c r="Z3283" s="463"/>
      <c r="AA3283" s="463"/>
      <c r="AB3283" s="464">
        <v>0</v>
      </c>
      <c r="AC3283" s="465">
        <v>0</v>
      </c>
      <c r="AD3283" s="465">
        <v>0</v>
      </c>
      <c r="AE3283" s="476">
        <v>0</v>
      </c>
      <c r="AF3283" s="467">
        <v>0</v>
      </c>
      <c r="AG3283" s="468">
        <v>0</v>
      </c>
      <c r="AH3283" s="218">
        <v>0</v>
      </c>
      <c r="AI3283" s="470">
        <v>0</v>
      </c>
      <c r="AJ3283" s="471">
        <v>0</v>
      </c>
      <c r="AK3283" s="218">
        <v>0</v>
      </c>
      <c r="AL3283" s="470">
        <v>0</v>
      </c>
      <c r="AM3283" s="471">
        <v>0</v>
      </c>
      <c r="AN3283" s="477">
        <v>0</v>
      </c>
      <c r="AO3283" s="473">
        <v>0</v>
      </c>
      <c r="AP3283" s="474">
        <v>0</v>
      </c>
      <c r="AQ3283" s="352"/>
      <c r="AR3283" s="352"/>
      <c r="AS3283" s="352"/>
      <c r="AT3283" s="352"/>
      <c r="AU3283" s="352"/>
      <c r="AV3283" s="352"/>
      <c r="AW3283" s="352" t="s">
        <v>254</v>
      </c>
    </row>
    <row r="3284" spans="2:49" x14ac:dyDescent="0.2">
      <c r="B3284" s="460" t="s">
        <v>3330</v>
      </c>
      <c r="C3284" s="460">
        <v>4311</v>
      </c>
      <c r="D3284" s="460" t="s">
        <v>2343</v>
      </c>
      <c r="E3284" s="460" t="s">
        <v>2327</v>
      </c>
      <c r="F3284" s="460">
        <v>2</v>
      </c>
      <c r="G3284" s="460">
        <v>3</v>
      </c>
      <c r="H3284" s="461" t="s">
        <v>748</v>
      </c>
      <c r="I3284" s="461" t="s">
        <v>765</v>
      </c>
      <c r="J3284" s="461" t="s">
        <v>700</v>
      </c>
      <c r="K3284" s="594"/>
      <c r="L3284" s="594"/>
      <c r="M3284" s="352">
        <v>4000</v>
      </c>
      <c r="N3284" s="352" t="s">
        <v>716</v>
      </c>
      <c r="O3284" s="460">
        <v>4311</v>
      </c>
      <c r="P3284" s="460" t="s">
        <v>779</v>
      </c>
      <c r="Q3284" s="460" t="s">
        <v>2444</v>
      </c>
      <c r="R3284" s="460">
        <v>4311</v>
      </c>
      <c r="S3284" s="460" t="s">
        <v>2324</v>
      </c>
      <c r="T3284" s="462">
        <v>1</v>
      </c>
      <c r="U3284" s="460" t="s">
        <v>2327</v>
      </c>
      <c r="V3284" s="475">
        <v>0</v>
      </c>
      <c r="W3284" s="463" t="s">
        <v>2268</v>
      </c>
      <c r="X3284" s="463" t="s">
        <v>2268</v>
      </c>
      <c r="Y3284" s="463" t="s">
        <v>2554</v>
      </c>
      <c r="Z3284" s="463"/>
      <c r="AA3284" s="463"/>
      <c r="AB3284" s="464">
        <v>0</v>
      </c>
      <c r="AC3284" s="465">
        <v>0</v>
      </c>
      <c r="AD3284" s="465">
        <v>0</v>
      </c>
      <c r="AE3284" s="476">
        <v>0</v>
      </c>
      <c r="AF3284" s="467">
        <v>0</v>
      </c>
      <c r="AG3284" s="468">
        <v>0</v>
      </c>
      <c r="AH3284" s="218">
        <v>0</v>
      </c>
      <c r="AI3284" s="470">
        <v>0</v>
      </c>
      <c r="AJ3284" s="471">
        <v>0</v>
      </c>
      <c r="AK3284" s="218">
        <v>0</v>
      </c>
      <c r="AL3284" s="470">
        <v>0</v>
      </c>
      <c r="AM3284" s="471">
        <v>0</v>
      </c>
      <c r="AN3284" s="477">
        <v>0</v>
      </c>
      <c r="AO3284" s="473">
        <v>0</v>
      </c>
      <c r="AP3284" s="474">
        <v>0</v>
      </c>
      <c r="AQ3284" s="352"/>
      <c r="AR3284" s="352"/>
      <c r="AS3284" s="352"/>
      <c r="AT3284" s="352"/>
      <c r="AU3284" s="352"/>
      <c r="AV3284" s="352"/>
      <c r="AW3284" s="352" t="s">
        <v>254</v>
      </c>
    </row>
    <row r="3285" spans="2:49" x14ac:dyDescent="0.2">
      <c r="B3285" s="460" t="s">
        <v>3331</v>
      </c>
      <c r="C3285" s="460">
        <v>4311</v>
      </c>
      <c r="D3285" s="460" t="s">
        <v>2344</v>
      </c>
      <c r="E3285" s="460" t="s">
        <v>2330</v>
      </c>
      <c r="F3285" s="460">
        <v>3</v>
      </c>
      <c r="G3285" s="460">
        <v>3</v>
      </c>
      <c r="H3285" s="461" t="s">
        <v>748</v>
      </c>
      <c r="I3285" s="461" t="s">
        <v>765</v>
      </c>
      <c r="J3285" s="461" t="s">
        <v>700</v>
      </c>
      <c r="K3285" s="594"/>
      <c r="L3285" s="594"/>
      <c r="M3285" s="352">
        <v>4000</v>
      </c>
      <c r="N3285" s="352" t="s">
        <v>716</v>
      </c>
      <c r="O3285" s="460">
        <v>4311</v>
      </c>
      <c r="P3285" s="460" t="s">
        <v>779</v>
      </c>
      <c r="Q3285" s="460" t="s">
        <v>2444</v>
      </c>
      <c r="R3285" s="460">
        <v>4311</v>
      </c>
      <c r="S3285" s="460" t="s">
        <v>2324</v>
      </c>
      <c r="T3285" s="462">
        <v>1</v>
      </c>
      <c r="U3285" s="460" t="s">
        <v>2330</v>
      </c>
      <c r="V3285" s="475">
        <v>0</v>
      </c>
      <c r="W3285" s="463" t="s">
        <v>2268</v>
      </c>
      <c r="X3285" s="463" t="s">
        <v>2268</v>
      </c>
      <c r="Y3285" s="463" t="s">
        <v>2554</v>
      </c>
      <c r="Z3285" s="463"/>
      <c r="AA3285" s="463"/>
      <c r="AB3285" s="464">
        <v>0</v>
      </c>
      <c r="AC3285" s="465">
        <v>0</v>
      </c>
      <c r="AD3285" s="465">
        <v>0</v>
      </c>
      <c r="AE3285" s="476">
        <v>0</v>
      </c>
      <c r="AF3285" s="467">
        <v>0</v>
      </c>
      <c r="AG3285" s="468">
        <v>0</v>
      </c>
      <c r="AH3285" s="218">
        <v>0</v>
      </c>
      <c r="AI3285" s="470">
        <v>0</v>
      </c>
      <c r="AJ3285" s="471">
        <v>0</v>
      </c>
      <c r="AK3285" s="218">
        <v>0</v>
      </c>
      <c r="AL3285" s="470">
        <v>0</v>
      </c>
      <c r="AM3285" s="471">
        <v>0</v>
      </c>
      <c r="AN3285" s="477">
        <v>0</v>
      </c>
      <c r="AO3285" s="473">
        <v>0</v>
      </c>
      <c r="AP3285" s="474">
        <v>0</v>
      </c>
      <c r="AQ3285" s="352"/>
      <c r="AR3285" s="352"/>
      <c r="AS3285" s="352"/>
      <c r="AT3285" s="352"/>
      <c r="AU3285" s="352"/>
      <c r="AV3285" s="352"/>
      <c r="AW3285" s="352" t="s">
        <v>254</v>
      </c>
    </row>
    <row r="3286" spans="2:49" x14ac:dyDescent="0.2">
      <c r="B3286" s="460" t="s">
        <v>3332</v>
      </c>
      <c r="C3286" s="460">
        <v>4311</v>
      </c>
      <c r="D3286" s="460" t="s">
        <v>2345</v>
      </c>
      <c r="E3286" s="460" t="s">
        <v>2333</v>
      </c>
      <c r="F3286" s="460">
        <v>4</v>
      </c>
      <c r="G3286" s="460">
        <v>3</v>
      </c>
      <c r="H3286" s="461" t="s">
        <v>748</v>
      </c>
      <c r="I3286" s="461" t="s">
        <v>765</v>
      </c>
      <c r="J3286" s="461" t="s">
        <v>700</v>
      </c>
      <c r="K3286" s="594"/>
      <c r="L3286" s="594"/>
      <c r="M3286" s="352">
        <v>4000</v>
      </c>
      <c r="N3286" s="352" t="s">
        <v>716</v>
      </c>
      <c r="O3286" s="460">
        <v>4311</v>
      </c>
      <c r="P3286" s="460" t="s">
        <v>779</v>
      </c>
      <c r="Q3286" s="460" t="s">
        <v>2444</v>
      </c>
      <c r="R3286" s="460">
        <v>4311</v>
      </c>
      <c r="S3286" s="460" t="s">
        <v>2333</v>
      </c>
      <c r="T3286" s="462">
        <v>1</v>
      </c>
      <c r="U3286" s="460" t="s">
        <v>2333</v>
      </c>
      <c r="V3286" s="475">
        <v>0</v>
      </c>
      <c r="W3286" s="463" t="s">
        <v>2268</v>
      </c>
      <c r="X3286" s="463" t="s">
        <v>2268</v>
      </c>
      <c r="Y3286" s="463" t="s">
        <v>2554</v>
      </c>
      <c r="Z3286" s="463"/>
      <c r="AA3286" s="463"/>
      <c r="AB3286" s="464">
        <v>0</v>
      </c>
      <c r="AC3286" s="465">
        <v>0</v>
      </c>
      <c r="AD3286" s="465">
        <v>0</v>
      </c>
      <c r="AE3286" s="476">
        <v>0</v>
      </c>
      <c r="AF3286" s="467">
        <v>0</v>
      </c>
      <c r="AG3286" s="468">
        <v>0</v>
      </c>
      <c r="AH3286" s="218">
        <v>0</v>
      </c>
      <c r="AI3286" s="470">
        <v>0</v>
      </c>
      <c r="AJ3286" s="471">
        <v>0</v>
      </c>
      <c r="AK3286" s="218">
        <v>0</v>
      </c>
      <c r="AL3286" s="470">
        <v>0</v>
      </c>
      <c r="AM3286" s="471">
        <v>0</v>
      </c>
      <c r="AN3286" s="477">
        <v>0</v>
      </c>
      <c r="AO3286" s="473">
        <v>0</v>
      </c>
      <c r="AP3286" s="474">
        <v>0</v>
      </c>
      <c r="AQ3286" s="352"/>
      <c r="AR3286" s="352"/>
      <c r="AS3286" s="352"/>
      <c r="AT3286" s="352"/>
      <c r="AU3286" s="352"/>
      <c r="AV3286" s="352"/>
      <c r="AW3286" s="352" t="s">
        <v>254</v>
      </c>
    </row>
    <row r="3287" spans="2:49" x14ac:dyDescent="0.2">
      <c r="B3287" s="460" t="s">
        <v>3329</v>
      </c>
      <c r="C3287" s="460">
        <v>4311</v>
      </c>
      <c r="D3287" s="460" t="s">
        <v>3333</v>
      </c>
      <c r="E3287" s="460" t="s">
        <v>2324</v>
      </c>
      <c r="F3287" s="460">
        <v>1</v>
      </c>
      <c r="G3287" s="460">
        <v>3</v>
      </c>
      <c r="H3287" s="461" t="s">
        <v>750</v>
      </c>
      <c r="I3287" s="461" t="s">
        <v>963</v>
      </c>
      <c r="J3287" s="461" t="s">
        <v>750</v>
      </c>
      <c r="K3287" s="594"/>
      <c r="L3287" s="594"/>
      <c r="M3287" s="352">
        <v>4000</v>
      </c>
      <c r="N3287" s="352" t="s">
        <v>716</v>
      </c>
      <c r="O3287" s="460">
        <v>4311</v>
      </c>
      <c r="P3287" s="460" t="s">
        <v>779</v>
      </c>
      <c r="Q3287" s="460" t="s">
        <v>2440</v>
      </c>
      <c r="R3287" s="460">
        <v>4311</v>
      </c>
      <c r="S3287" s="460" t="s">
        <v>2324</v>
      </c>
      <c r="T3287" s="462">
        <v>1</v>
      </c>
      <c r="U3287" s="460" t="s">
        <v>2324</v>
      </c>
      <c r="V3287" s="475">
        <v>0</v>
      </c>
      <c r="W3287" s="463" t="s">
        <v>2278</v>
      </c>
      <c r="X3287" s="463" t="s">
        <v>2278</v>
      </c>
      <c r="Y3287" s="463" t="s">
        <v>2278</v>
      </c>
      <c r="Z3287" s="463"/>
      <c r="AA3287" s="463"/>
      <c r="AB3287" s="464">
        <v>3476.0354868932004</v>
      </c>
      <c r="AC3287" s="465">
        <v>0.56401021196378642</v>
      </c>
      <c r="AD3287" s="465">
        <v>1</v>
      </c>
      <c r="AE3287" s="476">
        <v>3476.0354868932004</v>
      </c>
      <c r="AF3287" s="467">
        <v>0.56401021196378642</v>
      </c>
      <c r="AG3287" s="468">
        <v>1</v>
      </c>
      <c r="AH3287" s="218">
        <v>3476.0354868932004</v>
      </c>
      <c r="AI3287" s="470">
        <v>0.56401021196378642</v>
      </c>
      <c r="AJ3287" s="471">
        <v>1</v>
      </c>
      <c r="AK3287" s="218">
        <v>3476.0354868932004</v>
      </c>
      <c r="AL3287" s="470">
        <v>0.56401021196378642</v>
      </c>
      <c r="AM3287" s="471">
        <v>1</v>
      </c>
      <c r="AN3287" s="477">
        <v>3476.0354868932004</v>
      </c>
      <c r="AO3287" s="473">
        <v>0.56401021196378642</v>
      </c>
      <c r="AP3287" s="474">
        <v>1</v>
      </c>
      <c r="AQ3287" s="352"/>
      <c r="AR3287" s="352"/>
      <c r="AS3287" s="352"/>
      <c r="AT3287" s="352"/>
      <c r="AU3287" s="352"/>
      <c r="AV3287" s="352"/>
      <c r="AW3287" s="352" t="s">
        <v>254</v>
      </c>
    </row>
    <row r="3288" spans="2:49" x14ac:dyDescent="0.2">
      <c r="B3288" s="460" t="s">
        <v>3330</v>
      </c>
      <c r="C3288" s="460">
        <v>4311</v>
      </c>
      <c r="D3288" s="460" t="s">
        <v>3334</v>
      </c>
      <c r="E3288" s="460" t="s">
        <v>2327</v>
      </c>
      <c r="F3288" s="460">
        <v>2</v>
      </c>
      <c r="G3288" s="460">
        <v>3</v>
      </c>
      <c r="H3288" s="461" t="s">
        <v>750</v>
      </c>
      <c r="I3288" s="461" t="s">
        <v>963</v>
      </c>
      <c r="J3288" s="461" t="s">
        <v>750</v>
      </c>
      <c r="K3288" s="594"/>
      <c r="L3288" s="594"/>
      <c r="M3288" s="352">
        <v>4000</v>
      </c>
      <c r="N3288" s="352" t="s">
        <v>716</v>
      </c>
      <c r="O3288" s="460">
        <v>4311</v>
      </c>
      <c r="P3288" s="460" t="s">
        <v>779</v>
      </c>
      <c r="Q3288" s="460" t="s">
        <v>2440</v>
      </c>
      <c r="R3288" s="460">
        <v>4311</v>
      </c>
      <c r="S3288" s="460" t="s">
        <v>2324</v>
      </c>
      <c r="T3288" s="462">
        <v>1</v>
      </c>
      <c r="U3288" s="460" t="s">
        <v>2327</v>
      </c>
      <c r="V3288" s="475">
        <v>0</v>
      </c>
      <c r="W3288" s="463" t="s">
        <v>2278</v>
      </c>
      <c r="X3288" s="463" t="s">
        <v>2278</v>
      </c>
      <c r="Y3288" s="463" t="s">
        <v>2278</v>
      </c>
      <c r="Z3288" s="463"/>
      <c r="AA3288" s="463"/>
      <c r="AB3288" s="464">
        <v>868.74014737430389</v>
      </c>
      <c r="AC3288" s="465">
        <v>0.19497747006282776</v>
      </c>
      <c r="AD3288" s="465">
        <v>1</v>
      </c>
      <c r="AE3288" s="476">
        <v>868.74014737430389</v>
      </c>
      <c r="AF3288" s="467">
        <v>0.19497747006282776</v>
      </c>
      <c r="AG3288" s="468">
        <v>1</v>
      </c>
      <c r="AH3288" s="218">
        <v>868.74014737430389</v>
      </c>
      <c r="AI3288" s="470">
        <v>0.19497747006282776</v>
      </c>
      <c r="AJ3288" s="471">
        <v>1</v>
      </c>
      <c r="AK3288" s="218">
        <v>868.74014737430389</v>
      </c>
      <c r="AL3288" s="470">
        <v>0.19497747006282776</v>
      </c>
      <c r="AM3288" s="471">
        <v>1</v>
      </c>
      <c r="AN3288" s="477">
        <v>868.74014737430389</v>
      </c>
      <c r="AO3288" s="473">
        <v>0.19497747006282776</v>
      </c>
      <c r="AP3288" s="474">
        <v>1</v>
      </c>
      <c r="AQ3288" s="352"/>
      <c r="AR3288" s="352"/>
      <c r="AS3288" s="352"/>
      <c r="AT3288" s="352"/>
      <c r="AU3288" s="352"/>
      <c r="AV3288" s="352"/>
      <c r="AW3288" s="352" t="s">
        <v>254</v>
      </c>
    </row>
    <row r="3289" spans="2:49" x14ac:dyDescent="0.2">
      <c r="B3289" s="460" t="s">
        <v>3331</v>
      </c>
      <c r="C3289" s="460">
        <v>4311</v>
      </c>
      <c r="D3289" s="460" t="s">
        <v>3335</v>
      </c>
      <c r="E3289" s="460" t="s">
        <v>2330</v>
      </c>
      <c r="F3289" s="460">
        <v>3</v>
      </c>
      <c r="G3289" s="460">
        <v>3</v>
      </c>
      <c r="H3289" s="461" t="s">
        <v>750</v>
      </c>
      <c r="I3289" s="461" t="s">
        <v>963</v>
      </c>
      <c r="J3289" s="461" t="s">
        <v>750</v>
      </c>
      <c r="K3289" s="594"/>
      <c r="L3289" s="594"/>
      <c r="M3289" s="352">
        <v>4000</v>
      </c>
      <c r="N3289" s="352" t="s">
        <v>716</v>
      </c>
      <c r="O3289" s="460">
        <v>4311</v>
      </c>
      <c r="P3289" s="460" t="s">
        <v>779</v>
      </c>
      <c r="Q3289" s="460" t="s">
        <v>2440</v>
      </c>
      <c r="R3289" s="460">
        <v>4311</v>
      </c>
      <c r="S3289" s="460" t="s">
        <v>2324</v>
      </c>
      <c r="T3289" s="462">
        <v>1</v>
      </c>
      <c r="U3289" s="460" t="s">
        <v>2330</v>
      </c>
      <c r="V3289" s="475">
        <v>0</v>
      </c>
      <c r="W3289" s="463" t="s">
        <v>2278</v>
      </c>
      <c r="X3289" s="463" t="s">
        <v>2278</v>
      </c>
      <c r="Y3289" s="463" t="s">
        <v>2278</v>
      </c>
      <c r="Z3289" s="463"/>
      <c r="AA3289" s="463"/>
      <c r="AB3289" s="464">
        <v>15.583113133856919</v>
      </c>
      <c r="AC3289" s="465">
        <v>1.6554598245006075E-2</v>
      </c>
      <c r="AD3289" s="465">
        <v>1</v>
      </c>
      <c r="AE3289" s="476">
        <v>15.583113133856919</v>
      </c>
      <c r="AF3289" s="467">
        <v>1.6554598245006075E-2</v>
      </c>
      <c r="AG3289" s="468">
        <v>1</v>
      </c>
      <c r="AH3289" s="218">
        <v>15.583113133856919</v>
      </c>
      <c r="AI3289" s="470">
        <v>1.6554598245006075E-2</v>
      </c>
      <c r="AJ3289" s="471">
        <v>1</v>
      </c>
      <c r="AK3289" s="218">
        <v>15.583113133856919</v>
      </c>
      <c r="AL3289" s="470">
        <v>1.6554598245006075E-2</v>
      </c>
      <c r="AM3289" s="471">
        <v>1</v>
      </c>
      <c r="AN3289" s="477">
        <v>15.583113133856919</v>
      </c>
      <c r="AO3289" s="473">
        <v>1.6554598245006075E-2</v>
      </c>
      <c r="AP3289" s="474">
        <v>1</v>
      </c>
      <c r="AQ3289" s="352"/>
      <c r="AR3289" s="352"/>
      <c r="AS3289" s="352"/>
      <c r="AT3289" s="352"/>
      <c r="AU3289" s="352"/>
      <c r="AV3289" s="352"/>
      <c r="AW3289" s="352" t="s">
        <v>254</v>
      </c>
    </row>
    <row r="3290" spans="2:49" x14ac:dyDescent="0.2">
      <c r="B3290" s="460" t="s">
        <v>3332</v>
      </c>
      <c r="C3290" s="460">
        <v>4311</v>
      </c>
      <c r="D3290" s="460" t="s">
        <v>3336</v>
      </c>
      <c r="E3290" s="460" t="s">
        <v>2333</v>
      </c>
      <c r="F3290" s="460">
        <v>4</v>
      </c>
      <c r="G3290" s="460">
        <v>3</v>
      </c>
      <c r="H3290" s="461" t="s">
        <v>750</v>
      </c>
      <c r="I3290" s="461" t="s">
        <v>963</v>
      </c>
      <c r="J3290" s="461" t="s">
        <v>750</v>
      </c>
      <c r="K3290" s="594"/>
      <c r="L3290" s="594"/>
      <c r="M3290" s="352">
        <v>4000</v>
      </c>
      <c r="N3290" s="352" t="s">
        <v>716</v>
      </c>
      <c r="O3290" s="460">
        <v>4311</v>
      </c>
      <c r="P3290" s="460" t="s">
        <v>779</v>
      </c>
      <c r="Q3290" s="460" t="s">
        <v>2440</v>
      </c>
      <c r="R3290" s="460">
        <v>4311</v>
      </c>
      <c r="S3290" s="460" t="s">
        <v>2333</v>
      </c>
      <c r="T3290" s="462">
        <v>1</v>
      </c>
      <c r="U3290" s="460" t="s">
        <v>2333</v>
      </c>
      <c r="V3290" s="475">
        <v>0</v>
      </c>
      <c r="W3290" s="463" t="s">
        <v>2278</v>
      </c>
      <c r="X3290" s="463" t="s">
        <v>2278</v>
      </c>
      <c r="Y3290" s="463" t="s">
        <v>2278</v>
      </c>
      <c r="Z3290" s="463"/>
      <c r="AA3290" s="463"/>
      <c r="AB3290" s="464">
        <v>300.20272569462372</v>
      </c>
      <c r="AC3290" s="465">
        <v>0.13609227270084998</v>
      </c>
      <c r="AD3290" s="465">
        <v>1</v>
      </c>
      <c r="AE3290" s="476">
        <v>300.20272569462372</v>
      </c>
      <c r="AF3290" s="467">
        <v>0.13609227270084998</v>
      </c>
      <c r="AG3290" s="468">
        <v>1</v>
      </c>
      <c r="AH3290" s="218">
        <v>300.20272569462372</v>
      </c>
      <c r="AI3290" s="470">
        <v>0.13609227270084998</v>
      </c>
      <c r="AJ3290" s="471">
        <v>1</v>
      </c>
      <c r="AK3290" s="218">
        <v>300.20272569462372</v>
      </c>
      <c r="AL3290" s="470">
        <v>0.13609227270084998</v>
      </c>
      <c r="AM3290" s="471">
        <v>1</v>
      </c>
      <c r="AN3290" s="477">
        <v>300.20272569462372</v>
      </c>
      <c r="AO3290" s="473">
        <v>0.13609227270084998</v>
      </c>
      <c r="AP3290" s="474">
        <v>1</v>
      </c>
      <c r="AQ3290" s="352"/>
      <c r="AR3290" s="352"/>
      <c r="AS3290" s="352"/>
      <c r="AT3290" s="352"/>
      <c r="AU3290" s="352"/>
      <c r="AV3290" s="352"/>
      <c r="AW3290" s="352" t="s">
        <v>254</v>
      </c>
    </row>
    <row r="3291" spans="2:49" x14ac:dyDescent="0.2">
      <c r="B3291" s="460" t="s">
        <v>3329</v>
      </c>
      <c r="C3291" s="460">
        <v>4311</v>
      </c>
      <c r="D3291" s="460" t="s">
        <v>2346</v>
      </c>
      <c r="E3291" s="460" t="s">
        <v>2324</v>
      </c>
      <c r="F3291" s="460">
        <v>1</v>
      </c>
      <c r="G3291" s="460">
        <v>3</v>
      </c>
      <c r="H3291" s="461" t="s">
        <v>752</v>
      </c>
      <c r="I3291" s="461" t="s">
        <v>964</v>
      </c>
      <c r="J3291" s="461" t="s">
        <v>752</v>
      </c>
      <c r="K3291" s="594"/>
      <c r="L3291" s="594"/>
      <c r="M3291" s="352">
        <v>4000</v>
      </c>
      <c r="N3291" s="352" t="s">
        <v>716</v>
      </c>
      <c r="O3291" s="460">
        <v>4311</v>
      </c>
      <c r="P3291" s="460" t="s">
        <v>779</v>
      </c>
      <c r="Q3291" s="460" t="s">
        <v>2444</v>
      </c>
      <c r="R3291" s="460">
        <v>4311</v>
      </c>
      <c r="S3291" s="460" t="s">
        <v>2324</v>
      </c>
      <c r="T3291" s="462">
        <v>1</v>
      </c>
      <c r="U3291" s="460" t="s">
        <v>2324</v>
      </c>
      <c r="V3291" s="475">
        <v>0</v>
      </c>
      <c r="W3291" s="463" t="s">
        <v>2278</v>
      </c>
      <c r="X3291" s="463" t="s">
        <v>2278</v>
      </c>
      <c r="Y3291" s="463" t="s">
        <v>2278</v>
      </c>
      <c r="Z3291" s="463"/>
      <c r="AA3291" s="463"/>
      <c r="AB3291" s="464">
        <v>0</v>
      </c>
      <c r="AC3291" s="465">
        <v>0</v>
      </c>
      <c r="AD3291" s="465">
        <v>0</v>
      </c>
      <c r="AE3291" s="476">
        <v>0</v>
      </c>
      <c r="AF3291" s="467">
        <v>0</v>
      </c>
      <c r="AG3291" s="468">
        <v>0</v>
      </c>
      <c r="AH3291" s="218">
        <v>0</v>
      </c>
      <c r="AI3291" s="470">
        <v>0</v>
      </c>
      <c r="AJ3291" s="471">
        <v>0</v>
      </c>
      <c r="AK3291" s="218">
        <v>0</v>
      </c>
      <c r="AL3291" s="470">
        <v>0</v>
      </c>
      <c r="AM3291" s="471">
        <v>0</v>
      </c>
      <c r="AN3291" s="477">
        <v>0</v>
      </c>
      <c r="AO3291" s="473">
        <v>0</v>
      </c>
      <c r="AP3291" s="474">
        <v>0</v>
      </c>
      <c r="AQ3291" s="352"/>
      <c r="AR3291" s="352"/>
      <c r="AS3291" s="352"/>
      <c r="AT3291" s="352"/>
      <c r="AU3291" s="352"/>
      <c r="AV3291" s="352"/>
      <c r="AW3291" s="352" t="s">
        <v>254</v>
      </c>
    </row>
    <row r="3292" spans="2:49" x14ac:dyDescent="0.2">
      <c r="B3292" s="460" t="s">
        <v>3330</v>
      </c>
      <c r="C3292" s="460">
        <v>4311</v>
      </c>
      <c r="D3292" s="460" t="s">
        <v>2347</v>
      </c>
      <c r="E3292" s="460" t="s">
        <v>2327</v>
      </c>
      <c r="F3292" s="460">
        <v>2</v>
      </c>
      <c r="G3292" s="460">
        <v>3</v>
      </c>
      <c r="H3292" s="461" t="s">
        <v>752</v>
      </c>
      <c r="I3292" s="461" t="s">
        <v>964</v>
      </c>
      <c r="J3292" s="461" t="s">
        <v>752</v>
      </c>
      <c r="K3292" s="594"/>
      <c r="L3292" s="594"/>
      <c r="M3292" s="352">
        <v>4000</v>
      </c>
      <c r="N3292" s="352" t="s">
        <v>716</v>
      </c>
      <c r="O3292" s="460">
        <v>4311</v>
      </c>
      <c r="P3292" s="460" t="s">
        <v>779</v>
      </c>
      <c r="Q3292" s="460" t="s">
        <v>2444</v>
      </c>
      <c r="R3292" s="460">
        <v>4311</v>
      </c>
      <c r="S3292" s="460" t="s">
        <v>2324</v>
      </c>
      <c r="T3292" s="462">
        <v>1</v>
      </c>
      <c r="U3292" s="460" t="s">
        <v>2327</v>
      </c>
      <c r="V3292" s="475">
        <v>0</v>
      </c>
      <c r="W3292" s="463" t="s">
        <v>2278</v>
      </c>
      <c r="X3292" s="463" t="s">
        <v>2278</v>
      </c>
      <c r="Y3292" s="463" t="s">
        <v>2278</v>
      </c>
      <c r="Z3292" s="463"/>
      <c r="AA3292" s="463"/>
      <c r="AB3292" s="464">
        <v>0</v>
      </c>
      <c r="AC3292" s="465">
        <v>0</v>
      </c>
      <c r="AD3292" s="465">
        <v>0</v>
      </c>
      <c r="AE3292" s="476">
        <v>0</v>
      </c>
      <c r="AF3292" s="467">
        <v>0</v>
      </c>
      <c r="AG3292" s="468">
        <v>0</v>
      </c>
      <c r="AH3292" s="218">
        <v>0</v>
      </c>
      <c r="AI3292" s="470">
        <v>0</v>
      </c>
      <c r="AJ3292" s="471">
        <v>0</v>
      </c>
      <c r="AK3292" s="218">
        <v>0</v>
      </c>
      <c r="AL3292" s="470">
        <v>0</v>
      </c>
      <c r="AM3292" s="471">
        <v>0</v>
      </c>
      <c r="AN3292" s="477">
        <v>0</v>
      </c>
      <c r="AO3292" s="473">
        <v>0</v>
      </c>
      <c r="AP3292" s="474">
        <v>0</v>
      </c>
      <c r="AQ3292" s="352"/>
      <c r="AR3292" s="352"/>
      <c r="AS3292" s="352"/>
      <c r="AT3292" s="352"/>
      <c r="AU3292" s="352"/>
      <c r="AV3292" s="352"/>
      <c r="AW3292" s="352" t="s">
        <v>254</v>
      </c>
    </row>
    <row r="3293" spans="2:49" x14ac:dyDescent="0.2">
      <c r="B3293" s="460" t="s">
        <v>3331</v>
      </c>
      <c r="C3293" s="460">
        <v>4311</v>
      </c>
      <c r="D3293" s="460" t="s">
        <v>2348</v>
      </c>
      <c r="E3293" s="460" t="s">
        <v>2330</v>
      </c>
      <c r="F3293" s="460">
        <v>3</v>
      </c>
      <c r="G3293" s="460">
        <v>3</v>
      </c>
      <c r="H3293" s="461" t="s">
        <v>752</v>
      </c>
      <c r="I3293" s="461" t="s">
        <v>964</v>
      </c>
      <c r="J3293" s="461" t="s">
        <v>752</v>
      </c>
      <c r="K3293" s="594"/>
      <c r="L3293" s="594"/>
      <c r="M3293" s="352">
        <v>4000</v>
      </c>
      <c r="N3293" s="352" t="s">
        <v>716</v>
      </c>
      <c r="O3293" s="460">
        <v>4311</v>
      </c>
      <c r="P3293" s="460" t="s">
        <v>779</v>
      </c>
      <c r="Q3293" s="460" t="s">
        <v>2444</v>
      </c>
      <c r="R3293" s="460">
        <v>4311</v>
      </c>
      <c r="S3293" s="460" t="s">
        <v>2324</v>
      </c>
      <c r="T3293" s="462">
        <v>1</v>
      </c>
      <c r="U3293" s="460" t="s">
        <v>2330</v>
      </c>
      <c r="V3293" s="475">
        <v>0</v>
      </c>
      <c r="W3293" s="463" t="s">
        <v>2278</v>
      </c>
      <c r="X3293" s="463" t="s">
        <v>2278</v>
      </c>
      <c r="Y3293" s="463" t="s">
        <v>2278</v>
      </c>
      <c r="Z3293" s="463"/>
      <c r="AA3293" s="463"/>
      <c r="AB3293" s="464">
        <v>0</v>
      </c>
      <c r="AC3293" s="465">
        <v>0</v>
      </c>
      <c r="AD3293" s="465">
        <v>0</v>
      </c>
      <c r="AE3293" s="476">
        <v>0</v>
      </c>
      <c r="AF3293" s="467">
        <v>0</v>
      </c>
      <c r="AG3293" s="468">
        <v>0</v>
      </c>
      <c r="AH3293" s="218">
        <v>0</v>
      </c>
      <c r="AI3293" s="470">
        <v>0</v>
      </c>
      <c r="AJ3293" s="471">
        <v>0</v>
      </c>
      <c r="AK3293" s="218">
        <v>0</v>
      </c>
      <c r="AL3293" s="470">
        <v>0</v>
      </c>
      <c r="AM3293" s="471">
        <v>0</v>
      </c>
      <c r="AN3293" s="477">
        <v>0</v>
      </c>
      <c r="AO3293" s="473">
        <v>0</v>
      </c>
      <c r="AP3293" s="474">
        <v>0</v>
      </c>
      <c r="AQ3293" s="352"/>
      <c r="AR3293" s="352"/>
      <c r="AS3293" s="352"/>
      <c r="AT3293" s="352"/>
      <c r="AU3293" s="352"/>
      <c r="AV3293" s="352"/>
      <c r="AW3293" s="352" t="s">
        <v>254</v>
      </c>
    </row>
    <row r="3294" spans="2:49" x14ac:dyDescent="0.2">
      <c r="B3294" s="460" t="s">
        <v>3332</v>
      </c>
      <c r="C3294" s="460">
        <v>4311</v>
      </c>
      <c r="D3294" s="460" t="s">
        <v>2349</v>
      </c>
      <c r="E3294" s="460" t="s">
        <v>2333</v>
      </c>
      <c r="F3294" s="460">
        <v>4</v>
      </c>
      <c r="G3294" s="460">
        <v>3</v>
      </c>
      <c r="H3294" s="461" t="s">
        <v>752</v>
      </c>
      <c r="I3294" s="461" t="s">
        <v>964</v>
      </c>
      <c r="J3294" s="461" t="s">
        <v>752</v>
      </c>
      <c r="K3294" s="594"/>
      <c r="L3294" s="594"/>
      <c r="M3294" s="352">
        <v>4000</v>
      </c>
      <c r="N3294" s="352" t="s">
        <v>716</v>
      </c>
      <c r="O3294" s="460">
        <v>4311</v>
      </c>
      <c r="P3294" s="460" t="s">
        <v>779</v>
      </c>
      <c r="Q3294" s="460" t="s">
        <v>2444</v>
      </c>
      <c r="R3294" s="460">
        <v>4311</v>
      </c>
      <c r="S3294" s="460" t="s">
        <v>2333</v>
      </c>
      <c r="T3294" s="462">
        <v>1</v>
      </c>
      <c r="U3294" s="460" t="s">
        <v>2333</v>
      </c>
      <c r="V3294" s="475">
        <v>0</v>
      </c>
      <c r="W3294" s="463" t="s">
        <v>2278</v>
      </c>
      <c r="X3294" s="463" t="s">
        <v>2278</v>
      </c>
      <c r="Y3294" s="463" t="s">
        <v>2278</v>
      </c>
      <c r="Z3294" s="463"/>
      <c r="AA3294" s="463"/>
      <c r="AB3294" s="464">
        <v>0</v>
      </c>
      <c r="AC3294" s="465">
        <v>0</v>
      </c>
      <c r="AD3294" s="465">
        <v>0</v>
      </c>
      <c r="AE3294" s="476">
        <v>0</v>
      </c>
      <c r="AF3294" s="467">
        <v>0</v>
      </c>
      <c r="AG3294" s="468">
        <v>0</v>
      </c>
      <c r="AH3294" s="218">
        <v>0</v>
      </c>
      <c r="AI3294" s="470">
        <v>0</v>
      </c>
      <c r="AJ3294" s="471">
        <v>0</v>
      </c>
      <c r="AK3294" s="218">
        <v>0</v>
      </c>
      <c r="AL3294" s="470">
        <v>0</v>
      </c>
      <c r="AM3294" s="471">
        <v>0</v>
      </c>
      <c r="AN3294" s="477">
        <v>0</v>
      </c>
      <c r="AO3294" s="473">
        <v>0</v>
      </c>
      <c r="AP3294" s="474">
        <v>0</v>
      </c>
      <c r="AQ3294" s="352"/>
      <c r="AR3294" s="352"/>
      <c r="AS3294" s="352"/>
      <c r="AT3294" s="352"/>
      <c r="AU3294" s="352"/>
      <c r="AV3294" s="352"/>
      <c r="AW3294" s="352" t="s">
        <v>254</v>
      </c>
    </row>
    <row r="3295" spans="2:49" x14ac:dyDescent="0.2">
      <c r="B3295" s="460" t="s">
        <v>3337</v>
      </c>
      <c r="C3295" s="460">
        <v>4311</v>
      </c>
      <c r="D3295" s="460" t="s">
        <v>2351</v>
      </c>
      <c r="E3295" s="460" t="s">
        <v>1136</v>
      </c>
      <c r="F3295" s="460">
        <v>1</v>
      </c>
      <c r="G3295" s="460">
        <v>4</v>
      </c>
      <c r="H3295" s="461" t="s">
        <v>700</v>
      </c>
      <c r="I3295" s="461" t="s">
        <v>872</v>
      </c>
      <c r="J3295" s="461" t="s">
        <v>700</v>
      </c>
      <c r="K3295" s="594"/>
      <c r="L3295" s="594"/>
      <c r="M3295" s="352">
        <v>4000</v>
      </c>
      <c r="N3295" s="352" t="s">
        <v>716</v>
      </c>
      <c r="O3295" s="460">
        <v>4311</v>
      </c>
      <c r="P3295" s="460" t="s">
        <v>779</v>
      </c>
      <c r="Q3295" s="460" t="s">
        <v>2444</v>
      </c>
      <c r="R3295" s="460">
        <v>4311</v>
      </c>
      <c r="S3295" s="460" t="s">
        <v>1136</v>
      </c>
      <c r="T3295" s="462">
        <v>1</v>
      </c>
      <c r="U3295" s="460" t="s">
        <v>1136</v>
      </c>
      <c r="V3295" s="475">
        <v>0</v>
      </c>
      <c r="W3295" s="463" t="s">
        <v>2503</v>
      </c>
      <c r="X3295" s="463" t="s">
        <v>2503</v>
      </c>
      <c r="Y3295" s="463" t="s">
        <v>2268</v>
      </c>
      <c r="Z3295" s="463"/>
      <c r="AA3295" s="463"/>
      <c r="AB3295" s="464">
        <v>1.2096284263815709</v>
      </c>
      <c r="AC3295" s="465">
        <v>3.0423222162426732E-4</v>
      </c>
      <c r="AD3295" s="465">
        <v>3.441645961300718E-3</v>
      </c>
      <c r="AE3295" s="476">
        <v>0.72577705582894247</v>
      </c>
      <c r="AF3295" s="467">
        <v>1.8253933297456039E-4</v>
      </c>
      <c r="AG3295" s="468">
        <v>2.2447686284846925E-3</v>
      </c>
      <c r="AH3295" s="218">
        <v>0.72577705582894247</v>
      </c>
      <c r="AI3295" s="470">
        <v>1.8253933297456039E-4</v>
      </c>
      <c r="AJ3295" s="471">
        <v>5.668075847911889E-4</v>
      </c>
      <c r="AK3295" s="218">
        <v>0.72577705582894247</v>
      </c>
      <c r="AL3295" s="470">
        <v>1.8253933297456039E-4</v>
      </c>
      <c r="AM3295" s="471">
        <v>5.668075847911889E-4</v>
      </c>
      <c r="AN3295" s="477">
        <v>0</v>
      </c>
      <c r="AO3295" s="473">
        <v>0</v>
      </c>
      <c r="AP3295" s="474">
        <v>0</v>
      </c>
      <c r="AQ3295" s="352"/>
      <c r="AR3295" s="352"/>
      <c r="AS3295" s="352"/>
      <c r="AT3295" s="352"/>
      <c r="AU3295" s="352"/>
      <c r="AV3295" s="352"/>
      <c r="AW3295" s="352" t="s">
        <v>254</v>
      </c>
    </row>
    <row r="3296" spans="2:49" x14ac:dyDescent="0.2">
      <c r="B3296" s="460" t="s">
        <v>3338</v>
      </c>
      <c r="C3296" s="460">
        <v>4311</v>
      </c>
      <c r="D3296" s="460" t="s">
        <v>2353</v>
      </c>
      <c r="E3296" s="460" t="s">
        <v>1137</v>
      </c>
      <c r="F3296" s="460">
        <v>2</v>
      </c>
      <c r="G3296" s="460">
        <v>4</v>
      </c>
      <c r="H3296" s="461" t="s">
        <v>700</v>
      </c>
      <c r="I3296" s="461" t="s">
        <v>872</v>
      </c>
      <c r="J3296" s="461" t="s">
        <v>700</v>
      </c>
      <c r="K3296" s="594"/>
      <c r="L3296" s="594"/>
      <c r="M3296" s="352">
        <v>4000</v>
      </c>
      <c r="N3296" s="352" t="s">
        <v>716</v>
      </c>
      <c r="O3296" s="460">
        <v>4311</v>
      </c>
      <c r="P3296" s="460" t="s">
        <v>779</v>
      </c>
      <c r="Q3296" s="460" t="s">
        <v>2444</v>
      </c>
      <c r="R3296" s="460">
        <v>4311</v>
      </c>
      <c r="S3296" s="460" t="s">
        <v>1137</v>
      </c>
      <c r="T3296" s="462">
        <v>1</v>
      </c>
      <c r="U3296" s="460" t="s">
        <v>1137</v>
      </c>
      <c r="V3296" s="475">
        <v>0</v>
      </c>
      <c r="W3296" s="463" t="s">
        <v>2503</v>
      </c>
      <c r="X3296" s="463" t="s">
        <v>2503</v>
      </c>
      <c r="Y3296" s="463" t="s">
        <v>2268</v>
      </c>
      <c r="Z3296" s="463"/>
      <c r="AA3296" s="463"/>
      <c r="AB3296" s="464">
        <v>15.240989796177612</v>
      </c>
      <c r="AC3296" s="465">
        <v>2.196264971381577E-3</v>
      </c>
      <c r="AD3296" s="465">
        <v>3.4416459613007206E-3</v>
      </c>
      <c r="AE3296" s="476">
        <v>9.1445938777065656</v>
      </c>
      <c r="AF3296" s="467">
        <v>1.3177589828289461E-3</v>
      </c>
      <c r="AG3296" s="468">
        <v>2.2246745878613428E-3</v>
      </c>
      <c r="AH3296" s="218">
        <v>9.1445938777065656</v>
      </c>
      <c r="AI3296" s="470">
        <v>1.3177589828289461E-3</v>
      </c>
      <c r="AJ3296" s="471">
        <v>1.8893593124462466E-3</v>
      </c>
      <c r="AK3296" s="218">
        <v>9.1445938777065656</v>
      </c>
      <c r="AL3296" s="470">
        <v>1.3177589828289461E-3</v>
      </c>
      <c r="AM3296" s="471">
        <v>1.8893593124462466E-3</v>
      </c>
      <c r="AN3296" s="477">
        <v>0</v>
      </c>
      <c r="AO3296" s="473">
        <v>0</v>
      </c>
      <c r="AP3296" s="474">
        <v>0</v>
      </c>
      <c r="AQ3296" s="352"/>
      <c r="AR3296" s="352"/>
      <c r="AS3296" s="352"/>
      <c r="AT3296" s="352"/>
      <c r="AU3296" s="352"/>
      <c r="AV3296" s="352"/>
      <c r="AW3296" s="352" t="s">
        <v>254</v>
      </c>
    </row>
    <row r="3297" spans="2:49" x14ac:dyDescent="0.2">
      <c r="B3297" s="460" t="s">
        <v>3339</v>
      </c>
      <c r="C3297" s="460">
        <v>4311</v>
      </c>
      <c r="D3297" s="460" t="s">
        <v>2355</v>
      </c>
      <c r="E3297" s="460" t="s">
        <v>1138</v>
      </c>
      <c r="F3297" s="460">
        <v>3</v>
      </c>
      <c r="G3297" s="460">
        <v>4</v>
      </c>
      <c r="H3297" s="461" t="s">
        <v>700</v>
      </c>
      <c r="I3297" s="461" t="s">
        <v>872</v>
      </c>
      <c r="J3297" s="461" t="s">
        <v>700</v>
      </c>
      <c r="K3297" s="594"/>
      <c r="L3297" s="594"/>
      <c r="M3297" s="352">
        <v>4000</v>
      </c>
      <c r="N3297" s="352" t="s">
        <v>716</v>
      </c>
      <c r="O3297" s="460">
        <v>4311</v>
      </c>
      <c r="P3297" s="460" t="s">
        <v>779</v>
      </c>
      <c r="Q3297" s="460" t="s">
        <v>2444</v>
      </c>
      <c r="R3297" s="460">
        <v>4311</v>
      </c>
      <c r="S3297" s="460" t="s">
        <v>1138</v>
      </c>
      <c r="T3297" s="462">
        <v>1</v>
      </c>
      <c r="U3297" s="460" t="s">
        <v>1138</v>
      </c>
      <c r="V3297" s="475">
        <v>0</v>
      </c>
      <c r="W3297" s="463" t="s">
        <v>2503</v>
      </c>
      <c r="X3297" s="463" t="s">
        <v>2503</v>
      </c>
      <c r="Y3297" s="463" t="s">
        <v>2268</v>
      </c>
      <c r="Z3297" s="463"/>
      <c r="AA3297" s="463"/>
      <c r="AB3297" s="464">
        <v>8.202829240901476</v>
      </c>
      <c r="AC3297" s="465">
        <v>3.2346727456380687E-3</v>
      </c>
      <c r="AD3297" s="465">
        <v>3.4416459613007219E-3</v>
      </c>
      <c r="AE3297" s="476">
        <v>4.9216975445408853</v>
      </c>
      <c r="AF3297" s="467">
        <v>1.9408036473828412E-3</v>
      </c>
      <c r="AG3297" s="468">
        <v>2.2278422306378793E-3</v>
      </c>
      <c r="AH3297" s="218">
        <v>4.9216975445408853</v>
      </c>
      <c r="AI3297" s="470">
        <v>1.9408036473828412E-3</v>
      </c>
      <c r="AJ3297" s="471">
        <v>1.6960474160637961E-3</v>
      </c>
      <c r="AK3297" s="218">
        <v>4.9216975445408853</v>
      </c>
      <c r="AL3297" s="470">
        <v>1.9408036473828412E-3</v>
      </c>
      <c r="AM3297" s="471">
        <v>1.6960474160637961E-3</v>
      </c>
      <c r="AN3297" s="477">
        <v>0</v>
      </c>
      <c r="AO3297" s="473">
        <v>0</v>
      </c>
      <c r="AP3297" s="474">
        <v>0</v>
      </c>
      <c r="AQ3297" s="352"/>
      <c r="AR3297" s="352"/>
      <c r="AS3297" s="352"/>
      <c r="AT3297" s="352"/>
      <c r="AU3297" s="352"/>
      <c r="AV3297" s="352"/>
      <c r="AW3297" s="352" t="s">
        <v>254</v>
      </c>
    </row>
    <row r="3298" spans="2:49" x14ac:dyDescent="0.2">
      <c r="B3298" s="460" t="s">
        <v>3340</v>
      </c>
      <c r="C3298" s="460">
        <v>4311</v>
      </c>
      <c r="D3298" s="460" t="s">
        <v>2357</v>
      </c>
      <c r="E3298" s="460" t="s">
        <v>1139</v>
      </c>
      <c r="F3298" s="460">
        <v>4</v>
      </c>
      <c r="G3298" s="460">
        <v>4</v>
      </c>
      <c r="H3298" s="461" t="s">
        <v>700</v>
      </c>
      <c r="I3298" s="461" t="s">
        <v>872</v>
      </c>
      <c r="J3298" s="461" t="s">
        <v>700</v>
      </c>
      <c r="K3298" s="594"/>
      <c r="L3298" s="594"/>
      <c r="M3298" s="352">
        <v>4000</v>
      </c>
      <c r="N3298" s="352" t="s">
        <v>716</v>
      </c>
      <c r="O3298" s="460">
        <v>4311</v>
      </c>
      <c r="P3298" s="460" t="s">
        <v>779</v>
      </c>
      <c r="Q3298" s="460" t="s">
        <v>2444</v>
      </c>
      <c r="R3298" s="460">
        <v>4311</v>
      </c>
      <c r="S3298" s="460" t="s">
        <v>1139</v>
      </c>
      <c r="T3298" s="462">
        <v>1</v>
      </c>
      <c r="U3298" s="460" t="s">
        <v>1139</v>
      </c>
      <c r="V3298" s="475">
        <v>0</v>
      </c>
      <c r="W3298" s="463" t="s">
        <v>2503</v>
      </c>
      <c r="X3298" s="463" t="s">
        <v>2503</v>
      </c>
      <c r="Y3298" s="463" t="s">
        <v>2268</v>
      </c>
      <c r="Z3298" s="463"/>
      <c r="AA3298" s="463"/>
      <c r="AB3298" s="464">
        <v>0</v>
      </c>
      <c r="AC3298" s="465">
        <v>0</v>
      </c>
      <c r="AD3298" s="465">
        <v>0</v>
      </c>
      <c r="AE3298" s="476">
        <v>0</v>
      </c>
      <c r="AF3298" s="467">
        <v>0</v>
      </c>
      <c r="AG3298" s="468">
        <v>0</v>
      </c>
      <c r="AH3298" s="218">
        <v>0</v>
      </c>
      <c r="AI3298" s="470">
        <v>0</v>
      </c>
      <c r="AJ3298" s="471">
        <v>0</v>
      </c>
      <c r="AK3298" s="218">
        <v>0</v>
      </c>
      <c r="AL3298" s="470">
        <v>0</v>
      </c>
      <c r="AM3298" s="471">
        <v>0</v>
      </c>
      <c r="AN3298" s="477">
        <v>0</v>
      </c>
      <c r="AO3298" s="473">
        <v>0</v>
      </c>
      <c r="AP3298" s="474">
        <v>0</v>
      </c>
      <c r="AQ3298" s="352"/>
      <c r="AR3298" s="352"/>
      <c r="AS3298" s="352"/>
      <c r="AT3298" s="352"/>
      <c r="AU3298" s="352"/>
      <c r="AV3298" s="352"/>
      <c r="AW3298" s="352" t="s">
        <v>254</v>
      </c>
    </row>
    <row r="3299" spans="2:49" x14ac:dyDescent="0.2">
      <c r="B3299" s="460" t="s">
        <v>3337</v>
      </c>
      <c r="C3299" s="460">
        <v>4311</v>
      </c>
      <c r="D3299" s="460" t="s">
        <v>2358</v>
      </c>
      <c r="E3299" s="460" t="s">
        <v>1136</v>
      </c>
      <c r="F3299" s="460">
        <v>1</v>
      </c>
      <c r="G3299" s="460">
        <v>4</v>
      </c>
      <c r="H3299" s="461" t="s">
        <v>712</v>
      </c>
      <c r="I3299" s="461" t="s">
        <v>713</v>
      </c>
      <c r="J3299" s="461" t="s">
        <v>712</v>
      </c>
      <c r="K3299" s="594"/>
      <c r="L3299" s="594"/>
      <c r="M3299" s="352">
        <v>4000</v>
      </c>
      <c r="N3299" s="352" t="s">
        <v>716</v>
      </c>
      <c r="O3299" s="460">
        <v>4311</v>
      </c>
      <c r="P3299" s="460" t="s">
        <v>779</v>
      </c>
      <c r="Q3299" s="460" t="s">
        <v>2280</v>
      </c>
      <c r="R3299" s="460">
        <v>4311</v>
      </c>
      <c r="S3299" s="460" t="s">
        <v>1136</v>
      </c>
      <c r="T3299" s="462">
        <v>1</v>
      </c>
      <c r="U3299" s="460" t="s">
        <v>1136</v>
      </c>
      <c r="V3299" s="475">
        <v>0</v>
      </c>
      <c r="W3299" s="463" t="s">
        <v>713</v>
      </c>
      <c r="X3299" s="463" t="s">
        <v>713</v>
      </c>
      <c r="Y3299" s="463" t="s">
        <v>713</v>
      </c>
      <c r="Z3299" s="463"/>
      <c r="AA3299" s="463"/>
      <c r="AB3299" s="464">
        <v>2766.0944444739298</v>
      </c>
      <c r="AC3299" s="465">
        <v>0.69569715766533213</v>
      </c>
      <c r="AD3299" s="465">
        <v>1.8229586971952722E-2</v>
      </c>
      <c r="AE3299" s="476">
        <v>2766.5782958444825</v>
      </c>
      <c r="AF3299" s="467">
        <v>0.69581885055398185</v>
      </c>
      <c r="AG3299" s="468">
        <v>1.8229393991977157E-2</v>
      </c>
      <c r="AH3299" s="218">
        <v>2766.5782958444825</v>
      </c>
      <c r="AI3299" s="470">
        <v>0.69581885055398185</v>
      </c>
      <c r="AJ3299" s="471">
        <v>1.84146633692207E-2</v>
      </c>
      <c r="AK3299" s="218">
        <v>2766.5782958444825</v>
      </c>
      <c r="AL3299" s="470">
        <v>0.69581885055398185</v>
      </c>
      <c r="AM3299" s="471">
        <v>1.84146633692207E-2</v>
      </c>
      <c r="AN3299" s="477">
        <v>2766.5782958444825</v>
      </c>
      <c r="AO3299" s="473">
        <v>0.69581885055398185</v>
      </c>
      <c r="AP3299" s="474">
        <v>1.8384700140434831E-2</v>
      </c>
      <c r="AQ3299" s="352"/>
      <c r="AR3299" s="352"/>
      <c r="AS3299" s="352"/>
      <c r="AT3299" s="352"/>
      <c r="AU3299" s="352"/>
      <c r="AV3299" s="352"/>
      <c r="AW3299" s="352" t="s">
        <v>254</v>
      </c>
    </row>
    <row r="3300" spans="2:49" x14ac:dyDescent="0.2">
      <c r="B3300" s="460" t="s">
        <v>3338</v>
      </c>
      <c r="C3300" s="460">
        <v>4311</v>
      </c>
      <c r="D3300" s="460" t="s">
        <v>2359</v>
      </c>
      <c r="E3300" s="460" t="s">
        <v>1137</v>
      </c>
      <c r="F3300" s="460">
        <v>2</v>
      </c>
      <c r="G3300" s="460">
        <v>4</v>
      </c>
      <c r="H3300" s="461" t="s">
        <v>712</v>
      </c>
      <c r="I3300" s="461" t="s">
        <v>713</v>
      </c>
      <c r="J3300" s="461" t="s">
        <v>712</v>
      </c>
      <c r="K3300" s="594"/>
      <c r="L3300" s="594"/>
      <c r="M3300" s="352">
        <v>4000</v>
      </c>
      <c r="N3300" s="352" t="s">
        <v>716</v>
      </c>
      <c r="O3300" s="460">
        <v>4311</v>
      </c>
      <c r="P3300" s="460" t="s">
        <v>779</v>
      </c>
      <c r="Q3300" s="460" t="s">
        <v>2280</v>
      </c>
      <c r="R3300" s="460">
        <v>4311</v>
      </c>
      <c r="S3300" s="460" t="s">
        <v>1137</v>
      </c>
      <c r="T3300" s="462">
        <v>1</v>
      </c>
      <c r="U3300" s="460" t="s">
        <v>1137</v>
      </c>
      <c r="V3300" s="475">
        <v>0</v>
      </c>
      <c r="W3300" s="463" t="s">
        <v>713</v>
      </c>
      <c r="X3300" s="463" t="s">
        <v>713</v>
      </c>
      <c r="Y3300" s="463" t="s">
        <v>713</v>
      </c>
      <c r="Z3300" s="463"/>
      <c r="AA3300" s="463"/>
      <c r="AB3300" s="464">
        <v>1712.9039126413106</v>
      </c>
      <c r="AC3300" s="465">
        <v>0.24683376296335124</v>
      </c>
      <c r="AD3300" s="465">
        <v>9.9059596141693185E-3</v>
      </c>
      <c r="AE3300" s="476">
        <v>1719.0003085597828</v>
      </c>
      <c r="AF3300" s="467">
        <v>0.24771226895190401</v>
      </c>
      <c r="AG3300" s="468">
        <v>9.9229746243214047E-3</v>
      </c>
      <c r="AH3300" s="218">
        <v>1719.0003085597828</v>
      </c>
      <c r="AI3300" s="470">
        <v>0.24771226895190401</v>
      </c>
      <c r="AJ3300" s="471">
        <v>9.9700613169685318E-3</v>
      </c>
      <c r="AK3300" s="218">
        <v>1719.0003085597828</v>
      </c>
      <c r="AL3300" s="470">
        <v>0.24771226895190401</v>
      </c>
      <c r="AM3300" s="471">
        <v>9.9700613169685318E-3</v>
      </c>
      <c r="AN3300" s="477">
        <v>1719.0003085597828</v>
      </c>
      <c r="AO3300" s="473">
        <v>0.24771226895190401</v>
      </c>
      <c r="AP3300" s="474">
        <v>9.9618345861467623E-3</v>
      </c>
      <c r="AQ3300" s="352"/>
      <c r="AR3300" s="352"/>
      <c r="AS3300" s="352"/>
      <c r="AT3300" s="352"/>
      <c r="AU3300" s="352"/>
      <c r="AV3300" s="352"/>
      <c r="AW3300" s="352" t="s">
        <v>254</v>
      </c>
    </row>
    <row r="3301" spans="2:49" x14ac:dyDescent="0.2">
      <c r="B3301" s="460" t="s">
        <v>3339</v>
      </c>
      <c r="C3301" s="460">
        <v>4311</v>
      </c>
      <c r="D3301" s="460" t="s">
        <v>2360</v>
      </c>
      <c r="E3301" s="460" t="s">
        <v>1138</v>
      </c>
      <c r="F3301" s="460">
        <v>3</v>
      </c>
      <c r="G3301" s="460">
        <v>4</v>
      </c>
      <c r="H3301" s="461" t="s">
        <v>712</v>
      </c>
      <c r="I3301" s="461" t="s">
        <v>713</v>
      </c>
      <c r="J3301" s="461" t="s">
        <v>712</v>
      </c>
      <c r="K3301" s="594"/>
      <c r="L3301" s="594"/>
      <c r="M3301" s="352">
        <v>4000</v>
      </c>
      <c r="N3301" s="352" t="s">
        <v>716</v>
      </c>
      <c r="O3301" s="460">
        <v>4311</v>
      </c>
      <c r="P3301" s="460" t="s">
        <v>779</v>
      </c>
      <c r="Q3301" s="460" t="s">
        <v>2280</v>
      </c>
      <c r="R3301" s="460">
        <v>4311</v>
      </c>
      <c r="S3301" s="460" t="s">
        <v>1138</v>
      </c>
      <c r="T3301" s="462">
        <v>1</v>
      </c>
      <c r="U3301" s="460" t="s">
        <v>1138</v>
      </c>
      <c r="V3301" s="475">
        <v>0</v>
      </c>
      <c r="W3301" s="463" t="s">
        <v>713</v>
      </c>
      <c r="X3301" s="463" t="s">
        <v>713</v>
      </c>
      <c r="Y3301" s="463" t="s">
        <v>713</v>
      </c>
      <c r="Z3301" s="463"/>
      <c r="AA3301" s="463"/>
      <c r="AB3301" s="464">
        <v>1240.4009164969182</v>
      </c>
      <c r="AC3301" s="465">
        <v>0.48913501920175528</v>
      </c>
      <c r="AD3301" s="465">
        <v>1.5479641148670294E-2</v>
      </c>
      <c r="AE3301" s="476">
        <v>1243.6820481932791</v>
      </c>
      <c r="AF3301" s="467">
        <v>0.49042888830001063</v>
      </c>
      <c r="AG3301" s="468">
        <v>1.5486915560905807E-2</v>
      </c>
      <c r="AH3301" s="218">
        <v>1243.6820481932791</v>
      </c>
      <c r="AI3301" s="470">
        <v>0.49042888830001063</v>
      </c>
      <c r="AJ3301" s="471">
        <v>1.5668505418625942E-2</v>
      </c>
      <c r="AK3301" s="218">
        <v>1243.6820481932791</v>
      </c>
      <c r="AL3301" s="470">
        <v>0.49042888830001063</v>
      </c>
      <c r="AM3301" s="471">
        <v>1.5668505418625942E-2</v>
      </c>
      <c r="AN3301" s="477">
        <v>1243.6820481932791</v>
      </c>
      <c r="AO3301" s="473">
        <v>0.49042888830001063</v>
      </c>
      <c r="AP3301" s="474">
        <v>1.5667324576032142E-2</v>
      </c>
      <c r="AQ3301" s="352"/>
      <c r="AR3301" s="352"/>
      <c r="AS3301" s="352"/>
      <c r="AT3301" s="352"/>
      <c r="AU3301" s="352"/>
      <c r="AV3301" s="352"/>
      <c r="AW3301" s="352" t="s">
        <v>254</v>
      </c>
    </row>
    <row r="3302" spans="2:49" x14ac:dyDescent="0.2">
      <c r="B3302" s="460" t="s">
        <v>3340</v>
      </c>
      <c r="C3302" s="460">
        <v>4311</v>
      </c>
      <c r="D3302" s="460" t="s">
        <v>2361</v>
      </c>
      <c r="E3302" s="460" t="s">
        <v>1139</v>
      </c>
      <c r="F3302" s="460">
        <v>4</v>
      </c>
      <c r="G3302" s="460">
        <v>4</v>
      </c>
      <c r="H3302" s="461" t="s">
        <v>712</v>
      </c>
      <c r="I3302" s="461" t="s">
        <v>713</v>
      </c>
      <c r="J3302" s="461" t="s">
        <v>712</v>
      </c>
      <c r="K3302" s="594"/>
      <c r="L3302" s="594"/>
      <c r="M3302" s="352">
        <v>4000</v>
      </c>
      <c r="N3302" s="352" t="s">
        <v>716</v>
      </c>
      <c r="O3302" s="460">
        <v>4311</v>
      </c>
      <c r="P3302" s="460" t="s">
        <v>779</v>
      </c>
      <c r="Q3302" s="460" t="s">
        <v>2280</v>
      </c>
      <c r="R3302" s="460">
        <v>4311</v>
      </c>
      <c r="S3302" s="460" t="s">
        <v>1139</v>
      </c>
      <c r="T3302" s="462">
        <v>1</v>
      </c>
      <c r="U3302" s="460" t="s">
        <v>1139</v>
      </c>
      <c r="V3302" s="475">
        <v>0</v>
      </c>
      <c r="W3302" s="463" t="s">
        <v>713</v>
      </c>
      <c r="X3302" s="463" t="s">
        <v>713</v>
      </c>
      <c r="Y3302" s="463" t="s">
        <v>713</v>
      </c>
      <c r="Z3302" s="463"/>
      <c r="AA3302" s="463"/>
      <c r="AB3302" s="464">
        <v>2950.2820890530343</v>
      </c>
      <c r="AC3302" s="465">
        <v>0.20162278844025947</v>
      </c>
      <c r="AD3302" s="465">
        <v>3.2666217586982009E-2</v>
      </c>
      <c r="AE3302" s="476">
        <v>2950.2820890530347</v>
      </c>
      <c r="AF3302" s="467">
        <v>0.20162278844025949</v>
      </c>
      <c r="AG3302" s="468">
        <v>3.2666217586982016E-2</v>
      </c>
      <c r="AH3302" s="218">
        <v>2950.2820890530347</v>
      </c>
      <c r="AI3302" s="470">
        <v>0.20162278844025949</v>
      </c>
      <c r="AJ3302" s="471">
        <v>3.336879793142529E-2</v>
      </c>
      <c r="AK3302" s="218">
        <v>2950.2820890530347</v>
      </c>
      <c r="AL3302" s="470">
        <v>0.20162278844025949</v>
      </c>
      <c r="AM3302" s="471">
        <v>3.336879793142529E-2</v>
      </c>
      <c r="AN3302" s="477">
        <v>2950.2820890530347</v>
      </c>
      <c r="AO3302" s="473">
        <v>0.20162278844025949</v>
      </c>
      <c r="AP3302" s="474">
        <v>3.336879793142529E-2</v>
      </c>
      <c r="AQ3302" s="352"/>
      <c r="AR3302" s="352"/>
      <c r="AS3302" s="352"/>
      <c r="AT3302" s="352"/>
      <c r="AU3302" s="352"/>
      <c r="AV3302" s="352"/>
      <c r="AW3302" s="352" t="s">
        <v>254</v>
      </c>
    </row>
    <row r="3303" spans="2:49" x14ac:dyDescent="0.2">
      <c r="B3303" s="460" t="s">
        <v>3337</v>
      </c>
      <c r="C3303" s="460">
        <v>4311</v>
      </c>
      <c r="D3303" s="460" t="s">
        <v>2362</v>
      </c>
      <c r="E3303" s="460" t="s">
        <v>1136</v>
      </c>
      <c r="F3303" s="460">
        <v>1</v>
      </c>
      <c r="G3303" s="460">
        <v>4</v>
      </c>
      <c r="H3303" s="461" t="s">
        <v>746</v>
      </c>
      <c r="I3303" s="461" t="s">
        <v>762</v>
      </c>
      <c r="J3303" s="461" t="s">
        <v>700</v>
      </c>
      <c r="K3303" s="594"/>
      <c r="L3303" s="594"/>
      <c r="M3303" s="352">
        <v>4000</v>
      </c>
      <c r="N3303" s="352" t="s">
        <v>716</v>
      </c>
      <c r="O3303" s="460">
        <v>4311</v>
      </c>
      <c r="P3303" s="460" t="s">
        <v>779</v>
      </c>
      <c r="Q3303" s="460" t="s">
        <v>2444</v>
      </c>
      <c r="R3303" s="460">
        <v>4311</v>
      </c>
      <c r="S3303" s="460" t="s">
        <v>1136</v>
      </c>
      <c r="T3303" s="462">
        <v>1</v>
      </c>
      <c r="U3303" s="460" t="s">
        <v>1136</v>
      </c>
      <c r="V3303" s="475">
        <v>0</v>
      </c>
      <c r="W3303" s="463" t="s">
        <v>2268</v>
      </c>
      <c r="X3303" s="463" t="s">
        <v>2268</v>
      </c>
      <c r="Y3303" s="463" t="s">
        <v>2554</v>
      </c>
      <c r="Z3303" s="463"/>
      <c r="AA3303" s="463"/>
      <c r="AB3303" s="464">
        <v>0</v>
      </c>
      <c r="AC3303" s="465">
        <v>0</v>
      </c>
      <c r="AD3303" s="465">
        <v>0</v>
      </c>
      <c r="AE3303" s="476">
        <v>0</v>
      </c>
      <c r="AF3303" s="467">
        <v>0</v>
      </c>
      <c r="AG3303" s="468">
        <v>0</v>
      </c>
      <c r="AH3303" s="218">
        <v>0</v>
      </c>
      <c r="AI3303" s="470">
        <v>0</v>
      </c>
      <c r="AJ3303" s="471">
        <v>0</v>
      </c>
      <c r="AK3303" s="218">
        <v>0</v>
      </c>
      <c r="AL3303" s="470">
        <v>0</v>
      </c>
      <c r="AM3303" s="471">
        <v>0</v>
      </c>
      <c r="AN3303" s="477">
        <v>0.48385137055262833</v>
      </c>
      <c r="AO3303" s="473">
        <v>1.2169288864970693E-4</v>
      </c>
      <c r="AP3303" s="474">
        <v>2.1824073138412125E-3</v>
      </c>
      <c r="AQ3303" s="352"/>
      <c r="AR3303" s="352"/>
      <c r="AS3303" s="352"/>
      <c r="AT3303" s="352"/>
      <c r="AU3303" s="352"/>
      <c r="AV3303" s="352"/>
      <c r="AW3303" s="352" t="s">
        <v>254</v>
      </c>
    </row>
    <row r="3304" spans="2:49" x14ac:dyDescent="0.2">
      <c r="B3304" s="460" t="s">
        <v>3338</v>
      </c>
      <c r="C3304" s="460">
        <v>4311</v>
      </c>
      <c r="D3304" s="460" t="s">
        <v>2363</v>
      </c>
      <c r="E3304" s="460" t="s">
        <v>1137</v>
      </c>
      <c r="F3304" s="460">
        <v>2</v>
      </c>
      <c r="G3304" s="460">
        <v>4</v>
      </c>
      <c r="H3304" s="461" t="s">
        <v>746</v>
      </c>
      <c r="I3304" s="461" t="s">
        <v>762</v>
      </c>
      <c r="J3304" s="461" t="s">
        <v>700</v>
      </c>
      <c r="K3304" s="594"/>
      <c r="L3304" s="594"/>
      <c r="M3304" s="352">
        <v>4000</v>
      </c>
      <c r="N3304" s="352" t="s">
        <v>716</v>
      </c>
      <c r="O3304" s="460">
        <v>4311</v>
      </c>
      <c r="P3304" s="460" t="s">
        <v>779</v>
      </c>
      <c r="Q3304" s="460" t="s">
        <v>2444</v>
      </c>
      <c r="R3304" s="460">
        <v>4311</v>
      </c>
      <c r="S3304" s="460" t="s">
        <v>1137</v>
      </c>
      <c r="T3304" s="462">
        <v>1</v>
      </c>
      <c r="U3304" s="460" t="s">
        <v>1137</v>
      </c>
      <c r="V3304" s="475">
        <v>0</v>
      </c>
      <c r="W3304" s="463" t="s">
        <v>2268</v>
      </c>
      <c r="X3304" s="463" t="s">
        <v>2268</v>
      </c>
      <c r="Y3304" s="463" t="s">
        <v>2554</v>
      </c>
      <c r="Z3304" s="463"/>
      <c r="AA3304" s="463"/>
      <c r="AB3304" s="464">
        <v>0</v>
      </c>
      <c r="AC3304" s="465">
        <v>0</v>
      </c>
      <c r="AD3304" s="465">
        <v>0</v>
      </c>
      <c r="AE3304" s="476">
        <v>0</v>
      </c>
      <c r="AF3304" s="467">
        <v>0</v>
      </c>
      <c r="AG3304" s="468">
        <v>0</v>
      </c>
      <c r="AH3304" s="218">
        <v>0</v>
      </c>
      <c r="AI3304" s="470">
        <v>0</v>
      </c>
      <c r="AJ3304" s="471">
        <v>0</v>
      </c>
      <c r="AK3304" s="218">
        <v>0</v>
      </c>
      <c r="AL3304" s="470">
        <v>0</v>
      </c>
      <c r="AM3304" s="471">
        <v>0</v>
      </c>
      <c r="AN3304" s="477">
        <v>6.0963959184710443</v>
      </c>
      <c r="AO3304" s="473">
        <v>8.7850598855263083E-4</v>
      </c>
      <c r="AP3304" s="474">
        <v>1.6659229383795835E-3</v>
      </c>
      <c r="AQ3304" s="352"/>
      <c r="AR3304" s="352"/>
      <c r="AS3304" s="352"/>
      <c r="AT3304" s="352"/>
      <c r="AU3304" s="352"/>
      <c r="AV3304" s="352"/>
      <c r="AW3304" s="352" t="s">
        <v>254</v>
      </c>
    </row>
    <row r="3305" spans="2:49" x14ac:dyDescent="0.2">
      <c r="B3305" s="460" t="s">
        <v>3339</v>
      </c>
      <c r="C3305" s="460">
        <v>4311</v>
      </c>
      <c r="D3305" s="460" t="s">
        <v>2364</v>
      </c>
      <c r="E3305" s="460" t="s">
        <v>1138</v>
      </c>
      <c r="F3305" s="460">
        <v>3</v>
      </c>
      <c r="G3305" s="460">
        <v>4</v>
      </c>
      <c r="H3305" s="461" t="s">
        <v>746</v>
      </c>
      <c r="I3305" s="461" t="s">
        <v>762</v>
      </c>
      <c r="J3305" s="461" t="s">
        <v>700</v>
      </c>
      <c r="K3305" s="594"/>
      <c r="L3305" s="594"/>
      <c r="M3305" s="352">
        <v>4000</v>
      </c>
      <c r="N3305" s="352" t="s">
        <v>716</v>
      </c>
      <c r="O3305" s="460">
        <v>4311</v>
      </c>
      <c r="P3305" s="460" t="s">
        <v>779</v>
      </c>
      <c r="Q3305" s="460" t="s">
        <v>2444</v>
      </c>
      <c r="R3305" s="460">
        <v>4311</v>
      </c>
      <c r="S3305" s="460" t="s">
        <v>1138</v>
      </c>
      <c r="T3305" s="462">
        <v>1</v>
      </c>
      <c r="U3305" s="460" t="s">
        <v>1138</v>
      </c>
      <c r="V3305" s="475">
        <v>0</v>
      </c>
      <c r="W3305" s="463" t="s">
        <v>2268</v>
      </c>
      <c r="X3305" s="463" t="s">
        <v>2268</v>
      </c>
      <c r="Y3305" s="463" t="s">
        <v>2554</v>
      </c>
      <c r="Z3305" s="463"/>
      <c r="AA3305" s="463"/>
      <c r="AB3305" s="464">
        <v>0</v>
      </c>
      <c r="AC3305" s="465">
        <v>0</v>
      </c>
      <c r="AD3305" s="465">
        <v>0</v>
      </c>
      <c r="AE3305" s="476">
        <v>0</v>
      </c>
      <c r="AF3305" s="467">
        <v>0</v>
      </c>
      <c r="AG3305" s="468">
        <v>0</v>
      </c>
      <c r="AH3305" s="218">
        <v>0</v>
      </c>
      <c r="AI3305" s="470">
        <v>0</v>
      </c>
      <c r="AJ3305" s="471">
        <v>0</v>
      </c>
      <c r="AK3305" s="218">
        <v>0</v>
      </c>
      <c r="AL3305" s="470">
        <v>0</v>
      </c>
      <c r="AM3305" s="471">
        <v>0</v>
      </c>
      <c r="AN3305" s="477">
        <v>3.2811316963605903</v>
      </c>
      <c r="AO3305" s="473">
        <v>1.2938690982552275E-3</v>
      </c>
      <c r="AP3305" s="474">
        <v>1.6982448522683601E-3</v>
      </c>
      <c r="AQ3305" s="352"/>
      <c r="AR3305" s="352"/>
      <c r="AS3305" s="352"/>
      <c r="AT3305" s="352"/>
      <c r="AU3305" s="352"/>
      <c r="AV3305" s="352"/>
      <c r="AW3305" s="352" t="s">
        <v>254</v>
      </c>
    </row>
    <row r="3306" spans="2:49" x14ac:dyDescent="0.2">
      <c r="B3306" s="460" t="s">
        <v>3340</v>
      </c>
      <c r="C3306" s="460">
        <v>4311</v>
      </c>
      <c r="D3306" s="460" t="s">
        <v>2365</v>
      </c>
      <c r="E3306" s="460" t="s">
        <v>1139</v>
      </c>
      <c r="F3306" s="460">
        <v>4</v>
      </c>
      <c r="G3306" s="460">
        <v>4</v>
      </c>
      <c r="H3306" s="461" t="s">
        <v>746</v>
      </c>
      <c r="I3306" s="461" t="s">
        <v>762</v>
      </c>
      <c r="J3306" s="461" t="s">
        <v>700</v>
      </c>
      <c r="K3306" s="594"/>
      <c r="L3306" s="594"/>
      <c r="M3306" s="352">
        <v>4000</v>
      </c>
      <c r="N3306" s="352" t="s">
        <v>716</v>
      </c>
      <c r="O3306" s="460">
        <v>4311</v>
      </c>
      <c r="P3306" s="460" t="s">
        <v>779</v>
      </c>
      <c r="Q3306" s="460" t="s">
        <v>2444</v>
      </c>
      <c r="R3306" s="460">
        <v>4311</v>
      </c>
      <c r="S3306" s="460" t="s">
        <v>1139</v>
      </c>
      <c r="T3306" s="462">
        <v>1</v>
      </c>
      <c r="U3306" s="460" t="s">
        <v>1139</v>
      </c>
      <c r="V3306" s="475">
        <v>0</v>
      </c>
      <c r="W3306" s="463" t="s">
        <v>2268</v>
      </c>
      <c r="X3306" s="463" t="s">
        <v>2268</v>
      </c>
      <c r="Y3306" s="463" t="s">
        <v>2554</v>
      </c>
      <c r="Z3306" s="463"/>
      <c r="AA3306" s="463"/>
      <c r="AB3306" s="464">
        <v>0</v>
      </c>
      <c r="AC3306" s="465">
        <v>0</v>
      </c>
      <c r="AD3306" s="465">
        <v>0</v>
      </c>
      <c r="AE3306" s="476">
        <v>0</v>
      </c>
      <c r="AF3306" s="467">
        <v>0</v>
      </c>
      <c r="AG3306" s="468">
        <v>0</v>
      </c>
      <c r="AH3306" s="218">
        <v>0</v>
      </c>
      <c r="AI3306" s="470">
        <v>0</v>
      </c>
      <c r="AJ3306" s="471">
        <v>0</v>
      </c>
      <c r="AK3306" s="218">
        <v>0</v>
      </c>
      <c r="AL3306" s="470">
        <v>0</v>
      </c>
      <c r="AM3306" s="471">
        <v>0</v>
      </c>
      <c r="AN3306" s="477">
        <v>0</v>
      </c>
      <c r="AO3306" s="473">
        <v>0</v>
      </c>
      <c r="AP3306" s="474">
        <v>0</v>
      </c>
      <c r="AQ3306" s="352"/>
      <c r="AR3306" s="352"/>
      <c r="AS3306" s="352"/>
      <c r="AT3306" s="352"/>
      <c r="AU3306" s="352"/>
      <c r="AV3306" s="352"/>
      <c r="AW3306" s="352" t="s">
        <v>254</v>
      </c>
    </row>
    <row r="3307" spans="2:49" x14ac:dyDescent="0.2">
      <c r="B3307" s="460" t="s">
        <v>3337</v>
      </c>
      <c r="C3307" s="460">
        <v>4311</v>
      </c>
      <c r="D3307" s="460" t="s">
        <v>2366</v>
      </c>
      <c r="E3307" s="460" t="s">
        <v>1136</v>
      </c>
      <c r="F3307" s="460">
        <v>1</v>
      </c>
      <c r="G3307" s="460">
        <v>4</v>
      </c>
      <c r="H3307" s="461" t="s">
        <v>748</v>
      </c>
      <c r="I3307" s="461" t="s">
        <v>765</v>
      </c>
      <c r="J3307" s="461" t="s">
        <v>700</v>
      </c>
      <c r="K3307" s="594"/>
      <c r="L3307" s="594"/>
      <c r="M3307" s="352">
        <v>4000</v>
      </c>
      <c r="N3307" s="352" t="s">
        <v>716</v>
      </c>
      <c r="O3307" s="460">
        <v>4311</v>
      </c>
      <c r="P3307" s="460" t="s">
        <v>779</v>
      </c>
      <c r="Q3307" s="460" t="s">
        <v>2444</v>
      </c>
      <c r="R3307" s="460">
        <v>4311</v>
      </c>
      <c r="S3307" s="460" t="s">
        <v>1136</v>
      </c>
      <c r="T3307" s="462">
        <v>1</v>
      </c>
      <c r="U3307" s="460" t="s">
        <v>1136</v>
      </c>
      <c r="V3307" s="475">
        <v>0</v>
      </c>
      <c r="W3307" s="463" t="s">
        <v>2268</v>
      </c>
      <c r="X3307" s="463" t="s">
        <v>2268</v>
      </c>
      <c r="Y3307" s="463" t="s">
        <v>2554</v>
      </c>
      <c r="Z3307" s="463"/>
      <c r="AA3307" s="463"/>
      <c r="AB3307" s="464">
        <v>0</v>
      </c>
      <c r="AC3307" s="465">
        <v>0</v>
      </c>
      <c r="AD3307" s="465">
        <v>0</v>
      </c>
      <c r="AE3307" s="476">
        <v>0</v>
      </c>
      <c r="AF3307" s="467">
        <v>0</v>
      </c>
      <c r="AG3307" s="468">
        <v>0</v>
      </c>
      <c r="AH3307" s="218">
        <v>0</v>
      </c>
      <c r="AI3307" s="470">
        <v>0</v>
      </c>
      <c r="AJ3307" s="471">
        <v>0</v>
      </c>
      <c r="AK3307" s="218">
        <v>0</v>
      </c>
      <c r="AL3307" s="470">
        <v>0</v>
      </c>
      <c r="AM3307" s="471">
        <v>0</v>
      </c>
      <c r="AN3307" s="477">
        <v>0.24192568527631408</v>
      </c>
      <c r="AO3307" s="473">
        <v>6.0846444324853447E-5</v>
      </c>
      <c r="AP3307" s="474">
        <v>2.9724142530563588E-4</v>
      </c>
      <c r="AQ3307" s="352"/>
      <c r="AR3307" s="352"/>
      <c r="AS3307" s="352"/>
      <c r="AT3307" s="352"/>
      <c r="AU3307" s="352"/>
      <c r="AV3307" s="352"/>
      <c r="AW3307" s="352" t="s">
        <v>254</v>
      </c>
    </row>
    <row r="3308" spans="2:49" x14ac:dyDescent="0.2">
      <c r="B3308" s="460" t="s">
        <v>3338</v>
      </c>
      <c r="C3308" s="460">
        <v>4311</v>
      </c>
      <c r="D3308" s="460" t="s">
        <v>2367</v>
      </c>
      <c r="E3308" s="460" t="s">
        <v>1137</v>
      </c>
      <c r="F3308" s="460">
        <v>2</v>
      </c>
      <c r="G3308" s="460">
        <v>4</v>
      </c>
      <c r="H3308" s="461" t="s">
        <v>748</v>
      </c>
      <c r="I3308" s="461" t="s">
        <v>765</v>
      </c>
      <c r="J3308" s="461" t="s">
        <v>700</v>
      </c>
      <c r="K3308" s="594"/>
      <c r="L3308" s="594"/>
      <c r="M3308" s="352">
        <v>4000</v>
      </c>
      <c r="N3308" s="352" t="s">
        <v>716</v>
      </c>
      <c r="O3308" s="460">
        <v>4311</v>
      </c>
      <c r="P3308" s="460" t="s">
        <v>779</v>
      </c>
      <c r="Q3308" s="460" t="s">
        <v>2444</v>
      </c>
      <c r="R3308" s="460">
        <v>4311</v>
      </c>
      <c r="S3308" s="460" t="s">
        <v>1137</v>
      </c>
      <c r="T3308" s="462">
        <v>1</v>
      </c>
      <c r="U3308" s="460" t="s">
        <v>1137</v>
      </c>
      <c r="V3308" s="475">
        <v>0</v>
      </c>
      <c r="W3308" s="463" t="s">
        <v>2268</v>
      </c>
      <c r="X3308" s="463" t="s">
        <v>2268</v>
      </c>
      <c r="Y3308" s="463" t="s">
        <v>2554</v>
      </c>
      <c r="Z3308" s="463"/>
      <c r="AA3308" s="463"/>
      <c r="AB3308" s="464">
        <v>0</v>
      </c>
      <c r="AC3308" s="465">
        <v>0</v>
      </c>
      <c r="AD3308" s="465">
        <v>0</v>
      </c>
      <c r="AE3308" s="476">
        <v>0</v>
      </c>
      <c r="AF3308" s="467">
        <v>0</v>
      </c>
      <c r="AG3308" s="468">
        <v>0</v>
      </c>
      <c r="AH3308" s="218">
        <v>0</v>
      </c>
      <c r="AI3308" s="470">
        <v>0</v>
      </c>
      <c r="AJ3308" s="471">
        <v>0</v>
      </c>
      <c r="AK3308" s="218">
        <v>0</v>
      </c>
      <c r="AL3308" s="470">
        <v>0</v>
      </c>
      <c r="AM3308" s="471">
        <v>0</v>
      </c>
      <c r="AN3308" s="477">
        <v>3.0481979592355217</v>
      </c>
      <c r="AO3308" s="473">
        <v>4.3925299427631531E-4</v>
      </c>
      <c r="AP3308" s="474">
        <v>2.9360580666933831E-3</v>
      </c>
      <c r="AQ3308" s="352"/>
      <c r="AR3308" s="352"/>
      <c r="AS3308" s="352"/>
      <c r="AT3308" s="352"/>
      <c r="AU3308" s="352"/>
      <c r="AV3308" s="352"/>
      <c r="AW3308" s="352" t="s">
        <v>254</v>
      </c>
    </row>
    <row r="3309" spans="2:49" x14ac:dyDescent="0.2">
      <c r="B3309" s="460" t="s">
        <v>3339</v>
      </c>
      <c r="C3309" s="460">
        <v>4311</v>
      </c>
      <c r="D3309" s="460" t="s">
        <v>2368</v>
      </c>
      <c r="E3309" s="460" t="s">
        <v>1138</v>
      </c>
      <c r="F3309" s="460">
        <v>3</v>
      </c>
      <c r="G3309" s="460">
        <v>4</v>
      </c>
      <c r="H3309" s="461" t="s">
        <v>748</v>
      </c>
      <c r="I3309" s="461" t="s">
        <v>765</v>
      </c>
      <c r="J3309" s="461" t="s">
        <v>700</v>
      </c>
      <c r="K3309" s="594"/>
      <c r="L3309" s="594"/>
      <c r="M3309" s="352">
        <v>4000</v>
      </c>
      <c r="N3309" s="352" t="s">
        <v>716</v>
      </c>
      <c r="O3309" s="460">
        <v>4311</v>
      </c>
      <c r="P3309" s="460" t="s">
        <v>779</v>
      </c>
      <c r="Q3309" s="460" t="s">
        <v>2444</v>
      </c>
      <c r="R3309" s="460">
        <v>4311</v>
      </c>
      <c r="S3309" s="460" t="s">
        <v>1138</v>
      </c>
      <c r="T3309" s="462">
        <v>1</v>
      </c>
      <c r="U3309" s="460" t="s">
        <v>1138</v>
      </c>
      <c r="V3309" s="475">
        <v>0</v>
      </c>
      <c r="W3309" s="463" t="s">
        <v>2268</v>
      </c>
      <c r="X3309" s="463" t="s">
        <v>2268</v>
      </c>
      <c r="Y3309" s="463" t="s">
        <v>2554</v>
      </c>
      <c r="Z3309" s="463"/>
      <c r="AA3309" s="463"/>
      <c r="AB3309" s="464">
        <v>0</v>
      </c>
      <c r="AC3309" s="465">
        <v>0</v>
      </c>
      <c r="AD3309" s="465">
        <v>0</v>
      </c>
      <c r="AE3309" s="476">
        <v>0</v>
      </c>
      <c r="AF3309" s="467">
        <v>0</v>
      </c>
      <c r="AG3309" s="468">
        <v>0</v>
      </c>
      <c r="AH3309" s="218">
        <v>0</v>
      </c>
      <c r="AI3309" s="470">
        <v>0</v>
      </c>
      <c r="AJ3309" s="471">
        <v>0</v>
      </c>
      <c r="AK3309" s="218">
        <v>0</v>
      </c>
      <c r="AL3309" s="470">
        <v>0</v>
      </c>
      <c r="AM3309" s="471">
        <v>0</v>
      </c>
      <c r="AN3309" s="477">
        <v>1.6405658481802947</v>
      </c>
      <c r="AO3309" s="473">
        <v>6.4693454912761355E-4</v>
      </c>
      <c r="AP3309" s="474">
        <v>1.7021699089319151E-3</v>
      </c>
      <c r="AQ3309" s="352"/>
      <c r="AR3309" s="352"/>
      <c r="AS3309" s="352"/>
      <c r="AT3309" s="352"/>
      <c r="AU3309" s="352"/>
      <c r="AV3309" s="352"/>
      <c r="AW3309" s="352" t="s">
        <v>254</v>
      </c>
    </row>
    <row r="3310" spans="2:49" x14ac:dyDescent="0.2">
      <c r="B3310" s="460" t="s">
        <v>3340</v>
      </c>
      <c r="C3310" s="460">
        <v>4311</v>
      </c>
      <c r="D3310" s="460" t="s">
        <v>2369</v>
      </c>
      <c r="E3310" s="460" t="s">
        <v>1139</v>
      </c>
      <c r="F3310" s="460">
        <v>4</v>
      </c>
      <c r="G3310" s="460">
        <v>4</v>
      </c>
      <c r="H3310" s="461" t="s">
        <v>748</v>
      </c>
      <c r="I3310" s="461" t="s">
        <v>765</v>
      </c>
      <c r="J3310" s="461" t="s">
        <v>700</v>
      </c>
      <c r="K3310" s="594"/>
      <c r="L3310" s="594"/>
      <c r="M3310" s="352">
        <v>4000</v>
      </c>
      <c r="N3310" s="352" t="s">
        <v>716</v>
      </c>
      <c r="O3310" s="460">
        <v>4311</v>
      </c>
      <c r="P3310" s="460" t="s">
        <v>779</v>
      </c>
      <c r="Q3310" s="460" t="s">
        <v>2444</v>
      </c>
      <c r="R3310" s="460">
        <v>4311</v>
      </c>
      <c r="S3310" s="460" t="s">
        <v>1139</v>
      </c>
      <c r="T3310" s="462">
        <v>1</v>
      </c>
      <c r="U3310" s="460" t="s">
        <v>1139</v>
      </c>
      <c r="V3310" s="475">
        <v>0</v>
      </c>
      <c r="W3310" s="463" t="s">
        <v>2268</v>
      </c>
      <c r="X3310" s="463" t="s">
        <v>2268</v>
      </c>
      <c r="Y3310" s="463" t="s">
        <v>2554</v>
      </c>
      <c r="Z3310" s="463"/>
      <c r="AA3310" s="463"/>
      <c r="AB3310" s="464">
        <v>0</v>
      </c>
      <c r="AC3310" s="465">
        <v>0</v>
      </c>
      <c r="AD3310" s="465">
        <v>0</v>
      </c>
      <c r="AE3310" s="476">
        <v>0</v>
      </c>
      <c r="AF3310" s="467">
        <v>0</v>
      </c>
      <c r="AG3310" s="468">
        <v>0</v>
      </c>
      <c r="AH3310" s="218">
        <v>0</v>
      </c>
      <c r="AI3310" s="470">
        <v>0</v>
      </c>
      <c r="AJ3310" s="471">
        <v>0</v>
      </c>
      <c r="AK3310" s="218">
        <v>0</v>
      </c>
      <c r="AL3310" s="470">
        <v>0</v>
      </c>
      <c r="AM3310" s="471">
        <v>0</v>
      </c>
      <c r="AN3310" s="477">
        <v>0</v>
      </c>
      <c r="AO3310" s="473">
        <v>0</v>
      </c>
      <c r="AP3310" s="474">
        <v>0</v>
      </c>
      <c r="AQ3310" s="352"/>
      <c r="AR3310" s="352"/>
      <c r="AS3310" s="352"/>
      <c r="AT3310" s="352"/>
      <c r="AU3310" s="352"/>
      <c r="AV3310" s="352"/>
      <c r="AW3310" s="352" t="s">
        <v>254</v>
      </c>
    </row>
    <row r="3311" spans="2:49" x14ac:dyDescent="0.2">
      <c r="B3311" s="460" t="s">
        <v>3337</v>
      </c>
      <c r="C3311" s="460">
        <v>4311</v>
      </c>
      <c r="D3311" s="460" t="s">
        <v>3341</v>
      </c>
      <c r="E3311" s="460" t="s">
        <v>1136</v>
      </c>
      <c r="F3311" s="460">
        <v>1</v>
      </c>
      <c r="G3311" s="460">
        <v>4</v>
      </c>
      <c r="H3311" s="461" t="s">
        <v>750</v>
      </c>
      <c r="I3311" s="461" t="s">
        <v>963</v>
      </c>
      <c r="J3311" s="461" t="s">
        <v>750</v>
      </c>
      <c r="K3311" s="594"/>
      <c r="L3311" s="594"/>
      <c r="M3311" s="352">
        <v>4000</v>
      </c>
      <c r="N3311" s="352" t="s">
        <v>716</v>
      </c>
      <c r="O3311" s="460">
        <v>4311</v>
      </c>
      <c r="P3311" s="460" t="s">
        <v>779</v>
      </c>
      <c r="Q3311" s="460" t="s">
        <v>2440</v>
      </c>
      <c r="R3311" s="460">
        <v>4311</v>
      </c>
      <c r="S3311" s="460" t="s">
        <v>1136</v>
      </c>
      <c r="T3311" s="462">
        <v>1</v>
      </c>
      <c r="U3311" s="460" t="s">
        <v>1136</v>
      </c>
      <c r="V3311" s="475">
        <v>0</v>
      </c>
      <c r="W3311" s="463" t="s">
        <v>2267</v>
      </c>
      <c r="X3311" s="463" t="s">
        <v>2267</v>
      </c>
      <c r="Y3311" s="463" t="s">
        <v>2267</v>
      </c>
      <c r="Z3311" s="463"/>
      <c r="AA3311" s="463"/>
      <c r="AB3311" s="464">
        <v>1208.699586158147</v>
      </c>
      <c r="AC3311" s="465">
        <v>0.30399861011304358</v>
      </c>
      <c r="AD3311" s="465">
        <v>1</v>
      </c>
      <c r="AE3311" s="476">
        <v>1208.699586158147</v>
      </c>
      <c r="AF3311" s="467">
        <v>0.30399861011304358</v>
      </c>
      <c r="AG3311" s="468">
        <v>1</v>
      </c>
      <c r="AH3311" s="218">
        <v>1208.699586158147</v>
      </c>
      <c r="AI3311" s="470">
        <v>0.30399861011304358</v>
      </c>
      <c r="AJ3311" s="471">
        <v>1</v>
      </c>
      <c r="AK3311" s="218">
        <v>1208.699586158147</v>
      </c>
      <c r="AL3311" s="470">
        <v>0.30399861011304358</v>
      </c>
      <c r="AM3311" s="471">
        <v>1</v>
      </c>
      <c r="AN3311" s="477">
        <v>1208.699586158147</v>
      </c>
      <c r="AO3311" s="473">
        <v>0.30399861011304358</v>
      </c>
      <c r="AP3311" s="474">
        <v>1</v>
      </c>
      <c r="AQ3311" s="352"/>
      <c r="AR3311" s="352"/>
      <c r="AS3311" s="352"/>
      <c r="AT3311" s="352"/>
      <c r="AU3311" s="352"/>
      <c r="AV3311" s="352"/>
      <c r="AW3311" s="352" t="s">
        <v>254</v>
      </c>
    </row>
    <row r="3312" spans="2:49" x14ac:dyDescent="0.2">
      <c r="B3312" s="460" t="s">
        <v>3338</v>
      </c>
      <c r="C3312" s="460">
        <v>4311</v>
      </c>
      <c r="D3312" s="460" t="s">
        <v>3342</v>
      </c>
      <c r="E3312" s="460" t="s">
        <v>1137</v>
      </c>
      <c r="F3312" s="460">
        <v>2</v>
      </c>
      <c r="G3312" s="460">
        <v>4</v>
      </c>
      <c r="H3312" s="461" t="s">
        <v>750</v>
      </c>
      <c r="I3312" s="461" t="s">
        <v>963</v>
      </c>
      <c r="J3312" s="461" t="s">
        <v>750</v>
      </c>
      <c r="K3312" s="594"/>
      <c r="L3312" s="594"/>
      <c r="M3312" s="352">
        <v>4000</v>
      </c>
      <c r="N3312" s="352" t="s">
        <v>716</v>
      </c>
      <c r="O3312" s="460">
        <v>4311</v>
      </c>
      <c r="P3312" s="460" t="s">
        <v>779</v>
      </c>
      <c r="Q3312" s="460" t="s">
        <v>2440</v>
      </c>
      <c r="R3312" s="460">
        <v>4311</v>
      </c>
      <c r="S3312" s="460" t="s">
        <v>1137</v>
      </c>
      <c r="T3312" s="462">
        <v>1</v>
      </c>
      <c r="U3312" s="460" t="s">
        <v>1137</v>
      </c>
      <c r="V3312" s="475">
        <v>0</v>
      </c>
      <c r="W3312" s="463" t="s">
        <v>2267</v>
      </c>
      <c r="X3312" s="463" t="s">
        <v>2267</v>
      </c>
      <c r="Y3312" s="463" t="s">
        <v>2267</v>
      </c>
      <c r="Z3312" s="463"/>
      <c r="AA3312" s="463"/>
      <c r="AB3312" s="464">
        <v>5211.3592078475976</v>
      </c>
      <c r="AC3312" s="465">
        <v>0.75096997206526706</v>
      </c>
      <c r="AD3312" s="465">
        <v>1</v>
      </c>
      <c r="AE3312" s="476">
        <v>5211.3592078475976</v>
      </c>
      <c r="AF3312" s="467">
        <v>0.75096997206526706</v>
      </c>
      <c r="AG3312" s="468">
        <v>1</v>
      </c>
      <c r="AH3312" s="218">
        <v>5211.3592078475976</v>
      </c>
      <c r="AI3312" s="470">
        <v>0.75096997206526706</v>
      </c>
      <c r="AJ3312" s="471">
        <v>1</v>
      </c>
      <c r="AK3312" s="218">
        <v>5211.3592078475976</v>
      </c>
      <c r="AL3312" s="470">
        <v>0.75096997206526706</v>
      </c>
      <c r="AM3312" s="471">
        <v>1</v>
      </c>
      <c r="AN3312" s="477">
        <v>5211.3592078475976</v>
      </c>
      <c r="AO3312" s="473">
        <v>0.75096997206526706</v>
      </c>
      <c r="AP3312" s="474">
        <v>1</v>
      </c>
      <c r="AQ3312" s="352"/>
      <c r="AR3312" s="352"/>
      <c r="AS3312" s="352"/>
      <c r="AT3312" s="352"/>
      <c r="AU3312" s="352"/>
      <c r="AV3312" s="352"/>
      <c r="AW3312" s="352" t="s">
        <v>254</v>
      </c>
    </row>
    <row r="3313" spans="2:49" x14ac:dyDescent="0.2">
      <c r="B3313" s="460" t="s">
        <v>3339</v>
      </c>
      <c r="C3313" s="460">
        <v>4311</v>
      </c>
      <c r="D3313" s="460" t="s">
        <v>3343</v>
      </c>
      <c r="E3313" s="460" t="s">
        <v>1138</v>
      </c>
      <c r="F3313" s="460">
        <v>3</v>
      </c>
      <c r="G3313" s="460">
        <v>4</v>
      </c>
      <c r="H3313" s="461" t="s">
        <v>750</v>
      </c>
      <c r="I3313" s="461" t="s">
        <v>963</v>
      </c>
      <c r="J3313" s="461" t="s">
        <v>750</v>
      </c>
      <c r="K3313" s="594"/>
      <c r="L3313" s="594"/>
      <c r="M3313" s="352">
        <v>4000</v>
      </c>
      <c r="N3313" s="352" t="s">
        <v>716</v>
      </c>
      <c r="O3313" s="460">
        <v>4311</v>
      </c>
      <c r="P3313" s="460" t="s">
        <v>779</v>
      </c>
      <c r="Q3313" s="460" t="s">
        <v>2440</v>
      </c>
      <c r="R3313" s="460">
        <v>4311</v>
      </c>
      <c r="S3313" s="460" t="s">
        <v>1138</v>
      </c>
      <c r="T3313" s="462">
        <v>1</v>
      </c>
      <c r="U3313" s="460" t="s">
        <v>1138</v>
      </c>
      <c r="V3313" s="475">
        <v>0</v>
      </c>
      <c r="W3313" s="463" t="s">
        <v>2267</v>
      </c>
      <c r="X3313" s="463" t="s">
        <v>2267</v>
      </c>
      <c r="Y3313" s="463" t="s">
        <v>2267</v>
      </c>
      <c r="Z3313" s="463"/>
      <c r="AA3313" s="463"/>
      <c r="AB3313" s="464">
        <v>1287.303248860916</v>
      </c>
      <c r="AC3313" s="465">
        <v>0.50763030805260656</v>
      </c>
      <c r="AD3313" s="465">
        <v>1</v>
      </c>
      <c r="AE3313" s="476">
        <v>1287.303248860916</v>
      </c>
      <c r="AF3313" s="467">
        <v>0.50763030805260656</v>
      </c>
      <c r="AG3313" s="468">
        <v>1</v>
      </c>
      <c r="AH3313" s="218">
        <v>1287.303248860916</v>
      </c>
      <c r="AI3313" s="470">
        <v>0.50763030805260656</v>
      </c>
      <c r="AJ3313" s="471">
        <v>1</v>
      </c>
      <c r="AK3313" s="218">
        <v>1287.303248860916</v>
      </c>
      <c r="AL3313" s="470">
        <v>0.50763030805260656</v>
      </c>
      <c r="AM3313" s="471">
        <v>1</v>
      </c>
      <c r="AN3313" s="477">
        <v>1287.303248860916</v>
      </c>
      <c r="AO3313" s="473">
        <v>0.50763030805260656</v>
      </c>
      <c r="AP3313" s="474">
        <v>1</v>
      </c>
      <c r="AQ3313" s="352"/>
      <c r="AR3313" s="352"/>
      <c r="AS3313" s="352"/>
      <c r="AT3313" s="352"/>
      <c r="AU3313" s="352"/>
      <c r="AV3313" s="352"/>
      <c r="AW3313" s="352" t="s">
        <v>254</v>
      </c>
    </row>
    <row r="3314" spans="2:49" x14ac:dyDescent="0.2">
      <c r="B3314" s="460" t="s">
        <v>3340</v>
      </c>
      <c r="C3314" s="460">
        <v>4311</v>
      </c>
      <c r="D3314" s="460" t="s">
        <v>3344</v>
      </c>
      <c r="E3314" s="460" t="s">
        <v>1139</v>
      </c>
      <c r="F3314" s="460">
        <v>4</v>
      </c>
      <c r="G3314" s="460">
        <v>4</v>
      </c>
      <c r="H3314" s="461" t="s">
        <v>750</v>
      </c>
      <c r="I3314" s="461" t="s">
        <v>963</v>
      </c>
      <c r="J3314" s="461" t="s">
        <v>750</v>
      </c>
      <c r="K3314" s="594"/>
      <c r="L3314" s="594"/>
      <c r="M3314" s="352">
        <v>4000</v>
      </c>
      <c r="N3314" s="352" t="s">
        <v>716</v>
      </c>
      <c r="O3314" s="460">
        <v>4311</v>
      </c>
      <c r="P3314" s="460" t="s">
        <v>779</v>
      </c>
      <c r="Q3314" s="460" t="s">
        <v>2440</v>
      </c>
      <c r="R3314" s="460">
        <v>4311</v>
      </c>
      <c r="S3314" s="460" t="s">
        <v>1139</v>
      </c>
      <c r="T3314" s="462">
        <v>1</v>
      </c>
      <c r="U3314" s="460" t="s">
        <v>1139</v>
      </c>
      <c r="V3314" s="475">
        <v>0</v>
      </c>
      <c r="W3314" s="463" t="s">
        <v>2267</v>
      </c>
      <c r="X3314" s="463" t="s">
        <v>2267</v>
      </c>
      <c r="Y3314" s="463" t="s">
        <v>2267</v>
      </c>
      <c r="Z3314" s="463"/>
      <c r="AA3314" s="463"/>
      <c r="AB3314" s="464">
        <v>11682.399622554176</v>
      </c>
      <c r="AC3314" s="465">
        <v>0.79837721155974051</v>
      </c>
      <c r="AD3314" s="465">
        <v>1</v>
      </c>
      <c r="AE3314" s="476">
        <v>11682.399622554176</v>
      </c>
      <c r="AF3314" s="467">
        <v>0.79837721155974051</v>
      </c>
      <c r="AG3314" s="468">
        <v>1</v>
      </c>
      <c r="AH3314" s="218">
        <v>11682.399622554176</v>
      </c>
      <c r="AI3314" s="470">
        <v>0.79837721155974051</v>
      </c>
      <c r="AJ3314" s="471">
        <v>1</v>
      </c>
      <c r="AK3314" s="218">
        <v>11682.399622554176</v>
      </c>
      <c r="AL3314" s="470">
        <v>0.79837721155974051</v>
      </c>
      <c r="AM3314" s="471">
        <v>1</v>
      </c>
      <c r="AN3314" s="477">
        <v>11682.399622554176</v>
      </c>
      <c r="AO3314" s="473">
        <v>0.79837721155974051</v>
      </c>
      <c r="AP3314" s="474">
        <v>1</v>
      </c>
      <c r="AQ3314" s="352"/>
      <c r="AR3314" s="352"/>
      <c r="AS3314" s="352"/>
      <c r="AT3314" s="352"/>
      <c r="AU3314" s="352"/>
      <c r="AV3314" s="352"/>
      <c r="AW3314" s="352" t="s">
        <v>254</v>
      </c>
    </row>
    <row r="3315" spans="2:49" x14ac:dyDescent="0.2">
      <c r="B3315" s="460" t="s">
        <v>3345</v>
      </c>
      <c r="C3315" s="460">
        <v>4311</v>
      </c>
      <c r="D3315" s="460" t="s">
        <v>2375</v>
      </c>
      <c r="E3315" s="460" t="s">
        <v>2376</v>
      </c>
      <c r="F3315" s="460">
        <v>1</v>
      </c>
      <c r="G3315" s="460">
        <v>5</v>
      </c>
      <c r="H3315" s="461" t="s">
        <v>754</v>
      </c>
      <c r="I3315" s="461" t="s">
        <v>1991</v>
      </c>
      <c r="J3315" s="461" t="s">
        <v>754</v>
      </c>
      <c r="K3315" s="594"/>
      <c r="L3315" s="594"/>
      <c r="M3315" s="352">
        <v>4000</v>
      </c>
      <c r="N3315" s="352" t="s">
        <v>716</v>
      </c>
      <c r="O3315" s="460">
        <v>4311</v>
      </c>
      <c r="P3315" s="460" t="s">
        <v>779</v>
      </c>
      <c r="Q3315" s="460" t="s">
        <v>2377</v>
      </c>
      <c r="R3315" s="460">
        <v>4311</v>
      </c>
      <c r="S3315" s="460" t="s">
        <v>2376</v>
      </c>
      <c r="T3315" s="462">
        <v>1</v>
      </c>
      <c r="U3315" s="460" t="s">
        <v>2376</v>
      </c>
      <c r="V3315" s="475">
        <v>0</v>
      </c>
      <c r="W3315" s="463" t="s">
        <v>2278</v>
      </c>
      <c r="X3315" s="463" t="s">
        <v>2278</v>
      </c>
      <c r="Y3315" s="463" t="s">
        <v>2278</v>
      </c>
      <c r="Z3315" s="463"/>
      <c r="AA3315" s="463"/>
      <c r="AB3315" s="464">
        <v>69540.497804316707</v>
      </c>
      <c r="AC3315" s="465">
        <v>1</v>
      </c>
      <c r="AD3315" s="465">
        <v>0.11690486723611426</v>
      </c>
      <c r="AE3315" s="476">
        <v>69540.497804316707</v>
      </c>
      <c r="AF3315" s="467">
        <v>1</v>
      </c>
      <c r="AG3315" s="468">
        <v>0.11690486723611426</v>
      </c>
      <c r="AH3315" s="218">
        <v>69540.497804316707</v>
      </c>
      <c r="AI3315" s="470">
        <v>1</v>
      </c>
      <c r="AJ3315" s="471">
        <v>0.11690486723611426</v>
      </c>
      <c r="AK3315" s="218">
        <v>69540.497804316707</v>
      </c>
      <c r="AL3315" s="470">
        <v>1</v>
      </c>
      <c r="AM3315" s="471">
        <v>0.11690486723611426</v>
      </c>
      <c r="AN3315" s="477">
        <v>69540.497804316707</v>
      </c>
      <c r="AO3315" s="473">
        <v>1</v>
      </c>
      <c r="AP3315" s="474">
        <v>0.11690486723611426</v>
      </c>
      <c r="AQ3315" s="352"/>
      <c r="AR3315" s="352"/>
      <c r="AS3315" s="352"/>
      <c r="AT3315" s="352"/>
      <c r="AU3315" s="352"/>
      <c r="AV3315" s="352"/>
      <c r="AW3315" s="352" t="s">
        <v>127</v>
      </c>
    </row>
    <row r="3316" spans="2:49" x14ac:dyDescent="0.2">
      <c r="B3316" s="460" t="s">
        <v>3346</v>
      </c>
      <c r="C3316" s="460">
        <v>4311</v>
      </c>
      <c r="D3316" s="460" t="s">
        <v>2379</v>
      </c>
      <c r="E3316" s="460" t="s">
        <v>2380</v>
      </c>
      <c r="F3316" s="460">
        <v>2</v>
      </c>
      <c r="G3316" s="460">
        <v>5</v>
      </c>
      <c r="H3316" s="461" t="s">
        <v>754</v>
      </c>
      <c r="I3316" s="461" t="s">
        <v>1991</v>
      </c>
      <c r="J3316" s="461" t="s">
        <v>754</v>
      </c>
      <c r="K3316" s="594"/>
      <c r="L3316" s="594"/>
      <c r="M3316" s="352">
        <v>4000</v>
      </c>
      <c r="N3316" s="352" t="s">
        <v>716</v>
      </c>
      <c r="O3316" s="460">
        <v>4311</v>
      </c>
      <c r="P3316" s="460" t="s">
        <v>779</v>
      </c>
      <c r="Q3316" s="460" t="s">
        <v>2377</v>
      </c>
      <c r="R3316" s="460">
        <v>4311</v>
      </c>
      <c r="S3316" s="460" t="s">
        <v>2380</v>
      </c>
      <c r="T3316" s="462">
        <v>1</v>
      </c>
      <c r="U3316" s="460" t="s">
        <v>2380</v>
      </c>
      <c r="V3316" s="475">
        <v>0</v>
      </c>
      <c r="W3316" s="463" t="s">
        <v>2278</v>
      </c>
      <c r="X3316" s="463" t="s">
        <v>2278</v>
      </c>
      <c r="Y3316" s="463" t="s">
        <v>2278</v>
      </c>
      <c r="Z3316" s="463"/>
      <c r="AA3316" s="463"/>
      <c r="AB3316" s="464">
        <v>62625.812454411309</v>
      </c>
      <c r="AC3316" s="465">
        <v>1</v>
      </c>
      <c r="AD3316" s="465">
        <v>0.1233229816124031</v>
      </c>
      <c r="AE3316" s="476">
        <v>62625.812454411309</v>
      </c>
      <c r="AF3316" s="467">
        <v>1</v>
      </c>
      <c r="AG3316" s="468">
        <v>0.1233229816124031</v>
      </c>
      <c r="AH3316" s="218">
        <v>62625.812454411309</v>
      </c>
      <c r="AI3316" s="470">
        <v>1</v>
      </c>
      <c r="AJ3316" s="471">
        <v>0.1233229816124031</v>
      </c>
      <c r="AK3316" s="218">
        <v>62625.812454411309</v>
      </c>
      <c r="AL3316" s="470">
        <v>1</v>
      </c>
      <c r="AM3316" s="471">
        <v>0.1233229816124031</v>
      </c>
      <c r="AN3316" s="477">
        <v>62625.812454411309</v>
      </c>
      <c r="AO3316" s="473">
        <v>1</v>
      </c>
      <c r="AP3316" s="474">
        <v>0.1233229816124031</v>
      </c>
      <c r="AQ3316" s="352"/>
      <c r="AR3316" s="352"/>
      <c r="AS3316" s="352"/>
      <c r="AT3316" s="352"/>
      <c r="AU3316" s="352"/>
      <c r="AV3316" s="352"/>
      <c r="AW3316" s="352" t="s">
        <v>127</v>
      </c>
    </row>
    <row r="3317" spans="2:49" x14ac:dyDescent="0.2">
      <c r="B3317" s="460" t="s">
        <v>3347</v>
      </c>
      <c r="C3317" s="460">
        <v>4311</v>
      </c>
      <c r="D3317" s="460" t="s">
        <v>2382</v>
      </c>
      <c r="E3317" s="460" t="s">
        <v>2383</v>
      </c>
      <c r="F3317" s="460">
        <v>3</v>
      </c>
      <c r="G3317" s="460">
        <v>5</v>
      </c>
      <c r="H3317" s="461" t="s">
        <v>754</v>
      </c>
      <c r="I3317" s="461" t="s">
        <v>1991</v>
      </c>
      <c r="J3317" s="461" t="s">
        <v>754</v>
      </c>
      <c r="K3317" s="594"/>
      <c r="L3317" s="594"/>
      <c r="M3317" s="352">
        <v>4000</v>
      </c>
      <c r="N3317" s="352" t="s">
        <v>716</v>
      </c>
      <c r="O3317" s="460">
        <v>4311</v>
      </c>
      <c r="P3317" s="460" t="s">
        <v>779</v>
      </c>
      <c r="Q3317" s="460" t="s">
        <v>2377</v>
      </c>
      <c r="R3317" s="460">
        <v>4311</v>
      </c>
      <c r="S3317" s="460" t="s">
        <v>2383</v>
      </c>
      <c r="T3317" s="462">
        <v>1</v>
      </c>
      <c r="U3317" s="460" t="s">
        <v>2383</v>
      </c>
      <c r="V3317" s="475">
        <v>0</v>
      </c>
      <c r="W3317" s="463" t="s">
        <v>2278</v>
      </c>
      <c r="X3317" s="463" t="s">
        <v>2278</v>
      </c>
      <c r="Y3317" s="463" t="s">
        <v>2278</v>
      </c>
      <c r="Z3317" s="463"/>
      <c r="AA3317" s="463"/>
      <c r="AB3317" s="464">
        <v>11392.126080866587</v>
      </c>
      <c r="AC3317" s="465">
        <v>1</v>
      </c>
      <c r="AD3317" s="465">
        <v>0.10126071406785855</v>
      </c>
      <c r="AE3317" s="476">
        <v>11392.126080866587</v>
      </c>
      <c r="AF3317" s="467">
        <v>1</v>
      </c>
      <c r="AG3317" s="468">
        <v>0.10126071406785855</v>
      </c>
      <c r="AH3317" s="218">
        <v>11392.126080866587</v>
      </c>
      <c r="AI3317" s="470">
        <v>1</v>
      </c>
      <c r="AJ3317" s="471">
        <v>0.10126071406785855</v>
      </c>
      <c r="AK3317" s="218">
        <v>11392.126080866587</v>
      </c>
      <c r="AL3317" s="470">
        <v>1</v>
      </c>
      <c r="AM3317" s="471">
        <v>0.10126071406785855</v>
      </c>
      <c r="AN3317" s="477">
        <v>11392.126080866587</v>
      </c>
      <c r="AO3317" s="473">
        <v>1</v>
      </c>
      <c r="AP3317" s="474">
        <v>0.10126071406785855</v>
      </c>
      <c r="AQ3317" s="352"/>
      <c r="AR3317" s="352"/>
      <c r="AS3317" s="352"/>
      <c r="AT3317" s="352"/>
      <c r="AU3317" s="352"/>
      <c r="AV3317" s="352"/>
      <c r="AW3317" s="352" t="s">
        <v>127</v>
      </c>
    </row>
    <row r="3318" spans="2:49" x14ac:dyDescent="0.2">
      <c r="B3318" s="460" t="s">
        <v>3348</v>
      </c>
      <c r="C3318" s="460">
        <v>4311</v>
      </c>
      <c r="D3318" s="460" t="s">
        <v>2385</v>
      </c>
      <c r="E3318" s="460" t="s">
        <v>2386</v>
      </c>
      <c r="F3318" s="460">
        <v>4</v>
      </c>
      <c r="G3318" s="460">
        <v>5</v>
      </c>
      <c r="H3318" s="461" t="s">
        <v>754</v>
      </c>
      <c r="I3318" s="461" t="s">
        <v>1991</v>
      </c>
      <c r="J3318" s="461" t="s">
        <v>754</v>
      </c>
      <c r="K3318" s="594"/>
      <c r="L3318" s="594"/>
      <c r="M3318" s="352">
        <v>4000</v>
      </c>
      <c r="N3318" s="352" t="s">
        <v>716</v>
      </c>
      <c r="O3318" s="460">
        <v>4311</v>
      </c>
      <c r="P3318" s="460" t="s">
        <v>779</v>
      </c>
      <c r="Q3318" s="460" t="s">
        <v>2377</v>
      </c>
      <c r="R3318" s="460">
        <v>4311</v>
      </c>
      <c r="S3318" s="460" t="s">
        <v>2386</v>
      </c>
      <c r="T3318" s="462">
        <v>1</v>
      </c>
      <c r="U3318" s="460" t="s">
        <v>2386</v>
      </c>
      <c r="V3318" s="475">
        <v>0</v>
      </c>
      <c r="W3318" s="463" t="s">
        <v>2278</v>
      </c>
      <c r="X3318" s="463" t="s">
        <v>2278</v>
      </c>
      <c r="Y3318" s="463" t="s">
        <v>2278</v>
      </c>
      <c r="Z3318" s="463"/>
      <c r="AA3318" s="463"/>
      <c r="AB3318" s="464">
        <v>1093.0833555852248</v>
      </c>
      <c r="AC3318" s="465">
        <v>1</v>
      </c>
      <c r="AD3318" s="465">
        <v>2.0277502385331055E-2</v>
      </c>
      <c r="AE3318" s="476">
        <v>1093.0833555852248</v>
      </c>
      <c r="AF3318" s="467">
        <v>1</v>
      </c>
      <c r="AG3318" s="468">
        <v>2.0277502385331055E-2</v>
      </c>
      <c r="AH3318" s="218">
        <v>1093.0833555852248</v>
      </c>
      <c r="AI3318" s="470">
        <v>1</v>
      </c>
      <c r="AJ3318" s="471">
        <v>2.0277502385331055E-2</v>
      </c>
      <c r="AK3318" s="218">
        <v>1093.0833555852248</v>
      </c>
      <c r="AL3318" s="470">
        <v>1</v>
      </c>
      <c r="AM3318" s="471">
        <v>2.0277502385331055E-2</v>
      </c>
      <c r="AN3318" s="477">
        <v>1093.0833555852248</v>
      </c>
      <c r="AO3318" s="473">
        <v>1</v>
      </c>
      <c r="AP3318" s="474">
        <v>2.0277502385331055E-2</v>
      </c>
      <c r="AQ3318" s="352"/>
      <c r="AR3318" s="352"/>
      <c r="AS3318" s="352"/>
      <c r="AT3318" s="352"/>
      <c r="AU3318" s="352"/>
      <c r="AV3318" s="352"/>
      <c r="AW3318" s="352" t="s">
        <v>127</v>
      </c>
    </row>
    <row r="3319" spans="2:49" x14ac:dyDescent="0.2">
      <c r="B3319" s="460" t="s">
        <v>3349</v>
      </c>
      <c r="C3319" s="460">
        <v>7000</v>
      </c>
      <c r="D3319" s="460" t="s">
        <v>2264</v>
      </c>
      <c r="E3319" s="460" t="s">
        <v>2265</v>
      </c>
      <c r="F3319" s="460">
        <v>1</v>
      </c>
      <c r="G3319" s="460">
        <v>1</v>
      </c>
      <c r="H3319" s="461" t="s">
        <v>700</v>
      </c>
      <c r="I3319" s="461" t="s">
        <v>872</v>
      </c>
      <c r="J3319" s="461" t="s">
        <v>700</v>
      </c>
      <c r="K3319" s="594"/>
      <c r="L3319" s="594"/>
      <c r="M3319" s="352">
        <v>7000</v>
      </c>
      <c r="N3319" s="352" t="s">
        <v>1891</v>
      </c>
      <c r="O3319" s="460">
        <v>4411</v>
      </c>
      <c r="P3319" s="460" t="s">
        <v>1888</v>
      </c>
      <c r="Q3319" s="460" t="s">
        <v>2553</v>
      </c>
      <c r="R3319" s="460">
        <v>4411</v>
      </c>
      <c r="S3319" s="460" t="s">
        <v>2265</v>
      </c>
      <c r="T3319" s="462">
        <v>1</v>
      </c>
      <c r="U3319" s="460" t="s">
        <v>2265</v>
      </c>
      <c r="V3319" s="475">
        <v>0</v>
      </c>
      <c r="W3319" s="463" t="s">
        <v>2554</v>
      </c>
      <c r="X3319" s="463" t="s">
        <v>2554</v>
      </c>
      <c r="Y3319" s="463" t="s">
        <v>2268</v>
      </c>
      <c r="Z3319" s="463"/>
      <c r="AA3319" s="463"/>
      <c r="AB3319" s="464">
        <v>0</v>
      </c>
      <c r="AC3319" s="465">
        <v>0</v>
      </c>
      <c r="AD3319" s="465">
        <v>0</v>
      </c>
      <c r="AE3319" s="476">
        <v>0</v>
      </c>
      <c r="AF3319" s="467">
        <v>0</v>
      </c>
      <c r="AG3319" s="468">
        <v>0</v>
      </c>
      <c r="AH3319" s="218">
        <v>0</v>
      </c>
      <c r="AI3319" s="470">
        <v>0</v>
      </c>
      <c r="AJ3319" s="471">
        <v>0</v>
      </c>
      <c r="AK3319" s="218">
        <v>0</v>
      </c>
      <c r="AL3319" s="470">
        <v>0</v>
      </c>
      <c r="AM3319" s="471">
        <v>0</v>
      </c>
      <c r="AN3319" s="477">
        <v>0</v>
      </c>
      <c r="AO3319" s="473">
        <v>0</v>
      </c>
      <c r="AP3319" s="474">
        <v>0</v>
      </c>
      <c r="AQ3319" s="352"/>
      <c r="AR3319" s="352"/>
      <c r="AS3319" s="352"/>
      <c r="AT3319" s="352"/>
      <c r="AU3319" s="352"/>
      <c r="AV3319" s="352"/>
      <c r="AW3319" s="352" t="s">
        <v>254</v>
      </c>
    </row>
    <row r="3320" spans="2:49" x14ac:dyDescent="0.2">
      <c r="B3320" s="460" t="s">
        <v>3350</v>
      </c>
      <c r="C3320" s="460">
        <v>7000</v>
      </c>
      <c r="D3320" s="460" t="s">
        <v>2270</v>
      </c>
      <c r="E3320" s="460" t="s">
        <v>2271</v>
      </c>
      <c r="F3320" s="460">
        <v>2</v>
      </c>
      <c r="G3320" s="460">
        <v>1</v>
      </c>
      <c r="H3320" s="461" t="s">
        <v>700</v>
      </c>
      <c r="I3320" s="461" t="s">
        <v>872</v>
      </c>
      <c r="J3320" s="461" t="s">
        <v>700</v>
      </c>
      <c r="K3320" s="594"/>
      <c r="L3320" s="594"/>
      <c r="M3320" s="352">
        <v>7000</v>
      </c>
      <c r="N3320" s="352" t="s">
        <v>1891</v>
      </c>
      <c r="O3320" s="460">
        <v>4411</v>
      </c>
      <c r="P3320" s="460" t="s">
        <v>1888</v>
      </c>
      <c r="Q3320" s="460" t="s">
        <v>2553</v>
      </c>
      <c r="R3320" s="460">
        <v>4411</v>
      </c>
      <c r="S3320" s="460" t="s">
        <v>2265</v>
      </c>
      <c r="T3320" s="462">
        <v>1</v>
      </c>
      <c r="U3320" s="460" t="s">
        <v>2271</v>
      </c>
      <c r="V3320" s="475">
        <v>0</v>
      </c>
      <c r="W3320" s="463" t="s">
        <v>2554</v>
      </c>
      <c r="X3320" s="463" t="s">
        <v>2554</v>
      </c>
      <c r="Y3320" s="463" t="s">
        <v>2268</v>
      </c>
      <c r="Z3320" s="463"/>
      <c r="AA3320" s="463"/>
      <c r="AB3320" s="464">
        <v>0</v>
      </c>
      <c r="AC3320" s="465">
        <v>0</v>
      </c>
      <c r="AD3320" s="465">
        <v>0</v>
      </c>
      <c r="AE3320" s="476">
        <v>0</v>
      </c>
      <c r="AF3320" s="467">
        <v>0</v>
      </c>
      <c r="AG3320" s="468">
        <v>0</v>
      </c>
      <c r="AH3320" s="218">
        <v>0</v>
      </c>
      <c r="AI3320" s="470">
        <v>0</v>
      </c>
      <c r="AJ3320" s="471">
        <v>0</v>
      </c>
      <c r="AK3320" s="218">
        <v>0</v>
      </c>
      <c r="AL3320" s="470">
        <v>0</v>
      </c>
      <c r="AM3320" s="471">
        <v>0</v>
      </c>
      <c r="AN3320" s="477">
        <v>0</v>
      </c>
      <c r="AO3320" s="473">
        <v>0</v>
      </c>
      <c r="AP3320" s="474">
        <v>0</v>
      </c>
      <c r="AQ3320" s="352"/>
      <c r="AR3320" s="352"/>
      <c r="AS3320" s="352"/>
      <c r="AT3320" s="352"/>
      <c r="AU3320" s="352"/>
      <c r="AV3320" s="352"/>
      <c r="AW3320" s="352" t="s">
        <v>254</v>
      </c>
    </row>
    <row r="3321" spans="2:49" x14ac:dyDescent="0.2">
      <c r="B3321" s="460" t="s">
        <v>3351</v>
      </c>
      <c r="C3321" s="460">
        <v>7000</v>
      </c>
      <c r="D3321" s="460" t="s">
        <v>2273</v>
      </c>
      <c r="E3321" s="460" t="s">
        <v>2274</v>
      </c>
      <c r="F3321" s="460">
        <v>3</v>
      </c>
      <c r="G3321" s="460">
        <v>1</v>
      </c>
      <c r="H3321" s="461" t="s">
        <v>700</v>
      </c>
      <c r="I3321" s="461" t="s">
        <v>872</v>
      </c>
      <c r="J3321" s="461" t="s">
        <v>700</v>
      </c>
      <c r="K3321" s="594"/>
      <c r="L3321" s="594"/>
      <c r="M3321" s="352">
        <v>7000</v>
      </c>
      <c r="N3321" s="352" t="s">
        <v>1891</v>
      </c>
      <c r="O3321" s="460">
        <v>4411</v>
      </c>
      <c r="P3321" s="460" t="s">
        <v>1888</v>
      </c>
      <c r="Q3321" s="460" t="s">
        <v>2553</v>
      </c>
      <c r="R3321" s="460">
        <v>4411</v>
      </c>
      <c r="S3321" s="460" t="s">
        <v>2265</v>
      </c>
      <c r="T3321" s="462">
        <v>0.74223365950407583</v>
      </c>
      <c r="U3321" s="460" t="s">
        <v>2274</v>
      </c>
      <c r="V3321" s="475">
        <v>0</v>
      </c>
      <c r="W3321" s="463" t="s">
        <v>2554</v>
      </c>
      <c r="X3321" s="463" t="s">
        <v>2554</v>
      </c>
      <c r="Y3321" s="463" t="s">
        <v>2268</v>
      </c>
      <c r="Z3321" s="463"/>
      <c r="AA3321" s="463"/>
      <c r="AB3321" s="464">
        <v>0</v>
      </c>
      <c r="AC3321" s="465">
        <v>0</v>
      </c>
      <c r="AD3321" s="465">
        <v>0</v>
      </c>
      <c r="AE3321" s="476">
        <v>0</v>
      </c>
      <c r="AF3321" s="467">
        <v>0</v>
      </c>
      <c r="AG3321" s="468">
        <v>0</v>
      </c>
      <c r="AH3321" s="218">
        <v>0</v>
      </c>
      <c r="AI3321" s="470">
        <v>0</v>
      </c>
      <c r="AJ3321" s="471">
        <v>0</v>
      </c>
      <c r="AK3321" s="218">
        <v>0</v>
      </c>
      <c r="AL3321" s="470">
        <v>0</v>
      </c>
      <c r="AM3321" s="471">
        <v>0</v>
      </c>
      <c r="AN3321" s="477">
        <v>0</v>
      </c>
      <c r="AO3321" s="473">
        <v>0</v>
      </c>
      <c r="AP3321" s="474">
        <v>0</v>
      </c>
      <c r="AQ3321" s="352"/>
      <c r="AR3321" s="352"/>
      <c r="AS3321" s="352"/>
      <c r="AT3321" s="352"/>
      <c r="AU3321" s="352"/>
      <c r="AV3321" s="352"/>
      <c r="AW3321" s="352" t="s">
        <v>254</v>
      </c>
    </row>
    <row r="3322" spans="2:49" x14ac:dyDescent="0.2">
      <c r="B3322" s="460" t="s">
        <v>3352</v>
      </c>
      <c r="C3322" s="460">
        <v>7000</v>
      </c>
      <c r="D3322" s="460" t="s">
        <v>2276</v>
      </c>
      <c r="E3322" s="460" t="s">
        <v>2277</v>
      </c>
      <c r="F3322" s="460">
        <v>4</v>
      </c>
      <c r="G3322" s="460">
        <v>1</v>
      </c>
      <c r="H3322" s="461" t="s">
        <v>700</v>
      </c>
      <c r="I3322" s="461" t="s">
        <v>872</v>
      </c>
      <c r="J3322" s="461" t="s">
        <v>700</v>
      </c>
      <c r="K3322" s="594"/>
      <c r="L3322" s="594"/>
      <c r="M3322" s="352">
        <v>7000</v>
      </c>
      <c r="N3322" s="352" t="s">
        <v>1891</v>
      </c>
      <c r="O3322" s="460">
        <v>4411</v>
      </c>
      <c r="P3322" s="460" t="s">
        <v>1888</v>
      </c>
      <c r="Q3322" s="460" t="s">
        <v>2553</v>
      </c>
      <c r="R3322" s="460">
        <v>4411</v>
      </c>
      <c r="S3322" s="460" t="s">
        <v>2277</v>
      </c>
      <c r="T3322" s="462">
        <v>1</v>
      </c>
      <c r="U3322" s="460" t="s">
        <v>2277</v>
      </c>
      <c r="V3322" s="475">
        <v>0</v>
      </c>
      <c r="W3322" s="463" t="s">
        <v>2554</v>
      </c>
      <c r="X3322" s="463" t="s">
        <v>2554</v>
      </c>
      <c r="Y3322" s="463" t="s">
        <v>2268</v>
      </c>
      <c r="Z3322" s="463"/>
      <c r="AA3322" s="463"/>
      <c r="AB3322" s="464">
        <v>0</v>
      </c>
      <c r="AC3322" s="465">
        <v>0</v>
      </c>
      <c r="AD3322" s="465">
        <v>0</v>
      </c>
      <c r="AE3322" s="476">
        <v>0</v>
      </c>
      <c r="AF3322" s="467">
        <v>0</v>
      </c>
      <c r="AG3322" s="468">
        <v>0</v>
      </c>
      <c r="AH3322" s="218">
        <v>0</v>
      </c>
      <c r="AI3322" s="470">
        <v>0</v>
      </c>
      <c r="AJ3322" s="471">
        <v>0</v>
      </c>
      <c r="AK3322" s="218">
        <v>0</v>
      </c>
      <c r="AL3322" s="470">
        <v>0</v>
      </c>
      <c r="AM3322" s="471">
        <v>0</v>
      </c>
      <c r="AN3322" s="477">
        <v>0</v>
      </c>
      <c r="AO3322" s="473">
        <v>0</v>
      </c>
      <c r="AP3322" s="474">
        <v>0</v>
      </c>
      <c r="AQ3322" s="352"/>
      <c r="AR3322" s="352"/>
      <c r="AS3322" s="352"/>
      <c r="AT3322" s="352"/>
      <c r="AU3322" s="352"/>
      <c r="AV3322" s="352"/>
      <c r="AW3322" s="352" t="s">
        <v>254</v>
      </c>
    </row>
    <row r="3323" spans="2:49" x14ac:dyDescent="0.2">
      <c r="B3323" s="460" t="s">
        <v>3349</v>
      </c>
      <c r="C3323" s="460">
        <v>7000</v>
      </c>
      <c r="D3323" s="460" t="s">
        <v>2279</v>
      </c>
      <c r="E3323" s="460" t="s">
        <v>2265</v>
      </c>
      <c r="F3323" s="460">
        <v>1</v>
      </c>
      <c r="G3323" s="460">
        <v>1</v>
      </c>
      <c r="H3323" s="461" t="s">
        <v>712</v>
      </c>
      <c r="I3323" s="461" t="s">
        <v>713</v>
      </c>
      <c r="J3323" s="461" t="s">
        <v>712</v>
      </c>
      <c r="K3323" s="594"/>
      <c r="L3323" s="594"/>
      <c r="M3323" s="352">
        <v>7000</v>
      </c>
      <c r="N3323" s="352" t="s">
        <v>1891</v>
      </c>
      <c r="O3323" s="460">
        <v>4411</v>
      </c>
      <c r="P3323" s="460" t="s">
        <v>1888</v>
      </c>
      <c r="Q3323" s="460" t="s">
        <v>2280</v>
      </c>
      <c r="R3323" s="460">
        <v>4411</v>
      </c>
      <c r="S3323" s="460" t="s">
        <v>2265</v>
      </c>
      <c r="T3323" s="462">
        <v>1</v>
      </c>
      <c r="U3323" s="460" t="s">
        <v>2265</v>
      </c>
      <c r="V3323" s="475">
        <v>0</v>
      </c>
      <c r="W3323" s="463" t="s">
        <v>713</v>
      </c>
      <c r="X3323" s="463" t="s">
        <v>713</v>
      </c>
      <c r="Y3323" s="463" t="s">
        <v>713</v>
      </c>
      <c r="Z3323" s="463"/>
      <c r="AA3323" s="463"/>
      <c r="AB3323" s="464">
        <v>2792.68541618789</v>
      </c>
      <c r="AC3323" s="465">
        <v>1</v>
      </c>
      <c r="AD3323" s="465">
        <v>1.0316662889452471E-2</v>
      </c>
      <c r="AE3323" s="476">
        <v>2792.68541618789</v>
      </c>
      <c r="AF3323" s="467">
        <v>1</v>
      </c>
      <c r="AG3323" s="468">
        <v>1.0060748875888972E-2</v>
      </c>
      <c r="AH3323" s="218">
        <v>2792.68541618789</v>
      </c>
      <c r="AI3323" s="470">
        <v>1</v>
      </c>
      <c r="AJ3323" s="471">
        <v>1.0205003376151961E-2</v>
      </c>
      <c r="AK3323" s="218">
        <v>2792.68541618789</v>
      </c>
      <c r="AL3323" s="470">
        <v>1</v>
      </c>
      <c r="AM3323" s="471">
        <v>1.0205003376151961E-2</v>
      </c>
      <c r="AN3323" s="477">
        <v>2792.68541618789</v>
      </c>
      <c r="AO3323" s="473">
        <v>1</v>
      </c>
      <c r="AP3323" s="474">
        <v>1.0201678176767724E-2</v>
      </c>
      <c r="AQ3323" s="352"/>
      <c r="AR3323" s="352"/>
      <c r="AS3323" s="352"/>
      <c r="AT3323" s="352"/>
      <c r="AU3323" s="352"/>
      <c r="AV3323" s="352"/>
      <c r="AW3323" s="352" t="s">
        <v>254</v>
      </c>
    </row>
    <row r="3324" spans="2:49" x14ac:dyDescent="0.2">
      <c r="B3324" s="460" t="s">
        <v>3350</v>
      </c>
      <c r="C3324" s="460">
        <v>7000</v>
      </c>
      <c r="D3324" s="460" t="s">
        <v>2281</v>
      </c>
      <c r="E3324" s="460" t="s">
        <v>2271</v>
      </c>
      <c r="F3324" s="460">
        <v>2</v>
      </c>
      <c r="G3324" s="460">
        <v>1</v>
      </c>
      <c r="H3324" s="461" t="s">
        <v>712</v>
      </c>
      <c r="I3324" s="461" t="s">
        <v>713</v>
      </c>
      <c r="J3324" s="461" t="s">
        <v>712</v>
      </c>
      <c r="K3324" s="594"/>
      <c r="L3324" s="594"/>
      <c r="M3324" s="352">
        <v>7000</v>
      </c>
      <c r="N3324" s="352" t="s">
        <v>1891</v>
      </c>
      <c r="O3324" s="460">
        <v>4411</v>
      </c>
      <c r="P3324" s="460" t="s">
        <v>1888</v>
      </c>
      <c r="Q3324" s="460" t="s">
        <v>2280</v>
      </c>
      <c r="R3324" s="460">
        <v>4411</v>
      </c>
      <c r="S3324" s="460" t="s">
        <v>2265</v>
      </c>
      <c r="T3324" s="462">
        <v>1</v>
      </c>
      <c r="U3324" s="460" t="s">
        <v>2271</v>
      </c>
      <c r="V3324" s="475">
        <v>0</v>
      </c>
      <c r="W3324" s="463" t="s">
        <v>713</v>
      </c>
      <c r="X3324" s="463" t="s">
        <v>713</v>
      </c>
      <c r="Y3324" s="463" t="s">
        <v>713</v>
      </c>
      <c r="Z3324" s="463"/>
      <c r="AA3324" s="463"/>
      <c r="AB3324" s="464">
        <v>2162.0409351805579</v>
      </c>
      <c r="AC3324" s="465">
        <v>1</v>
      </c>
      <c r="AD3324" s="465">
        <v>9.0285112783079352E-3</v>
      </c>
      <c r="AE3324" s="476">
        <v>2162.0409351805579</v>
      </c>
      <c r="AF3324" s="467">
        <v>1</v>
      </c>
      <c r="AG3324" s="468">
        <v>8.7998468451657066E-3</v>
      </c>
      <c r="AH3324" s="218">
        <v>2162.0409351805579</v>
      </c>
      <c r="AI3324" s="470">
        <v>1</v>
      </c>
      <c r="AJ3324" s="471">
        <v>9.2884424172883645E-3</v>
      </c>
      <c r="AK3324" s="218">
        <v>2162.0409351805579</v>
      </c>
      <c r="AL3324" s="470">
        <v>1</v>
      </c>
      <c r="AM3324" s="471">
        <v>9.2884424172883645E-3</v>
      </c>
      <c r="AN3324" s="477">
        <v>2162.0409351805579</v>
      </c>
      <c r="AO3324" s="473">
        <v>1</v>
      </c>
      <c r="AP3324" s="474">
        <v>9.2851809404496926E-3</v>
      </c>
      <c r="AQ3324" s="352"/>
      <c r="AR3324" s="352"/>
      <c r="AS3324" s="352"/>
      <c r="AT3324" s="352"/>
      <c r="AU3324" s="352"/>
      <c r="AV3324" s="352"/>
      <c r="AW3324" s="352" t="s">
        <v>254</v>
      </c>
    </row>
    <row r="3325" spans="2:49" x14ac:dyDescent="0.2">
      <c r="B3325" s="460" t="s">
        <v>3351</v>
      </c>
      <c r="C3325" s="460">
        <v>7000</v>
      </c>
      <c r="D3325" s="460" t="s">
        <v>2282</v>
      </c>
      <c r="E3325" s="460" t="s">
        <v>2274</v>
      </c>
      <c r="F3325" s="460">
        <v>3</v>
      </c>
      <c r="G3325" s="460">
        <v>1</v>
      </c>
      <c r="H3325" s="461" t="s">
        <v>712</v>
      </c>
      <c r="I3325" s="461" t="s">
        <v>713</v>
      </c>
      <c r="J3325" s="461" t="s">
        <v>712</v>
      </c>
      <c r="K3325" s="594"/>
      <c r="L3325" s="594"/>
      <c r="M3325" s="352">
        <v>7000</v>
      </c>
      <c r="N3325" s="352" t="s">
        <v>1891</v>
      </c>
      <c r="O3325" s="460">
        <v>4411</v>
      </c>
      <c r="P3325" s="460" t="s">
        <v>1888</v>
      </c>
      <c r="Q3325" s="460" t="s">
        <v>2280</v>
      </c>
      <c r="R3325" s="460">
        <v>4411</v>
      </c>
      <c r="S3325" s="460" t="s">
        <v>2265</v>
      </c>
      <c r="T3325" s="462">
        <v>0.74223365950407583</v>
      </c>
      <c r="U3325" s="460" t="s">
        <v>2274</v>
      </c>
      <c r="V3325" s="475">
        <v>0</v>
      </c>
      <c r="W3325" s="463" t="s">
        <v>713</v>
      </c>
      <c r="X3325" s="463" t="s">
        <v>713</v>
      </c>
      <c r="Y3325" s="463" t="s">
        <v>713</v>
      </c>
      <c r="Z3325" s="463"/>
      <c r="AA3325" s="463"/>
      <c r="AB3325" s="464">
        <v>777.92623714377555</v>
      </c>
      <c r="AC3325" s="465">
        <v>1</v>
      </c>
      <c r="AD3325" s="465">
        <v>4.6560538084773704E-3</v>
      </c>
      <c r="AE3325" s="476">
        <v>777.92623714377555</v>
      </c>
      <c r="AF3325" s="467">
        <v>1</v>
      </c>
      <c r="AG3325" s="468">
        <v>4.6131957819455687E-3</v>
      </c>
      <c r="AH3325" s="218">
        <v>777.92623714377555</v>
      </c>
      <c r="AI3325" s="470">
        <v>1</v>
      </c>
      <c r="AJ3325" s="471">
        <v>4.8886212821328354E-3</v>
      </c>
      <c r="AK3325" s="218">
        <v>777.92623714377555</v>
      </c>
      <c r="AL3325" s="470">
        <v>1</v>
      </c>
      <c r="AM3325" s="471">
        <v>4.8886212821328354E-3</v>
      </c>
      <c r="AN3325" s="477">
        <v>777.92623714377555</v>
      </c>
      <c r="AO3325" s="473">
        <v>1</v>
      </c>
      <c r="AP3325" s="474">
        <v>4.9238877807024411E-3</v>
      </c>
      <c r="AQ3325" s="352"/>
      <c r="AR3325" s="352"/>
      <c r="AS3325" s="352"/>
      <c r="AT3325" s="352"/>
      <c r="AU3325" s="352"/>
      <c r="AV3325" s="352"/>
      <c r="AW3325" s="352" t="s">
        <v>254</v>
      </c>
    </row>
    <row r="3326" spans="2:49" x14ac:dyDescent="0.2">
      <c r="B3326" s="460" t="s">
        <v>3352</v>
      </c>
      <c r="C3326" s="460">
        <v>7000</v>
      </c>
      <c r="D3326" s="460" t="s">
        <v>2283</v>
      </c>
      <c r="E3326" s="460" t="s">
        <v>2277</v>
      </c>
      <c r="F3326" s="460">
        <v>4</v>
      </c>
      <c r="G3326" s="460">
        <v>1</v>
      </c>
      <c r="H3326" s="461" t="s">
        <v>712</v>
      </c>
      <c r="I3326" s="461" t="s">
        <v>713</v>
      </c>
      <c r="J3326" s="461" t="s">
        <v>712</v>
      </c>
      <c r="K3326" s="594"/>
      <c r="L3326" s="594"/>
      <c r="M3326" s="352">
        <v>7000</v>
      </c>
      <c r="N3326" s="352" t="s">
        <v>1891</v>
      </c>
      <c r="O3326" s="460">
        <v>4411</v>
      </c>
      <c r="P3326" s="460" t="s">
        <v>1888</v>
      </c>
      <c r="Q3326" s="460" t="s">
        <v>2280</v>
      </c>
      <c r="R3326" s="460">
        <v>4411</v>
      </c>
      <c r="S3326" s="460" t="s">
        <v>2277</v>
      </c>
      <c r="T3326" s="462">
        <v>1</v>
      </c>
      <c r="U3326" s="460" t="s">
        <v>2277</v>
      </c>
      <c r="V3326" s="475">
        <v>0</v>
      </c>
      <c r="W3326" s="463" t="s">
        <v>713</v>
      </c>
      <c r="X3326" s="463" t="s">
        <v>713</v>
      </c>
      <c r="Y3326" s="463" t="s">
        <v>713</v>
      </c>
      <c r="Z3326" s="463"/>
      <c r="AA3326" s="463"/>
      <c r="AB3326" s="464">
        <v>881.98927458277126</v>
      </c>
      <c r="AC3326" s="465">
        <v>1</v>
      </c>
      <c r="AD3326" s="465">
        <v>4.5804127361319729E-3</v>
      </c>
      <c r="AE3326" s="476">
        <v>881.98927458277126</v>
      </c>
      <c r="AF3326" s="467">
        <v>1</v>
      </c>
      <c r="AG3326" s="468">
        <v>4.5797910375450336E-3</v>
      </c>
      <c r="AH3326" s="218">
        <v>881.98927458277126</v>
      </c>
      <c r="AI3326" s="470">
        <v>1</v>
      </c>
      <c r="AJ3326" s="471">
        <v>4.5800194832408252E-3</v>
      </c>
      <c r="AK3326" s="218">
        <v>881.98927458277126</v>
      </c>
      <c r="AL3326" s="470">
        <v>1</v>
      </c>
      <c r="AM3326" s="471">
        <v>4.5800194832408252E-3</v>
      </c>
      <c r="AN3326" s="477">
        <v>881.98927458277126</v>
      </c>
      <c r="AO3326" s="473">
        <v>1</v>
      </c>
      <c r="AP3326" s="474">
        <v>4.5800423211140705E-3</v>
      </c>
      <c r="AQ3326" s="352"/>
      <c r="AR3326" s="352"/>
      <c r="AS3326" s="352"/>
      <c r="AT3326" s="352"/>
      <c r="AU3326" s="352"/>
      <c r="AV3326" s="352"/>
      <c r="AW3326" s="352" t="s">
        <v>254</v>
      </c>
    </row>
    <row r="3327" spans="2:49" x14ac:dyDescent="0.2">
      <c r="B3327" s="460" t="s">
        <v>3349</v>
      </c>
      <c r="C3327" s="460">
        <v>7000</v>
      </c>
      <c r="D3327" s="460" t="s">
        <v>2284</v>
      </c>
      <c r="E3327" s="460" t="s">
        <v>2265</v>
      </c>
      <c r="F3327" s="460">
        <v>1</v>
      </c>
      <c r="G3327" s="460">
        <v>1</v>
      </c>
      <c r="H3327" s="461" t="s">
        <v>746</v>
      </c>
      <c r="I3327" s="461" t="s">
        <v>762</v>
      </c>
      <c r="J3327" s="461" t="s">
        <v>700</v>
      </c>
      <c r="K3327" s="594"/>
      <c r="L3327" s="594"/>
      <c r="M3327" s="352">
        <v>7000</v>
      </c>
      <c r="N3327" s="352" t="s">
        <v>1891</v>
      </c>
      <c r="O3327" s="460">
        <v>4411</v>
      </c>
      <c r="P3327" s="460" t="s">
        <v>1888</v>
      </c>
      <c r="Q3327" s="460" t="s">
        <v>2553</v>
      </c>
      <c r="R3327" s="460">
        <v>4411</v>
      </c>
      <c r="S3327" s="460" t="s">
        <v>2265</v>
      </c>
      <c r="T3327" s="462">
        <v>1</v>
      </c>
      <c r="U3327" s="460" t="s">
        <v>2265</v>
      </c>
      <c r="V3327" s="475">
        <v>0</v>
      </c>
      <c r="W3327" s="463" t="s">
        <v>2268</v>
      </c>
      <c r="X3327" s="463" t="s">
        <v>2268</v>
      </c>
      <c r="Y3327" s="463" t="s">
        <v>2554</v>
      </c>
      <c r="Z3327" s="463"/>
      <c r="AA3327" s="463"/>
      <c r="AB3327" s="464">
        <v>0</v>
      </c>
      <c r="AC3327" s="465">
        <v>0</v>
      </c>
      <c r="AD3327" s="465">
        <v>0</v>
      </c>
      <c r="AE3327" s="476">
        <v>0</v>
      </c>
      <c r="AF3327" s="467">
        <v>0</v>
      </c>
      <c r="AG3327" s="468">
        <v>0</v>
      </c>
      <c r="AH3327" s="218">
        <v>0</v>
      </c>
      <c r="AI3327" s="470">
        <v>0</v>
      </c>
      <c r="AJ3327" s="471">
        <v>0</v>
      </c>
      <c r="AK3327" s="218">
        <v>0</v>
      </c>
      <c r="AL3327" s="470">
        <v>0</v>
      </c>
      <c r="AM3327" s="471">
        <v>0</v>
      </c>
      <c r="AN3327" s="477">
        <v>0</v>
      </c>
      <c r="AO3327" s="473">
        <v>0</v>
      </c>
      <c r="AP3327" s="474">
        <v>0</v>
      </c>
      <c r="AQ3327" s="352"/>
      <c r="AR3327" s="352"/>
      <c r="AS3327" s="352"/>
      <c r="AT3327" s="352"/>
      <c r="AU3327" s="352"/>
      <c r="AV3327" s="352"/>
      <c r="AW3327" s="352" t="s">
        <v>254</v>
      </c>
    </row>
    <row r="3328" spans="2:49" x14ac:dyDescent="0.2">
      <c r="B3328" s="460" t="s">
        <v>3350</v>
      </c>
      <c r="C3328" s="460">
        <v>7000</v>
      </c>
      <c r="D3328" s="460" t="s">
        <v>2285</v>
      </c>
      <c r="E3328" s="460" t="s">
        <v>2271</v>
      </c>
      <c r="F3328" s="460">
        <v>2</v>
      </c>
      <c r="G3328" s="460">
        <v>1</v>
      </c>
      <c r="H3328" s="461" t="s">
        <v>746</v>
      </c>
      <c r="I3328" s="461" t="s">
        <v>762</v>
      </c>
      <c r="J3328" s="461" t="s">
        <v>700</v>
      </c>
      <c r="K3328" s="594"/>
      <c r="L3328" s="594"/>
      <c r="M3328" s="352">
        <v>7000</v>
      </c>
      <c r="N3328" s="352" t="s">
        <v>1891</v>
      </c>
      <c r="O3328" s="460">
        <v>4411</v>
      </c>
      <c r="P3328" s="460" t="s">
        <v>1888</v>
      </c>
      <c r="Q3328" s="460" t="s">
        <v>2553</v>
      </c>
      <c r="R3328" s="460">
        <v>4411</v>
      </c>
      <c r="S3328" s="460" t="s">
        <v>2265</v>
      </c>
      <c r="T3328" s="462">
        <v>1</v>
      </c>
      <c r="U3328" s="460" t="s">
        <v>2271</v>
      </c>
      <c r="V3328" s="475">
        <v>0</v>
      </c>
      <c r="W3328" s="463" t="s">
        <v>2268</v>
      </c>
      <c r="X3328" s="463" t="s">
        <v>2268</v>
      </c>
      <c r="Y3328" s="463" t="s">
        <v>2554</v>
      </c>
      <c r="Z3328" s="463"/>
      <c r="AA3328" s="463"/>
      <c r="AB3328" s="464">
        <v>0</v>
      </c>
      <c r="AC3328" s="465">
        <v>0</v>
      </c>
      <c r="AD3328" s="465">
        <v>0</v>
      </c>
      <c r="AE3328" s="476">
        <v>0</v>
      </c>
      <c r="AF3328" s="467">
        <v>0</v>
      </c>
      <c r="AG3328" s="468">
        <v>0</v>
      </c>
      <c r="AH3328" s="218">
        <v>0</v>
      </c>
      <c r="AI3328" s="470">
        <v>0</v>
      </c>
      <c r="AJ3328" s="471">
        <v>0</v>
      </c>
      <c r="AK3328" s="218">
        <v>0</v>
      </c>
      <c r="AL3328" s="470">
        <v>0</v>
      </c>
      <c r="AM3328" s="471">
        <v>0</v>
      </c>
      <c r="AN3328" s="477">
        <v>0</v>
      </c>
      <c r="AO3328" s="473">
        <v>0</v>
      </c>
      <c r="AP3328" s="474">
        <v>0</v>
      </c>
      <c r="AQ3328" s="352"/>
      <c r="AR3328" s="352"/>
      <c r="AS3328" s="352"/>
      <c r="AT3328" s="352"/>
      <c r="AU3328" s="352"/>
      <c r="AV3328" s="352"/>
      <c r="AW3328" s="352" t="s">
        <v>254</v>
      </c>
    </row>
    <row r="3329" spans="2:49" x14ac:dyDescent="0.2">
      <c r="B3329" s="460" t="s">
        <v>3351</v>
      </c>
      <c r="C3329" s="460">
        <v>7000</v>
      </c>
      <c r="D3329" s="460" t="s">
        <v>2286</v>
      </c>
      <c r="E3329" s="460" t="s">
        <v>2274</v>
      </c>
      <c r="F3329" s="460">
        <v>3</v>
      </c>
      <c r="G3329" s="460">
        <v>1</v>
      </c>
      <c r="H3329" s="461" t="s">
        <v>746</v>
      </c>
      <c r="I3329" s="461" t="s">
        <v>762</v>
      </c>
      <c r="J3329" s="461" t="s">
        <v>700</v>
      </c>
      <c r="K3329" s="594"/>
      <c r="L3329" s="594"/>
      <c r="M3329" s="352">
        <v>7000</v>
      </c>
      <c r="N3329" s="352" t="s">
        <v>1891</v>
      </c>
      <c r="O3329" s="460">
        <v>4411</v>
      </c>
      <c r="P3329" s="460" t="s">
        <v>1888</v>
      </c>
      <c r="Q3329" s="460" t="s">
        <v>2553</v>
      </c>
      <c r="R3329" s="460">
        <v>4411</v>
      </c>
      <c r="S3329" s="460" t="s">
        <v>2265</v>
      </c>
      <c r="T3329" s="462">
        <v>0.74223365950407583</v>
      </c>
      <c r="U3329" s="460" t="s">
        <v>2274</v>
      </c>
      <c r="V3329" s="475">
        <v>0</v>
      </c>
      <c r="W3329" s="463" t="s">
        <v>2268</v>
      </c>
      <c r="X3329" s="463" t="s">
        <v>2268</v>
      </c>
      <c r="Y3329" s="463" t="s">
        <v>2554</v>
      </c>
      <c r="Z3329" s="463"/>
      <c r="AA3329" s="463"/>
      <c r="AB3329" s="464">
        <v>0</v>
      </c>
      <c r="AC3329" s="465">
        <v>0</v>
      </c>
      <c r="AD3329" s="465">
        <v>0</v>
      </c>
      <c r="AE3329" s="476">
        <v>0</v>
      </c>
      <c r="AF3329" s="467">
        <v>0</v>
      </c>
      <c r="AG3329" s="468">
        <v>0</v>
      </c>
      <c r="AH3329" s="218">
        <v>0</v>
      </c>
      <c r="AI3329" s="470">
        <v>0</v>
      </c>
      <c r="AJ3329" s="471">
        <v>0</v>
      </c>
      <c r="AK3329" s="218">
        <v>0</v>
      </c>
      <c r="AL3329" s="470">
        <v>0</v>
      </c>
      <c r="AM3329" s="471">
        <v>0</v>
      </c>
      <c r="AN3329" s="477">
        <v>0</v>
      </c>
      <c r="AO3329" s="473">
        <v>0</v>
      </c>
      <c r="AP3329" s="474">
        <v>0</v>
      </c>
      <c r="AQ3329" s="352"/>
      <c r="AR3329" s="352"/>
      <c r="AS3329" s="352"/>
      <c r="AT3329" s="352"/>
      <c r="AU3329" s="352"/>
      <c r="AV3329" s="352"/>
      <c r="AW3329" s="352" t="s">
        <v>254</v>
      </c>
    </row>
    <row r="3330" spans="2:49" x14ac:dyDescent="0.2">
      <c r="B3330" s="460" t="s">
        <v>3352</v>
      </c>
      <c r="C3330" s="460">
        <v>7000</v>
      </c>
      <c r="D3330" s="460" t="s">
        <v>2287</v>
      </c>
      <c r="E3330" s="460" t="s">
        <v>2277</v>
      </c>
      <c r="F3330" s="460">
        <v>4</v>
      </c>
      <c r="G3330" s="460">
        <v>1</v>
      </c>
      <c r="H3330" s="461" t="s">
        <v>746</v>
      </c>
      <c r="I3330" s="461" t="s">
        <v>762</v>
      </c>
      <c r="J3330" s="461" t="s">
        <v>700</v>
      </c>
      <c r="K3330" s="594"/>
      <c r="L3330" s="594"/>
      <c r="M3330" s="352">
        <v>7000</v>
      </c>
      <c r="N3330" s="352" t="s">
        <v>1891</v>
      </c>
      <c r="O3330" s="460">
        <v>4411</v>
      </c>
      <c r="P3330" s="460" t="s">
        <v>1888</v>
      </c>
      <c r="Q3330" s="460" t="s">
        <v>2553</v>
      </c>
      <c r="R3330" s="460">
        <v>4411</v>
      </c>
      <c r="S3330" s="460" t="s">
        <v>2277</v>
      </c>
      <c r="T3330" s="462">
        <v>1</v>
      </c>
      <c r="U3330" s="460" t="s">
        <v>2277</v>
      </c>
      <c r="V3330" s="475">
        <v>0</v>
      </c>
      <c r="W3330" s="463" t="s">
        <v>2268</v>
      </c>
      <c r="X3330" s="463" t="s">
        <v>2268</v>
      </c>
      <c r="Y3330" s="463" t="s">
        <v>2554</v>
      </c>
      <c r="Z3330" s="463"/>
      <c r="AA3330" s="463"/>
      <c r="AB3330" s="464">
        <v>0</v>
      </c>
      <c r="AC3330" s="465">
        <v>0</v>
      </c>
      <c r="AD3330" s="465">
        <v>0</v>
      </c>
      <c r="AE3330" s="476">
        <v>0</v>
      </c>
      <c r="AF3330" s="467">
        <v>0</v>
      </c>
      <c r="AG3330" s="468">
        <v>0</v>
      </c>
      <c r="AH3330" s="218">
        <v>0</v>
      </c>
      <c r="AI3330" s="470">
        <v>0</v>
      </c>
      <c r="AJ3330" s="471">
        <v>0</v>
      </c>
      <c r="AK3330" s="218">
        <v>0</v>
      </c>
      <c r="AL3330" s="470">
        <v>0</v>
      </c>
      <c r="AM3330" s="471">
        <v>0</v>
      </c>
      <c r="AN3330" s="477">
        <v>0</v>
      </c>
      <c r="AO3330" s="473">
        <v>0</v>
      </c>
      <c r="AP3330" s="474">
        <v>0</v>
      </c>
      <c r="AQ3330" s="352"/>
      <c r="AR3330" s="352"/>
      <c r="AS3330" s="352"/>
      <c r="AT3330" s="352"/>
      <c r="AU3330" s="352"/>
      <c r="AV3330" s="352"/>
      <c r="AW3330" s="352" t="s">
        <v>254</v>
      </c>
    </row>
    <row r="3331" spans="2:49" x14ac:dyDescent="0.2">
      <c r="B3331" s="460" t="s">
        <v>3349</v>
      </c>
      <c r="C3331" s="460">
        <v>7000</v>
      </c>
      <c r="D3331" s="460" t="s">
        <v>2288</v>
      </c>
      <c r="E3331" s="460" t="s">
        <v>2265</v>
      </c>
      <c r="F3331" s="460">
        <v>1</v>
      </c>
      <c r="G3331" s="460">
        <v>1</v>
      </c>
      <c r="H3331" s="461" t="s">
        <v>748</v>
      </c>
      <c r="I3331" s="461" t="s">
        <v>765</v>
      </c>
      <c r="J3331" s="461" t="s">
        <v>700</v>
      </c>
      <c r="K3331" s="594"/>
      <c r="L3331" s="594"/>
      <c r="M3331" s="352">
        <v>7000</v>
      </c>
      <c r="N3331" s="352" t="s">
        <v>1891</v>
      </c>
      <c r="O3331" s="460">
        <v>4411</v>
      </c>
      <c r="P3331" s="460" t="s">
        <v>1888</v>
      </c>
      <c r="Q3331" s="460" t="s">
        <v>2553</v>
      </c>
      <c r="R3331" s="460">
        <v>4411</v>
      </c>
      <c r="S3331" s="460" t="s">
        <v>2265</v>
      </c>
      <c r="T3331" s="462">
        <v>1</v>
      </c>
      <c r="U3331" s="460" t="s">
        <v>2265</v>
      </c>
      <c r="V3331" s="475">
        <v>0</v>
      </c>
      <c r="W3331" s="463" t="s">
        <v>2268</v>
      </c>
      <c r="X3331" s="463" t="s">
        <v>2268</v>
      </c>
      <c r="Y3331" s="463" t="s">
        <v>2554</v>
      </c>
      <c r="Z3331" s="463"/>
      <c r="AA3331" s="463"/>
      <c r="AB3331" s="464">
        <v>0</v>
      </c>
      <c r="AC3331" s="465">
        <v>0</v>
      </c>
      <c r="AD3331" s="465">
        <v>0</v>
      </c>
      <c r="AE3331" s="476">
        <v>0</v>
      </c>
      <c r="AF3331" s="467">
        <v>0</v>
      </c>
      <c r="AG3331" s="468">
        <v>0</v>
      </c>
      <c r="AH3331" s="218">
        <v>0</v>
      </c>
      <c r="AI3331" s="470">
        <v>0</v>
      </c>
      <c r="AJ3331" s="471">
        <v>0</v>
      </c>
      <c r="AK3331" s="218">
        <v>0</v>
      </c>
      <c r="AL3331" s="470">
        <v>0</v>
      </c>
      <c r="AM3331" s="471">
        <v>0</v>
      </c>
      <c r="AN3331" s="477">
        <v>0</v>
      </c>
      <c r="AO3331" s="473">
        <v>0</v>
      </c>
      <c r="AP3331" s="474">
        <v>0</v>
      </c>
      <c r="AQ3331" s="352"/>
      <c r="AR3331" s="352"/>
      <c r="AS3331" s="352"/>
      <c r="AT3331" s="352"/>
      <c r="AU3331" s="352"/>
      <c r="AV3331" s="352"/>
      <c r="AW3331" s="352" t="s">
        <v>254</v>
      </c>
    </row>
    <row r="3332" spans="2:49" x14ac:dyDescent="0.2">
      <c r="B3332" s="460" t="s">
        <v>3350</v>
      </c>
      <c r="C3332" s="460">
        <v>7000</v>
      </c>
      <c r="D3332" s="460" t="s">
        <v>2291</v>
      </c>
      <c r="E3332" s="460" t="s">
        <v>2271</v>
      </c>
      <c r="F3332" s="460">
        <v>2</v>
      </c>
      <c r="G3332" s="460">
        <v>1</v>
      </c>
      <c r="H3332" s="461" t="s">
        <v>748</v>
      </c>
      <c r="I3332" s="461" t="s">
        <v>765</v>
      </c>
      <c r="J3332" s="461" t="s">
        <v>700</v>
      </c>
      <c r="K3332" s="594"/>
      <c r="L3332" s="594"/>
      <c r="M3332" s="352">
        <v>7000</v>
      </c>
      <c r="N3332" s="352" t="s">
        <v>1891</v>
      </c>
      <c r="O3332" s="460">
        <v>4411</v>
      </c>
      <c r="P3332" s="460" t="s">
        <v>1888</v>
      </c>
      <c r="Q3332" s="460" t="s">
        <v>2553</v>
      </c>
      <c r="R3332" s="460">
        <v>4411</v>
      </c>
      <c r="S3332" s="460" t="s">
        <v>2265</v>
      </c>
      <c r="T3332" s="462">
        <v>1</v>
      </c>
      <c r="U3332" s="460" t="s">
        <v>2271</v>
      </c>
      <c r="V3332" s="475">
        <v>0</v>
      </c>
      <c r="W3332" s="463" t="s">
        <v>2268</v>
      </c>
      <c r="X3332" s="463" t="s">
        <v>2268</v>
      </c>
      <c r="Y3332" s="463" t="s">
        <v>2554</v>
      </c>
      <c r="Z3332" s="463"/>
      <c r="AA3332" s="463"/>
      <c r="AB3332" s="464">
        <v>0</v>
      </c>
      <c r="AC3332" s="465">
        <v>0</v>
      </c>
      <c r="AD3332" s="465">
        <v>0</v>
      </c>
      <c r="AE3332" s="476">
        <v>0</v>
      </c>
      <c r="AF3332" s="467">
        <v>0</v>
      </c>
      <c r="AG3332" s="468">
        <v>0</v>
      </c>
      <c r="AH3332" s="218">
        <v>0</v>
      </c>
      <c r="AI3332" s="470">
        <v>0</v>
      </c>
      <c r="AJ3332" s="471">
        <v>0</v>
      </c>
      <c r="AK3332" s="218">
        <v>0</v>
      </c>
      <c r="AL3332" s="470">
        <v>0</v>
      </c>
      <c r="AM3332" s="471">
        <v>0</v>
      </c>
      <c r="AN3332" s="477">
        <v>0</v>
      </c>
      <c r="AO3332" s="473">
        <v>0</v>
      </c>
      <c r="AP3332" s="474">
        <v>0</v>
      </c>
      <c r="AQ3332" s="352"/>
      <c r="AR3332" s="352"/>
      <c r="AS3332" s="352"/>
      <c r="AT3332" s="352"/>
      <c r="AU3332" s="352"/>
      <c r="AV3332" s="352"/>
      <c r="AW3332" s="352" t="s">
        <v>254</v>
      </c>
    </row>
    <row r="3333" spans="2:49" x14ac:dyDescent="0.2">
      <c r="B3333" s="460" t="s">
        <v>3351</v>
      </c>
      <c r="C3333" s="460">
        <v>7000</v>
      </c>
      <c r="D3333" s="460" t="s">
        <v>2292</v>
      </c>
      <c r="E3333" s="460" t="s">
        <v>2274</v>
      </c>
      <c r="F3333" s="460">
        <v>3</v>
      </c>
      <c r="G3333" s="460">
        <v>1</v>
      </c>
      <c r="H3333" s="461" t="s">
        <v>748</v>
      </c>
      <c r="I3333" s="461" t="s">
        <v>765</v>
      </c>
      <c r="J3333" s="461" t="s">
        <v>700</v>
      </c>
      <c r="K3333" s="594"/>
      <c r="L3333" s="594"/>
      <c r="M3333" s="352">
        <v>7000</v>
      </c>
      <c r="N3333" s="352" t="s">
        <v>1891</v>
      </c>
      <c r="O3333" s="460">
        <v>4411</v>
      </c>
      <c r="P3333" s="460" t="s">
        <v>1888</v>
      </c>
      <c r="Q3333" s="460" t="s">
        <v>2553</v>
      </c>
      <c r="R3333" s="460">
        <v>4411</v>
      </c>
      <c r="S3333" s="460" t="s">
        <v>2265</v>
      </c>
      <c r="T3333" s="462">
        <v>0.74223365950407583</v>
      </c>
      <c r="U3333" s="460" t="s">
        <v>2274</v>
      </c>
      <c r="V3333" s="475">
        <v>0</v>
      </c>
      <c r="W3333" s="463" t="s">
        <v>2268</v>
      </c>
      <c r="X3333" s="463" t="s">
        <v>2268</v>
      </c>
      <c r="Y3333" s="463" t="s">
        <v>2554</v>
      </c>
      <c r="Z3333" s="463"/>
      <c r="AA3333" s="463"/>
      <c r="AB3333" s="464">
        <v>0</v>
      </c>
      <c r="AC3333" s="465">
        <v>0</v>
      </c>
      <c r="AD3333" s="465">
        <v>0</v>
      </c>
      <c r="AE3333" s="476">
        <v>0</v>
      </c>
      <c r="AF3333" s="467">
        <v>0</v>
      </c>
      <c r="AG3333" s="468">
        <v>0</v>
      </c>
      <c r="AH3333" s="218">
        <v>0</v>
      </c>
      <c r="AI3333" s="470">
        <v>0</v>
      </c>
      <c r="AJ3333" s="471">
        <v>0</v>
      </c>
      <c r="AK3333" s="218">
        <v>0</v>
      </c>
      <c r="AL3333" s="470">
        <v>0</v>
      </c>
      <c r="AM3333" s="471">
        <v>0</v>
      </c>
      <c r="AN3333" s="477">
        <v>0</v>
      </c>
      <c r="AO3333" s="473">
        <v>0</v>
      </c>
      <c r="AP3333" s="474">
        <v>0</v>
      </c>
      <c r="AQ3333" s="352"/>
      <c r="AR3333" s="352"/>
      <c r="AS3333" s="352"/>
      <c r="AT3333" s="352"/>
      <c r="AU3333" s="352"/>
      <c r="AV3333" s="352"/>
      <c r="AW3333" s="352" t="s">
        <v>254</v>
      </c>
    </row>
    <row r="3334" spans="2:49" x14ac:dyDescent="0.2">
      <c r="B3334" s="460" t="s">
        <v>3352</v>
      </c>
      <c r="C3334" s="460">
        <v>7000</v>
      </c>
      <c r="D3334" s="460" t="s">
        <v>2293</v>
      </c>
      <c r="E3334" s="460" t="s">
        <v>2277</v>
      </c>
      <c r="F3334" s="460">
        <v>4</v>
      </c>
      <c r="G3334" s="460">
        <v>1</v>
      </c>
      <c r="H3334" s="461" t="s">
        <v>748</v>
      </c>
      <c r="I3334" s="461" t="s">
        <v>765</v>
      </c>
      <c r="J3334" s="461" t="s">
        <v>700</v>
      </c>
      <c r="K3334" s="594"/>
      <c r="L3334" s="594"/>
      <c r="M3334" s="352">
        <v>7000</v>
      </c>
      <c r="N3334" s="352" t="s">
        <v>1891</v>
      </c>
      <c r="O3334" s="460">
        <v>4411</v>
      </c>
      <c r="P3334" s="460" t="s">
        <v>1888</v>
      </c>
      <c r="Q3334" s="460" t="s">
        <v>2553</v>
      </c>
      <c r="R3334" s="460">
        <v>4411</v>
      </c>
      <c r="S3334" s="460" t="s">
        <v>2277</v>
      </c>
      <c r="T3334" s="462">
        <v>1</v>
      </c>
      <c r="U3334" s="460" t="s">
        <v>2277</v>
      </c>
      <c r="V3334" s="475">
        <v>0</v>
      </c>
      <c r="W3334" s="463" t="s">
        <v>2268</v>
      </c>
      <c r="X3334" s="463" t="s">
        <v>2268</v>
      </c>
      <c r="Y3334" s="463" t="s">
        <v>2554</v>
      </c>
      <c r="Z3334" s="463"/>
      <c r="AA3334" s="463"/>
      <c r="AB3334" s="464">
        <v>0</v>
      </c>
      <c r="AC3334" s="465">
        <v>0</v>
      </c>
      <c r="AD3334" s="465">
        <v>0</v>
      </c>
      <c r="AE3334" s="476">
        <v>0</v>
      </c>
      <c r="AF3334" s="467">
        <v>0</v>
      </c>
      <c r="AG3334" s="468">
        <v>0</v>
      </c>
      <c r="AH3334" s="218">
        <v>0</v>
      </c>
      <c r="AI3334" s="470">
        <v>0</v>
      </c>
      <c r="AJ3334" s="471">
        <v>0</v>
      </c>
      <c r="AK3334" s="218">
        <v>0</v>
      </c>
      <c r="AL3334" s="470">
        <v>0</v>
      </c>
      <c r="AM3334" s="471">
        <v>0</v>
      </c>
      <c r="AN3334" s="477">
        <v>0</v>
      </c>
      <c r="AO3334" s="473">
        <v>0</v>
      </c>
      <c r="AP3334" s="474">
        <v>0</v>
      </c>
      <c r="AQ3334" s="352"/>
      <c r="AR3334" s="352"/>
      <c r="AS3334" s="352"/>
      <c r="AT3334" s="352"/>
      <c r="AU3334" s="352"/>
      <c r="AV3334" s="352"/>
      <c r="AW3334" s="352" t="s">
        <v>254</v>
      </c>
    </row>
    <row r="3335" spans="2:49" x14ac:dyDescent="0.2">
      <c r="B3335" s="460" t="s">
        <v>3353</v>
      </c>
      <c r="C3335" s="460">
        <v>7000</v>
      </c>
      <c r="D3335" s="460" t="s">
        <v>2295</v>
      </c>
      <c r="E3335" s="460" t="s">
        <v>2296</v>
      </c>
      <c r="F3335" s="460">
        <v>1</v>
      </c>
      <c r="G3335" s="460">
        <v>2</v>
      </c>
      <c r="H3335" s="461" t="s">
        <v>700</v>
      </c>
      <c r="I3335" s="461" t="s">
        <v>872</v>
      </c>
      <c r="J3335" s="461" t="s">
        <v>700</v>
      </c>
      <c r="K3335" s="594"/>
      <c r="L3335" s="594"/>
      <c r="M3335" s="352">
        <v>7000</v>
      </c>
      <c r="N3335" s="352" t="s">
        <v>1891</v>
      </c>
      <c r="O3335" s="460">
        <v>4411</v>
      </c>
      <c r="P3335" s="460" t="s">
        <v>1888</v>
      </c>
      <c r="Q3335" s="460" t="s">
        <v>2553</v>
      </c>
      <c r="R3335" s="460">
        <v>4411</v>
      </c>
      <c r="S3335" s="460" t="s">
        <v>2296</v>
      </c>
      <c r="T3335" s="462">
        <v>1</v>
      </c>
      <c r="U3335" s="460" t="s">
        <v>2296</v>
      </c>
      <c r="V3335" s="475">
        <v>0</v>
      </c>
      <c r="W3335" s="463" t="s">
        <v>2554</v>
      </c>
      <c r="X3335" s="463" t="s">
        <v>2554</v>
      </c>
      <c r="Y3335" s="463" t="s">
        <v>2268</v>
      </c>
      <c r="Z3335" s="463"/>
      <c r="AA3335" s="463"/>
      <c r="AB3335" s="464">
        <v>0</v>
      </c>
      <c r="AC3335" s="465">
        <v>0</v>
      </c>
      <c r="AD3335" s="465">
        <v>0</v>
      </c>
      <c r="AE3335" s="476">
        <v>0</v>
      </c>
      <c r="AF3335" s="467">
        <v>0</v>
      </c>
      <c r="AG3335" s="468">
        <v>0</v>
      </c>
      <c r="AH3335" s="218">
        <v>0</v>
      </c>
      <c r="AI3335" s="470">
        <v>0</v>
      </c>
      <c r="AJ3335" s="471">
        <v>0</v>
      </c>
      <c r="AK3335" s="218">
        <v>0</v>
      </c>
      <c r="AL3335" s="470">
        <v>0</v>
      </c>
      <c r="AM3335" s="471">
        <v>0</v>
      </c>
      <c r="AN3335" s="477">
        <v>0</v>
      </c>
      <c r="AO3335" s="473">
        <v>0</v>
      </c>
      <c r="AP3335" s="474">
        <v>0</v>
      </c>
      <c r="AQ3335" s="352"/>
      <c r="AR3335" s="352"/>
      <c r="AS3335" s="352"/>
      <c r="AT3335" s="352"/>
      <c r="AU3335" s="352"/>
      <c r="AV3335" s="352"/>
      <c r="AW3335" s="352" t="s">
        <v>254</v>
      </c>
    </row>
    <row r="3336" spans="2:49" x14ac:dyDescent="0.2">
      <c r="B3336" s="460" t="s">
        <v>3354</v>
      </c>
      <c r="C3336" s="460">
        <v>7000</v>
      </c>
      <c r="D3336" s="460" t="s">
        <v>2298</v>
      </c>
      <c r="E3336" s="460" t="s">
        <v>2299</v>
      </c>
      <c r="F3336" s="460">
        <v>2</v>
      </c>
      <c r="G3336" s="460">
        <v>2</v>
      </c>
      <c r="H3336" s="461" t="s">
        <v>700</v>
      </c>
      <c r="I3336" s="461" t="s">
        <v>872</v>
      </c>
      <c r="J3336" s="461" t="s">
        <v>700</v>
      </c>
      <c r="K3336" s="594"/>
      <c r="L3336" s="594"/>
      <c r="M3336" s="352">
        <v>7000</v>
      </c>
      <c r="N3336" s="352" t="s">
        <v>1891</v>
      </c>
      <c r="O3336" s="460">
        <v>4411</v>
      </c>
      <c r="P3336" s="460" t="s">
        <v>1888</v>
      </c>
      <c r="Q3336" s="460" t="s">
        <v>2553</v>
      </c>
      <c r="R3336" s="460">
        <v>4411</v>
      </c>
      <c r="S3336" s="460" t="s">
        <v>2296</v>
      </c>
      <c r="T3336" s="462">
        <v>0.55517361979372948</v>
      </c>
      <c r="U3336" s="460" t="s">
        <v>2299</v>
      </c>
      <c r="V3336" s="475">
        <v>0</v>
      </c>
      <c r="W3336" s="463" t="s">
        <v>2554</v>
      </c>
      <c r="X3336" s="463" t="s">
        <v>2554</v>
      </c>
      <c r="Y3336" s="463" t="s">
        <v>2268</v>
      </c>
      <c r="Z3336" s="463"/>
      <c r="AA3336" s="463"/>
      <c r="AB3336" s="464">
        <v>0</v>
      </c>
      <c r="AC3336" s="465">
        <v>0</v>
      </c>
      <c r="AD3336" s="465">
        <v>0</v>
      </c>
      <c r="AE3336" s="476">
        <v>0</v>
      </c>
      <c r="AF3336" s="467">
        <v>0</v>
      </c>
      <c r="AG3336" s="468">
        <v>0</v>
      </c>
      <c r="AH3336" s="218">
        <v>0</v>
      </c>
      <c r="AI3336" s="470">
        <v>0</v>
      </c>
      <c r="AJ3336" s="471">
        <v>0</v>
      </c>
      <c r="AK3336" s="218">
        <v>0</v>
      </c>
      <c r="AL3336" s="470">
        <v>0</v>
      </c>
      <c r="AM3336" s="471">
        <v>0</v>
      </c>
      <c r="AN3336" s="477">
        <v>0</v>
      </c>
      <c r="AO3336" s="473">
        <v>0</v>
      </c>
      <c r="AP3336" s="474">
        <v>0</v>
      </c>
      <c r="AQ3336" s="352"/>
      <c r="AR3336" s="352"/>
      <c r="AS3336" s="352"/>
      <c r="AT3336" s="352"/>
      <c r="AU3336" s="352"/>
      <c r="AV3336" s="352"/>
      <c r="AW3336" s="352" t="s">
        <v>254</v>
      </c>
    </row>
    <row r="3337" spans="2:49" x14ac:dyDescent="0.2">
      <c r="B3337" s="460" t="s">
        <v>3355</v>
      </c>
      <c r="C3337" s="460">
        <v>7000</v>
      </c>
      <c r="D3337" s="460" t="s">
        <v>2301</v>
      </c>
      <c r="E3337" s="460" t="s">
        <v>2302</v>
      </c>
      <c r="F3337" s="460">
        <v>3</v>
      </c>
      <c r="G3337" s="460">
        <v>2</v>
      </c>
      <c r="H3337" s="461" t="s">
        <v>700</v>
      </c>
      <c r="I3337" s="461" t="s">
        <v>872</v>
      </c>
      <c r="J3337" s="461" t="s">
        <v>700</v>
      </c>
      <c r="K3337" s="594"/>
      <c r="L3337" s="594"/>
      <c r="M3337" s="352">
        <v>7000</v>
      </c>
      <c r="N3337" s="352" t="s">
        <v>1891</v>
      </c>
      <c r="O3337" s="460">
        <v>4411</v>
      </c>
      <c r="P3337" s="460" t="s">
        <v>1888</v>
      </c>
      <c r="Q3337" s="460" t="s">
        <v>2553</v>
      </c>
      <c r="R3337" s="460">
        <v>4411</v>
      </c>
      <c r="S3337" s="460" t="s">
        <v>2296</v>
      </c>
      <c r="T3337" s="462">
        <v>0.28481449642268464</v>
      </c>
      <c r="U3337" s="460" t="s">
        <v>2302</v>
      </c>
      <c r="V3337" s="475">
        <v>0</v>
      </c>
      <c r="W3337" s="463" t="s">
        <v>2554</v>
      </c>
      <c r="X3337" s="463" t="s">
        <v>2554</v>
      </c>
      <c r="Y3337" s="463" t="s">
        <v>2268</v>
      </c>
      <c r="Z3337" s="463"/>
      <c r="AA3337" s="463"/>
      <c r="AB3337" s="464">
        <v>0</v>
      </c>
      <c r="AC3337" s="465">
        <v>0</v>
      </c>
      <c r="AD3337" s="465">
        <v>0</v>
      </c>
      <c r="AE3337" s="476">
        <v>0</v>
      </c>
      <c r="AF3337" s="467">
        <v>0</v>
      </c>
      <c r="AG3337" s="468">
        <v>0</v>
      </c>
      <c r="AH3337" s="218">
        <v>0</v>
      </c>
      <c r="AI3337" s="470">
        <v>0</v>
      </c>
      <c r="AJ3337" s="471">
        <v>0</v>
      </c>
      <c r="AK3337" s="218">
        <v>0</v>
      </c>
      <c r="AL3337" s="470">
        <v>0</v>
      </c>
      <c r="AM3337" s="471">
        <v>0</v>
      </c>
      <c r="AN3337" s="477">
        <v>0</v>
      </c>
      <c r="AO3337" s="473">
        <v>0</v>
      </c>
      <c r="AP3337" s="474">
        <v>0</v>
      </c>
      <c r="AQ3337" s="352"/>
      <c r="AR3337" s="352"/>
      <c r="AS3337" s="352"/>
      <c r="AT3337" s="352"/>
      <c r="AU3337" s="352"/>
      <c r="AV3337" s="352"/>
      <c r="AW3337" s="352" t="s">
        <v>254</v>
      </c>
    </row>
    <row r="3338" spans="2:49" x14ac:dyDescent="0.2">
      <c r="B3338" s="460" t="s">
        <v>3356</v>
      </c>
      <c r="C3338" s="460">
        <v>7000</v>
      </c>
      <c r="D3338" s="460" t="s">
        <v>2304</v>
      </c>
      <c r="E3338" s="460" t="s">
        <v>2305</v>
      </c>
      <c r="F3338" s="460">
        <v>4</v>
      </c>
      <c r="G3338" s="460">
        <v>2</v>
      </c>
      <c r="H3338" s="461" t="s">
        <v>700</v>
      </c>
      <c r="I3338" s="461" t="s">
        <v>872</v>
      </c>
      <c r="J3338" s="461" t="s">
        <v>700</v>
      </c>
      <c r="K3338" s="594"/>
      <c r="L3338" s="594"/>
      <c r="M3338" s="352">
        <v>7000</v>
      </c>
      <c r="N3338" s="352" t="s">
        <v>1891</v>
      </c>
      <c r="O3338" s="460">
        <v>4411</v>
      </c>
      <c r="P3338" s="460" t="s">
        <v>1888</v>
      </c>
      <c r="Q3338" s="460" t="s">
        <v>2553</v>
      </c>
      <c r="R3338" s="460">
        <v>4411</v>
      </c>
      <c r="S3338" s="460" t="s">
        <v>2305</v>
      </c>
      <c r="T3338" s="462">
        <v>1</v>
      </c>
      <c r="U3338" s="460" t="s">
        <v>2305</v>
      </c>
      <c r="V3338" s="475">
        <v>0</v>
      </c>
      <c r="W3338" s="463" t="s">
        <v>2554</v>
      </c>
      <c r="X3338" s="463" t="s">
        <v>2554</v>
      </c>
      <c r="Y3338" s="463" t="s">
        <v>2268</v>
      </c>
      <c r="Z3338" s="463"/>
      <c r="AA3338" s="463"/>
      <c r="AB3338" s="464">
        <v>0</v>
      </c>
      <c r="AC3338" s="465">
        <v>0</v>
      </c>
      <c r="AD3338" s="465">
        <v>0</v>
      </c>
      <c r="AE3338" s="476">
        <v>0</v>
      </c>
      <c r="AF3338" s="467">
        <v>0</v>
      </c>
      <c r="AG3338" s="468">
        <v>0</v>
      </c>
      <c r="AH3338" s="218">
        <v>0</v>
      </c>
      <c r="AI3338" s="470">
        <v>0</v>
      </c>
      <c r="AJ3338" s="471">
        <v>0</v>
      </c>
      <c r="AK3338" s="218">
        <v>0</v>
      </c>
      <c r="AL3338" s="470">
        <v>0</v>
      </c>
      <c r="AM3338" s="471">
        <v>0</v>
      </c>
      <c r="AN3338" s="477">
        <v>0</v>
      </c>
      <c r="AO3338" s="473">
        <v>0</v>
      </c>
      <c r="AP3338" s="474">
        <v>0</v>
      </c>
      <c r="AQ3338" s="352"/>
      <c r="AR3338" s="352"/>
      <c r="AS3338" s="352"/>
      <c r="AT3338" s="352"/>
      <c r="AU3338" s="352"/>
      <c r="AV3338" s="352"/>
      <c r="AW3338" s="352" t="s">
        <v>254</v>
      </c>
    </row>
    <row r="3339" spans="2:49" x14ac:dyDescent="0.2">
      <c r="B3339" s="460" t="s">
        <v>3353</v>
      </c>
      <c r="C3339" s="460">
        <v>7000</v>
      </c>
      <c r="D3339" s="460" t="s">
        <v>2306</v>
      </c>
      <c r="E3339" s="460" t="s">
        <v>2296</v>
      </c>
      <c r="F3339" s="460">
        <v>1</v>
      </c>
      <c r="G3339" s="460">
        <v>2</v>
      </c>
      <c r="H3339" s="461" t="s">
        <v>712</v>
      </c>
      <c r="I3339" s="461" t="s">
        <v>713</v>
      </c>
      <c r="J3339" s="461" t="s">
        <v>712</v>
      </c>
      <c r="K3339" s="594"/>
      <c r="L3339" s="594"/>
      <c r="M3339" s="352">
        <v>7000</v>
      </c>
      <c r="N3339" s="352" t="s">
        <v>1891</v>
      </c>
      <c r="O3339" s="460">
        <v>4411</v>
      </c>
      <c r="P3339" s="460" t="s">
        <v>1888</v>
      </c>
      <c r="Q3339" s="460" t="s">
        <v>2280</v>
      </c>
      <c r="R3339" s="460">
        <v>4411</v>
      </c>
      <c r="S3339" s="460" t="s">
        <v>2296</v>
      </c>
      <c r="T3339" s="462">
        <v>1</v>
      </c>
      <c r="U3339" s="460" t="s">
        <v>2296</v>
      </c>
      <c r="V3339" s="475">
        <v>0</v>
      </c>
      <c r="W3339" s="463" t="s">
        <v>713</v>
      </c>
      <c r="X3339" s="463" t="s">
        <v>713</v>
      </c>
      <c r="Y3339" s="463" t="s">
        <v>713</v>
      </c>
      <c r="Z3339" s="463"/>
      <c r="AA3339" s="463"/>
      <c r="AB3339" s="464">
        <v>2035.4393670359009</v>
      </c>
      <c r="AC3339" s="465">
        <v>1</v>
      </c>
      <c r="AD3339" s="465">
        <v>1.7604468023068046E-2</v>
      </c>
      <c r="AE3339" s="476">
        <v>2035.4393670359009</v>
      </c>
      <c r="AF3339" s="467">
        <v>1</v>
      </c>
      <c r="AG3339" s="468">
        <v>1.7346703570548658E-2</v>
      </c>
      <c r="AH3339" s="218">
        <v>2035.4393670359009</v>
      </c>
      <c r="AI3339" s="470">
        <v>1</v>
      </c>
      <c r="AJ3339" s="471">
        <v>1.7550468325946957E-2</v>
      </c>
      <c r="AK3339" s="218">
        <v>2035.4393670359009</v>
      </c>
      <c r="AL3339" s="470">
        <v>1</v>
      </c>
      <c r="AM3339" s="471">
        <v>1.7550468325946957E-2</v>
      </c>
      <c r="AN3339" s="477">
        <v>2035.4393670359009</v>
      </c>
      <c r="AO3339" s="473">
        <v>1</v>
      </c>
      <c r="AP3339" s="474">
        <v>1.7546161199416481E-2</v>
      </c>
      <c r="AQ3339" s="352"/>
      <c r="AR3339" s="352"/>
      <c r="AS3339" s="352"/>
      <c r="AT3339" s="352"/>
      <c r="AU3339" s="352"/>
      <c r="AV3339" s="352"/>
      <c r="AW3339" s="352" t="s">
        <v>254</v>
      </c>
    </row>
    <row r="3340" spans="2:49" x14ac:dyDescent="0.2">
      <c r="B3340" s="460" t="s">
        <v>3354</v>
      </c>
      <c r="C3340" s="460">
        <v>7000</v>
      </c>
      <c r="D3340" s="460" t="s">
        <v>2307</v>
      </c>
      <c r="E3340" s="460" t="s">
        <v>2299</v>
      </c>
      <c r="F3340" s="460">
        <v>2</v>
      </c>
      <c r="G3340" s="460">
        <v>2</v>
      </c>
      <c r="H3340" s="461" t="s">
        <v>712</v>
      </c>
      <c r="I3340" s="461" t="s">
        <v>713</v>
      </c>
      <c r="J3340" s="461" t="s">
        <v>712</v>
      </c>
      <c r="K3340" s="594"/>
      <c r="L3340" s="594"/>
      <c r="M3340" s="352">
        <v>7000</v>
      </c>
      <c r="N3340" s="352" t="s">
        <v>1891</v>
      </c>
      <c r="O3340" s="460">
        <v>4411</v>
      </c>
      <c r="P3340" s="460" t="s">
        <v>1888</v>
      </c>
      <c r="Q3340" s="460" t="s">
        <v>2280</v>
      </c>
      <c r="R3340" s="460">
        <v>4411</v>
      </c>
      <c r="S3340" s="460" t="s">
        <v>2296</v>
      </c>
      <c r="T3340" s="462">
        <v>0.55517361979372948</v>
      </c>
      <c r="U3340" s="460" t="s">
        <v>2299</v>
      </c>
      <c r="V3340" s="475">
        <v>0</v>
      </c>
      <c r="W3340" s="463" t="s">
        <v>713</v>
      </c>
      <c r="X3340" s="463" t="s">
        <v>713</v>
      </c>
      <c r="Y3340" s="463" t="s">
        <v>713</v>
      </c>
      <c r="Z3340" s="463"/>
      <c r="AA3340" s="463"/>
      <c r="AB3340" s="464">
        <v>1239.5145820522641</v>
      </c>
      <c r="AC3340" s="465">
        <v>1</v>
      </c>
      <c r="AD3340" s="465">
        <v>1.4337158433829931E-2</v>
      </c>
      <c r="AE3340" s="476">
        <v>1239.5145820522641</v>
      </c>
      <c r="AF3340" s="467">
        <v>1</v>
      </c>
      <c r="AG3340" s="468">
        <v>1.4277727849011041E-2</v>
      </c>
      <c r="AH3340" s="218">
        <v>1239.5145820522641</v>
      </c>
      <c r="AI3340" s="470">
        <v>1</v>
      </c>
      <c r="AJ3340" s="471">
        <v>1.4522030460178578E-2</v>
      </c>
      <c r="AK3340" s="218">
        <v>1239.5145820522641</v>
      </c>
      <c r="AL3340" s="470">
        <v>1</v>
      </c>
      <c r="AM3340" s="471">
        <v>1.4522030460178578E-2</v>
      </c>
      <c r="AN3340" s="477">
        <v>1239.5145820522641</v>
      </c>
      <c r="AO3340" s="473">
        <v>1</v>
      </c>
      <c r="AP3340" s="474">
        <v>1.4520197276009412E-2</v>
      </c>
      <c r="AQ3340" s="352"/>
      <c r="AR3340" s="352"/>
      <c r="AS3340" s="352"/>
      <c r="AT3340" s="352"/>
      <c r="AU3340" s="352"/>
      <c r="AV3340" s="352"/>
      <c r="AW3340" s="352" t="s">
        <v>254</v>
      </c>
    </row>
    <row r="3341" spans="2:49" x14ac:dyDescent="0.2">
      <c r="B3341" s="460" t="s">
        <v>3355</v>
      </c>
      <c r="C3341" s="460">
        <v>7000</v>
      </c>
      <c r="D3341" s="460" t="s">
        <v>2308</v>
      </c>
      <c r="E3341" s="460" t="s">
        <v>2302</v>
      </c>
      <c r="F3341" s="460">
        <v>3</v>
      </c>
      <c r="G3341" s="460">
        <v>2</v>
      </c>
      <c r="H3341" s="461" t="s">
        <v>712</v>
      </c>
      <c r="I3341" s="461" t="s">
        <v>713</v>
      </c>
      <c r="J3341" s="461" t="s">
        <v>712</v>
      </c>
      <c r="K3341" s="594"/>
      <c r="L3341" s="594"/>
      <c r="M3341" s="352">
        <v>7000</v>
      </c>
      <c r="N3341" s="352" t="s">
        <v>1891</v>
      </c>
      <c r="O3341" s="460">
        <v>4411</v>
      </c>
      <c r="P3341" s="460" t="s">
        <v>1888</v>
      </c>
      <c r="Q3341" s="460" t="s">
        <v>2280</v>
      </c>
      <c r="R3341" s="460">
        <v>4411</v>
      </c>
      <c r="S3341" s="460" t="s">
        <v>2296</v>
      </c>
      <c r="T3341" s="462">
        <v>0.28481449642268464</v>
      </c>
      <c r="U3341" s="460" t="s">
        <v>2302</v>
      </c>
      <c r="V3341" s="475">
        <v>0</v>
      </c>
      <c r="W3341" s="463" t="s">
        <v>713</v>
      </c>
      <c r="X3341" s="463" t="s">
        <v>713</v>
      </c>
      <c r="Y3341" s="463" t="s">
        <v>713</v>
      </c>
      <c r="Z3341" s="463"/>
      <c r="AA3341" s="463"/>
      <c r="AB3341" s="464">
        <v>220.75442074278291</v>
      </c>
      <c r="AC3341" s="465">
        <v>1</v>
      </c>
      <c r="AD3341" s="465">
        <v>6.4211944561691674E-3</v>
      </c>
      <c r="AE3341" s="476">
        <v>220.75442074278291</v>
      </c>
      <c r="AF3341" s="467">
        <v>1</v>
      </c>
      <c r="AG3341" s="468">
        <v>6.410283808884986E-3</v>
      </c>
      <c r="AH3341" s="218">
        <v>220.75442074278291</v>
      </c>
      <c r="AI3341" s="470">
        <v>1</v>
      </c>
      <c r="AJ3341" s="471">
        <v>6.5062010772587078E-3</v>
      </c>
      <c r="AK3341" s="218">
        <v>220.75442074278291</v>
      </c>
      <c r="AL3341" s="470">
        <v>1</v>
      </c>
      <c r="AM3341" s="471">
        <v>6.5062010772587078E-3</v>
      </c>
      <c r="AN3341" s="477">
        <v>220.75442074278291</v>
      </c>
      <c r="AO3341" s="473">
        <v>1</v>
      </c>
      <c r="AP3341" s="474">
        <v>6.5118585803844E-3</v>
      </c>
      <c r="AQ3341" s="352"/>
      <c r="AR3341" s="352"/>
      <c r="AS3341" s="352"/>
      <c r="AT3341" s="352"/>
      <c r="AU3341" s="352"/>
      <c r="AV3341" s="352"/>
      <c r="AW3341" s="352" t="s">
        <v>254</v>
      </c>
    </row>
    <row r="3342" spans="2:49" x14ac:dyDescent="0.2">
      <c r="B3342" s="460" t="s">
        <v>3356</v>
      </c>
      <c r="C3342" s="460">
        <v>7000</v>
      </c>
      <c r="D3342" s="460" t="s">
        <v>2309</v>
      </c>
      <c r="E3342" s="460" t="s">
        <v>2305</v>
      </c>
      <c r="F3342" s="460">
        <v>4</v>
      </c>
      <c r="G3342" s="460">
        <v>2</v>
      </c>
      <c r="H3342" s="461" t="s">
        <v>712</v>
      </c>
      <c r="I3342" s="461" t="s">
        <v>713</v>
      </c>
      <c r="J3342" s="461" t="s">
        <v>712</v>
      </c>
      <c r="K3342" s="594"/>
      <c r="L3342" s="594"/>
      <c r="M3342" s="352">
        <v>7000</v>
      </c>
      <c r="N3342" s="352" t="s">
        <v>1891</v>
      </c>
      <c r="O3342" s="460">
        <v>4411</v>
      </c>
      <c r="P3342" s="460" t="s">
        <v>1888</v>
      </c>
      <c r="Q3342" s="460" t="s">
        <v>2280</v>
      </c>
      <c r="R3342" s="460">
        <v>4411</v>
      </c>
      <c r="S3342" s="460" t="s">
        <v>2305</v>
      </c>
      <c r="T3342" s="462">
        <v>1</v>
      </c>
      <c r="U3342" s="460" t="s">
        <v>2305</v>
      </c>
      <c r="V3342" s="475">
        <v>0</v>
      </c>
      <c r="W3342" s="463" t="s">
        <v>713</v>
      </c>
      <c r="X3342" s="463" t="s">
        <v>713</v>
      </c>
      <c r="Y3342" s="463" t="s">
        <v>713</v>
      </c>
      <c r="Z3342" s="463"/>
      <c r="AA3342" s="463"/>
      <c r="AB3342" s="464">
        <v>250.71243173276119</v>
      </c>
      <c r="AC3342" s="465">
        <v>1</v>
      </c>
      <c r="AD3342" s="465">
        <v>6.403171041277831E-3</v>
      </c>
      <c r="AE3342" s="476">
        <v>250.71243173276119</v>
      </c>
      <c r="AF3342" s="467">
        <v>1</v>
      </c>
      <c r="AG3342" s="468">
        <v>6.4029656506882429E-3</v>
      </c>
      <c r="AH3342" s="218">
        <v>250.71243173276119</v>
      </c>
      <c r="AI3342" s="470">
        <v>1</v>
      </c>
      <c r="AJ3342" s="471">
        <v>6.4029734016700594E-3</v>
      </c>
      <c r="AK3342" s="218">
        <v>250.71243173276119</v>
      </c>
      <c r="AL3342" s="470">
        <v>1</v>
      </c>
      <c r="AM3342" s="471">
        <v>6.4029734016700594E-3</v>
      </c>
      <c r="AN3342" s="477">
        <v>250.71243173276119</v>
      </c>
      <c r="AO3342" s="473">
        <v>1</v>
      </c>
      <c r="AP3342" s="474">
        <v>6.4029812337798855E-3</v>
      </c>
      <c r="AQ3342" s="352"/>
      <c r="AR3342" s="352"/>
      <c r="AS3342" s="352"/>
      <c r="AT3342" s="352"/>
      <c r="AU3342" s="352"/>
      <c r="AV3342" s="352"/>
      <c r="AW3342" s="352" t="s">
        <v>254</v>
      </c>
    </row>
    <row r="3343" spans="2:49" x14ac:dyDescent="0.2">
      <c r="B3343" s="460" t="s">
        <v>3353</v>
      </c>
      <c r="C3343" s="460">
        <v>7000</v>
      </c>
      <c r="D3343" s="460" t="s">
        <v>2310</v>
      </c>
      <c r="E3343" s="460" t="s">
        <v>2296</v>
      </c>
      <c r="F3343" s="460">
        <v>1</v>
      </c>
      <c r="G3343" s="460">
        <v>2</v>
      </c>
      <c r="H3343" s="461" t="s">
        <v>746</v>
      </c>
      <c r="I3343" s="461" t="s">
        <v>762</v>
      </c>
      <c r="J3343" s="461" t="s">
        <v>700</v>
      </c>
      <c r="K3343" s="594"/>
      <c r="L3343" s="594"/>
      <c r="M3343" s="352">
        <v>7000</v>
      </c>
      <c r="N3343" s="352" t="s">
        <v>1891</v>
      </c>
      <c r="O3343" s="460">
        <v>4411</v>
      </c>
      <c r="P3343" s="460" t="s">
        <v>1888</v>
      </c>
      <c r="Q3343" s="460" t="s">
        <v>2553</v>
      </c>
      <c r="R3343" s="460">
        <v>4411</v>
      </c>
      <c r="S3343" s="460" t="s">
        <v>2296</v>
      </c>
      <c r="T3343" s="462">
        <v>1</v>
      </c>
      <c r="U3343" s="460" t="s">
        <v>2296</v>
      </c>
      <c r="V3343" s="475">
        <v>0</v>
      </c>
      <c r="W3343" s="463" t="s">
        <v>2268</v>
      </c>
      <c r="X3343" s="463" t="s">
        <v>2268</v>
      </c>
      <c r="Y3343" s="463" t="s">
        <v>2554</v>
      </c>
      <c r="Z3343" s="463"/>
      <c r="AA3343" s="463"/>
      <c r="AB3343" s="464">
        <v>0</v>
      </c>
      <c r="AC3343" s="465">
        <v>0</v>
      </c>
      <c r="AD3343" s="465">
        <v>0</v>
      </c>
      <c r="AE3343" s="476">
        <v>0</v>
      </c>
      <c r="AF3343" s="467">
        <v>0</v>
      </c>
      <c r="AG3343" s="468">
        <v>0</v>
      </c>
      <c r="AH3343" s="218">
        <v>0</v>
      </c>
      <c r="AI3343" s="470">
        <v>0</v>
      </c>
      <c r="AJ3343" s="471">
        <v>0</v>
      </c>
      <c r="AK3343" s="218">
        <v>0</v>
      </c>
      <c r="AL3343" s="470">
        <v>0</v>
      </c>
      <c r="AM3343" s="471">
        <v>0</v>
      </c>
      <c r="AN3343" s="477">
        <v>0</v>
      </c>
      <c r="AO3343" s="473">
        <v>0</v>
      </c>
      <c r="AP3343" s="474">
        <v>0</v>
      </c>
      <c r="AQ3343" s="352"/>
      <c r="AR3343" s="352"/>
      <c r="AS3343" s="352"/>
      <c r="AT3343" s="352"/>
      <c r="AU3343" s="352"/>
      <c r="AV3343" s="352"/>
      <c r="AW3343" s="352" t="s">
        <v>254</v>
      </c>
    </row>
    <row r="3344" spans="2:49" x14ac:dyDescent="0.2">
      <c r="B3344" s="460" t="s">
        <v>3354</v>
      </c>
      <c r="C3344" s="460">
        <v>7000</v>
      </c>
      <c r="D3344" s="460" t="s">
        <v>2311</v>
      </c>
      <c r="E3344" s="460" t="s">
        <v>2299</v>
      </c>
      <c r="F3344" s="460">
        <v>2</v>
      </c>
      <c r="G3344" s="460">
        <v>2</v>
      </c>
      <c r="H3344" s="461" t="s">
        <v>746</v>
      </c>
      <c r="I3344" s="461" t="s">
        <v>762</v>
      </c>
      <c r="J3344" s="461" t="s">
        <v>700</v>
      </c>
      <c r="K3344" s="594"/>
      <c r="L3344" s="594"/>
      <c r="M3344" s="352">
        <v>7000</v>
      </c>
      <c r="N3344" s="352" t="s">
        <v>1891</v>
      </c>
      <c r="O3344" s="460">
        <v>4411</v>
      </c>
      <c r="P3344" s="460" t="s">
        <v>1888</v>
      </c>
      <c r="Q3344" s="460" t="s">
        <v>2553</v>
      </c>
      <c r="R3344" s="460">
        <v>4411</v>
      </c>
      <c r="S3344" s="460" t="s">
        <v>2296</v>
      </c>
      <c r="T3344" s="462">
        <v>0.55517361979372948</v>
      </c>
      <c r="U3344" s="460" t="s">
        <v>2299</v>
      </c>
      <c r="V3344" s="475">
        <v>0</v>
      </c>
      <c r="W3344" s="463" t="s">
        <v>2268</v>
      </c>
      <c r="X3344" s="463" t="s">
        <v>2268</v>
      </c>
      <c r="Y3344" s="463" t="s">
        <v>2554</v>
      </c>
      <c r="Z3344" s="463"/>
      <c r="AA3344" s="463"/>
      <c r="AB3344" s="464">
        <v>0</v>
      </c>
      <c r="AC3344" s="465">
        <v>0</v>
      </c>
      <c r="AD3344" s="465">
        <v>0</v>
      </c>
      <c r="AE3344" s="476">
        <v>0</v>
      </c>
      <c r="AF3344" s="467">
        <v>0</v>
      </c>
      <c r="AG3344" s="468">
        <v>0</v>
      </c>
      <c r="AH3344" s="218">
        <v>0</v>
      </c>
      <c r="AI3344" s="470">
        <v>0</v>
      </c>
      <c r="AJ3344" s="471">
        <v>0</v>
      </c>
      <c r="AK3344" s="218">
        <v>0</v>
      </c>
      <c r="AL3344" s="470">
        <v>0</v>
      </c>
      <c r="AM3344" s="471">
        <v>0</v>
      </c>
      <c r="AN3344" s="477">
        <v>0</v>
      </c>
      <c r="AO3344" s="473">
        <v>0</v>
      </c>
      <c r="AP3344" s="474">
        <v>0</v>
      </c>
      <c r="AQ3344" s="352"/>
      <c r="AR3344" s="352"/>
      <c r="AS3344" s="352"/>
      <c r="AT3344" s="352"/>
      <c r="AU3344" s="352"/>
      <c r="AV3344" s="352"/>
      <c r="AW3344" s="352" t="s">
        <v>254</v>
      </c>
    </row>
    <row r="3345" spans="2:49" x14ac:dyDescent="0.2">
      <c r="B3345" s="460" t="s">
        <v>3355</v>
      </c>
      <c r="C3345" s="460">
        <v>7000</v>
      </c>
      <c r="D3345" s="460" t="s">
        <v>2312</v>
      </c>
      <c r="E3345" s="460" t="s">
        <v>2302</v>
      </c>
      <c r="F3345" s="460">
        <v>3</v>
      </c>
      <c r="G3345" s="460">
        <v>2</v>
      </c>
      <c r="H3345" s="461" t="s">
        <v>746</v>
      </c>
      <c r="I3345" s="461" t="s">
        <v>762</v>
      </c>
      <c r="J3345" s="461" t="s">
        <v>700</v>
      </c>
      <c r="K3345" s="594"/>
      <c r="L3345" s="594"/>
      <c r="M3345" s="352">
        <v>7000</v>
      </c>
      <c r="N3345" s="352" t="s">
        <v>1891</v>
      </c>
      <c r="O3345" s="460">
        <v>4411</v>
      </c>
      <c r="P3345" s="460" t="s">
        <v>1888</v>
      </c>
      <c r="Q3345" s="460" t="s">
        <v>2553</v>
      </c>
      <c r="R3345" s="460">
        <v>4411</v>
      </c>
      <c r="S3345" s="460" t="s">
        <v>2296</v>
      </c>
      <c r="T3345" s="462">
        <v>0.28481449642268464</v>
      </c>
      <c r="U3345" s="460" t="s">
        <v>2302</v>
      </c>
      <c r="V3345" s="475">
        <v>0</v>
      </c>
      <c r="W3345" s="463" t="s">
        <v>2268</v>
      </c>
      <c r="X3345" s="463" t="s">
        <v>2268</v>
      </c>
      <c r="Y3345" s="463" t="s">
        <v>2554</v>
      </c>
      <c r="Z3345" s="463"/>
      <c r="AA3345" s="463"/>
      <c r="AB3345" s="464">
        <v>0</v>
      </c>
      <c r="AC3345" s="465">
        <v>0</v>
      </c>
      <c r="AD3345" s="465">
        <v>0</v>
      </c>
      <c r="AE3345" s="476">
        <v>0</v>
      </c>
      <c r="AF3345" s="467">
        <v>0</v>
      </c>
      <c r="AG3345" s="468">
        <v>0</v>
      </c>
      <c r="AH3345" s="218">
        <v>0</v>
      </c>
      <c r="AI3345" s="470">
        <v>0</v>
      </c>
      <c r="AJ3345" s="471">
        <v>0</v>
      </c>
      <c r="AK3345" s="218">
        <v>0</v>
      </c>
      <c r="AL3345" s="470">
        <v>0</v>
      </c>
      <c r="AM3345" s="471">
        <v>0</v>
      </c>
      <c r="AN3345" s="477">
        <v>0</v>
      </c>
      <c r="AO3345" s="473">
        <v>0</v>
      </c>
      <c r="AP3345" s="474">
        <v>0</v>
      </c>
      <c r="AQ3345" s="352"/>
      <c r="AR3345" s="352"/>
      <c r="AS3345" s="352"/>
      <c r="AT3345" s="352"/>
      <c r="AU3345" s="352"/>
      <c r="AV3345" s="352"/>
      <c r="AW3345" s="352" t="s">
        <v>254</v>
      </c>
    </row>
    <row r="3346" spans="2:49" x14ac:dyDescent="0.2">
      <c r="B3346" s="460" t="s">
        <v>3356</v>
      </c>
      <c r="C3346" s="460">
        <v>7000</v>
      </c>
      <c r="D3346" s="460" t="s">
        <v>2313</v>
      </c>
      <c r="E3346" s="460" t="s">
        <v>2305</v>
      </c>
      <c r="F3346" s="460">
        <v>4</v>
      </c>
      <c r="G3346" s="460">
        <v>2</v>
      </c>
      <c r="H3346" s="461" t="s">
        <v>746</v>
      </c>
      <c r="I3346" s="461" t="s">
        <v>762</v>
      </c>
      <c r="J3346" s="461" t="s">
        <v>700</v>
      </c>
      <c r="K3346" s="594"/>
      <c r="L3346" s="594"/>
      <c r="M3346" s="352">
        <v>7000</v>
      </c>
      <c r="N3346" s="352" t="s">
        <v>1891</v>
      </c>
      <c r="O3346" s="460">
        <v>4411</v>
      </c>
      <c r="P3346" s="460" t="s">
        <v>1888</v>
      </c>
      <c r="Q3346" s="460" t="s">
        <v>2553</v>
      </c>
      <c r="R3346" s="460">
        <v>4411</v>
      </c>
      <c r="S3346" s="460" t="s">
        <v>2305</v>
      </c>
      <c r="T3346" s="462">
        <v>1</v>
      </c>
      <c r="U3346" s="460" t="s">
        <v>2305</v>
      </c>
      <c r="V3346" s="475">
        <v>0</v>
      </c>
      <c r="W3346" s="463" t="s">
        <v>2268</v>
      </c>
      <c r="X3346" s="463" t="s">
        <v>2268</v>
      </c>
      <c r="Y3346" s="463" t="s">
        <v>2554</v>
      </c>
      <c r="Z3346" s="463"/>
      <c r="AA3346" s="463"/>
      <c r="AB3346" s="464">
        <v>0</v>
      </c>
      <c r="AC3346" s="465">
        <v>0</v>
      </c>
      <c r="AD3346" s="465">
        <v>0</v>
      </c>
      <c r="AE3346" s="476">
        <v>0</v>
      </c>
      <c r="AF3346" s="467">
        <v>0</v>
      </c>
      <c r="AG3346" s="468">
        <v>0</v>
      </c>
      <c r="AH3346" s="218">
        <v>0</v>
      </c>
      <c r="AI3346" s="470">
        <v>0</v>
      </c>
      <c r="AJ3346" s="471">
        <v>0</v>
      </c>
      <c r="AK3346" s="218">
        <v>0</v>
      </c>
      <c r="AL3346" s="470">
        <v>0</v>
      </c>
      <c r="AM3346" s="471">
        <v>0</v>
      </c>
      <c r="AN3346" s="477">
        <v>0</v>
      </c>
      <c r="AO3346" s="473">
        <v>0</v>
      </c>
      <c r="AP3346" s="474">
        <v>0</v>
      </c>
      <c r="AQ3346" s="352"/>
      <c r="AR3346" s="352"/>
      <c r="AS3346" s="352"/>
      <c r="AT3346" s="352"/>
      <c r="AU3346" s="352"/>
      <c r="AV3346" s="352"/>
      <c r="AW3346" s="352" t="s">
        <v>254</v>
      </c>
    </row>
    <row r="3347" spans="2:49" x14ac:dyDescent="0.2">
      <c r="B3347" s="460" t="s">
        <v>3353</v>
      </c>
      <c r="C3347" s="460">
        <v>7000</v>
      </c>
      <c r="D3347" s="460" t="s">
        <v>2314</v>
      </c>
      <c r="E3347" s="460" t="s">
        <v>2296</v>
      </c>
      <c r="F3347" s="460">
        <v>1</v>
      </c>
      <c r="G3347" s="460">
        <v>2</v>
      </c>
      <c r="H3347" s="461" t="s">
        <v>748</v>
      </c>
      <c r="I3347" s="461" t="s">
        <v>765</v>
      </c>
      <c r="J3347" s="461" t="s">
        <v>700</v>
      </c>
      <c r="K3347" s="594"/>
      <c r="L3347" s="594"/>
      <c r="M3347" s="352">
        <v>7000</v>
      </c>
      <c r="N3347" s="352" t="s">
        <v>1891</v>
      </c>
      <c r="O3347" s="460">
        <v>4411</v>
      </c>
      <c r="P3347" s="460" t="s">
        <v>1888</v>
      </c>
      <c r="Q3347" s="460" t="s">
        <v>2553</v>
      </c>
      <c r="R3347" s="460">
        <v>4411</v>
      </c>
      <c r="S3347" s="460" t="s">
        <v>2296</v>
      </c>
      <c r="T3347" s="462">
        <v>1</v>
      </c>
      <c r="U3347" s="460" t="s">
        <v>2296</v>
      </c>
      <c r="V3347" s="475">
        <v>0</v>
      </c>
      <c r="W3347" s="463" t="s">
        <v>2268</v>
      </c>
      <c r="X3347" s="463" t="s">
        <v>2268</v>
      </c>
      <c r="Y3347" s="463" t="s">
        <v>2554</v>
      </c>
      <c r="Z3347" s="463"/>
      <c r="AA3347" s="463"/>
      <c r="AB3347" s="464">
        <v>0</v>
      </c>
      <c r="AC3347" s="465">
        <v>0</v>
      </c>
      <c r="AD3347" s="465">
        <v>0</v>
      </c>
      <c r="AE3347" s="476">
        <v>0</v>
      </c>
      <c r="AF3347" s="467">
        <v>0</v>
      </c>
      <c r="AG3347" s="468">
        <v>0</v>
      </c>
      <c r="AH3347" s="218">
        <v>0</v>
      </c>
      <c r="AI3347" s="470">
        <v>0</v>
      </c>
      <c r="AJ3347" s="471">
        <v>0</v>
      </c>
      <c r="AK3347" s="218">
        <v>0</v>
      </c>
      <c r="AL3347" s="470">
        <v>0</v>
      </c>
      <c r="AM3347" s="471">
        <v>0</v>
      </c>
      <c r="AN3347" s="477">
        <v>0</v>
      </c>
      <c r="AO3347" s="473">
        <v>0</v>
      </c>
      <c r="AP3347" s="474">
        <v>0</v>
      </c>
      <c r="AQ3347" s="352"/>
      <c r="AR3347" s="352"/>
      <c r="AS3347" s="352"/>
      <c r="AT3347" s="352"/>
      <c r="AU3347" s="352"/>
      <c r="AV3347" s="352"/>
      <c r="AW3347" s="352" t="s">
        <v>254</v>
      </c>
    </row>
    <row r="3348" spans="2:49" x14ac:dyDescent="0.2">
      <c r="B3348" s="460" t="s">
        <v>3354</v>
      </c>
      <c r="C3348" s="460">
        <v>7000</v>
      </c>
      <c r="D3348" s="460" t="s">
        <v>2315</v>
      </c>
      <c r="E3348" s="460" t="s">
        <v>2299</v>
      </c>
      <c r="F3348" s="460">
        <v>2</v>
      </c>
      <c r="G3348" s="460">
        <v>2</v>
      </c>
      <c r="H3348" s="461" t="s">
        <v>748</v>
      </c>
      <c r="I3348" s="461" t="s">
        <v>765</v>
      </c>
      <c r="J3348" s="461" t="s">
        <v>700</v>
      </c>
      <c r="K3348" s="594"/>
      <c r="L3348" s="594"/>
      <c r="M3348" s="352">
        <v>7000</v>
      </c>
      <c r="N3348" s="352" t="s">
        <v>1891</v>
      </c>
      <c r="O3348" s="460">
        <v>4411</v>
      </c>
      <c r="P3348" s="460" t="s">
        <v>1888</v>
      </c>
      <c r="Q3348" s="460" t="s">
        <v>2553</v>
      </c>
      <c r="R3348" s="460">
        <v>4411</v>
      </c>
      <c r="S3348" s="460" t="s">
        <v>2296</v>
      </c>
      <c r="T3348" s="462">
        <v>0.55517361979372948</v>
      </c>
      <c r="U3348" s="460" t="s">
        <v>2299</v>
      </c>
      <c r="V3348" s="475">
        <v>0</v>
      </c>
      <c r="W3348" s="463" t="s">
        <v>2268</v>
      </c>
      <c r="X3348" s="463" t="s">
        <v>2268</v>
      </c>
      <c r="Y3348" s="463" t="s">
        <v>2554</v>
      </c>
      <c r="Z3348" s="463"/>
      <c r="AA3348" s="463"/>
      <c r="AB3348" s="464">
        <v>0</v>
      </c>
      <c r="AC3348" s="465">
        <v>0</v>
      </c>
      <c r="AD3348" s="465">
        <v>0</v>
      </c>
      <c r="AE3348" s="476">
        <v>0</v>
      </c>
      <c r="AF3348" s="467">
        <v>0</v>
      </c>
      <c r="AG3348" s="468">
        <v>0</v>
      </c>
      <c r="AH3348" s="218">
        <v>0</v>
      </c>
      <c r="AI3348" s="470">
        <v>0</v>
      </c>
      <c r="AJ3348" s="471">
        <v>0</v>
      </c>
      <c r="AK3348" s="218">
        <v>0</v>
      </c>
      <c r="AL3348" s="470">
        <v>0</v>
      </c>
      <c r="AM3348" s="471">
        <v>0</v>
      </c>
      <c r="AN3348" s="477">
        <v>0</v>
      </c>
      <c r="AO3348" s="473">
        <v>0</v>
      </c>
      <c r="AP3348" s="474">
        <v>0</v>
      </c>
      <c r="AQ3348" s="352"/>
      <c r="AR3348" s="352"/>
      <c r="AS3348" s="352"/>
      <c r="AT3348" s="352"/>
      <c r="AU3348" s="352"/>
      <c r="AV3348" s="352"/>
      <c r="AW3348" s="352" t="s">
        <v>254</v>
      </c>
    </row>
    <row r="3349" spans="2:49" x14ac:dyDescent="0.2">
      <c r="B3349" s="460" t="s">
        <v>3355</v>
      </c>
      <c r="C3349" s="460">
        <v>7000</v>
      </c>
      <c r="D3349" s="460" t="s">
        <v>2316</v>
      </c>
      <c r="E3349" s="460" t="s">
        <v>2302</v>
      </c>
      <c r="F3349" s="460">
        <v>3</v>
      </c>
      <c r="G3349" s="460">
        <v>2</v>
      </c>
      <c r="H3349" s="461" t="s">
        <v>748</v>
      </c>
      <c r="I3349" s="461" t="s">
        <v>765</v>
      </c>
      <c r="J3349" s="461" t="s">
        <v>700</v>
      </c>
      <c r="K3349" s="594"/>
      <c r="L3349" s="594"/>
      <c r="M3349" s="352">
        <v>7000</v>
      </c>
      <c r="N3349" s="352" t="s">
        <v>1891</v>
      </c>
      <c r="O3349" s="460">
        <v>4411</v>
      </c>
      <c r="P3349" s="460" t="s">
        <v>1888</v>
      </c>
      <c r="Q3349" s="460" t="s">
        <v>2553</v>
      </c>
      <c r="R3349" s="460">
        <v>4411</v>
      </c>
      <c r="S3349" s="460" t="s">
        <v>2296</v>
      </c>
      <c r="T3349" s="462">
        <v>0.28481449642268464</v>
      </c>
      <c r="U3349" s="460" t="s">
        <v>2302</v>
      </c>
      <c r="V3349" s="475">
        <v>0</v>
      </c>
      <c r="W3349" s="463" t="s">
        <v>2268</v>
      </c>
      <c r="X3349" s="463" t="s">
        <v>2268</v>
      </c>
      <c r="Y3349" s="463" t="s">
        <v>2554</v>
      </c>
      <c r="Z3349" s="463"/>
      <c r="AA3349" s="463"/>
      <c r="AB3349" s="464">
        <v>0</v>
      </c>
      <c r="AC3349" s="465">
        <v>0</v>
      </c>
      <c r="AD3349" s="465">
        <v>0</v>
      </c>
      <c r="AE3349" s="476">
        <v>0</v>
      </c>
      <c r="AF3349" s="467">
        <v>0</v>
      </c>
      <c r="AG3349" s="468">
        <v>0</v>
      </c>
      <c r="AH3349" s="218">
        <v>0</v>
      </c>
      <c r="AI3349" s="470">
        <v>0</v>
      </c>
      <c r="AJ3349" s="471">
        <v>0</v>
      </c>
      <c r="AK3349" s="218">
        <v>0</v>
      </c>
      <c r="AL3349" s="470">
        <v>0</v>
      </c>
      <c r="AM3349" s="471">
        <v>0</v>
      </c>
      <c r="AN3349" s="477">
        <v>0</v>
      </c>
      <c r="AO3349" s="473">
        <v>0</v>
      </c>
      <c r="AP3349" s="474">
        <v>0</v>
      </c>
      <c r="AQ3349" s="352"/>
      <c r="AR3349" s="352"/>
      <c r="AS3349" s="352"/>
      <c r="AT3349" s="352"/>
      <c r="AU3349" s="352"/>
      <c r="AV3349" s="352"/>
      <c r="AW3349" s="352" t="s">
        <v>254</v>
      </c>
    </row>
    <row r="3350" spans="2:49" x14ac:dyDescent="0.2">
      <c r="B3350" s="460" t="s">
        <v>3356</v>
      </c>
      <c r="C3350" s="460">
        <v>7000</v>
      </c>
      <c r="D3350" s="460" t="s">
        <v>2317</v>
      </c>
      <c r="E3350" s="460" t="s">
        <v>2305</v>
      </c>
      <c r="F3350" s="460">
        <v>4</v>
      </c>
      <c r="G3350" s="460">
        <v>2</v>
      </c>
      <c r="H3350" s="461" t="s">
        <v>748</v>
      </c>
      <c r="I3350" s="461" t="s">
        <v>765</v>
      </c>
      <c r="J3350" s="461" t="s">
        <v>700</v>
      </c>
      <c r="K3350" s="594"/>
      <c r="L3350" s="594"/>
      <c r="M3350" s="352">
        <v>7000</v>
      </c>
      <c r="N3350" s="352" t="s">
        <v>1891</v>
      </c>
      <c r="O3350" s="460">
        <v>4411</v>
      </c>
      <c r="P3350" s="460" t="s">
        <v>1888</v>
      </c>
      <c r="Q3350" s="460" t="s">
        <v>2553</v>
      </c>
      <c r="R3350" s="460">
        <v>4411</v>
      </c>
      <c r="S3350" s="460" t="s">
        <v>2305</v>
      </c>
      <c r="T3350" s="462">
        <v>1</v>
      </c>
      <c r="U3350" s="460" t="s">
        <v>2305</v>
      </c>
      <c r="V3350" s="475">
        <v>0</v>
      </c>
      <c r="W3350" s="463" t="s">
        <v>2268</v>
      </c>
      <c r="X3350" s="463" t="s">
        <v>2268</v>
      </c>
      <c r="Y3350" s="463" t="s">
        <v>2554</v>
      </c>
      <c r="Z3350" s="463"/>
      <c r="AA3350" s="463"/>
      <c r="AB3350" s="464">
        <v>0</v>
      </c>
      <c r="AC3350" s="465">
        <v>0</v>
      </c>
      <c r="AD3350" s="465">
        <v>0</v>
      </c>
      <c r="AE3350" s="476">
        <v>0</v>
      </c>
      <c r="AF3350" s="467">
        <v>0</v>
      </c>
      <c r="AG3350" s="468">
        <v>0</v>
      </c>
      <c r="AH3350" s="218">
        <v>0</v>
      </c>
      <c r="AI3350" s="470">
        <v>0</v>
      </c>
      <c r="AJ3350" s="471">
        <v>0</v>
      </c>
      <c r="AK3350" s="218">
        <v>0</v>
      </c>
      <c r="AL3350" s="470">
        <v>0</v>
      </c>
      <c r="AM3350" s="471">
        <v>0</v>
      </c>
      <c r="AN3350" s="477">
        <v>0</v>
      </c>
      <c r="AO3350" s="473">
        <v>0</v>
      </c>
      <c r="AP3350" s="474">
        <v>0</v>
      </c>
      <c r="AQ3350" s="352"/>
      <c r="AR3350" s="352"/>
      <c r="AS3350" s="352"/>
      <c r="AT3350" s="352"/>
      <c r="AU3350" s="352"/>
      <c r="AV3350" s="352"/>
      <c r="AW3350" s="352" t="s">
        <v>254</v>
      </c>
    </row>
    <row r="3351" spans="2:49" x14ac:dyDescent="0.2">
      <c r="B3351" s="460" t="s">
        <v>3357</v>
      </c>
      <c r="C3351" s="460">
        <v>7000</v>
      </c>
      <c r="D3351" s="460" t="s">
        <v>2323</v>
      </c>
      <c r="E3351" s="460" t="s">
        <v>2324</v>
      </c>
      <c r="F3351" s="460">
        <v>1</v>
      </c>
      <c r="G3351" s="460">
        <v>3</v>
      </c>
      <c r="H3351" s="461" t="s">
        <v>700</v>
      </c>
      <c r="I3351" s="461" t="s">
        <v>872</v>
      </c>
      <c r="J3351" s="461" t="s">
        <v>700</v>
      </c>
      <c r="K3351" s="594"/>
      <c r="L3351" s="594"/>
      <c r="M3351" s="352">
        <v>7000</v>
      </c>
      <c r="N3351" s="352" t="s">
        <v>1891</v>
      </c>
      <c r="O3351" s="460">
        <v>4411</v>
      </c>
      <c r="P3351" s="460" t="s">
        <v>1888</v>
      </c>
      <c r="Q3351" s="460" t="s">
        <v>2553</v>
      </c>
      <c r="R3351" s="460">
        <v>4411</v>
      </c>
      <c r="S3351" s="460" t="s">
        <v>2324</v>
      </c>
      <c r="T3351" s="462">
        <v>1</v>
      </c>
      <c r="U3351" s="460" t="s">
        <v>2324</v>
      </c>
      <c r="V3351" s="475">
        <v>0</v>
      </c>
      <c r="W3351" s="463" t="s">
        <v>2554</v>
      </c>
      <c r="X3351" s="463" t="s">
        <v>2554</v>
      </c>
      <c r="Y3351" s="463" t="s">
        <v>2268</v>
      </c>
      <c r="Z3351" s="463"/>
      <c r="AA3351" s="463"/>
      <c r="AB3351" s="464">
        <v>0</v>
      </c>
      <c r="AC3351" s="465">
        <v>0</v>
      </c>
      <c r="AD3351" s="465">
        <v>0</v>
      </c>
      <c r="AE3351" s="476">
        <v>0</v>
      </c>
      <c r="AF3351" s="467">
        <v>0</v>
      </c>
      <c r="AG3351" s="468">
        <v>0</v>
      </c>
      <c r="AH3351" s="218">
        <v>0</v>
      </c>
      <c r="AI3351" s="470">
        <v>0</v>
      </c>
      <c r="AJ3351" s="471">
        <v>0</v>
      </c>
      <c r="AK3351" s="218">
        <v>0</v>
      </c>
      <c r="AL3351" s="470">
        <v>0</v>
      </c>
      <c r="AM3351" s="471">
        <v>0</v>
      </c>
      <c r="AN3351" s="477">
        <v>0</v>
      </c>
      <c r="AO3351" s="473">
        <v>0</v>
      </c>
      <c r="AP3351" s="474">
        <v>0</v>
      </c>
      <c r="AQ3351" s="352"/>
      <c r="AR3351" s="352"/>
      <c r="AS3351" s="352"/>
      <c r="AT3351" s="352"/>
      <c r="AU3351" s="352"/>
      <c r="AV3351" s="352"/>
      <c r="AW3351" s="352" t="s">
        <v>254</v>
      </c>
    </row>
    <row r="3352" spans="2:49" x14ac:dyDescent="0.2">
      <c r="B3352" s="460" t="s">
        <v>3358</v>
      </c>
      <c r="C3352" s="460">
        <v>7000</v>
      </c>
      <c r="D3352" s="460" t="s">
        <v>2326</v>
      </c>
      <c r="E3352" s="460" t="s">
        <v>2327</v>
      </c>
      <c r="F3352" s="460">
        <v>2</v>
      </c>
      <c r="G3352" s="460">
        <v>3</v>
      </c>
      <c r="H3352" s="461" t="s">
        <v>700</v>
      </c>
      <c r="I3352" s="461" t="s">
        <v>872</v>
      </c>
      <c r="J3352" s="461" t="s">
        <v>700</v>
      </c>
      <c r="K3352" s="594"/>
      <c r="L3352" s="594"/>
      <c r="M3352" s="352">
        <v>7000</v>
      </c>
      <c r="N3352" s="352" t="s">
        <v>1891</v>
      </c>
      <c r="O3352" s="460">
        <v>4411</v>
      </c>
      <c r="P3352" s="460" t="s">
        <v>1888</v>
      </c>
      <c r="Q3352" s="460" t="s">
        <v>2553</v>
      </c>
      <c r="R3352" s="460">
        <v>4411</v>
      </c>
      <c r="S3352" s="460" t="s">
        <v>2324</v>
      </c>
      <c r="T3352" s="462">
        <v>1</v>
      </c>
      <c r="U3352" s="460" t="s">
        <v>2327</v>
      </c>
      <c r="V3352" s="475">
        <v>0</v>
      </c>
      <c r="W3352" s="463" t="s">
        <v>2554</v>
      </c>
      <c r="X3352" s="463" t="s">
        <v>2554</v>
      </c>
      <c r="Y3352" s="463" t="s">
        <v>2268</v>
      </c>
      <c r="Z3352" s="463"/>
      <c r="AA3352" s="463"/>
      <c r="AB3352" s="464">
        <v>0</v>
      </c>
      <c r="AC3352" s="465">
        <v>0</v>
      </c>
      <c r="AD3352" s="465">
        <v>0</v>
      </c>
      <c r="AE3352" s="476">
        <v>0</v>
      </c>
      <c r="AF3352" s="467">
        <v>0</v>
      </c>
      <c r="AG3352" s="468">
        <v>0</v>
      </c>
      <c r="AH3352" s="218">
        <v>0</v>
      </c>
      <c r="AI3352" s="470">
        <v>0</v>
      </c>
      <c r="AJ3352" s="471">
        <v>0</v>
      </c>
      <c r="AK3352" s="218">
        <v>0</v>
      </c>
      <c r="AL3352" s="470">
        <v>0</v>
      </c>
      <c r="AM3352" s="471">
        <v>0</v>
      </c>
      <c r="AN3352" s="477">
        <v>0</v>
      </c>
      <c r="AO3352" s="473">
        <v>0</v>
      </c>
      <c r="AP3352" s="474">
        <v>0</v>
      </c>
      <c r="AQ3352" s="352"/>
      <c r="AR3352" s="352"/>
      <c r="AS3352" s="352"/>
      <c r="AT3352" s="352"/>
      <c r="AU3352" s="352"/>
      <c r="AV3352" s="352"/>
      <c r="AW3352" s="352" t="s">
        <v>254</v>
      </c>
    </row>
    <row r="3353" spans="2:49" x14ac:dyDescent="0.2">
      <c r="B3353" s="460" t="s">
        <v>3359</v>
      </c>
      <c r="C3353" s="460">
        <v>7000</v>
      </c>
      <c r="D3353" s="460" t="s">
        <v>2329</v>
      </c>
      <c r="E3353" s="460" t="s">
        <v>2330</v>
      </c>
      <c r="F3353" s="460">
        <v>3</v>
      </c>
      <c r="G3353" s="460">
        <v>3</v>
      </c>
      <c r="H3353" s="461" t="s">
        <v>700</v>
      </c>
      <c r="I3353" s="461" t="s">
        <v>872</v>
      </c>
      <c r="J3353" s="461" t="s">
        <v>700</v>
      </c>
      <c r="K3353" s="594"/>
      <c r="L3353" s="594"/>
      <c r="M3353" s="352">
        <v>7000</v>
      </c>
      <c r="N3353" s="352" t="s">
        <v>1891</v>
      </c>
      <c r="O3353" s="460">
        <v>4411</v>
      </c>
      <c r="P3353" s="460" t="s">
        <v>1888</v>
      </c>
      <c r="Q3353" s="460" t="s">
        <v>2553</v>
      </c>
      <c r="R3353" s="460">
        <v>4411</v>
      </c>
      <c r="S3353" s="460" t="s">
        <v>2324</v>
      </c>
      <c r="T3353" s="462">
        <v>1</v>
      </c>
      <c r="U3353" s="460" t="s">
        <v>2330</v>
      </c>
      <c r="V3353" s="475">
        <v>0</v>
      </c>
      <c r="W3353" s="463" t="s">
        <v>2554</v>
      </c>
      <c r="X3353" s="463" t="s">
        <v>2554</v>
      </c>
      <c r="Y3353" s="463" t="s">
        <v>2268</v>
      </c>
      <c r="Z3353" s="463"/>
      <c r="AA3353" s="463"/>
      <c r="AB3353" s="464">
        <v>0</v>
      </c>
      <c r="AC3353" s="465">
        <v>0</v>
      </c>
      <c r="AD3353" s="465">
        <v>0</v>
      </c>
      <c r="AE3353" s="476">
        <v>0</v>
      </c>
      <c r="AF3353" s="467">
        <v>0</v>
      </c>
      <c r="AG3353" s="468">
        <v>0</v>
      </c>
      <c r="AH3353" s="218">
        <v>0</v>
      </c>
      <c r="AI3353" s="470">
        <v>0</v>
      </c>
      <c r="AJ3353" s="471">
        <v>0</v>
      </c>
      <c r="AK3353" s="218">
        <v>0</v>
      </c>
      <c r="AL3353" s="470">
        <v>0</v>
      </c>
      <c r="AM3353" s="471">
        <v>0</v>
      </c>
      <c r="AN3353" s="477">
        <v>0</v>
      </c>
      <c r="AO3353" s="473">
        <v>0</v>
      </c>
      <c r="AP3353" s="474">
        <v>0</v>
      </c>
      <c r="AQ3353" s="352"/>
      <c r="AR3353" s="352"/>
      <c r="AS3353" s="352"/>
      <c r="AT3353" s="352"/>
      <c r="AU3353" s="352"/>
      <c r="AV3353" s="352"/>
      <c r="AW3353" s="352" t="s">
        <v>254</v>
      </c>
    </row>
    <row r="3354" spans="2:49" x14ac:dyDescent="0.2">
      <c r="B3354" s="460" t="s">
        <v>3360</v>
      </c>
      <c r="C3354" s="460">
        <v>7000</v>
      </c>
      <c r="D3354" s="460" t="s">
        <v>2332</v>
      </c>
      <c r="E3354" s="460" t="s">
        <v>2333</v>
      </c>
      <c r="F3354" s="460">
        <v>4</v>
      </c>
      <c r="G3354" s="460">
        <v>3</v>
      </c>
      <c r="H3354" s="461" t="s">
        <v>700</v>
      </c>
      <c r="I3354" s="461" t="s">
        <v>872</v>
      </c>
      <c r="J3354" s="461" t="s">
        <v>700</v>
      </c>
      <c r="K3354" s="594"/>
      <c r="L3354" s="594"/>
      <c r="M3354" s="352">
        <v>7000</v>
      </c>
      <c r="N3354" s="352" t="s">
        <v>1891</v>
      </c>
      <c r="O3354" s="460">
        <v>4411</v>
      </c>
      <c r="P3354" s="460" t="s">
        <v>1888</v>
      </c>
      <c r="Q3354" s="460" t="s">
        <v>2553</v>
      </c>
      <c r="R3354" s="460">
        <v>4411</v>
      </c>
      <c r="S3354" s="460" t="s">
        <v>2333</v>
      </c>
      <c r="T3354" s="462">
        <v>1</v>
      </c>
      <c r="U3354" s="460" t="s">
        <v>2333</v>
      </c>
      <c r="V3354" s="475">
        <v>0</v>
      </c>
      <c r="W3354" s="463" t="s">
        <v>2554</v>
      </c>
      <c r="X3354" s="463" t="s">
        <v>2554</v>
      </c>
      <c r="Y3354" s="463" t="s">
        <v>2268</v>
      </c>
      <c r="Z3354" s="463"/>
      <c r="AA3354" s="463"/>
      <c r="AB3354" s="464">
        <v>0</v>
      </c>
      <c r="AC3354" s="465">
        <v>0</v>
      </c>
      <c r="AD3354" s="465">
        <v>0</v>
      </c>
      <c r="AE3354" s="476">
        <v>0</v>
      </c>
      <c r="AF3354" s="467">
        <v>0</v>
      </c>
      <c r="AG3354" s="468">
        <v>0</v>
      </c>
      <c r="AH3354" s="218">
        <v>0</v>
      </c>
      <c r="AI3354" s="470">
        <v>0</v>
      </c>
      <c r="AJ3354" s="471">
        <v>0</v>
      </c>
      <c r="AK3354" s="218">
        <v>0</v>
      </c>
      <c r="AL3354" s="470">
        <v>0</v>
      </c>
      <c r="AM3354" s="471">
        <v>0</v>
      </c>
      <c r="AN3354" s="477">
        <v>0</v>
      </c>
      <c r="AO3354" s="473">
        <v>0</v>
      </c>
      <c r="AP3354" s="474">
        <v>0</v>
      </c>
      <c r="AQ3354" s="352"/>
      <c r="AR3354" s="352"/>
      <c r="AS3354" s="352"/>
      <c r="AT3354" s="352"/>
      <c r="AU3354" s="352"/>
      <c r="AV3354" s="352"/>
      <c r="AW3354" s="352" t="s">
        <v>254</v>
      </c>
    </row>
    <row r="3355" spans="2:49" x14ac:dyDescent="0.2">
      <c r="B3355" s="460" t="s">
        <v>3357</v>
      </c>
      <c r="C3355" s="460">
        <v>7000</v>
      </c>
      <c r="D3355" s="460" t="s">
        <v>2334</v>
      </c>
      <c r="E3355" s="460" t="s">
        <v>2324</v>
      </c>
      <c r="F3355" s="460">
        <v>1</v>
      </c>
      <c r="G3355" s="460">
        <v>3</v>
      </c>
      <c r="H3355" s="461" t="s">
        <v>712</v>
      </c>
      <c r="I3355" s="461" t="s">
        <v>713</v>
      </c>
      <c r="J3355" s="461" t="s">
        <v>712</v>
      </c>
      <c r="K3355" s="594"/>
      <c r="L3355" s="594"/>
      <c r="M3355" s="352">
        <v>7000</v>
      </c>
      <c r="N3355" s="352" t="s">
        <v>1891</v>
      </c>
      <c r="O3355" s="460">
        <v>4411</v>
      </c>
      <c r="P3355" s="460" t="s">
        <v>1888</v>
      </c>
      <c r="Q3355" s="460" t="s">
        <v>2280</v>
      </c>
      <c r="R3355" s="460">
        <v>4411</v>
      </c>
      <c r="S3355" s="460" t="s">
        <v>2324</v>
      </c>
      <c r="T3355" s="462">
        <v>1</v>
      </c>
      <c r="U3355" s="460" t="s">
        <v>2324</v>
      </c>
      <c r="V3355" s="475">
        <v>0</v>
      </c>
      <c r="W3355" s="463" t="s">
        <v>713</v>
      </c>
      <c r="X3355" s="463" t="s">
        <v>713</v>
      </c>
      <c r="Y3355" s="463" t="s">
        <v>713</v>
      </c>
      <c r="Z3355" s="463"/>
      <c r="AA3355" s="463"/>
      <c r="AB3355" s="464">
        <v>4419.2059380711626</v>
      </c>
      <c r="AC3355" s="465">
        <v>0.89898322300211708</v>
      </c>
      <c r="AD3355" s="465">
        <v>1.1034298040001689E-2</v>
      </c>
      <c r="AE3355" s="476">
        <v>4419.2059380711626</v>
      </c>
      <c r="AF3355" s="467">
        <v>0.89898322300211708</v>
      </c>
      <c r="AG3355" s="468">
        <v>1.0824742054593777E-2</v>
      </c>
      <c r="AH3355" s="218">
        <v>4419.2059380711626</v>
      </c>
      <c r="AI3355" s="470">
        <v>0.89898322300211708</v>
      </c>
      <c r="AJ3355" s="471">
        <v>1.0962738559030094E-2</v>
      </c>
      <c r="AK3355" s="218">
        <v>4419.2059380711626</v>
      </c>
      <c r="AL3355" s="470">
        <v>0.89898322300211708</v>
      </c>
      <c r="AM3355" s="471">
        <v>1.0962738559030094E-2</v>
      </c>
      <c r="AN3355" s="477">
        <v>4419.2059380711626</v>
      </c>
      <c r="AO3355" s="473">
        <v>0.89898322300211708</v>
      </c>
      <c r="AP3355" s="474">
        <v>1.0957403511595954E-2</v>
      </c>
      <c r="AQ3355" s="352"/>
      <c r="AR3355" s="352"/>
      <c r="AS3355" s="352"/>
      <c r="AT3355" s="352"/>
      <c r="AU3355" s="352"/>
      <c r="AV3355" s="352"/>
      <c r="AW3355" s="352" t="s">
        <v>254</v>
      </c>
    </row>
    <row r="3356" spans="2:49" x14ac:dyDescent="0.2">
      <c r="B3356" s="460" t="s">
        <v>3358</v>
      </c>
      <c r="C3356" s="460">
        <v>7000</v>
      </c>
      <c r="D3356" s="460" t="s">
        <v>2335</v>
      </c>
      <c r="E3356" s="460" t="s">
        <v>2327</v>
      </c>
      <c r="F3356" s="460">
        <v>2</v>
      </c>
      <c r="G3356" s="460">
        <v>3</v>
      </c>
      <c r="H3356" s="461" t="s">
        <v>712</v>
      </c>
      <c r="I3356" s="461" t="s">
        <v>713</v>
      </c>
      <c r="J3356" s="461" t="s">
        <v>712</v>
      </c>
      <c r="K3356" s="594"/>
      <c r="L3356" s="594"/>
      <c r="M3356" s="352">
        <v>7000</v>
      </c>
      <c r="N3356" s="352" t="s">
        <v>1891</v>
      </c>
      <c r="O3356" s="460">
        <v>4411</v>
      </c>
      <c r="P3356" s="460" t="s">
        <v>1888</v>
      </c>
      <c r="Q3356" s="460" t="s">
        <v>2280</v>
      </c>
      <c r="R3356" s="460">
        <v>4411</v>
      </c>
      <c r="S3356" s="460" t="s">
        <v>2324</v>
      </c>
      <c r="T3356" s="462">
        <v>1</v>
      </c>
      <c r="U3356" s="460" t="s">
        <v>2327</v>
      </c>
      <c r="V3356" s="475">
        <v>0</v>
      </c>
      <c r="W3356" s="463" t="s">
        <v>713</v>
      </c>
      <c r="X3356" s="463" t="s">
        <v>713</v>
      </c>
      <c r="Y3356" s="463" t="s">
        <v>713</v>
      </c>
      <c r="Z3356" s="463"/>
      <c r="AA3356" s="463"/>
      <c r="AB3356" s="464">
        <v>3484.4241937911606</v>
      </c>
      <c r="AC3356" s="465">
        <v>0.96560767465517583</v>
      </c>
      <c r="AD3356" s="465">
        <v>1.1159211674521823E-2</v>
      </c>
      <c r="AE3356" s="476">
        <v>3484.4241937911606</v>
      </c>
      <c r="AF3356" s="467">
        <v>0.96560767465517583</v>
      </c>
      <c r="AG3356" s="468">
        <v>1.0976578795029128E-2</v>
      </c>
      <c r="AH3356" s="218">
        <v>3484.4241937911606</v>
      </c>
      <c r="AI3356" s="470">
        <v>0.96560767465517583</v>
      </c>
      <c r="AJ3356" s="471">
        <v>1.1415249198235975E-2</v>
      </c>
      <c r="AK3356" s="218">
        <v>3484.4241937911606</v>
      </c>
      <c r="AL3356" s="470">
        <v>0.96560767465517583</v>
      </c>
      <c r="AM3356" s="471">
        <v>1.1415249198235975E-2</v>
      </c>
      <c r="AN3356" s="477">
        <v>3484.4241937911606</v>
      </c>
      <c r="AO3356" s="473">
        <v>0.96560767465517583</v>
      </c>
      <c r="AP3356" s="474">
        <v>1.1410773691914464E-2</v>
      </c>
      <c r="AQ3356" s="352"/>
      <c r="AR3356" s="352"/>
      <c r="AS3356" s="352"/>
      <c r="AT3356" s="352"/>
      <c r="AU3356" s="352"/>
      <c r="AV3356" s="352"/>
      <c r="AW3356" s="352" t="s">
        <v>254</v>
      </c>
    </row>
    <row r="3357" spans="2:49" x14ac:dyDescent="0.2">
      <c r="B3357" s="460" t="s">
        <v>3359</v>
      </c>
      <c r="C3357" s="460">
        <v>7000</v>
      </c>
      <c r="D3357" s="460" t="s">
        <v>2336</v>
      </c>
      <c r="E3357" s="460" t="s">
        <v>2330</v>
      </c>
      <c r="F3357" s="460">
        <v>3</v>
      </c>
      <c r="G3357" s="460">
        <v>3</v>
      </c>
      <c r="H3357" s="461" t="s">
        <v>712</v>
      </c>
      <c r="I3357" s="461" t="s">
        <v>713</v>
      </c>
      <c r="J3357" s="461" t="s">
        <v>712</v>
      </c>
      <c r="K3357" s="594"/>
      <c r="L3357" s="594"/>
      <c r="M3357" s="352">
        <v>7000</v>
      </c>
      <c r="N3357" s="352" t="s">
        <v>1891</v>
      </c>
      <c r="O3357" s="460">
        <v>4411</v>
      </c>
      <c r="P3357" s="460" t="s">
        <v>1888</v>
      </c>
      <c r="Q3357" s="460" t="s">
        <v>2280</v>
      </c>
      <c r="R3357" s="460">
        <v>4411</v>
      </c>
      <c r="S3357" s="460" t="s">
        <v>2324</v>
      </c>
      <c r="T3357" s="462">
        <v>1</v>
      </c>
      <c r="U3357" s="460" t="s">
        <v>2330</v>
      </c>
      <c r="V3357" s="475">
        <v>0</v>
      </c>
      <c r="W3357" s="463" t="s">
        <v>713</v>
      </c>
      <c r="X3357" s="463" t="s">
        <v>713</v>
      </c>
      <c r="Y3357" s="463" t="s">
        <v>713</v>
      </c>
      <c r="Z3357" s="463"/>
      <c r="AA3357" s="463"/>
      <c r="AB3357" s="464">
        <v>1819.5747520686346</v>
      </c>
      <c r="AC3357" s="465">
        <v>0.9987780448425656</v>
      </c>
      <c r="AD3357" s="465">
        <v>1.6110993505751649E-2</v>
      </c>
      <c r="AE3357" s="476">
        <v>1819.5747520686346</v>
      </c>
      <c r="AF3357" s="467">
        <v>0.9987780448425656</v>
      </c>
      <c r="AG3357" s="468">
        <v>1.5861956381121974E-2</v>
      </c>
      <c r="AH3357" s="218">
        <v>1819.5747520686346</v>
      </c>
      <c r="AI3357" s="470">
        <v>0.9987780448425656</v>
      </c>
      <c r="AJ3357" s="471">
        <v>1.6467586364721582E-2</v>
      </c>
      <c r="AK3357" s="218">
        <v>1819.5747520686346</v>
      </c>
      <c r="AL3357" s="470">
        <v>0.9987780448425656</v>
      </c>
      <c r="AM3357" s="471">
        <v>1.6467586364721582E-2</v>
      </c>
      <c r="AN3357" s="477">
        <v>1819.5747520686346</v>
      </c>
      <c r="AO3357" s="473">
        <v>0.9987780448425656</v>
      </c>
      <c r="AP3357" s="474">
        <v>1.6510091023821342E-2</v>
      </c>
      <c r="AQ3357" s="352"/>
      <c r="AR3357" s="352"/>
      <c r="AS3357" s="352"/>
      <c r="AT3357" s="352"/>
      <c r="AU3357" s="352"/>
      <c r="AV3357" s="352"/>
      <c r="AW3357" s="352" t="s">
        <v>254</v>
      </c>
    </row>
    <row r="3358" spans="2:49" x14ac:dyDescent="0.2">
      <c r="B3358" s="460" t="s">
        <v>3360</v>
      </c>
      <c r="C3358" s="460">
        <v>7000</v>
      </c>
      <c r="D3358" s="460" t="s">
        <v>2337</v>
      </c>
      <c r="E3358" s="460" t="s">
        <v>2333</v>
      </c>
      <c r="F3358" s="460">
        <v>4</v>
      </c>
      <c r="G3358" s="460">
        <v>3</v>
      </c>
      <c r="H3358" s="461" t="s">
        <v>712</v>
      </c>
      <c r="I3358" s="461" t="s">
        <v>713</v>
      </c>
      <c r="J3358" s="461" t="s">
        <v>712</v>
      </c>
      <c r="K3358" s="594"/>
      <c r="L3358" s="594"/>
      <c r="M3358" s="352">
        <v>7000</v>
      </c>
      <c r="N3358" s="352" t="s">
        <v>1891</v>
      </c>
      <c r="O3358" s="460">
        <v>4411</v>
      </c>
      <c r="P3358" s="460" t="s">
        <v>1888</v>
      </c>
      <c r="Q3358" s="460" t="s">
        <v>2280</v>
      </c>
      <c r="R3358" s="460">
        <v>4411</v>
      </c>
      <c r="S3358" s="460" t="s">
        <v>2333</v>
      </c>
      <c r="T3358" s="462">
        <v>1</v>
      </c>
      <c r="U3358" s="460" t="s">
        <v>2333</v>
      </c>
      <c r="V3358" s="475">
        <v>0</v>
      </c>
      <c r="W3358" s="463" t="s">
        <v>713</v>
      </c>
      <c r="X3358" s="463" t="s">
        <v>713</v>
      </c>
      <c r="Y3358" s="463" t="s">
        <v>713</v>
      </c>
      <c r="Z3358" s="463"/>
      <c r="AA3358" s="463"/>
      <c r="AB3358" s="464">
        <v>2088.0140811343344</v>
      </c>
      <c r="AC3358" s="465">
        <v>0.97987418463967824</v>
      </c>
      <c r="AD3358" s="465">
        <v>1.5874065732638845E-2</v>
      </c>
      <c r="AE3358" s="476">
        <v>2088.0140811343344</v>
      </c>
      <c r="AF3358" s="467">
        <v>0.97987418463967835</v>
      </c>
      <c r="AG3358" s="468">
        <v>1.5711447260457409E-2</v>
      </c>
      <c r="AH3358" s="218">
        <v>2088.0140811343344</v>
      </c>
      <c r="AI3358" s="470">
        <v>0.97987418463967835</v>
      </c>
      <c r="AJ3358" s="471">
        <v>1.5761502873864814E-2</v>
      </c>
      <c r="AK3358" s="218">
        <v>2088.0140811343344</v>
      </c>
      <c r="AL3358" s="470">
        <v>0.97987418463967835</v>
      </c>
      <c r="AM3358" s="471">
        <v>1.5761502873864814E-2</v>
      </c>
      <c r="AN3358" s="477">
        <v>2088.0140811343344</v>
      </c>
      <c r="AO3358" s="473">
        <v>0.97987418463967835</v>
      </c>
      <c r="AP3358" s="474">
        <v>1.5766511623011483E-2</v>
      </c>
      <c r="AQ3358" s="352"/>
      <c r="AR3358" s="352"/>
      <c r="AS3358" s="352"/>
      <c r="AT3358" s="352"/>
      <c r="AU3358" s="352"/>
      <c r="AV3358" s="352"/>
      <c r="AW3358" s="352" t="s">
        <v>254</v>
      </c>
    </row>
    <row r="3359" spans="2:49" x14ac:dyDescent="0.2">
      <c r="B3359" s="460" t="s">
        <v>3357</v>
      </c>
      <c r="C3359" s="460">
        <v>7000</v>
      </c>
      <c r="D3359" s="460" t="s">
        <v>2338</v>
      </c>
      <c r="E3359" s="460" t="s">
        <v>2324</v>
      </c>
      <c r="F3359" s="460">
        <v>1</v>
      </c>
      <c r="G3359" s="460">
        <v>3</v>
      </c>
      <c r="H3359" s="461" t="s">
        <v>746</v>
      </c>
      <c r="I3359" s="461" t="s">
        <v>762</v>
      </c>
      <c r="J3359" s="461" t="s">
        <v>700</v>
      </c>
      <c r="K3359" s="594"/>
      <c r="L3359" s="594"/>
      <c r="M3359" s="352">
        <v>7000</v>
      </c>
      <c r="N3359" s="352" t="s">
        <v>1891</v>
      </c>
      <c r="O3359" s="460">
        <v>4411</v>
      </c>
      <c r="P3359" s="460" t="s">
        <v>1888</v>
      </c>
      <c r="Q3359" s="460" t="s">
        <v>2553</v>
      </c>
      <c r="R3359" s="460">
        <v>4411</v>
      </c>
      <c r="S3359" s="460" t="s">
        <v>2324</v>
      </c>
      <c r="T3359" s="462">
        <v>1</v>
      </c>
      <c r="U3359" s="460" t="s">
        <v>2324</v>
      </c>
      <c r="V3359" s="475">
        <v>0</v>
      </c>
      <c r="W3359" s="463" t="s">
        <v>2268</v>
      </c>
      <c r="X3359" s="463" t="s">
        <v>2268</v>
      </c>
      <c r="Y3359" s="463" t="s">
        <v>2554</v>
      </c>
      <c r="Z3359" s="463"/>
      <c r="AA3359" s="463"/>
      <c r="AB3359" s="464">
        <v>0</v>
      </c>
      <c r="AC3359" s="465">
        <v>0</v>
      </c>
      <c r="AD3359" s="465">
        <v>0</v>
      </c>
      <c r="AE3359" s="476">
        <v>0</v>
      </c>
      <c r="AF3359" s="467">
        <v>0</v>
      </c>
      <c r="AG3359" s="468">
        <v>0</v>
      </c>
      <c r="AH3359" s="218">
        <v>0</v>
      </c>
      <c r="AI3359" s="470">
        <v>0</v>
      </c>
      <c r="AJ3359" s="471">
        <v>0</v>
      </c>
      <c r="AK3359" s="218">
        <v>0</v>
      </c>
      <c r="AL3359" s="470">
        <v>0</v>
      </c>
      <c r="AM3359" s="471">
        <v>0</v>
      </c>
      <c r="AN3359" s="477">
        <v>0</v>
      </c>
      <c r="AO3359" s="473">
        <v>0</v>
      </c>
      <c r="AP3359" s="474">
        <v>0</v>
      </c>
      <c r="AQ3359" s="352"/>
      <c r="AR3359" s="352"/>
      <c r="AS3359" s="352"/>
      <c r="AT3359" s="352"/>
      <c r="AU3359" s="352"/>
      <c r="AV3359" s="352"/>
      <c r="AW3359" s="352" t="s">
        <v>254</v>
      </c>
    </row>
    <row r="3360" spans="2:49" x14ac:dyDescent="0.2">
      <c r="B3360" s="460" t="s">
        <v>3358</v>
      </c>
      <c r="C3360" s="460">
        <v>7000</v>
      </c>
      <c r="D3360" s="460" t="s">
        <v>2339</v>
      </c>
      <c r="E3360" s="460" t="s">
        <v>2327</v>
      </c>
      <c r="F3360" s="460">
        <v>2</v>
      </c>
      <c r="G3360" s="460">
        <v>3</v>
      </c>
      <c r="H3360" s="461" t="s">
        <v>746</v>
      </c>
      <c r="I3360" s="461" t="s">
        <v>762</v>
      </c>
      <c r="J3360" s="461" t="s">
        <v>700</v>
      </c>
      <c r="K3360" s="594"/>
      <c r="L3360" s="594"/>
      <c r="M3360" s="352">
        <v>7000</v>
      </c>
      <c r="N3360" s="352" t="s">
        <v>1891</v>
      </c>
      <c r="O3360" s="460">
        <v>4411</v>
      </c>
      <c r="P3360" s="460" t="s">
        <v>1888</v>
      </c>
      <c r="Q3360" s="460" t="s">
        <v>2553</v>
      </c>
      <c r="R3360" s="460">
        <v>4411</v>
      </c>
      <c r="S3360" s="460" t="s">
        <v>2324</v>
      </c>
      <c r="T3360" s="462">
        <v>1</v>
      </c>
      <c r="U3360" s="460" t="s">
        <v>2327</v>
      </c>
      <c r="V3360" s="475">
        <v>0</v>
      </c>
      <c r="W3360" s="463" t="s">
        <v>2268</v>
      </c>
      <c r="X3360" s="463" t="s">
        <v>2268</v>
      </c>
      <c r="Y3360" s="463" t="s">
        <v>2554</v>
      </c>
      <c r="Z3360" s="463"/>
      <c r="AA3360" s="463"/>
      <c r="AB3360" s="464">
        <v>0</v>
      </c>
      <c r="AC3360" s="465">
        <v>0</v>
      </c>
      <c r="AD3360" s="465">
        <v>0</v>
      </c>
      <c r="AE3360" s="476">
        <v>0</v>
      </c>
      <c r="AF3360" s="467">
        <v>0</v>
      </c>
      <c r="AG3360" s="468">
        <v>0</v>
      </c>
      <c r="AH3360" s="218">
        <v>0</v>
      </c>
      <c r="AI3360" s="470">
        <v>0</v>
      </c>
      <c r="AJ3360" s="471">
        <v>0</v>
      </c>
      <c r="AK3360" s="218">
        <v>0</v>
      </c>
      <c r="AL3360" s="470">
        <v>0</v>
      </c>
      <c r="AM3360" s="471">
        <v>0</v>
      </c>
      <c r="AN3360" s="477">
        <v>0</v>
      </c>
      <c r="AO3360" s="473">
        <v>0</v>
      </c>
      <c r="AP3360" s="474">
        <v>0</v>
      </c>
      <c r="AQ3360" s="352"/>
      <c r="AR3360" s="352"/>
      <c r="AS3360" s="352"/>
      <c r="AT3360" s="352"/>
      <c r="AU3360" s="352"/>
      <c r="AV3360" s="352"/>
      <c r="AW3360" s="352" t="s">
        <v>254</v>
      </c>
    </row>
    <row r="3361" spans="2:49" x14ac:dyDescent="0.2">
      <c r="B3361" s="460" t="s">
        <v>3359</v>
      </c>
      <c r="C3361" s="460">
        <v>7000</v>
      </c>
      <c r="D3361" s="460" t="s">
        <v>2340</v>
      </c>
      <c r="E3361" s="460" t="s">
        <v>2330</v>
      </c>
      <c r="F3361" s="460">
        <v>3</v>
      </c>
      <c r="G3361" s="460">
        <v>3</v>
      </c>
      <c r="H3361" s="461" t="s">
        <v>746</v>
      </c>
      <c r="I3361" s="461" t="s">
        <v>762</v>
      </c>
      <c r="J3361" s="461" t="s">
        <v>700</v>
      </c>
      <c r="K3361" s="594"/>
      <c r="L3361" s="594"/>
      <c r="M3361" s="352">
        <v>7000</v>
      </c>
      <c r="N3361" s="352" t="s">
        <v>1891</v>
      </c>
      <c r="O3361" s="460">
        <v>4411</v>
      </c>
      <c r="P3361" s="460" t="s">
        <v>1888</v>
      </c>
      <c r="Q3361" s="460" t="s">
        <v>2553</v>
      </c>
      <c r="R3361" s="460">
        <v>4411</v>
      </c>
      <c r="S3361" s="460" t="s">
        <v>2324</v>
      </c>
      <c r="T3361" s="462">
        <v>1</v>
      </c>
      <c r="U3361" s="460" t="s">
        <v>2330</v>
      </c>
      <c r="V3361" s="475">
        <v>0</v>
      </c>
      <c r="W3361" s="463" t="s">
        <v>2268</v>
      </c>
      <c r="X3361" s="463" t="s">
        <v>2268</v>
      </c>
      <c r="Y3361" s="463" t="s">
        <v>2554</v>
      </c>
      <c r="Z3361" s="463"/>
      <c r="AA3361" s="463"/>
      <c r="AB3361" s="464">
        <v>0</v>
      </c>
      <c r="AC3361" s="465">
        <v>0</v>
      </c>
      <c r="AD3361" s="465">
        <v>0</v>
      </c>
      <c r="AE3361" s="476">
        <v>0</v>
      </c>
      <c r="AF3361" s="467">
        <v>0</v>
      </c>
      <c r="AG3361" s="468">
        <v>0</v>
      </c>
      <c r="AH3361" s="218">
        <v>0</v>
      </c>
      <c r="AI3361" s="470">
        <v>0</v>
      </c>
      <c r="AJ3361" s="471">
        <v>0</v>
      </c>
      <c r="AK3361" s="218">
        <v>0</v>
      </c>
      <c r="AL3361" s="470">
        <v>0</v>
      </c>
      <c r="AM3361" s="471">
        <v>0</v>
      </c>
      <c r="AN3361" s="477">
        <v>0</v>
      </c>
      <c r="AO3361" s="473">
        <v>0</v>
      </c>
      <c r="AP3361" s="474">
        <v>0</v>
      </c>
      <c r="AQ3361" s="352"/>
      <c r="AR3361" s="352"/>
      <c r="AS3361" s="352"/>
      <c r="AT3361" s="352"/>
      <c r="AU3361" s="352"/>
      <c r="AV3361" s="352"/>
      <c r="AW3361" s="352" t="s">
        <v>254</v>
      </c>
    </row>
    <row r="3362" spans="2:49" x14ac:dyDescent="0.2">
      <c r="B3362" s="460" t="s">
        <v>3360</v>
      </c>
      <c r="C3362" s="460">
        <v>7000</v>
      </c>
      <c r="D3362" s="460" t="s">
        <v>2341</v>
      </c>
      <c r="E3362" s="460" t="s">
        <v>2333</v>
      </c>
      <c r="F3362" s="460">
        <v>4</v>
      </c>
      <c r="G3362" s="460">
        <v>3</v>
      </c>
      <c r="H3362" s="461" t="s">
        <v>746</v>
      </c>
      <c r="I3362" s="461" t="s">
        <v>762</v>
      </c>
      <c r="J3362" s="461" t="s">
        <v>700</v>
      </c>
      <c r="K3362" s="594"/>
      <c r="L3362" s="594"/>
      <c r="M3362" s="352">
        <v>7000</v>
      </c>
      <c r="N3362" s="352" t="s">
        <v>1891</v>
      </c>
      <c r="O3362" s="460">
        <v>4411</v>
      </c>
      <c r="P3362" s="460" t="s">
        <v>1888</v>
      </c>
      <c r="Q3362" s="460" t="s">
        <v>2553</v>
      </c>
      <c r="R3362" s="460">
        <v>4411</v>
      </c>
      <c r="S3362" s="460" t="s">
        <v>2333</v>
      </c>
      <c r="T3362" s="462">
        <v>1</v>
      </c>
      <c r="U3362" s="460" t="s">
        <v>2333</v>
      </c>
      <c r="V3362" s="475">
        <v>0</v>
      </c>
      <c r="W3362" s="463" t="s">
        <v>2268</v>
      </c>
      <c r="X3362" s="463" t="s">
        <v>2268</v>
      </c>
      <c r="Y3362" s="463" t="s">
        <v>2554</v>
      </c>
      <c r="Z3362" s="463"/>
      <c r="AA3362" s="463"/>
      <c r="AB3362" s="464">
        <v>0</v>
      </c>
      <c r="AC3362" s="465">
        <v>0</v>
      </c>
      <c r="AD3362" s="465">
        <v>0</v>
      </c>
      <c r="AE3362" s="476">
        <v>0</v>
      </c>
      <c r="AF3362" s="467">
        <v>0</v>
      </c>
      <c r="AG3362" s="468">
        <v>0</v>
      </c>
      <c r="AH3362" s="218">
        <v>0</v>
      </c>
      <c r="AI3362" s="470">
        <v>0</v>
      </c>
      <c r="AJ3362" s="471">
        <v>0</v>
      </c>
      <c r="AK3362" s="218">
        <v>0</v>
      </c>
      <c r="AL3362" s="470">
        <v>0</v>
      </c>
      <c r="AM3362" s="471">
        <v>0</v>
      </c>
      <c r="AN3362" s="477">
        <v>0</v>
      </c>
      <c r="AO3362" s="473">
        <v>0</v>
      </c>
      <c r="AP3362" s="474">
        <v>0</v>
      </c>
      <c r="AQ3362" s="352"/>
      <c r="AR3362" s="352"/>
      <c r="AS3362" s="352"/>
      <c r="AT3362" s="352"/>
      <c r="AU3362" s="352"/>
      <c r="AV3362" s="352"/>
      <c r="AW3362" s="352" t="s">
        <v>254</v>
      </c>
    </row>
    <row r="3363" spans="2:49" x14ac:dyDescent="0.2">
      <c r="B3363" s="460" t="s">
        <v>3357</v>
      </c>
      <c r="C3363" s="460">
        <v>7000</v>
      </c>
      <c r="D3363" s="460" t="s">
        <v>2342</v>
      </c>
      <c r="E3363" s="460" t="s">
        <v>2324</v>
      </c>
      <c r="F3363" s="460">
        <v>1</v>
      </c>
      <c r="G3363" s="460">
        <v>3</v>
      </c>
      <c r="H3363" s="461" t="s">
        <v>748</v>
      </c>
      <c r="I3363" s="461" t="s">
        <v>765</v>
      </c>
      <c r="J3363" s="461" t="s">
        <v>700</v>
      </c>
      <c r="K3363" s="594"/>
      <c r="L3363" s="594"/>
      <c r="M3363" s="352">
        <v>7000</v>
      </c>
      <c r="N3363" s="352" t="s">
        <v>1891</v>
      </c>
      <c r="O3363" s="460">
        <v>4411</v>
      </c>
      <c r="P3363" s="460" t="s">
        <v>1888</v>
      </c>
      <c r="Q3363" s="460" t="s">
        <v>2553</v>
      </c>
      <c r="R3363" s="460">
        <v>4411</v>
      </c>
      <c r="S3363" s="460" t="s">
        <v>2324</v>
      </c>
      <c r="T3363" s="462">
        <v>1</v>
      </c>
      <c r="U3363" s="460" t="s">
        <v>2324</v>
      </c>
      <c r="V3363" s="475">
        <v>0</v>
      </c>
      <c r="W3363" s="463" t="s">
        <v>2268</v>
      </c>
      <c r="X3363" s="463" t="s">
        <v>2268</v>
      </c>
      <c r="Y3363" s="463" t="s">
        <v>2554</v>
      </c>
      <c r="Z3363" s="463"/>
      <c r="AA3363" s="463"/>
      <c r="AB3363" s="464">
        <v>0</v>
      </c>
      <c r="AC3363" s="465">
        <v>0</v>
      </c>
      <c r="AD3363" s="465">
        <v>0</v>
      </c>
      <c r="AE3363" s="476">
        <v>0</v>
      </c>
      <c r="AF3363" s="467">
        <v>0</v>
      </c>
      <c r="AG3363" s="468">
        <v>0</v>
      </c>
      <c r="AH3363" s="218">
        <v>0</v>
      </c>
      <c r="AI3363" s="470">
        <v>0</v>
      </c>
      <c r="AJ3363" s="471">
        <v>0</v>
      </c>
      <c r="AK3363" s="218">
        <v>0</v>
      </c>
      <c r="AL3363" s="470">
        <v>0</v>
      </c>
      <c r="AM3363" s="471">
        <v>0</v>
      </c>
      <c r="AN3363" s="477">
        <v>0</v>
      </c>
      <c r="AO3363" s="473">
        <v>0</v>
      </c>
      <c r="AP3363" s="474">
        <v>0</v>
      </c>
      <c r="AQ3363" s="352"/>
      <c r="AR3363" s="352"/>
      <c r="AS3363" s="352"/>
      <c r="AT3363" s="352"/>
      <c r="AU3363" s="352"/>
      <c r="AV3363" s="352"/>
      <c r="AW3363" s="352" t="s">
        <v>254</v>
      </c>
    </row>
    <row r="3364" spans="2:49" x14ac:dyDescent="0.2">
      <c r="B3364" s="460" t="s">
        <v>3358</v>
      </c>
      <c r="C3364" s="460">
        <v>7000</v>
      </c>
      <c r="D3364" s="460" t="s">
        <v>2343</v>
      </c>
      <c r="E3364" s="460" t="s">
        <v>2327</v>
      </c>
      <c r="F3364" s="460">
        <v>2</v>
      </c>
      <c r="G3364" s="460">
        <v>3</v>
      </c>
      <c r="H3364" s="461" t="s">
        <v>748</v>
      </c>
      <c r="I3364" s="461" t="s">
        <v>765</v>
      </c>
      <c r="J3364" s="461" t="s">
        <v>700</v>
      </c>
      <c r="K3364" s="594"/>
      <c r="L3364" s="594"/>
      <c r="M3364" s="352">
        <v>7000</v>
      </c>
      <c r="N3364" s="352" t="s">
        <v>1891</v>
      </c>
      <c r="O3364" s="460">
        <v>4411</v>
      </c>
      <c r="P3364" s="460" t="s">
        <v>1888</v>
      </c>
      <c r="Q3364" s="460" t="s">
        <v>2553</v>
      </c>
      <c r="R3364" s="460">
        <v>4411</v>
      </c>
      <c r="S3364" s="460" t="s">
        <v>2324</v>
      </c>
      <c r="T3364" s="462">
        <v>1</v>
      </c>
      <c r="U3364" s="460" t="s">
        <v>2327</v>
      </c>
      <c r="V3364" s="475">
        <v>0</v>
      </c>
      <c r="W3364" s="463" t="s">
        <v>2268</v>
      </c>
      <c r="X3364" s="463" t="s">
        <v>2268</v>
      </c>
      <c r="Y3364" s="463" t="s">
        <v>2554</v>
      </c>
      <c r="Z3364" s="463"/>
      <c r="AA3364" s="463"/>
      <c r="AB3364" s="464">
        <v>0</v>
      </c>
      <c r="AC3364" s="465">
        <v>0</v>
      </c>
      <c r="AD3364" s="465">
        <v>0</v>
      </c>
      <c r="AE3364" s="476">
        <v>0</v>
      </c>
      <c r="AF3364" s="467">
        <v>0</v>
      </c>
      <c r="AG3364" s="468">
        <v>0</v>
      </c>
      <c r="AH3364" s="218">
        <v>0</v>
      </c>
      <c r="AI3364" s="470">
        <v>0</v>
      </c>
      <c r="AJ3364" s="471">
        <v>0</v>
      </c>
      <c r="AK3364" s="218">
        <v>0</v>
      </c>
      <c r="AL3364" s="470">
        <v>0</v>
      </c>
      <c r="AM3364" s="471">
        <v>0</v>
      </c>
      <c r="AN3364" s="477">
        <v>0</v>
      </c>
      <c r="AO3364" s="473">
        <v>0</v>
      </c>
      <c r="AP3364" s="474">
        <v>0</v>
      </c>
      <c r="AQ3364" s="352"/>
      <c r="AR3364" s="352"/>
      <c r="AS3364" s="352"/>
      <c r="AT3364" s="352"/>
      <c r="AU3364" s="352"/>
      <c r="AV3364" s="352"/>
      <c r="AW3364" s="352" t="s">
        <v>254</v>
      </c>
    </row>
    <row r="3365" spans="2:49" x14ac:dyDescent="0.2">
      <c r="B3365" s="460" t="s">
        <v>3359</v>
      </c>
      <c r="C3365" s="460">
        <v>7000</v>
      </c>
      <c r="D3365" s="460" t="s">
        <v>2344</v>
      </c>
      <c r="E3365" s="460" t="s">
        <v>2330</v>
      </c>
      <c r="F3365" s="460">
        <v>3</v>
      </c>
      <c r="G3365" s="460">
        <v>3</v>
      </c>
      <c r="H3365" s="461" t="s">
        <v>748</v>
      </c>
      <c r="I3365" s="461" t="s">
        <v>765</v>
      </c>
      <c r="J3365" s="461" t="s">
        <v>700</v>
      </c>
      <c r="K3365" s="594"/>
      <c r="L3365" s="594"/>
      <c r="M3365" s="352">
        <v>7000</v>
      </c>
      <c r="N3365" s="352" t="s">
        <v>1891</v>
      </c>
      <c r="O3365" s="460">
        <v>4411</v>
      </c>
      <c r="P3365" s="460" t="s">
        <v>1888</v>
      </c>
      <c r="Q3365" s="460" t="s">
        <v>2553</v>
      </c>
      <c r="R3365" s="460">
        <v>4411</v>
      </c>
      <c r="S3365" s="460" t="s">
        <v>2324</v>
      </c>
      <c r="T3365" s="462">
        <v>1</v>
      </c>
      <c r="U3365" s="460" t="s">
        <v>2330</v>
      </c>
      <c r="V3365" s="475">
        <v>0</v>
      </c>
      <c r="W3365" s="463" t="s">
        <v>2268</v>
      </c>
      <c r="X3365" s="463" t="s">
        <v>2268</v>
      </c>
      <c r="Y3365" s="463" t="s">
        <v>2554</v>
      </c>
      <c r="Z3365" s="463"/>
      <c r="AA3365" s="463"/>
      <c r="AB3365" s="464">
        <v>0</v>
      </c>
      <c r="AC3365" s="465">
        <v>0</v>
      </c>
      <c r="AD3365" s="465">
        <v>0</v>
      </c>
      <c r="AE3365" s="476">
        <v>0</v>
      </c>
      <c r="AF3365" s="467">
        <v>0</v>
      </c>
      <c r="AG3365" s="468">
        <v>0</v>
      </c>
      <c r="AH3365" s="218">
        <v>0</v>
      </c>
      <c r="AI3365" s="470">
        <v>0</v>
      </c>
      <c r="AJ3365" s="471">
        <v>0</v>
      </c>
      <c r="AK3365" s="218">
        <v>0</v>
      </c>
      <c r="AL3365" s="470">
        <v>0</v>
      </c>
      <c r="AM3365" s="471">
        <v>0</v>
      </c>
      <c r="AN3365" s="477">
        <v>0</v>
      </c>
      <c r="AO3365" s="473">
        <v>0</v>
      </c>
      <c r="AP3365" s="474">
        <v>0</v>
      </c>
      <c r="AQ3365" s="352"/>
      <c r="AR3365" s="352"/>
      <c r="AS3365" s="352"/>
      <c r="AT3365" s="352"/>
      <c r="AU3365" s="352"/>
      <c r="AV3365" s="352"/>
      <c r="AW3365" s="352" t="s">
        <v>254</v>
      </c>
    </row>
    <row r="3366" spans="2:49" x14ac:dyDescent="0.2">
      <c r="B3366" s="460" t="s">
        <v>3360</v>
      </c>
      <c r="C3366" s="460">
        <v>7000</v>
      </c>
      <c r="D3366" s="460" t="s">
        <v>2345</v>
      </c>
      <c r="E3366" s="460" t="s">
        <v>2333</v>
      </c>
      <c r="F3366" s="460">
        <v>4</v>
      </c>
      <c r="G3366" s="460">
        <v>3</v>
      </c>
      <c r="H3366" s="461" t="s">
        <v>748</v>
      </c>
      <c r="I3366" s="461" t="s">
        <v>765</v>
      </c>
      <c r="J3366" s="461" t="s">
        <v>700</v>
      </c>
      <c r="K3366" s="594"/>
      <c r="L3366" s="594"/>
      <c r="M3366" s="352">
        <v>7000</v>
      </c>
      <c r="N3366" s="352" t="s">
        <v>1891</v>
      </c>
      <c r="O3366" s="460">
        <v>4411</v>
      </c>
      <c r="P3366" s="460" t="s">
        <v>1888</v>
      </c>
      <c r="Q3366" s="460" t="s">
        <v>2553</v>
      </c>
      <c r="R3366" s="460">
        <v>4411</v>
      </c>
      <c r="S3366" s="460" t="s">
        <v>2333</v>
      </c>
      <c r="T3366" s="462">
        <v>1</v>
      </c>
      <c r="U3366" s="460" t="s">
        <v>2333</v>
      </c>
      <c r="V3366" s="475">
        <v>0</v>
      </c>
      <c r="W3366" s="463" t="s">
        <v>2268</v>
      </c>
      <c r="X3366" s="463" t="s">
        <v>2268</v>
      </c>
      <c r="Y3366" s="463" t="s">
        <v>2554</v>
      </c>
      <c r="Z3366" s="463"/>
      <c r="AA3366" s="463"/>
      <c r="AB3366" s="464">
        <v>0</v>
      </c>
      <c r="AC3366" s="465">
        <v>0</v>
      </c>
      <c r="AD3366" s="465">
        <v>0</v>
      </c>
      <c r="AE3366" s="476">
        <v>0</v>
      </c>
      <c r="AF3366" s="467">
        <v>0</v>
      </c>
      <c r="AG3366" s="468">
        <v>0</v>
      </c>
      <c r="AH3366" s="218">
        <v>0</v>
      </c>
      <c r="AI3366" s="470">
        <v>0</v>
      </c>
      <c r="AJ3366" s="471">
        <v>0</v>
      </c>
      <c r="AK3366" s="218">
        <v>0</v>
      </c>
      <c r="AL3366" s="470">
        <v>0</v>
      </c>
      <c r="AM3366" s="471">
        <v>0</v>
      </c>
      <c r="AN3366" s="477">
        <v>0</v>
      </c>
      <c r="AO3366" s="473">
        <v>0</v>
      </c>
      <c r="AP3366" s="474">
        <v>0</v>
      </c>
      <c r="AQ3366" s="352"/>
      <c r="AR3366" s="352"/>
      <c r="AS3366" s="352"/>
      <c r="AT3366" s="352"/>
      <c r="AU3366" s="352"/>
      <c r="AV3366" s="352"/>
      <c r="AW3366" s="352" t="s">
        <v>254</v>
      </c>
    </row>
    <row r="3367" spans="2:49" x14ac:dyDescent="0.2">
      <c r="B3367" s="460" t="s">
        <v>3357</v>
      </c>
      <c r="C3367" s="460">
        <v>7000</v>
      </c>
      <c r="D3367" s="460" t="s">
        <v>2346</v>
      </c>
      <c r="E3367" s="460" t="s">
        <v>2324</v>
      </c>
      <c r="F3367" s="460">
        <v>1</v>
      </c>
      <c r="G3367" s="460">
        <v>3</v>
      </c>
      <c r="H3367" s="461" t="s">
        <v>752</v>
      </c>
      <c r="I3367" s="461" t="s">
        <v>964</v>
      </c>
      <c r="J3367" s="461" t="s">
        <v>752</v>
      </c>
      <c r="K3367" s="594"/>
      <c r="L3367" s="594"/>
      <c r="M3367" s="352">
        <v>7000</v>
      </c>
      <c r="N3367" s="352" t="s">
        <v>1891</v>
      </c>
      <c r="O3367" s="460">
        <v>4411</v>
      </c>
      <c r="P3367" s="460" t="s">
        <v>1888</v>
      </c>
      <c r="Q3367" s="460" t="s">
        <v>2553</v>
      </c>
      <c r="R3367" s="460">
        <v>4411</v>
      </c>
      <c r="S3367" s="460" t="s">
        <v>2324</v>
      </c>
      <c r="T3367" s="462">
        <v>1</v>
      </c>
      <c r="U3367" s="460" t="s">
        <v>2324</v>
      </c>
      <c r="V3367" s="475">
        <v>0</v>
      </c>
      <c r="W3367" s="463" t="s">
        <v>2278</v>
      </c>
      <c r="X3367" s="463" t="s">
        <v>2278</v>
      </c>
      <c r="Y3367" s="463" t="s">
        <v>2278</v>
      </c>
      <c r="Z3367" s="463"/>
      <c r="AA3367" s="463"/>
      <c r="AB3367" s="464">
        <v>0</v>
      </c>
      <c r="AC3367" s="465">
        <v>0</v>
      </c>
      <c r="AD3367" s="465">
        <v>0</v>
      </c>
      <c r="AE3367" s="476">
        <v>0</v>
      </c>
      <c r="AF3367" s="467">
        <v>0</v>
      </c>
      <c r="AG3367" s="468">
        <v>0</v>
      </c>
      <c r="AH3367" s="218">
        <v>0</v>
      </c>
      <c r="AI3367" s="470">
        <v>0</v>
      </c>
      <c r="AJ3367" s="471">
        <v>0</v>
      </c>
      <c r="AK3367" s="218">
        <v>0</v>
      </c>
      <c r="AL3367" s="470">
        <v>0</v>
      </c>
      <c r="AM3367" s="471">
        <v>0</v>
      </c>
      <c r="AN3367" s="477">
        <v>0</v>
      </c>
      <c r="AO3367" s="473">
        <v>0</v>
      </c>
      <c r="AP3367" s="474">
        <v>0</v>
      </c>
      <c r="AQ3367" s="352"/>
      <c r="AR3367" s="352"/>
      <c r="AS3367" s="352"/>
      <c r="AT3367" s="352"/>
      <c r="AU3367" s="352"/>
      <c r="AV3367" s="352"/>
      <c r="AW3367" s="352" t="s">
        <v>254</v>
      </c>
    </row>
    <row r="3368" spans="2:49" x14ac:dyDescent="0.2">
      <c r="B3368" s="460" t="s">
        <v>3358</v>
      </c>
      <c r="C3368" s="460">
        <v>7000</v>
      </c>
      <c r="D3368" s="460" t="s">
        <v>2347</v>
      </c>
      <c r="E3368" s="460" t="s">
        <v>2327</v>
      </c>
      <c r="F3368" s="460">
        <v>2</v>
      </c>
      <c r="G3368" s="460">
        <v>3</v>
      </c>
      <c r="H3368" s="461" t="s">
        <v>752</v>
      </c>
      <c r="I3368" s="461" t="s">
        <v>964</v>
      </c>
      <c r="J3368" s="461" t="s">
        <v>752</v>
      </c>
      <c r="K3368" s="594"/>
      <c r="L3368" s="594"/>
      <c r="M3368" s="352">
        <v>7000</v>
      </c>
      <c r="N3368" s="352" t="s">
        <v>1891</v>
      </c>
      <c r="O3368" s="460">
        <v>4411</v>
      </c>
      <c r="P3368" s="460" t="s">
        <v>1888</v>
      </c>
      <c r="Q3368" s="460" t="s">
        <v>2553</v>
      </c>
      <c r="R3368" s="460">
        <v>4411</v>
      </c>
      <c r="S3368" s="460" t="s">
        <v>2324</v>
      </c>
      <c r="T3368" s="462">
        <v>1</v>
      </c>
      <c r="U3368" s="460" t="s">
        <v>2327</v>
      </c>
      <c r="V3368" s="475">
        <v>0</v>
      </c>
      <c r="W3368" s="463" t="s">
        <v>2278</v>
      </c>
      <c r="X3368" s="463" t="s">
        <v>2278</v>
      </c>
      <c r="Y3368" s="463" t="s">
        <v>2278</v>
      </c>
      <c r="Z3368" s="463"/>
      <c r="AA3368" s="463"/>
      <c r="AB3368" s="464">
        <v>0</v>
      </c>
      <c r="AC3368" s="465">
        <v>0</v>
      </c>
      <c r="AD3368" s="465">
        <v>0</v>
      </c>
      <c r="AE3368" s="476">
        <v>0</v>
      </c>
      <c r="AF3368" s="467">
        <v>0</v>
      </c>
      <c r="AG3368" s="468">
        <v>0</v>
      </c>
      <c r="AH3368" s="218">
        <v>0</v>
      </c>
      <c r="AI3368" s="470">
        <v>0</v>
      </c>
      <c r="AJ3368" s="471">
        <v>0</v>
      </c>
      <c r="AK3368" s="218">
        <v>0</v>
      </c>
      <c r="AL3368" s="470">
        <v>0</v>
      </c>
      <c r="AM3368" s="471">
        <v>0</v>
      </c>
      <c r="AN3368" s="477">
        <v>0</v>
      </c>
      <c r="AO3368" s="473">
        <v>0</v>
      </c>
      <c r="AP3368" s="474">
        <v>0</v>
      </c>
      <c r="AQ3368" s="352"/>
      <c r="AR3368" s="352"/>
      <c r="AS3368" s="352"/>
      <c r="AT3368" s="352"/>
      <c r="AU3368" s="352"/>
      <c r="AV3368" s="352"/>
      <c r="AW3368" s="352" t="s">
        <v>254</v>
      </c>
    </row>
    <row r="3369" spans="2:49" x14ac:dyDescent="0.2">
      <c r="B3369" s="460" t="s">
        <v>3359</v>
      </c>
      <c r="C3369" s="460">
        <v>7000</v>
      </c>
      <c r="D3369" s="460" t="s">
        <v>2348</v>
      </c>
      <c r="E3369" s="460" t="s">
        <v>2330</v>
      </c>
      <c r="F3369" s="460">
        <v>3</v>
      </c>
      <c r="G3369" s="460">
        <v>3</v>
      </c>
      <c r="H3369" s="461" t="s">
        <v>752</v>
      </c>
      <c r="I3369" s="461" t="s">
        <v>964</v>
      </c>
      <c r="J3369" s="461" t="s">
        <v>752</v>
      </c>
      <c r="K3369" s="594"/>
      <c r="L3369" s="594"/>
      <c r="M3369" s="352">
        <v>7000</v>
      </c>
      <c r="N3369" s="352" t="s">
        <v>1891</v>
      </c>
      <c r="O3369" s="460">
        <v>4411</v>
      </c>
      <c r="P3369" s="460" t="s">
        <v>1888</v>
      </c>
      <c r="Q3369" s="460" t="s">
        <v>2553</v>
      </c>
      <c r="R3369" s="460">
        <v>4411</v>
      </c>
      <c r="S3369" s="460" t="s">
        <v>2324</v>
      </c>
      <c r="T3369" s="462">
        <v>1</v>
      </c>
      <c r="U3369" s="460" t="s">
        <v>2330</v>
      </c>
      <c r="V3369" s="475">
        <v>0</v>
      </c>
      <c r="W3369" s="463" t="s">
        <v>2278</v>
      </c>
      <c r="X3369" s="463" t="s">
        <v>2278</v>
      </c>
      <c r="Y3369" s="463" t="s">
        <v>2278</v>
      </c>
      <c r="Z3369" s="463"/>
      <c r="AA3369" s="463"/>
      <c r="AB3369" s="464">
        <v>0</v>
      </c>
      <c r="AC3369" s="465">
        <v>0</v>
      </c>
      <c r="AD3369" s="465">
        <v>0</v>
      </c>
      <c r="AE3369" s="476">
        <v>0</v>
      </c>
      <c r="AF3369" s="467">
        <v>0</v>
      </c>
      <c r="AG3369" s="468">
        <v>0</v>
      </c>
      <c r="AH3369" s="218">
        <v>0</v>
      </c>
      <c r="AI3369" s="470">
        <v>0</v>
      </c>
      <c r="AJ3369" s="471">
        <v>0</v>
      </c>
      <c r="AK3369" s="218">
        <v>0</v>
      </c>
      <c r="AL3369" s="470">
        <v>0</v>
      </c>
      <c r="AM3369" s="471">
        <v>0</v>
      </c>
      <c r="AN3369" s="477">
        <v>0</v>
      </c>
      <c r="AO3369" s="473">
        <v>0</v>
      </c>
      <c r="AP3369" s="474">
        <v>0</v>
      </c>
      <c r="AQ3369" s="352"/>
      <c r="AR3369" s="352"/>
      <c r="AS3369" s="352"/>
      <c r="AT3369" s="352"/>
      <c r="AU3369" s="352"/>
      <c r="AV3369" s="352"/>
      <c r="AW3369" s="352" t="s">
        <v>254</v>
      </c>
    </row>
    <row r="3370" spans="2:49" x14ac:dyDescent="0.2">
      <c r="B3370" s="460" t="s">
        <v>3360</v>
      </c>
      <c r="C3370" s="460">
        <v>7000</v>
      </c>
      <c r="D3370" s="460" t="s">
        <v>2349</v>
      </c>
      <c r="E3370" s="460" t="s">
        <v>2333</v>
      </c>
      <c r="F3370" s="460">
        <v>4</v>
      </c>
      <c r="G3370" s="460">
        <v>3</v>
      </c>
      <c r="H3370" s="461" t="s">
        <v>752</v>
      </c>
      <c r="I3370" s="461" t="s">
        <v>964</v>
      </c>
      <c r="J3370" s="461" t="s">
        <v>752</v>
      </c>
      <c r="K3370" s="594"/>
      <c r="L3370" s="594"/>
      <c r="M3370" s="352">
        <v>7000</v>
      </c>
      <c r="N3370" s="352" t="s">
        <v>1891</v>
      </c>
      <c r="O3370" s="460">
        <v>4411</v>
      </c>
      <c r="P3370" s="460" t="s">
        <v>1888</v>
      </c>
      <c r="Q3370" s="460" t="s">
        <v>2553</v>
      </c>
      <c r="R3370" s="460">
        <v>4411</v>
      </c>
      <c r="S3370" s="460" t="s">
        <v>2333</v>
      </c>
      <c r="T3370" s="462">
        <v>1</v>
      </c>
      <c r="U3370" s="460" t="s">
        <v>2333</v>
      </c>
      <c r="V3370" s="475">
        <v>0</v>
      </c>
      <c r="W3370" s="463" t="s">
        <v>2278</v>
      </c>
      <c r="X3370" s="463" t="s">
        <v>2278</v>
      </c>
      <c r="Y3370" s="463" t="s">
        <v>2278</v>
      </c>
      <c r="Z3370" s="463"/>
      <c r="AA3370" s="463"/>
      <c r="AB3370" s="464">
        <v>0</v>
      </c>
      <c r="AC3370" s="465">
        <v>0</v>
      </c>
      <c r="AD3370" s="465">
        <v>0</v>
      </c>
      <c r="AE3370" s="476">
        <v>0</v>
      </c>
      <c r="AF3370" s="467">
        <v>0</v>
      </c>
      <c r="AG3370" s="468">
        <v>0</v>
      </c>
      <c r="AH3370" s="218">
        <v>0</v>
      </c>
      <c r="AI3370" s="470">
        <v>0</v>
      </c>
      <c r="AJ3370" s="471">
        <v>0</v>
      </c>
      <c r="AK3370" s="218">
        <v>0</v>
      </c>
      <c r="AL3370" s="470">
        <v>0</v>
      </c>
      <c r="AM3370" s="471">
        <v>0</v>
      </c>
      <c r="AN3370" s="477">
        <v>0</v>
      </c>
      <c r="AO3370" s="473">
        <v>0</v>
      </c>
      <c r="AP3370" s="474">
        <v>0</v>
      </c>
      <c r="AQ3370" s="352"/>
      <c r="AR3370" s="352"/>
      <c r="AS3370" s="352"/>
      <c r="AT3370" s="352"/>
      <c r="AU3370" s="352"/>
      <c r="AV3370" s="352"/>
      <c r="AW3370" s="352" t="s">
        <v>254</v>
      </c>
    </row>
    <row r="3371" spans="2:49" x14ac:dyDescent="0.2">
      <c r="B3371" s="460" t="s">
        <v>3361</v>
      </c>
      <c r="C3371" s="460">
        <v>7000</v>
      </c>
      <c r="D3371" s="460" t="s">
        <v>2351</v>
      </c>
      <c r="E3371" s="460" t="s">
        <v>1136</v>
      </c>
      <c r="F3371" s="460">
        <v>1</v>
      </c>
      <c r="G3371" s="460">
        <v>4</v>
      </c>
      <c r="H3371" s="461" t="s">
        <v>700</v>
      </c>
      <c r="I3371" s="461" t="s">
        <v>872</v>
      </c>
      <c r="J3371" s="461" t="s">
        <v>700</v>
      </c>
      <c r="K3371" s="594"/>
      <c r="L3371" s="594"/>
      <c r="M3371" s="352">
        <v>7000</v>
      </c>
      <c r="N3371" s="352" t="s">
        <v>1891</v>
      </c>
      <c r="O3371" s="460">
        <v>4411</v>
      </c>
      <c r="P3371" s="460" t="s">
        <v>1888</v>
      </c>
      <c r="Q3371" s="460" t="s">
        <v>2553</v>
      </c>
      <c r="R3371" s="460">
        <v>4411</v>
      </c>
      <c r="S3371" s="460" t="s">
        <v>1136</v>
      </c>
      <c r="T3371" s="462">
        <v>1</v>
      </c>
      <c r="U3371" s="460" t="s">
        <v>1136</v>
      </c>
      <c r="V3371" s="475">
        <v>0</v>
      </c>
      <c r="W3371" s="463" t="s">
        <v>2554</v>
      </c>
      <c r="X3371" s="463" t="s">
        <v>2554</v>
      </c>
      <c r="Y3371" s="463" t="s">
        <v>2268</v>
      </c>
      <c r="Z3371" s="463"/>
      <c r="AA3371" s="463"/>
      <c r="AB3371" s="464">
        <v>0</v>
      </c>
      <c r="AC3371" s="465">
        <v>0</v>
      </c>
      <c r="AD3371" s="465">
        <v>0</v>
      </c>
      <c r="AE3371" s="476">
        <v>0</v>
      </c>
      <c r="AF3371" s="467">
        <v>0</v>
      </c>
      <c r="AG3371" s="468">
        <v>0</v>
      </c>
      <c r="AH3371" s="218">
        <v>0</v>
      </c>
      <c r="AI3371" s="470">
        <v>0</v>
      </c>
      <c r="AJ3371" s="471">
        <v>0</v>
      </c>
      <c r="AK3371" s="218">
        <v>0</v>
      </c>
      <c r="AL3371" s="470">
        <v>0</v>
      </c>
      <c r="AM3371" s="471">
        <v>0</v>
      </c>
      <c r="AN3371" s="477">
        <v>0</v>
      </c>
      <c r="AO3371" s="473">
        <v>0</v>
      </c>
      <c r="AP3371" s="474">
        <v>0</v>
      </c>
      <c r="AQ3371" s="352"/>
      <c r="AR3371" s="352"/>
      <c r="AS3371" s="352"/>
      <c r="AT3371" s="352"/>
      <c r="AU3371" s="352"/>
      <c r="AV3371" s="352"/>
      <c r="AW3371" s="352" t="s">
        <v>254</v>
      </c>
    </row>
    <row r="3372" spans="2:49" x14ac:dyDescent="0.2">
      <c r="B3372" s="460" t="s">
        <v>3362</v>
      </c>
      <c r="C3372" s="460">
        <v>7000</v>
      </c>
      <c r="D3372" s="460" t="s">
        <v>2353</v>
      </c>
      <c r="E3372" s="460" t="s">
        <v>1137</v>
      </c>
      <c r="F3372" s="460">
        <v>2</v>
      </c>
      <c r="G3372" s="460">
        <v>4</v>
      </c>
      <c r="H3372" s="461" t="s">
        <v>700</v>
      </c>
      <c r="I3372" s="461" t="s">
        <v>872</v>
      </c>
      <c r="J3372" s="461" t="s">
        <v>700</v>
      </c>
      <c r="K3372" s="594"/>
      <c r="L3372" s="594"/>
      <c r="M3372" s="352">
        <v>7000</v>
      </c>
      <c r="N3372" s="352" t="s">
        <v>1891</v>
      </c>
      <c r="O3372" s="460">
        <v>4411</v>
      </c>
      <c r="P3372" s="460" t="s">
        <v>1888</v>
      </c>
      <c r="Q3372" s="460" t="s">
        <v>2553</v>
      </c>
      <c r="R3372" s="460">
        <v>4411</v>
      </c>
      <c r="S3372" s="460" t="s">
        <v>1137</v>
      </c>
      <c r="T3372" s="462">
        <v>1</v>
      </c>
      <c r="U3372" s="460" t="s">
        <v>1137</v>
      </c>
      <c r="V3372" s="475">
        <v>0</v>
      </c>
      <c r="W3372" s="463" t="s">
        <v>2554</v>
      </c>
      <c r="X3372" s="463" t="s">
        <v>2554</v>
      </c>
      <c r="Y3372" s="463" t="s">
        <v>2268</v>
      </c>
      <c r="Z3372" s="463"/>
      <c r="AA3372" s="463"/>
      <c r="AB3372" s="464">
        <v>0</v>
      </c>
      <c r="AC3372" s="465">
        <v>0</v>
      </c>
      <c r="AD3372" s="465">
        <v>0</v>
      </c>
      <c r="AE3372" s="476">
        <v>0</v>
      </c>
      <c r="AF3372" s="467">
        <v>0</v>
      </c>
      <c r="AG3372" s="468">
        <v>0</v>
      </c>
      <c r="AH3372" s="218">
        <v>0</v>
      </c>
      <c r="AI3372" s="470">
        <v>0</v>
      </c>
      <c r="AJ3372" s="471">
        <v>0</v>
      </c>
      <c r="AK3372" s="218">
        <v>0</v>
      </c>
      <c r="AL3372" s="470">
        <v>0</v>
      </c>
      <c r="AM3372" s="471">
        <v>0</v>
      </c>
      <c r="AN3372" s="477">
        <v>0</v>
      </c>
      <c r="AO3372" s="473">
        <v>0</v>
      </c>
      <c r="AP3372" s="474">
        <v>0</v>
      </c>
      <c r="AQ3372" s="352"/>
      <c r="AR3372" s="352"/>
      <c r="AS3372" s="352"/>
      <c r="AT3372" s="352"/>
      <c r="AU3372" s="352"/>
      <c r="AV3372" s="352"/>
      <c r="AW3372" s="352" t="s">
        <v>254</v>
      </c>
    </row>
    <row r="3373" spans="2:49" x14ac:dyDescent="0.2">
      <c r="B3373" s="460" t="s">
        <v>3363</v>
      </c>
      <c r="C3373" s="460">
        <v>7000</v>
      </c>
      <c r="D3373" s="460" t="s">
        <v>2355</v>
      </c>
      <c r="E3373" s="460" t="s">
        <v>1138</v>
      </c>
      <c r="F3373" s="460">
        <v>3</v>
      </c>
      <c r="G3373" s="460">
        <v>4</v>
      </c>
      <c r="H3373" s="461" t="s">
        <v>700</v>
      </c>
      <c r="I3373" s="461" t="s">
        <v>872</v>
      </c>
      <c r="J3373" s="461" t="s">
        <v>700</v>
      </c>
      <c r="K3373" s="594"/>
      <c r="L3373" s="594"/>
      <c r="M3373" s="352">
        <v>7000</v>
      </c>
      <c r="N3373" s="352" t="s">
        <v>1891</v>
      </c>
      <c r="O3373" s="460">
        <v>4411</v>
      </c>
      <c r="P3373" s="460" t="s">
        <v>1888</v>
      </c>
      <c r="Q3373" s="460" t="s">
        <v>2553</v>
      </c>
      <c r="R3373" s="460">
        <v>4411</v>
      </c>
      <c r="S3373" s="460" t="s">
        <v>1138</v>
      </c>
      <c r="T3373" s="462">
        <v>1</v>
      </c>
      <c r="U3373" s="460" t="s">
        <v>1138</v>
      </c>
      <c r="V3373" s="475">
        <v>0</v>
      </c>
      <c r="W3373" s="463" t="s">
        <v>2554</v>
      </c>
      <c r="X3373" s="463" t="s">
        <v>2554</v>
      </c>
      <c r="Y3373" s="463" t="s">
        <v>2268</v>
      </c>
      <c r="Z3373" s="463"/>
      <c r="AA3373" s="463"/>
      <c r="AB3373" s="464">
        <v>0</v>
      </c>
      <c r="AC3373" s="465">
        <v>0</v>
      </c>
      <c r="AD3373" s="465">
        <v>0</v>
      </c>
      <c r="AE3373" s="476">
        <v>0</v>
      </c>
      <c r="AF3373" s="467">
        <v>0</v>
      </c>
      <c r="AG3373" s="468">
        <v>0</v>
      </c>
      <c r="AH3373" s="218">
        <v>0</v>
      </c>
      <c r="AI3373" s="470">
        <v>0</v>
      </c>
      <c r="AJ3373" s="471">
        <v>0</v>
      </c>
      <c r="AK3373" s="218">
        <v>0</v>
      </c>
      <c r="AL3373" s="470">
        <v>0</v>
      </c>
      <c r="AM3373" s="471">
        <v>0</v>
      </c>
      <c r="AN3373" s="477">
        <v>0</v>
      </c>
      <c r="AO3373" s="473">
        <v>0</v>
      </c>
      <c r="AP3373" s="474">
        <v>0</v>
      </c>
      <c r="AQ3373" s="352"/>
      <c r="AR3373" s="352"/>
      <c r="AS3373" s="352"/>
      <c r="AT3373" s="352"/>
      <c r="AU3373" s="352"/>
      <c r="AV3373" s="352"/>
      <c r="AW3373" s="352" t="s">
        <v>254</v>
      </c>
    </row>
    <row r="3374" spans="2:49" x14ac:dyDescent="0.2">
      <c r="B3374" s="460" t="s">
        <v>3364</v>
      </c>
      <c r="C3374" s="460">
        <v>7000</v>
      </c>
      <c r="D3374" s="460" t="s">
        <v>2357</v>
      </c>
      <c r="E3374" s="460" t="s">
        <v>1139</v>
      </c>
      <c r="F3374" s="460">
        <v>4</v>
      </c>
      <c r="G3374" s="460">
        <v>4</v>
      </c>
      <c r="H3374" s="461" t="s">
        <v>700</v>
      </c>
      <c r="I3374" s="461" t="s">
        <v>872</v>
      </c>
      <c r="J3374" s="461" t="s">
        <v>700</v>
      </c>
      <c r="K3374" s="594"/>
      <c r="L3374" s="594"/>
      <c r="M3374" s="352">
        <v>7000</v>
      </c>
      <c r="N3374" s="352" t="s">
        <v>1891</v>
      </c>
      <c r="O3374" s="460">
        <v>4411</v>
      </c>
      <c r="P3374" s="460" t="s">
        <v>1888</v>
      </c>
      <c r="Q3374" s="460" t="s">
        <v>2553</v>
      </c>
      <c r="R3374" s="460">
        <v>4411</v>
      </c>
      <c r="S3374" s="460" t="s">
        <v>1139</v>
      </c>
      <c r="T3374" s="462">
        <v>1</v>
      </c>
      <c r="U3374" s="460" t="s">
        <v>1139</v>
      </c>
      <c r="V3374" s="475">
        <v>0</v>
      </c>
      <c r="W3374" s="463" t="s">
        <v>2554</v>
      </c>
      <c r="X3374" s="463" t="s">
        <v>2554</v>
      </c>
      <c r="Y3374" s="463" t="s">
        <v>2268</v>
      </c>
      <c r="Z3374" s="463"/>
      <c r="AA3374" s="463"/>
      <c r="AB3374" s="464">
        <v>0</v>
      </c>
      <c r="AC3374" s="465">
        <v>0</v>
      </c>
      <c r="AD3374" s="465">
        <v>0</v>
      </c>
      <c r="AE3374" s="476">
        <v>0</v>
      </c>
      <c r="AF3374" s="467">
        <v>0</v>
      </c>
      <c r="AG3374" s="468">
        <v>0</v>
      </c>
      <c r="AH3374" s="218">
        <v>0</v>
      </c>
      <c r="AI3374" s="470">
        <v>0</v>
      </c>
      <c r="AJ3374" s="471">
        <v>0</v>
      </c>
      <c r="AK3374" s="218">
        <v>0</v>
      </c>
      <c r="AL3374" s="470">
        <v>0</v>
      </c>
      <c r="AM3374" s="471">
        <v>0</v>
      </c>
      <c r="AN3374" s="477">
        <v>0</v>
      </c>
      <c r="AO3374" s="473">
        <v>0</v>
      </c>
      <c r="AP3374" s="474">
        <v>0</v>
      </c>
      <c r="AQ3374" s="352"/>
      <c r="AR3374" s="352"/>
      <c r="AS3374" s="352"/>
      <c r="AT3374" s="352"/>
      <c r="AU3374" s="352"/>
      <c r="AV3374" s="352"/>
      <c r="AW3374" s="352" t="s">
        <v>254</v>
      </c>
    </row>
    <row r="3375" spans="2:49" x14ac:dyDescent="0.2">
      <c r="B3375" s="460" t="s">
        <v>3361</v>
      </c>
      <c r="C3375" s="460">
        <v>7000</v>
      </c>
      <c r="D3375" s="460" t="s">
        <v>2358</v>
      </c>
      <c r="E3375" s="460" t="s">
        <v>1136</v>
      </c>
      <c r="F3375" s="460">
        <v>1</v>
      </c>
      <c r="G3375" s="460">
        <v>4</v>
      </c>
      <c r="H3375" s="461" t="s">
        <v>712</v>
      </c>
      <c r="I3375" s="461" t="s">
        <v>713</v>
      </c>
      <c r="J3375" s="461" t="s">
        <v>712</v>
      </c>
      <c r="K3375" s="594"/>
      <c r="L3375" s="594"/>
      <c r="M3375" s="352">
        <v>7000</v>
      </c>
      <c r="N3375" s="352" t="s">
        <v>1891</v>
      </c>
      <c r="O3375" s="460">
        <v>4411</v>
      </c>
      <c r="P3375" s="460" t="s">
        <v>1888</v>
      </c>
      <c r="Q3375" s="460" t="s">
        <v>2280</v>
      </c>
      <c r="R3375" s="460">
        <v>4411</v>
      </c>
      <c r="S3375" s="460" t="s">
        <v>1136</v>
      </c>
      <c r="T3375" s="462">
        <v>1</v>
      </c>
      <c r="U3375" s="460" t="s">
        <v>1136</v>
      </c>
      <c r="V3375" s="475">
        <v>0</v>
      </c>
      <c r="W3375" s="463" t="s">
        <v>713</v>
      </c>
      <c r="X3375" s="463" t="s">
        <v>713</v>
      </c>
      <c r="Y3375" s="463" t="s">
        <v>713</v>
      </c>
      <c r="Z3375" s="463"/>
      <c r="AA3375" s="463"/>
      <c r="AB3375" s="464">
        <v>4532.8909037804078</v>
      </c>
      <c r="AC3375" s="465">
        <v>0.93353634263992802</v>
      </c>
      <c r="AD3375" s="465">
        <v>2.9873430073915585E-2</v>
      </c>
      <c r="AE3375" s="476">
        <v>4532.8909037804078</v>
      </c>
      <c r="AF3375" s="467">
        <v>0.93353634263992791</v>
      </c>
      <c r="AG3375" s="468">
        <v>2.9867889273829339E-2</v>
      </c>
      <c r="AH3375" s="218">
        <v>4532.8909037804078</v>
      </c>
      <c r="AI3375" s="470">
        <v>0.93353634263992791</v>
      </c>
      <c r="AJ3375" s="471">
        <v>3.0171443261843248E-2</v>
      </c>
      <c r="AK3375" s="218">
        <v>4532.8909037804078</v>
      </c>
      <c r="AL3375" s="470">
        <v>0.93353634263992791</v>
      </c>
      <c r="AM3375" s="471">
        <v>3.0171443261843248E-2</v>
      </c>
      <c r="AN3375" s="477">
        <v>4532.8909037804078</v>
      </c>
      <c r="AO3375" s="473">
        <v>0.93353634263992791</v>
      </c>
      <c r="AP3375" s="474">
        <v>3.0122350110416678E-2</v>
      </c>
      <c r="AQ3375" s="352"/>
      <c r="AR3375" s="352"/>
      <c r="AS3375" s="352"/>
      <c r="AT3375" s="352"/>
      <c r="AU3375" s="352"/>
      <c r="AV3375" s="352"/>
      <c r="AW3375" s="352" t="s">
        <v>254</v>
      </c>
    </row>
    <row r="3376" spans="2:49" x14ac:dyDescent="0.2">
      <c r="B3376" s="460" t="s">
        <v>3362</v>
      </c>
      <c r="C3376" s="460">
        <v>7000</v>
      </c>
      <c r="D3376" s="460" t="s">
        <v>2359</v>
      </c>
      <c r="E3376" s="460" t="s">
        <v>1137</v>
      </c>
      <c r="F3376" s="460">
        <v>2</v>
      </c>
      <c r="G3376" s="460">
        <v>4</v>
      </c>
      <c r="H3376" s="461" t="s">
        <v>712</v>
      </c>
      <c r="I3376" s="461" t="s">
        <v>713</v>
      </c>
      <c r="J3376" s="461" t="s">
        <v>712</v>
      </c>
      <c r="K3376" s="594"/>
      <c r="L3376" s="594"/>
      <c r="M3376" s="352">
        <v>7000</v>
      </c>
      <c r="N3376" s="352" t="s">
        <v>1891</v>
      </c>
      <c r="O3376" s="460">
        <v>4411</v>
      </c>
      <c r="P3376" s="460" t="s">
        <v>1888</v>
      </c>
      <c r="Q3376" s="460" t="s">
        <v>2280</v>
      </c>
      <c r="R3376" s="460">
        <v>4411</v>
      </c>
      <c r="S3376" s="460" t="s">
        <v>1137</v>
      </c>
      <c r="T3376" s="462">
        <v>1</v>
      </c>
      <c r="U3376" s="460" t="s">
        <v>1137</v>
      </c>
      <c r="V3376" s="475">
        <v>0</v>
      </c>
      <c r="W3376" s="463" t="s">
        <v>713</v>
      </c>
      <c r="X3376" s="463" t="s">
        <v>713</v>
      </c>
      <c r="Y3376" s="463" t="s">
        <v>713</v>
      </c>
      <c r="Z3376" s="463"/>
      <c r="AA3376" s="463"/>
      <c r="AB3376" s="464">
        <v>3989.4912947260518</v>
      </c>
      <c r="AC3376" s="465">
        <v>0.73785708708232722</v>
      </c>
      <c r="AD3376" s="465">
        <v>2.3071778489720769E-2</v>
      </c>
      <c r="AE3376" s="476">
        <v>3989.4912947260523</v>
      </c>
      <c r="AF3376" s="467">
        <v>0.73785708708232733</v>
      </c>
      <c r="AG3376" s="468">
        <v>2.3029443732145206E-2</v>
      </c>
      <c r="AH3376" s="218">
        <v>3989.4912947260523</v>
      </c>
      <c r="AI3376" s="470">
        <v>0.73785708708232733</v>
      </c>
      <c r="AJ3376" s="471">
        <v>2.3138723497528459E-2</v>
      </c>
      <c r="AK3376" s="218">
        <v>3989.4912947260523</v>
      </c>
      <c r="AL3376" s="470">
        <v>0.73785708708232733</v>
      </c>
      <c r="AM3376" s="471">
        <v>2.3138723497528459E-2</v>
      </c>
      <c r="AN3376" s="477">
        <v>3989.4912947260523</v>
      </c>
      <c r="AO3376" s="473">
        <v>0.73785708708232733</v>
      </c>
      <c r="AP3376" s="474">
        <v>2.3119630731323546E-2</v>
      </c>
      <c r="AQ3376" s="352"/>
      <c r="AR3376" s="352"/>
      <c r="AS3376" s="352"/>
      <c r="AT3376" s="352"/>
      <c r="AU3376" s="352"/>
      <c r="AV3376" s="352"/>
      <c r="AW3376" s="352" t="s">
        <v>254</v>
      </c>
    </row>
    <row r="3377" spans="2:49" x14ac:dyDescent="0.2">
      <c r="B3377" s="460" t="s">
        <v>3363</v>
      </c>
      <c r="C3377" s="460">
        <v>7000</v>
      </c>
      <c r="D3377" s="460" t="s">
        <v>2360</v>
      </c>
      <c r="E3377" s="460" t="s">
        <v>1138</v>
      </c>
      <c r="F3377" s="460">
        <v>3</v>
      </c>
      <c r="G3377" s="460">
        <v>4</v>
      </c>
      <c r="H3377" s="461" t="s">
        <v>712</v>
      </c>
      <c r="I3377" s="461" t="s">
        <v>713</v>
      </c>
      <c r="J3377" s="461" t="s">
        <v>712</v>
      </c>
      <c r="K3377" s="594"/>
      <c r="L3377" s="594"/>
      <c r="M3377" s="352">
        <v>7000</v>
      </c>
      <c r="N3377" s="352" t="s">
        <v>1891</v>
      </c>
      <c r="O3377" s="460">
        <v>4411</v>
      </c>
      <c r="P3377" s="460" t="s">
        <v>1888</v>
      </c>
      <c r="Q3377" s="460" t="s">
        <v>2280</v>
      </c>
      <c r="R3377" s="460">
        <v>4411</v>
      </c>
      <c r="S3377" s="460" t="s">
        <v>1138</v>
      </c>
      <c r="T3377" s="462">
        <v>1</v>
      </c>
      <c r="U3377" s="460" t="s">
        <v>1138</v>
      </c>
      <c r="V3377" s="475">
        <v>0</v>
      </c>
      <c r="W3377" s="463" t="s">
        <v>713</v>
      </c>
      <c r="X3377" s="463" t="s">
        <v>713</v>
      </c>
      <c r="Y3377" s="463" t="s">
        <v>713</v>
      </c>
      <c r="Z3377" s="463"/>
      <c r="AA3377" s="463"/>
      <c r="AB3377" s="464">
        <v>2266.8424540392889</v>
      </c>
      <c r="AC3377" s="465">
        <v>0.86384707133468797</v>
      </c>
      <c r="AD3377" s="465">
        <v>2.8289166238443769E-2</v>
      </c>
      <c r="AE3377" s="476">
        <v>2266.8424540392889</v>
      </c>
      <c r="AF3377" s="467">
        <v>0.86384707133468797</v>
      </c>
      <c r="AG3377" s="468">
        <v>2.8227791602027794E-2</v>
      </c>
      <c r="AH3377" s="218">
        <v>2266.8424540392889</v>
      </c>
      <c r="AI3377" s="470">
        <v>0.86384707133468797</v>
      </c>
      <c r="AJ3377" s="471">
        <v>2.8558772980508691E-2</v>
      </c>
      <c r="AK3377" s="218">
        <v>2266.8424540392889</v>
      </c>
      <c r="AL3377" s="470">
        <v>0.86384707133468797</v>
      </c>
      <c r="AM3377" s="471">
        <v>2.8558772980508691E-2</v>
      </c>
      <c r="AN3377" s="477">
        <v>2266.8424540392889</v>
      </c>
      <c r="AO3377" s="473">
        <v>0.86384707133468797</v>
      </c>
      <c r="AP3377" s="474">
        <v>2.855662067467855E-2</v>
      </c>
      <c r="AQ3377" s="352"/>
      <c r="AR3377" s="352"/>
      <c r="AS3377" s="352"/>
      <c r="AT3377" s="352"/>
      <c r="AU3377" s="352"/>
      <c r="AV3377" s="352"/>
      <c r="AW3377" s="352" t="s">
        <v>254</v>
      </c>
    </row>
    <row r="3378" spans="2:49" x14ac:dyDescent="0.2">
      <c r="B3378" s="460" t="s">
        <v>3364</v>
      </c>
      <c r="C3378" s="460">
        <v>7000</v>
      </c>
      <c r="D3378" s="460" t="s">
        <v>2361</v>
      </c>
      <c r="E3378" s="460" t="s">
        <v>1139</v>
      </c>
      <c r="F3378" s="460">
        <v>4</v>
      </c>
      <c r="G3378" s="460">
        <v>4</v>
      </c>
      <c r="H3378" s="461" t="s">
        <v>712</v>
      </c>
      <c r="I3378" s="461" t="s">
        <v>713</v>
      </c>
      <c r="J3378" s="461" t="s">
        <v>712</v>
      </c>
      <c r="K3378" s="594"/>
      <c r="L3378" s="594"/>
      <c r="M3378" s="352">
        <v>7000</v>
      </c>
      <c r="N3378" s="352" t="s">
        <v>1891</v>
      </c>
      <c r="O3378" s="460">
        <v>4411</v>
      </c>
      <c r="P3378" s="460" t="s">
        <v>1888</v>
      </c>
      <c r="Q3378" s="460" t="s">
        <v>2280</v>
      </c>
      <c r="R3378" s="460">
        <v>4411</v>
      </c>
      <c r="S3378" s="460" t="s">
        <v>1139</v>
      </c>
      <c r="T3378" s="462">
        <v>1</v>
      </c>
      <c r="U3378" s="460" t="s">
        <v>1139</v>
      </c>
      <c r="V3378" s="475">
        <v>0</v>
      </c>
      <c r="W3378" s="463" t="s">
        <v>713</v>
      </c>
      <c r="X3378" s="463" t="s">
        <v>713</v>
      </c>
      <c r="Y3378" s="463" t="s">
        <v>713</v>
      </c>
      <c r="Z3378" s="463"/>
      <c r="AA3378" s="463"/>
      <c r="AB3378" s="464">
        <v>2542.8616672771941</v>
      </c>
      <c r="AC3378" s="465">
        <v>0.43884174896812611</v>
      </c>
      <c r="AD3378" s="465">
        <v>2.8155162797851185E-2</v>
      </c>
      <c r="AE3378" s="476">
        <v>2542.8616672771936</v>
      </c>
      <c r="AF3378" s="467">
        <v>0.438841748968126</v>
      </c>
      <c r="AG3378" s="468">
        <v>2.8155162797851182E-2</v>
      </c>
      <c r="AH3378" s="218">
        <v>2542.8616672771936</v>
      </c>
      <c r="AI3378" s="470">
        <v>0.438841748968126</v>
      </c>
      <c r="AJ3378" s="471">
        <v>2.8760720019886402E-2</v>
      </c>
      <c r="AK3378" s="218">
        <v>2542.8616672771936</v>
      </c>
      <c r="AL3378" s="470">
        <v>0.438841748968126</v>
      </c>
      <c r="AM3378" s="471">
        <v>2.8760720019886402E-2</v>
      </c>
      <c r="AN3378" s="477">
        <v>2542.8616672771936</v>
      </c>
      <c r="AO3378" s="473">
        <v>0.438841748968126</v>
      </c>
      <c r="AP3378" s="474">
        <v>2.8760720019886402E-2</v>
      </c>
      <c r="AQ3378" s="352"/>
      <c r="AR3378" s="352"/>
      <c r="AS3378" s="352"/>
      <c r="AT3378" s="352"/>
      <c r="AU3378" s="352"/>
      <c r="AV3378" s="352"/>
      <c r="AW3378" s="352" t="s">
        <v>254</v>
      </c>
    </row>
    <row r="3379" spans="2:49" x14ac:dyDescent="0.2">
      <c r="B3379" s="460" t="s">
        <v>3361</v>
      </c>
      <c r="C3379" s="460">
        <v>7000</v>
      </c>
      <c r="D3379" s="460" t="s">
        <v>2362</v>
      </c>
      <c r="E3379" s="460" t="s">
        <v>1136</v>
      </c>
      <c r="F3379" s="460">
        <v>1</v>
      </c>
      <c r="G3379" s="460">
        <v>4</v>
      </c>
      <c r="H3379" s="461" t="s">
        <v>746</v>
      </c>
      <c r="I3379" s="461" t="s">
        <v>762</v>
      </c>
      <c r="J3379" s="461" t="s">
        <v>700</v>
      </c>
      <c r="K3379" s="594"/>
      <c r="L3379" s="594"/>
      <c r="M3379" s="352">
        <v>7000</v>
      </c>
      <c r="N3379" s="352" t="s">
        <v>1891</v>
      </c>
      <c r="O3379" s="460">
        <v>4411</v>
      </c>
      <c r="P3379" s="460" t="s">
        <v>1888</v>
      </c>
      <c r="Q3379" s="460" t="s">
        <v>2553</v>
      </c>
      <c r="R3379" s="460">
        <v>4411</v>
      </c>
      <c r="S3379" s="460" t="s">
        <v>1136</v>
      </c>
      <c r="T3379" s="462">
        <v>1</v>
      </c>
      <c r="U3379" s="460" t="s">
        <v>1136</v>
      </c>
      <c r="V3379" s="475">
        <v>0</v>
      </c>
      <c r="W3379" s="463" t="s">
        <v>2268</v>
      </c>
      <c r="X3379" s="463" t="s">
        <v>2268</v>
      </c>
      <c r="Y3379" s="463" t="s">
        <v>2554</v>
      </c>
      <c r="Z3379" s="463"/>
      <c r="AA3379" s="463"/>
      <c r="AB3379" s="464">
        <v>0</v>
      </c>
      <c r="AC3379" s="465">
        <v>0</v>
      </c>
      <c r="AD3379" s="465">
        <v>0</v>
      </c>
      <c r="AE3379" s="476">
        <v>0</v>
      </c>
      <c r="AF3379" s="467">
        <v>0</v>
      </c>
      <c r="AG3379" s="468">
        <v>0</v>
      </c>
      <c r="AH3379" s="218">
        <v>0</v>
      </c>
      <c r="AI3379" s="470">
        <v>0</v>
      </c>
      <c r="AJ3379" s="471">
        <v>0</v>
      </c>
      <c r="AK3379" s="218">
        <v>0</v>
      </c>
      <c r="AL3379" s="470">
        <v>0</v>
      </c>
      <c r="AM3379" s="471">
        <v>0</v>
      </c>
      <c r="AN3379" s="477">
        <v>0</v>
      </c>
      <c r="AO3379" s="473">
        <v>0</v>
      </c>
      <c r="AP3379" s="474">
        <v>0</v>
      </c>
      <c r="AQ3379" s="352"/>
      <c r="AR3379" s="352"/>
      <c r="AS3379" s="352"/>
      <c r="AT3379" s="352"/>
      <c r="AU3379" s="352"/>
      <c r="AV3379" s="352"/>
      <c r="AW3379" s="352" t="s">
        <v>254</v>
      </c>
    </row>
    <row r="3380" spans="2:49" x14ac:dyDescent="0.2">
      <c r="B3380" s="460" t="s">
        <v>3362</v>
      </c>
      <c r="C3380" s="460">
        <v>7000</v>
      </c>
      <c r="D3380" s="460" t="s">
        <v>2363</v>
      </c>
      <c r="E3380" s="460" t="s">
        <v>1137</v>
      </c>
      <c r="F3380" s="460">
        <v>2</v>
      </c>
      <c r="G3380" s="460">
        <v>4</v>
      </c>
      <c r="H3380" s="461" t="s">
        <v>746</v>
      </c>
      <c r="I3380" s="461" t="s">
        <v>762</v>
      </c>
      <c r="J3380" s="461" t="s">
        <v>700</v>
      </c>
      <c r="K3380" s="594"/>
      <c r="L3380" s="594"/>
      <c r="M3380" s="352">
        <v>7000</v>
      </c>
      <c r="N3380" s="352" t="s">
        <v>1891</v>
      </c>
      <c r="O3380" s="460">
        <v>4411</v>
      </c>
      <c r="P3380" s="460" t="s">
        <v>1888</v>
      </c>
      <c r="Q3380" s="460" t="s">
        <v>2553</v>
      </c>
      <c r="R3380" s="460">
        <v>4411</v>
      </c>
      <c r="S3380" s="460" t="s">
        <v>1137</v>
      </c>
      <c r="T3380" s="462">
        <v>1</v>
      </c>
      <c r="U3380" s="460" t="s">
        <v>1137</v>
      </c>
      <c r="V3380" s="475">
        <v>0</v>
      </c>
      <c r="W3380" s="463" t="s">
        <v>2268</v>
      </c>
      <c r="X3380" s="463" t="s">
        <v>2268</v>
      </c>
      <c r="Y3380" s="463" t="s">
        <v>2554</v>
      </c>
      <c r="Z3380" s="463"/>
      <c r="AA3380" s="463"/>
      <c r="AB3380" s="464">
        <v>0</v>
      </c>
      <c r="AC3380" s="465">
        <v>0</v>
      </c>
      <c r="AD3380" s="465">
        <v>0</v>
      </c>
      <c r="AE3380" s="476">
        <v>0</v>
      </c>
      <c r="AF3380" s="467">
        <v>0</v>
      </c>
      <c r="AG3380" s="468">
        <v>0</v>
      </c>
      <c r="AH3380" s="218">
        <v>0</v>
      </c>
      <c r="AI3380" s="470">
        <v>0</v>
      </c>
      <c r="AJ3380" s="471">
        <v>0</v>
      </c>
      <c r="AK3380" s="218">
        <v>0</v>
      </c>
      <c r="AL3380" s="470">
        <v>0</v>
      </c>
      <c r="AM3380" s="471">
        <v>0</v>
      </c>
      <c r="AN3380" s="477">
        <v>0</v>
      </c>
      <c r="AO3380" s="473">
        <v>0</v>
      </c>
      <c r="AP3380" s="474">
        <v>0</v>
      </c>
      <c r="AQ3380" s="352"/>
      <c r="AR3380" s="352"/>
      <c r="AS3380" s="352"/>
      <c r="AT3380" s="352"/>
      <c r="AU3380" s="352"/>
      <c r="AV3380" s="352"/>
      <c r="AW3380" s="352" t="s">
        <v>254</v>
      </c>
    </row>
    <row r="3381" spans="2:49" x14ac:dyDescent="0.2">
      <c r="B3381" s="460" t="s">
        <v>3363</v>
      </c>
      <c r="C3381" s="460">
        <v>7000</v>
      </c>
      <c r="D3381" s="460" t="s">
        <v>2364</v>
      </c>
      <c r="E3381" s="460" t="s">
        <v>1138</v>
      </c>
      <c r="F3381" s="460">
        <v>3</v>
      </c>
      <c r="G3381" s="460">
        <v>4</v>
      </c>
      <c r="H3381" s="461" t="s">
        <v>746</v>
      </c>
      <c r="I3381" s="461" t="s">
        <v>762</v>
      </c>
      <c r="J3381" s="461" t="s">
        <v>700</v>
      </c>
      <c r="K3381" s="594"/>
      <c r="L3381" s="594"/>
      <c r="M3381" s="352">
        <v>7000</v>
      </c>
      <c r="N3381" s="352" t="s">
        <v>1891</v>
      </c>
      <c r="O3381" s="460">
        <v>4411</v>
      </c>
      <c r="P3381" s="460" t="s">
        <v>1888</v>
      </c>
      <c r="Q3381" s="460" t="s">
        <v>2553</v>
      </c>
      <c r="R3381" s="460">
        <v>4411</v>
      </c>
      <c r="S3381" s="460" t="s">
        <v>1138</v>
      </c>
      <c r="T3381" s="462">
        <v>1</v>
      </c>
      <c r="U3381" s="460" t="s">
        <v>1138</v>
      </c>
      <c r="V3381" s="475">
        <v>0</v>
      </c>
      <c r="W3381" s="463" t="s">
        <v>2268</v>
      </c>
      <c r="X3381" s="463" t="s">
        <v>2268</v>
      </c>
      <c r="Y3381" s="463" t="s">
        <v>2554</v>
      </c>
      <c r="Z3381" s="463"/>
      <c r="AA3381" s="463"/>
      <c r="AB3381" s="464">
        <v>0</v>
      </c>
      <c r="AC3381" s="465">
        <v>0</v>
      </c>
      <c r="AD3381" s="465">
        <v>0</v>
      </c>
      <c r="AE3381" s="476">
        <v>0</v>
      </c>
      <c r="AF3381" s="467">
        <v>0</v>
      </c>
      <c r="AG3381" s="468">
        <v>0</v>
      </c>
      <c r="AH3381" s="218">
        <v>0</v>
      </c>
      <c r="AI3381" s="470">
        <v>0</v>
      </c>
      <c r="AJ3381" s="471">
        <v>0</v>
      </c>
      <c r="AK3381" s="218">
        <v>0</v>
      </c>
      <c r="AL3381" s="470">
        <v>0</v>
      </c>
      <c r="AM3381" s="471">
        <v>0</v>
      </c>
      <c r="AN3381" s="477">
        <v>0</v>
      </c>
      <c r="AO3381" s="473">
        <v>0</v>
      </c>
      <c r="AP3381" s="474">
        <v>0</v>
      </c>
      <c r="AQ3381" s="352"/>
      <c r="AR3381" s="352"/>
      <c r="AS3381" s="352"/>
      <c r="AT3381" s="352"/>
      <c r="AU3381" s="352"/>
      <c r="AV3381" s="352"/>
      <c r="AW3381" s="352" t="s">
        <v>254</v>
      </c>
    </row>
    <row r="3382" spans="2:49" x14ac:dyDescent="0.2">
      <c r="B3382" s="460" t="s">
        <v>3364</v>
      </c>
      <c r="C3382" s="460">
        <v>7000</v>
      </c>
      <c r="D3382" s="460" t="s">
        <v>2365</v>
      </c>
      <c r="E3382" s="460" t="s">
        <v>1139</v>
      </c>
      <c r="F3382" s="460">
        <v>4</v>
      </c>
      <c r="G3382" s="460">
        <v>4</v>
      </c>
      <c r="H3382" s="461" t="s">
        <v>746</v>
      </c>
      <c r="I3382" s="461" t="s">
        <v>762</v>
      </c>
      <c r="J3382" s="461" t="s">
        <v>700</v>
      </c>
      <c r="K3382" s="594"/>
      <c r="L3382" s="594"/>
      <c r="M3382" s="352">
        <v>7000</v>
      </c>
      <c r="N3382" s="352" t="s">
        <v>1891</v>
      </c>
      <c r="O3382" s="460">
        <v>4411</v>
      </c>
      <c r="P3382" s="460" t="s">
        <v>1888</v>
      </c>
      <c r="Q3382" s="460" t="s">
        <v>2553</v>
      </c>
      <c r="R3382" s="460">
        <v>4411</v>
      </c>
      <c r="S3382" s="460" t="s">
        <v>1139</v>
      </c>
      <c r="T3382" s="462">
        <v>1</v>
      </c>
      <c r="U3382" s="460" t="s">
        <v>1139</v>
      </c>
      <c r="V3382" s="475">
        <v>0</v>
      </c>
      <c r="W3382" s="463" t="s">
        <v>2268</v>
      </c>
      <c r="X3382" s="463" t="s">
        <v>2268</v>
      </c>
      <c r="Y3382" s="463" t="s">
        <v>2554</v>
      </c>
      <c r="Z3382" s="463"/>
      <c r="AA3382" s="463"/>
      <c r="AB3382" s="464">
        <v>0</v>
      </c>
      <c r="AC3382" s="465">
        <v>0</v>
      </c>
      <c r="AD3382" s="465">
        <v>0</v>
      </c>
      <c r="AE3382" s="476">
        <v>0</v>
      </c>
      <c r="AF3382" s="467">
        <v>0</v>
      </c>
      <c r="AG3382" s="468">
        <v>0</v>
      </c>
      <c r="AH3382" s="218">
        <v>0</v>
      </c>
      <c r="AI3382" s="470">
        <v>0</v>
      </c>
      <c r="AJ3382" s="471">
        <v>0</v>
      </c>
      <c r="AK3382" s="218">
        <v>0</v>
      </c>
      <c r="AL3382" s="470">
        <v>0</v>
      </c>
      <c r="AM3382" s="471">
        <v>0</v>
      </c>
      <c r="AN3382" s="477">
        <v>0</v>
      </c>
      <c r="AO3382" s="473">
        <v>0</v>
      </c>
      <c r="AP3382" s="474">
        <v>0</v>
      </c>
      <c r="AQ3382" s="352"/>
      <c r="AR3382" s="352"/>
      <c r="AS3382" s="352"/>
      <c r="AT3382" s="352"/>
      <c r="AU3382" s="352"/>
      <c r="AV3382" s="352"/>
      <c r="AW3382" s="352" t="s">
        <v>254</v>
      </c>
    </row>
    <row r="3383" spans="2:49" x14ac:dyDescent="0.2">
      <c r="B3383" s="460" t="s">
        <v>3361</v>
      </c>
      <c r="C3383" s="460">
        <v>7000</v>
      </c>
      <c r="D3383" s="460" t="s">
        <v>2366</v>
      </c>
      <c r="E3383" s="460" t="s">
        <v>1136</v>
      </c>
      <c r="F3383" s="460">
        <v>1</v>
      </c>
      <c r="G3383" s="460">
        <v>4</v>
      </c>
      <c r="H3383" s="461" t="s">
        <v>748</v>
      </c>
      <c r="I3383" s="461" t="s">
        <v>765</v>
      </c>
      <c r="J3383" s="461" t="s">
        <v>700</v>
      </c>
      <c r="K3383" s="594"/>
      <c r="L3383" s="594"/>
      <c r="M3383" s="352">
        <v>7000</v>
      </c>
      <c r="N3383" s="352" t="s">
        <v>1891</v>
      </c>
      <c r="O3383" s="460">
        <v>4411</v>
      </c>
      <c r="P3383" s="460" t="s">
        <v>1888</v>
      </c>
      <c r="Q3383" s="460" t="s">
        <v>2553</v>
      </c>
      <c r="R3383" s="460">
        <v>4411</v>
      </c>
      <c r="S3383" s="460" t="s">
        <v>1136</v>
      </c>
      <c r="T3383" s="462">
        <v>1</v>
      </c>
      <c r="U3383" s="460" t="s">
        <v>1136</v>
      </c>
      <c r="V3383" s="475">
        <v>0</v>
      </c>
      <c r="W3383" s="463" t="s">
        <v>2268</v>
      </c>
      <c r="X3383" s="463" t="s">
        <v>2268</v>
      </c>
      <c r="Y3383" s="463" t="s">
        <v>2554</v>
      </c>
      <c r="Z3383" s="463"/>
      <c r="AA3383" s="463"/>
      <c r="AB3383" s="464">
        <v>0</v>
      </c>
      <c r="AC3383" s="465">
        <v>0</v>
      </c>
      <c r="AD3383" s="465">
        <v>0</v>
      </c>
      <c r="AE3383" s="476">
        <v>0</v>
      </c>
      <c r="AF3383" s="467">
        <v>0</v>
      </c>
      <c r="AG3383" s="468">
        <v>0</v>
      </c>
      <c r="AH3383" s="218">
        <v>0</v>
      </c>
      <c r="AI3383" s="470">
        <v>0</v>
      </c>
      <c r="AJ3383" s="471">
        <v>0</v>
      </c>
      <c r="AK3383" s="218">
        <v>0</v>
      </c>
      <c r="AL3383" s="470">
        <v>0</v>
      </c>
      <c r="AM3383" s="471">
        <v>0</v>
      </c>
      <c r="AN3383" s="477">
        <v>0</v>
      </c>
      <c r="AO3383" s="473">
        <v>0</v>
      </c>
      <c r="AP3383" s="474">
        <v>0</v>
      </c>
      <c r="AQ3383" s="352"/>
      <c r="AR3383" s="352"/>
      <c r="AS3383" s="352"/>
      <c r="AT3383" s="352"/>
      <c r="AU3383" s="352"/>
      <c r="AV3383" s="352"/>
      <c r="AW3383" s="352" t="s">
        <v>254</v>
      </c>
    </row>
    <row r="3384" spans="2:49" x14ac:dyDescent="0.2">
      <c r="B3384" s="460" t="s">
        <v>3362</v>
      </c>
      <c r="C3384" s="460">
        <v>7000</v>
      </c>
      <c r="D3384" s="460" t="s">
        <v>2367</v>
      </c>
      <c r="E3384" s="460" t="s">
        <v>1137</v>
      </c>
      <c r="F3384" s="460">
        <v>2</v>
      </c>
      <c r="G3384" s="460">
        <v>4</v>
      </c>
      <c r="H3384" s="461" t="s">
        <v>748</v>
      </c>
      <c r="I3384" s="461" t="s">
        <v>765</v>
      </c>
      <c r="J3384" s="461" t="s">
        <v>700</v>
      </c>
      <c r="K3384" s="594"/>
      <c r="L3384" s="594"/>
      <c r="M3384" s="352">
        <v>7000</v>
      </c>
      <c r="N3384" s="352" t="s">
        <v>1891</v>
      </c>
      <c r="O3384" s="460">
        <v>4411</v>
      </c>
      <c r="P3384" s="460" t="s">
        <v>1888</v>
      </c>
      <c r="Q3384" s="460" t="s">
        <v>2553</v>
      </c>
      <c r="R3384" s="460">
        <v>4411</v>
      </c>
      <c r="S3384" s="460" t="s">
        <v>1137</v>
      </c>
      <c r="T3384" s="462">
        <v>1</v>
      </c>
      <c r="U3384" s="460" t="s">
        <v>1137</v>
      </c>
      <c r="V3384" s="475">
        <v>0</v>
      </c>
      <c r="W3384" s="463" t="s">
        <v>2268</v>
      </c>
      <c r="X3384" s="463" t="s">
        <v>2268</v>
      </c>
      <c r="Y3384" s="463" t="s">
        <v>2554</v>
      </c>
      <c r="Z3384" s="463"/>
      <c r="AA3384" s="463"/>
      <c r="AB3384" s="464">
        <v>0</v>
      </c>
      <c r="AC3384" s="465">
        <v>0</v>
      </c>
      <c r="AD3384" s="465">
        <v>0</v>
      </c>
      <c r="AE3384" s="476">
        <v>0</v>
      </c>
      <c r="AF3384" s="467">
        <v>0</v>
      </c>
      <c r="AG3384" s="468">
        <v>0</v>
      </c>
      <c r="AH3384" s="218">
        <v>0</v>
      </c>
      <c r="AI3384" s="470">
        <v>0</v>
      </c>
      <c r="AJ3384" s="471">
        <v>0</v>
      </c>
      <c r="AK3384" s="218">
        <v>0</v>
      </c>
      <c r="AL3384" s="470">
        <v>0</v>
      </c>
      <c r="AM3384" s="471">
        <v>0</v>
      </c>
      <c r="AN3384" s="477">
        <v>0</v>
      </c>
      <c r="AO3384" s="473">
        <v>0</v>
      </c>
      <c r="AP3384" s="474">
        <v>0</v>
      </c>
      <c r="AQ3384" s="352"/>
      <c r="AR3384" s="352"/>
      <c r="AS3384" s="352"/>
      <c r="AT3384" s="352"/>
      <c r="AU3384" s="352"/>
      <c r="AV3384" s="352"/>
      <c r="AW3384" s="352" t="s">
        <v>254</v>
      </c>
    </row>
    <row r="3385" spans="2:49" x14ac:dyDescent="0.2">
      <c r="B3385" s="460" t="s">
        <v>3363</v>
      </c>
      <c r="C3385" s="460">
        <v>7000</v>
      </c>
      <c r="D3385" s="460" t="s">
        <v>2368</v>
      </c>
      <c r="E3385" s="460" t="s">
        <v>1138</v>
      </c>
      <c r="F3385" s="460">
        <v>3</v>
      </c>
      <c r="G3385" s="460">
        <v>4</v>
      </c>
      <c r="H3385" s="461" t="s">
        <v>748</v>
      </c>
      <c r="I3385" s="461" t="s">
        <v>765</v>
      </c>
      <c r="J3385" s="461" t="s">
        <v>700</v>
      </c>
      <c r="K3385" s="594"/>
      <c r="L3385" s="594"/>
      <c r="M3385" s="352">
        <v>7000</v>
      </c>
      <c r="N3385" s="352" t="s">
        <v>1891</v>
      </c>
      <c r="O3385" s="460">
        <v>4411</v>
      </c>
      <c r="P3385" s="460" t="s">
        <v>1888</v>
      </c>
      <c r="Q3385" s="460" t="s">
        <v>2553</v>
      </c>
      <c r="R3385" s="460">
        <v>4411</v>
      </c>
      <c r="S3385" s="460" t="s">
        <v>1138</v>
      </c>
      <c r="T3385" s="462">
        <v>1</v>
      </c>
      <c r="U3385" s="460" t="s">
        <v>1138</v>
      </c>
      <c r="V3385" s="475">
        <v>0</v>
      </c>
      <c r="W3385" s="463" t="s">
        <v>2268</v>
      </c>
      <c r="X3385" s="463" t="s">
        <v>2268</v>
      </c>
      <c r="Y3385" s="463" t="s">
        <v>2554</v>
      </c>
      <c r="Z3385" s="463"/>
      <c r="AA3385" s="463"/>
      <c r="AB3385" s="464">
        <v>0</v>
      </c>
      <c r="AC3385" s="465">
        <v>0</v>
      </c>
      <c r="AD3385" s="465">
        <v>0</v>
      </c>
      <c r="AE3385" s="476">
        <v>0</v>
      </c>
      <c r="AF3385" s="467">
        <v>0</v>
      </c>
      <c r="AG3385" s="468">
        <v>0</v>
      </c>
      <c r="AH3385" s="218">
        <v>0</v>
      </c>
      <c r="AI3385" s="470">
        <v>0</v>
      </c>
      <c r="AJ3385" s="471">
        <v>0</v>
      </c>
      <c r="AK3385" s="218">
        <v>0</v>
      </c>
      <c r="AL3385" s="470">
        <v>0</v>
      </c>
      <c r="AM3385" s="471">
        <v>0</v>
      </c>
      <c r="AN3385" s="477">
        <v>0</v>
      </c>
      <c r="AO3385" s="473">
        <v>0</v>
      </c>
      <c r="AP3385" s="474">
        <v>0</v>
      </c>
      <c r="AQ3385" s="352"/>
      <c r="AR3385" s="352"/>
      <c r="AS3385" s="352"/>
      <c r="AT3385" s="352"/>
      <c r="AU3385" s="352"/>
      <c r="AV3385" s="352"/>
      <c r="AW3385" s="352" t="s">
        <v>254</v>
      </c>
    </row>
    <row r="3386" spans="2:49" x14ac:dyDescent="0.2">
      <c r="B3386" s="460" t="s">
        <v>3364</v>
      </c>
      <c r="C3386" s="460">
        <v>7000</v>
      </c>
      <c r="D3386" s="460" t="s">
        <v>2369</v>
      </c>
      <c r="E3386" s="460" t="s">
        <v>1139</v>
      </c>
      <c r="F3386" s="460">
        <v>4</v>
      </c>
      <c r="G3386" s="460">
        <v>4</v>
      </c>
      <c r="H3386" s="461" t="s">
        <v>748</v>
      </c>
      <c r="I3386" s="461" t="s">
        <v>765</v>
      </c>
      <c r="J3386" s="461" t="s">
        <v>700</v>
      </c>
      <c r="K3386" s="594"/>
      <c r="L3386" s="594"/>
      <c r="M3386" s="352">
        <v>7000</v>
      </c>
      <c r="N3386" s="352" t="s">
        <v>1891</v>
      </c>
      <c r="O3386" s="460">
        <v>4411</v>
      </c>
      <c r="P3386" s="460" t="s">
        <v>1888</v>
      </c>
      <c r="Q3386" s="460" t="s">
        <v>2553</v>
      </c>
      <c r="R3386" s="460">
        <v>4411</v>
      </c>
      <c r="S3386" s="460" t="s">
        <v>1139</v>
      </c>
      <c r="T3386" s="462">
        <v>1</v>
      </c>
      <c r="U3386" s="460" t="s">
        <v>1139</v>
      </c>
      <c r="V3386" s="475">
        <v>0</v>
      </c>
      <c r="W3386" s="463" t="s">
        <v>2268</v>
      </c>
      <c r="X3386" s="463" t="s">
        <v>2268</v>
      </c>
      <c r="Y3386" s="463" t="s">
        <v>2554</v>
      </c>
      <c r="Z3386" s="463"/>
      <c r="AA3386" s="463"/>
      <c r="AB3386" s="464">
        <v>0</v>
      </c>
      <c r="AC3386" s="465">
        <v>0</v>
      </c>
      <c r="AD3386" s="465">
        <v>0</v>
      </c>
      <c r="AE3386" s="476">
        <v>0</v>
      </c>
      <c r="AF3386" s="467">
        <v>0</v>
      </c>
      <c r="AG3386" s="468">
        <v>0</v>
      </c>
      <c r="AH3386" s="218">
        <v>0</v>
      </c>
      <c r="AI3386" s="470">
        <v>0</v>
      </c>
      <c r="AJ3386" s="471">
        <v>0</v>
      </c>
      <c r="AK3386" s="218">
        <v>0</v>
      </c>
      <c r="AL3386" s="470">
        <v>0</v>
      </c>
      <c r="AM3386" s="471">
        <v>0</v>
      </c>
      <c r="AN3386" s="477">
        <v>0</v>
      </c>
      <c r="AO3386" s="473">
        <v>0</v>
      </c>
      <c r="AP3386" s="474">
        <v>0</v>
      </c>
      <c r="AQ3386" s="352"/>
      <c r="AR3386" s="352"/>
      <c r="AS3386" s="352"/>
      <c r="AT3386" s="352"/>
      <c r="AU3386" s="352"/>
      <c r="AV3386" s="352"/>
      <c r="AW3386" s="352" t="s">
        <v>254</v>
      </c>
    </row>
    <row r="3387" spans="2:49" x14ac:dyDescent="0.2">
      <c r="B3387" s="460" t="s">
        <v>3361</v>
      </c>
      <c r="C3387" s="460">
        <v>7000</v>
      </c>
      <c r="D3387" s="460" t="s">
        <v>2370</v>
      </c>
      <c r="E3387" s="460" t="s">
        <v>1136</v>
      </c>
      <c r="F3387" s="460">
        <v>1</v>
      </c>
      <c r="G3387" s="460">
        <v>4</v>
      </c>
      <c r="H3387" s="461" t="s">
        <v>752</v>
      </c>
      <c r="I3387" s="461" t="s">
        <v>964</v>
      </c>
      <c r="J3387" s="461" t="s">
        <v>752</v>
      </c>
      <c r="K3387" s="594"/>
      <c r="L3387" s="594"/>
      <c r="M3387" s="352">
        <v>7000</v>
      </c>
      <c r="N3387" s="352" t="s">
        <v>1891</v>
      </c>
      <c r="O3387" s="460">
        <v>4411</v>
      </c>
      <c r="P3387" s="460" t="s">
        <v>1888</v>
      </c>
      <c r="Q3387" s="460" t="s">
        <v>2553</v>
      </c>
      <c r="R3387" s="460">
        <v>4411</v>
      </c>
      <c r="S3387" s="460" t="s">
        <v>1136</v>
      </c>
      <c r="T3387" s="462">
        <v>1</v>
      </c>
      <c r="U3387" s="460" t="s">
        <v>1136</v>
      </c>
      <c r="V3387" s="475">
        <v>0</v>
      </c>
      <c r="W3387" s="463" t="s">
        <v>2278</v>
      </c>
      <c r="X3387" s="463" t="s">
        <v>2278</v>
      </c>
      <c r="Y3387" s="463" t="s">
        <v>2278</v>
      </c>
      <c r="Z3387" s="463"/>
      <c r="AA3387" s="463"/>
      <c r="AB3387" s="464">
        <v>0</v>
      </c>
      <c r="AC3387" s="465">
        <v>0</v>
      </c>
      <c r="AD3387" s="465">
        <v>0</v>
      </c>
      <c r="AE3387" s="476">
        <v>0</v>
      </c>
      <c r="AF3387" s="467">
        <v>0</v>
      </c>
      <c r="AG3387" s="468">
        <v>0</v>
      </c>
      <c r="AH3387" s="218">
        <v>0</v>
      </c>
      <c r="AI3387" s="470">
        <v>0</v>
      </c>
      <c r="AJ3387" s="471">
        <v>0</v>
      </c>
      <c r="AK3387" s="218">
        <v>0</v>
      </c>
      <c r="AL3387" s="470">
        <v>0</v>
      </c>
      <c r="AM3387" s="471">
        <v>0</v>
      </c>
      <c r="AN3387" s="477">
        <v>0</v>
      </c>
      <c r="AO3387" s="473">
        <v>0</v>
      </c>
      <c r="AP3387" s="474">
        <v>0</v>
      </c>
      <c r="AQ3387" s="352"/>
      <c r="AR3387" s="352"/>
      <c r="AS3387" s="352"/>
      <c r="AT3387" s="352"/>
      <c r="AU3387" s="352"/>
      <c r="AV3387" s="352"/>
      <c r="AW3387" s="352" t="s">
        <v>254</v>
      </c>
    </row>
    <row r="3388" spans="2:49" x14ac:dyDescent="0.2">
      <c r="B3388" s="460" t="s">
        <v>3362</v>
      </c>
      <c r="C3388" s="460">
        <v>7000</v>
      </c>
      <c r="D3388" s="460" t="s">
        <v>2371</v>
      </c>
      <c r="E3388" s="460" t="s">
        <v>1137</v>
      </c>
      <c r="F3388" s="460">
        <v>2</v>
      </c>
      <c r="G3388" s="460">
        <v>4</v>
      </c>
      <c r="H3388" s="461" t="s">
        <v>752</v>
      </c>
      <c r="I3388" s="461" t="s">
        <v>964</v>
      </c>
      <c r="J3388" s="461" t="s">
        <v>752</v>
      </c>
      <c r="K3388" s="594"/>
      <c r="L3388" s="594"/>
      <c r="M3388" s="352">
        <v>7000</v>
      </c>
      <c r="N3388" s="352" t="s">
        <v>1891</v>
      </c>
      <c r="O3388" s="460">
        <v>4411</v>
      </c>
      <c r="P3388" s="460" t="s">
        <v>1888</v>
      </c>
      <c r="Q3388" s="460" t="s">
        <v>2553</v>
      </c>
      <c r="R3388" s="460">
        <v>4411</v>
      </c>
      <c r="S3388" s="460" t="s">
        <v>1137</v>
      </c>
      <c r="T3388" s="462">
        <v>1</v>
      </c>
      <c r="U3388" s="460" t="s">
        <v>1137</v>
      </c>
      <c r="V3388" s="475">
        <v>0</v>
      </c>
      <c r="W3388" s="463" t="s">
        <v>2278</v>
      </c>
      <c r="X3388" s="463" t="s">
        <v>2278</v>
      </c>
      <c r="Y3388" s="463" t="s">
        <v>2278</v>
      </c>
      <c r="Z3388" s="463"/>
      <c r="AA3388" s="463"/>
      <c r="AB3388" s="464">
        <v>0</v>
      </c>
      <c r="AC3388" s="465">
        <v>0</v>
      </c>
      <c r="AD3388" s="465">
        <v>0</v>
      </c>
      <c r="AE3388" s="476">
        <v>0</v>
      </c>
      <c r="AF3388" s="467">
        <v>0</v>
      </c>
      <c r="AG3388" s="468">
        <v>0</v>
      </c>
      <c r="AH3388" s="218">
        <v>0</v>
      </c>
      <c r="AI3388" s="470">
        <v>0</v>
      </c>
      <c r="AJ3388" s="471">
        <v>0</v>
      </c>
      <c r="AK3388" s="218">
        <v>0</v>
      </c>
      <c r="AL3388" s="470">
        <v>0</v>
      </c>
      <c r="AM3388" s="471">
        <v>0</v>
      </c>
      <c r="AN3388" s="477">
        <v>0</v>
      </c>
      <c r="AO3388" s="473">
        <v>0</v>
      </c>
      <c r="AP3388" s="474">
        <v>0</v>
      </c>
      <c r="AQ3388" s="352"/>
      <c r="AR3388" s="352"/>
      <c r="AS3388" s="352"/>
      <c r="AT3388" s="352"/>
      <c r="AU3388" s="352"/>
      <c r="AV3388" s="352"/>
      <c r="AW3388" s="352" t="s">
        <v>254</v>
      </c>
    </row>
    <row r="3389" spans="2:49" x14ac:dyDescent="0.2">
      <c r="B3389" s="460" t="s">
        <v>3363</v>
      </c>
      <c r="C3389" s="460">
        <v>7000</v>
      </c>
      <c r="D3389" s="460" t="s">
        <v>2372</v>
      </c>
      <c r="E3389" s="460" t="s">
        <v>1138</v>
      </c>
      <c r="F3389" s="460">
        <v>3</v>
      </c>
      <c r="G3389" s="460">
        <v>4</v>
      </c>
      <c r="H3389" s="461" t="s">
        <v>752</v>
      </c>
      <c r="I3389" s="461" t="s">
        <v>964</v>
      </c>
      <c r="J3389" s="461" t="s">
        <v>752</v>
      </c>
      <c r="K3389" s="594"/>
      <c r="L3389" s="594"/>
      <c r="M3389" s="352">
        <v>7000</v>
      </c>
      <c r="N3389" s="352" t="s">
        <v>1891</v>
      </c>
      <c r="O3389" s="460">
        <v>4411</v>
      </c>
      <c r="P3389" s="460" t="s">
        <v>1888</v>
      </c>
      <c r="Q3389" s="460" t="s">
        <v>2553</v>
      </c>
      <c r="R3389" s="460">
        <v>4411</v>
      </c>
      <c r="S3389" s="460" t="s">
        <v>1138</v>
      </c>
      <c r="T3389" s="462">
        <v>1</v>
      </c>
      <c r="U3389" s="460" t="s">
        <v>1138</v>
      </c>
      <c r="V3389" s="475">
        <v>0</v>
      </c>
      <c r="W3389" s="463" t="s">
        <v>2278</v>
      </c>
      <c r="X3389" s="463" t="s">
        <v>2278</v>
      </c>
      <c r="Y3389" s="463" t="s">
        <v>2278</v>
      </c>
      <c r="Z3389" s="463"/>
      <c r="AA3389" s="463"/>
      <c r="AB3389" s="464">
        <v>0</v>
      </c>
      <c r="AC3389" s="465">
        <v>0</v>
      </c>
      <c r="AD3389" s="465">
        <v>0</v>
      </c>
      <c r="AE3389" s="476">
        <v>0</v>
      </c>
      <c r="AF3389" s="467">
        <v>0</v>
      </c>
      <c r="AG3389" s="468">
        <v>0</v>
      </c>
      <c r="AH3389" s="218">
        <v>0</v>
      </c>
      <c r="AI3389" s="470">
        <v>0</v>
      </c>
      <c r="AJ3389" s="471">
        <v>0</v>
      </c>
      <c r="AK3389" s="218">
        <v>0</v>
      </c>
      <c r="AL3389" s="470">
        <v>0</v>
      </c>
      <c r="AM3389" s="471">
        <v>0</v>
      </c>
      <c r="AN3389" s="477">
        <v>0</v>
      </c>
      <c r="AO3389" s="473">
        <v>0</v>
      </c>
      <c r="AP3389" s="474">
        <v>0</v>
      </c>
      <c r="AQ3389" s="352"/>
      <c r="AR3389" s="352"/>
      <c r="AS3389" s="352"/>
      <c r="AT3389" s="352"/>
      <c r="AU3389" s="352"/>
      <c r="AV3389" s="352"/>
      <c r="AW3389" s="352" t="s">
        <v>254</v>
      </c>
    </row>
    <row r="3390" spans="2:49" x14ac:dyDescent="0.2">
      <c r="B3390" s="460" t="s">
        <v>3364</v>
      </c>
      <c r="C3390" s="460">
        <v>7000</v>
      </c>
      <c r="D3390" s="460" t="s">
        <v>2373</v>
      </c>
      <c r="E3390" s="460" t="s">
        <v>1139</v>
      </c>
      <c r="F3390" s="460">
        <v>4</v>
      </c>
      <c r="G3390" s="460">
        <v>4</v>
      </c>
      <c r="H3390" s="461" t="s">
        <v>752</v>
      </c>
      <c r="I3390" s="461" t="s">
        <v>964</v>
      </c>
      <c r="J3390" s="461" t="s">
        <v>752</v>
      </c>
      <c r="K3390" s="594"/>
      <c r="L3390" s="594"/>
      <c r="M3390" s="352">
        <v>7000</v>
      </c>
      <c r="N3390" s="352" t="s">
        <v>1891</v>
      </c>
      <c r="O3390" s="460">
        <v>4411</v>
      </c>
      <c r="P3390" s="460" t="s">
        <v>1888</v>
      </c>
      <c r="Q3390" s="460" t="s">
        <v>2553</v>
      </c>
      <c r="R3390" s="460">
        <v>4411</v>
      </c>
      <c r="S3390" s="460" t="s">
        <v>1139</v>
      </c>
      <c r="T3390" s="462">
        <v>1</v>
      </c>
      <c r="U3390" s="460" t="s">
        <v>1139</v>
      </c>
      <c r="V3390" s="475">
        <v>0</v>
      </c>
      <c r="W3390" s="463" t="s">
        <v>2278</v>
      </c>
      <c r="X3390" s="463" t="s">
        <v>2278</v>
      </c>
      <c r="Y3390" s="463" t="s">
        <v>2278</v>
      </c>
      <c r="Z3390" s="463"/>
      <c r="AA3390" s="463"/>
      <c r="AB3390" s="464">
        <v>0</v>
      </c>
      <c r="AC3390" s="465">
        <v>0</v>
      </c>
      <c r="AD3390" s="465">
        <v>0</v>
      </c>
      <c r="AE3390" s="476">
        <v>0</v>
      </c>
      <c r="AF3390" s="467">
        <v>0</v>
      </c>
      <c r="AG3390" s="468">
        <v>0</v>
      </c>
      <c r="AH3390" s="218">
        <v>0</v>
      </c>
      <c r="AI3390" s="470">
        <v>0</v>
      </c>
      <c r="AJ3390" s="471">
        <v>0</v>
      </c>
      <c r="AK3390" s="218">
        <v>0</v>
      </c>
      <c r="AL3390" s="470">
        <v>0</v>
      </c>
      <c r="AM3390" s="471">
        <v>0</v>
      </c>
      <c r="AN3390" s="477">
        <v>0</v>
      </c>
      <c r="AO3390" s="473">
        <v>0</v>
      </c>
      <c r="AP3390" s="474">
        <v>0</v>
      </c>
      <c r="AQ3390" s="352"/>
      <c r="AR3390" s="352"/>
      <c r="AS3390" s="352"/>
      <c r="AT3390" s="352"/>
      <c r="AU3390" s="352"/>
      <c r="AV3390" s="352"/>
      <c r="AW3390" s="352" t="s">
        <v>254</v>
      </c>
    </row>
    <row r="3391" spans="2:49" x14ac:dyDescent="0.2">
      <c r="B3391" s="460" t="s">
        <v>3365</v>
      </c>
      <c r="C3391" s="460">
        <v>7000</v>
      </c>
      <c r="D3391" s="460" t="s">
        <v>2375</v>
      </c>
      <c r="E3391" s="460" t="s">
        <v>2376</v>
      </c>
      <c r="F3391" s="460">
        <v>1</v>
      </c>
      <c r="G3391" s="460">
        <v>5</v>
      </c>
      <c r="H3391" s="461" t="s">
        <v>754</v>
      </c>
      <c r="I3391" s="461" t="s">
        <v>1991</v>
      </c>
      <c r="J3391" s="461" t="s">
        <v>754</v>
      </c>
      <c r="K3391" s="594"/>
      <c r="L3391" s="594"/>
      <c r="M3391" s="352">
        <v>7000</v>
      </c>
      <c r="N3391" s="352" t="s">
        <v>1891</v>
      </c>
      <c r="O3391" s="460">
        <v>4411</v>
      </c>
      <c r="P3391" s="460" t="s">
        <v>1888</v>
      </c>
      <c r="Q3391" s="460" t="s">
        <v>2377</v>
      </c>
      <c r="R3391" s="460">
        <v>4411</v>
      </c>
      <c r="S3391" s="460" t="s">
        <v>2376</v>
      </c>
      <c r="T3391" s="462">
        <v>1</v>
      </c>
      <c r="U3391" s="460" t="s">
        <v>2376</v>
      </c>
      <c r="V3391" s="475">
        <v>0</v>
      </c>
      <c r="W3391" s="463" t="s">
        <v>2278</v>
      </c>
      <c r="X3391" s="463" t="s">
        <v>2278</v>
      </c>
      <c r="Y3391" s="463" t="s">
        <v>2278</v>
      </c>
      <c r="Z3391" s="463"/>
      <c r="AA3391" s="463"/>
      <c r="AB3391" s="464">
        <v>21960.15720136317</v>
      </c>
      <c r="AC3391" s="465">
        <v>1</v>
      </c>
      <c r="AD3391" s="465">
        <v>3.6917326495615035E-2</v>
      </c>
      <c r="AE3391" s="476">
        <v>21960.15720136317</v>
      </c>
      <c r="AF3391" s="467">
        <v>1</v>
      </c>
      <c r="AG3391" s="468">
        <v>3.6917326495615035E-2</v>
      </c>
      <c r="AH3391" s="218">
        <v>21960.15720136317</v>
      </c>
      <c r="AI3391" s="470">
        <v>1</v>
      </c>
      <c r="AJ3391" s="471">
        <v>3.6917326495615035E-2</v>
      </c>
      <c r="AK3391" s="218">
        <v>21960.15720136317</v>
      </c>
      <c r="AL3391" s="470">
        <v>1</v>
      </c>
      <c r="AM3391" s="471">
        <v>3.6917326495615035E-2</v>
      </c>
      <c r="AN3391" s="477">
        <v>21960.15720136317</v>
      </c>
      <c r="AO3391" s="473">
        <v>1</v>
      </c>
      <c r="AP3391" s="474">
        <v>3.6917326495615035E-2</v>
      </c>
      <c r="AQ3391" s="352"/>
      <c r="AR3391" s="352"/>
      <c r="AS3391" s="352"/>
      <c r="AT3391" s="352"/>
      <c r="AU3391" s="352"/>
      <c r="AV3391" s="352"/>
      <c r="AW3391" s="352" t="s">
        <v>127</v>
      </c>
    </row>
    <row r="3392" spans="2:49" x14ac:dyDescent="0.2">
      <c r="B3392" s="460" t="s">
        <v>3366</v>
      </c>
      <c r="C3392" s="460">
        <v>7000</v>
      </c>
      <c r="D3392" s="460" t="s">
        <v>2379</v>
      </c>
      <c r="E3392" s="460" t="s">
        <v>2380</v>
      </c>
      <c r="F3392" s="460">
        <v>2</v>
      </c>
      <c r="G3392" s="460">
        <v>5</v>
      </c>
      <c r="H3392" s="461" t="s">
        <v>754</v>
      </c>
      <c r="I3392" s="461" t="s">
        <v>1991</v>
      </c>
      <c r="J3392" s="461" t="s">
        <v>754</v>
      </c>
      <c r="K3392" s="594"/>
      <c r="L3392" s="594"/>
      <c r="M3392" s="352">
        <v>7000</v>
      </c>
      <c r="N3392" s="352" t="s">
        <v>1891</v>
      </c>
      <c r="O3392" s="460">
        <v>4411</v>
      </c>
      <c r="P3392" s="460" t="s">
        <v>1888</v>
      </c>
      <c r="Q3392" s="460" t="s">
        <v>2377</v>
      </c>
      <c r="R3392" s="460">
        <v>4411</v>
      </c>
      <c r="S3392" s="460" t="s">
        <v>2380</v>
      </c>
      <c r="T3392" s="462">
        <v>1</v>
      </c>
      <c r="U3392" s="460" t="s">
        <v>2380</v>
      </c>
      <c r="V3392" s="475">
        <v>0</v>
      </c>
      <c r="W3392" s="463" t="s">
        <v>2278</v>
      </c>
      <c r="X3392" s="463" t="s">
        <v>2278</v>
      </c>
      <c r="Y3392" s="463" t="s">
        <v>2278</v>
      </c>
      <c r="Z3392" s="463"/>
      <c r="AA3392" s="463"/>
      <c r="AB3392" s="464">
        <v>19776.572354024625</v>
      </c>
      <c r="AC3392" s="465">
        <v>1</v>
      </c>
      <c r="AD3392" s="465">
        <v>3.8944099456548351E-2</v>
      </c>
      <c r="AE3392" s="476">
        <v>19776.572354024625</v>
      </c>
      <c r="AF3392" s="467">
        <v>1</v>
      </c>
      <c r="AG3392" s="468">
        <v>3.8944099456548351E-2</v>
      </c>
      <c r="AH3392" s="218">
        <v>19776.572354024625</v>
      </c>
      <c r="AI3392" s="470">
        <v>1</v>
      </c>
      <c r="AJ3392" s="471">
        <v>3.8944099456548351E-2</v>
      </c>
      <c r="AK3392" s="218">
        <v>19776.572354024625</v>
      </c>
      <c r="AL3392" s="470">
        <v>1</v>
      </c>
      <c r="AM3392" s="471">
        <v>3.8944099456548351E-2</v>
      </c>
      <c r="AN3392" s="477">
        <v>19776.572354024625</v>
      </c>
      <c r="AO3392" s="473">
        <v>1</v>
      </c>
      <c r="AP3392" s="474">
        <v>3.8944099456548351E-2</v>
      </c>
      <c r="AQ3392" s="352"/>
      <c r="AR3392" s="352"/>
      <c r="AS3392" s="352"/>
      <c r="AT3392" s="352"/>
      <c r="AU3392" s="352"/>
      <c r="AV3392" s="352"/>
      <c r="AW3392" s="352" t="s">
        <v>127</v>
      </c>
    </row>
    <row r="3393" spans="2:49" x14ac:dyDescent="0.2">
      <c r="B3393" s="460" t="s">
        <v>3367</v>
      </c>
      <c r="C3393" s="460">
        <v>7000</v>
      </c>
      <c r="D3393" s="460" t="s">
        <v>2382</v>
      </c>
      <c r="E3393" s="460" t="s">
        <v>2383</v>
      </c>
      <c r="F3393" s="460">
        <v>3</v>
      </c>
      <c r="G3393" s="460">
        <v>5</v>
      </c>
      <c r="H3393" s="461" t="s">
        <v>754</v>
      </c>
      <c r="I3393" s="461" t="s">
        <v>1991</v>
      </c>
      <c r="J3393" s="461" t="s">
        <v>754</v>
      </c>
      <c r="K3393" s="594"/>
      <c r="L3393" s="594"/>
      <c r="M3393" s="352">
        <v>7000</v>
      </c>
      <c r="N3393" s="352" t="s">
        <v>1891</v>
      </c>
      <c r="O3393" s="460">
        <v>4411</v>
      </c>
      <c r="P3393" s="460" t="s">
        <v>1888</v>
      </c>
      <c r="Q3393" s="460" t="s">
        <v>2377</v>
      </c>
      <c r="R3393" s="460">
        <v>4411</v>
      </c>
      <c r="S3393" s="460" t="s">
        <v>2383</v>
      </c>
      <c r="T3393" s="462">
        <v>1</v>
      </c>
      <c r="U3393" s="460" t="s">
        <v>2383</v>
      </c>
      <c r="V3393" s="475">
        <v>0</v>
      </c>
      <c r="W3393" s="463" t="s">
        <v>2278</v>
      </c>
      <c r="X3393" s="463" t="s">
        <v>2278</v>
      </c>
      <c r="Y3393" s="463" t="s">
        <v>2278</v>
      </c>
      <c r="Z3393" s="463"/>
      <c r="AA3393" s="463"/>
      <c r="AB3393" s="464">
        <v>3597.5134992210269</v>
      </c>
      <c r="AC3393" s="465">
        <v>1</v>
      </c>
      <c r="AD3393" s="465">
        <v>3.1977067600376378E-2</v>
      </c>
      <c r="AE3393" s="476">
        <v>3597.5134992210269</v>
      </c>
      <c r="AF3393" s="467">
        <v>1</v>
      </c>
      <c r="AG3393" s="468">
        <v>3.1977067600376378E-2</v>
      </c>
      <c r="AH3393" s="218">
        <v>3597.5134992210269</v>
      </c>
      <c r="AI3393" s="470">
        <v>1</v>
      </c>
      <c r="AJ3393" s="471">
        <v>3.1977067600376378E-2</v>
      </c>
      <c r="AK3393" s="218">
        <v>3597.5134992210269</v>
      </c>
      <c r="AL3393" s="470">
        <v>1</v>
      </c>
      <c r="AM3393" s="471">
        <v>3.1977067600376378E-2</v>
      </c>
      <c r="AN3393" s="477">
        <v>3597.5134992210269</v>
      </c>
      <c r="AO3393" s="473">
        <v>1</v>
      </c>
      <c r="AP3393" s="474">
        <v>3.1977067600376378E-2</v>
      </c>
      <c r="AQ3393" s="352"/>
      <c r="AR3393" s="352"/>
      <c r="AS3393" s="352"/>
      <c r="AT3393" s="352"/>
      <c r="AU3393" s="352"/>
      <c r="AV3393" s="352"/>
      <c r="AW3393" s="352" t="s">
        <v>127</v>
      </c>
    </row>
    <row r="3394" spans="2:49" x14ac:dyDescent="0.2">
      <c r="B3394" s="460" t="s">
        <v>3368</v>
      </c>
      <c r="C3394" s="460">
        <v>7000</v>
      </c>
      <c r="D3394" s="460" t="s">
        <v>2385</v>
      </c>
      <c r="E3394" s="460" t="s">
        <v>2386</v>
      </c>
      <c r="F3394" s="460">
        <v>4</v>
      </c>
      <c r="G3394" s="460">
        <v>5</v>
      </c>
      <c r="H3394" s="461" t="s">
        <v>754</v>
      </c>
      <c r="I3394" s="461" t="s">
        <v>1991</v>
      </c>
      <c r="J3394" s="461" t="s">
        <v>754</v>
      </c>
      <c r="K3394" s="594"/>
      <c r="L3394" s="594"/>
      <c r="M3394" s="352">
        <v>7000</v>
      </c>
      <c r="N3394" s="352" t="s">
        <v>1891</v>
      </c>
      <c r="O3394" s="460">
        <v>4411</v>
      </c>
      <c r="P3394" s="460" t="s">
        <v>1888</v>
      </c>
      <c r="Q3394" s="460" t="s">
        <v>2377</v>
      </c>
      <c r="R3394" s="460">
        <v>4411</v>
      </c>
      <c r="S3394" s="460" t="s">
        <v>2386</v>
      </c>
      <c r="T3394" s="462">
        <v>1</v>
      </c>
      <c r="U3394" s="460" t="s">
        <v>2386</v>
      </c>
      <c r="V3394" s="475">
        <v>0</v>
      </c>
      <c r="W3394" s="463" t="s">
        <v>2278</v>
      </c>
      <c r="X3394" s="463" t="s">
        <v>2278</v>
      </c>
      <c r="Y3394" s="463" t="s">
        <v>2278</v>
      </c>
      <c r="Z3394" s="463"/>
      <c r="AA3394" s="463"/>
      <c r="AB3394" s="464">
        <v>345.18421755322885</v>
      </c>
      <c r="AC3394" s="465">
        <v>1</v>
      </c>
      <c r="AD3394" s="465">
        <v>6.4034218058940159E-3</v>
      </c>
      <c r="AE3394" s="476">
        <v>345.18421755322885</v>
      </c>
      <c r="AF3394" s="467">
        <v>1</v>
      </c>
      <c r="AG3394" s="468">
        <v>6.4034218058940159E-3</v>
      </c>
      <c r="AH3394" s="218">
        <v>345.18421755322885</v>
      </c>
      <c r="AI3394" s="470">
        <v>1</v>
      </c>
      <c r="AJ3394" s="471">
        <v>6.4034218058940159E-3</v>
      </c>
      <c r="AK3394" s="218">
        <v>345.18421755322885</v>
      </c>
      <c r="AL3394" s="470">
        <v>1</v>
      </c>
      <c r="AM3394" s="471">
        <v>6.4034218058940159E-3</v>
      </c>
      <c r="AN3394" s="477">
        <v>345.18421755322885</v>
      </c>
      <c r="AO3394" s="473">
        <v>1</v>
      </c>
      <c r="AP3394" s="474">
        <v>6.4034218058940159E-3</v>
      </c>
      <c r="AQ3394" s="352"/>
      <c r="AR3394" s="352"/>
      <c r="AS3394" s="352"/>
      <c r="AT3394" s="352"/>
      <c r="AU3394" s="352"/>
      <c r="AV3394" s="352"/>
      <c r="AW3394" s="352" t="s">
        <v>127</v>
      </c>
    </row>
    <row r="3395" spans="2:49" x14ac:dyDescent="0.2">
      <c r="B3395" s="460" t="s">
        <v>3369</v>
      </c>
      <c r="C3395" s="460">
        <v>6000</v>
      </c>
      <c r="D3395" s="460" t="s">
        <v>2264</v>
      </c>
      <c r="E3395" s="460" t="s">
        <v>2265</v>
      </c>
      <c r="F3395" s="460">
        <v>1</v>
      </c>
      <c r="G3395" s="460">
        <v>1</v>
      </c>
      <c r="H3395" s="461" t="s">
        <v>700</v>
      </c>
      <c r="I3395" s="461" t="s">
        <v>872</v>
      </c>
      <c r="J3395" s="461" t="s">
        <v>700</v>
      </c>
      <c r="K3395" s="594"/>
      <c r="L3395" s="594"/>
      <c r="M3395" s="352">
        <v>6000</v>
      </c>
      <c r="N3395" s="352" t="s">
        <v>871</v>
      </c>
      <c r="O3395" s="460">
        <v>5111</v>
      </c>
      <c r="P3395" s="460" t="s">
        <v>783</v>
      </c>
      <c r="Q3395" s="460" t="s">
        <v>2553</v>
      </c>
      <c r="R3395" s="460">
        <v>5111</v>
      </c>
      <c r="S3395" s="460" t="s">
        <v>2265</v>
      </c>
      <c r="T3395" s="462">
        <v>1</v>
      </c>
      <c r="U3395" s="460" t="s">
        <v>2265</v>
      </c>
      <c r="V3395" s="475">
        <v>0</v>
      </c>
      <c r="W3395" s="463" t="s">
        <v>2554</v>
      </c>
      <c r="X3395" s="463" t="s">
        <v>2554</v>
      </c>
      <c r="Y3395" s="463" t="s">
        <v>2268</v>
      </c>
      <c r="Z3395" s="463"/>
      <c r="AA3395" s="463"/>
      <c r="AB3395" s="464">
        <v>1395.809328382195</v>
      </c>
      <c r="AC3395" s="465">
        <v>1.6624711056155084E-2</v>
      </c>
      <c r="AD3395" s="465">
        <v>1.2943947339464974E-2</v>
      </c>
      <c r="AE3395" s="476">
        <v>348.95233209554874</v>
      </c>
      <c r="AF3395" s="467">
        <v>4.1561777640387711E-3</v>
      </c>
      <c r="AG3395" s="468">
        <v>3.4567111989511736E-3</v>
      </c>
      <c r="AH3395" s="218">
        <v>348.95233209554874</v>
      </c>
      <c r="AI3395" s="470">
        <v>4.1561777640387711E-3</v>
      </c>
      <c r="AJ3395" s="471">
        <v>3.3273788488356452E-3</v>
      </c>
      <c r="AK3395" s="218">
        <v>348.95233209554874</v>
      </c>
      <c r="AL3395" s="470">
        <v>4.1561777640387711E-3</v>
      </c>
      <c r="AM3395" s="471">
        <v>3.3273788488356452E-3</v>
      </c>
      <c r="AN3395" s="477">
        <v>0</v>
      </c>
      <c r="AO3395" s="473">
        <v>0</v>
      </c>
      <c r="AP3395" s="474">
        <v>0</v>
      </c>
      <c r="AQ3395" s="352"/>
      <c r="AR3395" s="352"/>
      <c r="AS3395" s="352"/>
      <c r="AT3395" s="352"/>
      <c r="AU3395" s="352"/>
      <c r="AV3395" s="352"/>
      <c r="AW3395" s="352" t="s">
        <v>254</v>
      </c>
    </row>
    <row r="3396" spans="2:49" x14ac:dyDescent="0.2">
      <c r="B3396" s="460" t="s">
        <v>3370</v>
      </c>
      <c r="C3396" s="460">
        <v>6000</v>
      </c>
      <c r="D3396" s="460" t="s">
        <v>2270</v>
      </c>
      <c r="E3396" s="460" t="s">
        <v>2271</v>
      </c>
      <c r="F3396" s="460">
        <v>2</v>
      </c>
      <c r="G3396" s="460">
        <v>1</v>
      </c>
      <c r="H3396" s="461" t="s">
        <v>700</v>
      </c>
      <c r="I3396" s="461" t="s">
        <v>872</v>
      </c>
      <c r="J3396" s="461" t="s">
        <v>700</v>
      </c>
      <c r="K3396" s="594"/>
      <c r="L3396" s="594"/>
      <c r="M3396" s="352">
        <v>6000</v>
      </c>
      <c r="N3396" s="352" t="s">
        <v>871</v>
      </c>
      <c r="O3396" s="460">
        <v>5111</v>
      </c>
      <c r="P3396" s="460" t="s">
        <v>783</v>
      </c>
      <c r="Q3396" s="460" t="s">
        <v>2553</v>
      </c>
      <c r="R3396" s="460">
        <v>5111</v>
      </c>
      <c r="S3396" s="460" t="s">
        <v>2265</v>
      </c>
      <c r="T3396" s="462">
        <v>1</v>
      </c>
      <c r="U3396" s="460" t="s">
        <v>2271</v>
      </c>
      <c r="V3396" s="475">
        <v>0</v>
      </c>
      <c r="W3396" s="463" t="s">
        <v>2554</v>
      </c>
      <c r="X3396" s="463" t="s">
        <v>2554</v>
      </c>
      <c r="Y3396" s="463" t="s">
        <v>2268</v>
      </c>
      <c r="Z3396" s="463"/>
      <c r="AA3396" s="463"/>
      <c r="AB3396" s="464">
        <v>1043.2951724941879</v>
      </c>
      <c r="AC3396" s="465">
        <v>1.453114033625001E-2</v>
      </c>
      <c r="AD3396" s="465">
        <v>1.2943947339464967E-2</v>
      </c>
      <c r="AE3396" s="476">
        <v>260.82379312354698</v>
      </c>
      <c r="AF3396" s="467">
        <v>3.6327850840625025E-3</v>
      </c>
      <c r="AG3396" s="468">
        <v>3.5067135433367851E-3</v>
      </c>
      <c r="AH3396" s="218">
        <v>298.40192145362914</v>
      </c>
      <c r="AI3396" s="470">
        <v>4.1561777640387711E-3</v>
      </c>
      <c r="AJ3396" s="471">
        <v>3.5230522886132679E-3</v>
      </c>
      <c r="AK3396" s="218">
        <v>298.40192145362914</v>
      </c>
      <c r="AL3396" s="470">
        <v>4.1561777640387711E-3</v>
      </c>
      <c r="AM3396" s="471">
        <v>3.5230522886132679E-3</v>
      </c>
      <c r="AN3396" s="477">
        <v>0</v>
      </c>
      <c r="AO3396" s="473">
        <v>0</v>
      </c>
      <c r="AP3396" s="474">
        <v>0</v>
      </c>
      <c r="AQ3396" s="352"/>
      <c r="AR3396" s="352"/>
      <c r="AS3396" s="352"/>
      <c r="AT3396" s="352"/>
      <c r="AU3396" s="352"/>
      <c r="AV3396" s="352"/>
      <c r="AW3396" s="352" t="s">
        <v>254</v>
      </c>
    </row>
    <row r="3397" spans="2:49" x14ac:dyDescent="0.2">
      <c r="B3397" s="460" t="s">
        <v>3371</v>
      </c>
      <c r="C3397" s="460">
        <v>6000</v>
      </c>
      <c r="D3397" s="460" t="s">
        <v>2273</v>
      </c>
      <c r="E3397" s="460" t="s">
        <v>2274</v>
      </c>
      <c r="F3397" s="460">
        <v>3</v>
      </c>
      <c r="G3397" s="460">
        <v>1</v>
      </c>
      <c r="H3397" s="461" t="s">
        <v>700</v>
      </c>
      <c r="I3397" s="461" t="s">
        <v>872</v>
      </c>
      <c r="J3397" s="461" t="s">
        <v>700</v>
      </c>
      <c r="K3397" s="594"/>
      <c r="L3397" s="594"/>
      <c r="M3397" s="352">
        <v>6000</v>
      </c>
      <c r="N3397" s="352" t="s">
        <v>871</v>
      </c>
      <c r="O3397" s="460">
        <v>5111</v>
      </c>
      <c r="P3397" s="460" t="s">
        <v>783</v>
      </c>
      <c r="Q3397" s="460" t="s">
        <v>2553</v>
      </c>
      <c r="R3397" s="460">
        <v>5111</v>
      </c>
      <c r="S3397" s="460" t="s">
        <v>2265</v>
      </c>
      <c r="T3397" s="462">
        <v>0.74223365950407583</v>
      </c>
      <c r="U3397" s="460" t="s">
        <v>2274</v>
      </c>
      <c r="V3397" s="475">
        <v>0</v>
      </c>
      <c r="W3397" s="463" t="s">
        <v>2554</v>
      </c>
      <c r="X3397" s="463" t="s">
        <v>2554</v>
      </c>
      <c r="Y3397" s="463" t="s">
        <v>2268</v>
      </c>
      <c r="Z3397" s="463"/>
      <c r="AA3397" s="463"/>
      <c r="AB3397" s="464">
        <v>261.65428392935343</v>
      </c>
      <c r="AC3397" s="465">
        <v>6.6569711363975419E-3</v>
      </c>
      <c r="AD3397" s="465">
        <v>1.2943947339464966E-2</v>
      </c>
      <c r="AE3397" s="476">
        <v>65.413570982338356</v>
      </c>
      <c r="AF3397" s="467">
        <v>1.6642427840993855E-3</v>
      </c>
      <c r="AG3397" s="468">
        <v>3.5051369637983747E-3</v>
      </c>
      <c r="AH3397" s="218">
        <v>121.25116929544983</v>
      </c>
      <c r="AI3397" s="470">
        <v>3.0848550313519645E-3</v>
      </c>
      <c r="AJ3397" s="471">
        <v>4.7050406841322731E-3</v>
      </c>
      <c r="AK3397" s="218">
        <v>121.25116929544983</v>
      </c>
      <c r="AL3397" s="470">
        <v>3.0848550313519645E-3</v>
      </c>
      <c r="AM3397" s="471">
        <v>4.7050406841322731E-3</v>
      </c>
      <c r="AN3397" s="477">
        <v>0</v>
      </c>
      <c r="AO3397" s="473">
        <v>0</v>
      </c>
      <c r="AP3397" s="474">
        <v>0</v>
      </c>
      <c r="AQ3397" s="352"/>
      <c r="AR3397" s="352"/>
      <c r="AS3397" s="352"/>
      <c r="AT3397" s="352"/>
      <c r="AU3397" s="352"/>
      <c r="AV3397" s="352"/>
      <c r="AW3397" s="352" t="s">
        <v>254</v>
      </c>
    </row>
    <row r="3398" spans="2:49" x14ac:dyDescent="0.2">
      <c r="B3398" s="460" t="s">
        <v>3372</v>
      </c>
      <c r="C3398" s="460">
        <v>6000</v>
      </c>
      <c r="D3398" s="460" t="s">
        <v>2276</v>
      </c>
      <c r="E3398" s="460" t="s">
        <v>2277</v>
      </c>
      <c r="F3398" s="460">
        <v>4</v>
      </c>
      <c r="G3398" s="460">
        <v>1</v>
      </c>
      <c r="H3398" s="461" t="s">
        <v>700</v>
      </c>
      <c r="I3398" s="461" t="s">
        <v>872</v>
      </c>
      <c r="J3398" s="461" t="s">
        <v>700</v>
      </c>
      <c r="K3398" s="594"/>
      <c r="L3398" s="594"/>
      <c r="M3398" s="352">
        <v>6000</v>
      </c>
      <c r="N3398" s="352" t="s">
        <v>871</v>
      </c>
      <c r="O3398" s="460">
        <v>5111</v>
      </c>
      <c r="P3398" s="460" t="s">
        <v>783</v>
      </c>
      <c r="Q3398" s="460" t="s">
        <v>2553</v>
      </c>
      <c r="R3398" s="460">
        <v>5111</v>
      </c>
      <c r="S3398" s="460" t="s">
        <v>2277</v>
      </c>
      <c r="T3398" s="462">
        <v>1</v>
      </c>
      <c r="U3398" s="460" t="s">
        <v>2277</v>
      </c>
      <c r="V3398" s="475">
        <v>0</v>
      </c>
      <c r="W3398" s="463" t="s">
        <v>2554</v>
      </c>
      <c r="X3398" s="463" t="s">
        <v>2554</v>
      </c>
      <c r="Y3398" s="463" t="s">
        <v>2268</v>
      </c>
      <c r="Z3398" s="463"/>
      <c r="AA3398" s="463"/>
      <c r="AB3398" s="464">
        <v>3.206956097885608</v>
      </c>
      <c r="AC3398" s="465">
        <v>7.2098701858212201E-5</v>
      </c>
      <c r="AD3398" s="465">
        <v>1.2943947339464973E-2</v>
      </c>
      <c r="AE3398" s="476">
        <v>0.801739024471402</v>
      </c>
      <c r="AF3398" s="467">
        <v>1.802467546455305E-5</v>
      </c>
      <c r="AG3398" s="468">
        <v>3.6176627038803371E-3</v>
      </c>
      <c r="AH3398" s="218">
        <v>0.801739024471402</v>
      </c>
      <c r="AI3398" s="470">
        <v>1.802467546455305E-5</v>
      </c>
      <c r="AJ3398" s="471">
        <v>3.4673731064794508E-3</v>
      </c>
      <c r="AK3398" s="218">
        <v>0.801739024471402</v>
      </c>
      <c r="AL3398" s="470">
        <v>1.802467546455305E-5</v>
      </c>
      <c r="AM3398" s="471">
        <v>3.4673731064794508E-3</v>
      </c>
      <c r="AN3398" s="477">
        <v>0</v>
      </c>
      <c r="AO3398" s="473">
        <v>0</v>
      </c>
      <c r="AP3398" s="474">
        <v>0</v>
      </c>
      <c r="AQ3398" s="352"/>
      <c r="AR3398" s="352"/>
      <c r="AS3398" s="352"/>
      <c r="AT3398" s="352"/>
      <c r="AU3398" s="352"/>
      <c r="AV3398" s="352"/>
      <c r="AW3398" s="352" t="s">
        <v>254</v>
      </c>
    </row>
    <row r="3399" spans="2:49" x14ac:dyDescent="0.2">
      <c r="B3399" s="460" t="s">
        <v>3369</v>
      </c>
      <c r="C3399" s="460">
        <v>6000</v>
      </c>
      <c r="D3399" s="460" t="s">
        <v>2279</v>
      </c>
      <c r="E3399" s="460" t="s">
        <v>2265</v>
      </c>
      <c r="F3399" s="460">
        <v>1</v>
      </c>
      <c r="G3399" s="460">
        <v>1</v>
      </c>
      <c r="H3399" s="461" t="s">
        <v>712</v>
      </c>
      <c r="I3399" s="461" t="s">
        <v>713</v>
      </c>
      <c r="J3399" s="461" t="s">
        <v>712</v>
      </c>
      <c r="K3399" s="594"/>
      <c r="L3399" s="594"/>
      <c r="M3399" s="352">
        <v>6000</v>
      </c>
      <c r="N3399" s="352" t="s">
        <v>871</v>
      </c>
      <c r="O3399" s="460">
        <v>5111</v>
      </c>
      <c r="P3399" s="460" t="s">
        <v>783</v>
      </c>
      <c r="Q3399" s="460" t="s">
        <v>2280</v>
      </c>
      <c r="R3399" s="460">
        <v>5111</v>
      </c>
      <c r="S3399" s="460" t="s">
        <v>2265</v>
      </c>
      <c r="T3399" s="462">
        <v>1</v>
      </c>
      <c r="U3399" s="460" t="s">
        <v>2265</v>
      </c>
      <c r="V3399" s="475">
        <v>0</v>
      </c>
      <c r="W3399" s="463" t="s">
        <v>713</v>
      </c>
      <c r="X3399" s="463" t="s">
        <v>713</v>
      </c>
      <c r="Y3399" s="463" t="s">
        <v>713</v>
      </c>
      <c r="Z3399" s="463"/>
      <c r="AA3399" s="463"/>
      <c r="AB3399" s="464">
        <v>69397.049187828889</v>
      </c>
      <c r="AC3399" s="465">
        <v>0.82654977828141718</v>
      </c>
      <c r="AD3399" s="465">
        <v>0.25636470110223603</v>
      </c>
      <c r="AE3399" s="476">
        <v>70443.906184115534</v>
      </c>
      <c r="AF3399" s="467">
        <v>0.83901831157353346</v>
      </c>
      <c r="AG3399" s="468">
        <v>0.25377668599798586</v>
      </c>
      <c r="AH3399" s="218">
        <v>70443.906184115534</v>
      </c>
      <c r="AI3399" s="470">
        <v>0.83901831157353346</v>
      </c>
      <c r="AJ3399" s="471">
        <v>0.25741542397551065</v>
      </c>
      <c r="AK3399" s="218">
        <v>70443.906184115534</v>
      </c>
      <c r="AL3399" s="470">
        <v>0.83901831157353346</v>
      </c>
      <c r="AM3399" s="471">
        <v>0.25741542397551065</v>
      </c>
      <c r="AN3399" s="477">
        <v>70443.906184115534</v>
      </c>
      <c r="AO3399" s="473">
        <v>0.83901831157353346</v>
      </c>
      <c r="AP3399" s="474">
        <v>0.25733154770641531</v>
      </c>
      <c r="AQ3399" s="352"/>
      <c r="AR3399" s="352"/>
      <c r="AS3399" s="352"/>
      <c r="AT3399" s="352"/>
      <c r="AU3399" s="352"/>
      <c r="AV3399" s="352"/>
      <c r="AW3399" s="352" t="s">
        <v>254</v>
      </c>
    </row>
    <row r="3400" spans="2:49" x14ac:dyDescent="0.2">
      <c r="B3400" s="460" t="s">
        <v>3370</v>
      </c>
      <c r="C3400" s="460">
        <v>6000</v>
      </c>
      <c r="D3400" s="460" t="s">
        <v>2281</v>
      </c>
      <c r="E3400" s="460" t="s">
        <v>2271</v>
      </c>
      <c r="F3400" s="460">
        <v>2</v>
      </c>
      <c r="G3400" s="460">
        <v>1</v>
      </c>
      <c r="H3400" s="461" t="s">
        <v>712</v>
      </c>
      <c r="I3400" s="461" t="s">
        <v>713</v>
      </c>
      <c r="J3400" s="461" t="s">
        <v>712</v>
      </c>
      <c r="K3400" s="594"/>
      <c r="L3400" s="594"/>
      <c r="M3400" s="352">
        <v>6000</v>
      </c>
      <c r="N3400" s="352" t="s">
        <v>871</v>
      </c>
      <c r="O3400" s="460">
        <v>5111</v>
      </c>
      <c r="P3400" s="460" t="s">
        <v>783</v>
      </c>
      <c r="Q3400" s="460" t="s">
        <v>2280</v>
      </c>
      <c r="R3400" s="460">
        <v>5111</v>
      </c>
      <c r="S3400" s="460" t="s">
        <v>2265</v>
      </c>
      <c r="T3400" s="462">
        <v>1</v>
      </c>
      <c r="U3400" s="460" t="s">
        <v>2271</v>
      </c>
      <c r="V3400" s="475">
        <v>0</v>
      </c>
      <c r="W3400" s="463" t="s">
        <v>713</v>
      </c>
      <c r="X3400" s="463" t="s">
        <v>713</v>
      </c>
      <c r="Y3400" s="463" t="s">
        <v>713</v>
      </c>
      <c r="Z3400" s="463"/>
      <c r="AA3400" s="463"/>
      <c r="AB3400" s="464">
        <v>67083.058172491874</v>
      </c>
      <c r="AC3400" s="465">
        <v>0.93434088280010041</v>
      </c>
      <c r="AD3400" s="465">
        <v>0.28013352450385026</v>
      </c>
      <c r="AE3400" s="476">
        <v>67865.529551862521</v>
      </c>
      <c r="AF3400" s="467">
        <v>0.94523923805228793</v>
      </c>
      <c r="AG3400" s="468">
        <v>0.27622338523048506</v>
      </c>
      <c r="AH3400" s="218">
        <v>67827.951423532431</v>
      </c>
      <c r="AI3400" s="470">
        <v>0.94471584537231157</v>
      </c>
      <c r="AJ3400" s="471">
        <v>0.29139874774271973</v>
      </c>
      <c r="AK3400" s="218">
        <v>67827.951423532431</v>
      </c>
      <c r="AL3400" s="470">
        <v>0.94471584537231157</v>
      </c>
      <c r="AM3400" s="471">
        <v>0.29139874774271973</v>
      </c>
      <c r="AN3400" s="477">
        <v>67827.951423532431</v>
      </c>
      <c r="AO3400" s="473">
        <v>0.94471584537231157</v>
      </c>
      <c r="AP3400" s="474">
        <v>0.29129642808309503</v>
      </c>
      <c r="AQ3400" s="352"/>
      <c r="AR3400" s="352"/>
      <c r="AS3400" s="352"/>
      <c r="AT3400" s="352"/>
      <c r="AU3400" s="352"/>
      <c r="AV3400" s="352"/>
      <c r="AW3400" s="352" t="s">
        <v>254</v>
      </c>
    </row>
    <row r="3401" spans="2:49" x14ac:dyDescent="0.2">
      <c r="B3401" s="460" t="s">
        <v>3371</v>
      </c>
      <c r="C3401" s="460">
        <v>6000</v>
      </c>
      <c r="D3401" s="460" t="s">
        <v>2282</v>
      </c>
      <c r="E3401" s="460" t="s">
        <v>2274</v>
      </c>
      <c r="F3401" s="460">
        <v>3</v>
      </c>
      <c r="G3401" s="460">
        <v>1</v>
      </c>
      <c r="H3401" s="461" t="s">
        <v>712</v>
      </c>
      <c r="I3401" s="461" t="s">
        <v>713</v>
      </c>
      <c r="J3401" s="461" t="s">
        <v>712</v>
      </c>
      <c r="K3401" s="594"/>
      <c r="L3401" s="594"/>
      <c r="M3401" s="352">
        <v>6000</v>
      </c>
      <c r="N3401" s="352" t="s">
        <v>871</v>
      </c>
      <c r="O3401" s="460">
        <v>5111</v>
      </c>
      <c r="P3401" s="460" t="s">
        <v>783</v>
      </c>
      <c r="Q3401" s="460" t="s">
        <v>2280</v>
      </c>
      <c r="R3401" s="460">
        <v>5111</v>
      </c>
      <c r="S3401" s="460" t="s">
        <v>2265</v>
      </c>
      <c r="T3401" s="462">
        <v>0.74223365950407583</v>
      </c>
      <c r="U3401" s="460" t="s">
        <v>2274</v>
      </c>
      <c r="V3401" s="475">
        <v>0</v>
      </c>
      <c r="W3401" s="463" t="s">
        <v>713</v>
      </c>
      <c r="X3401" s="463" t="s">
        <v>713</v>
      </c>
      <c r="Y3401" s="463" t="s">
        <v>713</v>
      </c>
      <c r="Z3401" s="463"/>
      <c r="AA3401" s="463"/>
      <c r="AB3401" s="464">
        <v>38970.367044585852</v>
      </c>
      <c r="AC3401" s="465">
        <v>0.99147854449297135</v>
      </c>
      <c r="AD3401" s="465">
        <v>0.23324592645429684</v>
      </c>
      <c r="AE3401" s="476">
        <v>39166.60775753286</v>
      </c>
      <c r="AF3401" s="467">
        <v>0.99647127284526937</v>
      </c>
      <c r="AG3401" s="468">
        <v>0.2322626761678093</v>
      </c>
      <c r="AH3401" s="218">
        <v>39110.770159219755</v>
      </c>
      <c r="AI3401" s="470">
        <v>0.99505066059801683</v>
      </c>
      <c r="AJ3401" s="471">
        <v>0.24577875668902341</v>
      </c>
      <c r="AK3401" s="218">
        <v>39110.770159219755</v>
      </c>
      <c r="AL3401" s="470">
        <v>0.99505066059801683</v>
      </c>
      <c r="AM3401" s="471">
        <v>0.24577875668902341</v>
      </c>
      <c r="AN3401" s="477">
        <v>39110.770159219755</v>
      </c>
      <c r="AO3401" s="473">
        <v>0.99505066059801683</v>
      </c>
      <c r="AP3401" s="474">
        <v>0.24755180386755862</v>
      </c>
      <c r="AQ3401" s="352"/>
      <c r="AR3401" s="352"/>
      <c r="AS3401" s="352"/>
      <c r="AT3401" s="352"/>
      <c r="AU3401" s="352"/>
      <c r="AV3401" s="352"/>
      <c r="AW3401" s="352" t="s">
        <v>254</v>
      </c>
    </row>
    <row r="3402" spans="2:49" x14ac:dyDescent="0.2">
      <c r="B3402" s="460" t="s">
        <v>3372</v>
      </c>
      <c r="C3402" s="460">
        <v>6000</v>
      </c>
      <c r="D3402" s="460" t="s">
        <v>2283</v>
      </c>
      <c r="E3402" s="460" t="s">
        <v>2277</v>
      </c>
      <c r="F3402" s="460">
        <v>4</v>
      </c>
      <c r="G3402" s="460">
        <v>1</v>
      </c>
      <c r="H3402" s="461" t="s">
        <v>712</v>
      </c>
      <c r="I3402" s="461" t="s">
        <v>713</v>
      </c>
      <c r="J3402" s="461" t="s">
        <v>712</v>
      </c>
      <c r="K3402" s="594"/>
      <c r="L3402" s="594"/>
      <c r="M3402" s="352">
        <v>6000</v>
      </c>
      <c r="N3402" s="352" t="s">
        <v>871</v>
      </c>
      <c r="O3402" s="460">
        <v>5111</v>
      </c>
      <c r="P3402" s="460" t="s">
        <v>783</v>
      </c>
      <c r="Q3402" s="460" t="s">
        <v>2280</v>
      </c>
      <c r="R3402" s="460">
        <v>5111</v>
      </c>
      <c r="S3402" s="460" t="s">
        <v>2277</v>
      </c>
      <c r="T3402" s="462">
        <v>1</v>
      </c>
      <c r="U3402" s="460" t="s">
        <v>2277</v>
      </c>
      <c r="V3402" s="475">
        <v>0</v>
      </c>
      <c r="W3402" s="463" t="s">
        <v>713</v>
      </c>
      <c r="X3402" s="463" t="s">
        <v>713</v>
      </c>
      <c r="Y3402" s="463" t="s">
        <v>713</v>
      </c>
      <c r="Z3402" s="463"/>
      <c r="AA3402" s="463"/>
      <c r="AB3402" s="464">
        <v>44476.874033326043</v>
      </c>
      <c r="AC3402" s="465">
        <v>0.9999279012981418</v>
      </c>
      <c r="AD3402" s="465">
        <v>0.23098063225537044</v>
      </c>
      <c r="AE3402" s="476">
        <v>44479.279250399457</v>
      </c>
      <c r="AF3402" s="467">
        <v>0.99998197532453548</v>
      </c>
      <c r="AG3402" s="468">
        <v>0.23096177055418968</v>
      </c>
      <c r="AH3402" s="218">
        <v>44479.279250399457</v>
      </c>
      <c r="AI3402" s="470">
        <v>0.99998197532453548</v>
      </c>
      <c r="AJ3402" s="471">
        <v>0.23097329121570961</v>
      </c>
      <c r="AK3402" s="218">
        <v>44479.279250399457</v>
      </c>
      <c r="AL3402" s="470">
        <v>0.99998197532453548</v>
      </c>
      <c r="AM3402" s="471">
        <v>0.23097329121570961</v>
      </c>
      <c r="AN3402" s="477">
        <v>44479.279250399457</v>
      </c>
      <c r="AO3402" s="473">
        <v>0.99998197532453548</v>
      </c>
      <c r="AP3402" s="474">
        <v>0.23097444294416122</v>
      </c>
      <c r="AQ3402" s="352"/>
      <c r="AR3402" s="352"/>
      <c r="AS3402" s="352"/>
      <c r="AT3402" s="352"/>
      <c r="AU3402" s="352"/>
      <c r="AV3402" s="352"/>
      <c r="AW3402" s="352" t="s">
        <v>254</v>
      </c>
    </row>
    <row r="3403" spans="2:49" x14ac:dyDescent="0.2">
      <c r="B3403" s="460" t="s">
        <v>3369</v>
      </c>
      <c r="C3403" s="460">
        <v>6000</v>
      </c>
      <c r="D3403" s="460" t="s">
        <v>3373</v>
      </c>
      <c r="E3403" s="460" t="s">
        <v>2265</v>
      </c>
      <c r="F3403" s="460">
        <v>1</v>
      </c>
      <c r="G3403" s="460">
        <v>1</v>
      </c>
      <c r="H3403" s="461" t="s">
        <v>719</v>
      </c>
      <c r="I3403" s="461" t="s">
        <v>720</v>
      </c>
      <c r="J3403" s="461" t="s">
        <v>719</v>
      </c>
      <c r="K3403" s="594"/>
      <c r="L3403" s="594"/>
      <c r="M3403" s="352">
        <v>6000</v>
      </c>
      <c r="N3403" s="352" t="s">
        <v>871</v>
      </c>
      <c r="O3403" s="460">
        <v>5111</v>
      </c>
      <c r="P3403" s="460" t="s">
        <v>783</v>
      </c>
      <c r="Q3403" s="460" t="s">
        <v>3374</v>
      </c>
      <c r="R3403" s="460">
        <v>5111</v>
      </c>
      <c r="S3403" s="460" t="s">
        <v>2265</v>
      </c>
      <c r="T3403" s="462">
        <v>1</v>
      </c>
      <c r="U3403" s="460" t="s">
        <v>2265</v>
      </c>
      <c r="V3403" s="475">
        <v>0</v>
      </c>
      <c r="W3403" s="463" t="s">
        <v>2278</v>
      </c>
      <c r="X3403" s="463" t="s">
        <v>2278</v>
      </c>
      <c r="Y3403" s="463" t="s">
        <v>2278</v>
      </c>
      <c r="Z3403" s="463"/>
      <c r="AA3403" s="463"/>
      <c r="AB3403" s="464">
        <v>13167.056556443045</v>
      </c>
      <c r="AC3403" s="465">
        <v>0.15682551066242773</v>
      </c>
      <c r="AD3403" s="465">
        <v>9.0944439260751644E-2</v>
      </c>
      <c r="AE3403" s="476">
        <v>13167.056556443045</v>
      </c>
      <c r="AF3403" s="467">
        <v>0.15682551066242773</v>
      </c>
      <c r="AG3403" s="468">
        <v>9.0944439260751644E-2</v>
      </c>
      <c r="AH3403" s="218">
        <v>13167.056556443045</v>
      </c>
      <c r="AI3403" s="470">
        <v>0.15682551066242773</v>
      </c>
      <c r="AJ3403" s="471">
        <v>9.0944439260751644E-2</v>
      </c>
      <c r="AK3403" s="218">
        <v>13167.056556443045</v>
      </c>
      <c r="AL3403" s="470">
        <v>0.15682551066242773</v>
      </c>
      <c r="AM3403" s="471">
        <v>9.0944439260751644E-2</v>
      </c>
      <c r="AN3403" s="477">
        <v>13167.056556443045</v>
      </c>
      <c r="AO3403" s="473">
        <v>0.15682551066242773</v>
      </c>
      <c r="AP3403" s="474">
        <v>9.0944439260751644E-2</v>
      </c>
      <c r="AQ3403" s="352"/>
      <c r="AR3403" s="352"/>
      <c r="AS3403" s="352"/>
      <c r="AT3403" s="352"/>
      <c r="AU3403" s="352"/>
      <c r="AV3403" s="352"/>
      <c r="AW3403" s="352" t="s">
        <v>254</v>
      </c>
    </row>
    <row r="3404" spans="2:49" x14ac:dyDescent="0.2">
      <c r="B3404" s="460" t="s">
        <v>3370</v>
      </c>
      <c r="C3404" s="460">
        <v>6000</v>
      </c>
      <c r="D3404" s="460" t="s">
        <v>3375</v>
      </c>
      <c r="E3404" s="460" t="s">
        <v>2271</v>
      </c>
      <c r="F3404" s="460">
        <v>2</v>
      </c>
      <c r="G3404" s="460">
        <v>1</v>
      </c>
      <c r="H3404" s="461" t="s">
        <v>719</v>
      </c>
      <c r="I3404" s="461" t="s">
        <v>720</v>
      </c>
      <c r="J3404" s="461" t="s">
        <v>719</v>
      </c>
      <c r="K3404" s="594"/>
      <c r="L3404" s="594"/>
      <c r="M3404" s="352">
        <v>6000</v>
      </c>
      <c r="N3404" s="352" t="s">
        <v>871</v>
      </c>
      <c r="O3404" s="460">
        <v>5111</v>
      </c>
      <c r="P3404" s="460" t="s">
        <v>783</v>
      </c>
      <c r="Q3404" s="460" t="s">
        <v>3374</v>
      </c>
      <c r="R3404" s="460">
        <v>5111</v>
      </c>
      <c r="S3404" s="460" t="s">
        <v>2265</v>
      </c>
      <c r="T3404" s="462">
        <v>1</v>
      </c>
      <c r="U3404" s="460" t="s">
        <v>2271</v>
      </c>
      <c r="V3404" s="475">
        <v>0</v>
      </c>
      <c r="W3404" s="463" t="s">
        <v>2278</v>
      </c>
      <c r="X3404" s="463" t="s">
        <v>2278</v>
      </c>
      <c r="Y3404" s="463" t="s">
        <v>2278</v>
      </c>
      <c r="Z3404" s="463"/>
      <c r="AA3404" s="463"/>
      <c r="AB3404" s="464">
        <v>3670.8455225755392</v>
      </c>
      <c r="AC3404" s="465">
        <v>5.1127976863649609E-2</v>
      </c>
      <c r="AD3404" s="465">
        <v>3.2144402912160641E-2</v>
      </c>
      <c r="AE3404" s="476">
        <v>3670.8455225755392</v>
      </c>
      <c r="AF3404" s="467">
        <v>5.1127976863649609E-2</v>
      </c>
      <c r="AG3404" s="468">
        <v>3.2144402912160641E-2</v>
      </c>
      <c r="AH3404" s="218">
        <v>3670.8455225755392</v>
      </c>
      <c r="AI3404" s="470">
        <v>5.1127976863649609E-2</v>
      </c>
      <c r="AJ3404" s="471">
        <v>3.2144402912160641E-2</v>
      </c>
      <c r="AK3404" s="218">
        <v>3670.8455225755392</v>
      </c>
      <c r="AL3404" s="470">
        <v>5.1127976863649609E-2</v>
      </c>
      <c r="AM3404" s="471">
        <v>3.2144402912160641E-2</v>
      </c>
      <c r="AN3404" s="477">
        <v>3670.8455225755392</v>
      </c>
      <c r="AO3404" s="473">
        <v>5.1127976863649609E-2</v>
      </c>
      <c r="AP3404" s="474">
        <v>3.2144402912160641E-2</v>
      </c>
      <c r="AQ3404" s="352"/>
      <c r="AR3404" s="352"/>
      <c r="AS3404" s="352"/>
      <c r="AT3404" s="352"/>
      <c r="AU3404" s="352"/>
      <c r="AV3404" s="352"/>
      <c r="AW3404" s="352" t="s">
        <v>254</v>
      </c>
    </row>
    <row r="3405" spans="2:49" x14ac:dyDescent="0.2">
      <c r="B3405" s="460" t="s">
        <v>3371</v>
      </c>
      <c r="C3405" s="460">
        <v>6000</v>
      </c>
      <c r="D3405" s="460" t="s">
        <v>3376</v>
      </c>
      <c r="E3405" s="460" t="s">
        <v>2274</v>
      </c>
      <c r="F3405" s="460">
        <v>3</v>
      </c>
      <c r="G3405" s="460">
        <v>1</v>
      </c>
      <c r="H3405" s="461" t="s">
        <v>719</v>
      </c>
      <c r="I3405" s="461" t="s">
        <v>720</v>
      </c>
      <c r="J3405" s="461" t="s">
        <v>719</v>
      </c>
      <c r="K3405" s="594"/>
      <c r="L3405" s="594"/>
      <c r="M3405" s="352">
        <v>6000</v>
      </c>
      <c r="N3405" s="352" t="s">
        <v>871</v>
      </c>
      <c r="O3405" s="460">
        <v>5111</v>
      </c>
      <c r="P3405" s="460" t="s">
        <v>783</v>
      </c>
      <c r="Q3405" s="460" t="s">
        <v>3374</v>
      </c>
      <c r="R3405" s="460">
        <v>5111</v>
      </c>
      <c r="S3405" s="460" t="s">
        <v>2265</v>
      </c>
      <c r="T3405" s="462">
        <v>0.74223365950407583</v>
      </c>
      <c r="U3405" s="460" t="s">
        <v>2274</v>
      </c>
      <c r="V3405" s="475">
        <v>0</v>
      </c>
      <c r="W3405" s="463" t="s">
        <v>2278</v>
      </c>
      <c r="X3405" s="463" t="s">
        <v>2278</v>
      </c>
      <c r="Y3405" s="463" t="s">
        <v>2278</v>
      </c>
      <c r="Z3405" s="463"/>
      <c r="AA3405" s="463"/>
      <c r="AB3405" s="464">
        <v>73.284127706009627</v>
      </c>
      <c r="AC3405" s="465">
        <v>1.8644843706311987E-3</v>
      </c>
      <c r="AD3405" s="465">
        <v>4.9792173694002554E-3</v>
      </c>
      <c r="AE3405" s="476">
        <v>73.284127706009627</v>
      </c>
      <c r="AF3405" s="467">
        <v>1.8644843706311987E-3</v>
      </c>
      <c r="AG3405" s="468">
        <v>4.9792173694002545E-3</v>
      </c>
      <c r="AH3405" s="218">
        <v>73.284127706009627</v>
      </c>
      <c r="AI3405" s="470">
        <v>1.8644843706311987E-3</v>
      </c>
      <c r="AJ3405" s="471">
        <v>4.9792173694002545E-3</v>
      </c>
      <c r="AK3405" s="218">
        <v>73.284127706009627</v>
      </c>
      <c r="AL3405" s="470">
        <v>1.8644843706311987E-3</v>
      </c>
      <c r="AM3405" s="471">
        <v>4.9792173694002545E-3</v>
      </c>
      <c r="AN3405" s="477">
        <v>73.284127706009627</v>
      </c>
      <c r="AO3405" s="473">
        <v>1.8644843706311987E-3</v>
      </c>
      <c r="AP3405" s="474">
        <v>4.9792173694002545E-3</v>
      </c>
      <c r="AQ3405" s="352"/>
      <c r="AR3405" s="352"/>
      <c r="AS3405" s="352"/>
      <c r="AT3405" s="352"/>
      <c r="AU3405" s="352"/>
      <c r="AV3405" s="352"/>
      <c r="AW3405" s="352" t="s">
        <v>254</v>
      </c>
    </row>
    <row r="3406" spans="2:49" x14ac:dyDescent="0.2">
      <c r="B3406" s="460" t="s">
        <v>3372</v>
      </c>
      <c r="C3406" s="460">
        <v>6000</v>
      </c>
      <c r="D3406" s="460" t="s">
        <v>3377</v>
      </c>
      <c r="E3406" s="460" t="s">
        <v>2277</v>
      </c>
      <c r="F3406" s="460">
        <v>4</v>
      </c>
      <c r="G3406" s="460">
        <v>1</v>
      </c>
      <c r="H3406" s="461" t="s">
        <v>719</v>
      </c>
      <c r="I3406" s="461" t="s">
        <v>720</v>
      </c>
      <c r="J3406" s="461" t="s">
        <v>719</v>
      </c>
      <c r="K3406" s="594"/>
      <c r="L3406" s="594"/>
      <c r="M3406" s="352">
        <v>6000</v>
      </c>
      <c r="N3406" s="352" t="s">
        <v>871</v>
      </c>
      <c r="O3406" s="460">
        <v>5111</v>
      </c>
      <c r="P3406" s="460" t="s">
        <v>783</v>
      </c>
      <c r="Q3406" s="460" t="s">
        <v>3374</v>
      </c>
      <c r="R3406" s="460">
        <v>5111</v>
      </c>
      <c r="S3406" s="460" t="s">
        <v>2277</v>
      </c>
      <c r="T3406" s="462">
        <v>1</v>
      </c>
      <c r="U3406" s="460" t="s">
        <v>2277</v>
      </c>
      <c r="V3406" s="475">
        <v>0</v>
      </c>
      <c r="W3406" s="463" t="s">
        <v>2278</v>
      </c>
      <c r="X3406" s="463" t="s">
        <v>2278</v>
      </c>
      <c r="Y3406" s="463" t="s">
        <v>2278</v>
      </c>
      <c r="Z3406" s="463"/>
      <c r="AA3406" s="463"/>
      <c r="AB3406" s="464">
        <v>0</v>
      </c>
      <c r="AC3406" s="465">
        <v>0</v>
      </c>
      <c r="AD3406" s="465">
        <v>0</v>
      </c>
      <c r="AE3406" s="476">
        <v>0</v>
      </c>
      <c r="AF3406" s="467">
        <v>0</v>
      </c>
      <c r="AG3406" s="468">
        <v>0</v>
      </c>
      <c r="AH3406" s="218">
        <v>0</v>
      </c>
      <c r="AI3406" s="470">
        <v>0</v>
      </c>
      <c r="AJ3406" s="471">
        <v>0</v>
      </c>
      <c r="AK3406" s="218">
        <v>0</v>
      </c>
      <c r="AL3406" s="470">
        <v>0</v>
      </c>
      <c r="AM3406" s="471">
        <v>0</v>
      </c>
      <c r="AN3406" s="477">
        <v>0</v>
      </c>
      <c r="AO3406" s="473">
        <v>0</v>
      </c>
      <c r="AP3406" s="474">
        <v>0</v>
      </c>
      <c r="AQ3406" s="352"/>
      <c r="AR3406" s="352"/>
      <c r="AS3406" s="352"/>
      <c r="AT3406" s="352"/>
      <c r="AU3406" s="352"/>
      <c r="AV3406" s="352"/>
      <c r="AW3406" s="352" t="s">
        <v>254</v>
      </c>
    </row>
    <row r="3407" spans="2:49" x14ac:dyDescent="0.2">
      <c r="B3407" s="460" t="s">
        <v>3369</v>
      </c>
      <c r="C3407" s="460">
        <v>6000</v>
      </c>
      <c r="D3407" s="460" t="s">
        <v>2284</v>
      </c>
      <c r="E3407" s="460" t="s">
        <v>2265</v>
      </c>
      <c r="F3407" s="460">
        <v>1</v>
      </c>
      <c r="G3407" s="460">
        <v>1</v>
      </c>
      <c r="H3407" s="461" t="s">
        <v>746</v>
      </c>
      <c r="I3407" s="461" t="s">
        <v>762</v>
      </c>
      <c r="J3407" s="461" t="s">
        <v>700</v>
      </c>
      <c r="K3407" s="594"/>
      <c r="L3407" s="594"/>
      <c r="M3407" s="352">
        <v>6000</v>
      </c>
      <c r="N3407" s="352" t="s">
        <v>871</v>
      </c>
      <c r="O3407" s="460">
        <v>5111</v>
      </c>
      <c r="P3407" s="460" t="s">
        <v>783</v>
      </c>
      <c r="Q3407" s="460" t="s">
        <v>2553</v>
      </c>
      <c r="R3407" s="460">
        <v>5111</v>
      </c>
      <c r="S3407" s="460" t="s">
        <v>2265</v>
      </c>
      <c r="T3407" s="462">
        <v>1</v>
      </c>
      <c r="U3407" s="460" t="s">
        <v>2265</v>
      </c>
      <c r="V3407" s="475">
        <v>0</v>
      </c>
      <c r="W3407" s="463" t="s">
        <v>2268</v>
      </c>
      <c r="X3407" s="463" t="s">
        <v>2268</v>
      </c>
      <c r="Y3407" s="463" t="s">
        <v>2554</v>
      </c>
      <c r="Z3407" s="463"/>
      <c r="AA3407" s="463"/>
      <c r="AB3407" s="464">
        <v>0</v>
      </c>
      <c r="AC3407" s="465">
        <v>0</v>
      </c>
      <c r="AD3407" s="465">
        <v>0</v>
      </c>
      <c r="AE3407" s="476">
        <v>0</v>
      </c>
      <c r="AF3407" s="467">
        <v>0</v>
      </c>
      <c r="AG3407" s="468">
        <v>0</v>
      </c>
      <c r="AH3407" s="218">
        <v>0</v>
      </c>
      <c r="AI3407" s="470">
        <v>0</v>
      </c>
      <c r="AJ3407" s="471">
        <v>0</v>
      </c>
      <c r="AK3407" s="218">
        <v>0</v>
      </c>
      <c r="AL3407" s="470">
        <v>0</v>
      </c>
      <c r="AM3407" s="471">
        <v>0</v>
      </c>
      <c r="AN3407" s="477">
        <v>279.16186567643894</v>
      </c>
      <c r="AO3407" s="473">
        <v>3.3249422112310162E-3</v>
      </c>
      <c r="AP3407" s="474">
        <v>3.1479353379623544E-3</v>
      </c>
      <c r="AQ3407" s="352"/>
      <c r="AR3407" s="352"/>
      <c r="AS3407" s="352"/>
      <c r="AT3407" s="352"/>
      <c r="AU3407" s="352"/>
      <c r="AV3407" s="352"/>
      <c r="AW3407" s="352" t="s">
        <v>254</v>
      </c>
    </row>
    <row r="3408" spans="2:49" x14ac:dyDescent="0.2">
      <c r="B3408" s="460" t="s">
        <v>3370</v>
      </c>
      <c r="C3408" s="460">
        <v>6000</v>
      </c>
      <c r="D3408" s="460" t="s">
        <v>2285</v>
      </c>
      <c r="E3408" s="460" t="s">
        <v>2271</v>
      </c>
      <c r="F3408" s="460">
        <v>2</v>
      </c>
      <c r="G3408" s="460">
        <v>1</v>
      </c>
      <c r="H3408" s="461" t="s">
        <v>746</v>
      </c>
      <c r="I3408" s="461" t="s">
        <v>762</v>
      </c>
      <c r="J3408" s="461" t="s">
        <v>700</v>
      </c>
      <c r="K3408" s="594"/>
      <c r="L3408" s="594"/>
      <c r="M3408" s="352">
        <v>6000</v>
      </c>
      <c r="N3408" s="352" t="s">
        <v>871</v>
      </c>
      <c r="O3408" s="460">
        <v>5111</v>
      </c>
      <c r="P3408" s="460" t="s">
        <v>783</v>
      </c>
      <c r="Q3408" s="460" t="s">
        <v>2553</v>
      </c>
      <c r="R3408" s="460">
        <v>5111</v>
      </c>
      <c r="S3408" s="460" t="s">
        <v>2265</v>
      </c>
      <c r="T3408" s="462">
        <v>1</v>
      </c>
      <c r="U3408" s="460" t="s">
        <v>2271</v>
      </c>
      <c r="V3408" s="475">
        <v>0</v>
      </c>
      <c r="W3408" s="463" t="s">
        <v>2268</v>
      </c>
      <c r="X3408" s="463" t="s">
        <v>2268</v>
      </c>
      <c r="Y3408" s="463" t="s">
        <v>2554</v>
      </c>
      <c r="Z3408" s="463"/>
      <c r="AA3408" s="463"/>
      <c r="AB3408" s="464">
        <v>0</v>
      </c>
      <c r="AC3408" s="465">
        <v>0</v>
      </c>
      <c r="AD3408" s="465">
        <v>0</v>
      </c>
      <c r="AE3408" s="476">
        <v>0</v>
      </c>
      <c r="AF3408" s="467">
        <v>0</v>
      </c>
      <c r="AG3408" s="468">
        <v>0</v>
      </c>
      <c r="AH3408" s="218">
        <v>0</v>
      </c>
      <c r="AI3408" s="470">
        <v>0</v>
      </c>
      <c r="AJ3408" s="471">
        <v>0</v>
      </c>
      <c r="AK3408" s="218">
        <v>0</v>
      </c>
      <c r="AL3408" s="470">
        <v>0</v>
      </c>
      <c r="AM3408" s="471">
        <v>0</v>
      </c>
      <c r="AN3408" s="477">
        <v>238.72153716290327</v>
      </c>
      <c r="AO3408" s="473">
        <v>3.3249422112310162E-3</v>
      </c>
      <c r="AP3408" s="474">
        <v>3.4649648043525989E-3</v>
      </c>
      <c r="AQ3408" s="352"/>
      <c r="AR3408" s="352"/>
      <c r="AS3408" s="352"/>
      <c r="AT3408" s="352"/>
      <c r="AU3408" s="352"/>
      <c r="AV3408" s="352"/>
      <c r="AW3408" s="352" t="s">
        <v>254</v>
      </c>
    </row>
    <row r="3409" spans="2:49" x14ac:dyDescent="0.2">
      <c r="B3409" s="460" t="s">
        <v>3371</v>
      </c>
      <c r="C3409" s="460">
        <v>6000</v>
      </c>
      <c r="D3409" s="460" t="s">
        <v>2286</v>
      </c>
      <c r="E3409" s="460" t="s">
        <v>2274</v>
      </c>
      <c r="F3409" s="460">
        <v>3</v>
      </c>
      <c r="G3409" s="460">
        <v>1</v>
      </c>
      <c r="H3409" s="461" t="s">
        <v>746</v>
      </c>
      <c r="I3409" s="461" t="s">
        <v>762</v>
      </c>
      <c r="J3409" s="461" t="s">
        <v>700</v>
      </c>
      <c r="K3409" s="594"/>
      <c r="L3409" s="594"/>
      <c r="M3409" s="352">
        <v>6000</v>
      </c>
      <c r="N3409" s="352" t="s">
        <v>871</v>
      </c>
      <c r="O3409" s="460">
        <v>5111</v>
      </c>
      <c r="P3409" s="460" t="s">
        <v>783</v>
      </c>
      <c r="Q3409" s="460" t="s">
        <v>2553</v>
      </c>
      <c r="R3409" s="460">
        <v>5111</v>
      </c>
      <c r="S3409" s="460" t="s">
        <v>2265</v>
      </c>
      <c r="T3409" s="462">
        <v>0.74223365950407583</v>
      </c>
      <c r="U3409" s="460" t="s">
        <v>2274</v>
      </c>
      <c r="V3409" s="475">
        <v>0</v>
      </c>
      <c r="W3409" s="463" t="s">
        <v>2268</v>
      </c>
      <c r="X3409" s="463" t="s">
        <v>2268</v>
      </c>
      <c r="Y3409" s="463" t="s">
        <v>2554</v>
      </c>
      <c r="Z3409" s="463"/>
      <c r="AA3409" s="463"/>
      <c r="AB3409" s="464">
        <v>0</v>
      </c>
      <c r="AC3409" s="465">
        <v>0</v>
      </c>
      <c r="AD3409" s="465">
        <v>0</v>
      </c>
      <c r="AE3409" s="476">
        <v>0</v>
      </c>
      <c r="AF3409" s="467">
        <v>0</v>
      </c>
      <c r="AG3409" s="468">
        <v>0</v>
      </c>
      <c r="AH3409" s="218">
        <v>0</v>
      </c>
      <c r="AI3409" s="470">
        <v>0</v>
      </c>
      <c r="AJ3409" s="471">
        <v>0</v>
      </c>
      <c r="AK3409" s="218">
        <v>0</v>
      </c>
      <c r="AL3409" s="470">
        <v>0</v>
      </c>
      <c r="AM3409" s="471">
        <v>0</v>
      </c>
      <c r="AN3409" s="477">
        <v>97.000935436359839</v>
      </c>
      <c r="AO3409" s="473">
        <v>2.467884025081571E-3</v>
      </c>
      <c r="AP3409" s="474">
        <v>4.8971106752204651E-3</v>
      </c>
      <c r="AQ3409" s="352"/>
      <c r="AR3409" s="352"/>
      <c r="AS3409" s="352"/>
      <c r="AT3409" s="352"/>
      <c r="AU3409" s="352"/>
      <c r="AV3409" s="352"/>
      <c r="AW3409" s="352" t="s">
        <v>254</v>
      </c>
    </row>
    <row r="3410" spans="2:49" x14ac:dyDescent="0.2">
      <c r="B3410" s="460" t="s">
        <v>3372</v>
      </c>
      <c r="C3410" s="460">
        <v>6000</v>
      </c>
      <c r="D3410" s="460" t="s">
        <v>2287</v>
      </c>
      <c r="E3410" s="460" t="s">
        <v>2277</v>
      </c>
      <c r="F3410" s="460">
        <v>4</v>
      </c>
      <c r="G3410" s="460">
        <v>1</v>
      </c>
      <c r="H3410" s="461" t="s">
        <v>746</v>
      </c>
      <c r="I3410" s="461" t="s">
        <v>762</v>
      </c>
      <c r="J3410" s="461" t="s">
        <v>700</v>
      </c>
      <c r="K3410" s="594"/>
      <c r="L3410" s="594"/>
      <c r="M3410" s="352">
        <v>6000</v>
      </c>
      <c r="N3410" s="352" t="s">
        <v>871</v>
      </c>
      <c r="O3410" s="460">
        <v>5111</v>
      </c>
      <c r="P3410" s="460" t="s">
        <v>783</v>
      </c>
      <c r="Q3410" s="460" t="s">
        <v>2553</v>
      </c>
      <c r="R3410" s="460">
        <v>5111</v>
      </c>
      <c r="S3410" s="460" t="s">
        <v>2277</v>
      </c>
      <c r="T3410" s="462">
        <v>1</v>
      </c>
      <c r="U3410" s="460" t="s">
        <v>2277</v>
      </c>
      <c r="V3410" s="475">
        <v>0</v>
      </c>
      <c r="W3410" s="463" t="s">
        <v>2268</v>
      </c>
      <c r="X3410" s="463" t="s">
        <v>2268</v>
      </c>
      <c r="Y3410" s="463" t="s">
        <v>2554</v>
      </c>
      <c r="Z3410" s="463"/>
      <c r="AA3410" s="463"/>
      <c r="AB3410" s="464">
        <v>0</v>
      </c>
      <c r="AC3410" s="465">
        <v>0</v>
      </c>
      <c r="AD3410" s="465">
        <v>0</v>
      </c>
      <c r="AE3410" s="476">
        <v>0</v>
      </c>
      <c r="AF3410" s="467">
        <v>0</v>
      </c>
      <c r="AG3410" s="468">
        <v>0</v>
      </c>
      <c r="AH3410" s="218">
        <v>0</v>
      </c>
      <c r="AI3410" s="470">
        <v>0</v>
      </c>
      <c r="AJ3410" s="471">
        <v>0</v>
      </c>
      <c r="AK3410" s="218">
        <v>0</v>
      </c>
      <c r="AL3410" s="470">
        <v>0</v>
      </c>
      <c r="AM3410" s="471">
        <v>0</v>
      </c>
      <c r="AN3410" s="477">
        <v>0.64139121957712153</v>
      </c>
      <c r="AO3410" s="473">
        <v>1.4419740371642437E-5</v>
      </c>
      <c r="AP3410" s="474">
        <v>3.362125584631281E-3</v>
      </c>
      <c r="AQ3410" s="352"/>
      <c r="AR3410" s="352"/>
      <c r="AS3410" s="352"/>
      <c r="AT3410" s="352"/>
      <c r="AU3410" s="352"/>
      <c r="AV3410" s="352"/>
      <c r="AW3410" s="352" t="s">
        <v>254</v>
      </c>
    </row>
    <row r="3411" spans="2:49" x14ac:dyDescent="0.2">
      <c r="B3411" s="460" t="s">
        <v>3369</v>
      </c>
      <c r="C3411" s="460">
        <v>6000</v>
      </c>
      <c r="D3411" s="460" t="s">
        <v>2288</v>
      </c>
      <c r="E3411" s="460" t="s">
        <v>2265</v>
      </c>
      <c r="F3411" s="460">
        <v>1</v>
      </c>
      <c r="G3411" s="460">
        <v>1</v>
      </c>
      <c r="H3411" s="461" t="s">
        <v>748</v>
      </c>
      <c r="I3411" s="461" t="s">
        <v>765</v>
      </c>
      <c r="J3411" s="461" t="s">
        <v>700</v>
      </c>
      <c r="K3411" s="594"/>
      <c r="L3411" s="594"/>
      <c r="M3411" s="352">
        <v>6000</v>
      </c>
      <c r="N3411" s="352" t="s">
        <v>871</v>
      </c>
      <c r="O3411" s="460">
        <v>5111</v>
      </c>
      <c r="P3411" s="460" t="s">
        <v>783</v>
      </c>
      <c r="Q3411" s="460" t="s">
        <v>2553</v>
      </c>
      <c r="R3411" s="460">
        <v>5111</v>
      </c>
      <c r="S3411" s="460" t="s">
        <v>2265</v>
      </c>
      <c r="T3411" s="462">
        <v>1</v>
      </c>
      <c r="U3411" s="460" t="s">
        <v>2265</v>
      </c>
      <c r="V3411" s="475">
        <v>0</v>
      </c>
      <c r="W3411" s="463" t="s">
        <v>2268</v>
      </c>
      <c r="X3411" s="463" t="s">
        <v>2268</v>
      </c>
      <c r="Y3411" s="463" t="s">
        <v>2554</v>
      </c>
      <c r="Z3411" s="463"/>
      <c r="AA3411" s="463"/>
      <c r="AB3411" s="464">
        <v>0</v>
      </c>
      <c r="AC3411" s="465">
        <v>0</v>
      </c>
      <c r="AD3411" s="465">
        <v>0</v>
      </c>
      <c r="AE3411" s="476">
        <v>0</v>
      </c>
      <c r="AF3411" s="467">
        <v>0</v>
      </c>
      <c r="AG3411" s="468">
        <v>0</v>
      </c>
      <c r="AH3411" s="218">
        <v>0</v>
      </c>
      <c r="AI3411" s="470">
        <v>0</v>
      </c>
      <c r="AJ3411" s="471">
        <v>0</v>
      </c>
      <c r="AK3411" s="218">
        <v>0</v>
      </c>
      <c r="AL3411" s="470">
        <v>0</v>
      </c>
      <c r="AM3411" s="471">
        <v>0</v>
      </c>
      <c r="AN3411" s="477">
        <v>69.790466419109805</v>
      </c>
      <c r="AO3411" s="473">
        <v>8.3123555280775491E-4</v>
      </c>
      <c r="AP3411" s="474">
        <v>4.3340306827810999E-3</v>
      </c>
      <c r="AQ3411" s="352"/>
      <c r="AR3411" s="352"/>
      <c r="AS3411" s="352"/>
      <c r="AT3411" s="352"/>
      <c r="AU3411" s="352"/>
      <c r="AV3411" s="352"/>
      <c r="AW3411" s="352" t="s">
        <v>254</v>
      </c>
    </row>
    <row r="3412" spans="2:49" x14ac:dyDescent="0.2">
      <c r="B3412" s="460" t="s">
        <v>3370</v>
      </c>
      <c r="C3412" s="460">
        <v>6000</v>
      </c>
      <c r="D3412" s="460" t="s">
        <v>2291</v>
      </c>
      <c r="E3412" s="460" t="s">
        <v>2271</v>
      </c>
      <c r="F3412" s="460">
        <v>2</v>
      </c>
      <c r="G3412" s="460">
        <v>1</v>
      </c>
      <c r="H3412" s="461" t="s">
        <v>748</v>
      </c>
      <c r="I3412" s="461" t="s">
        <v>765</v>
      </c>
      <c r="J3412" s="461" t="s">
        <v>700</v>
      </c>
      <c r="K3412" s="594"/>
      <c r="L3412" s="594"/>
      <c r="M3412" s="352">
        <v>6000</v>
      </c>
      <c r="N3412" s="352" t="s">
        <v>871</v>
      </c>
      <c r="O3412" s="460">
        <v>5111</v>
      </c>
      <c r="P3412" s="460" t="s">
        <v>783</v>
      </c>
      <c r="Q3412" s="460" t="s">
        <v>2553</v>
      </c>
      <c r="R3412" s="460">
        <v>5111</v>
      </c>
      <c r="S3412" s="460" t="s">
        <v>2265</v>
      </c>
      <c r="T3412" s="462">
        <v>1</v>
      </c>
      <c r="U3412" s="460" t="s">
        <v>2271</v>
      </c>
      <c r="V3412" s="475">
        <v>0</v>
      </c>
      <c r="W3412" s="463" t="s">
        <v>2268</v>
      </c>
      <c r="X3412" s="463" t="s">
        <v>2268</v>
      </c>
      <c r="Y3412" s="463" t="s">
        <v>2554</v>
      </c>
      <c r="Z3412" s="463"/>
      <c r="AA3412" s="463"/>
      <c r="AB3412" s="464">
        <v>0</v>
      </c>
      <c r="AC3412" s="465">
        <v>0</v>
      </c>
      <c r="AD3412" s="465">
        <v>0</v>
      </c>
      <c r="AE3412" s="476">
        <v>0</v>
      </c>
      <c r="AF3412" s="467">
        <v>0</v>
      </c>
      <c r="AG3412" s="468">
        <v>0</v>
      </c>
      <c r="AH3412" s="218">
        <v>0</v>
      </c>
      <c r="AI3412" s="470">
        <v>0</v>
      </c>
      <c r="AJ3412" s="471">
        <v>0</v>
      </c>
      <c r="AK3412" s="218">
        <v>0</v>
      </c>
      <c r="AL3412" s="470">
        <v>0</v>
      </c>
      <c r="AM3412" s="471">
        <v>0</v>
      </c>
      <c r="AN3412" s="477">
        <v>59.680384290725883</v>
      </c>
      <c r="AO3412" s="473">
        <v>8.3123555280775491E-4</v>
      </c>
      <c r="AP3412" s="474">
        <v>3.7959157775356725E-3</v>
      </c>
      <c r="AQ3412" s="352"/>
      <c r="AR3412" s="352"/>
      <c r="AS3412" s="352"/>
      <c r="AT3412" s="352"/>
      <c r="AU3412" s="352"/>
      <c r="AV3412" s="352"/>
      <c r="AW3412" s="352" t="s">
        <v>254</v>
      </c>
    </row>
    <row r="3413" spans="2:49" x14ac:dyDescent="0.2">
      <c r="B3413" s="460" t="s">
        <v>3371</v>
      </c>
      <c r="C3413" s="460">
        <v>6000</v>
      </c>
      <c r="D3413" s="460" t="s">
        <v>2292</v>
      </c>
      <c r="E3413" s="460" t="s">
        <v>2274</v>
      </c>
      <c r="F3413" s="460">
        <v>3</v>
      </c>
      <c r="G3413" s="460">
        <v>1</v>
      </c>
      <c r="H3413" s="461" t="s">
        <v>748</v>
      </c>
      <c r="I3413" s="461" t="s">
        <v>765</v>
      </c>
      <c r="J3413" s="461" t="s">
        <v>700</v>
      </c>
      <c r="K3413" s="594"/>
      <c r="L3413" s="594"/>
      <c r="M3413" s="352">
        <v>6000</v>
      </c>
      <c r="N3413" s="352" t="s">
        <v>871</v>
      </c>
      <c r="O3413" s="460">
        <v>5111</v>
      </c>
      <c r="P3413" s="460" t="s">
        <v>783</v>
      </c>
      <c r="Q3413" s="460" t="s">
        <v>2553</v>
      </c>
      <c r="R3413" s="460">
        <v>5111</v>
      </c>
      <c r="S3413" s="460" t="s">
        <v>2265</v>
      </c>
      <c r="T3413" s="462">
        <v>0.74223365950407583</v>
      </c>
      <c r="U3413" s="460" t="s">
        <v>2274</v>
      </c>
      <c r="V3413" s="475">
        <v>0</v>
      </c>
      <c r="W3413" s="463" t="s">
        <v>2268</v>
      </c>
      <c r="X3413" s="463" t="s">
        <v>2268</v>
      </c>
      <c r="Y3413" s="463" t="s">
        <v>2554</v>
      </c>
      <c r="Z3413" s="463"/>
      <c r="AA3413" s="463"/>
      <c r="AB3413" s="464">
        <v>0</v>
      </c>
      <c r="AC3413" s="465">
        <v>0</v>
      </c>
      <c r="AD3413" s="465">
        <v>0</v>
      </c>
      <c r="AE3413" s="476">
        <v>0</v>
      </c>
      <c r="AF3413" s="467">
        <v>0</v>
      </c>
      <c r="AG3413" s="468">
        <v>0</v>
      </c>
      <c r="AH3413" s="218">
        <v>0</v>
      </c>
      <c r="AI3413" s="470">
        <v>0</v>
      </c>
      <c r="AJ3413" s="471">
        <v>0</v>
      </c>
      <c r="AK3413" s="218">
        <v>0</v>
      </c>
      <c r="AL3413" s="470">
        <v>0</v>
      </c>
      <c r="AM3413" s="471">
        <v>0</v>
      </c>
      <c r="AN3413" s="477">
        <v>24.250233859089985</v>
      </c>
      <c r="AO3413" s="473">
        <v>6.169710062703934E-4</v>
      </c>
      <c r="AP3413" s="474">
        <v>3.4143550698478697E-3</v>
      </c>
      <c r="AQ3413" s="352"/>
      <c r="AR3413" s="352"/>
      <c r="AS3413" s="352"/>
      <c r="AT3413" s="352"/>
      <c r="AU3413" s="352"/>
      <c r="AV3413" s="352"/>
      <c r="AW3413" s="352" t="s">
        <v>254</v>
      </c>
    </row>
    <row r="3414" spans="2:49" x14ac:dyDescent="0.2">
      <c r="B3414" s="460" t="s">
        <v>3372</v>
      </c>
      <c r="C3414" s="460">
        <v>6000</v>
      </c>
      <c r="D3414" s="460" t="s">
        <v>2293</v>
      </c>
      <c r="E3414" s="460" t="s">
        <v>2277</v>
      </c>
      <c r="F3414" s="460">
        <v>4</v>
      </c>
      <c r="G3414" s="460">
        <v>1</v>
      </c>
      <c r="H3414" s="461" t="s">
        <v>748</v>
      </c>
      <c r="I3414" s="461" t="s">
        <v>765</v>
      </c>
      <c r="J3414" s="461" t="s">
        <v>700</v>
      </c>
      <c r="K3414" s="594"/>
      <c r="L3414" s="594"/>
      <c r="M3414" s="352">
        <v>6000</v>
      </c>
      <c r="N3414" s="352" t="s">
        <v>871</v>
      </c>
      <c r="O3414" s="460">
        <v>5111</v>
      </c>
      <c r="P3414" s="460" t="s">
        <v>783</v>
      </c>
      <c r="Q3414" s="460" t="s">
        <v>2553</v>
      </c>
      <c r="R3414" s="460">
        <v>5111</v>
      </c>
      <c r="S3414" s="460" t="s">
        <v>2277</v>
      </c>
      <c r="T3414" s="462">
        <v>1</v>
      </c>
      <c r="U3414" s="460" t="s">
        <v>2277</v>
      </c>
      <c r="V3414" s="475">
        <v>0</v>
      </c>
      <c r="W3414" s="463" t="s">
        <v>2268</v>
      </c>
      <c r="X3414" s="463" t="s">
        <v>2268</v>
      </c>
      <c r="Y3414" s="463" t="s">
        <v>2554</v>
      </c>
      <c r="Z3414" s="463"/>
      <c r="AA3414" s="463"/>
      <c r="AB3414" s="464">
        <v>0</v>
      </c>
      <c r="AC3414" s="465">
        <v>0</v>
      </c>
      <c r="AD3414" s="465">
        <v>0</v>
      </c>
      <c r="AE3414" s="476">
        <v>0</v>
      </c>
      <c r="AF3414" s="467">
        <v>0</v>
      </c>
      <c r="AG3414" s="468">
        <v>0</v>
      </c>
      <c r="AH3414" s="218">
        <v>0</v>
      </c>
      <c r="AI3414" s="470">
        <v>0</v>
      </c>
      <c r="AJ3414" s="471">
        <v>0</v>
      </c>
      <c r="AK3414" s="218">
        <v>0</v>
      </c>
      <c r="AL3414" s="470">
        <v>0</v>
      </c>
      <c r="AM3414" s="471">
        <v>0</v>
      </c>
      <c r="AN3414" s="477">
        <v>0.16034780489428055</v>
      </c>
      <c r="AO3414" s="473">
        <v>3.6049350929106132E-6</v>
      </c>
      <c r="AP3414" s="474">
        <v>3.8717850879720446E-3</v>
      </c>
      <c r="AQ3414" s="352"/>
      <c r="AR3414" s="352"/>
      <c r="AS3414" s="352"/>
      <c r="AT3414" s="352"/>
      <c r="AU3414" s="352"/>
      <c r="AV3414" s="352"/>
      <c r="AW3414" s="352" t="s">
        <v>254</v>
      </c>
    </row>
    <row r="3415" spans="2:49" x14ac:dyDescent="0.2">
      <c r="B3415" s="460" t="s">
        <v>3378</v>
      </c>
      <c r="C3415" s="460">
        <v>6000</v>
      </c>
      <c r="D3415" s="460" t="s">
        <v>2295</v>
      </c>
      <c r="E3415" s="460" t="s">
        <v>2296</v>
      </c>
      <c r="F3415" s="460">
        <v>1</v>
      </c>
      <c r="G3415" s="460">
        <v>2</v>
      </c>
      <c r="H3415" s="461" t="s">
        <v>700</v>
      </c>
      <c r="I3415" s="461" t="s">
        <v>872</v>
      </c>
      <c r="J3415" s="461" t="s">
        <v>700</v>
      </c>
      <c r="K3415" s="594"/>
      <c r="L3415" s="594"/>
      <c r="M3415" s="352">
        <v>6000</v>
      </c>
      <c r="N3415" s="352" t="s">
        <v>871</v>
      </c>
      <c r="O3415" s="460">
        <v>5111</v>
      </c>
      <c r="P3415" s="460" t="s">
        <v>783</v>
      </c>
      <c r="Q3415" s="460" t="s">
        <v>2553</v>
      </c>
      <c r="R3415" s="460">
        <v>5111</v>
      </c>
      <c r="S3415" s="460" t="s">
        <v>2296</v>
      </c>
      <c r="T3415" s="462">
        <v>1</v>
      </c>
      <c r="U3415" s="460" t="s">
        <v>2296</v>
      </c>
      <c r="V3415" s="475">
        <v>0</v>
      </c>
      <c r="W3415" s="463" t="s">
        <v>2554</v>
      </c>
      <c r="X3415" s="463" t="s">
        <v>2554</v>
      </c>
      <c r="Y3415" s="463" t="s">
        <v>2268</v>
      </c>
      <c r="Z3415" s="463"/>
      <c r="AA3415" s="463"/>
      <c r="AB3415" s="464">
        <v>162.8042005949325</v>
      </c>
      <c r="AC3415" s="465">
        <v>6.3171258823816042E-3</v>
      </c>
      <c r="AD3415" s="465">
        <v>9.5099999999999994E-3</v>
      </c>
      <c r="AE3415" s="476">
        <v>40.701050148733124</v>
      </c>
      <c r="AF3415" s="467">
        <v>1.5792814705954011E-3</v>
      </c>
      <c r="AG3415" s="468">
        <v>2.6427207624965549E-3</v>
      </c>
      <c r="AH3415" s="218">
        <v>40.701050148733124</v>
      </c>
      <c r="AI3415" s="470">
        <v>1.5792814705954011E-3</v>
      </c>
      <c r="AJ3415" s="471">
        <v>2.4279537200314069E-3</v>
      </c>
      <c r="AK3415" s="218">
        <v>40.701050148733124</v>
      </c>
      <c r="AL3415" s="470">
        <v>1.5792814705954011E-3</v>
      </c>
      <c r="AM3415" s="471">
        <v>2.4279537200314069E-3</v>
      </c>
      <c r="AN3415" s="477">
        <v>0</v>
      </c>
      <c r="AO3415" s="473">
        <v>0</v>
      </c>
      <c r="AP3415" s="474">
        <v>0</v>
      </c>
      <c r="AQ3415" s="352"/>
      <c r="AR3415" s="352"/>
      <c r="AS3415" s="352"/>
      <c r="AT3415" s="352"/>
      <c r="AU3415" s="352"/>
      <c r="AV3415" s="352"/>
      <c r="AW3415" s="352" t="s">
        <v>254</v>
      </c>
    </row>
    <row r="3416" spans="2:49" x14ac:dyDescent="0.2">
      <c r="B3416" s="460" t="s">
        <v>3379</v>
      </c>
      <c r="C3416" s="460">
        <v>6000</v>
      </c>
      <c r="D3416" s="460" t="s">
        <v>2298</v>
      </c>
      <c r="E3416" s="460" t="s">
        <v>2299</v>
      </c>
      <c r="F3416" s="460">
        <v>2</v>
      </c>
      <c r="G3416" s="460">
        <v>2</v>
      </c>
      <c r="H3416" s="461" t="s">
        <v>700</v>
      </c>
      <c r="I3416" s="461" t="s">
        <v>872</v>
      </c>
      <c r="J3416" s="461" t="s">
        <v>700</v>
      </c>
      <c r="K3416" s="594"/>
      <c r="L3416" s="594"/>
      <c r="M3416" s="352">
        <v>6000</v>
      </c>
      <c r="N3416" s="352" t="s">
        <v>871</v>
      </c>
      <c r="O3416" s="460">
        <v>5111</v>
      </c>
      <c r="P3416" s="460" t="s">
        <v>783</v>
      </c>
      <c r="Q3416" s="460" t="s">
        <v>2553</v>
      </c>
      <c r="R3416" s="460">
        <v>5111</v>
      </c>
      <c r="S3416" s="460" t="s">
        <v>2296</v>
      </c>
      <c r="T3416" s="462">
        <v>0.55517361979372948</v>
      </c>
      <c r="U3416" s="460" t="s">
        <v>2299</v>
      </c>
      <c r="V3416" s="475">
        <v>0</v>
      </c>
      <c r="W3416" s="463" t="s">
        <v>2554</v>
      </c>
      <c r="X3416" s="463" t="s">
        <v>2554</v>
      </c>
      <c r="Y3416" s="463" t="s">
        <v>2268</v>
      </c>
      <c r="Z3416" s="463"/>
      <c r="AA3416" s="463"/>
      <c r="AB3416" s="464">
        <v>31.429763357425184</v>
      </c>
      <c r="AC3416" s="465">
        <v>1.7133327134157674E-3</v>
      </c>
      <c r="AD3416" s="465">
        <v>9.5100000000000011E-3</v>
      </c>
      <c r="AE3416" s="476">
        <v>7.857440839356296</v>
      </c>
      <c r="AF3416" s="467">
        <v>4.2833317835394184E-4</v>
      </c>
      <c r="AG3416" s="468">
        <v>2.6680139280210245E-3</v>
      </c>
      <c r="AH3416" s="218">
        <v>16.083766719824915</v>
      </c>
      <c r="AI3416" s="470">
        <v>8.7677541070361315E-4</v>
      </c>
      <c r="AJ3416" s="471">
        <v>3.787527280775495E-3</v>
      </c>
      <c r="AK3416" s="218">
        <v>16.083766719824915</v>
      </c>
      <c r="AL3416" s="470">
        <v>8.7677541070361315E-4</v>
      </c>
      <c r="AM3416" s="471">
        <v>3.787527280775495E-3</v>
      </c>
      <c r="AN3416" s="477">
        <v>0</v>
      </c>
      <c r="AO3416" s="473">
        <v>0</v>
      </c>
      <c r="AP3416" s="474">
        <v>0</v>
      </c>
      <c r="AQ3416" s="352"/>
      <c r="AR3416" s="352"/>
      <c r="AS3416" s="352"/>
      <c r="AT3416" s="352"/>
      <c r="AU3416" s="352"/>
      <c r="AV3416" s="352"/>
      <c r="AW3416" s="352" t="s">
        <v>254</v>
      </c>
    </row>
    <row r="3417" spans="2:49" x14ac:dyDescent="0.2">
      <c r="B3417" s="460" t="s">
        <v>3380</v>
      </c>
      <c r="C3417" s="460">
        <v>6000</v>
      </c>
      <c r="D3417" s="460" t="s">
        <v>2301</v>
      </c>
      <c r="E3417" s="460" t="s">
        <v>2302</v>
      </c>
      <c r="F3417" s="460">
        <v>3</v>
      </c>
      <c r="G3417" s="460">
        <v>2</v>
      </c>
      <c r="H3417" s="461" t="s">
        <v>700</v>
      </c>
      <c r="I3417" s="461" t="s">
        <v>872</v>
      </c>
      <c r="J3417" s="461" t="s">
        <v>700</v>
      </c>
      <c r="K3417" s="594"/>
      <c r="L3417" s="594"/>
      <c r="M3417" s="352">
        <v>6000</v>
      </c>
      <c r="N3417" s="352" t="s">
        <v>871</v>
      </c>
      <c r="O3417" s="460">
        <v>5111</v>
      </c>
      <c r="P3417" s="460" t="s">
        <v>783</v>
      </c>
      <c r="Q3417" s="460" t="s">
        <v>2553</v>
      </c>
      <c r="R3417" s="460">
        <v>5111</v>
      </c>
      <c r="S3417" s="460" t="s">
        <v>2296</v>
      </c>
      <c r="T3417" s="462">
        <v>0.28481449642268464</v>
      </c>
      <c r="U3417" s="460" t="s">
        <v>2302</v>
      </c>
      <c r="V3417" s="475">
        <v>0</v>
      </c>
      <c r="W3417" s="463" t="s">
        <v>2554</v>
      </c>
      <c r="X3417" s="463" t="s">
        <v>2554</v>
      </c>
      <c r="Y3417" s="463" t="s">
        <v>2268</v>
      </c>
      <c r="Z3417" s="463"/>
      <c r="AA3417" s="463"/>
      <c r="AB3417" s="464">
        <v>4.8891136241525759</v>
      </c>
      <c r="AC3417" s="465">
        <v>6.5974246755034637E-4</v>
      </c>
      <c r="AD3417" s="465">
        <v>9.5099999999999994E-3</v>
      </c>
      <c r="AE3417" s="476">
        <v>1.222278406038144</v>
      </c>
      <c r="AF3417" s="467">
        <v>1.6493561688758659E-4</v>
      </c>
      <c r="AG3417" s="468">
        <v>2.6828624561262217E-3</v>
      </c>
      <c r="AH3417" s="218">
        <v>3.3333223944976664</v>
      </c>
      <c r="AI3417" s="470">
        <v>4.4980225675730597E-4</v>
      </c>
      <c r="AJ3417" s="471">
        <v>3.460385052108321E-3</v>
      </c>
      <c r="AK3417" s="218">
        <v>3.3333223944976664</v>
      </c>
      <c r="AL3417" s="470">
        <v>4.4980225675730597E-4</v>
      </c>
      <c r="AM3417" s="471">
        <v>3.460385052108321E-3</v>
      </c>
      <c r="AN3417" s="477">
        <v>0</v>
      </c>
      <c r="AO3417" s="473">
        <v>0</v>
      </c>
      <c r="AP3417" s="474">
        <v>0</v>
      </c>
      <c r="AQ3417" s="352"/>
      <c r="AR3417" s="352"/>
      <c r="AS3417" s="352"/>
      <c r="AT3417" s="352"/>
      <c r="AU3417" s="352"/>
      <c r="AV3417" s="352"/>
      <c r="AW3417" s="352" t="s">
        <v>254</v>
      </c>
    </row>
    <row r="3418" spans="2:49" x14ac:dyDescent="0.2">
      <c r="B3418" s="460" t="s">
        <v>3381</v>
      </c>
      <c r="C3418" s="460">
        <v>6000</v>
      </c>
      <c r="D3418" s="460" t="s">
        <v>2304</v>
      </c>
      <c r="E3418" s="460" t="s">
        <v>2305</v>
      </c>
      <c r="F3418" s="460">
        <v>4</v>
      </c>
      <c r="G3418" s="460">
        <v>2</v>
      </c>
      <c r="H3418" s="461" t="s">
        <v>700</v>
      </c>
      <c r="I3418" s="461" t="s">
        <v>872</v>
      </c>
      <c r="J3418" s="461" t="s">
        <v>700</v>
      </c>
      <c r="K3418" s="594"/>
      <c r="L3418" s="594"/>
      <c r="M3418" s="352">
        <v>6000</v>
      </c>
      <c r="N3418" s="352" t="s">
        <v>871</v>
      </c>
      <c r="O3418" s="460">
        <v>5111</v>
      </c>
      <c r="P3418" s="460" t="s">
        <v>783</v>
      </c>
      <c r="Q3418" s="460" t="s">
        <v>2553</v>
      </c>
      <c r="R3418" s="460">
        <v>5111</v>
      </c>
      <c r="S3418" s="460" t="s">
        <v>2305</v>
      </c>
      <c r="T3418" s="462">
        <v>1</v>
      </c>
      <c r="U3418" s="460" t="s">
        <v>2305</v>
      </c>
      <c r="V3418" s="475">
        <v>0</v>
      </c>
      <c r="W3418" s="463" t="s">
        <v>2554</v>
      </c>
      <c r="X3418" s="463" t="s">
        <v>2554</v>
      </c>
      <c r="Y3418" s="463" t="s">
        <v>2268</v>
      </c>
      <c r="Z3418" s="463"/>
      <c r="AA3418" s="463"/>
      <c r="AB3418" s="464">
        <v>0.12011656375871881</v>
      </c>
      <c r="AC3418" s="465">
        <v>1.4270979453043195E-5</v>
      </c>
      <c r="AD3418" s="465">
        <v>9.5100000000000011E-3</v>
      </c>
      <c r="AE3418" s="476">
        <v>3.0029140939679701E-2</v>
      </c>
      <c r="AF3418" s="467">
        <v>3.5677448632607989E-6</v>
      </c>
      <c r="AG3418" s="468">
        <v>2.6400217281951598E-3</v>
      </c>
      <c r="AH3418" s="218">
        <v>3.0029140939679701E-2</v>
      </c>
      <c r="AI3418" s="470">
        <v>3.5677448632607989E-6</v>
      </c>
      <c r="AJ3418" s="471">
        <v>2.6290661369093794E-3</v>
      </c>
      <c r="AK3418" s="218">
        <v>3.0029140939679701E-2</v>
      </c>
      <c r="AL3418" s="470">
        <v>3.5677448632607989E-6</v>
      </c>
      <c r="AM3418" s="471">
        <v>2.6290661369093794E-3</v>
      </c>
      <c r="AN3418" s="477">
        <v>0</v>
      </c>
      <c r="AO3418" s="473">
        <v>0</v>
      </c>
      <c r="AP3418" s="474">
        <v>0</v>
      </c>
      <c r="AQ3418" s="352"/>
      <c r="AR3418" s="352"/>
      <c r="AS3418" s="352"/>
      <c r="AT3418" s="352"/>
      <c r="AU3418" s="352"/>
      <c r="AV3418" s="352"/>
      <c r="AW3418" s="352" t="s">
        <v>254</v>
      </c>
    </row>
    <row r="3419" spans="2:49" x14ac:dyDescent="0.2">
      <c r="B3419" s="460" t="s">
        <v>3378</v>
      </c>
      <c r="C3419" s="460">
        <v>6000</v>
      </c>
      <c r="D3419" s="460" t="s">
        <v>2306</v>
      </c>
      <c r="E3419" s="460" t="s">
        <v>2296</v>
      </c>
      <c r="F3419" s="460">
        <v>1</v>
      </c>
      <c r="G3419" s="460">
        <v>2</v>
      </c>
      <c r="H3419" s="461" t="s">
        <v>712</v>
      </c>
      <c r="I3419" s="461" t="s">
        <v>713</v>
      </c>
      <c r="J3419" s="461" t="s">
        <v>712</v>
      </c>
      <c r="K3419" s="594"/>
      <c r="L3419" s="594"/>
      <c r="M3419" s="352">
        <v>6000</v>
      </c>
      <c r="N3419" s="352" t="s">
        <v>871</v>
      </c>
      <c r="O3419" s="460">
        <v>5111</v>
      </c>
      <c r="P3419" s="460" t="s">
        <v>783</v>
      </c>
      <c r="Q3419" s="460" t="s">
        <v>2280</v>
      </c>
      <c r="R3419" s="460">
        <v>5111</v>
      </c>
      <c r="S3419" s="460" t="s">
        <v>2296</v>
      </c>
      <c r="T3419" s="462">
        <v>1</v>
      </c>
      <c r="U3419" s="460" t="s">
        <v>2296</v>
      </c>
      <c r="V3419" s="475">
        <v>0</v>
      </c>
      <c r="W3419" s="463" t="s">
        <v>713</v>
      </c>
      <c r="X3419" s="463" t="s">
        <v>713</v>
      </c>
      <c r="Y3419" s="463" t="s">
        <v>713</v>
      </c>
      <c r="Z3419" s="463"/>
      <c r="AA3419" s="463"/>
      <c r="AB3419" s="464">
        <v>24716.362947444592</v>
      </c>
      <c r="AC3419" s="465">
        <v>0.95904390380023075</v>
      </c>
      <c r="AD3419" s="465">
        <v>0.21377125165289074</v>
      </c>
      <c r="AE3419" s="476">
        <v>24838.466097890789</v>
      </c>
      <c r="AF3419" s="467">
        <v>0.9637817482120169</v>
      </c>
      <c r="AG3419" s="468">
        <v>0.21168181942686892</v>
      </c>
      <c r="AH3419" s="218">
        <v>24838.466097890789</v>
      </c>
      <c r="AI3419" s="470">
        <v>0.9637817482120169</v>
      </c>
      <c r="AJ3419" s="471">
        <v>0.21416836068713552</v>
      </c>
      <c r="AK3419" s="218">
        <v>24838.466097890789</v>
      </c>
      <c r="AL3419" s="470">
        <v>0.9637817482120169</v>
      </c>
      <c r="AM3419" s="471">
        <v>0.21416836068713552</v>
      </c>
      <c r="AN3419" s="477">
        <v>24838.466097890789</v>
      </c>
      <c r="AO3419" s="473">
        <v>0.9637817482120169</v>
      </c>
      <c r="AP3419" s="474">
        <v>0.21411580082313802</v>
      </c>
      <c r="AQ3419" s="352"/>
      <c r="AR3419" s="352"/>
      <c r="AS3419" s="352"/>
      <c r="AT3419" s="352"/>
      <c r="AU3419" s="352"/>
      <c r="AV3419" s="352"/>
      <c r="AW3419" s="352" t="s">
        <v>254</v>
      </c>
    </row>
    <row r="3420" spans="2:49" x14ac:dyDescent="0.2">
      <c r="B3420" s="460" t="s">
        <v>3379</v>
      </c>
      <c r="C3420" s="460">
        <v>6000</v>
      </c>
      <c r="D3420" s="460" t="s">
        <v>2307</v>
      </c>
      <c r="E3420" s="460" t="s">
        <v>2299</v>
      </c>
      <c r="F3420" s="460">
        <v>2</v>
      </c>
      <c r="G3420" s="460">
        <v>2</v>
      </c>
      <c r="H3420" s="461" t="s">
        <v>712</v>
      </c>
      <c r="I3420" s="461" t="s">
        <v>713</v>
      </c>
      <c r="J3420" s="461" t="s">
        <v>712</v>
      </c>
      <c r="K3420" s="594"/>
      <c r="L3420" s="594"/>
      <c r="M3420" s="352">
        <v>6000</v>
      </c>
      <c r="N3420" s="352" t="s">
        <v>871</v>
      </c>
      <c r="O3420" s="460">
        <v>5111</v>
      </c>
      <c r="P3420" s="460" t="s">
        <v>783</v>
      </c>
      <c r="Q3420" s="460" t="s">
        <v>2280</v>
      </c>
      <c r="R3420" s="460">
        <v>5111</v>
      </c>
      <c r="S3420" s="460" t="s">
        <v>2296</v>
      </c>
      <c r="T3420" s="462">
        <v>0.55517361979372948</v>
      </c>
      <c r="U3420" s="460" t="s">
        <v>2299</v>
      </c>
      <c r="V3420" s="475">
        <v>0</v>
      </c>
      <c r="W3420" s="463" t="s">
        <v>713</v>
      </c>
      <c r="X3420" s="463" t="s">
        <v>713</v>
      </c>
      <c r="Y3420" s="463" t="s">
        <v>713</v>
      </c>
      <c r="Z3420" s="463"/>
      <c r="AA3420" s="463"/>
      <c r="AB3420" s="464">
        <v>18312.796732362473</v>
      </c>
      <c r="AC3420" s="465">
        <v>0.99828666728658433</v>
      </c>
      <c r="AD3420" s="465">
        <v>0.21181958802267101</v>
      </c>
      <c r="AE3420" s="476">
        <v>18336.369054880543</v>
      </c>
      <c r="AF3420" s="467">
        <v>0.99957166682164611</v>
      </c>
      <c r="AG3420" s="468">
        <v>0.21121307558249711</v>
      </c>
      <c r="AH3420" s="218">
        <v>18328.142729000072</v>
      </c>
      <c r="AI3420" s="470">
        <v>0.99912322458929637</v>
      </c>
      <c r="AJ3420" s="471">
        <v>0.21473071058862045</v>
      </c>
      <c r="AK3420" s="218">
        <v>18328.142729000072</v>
      </c>
      <c r="AL3420" s="470">
        <v>0.99912322458929637</v>
      </c>
      <c r="AM3420" s="471">
        <v>0.21473071058862045</v>
      </c>
      <c r="AN3420" s="477">
        <v>18328.142729000072</v>
      </c>
      <c r="AO3420" s="473">
        <v>0.99912322458929637</v>
      </c>
      <c r="AP3420" s="474">
        <v>0.21470360412163125</v>
      </c>
      <c r="AQ3420" s="352"/>
      <c r="AR3420" s="352"/>
      <c r="AS3420" s="352"/>
      <c r="AT3420" s="352"/>
      <c r="AU3420" s="352"/>
      <c r="AV3420" s="352"/>
      <c r="AW3420" s="352" t="s">
        <v>254</v>
      </c>
    </row>
    <row r="3421" spans="2:49" x14ac:dyDescent="0.2">
      <c r="B3421" s="460" t="s">
        <v>3380</v>
      </c>
      <c r="C3421" s="460">
        <v>6000</v>
      </c>
      <c r="D3421" s="460" t="s">
        <v>2308</v>
      </c>
      <c r="E3421" s="460" t="s">
        <v>2302</v>
      </c>
      <c r="F3421" s="460">
        <v>3</v>
      </c>
      <c r="G3421" s="460">
        <v>2</v>
      </c>
      <c r="H3421" s="461" t="s">
        <v>712</v>
      </c>
      <c r="I3421" s="461" t="s">
        <v>713</v>
      </c>
      <c r="J3421" s="461" t="s">
        <v>712</v>
      </c>
      <c r="K3421" s="594"/>
      <c r="L3421" s="594"/>
      <c r="M3421" s="352">
        <v>6000</v>
      </c>
      <c r="N3421" s="352" t="s">
        <v>871</v>
      </c>
      <c r="O3421" s="460">
        <v>5111</v>
      </c>
      <c r="P3421" s="460" t="s">
        <v>783</v>
      </c>
      <c r="Q3421" s="460" t="s">
        <v>2280</v>
      </c>
      <c r="R3421" s="460">
        <v>5111</v>
      </c>
      <c r="S3421" s="460" t="s">
        <v>2296</v>
      </c>
      <c r="T3421" s="462">
        <v>0.28481449642268464</v>
      </c>
      <c r="U3421" s="460" t="s">
        <v>2302</v>
      </c>
      <c r="V3421" s="475">
        <v>0</v>
      </c>
      <c r="W3421" s="463" t="s">
        <v>713</v>
      </c>
      <c r="X3421" s="463" t="s">
        <v>713</v>
      </c>
      <c r="Y3421" s="463" t="s">
        <v>713</v>
      </c>
      <c r="Z3421" s="463"/>
      <c r="AA3421" s="463"/>
      <c r="AB3421" s="464">
        <v>7405.7504383605419</v>
      </c>
      <c r="AC3421" s="465">
        <v>0.99934025753244959</v>
      </c>
      <c r="AD3421" s="465">
        <v>0.21541477402158779</v>
      </c>
      <c r="AE3421" s="476">
        <v>7409.4172735786569</v>
      </c>
      <c r="AF3421" s="467">
        <v>0.99983506438311243</v>
      </c>
      <c r="AG3421" s="468">
        <v>0.21515522734394346</v>
      </c>
      <c r="AH3421" s="218">
        <v>7407.3062295901973</v>
      </c>
      <c r="AI3421" s="470">
        <v>0.99955019774324272</v>
      </c>
      <c r="AJ3421" s="471">
        <v>0.21831238354541743</v>
      </c>
      <c r="AK3421" s="218">
        <v>7407.3062295901973</v>
      </c>
      <c r="AL3421" s="470">
        <v>0.99955019774324272</v>
      </c>
      <c r="AM3421" s="471">
        <v>0.21831238354541743</v>
      </c>
      <c r="AN3421" s="477">
        <v>7407.3062295901973</v>
      </c>
      <c r="AO3421" s="473">
        <v>0.99955019774324272</v>
      </c>
      <c r="AP3421" s="474">
        <v>0.21850221828578578</v>
      </c>
      <c r="AQ3421" s="352"/>
      <c r="AR3421" s="352"/>
      <c r="AS3421" s="352"/>
      <c r="AT3421" s="352"/>
      <c r="AU3421" s="352"/>
      <c r="AV3421" s="352"/>
      <c r="AW3421" s="352" t="s">
        <v>254</v>
      </c>
    </row>
    <row r="3422" spans="2:49" x14ac:dyDescent="0.2">
      <c r="B3422" s="460" t="s">
        <v>3381</v>
      </c>
      <c r="C3422" s="460">
        <v>6000</v>
      </c>
      <c r="D3422" s="460" t="s">
        <v>2309</v>
      </c>
      <c r="E3422" s="460" t="s">
        <v>2305</v>
      </c>
      <c r="F3422" s="460">
        <v>4</v>
      </c>
      <c r="G3422" s="460">
        <v>2</v>
      </c>
      <c r="H3422" s="461" t="s">
        <v>712</v>
      </c>
      <c r="I3422" s="461" t="s">
        <v>713</v>
      </c>
      <c r="J3422" s="461" t="s">
        <v>712</v>
      </c>
      <c r="K3422" s="594"/>
      <c r="L3422" s="594"/>
      <c r="M3422" s="352">
        <v>6000</v>
      </c>
      <c r="N3422" s="352" t="s">
        <v>871</v>
      </c>
      <c r="O3422" s="460">
        <v>5111</v>
      </c>
      <c r="P3422" s="460" t="s">
        <v>783</v>
      </c>
      <c r="Q3422" s="460" t="s">
        <v>2280</v>
      </c>
      <c r="R3422" s="460">
        <v>5111</v>
      </c>
      <c r="S3422" s="460" t="s">
        <v>2305</v>
      </c>
      <c r="T3422" s="462">
        <v>1</v>
      </c>
      <c r="U3422" s="460" t="s">
        <v>2305</v>
      </c>
      <c r="V3422" s="475">
        <v>0</v>
      </c>
      <c r="W3422" s="463" t="s">
        <v>713</v>
      </c>
      <c r="X3422" s="463" t="s">
        <v>713</v>
      </c>
      <c r="Y3422" s="463" t="s">
        <v>713</v>
      </c>
      <c r="Z3422" s="463"/>
      <c r="AA3422" s="463"/>
      <c r="AB3422" s="464">
        <v>8416.1981457005495</v>
      </c>
      <c r="AC3422" s="465">
        <v>0.99992363294121167</v>
      </c>
      <c r="AD3422" s="465">
        <v>0.21494887936649515</v>
      </c>
      <c r="AE3422" s="476">
        <v>8416.2882331233704</v>
      </c>
      <c r="AF3422" s="467">
        <v>0.99993433617580163</v>
      </c>
      <c r="AG3422" s="468">
        <v>0.21494428533333376</v>
      </c>
      <c r="AH3422" s="218">
        <v>8416.2882331233704</v>
      </c>
      <c r="AI3422" s="470">
        <v>0.99993433617580163</v>
      </c>
      <c r="AJ3422" s="471">
        <v>0.214944545529833</v>
      </c>
      <c r="AK3422" s="218">
        <v>8416.2882331233704</v>
      </c>
      <c r="AL3422" s="470">
        <v>0.99993433617580163</v>
      </c>
      <c r="AM3422" s="471">
        <v>0.214944545529833</v>
      </c>
      <c r="AN3422" s="477">
        <v>8416.2882331233704</v>
      </c>
      <c r="AO3422" s="473">
        <v>0.99993433617580163</v>
      </c>
      <c r="AP3422" s="474">
        <v>0.21494480844975811</v>
      </c>
      <c r="AQ3422" s="352"/>
      <c r="AR3422" s="352"/>
      <c r="AS3422" s="352"/>
      <c r="AT3422" s="352"/>
      <c r="AU3422" s="352"/>
      <c r="AV3422" s="352"/>
      <c r="AW3422" s="352" t="s">
        <v>254</v>
      </c>
    </row>
    <row r="3423" spans="2:49" x14ac:dyDescent="0.2">
      <c r="B3423" s="460" t="s">
        <v>3378</v>
      </c>
      <c r="C3423" s="460">
        <v>6000</v>
      </c>
      <c r="D3423" s="460" t="s">
        <v>3382</v>
      </c>
      <c r="E3423" s="460" t="s">
        <v>2296</v>
      </c>
      <c r="F3423" s="460">
        <v>1</v>
      </c>
      <c r="G3423" s="460">
        <v>2</v>
      </c>
      <c r="H3423" s="461" t="s">
        <v>719</v>
      </c>
      <c r="I3423" s="461" t="s">
        <v>720</v>
      </c>
      <c r="J3423" s="461" t="s">
        <v>719</v>
      </c>
      <c r="K3423" s="594"/>
      <c r="L3423" s="594"/>
      <c r="M3423" s="352">
        <v>6000</v>
      </c>
      <c r="N3423" s="352" t="s">
        <v>871</v>
      </c>
      <c r="O3423" s="460">
        <v>5111</v>
      </c>
      <c r="P3423" s="460" t="s">
        <v>783</v>
      </c>
      <c r="Q3423" s="460" t="s">
        <v>3374</v>
      </c>
      <c r="R3423" s="460">
        <v>5111</v>
      </c>
      <c r="S3423" s="460" t="s">
        <v>2296</v>
      </c>
      <c r="T3423" s="462">
        <v>1</v>
      </c>
      <c r="U3423" s="460" t="s">
        <v>2296</v>
      </c>
      <c r="V3423" s="475">
        <v>0</v>
      </c>
      <c r="W3423" s="463" t="s">
        <v>2278</v>
      </c>
      <c r="X3423" s="463" t="s">
        <v>2278</v>
      </c>
      <c r="Y3423" s="463" t="s">
        <v>2278</v>
      </c>
      <c r="Z3423" s="463"/>
      <c r="AA3423" s="463"/>
      <c r="AB3423" s="464">
        <v>892.71133375417537</v>
      </c>
      <c r="AC3423" s="465">
        <v>3.4638970317387725E-2</v>
      </c>
      <c r="AD3423" s="465">
        <v>0.28065256645271902</v>
      </c>
      <c r="AE3423" s="476">
        <v>892.71133375417537</v>
      </c>
      <c r="AF3423" s="467">
        <v>3.4638970317387725E-2</v>
      </c>
      <c r="AG3423" s="468">
        <v>0.28065256645271902</v>
      </c>
      <c r="AH3423" s="218">
        <v>892.71133375417537</v>
      </c>
      <c r="AI3423" s="470">
        <v>3.4638970317387725E-2</v>
      </c>
      <c r="AJ3423" s="471">
        <v>0.28065256645271902</v>
      </c>
      <c r="AK3423" s="218">
        <v>892.71133375417537</v>
      </c>
      <c r="AL3423" s="470">
        <v>3.4638970317387725E-2</v>
      </c>
      <c r="AM3423" s="471">
        <v>0.28065256645271902</v>
      </c>
      <c r="AN3423" s="477">
        <v>892.71133375417537</v>
      </c>
      <c r="AO3423" s="473">
        <v>3.4638970317387725E-2</v>
      </c>
      <c r="AP3423" s="474">
        <v>0.28065256645271902</v>
      </c>
      <c r="AQ3423" s="352"/>
      <c r="AR3423" s="352"/>
      <c r="AS3423" s="352"/>
      <c r="AT3423" s="352"/>
      <c r="AU3423" s="352"/>
      <c r="AV3423" s="352"/>
      <c r="AW3423" s="352" t="s">
        <v>254</v>
      </c>
    </row>
    <row r="3424" spans="2:49" x14ac:dyDescent="0.2">
      <c r="B3424" s="460" t="s">
        <v>3379</v>
      </c>
      <c r="C3424" s="460">
        <v>6000</v>
      </c>
      <c r="D3424" s="460" t="s">
        <v>3383</v>
      </c>
      <c r="E3424" s="460" t="s">
        <v>2299</v>
      </c>
      <c r="F3424" s="460">
        <v>2</v>
      </c>
      <c r="G3424" s="460">
        <v>2</v>
      </c>
      <c r="H3424" s="461" t="s">
        <v>719</v>
      </c>
      <c r="I3424" s="461" t="s">
        <v>720</v>
      </c>
      <c r="J3424" s="461" t="s">
        <v>719</v>
      </c>
      <c r="K3424" s="594"/>
      <c r="L3424" s="594"/>
      <c r="M3424" s="352">
        <v>6000</v>
      </c>
      <c r="N3424" s="352" t="s">
        <v>871</v>
      </c>
      <c r="O3424" s="460">
        <v>5111</v>
      </c>
      <c r="P3424" s="460" t="s">
        <v>783</v>
      </c>
      <c r="Q3424" s="460" t="s">
        <v>3374</v>
      </c>
      <c r="R3424" s="460">
        <v>5111</v>
      </c>
      <c r="S3424" s="460" t="s">
        <v>2296</v>
      </c>
      <c r="T3424" s="462">
        <v>0.55517361979372948</v>
      </c>
      <c r="U3424" s="460" t="s">
        <v>2299</v>
      </c>
      <c r="V3424" s="475">
        <v>0</v>
      </c>
      <c r="W3424" s="463" t="s">
        <v>2278</v>
      </c>
      <c r="X3424" s="463" t="s">
        <v>2278</v>
      </c>
      <c r="Y3424" s="463" t="s">
        <v>2278</v>
      </c>
      <c r="Z3424" s="463"/>
      <c r="AA3424" s="463"/>
      <c r="AB3424" s="464">
        <v>0</v>
      </c>
      <c r="AC3424" s="465">
        <v>0</v>
      </c>
      <c r="AD3424" s="465">
        <v>0</v>
      </c>
      <c r="AE3424" s="476">
        <v>0</v>
      </c>
      <c r="AF3424" s="467">
        <v>0</v>
      </c>
      <c r="AG3424" s="468">
        <v>0</v>
      </c>
      <c r="AH3424" s="218">
        <v>0</v>
      </c>
      <c r="AI3424" s="470">
        <v>0</v>
      </c>
      <c r="AJ3424" s="471">
        <v>0</v>
      </c>
      <c r="AK3424" s="218">
        <v>0</v>
      </c>
      <c r="AL3424" s="470">
        <v>0</v>
      </c>
      <c r="AM3424" s="471">
        <v>0</v>
      </c>
      <c r="AN3424" s="477">
        <v>0</v>
      </c>
      <c r="AO3424" s="473">
        <v>0</v>
      </c>
      <c r="AP3424" s="474">
        <v>0</v>
      </c>
      <c r="AQ3424" s="352"/>
      <c r="AR3424" s="352"/>
      <c r="AS3424" s="352"/>
      <c r="AT3424" s="352"/>
      <c r="AU3424" s="352"/>
      <c r="AV3424" s="352"/>
      <c r="AW3424" s="352" t="s">
        <v>254</v>
      </c>
    </row>
    <row r="3425" spans="2:49" x14ac:dyDescent="0.2">
      <c r="B3425" s="460" t="s">
        <v>3380</v>
      </c>
      <c r="C3425" s="460">
        <v>6000</v>
      </c>
      <c r="D3425" s="460" t="s">
        <v>3384</v>
      </c>
      <c r="E3425" s="460" t="s">
        <v>2302</v>
      </c>
      <c r="F3425" s="460">
        <v>3</v>
      </c>
      <c r="G3425" s="460">
        <v>2</v>
      </c>
      <c r="H3425" s="461" t="s">
        <v>719</v>
      </c>
      <c r="I3425" s="461" t="s">
        <v>720</v>
      </c>
      <c r="J3425" s="461" t="s">
        <v>719</v>
      </c>
      <c r="K3425" s="594"/>
      <c r="L3425" s="594"/>
      <c r="M3425" s="352">
        <v>6000</v>
      </c>
      <c r="N3425" s="352" t="s">
        <v>871</v>
      </c>
      <c r="O3425" s="460">
        <v>5111</v>
      </c>
      <c r="P3425" s="460" t="s">
        <v>783</v>
      </c>
      <c r="Q3425" s="460" t="s">
        <v>3374</v>
      </c>
      <c r="R3425" s="460">
        <v>5111</v>
      </c>
      <c r="S3425" s="460" t="s">
        <v>2296</v>
      </c>
      <c r="T3425" s="462">
        <v>0.28481449642268464</v>
      </c>
      <c r="U3425" s="460" t="s">
        <v>2302</v>
      </c>
      <c r="V3425" s="475">
        <v>0</v>
      </c>
      <c r="W3425" s="463" t="s">
        <v>2278</v>
      </c>
      <c r="X3425" s="463" t="s">
        <v>2278</v>
      </c>
      <c r="Y3425" s="463" t="s">
        <v>2278</v>
      </c>
      <c r="Z3425" s="463"/>
      <c r="AA3425" s="463"/>
      <c r="AB3425" s="464">
        <v>0</v>
      </c>
      <c r="AC3425" s="465">
        <v>0</v>
      </c>
      <c r="AD3425" s="465">
        <v>0</v>
      </c>
      <c r="AE3425" s="476">
        <v>0</v>
      </c>
      <c r="AF3425" s="467">
        <v>0</v>
      </c>
      <c r="AG3425" s="468">
        <v>0</v>
      </c>
      <c r="AH3425" s="218">
        <v>0</v>
      </c>
      <c r="AI3425" s="470">
        <v>0</v>
      </c>
      <c r="AJ3425" s="471">
        <v>0</v>
      </c>
      <c r="AK3425" s="218">
        <v>0</v>
      </c>
      <c r="AL3425" s="470">
        <v>0</v>
      </c>
      <c r="AM3425" s="471">
        <v>0</v>
      </c>
      <c r="AN3425" s="477">
        <v>0</v>
      </c>
      <c r="AO3425" s="473">
        <v>0</v>
      </c>
      <c r="AP3425" s="474">
        <v>0</v>
      </c>
      <c r="AQ3425" s="352"/>
      <c r="AR3425" s="352"/>
      <c r="AS3425" s="352"/>
      <c r="AT3425" s="352"/>
      <c r="AU3425" s="352"/>
      <c r="AV3425" s="352"/>
      <c r="AW3425" s="352" t="s">
        <v>254</v>
      </c>
    </row>
    <row r="3426" spans="2:49" x14ac:dyDescent="0.2">
      <c r="B3426" s="460" t="s">
        <v>3381</v>
      </c>
      <c r="C3426" s="460">
        <v>6000</v>
      </c>
      <c r="D3426" s="460" t="s">
        <v>3385</v>
      </c>
      <c r="E3426" s="460" t="s">
        <v>2305</v>
      </c>
      <c r="F3426" s="460">
        <v>4</v>
      </c>
      <c r="G3426" s="460">
        <v>2</v>
      </c>
      <c r="H3426" s="461" t="s">
        <v>719</v>
      </c>
      <c r="I3426" s="461" t="s">
        <v>720</v>
      </c>
      <c r="J3426" s="461" t="s">
        <v>719</v>
      </c>
      <c r="K3426" s="594"/>
      <c r="L3426" s="594"/>
      <c r="M3426" s="352">
        <v>6000</v>
      </c>
      <c r="N3426" s="352" t="s">
        <v>871</v>
      </c>
      <c r="O3426" s="460">
        <v>5111</v>
      </c>
      <c r="P3426" s="460" t="s">
        <v>783</v>
      </c>
      <c r="Q3426" s="460" t="s">
        <v>3374</v>
      </c>
      <c r="R3426" s="460">
        <v>5111</v>
      </c>
      <c r="S3426" s="460" t="s">
        <v>2305</v>
      </c>
      <c r="T3426" s="462">
        <v>1</v>
      </c>
      <c r="U3426" s="460" t="s">
        <v>2305</v>
      </c>
      <c r="V3426" s="475">
        <v>0</v>
      </c>
      <c r="W3426" s="463" t="s">
        <v>2278</v>
      </c>
      <c r="X3426" s="463" t="s">
        <v>2278</v>
      </c>
      <c r="Y3426" s="463" t="s">
        <v>2278</v>
      </c>
      <c r="Z3426" s="463"/>
      <c r="AA3426" s="463"/>
      <c r="AB3426" s="464">
        <v>0.52265282121438028</v>
      </c>
      <c r="AC3426" s="465">
        <v>6.2096079335137292E-5</v>
      </c>
      <c r="AD3426" s="465">
        <v>1</v>
      </c>
      <c r="AE3426" s="476">
        <v>0.52265282121438028</v>
      </c>
      <c r="AF3426" s="467">
        <v>6.2096079335137292E-5</v>
      </c>
      <c r="AG3426" s="468">
        <v>1</v>
      </c>
      <c r="AH3426" s="218">
        <v>0.52265282121438028</v>
      </c>
      <c r="AI3426" s="470">
        <v>6.2096079335137292E-5</v>
      </c>
      <c r="AJ3426" s="471">
        <v>1</v>
      </c>
      <c r="AK3426" s="218">
        <v>0.52265282121438028</v>
      </c>
      <c r="AL3426" s="470">
        <v>6.2096079335137292E-5</v>
      </c>
      <c r="AM3426" s="471">
        <v>1</v>
      </c>
      <c r="AN3426" s="477">
        <v>0.52265282121438028</v>
      </c>
      <c r="AO3426" s="473">
        <v>6.2096079335137292E-5</v>
      </c>
      <c r="AP3426" s="474">
        <v>1</v>
      </c>
      <c r="AQ3426" s="352"/>
      <c r="AR3426" s="352"/>
      <c r="AS3426" s="352"/>
      <c r="AT3426" s="352"/>
      <c r="AU3426" s="352"/>
      <c r="AV3426" s="352"/>
      <c r="AW3426" s="352" t="s">
        <v>254</v>
      </c>
    </row>
    <row r="3427" spans="2:49" x14ac:dyDescent="0.2">
      <c r="B3427" s="460" t="s">
        <v>3378</v>
      </c>
      <c r="C3427" s="460">
        <v>6000</v>
      </c>
      <c r="D3427" s="460" t="s">
        <v>2310</v>
      </c>
      <c r="E3427" s="460" t="s">
        <v>2296</v>
      </c>
      <c r="F3427" s="460">
        <v>1</v>
      </c>
      <c r="G3427" s="460">
        <v>2</v>
      </c>
      <c r="H3427" s="461" t="s">
        <v>746</v>
      </c>
      <c r="I3427" s="461" t="s">
        <v>762</v>
      </c>
      <c r="J3427" s="461" t="s">
        <v>700</v>
      </c>
      <c r="K3427" s="594"/>
      <c r="L3427" s="594"/>
      <c r="M3427" s="352">
        <v>6000</v>
      </c>
      <c r="N3427" s="352" t="s">
        <v>871</v>
      </c>
      <c r="O3427" s="460">
        <v>5111</v>
      </c>
      <c r="P3427" s="460" t="s">
        <v>783</v>
      </c>
      <c r="Q3427" s="460" t="s">
        <v>2553</v>
      </c>
      <c r="R3427" s="460">
        <v>5111</v>
      </c>
      <c r="S3427" s="460" t="s">
        <v>2296</v>
      </c>
      <c r="T3427" s="462">
        <v>1</v>
      </c>
      <c r="U3427" s="460" t="s">
        <v>2296</v>
      </c>
      <c r="V3427" s="475">
        <v>0</v>
      </c>
      <c r="W3427" s="463" t="s">
        <v>2268</v>
      </c>
      <c r="X3427" s="463" t="s">
        <v>2268</v>
      </c>
      <c r="Y3427" s="463" t="s">
        <v>2554</v>
      </c>
      <c r="Z3427" s="463"/>
      <c r="AA3427" s="463"/>
      <c r="AB3427" s="464">
        <v>0</v>
      </c>
      <c r="AC3427" s="465">
        <v>0</v>
      </c>
      <c r="AD3427" s="465">
        <v>0</v>
      </c>
      <c r="AE3427" s="476">
        <v>0</v>
      </c>
      <c r="AF3427" s="467">
        <v>0</v>
      </c>
      <c r="AG3427" s="468">
        <v>0</v>
      </c>
      <c r="AH3427" s="218">
        <v>0</v>
      </c>
      <c r="AI3427" s="470">
        <v>0</v>
      </c>
      <c r="AJ3427" s="471">
        <v>0</v>
      </c>
      <c r="AK3427" s="218">
        <v>0</v>
      </c>
      <c r="AL3427" s="470">
        <v>0</v>
      </c>
      <c r="AM3427" s="471">
        <v>0</v>
      </c>
      <c r="AN3427" s="477">
        <v>32.560840118986491</v>
      </c>
      <c r="AO3427" s="473">
        <v>1.2634251764763206E-3</v>
      </c>
      <c r="AP3427" s="474">
        <v>2.418797554286551E-3</v>
      </c>
      <c r="AQ3427" s="352"/>
      <c r="AR3427" s="352"/>
      <c r="AS3427" s="352"/>
      <c r="AT3427" s="352"/>
      <c r="AU3427" s="352"/>
      <c r="AV3427" s="352"/>
      <c r="AW3427" s="352" t="s">
        <v>254</v>
      </c>
    </row>
    <row r="3428" spans="2:49" x14ac:dyDescent="0.2">
      <c r="B3428" s="460" t="s">
        <v>3379</v>
      </c>
      <c r="C3428" s="460">
        <v>6000</v>
      </c>
      <c r="D3428" s="460" t="s">
        <v>2311</v>
      </c>
      <c r="E3428" s="460" t="s">
        <v>2299</v>
      </c>
      <c r="F3428" s="460">
        <v>2</v>
      </c>
      <c r="G3428" s="460">
        <v>2</v>
      </c>
      <c r="H3428" s="461" t="s">
        <v>746</v>
      </c>
      <c r="I3428" s="461" t="s">
        <v>762</v>
      </c>
      <c r="J3428" s="461" t="s">
        <v>700</v>
      </c>
      <c r="K3428" s="594"/>
      <c r="L3428" s="594"/>
      <c r="M3428" s="352">
        <v>6000</v>
      </c>
      <c r="N3428" s="352" t="s">
        <v>871</v>
      </c>
      <c r="O3428" s="460">
        <v>5111</v>
      </c>
      <c r="P3428" s="460" t="s">
        <v>783</v>
      </c>
      <c r="Q3428" s="460" t="s">
        <v>2553</v>
      </c>
      <c r="R3428" s="460">
        <v>5111</v>
      </c>
      <c r="S3428" s="460" t="s">
        <v>2296</v>
      </c>
      <c r="T3428" s="462">
        <v>0.55517361979372948</v>
      </c>
      <c r="U3428" s="460" t="s">
        <v>2299</v>
      </c>
      <c r="V3428" s="475">
        <v>0</v>
      </c>
      <c r="W3428" s="463" t="s">
        <v>2268</v>
      </c>
      <c r="X3428" s="463" t="s">
        <v>2268</v>
      </c>
      <c r="Y3428" s="463" t="s">
        <v>2554</v>
      </c>
      <c r="Z3428" s="463"/>
      <c r="AA3428" s="463"/>
      <c r="AB3428" s="464">
        <v>0</v>
      </c>
      <c r="AC3428" s="465">
        <v>0</v>
      </c>
      <c r="AD3428" s="465">
        <v>0</v>
      </c>
      <c r="AE3428" s="476">
        <v>0</v>
      </c>
      <c r="AF3428" s="467">
        <v>0</v>
      </c>
      <c r="AG3428" s="468">
        <v>0</v>
      </c>
      <c r="AH3428" s="218">
        <v>0</v>
      </c>
      <c r="AI3428" s="470">
        <v>0</v>
      </c>
      <c r="AJ3428" s="471">
        <v>0</v>
      </c>
      <c r="AK3428" s="218">
        <v>0</v>
      </c>
      <c r="AL3428" s="470">
        <v>0</v>
      </c>
      <c r="AM3428" s="471">
        <v>0</v>
      </c>
      <c r="AN3428" s="477">
        <v>12.867013375859928</v>
      </c>
      <c r="AO3428" s="473">
        <v>7.0142032856289034E-4</v>
      </c>
      <c r="AP3428" s="474">
        <v>4.0765085516183139E-3</v>
      </c>
      <c r="AQ3428" s="352"/>
      <c r="AR3428" s="352"/>
      <c r="AS3428" s="352"/>
      <c r="AT3428" s="352"/>
      <c r="AU3428" s="352"/>
      <c r="AV3428" s="352"/>
      <c r="AW3428" s="352" t="s">
        <v>254</v>
      </c>
    </row>
    <row r="3429" spans="2:49" x14ac:dyDescent="0.2">
      <c r="B3429" s="460" t="s">
        <v>3380</v>
      </c>
      <c r="C3429" s="460">
        <v>6000</v>
      </c>
      <c r="D3429" s="460" t="s">
        <v>2312</v>
      </c>
      <c r="E3429" s="460" t="s">
        <v>2302</v>
      </c>
      <c r="F3429" s="460">
        <v>3</v>
      </c>
      <c r="G3429" s="460">
        <v>2</v>
      </c>
      <c r="H3429" s="461" t="s">
        <v>746</v>
      </c>
      <c r="I3429" s="461" t="s">
        <v>762</v>
      </c>
      <c r="J3429" s="461" t="s">
        <v>700</v>
      </c>
      <c r="K3429" s="594"/>
      <c r="L3429" s="594"/>
      <c r="M3429" s="352">
        <v>6000</v>
      </c>
      <c r="N3429" s="352" t="s">
        <v>871</v>
      </c>
      <c r="O3429" s="460">
        <v>5111</v>
      </c>
      <c r="P3429" s="460" t="s">
        <v>783</v>
      </c>
      <c r="Q3429" s="460" t="s">
        <v>2553</v>
      </c>
      <c r="R3429" s="460">
        <v>5111</v>
      </c>
      <c r="S3429" s="460" t="s">
        <v>2296</v>
      </c>
      <c r="T3429" s="462">
        <v>0.28481449642268464</v>
      </c>
      <c r="U3429" s="460" t="s">
        <v>2302</v>
      </c>
      <c r="V3429" s="475">
        <v>0</v>
      </c>
      <c r="W3429" s="463" t="s">
        <v>2268</v>
      </c>
      <c r="X3429" s="463" t="s">
        <v>2268</v>
      </c>
      <c r="Y3429" s="463" t="s">
        <v>2554</v>
      </c>
      <c r="Z3429" s="463"/>
      <c r="AA3429" s="463"/>
      <c r="AB3429" s="464">
        <v>0</v>
      </c>
      <c r="AC3429" s="465">
        <v>0</v>
      </c>
      <c r="AD3429" s="465">
        <v>0</v>
      </c>
      <c r="AE3429" s="476">
        <v>0</v>
      </c>
      <c r="AF3429" s="467">
        <v>0</v>
      </c>
      <c r="AG3429" s="468">
        <v>0</v>
      </c>
      <c r="AH3429" s="218">
        <v>0</v>
      </c>
      <c r="AI3429" s="470">
        <v>0</v>
      </c>
      <c r="AJ3429" s="471">
        <v>0</v>
      </c>
      <c r="AK3429" s="218">
        <v>0</v>
      </c>
      <c r="AL3429" s="470">
        <v>0</v>
      </c>
      <c r="AM3429" s="471">
        <v>0</v>
      </c>
      <c r="AN3429" s="477">
        <v>2.6666579155981327</v>
      </c>
      <c r="AO3429" s="473">
        <v>3.5984180540584468E-4</v>
      </c>
      <c r="AP3429" s="474">
        <v>3.5131243599089506E-3</v>
      </c>
      <c r="AQ3429" s="352"/>
      <c r="AR3429" s="352"/>
      <c r="AS3429" s="352"/>
      <c r="AT3429" s="352"/>
      <c r="AU3429" s="352"/>
      <c r="AV3429" s="352"/>
      <c r="AW3429" s="352" t="s">
        <v>254</v>
      </c>
    </row>
    <row r="3430" spans="2:49" x14ac:dyDescent="0.2">
      <c r="B3430" s="460" t="s">
        <v>3381</v>
      </c>
      <c r="C3430" s="460">
        <v>6000</v>
      </c>
      <c r="D3430" s="460" t="s">
        <v>2313</v>
      </c>
      <c r="E3430" s="460" t="s">
        <v>2305</v>
      </c>
      <c r="F3430" s="460">
        <v>4</v>
      </c>
      <c r="G3430" s="460">
        <v>2</v>
      </c>
      <c r="H3430" s="461" t="s">
        <v>746</v>
      </c>
      <c r="I3430" s="461" t="s">
        <v>762</v>
      </c>
      <c r="J3430" s="461" t="s">
        <v>700</v>
      </c>
      <c r="K3430" s="594"/>
      <c r="L3430" s="594"/>
      <c r="M3430" s="352">
        <v>6000</v>
      </c>
      <c r="N3430" s="352" t="s">
        <v>871</v>
      </c>
      <c r="O3430" s="460">
        <v>5111</v>
      </c>
      <c r="P3430" s="460" t="s">
        <v>783</v>
      </c>
      <c r="Q3430" s="460" t="s">
        <v>2553</v>
      </c>
      <c r="R3430" s="460">
        <v>5111</v>
      </c>
      <c r="S3430" s="460" t="s">
        <v>2305</v>
      </c>
      <c r="T3430" s="462">
        <v>1</v>
      </c>
      <c r="U3430" s="460" t="s">
        <v>2305</v>
      </c>
      <c r="V3430" s="475">
        <v>0</v>
      </c>
      <c r="W3430" s="463" t="s">
        <v>2268</v>
      </c>
      <c r="X3430" s="463" t="s">
        <v>2268</v>
      </c>
      <c r="Y3430" s="463" t="s">
        <v>2554</v>
      </c>
      <c r="Z3430" s="463"/>
      <c r="AA3430" s="463"/>
      <c r="AB3430" s="464">
        <v>0</v>
      </c>
      <c r="AC3430" s="465">
        <v>0</v>
      </c>
      <c r="AD3430" s="465">
        <v>0</v>
      </c>
      <c r="AE3430" s="476">
        <v>0</v>
      </c>
      <c r="AF3430" s="467">
        <v>0</v>
      </c>
      <c r="AG3430" s="468">
        <v>0</v>
      </c>
      <c r="AH3430" s="218">
        <v>0</v>
      </c>
      <c r="AI3430" s="470">
        <v>0</v>
      </c>
      <c r="AJ3430" s="471">
        <v>0</v>
      </c>
      <c r="AK3430" s="218">
        <v>0</v>
      </c>
      <c r="AL3430" s="470">
        <v>0</v>
      </c>
      <c r="AM3430" s="471">
        <v>0</v>
      </c>
      <c r="AN3430" s="477">
        <v>2.4023312751743756E-2</v>
      </c>
      <c r="AO3430" s="473">
        <v>2.8541958906086383E-6</v>
      </c>
      <c r="AP3430" s="474">
        <v>2.3447837818197613E-3</v>
      </c>
      <c r="AQ3430" s="352"/>
      <c r="AR3430" s="352"/>
      <c r="AS3430" s="352"/>
      <c r="AT3430" s="352"/>
      <c r="AU3430" s="352"/>
      <c r="AV3430" s="352"/>
      <c r="AW3430" s="352" t="s">
        <v>254</v>
      </c>
    </row>
    <row r="3431" spans="2:49" x14ac:dyDescent="0.2">
      <c r="B3431" s="460" t="s">
        <v>3378</v>
      </c>
      <c r="C3431" s="460">
        <v>6000</v>
      </c>
      <c r="D3431" s="460" t="s">
        <v>2314</v>
      </c>
      <c r="E3431" s="460" t="s">
        <v>2296</v>
      </c>
      <c r="F3431" s="460">
        <v>1</v>
      </c>
      <c r="G3431" s="460">
        <v>2</v>
      </c>
      <c r="H3431" s="461" t="s">
        <v>748</v>
      </c>
      <c r="I3431" s="461" t="s">
        <v>765</v>
      </c>
      <c r="J3431" s="461" t="s">
        <v>700</v>
      </c>
      <c r="K3431" s="594"/>
      <c r="L3431" s="594"/>
      <c r="M3431" s="352">
        <v>6000</v>
      </c>
      <c r="N3431" s="352" t="s">
        <v>871</v>
      </c>
      <c r="O3431" s="460">
        <v>5111</v>
      </c>
      <c r="P3431" s="460" t="s">
        <v>783</v>
      </c>
      <c r="Q3431" s="460" t="s">
        <v>2553</v>
      </c>
      <c r="R3431" s="460">
        <v>5111</v>
      </c>
      <c r="S3431" s="460" t="s">
        <v>2296</v>
      </c>
      <c r="T3431" s="462">
        <v>1</v>
      </c>
      <c r="U3431" s="460" t="s">
        <v>2296</v>
      </c>
      <c r="V3431" s="475">
        <v>0</v>
      </c>
      <c r="W3431" s="463" t="s">
        <v>2268</v>
      </c>
      <c r="X3431" s="463" t="s">
        <v>2268</v>
      </c>
      <c r="Y3431" s="463" t="s">
        <v>2554</v>
      </c>
      <c r="Z3431" s="463"/>
      <c r="AA3431" s="463"/>
      <c r="AB3431" s="464">
        <v>0</v>
      </c>
      <c r="AC3431" s="465">
        <v>0</v>
      </c>
      <c r="AD3431" s="465">
        <v>0</v>
      </c>
      <c r="AE3431" s="476">
        <v>0</v>
      </c>
      <c r="AF3431" s="467">
        <v>0</v>
      </c>
      <c r="AG3431" s="468">
        <v>0</v>
      </c>
      <c r="AH3431" s="218">
        <v>0</v>
      </c>
      <c r="AI3431" s="470">
        <v>0</v>
      </c>
      <c r="AJ3431" s="471">
        <v>0</v>
      </c>
      <c r="AK3431" s="218">
        <v>0</v>
      </c>
      <c r="AL3431" s="470">
        <v>0</v>
      </c>
      <c r="AM3431" s="471">
        <v>0</v>
      </c>
      <c r="AN3431" s="477">
        <v>8.1402100297466315</v>
      </c>
      <c r="AO3431" s="473">
        <v>3.1585629411908048E-4</v>
      </c>
      <c r="AP3431" s="474">
        <v>2.4867226630463407E-3</v>
      </c>
      <c r="AQ3431" s="352"/>
      <c r="AR3431" s="352"/>
      <c r="AS3431" s="352"/>
      <c r="AT3431" s="352"/>
      <c r="AU3431" s="352"/>
      <c r="AV3431" s="352"/>
      <c r="AW3431" s="352" t="s">
        <v>254</v>
      </c>
    </row>
    <row r="3432" spans="2:49" x14ac:dyDescent="0.2">
      <c r="B3432" s="460" t="s">
        <v>3379</v>
      </c>
      <c r="C3432" s="460">
        <v>6000</v>
      </c>
      <c r="D3432" s="460" t="s">
        <v>2315</v>
      </c>
      <c r="E3432" s="460" t="s">
        <v>2299</v>
      </c>
      <c r="F3432" s="460">
        <v>2</v>
      </c>
      <c r="G3432" s="460">
        <v>2</v>
      </c>
      <c r="H3432" s="461" t="s">
        <v>748</v>
      </c>
      <c r="I3432" s="461" t="s">
        <v>765</v>
      </c>
      <c r="J3432" s="461" t="s">
        <v>700</v>
      </c>
      <c r="K3432" s="594"/>
      <c r="L3432" s="594"/>
      <c r="M3432" s="352">
        <v>6000</v>
      </c>
      <c r="N3432" s="352" t="s">
        <v>871</v>
      </c>
      <c r="O3432" s="460">
        <v>5111</v>
      </c>
      <c r="P3432" s="460" t="s">
        <v>783</v>
      </c>
      <c r="Q3432" s="460" t="s">
        <v>2553</v>
      </c>
      <c r="R3432" s="460">
        <v>5111</v>
      </c>
      <c r="S3432" s="460" t="s">
        <v>2296</v>
      </c>
      <c r="T3432" s="462">
        <v>0.55517361979372948</v>
      </c>
      <c r="U3432" s="460" t="s">
        <v>2299</v>
      </c>
      <c r="V3432" s="475">
        <v>0</v>
      </c>
      <c r="W3432" s="463" t="s">
        <v>2268</v>
      </c>
      <c r="X3432" s="463" t="s">
        <v>2268</v>
      </c>
      <c r="Y3432" s="463" t="s">
        <v>2554</v>
      </c>
      <c r="Z3432" s="463"/>
      <c r="AA3432" s="463"/>
      <c r="AB3432" s="464">
        <v>0</v>
      </c>
      <c r="AC3432" s="465">
        <v>0</v>
      </c>
      <c r="AD3432" s="465">
        <v>0</v>
      </c>
      <c r="AE3432" s="476">
        <v>0</v>
      </c>
      <c r="AF3432" s="467">
        <v>0</v>
      </c>
      <c r="AG3432" s="468">
        <v>0</v>
      </c>
      <c r="AH3432" s="218">
        <v>0</v>
      </c>
      <c r="AI3432" s="470">
        <v>0</v>
      </c>
      <c r="AJ3432" s="471">
        <v>0</v>
      </c>
      <c r="AK3432" s="218">
        <v>0</v>
      </c>
      <c r="AL3432" s="470">
        <v>0</v>
      </c>
      <c r="AM3432" s="471">
        <v>0</v>
      </c>
      <c r="AN3432" s="477">
        <v>3.2167533439649856</v>
      </c>
      <c r="AO3432" s="473">
        <v>1.7535508214072278E-4</v>
      </c>
      <c r="AP3432" s="474">
        <v>2.9802644131916873E-3</v>
      </c>
      <c r="AQ3432" s="352"/>
      <c r="AR3432" s="352"/>
      <c r="AS3432" s="352"/>
      <c r="AT3432" s="352"/>
      <c r="AU3432" s="352"/>
      <c r="AV3432" s="352"/>
      <c r="AW3432" s="352" t="s">
        <v>254</v>
      </c>
    </row>
    <row r="3433" spans="2:49" x14ac:dyDescent="0.2">
      <c r="B3433" s="460" t="s">
        <v>3380</v>
      </c>
      <c r="C3433" s="460">
        <v>6000</v>
      </c>
      <c r="D3433" s="460" t="s">
        <v>2316</v>
      </c>
      <c r="E3433" s="460" t="s">
        <v>2302</v>
      </c>
      <c r="F3433" s="460">
        <v>3</v>
      </c>
      <c r="G3433" s="460">
        <v>2</v>
      </c>
      <c r="H3433" s="461" t="s">
        <v>748</v>
      </c>
      <c r="I3433" s="461" t="s">
        <v>765</v>
      </c>
      <c r="J3433" s="461" t="s">
        <v>700</v>
      </c>
      <c r="K3433" s="594"/>
      <c r="L3433" s="594"/>
      <c r="M3433" s="352">
        <v>6000</v>
      </c>
      <c r="N3433" s="352" t="s">
        <v>871</v>
      </c>
      <c r="O3433" s="460">
        <v>5111</v>
      </c>
      <c r="P3433" s="460" t="s">
        <v>783</v>
      </c>
      <c r="Q3433" s="460" t="s">
        <v>2553</v>
      </c>
      <c r="R3433" s="460">
        <v>5111</v>
      </c>
      <c r="S3433" s="460" t="s">
        <v>2296</v>
      </c>
      <c r="T3433" s="462">
        <v>0.28481449642268464</v>
      </c>
      <c r="U3433" s="460" t="s">
        <v>2302</v>
      </c>
      <c r="V3433" s="475">
        <v>0</v>
      </c>
      <c r="W3433" s="463" t="s">
        <v>2268</v>
      </c>
      <c r="X3433" s="463" t="s">
        <v>2268</v>
      </c>
      <c r="Y3433" s="463" t="s">
        <v>2554</v>
      </c>
      <c r="Z3433" s="463"/>
      <c r="AA3433" s="463"/>
      <c r="AB3433" s="464">
        <v>0</v>
      </c>
      <c r="AC3433" s="465">
        <v>0</v>
      </c>
      <c r="AD3433" s="465">
        <v>0</v>
      </c>
      <c r="AE3433" s="476">
        <v>0</v>
      </c>
      <c r="AF3433" s="467">
        <v>0</v>
      </c>
      <c r="AG3433" s="468">
        <v>0</v>
      </c>
      <c r="AH3433" s="218">
        <v>0</v>
      </c>
      <c r="AI3433" s="470">
        <v>0</v>
      </c>
      <c r="AJ3433" s="471">
        <v>0</v>
      </c>
      <c r="AK3433" s="218">
        <v>0</v>
      </c>
      <c r="AL3433" s="470">
        <v>0</v>
      </c>
      <c r="AM3433" s="471">
        <v>0</v>
      </c>
      <c r="AN3433" s="477">
        <v>0.66666447889953395</v>
      </c>
      <c r="AO3433" s="473">
        <v>8.9960451351461278E-5</v>
      </c>
      <c r="AP3433" s="474">
        <v>2.852613036322873E-3</v>
      </c>
      <c r="AQ3433" s="352"/>
      <c r="AR3433" s="352"/>
      <c r="AS3433" s="352"/>
      <c r="AT3433" s="352"/>
      <c r="AU3433" s="352"/>
      <c r="AV3433" s="352"/>
      <c r="AW3433" s="352" t="s">
        <v>254</v>
      </c>
    </row>
    <row r="3434" spans="2:49" x14ac:dyDescent="0.2">
      <c r="B3434" s="460" t="s">
        <v>3381</v>
      </c>
      <c r="C3434" s="460">
        <v>6000</v>
      </c>
      <c r="D3434" s="460" t="s">
        <v>2317</v>
      </c>
      <c r="E3434" s="460" t="s">
        <v>2305</v>
      </c>
      <c r="F3434" s="460">
        <v>4</v>
      </c>
      <c r="G3434" s="460">
        <v>2</v>
      </c>
      <c r="H3434" s="461" t="s">
        <v>748</v>
      </c>
      <c r="I3434" s="461" t="s">
        <v>765</v>
      </c>
      <c r="J3434" s="461" t="s">
        <v>700</v>
      </c>
      <c r="K3434" s="594"/>
      <c r="L3434" s="594"/>
      <c r="M3434" s="352">
        <v>6000</v>
      </c>
      <c r="N3434" s="352" t="s">
        <v>871</v>
      </c>
      <c r="O3434" s="460">
        <v>5111</v>
      </c>
      <c r="P3434" s="460" t="s">
        <v>783</v>
      </c>
      <c r="Q3434" s="460" t="s">
        <v>2553</v>
      </c>
      <c r="R3434" s="460">
        <v>5111</v>
      </c>
      <c r="S3434" s="460" t="s">
        <v>2305</v>
      </c>
      <c r="T3434" s="462">
        <v>1</v>
      </c>
      <c r="U3434" s="460" t="s">
        <v>2305</v>
      </c>
      <c r="V3434" s="475">
        <v>0</v>
      </c>
      <c r="W3434" s="463" t="s">
        <v>2268</v>
      </c>
      <c r="X3434" s="463" t="s">
        <v>2268</v>
      </c>
      <c r="Y3434" s="463" t="s">
        <v>2554</v>
      </c>
      <c r="Z3434" s="463"/>
      <c r="AA3434" s="463"/>
      <c r="AB3434" s="464">
        <v>0</v>
      </c>
      <c r="AC3434" s="465">
        <v>0</v>
      </c>
      <c r="AD3434" s="465">
        <v>0</v>
      </c>
      <c r="AE3434" s="476">
        <v>0</v>
      </c>
      <c r="AF3434" s="467">
        <v>0</v>
      </c>
      <c r="AG3434" s="468">
        <v>0</v>
      </c>
      <c r="AH3434" s="218">
        <v>0</v>
      </c>
      <c r="AI3434" s="470">
        <v>0</v>
      </c>
      <c r="AJ3434" s="471">
        <v>0</v>
      </c>
      <c r="AK3434" s="218">
        <v>0</v>
      </c>
      <c r="AL3434" s="470">
        <v>0</v>
      </c>
      <c r="AM3434" s="471">
        <v>0</v>
      </c>
      <c r="AN3434" s="477">
        <v>6.0058281879359458E-3</v>
      </c>
      <c r="AO3434" s="473">
        <v>7.1354897265216043E-7</v>
      </c>
      <c r="AP3434" s="474">
        <v>4.9049295897132684E-3</v>
      </c>
      <c r="AQ3434" s="352"/>
      <c r="AR3434" s="352"/>
      <c r="AS3434" s="352"/>
      <c r="AT3434" s="352"/>
      <c r="AU3434" s="352"/>
      <c r="AV3434" s="352"/>
      <c r="AW3434" s="352" t="s">
        <v>254</v>
      </c>
    </row>
    <row r="3435" spans="2:49" x14ac:dyDescent="0.2">
      <c r="B3435" s="460" t="s">
        <v>3386</v>
      </c>
      <c r="C3435" s="460">
        <v>6000</v>
      </c>
      <c r="D3435" s="460" t="s">
        <v>2323</v>
      </c>
      <c r="E3435" s="460" t="s">
        <v>2324</v>
      </c>
      <c r="F3435" s="460">
        <v>1</v>
      </c>
      <c r="G3435" s="460">
        <v>3</v>
      </c>
      <c r="H3435" s="461" t="s">
        <v>700</v>
      </c>
      <c r="I3435" s="461" t="s">
        <v>872</v>
      </c>
      <c r="J3435" s="461" t="s">
        <v>700</v>
      </c>
      <c r="K3435" s="594"/>
      <c r="L3435" s="594"/>
      <c r="M3435" s="352">
        <v>6000</v>
      </c>
      <c r="N3435" s="352" t="s">
        <v>871</v>
      </c>
      <c r="O3435" s="460">
        <v>5111</v>
      </c>
      <c r="P3435" s="460" t="s">
        <v>783</v>
      </c>
      <c r="Q3435" s="460" t="s">
        <v>2553</v>
      </c>
      <c r="R3435" s="460">
        <v>5111</v>
      </c>
      <c r="S3435" s="460" t="s">
        <v>2324</v>
      </c>
      <c r="T3435" s="462">
        <v>1</v>
      </c>
      <c r="U3435" s="460" t="s">
        <v>2324</v>
      </c>
      <c r="V3435" s="475">
        <v>0</v>
      </c>
      <c r="W3435" s="463" t="s">
        <v>2554</v>
      </c>
      <c r="X3435" s="463" t="s">
        <v>2554</v>
      </c>
      <c r="Y3435" s="463" t="s">
        <v>2268</v>
      </c>
      <c r="Z3435" s="463"/>
      <c r="AA3435" s="463"/>
      <c r="AB3435" s="464">
        <v>933.19711519796442</v>
      </c>
      <c r="AC3435" s="465">
        <v>7.5863501779393052E-3</v>
      </c>
      <c r="AD3435" s="465">
        <v>7.9999999999999984E-3</v>
      </c>
      <c r="AE3435" s="476">
        <v>233.29927879949111</v>
      </c>
      <c r="AF3435" s="467">
        <v>1.8965875444848263E-3</v>
      </c>
      <c r="AG3435" s="468">
        <v>2.1423962115016838E-3</v>
      </c>
      <c r="AH3435" s="218">
        <v>233.29927879949111</v>
      </c>
      <c r="AI3435" s="470">
        <v>1.8965875444848263E-3</v>
      </c>
      <c r="AJ3435" s="471">
        <v>2.0458498599203998E-3</v>
      </c>
      <c r="AK3435" s="218">
        <v>233.29927879949111</v>
      </c>
      <c r="AL3435" s="470">
        <v>1.8965875444848263E-3</v>
      </c>
      <c r="AM3435" s="471">
        <v>2.0458498599203998E-3</v>
      </c>
      <c r="AN3435" s="477">
        <v>0</v>
      </c>
      <c r="AO3435" s="473">
        <v>0</v>
      </c>
      <c r="AP3435" s="474">
        <v>0</v>
      </c>
      <c r="AQ3435" s="352"/>
      <c r="AR3435" s="352"/>
      <c r="AS3435" s="352"/>
      <c r="AT3435" s="352"/>
      <c r="AU3435" s="352"/>
      <c r="AV3435" s="352"/>
      <c r="AW3435" s="352" t="s">
        <v>254</v>
      </c>
    </row>
    <row r="3436" spans="2:49" x14ac:dyDescent="0.2">
      <c r="B3436" s="460" t="s">
        <v>3387</v>
      </c>
      <c r="C3436" s="460">
        <v>6000</v>
      </c>
      <c r="D3436" s="460" t="s">
        <v>2326</v>
      </c>
      <c r="E3436" s="460" t="s">
        <v>2327</v>
      </c>
      <c r="F3436" s="460">
        <v>2</v>
      </c>
      <c r="G3436" s="460">
        <v>3</v>
      </c>
      <c r="H3436" s="461" t="s">
        <v>700</v>
      </c>
      <c r="I3436" s="461" t="s">
        <v>872</v>
      </c>
      <c r="J3436" s="461" t="s">
        <v>700</v>
      </c>
      <c r="K3436" s="594"/>
      <c r="L3436" s="594"/>
      <c r="M3436" s="352">
        <v>6000</v>
      </c>
      <c r="N3436" s="352" t="s">
        <v>871</v>
      </c>
      <c r="O3436" s="460">
        <v>5111</v>
      </c>
      <c r="P3436" s="460" t="s">
        <v>783</v>
      </c>
      <c r="Q3436" s="460" t="s">
        <v>2553</v>
      </c>
      <c r="R3436" s="460">
        <v>5111</v>
      </c>
      <c r="S3436" s="460" t="s">
        <v>2324</v>
      </c>
      <c r="T3436" s="462">
        <v>1</v>
      </c>
      <c r="U3436" s="460" t="s">
        <v>2327</v>
      </c>
      <c r="V3436" s="475">
        <v>0</v>
      </c>
      <c r="W3436" s="463" t="s">
        <v>2554</v>
      </c>
      <c r="X3436" s="463" t="s">
        <v>2554</v>
      </c>
      <c r="Y3436" s="463" t="s">
        <v>2268</v>
      </c>
      <c r="Z3436" s="463"/>
      <c r="AA3436" s="463"/>
      <c r="AB3436" s="464">
        <v>541.64512736782274</v>
      </c>
      <c r="AC3436" s="465">
        <v>6.0360046734734699E-3</v>
      </c>
      <c r="AD3436" s="465">
        <v>8.0000000000000002E-3</v>
      </c>
      <c r="AE3436" s="476">
        <v>135.41128184195568</v>
      </c>
      <c r="AF3436" s="467">
        <v>1.5090011683683675E-3</v>
      </c>
      <c r="AG3436" s="468">
        <v>2.1662216174683641E-3</v>
      </c>
      <c r="AH3436" s="218">
        <v>170.1916180766564</v>
      </c>
      <c r="AI3436" s="470">
        <v>1.8965875444848263E-3</v>
      </c>
      <c r="AJ3436" s="471">
        <v>2.2913222423625547E-3</v>
      </c>
      <c r="AK3436" s="218">
        <v>170.1916180766564</v>
      </c>
      <c r="AL3436" s="470">
        <v>1.8965875444848263E-3</v>
      </c>
      <c r="AM3436" s="471">
        <v>2.2913222423625547E-3</v>
      </c>
      <c r="AN3436" s="477">
        <v>0</v>
      </c>
      <c r="AO3436" s="473">
        <v>0</v>
      </c>
      <c r="AP3436" s="474">
        <v>0</v>
      </c>
      <c r="AQ3436" s="352"/>
      <c r="AR3436" s="352"/>
      <c r="AS3436" s="352"/>
      <c r="AT3436" s="352"/>
      <c r="AU3436" s="352"/>
      <c r="AV3436" s="352"/>
      <c r="AW3436" s="352" t="s">
        <v>254</v>
      </c>
    </row>
    <row r="3437" spans="2:49" x14ac:dyDescent="0.2">
      <c r="B3437" s="460" t="s">
        <v>3388</v>
      </c>
      <c r="C3437" s="460">
        <v>6000</v>
      </c>
      <c r="D3437" s="460" t="s">
        <v>2329</v>
      </c>
      <c r="E3437" s="460" t="s">
        <v>2330</v>
      </c>
      <c r="F3437" s="460">
        <v>3</v>
      </c>
      <c r="G3437" s="460">
        <v>3</v>
      </c>
      <c r="H3437" s="461" t="s">
        <v>700</v>
      </c>
      <c r="I3437" s="461" t="s">
        <v>872</v>
      </c>
      <c r="J3437" s="461" t="s">
        <v>700</v>
      </c>
      <c r="K3437" s="594"/>
      <c r="L3437" s="594"/>
      <c r="M3437" s="352">
        <v>6000</v>
      </c>
      <c r="N3437" s="352" t="s">
        <v>871</v>
      </c>
      <c r="O3437" s="460">
        <v>5111</v>
      </c>
      <c r="P3437" s="460" t="s">
        <v>783</v>
      </c>
      <c r="Q3437" s="460" t="s">
        <v>2553</v>
      </c>
      <c r="R3437" s="460">
        <v>5111</v>
      </c>
      <c r="S3437" s="460" t="s">
        <v>2324</v>
      </c>
      <c r="T3437" s="462">
        <v>1</v>
      </c>
      <c r="U3437" s="460" t="s">
        <v>2330</v>
      </c>
      <c r="V3437" s="475">
        <v>0</v>
      </c>
      <c r="W3437" s="463" t="s">
        <v>2554</v>
      </c>
      <c r="X3437" s="463" t="s">
        <v>2554</v>
      </c>
      <c r="Y3437" s="463" t="s">
        <v>2268</v>
      </c>
      <c r="Z3437" s="463"/>
      <c r="AA3437" s="463"/>
      <c r="AB3437" s="464">
        <v>211.85761339693727</v>
      </c>
      <c r="AC3437" s="465">
        <v>1.0915262837815092E-2</v>
      </c>
      <c r="AD3437" s="465">
        <v>8.0000000000000002E-3</v>
      </c>
      <c r="AE3437" s="476">
        <v>52.964403349234317</v>
      </c>
      <c r="AF3437" s="467">
        <v>2.728815709453773E-3</v>
      </c>
      <c r="AG3437" s="468">
        <v>2.1435256483439626E-3</v>
      </c>
      <c r="AH3437" s="218">
        <v>52.964403349234317</v>
      </c>
      <c r="AI3437" s="470">
        <v>2.728815709453773E-3</v>
      </c>
      <c r="AJ3437" s="471">
        <v>1.8660602408987507E-3</v>
      </c>
      <c r="AK3437" s="218">
        <v>52.964403349234317</v>
      </c>
      <c r="AL3437" s="470">
        <v>2.728815709453773E-3</v>
      </c>
      <c r="AM3437" s="471">
        <v>1.8660602408987507E-3</v>
      </c>
      <c r="AN3437" s="477">
        <v>0</v>
      </c>
      <c r="AO3437" s="473">
        <v>0</v>
      </c>
      <c r="AP3437" s="474">
        <v>0</v>
      </c>
      <c r="AQ3437" s="352"/>
      <c r="AR3437" s="352"/>
      <c r="AS3437" s="352"/>
      <c r="AT3437" s="352"/>
      <c r="AU3437" s="352"/>
      <c r="AV3437" s="352"/>
      <c r="AW3437" s="352" t="s">
        <v>254</v>
      </c>
    </row>
    <row r="3438" spans="2:49" x14ac:dyDescent="0.2">
      <c r="B3438" s="460" t="s">
        <v>3389</v>
      </c>
      <c r="C3438" s="460">
        <v>6000</v>
      </c>
      <c r="D3438" s="460" t="s">
        <v>2332</v>
      </c>
      <c r="E3438" s="460" t="s">
        <v>2333</v>
      </c>
      <c r="F3438" s="460">
        <v>4</v>
      </c>
      <c r="G3438" s="460">
        <v>3</v>
      </c>
      <c r="H3438" s="461" t="s">
        <v>700</v>
      </c>
      <c r="I3438" s="461" t="s">
        <v>872</v>
      </c>
      <c r="J3438" s="461" t="s">
        <v>700</v>
      </c>
      <c r="K3438" s="594"/>
      <c r="L3438" s="594"/>
      <c r="M3438" s="352">
        <v>6000</v>
      </c>
      <c r="N3438" s="352" t="s">
        <v>871</v>
      </c>
      <c r="O3438" s="460">
        <v>5111</v>
      </c>
      <c r="P3438" s="460" t="s">
        <v>783</v>
      </c>
      <c r="Q3438" s="460" t="s">
        <v>2553</v>
      </c>
      <c r="R3438" s="460">
        <v>5111</v>
      </c>
      <c r="S3438" s="460" t="s">
        <v>2333</v>
      </c>
      <c r="T3438" s="462">
        <v>1</v>
      </c>
      <c r="U3438" s="460" t="s">
        <v>2333</v>
      </c>
      <c r="V3438" s="475">
        <v>0</v>
      </c>
      <c r="W3438" s="463" t="s">
        <v>2554</v>
      </c>
      <c r="X3438" s="463" t="s">
        <v>2554</v>
      </c>
      <c r="Y3438" s="463" t="s">
        <v>2268</v>
      </c>
      <c r="Z3438" s="463"/>
      <c r="AA3438" s="463"/>
      <c r="AB3438" s="464">
        <v>115.99490574678119</v>
      </c>
      <c r="AC3438" s="465">
        <v>5.117281473901527E-3</v>
      </c>
      <c r="AD3438" s="465">
        <v>8.0000000000000019E-3</v>
      </c>
      <c r="AE3438" s="476">
        <v>28.998726436695296</v>
      </c>
      <c r="AF3438" s="467">
        <v>1.2793203684753817E-3</v>
      </c>
      <c r="AG3438" s="468">
        <v>2.2072536815517124E-3</v>
      </c>
      <c r="AH3438" s="218">
        <v>28.998726436695296</v>
      </c>
      <c r="AI3438" s="470">
        <v>1.2793203684753817E-3</v>
      </c>
      <c r="AJ3438" s="471">
        <v>2.1385522810721366E-3</v>
      </c>
      <c r="AK3438" s="218">
        <v>28.998726436695296</v>
      </c>
      <c r="AL3438" s="470">
        <v>1.2793203684753817E-3</v>
      </c>
      <c r="AM3438" s="471">
        <v>2.1385522810721366E-3</v>
      </c>
      <c r="AN3438" s="477">
        <v>0</v>
      </c>
      <c r="AO3438" s="473">
        <v>0</v>
      </c>
      <c r="AP3438" s="474">
        <v>0</v>
      </c>
      <c r="AQ3438" s="352"/>
      <c r="AR3438" s="352"/>
      <c r="AS3438" s="352"/>
      <c r="AT3438" s="352"/>
      <c r="AU3438" s="352"/>
      <c r="AV3438" s="352"/>
      <c r="AW3438" s="352" t="s">
        <v>254</v>
      </c>
    </row>
    <row r="3439" spans="2:49" x14ac:dyDescent="0.2">
      <c r="B3439" s="460" t="s">
        <v>3386</v>
      </c>
      <c r="C3439" s="460">
        <v>6000</v>
      </c>
      <c r="D3439" s="460" t="s">
        <v>2334</v>
      </c>
      <c r="E3439" s="460" t="s">
        <v>2324</v>
      </c>
      <c r="F3439" s="460">
        <v>1</v>
      </c>
      <c r="G3439" s="460">
        <v>3</v>
      </c>
      <c r="H3439" s="461" t="s">
        <v>712</v>
      </c>
      <c r="I3439" s="461" t="s">
        <v>713</v>
      </c>
      <c r="J3439" s="461" t="s">
        <v>712</v>
      </c>
      <c r="K3439" s="594"/>
      <c r="L3439" s="594"/>
      <c r="M3439" s="352">
        <v>6000</v>
      </c>
      <c r="N3439" s="352" t="s">
        <v>871</v>
      </c>
      <c r="O3439" s="460">
        <v>5111</v>
      </c>
      <c r="P3439" s="460" t="s">
        <v>783</v>
      </c>
      <c r="Q3439" s="460" t="s">
        <v>2280</v>
      </c>
      <c r="R3439" s="460">
        <v>5111</v>
      </c>
      <c r="S3439" s="460" t="s">
        <v>2324</v>
      </c>
      <c r="T3439" s="462">
        <v>1</v>
      </c>
      <c r="U3439" s="460" t="s">
        <v>2324</v>
      </c>
      <c r="V3439" s="475">
        <v>0</v>
      </c>
      <c r="W3439" s="463" t="s">
        <v>713</v>
      </c>
      <c r="X3439" s="463" t="s">
        <v>713</v>
      </c>
      <c r="Y3439" s="463" t="s">
        <v>713</v>
      </c>
      <c r="Z3439" s="463"/>
      <c r="AA3439" s="463"/>
      <c r="AB3439" s="464">
        <v>101175.03989706718</v>
      </c>
      <c r="AC3439" s="465">
        <v>0.82249427203094949</v>
      </c>
      <c r="AD3439" s="465">
        <v>0.25262356180680073</v>
      </c>
      <c r="AE3439" s="476">
        <v>101874.93773346566</v>
      </c>
      <c r="AF3439" s="467">
        <v>0.82818403466440405</v>
      </c>
      <c r="AG3439" s="468">
        <v>0.24954028806222386</v>
      </c>
      <c r="AH3439" s="218">
        <v>101874.93773346566</v>
      </c>
      <c r="AI3439" s="470">
        <v>0.82818403466440405</v>
      </c>
      <c r="AJ3439" s="471">
        <v>0.25272148972919617</v>
      </c>
      <c r="AK3439" s="218">
        <v>101874.93773346566</v>
      </c>
      <c r="AL3439" s="470">
        <v>0.82818403466440405</v>
      </c>
      <c r="AM3439" s="471">
        <v>0.25272148972919617</v>
      </c>
      <c r="AN3439" s="477">
        <v>101874.93773346566</v>
      </c>
      <c r="AO3439" s="473">
        <v>0.82818403466440405</v>
      </c>
      <c r="AP3439" s="474">
        <v>0.2525985021081677</v>
      </c>
      <c r="AQ3439" s="352"/>
      <c r="AR3439" s="352"/>
      <c r="AS3439" s="352"/>
      <c r="AT3439" s="352"/>
      <c r="AU3439" s="352"/>
      <c r="AV3439" s="352"/>
      <c r="AW3439" s="352" t="s">
        <v>254</v>
      </c>
    </row>
    <row r="3440" spans="2:49" x14ac:dyDescent="0.2">
      <c r="B3440" s="460" t="s">
        <v>3387</v>
      </c>
      <c r="C3440" s="460">
        <v>6000</v>
      </c>
      <c r="D3440" s="460" t="s">
        <v>2335</v>
      </c>
      <c r="E3440" s="460" t="s">
        <v>2327</v>
      </c>
      <c r="F3440" s="460">
        <v>2</v>
      </c>
      <c r="G3440" s="460">
        <v>3</v>
      </c>
      <c r="H3440" s="461" t="s">
        <v>712</v>
      </c>
      <c r="I3440" s="461" t="s">
        <v>713</v>
      </c>
      <c r="J3440" s="461" t="s">
        <v>712</v>
      </c>
      <c r="K3440" s="594"/>
      <c r="L3440" s="594"/>
      <c r="M3440" s="352">
        <v>6000</v>
      </c>
      <c r="N3440" s="352" t="s">
        <v>871</v>
      </c>
      <c r="O3440" s="460">
        <v>5111</v>
      </c>
      <c r="P3440" s="460" t="s">
        <v>783</v>
      </c>
      <c r="Q3440" s="460" t="s">
        <v>2280</v>
      </c>
      <c r="R3440" s="460">
        <v>5111</v>
      </c>
      <c r="S3440" s="460" t="s">
        <v>2324</v>
      </c>
      <c r="T3440" s="462">
        <v>1</v>
      </c>
      <c r="U3440" s="460" t="s">
        <v>2327</v>
      </c>
      <c r="V3440" s="475">
        <v>0</v>
      </c>
      <c r="W3440" s="463" t="s">
        <v>713</v>
      </c>
      <c r="X3440" s="463" t="s">
        <v>713</v>
      </c>
      <c r="Y3440" s="463" t="s">
        <v>713</v>
      </c>
      <c r="Z3440" s="463"/>
      <c r="AA3440" s="463"/>
      <c r="AB3440" s="464">
        <v>85350.315593701976</v>
      </c>
      <c r="AC3440" s="465">
        <v>0.95112995165222547</v>
      </c>
      <c r="AD3440" s="465">
        <v>0.27334279215903234</v>
      </c>
      <c r="AE3440" s="476">
        <v>85756.549439227849</v>
      </c>
      <c r="AF3440" s="467">
        <v>0.95565695515733062</v>
      </c>
      <c r="AG3440" s="468">
        <v>0.270148945638366</v>
      </c>
      <c r="AH3440" s="218">
        <v>85721.769102993145</v>
      </c>
      <c r="AI3440" s="470">
        <v>0.95526936878121416</v>
      </c>
      <c r="AJ3440" s="471">
        <v>0.28083129424022146</v>
      </c>
      <c r="AK3440" s="218">
        <v>85721.769102993145</v>
      </c>
      <c r="AL3440" s="470">
        <v>0.95526936878121416</v>
      </c>
      <c r="AM3440" s="471">
        <v>0.28083129424022146</v>
      </c>
      <c r="AN3440" s="477">
        <v>85721.769102993145</v>
      </c>
      <c r="AO3440" s="473">
        <v>0.95526936878121416</v>
      </c>
      <c r="AP3440" s="474">
        <v>0.28072119044740679</v>
      </c>
      <c r="AQ3440" s="352"/>
      <c r="AR3440" s="352"/>
      <c r="AS3440" s="352"/>
      <c r="AT3440" s="352"/>
      <c r="AU3440" s="352"/>
      <c r="AV3440" s="352"/>
      <c r="AW3440" s="352" t="s">
        <v>254</v>
      </c>
    </row>
    <row r="3441" spans="2:49" x14ac:dyDescent="0.2">
      <c r="B3441" s="460" t="s">
        <v>3388</v>
      </c>
      <c r="C3441" s="460">
        <v>6000</v>
      </c>
      <c r="D3441" s="460" t="s">
        <v>2336</v>
      </c>
      <c r="E3441" s="460" t="s">
        <v>2330</v>
      </c>
      <c r="F3441" s="460">
        <v>3</v>
      </c>
      <c r="G3441" s="460">
        <v>3</v>
      </c>
      <c r="H3441" s="461" t="s">
        <v>712</v>
      </c>
      <c r="I3441" s="461" t="s">
        <v>713</v>
      </c>
      <c r="J3441" s="461" t="s">
        <v>712</v>
      </c>
      <c r="K3441" s="594"/>
      <c r="L3441" s="594"/>
      <c r="M3441" s="352">
        <v>6000</v>
      </c>
      <c r="N3441" s="352" t="s">
        <v>871</v>
      </c>
      <c r="O3441" s="460">
        <v>5111</v>
      </c>
      <c r="P3441" s="460" t="s">
        <v>783</v>
      </c>
      <c r="Q3441" s="460" t="s">
        <v>2280</v>
      </c>
      <c r="R3441" s="460">
        <v>5111</v>
      </c>
      <c r="S3441" s="460" t="s">
        <v>2324</v>
      </c>
      <c r="T3441" s="462">
        <v>1</v>
      </c>
      <c r="U3441" s="460" t="s">
        <v>2330</v>
      </c>
      <c r="V3441" s="475">
        <v>0</v>
      </c>
      <c r="W3441" s="463" t="s">
        <v>713</v>
      </c>
      <c r="X3441" s="463" t="s">
        <v>713</v>
      </c>
      <c r="Y3441" s="463" t="s">
        <v>713</v>
      </c>
      <c r="Z3441" s="463"/>
      <c r="AA3441" s="463"/>
      <c r="AB3441" s="464">
        <v>18915.752210913284</v>
      </c>
      <c r="AC3441" s="465">
        <v>0.97457157119133897</v>
      </c>
      <c r="AD3441" s="465">
        <v>0.16748504598668781</v>
      </c>
      <c r="AE3441" s="476">
        <v>19074.645420960984</v>
      </c>
      <c r="AF3441" s="467">
        <v>0.98275801831970022</v>
      </c>
      <c r="AG3441" s="468">
        <v>0.16628126616324826</v>
      </c>
      <c r="AH3441" s="218">
        <v>19074.645420960984</v>
      </c>
      <c r="AI3441" s="470">
        <v>0.98275801831970022</v>
      </c>
      <c r="AJ3441" s="471">
        <v>0.17263009969170404</v>
      </c>
      <c r="AK3441" s="218">
        <v>19074.645420960984</v>
      </c>
      <c r="AL3441" s="470">
        <v>0.98275801831970022</v>
      </c>
      <c r="AM3441" s="471">
        <v>0.17263009969170404</v>
      </c>
      <c r="AN3441" s="477">
        <v>19074.645420960984</v>
      </c>
      <c r="AO3441" s="473">
        <v>0.98275801831970022</v>
      </c>
      <c r="AP3441" s="474">
        <v>0.17307567704440419</v>
      </c>
      <c r="AQ3441" s="352"/>
      <c r="AR3441" s="352"/>
      <c r="AS3441" s="352"/>
      <c r="AT3441" s="352"/>
      <c r="AU3441" s="352"/>
      <c r="AV3441" s="352"/>
      <c r="AW3441" s="352" t="s">
        <v>254</v>
      </c>
    </row>
    <row r="3442" spans="2:49" x14ac:dyDescent="0.2">
      <c r="B3442" s="460" t="s">
        <v>3389</v>
      </c>
      <c r="C3442" s="460">
        <v>6000</v>
      </c>
      <c r="D3442" s="460" t="s">
        <v>2337</v>
      </c>
      <c r="E3442" s="460" t="s">
        <v>2333</v>
      </c>
      <c r="F3442" s="460">
        <v>4</v>
      </c>
      <c r="G3442" s="460">
        <v>3</v>
      </c>
      <c r="H3442" s="461" t="s">
        <v>712</v>
      </c>
      <c r="I3442" s="461" t="s">
        <v>713</v>
      </c>
      <c r="J3442" s="461" t="s">
        <v>712</v>
      </c>
      <c r="K3442" s="594"/>
      <c r="L3442" s="594"/>
      <c r="M3442" s="352">
        <v>6000</v>
      </c>
      <c r="N3442" s="352" t="s">
        <v>871</v>
      </c>
      <c r="O3442" s="460">
        <v>5111</v>
      </c>
      <c r="P3442" s="460" t="s">
        <v>783</v>
      </c>
      <c r="Q3442" s="460" t="s">
        <v>2280</v>
      </c>
      <c r="R3442" s="460">
        <v>5111</v>
      </c>
      <c r="S3442" s="460" t="s">
        <v>2333</v>
      </c>
      <c r="T3442" s="462">
        <v>1</v>
      </c>
      <c r="U3442" s="460" t="s">
        <v>2333</v>
      </c>
      <c r="V3442" s="475">
        <v>0</v>
      </c>
      <c r="W3442" s="463" t="s">
        <v>713</v>
      </c>
      <c r="X3442" s="463" t="s">
        <v>713</v>
      </c>
      <c r="Y3442" s="463" t="s">
        <v>713</v>
      </c>
      <c r="Z3442" s="463"/>
      <c r="AA3442" s="463"/>
      <c r="AB3442" s="464">
        <v>21833.48455707699</v>
      </c>
      <c r="AC3442" s="465">
        <v>0.96321545601795178</v>
      </c>
      <c r="AD3442" s="465">
        <v>0.16598842515626563</v>
      </c>
      <c r="AE3442" s="476">
        <v>21920.480736387079</v>
      </c>
      <c r="AF3442" s="467">
        <v>0.967053417123378</v>
      </c>
      <c r="AG3442" s="468">
        <v>0.16494260269859773</v>
      </c>
      <c r="AH3442" s="218">
        <v>21920.480736387079</v>
      </c>
      <c r="AI3442" s="470">
        <v>0.967053417123378</v>
      </c>
      <c r="AJ3442" s="471">
        <v>0.16546809872822651</v>
      </c>
      <c r="AK3442" s="218">
        <v>21920.480736387079</v>
      </c>
      <c r="AL3442" s="470">
        <v>0.967053417123378</v>
      </c>
      <c r="AM3442" s="471">
        <v>0.16546809872822651</v>
      </c>
      <c r="AN3442" s="477">
        <v>21920.480736387079</v>
      </c>
      <c r="AO3442" s="473">
        <v>0.967053417123378</v>
      </c>
      <c r="AP3442" s="474">
        <v>0.165520681797553</v>
      </c>
      <c r="AQ3442" s="352"/>
      <c r="AR3442" s="352"/>
      <c r="AS3442" s="352"/>
      <c r="AT3442" s="352"/>
      <c r="AU3442" s="352"/>
      <c r="AV3442" s="352"/>
      <c r="AW3442" s="352" t="s">
        <v>254</v>
      </c>
    </row>
    <row r="3443" spans="2:49" x14ac:dyDescent="0.2">
      <c r="B3443" s="460" t="s">
        <v>3386</v>
      </c>
      <c r="C3443" s="460">
        <v>6000</v>
      </c>
      <c r="D3443" s="460" t="s">
        <v>3390</v>
      </c>
      <c r="E3443" s="460" t="s">
        <v>2324</v>
      </c>
      <c r="F3443" s="460">
        <v>1</v>
      </c>
      <c r="G3443" s="460">
        <v>3</v>
      </c>
      <c r="H3443" s="461" t="s">
        <v>719</v>
      </c>
      <c r="I3443" s="461" t="s">
        <v>720</v>
      </c>
      <c r="J3443" s="461" t="s">
        <v>719</v>
      </c>
      <c r="K3443" s="594"/>
      <c r="L3443" s="594"/>
      <c r="M3443" s="352">
        <v>6000</v>
      </c>
      <c r="N3443" s="352" t="s">
        <v>871</v>
      </c>
      <c r="O3443" s="460">
        <v>5111</v>
      </c>
      <c r="P3443" s="460" t="s">
        <v>783</v>
      </c>
      <c r="Q3443" s="460" t="s">
        <v>3374</v>
      </c>
      <c r="R3443" s="460">
        <v>5111</v>
      </c>
      <c r="S3443" s="460" t="s">
        <v>2324</v>
      </c>
      <c r="T3443" s="462">
        <v>1</v>
      </c>
      <c r="U3443" s="460" t="s">
        <v>2324</v>
      </c>
      <c r="V3443" s="475">
        <v>0</v>
      </c>
      <c r="W3443" s="463" t="s">
        <v>2278</v>
      </c>
      <c r="X3443" s="463" t="s">
        <v>2278</v>
      </c>
      <c r="Y3443" s="463" t="s">
        <v>2278</v>
      </c>
      <c r="Z3443" s="463"/>
      <c r="AA3443" s="463"/>
      <c r="AB3443" s="464">
        <v>20901.786689468394</v>
      </c>
      <c r="AC3443" s="465">
        <v>0.1699193777911111</v>
      </c>
      <c r="AD3443" s="465">
        <v>0.51779794081549935</v>
      </c>
      <c r="AE3443" s="476">
        <v>20901.786689468394</v>
      </c>
      <c r="AF3443" s="467">
        <v>0.1699193777911111</v>
      </c>
      <c r="AG3443" s="468">
        <v>0.51779794081549935</v>
      </c>
      <c r="AH3443" s="218">
        <v>20901.786689468394</v>
      </c>
      <c r="AI3443" s="470">
        <v>0.1699193777911111</v>
      </c>
      <c r="AJ3443" s="471">
        <v>0.51779794081549935</v>
      </c>
      <c r="AK3443" s="218">
        <v>20901.786689468394</v>
      </c>
      <c r="AL3443" s="470">
        <v>0.1699193777911111</v>
      </c>
      <c r="AM3443" s="471">
        <v>0.51779794081549935</v>
      </c>
      <c r="AN3443" s="477">
        <v>20901.786689468394</v>
      </c>
      <c r="AO3443" s="473">
        <v>0.1699193777911111</v>
      </c>
      <c r="AP3443" s="474">
        <v>0.51779794081549935</v>
      </c>
      <c r="AQ3443" s="352"/>
      <c r="AR3443" s="352"/>
      <c r="AS3443" s="352"/>
      <c r="AT3443" s="352"/>
      <c r="AU3443" s="352"/>
      <c r="AV3443" s="352"/>
      <c r="AW3443" s="352" t="s">
        <v>254</v>
      </c>
    </row>
    <row r="3444" spans="2:49" x14ac:dyDescent="0.2">
      <c r="B3444" s="460" t="s">
        <v>3387</v>
      </c>
      <c r="C3444" s="460">
        <v>6000</v>
      </c>
      <c r="D3444" s="460" t="s">
        <v>3391</v>
      </c>
      <c r="E3444" s="460" t="s">
        <v>2327</v>
      </c>
      <c r="F3444" s="460">
        <v>2</v>
      </c>
      <c r="G3444" s="460">
        <v>3</v>
      </c>
      <c r="H3444" s="461" t="s">
        <v>719</v>
      </c>
      <c r="I3444" s="461" t="s">
        <v>720</v>
      </c>
      <c r="J3444" s="461" t="s">
        <v>719</v>
      </c>
      <c r="K3444" s="594"/>
      <c r="L3444" s="594"/>
      <c r="M3444" s="352">
        <v>6000</v>
      </c>
      <c r="N3444" s="352" t="s">
        <v>871</v>
      </c>
      <c r="O3444" s="460">
        <v>5111</v>
      </c>
      <c r="P3444" s="460" t="s">
        <v>783</v>
      </c>
      <c r="Q3444" s="460" t="s">
        <v>3374</v>
      </c>
      <c r="R3444" s="460">
        <v>5111</v>
      </c>
      <c r="S3444" s="460" t="s">
        <v>2324</v>
      </c>
      <c r="T3444" s="462">
        <v>1</v>
      </c>
      <c r="U3444" s="460" t="s">
        <v>2327</v>
      </c>
      <c r="V3444" s="475">
        <v>0</v>
      </c>
      <c r="W3444" s="463" t="s">
        <v>2278</v>
      </c>
      <c r="X3444" s="463" t="s">
        <v>2278</v>
      </c>
      <c r="Y3444" s="463" t="s">
        <v>2278</v>
      </c>
      <c r="Z3444" s="463"/>
      <c r="AA3444" s="463"/>
      <c r="AB3444" s="464">
        <v>3843.7430546743653</v>
      </c>
      <c r="AC3444" s="465">
        <v>4.2834043674301027E-2</v>
      </c>
      <c r="AD3444" s="465">
        <v>0.13924442836676856</v>
      </c>
      <c r="AE3444" s="476">
        <v>3843.7430546743653</v>
      </c>
      <c r="AF3444" s="467">
        <v>4.2834043674301027E-2</v>
      </c>
      <c r="AG3444" s="468">
        <v>0.13924442836676856</v>
      </c>
      <c r="AH3444" s="218">
        <v>3843.7430546743653</v>
      </c>
      <c r="AI3444" s="470">
        <v>4.2834043674301027E-2</v>
      </c>
      <c r="AJ3444" s="471">
        <v>0.13924442836676856</v>
      </c>
      <c r="AK3444" s="218">
        <v>3843.7430546743653</v>
      </c>
      <c r="AL3444" s="470">
        <v>4.2834043674301027E-2</v>
      </c>
      <c r="AM3444" s="471">
        <v>0.13924442836676856</v>
      </c>
      <c r="AN3444" s="477">
        <v>3843.7430546743653</v>
      </c>
      <c r="AO3444" s="473">
        <v>4.2834043674301027E-2</v>
      </c>
      <c r="AP3444" s="474">
        <v>0.13924442836676856</v>
      </c>
      <c r="AQ3444" s="352"/>
      <c r="AR3444" s="352"/>
      <c r="AS3444" s="352"/>
      <c r="AT3444" s="352"/>
      <c r="AU3444" s="352"/>
      <c r="AV3444" s="352"/>
      <c r="AW3444" s="352" t="s">
        <v>254</v>
      </c>
    </row>
    <row r="3445" spans="2:49" x14ac:dyDescent="0.2">
      <c r="B3445" s="460" t="s">
        <v>3388</v>
      </c>
      <c r="C3445" s="460">
        <v>6000</v>
      </c>
      <c r="D3445" s="460" t="s">
        <v>3392</v>
      </c>
      <c r="E3445" s="460" t="s">
        <v>2330</v>
      </c>
      <c r="F3445" s="460">
        <v>3</v>
      </c>
      <c r="G3445" s="460">
        <v>3</v>
      </c>
      <c r="H3445" s="461" t="s">
        <v>719</v>
      </c>
      <c r="I3445" s="461" t="s">
        <v>720</v>
      </c>
      <c r="J3445" s="461" t="s">
        <v>719</v>
      </c>
      <c r="K3445" s="594"/>
      <c r="L3445" s="594"/>
      <c r="M3445" s="352">
        <v>6000</v>
      </c>
      <c r="N3445" s="352" t="s">
        <v>871</v>
      </c>
      <c r="O3445" s="460">
        <v>5111</v>
      </c>
      <c r="P3445" s="460" t="s">
        <v>783</v>
      </c>
      <c r="Q3445" s="460" t="s">
        <v>3374</v>
      </c>
      <c r="R3445" s="460">
        <v>5111</v>
      </c>
      <c r="S3445" s="460" t="s">
        <v>2324</v>
      </c>
      <c r="T3445" s="462">
        <v>1</v>
      </c>
      <c r="U3445" s="460" t="s">
        <v>2330</v>
      </c>
      <c r="V3445" s="475">
        <v>0</v>
      </c>
      <c r="W3445" s="463" t="s">
        <v>2278</v>
      </c>
      <c r="X3445" s="463" t="s">
        <v>2278</v>
      </c>
      <c r="Y3445" s="463" t="s">
        <v>2278</v>
      </c>
      <c r="Z3445" s="463"/>
      <c r="AA3445" s="463"/>
      <c r="AB3445" s="464">
        <v>281.69039546761269</v>
      </c>
      <c r="AC3445" s="465">
        <v>1.4513165970845961E-2</v>
      </c>
      <c r="AD3445" s="465">
        <v>0.39642730535227699</v>
      </c>
      <c r="AE3445" s="476">
        <v>281.69039546761269</v>
      </c>
      <c r="AF3445" s="467">
        <v>1.4513165970845961E-2</v>
      </c>
      <c r="AG3445" s="468">
        <v>0.39642730535227699</v>
      </c>
      <c r="AH3445" s="218">
        <v>281.69039546761269</v>
      </c>
      <c r="AI3445" s="470">
        <v>1.4513165970845961E-2</v>
      </c>
      <c r="AJ3445" s="471">
        <v>0.39642730535227699</v>
      </c>
      <c r="AK3445" s="218">
        <v>281.69039546761269</v>
      </c>
      <c r="AL3445" s="470">
        <v>1.4513165970845961E-2</v>
      </c>
      <c r="AM3445" s="471">
        <v>0.39642730535227699</v>
      </c>
      <c r="AN3445" s="477">
        <v>281.69039546761269</v>
      </c>
      <c r="AO3445" s="473">
        <v>1.4513165970845961E-2</v>
      </c>
      <c r="AP3445" s="474">
        <v>0.39642730535227699</v>
      </c>
      <c r="AQ3445" s="352"/>
      <c r="AR3445" s="352"/>
      <c r="AS3445" s="352"/>
      <c r="AT3445" s="352"/>
      <c r="AU3445" s="352"/>
      <c r="AV3445" s="352"/>
      <c r="AW3445" s="352" t="s">
        <v>254</v>
      </c>
    </row>
    <row r="3446" spans="2:49" x14ac:dyDescent="0.2">
      <c r="B3446" s="460" t="s">
        <v>3389</v>
      </c>
      <c r="C3446" s="460">
        <v>6000</v>
      </c>
      <c r="D3446" s="460" t="s">
        <v>3393</v>
      </c>
      <c r="E3446" s="460" t="s">
        <v>2333</v>
      </c>
      <c r="F3446" s="460">
        <v>4</v>
      </c>
      <c r="G3446" s="460">
        <v>3</v>
      </c>
      <c r="H3446" s="461" t="s">
        <v>719</v>
      </c>
      <c r="I3446" s="461" t="s">
        <v>720</v>
      </c>
      <c r="J3446" s="461" t="s">
        <v>719</v>
      </c>
      <c r="K3446" s="594"/>
      <c r="L3446" s="594"/>
      <c r="M3446" s="352">
        <v>6000</v>
      </c>
      <c r="N3446" s="352" t="s">
        <v>871</v>
      </c>
      <c r="O3446" s="460">
        <v>5111</v>
      </c>
      <c r="P3446" s="460" t="s">
        <v>783</v>
      </c>
      <c r="Q3446" s="460" t="s">
        <v>3374</v>
      </c>
      <c r="R3446" s="460">
        <v>5111</v>
      </c>
      <c r="S3446" s="460" t="s">
        <v>2333</v>
      </c>
      <c r="T3446" s="462">
        <v>1</v>
      </c>
      <c r="U3446" s="460" t="s">
        <v>2333</v>
      </c>
      <c r="V3446" s="475">
        <v>0</v>
      </c>
      <c r="W3446" s="463" t="s">
        <v>2278</v>
      </c>
      <c r="X3446" s="463" t="s">
        <v>2278</v>
      </c>
      <c r="Y3446" s="463" t="s">
        <v>2278</v>
      </c>
      <c r="Z3446" s="463"/>
      <c r="AA3446" s="463"/>
      <c r="AB3446" s="464">
        <v>717.81103865886951</v>
      </c>
      <c r="AC3446" s="465">
        <v>3.1667262508146631E-2</v>
      </c>
      <c r="AD3446" s="465">
        <v>0.13187481662924702</v>
      </c>
      <c r="AE3446" s="476">
        <v>717.81103865886951</v>
      </c>
      <c r="AF3446" s="467">
        <v>3.1667262508146631E-2</v>
      </c>
      <c r="AG3446" s="468">
        <v>0.13187481662924702</v>
      </c>
      <c r="AH3446" s="218">
        <v>717.81103865886951</v>
      </c>
      <c r="AI3446" s="470">
        <v>3.1667262508146631E-2</v>
      </c>
      <c r="AJ3446" s="471">
        <v>0.13187481662924702</v>
      </c>
      <c r="AK3446" s="218">
        <v>717.81103865886951</v>
      </c>
      <c r="AL3446" s="470">
        <v>3.1667262508146631E-2</v>
      </c>
      <c r="AM3446" s="471">
        <v>0.13187481662924702</v>
      </c>
      <c r="AN3446" s="477">
        <v>717.81103865886951</v>
      </c>
      <c r="AO3446" s="473">
        <v>3.1667262508146631E-2</v>
      </c>
      <c r="AP3446" s="474">
        <v>0.13187481662924702</v>
      </c>
      <c r="AQ3446" s="352"/>
      <c r="AR3446" s="352"/>
      <c r="AS3446" s="352"/>
      <c r="AT3446" s="352"/>
      <c r="AU3446" s="352"/>
      <c r="AV3446" s="352"/>
      <c r="AW3446" s="352" t="s">
        <v>254</v>
      </c>
    </row>
    <row r="3447" spans="2:49" x14ac:dyDescent="0.2">
      <c r="B3447" s="460" t="s">
        <v>3386</v>
      </c>
      <c r="C3447" s="460">
        <v>6000</v>
      </c>
      <c r="D3447" s="460" t="s">
        <v>2338</v>
      </c>
      <c r="E3447" s="460" t="s">
        <v>2324</v>
      </c>
      <c r="F3447" s="460">
        <v>1</v>
      </c>
      <c r="G3447" s="460">
        <v>3</v>
      </c>
      <c r="H3447" s="461" t="s">
        <v>746</v>
      </c>
      <c r="I3447" s="461" t="s">
        <v>762</v>
      </c>
      <c r="J3447" s="461" t="s">
        <v>700</v>
      </c>
      <c r="K3447" s="594"/>
      <c r="L3447" s="594"/>
      <c r="M3447" s="352">
        <v>6000</v>
      </c>
      <c r="N3447" s="352" t="s">
        <v>871</v>
      </c>
      <c r="O3447" s="460">
        <v>5111</v>
      </c>
      <c r="P3447" s="460" t="s">
        <v>783</v>
      </c>
      <c r="Q3447" s="460" t="s">
        <v>2553</v>
      </c>
      <c r="R3447" s="460">
        <v>5111</v>
      </c>
      <c r="S3447" s="460" t="s">
        <v>2324</v>
      </c>
      <c r="T3447" s="462">
        <v>1</v>
      </c>
      <c r="U3447" s="460" t="s">
        <v>2324</v>
      </c>
      <c r="V3447" s="475">
        <v>0</v>
      </c>
      <c r="W3447" s="463" t="s">
        <v>2268</v>
      </c>
      <c r="X3447" s="463" t="s">
        <v>2268</v>
      </c>
      <c r="Y3447" s="463" t="s">
        <v>2554</v>
      </c>
      <c r="Z3447" s="463"/>
      <c r="AA3447" s="463"/>
      <c r="AB3447" s="464">
        <v>0</v>
      </c>
      <c r="AC3447" s="465">
        <v>0</v>
      </c>
      <c r="AD3447" s="465">
        <v>0</v>
      </c>
      <c r="AE3447" s="476">
        <v>0</v>
      </c>
      <c r="AF3447" s="467">
        <v>0</v>
      </c>
      <c r="AG3447" s="468">
        <v>0</v>
      </c>
      <c r="AH3447" s="218">
        <v>0</v>
      </c>
      <c r="AI3447" s="470">
        <v>0</v>
      </c>
      <c r="AJ3447" s="471">
        <v>0</v>
      </c>
      <c r="AK3447" s="218">
        <v>0</v>
      </c>
      <c r="AL3447" s="470">
        <v>0</v>
      </c>
      <c r="AM3447" s="471">
        <v>0</v>
      </c>
      <c r="AN3447" s="477">
        <v>186.63942303959283</v>
      </c>
      <c r="AO3447" s="473">
        <v>1.5172700355878606E-3</v>
      </c>
      <c r="AP3447" s="474">
        <v>1.9723594501437412E-3</v>
      </c>
      <c r="AQ3447" s="352"/>
      <c r="AR3447" s="352"/>
      <c r="AS3447" s="352"/>
      <c r="AT3447" s="352"/>
      <c r="AU3447" s="352"/>
      <c r="AV3447" s="352"/>
      <c r="AW3447" s="352" t="s">
        <v>254</v>
      </c>
    </row>
    <row r="3448" spans="2:49" x14ac:dyDescent="0.2">
      <c r="B3448" s="460" t="s">
        <v>3387</v>
      </c>
      <c r="C3448" s="460">
        <v>6000</v>
      </c>
      <c r="D3448" s="460" t="s">
        <v>2339</v>
      </c>
      <c r="E3448" s="460" t="s">
        <v>2327</v>
      </c>
      <c r="F3448" s="460">
        <v>2</v>
      </c>
      <c r="G3448" s="460">
        <v>3</v>
      </c>
      <c r="H3448" s="461" t="s">
        <v>746</v>
      </c>
      <c r="I3448" s="461" t="s">
        <v>762</v>
      </c>
      <c r="J3448" s="461" t="s">
        <v>700</v>
      </c>
      <c r="K3448" s="594"/>
      <c r="L3448" s="594"/>
      <c r="M3448" s="352">
        <v>6000</v>
      </c>
      <c r="N3448" s="352" t="s">
        <v>871</v>
      </c>
      <c r="O3448" s="460">
        <v>5111</v>
      </c>
      <c r="P3448" s="460" t="s">
        <v>783</v>
      </c>
      <c r="Q3448" s="460" t="s">
        <v>2553</v>
      </c>
      <c r="R3448" s="460">
        <v>5111</v>
      </c>
      <c r="S3448" s="460" t="s">
        <v>2324</v>
      </c>
      <c r="T3448" s="462">
        <v>1</v>
      </c>
      <c r="U3448" s="460" t="s">
        <v>2327</v>
      </c>
      <c r="V3448" s="475">
        <v>0</v>
      </c>
      <c r="W3448" s="463" t="s">
        <v>2268</v>
      </c>
      <c r="X3448" s="463" t="s">
        <v>2268</v>
      </c>
      <c r="Y3448" s="463" t="s">
        <v>2554</v>
      </c>
      <c r="Z3448" s="463"/>
      <c r="AA3448" s="463"/>
      <c r="AB3448" s="464">
        <v>0</v>
      </c>
      <c r="AC3448" s="465">
        <v>0</v>
      </c>
      <c r="AD3448" s="465">
        <v>0</v>
      </c>
      <c r="AE3448" s="476">
        <v>0</v>
      </c>
      <c r="AF3448" s="467">
        <v>0</v>
      </c>
      <c r="AG3448" s="468">
        <v>0</v>
      </c>
      <c r="AH3448" s="218">
        <v>0</v>
      </c>
      <c r="AI3448" s="470">
        <v>0</v>
      </c>
      <c r="AJ3448" s="471">
        <v>0</v>
      </c>
      <c r="AK3448" s="218">
        <v>0</v>
      </c>
      <c r="AL3448" s="470">
        <v>0</v>
      </c>
      <c r="AM3448" s="471">
        <v>0</v>
      </c>
      <c r="AN3448" s="477">
        <v>136.15329446132509</v>
      </c>
      <c r="AO3448" s="473">
        <v>1.5172700355878606E-3</v>
      </c>
      <c r="AP3448" s="474">
        <v>2.1643425767866758E-3</v>
      </c>
      <c r="AQ3448" s="352"/>
      <c r="AR3448" s="352"/>
      <c r="AS3448" s="352"/>
      <c r="AT3448" s="352"/>
      <c r="AU3448" s="352"/>
      <c r="AV3448" s="352"/>
      <c r="AW3448" s="352" t="s">
        <v>254</v>
      </c>
    </row>
    <row r="3449" spans="2:49" x14ac:dyDescent="0.2">
      <c r="B3449" s="460" t="s">
        <v>3388</v>
      </c>
      <c r="C3449" s="460">
        <v>6000</v>
      </c>
      <c r="D3449" s="460" t="s">
        <v>2340</v>
      </c>
      <c r="E3449" s="460" t="s">
        <v>2330</v>
      </c>
      <c r="F3449" s="460">
        <v>3</v>
      </c>
      <c r="G3449" s="460">
        <v>3</v>
      </c>
      <c r="H3449" s="461" t="s">
        <v>746</v>
      </c>
      <c r="I3449" s="461" t="s">
        <v>762</v>
      </c>
      <c r="J3449" s="461" t="s">
        <v>700</v>
      </c>
      <c r="K3449" s="594"/>
      <c r="L3449" s="594"/>
      <c r="M3449" s="352">
        <v>6000</v>
      </c>
      <c r="N3449" s="352" t="s">
        <v>871</v>
      </c>
      <c r="O3449" s="460">
        <v>5111</v>
      </c>
      <c r="P3449" s="460" t="s">
        <v>783</v>
      </c>
      <c r="Q3449" s="460" t="s">
        <v>2553</v>
      </c>
      <c r="R3449" s="460">
        <v>5111</v>
      </c>
      <c r="S3449" s="460" t="s">
        <v>2324</v>
      </c>
      <c r="T3449" s="462">
        <v>1</v>
      </c>
      <c r="U3449" s="460" t="s">
        <v>2330</v>
      </c>
      <c r="V3449" s="475">
        <v>0</v>
      </c>
      <c r="W3449" s="463" t="s">
        <v>2268</v>
      </c>
      <c r="X3449" s="463" t="s">
        <v>2268</v>
      </c>
      <c r="Y3449" s="463" t="s">
        <v>2554</v>
      </c>
      <c r="Z3449" s="463"/>
      <c r="AA3449" s="463"/>
      <c r="AB3449" s="464">
        <v>0</v>
      </c>
      <c r="AC3449" s="465">
        <v>0</v>
      </c>
      <c r="AD3449" s="465">
        <v>0</v>
      </c>
      <c r="AE3449" s="476">
        <v>0</v>
      </c>
      <c r="AF3449" s="467">
        <v>0</v>
      </c>
      <c r="AG3449" s="468">
        <v>0</v>
      </c>
      <c r="AH3449" s="218">
        <v>0</v>
      </c>
      <c r="AI3449" s="470">
        <v>0</v>
      </c>
      <c r="AJ3449" s="471">
        <v>0</v>
      </c>
      <c r="AK3449" s="218">
        <v>0</v>
      </c>
      <c r="AL3449" s="470">
        <v>0</v>
      </c>
      <c r="AM3449" s="471">
        <v>0</v>
      </c>
      <c r="AN3449" s="477">
        <v>42.371522679387446</v>
      </c>
      <c r="AO3449" s="473">
        <v>2.1830525675630178E-3</v>
      </c>
      <c r="AP3449" s="474">
        <v>1.6949381298379462E-3</v>
      </c>
      <c r="AQ3449" s="352"/>
      <c r="AR3449" s="352"/>
      <c r="AS3449" s="352"/>
      <c r="AT3449" s="352"/>
      <c r="AU3449" s="352"/>
      <c r="AV3449" s="352"/>
      <c r="AW3449" s="352" t="s">
        <v>254</v>
      </c>
    </row>
    <row r="3450" spans="2:49" x14ac:dyDescent="0.2">
      <c r="B3450" s="460" t="s">
        <v>3389</v>
      </c>
      <c r="C3450" s="460">
        <v>6000</v>
      </c>
      <c r="D3450" s="460" t="s">
        <v>2341</v>
      </c>
      <c r="E3450" s="460" t="s">
        <v>2333</v>
      </c>
      <c r="F3450" s="460">
        <v>4</v>
      </c>
      <c r="G3450" s="460">
        <v>3</v>
      </c>
      <c r="H3450" s="461" t="s">
        <v>746</v>
      </c>
      <c r="I3450" s="461" t="s">
        <v>762</v>
      </c>
      <c r="J3450" s="461" t="s">
        <v>700</v>
      </c>
      <c r="K3450" s="594"/>
      <c r="L3450" s="594"/>
      <c r="M3450" s="352">
        <v>6000</v>
      </c>
      <c r="N3450" s="352" t="s">
        <v>871</v>
      </c>
      <c r="O3450" s="460">
        <v>5111</v>
      </c>
      <c r="P3450" s="460" t="s">
        <v>783</v>
      </c>
      <c r="Q3450" s="460" t="s">
        <v>2553</v>
      </c>
      <c r="R3450" s="460">
        <v>5111</v>
      </c>
      <c r="S3450" s="460" t="s">
        <v>2333</v>
      </c>
      <c r="T3450" s="462">
        <v>1</v>
      </c>
      <c r="U3450" s="460" t="s">
        <v>2333</v>
      </c>
      <c r="V3450" s="475">
        <v>0</v>
      </c>
      <c r="W3450" s="463" t="s">
        <v>2268</v>
      </c>
      <c r="X3450" s="463" t="s">
        <v>2268</v>
      </c>
      <c r="Y3450" s="463" t="s">
        <v>2554</v>
      </c>
      <c r="Z3450" s="463"/>
      <c r="AA3450" s="463"/>
      <c r="AB3450" s="464">
        <v>0</v>
      </c>
      <c r="AC3450" s="465">
        <v>0</v>
      </c>
      <c r="AD3450" s="465">
        <v>0</v>
      </c>
      <c r="AE3450" s="476">
        <v>0</v>
      </c>
      <c r="AF3450" s="467">
        <v>0</v>
      </c>
      <c r="AG3450" s="468">
        <v>0</v>
      </c>
      <c r="AH3450" s="218">
        <v>0</v>
      </c>
      <c r="AI3450" s="470">
        <v>0</v>
      </c>
      <c r="AJ3450" s="471">
        <v>0</v>
      </c>
      <c r="AK3450" s="218">
        <v>0</v>
      </c>
      <c r="AL3450" s="470">
        <v>0</v>
      </c>
      <c r="AM3450" s="471">
        <v>0</v>
      </c>
      <c r="AN3450" s="477">
        <v>23.198981149356232</v>
      </c>
      <c r="AO3450" s="473">
        <v>1.0234562947803053E-3</v>
      </c>
      <c r="AP3450" s="474">
        <v>1.9338577780711932E-3</v>
      </c>
      <c r="AQ3450" s="352"/>
      <c r="AR3450" s="352"/>
      <c r="AS3450" s="352"/>
      <c r="AT3450" s="352"/>
      <c r="AU3450" s="352"/>
      <c r="AV3450" s="352"/>
      <c r="AW3450" s="352" t="s">
        <v>254</v>
      </c>
    </row>
    <row r="3451" spans="2:49" x14ac:dyDescent="0.2">
      <c r="B3451" s="460" t="s">
        <v>3386</v>
      </c>
      <c r="C3451" s="460">
        <v>6000</v>
      </c>
      <c r="D3451" s="460" t="s">
        <v>2342</v>
      </c>
      <c r="E3451" s="460" t="s">
        <v>2324</v>
      </c>
      <c r="F3451" s="460">
        <v>1</v>
      </c>
      <c r="G3451" s="460">
        <v>3</v>
      </c>
      <c r="H3451" s="461" t="s">
        <v>748</v>
      </c>
      <c r="I3451" s="461" t="s">
        <v>765</v>
      </c>
      <c r="J3451" s="461" t="s">
        <v>700</v>
      </c>
      <c r="K3451" s="594"/>
      <c r="L3451" s="594"/>
      <c r="M3451" s="352">
        <v>6000</v>
      </c>
      <c r="N3451" s="352" t="s">
        <v>871</v>
      </c>
      <c r="O3451" s="460">
        <v>5111</v>
      </c>
      <c r="P3451" s="460" t="s">
        <v>783</v>
      </c>
      <c r="Q3451" s="460" t="s">
        <v>2553</v>
      </c>
      <c r="R3451" s="460">
        <v>5111</v>
      </c>
      <c r="S3451" s="460" t="s">
        <v>2324</v>
      </c>
      <c r="T3451" s="462">
        <v>1</v>
      </c>
      <c r="U3451" s="460" t="s">
        <v>2324</v>
      </c>
      <c r="V3451" s="475">
        <v>0</v>
      </c>
      <c r="W3451" s="463" t="s">
        <v>2268</v>
      </c>
      <c r="X3451" s="463" t="s">
        <v>2268</v>
      </c>
      <c r="Y3451" s="463" t="s">
        <v>2554</v>
      </c>
      <c r="Z3451" s="463"/>
      <c r="AA3451" s="463"/>
      <c r="AB3451" s="464">
        <v>0</v>
      </c>
      <c r="AC3451" s="465">
        <v>0</v>
      </c>
      <c r="AD3451" s="465">
        <v>0</v>
      </c>
      <c r="AE3451" s="476">
        <v>0</v>
      </c>
      <c r="AF3451" s="467">
        <v>0</v>
      </c>
      <c r="AG3451" s="468">
        <v>0</v>
      </c>
      <c r="AH3451" s="218">
        <v>0</v>
      </c>
      <c r="AI3451" s="470">
        <v>0</v>
      </c>
      <c r="AJ3451" s="471">
        <v>0</v>
      </c>
      <c r="AK3451" s="218">
        <v>0</v>
      </c>
      <c r="AL3451" s="470">
        <v>0</v>
      </c>
      <c r="AM3451" s="471">
        <v>0</v>
      </c>
      <c r="AN3451" s="477">
        <v>46.659855759898264</v>
      </c>
      <c r="AO3451" s="473">
        <v>3.7931750889696558E-4</v>
      </c>
      <c r="AP3451" s="474">
        <v>2.428730191190334E-3</v>
      </c>
      <c r="AQ3451" s="352"/>
      <c r="AR3451" s="352"/>
      <c r="AS3451" s="352"/>
      <c r="AT3451" s="352"/>
      <c r="AU3451" s="352"/>
      <c r="AV3451" s="352"/>
      <c r="AW3451" s="352" t="s">
        <v>254</v>
      </c>
    </row>
    <row r="3452" spans="2:49" x14ac:dyDescent="0.2">
      <c r="B3452" s="460" t="s">
        <v>3387</v>
      </c>
      <c r="C3452" s="460">
        <v>6000</v>
      </c>
      <c r="D3452" s="460" t="s">
        <v>2343</v>
      </c>
      <c r="E3452" s="460" t="s">
        <v>2327</v>
      </c>
      <c r="F3452" s="460">
        <v>2</v>
      </c>
      <c r="G3452" s="460">
        <v>3</v>
      </c>
      <c r="H3452" s="461" t="s">
        <v>748</v>
      </c>
      <c r="I3452" s="461" t="s">
        <v>765</v>
      </c>
      <c r="J3452" s="461" t="s">
        <v>700</v>
      </c>
      <c r="K3452" s="594"/>
      <c r="L3452" s="594"/>
      <c r="M3452" s="352">
        <v>6000</v>
      </c>
      <c r="N3452" s="352" t="s">
        <v>871</v>
      </c>
      <c r="O3452" s="460">
        <v>5111</v>
      </c>
      <c r="P3452" s="460" t="s">
        <v>783</v>
      </c>
      <c r="Q3452" s="460" t="s">
        <v>2553</v>
      </c>
      <c r="R3452" s="460">
        <v>5111</v>
      </c>
      <c r="S3452" s="460" t="s">
        <v>2324</v>
      </c>
      <c r="T3452" s="462">
        <v>1</v>
      </c>
      <c r="U3452" s="460" t="s">
        <v>2327</v>
      </c>
      <c r="V3452" s="475">
        <v>0</v>
      </c>
      <c r="W3452" s="463" t="s">
        <v>2268</v>
      </c>
      <c r="X3452" s="463" t="s">
        <v>2268</v>
      </c>
      <c r="Y3452" s="463" t="s">
        <v>2554</v>
      </c>
      <c r="Z3452" s="463"/>
      <c r="AA3452" s="463"/>
      <c r="AB3452" s="464">
        <v>0</v>
      </c>
      <c r="AC3452" s="465">
        <v>0</v>
      </c>
      <c r="AD3452" s="465">
        <v>0</v>
      </c>
      <c r="AE3452" s="476">
        <v>0</v>
      </c>
      <c r="AF3452" s="467">
        <v>0</v>
      </c>
      <c r="AG3452" s="468">
        <v>0</v>
      </c>
      <c r="AH3452" s="218">
        <v>0</v>
      </c>
      <c r="AI3452" s="470">
        <v>0</v>
      </c>
      <c r="AJ3452" s="471">
        <v>0</v>
      </c>
      <c r="AK3452" s="218">
        <v>0</v>
      </c>
      <c r="AL3452" s="470">
        <v>0</v>
      </c>
      <c r="AM3452" s="471">
        <v>0</v>
      </c>
      <c r="AN3452" s="477">
        <v>34.038323615331308</v>
      </c>
      <c r="AO3452" s="473">
        <v>3.7931750889696558E-4</v>
      </c>
      <c r="AP3452" s="474">
        <v>3.0257861455535114E-3</v>
      </c>
      <c r="AQ3452" s="352"/>
      <c r="AR3452" s="352"/>
      <c r="AS3452" s="352"/>
      <c r="AT3452" s="352"/>
      <c r="AU3452" s="352"/>
      <c r="AV3452" s="352"/>
      <c r="AW3452" s="352" t="s">
        <v>254</v>
      </c>
    </row>
    <row r="3453" spans="2:49" x14ac:dyDescent="0.2">
      <c r="B3453" s="460" t="s">
        <v>3388</v>
      </c>
      <c r="C3453" s="460">
        <v>6000</v>
      </c>
      <c r="D3453" s="460" t="s">
        <v>2344</v>
      </c>
      <c r="E3453" s="460" t="s">
        <v>2330</v>
      </c>
      <c r="F3453" s="460">
        <v>3</v>
      </c>
      <c r="G3453" s="460">
        <v>3</v>
      </c>
      <c r="H3453" s="461" t="s">
        <v>748</v>
      </c>
      <c r="I3453" s="461" t="s">
        <v>765</v>
      </c>
      <c r="J3453" s="461" t="s">
        <v>700</v>
      </c>
      <c r="K3453" s="594"/>
      <c r="L3453" s="594"/>
      <c r="M3453" s="352">
        <v>6000</v>
      </c>
      <c r="N3453" s="352" t="s">
        <v>871</v>
      </c>
      <c r="O3453" s="460">
        <v>5111</v>
      </c>
      <c r="P3453" s="460" t="s">
        <v>783</v>
      </c>
      <c r="Q3453" s="460" t="s">
        <v>2553</v>
      </c>
      <c r="R3453" s="460">
        <v>5111</v>
      </c>
      <c r="S3453" s="460" t="s">
        <v>2324</v>
      </c>
      <c r="T3453" s="462">
        <v>1</v>
      </c>
      <c r="U3453" s="460" t="s">
        <v>2330</v>
      </c>
      <c r="V3453" s="475">
        <v>0</v>
      </c>
      <c r="W3453" s="463" t="s">
        <v>2268</v>
      </c>
      <c r="X3453" s="463" t="s">
        <v>2268</v>
      </c>
      <c r="Y3453" s="463" t="s">
        <v>2554</v>
      </c>
      <c r="Z3453" s="463"/>
      <c r="AA3453" s="463"/>
      <c r="AB3453" s="464">
        <v>0</v>
      </c>
      <c r="AC3453" s="465">
        <v>0</v>
      </c>
      <c r="AD3453" s="465">
        <v>0</v>
      </c>
      <c r="AE3453" s="476">
        <v>0</v>
      </c>
      <c r="AF3453" s="467">
        <v>0</v>
      </c>
      <c r="AG3453" s="468">
        <v>0</v>
      </c>
      <c r="AH3453" s="218">
        <v>0</v>
      </c>
      <c r="AI3453" s="470">
        <v>0</v>
      </c>
      <c r="AJ3453" s="471">
        <v>0</v>
      </c>
      <c r="AK3453" s="218">
        <v>0</v>
      </c>
      <c r="AL3453" s="470">
        <v>0</v>
      </c>
      <c r="AM3453" s="471">
        <v>0</v>
      </c>
      <c r="AN3453" s="477">
        <v>10.592880669846874</v>
      </c>
      <c r="AO3453" s="473">
        <v>5.4576314189075511E-4</v>
      </c>
      <c r="AP3453" s="474">
        <v>2.8874362071532695E-3</v>
      </c>
      <c r="AQ3453" s="352"/>
      <c r="AR3453" s="352"/>
      <c r="AS3453" s="352"/>
      <c r="AT3453" s="352"/>
      <c r="AU3453" s="352"/>
      <c r="AV3453" s="352"/>
      <c r="AW3453" s="352" t="s">
        <v>254</v>
      </c>
    </row>
    <row r="3454" spans="2:49" x14ac:dyDescent="0.2">
      <c r="B3454" s="460" t="s">
        <v>3389</v>
      </c>
      <c r="C3454" s="460">
        <v>6000</v>
      </c>
      <c r="D3454" s="460" t="s">
        <v>2345</v>
      </c>
      <c r="E3454" s="460" t="s">
        <v>2333</v>
      </c>
      <c r="F3454" s="460">
        <v>4</v>
      </c>
      <c r="G3454" s="460">
        <v>3</v>
      </c>
      <c r="H3454" s="461" t="s">
        <v>748</v>
      </c>
      <c r="I3454" s="461" t="s">
        <v>765</v>
      </c>
      <c r="J3454" s="461" t="s">
        <v>700</v>
      </c>
      <c r="K3454" s="594"/>
      <c r="L3454" s="594"/>
      <c r="M3454" s="352">
        <v>6000</v>
      </c>
      <c r="N3454" s="352" t="s">
        <v>871</v>
      </c>
      <c r="O3454" s="460">
        <v>5111</v>
      </c>
      <c r="P3454" s="460" t="s">
        <v>783</v>
      </c>
      <c r="Q3454" s="460" t="s">
        <v>2553</v>
      </c>
      <c r="R3454" s="460">
        <v>5111</v>
      </c>
      <c r="S3454" s="460" t="s">
        <v>2333</v>
      </c>
      <c r="T3454" s="462">
        <v>1</v>
      </c>
      <c r="U3454" s="460" t="s">
        <v>2333</v>
      </c>
      <c r="V3454" s="475">
        <v>0</v>
      </c>
      <c r="W3454" s="463" t="s">
        <v>2268</v>
      </c>
      <c r="X3454" s="463" t="s">
        <v>2268</v>
      </c>
      <c r="Y3454" s="463" t="s">
        <v>2554</v>
      </c>
      <c r="Z3454" s="463"/>
      <c r="AA3454" s="463"/>
      <c r="AB3454" s="464">
        <v>0</v>
      </c>
      <c r="AC3454" s="465">
        <v>0</v>
      </c>
      <c r="AD3454" s="465">
        <v>0</v>
      </c>
      <c r="AE3454" s="476">
        <v>0</v>
      </c>
      <c r="AF3454" s="467">
        <v>0</v>
      </c>
      <c r="AG3454" s="468">
        <v>0</v>
      </c>
      <c r="AH3454" s="218">
        <v>0</v>
      </c>
      <c r="AI3454" s="470">
        <v>0</v>
      </c>
      <c r="AJ3454" s="471">
        <v>0</v>
      </c>
      <c r="AK3454" s="218">
        <v>0</v>
      </c>
      <c r="AL3454" s="470">
        <v>0</v>
      </c>
      <c r="AM3454" s="471">
        <v>0</v>
      </c>
      <c r="AN3454" s="477">
        <v>5.7997452873390642</v>
      </c>
      <c r="AO3454" s="473">
        <v>2.5586407369507659E-4</v>
      </c>
      <c r="AP3454" s="474">
        <v>3.6116436867061944E-3</v>
      </c>
      <c r="AQ3454" s="352"/>
      <c r="AR3454" s="352"/>
      <c r="AS3454" s="352"/>
      <c r="AT3454" s="352"/>
      <c r="AU3454" s="352"/>
      <c r="AV3454" s="352"/>
      <c r="AW3454" s="352" t="s">
        <v>254</v>
      </c>
    </row>
    <row r="3455" spans="2:49" x14ac:dyDescent="0.2">
      <c r="B3455" s="460" t="s">
        <v>3394</v>
      </c>
      <c r="C3455" s="460">
        <v>6000</v>
      </c>
      <c r="D3455" s="460" t="s">
        <v>2351</v>
      </c>
      <c r="E3455" s="460" t="s">
        <v>1136</v>
      </c>
      <c r="F3455" s="460">
        <v>1</v>
      </c>
      <c r="G3455" s="460">
        <v>4</v>
      </c>
      <c r="H3455" s="461" t="s">
        <v>700</v>
      </c>
      <c r="I3455" s="461" t="s">
        <v>872</v>
      </c>
      <c r="J3455" s="461" t="s">
        <v>700</v>
      </c>
      <c r="K3455" s="594"/>
      <c r="L3455" s="594"/>
      <c r="M3455" s="352">
        <v>6000</v>
      </c>
      <c r="N3455" s="352" t="s">
        <v>871</v>
      </c>
      <c r="O3455" s="460">
        <v>5111</v>
      </c>
      <c r="P3455" s="460" t="s">
        <v>783</v>
      </c>
      <c r="Q3455" s="460" t="s">
        <v>2553</v>
      </c>
      <c r="R3455" s="460">
        <v>5111</v>
      </c>
      <c r="S3455" s="460" t="s">
        <v>1136</v>
      </c>
      <c r="T3455" s="462">
        <v>1</v>
      </c>
      <c r="U3455" s="460" t="s">
        <v>1136</v>
      </c>
      <c r="V3455" s="475">
        <v>0</v>
      </c>
      <c r="W3455" s="463" t="s">
        <v>2554</v>
      </c>
      <c r="X3455" s="463" t="s">
        <v>2554</v>
      </c>
      <c r="Y3455" s="463" t="s">
        <v>2268</v>
      </c>
      <c r="Z3455" s="463"/>
      <c r="AA3455" s="463"/>
      <c r="AB3455" s="464">
        <v>4.5493832972539279</v>
      </c>
      <c r="AC3455" s="465">
        <v>9.710168366819414E-4</v>
      </c>
      <c r="AD3455" s="465">
        <v>1.2943947339464964E-2</v>
      </c>
      <c r="AE3455" s="476">
        <v>1.137345824313482</v>
      </c>
      <c r="AF3455" s="467">
        <v>2.4275420917048535E-4</v>
      </c>
      <c r="AG3455" s="468">
        <v>3.5177169154803085E-3</v>
      </c>
      <c r="AH3455" s="218">
        <v>1.137345824313482</v>
      </c>
      <c r="AI3455" s="470">
        <v>2.4275420917048535E-4</v>
      </c>
      <c r="AJ3455" s="471">
        <v>8.8822901547249637E-4</v>
      </c>
      <c r="AK3455" s="218">
        <v>1.137345824313482</v>
      </c>
      <c r="AL3455" s="470">
        <v>2.4275420917048535E-4</v>
      </c>
      <c r="AM3455" s="471">
        <v>8.8822901547249637E-4</v>
      </c>
      <c r="AN3455" s="477">
        <v>0</v>
      </c>
      <c r="AO3455" s="473">
        <v>0</v>
      </c>
      <c r="AP3455" s="474">
        <v>0</v>
      </c>
      <c r="AQ3455" s="352"/>
      <c r="AR3455" s="352"/>
      <c r="AS3455" s="352"/>
      <c r="AT3455" s="352"/>
      <c r="AU3455" s="352"/>
      <c r="AV3455" s="352"/>
      <c r="AW3455" s="352" t="s">
        <v>254</v>
      </c>
    </row>
    <row r="3456" spans="2:49" x14ac:dyDescent="0.2">
      <c r="B3456" s="460" t="s">
        <v>3395</v>
      </c>
      <c r="C3456" s="460">
        <v>6000</v>
      </c>
      <c r="D3456" s="460" t="s">
        <v>2353</v>
      </c>
      <c r="E3456" s="460" t="s">
        <v>1137</v>
      </c>
      <c r="F3456" s="460">
        <v>2</v>
      </c>
      <c r="G3456" s="460">
        <v>4</v>
      </c>
      <c r="H3456" s="461" t="s">
        <v>700</v>
      </c>
      <c r="I3456" s="461" t="s">
        <v>872</v>
      </c>
      <c r="J3456" s="461" t="s">
        <v>700</v>
      </c>
      <c r="K3456" s="594"/>
      <c r="L3456" s="594"/>
      <c r="M3456" s="352">
        <v>6000</v>
      </c>
      <c r="N3456" s="352" t="s">
        <v>871</v>
      </c>
      <c r="O3456" s="460">
        <v>5111</v>
      </c>
      <c r="P3456" s="460" t="s">
        <v>783</v>
      </c>
      <c r="Q3456" s="460" t="s">
        <v>2553</v>
      </c>
      <c r="R3456" s="460">
        <v>5111</v>
      </c>
      <c r="S3456" s="460" t="s">
        <v>1137</v>
      </c>
      <c r="T3456" s="462">
        <v>1</v>
      </c>
      <c r="U3456" s="460" t="s">
        <v>1137</v>
      </c>
      <c r="V3456" s="475">
        <v>0</v>
      </c>
      <c r="W3456" s="463" t="s">
        <v>2554</v>
      </c>
      <c r="X3456" s="463" t="s">
        <v>2554</v>
      </c>
      <c r="Y3456" s="463" t="s">
        <v>2268</v>
      </c>
      <c r="Z3456" s="463"/>
      <c r="AA3456" s="463"/>
      <c r="AB3456" s="464">
        <v>57.320994530328569</v>
      </c>
      <c r="AC3456" s="465">
        <v>7.956230436145446E-3</v>
      </c>
      <c r="AD3456" s="465">
        <v>1.2943947339464974E-2</v>
      </c>
      <c r="AE3456" s="476">
        <v>14.330248632582142</v>
      </c>
      <c r="AF3456" s="467">
        <v>1.9890576090363615E-3</v>
      </c>
      <c r="AG3456" s="468">
        <v>3.4862280815291581E-3</v>
      </c>
      <c r="AH3456" s="218">
        <v>14.330248632582142</v>
      </c>
      <c r="AI3456" s="470">
        <v>1.9890576090363615E-3</v>
      </c>
      <c r="AJ3456" s="471">
        <v>2.960764476336644E-3</v>
      </c>
      <c r="AK3456" s="218">
        <v>14.330248632582142</v>
      </c>
      <c r="AL3456" s="470">
        <v>1.9890576090363615E-3</v>
      </c>
      <c r="AM3456" s="471">
        <v>2.960764476336644E-3</v>
      </c>
      <c r="AN3456" s="477">
        <v>0</v>
      </c>
      <c r="AO3456" s="473">
        <v>0</v>
      </c>
      <c r="AP3456" s="474">
        <v>0</v>
      </c>
      <c r="AQ3456" s="352"/>
      <c r="AR3456" s="352"/>
      <c r="AS3456" s="352"/>
      <c r="AT3456" s="352"/>
      <c r="AU3456" s="352"/>
      <c r="AV3456" s="352"/>
      <c r="AW3456" s="352" t="s">
        <v>254</v>
      </c>
    </row>
    <row r="3457" spans="2:49" x14ac:dyDescent="0.2">
      <c r="B3457" s="460" t="s">
        <v>3396</v>
      </c>
      <c r="C3457" s="460">
        <v>6000</v>
      </c>
      <c r="D3457" s="460" t="s">
        <v>2355</v>
      </c>
      <c r="E3457" s="460" t="s">
        <v>1138</v>
      </c>
      <c r="F3457" s="460">
        <v>3</v>
      </c>
      <c r="G3457" s="460">
        <v>4</v>
      </c>
      <c r="H3457" s="461" t="s">
        <v>700</v>
      </c>
      <c r="I3457" s="461" t="s">
        <v>872</v>
      </c>
      <c r="J3457" s="461" t="s">
        <v>700</v>
      </c>
      <c r="K3457" s="594"/>
      <c r="L3457" s="594"/>
      <c r="M3457" s="352">
        <v>6000</v>
      </c>
      <c r="N3457" s="352" t="s">
        <v>871</v>
      </c>
      <c r="O3457" s="460">
        <v>5111</v>
      </c>
      <c r="P3457" s="460" t="s">
        <v>783</v>
      </c>
      <c r="Q3457" s="460" t="s">
        <v>2553</v>
      </c>
      <c r="R3457" s="460">
        <v>5111</v>
      </c>
      <c r="S3457" s="460" t="s">
        <v>1138</v>
      </c>
      <c r="T3457" s="462">
        <v>1</v>
      </c>
      <c r="U3457" s="460" t="s">
        <v>1138</v>
      </c>
      <c r="V3457" s="475">
        <v>0</v>
      </c>
      <c r="W3457" s="463" t="s">
        <v>2554</v>
      </c>
      <c r="X3457" s="463" t="s">
        <v>2554</v>
      </c>
      <c r="Y3457" s="463" t="s">
        <v>2268</v>
      </c>
      <c r="Z3457" s="463"/>
      <c r="AA3457" s="463"/>
      <c r="AB3457" s="464">
        <v>30.850642664222232</v>
      </c>
      <c r="AC3457" s="465">
        <v>4.9018555051916135E-3</v>
      </c>
      <c r="AD3457" s="465">
        <v>1.2943947339464978E-2</v>
      </c>
      <c r="AE3457" s="476">
        <v>7.712660666055557</v>
      </c>
      <c r="AF3457" s="467">
        <v>1.2254638762979034E-3</v>
      </c>
      <c r="AG3457" s="468">
        <v>3.491192009853808E-3</v>
      </c>
      <c r="AH3457" s="218">
        <v>7.712660666055557</v>
      </c>
      <c r="AI3457" s="470">
        <v>1.2254638762979034E-3</v>
      </c>
      <c r="AJ3457" s="471">
        <v>2.6578305707041683E-3</v>
      </c>
      <c r="AK3457" s="218">
        <v>7.712660666055557</v>
      </c>
      <c r="AL3457" s="470">
        <v>1.2254638762979034E-3</v>
      </c>
      <c r="AM3457" s="471">
        <v>2.6578305707041683E-3</v>
      </c>
      <c r="AN3457" s="477">
        <v>0</v>
      </c>
      <c r="AO3457" s="473">
        <v>0</v>
      </c>
      <c r="AP3457" s="474">
        <v>0</v>
      </c>
      <c r="AQ3457" s="352"/>
      <c r="AR3457" s="352"/>
      <c r="AS3457" s="352"/>
      <c r="AT3457" s="352"/>
      <c r="AU3457" s="352"/>
      <c r="AV3457" s="352"/>
      <c r="AW3457" s="352" t="s">
        <v>254</v>
      </c>
    </row>
    <row r="3458" spans="2:49" x14ac:dyDescent="0.2">
      <c r="B3458" s="460" t="s">
        <v>3397</v>
      </c>
      <c r="C3458" s="460">
        <v>6000</v>
      </c>
      <c r="D3458" s="460" t="s">
        <v>2357</v>
      </c>
      <c r="E3458" s="460" t="s">
        <v>1139</v>
      </c>
      <c r="F3458" s="460">
        <v>4</v>
      </c>
      <c r="G3458" s="460">
        <v>4</v>
      </c>
      <c r="H3458" s="461" t="s">
        <v>700</v>
      </c>
      <c r="I3458" s="461" t="s">
        <v>872</v>
      </c>
      <c r="J3458" s="461" t="s">
        <v>700</v>
      </c>
      <c r="K3458" s="594"/>
      <c r="L3458" s="594"/>
      <c r="M3458" s="352">
        <v>6000</v>
      </c>
      <c r="N3458" s="352" t="s">
        <v>871</v>
      </c>
      <c r="O3458" s="460">
        <v>5111</v>
      </c>
      <c r="P3458" s="460" t="s">
        <v>783</v>
      </c>
      <c r="Q3458" s="460" t="s">
        <v>2553</v>
      </c>
      <c r="R3458" s="460">
        <v>5111</v>
      </c>
      <c r="S3458" s="460" t="s">
        <v>1139</v>
      </c>
      <c r="T3458" s="462">
        <v>1</v>
      </c>
      <c r="U3458" s="460" t="s">
        <v>1139</v>
      </c>
      <c r="V3458" s="475">
        <v>0</v>
      </c>
      <c r="W3458" s="463" t="s">
        <v>2554</v>
      </c>
      <c r="X3458" s="463" t="s">
        <v>2554</v>
      </c>
      <c r="Y3458" s="463" t="s">
        <v>2268</v>
      </c>
      <c r="Z3458" s="463"/>
      <c r="AA3458" s="463"/>
      <c r="AB3458" s="464">
        <v>0</v>
      </c>
      <c r="AC3458" s="465">
        <v>0</v>
      </c>
      <c r="AD3458" s="465">
        <v>0</v>
      </c>
      <c r="AE3458" s="476">
        <v>0</v>
      </c>
      <c r="AF3458" s="467">
        <v>0</v>
      </c>
      <c r="AG3458" s="468">
        <v>0</v>
      </c>
      <c r="AH3458" s="218">
        <v>0</v>
      </c>
      <c r="AI3458" s="470">
        <v>0</v>
      </c>
      <c r="AJ3458" s="471">
        <v>0</v>
      </c>
      <c r="AK3458" s="218">
        <v>0</v>
      </c>
      <c r="AL3458" s="470">
        <v>0</v>
      </c>
      <c r="AM3458" s="471">
        <v>0</v>
      </c>
      <c r="AN3458" s="477">
        <v>0</v>
      </c>
      <c r="AO3458" s="473">
        <v>0</v>
      </c>
      <c r="AP3458" s="474">
        <v>0</v>
      </c>
      <c r="AQ3458" s="352"/>
      <c r="AR3458" s="352"/>
      <c r="AS3458" s="352"/>
      <c r="AT3458" s="352"/>
      <c r="AU3458" s="352"/>
      <c r="AV3458" s="352"/>
      <c r="AW3458" s="352" t="s">
        <v>254</v>
      </c>
    </row>
    <row r="3459" spans="2:49" x14ac:dyDescent="0.2">
      <c r="B3459" s="460" t="s">
        <v>3394</v>
      </c>
      <c r="C3459" s="460">
        <v>6000</v>
      </c>
      <c r="D3459" s="460" t="s">
        <v>2358</v>
      </c>
      <c r="E3459" s="460" t="s">
        <v>1136</v>
      </c>
      <c r="F3459" s="460">
        <v>1</v>
      </c>
      <c r="G3459" s="460">
        <v>4</v>
      </c>
      <c r="H3459" s="461" t="s">
        <v>712</v>
      </c>
      <c r="I3459" s="461" t="s">
        <v>713</v>
      </c>
      <c r="J3459" s="461" t="s">
        <v>712</v>
      </c>
      <c r="K3459" s="594"/>
      <c r="L3459" s="594"/>
      <c r="M3459" s="352">
        <v>6000</v>
      </c>
      <c r="N3459" s="352" t="s">
        <v>871</v>
      </c>
      <c r="O3459" s="460">
        <v>5111</v>
      </c>
      <c r="P3459" s="460" t="s">
        <v>783</v>
      </c>
      <c r="Q3459" s="460" t="s">
        <v>2280</v>
      </c>
      <c r="R3459" s="460">
        <v>5111</v>
      </c>
      <c r="S3459" s="460" t="s">
        <v>1136</v>
      </c>
      <c r="T3459" s="462">
        <v>1</v>
      </c>
      <c r="U3459" s="460" t="s">
        <v>1136</v>
      </c>
      <c r="V3459" s="475">
        <v>0</v>
      </c>
      <c r="W3459" s="463" t="s">
        <v>713</v>
      </c>
      <c r="X3459" s="463" t="s">
        <v>713</v>
      </c>
      <c r="Y3459" s="463" t="s">
        <v>713</v>
      </c>
      <c r="Z3459" s="463"/>
      <c r="AA3459" s="463"/>
      <c r="AB3459" s="464">
        <v>4280.5597350020753</v>
      </c>
      <c r="AC3459" s="465">
        <v>0.91363934439613481</v>
      </c>
      <c r="AD3459" s="465">
        <v>2.8210474206241325E-2</v>
      </c>
      <c r="AE3459" s="476">
        <v>4283.9717724750153</v>
      </c>
      <c r="AF3459" s="467">
        <v>0.91436760702364617</v>
      </c>
      <c r="AG3459" s="468">
        <v>2.8227724264394245E-2</v>
      </c>
      <c r="AH3459" s="218">
        <v>4283.9717724750153</v>
      </c>
      <c r="AI3459" s="470">
        <v>0.91436760702364617</v>
      </c>
      <c r="AJ3459" s="471">
        <v>2.8514608891374624E-2</v>
      </c>
      <c r="AK3459" s="218">
        <v>4283.9717724750153</v>
      </c>
      <c r="AL3459" s="470">
        <v>0.91436760702364617</v>
      </c>
      <c r="AM3459" s="471">
        <v>2.8514608891374624E-2</v>
      </c>
      <c r="AN3459" s="477">
        <v>4283.9717724750153</v>
      </c>
      <c r="AO3459" s="473">
        <v>0.91436760702364617</v>
      </c>
      <c r="AP3459" s="474">
        <v>2.8468211640834608E-2</v>
      </c>
      <c r="AQ3459" s="352"/>
      <c r="AR3459" s="352"/>
      <c r="AS3459" s="352"/>
      <c r="AT3459" s="352"/>
      <c r="AU3459" s="352"/>
      <c r="AV3459" s="352"/>
      <c r="AW3459" s="352" t="s">
        <v>254</v>
      </c>
    </row>
    <row r="3460" spans="2:49" x14ac:dyDescent="0.2">
      <c r="B3460" s="460" t="s">
        <v>3395</v>
      </c>
      <c r="C3460" s="460">
        <v>6000</v>
      </c>
      <c r="D3460" s="460" t="s">
        <v>2359</v>
      </c>
      <c r="E3460" s="460" t="s">
        <v>1137</v>
      </c>
      <c r="F3460" s="460">
        <v>2</v>
      </c>
      <c r="G3460" s="460">
        <v>4</v>
      </c>
      <c r="H3460" s="461" t="s">
        <v>712</v>
      </c>
      <c r="I3460" s="461" t="s">
        <v>713</v>
      </c>
      <c r="J3460" s="461" t="s">
        <v>712</v>
      </c>
      <c r="K3460" s="594"/>
      <c r="L3460" s="594"/>
      <c r="M3460" s="352">
        <v>6000</v>
      </c>
      <c r="N3460" s="352" t="s">
        <v>871</v>
      </c>
      <c r="O3460" s="460">
        <v>5111</v>
      </c>
      <c r="P3460" s="460" t="s">
        <v>783</v>
      </c>
      <c r="Q3460" s="460" t="s">
        <v>2280</v>
      </c>
      <c r="R3460" s="460">
        <v>5111</v>
      </c>
      <c r="S3460" s="460" t="s">
        <v>1137</v>
      </c>
      <c r="T3460" s="462">
        <v>1</v>
      </c>
      <c r="U3460" s="460" t="s">
        <v>1137</v>
      </c>
      <c r="V3460" s="475">
        <v>0</v>
      </c>
      <c r="W3460" s="463" t="s">
        <v>713</v>
      </c>
      <c r="X3460" s="463" t="s">
        <v>713</v>
      </c>
      <c r="Y3460" s="463" t="s">
        <v>713</v>
      </c>
      <c r="Z3460" s="463"/>
      <c r="AA3460" s="463"/>
      <c r="AB3460" s="464">
        <v>7129.2099860629833</v>
      </c>
      <c r="AC3460" s="465">
        <v>0.98954384761720959</v>
      </c>
      <c r="AD3460" s="465">
        <v>4.1229204791746542E-2</v>
      </c>
      <c r="AE3460" s="476">
        <v>7172.2007319607301</v>
      </c>
      <c r="AF3460" s="467">
        <v>0.99551102044431872</v>
      </c>
      <c r="AG3460" s="468">
        <v>4.1401717910925333E-2</v>
      </c>
      <c r="AH3460" s="218">
        <v>7172.2007319607301</v>
      </c>
      <c r="AI3460" s="470">
        <v>0.99551102044431872</v>
      </c>
      <c r="AJ3460" s="471">
        <v>4.1598178149930339E-2</v>
      </c>
      <c r="AK3460" s="218">
        <v>7172.2007319607301</v>
      </c>
      <c r="AL3460" s="470">
        <v>0.99551102044431872</v>
      </c>
      <c r="AM3460" s="471">
        <v>4.1598178149930339E-2</v>
      </c>
      <c r="AN3460" s="477">
        <v>7172.2007319607301</v>
      </c>
      <c r="AO3460" s="473">
        <v>0.99551102044431872</v>
      </c>
      <c r="AP3460" s="474">
        <v>4.156385368557293E-2</v>
      </c>
      <c r="AQ3460" s="352"/>
      <c r="AR3460" s="352"/>
      <c r="AS3460" s="352"/>
      <c r="AT3460" s="352"/>
      <c r="AU3460" s="352"/>
      <c r="AV3460" s="352"/>
      <c r="AW3460" s="352" t="s">
        <v>254</v>
      </c>
    </row>
    <row r="3461" spans="2:49" x14ac:dyDescent="0.2">
      <c r="B3461" s="460" t="s">
        <v>3396</v>
      </c>
      <c r="C3461" s="460">
        <v>6000</v>
      </c>
      <c r="D3461" s="460" t="s">
        <v>2360</v>
      </c>
      <c r="E3461" s="460" t="s">
        <v>1138</v>
      </c>
      <c r="F3461" s="460">
        <v>3</v>
      </c>
      <c r="G3461" s="460">
        <v>4</v>
      </c>
      <c r="H3461" s="461" t="s">
        <v>712</v>
      </c>
      <c r="I3461" s="461" t="s">
        <v>713</v>
      </c>
      <c r="J3461" s="461" t="s">
        <v>712</v>
      </c>
      <c r="K3461" s="594"/>
      <c r="L3461" s="594"/>
      <c r="M3461" s="352">
        <v>6000</v>
      </c>
      <c r="N3461" s="352" t="s">
        <v>871</v>
      </c>
      <c r="O3461" s="460">
        <v>5111</v>
      </c>
      <c r="P3461" s="460" t="s">
        <v>783</v>
      </c>
      <c r="Q3461" s="460" t="s">
        <v>2280</v>
      </c>
      <c r="R3461" s="460">
        <v>5111</v>
      </c>
      <c r="S3461" s="460" t="s">
        <v>1138</v>
      </c>
      <c r="T3461" s="462">
        <v>1</v>
      </c>
      <c r="U3461" s="460" t="s">
        <v>1138</v>
      </c>
      <c r="V3461" s="475">
        <v>0</v>
      </c>
      <c r="W3461" s="463" t="s">
        <v>713</v>
      </c>
      <c r="X3461" s="463" t="s">
        <v>713</v>
      </c>
      <c r="Y3461" s="463" t="s">
        <v>713</v>
      </c>
      <c r="Z3461" s="463"/>
      <c r="AA3461" s="463"/>
      <c r="AB3461" s="464">
        <v>6143.3386205007391</v>
      </c>
      <c r="AC3461" s="465">
        <v>0.97611445456470181</v>
      </c>
      <c r="AD3461" s="465">
        <v>7.6666081131805508E-2</v>
      </c>
      <c r="AE3461" s="476">
        <v>6166.4766024989067</v>
      </c>
      <c r="AF3461" s="467">
        <v>0.97979084619359558</v>
      </c>
      <c r="AG3461" s="468">
        <v>7.6787875639063974E-2</v>
      </c>
      <c r="AH3461" s="218">
        <v>6166.4766024989067</v>
      </c>
      <c r="AI3461" s="470">
        <v>0.97979084619359558</v>
      </c>
      <c r="AJ3461" s="471">
        <v>7.7688242103715471E-2</v>
      </c>
      <c r="AK3461" s="218">
        <v>6166.4766024989067</v>
      </c>
      <c r="AL3461" s="470">
        <v>0.97979084619359558</v>
      </c>
      <c r="AM3461" s="471">
        <v>7.7688242103715471E-2</v>
      </c>
      <c r="AN3461" s="477">
        <v>6166.4766024989067</v>
      </c>
      <c r="AO3461" s="473">
        <v>0.97979084619359558</v>
      </c>
      <c r="AP3461" s="474">
        <v>7.768238720033685E-2</v>
      </c>
      <c r="AQ3461" s="352"/>
      <c r="AR3461" s="352"/>
      <c r="AS3461" s="352"/>
      <c r="AT3461" s="352"/>
      <c r="AU3461" s="352"/>
      <c r="AV3461" s="352"/>
      <c r="AW3461" s="352" t="s">
        <v>254</v>
      </c>
    </row>
    <row r="3462" spans="2:49" x14ac:dyDescent="0.2">
      <c r="B3462" s="460" t="s">
        <v>3397</v>
      </c>
      <c r="C3462" s="460">
        <v>6000</v>
      </c>
      <c r="D3462" s="460" t="s">
        <v>2361</v>
      </c>
      <c r="E3462" s="460" t="s">
        <v>1139</v>
      </c>
      <c r="F3462" s="460">
        <v>4</v>
      </c>
      <c r="G3462" s="460">
        <v>4</v>
      </c>
      <c r="H3462" s="461" t="s">
        <v>712</v>
      </c>
      <c r="I3462" s="461" t="s">
        <v>713</v>
      </c>
      <c r="J3462" s="461" t="s">
        <v>712</v>
      </c>
      <c r="K3462" s="594"/>
      <c r="L3462" s="594"/>
      <c r="M3462" s="352">
        <v>6000</v>
      </c>
      <c r="N3462" s="352" t="s">
        <v>871</v>
      </c>
      <c r="O3462" s="460">
        <v>5111</v>
      </c>
      <c r="P3462" s="460" t="s">
        <v>783</v>
      </c>
      <c r="Q3462" s="460" t="s">
        <v>2280</v>
      </c>
      <c r="R3462" s="460">
        <v>5111</v>
      </c>
      <c r="S3462" s="460" t="s">
        <v>1139</v>
      </c>
      <c r="T3462" s="462">
        <v>1</v>
      </c>
      <c r="U3462" s="460" t="s">
        <v>1139</v>
      </c>
      <c r="V3462" s="475">
        <v>0</v>
      </c>
      <c r="W3462" s="463" t="s">
        <v>713</v>
      </c>
      <c r="X3462" s="463" t="s">
        <v>713</v>
      </c>
      <c r="Y3462" s="463" t="s">
        <v>713</v>
      </c>
      <c r="Z3462" s="463"/>
      <c r="AA3462" s="463"/>
      <c r="AB3462" s="464">
        <v>6925.9816339863264</v>
      </c>
      <c r="AC3462" s="465">
        <v>0.99820564062036299</v>
      </c>
      <c r="AD3462" s="465">
        <v>7.6686098559428817E-2</v>
      </c>
      <c r="AE3462" s="476">
        <v>6925.9816339863264</v>
      </c>
      <c r="AF3462" s="467">
        <v>0.99820564062036299</v>
      </c>
      <c r="AG3462" s="468">
        <v>7.6686098559428817E-2</v>
      </c>
      <c r="AH3462" s="218">
        <v>6925.9816339863264</v>
      </c>
      <c r="AI3462" s="470">
        <v>0.99820564062036299</v>
      </c>
      <c r="AJ3462" s="471">
        <v>7.8335452219565019E-2</v>
      </c>
      <c r="AK3462" s="218">
        <v>6925.9816339863264</v>
      </c>
      <c r="AL3462" s="470">
        <v>0.99820564062036299</v>
      </c>
      <c r="AM3462" s="471">
        <v>7.8335452219565019E-2</v>
      </c>
      <c r="AN3462" s="477">
        <v>6925.9816339863264</v>
      </c>
      <c r="AO3462" s="473">
        <v>0.99820564062036299</v>
      </c>
      <c r="AP3462" s="474">
        <v>7.8335452219565019E-2</v>
      </c>
      <c r="AQ3462" s="352"/>
      <c r="AR3462" s="352"/>
      <c r="AS3462" s="352"/>
      <c r="AT3462" s="352"/>
      <c r="AU3462" s="352"/>
      <c r="AV3462" s="352"/>
      <c r="AW3462" s="352" t="s">
        <v>254</v>
      </c>
    </row>
    <row r="3463" spans="2:49" x14ac:dyDescent="0.2">
      <c r="B3463" s="460" t="s">
        <v>3394</v>
      </c>
      <c r="C3463" s="460">
        <v>6000</v>
      </c>
      <c r="D3463" s="460" t="s">
        <v>2570</v>
      </c>
      <c r="E3463" s="460" t="s">
        <v>1136</v>
      </c>
      <c r="F3463" s="460">
        <v>1</v>
      </c>
      <c r="G3463" s="460">
        <v>4</v>
      </c>
      <c r="H3463" s="461" t="s">
        <v>719</v>
      </c>
      <c r="I3463" s="461" t="s">
        <v>720</v>
      </c>
      <c r="J3463" s="461" t="s">
        <v>719</v>
      </c>
      <c r="K3463" s="594"/>
      <c r="L3463" s="594"/>
      <c r="M3463" s="352">
        <v>6000</v>
      </c>
      <c r="N3463" s="352" t="s">
        <v>871</v>
      </c>
      <c r="O3463" s="460">
        <v>5111</v>
      </c>
      <c r="P3463" s="460" t="s">
        <v>783</v>
      </c>
      <c r="Q3463" s="460" t="s">
        <v>3374</v>
      </c>
      <c r="R3463" s="460">
        <v>5111</v>
      </c>
      <c r="S3463" s="460" t="s">
        <v>1136</v>
      </c>
      <c r="T3463" s="462">
        <v>1</v>
      </c>
      <c r="U3463" s="460" t="s">
        <v>1136</v>
      </c>
      <c r="V3463" s="475">
        <v>0</v>
      </c>
      <c r="W3463" s="463" t="s">
        <v>2278</v>
      </c>
      <c r="X3463" s="463" t="s">
        <v>2278</v>
      </c>
      <c r="Y3463" s="463" t="s">
        <v>2278</v>
      </c>
      <c r="Z3463" s="463"/>
      <c r="AA3463" s="463"/>
      <c r="AB3463" s="464">
        <v>400.06535591433249</v>
      </c>
      <c r="AC3463" s="465">
        <v>8.5389638767183293E-2</v>
      </c>
      <c r="AD3463" s="465">
        <v>8.3292714459035633E-2</v>
      </c>
      <c r="AE3463" s="476">
        <v>400.06535591433249</v>
      </c>
      <c r="AF3463" s="467">
        <v>8.5389638767183293E-2</v>
      </c>
      <c r="AG3463" s="468">
        <v>8.3292714459035633E-2</v>
      </c>
      <c r="AH3463" s="218">
        <v>400.06535591433249</v>
      </c>
      <c r="AI3463" s="470">
        <v>8.5389638767183293E-2</v>
      </c>
      <c r="AJ3463" s="471">
        <v>8.3292714459035633E-2</v>
      </c>
      <c r="AK3463" s="218">
        <v>400.06535591433249</v>
      </c>
      <c r="AL3463" s="470">
        <v>8.5389638767183293E-2</v>
      </c>
      <c r="AM3463" s="471">
        <v>8.3292714459035633E-2</v>
      </c>
      <c r="AN3463" s="477">
        <v>400.06535591433249</v>
      </c>
      <c r="AO3463" s="473">
        <v>8.5389638767183293E-2</v>
      </c>
      <c r="AP3463" s="474">
        <v>8.3292714459035633E-2</v>
      </c>
      <c r="AQ3463" s="352"/>
      <c r="AR3463" s="352"/>
      <c r="AS3463" s="352"/>
      <c r="AT3463" s="352"/>
      <c r="AU3463" s="352"/>
      <c r="AV3463" s="352"/>
      <c r="AW3463" s="352" t="s">
        <v>254</v>
      </c>
    </row>
    <row r="3464" spans="2:49" x14ac:dyDescent="0.2">
      <c r="B3464" s="460" t="s">
        <v>3395</v>
      </c>
      <c r="C3464" s="460">
        <v>6000</v>
      </c>
      <c r="D3464" s="460" t="s">
        <v>2572</v>
      </c>
      <c r="E3464" s="460" t="s">
        <v>1137</v>
      </c>
      <c r="F3464" s="460">
        <v>2</v>
      </c>
      <c r="G3464" s="460">
        <v>4</v>
      </c>
      <c r="H3464" s="461" t="s">
        <v>719</v>
      </c>
      <c r="I3464" s="461" t="s">
        <v>720</v>
      </c>
      <c r="J3464" s="461" t="s">
        <v>719</v>
      </c>
      <c r="K3464" s="594"/>
      <c r="L3464" s="594"/>
      <c r="M3464" s="352">
        <v>6000</v>
      </c>
      <c r="N3464" s="352" t="s">
        <v>871</v>
      </c>
      <c r="O3464" s="460">
        <v>5111</v>
      </c>
      <c r="P3464" s="460" t="s">
        <v>783</v>
      </c>
      <c r="Q3464" s="460" t="s">
        <v>3374</v>
      </c>
      <c r="R3464" s="460">
        <v>5111</v>
      </c>
      <c r="S3464" s="460" t="s">
        <v>1137</v>
      </c>
      <c r="T3464" s="462">
        <v>1</v>
      </c>
      <c r="U3464" s="460" t="s">
        <v>1137</v>
      </c>
      <c r="V3464" s="475">
        <v>0</v>
      </c>
      <c r="W3464" s="463" t="s">
        <v>2278</v>
      </c>
      <c r="X3464" s="463" t="s">
        <v>2278</v>
      </c>
      <c r="Y3464" s="463" t="s">
        <v>2278</v>
      </c>
      <c r="Z3464" s="463"/>
      <c r="AA3464" s="463"/>
      <c r="AB3464" s="464">
        <v>18.010792093058978</v>
      </c>
      <c r="AC3464" s="465">
        <v>2.4999219466449508E-3</v>
      </c>
      <c r="AD3464" s="465">
        <v>3.9709657377623496E-4</v>
      </c>
      <c r="AE3464" s="476">
        <v>18.010792093058978</v>
      </c>
      <c r="AF3464" s="467">
        <v>2.4999219466449508E-3</v>
      </c>
      <c r="AG3464" s="468">
        <v>3.9709657377623496E-4</v>
      </c>
      <c r="AH3464" s="218">
        <v>18.010792093058978</v>
      </c>
      <c r="AI3464" s="470">
        <v>2.4999219466449508E-3</v>
      </c>
      <c r="AJ3464" s="471">
        <v>3.9709657377623496E-4</v>
      </c>
      <c r="AK3464" s="218">
        <v>18.010792093058978</v>
      </c>
      <c r="AL3464" s="470">
        <v>2.4999219466449508E-3</v>
      </c>
      <c r="AM3464" s="471">
        <v>3.9709657377623496E-4</v>
      </c>
      <c r="AN3464" s="477">
        <v>18.010792093058978</v>
      </c>
      <c r="AO3464" s="473">
        <v>2.4999219466449508E-3</v>
      </c>
      <c r="AP3464" s="474">
        <v>3.9709657377623496E-4</v>
      </c>
      <c r="AQ3464" s="352"/>
      <c r="AR3464" s="352"/>
      <c r="AS3464" s="352"/>
      <c r="AT3464" s="352"/>
      <c r="AU3464" s="352"/>
      <c r="AV3464" s="352"/>
      <c r="AW3464" s="352" t="s">
        <v>254</v>
      </c>
    </row>
    <row r="3465" spans="2:49" x14ac:dyDescent="0.2">
      <c r="B3465" s="460" t="s">
        <v>3396</v>
      </c>
      <c r="C3465" s="460">
        <v>6000</v>
      </c>
      <c r="D3465" s="460" t="s">
        <v>2573</v>
      </c>
      <c r="E3465" s="460" t="s">
        <v>1138</v>
      </c>
      <c r="F3465" s="460">
        <v>3</v>
      </c>
      <c r="G3465" s="460">
        <v>4</v>
      </c>
      <c r="H3465" s="461" t="s">
        <v>719</v>
      </c>
      <c r="I3465" s="461" t="s">
        <v>720</v>
      </c>
      <c r="J3465" s="461" t="s">
        <v>719</v>
      </c>
      <c r="K3465" s="594"/>
      <c r="L3465" s="594"/>
      <c r="M3465" s="352">
        <v>6000</v>
      </c>
      <c r="N3465" s="352" t="s">
        <v>871</v>
      </c>
      <c r="O3465" s="460">
        <v>5111</v>
      </c>
      <c r="P3465" s="460" t="s">
        <v>783</v>
      </c>
      <c r="Q3465" s="460" t="s">
        <v>3374</v>
      </c>
      <c r="R3465" s="460">
        <v>5111</v>
      </c>
      <c r="S3465" s="460" t="s">
        <v>1138</v>
      </c>
      <c r="T3465" s="462">
        <v>1</v>
      </c>
      <c r="U3465" s="460" t="s">
        <v>1138</v>
      </c>
      <c r="V3465" s="475">
        <v>0</v>
      </c>
      <c r="W3465" s="463" t="s">
        <v>2278</v>
      </c>
      <c r="X3465" s="463" t="s">
        <v>2278</v>
      </c>
      <c r="Y3465" s="463" t="s">
        <v>2278</v>
      </c>
      <c r="Z3465" s="463"/>
      <c r="AA3465" s="463"/>
      <c r="AB3465" s="464">
        <v>119.47700903501392</v>
      </c>
      <c r="AC3465" s="465">
        <v>1.8983689930106552E-2</v>
      </c>
      <c r="AD3465" s="465">
        <v>3.9194074281850271E-3</v>
      </c>
      <c r="AE3465" s="476">
        <v>119.47700903501392</v>
      </c>
      <c r="AF3465" s="467">
        <v>1.8983689930106552E-2</v>
      </c>
      <c r="AG3465" s="468">
        <v>3.9194074281850271E-3</v>
      </c>
      <c r="AH3465" s="218">
        <v>119.47700903501392</v>
      </c>
      <c r="AI3465" s="470">
        <v>1.8983689930106552E-2</v>
      </c>
      <c r="AJ3465" s="471">
        <v>3.9194074281850271E-3</v>
      </c>
      <c r="AK3465" s="218">
        <v>119.47700903501392</v>
      </c>
      <c r="AL3465" s="470">
        <v>1.8983689930106552E-2</v>
      </c>
      <c r="AM3465" s="471">
        <v>3.9194074281850271E-3</v>
      </c>
      <c r="AN3465" s="477">
        <v>119.47700903501392</v>
      </c>
      <c r="AO3465" s="473">
        <v>1.8983689930106552E-2</v>
      </c>
      <c r="AP3465" s="474">
        <v>3.9194074281850271E-3</v>
      </c>
      <c r="AQ3465" s="352"/>
      <c r="AR3465" s="352"/>
      <c r="AS3465" s="352"/>
      <c r="AT3465" s="352"/>
      <c r="AU3465" s="352"/>
      <c r="AV3465" s="352"/>
      <c r="AW3465" s="352" t="s">
        <v>254</v>
      </c>
    </row>
    <row r="3466" spans="2:49" x14ac:dyDescent="0.2">
      <c r="B3466" s="460" t="s">
        <v>3397</v>
      </c>
      <c r="C3466" s="460">
        <v>6000</v>
      </c>
      <c r="D3466" s="460" t="s">
        <v>2574</v>
      </c>
      <c r="E3466" s="460" t="s">
        <v>1139</v>
      </c>
      <c r="F3466" s="460">
        <v>4</v>
      </c>
      <c r="G3466" s="460">
        <v>4</v>
      </c>
      <c r="H3466" s="461" t="s">
        <v>719</v>
      </c>
      <c r="I3466" s="461" t="s">
        <v>720</v>
      </c>
      <c r="J3466" s="461" t="s">
        <v>719</v>
      </c>
      <c r="K3466" s="594"/>
      <c r="L3466" s="594"/>
      <c r="M3466" s="352">
        <v>6000</v>
      </c>
      <c r="N3466" s="352" t="s">
        <v>871</v>
      </c>
      <c r="O3466" s="460">
        <v>5111</v>
      </c>
      <c r="P3466" s="460" t="s">
        <v>783</v>
      </c>
      <c r="Q3466" s="460" t="s">
        <v>3374</v>
      </c>
      <c r="R3466" s="460">
        <v>5111</v>
      </c>
      <c r="S3466" s="460" t="s">
        <v>1139</v>
      </c>
      <c r="T3466" s="462">
        <v>1</v>
      </c>
      <c r="U3466" s="460" t="s">
        <v>1139</v>
      </c>
      <c r="V3466" s="475">
        <v>0</v>
      </c>
      <c r="W3466" s="463" t="s">
        <v>2278</v>
      </c>
      <c r="X3466" s="463" t="s">
        <v>2278</v>
      </c>
      <c r="Y3466" s="463" t="s">
        <v>2278</v>
      </c>
      <c r="Z3466" s="463"/>
      <c r="AA3466" s="463"/>
      <c r="AB3466" s="464">
        <v>12.450039954105467</v>
      </c>
      <c r="AC3466" s="465">
        <v>1.7943593796370001E-3</v>
      </c>
      <c r="AD3466" s="465">
        <v>5.8700186545649409E-4</v>
      </c>
      <c r="AE3466" s="476">
        <v>12.450039954105467</v>
      </c>
      <c r="AF3466" s="467">
        <v>1.7943593796370001E-3</v>
      </c>
      <c r="AG3466" s="468">
        <v>5.8700186545649409E-4</v>
      </c>
      <c r="AH3466" s="218">
        <v>12.450039954105467</v>
      </c>
      <c r="AI3466" s="470">
        <v>1.7943593796370001E-3</v>
      </c>
      <c r="AJ3466" s="471">
        <v>5.8700186545649409E-4</v>
      </c>
      <c r="AK3466" s="218">
        <v>12.450039954105467</v>
      </c>
      <c r="AL3466" s="470">
        <v>1.7943593796370001E-3</v>
      </c>
      <c r="AM3466" s="471">
        <v>5.8700186545649409E-4</v>
      </c>
      <c r="AN3466" s="477">
        <v>12.450039954105467</v>
      </c>
      <c r="AO3466" s="473">
        <v>1.7943593796370001E-3</v>
      </c>
      <c r="AP3466" s="474">
        <v>5.8700186545649409E-4</v>
      </c>
      <c r="AQ3466" s="352"/>
      <c r="AR3466" s="352"/>
      <c r="AS3466" s="352"/>
      <c r="AT3466" s="352"/>
      <c r="AU3466" s="352"/>
      <c r="AV3466" s="352"/>
      <c r="AW3466" s="352" t="s">
        <v>254</v>
      </c>
    </row>
    <row r="3467" spans="2:49" x14ac:dyDescent="0.2">
      <c r="B3467" s="460" t="s">
        <v>3394</v>
      </c>
      <c r="C3467" s="460">
        <v>6000</v>
      </c>
      <c r="D3467" s="460" t="s">
        <v>2362</v>
      </c>
      <c r="E3467" s="460" t="s">
        <v>1136</v>
      </c>
      <c r="F3467" s="460">
        <v>1</v>
      </c>
      <c r="G3467" s="460">
        <v>4</v>
      </c>
      <c r="H3467" s="461" t="s">
        <v>746</v>
      </c>
      <c r="I3467" s="461" t="s">
        <v>762</v>
      </c>
      <c r="J3467" s="461" t="s">
        <v>700</v>
      </c>
      <c r="K3467" s="594"/>
      <c r="L3467" s="594"/>
      <c r="M3467" s="352">
        <v>6000</v>
      </c>
      <c r="N3467" s="352" t="s">
        <v>871</v>
      </c>
      <c r="O3467" s="460">
        <v>5111</v>
      </c>
      <c r="P3467" s="460" t="s">
        <v>783</v>
      </c>
      <c r="Q3467" s="460" t="s">
        <v>2553</v>
      </c>
      <c r="R3467" s="460">
        <v>5111</v>
      </c>
      <c r="S3467" s="460" t="s">
        <v>1136</v>
      </c>
      <c r="T3467" s="462">
        <v>1</v>
      </c>
      <c r="U3467" s="460" t="s">
        <v>1136</v>
      </c>
      <c r="V3467" s="475">
        <v>0</v>
      </c>
      <c r="W3467" s="463" t="s">
        <v>2268</v>
      </c>
      <c r="X3467" s="463" t="s">
        <v>2268</v>
      </c>
      <c r="Y3467" s="463" t="s">
        <v>2554</v>
      </c>
      <c r="Z3467" s="463"/>
      <c r="AA3467" s="463"/>
      <c r="AB3467" s="464">
        <v>0</v>
      </c>
      <c r="AC3467" s="465">
        <v>0</v>
      </c>
      <c r="AD3467" s="465">
        <v>0</v>
      </c>
      <c r="AE3467" s="476">
        <v>0</v>
      </c>
      <c r="AF3467" s="467">
        <v>0</v>
      </c>
      <c r="AG3467" s="468">
        <v>0</v>
      </c>
      <c r="AH3467" s="218">
        <v>0</v>
      </c>
      <c r="AI3467" s="470">
        <v>0</v>
      </c>
      <c r="AJ3467" s="471">
        <v>0</v>
      </c>
      <c r="AK3467" s="218">
        <v>0</v>
      </c>
      <c r="AL3467" s="470">
        <v>0</v>
      </c>
      <c r="AM3467" s="471">
        <v>0</v>
      </c>
      <c r="AN3467" s="477">
        <v>0.90987665945078544</v>
      </c>
      <c r="AO3467" s="473">
        <v>1.9420336733638825E-4</v>
      </c>
      <c r="AP3467" s="474">
        <v>4.1039905994496263E-3</v>
      </c>
      <c r="AQ3467" s="352"/>
      <c r="AR3467" s="352"/>
      <c r="AS3467" s="352"/>
      <c r="AT3467" s="352"/>
      <c r="AU3467" s="352"/>
      <c r="AV3467" s="352"/>
      <c r="AW3467" s="352" t="s">
        <v>254</v>
      </c>
    </row>
    <row r="3468" spans="2:49" x14ac:dyDescent="0.2">
      <c r="B3468" s="460" t="s">
        <v>3395</v>
      </c>
      <c r="C3468" s="460">
        <v>6000</v>
      </c>
      <c r="D3468" s="460" t="s">
        <v>2363</v>
      </c>
      <c r="E3468" s="460" t="s">
        <v>1137</v>
      </c>
      <c r="F3468" s="460">
        <v>2</v>
      </c>
      <c r="G3468" s="460">
        <v>4</v>
      </c>
      <c r="H3468" s="461" t="s">
        <v>746</v>
      </c>
      <c r="I3468" s="461" t="s">
        <v>762</v>
      </c>
      <c r="J3468" s="461" t="s">
        <v>700</v>
      </c>
      <c r="K3468" s="594"/>
      <c r="L3468" s="594"/>
      <c r="M3468" s="352">
        <v>6000</v>
      </c>
      <c r="N3468" s="352" t="s">
        <v>871</v>
      </c>
      <c r="O3468" s="460">
        <v>5111</v>
      </c>
      <c r="P3468" s="460" t="s">
        <v>783</v>
      </c>
      <c r="Q3468" s="460" t="s">
        <v>2553</v>
      </c>
      <c r="R3468" s="460">
        <v>5111</v>
      </c>
      <c r="S3468" s="460" t="s">
        <v>1137</v>
      </c>
      <c r="T3468" s="462">
        <v>1</v>
      </c>
      <c r="U3468" s="460" t="s">
        <v>1137</v>
      </c>
      <c r="V3468" s="475">
        <v>0</v>
      </c>
      <c r="W3468" s="463" t="s">
        <v>2268</v>
      </c>
      <c r="X3468" s="463" t="s">
        <v>2268</v>
      </c>
      <c r="Y3468" s="463" t="s">
        <v>2554</v>
      </c>
      <c r="Z3468" s="463"/>
      <c r="AA3468" s="463"/>
      <c r="AB3468" s="464">
        <v>0</v>
      </c>
      <c r="AC3468" s="465">
        <v>0</v>
      </c>
      <c r="AD3468" s="465">
        <v>0</v>
      </c>
      <c r="AE3468" s="476">
        <v>0</v>
      </c>
      <c r="AF3468" s="467">
        <v>0</v>
      </c>
      <c r="AG3468" s="468">
        <v>0</v>
      </c>
      <c r="AH3468" s="218">
        <v>0</v>
      </c>
      <c r="AI3468" s="470">
        <v>0</v>
      </c>
      <c r="AJ3468" s="471">
        <v>0</v>
      </c>
      <c r="AK3468" s="218">
        <v>0</v>
      </c>
      <c r="AL3468" s="470">
        <v>0</v>
      </c>
      <c r="AM3468" s="471">
        <v>0</v>
      </c>
      <c r="AN3468" s="477">
        <v>11.464198906065711</v>
      </c>
      <c r="AO3468" s="473">
        <v>1.5912460872290889E-3</v>
      </c>
      <c r="AP3468" s="474">
        <v>3.1327479683358277E-3</v>
      </c>
      <c r="AQ3468" s="352"/>
      <c r="AR3468" s="352"/>
      <c r="AS3468" s="352"/>
      <c r="AT3468" s="352"/>
      <c r="AU3468" s="352"/>
      <c r="AV3468" s="352"/>
      <c r="AW3468" s="352" t="s">
        <v>254</v>
      </c>
    </row>
    <row r="3469" spans="2:49" x14ac:dyDescent="0.2">
      <c r="B3469" s="460" t="s">
        <v>3396</v>
      </c>
      <c r="C3469" s="460">
        <v>6000</v>
      </c>
      <c r="D3469" s="460" t="s">
        <v>2364</v>
      </c>
      <c r="E3469" s="460" t="s">
        <v>1138</v>
      </c>
      <c r="F3469" s="460">
        <v>3</v>
      </c>
      <c r="G3469" s="460">
        <v>4</v>
      </c>
      <c r="H3469" s="461" t="s">
        <v>746</v>
      </c>
      <c r="I3469" s="461" t="s">
        <v>762</v>
      </c>
      <c r="J3469" s="461" t="s">
        <v>700</v>
      </c>
      <c r="K3469" s="594"/>
      <c r="L3469" s="594"/>
      <c r="M3469" s="352">
        <v>6000</v>
      </c>
      <c r="N3469" s="352" t="s">
        <v>871</v>
      </c>
      <c r="O3469" s="460">
        <v>5111</v>
      </c>
      <c r="P3469" s="460" t="s">
        <v>783</v>
      </c>
      <c r="Q3469" s="460" t="s">
        <v>2553</v>
      </c>
      <c r="R3469" s="460">
        <v>5111</v>
      </c>
      <c r="S3469" s="460" t="s">
        <v>1138</v>
      </c>
      <c r="T3469" s="462">
        <v>1</v>
      </c>
      <c r="U3469" s="460" t="s">
        <v>1138</v>
      </c>
      <c r="V3469" s="475">
        <v>0</v>
      </c>
      <c r="W3469" s="463" t="s">
        <v>2268</v>
      </c>
      <c r="X3469" s="463" t="s">
        <v>2268</v>
      </c>
      <c r="Y3469" s="463" t="s">
        <v>2554</v>
      </c>
      <c r="Z3469" s="463"/>
      <c r="AA3469" s="463"/>
      <c r="AB3469" s="464">
        <v>0</v>
      </c>
      <c r="AC3469" s="465">
        <v>0</v>
      </c>
      <c r="AD3469" s="465">
        <v>0</v>
      </c>
      <c r="AE3469" s="476">
        <v>0</v>
      </c>
      <c r="AF3469" s="467">
        <v>0</v>
      </c>
      <c r="AG3469" s="468">
        <v>0</v>
      </c>
      <c r="AH3469" s="218">
        <v>0</v>
      </c>
      <c r="AI3469" s="470">
        <v>0</v>
      </c>
      <c r="AJ3469" s="471">
        <v>0</v>
      </c>
      <c r="AK3469" s="218">
        <v>0</v>
      </c>
      <c r="AL3469" s="470">
        <v>0</v>
      </c>
      <c r="AM3469" s="471">
        <v>0</v>
      </c>
      <c r="AN3469" s="477">
        <v>6.1701285328444451</v>
      </c>
      <c r="AO3469" s="473">
        <v>9.8037110103832252E-4</v>
      </c>
      <c r="AP3469" s="474">
        <v>3.1935289370919702E-3</v>
      </c>
      <c r="AQ3469" s="352"/>
      <c r="AR3469" s="352"/>
      <c r="AS3469" s="352"/>
      <c r="AT3469" s="352"/>
      <c r="AU3469" s="352"/>
      <c r="AV3469" s="352"/>
      <c r="AW3469" s="352" t="s">
        <v>254</v>
      </c>
    </row>
    <row r="3470" spans="2:49" x14ac:dyDescent="0.2">
      <c r="B3470" s="460" t="s">
        <v>3397</v>
      </c>
      <c r="C3470" s="460">
        <v>6000</v>
      </c>
      <c r="D3470" s="460" t="s">
        <v>2365</v>
      </c>
      <c r="E3470" s="460" t="s">
        <v>1139</v>
      </c>
      <c r="F3470" s="460">
        <v>4</v>
      </c>
      <c r="G3470" s="460">
        <v>4</v>
      </c>
      <c r="H3470" s="461" t="s">
        <v>746</v>
      </c>
      <c r="I3470" s="461" t="s">
        <v>762</v>
      </c>
      <c r="J3470" s="461" t="s">
        <v>700</v>
      </c>
      <c r="K3470" s="594"/>
      <c r="L3470" s="594"/>
      <c r="M3470" s="352">
        <v>6000</v>
      </c>
      <c r="N3470" s="352" t="s">
        <v>871</v>
      </c>
      <c r="O3470" s="460">
        <v>5111</v>
      </c>
      <c r="P3470" s="460" t="s">
        <v>783</v>
      </c>
      <c r="Q3470" s="460" t="s">
        <v>2553</v>
      </c>
      <c r="R3470" s="460">
        <v>5111</v>
      </c>
      <c r="S3470" s="460" t="s">
        <v>1139</v>
      </c>
      <c r="T3470" s="462">
        <v>1</v>
      </c>
      <c r="U3470" s="460" t="s">
        <v>1139</v>
      </c>
      <c r="V3470" s="475">
        <v>0</v>
      </c>
      <c r="W3470" s="463" t="s">
        <v>2268</v>
      </c>
      <c r="X3470" s="463" t="s">
        <v>2268</v>
      </c>
      <c r="Y3470" s="463" t="s">
        <v>2554</v>
      </c>
      <c r="Z3470" s="463"/>
      <c r="AA3470" s="463"/>
      <c r="AB3470" s="464">
        <v>0</v>
      </c>
      <c r="AC3470" s="465">
        <v>0</v>
      </c>
      <c r="AD3470" s="465">
        <v>0</v>
      </c>
      <c r="AE3470" s="476">
        <v>0</v>
      </c>
      <c r="AF3470" s="467">
        <v>0</v>
      </c>
      <c r="AG3470" s="468">
        <v>0</v>
      </c>
      <c r="AH3470" s="218">
        <v>0</v>
      </c>
      <c r="AI3470" s="470">
        <v>0</v>
      </c>
      <c r="AJ3470" s="471">
        <v>0</v>
      </c>
      <c r="AK3470" s="218">
        <v>0</v>
      </c>
      <c r="AL3470" s="470">
        <v>0</v>
      </c>
      <c r="AM3470" s="471">
        <v>0</v>
      </c>
      <c r="AN3470" s="477">
        <v>0</v>
      </c>
      <c r="AO3470" s="473">
        <v>0</v>
      </c>
      <c r="AP3470" s="474">
        <v>0</v>
      </c>
      <c r="AQ3470" s="352"/>
      <c r="AR3470" s="352"/>
      <c r="AS3470" s="352"/>
      <c r="AT3470" s="352"/>
      <c r="AU3470" s="352"/>
      <c r="AV3470" s="352"/>
      <c r="AW3470" s="352" t="s">
        <v>254</v>
      </c>
    </row>
    <row r="3471" spans="2:49" x14ac:dyDescent="0.2">
      <c r="B3471" s="460" t="s">
        <v>3394</v>
      </c>
      <c r="C3471" s="460">
        <v>6000</v>
      </c>
      <c r="D3471" s="460" t="s">
        <v>2366</v>
      </c>
      <c r="E3471" s="460" t="s">
        <v>1136</v>
      </c>
      <c r="F3471" s="460">
        <v>1</v>
      </c>
      <c r="G3471" s="460">
        <v>4</v>
      </c>
      <c r="H3471" s="461" t="s">
        <v>748</v>
      </c>
      <c r="I3471" s="461" t="s">
        <v>765</v>
      </c>
      <c r="J3471" s="461" t="s">
        <v>700</v>
      </c>
      <c r="K3471" s="594"/>
      <c r="L3471" s="594"/>
      <c r="M3471" s="352">
        <v>6000</v>
      </c>
      <c r="N3471" s="352" t="s">
        <v>871</v>
      </c>
      <c r="O3471" s="460">
        <v>5111</v>
      </c>
      <c r="P3471" s="460" t="s">
        <v>783</v>
      </c>
      <c r="Q3471" s="460" t="s">
        <v>2553</v>
      </c>
      <c r="R3471" s="460">
        <v>5111</v>
      </c>
      <c r="S3471" s="460" t="s">
        <v>1136</v>
      </c>
      <c r="T3471" s="462">
        <v>1</v>
      </c>
      <c r="U3471" s="460" t="s">
        <v>1136</v>
      </c>
      <c r="V3471" s="475">
        <v>0</v>
      </c>
      <c r="W3471" s="463" t="s">
        <v>2268</v>
      </c>
      <c r="X3471" s="463" t="s">
        <v>2268</v>
      </c>
      <c r="Y3471" s="463" t="s">
        <v>2554</v>
      </c>
      <c r="Z3471" s="463"/>
      <c r="AA3471" s="463"/>
      <c r="AB3471" s="464">
        <v>0</v>
      </c>
      <c r="AC3471" s="465">
        <v>0</v>
      </c>
      <c r="AD3471" s="465">
        <v>0</v>
      </c>
      <c r="AE3471" s="476">
        <v>0</v>
      </c>
      <c r="AF3471" s="467">
        <v>0</v>
      </c>
      <c r="AG3471" s="468">
        <v>0</v>
      </c>
      <c r="AH3471" s="218">
        <v>0</v>
      </c>
      <c r="AI3471" s="470">
        <v>0</v>
      </c>
      <c r="AJ3471" s="471">
        <v>0</v>
      </c>
      <c r="AK3471" s="218">
        <v>0</v>
      </c>
      <c r="AL3471" s="470">
        <v>0</v>
      </c>
      <c r="AM3471" s="471">
        <v>0</v>
      </c>
      <c r="AN3471" s="477">
        <v>0.22746916486269661</v>
      </c>
      <c r="AO3471" s="473">
        <v>4.8550841834097116E-5</v>
      </c>
      <c r="AP3471" s="474">
        <v>2.794794554354429E-4</v>
      </c>
      <c r="AQ3471" s="352"/>
      <c r="AR3471" s="352"/>
      <c r="AS3471" s="352"/>
      <c r="AT3471" s="352"/>
      <c r="AU3471" s="352"/>
      <c r="AV3471" s="352"/>
      <c r="AW3471" s="352" t="s">
        <v>254</v>
      </c>
    </row>
    <row r="3472" spans="2:49" x14ac:dyDescent="0.2">
      <c r="B3472" s="460" t="s">
        <v>3395</v>
      </c>
      <c r="C3472" s="460">
        <v>6000</v>
      </c>
      <c r="D3472" s="460" t="s">
        <v>2367</v>
      </c>
      <c r="E3472" s="460" t="s">
        <v>1137</v>
      </c>
      <c r="F3472" s="460">
        <v>2</v>
      </c>
      <c r="G3472" s="460">
        <v>4</v>
      </c>
      <c r="H3472" s="461" t="s">
        <v>748</v>
      </c>
      <c r="I3472" s="461" t="s">
        <v>765</v>
      </c>
      <c r="J3472" s="461" t="s">
        <v>700</v>
      </c>
      <c r="K3472" s="594"/>
      <c r="L3472" s="594"/>
      <c r="M3472" s="352">
        <v>6000</v>
      </c>
      <c r="N3472" s="352" t="s">
        <v>871</v>
      </c>
      <c r="O3472" s="460">
        <v>5111</v>
      </c>
      <c r="P3472" s="460" t="s">
        <v>783</v>
      </c>
      <c r="Q3472" s="460" t="s">
        <v>2553</v>
      </c>
      <c r="R3472" s="460">
        <v>5111</v>
      </c>
      <c r="S3472" s="460" t="s">
        <v>1137</v>
      </c>
      <c r="T3472" s="462">
        <v>1</v>
      </c>
      <c r="U3472" s="460" t="s">
        <v>1137</v>
      </c>
      <c r="V3472" s="475">
        <v>0</v>
      </c>
      <c r="W3472" s="463" t="s">
        <v>2268</v>
      </c>
      <c r="X3472" s="463" t="s">
        <v>2268</v>
      </c>
      <c r="Y3472" s="463" t="s">
        <v>2554</v>
      </c>
      <c r="Z3472" s="463"/>
      <c r="AA3472" s="463"/>
      <c r="AB3472" s="464">
        <v>0</v>
      </c>
      <c r="AC3472" s="465">
        <v>0</v>
      </c>
      <c r="AD3472" s="465">
        <v>0</v>
      </c>
      <c r="AE3472" s="476">
        <v>0</v>
      </c>
      <c r="AF3472" s="467">
        <v>0</v>
      </c>
      <c r="AG3472" s="468">
        <v>0</v>
      </c>
      <c r="AH3472" s="218">
        <v>0</v>
      </c>
      <c r="AI3472" s="470">
        <v>0</v>
      </c>
      <c r="AJ3472" s="471">
        <v>0</v>
      </c>
      <c r="AK3472" s="218">
        <v>0</v>
      </c>
      <c r="AL3472" s="470">
        <v>0</v>
      </c>
      <c r="AM3472" s="471">
        <v>0</v>
      </c>
      <c r="AN3472" s="477">
        <v>2.8660497265164309</v>
      </c>
      <c r="AO3472" s="473">
        <v>3.9781152180727266E-4</v>
      </c>
      <c r="AP3472" s="474">
        <v>2.7606108696409462E-3</v>
      </c>
      <c r="AQ3472" s="352"/>
      <c r="AR3472" s="352"/>
      <c r="AS3472" s="352"/>
      <c r="AT3472" s="352"/>
      <c r="AU3472" s="352"/>
      <c r="AV3472" s="352"/>
      <c r="AW3472" s="352" t="s">
        <v>254</v>
      </c>
    </row>
    <row r="3473" spans="2:49" x14ac:dyDescent="0.2">
      <c r="B3473" s="460" t="s">
        <v>3396</v>
      </c>
      <c r="C3473" s="460">
        <v>6000</v>
      </c>
      <c r="D3473" s="460" t="s">
        <v>2368</v>
      </c>
      <c r="E3473" s="460" t="s">
        <v>1138</v>
      </c>
      <c r="F3473" s="460">
        <v>3</v>
      </c>
      <c r="G3473" s="460">
        <v>4</v>
      </c>
      <c r="H3473" s="461" t="s">
        <v>748</v>
      </c>
      <c r="I3473" s="461" t="s">
        <v>765</v>
      </c>
      <c r="J3473" s="461" t="s">
        <v>700</v>
      </c>
      <c r="K3473" s="594"/>
      <c r="L3473" s="594"/>
      <c r="M3473" s="352">
        <v>6000</v>
      </c>
      <c r="N3473" s="352" t="s">
        <v>871</v>
      </c>
      <c r="O3473" s="460">
        <v>5111</v>
      </c>
      <c r="P3473" s="460" t="s">
        <v>783</v>
      </c>
      <c r="Q3473" s="460" t="s">
        <v>2553</v>
      </c>
      <c r="R3473" s="460">
        <v>5111</v>
      </c>
      <c r="S3473" s="460" t="s">
        <v>1138</v>
      </c>
      <c r="T3473" s="462">
        <v>1</v>
      </c>
      <c r="U3473" s="460" t="s">
        <v>1138</v>
      </c>
      <c r="V3473" s="475">
        <v>0</v>
      </c>
      <c r="W3473" s="463" t="s">
        <v>2268</v>
      </c>
      <c r="X3473" s="463" t="s">
        <v>2268</v>
      </c>
      <c r="Y3473" s="463" t="s">
        <v>2554</v>
      </c>
      <c r="Z3473" s="463"/>
      <c r="AA3473" s="463"/>
      <c r="AB3473" s="464">
        <v>0</v>
      </c>
      <c r="AC3473" s="465">
        <v>0</v>
      </c>
      <c r="AD3473" s="465">
        <v>0</v>
      </c>
      <c r="AE3473" s="476">
        <v>0</v>
      </c>
      <c r="AF3473" s="467">
        <v>0</v>
      </c>
      <c r="AG3473" s="468">
        <v>0</v>
      </c>
      <c r="AH3473" s="218">
        <v>0</v>
      </c>
      <c r="AI3473" s="470">
        <v>0</v>
      </c>
      <c r="AJ3473" s="471">
        <v>0</v>
      </c>
      <c r="AK3473" s="218">
        <v>0</v>
      </c>
      <c r="AL3473" s="470">
        <v>0</v>
      </c>
      <c r="AM3473" s="471">
        <v>0</v>
      </c>
      <c r="AN3473" s="477">
        <v>1.5425321332111128</v>
      </c>
      <c r="AO3473" s="473">
        <v>2.450927752595809E-4</v>
      </c>
      <c r="AP3473" s="474">
        <v>1.6004549793748719E-3</v>
      </c>
      <c r="AQ3473" s="352"/>
      <c r="AR3473" s="352"/>
      <c r="AS3473" s="352"/>
      <c r="AT3473" s="352"/>
      <c r="AU3473" s="352"/>
      <c r="AV3473" s="352"/>
      <c r="AW3473" s="352" t="s">
        <v>254</v>
      </c>
    </row>
    <row r="3474" spans="2:49" x14ac:dyDescent="0.2">
      <c r="B3474" s="460" t="s">
        <v>3397</v>
      </c>
      <c r="C3474" s="460">
        <v>6000</v>
      </c>
      <c r="D3474" s="460" t="s">
        <v>2369</v>
      </c>
      <c r="E3474" s="460" t="s">
        <v>1139</v>
      </c>
      <c r="F3474" s="460">
        <v>4</v>
      </c>
      <c r="G3474" s="460">
        <v>4</v>
      </c>
      <c r="H3474" s="461" t="s">
        <v>748</v>
      </c>
      <c r="I3474" s="461" t="s">
        <v>765</v>
      </c>
      <c r="J3474" s="461" t="s">
        <v>700</v>
      </c>
      <c r="K3474" s="594"/>
      <c r="L3474" s="594"/>
      <c r="M3474" s="352">
        <v>6000</v>
      </c>
      <c r="N3474" s="352" t="s">
        <v>871</v>
      </c>
      <c r="O3474" s="460">
        <v>5111</v>
      </c>
      <c r="P3474" s="460" t="s">
        <v>783</v>
      </c>
      <c r="Q3474" s="460" t="s">
        <v>2553</v>
      </c>
      <c r="R3474" s="460">
        <v>5111</v>
      </c>
      <c r="S3474" s="460" t="s">
        <v>1139</v>
      </c>
      <c r="T3474" s="462">
        <v>1</v>
      </c>
      <c r="U3474" s="460" t="s">
        <v>1139</v>
      </c>
      <c r="V3474" s="475">
        <v>0</v>
      </c>
      <c r="W3474" s="463" t="s">
        <v>2268</v>
      </c>
      <c r="X3474" s="463" t="s">
        <v>2268</v>
      </c>
      <c r="Y3474" s="463" t="s">
        <v>2554</v>
      </c>
      <c r="Z3474" s="463"/>
      <c r="AA3474" s="463"/>
      <c r="AB3474" s="464">
        <v>0</v>
      </c>
      <c r="AC3474" s="465">
        <v>0</v>
      </c>
      <c r="AD3474" s="465">
        <v>0</v>
      </c>
      <c r="AE3474" s="476">
        <v>0</v>
      </c>
      <c r="AF3474" s="467">
        <v>0</v>
      </c>
      <c r="AG3474" s="468">
        <v>0</v>
      </c>
      <c r="AH3474" s="218">
        <v>0</v>
      </c>
      <c r="AI3474" s="470">
        <v>0</v>
      </c>
      <c r="AJ3474" s="471">
        <v>0</v>
      </c>
      <c r="AK3474" s="218">
        <v>0</v>
      </c>
      <c r="AL3474" s="470">
        <v>0</v>
      </c>
      <c r="AM3474" s="471">
        <v>0</v>
      </c>
      <c r="AN3474" s="477">
        <v>0</v>
      </c>
      <c r="AO3474" s="473">
        <v>0</v>
      </c>
      <c r="AP3474" s="474">
        <v>0</v>
      </c>
      <c r="AQ3474" s="352"/>
      <c r="AR3474" s="352"/>
      <c r="AS3474" s="352"/>
      <c r="AT3474" s="352"/>
      <c r="AU3474" s="352"/>
      <c r="AV3474" s="352"/>
      <c r="AW3474" s="352" t="s">
        <v>254</v>
      </c>
    </row>
    <row r="3475" spans="2:49" x14ac:dyDescent="0.2">
      <c r="B3475" s="460" t="s">
        <v>3398</v>
      </c>
      <c r="C3475" s="460">
        <v>6000</v>
      </c>
      <c r="D3475" s="460" t="s">
        <v>2375</v>
      </c>
      <c r="E3475" s="460" t="s">
        <v>2376</v>
      </c>
      <c r="F3475" s="460">
        <v>1</v>
      </c>
      <c r="G3475" s="460">
        <v>5</v>
      </c>
      <c r="H3475" s="461" t="s">
        <v>754</v>
      </c>
      <c r="I3475" s="461" t="s">
        <v>1991</v>
      </c>
      <c r="J3475" s="461" t="s">
        <v>754</v>
      </c>
      <c r="K3475" s="594"/>
      <c r="L3475" s="594"/>
      <c r="M3475" s="352">
        <v>6000</v>
      </c>
      <c r="N3475" s="352" t="s">
        <v>871</v>
      </c>
      <c r="O3475" s="460">
        <v>5111</v>
      </c>
      <c r="P3475" s="460" t="s">
        <v>783</v>
      </c>
      <c r="Q3475" s="460" t="s">
        <v>2377</v>
      </c>
      <c r="R3475" s="460">
        <v>5111</v>
      </c>
      <c r="S3475" s="460" t="s">
        <v>2376</v>
      </c>
      <c r="T3475" s="462">
        <v>1</v>
      </c>
      <c r="U3475" s="460" t="s">
        <v>2376</v>
      </c>
      <c r="V3475" s="475">
        <v>0</v>
      </c>
      <c r="W3475" s="463" t="s">
        <v>2278</v>
      </c>
      <c r="X3475" s="463" t="s">
        <v>2278</v>
      </c>
      <c r="Y3475" s="463" t="s">
        <v>2278</v>
      </c>
      <c r="Z3475" s="463"/>
      <c r="AA3475" s="463"/>
      <c r="AB3475" s="464">
        <v>13896.007114381613</v>
      </c>
      <c r="AC3475" s="465">
        <v>1</v>
      </c>
      <c r="AD3475" s="465">
        <v>2.3360644776949536E-2</v>
      </c>
      <c r="AE3475" s="476">
        <v>13896.007114381613</v>
      </c>
      <c r="AF3475" s="467">
        <v>1</v>
      </c>
      <c r="AG3475" s="468">
        <v>2.3360644776949536E-2</v>
      </c>
      <c r="AH3475" s="218">
        <v>13896.007114381613</v>
      </c>
      <c r="AI3475" s="470">
        <v>1</v>
      </c>
      <c r="AJ3475" s="471">
        <v>2.3360644776949536E-2</v>
      </c>
      <c r="AK3475" s="218">
        <v>13896.007114381613</v>
      </c>
      <c r="AL3475" s="470">
        <v>1</v>
      </c>
      <c r="AM3475" s="471">
        <v>2.3360644776949536E-2</v>
      </c>
      <c r="AN3475" s="477">
        <v>13896.007114381613</v>
      </c>
      <c r="AO3475" s="473">
        <v>1</v>
      </c>
      <c r="AP3475" s="474">
        <v>2.3360644776949536E-2</v>
      </c>
      <c r="AQ3475" s="352"/>
      <c r="AR3475" s="352"/>
      <c r="AS3475" s="352"/>
      <c r="AT3475" s="352"/>
      <c r="AU3475" s="352"/>
      <c r="AV3475" s="352"/>
      <c r="AW3475" s="352" t="s">
        <v>127</v>
      </c>
    </row>
    <row r="3476" spans="2:49" x14ac:dyDescent="0.2">
      <c r="B3476" s="460" t="s">
        <v>3399</v>
      </c>
      <c r="C3476" s="460">
        <v>6000</v>
      </c>
      <c r="D3476" s="460" t="s">
        <v>2379</v>
      </c>
      <c r="E3476" s="460" t="s">
        <v>2380</v>
      </c>
      <c r="F3476" s="460">
        <v>2</v>
      </c>
      <c r="G3476" s="460">
        <v>5</v>
      </c>
      <c r="H3476" s="461" t="s">
        <v>754</v>
      </c>
      <c r="I3476" s="461" t="s">
        <v>1991</v>
      </c>
      <c r="J3476" s="461" t="s">
        <v>754</v>
      </c>
      <c r="K3476" s="594"/>
      <c r="L3476" s="594"/>
      <c r="M3476" s="352">
        <v>6000</v>
      </c>
      <c r="N3476" s="352" t="s">
        <v>871</v>
      </c>
      <c r="O3476" s="460">
        <v>5111</v>
      </c>
      <c r="P3476" s="460" t="s">
        <v>783</v>
      </c>
      <c r="Q3476" s="460" t="s">
        <v>2377</v>
      </c>
      <c r="R3476" s="460">
        <v>5111</v>
      </c>
      <c r="S3476" s="460" t="s">
        <v>2380</v>
      </c>
      <c r="T3476" s="462">
        <v>1</v>
      </c>
      <c r="U3476" s="460" t="s">
        <v>2380</v>
      </c>
      <c r="V3476" s="475">
        <v>0</v>
      </c>
      <c r="W3476" s="463" t="s">
        <v>2278</v>
      </c>
      <c r="X3476" s="463" t="s">
        <v>2278</v>
      </c>
      <c r="Y3476" s="463" t="s">
        <v>2278</v>
      </c>
      <c r="Z3476" s="463"/>
      <c r="AA3476" s="463"/>
      <c r="AB3476" s="464">
        <v>5644.714315061241</v>
      </c>
      <c r="AC3476" s="465">
        <v>1</v>
      </c>
      <c r="AD3476" s="465">
        <v>1.1115592315713449E-2</v>
      </c>
      <c r="AE3476" s="476">
        <v>5644.714315061241</v>
      </c>
      <c r="AF3476" s="467">
        <v>1</v>
      </c>
      <c r="AG3476" s="468">
        <v>1.1115592315713449E-2</v>
      </c>
      <c r="AH3476" s="218">
        <v>5644.714315061241</v>
      </c>
      <c r="AI3476" s="470">
        <v>1</v>
      </c>
      <c r="AJ3476" s="471">
        <v>1.1115592315713449E-2</v>
      </c>
      <c r="AK3476" s="218">
        <v>5644.714315061241</v>
      </c>
      <c r="AL3476" s="470">
        <v>1</v>
      </c>
      <c r="AM3476" s="471">
        <v>1.1115592315713449E-2</v>
      </c>
      <c r="AN3476" s="477">
        <v>5644.714315061241</v>
      </c>
      <c r="AO3476" s="473">
        <v>1</v>
      </c>
      <c r="AP3476" s="474">
        <v>1.1115592315713449E-2</v>
      </c>
      <c r="AQ3476" s="352"/>
      <c r="AR3476" s="352"/>
      <c r="AS3476" s="352"/>
      <c r="AT3476" s="352"/>
      <c r="AU3476" s="352"/>
      <c r="AV3476" s="352"/>
      <c r="AW3476" s="352" t="s">
        <v>127</v>
      </c>
    </row>
    <row r="3477" spans="2:49" x14ac:dyDescent="0.2">
      <c r="B3477" s="460" t="s">
        <v>3400</v>
      </c>
      <c r="C3477" s="460">
        <v>6000</v>
      </c>
      <c r="D3477" s="460" t="s">
        <v>2382</v>
      </c>
      <c r="E3477" s="460" t="s">
        <v>2383</v>
      </c>
      <c r="F3477" s="460">
        <v>3</v>
      </c>
      <c r="G3477" s="460">
        <v>5</v>
      </c>
      <c r="H3477" s="461" t="s">
        <v>754</v>
      </c>
      <c r="I3477" s="461" t="s">
        <v>1991</v>
      </c>
      <c r="J3477" s="461" t="s">
        <v>754</v>
      </c>
      <c r="K3477" s="594"/>
      <c r="L3477" s="594"/>
      <c r="M3477" s="352">
        <v>6000</v>
      </c>
      <c r="N3477" s="352" t="s">
        <v>871</v>
      </c>
      <c r="O3477" s="460">
        <v>5111</v>
      </c>
      <c r="P3477" s="460" t="s">
        <v>783</v>
      </c>
      <c r="Q3477" s="460" t="s">
        <v>2377</v>
      </c>
      <c r="R3477" s="460">
        <v>5111</v>
      </c>
      <c r="S3477" s="460" t="s">
        <v>2383</v>
      </c>
      <c r="T3477" s="462">
        <v>1</v>
      </c>
      <c r="U3477" s="460" t="s">
        <v>2383</v>
      </c>
      <c r="V3477" s="475">
        <v>0</v>
      </c>
      <c r="W3477" s="463" t="s">
        <v>2278</v>
      </c>
      <c r="X3477" s="463" t="s">
        <v>2278</v>
      </c>
      <c r="Y3477" s="463" t="s">
        <v>2278</v>
      </c>
      <c r="Z3477" s="463"/>
      <c r="AA3477" s="463"/>
      <c r="AB3477" s="464">
        <v>848.60716077904942</v>
      </c>
      <c r="AC3477" s="465">
        <v>1</v>
      </c>
      <c r="AD3477" s="465">
        <v>7.5429789359430918E-3</v>
      </c>
      <c r="AE3477" s="476">
        <v>848.60716077904942</v>
      </c>
      <c r="AF3477" s="467">
        <v>1</v>
      </c>
      <c r="AG3477" s="468">
        <v>7.5429789359430918E-3</v>
      </c>
      <c r="AH3477" s="218">
        <v>848.60716077904942</v>
      </c>
      <c r="AI3477" s="470">
        <v>1</v>
      </c>
      <c r="AJ3477" s="471">
        <v>7.5429789359430918E-3</v>
      </c>
      <c r="AK3477" s="218">
        <v>848.60716077904942</v>
      </c>
      <c r="AL3477" s="470">
        <v>1</v>
      </c>
      <c r="AM3477" s="471">
        <v>7.5429789359430918E-3</v>
      </c>
      <c r="AN3477" s="477">
        <v>848.60716077904942</v>
      </c>
      <c r="AO3477" s="473">
        <v>1</v>
      </c>
      <c r="AP3477" s="474">
        <v>7.5429789359430918E-3</v>
      </c>
      <c r="AQ3477" s="352"/>
      <c r="AR3477" s="352"/>
      <c r="AS3477" s="352"/>
      <c r="AT3477" s="352"/>
      <c r="AU3477" s="352"/>
      <c r="AV3477" s="352"/>
      <c r="AW3477" s="352" t="s">
        <v>127</v>
      </c>
    </row>
    <row r="3478" spans="2:49" x14ac:dyDescent="0.2">
      <c r="B3478" s="460" t="s">
        <v>3401</v>
      </c>
      <c r="C3478" s="460">
        <v>6000</v>
      </c>
      <c r="D3478" s="460" t="s">
        <v>2385</v>
      </c>
      <c r="E3478" s="460" t="s">
        <v>2386</v>
      </c>
      <c r="F3478" s="460">
        <v>4</v>
      </c>
      <c r="G3478" s="460">
        <v>5</v>
      </c>
      <c r="H3478" s="461" t="s">
        <v>754</v>
      </c>
      <c r="I3478" s="461" t="s">
        <v>1991</v>
      </c>
      <c r="J3478" s="461" t="s">
        <v>754</v>
      </c>
      <c r="K3478" s="594"/>
      <c r="L3478" s="594"/>
      <c r="M3478" s="352">
        <v>6000</v>
      </c>
      <c r="N3478" s="352" t="s">
        <v>871</v>
      </c>
      <c r="O3478" s="460">
        <v>5111</v>
      </c>
      <c r="P3478" s="460" t="s">
        <v>783</v>
      </c>
      <c r="Q3478" s="460" t="s">
        <v>2377</v>
      </c>
      <c r="R3478" s="460">
        <v>5111</v>
      </c>
      <c r="S3478" s="460" t="s">
        <v>2386</v>
      </c>
      <c r="T3478" s="462">
        <v>1</v>
      </c>
      <c r="U3478" s="460" t="s">
        <v>2386</v>
      </c>
      <c r="V3478" s="475">
        <v>0</v>
      </c>
      <c r="W3478" s="463" t="s">
        <v>2278</v>
      </c>
      <c r="X3478" s="463" t="s">
        <v>2278</v>
      </c>
      <c r="Y3478" s="463" t="s">
        <v>2278</v>
      </c>
      <c r="Z3478" s="463"/>
      <c r="AA3478" s="463"/>
      <c r="AB3478" s="464">
        <v>1048.7233084746063</v>
      </c>
      <c r="AC3478" s="465">
        <v>1</v>
      </c>
      <c r="AD3478" s="465">
        <v>1.945459079629E-2</v>
      </c>
      <c r="AE3478" s="476">
        <v>1048.7233084746063</v>
      </c>
      <c r="AF3478" s="467">
        <v>1</v>
      </c>
      <c r="AG3478" s="468">
        <v>1.945459079629E-2</v>
      </c>
      <c r="AH3478" s="218">
        <v>1048.7233084746063</v>
      </c>
      <c r="AI3478" s="470">
        <v>1</v>
      </c>
      <c r="AJ3478" s="471">
        <v>1.945459079629E-2</v>
      </c>
      <c r="AK3478" s="218">
        <v>1048.7233084746063</v>
      </c>
      <c r="AL3478" s="470">
        <v>1</v>
      </c>
      <c r="AM3478" s="471">
        <v>1.945459079629E-2</v>
      </c>
      <c r="AN3478" s="477">
        <v>1048.7233084746063</v>
      </c>
      <c r="AO3478" s="473">
        <v>1</v>
      </c>
      <c r="AP3478" s="474">
        <v>1.945459079629E-2</v>
      </c>
      <c r="AQ3478" s="352"/>
      <c r="AR3478" s="352"/>
      <c r="AS3478" s="352"/>
      <c r="AT3478" s="352"/>
      <c r="AU3478" s="352"/>
      <c r="AV3478" s="352"/>
      <c r="AW3478" s="352" t="s">
        <v>127</v>
      </c>
    </row>
    <row r="3479" spans="2:49" x14ac:dyDescent="0.2">
      <c r="B3479" s="460" t="s">
        <v>3402</v>
      </c>
      <c r="C3479" s="460">
        <v>6000</v>
      </c>
      <c r="D3479" s="460" t="s">
        <v>2264</v>
      </c>
      <c r="E3479" s="460" t="s">
        <v>2265</v>
      </c>
      <c r="F3479" s="460">
        <v>1</v>
      </c>
      <c r="G3479" s="460">
        <v>1</v>
      </c>
      <c r="H3479" s="461" t="s">
        <v>700</v>
      </c>
      <c r="I3479" s="461" t="s">
        <v>872</v>
      </c>
      <c r="J3479" s="461" t="s">
        <v>700</v>
      </c>
      <c r="K3479" s="594"/>
      <c r="L3479" s="594"/>
      <c r="M3479" s="352">
        <v>6000</v>
      </c>
      <c r="N3479" s="352" t="s">
        <v>871</v>
      </c>
      <c r="O3479" s="460">
        <v>5121</v>
      </c>
      <c r="P3479" s="460" t="s">
        <v>785</v>
      </c>
      <c r="Q3479" s="460" t="s">
        <v>2553</v>
      </c>
      <c r="R3479" s="460">
        <v>5121</v>
      </c>
      <c r="S3479" s="460" t="s">
        <v>2265</v>
      </c>
      <c r="T3479" s="462">
        <v>1</v>
      </c>
      <c r="U3479" s="460" t="s">
        <v>2265</v>
      </c>
      <c r="V3479" s="475">
        <v>0</v>
      </c>
      <c r="W3479" s="463" t="s">
        <v>2554</v>
      </c>
      <c r="X3479" s="463" t="s">
        <v>2554</v>
      </c>
      <c r="Y3479" s="463" t="s">
        <v>2268</v>
      </c>
      <c r="Z3479" s="463"/>
      <c r="AA3479" s="463"/>
      <c r="AB3479" s="464">
        <v>171.61352383738642</v>
      </c>
      <c r="AC3479" s="465">
        <v>1.2289658342640017E-3</v>
      </c>
      <c r="AD3479" s="465">
        <v>1.5914468904329488E-3</v>
      </c>
      <c r="AE3479" s="476">
        <v>42.903380959346606</v>
      </c>
      <c r="AF3479" s="467">
        <v>3.0724145856600042E-4</v>
      </c>
      <c r="AG3479" s="468">
        <v>4.249995881799517E-4</v>
      </c>
      <c r="AH3479" s="218">
        <v>42.903380959346606</v>
      </c>
      <c r="AI3479" s="470">
        <v>3.0724145856600042E-4</v>
      </c>
      <c r="AJ3479" s="471">
        <v>4.0909828998815523E-4</v>
      </c>
      <c r="AK3479" s="218">
        <v>42.903380959346606</v>
      </c>
      <c r="AL3479" s="470">
        <v>3.0724145856600042E-4</v>
      </c>
      <c r="AM3479" s="471">
        <v>4.0909828998815523E-4</v>
      </c>
      <c r="AN3479" s="477">
        <v>0</v>
      </c>
      <c r="AO3479" s="473">
        <v>0</v>
      </c>
      <c r="AP3479" s="474">
        <v>0</v>
      </c>
      <c r="AQ3479" s="352"/>
      <c r="AR3479" s="352"/>
      <c r="AS3479" s="352"/>
      <c r="AT3479" s="352"/>
      <c r="AU3479" s="352"/>
      <c r="AV3479" s="352"/>
      <c r="AW3479" s="352" t="s">
        <v>254</v>
      </c>
    </row>
    <row r="3480" spans="2:49" x14ac:dyDescent="0.2">
      <c r="B3480" s="460" t="s">
        <v>3403</v>
      </c>
      <c r="C3480" s="460">
        <v>6000</v>
      </c>
      <c r="D3480" s="460" t="s">
        <v>2270</v>
      </c>
      <c r="E3480" s="460" t="s">
        <v>2271</v>
      </c>
      <c r="F3480" s="460">
        <v>2</v>
      </c>
      <c r="G3480" s="460">
        <v>1</v>
      </c>
      <c r="H3480" s="461" t="s">
        <v>700</v>
      </c>
      <c r="I3480" s="461" t="s">
        <v>872</v>
      </c>
      <c r="J3480" s="461" t="s">
        <v>700</v>
      </c>
      <c r="K3480" s="594"/>
      <c r="L3480" s="594"/>
      <c r="M3480" s="352">
        <v>6000</v>
      </c>
      <c r="N3480" s="352" t="s">
        <v>871</v>
      </c>
      <c r="O3480" s="460">
        <v>5121</v>
      </c>
      <c r="P3480" s="460" t="s">
        <v>785</v>
      </c>
      <c r="Q3480" s="460" t="s">
        <v>2553</v>
      </c>
      <c r="R3480" s="460">
        <v>5121</v>
      </c>
      <c r="S3480" s="460" t="s">
        <v>2265</v>
      </c>
      <c r="T3480" s="462">
        <v>1</v>
      </c>
      <c r="U3480" s="460" t="s">
        <v>2271</v>
      </c>
      <c r="V3480" s="475">
        <v>0</v>
      </c>
      <c r="W3480" s="463" t="s">
        <v>2554</v>
      </c>
      <c r="X3480" s="463" t="s">
        <v>2554</v>
      </c>
      <c r="Y3480" s="463" t="s">
        <v>2268</v>
      </c>
      <c r="Z3480" s="463"/>
      <c r="AA3480" s="463"/>
      <c r="AB3480" s="464">
        <v>128.27221978934682</v>
      </c>
      <c r="AC3480" s="465">
        <v>1.0823394091453835E-3</v>
      </c>
      <c r="AD3480" s="465">
        <v>1.5914468904329479E-3</v>
      </c>
      <c r="AE3480" s="476">
        <v>32.068054947336705</v>
      </c>
      <c r="AF3480" s="467">
        <v>2.7058485228634586E-4</v>
      </c>
      <c r="AG3480" s="468">
        <v>4.3114733224904398E-4</v>
      </c>
      <c r="AH3480" s="218">
        <v>36.412370803994023</v>
      </c>
      <c r="AI3480" s="470">
        <v>3.0724145856600042E-4</v>
      </c>
      <c r="AJ3480" s="471">
        <v>4.2989899552232225E-4</v>
      </c>
      <c r="AK3480" s="218">
        <v>36.412370803994023</v>
      </c>
      <c r="AL3480" s="470">
        <v>3.0724145856600042E-4</v>
      </c>
      <c r="AM3480" s="471">
        <v>4.2989899552232225E-4</v>
      </c>
      <c r="AN3480" s="477">
        <v>0</v>
      </c>
      <c r="AO3480" s="473">
        <v>0</v>
      </c>
      <c r="AP3480" s="474">
        <v>0</v>
      </c>
      <c r="AQ3480" s="352"/>
      <c r="AR3480" s="352"/>
      <c r="AS3480" s="352"/>
      <c r="AT3480" s="352"/>
      <c r="AU3480" s="352"/>
      <c r="AV3480" s="352"/>
      <c r="AW3480" s="352" t="s">
        <v>254</v>
      </c>
    </row>
    <row r="3481" spans="2:49" x14ac:dyDescent="0.2">
      <c r="B3481" s="460" t="s">
        <v>3404</v>
      </c>
      <c r="C3481" s="460">
        <v>6000</v>
      </c>
      <c r="D3481" s="460" t="s">
        <v>2273</v>
      </c>
      <c r="E3481" s="460" t="s">
        <v>2274</v>
      </c>
      <c r="F3481" s="460">
        <v>3</v>
      </c>
      <c r="G3481" s="460">
        <v>1</v>
      </c>
      <c r="H3481" s="461" t="s">
        <v>700</v>
      </c>
      <c r="I3481" s="461" t="s">
        <v>872</v>
      </c>
      <c r="J3481" s="461" t="s">
        <v>700</v>
      </c>
      <c r="K3481" s="594"/>
      <c r="L3481" s="594"/>
      <c r="M3481" s="352">
        <v>6000</v>
      </c>
      <c r="N3481" s="352" t="s">
        <v>871</v>
      </c>
      <c r="O3481" s="460">
        <v>5121</v>
      </c>
      <c r="P3481" s="460" t="s">
        <v>785</v>
      </c>
      <c r="Q3481" s="460" t="s">
        <v>2553</v>
      </c>
      <c r="R3481" s="460">
        <v>5121</v>
      </c>
      <c r="S3481" s="460" t="s">
        <v>2265</v>
      </c>
      <c r="T3481" s="462">
        <v>0.74223365950407583</v>
      </c>
      <c r="U3481" s="460" t="s">
        <v>2274</v>
      </c>
      <c r="V3481" s="475">
        <v>0</v>
      </c>
      <c r="W3481" s="463" t="s">
        <v>2554</v>
      </c>
      <c r="X3481" s="463" t="s">
        <v>2554</v>
      </c>
      <c r="Y3481" s="463" t="s">
        <v>2268</v>
      </c>
      <c r="Z3481" s="463"/>
      <c r="AA3481" s="463"/>
      <c r="AB3481" s="464">
        <v>32.170163058237634</v>
      </c>
      <c r="AC3481" s="465">
        <v>1.3749163715198942E-3</v>
      </c>
      <c r="AD3481" s="465">
        <v>1.5914468904329479E-3</v>
      </c>
      <c r="AE3481" s="476">
        <v>8.0425407645594085</v>
      </c>
      <c r="AF3481" s="467">
        <v>3.4372909287997354E-4</v>
      </c>
      <c r="AG3481" s="468">
        <v>4.3095349318757984E-4</v>
      </c>
      <c r="AH3481" s="218">
        <v>8.0425407645594085</v>
      </c>
      <c r="AI3481" s="470">
        <v>3.4372909287997354E-4</v>
      </c>
      <c r="AJ3481" s="471">
        <v>3.120834357385808E-4</v>
      </c>
      <c r="AK3481" s="218">
        <v>8.0425407645594085</v>
      </c>
      <c r="AL3481" s="470">
        <v>3.4372909287997354E-4</v>
      </c>
      <c r="AM3481" s="471">
        <v>3.120834357385808E-4</v>
      </c>
      <c r="AN3481" s="477">
        <v>0</v>
      </c>
      <c r="AO3481" s="473">
        <v>0</v>
      </c>
      <c r="AP3481" s="474">
        <v>0</v>
      </c>
      <c r="AQ3481" s="352"/>
      <c r="AR3481" s="352"/>
      <c r="AS3481" s="352"/>
      <c r="AT3481" s="352"/>
      <c r="AU3481" s="352"/>
      <c r="AV3481" s="352"/>
      <c r="AW3481" s="352" t="s">
        <v>254</v>
      </c>
    </row>
    <row r="3482" spans="2:49" x14ac:dyDescent="0.2">
      <c r="B3482" s="460" t="s">
        <v>3405</v>
      </c>
      <c r="C3482" s="460">
        <v>6000</v>
      </c>
      <c r="D3482" s="460" t="s">
        <v>2276</v>
      </c>
      <c r="E3482" s="460" t="s">
        <v>2277</v>
      </c>
      <c r="F3482" s="460">
        <v>4</v>
      </c>
      <c r="G3482" s="460">
        <v>1</v>
      </c>
      <c r="H3482" s="461" t="s">
        <v>700</v>
      </c>
      <c r="I3482" s="461" t="s">
        <v>872</v>
      </c>
      <c r="J3482" s="461" t="s">
        <v>700</v>
      </c>
      <c r="K3482" s="594"/>
      <c r="L3482" s="594"/>
      <c r="M3482" s="352">
        <v>6000</v>
      </c>
      <c r="N3482" s="352" t="s">
        <v>871</v>
      </c>
      <c r="O3482" s="460">
        <v>5121</v>
      </c>
      <c r="P3482" s="460" t="s">
        <v>785</v>
      </c>
      <c r="Q3482" s="460" t="s">
        <v>2553</v>
      </c>
      <c r="R3482" s="460">
        <v>5121</v>
      </c>
      <c r="S3482" s="460" t="s">
        <v>2277</v>
      </c>
      <c r="T3482" s="462">
        <v>1</v>
      </c>
      <c r="U3482" s="460" t="s">
        <v>2277</v>
      </c>
      <c r="V3482" s="475">
        <v>0</v>
      </c>
      <c r="W3482" s="463" t="s">
        <v>2554</v>
      </c>
      <c r="X3482" s="463" t="s">
        <v>2554</v>
      </c>
      <c r="Y3482" s="463" t="s">
        <v>2268</v>
      </c>
      <c r="Z3482" s="463"/>
      <c r="AA3482" s="463"/>
      <c r="AB3482" s="464">
        <v>0.39429241914282942</v>
      </c>
      <c r="AC3482" s="465">
        <v>3.9444000669541398E-5</v>
      </c>
      <c r="AD3482" s="465">
        <v>1.5914468904329488E-3</v>
      </c>
      <c r="AE3482" s="476">
        <v>9.8573104785707355E-2</v>
      </c>
      <c r="AF3482" s="467">
        <v>9.8610001673853496E-6</v>
      </c>
      <c r="AG3482" s="468">
        <v>4.4478843352306087E-4</v>
      </c>
      <c r="AH3482" s="218">
        <v>9.8573104785707355E-2</v>
      </c>
      <c r="AI3482" s="470">
        <v>9.8610001673853496E-6</v>
      </c>
      <c r="AJ3482" s="471">
        <v>4.2631046029160095E-4</v>
      </c>
      <c r="AK3482" s="218">
        <v>9.8573104785707355E-2</v>
      </c>
      <c r="AL3482" s="470">
        <v>9.8610001673853496E-6</v>
      </c>
      <c r="AM3482" s="471">
        <v>4.2631046029160095E-4</v>
      </c>
      <c r="AN3482" s="477">
        <v>0</v>
      </c>
      <c r="AO3482" s="473">
        <v>0</v>
      </c>
      <c r="AP3482" s="474">
        <v>0</v>
      </c>
      <c r="AQ3482" s="352"/>
      <c r="AR3482" s="352"/>
      <c r="AS3482" s="352"/>
      <c r="AT3482" s="352"/>
      <c r="AU3482" s="352"/>
      <c r="AV3482" s="352"/>
      <c r="AW3482" s="352" t="s">
        <v>254</v>
      </c>
    </row>
    <row r="3483" spans="2:49" x14ac:dyDescent="0.2">
      <c r="B3483" s="460" t="s">
        <v>3402</v>
      </c>
      <c r="C3483" s="460">
        <v>6000</v>
      </c>
      <c r="D3483" s="460" t="s">
        <v>2279</v>
      </c>
      <c r="E3483" s="460" t="s">
        <v>2265</v>
      </c>
      <c r="F3483" s="460">
        <v>1</v>
      </c>
      <c r="G3483" s="460">
        <v>1</v>
      </c>
      <c r="H3483" s="461" t="s">
        <v>712</v>
      </c>
      <c r="I3483" s="461" t="s">
        <v>713</v>
      </c>
      <c r="J3483" s="461" t="s">
        <v>712</v>
      </c>
      <c r="K3483" s="594"/>
      <c r="L3483" s="594"/>
      <c r="M3483" s="352">
        <v>6000</v>
      </c>
      <c r="N3483" s="352" t="s">
        <v>871</v>
      </c>
      <c r="O3483" s="460">
        <v>5121</v>
      </c>
      <c r="P3483" s="460" t="s">
        <v>785</v>
      </c>
      <c r="Q3483" s="460" t="s">
        <v>2280</v>
      </c>
      <c r="R3483" s="460">
        <v>5121</v>
      </c>
      <c r="S3483" s="460" t="s">
        <v>2265</v>
      </c>
      <c r="T3483" s="462">
        <v>1</v>
      </c>
      <c r="U3483" s="460" t="s">
        <v>2265</v>
      </c>
      <c r="V3483" s="475">
        <v>0</v>
      </c>
      <c r="W3483" s="463" t="s">
        <v>713</v>
      </c>
      <c r="X3483" s="463" t="s">
        <v>713</v>
      </c>
      <c r="Y3483" s="463" t="s">
        <v>713</v>
      </c>
      <c r="Z3483" s="463"/>
      <c r="AA3483" s="463"/>
      <c r="AB3483" s="464">
        <v>7887.7161665271024</v>
      </c>
      <c r="AC3483" s="465">
        <v>5.6485837842354412E-2</v>
      </c>
      <c r="AD3483" s="465">
        <v>2.9138587606771679E-2</v>
      </c>
      <c r="AE3483" s="476">
        <v>8016.4263094051294</v>
      </c>
      <c r="AF3483" s="467">
        <v>5.7407562218052322E-2</v>
      </c>
      <c r="AG3483" s="468">
        <v>2.8879461866165409E-2</v>
      </c>
      <c r="AH3483" s="218">
        <v>8016.4263094051294</v>
      </c>
      <c r="AI3483" s="470">
        <v>5.7407562218052322E-2</v>
      </c>
      <c r="AJ3483" s="471">
        <v>2.9293545588039403E-2</v>
      </c>
      <c r="AK3483" s="218">
        <v>8016.4263094051294</v>
      </c>
      <c r="AL3483" s="470">
        <v>5.7407562218052322E-2</v>
      </c>
      <c r="AM3483" s="471">
        <v>2.9293545588039403E-2</v>
      </c>
      <c r="AN3483" s="477">
        <v>8016.4263094051294</v>
      </c>
      <c r="AO3483" s="473">
        <v>5.7407562218052322E-2</v>
      </c>
      <c r="AP3483" s="474">
        <v>2.9284000576032927E-2</v>
      </c>
      <c r="AQ3483" s="352"/>
      <c r="AR3483" s="352"/>
      <c r="AS3483" s="352"/>
      <c r="AT3483" s="352"/>
      <c r="AU3483" s="352"/>
      <c r="AV3483" s="352"/>
      <c r="AW3483" s="352" t="s">
        <v>254</v>
      </c>
    </row>
    <row r="3484" spans="2:49" x14ac:dyDescent="0.2">
      <c r="B3484" s="460" t="s">
        <v>3403</v>
      </c>
      <c r="C3484" s="460">
        <v>6000</v>
      </c>
      <c r="D3484" s="460" t="s">
        <v>2281</v>
      </c>
      <c r="E3484" s="460" t="s">
        <v>2271</v>
      </c>
      <c r="F3484" s="460">
        <v>2</v>
      </c>
      <c r="G3484" s="460">
        <v>1</v>
      </c>
      <c r="H3484" s="461" t="s">
        <v>712</v>
      </c>
      <c r="I3484" s="461" t="s">
        <v>713</v>
      </c>
      <c r="J3484" s="461" t="s">
        <v>712</v>
      </c>
      <c r="K3484" s="594"/>
      <c r="L3484" s="594"/>
      <c r="M3484" s="352">
        <v>6000</v>
      </c>
      <c r="N3484" s="352" t="s">
        <v>871</v>
      </c>
      <c r="O3484" s="460">
        <v>5121</v>
      </c>
      <c r="P3484" s="460" t="s">
        <v>785</v>
      </c>
      <c r="Q3484" s="460" t="s">
        <v>2280</v>
      </c>
      <c r="R3484" s="460">
        <v>5121</v>
      </c>
      <c r="S3484" s="460" t="s">
        <v>2265</v>
      </c>
      <c r="T3484" s="462">
        <v>1</v>
      </c>
      <c r="U3484" s="460" t="s">
        <v>2271</v>
      </c>
      <c r="V3484" s="475">
        <v>0</v>
      </c>
      <c r="W3484" s="463" t="s">
        <v>713</v>
      </c>
      <c r="X3484" s="463" t="s">
        <v>713</v>
      </c>
      <c r="Y3484" s="463" t="s">
        <v>713</v>
      </c>
      <c r="Z3484" s="463"/>
      <c r="AA3484" s="463"/>
      <c r="AB3484" s="464">
        <v>8160.3830709624926</v>
      </c>
      <c r="AC3484" s="465">
        <v>6.8855939391477411E-2</v>
      </c>
      <c r="AD3484" s="465">
        <v>3.4077111766315893E-2</v>
      </c>
      <c r="AE3484" s="476">
        <v>8256.5872358044962</v>
      </c>
      <c r="AF3484" s="467">
        <v>6.9667693948336384E-2</v>
      </c>
      <c r="AG3484" s="468">
        <v>3.3605609383506832E-2</v>
      </c>
      <c r="AH3484" s="218">
        <v>8252.2429199478447</v>
      </c>
      <c r="AI3484" s="470">
        <v>6.9631037342056779E-2</v>
      </c>
      <c r="AJ3484" s="471">
        <v>3.5452836219777614E-2</v>
      </c>
      <c r="AK3484" s="218">
        <v>8252.2429199478447</v>
      </c>
      <c r="AL3484" s="470">
        <v>6.9631037342056779E-2</v>
      </c>
      <c r="AM3484" s="471">
        <v>3.5452836219777614E-2</v>
      </c>
      <c r="AN3484" s="477">
        <v>8252.2429199478447</v>
      </c>
      <c r="AO3484" s="473">
        <v>6.9631037342056779E-2</v>
      </c>
      <c r="AP3484" s="474">
        <v>3.5440387565955869E-2</v>
      </c>
      <c r="AQ3484" s="352"/>
      <c r="AR3484" s="352"/>
      <c r="AS3484" s="352"/>
      <c r="AT3484" s="352"/>
      <c r="AU3484" s="352"/>
      <c r="AV3484" s="352"/>
      <c r="AW3484" s="352" t="s">
        <v>254</v>
      </c>
    </row>
    <row r="3485" spans="2:49" x14ac:dyDescent="0.2">
      <c r="B3485" s="460" t="s">
        <v>3404</v>
      </c>
      <c r="C3485" s="460">
        <v>6000</v>
      </c>
      <c r="D3485" s="460" t="s">
        <v>2282</v>
      </c>
      <c r="E3485" s="460" t="s">
        <v>2274</v>
      </c>
      <c r="F3485" s="460">
        <v>3</v>
      </c>
      <c r="G3485" s="460">
        <v>1</v>
      </c>
      <c r="H3485" s="461" t="s">
        <v>712</v>
      </c>
      <c r="I3485" s="461" t="s">
        <v>713</v>
      </c>
      <c r="J3485" s="461" t="s">
        <v>712</v>
      </c>
      <c r="K3485" s="594"/>
      <c r="L3485" s="594"/>
      <c r="M3485" s="352">
        <v>6000</v>
      </c>
      <c r="N3485" s="352" t="s">
        <v>871</v>
      </c>
      <c r="O3485" s="460">
        <v>5121</v>
      </c>
      <c r="P3485" s="460" t="s">
        <v>785</v>
      </c>
      <c r="Q3485" s="460" t="s">
        <v>2280</v>
      </c>
      <c r="R3485" s="460">
        <v>5121</v>
      </c>
      <c r="S3485" s="460" t="s">
        <v>2265</v>
      </c>
      <c r="T3485" s="462">
        <v>0.74223365950407583</v>
      </c>
      <c r="U3485" s="460" t="s">
        <v>2274</v>
      </c>
      <c r="V3485" s="475">
        <v>0</v>
      </c>
      <c r="W3485" s="463" t="s">
        <v>713</v>
      </c>
      <c r="X3485" s="463" t="s">
        <v>713</v>
      </c>
      <c r="Y3485" s="463" t="s">
        <v>713</v>
      </c>
      <c r="Z3485" s="463"/>
      <c r="AA3485" s="463"/>
      <c r="AB3485" s="464">
        <v>8762.8310090570667</v>
      </c>
      <c r="AC3485" s="465">
        <v>0.37451348298744946</v>
      </c>
      <c r="AD3485" s="465">
        <v>5.2447405351136261E-2</v>
      </c>
      <c r="AE3485" s="476">
        <v>8786.9586313507425</v>
      </c>
      <c r="AF3485" s="467">
        <v>0.37554467026608929</v>
      </c>
      <c r="AG3485" s="468">
        <v>5.2107717362906779E-2</v>
      </c>
      <c r="AH3485" s="218">
        <v>8786.9586313507425</v>
      </c>
      <c r="AI3485" s="470">
        <v>0.37554467026608929</v>
      </c>
      <c r="AJ3485" s="471">
        <v>5.521874815298581E-2</v>
      </c>
      <c r="AK3485" s="218">
        <v>8786.9586313507425</v>
      </c>
      <c r="AL3485" s="470">
        <v>0.37554467026608929</v>
      </c>
      <c r="AM3485" s="471">
        <v>5.521874815298581E-2</v>
      </c>
      <c r="AN3485" s="477">
        <v>8786.9586313507425</v>
      </c>
      <c r="AO3485" s="473">
        <v>0.37554467026608929</v>
      </c>
      <c r="AP3485" s="474">
        <v>5.5617096028668066E-2</v>
      </c>
      <c r="AQ3485" s="352"/>
      <c r="AR3485" s="352"/>
      <c r="AS3485" s="352"/>
      <c r="AT3485" s="352"/>
      <c r="AU3485" s="352"/>
      <c r="AV3485" s="352"/>
      <c r="AW3485" s="352" t="s">
        <v>254</v>
      </c>
    </row>
    <row r="3486" spans="2:49" x14ac:dyDescent="0.2">
      <c r="B3486" s="460" t="s">
        <v>3405</v>
      </c>
      <c r="C3486" s="460">
        <v>6000</v>
      </c>
      <c r="D3486" s="460" t="s">
        <v>2283</v>
      </c>
      <c r="E3486" s="460" t="s">
        <v>2277</v>
      </c>
      <c r="F3486" s="460">
        <v>4</v>
      </c>
      <c r="G3486" s="460">
        <v>1</v>
      </c>
      <c r="H3486" s="461" t="s">
        <v>712</v>
      </c>
      <c r="I3486" s="461" t="s">
        <v>713</v>
      </c>
      <c r="J3486" s="461" t="s">
        <v>712</v>
      </c>
      <c r="K3486" s="594"/>
      <c r="L3486" s="594"/>
      <c r="M3486" s="352">
        <v>6000</v>
      </c>
      <c r="N3486" s="352" t="s">
        <v>871</v>
      </c>
      <c r="O3486" s="460">
        <v>5121</v>
      </c>
      <c r="P3486" s="460" t="s">
        <v>785</v>
      </c>
      <c r="Q3486" s="460" t="s">
        <v>2280</v>
      </c>
      <c r="R3486" s="460">
        <v>5121</v>
      </c>
      <c r="S3486" s="460" t="s">
        <v>2277</v>
      </c>
      <c r="T3486" s="462">
        <v>1</v>
      </c>
      <c r="U3486" s="460" t="s">
        <v>2277</v>
      </c>
      <c r="V3486" s="475">
        <v>0</v>
      </c>
      <c r="W3486" s="463" t="s">
        <v>713</v>
      </c>
      <c r="X3486" s="463" t="s">
        <v>713</v>
      </c>
      <c r="Y3486" s="463" t="s">
        <v>713</v>
      </c>
      <c r="Z3486" s="463"/>
      <c r="AA3486" s="463"/>
      <c r="AB3486" s="464">
        <v>9971.1124306725742</v>
      </c>
      <c r="AC3486" s="465">
        <v>0.99748447166835186</v>
      </c>
      <c r="AD3486" s="465">
        <v>5.1782727621559499E-2</v>
      </c>
      <c r="AE3486" s="476">
        <v>9971.4081499869317</v>
      </c>
      <c r="AF3486" s="467">
        <v>0.99751405466885401</v>
      </c>
      <c r="AG3486" s="468">
        <v>5.1777234704601827E-2</v>
      </c>
      <c r="AH3486" s="218">
        <v>9971.4081499869317</v>
      </c>
      <c r="AI3486" s="470">
        <v>0.99751405466885401</v>
      </c>
      <c r="AJ3486" s="471">
        <v>5.1779817417723736E-2</v>
      </c>
      <c r="AK3486" s="218">
        <v>9971.4081499869317</v>
      </c>
      <c r="AL3486" s="470">
        <v>0.99751405466885401</v>
      </c>
      <c r="AM3486" s="471">
        <v>5.1779817417723736E-2</v>
      </c>
      <c r="AN3486" s="477">
        <v>9971.4081499869317</v>
      </c>
      <c r="AO3486" s="473">
        <v>0.99751405466885401</v>
      </c>
      <c r="AP3486" s="474">
        <v>5.178007561332993E-2</v>
      </c>
      <c r="AQ3486" s="352"/>
      <c r="AR3486" s="352"/>
      <c r="AS3486" s="352"/>
      <c r="AT3486" s="352"/>
      <c r="AU3486" s="352"/>
      <c r="AV3486" s="352"/>
      <c r="AW3486" s="352" t="s">
        <v>254</v>
      </c>
    </row>
    <row r="3487" spans="2:49" x14ac:dyDescent="0.2">
      <c r="B3487" s="460" t="s">
        <v>3402</v>
      </c>
      <c r="C3487" s="460">
        <v>6000</v>
      </c>
      <c r="D3487" s="460" t="s">
        <v>3373</v>
      </c>
      <c r="E3487" s="460" t="s">
        <v>2265</v>
      </c>
      <c r="F3487" s="460">
        <v>1</v>
      </c>
      <c r="G3487" s="460">
        <v>1</v>
      </c>
      <c r="H3487" s="461" t="s">
        <v>719</v>
      </c>
      <c r="I3487" s="461" t="s">
        <v>720</v>
      </c>
      <c r="J3487" s="461" t="s">
        <v>719</v>
      </c>
      <c r="K3487" s="594"/>
      <c r="L3487" s="594"/>
      <c r="M3487" s="352">
        <v>6000</v>
      </c>
      <c r="N3487" s="352" t="s">
        <v>871</v>
      </c>
      <c r="O3487" s="460">
        <v>5121</v>
      </c>
      <c r="P3487" s="460" t="s">
        <v>785</v>
      </c>
      <c r="Q3487" s="460" t="s">
        <v>3374</v>
      </c>
      <c r="R3487" s="460">
        <v>5121</v>
      </c>
      <c r="S3487" s="460" t="s">
        <v>2265</v>
      </c>
      <c r="T3487" s="462">
        <v>1</v>
      </c>
      <c r="U3487" s="460" t="s">
        <v>2265</v>
      </c>
      <c r="V3487" s="475">
        <v>0</v>
      </c>
      <c r="W3487" s="463" t="s">
        <v>2278</v>
      </c>
      <c r="X3487" s="463" t="s">
        <v>2278</v>
      </c>
      <c r="Y3487" s="463" t="s">
        <v>2278</v>
      </c>
      <c r="Z3487" s="463"/>
      <c r="AA3487" s="463"/>
      <c r="AB3487" s="464">
        <v>131581.26816251373</v>
      </c>
      <c r="AC3487" s="465">
        <v>0.9422851963233817</v>
      </c>
      <c r="AD3487" s="465">
        <v>0.90882761830340786</v>
      </c>
      <c r="AE3487" s="476">
        <v>131581.26816251373</v>
      </c>
      <c r="AF3487" s="467">
        <v>0.9422851963233817</v>
      </c>
      <c r="AG3487" s="468">
        <v>0.90882761830340786</v>
      </c>
      <c r="AH3487" s="218">
        <v>131581.26816251373</v>
      </c>
      <c r="AI3487" s="470">
        <v>0.9422851963233817</v>
      </c>
      <c r="AJ3487" s="471">
        <v>0.90882761830340786</v>
      </c>
      <c r="AK3487" s="218">
        <v>131581.26816251373</v>
      </c>
      <c r="AL3487" s="470">
        <v>0.9422851963233817</v>
      </c>
      <c r="AM3487" s="471">
        <v>0.90882761830340786</v>
      </c>
      <c r="AN3487" s="477">
        <v>131581.26816251373</v>
      </c>
      <c r="AO3487" s="473">
        <v>0.9422851963233817</v>
      </c>
      <c r="AP3487" s="474">
        <v>0.90882761830340786</v>
      </c>
      <c r="AQ3487" s="352"/>
      <c r="AR3487" s="352"/>
      <c r="AS3487" s="352"/>
      <c r="AT3487" s="352"/>
      <c r="AU3487" s="352"/>
      <c r="AV3487" s="352"/>
      <c r="AW3487" s="352" t="s">
        <v>254</v>
      </c>
    </row>
    <row r="3488" spans="2:49" x14ac:dyDescent="0.2">
      <c r="B3488" s="460" t="s">
        <v>3403</v>
      </c>
      <c r="C3488" s="460">
        <v>6000</v>
      </c>
      <c r="D3488" s="460" t="s">
        <v>3375</v>
      </c>
      <c r="E3488" s="460" t="s">
        <v>2271</v>
      </c>
      <c r="F3488" s="460">
        <v>2</v>
      </c>
      <c r="G3488" s="460">
        <v>1</v>
      </c>
      <c r="H3488" s="461" t="s">
        <v>719</v>
      </c>
      <c r="I3488" s="461" t="s">
        <v>720</v>
      </c>
      <c r="J3488" s="461" t="s">
        <v>719</v>
      </c>
      <c r="K3488" s="594"/>
      <c r="L3488" s="594"/>
      <c r="M3488" s="352">
        <v>6000</v>
      </c>
      <c r="N3488" s="352" t="s">
        <v>871</v>
      </c>
      <c r="O3488" s="460">
        <v>5121</v>
      </c>
      <c r="P3488" s="460" t="s">
        <v>785</v>
      </c>
      <c r="Q3488" s="460" t="s">
        <v>3374</v>
      </c>
      <c r="R3488" s="460">
        <v>5121</v>
      </c>
      <c r="S3488" s="460" t="s">
        <v>2265</v>
      </c>
      <c r="T3488" s="462">
        <v>1</v>
      </c>
      <c r="U3488" s="460" t="s">
        <v>2271</v>
      </c>
      <c r="V3488" s="475">
        <v>0</v>
      </c>
      <c r="W3488" s="463" t="s">
        <v>2278</v>
      </c>
      <c r="X3488" s="463" t="s">
        <v>2278</v>
      </c>
      <c r="Y3488" s="463" t="s">
        <v>2278</v>
      </c>
      <c r="Z3488" s="463"/>
      <c r="AA3488" s="463"/>
      <c r="AB3488" s="464">
        <v>110225.20339857625</v>
      </c>
      <c r="AC3488" s="465">
        <v>0.93006172119937724</v>
      </c>
      <c r="AD3488" s="465">
        <v>0.96520633388919252</v>
      </c>
      <c r="AE3488" s="476">
        <v>110225.20339857625</v>
      </c>
      <c r="AF3488" s="467">
        <v>0.93006172119937724</v>
      </c>
      <c r="AG3488" s="468">
        <v>0.96520633388919252</v>
      </c>
      <c r="AH3488" s="218">
        <v>110225.20339857625</v>
      </c>
      <c r="AI3488" s="470">
        <v>0.93006172119937724</v>
      </c>
      <c r="AJ3488" s="471">
        <v>0.96520633388919252</v>
      </c>
      <c r="AK3488" s="218">
        <v>110225.20339857625</v>
      </c>
      <c r="AL3488" s="470">
        <v>0.93006172119937724</v>
      </c>
      <c r="AM3488" s="471">
        <v>0.96520633388919252</v>
      </c>
      <c r="AN3488" s="477">
        <v>110225.20339857625</v>
      </c>
      <c r="AO3488" s="473">
        <v>0.93006172119937724</v>
      </c>
      <c r="AP3488" s="474">
        <v>0.96520633388919252</v>
      </c>
      <c r="AQ3488" s="352"/>
      <c r="AR3488" s="352"/>
      <c r="AS3488" s="352"/>
      <c r="AT3488" s="352"/>
      <c r="AU3488" s="352"/>
      <c r="AV3488" s="352"/>
      <c r="AW3488" s="352" t="s">
        <v>254</v>
      </c>
    </row>
    <row r="3489" spans="2:49" x14ac:dyDescent="0.2">
      <c r="B3489" s="460" t="s">
        <v>3404</v>
      </c>
      <c r="C3489" s="460">
        <v>6000</v>
      </c>
      <c r="D3489" s="460" t="s">
        <v>3376</v>
      </c>
      <c r="E3489" s="460" t="s">
        <v>2274</v>
      </c>
      <c r="F3489" s="460">
        <v>3</v>
      </c>
      <c r="G3489" s="460">
        <v>1</v>
      </c>
      <c r="H3489" s="461" t="s">
        <v>719</v>
      </c>
      <c r="I3489" s="461" t="s">
        <v>720</v>
      </c>
      <c r="J3489" s="461" t="s">
        <v>719</v>
      </c>
      <c r="K3489" s="594"/>
      <c r="L3489" s="594"/>
      <c r="M3489" s="352">
        <v>6000</v>
      </c>
      <c r="N3489" s="352" t="s">
        <v>871</v>
      </c>
      <c r="O3489" s="460">
        <v>5121</v>
      </c>
      <c r="P3489" s="460" t="s">
        <v>785</v>
      </c>
      <c r="Q3489" s="460" t="s">
        <v>3374</v>
      </c>
      <c r="R3489" s="460">
        <v>5121</v>
      </c>
      <c r="S3489" s="460" t="s">
        <v>2265</v>
      </c>
      <c r="T3489" s="462">
        <v>0.74223365950407583</v>
      </c>
      <c r="U3489" s="460" t="s">
        <v>2274</v>
      </c>
      <c r="V3489" s="475">
        <v>0</v>
      </c>
      <c r="W3489" s="463" t="s">
        <v>2278</v>
      </c>
      <c r="X3489" s="463" t="s">
        <v>2278</v>
      </c>
      <c r="Y3489" s="463" t="s">
        <v>2278</v>
      </c>
      <c r="Z3489" s="463"/>
      <c r="AA3489" s="463"/>
      <c r="AB3489" s="464">
        <v>14602.904129336082</v>
      </c>
      <c r="AC3489" s="465">
        <v>0.62411160064103077</v>
      </c>
      <c r="AD3489" s="465">
        <v>0.99217983703331025</v>
      </c>
      <c r="AE3489" s="476">
        <v>14602.904129336084</v>
      </c>
      <c r="AF3489" s="467">
        <v>0.62411160064103077</v>
      </c>
      <c r="AG3489" s="468">
        <v>0.99217983703331025</v>
      </c>
      <c r="AH3489" s="218">
        <v>14602.904129336084</v>
      </c>
      <c r="AI3489" s="470">
        <v>0.62411160064103077</v>
      </c>
      <c r="AJ3489" s="471">
        <v>0.99217983703331025</v>
      </c>
      <c r="AK3489" s="218">
        <v>14602.904129336084</v>
      </c>
      <c r="AL3489" s="470">
        <v>0.62411160064103077</v>
      </c>
      <c r="AM3489" s="471">
        <v>0.99217983703331025</v>
      </c>
      <c r="AN3489" s="477">
        <v>14602.904129336084</v>
      </c>
      <c r="AO3489" s="473">
        <v>0.62411160064103077</v>
      </c>
      <c r="AP3489" s="474">
        <v>0.99217983703331025</v>
      </c>
      <c r="AQ3489" s="352"/>
      <c r="AR3489" s="352"/>
      <c r="AS3489" s="352"/>
      <c r="AT3489" s="352"/>
      <c r="AU3489" s="352"/>
      <c r="AV3489" s="352"/>
      <c r="AW3489" s="352" t="s">
        <v>254</v>
      </c>
    </row>
    <row r="3490" spans="2:49" x14ac:dyDescent="0.2">
      <c r="B3490" s="460" t="s">
        <v>3405</v>
      </c>
      <c r="C3490" s="460">
        <v>6000</v>
      </c>
      <c r="D3490" s="460" t="s">
        <v>3377</v>
      </c>
      <c r="E3490" s="460" t="s">
        <v>2277</v>
      </c>
      <c r="F3490" s="460">
        <v>4</v>
      </c>
      <c r="G3490" s="460">
        <v>1</v>
      </c>
      <c r="H3490" s="461" t="s">
        <v>719</v>
      </c>
      <c r="I3490" s="461" t="s">
        <v>720</v>
      </c>
      <c r="J3490" s="461" t="s">
        <v>719</v>
      </c>
      <c r="K3490" s="594"/>
      <c r="L3490" s="594"/>
      <c r="M3490" s="352">
        <v>6000</v>
      </c>
      <c r="N3490" s="352" t="s">
        <v>871</v>
      </c>
      <c r="O3490" s="460">
        <v>5121</v>
      </c>
      <c r="P3490" s="460" t="s">
        <v>785</v>
      </c>
      <c r="Q3490" s="460" t="s">
        <v>3374</v>
      </c>
      <c r="R3490" s="460">
        <v>5121</v>
      </c>
      <c r="S3490" s="460" t="s">
        <v>2277</v>
      </c>
      <c r="T3490" s="462">
        <v>1</v>
      </c>
      <c r="U3490" s="460" t="s">
        <v>2277</v>
      </c>
      <c r="V3490" s="475">
        <v>0</v>
      </c>
      <c r="W3490" s="463" t="s">
        <v>2278</v>
      </c>
      <c r="X3490" s="463" t="s">
        <v>2278</v>
      </c>
      <c r="Y3490" s="463" t="s">
        <v>2278</v>
      </c>
      <c r="Z3490" s="463"/>
      <c r="AA3490" s="463"/>
      <c r="AB3490" s="464">
        <v>24.751578549107133</v>
      </c>
      <c r="AC3490" s="465">
        <v>2.4760843309785535E-3</v>
      </c>
      <c r="AD3490" s="465">
        <v>0.79207277452891489</v>
      </c>
      <c r="AE3490" s="476">
        <v>24.751578549107133</v>
      </c>
      <c r="AF3490" s="467">
        <v>2.4760843309785535E-3</v>
      </c>
      <c r="AG3490" s="468">
        <v>0.79207277452891489</v>
      </c>
      <c r="AH3490" s="218">
        <v>24.751578549107133</v>
      </c>
      <c r="AI3490" s="470">
        <v>2.4760843309785535E-3</v>
      </c>
      <c r="AJ3490" s="471">
        <v>0.79207277452891489</v>
      </c>
      <c r="AK3490" s="218">
        <v>24.751578549107133</v>
      </c>
      <c r="AL3490" s="470">
        <v>2.4760843309785535E-3</v>
      </c>
      <c r="AM3490" s="471">
        <v>0.79207277452891489</v>
      </c>
      <c r="AN3490" s="477">
        <v>24.751578549107133</v>
      </c>
      <c r="AO3490" s="473">
        <v>2.4760843309785535E-3</v>
      </c>
      <c r="AP3490" s="474">
        <v>0.79207277452891489</v>
      </c>
      <c r="AQ3490" s="352"/>
      <c r="AR3490" s="352"/>
      <c r="AS3490" s="352"/>
      <c r="AT3490" s="352"/>
      <c r="AU3490" s="352"/>
      <c r="AV3490" s="352"/>
      <c r="AW3490" s="352" t="s">
        <v>254</v>
      </c>
    </row>
    <row r="3491" spans="2:49" x14ac:dyDescent="0.2">
      <c r="B3491" s="460" t="s">
        <v>3402</v>
      </c>
      <c r="C3491" s="460">
        <v>6000</v>
      </c>
      <c r="D3491" s="460" t="s">
        <v>2284</v>
      </c>
      <c r="E3491" s="460" t="s">
        <v>2265</v>
      </c>
      <c r="F3491" s="460">
        <v>1</v>
      </c>
      <c r="G3491" s="460">
        <v>1</v>
      </c>
      <c r="H3491" s="461" t="s">
        <v>746</v>
      </c>
      <c r="I3491" s="461" t="s">
        <v>762</v>
      </c>
      <c r="J3491" s="461" t="s">
        <v>700</v>
      </c>
      <c r="K3491" s="594"/>
      <c r="L3491" s="594"/>
      <c r="M3491" s="352">
        <v>6000</v>
      </c>
      <c r="N3491" s="352" t="s">
        <v>871</v>
      </c>
      <c r="O3491" s="460">
        <v>5121</v>
      </c>
      <c r="P3491" s="460" t="s">
        <v>785</v>
      </c>
      <c r="Q3491" s="460" t="s">
        <v>2553</v>
      </c>
      <c r="R3491" s="460">
        <v>5121</v>
      </c>
      <c r="S3491" s="460" t="s">
        <v>2265</v>
      </c>
      <c r="T3491" s="462">
        <v>1</v>
      </c>
      <c r="U3491" s="460" t="s">
        <v>2265</v>
      </c>
      <c r="V3491" s="475">
        <v>0</v>
      </c>
      <c r="W3491" s="463" t="s">
        <v>2268</v>
      </c>
      <c r="X3491" s="463" t="s">
        <v>2268</v>
      </c>
      <c r="Y3491" s="463" t="s">
        <v>2554</v>
      </c>
      <c r="Z3491" s="463"/>
      <c r="AA3491" s="463"/>
      <c r="AB3491" s="464">
        <v>0</v>
      </c>
      <c r="AC3491" s="465">
        <v>0</v>
      </c>
      <c r="AD3491" s="465">
        <v>0</v>
      </c>
      <c r="AE3491" s="476">
        <v>0</v>
      </c>
      <c r="AF3491" s="467">
        <v>0</v>
      </c>
      <c r="AG3491" s="468">
        <v>0</v>
      </c>
      <c r="AH3491" s="218">
        <v>0</v>
      </c>
      <c r="AI3491" s="470">
        <v>0</v>
      </c>
      <c r="AJ3491" s="471">
        <v>0</v>
      </c>
      <c r="AK3491" s="218">
        <v>0</v>
      </c>
      <c r="AL3491" s="470">
        <v>0</v>
      </c>
      <c r="AM3491" s="471">
        <v>0</v>
      </c>
      <c r="AN3491" s="477">
        <v>34.322704767477283</v>
      </c>
      <c r="AO3491" s="473">
        <v>2.457931668528003E-4</v>
      </c>
      <c r="AP3491" s="474">
        <v>3.8703586885044123E-4</v>
      </c>
      <c r="AQ3491" s="352"/>
      <c r="AR3491" s="352"/>
      <c r="AS3491" s="352"/>
      <c r="AT3491" s="352"/>
      <c r="AU3491" s="352"/>
      <c r="AV3491" s="352"/>
      <c r="AW3491" s="352" t="s">
        <v>254</v>
      </c>
    </row>
    <row r="3492" spans="2:49" x14ac:dyDescent="0.2">
      <c r="B3492" s="460" t="s">
        <v>3403</v>
      </c>
      <c r="C3492" s="460">
        <v>6000</v>
      </c>
      <c r="D3492" s="460" t="s">
        <v>2285</v>
      </c>
      <c r="E3492" s="460" t="s">
        <v>2271</v>
      </c>
      <c r="F3492" s="460">
        <v>2</v>
      </c>
      <c r="G3492" s="460">
        <v>1</v>
      </c>
      <c r="H3492" s="461" t="s">
        <v>746</v>
      </c>
      <c r="I3492" s="461" t="s">
        <v>762</v>
      </c>
      <c r="J3492" s="461" t="s">
        <v>700</v>
      </c>
      <c r="K3492" s="594"/>
      <c r="L3492" s="594"/>
      <c r="M3492" s="352">
        <v>6000</v>
      </c>
      <c r="N3492" s="352" t="s">
        <v>871</v>
      </c>
      <c r="O3492" s="460">
        <v>5121</v>
      </c>
      <c r="P3492" s="460" t="s">
        <v>785</v>
      </c>
      <c r="Q3492" s="460" t="s">
        <v>2553</v>
      </c>
      <c r="R3492" s="460">
        <v>5121</v>
      </c>
      <c r="S3492" s="460" t="s">
        <v>2265</v>
      </c>
      <c r="T3492" s="462">
        <v>1</v>
      </c>
      <c r="U3492" s="460" t="s">
        <v>2271</v>
      </c>
      <c r="V3492" s="475">
        <v>0</v>
      </c>
      <c r="W3492" s="463" t="s">
        <v>2268</v>
      </c>
      <c r="X3492" s="463" t="s">
        <v>2268</v>
      </c>
      <c r="Y3492" s="463" t="s">
        <v>2554</v>
      </c>
      <c r="Z3492" s="463"/>
      <c r="AA3492" s="463"/>
      <c r="AB3492" s="464">
        <v>0</v>
      </c>
      <c r="AC3492" s="465">
        <v>0</v>
      </c>
      <c r="AD3492" s="465">
        <v>0</v>
      </c>
      <c r="AE3492" s="476">
        <v>0</v>
      </c>
      <c r="AF3492" s="467">
        <v>0</v>
      </c>
      <c r="AG3492" s="468">
        <v>0</v>
      </c>
      <c r="AH3492" s="218">
        <v>0</v>
      </c>
      <c r="AI3492" s="470">
        <v>0</v>
      </c>
      <c r="AJ3492" s="471">
        <v>0</v>
      </c>
      <c r="AK3492" s="218">
        <v>0</v>
      </c>
      <c r="AL3492" s="470">
        <v>0</v>
      </c>
      <c r="AM3492" s="471">
        <v>0</v>
      </c>
      <c r="AN3492" s="477">
        <v>29.129896643195217</v>
      </c>
      <c r="AO3492" s="473">
        <v>2.457931668528003E-4</v>
      </c>
      <c r="AP3492" s="474">
        <v>4.2281089432757405E-4</v>
      </c>
      <c r="AQ3492" s="352"/>
      <c r="AR3492" s="352"/>
      <c r="AS3492" s="352"/>
      <c r="AT3492" s="352"/>
      <c r="AU3492" s="352"/>
      <c r="AV3492" s="352"/>
      <c r="AW3492" s="352" t="s">
        <v>254</v>
      </c>
    </row>
    <row r="3493" spans="2:49" x14ac:dyDescent="0.2">
      <c r="B3493" s="460" t="s">
        <v>3404</v>
      </c>
      <c r="C3493" s="460">
        <v>6000</v>
      </c>
      <c r="D3493" s="460" t="s">
        <v>2286</v>
      </c>
      <c r="E3493" s="460" t="s">
        <v>2274</v>
      </c>
      <c r="F3493" s="460">
        <v>3</v>
      </c>
      <c r="G3493" s="460">
        <v>1</v>
      </c>
      <c r="H3493" s="461" t="s">
        <v>746</v>
      </c>
      <c r="I3493" s="461" t="s">
        <v>762</v>
      </c>
      <c r="J3493" s="461" t="s">
        <v>700</v>
      </c>
      <c r="K3493" s="594"/>
      <c r="L3493" s="594"/>
      <c r="M3493" s="352">
        <v>6000</v>
      </c>
      <c r="N3493" s="352" t="s">
        <v>871</v>
      </c>
      <c r="O3493" s="460">
        <v>5121</v>
      </c>
      <c r="P3493" s="460" t="s">
        <v>785</v>
      </c>
      <c r="Q3493" s="460" t="s">
        <v>2553</v>
      </c>
      <c r="R3493" s="460">
        <v>5121</v>
      </c>
      <c r="S3493" s="460" t="s">
        <v>2265</v>
      </c>
      <c r="T3493" s="462">
        <v>0.74223365950407583</v>
      </c>
      <c r="U3493" s="460" t="s">
        <v>2274</v>
      </c>
      <c r="V3493" s="475">
        <v>0</v>
      </c>
      <c r="W3493" s="463" t="s">
        <v>2268</v>
      </c>
      <c r="X3493" s="463" t="s">
        <v>2268</v>
      </c>
      <c r="Y3493" s="463" t="s">
        <v>2554</v>
      </c>
      <c r="Z3493" s="463"/>
      <c r="AA3493" s="463"/>
      <c r="AB3493" s="464">
        <v>0</v>
      </c>
      <c r="AC3493" s="465">
        <v>0</v>
      </c>
      <c r="AD3493" s="465">
        <v>0</v>
      </c>
      <c r="AE3493" s="476">
        <v>0</v>
      </c>
      <c r="AF3493" s="467">
        <v>0</v>
      </c>
      <c r="AG3493" s="468">
        <v>0</v>
      </c>
      <c r="AH3493" s="218">
        <v>0</v>
      </c>
      <c r="AI3493" s="470">
        <v>0</v>
      </c>
      <c r="AJ3493" s="471">
        <v>0</v>
      </c>
      <c r="AK3493" s="218">
        <v>0</v>
      </c>
      <c r="AL3493" s="470">
        <v>0</v>
      </c>
      <c r="AM3493" s="471">
        <v>0</v>
      </c>
      <c r="AN3493" s="477">
        <v>6.4340326116475248</v>
      </c>
      <c r="AO3493" s="473">
        <v>2.7498327430397875E-4</v>
      </c>
      <c r="AP3493" s="474">
        <v>3.2482336016117613E-4</v>
      </c>
      <c r="AQ3493" s="352"/>
      <c r="AR3493" s="352"/>
      <c r="AS3493" s="352"/>
      <c r="AT3493" s="352"/>
      <c r="AU3493" s="352"/>
      <c r="AV3493" s="352"/>
      <c r="AW3493" s="352" t="s">
        <v>254</v>
      </c>
    </row>
    <row r="3494" spans="2:49" x14ac:dyDescent="0.2">
      <c r="B3494" s="460" t="s">
        <v>3405</v>
      </c>
      <c r="C3494" s="460">
        <v>6000</v>
      </c>
      <c r="D3494" s="460" t="s">
        <v>2287</v>
      </c>
      <c r="E3494" s="460" t="s">
        <v>2277</v>
      </c>
      <c r="F3494" s="460">
        <v>4</v>
      </c>
      <c r="G3494" s="460">
        <v>1</v>
      </c>
      <c r="H3494" s="461" t="s">
        <v>746</v>
      </c>
      <c r="I3494" s="461" t="s">
        <v>762</v>
      </c>
      <c r="J3494" s="461" t="s">
        <v>700</v>
      </c>
      <c r="K3494" s="594"/>
      <c r="L3494" s="594"/>
      <c r="M3494" s="352">
        <v>6000</v>
      </c>
      <c r="N3494" s="352" t="s">
        <v>871</v>
      </c>
      <c r="O3494" s="460">
        <v>5121</v>
      </c>
      <c r="P3494" s="460" t="s">
        <v>785</v>
      </c>
      <c r="Q3494" s="460" t="s">
        <v>2553</v>
      </c>
      <c r="R3494" s="460">
        <v>5121</v>
      </c>
      <c r="S3494" s="460" t="s">
        <v>2277</v>
      </c>
      <c r="T3494" s="462">
        <v>1</v>
      </c>
      <c r="U3494" s="460" t="s">
        <v>2277</v>
      </c>
      <c r="V3494" s="475">
        <v>0</v>
      </c>
      <c r="W3494" s="463" t="s">
        <v>2268</v>
      </c>
      <c r="X3494" s="463" t="s">
        <v>2268</v>
      </c>
      <c r="Y3494" s="463" t="s">
        <v>2554</v>
      </c>
      <c r="Z3494" s="463"/>
      <c r="AA3494" s="463"/>
      <c r="AB3494" s="464">
        <v>0</v>
      </c>
      <c r="AC3494" s="465">
        <v>0</v>
      </c>
      <c r="AD3494" s="465">
        <v>0</v>
      </c>
      <c r="AE3494" s="476">
        <v>0</v>
      </c>
      <c r="AF3494" s="467">
        <v>0</v>
      </c>
      <c r="AG3494" s="468">
        <v>0</v>
      </c>
      <c r="AH3494" s="218">
        <v>0</v>
      </c>
      <c r="AI3494" s="470">
        <v>0</v>
      </c>
      <c r="AJ3494" s="471">
        <v>0</v>
      </c>
      <c r="AK3494" s="218">
        <v>0</v>
      </c>
      <c r="AL3494" s="470">
        <v>0</v>
      </c>
      <c r="AM3494" s="471">
        <v>0</v>
      </c>
      <c r="AN3494" s="477">
        <v>7.8858483828565876E-2</v>
      </c>
      <c r="AO3494" s="473">
        <v>7.8888001339082786E-6</v>
      </c>
      <c r="AP3494" s="474">
        <v>4.1337037045823438E-4</v>
      </c>
      <c r="AQ3494" s="352"/>
      <c r="AR3494" s="352"/>
      <c r="AS3494" s="352"/>
      <c r="AT3494" s="352"/>
      <c r="AU3494" s="352"/>
      <c r="AV3494" s="352"/>
      <c r="AW3494" s="352" t="s">
        <v>254</v>
      </c>
    </row>
    <row r="3495" spans="2:49" x14ac:dyDescent="0.2">
      <c r="B3495" s="460" t="s">
        <v>3402</v>
      </c>
      <c r="C3495" s="460">
        <v>6000</v>
      </c>
      <c r="D3495" s="460" t="s">
        <v>2288</v>
      </c>
      <c r="E3495" s="460" t="s">
        <v>2265</v>
      </c>
      <c r="F3495" s="460">
        <v>1</v>
      </c>
      <c r="G3495" s="460">
        <v>1</v>
      </c>
      <c r="H3495" s="461" t="s">
        <v>748</v>
      </c>
      <c r="I3495" s="461" t="s">
        <v>765</v>
      </c>
      <c r="J3495" s="461" t="s">
        <v>700</v>
      </c>
      <c r="K3495" s="594"/>
      <c r="L3495" s="594"/>
      <c r="M3495" s="352">
        <v>6000</v>
      </c>
      <c r="N3495" s="352" t="s">
        <v>871</v>
      </c>
      <c r="O3495" s="460">
        <v>5121</v>
      </c>
      <c r="P3495" s="460" t="s">
        <v>785</v>
      </c>
      <c r="Q3495" s="460" t="s">
        <v>2553</v>
      </c>
      <c r="R3495" s="460">
        <v>5121</v>
      </c>
      <c r="S3495" s="460" t="s">
        <v>2265</v>
      </c>
      <c r="T3495" s="462">
        <v>1</v>
      </c>
      <c r="U3495" s="460" t="s">
        <v>2265</v>
      </c>
      <c r="V3495" s="475">
        <v>0</v>
      </c>
      <c r="W3495" s="463" t="s">
        <v>2268</v>
      </c>
      <c r="X3495" s="463" t="s">
        <v>2268</v>
      </c>
      <c r="Y3495" s="463" t="s">
        <v>2554</v>
      </c>
      <c r="Z3495" s="463"/>
      <c r="AA3495" s="463"/>
      <c r="AB3495" s="464">
        <v>0</v>
      </c>
      <c r="AC3495" s="465">
        <v>0</v>
      </c>
      <c r="AD3495" s="465">
        <v>0</v>
      </c>
      <c r="AE3495" s="476">
        <v>0</v>
      </c>
      <c r="AF3495" s="467">
        <v>0</v>
      </c>
      <c r="AG3495" s="468">
        <v>0</v>
      </c>
      <c r="AH3495" s="218">
        <v>0</v>
      </c>
      <c r="AI3495" s="470">
        <v>0</v>
      </c>
      <c r="AJ3495" s="471">
        <v>0</v>
      </c>
      <c r="AK3495" s="218">
        <v>0</v>
      </c>
      <c r="AL3495" s="470">
        <v>0</v>
      </c>
      <c r="AM3495" s="471">
        <v>0</v>
      </c>
      <c r="AN3495" s="477">
        <v>8.5806761918693297</v>
      </c>
      <c r="AO3495" s="473">
        <v>6.1448291713200144E-5</v>
      </c>
      <c r="AP3495" s="474">
        <v>5.328652436744285E-4</v>
      </c>
      <c r="AQ3495" s="352"/>
      <c r="AR3495" s="352"/>
      <c r="AS3495" s="352"/>
      <c r="AT3495" s="352"/>
      <c r="AU3495" s="352"/>
      <c r="AV3495" s="352"/>
      <c r="AW3495" s="352" t="s">
        <v>254</v>
      </c>
    </row>
    <row r="3496" spans="2:49" x14ac:dyDescent="0.2">
      <c r="B3496" s="460" t="s">
        <v>3403</v>
      </c>
      <c r="C3496" s="460">
        <v>6000</v>
      </c>
      <c r="D3496" s="460" t="s">
        <v>2291</v>
      </c>
      <c r="E3496" s="460" t="s">
        <v>2271</v>
      </c>
      <c r="F3496" s="460">
        <v>2</v>
      </c>
      <c r="G3496" s="460">
        <v>1</v>
      </c>
      <c r="H3496" s="461" t="s">
        <v>748</v>
      </c>
      <c r="I3496" s="461" t="s">
        <v>765</v>
      </c>
      <c r="J3496" s="461" t="s">
        <v>700</v>
      </c>
      <c r="K3496" s="594"/>
      <c r="L3496" s="594"/>
      <c r="M3496" s="352">
        <v>6000</v>
      </c>
      <c r="N3496" s="352" t="s">
        <v>871</v>
      </c>
      <c r="O3496" s="460">
        <v>5121</v>
      </c>
      <c r="P3496" s="460" t="s">
        <v>785</v>
      </c>
      <c r="Q3496" s="460" t="s">
        <v>2553</v>
      </c>
      <c r="R3496" s="460">
        <v>5121</v>
      </c>
      <c r="S3496" s="460" t="s">
        <v>2265</v>
      </c>
      <c r="T3496" s="462">
        <v>1</v>
      </c>
      <c r="U3496" s="460" t="s">
        <v>2271</v>
      </c>
      <c r="V3496" s="475">
        <v>0</v>
      </c>
      <c r="W3496" s="463" t="s">
        <v>2268</v>
      </c>
      <c r="X3496" s="463" t="s">
        <v>2268</v>
      </c>
      <c r="Y3496" s="463" t="s">
        <v>2554</v>
      </c>
      <c r="Z3496" s="463"/>
      <c r="AA3496" s="463"/>
      <c r="AB3496" s="464">
        <v>0</v>
      </c>
      <c r="AC3496" s="465">
        <v>0</v>
      </c>
      <c r="AD3496" s="465">
        <v>0</v>
      </c>
      <c r="AE3496" s="476">
        <v>0</v>
      </c>
      <c r="AF3496" s="467">
        <v>0</v>
      </c>
      <c r="AG3496" s="468">
        <v>0</v>
      </c>
      <c r="AH3496" s="218">
        <v>0</v>
      </c>
      <c r="AI3496" s="470">
        <v>0</v>
      </c>
      <c r="AJ3496" s="471">
        <v>0</v>
      </c>
      <c r="AK3496" s="218">
        <v>0</v>
      </c>
      <c r="AL3496" s="470">
        <v>0</v>
      </c>
      <c r="AM3496" s="471">
        <v>0</v>
      </c>
      <c r="AN3496" s="477">
        <v>7.2824741607988122</v>
      </c>
      <c r="AO3496" s="473">
        <v>6.1448291713200144E-5</v>
      </c>
      <c r="AP3496" s="474">
        <v>4.6319504968013068E-4</v>
      </c>
      <c r="AQ3496" s="352"/>
      <c r="AR3496" s="352"/>
      <c r="AS3496" s="352"/>
      <c r="AT3496" s="352"/>
      <c r="AU3496" s="352"/>
      <c r="AV3496" s="352"/>
      <c r="AW3496" s="352" t="s">
        <v>254</v>
      </c>
    </row>
    <row r="3497" spans="2:49" x14ac:dyDescent="0.2">
      <c r="B3497" s="460" t="s">
        <v>3404</v>
      </c>
      <c r="C3497" s="460">
        <v>6000</v>
      </c>
      <c r="D3497" s="460" t="s">
        <v>2292</v>
      </c>
      <c r="E3497" s="460" t="s">
        <v>2274</v>
      </c>
      <c r="F3497" s="460">
        <v>3</v>
      </c>
      <c r="G3497" s="460">
        <v>1</v>
      </c>
      <c r="H3497" s="461" t="s">
        <v>748</v>
      </c>
      <c r="I3497" s="461" t="s">
        <v>765</v>
      </c>
      <c r="J3497" s="461" t="s">
        <v>700</v>
      </c>
      <c r="K3497" s="594"/>
      <c r="L3497" s="594"/>
      <c r="M3497" s="352">
        <v>6000</v>
      </c>
      <c r="N3497" s="352" t="s">
        <v>871</v>
      </c>
      <c r="O3497" s="460">
        <v>5121</v>
      </c>
      <c r="P3497" s="460" t="s">
        <v>785</v>
      </c>
      <c r="Q3497" s="460" t="s">
        <v>2553</v>
      </c>
      <c r="R3497" s="460">
        <v>5121</v>
      </c>
      <c r="S3497" s="460" t="s">
        <v>2265</v>
      </c>
      <c r="T3497" s="462">
        <v>0.74223365950407583</v>
      </c>
      <c r="U3497" s="460" t="s">
        <v>2274</v>
      </c>
      <c r="V3497" s="475">
        <v>0</v>
      </c>
      <c r="W3497" s="463" t="s">
        <v>2268</v>
      </c>
      <c r="X3497" s="463" t="s">
        <v>2268</v>
      </c>
      <c r="Y3497" s="463" t="s">
        <v>2554</v>
      </c>
      <c r="Z3497" s="463"/>
      <c r="AA3497" s="463"/>
      <c r="AB3497" s="464">
        <v>0</v>
      </c>
      <c r="AC3497" s="465">
        <v>0</v>
      </c>
      <c r="AD3497" s="465">
        <v>0</v>
      </c>
      <c r="AE3497" s="476">
        <v>0</v>
      </c>
      <c r="AF3497" s="467">
        <v>0</v>
      </c>
      <c r="AG3497" s="468">
        <v>0</v>
      </c>
      <c r="AH3497" s="218">
        <v>0</v>
      </c>
      <c r="AI3497" s="470">
        <v>0</v>
      </c>
      <c r="AJ3497" s="471">
        <v>0</v>
      </c>
      <c r="AK3497" s="218">
        <v>0</v>
      </c>
      <c r="AL3497" s="470">
        <v>0</v>
      </c>
      <c r="AM3497" s="471">
        <v>0</v>
      </c>
      <c r="AN3497" s="477">
        <v>1.608508152911883</v>
      </c>
      <c r="AO3497" s="473">
        <v>6.8745818575994768E-5</v>
      </c>
      <c r="AP3497" s="474">
        <v>2.2647278367287523E-4</v>
      </c>
      <c r="AQ3497" s="352"/>
      <c r="AR3497" s="352"/>
      <c r="AS3497" s="352"/>
      <c r="AT3497" s="352"/>
      <c r="AU3497" s="352"/>
      <c r="AV3497" s="352"/>
      <c r="AW3497" s="352" t="s">
        <v>254</v>
      </c>
    </row>
    <row r="3498" spans="2:49" x14ac:dyDescent="0.2">
      <c r="B3498" s="460" t="s">
        <v>3405</v>
      </c>
      <c r="C3498" s="460">
        <v>6000</v>
      </c>
      <c r="D3498" s="460" t="s">
        <v>2293</v>
      </c>
      <c r="E3498" s="460" t="s">
        <v>2277</v>
      </c>
      <c r="F3498" s="460">
        <v>4</v>
      </c>
      <c r="G3498" s="460">
        <v>1</v>
      </c>
      <c r="H3498" s="461" t="s">
        <v>748</v>
      </c>
      <c r="I3498" s="461" t="s">
        <v>765</v>
      </c>
      <c r="J3498" s="461" t="s">
        <v>700</v>
      </c>
      <c r="K3498" s="594"/>
      <c r="L3498" s="594"/>
      <c r="M3498" s="352">
        <v>6000</v>
      </c>
      <c r="N3498" s="352" t="s">
        <v>871</v>
      </c>
      <c r="O3498" s="460">
        <v>5121</v>
      </c>
      <c r="P3498" s="460" t="s">
        <v>785</v>
      </c>
      <c r="Q3498" s="460" t="s">
        <v>2553</v>
      </c>
      <c r="R3498" s="460">
        <v>5121</v>
      </c>
      <c r="S3498" s="460" t="s">
        <v>2277</v>
      </c>
      <c r="T3498" s="462">
        <v>1</v>
      </c>
      <c r="U3498" s="460" t="s">
        <v>2277</v>
      </c>
      <c r="V3498" s="475">
        <v>0</v>
      </c>
      <c r="W3498" s="463" t="s">
        <v>2268</v>
      </c>
      <c r="X3498" s="463" t="s">
        <v>2268</v>
      </c>
      <c r="Y3498" s="463" t="s">
        <v>2554</v>
      </c>
      <c r="Z3498" s="463"/>
      <c r="AA3498" s="463"/>
      <c r="AB3498" s="464">
        <v>0</v>
      </c>
      <c r="AC3498" s="465">
        <v>0</v>
      </c>
      <c r="AD3498" s="465">
        <v>0</v>
      </c>
      <c r="AE3498" s="476">
        <v>0</v>
      </c>
      <c r="AF3498" s="467">
        <v>0</v>
      </c>
      <c r="AG3498" s="468">
        <v>0</v>
      </c>
      <c r="AH3498" s="218">
        <v>0</v>
      </c>
      <c r="AI3498" s="470">
        <v>0</v>
      </c>
      <c r="AJ3498" s="471">
        <v>0</v>
      </c>
      <c r="AK3498" s="218">
        <v>0</v>
      </c>
      <c r="AL3498" s="470">
        <v>0</v>
      </c>
      <c r="AM3498" s="471">
        <v>0</v>
      </c>
      <c r="AN3498" s="477">
        <v>1.971462095714149E-2</v>
      </c>
      <c r="AO3498" s="473">
        <v>1.9722000334770718E-6</v>
      </c>
      <c r="AP3498" s="474">
        <v>4.7603255615009807E-4</v>
      </c>
      <c r="AQ3498" s="352"/>
      <c r="AR3498" s="352"/>
      <c r="AS3498" s="352"/>
      <c r="AT3498" s="352"/>
      <c r="AU3498" s="352"/>
      <c r="AV3498" s="352"/>
      <c r="AW3498" s="352" t="s">
        <v>254</v>
      </c>
    </row>
    <row r="3499" spans="2:49" x14ac:dyDescent="0.2">
      <c r="B3499" s="460" t="s">
        <v>3406</v>
      </c>
      <c r="C3499" s="460">
        <v>6000</v>
      </c>
      <c r="D3499" s="460" t="s">
        <v>2295</v>
      </c>
      <c r="E3499" s="460" t="s">
        <v>2296</v>
      </c>
      <c r="F3499" s="460">
        <v>1</v>
      </c>
      <c r="G3499" s="460">
        <v>2</v>
      </c>
      <c r="H3499" s="461" t="s">
        <v>700</v>
      </c>
      <c r="I3499" s="461" t="s">
        <v>872</v>
      </c>
      <c r="J3499" s="461" t="s">
        <v>700</v>
      </c>
      <c r="K3499" s="594"/>
      <c r="L3499" s="594"/>
      <c r="M3499" s="352">
        <v>6000</v>
      </c>
      <c r="N3499" s="352" t="s">
        <v>871</v>
      </c>
      <c r="O3499" s="460">
        <v>5121</v>
      </c>
      <c r="P3499" s="460" t="s">
        <v>785</v>
      </c>
      <c r="Q3499" s="460" t="s">
        <v>2553</v>
      </c>
      <c r="R3499" s="460">
        <v>5121</v>
      </c>
      <c r="S3499" s="460" t="s">
        <v>2296</v>
      </c>
      <c r="T3499" s="462">
        <v>1</v>
      </c>
      <c r="U3499" s="460" t="s">
        <v>2296</v>
      </c>
      <c r="V3499" s="475">
        <v>0</v>
      </c>
      <c r="W3499" s="463" t="s">
        <v>2554</v>
      </c>
      <c r="X3499" s="463" t="s">
        <v>2554</v>
      </c>
      <c r="Y3499" s="463" t="s">
        <v>2268</v>
      </c>
      <c r="Z3499" s="463"/>
      <c r="AA3499" s="463"/>
      <c r="AB3499" s="464">
        <v>162.8042005949325</v>
      </c>
      <c r="AC3499" s="465">
        <v>3.5371614324457609E-2</v>
      </c>
      <c r="AD3499" s="465">
        <v>9.5099999999999994E-3</v>
      </c>
      <c r="AE3499" s="476">
        <v>40.701050148733124</v>
      </c>
      <c r="AF3499" s="467">
        <v>8.8429035811144023E-3</v>
      </c>
      <c r="AG3499" s="468">
        <v>2.6427207624965549E-3</v>
      </c>
      <c r="AH3499" s="218">
        <v>40.701050148733124</v>
      </c>
      <c r="AI3499" s="470">
        <v>8.8429035811144023E-3</v>
      </c>
      <c r="AJ3499" s="471">
        <v>2.4279537200314069E-3</v>
      </c>
      <c r="AK3499" s="218">
        <v>40.701050148733124</v>
      </c>
      <c r="AL3499" s="470">
        <v>8.8429035811144023E-3</v>
      </c>
      <c r="AM3499" s="471">
        <v>2.4279537200314069E-3</v>
      </c>
      <c r="AN3499" s="477">
        <v>0</v>
      </c>
      <c r="AO3499" s="473">
        <v>0</v>
      </c>
      <c r="AP3499" s="474">
        <v>0</v>
      </c>
      <c r="AQ3499" s="352"/>
      <c r="AR3499" s="352"/>
      <c r="AS3499" s="352"/>
      <c r="AT3499" s="352"/>
      <c r="AU3499" s="352"/>
      <c r="AV3499" s="352"/>
      <c r="AW3499" s="352" t="s">
        <v>254</v>
      </c>
    </row>
    <row r="3500" spans="2:49" x14ac:dyDescent="0.2">
      <c r="B3500" s="460" t="s">
        <v>3407</v>
      </c>
      <c r="C3500" s="460">
        <v>6000</v>
      </c>
      <c r="D3500" s="460" t="s">
        <v>2298</v>
      </c>
      <c r="E3500" s="460" t="s">
        <v>2299</v>
      </c>
      <c r="F3500" s="460">
        <v>2</v>
      </c>
      <c r="G3500" s="460">
        <v>2</v>
      </c>
      <c r="H3500" s="461" t="s">
        <v>700</v>
      </c>
      <c r="I3500" s="461" t="s">
        <v>872</v>
      </c>
      <c r="J3500" s="461" t="s">
        <v>700</v>
      </c>
      <c r="K3500" s="594"/>
      <c r="L3500" s="594"/>
      <c r="M3500" s="352">
        <v>6000</v>
      </c>
      <c r="N3500" s="352" t="s">
        <v>871</v>
      </c>
      <c r="O3500" s="460">
        <v>5121</v>
      </c>
      <c r="P3500" s="460" t="s">
        <v>785</v>
      </c>
      <c r="Q3500" s="460" t="s">
        <v>2553</v>
      </c>
      <c r="R3500" s="460">
        <v>5121</v>
      </c>
      <c r="S3500" s="460" t="s">
        <v>2296</v>
      </c>
      <c r="T3500" s="462">
        <v>0.55517361979372948</v>
      </c>
      <c r="U3500" s="460" t="s">
        <v>2299</v>
      </c>
      <c r="V3500" s="475">
        <v>0</v>
      </c>
      <c r="W3500" s="463" t="s">
        <v>2554</v>
      </c>
      <c r="X3500" s="463" t="s">
        <v>2554</v>
      </c>
      <c r="Y3500" s="463" t="s">
        <v>2268</v>
      </c>
      <c r="Z3500" s="463"/>
      <c r="AA3500" s="463"/>
      <c r="AB3500" s="464">
        <v>31.429763357425184</v>
      </c>
      <c r="AC3500" s="465">
        <v>8.15844600071154E-3</v>
      </c>
      <c r="AD3500" s="465">
        <v>9.5100000000000011E-3</v>
      </c>
      <c r="AE3500" s="476">
        <v>7.8574408393562951</v>
      </c>
      <c r="AF3500" s="467">
        <v>2.039611500177885E-3</v>
      </c>
      <c r="AG3500" s="468">
        <v>2.6680139280210241E-3</v>
      </c>
      <c r="AH3500" s="218">
        <v>18.912867457243983</v>
      </c>
      <c r="AI3500" s="470">
        <v>4.9093467906142158E-3</v>
      </c>
      <c r="AJ3500" s="471">
        <v>4.45374536324924E-3</v>
      </c>
      <c r="AK3500" s="218">
        <v>18.912867457243983</v>
      </c>
      <c r="AL3500" s="470">
        <v>4.9093467906142158E-3</v>
      </c>
      <c r="AM3500" s="471">
        <v>4.45374536324924E-3</v>
      </c>
      <c r="AN3500" s="477">
        <v>0</v>
      </c>
      <c r="AO3500" s="473">
        <v>0</v>
      </c>
      <c r="AP3500" s="474">
        <v>0</v>
      </c>
      <c r="AQ3500" s="352"/>
      <c r="AR3500" s="352"/>
      <c r="AS3500" s="352"/>
      <c r="AT3500" s="352"/>
      <c r="AU3500" s="352"/>
      <c r="AV3500" s="352"/>
      <c r="AW3500" s="352" t="s">
        <v>254</v>
      </c>
    </row>
    <row r="3501" spans="2:49" x14ac:dyDescent="0.2">
      <c r="B3501" s="460" t="s">
        <v>3408</v>
      </c>
      <c r="C3501" s="460">
        <v>6000</v>
      </c>
      <c r="D3501" s="460" t="s">
        <v>2301</v>
      </c>
      <c r="E3501" s="460" t="s">
        <v>2302</v>
      </c>
      <c r="F3501" s="460">
        <v>3</v>
      </c>
      <c r="G3501" s="460">
        <v>2</v>
      </c>
      <c r="H3501" s="461" t="s">
        <v>700</v>
      </c>
      <c r="I3501" s="461" t="s">
        <v>872</v>
      </c>
      <c r="J3501" s="461" t="s">
        <v>700</v>
      </c>
      <c r="K3501" s="594"/>
      <c r="L3501" s="594"/>
      <c r="M3501" s="352">
        <v>6000</v>
      </c>
      <c r="N3501" s="352" t="s">
        <v>871</v>
      </c>
      <c r="O3501" s="460">
        <v>5121</v>
      </c>
      <c r="P3501" s="460" t="s">
        <v>785</v>
      </c>
      <c r="Q3501" s="460" t="s">
        <v>2553</v>
      </c>
      <c r="R3501" s="460">
        <v>5121</v>
      </c>
      <c r="S3501" s="460" t="s">
        <v>2296</v>
      </c>
      <c r="T3501" s="462">
        <v>0.28481449642268464</v>
      </c>
      <c r="U3501" s="460" t="s">
        <v>2302</v>
      </c>
      <c r="V3501" s="475">
        <v>0</v>
      </c>
      <c r="W3501" s="463" t="s">
        <v>2554</v>
      </c>
      <c r="X3501" s="463" t="s">
        <v>2554</v>
      </c>
      <c r="Y3501" s="463" t="s">
        <v>2268</v>
      </c>
      <c r="Z3501" s="463"/>
      <c r="AA3501" s="463"/>
      <c r="AB3501" s="464">
        <v>4.8891136241525759</v>
      </c>
      <c r="AC3501" s="465">
        <v>5.7055922118092565E-3</v>
      </c>
      <c r="AD3501" s="465">
        <v>9.5099999999999994E-3</v>
      </c>
      <c r="AE3501" s="476">
        <v>1.222278406038144</v>
      </c>
      <c r="AF3501" s="467">
        <v>1.4263980529523141E-3</v>
      </c>
      <c r="AG3501" s="468">
        <v>2.6828624561262217E-3</v>
      </c>
      <c r="AH3501" s="218">
        <v>2.158173629587163</v>
      </c>
      <c r="AI3501" s="470">
        <v>2.5185871303694532E-3</v>
      </c>
      <c r="AJ3501" s="471">
        <v>2.2404408826477247E-3</v>
      </c>
      <c r="AK3501" s="218">
        <v>2.158173629587163</v>
      </c>
      <c r="AL3501" s="470">
        <v>2.5185871303694532E-3</v>
      </c>
      <c r="AM3501" s="471">
        <v>2.2404408826477247E-3</v>
      </c>
      <c r="AN3501" s="477">
        <v>0</v>
      </c>
      <c r="AO3501" s="473">
        <v>0</v>
      </c>
      <c r="AP3501" s="474">
        <v>0</v>
      </c>
      <c r="AQ3501" s="352"/>
      <c r="AR3501" s="352"/>
      <c r="AS3501" s="352"/>
      <c r="AT3501" s="352"/>
      <c r="AU3501" s="352"/>
      <c r="AV3501" s="352"/>
      <c r="AW3501" s="352" t="s">
        <v>254</v>
      </c>
    </row>
    <row r="3502" spans="2:49" x14ac:dyDescent="0.2">
      <c r="B3502" s="460" t="s">
        <v>3409</v>
      </c>
      <c r="C3502" s="460">
        <v>6000</v>
      </c>
      <c r="D3502" s="460" t="s">
        <v>2304</v>
      </c>
      <c r="E3502" s="460" t="s">
        <v>2305</v>
      </c>
      <c r="F3502" s="460">
        <v>4</v>
      </c>
      <c r="G3502" s="460">
        <v>2</v>
      </c>
      <c r="H3502" s="461" t="s">
        <v>700</v>
      </c>
      <c r="I3502" s="461" t="s">
        <v>872</v>
      </c>
      <c r="J3502" s="461" t="s">
        <v>700</v>
      </c>
      <c r="K3502" s="594"/>
      <c r="L3502" s="594"/>
      <c r="M3502" s="352">
        <v>6000</v>
      </c>
      <c r="N3502" s="352" t="s">
        <v>871</v>
      </c>
      <c r="O3502" s="460">
        <v>5121</v>
      </c>
      <c r="P3502" s="460" t="s">
        <v>785</v>
      </c>
      <c r="Q3502" s="460" t="s">
        <v>2553</v>
      </c>
      <c r="R3502" s="460">
        <v>5121</v>
      </c>
      <c r="S3502" s="460" t="s">
        <v>2305</v>
      </c>
      <c r="T3502" s="462">
        <v>1</v>
      </c>
      <c r="U3502" s="460" t="s">
        <v>2305</v>
      </c>
      <c r="V3502" s="475">
        <v>0</v>
      </c>
      <c r="W3502" s="463" t="s">
        <v>2554</v>
      </c>
      <c r="X3502" s="463" t="s">
        <v>2554</v>
      </c>
      <c r="Y3502" s="463" t="s">
        <v>2268</v>
      </c>
      <c r="Z3502" s="463"/>
      <c r="AA3502" s="463"/>
      <c r="AB3502" s="464">
        <v>0.12011656375871881</v>
      </c>
      <c r="AC3502" s="465">
        <v>1.2342610893890618E-4</v>
      </c>
      <c r="AD3502" s="465">
        <v>9.5100000000000011E-3</v>
      </c>
      <c r="AE3502" s="476">
        <v>3.0029140939679705E-2</v>
      </c>
      <c r="AF3502" s="467">
        <v>3.0856527234726544E-5</v>
      </c>
      <c r="AG3502" s="468">
        <v>2.6400217281951598E-3</v>
      </c>
      <c r="AH3502" s="218">
        <v>3.0029140939679705E-2</v>
      </c>
      <c r="AI3502" s="470">
        <v>3.0856527234726544E-5</v>
      </c>
      <c r="AJ3502" s="471">
        <v>2.6290661369093794E-3</v>
      </c>
      <c r="AK3502" s="218">
        <v>3.0029140939679705E-2</v>
      </c>
      <c r="AL3502" s="470">
        <v>3.0856527234726544E-5</v>
      </c>
      <c r="AM3502" s="471">
        <v>2.6290661369093794E-3</v>
      </c>
      <c r="AN3502" s="477">
        <v>0</v>
      </c>
      <c r="AO3502" s="473">
        <v>0</v>
      </c>
      <c r="AP3502" s="474">
        <v>0</v>
      </c>
      <c r="AQ3502" s="352"/>
      <c r="AR3502" s="352"/>
      <c r="AS3502" s="352"/>
      <c r="AT3502" s="352"/>
      <c r="AU3502" s="352"/>
      <c r="AV3502" s="352"/>
      <c r="AW3502" s="352" t="s">
        <v>254</v>
      </c>
    </row>
    <row r="3503" spans="2:49" x14ac:dyDescent="0.2">
      <c r="B3503" s="460" t="s">
        <v>3406</v>
      </c>
      <c r="C3503" s="460">
        <v>6000</v>
      </c>
      <c r="D3503" s="460" t="s">
        <v>2306</v>
      </c>
      <c r="E3503" s="460" t="s">
        <v>2296</v>
      </c>
      <c r="F3503" s="460">
        <v>1</v>
      </c>
      <c r="G3503" s="460">
        <v>2</v>
      </c>
      <c r="H3503" s="461" t="s">
        <v>712</v>
      </c>
      <c r="I3503" s="461" t="s">
        <v>713</v>
      </c>
      <c r="J3503" s="461" t="s">
        <v>712</v>
      </c>
      <c r="K3503" s="594"/>
      <c r="L3503" s="594"/>
      <c r="M3503" s="352">
        <v>6000</v>
      </c>
      <c r="N3503" s="352" t="s">
        <v>871</v>
      </c>
      <c r="O3503" s="460">
        <v>5121</v>
      </c>
      <c r="P3503" s="460" t="s">
        <v>785</v>
      </c>
      <c r="Q3503" s="460" t="s">
        <v>2280</v>
      </c>
      <c r="R3503" s="460">
        <v>5121</v>
      </c>
      <c r="S3503" s="460" t="s">
        <v>2296</v>
      </c>
      <c r="T3503" s="462">
        <v>1</v>
      </c>
      <c r="U3503" s="460" t="s">
        <v>2296</v>
      </c>
      <c r="V3503" s="475">
        <v>0</v>
      </c>
      <c r="W3503" s="463" t="s">
        <v>713</v>
      </c>
      <c r="X3503" s="463" t="s">
        <v>713</v>
      </c>
      <c r="Y3503" s="463" t="s">
        <v>713</v>
      </c>
      <c r="Z3503" s="463"/>
      <c r="AA3503" s="463"/>
      <c r="AB3503" s="464">
        <v>2175.4142621449846</v>
      </c>
      <c r="AC3503" s="465">
        <v>0.47264084093240544</v>
      </c>
      <c r="AD3503" s="465">
        <v>1.8815107654436003E-2</v>
      </c>
      <c r="AE3503" s="476">
        <v>2297.517412591184</v>
      </c>
      <c r="AF3503" s="467">
        <v>0.49916955167574861</v>
      </c>
      <c r="AG3503" s="468">
        <v>1.9580221425328389E-2</v>
      </c>
      <c r="AH3503" s="218">
        <v>2297.517412591184</v>
      </c>
      <c r="AI3503" s="470">
        <v>0.49916955167574861</v>
      </c>
      <c r="AJ3503" s="471">
        <v>1.9810222417341098E-2</v>
      </c>
      <c r="AK3503" s="218">
        <v>2297.517412591184</v>
      </c>
      <c r="AL3503" s="470">
        <v>0.49916955167574861</v>
      </c>
      <c r="AM3503" s="471">
        <v>1.9810222417341098E-2</v>
      </c>
      <c r="AN3503" s="477">
        <v>2297.517412591184</v>
      </c>
      <c r="AO3503" s="473">
        <v>0.49916955167574861</v>
      </c>
      <c r="AP3503" s="474">
        <v>1.9805360716048364E-2</v>
      </c>
      <c r="AQ3503" s="352"/>
      <c r="AR3503" s="352"/>
      <c r="AS3503" s="352"/>
      <c r="AT3503" s="352"/>
      <c r="AU3503" s="352"/>
      <c r="AV3503" s="352"/>
      <c r="AW3503" s="352" t="s">
        <v>254</v>
      </c>
    </row>
    <row r="3504" spans="2:49" x14ac:dyDescent="0.2">
      <c r="B3504" s="460" t="s">
        <v>3407</v>
      </c>
      <c r="C3504" s="460">
        <v>6000</v>
      </c>
      <c r="D3504" s="460" t="s">
        <v>2307</v>
      </c>
      <c r="E3504" s="460" t="s">
        <v>2299</v>
      </c>
      <c r="F3504" s="460">
        <v>2</v>
      </c>
      <c r="G3504" s="460">
        <v>2</v>
      </c>
      <c r="H3504" s="461" t="s">
        <v>712</v>
      </c>
      <c r="I3504" s="461" t="s">
        <v>713</v>
      </c>
      <c r="J3504" s="461" t="s">
        <v>712</v>
      </c>
      <c r="K3504" s="594"/>
      <c r="L3504" s="594"/>
      <c r="M3504" s="352">
        <v>6000</v>
      </c>
      <c r="N3504" s="352" t="s">
        <v>871</v>
      </c>
      <c r="O3504" s="460">
        <v>5121</v>
      </c>
      <c r="P3504" s="460" t="s">
        <v>785</v>
      </c>
      <c r="Q3504" s="460" t="s">
        <v>2280</v>
      </c>
      <c r="R3504" s="460">
        <v>5121</v>
      </c>
      <c r="S3504" s="460" t="s">
        <v>2296</v>
      </c>
      <c r="T3504" s="462">
        <v>0.55517361979372948</v>
      </c>
      <c r="U3504" s="460" t="s">
        <v>2299</v>
      </c>
      <c r="V3504" s="475">
        <v>0</v>
      </c>
      <c r="W3504" s="463" t="s">
        <v>713</v>
      </c>
      <c r="X3504" s="463" t="s">
        <v>713</v>
      </c>
      <c r="Y3504" s="463" t="s">
        <v>713</v>
      </c>
      <c r="Z3504" s="463"/>
      <c r="AA3504" s="463"/>
      <c r="AB3504" s="464">
        <v>3820.9905817283952</v>
      </c>
      <c r="AC3504" s="465">
        <v>0.99184155399928842</v>
      </c>
      <c r="AD3504" s="465">
        <v>4.419645249651618E-2</v>
      </c>
      <c r="AE3504" s="476">
        <v>3844.5629042464643</v>
      </c>
      <c r="AF3504" s="467">
        <v>0.99796038849982216</v>
      </c>
      <c r="AG3504" s="468">
        <v>4.428477376550944E-2</v>
      </c>
      <c r="AH3504" s="218">
        <v>3833.5074776285765</v>
      </c>
      <c r="AI3504" s="470">
        <v>0.99509065320938583</v>
      </c>
      <c r="AJ3504" s="471">
        <v>4.4912995107545407E-2</v>
      </c>
      <c r="AK3504" s="218">
        <v>3833.5074776285765</v>
      </c>
      <c r="AL3504" s="470">
        <v>0.99509065320938583</v>
      </c>
      <c r="AM3504" s="471">
        <v>4.4912995107545407E-2</v>
      </c>
      <c r="AN3504" s="477">
        <v>3833.5074776285765</v>
      </c>
      <c r="AO3504" s="473">
        <v>0.99509065320938583</v>
      </c>
      <c r="AP3504" s="474">
        <v>4.4907325529049018E-2</v>
      </c>
      <c r="AQ3504" s="352"/>
      <c r="AR3504" s="352"/>
      <c r="AS3504" s="352"/>
      <c r="AT3504" s="352"/>
      <c r="AU3504" s="352"/>
      <c r="AV3504" s="352"/>
      <c r="AW3504" s="352" t="s">
        <v>254</v>
      </c>
    </row>
    <row r="3505" spans="2:49" x14ac:dyDescent="0.2">
      <c r="B3505" s="460" t="s">
        <v>3408</v>
      </c>
      <c r="C3505" s="460">
        <v>6000</v>
      </c>
      <c r="D3505" s="460" t="s">
        <v>2308</v>
      </c>
      <c r="E3505" s="460" t="s">
        <v>2302</v>
      </c>
      <c r="F3505" s="460">
        <v>3</v>
      </c>
      <c r="G3505" s="460">
        <v>2</v>
      </c>
      <c r="H3505" s="461" t="s">
        <v>712</v>
      </c>
      <c r="I3505" s="461" t="s">
        <v>713</v>
      </c>
      <c r="J3505" s="461" t="s">
        <v>712</v>
      </c>
      <c r="K3505" s="594"/>
      <c r="L3505" s="594"/>
      <c r="M3505" s="352">
        <v>6000</v>
      </c>
      <c r="N3505" s="352" t="s">
        <v>871</v>
      </c>
      <c r="O3505" s="460">
        <v>5121</v>
      </c>
      <c r="P3505" s="460" t="s">
        <v>785</v>
      </c>
      <c r="Q3505" s="460" t="s">
        <v>2280</v>
      </c>
      <c r="R3505" s="460">
        <v>5121</v>
      </c>
      <c r="S3505" s="460" t="s">
        <v>2296</v>
      </c>
      <c r="T3505" s="462">
        <v>0.28481449642268464</v>
      </c>
      <c r="U3505" s="460" t="s">
        <v>2302</v>
      </c>
      <c r="V3505" s="475">
        <v>0</v>
      </c>
      <c r="W3505" s="463" t="s">
        <v>713</v>
      </c>
      <c r="X3505" s="463" t="s">
        <v>713</v>
      </c>
      <c r="Y3505" s="463" t="s">
        <v>713</v>
      </c>
      <c r="Z3505" s="463"/>
      <c r="AA3505" s="463"/>
      <c r="AB3505" s="464">
        <v>852.00942427577672</v>
      </c>
      <c r="AC3505" s="465">
        <v>0.99429440778819067</v>
      </c>
      <c r="AD3505" s="465">
        <v>2.4782825065768749E-2</v>
      </c>
      <c r="AE3505" s="476">
        <v>855.67625949389117</v>
      </c>
      <c r="AF3505" s="467">
        <v>0.9985736019470477</v>
      </c>
      <c r="AG3505" s="468">
        <v>2.4847192882592739E-2</v>
      </c>
      <c r="AH3505" s="218">
        <v>854.74036427034218</v>
      </c>
      <c r="AI3505" s="470">
        <v>0.99748141286963055</v>
      </c>
      <c r="AJ3505" s="471">
        <v>2.5191398931357568E-2</v>
      </c>
      <c r="AK3505" s="218">
        <v>854.74036427034218</v>
      </c>
      <c r="AL3505" s="470">
        <v>0.99748141286963055</v>
      </c>
      <c r="AM3505" s="471">
        <v>2.5191398931357568E-2</v>
      </c>
      <c r="AN3505" s="477">
        <v>854.74036427034218</v>
      </c>
      <c r="AO3505" s="473">
        <v>0.99748141286963055</v>
      </c>
      <c r="AP3505" s="474">
        <v>2.5213304251605489E-2</v>
      </c>
      <c r="AQ3505" s="352"/>
      <c r="AR3505" s="352"/>
      <c r="AS3505" s="352"/>
      <c r="AT3505" s="352"/>
      <c r="AU3505" s="352"/>
      <c r="AV3505" s="352"/>
      <c r="AW3505" s="352" t="s">
        <v>254</v>
      </c>
    </row>
    <row r="3506" spans="2:49" x14ac:dyDescent="0.2">
      <c r="B3506" s="460" t="s">
        <v>3409</v>
      </c>
      <c r="C3506" s="460">
        <v>6000</v>
      </c>
      <c r="D3506" s="460" t="s">
        <v>2309</v>
      </c>
      <c r="E3506" s="460" t="s">
        <v>2305</v>
      </c>
      <c r="F3506" s="460">
        <v>4</v>
      </c>
      <c r="G3506" s="460">
        <v>2</v>
      </c>
      <c r="H3506" s="461" t="s">
        <v>712</v>
      </c>
      <c r="I3506" s="461" t="s">
        <v>713</v>
      </c>
      <c r="J3506" s="461" t="s">
        <v>712</v>
      </c>
      <c r="K3506" s="594"/>
      <c r="L3506" s="594"/>
      <c r="M3506" s="352">
        <v>6000</v>
      </c>
      <c r="N3506" s="352" t="s">
        <v>871</v>
      </c>
      <c r="O3506" s="460">
        <v>5121</v>
      </c>
      <c r="P3506" s="460" t="s">
        <v>785</v>
      </c>
      <c r="Q3506" s="460" t="s">
        <v>2280</v>
      </c>
      <c r="R3506" s="460">
        <v>5121</v>
      </c>
      <c r="S3506" s="460" t="s">
        <v>2305</v>
      </c>
      <c r="T3506" s="462">
        <v>1</v>
      </c>
      <c r="U3506" s="460" t="s">
        <v>2305</v>
      </c>
      <c r="V3506" s="475">
        <v>0</v>
      </c>
      <c r="W3506" s="463" t="s">
        <v>713</v>
      </c>
      <c r="X3506" s="463" t="s">
        <v>713</v>
      </c>
      <c r="Y3506" s="463" t="s">
        <v>713</v>
      </c>
      <c r="Z3506" s="463"/>
      <c r="AA3506" s="463"/>
      <c r="AB3506" s="464">
        <v>973.06590373097868</v>
      </c>
      <c r="AC3506" s="465">
        <v>0.9998765738910611</v>
      </c>
      <c r="AD3506" s="465">
        <v>2.4852008226965247E-2</v>
      </c>
      <c r="AE3506" s="476">
        <v>973.15599115379769</v>
      </c>
      <c r="AF3506" s="467">
        <v>0.99996914347276522</v>
      </c>
      <c r="AG3506" s="468">
        <v>2.4853511814528051E-2</v>
      </c>
      <c r="AH3506" s="218">
        <v>973.15599115379769</v>
      </c>
      <c r="AI3506" s="470">
        <v>0.99996914347276522</v>
      </c>
      <c r="AJ3506" s="471">
        <v>2.4853541900448962E-2</v>
      </c>
      <c r="AK3506" s="218">
        <v>973.15599115379769</v>
      </c>
      <c r="AL3506" s="470">
        <v>0.99996914347276522</v>
      </c>
      <c r="AM3506" s="471">
        <v>2.4853541900448962E-2</v>
      </c>
      <c r="AN3506" s="477">
        <v>973.15599115379769</v>
      </c>
      <c r="AO3506" s="473">
        <v>0.99996914347276522</v>
      </c>
      <c r="AP3506" s="474">
        <v>2.4853572301273316E-2</v>
      </c>
      <c r="AQ3506" s="352"/>
      <c r="AR3506" s="352"/>
      <c r="AS3506" s="352"/>
      <c r="AT3506" s="352"/>
      <c r="AU3506" s="352"/>
      <c r="AV3506" s="352"/>
      <c r="AW3506" s="352" t="s">
        <v>254</v>
      </c>
    </row>
    <row r="3507" spans="2:49" x14ac:dyDescent="0.2">
      <c r="B3507" s="460" t="s">
        <v>3406</v>
      </c>
      <c r="C3507" s="460">
        <v>6000</v>
      </c>
      <c r="D3507" s="460" t="s">
        <v>3382</v>
      </c>
      <c r="E3507" s="460" t="s">
        <v>2296</v>
      </c>
      <c r="F3507" s="460">
        <v>1</v>
      </c>
      <c r="G3507" s="460">
        <v>2</v>
      </c>
      <c r="H3507" s="461" t="s">
        <v>719</v>
      </c>
      <c r="I3507" s="461" t="s">
        <v>720</v>
      </c>
      <c r="J3507" s="461" t="s">
        <v>719</v>
      </c>
      <c r="K3507" s="594"/>
      <c r="L3507" s="594"/>
      <c r="M3507" s="352">
        <v>6000</v>
      </c>
      <c r="N3507" s="352" t="s">
        <v>871</v>
      </c>
      <c r="O3507" s="460">
        <v>5121</v>
      </c>
      <c r="P3507" s="460" t="s">
        <v>785</v>
      </c>
      <c r="Q3507" s="460" t="s">
        <v>3374</v>
      </c>
      <c r="R3507" s="460">
        <v>5121</v>
      </c>
      <c r="S3507" s="460" t="s">
        <v>2296</v>
      </c>
      <c r="T3507" s="462">
        <v>1</v>
      </c>
      <c r="U3507" s="460" t="s">
        <v>2296</v>
      </c>
      <c r="V3507" s="475">
        <v>0</v>
      </c>
      <c r="W3507" s="463" t="s">
        <v>2278</v>
      </c>
      <c r="X3507" s="463" t="s">
        <v>2278</v>
      </c>
      <c r="Y3507" s="463" t="s">
        <v>2278</v>
      </c>
      <c r="Z3507" s="463"/>
      <c r="AA3507" s="463"/>
      <c r="AB3507" s="464">
        <v>2264.4609372319969</v>
      </c>
      <c r="AC3507" s="465">
        <v>0.491987544743137</v>
      </c>
      <c r="AD3507" s="465">
        <v>0.71190624520635193</v>
      </c>
      <c r="AE3507" s="476">
        <v>2264.4609372319969</v>
      </c>
      <c r="AF3507" s="467">
        <v>0.491987544743137</v>
      </c>
      <c r="AG3507" s="468">
        <v>0.71190624520635193</v>
      </c>
      <c r="AH3507" s="218">
        <v>2264.4609372319969</v>
      </c>
      <c r="AI3507" s="470">
        <v>0.491987544743137</v>
      </c>
      <c r="AJ3507" s="471">
        <v>0.71190624520635193</v>
      </c>
      <c r="AK3507" s="218">
        <v>2264.4609372319969</v>
      </c>
      <c r="AL3507" s="470">
        <v>0.491987544743137</v>
      </c>
      <c r="AM3507" s="471">
        <v>0.71190624520635193</v>
      </c>
      <c r="AN3507" s="477">
        <v>2264.4609372319969</v>
      </c>
      <c r="AO3507" s="473">
        <v>0.491987544743137</v>
      </c>
      <c r="AP3507" s="474">
        <v>0.71190624520635193</v>
      </c>
      <c r="AQ3507" s="352"/>
      <c r="AR3507" s="352"/>
      <c r="AS3507" s="352"/>
      <c r="AT3507" s="352"/>
      <c r="AU3507" s="352"/>
      <c r="AV3507" s="352"/>
      <c r="AW3507" s="352" t="s">
        <v>254</v>
      </c>
    </row>
    <row r="3508" spans="2:49" x14ac:dyDescent="0.2">
      <c r="B3508" s="460" t="s">
        <v>3407</v>
      </c>
      <c r="C3508" s="460">
        <v>6000</v>
      </c>
      <c r="D3508" s="460" t="s">
        <v>3383</v>
      </c>
      <c r="E3508" s="460" t="s">
        <v>2299</v>
      </c>
      <c r="F3508" s="460">
        <v>2</v>
      </c>
      <c r="G3508" s="460">
        <v>2</v>
      </c>
      <c r="H3508" s="461" t="s">
        <v>719</v>
      </c>
      <c r="I3508" s="461" t="s">
        <v>720</v>
      </c>
      <c r="J3508" s="461" t="s">
        <v>719</v>
      </c>
      <c r="K3508" s="594"/>
      <c r="L3508" s="594"/>
      <c r="M3508" s="352">
        <v>6000</v>
      </c>
      <c r="N3508" s="352" t="s">
        <v>871</v>
      </c>
      <c r="O3508" s="460">
        <v>5121</v>
      </c>
      <c r="P3508" s="460" t="s">
        <v>785</v>
      </c>
      <c r="Q3508" s="460" t="s">
        <v>3374</v>
      </c>
      <c r="R3508" s="460">
        <v>5121</v>
      </c>
      <c r="S3508" s="460" t="s">
        <v>2296</v>
      </c>
      <c r="T3508" s="462">
        <v>0.55517361979372948</v>
      </c>
      <c r="U3508" s="460" t="s">
        <v>2299</v>
      </c>
      <c r="V3508" s="475">
        <v>0</v>
      </c>
      <c r="W3508" s="463" t="s">
        <v>2278</v>
      </c>
      <c r="X3508" s="463" t="s">
        <v>2278</v>
      </c>
      <c r="Y3508" s="463" t="s">
        <v>2278</v>
      </c>
      <c r="Z3508" s="463"/>
      <c r="AA3508" s="463"/>
      <c r="AB3508" s="464">
        <v>0</v>
      </c>
      <c r="AC3508" s="465">
        <v>0</v>
      </c>
      <c r="AD3508" s="465">
        <v>0</v>
      </c>
      <c r="AE3508" s="476">
        <v>0</v>
      </c>
      <c r="AF3508" s="467">
        <v>0</v>
      </c>
      <c r="AG3508" s="468">
        <v>0</v>
      </c>
      <c r="AH3508" s="218">
        <v>0</v>
      </c>
      <c r="AI3508" s="470">
        <v>0</v>
      </c>
      <c r="AJ3508" s="471">
        <v>0</v>
      </c>
      <c r="AK3508" s="218">
        <v>0</v>
      </c>
      <c r="AL3508" s="470">
        <v>0</v>
      </c>
      <c r="AM3508" s="471">
        <v>0</v>
      </c>
      <c r="AN3508" s="477">
        <v>0</v>
      </c>
      <c r="AO3508" s="473">
        <v>0</v>
      </c>
      <c r="AP3508" s="474">
        <v>0</v>
      </c>
      <c r="AQ3508" s="352"/>
      <c r="AR3508" s="352"/>
      <c r="AS3508" s="352"/>
      <c r="AT3508" s="352"/>
      <c r="AU3508" s="352"/>
      <c r="AV3508" s="352"/>
      <c r="AW3508" s="352" t="s">
        <v>254</v>
      </c>
    </row>
    <row r="3509" spans="2:49" x14ac:dyDescent="0.2">
      <c r="B3509" s="460" t="s">
        <v>3408</v>
      </c>
      <c r="C3509" s="460">
        <v>6000</v>
      </c>
      <c r="D3509" s="460" t="s">
        <v>3384</v>
      </c>
      <c r="E3509" s="460" t="s">
        <v>2302</v>
      </c>
      <c r="F3509" s="460">
        <v>3</v>
      </c>
      <c r="G3509" s="460">
        <v>2</v>
      </c>
      <c r="H3509" s="461" t="s">
        <v>719</v>
      </c>
      <c r="I3509" s="461" t="s">
        <v>720</v>
      </c>
      <c r="J3509" s="461" t="s">
        <v>719</v>
      </c>
      <c r="K3509" s="594"/>
      <c r="L3509" s="594"/>
      <c r="M3509" s="352">
        <v>6000</v>
      </c>
      <c r="N3509" s="352" t="s">
        <v>871</v>
      </c>
      <c r="O3509" s="460">
        <v>5121</v>
      </c>
      <c r="P3509" s="460" t="s">
        <v>785</v>
      </c>
      <c r="Q3509" s="460" t="s">
        <v>3374</v>
      </c>
      <c r="R3509" s="460">
        <v>5121</v>
      </c>
      <c r="S3509" s="460" t="s">
        <v>2296</v>
      </c>
      <c r="T3509" s="462">
        <v>0.28481449642268464</v>
      </c>
      <c r="U3509" s="460" t="s">
        <v>2302</v>
      </c>
      <c r="V3509" s="475">
        <v>0</v>
      </c>
      <c r="W3509" s="463" t="s">
        <v>2278</v>
      </c>
      <c r="X3509" s="463" t="s">
        <v>2278</v>
      </c>
      <c r="Y3509" s="463" t="s">
        <v>2278</v>
      </c>
      <c r="Z3509" s="463"/>
      <c r="AA3509" s="463"/>
      <c r="AB3509" s="464">
        <v>0</v>
      </c>
      <c r="AC3509" s="465">
        <v>0</v>
      </c>
      <c r="AD3509" s="465">
        <v>0</v>
      </c>
      <c r="AE3509" s="476">
        <v>0</v>
      </c>
      <c r="AF3509" s="467">
        <v>0</v>
      </c>
      <c r="AG3509" s="468">
        <v>0</v>
      </c>
      <c r="AH3509" s="218">
        <v>0</v>
      </c>
      <c r="AI3509" s="470">
        <v>0</v>
      </c>
      <c r="AJ3509" s="471">
        <v>0</v>
      </c>
      <c r="AK3509" s="218">
        <v>0</v>
      </c>
      <c r="AL3509" s="470">
        <v>0</v>
      </c>
      <c r="AM3509" s="471">
        <v>0</v>
      </c>
      <c r="AN3509" s="477">
        <v>0</v>
      </c>
      <c r="AO3509" s="473">
        <v>0</v>
      </c>
      <c r="AP3509" s="474">
        <v>0</v>
      </c>
      <c r="AQ3509" s="352"/>
      <c r="AR3509" s="352"/>
      <c r="AS3509" s="352"/>
      <c r="AT3509" s="352"/>
      <c r="AU3509" s="352"/>
      <c r="AV3509" s="352"/>
      <c r="AW3509" s="352" t="s">
        <v>254</v>
      </c>
    </row>
    <row r="3510" spans="2:49" x14ac:dyDescent="0.2">
      <c r="B3510" s="460" t="s">
        <v>3409</v>
      </c>
      <c r="C3510" s="460">
        <v>6000</v>
      </c>
      <c r="D3510" s="460" t="s">
        <v>3385</v>
      </c>
      <c r="E3510" s="460" t="s">
        <v>2305</v>
      </c>
      <c r="F3510" s="460">
        <v>4</v>
      </c>
      <c r="G3510" s="460">
        <v>2</v>
      </c>
      <c r="H3510" s="461" t="s">
        <v>719</v>
      </c>
      <c r="I3510" s="461" t="s">
        <v>720</v>
      </c>
      <c r="J3510" s="461" t="s">
        <v>719</v>
      </c>
      <c r="K3510" s="594"/>
      <c r="L3510" s="594"/>
      <c r="M3510" s="352">
        <v>6000</v>
      </c>
      <c r="N3510" s="352" t="s">
        <v>871</v>
      </c>
      <c r="O3510" s="460">
        <v>5121</v>
      </c>
      <c r="P3510" s="460" t="s">
        <v>785</v>
      </c>
      <c r="Q3510" s="460" t="s">
        <v>3374</v>
      </c>
      <c r="R3510" s="460">
        <v>5121</v>
      </c>
      <c r="S3510" s="460" t="s">
        <v>2305</v>
      </c>
      <c r="T3510" s="462">
        <v>1</v>
      </c>
      <c r="U3510" s="460" t="s">
        <v>2305</v>
      </c>
      <c r="V3510" s="475">
        <v>0</v>
      </c>
      <c r="W3510" s="463" t="s">
        <v>2278</v>
      </c>
      <c r="X3510" s="463" t="s">
        <v>2278</v>
      </c>
      <c r="Y3510" s="463" t="s">
        <v>2278</v>
      </c>
      <c r="Z3510" s="463"/>
      <c r="AA3510" s="463"/>
      <c r="AB3510" s="464">
        <v>0</v>
      </c>
      <c r="AC3510" s="465">
        <v>0</v>
      </c>
      <c r="AD3510" s="465">
        <v>0</v>
      </c>
      <c r="AE3510" s="476">
        <v>0</v>
      </c>
      <c r="AF3510" s="467">
        <v>0</v>
      </c>
      <c r="AG3510" s="468">
        <v>0</v>
      </c>
      <c r="AH3510" s="218">
        <v>0</v>
      </c>
      <c r="AI3510" s="470">
        <v>0</v>
      </c>
      <c r="AJ3510" s="471">
        <v>0</v>
      </c>
      <c r="AK3510" s="218">
        <v>0</v>
      </c>
      <c r="AL3510" s="470">
        <v>0</v>
      </c>
      <c r="AM3510" s="471">
        <v>0</v>
      </c>
      <c r="AN3510" s="477">
        <v>0</v>
      </c>
      <c r="AO3510" s="473">
        <v>0</v>
      </c>
      <c r="AP3510" s="474">
        <v>0</v>
      </c>
      <c r="AQ3510" s="352"/>
      <c r="AR3510" s="352"/>
      <c r="AS3510" s="352"/>
      <c r="AT3510" s="352"/>
      <c r="AU3510" s="352"/>
      <c r="AV3510" s="352"/>
      <c r="AW3510" s="352" t="s">
        <v>254</v>
      </c>
    </row>
    <row r="3511" spans="2:49" x14ac:dyDescent="0.2">
      <c r="B3511" s="460" t="s">
        <v>3406</v>
      </c>
      <c r="C3511" s="460">
        <v>6000</v>
      </c>
      <c r="D3511" s="460" t="s">
        <v>2310</v>
      </c>
      <c r="E3511" s="460" t="s">
        <v>2296</v>
      </c>
      <c r="F3511" s="460">
        <v>1</v>
      </c>
      <c r="G3511" s="460">
        <v>2</v>
      </c>
      <c r="H3511" s="461" t="s">
        <v>746</v>
      </c>
      <c r="I3511" s="461" t="s">
        <v>762</v>
      </c>
      <c r="J3511" s="461" t="s">
        <v>700</v>
      </c>
      <c r="K3511" s="594"/>
      <c r="L3511" s="594"/>
      <c r="M3511" s="352">
        <v>6000</v>
      </c>
      <c r="N3511" s="352" t="s">
        <v>871</v>
      </c>
      <c r="O3511" s="460">
        <v>5121</v>
      </c>
      <c r="P3511" s="460" t="s">
        <v>785</v>
      </c>
      <c r="Q3511" s="460" t="s">
        <v>2553</v>
      </c>
      <c r="R3511" s="460">
        <v>5121</v>
      </c>
      <c r="S3511" s="460" t="s">
        <v>2296</v>
      </c>
      <c r="T3511" s="462">
        <v>1</v>
      </c>
      <c r="U3511" s="460" t="s">
        <v>2296</v>
      </c>
      <c r="V3511" s="475">
        <v>0</v>
      </c>
      <c r="W3511" s="463" t="s">
        <v>2268</v>
      </c>
      <c r="X3511" s="463" t="s">
        <v>2268</v>
      </c>
      <c r="Y3511" s="463" t="s">
        <v>2554</v>
      </c>
      <c r="Z3511" s="463"/>
      <c r="AA3511" s="463"/>
      <c r="AB3511" s="464">
        <v>0</v>
      </c>
      <c r="AC3511" s="465">
        <v>0</v>
      </c>
      <c r="AD3511" s="465">
        <v>0</v>
      </c>
      <c r="AE3511" s="476">
        <v>0</v>
      </c>
      <c r="AF3511" s="467">
        <v>0</v>
      </c>
      <c r="AG3511" s="468">
        <v>0</v>
      </c>
      <c r="AH3511" s="218">
        <v>0</v>
      </c>
      <c r="AI3511" s="470">
        <v>0</v>
      </c>
      <c r="AJ3511" s="471">
        <v>0</v>
      </c>
      <c r="AK3511" s="218">
        <v>0</v>
      </c>
      <c r="AL3511" s="470">
        <v>0</v>
      </c>
      <c r="AM3511" s="471">
        <v>0</v>
      </c>
      <c r="AN3511" s="477">
        <v>32.560840118986491</v>
      </c>
      <c r="AO3511" s="473">
        <v>7.0743228648915205E-3</v>
      </c>
      <c r="AP3511" s="474">
        <v>2.418797554286551E-3</v>
      </c>
      <c r="AQ3511" s="352"/>
      <c r="AR3511" s="352"/>
      <c r="AS3511" s="352"/>
      <c r="AT3511" s="352"/>
      <c r="AU3511" s="352"/>
      <c r="AV3511" s="352"/>
      <c r="AW3511" s="352" t="s">
        <v>254</v>
      </c>
    </row>
    <row r="3512" spans="2:49" x14ac:dyDescent="0.2">
      <c r="B3512" s="460" t="s">
        <v>3407</v>
      </c>
      <c r="C3512" s="460">
        <v>6000</v>
      </c>
      <c r="D3512" s="460" t="s">
        <v>2311</v>
      </c>
      <c r="E3512" s="460" t="s">
        <v>2299</v>
      </c>
      <c r="F3512" s="460">
        <v>2</v>
      </c>
      <c r="G3512" s="460">
        <v>2</v>
      </c>
      <c r="H3512" s="461" t="s">
        <v>746</v>
      </c>
      <c r="I3512" s="461" t="s">
        <v>762</v>
      </c>
      <c r="J3512" s="461" t="s">
        <v>700</v>
      </c>
      <c r="K3512" s="594"/>
      <c r="L3512" s="594"/>
      <c r="M3512" s="352">
        <v>6000</v>
      </c>
      <c r="N3512" s="352" t="s">
        <v>871</v>
      </c>
      <c r="O3512" s="460">
        <v>5121</v>
      </c>
      <c r="P3512" s="460" t="s">
        <v>785</v>
      </c>
      <c r="Q3512" s="460" t="s">
        <v>2553</v>
      </c>
      <c r="R3512" s="460">
        <v>5121</v>
      </c>
      <c r="S3512" s="460" t="s">
        <v>2296</v>
      </c>
      <c r="T3512" s="462">
        <v>0.55517361979372948</v>
      </c>
      <c r="U3512" s="460" t="s">
        <v>2299</v>
      </c>
      <c r="V3512" s="475">
        <v>0</v>
      </c>
      <c r="W3512" s="463" t="s">
        <v>2268</v>
      </c>
      <c r="X3512" s="463" t="s">
        <v>2268</v>
      </c>
      <c r="Y3512" s="463" t="s">
        <v>2554</v>
      </c>
      <c r="Z3512" s="463"/>
      <c r="AA3512" s="463"/>
      <c r="AB3512" s="464">
        <v>0</v>
      </c>
      <c r="AC3512" s="465">
        <v>0</v>
      </c>
      <c r="AD3512" s="465">
        <v>0</v>
      </c>
      <c r="AE3512" s="476">
        <v>0</v>
      </c>
      <c r="AF3512" s="467">
        <v>0</v>
      </c>
      <c r="AG3512" s="468">
        <v>0</v>
      </c>
      <c r="AH3512" s="218">
        <v>0</v>
      </c>
      <c r="AI3512" s="470">
        <v>0</v>
      </c>
      <c r="AJ3512" s="471">
        <v>0</v>
      </c>
      <c r="AK3512" s="218">
        <v>0</v>
      </c>
      <c r="AL3512" s="470">
        <v>0</v>
      </c>
      <c r="AM3512" s="471">
        <v>0</v>
      </c>
      <c r="AN3512" s="477">
        <v>15.130293965795184</v>
      </c>
      <c r="AO3512" s="473">
        <v>3.9274774324913721E-3</v>
      </c>
      <c r="AP3512" s="474">
        <v>4.7935578318259835E-3</v>
      </c>
      <c r="AQ3512" s="352"/>
      <c r="AR3512" s="352"/>
      <c r="AS3512" s="352"/>
      <c r="AT3512" s="352"/>
      <c r="AU3512" s="352"/>
      <c r="AV3512" s="352"/>
      <c r="AW3512" s="352" t="s">
        <v>254</v>
      </c>
    </row>
    <row r="3513" spans="2:49" x14ac:dyDescent="0.2">
      <c r="B3513" s="460" t="s">
        <v>3408</v>
      </c>
      <c r="C3513" s="460">
        <v>6000</v>
      </c>
      <c r="D3513" s="460" t="s">
        <v>2312</v>
      </c>
      <c r="E3513" s="460" t="s">
        <v>2302</v>
      </c>
      <c r="F3513" s="460">
        <v>3</v>
      </c>
      <c r="G3513" s="460">
        <v>2</v>
      </c>
      <c r="H3513" s="461" t="s">
        <v>746</v>
      </c>
      <c r="I3513" s="461" t="s">
        <v>762</v>
      </c>
      <c r="J3513" s="461" t="s">
        <v>700</v>
      </c>
      <c r="K3513" s="594"/>
      <c r="L3513" s="594"/>
      <c r="M3513" s="352">
        <v>6000</v>
      </c>
      <c r="N3513" s="352" t="s">
        <v>871</v>
      </c>
      <c r="O3513" s="460">
        <v>5121</v>
      </c>
      <c r="P3513" s="460" t="s">
        <v>785</v>
      </c>
      <c r="Q3513" s="460" t="s">
        <v>2553</v>
      </c>
      <c r="R3513" s="460">
        <v>5121</v>
      </c>
      <c r="S3513" s="460" t="s">
        <v>2296</v>
      </c>
      <c r="T3513" s="462">
        <v>0.28481449642268464</v>
      </c>
      <c r="U3513" s="460" t="s">
        <v>2302</v>
      </c>
      <c r="V3513" s="475">
        <v>0</v>
      </c>
      <c r="W3513" s="463" t="s">
        <v>2268</v>
      </c>
      <c r="X3513" s="463" t="s">
        <v>2268</v>
      </c>
      <c r="Y3513" s="463" t="s">
        <v>2554</v>
      </c>
      <c r="Z3513" s="463"/>
      <c r="AA3513" s="463"/>
      <c r="AB3513" s="464">
        <v>0</v>
      </c>
      <c r="AC3513" s="465">
        <v>0</v>
      </c>
      <c r="AD3513" s="465">
        <v>0</v>
      </c>
      <c r="AE3513" s="476">
        <v>0</v>
      </c>
      <c r="AF3513" s="467">
        <v>0</v>
      </c>
      <c r="AG3513" s="468">
        <v>0</v>
      </c>
      <c r="AH3513" s="218">
        <v>0</v>
      </c>
      <c r="AI3513" s="470">
        <v>0</v>
      </c>
      <c r="AJ3513" s="471">
        <v>0</v>
      </c>
      <c r="AK3513" s="218">
        <v>0</v>
      </c>
      <c r="AL3513" s="470">
        <v>0</v>
      </c>
      <c r="AM3513" s="471">
        <v>0</v>
      </c>
      <c r="AN3513" s="477">
        <v>1.7265389036697303</v>
      </c>
      <c r="AO3513" s="473">
        <v>2.0148697042955623E-3</v>
      </c>
      <c r="AP3513" s="474">
        <v>2.2745871697053117E-3</v>
      </c>
      <c r="AQ3513" s="352"/>
      <c r="AR3513" s="352"/>
      <c r="AS3513" s="352"/>
      <c r="AT3513" s="352"/>
      <c r="AU3513" s="352"/>
      <c r="AV3513" s="352"/>
      <c r="AW3513" s="352" t="s">
        <v>254</v>
      </c>
    </row>
    <row r="3514" spans="2:49" x14ac:dyDescent="0.2">
      <c r="B3514" s="460" t="s">
        <v>3409</v>
      </c>
      <c r="C3514" s="460">
        <v>6000</v>
      </c>
      <c r="D3514" s="460" t="s">
        <v>2313</v>
      </c>
      <c r="E3514" s="460" t="s">
        <v>2305</v>
      </c>
      <c r="F3514" s="460">
        <v>4</v>
      </c>
      <c r="G3514" s="460">
        <v>2</v>
      </c>
      <c r="H3514" s="461" t="s">
        <v>746</v>
      </c>
      <c r="I3514" s="461" t="s">
        <v>762</v>
      </c>
      <c r="J3514" s="461" t="s">
        <v>700</v>
      </c>
      <c r="K3514" s="594"/>
      <c r="L3514" s="594"/>
      <c r="M3514" s="352">
        <v>6000</v>
      </c>
      <c r="N3514" s="352" t="s">
        <v>871</v>
      </c>
      <c r="O3514" s="460">
        <v>5121</v>
      </c>
      <c r="P3514" s="460" t="s">
        <v>785</v>
      </c>
      <c r="Q3514" s="460" t="s">
        <v>2553</v>
      </c>
      <c r="R3514" s="460">
        <v>5121</v>
      </c>
      <c r="S3514" s="460" t="s">
        <v>2305</v>
      </c>
      <c r="T3514" s="462">
        <v>1</v>
      </c>
      <c r="U3514" s="460" t="s">
        <v>2305</v>
      </c>
      <c r="V3514" s="475">
        <v>0</v>
      </c>
      <c r="W3514" s="463" t="s">
        <v>2268</v>
      </c>
      <c r="X3514" s="463" t="s">
        <v>2268</v>
      </c>
      <c r="Y3514" s="463" t="s">
        <v>2554</v>
      </c>
      <c r="Z3514" s="463"/>
      <c r="AA3514" s="463"/>
      <c r="AB3514" s="464">
        <v>0</v>
      </c>
      <c r="AC3514" s="465">
        <v>0</v>
      </c>
      <c r="AD3514" s="465">
        <v>0</v>
      </c>
      <c r="AE3514" s="476">
        <v>0</v>
      </c>
      <c r="AF3514" s="467">
        <v>0</v>
      </c>
      <c r="AG3514" s="468">
        <v>0</v>
      </c>
      <c r="AH3514" s="218">
        <v>0</v>
      </c>
      <c r="AI3514" s="470">
        <v>0</v>
      </c>
      <c r="AJ3514" s="471">
        <v>0</v>
      </c>
      <c r="AK3514" s="218">
        <v>0</v>
      </c>
      <c r="AL3514" s="470">
        <v>0</v>
      </c>
      <c r="AM3514" s="471">
        <v>0</v>
      </c>
      <c r="AN3514" s="477">
        <v>2.4023312751743759E-2</v>
      </c>
      <c r="AO3514" s="473">
        <v>2.468522178778123E-5</v>
      </c>
      <c r="AP3514" s="474">
        <v>2.3447837818197617E-3</v>
      </c>
      <c r="AQ3514" s="352"/>
      <c r="AR3514" s="352"/>
      <c r="AS3514" s="352"/>
      <c r="AT3514" s="352"/>
      <c r="AU3514" s="352"/>
      <c r="AV3514" s="352"/>
      <c r="AW3514" s="352" t="s">
        <v>254</v>
      </c>
    </row>
    <row r="3515" spans="2:49" x14ac:dyDescent="0.2">
      <c r="B3515" s="460" t="s">
        <v>3406</v>
      </c>
      <c r="C3515" s="460">
        <v>6000</v>
      </c>
      <c r="D3515" s="460" t="s">
        <v>2314</v>
      </c>
      <c r="E3515" s="460" t="s">
        <v>2296</v>
      </c>
      <c r="F3515" s="460">
        <v>1</v>
      </c>
      <c r="G3515" s="460">
        <v>2</v>
      </c>
      <c r="H3515" s="461" t="s">
        <v>748</v>
      </c>
      <c r="I3515" s="461" t="s">
        <v>765</v>
      </c>
      <c r="J3515" s="461" t="s">
        <v>700</v>
      </c>
      <c r="K3515" s="594"/>
      <c r="L3515" s="594"/>
      <c r="M3515" s="352">
        <v>6000</v>
      </c>
      <c r="N3515" s="352" t="s">
        <v>871</v>
      </c>
      <c r="O3515" s="460">
        <v>5121</v>
      </c>
      <c r="P3515" s="460" t="s">
        <v>785</v>
      </c>
      <c r="Q3515" s="460" t="s">
        <v>2553</v>
      </c>
      <c r="R3515" s="460">
        <v>5121</v>
      </c>
      <c r="S3515" s="460" t="s">
        <v>2296</v>
      </c>
      <c r="T3515" s="462">
        <v>1</v>
      </c>
      <c r="U3515" s="460" t="s">
        <v>2296</v>
      </c>
      <c r="V3515" s="475">
        <v>0</v>
      </c>
      <c r="W3515" s="463" t="s">
        <v>2268</v>
      </c>
      <c r="X3515" s="463" t="s">
        <v>2268</v>
      </c>
      <c r="Y3515" s="463" t="s">
        <v>2554</v>
      </c>
      <c r="Z3515" s="463"/>
      <c r="AA3515" s="463"/>
      <c r="AB3515" s="464">
        <v>0</v>
      </c>
      <c r="AC3515" s="465">
        <v>0</v>
      </c>
      <c r="AD3515" s="465">
        <v>0</v>
      </c>
      <c r="AE3515" s="476">
        <v>0</v>
      </c>
      <c r="AF3515" s="467">
        <v>0</v>
      </c>
      <c r="AG3515" s="468">
        <v>0</v>
      </c>
      <c r="AH3515" s="218">
        <v>0</v>
      </c>
      <c r="AI3515" s="470">
        <v>0</v>
      </c>
      <c r="AJ3515" s="471">
        <v>0</v>
      </c>
      <c r="AK3515" s="218">
        <v>0</v>
      </c>
      <c r="AL3515" s="470">
        <v>0</v>
      </c>
      <c r="AM3515" s="471">
        <v>0</v>
      </c>
      <c r="AN3515" s="477">
        <v>8.1402100297466333</v>
      </c>
      <c r="AO3515" s="473">
        <v>1.7685807162228821E-3</v>
      </c>
      <c r="AP3515" s="474">
        <v>2.4867226630463412E-3</v>
      </c>
      <c r="AQ3515" s="352"/>
      <c r="AR3515" s="352"/>
      <c r="AS3515" s="352"/>
      <c r="AT3515" s="352"/>
      <c r="AU3515" s="352"/>
      <c r="AV3515" s="352"/>
      <c r="AW3515" s="352" t="s">
        <v>254</v>
      </c>
    </row>
    <row r="3516" spans="2:49" x14ac:dyDescent="0.2">
      <c r="B3516" s="460" t="s">
        <v>3407</v>
      </c>
      <c r="C3516" s="460">
        <v>6000</v>
      </c>
      <c r="D3516" s="460" t="s">
        <v>2315</v>
      </c>
      <c r="E3516" s="460" t="s">
        <v>2299</v>
      </c>
      <c r="F3516" s="460">
        <v>2</v>
      </c>
      <c r="G3516" s="460">
        <v>2</v>
      </c>
      <c r="H3516" s="461" t="s">
        <v>748</v>
      </c>
      <c r="I3516" s="461" t="s">
        <v>765</v>
      </c>
      <c r="J3516" s="461" t="s">
        <v>700</v>
      </c>
      <c r="K3516" s="594"/>
      <c r="L3516" s="594"/>
      <c r="M3516" s="352">
        <v>6000</v>
      </c>
      <c r="N3516" s="352" t="s">
        <v>871</v>
      </c>
      <c r="O3516" s="460">
        <v>5121</v>
      </c>
      <c r="P3516" s="460" t="s">
        <v>785</v>
      </c>
      <c r="Q3516" s="460" t="s">
        <v>2553</v>
      </c>
      <c r="R3516" s="460">
        <v>5121</v>
      </c>
      <c r="S3516" s="460" t="s">
        <v>2296</v>
      </c>
      <c r="T3516" s="462">
        <v>0.55517361979372948</v>
      </c>
      <c r="U3516" s="460" t="s">
        <v>2299</v>
      </c>
      <c r="V3516" s="475">
        <v>0</v>
      </c>
      <c r="W3516" s="463" t="s">
        <v>2268</v>
      </c>
      <c r="X3516" s="463" t="s">
        <v>2268</v>
      </c>
      <c r="Y3516" s="463" t="s">
        <v>2554</v>
      </c>
      <c r="Z3516" s="463"/>
      <c r="AA3516" s="463"/>
      <c r="AB3516" s="464">
        <v>0</v>
      </c>
      <c r="AC3516" s="465">
        <v>0</v>
      </c>
      <c r="AD3516" s="465">
        <v>0</v>
      </c>
      <c r="AE3516" s="476">
        <v>0</v>
      </c>
      <c r="AF3516" s="467">
        <v>0</v>
      </c>
      <c r="AG3516" s="468">
        <v>0</v>
      </c>
      <c r="AH3516" s="218">
        <v>0</v>
      </c>
      <c r="AI3516" s="470">
        <v>0</v>
      </c>
      <c r="AJ3516" s="471">
        <v>0</v>
      </c>
      <c r="AK3516" s="218">
        <v>0</v>
      </c>
      <c r="AL3516" s="470">
        <v>0</v>
      </c>
      <c r="AM3516" s="471">
        <v>0</v>
      </c>
      <c r="AN3516" s="477">
        <v>3.7825734914488001</v>
      </c>
      <c r="AO3516" s="473">
        <v>9.8186935812284411E-4</v>
      </c>
      <c r="AP3516" s="474">
        <v>3.5044866551539357E-3</v>
      </c>
      <c r="AQ3516" s="352"/>
      <c r="AR3516" s="352"/>
      <c r="AS3516" s="352"/>
      <c r="AT3516" s="352"/>
      <c r="AU3516" s="352"/>
      <c r="AV3516" s="352"/>
      <c r="AW3516" s="352" t="s">
        <v>254</v>
      </c>
    </row>
    <row r="3517" spans="2:49" x14ac:dyDescent="0.2">
      <c r="B3517" s="460" t="s">
        <v>3408</v>
      </c>
      <c r="C3517" s="460">
        <v>6000</v>
      </c>
      <c r="D3517" s="460" t="s">
        <v>2316</v>
      </c>
      <c r="E3517" s="460" t="s">
        <v>2302</v>
      </c>
      <c r="F3517" s="460">
        <v>3</v>
      </c>
      <c r="G3517" s="460">
        <v>2</v>
      </c>
      <c r="H3517" s="461" t="s">
        <v>748</v>
      </c>
      <c r="I3517" s="461" t="s">
        <v>765</v>
      </c>
      <c r="J3517" s="461" t="s">
        <v>700</v>
      </c>
      <c r="K3517" s="594"/>
      <c r="L3517" s="594"/>
      <c r="M3517" s="352">
        <v>6000</v>
      </c>
      <c r="N3517" s="352" t="s">
        <v>871</v>
      </c>
      <c r="O3517" s="460">
        <v>5121</v>
      </c>
      <c r="P3517" s="460" t="s">
        <v>785</v>
      </c>
      <c r="Q3517" s="460" t="s">
        <v>2553</v>
      </c>
      <c r="R3517" s="460">
        <v>5121</v>
      </c>
      <c r="S3517" s="460" t="s">
        <v>2296</v>
      </c>
      <c r="T3517" s="462">
        <v>0.28481449642268464</v>
      </c>
      <c r="U3517" s="460" t="s">
        <v>2302</v>
      </c>
      <c r="V3517" s="475">
        <v>0</v>
      </c>
      <c r="W3517" s="463" t="s">
        <v>2268</v>
      </c>
      <c r="X3517" s="463" t="s">
        <v>2268</v>
      </c>
      <c r="Y3517" s="463" t="s">
        <v>2554</v>
      </c>
      <c r="Z3517" s="463"/>
      <c r="AA3517" s="463"/>
      <c r="AB3517" s="464">
        <v>0</v>
      </c>
      <c r="AC3517" s="465">
        <v>0</v>
      </c>
      <c r="AD3517" s="465">
        <v>0</v>
      </c>
      <c r="AE3517" s="476">
        <v>0</v>
      </c>
      <c r="AF3517" s="467">
        <v>0</v>
      </c>
      <c r="AG3517" s="468">
        <v>0</v>
      </c>
      <c r="AH3517" s="218">
        <v>0</v>
      </c>
      <c r="AI3517" s="470">
        <v>0</v>
      </c>
      <c r="AJ3517" s="471">
        <v>0</v>
      </c>
      <c r="AK3517" s="218">
        <v>0</v>
      </c>
      <c r="AL3517" s="470">
        <v>0</v>
      </c>
      <c r="AM3517" s="471">
        <v>0</v>
      </c>
      <c r="AN3517" s="477">
        <v>0.43163472591743302</v>
      </c>
      <c r="AO3517" s="473">
        <v>5.0371742607389111E-4</v>
      </c>
      <c r="AP3517" s="474">
        <v>1.8469363301224784E-3</v>
      </c>
      <c r="AQ3517" s="352"/>
      <c r="AR3517" s="352"/>
      <c r="AS3517" s="352"/>
      <c r="AT3517" s="352"/>
      <c r="AU3517" s="352"/>
      <c r="AV3517" s="352"/>
      <c r="AW3517" s="352" t="s">
        <v>254</v>
      </c>
    </row>
    <row r="3518" spans="2:49" x14ac:dyDescent="0.2">
      <c r="B3518" s="460" t="s">
        <v>3409</v>
      </c>
      <c r="C3518" s="460">
        <v>6000</v>
      </c>
      <c r="D3518" s="460" t="s">
        <v>2317</v>
      </c>
      <c r="E3518" s="460" t="s">
        <v>2305</v>
      </c>
      <c r="F3518" s="460">
        <v>4</v>
      </c>
      <c r="G3518" s="460">
        <v>2</v>
      </c>
      <c r="H3518" s="461" t="s">
        <v>748</v>
      </c>
      <c r="I3518" s="461" t="s">
        <v>765</v>
      </c>
      <c r="J3518" s="461" t="s">
        <v>700</v>
      </c>
      <c r="K3518" s="594"/>
      <c r="L3518" s="594"/>
      <c r="M3518" s="352">
        <v>6000</v>
      </c>
      <c r="N3518" s="352" t="s">
        <v>871</v>
      </c>
      <c r="O3518" s="460">
        <v>5121</v>
      </c>
      <c r="P3518" s="460" t="s">
        <v>785</v>
      </c>
      <c r="Q3518" s="460" t="s">
        <v>2553</v>
      </c>
      <c r="R3518" s="460">
        <v>5121</v>
      </c>
      <c r="S3518" s="460" t="s">
        <v>2305</v>
      </c>
      <c r="T3518" s="462">
        <v>1</v>
      </c>
      <c r="U3518" s="460" t="s">
        <v>2305</v>
      </c>
      <c r="V3518" s="475">
        <v>0</v>
      </c>
      <c r="W3518" s="463" t="s">
        <v>2268</v>
      </c>
      <c r="X3518" s="463" t="s">
        <v>2268</v>
      </c>
      <c r="Y3518" s="463" t="s">
        <v>2554</v>
      </c>
      <c r="Z3518" s="463"/>
      <c r="AA3518" s="463"/>
      <c r="AB3518" s="464">
        <v>0</v>
      </c>
      <c r="AC3518" s="465">
        <v>0</v>
      </c>
      <c r="AD3518" s="465">
        <v>0</v>
      </c>
      <c r="AE3518" s="476">
        <v>0</v>
      </c>
      <c r="AF3518" s="467">
        <v>0</v>
      </c>
      <c r="AG3518" s="468">
        <v>0</v>
      </c>
      <c r="AH3518" s="218">
        <v>0</v>
      </c>
      <c r="AI3518" s="470">
        <v>0</v>
      </c>
      <c r="AJ3518" s="471">
        <v>0</v>
      </c>
      <c r="AK3518" s="218">
        <v>0</v>
      </c>
      <c r="AL3518" s="470">
        <v>0</v>
      </c>
      <c r="AM3518" s="471">
        <v>0</v>
      </c>
      <c r="AN3518" s="477">
        <v>6.0058281879359467E-3</v>
      </c>
      <c r="AO3518" s="473">
        <v>6.1713054469453143E-6</v>
      </c>
      <c r="AP3518" s="474">
        <v>4.9049295897132692E-3</v>
      </c>
      <c r="AQ3518" s="352"/>
      <c r="AR3518" s="352"/>
      <c r="AS3518" s="352"/>
      <c r="AT3518" s="352"/>
      <c r="AU3518" s="352"/>
      <c r="AV3518" s="352"/>
      <c r="AW3518" s="352" t="s">
        <v>254</v>
      </c>
    </row>
    <row r="3519" spans="2:49" x14ac:dyDescent="0.2">
      <c r="B3519" s="460" t="s">
        <v>3410</v>
      </c>
      <c r="C3519" s="460">
        <v>6000</v>
      </c>
      <c r="D3519" s="460" t="s">
        <v>2323</v>
      </c>
      <c r="E3519" s="460" t="s">
        <v>2324</v>
      </c>
      <c r="F3519" s="460">
        <v>1</v>
      </c>
      <c r="G3519" s="460">
        <v>3</v>
      </c>
      <c r="H3519" s="461" t="s">
        <v>700</v>
      </c>
      <c r="I3519" s="461" t="s">
        <v>872</v>
      </c>
      <c r="J3519" s="461" t="s">
        <v>700</v>
      </c>
      <c r="K3519" s="594"/>
      <c r="L3519" s="594"/>
      <c r="M3519" s="352">
        <v>6000</v>
      </c>
      <c r="N3519" s="352" t="s">
        <v>871</v>
      </c>
      <c r="O3519" s="460">
        <v>5121</v>
      </c>
      <c r="P3519" s="460" t="s">
        <v>785</v>
      </c>
      <c r="Q3519" s="460" t="s">
        <v>2553</v>
      </c>
      <c r="R3519" s="460">
        <v>5121</v>
      </c>
      <c r="S3519" s="460" t="s">
        <v>2324</v>
      </c>
      <c r="T3519" s="462">
        <v>1</v>
      </c>
      <c r="U3519" s="460" t="s">
        <v>2324</v>
      </c>
      <c r="V3519" s="475">
        <v>0</v>
      </c>
      <c r="W3519" s="463" t="s">
        <v>2554</v>
      </c>
      <c r="X3519" s="463" t="s">
        <v>2554</v>
      </c>
      <c r="Y3519" s="463" t="s">
        <v>2268</v>
      </c>
      <c r="Z3519" s="463"/>
      <c r="AA3519" s="463"/>
      <c r="AB3519" s="464">
        <v>699.89783639847326</v>
      </c>
      <c r="AC3519" s="465">
        <v>4.4451235880540313E-2</v>
      </c>
      <c r="AD3519" s="465">
        <v>5.9999999999999984E-3</v>
      </c>
      <c r="AE3519" s="476">
        <v>174.97445909961831</v>
      </c>
      <c r="AF3519" s="467">
        <v>1.1112808970135078E-2</v>
      </c>
      <c r="AG3519" s="468">
        <v>1.6067971586262626E-3</v>
      </c>
      <c r="AH3519" s="218">
        <v>174.97445909961831</v>
      </c>
      <c r="AI3519" s="470">
        <v>1.1112808970135078E-2</v>
      </c>
      <c r="AJ3519" s="471">
        <v>1.5343873949402996E-3</v>
      </c>
      <c r="AK3519" s="218">
        <v>174.97445909961831</v>
      </c>
      <c r="AL3519" s="470">
        <v>1.1112808970135078E-2</v>
      </c>
      <c r="AM3519" s="471">
        <v>1.5343873949402996E-3</v>
      </c>
      <c r="AN3519" s="477">
        <v>0</v>
      </c>
      <c r="AO3519" s="473">
        <v>0</v>
      </c>
      <c r="AP3519" s="474">
        <v>0</v>
      </c>
      <c r="AQ3519" s="352"/>
      <c r="AR3519" s="352"/>
      <c r="AS3519" s="352"/>
      <c r="AT3519" s="352"/>
      <c r="AU3519" s="352"/>
      <c r="AV3519" s="352"/>
      <c r="AW3519" s="352" t="s">
        <v>254</v>
      </c>
    </row>
    <row r="3520" spans="2:49" x14ac:dyDescent="0.2">
      <c r="B3520" s="460" t="s">
        <v>3411</v>
      </c>
      <c r="C3520" s="460">
        <v>6000</v>
      </c>
      <c r="D3520" s="460" t="s">
        <v>2326</v>
      </c>
      <c r="E3520" s="460" t="s">
        <v>2327</v>
      </c>
      <c r="F3520" s="460">
        <v>2</v>
      </c>
      <c r="G3520" s="460">
        <v>3</v>
      </c>
      <c r="H3520" s="461" t="s">
        <v>700</v>
      </c>
      <c r="I3520" s="461" t="s">
        <v>872</v>
      </c>
      <c r="J3520" s="461" t="s">
        <v>700</v>
      </c>
      <c r="K3520" s="594"/>
      <c r="L3520" s="594"/>
      <c r="M3520" s="352">
        <v>6000</v>
      </c>
      <c r="N3520" s="352" t="s">
        <v>871</v>
      </c>
      <c r="O3520" s="460">
        <v>5121</v>
      </c>
      <c r="P3520" s="460" t="s">
        <v>785</v>
      </c>
      <c r="Q3520" s="460" t="s">
        <v>2553</v>
      </c>
      <c r="R3520" s="460">
        <v>5121</v>
      </c>
      <c r="S3520" s="460" t="s">
        <v>2324</v>
      </c>
      <c r="T3520" s="462">
        <v>1</v>
      </c>
      <c r="U3520" s="460" t="s">
        <v>2327</v>
      </c>
      <c r="V3520" s="475">
        <v>0</v>
      </c>
      <c r="W3520" s="463" t="s">
        <v>2554</v>
      </c>
      <c r="X3520" s="463" t="s">
        <v>2554</v>
      </c>
      <c r="Y3520" s="463" t="s">
        <v>2268</v>
      </c>
      <c r="Z3520" s="463"/>
      <c r="AA3520" s="463"/>
      <c r="AB3520" s="464">
        <v>406.23384552586703</v>
      </c>
      <c r="AC3520" s="465">
        <v>2.8715323547845142E-2</v>
      </c>
      <c r="AD3520" s="465">
        <v>6.0000000000000001E-3</v>
      </c>
      <c r="AE3520" s="476">
        <v>101.55846138146676</v>
      </c>
      <c r="AF3520" s="467">
        <v>7.1788308869612854E-3</v>
      </c>
      <c r="AG3520" s="468">
        <v>1.6246662131012728E-3</v>
      </c>
      <c r="AH3520" s="218">
        <v>157.21219769683191</v>
      </c>
      <c r="AI3520" s="470">
        <v>1.1112808970135078E-2</v>
      </c>
      <c r="AJ3520" s="471">
        <v>2.1165778281231275E-3</v>
      </c>
      <c r="AK3520" s="218">
        <v>157.21219769683191</v>
      </c>
      <c r="AL3520" s="470">
        <v>1.1112808970135078E-2</v>
      </c>
      <c r="AM3520" s="471">
        <v>2.1165778281231275E-3</v>
      </c>
      <c r="AN3520" s="477">
        <v>0</v>
      </c>
      <c r="AO3520" s="473">
        <v>0</v>
      </c>
      <c r="AP3520" s="474">
        <v>0</v>
      </c>
      <c r="AQ3520" s="352"/>
      <c r="AR3520" s="352"/>
      <c r="AS3520" s="352"/>
      <c r="AT3520" s="352"/>
      <c r="AU3520" s="352"/>
      <c r="AV3520" s="352"/>
      <c r="AW3520" s="352" t="s">
        <v>254</v>
      </c>
    </row>
    <row r="3521" spans="2:49" x14ac:dyDescent="0.2">
      <c r="B3521" s="460" t="s">
        <v>3412</v>
      </c>
      <c r="C3521" s="460">
        <v>6000</v>
      </c>
      <c r="D3521" s="460" t="s">
        <v>2329</v>
      </c>
      <c r="E3521" s="460" t="s">
        <v>2330</v>
      </c>
      <c r="F3521" s="460">
        <v>3</v>
      </c>
      <c r="G3521" s="460">
        <v>3</v>
      </c>
      <c r="H3521" s="461" t="s">
        <v>700</v>
      </c>
      <c r="I3521" s="461" t="s">
        <v>872</v>
      </c>
      <c r="J3521" s="461" t="s">
        <v>700</v>
      </c>
      <c r="K3521" s="594"/>
      <c r="L3521" s="594"/>
      <c r="M3521" s="352">
        <v>6000</v>
      </c>
      <c r="N3521" s="352" t="s">
        <v>871</v>
      </c>
      <c r="O3521" s="460">
        <v>5121</v>
      </c>
      <c r="P3521" s="460" t="s">
        <v>785</v>
      </c>
      <c r="Q3521" s="460" t="s">
        <v>2553</v>
      </c>
      <c r="R3521" s="460">
        <v>5121</v>
      </c>
      <c r="S3521" s="460" t="s">
        <v>2324</v>
      </c>
      <c r="T3521" s="462">
        <v>1</v>
      </c>
      <c r="U3521" s="460" t="s">
        <v>2330</v>
      </c>
      <c r="V3521" s="475">
        <v>0</v>
      </c>
      <c r="W3521" s="463" t="s">
        <v>2554</v>
      </c>
      <c r="X3521" s="463" t="s">
        <v>2554</v>
      </c>
      <c r="Y3521" s="463" t="s">
        <v>2268</v>
      </c>
      <c r="Z3521" s="463"/>
      <c r="AA3521" s="463"/>
      <c r="AB3521" s="464">
        <v>158.89321004770295</v>
      </c>
      <c r="AC3521" s="465">
        <v>5.9716024000966796E-2</v>
      </c>
      <c r="AD3521" s="465">
        <v>6.0000000000000001E-3</v>
      </c>
      <c r="AE3521" s="476">
        <v>39.723302511925738</v>
      </c>
      <c r="AF3521" s="467">
        <v>1.4929006000241699E-2</v>
      </c>
      <c r="AG3521" s="468">
        <v>1.607644236257972E-3</v>
      </c>
      <c r="AH3521" s="218">
        <v>39.723302511925738</v>
      </c>
      <c r="AI3521" s="470">
        <v>1.4929006000241699E-2</v>
      </c>
      <c r="AJ3521" s="471">
        <v>1.399545180674063E-3</v>
      </c>
      <c r="AK3521" s="218">
        <v>39.723302511925738</v>
      </c>
      <c r="AL3521" s="470">
        <v>1.4929006000241699E-2</v>
      </c>
      <c r="AM3521" s="471">
        <v>1.399545180674063E-3</v>
      </c>
      <c r="AN3521" s="477">
        <v>0</v>
      </c>
      <c r="AO3521" s="473">
        <v>0</v>
      </c>
      <c r="AP3521" s="474">
        <v>0</v>
      </c>
      <c r="AQ3521" s="352"/>
      <c r="AR3521" s="352"/>
      <c r="AS3521" s="352"/>
      <c r="AT3521" s="352"/>
      <c r="AU3521" s="352"/>
      <c r="AV3521" s="352"/>
      <c r="AW3521" s="352" t="s">
        <v>254</v>
      </c>
    </row>
    <row r="3522" spans="2:49" x14ac:dyDescent="0.2">
      <c r="B3522" s="460" t="s">
        <v>3413</v>
      </c>
      <c r="C3522" s="460">
        <v>6000</v>
      </c>
      <c r="D3522" s="460" t="s">
        <v>2332</v>
      </c>
      <c r="E3522" s="460" t="s">
        <v>2333</v>
      </c>
      <c r="F3522" s="460">
        <v>4</v>
      </c>
      <c r="G3522" s="460">
        <v>3</v>
      </c>
      <c r="H3522" s="461" t="s">
        <v>700</v>
      </c>
      <c r="I3522" s="461" t="s">
        <v>872</v>
      </c>
      <c r="J3522" s="461" t="s">
        <v>700</v>
      </c>
      <c r="K3522" s="594"/>
      <c r="L3522" s="594"/>
      <c r="M3522" s="352">
        <v>6000</v>
      </c>
      <c r="N3522" s="352" t="s">
        <v>871</v>
      </c>
      <c r="O3522" s="460">
        <v>5121</v>
      </c>
      <c r="P3522" s="460" t="s">
        <v>785</v>
      </c>
      <c r="Q3522" s="460" t="s">
        <v>2553</v>
      </c>
      <c r="R3522" s="460">
        <v>5121</v>
      </c>
      <c r="S3522" s="460" t="s">
        <v>2333</v>
      </c>
      <c r="T3522" s="462">
        <v>1</v>
      </c>
      <c r="U3522" s="460" t="s">
        <v>2333</v>
      </c>
      <c r="V3522" s="475">
        <v>0</v>
      </c>
      <c r="W3522" s="463" t="s">
        <v>2554</v>
      </c>
      <c r="X3522" s="463" t="s">
        <v>2554</v>
      </c>
      <c r="Y3522" s="463" t="s">
        <v>2268</v>
      </c>
      <c r="Z3522" s="463"/>
      <c r="AA3522" s="463"/>
      <c r="AB3522" s="464">
        <v>86.996179310085893</v>
      </c>
      <c r="AC3522" s="465">
        <v>3.1716360896453528E-2</v>
      </c>
      <c r="AD3522" s="465">
        <v>6.000000000000001E-3</v>
      </c>
      <c r="AE3522" s="476">
        <v>21.749044827521473</v>
      </c>
      <c r="AF3522" s="467">
        <v>7.9290902241133821E-3</v>
      </c>
      <c r="AG3522" s="468">
        <v>1.6554402611637844E-3</v>
      </c>
      <c r="AH3522" s="218">
        <v>21.749044827521473</v>
      </c>
      <c r="AI3522" s="470">
        <v>7.9290902241133821E-3</v>
      </c>
      <c r="AJ3522" s="471">
        <v>1.6039142108041026E-3</v>
      </c>
      <c r="AK3522" s="218">
        <v>21.749044827521473</v>
      </c>
      <c r="AL3522" s="470">
        <v>7.9290902241133821E-3</v>
      </c>
      <c r="AM3522" s="471">
        <v>1.6039142108041026E-3</v>
      </c>
      <c r="AN3522" s="477">
        <v>0</v>
      </c>
      <c r="AO3522" s="473">
        <v>0</v>
      </c>
      <c r="AP3522" s="474">
        <v>0</v>
      </c>
      <c r="AQ3522" s="352"/>
      <c r="AR3522" s="352"/>
      <c r="AS3522" s="352"/>
      <c r="AT3522" s="352"/>
      <c r="AU3522" s="352"/>
      <c r="AV3522" s="352"/>
      <c r="AW3522" s="352" t="s">
        <v>254</v>
      </c>
    </row>
    <row r="3523" spans="2:49" x14ac:dyDescent="0.2">
      <c r="B3523" s="460" t="s">
        <v>3410</v>
      </c>
      <c r="C3523" s="460">
        <v>6000</v>
      </c>
      <c r="D3523" s="460" t="s">
        <v>2334</v>
      </c>
      <c r="E3523" s="460" t="s">
        <v>2324</v>
      </c>
      <c r="F3523" s="460">
        <v>1</v>
      </c>
      <c r="G3523" s="460">
        <v>3</v>
      </c>
      <c r="H3523" s="461" t="s">
        <v>712</v>
      </c>
      <c r="I3523" s="461" t="s">
        <v>713</v>
      </c>
      <c r="J3523" s="461" t="s">
        <v>712</v>
      </c>
      <c r="K3523" s="594"/>
      <c r="L3523" s="594"/>
      <c r="M3523" s="352">
        <v>6000</v>
      </c>
      <c r="N3523" s="352" t="s">
        <v>871</v>
      </c>
      <c r="O3523" s="460">
        <v>5121</v>
      </c>
      <c r="P3523" s="460" t="s">
        <v>785</v>
      </c>
      <c r="Q3523" s="460" t="s">
        <v>2280</v>
      </c>
      <c r="R3523" s="460">
        <v>5121</v>
      </c>
      <c r="S3523" s="460" t="s">
        <v>2324</v>
      </c>
      <c r="T3523" s="462">
        <v>1</v>
      </c>
      <c r="U3523" s="460" t="s">
        <v>2324</v>
      </c>
      <c r="V3523" s="475">
        <v>0</v>
      </c>
      <c r="W3523" s="463" t="s">
        <v>713</v>
      </c>
      <c r="X3523" s="463" t="s">
        <v>713</v>
      </c>
      <c r="Y3523" s="463" t="s">
        <v>713</v>
      </c>
      <c r="Z3523" s="463"/>
      <c r="AA3523" s="463"/>
      <c r="AB3523" s="464">
        <v>6179.1130590939001</v>
      </c>
      <c r="AC3523" s="465">
        <v>0.39244186485230453</v>
      </c>
      <c r="AD3523" s="465">
        <v>1.5428603254155638E-2</v>
      </c>
      <c r="AE3523" s="476">
        <v>6704.0364363927538</v>
      </c>
      <c r="AF3523" s="467">
        <v>0.42578029176270971</v>
      </c>
      <c r="AG3523" s="468">
        <v>1.6421381163382445E-2</v>
      </c>
      <c r="AH3523" s="218">
        <v>6704.0364363927538</v>
      </c>
      <c r="AI3523" s="470">
        <v>0.42578029176270971</v>
      </c>
      <c r="AJ3523" s="471">
        <v>1.6630725015377653E-2</v>
      </c>
      <c r="AK3523" s="218">
        <v>6704.0364363927538</v>
      </c>
      <c r="AL3523" s="470">
        <v>0.42578029176270971</v>
      </c>
      <c r="AM3523" s="471">
        <v>1.6630725015377653E-2</v>
      </c>
      <c r="AN3523" s="477">
        <v>6704.0364363927538</v>
      </c>
      <c r="AO3523" s="473">
        <v>0.42578029176270971</v>
      </c>
      <c r="AP3523" s="474">
        <v>1.6622631626454491E-2</v>
      </c>
      <c r="AQ3523" s="352"/>
      <c r="AR3523" s="352"/>
      <c r="AS3523" s="352"/>
      <c r="AT3523" s="352"/>
      <c r="AU3523" s="352"/>
      <c r="AV3523" s="352"/>
      <c r="AW3523" s="352" t="s">
        <v>254</v>
      </c>
    </row>
    <row r="3524" spans="2:49" x14ac:dyDescent="0.2">
      <c r="B3524" s="460" t="s">
        <v>3411</v>
      </c>
      <c r="C3524" s="460">
        <v>6000</v>
      </c>
      <c r="D3524" s="460" t="s">
        <v>2335</v>
      </c>
      <c r="E3524" s="460" t="s">
        <v>2327</v>
      </c>
      <c r="F3524" s="460">
        <v>2</v>
      </c>
      <c r="G3524" s="460">
        <v>3</v>
      </c>
      <c r="H3524" s="461" t="s">
        <v>712</v>
      </c>
      <c r="I3524" s="461" t="s">
        <v>713</v>
      </c>
      <c r="J3524" s="461" t="s">
        <v>712</v>
      </c>
      <c r="K3524" s="594"/>
      <c r="L3524" s="594"/>
      <c r="M3524" s="352">
        <v>6000</v>
      </c>
      <c r="N3524" s="352" t="s">
        <v>871</v>
      </c>
      <c r="O3524" s="460">
        <v>5121</v>
      </c>
      <c r="P3524" s="460" t="s">
        <v>785</v>
      </c>
      <c r="Q3524" s="460" t="s">
        <v>2280</v>
      </c>
      <c r="R3524" s="460">
        <v>5121</v>
      </c>
      <c r="S3524" s="460" t="s">
        <v>2324</v>
      </c>
      <c r="T3524" s="462">
        <v>1</v>
      </c>
      <c r="U3524" s="460" t="s">
        <v>2327</v>
      </c>
      <c r="V3524" s="475">
        <v>0</v>
      </c>
      <c r="W3524" s="463" t="s">
        <v>713</v>
      </c>
      <c r="X3524" s="463" t="s">
        <v>713</v>
      </c>
      <c r="Y3524" s="463" t="s">
        <v>713</v>
      </c>
      <c r="Z3524" s="463"/>
      <c r="AA3524" s="463"/>
      <c r="AB3524" s="464">
        <v>4610.7023555242949</v>
      </c>
      <c r="AC3524" s="465">
        <v>0.32591526132024712</v>
      </c>
      <c r="AD3524" s="465">
        <v>1.4766228418799618E-2</v>
      </c>
      <c r="AE3524" s="476">
        <v>4915.3777396686946</v>
      </c>
      <c r="AF3524" s="467">
        <v>0.34745175398113093</v>
      </c>
      <c r="AG3524" s="468">
        <v>1.5484346355689247E-2</v>
      </c>
      <c r="AH3524" s="218">
        <v>4859.724003353328</v>
      </c>
      <c r="AI3524" s="470">
        <v>0.34351777589795707</v>
      </c>
      <c r="AJ3524" s="471">
        <v>1.5920840129562047E-2</v>
      </c>
      <c r="AK3524" s="218">
        <v>4859.724003353328</v>
      </c>
      <c r="AL3524" s="470">
        <v>0.34351777589795707</v>
      </c>
      <c r="AM3524" s="471">
        <v>1.5920840129562047E-2</v>
      </c>
      <c r="AN3524" s="477">
        <v>4859.724003353328</v>
      </c>
      <c r="AO3524" s="473">
        <v>0.34351777589795707</v>
      </c>
      <c r="AP3524" s="474">
        <v>1.5914598144003412E-2</v>
      </c>
      <c r="AQ3524" s="352"/>
      <c r="AR3524" s="352"/>
      <c r="AS3524" s="352"/>
      <c r="AT3524" s="352"/>
      <c r="AU3524" s="352"/>
      <c r="AV3524" s="352"/>
      <c r="AW3524" s="352" t="s">
        <v>254</v>
      </c>
    </row>
    <row r="3525" spans="2:49" x14ac:dyDescent="0.2">
      <c r="B3525" s="460" t="s">
        <v>3412</v>
      </c>
      <c r="C3525" s="460">
        <v>6000</v>
      </c>
      <c r="D3525" s="460" t="s">
        <v>2336</v>
      </c>
      <c r="E3525" s="460" t="s">
        <v>2330</v>
      </c>
      <c r="F3525" s="460">
        <v>3</v>
      </c>
      <c r="G3525" s="460">
        <v>3</v>
      </c>
      <c r="H3525" s="461" t="s">
        <v>712</v>
      </c>
      <c r="I3525" s="461" t="s">
        <v>713</v>
      </c>
      <c r="J3525" s="461" t="s">
        <v>712</v>
      </c>
      <c r="K3525" s="594"/>
      <c r="L3525" s="594"/>
      <c r="M3525" s="352">
        <v>6000</v>
      </c>
      <c r="N3525" s="352" t="s">
        <v>871</v>
      </c>
      <c r="O3525" s="460">
        <v>5121</v>
      </c>
      <c r="P3525" s="460" t="s">
        <v>785</v>
      </c>
      <c r="Q3525" s="460" t="s">
        <v>2280</v>
      </c>
      <c r="R3525" s="460">
        <v>5121</v>
      </c>
      <c r="S3525" s="460" t="s">
        <v>2324</v>
      </c>
      <c r="T3525" s="462">
        <v>1</v>
      </c>
      <c r="U3525" s="460" t="s">
        <v>2330</v>
      </c>
      <c r="V3525" s="475">
        <v>0</v>
      </c>
      <c r="W3525" s="463" t="s">
        <v>713</v>
      </c>
      <c r="X3525" s="463" t="s">
        <v>713</v>
      </c>
      <c r="Y3525" s="463" t="s">
        <v>713</v>
      </c>
      <c r="Z3525" s="463"/>
      <c r="AA3525" s="463"/>
      <c r="AB3525" s="464">
        <v>2223.5675444698709</v>
      </c>
      <c r="AC3525" s="465">
        <v>0.83567203918574984</v>
      </c>
      <c r="AD3525" s="465">
        <v>1.9688051962595571E-2</v>
      </c>
      <c r="AE3525" s="476">
        <v>2342.7374520056483</v>
      </c>
      <c r="AF3525" s="467">
        <v>0.8804590571864751</v>
      </c>
      <c r="AG3525" s="468">
        <v>2.0422573589728907E-2</v>
      </c>
      <c r="AH3525" s="218">
        <v>2342.7374520056483</v>
      </c>
      <c r="AI3525" s="470">
        <v>0.8804590571864751</v>
      </c>
      <c r="AJ3525" s="471">
        <v>2.1202333829325182E-2</v>
      </c>
      <c r="AK3525" s="218">
        <v>2342.7374520056483</v>
      </c>
      <c r="AL3525" s="470">
        <v>0.8804590571864751</v>
      </c>
      <c r="AM3525" s="471">
        <v>2.1202333829325182E-2</v>
      </c>
      <c r="AN3525" s="477">
        <v>2342.7374520056483</v>
      </c>
      <c r="AO3525" s="473">
        <v>0.8804590571864751</v>
      </c>
      <c r="AP3525" s="474">
        <v>2.12570593945401E-2</v>
      </c>
      <c r="AQ3525" s="352"/>
      <c r="AR3525" s="352"/>
      <c r="AS3525" s="352"/>
      <c r="AT3525" s="352"/>
      <c r="AU3525" s="352"/>
      <c r="AV3525" s="352"/>
      <c r="AW3525" s="352" t="s">
        <v>254</v>
      </c>
    </row>
    <row r="3526" spans="2:49" x14ac:dyDescent="0.2">
      <c r="B3526" s="460" t="s">
        <v>3413</v>
      </c>
      <c r="C3526" s="460">
        <v>6000</v>
      </c>
      <c r="D3526" s="460" t="s">
        <v>2337</v>
      </c>
      <c r="E3526" s="460" t="s">
        <v>2333</v>
      </c>
      <c r="F3526" s="460">
        <v>4</v>
      </c>
      <c r="G3526" s="460">
        <v>3</v>
      </c>
      <c r="H3526" s="461" t="s">
        <v>712</v>
      </c>
      <c r="I3526" s="461" t="s">
        <v>713</v>
      </c>
      <c r="J3526" s="461" t="s">
        <v>712</v>
      </c>
      <c r="K3526" s="594"/>
      <c r="L3526" s="594"/>
      <c r="M3526" s="352">
        <v>6000</v>
      </c>
      <c r="N3526" s="352" t="s">
        <v>871</v>
      </c>
      <c r="O3526" s="460">
        <v>5121</v>
      </c>
      <c r="P3526" s="460" t="s">
        <v>785</v>
      </c>
      <c r="Q3526" s="460" t="s">
        <v>2280</v>
      </c>
      <c r="R3526" s="460">
        <v>5121</v>
      </c>
      <c r="S3526" s="460" t="s">
        <v>2333</v>
      </c>
      <c r="T3526" s="462">
        <v>1</v>
      </c>
      <c r="U3526" s="460" t="s">
        <v>2333</v>
      </c>
      <c r="V3526" s="475">
        <v>0</v>
      </c>
      <c r="W3526" s="463" t="s">
        <v>713</v>
      </c>
      <c r="X3526" s="463" t="s">
        <v>713</v>
      </c>
      <c r="Y3526" s="463" t="s">
        <v>713</v>
      </c>
      <c r="Z3526" s="463"/>
      <c r="AA3526" s="463"/>
      <c r="AB3526" s="464">
        <v>2646.9456922877121</v>
      </c>
      <c r="AC3526" s="465">
        <v>0.96500197497957474</v>
      </c>
      <c r="AD3526" s="465">
        <v>2.0123326892160513E-2</v>
      </c>
      <c r="AE3526" s="476">
        <v>2712.192826770277</v>
      </c>
      <c r="AF3526" s="467">
        <v>0.98878924565191495</v>
      </c>
      <c r="AG3526" s="468">
        <v>2.0408135626577024E-2</v>
      </c>
      <c r="AH3526" s="218">
        <v>2712.192826770277</v>
      </c>
      <c r="AI3526" s="470">
        <v>0.98878924565191495</v>
      </c>
      <c r="AJ3526" s="471">
        <v>2.0473154572976753E-2</v>
      </c>
      <c r="AK3526" s="218">
        <v>2712.192826770277</v>
      </c>
      <c r="AL3526" s="470">
        <v>0.98878924565191495</v>
      </c>
      <c r="AM3526" s="471">
        <v>2.0473154572976753E-2</v>
      </c>
      <c r="AN3526" s="477">
        <v>2712.192826770277</v>
      </c>
      <c r="AO3526" s="473">
        <v>0.98878924565191495</v>
      </c>
      <c r="AP3526" s="474">
        <v>2.047966060836676E-2</v>
      </c>
      <c r="AQ3526" s="352"/>
      <c r="AR3526" s="352"/>
      <c r="AS3526" s="352"/>
      <c r="AT3526" s="352"/>
      <c r="AU3526" s="352"/>
      <c r="AV3526" s="352"/>
      <c r="AW3526" s="352" t="s">
        <v>254</v>
      </c>
    </row>
    <row r="3527" spans="2:49" x14ac:dyDescent="0.2">
      <c r="B3527" s="460" t="s">
        <v>3410</v>
      </c>
      <c r="C3527" s="460">
        <v>6000</v>
      </c>
      <c r="D3527" s="460" t="s">
        <v>3390</v>
      </c>
      <c r="E3527" s="460" t="s">
        <v>2324</v>
      </c>
      <c r="F3527" s="460">
        <v>1</v>
      </c>
      <c r="G3527" s="460">
        <v>3</v>
      </c>
      <c r="H3527" s="461" t="s">
        <v>719</v>
      </c>
      <c r="I3527" s="461" t="s">
        <v>720</v>
      </c>
      <c r="J3527" s="461" t="s">
        <v>719</v>
      </c>
      <c r="K3527" s="594"/>
      <c r="L3527" s="594"/>
      <c r="M3527" s="352">
        <v>6000</v>
      </c>
      <c r="N3527" s="352" t="s">
        <v>871</v>
      </c>
      <c r="O3527" s="460">
        <v>5121</v>
      </c>
      <c r="P3527" s="460" t="s">
        <v>785</v>
      </c>
      <c r="Q3527" s="460" t="s">
        <v>3374</v>
      </c>
      <c r="R3527" s="460">
        <v>5121</v>
      </c>
      <c r="S3527" s="460" t="s">
        <v>2324</v>
      </c>
      <c r="T3527" s="462">
        <v>1</v>
      </c>
      <c r="U3527" s="460" t="s">
        <v>2324</v>
      </c>
      <c r="V3527" s="475">
        <v>0</v>
      </c>
      <c r="W3527" s="463" t="s">
        <v>2278</v>
      </c>
      <c r="X3527" s="463" t="s">
        <v>2278</v>
      </c>
      <c r="Y3527" s="463" t="s">
        <v>2278</v>
      </c>
      <c r="Z3527" s="463"/>
      <c r="AA3527" s="463"/>
      <c r="AB3527" s="464">
        <v>8866.2844272158927</v>
      </c>
      <c r="AC3527" s="465">
        <v>0.56310689926715518</v>
      </c>
      <c r="AD3527" s="465">
        <v>0.21964360689845325</v>
      </c>
      <c r="AE3527" s="476">
        <v>8866.2844272158927</v>
      </c>
      <c r="AF3527" s="467">
        <v>0.56310689926715518</v>
      </c>
      <c r="AG3527" s="468">
        <v>0.21964360689845325</v>
      </c>
      <c r="AH3527" s="218">
        <v>8866.2844272158927</v>
      </c>
      <c r="AI3527" s="470">
        <v>0.56310689926715518</v>
      </c>
      <c r="AJ3527" s="471">
        <v>0.21964360689845325</v>
      </c>
      <c r="AK3527" s="218">
        <v>8866.2844272158927</v>
      </c>
      <c r="AL3527" s="470">
        <v>0.56310689926715518</v>
      </c>
      <c r="AM3527" s="471">
        <v>0.21964360689845325</v>
      </c>
      <c r="AN3527" s="477">
        <v>8866.2844272158927</v>
      </c>
      <c r="AO3527" s="473">
        <v>0.56310689926715518</v>
      </c>
      <c r="AP3527" s="474">
        <v>0.21964360689845325</v>
      </c>
      <c r="AQ3527" s="352"/>
      <c r="AR3527" s="352"/>
      <c r="AS3527" s="352"/>
      <c r="AT3527" s="352"/>
      <c r="AU3527" s="352"/>
      <c r="AV3527" s="352"/>
      <c r="AW3527" s="352" t="s">
        <v>254</v>
      </c>
    </row>
    <row r="3528" spans="2:49" x14ac:dyDescent="0.2">
      <c r="B3528" s="460" t="s">
        <v>3411</v>
      </c>
      <c r="C3528" s="460">
        <v>6000</v>
      </c>
      <c r="D3528" s="460" t="s">
        <v>3391</v>
      </c>
      <c r="E3528" s="460" t="s">
        <v>2327</v>
      </c>
      <c r="F3528" s="460">
        <v>2</v>
      </c>
      <c r="G3528" s="460">
        <v>3</v>
      </c>
      <c r="H3528" s="461" t="s">
        <v>719</v>
      </c>
      <c r="I3528" s="461" t="s">
        <v>720</v>
      </c>
      <c r="J3528" s="461" t="s">
        <v>719</v>
      </c>
      <c r="K3528" s="594"/>
      <c r="L3528" s="594"/>
      <c r="M3528" s="352">
        <v>6000</v>
      </c>
      <c r="N3528" s="352" t="s">
        <v>871</v>
      </c>
      <c r="O3528" s="460">
        <v>5121</v>
      </c>
      <c r="P3528" s="460" t="s">
        <v>785</v>
      </c>
      <c r="Q3528" s="460" t="s">
        <v>3374</v>
      </c>
      <c r="R3528" s="460">
        <v>5121</v>
      </c>
      <c r="S3528" s="460" t="s">
        <v>2324</v>
      </c>
      <c r="T3528" s="462">
        <v>1</v>
      </c>
      <c r="U3528" s="460" t="s">
        <v>2327</v>
      </c>
      <c r="V3528" s="475">
        <v>0</v>
      </c>
      <c r="W3528" s="463" t="s">
        <v>2278</v>
      </c>
      <c r="X3528" s="463" t="s">
        <v>2278</v>
      </c>
      <c r="Y3528" s="463" t="s">
        <v>2278</v>
      </c>
      <c r="Z3528" s="463"/>
      <c r="AA3528" s="463"/>
      <c r="AB3528" s="464">
        <v>9129.9998363935701</v>
      </c>
      <c r="AC3528" s="465">
        <v>0.64536941513190782</v>
      </c>
      <c r="AD3528" s="465">
        <v>0.3307457314716411</v>
      </c>
      <c r="AE3528" s="476">
        <v>9129.9998363935701</v>
      </c>
      <c r="AF3528" s="467">
        <v>0.64536941513190782</v>
      </c>
      <c r="AG3528" s="468">
        <v>0.3307457314716411</v>
      </c>
      <c r="AH3528" s="218">
        <v>9129.9998363935701</v>
      </c>
      <c r="AI3528" s="470">
        <v>0.64536941513190782</v>
      </c>
      <c r="AJ3528" s="471">
        <v>0.3307457314716411</v>
      </c>
      <c r="AK3528" s="218">
        <v>9129.9998363935701</v>
      </c>
      <c r="AL3528" s="470">
        <v>0.64536941513190782</v>
      </c>
      <c r="AM3528" s="471">
        <v>0.3307457314716411</v>
      </c>
      <c r="AN3528" s="477">
        <v>9129.9998363935701</v>
      </c>
      <c r="AO3528" s="473">
        <v>0.64536941513190782</v>
      </c>
      <c r="AP3528" s="474">
        <v>0.3307457314716411</v>
      </c>
      <c r="AQ3528" s="352"/>
      <c r="AR3528" s="352"/>
      <c r="AS3528" s="352"/>
      <c r="AT3528" s="352"/>
      <c r="AU3528" s="352"/>
      <c r="AV3528" s="352"/>
      <c r="AW3528" s="352" t="s">
        <v>254</v>
      </c>
    </row>
    <row r="3529" spans="2:49" x14ac:dyDescent="0.2">
      <c r="B3529" s="460" t="s">
        <v>3412</v>
      </c>
      <c r="C3529" s="460">
        <v>6000</v>
      </c>
      <c r="D3529" s="460" t="s">
        <v>3392</v>
      </c>
      <c r="E3529" s="460" t="s">
        <v>2330</v>
      </c>
      <c r="F3529" s="460">
        <v>3</v>
      </c>
      <c r="G3529" s="460">
        <v>3</v>
      </c>
      <c r="H3529" s="461" t="s">
        <v>719</v>
      </c>
      <c r="I3529" s="461" t="s">
        <v>720</v>
      </c>
      <c r="J3529" s="461" t="s">
        <v>719</v>
      </c>
      <c r="K3529" s="594"/>
      <c r="L3529" s="594"/>
      <c r="M3529" s="352">
        <v>6000</v>
      </c>
      <c r="N3529" s="352" t="s">
        <v>871</v>
      </c>
      <c r="O3529" s="460">
        <v>5121</v>
      </c>
      <c r="P3529" s="460" t="s">
        <v>785</v>
      </c>
      <c r="Q3529" s="460" t="s">
        <v>3374</v>
      </c>
      <c r="R3529" s="460">
        <v>5121</v>
      </c>
      <c r="S3529" s="460" t="s">
        <v>2324</v>
      </c>
      <c r="T3529" s="462">
        <v>1</v>
      </c>
      <c r="U3529" s="460" t="s">
        <v>2330</v>
      </c>
      <c r="V3529" s="475">
        <v>0</v>
      </c>
      <c r="W3529" s="463" t="s">
        <v>2278</v>
      </c>
      <c r="X3529" s="463" t="s">
        <v>2278</v>
      </c>
      <c r="Y3529" s="463" t="s">
        <v>2278</v>
      </c>
      <c r="Z3529" s="463"/>
      <c r="AA3529" s="463"/>
      <c r="AB3529" s="464">
        <v>278.35286638140758</v>
      </c>
      <c r="AC3529" s="465">
        <v>0.10461193681328321</v>
      </c>
      <c r="AD3529" s="465">
        <v>0.39173034839716753</v>
      </c>
      <c r="AE3529" s="476">
        <v>278.35286638140758</v>
      </c>
      <c r="AF3529" s="467">
        <v>0.10461193681328321</v>
      </c>
      <c r="AG3529" s="468">
        <v>0.39173034839716753</v>
      </c>
      <c r="AH3529" s="218">
        <v>278.35286638140758</v>
      </c>
      <c r="AI3529" s="470">
        <v>0.10461193681328321</v>
      </c>
      <c r="AJ3529" s="471">
        <v>0.39173034839716753</v>
      </c>
      <c r="AK3529" s="218">
        <v>278.35286638140758</v>
      </c>
      <c r="AL3529" s="470">
        <v>0.10461193681328321</v>
      </c>
      <c r="AM3529" s="471">
        <v>0.39173034839716753</v>
      </c>
      <c r="AN3529" s="477">
        <v>278.35286638140758</v>
      </c>
      <c r="AO3529" s="473">
        <v>0.10461193681328321</v>
      </c>
      <c r="AP3529" s="474">
        <v>0.39173034839716753</v>
      </c>
      <c r="AQ3529" s="352"/>
      <c r="AR3529" s="352"/>
      <c r="AS3529" s="352"/>
      <c r="AT3529" s="352"/>
      <c r="AU3529" s="352"/>
      <c r="AV3529" s="352"/>
      <c r="AW3529" s="352" t="s">
        <v>254</v>
      </c>
    </row>
    <row r="3530" spans="2:49" x14ac:dyDescent="0.2">
      <c r="B3530" s="460" t="s">
        <v>3413</v>
      </c>
      <c r="C3530" s="460">
        <v>6000</v>
      </c>
      <c r="D3530" s="460" t="s">
        <v>3393</v>
      </c>
      <c r="E3530" s="460" t="s">
        <v>2333</v>
      </c>
      <c r="F3530" s="460">
        <v>4</v>
      </c>
      <c r="G3530" s="460">
        <v>3</v>
      </c>
      <c r="H3530" s="461" t="s">
        <v>719</v>
      </c>
      <c r="I3530" s="461" t="s">
        <v>720</v>
      </c>
      <c r="J3530" s="461" t="s">
        <v>719</v>
      </c>
      <c r="K3530" s="594"/>
      <c r="L3530" s="594"/>
      <c r="M3530" s="352">
        <v>6000</v>
      </c>
      <c r="N3530" s="352" t="s">
        <v>871</v>
      </c>
      <c r="O3530" s="460">
        <v>5121</v>
      </c>
      <c r="P3530" s="460" t="s">
        <v>785</v>
      </c>
      <c r="Q3530" s="460" t="s">
        <v>3374</v>
      </c>
      <c r="R3530" s="460">
        <v>5121</v>
      </c>
      <c r="S3530" s="460" t="s">
        <v>2333</v>
      </c>
      <c r="T3530" s="462">
        <v>1</v>
      </c>
      <c r="U3530" s="460" t="s">
        <v>2333</v>
      </c>
      <c r="V3530" s="475">
        <v>0</v>
      </c>
      <c r="W3530" s="463" t="s">
        <v>2278</v>
      </c>
      <c r="X3530" s="463" t="s">
        <v>2278</v>
      </c>
      <c r="Y3530" s="463" t="s">
        <v>2278</v>
      </c>
      <c r="Z3530" s="463"/>
      <c r="AA3530" s="463"/>
      <c r="AB3530" s="464">
        <v>9.0014185894963745</v>
      </c>
      <c r="AC3530" s="465">
        <v>3.2816641239716395E-3</v>
      </c>
      <c r="AD3530" s="465">
        <v>1.6537227236164934E-3</v>
      </c>
      <c r="AE3530" s="476">
        <v>9.0014185894963745</v>
      </c>
      <c r="AF3530" s="467">
        <v>3.2816641239716395E-3</v>
      </c>
      <c r="AG3530" s="468">
        <v>1.6537227236164934E-3</v>
      </c>
      <c r="AH3530" s="218">
        <v>9.0014185894963745</v>
      </c>
      <c r="AI3530" s="470">
        <v>3.2816641239716395E-3</v>
      </c>
      <c r="AJ3530" s="471">
        <v>1.6537227236164934E-3</v>
      </c>
      <c r="AK3530" s="218">
        <v>9.0014185894963745</v>
      </c>
      <c r="AL3530" s="470">
        <v>3.2816641239716395E-3</v>
      </c>
      <c r="AM3530" s="471">
        <v>1.6537227236164934E-3</v>
      </c>
      <c r="AN3530" s="477">
        <v>9.0014185894963745</v>
      </c>
      <c r="AO3530" s="473">
        <v>3.2816641239716395E-3</v>
      </c>
      <c r="AP3530" s="474">
        <v>1.6537227236164934E-3</v>
      </c>
      <c r="AQ3530" s="352"/>
      <c r="AR3530" s="352"/>
      <c r="AS3530" s="352"/>
      <c r="AT3530" s="352"/>
      <c r="AU3530" s="352"/>
      <c r="AV3530" s="352"/>
      <c r="AW3530" s="352" t="s">
        <v>254</v>
      </c>
    </row>
    <row r="3531" spans="2:49" x14ac:dyDescent="0.2">
      <c r="B3531" s="460" t="s">
        <v>3410</v>
      </c>
      <c r="C3531" s="460">
        <v>6000</v>
      </c>
      <c r="D3531" s="460" t="s">
        <v>2338</v>
      </c>
      <c r="E3531" s="460" t="s">
        <v>2324</v>
      </c>
      <c r="F3531" s="460">
        <v>1</v>
      </c>
      <c r="G3531" s="460">
        <v>3</v>
      </c>
      <c r="H3531" s="461" t="s">
        <v>746</v>
      </c>
      <c r="I3531" s="461" t="s">
        <v>762</v>
      </c>
      <c r="J3531" s="461" t="s">
        <v>700</v>
      </c>
      <c r="K3531" s="594"/>
      <c r="L3531" s="594"/>
      <c r="M3531" s="352">
        <v>6000</v>
      </c>
      <c r="N3531" s="352" t="s">
        <v>871</v>
      </c>
      <c r="O3531" s="460">
        <v>5121</v>
      </c>
      <c r="P3531" s="460" t="s">
        <v>785</v>
      </c>
      <c r="Q3531" s="460" t="s">
        <v>2553</v>
      </c>
      <c r="R3531" s="460">
        <v>5121</v>
      </c>
      <c r="S3531" s="460" t="s">
        <v>2324</v>
      </c>
      <c r="T3531" s="462">
        <v>1</v>
      </c>
      <c r="U3531" s="460" t="s">
        <v>2324</v>
      </c>
      <c r="V3531" s="475">
        <v>0</v>
      </c>
      <c r="W3531" s="463" t="s">
        <v>2268</v>
      </c>
      <c r="X3531" s="463" t="s">
        <v>2268</v>
      </c>
      <c r="Y3531" s="463" t="s">
        <v>2554</v>
      </c>
      <c r="Z3531" s="463"/>
      <c r="AA3531" s="463"/>
      <c r="AB3531" s="464">
        <v>0</v>
      </c>
      <c r="AC3531" s="465">
        <v>0</v>
      </c>
      <c r="AD3531" s="465">
        <v>0</v>
      </c>
      <c r="AE3531" s="476">
        <v>0</v>
      </c>
      <c r="AF3531" s="467">
        <v>0</v>
      </c>
      <c r="AG3531" s="468">
        <v>0</v>
      </c>
      <c r="AH3531" s="218">
        <v>0</v>
      </c>
      <c r="AI3531" s="470">
        <v>0</v>
      </c>
      <c r="AJ3531" s="471">
        <v>0</v>
      </c>
      <c r="AK3531" s="218">
        <v>0</v>
      </c>
      <c r="AL3531" s="470">
        <v>0</v>
      </c>
      <c r="AM3531" s="471">
        <v>0</v>
      </c>
      <c r="AN3531" s="477">
        <v>139.97956727969461</v>
      </c>
      <c r="AO3531" s="473">
        <v>8.8902471761080609E-3</v>
      </c>
      <c r="AP3531" s="474">
        <v>1.4792695876078058E-3</v>
      </c>
      <c r="AQ3531" s="352"/>
      <c r="AR3531" s="352"/>
      <c r="AS3531" s="352"/>
      <c r="AT3531" s="352"/>
      <c r="AU3531" s="352"/>
      <c r="AV3531" s="352"/>
      <c r="AW3531" s="352" t="s">
        <v>254</v>
      </c>
    </row>
    <row r="3532" spans="2:49" x14ac:dyDescent="0.2">
      <c r="B3532" s="460" t="s">
        <v>3411</v>
      </c>
      <c r="C3532" s="460">
        <v>6000</v>
      </c>
      <c r="D3532" s="460" t="s">
        <v>2339</v>
      </c>
      <c r="E3532" s="460" t="s">
        <v>2327</v>
      </c>
      <c r="F3532" s="460">
        <v>2</v>
      </c>
      <c r="G3532" s="460">
        <v>3</v>
      </c>
      <c r="H3532" s="461" t="s">
        <v>746</v>
      </c>
      <c r="I3532" s="461" t="s">
        <v>762</v>
      </c>
      <c r="J3532" s="461" t="s">
        <v>700</v>
      </c>
      <c r="K3532" s="594"/>
      <c r="L3532" s="594"/>
      <c r="M3532" s="352">
        <v>6000</v>
      </c>
      <c r="N3532" s="352" t="s">
        <v>871</v>
      </c>
      <c r="O3532" s="460">
        <v>5121</v>
      </c>
      <c r="P3532" s="460" t="s">
        <v>785</v>
      </c>
      <c r="Q3532" s="460" t="s">
        <v>2553</v>
      </c>
      <c r="R3532" s="460">
        <v>5121</v>
      </c>
      <c r="S3532" s="460" t="s">
        <v>2324</v>
      </c>
      <c r="T3532" s="462">
        <v>1</v>
      </c>
      <c r="U3532" s="460" t="s">
        <v>2327</v>
      </c>
      <c r="V3532" s="475">
        <v>0</v>
      </c>
      <c r="W3532" s="463" t="s">
        <v>2268</v>
      </c>
      <c r="X3532" s="463" t="s">
        <v>2268</v>
      </c>
      <c r="Y3532" s="463" t="s">
        <v>2554</v>
      </c>
      <c r="Z3532" s="463"/>
      <c r="AA3532" s="463"/>
      <c r="AB3532" s="464">
        <v>0</v>
      </c>
      <c r="AC3532" s="465">
        <v>0</v>
      </c>
      <c r="AD3532" s="465">
        <v>0</v>
      </c>
      <c r="AE3532" s="476">
        <v>0</v>
      </c>
      <c r="AF3532" s="467">
        <v>0</v>
      </c>
      <c r="AG3532" s="468">
        <v>0</v>
      </c>
      <c r="AH3532" s="218">
        <v>0</v>
      </c>
      <c r="AI3532" s="470">
        <v>0</v>
      </c>
      <c r="AJ3532" s="471">
        <v>0</v>
      </c>
      <c r="AK3532" s="218">
        <v>0</v>
      </c>
      <c r="AL3532" s="470">
        <v>0</v>
      </c>
      <c r="AM3532" s="471">
        <v>0</v>
      </c>
      <c r="AN3532" s="477">
        <v>125.76975815746549</v>
      </c>
      <c r="AO3532" s="473">
        <v>8.8902471761080609E-3</v>
      </c>
      <c r="AP3532" s="474">
        <v>1.9992820851623826E-3</v>
      </c>
      <c r="AQ3532" s="352"/>
      <c r="AR3532" s="352"/>
      <c r="AS3532" s="352"/>
      <c r="AT3532" s="352"/>
      <c r="AU3532" s="352"/>
      <c r="AV3532" s="352"/>
      <c r="AW3532" s="352" t="s">
        <v>254</v>
      </c>
    </row>
    <row r="3533" spans="2:49" x14ac:dyDescent="0.2">
      <c r="B3533" s="460" t="s">
        <v>3412</v>
      </c>
      <c r="C3533" s="460">
        <v>6000</v>
      </c>
      <c r="D3533" s="460" t="s">
        <v>2340</v>
      </c>
      <c r="E3533" s="460" t="s">
        <v>2330</v>
      </c>
      <c r="F3533" s="460">
        <v>3</v>
      </c>
      <c r="G3533" s="460">
        <v>3</v>
      </c>
      <c r="H3533" s="461" t="s">
        <v>746</v>
      </c>
      <c r="I3533" s="461" t="s">
        <v>762</v>
      </c>
      <c r="J3533" s="461" t="s">
        <v>700</v>
      </c>
      <c r="K3533" s="594"/>
      <c r="L3533" s="594"/>
      <c r="M3533" s="352">
        <v>6000</v>
      </c>
      <c r="N3533" s="352" t="s">
        <v>871</v>
      </c>
      <c r="O3533" s="460">
        <v>5121</v>
      </c>
      <c r="P3533" s="460" t="s">
        <v>785</v>
      </c>
      <c r="Q3533" s="460" t="s">
        <v>2553</v>
      </c>
      <c r="R3533" s="460">
        <v>5121</v>
      </c>
      <c r="S3533" s="460" t="s">
        <v>2324</v>
      </c>
      <c r="T3533" s="462">
        <v>1</v>
      </c>
      <c r="U3533" s="460" t="s">
        <v>2330</v>
      </c>
      <c r="V3533" s="475">
        <v>0</v>
      </c>
      <c r="W3533" s="463" t="s">
        <v>2268</v>
      </c>
      <c r="X3533" s="463" t="s">
        <v>2268</v>
      </c>
      <c r="Y3533" s="463" t="s">
        <v>2554</v>
      </c>
      <c r="Z3533" s="463"/>
      <c r="AA3533" s="463"/>
      <c r="AB3533" s="464">
        <v>0</v>
      </c>
      <c r="AC3533" s="465">
        <v>0</v>
      </c>
      <c r="AD3533" s="465">
        <v>0</v>
      </c>
      <c r="AE3533" s="476">
        <v>0</v>
      </c>
      <c r="AF3533" s="467">
        <v>0</v>
      </c>
      <c r="AG3533" s="468">
        <v>0</v>
      </c>
      <c r="AH3533" s="218">
        <v>0</v>
      </c>
      <c r="AI3533" s="470">
        <v>0</v>
      </c>
      <c r="AJ3533" s="471">
        <v>0</v>
      </c>
      <c r="AK3533" s="218">
        <v>0</v>
      </c>
      <c r="AL3533" s="470">
        <v>0</v>
      </c>
      <c r="AM3533" s="471">
        <v>0</v>
      </c>
      <c r="AN3533" s="477">
        <v>31.778642009540587</v>
      </c>
      <c r="AO3533" s="473">
        <v>1.1943204800193357E-2</v>
      </c>
      <c r="AP3533" s="474">
        <v>1.2712035973784597E-3</v>
      </c>
      <c r="AQ3533" s="352"/>
      <c r="AR3533" s="352"/>
      <c r="AS3533" s="352"/>
      <c r="AT3533" s="352"/>
      <c r="AU3533" s="352"/>
      <c r="AV3533" s="352"/>
      <c r="AW3533" s="352" t="s">
        <v>254</v>
      </c>
    </row>
    <row r="3534" spans="2:49" x14ac:dyDescent="0.2">
      <c r="B3534" s="460" t="s">
        <v>3413</v>
      </c>
      <c r="C3534" s="460">
        <v>6000</v>
      </c>
      <c r="D3534" s="460" t="s">
        <v>2341</v>
      </c>
      <c r="E3534" s="460" t="s">
        <v>2333</v>
      </c>
      <c r="F3534" s="460">
        <v>4</v>
      </c>
      <c r="G3534" s="460">
        <v>3</v>
      </c>
      <c r="H3534" s="461" t="s">
        <v>746</v>
      </c>
      <c r="I3534" s="461" t="s">
        <v>762</v>
      </c>
      <c r="J3534" s="461" t="s">
        <v>700</v>
      </c>
      <c r="K3534" s="594"/>
      <c r="L3534" s="594"/>
      <c r="M3534" s="352">
        <v>6000</v>
      </c>
      <c r="N3534" s="352" t="s">
        <v>871</v>
      </c>
      <c r="O3534" s="460">
        <v>5121</v>
      </c>
      <c r="P3534" s="460" t="s">
        <v>785</v>
      </c>
      <c r="Q3534" s="460" t="s">
        <v>2553</v>
      </c>
      <c r="R3534" s="460">
        <v>5121</v>
      </c>
      <c r="S3534" s="460" t="s">
        <v>2333</v>
      </c>
      <c r="T3534" s="462">
        <v>1</v>
      </c>
      <c r="U3534" s="460" t="s">
        <v>2333</v>
      </c>
      <c r="V3534" s="475">
        <v>0</v>
      </c>
      <c r="W3534" s="463" t="s">
        <v>2268</v>
      </c>
      <c r="X3534" s="463" t="s">
        <v>2268</v>
      </c>
      <c r="Y3534" s="463" t="s">
        <v>2554</v>
      </c>
      <c r="Z3534" s="463"/>
      <c r="AA3534" s="463"/>
      <c r="AB3534" s="464">
        <v>0</v>
      </c>
      <c r="AC3534" s="465">
        <v>0</v>
      </c>
      <c r="AD3534" s="465">
        <v>0</v>
      </c>
      <c r="AE3534" s="476">
        <v>0</v>
      </c>
      <c r="AF3534" s="467">
        <v>0</v>
      </c>
      <c r="AG3534" s="468">
        <v>0</v>
      </c>
      <c r="AH3534" s="218">
        <v>0</v>
      </c>
      <c r="AI3534" s="470">
        <v>0</v>
      </c>
      <c r="AJ3534" s="471">
        <v>0</v>
      </c>
      <c r="AK3534" s="218">
        <v>0</v>
      </c>
      <c r="AL3534" s="470">
        <v>0</v>
      </c>
      <c r="AM3534" s="471">
        <v>0</v>
      </c>
      <c r="AN3534" s="477">
        <v>17.399235862017175</v>
      </c>
      <c r="AO3534" s="473">
        <v>6.3432721792907043E-3</v>
      </c>
      <c r="AP3534" s="474">
        <v>1.4503933335533949E-3</v>
      </c>
      <c r="AQ3534" s="352"/>
      <c r="AR3534" s="352"/>
      <c r="AS3534" s="352"/>
      <c r="AT3534" s="352"/>
      <c r="AU3534" s="352"/>
      <c r="AV3534" s="352"/>
      <c r="AW3534" s="352" t="s">
        <v>254</v>
      </c>
    </row>
    <row r="3535" spans="2:49" x14ac:dyDescent="0.2">
      <c r="B3535" s="460" t="s">
        <v>3410</v>
      </c>
      <c r="C3535" s="460">
        <v>6000</v>
      </c>
      <c r="D3535" s="460" t="s">
        <v>2342</v>
      </c>
      <c r="E3535" s="460" t="s">
        <v>2324</v>
      </c>
      <c r="F3535" s="460">
        <v>1</v>
      </c>
      <c r="G3535" s="460">
        <v>3</v>
      </c>
      <c r="H3535" s="461" t="s">
        <v>748</v>
      </c>
      <c r="I3535" s="461" t="s">
        <v>765</v>
      </c>
      <c r="J3535" s="461" t="s">
        <v>700</v>
      </c>
      <c r="K3535" s="594"/>
      <c r="L3535" s="594"/>
      <c r="M3535" s="352">
        <v>6000</v>
      </c>
      <c r="N3535" s="352" t="s">
        <v>871</v>
      </c>
      <c r="O3535" s="460">
        <v>5121</v>
      </c>
      <c r="P3535" s="460" t="s">
        <v>785</v>
      </c>
      <c r="Q3535" s="460" t="s">
        <v>2553</v>
      </c>
      <c r="R3535" s="460">
        <v>5121</v>
      </c>
      <c r="S3535" s="460" t="s">
        <v>2324</v>
      </c>
      <c r="T3535" s="462">
        <v>1</v>
      </c>
      <c r="U3535" s="460" t="s">
        <v>2324</v>
      </c>
      <c r="V3535" s="475">
        <v>0</v>
      </c>
      <c r="W3535" s="463" t="s">
        <v>2268</v>
      </c>
      <c r="X3535" s="463" t="s">
        <v>2268</v>
      </c>
      <c r="Y3535" s="463" t="s">
        <v>2554</v>
      </c>
      <c r="Z3535" s="463"/>
      <c r="AA3535" s="463"/>
      <c r="AB3535" s="464">
        <v>0</v>
      </c>
      <c r="AC3535" s="465">
        <v>0</v>
      </c>
      <c r="AD3535" s="465">
        <v>0</v>
      </c>
      <c r="AE3535" s="476">
        <v>0</v>
      </c>
      <c r="AF3535" s="467">
        <v>0</v>
      </c>
      <c r="AG3535" s="468">
        <v>0</v>
      </c>
      <c r="AH3535" s="218">
        <v>0</v>
      </c>
      <c r="AI3535" s="470">
        <v>0</v>
      </c>
      <c r="AJ3535" s="471">
        <v>0</v>
      </c>
      <c r="AK3535" s="218">
        <v>0</v>
      </c>
      <c r="AL3535" s="470">
        <v>0</v>
      </c>
      <c r="AM3535" s="471">
        <v>0</v>
      </c>
      <c r="AN3535" s="477">
        <v>34.994891819923694</v>
      </c>
      <c r="AO3535" s="473">
        <v>2.2225617940270178E-3</v>
      </c>
      <c r="AP3535" s="474">
        <v>1.8215476433927503E-3</v>
      </c>
      <c r="AQ3535" s="352"/>
      <c r="AR3535" s="352"/>
      <c r="AS3535" s="352"/>
      <c r="AT3535" s="352"/>
      <c r="AU3535" s="352"/>
      <c r="AV3535" s="352"/>
      <c r="AW3535" s="352" t="s">
        <v>254</v>
      </c>
    </row>
    <row r="3536" spans="2:49" x14ac:dyDescent="0.2">
      <c r="B3536" s="460" t="s">
        <v>3411</v>
      </c>
      <c r="C3536" s="460">
        <v>6000</v>
      </c>
      <c r="D3536" s="460" t="s">
        <v>2343</v>
      </c>
      <c r="E3536" s="460" t="s">
        <v>2327</v>
      </c>
      <c r="F3536" s="460">
        <v>2</v>
      </c>
      <c r="G3536" s="460">
        <v>3</v>
      </c>
      <c r="H3536" s="461" t="s">
        <v>748</v>
      </c>
      <c r="I3536" s="461" t="s">
        <v>765</v>
      </c>
      <c r="J3536" s="461" t="s">
        <v>700</v>
      </c>
      <c r="K3536" s="594"/>
      <c r="L3536" s="594"/>
      <c r="M3536" s="352">
        <v>6000</v>
      </c>
      <c r="N3536" s="352" t="s">
        <v>871</v>
      </c>
      <c r="O3536" s="460">
        <v>5121</v>
      </c>
      <c r="P3536" s="460" t="s">
        <v>785</v>
      </c>
      <c r="Q3536" s="460" t="s">
        <v>2553</v>
      </c>
      <c r="R3536" s="460">
        <v>5121</v>
      </c>
      <c r="S3536" s="460" t="s">
        <v>2324</v>
      </c>
      <c r="T3536" s="462">
        <v>1</v>
      </c>
      <c r="U3536" s="460" t="s">
        <v>2327</v>
      </c>
      <c r="V3536" s="475">
        <v>0</v>
      </c>
      <c r="W3536" s="463" t="s">
        <v>2268</v>
      </c>
      <c r="X3536" s="463" t="s">
        <v>2268</v>
      </c>
      <c r="Y3536" s="463" t="s">
        <v>2554</v>
      </c>
      <c r="Z3536" s="463"/>
      <c r="AA3536" s="463"/>
      <c r="AB3536" s="464">
        <v>0</v>
      </c>
      <c r="AC3536" s="465">
        <v>0</v>
      </c>
      <c r="AD3536" s="465">
        <v>0</v>
      </c>
      <c r="AE3536" s="476">
        <v>0</v>
      </c>
      <c r="AF3536" s="467">
        <v>0</v>
      </c>
      <c r="AG3536" s="468">
        <v>0</v>
      </c>
      <c r="AH3536" s="218">
        <v>0</v>
      </c>
      <c r="AI3536" s="470">
        <v>0</v>
      </c>
      <c r="AJ3536" s="471">
        <v>0</v>
      </c>
      <c r="AK3536" s="218">
        <v>0</v>
      </c>
      <c r="AL3536" s="470">
        <v>0</v>
      </c>
      <c r="AM3536" s="471">
        <v>0</v>
      </c>
      <c r="AN3536" s="477">
        <v>31.442439539366408</v>
      </c>
      <c r="AO3536" s="473">
        <v>2.2225617940270178E-3</v>
      </c>
      <c r="AP3536" s="474">
        <v>2.7950288920153333E-3</v>
      </c>
      <c r="AQ3536" s="352"/>
      <c r="AR3536" s="352"/>
      <c r="AS3536" s="352"/>
      <c r="AT3536" s="352"/>
      <c r="AU3536" s="352"/>
      <c r="AV3536" s="352"/>
      <c r="AW3536" s="352" t="s">
        <v>254</v>
      </c>
    </row>
    <row r="3537" spans="2:49" x14ac:dyDescent="0.2">
      <c r="B3537" s="460" t="s">
        <v>3412</v>
      </c>
      <c r="C3537" s="460">
        <v>6000</v>
      </c>
      <c r="D3537" s="460" t="s">
        <v>2344</v>
      </c>
      <c r="E3537" s="460" t="s">
        <v>2330</v>
      </c>
      <c r="F3537" s="460">
        <v>3</v>
      </c>
      <c r="G3537" s="460">
        <v>3</v>
      </c>
      <c r="H3537" s="461" t="s">
        <v>748</v>
      </c>
      <c r="I3537" s="461" t="s">
        <v>765</v>
      </c>
      <c r="J3537" s="461" t="s">
        <v>700</v>
      </c>
      <c r="K3537" s="594"/>
      <c r="L3537" s="594"/>
      <c r="M3537" s="352">
        <v>6000</v>
      </c>
      <c r="N3537" s="352" t="s">
        <v>871</v>
      </c>
      <c r="O3537" s="460">
        <v>5121</v>
      </c>
      <c r="P3537" s="460" t="s">
        <v>785</v>
      </c>
      <c r="Q3537" s="460" t="s">
        <v>2553</v>
      </c>
      <c r="R3537" s="460">
        <v>5121</v>
      </c>
      <c r="S3537" s="460" t="s">
        <v>2324</v>
      </c>
      <c r="T3537" s="462">
        <v>1</v>
      </c>
      <c r="U3537" s="460" t="s">
        <v>2330</v>
      </c>
      <c r="V3537" s="475">
        <v>0</v>
      </c>
      <c r="W3537" s="463" t="s">
        <v>2268</v>
      </c>
      <c r="X3537" s="463" t="s">
        <v>2268</v>
      </c>
      <c r="Y3537" s="463" t="s">
        <v>2554</v>
      </c>
      <c r="Z3537" s="463"/>
      <c r="AA3537" s="463"/>
      <c r="AB3537" s="464">
        <v>0</v>
      </c>
      <c r="AC3537" s="465">
        <v>0</v>
      </c>
      <c r="AD3537" s="465">
        <v>0</v>
      </c>
      <c r="AE3537" s="476">
        <v>0</v>
      </c>
      <c r="AF3537" s="467">
        <v>0</v>
      </c>
      <c r="AG3537" s="468">
        <v>0</v>
      </c>
      <c r="AH3537" s="218">
        <v>0</v>
      </c>
      <c r="AI3537" s="470">
        <v>0</v>
      </c>
      <c r="AJ3537" s="471">
        <v>0</v>
      </c>
      <c r="AK3537" s="218">
        <v>0</v>
      </c>
      <c r="AL3537" s="470">
        <v>0</v>
      </c>
      <c r="AM3537" s="471">
        <v>0</v>
      </c>
      <c r="AN3537" s="477">
        <v>7.9446605023851555</v>
      </c>
      <c r="AO3537" s="473">
        <v>2.9858012000483426E-3</v>
      </c>
      <c r="AP3537" s="474">
        <v>2.1655771553649519E-3</v>
      </c>
      <c r="AQ3537" s="352"/>
      <c r="AR3537" s="352"/>
      <c r="AS3537" s="352"/>
      <c r="AT3537" s="352"/>
      <c r="AU3537" s="352"/>
      <c r="AV3537" s="352"/>
      <c r="AW3537" s="352" t="s">
        <v>254</v>
      </c>
    </row>
    <row r="3538" spans="2:49" x14ac:dyDescent="0.2">
      <c r="B3538" s="460" t="s">
        <v>3413</v>
      </c>
      <c r="C3538" s="460">
        <v>6000</v>
      </c>
      <c r="D3538" s="460" t="s">
        <v>2345</v>
      </c>
      <c r="E3538" s="460" t="s">
        <v>2333</v>
      </c>
      <c r="F3538" s="460">
        <v>4</v>
      </c>
      <c r="G3538" s="460">
        <v>3</v>
      </c>
      <c r="H3538" s="461" t="s">
        <v>748</v>
      </c>
      <c r="I3538" s="461" t="s">
        <v>765</v>
      </c>
      <c r="J3538" s="461" t="s">
        <v>700</v>
      </c>
      <c r="K3538" s="594"/>
      <c r="L3538" s="594"/>
      <c r="M3538" s="352">
        <v>6000</v>
      </c>
      <c r="N3538" s="352" t="s">
        <v>871</v>
      </c>
      <c r="O3538" s="460">
        <v>5121</v>
      </c>
      <c r="P3538" s="460" t="s">
        <v>785</v>
      </c>
      <c r="Q3538" s="460" t="s">
        <v>2553</v>
      </c>
      <c r="R3538" s="460">
        <v>5121</v>
      </c>
      <c r="S3538" s="460" t="s">
        <v>2333</v>
      </c>
      <c r="T3538" s="462">
        <v>1</v>
      </c>
      <c r="U3538" s="460" t="s">
        <v>2333</v>
      </c>
      <c r="V3538" s="475">
        <v>0</v>
      </c>
      <c r="W3538" s="463" t="s">
        <v>2268</v>
      </c>
      <c r="X3538" s="463" t="s">
        <v>2268</v>
      </c>
      <c r="Y3538" s="463" t="s">
        <v>2554</v>
      </c>
      <c r="Z3538" s="463"/>
      <c r="AA3538" s="463"/>
      <c r="AB3538" s="464">
        <v>0</v>
      </c>
      <c r="AC3538" s="465">
        <v>0</v>
      </c>
      <c r="AD3538" s="465">
        <v>0</v>
      </c>
      <c r="AE3538" s="476">
        <v>0</v>
      </c>
      <c r="AF3538" s="467">
        <v>0</v>
      </c>
      <c r="AG3538" s="468">
        <v>0</v>
      </c>
      <c r="AH3538" s="218">
        <v>0</v>
      </c>
      <c r="AI3538" s="470">
        <v>0</v>
      </c>
      <c r="AJ3538" s="471">
        <v>0</v>
      </c>
      <c r="AK3538" s="218">
        <v>0</v>
      </c>
      <c r="AL3538" s="470">
        <v>0</v>
      </c>
      <c r="AM3538" s="471">
        <v>0</v>
      </c>
      <c r="AN3538" s="477">
        <v>4.3498089655042982</v>
      </c>
      <c r="AO3538" s="473">
        <v>1.5858180448226778E-3</v>
      </c>
      <c r="AP3538" s="474">
        <v>2.7087327650296457E-3</v>
      </c>
      <c r="AQ3538" s="352"/>
      <c r="AR3538" s="352"/>
      <c r="AS3538" s="352"/>
      <c r="AT3538" s="352"/>
      <c r="AU3538" s="352"/>
      <c r="AV3538" s="352"/>
      <c r="AW3538" s="352" t="s">
        <v>254</v>
      </c>
    </row>
    <row r="3539" spans="2:49" x14ac:dyDescent="0.2">
      <c r="B3539" s="460" t="s">
        <v>3414</v>
      </c>
      <c r="C3539" s="460">
        <v>6000</v>
      </c>
      <c r="D3539" s="460" t="s">
        <v>2351</v>
      </c>
      <c r="E3539" s="460" t="s">
        <v>1136</v>
      </c>
      <c r="F3539" s="460">
        <v>1</v>
      </c>
      <c r="G3539" s="460">
        <v>4</v>
      </c>
      <c r="H3539" s="461" t="s">
        <v>700</v>
      </c>
      <c r="I3539" s="461" t="s">
        <v>872</v>
      </c>
      <c r="J3539" s="461" t="s">
        <v>700</v>
      </c>
      <c r="K3539" s="594"/>
      <c r="L3539" s="594"/>
      <c r="M3539" s="352">
        <v>6000</v>
      </c>
      <c r="N3539" s="352" t="s">
        <v>871</v>
      </c>
      <c r="O3539" s="460">
        <v>5121</v>
      </c>
      <c r="P3539" s="460" t="s">
        <v>785</v>
      </c>
      <c r="Q3539" s="460" t="s">
        <v>2553</v>
      </c>
      <c r="R3539" s="460">
        <v>5121</v>
      </c>
      <c r="S3539" s="460" t="s">
        <v>1136</v>
      </c>
      <c r="T3539" s="462">
        <v>1</v>
      </c>
      <c r="U3539" s="460" t="s">
        <v>1136</v>
      </c>
      <c r="V3539" s="475">
        <v>0</v>
      </c>
      <c r="W3539" s="463" t="s">
        <v>2554</v>
      </c>
      <c r="X3539" s="463" t="s">
        <v>2554</v>
      </c>
      <c r="Y3539" s="463" t="s">
        <v>2268</v>
      </c>
      <c r="Z3539" s="463"/>
      <c r="AA3539" s="463"/>
      <c r="AB3539" s="464">
        <v>0.55934265737685107</v>
      </c>
      <c r="AC3539" s="465">
        <v>7.7193892039142454E-5</v>
      </c>
      <c r="AD3539" s="465">
        <v>1.5914468904329477E-3</v>
      </c>
      <c r="AE3539" s="476">
        <v>0.13983566434421277</v>
      </c>
      <c r="AF3539" s="467">
        <v>1.9298473009785614E-5</v>
      </c>
      <c r="AG3539" s="468">
        <v>4.3250018713348075E-4</v>
      </c>
      <c r="AH3539" s="218">
        <v>0.13983566434421277</v>
      </c>
      <c r="AI3539" s="470">
        <v>1.9298473009785614E-5</v>
      </c>
      <c r="AJ3539" s="471">
        <v>1.0920697277222179E-4</v>
      </c>
      <c r="AK3539" s="218">
        <v>0.13983566434421277</v>
      </c>
      <c r="AL3539" s="470">
        <v>1.9298473009785614E-5</v>
      </c>
      <c r="AM3539" s="471">
        <v>1.0920697277222179E-4</v>
      </c>
      <c r="AN3539" s="477">
        <v>0</v>
      </c>
      <c r="AO3539" s="473">
        <v>0</v>
      </c>
      <c r="AP3539" s="474">
        <v>0</v>
      </c>
      <c r="AQ3539" s="352"/>
      <c r="AR3539" s="352"/>
      <c r="AS3539" s="352"/>
      <c r="AT3539" s="352"/>
      <c r="AU3539" s="352"/>
      <c r="AV3539" s="352"/>
      <c r="AW3539" s="352" t="s">
        <v>254</v>
      </c>
    </row>
    <row r="3540" spans="2:49" x14ac:dyDescent="0.2">
      <c r="B3540" s="460" t="s">
        <v>3415</v>
      </c>
      <c r="C3540" s="460">
        <v>6000</v>
      </c>
      <c r="D3540" s="460" t="s">
        <v>2353</v>
      </c>
      <c r="E3540" s="460" t="s">
        <v>1137</v>
      </c>
      <c r="F3540" s="460">
        <v>2</v>
      </c>
      <c r="G3540" s="460">
        <v>4</v>
      </c>
      <c r="H3540" s="461" t="s">
        <v>700</v>
      </c>
      <c r="I3540" s="461" t="s">
        <v>872</v>
      </c>
      <c r="J3540" s="461" t="s">
        <v>700</v>
      </c>
      <c r="K3540" s="594"/>
      <c r="L3540" s="594"/>
      <c r="M3540" s="352">
        <v>6000</v>
      </c>
      <c r="N3540" s="352" t="s">
        <v>871</v>
      </c>
      <c r="O3540" s="460">
        <v>5121</v>
      </c>
      <c r="P3540" s="460" t="s">
        <v>785</v>
      </c>
      <c r="Q3540" s="460" t="s">
        <v>2553</v>
      </c>
      <c r="R3540" s="460">
        <v>5121</v>
      </c>
      <c r="S3540" s="460" t="s">
        <v>1137</v>
      </c>
      <c r="T3540" s="462">
        <v>1</v>
      </c>
      <c r="U3540" s="460" t="s">
        <v>1137</v>
      </c>
      <c r="V3540" s="475">
        <v>0</v>
      </c>
      <c r="W3540" s="463" t="s">
        <v>2554</v>
      </c>
      <c r="X3540" s="463" t="s">
        <v>2554</v>
      </c>
      <c r="Y3540" s="463" t="s">
        <v>2268</v>
      </c>
      <c r="Z3540" s="463"/>
      <c r="AA3540" s="463"/>
      <c r="AB3540" s="464">
        <v>7.0475656389363923</v>
      </c>
      <c r="AC3540" s="465">
        <v>1.8345580983781965E-4</v>
      </c>
      <c r="AD3540" s="465">
        <v>1.5914468904329492E-3</v>
      </c>
      <c r="AE3540" s="476">
        <v>1.7618914097340981</v>
      </c>
      <c r="AF3540" s="467">
        <v>4.5863952459454911E-5</v>
      </c>
      <c r="AG3540" s="468">
        <v>4.2862866281708249E-4</v>
      </c>
      <c r="AH3540" s="218">
        <v>1.7618914097340981</v>
      </c>
      <c r="AI3540" s="470">
        <v>4.5863952459454911E-5</v>
      </c>
      <c r="AJ3540" s="471">
        <v>3.6402337676422073E-4</v>
      </c>
      <c r="AK3540" s="218">
        <v>1.7618914097340981</v>
      </c>
      <c r="AL3540" s="470">
        <v>4.5863952459454911E-5</v>
      </c>
      <c r="AM3540" s="471">
        <v>3.6402337676422073E-4</v>
      </c>
      <c r="AN3540" s="477">
        <v>0</v>
      </c>
      <c r="AO3540" s="473">
        <v>0</v>
      </c>
      <c r="AP3540" s="474">
        <v>0</v>
      </c>
      <c r="AQ3540" s="352"/>
      <c r="AR3540" s="352"/>
      <c r="AS3540" s="352"/>
      <c r="AT3540" s="352"/>
      <c r="AU3540" s="352"/>
      <c r="AV3540" s="352"/>
      <c r="AW3540" s="352" t="s">
        <v>254</v>
      </c>
    </row>
    <row r="3541" spans="2:49" x14ac:dyDescent="0.2">
      <c r="B3541" s="460" t="s">
        <v>3416</v>
      </c>
      <c r="C3541" s="460">
        <v>6000</v>
      </c>
      <c r="D3541" s="460" t="s">
        <v>2355</v>
      </c>
      <c r="E3541" s="460" t="s">
        <v>1138</v>
      </c>
      <c r="F3541" s="460">
        <v>3</v>
      </c>
      <c r="G3541" s="460">
        <v>4</v>
      </c>
      <c r="H3541" s="461" t="s">
        <v>700</v>
      </c>
      <c r="I3541" s="461" t="s">
        <v>872</v>
      </c>
      <c r="J3541" s="461" t="s">
        <v>700</v>
      </c>
      <c r="K3541" s="594"/>
      <c r="L3541" s="594"/>
      <c r="M3541" s="352">
        <v>6000</v>
      </c>
      <c r="N3541" s="352" t="s">
        <v>871</v>
      </c>
      <c r="O3541" s="460">
        <v>5121</v>
      </c>
      <c r="P3541" s="460" t="s">
        <v>785</v>
      </c>
      <c r="Q3541" s="460" t="s">
        <v>2553</v>
      </c>
      <c r="R3541" s="460">
        <v>5121</v>
      </c>
      <c r="S3541" s="460" t="s">
        <v>1138</v>
      </c>
      <c r="T3541" s="462">
        <v>1</v>
      </c>
      <c r="U3541" s="460" t="s">
        <v>1138</v>
      </c>
      <c r="V3541" s="475">
        <v>0</v>
      </c>
      <c r="W3541" s="463" t="s">
        <v>2554</v>
      </c>
      <c r="X3541" s="463" t="s">
        <v>2554</v>
      </c>
      <c r="Y3541" s="463" t="s">
        <v>2268</v>
      </c>
      <c r="Z3541" s="463"/>
      <c r="AA3541" s="463"/>
      <c r="AB3541" s="464">
        <v>3.7930592614620391</v>
      </c>
      <c r="AC3541" s="465">
        <v>1.7908407412552162E-4</v>
      </c>
      <c r="AD3541" s="465">
        <v>1.5914468904329494E-3</v>
      </c>
      <c r="AE3541" s="476">
        <v>0.94826481536550977</v>
      </c>
      <c r="AF3541" s="467">
        <v>4.4771018531380405E-5</v>
      </c>
      <c r="AG3541" s="468">
        <v>4.2923897341935995E-4</v>
      </c>
      <c r="AH3541" s="218">
        <v>0.94826481536550977</v>
      </c>
      <c r="AI3541" s="470">
        <v>4.4771018531380405E-5</v>
      </c>
      <c r="AJ3541" s="471">
        <v>3.2677792068486688E-4</v>
      </c>
      <c r="AK3541" s="218">
        <v>0.94826481536550977</v>
      </c>
      <c r="AL3541" s="470">
        <v>4.4771018531380405E-5</v>
      </c>
      <c r="AM3541" s="471">
        <v>3.2677792068486688E-4</v>
      </c>
      <c r="AN3541" s="477">
        <v>0</v>
      </c>
      <c r="AO3541" s="473">
        <v>0</v>
      </c>
      <c r="AP3541" s="474">
        <v>0</v>
      </c>
      <c r="AQ3541" s="352"/>
      <c r="AR3541" s="352"/>
      <c r="AS3541" s="352"/>
      <c r="AT3541" s="352"/>
      <c r="AU3541" s="352"/>
      <c r="AV3541" s="352"/>
      <c r="AW3541" s="352" t="s">
        <v>254</v>
      </c>
    </row>
    <row r="3542" spans="2:49" x14ac:dyDescent="0.2">
      <c r="B3542" s="460" t="s">
        <v>3417</v>
      </c>
      <c r="C3542" s="460">
        <v>6000</v>
      </c>
      <c r="D3542" s="460" t="s">
        <v>2357</v>
      </c>
      <c r="E3542" s="460" t="s">
        <v>1139</v>
      </c>
      <c r="F3542" s="460">
        <v>4</v>
      </c>
      <c r="G3542" s="460">
        <v>4</v>
      </c>
      <c r="H3542" s="461" t="s">
        <v>700</v>
      </c>
      <c r="I3542" s="461" t="s">
        <v>872</v>
      </c>
      <c r="J3542" s="461" t="s">
        <v>700</v>
      </c>
      <c r="K3542" s="594"/>
      <c r="L3542" s="594"/>
      <c r="M3542" s="352">
        <v>6000</v>
      </c>
      <c r="N3542" s="352" t="s">
        <v>871</v>
      </c>
      <c r="O3542" s="460">
        <v>5121</v>
      </c>
      <c r="P3542" s="460" t="s">
        <v>785</v>
      </c>
      <c r="Q3542" s="460" t="s">
        <v>2553</v>
      </c>
      <c r="R3542" s="460">
        <v>5121</v>
      </c>
      <c r="S3542" s="460" t="s">
        <v>1139</v>
      </c>
      <c r="T3542" s="462">
        <v>1</v>
      </c>
      <c r="U3542" s="460" t="s">
        <v>1139</v>
      </c>
      <c r="V3542" s="475">
        <v>0</v>
      </c>
      <c r="W3542" s="463" t="s">
        <v>2554</v>
      </c>
      <c r="X3542" s="463" t="s">
        <v>2554</v>
      </c>
      <c r="Y3542" s="463" t="s">
        <v>2268</v>
      </c>
      <c r="Z3542" s="463"/>
      <c r="AA3542" s="463"/>
      <c r="AB3542" s="464">
        <v>0</v>
      </c>
      <c r="AC3542" s="465">
        <v>0</v>
      </c>
      <c r="AD3542" s="465">
        <v>0</v>
      </c>
      <c r="AE3542" s="476">
        <v>0</v>
      </c>
      <c r="AF3542" s="467">
        <v>0</v>
      </c>
      <c r="AG3542" s="468">
        <v>0</v>
      </c>
      <c r="AH3542" s="218">
        <v>0</v>
      </c>
      <c r="AI3542" s="470">
        <v>0</v>
      </c>
      <c r="AJ3542" s="471">
        <v>0</v>
      </c>
      <c r="AK3542" s="218">
        <v>0</v>
      </c>
      <c r="AL3542" s="470">
        <v>0</v>
      </c>
      <c r="AM3542" s="471">
        <v>0</v>
      </c>
      <c r="AN3542" s="477">
        <v>0</v>
      </c>
      <c r="AO3542" s="473">
        <v>0</v>
      </c>
      <c r="AP3542" s="474">
        <v>0</v>
      </c>
      <c r="AQ3542" s="352"/>
      <c r="AR3542" s="352"/>
      <c r="AS3542" s="352"/>
      <c r="AT3542" s="352"/>
      <c r="AU3542" s="352"/>
      <c r="AV3542" s="352"/>
      <c r="AW3542" s="352" t="s">
        <v>254</v>
      </c>
    </row>
    <row r="3543" spans="2:49" x14ac:dyDescent="0.2">
      <c r="B3543" s="460" t="s">
        <v>3414</v>
      </c>
      <c r="C3543" s="460">
        <v>6000</v>
      </c>
      <c r="D3543" s="460" t="s">
        <v>2358</v>
      </c>
      <c r="E3543" s="460" t="s">
        <v>1136</v>
      </c>
      <c r="F3543" s="460">
        <v>1</v>
      </c>
      <c r="G3543" s="460">
        <v>4</v>
      </c>
      <c r="H3543" s="461" t="s">
        <v>712</v>
      </c>
      <c r="I3543" s="461" t="s">
        <v>713</v>
      </c>
      <c r="J3543" s="461" t="s">
        <v>712</v>
      </c>
      <c r="K3543" s="594"/>
      <c r="L3543" s="594"/>
      <c r="M3543" s="352">
        <v>6000</v>
      </c>
      <c r="N3543" s="352" t="s">
        <v>871</v>
      </c>
      <c r="O3543" s="460">
        <v>5121</v>
      </c>
      <c r="P3543" s="460" t="s">
        <v>785</v>
      </c>
      <c r="Q3543" s="460" t="s">
        <v>2280</v>
      </c>
      <c r="R3543" s="460">
        <v>5121</v>
      </c>
      <c r="S3543" s="460" t="s">
        <v>1136</v>
      </c>
      <c r="T3543" s="462">
        <v>1</v>
      </c>
      <c r="U3543" s="460" t="s">
        <v>1136</v>
      </c>
      <c r="V3543" s="475">
        <v>0</v>
      </c>
      <c r="W3543" s="463" t="s">
        <v>713</v>
      </c>
      <c r="X3543" s="463" t="s">
        <v>713</v>
      </c>
      <c r="Y3543" s="463" t="s">
        <v>713</v>
      </c>
      <c r="Z3543" s="463"/>
      <c r="AA3543" s="463"/>
      <c r="AB3543" s="464">
        <v>6204.7872135227826</v>
      </c>
      <c r="AC3543" s="465">
        <v>0.8563117222862322</v>
      </c>
      <c r="AD3543" s="465">
        <v>4.0891846038498415E-2</v>
      </c>
      <c r="AE3543" s="476">
        <v>6205.2067205158155</v>
      </c>
      <c r="AF3543" s="467">
        <v>0.85636961770526154</v>
      </c>
      <c r="AG3543" s="468">
        <v>4.0887025781939382E-2</v>
      </c>
      <c r="AH3543" s="218">
        <v>6205.2067205158155</v>
      </c>
      <c r="AI3543" s="470">
        <v>0.85636961770526154</v>
      </c>
      <c r="AJ3543" s="471">
        <v>4.1302569700036415E-2</v>
      </c>
      <c r="AK3543" s="218">
        <v>6205.2067205158155</v>
      </c>
      <c r="AL3543" s="470">
        <v>0.85636961770526154</v>
      </c>
      <c r="AM3543" s="471">
        <v>4.1302569700036415E-2</v>
      </c>
      <c r="AN3543" s="477">
        <v>6205.2067205158164</v>
      </c>
      <c r="AO3543" s="473">
        <v>0.85636961770526165</v>
      </c>
      <c r="AP3543" s="474">
        <v>4.123536465150781E-2</v>
      </c>
      <c r="AQ3543" s="352"/>
      <c r="AR3543" s="352"/>
      <c r="AS3543" s="352"/>
      <c r="AT3543" s="352"/>
      <c r="AU3543" s="352"/>
      <c r="AV3543" s="352"/>
      <c r="AW3543" s="352" t="s">
        <v>254</v>
      </c>
    </row>
    <row r="3544" spans="2:49" x14ac:dyDescent="0.2">
      <c r="B3544" s="460" t="s">
        <v>3415</v>
      </c>
      <c r="C3544" s="460">
        <v>6000</v>
      </c>
      <c r="D3544" s="460" t="s">
        <v>2359</v>
      </c>
      <c r="E3544" s="460" t="s">
        <v>1137</v>
      </c>
      <c r="F3544" s="460">
        <v>2</v>
      </c>
      <c r="G3544" s="460">
        <v>4</v>
      </c>
      <c r="H3544" s="461" t="s">
        <v>712</v>
      </c>
      <c r="I3544" s="461" t="s">
        <v>713</v>
      </c>
      <c r="J3544" s="461" t="s">
        <v>712</v>
      </c>
      <c r="K3544" s="594"/>
      <c r="L3544" s="594"/>
      <c r="M3544" s="352">
        <v>6000</v>
      </c>
      <c r="N3544" s="352" t="s">
        <v>871</v>
      </c>
      <c r="O3544" s="460">
        <v>5121</v>
      </c>
      <c r="P3544" s="460" t="s">
        <v>785</v>
      </c>
      <c r="Q3544" s="460" t="s">
        <v>2280</v>
      </c>
      <c r="R3544" s="460">
        <v>5121</v>
      </c>
      <c r="S3544" s="460" t="s">
        <v>1137</v>
      </c>
      <c r="T3544" s="462">
        <v>1</v>
      </c>
      <c r="U3544" s="460" t="s">
        <v>1137</v>
      </c>
      <c r="V3544" s="475">
        <v>0</v>
      </c>
      <c r="W3544" s="463" t="s">
        <v>713</v>
      </c>
      <c r="X3544" s="463" t="s">
        <v>713</v>
      </c>
      <c r="Y3544" s="463" t="s">
        <v>713</v>
      </c>
      <c r="Z3544" s="463"/>
      <c r="AA3544" s="463"/>
      <c r="AB3544" s="464">
        <v>6511.1781563735694</v>
      </c>
      <c r="AC3544" s="465">
        <v>0.16949305942982446</v>
      </c>
      <c r="AD3544" s="465">
        <v>3.7655041465950854E-2</v>
      </c>
      <c r="AE3544" s="476">
        <v>6516.4638306027746</v>
      </c>
      <c r="AF3544" s="467">
        <v>0.16963065128720289</v>
      </c>
      <c r="AG3544" s="468">
        <v>3.7616459351048903E-2</v>
      </c>
      <c r="AH3544" s="218">
        <v>6516.4638306027746</v>
      </c>
      <c r="AI3544" s="470">
        <v>0.16963065128720289</v>
      </c>
      <c r="AJ3544" s="471">
        <v>3.7794957707337616E-2</v>
      </c>
      <c r="AK3544" s="218">
        <v>6516.4638306027746</v>
      </c>
      <c r="AL3544" s="470">
        <v>0.16963065128720289</v>
      </c>
      <c r="AM3544" s="471">
        <v>3.7794957707337616E-2</v>
      </c>
      <c r="AN3544" s="477">
        <v>6516.4638306027746</v>
      </c>
      <c r="AO3544" s="473">
        <v>0.16963065128720289</v>
      </c>
      <c r="AP3544" s="474">
        <v>3.7763771445428751E-2</v>
      </c>
      <c r="AQ3544" s="352"/>
      <c r="AR3544" s="352"/>
      <c r="AS3544" s="352"/>
      <c r="AT3544" s="352"/>
      <c r="AU3544" s="352"/>
      <c r="AV3544" s="352"/>
      <c r="AW3544" s="352" t="s">
        <v>254</v>
      </c>
    </row>
    <row r="3545" spans="2:49" x14ac:dyDescent="0.2">
      <c r="B3545" s="460" t="s">
        <v>3416</v>
      </c>
      <c r="C3545" s="460">
        <v>6000</v>
      </c>
      <c r="D3545" s="460" t="s">
        <v>2360</v>
      </c>
      <c r="E3545" s="460" t="s">
        <v>1138</v>
      </c>
      <c r="F3545" s="460">
        <v>3</v>
      </c>
      <c r="G3545" s="460">
        <v>4</v>
      </c>
      <c r="H3545" s="461" t="s">
        <v>712</v>
      </c>
      <c r="I3545" s="461" t="s">
        <v>713</v>
      </c>
      <c r="J3545" s="461" t="s">
        <v>712</v>
      </c>
      <c r="K3545" s="594"/>
      <c r="L3545" s="594"/>
      <c r="M3545" s="352">
        <v>6000</v>
      </c>
      <c r="N3545" s="352" t="s">
        <v>871</v>
      </c>
      <c r="O3545" s="460">
        <v>5121</v>
      </c>
      <c r="P3545" s="460" t="s">
        <v>785</v>
      </c>
      <c r="Q3545" s="460" t="s">
        <v>2280</v>
      </c>
      <c r="R3545" s="460">
        <v>5121</v>
      </c>
      <c r="S3545" s="460" t="s">
        <v>1138</v>
      </c>
      <c r="T3545" s="462">
        <v>1</v>
      </c>
      <c r="U3545" s="460" t="s">
        <v>1138</v>
      </c>
      <c r="V3545" s="475">
        <v>0</v>
      </c>
      <c r="W3545" s="463" t="s">
        <v>713</v>
      </c>
      <c r="X3545" s="463" t="s">
        <v>713</v>
      </c>
      <c r="Y3545" s="463" t="s">
        <v>713</v>
      </c>
      <c r="Z3545" s="463"/>
      <c r="AA3545" s="463"/>
      <c r="AB3545" s="464">
        <v>835.29402079437659</v>
      </c>
      <c r="AC3545" s="465">
        <v>3.9437257903238328E-2</v>
      </c>
      <c r="AD3545" s="465">
        <v>1.0424090730312693E-2</v>
      </c>
      <c r="AE3545" s="476">
        <v>838.13881524047054</v>
      </c>
      <c r="AF3545" s="467">
        <v>3.9571570958832347E-2</v>
      </c>
      <c r="AG3545" s="468">
        <v>1.0436899912484357E-2</v>
      </c>
      <c r="AH3545" s="218">
        <v>838.13881524047054</v>
      </c>
      <c r="AI3545" s="470">
        <v>3.9571570958832347E-2</v>
      </c>
      <c r="AJ3545" s="471">
        <v>1.0559276454326654E-2</v>
      </c>
      <c r="AK3545" s="218">
        <v>838.13881524047054</v>
      </c>
      <c r="AL3545" s="470">
        <v>3.9571570958832347E-2</v>
      </c>
      <c r="AM3545" s="471">
        <v>1.0559276454326654E-2</v>
      </c>
      <c r="AN3545" s="477">
        <v>838.13881524047054</v>
      </c>
      <c r="AO3545" s="473">
        <v>3.9571570958832347E-2</v>
      </c>
      <c r="AP3545" s="474">
        <v>1.0558480664105196E-2</v>
      </c>
      <c r="AQ3545" s="352"/>
      <c r="AR3545" s="352"/>
      <c r="AS3545" s="352"/>
      <c r="AT3545" s="352"/>
      <c r="AU3545" s="352"/>
      <c r="AV3545" s="352"/>
      <c r="AW3545" s="352" t="s">
        <v>254</v>
      </c>
    </row>
    <row r="3546" spans="2:49" x14ac:dyDescent="0.2">
      <c r="B3546" s="460" t="s">
        <v>3417</v>
      </c>
      <c r="C3546" s="460">
        <v>6000</v>
      </c>
      <c r="D3546" s="460" t="s">
        <v>2361</v>
      </c>
      <c r="E3546" s="460" t="s">
        <v>1139</v>
      </c>
      <c r="F3546" s="460">
        <v>4</v>
      </c>
      <c r="G3546" s="460">
        <v>4</v>
      </c>
      <c r="H3546" s="461" t="s">
        <v>712</v>
      </c>
      <c r="I3546" s="461" t="s">
        <v>713</v>
      </c>
      <c r="J3546" s="461" t="s">
        <v>712</v>
      </c>
      <c r="K3546" s="594"/>
      <c r="L3546" s="594"/>
      <c r="M3546" s="352">
        <v>6000</v>
      </c>
      <c r="N3546" s="352" t="s">
        <v>871</v>
      </c>
      <c r="O3546" s="460">
        <v>5121</v>
      </c>
      <c r="P3546" s="460" t="s">
        <v>785</v>
      </c>
      <c r="Q3546" s="460" t="s">
        <v>2280</v>
      </c>
      <c r="R3546" s="460">
        <v>5121</v>
      </c>
      <c r="S3546" s="460" t="s">
        <v>1139</v>
      </c>
      <c r="T3546" s="462">
        <v>1</v>
      </c>
      <c r="U3546" s="460" t="s">
        <v>1139</v>
      </c>
      <c r="V3546" s="475">
        <v>0</v>
      </c>
      <c r="W3546" s="463" t="s">
        <v>713</v>
      </c>
      <c r="X3546" s="463" t="s">
        <v>713</v>
      </c>
      <c r="Y3546" s="463" t="s">
        <v>713</v>
      </c>
      <c r="Z3546" s="463"/>
      <c r="AA3546" s="463"/>
      <c r="AB3546" s="464">
        <v>941.25746038483271</v>
      </c>
      <c r="AC3546" s="465">
        <v>5.8931631366239932E-2</v>
      </c>
      <c r="AD3546" s="465">
        <v>1.0421824109765096E-2</v>
      </c>
      <c r="AE3546" s="476">
        <v>941.25746038483408</v>
      </c>
      <c r="AF3546" s="467">
        <v>5.8931631366240023E-2</v>
      </c>
      <c r="AG3546" s="468">
        <v>1.042182410976511E-2</v>
      </c>
      <c r="AH3546" s="218">
        <v>941.25746038483408</v>
      </c>
      <c r="AI3546" s="470">
        <v>5.8931631366240023E-2</v>
      </c>
      <c r="AJ3546" s="471">
        <v>1.0645975214902058E-2</v>
      </c>
      <c r="AK3546" s="218">
        <v>941.25746038483408</v>
      </c>
      <c r="AL3546" s="470">
        <v>5.8931631366240023E-2</v>
      </c>
      <c r="AM3546" s="471">
        <v>1.0645975214902058E-2</v>
      </c>
      <c r="AN3546" s="477">
        <v>941.25746038483408</v>
      </c>
      <c r="AO3546" s="473">
        <v>5.8931631366240023E-2</v>
      </c>
      <c r="AP3546" s="474">
        <v>1.0645975214902058E-2</v>
      </c>
      <c r="AQ3546" s="352"/>
      <c r="AR3546" s="352"/>
      <c r="AS3546" s="352"/>
      <c r="AT3546" s="352"/>
      <c r="AU3546" s="352"/>
      <c r="AV3546" s="352"/>
      <c r="AW3546" s="352" t="s">
        <v>254</v>
      </c>
    </row>
    <row r="3547" spans="2:49" x14ac:dyDescent="0.2">
      <c r="B3547" s="460" t="s">
        <v>3414</v>
      </c>
      <c r="C3547" s="460">
        <v>6000</v>
      </c>
      <c r="D3547" s="460" t="s">
        <v>2570</v>
      </c>
      <c r="E3547" s="460" t="s">
        <v>1136</v>
      </c>
      <c r="F3547" s="460">
        <v>1</v>
      </c>
      <c r="G3547" s="460">
        <v>4</v>
      </c>
      <c r="H3547" s="461" t="s">
        <v>719</v>
      </c>
      <c r="I3547" s="461" t="s">
        <v>720</v>
      </c>
      <c r="J3547" s="461" t="s">
        <v>719</v>
      </c>
      <c r="K3547" s="594"/>
      <c r="L3547" s="594"/>
      <c r="M3547" s="352">
        <v>6000</v>
      </c>
      <c r="N3547" s="352" t="s">
        <v>871</v>
      </c>
      <c r="O3547" s="460">
        <v>5121</v>
      </c>
      <c r="P3547" s="460" t="s">
        <v>785</v>
      </c>
      <c r="Q3547" s="460" t="s">
        <v>3374</v>
      </c>
      <c r="R3547" s="460">
        <v>5121</v>
      </c>
      <c r="S3547" s="460" t="s">
        <v>1136</v>
      </c>
      <c r="T3547" s="462">
        <v>1</v>
      </c>
      <c r="U3547" s="460" t="s">
        <v>1136</v>
      </c>
      <c r="V3547" s="475">
        <v>0</v>
      </c>
      <c r="W3547" s="463" t="s">
        <v>2278</v>
      </c>
      <c r="X3547" s="463" t="s">
        <v>2278</v>
      </c>
      <c r="Y3547" s="463" t="s">
        <v>2278</v>
      </c>
      <c r="Z3547" s="463"/>
      <c r="AA3547" s="463"/>
      <c r="AB3547" s="464">
        <v>1040.597942812416</v>
      </c>
      <c r="AC3547" s="465">
        <v>0.1436110838217286</v>
      </c>
      <c r="AD3547" s="465">
        <v>0.21665016986848104</v>
      </c>
      <c r="AE3547" s="476">
        <v>1040.597942812416</v>
      </c>
      <c r="AF3547" s="467">
        <v>0.1436110838217286</v>
      </c>
      <c r="AG3547" s="468">
        <v>0.21665016986848104</v>
      </c>
      <c r="AH3547" s="218">
        <v>1040.597942812416</v>
      </c>
      <c r="AI3547" s="470">
        <v>0.1436110838217286</v>
      </c>
      <c r="AJ3547" s="471">
        <v>0.21665016986848104</v>
      </c>
      <c r="AK3547" s="218">
        <v>1040.597942812416</v>
      </c>
      <c r="AL3547" s="470">
        <v>0.1436110838217286</v>
      </c>
      <c r="AM3547" s="471">
        <v>0.21665016986848104</v>
      </c>
      <c r="AN3547" s="477">
        <v>1040.597942812416</v>
      </c>
      <c r="AO3547" s="473">
        <v>0.1436110838217286</v>
      </c>
      <c r="AP3547" s="474">
        <v>0.21665016986848104</v>
      </c>
      <c r="AQ3547" s="352"/>
      <c r="AR3547" s="352"/>
      <c r="AS3547" s="352"/>
      <c r="AT3547" s="352"/>
      <c r="AU3547" s="352"/>
      <c r="AV3547" s="352"/>
      <c r="AW3547" s="352" t="s">
        <v>254</v>
      </c>
    </row>
    <row r="3548" spans="2:49" x14ac:dyDescent="0.2">
      <c r="B3548" s="460" t="s">
        <v>3415</v>
      </c>
      <c r="C3548" s="460">
        <v>6000</v>
      </c>
      <c r="D3548" s="460" t="s">
        <v>2572</v>
      </c>
      <c r="E3548" s="460" t="s">
        <v>1137</v>
      </c>
      <c r="F3548" s="460">
        <v>2</v>
      </c>
      <c r="G3548" s="460">
        <v>4</v>
      </c>
      <c r="H3548" s="461" t="s">
        <v>719</v>
      </c>
      <c r="I3548" s="461" t="s">
        <v>720</v>
      </c>
      <c r="J3548" s="461" t="s">
        <v>719</v>
      </c>
      <c r="K3548" s="594"/>
      <c r="L3548" s="594"/>
      <c r="M3548" s="352">
        <v>6000</v>
      </c>
      <c r="N3548" s="352" t="s">
        <v>871</v>
      </c>
      <c r="O3548" s="460">
        <v>5121</v>
      </c>
      <c r="P3548" s="460" t="s">
        <v>785</v>
      </c>
      <c r="Q3548" s="460" t="s">
        <v>3374</v>
      </c>
      <c r="R3548" s="460">
        <v>5121</v>
      </c>
      <c r="S3548" s="460" t="s">
        <v>1137</v>
      </c>
      <c r="T3548" s="462">
        <v>1</v>
      </c>
      <c r="U3548" s="460" t="s">
        <v>1137</v>
      </c>
      <c r="V3548" s="475">
        <v>0</v>
      </c>
      <c r="W3548" s="463" t="s">
        <v>2278</v>
      </c>
      <c r="X3548" s="463" t="s">
        <v>2278</v>
      </c>
      <c r="Y3548" s="463" t="s">
        <v>2278</v>
      </c>
      <c r="Z3548" s="463"/>
      <c r="AA3548" s="463"/>
      <c r="AB3548" s="464">
        <v>31897.377714949496</v>
      </c>
      <c r="AC3548" s="465">
        <v>0.83032348476033768</v>
      </c>
      <c r="AD3548" s="465">
        <v>0.70326387299391713</v>
      </c>
      <c r="AE3548" s="476">
        <v>31897.377714949496</v>
      </c>
      <c r="AF3548" s="467">
        <v>0.83032348476033768</v>
      </c>
      <c r="AG3548" s="468">
        <v>0.70326387299391713</v>
      </c>
      <c r="AH3548" s="218">
        <v>31897.377714949496</v>
      </c>
      <c r="AI3548" s="470">
        <v>0.83032348476033768</v>
      </c>
      <c r="AJ3548" s="471">
        <v>0.70326387299391713</v>
      </c>
      <c r="AK3548" s="218">
        <v>31897.377714949496</v>
      </c>
      <c r="AL3548" s="470">
        <v>0.83032348476033768</v>
      </c>
      <c r="AM3548" s="471">
        <v>0.70326387299391713</v>
      </c>
      <c r="AN3548" s="477">
        <v>31897.377714949496</v>
      </c>
      <c r="AO3548" s="473">
        <v>0.83032348476033768</v>
      </c>
      <c r="AP3548" s="474">
        <v>0.70326387299391713</v>
      </c>
      <c r="AQ3548" s="352"/>
      <c r="AR3548" s="352"/>
      <c r="AS3548" s="352"/>
      <c r="AT3548" s="352"/>
      <c r="AU3548" s="352"/>
      <c r="AV3548" s="352"/>
      <c r="AW3548" s="352" t="s">
        <v>254</v>
      </c>
    </row>
    <row r="3549" spans="2:49" x14ac:dyDescent="0.2">
      <c r="B3549" s="460" t="s">
        <v>3416</v>
      </c>
      <c r="C3549" s="460">
        <v>6000</v>
      </c>
      <c r="D3549" s="460" t="s">
        <v>2573</v>
      </c>
      <c r="E3549" s="460" t="s">
        <v>1138</v>
      </c>
      <c r="F3549" s="460">
        <v>3</v>
      </c>
      <c r="G3549" s="460">
        <v>4</v>
      </c>
      <c r="H3549" s="461" t="s">
        <v>719</v>
      </c>
      <c r="I3549" s="461" t="s">
        <v>720</v>
      </c>
      <c r="J3549" s="461" t="s">
        <v>719</v>
      </c>
      <c r="K3549" s="594"/>
      <c r="L3549" s="594"/>
      <c r="M3549" s="352">
        <v>6000</v>
      </c>
      <c r="N3549" s="352" t="s">
        <v>871</v>
      </c>
      <c r="O3549" s="460">
        <v>5121</v>
      </c>
      <c r="P3549" s="460" t="s">
        <v>785</v>
      </c>
      <c r="Q3549" s="460" t="s">
        <v>3374</v>
      </c>
      <c r="R3549" s="460">
        <v>5121</v>
      </c>
      <c r="S3549" s="460" t="s">
        <v>1138</v>
      </c>
      <c r="T3549" s="462">
        <v>1</v>
      </c>
      <c r="U3549" s="460" t="s">
        <v>1138</v>
      </c>
      <c r="V3549" s="475">
        <v>0</v>
      </c>
      <c r="W3549" s="463" t="s">
        <v>2278</v>
      </c>
      <c r="X3549" s="463" t="s">
        <v>2278</v>
      </c>
      <c r="Y3549" s="463" t="s">
        <v>2278</v>
      </c>
      <c r="Z3549" s="463"/>
      <c r="AA3549" s="463"/>
      <c r="AB3549" s="464">
        <v>20341.23998131898</v>
      </c>
      <c r="AC3549" s="465">
        <v>0.96038365802263626</v>
      </c>
      <c r="AD3549" s="465">
        <v>0.66728827349462261</v>
      </c>
      <c r="AE3549" s="476">
        <v>20341.23998131898</v>
      </c>
      <c r="AF3549" s="467">
        <v>0.96038365802263626</v>
      </c>
      <c r="AG3549" s="468">
        <v>0.66728827349462261</v>
      </c>
      <c r="AH3549" s="218">
        <v>20341.23998131898</v>
      </c>
      <c r="AI3549" s="470">
        <v>0.96038365802263626</v>
      </c>
      <c r="AJ3549" s="471">
        <v>0.66728827349462261</v>
      </c>
      <c r="AK3549" s="218">
        <v>20341.23998131898</v>
      </c>
      <c r="AL3549" s="470">
        <v>0.96038365802263626</v>
      </c>
      <c r="AM3549" s="471">
        <v>0.66728827349462261</v>
      </c>
      <c r="AN3549" s="477">
        <v>20341.23998131898</v>
      </c>
      <c r="AO3549" s="473">
        <v>0.96038365802263626</v>
      </c>
      <c r="AP3549" s="474">
        <v>0.66728827349462261</v>
      </c>
      <c r="AQ3549" s="352"/>
      <c r="AR3549" s="352"/>
      <c r="AS3549" s="352"/>
      <c r="AT3549" s="352"/>
      <c r="AU3549" s="352"/>
      <c r="AV3549" s="352"/>
      <c r="AW3549" s="352" t="s">
        <v>254</v>
      </c>
    </row>
    <row r="3550" spans="2:49" x14ac:dyDescent="0.2">
      <c r="B3550" s="460" t="s">
        <v>3417</v>
      </c>
      <c r="C3550" s="460">
        <v>6000</v>
      </c>
      <c r="D3550" s="460" t="s">
        <v>2574</v>
      </c>
      <c r="E3550" s="460" t="s">
        <v>1139</v>
      </c>
      <c r="F3550" s="460">
        <v>4</v>
      </c>
      <c r="G3550" s="460">
        <v>4</v>
      </c>
      <c r="H3550" s="461" t="s">
        <v>719</v>
      </c>
      <c r="I3550" s="461" t="s">
        <v>720</v>
      </c>
      <c r="J3550" s="461" t="s">
        <v>719</v>
      </c>
      <c r="K3550" s="594"/>
      <c r="L3550" s="594"/>
      <c r="M3550" s="352">
        <v>6000</v>
      </c>
      <c r="N3550" s="352" t="s">
        <v>871</v>
      </c>
      <c r="O3550" s="460">
        <v>5121</v>
      </c>
      <c r="P3550" s="460" t="s">
        <v>785</v>
      </c>
      <c r="Q3550" s="460" t="s">
        <v>3374</v>
      </c>
      <c r="R3550" s="460">
        <v>5121</v>
      </c>
      <c r="S3550" s="460" t="s">
        <v>1139</v>
      </c>
      <c r="T3550" s="462">
        <v>1</v>
      </c>
      <c r="U3550" s="460" t="s">
        <v>1139</v>
      </c>
      <c r="V3550" s="475">
        <v>0</v>
      </c>
      <c r="W3550" s="463" t="s">
        <v>2278</v>
      </c>
      <c r="X3550" s="463" t="s">
        <v>2278</v>
      </c>
      <c r="Y3550" s="463" t="s">
        <v>2278</v>
      </c>
      <c r="Z3550" s="463"/>
      <c r="AA3550" s="463"/>
      <c r="AB3550" s="464">
        <v>15030.767046034131</v>
      </c>
      <c r="AC3550" s="465">
        <v>0.94106836863375998</v>
      </c>
      <c r="AD3550" s="465">
        <v>0.70867951651468963</v>
      </c>
      <c r="AE3550" s="476">
        <v>15030.767046034131</v>
      </c>
      <c r="AF3550" s="467">
        <v>0.94106836863375998</v>
      </c>
      <c r="AG3550" s="468">
        <v>0.70867951651468963</v>
      </c>
      <c r="AH3550" s="218">
        <v>15030.767046034131</v>
      </c>
      <c r="AI3550" s="470">
        <v>0.94106836863375998</v>
      </c>
      <c r="AJ3550" s="471">
        <v>0.70867951651468963</v>
      </c>
      <c r="AK3550" s="218">
        <v>15030.767046034131</v>
      </c>
      <c r="AL3550" s="470">
        <v>0.94106836863375998</v>
      </c>
      <c r="AM3550" s="471">
        <v>0.70867951651468963</v>
      </c>
      <c r="AN3550" s="477">
        <v>15030.767046034131</v>
      </c>
      <c r="AO3550" s="473">
        <v>0.94106836863375998</v>
      </c>
      <c r="AP3550" s="474">
        <v>0.70867951651468963</v>
      </c>
      <c r="AQ3550" s="352"/>
      <c r="AR3550" s="352"/>
      <c r="AS3550" s="352"/>
      <c r="AT3550" s="352"/>
      <c r="AU3550" s="352"/>
      <c r="AV3550" s="352"/>
      <c r="AW3550" s="352" t="s">
        <v>254</v>
      </c>
    </row>
    <row r="3551" spans="2:49" x14ac:dyDescent="0.2">
      <c r="B3551" s="460" t="s">
        <v>3414</v>
      </c>
      <c r="C3551" s="460">
        <v>6000</v>
      </c>
      <c r="D3551" s="460" t="s">
        <v>2362</v>
      </c>
      <c r="E3551" s="460" t="s">
        <v>1136</v>
      </c>
      <c r="F3551" s="460">
        <v>1</v>
      </c>
      <c r="G3551" s="460">
        <v>4</v>
      </c>
      <c r="H3551" s="461" t="s">
        <v>746</v>
      </c>
      <c r="I3551" s="461" t="s">
        <v>762</v>
      </c>
      <c r="J3551" s="461" t="s">
        <v>700</v>
      </c>
      <c r="K3551" s="594"/>
      <c r="L3551" s="594"/>
      <c r="M3551" s="352">
        <v>6000</v>
      </c>
      <c r="N3551" s="352" t="s">
        <v>871</v>
      </c>
      <c r="O3551" s="460">
        <v>5121</v>
      </c>
      <c r="P3551" s="460" t="s">
        <v>785</v>
      </c>
      <c r="Q3551" s="460" t="s">
        <v>2553</v>
      </c>
      <c r="R3551" s="460">
        <v>5121</v>
      </c>
      <c r="S3551" s="460" t="s">
        <v>1136</v>
      </c>
      <c r="T3551" s="462">
        <v>1</v>
      </c>
      <c r="U3551" s="460" t="s">
        <v>1136</v>
      </c>
      <c r="V3551" s="475">
        <v>0</v>
      </c>
      <c r="W3551" s="463" t="s">
        <v>2268</v>
      </c>
      <c r="X3551" s="463" t="s">
        <v>2268</v>
      </c>
      <c r="Y3551" s="463" t="s">
        <v>2554</v>
      </c>
      <c r="Z3551" s="463"/>
      <c r="AA3551" s="463"/>
      <c r="AB3551" s="464">
        <v>0</v>
      </c>
      <c r="AC3551" s="465">
        <v>0</v>
      </c>
      <c r="AD3551" s="465">
        <v>0</v>
      </c>
      <c r="AE3551" s="476">
        <v>0</v>
      </c>
      <c r="AF3551" s="467">
        <v>0</v>
      </c>
      <c r="AG3551" s="468">
        <v>0</v>
      </c>
      <c r="AH3551" s="218">
        <v>0</v>
      </c>
      <c r="AI3551" s="470">
        <v>0</v>
      </c>
      <c r="AJ3551" s="471">
        <v>0</v>
      </c>
      <c r="AK3551" s="218">
        <v>0</v>
      </c>
      <c r="AL3551" s="470">
        <v>0</v>
      </c>
      <c r="AM3551" s="471">
        <v>0</v>
      </c>
      <c r="AN3551" s="477">
        <v>0.11186853147537018</v>
      </c>
      <c r="AO3551" s="473">
        <v>1.5438778407828487E-5</v>
      </c>
      <c r="AP3551" s="474">
        <v>5.0458201865105287E-4</v>
      </c>
      <c r="AQ3551" s="352"/>
      <c r="AR3551" s="352"/>
      <c r="AS3551" s="352"/>
      <c r="AT3551" s="352"/>
      <c r="AU3551" s="352"/>
      <c r="AV3551" s="352"/>
      <c r="AW3551" s="352" t="s">
        <v>254</v>
      </c>
    </row>
    <row r="3552" spans="2:49" x14ac:dyDescent="0.2">
      <c r="B3552" s="460" t="s">
        <v>3415</v>
      </c>
      <c r="C3552" s="460">
        <v>6000</v>
      </c>
      <c r="D3552" s="460" t="s">
        <v>2363</v>
      </c>
      <c r="E3552" s="460" t="s">
        <v>1137</v>
      </c>
      <c r="F3552" s="460">
        <v>2</v>
      </c>
      <c r="G3552" s="460">
        <v>4</v>
      </c>
      <c r="H3552" s="461" t="s">
        <v>746</v>
      </c>
      <c r="I3552" s="461" t="s">
        <v>762</v>
      </c>
      <c r="J3552" s="461" t="s">
        <v>700</v>
      </c>
      <c r="K3552" s="594"/>
      <c r="L3552" s="594"/>
      <c r="M3552" s="352">
        <v>6000</v>
      </c>
      <c r="N3552" s="352" t="s">
        <v>871</v>
      </c>
      <c r="O3552" s="460">
        <v>5121</v>
      </c>
      <c r="P3552" s="460" t="s">
        <v>785</v>
      </c>
      <c r="Q3552" s="460" t="s">
        <v>2553</v>
      </c>
      <c r="R3552" s="460">
        <v>5121</v>
      </c>
      <c r="S3552" s="460" t="s">
        <v>1137</v>
      </c>
      <c r="T3552" s="462">
        <v>1</v>
      </c>
      <c r="U3552" s="460" t="s">
        <v>1137</v>
      </c>
      <c r="V3552" s="475">
        <v>0</v>
      </c>
      <c r="W3552" s="463" t="s">
        <v>2268</v>
      </c>
      <c r="X3552" s="463" t="s">
        <v>2268</v>
      </c>
      <c r="Y3552" s="463" t="s">
        <v>2554</v>
      </c>
      <c r="Z3552" s="463"/>
      <c r="AA3552" s="463"/>
      <c r="AB3552" s="464">
        <v>0</v>
      </c>
      <c r="AC3552" s="465">
        <v>0</v>
      </c>
      <c r="AD3552" s="465">
        <v>0</v>
      </c>
      <c r="AE3552" s="476">
        <v>0</v>
      </c>
      <c r="AF3552" s="467">
        <v>0</v>
      </c>
      <c r="AG3552" s="468">
        <v>0</v>
      </c>
      <c r="AH3552" s="218">
        <v>0</v>
      </c>
      <c r="AI3552" s="470">
        <v>0</v>
      </c>
      <c r="AJ3552" s="471">
        <v>0</v>
      </c>
      <c r="AK3552" s="218">
        <v>0</v>
      </c>
      <c r="AL3552" s="470">
        <v>0</v>
      </c>
      <c r="AM3552" s="471">
        <v>0</v>
      </c>
      <c r="AN3552" s="477">
        <v>1.4095131277872779</v>
      </c>
      <c r="AO3552" s="473">
        <v>3.6691161967563918E-5</v>
      </c>
      <c r="AP3552" s="474">
        <v>3.8516859517170025E-4</v>
      </c>
      <c r="AQ3552" s="352"/>
      <c r="AR3552" s="352"/>
      <c r="AS3552" s="352"/>
      <c r="AT3552" s="352"/>
      <c r="AU3552" s="352"/>
      <c r="AV3552" s="352"/>
      <c r="AW3552" s="352" t="s">
        <v>254</v>
      </c>
    </row>
    <row r="3553" spans="2:49" x14ac:dyDescent="0.2">
      <c r="B3553" s="460" t="s">
        <v>3416</v>
      </c>
      <c r="C3553" s="460">
        <v>6000</v>
      </c>
      <c r="D3553" s="460" t="s">
        <v>2364</v>
      </c>
      <c r="E3553" s="460" t="s">
        <v>1138</v>
      </c>
      <c r="F3553" s="460">
        <v>3</v>
      </c>
      <c r="G3553" s="460">
        <v>4</v>
      </c>
      <c r="H3553" s="461" t="s">
        <v>746</v>
      </c>
      <c r="I3553" s="461" t="s">
        <v>762</v>
      </c>
      <c r="J3553" s="461" t="s">
        <v>700</v>
      </c>
      <c r="K3553" s="594"/>
      <c r="L3553" s="594"/>
      <c r="M3553" s="352">
        <v>6000</v>
      </c>
      <c r="N3553" s="352" t="s">
        <v>871</v>
      </c>
      <c r="O3553" s="460">
        <v>5121</v>
      </c>
      <c r="P3553" s="460" t="s">
        <v>785</v>
      </c>
      <c r="Q3553" s="460" t="s">
        <v>2553</v>
      </c>
      <c r="R3553" s="460">
        <v>5121</v>
      </c>
      <c r="S3553" s="460" t="s">
        <v>1138</v>
      </c>
      <c r="T3553" s="462">
        <v>1</v>
      </c>
      <c r="U3553" s="460" t="s">
        <v>1138</v>
      </c>
      <c r="V3553" s="475">
        <v>0</v>
      </c>
      <c r="W3553" s="463" t="s">
        <v>2268</v>
      </c>
      <c r="X3553" s="463" t="s">
        <v>2268</v>
      </c>
      <c r="Y3553" s="463" t="s">
        <v>2554</v>
      </c>
      <c r="Z3553" s="463"/>
      <c r="AA3553" s="463"/>
      <c r="AB3553" s="464">
        <v>0</v>
      </c>
      <c r="AC3553" s="465">
        <v>0</v>
      </c>
      <c r="AD3553" s="465">
        <v>0</v>
      </c>
      <c r="AE3553" s="476">
        <v>0</v>
      </c>
      <c r="AF3553" s="467">
        <v>0</v>
      </c>
      <c r="AG3553" s="468">
        <v>0</v>
      </c>
      <c r="AH3553" s="218">
        <v>0</v>
      </c>
      <c r="AI3553" s="470">
        <v>0</v>
      </c>
      <c r="AJ3553" s="471">
        <v>0</v>
      </c>
      <c r="AK3553" s="218">
        <v>0</v>
      </c>
      <c r="AL3553" s="470">
        <v>0</v>
      </c>
      <c r="AM3553" s="471">
        <v>0</v>
      </c>
      <c r="AN3553" s="477">
        <v>0.7586118522924078</v>
      </c>
      <c r="AO3553" s="473">
        <v>3.5816814825104319E-5</v>
      </c>
      <c r="AP3553" s="474">
        <v>3.9264156158508681E-4</v>
      </c>
      <c r="AQ3553" s="352"/>
      <c r="AR3553" s="352"/>
      <c r="AS3553" s="352"/>
      <c r="AT3553" s="352"/>
      <c r="AU3553" s="352"/>
      <c r="AV3553" s="352"/>
      <c r="AW3553" s="352" t="s">
        <v>254</v>
      </c>
    </row>
    <row r="3554" spans="2:49" x14ac:dyDescent="0.2">
      <c r="B3554" s="460" t="s">
        <v>3417</v>
      </c>
      <c r="C3554" s="460">
        <v>6000</v>
      </c>
      <c r="D3554" s="460" t="s">
        <v>2365</v>
      </c>
      <c r="E3554" s="460" t="s">
        <v>1139</v>
      </c>
      <c r="F3554" s="460">
        <v>4</v>
      </c>
      <c r="G3554" s="460">
        <v>4</v>
      </c>
      <c r="H3554" s="461" t="s">
        <v>746</v>
      </c>
      <c r="I3554" s="461" t="s">
        <v>762</v>
      </c>
      <c r="J3554" s="461" t="s">
        <v>700</v>
      </c>
      <c r="K3554" s="594"/>
      <c r="L3554" s="594"/>
      <c r="M3554" s="352">
        <v>6000</v>
      </c>
      <c r="N3554" s="352" t="s">
        <v>871</v>
      </c>
      <c r="O3554" s="460">
        <v>5121</v>
      </c>
      <c r="P3554" s="460" t="s">
        <v>785</v>
      </c>
      <c r="Q3554" s="460" t="s">
        <v>2553</v>
      </c>
      <c r="R3554" s="460">
        <v>5121</v>
      </c>
      <c r="S3554" s="460" t="s">
        <v>1139</v>
      </c>
      <c r="T3554" s="462">
        <v>1</v>
      </c>
      <c r="U3554" s="460" t="s">
        <v>1139</v>
      </c>
      <c r="V3554" s="475">
        <v>0</v>
      </c>
      <c r="W3554" s="463" t="s">
        <v>2268</v>
      </c>
      <c r="X3554" s="463" t="s">
        <v>2268</v>
      </c>
      <c r="Y3554" s="463" t="s">
        <v>2554</v>
      </c>
      <c r="Z3554" s="463"/>
      <c r="AA3554" s="463"/>
      <c r="AB3554" s="464">
        <v>0</v>
      </c>
      <c r="AC3554" s="465">
        <v>0</v>
      </c>
      <c r="AD3554" s="465">
        <v>0</v>
      </c>
      <c r="AE3554" s="476">
        <v>0</v>
      </c>
      <c r="AF3554" s="467">
        <v>0</v>
      </c>
      <c r="AG3554" s="468">
        <v>0</v>
      </c>
      <c r="AH3554" s="218">
        <v>0</v>
      </c>
      <c r="AI3554" s="470">
        <v>0</v>
      </c>
      <c r="AJ3554" s="471">
        <v>0</v>
      </c>
      <c r="AK3554" s="218">
        <v>0</v>
      </c>
      <c r="AL3554" s="470">
        <v>0</v>
      </c>
      <c r="AM3554" s="471">
        <v>0</v>
      </c>
      <c r="AN3554" s="477">
        <v>0</v>
      </c>
      <c r="AO3554" s="473">
        <v>0</v>
      </c>
      <c r="AP3554" s="474">
        <v>0</v>
      </c>
      <c r="AQ3554" s="352"/>
      <c r="AR3554" s="352"/>
      <c r="AS3554" s="352"/>
      <c r="AT3554" s="352"/>
      <c r="AU3554" s="352"/>
      <c r="AV3554" s="352"/>
      <c r="AW3554" s="352" t="s">
        <v>254</v>
      </c>
    </row>
    <row r="3555" spans="2:49" x14ac:dyDescent="0.2">
      <c r="B3555" s="460" t="s">
        <v>3414</v>
      </c>
      <c r="C3555" s="460">
        <v>6000</v>
      </c>
      <c r="D3555" s="460" t="s">
        <v>2366</v>
      </c>
      <c r="E3555" s="460" t="s">
        <v>1136</v>
      </c>
      <c r="F3555" s="460">
        <v>1</v>
      </c>
      <c r="G3555" s="460">
        <v>4</v>
      </c>
      <c r="H3555" s="461" t="s">
        <v>748</v>
      </c>
      <c r="I3555" s="461" t="s">
        <v>765</v>
      </c>
      <c r="J3555" s="461" t="s">
        <v>700</v>
      </c>
      <c r="K3555" s="594"/>
      <c r="L3555" s="594"/>
      <c r="M3555" s="352">
        <v>6000</v>
      </c>
      <c r="N3555" s="352" t="s">
        <v>871</v>
      </c>
      <c r="O3555" s="460">
        <v>5121</v>
      </c>
      <c r="P3555" s="460" t="s">
        <v>785</v>
      </c>
      <c r="Q3555" s="460" t="s">
        <v>2553</v>
      </c>
      <c r="R3555" s="460">
        <v>5121</v>
      </c>
      <c r="S3555" s="460" t="s">
        <v>1136</v>
      </c>
      <c r="T3555" s="462">
        <v>1</v>
      </c>
      <c r="U3555" s="460" t="s">
        <v>1136</v>
      </c>
      <c r="V3555" s="475">
        <v>0</v>
      </c>
      <c r="W3555" s="463" t="s">
        <v>2268</v>
      </c>
      <c r="X3555" s="463" t="s">
        <v>2268</v>
      </c>
      <c r="Y3555" s="463" t="s">
        <v>2554</v>
      </c>
      <c r="Z3555" s="463"/>
      <c r="AA3555" s="463"/>
      <c r="AB3555" s="464">
        <v>0</v>
      </c>
      <c r="AC3555" s="465">
        <v>0</v>
      </c>
      <c r="AD3555" s="465">
        <v>0</v>
      </c>
      <c r="AE3555" s="476">
        <v>0</v>
      </c>
      <c r="AF3555" s="467">
        <v>0</v>
      </c>
      <c r="AG3555" s="468">
        <v>0</v>
      </c>
      <c r="AH3555" s="218">
        <v>0</v>
      </c>
      <c r="AI3555" s="470">
        <v>0</v>
      </c>
      <c r="AJ3555" s="471">
        <v>0</v>
      </c>
      <c r="AK3555" s="218">
        <v>0</v>
      </c>
      <c r="AL3555" s="470">
        <v>0</v>
      </c>
      <c r="AM3555" s="471">
        <v>0</v>
      </c>
      <c r="AN3555" s="477">
        <v>2.7967132868842576E-2</v>
      </c>
      <c r="AO3555" s="473">
        <v>3.8596946019571259E-6</v>
      </c>
      <c r="AP3555" s="474">
        <v>3.4361752147781366E-5</v>
      </c>
      <c r="AQ3555" s="352"/>
      <c r="AR3555" s="352"/>
      <c r="AS3555" s="352"/>
      <c r="AT3555" s="352"/>
      <c r="AU3555" s="352"/>
      <c r="AV3555" s="352"/>
      <c r="AW3555" s="352" t="s">
        <v>254</v>
      </c>
    </row>
    <row r="3556" spans="2:49" x14ac:dyDescent="0.2">
      <c r="B3556" s="460" t="s">
        <v>3415</v>
      </c>
      <c r="C3556" s="460">
        <v>6000</v>
      </c>
      <c r="D3556" s="460" t="s">
        <v>2367</v>
      </c>
      <c r="E3556" s="460" t="s">
        <v>1137</v>
      </c>
      <c r="F3556" s="460">
        <v>2</v>
      </c>
      <c r="G3556" s="460">
        <v>4</v>
      </c>
      <c r="H3556" s="461" t="s">
        <v>748</v>
      </c>
      <c r="I3556" s="461" t="s">
        <v>765</v>
      </c>
      <c r="J3556" s="461" t="s">
        <v>700</v>
      </c>
      <c r="K3556" s="594"/>
      <c r="L3556" s="594"/>
      <c r="M3556" s="352">
        <v>6000</v>
      </c>
      <c r="N3556" s="352" t="s">
        <v>871</v>
      </c>
      <c r="O3556" s="460">
        <v>5121</v>
      </c>
      <c r="P3556" s="460" t="s">
        <v>785</v>
      </c>
      <c r="Q3556" s="460" t="s">
        <v>2553</v>
      </c>
      <c r="R3556" s="460">
        <v>5121</v>
      </c>
      <c r="S3556" s="460" t="s">
        <v>1137</v>
      </c>
      <c r="T3556" s="462">
        <v>1</v>
      </c>
      <c r="U3556" s="460" t="s">
        <v>1137</v>
      </c>
      <c r="V3556" s="475">
        <v>0</v>
      </c>
      <c r="W3556" s="463" t="s">
        <v>2268</v>
      </c>
      <c r="X3556" s="463" t="s">
        <v>2268</v>
      </c>
      <c r="Y3556" s="463" t="s">
        <v>2554</v>
      </c>
      <c r="Z3556" s="463"/>
      <c r="AA3556" s="463"/>
      <c r="AB3556" s="464">
        <v>0</v>
      </c>
      <c r="AC3556" s="465">
        <v>0</v>
      </c>
      <c r="AD3556" s="465">
        <v>0</v>
      </c>
      <c r="AE3556" s="476">
        <v>0</v>
      </c>
      <c r="AF3556" s="467">
        <v>0</v>
      </c>
      <c r="AG3556" s="468">
        <v>0</v>
      </c>
      <c r="AH3556" s="218">
        <v>0</v>
      </c>
      <c r="AI3556" s="470">
        <v>0</v>
      </c>
      <c r="AJ3556" s="471">
        <v>0</v>
      </c>
      <c r="AK3556" s="218">
        <v>0</v>
      </c>
      <c r="AL3556" s="470">
        <v>0</v>
      </c>
      <c r="AM3556" s="471">
        <v>0</v>
      </c>
      <c r="AN3556" s="477">
        <v>0.35237828194681986</v>
      </c>
      <c r="AO3556" s="473">
        <v>9.1727904918909897E-6</v>
      </c>
      <c r="AP3556" s="474">
        <v>3.3941466764087424E-4</v>
      </c>
      <c r="AQ3556" s="352"/>
      <c r="AR3556" s="352"/>
      <c r="AS3556" s="352"/>
      <c r="AT3556" s="352"/>
      <c r="AU3556" s="352"/>
      <c r="AV3556" s="352"/>
      <c r="AW3556" s="352" t="s">
        <v>254</v>
      </c>
    </row>
    <row r="3557" spans="2:49" x14ac:dyDescent="0.2">
      <c r="B3557" s="460" t="s">
        <v>3416</v>
      </c>
      <c r="C3557" s="460">
        <v>6000</v>
      </c>
      <c r="D3557" s="460" t="s">
        <v>2368</v>
      </c>
      <c r="E3557" s="460" t="s">
        <v>1138</v>
      </c>
      <c r="F3557" s="460">
        <v>3</v>
      </c>
      <c r="G3557" s="460">
        <v>4</v>
      </c>
      <c r="H3557" s="461" t="s">
        <v>748</v>
      </c>
      <c r="I3557" s="461" t="s">
        <v>765</v>
      </c>
      <c r="J3557" s="461" t="s">
        <v>700</v>
      </c>
      <c r="K3557" s="594"/>
      <c r="L3557" s="594"/>
      <c r="M3557" s="352">
        <v>6000</v>
      </c>
      <c r="N3557" s="352" t="s">
        <v>871</v>
      </c>
      <c r="O3557" s="460">
        <v>5121</v>
      </c>
      <c r="P3557" s="460" t="s">
        <v>785</v>
      </c>
      <c r="Q3557" s="460" t="s">
        <v>2553</v>
      </c>
      <c r="R3557" s="460">
        <v>5121</v>
      </c>
      <c r="S3557" s="460" t="s">
        <v>1138</v>
      </c>
      <c r="T3557" s="462">
        <v>1</v>
      </c>
      <c r="U3557" s="460" t="s">
        <v>1138</v>
      </c>
      <c r="V3557" s="475">
        <v>0</v>
      </c>
      <c r="W3557" s="463" t="s">
        <v>2268</v>
      </c>
      <c r="X3557" s="463" t="s">
        <v>2268</v>
      </c>
      <c r="Y3557" s="463" t="s">
        <v>2554</v>
      </c>
      <c r="Z3557" s="463"/>
      <c r="AA3557" s="463"/>
      <c r="AB3557" s="464">
        <v>0</v>
      </c>
      <c r="AC3557" s="465">
        <v>0</v>
      </c>
      <c r="AD3557" s="465">
        <v>0</v>
      </c>
      <c r="AE3557" s="476">
        <v>0</v>
      </c>
      <c r="AF3557" s="467">
        <v>0</v>
      </c>
      <c r="AG3557" s="468">
        <v>0</v>
      </c>
      <c r="AH3557" s="218">
        <v>0</v>
      </c>
      <c r="AI3557" s="470">
        <v>0</v>
      </c>
      <c r="AJ3557" s="471">
        <v>0</v>
      </c>
      <c r="AK3557" s="218">
        <v>0</v>
      </c>
      <c r="AL3557" s="470">
        <v>0</v>
      </c>
      <c r="AM3557" s="471">
        <v>0</v>
      </c>
      <c r="AN3557" s="477">
        <v>0.18965296307310212</v>
      </c>
      <c r="AO3557" s="473">
        <v>8.9542037062760881E-6</v>
      </c>
      <c r="AP3557" s="474">
        <v>1.9677452583868044E-4</v>
      </c>
      <c r="AQ3557" s="352"/>
      <c r="AR3557" s="352"/>
      <c r="AS3557" s="352"/>
      <c r="AT3557" s="352"/>
      <c r="AU3557" s="352"/>
      <c r="AV3557" s="352"/>
      <c r="AW3557" s="352" t="s">
        <v>254</v>
      </c>
    </row>
    <row r="3558" spans="2:49" x14ac:dyDescent="0.2">
      <c r="B3558" s="460" t="s">
        <v>3417</v>
      </c>
      <c r="C3558" s="460">
        <v>6000</v>
      </c>
      <c r="D3558" s="460" t="s">
        <v>2369</v>
      </c>
      <c r="E3558" s="460" t="s">
        <v>1139</v>
      </c>
      <c r="F3558" s="460">
        <v>4</v>
      </c>
      <c r="G3558" s="460">
        <v>4</v>
      </c>
      <c r="H3558" s="461" t="s">
        <v>748</v>
      </c>
      <c r="I3558" s="461" t="s">
        <v>765</v>
      </c>
      <c r="J3558" s="461" t="s">
        <v>700</v>
      </c>
      <c r="K3558" s="594"/>
      <c r="L3558" s="594"/>
      <c r="M3558" s="352">
        <v>6000</v>
      </c>
      <c r="N3558" s="352" t="s">
        <v>871</v>
      </c>
      <c r="O3558" s="460">
        <v>5121</v>
      </c>
      <c r="P3558" s="460" t="s">
        <v>785</v>
      </c>
      <c r="Q3558" s="460" t="s">
        <v>2553</v>
      </c>
      <c r="R3558" s="460">
        <v>5121</v>
      </c>
      <c r="S3558" s="460" t="s">
        <v>1139</v>
      </c>
      <c r="T3558" s="462">
        <v>1</v>
      </c>
      <c r="U3558" s="460" t="s">
        <v>1139</v>
      </c>
      <c r="V3558" s="475">
        <v>0</v>
      </c>
      <c r="W3558" s="463" t="s">
        <v>2268</v>
      </c>
      <c r="X3558" s="463" t="s">
        <v>2268</v>
      </c>
      <c r="Y3558" s="463" t="s">
        <v>2554</v>
      </c>
      <c r="Z3558" s="463"/>
      <c r="AA3558" s="463"/>
      <c r="AB3558" s="464">
        <v>0</v>
      </c>
      <c r="AC3558" s="465">
        <v>0</v>
      </c>
      <c r="AD3558" s="465">
        <v>0</v>
      </c>
      <c r="AE3558" s="476">
        <v>0</v>
      </c>
      <c r="AF3558" s="467">
        <v>0</v>
      </c>
      <c r="AG3558" s="468">
        <v>0</v>
      </c>
      <c r="AH3558" s="218">
        <v>0</v>
      </c>
      <c r="AI3558" s="470">
        <v>0</v>
      </c>
      <c r="AJ3558" s="471">
        <v>0</v>
      </c>
      <c r="AK3558" s="218">
        <v>0</v>
      </c>
      <c r="AL3558" s="470">
        <v>0</v>
      </c>
      <c r="AM3558" s="471">
        <v>0</v>
      </c>
      <c r="AN3558" s="477">
        <v>0</v>
      </c>
      <c r="AO3558" s="473">
        <v>0</v>
      </c>
      <c r="AP3558" s="474">
        <v>0</v>
      </c>
      <c r="AQ3558" s="352"/>
      <c r="AR3558" s="352"/>
      <c r="AS3558" s="352"/>
      <c r="AT3558" s="352"/>
      <c r="AU3558" s="352"/>
      <c r="AV3558" s="352"/>
      <c r="AW3558" s="352" t="s">
        <v>254</v>
      </c>
    </row>
    <row r="3559" spans="2:49" x14ac:dyDescent="0.2">
      <c r="B3559" s="460" t="s">
        <v>3418</v>
      </c>
      <c r="C3559" s="460">
        <v>6000</v>
      </c>
      <c r="D3559" s="460" t="s">
        <v>2375</v>
      </c>
      <c r="E3559" s="460" t="s">
        <v>2376</v>
      </c>
      <c r="F3559" s="460">
        <v>1</v>
      </c>
      <c r="G3559" s="460">
        <v>5</v>
      </c>
      <c r="H3559" s="461" t="s">
        <v>754</v>
      </c>
      <c r="I3559" s="461" t="s">
        <v>1991</v>
      </c>
      <c r="J3559" s="461" t="s">
        <v>754</v>
      </c>
      <c r="K3559" s="594"/>
      <c r="L3559" s="594"/>
      <c r="M3559" s="352">
        <v>6000</v>
      </c>
      <c r="N3559" s="352" t="s">
        <v>871</v>
      </c>
      <c r="O3559" s="460">
        <v>5121</v>
      </c>
      <c r="P3559" s="460" t="s">
        <v>785</v>
      </c>
      <c r="Q3559" s="460" t="s">
        <v>2377</v>
      </c>
      <c r="R3559" s="460">
        <v>5121</v>
      </c>
      <c r="S3559" s="460" t="s">
        <v>2376</v>
      </c>
      <c r="T3559" s="462">
        <v>1</v>
      </c>
      <c r="U3559" s="460" t="s">
        <v>2376</v>
      </c>
      <c r="V3559" s="475">
        <v>0</v>
      </c>
      <c r="W3559" s="463" t="s">
        <v>2278</v>
      </c>
      <c r="X3559" s="463" t="s">
        <v>2278</v>
      </c>
      <c r="Y3559" s="463" t="s">
        <v>2278</v>
      </c>
      <c r="Z3559" s="463"/>
      <c r="AA3559" s="463"/>
      <c r="AB3559" s="464">
        <v>68008.842572203008</v>
      </c>
      <c r="AC3559" s="465">
        <v>1</v>
      </c>
      <c r="AD3559" s="465">
        <v>0.11432999421657375</v>
      </c>
      <c r="AE3559" s="476">
        <v>68008.842572203008</v>
      </c>
      <c r="AF3559" s="467">
        <v>1</v>
      </c>
      <c r="AG3559" s="468">
        <v>0.11432999421657375</v>
      </c>
      <c r="AH3559" s="218">
        <v>68008.842572203008</v>
      </c>
      <c r="AI3559" s="470">
        <v>1</v>
      </c>
      <c r="AJ3559" s="471">
        <v>0.11432999421657375</v>
      </c>
      <c r="AK3559" s="218">
        <v>68008.842572203008</v>
      </c>
      <c r="AL3559" s="470">
        <v>1</v>
      </c>
      <c r="AM3559" s="471">
        <v>0.11432999421657375</v>
      </c>
      <c r="AN3559" s="477">
        <v>68008.842572203008</v>
      </c>
      <c r="AO3559" s="473">
        <v>1</v>
      </c>
      <c r="AP3559" s="474">
        <v>0.11432999421657375</v>
      </c>
      <c r="AQ3559" s="352"/>
      <c r="AR3559" s="352"/>
      <c r="AS3559" s="352"/>
      <c r="AT3559" s="352"/>
      <c r="AU3559" s="352"/>
      <c r="AV3559" s="352"/>
      <c r="AW3559" s="352" t="s">
        <v>127</v>
      </c>
    </row>
    <row r="3560" spans="2:49" x14ac:dyDescent="0.2">
      <c r="B3560" s="460" t="s">
        <v>3419</v>
      </c>
      <c r="C3560" s="460">
        <v>6000</v>
      </c>
      <c r="D3560" s="460" t="s">
        <v>2379</v>
      </c>
      <c r="E3560" s="460" t="s">
        <v>2380</v>
      </c>
      <c r="F3560" s="460">
        <v>2</v>
      </c>
      <c r="G3560" s="460">
        <v>5</v>
      </c>
      <c r="H3560" s="461" t="s">
        <v>754</v>
      </c>
      <c r="I3560" s="461" t="s">
        <v>1991</v>
      </c>
      <c r="J3560" s="461" t="s">
        <v>754</v>
      </c>
      <c r="K3560" s="594"/>
      <c r="L3560" s="594"/>
      <c r="M3560" s="352">
        <v>6000</v>
      </c>
      <c r="N3560" s="352" t="s">
        <v>871</v>
      </c>
      <c r="O3560" s="460">
        <v>5121</v>
      </c>
      <c r="P3560" s="460" t="s">
        <v>785</v>
      </c>
      <c r="Q3560" s="460" t="s">
        <v>2377</v>
      </c>
      <c r="R3560" s="460">
        <v>5121</v>
      </c>
      <c r="S3560" s="460" t="s">
        <v>2380</v>
      </c>
      <c r="T3560" s="462">
        <v>1</v>
      </c>
      <c r="U3560" s="460" t="s">
        <v>2380</v>
      </c>
      <c r="V3560" s="475">
        <v>0</v>
      </c>
      <c r="W3560" s="463" t="s">
        <v>2278</v>
      </c>
      <c r="X3560" s="463" t="s">
        <v>2278</v>
      </c>
      <c r="Y3560" s="463" t="s">
        <v>2278</v>
      </c>
      <c r="Z3560" s="463"/>
      <c r="AA3560" s="463"/>
      <c r="AB3560" s="464">
        <v>73366.604345080268</v>
      </c>
      <c r="AC3560" s="465">
        <v>1</v>
      </c>
      <c r="AD3560" s="465">
        <v>0.14447378874643993</v>
      </c>
      <c r="AE3560" s="476">
        <v>73366.604345080268</v>
      </c>
      <c r="AF3560" s="467">
        <v>1</v>
      </c>
      <c r="AG3560" s="468">
        <v>0.14447378874643993</v>
      </c>
      <c r="AH3560" s="218">
        <v>73366.604345080268</v>
      </c>
      <c r="AI3560" s="470">
        <v>1</v>
      </c>
      <c r="AJ3560" s="471">
        <v>0.14447378874643993</v>
      </c>
      <c r="AK3560" s="218">
        <v>73366.604345080268</v>
      </c>
      <c r="AL3560" s="470">
        <v>1</v>
      </c>
      <c r="AM3560" s="471">
        <v>0.14447378874643993</v>
      </c>
      <c r="AN3560" s="477">
        <v>73366.604345080268</v>
      </c>
      <c r="AO3560" s="473">
        <v>1</v>
      </c>
      <c r="AP3560" s="474">
        <v>0.14447378874643993</v>
      </c>
      <c r="AQ3560" s="352"/>
      <c r="AR3560" s="352"/>
      <c r="AS3560" s="352"/>
      <c r="AT3560" s="352"/>
      <c r="AU3560" s="352"/>
      <c r="AV3560" s="352"/>
      <c r="AW3560" s="352" t="s">
        <v>127</v>
      </c>
    </row>
    <row r="3561" spans="2:49" x14ac:dyDescent="0.2">
      <c r="B3561" s="460" t="s">
        <v>3420</v>
      </c>
      <c r="C3561" s="460">
        <v>6000</v>
      </c>
      <c r="D3561" s="460" t="s">
        <v>2382</v>
      </c>
      <c r="E3561" s="460" t="s">
        <v>2383</v>
      </c>
      <c r="F3561" s="460">
        <v>3</v>
      </c>
      <c r="G3561" s="460">
        <v>5</v>
      </c>
      <c r="H3561" s="461" t="s">
        <v>754</v>
      </c>
      <c r="I3561" s="461" t="s">
        <v>1991</v>
      </c>
      <c r="J3561" s="461" t="s">
        <v>754</v>
      </c>
      <c r="K3561" s="594"/>
      <c r="L3561" s="594"/>
      <c r="M3561" s="352">
        <v>6000</v>
      </c>
      <c r="N3561" s="352" t="s">
        <v>871</v>
      </c>
      <c r="O3561" s="460">
        <v>5121</v>
      </c>
      <c r="P3561" s="460" t="s">
        <v>785</v>
      </c>
      <c r="Q3561" s="460" t="s">
        <v>2377</v>
      </c>
      <c r="R3561" s="460">
        <v>5121</v>
      </c>
      <c r="S3561" s="460" t="s">
        <v>2383</v>
      </c>
      <c r="T3561" s="462">
        <v>1</v>
      </c>
      <c r="U3561" s="460" t="s">
        <v>2383</v>
      </c>
      <c r="V3561" s="475">
        <v>0</v>
      </c>
      <c r="W3561" s="463" t="s">
        <v>2278</v>
      </c>
      <c r="X3561" s="463" t="s">
        <v>2278</v>
      </c>
      <c r="Y3561" s="463" t="s">
        <v>2278</v>
      </c>
      <c r="Z3561" s="463"/>
      <c r="AA3561" s="463"/>
      <c r="AB3561" s="464">
        <v>22642.843189815012</v>
      </c>
      <c r="AC3561" s="465">
        <v>1</v>
      </c>
      <c r="AD3561" s="465">
        <v>0.20126449212830369</v>
      </c>
      <c r="AE3561" s="476">
        <v>22642.843189815012</v>
      </c>
      <c r="AF3561" s="467">
        <v>1</v>
      </c>
      <c r="AG3561" s="468">
        <v>0.20126449212830369</v>
      </c>
      <c r="AH3561" s="218">
        <v>22642.843189815012</v>
      </c>
      <c r="AI3561" s="470">
        <v>1</v>
      </c>
      <c r="AJ3561" s="471">
        <v>0.20126449212830369</v>
      </c>
      <c r="AK3561" s="218">
        <v>22642.843189815012</v>
      </c>
      <c r="AL3561" s="470">
        <v>1</v>
      </c>
      <c r="AM3561" s="471">
        <v>0.20126449212830369</v>
      </c>
      <c r="AN3561" s="477">
        <v>22642.843189815012</v>
      </c>
      <c r="AO3561" s="473">
        <v>1</v>
      </c>
      <c r="AP3561" s="474">
        <v>0.20126449212830369</v>
      </c>
      <c r="AQ3561" s="352"/>
      <c r="AR3561" s="352"/>
      <c r="AS3561" s="352"/>
      <c r="AT3561" s="352"/>
      <c r="AU3561" s="352"/>
      <c r="AV3561" s="352"/>
      <c r="AW3561" s="352" t="s">
        <v>127</v>
      </c>
    </row>
    <row r="3562" spans="2:49" x14ac:dyDescent="0.2">
      <c r="B3562" s="460" t="s">
        <v>3421</v>
      </c>
      <c r="C3562" s="460">
        <v>6000</v>
      </c>
      <c r="D3562" s="460" t="s">
        <v>2385</v>
      </c>
      <c r="E3562" s="460" t="s">
        <v>2386</v>
      </c>
      <c r="F3562" s="460">
        <v>4</v>
      </c>
      <c r="G3562" s="460">
        <v>5</v>
      </c>
      <c r="H3562" s="461" t="s">
        <v>754</v>
      </c>
      <c r="I3562" s="461" t="s">
        <v>1991</v>
      </c>
      <c r="J3562" s="461" t="s">
        <v>754</v>
      </c>
      <c r="K3562" s="594"/>
      <c r="L3562" s="594"/>
      <c r="M3562" s="352">
        <v>6000</v>
      </c>
      <c r="N3562" s="352" t="s">
        <v>871</v>
      </c>
      <c r="O3562" s="460">
        <v>5121</v>
      </c>
      <c r="P3562" s="460" t="s">
        <v>785</v>
      </c>
      <c r="Q3562" s="460" t="s">
        <v>2377</v>
      </c>
      <c r="R3562" s="460">
        <v>5121</v>
      </c>
      <c r="S3562" s="460" t="s">
        <v>2386</v>
      </c>
      <c r="T3562" s="462">
        <v>1</v>
      </c>
      <c r="U3562" s="460" t="s">
        <v>2386</v>
      </c>
      <c r="V3562" s="475">
        <v>0</v>
      </c>
      <c r="W3562" s="463" t="s">
        <v>2278</v>
      </c>
      <c r="X3562" s="463" t="s">
        <v>2278</v>
      </c>
      <c r="Y3562" s="463" t="s">
        <v>2278</v>
      </c>
      <c r="Z3562" s="463"/>
      <c r="AA3562" s="463"/>
      <c r="AB3562" s="464">
        <v>205.62189742675898</v>
      </c>
      <c r="AC3562" s="465">
        <v>1</v>
      </c>
      <c r="AD3562" s="465">
        <v>3.814437841581714E-3</v>
      </c>
      <c r="AE3562" s="476">
        <v>205.62189742675898</v>
      </c>
      <c r="AF3562" s="467">
        <v>1</v>
      </c>
      <c r="AG3562" s="468">
        <v>3.814437841581714E-3</v>
      </c>
      <c r="AH3562" s="218">
        <v>205.62189742675898</v>
      </c>
      <c r="AI3562" s="470">
        <v>1</v>
      </c>
      <c r="AJ3562" s="471">
        <v>3.814437841581714E-3</v>
      </c>
      <c r="AK3562" s="218">
        <v>205.62189742675898</v>
      </c>
      <c r="AL3562" s="470">
        <v>1</v>
      </c>
      <c r="AM3562" s="471">
        <v>3.814437841581714E-3</v>
      </c>
      <c r="AN3562" s="477">
        <v>205.62189742675898</v>
      </c>
      <c r="AO3562" s="473">
        <v>1</v>
      </c>
      <c r="AP3562" s="474">
        <v>3.814437841581714E-3</v>
      </c>
      <c r="AQ3562" s="352"/>
      <c r="AR3562" s="352"/>
      <c r="AS3562" s="352"/>
      <c r="AT3562" s="352"/>
      <c r="AU3562" s="352"/>
      <c r="AV3562" s="352"/>
      <c r="AW3562" s="352" t="s">
        <v>127</v>
      </c>
    </row>
    <row r="3563" spans="2:49" x14ac:dyDescent="0.2">
      <c r="B3563" s="460" t="s">
        <v>3422</v>
      </c>
      <c r="C3563" s="460">
        <v>6000</v>
      </c>
      <c r="D3563" s="460" t="s">
        <v>2264</v>
      </c>
      <c r="E3563" s="460" t="s">
        <v>2265</v>
      </c>
      <c r="F3563" s="460">
        <v>1</v>
      </c>
      <c r="G3563" s="460">
        <v>1</v>
      </c>
      <c r="H3563" s="461" t="s">
        <v>700</v>
      </c>
      <c r="I3563" s="461" t="s">
        <v>872</v>
      </c>
      <c r="J3563" s="461" t="s">
        <v>700</v>
      </c>
      <c r="K3563" s="594"/>
      <c r="L3563" s="594"/>
      <c r="M3563" s="352">
        <v>6000</v>
      </c>
      <c r="N3563" s="352" t="s">
        <v>871</v>
      </c>
      <c r="O3563" s="460">
        <v>5131</v>
      </c>
      <c r="P3563" s="460" t="s">
        <v>1889</v>
      </c>
      <c r="Q3563" s="460" t="s">
        <v>2553</v>
      </c>
      <c r="R3563" s="460">
        <v>5131</v>
      </c>
      <c r="S3563" s="460" t="s">
        <v>2265</v>
      </c>
      <c r="T3563" s="462">
        <v>1</v>
      </c>
      <c r="U3563" s="460" t="s">
        <v>2265</v>
      </c>
      <c r="V3563" s="475">
        <v>0</v>
      </c>
      <c r="W3563" s="463" t="s">
        <v>2554</v>
      </c>
      <c r="X3563" s="463" t="s">
        <v>2554</v>
      </c>
      <c r="Y3563" s="463" t="s">
        <v>2268</v>
      </c>
      <c r="Z3563" s="463"/>
      <c r="AA3563" s="463"/>
      <c r="AB3563" s="464">
        <v>0</v>
      </c>
      <c r="AC3563" s="465">
        <v>0</v>
      </c>
      <c r="AD3563" s="465">
        <v>0</v>
      </c>
      <c r="AE3563" s="476">
        <v>0</v>
      </c>
      <c r="AF3563" s="467">
        <v>0</v>
      </c>
      <c r="AG3563" s="468">
        <v>0</v>
      </c>
      <c r="AH3563" s="218">
        <v>0</v>
      </c>
      <c r="AI3563" s="470">
        <v>0</v>
      </c>
      <c r="AJ3563" s="471">
        <v>0</v>
      </c>
      <c r="AK3563" s="218">
        <v>0</v>
      </c>
      <c r="AL3563" s="470">
        <v>0</v>
      </c>
      <c r="AM3563" s="471">
        <v>0</v>
      </c>
      <c r="AN3563" s="477">
        <v>0</v>
      </c>
      <c r="AO3563" s="473">
        <v>0</v>
      </c>
      <c r="AP3563" s="474">
        <v>0</v>
      </c>
      <c r="AQ3563" s="352"/>
      <c r="AR3563" s="352"/>
      <c r="AS3563" s="352"/>
      <c r="AT3563" s="352"/>
      <c r="AU3563" s="352"/>
      <c r="AV3563" s="352"/>
      <c r="AW3563" s="352" t="s">
        <v>254</v>
      </c>
    </row>
    <row r="3564" spans="2:49" x14ac:dyDescent="0.2">
      <c r="B3564" s="460" t="s">
        <v>3423</v>
      </c>
      <c r="C3564" s="460">
        <v>6000</v>
      </c>
      <c r="D3564" s="460" t="s">
        <v>2270</v>
      </c>
      <c r="E3564" s="460" t="s">
        <v>2271</v>
      </c>
      <c r="F3564" s="460">
        <v>2</v>
      </c>
      <c r="G3564" s="460">
        <v>1</v>
      </c>
      <c r="H3564" s="461" t="s">
        <v>700</v>
      </c>
      <c r="I3564" s="461" t="s">
        <v>872</v>
      </c>
      <c r="J3564" s="461" t="s">
        <v>700</v>
      </c>
      <c r="K3564" s="594"/>
      <c r="L3564" s="594"/>
      <c r="M3564" s="352">
        <v>6000</v>
      </c>
      <c r="N3564" s="352" t="s">
        <v>871</v>
      </c>
      <c r="O3564" s="460">
        <v>5131</v>
      </c>
      <c r="P3564" s="460" t="s">
        <v>1889</v>
      </c>
      <c r="Q3564" s="460" t="s">
        <v>2553</v>
      </c>
      <c r="R3564" s="460">
        <v>5131</v>
      </c>
      <c r="S3564" s="460" t="s">
        <v>2265</v>
      </c>
      <c r="T3564" s="462">
        <v>1</v>
      </c>
      <c r="U3564" s="460" t="s">
        <v>2271</v>
      </c>
      <c r="V3564" s="475">
        <v>0</v>
      </c>
      <c r="W3564" s="463" t="s">
        <v>2554</v>
      </c>
      <c r="X3564" s="463" t="s">
        <v>2554</v>
      </c>
      <c r="Y3564" s="463" t="s">
        <v>2268</v>
      </c>
      <c r="Z3564" s="463"/>
      <c r="AA3564" s="463"/>
      <c r="AB3564" s="464">
        <v>0</v>
      </c>
      <c r="AC3564" s="465">
        <v>0</v>
      </c>
      <c r="AD3564" s="465">
        <v>0</v>
      </c>
      <c r="AE3564" s="476">
        <v>0</v>
      </c>
      <c r="AF3564" s="467">
        <v>0</v>
      </c>
      <c r="AG3564" s="468">
        <v>0</v>
      </c>
      <c r="AH3564" s="218">
        <v>0</v>
      </c>
      <c r="AI3564" s="470">
        <v>0</v>
      </c>
      <c r="AJ3564" s="471">
        <v>0</v>
      </c>
      <c r="AK3564" s="218">
        <v>0</v>
      </c>
      <c r="AL3564" s="470">
        <v>0</v>
      </c>
      <c r="AM3564" s="471">
        <v>0</v>
      </c>
      <c r="AN3564" s="477">
        <v>0</v>
      </c>
      <c r="AO3564" s="473">
        <v>0</v>
      </c>
      <c r="AP3564" s="474">
        <v>0</v>
      </c>
      <c r="AQ3564" s="352"/>
      <c r="AR3564" s="352"/>
      <c r="AS3564" s="352"/>
      <c r="AT3564" s="352"/>
      <c r="AU3564" s="352"/>
      <c r="AV3564" s="352"/>
      <c r="AW3564" s="352" t="s">
        <v>254</v>
      </c>
    </row>
    <row r="3565" spans="2:49" x14ac:dyDescent="0.2">
      <c r="B3565" s="460" t="s">
        <v>3424</v>
      </c>
      <c r="C3565" s="460">
        <v>6000</v>
      </c>
      <c r="D3565" s="460" t="s">
        <v>2273</v>
      </c>
      <c r="E3565" s="460" t="s">
        <v>2274</v>
      </c>
      <c r="F3565" s="460">
        <v>3</v>
      </c>
      <c r="G3565" s="460">
        <v>1</v>
      </c>
      <c r="H3565" s="461" t="s">
        <v>700</v>
      </c>
      <c r="I3565" s="461" t="s">
        <v>872</v>
      </c>
      <c r="J3565" s="461" t="s">
        <v>700</v>
      </c>
      <c r="K3565" s="594"/>
      <c r="L3565" s="594"/>
      <c r="M3565" s="352">
        <v>6000</v>
      </c>
      <c r="N3565" s="352" t="s">
        <v>871</v>
      </c>
      <c r="O3565" s="460">
        <v>5131</v>
      </c>
      <c r="P3565" s="460" t="s">
        <v>1889</v>
      </c>
      <c r="Q3565" s="460" t="s">
        <v>2553</v>
      </c>
      <c r="R3565" s="460">
        <v>5131</v>
      </c>
      <c r="S3565" s="460" t="s">
        <v>2265</v>
      </c>
      <c r="T3565" s="462">
        <v>0.74223365950407583</v>
      </c>
      <c r="U3565" s="460" t="s">
        <v>2274</v>
      </c>
      <c r="V3565" s="475">
        <v>0</v>
      </c>
      <c r="W3565" s="463" t="s">
        <v>2554</v>
      </c>
      <c r="X3565" s="463" t="s">
        <v>2554</v>
      </c>
      <c r="Y3565" s="463" t="s">
        <v>2268</v>
      </c>
      <c r="Z3565" s="463"/>
      <c r="AA3565" s="463"/>
      <c r="AB3565" s="464">
        <v>0</v>
      </c>
      <c r="AC3565" s="465">
        <v>0</v>
      </c>
      <c r="AD3565" s="465">
        <v>0</v>
      </c>
      <c r="AE3565" s="476">
        <v>0</v>
      </c>
      <c r="AF3565" s="467">
        <v>0</v>
      </c>
      <c r="AG3565" s="468">
        <v>0</v>
      </c>
      <c r="AH3565" s="218">
        <v>0</v>
      </c>
      <c r="AI3565" s="470">
        <v>0</v>
      </c>
      <c r="AJ3565" s="471">
        <v>0</v>
      </c>
      <c r="AK3565" s="218">
        <v>0</v>
      </c>
      <c r="AL3565" s="470">
        <v>0</v>
      </c>
      <c r="AM3565" s="471">
        <v>0</v>
      </c>
      <c r="AN3565" s="477">
        <v>0</v>
      </c>
      <c r="AO3565" s="473">
        <v>0</v>
      </c>
      <c r="AP3565" s="474">
        <v>0</v>
      </c>
      <c r="AQ3565" s="352"/>
      <c r="AR3565" s="352"/>
      <c r="AS3565" s="352"/>
      <c r="AT3565" s="352"/>
      <c r="AU3565" s="352"/>
      <c r="AV3565" s="352"/>
      <c r="AW3565" s="352" t="s">
        <v>254</v>
      </c>
    </row>
    <row r="3566" spans="2:49" x14ac:dyDescent="0.2">
      <c r="B3566" s="460" t="s">
        <v>3425</v>
      </c>
      <c r="C3566" s="460">
        <v>6000</v>
      </c>
      <c r="D3566" s="460" t="s">
        <v>2276</v>
      </c>
      <c r="E3566" s="460" t="s">
        <v>2277</v>
      </c>
      <c r="F3566" s="460">
        <v>4</v>
      </c>
      <c r="G3566" s="460">
        <v>1</v>
      </c>
      <c r="H3566" s="461" t="s">
        <v>700</v>
      </c>
      <c r="I3566" s="461" t="s">
        <v>872</v>
      </c>
      <c r="J3566" s="461" t="s">
        <v>700</v>
      </c>
      <c r="K3566" s="594"/>
      <c r="L3566" s="594"/>
      <c r="M3566" s="352">
        <v>6000</v>
      </c>
      <c r="N3566" s="352" t="s">
        <v>871</v>
      </c>
      <c r="O3566" s="460">
        <v>5131</v>
      </c>
      <c r="P3566" s="460" t="s">
        <v>1889</v>
      </c>
      <c r="Q3566" s="460" t="s">
        <v>2553</v>
      </c>
      <c r="R3566" s="460">
        <v>5131</v>
      </c>
      <c r="S3566" s="460" t="s">
        <v>2277</v>
      </c>
      <c r="T3566" s="462">
        <v>1</v>
      </c>
      <c r="U3566" s="460" t="s">
        <v>2277</v>
      </c>
      <c r="V3566" s="475">
        <v>0</v>
      </c>
      <c r="W3566" s="463" t="s">
        <v>2554</v>
      </c>
      <c r="X3566" s="463" t="s">
        <v>2554</v>
      </c>
      <c r="Y3566" s="463" t="s">
        <v>2268</v>
      </c>
      <c r="Z3566" s="463"/>
      <c r="AA3566" s="463"/>
      <c r="AB3566" s="464">
        <v>0</v>
      </c>
      <c r="AC3566" s="465">
        <v>0</v>
      </c>
      <c r="AD3566" s="465">
        <v>0</v>
      </c>
      <c r="AE3566" s="476">
        <v>0</v>
      </c>
      <c r="AF3566" s="467">
        <v>0</v>
      </c>
      <c r="AG3566" s="468">
        <v>0</v>
      </c>
      <c r="AH3566" s="218">
        <v>0</v>
      </c>
      <c r="AI3566" s="470">
        <v>0</v>
      </c>
      <c r="AJ3566" s="471">
        <v>0</v>
      </c>
      <c r="AK3566" s="218">
        <v>0</v>
      </c>
      <c r="AL3566" s="470">
        <v>0</v>
      </c>
      <c r="AM3566" s="471">
        <v>0</v>
      </c>
      <c r="AN3566" s="477">
        <v>0</v>
      </c>
      <c r="AO3566" s="473">
        <v>0</v>
      </c>
      <c r="AP3566" s="474">
        <v>0</v>
      </c>
      <c r="AQ3566" s="352"/>
      <c r="AR3566" s="352"/>
      <c r="AS3566" s="352"/>
      <c r="AT3566" s="352"/>
      <c r="AU3566" s="352"/>
      <c r="AV3566" s="352"/>
      <c r="AW3566" s="352" t="s">
        <v>254</v>
      </c>
    </row>
    <row r="3567" spans="2:49" x14ac:dyDescent="0.2">
      <c r="B3567" s="460" t="s">
        <v>3422</v>
      </c>
      <c r="C3567" s="460">
        <v>6000</v>
      </c>
      <c r="D3567" s="460" t="s">
        <v>2279</v>
      </c>
      <c r="E3567" s="460" t="s">
        <v>2265</v>
      </c>
      <c r="F3567" s="460">
        <v>1</v>
      </c>
      <c r="G3567" s="460">
        <v>1</v>
      </c>
      <c r="H3567" s="461" t="s">
        <v>712</v>
      </c>
      <c r="I3567" s="461" t="s">
        <v>713</v>
      </c>
      <c r="J3567" s="461" t="s">
        <v>712</v>
      </c>
      <c r="K3567" s="594"/>
      <c r="L3567" s="594"/>
      <c r="M3567" s="352">
        <v>6000</v>
      </c>
      <c r="N3567" s="352" t="s">
        <v>871</v>
      </c>
      <c r="O3567" s="460">
        <v>5131</v>
      </c>
      <c r="P3567" s="460" t="s">
        <v>1889</v>
      </c>
      <c r="Q3567" s="460" t="s">
        <v>2280</v>
      </c>
      <c r="R3567" s="460">
        <v>5131</v>
      </c>
      <c r="S3567" s="460" t="s">
        <v>2265</v>
      </c>
      <c r="T3567" s="462">
        <v>1</v>
      </c>
      <c r="U3567" s="460" t="s">
        <v>2265</v>
      </c>
      <c r="V3567" s="475">
        <v>0</v>
      </c>
      <c r="W3567" s="463" t="s">
        <v>713</v>
      </c>
      <c r="X3567" s="463" t="s">
        <v>713</v>
      </c>
      <c r="Y3567" s="463" t="s">
        <v>713</v>
      </c>
      <c r="Z3567" s="463"/>
      <c r="AA3567" s="463"/>
      <c r="AB3567" s="464">
        <v>1377.8326259366866</v>
      </c>
      <c r="AC3567" s="465">
        <v>1</v>
      </c>
      <c r="AD3567" s="465">
        <v>5.0899520001365991E-3</v>
      </c>
      <c r="AE3567" s="476">
        <v>1377.8326259366866</v>
      </c>
      <c r="AF3567" s="467">
        <v>1</v>
      </c>
      <c r="AG3567" s="468">
        <v>4.9636912063936679E-3</v>
      </c>
      <c r="AH3567" s="218">
        <v>1377.8326259366866</v>
      </c>
      <c r="AI3567" s="470">
        <v>1</v>
      </c>
      <c r="AJ3567" s="471">
        <v>5.0348623292664511E-3</v>
      </c>
      <c r="AK3567" s="218">
        <v>1377.8326259366866</v>
      </c>
      <c r="AL3567" s="470">
        <v>1</v>
      </c>
      <c r="AM3567" s="471">
        <v>5.0348623292664511E-3</v>
      </c>
      <c r="AN3567" s="477">
        <v>1377.8326259366866</v>
      </c>
      <c r="AO3567" s="473">
        <v>1</v>
      </c>
      <c r="AP3567" s="474">
        <v>5.0332217691901925E-3</v>
      </c>
      <c r="AQ3567" s="352"/>
      <c r="AR3567" s="352"/>
      <c r="AS3567" s="352"/>
      <c r="AT3567" s="352"/>
      <c r="AU3567" s="352"/>
      <c r="AV3567" s="352"/>
      <c r="AW3567" s="352" t="s">
        <v>254</v>
      </c>
    </row>
    <row r="3568" spans="2:49" x14ac:dyDescent="0.2">
      <c r="B3568" s="460" t="s">
        <v>3423</v>
      </c>
      <c r="C3568" s="460">
        <v>6000</v>
      </c>
      <c r="D3568" s="460" t="s">
        <v>2281</v>
      </c>
      <c r="E3568" s="460" t="s">
        <v>2271</v>
      </c>
      <c r="F3568" s="460">
        <v>2</v>
      </c>
      <c r="G3568" s="460">
        <v>1</v>
      </c>
      <c r="H3568" s="461" t="s">
        <v>712</v>
      </c>
      <c r="I3568" s="461" t="s">
        <v>713</v>
      </c>
      <c r="J3568" s="461" t="s">
        <v>712</v>
      </c>
      <c r="K3568" s="594"/>
      <c r="L3568" s="594"/>
      <c r="M3568" s="352">
        <v>6000</v>
      </c>
      <c r="N3568" s="352" t="s">
        <v>871</v>
      </c>
      <c r="O3568" s="460">
        <v>5131</v>
      </c>
      <c r="P3568" s="460" t="s">
        <v>1889</v>
      </c>
      <c r="Q3568" s="460" t="s">
        <v>2280</v>
      </c>
      <c r="R3568" s="460">
        <v>5131</v>
      </c>
      <c r="S3568" s="460" t="s">
        <v>2265</v>
      </c>
      <c r="T3568" s="462">
        <v>1</v>
      </c>
      <c r="U3568" s="460" t="s">
        <v>2271</v>
      </c>
      <c r="V3568" s="475">
        <v>0</v>
      </c>
      <c r="W3568" s="463" t="s">
        <v>713</v>
      </c>
      <c r="X3568" s="463" t="s">
        <v>713</v>
      </c>
      <c r="Y3568" s="463" t="s">
        <v>713</v>
      </c>
      <c r="Z3568" s="463"/>
      <c r="AA3568" s="463"/>
      <c r="AB3568" s="464">
        <v>159.6658968053784</v>
      </c>
      <c r="AC3568" s="465">
        <v>1</v>
      </c>
      <c r="AD3568" s="465">
        <v>6.6675210751646681E-4</v>
      </c>
      <c r="AE3568" s="476">
        <v>159.6658968053784</v>
      </c>
      <c r="AF3568" s="467">
        <v>1</v>
      </c>
      <c r="AG3568" s="468">
        <v>6.4986532651659719E-4</v>
      </c>
      <c r="AH3568" s="218">
        <v>159.6658968053784</v>
      </c>
      <c r="AI3568" s="470">
        <v>1</v>
      </c>
      <c r="AJ3568" s="471">
        <v>6.8594792279342762E-4</v>
      </c>
      <c r="AK3568" s="218">
        <v>159.6658968053784</v>
      </c>
      <c r="AL3568" s="470">
        <v>1</v>
      </c>
      <c r="AM3568" s="471">
        <v>6.8594792279342762E-4</v>
      </c>
      <c r="AN3568" s="477">
        <v>159.6658968053784</v>
      </c>
      <c r="AO3568" s="473">
        <v>1</v>
      </c>
      <c r="AP3568" s="474">
        <v>6.8570706397531607E-4</v>
      </c>
      <c r="AQ3568" s="352"/>
      <c r="AR3568" s="352"/>
      <c r="AS3568" s="352"/>
      <c r="AT3568" s="352"/>
      <c r="AU3568" s="352"/>
      <c r="AV3568" s="352"/>
      <c r="AW3568" s="352" t="s">
        <v>254</v>
      </c>
    </row>
    <row r="3569" spans="2:49" x14ac:dyDescent="0.2">
      <c r="B3569" s="460" t="s">
        <v>3424</v>
      </c>
      <c r="C3569" s="460">
        <v>6000</v>
      </c>
      <c r="D3569" s="460" t="s">
        <v>2282</v>
      </c>
      <c r="E3569" s="460" t="s">
        <v>2274</v>
      </c>
      <c r="F3569" s="460">
        <v>3</v>
      </c>
      <c r="G3569" s="460">
        <v>1</v>
      </c>
      <c r="H3569" s="461" t="s">
        <v>712</v>
      </c>
      <c r="I3569" s="461" t="s">
        <v>713</v>
      </c>
      <c r="J3569" s="461" t="s">
        <v>712</v>
      </c>
      <c r="K3569" s="594"/>
      <c r="L3569" s="594"/>
      <c r="M3569" s="352">
        <v>6000</v>
      </c>
      <c r="N3569" s="352" t="s">
        <v>871</v>
      </c>
      <c r="O3569" s="460">
        <v>5131</v>
      </c>
      <c r="P3569" s="460" t="s">
        <v>1889</v>
      </c>
      <c r="Q3569" s="460" t="s">
        <v>2280</v>
      </c>
      <c r="R3569" s="460">
        <v>5131</v>
      </c>
      <c r="S3569" s="460" t="s">
        <v>2265</v>
      </c>
      <c r="T3569" s="462">
        <v>0.74223365950407583</v>
      </c>
      <c r="U3569" s="460" t="s">
        <v>2274</v>
      </c>
      <c r="V3569" s="475">
        <v>0</v>
      </c>
      <c r="W3569" s="463" t="s">
        <v>713</v>
      </c>
      <c r="X3569" s="463" t="s">
        <v>713</v>
      </c>
      <c r="Y3569" s="463" t="s">
        <v>713</v>
      </c>
      <c r="Z3569" s="463"/>
      <c r="AA3569" s="463"/>
      <c r="AB3569" s="464">
        <v>126.65829191938842</v>
      </c>
      <c r="AC3569" s="465">
        <v>1</v>
      </c>
      <c r="AD3569" s="465">
        <v>7.5807678711511831E-4</v>
      </c>
      <c r="AE3569" s="476">
        <v>126.65829191938842</v>
      </c>
      <c r="AF3569" s="467">
        <v>1</v>
      </c>
      <c r="AG3569" s="468">
        <v>7.510988447648456E-4</v>
      </c>
      <c r="AH3569" s="218">
        <v>126.65829191938842</v>
      </c>
      <c r="AI3569" s="470">
        <v>1</v>
      </c>
      <c r="AJ3569" s="471">
        <v>7.959423295826935E-4</v>
      </c>
      <c r="AK3569" s="218">
        <v>126.65829191938842</v>
      </c>
      <c r="AL3569" s="470">
        <v>1</v>
      </c>
      <c r="AM3569" s="471">
        <v>7.959423295826935E-4</v>
      </c>
      <c r="AN3569" s="477">
        <v>126.65829191938842</v>
      </c>
      <c r="AO3569" s="473">
        <v>1</v>
      </c>
      <c r="AP3569" s="474">
        <v>8.0168425504750882E-4</v>
      </c>
      <c r="AQ3569" s="352"/>
      <c r="AR3569" s="352"/>
      <c r="AS3569" s="352"/>
      <c r="AT3569" s="352"/>
      <c r="AU3569" s="352"/>
      <c r="AV3569" s="352"/>
      <c r="AW3569" s="352" t="s">
        <v>254</v>
      </c>
    </row>
    <row r="3570" spans="2:49" x14ac:dyDescent="0.2">
      <c r="B3570" s="460" t="s">
        <v>3425</v>
      </c>
      <c r="C3570" s="460">
        <v>6000</v>
      </c>
      <c r="D3570" s="460" t="s">
        <v>2283</v>
      </c>
      <c r="E3570" s="460" t="s">
        <v>2277</v>
      </c>
      <c r="F3570" s="460">
        <v>4</v>
      </c>
      <c r="G3570" s="460">
        <v>1</v>
      </c>
      <c r="H3570" s="461" t="s">
        <v>712</v>
      </c>
      <c r="I3570" s="461" t="s">
        <v>713</v>
      </c>
      <c r="J3570" s="461" t="s">
        <v>712</v>
      </c>
      <c r="K3570" s="594"/>
      <c r="L3570" s="594"/>
      <c r="M3570" s="352">
        <v>6000</v>
      </c>
      <c r="N3570" s="352" t="s">
        <v>871</v>
      </c>
      <c r="O3570" s="460">
        <v>5131</v>
      </c>
      <c r="P3570" s="460" t="s">
        <v>1889</v>
      </c>
      <c r="Q3570" s="460" t="s">
        <v>2280</v>
      </c>
      <c r="R3570" s="460">
        <v>5131</v>
      </c>
      <c r="S3570" s="460" t="s">
        <v>2277</v>
      </c>
      <c r="T3570" s="462">
        <v>1</v>
      </c>
      <c r="U3570" s="460" t="s">
        <v>2277</v>
      </c>
      <c r="V3570" s="475">
        <v>0</v>
      </c>
      <c r="W3570" s="463" t="s">
        <v>713</v>
      </c>
      <c r="X3570" s="463" t="s">
        <v>713</v>
      </c>
      <c r="Y3570" s="463" t="s">
        <v>713</v>
      </c>
      <c r="Z3570" s="463"/>
      <c r="AA3570" s="463"/>
      <c r="AB3570" s="464">
        <v>143.60134634362242</v>
      </c>
      <c r="AC3570" s="465">
        <v>1</v>
      </c>
      <c r="AD3570" s="465">
        <v>7.4576126339992031E-4</v>
      </c>
      <c r="AE3570" s="476">
        <v>143.60134634362242</v>
      </c>
      <c r="AF3570" s="467">
        <v>1</v>
      </c>
      <c r="AG3570" s="468">
        <v>7.45660041359384E-4</v>
      </c>
      <c r="AH3570" s="218">
        <v>143.60134634362242</v>
      </c>
      <c r="AI3570" s="470">
        <v>1</v>
      </c>
      <c r="AJ3570" s="471">
        <v>7.4569723581336149E-4</v>
      </c>
      <c r="AK3570" s="218">
        <v>143.60134634362242</v>
      </c>
      <c r="AL3570" s="470">
        <v>1</v>
      </c>
      <c r="AM3570" s="471">
        <v>7.4569723581336149E-4</v>
      </c>
      <c r="AN3570" s="477">
        <v>143.60134634362242</v>
      </c>
      <c r="AO3570" s="473">
        <v>1</v>
      </c>
      <c r="AP3570" s="474">
        <v>7.4570095416849353E-4</v>
      </c>
      <c r="AQ3570" s="352"/>
      <c r="AR3570" s="352"/>
      <c r="AS3570" s="352"/>
      <c r="AT3570" s="352"/>
      <c r="AU3570" s="352"/>
      <c r="AV3570" s="352"/>
      <c r="AW3570" s="352" t="s">
        <v>254</v>
      </c>
    </row>
    <row r="3571" spans="2:49" x14ac:dyDescent="0.2">
      <c r="B3571" s="460" t="s">
        <v>3422</v>
      </c>
      <c r="C3571" s="460">
        <v>6000</v>
      </c>
      <c r="D3571" s="460" t="s">
        <v>3373</v>
      </c>
      <c r="E3571" s="460" t="s">
        <v>2265</v>
      </c>
      <c r="F3571" s="460">
        <v>1</v>
      </c>
      <c r="G3571" s="460">
        <v>1</v>
      </c>
      <c r="H3571" s="461" t="s">
        <v>719</v>
      </c>
      <c r="I3571" s="461" t="s">
        <v>720</v>
      </c>
      <c r="J3571" s="461" t="s">
        <v>719</v>
      </c>
      <c r="K3571" s="594"/>
      <c r="L3571" s="594"/>
      <c r="M3571" s="352">
        <v>6000</v>
      </c>
      <c r="N3571" s="352" t="s">
        <v>871</v>
      </c>
      <c r="O3571" s="460">
        <v>5131</v>
      </c>
      <c r="P3571" s="460" t="s">
        <v>1889</v>
      </c>
      <c r="Q3571" s="460" t="s">
        <v>3374</v>
      </c>
      <c r="R3571" s="460">
        <v>5131</v>
      </c>
      <c r="S3571" s="460" t="s">
        <v>2265</v>
      </c>
      <c r="T3571" s="462">
        <v>1</v>
      </c>
      <c r="U3571" s="460" t="s">
        <v>2265</v>
      </c>
      <c r="V3571" s="475">
        <v>0</v>
      </c>
      <c r="W3571" s="463" t="s">
        <v>2278</v>
      </c>
      <c r="X3571" s="463" t="s">
        <v>2278</v>
      </c>
      <c r="Y3571" s="463" t="s">
        <v>2278</v>
      </c>
      <c r="Z3571" s="463"/>
      <c r="AA3571" s="463"/>
      <c r="AB3571" s="464">
        <v>0</v>
      </c>
      <c r="AC3571" s="465">
        <v>0</v>
      </c>
      <c r="AD3571" s="465">
        <v>0</v>
      </c>
      <c r="AE3571" s="476">
        <v>0</v>
      </c>
      <c r="AF3571" s="467">
        <v>0</v>
      </c>
      <c r="AG3571" s="468">
        <v>0</v>
      </c>
      <c r="AH3571" s="218">
        <v>0</v>
      </c>
      <c r="AI3571" s="470">
        <v>0</v>
      </c>
      <c r="AJ3571" s="471">
        <v>0</v>
      </c>
      <c r="AK3571" s="218">
        <v>0</v>
      </c>
      <c r="AL3571" s="470">
        <v>0</v>
      </c>
      <c r="AM3571" s="471">
        <v>0</v>
      </c>
      <c r="AN3571" s="477">
        <v>0</v>
      </c>
      <c r="AO3571" s="473">
        <v>0</v>
      </c>
      <c r="AP3571" s="474">
        <v>0</v>
      </c>
      <c r="AQ3571" s="352"/>
      <c r="AR3571" s="352"/>
      <c r="AS3571" s="352"/>
      <c r="AT3571" s="352"/>
      <c r="AU3571" s="352"/>
      <c r="AV3571" s="352"/>
      <c r="AW3571" s="352" t="s">
        <v>254</v>
      </c>
    </row>
    <row r="3572" spans="2:49" x14ac:dyDescent="0.2">
      <c r="B3572" s="460" t="s">
        <v>3423</v>
      </c>
      <c r="C3572" s="460">
        <v>6000</v>
      </c>
      <c r="D3572" s="460" t="s">
        <v>3375</v>
      </c>
      <c r="E3572" s="460" t="s">
        <v>2271</v>
      </c>
      <c r="F3572" s="460">
        <v>2</v>
      </c>
      <c r="G3572" s="460">
        <v>1</v>
      </c>
      <c r="H3572" s="461" t="s">
        <v>719</v>
      </c>
      <c r="I3572" s="461" t="s">
        <v>720</v>
      </c>
      <c r="J3572" s="461" t="s">
        <v>719</v>
      </c>
      <c r="K3572" s="594"/>
      <c r="L3572" s="594"/>
      <c r="M3572" s="352">
        <v>6000</v>
      </c>
      <c r="N3572" s="352" t="s">
        <v>871</v>
      </c>
      <c r="O3572" s="460">
        <v>5131</v>
      </c>
      <c r="P3572" s="460" t="s">
        <v>1889</v>
      </c>
      <c r="Q3572" s="460" t="s">
        <v>3374</v>
      </c>
      <c r="R3572" s="460">
        <v>5131</v>
      </c>
      <c r="S3572" s="460" t="s">
        <v>2265</v>
      </c>
      <c r="T3572" s="462">
        <v>1</v>
      </c>
      <c r="U3572" s="460" t="s">
        <v>2271</v>
      </c>
      <c r="V3572" s="475">
        <v>0</v>
      </c>
      <c r="W3572" s="463" t="s">
        <v>2278</v>
      </c>
      <c r="X3572" s="463" t="s">
        <v>2278</v>
      </c>
      <c r="Y3572" s="463" t="s">
        <v>2278</v>
      </c>
      <c r="Z3572" s="463"/>
      <c r="AA3572" s="463"/>
      <c r="AB3572" s="464">
        <v>0</v>
      </c>
      <c r="AC3572" s="465">
        <v>0</v>
      </c>
      <c r="AD3572" s="465">
        <v>0</v>
      </c>
      <c r="AE3572" s="476">
        <v>0</v>
      </c>
      <c r="AF3572" s="467">
        <v>0</v>
      </c>
      <c r="AG3572" s="468">
        <v>0</v>
      </c>
      <c r="AH3572" s="218">
        <v>0</v>
      </c>
      <c r="AI3572" s="470">
        <v>0</v>
      </c>
      <c r="AJ3572" s="471">
        <v>0</v>
      </c>
      <c r="AK3572" s="218">
        <v>0</v>
      </c>
      <c r="AL3572" s="470">
        <v>0</v>
      </c>
      <c r="AM3572" s="471">
        <v>0</v>
      </c>
      <c r="AN3572" s="477">
        <v>0</v>
      </c>
      <c r="AO3572" s="473">
        <v>0</v>
      </c>
      <c r="AP3572" s="474">
        <v>0</v>
      </c>
      <c r="AQ3572" s="352"/>
      <c r="AR3572" s="352"/>
      <c r="AS3572" s="352"/>
      <c r="AT3572" s="352"/>
      <c r="AU3572" s="352"/>
      <c r="AV3572" s="352"/>
      <c r="AW3572" s="352" t="s">
        <v>254</v>
      </c>
    </row>
    <row r="3573" spans="2:49" x14ac:dyDescent="0.2">
      <c r="B3573" s="460" t="s">
        <v>3424</v>
      </c>
      <c r="C3573" s="460">
        <v>6000</v>
      </c>
      <c r="D3573" s="460" t="s">
        <v>3376</v>
      </c>
      <c r="E3573" s="460" t="s">
        <v>2274</v>
      </c>
      <c r="F3573" s="460">
        <v>3</v>
      </c>
      <c r="G3573" s="460">
        <v>1</v>
      </c>
      <c r="H3573" s="461" t="s">
        <v>719</v>
      </c>
      <c r="I3573" s="461" t="s">
        <v>720</v>
      </c>
      <c r="J3573" s="461" t="s">
        <v>719</v>
      </c>
      <c r="K3573" s="594"/>
      <c r="L3573" s="594"/>
      <c r="M3573" s="352">
        <v>6000</v>
      </c>
      <c r="N3573" s="352" t="s">
        <v>871</v>
      </c>
      <c r="O3573" s="460">
        <v>5131</v>
      </c>
      <c r="P3573" s="460" t="s">
        <v>1889</v>
      </c>
      <c r="Q3573" s="460" t="s">
        <v>3374</v>
      </c>
      <c r="R3573" s="460">
        <v>5131</v>
      </c>
      <c r="S3573" s="460" t="s">
        <v>2265</v>
      </c>
      <c r="T3573" s="462">
        <v>0.74223365950407583</v>
      </c>
      <c r="U3573" s="460" t="s">
        <v>2274</v>
      </c>
      <c r="V3573" s="475">
        <v>0</v>
      </c>
      <c r="W3573" s="463" t="s">
        <v>2278</v>
      </c>
      <c r="X3573" s="463" t="s">
        <v>2278</v>
      </c>
      <c r="Y3573" s="463" t="s">
        <v>2278</v>
      </c>
      <c r="Z3573" s="463"/>
      <c r="AA3573" s="463"/>
      <c r="AB3573" s="464">
        <v>0</v>
      </c>
      <c r="AC3573" s="465">
        <v>0</v>
      </c>
      <c r="AD3573" s="465">
        <v>0</v>
      </c>
      <c r="AE3573" s="476">
        <v>0</v>
      </c>
      <c r="AF3573" s="467">
        <v>0</v>
      </c>
      <c r="AG3573" s="468">
        <v>0</v>
      </c>
      <c r="AH3573" s="218">
        <v>0</v>
      </c>
      <c r="AI3573" s="470">
        <v>0</v>
      </c>
      <c r="AJ3573" s="471">
        <v>0</v>
      </c>
      <c r="AK3573" s="218">
        <v>0</v>
      </c>
      <c r="AL3573" s="470">
        <v>0</v>
      </c>
      <c r="AM3573" s="471">
        <v>0</v>
      </c>
      <c r="AN3573" s="477">
        <v>0</v>
      </c>
      <c r="AO3573" s="473">
        <v>0</v>
      </c>
      <c r="AP3573" s="474">
        <v>0</v>
      </c>
      <c r="AQ3573" s="352"/>
      <c r="AR3573" s="352"/>
      <c r="AS3573" s="352"/>
      <c r="AT3573" s="352"/>
      <c r="AU3573" s="352"/>
      <c r="AV3573" s="352"/>
      <c r="AW3573" s="352" t="s">
        <v>254</v>
      </c>
    </row>
    <row r="3574" spans="2:49" x14ac:dyDescent="0.2">
      <c r="B3574" s="460" t="s">
        <v>3425</v>
      </c>
      <c r="C3574" s="460">
        <v>6000</v>
      </c>
      <c r="D3574" s="460" t="s">
        <v>3377</v>
      </c>
      <c r="E3574" s="460" t="s">
        <v>2277</v>
      </c>
      <c r="F3574" s="460">
        <v>4</v>
      </c>
      <c r="G3574" s="460">
        <v>1</v>
      </c>
      <c r="H3574" s="461" t="s">
        <v>719</v>
      </c>
      <c r="I3574" s="461" t="s">
        <v>720</v>
      </c>
      <c r="J3574" s="461" t="s">
        <v>719</v>
      </c>
      <c r="K3574" s="594"/>
      <c r="L3574" s="594"/>
      <c r="M3574" s="352">
        <v>6000</v>
      </c>
      <c r="N3574" s="352" t="s">
        <v>871</v>
      </c>
      <c r="O3574" s="460">
        <v>5131</v>
      </c>
      <c r="P3574" s="460" t="s">
        <v>1889</v>
      </c>
      <c r="Q3574" s="460" t="s">
        <v>3374</v>
      </c>
      <c r="R3574" s="460">
        <v>5131</v>
      </c>
      <c r="S3574" s="460" t="s">
        <v>2277</v>
      </c>
      <c r="T3574" s="462">
        <v>1</v>
      </c>
      <c r="U3574" s="460" t="s">
        <v>2277</v>
      </c>
      <c r="V3574" s="475">
        <v>0</v>
      </c>
      <c r="W3574" s="463" t="s">
        <v>2278</v>
      </c>
      <c r="X3574" s="463" t="s">
        <v>2278</v>
      </c>
      <c r="Y3574" s="463" t="s">
        <v>2278</v>
      </c>
      <c r="Z3574" s="463"/>
      <c r="AA3574" s="463"/>
      <c r="AB3574" s="464">
        <v>0</v>
      </c>
      <c r="AC3574" s="465">
        <v>0</v>
      </c>
      <c r="AD3574" s="465">
        <v>0</v>
      </c>
      <c r="AE3574" s="476">
        <v>0</v>
      </c>
      <c r="AF3574" s="467">
        <v>0</v>
      </c>
      <c r="AG3574" s="468">
        <v>0</v>
      </c>
      <c r="AH3574" s="218">
        <v>0</v>
      </c>
      <c r="AI3574" s="470">
        <v>0</v>
      </c>
      <c r="AJ3574" s="471">
        <v>0</v>
      </c>
      <c r="AK3574" s="218">
        <v>0</v>
      </c>
      <c r="AL3574" s="470">
        <v>0</v>
      </c>
      <c r="AM3574" s="471">
        <v>0</v>
      </c>
      <c r="AN3574" s="477">
        <v>0</v>
      </c>
      <c r="AO3574" s="473">
        <v>0</v>
      </c>
      <c r="AP3574" s="474">
        <v>0</v>
      </c>
      <c r="AQ3574" s="352"/>
      <c r="AR3574" s="352"/>
      <c r="AS3574" s="352"/>
      <c r="AT3574" s="352"/>
      <c r="AU3574" s="352"/>
      <c r="AV3574" s="352"/>
      <c r="AW3574" s="352" t="s">
        <v>254</v>
      </c>
    </row>
    <row r="3575" spans="2:49" x14ac:dyDescent="0.2">
      <c r="B3575" s="460" t="s">
        <v>3422</v>
      </c>
      <c r="C3575" s="460">
        <v>6000</v>
      </c>
      <c r="D3575" s="460" t="s">
        <v>2284</v>
      </c>
      <c r="E3575" s="460" t="s">
        <v>2265</v>
      </c>
      <c r="F3575" s="460">
        <v>1</v>
      </c>
      <c r="G3575" s="460">
        <v>1</v>
      </c>
      <c r="H3575" s="461" t="s">
        <v>746</v>
      </c>
      <c r="I3575" s="461" t="s">
        <v>762</v>
      </c>
      <c r="J3575" s="461" t="s">
        <v>700</v>
      </c>
      <c r="K3575" s="594"/>
      <c r="L3575" s="594"/>
      <c r="M3575" s="352">
        <v>6000</v>
      </c>
      <c r="N3575" s="352" t="s">
        <v>871</v>
      </c>
      <c r="O3575" s="460">
        <v>5131</v>
      </c>
      <c r="P3575" s="460" t="s">
        <v>1889</v>
      </c>
      <c r="Q3575" s="460" t="s">
        <v>2553</v>
      </c>
      <c r="R3575" s="460">
        <v>5131</v>
      </c>
      <c r="S3575" s="460" t="s">
        <v>2265</v>
      </c>
      <c r="T3575" s="462">
        <v>1</v>
      </c>
      <c r="U3575" s="460" t="s">
        <v>2265</v>
      </c>
      <c r="V3575" s="475">
        <v>0</v>
      </c>
      <c r="W3575" s="463" t="s">
        <v>2268</v>
      </c>
      <c r="X3575" s="463" t="s">
        <v>2268</v>
      </c>
      <c r="Y3575" s="463" t="s">
        <v>2554</v>
      </c>
      <c r="Z3575" s="463"/>
      <c r="AA3575" s="463"/>
      <c r="AB3575" s="464">
        <v>0</v>
      </c>
      <c r="AC3575" s="465">
        <v>0</v>
      </c>
      <c r="AD3575" s="465">
        <v>0</v>
      </c>
      <c r="AE3575" s="476">
        <v>0</v>
      </c>
      <c r="AF3575" s="467">
        <v>0</v>
      </c>
      <c r="AG3575" s="468">
        <v>0</v>
      </c>
      <c r="AH3575" s="218">
        <v>0</v>
      </c>
      <c r="AI3575" s="470">
        <v>0</v>
      </c>
      <c r="AJ3575" s="471">
        <v>0</v>
      </c>
      <c r="AK3575" s="218">
        <v>0</v>
      </c>
      <c r="AL3575" s="470">
        <v>0</v>
      </c>
      <c r="AM3575" s="471">
        <v>0</v>
      </c>
      <c r="AN3575" s="477">
        <v>0</v>
      </c>
      <c r="AO3575" s="473">
        <v>0</v>
      </c>
      <c r="AP3575" s="474">
        <v>0</v>
      </c>
      <c r="AQ3575" s="352"/>
      <c r="AR3575" s="352"/>
      <c r="AS3575" s="352"/>
      <c r="AT3575" s="352"/>
      <c r="AU3575" s="352"/>
      <c r="AV3575" s="352"/>
      <c r="AW3575" s="352" t="s">
        <v>254</v>
      </c>
    </row>
    <row r="3576" spans="2:49" x14ac:dyDescent="0.2">
      <c r="B3576" s="460" t="s">
        <v>3423</v>
      </c>
      <c r="C3576" s="460">
        <v>6000</v>
      </c>
      <c r="D3576" s="460" t="s">
        <v>2285</v>
      </c>
      <c r="E3576" s="460" t="s">
        <v>2271</v>
      </c>
      <c r="F3576" s="460">
        <v>2</v>
      </c>
      <c r="G3576" s="460">
        <v>1</v>
      </c>
      <c r="H3576" s="461" t="s">
        <v>746</v>
      </c>
      <c r="I3576" s="461" t="s">
        <v>762</v>
      </c>
      <c r="J3576" s="461" t="s">
        <v>700</v>
      </c>
      <c r="K3576" s="594"/>
      <c r="L3576" s="594"/>
      <c r="M3576" s="352">
        <v>6000</v>
      </c>
      <c r="N3576" s="352" t="s">
        <v>871</v>
      </c>
      <c r="O3576" s="460">
        <v>5131</v>
      </c>
      <c r="P3576" s="460" t="s">
        <v>1889</v>
      </c>
      <c r="Q3576" s="460" t="s">
        <v>2553</v>
      </c>
      <c r="R3576" s="460">
        <v>5131</v>
      </c>
      <c r="S3576" s="460" t="s">
        <v>2265</v>
      </c>
      <c r="T3576" s="462">
        <v>1</v>
      </c>
      <c r="U3576" s="460" t="s">
        <v>2271</v>
      </c>
      <c r="V3576" s="475">
        <v>0</v>
      </c>
      <c r="W3576" s="463" t="s">
        <v>2268</v>
      </c>
      <c r="X3576" s="463" t="s">
        <v>2268</v>
      </c>
      <c r="Y3576" s="463" t="s">
        <v>2554</v>
      </c>
      <c r="Z3576" s="463"/>
      <c r="AA3576" s="463"/>
      <c r="AB3576" s="464">
        <v>0</v>
      </c>
      <c r="AC3576" s="465">
        <v>0</v>
      </c>
      <c r="AD3576" s="465">
        <v>0</v>
      </c>
      <c r="AE3576" s="476">
        <v>0</v>
      </c>
      <c r="AF3576" s="467">
        <v>0</v>
      </c>
      <c r="AG3576" s="468">
        <v>0</v>
      </c>
      <c r="AH3576" s="218">
        <v>0</v>
      </c>
      <c r="AI3576" s="470">
        <v>0</v>
      </c>
      <c r="AJ3576" s="471">
        <v>0</v>
      </c>
      <c r="AK3576" s="218">
        <v>0</v>
      </c>
      <c r="AL3576" s="470">
        <v>0</v>
      </c>
      <c r="AM3576" s="471">
        <v>0</v>
      </c>
      <c r="AN3576" s="477">
        <v>0</v>
      </c>
      <c r="AO3576" s="473">
        <v>0</v>
      </c>
      <c r="AP3576" s="474">
        <v>0</v>
      </c>
      <c r="AQ3576" s="352"/>
      <c r="AR3576" s="352"/>
      <c r="AS3576" s="352"/>
      <c r="AT3576" s="352"/>
      <c r="AU3576" s="352"/>
      <c r="AV3576" s="352"/>
      <c r="AW3576" s="352" t="s">
        <v>254</v>
      </c>
    </row>
    <row r="3577" spans="2:49" x14ac:dyDescent="0.2">
      <c r="B3577" s="460" t="s">
        <v>3424</v>
      </c>
      <c r="C3577" s="460">
        <v>6000</v>
      </c>
      <c r="D3577" s="460" t="s">
        <v>2286</v>
      </c>
      <c r="E3577" s="460" t="s">
        <v>2274</v>
      </c>
      <c r="F3577" s="460">
        <v>3</v>
      </c>
      <c r="G3577" s="460">
        <v>1</v>
      </c>
      <c r="H3577" s="461" t="s">
        <v>746</v>
      </c>
      <c r="I3577" s="461" t="s">
        <v>762</v>
      </c>
      <c r="J3577" s="461" t="s">
        <v>700</v>
      </c>
      <c r="K3577" s="594"/>
      <c r="L3577" s="594"/>
      <c r="M3577" s="352">
        <v>6000</v>
      </c>
      <c r="N3577" s="352" t="s">
        <v>871</v>
      </c>
      <c r="O3577" s="460">
        <v>5131</v>
      </c>
      <c r="P3577" s="460" t="s">
        <v>1889</v>
      </c>
      <c r="Q3577" s="460" t="s">
        <v>2553</v>
      </c>
      <c r="R3577" s="460">
        <v>5131</v>
      </c>
      <c r="S3577" s="460" t="s">
        <v>2265</v>
      </c>
      <c r="T3577" s="462">
        <v>0.74223365950407583</v>
      </c>
      <c r="U3577" s="460" t="s">
        <v>2274</v>
      </c>
      <c r="V3577" s="475">
        <v>0</v>
      </c>
      <c r="W3577" s="463" t="s">
        <v>2268</v>
      </c>
      <c r="X3577" s="463" t="s">
        <v>2268</v>
      </c>
      <c r="Y3577" s="463" t="s">
        <v>2554</v>
      </c>
      <c r="Z3577" s="463"/>
      <c r="AA3577" s="463"/>
      <c r="AB3577" s="464">
        <v>0</v>
      </c>
      <c r="AC3577" s="465">
        <v>0</v>
      </c>
      <c r="AD3577" s="465">
        <v>0</v>
      </c>
      <c r="AE3577" s="476">
        <v>0</v>
      </c>
      <c r="AF3577" s="467">
        <v>0</v>
      </c>
      <c r="AG3577" s="468">
        <v>0</v>
      </c>
      <c r="AH3577" s="218">
        <v>0</v>
      </c>
      <c r="AI3577" s="470">
        <v>0</v>
      </c>
      <c r="AJ3577" s="471">
        <v>0</v>
      </c>
      <c r="AK3577" s="218">
        <v>0</v>
      </c>
      <c r="AL3577" s="470">
        <v>0</v>
      </c>
      <c r="AM3577" s="471">
        <v>0</v>
      </c>
      <c r="AN3577" s="477">
        <v>0</v>
      </c>
      <c r="AO3577" s="473">
        <v>0</v>
      </c>
      <c r="AP3577" s="474">
        <v>0</v>
      </c>
      <c r="AQ3577" s="352"/>
      <c r="AR3577" s="352"/>
      <c r="AS3577" s="352"/>
      <c r="AT3577" s="352"/>
      <c r="AU3577" s="352"/>
      <c r="AV3577" s="352"/>
      <c r="AW3577" s="352" t="s">
        <v>254</v>
      </c>
    </row>
    <row r="3578" spans="2:49" x14ac:dyDescent="0.2">
      <c r="B3578" s="460" t="s">
        <v>3425</v>
      </c>
      <c r="C3578" s="460">
        <v>6000</v>
      </c>
      <c r="D3578" s="460" t="s">
        <v>2287</v>
      </c>
      <c r="E3578" s="460" t="s">
        <v>2277</v>
      </c>
      <c r="F3578" s="460">
        <v>4</v>
      </c>
      <c r="G3578" s="460">
        <v>1</v>
      </c>
      <c r="H3578" s="461" t="s">
        <v>746</v>
      </c>
      <c r="I3578" s="461" t="s">
        <v>762</v>
      </c>
      <c r="J3578" s="461" t="s">
        <v>700</v>
      </c>
      <c r="K3578" s="594"/>
      <c r="L3578" s="594"/>
      <c r="M3578" s="352">
        <v>6000</v>
      </c>
      <c r="N3578" s="352" t="s">
        <v>871</v>
      </c>
      <c r="O3578" s="460">
        <v>5131</v>
      </c>
      <c r="P3578" s="460" t="s">
        <v>1889</v>
      </c>
      <c r="Q3578" s="460" t="s">
        <v>2553</v>
      </c>
      <c r="R3578" s="460">
        <v>5131</v>
      </c>
      <c r="S3578" s="460" t="s">
        <v>2277</v>
      </c>
      <c r="T3578" s="462">
        <v>1</v>
      </c>
      <c r="U3578" s="460" t="s">
        <v>2277</v>
      </c>
      <c r="V3578" s="475">
        <v>0</v>
      </c>
      <c r="W3578" s="463" t="s">
        <v>2268</v>
      </c>
      <c r="X3578" s="463" t="s">
        <v>2268</v>
      </c>
      <c r="Y3578" s="463" t="s">
        <v>2554</v>
      </c>
      <c r="Z3578" s="463"/>
      <c r="AA3578" s="463"/>
      <c r="AB3578" s="464">
        <v>0</v>
      </c>
      <c r="AC3578" s="465">
        <v>0</v>
      </c>
      <c r="AD3578" s="465">
        <v>0</v>
      </c>
      <c r="AE3578" s="476">
        <v>0</v>
      </c>
      <c r="AF3578" s="467">
        <v>0</v>
      </c>
      <c r="AG3578" s="468">
        <v>0</v>
      </c>
      <c r="AH3578" s="218">
        <v>0</v>
      </c>
      <c r="AI3578" s="470">
        <v>0</v>
      </c>
      <c r="AJ3578" s="471">
        <v>0</v>
      </c>
      <c r="AK3578" s="218">
        <v>0</v>
      </c>
      <c r="AL3578" s="470">
        <v>0</v>
      </c>
      <c r="AM3578" s="471">
        <v>0</v>
      </c>
      <c r="AN3578" s="477">
        <v>0</v>
      </c>
      <c r="AO3578" s="473">
        <v>0</v>
      </c>
      <c r="AP3578" s="474">
        <v>0</v>
      </c>
      <c r="AQ3578" s="352"/>
      <c r="AR3578" s="352"/>
      <c r="AS3578" s="352"/>
      <c r="AT3578" s="352"/>
      <c r="AU3578" s="352"/>
      <c r="AV3578" s="352"/>
      <c r="AW3578" s="352" t="s">
        <v>254</v>
      </c>
    </row>
    <row r="3579" spans="2:49" x14ac:dyDescent="0.2">
      <c r="B3579" s="460" t="s">
        <v>3422</v>
      </c>
      <c r="C3579" s="460">
        <v>6000</v>
      </c>
      <c r="D3579" s="460" t="s">
        <v>2288</v>
      </c>
      <c r="E3579" s="460" t="s">
        <v>2265</v>
      </c>
      <c r="F3579" s="460">
        <v>1</v>
      </c>
      <c r="G3579" s="460">
        <v>1</v>
      </c>
      <c r="H3579" s="461" t="s">
        <v>748</v>
      </c>
      <c r="I3579" s="461" t="s">
        <v>765</v>
      </c>
      <c r="J3579" s="461" t="s">
        <v>700</v>
      </c>
      <c r="K3579" s="594"/>
      <c r="L3579" s="594"/>
      <c r="M3579" s="352">
        <v>6000</v>
      </c>
      <c r="N3579" s="352" t="s">
        <v>871</v>
      </c>
      <c r="O3579" s="460">
        <v>5131</v>
      </c>
      <c r="P3579" s="460" t="s">
        <v>1889</v>
      </c>
      <c r="Q3579" s="460" t="s">
        <v>2553</v>
      </c>
      <c r="R3579" s="460">
        <v>5131</v>
      </c>
      <c r="S3579" s="460" t="s">
        <v>2265</v>
      </c>
      <c r="T3579" s="462">
        <v>1</v>
      </c>
      <c r="U3579" s="460" t="s">
        <v>2265</v>
      </c>
      <c r="V3579" s="475">
        <v>0</v>
      </c>
      <c r="W3579" s="463" t="s">
        <v>2268</v>
      </c>
      <c r="X3579" s="463" t="s">
        <v>2268</v>
      </c>
      <c r="Y3579" s="463" t="s">
        <v>2554</v>
      </c>
      <c r="Z3579" s="463"/>
      <c r="AA3579" s="463"/>
      <c r="AB3579" s="464">
        <v>0</v>
      </c>
      <c r="AC3579" s="465">
        <v>0</v>
      </c>
      <c r="AD3579" s="465">
        <v>0</v>
      </c>
      <c r="AE3579" s="476">
        <v>0</v>
      </c>
      <c r="AF3579" s="467">
        <v>0</v>
      </c>
      <c r="AG3579" s="468">
        <v>0</v>
      </c>
      <c r="AH3579" s="218">
        <v>0</v>
      </c>
      <c r="AI3579" s="470">
        <v>0</v>
      </c>
      <c r="AJ3579" s="471">
        <v>0</v>
      </c>
      <c r="AK3579" s="218">
        <v>0</v>
      </c>
      <c r="AL3579" s="470">
        <v>0</v>
      </c>
      <c r="AM3579" s="471">
        <v>0</v>
      </c>
      <c r="AN3579" s="477">
        <v>0</v>
      </c>
      <c r="AO3579" s="473">
        <v>0</v>
      </c>
      <c r="AP3579" s="474">
        <v>0</v>
      </c>
      <c r="AQ3579" s="352"/>
      <c r="AR3579" s="352"/>
      <c r="AS3579" s="352"/>
      <c r="AT3579" s="352"/>
      <c r="AU3579" s="352"/>
      <c r="AV3579" s="352"/>
      <c r="AW3579" s="352" t="s">
        <v>254</v>
      </c>
    </row>
    <row r="3580" spans="2:49" x14ac:dyDescent="0.2">
      <c r="B3580" s="460" t="s">
        <v>3423</v>
      </c>
      <c r="C3580" s="460">
        <v>6000</v>
      </c>
      <c r="D3580" s="460" t="s">
        <v>2291</v>
      </c>
      <c r="E3580" s="460" t="s">
        <v>2271</v>
      </c>
      <c r="F3580" s="460">
        <v>2</v>
      </c>
      <c r="G3580" s="460">
        <v>1</v>
      </c>
      <c r="H3580" s="461" t="s">
        <v>748</v>
      </c>
      <c r="I3580" s="461" t="s">
        <v>765</v>
      </c>
      <c r="J3580" s="461" t="s">
        <v>700</v>
      </c>
      <c r="K3580" s="594"/>
      <c r="L3580" s="594"/>
      <c r="M3580" s="352">
        <v>6000</v>
      </c>
      <c r="N3580" s="352" t="s">
        <v>871</v>
      </c>
      <c r="O3580" s="460">
        <v>5131</v>
      </c>
      <c r="P3580" s="460" t="s">
        <v>1889</v>
      </c>
      <c r="Q3580" s="460" t="s">
        <v>2553</v>
      </c>
      <c r="R3580" s="460">
        <v>5131</v>
      </c>
      <c r="S3580" s="460" t="s">
        <v>2265</v>
      </c>
      <c r="T3580" s="462">
        <v>1</v>
      </c>
      <c r="U3580" s="460" t="s">
        <v>2271</v>
      </c>
      <c r="V3580" s="475">
        <v>0</v>
      </c>
      <c r="W3580" s="463" t="s">
        <v>2268</v>
      </c>
      <c r="X3580" s="463" t="s">
        <v>2268</v>
      </c>
      <c r="Y3580" s="463" t="s">
        <v>2554</v>
      </c>
      <c r="Z3580" s="463"/>
      <c r="AA3580" s="463"/>
      <c r="AB3580" s="464">
        <v>0</v>
      </c>
      <c r="AC3580" s="465">
        <v>0</v>
      </c>
      <c r="AD3580" s="465">
        <v>0</v>
      </c>
      <c r="AE3580" s="476">
        <v>0</v>
      </c>
      <c r="AF3580" s="467">
        <v>0</v>
      </c>
      <c r="AG3580" s="468">
        <v>0</v>
      </c>
      <c r="AH3580" s="218">
        <v>0</v>
      </c>
      <c r="AI3580" s="470">
        <v>0</v>
      </c>
      <c r="AJ3580" s="471">
        <v>0</v>
      </c>
      <c r="AK3580" s="218">
        <v>0</v>
      </c>
      <c r="AL3580" s="470">
        <v>0</v>
      </c>
      <c r="AM3580" s="471">
        <v>0</v>
      </c>
      <c r="AN3580" s="477">
        <v>0</v>
      </c>
      <c r="AO3580" s="473">
        <v>0</v>
      </c>
      <c r="AP3580" s="474">
        <v>0</v>
      </c>
      <c r="AQ3580" s="352"/>
      <c r="AR3580" s="352"/>
      <c r="AS3580" s="352"/>
      <c r="AT3580" s="352"/>
      <c r="AU3580" s="352"/>
      <c r="AV3580" s="352"/>
      <c r="AW3580" s="352" t="s">
        <v>254</v>
      </c>
    </row>
    <row r="3581" spans="2:49" x14ac:dyDescent="0.2">
      <c r="B3581" s="460" t="s">
        <v>3424</v>
      </c>
      <c r="C3581" s="460">
        <v>6000</v>
      </c>
      <c r="D3581" s="460" t="s">
        <v>2292</v>
      </c>
      <c r="E3581" s="460" t="s">
        <v>2274</v>
      </c>
      <c r="F3581" s="460">
        <v>3</v>
      </c>
      <c r="G3581" s="460">
        <v>1</v>
      </c>
      <c r="H3581" s="461" t="s">
        <v>748</v>
      </c>
      <c r="I3581" s="461" t="s">
        <v>765</v>
      </c>
      <c r="J3581" s="461" t="s">
        <v>700</v>
      </c>
      <c r="K3581" s="594"/>
      <c r="L3581" s="594"/>
      <c r="M3581" s="352">
        <v>6000</v>
      </c>
      <c r="N3581" s="352" t="s">
        <v>871</v>
      </c>
      <c r="O3581" s="460">
        <v>5131</v>
      </c>
      <c r="P3581" s="460" t="s">
        <v>1889</v>
      </c>
      <c r="Q3581" s="460" t="s">
        <v>2553</v>
      </c>
      <c r="R3581" s="460">
        <v>5131</v>
      </c>
      <c r="S3581" s="460" t="s">
        <v>2265</v>
      </c>
      <c r="T3581" s="462">
        <v>0.74223365950407583</v>
      </c>
      <c r="U3581" s="460" t="s">
        <v>2274</v>
      </c>
      <c r="V3581" s="475">
        <v>0</v>
      </c>
      <c r="W3581" s="463" t="s">
        <v>2268</v>
      </c>
      <c r="X3581" s="463" t="s">
        <v>2268</v>
      </c>
      <c r="Y3581" s="463" t="s">
        <v>2554</v>
      </c>
      <c r="Z3581" s="463"/>
      <c r="AA3581" s="463"/>
      <c r="AB3581" s="464">
        <v>0</v>
      </c>
      <c r="AC3581" s="465">
        <v>0</v>
      </c>
      <c r="AD3581" s="465">
        <v>0</v>
      </c>
      <c r="AE3581" s="476">
        <v>0</v>
      </c>
      <c r="AF3581" s="467">
        <v>0</v>
      </c>
      <c r="AG3581" s="468">
        <v>0</v>
      </c>
      <c r="AH3581" s="218">
        <v>0</v>
      </c>
      <c r="AI3581" s="470">
        <v>0</v>
      </c>
      <c r="AJ3581" s="471">
        <v>0</v>
      </c>
      <c r="AK3581" s="218">
        <v>0</v>
      </c>
      <c r="AL3581" s="470">
        <v>0</v>
      </c>
      <c r="AM3581" s="471">
        <v>0</v>
      </c>
      <c r="AN3581" s="477">
        <v>0</v>
      </c>
      <c r="AO3581" s="473">
        <v>0</v>
      </c>
      <c r="AP3581" s="474">
        <v>0</v>
      </c>
      <c r="AQ3581" s="352"/>
      <c r="AR3581" s="352"/>
      <c r="AS3581" s="352"/>
      <c r="AT3581" s="352"/>
      <c r="AU3581" s="352"/>
      <c r="AV3581" s="352"/>
      <c r="AW3581" s="352" t="s">
        <v>254</v>
      </c>
    </row>
    <row r="3582" spans="2:49" x14ac:dyDescent="0.2">
      <c r="B3582" s="460" t="s">
        <v>3425</v>
      </c>
      <c r="C3582" s="460">
        <v>6000</v>
      </c>
      <c r="D3582" s="460" t="s">
        <v>2293</v>
      </c>
      <c r="E3582" s="460" t="s">
        <v>2277</v>
      </c>
      <c r="F3582" s="460">
        <v>4</v>
      </c>
      <c r="G3582" s="460">
        <v>1</v>
      </c>
      <c r="H3582" s="461" t="s">
        <v>748</v>
      </c>
      <c r="I3582" s="461" t="s">
        <v>765</v>
      </c>
      <c r="J3582" s="461" t="s">
        <v>700</v>
      </c>
      <c r="K3582" s="594"/>
      <c r="L3582" s="594"/>
      <c r="M3582" s="352">
        <v>6000</v>
      </c>
      <c r="N3582" s="352" t="s">
        <v>871</v>
      </c>
      <c r="O3582" s="460">
        <v>5131</v>
      </c>
      <c r="P3582" s="460" t="s">
        <v>1889</v>
      </c>
      <c r="Q3582" s="460" t="s">
        <v>2553</v>
      </c>
      <c r="R3582" s="460">
        <v>5131</v>
      </c>
      <c r="S3582" s="460" t="s">
        <v>2277</v>
      </c>
      <c r="T3582" s="462">
        <v>1</v>
      </c>
      <c r="U3582" s="460" t="s">
        <v>2277</v>
      </c>
      <c r="V3582" s="475">
        <v>0</v>
      </c>
      <c r="W3582" s="463" t="s">
        <v>2268</v>
      </c>
      <c r="X3582" s="463" t="s">
        <v>2268</v>
      </c>
      <c r="Y3582" s="463" t="s">
        <v>2554</v>
      </c>
      <c r="Z3582" s="463"/>
      <c r="AA3582" s="463"/>
      <c r="AB3582" s="464">
        <v>0</v>
      </c>
      <c r="AC3582" s="465">
        <v>0</v>
      </c>
      <c r="AD3582" s="465">
        <v>0</v>
      </c>
      <c r="AE3582" s="476">
        <v>0</v>
      </c>
      <c r="AF3582" s="467">
        <v>0</v>
      </c>
      <c r="AG3582" s="468">
        <v>0</v>
      </c>
      <c r="AH3582" s="218">
        <v>0</v>
      </c>
      <c r="AI3582" s="470">
        <v>0</v>
      </c>
      <c r="AJ3582" s="471">
        <v>0</v>
      </c>
      <c r="AK3582" s="218">
        <v>0</v>
      </c>
      <c r="AL3582" s="470">
        <v>0</v>
      </c>
      <c r="AM3582" s="471">
        <v>0</v>
      </c>
      <c r="AN3582" s="477">
        <v>0</v>
      </c>
      <c r="AO3582" s="473">
        <v>0</v>
      </c>
      <c r="AP3582" s="474">
        <v>0</v>
      </c>
      <c r="AQ3582" s="352"/>
      <c r="AR3582" s="352"/>
      <c r="AS3582" s="352"/>
      <c r="AT3582" s="352"/>
      <c r="AU3582" s="352"/>
      <c r="AV3582" s="352"/>
      <c r="AW3582" s="352" t="s">
        <v>254</v>
      </c>
    </row>
    <row r="3583" spans="2:49" x14ac:dyDescent="0.2">
      <c r="B3583" s="460" t="s">
        <v>3426</v>
      </c>
      <c r="C3583" s="460">
        <v>6000</v>
      </c>
      <c r="D3583" s="460" t="s">
        <v>2295</v>
      </c>
      <c r="E3583" s="460" t="s">
        <v>2296</v>
      </c>
      <c r="F3583" s="460">
        <v>1</v>
      </c>
      <c r="G3583" s="460">
        <v>2</v>
      </c>
      <c r="H3583" s="461" t="s">
        <v>700</v>
      </c>
      <c r="I3583" s="461" t="s">
        <v>872</v>
      </c>
      <c r="J3583" s="461" t="s">
        <v>700</v>
      </c>
      <c r="K3583" s="594"/>
      <c r="L3583" s="594"/>
      <c r="M3583" s="352">
        <v>6000</v>
      </c>
      <c r="N3583" s="352" t="s">
        <v>871</v>
      </c>
      <c r="O3583" s="460">
        <v>5131</v>
      </c>
      <c r="P3583" s="460" t="s">
        <v>1889</v>
      </c>
      <c r="Q3583" s="460" t="s">
        <v>2553</v>
      </c>
      <c r="R3583" s="460">
        <v>5131</v>
      </c>
      <c r="S3583" s="460" t="s">
        <v>2296</v>
      </c>
      <c r="T3583" s="462">
        <v>1</v>
      </c>
      <c r="U3583" s="460" t="s">
        <v>2296</v>
      </c>
      <c r="V3583" s="475">
        <v>0</v>
      </c>
      <c r="W3583" s="463" t="s">
        <v>2554</v>
      </c>
      <c r="X3583" s="463" t="s">
        <v>2554</v>
      </c>
      <c r="Y3583" s="463" t="s">
        <v>2268</v>
      </c>
      <c r="Z3583" s="463"/>
      <c r="AA3583" s="463"/>
      <c r="AB3583" s="464">
        <v>54.268066864977499</v>
      </c>
      <c r="AC3583" s="465">
        <v>0.10089704175696775</v>
      </c>
      <c r="AD3583" s="465">
        <v>3.1700000000000001E-3</v>
      </c>
      <c r="AE3583" s="476">
        <v>13.567016716244375</v>
      </c>
      <c r="AF3583" s="467">
        <v>2.5224260439241936E-2</v>
      </c>
      <c r="AG3583" s="468">
        <v>8.809069208321849E-4</v>
      </c>
      <c r="AH3583" s="218">
        <v>13.567016716244375</v>
      </c>
      <c r="AI3583" s="470">
        <v>2.5224260439241936E-2</v>
      </c>
      <c r="AJ3583" s="471">
        <v>8.0931790667713565E-4</v>
      </c>
      <c r="AK3583" s="218">
        <v>13.567016716244375</v>
      </c>
      <c r="AL3583" s="470">
        <v>2.5224260439241936E-2</v>
      </c>
      <c r="AM3583" s="471">
        <v>8.0931790667713565E-4</v>
      </c>
      <c r="AN3583" s="477">
        <v>0</v>
      </c>
      <c r="AO3583" s="473">
        <v>0</v>
      </c>
      <c r="AP3583" s="474">
        <v>0</v>
      </c>
      <c r="AQ3583" s="352"/>
      <c r="AR3583" s="352"/>
      <c r="AS3583" s="352"/>
      <c r="AT3583" s="352"/>
      <c r="AU3583" s="352"/>
      <c r="AV3583" s="352"/>
      <c r="AW3583" s="352" t="s">
        <v>254</v>
      </c>
    </row>
    <row r="3584" spans="2:49" x14ac:dyDescent="0.2">
      <c r="B3584" s="460" t="s">
        <v>3427</v>
      </c>
      <c r="C3584" s="460">
        <v>6000</v>
      </c>
      <c r="D3584" s="460" t="s">
        <v>2298</v>
      </c>
      <c r="E3584" s="460" t="s">
        <v>2299</v>
      </c>
      <c r="F3584" s="460">
        <v>2</v>
      </c>
      <c r="G3584" s="460">
        <v>2</v>
      </c>
      <c r="H3584" s="461" t="s">
        <v>700</v>
      </c>
      <c r="I3584" s="461" t="s">
        <v>872</v>
      </c>
      <c r="J3584" s="461" t="s">
        <v>700</v>
      </c>
      <c r="K3584" s="594"/>
      <c r="L3584" s="594"/>
      <c r="M3584" s="352">
        <v>6000</v>
      </c>
      <c r="N3584" s="352" t="s">
        <v>871</v>
      </c>
      <c r="O3584" s="460">
        <v>5131</v>
      </c>
      <c r="P3584" s="460" t="s">
        <v>1889</v>
      </c>
      <c r="Q3584" s="460" t="s">
        <v>2553</v>
      </c>
      <c r="R3584" s="460">
        <v>5131</v>
      </c>
      <c r="S3584" s="460" t="s">
        <v>2296</v>
      </c>
      <c r="T3584" s="462">
        <v>0.55517361979372948</v>
      </c>
      <c r="U3584" s="460" t="s">
        <v>2299</v>
      </c>
      <c r="V3584" s="475">
        <v>0</v>
      </c>
      <c r="W3584" s="463" t="s">
        <v>2554</v>
      </c>
      <c r="X3584" s="463" t="s">
        <v>2554</v>
      </c>
      <c r="Y3584" s="463" t="s">
        <v>2268</v>
      </c>
      <c r="Z3584" s="463"/>
      <c r="AA3584" s="463"/>
      <c r="AB3584" s="464">
        <v>8.0502265522061496</v>
      </c>
      <c r="AC3584" s="465">
        <v>0.25</v>
      </c>
      <c r="AD3584" s="465">
        <v>2.4358329918317372E-3</v>
      </c>
      <c r="AE3584" s="476">
        <v>2.0125566380515374</v>
      </c>
      <c r="AF3584" s="467">
        <v>6.25E-2</v>
      </c>
      <c r="AG3584" s="468">
        <v>6.8336870121348014E-4</v>
      </c>
      <c r="AH3584" s="218">
        <v>2.0125566380515374</v>
      </c>
      <c r="AI3584" s="470">
        <v>6.25E-2</v>
      </c>
      <c r="AJ3584" s="471">
        <v>4.7393208963484581E-4</v>
      </c>
      <c r="AK3584" s="218">
        <v>2.0125566380515374</v>
      </c>
      <c r="AL3584" s="470">
        <v>6.25E-2</v>
      </c>
      <c r="AM3584" s="471">
        <v>4.7393208963484581E-4</v>
      </c>
      <c r="AN3584" s="477">
        <v>0</v>
      </c>
      <c r="AO3584" s="473">
        <v>0</v>
      </c>
      <c r="AP3584" s="474">
        <v>0</v>
      </c>
      <c r="AQ3584" s="352"/>
      <c r="AR3584" s="352"/>
      <c r="AS3584" s="352"/>
      <c r="AT3584" s="352"/>
      <c r="AU3584" s="352"/>
      <c r="AV3584" s="352"/>
      <c r="AW3584" s="352" t="s">
        <v>254</v>
      </c>
    </row>
    <row r="3585" spans="2:49" x14ac:dyDescent="0.2">
      <c r="B3585" s="460" t="s">
        <v>3428</v>
      </c>
      <c r="C3585" s="460">
        <v>6000</v>
      </c>
      <c r="D3585" s="460" t="s">
        <v>2301</v>
      </c>
      <c r="E3585" s="460" t="s">
        <v>2302</v>
      </c>
      <c r="F3585" s="460">
        <v>3</v>
      </c>
      <c r="G3585" s="460">
        <v>2</v>
      </c>
      <c r="H3585" s="461" t="s">
        <v>700</v>
      </c>
      <c r="I3585" s="461" t="s">
        <v>872</v>
      </c>
      <c r="J3585" s="461" t="s">
        <v>700</v>
      </c>
      <c r="K3585" s="594"/>
      <c r="L3585" s="594"/>
      <c r="M3585" s="352">
        <v>6000</v>
      </c>
      <c r="N3585" s="352" t="s">
        <v>871</v>
      </c>
      <c r="O3585" s="460">
        <v>5131</v>
      </c>
      <c r="P3585" s="460" t="s">
        <v>1889</v>
      </c>
      <c r="Q3585" s="460" t="s">
        <v>2553</v>
      </c>
      <c r="R3585" s="460">
        <v>5131</v>
      </c>
      <c r="S3585" s="460" t="s">
        <v>2296</v>
      </c>
      <c r="T3585" s="462">
        <v>0.28481449642268464</v>
      </c>
      <c r="U3585" s="460" t="s">
        <v>2302</v>
      </c>
      <c r="V3585" s="475">
        <v>0</v>
      </c>
      <c r="W3585" s="463" t="s">
        <v>2554</v>
      </c>
      <c r="X3585" s="463" t="s">
        <v>2554</v>
      </c>
      <c r="Y3585" s="463" t="s">
        <v>2268</v>
      </c>
      <c r="Z3585" s="463"/>
      <c r="AA3585" s="463"/>
      <c r="AB3585" s="464">
        <v>1.629704541384192</v>
      </c>
      <c r="AC3585" s="465">
        <v>0.1152049901246875</v>
      </c>
      <c r="AD3585" s="465">
        <v>3.1700000000000001E-3</v>
      </c>
      <c r="AE3585" s="476">
        <v>0.40742613534604799</v>
      </c>
      <c r="AF3585" s="467">
        <v>2.8801247531171876E-2</v>
      </c>
      <c r="AG3585" s="468">
        <v>8.942874853754072E-4</v>
      </c>
      <c r="AH3585" s="218">
        <v>0.40742613534604799</v>
      </c>
      <c r="AI3585" s="470">
        <v>2.8801247531171876E-2</v>
      </c>
      <c r="AJ3585" s="471">
        <v>4.2295678057333291E-4</v>
      </c>
      <c r="AK3585" s="218">
        <v>0.40742613534604799</v>
      </c>
      <c r="AL3585" s="470">
        <v>2.8801247531171876E-2</v>
      </c>
      <c r="AM3585" s="471">
        <v>4.2295678057333291E-4</v>
      </c>
      <c r="AN3585" s="477">
        <v>0</v>
      </c>
      <c r="AO3585" s="473">
        <v>0</v>
      </c>
      <c r="AP3585" s="474">
        <v>0</v>
      </c>
      <c r="AQ3585" s="352"/>
      <c r="AR3585" s="352"/>
      <c r="AS3585" s="352"/>
      <c r="AT3585" s="352"/>
      <c r="AU3585" s="352"/>
      <c r="AV3585" s="352"/>
      <c r="AW3585" s="352" t="s">
        <v>254</v>
      </c>
    </row>
    <row r="3586" spans="2:49" x14ac:dyDescent="0.2">
      <c r="B3586" s="460" t="s">
        <v>3429</v>
      </c>
      <c r="C3586" s="460">
        <v>6000</v>
      </c>
      <c r="D3586" s="460" t="s">
        <v>2304</v>
      </c>
      <c r="E3586" s="460" t="s">
        <v>2305</v>
      </c>
      <c r="F3586" s="460">
        <v>4</v>
      </c>
      <c r="G3586" s="460">
        <v>2</v>
      </c>
      <c r="H3586" s="461" t="s">
        <v>700</v>
      </c>
      <c r="I3586" s="461" t="s">
        <v>872</v>
      </c>
      <c r="J3586" s="461" t="s">
        <v>700</v>
      </c>
      <c r="K3586" s="594"/>
      <c r="L3586" s="594"/>
      <c r="M3586" s="352">
        <v>6000</v>
      </c>
      <c r="N3586" s="352" t="s">
        <v>871</v>
      </c>
      <c r="O3586" s="460">
        <v>5131</v>
      </c>
      <c r="P3586" s="460" t="s">
        <v>1889</v>
      </c>
      <c r="Q3586" s="460" t="s">
        <v>2553</v>
      </c>
      <c r="R3586" s="460">
        <v>5131</v>
      </c>
      <c r="S3586" s="460" t="s">
        <v>2305</v>
      </c>
      <c r="T3586" s="462">
        <v>1</v>
      </c>
      <c r="U3586" s="460" t="s">
        <v>2305</v>
      </c>
      <c r="V3586" s="475">
        <v>0</v>
      </c>
      <c r="W3586" s="463" t="s">
        <v>2554</v>
      </c>
      <c r="X3586" s="463" t="s">
        <v>2554</v>
      </c>
      <c r="Y3586" s="463" t="s">
        <v>2268</v>
      </c>
      <c r="Z3586" s="463"/>
      <c r="AA3586" s="463"/>
      <c r="AB3586" s="464">
        <v>4.0038854586239604E-2</v>
      </c>
      <c r="AC3586" s="465">
        <v>2.4921696352579528E-3</v>
      </c>
      <c r="AD3586" s="465">
        <v>3.1700000000000005E-3</v>
      </c>
      <c r="AE3586" s="476">
        <v>1.0009713646559901E-2</v>
      </c>
      <c r="AF3586" s="467">
        <v>6.230424088144882E-4</v>
      </c>
      <c r="AG3586" s="468">
        <v>8.8000724273171996E-4</v>
      </c>
      <c r="AH3586" s="218">
        <v>1.0009713646559901E-2</v>
      </c>
      <c r="AI3586" s="470">
        <v>6.230424088144882E-4</v>
      </c>
      <c r="AJ3586" s="471">
        <v>8.7635537896979315E-4</v>
      </c>
      <c r="AK3586" s="218">
        <v>1.0009713646559901E-2</v>
      </c>
      <c r="AL3586" s="470">
        <v>6.230424088144882E-4</v>
      </c>
      <c r="AM3586" s="471">
        <v>8.7635537896979315E-4</v>
      </c>
      <c r="AN3586" s="477">
        <v>0</v>
      </c>
      <c r="AO3586" s="473">
        <v>0</v>
      </c>
      <c r="AP3586" s="474">
        <v>0</v>
      </c>
      <c r="AQ3586" s="352"/>
      <c r="AR3586" s="352"/>
      <c r="AS3586" s="352"/>
      <c r="AT3586" s="352"/>
      <c r="AU3586" s="352"/>
      <c r="AV3586" s="352"/>
      <c r="AW3586" s="352" t="s">
        <v>254</v>
      </c>
    </row>
    <row r="3587" spans="2:49" x14ac:dyDescent="0.2">
      <c r="B3587" s="460" t="s">
        <v>3426</v>
      </c>
      <c r="C3587" s="460">
        <v>6000</v>
      </c>
      <c r="D3587" s="460" t="s">
        <v>2306</v>
      </c>
      <c r="E3587" s="460" t="s">
        <v>2296</v>
      </c>
      <c r="F3587" s="460">
        <v>1</v>
      </c>
      <c r="G3587" s="460">
        <v>2</v>
      </c>
      <c r="H3587" s="461" t="s">
        <v>712</v>
      </c>
      <c r="I3587" s="461" t="s">
        <v>713</v>
      </c>
      <c r="J3587" s="461" t="s">
        <v>712</v>
      </c>
      <c r="K3587" s="594"/>
      <c r="L3587" s="594"/>
      <c r="M3587" s="352">
        <v>6000</v>
      </c>
      <c r="N3587" s="352" t="s">
        <v>871</v>
      </c>
      <c r="O3587" s="460">
        <v>5131</v>
      </c>
      <c r="P3587" s="460" t="s">
        <v>1889</v>
      </c>
      <c r="Q3587" s="460" t="s">
        <v>2280</v>
      </c>
      <c r="R3587" s="460">
        <v>5131</v>
      </c>
      <c r="S3587" s="460" t="s">
        <v>2296</v>
      </c>
      <c r="T3587" s="462">
        <v>1</v>
      </c>
      <c r="U3587" s="460" t="s">
        <v>2296</v>
      </c>
      <c r="V3587" s="475">
        <v>0</v>
      </c>
      <c r="W3587" s="463" t="s">
        <v>713</v>
      </c>
      <c r="X3587" s="463" t="s">
        <v>713</v>
      </c>
      <c r="Y3587" s="463" t="s">
        <v>713</v>
      </c>
      <c r="Z3587" s="463"/>
      <c r="AA3587" s="463"/>
      <c r="AB3587" s="464">
        <v>483.58780997721794</v>
      </c>
      <c r="AC3587" s="465">
        <v>0.89910295824303221</v>
      </c>
      <c r="AD3587" s="465">
        <v>4.1825397872140516E-3</v>
      </c>
      <c r="AE3587" s="476">
        <v>524.28886012595103</v>
      </c>
      <c r="AF3587" s="467">
        <v>0.97477573956075803</v>
      </c>
      <c r="AG3587" s="468">
        <v>4.4681672120697024E-3</v>
      </c>
      <c r="AH3587" s="218">
        <v>524.28886012595103</v>
      </c>
      <c r="AI3587" s="470">
        <v>0.97477573956075803</v>
      </c>
      <c r="AJ3587" s="471">
        <v>4.5206529766037701E-3</v>
      </c>
      <c r="AK3587" s="218">
        <v>524.28886012595103</v>
      </c>
      <c r="AL3587" s="470">
        <v>0.97477573956075803</v>
      </c>
      <c r="AM3587" s="471">
        <v>4.5206529766037701E-3</v>
      </c>
      <c r="AN3587" s="477">
        <v>524.28886012595103</v>
      </c>
      <c r="AO3587" s="473">
        <v>0.97477573956075803</v>
      </c>
      <c r="AP3587" s="474">
        <v>4.51954354613109E-3</v>
      </c>
      <c r="AQ3587" s="352"/>
      <c r="AR3587" s="352"/>
      <c r="AS3587" s="352"/>
      <c r="AT3587" s="352"/>
      <c r="AU3587" s="352"/>
      <c r="AV3587" s="352"/>
      <c r="AW3587" s="352" t="s">
        <v>254</v>
      </c>
    </row>
    <row r="3588" spans="2:49" x14ac:dyDescent="0.2">
      <c r="B3588" s="460" t="s">
        <v>3427</v>
      </c>
      <c r="C3588" s="460">
        <v>6000</v>
      </c>
      <c r="D3588" s="460" t="s">
        <v>2307</v>
      </c>
      <c r="E3588" s="460" t="s">
        <v>2299</v>
      </c>
      <c r="F3588" s="460">
        <v>2</v>
      </c>
      <c r="G3588" s="460">
        <v>2</v>
      </c>
      <c r="H3588" s="461" t="s">
        <v>712</v>
      </c>
      <c r="I3588" s="461" t="s">
        <v>713</v>
      </c>
      <c r="J3588" s="461" t="s">
        <v>712</v>
      </c>
      <c r="K3588" s="594"/>
      <c r="L3588" s="594"/>
      <c r="M3588" s="352">
        <v>6000</v>
      </c>
      <c r="N3588" s="352" t="s">
        <v>871</v>
      </c>
      <c r="O3588" s="460">
        <v>5131</v>
      </c>
      <c r="P3588" s="460" t="s">
        <v>1889</v>
      </c>
      <c r="Q3588" s="460" t="s">
        <v>2280</v>
      </c>
      <c r="R3588" s="460">
        <v>5131</v>
      </c>
      <c r="S3588" s="460" t="s">
        <v>2296</v>
      </c>
      <c r="T3588" s="462">
        <v>0.55517361979372948</v>
      </c>
      <c r="U3588" s="460" t="s">
        <v>2299</v>
      </c>
      <c r="V3588" s="475">
        <v>0</v>
      </c>
      <c r="W3588" s="463" t="s">
        <v>713</v>
      </c>
      <c r="X3588" s="463" t="s">
        <v>713</v>
      </c>
      <c r="Y3588" s="463" t="s">
        <v>713</v>
      </c>
      <c r="Z3588" s="463"/>
      <c r="AA3588" s="463"/>
      <c r="AB3588" s="464">
        <v>24.150679656618451</v>
      </c>
      <c r="AC3588" s="465">
        <v>0.75</v>
      </c>
      <c r="AD3588" s="465">
        <v>2.7934493513446417E-4</v>
      </c>
      <c r="AE3588" s="476">
        <v>30.18834957077306</v>
      </c>
      <c r="AF3588" s="467">
        <v>0.9375</v>
      </c>
      <c r="AG3588" s="468">
        <v>3.4773373837092384E-4</v>
      </c>
      <c r="AH3588" s="218">
        <v>30.18834957077306</v>
      </c>
      <c r="AI3588" s="470">
        <v>0.9375</v>
      </c>
      <c r="AJ3588" s="471">
        <v>3.5368372293243444E-4</v>
      </c>
      <c r="AK3588" s="218">
        <v>30.18834957077306</v>
      </c>
      <c r="AL3588" s="470">
        <v>0.9375</v>
      </c>
      <c r="AM3588" s="471">
        <v>3.5368372293243444E-4</v>
      </c>
      <c r="AN3588" s="477">
        <v>30.18834957077306</v>
      </c>
      <c r="AO3588" s="473">
        <v>0.9375</v>
      </c>
      <c r="AP3588" s="474">
        <v>3.5363907577351614E-4</v>
      </c>
      <c r="AQ3588" s="352"/>
      <c r="AR3588" s="352"/>
      <c r="AS3588" s="352"/>
      <c r="AT3588" s="352"/>
      <c r="AU3588" s="352"/>
      <c r="AV3588" s="352"/>
      <c r="AW3588" s="352" t="s">
        <v>254</v>
      </c>
    </row>
    <row r="3589" spans="2:49" x14ac:dyDescent="0.2">
      <c r="B3589" s="460" t="s">
        <v>3428</v>
      </c>
      <c r="C3589" s="460">
        <v>6000</v>
      </c>
      <c r="D3589" s="460" t="s">
        <v>2308</v>
      </c>
      <c r="E3589" s="460" t="s">
        <v>2302</v>
      </c>
      <c r="F3589" s="460">
        <v>3</v>
      </c>
      <c r="G3589" s="460">
        <v>2</v>
      </c>
      <c r="H3589" s="461" t="s">
        <v>712</v>
      </c>
      <c r="I3589" s="461" t="s">
        <v>713</v>
      </c>
      <c r="J3589" s="461" t="s">
        <v>712</v>
      </c>
      <c r="K3589" s="594"/>
      <c r="L3589" s="594"/>
      <c r="M3589" s="352">
        <v>6000</v>
      </c>
      <c r="N3589" s="352" t="s">
        <v>871</v>
      </c>
      <c r="O3589" s="460">
        <v>5131</v>
      </c>
      <c r="P3589" s="460" t="s">
        <v>1889</v>
      </c>
      <c r="Q3589" s="460" t="s">
        <v>2280</v>
      </c>
      <c r="R3589" s="460">
        <v>5131</v>
      </c>
      <c r="S3589" s="460" t="s">
        <v>2296</v>
      </c>
      <c r="T3589" s="462">
        <v>0.28481449642268464</v>
      </c>
      <c r="U3589" s="460" t="s">
        <v>2302</v>
      </c>
      <c r="V3589" s="475">
        <v>0</v>
      </c>
      <c r="W3589" s="463" t="s">
        <v>713</v>
      </c>
      <c r="X3589" s="463" t="s">
        <v>713</v>
      </c>
      <c r="Y3589" s="463" t="s">
        <v>713</v>
      </c>
      <c r="Z3589" s="463"/>
      <c r="AA3589" s="463"/>
      <c r="AB3589" s="464">
        <v>12.516423500641995</v>
      </c>
      <c r="AC3589" s="465">
        <v>0.88479500987531245</v>
      </c>
      <c r="AD3589" s="465">
        <v>3.6407148234206038E-4</v>
      </c>
      <c r="AE3589" s="476">
        <v>13.73870190668014</v>
      </c>
      <c r="AF3589" s="467">
        <v>0.97119875246882814</v>
      </c>
      <c r="AG3589" s="468">
        <v>3.9894548019087957E-4</v>
      </c>
      <c r="AH3589" s="218">
        <v>13.73870190668014</v>
      </c>
      <c r="AI3589" s="470">
        <v>0.97119875246882814</v>
      </c>
      <c r="AJ3589" s="471">
        <v>4.0491491334404409E-4</v>
      </c>
      <c r="AK3589" s="218">
        <v>13.73870190668014</v>
      </c>
      <c r="AL3589" s="470">
        <v>0.97119875246882814</v>
      </c>
      <c r="AM3589" s="471">
        <v>4.0491491334404409E-4</v>
      </c>
      <c r="AN3589" s="477">
        <v>13.73870190668014</v>
      </c>
      <c r="AO3589" s="473">
        <v>0.97119875246882814</v>
      </c>
      <c r="AP3589" s="474">
        <v>4.0526700934610132E-4</v>
      </c>
      <c r="AQ3589" s="352"/>
      <c r="AR3589" s="352"/>
      <c r="AS3589" s="352"/>
      <c r="AT3589" s="352"/>
      <c r="AU3589" s="352"/>
      <c r="AV3589" s="352"/>
      <c r="AW3589" s="352" t="s">
        <v>254</v>
      </c>
    </row>
    <row r="3590" spans="2:49" x14ac:dyDescent="0.2">
      <c r="B3590" s="460" t="s">
        <v>3429</v>
      </c>
      <c r="C3590" s="460">
        <v>6000</v>
      </c>
      <c r="D3590" s="460" t="s">
        <v>2309</v>
      </c>
      <c r="E3590" s="460" t="s">
        <v>2305</v>
      </c>
      <c r="F3590" s="460">
        <v>4</v>
      </c>
      <c r="G3590" s="460">
        <v>2</v>
      </c>
      <c r="H3590" s="461" t="s">
        <v>712</v>
      </c>
      <c r="I3590" s="461" t="s">
        <v>713</v>
      </c>
      <c r="J3590" s="461" t="s">
        <v>712</v>
      </c>
      <c r="K3590" s="594"/>
      <c r="L3590" s="594"/>
      <c r="M3590" s="352">
        <v>6000</v>
      </c>
      <c r="N3590" s="352" t="s">
        <v>871</v>
      </c>
      <c r="O3590" s="460">
        <v>5131</v>
      </c>
      <c r="P3590" s="460" t="s">
        <v>1889</v>
      </c>
      <c r="Q3590" s="460" t="s">
        <v>2280</v>
      </c>
      <c r="R3590" s="460">
        <v>5131</v>
      </c>
      <c r="S3590" s="460" t="s">
        <v>2305</v>
      </c>
      <c r="T3590" s="462">
        <v>1</v>
      </c>
      <c r="U3590" s="460" t="s">
        <v>2305</v>
      </c>
      <c r="V3590" s="475">
        <v>0</v>
      </c>
      <c r="W3590" s="463" t="s">
        <v>713</v>
      </c>
      <c r="X3590" s="463" t="s">
        <v>713</v>
      </c>
      <c r="Y3590" s="463" t="s">
        <v>713</v>
      </c>
      <c r="Z3590" s="463"/>
      <c r="AA3590" s="463"/>
      <c r="AB3590" s="464">
        <v>16.025823605091539</v>
      </c>
      <c r="AC3590" s="465">
        <v>0.99750783036474211</v>
      </c>
      <c r="AD3590" s="465">
        <v>4.0929797103212307E-4</v>
      </c>
      <c r="AE3590" s="476">
        <v>16.055852746031217</v>
      </c>
      <c r="AF3590" s="467">
        <v>0.9993769575911855</v>
      </c>
      <c r="AG3590" s="468">
        <v>4.1005175896075279E-4</v>
      </c>
      <c r="AH3590" s="218">
        <v>16.055852746031217</v>
      </c>
      <c r="AI3590" s="470">
        <v>0.9993769575911855</v>
      </c>
      <c r="AJ3590" s="471">
        <v>4.1005225534069623E-4</v>
      </c>
      <c r="AK3590" s="218">
        <v>16.055852746031217</v>
      </c>
      <c r="AL3590" s="470">
        <v>0.9993769575911855</v>
      </c>
      <c r="AM3590" s="471">
        <v>4.1005225534069623E-4</v>
      </c>
      <c r="AN3590" s="477">
        <v>16.055852746031217</v>
      </c>
      <c r="AO3590" s="473">
        <v>0.9993769575911855</v>
      </c>
      <c r="AP3590" s="474">
        <v>4.1005275691615139E-4</v>
      </c>
      <c r="AQ3590" s="352"/>
      <c r="AR3590" s="352"/>
      <c r="AS3590" s="352"/>
      <c r="AT3590" s="352"/>
      <c r="AU3590" s="352"/>
      <c r="AV3590" s="352"/>
      <c r="AW3590" s="352" t="s">
        <v>254</v>
      </c>
    </row>
    <row r="3591" spans="2:49" x14ac:dyDescent="0.2">
      <c r="B3591" s="460" t="s">
        <v>3426</v>
      </c>
      <c r="C3591" s="460">
        <v>6000</v>
      </c>
      <c r="D3591" s="460" t="s">
        <v>3382</v>
      </c>
      <c r="E3591" s="460" t="s">
        <v>2296</v>
      </c>
      <c r="F3591" s="460">
        <v>1</v>
      </c>
      <c r="G3591" s="460">
        <v>2</v>
      </c>
      <c r="H3591" s="461" t="s">
        <v>719</v>
      </c>
      <c r="I3591" s="461" t="s">
        <v>720</v>
      </c>
      <c r="J3591" s="461" t="s">
        <v>719</v>
      </c>
      <c r="K3591" s="594"/>
      <c r="L3591" s="594"/>
      <c r="M3591" s="352">
        <v>6000</v>
      </c>
      <c r="N3591" s="352" t="s">
        <v>871</v>
      </c>
      <c r="O3591" s="460">
        <v>5131</v>
      </c>
      <c r="P3591" s="460" t="s">
        <v>1889</v>
      </c>
      <c r="Q3591" s="460" t="s">
        <v>3374</v>
      </c>
      <c r="R3591" s="460">
        <v>5131</v>
      </c>
      <c r="S3591" s="460" t="s">
        <v>2296</v>
      </c>
      <c r="T3591" s="462">
        <v>1</v>
      </c>
      <c r="U3591" s="460" t="s">
        <v>2296</v>
      </c>
      <c r="V3591" s="475">
        <v>0</v>
      </c>
      <c r="W3591" s="463" t="s">
        <v>2278</v>
      </c>
      <c r="X3591" s="463" t="s">
        <v>2278</v>
      </c>
      <c r="Y3591" s="463" t="s">
        <v>2278</v>
      </c>
      <c r="Z3591" s="463"/>
      <c r="AA3591" s="463"/>
      <c r="AB3591" s="464">
        <v>0</v>
      </c>
      <c r="AC3591" s="465">
        <v>0</v>
      </c>
      <c r="AD3591" s="465">
        <v>0</v>
      </c>
      <c r="AE3591" s="476">
        <v>0</v>
      </c>
      <c r="AF3591" s="467">
        <v>0</v>
      </c>
      <c r="AG3591" s="468">
        <v>0</v>
      </c>
      <c r="AH3591" s="218">
        <v>0</v>
      </c>
      <c r="AI3591" s="470">
        <v>0</v>
      </c>
      <c r="AJ3591" s="471">
        <v>0</v>
      </c>
      <c r="AK3591" s="218">
        <v>0</v>
      </c>
      <c r="AL3591" s="470">
        <v>0</v>
      </c>
      <c r="AM3591" s="471">
        <v>0</v>
      </c>
      <c r="AN3591" s="477">
        <v>0</v>
      </c>
      <c r="AO3591" s="473">
        <v>0</v>
      </c>
      <c r="AP3591" s="474">
        <v>0</v>
      </c>
      <c r="AQ3591" s="352"/>
      <c r="AR3591" s="352"/>
      <c r="AS3591" s="352"/>
      <c r="AT3591" s="352"/>
      <c r="AU3591" s="352"/>
      <c r="AV3591" s="352"/>
      <c r="AW3591" s="352" t="s">
        <v>254</v>
      </c>
    </row>
    <row r="3592" spans="2:49" x14ac:dyDescent="0.2">
      <c r="B3592" s="460" t="s">
        <v>3427</v>
      </c>
      <c r="C3592" s="460">
        <v>6000</v>
      </c>
      <c r="D3592" s="460" t="s">
        <v>3383</v>
      </c>
      <c r="E3592" s="460" t="s">
        <v>2299</v>
      </c>
      <c r="F3592" s="460">
        <v>2</v>
      </c>
      <c r="G3592" s="460">
        <v>2</v>
      </c>
      <c r="H3592" s="461" t="s">
        <v>719</v>
      </c>
      <c r="I3592" s="461" t="s">
        <v>720</v>
      </c>
      <c r="J3592" s="461" t="s">
        <v>719</v>
      </c>
      <c r="K3592" s="594"/>
      <c r="L3592" s="594"/>
      <c r="M3592" s="352">
        <v>6000</v>
      </c>
      <c r="N3592" s="352" t="s">
        <v>871</v>
      </c>
      <c r="O3592" s="460">
        <v>5131</v>
      </c>
      <c r="P3592" s="460" t="s">
        <v>1889</v>
      </c>
      <c r="Q3592" s="460" t="s">
        <v>3374</v>
      </c>
      <c r="R3592" s="460">
        <v>5131</v>
      </c>
      <c r="S3592" s="460" t="s">
        <v>2296</v>
      </c>
      <c r="T3592" s="462">
        <v>0.55517361979372948</v>
      </c>
      <c r="U3592" s="460" t="s">
        <v>2299</v>
      </c>
      <c r="V3592" s="475">
        <v>0</v>
      </c>
      <c r="W3592" s="463" t="s">
        <v>2278</v>
      </c>
      <c r="X3592" s="463" t="s">
        <v>2278</v>
      </c>
      <c r="Y3592" s="463" t="s">
        <v>2278</v>
      </c>
      <c r="Z3592" s="463"/>
      <c r="AA3592" s="463"/>
      <c r="AB3592" s="464">
        <v>0</v>
      </c>
      <c r="AC3592" s="465">
        <v>0</v>
      </c>
      <c r="AD3592" s="465">
        <v>0</v>
      </c>
      <c r="AE3592" s="476">
        <v>0</v>
      </c>
      <c r="AF3592" s="467">
        <v>0</v>
      </c>
      <c r="AG3592" s="468">
        <v>0</v>
      </c>
      <c r="AH3592" s="218">
        <v>0</v>
      </c>
      <c r="AI3592" s="470">
        <v>0</v>
      </c>
      <c r="AJ3592" s="471">
        <v>0</v>
      </c>
      <c r="AK3592" s="218">
        <v>0</v>
      </c>
      <c r="AL3592" s="470">
        <v>0</v>
      </c>
      <c r="AM3592" s="471">
        <v>0</v>
      </c>
      <c r="AN3592" s="477">
        <v>0</v>
      </c>
      <c r="AO3592" s="473">
        <v>0</v>
      </c>
      <c r="AP3592" s="474">
        <v>0</v>
      </c>
      <c r="AQ3592" s="352"/>
      <c r="AR3592" s="352"/>
      <c r="AS3592" s="352"/>
      <c r="AT3592" s="352"/>
      <c r="AU3592" s="352"/>
      <c r="AV3592" s="352"/>
      <c r="AW3592" s="352" t="s">
        <v>254</v>
      </c>
    </row>
    <row r="3593" spans="2:49" x14ac:dyDescent="0.2">
      <c r="B3593" s="460" t="s">
        <v>3428</v>
      </c>
      <c r="C3593" s="460">
        <v>6000</v>
      </c>
      <c r="D3593" s="460" t="s">
        <v>3384</v>
      </c>
      <c r="E3593" s="460" t="s">
        <v>2302</v>
      </c>
      <c r="F3593" s="460">
        <v>3</v>
      </c>
      <c r="G3593" s="460">
        <v>2</v>
      </c>
      <c r="H3593" s="461" t="s">
        <v>719</v>
      </c>
      <c r="I3593" s="461" t="s">
        <v>720</v>
      </c>
      <c r="J3593" s="461" t="s">
        <v>719</v>
      </c>
      <c r="K3593" s="594"/>
      <c r="L3593" s="594"/>
      <c r="M3593" s="352">
        <v>6000</v>
      </c>
      <c r="N3593" s="352" t="s">
        <v>871</v>
      </c>
      <c r="O3593" s="460">
        <v>5131</v>
      </c>
      <c r="P3593" s="460" t="s">
        <v>1889</v>
      </c>
      <c r="Q3593" s="460" t="s">
        <v>3374</v>
      </c>
      <c r="R3593" s="460">
        <v>5131</v>
      </c>
      <c r="S3593" s="460" t="s">
        <v>2296</v>
      </c>
      <c r="T3593" s="462">
        <v>0.28481449642268464</v>
      </c>
      <c r="U3593" s="460" t="s">
        <v>2302</v>
      </c>
      <c r="V3593" s="475">
        <v>0</v>
      </c>
      <c r="W3593" s="463" t="s">
        <v>2278</v>
      </c>
      <c r="X3593" s="463" t="s">
        <v>2278</v>
      </c>
      <c r="Y3593" s="463" t="s">
        <v>2278</v>
      </c>
      <c r="Z3593" s="463"/>
      <c r="AA3593" s="463"/>
      <c r="AB3593" s="464">
        <v>0</v>
      </c>
      <c r="AC3593" s="465">
        <v>0</v>
      </c>
      <c r="AD3593" s="465">
        <v>0</v>
      </c>
      <c r="AE3593" s="476">
        <v>0</v>
      </c>
      <c r="AF3593" s="467">
        <v>0</v>
      </c>
      <c r="AG3593" s="468">
        <v>0</v>
      </c>
      <c r="AH3593" s="218">
        <v>0</v>
      </c>
      <c r="AI3593" s="470">
        <v>0</v>
      </c>
      <c r="AJ3593" s="471">
        <v>0</v>
      </c>
      <c r="AK3593" s="218">
        <v>0</v>
      </c>
      <c r="AL3593" s="470">
        <v>0</v>
      </c>
      <c r="AM3593" s="471">
        <v>0</v>
      </c>
      <c r="AN3593" s="477">
        <v>0</v>
      </c>
      <c r="AO3593" s="473">
        <v>0</v>
      </c>
      <c r="AP3593" s="474">
        <v>0</v>
      </c>
      <c r="AQ3593" s="352"/>
      <c r="AR3593" s="352"/>
      <c r="AS3593" s="352"/>
      <c r="AT3593" s="352"/>
      <c r="AU3593" s="352"/>
      <c r="AV3593" s="352"/>
      <c r="AW3593" s="352" t="s">
        <v>254</v>
      </c>
    </row>
    <row r="3594" spans="2:49" x14ac:dyDescent="0.2">
      <c r="B3594" s="460" t="s">
        <v>3429</v>
      </c>
      <c r="C3594" s="460">
        <v>6000</v>
      </c>
      <c r="D3594" s="460" t="s">
        <v>3385</v>
      </c>
      <c r="E3594" s="460" t="s">
        <v>2305</v>
      </c>
      <c r="F3594" s="460">
        <v>4</v>
      </c>
      <c r="G3594" s="460">
        <v>2</v>
      </c>
      <c r="H3594" s="461" t="s">
        <v>719</v>
      </c>
      <c r="I3594" s="461" t="s">
        <v>720</v>
      </c>
      <c r="J3594" s="461" t="s">
        <v>719</v>
      </c>
      <c r="K3594" s="594"/>
      <c r="L3594" s="594"/>
      <c r="M3594" s="352">
        <v>6000</v>
      </c>
      <c r="N3594" s="352" t="s">
        <v>871</v>
      </c>
      <c r="O3594" s="460">
        <v>5131</v>
      </c>
      <c r="P3594" s="460" t="s">
        <v>1889</v>
      </c>
      <c r="Q3594" s="460" t="s">
        <v>3374</v>
      </c>
      <c r="R3594" s="460">
        <v>5131</v>
      </c>
      <c r="S3594" s="460" t="s">
        <v>2305</v>
      </c>
      <c r="T3594" s="462">
        <v>1</v>
      </c>
      <c r="U3594" s="460" t="s">
        <v>2305</v>
      </c>
      <c r="V3594" s="475">
        <v>0</v>
      </c>
      <c r="W3594" s="463" t="s">
        <v>2278</v>
      </c>
      <c r="X3594" s="463" t="s">
        <v>2278</v>
      </c>
      <c r="Y3594" s="463" t="s">
        <v>2278</v>
      </c>
      <c r="Z3594" s="463"/>
      <c r="AA3594" s="463"/>
      <c r="AB3594" s="464">
        <v>0</v>
      </c>
      <c r="AC3594" s="465">
        <v>0</v>
      </c>
      <c r="AD3594" s="465">
        <v>0</v>
      </c>
      <c r="AE3594" s="476">
        <v>0</v>
      </c>
      <c r="AF3594" s="467">
        <v>0</v>
      </c>
      <c r="AG3594" s="468">
        <v>0</v>
      </c>
      <c r="AH3594" s="218">
        <v>0</v>
      </c>
      <c r="AI3594" s="470">
        <v>0</v>
      </c>
      <c r="AJ3594" s="471">
        <v>0</v>
      </c>
      <c r="AK3594" s="218">
        <v>0</v>
      </c>
      <c r="AL3594" s="470">
        <v>0</v>
      </c>
      <c r="AM3594" s="471">
        <v>0</v>
      </c>
      <c r="AN3594" s="477">
        <v>0</v>
      </c>
      <c r="AO3594" s="473">
        <v>0</v>
      </c>
      <c r="AP3594" s="474">
        <v>0</v>
      </c>
      <c r="AQ3594" s="352"/>
      <c r="AR3594" s="352"/>
      <c r="AS3594" s="352"/>
      <c r="AT3594" s="352"/>
      <c r="AU3594" s="352"/>
      <c r="AV3594" s="352"/>
      <c r="AW3594" s="352" t="s">
        <v>254</v>
      </c>
    </row>
    <row r="3595" spans="2:49" x14ac:dyDescent="0.2">
      <c r="B3595" s="460" t="s">
        <v>3426</v>
      </c>
      <c r="C3595" s="460">
        <v>6000</v>
      </c>
      <c r="D3595" s="460" t="s">
        <v>2310</v>
      </c>
      <c r="E3595" s="460" t="s">
        <v>2296</v>
      </c>
      <c r="F3595" s="460">
        <v>1</v>
      </c>
      <c r="G3595" s="460">
        <v>2</v>
      </c>
      <c r="H3595" s="461" t="s">
        <v>746</v>
      </c>
      <c r="I3595" s="461" t="s">
        <v>762</v>
      </c>
      <c r="J3595" s="461" t="s">
        <v>700</v>
      </c>
      <c r="K3595" s="594"/>
      <c r="L3595" s="594"/>
      <c r="M3595" s="352">
        <v>6000</v>
      </c>
      <c r="N3595" s="352" t="s">
        <v>871</v>
      </c>
      <c r="O3595" s="460">
        <v>5131</v>
      </c>
      <c r="P3595" s="460" t="s">
        <v>1889</v>
      </c>
      <c r="Q3595" s="460" t="s">
        <v>2553</v>
      </c>
      <c r="R3595" s="460">
        <v>5131</v>
      </c>
      <c r="S3595" s="460" t="s">
        <v>2296</v>
      </c>
      <c r="T3595" s="462">
        <v>1</v>
      </c>
      <c r="U3595" s="460" t="s">
        <v>2296</v>
      </c>
      <c r="V3595" s="475">
        <v>0</v>
      </c>
      <c r="W3595" s="463" t="s">
        <v>2268</v>
      </c>
      <c r="X3595" s="463" t="s">
        <v>2268</v>
      </c>
      <c r="Y3595" s="463" t="s">
        <v>2554</v>
      </c>
      <c r="Z3595" s="463"/>
      <c r="AA3595" s="463"/>
      <c r="AB3595" s="464">
        <v>0</v>
      </c>
      <c r="AC3595" s="465">
        <v>0</v>
      </c>
      <c r="AD3595" s="465">
        <v>0</v>
      </c>
      <c r="AE3595" s="476">
        <v>0</v>
      </c>
      <c r="AF3595" s="467">
        <v>0</v>
      </c>
      <c r="AG3595" s="468">
        <v>0</v>
      </c>
      <c r="AH3595" s="218">
        <v>0</v>
      </c>
      <c r="AI3595" s="470">
        <v>0</v>
      </c>
      <c r="AJ3595" s="471">
        <v>0</v>
      </c>
      <c r="AK3595" s="218">
        <v>0</v>
      </c>
      <c r="AL3595" s="470">
        <v>0</v>
      </c>
      <c r="AM3595" s="471">
        <v>0</v>
      </c>
      <c r="AN3595" s="477">
        <v>10.853613372995497</v>
      </c>
      <c r="AO3595" s="473">
        <v>2.0179408351393546E-2</v>
      </c>
      <c r="AP3595" s="474">
        <v>8.062658514288504E-4</v>
      </c>
      <c r="AQ3595" s="352"/>
      <c r="AR3595" s="352"/>
      <c r="AS3595" s="352"/>
      <c r="AT3595" s="352"/>
      <c r="AU3595" s="352"/>
      <c r="AV3595" s="352"/>
      <c r="AW3595" s="352" t="s">
        <v>254</v>
      </c>
    </row>
    <row r="3596" spans="2:49" x14ac:dyDescent="0.2">
      <c r="B3596" s="460" t="s">
        <v>3427</v>
      </c>
      <c r="C3596" s="460">
        <v>6000</v>
      </c>
      <c r="D3596" s="460" t="s">
        <v>2311</v>
      </c>
      <c r="E3596" s="460" t="s">
        <v>2299</v>
      </c>
      <c r="F3596" s="460">
        <v>2</v>
      </c>
      <c r="G3596" s="460">
        <v>2</v>
      </c>
      <c r="H3596" s="461" t="s">
        <v>746</v>
      </c>
      <c r="I3596" s="461" t="s">
        <v>762</v>
      </c>
      <c r="J3596" s="461" t="s">
        <v>700</v>
      </c>
      <c r="K3596" s="594"/>
      <c r="L3596" s="594"/>
      <c r="M3596" s="352">
        <v>6000</v>
      </c>
      <c r="N3596" s="352" t="s">
        <v>871</v>
      </c>
      <c r="O3596" s="460">
        <v>5131</v>
      </c>
      <c r="P3596" s="460" t="s">
        <v>1889</v>
      </c>
      <c r="Q3596" s="460" t="s">
        <v>2553</v>
      </c>
      <c r="R3596" s="460">
        <v>5131</v>
      </c>
      <c r="S3596" s="460" t="s">
        <v>2296</v>
      </c>
      <c r="T3596" s="462">
        <v>0.55517361979372948</v>
      </c>
      <c r="U3596" s="460" t="s">
        <v>2299</v>
      </c>
      <c r="V3596" s="475">
        <v>0</v>
      </c>
      <c r="W3596" s="463" t="s">
        <v>2268</v>
      </c>
      <c r="X3596" s="463" t="s">
        <v>2268</v>
      </c>
      <c r="Y3596" s="463" t="s">
        <v>2554</v>
      </c>
      <c r="Z3596" s="463"/>
      <c r="AA3596" s="463"/>
      <c r="AB3596" s="464">
        <v>0</v>
      </c>
      <c r="AC3596" s="465">
        <v>0</v>
      </c>
      <c r="AD3596" s="465">
        <v>0</v>
      </c>
      <c r="AE3596" s="476">
        <v>0</v>
      </c>
      <c r="AF3596" s="467">
        <v>0</v>
      </c>
      <c r="AG3596" s="468">
        <v>0</v>
      </c>
      <c r="AH3596" s="218">
        <v>0</v>
      </c>
      <c r="AI3596" s="470">
        <v>0</v>
      </c>
      <c r="AJ3596" s="471">
        <v>0</v>
      </c>
      <c r="AK3596" s="218">
        <v>0</v>
      </c>
      <c r="AL3596" s="470">
        <v>0</v>
      </c>
      <c r="AM3596" s="471">
        <v>0</v>
      </c>
      <c r="AN3596" s="477">
        <v>1.6100453104412296</v>
      </c>
      <c r="AO3596" s="473">
        <v>4.9999999999999989E-2</v>
      </c>
      <c r="AP3596" s="474">
        <v>5.1009222457328745E-4</v>
      </c>
      <c r="AQ3596" s="352"/>
      <c r="AR3596" s="352"/>
      <c r="AS3596" s="352"/>
      <c r="AT3596" s="352"/>
      <c r="AU3596" s="352"/>
      <c r="AV3596" s="352"/>
      <c r="AW3596" s="352" t="s">
        <v>254</v>
      </c>
    </row>
    <row r="3597" spans="2:49" x14ac:dyDescent="0.2">
      <c r="B3597" s="460" t="s">
        <v>3428</v>
      </c>
      <c r="C3597" s="460">
        <v>6000</v>
      </c>
      <c r="D3597" s="460" t="s">
        <v>2312</v>
      </c>
      <c r="E3597" s="460" t="s">
        <v>2302</v>
      </c>
      <c r="F3597" s="460">
        <v>3</v>
      </c>
      <c r="G3597" s="460">
        <v>2</v>
      </c>
      <c r="H3597" s="461" t="s">
        <v>746</v>
      </c>
      <c r="I3597" s="461" t="s">
        <v>762</v>
      </c>
      <c r="J3597" s="461" t="s">
        <v>700</v>
      </c>
      <c r="K3597" s="594"/>
      <c r="L3597" s="594"/>
      <c r="M3597" s="352">
        <v>6000</v>
      </c>
      <c r="N3597" s="352" t="s">
        <v>871</v>
      </c>
      <c r="O3597" s="460">
        <v>5131</v>
      </c>
      <c r="P3597" s="460" t="s">
        <v>1889</v>
      </c>
      <c r="Q3597" s="460" t="s">
        <v>2553</v>
      </c>
      <c r="R3597" s="460">
        <v>5131</v>
      </c>
      <c r="S3597" s="460" t="s">
        <v>2296</v>
      </c>
      <c r="T3597" s="462">
        <v>0.28481449642268464</v>
      </c>
      <c r="U3597" s="460" t="s">
        <v>2302</v>
      </c>
      <c r="V3597" s="475">
        <v>0</v>
      </c>
      <c r="W3597" s="463" t="s">
        <v>2268</v>
      </c>
      <c r="X3597" s="463" t="s">
        <v>2268</v>
      </c>
      <c r="Y3597" s="463" t="s">
        <v>2554</v>
      </c>
      <c r="Z3597" s="463"/>
      <c r="AA3597" s="463"/>
      <c r="AB3597" s="464">
        <v>0</v>
      </c>
      <c r="AC3597" s="465">
        <v>0</v>
      </c>
      <c r="AD3597" s="465">
        <v>0</v>
      </c>
      <c r="AE3597" s="476">
        <v>0</v>
      </c>
      <c r="AF3597" s="467">
        <v>0</v>
      </c>
      <c r="AG3597" s="468">
        <v>0</v>
      </c>
      <c r="AH3597" s="218">
        <v>0</v>
      </c>
      <c r="AI3597" s="470">
        <v>0</v>
      </c>
      <c r="AJ3597" s="471">
        <v>0</v>
      </c>
      <c r="AK3597" s="218">
        <v>0</v>
      </c>
      <c r="AL3597" s="470">
        <v>0</v>
      </c>
      <c r="AM3597" s="471">
        <v>0</v>
      </c>
      <c r="AN3597" s="477">
        <v>0.3259409082768383</v>
      </c>
      <c r="AO3597" s="473">
        <v>2.3040998024937497E-2</v>
      </c>
      <c r="AP3597" s="474">
        <v>4.2940301343502829E-4</v>
      </c>
      <c r="AQ3597" s="352"/>
      <c r="AR3597" s="352"/>
      <c r="AS3597" s="352"/>
      <c r="AT3597" s="352"/>
      <c r="AU3597" s="352"/>
      <c r="AV3597" s="352"/>
      <c r="AW3597" s="352" t="s">
        <v>254</v>
      </c>
    </row>
    <row r="3598" spans="2:49" x14ac:dyDescent="0.2">
      <c r="B3598" s="460" t="s">
        <v>3429</v>
      </c>
      <c r="C3598" s="460">
        <v>6000</v>
      </c>
      <c r="D3598" s="460" t="s">
        <v>2313</v>
      </c>
      <c r="E3598" s="460" t="s">
        <v>2305</v>
      </c>
      <c r="F3598" s="460">
        <v>4</v>
      </c>
      <c r="G3598" s="460">
        <v>2</v>
      </c>
      <c r="H3598" s="461" t="s">
        <v>746</v>
      </c>
      <c r="I3598" s="461" t="s">
        <v>762</v>
      </c>
      <c r="J3598" s="461" t="s">
        <v>700</v>
      </c>
      <c r="K3598" s="594"/>
      <c r="L3598" s="594"/>
      <c r="M3598" s="352">
        <v>6000</v>
      </c>
      <c r="N3598" s="352" t="s">
        <v>871</v>
      </c>
      <c r="O3598" s="460">
        <v>5131</v>
      </c>
      <c r="P3598" s="460" t="s">
        <v>1889</v>
      </c>
      <c r="Q3598" s="460" t="s">
        <v>2553</v>
      </c>
      <c r="R3598" s="460">
        <v>5131</v>
      </c>
      <c r="S3598" s="460" t="s">
        <v>2305</v>
      </c>
      <c r="T3598" s="462">
        <v>1</v>
      </c>
      <c r="U3598" s="460" t="s">
        <v>2305</v>
      </c>
      <c r="V3598" s="475">
        <v>0</v>
      </c>
      <c r="W3598" s="463" t="s">
        <v>2268</v>
      </c>
      <c r="X3598" s="463" t="s">
        <v>2268</v>
      </c>
      <c r="Y3598" s="463" t="s">
        <v>2554</v>
      </c>
      <c r="Z3598" s="463"/>
      <c r="AA3598" s="463"/>
      <c r="AB3598" s="464">
        <v>0</v>
      </c>
      <c r="AC3598" s="465">
        <v>0</v>
      </c>
      <c r="AD3598" s="465">
        <v>0</v>
      </c>
      <c r="AE3598" s="476">
        <v>0</v>
      </c>
      <c r="AF3598" s="467">
        <v>0</v>
      </c>
      <c r="AG3598" s="468">
        <v>0</v>
      </c>
      <c r="AH3598" s="218">
        <v>0</v>
      </c>
      <c r="AI3598" s="470">
        <v>0</v>
      </c>
      <c r="AJ3598" s="471">
        <v>0</v>
      </c>
      <c r="AK3598" s="218">
        <v>0</v>
      </c>
      <c r="AL3598" s="470">
        <v>0</v>
      </c>
      <c r="AM3598" s="471">
        <v>0</v>
      </c>
      <c r="AN3598" s="477">
        <v>8.0077709172479191E-3</v>
      </c>
      <c r="AO3598" s="473">
        <v>4.984339270515905E-4</v>
      </c>
      <c r="AP3598" s="474">
        <v>7.815945939399205E-4</v>
      </c>
      <c r="AQ3598" s="352"/>
      <c r="AR3598" s="352"/>
      <c r="AS3598" s="352"/>
      <c r="AT3598" s="352"/>
      <c r="AU3598" s="352"/>
      <c r="AV3598" s="352"/>
      <c r="AW3598" s="352" t="s">
        <v>254</v>
      </c>
    </row>
    <row r="3599" spans="2:49" x14ac:dyDescent="0.2">
      <c r="B3599" s="460" t="s">
        <v>3426</v>
      </c>
      <c r="C3599" s="460">
        <v>6000</v>
      </c>
      <c r="D3599" s="460" t="s">
        <v>2314</v>
      </c>
      <c r="E3599" s="460" t="s">
        <v>2296</v>
      </c>
      <c r="F3599" s="460">
        <v>1</v>
      </c>
      <c r="G3599" s="460">
        <v>2</v>
      </c>
      <c r="H3599" s="461" t="s">
        <v>748</v>
      </c>
      <c r="I3599" s="461" t="s">
        <v>765</v>
      </c>
      <c r="J3599" s="461" t="s">
        <v>700</v>
      </c>
      <c r="K3599" s="594"/>
      <c r="L3599" s="594"/>
      <c r="M3599" s="352">
        <v>6000</v>
      </c>
      <c r="N3599" s="352" t="s">
        <v>871</v>
      </c>
      <c r="O3599" s="460">
        <v>5131</v>
      </c>
      <c r="P3599" s="460" t="s">
        <v>1889</v>
      </c>
      <c r="Q3599" s="460" t="s">
        <v>2553</v>
      </c>
      <c r="R3599" s="460">
        <v>5131</v>
      </c>
      <c r="S3599" s="460" t="s">
        <v>2296</v>
      </c>
      <c r="T3599" s="462">
        <v>1</v>
      </c>
      <c r="U3599" s="460" t="s">
        <v>2296</v>
      </c>
      <c r="V3599" s="475">
        <v>0</v>
      </c>
      <c r="W3599" s="463" t="s">
        <v>2268</v>
      </c>
      <c r="X3599" s="463" t="s">
        <v>2268</v>
      </c>
      <c r="Y3599" s="463" t="s">
        <v>2554</v>
      </c>
      <c r="Z3599" s="463"/>
      <c r="AA3599" s="463"/>
      <c r="AB3599" s="464">
        <v>0</v>
      </c>
      <c r="AC3599" s="465">
        <v>0</v>
      </c>
      <c r="AD3599" s="465">
        <v>0</v>
      </c>
      <c r="AE3599" s="476">
        <v>0</v>
      </c>
      <c r="AF3599" s="467">
        <v>0</v>
      </c>
      <c r="AG3599" s="468">
        <v>0</v>
      </c>
      <c r="AH3599" s="218">
        <v>0</v>
      </c>
      <c r="AI3599" s="470">
        <v>0</v>
      </c>
      <c r="AJ3599" s="471">
        <v>0</v>
      </c>
      <c r="AK3599" s="218">
        <v>0</v>
      </c>
      <c r="AL3599" s="470">
        <v>0</v>
      </c>
      <c r="AM3599" s="471">
        <v>0</v>
      </c>
      <c r="AN3599" s="477">
        <v>2.7134033432488773</v>
      </c>
      <c r="AO3599" s="473">
        <v>5.0448520878483916E-3</v>
      </c>
      <c r="AP3599" s="474">
        <v>8.2890755434878035E-4</v>
      </c>
      <c r="AQ3599" s="352"/>
      <c r="AR3599" s="352"/>
      <c r="AS3599" s="352"/>
      <c r="AT3599" s="352"/>
      <c r="AU3599" s="352"/>
      <c r="AV3599" s="352"/>
      <c r="AW3599" s="352" t="s">
        <v>254</v>
      </c>
    </row>
    <row r="3600" spans="2:49" x14ac:dyDescent="0.2">
      <c r="B3600" s="460" t="s">
        <v>3427</v>
      </c>
      <c r="C3600" s="460">
        <v>6000</v>
      </c>
      <c r="D3600" s="460" t="s">
        <v>2315</v>
      </c>
      <c r="E3600" s="460" t="s">
        <v>2299</v>
      </c>
      <c r="F3600" s="460">
        <v>2</v>
      </c>
      <c r="G3600" s="460">
        <v>2</v>
      </c>
      <c r="H3600" s="461" t="s">
        <v>748</v>
      </c>
      <c r="I3600" s="461" t="s">
        <v>765</v>
      </c>
      <c r="J3600" s="461" t="s">
        <v>700</v>
      </c>
      <c r="K3600" s="594"/>
      <c r="L3600" s="594"/>
      <c r="M3600" s="352">
        <v>6000</v>
      </c>
      <c r="N3600" s="352" t="s">
        <v>871</v>
      </c>
      <c r="O3600" s="460">
        <v>5131</v>
      </c>
      <c r="P3600" s="460" t="s">
        <v>1889</v>
      </c>
      <c r="Q3600" s="460" t="s">
        <v>2553</v>
      </c>
      <c r="R3600" s="460">
        <v>5131</v>
      </c>
      <c r="S3600" s="460" t="s">
        <v>2296</v>
      </c>
      <c r="T3600" s="462">
        <v>0.55517361979372948</v>
      </c>
      <c r="U3600" s="460" t="s">
        <v>2299</v>
      </c>
      <c r="V3600" s="475">
        <v>0</v>
      </c>
      <c r="W3600" s="463" t="s">
        <v>2268</v>
      </c>
      <c r="X3600" s="463" t="s">
        <v>2268</v>
      </c>
      <c r="Y3600" s="463" t="s">
        <v>2554</v>
      </c>
      <c r="Z3600" s="463"/>
      <c r="AA3600" s="463"/>
      <c r="AB3600" s="464">
        <v>0</v>
      </c>
      <c r="AC3600" s="465">
        <v>0</v>
      </c>
      <c r="AD3600" s="465">
        <v>0</v>
      </c>
      <c r="AE3600" s="476">
        <v>0</v>
      </c>
      <c r="AF3600" s="467">
        <v>0</v>
      </c>
      <c r="AG3600" s="468">
        <v>0</v>
      </c>
      <c r="AH3600" s="218">
        <v>0</v>
      </c>
      <c r="AI3600" s="470">
        <v>0</v>
      </c>
      <c r="AJ3600" s="471">
        <v>0</v>
      </c>
      <c r="AK3600" s="218">
        <v>0</v>
      </c>
      <c r="AL3600" s="470">
        <v>0</v>
      </c>
      <c r="AM3600" s="471">
        <v>0</v>
      </c>
      <c r="AN3600" s="477">
        <v>0.40251132761030783</v>
      </c>
      <c r="AO3600" s="473">
        <v>1.2500000000000011E-2</v>
      </c>
      <c r="AP3600" s="474">
        <v>3.7291954256738895E-4</v>
      </c>
      <c r="AQ3600" s="352"/>
      <c r="AR3600" s="352"/>
      <c r="AS3600" s="352"/>
      <c r="AT3600" s="352"/>
      <c r="AU3600" s="352"/>
      <c r="AV3600" s="352"/>
      <c r="AW3600" s="352" t="s">
        <v>254</v>
      </c>
    </row>
    <row r="3601" spans="2:49" x14ac:dyDescent="0.2">
      <c r="B3601" s="460" t="s">
        <v>3428</v>
      </c>
      <c r="C3601" s="460">
        <v>6000</v>
      </c>
      <c r="D3601" s="460" t="s">
        <v>2316</v>
      </c>
      <c r="E3601" s="460" t="s">
        <v>2302</v>
      </c>
      <c r="F3601" s="460">
        <v>3</v>
      </c>
      <c r="G3601" s="460">
        <v>2</v>
      </c>
      <c r="H3601" s="461" t="s">
        <v>748</v>
      </c>
      <c r="I3601" s="461" t="s">
        <v>765</v>
      </c>
      <c r="J3601" s="461" t="s">
        <v>700</v>
      </c>
      <c r="K3601" s="594"/>
      <c r="L3601" s="594"/>
      <c r="M3601" s="352">
        <v>6000</v>
      </c>
      <c r="N3601" s="352" t="s">
        <v>871</v>
      </c>
      <c r="O3601" s="460">
        <v>5131</v>
      </c>
      <c r="P3601" s="460" t="s">
        <v>1889</v>
      </c>
      <c r="Q3601" s="460" t="s">
        <v>2553</v>
      </c>
      <c r="R3601" s="460">
        <v>5131</v>
      </c>
      <c r="S3601" s="460" t="s">
        <v>2296</v>
      </c>
      <c r="T3601" s="462">
        <v>0.28481449642268464</v>
      </c>
      <c r="U3601" s="460" t="s">
        <v>2302</v>
      </c>
      <c r="V3601" s="475">
        <v>0</v>
      </c>
      <c r="W3601" s="463" t="s">
        <v>2268</v>
      </c>
      <c r="X3601" s="463" t="s">
        <v>2268</v>
      </c>
      <c r="Y3601" s="463" t="s">
        <v>2554</v>
      </c>
      <c r="Z3601" s="463"/>
      <c r="AA3601" s="463"/>
      <c r="AB3601" s="464">
        <v>0</v>
      </c>
      <c r="AC3601" s="465">
        <v>0</v>
      </c>
      <c r="AD3601" s="465">
        <v>0</v>
      </c>
      <c r="AE3601" s="476">
        <v>0</v>
      </c>
      <c r="AF3601" s="467">
        <v>0</v>
      </c>
      <c r="AG3601" s="468">
        <v>0</v>
      </c>
      <c r="AH3601" s="218">
        <v>0</v>
      </c>
      <c r="AI3601" s="470">
        <v>0</v>
      </c>
      <c r="AJ3601" s="471">
        <v>0</v>
      </c>
      <c r="AK3601" s="218">
        <v>0</v>
      </c>
      <c r="AL3601" s="470">
        <v>0</v>
      </c>
      <c r="AM3601" s="471">
        <v>0</v>
      </c>
      <c r="AN3601" s="477">
        <v>8.1485227069209673E-2</v>
      </c>
      <c r="AO3601" s="473">
        <v>5.7602495062343802E-3</v>
      </c>
      <c r="AP3601" s="474">
        <v>3.4866987572077684E-4</v>
      </c>
      <c r="AQ3601" s="352"/>
      <c r="AR3601" s="352"/>
      <c r="AS3601" s="352"/>
      <c r="AT3601" s="352"/>
      <c r="AU3601" s="352"/>
      <c r="AV3601" s="352"/>
      <c r="AW3601" s="352" t="s">
        <v>254</v>
      </c>
    </row>
    <row r="3602" spans="2:49" x14ac:dyDescent="0.2">
      <c r="B3602" s="460" t="s">
        <v>3429</v>
      </c>
      <c r="C3602" s="460">
        <v>6000</v>
      </c>
      <c r="D3602" s="460" t="s">
        <v>2317</v>
      </c>
      <c r="E3602" s="460" t="s">
        <v>2305</v>
      </c>
      <c r="F3602" s="460">
        <v>4</v>
      </c>
      <c r="G3602" s="460">
        <v>2</v>
      </c>
      <c r="H3602" s="461" t="s">
        <v>748</v>
      </c>
      <c r="I3602" s="461" t="s">
        <v>765</v>
      </c>
      <c r="J3602" s="461" t="s">
        <v>700</v>
      </c>
      <c r="K3602" s="594"/>
      <c r="L3602" s="594"/>
      <c r="M3602" s="352">
        <v>6000</v>
      </c>
      <c r="N3602" s="352" t="s">
        <v>871</v>
      </c>
      <c r="O3602" s="460">
        <v>5131</v>
      </c>
      <c r="P3602" s="460" t="s">
        <v>1889</v>
      </c>
      <c r="Q3602" s="460" t="s">
        <v>2553</v>
      </c>
      <c r="R3602" s="460">
        <v>5131</v>
      </c>
      <c r="S3602" s="460" t="s">
        <v>2305</v>
      </c>
      <c r="T3602" s="462">
        <v>1</v>
      </c>
      <c r="U3602" s="460" t="s">
        <v>2305</v>
      </c>
      <c r="V3602" s="475">
        <v>0</v>
      </c>
      <c r="W3602" s="463" t="s">
        <v>2268</v>
      </c>
      <c r="X3602" s="463" t="s">
        <v>2268</v>
      </c>
      <c r="Y3602" s="463" t="s">
        <v>2554</v>
      </c>
      <c r="Z3602" s="463"/>
      <c r="AA3602" s="463"/>
      <c r="AB3602" s="464">
        <v>0</v>
      </c>
      <c r="AC3602" s="465">
        <v>0</v>
      </c>
      <c r="AD3602" s="465">
        <v>0</v>
      </c>
      <c r="AE3602" s="476">
        <v>0</v>
      </c>
      <c r="AF3602" s="467">
        <v>0</v>
      </c>
      <c r="AG3602" s="468">
        <v>0</v>
      </c>
      <c r="AH3602" s="218">
        <v>0</v>
      </c>
      <c r="AI3602" s="470">
        <v>0</v>
      </c>
      <c r="AJ3602" s="471">
        <v>0</v>
      </c>
      <c r="AK3602" s="218">
        <v>0</v>
      </c>
      <c r="AL3602" s="470">
        <v>0</v>
      </c>
      <c r="AM3602" s="471">
        <v>0</v>
      </c>
      <c r="AN3602" s="477">
        <v>2.0019427293119819E-3</v>
      </c>
      <c r="AO3602" s="473">
        <v>1.2460848176289776E-4</v>
      </c>
      <c r="AP3602" s="474">
        <v>1.6349765299044226E-3</v>
      </c>
      <c r="AQ3602" s="352"/>
      <c r="AR3602" s="352"/>
      <c r="AS3602" s="352"/>
      <c r="AT3602" s="352"/>
      <c r="AU3602" s="352"/>
      <c r="AV3602" s="352"/>
      <c r="AW3602" s="352" t="s">
        <v>254</v>
      </c>
    </row>
    <row r="3603" spans="2:49" x14ac:dyDescent="0.2">
      <c r="B3603" s="460" t="s">
        <v>3430</v>
      </c>
      <c r="C3603" s="460">
        <v>6000</v>
      </c>
      <c r="D3603" s="460" t="s">
        <v>2323</v>
      </c>
      <c r="E3603" s="460" t="s">
        <v>2324</v>
      </c>
      <c r="F3603" s="460">
        <v>1</v>
      </c>
      <c r="G3603" s="460">
        <v>3</v>
      </c>
      <c r="H3603" s="461" t="s">
        <v>700</v>
      </c>
      <c r="I3603" s="461" t="s">
        <v>872</v>
      </c>
      <c r="J3603" s="461" t="s">
        <v>700</v>
      </c>
      <c r="K3603" s="594"/>
      <c r="L3603" s="594"/>
      <c r="M3603" s="352">
        <v>6000</v>
      </c>
      <c r="N3603" s="352" t="s">
        <v>871</v>
      </c>
      <c r="O3603" s="460">
        <v>5131</v>
      </c>
      <c r="P3603" s="460" t="s">
        <v>1889</v>
      </c>
      <c r="Q3603" s="460" t="s">
        <v>2553</v>
      </c>
      <c r="R3603" s="460">
        <v>5131</v>
      </c>
      <c r="S3603" s="460" t="s">
        <v>2324</v>
      </c>
      <c r="T3603" s="462">
        <v>1</v>
      </c>
      <c r="U3603" s="460" t="s">
        <v>2324</v>
      </c>
      <c r="V3603" s="475">
        <v>0</v>
      </c>
      <c r="W3603" s="463" t="s">
        <v>2554</v>
      </c>
      <c r="X3603" s="463" t="s">
        <v>2554</v>
      </c>
      <c r="Y3603" s="463" t="s">
        <v>2268</v>
      </c>
      <c r="Z3603" s="463"/>
      <c r="AA3603" s="463"/>
      <c r="AB3603" s="464">
        <v>0</v>
      </c>
      <c r="AC3603" s="465">
        <v>0</v>
      </c>
      <c r="AD3603" s="465">
        <v>0</v>
      </c>
      <c r="AE3603" s="476">
        <v>0</v>
      </c>
      <c r="AF3603" s="467">
        <v>0</v>
      </c>
      <c r="AG3603" s="468">
        <v>0</v>
      </c>
      <c r="AH3603" s="218">
        <v>0</v>
      </c>
      <c r="AI3603" s="470">
        <v>0</v>
      </c>
      <c r="AJ3603" s="471">
        <v>0</v>
      </c>
      <c r="AK3603" s="218">
        <v>0</v>
      </c>
      <c r="AL3603" s="470">
        <v>0</v>
      </c>
      <c r="AM3603" s="471">
        <v>0</v>
      </c>
      <c r="AN3603" s="477">
        <v>0</v>
      </c>
      <c r="AO3603" s="473">
        <v>0</v>
      </c>
      <c r="AP3603" s="474">
        <v>0</v>
      </c>
      <c r="AQ3603" s="352"/>
      <c r="AR3603" s="352"/>
      <c r="AS3603" s="352"/>
      <c r="AT3603" s="352"/>
      <c r="AU3603" s="352"/>
      <c r="AV3603" s="352"/>
      <c r="AW3603" s="352" t="s">
        <v>254</v>
      </c>
    </row>
    <row r="3604" spans="2:49" x14ac:dyDescent="0.2">
      <c r="B3604" s="460" t="s">
        <v>3431</v>
      </c>
      <c r="C3604" s="460">
        <v>6000</v>
      </c>
      <c r="D3604" s="460" t="s">
        <v>2326</v>
      </c>
      <c r="E3604" s="460" t="s">
        <v>2327</v>
      </c>
      <c r="F3604" s="460">
        <v>2</v>
      </c>
      <c r="G3604" s="460">
        <v>3</v>
      </c>
      <c r="H3604" s="461" t="s">
        <v>700</v>
      </c>
      <c r="I3604" s="461" t="s">
        <v>872</v>
      </c>
      <c r="J3604" s="461" t="s">
        <v>700</v>
      </c>
      <c r="K3604" s="594"/>
      <c r="L3604" s="594"/>
      <c r="M3604" s="352">
        <v>6000</v>
      </c>
      <c r="N3604" s="352" t="s">
        <v>871</v>
      </c>
      <c r="O3604" s="460">
        <v>5131</v>
      </c>
      <c r="P3604" s="460" t="s">
        <v>1889</v>
      </c>
      <c r="Q3604" s="460" t="s">
        <v>2553</v>
      </c>
      <c r="R3604" s="460">
        <v>5131</v>
      </c>
      <c r="S3604" s="460" t="s">
        <v>2324</v>
      </c>
      <c r="T3604" s="462">
        <v>1</v>
      </c>
      <c r="U3604" s="460" t="s">
        <v>2327</v>
      </c>
      <c r="V3604" s="475">
        <v>0</v>
      </c>
      <c r="W3604" s="463" t="s">
        <v>2554</v>
      </c>
      <c r="X3604" s="463" t="s">
        <v>2554</v>
      </c>
      <c r="Y3604" s="463" t="s">
        <v>2268</v>
      </c>
      <c r="Z3604" s="463"/>
      <c r="AA3604" s="463"/>
      <c r="AB3604" s="464">
        <v>0</v>
      </c>
      <c r="AC3604" s="465">
        <v>0</v>
      </c>
      <c r="AD3604" s="465">
        <v>0</v>
      </c>
      <c r="AE3604" s="476">
        <v>0</v>
      </c>
      <c r="AF3604" s="467">
        <v>0</v>
      </c>
      <c r="AG3604" s="468">
        <v>0</v>
      </c>
      <c r="AH3604" s="218">
        <v>0</v>
      </c>
      <c r="AI3604" s="470">
        <v>0</v>
      </c>
      <c r="AJ3604" s="471">
        <v>0</v>
      </c>
      <c r="AK3604" s="218">
        <v>0</v>
      </c>
      <c r="AL3604" s="470">
        <v>0</v>
      </c>
      <c r="AM3604" s="471">
        <v>0</v>
      </c>
      <c r="AN3604" s="477">
        <v>0</v>
      </c>
      <c r="AO3604" s="473">
        <v>0</v>
      </c>
      <c r="AP3604" s="474">
        <v>0</v>
      </c>
      <c r="AQ3604" s="352"/>
      <c r="AR3604" s="352"/>
      <c r="AS3604" s="352"/>
      <c r="AT3604" s="352"/>
      <c r="AU3604" s="352"/>
      <c r="AV3604" s="352"/>
      <c r="AW3604" s="352" t="s">
        <v>254</v>
      </c>
    </row>
    <row r="3605" spans="2:49" x14ac:dyDescent="0.2">
      <c r="B3605" s="460" t="s">
        <v>3432</v>
      </c>
      <c r="C3605" s="460">
        <v>6000</v>
      </c>
      <c r="D3605" s="460" t="s">
        <v>2329</v>
      </c>
      <c r="E3605" s="460" t="s">
        <v>2330</v>
      </c>
      <c r="F3605" s="460">
        <v>3</v>
      </c>
      <c r="G3605" s="460">
        <v>3</v>
      </c>
      <c r="H3605" s="461" t="s">
        <v>700</v>
      </c>
      <c r="I3605" s="461" t="s">
        <v>872</v>
      </c>
      <c r="J3605" s="461" t="s">
        <v>700</v>
      </c>
      <c r="K3605" s="594"/>
      <c r="L3605" s="594"/>
      <c r="M3605" s="352">
        <v>6000</v>
      </c>
      <c r="N3605" s="352" t="s">
        <v>871</v>
      </c>
      <c r="O3605" s="460">
        <v>5131</v>
      </c>
      <c r="P3605" s="460" t="s">
        <v>1889</v>
      </c>
      <c r="Q3605" s="460" t="s">
        <v>2553</v>
      </c>
      <c r="R3605" s="460">
        <v>5131</v>
      </c>
      <c r="S3605" s="460" t="s">
        <v>2324</v>
      </c>
      <c r="T3605" s="462">
        <v>1</v>
      </c>
      <c r="U3605" s="460" t="s">
        <v>2330</v>
      </c>
      <c r="V3605" s="475">
        <v>0</v>
      </c>
      <c r="W3605" s="463" t="s">
        <v>2554</v>
      </c>
      <c r="X3605" s="463" t="s">
        <v>2554</v>
      </c>
      <c r="Y3605" s="463" t="s">
        <v>2268</v>
      </c>
      <c r="Z3605" s="463"/>
      <c r="AA3605" s="463"/>
      <c r="AB3605" s="464">
        <v>0</v>
      </c>
      <c r="AC3605" s="465">
        <v>0</v>
      </c>
      <c r="AD3605" s="465">
        <v>0</v>
      </c>
      <c r="AE3605" s="476">
        <v>0</v>
      </c>
      <c r="AF3605" s="467">
        <v>0</v>
      </c>
      <c r="AG3605" s="468">
        <v>0</v>
      </c>
      <c r="AH3605" s="218">
        <v>0</v>
      </c>
      <c r="AI3605" s="470">
        <v>0</v>
      </c>
      <c r="AJ3605" s="471">
        <v>0</v>
      </c>
      <c r="AK3605" s="218">
        <v>0</v>
      </c>
      <c r="AL3605" s="470">
        <v>0</v>
      </c>
      <c r="AM3605" s="471">
        <v>0</v>
      </c>
      <c r="AN3605" s="477">
        <v>0</v>
      </c>
      <c r="AO3605" s="473">
        <v>0</v>
      </c>
      <c r="AP3605" s="474">
        <v>0</v>
      </c>
      <c r="AQ3605" s="352"/>
      <c r="AR3605" s="352"/>
      <c r="AS3605" s="352"/>
      <c r="AT3605" s="352"/>
      <c r="AU3605" s="352"/>
      <c r="AV3605" s="352"/>
      <c r="AW3605" s="352" t="s">
        <v>254</v>
      </c>
    </row>
    <row r="3606" spans="2:49" x14ac:dyDescent="0.2">
      <c r="B3606" s="460" t="s">
        <v>3433</v>
      </c>
      <c r="C3606" s="460">
        <v>6000</v>
      </c>
      <c r="D3606" s="460" t="s">
        <v>2332</v>
      </c>
      <c r="E3606" s="460" t="s">
        <v>2333</v>
      </c>
      <c r="F3606" s="460">
        <v>4</v>
      </c>
      <c r="G3606" s="460">
        <v>3</v>
      </c>
      <c r="H3606" s="461" t="s">
        <v>700</v>
      </c>
      <c r="I3606" s="461" t="s">
        <v>872</v>
      </c>
      <c r="J3606" s="461" t="s">
        <v>700</v>
      </c>
      <c r="K3606" s="594"/>
      <c r="L3606" s="594"/>
      <c r="M3606" s="352">
        <v>6000</v>
      </c>
      <c r="N3606" s="352" t="s">
        <v>871</v>
      </c>
      <c r="O3606" s="460">
        <v>5131</v>
      </c>
      <c r="P3606" s="460" t="s">
        <v>1889</v>
      </c>
      <c r="Q3606" s="460" t="s">
        <v>2553</v>
      </c>
      <c r="R3606" s="460">
        <v>5131</v>
      </c>
      <c r="S3606" s="460" t="s">
        <v>2333</v>
      </c>
      <c r="T3606" s="462">
        <v>1</v>
      </c>
      <c r="U3606" s="460" t="s">
        <v>2333</v>
      </c>
      <c r="V3606" s="475">
        <v>0</v>
      </c>
      <c r="W3606" s="463" t="s">
        <v>2554</v>
      </c>
      <c r="X3606" s="463" t="s">
        <v>2554</v>
      </c>
      <c r="Y3606" s="463" t="s">
        <v>2268</v>
      </c>
      <c r="Z3606" s="463"/>
      <c r="AA3606" s="463"/>
      <c r="AB3606" s="464">
        <v>0</v>
      </c>
      <c r="AC3606" s="465">
        <v>0</v>
      </c>
      <c r="AD3606" s="465">
        <v>0</v>
      </c>
      <c r="AE3606" s="476">
        <v>0</v>
      </c>
      <c r="AF3606" s="467">
        <v>0</v>
      </c>
      <c r="AG3606" s="468">
        <v>0</v>
      </c>
      <c r="AH3606" s="218">
        <v>0</v>
      </c>
      <c r="AI3606" s="470">
        <v>0</v>
      </c>
      <c r="AJ3606" s="471">
        <v>0</v>
      </c>
      <c r="AK3606" s="218">
        <v>0</v>
      </c>
      <c r="AL3606" s="470">
        <v>0</v>
      </c>
      <c r="AM3606" s="471">
        <v>0</v>
      </c>
      <c r="AN3606" s="477">
        <v>0</v>
      </c>
      <c r="AO3606" s="473">
        <v>0</v>
      </c>
      <c r="AP3606" s="474">
        <v>0</v>
      </c>
      <c r="AQ3606" s="352"/>
      <c r="AR3606" s="352"/>
      <c r="AS3606" s="352"/>
      <c r="AT3606" s="352"/>
      <c r="AU3606" s="352"/>
      <c r="AV3606" s="352"/>
      <c r="AW3606" s="352" t="s">
        <v>254</v>
      </c>
    </row>
    <row r="3607" spans="2:49" x14ac:dyDescent="0.2">
      <c r="B3607" s="460" t="s">
        <v>3430</v>
      </c>
      <c r="C3607" s="460">
        <v>6000</v>
      </c>
      <c r="D3607" s="460" t="s">
        <v>2334</v>
      </c>
      <c r="E3607" s="460" t="s">
        <v>2324</v>
      </c>
      <c r="F3607" s="460">
        <v>1</v>
      </c>
      <c r="G3607" s="460">
        <v>3</v>
      </c>
      <c r="H3607" s="461" t="s">
        <v>712</v>
      </c>
      <c r="I3607" s="461" t="s">
        <v>713</v>
      </c>
      <c r="J3607" s="461" t="s">
        <v>712</v>
      </c>
      <c r="K3607" s="594"/>
      <c r="L3607" s="594"/>
      <c r="M3607" s="352">
        <v>6000</v>
      </c>
      <c r="N3607" s="352" t="s">
        <v>871</v>
      </c>
      <c r="O3607" s="460">
        <v>5131</v>
      </c>
      <c r="P3607" s="460" t="s">
        <v>1889</v>
      </c>
      <c r="Q3607" s="460" t="s">
        <v>2280</v>
      </c>
      <c r="R3607" s="460">
        <v>5131</v>
      </c>
      <c r="S3607" s="460" t="s">
        <v>2324</v>
      </c>
      <c r="T3607" s="462">
        <v>1</v>
      </c>
      <c r="U3607" s="460" t="s">
        <v>2324</v>
      </c>
      <c r="V3607" s="475">
        <v>0</v>
      </c>
      <c r="W3607" s="463" t="s">
        <v>713</v>
      </c>
      <c r="X3607" s="463" t="s">
        <v>713</v>
      </c>
      <c r="Y3607" s="463" t="s">
        <v>713</v>
      </c>
      <c r="Z3607" s="463"/>
      <c r="AA3607" s="463"/>
      <c r="AB3607" s="464">
        <v>11191.301793920085</v>
      </c>
      <c r="AC3607" s="465">
        <v>1</v>
      </c>
      <c r="AD3607" s="465">
        <v>2.7943517722466286E-2</v>
      </c>
      <c r="AE3607" s="476">
        <v>11191.301793920085</v>
      </c>
      <c r="AF3607" s="467">
        <v>1</v>
      </c>
      <c r="AG3607" s="468">
        <v>2.7412833181332218E-2</v>
      </c>
      <c r="AH3607" s="218">
        <v>11191.301793920085</v>
      </c>
      <c r="AI3607" s="470">
        <v>1</v>
      </c>
      <c r="AJ3607" s="471">
        <v>2.7762298797846779E-2</v>
      </c>
      <c r="AK3607" s="218">
        <v>11191.301793920085</v>
      </c>
      <c r="AL3607" s="470">
        <v>1</v>
      </c>
      <c r="AM3607" s="471">
        <v>2.7762298797846779E-2</v>
      </c>
      <c r="AN3607" s="477">
        <v>11191.301793920085</v>
      </c>
      <c r="AO3607" s="473">
        <v>1</v>
      </c>
      <c r="AP3607" s="474">
        <v>2.7748788197354966E-2</v>
      </c>
      <c r="AQ3607" s="352"/>
      <c r="AR3607" s="352"/>
      <c r="AS3607" s="352"/>
      <c r="AT3607" s="352"/>
      <c r="AU3607" s="352"/>
      <c r="AV3607" s="352"/>
      <c r="AW3607" s="352" t="s">
        <v>254</v>
      </c>
    </row>
    <row r="3608" spans="2:49" x14ac:dyDescent="0.2">
      <c r="B3608" s="460" t="s">
        <v>3431</v>
      </c>
      <c r="C3608" s="460">
        <v>6000</v>
      </c>
      <c r="D3608" s="460" t="s">
        <v>2335</v>
      </c>
      <c r="E3608" s="460" t="s">
        <v>2327</v>
      </c>
      <c r="F3608" s="460">
        <v>2</v>
      </c>
      <c r="G3608" s="460">
        <v>3</v>
      </c>
      <c r="H3608" s="461" t="s">
        <v>712</v>
      </c>
      <c r="I3608" s="461" t="s">
        <v>713</v>
      </c>
      <c r="J3608" s="461" t="s">
        <v>712</v>
      </c>
      <c r="K3608" s="594"/>
      <c r="L3608" s="594"/>
      <c r="M3608" s="352">
        <v>6000</v>
      </c>
      <c r="N3608" s="352" t="s">
        <v>871</v>
      </c>
      <c r="O3608" s="460">
        <v>5131</v>
      </c>
      <c r="P3608" s="460" t="s">
        <v>1889</v>
      </c>
      <c r="Q3608" s="460" t="s">
        <v>2280</v>
      </c>
      <c r="R3608" s="460">
        <v>5131</v>
      </c>
      <c r="S3608" s="460" t="s">
        <v>2324</v>
      </c>
      <c r="T3608" s="462">
        <v>1</v>
      </c>
      <c r="U3608" s="460" t="s">
        <v>2327</v>
      </c>
      <c r="V3608" s="475">
        <v>0</v>
      </c>
      <c r="W3608" s="463" t="s">
        <v>713</v>
      </c>
      <c r="X3608" s="463" t="s">
        <v>713</v>
      </c>
      <c r="Y3608" s="463" t="s">
        <v>713</v>
      </c>
      <c r="Z3608" s="463"/>
      <c r="AA3608" s="463"/>
      <c r="AB3608" s="464">
        <v>2785.5087708868537</v>
      </c>
      <c r="AC3608" s="465">
        <v>1</v>
      </c>
      <c r="AD3608" s="465">
        <v>8.9208661938898655E-3</v>
      </c>
      <c r="AE3608" s="476">
        <v>2785.5087708868537</v>
      </c>
      <c r="AF3608" s="467">
        <v>1</v>
      </c>
      <c r="AG3608" s="468">
        <v>8.77486632149037E-3</v>
      </c>
      <c r="AH3608" s="218">
        <v>2785.5087708868537</v>
      </c>
      <c r="AI3608" s="470">
        <v>1</v>
      </c>
      <c r="AJ3608" s="471">
        <v>9.1255470043528249E-3</v>
      </c>
      <c r="AK3608" s="218">
        <v>2785.5087708868537</v>
      </c>
      <c r="AL3608" s="470">
        <v>1</v>
      </c>
      <c r="AM3608" s="471">
        <v>9.1255470043528249E-3</v>
      </c>
      <c r="AN3608" s="477">
        <v>2785.5087708868537</v>
      </c>
      <c r="AO3608" s="473">
        <v>1</v>
      </c>
      <c r="AP3608" s="474">
        <v>9.1219692074430963E-3</v>
      </c>
      <c r="AQ3608" s="352"/>
      <c r="AR3608" s="352"/>
      <c r="AS3608" s="352"/>
      <c r="AT3608" s="352"/>
      <c r="AU3608" s="352"/>
      <c r="AV3608" s="352"/>
      <c r="AW3608" s="352" t="s">
        <v>254</v>
      </c>
    </row>
    <row r="3609" spans="2:49" x14ac:dyDescent="0.2">
      <c r="B3609" s="460" t="s">
        <v>3432</v>
      </c>
      <c r="C3609" s="460">
        <v>6000</v>
      </c>
      <c r="D3609" s="460" t="s">
        <v>2336</v>
      </c>
      <c r="E3609" s="460" t="s">
        <v>2330</v>
      </c>
      <c r="F3609" s="460">
        <v>3</v>
      </c>
      <c r="G3609" s="460">
        <v>3</v>
      </c>
      <c r="H3609" s="461" t="s">
        <v>712</v>
      </c>
      <c r="I3609" s="461" t="s">
        <v>713</v>
      </c>
      <c r="J3609" s="461" t="s">
        <v>712</v>
      </c>
      <c r="K3609" s="594"/>
      <c r="L3609" s="594"/>
      <c r="M3609" s="352">
        <v>6000</v>
      </c>
      <c r="N3609" s="352" t="s">
        <v>871</v>
      </c>
      <c r="O3609" s="460">
        <v>5131</v>
      </c>
      <c r="P3609" s="460" t="s">
        <v>1889</v>
      </c>
      <c r="Q3609" s="460" t="s">
        <v>2280</v>
      </c>
      <c r="R3609" s="460">
        <v>5131</v>
      </c>
      <c r="S3609" s="460" t="s">
        <v>2324</v>
      </c>
      <c r="T3609" s="462">
        <v>1</v>
      </c>
      <c r="U3609" s="460" t="s">
        <v>2330</v>
      </c>
      <c r="V3609" s="475">
        <v>0</v>
      </c>
      <c r="W3609" s="463" t="s">
        <v>713</v>
      </c>
      <c r="X3609" s="463" t="s">
        <v>713</v>
      </c>
      <c r="Y3609" s="463" t="s">
        <v>713</v>
      </c>
      <c r="Z3609" s="463"/>
      <c r="AA3609" s="463"/>
      <c r="AB3609" s="464">
        <v>1910.6069359781579</v>
      </c>
      <c r="AC3609" s="465">
        <v>1</v>
      </c>
      <c r="AD3609" s="465">
        <v>1.6917016408692764E-2</v>
      </c>
      <c r="AE3609" s="476">
        <v>1910.6069359781579</v>
      </c>
      <c r="AF3609" s="467">
        <v>1</v>
      </c>
      <c r="AG3609" s="468">
        <v>1.6655520112872777E-2</v>
      </c>
      <c r="AH3609" s="218">
        <v>1910.6069359781579</v>
      </c>
      <c r="AI3609" s="470">
        <v>1</v>
      </c>
      <c r="AJ3609" s="471">
        <v>1.7291449384800872E-2</v>
      </c>
      <c r="AK3609" s="218">
        <v>1910.6069359781579</v>
      </c>
      <c r="AL3609" s="470">
        <v>1</v>
      </c>
      <c r="AM3609" s="471">
        <v>1.7291449384800872E-2</v>
      </c>
      <c r="AN3609" s="477">
        <v>1910.6069359781579</v>
      </c>
      <c r="AO3609" s="473">
        <v>1</v>
      </c>
      <c r="AP3609" s="474">
        <v>1.7336080525343502E-2</v>
      </c>
      <c r="AQ3609" s="352"/>
      <c r="AR3609" s="352"/>
      <c r="AS3609" s="352"/>
      <c r="AT3609" s="352"/>
      <c r="AU3609" s="352"/>
      <c r="AV3609" s="352"/>
      <c r="AW3609" s="352" t="s">
        <v>254</v>
      </c>
    </row>
    <row r="3610" spans="2:49" x14ac:dyDescent="0.2">
      <c r="B3610" s="460" t="s">
        <v>3433</v>
      </c>
      <c r="C3610" s="460">
        <v>6000</v>
      </c>
      <c r="D3610" s="460" t="s">
        <v>2337</v>
      </c>
      <c r="E3610" s="460" t="s">
        <v>2333</v>
      </c>
      <c r="F3610" s="460">
        <v>4</v>
      </c>
      <c r="G3610" s="460">
        <v>3</v>
      </c>
      <c r="H3610" s="461" t="s">
        <v>712</v>
      </c>
      <c r="I3610" s="461" t="s">
        <v>713</v>
      </c>
      <c r="J3610" s="461" t="s">
        <v>712</v>
      </c>
      <c r="K3610" s="594"/>
      <c r="L3610" s="594"/>
      <c r="M3610" s="352">
        <v>6000</v>
      </c>
      <c r="N3610" s="352" t="s">
        <v>871</v>
      </c>
      <c r="O3610" s="460">
        <v>5131</v>
      </c>
      <c r="P3610" s="460" t="s">
        <v>1889</v>
      </c>
      <c r="Q3610" s="460" t="s">
        <v>2280</v>
      </c>
      <c r="R3610" s="460">
        <v>5131</v>
      </c>
      <c r="S3610" s="460" t="s">
        <v>2333</v>
      </c>
      <c r="T3610" s="462">
        <v>1</v>
      </c>
      <c r="U3610" s="460" t="s">
        <v>2333</v>
      </c>
      <c r="V3610" s="475">
        <v>0</v>
      </c>
      <c r="W3610" s="463" t="s">
        <v>713</v>
      </c>
      <c r="X3610" s="463" t="s">
        <v>713</v>
      </c>
      <c r="Y3610" s="463" t="s">
        <v>713</v>
      </c>
      <c r="Z3610" s="463"/>
      <c r="AA3610" s="463"/>
      <c r="AB3610" s="464">
        <v>2192.4761163562453</v>
      </c>
      <c r="AC3610" s="465">
        <v>1</v>
      </c>
      <c r="AD3610" s="465">
        <v>1.6668235287653047E-2</v>
      </c>
      <c r="AE3610" s="476">
        <v>2192.4761163562453</v>
      </c>
      <c r="AF3610" s="467">
        <v>1</v>
      </c>
      <c r="AG3610" s="468">
        <v>1.6497481115275797E-2</v>
      </c>
      <c r="AH3610" s="218">
        <v>2192.4761163562453</v>
      </c>
      <c r="AI3610" s="470">
        <v>1</v>
      </c>
      <c r="AJ3610" s="471">
        <v>1.6550040979635371E-2</v>
      </c>
      <c r="AK3610" s="218">
        <v>2192.4761163562453</v>
      </c>
      <c r="AL3610" s="470">
        <v>1</v>
      </c>
      <c r="AM3610" s="471">
        <v>1.6550040979635371E-2</v>
      </c>
      <c r="AN3610" s="477">
        <v>2192.4761163562453</v>
      </c>
      <c r="AO3610" s="473">
        <v>1</v>
      </c>
      <c r="AP3610" s="474">
        <v>1.6555300313361186E-2</v>
      </c>
      <c r="AQ3610" s="352"/>
      <c r="AR3610" s="352"/>
      <c r="AS3610" s="352"/>
      <c r="AT3610" s="352"/>
      <c r="AU3610" s="352"/>
      <c r="AV3610" s="352"/>
      <c r="AW3610" s="352" t="s">
        <v>254</v>
      </c>
    </row>
    <row r="3611" spans="2:49" x14ac:dyDescent="0.2">
      <c r="B3611" s="460" t="s">
        <v>3430</v>
      </c>
      <c r="C3611" s="460">
        <v>6000</v>
      </c>
      <c r="D3611" s="460" t="s">
        <v>3390</v>
      </c>
      <c r="E3611" s="460" t="s">
        <v>2324</v>
      </c>
      <c r="F3611" s="460">
        <v>1</v>
      </c>
      <c r="G3611" s="460">
        <v>3</v>
      </c>
      <c r="H3611" s="461" t="s">
        <v>719</v>
      </c>
      <c r="I3611" s="461" t="s">
        <v>720</v>
      </c>
      <c r="J3611" s="461" t="s">
        <v>719</v>
      </c>
      <c r="K3611" s="594"/>
      <c r="L3611" s="594"/>
      <c r="M3611" s="352">
        <v>6000</v>
      </c>
      <c r="N3611" s="352" t="s">
        <v>871</v>
      </c>
      <c r="O3611" s="460">
        <v>5131</v>
      </c>
      <c r="P3611" s="460" t="s">
        <v>1889</v>
      </c>
      <c r="Q3611" s="460" t="s">
        <v>3374</v>
      </c>
      <c r="R3611" s="460">
        <v>5131</v>
      </c>
      <c r="S3611" s="460" t="s">
        <v>2324</v>
      </c>
      <c r="T3611" s="462">
        <v>1</v>
      </c>
      <c r="U3611" s="460" t="s">
        <v>2324</v>
      </c>
      <c r="V3611" s="475">
        <v>0</v>
      </c>
      <c r="W3611" s="463" t="s">
        <v>2278</v>
      </c>
      <c r="X3611" s="463" t="s">
        <v>2278</v>
      </c>
      <c r="Y3611" s="463" t="s">
        <v>2278</v>
      </c>
      <c r="Z3611" s="463"/>
      <c r="AA3611" s="463"/>
      <c r="AB3611" s="464">
        <v>0</v>
      </c>
      <c r="AC3611" s="465">
        <v>0</v>
      </c>
      <c r="AD3611" s="465">
        <v>0</v>
      </c>
      <c r="AE3611" s="476">
        <v>0</v>
      </c>
      <c r="AF3611" s="467">
        <v>0</v>
      </c>
      <c r="AG3611" s="468">
        <v>0</v>
      </c>
      <c r="AH3611" s="218">
        <v>0</v>
      </c>
      <c r="AI3611" s="470">
        <v>0</v>
      </c>
      <c r="AJ3611" s="471">
        <v>0</v>
      </c>
      <c r="AK3611" s="218">
        <v>0</v>
      </c>
      <c r="AL3611" s="470">
        <v>0</v>
      </c>
      <c r="AM3611" s="471">
        <v>0</v>
      </c>
      <c r="AN3611" s="477">
        <v>0</v>
      </c>
      <c r="AO3611" s="473">
        <v>0</v>
      </c>
      <c r="AP3611" s="474">
        <v>0</v>
      </c>
      <c r="AQ3611" s="352"/>
      <c r="AR3611" s="352"/>
      <c r="AS3611" s="352"/>
      <c r="AT3611" s="352"/>
      <c r="AU3611" s="352"/>
      <c r="AV3611" s="352"/>
      <c r="AW3611" s="352" t="s">
        <v>254</v>
      </c>
    </row>
    <row r="3612" spans="2:49" x14ac:dyDescent="0.2">
      <c r="B3612" s="460" t="s">
        <v>3431</v>
      </c>
      <c r="C3612" s="460">
        <v>6000</v>
      </c>
      <c r="D3612" s="460" t="s">
        <v>3391</v>
      </c>
      <c r="E3612" s="460" t="s">
        <v>2327</v>
      </c>
      <c r="F3612" s="460">
        <v>2</v>
      </c>
      <c r="G3612" s="460">
        <v>3</v>
      </c>
      <c r="H3612" s="461" t="s">
        <v>719</v>
      </c>
      <c r="I3612" s="461" t="s">
        <v>720</v>
      </c>
      <c r="J3612" s="461" t="s">
        <v>719</v>
      </c>
      <c r="K3612" s="594"/>
      <c r="L3612" s="594"/>
      <c r="M3612" s="352">
        <v>6000</v>
      </c>
      <c r="N3612" s="352" t="s">
        <v>871</v>
      </c>
      <c r="O3612" s="460">
        <v>5131</v>
      </c>
      <c r="P3612" s="460" t="s">
        <v>1889</v>
      </c>
      <c r="Q3612" s="460" t="s">
        <v>3374</v>
      </c>
      <c r="R3612" s="460">
        <v>5131</v>
      </c>
      <c r="S3612" s="460" t="s">
        <v>2324</v>
      </c>
      <c r="T3612" s="462">
        <v>1</v>
      </c>
      <c r="U3612" s="460" t="s">
        <v>2327</v>
      </c>
      <c r="V3612" s="475">
        <v>0</v>
      </c>
      <c r="W3612" s="463" t="s">
        <v>2278</v>
      </c>
      <c r="X3612" s="463" t="s">
        <v>2278</v>
      </c>
      <c r="Y3612" s="463" t="s">
        <v>2278</v>
      </c>
      <c r="Z3612" s="463"/>
      <c r="AA3612" s="463"/>
      <c r="AB3612" s="464">
        <v>0</v>
      </c>
      <c r="AC3612" s="465">
        <v>0</v>
      </c>
      <c r="AD3612" s="465">
        <v>0</v>
      </c>
      <c r="AE3612" s="476">
        <v>0</v>
      </c>
      <c r="AF3612" s="467">
        <v>0</v>
      </c>
      <c r="AG3612" s="468">
        <v>0</v>
      </c>
      <c r="AH3612" s="218">
        <v>0</v>
      </c>
      <c r="AI3612" s="470">
        <v>0</v>
      </c>
      <c r="AJ3612" s="471">
        <v>0</v>
      </c>
      <c r="AK3612" s="218">
        <v>0</v>
      </c>
      <c r="AL3612" s="470">
        <v>0</v>
      </c>
      <c r="AM3612" s="471">
        <v>0</v>
      </c>
      <c r="AN3612" s="477">
        <v>0</v>
      </c>
      <c r="AO3612" s="473">
        <v>0</v>
      </c>
      <c r="AP3612" s="474">
        <v>0</v>
      </c>
      <c r="AQ3612" s="352"/>
      <c r="AR3612" s="352"/>
      <c r="AS3612" s="352"/>
      <c r="AT3612" s="352"/>
      <c r="AU3612" s="352"/>
      <c r="AV3612" s="352"/>
      <c r="AW3612" s="352" t="s">
        <v>254</v>
      </c>
    </row>
    <row r="3613" spans="2:49" x14ac:dyDescent="0.2">
      <c r="B3613" s="460" t="s">
        <v>3432</v>
      </c>
      <c r="C3613" s="460">
        <v>6000</v>
      </c>
      <c r="D3613" s="460" t="s">
        <v>3392</v>
      </c>
      <c r="E3613" s="460" t="s">
        <v>2330</v>
      </c>
      <c r="F3613" s="460">
        <v>3</v>
      </c>
      <c r="G3613" s="460">
        <v>3</v>
      </c>
      <c r="H3613" s="461" t="s">
        <v>719</v>
      </c>
      <c r="I3613" s="461" t="s">
        <v>720</v>
      </c>
      <c r="J3613" s="461" t="s">
        <v>719</v>
      </c>
      <c r="K3613" s="594"/>
      <c r="L3613" s="594"/>
      <c r="M3613" s="352">
        <v>6000</v>
      </c>
      <c r="N3613" s="352" t="s">
        <v>871</v>
      </c>
      <c r="O3613" s="460">
        <v>5131</v>
      </c>
      <c r="P3613" s="460" t="s">
        <v>1889</v>
      </c>
      <c r="Q3613" s="460" t="s">
        <v>3374</v>
      </c>
      <c r="R3613" s="460">
        <v>5131</v>
      </c>
      <c r="S3613" s="460" t="s">
        <v>2324</v>
      </c>
      <c r="T3613" s="462">
        <v>1</v>
      </c>
      <c r="U3613" s="460" t="s">
        <v>2330</v>
      </c>
      <c r="V3613" s="475">
        <v>0</v>
      </c>
      <c r="W3613" s="463" t="s">
        <v>2278</v>
      </c>
      <c r="X3613" s="463" t="s">
        <v>2278</v>
      </c>
      <c r="Y3613" s="463" t="s">
        <v>2278</v>
      </c>
      <c r="Z3613" s="463"/>
      <c r="AA3613" s="463"/>
      <c r="AB3613" s="464">
        <v>0</v>
      </c>
      <c r="AC3613" s="465">
        <v>0</v>
      </c>
      <c r="AD3613" s="465">
        <v>0</v>
      </c>
      <c r="AE3613" s="476">
        <v>0</v>
      </c>
      <c r="AF3613" s="467">
        <v>0</v>
      </c>
      <c r="AG3613" s="468">
        <v>0</v>
      </c>
      <c r="AH3613" s="218">
        <v>0</v>
      </c>
      <c r="AI3613" s="470">
        <v>0</v>
      </c>
      <c r="AJ3613" s="471">
        <v>0</v>
      </c>
      <c r="AK3613" s="218">
        <v>0</v>
      </c>
      <c r="AL3613" s="470">
        <v>0</v>
      </c>
      <c r="AM3613" s="471">
        <v>0</v>
      </c>
      <c r="AN3613" s="477">
        <v>0</v>
      </c>
      <c r="AO3613" s="473">
        <v>0</v>
      </c>
      <c r="AP3613" s="474">
        <v>0</v>
      </c>
      <c r="AQ3613" s="352"/>
      <c r="AR3613" s="352"/>
      <c r="AS3613" s="352"/>
      <c r="AT3613" s="352"/>
      <c r="AU3613" s="352"/>
      <c r="AV3613" s="352"/>
      <c r="AW3613" s="352" t="s">
        <v>254</v>
      </c>
    </row>
    <row r="3614" spans="2:49" x14ac:dyDescent="0.2">
      <c r="B3614" s="460" t="s">
        <v>3433</v>
      </c>
      <c r="C3614" s="460">
        <v>6000</v>
      </c>
      <c r="D3614" s="460" t="s">
        <v>3393</v>
      </c>
      <c r="E3614" s="460" t="s">
        <v>2333</v>
      </c>
      <c r="F3614" s="460">
        <v>4</v>
      </c>
      <c r="G3614" s="460">
        <v>3</v>
      </c>
      <c r="H3614" s="461" t="s">
        <v>719</v>
      </c>
      <c r="I3614" s="461" t="s">
        <v>720</v>
      </c>
      <c r="J3614" s="461" t="s">
        <v>719</v>
      </c>
      <c r="K3614" s="594"/>
      <c r="L3614" s="594"/>
      <c r="M3614" s="352">
        <v>6000</v>
      </c>
      <c r="N3614" s="352" t="s">
        <v>871</v>
      </c>
      <c r="O3614" s="460">
        <v>5131</v>
      </c>
      <c r="P3614" s="460" t="s">
        <v>1889</v>
      </c>
      <c r="Q3614" s="460" t="s">
        <v>3374</v>
      </c>
      <c r="R3614" s="460">
        <v>5131</v>
      </c>
      <c r="S3614" s="460" t="s">
        <v>2333</v>
      </c>
      <c r="T3614" s="462">
        <v>1</v>
      </c>
      <c r="U3614" s="460" t="s">
        <v>2333</v>
      </c>
      <c r="V3614" s="475">
        <v>0</v>
      </c>
      <c r="W3614" s="463" t="s">
        <v>2278</v>
      </c>
      <c r="X3614" s="463" t="s">
        <v>2278</v>
      </c>
      <c r="Y3614" s="463" t="s">
        <v>2278</v>
      </c>
      <c r="Z3614" s="463"/>
      <c r="AA3614" s="463"/>
      <c r="AB3614" s="464">
        <v>0</v>
      </c>
      <c r="AC3614" s="465">
        <v>0</v>
      </c>
      <c r="AD3614" s="465">
        <v>0</v>
      </c>
      <c r="AE3614" s="476">
        <v>0</v>
      </c>
      <c r="AF3614" s="467">
        <v>0</v>
      </c>
      <c r="AG3614" s="468">
        <v>0</v>
      </c>
      <c r="AH3614" s="218">
        <v>0</v>
      </c>
      <c r="AI3614" s="470">
        <v>0</v>
      </c>
      <c r="AJ3614" s="471">
        <v>0</v>
      </c>
      <c r="AK3614" s="218">
        <v>0</v>
      </c>
      <c r="AL3614" s="470">
        <v>0</v>
      </c>
      <c r="AM3614" s="471">
        <v>0</v>
      </c>
      <c r="AN3614" s="477">
        <v>0</v>
      </c>
      <c r="AO3614" s="473">
        <v>0</v>
      </c>
      <c r="AP3614" s="474">
        <v>0</v>
      </c>
      <c r="AQ3614" s="352"/>
      <c r="AR3614" s="352"/>
      <c r="AS3614" s="352"/>
      <c r="AT3614" s="352"/>
      <c r="AU3614" s="352"/>
      <c r="AV3614" s="352"/>
      <c r="AW3614" s="352" t="s">
        <v>254</v>
      </c>
    </row>
    <row r="3615" spans="2:49" x14ac:dyDescent="0.2">
      <c r="B3615" s="460" t="s">
        <v>3430</v>
      </c>
      <c r="C3615" s="460">
        <v>6000</v>
      </c>
      <c r="D3615" s="460" t="s">
        <v>2338</v>
      </c>
      <c r="E3615" s="460" t="s">
        <v>2324</v>
      </c>
      <c r="F3615" s="460">
        <v>1</v>
      </c>
      <c r="G3615" s="460">
        <v>3</v>
      </c>
      <c r="H3615" s="461" t="s">
        <v>746</v>
      </c>
      <c r="I3615" s="461" t="s">
        <v>762</v>
      </c>
      <c r="J3615" s="461" t="s">
        <v>700</v>
      </c>
      <c r="K3615" s="594"/>
      <c r="L3615" s="594"/>
      <c r="M3615" s="352">
        <v>6000</v>
      </c>
      <c r="N3615" s="352" t="s">
        <v>871</v>
      </c>
      <c r="O3615" s="460">
        <v>5131</v>
      </c>
      <c r="P3615" s="460" t="s">
        <v>1889</v>
      </c>
      <c r="Q3615" s="460" t="s">
        <v>2553</v>
      </c>
      <c r="R3615" s="460">
        <v>5131</v>
      </c>
      <c r="S3615" s="460" t="s">
        <v>2324</v>
      </c>
      <c r="T3615" s="462">
        <v>1</v>
      </c>
      <c r="U3615" s="460" t="s">
        <v>2324</v>
      </c>
      <c r="V3615" s="475">
        <v>0</v>
      </c>
      <c r="W3615" s="463" t="s">
        <v>2268</v>
      </c>
      <c r="X3615" s="463" t="s">
        <v>2268</v>
      </c>
      <c r="Y3615" s="463" t="s">
        <v>2554</v>
      </c>
      <c r="Z3615" s="463"/>
      <c r="AA3615" s="463"/>
      <c r="AB3615" s="464">
        <v>0</v>
      </c>
      <c r="AC3615" s="465">
        <v>0</v>
      </c>
      <c r="AD3615" s="465">
        <v>0</v>
      </c>
      <c r="AE3615" s="476">
        <v>0</v>
      </c>
      <c r="AF3615" s="467">
        <v>0</v>
      </c>
      <c r="AG3615" s="468">
        <v>0</v>
      </c>
      <c r="AH3615" s="218">
        <v>0</v>
      </c>
      <c r="AI3615" s="470">
        <v>0</v>
      </c>
      <c r="AJ3615" s="471">
        <v>0</v>
      </c>
      <c r="AK3615" s="218">
        <v>0</v>
      </c>
      <c r="AL3615" s="470">
        <v>0</v>
      </c>
      <c r="AM3615" s="471">
        <v>0</v>
      </c>
      <c r="AN3615" s="477">
        <v>0</v>
      </c>
      <c r="AO3615" s="473">
        <v>0</v>
      </c>
      <c r="AP3615" s="474">
        <v>0</v>
      </c>
      <c r="AQ3615" s="352"/>
      <c r="AR3615" s="352"/>
      <c r="AS3615" s="352"/>
      <c r="AT3615" s="352"/>
      <c r="AU3615" s="352"/>
      <c r="AV3615" s="352"/>
      <c r="AW3615" s="352" t="s">
        <v>254</v>
      </c>
    </row>
    <row r="3616" spans="2:49" x14ac:dyDescent="0.2">
      <c r="B3616" s="460" t="s">
        <v>3431</v>
      </c>
      <c r="C3616" s="460">
        <v>6000</v>
      </c>
      <c r="D3616" s="460" t="s">
        <v>2339</v>
      </c>
      <c r="E3616" s="460" t="s">
        <v>2327</v>
      </c>
      <c r="F3616" s="460">
        <v>2</v>
      </c>
      <c r="G3616" s="460">
        <v>3</v>
      </c>
      <c r="H3616" s="461" t="s">
        <v>746</v>
      </c>
      <c r="I3616" s="461" t="s">
        <v>762</v>
      </c>
      <c r="J3616" s="461" t="s">
        <v>700</v>
      </c>
      <c r="K3616" s="594"/>
      <c r="L3616" s="594"/>
      <c r="M3616" s="352">
        <v>6000</v>
      </c>
      <c r="N3616" s="352" t="s">
        <v>871</v>
      </c>
      <c r="O3616" s="460">
        <v>5131</v>
      </c>
      <c r="P3616" s="460" t="s">
        <v>1889</v>
      </c>
      <c r="Q3616" s="460" t="s">
        <v>2553</v>
      </c>
      <c r="R3616" s="460">
        <v>5131</v>
      </c>
      <c r="S3616" s="460" t="s">
        <v>2324</v>
      </c>
      <c r="T3616" s="462">
        <v>1</v>
      </c>
      <c r="U3616" s="460" t="s">
        <v>2327</v>
      </c>
      <c r="V3616" s="475">
        <v>0</v>
      </c>
      <c r="W3616" s="463" t="s">
        <v>2268</v>
      </c>
      <c r="X3616" s="463" t="s">
        <v>2268</v>
      </c>
      <c r="Y3616" s="463" t="s">
        <v>2554</v>
      </c>
      <c r="Z3616" s="463"/>
      <c r="AA3616" s="463"/>
      <c r="AB3616" s="464">
        <v>0</v>
      </c>
      <c r="AC3616" s="465">
        <v>0</v>
      </c>
      <c r="AD3616" s="465">
        <v>0</v>
      </c>
      <c r="AE3616" s="476">
        <v>0</v>
      </c>
      <c r="AF3616" s="467">
        <v>0</v>
      </c>
      <c r="AG3616" s="468">
        <v>0</v>
      </c>
      <c r="AH3616" s="218">
        <v>0</v>
      </c>
      <c r="AI3616" s="470">
        <v>0</v>
      </c>
      <c r="AJ3616" s="471">
        <v>0</v>
      </c>
      <c r="AK3616" s="218">
        <v>0</v>
      </c>
      <c r="AL3616" s="470">
        <v>0</v>
      </c>
      <c r="AM3616" s="471">
        <v>0</v>
      </c>
      <c r="AN3616" s="477">
        <v>0</v>
      </c>
      <c r="AO3616" s="473">
        <v>0</v>
      </c>
      <c r="AP3616" s="474">
        <v>0</v>
      </c>
      <c r="AQ3616" s="352"/>
      <c r="AR3616" s="352"/>
      <c r="AS3616" s="352"/>
      <c r="AT3616" s="352"/>
      <c r="AU3616" s="352"/>
      <c r="AV3616" s="352"/>
      <c r="AW3616" s="352" t="s">
        <v>254</v>
      </c>
    </row>
    <row r="3617" spans="2:49" x14ac:dyDescent="0.2">
      <c r="B3617" s="460" t="s">
        <v>3432</v>
      </c>
      <c r="C3617" s="460">
        <v>6000</v>
      </c>
      <c r="D3617" s="460" t="s">
        <v>2340</v>
      </c>
      <c r="E3617" s="460" t="s">
        <v>2330</v>
      </c>
      <c r="F3617" s="460">
        <v>3</v>
      </c>
      <c r="G3617" s="460">
        <v>3</v>
      </c>
      <c r="H3617" s="461" t="s">
        <v>746</v>
      </c>
      <c r="I3617" s="461" t="s">
        <v>762</v>
      </c>
      <c r="J3617" s="461" t="s">
        <v>700</v>
      </c>
      <c r="K3617" s="594"/>
      <c r="L3617" s="594"/>
      <c r="M3617" s="352">
        <v>6000</v>
      </c>
      <c r="N3617" s="352" t="s">
        <v>871</v>
      </c>
      <c r="O3617" s="460">
        <v>5131</v>
      </c>
      <c r="P3617" s="460" t="s">
        <v>1889</v>
      </c>
      <c r="Q3617" s="460" t="s">
        <v>2553</v>
      </c>
      <c r="R3617" s="460">
        <v>5131</v>
      </c>
      <c r="S3617" s="460" t="s">
        <v>2324</v>
      </c>
      <c r="T3617" s="462">
        <v>1</v>
      </c>
      <c r="U3617" s="460" t="s">
        <v>2330</v>
      </c>
      <c r="V3617" s="475">
        <v>0</v>
      </c>
      <c r="W3617" s="463" t="s">
        <v>2268</v>
      </c>
      <c r="X3617" s="463" t="s">
        <v>2268</v>
      </c>
      <c r="Y3617" s="463" t="s">
        <v>2554</v>
      </c>
      <c r="Z3617" s="463"/>
      <c r="AA3617" s="463"/>
      <c r="AB3617" s="464">
        <v>0</v>
      </c>
      <c r="AC3617" s="465">
        <v>0</v>
      </c>
      <c r="AD3617" s="465">
        <v>0</v>
      </c>
      <c r="AE3617" s="476">
        <v>0</v>
      </c>
      <c r="AF3617" s="467">
        <v>0</v>
      </c>
      <c r="AG3617" s="468">
        <v>0</v>
      </c>
      <c r="AH3617" s="218">
        <v>0</v>
      </c>
      <c r="AI3617" s="470">
        <v>0</v>
      </c>
      <c r="AJ3617" s="471">
        <v>0</v>
      </c>
      <c r="AK3617" s="218">
        <v>0</v>
      </c>
      <c r="AL3617" s="470">
        <v>0</v>
      </c>
      <c r="AM3617" s="471">
        <v>0</v>
      </c>
      <c r="AN3617" s="477">
        <v>0</v>
      </c>
      <c r="AO3617" s="473">
        <v>0</v>
      </c>
      <c r="AP3617" s="474">
        <v>0</v>
      </c>
      <c r="AQ3617" s="352"/>
      <c r="AR3617" s="352"/>
      <c r="AS3617" s="352"/>
      <c r="AT3617" s="352"/>
      <c r="AU3617" s="352"/>
      <c r="AV3617" s="352"/>
      <c r="AW3617" s="352" t="s">
        <v>254</v>
      </c>
    </row>
    <row r="3618" spans="2:49" x14ac:dyDescent="0.2">
      <c r="B3618" s="460" t="s">
        <v>3433</v>
      </c>
      <c r="C3618" s="460">
        <v>6000</v>
      </c>
      <c r="D3618" s="460" t="s">
        <v>2341</v>
      </c>
      <c r="E3618" s="460" t="s">
        <v>2333</v>
      </c>
      <c r="F3618" s="460">
        <v>4</v>
      </c>
      <c r="G3618" s="460">
        <v>3</v>
      </c>
      <c r="H3618" s="461" t="s">
        <v>746</v>
      </c>
      <c r="I3618" s="461" t="s">
        <v>762</v>
      </c>
      <c r="J3618" s="461" t="s">
        <v>700</v>
      </c>
      <c r="K3618" s="594"/>
      <c r="L3618" s="594"/>
      <c r="M3618" s="352">
        <v>6000</v>
      </c>
      <c r="N3618" s="352" t="s">
        <v>871</v>
      </c>
      <c r="O3618" s="460">
        <v>5131</v>
      </c>
      <c r="P3618" s="460" t="s">
        <v>1889</v>
      </c>
      <c r="Q3618" s="460" t="s">
        <v>2553</v>
      </c>
      <c r="R3618" s="460">
        <v>5131</v>
      </c>
      <c r="S3618" s="460" t="s">
        <v>2333</v>
      </c>
      <c r="T3618" s="462">
        <v>1</v>
      </c>
      <c r="U3618" s="460" t="s">
        <v>2333</v>
      </c>
      <c r="V3618" s="475">
        <v>0</v>
      </c>
      <c r="W3618" s="463" t="s">
        <v>2268</v>
      </c>
      <c r="X3618" s="463" t="s">
        <v>2268</v>
      </c>
      <c r="Y3618" s="463" t="s">
        <v>2554</v>
      </c>
      <c r="Z3618" s="463"/>
      <c r="AA3618" s="463"/>
      <c r="AB3618" s="464">
        <v>0</v>
      </c>
      <c r="AC3618" s="465">
        <v>0</v>
      </c>
      <c r="AD3618" s="465">
        <v>0</v>
      </c>
      <c r="AE3618" s="476">
        <v>0</v>
      </c>
      <c r="AF3618" s="467">
        <v>0</v>
      </c>
      <c r="AG3618" s="468">
        <v>0</v>
      </c>
      <c r="AH3618" s="218">
        <v>0</v>
      </c>
      <c r="AI3618" s="470">
        <v>0</v>
      </c>
      <c r="AJ3618" s="471">
        <v>0</v>
      </c>
      <c r="AK3618" s="218">
        <v>0</v>
      </c>
      <c r="AL3618" s="470">
        <v>0</v>
      </c>
      <c r="AM3618" s="471">
        <v>0</v>
      </c>
      <c r="AN3618" s="477">
        <v>0</v>
      </c>
      <c r="AO3618" s="473">
        <v>0</v>
      </c>
      <c r="AP3618" s="474">
        <v>0</v>
      </c>
      <c r="AQ3618" s="352"/>
      <c r="AR3618" s="352"/>
      <c r="AS3618" s="352"/>
      <c r="AT3618" s="352"/>
      <c r="AU3618" s="352"/>
      <c r="AV3618" s="352"/>
      <c r="AW3618" s="352" t="s">
        <v>254</v>
      </c>
    </row>
    <row r="3619" spans="2:49" x14ac:dyDescent="0.2">
      <c r="B3619" s="460" t="s">
        <v>3430</v>
      </c>
      <c r="C3619" s="460">
        <v>6000</v>
      </c>
      <c r="D3619" s="460" t="s">
        <v>2342</v>
      </c>
      <c r="E3619" s="460" t="s">
        <v>2324</v>
      </c>
      <c r="F3619" s="460">
        <v>1</v>
      </c>
      <c r="G3619" s="460">
        <v>3</v>
      </c>
      <c r="H3619" s="461" t="s">
        <v>748</v>
      </c>
      <c r="I3619" s="461" t="s">
        <v>765</v>
      </c>
      <c r="J3619" s="461" t="s">
        <v>700</v>
      </c>
      <c r="K3619" s="594"/>
      <c r="L3619" s="594"/>
      <c r="M3619" s="352">
        <v>6000</v>
      </c>
      <c r="N3619" s="352" t="s">
        <v>871</v>
      </c>
      <c r="O3619" s="460">
        <v>5131</v>
      </c>
      <c r="P3619" s="460" t="s">
        <v>1889</v>
      </c>
      <c r="Q3619" s="460" t="s">
        <v>2553</v>
      </c>
      <c r="R3619" s="460">
        <v>5131</v>
      </c>
      <c r="S3619" s="460" t="s">
        <v>2324</v>
      </c>
      <c r="T3619" s="462">
        <v>1</v>
      </c>
      <c r="U3619" s="460" t="s">
        <v>2324</v>
      </c>
      <c r="V3619" s="475">
        <v>0</v>
      </c>
      <c r="W3619" s="463" t="s">
        <v>2268</v>
      </c>
      <c r="X3619" s="463" t="s">
        <v>2268</v>
      </c>
      <c r="Y3619" s="463" t="s">
        <v>2554</v>
      </c>
      <c r="Z3619" s="463"/>
      <c r="AA3619" s="463"/>
      <c r="AB3619" s="464">
        <v>0</v>
      </c>
      <c r="AC3619" s="465">
        <v>0</v>
      </c>
      <c r="AD3619" s="465">
        <v>0</v>
      </c>
      <c r="AE3619" s="476">
        <v>0</v>
      </c>
      <c r="AF3619" s="467">
        <v>0</v>
      </c>
      <c r="AG3619" s="468">
        <v>0</v>
      </c>
      <c r="AH3619" s="218">
        <v>0</v>
      </c>
      <c r="AI3619" s="470">
        <v>0</v>
      </c>
      <c r="AJ3619" s="471">
        <v>0</v>
      </c>
      <c r="AK3619" s="218">
        <v>0</v>
      </c>
      <c r="AL3619" s="470">
        <v>0</v>
      </c>
      <c r="AM3619" s="471">
        <v>0</v>
      </c>
      <c r="AN3619" s="477">
        <v>0</v>
      </c>
      <c r="AO3619" s="473">
        <v>0</v>
      </c>
      <c r="AP3619" s="474">
        <v>0</v>
      </c>
      <c r="AQ3619" s="352"/>
      <c r="AR3619" s="352"/>
      <c r="AS3619" s="352"/>
      <c r="AT3619" s="352"/>
      <c r="AU3619" s="352"/>
      <c r="AV3619" s="352"/>
      <c r="AW3619" s="352" t="s">
        <v>254</v>
      </c>
    </row>
    <row r="3620" spans="2:49" x14ac:dyDescent="0.2">
      <c r="B3620" s="460" t="s">
        <v>3431</v>
      </c>
      <c r="C3620" s="460">
        <v>6000</v>
      </c>
      <c r="D3620" s="460" t="s">
        <v>2343</v>
      </c>
      <c r="E3620" s="460" t="s">
        <v>2327</v>
      </c>
      <c r="F3620" s="460">
        <v>2</v>
      </c>
      <c r="G3620" s="460">
        <v>3</v>
      </c>
      <c r="H3620" s="461" t="s">
        <v>748</v>
      </c>
      <c r="I3620" s="461" t="s">
        <v>765</v>
      </c>
      <c r="J3620" s="461" t="s">
        <v>700</v>
      </c>
      <c r="K3620" s="594"/>
      <c r="L3620" s="594"/>
      <c r="M3620" s="352">
        <v>6000</v>
      </c>
      <c r="N3620" s="352" t="s">
        <v>871</v>
      </c>
      <c r="O3620" s="460">
        <v>5131</v>
      </c>
      <c r="P3620" s="460" t="s">
        <v>1889</v>
      </c>
      <c r="Q3620" s="460" t="s">
        <v>2553</v>
      </c>
      <c r="R3620" s="460">
        <v>5131</v>
      </c>
      <c r="S3620" s="460" t="s">
        <v>2324</v>
      </c>
      <c r="T3620" s="462">
        <v>1</v>
      </c>
      <c r="U3620" s="460" t="s">
        <v>2327</v>
      </c>
      <c r="V3620" s="475">
        <v>0</v>
      </c>
      <c r="W3620" s="463" t="s">
        <v>2268</v>
      </c>
      <c r="X3620" s="463" t="s">
        <v>2268</v>
      </c>
      <c r="Y3620" s="463" t="s">
        <v>2554</v>
      </c>
      <c r="Z3620" s="463"/>
      <c r="AA3620" s="463"/>
      <c r="AB3620" s="464">
        <v>0</v>
      </c>
      <c r="AC3620" s="465">
        <v>0</v>
      </c>
      <c r="AD3620" s="465">
        <v>0</v>
      </c>
      <c r="AE3620" s="476">
        <v>0</v>
      </c>
      <c r="AF3620" s="467">
        <v>0</v>
      </c>
      <c r="AG3620" s="468">
        <v>0</v>
      </c>
      <c r="AH3620" s="218">
        <v>0</v>
      </c>
      <c r="AI3620" s="470">
        <v>0</v>
      </c>
      <c r="AJ3620" s="471">
        <v>0</v>
      </c>
      <c r="AK3620" s="218">
        <v>0</v>
      </c>
      <c r="AL3620" s="470">
        <v>0</v>
      </c>
      <c r="AM3620" s="471">
        <v>0</v>
      </c>
      <c r="AN3620" s="477">
        <v>0</v>
      </c>
      <c r="AO3620" s="473">
        <v>0</v>
      </c>
      <c r="AP3620" s="474">
        <v>0</v>
      </c>
      <c r="AQ3620" s="352"/>
      <c r="AR3620" s="352"/>
      <c r="AS3620" s="352"/>
      <c r="AT3620" s="352"/>
      <c r="AU3620" s="352"/>
      <c r="AV3620" s="352"/>
      <c r="AW3620" s="352" t="s">
        <v>254</v>
      </c>
    </row>
    <row r="3621" spans="2:49" x14ac:dyDescent="0.2">
      <c r="B3621" s="460" t="s">
        <v>3432</v>
      </c>
      <c r="C3621" s="460">
        <v>6000</v>
      </c>
      <c r="D3621" s="460" t="s">
        <v>2344</v>
      </c>
      <c r="E3621" s="460" t="s">
        <v>2330</v>
      </c>
      <c r="F3621" s="460">
        <v>3</v>
      </c>
      <c r="G3621" s="460">
        <v>3</v>
      </c>
      <c r="H3621" s="461" t="s">
        <v>748</v>
      </c>
      <c r="I3621" s="461" t="s">
        <v>765</v>
      </c>
      <c r="J3621" s="461" t="s">
        <v>700</v>
      </c>
      <c r="K3621" s="594"/>
      <c r="L3621" s="594"/>
      <c r="M3621" s="352">
        <v>6000</v>
      </c>
      <c r="N3621" s="352" t="s">
        <v>871</v>
      </c>
      <c r="O3621" s="460">
        <v>5131</v>
      </c>
      <c r="P3621" s="460" t="s">
        <v>1889</v>
      </c>
      <c r="Q3621" s="460" t="s">
        <v>2553</v>
      </c>
      <c r="R3621" s="460">
        <v>5131</v>
      </c>
      <c r="S3621" s="460" t="s">
        <v>2324</v>
      </c>
      <c r="T3621" s="462">
        <v>1</v>
      </c>
      <c r="U3621" s="460" t="s">
        <v>2330</v>
      </c>
      <c r="V3621" s="475">
        <v>0</v>
      </c>
      <c r="W3621" s="463" t="s">
        <v>2268</v>
      </c>
      <c r="X3621" s="463" t="s">
        <v>2268</v>
      </c>
      <c r="Y3621" s="463" t="s">
        <v>2554</v>
      </c>
      <c r="Z3621" s="463"/>
      <c r="AA3621" s="463"/>
      <c r="AB3621" s="464">
        <v>0</v>
      </c>
      <c r="AC3621" s="465">
        <v>0</v>
      </c>
      <c r="AD3621" s="465">
        <v>0</v>
      </c>
      <c r="AE3621" s="476">
        <v>0</v>
      </c>
      <c r="AF3621" s="467">
        <v>0</v>
      </c>
      <c r="AG3621" s="468">
        <v>0</v>
      </c>
      <c r="AH3621" s="218">
        <v>0</v>
      </c>
      <c r="AI3621" s="470">
        <v>0</v>
      </c>
      <c r="AJ3621" s="471">
        <v>0</v>
      </c>
      <c r="AK3621" s="218">
        <v>0</v>
      </c>
      <c r="AL3621" s="470">
        <v>0</v>
      </c>
      <c r="AM3621" s="471">
        <v>0</v>
      </c>
      <c r="AN3621" s="477">
        <v>0</v>
      </c>
      <c r="AO3621" s="473">
        <v>0</v>
      </c>
      <c r="AP3621" s="474">
        <v>0</v>
      </c>
      <c r="AQ3621" s="352"/>
      <c r="AR3621" s="352"/>
      <c r="AS3621" s="352"/>
      <c r="AT3621" s="352"/>
      <c r="AU3621" s="352"/>
      <c r="AV3621" s="352"/>
      <c r="AW3621" s="352" t="s">
        <v>254</v>
      </c>
    </row>
    <row r="3622" spans="2:49" x14ac:dyDescent="0.2">
      <c r="B3622" s="460" t="s">
        <v>3433</v>
      </c>
      <c r="C3622" s="460">
        <v>6000</v>
      </c>
      <c r="D3622" s="460" t="s">
        <v>2345</v>
      </c>
      <c r="E3622" s="460" t="s">
        <v>2333</v>
      </c>
      <c r="F3622" s="460">
        <v>4</v>
      </c>
      <c r="G3622" s="460">
        <v>3</v>
      </c>
      <c r="H3622" s="461" t="s">
        <v>748</v>
      </c>
      <c r="I3622" s="461" t="s">
        <v>765</v>
      </c>
      <c r="J3622" s="461" t="s">
        <v>700</v>
      </c>
      <c r="K3622" s="594"/>
      <c r="L3622" s="594"/>
      <c r="M3622" s="352">
        <v>6000</v>
      </c>
      <c r="N3622" s="352" t="s">
        <v>871</v>
      </c>
      <c r="O3622" s="460">
        <v>5131</v>
      </c>
      <c r="P3622" s="460" t="s">
        <v>1889</v>
      </c>
      <c r="Q3622" s="460" t="s">
        <v>2553</v>
      </c>
      <c r="R3622" s="460">
        <v>5131</v>
      </c>
      <c r="S3622" s="460" t="s">
        <v>2333</v>
      </c>
      <c r="T3622" s="462">
        <v>1</v>
      </c>
      <c r="U3622" s="460" t="s">
        <v>2333</v>
      </c>
      <c r="V3622" s="475">
        <v>0</v>
      </c>
      <c r="W3622" s="463" t="s">
        <v>2268</v>
      </c>
      <c r="X3622" s="463" t="s">
        <v>2268</v>
      </c>
      <c r="Y3622" s="463" t="s">
        <v>2554</v>
      </c>
      <c r="Z3622" s="463"/>
      <c r="AA3622" s="463"/>
      <c r="AB3622" s="464">
        <v>0</v>
      </c>
      <c r="AC3622" s="465">
        <v>0</v>
      </c>
      <c r="AD3622" s="465">
        <v>0</v>
      </c>
      <c r="AE3622" s="476">
        <v>0</v>
      </c>
      <c r="AF3622" s="467">
        <v>0</v>
      </c>
      <c r="AG3622" s="468">
        <v>0</v>
      </c>
      <c r="AH3622" s="218">
        <v>0</v>
      </c>
      <c r="AI3622" s="470">
        <v>0</v>
      </c>
      <c r="AJ3622" s="471">
        <v>0</v>
      </c>
      <c r="AK3622" s="218">
        <v>0</v>
      </c>
      <c r="AL3622" s="470">
        <v>0</v>
      </c>
      <c r="AM3622" s="471">
        <v>0</v>
      </c>
      <c r="AN3622" s="477">
        <v>0</v>
      </c>
      <c r="AO3622" s="473">
        <v>0</v>
      </c>
      <c r="AP3622" s="474">
        <v>0</v>
      </c>
      <c r="AQ3622" s="352"/>
      <c r="AR3622" s="352"/>
      <c r="AS3622" s="352"/>
      <c r="AT3622" s="352"/>
      <c r="AU3622" s="352"/>
      <c r="AV3622" s="352"/>
      <c r="AW3622" s="352" t="s">
        <v>254</v>
      </c>
    </row>
    <row r="3623" spans="2:49" x14ac:dyDescent="0.2">
      <c r="B3623" s="460" t="s">
        <v>3434</v>
      </c>
      <c r="C3623" s="460">
        <v>6000</v>
      </c>
      <c r="D3623" s="460" t="s">
        <v>2351</v>
      </c>
      <c r="E3623" s="460" t="s">
        <v>1136</v>
      </c>
      <c r="F3623" s="460">
        <v>1</v>
      </c>
      <c r="G3623" s="460">
        <v>4</v>
      </c>
      <c r="H3623" s="461" t="s">
        <v>700</v>
      </c>
      <c r="I3623" s="461" t="s">
        <v>872</v>
      </c>
      <c r="J3623" s="461" t="s">
        <v>700</v>
      </c>
      <c r="K3623" s="594"/>
      <c r="L3623" s="594"/>
      <c r="M3623" s="352">
        <v>6000</v>
      </c>
      <c r="N3623" s="352" t="s">
        <v>871</v>
      </c>
      <c r="O3623" s="460">
        <v>5131</v>
      </c>
      <c r="P3623" s="460" t="s">
        <v>1889</v>
      </c>
      <c r="Q3623" s="460" t="s">
        <v>2553</v>
      </c>
      <c r="R3623" s="460">
        <v>5131</v>
      </c>
      <c r="S3623" s="460" t="s">
        <v>1136</v>
      </c>
      <c r="T3623" s="462">
        <v>1</v>
      </c>
      <c r="U3623" s="460" t="s">
        <v>1136</v>
      </c>
      <c r="V3623" s="475">
        <v>0</v>
      </c>
      <c r="W3623" s="463" t="s">
        <v>2554</v>
      </c>
      <c r="X3623" s="463" t="s">
        <v>2554</v>
      </c>
      <c r="Y3623" s="463" t="s">
        <v>2268</v>
      </c>
      <c r="Z3623" s="463"/>
      <c r="AA3623" s="463"/>
      <c r="AB3623" s="464">
        <v>0</v>
      </c>
      <c r="AC3623" s="465">
        <v>0</v>
      </c>
      <c r="AD3623" s="465">
        <v>0</v>
      </c>
      <c r="AE3623" s="476">
        <v>0</v>
      </c>
      <c r="AF3623" s="467">
        <v>0</v>
      </c>
      <c r="AG3623" s="468">
        <v>0</v>
      </c>
      <c r="AH3623" s="218">
        <v>0</v>
      </c>
      <c r="AI3623" s="470">
        <v>0</v>
      </c>
      <c r="AJ3623" s="471">
        <v>0</v>
      </c>
      <c r="AK3623" s="218">
        <v>0</v>
      </c>
      <c r="AL3623" s="470">
        <v>0</v>
      </c>
      <c r="AM3623" s="471">
        <v>0</v>
      </c>
      <c r="AN3623" s="477">
        <v>0</v>
      </c>
      <c r="AO3623" s="473">
        <v>0</v>
      </c>
      <c r="AP3623" s="474">
        <v>0</v>
      </c>
      <c r="AQ3623" s="352"/>
      <c r="AR3623" s="352"/>
      <c r="AS3623" s="352"/>
      <c r="AT3623" s="352"/>
      <c r="AU3623" s="352"/>
      <c r="AV3623" s="352"/>
      <c r="AW3623" s="352" t="s">
        <v>254</v>
      </c>
    </row>
    <row r="3624" spans="2:49" x14ac:dyDescent="0.2">
      <c r="B3624" s="460" t="s">
        <v>3435</v>
      </c>
      <c r="C3624" s="460">
        <v>6000</v>
      </c>
      <c r="D3624" s="460" t="s">
        <v>2353</v>
      </c>
      <c r="E3624" s="460" t="s">
        <v>1137</v>
      </c>
      <c r="F3624" s="460">
        <v>2</v>
      </c>
      <c r="G3624" s="460">
        <v>4</v>
      </c>
      <c r="H3624" s="461" t="s">
        <v>700</v>
      </c>
      <c r="I3624" s="461" t="s">
        <v>872</v>
      </c>
      <c r="J3624" s="461" t="s">
        <v>700</v>
      </c>
      <c r="K3624" s="594"/>
      <c r="L3624" s="594"/>
      <c r="M3624" s="352">
        <v>6000</v>
      </c>
      <c r="N3624" s="352" t="s">
        <v>871</v>
      </c>
      <c r="O3624" s="460">
        <v>5131</v>
      </c>
      <c r="P3624" s="460" t="s">
        <v>1889</v>
      </c>
      <c r="Q3624" s="460" t="s">
        <v>2553</v>
      </c>
      <c r="R3624" s="460">
        <v>5131</v>
      </c>
      <c r="S3624" s="460" t="s">
        <v>1137</v>
      </c>
      <c r="T3624" s="462">
        <v>1</v>
      </c>
      <c r="U3624" s="460" t="s">
        <v>1137</v>
      </c>
      <c r="V3624" s="475">
        <v>0</v>
      </c>
      <c r="W3624" s="463" t="s">
        <v>2554</v>
      </c>
      <c r="X3624" s="463" t="s">
        <v>2554</v>
      </c>
      <c r="Y3624" s="463" t="s">
        <v>2268</v>
      </c>
      <c r="Z3624" s="463"/>
      <c r="AA3624" s="463"/>
      <c r="AB3624" s="464">
        <v>0</v>
      </c>
      <c r="AC3624" s="465">
        <v>0</v>
      </c>
      <c r="AD3624" s="465">
        <v>0</v>
      </c>
      <c r="AE3624" s="476">
        <v>0</v>
      </c>
      <c r="AF3624" s="467">
        <v>0</v>
      </c>
      <c r="AG3624" s="468">
        <v>0</v>
      </c>
      <c r="AH3624" s="218">
        <v>0</v>
      </c>
      <c r="AI3624" s="470">
        <v>0</v>
      </c>
      <c r="AJ3624" s="471">
        <v>0</v>
      </c>
      <c r="AK3624" s="218">
        <v>0</v>
      </c>
      <c r="AL3624" s="470">
        <v>0</v>
      </c>
      <c r="AM3624" s="471">
        <v>0</v>
      </c>
      <c r="AN3624" s="477">
        <v>0</v>
      </c>
      <c r="AO3624" s="473">
        <v>0</v>
      </c>
      <c r="AP3624" s="474">
        <v>0</v>
      </c>
      <c r="AQ3624" s="352"/>
      <c r="AR3624" s="352"/>
      <c r="AS3624" s="352"/>
      <c r="AT3624" s="352"/>
      <c r="AU3624" s="352"/>
      <c r="AV3624" s="352"/>
      <c r="AW3624" s="352" t="s">
        <v>254</v>
      </c>
    </row>
    <row r="3625" spans="2:49" x14ac:dyDescent="0.2">
      <c r="B3625" s="460" t="s">
        <v>3436</v>
      </c>
      <c r="C3625" s="460">
        <v>6000</v>
      </c>
      <c r="D3625" s="460" t="s">
        <v>2355</v>
      </c>
      <c r="E3625" s="460" t="s">
        <v>1138</v>
      </c>
      <c r="F3625" s="460">
        <v>3</v>
      </c>
      <c r="G3625" s="460">
        <v>4</v>
      </c>
      <c r="H3625" s="461" t="s">
        <v>700</v>
      </c>
      <c r="I3625" s="461" t="s">
        <v>872</v>
      </c>
      <c r="J3625" s="461" t="s">
        <v>700</v>
      </c>
      <c r="K3625" s="594"/>
      <c r="L3625" s="594"/>
      <c r="M3625" s="352">
        <v>6000</v>
      </c>
      <c r="N3625" s="352" t="s">
        <v>871</v>
      </c>
      <c r="O3625" s="460">
        <v>5131</v>
      </c>
      <c r="P3625" s="460" t="s">
        <v>1889</v>
      </c>
      <c r="Q3625" s="460" t="s">
        <v>2553</v>
      </c>
      <c r="R3625" s="460">
        <v>5131</v>
      </c>
      <c r="S3625" s="460" t="s">
        <v>1138</v>
      </c>
      <c r="T3625" s="462">
        <v>1</v>
      </c>
      <c r="U3625" s="460" t="s">
        <v>1138</v>
      </c>
      <c r="V3625" s="475">
        <v>0</v>
      </c>
      <c r="W3625" s="463" t="s">
        <v>2554</v>
      </c>
      <c r="X3625" s="463" t="s">
        <v>2554</v>
      </c>
      <c r="Y3625" s="463" t="s">
        <v>2268</v>
      </c>
      <c r="Z3625" s="463"/>
      <c r="AA3625" s="463"/>
      <c r="AB3625" s="464">
        <v>0</v>
      </c>
      <c r="AC3625" s="465">
        <v>0</v>
      </c>
      <c r="AD3625" s="465">
        <v>0</v>
      </c>
      <c r="AE3625" s="476">
        <v>0</v>
      </c>
      <c r="AF3625" s="467">
        <v>0</v>
      </c>
      <c r="AG3625" s="468">
        <v>0</v>
      </c>
      <c r="AH3625" s="218">
        <v>0</v>
      </c>
      <c r="AI3625" s="470">
        <v>0</v>
      </c>
      <c r="AJ3625" s="471">
        <v>0</v>
      </c>
      <c r="AK3625" s="218">
        <v>0</v>
      </c>
      <c r="AL3625" s="470">
        <v>0</v>
      </c>
      <c r="AM3625" s="471">
        <v>0</v>
      </c>
      <c r="AN3625" s="477">
        <v>0</v>
      </c>
      <c r="AO3625" s="473">
        <v>0</v>
      </c>
      <c r="AP3625" s="474">
        <v>0</v>
      </c>
      <c r="AQ3625" s="352"/>
      <c r="AR3625" s="352"/>
      <c r="AS3625" s="352"/>
      <c r="AT3625" s="352"/>
      <c r="AU3625" s="352"/>
      <c r="AV3625" s="352"/>
      <c r="AW3625" s="352" t="s">
        <v>254</v>
      </c>
    </row>
    <row r="3626" spans="2:49" x14ac:dyDescent="0.2">
      <c r="B3626" s="460" t="s">
        <v>3437</v>
      </c>
      <c r="C3626" s="460">
        <v>6000</v>
      </c>
      <c r="D3626" s="460" t="s">
        <v>2357</v>
      </c>
      <c r="E3626" s="460" t="s">
        <v>1139</v>
      </c>
      <c r="F3626" s="460">
        <v>4</v>
      </c>
      <c r="G3626" s="460">
        <v>4</v>
      </c>
      <c r="H3626" s="461" t="s">
        <v>700</v>
      </c>
      <c r="I3626" s="461" t="s">
        <v>872</v>
      </c>
      <c r="J3626" s="461" t="s">
        <v>700</v>
      </c>
      <c r="K3626" s="594"/>
      <c r="L3626" s="594"/>
      <c r="M3626" s="352">
        <v>6000</v>
      </c>
      <c r="N3626" s="352" t="s">
        <v>871</v>
      </c>
      <c r="O3626" s="460">
        <v>5131</v>
      </c>
      <c r="P3626" s="460" t="s">
        <v>1889</v>
      </c>
      <c r="Q3626" s="460" t="s">
        <v>2553</v>
      </c>
      <c r="R3626" s="460">
        <v>5131</v>
      </c>
      <c r="S3626" s="460" t="s">
        <v>1139</v>
      </c>
      <c r="T3626" s="462">
        <v>1</v>
      </c>
      <c r="U3626" s="460" t="s">
        <v>1139</v>
      </c>
      <c r="V3626" s="475">
        <v>0</v>
      </c>
      <c r="W3626" s="463" t="s">
        <v>2554</v>
      </c>
      <c r="X3626" s="463" t="s">
        <v>2554</v>
      </c>
      <c r="Y3626" s="463" t="s">
        <v>2268</v>
      </c>
      <c r="Z3626" s="463"/>
      <c r="AA3626" s="463"/>
      <c r="AB3626" s="464">
        <v>0</v>
      </c>
      <c r="AC3626" s="465">
        <v>0</v>
      </c>
      <c r="AD3626" s="465">
        <v>0</v>
      </c>
      <c r="AE3626" s="476">
        <v>0</v>
      </c>
      <c r="AF3626" s="467">
        <v>0</v>
      </c>
      <c r="AG3626" s="468">
        <v>0</v>
      </c>
      <c r="AH3626" s="218">
        <v>0</v>
      </c>
      <c r="AI3626" s="470">
        <v>0</v>
      </c>
      <c r="AJ3626" s="471">
        <v>0</v>
      </c>
      <c r="AK3626" s="218">
        <v>0</v>
      </c>
      <c r="AL3626" s="470">
        <v>0</v>
      </c>
      <c r="AM3626" s="471">
        <v>0</v>
      </c>
      <c r="AN3626" s="477">
        <v>0</v>
      </c>
      <c r="AO3626" s="473">
        <v>0</v>
      </c>
      <c r="AP3626" s="474">
        <v>0</v>
      </c>
      <c r="AQ3626" s="352"/>
      <c r="AR3626" s="352"/>
      <c r="AS3626" s="352"/>
      <c r="AT3626" s="352"/>
      <c r="AU3626" s="352"/>
      <c r="AV3626" s="352"/>
      <c r="AW3626" s="352" t="s">
        <v>254</v>
      </c>
    </row>
    <row r="3627" spans="2:49" x14ac:dyDescent="0.2">
      <c r="B3627" s="460" t="s">
        <v>3434</v>
      </c>
      <c r="C3627" s="460">
        <v>6000</v>
      </c>
      <c r="D3627" s="460" t="s">
        <v>2358</v>
      </c>
      <c r="E3627" s="460" t="s">
        <v>1136</v>
      </c>
      <c r="F3627" s="460">
        <v>1</v>
      </c>
      <c r="G3627" s="460">
        <v>4</v>
      </c>
      <c r="H3627" s="461" t="s">
        <v>712</v>
      </c>
      <c r="I3627" s="461" t="s">
        <v>713</v>
      </c>
      <c r="J3627" s="461" t="s">
        <v>712</v>
      </c>
      <c r="K3627" s="594"/>
      <c r="L3627" s="594"/>
      <c r="M3627" s="352">
        <v>6000</v>
      </c>
      <c r="N3627" s="352" t="s">
        <v>871</v>
      </c>
      <c r="O3627" s="460">
        <v>5131</v>
      </c>
      <c r="P3627" s="460" t="s">
        <v>1889</v>
      </c>
      <c r="Q3627" s="460" t="s">
        <v>2280</v>
      </c>
      <c r="R3627" s="460">
        <v>5131</v>
      </c>
      <c r="S3627" s="460" t="s">
        <v>1136</v>
      </c>
      <c r="T3627" s="462">
        <v>1</v>
      </c>
      <c r="U3627" s="460" t="s">
        <v>1136</v>
      </c>
      <c r="V3627" s="475">
        <v>0</v>
      </c>
      <c r="W3627" s="463" t="s">
        <v>713</v>
      </c>
      <c r="X3627" s="463" t="s">
        <v>713</v>
      </c>
      <c r="Y3627" s="463" t="s">
        <v>713</v>
      </c>
      <c r="Z3627" s="463"/>
      <c r="AA3627" s="463"/>
      <c r="AB3627" s="464">
        <v>95.720074267564854</v>
      </c>
      <c r="AC3627" s="465">
        <v>1</v>
      </c>
      <c r="AD3627" s="465">
        <v>6.3083074488232398E-4</v>
      </c>
      <c r="AE3627" s="476">
        <v>95.720074267564854</v>
      </c>
      <c r="AF3627" s="467">
        <v>1</v>
      </c>
      <c r="AG3627" s="468">
        <v>6.3071374100841314E-4</v>
      </c>
      <c r="AH3627" s="218">
        <v>95.720074267564854</v>
      </c>
      <c r="AI3627" s="470">
        <v>1</v>
      </c>
      <c r="AJ3627" s="471">
        <v>6.3712382474827864E-4</v>
      </c>
      <c r="AK3627" s="218">
        <v>95.720074267564854</v>
      </c>
      <c r="AL3627" s="470">
        <v>1</v>
      </c>
      <c r="AM3627" s="471">
        <v>6.3712382474827864E-4</v>
      </c>
      <c r="AN3627" s="477">
        <v>95.720074267564854</v>
      </c>
      <c r="AO3627" s="473">
        <v>1</v>
      </c>
      <c r="AP3627" s="474">
        <v>6.3608713531534728E-4</v>
      </c>
      <c r="AQ3627" s="352"/>
      <c r="AR3627" s="352"/>
      <c r="AS3627" s="352"/>
      <c r="AT3627" s="352"/>
      <c r="AU3627" s="352"/>
      <c r="AV3627" s="352"/>
      <c r="AW3627" s="352" t="s">
        <v>254</v>
      </c>
    </row>
    <row r="3628" spans="2:49" x14ac:dyDescent="0.2">
      <c r="B3628" s="460" t="s">
        <v>3435</v>
      </c>
      <c r="C3628" s="460">
        <v>6000</v>
      </c>
      <c r="D3628" s="460" t="s">
        <v>2359</v>
      </c>
      <c r="E3628" s="460" t="s">
        <v>1137</v>
      </c>
      <c r="F3628" s="460">
        <v>2</v>
      </c>
      <c r="G3628" s="460">
        <v>4</v>
      </c>
      <c r="H3628" s="461" t="s">
        <v>712</v>
      </c>
      <c r="I3628" s="461" t="s">
        <v>713</v>
      </c>
      <c r="J3628" s="461" t="s">
        <v>712</v>
      </c>
      <c r="K3628" s="594"/>
      <c r="L3628" s="594"/>
      <c r="M3628" s="352">
        <v>6000</v>
      </c>
      <c r="N3628" s="352" t="s">
        <v>871</v>
      </c>
      <c r="O3628" s="460">
        <v>5131</v>
      </c>
      <c r="P3628" s="460" t="s">
        <v>1889</v>
      </c>
      <c r="Q3628" s="460" t="s">
        <v>2280</v>
      </c>
      <c r="R3628" s="460">
        <v>5131</v>
      </c>
      <c r="S3628" s="460" t="s">
        <v>1137</v>
      </c>
      <c r="T3628" s="462">
        <v>1</v>
      </c>
      <c r="U3628" s="460" t="s">
        <v>1137</v>
      </c>
      <c r="V3628" s="475">
        <v>0</v>
      </c>
      <c r="W3628" s="463" t="s">
        <v>713</v>
      </c>
      <c r="X3628" s="463" t="s">
        <v>713</v>
      </c>
      <c r="Y3628" s="463" t="s">
        <v>713</v>
      </c>
      <c r="Z3628" s="463"/>
      <c r="AA3628" s="463"/>
      <c r="AB3628" s="464">
        <v>985.20050995665213</v>
      </c>
      <c r="AC3628" s="465">
        <v>1</v>
      </c>
      <c r="AD3628" s="465">
        <v>5.6975504530435758E-3</v>
      </c>
      <c r="AE3628" s="476">
        <v>985.20050995665213</v>
      </c>
      <c r="AF3628" s="467">
        <v>1</v>
      </c>
      <c r="AG3628" s="468">
        <v>5.6870959309827116E-3</v>
      </c>
      <c r="AH3628" s="218">
        <v>985.20050995665213</v>
      </c>
      <c r="AI3628" s="470">
        <v>1</v>
      </c>
      <c r="AJ3628" s="471">
        <v>5.7140824494708838E-3</v>
      </c>
      <c r="AK3628" s="218">
        <v>985.20050995665213</v>
      </c>
      <c r="AL3628" s="470">
        <v>1</v>
      </c>
      <c r="AM3628" s="471">
        <v>5.7140824494708838E-3</v>
      </c>
      <c r="AN3628" s="477">
        <v>985.20050995665213</v>
      </c>
      <c r="AO3628" s="473">
        <v>1</v>
      </c>
      <c r="AP3628" s="474">
        <v>5.7093675117477639E-3</v>
      </c>
      <c r="AQ3628" s="352"/>
      <c r="AR3628" s="352"/>
      <c r="AS3628" s="352"/>
      <c r="AT3628" s="352"/>
      <c r="AU3628" s="352"/>
      <c r="AV3628" s="352"/>
      <c r="AW3628" s="352" t="s">
        <v>254</v>
      </c>
    </row>
    <row r="3629" spans="2:49" x14ac:dyDescent="0.2">
      <c r="B3629" s="460" t="s">
        <v>3436</v>
      </c>
      <c r="C3629" s="460">
        <v>6000</v>
      </c>
      <c r="D3629" s="460" t="s">
        <v>2360</v>
      </c>
      <c r="E3629" s="460" t="s">
        <v>1138</v>
      </c>
      <c r="F3629" s="460">
        <v>3</v>
      </c>
      <c r="G3629" s="460">
        <v>4</v>
      </c>
      <c r="H3629" s="461" t="s">
        <v>712</v>
      </c>
      <c r="I3629" s="461" t="s">
        <v>713</v>
      </c>
      <c r="J3629" s="461" t="s">
        <v>712</v>
      </c>
      <c r="K3629" s="594"/>
      <c r="L3629" s="594"/>
      <c r="M3629" s="352">
        <v>6000</v>
      </c>
      <c r="N3629" s="352" t="s">
        <v>871</v>
      </c>
      <c r="O3629" s="460">
        <v>5131</v>
      </c>
      <c r="P3629" s="460" t="s">
        <v>1889</v>
      </c>
      <c r="Q3629" s="460" t="s">
        <v>2280</v>
      </c>
      <c r="R3629" s="460">
        <v>5131</v>
      </c>
      <c r="S3629" s="460" t="s">
        <v>1138</v>
      </c>
      <c r="T3629" s="462">
        <v>1</v>
      </c>
      <c r="U3629" s="460" t="s">
        <v>1138</v>
      </c>
      <c r="V3629" s="475">
        <v>0</v>
      </c>
      <c r="W3629" s="463" t="s">
        <v>713</v>
      </c>
      <c r="X3629" s="463" t="s">
        <v>713</v>
      </c>
      <c r="Y3629" s="463" t="s">
        <v>713</v>
      </c>
      <c r="Z3629" s="463"/>
      <c r="AA3629" s="463"/>
      <c r="AB3629" s="464">
        <v>893.10660934951875</v>
      </c>
      <c r="AC3629" s="465">
        <v>1</v>
      </c>
      <c r="AD3629" s="465">
        <v>1.1145565628313179E-2</v>
      </c>
      <c r="AE3629" s="476">
        <v>893.10660934951875</v>
      </c>
      <c r="AF3629" s="467">
        <v>1</v>
      </c>
      <c r="AG3629" s="468">
        <v>1.112138481533614E-2</v>
      </c>
      <c r="AH3629" s="218">
        <v>893.10660934951875</v>
      </c>
      <c r="AI3629" s="470">
        <v>1</v>
      </c>
      <c r="AJ3629" s="471">
        <v>1.1251787197807041E-2</v>
      </c>
      <c r="AK3629" s="218">
        <v>893.10660934951875</v>
      </c>
      <c r="AL3629" s="470">
        <v>1</v>
      </c>
      <c r="AM3629" s="471">
        <v>1.1251787197807041E-2</v>
      </c>
      <c r="AN3629" s="477">
        <v>893.10660934951875</v>
      </c>
      <c r="AO3629" s="473">
        <v>1</v>
      </c>
      <c r="AP3629" s="474">
        <v>1.1250939217146181E-2</v>
      </c>
      <c r="AQ3629" s="352"/>
      <c r="AR3629" s="352"/>
      <c r="AS3629" s="352"/>
      <c r="AT3629" s="352"/>
      <c r="AU3629" s="352"/>
      <c r="AV3629" s="352"/>
      <c r="AW3629" s="352" t="s">
        <v>254</v>
      </c>
    </row>
    <row r="3630" spans="2:49" x14ac:dyDescent="0.2">
      <c r="B3630" s="460" t="s">
        <v>3437</v>
      </c>
      <c r="C3630" s="460">
        <v>6000</v>
      </c>
      <c r="D3630" s="460" t="s">
        <v>2361</v>
      </c>
      <c r="E3630" s="460" t="s">
        <v>1139</v>
      </c>
      <c r="F3630" s="460">
        <v>4</v>
      </c>
      <c r="G3630" s="460">
        <v>4</v>
      </c>
      <c r="H3630" s="461" t="s">
        <v>712</v>
      </c>
      <c r="I3630" s="461" t="s">
        <v>713</v>
      </c>
      <c r="J3630" s="461" t="s">
        <v>712</v>
      </c>
      <c r="K3630" s="594"/>
      <c r="L3630" s="594"/>
      <c r="M3630" s="352">
        <v>6000</v>
      </c>
      <c r="N3630" s="352" t="s">
        <v>871</v>
      </c>
      <c r="O3630" s="460">
        <v>5131</v>
      </c>
      <c r="P3630" s="460" t="s">
        <v>1889</v>
      </c>
      <c r="Q3630" s="460" t="s">
        <v>2280</v>
      </c>
      <c r="R3630" s="460">
        <v>5131</v>
      </c>
      <c r="S3630" s="460" t="s">
        <v>1139</v>
      </c>
      <c r="T3630" s="462">
        <v>1</v>
      </c>
      <c r="U3630" s="460" t="s">
        <v>1139</v>
      </c>
      <c r="V3630" s="475">
        <v>0</v>
      </c>
      <c r="W3630" s="463" t="s">
        <v>713</v>
      </c>
      <c r="X3630" s="463" t="s">
        <v>713</v>
      </c>
      <c r="Y3630" s="463" t="s">
        <v>713</v>
      </c>
      <c r="Z3630" s="463"/>
      <c r="AA3630" s="463"/>
      <c r="AB3630" s="464">
        <v>1001.8546095517221</v>
      </c>
      <c r="AC3630" s="465">
        <v>1</v>
      </c>
      <c r="AD3630" s="465">
        <v>1.1092770005813896E-2</v>
      </c>
      <c r="AE3630" s="476">
        <v>1001.8546095517221</v>
      </c>
      <c r="AF3630" s="467">
        <v>1</v>
      </c>
      <c r="AG3630" s="468">
        <v>1.1092770005813896E-2</v>
      </c>
      <c r="AH3630" s="218">
        <v>1001.8546095517221</v>
      </c>
      <c r="AI3630" s="470">
        <v>1</v>
      </c>
      <c r="AJ3630" s="471">
        <v>1.1331351719499064E-2</v>
      </c>
      <c r="AK3630" s="218">
        <v>1001.8546095517221</v>
      </c>
      <c r="AL3630" s="470">
        <v>1</v>
      </c>
      <c r="AM3630" s="471">
        <v>1.1331351719499064E-2</v>
      </c>
      <c r="AN3630" s="477">
        <v>1001.8546095517221</v>
      </c>
      <c r="AO3630" s="473">
        <v>1</v>
      </c>
      <c r="AP3630" s="474">
        <v>1.1331351719499064E-2</v>
      </c>
      <c r="AQ3630" s="352"/>
      <c r="AR3630" s="352"/>
      <c r="AS3630" s="352"/>
      <c r="AT3630" s="352"/>
      <c r="AU3630" s="352"/>
      <c r="AV3630" s="352"/>
      <c r="AW3630" s="352" t="s">
        <v>254</v>
      </c>
    </row>
    <row r="3631" spans="2:49" x14ac:dyDescent="0.2">
      <c r="B3631" s="460" t="s">
        <v>3434</v>
      </c>
      <c r="C3631" s="460">
        <v>6000</v>
      </c>
      <c r="D3631" s="460" t="s">
        <v>2570</v>
      </c>
      <c r="E3631" s="460" t="s">
        <v>1136</v>
      </c>
      <c r="F3631" s="460">
        <v>1</v>
      </c>
      <c r="G3631" s="460">
        <v>4</v>
      </c>
      <c r="H3631" s="461" t="s">
        <v>719</v>
      </c>
      <c r="I3631" s="461" t="s">
        <v>720</v>
      </c>
      <c r="J3631" s="461" t="s">
        <v>719</v>
      </c>
      <c r="K3631" s="594"/>
      <c r="L3631" s="594"/>
      <c r="M3631" s="352">
        <v>6000</v>
      </c>
      <c r="N3631" s="352" t="s">
        <v>871</v>
      </c>
      <c r="O3631" s="460">
        <v>5131</v>
      </c>
      <c r="P3631" s="460" t="s">
        <v>1889</v>
      </c>
      <c r="Q3631" s="460" t="s">
        <v>3374</v>
      </c>
      <c r="R3631" s="460">
        <v>5131</v>
      </c>
      <c r="S3631" s="460" t="s">
        <v>1136</v>
      </c>
      <c r="T3631" s="462">
        <v>1</v>
      </c>
      <c r="U3631" s="460" t="s">
        <v>1136</v>
      </c>
      <c r="V3631" s="475">
        <v>0</v>
      </c>
      <c r="W3631" s="463" t="s">
        <v>2278</v>
      </c>
      <c r="X3631" s="463" t="s">
        <v>2278</v>
      </c>
      <c r="Y3631" s="463" t="s">
        <v>2278</v>
      </c>
      <c r="Z3631" s="463"/>
      <c r="AA3631" s="463"/>
      <c r="AB3631" s="464">
        <v>0</v>
      </c>
      <c r="AC3631" s="465">
        <v>0</v>
      </c>
      <c r="AD3631" s="465">
        <v>0</v>
      </c>
      <c r="AE3631" s="476">
        <v>0</v>
      </c>
      <c r="AF3631" s="467">
        <v>0</v>
      </c>
      <c r="AG3631" s="468">
        <v>0</v>
      </c>
      <c r="AH3631" s="218">
        <v>0</v>
      </c>
      <c r="AI3631" s="470">
        <v>0</v>
      </c>
      <c r="AJ3631" s="471">
        <v>0</v>
      </c>
      <c r="AK3631" s="218">
        <v>0</v>
      </c>
      <c r="AL3631" s="470">
        <v>0</v>
      </c>
      <c r="AM3631" s="471">
        <v>0</v>
      </c>
      <c r="AN3631" s="477">
        <v>0</v>
      </c>
      <c r="AO3631" s="473">
        <v>0</v>
      </c>
      <c r="AP3631" s="474">
        <v>0</v>
      </c>
      <c r="AQ3631" s="352"/>
      <c r="AR3631" s="352"/>
      <c r="AS3631" s="352"/>
      <c r="AT3631" s="352"/>
      <c r="AU3631" s="352"/>
      <c r="AV3631" s="352"/>
      <c r="AW3631" s="352" t="s">
        <v>254</v>
      </c>
    </row>
    <row r="3632" spans="2:49" x14ac:dyDescent="0.2">
      <c r="B3632" s="460" t="s">
        <v>3435</v>
      </c>
      <c r="C3632" s="460">
        <v>6000</v>
      </c>
      <c r="D3632" s="460" t="s">
        <v>2572</v>
      </c>
      <c r="E3632" s="460" t="s">
        <v>1137</v>
      </c>
      <c r="F3632" s="460">
        <v>2</v>
      </c>
      <c r="G3632" s="460">
        <v>4</v>
      </c>
      <c r="H3632" s="461" t="s">
        <v>719</v>
      </c>
      <c r="I3632" s="461" t="s">
        <v>720</v>
      </c>
      <c r="J3632" s="461" t="s">
        <v>719</v>
      </c>
      <c r="K3632" s="594"/>
      <c r="L3632" s="594"/>
      <c r="M3632" s="352">
        <v>6000</v>
      </c>
      <c r="N3632" s="352" t="s">
        <v>871</v>
      </c>
      <c r="O3632" s="460">
        <v>5131</v>
      </c>
      <c r="P3632" s="460" t="s">
        <v>1889</v>
      </c>
      <c r="Q3632" s="460" t="s">
        <v>3374</v>
      </c>
      <c r="R3632" s="460">
        <v>5131</v>
      </c>
      <c r="S3632" s="460" t="s">
        <v>1137</v>
      </c>
      <c r="T3632" s="462">
        <v>1</v>
      </c>
      <c r="U3632" s="460" t="s">
        <v>1137</v>
      </c>
      <c r="V3632" s="475">
        <v>0</v>
      </c>
      <c r="W3632" s="463" t="s">
        <v>2278</v>
      </c>
      <c r="X3632" s="463" t="s">
        <v>2278</v>
      </c>
      <c r="Y3632" s="463" t="s">
        <v>2278</v>
      </c>
      <c r="Z3632" s="463"/>
      <c r="AA3632" s="463"/>
      <c r="AB3632" s="464">
        <v>0</v>
      </c>
      <c r="AC3632" s="465">
        <v>0</v>
      </c>
      <c r="AD3632" s="465">
        <v>0</v>
      </c>
      <c r="AE3632" s="476">
        <v>0</v>
      </c>
      <c r="AF3632" s="467">
        <v>0</v>
      </c>
      <c r="AG3632" s="468">
        <v>0</v>
      </c>
      <c r="AH3632" s="218">
        <v>0</v>
      </c>
      <c r="AI3632" s="470">
        <v>0</v>
      </c>
      <c r="AJ3632" s="471">
        <v>0</v>
      </c>
      <c r="AK3632" s="218">
        <v>0</v>
      </c>
      <c r="AL3632" s="470">
        <v>0</v>
      </c>
      <c r="AM3632" s="471">
        <v>0</v>
      </c>
      <c r="AN3632" s="477">
        <v>0</v>
      </c>
      <c r="AO3632" s="473">
        <v>0</v>
      </c>
      <c r="AP3632" s="474">
        <v>0</v>
      </c>
      <c r="AQ3632" s="352"/>
      <c r="AR3632" s="352"/>
      <c r="AS3632" s="352"/>
      <c r="AT3632" s="352"/>
      <c r="AU3632" s="352"/>
      <c r="AV3632" s="352"/>
      <c r="AW3632" s="352" t="s">
        <v>254</v>
      </c>
    </row>
    <row r="3633" spans="2:49" x14ac:dyDescent="0.2">
      <c r="B3633" s="460" t="s">
        <v>3436</v>
      </c>
      <c r="C3633" s="460">
        <v>6000</v>
      </c>
      <c r="D3633" s="460" t="s">
        <v>2573</v>
      </c>
      <c r="E3633" s="460" t="s">
        <v>1138</v>
      </c>
      <c r="F3633" s="460">
        <v>3</v>
      </c>
      <c r="G3633" s="460">
        <v>4</v>
      </c>
      <c r="H3633" s="461" t="s">
        <v>719</v>
      </c>
      <c r="I3633" s="461" t="s">
        <v>720</v>
      </c>
      <c r="J3633" s="461" t="s">
        <v>719</v>
      </c>
      <c r="K3633" s="594"/>
      <c r="L3633" s="594"/>
      <c r="M3633" s="352">
        <v>6000</v>
      </c>
      <c r="N3633" s="352" t="s">
        <v>871</v>
      </c>
      <c r="O3633" s="460">
        <v>5131</v>
      </c>
      <c r="P3633" s="460" t="s">
        <v>1889</v>
      </c>
      <c r="Q3633" s="460" t="s">
        <v>3374</v>
      </c>
      <c r="R3633" s="460">
        <v>5131</v>
      </c>
      <c r="S3633" s="460" t="s">
        <v>1138</v>
      </c>
      <c r="T3633" s="462">
        <v>1</v>
      </c>
      <c r="U3633" s="460" t="s">
        <v>1138</v>
      </c>
      <c r="V3633" s="475">
        <v>0</v>
      </c>
      <c r="W3633" s="463" t="s">
        <v>2278</v>
      </c>
      <c r="X3633" s="463" t="s">
        <v>2278</v>
      </c>
      <c r="Y3633" s="463" t="s">
        <v>2278</v>
      </c>
      <c r="Z3633" s="463"/>
      <c r="AA3633" s="463"/>
      <c r="AB3633" s="464">
        <v>0</v>
      </c>
      <c r="AC3633" s="465">
        <v>0</v>
      </c>
      <c r="AD3633" s="465">
        <v>0</v>
      </c>
      <c r="AE3633" s="476">
        <v>0</v>
      </c>
      <c r="AF3633" s="467">
        <v>0</v>
      </c>
      <c r="AG3633" s="468">
        <v>0</v>
      </c>
      <c r="AH3633" s="218">
        <v>0</v>
      </c>
      <c r="AI3633" s="470">
        <v>0</v>
      </c>
      <c r="AJ3633" s="471">
        <v>0</v>
      </c>
      <c r="AK3633" s="218">
        <v>0</v>
      </c>
      <c r="AL3633" s="470">
        <v>0</v>
      </c>
      <c r="AM3633" s="471">
        <v>0</v>
      </c>
      <c r="AN3633" s="477">
        <v>0</v>
      </c>
      <c r="AO3633" s="473">
        <v>0</v>
      </c>
      <c r="AP3633" s="474">
        <v>0</v>
      </c>
      <c r="AQ3633" s="352"/>
      <c r="AR3633" s="352"/>
      <c r="AS3633" s="352"/>
      <c r="AT3633" s="352"/>
      <c r="AU3633" s="352"/>
      <c r="AV3633" s="352"/>
      <c r="AW3633" s="352" t="s">
        <v>254</v>
      </c>
    </row>
    <row r="3634" spans="2:49" x14ac:dyDescent="0.2">
      <c r="B3634" s="460" t="s">
        <v>3437</v>
      </c>
      <c r="C3634" s="460">
        <v>6000</v>
      </c>
      <c r="D3634" s="460" t="s">
        <v>2574</v>
      </c>
      <c r="E3634" s="460" t="s">
        <v>1139</v>
      </c>
      <c r="F3634" s="460">
        <v>4</v>
      </c>
      <c r="G3634" s="460">
        <v>4</v>
      </c>
      <c r="H3634" s="461" t="s">
        <v>719</v>
      </c>
      <c r="I3634" s="461" t="s">
        <v>720</v>
      </c>
      <c r="J3634" s="461" t="s">
        <v>719</v>
      </c>
      <c r="K3634" s="594"/>
      <c r="L3634" s="594"/>
      <c r="M3634" s="352">
        <v>6000</v>
      </c>
      <c r="N3634" s="352" t="s">
        <v>871</v>
      </c>
      <c r="O3634" s="460">
        <v>5131</v>
      </c>
      <c r="P3634" s="460" t="s">
        <v>1889</v>
      </c>
      <c r="Q3634" s="460" t="s">
        <v>3374</v>
      </c>
      <c r="R3634" s="460">
        <v>5131</v>
      </c>
      <c r="S3634" s="460" t="s">
        <v>1139</v>
      </c>
      <c r="T3634" s="462">
        <v>1</v>
      </c>
      <c r="U3634" s="460" t="s">
        <v>1139</v>
      </c>
      <c r="V3634" s="475">
        <v>0</v>
      </c>
      <c r="W3634" s="463" t="s">
        <v>2278</v>
      </c>
      <c r="X3634" s="463" t="s">
        <v>2278</v>
      </c>
      <c r="Y3634" s="463" t="s">
        <v>2278</v>
      </c>
      <c r="Z3634" s="463"/>
      <c r="AA3634" s="463"/>
      <c r="AB3634" s="464">
        <v>0</v>
      </c>
      <c r="AC3634" s="465">
        <v>0</v>
      </c>
      <c r="AD3634" s="465">
        <v>0</v>
      </c>
      <c r="AE3634" s="476">
        <v>0</v>
      </c>
      <c r="AF3634" s="467">
        <v>0</v>
      </c>
      <c r="AG3634" s="468">
        <v>0</v>
      </c>
      <c r="AH3634" s="218">
        <v>0</v>
      </c>
      <c r="AI3634" s="470">
        <v>0</v>
      </c>
      <c r="AJ3634" s="471">
        <v>0</v>
      </c>
      <c r="AK3634" s="218">
        <v>0</v>
      </c>
      <c r="AL3634" s="470">
        <v>0</v>
      </c>
      <c r="AM3634" s="471">
        <v>0</v>
      </c>
      <c r="AN3634" s="477">
        <v>0</v>
      </c>
      <c r="AO3634" s="473">
        <v>0</v>
      </c>
      <c r="AP3634" s="474">
        <v>0</v>
      </c>
      <c r="AQ3634" s="352"/>
      <c r="AR3634" s="352"/>
      <c r="AS3634" s="352"/>
      <c r="AT3634" s="352"/>
      <c r="AU3634" s="352"/>
      <c r="AV3634" s="352"/>
      <c r="AW3634" s="352" t="s">
        <v>254</v>
      </c>
    </row>
    <row r="3635" spans="2:49" x14ac:dyDescent="0.2">
      <c r="B3635" s="460" t="s">
        <v>3434</v>
      </c>
      <c r="C3635" s="460">
        <v>6000</v>
      </c>
      <c r="D3635" s="460" t="s">
        <v>2362</v>
      </c>
      <c r="E3635" s="460" t="s">
        <v>1136</v>
      </c>
      <c r="F3635" s="460">
        <v>1</v>
      </c>
      <c r="G3635" s="460">
        <v>4</v>
      </c>
      <c r="H3635" s="461" t="s">
        <v>746</v>
      </c>
      <c r="I3635" s="461" t="s">
        <v>762</v>
      </c>
      <c r="J3635" s="461" t="s">
        <v>700</v>
      </c>
      <c r="K3635" s="594"/>
      <c r="L3635" s="594"/>
      <c r="M3635" s="352">
        <v>6000</v>
      </c>
      <c r="N3635" s="352" t="s">
        <v>871</v>
      </c>
      <c r="O3635" s="460">
        <v>5131</v>
      </c>
      <c r="P3635" s="460" t="s">
        <v>1889</v>
      </c>
      <c r="Q3635" s="460" t="s">
        <v>2553</v>
      </c>
      <c r="R3635" s="460">
        <v>5131</v>
      </c>
      <c r="S3635" s="460" t="s">
        <v>1136</v>
      </c>
      <c r="T3635" s="462">
        <v>1</v>
      </c>
      <c r="U3635" s="460" t="s">
        <v>1136</v>
      </c>
      <c r="V3635" s="475">
        <v>0</v>
      </c>
      <c r="W3635" s="463" t="s">
        <v>2268</v>
      </c>
      <c r="X3635" s="463" t="s">
        <v>2268</v>
      </c>
      <c r="Y3635" s="463" t="s">
        <v>2554</v>
      </c>
      <c r="Z3635" s="463"/>
      <c r="AA3635" s="463"/>
      <c r="AB3635" s="464">
        <v>0</v>
      </c>
      <c r="AC3635" s="465">
        <v>0</v>
      </c>
      <c r="AD3635" s="465">
        <v>0</v>
      </c>
      <c r="AE3635" s="476">
        <v>0</v>
      </c>
      <c r="AF3635" s="467">
        <v>0</v>
      </c>
      <c r="AG3635" s="468">
        <v>0</v>
      </c>
      <c r="AH3635" s="218">
        <v>0</v>
      </c>
      <c r="AI3635" s="470">
        <v>0</v>
      </c>
      <c r="AJ3635" s="471">
        <v>0</v>
      </c>
      <c r="AK3635" s="218">
        <v>0</v>
      </c>
      <c r="AL3635" s="470">
        <v>0</v>
      </c>
      <c r="AM3635" s="471">
        <v>0</v>
      </c>
      <c r="AN3635" s="477">
        <v>0</v>
      </c>
      <c r="AO3635" s="473">
        <v>0</v>
      </c>
      <c r="AP3635" s="474">
        <v>0</v>
      </c>
      <c r="AQ3635" s="352"/>
      <c r="AR3635" s="352"/>
      <c r="AS3635" s="352"/>
      <c r="AT3635" s="352"/>
      <c r="AU3635" s="352"/>
      <c r="AV3635" s="352"/>
      <c r="AW3635" s="352" t="s">
        <v>254</v>
      </c>
    </row>
    <row r="3636" spans="2:49" x14ac:dyDescent="0.2">
      <c r="B3636" s="460" t="s">
        <v>3435</v>
      </c>
      <c r="C3636" s="460">
        <v>6000</v>
      </c>
      <c r="D3636" s="460" t="s">
        <v>2363</v>
      </c>
      <c r="E3636" s="460" t="s">
        <v>1137</v>
      </c>
      <c r="F3636" s="460">
        <v>2</v>
      </c>
      <c r="G3636" s="460">
        <v>4</v>
      </c>
      <c r="H3636" s="461" t="s">
        <v>746</v>
      </c>
      <c r="I3636" s="461" t="s">
        <v>762</v>
      </c>
      <c r="J3636" s="461" t="s">
        <v>700</v>
      </c>
      <c r="K3636" s="594"/>
      <c r="L3636" s="594"/>
      <c r="M3636" s="352">
        <v>6000</v>
      </c>
      <c r="N3636" s="352" t="s">
        <v>871</v>
      </c>
      <c r="O3636" s="460">
        <v>5131</v>
      </c>
      <c r="P3636" s="460" t="s">
        <v>1889</v>
      </c>
      <c r="Q3636" s="460" t="s">
        <v>2553</v>
      </c>
      <c r="R3636" s="460">
        <v>5131</v>
      </c>
      <c r="S3636" s="460" t="s">
        <v>1137</v>
      </c>
      <c r="T3636" s="462">
        <v>1</v>
      </c>
      <c r="U3636" s="460" t="s">
        <v>1137</v>
      </c>
      <c r="V3636" s="475">
        <v>0</v>
      </c>
      <c r="W3636" s="463" t="s">
        <v>2268</v>
      </c>
      <c r="X3636" s="463" t="s">
        <v>2268</v>
      </c>
      <c r="Y3636" s="463" t="s">
        <v>2554</v>
      </c>
      <c r="Z3636" s="463"/>
      <c r="AA3636" s="463"/>
      <c r="AB3636" s="464">
        <v>0</v>
      </c>
      <c r="AC3636" s="465">
        <v>0</v>
      </c>
      <c r="AD3636" s="465">
        <v>0</v>
      </c>
      <c r="AE3636" s="476">
        <v>0</v>
      </c>
      <c r="AF3636" s="467">
        <v>0</v>
      </c>
      <c r="AG3636" s="468">
        <v>0</v>
      </c>
      <c r="AH3636" s="218">
        <v>0</v>
      </c>
      <c r="AI3636" s="470">
        <v>0</v>
      </c>
      <c r="AJ3636" s="471">
        <v>0</v>
      </c>
      <c r="AK3636" s="218">
        <v>0</v>
      </c>
      <c r="AL3636" s="470">
        <v>0</v>
      </c>
      <c r="AM3636" s="471">
        <v>0</v>
      </c>
      <c r="AN3636" s="477">
        <v>0</v>
      </c>
      <c r="AO3636" s="473">
        <v>0</v>
      </c>
      <c r="AP3636" s="474">
        <v>0</v>
      </c>
      <c r="AQ3636" s="352"/>
      <c r="AR3636" s="352"/>
      <c r="AS3636" s="352"/>
      <c r="AT3636" s="352"/>
      <c r="AU3636" s="352"/>
      <c r="AV3636" s="352"/>
      <c r="AW3636" s="352" t="s">
        <v>254</v>
      </c>
    </row>
    <row r="3637" spans="2:49" x14ac:dyDescent="0.2">
      <c r="B3637" s="460" t="s">
        <v>3436</v>
      </c>
      <c r="C3637" s="460">
        <v>6000</v>
      </c>
      <c r="D3637" s="460" t="s">
        <v>2364</v>
      </c>
      <c r="E3637" s="460" t="s">
        <v>1138</v>
      </c>
      <c r="F3637" s="460">
        <v>3</v>
      </c>
      <c r="G3637" s="460">
        <v>4</v>
      </c>
      <c r="H3637" s="461" t="s">
        <v>746</v>
      </c>
      <c r="I3637" s="461" t="s">
        <v>762</v>
      </c>
      <c r="J3637" s="461" t="s">
        <v>700</v>
      </c>
      <c r="K3637" s="594"/>
      <c r="L3637" s="594"/>
      <c r="M3637" s="352">
        <v>6000</v>
      </c>
      <c r="N3637" s="352" t="s">
        <v>871</v>
      </c>
      <c r="O3637" s="460">
        <v>5131</v>
      </c>
      <c r="P3637" s="460" t="s">
        <v>1889</v>
      </c>
      <c r="Q3637" s="460" t="s">
        <v>2553</v>
      </c>
      <c r="R3637" s="460">
        <v>5131</v>
      </c>
      <c r="S3637" s="460" t="s">
        <v>1138</v>
      </c>
      <c r="T3637" s="462">
        <v>1</v>
      </c>
      <c r="U3637" s="460" t="s">
        <v>1138</v>
      </c>
      <c r="V3637" s="475">
        <v>0</v>
      </c>
      <c r="W3637" s="463" t="s">
        <v>2268</v>
      </c>
      <c r="X3637" s="463" t="s">
        <v>2268</v>
      </c>
      <c r="Y3637" s="463" t="s">
        <v>2554</v>
      </c>
      <c r="Z3637" s="463"/>
      <c r="AA3637" s="463"/>
      <c r="AB3637" s="464">
        <v>0</v>
      </c>
      <c r="AC3637" s="465">
        <v>0</v>
      </c>
      <c r="AD3637" s="465">
        <v>0</v>
      </c>
      <c r="AE3637" s="476">
        <v>0</v>
      </c>
      <c r="AF3637" s="467">
        <v>0</v>
      </c>
      <c r="AG3637" s="468">
        <v>0</v>
      </c>
      <c r="AH3637" s="218">
        <v>0</v>
      </c>
      <c r="AI3637" s="470">
        <v>0</v>
      </c>
      <c r="AJ3637" s="471">
        <v>0</v>
      </c>
      <c r="AK3637" s="218">
        <v>0</v>
      </c>
      <c r="AL3637" s="470">
        <v>0</v>
      </c>
      <c r="AM3637" s="471">
        <v>0</v>
      </c>
      <c r="AN3637" s="477">
        <v>0</v>
      </c>
      <c r="AO3637" s="473">
        <v>0</v>
      </c>
      <c r="AP3637" s="474">
        <v>0</v>
      </c>
      <c r="AQ3637" s="352"/>
      <c r="AR3637" s="352"/>
      <c r="AS3637" s="352"/>
      <c r="AT3637" s="352"/>
      <c r="AU3637" s="352"/>
      <c r="AV3637" s="352"/>
      <c r="AW3637" s="352" t="s">
        <v>254</v>
      </c>
    </row>
    <row r="3638" spans="2:49" x14ac:dyDescent="0.2">
      <c r="B3638" s="460" t="s">
        <v>3437</v>
      </c>
      <c r="C3638" s="460">
        <v>6000</v>
      </c>
      <c r="D3638" s="460" t="s">
        <v>2365</v>
      </c>
      <c r="E3638" s="460" t="s">
        <v>1139</v>
      </c>
      <c r="F3638" s="460">
        <v>4</v>
      </c>
      <c r="G3638" s="460">
        <v>4</v>
      </c>
      <c r="H3638" s="461" t="s">
        <v>746</v>
      </c>
      <c r="I3638" s="461" t="s">
        <v>762</v>
      </c>
      <c r="J3638" s="461" t="s">
        <v>700</v>
      </c>
      <c r="K3638" s="594"/>
      <c r="L3638" s="594"/>
      <c r="M3638" s="352">
        <v>6000</v>
      </c>
      <c r="N3638" s="352" t="s">
        <v>871</v>
      </c>
      <c r="O3638" s="460">
        <v>5131</v>
      </c>
      <c r="P3638" s="460" t="s">
        <v>1889</v>
      </c>
      <c r="Q3638" s="460" t="s">
        <v>2553</v>
      </c>
      <c r="R3638" s="460">
        <v>5131</v>
      </c>
      <c r="S3638" s="460" t="s">
        <v>1139</v>
      </c>
      <c r="T3638" s="462">
        <v>1</v>
      </c>
      <c r="U3638" s="460" t="s">
        <v>1139</v>
      </c>
      <c r="V3638" s="475">
        <v>0</v>
      </c>
      <c r="W3638" s="463" t="s">
        <v>2268</v>
      </c>
      <c r="X3638" s="463" t="s">
        <v>2268</v>
      </c>
      <c r="Y3638" s="463" t="s">
        <v>2554</v>
      </c>
      <c r="Z3638" s="463"/>
      <c r="AA3638" s="463"/>
      <c r="AB3638" s="464">
        <v>0</v>
      </c>
      <c r="AC3638" s="465">
        <v>0</v>
      </c>
      <c r="AD3638" s="465">
        <v>0</v>
      </c>
      <c r="AE3638" s="476">
        <v>0</v>
      </c>
      <c r="AF3638" s="467">
        <v>0</v>
      </c>
      <c r="AG3638" s="468">
        <v>0</v>
      </c>
      <c r="AH3638" s="218">
        <v>0</v>
      </c>
      <c r="AI3638" s="470">
        <v>0</v>
      </c>
      <c r="AJ3638" s="471">
        <v>0</v>
      </c>
      <c r="AK3638" s="218">
        <v>0</v>
      </c>
      <c r="AL3638" s="470">
        <v>0</v>
      </c>
      <c r="AM3638" s="471">
        <v>0</v>
      </c>
      <c r="AN3638" s="477">
        <v>0</v>
      </c>
      <c r="AO3638" s="473">
        <v>0</v>
      </c>
      <c r="AP3638" s="474">
        <v>0</v>
      </c>
      <c r="AQ3638" s="352"/>
      <c r="AR3638" s="352"/>
      <c r="AS3638" s="352"/>
      <c r="AT3638" s="352"/>
      <c r="AU3638" s="352"/>
      <c r="AV3638" s="352"/>
      <c r="AW3638" s="352" t="s">
        <v>254</v>
      </c>
    </row>
    <row r="3639" spans="2:49" x14ac:dyDescent="0.2">
      <c r="B3639" s="460" t="s">
        <v>3434</v>
      </c>
      <c r="C3639" s="460">
        <v>6000</v>
      </c>
      <c r="D3639" s="460" t="s">
        <v>2366</v>
      </c>
      <c r="E3639" s="460" t="s">
        <v>1136</v>
      </c>
      <c r="F3639" s="460">
        <v>1</v>
      </c>
      <c r="G3639" s="460">
        <v>4</v>
      </c>
      <c r="H3639" s="461" t="s">
        <v>748</v>
      </c>
      <c r="I3639" s="461" t="s">
        <v>765</v>
      </c>
      <c r="J3639" s="461" t="s">
        <v>700</v>
      </c>
      <c r="K3639" s="594"/>
      <c r="L3639" s="594"/>
      <c r="M3639" s="352">
        <v>6000</v>
      </c>
      <c r="N3639" s="352" t="s">
        <v>871</v>
      </c>
      <c r="O3639" s="460">
        <v>5131</v>
      </c>
      <c r="P3639" s="460" t="s">
        <v>1889</v>
      </c>
      <c r="Q3639" s="460" t="s">
        <v>2553</v>
      </c>
      <c r="R3639" s="460">
        <v>5131</v>
      </c>
      <c r="S3639" s="460" t="s">
        <v>1136</v>
      </c>
      <c r="T3639" s="462">
        <v>1</v>
      </c>
      <c r="U3639" s="460" t="s">
        <v>1136</v>
      </c>
      <c r="V3639" s="475">
        <v>0</v>
      </c>
      <c r="W3639" s="463" t="s">
        <v>2268</v>
      </c>
      <c r="X3639" s="463" t="s">
        <v>2268</v>
      </c>
      <c r="Y3639" s="463" t="s">
        <v>2554</v>
      </c>
      <c r="Z3639" s="463"/>
      <c r="AA3639" s="463"/>
      <c r="AB3639" s="464">
        <v>0</v>
      </c>
      <c r="AC3639" s="465">
        <v>0</v>
      </c>
      <c r="AD3639" s="465">
        <v>0</v>
      </c>
      <c r="AE3639" s="476">
        <v>0</v>
      </c>
      <c r="AF3639" s="467">
        <v>0</v>
      </c>
      <c r="AG3639" s="468">
        <v>0</v>
      </c>
      <c r="AH3639" s="218">
        <v>0</v>
      </c>
      <c r="AI3639" s="470">
        <v>0</v>
      </c>
      <c r="AJ3639" s="471">
        <v>0</v>
      </c>
      <c r="AK3639" s="218">
        <v>0</v>
      </c>
      <c r="AL3639" s="470">
        <v>0</v>
      </c>
      <c r="AM3639" s="471">
        <v>0</v>
      </c>
      <c r="AN3639" s="477">
        <v>0</v>
      </c>
      <c r="AO3639" s="473">
        <v>0</v>
      </c>
      <c r="AP3639" s="474">
        <v>0</v>
      </c>
      <c r="AQ3639" s="352"/>
      <c r="AR3639" s="352"/>
      <c r="AS3639" s="352"/>
      <c r="AT3639" s="352"/>
      <c r="AU3639" s="352"/>
      <c r="AV3639" s="352"/>
      <c r="AW3639" s="352" t="s">
        <v>254</v>
      </c>
    </row>
    <row r="3640" spans="2:49" x14ac:dyDescent="0.2">
      <c r="B3640" s="460" t="s">
        <v>3435</v>
      </c>
      <c r="C3640" s="460">
        <v>6000</v>
      </c>
      <c r="D3640" s="460" t="s">
        <v>2367</v>
      </c>
      <c r="E3640" s="460" t="s">
        <v>1137</v>
      </c>
      <c r="F3640" s="460">
        <v>2</v>
      </c>
      <c r="G3640" s="460">
        <v>4</v>
      </c>
      <c r="H3640" s="461" t="s">
        <v>748</v>
      </c>
      <c r="I3640" s="461" t="s">
        <v>765</v>
      </c>
      <c r="J3640" s="461" t="s">
        <v>700</v>
      </c>
      <c r="K3640" s="594"/>
      <c r="L3640" s="594"/>
      <c r="M3640" s="352">
        <v>6000</v>
      </c>
      <c r="N3640" s="352" t="s">
        <v>871</v>
      </c>
      <c r="O3640" s="460">
        <v>5131</v>
      </c>
      <c r="P3640" s="460" t="s">
        <v>1889</v>
      </c>
      <c r="Q3640" s="460" t="s">
        <v>2553</v>
      </c>
      <c r="R3640" s="460">
        <v>5131</v>
      </c>
      <c r="S3640" s="460" t="s">
        <v>1137</v>
      </c>
      <c r="T3640" s="462">
        <v>1</v>
      </c>
      <c r="U3640" s="460" t="s">
        <v>1137</v>
      </c>
      <c r="V3640" s="475">
        <v>0</v>
      </c>
      <c r="W3640" s="463" t="s">
        <v>2268</v>
      </c>
      <c r="X3640" s="463" t="s">
        <v>2268</v>
      </c>
      <c r="Y3640" s="463" t="s">
        <v>2554</v>
      </c>
      <c r="Z3640" s="463"/>
      <c r="AA3640" s="463"/>
      <c r="AB3640" s="464">
        <v>0</v>
      </c>
      <c r="AC3640" s="465">
        <v>0</v>
      </c>
      <c r="AD3640" s="465">
        <v>0</v>
      </c>
      <c r="AE3640" s="476">
        <v>0</v>
      </c>
      <c r="AF3640" s="467">
        <v>0</v>
      </c>
      <c r="AG3640" s="468">
        <v>0</v>
      </c>
      <c r="AH3640" s="218">
        <v>0</v>
      </c>
      <c r="AI3640" s="470">
        <v>0</v>
      </c>
      <c r="AJ3640" s="471">
        <v>0</v>
      </c>
      <c r="AK3640" s="218">
        <v>0</v>
      </c>
      <c r="AL3640" s="470">
        <v>0</v>
      </c>
      <c r="AM3640" s="471">
        <v>0</v>
      </c>
      <c r="AN3640" s="477">
        <v>0</v>
      </c>
      <c r="AO3640" s="473">
        <v>0</v>
      </c>
      <c r="AP3640" s="474">
        <v>0</v>
      </c>
      <c r="AQ3640" s="352"/>
      <c r="AR3640" s="352"/>
      <c r="AS3640" s="352"/>
      <c r="AT3640" s="352"/>
      <c r="AU3640" s="352"/>
      <c r="AV3640" s="352"/>
      <c r="AW3640" s="352" t="s">
        <v>254</v>
      </c>
    </row>
    <row r="3641" spans="2:49" x14ac:dyDescent="0.2">
      <c r="B3641" s="460" t="s">
        <v>3436</v>
      </c>
      <c r="C3641" s="460">
        <v>6000</v>
      </c>
      <c r="D3641" s="460" t="s">
        <v>2368</v>
      </c>
      <c r="E3641" s="460" t="s">
        <v>1138</v>
      </c>
      <c r="F3641" s="460">
        <v>3</v>
      </c>
      <c r="G3641" s="460">
        <v>4</v>
      </c>
      <c r="H3641" s="461" t="s">
        <v>748</v>
      </c>
      <c r="I3641" s="461" t="s">
        <v>765</v>
      </c>
      <c r="J3641" s="461" t="s">
        <v>700</v>
      </c>
      <c r="K3641" s="594"/>
      <c r="L3641" s="594"/>
      <c r="M3641" s="352">
        <v>6000</v>
      </c>
      <c r="N3641" s="352" t="s">
        <v>871</v>
      </c>
      <c r="O3641" s="460">
        <v>5131</v>
      </c>
      <c r="P3641" s="460" t="s">
        <v>1889</v>
      </c>
      <c r="Q3641" s="460" t="s">
        <v>2553</v>
      </c>
      <c r="R3641" s="460">
        <v>5131</v>
      </c>
      <c r="S3641" s="460" t="s">
        <v>1138</v>
      </c>
      <c r="T3641" s="462">
        <v>1</v>
      </c>
      <c r="U3641" s="460" t="s">
        <v>1138</v>
      </c>
      <c r="V3641" s="475">
        <v>0</v>
      </c>
      <c r="W3641" s="463" t="s">
        <v>2268</v>
      </c>
      <c r="X3641" s="463" t="s">
        <v>2268</v>
      </c>
      <c r="Y3641" s="463" t="s">
        <v>2554</v>
      </c>
      <c r="Z3641" s="463"/>
      <c r="AA3641" s="463"/>
      <c r="AB3641" s="464">
        <v>0</v>
      </c>
      <c r="AC3641" s="465">
        <v>0</v>
      </c>
      <c r="AD3641" s="465">
        <v>0</v>
      </c>
      <c r="AE3641" s="476">
        <v>0</v>
      </c>
      <c r="AF3641" s="467">
        <v>0</v>
      </c>
      <c r="AG3641" s="468">
        <v>0</v>
      </c>
      <c r="AH3641" s="218">
        <v>0</v>
      </c>
      <c r="AI3641" s="470">
        <v>0</v>
      </c>
      <c r="AJ3641" s="471">
        <v>0</v>
      </c>
      <c r="AK3641" s="218">
        <v>0</v>
      </c>
      <c r="AL3641" s="470">
        <v>0</v>
      </c>
      <c r="AM3641" s="471">
        <v>0</v>
      </c>
      <c r="AN3641" s="477">
        <v>0</v>
      </c>
      <c r="AO3641" s="473">
        <v>0</v>
      </c>
      <c r="AP3641" s="474">
        <v>0</v>
      </c>
      <c r="AQ3641" s="352"/>
      <c r="AR3641" s="352"/>
      <c r="AS3641" s="352"/>
      <c r="AT3641" s="352"/>
      <c r="AU3641" s="352"/>
      <c r="AV3641" s="352"/>
      <c r="AW3641" s="352" t="s">
        <v>254</v>
      </c>
    </row>
    <row r="3642" spans="2:49" x14ac:dyDescent="0.2">
      <c r="B3642" s="460" t="s">
        <v>3437</v>
      </c>
      <c r="C3642" s="460">
        <v>6000</v>
      </c>
      <c r="D3642" s="460" t="s">
        <v>2369</v>
      </c>
      <c r="E3642" s="460" t="s">
        <v>1139</v>
      </c>
      <c r="F3642" s="460">
        <v>4</v>
      </c>
      <c r="G3642" s="460">
        <v>4</v>
      </c>
      <c r="H3642" s="461" t="s">
        <v>748</v>
      </c>
      <c r="I3642" s="461" t="s">
        <v>765</v>
      </c>
      <c r="J3642" s="461" t="s">
        <v>700</v>
      </c>
      <c r="K3642" s="594"/>
      <c r="L3642" s="594"/>
      <c r="M3642" s="352">
        <v>6000</v>
      </c>
      <c r="N3642" s="352" t="s">
        <v>871</v>
      </c>
      <c r="O3642" s="460">
        <v>5131</v>
      </c>
      <c r="P3642" s="460" t="s">
        <v>1889</v>
      </c>
      <c r="Q3642" s="460" t="s">
        <v>2553</v>
      </c>
      <c r="R3642" s="460">
        <v>5131</v>
      </c>
      <c r="S3642" s="460" t="s">
        <v>1139</v>
      </c>
      <c r="T3642" s="462">
        <v>1</v>
      </c>
      <c r="U3642" s="460" t="s">
        <v>1139</v>
      </c>
      <c r="V3642" s="475">
        <v>0</v>
      </c>
      <c r="W3642" s="463" t="s">
        <v>2268</v>
      </c>
      <c r="X3642" s="463" t="s">
        <v>2268</v>
      </c>
      <c r="Y3642" s="463" t="s">
        <v>2554</v>
      </c>
      <c r="Z3642" s="463"/>
      <c r="AA3642" s="463"/>
      <c r="AB3642" s="464">
        <v>0</v>
      </c>
      <c r="AC3642" s="465">
        <v>0</v>
      </c>
      <c r="AD3642" s="465">
        <v>0</v>
      </c>
      <c r="AE3642" s="476">
        <v>0</v>
      </c>
      <c r="AF3642" s="467">
        <v>0</v>
      </c>
      <c r="AG3642" s="468">
        <v>0</v>
      </c>
      <c r="AH3642" s="218">
        <v>0</v>
      </c>
      <c r="AI3642" s="470">
        <v>0</v>
      </c>
      <c r="AJ3642" s="471">
        <v>0</v>
      </c>
      <c r="AK3642" s="218">
        <v>0</v>
      </c>
      <c r="AL3642" s="470">
        <v>0</v>
      </c>
      <c r="AM3642" s="471">
        <v>0</v>
      </c>
      <c r="AN3642" s="477">
        <v>0</v>
      </c>
      <c r="AO3642" s="473">
        <v>0</v>
      </c>
      <c r="AP3642" s="474">
        <v>0</v>
      </c>
      <c r="AQ3642" s="352"/>
      <c r="AR3642" s="352"/>
      <c r="AS3642" s="352"/>
      <c r="AT3642" s="352"/>
      <c r="AU3642" s="352"/>
      <c r="AV3642" s="352"/>
      <c r="AW3642" s="352" t="s">
        <v>254</v>
      </c>
    </row>
    <row r="3643" spans="2:49" x14ac:dyDescent="0.2">
      <c r="B3643" s="460" t="s">
        <v>3438</v>
      </c>
      <c r="C3643" s="460">
        <v>6000</v>
      </c>
      <c r="D3643" s="460" t="s">
        <v>2375</v>
      </c>
      <c r="E3643" s="460" t="s">
        <v>2376</v>
      </c>
      <c r="F3643" s="460">
        <v>1</v>
      </c>
      <c r="G3643" s="460">
        <v>5</v>
      </c>
      <c r="H3643" s="461" t="s">
        <v>754</v>
      </c>
      <c r="I3643" s="461" t="s">
        <v>1991</v>
      </c>
      <c r="J3643" s="461" t="s">
        <v>754</v>
      </c>
      <c r="K3643" s="594"/>
      <c r="L3643" s="594"/>
      <c r="M3643" s="352">
        <v>6000</v>
      </c>
      <c r="N3643" s="352" t="s">
        <v>871</v>
      </c>
      <c r="O3643" s="460">
        <v>5131</v>
      </c>
      <c r="P3643" s="460" t="s">
        <v>1889</v>
      </c>
      <c r="Q3643" s="460" t="s">
        <v>2377</v>
      </c>
      <c r="R3643" s="460">
        <v>5131</v>
      </c>
      <c r="S3643" s="460" t="s">
        <v>2376</v>
      </c>
      <c r="T3643" s="462">
        <v>1</v>
      </c>
      <c r="U3643" s="460" t="s">
        <v>2376</v>
      </c>
      <c r="V3643" s="475">
        <v>0</v>
      </c>
      <c r="W3643" s="463" t="s">
        <v>2278</v>
      </c>
      <c r="X3643" s="463" t="s">
        <v>2278</v>
      </c>
      <c r="Y3643" s="463" t="s">
        <v>2278</v>
      </c>
      <c r="Z3643" s="463"/>
      <c r="AA3643" s="463"/>
      <c r="AB3643" s="464">
        <v>0</v>
      </c>
      <c r="AC3643" s="465">
        <v>0</v>
      </c>
      <c r="AD3643" s="465">
        <v>0</v>
      </c>
      <c r="AE3643" s="476">
        <v>0</v>
      </c>
      <c r="AF3643" s="467">
        <v>0</v>
      </c>
      <c r="AG3643" s="468">
        <v>0</v>
      </c>
      <c r="AH3643" s="218">
        <v>0</v>
      </c>
      <c r="AI3643" s="470">
        <v>0</v>
      </c>
      <c r="AJ3643" s="471">
        <v>0</v>
      </c>
      <c r="AK3643" s="218">
        <v>0</v>
      </c>
      <c r="AL3643" s="470">
        <v>0</v>
      </c>
      <c r="AM3643" s="471">
        <v>0</v>
      </c>
      <c r="AN3643" s="477">
        <v>0</v>
      </c>
      <c r="AO3643" s="473">
        <v>0</v>
      </c>
      <c r="AP3643" s="474">
        <v>0</v>
      </c>
      <c r="AQ3643" s="352"/>
      <c r="AR3643" s="352"/>
      <c r="AS3643" s="352"/>
      <c r="AT3643" s="352"/>
      <c r="AU3643" s="352"/>
      <c r="AV3643" s="352"/>
      <c r="AW3643" s="352" t="s">
        <v>127</v>
      </c>
    </row>
    <row r="3644" spans="2:49" x14ac:dyDescent="0.2">
      <c r="B3644" s="460" t="s">
        <v>3439</v>
      </c>
      <c r="C3644" s="460">
        <v>6000</v>
      </c>
      <c r="D3644" s="460" t="s">
        <v>2379</v>
      </c>
      <c r="E3644" s="460" t="s">
        <v>2380</v>
      </c>
      <c r="F3644" s="460">
        <v>2</v>
      </c>
      <c r="G3644" s="460">
        <v>5</v>
      </c>
      <c r="H3644" s="461" t="s">
        <v>754</v>
      </c>
      <c r="I3644" s="461" t="s">
        <v>1991</v>
      </c>
      <c r="J3644" s="461" t="s">
        <v>754</v>
      </c>
      <c r="K3644" s="594"/>
      <c r="L3644" s="594"/>
      <c r="M3644" s="352">
        <v>6000</v>
      </c>
      <c r="N3644" s="352" t="s">
        <v>871</v>
      </c>
      <c r="O3644" s="460">
        <v>5131</v>
      </c>
      <c r="P3644" s="460" t="s">
        <v>1889</v>
      </c>
      <c r="Q3644" s="460" t="s">
        <v>2377</v>
      </c>
      <c r="R3644" s="460">
        <v>5131</v>
      </c>
      <c r="S3644" s="460" t="s">
        <v>2380</v>
      </c>
      <c r="T3644" s="462">
        <v>1</v>
      </c>
      <c r="U3644" s="460" t="s">
        <v>2380</v>
      </c>
      <c r="V3644" s="475">
        <v>0</v>
      </c>
      <c r="W3644" s="463" t="s">
        <v>2278</v>
      </c>
      <c r="X3644" s="463" t="s">
        <v>2278</v>
      </c>
      <c r="Y3644" s="463" t="s">
        <v>2278</v>
      </c>
      <c r="Z3644" s="463"/>
      <c r="AA3644" s="463"/>
      <c r="AB3644" s="464">
        <v>0</v>
      </c>
      <c r="AC3644" s="465">
        <v>0</v>
      </c>
      <c r="AD3644" s="465">
        <v>0</v>
      </c>
      <c r="AE3644" s="476">
        <v>0</v>
      </c>
      <c r="AF3644" s="467">
        <v>0</v>
      </c>
      <c r="AG3644" s="468">
        <v>0</v>
      </c>
      <c r="AH3644" s="218">
        <v>0</v>
      </c>
      <c r="AI3644" s="470">
        <v>0</v>
      </c>
      <c r="AJ3644" s="471">
        <v>0</v>
      </c>
      <c r="AK3644" s="218">
        <v>0</v>
      </c>
      <c r="AL3644" s="470">
        <v>0</v>
      </c>
      <c r="AM3644" s="471">
        <v>0</v>
      </c>
      <c r="AN3644" s="477">
        <v>0</v>
      </c>
      <c r="AO3644" s="473">
        <v>0</v>
      </c>
      <c r="AP3644" s="474">
        <v>0</v>
      </c>
      <c r="AQ3644" s="352"/>
      <c r="AR3644" s="352"/>
      <c r="AS3644" s="352"/>
      <c r="AT3644" s="352"/>
      <c r="AU3644" s="352"/>
      <c r="AV3644" s="352"/>
      <c r="AW3644" s="352" t="s">
        <v>127</v>
      </c>
    </row>
    <row r="3645" spans="2:49" x14ac:dyDescent="0.2">
      <c r="B3645" s="460" t="s">
        <v>3440</v>
      </c>
      <c r="C3645" s="460">
        <v>6000</v>
      </c>
      <c r="D3645" s="460" t="s">
        <v>2382</v>
      </c>
      <c r="E3645" s="460" t="s">
        <v>2383</v>
      </c>
      <c r="F3645" s="460">
        <v>3</v>
      </c>
      <c r="G3645" s="460">
        <v>5</v>
      </c>
      <c r="H3645" s="461" t="s">
        <v>754</v>
      </c>
      <c r="I3645" s="461" t="s">
        <v>1991</v>
      </c>
      <c r="J3645" s="461" t="s">
        <v>754</v>
      </c>
      <c r="K3645" s="594"/>
      <c r="L3645" s="594"/>
      <c r="M3645" s="352">
        <v>6000</v>
      </c>
      <c r="N3645" s="352" t="s">
        <v>871</v>
      </c>
      <c r="O3645" s="460">
        <v>5131</v>
      </c>
      <c r="P3645" s="460" t="s">
        <v>1889</v>
      </c>
      <c r="Q3645" s="460" t="s">
        <v>2377</v>
      </c>
      <c r="R3645" s="460">
        <v>5131</v>
      </c>
      <c r="S3645" s="460" t="s">
        <v>2383</v>
      </c>
      <c r="T3645" s="462">
        <v>1</v>
      </c>
      <c r="U3645" s="460" t="s">
        <v>2383</v>
      </c>
      <c r="V3645" s="475">
        <v>0</v>
      </c>
      <c r="W3645" s="463" t="s">
        <v>2278</v>
      </c>
      <c r="X3645" s="463" t="s">
        <v>2278</v>
      </c>
      <c r="Y3645" s="463" t="s">
        <v>2278</v>
      </c>
      <c r="Z3645" s="463"/>
      <c r="AA3645" s="463"/>
      <c r="AB3645" s="464">
        <v>0</v>
      </c>
      <c r="AC3645" s="465">
        <v>0</v>
      </c>
      <c r="AD3645" s="465">
        <v>0</v>
      </c>
      <c r="AE3645" s="476">
        <v>0</v>
      </c>
      <c r="AF3645" s="467">
        <v>0</v>
      </c>
      <c r="AG3645" s="468">
        <v>0</v>
      </c>
      <c r="AH3645" s="218">
        <v>0</v>
      </c>
      <c r="AI3645" s="470">
        <v>0</v>
      </c>
      <c r="AJ3645" s="471">
        <v>0</v>
      </c>
      <c r="AK3645" s="218">
        <v>0</v>
      </c>
      <c r="AL3645" s="470">
        <v>0</v>
      </c>
      <c r="AM3645" s="471">
        <v>0</v>
      </c>
      <c r="AN3645" s="477">
        <v>0</v>
      </c>
      <c r="AO3645" s="473">
        <v>0</v>
      </c>
      <c r="AP3645" s="474">
        <v>0</v>
      </c>
      <c r="AQ3645" s="352"/>
      <c r="AR3645" s="352"/>
      <c r="AS3645" s="352"/>
      <c r="AT3645" s="352"/>
      <c r="AU3645" s="352"/>
      <c r="AV3645" s="352"/>
      <c r="AW3645" s="352" t="s">
        <v>127</v>
      </c>
    </row>
    <row r="3646" spans="2:49" x14ac:dyDescent="0.2">
      <c r="B3646" s="460" t="s">
        <v>3441</v>
      </c>
      <c r="C3646" s="460">
        <v>6000</v>
      </c>
      <c r="D3646" s="460" t="s">
        <v>2385</v>
      </c>
      <c r="E3646" s="460" t="s">
        <v>2386</v>
      </c>
      <c r="F3646" s="460">
        <v>4</v>
      </c>
      <c r="G3646" s="460">
        <v>5</v>
      </c>
      <c r="H3646" s="461" t="s">
        <v>754</v>
      </c>
      <c r="I3646" s="461" t="s">
        <v>1991</v>
      </c>
      <c r="J3646" s="461" t="s">
        <v>754</v>
      </c>
      <c r="K3646" s="594"/>
      <c r="L3646" s="594"/>
      <c r="M3646" s="352">
        <v>6000</v>
      </c>
      <c r="N3646" s="352" t="s">
        <v>871</v>
      </c>
      <c r="O3646" s="460">
        <v>5131</v>
      </c>
      <c r="P3646" s="460" t="s">
        <v>1889</v>
      </c>
      <c r="Q3646" s="460" t="s">
        <v>2377</v>
      </c>
      <c r="R3646" s="460">
        <v>5131</v>
      </c>
      <c r="S3646" s="460" t="s">
        <v>2386</v>
      </c>
      <c r="T3646" s="462">
        <v>1</v>
      </c>
      <c r="U3646" s="460" t="s">
        <v>2386</v>
      </c>
      <c r="V3646" s="475">
        <v>0</v>
      </c>
      <c r="W3646" s="463" t="s">
        <v>2278</v>
      </c>
      <c r="X3646" s="463" t="s">
        <v>2278</v>
      </c>
      <c r="Y3646" s="463" t="s">
        <v>2278</v>
      </c>
      <c r="Z3646" s="463"/>
      <c r="AA3646" s="463"/>
      <c r="AB3646" s="464">
        <v>0</v>
      </c>
      <c r="AC3646" s="465">
        <v>0</v>
      </c>
      <c r="AD3646" s="465">
        <v>0</v>
      </c>
      <c r="AE3646" s="476">
        <v>0</v>
      </c>
      <c r="AF3646" s="467">
        <v>0</v>
      </c>
      <c r="AG3646" s="468">
        <v>0</v>
      </c>
      <c r="AH3646" s="218">
        <v>0</v>
      </c>
      <c r="AI3646" s="470">
        <v>0</v>
      </c>
      <c r="AJ3646" s="471">
        <v>0</v>
      </c>
      <c r="AK3646" s="218">
        <v>0</v>
      </c>
      <c r="AL3646" s="470">
        <v>0</v>
      </c>
      <c r="AM3646" s="471">
        <v>0</v>
      </c>
      <c r="AN3646" s="477">
        <v>0</v>
      </c>
      <c r="AO3646" s="473">
        <v>0</v>
      </c>
      <c r="AP3646" s="474">
        <v>0</v>
      </c>
      <c r="AQ3646" s="352"/>
      <c r="AR3646" s="352"/>
      <c r="AS3646" s="352"/>
      <c r="AT3646" s="352"/>
      <c r="AU3646" s="352"/>
      <c r="AV3646" s="352"/>
      <c r="AW3646" s="352" t="s">
        <v>127</v>
      </c>
    </row>
    <row r="3647" spans="2:49" x14ac:dyDescent="0.2">
      <c r="B3647" s="460" t="s">
        <v>3442</v>
      </c>
      <c r="C3647" s="460">
        <v>6000</v>
      </c>
      <c r="D3647" s="460" t="s">
        <v>2264</v>
      </c>
      <c r="E3647" s="460" t="s">
        <v>2265</v>
      </c>
      <c r="F3647" s="460">
        <v>1</v>
      </c>
      <c r="G3647" s="460">
        <v>1</v>
      </c>
      <c r="H3647" s="461" t="s">
        <v>700</v>
      </c>
      <c r="I3647" s="461" t="s">
        <v>872</v>
      </c>
      <c r="J3647" s="461" t="s">
        <v>700</v>
      </c>
      <c r="K3647" s="594"/>
      <c r="L3647" s="594"/>
      <c r="M3647" s="352">
        <v>6000</v>
      </c>
      <c r="N3647" s="352" t="s">
        <v>871</v>
      </c>
      <c r="O3647" s="460">
        <v>5141</v>
      </c>
      <c r="P3647" s="460" t="s">
        <v>1890</v>
      </c>
      <c r="Q3647" s="460" t="s">
        <v>2553</v>
      </c>
      <c r="R3647" s="460">
        <v>5141</v>
      </c>
      <c r="S3647" s="460" t="s">
        <v>2265</v>
      </c>
      <c r="T3647" s="462">
        <v>1</v>
      </c>
      <c r="U3647" s="460" t="s">
        <v>2265</v>
      </c>
      <c r="V3647" s="475">
        <v>0</v>
      </c>
      <c r="W3647" s="463" t="s">
        <v>2554</v>
      </c>
      <c r="X3647" s="463" t="s">
        <v>2554</v>
      </c>
      <c r="Y3647" s="463" t="s">
        <v>2268</v>
      </c>
      <c r="Z3647" s="463"/>
      <c r="AA3647" s="463"/>
      <c r="AB3647" s="464">
        <v>0</v>
      </c>
      <c r="AC3647" s="465">
        <v>0</v>
      </c>
      <c r="AD3647" s="465">
        <v>0</v>
      </c>
      <c r="AE3647" s="476">
        <v>0</v>
      </c>
      <c r="AF3647" s="467">
        <v>0</v>
      </c>
      <c r="AG3647" s="468">
        <v>0</v>
      </c>
      <c r="AH3647" s="218">
        <v>0</v>
      </c>
      <c r="AI3647" s="470">
        <v>0</v>
      </c>
      <c r="AJ3647" s="471">
        <v>0</v>
      </c>
      <c r="AK3647" s="218">
        <v>0</v>
      </c>
      <c r="AL3647" s="470">
        <v>0</v>
      </c>
      <c r="AM3647" s="471">
        <v>0</v>
      </c>
      <c r="AN3647" s="477">
        <v>0</v>
      </c>
      <c r="AO3647" s="473">
        <v>0</v>
      </c>
      <c r="AP3647" s="474">
        <v>0</v>
      </c>
      <c r="AQ3647" s="352"/>
      <c r="AR3647" s="352"/>
      <c r="AS3647" s="352"/>
      <c r="AT3647" s="352"/>
      <c r="AU3647" s="352"/>
      <c r="AV3647" s="352"/>
      <c r="AW3647" s="352" t="s">
        <v>254</v>
      </c>
    </row>
    <row r="3648" spans="2:49" x14ac:dyDescent="0.2">
      <c r="B3648" s="460" t="s">
        <v>3443</v>
      </c>
      <c r="C3648" s="460">
        <v>6000</v>
      </c>
      <c r="D3648" s="460" t="s">
        <v>2270</v>
      </c>
      <c r="E3648" s="460" t="s">
        <v>2271</v>
      </c>
      <c r="F3648" s="460">
        <v>2</v>
      </c>
      <c r="G3648" s="460">
        <v>1</v>
      </c>
      <c r="H3648" s="461" t="s">
        <v>700</v>
      </c>
      <c r="I3648" s="461" t="s">
        <v>872</v>
      </c>
      <c r="J3648" s="461" t="s">
        <v>700</v>
      </c>
      <c r="K3648" s="594"/>
      <c r="L3648" s="594"/>
      <c r="M3648" s="352">
        <v>6000</v>
      </c>
      <c r="N3648" s="352" t="s">
        <v>871</v>
      </c>
      <c r="O3648" s="460">
        <v>5141</v>
      </c>
      <c r="P3648" s="460" t="s">
        <v>1890</v>
      </c>
      <c r="Q3648" s="460" t="s">
        <v>2553</v>
      </c>
      <c r="R3648" s="460">
        <v>5141</v>
      </c>
      <c r="S3648" s="460" t="s">
        <v>2265</v>
      </c>
      <c r="T3648" s="462">
        <v>1</v>
      </c>
      <c r="U3648" s="460" t="s">
        <v>2271</v>
      </c>
      <c r="V3648" s="475">
        <v>0</v>
      </c>
      <c r="W3648" s="463" t="s">
        <v>2554</v>
      </c>
      <c r="X3648" s="463" t="s">
        <v>2554</v>
      </c>
      <c r="Y3648" s="463" t="s">
        <v>2268</v>
      </c>
      <c r="Z3648" s="463"/>
      <c r="AA3648" s="463"/>
      <c r="AB3648" s="464">
        <v>0</v>
      </c>
      <c r="AC3648" s="465">
        <v>0</v>
      </c>
      <c r="AD3648" s="465">
        <v>0</v>
      </c>
      <c r="AE3648" s="476">
        <v>0</v>
      </c>
      <c r="AF3648" s="467">
        <v>0</v>
      </c>
      <c r="AG3648" s="468">
        <v>0</v>
      </c>
      <c r="AH3648" s="218">
        <v>0</v>
      </c>
      <c r="AI3648" s="470">
        <v>0</v>
      </c>
      <c r="AJ3648" s="471">
        <v>0</v>
      </c>
      <c r="AK3648" s="218">
        <v>0</v>
      </c>
      <c r="AL3648" s="470">
        <v>0</v>
      </c>
      <c r="AM3648" s="471">
        <v>0</v>
      </c>
      <c r="AN3648" s="477">
        <v>0</v>
      </c>
      <c r="AO3648" s="473">
        <v>0</v>
      </c>
      <c r="AP3648" s="474">
        <v>0</v>
      </c>
      <c r="AQ3648" s="352"/>
      <c r="AR3648" s="352"/>
      <c r="AS3648" s="352"/>
      <c r="AT3648" s="352"/>
      <c r="AU3648" s="352"/>
      <c r="AV3648" s="352"/>
      <c r="AW3648" s="352" t="s">
        <v>254</v>
      </c>
    </row>
    <row r="3649" spans="2:49" x14ac:dyDescent="0.2">
      <c r="B3649" s="460" t="s">
        <v>3444</v>
      </c>
      <c r="C3649" s="460">
        <v>6000</v>
      </c>
      <c r="D3649" s="460" t="s">
        <v>2273</v>
      </c>
      <c r="E3649" s="460" t="s">
        <v>2274</v>
      </c>
      <c r="F3649" s="460">
        <v>3</v>
      </c>
      <c r="G3649" s="460">
        <v>1</v>
      </c>
      <c r="H3649" s="461" t="s">
        <v>700</v>
      </c>
      <c r="I3649" s="461" t="s">
        <v>872</v>
      </c>
      <c r="J3649" s="461" t="s">
        <v>700</v>
      </c>
      <c r="K3649" s="594"/>
      <c r="L3649" s="594"/>
      <c r="M3649" s="352">
        <v>6000</v>
      </c>
      <c r="N3649" s="352" t="s">
        <v>871</v>
      </c>
      <c r="O3649" s="460">
        <v>5141</v>
      </c>
      <c r="P3649" s="460" t="s">
        <v>1890</v>
      </c>
      <c r="Q3649" s="460" t="s">
        <v>2553</v>
      </c>
      <c r="R3649" s="460">
        <v>5141</v>
      </c>
      <c r="S3649" s="460" t="s">
        <v>2265</v>
      </c>
      <c r="T3649" s="462">
        <v>0.74223365950407583</v>
      </c>
      <c r="U3649" s="460" t="s">
        <v>2274</v>
      </c>
      <c r="V3649" s="475">
        <v>0</v>
      </c>
      <c r="W3649" s="463" t="s">
        <v>2554</v>
      </c>
      <c r="X3649" s="463" t="s">
        <v>2554</v>
      </c>
      <c r="Y3649" s="463" t="s">
        <v>2268</v>
      </c>
      <c r="Z3649" s="463"/>
      <c r="AA3649" s="463"/>
      <c r="AB3649" s="464">
        <v>0</v>
      </c>
      <c r="AC3649" s="465">
        <v>0</v>
      </c>
      <c r="AD3649" s="465">
        <v>0</v>
      </c>
      <c r="AE3649" s="476">
        <v>0</v>
      </c>
      <c r="AF3649" s="467">
        <v>0</v>
      </c>
      <c r="AG3649" s="468">
        <v>0</v>
      </c>
      <c r="AH3649" s="218">
        <v>0</v>
      </c>
      <c r="AI3649" s="470">
        <v>0</v>
      </c>
      <c r="AJ3649" s="471">
        <v>0</v>
      </c>
      <c r="AK3649" s="218">
        <v>0</v>
      </c>
      <c r="AL3649" s="470">
        <v>0</v>
      </c>
      <c r="AM3649" s="471">
        <v>0</v>
      </c>
      <c r="AN3649" s="477">
        <v>0</v>
      </c>
      <c r="AO3649" s="473">
        <v>0</v>
      </c>
      <c r="AP3649" s="474">
        <v>0</v>
      </c>
      <c r="AQ3649" s="352"/>
      <c r="AR3649" s="352"/>
      <c r="AS3649" s="352"/>
      <c r="AT3649" s="352"/>
      <c r="AU3649" s="352"/>
      <c r="AV3649" s="352"/>
      <c r="AW3649" s="352" t="s">
        <v>254</v>
      </c>
    </row>
    <row r="3650" spans="2:49" x14ac:dyDescent="0.2">
      <c r="B3650" s="460" t="s">
        <v>3445</v>
      </c>
      <c r="C3650" s="460">
        <v>6000</v>
      </c>
      <c r="D3650" s="460" t="s">
        <v>2276</v>
      </c>
      <c r="E3650" s="460" t="s">
        <v>2277</v>
      </c>
      <c r="F3650" s="460">
        <v>4</v>
      </c>
      <c r="G3650" s="460">
        <v>1</v>
      </c>
      <c r="H3650" s="461" t="s">
        <v>700</v>
      </c>
      <c r="I3650" s="461" t="s">
        <v>872</v>
      </c>
      <c r="J3650" s="461" t="s">
        <v>700</v>
      </c>
      <c r="K3650" s="594"/>
      <c r="L3650" s="594"/>
      <c r="M3650" s="352">
        <v>6000</v>
      </c>
      <c r="N3650" s="352" t="s">
        <v>871</v>
      </c>
      <c r="O3650" s="460">
        <v>5141</v>
      </c>
      <c r="P3650" s="460" t="s">
        <v>1890</v>
      </c>
      <c r="Q3650" s="460" t="s">
        <v>2553</v>
      </c>
      <c r="R3650" s="460">
        <v>5141</v>
      </c>
      <c r="S3650" s="460" t="s">
        <v>2277</v>
      </c>
      <c r="T3650" s="462">
        <v>1</v>
      </c>
      <c r="U3650" s="460" t="s">
        <v>2277</v>
      </c>
      <c r="V3650" s="475">
        <v>0</v>
      </c>
      <c r="W3650" s="463" t="s">
        <v>2554</v>
      </c>
      <c r="X3650" s="463" t="s">
        <v>2554</v>
      </c>
      <c r="Y3650" s="463" t="s">
        <v>2268</v>
      </c>
      <c r="Z3650" s="463"/>
      <c r="AA3650" s="463"/>
      <c r="AB3650" s="464">
        <v>0</v>
      </c>
      <c r="AC3650" s="465">
        <v>0</v>
      </c>
      <c r="AD3650" s="465">
        <v>0</v>
      </c>
      <c r="AE3650" s="476">
        <v>0</v>
      </c>
      <c r="AF3650" s="467">
        <v>0</v>
      </c>
      <c r="AG3650" s="468">
        <v>0</v>
      </c>
      <c r="AH3650" s="218">
        <v>0</v>
      </c>
      <c r="AI3650" s="470">
        <v>0</v>
      </c>
      <c r="AJ3650" s="471">
        <v>0</v>
      </c>
      <c r="AK3650" s="218">
        <v>0</v>
      </c>
      <c r="AL3650" s="470">
        <v>0</v>
      </c>
      <c r="AM3650" s="471">
        <v>0</v>
      </c>
      <c r="AN3650" s="477">
        <v>0</v>
      </c>
      <c r="AO3650" s="473">
        <v>0</v>
      </c>
      <c r="AP3650" s="474">
        <v>0</v>
      </c>
      <c r="AQ3650" s="352"/>
      <c r="AR3650" s="352"/>
      <c r="AS3650" s="352"/>
      <c r="AT3650" s="352"/>
      <c r="AU3650" s="352"/>
      <c r="AV3650" s="352"/>
      <c r="AW3650" s="352" t="s">
        <v>254</v>
      </c>
    </row>
    <row r="3651" spans="2:49" x14ac:dyDescent="0.2">
      <c r="B3651" s="460" t="s">
        <v>3442</v>
      </c>
      <c r="C3651" s="460">
        <v>6000</v>
      </c>
      <c r="D3651" s="460" t="s">
        <v>2279</v>
      </c>
      <c r="E3651" s="460" t="s">
        <v>2265</v>
      </c>
      <c r="F3651" s="460">
        <v>1</v>
      </c>
      <c r="G3651" s="460">
        <v>1</v>
      </c>
      <c r="H3651" s="461" t="s">
        <v>712</v>
      </c>
      <c r="I3651" s="461" t="s">
        <v>713</v>
      </c>
      <c r="J3651" s="461" t="s">
        <v>712</v>
      </c>
      <c r="K3651" s="594"/>
      <c r="L3651" s="594"/>
      <c r="M3651" s="352">
        <v>6000</v>
      </c>
      <c r="N3651" s="352" t="s">
        <v>871</v>
      </c>
      <c r="O3651" s="460">
        <v>5141</v>
      </c>
      <c r="P3651" s="460" t="s">
        <v>1890</v>
      </c>
      <c r="Q3651" s="460" t="s">
        <v>2280</v>
      </c>
      <c r="R3651" s="460">
        <v>5141</v>
      </c>
      <c r="S3651" s="460" t="s">
        <v>2265</v>
      </c>
      <c r="T3651" s="462">
        <v>1</v>
      </c>
      <c r="U3651" s="460" t="s">
        <v>2265</v>
      </c>
      <c r="V3651" s="475">
        <v>0</v>
      </c>
      <c r="W3651" s="463" t="s">
        <v>713</v>
      </c>
      <c r="X3651" s="463" t="s">
        <v>713</v>
      </c>
      <c r="Y3651" s="463" t="s">
        <v>713</v>
      </c>
      <c r="Z3651" s="463"/>
      <c r="AA3651" s="463"/>
      <c r="AB3651" s="464">
        <v>3220.2006153541183</v>
      </c>
      <c r="AC3651" s="465">
        <v>0.9898555933705343</v>
      </c>
      <c r="AD3651" s="465">
        <v>1.189597796889154E-2</v>
      </c>
      <c r="AE3651" s="476">
        <v>3220.2006153541183</v>
      </c>
      <c r="AF3651" s="467">
        <v>0.9898555933705343</v>
      </c>
      <c r="AG3651" s="468">
        <v>1.1600887637851019E-2</v>
      </c>
      <c r="AH3651" s="218">
        <v>3220.2006153541183</v>
      </c>
      <c r="AI3651" s="470">
        <v>0.9898555933705343</v>
      </c>
      <c r="AJ3651" s="471">
        <v>1.176722518085598E-2</v>
      </c>
      <c r="AK3651" s="218">
        <v>3220.2006153541183</v>
      </c>
      <c r="AL3651" s="470">
        <v>0.9898555933705343</v>
      </c>
      <c r="AM3651" s="471">
        <v>1.176722518085598E-2</v>
      </c>
      <c r="AN3651" s="477">
        <v>3220.2006153541183</v>
      </c>
      <c r="AO3651" s="473">
        <v>0.9898555933705343</v>
      </c>
      <c r="AP3651" s="474">
        <v>1.1763390946952931E-2</v>
      </c>
      <c r="AQ3651" s="352"/>
      <c r="AR3651" s="352"/>
      <c r="AS3651" s="352"/>
      <c r="AT3651" s="352"/>
      <c r="AU3651" s="352"/>
      <c r="AV3651" s="352"/>
      <c r="AW3651" s="352" t="s">
        <v>254</v>
      </c>
    </row>
    <row r="3652" spans="2:49" x14ac:dyDescent="0.2">
      <c r="B3652" s="460" t="s">
        <v>3443</v>
      </c>
      <c r="C3652" s="460">
        <v>6000</v>
      </c>
      <c r="D3652" s="460" t="s">
        <v>2281</v>
      </c>
      <c r="E3652" s="460" t="s">
        <v>2271</v>
      </c>
      <c r="F3652" s="460">
        <v>2</v>
      </c>
      <c r="G3652" s="460">
        <v>1</v>
      </c>
      <c r="H3652" s="461" t="s">
        <v>712</v>
      </c>
      <c r="I3652" s="461" t="s">
        <v>713</v>
      </c>
      <c r="J3652" s="461" t="s">
        <v>712</v>
      </c>
      <c r="K3652" s="594"/>
      <c r="L3652" s="594"/>
      <c r="M3652" s="352">
        <v>6000</v>
      </c>
      <c r="N3652" s="352" t="s">
        <v>871</v>
      </c>
      <c r="O3652" s="460">
        <v>5141</v>
      </c>
      <c r="P3652" s="460" t="s">
        <v>1890</v>
      </c>
      <c r="Q3652" s="460" t="s">
        <v>2280</v>
      </c>
      <c r="R3652" s="460">
        <v>5141</v>
      </c>
      <c r="S3652" s="460" t="s">
        <v>2265</v>
      </c>
      <c r="T3652" s="462">
        <v>1</v>
      </c>
      <c r="U3652" s="460" t="s">
        <v>2271</v>
      </c>
      <c r="V3652" s="475">
        <v>0</v>
      </c>
      <c r="W3652" s="463" t="s">
        <v>713</v>
      </c>
      <c r="X3652" s="463" t="s">
        <v>713</v>
      </c>
      <c r="Y3652" s="463" t="s">
        <v>713</v>
      </c>
      <c r="Z3652" s="463"/>
      <c r="AA3652" s="463"/>
      <c r="AB3652" s="464">
        <v>1254.4494252503002</v>
      </c>
      <c r="AC3652" s="465">
        <v>0.80568801120024702</v>
      </c>
      <c r="AD3652" s="465">
        <v>5.2384811960063064E-3</v>
      </c>
      <c r="AE3652" s="476">
        <v>1254.4494252503002</v>
      </c>
      <c r="AF3652" s="467">
        <v>0.80568801120024691</v>
      </c>
      <c r="AG3652" s="468">
        <v>5.1058065726618147E-3</v>
      </c>
      <c r="AH3652" s="218">
        <v>1254.4494252503002</v>
      </c>
      <c r="AI3652" s="470">
        <v>0.80568801120024691</v>
      </c>
      <c r="AJ3652" s="471">
        <v>5.3892972432849967E-3</v>
      </c>
      <c r="AK3652" s="218">
        <v>1254.4494252503002</v>
      </c>
      <c r="AL3652" s="470">
        <v>0.80568801120024691</v>
      </c>
      <c r="AM3652" s="471">
        <v>5.3892972432849967E-3</v>
      </c>
      <c r="AN3652" s="477">
        <v>1254.4494252503002</v>
      </c>
      <c r="AO3652" s="473">
        <v>0.80568801120024691</v>
      </c>
      <c r="AP3652" s="474">
        <v>5.387404884227791E-3</v>
      </c>
      <c r="AQ3652" s="352"/>
      <c r="AR3652" s="352"/>
      <c r="AS3652" s="352"/>
      <c r="AT3652" s="352"/>
      <c r="AU3652" s="352"/>
      <c r="AV3652" s="352"/>
      <c r="AW3652" s="352" t="s">
        <v>254</v>
      </c>
    </row>
    <row r="3653" spans="2:49" x14ac:dyDescent="0.2">
      <c r="B3653" s="460" t="s">
        <v>3444</v>
      </c>
      <c r="C3653" s="460">
        <v>6000</v>
      </c>
      <c r="D3653" s="460" t="s">
        <v>2282</v>
      </c>
      <c r="E3653" s="460" t="s">
        <v>2274</v>
      </c>
      <c r="F3653" s="460">
        <v>3</v>
      </c>
      <c r="G3653" s="460">
        <v>1</v>
      </c>
      <c r="H3653" s="461" t="s">
        <v>712</v>
      </c>
      <c r="I3653" s="461" t="s">
        <v>713</v>
      </c>
      <c r="J3653" s="461" t="s">
        <v>712</v>
      </c>
      <c r="K3653" s="594"/>
      <c r="L3653" s="594"/>
      <c r="M3653" s="352">
        <v>6000</v>
      </c>
      <c r="N3653" s="352" t="s">
        <v>871</v>
      </c>
      <c r="O3653" s="460">
        <v>5141</v>
      </c>
      <c r="P3653" s="460" t="s">
        <v>1890</v>
      </c>
      <c r="Q3653" s="460" t="s">
        <v>2280</v>
      </c>
      <c r="R3653" s="460">
        <v>5141</v>
      </c>
      <c r="S3653" s="460" t="s">
        <v>2265</v>
      </c>
      <c r="T3653" s="462">
        <v>0.74223365950407583</v>
      </c>
      <c r="U3653" s="460" t="s">
        <v>2274</v>
      </c>
      <c r="V3653" s="475">
        <v>0</v>
      </c>
      <c r="W3653" s="463" t="s">
        <v>713</v>
      </c>
      <c r="X3653" s="463" t="s">
        <v>713</v>
      </c>
      <c r="Y3653" s="463" t="s">
        <v>713</v>
      </c>
      <c r="Z3653" s="463"/>
      <c r="AA3653" s="463"/>
      <c r="AB3653" s="464">
        <v>2482.0395226165574</v>
      </c>
      <c r="AC3653" s="465">
        <v>0.98343285119285473</v>
      </c>
      <c r="AD3653" s="465">
        <v>1.4855533880051295E-2</v>
      </c>
      <c r="AE3653" s="476">
        <v>2482.0395226165574</v>
      </c>
      <c r="AF3653" s="467">
        <v>0.98343285119285473</v>
      </c>
      <c r="AG3653" s="468">
        <v>1.471879171783313E-2</v>
      </c>
      <c r="AH3653" s="218">
        <v>2482.0395226165574</v>
      </c>
      <c r="AI3653" s="470">
        <v>0.98343285119285473</v>
      </c>
      <c r="AJ3653" s="471">
        <v>1.5597560095039677E-2</v>
      </c>
      <c r="AK3653" s="218">
        <v>2482.0395226165574</v>
      </c>
      <c r="AL3653" s="470">
        <v>0.98343285119285473</v>
      </c>
      <c r="AM3653" s="471">
        <v>1.5597560095039677E-2</v>
      </c>
      <c r="AN3653" s="477">
        <v>2482.0395226165574</v>
      </c>
      <c r="AO3653" s="473">
        <v>0.98343285119285473</v>
      </c>
      <c r="AP3653" s="474">
        <v>1.5710080844558869E-2</v>
      </c>
      <c r="AQ3653" s="352"/>
      <c r="AR3653" s="352"/>
      <c r="AS3653" s="352"/>
      <c r="AT3653" s="352"/>
      <c r="AU3653" s="352"/>
      <c r="AV3653" s="352"/>
      <c r="AW3653" s="352" t="s">
        <v>254</v>
      </c>
    </row>
    <row r="3654" spans="2:49" x14ac:dyDescent="0.2">
      <c r="B3654" s="460" t="s">
        <v>3445</v>
      </c>
      <c r="C3654" s="460">
        <v>6000</v>
      </c>
      <c r="D3654" s="460" t="s">
        <v>2283</v>
      </c>
      <c r="E3654" s="460" t="s">
        <v>2277</v>
      </c>
      <c r="F3654" s="460">
        <v>4</v>
      </c>
      <c r="G3654" s="460">
        <v>1</v>
      </c>
      <c r="H3654" s="461" t="s">
        <v>712</v>
      </c>
      <c r="I3654" s="461" t="s">
        <v>713</v>
      </c>
      <c r="J3654" s="461" t="s">
        <v>712</v>
      </c>
      <c r="K3654" s="594"/>
      <c r="L3654" s="594"/>
      <c r="M3654" s="352">
        <v>6000</v>
      </c>
      <c r="N3654" s="352" t="s">
        <v>871</v>
      </c>
      <c r="O3654" s="460">
        <v>5141</v>
      </c>
      <c r="P3654" s="460" t="s">
        <v>1890</v>
      </c>
      <c r="Q3654" s="460" t="s">
        <v>2280</v>
      </c>
      <c r="R3654" s="460">
        <v>5141</v>
      </c>
      <c r="S3654" s="460" t="s">
        <v>2277</v>
      </c>
      <c r="T3654" s="462">
        <v>1</v>
      </c>
      <c r="U3654" s="460" t="s">
        <v>2277</v>
      </c>
      <c r="V3654" s="475">
        <v>0</v>
      </c>
      <c r="W3654" s="463" t="s">
        <v>713</v>
      </c>
      <c r="X3654" s="463" t="s">
        <v>713</v>
      </c>
      <c r="Y3654" s="463" t="s">
        <v>713</v>
      </c>
      <c r="Z3654" s="463"/>
      <c r="AA3654" s="463"/>
      <c r="AB3654" s="464">
        <v>2814.0614540472843</v>
      </c>
      <c r="AC3654" s="465">
        <v>0.99769636331457356</v>
      </c>
      <c r="AD3654" s="465">
        <v>1.4614194634593149E-2</v>
      </c>
      <c r="AE3654" s="476">
        <v>2814.0614540472843</v>
      </c>
      <c r="AF3654" s="467">
        <v>0.99769636331457356</v>
      </c>
      <c r="AG3654" s="468">
        <v>1.46122110526155E-2</v>
      </c>
      <c r="AH3654" s="218">
        <v>2814.0614540472843</v>
      </c>
      <c r="AI3654" s="470">
        <v>0.99769636331457356</v>
      </c>
      <c r="AJ3654" s="471">
        <v>1.4612939927949245E-2</v>
      </c>
      <c r="AK3654" s="218">
        <v>2814.0614540472843</v>
      </c>
      <c r="AL3654" s="470">
        <v>0.99769636331457356</v>
      </c>
      <c r="AM3654" s="471">
        <v>1.4612939927949245E-2</v>
      </c>
      <c r="AN3654" s="477">
        <v>2814.0614540472843</v>
      </c>
      <c r="AO3654" s="473">
        <v>0.99769636331457356</v>
      </c>
      <c r="AP3654" s="474">
        <v>1.46130127941174E-2</v>
      </c>
      <c r="AQ3654" s="352"/>
      <c r="AR3654" s="352"/>
      <c r="AS3654" s="352"/>
      <c r="AT3654" s="352"/>
      <c r="AU3654" s="352"/>
      <c r="AV3654" s="352"/>
      <c r="AW3654" s="352" t="s">
        <v>254</v>
      </c>
    </row>
    <row r="3655" spans="2:49" x14ac:dyDescent="0.2">
      <c r="B3655" s="460" t="s">
        <v>3442</v>
      </c>
      <c r="C3655" s="460">
        <v>6000</v>
      </c>
      <c r="D3655" s="460" t="s">
        <v>3373</v>
      </c>
      <c r="E3655" s="460" t="s">
        <v>2265</v>
      </c>
      <c r="F3655" s="460">
        <v>1</v>
      </c>
      <c r="G3655" s="460">
        <v>1</v>
      </c>
      <c r="H3655" s="461" t="s">
        <v>719</v>
      </c>
      <c r="I3655" s="461" t="s">
        <v>720</v>
      </c>
      <c r="J3655" s="461" t="s">
        <v>719</v>
      </c>
      <c r="K3655" s="594"/>
      <c r="L3655" s="594"/>
      <c r="M3655" s="352">
        <v>6000</v>
      </c>
      <c r="N3655" s="352" t="s">
        <v>871</v>
      </c>
      <c r="O3655" s="460">
        <v>5141</v>
      </c>
      <c r="P3655" s="460" t="s">
        <v>1890</v>
      </c>
      <c r="Q3655" s="460" t="s">
        <v>3374</v>
      </c>
      <c r="R3655" s="460">
        <v>5141</v>
      </c>
      <c r="S3655" s="460" t="s">
        <v>2265</v>
      </c>
      <c r="T3655" s="462">
        <v>1</v>
      </c>
      <c r="U3655" s="460" t="s">
        <v>2265</v>
      </c>
      <c r="V3655" s="475">
        <v>0</v>
      </c>
      <c r="W3655" s="463" t="s">
        <v>2278</v>
      </c>
      <c r="X3655" s="463" t="s">
        <v>2278</v>
      </c>
      <c r="Y3655" s="463" t="s">
        <v>2278</v>
      </c>
      <c r="Z3655" s="463"/>
      <c r="AA3655" s="463"/>
      <c r="AB3655" s="464">
        <v>33.001808232829362</v>
      </c>
      <c r="AC3655" s="465">
        <v>1.0144406629465716E-2</v>
      </c>
      <c r="AD3655" s="465">
        <v>2.2794243584052046E-4</v>
      </c>
      <c r="AE3655" s="476">
        <v>33.001808232829362</v>
      </c>
      <c r="AF3655" s="467">
        <v>1.0144406629465716E-2</v>
      </c>
      <c r="AG3655" s="468">
        <v>2.2794243584052046E-4</v>
      </c>
      <c r="AH3655" s="218">
        <v>33.001808232829362</v>
      </c>
      <c r="AI3655" s="470">
        <v>1.0144406629465716E-2</v>
      </c>
      <c r="AJ3655" s="471">
        <v>2.2794243584052046E-4</v>
      </c>
      <c r="AK3655" s="218">
        <v>33.001808232829362</v>
      </c>
      <c r="AL3655" s="470">
        <v>1.0144406629465716E-2</v>
      </c>
      <c r="AM3655" s="471">
        <v>2.2794243584052046E-4</v>
      </c>
      <c r="AN3655" s="477">
        <v>33.001808232829362</v>
      </c>
      <c r="AO3655" s="473">
        <v>1.0144406629465716E-2</v>
      </c>
      <c r="AP3655" s="474">
        <v>2.2794243584052046E-4</v>
      </c>
      <c r="AQ3655" s="352"/>
      <c r="AR3655" s="352"/>
      <c r="AS3655" s="352"/>
      <c r="AT3655" s="352"/>
      <c r="AU3655" s="352"/>
      <c r="AV3655" s="352"/>
      <c r="AW3655" s="352" t="s">
        <v>254</v>
      </c>
    </row>
    <row r="3656" spans="2:49" x14ac:dyDescent="0.2">
      <c r="B3656" s="460" t="s">
        <v>3443</v>
      </c>
      <c r="C3656" s="460">
        <v>6000</v>
      </c>
      <c r="D3656" s="460" t="s">
        <v>3375</v>
      </c>
      <c r="E3656" s="460" t="s">
        <v>2271</v>
      </c>
      <c r="F3656" s="460">
        <v>2</v>
      </c>
      <c r="G3656" s="460">
        <v>1</v>
      </c>
      <c r="H3656" s="461" t="s">
        <v>719</v>
      </c>
      <c r="I3656" s="461" t="s">
        <v>720</v>
      </c>
      <c r="J3656" s="461" t="s">
        <v>719</v>
      </c>
      <c r="K3656" s="594"/>
      <c r="L3656" s="594"/>
      <c r="M3656" s="352">
        <v>6000</v>
      </c>
      <c r="N3656" s="352" t="s">
        <v>871</v>
      </c>
      <c r="O3656" s="460">
        <v>5141</v>
      </c>
      <c r="P3656" s="460" t="s">
        <v>1890</v>
      </c>
      <c r="Q3656" s="460" t="s">
        <v>3374</v>
      </c>
      <c r="R3656" s="460">
        <v>5141</v>
      </c>
      <c r="S3656" s="460" t="s">
        <v>2265</v>
      </c>
      <c r="T3656" s="462">
        <v>1</v>
      </c>
      <c r="U3656" s="460" t="s">
        <v>2271</v>
      </c>
      <c r="V3656" s="475">
        <v>0</v>
      </c>
      <c r="W3656" s="463" t="s">
        <v>2278</v>
      </c>
      <c r="X3656" s="463" t="s">
        <v>2278</v>
      </c>
      <c r="Y3656" s="463" t="s">
        <v>2278</v>
      </c>
      <c r="Z3656" s="463"/>
      <c r="AA3656" s="463"/>
      <c r="AB3656" s="464">
        <v>302.54212459481403</v>
      </c>
      <c r="AC3656" s="465">
        <v>0.19431198879975309</v>
      </c>
      <c r="AD3656" s="465">
        <v>2.6492631986468136E-3</v>
      </c>
      <c r="AE3656" s="476">
        <v>302.54212459481403</v>
      </c>
      <c r="AF3656" s="467">
        <v>0.19431198879975309</v>
      </c>
      <c r="AG3656" s="468">
        <v>2.6492631986468136E-3</v>
      </c>
      <c r="AH3656" s="218">
        <v>302.54212459481403</v>
      </c>
      <c r="AI3656" s="470">
        <v>0.19431198879975309</v>
      </c>
      <c r="AJ3656" s="471">
        <v>2.6492631986468136E-3</v>
      </c>
      <c r="AK3656" s="218">
        <v>302.54212459481403</v>
      </c>
      <c r="AL3656" s="470">
        <v>0.19431198879975309</v>
      </c>
      <c r="AM3656" s="471">
        <v>2.6492631986468136E-3</v>
      </c>
      <c r="AN3656" s="477">
        <v>302.54212459481403</v>
      </c>
      <c r="AO3656" s="473">
        <v>0.19431198879975309</v>
      </c>
      <c r="AP3656" s="474">
        <v>2.6492631986468136E-3</v>
      </c>
      <c r="AQ3656" s="352"/>
      <c r="AR3656" s="352"/>
      <c r="AS3656" s="352"/>
      <c r="AT3656" s="352"/>
      <c r="AU3656" s="352"/>
      <c r="AV3656" s="352"/>
      <c r="AW3656" s="352" t="s">
        <v>254</v>
      </c>
    </row>
    <row r="3657" spans="2:49" x14ac:dyDescent="0.2">
      <c r="B3657" s="460" t="s">
        <v>3444</v>
      </c>
      <c r="C3657" s="460">
        <v>6000</v>
      </c>
      <c r="D3657" s="460" t="s">
        <v>3376</v>
      </c>
      <c r="E3657" s="460" t="s">
        <v>2274</v>
      </c>
      <c r="F3657" s="460">
        <v>3</v>
      </c>
      <c r="G3657" s="460">
        <v>1</v>
      </c>
      <c r="H3657" s="461" t="s">
        <v>719</v>
      </c>
      <c r="I3657" s="461" t="s">
        <v>720</v>
      </c>
      <c r="J3657" s="461" t="s">
        <v>719</v>
      </c>
      <c r="K3657" s="594"/>
      <c r="L3657" s="594"/>
      <c r="M3657" s="352">
        <v>6000</v>
      </c>
      <c r="N3657" s="352" t="s">
        <v>871</v>
      </c>
      <c r="O3657" s="460">
        <v>5141</v>
      </c>
      <c r="P3657" s="460" t="s">
        <v>1890</v>
      </c>
      <c r="Q3657" s="460" t="s">
        <v>3374</v>
      </c>
      <c r="R3657" s="460">
        <v>5141</v>
      </c>
      <c r="S3657" s="460" t="s">
        <v>2265</v>
      </c>
      <c r="T3657" s="462">
        <v>0.74223365950407583</v>
      </c>
      <c r="U3657" s="460" t="s">
        <v>2274</v>
      </c>
      <c r="V3657" s="475">
        <v>0</v>
      </c>
      <c r="W3657" s="463" t="s">
        <v>2278</v>
      </c>
      <c r="X3657" s="463" t="s">
        <v>2278</v>
      </c>
      <c r="Y3657" s="463" t="s">
        <v>2278</v>
      </c>
      <c r="Z3657" s="463"/>
      <c r="AA3657" s="463"/>
      <c r="AB3657" s="464">
        <v>41.813040988540877</v>
      </c>
      <c r="AC3657" s="465">
        <v>1.6567148807145327E-2</v>
      </c>
      <c r="AD3657" s="465">
        <v>2.8409455972894732E-3</v>
      </c>
      <c r="AE3657" s="476">
        <v>41.813040988540877</v>
      </c>
      <c r="AF3657" s="467">
        <v>1.6567148807145327E-2</v>
      </c>
      <c r="AG3657" s="468">
        <v>2.8409455972894728E-3</v>
      </c>
      <c r="AH3657" s="218">
        <v>41.813040988540877</v>
      </c>
      <c r="AI3657" s="470">
        <v>1.6567148807145327E-2</v>
      </c>
      <c r="AJ3657" s="471">
        <v>2.8409455972894728E-3</v>
      </c>
      <c r="AK3657" s="218">
        <v>41.813040988540877</v>
      </c>
      <c r="AL3657" s="470">
        <v>1.6567148807145327E-2</v>
      </c>
      <c r="AM3657" s="471">
        <v>2.8409455972894728E-3</v>
      </c>
      <c r="AN3657" s="477">
        <v>41.813040988540877</v>
      </c>
      <c r="AO3657" s="473">
        <v>1.6567148807145327E-2</v>
      </c>
      <c r="AP3657" s="474">
        <v>2.8409455972894728E-3</v>
      </c>
      <c r="AQ3657" s="352"/>
      <c r="AR3657" s="352"/>
      <c r="AS3657" s="352"/>
      <c r="AT3657" s="352"/>
      <c r="AU3657" s="352"/>
      <c r="AV3657" s="352"/>
      <c r="AW3657" s="352" t="s">
        <v>254</v>
      </c>
    </row>
    <row r="3658" spans="2:49" x14ac:dyDescent="0.2">
      <c r="B3658" s="460" t="s">
        <v>3445</v>
      </c>
      <c r="C3658" s="460">
        <v>6000</v>
      </c>
      <c r="D3658" s="460" t="s">
        <v>3377</v>
      </c>
      <c r="E3658" s="460" t="s">
        <v>2277</v>
      </c>
      <c r="F3658" s="460">
        <v>4</v>
      </c>
      <c r="G3658" s="460">
        <v>1</v>
      </c>
      <c r="H3658" s="461" t="s">
        <v>719</v>
      </c>
      <c r="I3658" s="461" t="s">
        <v>720</v>
      </c>
      <c r="J3658" s="461" t="s">
        <v>719</v>
      </c>
      <c r="K3658" s="594"/>
      <c r="L3658" s="594"/>
      <c r="M3658" s="352">
        <v>6000</v>
      </c>
      <c r="N3658" s="352" t="s">
        <v>871</v>
      </c>
      <c r="O3658" s="460">
        <v>5141</v>
      </c>
      <c r="P3658" s="460" t="s">
        <v>1890</v>
      </c>
      <c r="Q3658" s="460" t="s">
        <v>3374</v>
      </c>
      <c r="R3658" s="460">
        <v>5141</v>
      </c>
      <c r="S3658" s="460" t="s">
        <v>2277</v>
      </c>
      <c r="T3658" s="462">
        <v>1</v>
      </c>
      <c r="U3658" s="460" t="s">
        <v>2277</v>
      </c>
      <c r="V3658" s="475">
        <v>0</v>
      </c>
      <c r="W3658" s="463" t="s">
        <v>2278</v>
      </c>
      <c r="X3658" s="463" t="s">
        <v>2278</v>
      </c>
      <c r="Y3658" s="463" t="s">
        <v>2278</v>
      </c>
      <c r="Z3658" s="463"/>
      <c r="AA3658" s="463"/>
      <c r="AB3658" s="464">
        <v>6.4975431794210694</v>
      </c>
      <c r="AC3658" s="465">
        <v>2.3036366854264465E-3</v>
      </c>
      <c r="AD3658" s="465">
        <v>0.20792722547108514</v>
      </c>
      <c r="AE3658" s="476">
        <v>6.4975431794210694</v>
      </c>
      <c r="AF3658" s="467">
        <v>2.3036366854264465E-3</v>
      </c>
      <c r="AG3658" s="468">
        <v>0.20792722547108514</v>
      </c>
      <c r="AH3658" s="218">
        <v>6.4975431794210694</v>
      </c>
      <c r="AI3658" s="470">
        <v>2.3036366854264465E-3</v>
      </c>
      <c r="AJ3658" s="471">
        <v>0.20792722547108514</v>
      </c>
      <c r="AK3658" s="218">
        <v>6.4975431794210694</v>
      </c>
      <c r="AL3658" s="470">
        <v>2.3036366854264465E-3</v>
      </c>
      <c r="AM3658" s="471">
        <v>0.20792722547108514</v>
      </c>
      <c r="AN3658" s="477">
        <v>6.4975431794210694</v>
      </c>
      <c r="AO3658" s="473">
        <v>2.3036366854264465E-3</v>
      </c>
      <c r="AP3658" s="474">
        <v>0.20792722547108514</v>
      </c>
      <c r="AQ3658" s="352"/>
      <c r="AR3658" s="352"/>
      <c r="AS3658" s="352"/>
      <c r="AT3658" s="352"/>
      <c r="AU3658" s="352"/>
      <c r="AV3658" s="352"/>
      <c r="AW3658" s="352" t="s">
        <v>254</v>
      </c>
    </row>
    <row r="3659" spans="2:49" x14ac:dyDescent="0.2">
      <c r="B3659" s="460" t="s">
        <v>3442</v>
      </c>
      <c r="C3659" s="460">
        <v>6000</v>
      </c>
      <c r="D3659" s="460" t="s">
        <v>2284</v>
      </c>
      <c r="E3659" s="460" t="s">
        <v>2265</v>
      </c>
      <c r="F3659" s="460">
        <v>1</v>
      </c>
      <c r="G3659" s="460">
        <v>1</v>
      </c>
      <c r="H3659" s="461" t="s">
        <v>746</v>
      </c>
      <c r="I3659" s="461" t="s">
        <v>762</v>
      </c>
      <c r="J3659" s="461" t="s">
        <v>700</v>
      </c>
      <c r="K3659" s="594"/>
      <c r="L3659" s="594"/>
      <c r="M3659" s="352">
        <v>6000</v>
      </c>
      <c r="N3659" s="352" t="s">
        <v>871</v>
      </c>
      <c r="O3659" s="460">
        <v>5141</v>
      </c>
      <c r="P3659" s="460" t="s">
        <v>1890</v>
      </c>
      <c r="Q3659" s="460" t="s">
        <v>2553</v>
      </c>
      <c r="R3659" s="460">
        <v>5141</v>
      </c>
      <c r="S3659" s="460" t="s">
        <v>2265</v>
      </c>
      <c r="T3659" s="462">
        <v>1</v>
      </c>
      <c r="U3659" s="460" t="s">
        <v>2265</v>
      </c>
      <c r="V3659" s="475">
        <v>0</v>
      </c>
      <c r="W3659" s="463" t="s">
        <v>2268</v>
      </c>
      <c r="X3659" s="463" t="s">
        <v>2268</v>
      </c>
      <c r="Y3659" s="463" t="s">
        <v>2554</v>
      </c>
      <c r="Z3659" s="463"/>
      <c r="AA3659" s="463"/>
      <c r="AB3659" s="464">
        <v>0</v>
      </c>
      <c r="AC3659" s="465">
        <v>0</v>
      </c>
      <c r="AD3659" s="465">
        <v>0</v>
      </c>
      <c r="AE3659" s="476">
        <v>0</v>
      </c>
      <c r="AF3659" s="467">
        <v>0</v>
      </c>
      <c r="AG3659" s="468">
        <v>0</v>
      </c>
      <c r="AH3659" s="218">
        <v>0</v>
      </c>
      <c r="AI3659" s="470">
        <v>0</v>
      </c>
      <c r="AJ3659" s="471">
        <v>0</v>
      </c>
      <c r="AK3659" s="218">
        <v>0</v>
      </c>
      <c r="AL3659" s="470">
        <v>0</v>
      </c>
      <c r="AM3659" s="471">
        <v>0</v>
      </c>
      <c r="AN3659" s="477">
        <v>0</v>
      </c>
      <c r="AO3659" s="473">
        <v>0</v>
      </c>
      <c r="AP3659" s="474">
        <v>0</v>
      </c>
      <c r="AQ3659" s="352"/>
      <c r="AR3659" s="352"/>
      <c r="AS3659" s="352"/>
      <c r="AT3659" s="352"/>
      <c r="AU3659" s="352"/>
      <c r="AV3659" s="352"/>
      <c r="AW3659" s="352" t="s">
        <v>254</v>
      </c>
    </row>
    <row r="3660" spans="2:49" x14ac:dyDescent="0.2">
      <c r="B3660" s="460" t="s">
        <v>3443</v>
      </c>
      <c r="C3660" s="460">
        <v>6000</v>
      </c>
      <c r="D3660" s="460" t="s">
        <v>2285</v>
      </c>
      <c r="E3660" s="460" t="s">
        <v>2271</v>
      </c>
      <c r="F3660" s="460">
        <v>2</v>
      </c>
      <c r="G3660" s="460">
        <v>1</v>
      </c>
      <c r="H3660" s="461" t="s">
        <v>746</v>
      </c>
      <c r="I3660" s="461" t="s">
        <v>762</v>
      </c>
      <c r="J3660" s="461" t="s">
        <v>700</v>
      </c>
      <c r="K3660" s="594"/>
      <c r="L3660" s="594"/>
      <c r="M3660" s="352">
        <v>6000</v>
      </c>
      <c r="N3660" s="352" t="s">
        <v>871</v>
      </c>
      <c r="O3660" s="460">
        <v>5141</v>
      </c>
      <c r="P3660" s="460" t="s">
        <v>1890</v>
      </c>
      <c r="Q3660" s="460" t="s">
        <v>2553</v>
      </c>
      <c r="R3660" s="460">
        <v>5141</v>
      </c>
      <c r="S3660" s="460" t="s">
        <v>2265</v>
      </c>
      <c r="T3660" s="462">
        <v>1</v>
      </c>
      <c r="U3660" s="460" t="s">
        <v>2271</v>
      </c>
      <c r="V3660" s="475">
        <v>0</v>
      </c>
      <c r="W3660" s="463" t="s">
        <v>2268</v>
      </c>
      <c r="X3660" s="463" t="s">
        <v>2268</v>
      </c>
      <c r="Y3660" s="463" t="s">
        <v>2554</v>
      </c>
      <c r="Z3660" s="463"/>
      <c r="AA3660" s="463"/>
      <c r="AB3660" s="464">
        <v>0</v>
      </c>
      <c r="AC3660" s="465">
        <v>0</v>
      </c>
      <c r="AD3660" s="465">
        <v>0</v>
      </c>
      <c r="AE3660" s="476">
        <v>0</v>
      </c>
      <c r="AF3660" s="467">
        <v>0</v>
      </c>
      <c r="AG3660" s="468">
        <v>0</v>
      </c>
      <c r="AH3660" s="218">
        <v>0</v>
      </c>
      <c r="AI3660" s="470">
        <v>0</v>
      </c>
      <c r="AJ3660" s="471">
        <v>0</v>
      </c>
      <c r="AK3660" s="218">
        <v>0</v>
      </c>
      <c r="AL3660" s="470">
        <v>0</v>
      </c>
      <c r="AM3660" s="471">
        <v>0</v>
      </c>
      <c r="AN3660" s="477">
        <v>0</v>
      </c>
      <c r="AO3660" s="473">
        <v>0</v>
      </c>
      <c r="AP3660" s="474">
        <v>0</v>
      </c>
      <c r="AQ3660" s="352"/>
      <c r="AR3660" s="352"/>
      <c r="AS3660" s="352"/>
      <c r="AT3660" s="352"/>
      <c r="AU3660" s="352"/>
      <c r="AV3660" s="352"/>
      <c r="AW3660" s="352" t="s">
        <v>254</v>
      </c>
    </row>
    <row r="3661" spans="2:49" x14ac:dyDescent="0.2">
      <c r="B3661" s="460" t="s">
        <v>3444</v>
      </c>
      <c r="C3661" s="460">
        <v>6000</v>
      </c>
      <c r="D3661" s="460" t="s">
        <v>2286</v>
      </c>
      <c r="E3661" s="460" t="s">
        <v>2274</v>
      </c>
      <c r="F3661" s="460">
        <v>3</v>
      </c>
      <c r="G3661" s="460">
        <v>1</v>
      </c>
      <c r="H3661" s="461" t="s">
        <v>746</v>
      </c>
      <c r="I3661" s="461" t="s">
        <v>762</v>
      </c>
      <c r="J3661" s="461" t="s">
        <v>700</v>
      </c>
      <c r="K3661" s="594"/>
      <c r="L3661" s="594"/>
      <c r="M3661" s="352">
        <v>6000</v>
      </c>
      <c r="N3661" s="352" t="s">
        <v>871</v>
      </c>
      <c r="O3661" s="460">
        <v>5141</v>
      </c>
      <c r="P3661" s="460" t="s">
        <v>1890</v>
      </c>
      <c r="Q3661" s="460" t="s">
        <v>2553</v>
      </c>
      <c r="R3661" s="460">
        <v>5141</v>
      </c>
      <c r="S3661" s="460" t="s">
        <v>2265</v>
      </c>
      <c r="T3661" s="462">
        <v>0.74223365950407583</v>
      </c>
      <c r="U3661" s="460" t="s">
        <v>2274</v>
      </c>
      <c r="V3661" s="475">
        <v>0</v>
      </c>
      <c r="W3661" s="463" t="s">
        <v>2268</v>
      </c>
      <c r="X3661" s="463" t="s">
        <v>2268</v>
      </c>
      <c r="Y3661" s="463" t="s">
        <v>2554</v>
      </c>
      <c r="Z3661" s="463"/>
      <c r="AA3661" s="463"/>
      <c r="AB3661" s="464">
        <v>0</v>
      </c>
      <c r="AC3661" s="465">
        <v>0</v>
      </c>
      <c r="AD3661" s="465">
        <v>0</v>
      </c>
      <c r="AE3661" s="476">
        <v>0</v>
      </c>
      <c r="AF3661" s="467">
        <v>0</v>
      </c>
      <c r="AG3661" s="468">
        <v>0</v>
      </c>
      <c r="AH3661" s="218">
        <v>0</v>
      </c>
      <c r="AI3661" s="470">
        <v>0</v>
      </c>
      <c r="AJ3661" s="471">
        <v>0</v>
      </c>
      <c r="AK3661" s="218">
        <v>0</v>
      </c>
      <c r="AL3661" s="470">
        <v>0</v>
      </c>
      <c r="AM3661" s="471">
        <v>0</v>
      </c>
      <c r="AN3661" s="477">
        <v>0</v>
      </c>
      <c r="AO3661" s="473">
        <v>0</v>
      </c>
      <c r="AP3661" s="474">
        <v>0</v>
      </c>
      <c r="AQ3661" s="352"/>
      <c r="AR3661" s="352"/>
      <c r="AS3661" s="352"/>
      <c r="AT3661" s="352"/>
      <c r="AU3661" s="352"/>
      <c r="AV3661" s="352"/>
      <c r="AW3661" s="352" t="s">
        <v>254</v>
      </c>
    </row>
    <row r="3662" spans="2:49" x14ac:dyDescent="0.2">
      <c r="B3662" s="460" t="s">
        <v>3445</v>
      </c>
      <c r="C3662" s="460">
        <v>6000</v>
      </c>
      <c r="D3662" s="460" t="s">
        <v>2287</v>
      </c>
      <c r="E3662" s="460" t="s">
        <v>2277</v>
      </c>
      <c r="F3662" s="460">
        <v>4</v>
      </c>
      <c r="G3662" s="460">
        <v>1</v>
      </c>
      <c r="H3662" s="461" t="s">
        <v>746</v>
      </c>
      <c r="I3662" s="461" t="s">
        <v>762</v>
      </c>
      <c r="J3662" s="461" t="s">
        <v>700</v>
      </c>
      <c r="K3662" s="594"/>
      <c r="L3662" s="594"/>
      <c r="M3662" s="352">
        <v>6000</v>
      </c>
      <c r="N3662" s="352" t="s">
        <v>871</v>
      </c>
      <c r="O3662" s="460">
        <v>5141</v>
      </c>
      <c r="P3662" s="460" t="s">
        <v>1890</v>
      </c>
      <c r="Q3662" s="460" t="s">
        <v>2553</v>
      </c>
      <c r="R3662" s="460">
        <v>5141</v>
      </c>
      <c r="S3662" s="460" t="s">
        <v>2277</v>
      </c>
      <c r="T3662" s="462">
        <v>1</v>
      </c>
      <c r="U3662" s="460" t="s">
        <v>2277</v>
      </c>
      <c r="V3662" s="475">
        <v>0</v>
      </c>
      <c r="W3662" s="463" t="s">
        <v>2268</v>
      </c>
      <c r="X3662" s="463" t="s">
        <v>2268</v>
      </c>
      <c r="Y3662" s="463" t="s">
        <v>2554</v>
      </c>
      <c r="Z3662" s="463"/>
      <c r="AA3662" s="463"/>
      <c r="AB3662" s="464">
        <v>0</v>
      </c>
      <c r="AC3662" s="465">
        <v>0</v>
      </c>
      <c r="AD3662" s="465">
        <v>0</v>
      </c>
      <c r="AE3662" s="476">
        <v>0</v>
      </c>
      <c r="AF3662" s="467">
        <v>0</v>
      </c>
      <c r="AG3662" s="468">
        <v>0</v>
      </c>
      <c r="AH3662" s="218">
        <v>0</v>
      </c>
      <c r="AI3662" s="470">
        <v>0</v>
      </c>
      <c r="AJ3662" s="471">
        <v>0</v>
      </c>
      <c r="AK3662" s="218">
        <v>0</v>
      </c>
      <c r="AL3662" s="470">
        <v>0</v>
      </c>
      <c r="AM3662" s="471">
        <v>0</v>
      </c>
      <c r="AN3662" s="477">
        <v>0</v>
      </c>
      <c r="AO3662" s="473">
        <v>0</v>
      </c>
      <c r="AP3662" s="474">
        <v>0</v>
      </c>
      <c r="AQ3662" s="352"/>
      <c r="AR3662" s="352"/>
      <c r="AS3662" s="352"/>
      <c r="AT3662" s="352"/>
      <c r="AU3662" s="352"/>
      <c r="AV3662" s="352"/>
      <c r="AW3662" s="352" t="s">
        <v>254</v>
      </c>
    </row>
    <row r="3663" spans="2:49" x14ac:dyDescent="0.2">
      <c r="B3663" s="460" t="s">
        <v>3442</v>
      </c>
      <c r="C3663" s="460">
        <v>6000</v>
      </c>
      <c r="D3663" s="460" t="s">
        <v>2288</v>
      </c>
      <c r="E3663" s="460" t="s">
        <v>2265</v>
      </c>
      <c r="F3663" s="460">
        <v>1</v>
      </c>
      <c r="G3663" s="460">
        <v>1</v>
      </c>
      <c r="H3663" s="461" t="s">
        <v>748</v>
      </c>
      <c r="I3663" s="461" t="s">
        <v>765</v>
      </c>
      <c r="J3663" s="461" t="s">
        <v>700</v>
      </c>
      <c r="K3663" s="594"/>
      <c r="L3663" s="594"/>
      <c r="M3663" s="352">
        <v>6000</v>
      </c>
      <c r="N3663" s="352" t="s">
        <v>871</v>
      </c>
      <c r="O3663" s="460">
        <v>5141</v>
      </c>
      <c r="P3663" s="460" t="s">
        <v>1890</v>
      </c>
      <c r="Q3663" s="460" t="s">
        <v>2553</v>
      </c>
      <c r="R3663" s="460">
        <v>5141</v>
      </c>
      <c r="S3663" s="460" t="s">
        <v>2265</v>
      </c>
      <c r="T3663" s="462">
        <v>1</v>
      </c>
      <c r="U3663" s="460" t="s">
        <v>2265</v>
      </c>
      <c r="V3663" s="475">
        <v>0</v>
      </c>
      <c r="W3663" s="463" t="s">
        <v>2268</v>
      </c>
      <c r="X3663" s="463" t="s">
        <v>2268</v>
      </c>
      <c r="Y3663" s="463" t="s">
        <v>2554</v>
      </c>
      <c r="Z3663" s="463"/>
      <c r="AA3663" s="463"/>
      <c r="AB3663" s="464">
        <v>0</v>
      </c>
      <c r="AC3663" s="465">
        <v>0</v>
      </c>
      <c r="AD3663" s="465">
        <v>0</v>
      </c>
      <c r="AE3663" s="476">
        <v>0</v>
      </c>
      <c r="AF3663" s="467">
        <v>0</v>
      </c>
      <c r="AG3663" s="468">
        <v>0</v>
      </c>
      <c r="AH3663" s="218">
        <v>0</v>
      </c>
      <c r="AI3663" s="470">
        <v>0</v>
      </c>
      <c r="AJ3663" s="471">
        <v>0</v>
      </c>
      <c r="AK3663" s="218">
        <v>0</v>
      </c>
      <c r="AL3663" s="470">
        <v>0</v>
      </c>
      <c r="AM3663" s="471">
        <v>0</v>
      </c>
      <c r="AN3663" s="477">
        <v>0</v>
      </c>
      <c r="AO3663" s="473">
        <v>0</v>
      </c>
      <c r="AP3663" s="474">
        <v>0</v>
      </c>
      <c r="AQ3663" s="352"/>
      <c r="AR3663" s="352"/>
      <c r="AS3663" s="352"/>
      <c r="AT3663" s="352"/>
      <c r="AU3663" s="352"/>
      <c r="AV3663" s="352"/>
      <c r="AW3663" s="352" t="s">
        <v>254</v>
      </c>
    </row>
    <row r="3664" spans="2:49" x14ac:dyDescent="0.2">
      <c r="B3664" s="460" t="s">
        <v>3443</v>
      </c>
      <c r="C3664" s="460">
        <v>6000</v>
      </c>
      <c r="D3664" s="460" t="s">
        <v>2291</v>
      </c>
      <c r="E3664" s="460" t="s">
        <v>2271</v>
      </c>
      <c r="F3664" s="460">
        <v>2</v>
      </c>
      <c r="G3664" s="460">
        <v>1</v>
      </c>
      <c r="H3664" s="461" t="s">
        <v>748</v>
      </c>
      <c r="I3664" s="461" t="s">
        <v>765</v>
      </c>
      <c r="J3664" s="461" t="s">
        <v>700</v>
      </c>
      <c r="K3664" s="594"/>
      <c r="L3664" s="594"/>
      <c r="M3664" s="352">
        <v>6000</v>
      </c>
      <c r="N3664" s="352" t="s">
        <v>871</v>
      </c>
      <c r="O3664" s="460">
        <v>5141</v>
      </c>
      <c r="P3664" s="460" t="s">
        <v>1890</v>
      </c>
      <c r="Q3664" s="460" t="s">
        <v>2553</v>
      </c>
      <c r="R3664" s="460">
        <v>5141</v>
      </c>
      <c r="S3664" s="460" t="s">
        <v>2265</v>
      </c>
      <c r="T3664" s="462">
        <v>1</v>
      </c>
      <c r="U3664" s="460" t="s">
        <v>2271</v>
      </c>
      <c r="V3664" s="475">
        <v>0</v>
      </c>
      <c r="W3664" s="463" t="s">
        <v>2268</v>
      </c>
      <c r="X3664" s="463" t="s">
        <v>2268</v>
      </c>
      <c r="Y3664" s="463" t="s">
        <v>2554</v>
      </c>
      <c r="Z3664" s="463"/>
      <c r="AA3664" s="463"/>
      <c r="AB3664" s="464">
        <v>0</v>
      </c>
      <c r="AC3664" s="465">
        <v>0</v>
      </c>
      <c r="AD3664" s="465">
        <v>0</v>
      </c>
      <c r="AE3664" s="476">
        <v>0</v>
      </c>
      <c r="AF3664" s="467">
        <v>0</v>
      </c>
      <c r="AG3664" s="468">
        <v>0</v>
      </c>
      <c r="AH3664" s="218">
        <v>0</v>
      </c>
      <c r="AI3664" s="470">
        <v>0</v>
      </c>
      <c r="AJ3664" s="471">
        <v>0</v>
      </c>
      <c r="AK3664" s="218">
        <v>0</v>
      </c>
      <c r="AL3664" s="470">
        <v>0</v>
      </c>
      <c r="AM3664" s="471">
        <v>0</v>
      </c>
      <c r="AN3664" s="477">
        <v>0</v>
      </c>
      <c r="AO3664" s="473">
        <v>0</v>
      </c>
      <c r="AP3664" s="474">
        <v>0</v>
      </c>
      <c r="AQ3664" s="352"/>
      <c r="AR3664" s="352"/>
      <c r="AS3664" s="352"/>
      <c r="AT3664" s="352"/>
      <c r="AU3664" s="352"/>
      <c r="AV3664" s="352"/>
      <c r="AW3664" s="352" t="s">
        <v>254</v>
      </c>
    </row>
    <row r="3665" spans="2:49" x14ac:dyDescent="0.2">
      <c r="B3665" s="460" t="s">
        <v>3444</v>
      </c>
      <c r="C3665" s="460">
        <v>6000</v>
      </c>
      <c r="D3665" s="460" t="s">
        <v>2292</v>
      </c>
      <c r="E3665" s="460" t="s">
        <v>2274</v>
      </c>
      <c r="F3665" s="460">
        <v>3</v>
      </c>
      <c r="G3665" s="460">
        <v>1</v>
      </c>
      <c r="H3665" s="461" t="s">
        <v>748</v>
      </c>
      <c r="I3665" s="461" t="s">
        <v>765</v>
      </c>
      <c r="J3665" s="461" t="s">
        <v>700</v>
      </c>
      <c r="K3665" s="594"/>
      <c r="L3665" s="594"/>
      <c r="M3665" s="352">
        <v>6000</v>
      </c>
      <c r="N3665" s="352" t="s">
        <v>871</v>
      </c>
      <c r="O3665" s="460">
        <v>5141</v>
      </c>
      <c r="P3665" s="460" t="s">
        <v>1890</v>
      </c>
      <c r="Q3665" s="460" t="s">
        <v>2553</v>
      </c>
      <c r="R3665" s="460">
        <v>5141</v>
      </c>
      <c r="S3665" s="460" t="s">
        <v>2265</v>
      </c>
      <c r="T3665" s="462">
        <v>0.74223365950407583</v>
      </c>
      <c r="U3665" s="460" t="s">
        <v>2274</v>
      </c>
      <c r="V3665" s="475">
        <v>0</v>
      </c>
      <c r="W3665" s="463" t="s">
        <v>2268</v>
      </c>
      <c r="X3665" s="463" t="s">
        <v>2268</v>
      </c>
      <c r="Y3665" s="463" t="s">
        <v>2554</v>
      </c>
      <c r="Z3665" s="463"/>
      <c r="AA3665" s="463"/>
      <c r="AB3665" s="464">
        <v>0</v>
      </c>
      <c r="AC3665" s="465">
        <v>0</v>
      </c>
      <c r="AD3665" s="465">
        <v>0</v>
      </c>
      <c r="AE3665" s="476">
        <v>0</v>
      </c>
      <c r="AF3665" s="467">
        <v>0</v>
      </c>
      <c r="AG3665" s="468">
        <v>0</v>
      </c>
      <c r="AH3665" s="218">
        <v>0</v>
      </c>
      <c r="AI3665" s="470">
        <v>0</v>
      </c>
      <c r="AJ3665" s="471">
        <v>0</v>
      </c>
      <c r="AK3665" s="218">
        <v>0</v>
      </c>
      <c r="AL3665" s="470">
        <v>0</v>
      </c>
      <c r="AM3665" s="471">
        <v>0</v>
      </c>
      <c r="AN3665" s="477">
        <v>0</v>
      </c>
      <c r="AO3665" s="473">
        <v>0</v>
      </c>
      <c r="AP3665" s="474">
        <v>0</v>
      </c>
      <c r="AQ3665" s="352"/>
      <c r="AR3665" s="352"/>
      <c r="AS3665" s="352"/>
      <c r="AT3665" s="352"/>
      <c r="AU3665" s="352"/>
      <c r="AV3665" s="352"/>
      <c r="AW3665" s="352" t="s">
        <v>254</v>
      </c>
    </row>
    <row r="3666" spans="2:49" x14ac:dyDescent="0.2">
      <c r="B3666" s="460" t="s">
        <v>3445</v>
      </c>
      <c r="C3666" s="460">
        <v>6000</v>
      </c>
      <c r="D3666" s="460" t="s">
        <v>2293</v>
      </c>
      <c r="E3666" s="460" t="s">
        <v>2277</v>
      </c>
      <c r="F3666" s="460">
        <v>4</v>
      </c>
      <c r="G3666" s="460">
        <v>1</v>
      </c>
      <c r="H3666" s="461" t="s">
        <v>748</v>
      </c>
      <c r="I3666" s="461" t="s">
        <v>765</v>
      </c>
      <c r="J3666" s="461" t="s">
        <v>700</v>
      </c>
      <c r="K3666" s="594"/>
      <c r="L3666" s="594"/>
      <c r="M3666" s="352">
        <v>6000</v>
      </c>
      <c r="N3666" s="352" t="s">
        <v>871</v>
      </c>
      <c r="O3666" s="460">
        <v>5141</v>
      </c>
      <c r="P3666" s="460" t="s">
        <v>1890</v>
      </c>
      <c r="Q3666" s="460" t="s">
        <v>2553</v>
      </c>
      <c r="R3666" s="460">
        <v>5141</v>
      </c>
      <c r="S3666" s="460" t="s">
        <v>2277</v>
      </c>
      <c r="T3666" s="462">
        <v>1</v>
      </c>
      <c r="U3666" s="460" t="s">
        <v>2277</v>
      </c>
      <c r="V3666" s="475">
        <v>0</v>
      </c>
      <c r="W3666" s="463" t="s">
        <v>2268</v>
      </c>
      <c r="X3666" s="463" t="s">
        <v>2268</v>
      </c>
      <c r="Y3666" s="463" t="s">
        <v>2554</v>
      </c>
      <c r="Z3666" s="463"/>
      <c r="AA3666" s="463"/>
      <c r="AB3666" s="464">
        <v>0</v>
      </c>
      <c r="AC3666" s="465">
        <v>0</v>
      </c>
      <c r="AD3666" s="465">
        <v>0</v>
      </c>
      <c r="AE3666" s="476">
        <v>0</v>
      </c>
      <c r="AF3666" s="467">
        <v>0</v>
      </c>
      <c r="AG3666" s="468">
        <v>0</v>
      </c>
      <c r="AH3666" s="218">
        <v>0</v>
      </c>
      <c r="AI3666" s="470">
        <v>0</v>
      </c>
      <c r="AJ3666" s="471">
        <v>0</v>
      </c>
      <c r="AK3666" s="218">
        <v>0</v>
      </c>
      <c r="AL3666" s="470">
        <v>0</v>
      </c>
      <c r="AM3666" s="471">
        <v>0</v>
      </c>
      <c r="AN3666" s="477">
        <v>0</v>
      </c>
      <c r="AO3666" s="473">
        <v>0</v>
      </c>
      <c r="AP3666" s="474">
        <v>0</v>
      </c>
      <c r="AQ3666" s="352"/>
      <c r="AR3666" s="352"/>
      <c r="AS3666" s="352"/>
      <c r="AT3666" s="352"/>
      <c r="AU3666" s="352"/>
      <c r="AV3666" s="352"/>
      <c r="AW3666" s="352" t="s">
        <v>254</v>
      </c>
    </row>
    <row r="3667" spans="2:49" x14ac:dyDescent="0.2">
      <c r="B3667" s="460" t="s">
        <v>3442</v>
      </c>
      <c r="C3667" s="460">
        <v>6000</v>
      </c>
      <c r="D3667" s="460" t="s">
        <v>3446</v>
      </c>
      <c r="E3667" s="460" t="s">
        <v>2265</v>
      </c>
      <c r="F3667" s="460">
        <v>1</v>
      </c>
      <c r="G3667" s="460">
        <v>1</v>
      </c>
      <c r="H3667" s="461" t="s">
        <v>754</v>
      </c>
      <c r="I3667" s="461" t="s">
        <v>1991</v>
      </c>
      <c r="J3667" s="461" t="s">
        <v>754</v>
      </c>
      <c r="K3667" s="594"/>
      <c r="L3667" s="594"/>
      <c r="M3667" s="352">
        <v>6000</v>
      </c>
      <c r="N3667" s="352" t="s">
        <v>871</v>
      </c>
      <c r="O3667" s="460">
        <v>5141</v>
      </c>
      <c r="P3667" s="460" t="s">
        <v>1890</v>
      </c>
      <c r="Q3667" s="460" t="s">
        <v>2377</v>
      </c>
      <c r="R3667" s="460">
        <v>5141</v>
      </c>
      <c r="S3667" s="460" t="s">
        <v>2265</v>
      </c>
      <c r="T3667" s="462">
        <v>1</v>
      </c>
      <c r="U3667" s="460" t="s">
        <v>2265</v>
      </c>
      <c r="V3667" s="475">
        <v>0</v>
      </c>
      <c r="W3667" s="463" t="s">
        <v>2278</v>
      </c>
      <c r="X3667" s="463" t="s">
        <v>2278</v>
      </c>
      <c r="Y3667" s="463" t="s">
        <v>2278</v>
      </c>
      <c r="Z3667" s="463"/>
      <c r="AA3667" s="463"/>
      <c r="AB3667" s="464">
        <v>0</v>
      </c>
      <c r="AC3667" s="465">
        <v>0</v>
      </c>
      <c r="AD3667" s="465">
        <v>0</v>
      </c>
      <c r="AE3667" s="476">
        <v>0</v>
      </c>
      <c r="AF3667" s="467">
        <v>0</v>
      </c>
      <c r="AG3667" s="468">
        <v>0</v>
      </c>
      <c r="AH3667" s="218">
        <v>0</v>
      </c>
      <c r="AI3667" s="470">
        <v>0</v>
      </c>
      <c r="AJ3667" s="471">
        <v>0</v>
      </c>
      <c r="AK3667" s="218">
        <v>0</v>
      </c>
      <c r="AL3667" s="470">
        <v>0</v>
      </c>
      <c r="AM3667" s="471">
        <v>0</v>
      </c>
      <c r="AN3667" s="477">
        <v>0</v>
      </c>
      <c r="AO3667" s="473">
        <v>0</v>
      </c>
      <c r="AP3667" s="474">
        <v>0</v>
      </c>
      <c r="AQ3667" s="352"/>
      <c r="AR3667" s="352"/>
      <c r="AS3667" s="352"/>
      <c r="AT3667" s="352"/>
      <c r="AU3667" s="352"/>
      <c r="AV3667" s="352"/>
      <c r="AW3667" s="352" t="s">
        <v>127</v>
      </c>
    </row>
    <row r="3668" spans="2:49" x14ac:dyDescent="0.2">
      <c r="B3668" s="460" t="s">
        <v>3443</v>
      </c>
      <c r="C3668" s="460">
        <v>6000</v>
      </c>
      <c r="D3668" s="460" t="s">
        <v>3447</v>
      </c>
      <c r="E3668" s="460" t="s">
        <v>2271</v>
      </c>
      <c r="F3668" s="460">
        <v>2</v>
      </c>
      <c r="G3668" s="460">
        <v>1</v>
      </c>
      <c r="H3668" s="461" t="s">
        <v>754</v>
      </c>
      <c r="I3668" s="461" t="s">
        <v>1991</v>
      </c>
      <c r="J3668" s="461" t="s">
        <v>754</v>
      </c>
      <c r="K3668" s="594"/>
      <c r="L3668" s="594"/>
      <c r="M3668" s="352">
        <v>6000</v>
      </c>
      <c r="N3668" s="352" t="s">
        <v>871</v>
      </c>
      <c r="O3668" s="460">
        <v>5141</v>
      </c>
      <c r="P3668" s="460" t="s">
        <v>1890</v>
      </c>
      <c r="Q3668" s="460" t="s">
        <v>2377</v>
      </c>
      <c r="R3668" s="460">
        <v>5141</v>
      </c>
      <c r="S3668" s="460" t="s">
        <v>2265</v>
      </c>
      <c r="T3668" s="462">
        <v>1</v>
      </c>
      <c r="U3668" s="460" t="s">
        <v>2271</v>
      </c>
      <c r="V3668" s="475">
        <v>0</v>
      </c>
      <c r="W3668" s="463" t="s">
        <v>2278</v>
      </c>
      <c r="X3668" s="463" t="s">
        <v>2278</v>
      </c>
      <c r="Y3668" s="463" t="s">
        <v>2278</v>
      </c>
      <c r="Z3668" s="463"/>
      <c r="AA3668" s="463"/>
      <c r="AB3668" s="464">
        <v>0</v>
      </c>
      <c r="AC3668" s="465">
        <v>0</v>
      </c>
      <c r="AD3668" s="465">
        <v>0</v>
      </c>
      <c r="AE3668" s="476">
        <v>0</v>
      </c>
      <c r="AF3668" s="467">
        <v>0</v>
      </c>
      <c r="AG3668" s="468">
        <v>0</v>
      </c>
      <c r="AH3668" s="218">
        <v>0</v>
      </c>
      <c r="AI3668" s="470">
        <v>0</v>
      </c>
      <c r="AJ3668" s="471">
        <v>0</v>
      </c>
      <c r="AK3668" s="218">
        <v>0</v>
      </c>
      <c r="AL3668" s="470">
        <v>0</v>
      </c>
      <c r="AM3668" s="471">
        <v>0</v>
      </c>
      <c r="AN3668" s="477">
        <v>0</v>
      </c>
      <c r="AO3668" s="473">
        <v>0</v>
      </c>
      <c r="AP3668" s="474">
        <v>0</v>
      </c>
      <c r="AQ3668" s="352"/>
      <c r="AR3668" s="352"/>
      <c r="AS3668" s="352"/>
      <c r="AT3668" s="352"/>
      <c r="AU3668" s="352"/>
      <c r="AV3668" s="352"/>
      <c r="AW3668" s="352" t="s">
        <v>127</v>
      </c>
    </row>
    <row r="3669" spans="2:49" x14ac:dyDescent="0.2">
      <c r="B3669" s="460" t="s">
        <v>3444</v>
      </c>
      <c r="C3669" s="460">
        <v>6000</v>
      </c>
      <c r="D3669" s="460" t="s">
        <v>3448</v>
      </c>
      <c r="E3669" s="460" t="s">
        <v>2274</v>
      </c>
      <c r="F3669" s="460">
        <v>3</v>
      </c>
      <c r="G3669" s="460">
        <v>1</v>
      </c>
      <c r="H3669" s="461" t="s">
        <v>754</v>
      </c>
      <c r="I3669" s="461" t="s">
        <v>1991</v>
      </c>
      <c r="J3669" s="461" t="s">
        <v>754</v>
      </c>
      <c r="K3669" s="594"/>
      <c r="L3669" s="594"/>
      <c r="M3669" s="352">
        <v>6000</v>
      </c>
      <c r="N3669" s="352" t="s">
        <v>871</v>
      </c>
      <c r="O3669" s="460">
        <v>5141</v>
      </c>
      <c r="P3669" s="460" t="s">
        <v>1890</v>
      </c>
      <c r="Q3669" s="460" t="s">
        <v>2377</v>
      </c>
      <c r="R3669" s="460">
        <v>5141</v>
      </c>
      <c r="S3669" s="460" t="s">
        <v>2265</v>
      </c>
      <c r="T3669" s="462">
        <v>0.74223365950407583</v>
      </c>
      <c r="U3669" s="460" t="s">
        <v>2274</v>
      </c>
      <c r="V3669" s="475">
        <v>0</v>
      </c>
      <c r="W3669" s="463" t="s">
        <v>2278</v>
      </c>
      <c r="X3669" s="463" t="s">
        <v>2278</v>
      </c>
      <c r="Y3669" s="463" t="s">
        <v>2278</v>
      </c>
      <c r="Z3669" s="463"/>
      <c r="AA3669" s="463"/>
      <c r="AB3669" s="464">
        <v>0</v>
      </c>
      <c r="AC3669" s="465">
        <v>0</v>
      </c>
      <c r="AD3669" s="465">
        <v>0</v>
      </c>
      <c r="AE3669" s="476">
        <v>0</v>
      </c>
      <c r="AF3669" s="467">
        <v>0</v>
      </c>
      <c r="AG3669" s="468">
        <v>0</v>
      </c>
      <c r="AH3669" s="218">
        <v>0</v>
      </c>
      <c r="AI3669" s="470">
        <v>0</v>
      </c>
      <c r="AJ3669" s="471">
        <v>0</v>
      </c>
      <c r="AK3669" s="218">
        <v>0</v>
      </c>
      <c r="AL3669" s="470">
        <v>0</v>
      </c>
      <c r="AM3669" s="471">
        <v>0</v>
      </c>
      <c r="AN3669" s="477">
        <v>0</v>
      </c>
      <c r="AO3669" s="473">
        <v>0</v>
      </c>
      <c r="AP3669" s="474">
        <v>0</v>
      </c>
      <c r="AQ3669" s="352"/>
      <c r="AR3669" s="352"/>
      <c r="AS3669" s="352"/>
      <c r="AT3669" s="352"/>
      <c r="AU3669" s="352"/>
      <c r="AV3669" s="352"/>
      <c r="AW3669" s="352" t="s">
        <v>127</v>
      </c>
    </row>
    <row r="3670" spans="2:49" x14ac:dyDescent="0.2">
      <c r="B3670" s="460" t="s">
        <v>3445</v>
      </c>
      <c r="C3670" s="460">
        <v>6000</v>
      </c>
      <c r="D3670" s="460" t="s">
        <v>3449</v>
      </c>
      <c r="E3670" s="460" t="s">
        <v>2277</v>
      </c>
      <c r="F3670" s="460">
        <v>4</v>
      </c>
      <c r="G3670" s="460">
        <v>1</v>
      </c>
      <c r="H3670" s="461" t="s">
        <v>754</v>
      </c>
      <c r="I3670" s="461" t="s">
        <v>1991</v>
      </c>
      <c r="J3670" s="461" t="s">
        <v>754</v>
      </c>
      <c r="K3670" s="594"/>
      <c r="L3670" s="594"/>
      <c r="M3670" s="352">
        <v>6000</v>
      </c>
      <c r="N3670" s="352" t="s">
        <v>871</v>
      </c>
      <c r="O3670" s="460">
        <v>5141</v>
      </c>
      <c r="P3670" s="460" t="s">
        <v>1890</v>
      </c>
      <c r="Q3670" s="460" t="s">
        <v>2377</v>
      </c>
      <c r="R3670" s="460">
        <v>5141</v>
      </c>
      <c r="S3670" s="460" t="s">
        <v>2277</v>
      </c>
      <c r="T3670" s="462">
        <v>1</v>
      </c>
      <c r="U3670" s="460" t="s">
        <v>2277</v>
      </c>
      <c r="V3670" s="475">
        <v>0</v>
      </c>
      <c r="W3670" s="463" t="s">
        <v>2278</v>
      </c>
      <c r="X3670" s="463" t="s">
        <v>2278</v>
      </c>
      <c r="Y3670" s="463" t="s">
        <v>2278</v>
      </c>
      <c r="Z3670" s="463"/>
      <c r="AA3670" s="463"/>
      <c r="AB3670" s="464">
        <v>0</v>
      </c>
      <c r="AC3670" s="465">
        <v>0</v>
      </c>
      <c r="AD3670" s="465">
        <v>0</v>
      </c>
      <c r="AE3670" s="476">
        <v>0</v>
      </c>
      <c r="AF3670" s="467">
        <v>0</v>
      </c>
      <c r="AG3670" s="468">
        <v>0</v>
      </c>
      <c r="AH3670" s="218">
        <v>0</v>
      </c>
      <c r="AI3670" s="470">
        <v>0</v>
      </c>
      <c r="AJ3670" s="471">
        <v>0</v>
      </c>
      <c r="AK3670" s="218">
        <v>0</v>
      </c>
      <c r="AL3670" s="470">
        <v>0</v>
      </c>
      <c r="AM3670" s="471">
        <v>0</v>
      </c>
      <c r="AN3670" s="477">
        <v>0</v>
      </c>
      <c r="AO3670" s="473">
        <v>0</v>
      </c>
      <c r="AP3670" s="474">
        <v>0</v>
      </c>
      <c r="AQ3670" s="352"/>
      <c r="AR3670" s="352"/>
      <c r="AS3670" s="352"/>
      <c r="AT3670" s="352"/>
      <c r="AU3670" s="352"/>
      <c r="AV3670" s="352"/>
      <c r="AW3670" s="352" t="s">
        <v>127</v>
      </c>
    </row>
    <row r="3671" spans="2:49" x14ac:dyDescent="0.2">
      <c r="B3671" s="460" t="s">
        <v>3450</v>
      </c>
      <c r="C3671" s="460">
        <v>6000</v>
      </c>
      <c r="D3671" s="460" t="s">
        <v>2295</v>
      </c>
      <c r="E3671" s="460" t="s">
        <v>2296</v>
      </c>
      <c r="F3671" s="460">
        <v>1</v>
      </c>
      <c r="G3671" s="460">
        <v>2</v>
      </c>
      <c r="H3671" s="461" t="s">
        <v>700</v>
      </c>
      <c r="I3671" s="461" t="s">
        <v>872</v>
      </c>
      <c r="J3671" s="461" t="s">
        <v>700</v>
      </c>
      <c r="K3671" s="594"/>
      <c r="L3671" s="594"/>
      <c r="M3671" s="352">
        <v>6000</v>
      </c>
      <c r="N3671" s="352" t="s">
        <v>871</v>
      </c>
      <c r="O3671" s="460">
        <v>5141</v>
      </c>
      <c r="P3671" s="460" t="s">
        <v>1890</v>
      </c>
      <c r="Q3671" s="460" t="s">
        <v>2553</v>
      </c>
      <c r="R3671" s="460">
        <v>5141</v>
      </c>
      <c r="S3671" s="460" t="s">
        <v>2296</v>
      </c>
      <c r="T3671" s="462">
        <v>1</v>
      </c>
      <c r="U3671" s="460" t="s">
        <v>2296</v>
      </c>
      <c r="V3671" s="475">
        <v>0</v>
      </c>
      <c r="W3671" s="463" t="s">
        <v>2554</v>
      </c>
      <c r="X3671" s="463" t="s">
        <v>2554</v>
      </c>
      <c r="Y3671" s="463" t="s">
        <v>2268</v>
      </c>
      <c r="Z3671" s="463"/>
      <c r="AA3671" s="463"/>
      <c r="AB3671" s="464">
        <v>0</v>
      </c>
      <c r="AC3671" s="465">
        <v>0</v>
      </c>
      <c r="AD3671" s="465">
        <v>0</v>
      </c>
      <c r="AE3671" s="476">
        <v>0</v>
      </c>
      <c r="AF3671" s="467">
        <v>0</v>
      </c>
      <c r="AG3671" s="468">
        <v>0</v>
      </c>
      <c r="AH3671" s="218">
        <v>0</v>
      </c>
      <c r="AI3671" s="470">
        <v>0</v>
      </c>
      <c r="AJ3671" s="471">
        <v>0</v>
      </c>
      <c r="AK3671" s="218">
        <v>0</v>
      </c>
      <c r="AL3671" s="470">
        <v>0</v>
      </c>
      <c r="AM3671" s="471">
        <v>0</v>
      </c>
      <c r="AN3671" s="477">
        <v>0</v>
      </c>
      <c r="AO3671" s="473">
        <v>0</v>
      </c>
      <c r="AP3671" s="474">
        <v>0</v>
      </c>
      <c r="AQ3671" s="352"/>
      <c r="AR3671" s="352"/>
      <c r="AS3671" s="352"/>
      <c r="AT3671" s="352"/>
      <c r="AU3671" s="352"/>
      <c r="AV3671" s="352"/>
      <c r="AW3671" s="352" t="s">
        <v>254</v>
      </c>
    </row>
    <row r="3672" spans="2:49" x14ac:dyDescent="0.2">
      <c r="B3672" s="460" t="s">
        <v>3451</v>
      </c>
      <c r="C3672" s="460">
        <v>6000</v>
      </c>
      <c r="D3672" s="460" t="s">
        <v>2298</v>
      </c>
      <c r="E3672" s="460" t="s">
        <v>2299</v>
      </c>
      <c r="F3672" s="460">
        <v>2</v>
      </c>
      <c r="G3672" s="460">
        <v>2</v>
      </c>
      <c r="H3672" s="461" t="s">
        <v>700</v>
      </c>
      <c r="I3672" s="461" t="s">
        <v>872</v>
      </c>
      <c r="J3672" s="461" t="s">
        <v>700</v>
      </c>
      <c r="K3672" s="594"/>
      <c r="L3672" s="594"/>
      <c r="M3672" s="352">
        <v>6000</v>
      </c>
      <c r="N3672" s="352" t="s">
        <v>871</v>
      </c>
      <c r="O3672" s="460">
        <v>5141</v>
      </c>
      <c r="P3672" s="460" t="s">
        <v>1890</v>
      </c>
      <c r="Q3672" s="460" t="s">
        <v>2553</v>
      </c>
      <c r="R3672" s="460">
        <v>5141</v>
      </c>
      <c r="S3672" s="460" t="s">
        <v>2296</v>
      </c>
      <c r="T3672" s="462">
        <v>0.55517361979372948</v>
      </c>
      <c r="U3672" s="460" t="s">
        <v>2299</v>
      </c>
      <c r="V3672" s="475">
        <v>0</v>
      </c>
      <c r="W3672" s="463" t="s">
        <v>2554</v>
      </c>
      <c r="X3672" s="463" t="s">
        <v>2554</v>
      </c>
      <c r="Y3672" s="463" t="s">
        <v>2268</v>
      </c>
      <c r="Z3672" s="463"/>
      <c r="AA3672" s="463"/>
      <c r="AB3672" s="464">
        <v>0</v>
      </c>
      <c r="AC3672" s="465">
        <v>0</v>
      </c>
      <c r="AD3672" s="465">
        <v>0</v>
      </c>
      <c r="AE3672" s="476">
        <v>0</v>
      </c>
      <c r="AF3672" s="467">
        <v>0</v>
      </c>
      <c r="AG3672" s="468">
        <v>0</v>
      </c>
      <c r="AH3672" s="218">
        <v>0</v>
      </c>
      <c r="AI3672" s="470">
        <v>0</v>
      </c>
      <c r="AJ3672" s="471">
        <v>0</v>
      </c>
      <c r="AK3672" s="218">
        <v>0</v>
      </c>
      <c r="AL3672" s="470">
        <v>0</v>
      </c>
      <c r="AM3672" s="471">
        <v>0</v>
      </c>
      <c r="AN3672" s="477">
        <v>0</v>
      </c>
      <c r="AO3672" s="473">
        <v>0</v>
      </c>
      <c r="AP3672" s="474">
        <v>0</v>
      </c>
      <c r="AQ3672" s="352"/>
      <c r="AR3672" s="352"/>
      <c r="AS3672" s="352"/>
      <c r="AT3672" s="352"/>
      <c r="AU3672" s="352"/>
      <c r="AV3672" s="352"/>
      <c r="AW3672" s="352" t="s">
        <v>254</v>
      </c>
    </row>
    <row r="3673" spans="2:49" x14ac:dyDescent="0.2">
      <c r="B3673" s="460" t="s">
        <v>3452</v>
      </c>
      <c r="C3673" s="460">
        <v>6000</v>
      </c>
      <c r="D3673" s="460" t="s">
        <v>2301</v>
      </c>
      <c r="E3673" s="460" t="s">
        <v>2302</v>
      </c>
      <c r="F3673" s="460">
        <v>3</v>
      </c>
      <c r="G3673" s="460">
        <v>2</v>
      </c>
      <c r="H3673" s="461" t="s">
        <v>700</v>
      </c>
      <c r="I3673" s="461" t="s">
        <v>872</v>
      </c>
      <c r="J3673" s="461" t="s">
        <v>700</v>
      </c>
      <c r="K3673" s="594"/>
      <c r="L3673" s="594"/>
      <c r="M3673" s="352">
        <v>6000</v>
      </c>
      <c r="N3673" s="352" t="s">
        <v>871</v>
      </c>
      <c r="O3673" s="460">
        <v>5141</v>
      </c>
      <c r="P3673" s="460" t="s">
        <v>1890</v>
      </c>
      <c r="Q3673" s="460" t="s">
        <v>2553</v>
      </c>
      <c r="R3673" s="460">
        <v>5141</v>
      </c>
      <c r="S3673" s="460" t="s">
        <v>2296</v>
      </c>
      <c r="T3673" s="462">
        <v>0.28481449642268464</v>
      </c>
      <c r="U3673" s="460" t="s">
        <v>2302</v>
      </c>
      <c r="V3673" s="475">
        <v>0</v>
      </c>
      <c r="W3673" s="463" t="s">
        <v>2554</v>
      </c>
      <c r="X3673" s="463" t="s">
        <v>2554</v>
      </c>
      <c r="Y3673" s="463" t="s">
        <v>2268</v>
      </c>
      <c r="Z3673" s="463"/>
      <c r="AA3673" s="463"/>
      <c r="AB3673" s="464">
        <v>0</v>
      </c>
      <c r="AC3673" s="465">
        <v>0</v>
      </c>
      <c r="AD3673" s="465">
        <v>0</v>
      </c>
      <c r="AE3673" s="476">
        <v>0</v>
      </c>
      <c r="AF3673" s="467">
        <v>0</v>
      </c>
      <c r="AG3673" s="468">
        <v>0</v>
      </c>
      <c r="AH3673" s="218">
        <v>0</v>
      </c>
      <c r="AI3673" s="470">
        <v>0</v>
      </c>
      <c r="AJ3673" s="471">
        <v>0</v>
      </c>
      <c r="AK3673" s="218">
        <v>0</v>
      </c>
      <c r="AL3673" s="470">
        <v>0</v>
      </c>
      <c r="AM3673" s="471">
        <v>0</v>
      </c>
      <c r="AN3673" s="477">
        <v>0</v>
      </c>
      <c r="AO3673" s="473">
        <v>0</v>
      </c>
      <c r="AP3673" s="474">
        <v>0</v>
      </c>
      <c r="AQ3673" s="352"/>
      <c r="AR3673" s="352"/>
      <c r="AS3673" s="352"/>
      <c r="AT3673" s="352"/>
      <c r="AU3673" s="352"/>
      <c r="AV3673" s="352"/>
      <c r="AW3673" s="352" t="s">
        <v>254</v>
      </c>
    </row>
    <row r="3674" spans="2:49" x14ac:dyDescent="0.2">
      <c r="B3674" s="460" t="s">
        <v>3453</v>
      </c>
      <c r="C3674" s="460">
        <v>6000</v>
      </c>
      <c r="D3674" s="460" t="s">
        <v>2304</v>
      </c>
      <c r="E3674" s="460" t="s">
        <v>2305</v>
      </c>
      <c r="F3674" s="460">
        <v>4</v>
      </c>
      <c r="G3674" s="460">
        <v>2</v>
      </c>
      <c r="H3674" s="461" t="s">
        <v>700</v>
      </c>
      <c r="I3674" s="461" t="s">
        <v>872</v>
      </c>
      <c r="J3674" s="461" t="s">
        <v>700</v>
      </c>
      <c r="K3674" s="594"/>
      <c r="L3674" s="594"/>
      <c r="M3674" s="352">
        <v>6000</v>
      </c>
      <c r="N3674" s="352" t="s">
        <v>871</v>
      </c>
      <c r="O3674" s="460">
        <v>5141</v>
      </c>
      <c r="P3674" s="460" t="s">
        <v>1890</v>
      </c>
      <c r="Q3674" s="460" t="s">
        <v>2553</v>
      </c>
      <c r="R3674" s="460">
        <v>5141</v>
      </c>
      <c r="S3674" s="460" t="s">
        <v>2305</v>
      </c>
      <c r="T3674" s="462">
        <v>1</v>
      </c>
      <c r="U3674" s="460" t="s">
        <v>2305</v>
      </c>
      <c r="V3674" s="475">
        <v>0</v>
      </c>
      <c r="W3674" s="463" t="s">
        <v>2554</v>
      </c>
      <c r="X3674" s="463" t="s">
        <v>2554</v>
      </c>
      <c r="Y3674" s="463" t="s">
        <v>2268</v>
      </c>
      <c r="Z3674" s="463"/>
      <c r="AA3674" s="463"/>
      <c r="AB3674" s="464">
        <v>0</v>
      </c>
      <c r="AC3674" s="465">
        <v>0</v>
      </c>
      <c r="AD3674" s="465">
        <v>0</v>
      </c>
      <c r="AE3674" s="476">
        <v>0</v>
      </c>
      <c r="AF3674" s="467">
        <v>0</v>
      </c>
      <c r="AG3674" s="468">
        <v>0</v>
      </c>
      <c r="AH3674" s="218">
        <v>0</v>
      </c>
      <c r="AI3674" s="470">
        <v>0</v>
      </c>
      <c r="AJ3674" s="471">
        <v>0</v>
      </c>
      <c r="AK3674" s="218">
        <v>0</v>
      </c>
      <c r="AL3674" s="470">
        <v>0</v>
      </c>
      <c r="AM3674" s="471">
        <v>0</v>
      </c>
      <c r="AN3674" s="477">
        <v>0</v>
      </c>
      <c r="AO3674" s="473">
        <v>0</v>
      </c>
      <c r="AP3674" s="474">
        <v>0</v>
      </c>
      <c r="AQ3674" s="352"/>
      <c r="AR3674" s="352"/>
      <c r="AS3674" s="352"/>
      <c r="AT3674" s="352"/>
      <c r="AU3674" s="352"/>
      <c r="AV3674" s="352"/>
      <c r="AW3674" s="352" t="s">
        <v>254</v>
      </c>
    </row>
    <row r="3675" spans="2:49" x14ac:dyDescent="0.2">
      <c r="B3675" s="460" t="s">
        <v>3450</v>
      </c>
      <c r="C3675" s="460">
        <v>6000</v>
      </c>
      <c r="D3675" s="460" t="s">
        <v>2306</v>
      </c>
      <c r="E3675" s="460" t="s">
        <v>2296</v>
      </c>
      <c r="F3675" s="460">
        <v>1</v>
      </c>
      <c r="G3675" s="460">
        <v>2</v>
      </c>
      <c r="H3675" s="461" t="s">
        <v>712</v>
      </c>
      <c r="I3675" s="461" t="s">
        <v>713</v>
      </c>
      <c r="J3675" s="461" t="s">
        <v>712</v>
      </c>
      <c r="K3675" s="594"/>
      <c r="L3675" s="594"/>
      <c r="M3675" s="352">
        <v>6000</v>
      </c>
      <c r="N3675" s="352" t="s">
        <v>871</v>
      </c>
      <c r="O3675" s="460">
        <v>5141</v>
      </c>
      <c r="P3675" s="460" t="s">
        <v>1890</v>
      </c>
      <c r="Q3675" s="460" t="s">
        <v>2280</v>
      </c>
      <c r="R3675" s="460">
        <v>5141</v>
      </c>
      <c r="S3675" s="460" t="s">
        <v>2296</v>
      </c>
      <c r="T3675" s="462">
        <v>1</v>
      </c>
      <c r="U3675" s="460" t="s">
        <v>2296</v>
      </c>
      <c r="V3675" s="475">
        <v>0</v>
      </c>
      <c r="W3675" s="463" t="s">
        <v>713</v>
      </c>
      <c r="X3675" s="463" t="s">
        <v>713</v>
      </c>
      <c r="Y3675" s="463" t="s">
        <v>713</v>
      </c>
      <c r="Z3675" s="463"/>
      <c r="AA3675" s="463"/>
      <c r="AB3675" s="464">
        <v>2468.1804661755259</v>
      </c>
      <c r="AC3675" s="465">
        <v>0.99050133693631426</v>
      </c>
      <c r="AD3675" s="465">
        <v>2.1347235783900336E-2</v>
      </c>
      <c r="AE3675" s="476">
        <v>2468.1804661755259</v>
      </c>
      <c r="AF3675" s="467">
        <v>0.99050133693631437</v>
      </c>
      <c r="AG3675" s="468">
        <v>2.1034669761602523E-2</v>
      </c>
      <c r="AH3675" s="218">
        <v>2468.1804661755259</v>
      </c>
      <c r="AI3675" s="470">
        <v>0.99050133693631437</v>
      </c>
      <c r="AJ3675" s="471">
        <v>2.1281755573695028E-2</v>
      </c>
      <c r="AK3675" s="218">
        <v>2468.1804661755259</v>
      </c>
      <c r="AL3675" s="470">
        <v>0.99050133693631437</v>
      </c>
      <c r="AM3675" s="471">
        <v>2.1281755573695028E-2</v>
      </c>
      <c r="AN3675" s="477">
        <v>2468.1804661755259</v>
      </c>
      <c r="AO3675" s="473">
        <v>0.99050133693631437</v>
      </c>
      <c r="AP3675" s="474">
        <v>2.1276532737908301E-2</v>
      </c>
      <c r="AQ3675" s="352"/>
      <c r="AR3675" s="352"/>
      <c r="AS3675" s="352"/>
      <c r="AT3675" s="352"/>
      <c r="AU3675" s="352"/>
      <c r="AV3675" s="352"/>
      <c r="AW3675" s="352" t="s">
        <v>254</v>
      </c>
    </row>
    <row r="3676" spans="2:49" x14ac:dyDescent="0.2">
      <c r="B3676" s="460" t="s">
        <v>3451</v>
      </c>
      <c r="C3676" s="460">
        <v>6000</v>
      </c>
      <c r="D3676" s="460" t="s">
        <v>2307</v>
      </c>
      <c r="E3676" s="460" t="s">
        <v>2299</v>
      </c>
      <c r="F3676" s="460">
        <v>2</v>
      </c>
      <c r="G3676" s="460">
        <v>2</v>
      </c>
      <c r="H3676" s="461" t="s">
        <v>712</v>
      </c>
      <c r="I3676" s="461" t="s">
        <v>713</v>
      </c>
      <c r="J3676" s="461" t="s">
        <v>712</v>
      </c>
      <c r="K3676" s="594"/>
      <c r="L3676" s="594"/>
      <c r="M3676" s="352">
        <v>6000</v>
      </c>
      <c r="N3676" s="352" t="s">
        <v>871</v>
      </c>
      <c r="O3676" s="460">
        <v>5141</v>
      </c>
      <c r="P3676" s="460" t="s">
        <v>1890</v>
      </c>
      <c r="Q3676" s="460" t="s">
        <v>2280</v>
      </c>
      <c r="R3676" s="460">
        <v>5141</v>
      </c>
      <c r="S3676" s="460" t="s">
        <v>2296</v>
      </c>
      <c r="T3676" s="462">
        <v>0.55517361979372948</v>
      </c>
      <c r="U3676" s="460" t="s">
        <v>2299</v>
      </c>
      <c r="V3676" s="475">
        <v>0</v>
      </c>
      <c r="W3676" s="463" t="s">
        <v>713</v>
      </c>
      <c r="X3676" s="463" t="s">
        <v>713</v>
      </c>
      <c r="Y3676" s="463" t="s">
        <v>713</v>
      </c>
      <c r="Z3676" s="463"/>
      <c r="AA3676" s="463"/>
      <c r="AB3676" s="464">
        <v>5614.9544343105044</v>
      </c>
      <c r="AC3676" s="465">
        <v>1</v>
      </c>
      <c r="AD3676" s="465">
        <v>6.4946788435645234E-2</v>
      </c>
      <c r="AE3676" s="476">
        <v>5614.9544343105044</v>
      </c>
      <c r="AF3676" s="467">
        <v>1</v>
      </c>
      <c r="AG3676" s="468">
        <v>6.4677570121803377E-2</v>
      </c>
      <c r="AH3676" s="218">
        <v>5614.9544343105044</v>
      </c>
      <c r="AI3676" s="470">
        <v>1</v>
      </c>
      <c r="AJ3676" s="471">
        <v>6.5784251761334872E-2</v>
      </c>
      <c r="AK3676" s="218">
        <v>5614.9544343105044</v>
      </c>
      <c r="AL3676" s="470">
        <v>1</v>
      </c>
      <c r="AM3676" s="471">
        <v>6.5784251761334872E-2</v>
      </c>
      <c r="AN3676" s="477">
        <v>5614.9544343105044</v>
      </c>
      <c r="AO3676" s="473">
        <v>1</v>
      </c>
      <c r="AP3676" s="474">
        <v>6.5775947506000881E-2</v>
      </c>
      <c r="AQ3676" s="352"/>
      <c r="AR3676" s="352"/>
      <c r="AS3676" s="352"/>
      <c r="AT3676" s="352"/>
      <c r="AU3676" s="352"/>
      <c r="AV3676" s="352"/>
      <c r="AW3676" s="352" t="s">
        <v>254</v>
      </c>
    </row>
    <row r="3677" spans="2:49" x14ac:dyDescent="0.2">
      <c r="B3677" s="460" t="s">
        <v>3452</v>
      </c>
      <c r="C3677" s="460">
        <v>6000</v>
      </c>
      <c r="D3677" s="460" t="s">
        <v>2308</v>
      </c>
      <c r="E3677" s="460" t="s">
        <v>2302</v>
      </c>
      <c r="F3677" s="460">
        <v>3</v>
      </c>
      <c r="G3677" s="460">
        <v>2</v>
      </c>
      <c r="H3677" s="461" t="s">
        <v>712</v>
      </c>
      <c r="I3677" s="461" t="s">
        <v>713</v>
      </c>
      <c r="J3677" s="461" t="s">
        <v>712</v>
      </c>
      <c r="K3677" s="594"/>
      <c r="L3677" s="594"/>
      <c r="M3677" s="352">
        <v>6000</v>
      </c>
      <c r="N3677" s="352" t="s">
        <v>871</v>
      </c>
      <c r="O3677" s="460">
        <v>5141</v>
      </c>
      <c r="P3677" s="460" t="s">
        <v>1890</v>
      </c>
      <c r="Q3677" s="460" t="s">
        <v>2280</v>
      </c>
      <c r="R3677" s="460">
        <v>5141</v>
      </c>
      <c r="S3677" s="460" t="s">
        <v>2296</v>
      </c>
      <c r="T3677" s="462">
        <v>0.28481449642268464</v>
      </c>
      <c r="U3677" s="460" t="s">
        <v>2302</v>
      </c>
      <c r="V3677" s="475">
        <v>0</v>
      </c>
      <c r="W3677" s="463" t="s">
        <v>713</v>
      </c>
      <c r="X3677" s="463" t="s">
        <v>713</v>
      </c>
      <c r="Y3677" s="463" t="s">
        <v>713</v>
      </c>
      <c r="Z3677" s="463"/>
      <c r="AA3677" s="463"/>
      <c r="AB3677" s="464">
        <v>97.342950778529101</v>
      </c>
      <c r="AC3677" s="465">
        <v>1</v>
      </c>
      <c r="AD3677" s="465">
        <v>2.8314631878404821E-3</v>
      </c>
      <c r="AE3677" s="476">
        <v>97.342950778529101</v>
      </c>
      <c r="AF3677" s="467">
        <v>1</v>
      </c>
      <c r="AG3677" s="468">
        <v>2.8266520742148875E-3</v>
      </c>
      <c r="AH3677" s="218">
        <v>97.342950778529101</v>
      </c>
      <c r="AI3677" s="470">
        <v>1</v>
      </c>
      <c r="AJ3677" s="471">
        <v>2.8689473537508439E-3</v>
      </c>
      <c r="AK3677" s="218">
        <v>97.342950778529101</v>
      </c>
      <c r="AL3677" s="470">
        <v>1</v>
      </c>
      <c r="AM3677" s="471">
        <v>2.8689473537508439E-3</v>
      </c>
      <c r="AN3677" s="477">
        <v>97.342950778529101</v>
      </c>
      <c r="AO3677" s="473">
        <v>1</v>
      </c>
      <c r="AP3677" s="474">
        <v>2.8714420627874312E-3</v>
      </c>
      <c r="AQ3677" s="352"/>
      <c r="AR3677" s="352"/>
      <c r="AS3677" s="352"/>
      <c r="AT3677" s="352"/>
      <c r="AU3677" s="352"/>
      <c r="AV3677" s="352"/>
      <c r="AW3677" s="352" t="s">
        <v>254</v>
      </c>
    </row>
    <row r="3678" spans="2:49" x14ac:dyDescent="0.2">
      <c r="B3678" s="460" t="s">
        <v>3453</v>
      </c>
      <c r="C3678" s="460">
        <v>6000</v>
      </c>
      <c r="D3678" s="460" t="s">
        <v>2309</v>
      </c>
      <c r="E3678" s="460" t="s">
        <v>2305</v>
      </c>
      <c r="F3678" s="460">
        <v>4</v>
      </c>
      <c r="G3678" s="460">
        <v>2</v>
      </c>
      <c r="H3678" s="461" t="s">
        <v>712</v>
      </c>
      <c r="I3678" s="461" t="s">
        <v>713</v>
      </c>
      <c r="J3678" s="461" t="s">
        <v>712</v>
      </c>
      <c r="K3678" s="594"/>
      <c r="L3678" s="594"/>
      <c r="M3678" s="352">
        <v>6000</v>
      </c>
      <c r="N3678" s="352" t="s">
        <v>871</v>
      </c>
      <c r="O3678" s="460">
        <v>5141</v>
      </c>
      <c r="P3678" s="460" t="s">
        <v>1890</v>
      </c>
      <c r="Q3678" s="460" t="s">
        <v>2280</v>
      </c>
      <c r="R3678" s="460">
        <v>5141</v>
      </c>
      <c r="S3678" s="460" t="s">
        <v>2305</v>
      </c>
      <c r="T3678" s="462">
        <v>1</v>
      </c>
      <c r="U3678" s="460" t="s">
        <v>2305</v>
      </c>
      <c r="V3678" s="475">
        <v>0</v>
      </c>
      <c r="W3678" s="463" t="s">
        <v>713</v>
      </c>
      <c r="X3678" s="463" t="s">
        <v>713</v>
      </c>
      <c r="Y3678" s="463" t="s">
        <v>713</v>
      </c>
      <c r="Z3678" s="463"/>
      <c r="AA3678" s="463"/>
      <c r="AB3678" s="464">
        <v>110.55311064489922</v>
      </c>
      <c r="AC3678" s="465">
        <v>1</v>
      </c>
      <c r="AD3678" s="465">
        <v>2.8235156578081278E-3</v>
      </c>
      <c r="AE3678" s="476">
        <v>110.55311064489922</v>
      </c>
      <c r="AF3678" s="467">
        <v>1</v>
      </c>
      <c r="AG3678" s="468">
        <v>2.8234250896284042E-3</v>
      </c>
      <c r="AH3678" s="218">
        <v>110.55311064489922</v>
      </c>
      <c r="AI3678" s="470">
        <v>1</v>
      </c>
      <c r="AJ3678" s="471">
        <v>2.823428507469093E-3</v>
      </c>
      <c r="AK3678" s="218">
        <v>110.55311064489922</v>
      </c>
      <c r="AL3678" s="470">
        <v>1</v>
      </c>
      <c r="AM3678" s="471">
        <v>2.823428507469093E-3</v>
      </c>
      <c r="AN3678" s="477">
        <v>110.55311064489922</v>
      </c>
      <c r="AO3678" s="473">
        <v>1</v>
      </c>
      <c r="AP3678" s="474">
        <v>2.8234319610836514E-3</v>
      </c>
      <c r="AQ3678" s="352"/>
      <c r="AR3678" s="352"/>
      <c r="AS3678" s="352"/>
      <c r="AT3678" s="352"/>
      <c r="AU3678" s="352"/>
      <c r="AV3678" s="352"/>
      <c r="AW3678" s="352" t="s">
        <v>254</v>
      </c>
    </row>
    <row r="3679" spans="2:49" x14ac:dyDescent="0.2">
      <c r="B3679" s="460" t="s">
        <v>3450</v>
      </c>
      <c r="C3679" s="460">
        <v>6000</v>
      </c>
      <c r="D3679" s="460" t="s">
        <v>3382</v>
      </c>
      <c r="E3679" s="460" t="s">
        <v>2296</v>
      </c>
      <c r="F3679" s="460">
        <v>1</v>
      </c>
      <c r="G3679" s="460">
        <v>2</v>
      </c>
      <c r="H3679" s="461" t="s">
        <v>719</v>
      </c>
      <c r="I3679" s="461" t="s">
        <v>720</v>
      </c>
      <c r="J3679" s="461" t="s">
        <v>719</v>
      </c>
      <c r="K3679" s="594"/>
      <c r="L3679" s="594"/>
      <c r="M3679" s="352">
        <v>6000</v>
      </c>
      <c r="N3679" s="352" t="s">
        <v>871</v>
      </c>
      <c r="O3679" s="460">
        <v>5141</v>
      </c>
      <c r="P3679" s="460" t="s">
        <v>1890</v>
      </c>
      <c r="Q3679" s="460" t="s">
        <v>3374</v>
      </c>
      <c r="R3679" s="460">
        <v>5141</v>
      </c>
      <c r="S3679" s="460" t="s">
        <v>2296</v>
      </c>
      <c r="T3679" s="462">
        <v>1</v>
      </c>
      <c r="U3679" s="460" t="s">
        <v>2296</v>
      </c>
      <c r="V3679" s="475">
        <v>0</v>
      </c>
      <c r="W3679" s="463" t="s">
        <v>2278</v>
      </c>
      <c r="X3679" s="463" t="s">
        <v>2278</v>
      </c>
      <c r="Y3679" s="463" t="s">
        <v>2278</v>
      </c>
      <c r="Z3679" s="463"/>
      <c r="AA3679" s="463"/>
      <c r="AB3679" s="464">
        <v>23.669240771634986</v>
      </c>
      <c r="AC3679" s="465">
        <v>9.4986630636856809E-3</v>
      </c>
      <c r="AD3679" s="465">
        <v>7.4411883409289418E-3</v>
      </c>
      <c r="AE3679" s="476">
        <v>23.669240771634986</v>
      </c>
      <c r="AF3679" s="467">
        <v>9.4986630636856809E-3</v>
      </c>
      <c r="AG3679" s="468">
        <v>7.4411883409289418E-3</v>
      </c>
      <c r="AH3679" s="218">
        <v>23.669240771634986</v>
      </c>
      <c r="AI3679" s="470">
        <v>9.4986630636856809E-3</v>
      </c>
      <c r="AJ3679" s="471">
        <v>7.4411883409289418E-3</v>
      </c>
      <c r="AK3679" s="218">
        <v>23.669240771634986</v>
      </c>
      <c r="AL3679" s="470">
        <v>9.4986630636856809E-3</v>
      </c>
      <c r="AM3679" s="471">
        <v>7.4411883409289418E-3</v>
      </c>
      <c r="AN3679" s="477">
        <v>23.669240771634986</v>
      </c>
      <c r="AO3679" s="473">
        <v>9.4986630636856809E-3</v>
      </c>
      <c r="AP3679" s="474">
        <v>7.4411883409289418E-3</v>
      </c>
      <c r="AQ3679" s="352"/>
      <c r="AR3679" s="352"/>
      <c r="AS3679" s="352"/>
      <c r="AT3679" s="352"/>
      <c r="AU3679" s="352"/>
      <c r="AV3679" s="352"/>
      <c r="AW3679" s="352" t="s">
        <v>254</v>
      </c>
    </row>
    <row r="3680" spans="2:49" x14ac:dyDescent="0.2">
      <c r="B3680" s="460" t="s">
        <v>3451</v>
      </c>
      <c r="C3680" s="460">
        <v>6000</v>
      </c>
      <c r="D3680" s="460" t="s">
        <v>3383</v>
      </c>
      <c r="E3680" s="460" t="s">
        <v>2299</v>
      </c>
      <c r="F3680" s="460">
        <v>2</v>
      </c>
      <c r="G3680" s="460">
        <v>2</v>
      </c>
      <c r="H3680" s="461" t="s">
        <v>719</v>
      </c>
      <c r="I3680" s="461" t="s">
        <v>720</v>
      </c>
      <c r="J3680" s="461" t="s">
        <v>719</v>
      </c>
      <c r="K3680" s="594"/>
      <c r="L3680" s="594"/>
      <c r="M3680" s="352">
        <v>6000</v>
      </c>
      <c r="N3680" s="352" t="s">
        <v>871</v>
      </c>
      <c r="O3680" s="460">
        <v>5141</v>
      </c>
      <c r="P3680" s="460" t="s">
        <v>1890</v>
      </c>
      <c r="Q3680" s="460" t="s">
        <v>3374</v>
      </c>
      <c r="R3680" s="460">
        <v>5141</v>
      </c>
      <c r="S3680" s="460" t="s">
        <v>2296</v>
      </c>
      <c r="T3680" s="462">
        <v>0.55517361979372948</v>
      </c>
      <c r="U3680" s="460" t="s">
        <v>2299</v>
      </c>
      <c r="V3680" s="475">
        <v>0</v>
      </c>
      <c r="W3680" s="463" t="s">
        <v>2278</v>
      </c>
      <c r="X3680" s="463" t="s">
        <v>2278</v>
      </c>
      <c r="Y3680" s="463" t="s">
        <v>2278</v>
      </c>
      <c r="Z3680" s="463"/>
      <c r="AA3680" s="463"/>
      <c r="AB3680" s="464">
        <v>0</v>
      </c>
      <c r="AC3680" s="465">
        <v>0</v>
      </c>
      <c r="AD3680" s="465">
        <v>0</v>
      </c>
      <c r="AE3680" s="476">
        <v>0</v>
      </c>
      <c r="AF3680" s="467">
        <v>0</v>
      </c>
      <c r="AG3680" s="468">
        <v>0</v>
      </c>
      <c r="AH3680" s="218">
        <v>0</v>
      </c>
      <c r="AI3680" s="470">
        <v>0</v>
      </c>
      <c r="AJ3680" s="471">
        <v>0</v>
      </c>
      <c r="AK3680" s="218">
        <v>0</v>
      </c>
      <c r="AL3680" s="470">
        <v>0</v>
      </c>
      <c r="AM3680" s="471">
        <v>0</v>
      </c>
      <c r="AN3680" s="477">
        <v>0</v>
      </c>
      <c r="AO3680" s="473">
        <v>0</v>
      </c>
      <c r="AP3680" s="474">
        <v>0</v>
      </c>
      <c r="AQ3680" s="352"/>
      <c r="AR3680" s="352"/>
      <c r="AS3680" s="352"/>
      <c r="AT3680" s="352"/>
      <c r="AU3680" s="352"/>
      <c r="AV3680" s="352"/>
      <c r="AW3680" s="352" t="s">
        <v>254</v>
      </c>
    </row>
    <row r="3681" spans="2:49" x14ac:dyDescent="0.2">
      <c r="B3681" s="460" t="s">
        <v>3452</v>
      </c>
      <c r="C3681" s="460">
        <v>6000</v>
      </c>
      <c r="D3681" s="460" t="s">
        <v>3384</v>
      </c>
      <c r="E3681" s="460" t="s">
        <v>2302</v>
      </c>
      <c r="F3681" s="460">
        <v>3</v>
      </c>
      <c r="G3681" s="460">
        <v>2</v>
      </c>
      <c r="H3681" s="461" t="s">
        <v>719</v>
      </c>
      <c r="I3681" s="461" t="s">
        <v>720</v>
      </c>
      <c r="J3681" s="461" t="s">
        <v>719</v>
      </c>
      <c r="K3681" s="594"/>
      <c r="L3681" s="594"/>
      <c r="M3681" s="352">
        <v>6000</v>
      </c>
      <c r="N3681" s="352" t="s">
        <v>871</v>
      </c>
      <c r="O3681" s="460">
        <v>5141</v>
      </c>
      <c r="P3681" s="460" t="s">
        <v>1890</v>
      </c>
      <c r="Q3681" s="460" t="s">
        <v>3374</v>
      </c>
      <c r="R3681" s="460">
        <v>5141</v>
      </c>
      <c r="S3681" s="460" t="s">
        <v>2296</v>
      </c>
      <c r="T3681" s="462">
        <v>0.28481449642268464</v>
      </c>
      <c r="U3681" s="460" t="s">
        <v>2302</v>
      </c>
      <c r="V3681" s="475">
        <v>0</v>
      </c>
      <c r="W3681" s="463" t="s">
        <v>2278</v>
      </c>
      <c r="X3681" s="463" t="s">
        <v>2278</v>
      </c>
      <c r="Y3681" s="463" t="s">
        <v>2278</v>
      </c>
      <c r="Z3681" s="463"/>
      <c r="AA3681" s="463"/>
      <c r="AB3681" s="464">
        <v>0</v>
      </c>
      <c r="AC3681" s="465">
        <v>0</v>
      </c>
      <c r="AD3681" s="465">
        <v>0</v>
      </c>
      <c r="AE3681" s="476">
        <v>0</v>
      </c>
      <c r="AF3681" s="467">
        <v>0</v>
      </c>
      <c r="AG3681" s="468">
        <v>0</v>
      </c>
      <c r="AH3681" s="218">
        <v>0</v>
      </c>
      <c r="AI3681" s="470">
        <v>0</v>
      </c>
      <c r="AJ3681" s="471">
        <v>0</v>
      </c>
      <c r="AK3681" s="218">
        <v>0</v>
      </c>
      <c r="AL3681" s="470">
        <v>0</v>
      </c>
      <c r="AM3681" s="471">
        <v>0</v>
      </c>
      <c r="AN3681" s="477">
        <v>0</v>
      </c>
      <c r="AO3681" s="473">
        <v>0</v>
      </c>
      <c r="AP3681" s="474">
        <v>0</v>
      </c>
      <c r="AQ3681" s="352"/>
      <c r="AR3681" s="352"/>
      <c r="AS3681" s="352"/>
      <c r="AT3681" s="352"/>
      <c r="AU3681" s="352"/>
      <c r="AV3681" s="352"/>
      <c r="AW3681" s="352" t="s">
        <v>254</v>
      </c>
    </row>
    <row r="3682" spans="2:49" x14ac:dyDescent="0.2">
      <c r="B3682" s="460" t="s">
        <v>3453</v>
      </c>
      <c r="C3682" s="460">
        <v>6000</v>
      </c>
      <c r="D3682" s="460" t="s">
        <v>3385</v>
      </c>
      <c r="E3682" s="460" t="s">
        <v>2305</v>
      </c>
      <c r="F3682" s="460">
        <v>4</v>
      </c>
      <c r="G3682" s="460">
        <v>2</v>
      </c>
      <c r="H3682" s="461" t="s">
        <v>719</v>
      </c>
      <c r="I3682" s="461" t="s">
        <v>720</v>
      </c>
      <c r="J3682" s="461" t="s">
        <v>719</v>
      </c>
      <c r="K3682" s="594"/>
      <c r="L3682" s="594"/>
      <c r="M3682" s="352">
        <v>6000</v>
      </c>
      <c r="N3682" s="352" t="s">
        <v>871</v>
      </c>
      <c r="O3682" s="460">
        <v>5141</v>
      </c>
      <c r="P3682" s="460" t="s">
        <v>1890</v>
      </c>
      <c r="Q3682" s="460" t="s">
        <v>3374</v>
      </c>
      <c r="R3682" s="460">
        <v>5141</v>
      </c>
      <c r="S3682" s="460" t="s">
        <v>2305</v>
      </c>
      <c r="T3682" s="462">
        <v>1</v>
      </c>
      <c r="U3682" s="460" t="s">
        <v>2305</v>
      </c>
      <c r="V3682" s="475">
        <v>0</v>
      </c>
      <c r="W3682" s="463" t="s">
        <v>2278</v>
      </c>
      <c r="X3682" s="463" t="s">
        <v>2278</v>
      </c>
      <c r="Y3682" s="463" t="s">
        <v>2278</v>
      </c>
      <c r="Z3682" s="463"/>
      <c r="AA3682" s="463"/>
      <c r="AB3682" s="464">
        <v>0</v>
      </c>
      <c r="AC3682" s="465">
        <v>0</v>
      </c>
      <c r="AD3682" s="465">
        <v>0</v>
      </c>
      <c r="AE3682" s="476">
        <v>0</v>
      </c>
      <c r="AF3682" s="467">
        <v>0</v>
      </c>
      <c r="AG3682" s="468">
        <v>0</v>
      </c>
      <c r="AH3682" s="218">
        <v>0</v>
      </c>
      <c r="AI3682" s="470">
        <v>0</v>
      </c>
      <c r="AJ3682" s="471">
        <v>0</v>
      </c>
      <c r="AK3682" s="218">
        <v>0</v>
      </c>
      <c r="AL3682" s="470">
        <v>0</v>
      </c>
      <c r="AM3682" s="471">
        <v>0</v>
      </c>
      <c r="AN3682" s="477">
        <v>0</v>
      </c>
      <c r="AO3682" s="473">
        <v>0</v>
      </c>
      <c r="AP3682" s="474">
        <v>0</v>
      </c>
      <c r="AQ3682" s="352"/>
      <c r="AR3682" s="352"/>
      <c r="AS3682" s="352"/>
      <c r="AT3682" s="352"/>
      <c r="AU3682" s="352"/>
      <c r="AV3682" s="352"/>
      <c r="AW3682" s="352" t="s">
        <v>254</v>
      </c>
    </row>
    <row r="3683" spans="2:49" x14ac:dyDescent="0.2">
      <c r="B3683" s="460" t="s">
        <v>3450</v>
      </c>
      <c r="C3683" s="460">
        <v>6000</v>
      </c>
      <c r="D3683" s="460" t="s">
        <v>2310</v>
      </c>
      <c r="E3683" s="460" t="s">
        <v>2296</v>
      </c>
      <c r="F3683" s="460">
        <v>1</v>
      </c>
      <c r="G3683" s="460">
        <v>2</v>
      </c>
      <c r="H3683" s="461" t="s">
        <v>746</v>
      </c>
      <c r="I3683" s="461" t="s">
        <v>762</v>
      </c>
      <c r="J3683" s="461" t="s">
        <v>700</v>
      </c>
      <c r="K3683" s="594"/>
      <c r="L3683" s="594"/>
      <c r="M3683" s="352">
        <v>6000</v>
      </c>
      <c r="N3683" s="352" t="s">
        <v>871</v>
      </c>
      <c r="O3683" s="460">
        <v>5141</v>
      </c>
      <c r="P3683" s="460" t="s">
        <v>1890</v>
      </c>
      <c r="Q3683" s="460" t="s">
        <v>2553</v>
      </c>
      <c r="R3683" s="460">
        <v>5141</v>
      </c>
      <c r="S3683" s="460" t="s">
        <v>2296</v>
      </c>
      <c r="T3683" s="462">
        <v>1</v>
      </c>
      <c r="U3683" s="460" t="s">
        <v>2296</v>
      </c>
      <c r="V3683" s="475">
        <v>0</v>
      </c>
      <c r="W3683" s="463" t="s">
        <v>2268</v>
      </c>
      <c r="X3683" s="463" t="s">
        <v>2268</v>
      </c>
      <c r="Y3683" s="463" t="s">
        <v>2554</v>
      </c>
      <c r="Z3683" s="463"/>
      <c r="AA3683" s="463"/>
      <c r="AB3683" s="464">
        <v>0</v>
      </c>
      <c r="AC3683" s="465">
        <v>0</v>
      </c>
      <c r="AD3683" s="465">
        <v>0</v>
      </c>
      <c r="AE3683" s="476">
        <v>0</v>
      </c>
      <c r="AF3683" s="467">
        <v>0</v>
      </c>
      <c r="AG3683" s="468">
        <v>0</v>
      </c>
      <c r="AH3683" s="218">
        <v>0</v>
      </c>
      <c r="AI3683" s="470">
        <v>0</v>
      </c>
      <c r="AJ3683" s="471">
        <v>0</v>
      </c>
      <c r="AK3683" s="218">
        <v>0</v>
      </c>
      <c r="AL3683" s="470">
        <v>0</v>
      </c>
      <c r="AM3683" s="471">
        <v>0</v>
      </c>
      <c r="AN3683" s="477">
        <v>0</v>
      </c>
      <c r="AO3683" s="473">
        <v>0</v>
      </c>
      <c r="AP3683" s="474">
        <v>0</v>
      </c>
      <c r="AQ3683" s="352"/>
      <c r="AR3683" s="352"/>
      <c r="AS3683" s="352"/>
      <c r="AT3683" s="352"/>
      <c r="AU3683" s="352"/>
      <c r="AV3683" s="352"/>
      <c r="AW3683" s="352" t="s">
        <v>254</v>
      </c>
    </row>
    <row r="3684" spans="2:49" x14ac:dyDescent="0.2">
      <c r="B3684" s="460" t="s">
        <v>3451</v>
      </c>
      <c r="C3684" s="460">
        <v>6000</v>
      </c>
      <c r="D3684" s="460" t="s">
        <v>2311</v>
      </c>
      <c r="E3684" s="460" t="s">
        <v>2299</v>
      </c>
      <c r="F3684" s="460">
        <v>2</v>
      </c>
      <c r="G3684" s="460">
        <v>2</v>
      </c>
      <c r="H3684" s="461" t="s">
        <v>746</v>
      </c>
      <c r="I3684" s="461" t="s">
        <v>762</v>
      </c>
      <c r="J3684" s="461" t="s">
        <v>700</v>
      </c>
      <c r="K3684" s="594"/>
      <c r="L3684" s="594"/>
      <c r="M3684" s="352">
        <v>6000</v>
      </c>
      <c r="N3684" s="352" t="s">
        <v>871</v>
      </c>
      <c r="O3684" s="460">
        <v>5141</v>
      </c>
      <c r="P3684" s="460" t="s">
        <v>1890</v>
      </c>
      <c r="Q3684" s="460" t="s">
        <v>2553</v>
      </c>
      <c r="R3684" s="460">
        <v>5141</v>
      </c>
      <c r="S3684" s="460" t="s">
        <v>2296</v>
      </c>
      <c r="T3684" s="462">
        <v>0.55517361979372948</v>
      </c>
      <c r="U3684" s="460" t="s">
        <v>2299</v>
      </c>
      <c r="V3684" s="475">
        <v>0</v>
      </c>
      <c r="W3684" s="463" t="s">
        <v>2268</v>
      </c>
      <c r="X3684" s="463" t="s">
        <v>2268</v>
      </c>
      <c r="Y3684" s="463" t="s">
        <v>2554</v>
      </c>
      <c r="Z3684" s="463"/>
      <c r="AA3684" s="463"/>
      <c r="AB3684" s="464">
        <v>0</v>
      </c>
      <c r="AC3684" s="465">
        <v>0</v>
      </c>
      <c r="AD3684" s="465">
        <v>0</v>
      </c>
      <c r="AE3684" s="476">
        <v>0</v>
      </c>
      <c r="AF3684" s="467">
        <v>0</v>
      </c>
      <c r="AG3684" s="468">
        <v>0</v>
      </c>
      <c r="AH3684" s="218">
        <v>0</v>
      </c>
      <c r="AI3684" s="470">
        <v>0</v>
      </c>
      <c r="AJ3684" s="471">
        <v>0</v>
      </c>
      <c r="AK3684" s="218">
        <v>0</v>
      </c>
      <c r="AL3684" s="470">
        <v>0</v>
      </c>
      <c r="AM3684" s="471">
        <v>0</v>
      </c>
      <c r="AN3684" s="477">
        <v>0</v>
      </c>
      <c r="AO3684" s="473">
        <v>0</v>
      </c>
      <c r="AP3684" s="474">
        <v>0</v>
      </c>
      <c r="AQ3684" s="352"/>
      <c r="AR3684" s="352"/>
      <c r="AS3684" s="352"/>
      <c r="AT3684" s="352"/>
      <c r="AU3684" s="352"/>
      <c r="AV3684" s="352"/>
      <c r="AW3684" s="352" t="s">
        <v>254</v>
      </c>
    </row>
    <row r="3685" spans="2:49" x14ac:dyDescent="0.2">
      <c r="B3685" s="460" t="s">
        <v>3452</v>
      </c>
      <c r="C3685" s="460">
        <v>6000</v>
      </c>
      <c r="D3685" s="460" t="s">
        <v>2312</v>
      </c>
      <c r="E3685" s="460" t="s">
        <v>2302</v>
      </c>
      <c r="F3685" s="460">
        <v>3</v>
      </c>
      <c r="G3685" s="460">
        <v>2</v>
      </c>
      <c r="H3685" s="461" t="s">
        <v>746</v>
      </c>
      <c r="I3685" s="461" t="s">
        <v>762</v>
      </c>
      <c r="J3685" s="461" t="s">
        <v>700</v>
      </c>
      <c r="K3685" s="594"/>
      <c r="L3685" s="594"/>
      <c r="M3685" s="352">
        <v>6000</v>
      </c>
      <c r="N3685" s="352" t="s">
        <v>871</v>
      </c>
      <c r="O3685" s="460">
        <v>5141</v>
      </c>
      <c r="P3685" s="460" t="s">
        <v>1890</v>
      </c>
      <c r="Q3685" s="460" t="s">
        <v>2553</v>
      </c>
      <c r="R3685" s="460">
        <v>5141</v>
      </c>
      <c r="S3685" s="460" t="s">
        <v>2296</v>
      </c>
      <c r="T3685" s="462">
        <v>0.28481449642268464</v>
      </c>
      <c r="U3685" s="460" t="s">
        <v>2302</v>
      </c>
      <c r="V3685" s="475">
        <v>0</v>
      </c>
      <c r="W3685" s="463" t="s">
        <v>2268</v>
      </c>
      <c r="X3685" s="463" t="s">
        <v>2268</v>
      </c>
      <c r="Y3685" s="463" t="s">
        <v>2554</v>
      </c>
      <c r="Z3685" s="463"/>
      <c r="AA3685" s="463"/>
      <c r="AB3685" s="464">
        <v>0</v>
      </c>
      <c r="AC3685" s="465">
        <v>0</v>
      </c>
      <c r="AD3685" s="465">
        <v>0</v>
      </c>
      <c r="AE3685" s="476">
        <v>0</v>
      </c>
      <c r="AF3685" s="467">
        <v>0</v>
      </c>
      <c r="AG3685" s="468">
        <v>0</v>
      </c>
      <c r="AH3685" s="218">
        <v>0</v>
      </c>
      <c r="AI3685" s="470">
        <v>0</v>
      </c>
      <c r="AJ3685" s="471">
        <v>0</v>
      </c>
      <c r="AK3685" s="218">
        <v>0</v>
      </c>
      <c r="AL3685" s="470">
        <v>0</v>
      </c>
      <c r="AM3685" s="471">
        <v>0</v>
      </c>
      <c r="AN3685" s="477">
        <v>0</v>
      </c>
      <c r="AO3685" s="473">
        <v>0</v>
      </c>
      <c r="AP3685" s="474">
        <v>0</v>
      </c>
      <c r="AQ3685" s="352"/>
      <c r="AR3685" s="352"/>
      <c r="AS3685" s="352"/>
      <c r="AT3685" s="352"/>
      <c r="AU3685" s="352"/>
      <c r="AV3685" s="352"/>
      <c r="AW3685" s="352" t="s">
        <v>254</v>
      </c>
    </row>
    <row r="3686" spans="2:49" x14ac:dyDescent="0.2">
      <c r="B3686" s="460" t="s">
        <v>3453</v>
      </c>
      <c r="C3686" s="460">
        <v>6000</v>
      </c>
      <c r="D3686" s="460" t="s">
        <v>2313</v>
      </c>
      <c r="E3686" s="460" t="s">
        <v>2305</v>
      </c>
      <c r="F3686" s="460">
        <v>4</v>
      </c>
      <c r="G3686" s="460">
        <v>2</v>
      </c>
      <c r="H3686" s="461" t="s">
        <v>746</v>
      </c>
      <c r="I3686" s="461" t="s">
        <v>762</v>
      </c>
      <c r="J3686" s="461" t="s">
        <v>700</v>
      </c>
      <c r="K3686" s="594"/>
      <c r="L3686" s="594"/>
      <c r="M3686" s="352">
        <v>6000</v>
      </c>
      <c r="N3686" s="352" t="s">
        <v>871</v>
      </c>
      <c r="O3686" s="460">
        <v>5141</v>
      </c>
      <c r="P3686" s="460" t="s">
        <v>1890</v>
      </c>
      <c r="Q3686" s="460" t="s">
        <v>2553</v>
      </c>
      <c r="R3686" s="460">
        <v>5141</v>
      </c>
      <c r="S3686" s="460" t="s">
        <v>2305</v>
      </c>
      <c r="T3686" s="462">
        <v>1</v>
      </c>
      <c r="U3686" s="460" t="s">
        <v>2305</v>
      </c>
      <c r="V3686" s="475">
        <v>0</v>
      </c>
      <c r="W3686" s="463" t="s">
        <v>2268</v>
      </c>
      <c r="X3686" s="463" t="s">
        <v>2268</v>
      </c>
      <c r="Y3686" s="463" t="s">
        <v>2554</v>
      </c>
      <c r="Z3686" s="463"/>
      <c r="AA3686" s="463"/>
      <c r="AB3686" s="464">
        <v>0</v>
      </c>
      <c r="AC3686" s="465">
        <v>0</v>
      </c>
      <c r="AD3686" s="465">
        <v>0</v>
      </c>
      <c r="AE3686" s="476">
        <v>0</v>
      </c>
      <c r="AF3686" s="467">
        <v>0</v>
      </c>
      <c r="AG3686" s="468">
        <v>0</v>
      </c>
      <c r="AH3686" s="218">
        <v>0</v>
      </c>
      <c r="AI3686" s="470">
        <v>0</v>
      </c>
      <c r="AJ3686" s="471">
        <v>0</v>
      </c>
      <c r="AK3686" s="218">
        <v>0</v>
      </c>
      <c r="AL3686" s="470">
        <v>0</v>
      </c>
      <c r="AM3686" s="471">
        <v>0</v>
      </c>
      <c r="AN3686" s="477">
        <v>0</v>
      </c>
      <c r="AO3686" s="473">
        <v>0</v>
      </c>
      <c r="AP3686" s="474">
        <v>0</v>
      </c>
      <c r="AQ3686" s="352"/>
      <c r="AR3686" s="352"/>
      <c r="AS3686" s="352"/>
      <c r="AT3686" s="352"/>
      <c r="AU3686" s="352"/>
      <c r="AV3686" s="352"/>
      <c r="AW3686" s="352" t="s">
        <v>254</v>
      </c>
    </row>
    <row r="3687" spans="2:49" x14ac:dyDescent="0.2">
      <c r="B3687" s="460" t="s">
        <v>3450</v>
      </c>
      <c r="C3687" s="460">
        <v>6000</v>
      </c>
      <c r="D3687" s="460" t="s">
        <v>2314</v>
      </c>
      <c r="E3687" s="460" t="s">
        <v>2296</v>
      </c>
      <c r="F3687" s="460">
        <v>1</v>
      </c>
      <c r="G3687" s="460">
        <v>2</v>
      </c>
      <c r="H3687" s="461" t="s">
        <v>748</v>
      </c>
      <c r="I3687" s="461" t="s">
        <v>765</v>
      </c>
      <c r="J3687" s="461" t="s">
        <v>700</v>
      </c>
      <c r="K3687" s="594"/>
      <c r="L3687" s="594"/>
      <c r="M3687" s="352">
        <v>6000</v>
      </c>
      <c r="N3687" s="352" t="s">
        <v>871</v>
      </c>
      <c r="O3687" s="460">
        <v>5141</v>
      </c>
      <c r="P3687" s="460" t="s">
        <v>1890</v>
      </c>
      <c r="Q3687" s="460" t="s">
        <v>2553</v>
      </c>
      <c r="R3687" s="460">
        <v>5141</v>
      </c>
      <c r="S3687" s="460" t="s">
        <v>2296</v>
      </c>
      <c r="T3687" s="462">
        <v>1</v>
      </c>
      <c r="U3687" s="460" t="s">
        <v>2296</v>
      </c>
      <c r="V3687" s="475">
        <v>0</v>
      </c>
      <c r="W3687" s="463" t="s">
        <v>2268</v>
      </c>
      <c r="X3687" s="463" t="s">
        <v>2268</v>
      </c>
      <c r="Y3687" s="463" t="s">
        <v>2554</v>
      </c>
      <c r="Z3687" s="463"/>
      <c r="AA3687" s="463"/>
      <c r="AB3687" s="464">
        <v>0</v>
      </c>
      <c r="AC3687" s="465">
        <v>0</v>
      </c>
      <c r="AD3687" s="465">
        <v>0</v>
      </c>
      <c r="AE3687" s="476">
        <v>0</v>
      </c>
      <c r="AF3687" s="467">
        <v>0</v>
      </c>
      <c r="AG3687" s="468">
        <v>0</v>
      </c>
      <c r="AH3687" s="218">
        <v>0</v>
      </c>
      <c r="AI3687" s="470">
        <v>0</v>
      </c>
      <c r="AJ3687" s="471">
        <v>0</v>
      </c>
      <c r="AK3687" s="218">
        <v>0</v>
      </c>
      <c r="AL3687" s="470">
        <v>0</v>
      </c>
      <c r="AM3687" s="471">
        <v>0</v>
      </c>
      <c r="AN3687" s="477">
        <v>0</v>
      </c>
      <c r="AO3687" s="473">
        <v>0</v>
      </c>
      <c r="AP3687" s="474">
        <v>0</v>
      </c>
      <c r="AQ3687" s="352"/>
      <c r="AR3687" s="352"/>
      <c r="AS3687" s="352"/>
      <c r="AT3687" s="352"/>
      <c r="AU3687" s="352"/>
      <c r="AV3687" s="352"/>
      <c r="AW3687" s="352" t="s">
        <v>254</v>
      </c>
    </row>
    <row r="3688" spans="2:49" x14ac:dyDescent="0.2">
      <c r="B3688" s="460" t="s">
        <v>3451</v>
      </c>
      <c r="C3688" s="460">
        <v>6000</v>
      </c>
      <c r="D3688" s="460" t="s">
        <v>2315</v>
      </c>
      <c r="E3688" s="460" t="s">
        <v>2299</v>
      </c>
      <c r="F3688" s="460">
        <v>2</v>
      </c>
      <c r="G3688" s="460">
        <v>2</v>
      </c>
      <c r="H3688" s="461" t="s">
        <v>748</v>
      </c>
      <c r="I3688" s="461" t="s">
        <v>765</v>
      </c>
      <c r="J3688" s="461" t="s">
        <v>700</v>
      </c>
      <c r="K3688" s="594"/>
      <c r="L3688" s="594"/>
      <c r="M3688" s="352">
        <v>6000</v>
      </c>
      <c r="N3688" s="352" t="s">
        <v>871</v>
      </c>
      <c r="O3688" s="460">
        <v>5141</v>
      </c>
      <c r="P3688" s="460" t="s">
        <v>1890</v>
      </c>
      <c r="Q3688" s="460" t="s">
        <v>2553</v>
      </c>
      <c r="R3688" s="460">
        <v>5141</v>
      </c>
      <c r="S3688" s="460" t="s">
        <v>2296</v>
      </c>
      <c r="T3688" s="462">
        <v>0.55517361979372948</v>
      </c>
      <c r="U3688" s="460" t="s">
        <v>2299</v>
      </c>
      <c r="V3688" s="475">
        <v>0</v>
      </c>
      <c r="W3688" s="463" t="s">
        <v>2268</v>
      </c>
      <c r="X3688" s="463" t="s">
        <v>2268</v>
      </c>
      <c r="Y3688" s="463" t="s">
        <v>2554</v>
      </c>
      <c r="Z3688" s="463"/>
      <c r="AA3688" s="463"/>
      <c r="AB3688" s="464">
        <v>0</v>
      </c>
      <c r="AC3688" s="465">
        <v>0</v>
      </c>
      <c r="AD3688" s="465">
        <v>0</v>
      </c>
      <c r="AE3688" s="476">
        <v>0</v>
      </c>
      <c r="AF3688" s="467">
        <v>0</v>
      </c>
      <c r="AG3688" s="468">
        <v>0</v>
      </c>
      <c r="AH3688" s="218">
        <v>0</v>
      </c>
      <c r="AI3688" s="470">
        <v>0</v>
      </c>
      <c r="AJ3688" s="471">
        <v>0</v>
      </c>
      <c r="AK3688" s="218">
        <v>0</v>
      </c>
      <c r="AL3688" s="470">
        <v>0</v>
      </c>
      <c r="AM3688" s="471">
        <v>0</v>
      </c>
      <c r="AN3688" s="477">
        <v>0</v>
      </c>
      <c r="AO3688" s="473">
        <v>0</v>
      </c>
      <c r="AP3688" s="474">
        <v>0</v>
      </c>
      <c r="AQ3688" s="352"/>
      <c r="AR3688" s="352"/>
      <c r="AS3688" s="352"/>
      <c r="AT3688" s="352"/>
      <c r="AU3688" s="352"/>
      <c r="AV3688" s="352"/>
      <c r="AW3688" s="352" t="s">
        <v>254</v>
      </c>
    </row>
    <row r="3689" spans="2:49" x14ac:dyDescent="0.2">
      <c r="B3689" s="460" t="s">
        <v>3452</v>
      </c>
      <c r="C3689" s="460">
        <v>6000</v>
      </c>
      <c r="D3689" s="460" t="s">
        <v>2316</v>
      </c>
      <c r="E3689" s="460" t="s">
        <v>2302</v>
      </c>
      <c r="F3689" s="460">
        <v>3</v>
      </c>
      <c r="G3689" s="460">
        <v>2</v>
      </c>
      <c r="H3689" s="461" t="s">
        <v>748</v>
      </c>
      <c r="I3689" s="461" t="s">
        <v>765</v>
      </c>
      <c r="J3689" s="461" t="s">
        <v>700</v>
      </c>
      <c r="K3689" s="594"/>
      <c r="L3689" s="594"/>
      <c r="M3689" s="352">
        <v>6000</v>
      </c>
      <c r="N3689" s="352" t="s">
        <v>871</v>
      </c>
      <c r="O3689" s="460">
        <v>5141</v>
      </c>
      <c r="P3689" s="460" t="s">
        <v>1890</v>
      </c>
      <c r="Q3689" s="460" t="s">
        <v>2553</v>
      </c>
      <c r="R3689" s="460">
        <v>5141</v>
      </c>
      <c r="S3689" s="460" t="s">
        <v>2296</v>
      </c>
      <c r="T3689" s="462">
        <v>0.28481449642268464</v>
      </c>
      <c r="U3689" s="460" t="s">
        <v>2302</v>
      </c>
      <c r="V3689" s="475">
        <v>0</v>
      </c>
      <c r="W3689" s="463" t="s">
        <v>2268</v>
      </c>
      <c r="X3689" s="463" t="s">
        <v>2268</v>
      </c>
      <c r="Y3689" s="463" t="s">
        <v>2554</v>
      </c>
      <c r="Z3689" s="463"/>
      <c r="AA3689" s="463"/>
      <c r="AB3689" s="464">
        <v>0</v>
      </c>
      <c r="AC3689" s="465">
        <v>0</v>
      </c>
      <c r="AD3689" s="465">
        <v>0</v>
      </c>
      <c r="AE3689" s="476">
        <v>0</v>
      </c>
      <c r="AF3689" s="467">
        <v>0</v>
      </c>
      <c r="AG3689" s="468">
        <v>0</v>
      </c>
      <c r="AH3689" s="218">
        <v>0</v>
      </c>
      <c r="AI3689" s="470">
        <v>0</v>
      </c>
      <c r="AJ3689" s="471">
        <v>0</v>
      </c>
      <c r="AK3689" s="218">
        <v>0</v>
      </c>
      <c r="AL3689" s="470">
        <v>0</v>
      </c>
      <c r="AM3689" s="471">
        <v>0</v>
      </c>
      <c r="AN3689" s="477">
        <v>0</v>
      </c>
      <c r="AO3689" s="473">
        <v>0</v>
      </c>
      <c r="AP3689" s="474">
        <v>0</v>
      </c>
      <c r="AQ3689" s="352"/>
      <c r="AR3689" s="352"/>
      <c r="AS3689" s="352"/>
      <c r="AT3689" s="352"/>
      <c r="AU3689" s="352"/>
      <c r="AV3689" s="352"/>
      <c r="AW3689" s="352" t="s">
        <v>254</v>
      </c>
    </row>
    <row r="3690" spans="2:49" x14ac:dyDescent="0.2">
      <c r="B3690" s="460" t="s">
        <v>3453</v>
      </c>
      <c r="C3690" s="460">
        <v>6000</v>
      </c>
      <c r="D3690" s="460" t="s">
        <v>2317</v>
      </c>
      <c r="E3690" s="460" t="s">
        <v>2305</v>
      </c>
      <c r="F3690" s="460">
        <v>4</v>
      </c>
      <c r="G3690" s="460">
        <v>2</v>
      </c>
      <c r="H3690" s="461" t="s">
        <v>748</v>
      </c>
      <c r="I3690" s="461" t="s">
        <v>765</v>
      </c>
      <c r="J3690" s="461" t="s">
        <v>700</v>
      </c>
      <c r="K3690" s="594"/>
      <c r="L3690" s="594"/>
      <c r="M3690" s="352">
        <v>6000</v>
      </c>
      <c r="N3690" s="352" t="s">
        <v>871</v>
      </c>
      <c r="O3690" s="460">
        <v>5141</v>
      </c>
      <c r="P3690" s="460" t="s">
        <v>1890</v>
      </c>
      <c r="Q3690" s="460" t="s">
        <v>2553</v>
      </c>
      <c r="R3690" s="460">
        <v>5141</v>
      </c>
      <c r="S3690" s="460" t="s">
        <v>2305</v>
      </c>
      <c r="T3690" s="462">
        <v>1</v>
      </c>
      <c r="U3690" s="460" t="s">
        <v>2305</v>
      </c>
      <c r="V3690" s="475">
        <v>0</v>
      </c>
      <c r="W3690" s="463" t="s">
        <v>2268</v>
      </c>
      <c r="X3690" s="463" t="s">
        <v>2268</v>
      </c>
      <c r="Y3690" s="463" t="s">
        <v>2554</v>
      </c>
      <c r="Z3690" s="463"/>
      <c r="AA3690" s="463"/>
      <c r="AB3690" s="464">
        <v>0</v>
      </c>
      <c r="AC3690" s="465">
        <v>0</v>
      </c>
      <c r="AD3690" s="465">
        <v>0</v>
      </c>
      <c r="AE3690" s="476">
        <v>0</v>
      </c>
      <c r="AF3690" s="467">
        <v>0</v>
      </c>
      <c r="AG3690" s="468">
        <v>0</v>
      </c>
      <c r="AH3690" s="218">
        <v>0</v>
      </c>
      <c r="AI3690" s="470">
        <v>0</v>
      </c>
      <c r="AJ3690" s="471">
        <v>0</v>
      </c>
      <c r="AK3690" s="218">
        <v>0</v>
      </c>
      <c r="AL3690" s="470">
        <v>0</v>
      </c>
      <c r="AM3690" s="471">
        <v>0</v>
      </c>
      <c r="AN3690" s="477">
        <v>0</v>
      </c>
      <c r="AO3690" s="473">
        <v>0</v>
      </c>
      <c r="AP3690" s="474">
        <v>0</v>
      </c>
      <c r="AQ3690" s="352"/>
      <c r="AR3690" s="352"/>
      <c r="AS3690" s="352"/>
      <c r="AT3690" s="352"/>
      <c r="AU3690" s="352"/>
      <c r="AV3690" s="352"/>
      <c r="AW3690" s="352" t="s">
        <v>254</v>
      </c>
    </row>
    <row r="3691" spans="2:49" x14ac:dyDescent="0.2">
      <c r="B3691" s="460" t="s">
        <v>3450</v>
      </c>
      <c r="C3691" s="460">
        <v>6000</v>
      </c>
      <c r="D3691" s="460" t="s">
        <v>3454</v>
      </c>
      <c r="E3691" s="460" t="s">
        <v>2296</v>
      </c>
      <c r="F3691" s="460">
        <v>1</v>
      </c>
      <c r="G3691" s="460">
        <v>2</v>
      </c>
      <c r="H3691" s="461" t="s">
        <v>754</v>
      </c>
      <c r="I3691" s="461" t="s">
        <v>1991</v>
      </c>
      <c r="J3691" s="461" t="s">
        <v>754</v>
      </c>
      <c r="K3691" s="594"/>
      <c r="L3691" s="594"/>
      <c r="M3691" s="352">
        <v>6000</v>
      </c>
      <c r="N3691" s="352" t="s">
        <v>871</v>
      </c>
      <c r="O3691" s="460">
        <v>5141</v>
      </c>
      <c r="P3691" s="460" t="s">
        <v>1890</v>
      </c>
      <c r="Q3691" s="460" t="s">
        <v>2377</v>
      </c>
      <c r="R3691" s="460">
        <v>5141</v>
      </c>
      <c r="S3691" s="460" t="s">
        <v>2296</v>
      </c>
      <c r="T3691" s="462">
        <v>1</v>
      </c>
      <c r="U3691" s="460" t="s">
        <v>2296</v>
      </c>
      <c r="V3691" s="475">
        <v>0</v>
      </c>
      <c r="W3691" s="463" t="s">
        <v>2278</v>
      </c>
      <c r="X3691" s="463" t="s">
        <v>2278</v>
      </c>
      <c r="Y3691" s="463" t="s">
        <v>2278</v>
      </c>
      <c r="Z3691" s="463"/>
      <c r="AA3691" s="463"/>
      <c r="AB3691" s="464">
        <v>0</v>
      </c>
      <c r="AC3691" s="465">
        <v>0</v>
      </c>
      <c r="AD3691" s="465">
        <v>0</v>
      </c>
      <c r="AE3691" s="476">
        <v>0</v>
      </c>
      <c r="AF3691" s="467">
        <v>0</v>
      </c>
      <c r="AG3691" s="468">
        <v>0</v>
      </c>
      <c r="AH3691" s="218">
        <v>0</v>
      </c>
      <c r="AI3691" s="470">
        <v>0</v>
      </c>
      <c r="AJ3691" s="471">
        <v>0</v>
      </c>
      <c r="AK3691" s="218">
        <v>0</v>
      </c>
      <c r="AL3691" s="470">
        <v>0</v>
      </c>
      <c r="AM3691" s="471">
        <v>0</v>
      </c>
      <c r="AN3691" s="477">
        <v>0</v>
      </c>
      <c r="AO3691" s="473">
        <v>0</v>
      </c>
      <c r="AP3691" s="474">
        <v>0</v>
      </c>
      <c r="AQ3691" s="352"/>
      <c r="AR3691" s="352"/>
      <c r="AS3691" s="352"/>
      <c r="AT3691" s="352"/>
      <c r="AU3691" s="352"/>
      <c r="AV3691" s="352"/>
      <c r="AW3691" s="352" t="s">
        <v>127</v>
      </c>
    </row>
    <row r="3692" spans="2:49" x14ac:dyDescent="0.2">
      <c r="B3692" s="460" t="s">
        <v>3451</v>
      </c>
      <c r="C3692" s="460">
        <v>6000</v>
      </c>
      <c r="D3692" s="460" t="s">
        <v>3455</v>
      </c>
      <c r="E3692" s="460" t="s">
        <v>2299</v>
      </c>
      <c r="F3692" s="460">
        <v>2</v>
      </c>
      <c r="G3692" s="460">
        <v>2</v>
      </c>
      <c r="H3692" s="461" t="s">
        <v>754</v>
      </c>
      <c r="I3692" s="461" t="s">
        <v>1991</v>
      </c>
      <c r="J3692" s="461" t="s">
        <v>754</v>
      </c>
      <c r="K3692" s="594"/>
      <c r="L3692" s="594"/>
      <c r="M3692" s="352">
        <v>6000</v>
      </c>
      <c r="N3692" s="352" t="s">
        <v>871</v>
      </c>
      <c r="O3692" s="460">
        <v>5141</v>
      </c>
      <c r="P3692" s="460" t="s">
        <v>1890</v>
      </c>
      <c r="Q3692" s="460" t="s">
        <v>2377</v>
      </c>
      <c r="R3692" s="460">
        <v>5141</v>
      </c>
      <c r="S3692" s="460" t="s">
        <v>2296</v>
      </c>
      <c r="T3692" s="462">
        <v>0.55517361979372948</v>
      </c>
      <c r="U3692" s="460" t="s">
        <v>2299</v>
      </c>
      <c r="V3692" s="475">
        <v>0</v>
      </c>
      <c r="W3692" s="463" t="s">
        <v>2278</v>
      </c>
      <c r="X3692" s="463" t="s">
        <v>2278</v>
      </c>
      <c r="Y3692" s="463" t="s">
        <v>2278</v>
      </c>
      <c r="Z3692" s="463"/>
      <c r="AA3692" s="463"/>
      <c r="AB3692" s="464">
        <v>0</v>
      </c>
      <c r="AC3692" s="465">
        <v>0</v>
      </c>
      <c r="AD3692" s="465">
        <v>0</v>
      </c>
      <c r="AE3692" s="476">
        <v>0</v>
      </c>
      <c r="AF3692" s="467">
        <v>0</v>
      </c>
      <c r="AG3692" s="468">
        <v>0</v>
      </c>
      <c r="AH3692" s="218">
        <v>0</v>
      </c>
      <c r="AI3692" s="470">
        <v>0</v>
      </c>
      <c r="AJ3692" s="471">
        <v>0</v>
      </c>
      <c r="AK3692" s="218">
        <v>0</v>
      </c>
      <c r="AL3692" s="470">
        <v>0</v>
      </c>
      <c r="AM3692" s="471">
        <v>0</v>
      </c>
      <c r="AN3692" s="477">
        <v>0</v>
      </c>
      <c r="AO3692" s="473">
        <v>0</v>
      </c>
      <c r="AP3692" s="474">
        <v>0</v>
      </c>
      <c r="AQ3692" s="352"/>
      <c r="AR3692" s="352"/>
      <c r="AS3692" s="352"/>
      <c r="AT3692" s="352"/>
      <c r="AU3692" s="352"/>
      <c r="AV3692" s="352"/>
      <c r="AW3692" s="352" t="s">
        <v>127</v>
      </c>
    </row>
    <row r="3693" spans="2:49" x14ac:dyDescent="0.2">
      <c r="B3693" s="460" t="s">
        <v>3452</v>
      </c>
      <c r="C3693" s="460">
        <v>6000</v>
      </c>
      <c r="D3693" s="460" t="s">
        <v>3456</v>
      </c>
      <c r="E3693" s="460" t="s">
        <v>2302</v>
      </c>
      <c r="F3693" s="460">
        <v>3</v>
      </c>
      <c r="G3693" s="460">
        <v>2</v>
      </c>
      <c r="H3693" s="461" t="s">
        <v>754</v>
      </c>
      <c r="I3693" s="461" t="s">
        <v>1991</v>
      </c>
      <c r="J3693" s="461" t="s">
        <v>754</v>
      </c>
      <c r="K3693" s="594"/>
      <c r="L3693" s="594"/>
      <c r="M3693" s="352">
        <v>6000</v>
      </c>
      <c r="N3693" s="352" t="s">
        <v>871</v>
      </c>
      <c r="O3693" s="460">
        <v>5141</v>
      </c>
      <c r="P3693" s="460" t="s">
        <v>1890</v>
      </c>
      <c r="Q3693" s="460" t="s">
        <v>2377</v>
      </c>
      <c r="R3693" s="460">
        <v>5141</v>
      </c>
      <c r="S3693" s="460" t="s">
        <v>2296</v>
      </c>
      <c r="T3693" s="462">
        <v>0.28481449642268464</v>
      </c>
      <c r="U3693" s="460" t="s">
        <v>2302</v>
      </c>
      <c r="V3693" s="475">
        <v>0</v>
      </c>
      <c r="W3693" s="463" t="s">
        <v>2278</v>
      </c>
      <c r="X3693" s="463" t="s">
        <v>2278</v>
      </c>
      <c r="Y3693" s="463" t="s">
        <v>2278</v>
      </c>
      <c r="Z3693" s="463"/>
      <c r="AA3693" s="463"/>
      <c r="AB3693" s="464">
        <v>0</v>
      </c>
      <c r="AC3693" s="465">
        <v>0</v>
      </c>
      <c r="AD3693" s="465">
        <v>0</v>
      </c>
      <c r="AE3693" s="476">
        <v>0</v>
      </c>
      <c r="AF3693" s="467">
        <v>0</v>
      </c>
      <c r="AG3693" s="468">
        <v>0</v>
      </c>
      <c r="AH3693" s="218">
        <v>0</v>
      </c>
      <c r="AI3693" s="470">
        <v>0</v>
      </c>
      <c r="AJ3693" s="471">
        <v>0</v>
      </c>
      <c r="AK3693" s="218">
        <v>0</v>
      </c>
      <c r="AL3693" s="470">
        <v>0</v>
      </c>
      <c r="AM3693" s="471">
        <v>0</v>
      </c>
      <c r="AN3693" s="477">
        <v>0</v>
      </c>
      <c r="AO3693" s="473">
        <v>0</v>
      </c>
      <c r="AP3693" s="474">
        <v>0</v>
      </c>
      <c r="AQ3693" s="352"/>
      <c r="AR3693" s="352"/>
      <c r="AS3693" s="352"/>
      <c r="AT3693" s="352"/>
      <c r="AU3693" s="352"/>
      <c r="AV3693" s="352"/>
      <c r="AW3693" s="352" t="s">
        <v>127</v>
      </c>
    </row>
    <row r="3694" spans="2:49" x14ac:dyDescent="0.2">
      <c r="B3694" s="460" t="s">
        <v>3453</v>
      </c>
      <c r="C3694" s="460">
        <v>6000</v>
      </c>
      <c r="D3694" s="460" t="s">
        <v>3457</v>
      </c>
      <c r="E3694" s="460" t="s">
        <v>2305</v>
      </c>
      <c r="F3694" s="460">
        <v>4</v>
      </c>
      <c r="G3694" s="460">
        <v>2</v>
      </c>
      <c r="H3694" s="461" t="s">
        <v>754</v>
      </c>
      <c r="I3694" s="461" t="s">
        <v>1991</v>
      </c>
      <c r="J3694" s="461" t="s">
        <v>754</v>
      </c>
      <c r="K3694" s="594"/>
      <c r="L3694" s="594"/>
      <c r="M3694" s="352">
        <v>6000</v>
      </c>
      <c r="N3694" s="352" t="s">
        <v>871</v>
      </c>
      <c r="O3694" s="460">
        <v>5141</v>
      </c>
      <c r="P3694" s="460" t="s">
        <v>1890</v>
      </c>
      <c r="Q3694" s="460" t="s">
        <v>2377</v>
      </c>
      <c r="R3694" s="460">
        <v>5141</v>
      </c>
      <c r="S3694" s="460" t="s">
        <v>2305</v>
      </c>
      <c r="T3694" s="462">
        <v>1</v>
      </c>
      <c r="U3694" s="460" t="s">
        <v>2305</v>
      </c>
      <c r="V3694" s="475">
        <v>0</v>
      </c>
      <c r="W3694" s="463" t="s">
        <v>2278</v>
      </c>
      <c r="X3694" s="463" t="s">
        <v>2278</v>
      </c>
      <c r="Y3694" s="463" t="s">
        <v>2278</v>
      </c>
      <c r="Z3694" s="463"/>
      <c r="AA3694" s="463"/>
      <c r="AB3694" s="464">
        <v>0</v>
      </c>
      <c r="AC3694" s="465">
        <v>0</v>
      </c>
      <c r="AD3694" s="465">
        <v>0</v>
      </c>
      <c r="AE3694" s="476">
        <v>0</v>
      </c>
      <c r="AF3694" s="467">
        <v>0</v>
      </c>
      <c r="AG3694" s="468">
        <v>0</v>
      </c>
      <c r="AH3694" s="218">
        <v>0</v>
      </c>
      <c r="AI3694" s="470">
        <v>0</v>
      </c>
      <c r="AJ3694" s="471">
        <v>0</v>
      </c>
      <c r="AK3694" s="218">
        <v>0</v>
      </c>
      <c r="AL3694" s="470">
        <v>0</v>
      </c>
      <c r="AM3694" s="471">
        <v>0</v>
      </c>
      <c r="AN3694" s="477">
        <v>0</v>
      </c>
      <c r="AO3694" s="473">
        <v>0</v>
      </c>
      <c r="AP3694" s="474">
        <v>0</v>
      </c>
      <c r="AQ3694" s="352"/>
      <c r="AR3694" s="352"/>
      <c r="AS3694" s="352"/>
      <c r="AT3694" s="352"/>
      <c r="AU3694" s="352"/>
      <c r="AV3694" s="352"/>
      <c r="AW3694" s="352" t="s">
        <v>127</v>
      </c>
    </row>
    <row r="3695" spans="2:49" x14ac:dyDescent="0.2">
      <c r="B3695" s="460" t="s">
        <v>3458</v>
      </c>
      <c r="C3695" s="460">
        <v>6000</v>
      </c>
      <c r="D3695" s="460" t="s">
        <v>2323</v>
      </c>
      <c r="E3695" s="460" t="s">
        <v>2324</v>
      </c>
      <c r="F3695" s="460">
        <v>1</v>
      </c>
      <c r="G3695" s="460">
        <v>3</v>
      </c>
      <c r="H3695" s="461" t="s">
        <v>700</v>
      </c>
      <c r="I3695" s="461" t="s">
        <v>872</v>
      </c>
      <c r="J3695" s="461" t="s">
        <v>700</v>
      </c>
      <c r="K3695" s="594"/>
      <c r="L3695" s="594"/>
      <c r="M3695" s="352">
        <v>6000</v>
      </c>
      <c r="N3695" s="352" t="s">
        <v>871</v>
      </c>
      <c r="O3695" s="460">
        <v>5141</v>
      </c>
      <c r="P3695" s="460" t="s">
        <v>1890</v>
      </c>
      <c r="Q3695" s="460" t="s">
        <v>2553</v>
      </c>
      <c r="R3695" s="460">
        <v>5141</v>
      </c>
      <c r="S3695" s="460" t="s">
        <v>2324</v>
      </c>
      <c r="T3695" s="462">
        <v>1</v>
      </c>
      <c r="U3695" s="460" t="s">
        <v>2324</v>
      </c>
      <c r="V3695" s="475">
        <v>0</v>
      </c>
      <c r="W3695" s="463" t="s">
        <v>2554</v>
      </c>
      <c r="X3695" s="463" t="s">
        <v>2554</v>
      </c>
      <c r="Y3695" s="463" t="s">
        <v>2268</v>
      </c>
      <c r="Z3695" s="463"/>
      <c r="AA3695" s="463"/>
      <c r="AB3695" s="464">
        <v>0</v>
      </c>
      <c r="AC3695" s="465">
        <v>0</v>
      </c>
      <c r="AD3695" s="465">
        <v>0</v>
      </c>
      <c r="AE3695" s="476">
        <v>0</v>
      </c>
      <c r="AF3695" s="467">
        <v>0</v>
      </c>
      <c r="AG3695" s="468">
        <v>0</v>
      </c>
      <c r="AH3695" s="218">
        <v>0</v>
      </c>
      <c r="AI3695" s="470">
        <v>0</v>
      </c>
      <c r="AJ3695" s="471">
        <v>0</v>
      </c>
      <c r="AK3695" s="218">
        <v>0</v>
      </c>
      <c r="AL3695" s="470">
        <v>0</v>
      </c>
      <c r="AM3695" s="471">
        <v>0</v>
      </c>
      <c r="AN3695" s="477">
        <v>0</v>
      </c>
      <c r="AO3695" s="473">
        <v>0</v>
      </c>
      <c r="AP3695" s="474">
        <v>0</v>
      </c>
      <c r="AQ3695" s="352"/>
      <c r="AR3695" s="352"/>
      <c r="AS3695" s="352"/>
      <c r="AT3695" s="352"/>
      <c r="AU3695" s="352"/>
      <c r="AV3695" s="352"/>
      <c r="AW3695" s="352" t="s">
        <v>254</v>
      </c>
    </row>
    <row r="3696" spans="2:49" x14ac:dyDescent="0.2">
      <c r="B3696" s="460" t="s">
        <v>3459</v>
      </c>
      <c r="C3696" s="460">
        <v>6000</v>
      </c>
      <c r="D3696" s="460" t="s">
        <v>2326</v>
      </c>
      <c r="E3696" s="460" t="s">
        <v>2327</v>
      </c>
      <c r="F3696" s="460">
        <v>2</v>
      </c>
      <c r="G3696" s="460">
        <v>3</v>
      </c>
      <c r="H3696" s="461" t="s">
        <v>700</v>
      </c>
      <c r="I3696" s="461" t="s">
        <v>872</v>
      </c>
      <c r="J3696" s="461" t="s">
        <v>700</v>
      </c>
      <c r="K3696" s="594"/>
      <c r="L3696" s="594"/>
      <c r="M3696" s="352">
        <v>6000</v>
      </c>
      <c r="N3696" s="352" t="s">
        <v>871</v>
      </c>
      <c r="O3696" s="460">
        <v>5141</v>
      </c>
      <c r="P3696" s="460" t="s">
        <v>1890</v>
      </c>
      <c r="Q3696" s="460" t="s">
        <v>2553</v>
      </c>
      <c r="R3696" s="460">
        <v>5141</v>
      </c>
      <c r="S3696" s="460" t="s">
        <v>2324</v>
      </c>
      <c r="T3696" s="462">
        <v>1</v>
      </c>
      <c r="U3696" s="460" t="s">
        <v>2327</v>
      </c>
      <c r="V3696" s="475">
        <v>0</v>
      </c>
      <c r="W3696" s="463" t="s">
        <v>2554</v>
      </c>
      <c r="X3696" s="463" t="s">
        <v>2554</v>
      </c>
      <c r="Y3696" s="463" t="s">
        <v>2268</v>
      </c>
      <c r="Z3696" s="463"/>
      <c r="AA3696" s="463"/>
      <c r="AB3696" s="464">
        <v>0</v>
      </c>
      <c r="AC3696" s="465">
        <v>0</v>
      </c>
      <c r="AD3696" s="465">
        <v>0</v>
      </c>
      <c r="AE3696" s="476">
        <v>0</v>
      </c>
      <c r="AF3696" s="467">
        <v>0</v>
      </c>
      <c r="AG3696" s="468">
        <v>0</v>
      </c>
      <c r="AH3696" s="218">
        <v>0</v>
      </c>
      <c r="AI3696" s="470">
        <v>0</v>
      </c>
      <c r="AJ3696" s="471">
        <v>0</v>
      </c>
      <c r="AK3696" s="218">
        <v>0</v>
      </c>
      <c r="AL3696" s="470">
        <v>0</v>
      </c>
      <c r="AM3696" s="471">
        <v>0</v>
      </c>
      <c r="AN3696" s="477">
        <v>0</v>
      </c>
      <c r="AO3696" s="473">
        <v>0</v>
      </c>
      <c r="AP3696" s="474">
        <v>0</v>
      </c>
      <c r="AQ3696" s="352"/>
      <c r="AR3696" s="352"/>
      <c r="AS3696" s="352"/>
      <c r="AT3696" s="352"/>
      <c r="AU3696" s="352"/>
      <c r="AV3696" s="352"/>
      <c r="AW3696" s="352" t="s">
        <v>254</v>
      </c>
    </row>
    <row r="3697" spans="2:49" x14ac:dyDescent="0.2">
      <c r="B3697" s="460" t="s">
        <v>3460</v>
      </c>
      <c r="C3697" s="460">
        <v>6000</v>
      </c>
      <c r="D3697" s="460" t="s">
        <v>2329</v>
      </c>
      <c r="E3697" s="460" t="s">
        <v>2330</v>
      </c>
      <c r="F3697" s="460">
        <v>3</v>
      </c>
      <c r="G3697" s="460">
        <v>3</v>
      </c>
      <c r="H3697" s="461" t="s">
        <v>700</v>
      </c>
      <c r="I3697" s="461" t="s">
        <v>872</v>
      </c>
      <c r="J3697" s="461" t="s">
        <v>700</v>
      </c>
      <c r="K3697" s="594"/>
      <c r="L3697" s="594"/>
      <c r="M3697" s="352">
        <v>6000</v>
      </c>
      <c r="N3697" s="352" t="s">
        <v>871</v>
      </c>
      <c r="O3697" s="460">
        <v>5141</v>
      </c>
      <c r="P3697" s="460" t="s">
        <v>1890</v>
      </c>
      <c r="Q3697" s="460" t="s">
        <v>2553</v>
      </c>
      <c r="R3697" s="460">
        <v>5141</v>
      </c>
      <c r="S3697" s="460" t="s">
        <v>2324</v>
      </c>
      <c r="T3697" s="462">
        <v>1</v>
      </c>
      <c r="U3697" s="460" t="s">
        <v>2330</v>
      </c>
      <c r="V3697" s="475">
        <v>0</v>
      </c>
      <c r="W3697" s="463" t="s">
        <v>2554</v>
      </c>
      <c r="X3697" s="463" t="s">
        <v>2554</v>
      </c>
      <c r="Y3697" s="463" t="s">
        <v>2268</v>
      </c>
      <c r="Z3697" s="463"/>
      <c r="AA3697" s="463"/>
      <c r="AB3697" s="464">
        <v>0</v>
      </c>
      <c r="AC3697" s="465">
        <v>0</v>
      </c>
      <c r="AD3697" s="465">
        <v>0</v>
      </c>
      <c r="AE3697" s="476">
        <v>0</v>
      </c>
      <c r="AF3697" s="467">
        <v>0</v>
      </c>
      <c r="AG3697" s="468">
        <v>0</v>
      </c>
      <c r="AH3697" s="218">
        <v>0</v>
      </c>
      <c r="AI3697" s="470">
        <v>0</v>
      </c>
      <c r="AJ3697" s="471">
        <v>0</v>
      </c>
      <c r="AK3697" s="218">
        <v>0</v>
      </c>
      <c r="AL3697" s="470">
        <v>0</v>
      </c>
      <c r="AM3697" s="471">
        <v>0</v>
      </c>
      <c r="AN3697" s="477">
        <v>0</v>
      </c>
      <c r="AO3697" s="473">
        <v>0</v>
      </c>
      <c r="AP3697" s="474">
        <v>0</v>
      </c>
      <c r="AQ3697" s="352"/>
      <c r="AR3697" s="352"/>
      <c r="AS3697" s="352"/>
      <c r="AT3697" s="352"/>
      <c r="AU3697" s="352"/>
      <c r="AV3697" s="352"/>
      <c r="AW3697" s="352" t="s">
        <v>254</v>
      </c>
    </row>
    <row r="3698" spans="2:49" x14ac:dyDescent="0.2">
      <c r="B3698" s="460" t="s">
        <v>3461</v>
      </c>
      <c r="C3698" s="460">
        <v>6000</v>
      </c>
      <c r="D3698" s="460" t="s">
        <v>2332</v>
      </c>
      <c r="E3698" s="460" t="s">
        <v>2333</v>
      </c>
      <c r="F3698" s="460">
        <v>4</v>
      </c>
      <c r="G3698" s="460">
        <v>3</v>
      </c>
      <c r="H3698" s="461" t="s">
        <v>700</v>
      </c>
      <c r="I3698" s="461" t="s">
        <v>872</v>
      </c>
      <c r="J3698" s="461" t="s">
        <v>700</v>
      </c>
      <c r="K3698" s="594"/>
      <c r="L3698" s="594"/>
      <c r="M3698" s="352">
        <v>6000</v>
      </c>
      <c r="N3698" s="352" t="s">
        <v>871</v>
      </c>
      <c r="O3698" s="460">
        <v>5141</v>
      </c>
      <c r="P3698" s="460" t="s">
        <v>1890</v>
      </c>
      <c r="Q3698" s="460" t="s">
        <v>2553</v>
      </c>
      <c r="R3698" s="460">
        <v>5141</v>
      </c>
      <c r="S3698" s="460" t="s">
        <v>2333</v>
      </c>
      <c r="T3698" s="462">
        <v>1</v>
      </c>
      <c r="U3698" s="460" t="s">
        <v>2333</v>
      </c>
      <c r="V3698" s="475">
        <v>0</v>
      </c>
      <c r="W3698" s="463" t="s">
        <v>2554</v>
      </c>
      <c r="X3698" s="463" t="s">
        <v>2554</v>
      </c>
      <c r="Y3698" s="463" t="s">
        <v>2268</v>
      </c>
      <c r="Z3698" s="463"/>
      <c r="AA3698" s="463"/>
      <c r="AB3698" s="464">
        <v>0</v>
      </c>
      <c r="AC3698" s="465">
        <v>0</v>
      </c>
      <c r="AD3698" s="465">
        <v>0</v>
      </c>
      <c r="AE3698" s="476">
        <v>0</v>
      </c>
      <c r="AF3698" s="467">
        <v>0</v>
      </c>
      <c r="AG3698" s="468">
        <v>0</v>
      </c>
      <c r="AH3698" s="218">
        <v>0</v>
      </c>
      <c r="AI3698" s="470">
        <v>0</v>
      </c>
      <c r="AJ3698" s="471">
        <v>0</v>
      </c>
      <c r="AK3698" s="218">
        <v>0</v>
      </c>
      <c r="AL3698" s="470">
        <v>0</v>
      </c>
      <c r="AM3698" s="471">
        <v>0</v>
      </c>
      <c r="AN3698" s="477">
        <v>0</v>
      </c>
      <c r="AO3698" s="473">
        <v>0</v>
      </c>
      <c r="AP3698" s="474">
        <v>0</v>
      </c>
      <c r="AQ3698" s="352"/>
      <c r="AR3698" s="352"/>
      <c r="AS3698" s="352"/>
      <c r="AT3698" s="352"/>
      <c r="AU3698" s="352"/>
      <c r="AV3698" s="352"/>
      <c r="AW3698" s="352" t="s">
        <v>254</v>
      </c>
    </row>
    <row r="3699" spans="2:49" x14ac:dyDescent="0.2">
      <c r="B3699" s="460" t="s">
        <v>3458</v>
      </c>
      <c r="C3699" s="460">
        <v>6000</v>
      </c>
      <c r="D3699" s="460" t="s">
        <v>2334</v>
      </c>
      <c r="E3699" s="460" t="s">
        <v>2324</v>
      </c>
      <c r="F3699" s="460">
        <v>1</v>
      </c>
      <c r="G3699" s="460">
        <v>3</v>
      </c>
      <c r="H3699" s="461" t="s">
        <v>712</v>
      </c>
      <c r="I3699" s="461" t="s">
        <v>713</v>
      </c>
      <c r="J3699" s="461" t="s">
        <v>712</v>
      </c>
      <c r="K3699" s="594"/>
      <c r="L3699" s="594"/>
      <c r="M3699" s="352">
        <v>6000</v>
      </c>
      <c r="N3699" s="352" t="s">
        <v>871</v>
      </c>
      <c r="O3699" s="460">
        <v>5141</v>
      </c>
      <c r="P3699" s="460" t="s">
        <v>1890</v>
      </c>
      <c r="Q3699" s="460" t="s">
        <v>2280</v>
      </c>
      <c r="R3699" s="460">
        <v>5141</v>
      </c>
      <c r="S3699" s="460" t="s">
        <v>2324</v>
      </c>
      <c r="T3699" s="462">
        <v>1</v>
      </c>
      <c r="U3699" s="460" t="s">
        <v>2324</v>
      </c>
      <c r="V3699" s="475">
        <v>0</v>
      </c>
      <c r="W3699" s="463" t="s">
        <v>713</v>
      </c>
      <c r="X3699" s="463" t="s">
        <v>713</v>
      </c>
      <c r="Y3699" s="463" t="s">
        <v>713</v>
      </c>
      <c r="Z3699" s="463"/>
      <c r="AA3699" s="463"/>
      <c r="AB3699" s="464">
        <v>13320.138042242274</v>
      </c>
      <c r="AC3699" s="465">
        <v>0.55689100086408339</v>
      </c>
      <c r="AD3699" s="465">
        <v>3.3259000633090445E-2</v>
      </c>
      <c r="AE3699" s="476">
        <v>13320.138042242275</v>
      </c>
      <c r="AF3699" s="467">
        <v>0.5568910008640835</v>
      </c>
      <c r="AG3699" s="468">
        <v>3.2627368006702864E-2</v>
      </c>
      <c r="AH3699" s="218">
        <v>13320.138042242275</v>
      </c>
      <c r="AI3699" s="470">
        <v>0.5568910008640835</v>
      </c>
      <c r="AJ3699" s="471">
        <v>3.3043309810320401E-2</v>
      </c>
      <c r="AK3699" s="218">
        <v>13320.138042242275</v>
      </c>
      <c r="AL3699" s="470">
        <v>0.5568910008640835</v>
      </c>
      <c r="AM3699" s="471">
        <v>3.3043309810320401E-2</v>
      </c>
      <c r="AN3699" s="477">
        <v>13320.138042242275</v>
      </c>
      <c r="AO3699" s="473">
        <v>0.5568910008640835</v>
      </c>
      <c r="AP3699" s="474">
        <v>3.3027229191023522E-2</v>
      </c>
      <c r="AQ3699" s="352"/>
      <c r="AR3699" s="352"/>
      <c r="AS3699" s="352"/>
      <c r="AT3699" s="352"/>
      <c r="AU3699" s="352"/>
      <c r="AV3699" s="352"/>
      <c r="AW3699" s="352" t="s">
        <v>254</v>
      </c>
    </row>
    <row r="3700" spans="2:49" x14ac:dyDescent="0.2">
      <c r="B3700" s="460" t="s">
        <v>3459</v>
      </c>
      <c r="C3700" s="460">
        <v>6000</v>
      </c>
      <c r="D3700" s="460" t="s">
        <v>2335</v>
      </c>
      <c r="E3700" s="460" t="s">
        <v>2327</v>
      </c>
      <c r="F3700" s="460">
        <v>2</v>
      </c>
      <c r="G3700" s="460">
        <v>3</v>
      </c>
      <c r="H3700" s="461" t="s">
        <v>712</v>
      </c>
      <c r="I3700" s="461" t="s">
        <v>713</v>
      </c>
      <c r="J3700" s="461" t="s">
        <v>712</v>
      </c>
      <c r="K3700" s="594"/>
      <c r="L3700" s="594"/>
      <c r="M3700" s="352">
        <v>6000</v>
      </c>
      <c r="N3700" s="352" t="s">
        <v>871</v>
      </c>
      <c r="O3700" s="460">
        <v>5141</v>
      </c>
      <c r="P3700" s="460" t="s">
        <v>1890</v>
      </c>
      <c r="Q3700" s="460" t="s">
        <v>2280</v>
      </c>
      <c r="R3700" s="460">
        <v>5141</v>
      </c>
      <c r="S3700" s="460" t="s">
        <v>2324</v>
      </c>
      <c r="T3700" s="462">
        <v>1</v>
      </c>
      <c r="U3700" s="460" t="s">
        <v>2327</v>
      </c>
      <c r="V3700" s="475">
        <v>0</v>
      </c>
      <c r="W3700" s="463" t="s">
        <v>713</v>
      </c>
      <c r="X3700" s="463" t="s">
        <v>713</v>
      </c>
      <c r="Y3700" s="463" t="s">
        <v>713</v>
      </c>
      <c r="Z3700" s="463"/>
      <c r="AA3700" s="463"/>
      <c r="AB3700" s="464">
        <v>17797.457742242521</v>
      </c>
      <c r="AC3700" s="465">
        <v>0.54882993574470396</v>
      </c>
      <c r="AD3700" s="465">
        <v>5.699811135737539E-2</v>
      </c>
      <c r="AE3700" s="476">
        <v>17797.457742242521</v>
      </c>
      <c r="AF3700" s="467">
        <v>0.54882993574470396</v>
      </c>
      <c r="AG3700" s="468">
        <v>5.6065274029214504E-2</v>
      </c>
      <c r="AH3700" s="218">
        <v>17797.457742242521</v>
      </c>
      <c r="AI3700" s="470">
        <v>0.54882993574470396</v>
      </c>
      <c r="AJ3700" s="471">
        <v>5.830587894114167E-2</v>
      </c>
      <c r="AK3700" s="218">
        <v>17797.457742242521</v>
      </c>
      <c r="AL3700" s="470">
        <v>0.54882993574470396</v>
      </c>
      <c r="AM3700" s="471">
        <v>5.830587894114167E-2</v>
      </c>
      <c r="AN3700" s="477">
        <v>17797.457742242521</v>
      </c>
      <c r="AO3700" s="473">
        <v>0.54882993574470396</v>
      </c>
      <c r="AP3700" s="474">
        <v>5.8283019314930212E-2</v>
      </c>
      <c r="AQ3700" s="352"/>
      <c r="AR3700" s="352"/>
      <c r="AS3700" s="352"/>
      <c r="AT3700" s="352"/>
      <c r="AU3700" s="352"/>
      <c r="AV3700" s="352"/>
      <c r="AW3700" s="352" t="s">
        <v>254</v>
      </c>
    </row>
    <row r="3701" spans="2:49" x14ac:dyDescent="0.2">
      <c r="B3701" s="460" t="s">
        <v>3460</v>
      </c>
      <c r="C3701" s="460">
        <v>6000</v>
      </c>
      <c r="D3701" s="460" t="s">
        <v>2336</v>
      </c>
      <c r="E3701" s="460" t="s">
        <v>2330</v>
      </c>
      <c r="F3701" s="460">
        <v>3</v>
      </c>
      <c r="G3701" s="460">
        <v>3</v>
      </c>
      <c r="H3701" s="461" t="s">
        <v>712</v>
      </c>
      <c r="I3701" s="461" t="s">
        <v>713</v>
      </c>
      <c r="J3701" s="461" t="s">
        <v>712</v>
      </c>
      <c r="K3701" s="594"/>
      <c r="L3701" s="594"/>
      <c r="M3701" s="352">
        <v>6000</v>
      </c>
      <c r="N3701" s="352" t="s">
        <v>871</v>
      </c>
      <c r="O3701" s="460">
        <v>5141</v>
      </c>
      <c r="P3701" s="460" t="s">
        <v>1890</v>
      </c>
      <c r="Q3701" s="460" t="s">
        <v>2280</v>
      </c>
      <c r="R3701" s="460">
        <v>5141</v>
      </c>
      <c r="S3701" s="460" t="s">
        <v>2324</v>
      </c>
      <c r="T3701" s="462">
        <v>1</v>
      </c>
      <c r="U3701" s="460" t="s">
        <v>2330</v>
      </c>
      <c r="V3701" s="475">
        <v>0</v>
      </c>
      <c r="W3701" s="463" t="s">
        <v>713</v>
      </c>
      <c r="X3701" s="463" t="s">
        <v>713</v>
      </c>
      <c r="Y3701" s="463" t="s">
        <v>713</v>
      </c>
      <c r="Z3701" s="463"/>
      <c r="AA3701" s="463"/>
      <c r="AB3701" s="464">
        <v>7487.9343453344427</v>
      </c>
      <c r="AC3701" s="465">
        <v>0.98029323958607462</v>
      </c>
      <c r="AD3701" s="465">
        <v>6.6300140443269609E-2</v>
      </c>
      <c r="AE3701" s="476">
        <v>7487.9343453344436</v>
      </c>
      <c r="AF3701" s="467">
        <v>0.98029323958607473</v>
      </c>
      <c r="AG3701" s="468">
        <v>6.5275300086115901E-2</v>
      </c>
      <c r="AH3701" s="218">
        <v>7487.9343453344436</v>
      </c>
      <c r="AI3701" s="470">
        <v>0.98029323958607473</v>
      </c>
      <c r="AJ3701" s="471">
        <v>6.7767595359835314E-2</v>
      </c>
      <c r="AK3701" s="218">
        <v>7487.9343453344436</v>
      </c>
      <c r="AL3701" s="470">
        <v>0.98029323958607473</v>
      </c>
      <c r="AM3701" s="471">
        <v>6.7767595359835314E-2</v>
      </c>
      <c r="AN3701" s="477">
        <v>7487.9343453344436</v>
      </c>
      <c r="AO3701" s="473">
        <v>0.98029323958607473</v>
      </c>
      <c r="AP3701" s="474">
        <v>6.7942511007762399E-2</v>
      </c>
      <c r="AQ3701" s="352"/>
      <c r="AR3701" s="352"/>
      <c r="AS3701" s="352"/>
      <c r="AT3701" s="352"/>
      <c r="AU3701" s="352"/>
      <c r="AV3701" s="352"/>
      <c r="AW3701" s="352" t="s">
        <v>254</v>
      </c>
    </row>
    <row r="3702" spans="2:49" x14ac:dyDescent="0.2">
      <c r="B3702" s="460" t="s">
        <v>3461</v>
      </c>
      <c r="C3702" s="460">
        <v>6000</v>
      </c>
      <c r="D3702" s="460" t="s">
        <v>2337</v>
      </c>
      <c r="E3702" s="460" t="s">
        <v>2333</v>
      </c>
      <c r="F3702" s="460">
        <v>4</v>
      </c>
      <c r="G3702" s="460">
        <v>3</v>
      </c>
      <c r="H3702" s="461" t="s">
        <v>712</v>
      </c>
      <c r="I3702" s="461" t="s">
        <v>713</v>
      </c>
      <c r="J3702" s="461" t="s">
        <v>712</v>
      </c>
      <c r="K3702" s="594"/>
      <c r="L3702" s="594"/>
      <c r="M3702" s="352">
        <v>6000</v>
      </c>
      <c r="N3702" s="352" t="s">
        <v>871</v>
      </c>
      <c r="O3702" s="460">
        <v>5141</v>
      </c>
      <c r="P3702" s="460" t="s">
        <v>1890</v>
      </c>
      <c r="Q3702" s="460" t="s">
        <v>2280</v>
      </c>
      <c r="R3702" s="460">
        <v>5141</v>
      </c>
      <c r="S3702" s="460" t="s">
        <v>2333</v>
      </c>
      <c r="T3702" s="462">
        <v>1</v>
      </c>
      <c r="U3702" s="460" t="s">
        <v>2333</v>
      </c>
      <c r="V3702" s="475">
        <v>0</v>
      </c>
      <c r="W3702" s="463" t="s">
        <v>713</v>
      </c>
      <c r="X3702" s="463" t="s">
        <v>713</v>
      </c>
      <c r="Y3702" s="463" t="s">
        <v>713</v>
      </c>
      <c r="Z3702" s="463"/>
      <c r="AA3702" s="463"/>
      <c r="AB3702" s="464">
        <v>8592.6188709162525</v>
      </c>
      <c r="AC3702" s="465">
        <v>0.64562803423532067</v>
      </c>
      <c r="AD3702" s="465">
        <v>6.5325132624745999E-2</v>
      </c>
      <c r="AE3702" s="476">
        <v>8592.6188709162525</v>
      </c>
      <c r="AF3702" s="467">
        <v>0.64562803423532067</v>
      </c>
      <c r="AG3702" s="468">
        <v>6.4655923271489793E-2</v>
      </c>
      <c r="AH3702" s="218">
        <v>8592.6188709162525</v>
      </c>
      <c r="AI3702" s="470">
        <v>0.64562803423532067</v>
      </c>
      <c r="AJ3702" s="471">
        <v>6.4861912690931875E-2</v>
      </c>
      <c r="AK3702" s="218">
        <v>8592.6188709162525</v>
      </c>
      <c r="AL3702" s="470">
        <v>0.64562803423532067</v>
      </c>
      <c r="AM3702" s="471">
        <v>6.4861912690931875E-2</v>
      </c>
      <c r="AN3702" s="477">
        <v>8592.6188709162525</v>
      </c>
      <c r="AO3702" s="473">
        <v>0.64562803423532067</v>
      </c>
      <c r="AP3702" s="474">
        <v>6.4882524751370657E-2</v>
      </c>
      <c r="AQ3702" s="352"/>
      <c r="AR3702" s="352"/>
      <c r="AS3702" s="352"/>
      <c r="AT3702" s="352"/>
      <c r="AU3702" s="352"/>
      <c r="AV3702" s="352"/>
      <c r="AW3702" s="352" t="s">
        <v>254</v>
      </c>
    </row>
    <row r="3703" spans="2:49" x14ac:dyDescent="0.2">
      <c r="B3703" s="460" t="s">
        <v>3458</v>
      </c>
      <c r="C3703" s="460">
        <v>6000</v>
      </c>
      <c r="D3703" s="460" t="s">
        <v>3390</v>
      </c>
      <c r="E3703" s="460" t="s">
        <v>2324</v>
      </c>
      <c r="F3703" s="460">
        <v>1</v>
      </c>
      <c r="G3703" s="460">
        <v>3</v>
      </c>
      <c r="H3703" s="461" t="s">
        <v>719</v>
      </c>
      <c r="I3703" s="461" t="s">
        <v>720</v>
      </c>
      <c r="J3703" s="461" t="s">
        <v>719</v>
      </c>
      <c r="K3703" s="594"/>
      <c r="L3703" s="594"/>
      <c r="M3703" s="352">
        <v>6000</v>
      </c>
      <c r="N3703" s="352" t="s">
        <v>871</v>
      </c>
      <c r="O3703" s="460">
        <v>5141</v>
      </c>
      <c r="P3703" s="460" t="s">
        <v>1890</v>
      </c>
      <c r="Q3703" s="460" t="s">
        <v>3374</v>
      </c>
      <c r="R3703" s="460">
        <v>5141</v>
      </c>
      <c r="S3703" s="460" t="s">
        <v>2324</v>
      </c>
      <c r="T3703" s="462">
        <v>1</v>
      </c>
      <c r="U3703" s="460" t="s">
        <v>2324</v>
      </c>
      <c r="V3703" s="475">
        <v>0</v>
      </c>
      <c r="W3703" s="463" t="s">
        <v>2278</v>
      </c>
      <c r="X3703" s="463" t="s">
        <v>2278</v>
      </c>
      <c r="Y3703" s="463" t="s">
        <v>2278</v>
      </c>
      <c r="Z3703" s="463"/>
      <c r="AA3703" s="463"/>
      <c r="AB3703" s="464">
        <v>10598.614499232584</v>
      </c>
      <c r="AC3703" s="465">
        <v>0.4431089991359165</v>
      </c>
      <c r="AD3703" s="465">
        <v>0.26255845228604735</v>
      </c>
      <c r="AE3703" s="476">
        <v>10598.614499232584</v>
      </c>
      <c r="AF3703" s="467">
        <v>0.4431089991359165</v>
      </c>
      <c r="AG3703" s="468">
        <v>0.26255845228604735</v>
      </c>
      <c r="AH3703" s="218">
        <v>10598.614499232584</v>
      </c>
      <c r="AI3703" s="470">
        <v>0.4431089991359165</v>
      </c>
      <c r="AJ3703" s="471">
        <v>0.26255845228604735</v>
      </c>
      <c r="AK3703" s="218">
        <v>10598.614499232584</v>
      </c>
      <c r="AL3703" s="470">
        <v>0.4431089991359165</v>
      </c>
      <c r="AM3703" s="471">
        <v>0.26255845228604735</v>
      </c>
      <c r="AN3703" s="477">
        <v>10598.614499232584</v>
      </c>
      <c r="AO3703" s="473">
        <v>0.4431089991359165</v>
      </c>
      <c r="AP3703" s="474">
        <v>0.26255845228604735</v>
      </c>
      <c r="AQ3703" s="352"/>
      <c r="AR3703" s="352"/>
      <c r="AS3703" s="352"/>
      <c r="AT3703" s="352"/>
      <c r="AU3703" s="352"/>
      <c r="AV3703" s="352"/>
      <c r="AW3703" s="352" t="s">
        <v>254</v>
      </c>
    </row>
    <row r="3704" spans="2:49" x14ac:dyDescent="0.2">
      <c r="B3704" s="460" t="s">
        <v>3459</v>
      </c>
      <c r="C3704" s="460">
        <v>6000</v>
      </c>
      <c r="D3704" s="460" t="s">
        <v>3391</v>
      </c>
      <c r="E3704" s="460" t="s">
        <v>2327</v>
      </c>
      <c r="F3704" s="460">
        <v>2</v>
      </c>
      <c r="G3704" s="460">
        <v>3</v>
      </c>
      <c r="H3704" s="461" t="s">
        <v>719</v>
      </c>
      <c r="I3704" s="461" t="s">
        <v>720</v>
      </c>
      <c r="J3704" s="461" t="s">
        <v>719</v>
      </c>
      <c r="K3704" s="594"/>
      <c r="L3704" s="594"/>
      <c r="M3704" s="352">
        <v>6000</v>
      </c>
      <c r="N3704" s="352" t="s">
        <v>871</v>
      </c>
      <c r="O3704" s="460">
        <v>5141</v>
      </c>
      <c r="P3704" s="460" t="s">
        <v>1890</v>
      </c>
      <c r="Q3704" s="460" t="s">
        <v>3374</v>
      </c>
      <c r="R3704" s="460">
        <v>5141</v>
      </c>
      <c r="S3704" s="460" t="s">
        <v>2324</v>
      </c>
      <c r="T3704" s="462">
        <v>1</v>
      </c>
      <c r="U3704" s="460" t="s">
        <v>2327</v>
      </c>
      <c r="V3704" s="475">
        <v>0</v>
      </c>
      <c r="W3704" s="463" t="s">
        <v>2278</v>
      </c>
      <c r="X3704" s="463" t="s">
        <v>2278</v>
      </c>
      <c r="Y3704" s="463" t="s">
        <v>2278</v>
      </c>
      <c r="Z3704" s="463"/>
      <c r="AA3704" s="463"/>
      <c r="AB3704" s="464">
        <v>14630.54332532545</v>
      </c>
      <c r="AC3704" s="465">
        <v>0.45117006425529604</v>
      </c>
      <c r="AD3704" s="465">
        <v>0.53000984016159036</v>
      </c>
      <c r="AE3704" s="476">
        <v>14630.54332532545</v>
      </c>
      <c r="AF3704" s="467">
        <v>0.45117006425529604</v>
      </c>
      <c r="AG3704" s="468">
        <v>0.53000984016159036</v>
      </c>
      <c r="AH3704" s="218">
        <v>14630.54332532545</v>
      </c>
      <c r="AI3704" s="470">
        <v>0.45117006425529604</v>
      </c>
      <c r="AJ3704" s="471">
        <v>0.53000984016159036</v>
      </c>
      <c r="AK3704" s="218">
        <v>14630.54332532545</v>
      </c>
      <c r="AL3704" s="470">
        <v>0.45117006425529604</v>
      </c>
      <c r="AM3704" s="471">
        <v>0.53000984016159036</v>
      </c>
      <c r="AN3704" s="477">
        <v>14630.54332532545</v>
      </c>
      <c r="AO3704" s="473">
        <v>0.45117006425529604</v>
      </c>
      <c r="AP3704" s="474">
        <v>0.53000984016159036</v>
      </c>
      <c r="AQ3704" s="352"/>
      <c r="AR3704" s="352"/>
      <c r="AS3704" s="352"/>
      <c r="AT3704" s="352"/>
      <c r="AU3704" s="352"/>
      <c r="AV3704" s="352"/>
      <c r="AW3704" s="352" t="s">
        <v>254</v>
      </c>
    </row>
    <row r="3705" spans="2:49" x14ac:dyDescent="0.2">
      <c r="B3705" s="460" t="s">
        <v>3460</v>
      </c>
      <c r="C3705" s="460">
        <v>6000</v>
      </c>
      <c r="D3705" s="460" t="s">
        <v>3392</v>
      </c>
      <c r="E3705" s="460" t="s">
        <v>2330</v>
      </c>
      <c r="F3705" s="460">
        <v>3</v>
      </c>
      <c r="G3705" s="460">
        <v>3</v>
      </c>
      <c r="H3705" s="461" t="s">
        <v>719</v>
      </c>
      <c r="I3705" s="461" t="s">
        <v>720</v>
      </c>
      <c r="J3705" s="461" t="s">
        <v>719</v>
      </c>
      <c r="K3705" s="594"/>
      <c r="L3705" s="594"/>
      <c r="M3705" s="352">
        <v>6000</v>
      </c>
      <c r="N3705" s="352" t="s">
        <v>871</v>
      </c>
      <c r="O3705" s="460">
        <v>5141</v>
      </c>
      <c r="P3705" s="460" t="s">
        <v>1890</v>
      </c>
      <c r="Q3705" s="460" t="s">
        <v>3374</v>
      </c>
      <c r="R3705" s="460">
        <v>5141</v>
      </c>
      <c r="S3705" s="460" t="s">
        <v>2324</v>
      </c>
      <c r="T3705" s="462">
        <v>1</v>
      </c>
      <c r="U3705" s="460" t="s">
        <v>2330</v>
      </c>
      <c r="V3705" s="475">
        <v>0</v>
      </c>
      <c r="W3705" s="463" t="s">
        <v>2278</v>
      </c>
      <c r="X3705" s="463" t="s">
        <v>2278</v>
      </c>
      <c r="Y3705" s="463" t="s">
        <v>2278</v>
      </c>
      <c r="Z3705" s="463"/>
      <c r="AA3705" s="463"/>
      <c r="AB3705" s="464">
        <v>150.52937445637829</v>
      </c>
      <c r="AC3705" s="465">
        <v>1.970676041392529E-2</v>
      </c>
      <c r="AD3705" s="465">
        <v>0.21184234625055551</v>
      </c>
      <c r="AE3705" s="476">
        <v>150.52937445637829</v>
      </c>
      <c r="AF3705" s="467">
        <v>1.970676041392529E-2</v>
      </c>
      <c r="AG3705" s="468">
        <v>0.21184234625055551</v>
      </c>
      <c r="AH3705" s="218">
        <v>150.52937445637829</v>
      </c>
      <c r="AI3705" s="470">
        <v>1.970676041392529E-2</v>
      </c>
      <c r="AJ3705" s="471">
        <v>0.21184234625055551</v>
      </c>
      <c r="AK3705" s="218">
        <v>150.52937445637829</v>
      </c>
      <c r="AL3705" s="470">
        <v>1.970676041392529E-2</v>
      </c>
      <c r="AM3705" s="471">
        <v>0.21184234625055551</v>
      </c>
      <c r="AN3705" s="477">
        <v>150.52937445637829</v>
      </c>
      <c r="AO3705" s="473">
        <v>1.970676041392529E-2</v>
      </c>
      <c r="AP3705" s="474">
        <v>0.21184234625055551</v>
      </c>
      <c r="AQ3705" s="352"/>
      <c r="AR3705" s="352"/>
      <c r="AS3705" s="352"/>
      <c r="AT3705" s="352"/>
      <c r="AU3705" s="352"/>
      <c r="AV3705" s="352"/>
      <c r="AW3705" s="352" t="s">
        <v>254</v>
      </c>
    </row>
    <row r="3706" spans="2:49" x14ac:dyDescent="0.2">
      <c r="B3706" s="460" t="s">
        <v>3461</v>
      </c>
      <c r="C3706" s="460">
        <v>6000</v>
      </c>
      <c r="D3706" s="460" t="s">
        <v>3393</v>
      </c>
      <c r="E3706" s="460" t="s">
        <v>2333</v>
      </c>
      <c r="F3706" s="460">
        <v>4</v>
      </c>
      <c r="G3706" s="460">
        <v>3</v>
      </c>
      <c r="H3706" s="461" t="s">
        <v>719</v>
      </c>
      <c r="I3706" s="461" t="s">
        <v>720</v>
      </c>
      <c r="J3706" s="461" t="s">
        <v>719</v>
      </c>
      <c r="K3706" s="594"/>
      <c r="L3706" s="594"/>
      <c r="M3706" s="352">
        <v>6000</v>
      </c>
      <c r="N3706" s="352" t="s">
        <v>871</v>
      </c>
      <c r="O3706" s="460">
        <v>5141</v>
      </c>
      <c r="P3706" s="460" t="s">
        <v>1890</v>
      </c>
      <c r="Q3706" s="460" t="s">
        <v>3374</v>
      </c>
      <c r="R3706" s="460">
        <v>5141</v>
      </c>
      <c r="S3706" s="460" t="s">
        <v>2333</v>
      </c>
      <c r="T3706" s="462">
        <v>1</v>
      </c>
      <c r="U3706" s="460" t="s">
        <v>2333</v>
      </c>
      <c r="V3706" s="475">
        <v>0</v>
      </c>
      <c r="W3706" s="463" t="s">
        <v>2278</v>
      </c>
      <c r="X3706" s="463" t="s">
        <v>2278</v>
      </c>
      <c r="Y3706" s="463" t="s">
        <v>2278</v>
      </c>
      <c r="Z3706" s="463"/>
      <c r="AA3706" s="463"/>
      <c r="AB3706" s="464">
        <v>4716.3119921825228</v>
      </c>
      <c r="AC3706" s="465">
        <v>0.35437196576467928</v>
      </c>
      <c r="AD3706" s="465">
        <v>0.86647146064713654</v>
      </c>
      <c r="AE3706" s="476">
        <v>4716.3119921825228</v>
      </c>
      <c r="AF3706" s="467">
        <v>0.35437196576467928</v>
      </c>
      <c r="AG3706" s="468">
        <v>0.86647146064713654</v>
      </c>
      <c r="AH3706" s="218">
        <v>4716.3119921825228</v>
      </c>
      <c r="AI3706" s="470">
        <v>0.35437196576467928</v>
      </c>
      <c r="AJ3706" s="471">
        <v>0.86647146064713654</v>
      </c>
      <c r="AK3706" s="218">
        <v>4716.3119921825228</v>
      </c>
      <c r="AL3706" s="470">
        <v>0.35437196576467928</v>
      </c>
      <c r="AM3706" s="471">
        <v>0.86647146064713654</v>
      </c>
      <c r="AN3706" s="477">
        <v>4716.3119921825228</v>
      </c>
      <c r="AO3706" s="473">
        <v>0.35437196576467928</v>
      </c>
      <c r="AP3706" s="474">
        <v>0.86647146064713654</v>
      </c>
      <c r="AQ3706" s="352"/>
      <c r="AR3706" s="352"/>
      <c r="AS3706" s="352"/>
      <c r="AT3706" s="352"/>
      <c r="AU3706" s="352"/>
      <c r="AV3706" s="352"/>
      <c r="AW3706" s="352" t="s">
        <v>254</v>
      </c>
    </row>
    <row r="3707" spans="2:49" x14ac:dyDescent="0.2">
      <c r="B3707" s="460" t="s">
        <v>3458</v>
      </c>
      <c r="C3707" s="460">
        <v>6000</v>
      </c>
      <c r="D3707" s="460" t="s">
        <v>2338</v>
      </c>
      <c r="E3707" s="460" t="s">
        <v>2324</v>
      </c>
      <c r="F3707" s="460">
        <v>1</v>
      </c>
      <c r="G3707" s="460">
        <v>3</v>
      </c>
      <c r="H3707" s="461" t="s">
        <v>746</v>
      </c>
      <c r="I3707" s="461" t="s">
        <v>762</v>
      </c>
      <c r="J3707" s="461" t="s">
        <v>700</v>
      </c>
      <c r="K3707" s="594"/>
      <c r="L3707" s="594"/>
      <c r="M3707" s="352">
        <v>6000</v>
      </c>
      <c r="N3707" s="352" t="s">
        <v>871</v>
      </c>
      <c r="O3707" s="460">
        <v>5141</v>
      </c>
      <c r="P3707" s="460" t="s">
        <v>1890</v>
      </c>
      <c r="Q3707" s="460" t="s">
        <v>2553</v>
      </c>
      <c r="R3707" s="460">
        <v>5141</v>
      </c>
      <c r="S3707" s="460" t="s">
        <v>2324</v>
      </c>
      <c r="T3707" s="462">
        <v>1</v>
      </c>
      <c r="U3707" s="460" t="s">
        <v>2324</v>
      </c>
      <c r="V3707" s="475">
        <v>0</v>
      </c>
      <c r="W3707" s="463" t="s">
        <v>2268</v>
      </c>
      <c r="X3707" s="463" t="s">
        <v>2268</v>
      </c>
      <c r="Y3707" s="463" t="s">
        <v>2554</v>
      </c>
      <c r="Z3707" s="463"/>
      <c r="AA3707" s="463"/>
      <c r="AB3707" s="464">
        <v>0</v>
      </c>
      <c r="AC3707" s="465">
        <v>0</v>
      </c>
      <c r="AD3707" s="465">
        <v>0</v>
      </c>
      <c r="AE3707" s="476">
        <v>0</v>
      </c>
      <c r="AF3707" s="467">
        <v>0</v>
      </c>
      <c r="AG3707" s="468">
        <v>0</v>
      </c>
      <c r="AH3707" s="218">
        <v>0</v>
      </c>
      <c r="AI3707" s="470">
        <v>0</v>
      </c>
      <c r="AJ3707" s="471">
        <v>0</v>
      </c>
      <c r="AK3707" s="218">
        <v>0</v>
      </c>
      <c r="AL3707" s="470">
        <v>0</v>
      </c>
      <c r="AM3707" s="471">
        <v>0</v>
      </c>
      <c r="AN3707" s="477">
        <v>0</v>
      </c>
      <c r="AO3707" s="473">
        <v>0</v>
      </c>
      <c r="AP3707" s="474">
        <v>0</v>
      </c>
      <c r="AQ3707" s="352"/>
      <c r="AR3707" s="352"/>
      <c r="AS3707" s="352"/>
      <c r="AT3707" s="352"/>
      <c r="AU3707" s="352"/>
      <c r="AV3707" s="352"/>
      <c r="AW3707" s="352" t="s">
        <v>254</v>
      </c>
    </row>
    <row r="3708" spans="2:49" x14ac:dyDescent="0.2">
      <c r="B3708" s="460" t="s">
        <v>3459</v>
      </c>
      <c r="C3708" s="460">
        <v>6000</v>
      </c>
      <c r="D3708" s="460" t="s">
        <v>2339</v>
      </c>
      <c r="E3708" s="460" t="s">
        <v>2327</v>
      </c>
      <c r="F3708" s="460">
        <v>2</v>
      </c>
      <c r="G3708" s="460">
        <v>3</v>
      </c>
      <c r="H3708" s="461" t="s">
        <v>746</v>
      </c>
      <c r="I3708" s="461" t="s">
        <v>762</v>
      </c>
      <c r="J3708" s="461" t="s">
        <v>700</v>
      </c>
      <c r="K3708" s="594"/>
      <c r="L3708" s="594"/>
      <c r="M3708" s="352">
        <v>6000</v>
      </c>
      <c r="N3708" s="352" t="s">
        <v>871</v>
      </c>
      <c r="O3708" s="460">
        <v>5141</v>
      </c>
      <c r="P3708" s="460" t="s">
        <v>1890</v>
      </c>
      <c r="Q3708" s="460" t="s">
        <v>2553</v>
      </c>
      <c r="R3708" s="460">
        <v>5141</v>
      </c>
      <c r="S3708" s="460" t="s">
        <v>2324</v>
      </c>
      <c r="T3708" s="462">
        <v>1</v>
      </c>
      <c r="U3708" s="460" t="s">
        <v>2327</v>
      </c>
      <c r="V3708" s="475">
        <v>0</v>
      </c>
      <c r="W3708" s="463" t="s">
        <v>2268</v>
      </c>
      <c r="X3708" s="463" t="s">
        <v>2268</v>
      </c>
      <c r="Y3708" s="463" t="s">
        <v>2554</v>
      </c>
      <c r="Z3708" s="463"/>
      <c r="AA3708" s="463"/>
      <c r="AB3708" s="464">
        <v>0</v>
      </c>
      <c r="AC3708" s="465">
        <v>0</v>
      </c>
      <c r="AD3708" s="465">
        <v>0</v>
      </c>
      <c r="AE3708" s="476">
        <v>0</v>
      </c>
      <c r="AF3708" s="467">
        <v>0</v>
      </c>
      <c r="AG3708" s="468">
        <v>0</v>
      </c>
      <c r="AH3708" s="218">
        <v>0</v>
      </c>
      <c r="AI3708" s="470">
        <v>0</v>
      </c>
      <c r="AJ3708" s="471">
        <v>0</v>
      </c>
      <c r="AK3708" s="218">
        <v>0</v>
      </c>
      <c r="AL3708" s="470">
        <v>0</v>
      </c>
      <c r="AM3708" s="471">
        <v>0</v>
      </c>
      <c r="AN3708" s="477">
        <v>0</v>
      </c>
      <c r="AO3708" s="473">
        <v>0</v>
      </c>
      <c r="AP3708" s="474">
        <v>0</v>
      </c>
      <c r="AQ3708" s="352"/>
      <c r="AR3708" s="352"/>
      <c r="AS3708" s="352"/>
      <c r="AT3708" s="352"/>
      <c r="AU3708" s="352"/>
      <c r="AV3708" s="352"/>
      <c r="AW3708" s="352" t="s">
        <v>254</v>
      </c>
    </row>
    <row r="3709" spans="2:49" x14ac:dyDescent="0.2">
      <c r="B3709" s="460" t="s">
        <v>3460</v>
      </c>
      <c r="C3709" s="460">
        <v>6000</v>
      </c>
      <c r="D3709" s="460" t="s">
        <v>2340</v>
      </c>
      <c r="E3709" s="460" t="s">
        <v>2330</v>
      </c>
      <c r="F3709" s="460">
        <v>3</v>
      </c>
      <c r="G3709" s="460">
        <v>3</v>
      </c>
      <c r="H3709" s="461" t="s">
        <v>746</v>
      </c>
      <c r="I3709" s="461" t="s">
        <v>762</v>
      </c>
      <c r="J3709" s="461" t="s">
        <v>700</v>
      </c>
      <c r="K3709" s="594"/>
      <c r="L3709" s="594"/>
      <c r="M3709" s="352">
        <v>6000</v>
      </c>
      <c r="N3709" s="352" t="s">
        <v>871</v>
      </c>
      <c r="O3709" s="460">
        <v>5141</v>
      </c>
      <c r="P3709" s="460" t="s">
        <v>1890</v>
      </c>
      <c r="Q3709" s="460" t="s">
        <v>2553</v>
      </c>
      <c r="R3709" s="460">
        <v>5141</v>
      </c>
      <c r="S3709" s="460" t="s">
        <v>2324</v>
      </c>
      <c r="T3709" s="462">
        <v>1</v>
      </c>
      <c r="U3709" s="460" t="s">
        <v>2330</v>
      </c>
      <c r="V3709" s="475">
        <v>0</v>
      </c>
      <c r="W3709" s="463" t="s">
        <v>2268</v>
      </c>
      <c r="X3709" s="463" t="s">
        <v>2268</v>
      </c>
      <c r="Y3709" s="463" t="s">
        <v>2554</v>
      </c>
      <c r="Z3709" s="463"/>
      <c r="AA3709" s="463"/>
      <c r="AB3709" s="464">
        <v>0</v>
      </c>
      <c r="AC3709" s="465">
        <v>0</v>
      </c>
      <c r="AD3709" s="465">
        <v>0</v>
      </c>
      <c r="AE3709" s="476">
        <v>0</v>
      </c>
      <c r="AF3709" s="467">
        <v>0</v>
      </c>
      <c r="AG3709" s="468">
        <v>0</v>
      </c>
      <c r="AH3709" s="218">
        <v>0</v>
      </c>
      <c r="AI3709" s="470">
        <v>0</v>
      </c>
      <c r="AJ3709" s="471">
        <v>0</v>
      </c>
      <c r="AK3709" s="218">
        <v>0</v>
      </c>
      <c r="AL3709" s="470">
        <v>0</v>
      </c>
      <c r="AM3709" s="471">
        <v>0</v>
      </c>
      <c r="AN3709" s="477">
        <v>0</v>
      </c>
      <c r="AO3709" s="473">
        <v>0</v>
      </c>
      <c r="AP3709" s="474">
        <v>0</v>
      </c>
      <c r="AQ3709" s="352"/>
      <c r="AR3709" s="352"/>
      <c r="AS3709" s="352"/>
      <c r="AT3709" s="352"/>
      <c r="AU3709" s="352"/>
      <c r="AV3709" s="352"/>
      <c r="AW3709" s="352" t="s">
        <v>254</v>
      </c>
    </row>
    <row r="3710" spans="2:49" x14ac:dyDescent="0.2">
      <c r="B3710" s="460" t="s">
        <v>3461</v>
      </c>
      <c r="C3710" s="460">
        <v>6000</v>
      </c>
      <c r="D3710" s="460" t="s">
        <v>2341</v>
      </c>
      <c r="E3710" s="460" t="s">
        <v>2333</v>
      </c>
      <c r="F3710" s="460">
        <v>4</v>
      </c>
      <c r="G3710" s="460">
        <v>3</v>
      </c>
      <c r="H3710" s="461" t="s">
        <v>746</v>
      </c>
      <c r="I3710" s="461" t="s">
        <v>762</v>
      </c>
      <c r="J3710" s="461" t="s">
        <v>700</v>
      </c>
      <c r="K3710" s="594"/>
      <c r="L3710" s="594"/>
      <c r="M3710" s="352">
        <v>6000</v>
      </c>
      <c r="N3710" s="352" t="s">
        <v>871</v>
      </c>
      <c r="O3710" s="460">
        <v>5141</v>
      </c>
      <c r="P3710" s="460" t="s">
        <v>1890</v>
      </c>
      <c r="Q3710" s="460" t="s">
        <v>2553</v>
      </c>
      <c r="R3710" s="460">
        <v>5141</v>
      </c>
      <c r="S3710" s="460" t="s">
        <v>2333</v>
      </c>
      <c r="T3710" s="462">
        <v>1</v>
      </c>
      <c r="U3710" s="460" t="s">
        <v>2333</v>
      </c>
      <c r="V3710" s="475">
        <v>0</v>
      </c>
      <c r="W3710" s="463" t="s">
        <v>2268</v>
      </c>
      <c r="X3710" s="463" t="s">
        <v>2268</v>
      </c>
      <c r="Y3710" s="463" t="s">
        <v>2554</v>
      </c>
      <c r="Z3710" s="463"/>
      <c r="AA3710" s="463"/>
      <c r="AB3710" s="464">
        <v>0</v>
      </c>
      <c r="AC3710" s="465">
        <v>0</v>
      </c>
      <c r="AD3710" s="465">
        <v>0</v>
      </c>
      <c r="AE3710" s="476">
        <v>0</v>
      </c>
      <c r="AF3710" s="467">
        <v>0</v>
      </c>
      <c r="AG3710" s="468">
        <v>0</v>
      </c>
      <c r="AH3710" s="218">
        <v>0</v>
      </c>
      <c r="AI3710" s="470">
        <v>0</v>
      </c>
      <c r="AJ3710" s="471">
        <v>0</v>
      </c>
      <c r="AK3710" s="218">
        <v>0</v>
      </c>
      <c r="AL3710" s="470">
        <v>0</v>
      </c>
      <c r="AM3710" s="471">
        <v>0</v>
      </c>
      <c r="AN3710" s="477">
        <v>0</v>
      </c>
      <c r="AO3710" s="473">
        <v>0</v>
      </c>
      <c r="AP3710" s="474">
        <v>0</v>
      </c>
      <c r="AQ3710" s="352"/>
      <c r="AR3710" s="352"/>
      <c r="AS3710" s="352"/>
      <c r="AT3710" s="352"/>
      <c r="AU3710" s="352"/>
      <c r="AV3710" s="352"/>
      <c r="AW3710" s="352" t="s">
        <v>254</v>
      </c>
    </row>
    <row r="3711" spans="2:49" x14ac:dyDescent="0.2">
      <c r="B3711" s="460" t="s">
        <v>3458</v>
      </c>
      <c r="C3711" s="460">
        <v>6000</v>
      </c>
      <c r="D3711" s="460" t="s">
        <v>2342</v>
      </c>
      <c r="E3711" s="460" t="s">
        <v>2324</v>
      </c>
      <c r="F3711" s="460">
        <v>1</v>
      </c>
      <c r="G3711" s="460">
        <v>3</v>
      </c>
      <c r="H3711" s="461" t="s">
        <v>748</v>
      </c>
      <c r="I3711" s="461" t="s">
        <v>765</v>
      </c>
      <c r="J3711" s="461" t="s">
        <v>700</v>
      </c>
      <c r="K3711" s="594"/>
      <c r="L3711" s="594"/>
      <c r="M3711" s="352">
        <v>6000</v>
      </c>
      <c r="N3711" s="352" t="s">
        <v>871</v>
      </c>
      <c r="O3711" s="460">
        <v>5141</v>
      </c>
      <c r="P3711" s="460" t="s">
        <v>1890</v>
      </c>
      <c r="Q3711" s="460" t="s">
        <v>2553</v>
      </c>
      <c r="R3711" s="460">
        <v>5141</v>
      </c>
      <c r="S3711" s="460" t="s">
        <v>2324</v>
      </c>
      <c r="T3711" s="462">
        <v>1</v>
      </c>
      <c r="U3711" s="460" t="s">
        <v>2324</v>
      </c>
      <c r="V3711" s="475">
        <v>0</v>
      </c>
      <c r="W3711" s="463" t="s">
        <v>2268</v>
      </c>
      <c r="X3711" s="463" t="s">
        <v>2268</v>
      </c>
      <c r="Y3711" s="463" t="s">
        <v>2554</v>
      </c>
      <c r="Z3711" s="463"/>
      <c r="AA3711" s="463"/>
      <c r="AB3711" s="464">
        <v>0</v>
      </c>
      <c r="AC3711" s="465">
        <v>0</v>
      </c>
      <c r="AD3711" s="465">
        <v>0</v>
      </c>
      <c r="AE3711" s="476">
        <v>0</v>
      </c>
      <c r="AF3711" s="467">
        <v>0</v>
      </c>
      <c r="AG3711" s="468">
        <v>0</v>
      </c>
      <c r="AH3711" s="218">
        <v>0</v>
      </c>
      <c r="AI3711" s="470">
        <v>0</v>
      </c>
      <c r="AJ3711" s="471">
        <v>0</v>
      </c>
      <c r="AK3711" s="218">
        <v>0</v>
      </c>
      <c r="AL3711" s="470">
        <v>0</v>
      </c>
      <c r="AM3711" s="471">
        <v>0</v>
      </c>
      <c r="AN3711" s="477">
        <v>0</v>
      </c>
      <c r="AO3711" s="473">
        <v>0</v>
      </c>
      <c r="AP3711" s="474">
        <v>0</v>
      </c>
      <c r="AQ3711" s="352"/>
      <c r="AR3711" s="352"/>
      <c r="AS3711" s="352"/>
      <c r="AT3711" s="352"/>
      <c r="AU3711" s="352"/>
      <c r="AV3711" s="352"/>
      <c r="AW3711" s="352" t="s">
        <v>254</v>
      </c>
    </row>
    <row r="3712" spans="2:49" x14ac:dyDescent="0.2">
      <c r="B3712" s="460" t="s">
        <v>3459</v>
      </c>
      <c r="C3712" s="460">
        <v>6000</v>
      </c>
      <c r="D3712" s="460" t="s">
        <v>2343</v>
      </c>
      <c r="E3712" s="460" t="s">
        <v>2327</v>
      </c>
      <c r="F3712" s="460">
        <v>2</v>
      </c>
      <c r="G3712" s="460">
        <v>3</v>
      </c>
      <c r="H3712" s="461" t="s">
        <v>748</v>
      </c>
      <c r="I3712" s="461" t="s">
        <v>765</v>
      </c>
      <c r="J3712" s="461" t="s">
        <v>700</v>
      </c>
      <c r="K3712" s="594"/>
      <c r="L3712" s="594"/>
      <c r="M3712" s="352">
        <v>6000</v>
      </c>
      <c r="N3712" s="352" t="s">
        <v>871</v>
      </c>
      <c r="O3712" s="460">
        <v>5141</v>
      </c>
      <c r="P3712" s="460" t="s">
        <v>1890</v>
      </c>
      <c r="Q3712" s="460" t="s">
        <v>2553</v>
      </c>
      <c r="R3712" s="460">
        <v>5141</v>
      </c>
      <c r="S3712" s="460" t="s">
        <v>2324</v>
      </c>
      <c r="T3712" s="462">
        <v>1</v>
      </c>
      <c r="U3712" s="460" t="s">
        <v>2327</v>
      </c>
      <c r="V3712" s="475">
        <v>0</v>
      </c>
      <c r="W3712" s="463" t="s">
        <v>2268</v>
      </c>
      <c r="X3712" s="463" t="s">
        <v>2268</v>
      </c>
      <c r="Y3712" s="463" t="s">
        <v>2554</v>
      </c>
      <c r="Z3712" s="463"/>
      <c r="AA3712" s="463"/>
      <c r="AB3712" s="464">
        <v>0</v>
      </c>
      <c r="AC3712" s="465">
        <v>0</v>
      </c>
      <c r="AD3712" s="465">
        <v>0</v>
      </c>
      <c r="AE3712" s="476">
        <v>0</v>
      </c>
      <c r="AF3712" s="467">
        <v>0</v>
      </c>
      <c r="AG3712" s="468">
        <v>0</v>
      </c>
      <c r="AH3712" s="218">
        <v>0</v>
      </c>
      <c r="AI3712" s="470">
        <v>0</v>
      </c>
      <c r="AJ3712" s="471">
        <v>0</v>
      </c>
      <c r="AK3712" s="218">
        <v>0</v>
      </c>
      <c r="AL3712" s="470">
        <v>0</v>
      </c>
      <c r="AM3712" s="471">
        <v>0</v>
      </c>
      <c r="AN3712" s="477">
        <v>0</v>
      </c>
      <c r="AO3712" s="473">
        <v>0</v>
      </c>
      <c r="AP3712" s="474">
        <v>0</v>
      </c>
      <c r="AQ3712" s="352"/>
      <c r="AR3712" s="352"/>
      <c r="AS3712" s="352"/>
      <c r="AT3712" s="352"/>
      <c r="AU3712" s="352"/>
      <c r="AV3712" s="352"/>
      <c r="AW3712" s="352" t="s">
        <v>254</v>
      </c>
    </row>
    <row r="3713" spans="2:49" x14ac:dyDescent="0.2">
      <c r="B3713" s="460" t="s">
        <v>3460</v>
      </c>
      <c r="C3713" s="460">
        <v>6000</v>
      </c>
      <c r="D3713" s="460" t="s">
        <v>2344</v>
      </c>
      <c r="E3713" s="460" t="s">
        <v>2330</v>
      </c>
      <c r="F3713" s="460">
        <v>3</v>
      </c>
      <c r="G3713" s="460">
        <v>3</v>
      </c>
      <c r="H3713" s="461" t="s">
        <v>748</v>
      </c>
      <c r="I3713" s="461" t="s">
        <v>765</v>
      </c>
      <c r="J3713" s="461" t="s">
        <v>700</v>
      </c>
      <c r="K3713" s="594"/>
      <c r="L3713" s="594"/>
      <c r="M3713" s="352">
        <v>6000</v>
      </c>
      <c r="N3713" s="352" t="s">
        <v>871</v>
      </c>
      <c r="O3713" s="460">
        <v>5141</v>
      </c>
      <c r="P3713" s="460" t="s">
        <v>1890</v>
      </c>
      <c r="Q3713" s="460" t="s">
        <v>2553</v>
      </c>
      <c r="R3713" s="460">
        <v>5141</v>
      </c>
      <c r="S3713" s="460" t="s">
        <v>2324</v>
      </c>
      <c r="T3713" s="462">
        <v>1</v>
      </c>
      <c r="U3713" s="460" t="s">
        <v>2330</v>
      </c>
      <c r="V3713" s="475">
        <v>0</v>
      </c>
      <c r="W3713" s="463" t="s">
        <v>2268</v>
      </c>
      <c r="X3713" s="463" t="s">
        <v>2268</v>
      </c>
      <c r="Y3713" s="463" t="s">
        <v>2554</v>
      </c>
      <c r="Z3713" s="463"/>
      <c r="AA3713" s="463"/>
      <c r="AB3713" s="464">
        <v>0</v>
      </c>
      <c r="AC3713" s="465">
        <v>0</v>
      </c>
      <c r="AD3713" s="465">
        <v>0</v>
      </c>
      <c r="AE3713" s="476">
        <v>0</v>
      </c>
      <c r="AF3713" s="467">
        <v>0</v>
      </c>
      <c r="AG3713" s="468">
        <v>0</v>
      </c>
      <c r="AH3713" s="218">
        <v>0</v>
      </c>
      <c r="AI3713" s="470">
        <v>0</v>
      </c>
      <c r="AJ3713" s="471">
        <v>0</v>
      </c>
      <c r="AK3713" s="218">
        <v>0</v>
      </c>
      <c r="AL3713" s="470">
        <v>0</v>
      </c>
      <c r="AM3713" s="471">
        <v>0</v>
      </c>
      <c r="AN3713" s="477">
        <v>0</v>
      </c>
      <c r="AO3713" s="473">
        <v>0</v>
      </c>
      <c r="AP3713" s="474">
        <v>0</v>
      </c>
      <c r="AQ3713" s="352"/>
      <c r="AR3713" s="352"/>
      <c r="AS3713" s="352"/>
      <c r="AT3713" s="352"/>
      <c r="AU3713" s="352"/>
      <c r="AV3713" s="352"/>
      <c r="AW3713" s="352" t="s">
        <v>254</v>
      </c>
    </row>
    <row r="3714" spans="2:49" x14ac:dyDescent="0.2">
      <c r="B3714" s="460" t="s">
        <v>3461</v>
      </c>
      <c r="C3714" s="460">
        <v>6000</v>
      </c>
      <c r="D3714" s="460" t="s">
        <v>2345</v>
      </c>
      <c r="E3714" s="460" t="s">
        <v>2333</v>
      </c>
      <c r="F3714" s="460">
        <v>4</v>
      </c>
      <c r="G3714" s="460">
        <v>3</v>
      </c>
      <c r="H3714" s="461" t="s">
        <v>748</v>
      </c>
      <c r="I3714" s="461" t="s">
        <v>765</v>
      </c>
      <c r="J3714" s="461" t="s">
        <v>700</v>
      </c>
      <c r="K3714" s="594"/>
      <c r="L3714" s="594"/>
      <c r="M3714" s="352">
        <v>6000</v>
      </c>
      <c r="N3714" s="352" t="s">
        <v>871</v>
      </c>
      <c r="O3714" s="460">
        <v>5141</v>
      </c>
      <c r="P3714" s="460" t="s">
        <v>1890</v>
      </c>
      <c r="Q3714" s="460" t="s">
        <v>2553</v>
      </c>
      <c r="R3714" s="460">
        <v>5141</v>
      </c>
      <c r="S3714" s="460" t="s">
        <v>2333</v>
      </c>
      <c r="T3714" s="462">
        <v>1</v>
      </c>
      <c r="U3714" s="460" t="s">
        <v>2333</v>
      </c>
      <c r="V3714" s="475">
        <v>0</v>
      </c>
      <c r="W3714" s="463" t="s">
        <v>2268</v>
      </c>
      <c r="X3714" s="463" t="s">
        <v>2268</v>
      </c>
      <c r="Y3714" s="463" t="s">
        <v>2554</v>
      </c>
      <c r="Z3714" s="463"/>
      <c r="AA3714" s="463"/>
      <c r="AB3714" s="464">
        <v>0</v>
      </c>
      <c r="AC3714" s="465">
        <v>0</v>
      </c>
      <c r="AD3714" s="465">
        <v>0</v>
      </c>
      <c r="AE3714" s="476">
        <v>0</v>
      </c>
      <c r="AF3714" s="467">
        <v>0</v>
      </c>
      <c r="AG3714" s="468">
        <v>0</v>
      </c>
      <c r="AH3714" s="218">
        <v>0</v>
      </c>
      <c r="AI3714" s="470">
        <v>0</v>
      </c>
      <c r="AJ3714" s="471">
        <v>0</v>
      </c>
      <c r="AK3714" s="218">
        <v>0</v>
      </c>
      <c r="AL3714" s="470">
        <v>0</v>
      </c>
      <c r="AM3714" s="471">
        <v>0</v>
      </c>
      <c r="AN3714" s="477">
        <v>0</v>
      </c>
      <c r="AO3714" s="473">
        <v>0</v>
      </c>
      <c r="AP3714" s="474">
        <v>0</v>
      </c>
      <c r="AQ3714" s="352"/>
      <c r="AR3714" s="352"/>
      <c r="AS3714" s="352"/>
      <c r="AT3714" s="352"/>
      <c r="AU3714" s="352"/>
      <c r="AV3714" s="352"/>
      <c r="AW3714" s="352" t="s">
        <v>254</v>
      </c>
    </row>
    <row r="3715" spans="2:49" x14ac:dyDescent="0.2">
      <c r="B3715" s="460" t="s">
        <v>3458</v>
      </c>
      <c r="C3715" s="460">
        <v>6000</v>
      </c>
      <c r="D3715" s="460" t="s">
        <v>2346</v>
      </c>
      <c r="E3715" s="460" t="s">
        <v>2324</v>
      </c>
      <c r="F3715" s="460">
        <v>1</v>
      </c>
      <c r="G3715" s="460">
        <v>3</v>
      </c>
      <c r="H3715" s="461" t="s">
        <v>752</v>
      </c>
      <c r="I3715" s="461" t="s">
        <v>964</v>
      </c>
      <c r="J3715" s="461" t="s">
        <v>752</v>
      </c>
      <c r="K3715" s="594"/>
      <c r="L3715" s="594"/>
      <c r="M3715" s="352">
        <v>6000</v>
      </c>
      <c r="N3715" s="352" t="s">
        <v>871</v>
      </c>
      <c r="O3715" s="460">
        <v>5141</v>
      </c>
      <c r="P3715" s="460" t="s">
        <v>1890</v>
      </c>
      <c r="Q3715" s="460" t="s">
        <v>2571</v>
      </c>
      <c r="R3715" s="460">
        <v>5141</v>
      </c>
      <c r="S3715" s="460" t="s">
        <v>2324</v>
      </c>
      <c r="T3715" s="462">
        <v>1</v>
      </c>
      <c r="U3715" s="460" t="s">
        <v>2324</v>
      </c>
      <c r="V3715" s="475">
        <v>0</v>
      </c>
      <c r="W3715" s="463" t="s">
        <v>2278</v>
      </c>
      <c r="X3715" s="463" t="s">
        <v>2278</v>
      </c>
      <c r="Y3715" s="463" t="s">
        <v>2278</v>
      </c>
      <c r="Z3715" s="463"/>
      <c r="AA3715" s="463"/>
      <c r="AB3715" s="464">
        <v>0</v>
      </c>
      <c r="AC3715" s="465">
        <v>0</v>
      </c>
      <c r="AD3715" s="465">
        <v>0</v>
      </c>
      <c r="AE3715" s="476">
        <v>0</v>
      </c>
      <c r="AF3715" s="467">
        <v>0</v>
      </c>
      <c r="AG3715" s="468">
        <v>0</v>
      </c>
      <c r="AH3715" s="218">
        <v>0</v>
      </c>
      <c r="AI3715" s="470">
        <v>0</v>
      </c>
      <c r="AJ3715" s="471">
        <v>0</v>
      </c>
      <c r="AK3715" s="218">
        <v>0</v>
      </c>
      <c r="AL3715" s="470">
        <v>0</v>
      </c>
      <c r="AM3715" s="471">
        <v>0</v>
      </c>
      <c r="AN3715" s="477">
        <v>0</v>
      </c>
      <c r="AO3715" s="473">
        <v>0</v>
      </c>
      <c r="AP3715" s="474">
        <v>0</v>
      </c>
      <c r="AQ3715" s="352"/>
      <c r="AR3715" s="352"/>
      <c r="AS3715" s="352"/>
      <c r="AT3715" s="352"/>
      <c r="AU3715" s="352"/>
      <c r="AV3715" s="352"/>
      <c r="AW3715" s="352" t="s">
        <v>254</v>
      </c>
    </row>
    <row r="3716" spans="2:49" x14ac:dyDescent="0.2">
      <c r="B3716" s="460" t="s">
        <v>3459</v>
      </c>
      <c r="C3716" s="460">
        <v>6000</v>
      </c>
      <c r="D3716" s="460" t="s">
        <v>2347</v>
      </c>
      <c r="E3716" s="460" t="s">
        <v>2327</v>
      </c>
      <c r="F3716" s="460">
        <v>2</v>
      </c>
      <c r="G3716" s="460">
        <v>3</v>
      </c>
      <c r="H3716" s="461" t="s">
        <v>752</v>
      </c>
      <c r="I3716" s="461" t="s">
        <v>964</v>
      </c>
      <c r="J3716" s="461" t="s">
        <v>752</v>
      </c>
      <c r="K3716" s="594"/>
      <c r="L3716" s="594"/>
      <c r="M3716" s="352">
        <v>6000</v>
      </c>
      <c r="N3716" s="352" t="s">
        <v>871</v>
      </c>
      <c r="O3716" s="460">
        <v>5141</v>
      </c>
      <c r="P3716" s="460" t="s">
        <v>1890</v>
      </c>
      <c r="Q3716" s="460" t="s">
        <v>2571</v>
      </c>
      <c r="R3716" s="460">
        <v>5141</v>
      </c>
      <c r="S3716" s="460" t="s">
        <v>2324</v>
      </c>
      <c r="T3716" s="462">
        <v>1</v>
      </c>
      <c r="U3716" s="460" t="s">
        <v>2327</v>
      </c>
      <c r="V3716" s="475">
        <v>0</v>
      </c>
      <c r="W3716" s="463" t="s">
        <v>2278</v>
      </c>
      <c r="X3716" s="463" t="s">
        <v>2278</v>
      </c>
      <c r="Y3716" s="463" t="s">
        <v>2278</v>
      </c>
      <c r="Z3716" s="463"/>
      <c r="AA3716" s="463"/>
      <c r="AB3716" s="464">
        <v>0</v>
      </c>
      <c r="AC3716" s="465">
        <v>0</v>
      </c>
      <c r="AD3716" s="465">
        <v>0</v>
      </c>
      <c r="AE3716" s="476">
        <v>0</v>
      </c>
      <c r="AF3716" s="467">
        <v>0</v>
      </c>
      <c r="AG3716" s="468">
        <v>0</v>
      </c>
      <c r="AH3716" s="218">
        <v>0</v>
      </c>
      <c r="AI3716" s="470">
        <v>0</v>
      </c>
      <c r="AJ3716" s="471">
        <v>0</v>
      </c>
      <c r="AK3716" s="218">
        <v>0</v>
      </c>
      <c r="AL3716" s="470">
        <v>0</v>
      </c>
      <c r="AM3716" s="471">
        <v>0</v>
      </c>
      <c r="AN3716" s="477">
        <v>0</v>
      </c>
      <c r="AO3716" s="473">
        <v>0</v>
      </c>
      <c r="AP3716" s="474">
        <v>0</v>
      </c>
      <c r="AQ3716" s="352"/>
      <c r="AR3716" s="352"/>
      <c r="AS3716" s="352"/>
      <c r="AT3716" s="352"/>
      <c r="AU3716" s="352"/>
      <c r="AV3716" s="352"/>
      <c r="AW3716" s="352" t="s">
        <v>254</v>
      </c>
    </row>
    <row r="3717" spans="2:49" x14ac:dyDescent="0.2">
      <c r="B3717" s="460" t="s">
        <v>3460</v>
      </c>
      <c r="C3717" s="460">
        <v>6000</v>
      </c>
      <c r="D3717" s="460" t="s">
        <v>2348</v>
      </c>
      <c r="E3717" s="460" t="s">
        <v>2330</v>
      </c>
      <c r="F3717" s="460">
        <v>3</v>
      </c>
      <c r="G3717" s="460">
        <v>3</v>
      </c>
      <c r="H3717" s="461" t="s">
        <v>752</v>
      </c>
      <c r="I3717" s="461" t="s">
        <v>964</v>
      </c>
      <c r="J3717" s="461" t="s">
        <v>752</v>
      </c>
      <c r="K3717" s="594"/>
      <c r="L3717" s="594"/>
      <c r="M3717" s="352">
        <v>6000</v>
      </c>
      <c r="N3717" s="352" t="s">
        <v>871</v>
      </c>
      <c r="O3717" s="460">
        <v>5141</v>
      </c>
      <c r="P3717" s="460" t="s">
        <v>1890</v>
      </c>
      <c r="Q3717" s="460" t="s">
        <v>2571</v>
      </c>
      <c r="R3717" s="460">
        <v>5141</v>
      </c>
      <c r="S3717" s="460" t="s">
        <v>2324</v>
      </c>
      <c r="T3717" s="462">
        <v>1</v>
      </c>
      <c r="U3717" s="460" t="s">
        <v>2330</v>
      </c>
      <c r="V3717" s="475">
        <v>0</v>
      </c>
      <c r="W3717" s="463" t="s">
        <v>2278</v>
      </c>
      <c r="X3717" s="463" t="s">
        <v>2278</v>
      </c>
      <c r="Y3717" s="463" t="s">
        <v>2278</v>
      </c>
      <c r="Z3717" s="463"/>
      <c r="AA3717" s="463"/>
      <c r="AB3717" s="464">
        <v>0</v>
      </c>
      <c r="AC3717" s="465">
        <v>0</v>
      </c>
      <c r="AD3717" s="465">
        <v>0</v>
      </c>
      <c r="AE3717" s="476">
        <v>0</v>
      </c>
      <c r="AF3717" s="467">
        <v>0</v>
      </c>
      <c r="AG3717" s="468">
        <v>0</v>
      </c>
      <c r="AH3717" s="218">
        <v>0</v>
      </c>
      <c r="AI3717" s="470">
        <v>0</v>
      </c>
      <c r="AJ3717" s="471">
        <v>0</v>
      </c>
      <c r="AK3717" s="218">
        <v>0</v>
      </c>
      <c r="AL3717" s="470">
        <v>0</v>
      </c>
      <c r="AM3717" s="471">
        <v>0</v>
      </c>
      <c r="AN3717" s="477">
        <v>0</v>
      </c>
      <c r="AO3717" s="473">
        <v>0</v>
      </c>
      <c r="AP3717" s="474">
        <v>0</v>
      </c>
      <c r="AQ3717" s="352"/>
      <c r="AR3717" s="352"/>
      <c r="AS3717" s="352"/>
      <c r="AT3717" s="352"/>
      <c r="AU3717" s="352"/>
      <c r="AV3717" s="352"/>
      <c r="AW3717" s="352" t="s">
        <v>254</v>
      </c>
    </row>
    <row r="3718" spans="2:49" x14ac:dyDescent="0.2">
      <c r="B3718" s="460" t="s">
        <v>3461</v>
      </c>
      <c r="C3718" s="460">
        <v>6000</v>
      </c>
      <c r="D3718" s="460" t="s">
        <v>2349</v>
      </c>
      <c r="E3718" s="460" t="s">
        <v>2333</v>
      </c>
      <c r="F3718" s="460">
        <v>4</v>
      </c>
      <c r="G3718" s="460">
        <v>3</v>
      </c>
      <c r="H3718" s="461" t="s">
        <v>752</v>
      </c>
      <c r="I3718" s="461" t="s">
        <v>964</v>
      </c>
      <c r="J3718" s="461" t="s">
        <v>752</v>
      </c>
      <c r="K3718" s="594"/>
      <c r="L3718" s="594"/>
      <c r="M3718" s="352">
        <v>6000</v>
      </c>
      <c r="N3718" s="352" t="s">
        <v>871</v>
      </c>
      <c r="O3718" s="460">
        <v>5141</v>
      </c>
      <c r="P3718" s="460" t="s">
        <v>1890</v>
      </c>
      <c r="Q3718" s="460" t="s">
        <v>2571</v>
      </c>
      <c r="R3718" s="460">
        <v>5141</v>
      </c>
      <c r="S3718" s="460" t="s">
        <v>2333</v>
      </c>
      <c r="T3718" s="462">
        <v>1</v>
      </c>
      <c r="U3718" s="460" t="s">
        <v>2333</v>
      </c>
      <c r="V3718" s="475">
        <v>0</v>
      </c>
      <c r="W3718" s="463" t="s">
        <v>2278</v>
      </c>
      <c r="X3718" s="463" t="s">
        <v>2278</v>
      </c>
      <c r="Y3718" s="463" t="s">
        <v>2278</v>
      </c>
      <c r="Z3718" s="463"/>
      <c r="AA3718" s="463"/>
      <c r="AB3718" s="464">
        <v>0</v>
      </c>
      <c r="AC3718" s="465">
        <v>0</v>
      </c>
      <c r="AD3718" s="465">
        <v>0</v>
      </c>
      <c r="AE3718" s="476">
        <v>0</v>
      </c>
      <c r="AF3718" s="467">
        <v>0</v>
      </c>
      <c r="AG3718" s="468">
        <v>0</v>
      </c>
      <c r="AH3718" s="218">
        <v>0</v>
      </c>
      <c r="AI3718" s="470">
        <v>0</v>
      </c>
      <c r="AJ3718" s="471">
        <v>0</v>
      </c>
      <c r="AK3718" s="218">
        <v>0</v>
      </c>
      <c r="AL3718" s="470">
        <v>0</v>
      </c>
      <c r="AM3718" s="471">
        <v>0</v>
      </c>
      <c r="AN3718" s="477">
        <v>0</v>
      </c>
      <c r="AO3718" s="473">
        <v>0</v>
      </c>
      <c r="AP3718" s="474">
        <v>0</v>
      </c>
      <c r="AQ3718" s="352"/>
      <c r="AR3718" s="352"/>
      <c r="AS3718" s="352"/>
      <c r="AT3718" s="352"/>
      <c r="AU3718" s="352"/>
      <c r="AV3718" s="352"/>
      <c r="AW3718" s="352" t="s">
        <v>254</v>
      </c>
    </row>
    <row r="3719" spans="2:49" x14ac:dyDescent="0.2">
      <c r="B3719" s="460" t="s">
        <v>3458</v>
      </c>
      <c r="C3719" s="460">
        <v>6000</v>
      </c>
      <c r="D3719" s="460" t="s">
        <v>3462</v>
      </c>
      <c r="E3719" s="460" t="s">
        <v>2324</v>
      </c>
      <c r="F3719" s="460">
        <v>1</v>
      </c>
      <c r="G3719" s="460">
        <v>3</v>
      </c>
      <c r="H3719" s="461" t="s">
        <v>754</v>
      </c>
      <c r="I3719" s="461" t="s">
        <v>1991</v>
      </c>
      <c r="J3719" s="461" t="s">
        <v>754</v>
      </c>
      <c r="K3719" s="594"/>
      <c r="L3719" s="594"/>
      <c r="M3719" s="352">
        <v>6000</v>
      </c>
      <c r="N3719" s="352" t="s">
        <v>871</v>
      </c>
      <c r="O3719" s="460">
        <v>5141</v>
      </c>
      <c r="P3719" s="460" t="s">
        <v>1890</v>
      </c>
      <c r="Q3719" s="460" t="s">
        <v>2377</v>
      </c>
      <c r="R3719" s="460">
        <v>5141</v>
      </c>
      <c r="S3719" s="460" t="s">
        <v>2324</v>
      </c>
      <c r="T3719" s="462">
        <v>1</v>
      </c>
      <c r="U3719" s="460" t="s">
        <v>2324</v>
      </c>
      <c r="V3719" s="475">
        <v>0</v>
      </c>
      <c r="W3719" s="463" t="s">
        <v>2278</v>
      </c>
      <c r="X3719" s="463" t="s">
        <v>2278</v>
      </c>
      <c r="Y3719" s="463" t="s">
        <v>2278</v>
      </c>
      <c r="Z3719" s="463"/>
      <c r="AA3719" s="463"/>
      <c r="AB3719" s="464">
        <v>0</v>
      </c>
      <c r="AC3719" s="465">
        <v>0</v>
      </c>
      <c r="AD3719" s="465">
        <v>0</v>
      </c>
      <c r="AE3719" s="476">
        <v>0</v>
      </c>
      <c r="AF3719" s="467">
        <v>0</v>
      </c>
      <c r="AG3719" s="468">
        <v>0</v>
      </c>
      <c r="AH3719" s="218">
        <v>0</v>
      </c>
      <c r="AI3719" s="470">
        <v>0</v>
      </c>
      <c r="AJ3719" s="471">
        <v>0</v>
      </c>
      <c r="AK3719" s="218">
        <v>0</v>
      </c>
      <c r="AL3719" s="470">
        <v>0</v>
      </c>
      <c r="AM3719" s="471">
        <v>0</v>
      </c>
      <c r="AN3719" s="477">
        <v>0</v>
      </c>
      <c r="AO3719" s="473">
        <v>0</v>
      </c>
      <c r="AP3719" s="474">
        <v>0</v>
      </c>
      <c r="AQ3719" s="352"/>
      <c r="AR3719" s="352"/>
      <c r="AS3719" s="352"/>
      <c r="AT3719" s="352"/>
      <c r="AU3719" s="352"/>
      <c r="AV3719" s="352"/>
      <c r="AW3719" s="352" t="s">
        <v>127</v>
      </c>
    </row>
    <row r="3720" spans="2:49" x14ac:dyDescent="0.2">
      <c r="B3720" s="460" t="s">
        <v>3459</v>
      </c>
      <c r="C3720" s="460">
        <v>6000</v>
      </c>
      <c r="D3720" s="460" t="s">
        <v>3463</v>
      </c>
      <c r="E3720" s="460" t="s">
        <v>2327</v>
      </c>
      <c r="F3720" s="460">
        <v>2</v>
      </c>
      <c r="G3720" s="460">
        <v>3</v>
      </c>
      <c r="H3720" s="461" t="s">
        <v>754</v>
      </c>
      <c r="I3720" s="461" t="s">
        <v>1991</v>
      </c>
      <c r="J3720" s="461" t="s">
        <v>754</v>
      </c>
      <c r="K3720" s="594"/>
      <c r="L3720" s="594"/>
      <c r="M3720" s="352">
        <v>6000</v>
      </c>
      <c r="N3720" s="352" t="s">
        <v>871</v>
      </c>
      <c r="O3720" s="460">
        <v>5141</v>
      </c>
      <c r="P3720" s="460" t="s">
        <v>1890</v>
      </c>
      <c r="Q3720" s="460" t="s">
        <v>2377</v>
      </c>
      <c r="R3720" s="460">
        <v>5141</v>
      </c>
      <c r="S3720" s="460" t="s">
        <v>2324</v>
      </c>
      <c r="T3720" s="462">
        <v>1</v>
      </c>
      <c r="U3720" s="460" t="s">
        <v>2327</v>
      </c>
      <c r="V3720" s="475">
        <v>0</v>
      </c>
      <c r="W3720" s="463" t="s">
        <v>2278</v>
      </c>
      <c r="X3720" s="463" t="s">
        <v>2278</v>
      </c>
      <c r="Y3720" s="463" t="s">
        <v>2278</v>
      </c>
      <c r="Z3720" s="463"/>
      <c r="AA3720" s="463"/>
      <c r="AB3720" s="464">
        <v>0</v>
      </c>
      <c r="AC3720" s="465">
        <v>0</v>
      </c>
      <c r="AD3720" s="465">
        <v>0</v>
      </c>
      <c r="AE3720" s="476">
        <v>0</v>
      </c>
      <c r="AF3720" s="467">
        <v>0</v>
      </c>
      <c r="AG3720" s="468">
        <v>0</v>
      </c>
      <c r="AH3720" s="218">
        <v>0</v>
      </c>
      <c r="AI3720" s="470">
        <v>0</v>
      </c>
      <c r="AJ3720" s="471">
        <v>0</v>
      </c>
      <c r="AK3720" s="218">
        <v>0</v>
      </c>
      <c r="AL3720" s="470">
        <v>0</v>
      </c>
      <c r="AM3720" s="471">
        <v>0</v>
      </c>
      <c r="AN3720" s="477">
        <v>0</v>
      </c>
      <c r="AO3720" s="473">
        <v>0</v>
      </c>
      <c r="AP3720" s="474">
        <v>0</v>
      </c>
      <c r="AQ3720" s="352"/>
      <c r="AR3720" s="352"/>
      <c r="AS3720" s="352"/>
      <c r="AT3720" s="352"/>
      <c r="AU3720" s="352"/>
      <c r="AV3720" s="352"/>
      <c r="AW3720" s="352" t="s">
        <v>127</v>
      </c>
    </row>
    <row r="3721" spans="2:49" x14ac:dyDescent="0.2">
      <c r="B3721" s="460" t="s">
        <v>3460</v>
      </c>
      <c r="C3721" s="460">
        <v>6000</v>
      </c>
      <c r="D3721" s="460" t="s">
        <v>3464</v>
      </c>
      <c r="E3721" s="460" t="s">
        <v>2330</v>
      </c>
      <c r="F3721" s="460">
        <v>3</v>
      </c>
      <c r="G3721" s="460">
        <v>3</v>
      </c>
      <c r="H3721" s="461" t="s">
        <v>754</v>
      </c>
      <c r="I3721" s="461" t="s">
        <v>1991</v>
      </c>
      <c r="J3721" s="461" t="s">
        <v>754</v>
      </c>
      <c r="K3721" s="594"/>
      <c r="L3721" s="594"/>
      <c r="M3721" s="352">
        <v>6000</v>
      </c>
      <c r="N3721" s="352" t="s">
        <v>871</v>
      </c>
      <c r="O3721" s="460">
        <v>5141</v>
      </c>
      <c r="P3721" s="460" t="s">
        <v>1890</v>
      </c>
      <c r="Q3721" s="460" t="s">
        <v>2377</v>
      </c>
      <c r="R3721" s="460">
        <v>5141</v>
      </c>
      <c r="S3721" s="460" t="s">
        <v>2324</v>
      </c>
      <c r="T3721" s="462">
        <v>1</v>
      </c>
      <c r="U3721" s="460" t="s">
        <v>2330</v>
      </c>
      <c r="V3721" s="475">
        <v>0</v>
      </c>
      <c r="W3721" s="463" t="s">
        <v>2278</v>
      </c>
      <c r="X3721" s="463" t="s">
        <v>2278</v>
      </c>
      <c r="Y3721" s="463" t="s">
        <v>2278</v>
      </c>
      <c r="Z3721" s="463"/>
      <c r="AA3721" s="463"/>
      <c r="AB3721" s="464">
        <v>0</v>
      </c>
      <c r="AC3721" s="465">
        <v>0</v>
      </c>
      <c r="AD3721" s="465">
        <v>0</v>
      </c>
      <c r="AE3721" s="476">
        <v>0</v>
      </c>
      <c r="AF3721" s="467">
        <v>0</v>
      </c>
      <c r="AG3721" s="468">
        <v>0</v>
      </c>
      <c r="AH3721" s="218">
        <v>0</v>
      </c>
      <c r="AI3721" s="470">
        <v>0</v>
      </c>
      <c r="AJ3721" s="471">
        <v>0</v>
      </c>
      <c r="AK3721" s="218">
        <v>0</v>
      </c>
      <c r="AL3721" s="470">
        <v>0</v>
      </c>
      <c r="AM3721" s="471">
        <v>0</v>
      </c>
      <c r="AN3721" s="477">
        <v>0</v>
      </c>
      <c r="AO3721" s="473">
        <v>0</v>
      </c>
      <c r="AP3721" s="474">
        <v>0</v>
      </c>
      <c r="AQ3721" s="352"/>
      <c r="AR3721" s="352"/>
      <c r="AS3721" s="352"/>
      <c r="AT3721" s="352"/>
      <c r="AU3721" s="352"/>
      <c r="AV3721" s="352"/>
      <c r="AW3721" s="352" t="s">
        <v>127</v>
      </c>
    </row>
    <row r="3722" spans="2:49" x14ac:dyDescent="0.2">
      <c r="B3722" s="460" t="s">
        <v>3461</v>
      </c>
      <c r="C3722" s="460">
        <v>6000</v>
      </c>
      <c r="D3722" s="460" t="s">
        <v>3465</v>
      </c>
      <c r="E3722" s="460" t="s">
        <v>2333</v>
      </c>
      <c r="F3722" s="460">
        <v>4</v>
      </c>
      <c r="G3722" s="460">
        <v>3</v>
      </c>
      <c r="H3722" s="461" t="s">
        <v>754</v>
      </c>
      <c r="I3722" s="461" t="s">
        <v>1991</v>
      </c>
      <c r="J3722" s="461" t="s">
        <v>754</v>
      </c>
      <c r="K3722" s="594"/>
      <c r="L3722" s="594"/>
      <c r="M3722" s="352">
        <v>6000</v>
      </c>
      <c r="N3722" s="352" t="s">
        <v>871</v>
      </c>
      <c r="O3722" s="460">
        <v>5141</v>
      </c>
      <c r="P3722" s="460" t="s">
        <v>1890</v>
      </c>
      <c r="Q3722" s="460" t="s">
        <v>2377</v>
      </c>
      <c r="R3722" s="460">
        <v>5141</v>
      </c>
      <c r="S3722" s="460" t="s">
        <v>2333</v>
      </c>
      <c r="T3722" s="462">
        <v>1</v>
      </c>
      <c r="U3722" s="460" t="s">
        <v>2333</v>
      </c>
      <c r="V3722" s="475">
        <v>0</v>
      </c>
      <c r="W3722" s="463" t="s">
        <v>2278</v>
      </c>
      <c r="X3722" s="463" t="s">
        <v>2278</v>
      </c>
      <c r="Y3722" s="463" t="s">
        <v>2278</v>
      </c>
      <c r="Z3722" s="463"/>
      <c r="AA3722" s="463"/>
      <c r="AB3722" s="464">
        <v>0</v>
      </c>
      <c r="AC3722" s="465">
        <v>0</v>
      </c>
      <c r="AD3722" s="465">
        <v>0</v>
      </c>
      <c r="AE3722" s="476">
        <v>0</v>
      </c>
      <c r="AF3722" s="467">
        <v>0</v>
      </c>
      <c r="AG3722" s="468">
        <v>0</v>
      </c>
      <c r="AH3722" s="218">
        <v>0</v>
      </c>
      <c r="AI3722" s="470">
        <v>0</v>
      </c>
      <c r="AJ3722" s="471">
        <v>0</v>
      </c>
      <c r="AK3722" s="218">
        <v>0</v>
      </c>
      <c r="AL3722" s="470">
        <v>0</v>
      </c>
      <c r="AM3722" s="471">
        <v>0</v>
      </c>
      <c r="AN3722" s="477">
        <v>0</v>
      </c>
      <c r="AO3722" s="473">
        <v>0</v>
      </c>
      <c r="AP3722" s="474">
        <v>0</v>
      </c>
      <c r="AQ3722" s="352"/>
      <c r="AR3722" s="352"/>
      <c r="AS3722" s="352"/>
      <c r="AT3722" s="352"/>
      <c r="AU3722" s="352"/>
      <c r="AV3722" s="352"/>
      <c r="AW3722" s="352" t="s">
        <v>127</v>
      </c>
    </row>
    <row r="3723" spans="2:49" x14ac:dyDescent="0.2">
      <c r="B3723" s="460" t="s">
        <v>3466</v>
      </c>
      <c r="C3723" s="460">
        <v>6000</v>
      </c>
      <c r="D3723" s="460" t="s">
        <v>2351</v>
      </c>
      <c r="E3723" s="460" t="s">
        <v>1136</v>
      </c>
      <c r="F3723" s="460">
        <v>1</v>
      </c>
      <c r="G3723" s="460">
        <v>4</v>
      </c>
      <c r="H3723" s="461" t="s">
        <v>700</v>
      </c>
      <c r="I3723" s="461" t="s">
        <v>872</v>
      </c>
      <c r="J3723" s="461" t="s">
        <v>700</v>
      </c>
      <c r="K3723" s="594"/>
      <c r="L3723" s="594"/>
      <c r="M3723" s="352">
        <v>6000</v>
      </c>
      <c r="N3723" s="352" t="s">
        <v>871</v>
      </c>
      <c r="O3723" s="460">
        <v>5141</v>
      </c>
      <c r="P3723" s="460" t="s">
        <v>1890</v>
      </c>
      <c r="Q3723" s="460" t="s">
        <v>2553</v>
      </c>
      <c r="R3723" s="460">
        <v>5141</v>
      </c>
      <c r="S3723" s="460" t="s">
        <v>1136</v>
      </c>
      <c r="T3723" s="462">
        <v>1</v>
      </c>
      <c r="U3723" s="460" t="s">
        <v>1136</v>
      </c>
      <c r="V3723" s="475">
        <v>0</v>
      </c>
      <c r="W3723" s="463" t="s">
        <v>2554</v>
      </c>
      <c r="X3723" s="463" t="s">
        <v>2554</v>
      </c>
      <c r="Y3723" s="463" t="s">
        <v>2268</v>
      </c>
      <c r="Z3723" s="463"/>
      <c r="AA3723" s="463"/>
      <c r="AB3723" s="464">
        <v>0</v>
      </c>
      <c r="AC3723" s="465">
        <v>0</v>
      </c>
      <c r="AD3723" s="465">
        <v>0</v>
      </c>
      <c r="AE3723" s="476">
        <v>0</v>
      </c>
      <c r="AF3723" s="467">
        <v>0</v>
      </c>
      <c r="AG3723" s="468">
        <v>0</v>
      </c>
      <c r="AH3723" s="218">
        <v>0</v>
      </c>
      <c r="AI3723" s="470">
        <v>0</v>
      </c>
      <c r="AJ3723" s="471">
        <v>0</v>
      </c>
      <c r="AK3723" s="218">
        <v>0</v>
      </c>
      <c r="AL3723" s="470">
        <v>0</v>
      </c>
      <c r="AM3723" s="471">
        <v>0</v>
      </c>
      <c r="AN3723" s="477">
        <v>0</v>
      </c>
      <c r="AO3723" s="473">
        <v>0</v>
      </c>
      <c r="AP3723" s="474">
        <v>0</v>
      </c>
      <c r="AQ3723" s="352"/>
      <c r="AR3723" s="352"/>
      <c r="AS3723" s="352"/>
      <c r="AT3723" s="352"/>
      <c r="AU3723" s="352"/>
      <c r="AV3723" s="352"/>
      <c r="AW3723" s="352" t="s">
        <v>254</v>
      </c>
    </row>
    <row r="3724" spans="2:49" x14ac:dyDescent="0.2">
      <c r="B3724" s="460" t="s">
        <v>3467</v>
      </c>
      <c r="C3724" s="460">
        <v>6000</v>
      </c>
      <c r="D3724" s="460" t="s">
        <v>2353</v>
      </c>
      <c r="E3724" s="460" t="s">
        <v>1137</v>
      </c>
      <c r="F3724" s="460">
        <v>2</v>
      </c>
      <c r="G3724" s="460">
        <v>4</v>
      </c>
      <c r="H3724" s="461" t="s">
        <v>700</v>
      </c>
      <c r="I3724" s="461" t="s">
        <v>872</v>
      </c>
      <c r="J3724" s="461" t="s">
        <v>700</v>
      </c>
      <c r="K3724" s="594"/>
      <c r="L3724" s="594"/>
      <c r="M3724" s="352">
        <v>6000</v>
      </c>
      <c r="N3724" s="352" t="s">
        <v>871</v>
      </c>
      <c r="O3724" s="460">
        <v>5141</v>
      </c>
      <c r="P3724" s="460" t="s">
        <v>1890</v>
      </c>
      <c r="Q3724" s="460" t="s">
        <v>2553</v>
      </c>
      <c r="R3724" s="460">
        <v>5141</v>
      </c>
      <c r="S3724" s="460" t="s">
        <v>1137</v>
      </c>
      <c r="T3724" s="462">
        <v>1</v>
      </c>
      <c r="U3724" s="460" t="s">
        <v>1137</v>
      </c>
      <c r="V3724" s="475">
        <v>0</v>
      </c>
      <c r="W3724" s="463" t="s">
        <v>2554</v>
      </c>
      <c r="X3724" s="463" t="s">
        <v>2554</v>
      </c>
      <c r="Y3724" s="463" t="s">
        <v>2268</v>
      </c>
      <c r="Z3724" s="463"/>
      <c r="AA3724" s="463"/>
      <c r="AB3724" s="464">
        <v>0</v>
      </c>
      <c r="AC3724" s="465">
        <v>0</v>
      </c>
      <c r="AD3724" s="465">
        <v>0</v>
      </c>
      <c r="AE3724" s="476">
        <v>0</v>
      </c>
      <c r="AF3724" s="467">
        <v>0</v>
      </c>
      <c r="AG3724" s="468">
        <v>0</v>
      </c>
      <c r="AH3724" s="218">
        <v>0</v>
      </c>
      <c r="AI3724" s="470">
        <v>0</v>
      </c>
      <c r="AJ3724" s="471">
        <v>0</v>
      </c>
      <c r="AK3724" s="218">
        <v>0</v>
      </c>
      <c r="AL3724" s="470">
        <v>0</v>
      </c>
      <c r="AM3724" s="471">
        <v>0</v>
      </c>
      <c r="AN3724" s="477">
        <v>0</v>
      </c>
      <c r="AO3724" s="473">
        <v>0</v>
      </c>
      <c r="AP3724" s="474">
        <v>0</v>
      </c>
      <c r="AQ3724" s="352"/>
      <c r="AR3724" s="352"/>
      <c r="AS3724" s="352"/>
      <c r="AT3724" s="352"/>
      <c r="AU3724" s="352"/>
      <c r="AV3724" s="352"/>
      <c r="AW3724" s="352" t="s">
        <v>254</v>
      </c>
    </row>
    <row r="3725" spans="2:49" x14ac:dyDescent="0.2">
      <c r="B3725" s="460" t="s">
        <v>3468</v>
      </c>
      <c r="C3725" s="460">
        <v>6000</v>
      </c>
      <c r="D3725" s="460" t="s">
        <v>2355</v>
      </c>
      <c r="E3725" s="460" t="s">
        <v>1138</v>
      </c>
      <c r="F3725" s="460">
        <v>3</v>
      </c>
      <c r="G3725" s="460">
        <v>4</v>
      </c>
      <c r="H3725" s="461" t="s">
        <v>700</v>
      </c>
      <c r="I3725" s="461" t="s">
        <v>872</v>
      </c>
      <c r="J3725" s="461" t="s">
        <v>700</v>
      </c>
      <c r="K3725" s="594"/>
      <c r="L3725" s="594"/>
      <c r="M3725" s="352">
        <v>6000</v>
      </c>
      <c r="N3725" s="352" t="s">
        <v>871</v>
      </c>
      <c r="O3725" s="460">
        <v>5141</v>
      </c>
      <c r="P3725" s="460" t="s">
        <v>1890</v>
      </c>
      <c r="Q3725" s="460" t="s">
        <v>2553</v>
      </c>
      <c r="R3725" s="460">
        <v>5141</v>
      </c>
      <c r="S3725" s="460" t="s">
        <v>1138</v>
      </c>
      <c r="T3725" s="462">
        <v>1</v>
      </c>
      <c r="U3725" s="460" t="s">
        <v>1138</v>
      </c>
      <c r="V3725" s="475">
        <v>0</v>
      </c>
      <c r="W3725" s="463" t="s">
        <v>2554</v>
      </c>
      <c r="X3725" s="463" t="s">
        <v>2554</v>
      </c>
      <c r="Y3725" s="463" t="s">
        <v>2268</v>
      </c>
      <c r="Z3725" s="463"/>
      <c r="AA3725" s="463"/>
      <c r="AB3725" s="464">
        <v>0</v>
      </c>
      <c r="AC3725" s="465">
        <v>0</v>
      </c>
      <c r="AD3725" s="465">
        <v>0</v>
      </c>
      <c r="AE3725" s="476">
        <v>0</v>
      </c>
      <c r="AF3725" s="467">
        <v>0</v>
      </c>
      <c r="AG3725" s="468">
        <v>0</v>
      </c>
      <c r="AH3725" s="218">
        <v>0</v>
      </c>
      <c r="AI3725" s="470">
        <v>0</v>
      </c>
      <c r="AJ3725" s="471">
        <v>0</v>
      </c>
      <c r="AK3725" s="218">
        <v>0</v>
      </c>
      <c r="AL3725" s="470">
        <v>0</v>
      </c>
      <c r="AM3725" s="471">
        <v>0</v>
      </c>
      <c r="AN3725" s="477">
        <v>0</v>
      </c>
      <c r="AO3725" s="473">
        <v>0</v>
      </c>
      <c r="AP3725" s="474">
        <v>0</v>
      </c>
      <c r="AQ3725" s="352"/>
      <c r="AR3725" s="352"/>
      <c r="AS3725" s="352"/>
      <c r="AT3725" s="352"/>
      <c r="AU3725" s="352"/>
      <c r="AV3725" s="352"/>
      <c r="AW3725" s="352" t="s">
        <v>254</v>
      </c>
    </row>
    <row r="3726" spans="2:49" x14ac:dyDescent="0.2">
      <c r="B3726" s="460" t="s">
        <v>3469</v>
      </c>
      <c r="C3726" s="460">
        <v>6000</v>
      </c>
      <c r="D3726" s="460" t="s">
        <v>2357</v>
      </c>
      <c r="E3726" s="460" t="s">
        <v>1139</v>
      </c>
      <c r="F3726" s="460">
        <v>4</v>
      </c>
      <c r="G3726" s="460">
        <v>4</v>
      </c>
      <c r="H3726" s="461" t="s">
        <v>700</v>
      </c>
      <c r="I3726" s="461" t="s">
        <v>872</v>
      </c>
      <c r="J3726" s="461" t="s">
        <v>700</v>
      </c>
      <c r="K3726" s="594"/>
      <c r="L3726" s="594"/>
      <c r="M3726" s="352">
        <v>6000</v>
      </c>
      <c r="N3726" s="352" t="s">
        <v>871</v>
      </c>
      <c r="O3726" s="460">
        <v>5141</v>
      </c>
      <c r="P3726" s="460" t="s">
        <v>1890</v>
      </c>
      <c r="Q3726" s="460" t="s">
        <v>2553</v>
      </c>
      <c r="R3726" s="460">
        <v>5141</v>
      </c>
      <c r="S3726" s="460" t="s">
        <v>1139</v>
      </c>
      <c r="T3726" s="462">
        <v>1</v>
      </c>
      <c r="U3726" s="460" t="s">
        <v>1139</v>
      </c>
      <c r="V3726" s="475">
        <v>0</v>
      </c>
      <c r="W3726" s="463" t="s">
        <v>2554</v>
      </c>
      <c r="X3726" s="463" t="s">
        <v>2554</v>
      </c>
      <c r="Y3726" s="463" t="s">
        <v>2268</v>
      </c>
      <c r="Z3726" s="463"/>
      <c r="AA3726" s="463"/>
      <c r="AB3726" s="464">
        <v>0</v>
      </c>
      <c r="AC3726" s="465">
        <v>0</v>
      </c>
      <c r="AD3726" s="465">
        <v>0</v>
      </c>
      <c r="AE3726" s="476">
        <v>0</v>
      </c>
      <c r="AF3726" s="467">
        <v>0</v>
      </c>
      <c r="AG3726" s="468">
        <v>0</v>
      </c>
      <c r="AH3726" s="218">
        <v>0</v>
      </c>
      <c r="AI3726" s="470">
        <v>0</v>
      </c>
      <c r="AJ3726" s="471">
        <v>0</v>
      </c>
      <c r="AK3726" s="218">
        <v>0</v>
      </c>
      <c r="AL3726" s="470">
        <v>0</v>
      </c>
      <c r="AM3726" s="471">
        <v>0</v>
      </c>
      <c r="AN3726" s="477">
        <v>0</v>
      </c>
      <c r="AO3726" s="473">
        <v>0</v>
      </c>
      <c r="AP3726" s="474">
        <v>0</v>
      </c>
      <c r="AQ3726" s="352"/>
      <c r="AR3726" s="352"/>
      <c r="AS3726" s="352"/>
      <c r="AT3726" s="352"/>
      <c r="AU3726" s="352"/>
      <c r="AV3726" s="352"/>
      <c r="AW3726" s="352" t="s">
        <v>254</v>
      </c>
    </row>
    <row r="3727" spans="2:49" x14ac:dyDescent="0.2">
      <c r="B3727" s="460" t="s">
        <v>3466</v>
      </c>
      <c r="C3727" s="460">
        <v>6000</v>
      </c>
      <c r="D3727" s="460" t="s">
        <v>2358</v>
      </c>
      <c r="E3727" s="460" t="s">
        <v>1136</v>
      </c>
      <c r="F3727" s="460">
        <v>1</v>
      </c>
      <c r="G3727" s="460">
        <v>4</v>
      </c>
      <c r="H3727" s="461" t="s">
        <v>712</v>
      </c>
      <c r="I3727" s="461" t="s">
        <v>713</v>
      </c>
      <c r="J3727" s="461" t="s">
        <v>712</v>
      </c>
      <c r="K3727" s="594"/>
      <c r="L3727" s="594"/>
      <c r="M3727" s="352">
        <v>6000</v>
      </c>
      <c r="N3727" s="352" t="s">
        <v>871</v>
      </c>
      <c r="O3727" s="460">
        <v>5141</v>
      </c>
      <c r="P3727" s="460" t="s">
        <v>1890</v>
      </c>
      <c r="Q3727" s="460" t="s">
        <v>2280</v>
      </c>
      <c r="R3727" s="460">
        <v>5141</v>
      </c>
      <c r="S3727" s="460" t="s">
        <v>1136</v>
      </c>
      <c r="T3727" s="462">
        <v>1</v>
      </c>
      <c r="U3727" s="460" t="s">
        <v>1136</v>
      </c>
      <c r="V3727" s="475">
        <v>0</v>
      </c>
      <c r="W3727" s="463" t="s">
        <v>713</v>
      </c>
      <c r="X3727" s="463" t="s">
        <v>713</v>
      </c>
      <c r="Y3727" s="463" t="s">
        <v>713</v>
      </c>
      <c r="Z3727" s="463"/>
      <c r="AA3727" s="463"/>
      <c r="AB3727" s="464">
        <v>15887.653535880654</v>
      </c>
      <c r="AC3727" s="465">
        <v>0.82532769158645403</v>
      </c>
      <c r="AD3727" s="465">
        <v>0.10470552171174004</v>
      </c>
      <c r="AE3727" s="476">
        <v>15887.653535880654</v>
      </c>
      <c r="AF3727" s="467">
        <v>0.82532769158645403</v>
      </c>
      <c r="AG3727" s="468">
        <v>0.10468610136522156</v>
      </c>
      <c r="AH3727" s="218">
        <v>15887.653535880654</v>
      </c>
      <c r="AI3727" s="470">
        <v>0.82532769158645403</v>
      </c>
      <c r="AJ3727" s="471">
        <v>0.10575004944898808</v>
      </c>
      <c r="AK3727" s="218">
        <v>15887.653535880654</v>
      </c>
      <c r="AL3727" s="470">
        <v>0.82532769158645403</v>
      </c>
      <c r="AM3727" s="471">
        <v>0.10575004944898808</v>
      </c>
      <c r="AN3727" s="477">
        <v>15887.653535880654</v>
      </c>
      <c r="AO3727" s="473">
        <v>0.82532769158645403</v>
      </c>
      <c r="AP3727" s="474">
        <v>0.10557797935124993</v>
      </c>
      <c r="AQ3727" s="352"/>
      <c r="AR3727" s="352"/>
      <c r="AS3727" s="352"/>
      <c r="AT3727" s="352"/>
      <c r="AU3727" s="352"/>
      <c r="AV3727" s="352"/>
      <c r="AW3727" s="352" t="s">
        <v>254</v>
      </c>
    </row>
    <row r="3728" spans="2:49" x14ac:dyDescent="0.2">
      <c r="B3728" s="460" t="s">
        <v>3467</v>
      </c>
      <c r="C3728" s="460">
        <v>6000</v>
      </c>
      <c r="D3728" s="460" t="s">
        <v>2359</v>
      </c>
      <c r="E3728" s="460" t="s">
        <v>1137</v>
      </c>
      <c r="F3728" s="460">
        <v>2</v>
      </c>
      <c r="G3728" s="460">
        <v>4</v>
      </c>
      <c r="H3728" s="461" t="s">
        <v>712</v>
      </c>
      <c r="I3728" s="461" t="s">
        <v>713</v>
      </c>
      <c r="J3728" s="461" t="s">
        <v>712</v>
      </c>
      <c r="K3728" s="594"/>
      <c r="L3728" s="594"/>
      <c r="M3728" s="352">
        <v>6000</v>
      </c>
      <c r="N3728" s="352" t="s">
        <v>871</v>
      </c>
      <c r="O3728" s="460">
        <v>5141</v>
      </c>
      <c r="P3728" s="460" t="s">
        <v>1890</v>
      </c>
      <c r="Q3728" s="460" t="s">
        <v>2280</v>
      </c>
      <c r="R3728" s="460">
        <v>5141</v>
      </c>
      <c r="S3728" s="460" t="s">
        <v>1137</v>
      </c>
      <c r="T3728" s="462">
        <v>1</v>
      </c>
      <c r="U3728" s="460" t="s">
        <v>1137</v>
      </c>
      <c r="V3728" s="475">
        <v>0</v>
      </c>
      <c r="W3728" s="463" t="s">
        <v>713</v>
      </c>
      <c r="X3728" s="463" t="s">
        <v>713</v>
      </c>
      <c r="Y3728" s="463" t="s">
        <v>713</v>
      </c>
      <c r="Z3728" s="463"/>
      <c r="AA3728" s="463"/>
      <c r="AB3728" s="464">
        <v>16451.263060292153</v>
      </c>
      <c r="AC3728" s="465">
        <v>0.5503553249431079</v>
      </c>
      <c r="AD3728" s="465">
        <v>9.5139923655166103E-2</v>
      </c>
      <c r="AE3728" s="476">
        <v>16451.263060292153</v>
      </c>
      <c r="AF3728" s="467">
        <v>0.5503553249431079</v>
      </c>
      <c r="AG3728" s="468">
        <v>9.4965349960923429E-2</v>
      </c>
      <c r="AH3728" s="218">
        <v>16451.263060292153</v>
      </c>
      <c r="AI3728" s="470">
        <v>0.5503553249431079</v>
      </c>
      <c r="AJ3728" s="471">
        <v>9.541598139101666E-2</v>
      </c>
      <c r="AK3728" s="218">
        <v>16451.263060292153</v>
      </c>
      <c r="AL3728" s="470">
        <v>0.5503553249431079</v>
      </c>
      <c r="AM3728" s="471">
        <v>9.541598139101666E-2</v>
      </c>
      <c r="AN3728" s="477">
        <v>16451.263060292153</v>
      </c>
      <c r="AO3728" s="473">
        <v>0.5503553249431079</v>
      </c>
      <c r="AP3728" s="474">
        <v>9.5337249518659684E-2</v>
      </c>
      <c r="AQ3728" s="352"/>
      <c r="AR3728" s="352"/>
      <c r="AS3728" s="352"/>
      <c r="AT3728" s="352"/>
      <c r="AU3728" s="352"/>
      <c r="AV3728" s="352"/>
      <c r="AW3728" s="352" t="s">
        <v>254</v>
      </c>
    </row>
    <row r="3729" spans="2:49" x14ac:dyDescent="0.2">
      <c r="B3729" s="460" t="s">
        <v>3468</v>
      </c>
      <c r="C3729" s="460">
        <v>6000</v>
      </c>
      <c r="D3729" s="460" t="s">
        <v>2360</v>
      </c>
      <c r="E3729" s="460" t="s">
        <v>1138</v>
      </c>
      <c r="F3729" s="460">
        <v>3</v>
      </c>
      <c r="G3729" s="460">
        <v>4</v>
      </c>
      <c r="H3729" s="461" t="s">
        <v>712</v>
      </c>
      <c r="I3729" s="461" t="s">
        <v>713</v>
      </c>
      <c r="J3729" s="461" t="s">
        <v>712</v>
      </c>
      <c r="K3729" s="594"/>
      <c r="L3729" s="594"/>
      <c r="M3729" s="352">
        <v>6000</v>
      </c>
      <c r="N3729" s="352" t="s">
        <v>871</v>
      </c>
      <c r="O3729" s="460">
        <v>5141</v>
      </c>
      <c r="P3729" s="460" t="s">
        <v>1890</v>
      </c>
      <c r="Q3729" s="460" t="s">
        <v>2280</v>
      </c>
      <c r="R3729" s="460">
        <v>5141</v>
      </c>
      <c r="S3729" s="460" t="s">
        <v>1138</v>
      </c>
      <c r="T3729" s="462">
        <v>1</v>
      </c>
      <c r="U3729" s="460" t="s">
        <v>1138</v>
      </c>
      <c r="V3729" s="475">
        <v>0</v>
      </c>
      <c r="W3729" s="463" t="s">
        <v>713</v>
      </c>
      <c r="X3729" s="463" t="s">
        <v>713</v>
      </c>
      <c r="Y3729" s="463" t="s">
        <v>713</v>
      </c>
      <c r="Z3729" s="463"/>
      <c r="AA3729" s="463"/>
      <c r="AB3729" s="464">
        <v>7273.656650796589</v>
      </c>
      <c r="AC3729" s="465">
        <v>0.4205306599352</v>
      </c>
      <c r="AD3729" s="465">
        <v>9.0771937762632232E-2</v>
      </c>
      <c r="AE3729" s="476">
        <v>7273.6566507965872</v>
      </c>
      <c r="AF3729" s="467">
        <v>0.42053065993519989</v>
      </c>
      <c r="AG3729" s="468">
        <v>9.0575003903571205E-2</v>
      </c>
      <c r="AH3729" s="218">
        <v>7273.6566507965872</v>
      </c>
      <c r="AI3729" s="470">
        <v>0.42053065993519989</v>
      </c>
      <c r="AJ3729" s="471">
        <v>9.1637029586294563E-2</v>
      </c>
      <c r="AK3729" s="218">
        <v>7273.6566507965872</v>
      </c>
      <c r="AL3729" s="470">
        <v>0.42053065993519989</v>
      </c>
      <c r="AM3729" s="471">
        <v>9.1637029586294563E-2</v>
      </c>
      <c r="AN3729" s="477">
        <v>7273.6566507965872</v>
      </c>
      <c r="AO3729" s="473">
        <v>0.42053065993519989</v>
      </c>
      <c r="AP3729" s="474">
        <v>9.1630123445292991E-2</v>
      </c>
      <c r="AQ3729" s="352"/>
      <c r="AR3729" s="352"/>
      <c r="AS3729" s="352"/>
      <c r="AT3729" s="352"/>
      <c r="AU3729" s="352"/>
      <c r="AV3729" s="352"/>
      <c r="AW3729" s="352" t="s">
        <v>254</v>
      </c>
    </row>
    <row r="3730" spans="2:49" x14ac:dyDescent="0.2">
      <c r="B3730" s="460" t="s">
        <v>3469</v>
      </c>
      <c r="C3730" s="460">
        <v>6000</v>
      </c>
      <c r="D3730" s="460" t="s">
        <v>2361</v>
      </c>
      <c r="E3730" s="460" t="s">
        <v>1139</v>
      </c>
      <c r="F3730" s="460">
        <v>4</v>
      </c>
      <c r="G3730" s="460">
        <v>4</v>
      </c>
      <c r="H3730" s="461" t="s">
        <v>712</v>
      </c>
      <c r="I3730" s="461" t="s">
        <v>713</v>
      </c>
      <c r="J3730" s="461" t="s">
        <v>712</v>
      </c>
      <c r="K3730" s="594"/>
      <c r="L3730" s="594"/>
      <c r="M3730" s="352">
        <v>6000</v>
      </c>
      <c r="N3730" s="352" t="s">
        <v>871</v>
      </c>
      <c r="O3730" s="460">
        <v>5141</v>
      </c>
      <c r="P3730" s="460" t="s">
        <v>1890</v>
      </c>
      <c r="Q3730" s="460" t="s">
        <v>2280</v>
      </c>
      <c r="R3730" s="460">
        <v>5141</v>
      </c>
      <c r="S3730" s="460" t="s">
        <v>1139</v>
      </c>
      <c r="T3730" s="462">
        <v>1</v>
      </c>
      <c r="U3730" s="460" t="s">
        <v>1139</v>
      </c>
      <c r="V3730" s="475">
        <v>0</v>
      </c>
      <c r="W3730" s="463" t="s">
        <v>713</v>
      </c>
      <c r="X3730" s="463" t="s">
        <v>713</v>
      </c>
      <c r="Y3730" s="463" t="s">
        <v>713</v>
      </c>
      <c r="Z3730" s="463"/>
      <c r="AA3730" s="463"/>
      <c r="AB3730" s="464">
        <v>8159.3242817949686</v>
      </c>
      <c r="AC3730" s="465">
        <v>0.56956057717890785</v>
      </c>
      <c r="AD3730" s="465">
        <v>9.0341958601460687E-2</v>
      </c>
      <c r="AE3730" s="476">
        <v>8159.3242817949686</v>
      </c>
      <c r="AF3730" s="467">
        <v>0.56956057717890785</v>
      </c>
      <c r="AG3730" s="468">
        <v>9.0341958601460687E-2</v>
      </c>
      <c r="AH3730" s="218">
        <v>8159.3242817949686</v>
      </c>
      <c r="AI3730" s="470">
        <v>0.56956057717890785</v>
      </c>
      <c r="AJ3730" s="471">
        <v>9.2285020549875224E-2</v>
      </c>
      <c r="AK3730" s="218">
        <v>8159.3242817949686</v>
      </c>
      <c r="AL3730" s="470">
        <v>0.56956057717890785</v>
      </c>
      <c r="AM3730" s="471">
        <v>9.2285020549875224E-2</v>
      </c>
      <c r="AN3730" s="477">
        <v>8159.3242817949686</v>
      </c>
      <c r="AO3730" s="473">
        <v>0.56956057717890785</v>
      </c>
      <c r="AP3730" s="474">
        <v>9.2285020549875224E-2</v>
      </c>
      <c r="AQ3730" s="352"/>
      <c r="AR3730" s="352"/>
      <c r="AS3730" s="352"/>
      <c r="AT3730" s="352"/>
      <c r="AU3730" s="352"/>
      <c r="AV3730" s="352"/>
      <c r="AW3730" s="352" t="s">
        <v>254</v>
      </c>
    </row>
    <row r="3731" spans="2:49" x14ac:dyDescent="0.2">
      <c r="B3731" s="460" t="s">
        <v>3466</v>
      </c>
      <c r="C3731" s="460">
        <v>6000</v>
      </c>
      <c r="D3731" s="460" t="s">
        <v>2570</v>
      </c>
      <c r="E3731" s="460" t="s">
        <v>1136</v>
      </c>
      <c r="F3731" s="460">
        <v>1</v>
      </c>
      <c r="G3731" s="460">
        <v>4</v>
      </c>
      <c r="H3731" s="461" t="s">
        <v>719</v>
      </c>
      <c r="I3731" s="461" t="s">
        <v>720</v>
      </c>
      <c r="J3731" s="461" t="s">
        <v>719</v>
      </c>
      <c r="K3731" s="594"/>
      <c r="L3731" s="594"/>
      <c r="M3731" s="352">
        <v>6000</v>
      </c>
      <c r="N3731" s="352" t="s">
        <v>871</v>
      </c>
      <c r="O3731" s="460">
        <v>5141</v>
      </c>
      <c r="P3731" s="460" t="s">
        <v>1890</v>
      </c>
      <c r="Q3731" s="460" t="s">
        <v>3374</v>
      </c>
      <c r="R3731" s="460">
        <v>5141</v>
      </c>
      <c r="S3731" s="460" t="s">
        <v>1136</v>
      </c>
      <c r="T3731" s="462">
        <v>1</v>
      </c>
      <c r="U3731" s="460" t="s">
        <v>1136</v>
      </c>
      <c r="V3731" s="475">
        <v>0</v>
      </c>
      <c r="W3731" s="463" t="s">
        <v>2278</v>
      </c>
      <c r="X3731" s="463" t="s">
        <v>2278</v>
      </c>
      <c r="Y3731" s="463" t="s">
        <v>2278</v>
      </c>
      <c r="Z3731" s="463"/>
      <c r="AA3731" s="463"/>
      <c r="AB3731" s="464">
        <v>3362.4621428278006</v>
      </c>
      <c r="AC3731" s="465">
        <v>0.174672308413546</v>
      </c>
      <c r="AD3731" s="465">
        <v>0.7000571156724833</v>
      </c>
      <c r="AE3731" s="476">
        <v>3362.4621428278006</v>
      </c>
      <c r="AF3731" s="467">
        <v>0.174672308413546</v>
      </c>
      <c r="AG3731" s="468">
        <v>0.7000571156724833</v>
      </c>
      <c r="AH3731" s="218">
        <v>3362.4621428278006</v>
      </c>
      <c r="AI3731" s="470">
        <v>0.174672308413546</v>
      </c>
      <c r="AJ3731" s="471">
        <v>0.7000571156724833</v>
      </c>
      <c r="AK3731" s="218">
        <v>3362.4621428278006</v>
      </c>
      <c r="AL3731" s="470">
        <v>0.174672308413546</v>
      </c>
      <c r="AM3731" s="471">
        <v>0.7000571156724833</v>
      </c>
      <c r="AN3731" s="477">
        <v>3362.4621428278006</v>
      </c>
      <c r="AO3731" s="473">
        <v>0.174672308413546</v>
      </c>
      <c r="AP3731" s="474">
        <v>0.7000571156724833</v>
      </c>
      <c r="AQ3731" s="352"/>
      <c r="AR3731" s="352"/>
      <c r="AS3731" s="352"/>
      <c r="AT3731" s="352"/>
      <c r="AU3731" s="352"/>
      <c r="AV3731" s="352"/>
      <c r="AW3731" s="352" t="s">
        <v>254</v>
      </c>
    </row>
    <row r="3732" spans="2:49" x14ac:dyDescent="0.2">
      <c r="B3732" s="460" t="s">
        <v>3467</v>
      </c>
      <c r="C3732" s="460">
        <v>6000</v>
      </c>
      <c r="D3732" s="460" t="s">
        <v>2572</v>
      </c>
      <c r="E3732" s="460" t="s">
        <v>1137</v>
      </c>
      <c r="F3732" s="460">
        <v>2</v>
      </c>
      <c r="G3732" s="460">
        <v>4</v>
      </c>
      <c r="H3732" s="461" t="s">
        <v>719</v>
      </c>
      <c r="I3732" s="461" t="s">
        <v>720</v>
      </c>
      <c r="J3732" s="461" t="s">
        <v>719</v>
      </c>
      <c r="K3732" s="594"/>
      <c r="L3732" s="594"/>
      <c r="M3732" s="352">
        <v>6000</v>
      </c>
      <c r="N3732" s="352" t="s">
        <v>871</v>
      </c>
      <c r="O3732" s="460">
        <v>5141</v>
      </c>
      <c r="P3732" s="460" t="s">
        <v>1890</v>
      </c>
      <c r="Q3732" s="460" t="s">
        <v>3374</v>
      </c>
      <c r="R3732" s="460">
        <v>5141</v>
      </c>
      <c r="S3732" s="460" t="s">
        <v>1137</v>
      </c>
      <c r="T3732" s="462">
        <v>1</v>
      </c>
      <c r="U3732" s="460" t="s">
        <v>1137</v>
      </c>
      <c r="V3732" s="475">
        <v>0</v>
      </c>
      <c r="W3732" s="463" t="s">
        <v>2278</v>
      </c>
      <c r="X3732" s="463" t="s">
        <v>2278</v>
      </c>
      <c r="Y3732" s="463" t="s">
        <v>2278</v>
      </c>
      <c r="Z3732" s="463"/>
      <c r="AA3732" s="463"/>
      <c r="AB3732" s="464">
        <v>13440.812685486771</v>
      </c>
      <c r="AC3732" s="465">
        <v>0.44964467505689215</v>
      </c>
      <c r="AD3732" s="465">
        <v>0.29633903043230664</v>
      </c>
      <c r="AE3732" s="476">
        <v>13440.812685486771</v>
      </c>
      <c r="AF3732" s="467">
        <v>0.44964467505689215</v>
      </c>
      <c r="AG3732" s="468">
        <v>0.29633903043230664</v>
      </c>
      <c r="AH3732" s="218">
        <v>13440.812685486771</v>
      </c>
      <c r="AI3732" s="470">
        <v>0.44964467505689215</v>
      </c>
      <c r="AJ3732" s="471">
        <v>0.29633903043230664</v>
      </c>
      <c r="AK3732" s="218">
        <v>13440.812685486771</v>
      </c>
      <c r="AL3732" s="470">
        <v>0.44964467505689215</v>
      </c>
      <c r="AM3732" s="471">
        <v>0.29633903043230664</v>
      </c>
      <c r="AN3732" s="477">
        <v>13440.812685486771</v>
      </c>
      <c r="AO3732" s="473">
        <v>0.44964467505689215</v>
      </c>
      <c r="AP3732" s="474">
        <v>0.29633903043230664</v>
      </c>
      <c r="AQ3732" s="352"/>
      <c r="AR3732" s="352"/>
      <c r="AS3732" s="352"/>
      <c r="AT3732" s="352"/>
      <c r="AU3732" s="352"/>
      <c r="AV3732" s="352"/>
      <c r="AW3732" s="352" t="s">
        <v>254</v>
      </c>
    </row>
    <row r="3733" spans="2:49" x14ac:dyDescent="0.2">
      <c r="B3733" s="460" t="s">
        <v>3468</v>
      </c>
      <c r="C3733" s="460">
        <v>6000</v>
      </c>
      <c r="D3733" s="460" t="s">
        <v>2573</v>
      </c>
      <c r="E3733" s="460" t="s">
        <v>1138</v>
      </c>
      <c r="F3733" s="460">
        <v>3</v>
      </c>
      <c r="G3733" s="460">
        <v>4</v>
      </c>
      <c r="H3733" s="461" t="s">
        <v>719</v>
      </c>
      <c r="I3733" s="461" t="s">
        <v>720</v>
      </c>
      <c r="J3733" s="461" t="s">
        <v>719</v>
      </c>
      <c r="K3733" s="594"/>
      <c r="L3733" s="594"/>
      <c r="M3733" s="352">
        <v>6000</v>
      </c>
      <c r="N3733" s="352" t="s">
        <v>871</v>
      </c>
      <c r="O3733" s="460">
        <v>5141</v>
      </c>
      <c r="P3733" s="460" t="s">
        <v>1890</v>
      </c>
      <c r="Q3733" s="460" t="s">
        <v>3374</v>
      </c>
      <c r="R3733" s="460">
        <v>5141</v>
      </c>
      <c r="S3733" s="460" t="s">
        <v>1138</v>
      </c>
      <c r="T3733" s="462">
        <v>1</v>
      </c>
      <c r="U3733" s="460" t="s">
        <v>1138</v>
      </c>
      <c r="V3733" s="475">
        <v>0</v>
      </c>
      <c r="W3733" s="463" t="s">
        <v>2278</v>
      </c>
      <c r="X3733" s="463" t="s">
        <v>2278</v>
      </c>
      <c r="Y3733" s="463" t="s">
        <v>2278</v>
      </c>
      <c r="Z3733" s="463"/>
      <c r="AA3733" s="463"/>
      <c r="AB3733" s="464">
        <v>10022.719912846584</v>
      </c>
      <c r="AC3733" s="465">
        <v>0.57946934006480011</v>
      </c>
      <c r="AD3733" s="465">
        <v>0.32879231907719231</v>
      </c>
      <c r="AE3733" s="476">
        <v>10022.719912846584</v>
      </c>
      <c r="AF3733" s="467">
        <v>0.57946934006480011</v>
      </c>
      <c r="AG3733" s="468">
        <v>0.32879231907719231</v>
      </c>
      <c r="AH3733" s="218">
        <v>10022.719912846584</v>
      </c>
      <c r="AI3733" s="470">
        <v>0.57946934006480011</v>
      </c>
      <c r="AJ3733" s="471">
        <v>0.32879231907719231</v>
      </c>
      <c r="AK3733" s="218">
        <v>10022.719912846584</v>
      </c>
      <c r="AL3733" s="470">
        <v>0.57946934006480011</v>
      </c>
      <c r="AM3733" s="471">
        <v>0.32879231907719231</v>
      </c>
      <c r="AN3733" s="477">
        <v>10022.719912846584</v>
      </c>
      <c r="AO3733" s="473">
        <v>0.57946934006480011</v>
      </c>
      <c r="AP3733" s="474">
        <v>0.32879231907719231</v>
      </c>
      <c r="AQ3733" s="352"/>
      <c r="AR3733" s="352"/>
      <c r="AS3733" s="352"/>
      <c r="AT3733" s="352"/>
      <c r="AU3733" s="352"/>
      <c r="AV3733" s="352"/>
      <c r="AW3733" s="352" t="s">
        <v>254</v>
      </c>
    </row>
    <row r="3734" spans="2:49" x14ac:dyDescent="0.2">
      <c r="B3734" s="460" t="s">
        <v>3469</v>
      </c>
      <c r="C3734" s="460">
        <v>6000</v>
      </c>
      <c r="D3734" s="460" t="s">
        <v>2574</v>
      </c>
      <c r="E3734" s="460" t="s">
        <v>1139</v>
      </c>
      <c r="F3734" s="460">
        <v>4</v>
      </c>
      <c r="G3734" s="460">
        <v>4</v>
      </c>
      <c r="H3734" s="461" t="s">
        <v>719</v>
      </c>
      <c r="I3734" s="461" t="s">
        <v>720</v>
      </c>
      <c r="J3734" s="461" t="s">
        <v>719</v>
      </c>
      <c r="K3734" s="594"/>
      <c r="L3734" s="594"/>
      <c r="M3734" s="352">
        <v>6000</v>
      </c>
      <c r="N3734" s="352" t="s">
        <v>871</v>
      </c>
      <c r="O3734" s="460">
        <v>5141</v>
      </c>
      <c r="P3734" s="460" t="s">
        <v>1890</v>
      </c>
      <c r="Q3734" s="460" t="s">
        <v>3374</v>
      </c>
      <c r="R3734" s="460">
        <v>5141</v>
      </c>
      <c r="S3734" s="460" t="s">
        <v>1139</v>
      </c>
      <c r="T3734" s="462">
        <v>1</v>
      </c>
      <c r="U3734" s="460" t="s">
        <v>1139</v>
      </c>
      <c r="V3734" s="475">
        <v>0</v>
      </c>
      <c r="W3734" s="463" t="s">
        <v>2278</v>
      </c>
      <c r="X3734" s="463" t="s">
        <v>2278</v>
      </c>
      <c r="Y3734" s="463" t="s">
        <v>2278</v>
      </c>
      <c r="Z3734" s="463"/>
      <c r="AA3734" s="463"/>
      <c r="AB3734" s="464">
        <v>6166.3236101447101</v>
      </c>
      <c r="AC3734" s="465">
        <v>0.4304394228210921</v>
      </c>
      <c r="AD3734" s="465">
        <v>0.29073348161985385</v>
      </c>
      <c r="AE3734" s="476">
        <v>6166.3236101447101</v>
      </c>
      <c r="AF3734" s="467">
        <v>0.4304394228210921</v>
      </c>
      <c r="AG3734" s="468">
        <v>0.29073348161985385</v>
      </c>
      <c r="AH3734" s="218">
        <v>6166.3236101447101</v>
      </c>
      <c r="AI3734" s="470">
        <v>0.4304394228210921</v>
      </c>
      <c r="AJ3734" s="471">
        <v>0.29073348161985385</v>
      </c>
      <c r="AK3734" s="218">
        <v>6166.3236101447101</v>
      </c>
      <c r="AL3734" s="470">
        <v>0.4304394228210921</v>
      </c>
      <c r="AM3734" s="471">
        <v>0.29073348161985385</v>
      </c>
      <c r="AN3734" s="477">
        <v>6166.3236101447101</v>
      </c>
      <c r="AO3734" s="473">
        <v>0.4304394228210921</v>
      </c>
      <c r="AP3734" s="474">
        <v>0.29073348161985385</v>
      </c>
      <c r="AQ3734" s="352"/>
      <c r="AR3734" s="352"/>
      <c r="AS3734" s="352"/>
      <c r="AT3734" s="352"/>
      <c r="AU3734" s="352"/>
      <c r="AV3734" s="352"/>
      <c r="AW3734" s="352" t="s">
        <v>254</v>
      </c>
    </row>
    <row r="3735" spans="2:49" x14ac:dyDescent="0.2">
      <c r="B3735" s="460" t="s">
        <v>3466</v>
      </c>
      <c r="C3735" s="460">
        <v>6000</v>
      </c>
      <c r="D3735" s="460" t="s">
        <v>2362</v>
      </c>
      <c r="E3735" s="460" t="s">
        <v>1136</v>
      </c>
      <c r="F3735" s="460">
        <v>1</v>
      </c>
      <c r="G3735" s="460">
        <v>4</v>
      </c>
      <c r="H3735" s="461" t="s">
        <v>746</v>
      </c>
      <c r="I3735" s="461" t="s">
        <v>762</v>
      </c>
      <c r="J3735" s="461" t="s">
        <v>700</v>
      </c>
      <c r="K3735" s="594"/>
      <c r="L3735" s="594"/>
      <c r="M3735" s="352">
        <v>6000</v>
      </c>
      <c r="N3735" s="352" t="s">
        <v>871</v>
      </c>
      <c r="O3735" s="460">
        <v>5141</v>
      </c>
      <c r="P3735" s="460" t="s">
        <v>1890</v>
      </c>
      <c r="Q3735" s="460" t="s">
        <v>2553</v>
      </c>
      <c r="R3735" s="460">
        <v>5141</v>
      </c>
      <c r="S3735" s="460" t="s">
        <v>1136</v>
      </c>
      <c r="T3735" s="462">
        <v>1</v>
      </c>
      <c r="U3735" s="460" t="s">
        <v>1136</v>
      </c>
      <c r="V3735" s="475">
        <v>0</v>
      </c>
      <c r="W3735" s="463" t="s">
        <v>2268</v>
      </c>
      <c r="X3735" s="463" t="s">
        <v>2268</v>
      </c>
      <c r="Y3735" s="463" t="s">
        <v>2554</v>
      </c>
      <c r="Z3735" s="463"/>
      <c r="AA3735" s="463"/>
      <c r="AB3735" s="464">
        <v>0</v>
      </c>
      <c r="AC3735" s="465">
        <v>0</v>
      </c>
      <c r="AD3735" s="465">
        <v>0</v>
      </c>
      <c r="AE3735" s="476">
        <v>0</v>
      </c>
      <c r="AF3735" s="467">
        <v>0</v>
      </c>
      <c r="AG3735" s="468">
        <v>0</v>
      </c>
      <c r="AH3735" s="218">
        <v>0</v>
      </c>
      <c r="AI3735" s="470">
        <v>0</v>
      </c>
      <c r="AJ3735" s="471">
        <v>0</v>
      </c>
      <c r="AK3735" s="218">
        <v>0</v>
      </c>
      <c r="AL3735" s="470">
        <v>0</v>
      </c>
      <c r="AM3735" s="471">
        <v>0</v>
      </c>
      <c r="AN3735" s="477">
        <v>0</v>
      </c>
      <c r="AO3735" s="473">
        <v>0</v>
      </c>
      <c r="AP3735" s="474">
        <v>0</v>
      </c>
      <c r="AQ3735" s="352"/>
      <c r="AR3735" s="352"/>
      <c r="AS3735" s="352"/>
      <c r="AT3735" s="352"/>
      <c r="AU3735" s="352"/>
      <c r="AV3735" s="352"/>
      <c r="AW3735" s="352" t="s">
        <v>254</v>
      </c>
    </row>
    <row r="3736" spans="2:49" x14ac:dyDescent="0.2">
      <c r="B3736" s="460" t="s">
        <v>3467</v>
      </c>
      <c r="C3736" s="460">
        <v>6000</v>
      </c>
      <c r="D3736" s="460" t="s">
        <v>2363</v>
      </c>
      <c r="E3736" s="460" t="s">
        <v>1137</v>
      </c>
      <c r="F3736" s="460">
        <v>2</v>
      </c>
      <c r="G3736" s="460">
        <v>4</v>
      </c>
      <c r="H3736" s="461" t="s">
        <v>746</v>
      </c>
      <c r="I3736" s="461" t="s">
        <v>762</v>
      </c>
      <c r="J3736" s="461" t="s">
        <v>700</v>
      </c>
      <c r="K3736" s="594"/>
      <c r="L3736" s="594"/>
      <c r="M3736" s="352">
        <v>6000</v>
      </c>
      <c r="N3736" s="352" t="s">
        <v>871</v>
      </c>
      <c r="O3736" s="460">
        <v>5141</v>
      </c>
      <c r="P3736" s="460" t="s">
        <v>1890</v>
      </c>
      <c r="Q3736" s="460" t="s">
        <v>2553</v>
      </c>
      <c r="R3736" s="460">
        <v>5141</v>
      </c>
      <c r="S3736" s="460" t="s">
        <v>1137</v>
      </c>
      <c r="T3736" s="462">
        <v>1</v>
      </c>
      <c r="U3736" s="460" t="s">
        <v>1137</v>
      </c>
      <c r="V3736" s="475">
        <v>0</v>
      </c>
      <c r="W3736" s="463" t="s">
        <v>2268</v>
      </c>
      <c r="X3736" s="463" t="s">
        <v>2268</v>
      </c>
      <c r="Y3736" s="463" t="s">
        <v>2554</v>
      </c>
      <c r="Z3736" s="463"/>
      <c r="AA3736" s="463"/>
      <c r="AB3736" s="464">
        <v>0</v>
      </c>
      <c r="AC3736" s="465">
        <v>0</v>
      </c>
      <c r="AD3736" s="465">
        <v>0</v>
      </c>
      <c r="AE3736" s="476">
        <v>0</v>
      </c>
      <c r="AF3736" s="467">
        <v>0</v>
      </c>
      <c r="AG3736" s="468">
        <v>0</v>
      </c>
      <c r="AH3736" s="218">
        <v>0</v>
      </c>
      <c r="AI3736" s="470">
        <v>0</v>
      </c>
      <c r="AJ3736" s="471">
        <v>0</v>
      </c>
      <c r="AK3736" s="218">
        <v>0</v>
      </c>
      <c r="AL3736" s="470">
        <v>0</v>
      </c>
      <c r="AM3736" s="471">
        <v>0</v>
      </c>
      <c r="AN3736" s="477">
        <v>0</v>
      </c>
      <c r="AO3736" s="473">
        <v>0</v>
      </c>
      <c r="AP3736" s="474">
        <v>0</v>
      </c>
      <c r="AQ3736" s="352"/>
      <c r="AR3736" s="352"/>
      <c r="AS3736" s="352"/>
      <c r="AT3736" s="352"/>
      <c r="AU3736" s="352"/>
      <c r="AV3736" s="352"/>
      <c r="AW3736" s="352" t="s">
        <v>254</v>
      </c>
    </row>
    <row r="3737" spans="2:49" x14ac:dyDescent="0.2">
      <c r="B3737" s="460" t="s">
        <v>3468</v>
      </c>
      <c r="C3737" s="460">
        <v>6000</v>
      </c>
      <c r="D3737" s="460" t="s">
        <v>2364</v>
      </c>
      <c r="E3737" s="460" t="s">
        <v>1138</v>
      </c>
      <c r="F3737" s="460">
        <v>3</v>
      </c>
      <c r="G3737" s="460">
        <v>4</v>
      </c>
      <c r="H3737" s="461" t="s">
        <v>746</v>
      </c>
      <c r="I3737" s="461" t="s">
        <v>762</v>
      </c>
      <c r="J3737" s="461" t="s">
        <v>700</v>
      </c>
      <c r="K3737" s="594"/>
      <c r="L3737" s="594"/>
      <c r="M3737" s="352">
        <v>6000</v>
      </c>
      <c r="N3737" s="352" t="s">
        <v>871</v>
      </c>
      <c r="O3737" s="460">
        <v>5141</v>
      </c>
      <c r="P3737" s="460" t="s">
        <v>1890</v>
      </c>
      <c r="Q3737" s="460" t="s">
        <v>2553</v>
      </c>
      <c r="R3737" s="460">
        <v>5141</v>
      </c>
      <c r="S3737" s="460" t="s">
        <v>1138</v>
      </c>
      <c r="T3737" s="462">
        <v>1</v>
      </c>
      <c r="U3737" s="460" t="s">
        <v>1138</v>
      </c>
      <c r="V3737" s="475">
        <v>0</v>
      </c>
      <c r="W3737" s="463" t="s">
        <v>2268</v>
      </c>
      <c r="X3737" s="463" t="s">
        <v>2268</v>
      </c>
      <c r="Y3737" s="463" t="s">
        <v>2554</v>
      </c>
      <c r="Z3737" s="463"/>
      <c r="AA3737" s="463"/>
      <c r="AB3737" s="464">
        <v>0</v>
      </c>
      <c r="AC3737" s="465">
        <v>0</v>
      </c>
      <c r="AD3737" s="465">
        <v>0</v>
      </c>
      <c r="AE3737" s="476">
        <v>0</v>
      </c>
      <c r="AF3737" s="467">
        <v>0</v>
      </c>
      <c r="AG3737" s="468">
        <v>0</v>
      </c>
      <c r="AH3737" s="218">
        <v>0</v>
      </c>
      <c r="AI3737" s="470">
        <v>0</v>
      </c>
      <c r="AJ3737" s="471">
        <v>0</v>
      </c>
      <c r="AK3737" s="218">
        <v>0</v>
      </c>
      <c r="AL3737" s="470">
        <v>0</v>
      </c>
      <c r="AM3737" s="471">
        <v>0</v>
      </c>
      <c r="AN3737" s="477">
        <v>0</v>
      </c>
      <c r="AO3737" s="473">
        <v>0</v>
      </c>
      <c r="AP3737" s="474">
        <v>0</v>
      </c>
      <c r="AQ3737" s="352"/>
      <c r="AR3737" s="352"/>
      <c r="AS3737" s="352"/>
      <c r="AT3737" s="352"/>
      <c r="AU3737" s="352"/>
      <c r="AV3737" s="352"/>
      <c r="AW3737" s="352" t="s">
        <v>254</v>
      </c>
    </row>
    <row r="3738" spans="2:49" x14ac:dyDescent="0.2">
      <c r="B3738" s="460" t="s">
        <v>3469</v>
      </c>
      <c r="C3738" s="460">
        <v>6000</v>
      </c>
      <c r="D3738" s="460" t="s">
        <v>2365</v>
      </c>
      <c r="E3738" s="460" t="s">
        <v>1139</v>
      </c>
      <c r="F3738" s="460">
        <v>4</v>
      </c>
      <c r="G3738" s="460">
        <v>4</v>
      </c>
      <c r="H3738" s="461" t="s">
        <v>746</v>
      </c>
      <c r="I3738" s="461" t="s">
        <v>762</v>
      </c>
      <c r="J3738" s="461" t="s">
        <v>700</v>
      </c>
      <c r="K3738" s="594"/>
      <c r="L3738" s="594"/>
      <c r="M3738" s="352">
        <v>6000</v>
      </c>
      <c r="N3738" s="352" t="s">
        <v>871</v>
      </c>
      <c r="O3738" s="460">
        <v>5141</v>
      </c>
      <c r="P3738" s="460" t="s">
        <v>1890</v>
      </c>
      <c r="Q3738" s="460" t="s">
        <v>2553</v>
      </c>
      <c r="R3738" s="460">
        <v>5141</v>
      </c>
      <c r="S3738" s="460" t="s">
        <v>1139</v>
      </c>
      <c r="T3738" s="462">
        <v>1</v>
      </c>
      <c r="U3738" s="460" t="s">
        <v>1139</v>
      </c>
      <c r="V3738" s="475">
        <v>0</v>
      </c>
      <c r="W3738" s="463" t="s">
        <v>2268</v>
      </c>
      <c r="X3738" s="463" t="s">
        <v>2268</v>
      </c>
      <c r="Y3738" s="463" t="s">
        <v>2554</v>
      </c>
      <c r="Z3738" s="463"/>
      <c r="AA3738" s="463"/>
      <c r="AB3738" s="464">
        <v>0</v>
      </c>
      <c r="AC3738" s="465">
        <v>0</v>
      </c>
      <c r="AD3738" s="465">
        <v>0</v>
      </c>
      <c r="AE3738" s="476">
        <v>0</v>
      </c>
      <c r="AF3738" s="467">
        <v>0</v>
      </c>
      <c r="AG3738" s="468">
        <v>0</v>
      </c>
      <c r="AH3738" s="218">
        <v>0</v>
      </c>
      <c r="AI3738" s="470">
        <v>0</v>
      </c>
      <c r="AJ3738" s="471">
        <v>0</v>
      </c>
      <c r="AK3738" s="218">
        <v>0</v>
      </c>
      <c r="AL3738" s="470">
        <v>0</v>
      </c>
      <c r="AM3738" s="471">
        <v>0</v>
      </c>
      <c r="AN3738" s="477">
        <v>0</v>
      </c>
      <c r="AO3738" s="473">
        <v>0</v>
      </c>
      <c r="AP3738" s="474">
        <v>0</v>
      </c>
      <c r="AQ3738" s="352"/>
      <c r="AR3738" s="352"/>
      <c r="AS3738" s="352"/>
      <c r="AT3738" s="352"/>
      <c r="AU3738" s="352"/>
      <c r="AV3738" s="352"/>
      <c r="AW3738" s="352" t="s">
        <v>254</v>
      </c>
    </row>
    <row r="3739" spans="2:49" x14ac:dyDescent="0.2">
      <c r="B3739" s="460" t="s">
        <v>3466</v>
      </c>
      <c r="C3739" s="460">
        <v>6000</v>
      </c>
      <c r="D3739" s="460" t="s">
        <v>2366</v>
      </c>
      <c r="E3739" s="460" t="s">
        <v>1136</v>
      </c>
      <c r="F3739" s="460">
        <v>1</v>
      </c>
      <c r="G3739" s="460">
        <v>4</v>
      </c>
      <c r="H3739" s="461" t="s">
        <v>748</v>
      </c>
      <c r="I3739" s="461" t="s">
        <v>765</v>
      </c>
      <c r="J3739" s="461" t="s">
        <v>700</v>
      </c>
      <c r="K3739" s="594"/>
      <c r="L3739" s="594"/>
      <c r="M3739" s="352">
        <v>6000</v>
      </c>
      <c r="N3739" s="352" t="s">
        <v>871</v>
      </c>
      <c r="O3739" s="460">
        <v>5141</v>
      </c>
      <c r="P3739" s="460" t="s">
        <v>1890</v>
      </c>
      <c r="Q3739" s="460" t="s">
        <v>2553</v>
      </c>
      <c r="R3739" s="460">
        <v>5141</v>
      </c>
      <c r="S3739" s="460" t="s">
        <v>1136</v>
      </c>
      <c r="T3739" s="462">
        <v>1</v>
      </c>
      <c r="U3739" s="460" t="s">
        <v>1136</v>
      </c>
      <c r="V3739" s="475">
        <v>0</v>
      </c>
      <c r="W3739" s="463" t="s">
        <v>2268</v>
      </c>
      <c r="X3739" s="463" t="s">
        <v>2268</v>
      </c>
      <c r="Y3739" s="463" t="s">
        <v>2554</v>
      </c>
      <c r="Z3739" s="463"/>
      <c r="AA3739" s="463"/>
      <c r="AB3739" s="464">
        <v>0</v>
      </c>
      <c r="AC3739" s="465">
        <v>0</v>
      </c>
      <c r="AD3739" s="465">
        <v>0</v>
      </c>
      <c r="AE3739" s="476">
        <v>0</v>
      </c>
      <c r="AF3739" s="467">
        <v>0</v>
      </c>
      <c r="AG3739" s="468">
        <v>0</v>
      </c>
      <c r="AH3739" s="218">
        <v>0</v>
      </c>
      <c r="AI3739" s="470">
        <v>0</v>
      </c>
      <c r="AJ3739" s="471">
        <v>0</v>
      </c>
      <c r="AK3739" s="218">
        <v>0</v>
      </c>
      <c r="AL3739" s="470">
        <v>0</v>
      </c>
      <c r="AM3739" s="471">
        <v>0</v>
      </c>
      <c r="AN3739" s="477">
        <v>0</v>
      </c>
      <c r="AO3739" s="473">
        <v>0</v>
      </c>
      <c r="AP3739" s="474">
        <v>0</v>
      </c>
      <c r="AQ3739" s="352"/>
      <c r="AR3739" s="352"/>
      <c r="AS3739" s="352"/>
      <c r="AT3739" s="352"/>
      <c r="AU3739" s="352"/>
      <c r="AV3739" s="352"/>
      <c r="AW3739" s="352" t="s">
        <v>254</v>
      </c>
    </row>
    <row r="3740" spans="2:49" x14ac:dyDescent="0.2">
      <c r="B3740" s="460" t="s">
        <v>3467</v>
      </c>
      <c r="C3740" s="460">
        <v>6000</v>
      </c>
      <c r="D3740" s="460" t="s">
        <v>2367</v>
      </c>
      <c r="E3740" s="460" t="s">
        <v>1137</v>
      </c>
      <c r="F3740" s="460">
        <v>2</v>
      </c>
      <c r="G3740" s="460">
        <v>4</v>
      </c>
      <c r="H3740" s="461" t="s">
        <v>748</v>
      </c>
      <c r="I3740" s="461" t="s">
        <v>765</v>
      </c>
      <c r="J3740" s="461" t="s">
        <v>700</v>
      </c>
      <c r="K3740" s="594"/>
      <c r="L3740" s="594"/>
      <c r="M3740" s="352">
        <v>6000</v>
      </c>
      <c r="N3740" s="352" t="s">
        <v>871</v>
      </c>
      <c r="O3740" s="460">
        <v>5141</v>
      </c>
      <c r="P3740" s="460" t="s">
        <v>1890</v>
      </c>
      <c r="Q3740" s="460" t="s">
        <v>2553</v>
      </c>
      <c r="R3740" s="460">
        <v>5141</v>
      </c>
      <c r="S3740" s="460" t="s">
        <v>1137</v>
      </c>
      <c r="T3740" s="462">
        <v>1</v>
      </c>
      <c r="U3740" s="460" t="s">
        <v>1137</v>
      </c>
      <c r="V3740" s="475">
        <v>0</v>
      </c>
      <c r="W3740" s="463" t="s">
        <v>2268</v>
      </c>
      <c r="X3740" s="463" t="s">
        <v>2268</v>
      </c>
      <c r="Y3740" s="463" t="s">
        <v>2554</v>
      </c>
      <c r="Z3740" s="463"/>
      <c r="AA3740" s="463"/>
      <c r="AB3740" s="464">
        <v>0</v>
      </c>
      <c r="AC3740" s="465">
        <v>0</v>
      </c>
      <c r="AD3740" s="465">
        <v>0</v>
      </c>
      <c r="AE3740" s="476">
        <v>0</v>
      </c>
      <c r="AF3740" s="467">
        <v>0</v>
      </c>
      <c r="AG3740" s="468">
        <v>0</v>
      </c>
      <c r="AH3740" s="218">
        <v>0</v>
      </c>
      <c r="AI3740" s="470">
        <v>0</v>
      </c>
      <c r="AJ3740" s="471">
        <v>0</v>
      </c>
      <c r="AK3740" s="218">
        <v>0</v>
      </c>
      <c r="AL3740" s="470">
        <v>0</v>
      </c>
      <c r="AM3740" s="471">
        <v>0</v>
      </c>
      <c r="AN3740" s="477">
        <v>0</v>
      </c>
      <c r="AO3740" s="473">
        <v>0</v>
      </c>
      <c r="AP3740" s="474">
        <v>0</v>
      </c>
      <c r="AQ3740" s="352"/>
      <c r="AR3740" s="352"/>
      <c r="AS3740" s="352"/>
      <c r="AT3740" s="352"/>
      <c r="AU3740" s="352"/>
      <c r="AV3740" s="352"/>
      <c r="AW3740" s="352" t="s">
        <v>254</v>
      </c>
    </row>
    <row r="3741" spans="2:49" x14ac:dyDescent="0.2">
      <c r="B3741" s="460" t="s">
        <v>3468</v>
      </c>
      <c r="C3741" s="460">
        <v>6000</v>
      </c>
      <c r="D3741" s="460" t="s">
        <v>2368</v>
      </c>
      <c r="E3741" s="460" t="s">
        <v>1138</v>
      </c>
      <c r="F3741" s="460">
        <v>3</v>
      </c>
      <c r="G3741" s="460">
        <v>4</v>
      </c>
      <c r="H3741" s="461" t="s">
        <v>748</v>
      </c>
      <c r="I3741" s="461" t="s">
        <v>765</v>
      </c>
      <c r="J3741" s="461" t="s">
        <v>700</v>
      </c>
      <c r="K3741" s="594"/>
      <c r="L3741" s="594"/>
      <c r="M3741" s="352">
        <v>6000</v>
      </c>
      <c r="N3741" s="352" t="s">
        <v>871</v>
      </c>
      <c r="O3741" s="460">
        <v>5141</v>
      </c>
      <c r="P3741" s="460" t="s">
        <v>1890</v>
      </c>
      <c r="Q3741" s="460" t="s">
        <v>2553</v>
      </c>
      <c r="R3741" s="460">
        <v>5141</v>
      </c>
      <c r="S3741" s="460" t="s">
        <v>1138</v>
      </c>
      <c r="T3741" s="462">
        <v>1</v>
      </c>
      <c r="U3741" s="460" t="s">
        <v>1138</v>
      </c>
      <c r="V3741" s="475">
        <v>0</v>
      </c>
      <c r="W3741" s="463" t="s">
        <v>2268</v>
      </c>
      <c r="X3741" s="463" t="s">
        <v>2268</v>
      </c>
      <c r="Y3741" s="463" t="s">
        <v>2554</v>
      </c>
      <c r="Z3741" s="463"/>
      <c r="AA3741" s="463"/>
      <c r="AB3741" s="464">
        <v>0</v>
      </c>
      <c r="AC3741" s="465">
        <v>0</v>
      </c>
      <c r="AD3741" s="465">
        <v>0</v>
      </c>
      <c r="AE3741" s="476">
        <v>0</v>
      </c>
      <c r="AF3741" s="467">
        <v>0</v>
      </c>
      <c r="AG3741" s="468">
        <v>0</v>
      </c>
      <c r="AH3741" s="218">
        <v>0</v>
      </c>
      <c r="AI3741" s="470">
        <v>0</v>
      </c>
      <c r="AJ3741" s="471">
        <v>0</v>
      </c>
      <c r="AK3741" s="218">
        <v>0</v>
      </c>
      <c r="AL3741" s="470">
        <v>0</v>
      </c>
      <c r="AM3741" s="471">
        <v>0</v>
      </c>
      <c r="AN3741" s="477">
        <v>0</v>
      </c>
      <c r="AO3741" s="473">
        <v>0</v>
      </c>
      <c r="AP3741" s="474">
        <v>0</v>
      </c>
      <c r="AQ3741" s="352"/>
      <c r="AR3741" s="352"/>
      <c r="AS3741" s="352"/>
      <c r="AT3741" s="352"/>
      <c r="AU3741" s="352"/>
      <c r="AV3741" s="352"/>
      <c r="AW3741" s="352" t="s">
        <v>254</v>
      </c>
    </row>
    <row r="3742" spans="2:49" x14ac:dyDescent="0.2">
      <c r="B3742" s="460" t="s">
        <v>3469</v>
      </c>
      <c r="C3742" s="460">
        <v>6000</v>
      </c>
      <c r="D3742" s="460" t="s">
        <v>2369</v>
      </c>
      <c r="E3742" s="460" t="s">
        <v>1139</v>
      </c>
      <c r="F3742" s="460">
        <v>4</v>
      </c>
      <c r="G3742" s="460">
        <v>4</v>
      </c>
      <c r="H3742" s="461" t="s">
        <v>748</v>
      </c>
      <c r="I3742" s="461" t="s">
        <v>765</v>
      </c>
      <c r="J3742" s="461" t="s">
        <v>700</v>
      </c>
      <c r="K3742" s="594"/>
      <c r="L3742" s="594"/>
      <c r="M3742" s="352">
        <v>6000</v>
      </c>
      <c r="N3742" s="352" t="s">
        <v>871</v>
      </c>
      <c r="O3742" s="460">
        <v>5141</v>
      </c>
      <c r="P3742" s="460" t="s">
        <v>1890</v>
      </c>
      <c r="Q3742" s="460" t="s">
        <v>2553</v>
      </c>
      <c r="R3742" s="460">
        <v>5141</v>
      </c>
      <c r="S3742" s="460" t="s">
        <v>1139</v>
      </c>
      <c r="T3742" s="462">
        <v>1</v>
      </c>
      <c r="U3742" s="460" t="s">
        <v>1139</v>
      </c>
      <c r="V3742" s="475">
        <v>0</v>
      </c>
      <c r="W3742" s="463" t="s">
        <v>2268</v>
      </c>
      <c r="X3742" s="463" t="s">
        <v>2268</v>
      </c>
      <c r="Y3742" s="463" t="s">
        <v>2554</v>
      </c>
      <c r="Z3742" s="463"/>
      <c r="AA3742" s="463"/>
      <c r="AB3742" s="464">
        <v>0</v>
      </c>
      <c r="AC3742" s="465">
        <v>0</v>
      </c>
      <c r="AD3742" s="465">
        <v>0</v>
      </c>
      <c r="AE3742" s="476">
        <v>0</v>
      </c>
      <c r="AF3742" s="467">
        <v>0</v>
      </c>
      <c r="AG3742" s="468">
        <v>0</v>
      </c>
      <c r="AH3742" s="218">
        <v>0</v>
      </c>
      <c r="AI3742" s="470">
        <v>0</v>
      </c>
      <c r="AJ3742" s="471">
        <v>0</v>
      </c>
      <c r="AK3742" s="218">
        <v>0</v>
      </c>
      <c r="AL3742" s="470">
        <v>0</v>
      </c>
      <c r="AM3742" s="471">
        <v>0</v>
      </c>
      <c r="AN3742" s="477">
        <v>0</v>
      </c>
      <c r="AO3742" s="473">
        <v>0</v>
      </c>
      <c r="AP3742" s="474">
        <v>0</v>
      </c>
      <c r="AQ3742" s="352"/>
      <c r="AR3742" s="352"/>
      <c r="AS3742" s="352"/>
      <c r="AT3742" s="352"/>
      <c r="AU3742" s="352"/>
      <c r="AV3742" s="352"/>
      <c r="AW3742" s="352" t="s">
        <v>254</v>
      </c>
    </row>
    <row r="3743" spans="2:49" x14ac:dyDescent="0.2">
      <c r="B3743" s="460" t="s">
        <v>3470</v>
      </c>
      <c r="C3743" s="460">
        <v>6000</v>
      </c>
      <c r="D3743" s="460" t="s">
        <v>2375</v>
      </c>
      <c r="E3743" s="460" t="s">
        <v>2376</v>
      </c>
      <c r="F3743" s="460">
        <v>1</v>
      </c>
      <c r="G3743" s="460">
        <v>5</v>
      </c>
      <c r="H3743" s="461" t="s">
        <v>754</v>
      </c>
      <c r="I3743" s="461" t="s">
        <v>1991</v>
      </c>
      <c r="J3743" s="461" t="s">
        <v>754</v>
      </c>
      <c r="K3743" s="594"/>
      <c r="L3743" s="594"/>
      <c r="M3743" s="352">
        <v>6000</v>
      </c>
      <c r="N3743" s="352" t="s">
        <v>871</v>
      </c>
      <c r="O3743" s="460">
        <v>5141</v>
      </c>
      <c r="P3743" s="460" t="s">
        <v>1890</v>
      </c>
      <c r="Q3743" s="460" t="s">
        <v>2377</v>
      </c>
      <c r="R3743" s="460">
        <v>5141</v>
      </c>
      <c r="S3743" s="460" t="s">
        <v>2376</v>
      </c>
      <c r="T3743" s="462">
        <v>1</v>
      </c>
      <c r="U3743" s="460" t="s">
        <v>2376</v>
      </c>
      <c r="V3743" s="475">
        <v>0</v>
      </c>
      <c r="W3743" s="463" t="s">
        <v>2278</v>
      </c>
      <c r="X3743" s="463" t="s">
        <v>2278</v>
      </c>
      <c r="Y3743" s="463" t="s">
        <v>2278</v>
      </c>
      <c r="Z3743" s="463"/>
      <c r="AA3743" s="463"/>
      <c r="AB3743" s="464">
        <v>87275.362859759538</v>
      </c>
      <c r="AC3743" s="465">
        <v>1</v>
      </c>
      <c r="AD3743" s="465">
        <v>0.14671903466688363</v>
      </c>
      <c r="AE3743" s="476">
        <v>87275.362859759538</v>
      </c>
      <c r="AF3743" s="467">
        <v>1</v>
      </c>
      <c r="AG3743" s="468">
        <v>0.14671903466688363</v>
      </c>
      <c r="AH3743" s="218">
        <v>87275.362859759538</v>
      </c>
      <c r="AI3743" s="470">
        <v>1</v>
      </c>
      <c r="AJ3743" s="471">
        <v>0.14671903466688363</v>
      </c>
      <c r="AK3743" s="218">
        <v>87275.362859759538</v>
      </c>
      <c r="AL3743" s="470">
        <v>1</v>
      </c>
      <c r="AM3743" s="471">
        <v>0.14671903466688363</v>
      </c>
      <c r="AN3743" s="477">
        <v>87275.362859759538</v>
      </c>
      <c r="AO3743" s="473">
        <v>1</v>
      </c>
      <c r="AP3743" s="474">
        <v>0.14671903466688363</v>
      </c>
      <c r="AQ3743" s="352"/>
      <c r="AR3743" s="352"/>
      <c r="AS3743" s="352"/>
      <c r="AT3743" s="352"/>
      <c r="AU3743" s="352"/>
      <c r="AV3743" s="352"/>
      <c r="AW3743" s="352" t="s">
        <v>127</v>
      </c>
    </row>
    <row r="3744" spans="2:49" x14ac:dyDescent="0.2">
      <c r="B3744" s="460" t="s">
        <v>3471</v>
      </c>
      <c r="C3744" s="460">
        <v>6000</v>
      </c>
      <c r="D3744" s="460" t="s">
        <v>2379</v>
      </c>
      <c r="E3744" s="460" t="s">
        <v>2380</v>
      </c>
      <c r="F3744" s="460">
        <v>2</v>
      </c>
      <c r="G3744" s="460">
        <v>5</v>
      </c>
      <c r="H3744" s="461" t="s">
        <v>754</v>
      </c>
      <c r="I3744" s="461" t="s">
        <v>1991</v>
      </c>
      <c r="J3744" s="461" t="s">
        <v>754</v>
      </c>
      <c r="K3744" s="594"/>
      <c r="L3744" s="594"/>
      <c r="M3744" s="352">
        <v>6000</v>
      </c>
      <c r="N3744" s="352" t="s">
        <v>871</v>
      </c>
      <c r="O3744" s="460">
        <v>5141</v>
      </c>
      <c r="P3744" s="460" t="s">
        <v>1890</v>
      </c>
      <c r="Q3744" s="460" t="s">
        <v>2377</v>
      </c>
      <c r="R3744" s="460">
        <v>5141</v>
      </c>
      <c r="S3744" s="460" t="s">
        <v>2380</v>
      </c>
      <c r="T3744" s="462">
        <v>1</v>
      </c>
      <c r="U3744" s="460" t="s">
        <v>2380</v>
      </c>
      <c r="V3744" s="475">
        <v>0</v>
      </c>
      <c r="W3744" s="463" t="s">
        <v>2278</v>
      </c>
      <c r="X3744" s="463" t="s">
        <v>2278</v>
      </c>
      <c r="Y3744" s="463" t="s">
        <v>2278</v>
      </c>
      <c r="Z3744" s="463"/>
      <c r="AA3744" s="463"/>
      <c r="AB3744" s="464">
        <v>105927.30308249222</v>
      </c>
      <c r="AC3744" s="465">
        <v>1</v>
      </c>
      <c r="AD3744" s="465">
        <v>0.20859243718080453</v>
      </c>
      <c r="AE3744" s="476">
        <v>105927.30308249222</v>
      </c>
      <c r="AF3744" s="467">
        <v>1</v>
      </c>
      <c r="AG3744" s="468">
        <v>0.20859243718080453</v>
      </c>
      <c r="AH3744" s="218">
        <v>105927.30308249222</v>
      </c>
      <c r="AI3744" s="470">
        <v>1</v>
      </c>
      <c r="AJ3744" s="471">
        <v>0.20859243718080453</v>
      </c>
      <c r="AK3744" s="218">
        <v>105927.30308249222</v>
      </c>
      <c r="AL3744" s="470">
        <v>1</v>
      </c>
      <c r="AM3744" s="471">
        <v>0.20859243718080453</v>
      </c>
      <c r="AN3744" s="477">
        <v>105927.30308249222</v>
      </c>
      <c r="AO3744" s="473">
        <v>1</v>
      </c>
      <c r="AP3744" s="474">
        <v>0.20859243718080453</v>
      </c>
      <c r="AQ3744" s="352"/>
      <c r="AR3744" s="352"/>
      <c r="AS3744" s="352"/>
      <c r="AT3744" s="352"/>
      <c r="AU3744" s="352"/>
      <c r="AV3744" s="352"/>
      <c r="AW3744" s="352" t="s">
        <v>127</v>
      </c>
    </row>
    <row r="3745" spans="2:49" x14ac:dyDescent="0.2">
      <c r="B3745" s="460" t="s">
        <v>3472</v>
      </c>
      <c r="C3745" s="460">
        <v>6000</v>
      </c>
      <c r="D3745" s="460" t="s">
        <v>2382</v>
      </c>
      <c r="E3745" s="460" t="s">
        <v>2383</v>
      </c>
      <c r="F3745" s="460">
        <v>3</v>
      </c>
      <c r="G3745" s="460">
        <v>5</v>
      </c>
      <c r="H3745" s="461" t="s">
        <v>754</v>
      </c>
      <c r="I3745" s="461" t="s">
        <v>1991</v>
      </c>
      <c r="J3745" s="461" t="s">
        <v>754</v>
      </c>
      <c r="K3745" s="594"/>
      <c r="L3745" s="594"/>
      <c r="M3745" s="352">
        <v>6000</v>
      </c>
      <c r="N3745" s="352" t="s">
        <v>871</v>
      </c>
      <c r="O3745" s="460">
        <v>5141</v>
      </c>
      <c r="P3745" s="460" t="s">
        <v>1890</v>
      </c>
      <c r="Q3745" s="460" t="s">
        <v>2377</v>
      </c>
      <c r="R3745" s="460">
        <v>5141</v>
      </c>
      <c r="S3745" s="460" t="s">
        <v>2383</v>
      </c>
      <c r="T3745" s="462">
        <v>1</v>
      </c>
      <c r="U3745" s="460" t="s">
        <v>2383</v>
      </c>
      <c r="V3745" s="475">
        <v>0</v>
      </c>
      <c r="W3745" s="463" t="s">
        <v>2278</v>
      </c>
      <c r="X3745" s="463" t="s">
        <v>2278</v>
      </c>
      <c r="Y3745" s="463" t="s">
        <v>2278</v>
      </c>
      <c r="Z3745" s="463"/>
      <c r="AA3745" s="463"/>
      <c r="AB3745" s="464">
        <v>15369.449833402065</v>
      </c>
      <c r="AC3745" s="465">
        <v>1</v>
      </c>
      <c r="AD3745" s="465">
        <v>0.1366137851629215</v>
      </c>
      <c r="AE3745" s="476">
        <v>15369.449833402065</v>
      </c>
      <c r="AF3745" s="467">
        <v>1</v>
      </c>
      <c r="AG3745" s="468">
        <v>0.1366137851629215</v>
      </c>
      <c r="AH3745" s="218">
        <v>15369.449833402065</v>
      </c>
      <c r="AI3745" s="470">
        <v>1</v>
      </c>
      <c r="AJ3745" s="471">
        <v>0.1366137851629215</v>
      </c>
      <c r="AK3745" s="218">
        <v>15369.449833402065</v>
      </c>
      <c r="AL3745" s="470">
        <v>1</v>
      </c>
      <c r="AM3745" s="471">
        <v>0.1366137851629215</v>
      </c>
      <c r="AN3745" s="477">
        <v>15369.449833402065</v>
      </c>
      <c r="AO3745" s="473">
        <v>1</v>
      </c>
      <c r="AP3745" s="474">
        <v>0.1366137851629215</v>
      </c>
      <c r="AQ3745" s="352"/>
      <c r="AR3745" s="352"/>
      <c r="AS3745" s="352"/>
      <c r="AT3745" s="352"/>
      <c r="AU3745" s="352"/>
      <c r="AV3745" s="352"/>
      <c r="AW3745" s="352" t="s">
        <v>127</v>
      </c>
    </row>
    <row r="3746" spans="2:49" x14ac:dyDescent="0.2">
      <c r="B3746" s="460" t="s">
        <v>3473</v>
      </c>
      <c r="C3746" s="460">
        <v>6000</v>
      </c>
      <c r="D3746" s="460" t="s">
        <v>2385</v>
      </c>
      <c r="E3746" s="460" t="s">
        <v>2386</v>
      </c>
      <c r="F3746" s="460">
        <v>4</v>
      </c>
      <c r="G3746" s="460">
        <v>5</v>
      </c>
      <c r="H3746" s="461" t="s">
        <v>754</v>
      </c>
      <c r="I3746" s="461" t="s">
        <v>1991</v>
      </c>
      <c r="J3746" s="461" t="s">
        <v>754</v>
      </c>
      <c r="K3746" s="594"/>
      <c r="L3746" s="594"/>
      <c r="M3746" s="352">
        <v>6000</v>
      </c>
      <c r="N3746" s="352" t="s">
        <v>871</v>
      </c>
      <c r="O3746" s="460">
        <v>5141</v>
      </c>
      <c r="P3746" s="460" t="s">
        <v>1890</v>
      </c>
      <c r="Q3746" s="460" t="s">
        <v>2377</v>
      </c>
      <c r="R3746" s="460">
        <v>5141</v>
      </c>
      <c r="S3746" s="460" t="s">
        <v>2386</v>
      </c>
      <c r="T3746" s="462">
        <v>1</v>
      </c>
      <c r="U3746" s="460" t="s">
        <v>2386</v>
      </c>
      <c r="V3746" s="475">
        <v>0</v>
      </c>
      <c r="W3746" s="463" t="s">
        <v>2278</v>
      </c>
      <c r="X3746" s="463" t="s">
        <v>2278</v>
      </c>
      <c r="Y3746" s="463" t="s">
        <v>2278</v>
      </c>
      <c r="Z3746" s="463"/>
      <c r="AA3746" s="463"/>
      <c r="AB3746" s="464">
        <v>545.78086956514312</v>
      </c>
      <c r="AC3746" s="465">
        <v>1</v>
      </c>
      <c r="AD3746" s="465">
        <v>1.012463763895669E-2</v>
      </c>
      <c r="AE3746" s="476">
        <v>545.78086956514312</v>
      </c>
      <c r="AF3746" s="467">
        <v>1</v>
      </c>
      <c r="AG3746" s="468">
        <v>1.012463763895669E-2</v>
      </c>
      <c r="AH3746" s="218">
        <v>545.78086956514312</v>
      </c>
      <c r="AI3746" s="470">
        <v>1</v>
      </c>
      <c r="AJ3746" s="471">
        <v>1.012463763895669E-2</v>
      </c>
      <c r="AK3746" s="218">
        <v>545.78086956514312</v>
      </c>
      <c r="AL3746" s="470">
        <v>1</v>
      </c>
      <c r="AM3746" s="471">
        <v>1.012463763895669E-2</v>
      </c>
      <c r="AN3746" s="477">
        <v>545.78086956514312</v>
      </c>
      <c r="AO3746" s="473">
        <v>1</v>
      </c>
      <c r="AP3746" s="474">
        <v>1.012463763895669E-2</v>
      </c>
      <c r="AQ3746" s="352"/>
      <c r="AR3746" s="352"/>
      <c r="AS3746" s="352"/>
      <c r="AT3746" s="352"/>
      <c r="AU3746" s="352"/>
      <c r="AV3746" s="352"/>
      <c r="AW3746" s="352" t="s">
        <v>127</v>
      </c>
    </row>
    <row r="3747" spans="2:49" x14ac:dyDescent="0.2">
      <c r="B3747" s="460" t="s">
        <v>3474</v>
      </c>
      <c r="C3747" s="460">
        <v>7000</v>
      </c>
      <c r="D3747" s="460" t="s">
        <v>2264</v>
      </c>
      <c r="E3747" s="460" t="s">
        <v>2265</v>
      </c>
      <c r="F3747" s="460">
        <v>1</v>
      </c>
      <c r="G3747" s="460">
        <v>1</v>
      </c>
      <c r="H3747" s="461" t="s">
        <v>700</v>
      </c>
      <c r="I3747" s="461" t="s">
        <v>872</v>
      </c>
      <c r="J3747" s="461" t="s">
        <v>700</v>
      </c>
      <c r="K3747" s="594"/>
      <c r="L3747" s="594"/>
      <c r="M3747" s="352">
        <v>7000</v>
      </c>
      <c r="N3747" s="352" t="s">
        <v>1891</v>
      </c>
      <c r="O3747" s="460">
        <v>5211</v>
      </c>
      <c r="P3747" s="460" t="s">
        <v>786</v>
      </c>
      <c r="Q3747" s="460" t="s">
        <v>2553</v>
      </c>
      <c r="R3747" s="460">
        <v>5211</v>
      </c>
      <c r="S3747" s="460" t="s">
        <v>2265</v>
      </c>
      <c r="T3747" s="462">
        <v>1</v>
      </c>
      <c r="U3747" s="460" t="s">
        <v>2265</v>
      </c>
      <c r="V3747" s="475">
        <v>0</v>
      </c>
      <c r="W3747" s="463" t="s">
        <v>2554</v>
      </c>
      <c r="X3747" s="463" t="s">
        <v>2554</v>
      </c>
      <c r="Y3747" s="463" t="s">
        <v>2268</v>
      </c>
      <c r="Z3747" s="463"/>
      <c r="AA3747" s="463"/>
      <c r="AB3747" s="464">
        <v>0</v>
      </c>
      <c r="AC3747" s="465">
        <v>0</v>
      </c>
      <c r="AD3747" s="465">
        <v>0</v>
      </c>
      <c r="AE3747" s="476">
        <v>0</v>
      </c>
      <c r="AF3747" s="467">
        <v>0</v>
      </c>
      <c r="AG3747" s="468">
        <v>0</v>
      </c>
      <c r="AH3747" s="218">
        <v>0</v>
      </c>
      <c r="AI3747" s="470">
        <v>0</v>
      </c>
      <c r="AJ3747" s="471">
        <v>0</v>
      </c>
      <c r="AK3747" s="218">
        <v>0</v>
      </c>
      <c r="AL3747" s="470">
        <v>0</v>
      </c>
      <c r="AM3747" s="471">
        <v>0</v>
      </c>
      <c r="AN3747" s="477">
        <v>0</v>
      </c>
      <c r="AO3747" s="473">
        <v>0</v>
      </c>
      <c r="AP3747" s="474">
        <v>0</v>
      </c>
      <c r="AQ3747" s="352"/>
      <c r="AR3747" s="352"/>
      <c r="AS3747" s="352"/>
      <c r="AT3747" s="352"/>
      <c r="AU3747" s="352"/>
      <c r="AV3747" s="352"/>
      <c r="AW3747" s="352" t="s">
        <v>254</v>
      </c>
    </row>
    <row r="3748" spans="2:49" x14ac:dyDescent="0.2">
      <c r="B3748" s="460" t="s">
        <v>3475</v>
      </c>
      <c r="C3748" s="460">
        <v>7000</v>
      </c>
      <c r="D3748" s="460" t="s">
        <v>2270</v>
      </c>
      <c r="E3748" s="460" t="s">
        <v>2271</v>
      </c>
      <c r="F3748" s="460">
        <v>2</v>
      </c>
      <c r="G3748" s="460">
        <v>1</v>
      </c>
      <c r="H3748" s="461" t="s">
        <v>700</v>
      </c>
      <c r="I3748" s="461" t="s">
        <v>872</v>
      </c>
      <c r="J3748" s="461" t="s">
        <v>700</v>
      </c>
      <c r="K3748" s="594"/>
      <c r="L3748" s="594"/>
      <c r="M3748" s="352">
        <v>7000</v>
      </c>
      <c r="N3748" s="352" t="s">
        <v>1891</v>
      </c>
      <c r="O3748" s="460">
        <v>5211</v>
      </c>
      <c r="P3748" s="460" t="s">
        <v>786</v>
      </c>
      <c r="Q3748" s="460" t="s">
        <v>2553</v>
      </c>
      <c r="R3748" s="460">
        <v>5211</v>
      </c>
      <c r="S3748" s="460" t="s">
        <v>2265</v>
      </c>
      <c r="T3748" s="462">
        <v>1</v>
      </c>
      <c r="U3748" s="460" t="s">
        <v>2271</v>
      </c>
      <c r="V3748" s="475">
        <v>0</v>
      </c>
      <c r="W3748" s="463" t="s">
        <v>2554</v>
      </c>
      <c r="X3748" s="463" t="s">
        <v>2554</v>
      </c>
      <c r="Y3748" s="463" t="s">
        <v>2268</v>
      </c>
      <c r="Z3748" s="463"/>
      <c r="AA3748" s="463"/>
      <c r="AB3748" s="464">
        <v>0</v>
      </c>
      <c r="AC3748" s="465">
        <v>0</v>
      </c>
      <c r="AD3748" s="465">
        <v>0</v>
      </c>
      <c r="AE3748" s="476">
        <v>0</v>
      </c>
      <c r="AF3748" s="467">
        <v>0</v>
      </c>
      <c r="AG3748" s="468">
        <v>0</v>
      </c>
      <c r="AH3748" s="218">
        <v>0</v>
      </c>
      <c r="AI3748" s="470">
        <v>0</v>
      </c>
      <c r="AJ3748" s="471">
        <v>0</v>
      </c>
      <c r="AK3748" s="218">
        <v>0</v>
      </c>
      <c r="AL3748" s="470">
        <v>0</v>
      </c>
      <c r="AM3748" s="471">
        <v>0</v>
      </c>
      <c r="AN3748" s="477">
        <v>0</v>
      </c>
      <c r="AO3748" s="473">
        <v>0</v>
      </c>
      <c r="AP3748" s="474">
        <v>0</v>
      </c>
      <c r="AQ3748" s="352"/>
      <c r="AR3748" s="352"/>
      <c r="AS3748" s="352"/>
      <c r="AT3748" s="352"/>
      <c r="AU3748" s="352"/>
      <c r="AV3748" s="352"/>
      <c r="AW3748" s="352" t="s">
        <v>254</v>
      </c>
    </row>
    <row r="3749" spans="2:49" x14ac:dyDescent="0.2">
      <c r="B3749" s="460" t="s">
        <v>3476</v>
      </c>
      <c r="C3749" s="460">
        <v>7000</v>
      </c>
      <c r="D3749" s="460" t="s">
        <v>2273</v>
      </c>
      <c r="E3749" s="460" t="s">
        <v>2274</v>
      </c>
      <c r="F3749" s="460">
        <v>3</v>
      </c>
      <c r="G3749" s="460">
        <v>1</v>
      </c>
      <c r="H3749" s="461" t="s">
        <v>700</v>
      </c>
      <c r="I3749" s="461" t="s">
        <v>872</v>
      </c>
      <c r="J3749" s="461" t="s">
        <v>700</v>
      </c>
      <c r="K3749" s="594"/>
      <c r="L3749" s="594"/>
      <c r="M3749" s="352">
        <v>7000</v>
      </c>
      <c r="N3749" s="352" t="s">
        <v>1891</v>
      </c>
      <c r="O3749" s="460">
        <v>5211</v>
      </c>
      <c r="P3749" s="460" t="s">
        <v>786</v>
      </c>
      <c r="Q3749" s="460" t="s">
        <v>2553</v>
      </c>
      <c r="R3749" s="460">
        <v>5211</v>
      </c>
      <c r="S3749" s="460" t="s">
        <v>2265</v>
      </c>
      <c r="T3749" s="462">
        <v>0.74223365950407583</v>
      </c>
      <c r="U3749" s="460" t="s">
        <v>2274</v>
      </c>
      <c r="V3749" s="475">
        <v>0</v>
      </c>
      <c r="W3749" s="463" t="s">
        <v>2554</v>
      </c>
      <c r="X3749" s="463" t="s">
        <v>2554</v>
      </c>
      <c r="Y3749" s="463" t="s">
        <v>2268</v>
      </c>
      <c r="Z3749" s="463"/>
      <c r="AA3749" s="463"/>
      <c r="AB3749" s="464">
        <v>0</v>
      </c>
      <c r="AC3749" s="465">
        <v>0</v>
      </c>
      <c r="AD3749" s="465">
        <v>0</v>
      </c>
      <c r="AE3749" s="476">
        <v>0</v>
      </c>
      <c r="AF3749" s="467">
        <v>0</v>
      </c>
      <c r="AG3749" s="468">
        <v>0</v>
      </c>
      <c r="AH3749" s="218">
        <v>0</v>
      </c>
      <c r="AI3749" s="470">
        <v>0</v>
      </c>
      <c r="AJ3749" s="471">
        <v>0</v>
      </c>
      <c r="AK3749" s="218">
        <v>0</v>
      </c>
      <c r="AL3749" s="470">
        <v>0</v>
      </c>
      <c r="AM3749" s="471">
        <v>0</v>
      </c>
      <c r="AN3749" s="477">
        <v>0</v>
      </c>
      <c r="AO3749" s="473">
        <v>0</v>
      </c>
      <c r="AP3749" s="474">
        <v>0</v>
      </c>
      <c r="AQ3749" s="352"/>
      <c r="AR3749" s="352"/>
      <c r="AS3749" s="352"/>
      <c r="AT3749" s="352"/>
      <c r="AU3749" s="352"/>
      <c r="AV3749" s="352"/>
      <c r="AW3749" s="352" t="s">
        <v>254</v>
      </c>
    </row>
    <row r="3750" spans="2:49" x14ac:dyDescent="0.2">
      <c r="B3750" s="460" t="s">
        <v>3477</v>
      </c>
      <c r="C3750" s="460">
        <v>7000</v>
      </c>
      <c r="D3750" s="460" t="s">
        <v>2276</v>
      </c>
      <c r="E3750" s="460" t="s">
        <v>2277</v>
      </c>
      <c r="F3750" s="460">
        <v>4</v>
      </c>
      <c r="G3750" s="460">
        <v>1</v>
      </c>
      <c r="H3750" s="461" t="s">
        <v>700</v>
      </c>
      <c r="I3750" s="461" t="s">
        <v>872</v>
      </c>
      <c r="J3750" s="461" t="s">
        <v>700</v>
      </c>
      <c r="K3750" s="594"/>
      <c r="L3750" s="594"/>
      <c r="M3750" s="352">
        <v>7000</v>
      </c>
      <c r="N3750" s="352" t="s">
        <v>1891</v>
      </c>
      <c r="O3750" s="460">
        <v>5211</v>
      </c>
      <c r="P3750" s="460" t="s">
        <v>786</v>
      </c>
      <c r="Q3750" s="460" t="s">
        <v>2553</v>
      </c>
      <c r="R3750" s="460">
        <v>5211</v>
      </c>
      <c r="S3750" s="460" t="s">
        <v>2277</v>
      </c>
      <c r="T3750" s="462">
        <v>1</v>
      </c>
      <c r="U3750" s="460" t="s">
        <v>2277</v>
      </c>
      <c r="V3750" s="475">
        <v>0</v>
      </c>
      <c r="W3750" s="463" t="s">
        <v>2554</v>
      </c>
      <c r="X3750" s="463" t="s">
        <v>2554</v>
      </c>
      <c r="Y3750" s="463" t="s">
        <v>2268</v>
      </c>
      <c r="Z3750" s="463"/>
      <c r="AA3750" s="463"/>
      <c r="AB3750" s="464">
        <v>0</v>
      </c>
      <c r="AC3750" s="465">
        <v>0</v>
      </c>
      <c r="AD3750" s="465">
        <v>0</v>
      </c>
      <c r="AE3750" s="476">
        <v>0</v>
      </c>
      <c r="AF3750" s="467">
        <v>0</v>
      </c>
      <c r="AG3750" s="468">
        <v>0</v>
      </c>
      <c r="AH3750" s="218">
        <v>0</v>
      </c>
      <c r="AI3750" s="470">
        <v>0</v>
      </c>
      <c r="AJ3750" s="471">
        <v>0</v>
      </c>
      <c r="AK3750" s="218">
        <v>0</v>
      </c>
      <c r="AL3750" s="470">
        <v>0</v>
      </c>
      <c r="AM3750" s="471">
        <v>0</v>
      </c>
      <c r="AN3750" s="477">
        <v>0</v>
      </c>
      <c r="AO3750" s="473">
        <v>0</v>
      </c>
      <c r="AP3750" s="474">
        <v>0</v>
      </c>
      <c r="AQ3750" s="352"/>
      <c r="AR3750" s="352"/>
      <c r="AS3750" s="352"/>
      <c r="AT3750" s="352"/>
      <c r="AU3750" s="352"/>
      <c r="AV3750" s="352"/>
      <c r="AW3750" s="352" t="s">
        <v>254</v>
      </c>
    </row>
    <row r="3751" spans="2:49" x14ac:dyDescent="0.2">
      <c r="B3751" s="460" t="s">
        <v>3474</v>
      </c>
      <c r="C3751" s="460">
        <v>7000</v>
      </c>
      <c r="D3751" s="460" t="s">
        <v>2279</v>
      </c>
      <c r="E3751" s="460" t="s">
        <v>2265</v>
      </c>
      <c r="F3751" s="460">
        <v>1</v>
      </c>
      <c r="G3751" s="460">
        <v>1</v>
      </c>
      <c r="H3751" s="461" t="s">
        <v>712</v>
      </c>
      <c r="I3751" s="461" t="s">
        <v>713</v>
      </c>
      <c r="J3751" s="461" t="s">
        <v>712</v>
      </c>
      <c r="K3751" s="594"/>
      <c r="L3751" s="594"/>
      <c r="M3751" s="352">
        <v>7000</v>
      </c>
      <c r="N3751" s="352" t="s">
        <v>1891</v>
      </c>
      <c r="O3751" s="460">
        <v>5211</v>
      </c>
      <c r="P3751" s="460" t="s">
        <v>786</v>
      </c>
      <c r="Q3751" s="460" t="s">
        <v>2280</v>
      </c>
      <c r="R3751" s="460">
        <v>5211</v>
      </c>
      <c r="S3751" s="460" t="s">
        <v>2265</v>
      </c>
      <c r="T3751" s="462">
        <v>1</v>
      </c>
      <c r="U3751" s="460" t="s">
        <v>2265</v>
      </c>
      <c r="V3751" s="475">
        <v>0</v>
      </c>
      <c r="W3751" s="463" t="s">
        <v>713</v>
      </c>
      <c r="X3751" s="463" t="s">
        <v>713</v>
      </c>
      <c r="Y3751" s="463" t="s">
        <v>713</v>
      </c>
      <c r="Z3751" s="463"/>
      <c r="AA3751" s="463"/>
      <c r="AB3751" s="464">
        <v>40.575887872798234</v>
      </c>
      <c r="AC3751" s="465">
        <v>0.1058338429485236</v>
      </c>
      <c r="AD3751" s="465">
        <v>1.4989434692407847E-4</v>
      </c>
      <c r="AE3751" s="476">
        <v>40.575887872798191</v>
      </c>
      <c r="AF3751" s="467">
        <v>0.10583384294852349</v>
      </c>
      <c r="AG3751" s="468">
        <v>1.4617608411537119E-4</v>
      </c>
      <c r="AH3751" s="218">
        <v>40.575887872798191</v>
      </c>
      <c r="AI3751" s="470">
        <v>0.10583384294852349</v>
      </c>
      <c r="AJ3751" s="471">
        <v>1.4827200741338714E-4</v>
      </c>
      <c r="AK3751" s="218">
        <v>40.575887872798191</v>
      </c>
      <c r="AL3751" s="470">
        <v>0.10583384294852349</v>
      </c>
      <c r="AM3751" s="471">
        <v>1.4827200741338714E-4</v>
      </c>
      <c r="AN3751" s="477">
        <v>40.575887872798191</v>
      </c>
      <c r="AO3751" s="473">
        <v>0.10583384294852349</v>
      </c>
      <c r="AP3751" s="474">
        <v>1.4822369444673954E-4</v>
      </c>
      <c r="AQ3751" s="352"/>
      <c r="AR3751" s="352"/>
      <c r="AS3751" s="352"/>
      <c r="AT3751" s="352"/>
      <c r="AU3751" s="352"/>
      <c r="AV3751" s="352"/>
      <c r="AW3751" s="352" t="s">
        <v>254</v>
      </c>
    </row>
    <row r="3752" spans="2:49" x14ac:dyDescent="0.2">
      <c r="B3752" s="460" t="s">
        <v>3475</v>
      </c>
      <c r="C3752" s="460">
        <v>7000</v>
      </c>
      <c r="D3752" s="460" t="s">
        <v>2281</v>
      </c>
      <c r="E3752" s="460" t="s">
        <v>2271</v>
      </c>
      <c r="F3752" s="460">
        <v>2</v>
      </c>
      <c r="G3752" s="460">
        <v>1</v>
      </c>
      <c r="H3752" s="461" t="s">
        <v>712</v>
      </c>
      <c r="I3752" s="461" t="s">
        <v>713</v>
      </c>
      <c r="J3752" s="461" t="s">
        <v>712</v>
      </c>
      <c r="K3752" s="594"/>
      <c r="L3752" s="594"/>
      <c r="M3752" s="352">
        <v>7000</v>
      </c>
      <c r="N3752" s="352" t="s">
        <v>1891</v>
      </c>
      <c r="O3752" s="460">
        <v>5211</v>
      </c>
      <c r="P3752" s="460" t="s">
        <v>786</v>
      </c>
      <c r="Q3752" s="460" t="s">
        <v>2280</v>
      </c>
      <c r="R3752" s="460">
        <v>5211</v>
      </c>
      <c r="S3752" s="460" t="s">
        <v>2265</v>
      </c>
      <c r="T3752" s="462">
        <v>1</v>
      </c>
      <c r="U3752" s="460" t="s">
        <v>2271</v>
      </c>
      <c r="V3752" s="475">
        <v>0</v>
      </c>
      <c r="W3752" s="463" t="s">
        <v>713</v>
      </c>
      <c r="X3752" s="463" t="s">
        <v>713</v>
      </c>
      <c r="Y3752" s="463" t="s">
        <v>713</v>
      </c>
      <c r="Z3752" s="463"/>
      <c r="AA3752" s="463"/>
      <c r="AB3752" s="464">
        <v>6.8246741035522378</v>
      </c>
      <c r="AC3752" s="465">
        <v>3.288182334720046E-2</v>
      </c>
      <c r="AD3752" s="465">
        <v>2.8499297174293185E-5</v>
      </c>
      <c r="AE3752" s="476">
        <v>6.8246741035522387</v>
      </c>
      <c r="AF3752" s="467">
        <v>3.2881823347200467E-2</v>
      </c>
      <c r="AG3752" s="468">
        <v>2.7777497595998485E-5</v>
      </c>
      <c r="AH3752" s="218">
        <v>6.8246741035522387</v>
      </c>
      <c r="AI3752" s="470">
        <v>3.2881823347200467E-2</v>
      </c>
      <c r="AJ3752" s="471">
        <v>2.9319792884638484E-5</v>
      </c>
      <c r="AK3752" s="218">
        <v>6.8246741035522387</v>
      </c>
      <c r="AL3752" s="470">
        <v>3.2881823347200467E-2</v>
      </c>
      <c r="AM3752" s="471">
        <v>2.9319792884638484E-5</v>
      </c>
      <c r="AN3752" s="477">
        <v>6.8246741035522387</v>
      </c>
      <c r="AO3752" s="473">
        <v>3.2881823347200467E-2</v>
      </c>
      <c r="AP3752" s="474">
        <v>2.9309497743525273E-5</v>
      </c>
      <c r="AQ3752" s="352"/>
      <c r="AR3752" s="352"/>
      <c r="AS3752" s="352"/>
      <c r="AT3752" s="352"/>
      <c r="AU3752" s="352"/>
      <c r="AV3752" s="352"/>
      <c r="AW3752" s="352" t="s">
        <v>254</v>
      </c>
    </row>
    <row r="3753" spans="2:49" x14ac:dyDescent="0.2">
      <c r="B3753" s="460" t="s">
        <v>3476</v>
      </c>
      <c r="C3753" s="460">
        <v>7000</v>
      </c>
      <c r="D3753" s="460" t="s">
        <v>2282</v>
      </c>
      <c r="E3753" s="460" t="s">
        <v>2274</v>
      </c>
      <c r="F3753" s="460">
        <v>3</v>
      </c>
      <c r="G3753" s="460">
        <v>1</v>
      </c>
      <c r="H3753" s="461" t="s">
        <v>712</v>
      </c>
      <c r="I3753" s="461" t="s">
        <v>713</v>
      </c>
      <c r="J3753" s="461" t="s">
        <v>712</v>
      </c>
      <c r="K3753" s="594"/>
      <c r="L3753" s="594"/>
      <c r="M3753" s="352">
        <v>7000</v>
      </c>
      <c r="N3753" s="352" t="s">
        <v>1891</v>
      </c>
      <c r="O3753" s="460">
        <v>5211</v>
      </c>
      <c r="P3753" s="460" t="s">
        <v>786</v>
      </c>
      <c r="Q3753" s="460" t="s">
        <v>2280</v>
      </c>
      <c r="R3753" s="460">
        <v>5211</v>
      </c>
      <c r="S3753" s="460" t="s">
        <v>2265</v>
      </c>
      <c r="T3753" s="462">
        <v>0.74223365950407583</v>
      </c>
      <c r="U3753" s="460" t="s">
        <v>2274</v>
      </c>
      <c r="V3753" s="475">
        <v>0</v>
      </c>
      <c r="W3753" s="463" t="s">
        <v>713</v>
      </c>
      <c r="X3753" s="463" t="s">
        <v>713</v>
      </c>
      <c r="Y3753" s="463" t="s">
        <v>713</v>
      </c>
      <c r="Z3753" s="463"/>
      <c r="AA3753" s="463"/>
      <c r="AB3753" s="464">
        <v>0</v>
      </c>
      <c r="AC3753" s="465">
        <v>0</v>
      </c>
      <c r="AD3753" s="465">
        <v>0</v>
      </c>
      <c r="AE3753" s="476">
        <v>0</v>
      </c>
      <c r="AF3753" s="467">
        <v>0</v>
      </c>
      <c r="AG3753" s="468">
        <v>0</v>
      </c>
      <c r="AH3753" s="218">
        <v>0</v>
      </c>
      <c r="AI3753" s="470">
        <v>0</v>
      </c>
      <c r="AJ3753" s="471">
        <v>0</v>
      </c>
      <c r="AK3753" s="218">
        <v>0</v>
      </c>
      <c r="AL3753" s="470">
        <v>0</v>
      </c>
      <c r="AM3753" s="471">
        <v>0</v>
      </c>
      <c r="AN3753" s="477">
        <v>0</v>
      </c>
      <c r="AO3753" s="473">
        <v>0</v>
      </c>
      <c r="AP3753" s="474">
        <v>0</v>
      </c>
      <c r="AQ3753" s="352"/>
      <c r="AR3753" s="352"/>
      <c r="AS3753" s="352"/>
      <c r="AT3753" s="352"/>
      <c r="AU3753" s="352"/>
      <c r="AV3753" s="352"/>
      <c r="AW3753" s="352" t="s">
        <v>254</v>
      </c>
    </row>
    <row r="3754" spans="2:49" x14ac:dyDescent="0.2">
      <c r="B3754" s="460" t="s">
        <v>3477</v>
      </c>
      <c r="C3754" s="460">
        <v>7000</v>
      </c>
      <c r="D3754" s="460" t="s">
        <v>2283</v>
      </c>
      <c r="E3754" s="460" t="s">
        <v>2277</v>
      </c>
      <c r="F3754" s="460">
        <v>4</v>
      </c>
      <c r="G3754" s="460">
        <v>1</v>
      </c>
      <c r="H3754" s="461" t="s">
        <v>712</v>
      </c>
      <c r="I3754" s="461" t="s">
        <v>713</v>
      </c>
      <c r="J3754" s="461" t="s">
        <v>712</v>
      </c>
      <c r="K3754" s="594"/>
      <c r="L3754" s="594"/>
      <c r="M3754" s="352">
        <v>7000</v>
      </c>
      <c r="N3754" s="352" t="s">
        <v>1891</v>
      </c>
      <c r="O3754" s="460">
        <v>5211</v>
      </c>
      <c r="P3754" s="460" t="s">
        <v>786</v>
      </c>
      <c r="Q3754" s="460" t="s">
        <v>2280</v>
      </c>
      <c r="R3754" s="460">
        <v>5211</v>
      </c>
      <c r="S3754" s="460" t="s">
        <v>2277</v>
      </c>
      <c r="T3754" s="462">
        <v>1</v>
      </c>
      <c r="U3754" s="460" t="s">
        <v>2277</v>
      </c>
      <c r="V3754" s="475">
        <v>0</v>
      </c>
      <c r="W3754" s="463" t="s">
        <v>713</v>
      </c>
      <c r="X3754" s="463" t="s">
        <v>713</v>
      </c>
      <c r="Y3754" s="463" t="s">
        <v>713</v>
      </c>
      <c r="Z3754" s="463"/>
      <c r="AA3754" s="463"/>
      <c r="AB3754" s="464">
        <v>0</v>
      </c>
      <c r="AC3754" s="465">
        <v>0</v>
      </c>
      <c r="AD3754" s="465">
        <v>0</v>
      </c>
      <c r="AE3754" s="476">
        <v>0</v>
      </c>
      <c r="AF3754" s="467">
        <v>0</v>
      </c>
      <c r="AG3754" s="468">
        <v>0</v>
      </c>
      <c r="AH3754" s="218">
        <v>0</v>
      </c>
      <c r="AI3754" s="470">
        <v>0</v>
      </c>
      <c r="AJ3754" s="471">
        <v>0</v>
      </c>
      <c r="AK3754" s="218">
        <v>0</v>
      </c>
      <c r="AL3754" s="470">
        <v>0</v>
      </c>
      <c r="AM3754" s="471">
        <v>0</v>
      </c>
      <c r="AN3754" s="477">
        <v>0</v>
      </c>
      <c r="AO3754" s="473">
        <v>0</v>
      </c>
      <c r="AP3754" s="474">
        <v>0</v>
      </c>
      <c r="AQ3754" s="352"/>
      <c r="AR3754" s="352"/>
      <c r="AS3754" s="352"/>
      <c r="AT3754" s="352"/>
      <c r="AU3754" s="352"/>
      <c r="AV3754" s="352"/>
      <c r="AW3754" s="352" t="s">
        <v>254</v>
      </c>
    </row>
    <row r="3755" spans="2:49" x14ac:dyDescent="0.2">
      <c r="B3755" s="460" t="s">
        <v>3474</v>
      </c>
      <c r="C3755" s="460">
        <v>7000</v>
      </c>
      <c r="D3755" s="460" t="s">
        <v>2284</v>
      </c>
      <c r="E3755" s="460" t="s">
        <v>2265</v>
      </c>
      <c r="F3755" s="460">
        <v>1</v>
      </c>
      <c r="G3755" s="460">
        <v>1</v>
      </c>
      <c r="H3755" s="461" t="s">
        <v>746</v>
      </c>
      <c r="I3755" s="461" t="s">
        <v>762</v>
      </c>
      <c r="J3755" s="461" t="s">
        <v>700</v>
      </c>
      <c r="K3755" s="594"/>
      <c r="L3755" s="594"/>
      <c r="M3755" s="352">
        <v>7000</v>
      </c>
      <c r="N3755" s="352" t="s">
        <v>1891</v>
      </c>
      <c r="O3755" s="460">
        <v>5211</v>
      </c>
      <c r="P3755" s="460" t="s">
        <v>786</v>
      </c>
      <c r="Q3755" s="460" t="s">
        <v>2553</v>
      </c>
      <c r="R3755" s="460">
        <v>5211</v>
      </c>
      <c r="S3755" s="460" t="s">
        <v>2265</v>
      </c>
      <c r="T3755" s="462">
        <v>1</v>
      </c>
      <c r="U3755" s="460" t="s">
        <v>2265</v>
      </c>
      <c r="V3755" s="475">
        <v>0</v>
      </c>
      <c r="W3755" s="463" t="s">
        <v>2268</v>
      </c>
      <c r="X3755" s="463" t="s">
        <v>2268</v>
      </c>
      <c r="Y3755" s="463" t="s">
        <v>2554</v>
      </c>
      <c r="Z3755" s="463"/>
      <c r="AA3755" s="463"/>
      <c r="AB3755" s="464">
        <v>0</v>
      </c>
      <c r="AC3755" s="465">
        <v>0</v>
      </c>
      <c r="AD3755" s="465">
        <v>0</v>
      </c>
      <c r="AE3755" s="476">
        <v>0</v>
      </c>
      <c r="AF3755" s="467">
        <v>0</v>
      </c>
      <c r="AG3755" s="468">
        <v>0</v>
      </c>
      <c r="AH3755" s="218">
        <v>0</v>
      </c>
      <c r="AI3755" s="470">
        <v>0</v>
      </c>
      <c r="AJ3755" s="471">
        <v>0</v>
      </c>
      <c r="AK3755" s="218">
        <v>0</v>
      </c>
      <c r="AL3755" s="470">
        <v>0</v>
      </c>
      <c r="AM3755" s="471">
        <v>0</v>
      </c>
      <c r="AN3755" s="477">
        <v>0</v>
      </c>
      <c r="AO3755" s="473">
        <v>0</v>
      </c>
      <c r="AP3755" s="474">
        <v>0</v>
      </c>
      <c r="AQ3755" s="352"/>
      <c r="AR3755" s="352"/>
      <c r="AS3755" s="352"/>
      <c r="AT3755" s="352"/>
      <c r="AU3755" s="352"/>
      <c r="AV3755" s="352"/>
      <c r="AW3755" s="352" t="s">
        <v>254</v>
      </c>
    </row>
    <row r="3756" spans="2:49" x14ac:dyDescent="0.2">
      <c r="B3756" s="460" t="s">
        <v>3475</v>
      </c>
      <c r="C3756" s="460">
        <v>7000</v>
      </c>
      <c r="D3756" s="460" t="s">
        <v>2285</v>
      </c>
      <c r="E3756" s="460" t="s">
        <v>2271</v>
      </c>
      <c r="F3756" s="460">
        <v>2</v>
      </c>
      <c r="G3756" s="460">
        <v>1</v>
      </c>
      <c r="H3756" s="461" t="s">
        <v>746</v>
      </c>
      <c r="I3756" s="461" t="s">
        <v>762</v>
      </c>
      <c r="J3756" s="461" t="s">
        <v>700</v>
      </c>
      <c r="K3756" s="594"/>
      <c r="L3756" s="594"/>
      <c r="M3756" s="352">
        <v>7000</v>
      </c>
      <c r="N3756" s="352" t="s">
        <v>1891</v>
      </c>
      <c r="O3756" s="460">
        <v>5211</v>
      </c>
      <c r="P3756" s="460" t="s">
        <v>786</v>
      </c>
      <c r="Q3756" s="460" t="s">
        <v>2553</v>
      </c>
      <c r="R3756" s="460">
        <v>5211</v>
      </c>
      <c r="S3756" s="460" t="s">
        <v>2265</v>
      </c>
      <c r="T3756" s="462">
        <v>1</v>
      </c>
      <c r="U3756" s="460" t="s">
        <v>2271</v>
      </c>
      <c r="V3756" s="475">
        <v>0</v>
      </c>
      <c r="W3756" s="463" t="s">
        <v>2268</v>
      </c>
      <c r="X3756" s="463" t="s">
        <v>2268</v>
      </c>
      <c r="Y3756" s="463" t="s">
        <v>2554</v>
      </c>
      <c r="Z3756" s="463"/>
      <c r="AA3756" s="463"/>
      <c r="AB3756" s="464">
        <v>0</v>
      </c>
      <c r="AC3756" s="465">
        <v>0</v>
      </c>
      <c r="AD3756" s="465">
        <v>0</v>
      </c>
      <c r="AE3756" s="476">
        <v>0</v>
      </c>
      <c r="AF3756" s="467">
        <v>0</v>
      </c>
      <c r="AG3756" s="468">
        <v>0</v>
      </c>
      <c r="AH3756" s="218">
        <v>0</v>
      </c>
      <c r="AI3756" s="470">
        <v>0</v>
      </c>
      <c r="AJ3756" s="471">
        <v>0</v>
      </c>
      <c r="AK3756" s="218">
        <v>0</v>
      </c>
      <c r="AL3756" s="470">
        <v>0</v>
      </c>
      <c r="AM3756" s="471">
        <v>0</v>
      </c>
      <c r="AN3756" s="477">
        <v>0</v>
      </c>
      <c r="AO3756" s="473">
        <v>0</v>
      </c>
      <c r="AP3756" s="474">
        <v>0</v>
      </c>
      <c r="AQ3756" s="352"/>
      <c r="AR3756" s="352"/>
      <c r="AS3756" s="352"/>
      <c r="AT3756" s="352"/>
      <c r="AU3756" s="352"/>
      <c r="AV3756" s="352"/>
      <c r="AW3756" s="352" t="s">
        <v>254</v>
      </c>
    </row>
    <row r="3757" spans="2:49" x14ac:dyDescent="0.2">
      <c r="B3757" s="460" t="s">
        <v>3476</v>
      </c>
      <c r="C3757" s="460">
        <v>7000</v>
      </c>
      <c r="D3757" s="460" t="s">
        <v>2286</v>
      </c>
      <c r="E3757" s="460" t="s">
        <v>2274</v>
      </c>
      <c r="F3757" s="460">
        <v>3</v>
      </c>
      <c r="G3757" s="460">
        <v>1</v>
      </c>
      <c r="H3757" s="461" t="s">
        <v>746</v>
      </c>
      <c r="I3757" s="461" t="s">
        <v>762</v>
      </c>
      <c r="J3757" s="461" t="s">
        <v>700</v>
      </c>
      <c r="K3757" s="594"/>
      <c r="L3757" s="594"/>
      <c r="M3757" s="352">
        <v>7000</v>
      </c>
      <c r="N3757" s="352" t="s">
        <v>1891</v>
      </c>
      <c r="O3757" s="460">
        <v>5211</v>
      </c>
      <c r="P3757" s="460" t="s">
        <v>786</v>
      </c>
      <c r="Q3757" s="460" t="s">
        <v>2553</v>
      </c>
      <c r="R3757" s="460">
        <v>5211</v>
      </c>
      <c r="S3757" s="460" t="s">
        <v>2265</v>
      </c>
      <c r="T3757" s="462">
        <v>0.74223365950407583</v>
      </c>
      <c r="U3757" s="460" t="s">
        <v>2274</v>
      </c>
      <c r="V3757" s="475">
        <v>0</v>
      </c>
      <c r="W3757" s="463" t="s">
        <v>2268</v>
      </c>
      <c r="X3757" s="463" t="s">
        <v>2268</v>
      </c>
      <c r="Y3757" s="463" t="s">
        <v>2554</v>
      </c>
      <c r="Z3757" s="463"/>
      <c r="AA3757" s="463"/>
      <c r="AB3757" s="464">
        <v>0</v>
      </c>
      <c r="AC3757" s="465">
        <v>0</v>
      </c>
      <c r="AD3757" s="465">
        <v>0</v>
      </c>
      <c r="AE3757" s="476">
        <v>0</v>
      </c>
      <c r="AF3757" s="467">
        <v>0</v>
      </c>
      <c r="AG3757" s="468">
        <v>0</v>
      </c>
      <c r="AH3757" s="218">
        <v>0</v>
      </c>
      <c r="AI3757" s="470">
        <v>0</v>
      </c>
      <c r="AJ3757" s="471">
        <v>0</v>
      </c>
      <c r="AK3757" s="218">
        <v>0</v>
      </c>
      <c r="AL3757" s="470">
        <v>0</v>
      </c>
      <c r="AM3757" s="471">
        <v>0</v>
      </c>
      <c r="AN3757" s="477">
        <v>0</v>
      </c>
      <c r="AO3757" s="473">
        <v>0</v>
      </c>
      <c r="AP3757" s="474">
        <v>0</v>
      </c>
      <c r="AQ3757" s="352"/>
      <c r="AR3757" s="352"/>
      <c r="AS3757" s="352"/>
      <c r="AT3757" s="352"/>
      <c r="AU3757" s="352"/>
      <c r="AV3757" s="352"/>
      <c r="AW3757" s="352" t="s">
        <v>254</v>
      </c>
    </row>
    <row r="3758" spans="2:49" x14ac:dyDescent="0.2">
      <c r="B3758" s="460" t="s">
        <v>3477</v>
      </c>
      <c r="C3758" s="460">
        <v>7000</v>
      </c>
      <c r="D3758" s="460" t="s">
        <v>2287</v>
      </c>
      <c r="E3758" s="460" t="s">
        <v>2277</v>
      </c>
      <c r="F3758" s="460">
        <v>4</v>
      </c>
      <c r="G3758" s="460">
        <v>1</v>
      </c>
      <c r="H3758" s="461" t="s">
        <v>746</v>
      </c>
      <c r="I3758" s="461" t="s">
        <v>762</v>
      </c>
      <c r="J3758" s="461" t="s">
        <v>700</v>
      </c>
      <c r="K3758" s="594"/>
      <c r="L3758" s="594"/>
      <c r="M3758" s="352">
        <v>7000</v>
      </c>
      <c r="N3758" s="352" t="s">
        <v>1891</v>
      </c>
      <c r="O3758" s="460">
        <v>5211</v>
      </c>
      <c r="P3758" s="460" t="s">
        <v>786</v>
      </c>
      <c r="Q3758" s="460" t="s">
        <v>2553</v>
      </c>
      <c r="R3758" s="460">
        <v>5211</v>
      </c>
      <c r="S3758" s="460" t="s">
        <v>2277</v>
      </c>
      <c r="T3758" s="462">
        <v>1</v>
      </c>
      <c r="U3758" s="460" t="s">
        <v>2277</v>
      </c>
      <c r="V3758" s="475">
        <v>0</v>
      </c>
      <c r="W3758" s="463" t="s">
        <v>2268</v>
      </c>
      <c r="X3758" s="463" t="s">
        <v>2268</v>
      </c>
      <c r="Y3758" s="463" t="s">
        <v>2554</v>
      </c>
      <c r="Z3758" s="463"/>
      <c r="AA3758" s="463"/>
      <c r="AB3758" s="464">
        <v>0</v>
      </c>
      <c r="AC3758" s="465">
        <v>0</v>
      </c>
      <c r="AD3758" s="465">
        <v>0</v>
      </c>
      <c r="AE3758" s="476">
        <v>0</v>
      </c>
      <c r="AF3758" s="467">
        <v>0</v>
      </c>
      <c r="AG3758" s="468">
        <v>0</v>
      </c>
      <c r="AH3758" s="218">
        <v>0</v>
      </c>
      <c r="AI3758" s="470">
        <v>0</v>
      </c>
      <c r="AJ3758" s="471">
        <v>0</v>
      </c>
      <c r="AK3758" s="218">
        <v>0</v>
      </c>
      <c r="AL3758" s="470">
        <v>0</v>
      </c>
      <c r="AM3758" s="471">
        <v>0</v>
      </c>
      <c r="AN3758" s="477">
        <v>0</v>
      </c>
      <c r="AO3758" s="473">
        <v>0</v>
      </c>
      <c r="AP3758" s="474">
        <v>0</v>
      </c>
      <c r="AQ3758" s="352"/>
      <c r="AR3758" s="352"/>
      <c r="AS3758" s="352"/>
      <c r="AT3758" s="352"/>
      <c r="AU3758" s="352"/>
      <c r="AV3758" s="352"/>
      <c r="AW3758" s="352" t="s">
        <v>254</v>
      </c>
    </row>
    <row r="3759" spans="2:49" x14ac:dyDescent="0.2">
      <c r="B3759" s="460" t="s">
        <v>3474</v>
      </c>
      <c r="C3759" s="460">
        <v>7000</v>
      </c>
      <c r="D3759" s="460" t="s">
        <v>2288</v>
      </c>
      <c r="E3759" s="460" t="s">
        <v>2265</v>
      </c>
      <c r="F3759" s="460">
        <v>1</v>
      </c>
      <c r="G3759" s="460">
        <v>1</v>
      </c>
      <c r="H3759" s="461" t="s">
        <v>748</v>
      </c>
      <c r="I3759" s="461" t="s">
        <v>765</v>
      </c>
      <c r="J3759" s="461" t="s">
        <v>700</v>
      </c>
      <c r="K3759" s="594"/>
      <c r="L3759" s="594"/>
      <c r="M3759" s="352">
        <v>7000</v>
      </c>
      <c r="N3759" s="352" t="s">
        <v>1891</v>
      </c>
      <c r="O3759" s="460">
        <v>5211</v>
      </c>
      <c r="P3759" s="460" t="s">
        <v>786</v>
      </c>
      <c r="Q3759" s="460" t="s">
        <v>2553</v>
      </c>
      <c r="R3759" s="460">
        <v>5211</v>
      </c>
      <c r="S3759" s="460" t="s">
        <v>2265</v>
      </c>
      <c r="T3759" s="462">
        <v>1</v>
      </c>
      <c r="U3759" s="460" t="s">
        <v>2265</v>
      </c>
      <c r="V3759" s="475">
        <v>0</v>
      </c>
      <c r="W3759" s="463" t="s">
        <v>2268</v>
      </c>
      <c r="X3759" s="463" t="s">
        <v>2268</v>
      </c>
      <c r="Y3759" s="463" t="s">
        <v>2554</v>
      </c>
      <c r="Z3759" s="463"/>
      <c r="AA3759" s="463"/>
      <c r="AB3759" s="464">
        <v>0</v>
      </c>
      <c r="AC3759" s="465">
        <v>0</v>
      </c>
      <c r="AD3759" s="465">
        <v>0</v>
      </c>
      <c r="AE3759" s="476">
        <v>0</v>
      </c>
      <c r="AF3759" s="467">
        <v>0</v>
      </c>
      <c r="AG3759" s="468">
        <v>0</v>
      </c>
      <c r="AH3759" s="218">
        <v>0</v>
      </c>
      <c r="AI3759" s="470">
        <v>0</v>
      </c>
      <c r="AJ3759" s="471">
        <v>0</v>
      </c>
      <c r="AK3759" s="218">
        <v>0</v>
      </c>
      <c r="AL3759" s="470">
        <v>0</v>
      </c>
      <c r="AM3759" s="471">
        <v>0</v>
      </c>
      <c r="AN3759" s="477">
        <v>0</v>
      </c>
      <c r="AO3759" s="473">
        <v>0</v>
      </c>
      <c r="AP3759" s="474">
        <v>0</v>
      </c>
      <c r="AQ3759" s="352"/>
      <c r="AR3759" s="352"/>
      <c r="AS3759" s="352"/>
      <c r="AT3759" s="352"/>
      <c r="AU3759" s="352"/>
      <c r="AV3759" s="352"/>
      <c r="AW3759" s="352" t="s">
        <v>254</v>
      </c>
    </row>
    <row r="3760" spans="2:49" x14ac:dyDescent="0.2">
      <c r="B3760" s="460" t="s">
        <v>3475</v>
      </c>
      <c r="C3760" s="460">
        <v>7000</v>
      </c>
      <c r="D3760" s="460" t="s">
        <v>2291</v>
      </c>
      <c r="E3760" s="460" t="s">
        <v>2271</v>
      </c>
      <c r="F3760" s="460">
        <v>2</v>
      </c>
      <c r="G3760" s="460">
        <v>1</v>
      </c>
      <c r="H3760" s="461" t="s">
        <v>748</v>
      </c>
      <c r="I3760" s="461" t="s">
        <v>765</v>
      </c>
      <c r="J3760" s="461" t="s">
        <v>700</v>
      </c>
      <c r="K3760" s="594"/>
      <c r="L3760" s="594"/>
      <c r="M3760" s="352">
        <v>7000</v>
      </c>
      <c r="N3760" s="352" t="s">
        <v>1891</v>
      </c>
      <c r="O3760" s="460">
        <v>5211</v>
      </c>
      <c r="P3760" s="460" t="s">
        <v>786</v>
      </c>
      <c r="Q3760" s="460" t="s">
        <v>2553</v>
      </c>
      <c r="R3760" s="460">
        <v>5211</v>
      </c>
      <c r="S3760" s="460" t="s">
        <v>2265</v>
      </c>
      <c r="T3760" s="462">
        <v>1</v>
      </c>
      <c r="U3760" s="460" t="s">
        <v>2271</v>
      </c>
      <c r="V3760" s="475">
        <v>0</v>
      </c>
      <c r="W3760" s="463" t="s">
        <v>2268</v>
      </c>
      <c r="X3760" s="463" t="s">
        <v>2268</v>
      </c>
      <c r="Y3760" s="463" t="s">
        <v>2554</v>
      </c>
      <c r="Z3760" s="463"/>
      <c r="AA3760" s="463"/>
      <c r="AB3760" s="464">
        <v>0</v>
      </c>
      <c r="AC3760" s="465">
        <v>0</v>
      </c>
      <c r="AD3760" s="465">
        <v>0</v>
      </c>
      <c r="AE3760" s="476">
        <v>0</v>
      </c>
      <c r="AF3760" s="467">
        <v>0</v>
      </c>
      <c r="AG3760" s="468">
        <v>0</v>
      </c>
      <c r="AH3760" s="218">
        <v>0</v>
      </c>
      <c r="AI3760" s="470">
        <v>0</v>
      </c>
      <c r="AJ3760" s="471">
        <v>0</v>
      </c>
      <c r="AK3760" s="218">
        <v>0</v>
      </c>
      <c r="AL3760" s="470">
        <v>0</v>
      </c>
      <c r="AM3760" s="471">
        <v>0</v>
      </c>
      <c r="AN3760" s="477">
        <v>0</v>
      </c>
      <c r="AO3760" s="473">
        <v>0</v>
      </c>
      <c r="AP3760" s="474">
        <v>0</v>
      </c>
      <c r="AQ3760" s="352"/>
      <c r="AR3760" s="352"/>
      <c r="AS3760" s="352"/>
      <c r="AT3760" s="352"/>
      <c r="AU3760" s="352"/>
      <c r="AV3760" s="352"/>
      <c r="AW3760" s="352" t="s">
        <v>254</v>
      </c>
    </row>
    <row r="3761" spans="2:49" x14ac:dyDescent="0.2">
      <c r="B3761" s="460" t="s">
        <v>3476</v>
      </c>
      <c r="C3761" s="460">
        <v>7000</v>
      </c>
      <c r="D3761" s="460" t="s">
        <v>2292</v>
      </c>
      <c r="E3761" s="460" t="s">
        <v>2274</v>
      </c>
      <c r="F3761" s="460">
        <v>3</v>
      </c>
      <c r="G3761" s="460">
        <v>1</v>
      </c>
      <c r="H3761" s="461" t="s">
        <v>748</v>
      </c>
      <c r="I3761" s="461" t="s">
        <v>765</v>
      </c>
      <c r="J3761" s="461" t="s">
        <v>700</v>
      </c>
      <c r="K3761" s="594"/>
      <c r="L3761" s="594"/>
      <c r="M3761" s="352">
        <v>7000</v>
      </c>
      <c r="N3761" s="352" t="s">
        <v>1891</v>
      </c>
      <c r="O3761" s="460">
        <v>5211</v>
      </c>
      <c r="P3761" s="460" t="s">
        <v>786</v>
      </c>
      <c r="Q3761" s="460" t="s">
        <v>2553</v>
      </c>
      <c r="R3761" s="460">
        <v>5211</v>
      </c>
      <c r="S3761" s="460" t="s">
        <v>2265</v>
      </c>
      <c r="T3761" s="462">
        <v>0.74223365950407583</v>
      </c>
      <c r="U3761" s="460" t="s">
        <v>2274</v>
      </c>
      <c r="V3761" s="475">
        <v>0</v>
      </c>
      <c r="W3761" s="463" t="s">
        <v>2268</v>
      </c>
      <c r="X3761" s="463" t="s">
        <v>2268</v>
      </c>
      <c r="Y3761" s="463" t="s">
        <v>2554</v>
      </c>
      <c r="Z3761" s="463"/>
      <c r="AA3761" s="463"/>
      <c r="AB3761" s="464">
        <v>0</v>
      </c>
      <c r="AC3761" s="465">
        <v>0</v>
      </c>
      <c r="AD3761" s="465">
        <v>0</v>
      </c>
      <c r="AE3761" s="476">
        <v>0</v>
      </c>
      <c r="AF3761" s="467">
        <v>0</v>
      </c>
      <c r="AG3761" s="468">
        <v>0</v>
      </c>
      <c r="AH3761" s="218">
        <v>0</v>
      </c>
      <c r="AI3761" s="470">
        <v>0</v>
      </c>
      <c r="AJ3761" s="471">
        <v>0</v>
      </c>
      <c r="AK3761" s="218">
        <v>0</v>
      </c>
      <c r="AL3761" s="470">
        <v>0</v>
      </c>
      <c r="AM3761" s="471">
        <v>0</v>
      </c>
      <c r="AN3761" s="477">
        <v>0</v>
      </c>
      <c r="AO3761" s="473">
        <v>0</v>
      </c>
      <c r="AP3761" s="474">
        <v>0</v>
      </c>
      <c r="AQ3761" s="352"/>
      <c r="AR3761" s="352"/>
      <c r="AS3761" s="352"/>
      <c r="AT3761" s="352"/>
      <c r="AU3761" s="352"/>
      <c r="AV3761" s="352"/>
      <c r="AW3761" s="352" t="s">
        <v>254</v>
      </c>
    </row>
    <row r="3762" spans="2:49" x14ac:dyDescent="0.2">
      <c r="B3762" s="460" t="s">
        <v>3477</v>
      </c>
      <c r="C3762" s="460">
        <v>7000</v>
      </c>
      <c r="D3762" s="460" t="s">
        <v>2293</v>
      </c>
      <c r="E3762" s="460" t="s">
        <v>2277</v>
      </c>
      <c r="F3762" s="460">
        <v>4</v>
      </c>
      <c r="G3762" s="460">
        <v>1</v>
      </c>
      <c r="H3762" s="461" t="s">
        <v>748</v>
      </c>
      <c r="I3762" s="461" t="s">
        <v>765</v>
      </c>
      <c r="J3762" s="461" t="s">
        <v>700</v>
      </c>
      <c r="K3762" s="594"/>
      <c r="L3762" s="594"/>
      <c r="M3762" s="352">
        <v>7000</v>
      </c>
      <c r="N3762" s="352" t="s">
        <v>1891</v>
      </c>
      <c r="O3762" s="460">
        <v>5211</v>
      </c>
      <c r="P3762" s="460" t="s">
        <v>786</v>
      </c>
      <c r="Q3762" s="460" t="s">
        <v>2553</v>
      </c>
      <c r="R3762" s="460">
        <v>5211</v>
      </c>
      <c r="S3762" s="460" t="s">
        <v>2277</v>
      </c>
      <c r="T3762" s="462">
        <v>1</v>
      </c>
      <c r="U3762" s="460" t="s">
        <v>2277</v>
      </c>
      <c r="V3762" s="475">
        <v>0</v>
      </c>
      <c r="W3762" s="463" t="s">
        <v>2268</v>
      </c>
      <c r="X3762" s="463" t="s">
        <v>2268</v>
      </c>
      <c r="Y3762" s="463" t="s">
        <v>2554</v>
      </c>
      <c r="Z3762" s="463"/>
      <c r="AA3762" s="463"/>
      <c r="AB3762" s="464">
        <v>0</v>
      </c>
      <c r="AC3762" s="465">
        <v>0</v>
      </c>
      <c r="AD3762" s="465">
        <v>0</v>
      </c>
      <c r="AE3762" s="476">
        <v>0</v>
      </c>
      <c r="AF3762" s="467">
        <v>0</v>
      </c>
      <c r="AG3762" s="468">
        <v>0</v>
      </c>
      <c r="AH3762" s="218">
        <v>0</v>
      </c>
      <c r="AI3762" s="470">
        <v>0</v>
      </c>
      <c r="AJ3762" s="471">
        <v>0</v>
      </c>
      <c r="AK3762" s="218">
        <v>0</v>
      </c>
      <c r="AL3762" s="470">
        <v>0</v>
      </c>
      <c r="AM3762" s="471">
        <v>0</v>
      </c>
      <c r="AN3762" s="477">
        <v>0</v>
      </c>
      <c r="AO3762" s="473">
        <v>0</v>
      </c>
      <c r="AP3762" s="474">
        <v>0</v>
      </c>
      <c r="AQ3762" s="352"/>
      <c r="AR3762" s="352"/>
      <c r="AS3762" s="352"/>
      <c r="AT3762" s="352"/>
      <c r="AU3762" s="352"/>
      <c r="AV3762" s="352"/>
      <c r="AW3762" s="352" t="s">
        <v>254</v>
      </c>
    </row>
    <row r="3763" spans="2:49" x14ac:dyDescent="0.2">
      <c r="B3763" s="460" t="s">
        <v>3474</v>
      </c>
      <c r="C3763" s="460">
        <v>7000</v>
      </c>
      <c r="D3763" s="460" t="s">
        <v>3446</v>
      </c>
      <c r="E3763" s="460" t="s">
        <v>2265</v>
      </c>
      <c r="F3763" s="460">
        <v>1</v>
      </c>
      <c r="G3763" s="460">
        <v>1</v>
      </c>
      <c r="H3763" s="461" t="s">
        <v>754</v>
      </c>
      <c r="I3763" s="461" t="s">
        <v>1991</v>
      </c>
      <c r="J3763" s="461" t="s">
        <v>754</v>
      </c>
      <c r="K3763" s="594"/>
      <c r="L3763" s="594"/>
      <c r="M3763" s="352">
        <v>7000</v>
      </c>
      <c r="N3763" s="352" t="s">
        <v>1891</v>
      </c>
      <c r="O3763" s="460">
        <v>5211</v>
      </c>
      <c r="P3763" s="460" t="s">
        <v>786</v>
      </c>
      <c r="Q3763" s="460" t="s">
        <v>3478</v>
      </c>
      <c r="R3763" s="460">
        <v>5211</v>
      </c>
      <c r="S3763" s="460" t="s">
        <v>2265</v>
      </c>
      <c r="T3763" s="462">
        <v>1</v>
      </c>
      <c r="U3763" s="460" t="s">
        <v>2265</v>
      </c>
      <c r="V3763" s="475">
        <v>0</v>
      </c>
      <c r="W3763" s="463" t="s">
        <v>2278</v>
      </c>
      <c r="X3763" s="463" t="s">
        <v>2278</v>
      </c>
      <c r="Y3763" s="463" t="s">
        <v>2278</v>
      </c>
      <c r="Z3763" s="463"/>
      <c r="AA3763" s="463"/>
      <c r="AB3763" s="464">
        <v>342.81648211355758</v>
      </c>
      <c r="AC3763" s="465">
        <v>0.89416615705147651</v>
      </c>
      <c r="AD3763" s="465">
        <v>0.9975926293243409</v>
      </c>
      <c r="AE3763" s="476">
        <v>342.81648211355758</v>
      </c>
      <c r="AF3763" s="467">
        <v>0.89416615705147651</v>
      </c>
      <c r="AG3763" s="468">
        <v>0.9975926293243409</v>
      </c>
      <c r="AH3763" s="218">
        <v>342.81648211355758</v>
      </c>
      <c r="AI3763" s="470">
        <v>0.89416615705147651</v>
      </c>
      <c r="AJ3763" s="471">
        <v>0.9975926293243409</v>
      </c>
      <c r="AK3763" s="218">
        <v>342.81648211355758</v>
      </c>
      <c r="AL3763" s="470">
        <v>0.89416615705147651</v>
      </c>
      <c r="AM3763" s="471">
        <v>0.9975926293243409</v>
      </c>
      <c r="AN3763" s="477">
        <v>342.81648211355758</v>
      </c>
      <c r="AO3763" s="473">
        <v>0.89416615705147651</v>
      </c>
      <c r="AP3763" s="474">
        <v>0.9975926293243409</v>
      </c>
      <c r="AQ3763" s="352"/>
      <c r="AR3763" s="352"/>
      <c r="AS3763" s="352"/>
      <c r="AT3763" s="352"/>
      <c r="AU3763" s="352"/>
      <c r="AV3763" s="352"/>
      <c r="AW3763" s="352" t="s">
        <v>127</v>
      </c>
    </row>
    <row r="3764" spans="2:49" x14ac:dyDescent="0.2">
      <c r="B3764" s="460" t="s">
        <v>3475</v>
      </c>
      <c r="C3764" s="460">
        <v>7000</v>
      </c>
      <c r="D3764" s="460" t="s">
        <v>3447</v>
      </c>
      <c r="E3764" s="460" t="s">
        <v>2271</v>
      </c>
      <c r="F3764" s="460">
        <v>2</v>
      </c>
      <c r="G3764" s="460">
        <v>1</v>
      </c>
      <c r="H3764" s="461" t="s">
        <v>754</v>
      </c>
      <c r="I3764" s="461" t="s">
        <v>1991</v>
      </c>
      <c r="J3764" s="461" t="s">
        <v>754</v>
      </c>
      <c r="K3764" s="594"/>
      <c r="L3764" s="594"/>
      <c r="M3764" s="352">
        <v>7000</v>
      </c>
      <c r="N3764" s="352" t="s">
        <v>1891</v>
      </c>
      <c r="O3764" s="460">
        <v>5211</v>
      </c>
      <c r="P3764" s="460" t="s">
        <v>786</v>
      </c>
      <c r="Q3764" s="460" t="s">
        <v>3478</v>
      </c>
      <c r="R3764" s="460">
        <v>5211</v>
      </c>
      <c r="S3764" s="460" t="s">
        <v>2265</v>
      </c>
      <c r="T3764" s="462">
        <v>1</v>
      </c>
      <c r="U3764" s="460" t="s">
        <v>2271</v>
      </c>
      <c r="V3764" s="475">
        <v>0</v>
      </c>
      <c r="W3764" s="463" t="s">
        <v>2278</v>
      </c>
      <c r="X3764" s="463" t="s">
        <v>2278</v>
      </c>
      <c r="Y3764" s="463" t="s">
        <v>2278</v>
      </c>
      <c r="Z3764" s="463"/>
      <c r="AA3764" s="463"/>
      <c r="AB3764" s="464">
        <v>200.7268972156607</v>
      </c>
      <c r="AC3764" s="465">
        <v>0.96711817665279953</v>
      </c>
      <c r="AD3764" s="465">
        <v>0.63515682993712952</v>
      </c>
      <c r="AE3764" s="476">
        <v>200.7268972156607</v>
      </c>
      <c r="AF3764" s="467">
        <v>0.96711817665279953</v>
      </c>
      <c r="AG3764" s="468">
        <v>0.63515682993712952</v>
      </c>
      <c r="AH3764" s="218">
        <v>200.7268972156607</v>
      </c>
      <c r="AI3764" s="470">
        <v>0.96711817665279953</v>
      </c>
      <c r="AJ3764" s="471">
        <v>0.63515682993712952</v>
      </c>
      <c r="AK3764" s="218">
        <v>200.7268972156607</v>
      </c>
      <c r="AL3764" s="470">
        <v>0.96711817665279953</v>
      </c>
      <c r="AM3764" s="471">
        <v>0.63515682993712952</v>
      </c>
      <c r="AN3764" s="477">
        <v>200.7268972156607</v>
      </c>
      <c r="AO3764" s="473">
        <v>0.96711817665279953</v>
      </c>
      <c r="AP3764" s="474">
        <v>0.63515682993712952</v>
      </c>
      <c r="AQ3764" s="352"/>
      <c r="AR3764" s="352"/>
      <c r="AS3764" s="352"/>
      <c r="AT3764" s="352"/>
      <c r="AU3764" s="352"/>
      <c r="AV3764" s="352"/>
      <c r="AW3764" s="352" t="s">
        <v>127</v>
      </c>
    </row>
    <row r="3765" spans="2:49" x14ac:dyDescent="0.2">
      <c r="B3765" s="460" t="s">
        <v>3476</v>
      </c>
      <c r="C3765" s="460">
        <v>7000</v>
      </c>
      <c r="D3765" s="460" t="s">
        <v>3448</v>
      </c>
      <c r="E3765" s="460" t="s">
        <v>2274</v>
      </c>
      <c r="F3765" s="460">
        <v>3</v>
      </c>
      <c r="G3765" s="460">
        <v>1</v>
      </c>
      <c r="H3765" s="461" t="s">
        <v>754</v>
      </c>
      <c r="I3765" s="461" t="s">
        <v>1991</v>
      </c>
      <c r="J3765" s="461" t="s">
        <v>754</v>
      </c>
      <c r="K3765" s="594"/>
      <c r="L3765" s="594"/>
      <c r="M3765" s="352">
        <v>7000</v>
      </c>
      <c r="N3765" s="352" t="s">
        <v>1891</v>
      </c>
      <c r="O3765" s="460">
        <v>5211</v>
      </c>
      <c r="P3765" s="460" t="s">
        <v>786</v>
      </c>
      <c r="Q3765" s="460" t="s">
        <v>3478</v>
      </c>
      <c r="R3765" s="460">
        <v>5211</v>
      </c>
      <c r="S3765" s="460" t="s">
        <v>2265</v>
      </c>
      <c r="T3765" s="462">
        <v>0.74223365950407583</v>
      </c>
      <c r="U3765" s="460" t="s">
        <v>2274</v>
      </c>
      <c r="V3765" s="475">
        <v>0</v>
      </c>
      <c r="W3765" s="463" t="s">
        <v>2278</v>
      </c>
      <c r="X3765" s="463" t="s">
        <v>2278</v>
      </c>
      <c r="Y3765" s="463" t="s">
        <v>2278</v>
      </c>
      <c r="Z3765" s="463"/>
      <c r="AA3765" s="463"/>
      <c r="AB3765" s="464">
        <v>13.431035037276155</v>
      </c>
      <c r="AC3765" s="465">
        <v>1</v>
      </c>
      <c r="AD3765" s="465">
        <v>0.97107871356470954</v>
      </c>
      <c r="AE3765" s="476">
        <v>13.431035037276155</v>
      </c>
      <c r="AF3765" s="467">
        <v>1</v>
      </c>
      <c r="AG3765" s="468">
        <v>0.97107871356470954</v>
      </c>
      <c r="AH3765" s="218">
        <v>13.431035037276155</v>
      </c>
      <c r="AI3765" s="470">
        <v>1</v>
      </c>
      <c r="AJ3765" s="471">
        <v>0.97107871356470954</v>
      </c>
      <c r="AK3765" s="218">
        <v>13.431035037276155</v>
      </c>
      <c r="AL3765" s="470">
        <v>1</v>
      </c>
      <c r="AM3765" s="471">
        <v>0.97107871356470954</v>
      </c>
      <c r="AN3765" s="477">
        <v>13.431035037276155</v>
      </c>
      <c r="AO3765" s="473">
        <v>1</v>
      </c>
      <c r="AP3765" s="474">
        <v>0.97107871356470954</v>
      </c>
      <c r="AQ3765" s="352"/>
      <c r="AR3765" s="352"/>
      <c r="AS3765" s="352"/>
      <c r="AT3765" s="352"/>
      <c r="AU3765" s="352"/>
      <c r="AV3765" s="352"/>
      <c r="AW3765" s="352" t="s">
        <v>127</v>
      </c>
    </row>
    <row r="3766" spans="2:49" x14ac:dyDescent="0.2">
      <c r="B3766" s="460" t="s">
        <v>3477</v>
      </c>
      <c r="C3766" s="460">
        <v>7000</v>
      </c>
      <c r="D3766" s="460" t="s">
        <v>3449</v>
      </c>
      <c r="E3766" s="460" t="s">
        <v>2277</v>
      </c>
      <c r="F3766" s="460">
        <v>4</v>
      </c>
      <c r="G3766" s="460">
        <v>1</v>
      </c>
      <c r="H3766" s="461" t="s">
        <v>754</v>
      </c>
      <c r="I3766" s="461" t="s">
        <v>1991</v>
      </c>
      <c r="J3766" s="461" t="s">
        <v>754</v>
      </c>
      <c r="K3766" s="594"/>
      <c r="L3766" s="594"/>
      <c r="M3766" s="352">
        <v>7000</v>
      </c>
      <c r="N3766" s="352" t="s">
        <v>1891</v>
      </c>
      <c r="O3766" s="460">
        <v>5211</v>
      </c>
      <c r="P3766" s="460" t="s">
        <v>786</v>
      </c>
      <c r="Q3766" s="460" t="s">
        <v>3478</v>
      </c>
      <c r="R3766" s="460">
        <v>5211</v>
      </c>
      <c r="S3766" s="460" t="s">
        <v>2277</v>
      </c>
      <c r="T3766" s="462">
        <v>1</v>
      </c>
      <c r="U3766" s="460" t="s">
        <v>2277</v>
      </c>
      <c r="V3766" s="475">
        <v>0</v>
      </c>
      <c r="W3766" s="463" t="s">
        <v>2278</v>
      </c>
      <c r="X3766" s="463" t="s">
        <v>2278</v>
      </c>
      <c r="Y3766" s="463" t="s">
        <v>2278</v>
      </c>
      <c r="Z3766" s="463"/>
      <c r="AA3766" s="463"/>
      <c r="AB3766" s="464">
        <v>4.5597862916416387</v>
      </c>
      <c r="AC3766" s="465">
        <v>1</v>
      </c>
      <c r="AD3766" s="465">
        <v>0.71744172214362256</v>
      </c>
      <c r="AE3766" s="476">
        <v>4.5597862916416387</v>
      </c>
      <c r="AF3766" s="467">
        <v>1</v>
      </c>
      <c r="AG3766" s="468">
        <v>0.71744172214362256</v>
      </c>
      <c r="AH3766" s="218">
        <v>4.5597862916416387</v>
      </c>
      <c r="AI3766" s="470">
        <v>1</v>
      </c>
      <c r="AJ3766" s="471">
        <v>0.71744172214362256</v>
      </c>
      <c r="AK3766" s="218">
        <v>4.5597862916416387</v>
      </c>
      <c r="AL3766" s="470">
        <v>1</v>
      </c>
      <c r="AM3766" s="471">
        <v>0.71744172214362256</v>
      </c>
      <c r="AN3766" s="477">
        <v>4.5597862916416387</v>
      </c>
      <c r="AO3766" s="473">
        <v>1</v>
      </c>
      <c r="AP3766" s="474">
        <v>0.71744172214362256</v>
      </c>
      <c r="AQ3766" s="352"/>
      <c r="AR3766" s="352"/>
      <c r="AS3766" s="352"/>
      <c r="AT3766" s="352"/>
      <c r="AU3766" s="352"/>
      <c r="AV3766" s="352"/>
      <c r="AW3766" s="352" t="s">
        <v>127</v>
      </c>
    </row>
    <row r="3767" spans="2:49" x14ac:dyDescent="0.2">
      <c r="B3767" s="460" t="s">
        <v>3479</v>
      </c>
      <c r="C3767" s="460">
        <v>7000</v>
      </c>
      <c r="D3767" s="460" t="s">
        <v>2295</v>
      </c>
      <c r="E3767" s="460" t="s">
        <v>2296</v>
      </c>
      <c r="F3767" s="460">
        <v>1</v>
      </c>
      <c r="G3767" s="460">
        <v>2</v>
      </c>
      <c r="H3767" s="461" t="s">
        <v>700</v>
      </c>
      <c r="I3767" s="461" t="s">
        <v>872</v>
      </c>
      <c r="J3767" s="461" t="s">
        <v>700</v>
      </c>
      <c r="K3767" s="594"/>
      <c r="L3767" s="594"/>
      <c r="M3767" s="352">
        <v>7000</v>
      </c>
      <c r="N3767" s="352" t="s">
        <v>1891</v>
      </c>
      <c r="O3767" s="460">
        <v>5211</v>
      </c>
      <c r="P3767" s="460" t="s">
        <v>786</v>
      </c>
      <c r="Q3767" s="460" t="s">
        <v>2553</v>
      </c>
      <c r="R3767" s="460">
        <v>5211</v>
      </c>
      <c r="S3767" s="460" t="s">
        <v>2296</v>
      </c>
      <c r="T3767" s="462">
        <v>1</v>
      </c>
      <c r="U3767" s="460" t="s">
        <v>2296</v>
      </c>
      <c r="V3767" s="475">
        <v>0</v>
      </c>
      <c r="W3767" s="463" t="s">
        <v>2554</v>
      </c>
      <c r="X3767" s="463" t="s">
        <v>2554</v>
      </c>
      <c r="Y3767" s="463" t="s">
        <v>2268</v>
      </c>
      <c r="Z3767" s="463"/>
      <c r="AA3767" s="463"/>
      <c r="AB3767" s="464">
        <v>0</v>
      </c>
      <c r="AC3767" s="465">
        <v>0</v>
      </c>
      <c r="AD3767" s="465">
        <v>0</v>
      </c>
      <c r="AE3767" s="476">
        <v>0</v>
      </c>
      <c r="AF3767" s="467">
        <v>0</v>
      </c>
      <c r="AG3767" s="468">
        <v>0</v>
      </c>
      <c r="AH3767" s="218">
        <v>0</v>
      </c>
      <c r="AI3767" s="470">
        <v>0</v>
      </c>
      <c r="AJ3767" s="471">
        <v>0</v>
      </c>
      <c r="AK3767" s="218">
        <v>0</v>
      </c>
      <c r="AL3767" s="470">
        <v>0</v>
      </c>
      <c r="AM3767" s="471">
        <v>0</v>
      </c>
      <c r="AN3767" s="477">
        <v>0</v>
      </c>
      <c r="AO3767" s="473">
        <v>0</v>
      </c>
      <c r="AP3767" s="474">
        <v>0</v>
      </c>
      <c r="AQ3767" s="352"/>
      <c r="AR3767" s="352"/>
      <c r="AS3767" s="352"/>
      <c r="AT3767" s="352"/>
      <c r="AU3767" s="352"/>
      <c r="AV3767" s="352"/>
      <c r="AW3767" s="352" t="s">
        <v>254</v>
      </c>
    </row>
    <row r="3768" spans="2:49" x14ac:dyDescent="0.2">
      <c r="B3768" s="460" t="s">
        <v>3480</v>
      </c>
      <c r="C3768" s="460">
        <v>7000</v>
      </c>
      <c r="D3768" s="460" t="s">
        <v>2298</v>
      </c>
      <c r="E3768" s="460" t="s">
        <v>2299</v>
      </c>
      <c r="F3768" s="460">
        <v>2</v>
      </c>
      <c r="G3768" s="460">
        <v>2</v>
      </c>
      <c r="H3768" s="461" t="s">
        <v>700</v>
      </c>
      <c r="I3768" s="461" t="s">
        <v>872</v>
      </c>
      <c r="J3768" s="461" t="s">
        <v>700</v>
      </c>
      <c r="K3768" s="594"/>
      <c r="L3768" s="594"/>
      <c r="M3768" s="352">
        <v>7000</v>
      </c>
      <c r="N3768" s="352" t="s">
        <v>1891</v>
      </c>
      <c r="O3768" s="460">
        <v>5211</v>
      </c>
      <c r="P3768" s="460" t="s">
        <v>786</v>
      </c>
      <c r="Q3768" s="460" t="s">
        <v>2553</v>
      </c>
      <c r="R3768" s="460">
        <v>5211</v>
      </c>
      <c r="S3768" s="460" t="s">
        <v>2296</v>
      </c>
      <c r="T3768" s="462">
        <v>0.55517361979372948</v>
      </c>
      <c r="U3768" s="460" t="s">
        <v>2299</v>
      </c>
      <c r="V3768" s="475">
        <v>0</v>
      </c>
      <c r="W3768" s="463" t="s">
        <v>2554</v>
      </c>
      <c r="X3768" s="463" t="s">
        <v>2554</v>
      </c>
      <c r="Y3768" s="463" t="s">
        <v>2268</v>
      </c>
      <c r="Z3768" s="463"/>
      <c r="AA3768" s="463"/>
      <c r="AB3768" s="464">
        <v>0</v>
      </c>
      <c r="AC3768" s="465">
        <v>0</v>
      </c>
      <c r="AD3768" s="465">
        <v>0</v>
      </c>
      <c r="AE3768" s="476">
        <v>0</v>
      </c>
      <c r="AF3768" s="467">
        <v>0</v>
      </c>
      <c r="AG3768" s="468">
        <v>0</v>
      </c>
      <c r="AH3768" s="218">
        <v>0</v>
      </c>
      <c r="AI3768" s="470">
        <v>0</v>
      </c>
      <c r="AJ3768" s="471">
        <v>0</v>
      </c>
      <c r="AK3768" s="218">
        <v>0</v>
      </c>
      <c r="AL3768" s="470">
        <v>0</v>
      </c>
      <c r="AM3768" s="471">
        <v>0</v>
      </c>
      <c r="AN3768" s="477">
        <v>0</v>
      </c>
      <c r="AO3768" s="473">
        <v>0</v>
      </c>
      <c r="AP3768" s="474">
        <v>0</v>
      </c>
      <c r="AQ3768" s="352"/>
      <c r="AR3768" s="352"/>
      <c r="AS3768" s="352"/>
      <c r="AT3768" s="352"/>
      <c r="AU3768" s="352"/>
      <c r="AV3768" s="352"/>
      <c r="AW3768" s="352" t="s">
        <v>254</v>
      </c>
    </row>
    <row r="3769" spans="2:49" x14ac:dyDescent="0.2">
      <c r="B3769" s="460" t="s">
        <v>3481</v>
      </c>
      <c r="C3769" s="460">
        <v>7000</v>
      </c>
      <c r="D3769" s="460" t="s">
        <v>2301</v>
      </c>
      <c r="E3769" s="460" t="s">
        <v>2302</v>
      </c>
      <c r="F3769" s="460">
        <v>3</v>
      </c>
      <c r="G3769" s="460">
        <v>2</v>
      </c>
      <c r="H3769" s="461" t="s">
        <v>700</v>
      </c>
      <c r="I3769" s="461" t="s">
        <v>872</v>
      </c>
      <c r="J3769" s="461" t="s">
        <v>700</v>
      </c>
      <c r="K3769" s="594"/>
      <c r="L3769" s="594"/>
      <c r="M3769" s="352">
        <v>7000</v>
      </c>
      <c r="N3769" s="352" t="s">
        <v>1891</v>
      </c>
      <c r="O3769" s="460">
        <v>5211</v>
      </c>
      <c r="P3769" s="460" t="s">
        <v>786</v>
      </c>
      <c r="Q3769" s="460" t="s">
        <v>2553</v>
      </c>
      <c r="R3769" s="460">
        <v>5211</v>
      </c>
      <c r="S3769" s="460" t="s">
        <v>2296</v>
      </c>
      <c r="T3769" s="462">
        <v>0.28481449642268464</v>
      </c>
      <c r="U3769" s="460" t="s">
        <v>2302</v>
      </c>
      <c r="V3769" s="475">
        <v>0</v>
      </c>
      <c r="W3769" s="463" t="s">
        <v>2554</v>
      </c>
      <c r="X3769" s="463" t="s">
        <v>2554</v>
      </c>
      <c r="Y3769" s="463" t="s">
        <v>2268</v>
      </c>
      <c r="Z3769" s="463"/>
      <c r="AA3769" s="463"/>
      <c r="AB3769" s="464">
        <v>0</v>
      </c>
      <c r="AC3769" s="465">
        <v>0</v>
      </c>
      <c r="AD3769" s="465">
        <v>0</v>
      </c>
      <c r="AE3769" s="476">
        <v>0</v>
      </c>
      <c r="AF3769" s="467">
        <v>0</v>
      </c>
      <c r="AG3769" s="468">
        <v>0</v>
      </c>
      <c r="AH3769" s="218">
        <v>0</v>
      </c>
      <c r="AI3769" s="470">
        <v>0</v>
      </c>
      <c r="AJ3769" s="471">
        <v>0</v>
      </c>
      <c r="AK3769" s="218">
        <v>0</v>
      </c>
      <c r="AL3769" s="470">
        <v>0</v>
      </c>
      <c r="AM3769" s="471">
        <v>0</v>
      </c>
      <c r="AN3769" s="477">
        <v>0</v>
      </c>
      <c r="AO3769" s="473">
        <v>0</v>
      </c>
      <c r="AP3769" s="474">
        <v>0</v>
      </c>
      <c r="AQ3769" s="352"/>
      <c r="AR3769" s="352"/>
      <c r="AS3769" s="352"/>
      <c r="AT3769" s="352"/>
      <c r="AU3769" s="352"/>
      <c r="AV3769" s="352"/>
      <c r="AW3769" s="352" t="s">
        <v>254</v>
      </c>
    </row>
    <row r="3770" spans="2:49" x14ac:dyDescent="0.2">
      <c r="B3770" s="460" t="s">
        <v>3482</v>
      </c>
      <c r="C3770" s="460">
        <v>7000</v>
      </c>
      <c r="D3770" s="460" t="s">
        <v>2304</v>
      </c>
      <c r="E3770" s="460" t="s">
        <v>2305</v>
      </c>
      <c r="F3770" s="460">
        <v>4</v>
      </c>
      <c r="G3770" s="460">
        <v>2</v>
      </c>
      <c r="H3770" s="461" t="s">
        <v>700</v>
      </c>
      <c r="I3770" s="461" t="s">
        <v>872</v>
      </c>
      <c r="J3770" s="461" t="s">
        <v>700</v>
      </c>
      <c r="K3770" s="594"/>
      <c r="L3770" s="594"/>
      <c r="M3770" s="352">
        <v>7000</v>
      </c>
      <c r="N3770" s="352" t="s">
        <v>1891</v>
      </c>
      <c r="O3770" s="460">
        <v>5211</v>
      </c>
      <c r="P3770" s="460" t="s">
        <v>786</v>
      </c>
      <c r="Q3770" s="460" t="s">
        <v>2553</v>
      </c>
      <c r="R3770" s="460">
        <v>5211</v>
      </c>
      <c r="S3770" s="460" t="s">
        <v>2305</v>
      </c>
      <c r="T3770" s="462">
        <v>1</v>
      </c>
      <c r="U3770" s="460" t="s">
        <v>2305</v>
      </c>
      <c r="V3770" s="475">
        <v>0</v>
      </c>
      <c r="W3770" s="463" t="s">
        <v>2554</v>
      </c>
      <c r="X3770" s="463" t="s">
        <v>2554</v>
      </c>
      <c r="Y3770" s="463" t="s">
        <v>2268</v>
      </c>
      <c r="Z3770" s="463"/>
      <c r="AA3770" s="463"/>
      <c r="AB3770" s="464">
        <v>0</v>
      </c>
      <c r="AC3770" s="465">
        <v>0</v>
      </c>
      <c r="AD3770" s="465">
        <v>0</v>
      </c>
      <c r="AE3770" s="476">
        <v>0</v>
      </c>
      <c r="AF3770" s="467">
        <v>0</v>
      </c>
      <c r="AG3770" s="468">
        <v>0</v>
      </c>
      <c r="AH3770" s="218">
        <v>0</v>
      </c>
      <c r="AI3770" s="470">
        <v>0</v>
      </c>
      <c r="AJ3770" s="471">
        <v>0</v>
      </c>
      <c r="AK3770" s="218">
        <v>0</v>
      </c>
      <c r="AL3770" s="470">
        <v>0</v>
      </c>
      <c r="AM3770" s="471">
        <v>0</v>
      </c>
      <c r="AN3770" s="477">
        <v>0</v>
      </c>
      <c r="AO3770" s="473">
        <v>0</v>
      </c>
      <c r="AP3770" s="474">
        <v>0</v>
      </c>
      <c r="AQ3770" s="352"/>
      <c r="AR3770" s="352"/>
      <c r="AS3770" s="352"/>
      <c r="AT3770" s="352"/>
      <c r="AU3770" s="352"/>
      <c r="AV3770" s="352"/>
      <c r="AW3770" s="352" t="s">
        <v>254</v>
      </c>
    </row>
    <row r="3771" spans="2:49" x14ac:dyDescent="0.2">
      <c r="B3771" s="460" t="s">
        <v>3479</v>
      </c>
      <c r="C3771" s="460">
        <v>7000</v>
      </c>
      <c r="D3771" s="460" t="s">
        <v>2306</v>
      </c>
      <c r="E3771" s="460" t="s">
        <v>2296</v>
      </c>
      <c r="F3771" s="460">
        <v>1</v>
      </c>
      <c r="G3771" s="460">
        <v>2</v>
      </c>
      <c r="H3771" s="461" t="s">
        <v>712</v>
      </c>
      <c r="I3771" s="461" t="s">
        <v>713</v>
      </c>
      <c r="J3771" s="461" t="s">
        <v>712</v>
      </c>
      <c r="K3771" s="594"/>
      <c r="L3771" s="594"/>
      <c r="M3771" s="352">
        <v>7000</v>
      </c>
      <c r="N3771" s="352" t="s">
        <v>1891</v>
      </c>
      <c r="O3771" s="460">
        <v>5211</v>
      </c>
      <c r="P3771" s="460" t="s">
        <v>786</v>
      </c>
      <c r="Q3771" s="460" t="s">
        <v>2280</v>
      </c>
      <c r="R3771" s="460">
        <v>5211</v>
      </c>
      <c r="S3771" s="460" t="s">
        <v>2296</v>
      </c>
      <c r="T3771" s="462">
        <v>1</v>
      </c>
      <c r="U3771" s="460" t="s">
        <v>2296</v>
      </c>
      <c r="V3771" s="475">
        <v>0</v>
      </c>
      <c r="W3771" s="463" t="s">
        <v>713</v>
      </c>
      <c r="X3771" s="463" t="s">
        <v>713</v>
      </c>
      <c r="Y3771" s="463" t="s">
        <v>713</v>
      </c>
      <c r="Z3771" s="463"/>
      <c r="AA3771" s="463"/>
      <c r="AB3771" s="464">
        <v>3.8987379737588106</v>
      </c>
      <c r="AC3771" s="465">
        <v>0.82752579411831195</v>
      </c>
      <c r="AD3771" s="465">
        <v>3.3720094590342817E-5</v>
      </c>
      <c r="AE3771" s="476">
        <v>3.8987379737588106</v>
      </c>
      <c r="AF3771" s="467">
        <v>0.82752579411831195</v>
      </c>
      <c r="AG3771" s="468">
        <v>3.3226365287668498E-5</v>
      </c>
      <c r="AH3771" s="218">
        <v>3.8987379737588106</v>
      </c>
      <c r="AI3771" s="470">
        <v>0.82752579411831195</v>
      </c>
      <c r="AJ3771" s="471">
        <v>3.3616662047400481E-5</v>
      </c>
      <c r="AK3771" s="218">
        <v>3.8987379737588106</v>
      </c>
      <c r="AL3771" s="470">
        <v>0.82752579411831195</v>
      </c>
      <c r="AM3771" s="471">
        <v>3.3616662047400481E-5</v>
      </c>
      <c r="AN3771" s="477">
        <v>3.8987379737588106</v>
      </c>
      <c r="AO3771" s="473">
        <v>0.82752579411831195</v>
      </c>
      <c r="AP3771" s="474">
        <v>3.3608412055760295E-5</v>
      </c>
      <c r="AQ3771" s="352"/>
      <c r="AR3771" s="352"/>
      <c r="AS3771" s="352"/>
      <c r="AT3771" s="352"/>
      <c r="AU3771" s="352"/>
      <c r="AV3771" s="352"/>
      <c r="AW3771" s="352" t="s">
        <v>254</v>
      </c>
    </row>
    <row r="3772" spans="2:49" x14ac:dyDescent="0.2">
      <c r="B3772" s="460" t="s">
        <v>3480</v>
      </c>
      <c r="C3772" s="460">
        <v>7000</v>
      </c>
      <c r="D3772" s="460" t="s">
        <v>2307</v>
      </c>
      <c r="E3772" s="460" t="s">
        <v>2299</v>
      </c>
      <c r="F3772" s="460">
        <v>2</v>
      </c>
      <c r="G3772" s="460">
        <v>2</v>
      </c>
      <c r="H3772" s="461" t="s">
        <v>712</v>
      </c>
      <c r="I3772" s="461" t="s">
        <v>713</v>
      </c>
      <c r="J3772" s="461" t="s">
        <v>712</v>
      </c>
      <c r="K3772" s="594"/>
      <c r="L3772" s="594"/>
      <c r="M3772" s="352">
        <v>7000</v>
      </c>
      <c r="N3772" s="352" t="s">
        <v>1891</v>
      </c>
      <c r="O3772" s="460">
        <v>5211</v>
      </c>
      <c r="P3772" s="460" t="s">
        <v>786</v>
      </c>
      <c r="Q3772" s="460" t="s">
        <v>2280</v>
      </c>
      <c r="R3772" s="460">
        <v>5211</v>
      </c>
      <c r="S3772" s="460" t="s">
        <v>2296</v>
      </c>
      <c r="T3772" s="462">
        <v>0.55517361979372948</v>
      </c>
      <c r="U3772" s="460" t="s">
        <v>2299</v>
      </c>
      <c r="V3772" s="475">
        <v>0</v>
      </c>
      <c r="W3772" s="463" t="s">
        <v>713</v>
      </c>
      <c r="X3772" s="463" t="s">
        <v>713</v>
      </c>
      <c r="Y3772" s="463" t="s">
        <v>713</v>
      </c>
      <c r="Z3772" s="463"/>
      <c r="AA3772" s="463"/>
      <c r="AB3772" s="464">
        <v>12.885314483712088</v>
      </c>
      <c r="AC3772" s="465">
        <v>1</v>
      </c>
      <c r="AD3772" s="465">
        <v>1.490412439657077E-4</v>
      </c>
      <c r="AE3772" s="476">
        <v>12.885314483712088</v>
      </c>
      <c r="AF3772" s="467">
        <v>1</v>
      </c>
      <c r="AG3772" s="468">
        <v>1.4842343616704959E-4</v>
      </c>
      <c r="AH3772" s="218">
        <v>12.885314483712088</v>
      </c>
      <c r="AI3772" s="470">
        <v>1</v>
      </c>
      <c r="AJ3772" s="471">
        <v>1.5096307226303949E-4</v>
      </c>
      <c r="AK3772" s="218">
        <v>12.885314483712088</v>
      </c>
      <c r="AL3772" s="470">
        <v>1</v>
      </c>
      <c r="AM3772" s="471">
        <v>1.5096307226303949E-4</v>
      </c>
      <c r="AN3772" s="477">
        <v>12.885314483712088</v>
      </c>
      <c r="AO3772" s="473">
        <v>1</v>
      </c>
      <c r="AP3772" s="474">
        <v>1.5094401548479075E-4</v>
      </c>
      <c r="AQ3772" s="352"/>
      <c r="AR3772" s="352"/>
      <c r="AS3772" s="352"/>
      <c r="AT3772" s="352"/>
      <c r="AU3772" s="352"/>
      <c r="AV3772" s="352"/>
      <c r="AW3772" s="352" t="s">
        <v>254</v>
      </c>
    </row>
    <row r="3773" spans="2:49" x14ac:dyDescent="0.2">
      <c r="B3773" s="460" t="s">
        <v>3481</v>
      </c>
      <c r="C3773" s="460">
        <v>7000</v>
      </c>
      <c r="D3773" s="460" t="s">
        <v>2308</v>
      </c>
      <c r="E3773" s="460" t="s">
        <v>2302</v>
      </c>
      <c r="F3773" s="460">
        <v>3</v>
      </c>
      <c r="G3773" s="460">
        <v>2</v>
      </c>
      <c r="H3773" s="461" t="s">
        <v>712</v>
      </c>
      <c r="I3773" s="461" t="s">
        <v>713</v>
      </c>
      <c r="J3773" s="461" t="s">
        <v>712</v>
      </c>
      <c r="K3773" s="594"/>
      <c r="L3773" s="594"/>
      <c r="M3773" s="352">
        <v>7000</v>
      </c>
      <c r="N3773" s="352" t="s">
        <v>1891</v>
      </c>
      <c r="O3773" s="460">
        <v>5211</v>
      </c>
      <c r="P3773" s="460" t="s">
        <v>786</v>
      </c>
      <c r="Q3773" s="460" t="s">
        <v>2280</v>
      </c>
      <c r="R3773" s="460">
        <v>5211</v>
      </c>
      <c r="S3773" s="460" t="s">
        <v>2296</v>
      </c>
      <c r="T3773" s="462">
        <v>0.28481449642268464</v>
      </c>
      <c r="U3773" s="460" t="s">
        <v>2302</v>
      </c>
      <c r="V3773" s="475">
        <v>0</v>
      </c>
      <c r="W3773" s="463" t="s">
        <v>713</v>
      </c>
      <c r="X3773" s="463" t="s">
        <v>713</v>
      </c>
      <c r="Y3773" s="463" t="s">
        <v>713</v>
      </c>
      <c r="Z3773" s="463"/>
      <c r="AA3773" s="463"/>
      <c r="AB3773" s="464">
        <v>0</v>
      </c>
      <c r="AC3773" s="465">
        <v>0</v>
      </c>
      <c r="AD3773" s="465">
        <v>0</v>
      </c>
      <c r="AE3773" s="476">
        <v>0</v>
      </c>
      <c r="AF3773" s="467">
        <v>0</v>
      </c>
      <c r="AG3773" s="468">
        <v>0</v>
      </c>
      <c r="AH3773" s="218">
        <v>0</v>
      </c>
      <c r="AI3773" s="470">
        <v>0</v>
      </c>
      <c r="AJ3773" s="471">
        <v>0</v>
      </c>
      <c r="AK3773" s="218">
        <v>0</v>
      </c>
      <c r="AL3773" s="470">
        <v>0</v>
      </c>
      <c r="AM3773" s="471">
        <v>0</v>
      </c>
      <c r="AN3773" s="477">
        <v>0</v>
      </c>
      <c r="AO3773" s="473">
        <v>0</v>
      </c>
      <c r="AP3773" s="474">
        <v>0</v>
      </c>
      <c r="AQ3773" s="352"/>
      <c r="AR3773" s="352"/>
      <c r="AS3773" s="352"/>
      <c r="AT3773" s="352"/>
      <c r="AU3773" s="352"/>
      <c r="AV3773" s="352"/>
      <c r="AW3773" s="352" t="s">
        <v>254</v>
      </c>
    </row>
    <row r="3774" spans="2:49" x14ac:dyDescent="0.2">
      <c r="B3774" s="460" t="s">
        <v>3482</v>
      </c>
      <c r="C3774" s="460">
        <v>7000</v>
      </c>
      <c r="D3774" s="460" t="s">
        <v>2309</v>
      </c>
      <c r="E3774" s="460" t="s">
        <v>2305</v>
      </c>
      <c r="F3774" s="460">
        <v>4</v>
      </c>
      <c r="G3774" s="460">
        <v>2</v>
      </c>
      <c r="H3774" s="461" t="s">
        <v>712</v>
      </c>
      <c r="I3774" s="461" t="s">
        <v>713</v>
      </c>
      <c r="J3774" s="461" t="s">
        <v>712</v>
      </c>
      <c r="K3774" s="594"/>
      <c r="L3774" s="594"/>
      <c r="M3774" s="352">
        <v>7000</v>
      </c>
      <c r="N3774" s="352" t="s">
        <v>1891</v>
      </c>
      <c r="O3774" s="460">
        <v>5211</v>
      </c>
      <c r="P3774" s="460" t="s">
        <v>786</v>
      </c>
      <c r="Q3774" s="460" t="s">
        <v>2280</v>
      </c>
      <c r="R3774" s="460">
        <v>5211</v>
      </c>
      <c r="S3774" s="460" t="s">
        <v>2305</v>
      </c>
      <c r="T3774" s="462">
        <v>1</v>
      </c>
      <c r="U3774" s="460" t="s">
        <v>2305</v>
      </c>
      <c r="V3774" s="475">
        <v>0</v>
      </c>
      <c r="W3774" s="463" t="s">
        <v>713</v>
      </c>
      <c r="X3774" s="463" t="s">
        <v>713</v>
      </c>
      <c r="Y3774" s="463" t="s">
        <v>713</v>
      </c>
      <c r="Z3774" s="463"/>
      <c r="AA3774" s="463"/>
      <c r="AB3774" s="464">
        <v>0</v>
      </c>
      <c r="AC3774" s="465">
        <v>0</v>
      </c>
      <c r="AD3774" s="465">
        <v>0</v>
      </c>
      <c r="AE3774" s="476">
        <v>0</v>
      </c>
      <c r="AF3774" s="467">
        <v>0</v>
      </c>
      <c r="AG3774" s="468">
        <v>0</v>
      </c>
      <c r="AH3774" s="218">
        <v>0</v>
      </c>
      <c r="AI3774" s="470">
        <v>0</v>
      </c>
      <c r="AJ3774" s="471">
        <v>0</v>
      </c>
      <c r="AK3774" s="218">
        <v>0</v>
      </c>
      <c r="AL3774" s="470">
        <v>0</v>
      </c>
      <c r="AM3774" s="471">
        <v>0</v>
      </c>
      <c r="AN3774" s="477">
        <v>0</v>
      </c>
      <c r="AO3774" s="473">
        <v>0</v>
      </c>
      <c r="AP3774" s="474">
        <v>0</v>
      </c>
      <c r="AQ3774" s="352"/>
      <c r="AR3774" s="352"/>
      <c r="AS3774" s="352"/>
      <c r="AT3774" s="352"/>
      <c r="AU3774" s="352"/>
      <c r="AV3774" s="352"/>
      <c r="AW3774" s="352" t="s">
        <v>254</v>
      </c>
    </row>
    <row r="3775" spans="2:49" x14ac:dyDescent="0.2">
      <c r="B3775" s="460" t="s">
        <v>3479</v>
      </c>
      <c r="C3775" s="460">
        <v>7000</v>
      </c>
      <c r="D3775" s="460" t="s">
        <v>2310</v>
      </c>
      <c r="E3775" s="460" t="s">
        <v>2296</v>
      </c>
      <c r="F3775" s="460">
        <v>1</v>
      </c>
      <c r="G3775" s="460">
        <v>2</v>
      </c>
      <c r="H3775" s="461" t="s">
        <v>746</v>
      </c>
      <c r="I3775" s="461" t="s">
        <v>762</v>
      </c>
      <c r="J3775" s="461" t="s">
        <v>700</v>
      </c>
      <c r="K3775" s="594"/>
      <c r="L3775" s="594"/>
      <c r="M3775" s="352">
        <v>7000</v>
      </c>
      <c r="N3775" s="352" t="s">
        <v>1891</v>
      </c>
      <c r="O3775" s="460">
        <v>5211</v>
      </c>
      <c r="P3775" s="460" t="s">
        <v>786</v>
      </c>
      <c r="Q3775" s="460" t="s">
        <v>2553</v>
      </c>
      <c r="R3775" s="460">
        <v>5211</v>
      </c>
      <c r="S3775" s="460" t="s">
        <v>2296</v>
      </c>
      <c r="T3775" s="462">
        <v>1</v>
      </c>
      <c r="U3775" s="460" t="s">
        <v>2296</v>
      </c>
      <c r="V3775" s="475">
        <v>0</v>
      </c>
      <c r="W3775" s="463" t="s">
        <v>2268</v>
      </c>
      <c r="X3775" s="463" t="s">
        <v>2268</v>
      </c>
      <c r="Y3775" s="463" t="s">
        <v>2554</v>
      </c>
      <c r="Z3775" s="463"/>
      <c r="AA3775" s="463"/>
      <c r="AB3775" s="464">
        <v>0</v>
      </c>
      <c r="AC3775" s="465">
        <v>0</v>
      </c>
      <c r="AD3775" s="465">
        <v>0</v>
      </c>
      <c r="AE3775" s="476">
        <v>0</v>
      </c>
      <c r="AF3775" s="467">
        <v>0</v>
      </c>
      <c r="AG3775" s="468">
        <v>0</v>
      </c>
      <c r="AH3775" s="218">
        <v>0</v>
      </c>
      <c r="AI3775" s="470">
        <v>0</v>
      </c>
      <c r="AJ3775" s="471">
        <v>0</v>
      </c>
      <c r="AK3775" s="218">
        <v>0</v>
      </c>
      <c r="AL3775" s="470">
        <v>0</v>
      </c>
      <c r="AM3775" s="471">
        <v>0</v>
      </c>
      <c r="AN3775" s="477">
        <v>0</v>
      </c>
      <c r="AO3775" s="473">
        <v>0</v>
      </c>
      <c r="AP3775" s="474">
        <v>0</v>
      </c>
      <c r="AQ3775" s="352"/>
      <c r="AR3775" s="352"/>
      <c r="AS3775" s="352"/>
      <c r="AT3775" s="352"/>
      <c r="AU3775" s="352"/>
      <c r="AV3775" s="352"/>
      <c r="AW3775" s="352" t="s">
        <v>254</v>
      </c>
    </row>
    <row r="3776" spans="2:49" x14ac:dyDescent="0.2">
      <c r="B3776" s="460" t="s">
        <v>3480</v>
      </c>
      <c r="C3776" s="460">
        <v>7000</v>
      </c>
      <c r="D3776" s="460" t="s">
        <v>2311</v>
      </c>
      <c r="E3776" s="460" t="s">
        <v>2299</v>
      </c>
      <c r="F3776" s="460">
        <v>2</v>
      </c>
      <c r="G3776" s="460">
        <v>2</v>
      </c>
      <c r="H3776" s="461" t="s">
        <v>746</v>
      </c>
      <c r="I3776" s="461" t="s">
        <v>762</v>
      </c>
      <c r="J3776" s="461" t="s">
        <v>700</v>
      </c>
      <c r="K3776" s="594"/>
      <c r="L3776" s="594"/>
      <c r="M3776" s="352">
        <v>7000</v>
      </c>
      <c r="N3776" s="352" t="s">
        <v>1891</v>
      </c>
      <c r="O3776" s="460">
        <v>5211</v>
      </c>
      <c r="P3776" s="460" t="s">
        <v>786</v>
      </c>
      <c r="Q3776" s="460" t="s">
        <v>2553</v>
      </c>
      <c r="R3776" s="460">
        <v>5211</v>
      </c>
      <c r="S3776" s="460" t="s">
        <v>2296</v>
      </c>
      <c r="T3776" s="462">
        <v>0.55517361979372948</v>
      </c>
      <c r="U3776" s="460" t="s">
        <v>2299</v>
      </c>
      <c r="V3776" s="475">
        <v>0</v>
      </c>
      <c r="W3776" s="463" t="s">
        <v>2268</v>
      </c>
      <c r="X3776" s="463" t="s">
        <v>2268</v>
      </c>
      <c r="Y3776" s="463" t="s">
        <v>2554</v>
      </c>
      <c r="Z3776" s="463"/>
      <c r="AA3776" s="463"/>
      <c r="AB3776" s="464">
        <v>0</v>
      </c>
      <c r="AC3776" s="465">
        <v>0</v>
      </c>
      <c r="AD3776" s="465">
        <v>0</v>
      </c>
      <c r="AE3776" s="476">
        <v>0</v>
      </c>
      <c r="AF3776" s="467">
        <v>0</v>
      </c>
      <c r="AG3776" s="468">
        <v>0</v>
      </c>
      <c r="AH3776" s="218">
        <v>0</v>
      </c>
      <c r="AI3776" s="470">
        <v>0</v>
      </c>
      <c r="AJ3776" s="471">
        <v>0</v>
      </c>
      <c r="AK3776" s="218">
        <v>0</v>
      </c>
      <c r="AL3776" s="470">
        <v>0</v>
      </c>
      <c r="AM3776" s="471">
        <v>0</v>
      </c>
      <c r="AN3776" s="477">
        <v>0</v>
      </c>
      <c r="AO3776" s="473">
        <v>0</v>
      </c>
      <c r="AP3776" s="474">
        <v>0</v>
      </c>
      <c r="AQ3776" s="352"/>
      <c r="AR3776" s="352"/>
      <c r="AS3776" s="352"/>
      <c r="AT3776" s="352"/>
      <c r="AU3776" s="352"/>
      <c r="AV3776" s="352"/>
      <c r="AW3776" s="352" t="s">
        <v>254</v>
      </c>
    </row>
    <row r="3777" spans="2:49" x14ac:dyDescent="0.2">
      <c r="B3777" s="460" t="s">
        <v>3481</v>
      </c>
      <c r="C3777" s="460">
        <v>7000</v>
      </c>
      <c r="D3777" s="460" t="s">
        <v>2312</v>
      </c>
      <c r="E3777" s="460" t="s">
        <v>2302</v>
      </c>
      <c r="F3777" s="460">
        <v>3</v>
      </c>
      <c r="G3777" s="460">
        <v>2</v>
      </c>
      <c r="H3777" s="461" t="s">
        <v>746</v>
      </c>
      <c r="I3777" s="461" t="s">
        <v>762</v>
      </c>
      <c r="J3777" s="461" t="s">
        <v>700</v>
      </c>
      <c r="K3777" s="594"/>
      <c r="L3777" s="594"/>
      <c r="M3777" s="352">
        <v>7000</v>
      </c>
      <c r="N3777" s="352" t="s">
        <v>1891</v>
      </c>
      <c r="O3777" s="460">
        <v>5211</v>
      </c>
      <c r="P3777" s="460" t="s">
        <v>786</v>
      </c>
      <c r="Q3777" s="460" t="s">
        <v>2553</v>
      </c>
      <c r="R3777" s="460">
        <v>5211</v>
      </c>
      <c r="S3777" s="460" t="s">
        <v>2296</v>
      </c>
      <c r="T3777" s="462">
        <v>0.28481449642268464</v>
      </c>
      <c r="U3777" s="460" t="s">
        <v>2302</v>
      </c>
      <c r="V3777" s="475">
        <v>0</v>
      </c>
      <c r="W3777" s="463" t="s">
        <v>2268</v>
      </c>
      <c r="X3777" s="463" t="s">
        <v>2268</v>
      </c>
      <c r="Y3777" s="463" t="s">
        <v>2554</v>
      </c>
      <c r="Z3777" s="463"/>
      <c r="AA3777" s="463"/>
      <c r="AB3777" s="464">
        <v>0</v>
      </c>
      <c r="AC3777" s="465">
        <v>0</v>
      </c>
      <c r="AD3777" s="465">
        <v>0</v>
      </c>
      <c r="AE3777" s="476">
        <v>0</v>
      </c>
      <c r="AF3777" s="467">
        <v>0</v>
      </c>
      <c r="AG3777" s="468">
        <v>0</v>
      </c>
      <c r="AH3777" s="218">
        <v>0</v>
      </c>
      <c r="AI3777" s="470">
        <v>0</v>
      </c>
      <c r="AJ3777" s="471">
        <v>0</v>
      </c>
      <c r="AK3777" s="218">
        <v>0</v>
      </c>
      <c r="AL3777" s="470">
        <v>0</v>
      </c>
      <c r="AM3777" s="471">
        <v>0</v>
      </c>
      <c r="AN3777" s="477">
        <v>0</v>
      </c>
      <c r="AO3777" s="473">
        <v>0</v>
      </c>
      <c r="AP3777" s="474">
        <v>0</v>
      </c>
      <c r="AQ3777" s="352"/>
      <c r="AR3777" s="352"/>
      <c r="AS3777" s="352"/>
      <c r="AT3777" s="352"/>
      <c r="AU3777" s="352"/>
      <c r="AV3777" s="352"/>
      <c r="AW3777" s="352" t="s">
        <v>254</v>
      </c>
    </row>
    <row r="3778" spans="2:49" x14ac:dyDescent="0.2">
      <c r="B3778" s="460" t="s">
        <v>3482</v>
      </c>
      <c r="C3778" s="460">
        <v>7000</v>
      </c>
      <c r="D3778" s="460" t="s">
        <v>2313</v>
      </c>
      <c r="E3778" s="460" t="s">
        <v>2305</v>
      </c>
      <c r="F3778" s="460">
        <v>4</v>
      </c>
      <c r="G3778" s="460">
        <v>2</v>
      </c>
      <c r="H3778" s="461" t="s">
        <v>746</v>
      </c>
      <c r="I3778" s="461" t="s">
        <v>762</v>
      </c>
      <c r="J3778" s="461" t="s">
        <v>700</v>
      </c>
      <c r="K3778" s="594"/>
      <c r="L3778" s="594"/>
      <c r="M3778" s="352">
        <v>7000</v>
      </c>
      <c r="N3778" s="352" t="s">
        <v>1891</v>
      </c>
      <c r="O3778" s="460">
        <v>5211</v>
      </c>
      <c r="P3778" s="460" t="s">
        <v>786</v>
      </c>
      <c r="Q3778" s="460" t="s">
        <v>2553</v>
      </c>
      <c r="R3778" s="460">
        <v>5211</v>
      </c>
      <c r="S3778" s="460" t="s">
        <v>2305</v>
      </c>
      <c r="T3778" s="462">
        <v>1</v>
      </c>
      <c r="U3778" s="460" t="s">
        <v>2305</v>
      </c>
      <c r="V3778" s="475">
        <v>0</v>
      </c>
      <c r="W3778" s="463" t="s">
        <v>2268</v>
      </c>
      <c r="X3778" s="463" t="s">
        <v>2268</v>
      </c>
      <c r="Y3778" s="463" t="s">
        <v>2554</v>
      </c>
      <c r="Z3778" s="463"/>
      <c r="AA3778" s="463"/>
      <c r="AB3778" s="464">
        <v>0</v>
      </c>
      <c r="AC3778" s="465">
        <v>0</v>
      </c>
      <c r="AD3778" s="465">
        <v>0</v>
      </c>
      <c r="AE3778" s="476">
        <v>0</v>
      </c>
      <c r="AF3778" s="467">
        <v>0</v>
      </c>
      <c r="AG3778" s="468">
        <v>0</v>
      </c>
      <c r="AH3778" s="218">
        <v>0</v>
      </c>
      <c r="AI3778" s="470">
        <v>0</v>
      </c>
      <c r="AJ3778" s="471">
        <v>0</v>
      </c>
      <c r="AK3778" s="218">
        <v>0</v>
      </c>
      <c r="AL3778" s="470">
        <v>0</v>
      </c>
      <c r="AM3778" s="471">
        <v>0</v>
      </c>
      <c r="AN3778" s="477">
        <v>0</v>
      </c>
      <c r="AO3778" s="473">
        <v>0</v>
      </c>
      <c r="AP3778" s="474">
        <v>0</v>
      </c>
      <c r="AQ3778" s="352"/>
      <c r="AR3778" s="352"/>
      <c r="AS3778" s="352"/>
      <c r="AT3778" s="352"/>
      <c r="AU3778" s="352"/>
      <c r="AV3778" s="352"/>
      <c r="AW3778" s="352" t="s">
        <v>254</v>
      </c>
    </row>
    <row r="3779" spans="2:49" x14ac:dyDescent="0.2">
      <c r="B3779" s="460" t="s">
        <v>3479</v>
      </c>
      <c r="C3779" s="460">
        <v>7000</v>
      </c>
      <c r="D3779" s="460" t="s">
        <v>2314</v>
      </c>
      <c r="E3779" s="460" t="s">
        <v>2296</v>
      </c>
      <c r="F3779" s="460">
        <v>1</v>
      </c>
      <c r="G3779" s="460">
        <v>2</v>
      </c>
      <c r="H3779" s="461" t="s">
        <v>748</v>
      </c>
      <c r="I3779" s="461" t="s">
        <v>765</v>
      </c>
      <c r="J3779" s="461" t="s">
        <v>700</v>
      </c>
      <c r="K3779" s="594"/>
      <c r="L3779" s="594"/>
      <c r="M3779" s="352">
        <v>7000</v>
      </c>
      <c r="N3779" s="352" t="s">
        <v>1891</v>
      </c>
      <c r="O3779" s="460">
        <v>5211</v>
      </c>
      <c r="P3779" s="460" t="s">
        <v>786</v>
      </c>
      <c r="Q3779" s="460" t="s">
        <v>2553</v>
      </c>
      <c r="R3779" s="460">
        <v>5211</v>
      </c>
      <c r="S3779" s="460" t="s">
        <v>2296</v>
      </c>
      <c r="T3779" s="462">
        <v>1</v>
      </c>
      <c r="U3779" s="460" t="s">
        <v>2296</v>
      </c>
      <c r="V3779" s="475">
        <v>0</v>
      </c>
      <c r="W3779" s="463" t="s">
        <v>2268</v>
      </c>
      <c r="X3779" s="463" t="s">
        <v>2268</v>
      </c>
      <c r="Y3779" s="463" t="s">
        <v>2554</v>
      </c>
      <c r="Z3779" s="463"/>
      <c r="AA3779" s="463"/>
      <c r="AB3779" s="464">
        <v>0</v>
      </c>
      <c r="AC3779" s="465">
        <v>0</v>
      </c>
      <c r="AD3779" s="465">
        <v>0</v>
      </c>
      <c r="AE3779" s="476">
        <v>0</v>
      </c>
      <c r="AF3779" s="467">
        <v>0</v>
      </c>
      <c r="AG3779" s="468">
        <v>0</v>
      </c>
      <c r="AH3779" s="218">
        <v>0</v>
      </c>
      <c r="AI3779" s="470">
        <v>0</v>
      </c>
      <c r="AJ3779" s="471">
        <v>0</v>
      </c>
      <c r="AK3779" s="218">
        <v>0</v>
      </c>
      <c r="AL3779" s="470">
        <v>0</v>
      </c>
      <c r="AM3779" s="471">
        <v>0</v>
      </c>
      <c r="AN3779" s="477">
        <v>0</v>
      </c>
      <c r="AO3779" s="473">
        <v>0</v>
      </c>
      <c r="AP3779" s="474">
        <v>0</v>
      </c>
      <c r="AQ3779" s="352"/>
      <c r="AR3779" s="352"/>
      <c r="AS3779" s="352"/>
      <c r="AT3779" s="352"/>
      <c r="AU3779" s="352"/>
      <c r="AV3779" s="352"/>
      <c r="AW3779" s="352" t="s">
        <v>254</v>
      </c>
    </row>
    <row r="3780" spans="2:49" x14ac:dyDescent="0.2">
      <c r="B3780" s="460" t="s">
        <v>3480</v>
      </c>
      <c r="C3780" s="460">
        <v>7000</v>
      </c>
      <c r="D3780" s="460" t="s">
        <v>2315</v>
      </c>
      <c r="E3780" s="460" t="s">
        <v>2299</v>
      </c>
      <c r="F3780" s="460">
        <v>2</v>
      </c>
      <c r="G3780" s="460">
        <v>2</v>
      </c>
      <c r="H3780" s="461" t="s">
        <v>748</v>
      </c>
      <c r="I3780" s="461" t="s">
        <v>765</v>
      </c>
      <c r="J3780" s="461" t="s">
        <v>700</v>
      </c>
      <c r="K3780" s="594"/>
      <c r="L3780" s="594"/>
      <c r="M3780" s="352">
        <v>7000</v>
      </c>
      <c r="N3780" s="352" t="s">
        <v>1891</v>
      </c>
      <c r="O3780" s="460">
        <v>5211</v>
      </c>
      <c r="P3780" s="460" t="s">
        <v>786</v>
      </c>
      <c r="Q3780" s="460" t="s">
        <v>2553</v>
      </c>
      <c r="R3780" s="460">
        <v>5211</v>
      </c>
      <c r="S3780" s="460" t="s">
        <v>2296</v>
      </c>
      <c r="T3780" s="462">
        <v>0.55517361979372948</v>
      </c>
      <c r="U3780" s="460" t="s">
        <v>2299</v>
      </c>
      <c r="V3780" s="475">
        <v>0</v>
      </c>
      <c r="W3780" s="463" t="s">
        <v>2268</v>
      </c>
      <c r="X3780" s="463" t="s">
        <v>2268</v>
      </c>
      <c r="Y3780" s="463" t="s">
        <v>2554</v>
      </c>
      <c r="Z3780" s="463"/>
      <c r="AA3780" s="463"/>
      <c r="AB3780" s="464">
        <v>0</v>
      </c>
      <c r="AC3780" s="465">
        <v>0</v>
      </c>
      <c r="AD3780" s="465">
        <v>0</v>
      </c>
      <c r="AE3780" s="476">
        <v>0</v>
      </c>
      <c r="AF3780" s="467">
        <v>0</v>
      </c>
      <c r="AG3780" s="468">
        <v>0</v>
      </c>
      <c r="AH3780" s="218">
        <v>0</v>
      </c>
      <c r="AI3780" s="470">
        <v>0</v>
      </c>
      <c r="AJ3780" s="471">
        <v>0</v>
      </c>
      <c r="AK3780" s="218">
        <v>0</v>
      </c>
      <c r="AL3780" s="470">
        <v>0</v>
      </c>
      <c r="AM3780" s="471">
        <v>0</v>
      </c>
      <c r="AN3780" s="477">
        <v>0</v>
      </c>
      <c r="AO3780" s="473">
        <v>0</v>
      </c>
      <c r="AP3780" s="474">
        <v>0</v>
      </c>
      <c r="AQ3780" s="352"/>
      <c r="AR3780" s="352"/>
      <c r="AS3780" s="352"/>
      <c r="AT3780" s="352"/>
      <c r="AU3780" s="352"/>
      <c r="AV3780" s="352"/>
      <c r="AW3780" s="352" t="s">
        <v>254</v>
      </c>
    </row>
    <row r="3781" spans="2:49" x14ac:dyDescent="0.2">
      <c r="B3781" s="460" t="s">
        <v>3481</v>
      </c>
      <c r="C3781" s="460">
        <v>7000</v>
      </c>
      <c r="D3781" s="460" t="s">
        <v>2316</v>
      </c>
      <c r="E3781" s="460" t="s">
        <v>2302</v>
      </c>
      <c r="F3781" s="460">
        <v>3</v>
      </c>
      <c r="G3781" s="460">
        <v>2</v>
      </c>
      <c r="H3781" s="461" t="s">
        <v>748</v>
      </c>
      <c r="I3781" s="461" t="s">
        <v>765</v>
      </c>
      <c r="J3781" s="461" t="s">
        <v>700</v>
      </c>
      <c r="K3781" s="594"/>
      <c r="L3781" s="594"/>
      <c r="M3781" s="352">
        <v>7000</v>
      </c>
      <c r="N3781" s="352" t="s">
        <v>1891</v>
      </c>
      <c r="O3781" s="460">
        <v>5211</v>
      </c>
      <c r="P3781" s="460" t="s">
        <v>786</v>
      </c>
      <c r="Q3781" s="460" t="s">
        <v>2553</v>
      </c>
      <c r="R3781" s="460">
        <v>5211</v>
      </c>
      <c r="S3781" s="460" t="s">
        <v>2296</v>
      </c>
      <c r="T3781" s="462">
        <v>0.28481449642268464</v>
      </c>
      <c r="U3781" s="460" t="s">
        <v>2302</v>
      </c>
      <c r="V3781" s="475">
        <v>0</v>
      </c>
      <c r="W3781" s="463" t="s">
        <v>2268</v>
      </c>
      <c r="X3781" s="463" t="s">
        <v>2268</v>
      </c>
      <c r="Y3781" s="463" t="s">
        <v>2554</v>
      </c>
      <c r="Z3781" s="463"/>
      <c r="AA3781" s="463"/>
      <c r="AB3781" s="464">
        <v>0</v>
      </c>
      <c r="AC3781" s="465">
        <v>0</v>
      </c>
      <c r="AD3781" s="465">
        <v>0</v>
      </c>
      <c r="AE3781" s="476">
        <v>0</v>
      </c>
      <c r="AF3781" s="467">
        <v>0</v>
      </c>
      <c r="AG3781" s="468">
        <v>0</v>
      </c>
      <c r="AH3781" s="218">
        <v>0</v>
      </c>
      <c r="AI3781" s="470">
        <v>0</v>
      </c>
      <c r="AJ3781" s="471">
        <v>0</v>
      </c>
      <c r="AK3781" s="218">
        <v>0</v>
      </c>
      <c r="AL3781" s="470">
        <v>0</v>
      </c>
      <c r="AM3781" s="471">
        <v>0</v>
      </c>
      <c r="AN3781" s="477">
        <v>0</v>
      </c>
      <c r="AO3781" s="473">
        <v>0</v>
      </c>
      <c r="AP3781" s="474">
        <v>0</v>
      </c>
      <c r="AQ3781" s="352"/>
      <c r="AR3781" s="352"/>
      <c r="AS3781" s="352"/>
      <c r="AT3781" s="352"/>
      <c r="AU3781" s="352"/>
      <c r="AV3781" s="352"/>
      <c r="AW3781" s="352" t="s">
        <v>254</v>
      </c>
    </row>
    <row r="3782" spans="2:49" x14ac:dyDescent="0.2">
      <c r="B3782" s="460" t="s">
        <v>3482</v>
      </c>
      <c r="C3782" s="460">
        <v>7000</v>
      </c>
      <c r="D3782" s="460" t="s">
        <v>2317</v>
      </c>
      <c r="E3782" s="460" t="s">
        <v>2305</v>
      </c>
      <c r="F3782" s="460">
        <v>4</v>
      </c>
      <c r="G3782" s="460">
        <v>2</v>
      </c>
      <c r="H3782" s="461" t="s">
        <v>748</v>
      </c>
      <c r="I3782" s="461" t="s">
        <v>765</v>
      </c>
      <c r="J3782" s="461" t="s">
        <v>700</v>
      </c>
      <c r="K3782" s="594"/>
      <c r="L3782" s="594"/>
      <c r="M3782" s="352">
        <v>7000</v>
      </c>
      <c r="N3782" s="352" t="s">
        <v>1891</v>
      </c>
      <c r="O3782" s="460">
        <v>5211</v>
      </c>
      <c r="P3782" s="460" t="s">
        <v>786</v>
      </c>
      <c r="Q3782" s="460" t="s">
        <v>2553</v>
      </c>
      <c r="R3782" s="460">
        <v>5211</v>
      </c>
      <c r="S3782" s="460" t="s">
        <v>2305</v>
      </c>
      <c r="T3782" s="462">
        <v>1</v>
      </c>
      <c r="U3782" s="460" t="s">
        <v>2305</v>
      </c>
      <c r="V3782" s="475">
        <v>0</v>
      </c>
      <c r="W3782" s="463" t="s">
        <v>2268</v>
      </c>
      <c r="X3782" s="463" t="s">
        <v>2268</v>
      </c>
      <c r="Y3782" s="463" t="s">
        <v>2554</v>
      </c>
      <c r="Z3782" s="463"/>
      <c r="AA3782" s="463"/>
      <c r="AB3782" s="464">
        <v>0</v>
      </c>
      <c r="AC3782" s="465">
        <v>0</v>
      </c>
      <c r="AD3782" s="465">
        <v>0</v>
      </c>
      <c r="AE3782" s="476">
        <v>0</v>
      </c>
      <c r="AF3782" s="467">
        <v>0</v>
      </c>
      <c r="AG3782" s="468">
        <v>0</v>
      </c>
      <c r="AH3782" s="218">
        <v>0</v>
      </c>
      <c r="AI3782" s="470">
        <v>0</v>
      </c>
      <c r="AJ3782" s="471">
        <v>0</v>
      </c>
      <c r="AK3782" s="218">
        <v>0</v>
      </c>
      <c r="AL3782" s="470">
        <v>0</v>
      </c>
      <c r="AM3782" s="471">
        <v>0</v>
      </c>
      <c r="AN3782" s="477">
        <v>0</v>
      </c>
      <c r="AO3782" s="473">
        <v>0</v>
      </c>
      <c r="AP3782" s="474">
        <v>0</v>
      </c>
      <c r="AQ3782" s="352"/>
      <c r="AR3782" s="352"/>
      <c r="AS3782" s="352"/>
      <c r="AT3782" s="352"/>
      <c r="AU3782" s="352"/>
      <c r="AV3782" s="352"/>
      <c r="AW3782" s="352" t="s">
        <v>254</v>
      </c>
    </row>
    <row r="3783" spans="2:49" x14ac:dyDescent="0.2">
      <c r="B3783" s="460" t="s">
        <v>3479</v>
      </c>
      <c r="C3783" s="460">
        <v>7000</v>
      </c>
      <c r="D3783" s="460" t="s">
        <v>3454</v>
      </c>
      <c r="E3783" s="460" t="s">
        <v>2296</v>
      </c>
      <c r="F3783" s="460">
        <v>1</v>
      </c>
      <c r="G3783" s="460">
        <v>2</v>
      </c>
      <c r="H3783" s="461" t="s">
        <v>754</v>
      </c>
      <c r="I3783" s="461" t="s">
        <v>1991</v>
      </c>
      <c r="J3783" s="461" t="s">
        <v>754</v>
      </c>
      <c r="K3783" s="594"/>
      <c r="L3783" s="594"/>
      <c r="M3783" s="352">
        <v>7000</v>
      </c>
      <c r="N3783" s="352" t="s">
        <v>1891</v>
      </c>
      <c r="O3783" s="460">
        <v>5211</v>
      </c>
      <c r="P3783" s="460" t="s">
        <v>786</v>
      </c>
      <c r="Q3783" s="460" t="s">
        <v>3478</v>
      </c>
      <c r="R3783" s="460">
        <v>5211</v>
      </c>
      <c r="S3783" s="460" t="s">
        <v>2296</v>
      </c>
      <c r="T3783" s="462">
        <v>1</v>
      </c>
      <c r="U3783" s="460" t="s">
        <v>2296</v>
      </c>
      <c r="V3783" s="475">
        <v>0</v>
      </c>
      <c r="W3783" s="463" t="s">
        <v>2278</v>
      </c>
      <c r="X3783" s="463" t="s">
        <v>2278</v>
      </c>
      <c r="Y3783" s="463" t="s">
        <v>2278</v>
      </c>
      <c r="Z3783" s="463"/>
      <c r="AA3783" s="463"/>
      <c r="AB3783" s="464">
        <v>0.81258099837392428</v>
      </c>
      <c r="AC3783" s="465">
        <v>0.17247420588168808</v>
      </c>
      <c r="AD3783" s="465">
        <v>0.96385686900992962</v>
      </c>
      <c r="AE3783" s="476">
        <v>0.81258099837392428</v>
      </c>
      <c r="AF3783" s="467">
        <v>0.17247420588168808</v>
      </c>
      <c r="AG3783" s="468">
        <v>0.96385686900992962</v>
      </c>
      <c r="AH3783" s="218">
        <v>0.81258099837392428</v>
      </c>
      <c r="AI3783" s="470">
        <v>0.17247420588168808</v>
      </c>
      <c r="AJ3783" s="471">
        <v>0.96385686900992962</v>
      </c>
      <c r="AK3783" s="218">
        <v>0.81258099837392428</v>
      </c>
      <c r="AL3783" s="470">
        <v>0.17247420588168808</v>
      </c>
      <c r="AM3783" s="471">
        <v>0.96385686900992962</v>
      </c>
      <c r="AN3783" s="477">
        <v>0.81258099837392428</v>
      </c>
      <c r="AO3783" s="473">
        <v>0.17247420588168808</v>
      </c>
      <c r="AP3783" s="474">
        <v>0.96385686900992962</v>
      </c>
      <c r="AQ3783" s="352"/>
      <c r="AR3783" s="352"/>
      <c r="AS3783" s="352"/>
      <c r="AT3783" s="352"/>
      <c r="AU3783" s="352"/>
      <c r="AV3783" s="352"/>
      <c r="AW3783" s="352" t="s">
        <v>127</v>
      </c>
    </row>
    <row r="3784" spans="2:49" x14ac:dyDescent="0.2">
      <c r="B3784" s="460" t="s">
        <v>3480</v>
      </c>
      <c r="C3784" s="460">
        <v>7000</v>
      </c>
      <c r="D3784" s="460" t="s">
        <v>3455</v>
      </c>
      <c r="E3784" s="460" t="s">
        <v>2299</v>
      </c>
      <c r="F3784" s="460">
        <v>2</v>
      </c>
      <c r="G3784" s="460">
        <v>2</v>
      </c>
      <c r="H3784" s="461" t="s">
        <v>754</v>
      </c>
      <c r="I3784" s="461" t="s">
        <v>1991</v>
      </c>
      <c r="J3784" s="461" t="s">
        <v>754</v>
      </c>
      <c r="K3784" s="594"/>
      <c r="L3784" s="594"/>
      <c r="M3784" s="352">
        <v>7000</v>
      </c>
      <c r="N3784" s="352" t="s">
        <v>1891</v>
      </c>
      <c r="O3784" s="460">
        <v>5211</v>
      </c>
      <c r="P3784" s="460" t="s">
        <v>786</v>
      </c>
      <c r="Q3784" s="460" t="s">
        <v>3478</v>
      </c>
      <c r="R3784" s="460">
        <v>5211</v>
      </c>
      <c r="S3784" s="460" t="s">
        <v>2296</v>
      </c>
      <c r="T3784" s="462">
        <v>0.55517361979372948</v>
      </c>
      <c r="U3784" s="460" t="s">
        <v>2299</v>
      </c>
      <c r="V3784" s="475">
        <v>0</v>
      </c>
      <c r="W3784" s="463" t="s">
        <v>2278</v>
      </c>
      <c r="X3784" s="463" t="s">
        <v>2278</v>
      </c>
      <c r="Y3784" s="463" t="s">
        <v>2278</v>
      </c>
      <c r="Z3784" s="463"/>
      <c r="AA3784" s="463"/>
      <c r="AB3784" s="464">
        <v>0</v>
      </c>
      <c r="AC3784" s="465">
        <v>0</v>
      </c>
      <c r="AD3784" s="465">
        <v>0</v>
      </c>
      <c r="AE3784" s="476">
        <v>0</v>
      </c>
      <c r="AF3784" s="467">
        <v>0</v>
      </c>
      <c r="AG3784" s="468">
        <v>0</v>
      </c>
      <c r="AH3784" s="218">
        <v>0</v>
      </c>
      <c r="AI3784" s="470">
        <v>0</v>
      </c>
      <c r="AJ3784" s="471">
        <v>0</v>
      </c>
      <c r="AK3784" s="218">
        <v>0</v>
      </c>
      <c r="AL3784" s="470">
        <v>0</v>
      </c>
      <c r="AM3784" s="471">
        <v>0</v>
      </c>
      <c r="AN3784" s="477">
        <v>0</v>
      </c>
      <c r="AO3784" s="473">
        <v>0</v>
      </c>
      <c r="AP3784" s="474">
        <v>0</v>
      </c>
      <c r="AQ3784" s="352"/>
      <c r="AR3784" s="352"/>
      <c r="AS3784" s="352"/>
      <c r="AT3784" s="352"/>
      <c r="AU3784" s="352"/>
      <c r="AV3784" s="352"/>
      <c r="AW3784" s="352" t="s">
        <v>127</v>
      </c>
    </row>
    <row r="3785" spans="2:49" x14ac:dyDescent="0.2">
      <c r="B3785" s="460" t="s">
        <v>3481</v>
      </c>
      <c r="C3785" s="460">
        <v>7000</v>
      </c>
      <c r="D3785" s="460" t="s">
        <v>3456</v>
      </c>
      <c r="E3785" s="460" t="s">
        <v>2302</v>
      </c>
      <c r="F3785" s="460">
        <v>3</v>
      </c>
      <c r="G3785" s="460">
        <v>2</v>
      </c>
      <c r="H3785" s="461" t="s">
        <v>754</v>
      </c>
      <c r="I3785" s="461" t="s">
        <v>1991</v>
      </c>
      <c r="J3785" s="461" t="s">
        <v>754</v>
      </c>
      <c r="K3785" s="594"/>
      <c r="L3785" s="594"/>
      <c r="M3785" s="352">
        <v>7000</v>
      </c>
      <c r="N3785" s="352" t="s">
        <v>1891</v>
      </c>
      <c r="O3785" s="460">
        <v>5211</v>
      </c>
      <c r="P3785" s="460" t="s">
        <v>786</v>
      </c>
      <c r="Q3785" s="460" t="s">
        <v>3478</v>
      </c>
      <c r="R3785" s="460">
        <v>5211</v>
      </c>
      <c r="S3785" s="460" t="s">
        <v>2296</v>
      </c>
      <c r="T3785" s="462">
        <v>0.28481449642268464</v>
      </c>
      <c r="U3785" s="460" t="s">
        <v>2302</v>
      </c>
      <c r="V3785" s="475">
        <v>0</v>
      </c>
      <c r="W3785" s="463" t="s">
        <v>2278</v>
      </c>
      <c r="X3785" s="463" t="s">
        <v>2278</v>
      </c>
      <c r="Y3785" s="463" t="s">
        <v>2278</v>
      </c>
      <c r="Z3785" s="463"/>
      <c r="AA3785" s="463"/>
      <c r="AB3785" s="464">
        <v>0.5886356607315083</v>
      </c>
      <c r="AC3785" s="465">
        <v>1</v>
      </c>
      <c r="AD3785" s="465">
        <v>0.92752684830176679</v>
      </c>
      <c r="AE3785" s="476">
        <v>0.5886356607315083</v>
      </c>
      <c r="AF3785" s="467">
        <v>1</v>
      </c>
      <c r="AG3785" s="468">
        <v>0.92752684830176679</v>
      </c>
      <c r="AH3785" s="218">
        <v>0.5886356607315083</v>
      </c>
      <c r="AI3785" s="470">
        <v>1</v>
      </c>
      <c r="AJ3785" s="471">
        <v>0.92752684830176679</v>
      </c>
      <c r="AK3785" s="218">
        <v>0.5886356607315083</v>
      </c>
      <c r="AL3785" s="470">
        <v>1</v>
      </c>
      <c r="AM3785" s="471">
        <v>0.92752684830176679</v>
      </c>
      <c r="AN3785" s="477">
        <v>0.5886356607315083</v>
      </c>
      <c r="AO3785" s="473">
        <v>1</v>
      </c>
      <c r="AP3785" s="474">
        <v>0.92752684830176679</v>
      </c>
      <c r="AQ3785" s="352"/>
      <c r="AR3785" s="352"/>
      <c r="AS3785" s="352"/>
      <c r="AT3785" s="352"/>
      <c r="AU3785" s="352"/>
      <c r="AV3785" s="352"/>
      <c r="AW3785" s="352" t="s">
        <v>127</v>
      </c>
    </row>
    <row r="3786" spans="2:49" x14ac:dyDescent="0.2">
      <c r="B3786" s="460" t="s">
        <v>3482</v>
      </c>
      <c r="C3786" s="460">
        <v>7000</v>
      </c>
      <c r="D3786" s="460" t="s">
        <v>3457</v>
      </c>
      <c r="E3786" s="460" t="s">
        <v>2305</v>
      </c>
      <c r="F3786" s="460">
        <v>4</v>
      </c>
      <c r="G3786" s="460">
        <v>2</v>
      </c>
      <c r="H3786" s="461" t="s">
        <v>754</v>
      </c>
      <c r="I3786" s="461" t="s">
        <v>1991</v>
      </c>
      <c r="J3786" s="461" t="s">
        <v>754</v>
      </c>
      <c r="K3786" s="594"/>
      <c r="L3786" s="594"/>
      <c r="M3786" s="352">
        <v>7000</v>
      </c>
      <c r="N3786" s="352" t="s">
        <v>1891</v>
      </c>
      <c r="O3786" s="460">
        <v>5211</v>
      </c>
      <c r="P3786" s="460" t="s">
        <v>786</v>
      </c>
      <c r="Q3786" s="460" t="s">
        <v>3478</v>
      </c>
      <c r="R3786" s="460">
        <v>5211</v>
      </c>
      <c r="S3786" s="460" t="s">
        <v>2305</v>
      </c>
      <c r="T3786" s="462">
        <v>1</v>
      </c>
      <c r="U3786" s="460" t="s">
        <v>2305</v>
      </c>
      <c r="V3786" s="475">
        <v>0</v>
      </c>
      <c r="W3786" s="463" t="s">
        <v>2278</v>
      </c>
      <c r="X3786" s="463" t="s">
        <v>2278</v>
      </c>
      <c r="Y3786" s="463" t="s">
        <v>2278</v>
      </c>
      <c r="Z3786" s="463"/>
      <c r="AA3786" s="463"/>
      <c r="AB3786" s="464">
        <v>3.782942089278603</v>
      </c>
      <c r="AC3786" s="465">
        <v>1</v>
      </c>
      <c r="AD3786" s="465">
        <v>4.702222932839812E-2</v>
      </c>
      <c r="AE3786" s="476">
        <v>3.782942089278603</v>
      </c>
      <c r="AF3786" s="467">
        <v>1</v>
      </c>
      <c r="AG3786" s="468">
        <v>4.702222932839812E-2</v>
      </c>
      <c r="AH3786" s="218">
        <v>3.782942089278603</v>
      </c>
      <c r="AI3786" s="470">
        <v>1</v>
      </c>
      <c r="AJ3786" s="471">
        <v>4.702222932839812E-2</v>
      </c>
      <c r="AK3786" s="218">
        <v>3.782942089278603</v>
      </c>
      <c r="AL3786" s="470">
        <v>1</v>
      </c>
      <c r="AM3786" s="471">
        <v>4.702222932839812E-2</v>
      </c>
      <c r="AN3786" s="477">
        <v>3.782942089278603</v>
      </c>
      <c r="AO3786" s="473">
        <v>1</v>
      </c>
      <c r="AP3786" s="474">
        <v>4.702222932839812E-2</v>
      </c>
      <c r="AQ3786" s="352"/>
      <c r="AR3786" s="352"/>
      <c r="AS3786" s="352"/>
      <c r="AT3786" s="352"/>
      <c r="AU3786" s="352"/>
      <c r="AV3786" s="352"/>
      <c r="AW3786" s="352" t="s">
        <v>127</v>
      </c>
    </row>
    <row r="3787" spans="2:49" x14ac:dyDescent="0.2">
      <c r="B3787" s="460" t="s">
        <v>3483</v>
      </c>
      <c r="C3787" s="460">
        <v>7000</v>
      </c>
      <c r="D3787" s="460" t="s">
        <v>2323</v>
      </c>
      <c r="E3787" s="460" t="s">
        <v>2324</v>
      </c>
      <c r="F3787" s="460">
        <v>1</v>
      </c>
      <c r="G3787" s="460">
        <v>3</v>
      </c>
      <c r="H3787" s="461" t="s">
        <v>700</v>
      </c>
      <c r="I3787" s="461" t="s">
        <v>872</v>
      </c>
      <c r="J3787" s="461" t="s">
        <v>700</v>
      </c>
      <c r="K3787" s="594"/>
      <c r="L3787" s="594"/>
      <c r="M3787" s="352">
        <v>7000</v>
      </c>
      <c r="N3787" s="352" t="s">
        <v>1891</v>
      </c>
      <c r="O3787" s="460">
        <v>5211</v>
      </c>
      <c r="P3787" s="460" t="s">
        <v>786</v>
      </c>
      <c r="Q3787" s="460" t="s">
        <v>2553</v>
      </c>
      <c r="R3787" s="460">
        <v>5211</v>
      </c>
      <c r="S3787" s="460" t="s">
        <v>2324</v>
      </c>
      <c r="T3787" s="462">
        <v>1</v>
      </c>
      <c r="U3787" s="460" t="s">
        <v>2324</v>
      </c>
      <c r="V3787" s="475">
        <v>0</v>
      </c>
      <c r="W3787" s="463" t="s">
        <v>2554</v>
      </c>
      <c r="X3787" s="463" t="s">
        <v>2554</v>
      </c>
      <c r="Y3787" s="463" t="s">
        <v>2268</v>
      </c>
      <c r="Z3787" s="463"/>
      <c r="AA3787" s="463"/>
      <c r="AB3787" s="464">
        <v>0</v>
      </c>
      <c r="AC3787" s="465">
        <v>0</v>
      </c>
      <c r="AD3787" s="465">
        <v>0</v>
      </c>
      <c r="AE3787" s="476">
        <v>0</v>
      </c>
      <c r="AF3787" s="467">
        <v>0</v>
      </c>
      <c r="AG3787" s="468">
        <v>0</v>
      </c>
      <c r="AH3787" s="218">
        <v>0</v>
      </c>
      <c r="AI3787" s="470">
        <v>0</v>
      </c>
      <c r="AJ3787" s="471">
        <v>0</v>
      </c>
      <c r="AK3787" s="218">
        <v>0</v>
      </c>
      <c r="AL3787" s="470">
        <v>0</v>
      </c>
      <c r="AM3787" s="471">
        <v>0</v>
      </c>
      <c r="AN3787" s="477">
        <v>0</v>
      </c>
      <c r="AO3787" s="473">
        <v>0</v>
      </c>
      <c r="AP3787" s="474">
        <v>0</v>
      </c>
      <c r="AQ3787" s="352"/>
      <c r="AR3787" s="352"/>
      <c r="AS3787" s="352"/>
      <c r="AT3787" s="352"/>
      <c r="AU3787" s="352"/>
      <c r="AV3787" s="352"/>
      <c r="AW3787" s="352" t="s">
        <v>254</v>
      </c>
    </row>
    <row r="3788" spans="2:49" x14ac:dyDescent="0.2">
      <c r="B3788" s="460" t="s">
        <v>3484</v>
      </c>
      <c r="C3788" s="460">
        <v>7000</v>
      </c>
      <c r="D3788" s="460" t="s">
        <v>2326</v>
      </c>
      <c r="E3788" s="460" t="s">
        <v>2327</v>
      </c>
      <c r="F3788" s="460">
        <v>2</v>
      </c>
      <c r="G3788" s="460">
        <v>3</v>
      </c>
      <c r="H3788" s="461" t="s">
        <v>700</v>
      </c>
      <c r="I3788" s="461" t="s">
        <v>872</v>
      </c>
      <c r="J3788" s="461" t="s">
        <v>700</v>
      </c>
      <c r="K3788" s="594"/>
      <c r="L3788" s="594"/>
      <c r="M3788" s="352">
        <v>7000</v>
      </c>
      <c r="N3788" s="352" t="s">
        <v>1891</v>
      </c>
      <c r="O3788" s="460">
        <v>5211</v>
      </c>
      <c r="P3788" s="460" t="s">
        <v>786</v>
      </c>
      <c r="Q3788" s="460" t="s">
        <v>2553</v>
      </c>
      <c r="R3788" s="460">
        <v>5211</v>
      </c>
      <c r="S3788" s="460" t="s">
        <v>2324</v>
      </c>
      <c r="T3788" s="462">
        <v>1</v>
      </c>
      <c r="U3788" s="460" t="s">
        <v>2327</v>
      </c>
      <c r="V3788" s="475">
        <v>0</v>
      </c>
      <c r="W3788" s="463" t="s">
        <v>2554</v>
      </c>
      <c r="X3788" s="463" t="s">
        <v>2554</v>
      </c>
      <c r="Y3788" s="463" t="s">
        <v>2268</v>
      </c>
      <c r="Z3788" s="463"/>
      <c r="AA3788" s="463"/>
      <c r="AB3788" s="464">
        <v>0</v>
      </c>
      <c r="AC3788" s="465">
        <v>0</v>
      </c>
      <c r="AD3788" s="465">
        <v>0</v>
      </c>
      <c r="AE3788" s="476">
        <v>0</v>
      </c>
      <c r="AF3788" s="467">
        <v>0</v>
      </c>
      <c r="AG3788" s="468">
        <v>0</v>
      </c>
      <c r="AH3788" s="218">
        <v>0</v>
      </c>
      <c r="AI3788" s="470">
        <v>0</v>
      </c>
      <c r="AJ3788" s="471">
        <v>0</v>
      </c>
      <c r="AK3788" s="218">
        <v>0</v>
      </c>
      <c r="AL3788" s="470">
        <v>0</v>
      </c>
      <c r="AM3788" s="471">
        <v>0</v>
      </c>
      <c r="AN3788" s="477">
        <v>0</v>
      </c>
      <c r="AO3788" s="473">
        <v>0</v>
      </c>
      <c r="AP3788" s="474">
        <v>0</v>
      </c>
      <c r="AQ3788" s="352"/>
      <c r="AR3788" s="352"/>
      <c r="AS3788" s="352"/>
      <c r="AT3788" s="352"/>
      <c r="AU3788" s="352"/>
      <c r="AV3788" s="352"/>
      <c r="AW3788" s="352" t="s">
        <v>254</v>
      </c>
    </row>
    <row r="3789" spans="2:49" x14ac:dyDescent="0.2">
      <c r="B3789" s="460" t="s">
        <v>3485</v>
      </c>
      <c r="C3789" s="460">
        <v>7000</v>
      </c>
      <c r="D3789" s="460" t="s">
        <v>2329</v>
      </c>
      <c r="E3789" s="460" t="s">
        <v>2330</v>
      </c>
      <c r="F3789" s="460">
        <v>3</v>
      </c>
      <c r="G3789" s="460">
        <v>3</v>
      </c>
      <c r="H3789" s="461" t="s">
        <v>700</v>
      </c>
      <c r="I3789" s="461" t="s">
        <v>872</v>
      </c>
      <c r="J3789" s="461" t="s">
        <v>700</v>
      </c>
      <c r="K3789" s="594"/>
      <c r="L3789" s="594"/>
      <c r="M3789" s="352">
        <v>7000</v>
      </c>
      <c r="N3789" s="352" t="s">
        <v>1891</v>
      </c>
      <c r="O3789" s="460">
        <v>5211</v>
      </c>
      <c r="P3789" s="460" t="s">
        <v>786</v>
      </c>
      <c r="Q3789" s="460" t="s">
        <v>2553</v>
      </c>
      <c r="R3789" s="460">
        <v>5211</v>
      </c>
      <c r="S3789" s="460" t="s">
        <v>2324</v>
      </c>
      <c r="T3789" s="462">
        <v>1</v>
      </c>
      <c r="U3789" s="460" t="s">
        <v>2330</v>
      </c>
      <c r="V3789" s="475">
        <v>0</v>
      </c>
      <c r="W3789" s="463" t="s">
        <v>2554</v>
      </c>
      <c r="X3789" s="463" t="s">
        <v>2554</v>
      </c>
      <c r="Y3789" s="463" t="s">
        <v>2268</v>
      </c>
      <c r="Z3789" s="463"/>
      <c r="AA3789" s="463"/>
      <c r="AB3789" s="464">
        <v>0</v>
      </c>
      <c r="AC3789" s="465">
        <v>0</v>
      </c>
      <c r="AD3789" s="465">
        <v>0</v>
      </c>
      <c r="AE3789" s="476">
        <v>0</v>
      </c>
      <c r="AF3789" s="467">
        <v>0</v>
      </c>
      <c r="AG3789" s="468">
        <v>0</v>
      </c>
      <c r="AH3789" s="218">
        <v>0</v>
      </c>
      <c r="AI3789" s="470">
        <v>0</v>
      </c>
      <c r="AJ3789" s="471">
        <v>0</v>
      </c>
      <c r="AK3789" s="218">
        <v>0</v>
      </c>
      <c r="AL3789" s="470">
        <v>0</v>
      </c>
      <c r="AM3789" s="471">
        <v>0</v>
      </c>
      <c r="AN3789" s="477">
        <v>0</v>
      </c>
      <c r="AO3789" s="473">
        <v>0</v>
      </c>
      <c r="AP3789" s="474">
        <v>0</v>
      </c>
      <c r="AQ3789" s="352"/>
      <c r="AR3789" s="352"/>
      <c r="AS3789" s="352"/>
      <c r="AT3789" s="352"/>
      <c r="AU3789" s="352"/>
      <c r="AV3789" s="352"/>
      <c r="AW3789" s="352" t="s">
        <v>254</v>
      </c>
    </row>
    <row r="3790" spans="2:49" x14ac:dyDescent="0.2">
      <c r="B3790" s="460" t="s">
        <v>3486</v>
      </c>
      <c r="C3790" s="460">
        <v>7000</v>
      </c>
      <c r="D3790" s="460" t="s">
        <v>2332</v>
      </c>
      <c r="E3790" s="460" t="s">
        <v>2333</v>
      </c>
      <c r="F3790" s="460">
        <v>4</v>
      </c>
      <c r="G3790" s="460">
        <v>3</v>
      </c>
      <c r="H3790" s="461" t="s">
        <v>700</v>
      </c>
      <c r="I3790" s="461" t="s">
        <v>872</v>
      </c>
      <c r="J3790" s="461" t="s">
        <v>700</v>
      </c>
      <c r="K3790" s="594"/>
      <c r="L3790" s="594"/>
      <c r="M3790" s="352">
        <v>7000</v>
      </c>
      <c r="N3790" s="352" t="s">
        <v>1891</v>
      </c>
      <c r="O3790" s="460">
        <v>5211</v>
      </c>
      <c r="P3790" s="460" t="s">
        <v>786</v>
      </c>
      <c r="Q3790" s="460" t="s">
        <v>2553</v>
      </c>
      <c r="R3790" s="460">
        <v>5211</v>
      </c>
      <c r="S3790" s="460" t="s">
        <v>2333</v>
      </c>
      <c r="T3790" s="462">
        <v>1</v>
      </c>
      <c r="U3790" s="460" t="s">
        <v>2333</v>
      </c>
      <c r="V3790" s="475">
        <v>0</v>
      </c>
      <c r="W3790" s="463" t="s">
        <v>2554</v>
      </c>
      <c r="X3790" s="463" t="s">
        <v>2554</v>
      </c>
      <c r="Y3790" s="463" t="s">
        <v>2268</v>
      </c>
      <c r="Z3790" s="463"/>
      <c r="AA3790" s="463"/>
      <c r="AB3790" s="464">
        <v>0</v>
      </c>
      <c r="AC3790" s="465">
        <v>0</v>
      </c>
      <c r="AD3790" s="465">
        <v>0</v>
      </c>
      <c r="AE3790" s="476">
        <v>0</v>
      </c>
      <c r="AF3790" s="467">
        <v>0</v>
      </c>
      <c r="AG3790" s="468">
        <v>0</v>
      </c>
      <c r="AH3790" s="218">
        <v>0</v>
      </c>
      <c r="AI3790" s="470">
        <v>0</v>
      </c>
      <c r="AJ3790" s="471">
        <v>0</v>
      </c>
      <c r="AK3790" s="218">
        <v>0</v>
      </c>
      <c r="AL3790" s="470">
        <v>0</v>
      </c>
      <c r="AM3790" s="471">
        <v>0</v>
      </c>
      <c r="AN3790" s="477">
        <v>0</v>
      </c>
      <c r="AO3790" s="473">
        <v>0</v>
      </c>
      <c r="AP3790" s="474">
        <v>0</v>
      </c>
      <c r="AQ3790" s="352"/>
      <c r="AR3790" s="352"/>
      <c r="AS3790" s="352"/>
      <c r="AT3790" s="352"/>
      <c r="AU3790" s="352"/>
      <c r="AV3790" s="352"/>
      <c r="AW3790" s="352" t="s">
        <v>254</v>
      </c>
    </row>
    <row r="3791" spans="2:49" x14ac:dyDescent="0.2">
      <c r="B3791" s="460" t="s">
        <v>3483</v>
      </c>
      <c r="C3791" s="460">
        <v>7000</v>
      </c>
      <c r="D3791" s="460" t="s">
        <v>2334</v>
      </c>
      <c r="E3791" s="460" t="s">
        <v>2324</v>
      </c>
      <c r="F3791" s="460">
        <v>1</v>
      </c>
      <c r="G3791" s="460">
        <v>3</v>
      </c>
      <c r="H3791" s="461" t="s">
        <v>712</v>
      </c>
      <c r="I3791" s="461" t="s">
        <v>713</v>
      </c>
      <c r="J3791" s="461" t="s">
        <v>712</v>
      </c>
      <c r="K3791" s="594"/>
      <c r="L3791" s="594"/>
      <c r="M3791" s="352">
        <v>7000</v>
      </c>
      <c r="N3791" s="352" t="s">
        <v>1891</v>
      </c>
      <c r="O3791" s="460">
        <v>5211</v>
      </c>
      <c r="P3791" s="460" t="s">
        <v>786</v>
      </c>
      <c r="Q3791" s="460" t="s">
        <v>2280</v>
      </c>
      <c r="R3791" s="460">
        <v>5211</v>
      </c>
      <c r="S3791" s="460" t="s">
        <v>2324</v>
      </c>
      <c r="T3791" s="462">
        <v>1</v>
      </c>
      <c r="U3791" s="460" t="s">
        <v>2324</v>
      </c>
      <c r="V3791" s="475">
        <v>0</v>
      </c>
      <c r="W3791" s="463" t="s">
        <v>713</v>
      </c>
      <c r="X3791" s="463" t="s">
        <v>713</v>
      </c>
      <c r="Y3791" s="463" t="s">
        <v>713</v>
      </c>
      <c r="Z3791" s="463"/>
      <c r="AA3791" s="463"/>
      <c r="AB3791" s="464">
        <v>154.95603010396263</v>
      </c>
      <c r="AC3791" s="465">
        <v>0.89608249554456365</v>
      </c>
      <c r="AD3791" s="465">
        <v>3.8690910612074403E-4</v>
      </c>
      <c r="AE3791" s="476">
        <v>154.95603010396263</v>
      </c>
      <c r="AF3791" s="467">
        <v>0.89608249554456376</v>
      </c>
      <c r="AG3791" s="468">
        <v>3.7956118795662541E-4</v>
      </c>
      <c r="AH3791" s="218">
        <v>154.95603010396263</v>
      </c>
      <c r="AI3791" s="470">
        <v>0.89608249554456376</v>
      </c>
      <c r="AJ3791" s="471">
        <v>3.8439992839898839E-4</v>
      </c>
      <c r="AK3791" s="218">
        <v>154.95603010396263</v>
      </c>
      <c r="AL3791" s="470">
        <v>0.89608249554456376</v>
      </c>
      <c r="AM3791" s="471">
        <v>3.8439992839898839E-4</v>
      </c>
      <c r="AN3791" s="477">
        <v>154.95603010396263</v>
      </c>
      <c r="AO3791" s="473">
        <v>0.89608249554456376</v>
      </c>
      <c r="AP3791" s="474">
        <v>3.8421285909685685E-4</v>
      </c>
      <c r="AQ3791" s="352"/>
      <c r="AR3791" s="352"/>
      <c r="AS3791" s="352"/>
      <c r="AT3791" s="352"/>
      <c r="AU3791" s="352"/>
      <c r="AV3791" s="352"/>
      <c r="AW3791" s="352" t="s">
        <v>254</v>
      </c>
    </row>
    <row r="3792" spans="2:49" x14ac:dyDescent="0.2">
      <c r="B3792" s="460" t="s">
        <v>3484</v>
      </c>
      <c r="C3792" s="460">
        <v>7000</v>
      </c>
      <c r="D3792" s="460" t="s">
        <v>2335</v>
      </c>
      <c r="E3792" s="460" t="s">
        <v>2327</v>
      </c>
      <c r="F3792" s="460">
        <v>2</v>
      </c>
      <c r="G3792" s="460">
        <v>3</v>
      </c>
      <c r="H3792" s="461" t="s">
        <v>712</v>
      </c>
      <c r="I3792" s="461" t="s">
        <v>713</v>
      </c>
      <c r="J3792" s="461" t="s">
        <v>712</v>
      </c>
      <c r="K3792" s="594"/>
      <c r="L3792" s="594"/>
      <c r="M3792" s="352">
        <v>7000</v>
      </c>
      <c r="N3792" s="352" t="s">
        <v>1891</v>
      </c>
      <c r="O3792" s="460">
        <v>5211</v>
      </c>
      <c r="P3792" s="460" t="s">
        <v>786</v>
      </c>
      <c r="Q3792" s="460" t="s">
        <v>2280</v>
      </c>
      <c r="R3792" s="460">
        <v>5211</v>
      </c>
      <c r="S3792" s="460" t="s">
        <v>2324</v>
      </c>
      <c r="T3792" s="462">
        <v>1</v>
      </c>
      <c r="U3792" s="460" t="s">
        <v>2327</v>
      </c>
      <c r="V3792" s="475">
        <v>0</v>
      </c>
      <c r="W3792" s="463" t="s">
        <v>713</v>
      </c>
      <c r="X3792" s="463" t="s">
        <v>713</v>
      </c>
      <c r="Y3792" s="463" t="s">
        <v>713</v>
      </c>
      <c r="Z3792" s="463"/>
      <c r="AA3792" s="463"/>
      <c r="AB3792" s="464">
        <v>0</v>
      </c>
      <c r="AC3792" s="465">
        <v>0</v>
      </c>
      <c r="AD3792" s="465">
        <v>0</v>
      </c>
      <c r="AE3792" s="476">
        <v>0</v>
      </c>
      <c r="AF3792" s="467">
        <v>0</v>
      </c>
      <c r="AG3792" s="468">
        <v>0</v>
      </c>
      <c r="AH3792" s="218">
        <v>0</v>
      </c>
      <c r="AI3792" s="470">
        <v>0</v>
      </c>
      <c r="AJ3792" s="471">
        <v>0</v>
      </c>
      <c r="AK3792" s="218">
        <v>0</v>
      </c>
      <c r="AL3792" s="470">
        <v>0</v>
      </c>
      <c r="AM3792" s="471">
        <v>0</v>
      </c>
      <c r="AN3792" s="477">
        <v>0</v>
      </c>
      <c r="AO3792" s="473">
        <v>0</v>
      </c>
      <c r="AP3792" s="474">
        <v>0</v>
      </c>
      <c r="AQ3792" s="352"/>
      <c r="AR3792" s="352"/>
      <c r="AS3792" s="352"/>
      <c r="AT3792" s="352"/>
      <c r="AU3792" s="352"/>
      <c r="AV3792" s="352"/>
      <c r="AW3792" s="352" t="s">
        <v>254</v>
      </c>
    </row>
    <row r="3793" spans="2:49" x14ac:dyDescent="0.2">
      <c r="B3793" s="460" t="s">
        <v>3485</v>
      </c>
      <c r="C3793" s="460">
        <v>7000</v>
      </c>
      <c r="D3793" s="460" t="s">
        <v>2336</v>
      </c>
      <c r="E3793" s="460" t="s">
        <v>2330</v>
      </c>
      <c r="F3793" s="460">
        <v>3</v>
      </c>
      <c r="G3793" s="460">
        <v>3</v>
      </c>
      <c r="H3793" s="461" t="s">
        <v>712</v>
      </c>
      <c r="I3793" s="461" t="s">
        <v>713</v>
      </c>
      <c r="J3793" s="461" t="s">
        <v>712</v>
      </c>
      <c r="K3793" s="594"/>
      <c r="L3793" s="594"/>
      <c r="M3793" s="352">
        <v>7000</v>
      </c>
      <c r="N3793" s="352" t="s">
        <v>1891</v>
      </c>
      <c r="O3793" s="460">
        <v>5211</v>
      </c>
      <c r="P3793" s="460" t="s">
        <v>786</v>
      </c>
      <c r="Q3793" s="460" t="s">
        <v>2280</v>
      </c>
      <c r="R3793" s="460">
        <v>5211</v>
      </c>
      <c r="S3793" s="460" t="s">
        <v>2324</v>
      </c>
      <c r="T3793" s="462">
        <v>1</v>
      </c>
      <c r="U3793" s="460" t="s">
        <v>2330</v>
      </c>
      <c r="V3793" s="475">
        <v>0</v>
      </c>
      <c r="W3793" s="463" t="s">
        <v>713</v>
      </c>
      <c r="X3793" s="463" t="s">
        <v>713</v>
      </c>
      <c r="Y3793" s="463" t="s">
        <v>713</v>
      </c>
      <c r="Z3793" s="463"/>
      <c r="AA3793" s="463"/>
      <c r="AB3793" s="464">
        <v>0</v>
      </c>
      <c r="AC3793" s="465">
        <v>0</v>
      </c>
      <c r="AD3793" s="465">
        <v>0</v>
      </c>
      <c r="AE3793" s="476">
        <v>0</v>
      </c>
      <c r="AF3793" s="467">
        <v>0</v>
      </c>
      <c r="AG3793" s="468">
        <v>0</v>
      </c>
      <c r="AH3793" s="218">
        <v>0</v>
      </c>
      <c r="AI3793" s="470">
        <v>0</v>
      </c>
      <c r="AJ3793" s="471">
        <v>0</v>
      </c>
      <c r="AK3793" s="218">
        <v>0</v>
      </c>
      <c r="AL3793" s="470">
        <v>0</v>
      </c>
      <c r="AM3793" s="471">
        <v>0</v>
      </c>
      <c r="AN3793" s="477">
        <v>0</v>
      </c>
      <c r="AO3793" s="473">
        <v>0</v>
      </c>
      <c r="AP3793" s="474">
        <v>0</v>
      </c>
      <c r="AQ3793" s="352"/>
      <c r="AR3793" s="352"/>
      <c r="AS3793" s="352"/>
      <c r="AT3793" s="352"/>
      <c r="AU3793" s="352"/>
      <c r="AV3793" s="352"/>
      <c r="AW3793" s="352" t="s">
        <v>254</v>
      </c>
    </row>
    <row r="3794" spans="2:49" x14ac:dyDescent="0.2">
      <c r="B3794" s="460" t="s">
        <v>3486</v>
      </c>
      <c r="C3794" s="460">
        <v>7000</v>
      </c>
      <c r="D3794" s="460" t="s">
        <v>2337</v>
      </c>
      <c r="E3794" s="460" t="s">
        <v>2333</v>
      </c>
      <c r="F3794" s="460">
        <v>4</v>
      </c>
      <c r="G3794" s="460">
        <v>3</v>
      </c>
      <c r="H3794" s="461" t="s">
        <v>712</v>
      </c>
      <c r="I3794" s="461" t="s">
        <v>713</v>
      </c>
      <c r="J3794" s="461" t="s">
        <v>712</v>
      </c>
      <c r="K3794" s="594"/>
      <c r="L3794" s="594"/>
      <c r="M3794" s="352">
        <v>7000</v>
      </c>
      <c r="N3794" s="352" t="s">
        <v>1891</v>
      </c>
      <c r="O3794" s="460">
        <v>5211</v>
      </c>
      <c r="P3794" s="460" t="s">
        <v>786</v>
      </c>
      <c r="Q3794" s="460" t="s">
        <v>2280</v>
      </c>
      <c r="R3794" s="460">
        <v>5211</v>
      </c>
      <c r="S3794" s="460" t="s">
        <v>2333</v>
      </c>
      <c r="T3794" s="462">
        <v>1</v>
      </c>
      <c r="U3794" s="460" t="s">
        <v>2333</v>
      </c>
      <c r="V3794" s="475">
        <v>0</v>
      </c>
      <c r="W3794" s="463" t="s">
        <v>713</v>
      </c>
      <c r="X3794" s="463" t="s">
        <v>713</v>
      </c>
      <c r="Y3794" s="463" t="s">
        <v>713</v>
      </c>
      <c r="Z3794" s="463"/>
      <c r="AA3794" s="463"/>
      <c r="AB3794" s="464">
        <v>0</v>
      </c>
      <c r="AC3794" s="465">
        <v>0</v>
      </c>
      <c r="AD3794" s="465">
        <v>0</v>
      </c>
      <c r="AE3794" s="476">
        <v>0</v>
      </c>
      <c r="AF3794" s="467">
        <v>0</v>
      </c>
      <c r="AG3794" s="468">
        <v>0</v>
      </c>
      <c r="AH3794" s="218">
        <v>0</v>
      </c>
      <c r="AI3794" s="470">
        <v>0</v>
      </c>
      <c r="AJ3794" s="471">
        <v>0</v>
      </c>
      <c r="AK3794" s="218">
        <v>0</v>
      </c>
      <c r="AL3794" s="470">
        <v>0</v>
      </c>
      <c r="AM3794" s="471">
        <v>0</v>
      </c>
      <c r="AN3794" s="477">
        <v>0</v>
      </c>
      <c r="AO3794" s="473">
        <v>0</v>
      </c>
      <c r="AP3794" s="474">
        <v>0</v>
      </c>
      <c r="AQ3794" s="352"/>
      <c r="AR3794" s="352"/>
      <c r="AS3794" s="352"/>
      <c r="AT3794" s="352"/>
      <c r="AU3794" s="352"/>
      <c r="AV3794" s="352"/>
      <c r="AW3794" s="352" t="s">
        <v>254</v>
      </c>
    </row>
    <row r="3795" spans="2:49" x14ac:dyDescent="0.2">
      <c r="B3795" s="460" t="s">
        <v>3483</v>
      </c>
      <c r="C3795" s="460">
        <v>7000</v>
      </c>
      <c r="D3795" s="460" t="s">
        <v>2338</v>
      </c>
      <c r="E3795" s="460" t="s">
        <v>2324</v>
      </c>
      <c r="F3795" s="460">
        <v>1</v>
      </c>
      <c r="G3795" s="460">
        <v>3</v>
      </c>
      <c r="H3795" s="461" t="s">
        <v>746</v>
      </c>
      <c r="I3795" s="461" t="s">
        <v>762</v>
      </c>
      <c r="J3795" s="461" t="s">
        <v>700</v>
      </c>
      <c r="K3795" s="594"/>
      <c r="L3795" s="594"/>
      <c r="M3795" s="352">
        <v>7000</v>
      </c>
      <c r="N3795" s="352" t="s">
        <v>1891</v>
      </c>
      <c r="O3795" s="460">
        <v>5211</v>
      </c>
      <c r="P3795" s="460" t="s">
        <v>786</v>
      </c>
      <c r="Q3795" s="460" t="s">
        <v>2553</v>
      </c>
      <c r="R3795" s="460">
        <v>5211</v>
      </c>
      <c r="S3795" s="460" t="s">
        <v>2324</v>
      </c>
      <c r="T3795" s="462">
        <v>1</v>
      </c>
      <c r="U3795" s="460" t="s">
        <v>2324</v>
      </c>
      <c r="V3795" s="475">
        <v>0</v>
      </c>
      <c r="W3795" s="463" t="s">
        <v>2268</v>
      </c>
      <c r="X3795" s="463" t="s">
        <v>2268</v>
      </c>
      <c r="Y3795" s="463" t="s">
        <v>2554</v>
      </c>
      <c r="Z3795" s="463"/>
      <c r="AA3795" s="463"/>
      <c r="AB3795" s="464">
        <v>0</v>
      </c>
      <c r="AC3795" s="465">
        <v>0</v>
      </c>
      <c r="AD3795" s="465">
        <v>0</v>
      </c>
      <c r="AE3795" s="476">
        <v>0</v>
      </c>
      <c r="AF3795" s="467">
        <v>0</v>
      </c>
      <c r="AG3795" s="468">
        <v>0</v>
      </c>
      <c r="AH3795" s="218">
        <v>0</v>
      </c>
      <c r="AI3795" s="470">
        <v>0</v>
      </c>
      <c r="AJ3795" s="471">
        <v>0</v>
      </c>
      <c r="AK3795" s="218">
        <v>0</v>
      </c>
      <c r="AL3795" s="470">
        <v>0</v>
      </c>
      <c r="AM3795" s="471">
        <v>0</v>
      </c>
      <c r="AN3795" s="477">
        <v>0</v>
      </c>
      <c r="AO3795" s="473">
        <v>0</v>
      </c>
      <c r="AP3795" s="474">
        <v>0</v>
      </c>
      <c r="AQ3795" s="352"/>
      <c r="AR3795" s="352"/>
      <c r="AS3795" s="352"/>
      <c r="AT3795" s="352"/>
      <c r="AU3795" s="352"/>
      <c r="AV3795" s="352"/>
      <c r="AW3795" s="352" t="s">
        <v>254</v>
      </c>
    </row>
    <row r="3796" spans="2:49" x14ac:dyDescent="0.2">
      <c r="B3796" s="460" t="s">
        <v>3484</v>
      </c>
      <c r="C3796" s="460">
        <v>7000</v>
      </c>
      <c r="D3796" s="460" t="s">
        <v>2339</v>
      </c>
      <c r="E3796" s="460" t="s">
        <v>2327</v>
      </c>
      <c r="F3796" s="460">
        <v>2</v>
      </c>
      <c r="G3796" s="460">
        <v>3</v>
      </c>
      <c r="H3796" s="461" t="s">
        <v>746</v>
      </c>
      <c r="I3796" s="461" t="s">
        <v>762</v>
      </c>
      <c r="J3796" s="461" t="s">
        <v>700</v>
      </c>
      <c r="K3796" s="594"/>
      <c r="L3796" s="594"/>
      <c r="M3796" s="352">
        <v>7000</v>
      </c>
      <c r="N3796" s="352" t="s">
        <v>1891</v>
      </c>
      <c r="O3796" s="460">
        <v>5211</v>
      </c>
      <c r="P3796" s="460" t="s">
        <v>786</v>
      </c>
      <c r="Q3796" s="460" t="s">
        <v>2553</v>
      </c>
      <c r="R3796" s="460">
        <v>5211</v>
      </c>
      <c r="S3796" s="460" t="s">
        <v>2324</v>
      </c>
      <c r="T3796" s="462">
        <v>1</v>
      </c>
      <c r="U3796" s="460" t="s">
        <v>2327</v>
      </c>
      <c r="V3796" s="475">
        <v>0</v>
      </c>
      <c r="W3796" s="463" t="s">
        <v>2268</v>
      </c>
      <c r="X3796" s="463" t="s">
        <v>2268</v>
      </c>
      <c r="Y3796" s="463" t="s">
        <v>2554</v>
      </c>
      <c r="Z3796" s="463"/>
      <c r="AA3796" s="463"/>
      <c r="AB3796" s="464">
        <v>0</v>
      </c>
      <c r="AC3796" s="465">
        <v>0</v>
      </c>
      <c r="AD3796" s="465">
        <v>0</v>
      </c>
      <c r="AE3796" s="476">
        <v>0</v>
      </c>
      <c r="AF3796" s="467">
        <v>0</v>
      </c>
      <c r="AG3796" s="468">
        <v>0</v>
      </c>
      <c r="AH3796" s="218">
        <v>0</v>
      </c>
      <c r="AI3796" s="470">
        <v>0</v>
      </c>
      <c r="AJ3796" s="471">
        <v>0</v>
      </c>
      <c r="AK3796" s="218">
        <v>0</v>
      </c>
      <c r="AL3796" s="470">
        <v>0</v>
      </c>
      <c r="AM3796" s="471">
        <v>0</v>
      </c>
      <c r="AN3796" s="477">
        <v>0</v>
      </c>
      <c r="AO3796" s="473">
        <v>0</v>
      </c>
      <c r="AP3796" s="474">
        <v>0</v>
      </c>
      <c r="AQ3796" s="352"/>
      <c r="AR3796" s="352"/>
      <c r="AS3796" s="352"/>
      <c r="AT3796" s="352"/>
      <c r="AU3796" s="352"/>
      <c r="AV3796" s="352"/>
      <c r="AW3796" s="352" t="s">
        <v>254</v>
      </c>
    </row>
    <row r="3797" spans="2:49" x14ac:dyDescent="0.2">
      <c r="B3797" s="460" t="s">
        <v>3485</v>
      </c>
      <c r="C3797" s="460">
        <v>7000</v>
      </c>
      <c r="D3797" s="460" t="s">
        <v>2340</v>
      </c>
      <c r="E3797" s="460" t="s">
        <v>2330</v>
      </c>
      <c r="F3797" s="460">
        <v>3</v>
      </c>
      <c r="G3797" s="460">
        <v>3</v>
      </c>
      <c r="H3797" s="461" t="s">
        <v>746</v>
      </c>
      <c r="I3797" s="461" t="s">
        <v>762</v>
      </c>
      <c r="J3797" s="461" t="s">
        <v>700</v>
      </c>
      <c r="K3797" s="594"/>
      <c r="L3797" s="594"/>
      <c r="M3797" s="352">
        <v>7000</v>
      </c>
      <c r="N3797" s="352" t="s">
        <v>1891</v>
      </c>
      <c r="O3797" s="460">
        <v>5211</v>
      </c>
      <c r="P3797" s="460" t="s">
        <v>786</v>
      </c>
      <c r="Q3797" s="460" t="s">
        <v>2553</v>
      </c>
      <c r="R3797" s="460">
        <v>5211</v>
      </c>
      <c r="S3797" s="460" t="s">
        <v>2324</v>
      </c>
      <c r="T3797" s="462">
        <v>1</v>
      </c>
      <c r="U3797" s="460" t="s">
        <v>2330</v>
      </c>
      <c r="V3797" s="475">
        <v>0</v>
      </c>
      <c r="W3797" s="463" t="s">
        <v>2268</v>
      </c>
      <c r="X3797" s="463" t="s">
        <v>2268</v>
      </c>
      <c r="Y3797" s="463" t="s">
        <v>2554</v>
      </c>
      <c r="Z3797" s="463"/>
      <c r="AA3797" s="463"/>
      <c r="AB3797" s="464">
        <v>0</v>
      </c>
      <c r="AC3797" s="465">
        <v>0</v>
      </c>
      <c r="AD3797" s="465">
        <v>0</v>
      </c>
      <c r="AE3797" s="476">
        <v>0</v>
      </c>
      <c r="AF3797" s="467">
        <v>0</v>
      </c>
      <c r="AG3797" s="468">
        <v>0</v>
      </c>
      <c r="AH3797" s="218">
        <v>0</v>
      </c>
      <c r="AI3797" s="470">
        <v>0</v>
      </c>
      <c r="AJ3797" s="471">
        <v>0</v>
      </c>
      <c r="AK3797" s="218">
        <v>0</v>
      </c>
      <c r="AL3797" s="470">
        <v>0</v>
      </c>
      <c r="AM3797" s="471">
        <v>0</v>
      </c>
      <c r="AN3797" s="477">
        <v>0</v>
      </c>
      <c r="AO3797" s="473">
        <v>0</v>
      </c>
      <c r="AP3797" s="474">
        <v>0</v>
      </c>
      <c r="AQ3797" s="352"/>
      <c r="AR3797" s="352"/>
      <c r="AS3797" s="352"/>
      <c r="AT3797" s="352"/>
      <c r="AU3797" s="352"/>
      <c r="AV3797" s="352"/>
      <c r="AW3797" s="352" t="s">
        <v>254</v>
      </c>
    </row>
    <row r="3798" spans="2:49" x14ac:dyDescent="0.2">
      <c r="B3798" s="460" t="s">
        <v>3486</v>
      </c>
      <c r="C3798" s="460">
        <v>7000</v>
      </c>
      <c r="D3798" s="460" t="s">
        <v>2341</v>
      </c>
      <c r="E3798" s="460" t="s">
        <v>2333</v>
      </c>
      <c r="F3798" s="460">
        <v>4</v>
      </c>
      <c r="G3798" s="460">
        <v>3</v>
      </c>
      <c r="H3798" s="461" t="s">
        <v>746</v>
      </c>
      <c r="I3798" s="461" t="s">
        <v>762</v>
      </c>
      <c r="J3798" s="461" t="s">
        <v>700</v>
      </c>
      <c r="K3798" s="594"/>
      <c r="L3798" s="594"/>
      <c r="M3798" s="352">
        <v>7000</v>
      </c>
      <c r="N3798" s="352" t="s">
        <v>1891</v>
      </c>
      <c r="O3798" s="460">
        <v>5211</v>
      </c>
      <c r="P3798" s="460" t="s">
        <v>786</v>
      </c>
      <c r="Q3798" s="460" t="s">
        <v>2553</v>
      </c>
      <c r="R3798" s="460">
        <v>5211</v>
      </c>
      <c r="S3798" s="460" t="s">
        <v>2333</v>
      </c>
      <c r="T3798" s="462">
        <v>1</v>
      </c>
      <c r="U3798" s="460" t="s">
        <v>2333</v>
      </c>
      <c r="V3798" s="475">
        <v>0</v>
      </c>
      <c r="W3798" s="463" t="s">
        <v>2268</v>
      </c>
      <c r="X3798" s="463" t="s">
        <v>2268</v>
      </c>
      <c r="Y3798" s="463" t="s">
        <v>2554</v>
      </c>
      <c r="Z3798" s="463"/>
      <c r="AA3798" s="463"/>
      <c r="AB3798" s="464">
        <v>0</v>
      </c>
      <c r="AC3798" s="465">
        <v>0</v>
      </c>
      <c r="AD3798" s="465">
        <v>0</v>
      </c>
      <c r="AE3798" s="476">
        <v>0</v>
      </c>
      <c r="AF3798" s="467">
        <v>0</v>
      </c>
      <c r="AG3798" s="468">
        <v>0</v>
      </c>
      <c r="AH3798" s="218">
        <v>0</v>
      </c>
      <c r="AI3798" s="470">
        <v>0</v>
      </c>
      <c r="AJ3798" s="471">
        <v>0</v>
      </c>
      <c r="AK3798" s="218">
        <v>0</v>
      </c>
      <c r="AL3798" s="470">
        <v>0</v>
      </c>
      <c r="AM3798" s="471">
        <v>0</v>
      </c>
      <c r="AN3798" s="477">
        <v>0</v>
      </c>
      <c r="AO3798" s="473">
        <v>0</v>
      </c>
      <c r="AP3798" s="474">
        <v>0</v>
      </c>
      <c r="AQ3798" s="352"/>
      <c r="AR3798" s="352"/>
      <c r="AS3798" s="352"/>
      <c r="AT3798" s="352"/>
      <c r="AU3798" s="352"/>
      <c r="AV3798" s="352"/>
      <c r="AW3798" s="352" t="s">
        <v>254</v>
      </c>
    </row>
    <row r="3799" spans="2:49" x14ac:dyDescent="0.2">
      <c r="B3799" s="460" t="s">
        <v>3483</v>
      </c>
      <c r="C3799" s="460">
        <v>7000</v>
      </c>
      <c r="D3799" s="460" t="s">
        <v>2342</v>
      </c>
      <c r="E3799" s="460" t="s">
        <v>2324</v>
      </c>
      <c r="F3799" s="460">
        <v>1</v>
      </c>
      <c r="G3799" s="460">
        <v>3</v>
      </c>
      <c r="H3799" s="461" t="s">
        <v>748</v>
      </c>
      <c r="I3799" s="461" t="s">
        <v>765</v>
      </c>
      <c r="J3799" s="461" t="s">
        <v>700</v>
      </c>
      <c r="K3799" s="594"/>
      <c r="L3799" s="594"/>
      <c r="M3799" s="352">
        <v>7000</v>
      </c>
      <c r="N3799" s="352" t="s">
        <v>1891</v>
      </c>
      <c r="O3799" s="460">
        <v>5211</v>
      </c>
      <c r="P3799" s="460" t="s">
        <v>786</v>
      </c>
      <c r="Q3799" s="460" t="s">
        <v>2553</v>
      </c>
      <c r="R3799" s="460">
        <v>5211</v>
      </c>
      <c r="S3799" s="460" t="s">
        <v>2324</v>
      </c>
      <c r="T3799" s="462">
        <v>1</v>
      </c>
      <c r="U3799" s="460" t="s">
        <v>2324</v>
      </c>
      <c r="V3799" s="475">
        <v>0</v>
      </c>
      <c r="W3799" s="463" t="s">
        <v>2268</v>
      </c>
      <c r="X3799" s="463" t="s">
        <v>2268</v>
      </c>
      <c r="Y3799" s="463" t="s">
        <v>2554</v>
      </c>
      <c r="Z3799" s="463"/>
      <c r="AA3799" s="463"/>
      <c r="AB3799" s="464">
        <v>0</v>
      </c>
      <c r="AC3799" s="465">
        <v>0</v>
      </c>
      <c r="AD3799" s="465">
        <v>0</v>
      </c>
      <c r="AE3799" s="476">
        <v>0</v>
      </c>
      <c r="AF3799" s="467">
        <v>0</v>
      </c>
      <c r="AG3799" s="468">
        <v>0</v>
      </c>
      <c r="AH3799" s="218">
        <v>0</v>
      </c>
      <c r="AI3799" s="470">
        <v>0</v>
      </c>
      <c r="AJ3799" s="471">
        <v>0</v>
      </c>
      <c r="AK3799" s="218">
        <v>0</v>
      </c>
      <c r="AL3799" s="470">
        <v>0</v>
      </c>
      <c r="AM3799" s="471">
        <v>0</v>
      </c>
      <c r="AN3799" s="477">
        <v>0</v>
      </c>
      <c r="AO3799" s="473">
        <v>0</v>
      </c>
      <c r="AP3799" s="474">
        <v>0</v>
      </c>
      <c r="AQ3799" s="352"/>
      <c r="AR3799" s="352"/>
      <c r="AS3799" s="352"/>
      <c r="AT3799" s="352"/>
      <c r="AU3799" s="352"/>
      <c r="AV3799" s="352"/>
      <c r="AW3799" s="352" t="s">
        <v>254</v>
      </c>
    </row>
    <row r="3800" spans="2:49" x14ac:dyDescent="0.2">
      <c r="B3800" s="460" t="s">
        <v>3484</v>
      </c>
      <c r="C3800" s="460">
        <v>7000</v>
      </c>
      <c r="D3800" s="460" t="s">
        <v>2343</v>
      </c>
      <c r="E3800" s="460" t="s">
        <v>2327</v>
      </c>
      <c r="F3800" s="460">
        <v>2</v>
      </c>
      <c r="G3800" s="460">
        <v>3</v>
      </c>
      <c r="H3800" s="461" t="s">
        <v>748</v>
      </c>
      <c r="I3800" s="461" t="s">
        <v>765</v>
      </c>
      <c r="J3800" s="461" t="s">
        <v>700</v>
      </c>
      <c r="K3800" s="594"/>
      <c r="L3800" s="594"/>
      <c r="M3800" s="352">
        <v>7000</v>
      </c>
      <c r="N3800" s="352" t="s">
        <v>1891</v>
      </c>
      <c r="O3800" s="460">
        <v>5211</v>
      </c>
      <c r="P3800" s="460" t="s">
        <v>786</v>
      </c>
      <c r="Q3800" s="460" t="s">
        <v>2553</v>
      </c>
      <c r="R3800" s="460">
        <v>5211</v>
      </c>
      <c r="S3800" s="460" t="s">
        <v>2324</v>
      </c>
      <c r="T3800" s="462">
        <v>1</v>
      </c>
      <c r="U3800" s="460" t="s">
        <v>2327</v>
      </c>
      <c r="V3800" s="475">
        <v>0</v>
      </c>
      <c r="W3800" s="463" t="s">
        <v>2268</v>
      </c>
      <c r="X3800" s="463" t="s">
        <v>2268</v>
      </c>
      <c r="Y3800" s="463" t="s">
        <v>2554</v>
      </c>
      <c r="Z3800" s="463"/>
      <c r="AA3800" s="463"/>
      <c r="AB3800" s="464">
        <v>0</v>
      </c>
      <c r="AC3800" s="465">
        <v>0</v>
      </c>
      <c r="AD3800" s="465">
        <v>0</v>
      </c>
      <c r="AE3800" s="476">
        <v>0</v>
      </c>
      <c r="AF3800" s="467">
        <v>0</v>
      </c>
      <c r="AG3800" s="468">
        <v>0</v>
      </c>
      <c r="AH3800" s="218">
        <v>0</v>
      </c>
      <c r="AI3800" s="470">
        <v>0</v>
      </c>
      <c r="AJ3800" s="471">
        <v>0</v>
      </c>
      <c r="AK3800" s="218">
        <v>0</v>
      </c>
      <c r="AL3800" s="470">
        <v>0</v>
      </c>
      <c r="AM3800" s="471">
        <v>0</v>
      </c>
      <c r="AN3800" s="477">
        <v>0</v>
      </c>
      <c r="AO3800" s="473">
        <v>0</v>
      </c>
      <c r="AP3800" s="474">
        <v>0</v>
      </c>
      <c r="AQ3800" s="352"/>
      <c r="AR3800" s="352"/>
      <c r="AS3800" s="352"/>
      <c r="AT3800" s="352"/>
      <c r="AU3800" s="352"/>
      <c r="AV3800" s="352"/>
      <c r="AW3800" s="352" t="s">
        <v>254</v>
      </c>
    </row>
    <row r="3801" spans="2:49" x14ac:dyDescent="0.2">
      <c r="B3801" s="460" t="s">
        <v>3485</v>
      </c>
      <c r="C3801" s="460">
        <v>7000</v>
      </c>
      <c r="D3801" s="460" t="s">
        <v>2344</v>
      </c>
      <c r="E3801" s="460" t="s">
        <v>2330</v>
      </c>
      <c r="F3801" s="460">
        <v>3</v>
      </c>
      <c r="G3801" s="460">
        <v>3</v>
      </c>
      <c r="H3801" s="461" t="s">
        <v>748</v>
      </c>
      <c r="I3801" s="461" t="s">
        <v>765</v>
      </c>
      <c r="J3801" s="461" t="s">
        <v>700</v>
      </c>
      <c r="K3801" s="594"/>
      <c r="L3801" s="594"/>
      <c r="M3801" s="352">
        <v>7000</v>
      </c>
      <c r="N3801" s="352" t="s">
        <v>1891</v>
      </c>
      <c r="O3801" s="460">
        <v>5211</v>
      </c>
      <c r="P3801" s="460" t="s">
        <v>786</v>
      </c>
      <c r="Q3801" s="460" t="s">
        <v>2553</v>
      </c>
      <c r="R3801" s="460">
        <v>5211</v>
      </c>
      <c r="S3801" s="460" t="s">
        <v>2324</v>
      </c>
      <c r="T3801" s="462">
        <v>1</v>
      </c>
      <c r="U3801" s="460" t="s">
        <v>2330</v>
      </c>
      <c r="V3801" s="475">
        <v>0</v>
      </c>
      <c r="W3801" s="463" t="s">
        <v>2268</v>
      </c>
      <c r="X3801" s="463" t="s">
        <v>2268</v>
      </c>
      <c r="Y3801" s="463" t="s">
        <v>2554</v>
      </c>
      <c r="Z3801" s="463"/>
      <c r="AA3801" s="463"/>
      <c r="AB3801" s="464">
        <v>0</v>
      </c>
      <c r="AC3801" s="465">
        <v>0</v>
      </c>
      <c r="AD3801" s="465">
        <v>0</v>
      </c>
      <c r="AE3801" s="476">
        <v>0</v>
      </c>
      <c r="AF3801" s="467">
        <v>0</v>
      </c>
      <c r="AG3801" s="468">
        <v>0</v>
      </c>
      <c r="AH3801" s="218">
        <v>0</v>
      </c>
      <c r="AI3801" s="470">
        <v>0</v>
      </c>
      <c r="AJ3801" s="471">
        <v>0</v>
      </c>
      <c r="AK3801" s="218">
        <v>0</v>
      </c>
      <c r="AL3801" s="470">
        <v>0</v>
      </c>
      <c r="AM3801" s="471">
        <v>0</v>
      </c>
      <c r="AN3801" s="477">
        <v>0</v>
      </c>
      <c r="AO3801" s="473">
        <v>0</v>
      </c>
      <c r="AP3801" s="474">
        <v>0</v>
      </c>
      <c r="AQ3801" s="352"/>
      <c r="AR3801" s="352"/>
      <c r="AS3801" s="352"/>
      <c r="AT3801" s="352"/>
      <c r="AU3801" s="352"/>
      <c r="AV3801" s="352"/>
      <c r="AW3801" s="352" t="s">
        <v>254</v>
      </c>
    </row>
    <row r="3802" spans="2:49" x14ac:dyDescent="0.2">
      <c r="B3802" s="460" t="s">
        <v>3486</v>
      </c>
      <c r="C3802" s="460">
        <v>7000</v>
      </c>
      <c r="D3802" s="460" t="s">
        <v>2345</v>
      </c>
      <c r="E3802" s="460" t="s">
        <v>2333</v>
      </c>
      <c r="F3802" s="460">
        <v>4</v>
      </c>
      <c r="G3802" s="460">
        <v>3</v>
      </c>
      <c r="H3802" s="461" t="s">
        <v>748</v>
      </c>
      <c r="I3802" s="461" t="s">
        <v>765</v>
      </c>
      <c r="J3802" s="461" t="s">
        <v>700</v>
      </c>
      <c r="K3802" s="594"/>
      <c r="L3802" s="594"/>
      <c r="M3802" s="352">
        <v>7000</v>
      </c>
      <c r="N3802" s="352" t="s">
        <v>1891</v>
      </c>
      <c r="O3802" s="460">
        <v>5211</v>
      </c>
      <c r="P3802" s="460" t="s">
        <v>786</v>
      </c>
      <c r="Q3802" s="460" t="s">
        <v>2553</v>
      </c>
      <c r="R3802" s="460">
        <v>5211</v>
      </c>
      <c r="S3802" s="460" t="s">
        <v>2333</v>
      </c>
      <c r="T3802" s="462">
        <v>1</v>
      </c>
      <c r="U3802" s="460" t="s">
        <v>2333</v>
      </c>
      <c r="V3802" s="475">
        <v>0</v>
      </c>
      <c r="W3802" s="463" t="s">
        <v>2268</v>
      </c>
      <c r="X3802" s="463" t="s">
        <v>2268</v>
      </c>
      <c r="Y3802" s="463" t="s">
        <v>2554</v>
      </c>
      <c r="Z3802" s="463"/>
      <c r="AA3802" s="463"/>
      <c r="AB3802" s="464">
        <v>0</v>
      </c>
      <c r="AC3802" s="465">
        <v>0</v>
      </c>
      <c r="AD3802" s="465">
        <v>0</v>
      </c>
      <c r="AE3802" s="476">
        <v>0</v>
      </c>
      <c r="AF3802" s="467">
        <v>0</v>
      </c>
      <c r="AG3802" s="468">
        <v>0</v>
      </c>
      <c r="AH3802" s="218">
        <v>0</v>
      </c>
      <c r="AI3802" s="470">
        <v>0</v>
      </c>
      <c r="AJ3802" s="471">
        <v>0</v>
      </c>
      <c r="AK3802" s="218">
        <v>0</v>
      </c>
      <c r="AL3802" s="470">
        <v>0</v>
      </c>
      <c r="AM3802" s="471">
        <v>0</v>
      </c>
      <c r="AN3802" s="477">
        <v>0</v>
      </c>
      <c r="AO3802" s="473">
        <v>0</v>
      </c>
      <c r="AP3802" s="474">
        <v>0</v>
      </c>
      <c r="AQ3802" s="352"/>
      <c r="AR3802" s="352"/>
      <c r="AS3802" s="352"/>
      <c r="AT3802" s="352"/>
      <c r="AU3802" s="352"/>
      <c r="AV3802" s="352"/>
      <c r="AW3802" s="352" t="s">
        <v>254</v>
      </c>
    </row>
    <row r="3803" spans="2:49" x14ac:dyDescent="0.2">
      <c r="B3803" s="460" t="s">
        <v>3483</v>
      </c>
      <c r="C3803" s="460">
        <v>7000</v>
      </c>
      <c r="D3803" s="460" t="s">
        <v>3462</v>
      </c>
      <c r="E3803" s="460" t="s">
        <v>2324</v>
      </c>
      <c r="F3803" s="460">
        <v>1</v>
      </c>
      <c r="G3803" s="460">
        <v>3</v>
      </c>
      <c r="H3803" s="461" t="s">
        <v>754</v>
      </c>
      <c r="I3803" s="461" t="s">
        <v>1991</v>
      </c>
      <c r="J3803" s="461" t="s">
        <v>754</v>
      </c>
      <c r="K3803" s="594"/>
      <c r="L3803" s="594"/>
      <c r="M3803" s="352">
        <v>7000</v>
      </c>
      <c r="N3803" s="352" t="s">
        <v>1891</v>
      </c>
      <c r="O3803" s="460">
        <v>5211</v>
      </c>
      <c r="P3803" s="460" t="s">
        <v>786</v>
      </c>
      <c r="Q3803" s="460" t="s">
        <v>3478</v>
      </c>
      <c r="R3803" s="460">
        <v>5211</v>
      </c>
      <c r="S3803" s="460" t="s">
        <v>2324</v>
      </c>
      <c r="T3803" s="462">
        <v>1</v>
      </c>
      <c r="U3803" s="460" t="s">
        <v>2324</v>
      </c>
      <c r="V3803" s="475">
        <v>0</v>
      </c>
      <c r="W3803" s="463" t="s">
        <v>2278</v>
      </c>
      <c r="X3803" s="463" t="s">
        <v>2278</v>
      </c>
      <c r="Y3803" s="463" t="s">
        <v>2278</v>
      </c>
      <c r="Z3803" s="463"/>
      <c r="AA3803" s="463"/>
      <c r="AB3803" s="464">
        <v>17.970046316929135</v>
      </c>
      <c r="AC3803" s="465">
        <v>0.10391750445543628</v>
      </c>
      <c r="AD3803" s="465">
        <v>2.5692432951660005E-2</v>
      </c>
      <c r="AE3803" s="476">
        <v>17.970046316929135</v>
      </c>
      <c r="AF3803" s="467">
        <v>0.10391750445543628</v>
      </c>
      <c r="AG3803" s="468">
        <v>2.5692432951660005E-2</v>
      </c>
      <c r="AH3803" s="218">
        <v>17.970046316929135</v>
      </c>
      <c r="AI3803" s="470">
        <v>0.10391750445543628</v>
      </c>
      <c r="AJ3803" s="471">
        <v>2.5692432951660005E-2</v>
      </c>
      <c r="AK3803" s="218">
        <v>17.970046316929135</v>
      </c>
      <c r="AL3803" s="470">
        <v>0.10391750445543628</v>
      </c>
      <c r="AM3803" s="471">
        <v>2.5692432951660005E-2</v>
      </c>
      <c r="AN3803" s="477">
        <v>17.970046316929135</v>
      </c>
      <c r="AO3803" s="473">
        <v>0.10391750445543628</v>
      </c>
      <c r="AP3803" s="474">
        <v>2.5692432951660005E-2</v>
      </c>
      <c r="AQ3803" s="352"/>
      <c r="AR3803" s="352"/>
      <c r="AS3803" s="352"/>
      <c r="AT3803" s="352"/>
      <c r="AU3803" s="352"/>
      <c r="AV3803" s="352"/>
      <c r="AW3803" s="352" t="s">
        <v>127</v>
      </c>
    </row>
    <row r="3804" spans="2:49" x14ac:dyDescent="0.2">
      <c r="B3804" s="460" t="s">
        <v>3484</v>
      </c>
      <c r="C3804" s="460">
        <v>7000</v>
      </c>
      <c r="D3804" s="460" t="s">
        <v>3463</v>
      </c>
      <c r="E3804" s="460" t="s">
        <v>2327</v>
      </c>
      <c r="F3804" s="460">
        <v>2</v>
      </c>
      <c r="G3804" s="460">
        <v>3</v>
      </c>
      <c r="H3804" s="461" t="s">
        <v>754</v>
      </c>
      <c r="I3804" s="461" t="s">
        <v>1991</v>
      </c>
      <c r="J3804" s="461" t="s">
        <v>754</v>
      </c>
      <c r="K3804" s="594"/>
      <c r="L3804" s="594"/>
      <c r="M3804" s="352">
        <v>7000</v>
      </c>
      <c r="N3804" s="352" t="s">
        <v>1891</v>
      </c>
      <c r="O3804" s="460">
        <v>5211</v>
      </c>
      <c r="P3804" s="460" t="s">
        <v>786</v>
      </c>
      <c r="Q3804" s="460" t="s">
        <v>3478</v>
      </c>
      <c r="R3804" s="460">
        <v>5211</v>
      </c>
      <c r="S3804" s="460" t="s">
        <v>2324</v>
      </c>
      <c r="T3804" s="462">
        <v>1</v>
      </c>
      <c r="U3804" s="460" t="s">
        <v>2327</v>
      </c>
      <c r="V3804" s="475">
        <v>0</v>
      </c>
      <c r="W3804" s="463" t="s">
        <v>2278</v>
      </c>
      <c r="X3804" s="463" t="s">
        <v>2278</v>
      </c>
      <c r="Y3804" s="463" t="s">
        <v>2278</v>
      </c>
      <c r="Z3804" s="463"/>
      <c r="AA3804" s="463"/>
      <c r="AB3804" s="464">
        <v>11.709670133636481</v>
      </c>
      <c r="AC3804" s="465">
        <v>1</v>
      </c>
      <c r="AD3804" s="465">
        <v>6.1441805009233866E-2</v>
      </c>
      <c r="AE3804" s="476">
        <v>11.709670133636481</v>
      </c>
      <c r="AF3804" s="467">
        <v>1</v>
      </c>
      <c r="AG3804" s="468">
        <v>6.1441805009233866E-2</v>
      </c>
      <c r="AH3804" s="218">
        <v>11.709670133636481</v>
      </c>
      <c r="AI3804" s="470">
        <v>1</v>
      </c>
      <c r="AJ3804" s="471">
        <v>6.1441805009233866E-2</v>
      </c>
      <c r="AK3804" s="218">
        <v>11.709670133636481</v>
      </c>
      <c r="AL3804" s="470">
        <v>1</v>
      </c>
      <c r="AM3804" s="471">
        <v>6.1441805009233866E-2</v>
      </c>
      <c r="AN3804" s="477">
        <v>11.709670133636481</v>
      </c>
      <c r="AO3804" s="473">
        <v>1</v>
      </c>
      <c r="AP3804" s="474">
        <v>6.1441805009233866E-2</v>
      </c>
      <c r="AQ3804" s="352"/>
      <c r="AR3804" s="352"/>
      <c r="AS3804" s="352"/>
      <c r="AT3804" s="352"/>
      <c r="AU3804" s="352"/>
      <c r="AV3804" s="352"/>
      <c r="AW3804" s="352" t="s">
        <v>127</v>
      </c>
    </row>
    <row r="3805" spans="2:49" x14ac:dyDescent="0.2">
      <c r="B3805" s="460" t="s">
        <v>3485</v>
      </c>
      <c r="C3805" s="460">
        <v>7000</v>
      </c>
      <c r="D3805" s="460" t="s">
        <v>3464</v>
      </c>
      <c r="E3805" s="460" t="s">
        <v>2330</v>
      </c>
      <c r="F3805" s="460">
        <v>3</v>
      </c>
      <c r="G3805" s="460">
        <v>3</v>
      </c>
      <c r="H3805" s="461" t="s">
        <v>754</v>
      </c>
      <c r="I3805" s="461" t="s">
        <v>1991</v>
      </c>
      <c r="J3805" s="461" t="s">
        <v>754</v>
      </c>
      <c r="K3805" s="594"/>
      <c r="L3805" s="594"/>
      <c r="M3805" s="352">
        <v>7000</v>
      </c>
      <c r="N3805" s="352" t="s">
        <v>1891</v>
      </c>
      <c r="O3805" s="460">
        <v>5211</v>
      </c>
      <c r="P3805" s="460" t="s">
        <v>786</v>
      </c>
      <c r="Q3805" s="460" t="s">
        <v>3478</v>
      </c>
      <c r="R3805" s="460">
        <v>5211</v>
      </c>
      <c r="S3805" s="460" t="s">
        <v>2324</v>
      </c>
      <c r="T3805" s="462">
        <v>1</v>
      </c>
      <c r="U3805" s="460" t="s">
        <v>2330</v>
      </c>
      <c r="V3805" s="475">
        <v>0</v>
      </c>
      <c r="W3805" s="463" t="s">
        <v>2278</v>
      </c>
      <c r="X3805" s="463" t="s">
        <v>2278</v>
      </c>
      <c r="Y3805" s="463" t="s">
        <v>2278</v>
      </c>
      <c r="Z3805" s="463"/>
      <c r="AA3805" s="463"/>
      <c r="AB3805" s="464">
        <v>0.98100435839663758</v>
      </c>
      <c r="AC3805" s="465">
        <v>1</v>
      </c>
      <c r="AD3805" s="465">
        <v>0.24781681418003523</v>
      </c>
      <c r="AE3805" s="476">
        <v>0.98100435839663758</v>
      </c>
      <c r="AF3805" s="467">
        <v>1</v>
      </c>
      <c r="AG3805" s="468">
        <v>0.24781681418003523</v>
      </c>
      <c r="AH3805" s="218">
        <v>0.98100435839663758</v>
      </c>
      <c r="AI3805" s="470">
        <v>1</v>
      </c>
      <c r="AJ3805" s="471">
        <v>0.24781681418003523</v>
      </c>
      <c r="AK3805" s="218">
        <v>0.98100435839663758</v>
      </c>
      <c r="AL3805" s="470">
        <v>1</v>
      </c>
      <c r="AM3805" s="471">
        <v>0.24781681418003523</v>
      </c>
      <c r="AN3805" s="477">
        <v>0.98100435839663758</v>
      </c>
      <c r="AO3805" s="473">
        <v>1</v>
      </c>
      <c r="AP3805" s="474">
        <v>0.24781681418003523</v>
      </c>
      <c r="AQ3805" s="352"/>
      <c r="AR3805" s="352"/>
      <c r="AS3805" s="352"/>
      <c r="AT3805" s="352"/>
      <c r="AU3805" s="352"/>
      <c r="AV3805" s="352"/>
      <c r="AW3805" s="352" t="s">
        <v>127</v>
      </c>
    </row>
    <row r="3806" spans="2:49" x14ac:dyDescent="0.2">
      <c r="B3806" s="460" t="s">
        <v>3486</v>
      </c>
      <c r="C3806" s="460">
        <v>7000</v>
      </c>
      <c r="D3806" s="460" t="s">
        <v>3465</v>
      </c>
      <c r="E3806" s="460" t="s">
        <v>2333</v>
      </c>
      <c r="F3806" s="460">
        <v>4</v>
      </c>
      <c r="G3806" s="460">
        <v>3</v>
      </c>
      <c r="H3806" s="461" t="s">
        <v>754</v>
      </c>
      <c r="I3806" s="461" t="s">
        <v>1991</v>
      </c>
      <c r="J3806" s="461" t="s">
        <v>754</v>
      </c>
      <c r="K3806" s="594"/>
      <c r="L3806" s="594"/>
      <c r="M3806" s="352">
        <v>7000</v>
      </c>
      <c r="N3806" s="352" t="s">
        <v>1891</v>
      </c>
      <c r="O3806" s="460">
        <v>5211</v>
      </c>
      <c r="P3806" s="460" t="s">
        <v>786</v>
      </c>
      <c r="Q3806" s="460" t="s">
        <v>3478</v>
      </c>
      <c r="R3806" s="460">
        <v>5211</v>
      </c>
      <c r="S3806" s="460" t="s">
        <v>2333</v>
      </c>
      <c r="T3806" s="462">
        <v>1</v>
      </c>
      <c r="U3806" s="460" t="s">
        <v>2333</v>
      </c>
      <c r="V3806" s="475">
        <v>0</v>
      </c>
      <c r="W3806" s="463" t="s">
        <v>2278</v>
      </c>
      <c r="X3806" s="463" t="s">
        <v>2278</v>
      </c>
      <c r="Y3806" s="463" t="s">
        <v>2278</v>
      </c>
      <c r="Z3806" s="463"/>
      <c r="AA3806" s="463"/>
      <c r="AB3806" s="464">
        <v>0</v>
      </c>
      <c r="AC3806" s="465">
        <v>0</v>
      </c>
      <c r="AD3806" s="465">
        <v>0</v>
      </c>
      <c r="AE3806" s="476">
        <v>0</v>
      </c>
      <c r="AF3806" s="467">
        <v>0</v>
      </c>
      <c r="AG3806" s="468">
        <v>0</v>
      </c>
      <c r="AH3806" s="218">
        <v>0</v>
      </c>
      <c r="AI3806" s="470">
        <v>0</v>
      </c>
      <c r="AJ3806" s="471">
        <v>0</v>
      </c>
      <c r="AK3806" s="218">
        <v>0</v>
      </c>
      <c r="AL3806" s="470">
        <v>0</v>
      </c>
      <c r="AM3806" s="471">
        <v>0</v>
      </c>
      <c r="AN3806" s="477">
        <v>0</v>
      </c>
      <c r="AO3806" s="473">
        <v>0</v>
      </c>
      <c r="AP3806" s="474">
        <v>0</v>
      </c>
      <c r="AQ3806" s="352"/>
      <c r="AR3806" s="352"/>
      <c r="AS3806" s="352"/>
      <c r="AT3806" s="352"/>
      <c r="AU3806" s="352"/>
      <c r="AV3806" s="352"/>
      <c r="AW3806" s="352" t="s">
        <v>127</v>
      </c>
    </row>
    <row r="3807" spans="2:49" x14ac:dyDescent="0.2">
      <c r="B3807" s="460" t="s">
        <v>3487</v>
      </c>
      <c r="C3807" s="460">
        <v>7000</v>
      </c>
      <c r="D3807" s="460" t="s">
        <v>2351</v>
      </c>
      <c r="E3807" s="460" t="s">
        <v>1136</v>
      </c>
      <c r="F3807" s="460">
        <v>1</v>
      </c>
      <c r="G3807" s="460">
        <v>4</v>
      </c>
      <c r="H3807" s="461" t="s">
        <v>700</v>
      </c>
      <c r="I3807" s="461" t="s">
        <v>872</v>
      </c>
      <c r="J3807" s="461" t="s">
        <v>700</v>
      </c>
      <c r="K3807" s="594"/>
      <c r="L3807" s="594"/>
      <c r="M3807" s="352">
        <v>7000</v>
      </c>
      <c r="N3807" s="352" t="s">
        <v>1891</v>
      </c>
      <c r="O3807" s="460">
        <v>5211</v>
      </c>
      <c r="P3807" s="460" t="s">
        <v>786</v>
      </c>
      <c r="Q3807" s="460" t="s">
        <v>2553</v>
      </c>
      <c r="R3807" s="460">
        <v>5211</v>
      </c>
      <c r="S3807" s="460" t="s">
        <v>1136</v>
      </c>
      <c r="T3807" s="462">
        <v>1</v>
      </c>
      <c r="U3807" s="460" t="s">
        <v>1136</v>
      </c>
      <c r="V3807" s="475">
        <v>0</v>
      </c>
      <c r="W3807" s="463" t="s">
        <v>2554</v>
      </c>
      <c r="X3807" s="463" t="s">
        <v>2554</v>
      </c>
      <c r="Y3807" s="463" t="s">
        <v>2268</v>
      </c>
      <c r="Z3807" s="463"/>
      <c r="AA3807" s="463"/>
      <c r="AB3807" s="464">
        <v>0</v>
      </c>
      <c r="AC3807" s="465">
        <v>0</v>
      </c>
      <c r="AD3807" s="465">
        <v>0</v>
      </c>
      <c r="AE3807" s="476">
        <v>0</v>
      </c>
      <c r="AF3807" s="467">
        <v>0</v>
      </c>
      <c r="AG3807" s="468">
        <v>0</v>
      </c>
      <c r="AH3807" s="218">
        <v>0</v>
      </c>
      <c r="AI3807" s="470">
        <v>0</v>
      </c>
      <c r="AJ3807" s="471">
        <v>0</v>
      </c>
      <c r="AK3807" s="218">
        <v>0</v>
      </c>
      <c r="AL3807" s="470">
        <v>0</v>
      </c>
      <c r="AM3807" s="471">
        <v>0</v>
      </c>
      <c r="AN3807" s="477">
        <v>0</v>
      </c>
      <c r="AO3807" s="473">
        <v>0</v>
      </c>
      <c r="AP3807" s="474">
        <v>0</v>
      </c>
      <c r="AQ3807" s="352"/>
      <c r="AR3807" s="352"/>
      <c r="AS3807" s="352"/>
      <c r="AT3807" s="352"/>
      <c r="AU3807" s="352"/>
      <c r="AV3807" s="352"/>
      <c r="AW3807" s="352" t="s">
        <v>254</v>
      </c>
    </row>
    <row r="3808" spans="2:49" x14ac:dyDescent="0.2">
      <c r="B3808" s="460" t="s">
        <v>3488</v>
      </c>
      <c r="C3808" s="460">
        <v>7000</v>
      </c>
      <c r="D3808" s="460" t="s">
        <v>2353</v>
      </c>
      <c r="E3808" s="460" t="s">
        <v>1137</v>
      </c>
      <c r="F3808" s="460">
        <v>2</v>
      </c>
      <c r="G3808" s="460">
        <v>4</v>
      </c>
      <c r="H3808" s="461" t="s">
        <v>700</v>
      </c>
      <c r="I3808" s="461" t="s">
        <v>872</v>
      </c>
      <c r="J3808" s="461" t="s">
        <v>700</v>
      </c>
      <c r="K3808" s="594"/>
      <c r="L3808" s="594"/>
      <c r="M3808" s="352">
        <v>7000</v>
      </c>
      <c r="N3808" s="352" t="s">
        <v>1891</v>
      </c>
      <c r="O3808" s="460">
        <v>5211</v>
      </c>
      <c r="P3808" s="460" t="s">
        <v>786</v>
      </c>
      <c r="Q3808" s="460" t="s">
        <v>2553</v>
      </c>
      <c r="R3808" s="460">
        <v>5211</v>
      </c>
      <c r="S3808" s="460" t="s">
        <v>1137</v>
      </c>
      <c r="T3808" s="462">
        <v>1</v>
      </c>
      <c r="U3808" s="460" t="s">
        <v>1137</v>
      </c>
      <c r="V3808" s="475">
        <v>0</v>
      </c>
      <c r="W3808" s="463" t="s">
        <v>2554</v>
      </c>
      <c r="X3808" s="463" t="s">
        <v>2554</v>
      </c>
      <c r="Y3808" s="463" t="s">
        <v>2268</v>
      </c>
      <c r="Z3808" s="463"/>
      <c r="AA3808" s="463"/>
      <c r="AB3808" s="464">
        <v>0</v>
      </c>
      <c r="AC3808" s="465">
        <v>0</v>
      </c>
      <c r="AD3808" s="465">
        <v>0</v>
      </c>
      <c r="AE3808" s="476">
        <v>0</v>
      </c>
      <c r="AF3808" s="467">
        <v>0</v>
      </c>
      <c r="AG3808" s="468">
        <v>0</v>
      </c>
      <c r="AH3808" s="218">
        <v>0</v>
      </c>
      <c r="AI3808" s="470">
        <v>0</v>
      </c>
      <c r="AJ3808" s="471">
        <v>0</v>
      </c>
      <c r="AK3808" s="218">
        <v>0</v>
      </c>
      <c r="AL3808" s="470">
        <v>0</v>
      </c>
      <c r="AM3808" s="471">
        <v>0</v>
      </c>
      <c r="AN3808" s="477">
        <v>0</v>
      </c>
      <c r="AO3808" s="473">
        <v>0</v>
      </c>
      <c r="AP3808" s="474">
        <v>0</v>
      </c>
      <c r="AQ3808" s="352"/>
      <c r="AR3808" s="352"/>
      <c r="AS3808" s="352"/>
      <c r="AT3808" s="352"/>
      <c r="AU3808" s="352"/>
      <c r="AV3808" s="352"/>
      <c r="AW3808" s="352" t="s">
        <v>254</v>
      </c>
    </row>
    <row r="3809" spans="2:49" x14ac:dyDescent="0.2">
      <c r="B3809" s="460" t="s">
        <v>3489</v>
      </c>
      <c r="C3809" s="460">
        <v>7000</v>
      </c>
      <c r="D3809" s="460" t="s">
        <v>2355</v>
      </c>
      <c r="E3809" s="460" t="s">
        <v>1138</v>
      </c>
      <c r="F3809" s="460">
        <v>3</v>
      </c>
      <c r="G3809" s="460">
        <v>4</v>
      </c>
      <c r="H3809" s="461" t="s">
        <v>700</v>
      </c>
      <c r="I3809" s="461" t="s">
        <v>872</v>
      </c>
      <c r="J3809" s="461" t="s">
        <v>700</v>
      </c>
      <c r="K3809" s="594"/>
      <c r="L3809" s="594"/>
      <c r="M3809" s="352">
        <v>7000</v>
      </c>
      <c r="N3809" s="352" t="s">
        <v>1891</v>
      </c>
      <c r="O3809" s="460">
        <v>5211</v>
      </c>
      <c r="P3809" s="460" t="s">
        <v>786</v>
      </c>
      <c r="Q3809" s="460" t="s">
        <v>2553</v>
      </c>
      <c r="R3809" s="460">
        <v>5211</v>
      </c>
      <c r="S3809" s="460" t="s">
        <v>1138</v>
      </c>
      <c r="T3809" s="462">
        <v>1</v>
      </c>
      <c r="U3809" s="460" t="s">
        <v>1138</v>
      </c>
      <c r="V3809" s="475">
        <v>0</v>
      </c>
      <c r="W3809" s="463" t="s">
        <v>2554</v>
      </c>
      <c r="X3809" s="463" t="s">
        <v>2554</v>
      </c>
      <c r="Y3809" s="463" t="s">
        <v>2268</v>
      </c>
      <c r="Z3809" s="463"/>
      <c r="AA3809" s="463"/>
      <c r="AB3809" s="464">
        <v>0</v>
      </c>
      <c r="AC3809" s="465">
        <v>0</v>
      </c>
      <c r="AD3809" s="465">
        <v>0</v>
      </c>
      <c r="AE3809" s="476">
        <v>0</v>
      </c>
      <c r="AF3809" s="467">
        <v>0</v>
      </c>
      <c r="AG3809" s="468">
        <v>0</v>
      </c>
      <c r="AH3809" s="218">
        <v>0</v>
      </c>
      <c r="AI3809" s="470">
        <v>0</v>
      </c>
      <c r="AJ3809" s="471">
        <v>0</v>
      </c>
      <c r="AK3809" s="218">
        <v>0</v>
      </c>
      <c r="AL3809" s="470">
        <v>0</v>
      </c>
      <c r="AM3809" s="471">
        <v>0</v>
      </c>
      <c r="AN3809" s="477">
        <v>0</v>
      </c>
      <c r="AO3809" s="473">
        <v>0</v>
      </c>
      <c r="AP3809" s="474">
        <v>0</v>
      </c>
      <c r="AQ3809" s="352"/>
      <c r="AR3809" s="352"/>
      <c r="AS3809" s="352"/>
      <c r="AT3809" s="352"/>
      <c r="AU3809" s="352"/>
      <c r="AV3809" s="352"/>
      <c r="AW3809" s="352" t="s">
        <v>254</v>
      </c>
    </row>
    <row r="3810" spans="2:49" x14ac:dyDescent="0.2">
      <c r="B3810" s="460" t="s">
        <v>3490</v>
      </c>
      <c r="C3810" s="460">
        <v>7000</v>
      </c>
      <c r="D3810" s="460" t="s">
        <v>2357</v>
      </c>
      <c r="E3810" s="460" t="s">
        <v>1139</v>
      </c>
      <c r="F3810" s="460">
        <v>4</v>
      </c>
      <c r="G3810" s="460">
        <v>4</v>
      </c>
      <c r="H3810" s="461" t="s">
        <v>700</v>
      </c>
      <c r="I3810" s="461" t="s">
        <v>872</v>
      </c>
      <c r="J3810" s="461" t="s">
        <v>700</v>
      </c>
      <c r="K3810" s="594"/>
      <c r="L3810" s="594"/>
      <c r="M3810" s="352">
        <v>7000</v>
      </c>
      <c r="N3810" s="352" t="s">
        <v>1891</v>
      </c>
      <c r="O3810" s="460">
        <v>5211</v>
      </c>
      <c r="P3810" s="460" t="s">
        <v>786</v>
      </c>
      <c r="Q3810" s="460" t="s">
        <v>2553</v>
      </c>
      <c r="R3810" s="460">
        <v>5211</v>
      </c>
      <c r="S3810" s="460" t="s">
        <v>1139</v>
      </c>
      <c r="T3810" s="462">
        <v>1</v>
      </c>
      <c r="U3810" s="460" t="s">
        <v>1139</v>
      </c>
      <c r="V3810" s="475">
        <v>0</v>
      </c>
      <c r="W3810" s="463" t="s">
        <v>2554</v>
      </c>
      <c r="X3810" s="463" t="s">
        <v>2554</v>
      </c>
      <c r="Y3810" s="463" t="s">
        <v>2268</v>
      </c>
      <c r="Z3810" s="463"/>
      <c r="AA3810" s="463"/>
      <c r="AB3810" s="464">
        <v>0</v>
      </c>
      <c r="AC3810" s="465">
        <v>0</v>
      </c>
      <c r="AD3810" s="465">
        <v>0</v>
      </c>
      <c r="AE3810" s="476">
        <v>0</v>
      </c>
      <c r="AF3810" s="467">
        <v>0</v>
      </c>
      <c r="AG3810" s="468">
        <v>0</v>
      </c>
      <c r="AH3810" s="218">
        <v>0</v>
      </c>
      <c r="AI3810" s="470">
        <v>0</v>
      </c>
      <c r="AJ3810" s="471">
        <v>0</v>
      </c>
      <c r="AK3810" s="218">
        <v>0</v>
      </c>
      <c r="AL3810" s="470">
        <v>0</v>
      </c>
      <c r="AM3810" s="471">
        <v>0</v>
      </c>
      <c r="AN3810" s="477">
        <v>0</v>
      </c>
      <c r="AO3810" s="473">
        <v>0</v>
      </c>
      <c r="AP3810" s="474">
        <v>0</v>
      </c>
      <c r="AQ3810" s="352"/>
      <c r="AR3810" s="352"/>
      <c r="AS3810" s="352"/>
      <c r="AT3810" s="352"/>
      <c r="AU3810" s="352"/>
      <c r="AV3810" s="352"/>
      <c r="AW3810" s="352" t="s">
        <v>254</v>
      </c>
    </row>
    <row r="3811" spans="2:49" x14ac:dyDescent="0.2">
      <c r="B3811" s="460" t="s">
        <v>3487</v>
      </c>
      <c r="C3811" s="460">
        <v>7000</v>
      </c>
      <c r="D3811" s="460" t="s">
        <v>2358</v>
      </c>
      <c r="E3811" s="460" t="s">
        <v>1136</v>
      </c>
      <c r="F3811" s="460">
        <v>1</v>
      </c>
      <c r="G3811" s="460">
        <v>4</v>
      </c>
      <c r="H3811" s="461" t="s">
        <v>712</v>
      </c>
      <c r="I3811" s="461" t="s">
        <v>713</v>
      </c>
      <c r="J3811" s="461" t="s">
        <v>712</v>
      </c>
      <c r="K3811" s="594"/>
      <c r="L3811" s="594"/>
      <c r="M3811" s="352">
        <v>7000</v>
      </c>
      <c r="N3811" s="352" t="s">
        <v>1891</v>
      </c>
      <c r="O3811" s="460">
        <v>5211</v>
      </c>
      <c r="P3811" s="460" t="s">
        <v>786</v>
      </c>
      <c r="Q3811" s="460" t="s">
        <v>2280</v>
      </c>
      <c r="R3811" s="460">
        <v>5211</v>
      </c>
      <c r="S3811" s="460" t="s">
        <v>1136</v>
      </c>
      <c r="T3811" s="462">
        <v>1</v>
      </c>
      <c r="U3811" s="460" t="s">
        <v>1136</v>
      </c>
      <c r="V3811" s="475">
        <v>0</v>
      </c>
      <c r="W3811" s="463" t="s">
        <v>713</v>
      </c>
      <c r="X3811" s="463" t="s">
        <v>713</v>
      </c>
      <c r="Y3811" s="463" t="s">
        <v>713</v>
      </c>
      <c r="Z3811" s="463"/>
      <c r="AA3811" s="463"/>
      <c r="AB3811" s="464">
        <v>2.6252103857796705</v>
      </c>
      <c r="AC3811" s="465">
        <v>2.814143758570915E-2</v>
      </c>
      <c r="AD3811" s="465">
        <v>1.7301108840607811E-5</v>
      </c>
      <c r="AE3811" s="476">
        <v>2.6252103857796643</v>
      </c>
      <c r="AF3811" s="467">
        <v>2.8141437585709084E-2</v>
      </c>
      <c r="AG3811" s="468">
        <v>1.7297899902594324E-5</v>
      </c>
      <c r="AH3811" s="218">
        <v>2.6252103857796643</v>
      </c>
      <c r="AI3811" s="470">
        <v>2.8141437585709084E-2</v>
      </c>
      <c r="AJ3811" s="471">
        <v>1.7473702298657804E-5</v>
      </c>
      <c r="AK3811" s="218">
        <v>2.6252103857796643</v>
      </c>
      <c r="AL3811" s="470">
        <v>2.8141437585709084E-2</v>
      </c>
      <c r="AM3811" s="471">
        <v>1.7473702298657804E-5</v>
      </c>
      <c r="AN3811" s="477">
        <v>2.6252103857796643</v>
      </c>
      <c r="AO3811" s="473">
        <v>2.8141437585709084E-2</v>
      </c>
      <c r="AP3811" s="474">
        <v>1.7445270144932641E-5</v>
      </c>
      <c r="AQ3811" s="352"/>
      <c r="AR3811" s="352"/>
      <c r="AS3811" s="352"/>
      <c r="AT3811" s="352"/>
      <c r="AU3811" s="352"/>
      <c r="AV3811" s="352"/>
      <c r="AW3811" s="352" t="s">
        <v>254</v>
      </c>
    </row>
    <row r="3812" spans="2:49" x14ac:dyDescent="0.2">
      <c r="B3812" s="460" t="s">
        <v>3488</v>
      </c>
      <c r="C3812" s="460">
        <v>7000</v>
      </c>
      <c r="D3812" s="460" t="s">
        <v>2359</v>
      </c>
      <c r="E3812" s="460" t="s">
        <v>1137</v>
      </c>
      <c r="F3812" s="460">
        <v>2</v>
      </c>
      <c r="G3812" s="460">
        <v>4</v>
      </c>
      <c r="H3812" s="461" t="s">
        <v>712</v>
      </c>
      <c r="I3812" s="461" t="s">
        <v>713</v>
      </c>
      <c r="J3812" s="461" t="s">
        <v>712</v>
      </c>
      <c r="K3812" s="594"/>
      <c r="L3812" s="594"/>
      <c r="M3812" s="352">
        <v>7000</v>
      </c>
      <c r="N3812" s="352" t="s">
        <v>1891</v>
      </c>
      <c r="O3812" s="460">
        <v>5211</v>
      </c>
      <c r="P3812" s="460" t="s">
        <v>786</v>
      </c>
      <c r="Q3812" s="460" t="s">
        <v>2280</v>
      </c>
      <c r="R3812" s="460">
        <v>5211</v>
      </c>
      <c r="S3812" s="460" t="s">
        <v>1137</v>
      </c>
      <c r="T3812" s="462">
        <v>1</v>
      </c>
      <c r="U3812" s="460" t="s">
        <v>1137</v>
      </c>
      <c r="V3812" s="475">
        <v>0</v>
      </c>
      <c r="W3812" s="463" t="s">
        <v>713</v>
      </c>
      <c r="X3812" s="463" t="s">
        <v>713</v>
      </c>
      <c r="Y3812" s="463" t="s">
        <v>713</v>
      </c>
      <c r="Z3812" s="463"/>
      <c r="AA3812" s="463"/>
      <c r="AB3812" s="464">
        <v>0</v>
      </c>
      <c r="AC3812" s="465">
        <v>0</v>
      </c>
      <c r="AD3812" s="465">
        <v>0</v>
      </c>
      <c r="AE3812" s="476">
        <v>0</v>
      </c>
      <c r="AF3812" s="467">
        <v>0</v>
      </c>
      <c r="AG3812" s="468">
        <v>0</v>
      </c>
      <c r="AH3812" s="218">
        <v>0</v>
      </c>
      <c r="AI3812" s="470">
        <v>0</v>
      </c>
      <c r="AJ3812" s="471">
        <v>0</v>
      </c>
      <c r="AK3812" s="218">
        <v>0</v>
      </c>
      <c r="AL3812" s="470">
        <v>0</v>
      </c>
      <c r="AM3812" s="471">
        <v>0</v>
      </c>
      <c r="AN3812" s="477">
        <v>0</v>
      </c>
      <c r="AO3812" s="473">
        <v>0</v>
      </c>
      <c r="AP3812" s="474">
        <v>0</v>
      </c>
      <c r="AQ3812" s="352"/>
      <c r="AR3812" s="352"/>
      <c r="AS3812" s="352"/>
      <c r="AT3812" s="352"/>
      <c r="AU3812" s="352"/>
      <c r="AV3812" s="352"/>
      <c r="AW3812" s="352" t="s">
        <v>254</v>
      </c>
    </row>
    <row r="3813" spans="2:49" x14ac:dyDescent="0.2">
      <c r="B3813" s="460" t="s">
        <v>3489</v>
      </c>
      <c r="C3813" s="460">
        <v>7000</v>
      </c>
      <c r="D3813" s="460" t="s">
        <v>2360</v>
      </c>
      <c r="E3813" s="460" t="s">
        <v>1138</v>
      </c>
      <c r="F3813" s="460">
        <v>3</v>
      </c>
      <c r="G3813" s="460">
        <v>4</v>
      </c>
      <c r="H3813" s="461" t="s">
        <v>712</v>
      </c>
      <c r="I3813" s="461" t="s">
        <v>713</v>
      </c>
      <c r="J3813" s="461" t="s">
        <v>712</v>
      </c>
      <c r="K3813" s="594"/>
      <c r="L3813" s="594"/>
      <c r="M3813" s="352">
        <v>7000</v>
      </c>
      <c r="N3813" s="352" t="s">
        <v>1891</v>
      </c>
      <c r="O3813" s="460">
        <v>5211</v>
      </c>
      <c r="P3813" s="460" t="s">
        <v>786</v>
      </c>
      <c r="Q3813" s="460" t="s">
        <v>2280</v>
      </c>
      <c r="R3813" s="460">
        <v>5211</v>
      </c>
      <c r="S3813" s="460" t="s">
        <v>1138</v>
      </c>
      <c r="T3813" s="462">
        <v>1</v>
      </c>
      <c r="U3813" s="460" t="s">
        <v>1138</v>
      </c>
      <c r="V3813" s="475">
        <v>0</v>
      </c>
      <c r="W3813" s="463" t="s">
        <v>713</v>
      </c>
      <c r="X3813" s="463" t="s">
        <v>713</v>
      </c>
      <c r="Y3813" s="463" t="s">
        <v>713</v>
      </c>
      <c r="Z3813" s="463"/>
      <c r="AA3813" s="463"/>
      <c r="AB3813" s="464">
        <v>0</v>
      </c>
      <c r="AC3813" s="465">
        <v>0</v>
      </c>
      <c r="AD3813" s="465">
        <v>0</v>
      </c>
      <c r="AE3813" s="476">
        <v>0</v>
      </c>
      <c r="AF3813" s="467">
        <v>0</v>
      </c>
      <c r="AG3813" s="468">
        <v>0</v>
      </c>
      <c r="AH3813" s="218">
        <v>0</v>
      </c>
      <c r="AI3813" s="470">
        <v>0</v>
      </c>
      <c r="AJ3813" s="471">
        <v>0</v>
      </c>
      <c r="AK3813" s="218">
        <v>0</v>
      </c>
      <c r="AL3813" s="470">
        <v>0</v>
      </c>
      <c r="AM3813" s="471">
        <v>0</v>
      </c>
      <c r="AN3813" s="477">
        <v>0</v>
      </c>
      <c r="AO3813" s="473">
        <v>0</v>
      </c>
      <c r="AP3813" s="474">
        <v>0</v>
      </c>
      <c r="AQ3813" s="352"/>
      <c r="AR3813" s="352"/>
      <c r="AS3813" s="352"/>
      <c r="AT3813" s="352"/>
      <c r="AU3813" s="352"/>
      <c r="AV3813" s="352"/>
      <c r="AW3813" s="352" t="s">
        <v>254</v>
      </c>
    </row>
    <row r="3814" spans="2:49" x14ac:dyDescent="0.2">
      <c r="B3814" s="460" t="s">
        <v>3490</v>
      </c>
      <c r="C3814" s="460">
        <v>7000</v>
      </c>
      <c r="D3814" s="460" t="s">
        <v>2361</v>
      </c>
      <c r="E3814" s="460" t="s">
        <v>1139</v>
      </c>
      <c r="F3814" s="460">
        <v>4</v>
      </c>
      <c r="G3814" s="460">
        <v>4</v>
      </c>
      <c r="H3814" s="461" t="s">
        <v>712</v>
      </c>
      <c r="I3814" s="461" t="s">
        <v>713</v>
      </c>
      <c r="J3814" s="461" t="s">
        <v>712</v>
      </c>
      <c r="K3814" s="594"/>
      <c r="L3814" s="594"/>
      <c r="M3814" s="352">
        <v>7000</v>
      </c>
      <c r="N3814" s="352" t="s">
        <v>1891</v>
      </c>
      <c r="O3814" s="460">
        <v>5211</v>
      </c>
      <c r="P3814" s="460" t="s">
        <v>786</v>
      </c>
      <c r="Q3814" s="460" t="s">
        <v>2280</v>
      </c>
      <c r="R3814" s="460">
        <v>5211</v>
      </c>
      <c r="S3814" s="460" t="s">
        <v>1139</v>
      </c>
      <c r="T3814" s="462">
        <v>1</v>
      </c>
      <c r="U3814" s="460" t="s">
        <v>1139</v>
      </c>
      <c r="V3814" s="475">
        <v>0</v>
      </c>
      <c r="W3814" s="463" t="s">
        <v>713</v>
      </c>
      <c r="X3814" s="463" t="s">
        <v>713</v>
      </c>
      <c r="Y3814" s="463" t="s">
        <v>713</v>
      </c>
      <c r="Z3814" s="463"/>
      <c r="AA3814" s="463"/>
      <c r="AB3814" s="464">
        <v>0</v>
      </c>
      <c r="AC3814" s="465">
        <v>0</v>
      </c>
      <c r="AD3814" s="465">
        <v>0</v>
      </c>
      <c r="AE3814" s="476">
        <v>0</v>
      </c>
      <c r="AF3814" s="467">
        <v>0</v>
      </c>
      <c r="AG3814" s="468">
        <v>0</v>
      </c>
      <c r="AH3814" s="218">
        <v>0</v>
      </c>
      <c r="AI3814" s="470">
        <v>0</v>
      </c>
      <c r="AJ3814" s="471">
        <v>0</v>
      </c>
      <c r="AK3814" s="218">
        <v>0</v>
      </c>
      <c r="AL3814" s="470">
        <v>0</v>
      </c>
      <c r="AM3814" s="471">
        <v>0</v>
      </c>
      <c r="AN3814" s="477">
        <v>0</v>
      </c>
      <c r="AO3814" s="473">
        <v>0</v>
      </c>
      <c r="AP3814" s="474">
        <v>0</v>
      </c>
      <c r="AQ3814" s="352"/>
      <c r="AR3814" s="352"/>
      <c r="AS3814" s="352"/>
      <c r="AT3814" s="352"/>
      <c r="AU3814" s="352"/>
      <c r="AV3814" s="352"/>
      <c r="AW3814" s="352" t="s">
        <v>254</v>
      </c>
    </row>
    <row r="3815" spans="2:49" x14ac:dyDescent="0.2">
      <c r="B3815" s="460" t="s">
        <v>3487</v>
      </c>
      <c r="C3815" s="460">
        <v>7000</v>
      </c>
      <c r="D3815" s="460" t="s">
        <v>2362</v>
      </c>
      <c r="E3815" s="460" t="s">
        <v>1136</v>
      </c>
      <c r="F3815" s="460">
        <v>1</v>
      </c>
      <c r="G3815" s="460">
        <v>4</v>
      </c>
      <c r="H3815" s="461" t="s">
        <v>746</v>
      </c>
      <c r="I3815" s="461" t="s">
        <v>762</v>
      </c>
      <c r="J3815" s="461" t="s">
        <v>700</v>
      </c>
      <c r="K3815" s="594"/>
      <c r="L3815" s="594"/>
      <c r="M3815" s="352">
        <v>7000</v>
      </c>
      <c r="N3815" s="352" t="s">
        <v>1891</v>
      </c>
      <c r="O3815" s="460">
        <v>5211</v>
      </c>
      <c r="P3815" s="460" t="s">
        <v>786</v>
      </c>
      <c r="Q3815" s="460" t="s">
        <v>2553</v>
      </c>
      <c r="R3815" s="460">
        <v>5211</v>
      </c>
      <c r="S3815" s="460" t="s">
        <v>1136</v>
      </c>
      <c r="T3815" s="462">
        <v>1</v>
      </c>
      <c r="U3815" s="460" t="s">
        <v>1136</v>
      </c>
      <c r="V3815" s="475">
        <v>0</v>
      </c>
      <c r="W3815" s="463" t="s">
        <v>2268</v>
      </c>
      <c r="X3815" s="463" t="s">
        <v>2268</v>
      </c>
      <c r="Y3815" s="463" t="s">
        <v>2554</v>
      </c>
      <c r="Z3815" s="463"/>
      <c r="AA3815" s="463"/>
      <c r="AB3815" s="464">
        <v>0</v>
      </c>
      <c r="AC3815" s="465">
        <v>0</v>
      </c>
      <c r="AD3815" s="465">
        <v>0</v>
      </c>
      <c r="AE3815" s="476">
        <v>0</v>
      </c>
      <c r="AF3815" s="467">
        <v>0</v>
      </c>
      <c r="AG3815" s="468">
        <v>0</v>
      </c>
      <c r="AH3815" s="218">
        <v>0</v>
      </c>
      <c r="AI3815" s="470">
        <v>0</v>
      </c>
      <c r="AJ3815" s="471">
        <v>0</v>
      </c>
      <c r="AK3815" s="218">
        <v>0</v>
      </c>
      <c r="AL3815" s="470">
        <v>0</v>
      </c>
      <c r="AM3815" s="471">
        <v>0</v>
      </c>
      <c r="AN3815" s="477">
        <v>0</v>
      </c>
      <c r="AO3815" s="473">
        <v>0</v>
      </c>
      <c r="AP3815" s="474">
        <v>0</v>
      </c>
      <c r="AQ3815" s="352"/>
      <c r="AR3815" s="352"/>
      <c r="AS3815" s="352"/>
      <c r="AT3815" s="352"/>
      <c r="AU3815" s="352"/>
      <c r="AV3815" s="352"/>
      <c r="AW3815" s="352" t="s">
        <v>254</v>
      </c>
    </row>
    <row r="3816" spans="2:49" x14ac:dyDescent="0.2">
      <c r="B3816" s="460" t="s">
        <v>3488</v>
      </c>
      <c r="C3816" s="460">
        <v>7000</v>
      </c>
      <c r="D3816" s="460" t="s">
        <v>2363</v>
      </c>
      <c r="E3816" s="460" t="s">
        <v>1137</v>
      </c>
      <c r="F3816" s="460">
        <v>2</v>
      </c>
      <c r="G3816" s="460">
        <v>4</v>
      </c>
      <c r="H3816" s="461" t="s">
        <v>746</v>
      </c>
      <c r="I3816" s="461" t="s">
        <v>762</v>
      </c>
      <c r="J3816" s="461" t="s">
        <v>700</v>
      </c>
      <c r="K3816" s="594"/>
      <c r="L3816" s="594"/>
      <c r="M3816" s="352">
        <v>7000</v>
      </c>
      <c r="N3816" s="352" t="s">
        <v>1891</v>
      </c>
      <c r="O3816" s="460">
        <v>5211</v>
      </c>
      <c r="P3816" s="460" t="s">
        <v>786</v>
      </c>
      <c r="Q3816" s="460" t="s">
        <v>2553</v>
      </c>
      <c r="R3816" s="460">
        <v>5211</v>
      </c>
      <c r="S3816" s="460" t="s">
        <v>1137</v>
      </c>
      <c r="T3816" s="462">
        <v>1</v>
      </c>
      <c r="U3816" s="460" t="s">
        <v>1137</v>
      </c>
      <c r="V3816" s="475">
        <v>0</v>
      </c>
      <c r="W3816" s="463" t="s">
        <v>2268</v>
      </c>
      <c r="X3816" s="463" t="s">
        <v>2268</v>
      </c>
      <c r="Y3816" s="463" t="s">
        <v>2554</v>
      </c>
      <c r="Z3816" s="463"/>
      <c r="AA3816" s="463"/>
      <c r="AB3816" s="464">
        <v>0</v>
      </c>
      <c r="AC3816" s="465">
        <v>0</v>
      </c>
      <c r="AD3816" s="465">
        <v>0</v>
      </c>
      <c r="AE3816" s="476">
        <v>0</v>
      </c>
      <c r="AF3816" s="467">
        <v>0</v>
      </c>
      <c r="AG3816" s="468">
        <v>0</v>
      </c>
      <c r="AH3816" s="218">
        <v>0</v>
      </c>
      <c r="AI3816" s="470">
        <v>0</v>
      </c>
      <c r="AJ3816" s="471">
        <v>0</v>
      </c>
      <c r="AK3816" s="218">
        <v>0</v>
      </c>
      <c r="AL3816" s="470">
        <v>0</v>
      </c>
      <c r="AM3816" s="471">
        <v>0</v>
      </c>
      <c r="AN3816" s="477">
        <v>0</v>
      </c>
      <c r="AO3816" s="473">
        <v>0</v>
      </c>
      <c r="AP3816" s="474">
        <v>0</v>
      </c>
      <c r="AQ3816" s="352"/>
      <c r="AR3816" s="352"/>
      <c r="AS3816" s="352"/>
      <c r="AT3816" s="352"/>
      <c r="AU3816" s="352"/>
      <c r="AV3816" s="352"/>
      <c r="AW3816" s="352" t="s">
        <v>254</v>
      </c>
    </row>
    <row r="3817" spans="2:49" x14ac:dyDescent="0.2">
      <c r="B3817" s="460" t="s">
        <v>3489</v>
      </c>
      <c r="C3817" s="460">
        <v>7000</v>
      </c>
      <c r="D3817" s="460" t="s">
        <v>2364</v>
      </c>
      <c r="E3817" s="460" t="s">
        <v>1138</v>
      </c>
      <c r="F3817" s="460">
        <v>3</v>
      </c>
      <c r="G3817" s="460">
        <v>4</v>
      </c>
      <c r="H3817" s="461" t="s">
        <v>746</v>
      </c>
      <c r="I3817" s="461" t="s">
        <v>762</v>
      </c>
      <c r="J3817" s="461" t="s">
        <v>700</v>
      </c>
      <c r="K3817" s="594"/>
      <c r="L3817" s="594"/>
      <c r="M3817" s="352">
        <v>7000</v>
      </c>
      <c r="N3817" s="352" t="s">
        <v>1891</v>
      </c>
      <c r="O3817" s="460">
        <v>5211</v>
      </c>
      <c r="P3817" s="460" t="s">
        <v>786</v>
      </c>
      <c r="Q3817" s="460" t="s">
        <v>2553</v>
      </c>
      <c r="R3817" s="460">
        <v>5211</v>
      </c>
      <c r="S3817" s="460" t="s">
        <v>1138</v>
      </c>
      <c r="T3817" s="462">
        <v>1</v>
      </c>
      <c r="U3817" s="460" t="s">
        <v>1138</v>
      </c>
      <c r="V3817" s="475">
        <v>0</v>
      </c>
      <c r="W3817" s="463" t="s">
        <v>2268</v>
      </c>
      <c r="X3817" s="463" t="s">
        <v>2268</v>
      </c>
      <c r="Y3817" s="463" t="s">
        <v>2554</v>
      </c>
      <c r="Z3817" s="463"/>
      <c r="AA3817" s="463"/>
      <c r="AB3817" s="464">
        <v>0</v>
      </c>
      <c r="AC3817" s="465">
        <v>0</v>
      </c>
      <c r="AD3817" s="465">
        <v>0</v>
      </c>
      <c r="AE3817" s="476">
        <v>0</v>
      </c>
      <c r="AF3817" s="467">
        <v>0</v>
      </c>
      <c r="AG3817" s="468">
        <v>0</v>
      </c>
      <c r="AH3817" s="218">
        <v>0</v>
      </c>
      <c r="AI3817" s="470">
        <v>0</v>
      </c>
      <c r="AJ3817" s="471">
        <v>0</v>
      </c>
      <c r="AK3817" s="218">
        <v>0</v>
      </c>
      <c r="AL3817" s="470">
        <v>0</v>
      </c>
      <c r="AM3817" s="471">
        <v>0</v>
      </c>
      <c r="AN3817" s="477">
        <v>0</v>
      </c>
      <c r="AO3817" s="473">
        <v>0</v>
      </c>
      <c r="AP3817" s="474">
        <v>0</v>
      </c>
      <c r="AQ3817" s="352"/>
      <c r="AR3817" s="352"/>
      <c r="AS3817" s="352"/>
      <c r="AT3817" s="352"/>
      <c r="AU3817" s="352"/>
      <c r="AV3817" s="352"/>
      <c r="AW3817" s="352" t="s">
        <v>254</v>
      </c>
    </row>
    <row r="3818" spans="2:49" x14ac:dyDescent="0.2">
      <c r="B3818" s="460" t="s">
        <v>3490</v>
      </c>
      <c r="C3818" s="460">
        <v>7000</v>
      </c>
      <c r="D3818" s="460" t="s">
        <v>2365</v>
      </c>
      <c r="E3818" s="460" t="s">
        <v>1139</v>
      </c>
      <c r="F3818" s="460">
        <v>4</v>
      </c>
      <c r="G3818" s="460">
        <v>4</v>
      </c>
      <c r="H3818" s="461" t="s">
        <v>746</v>
      </c>
      <c r="I3818" s="461" t="s">
        <v>762</v>
      </c>
      <c r="J3818" s="461" t="s">
        <v>700</v>
      </c>
      <c r="K3818" s="594"/>
      <c r="L3818" s="594"/>
      <c r="M3818" s="352">
        <v>7000</v>
      </c>
      <c r="N3818" s="352" t="s">
        <v>1891</v>
      </c>
      <c r="O3818" s="460">
        <v>5211</v>
      </c>
      <c r="P3818" s="460" t="s">
        <v>786</v>
      </c>
      <c r="Q3818" s="460" t="s">
        <v>2553</v>
      </c>
      <c r="R3818" s="460">
        <v>5211</v>
      </c>
      <c r="S3818" s="460" t="s">
        <v>1139</v>
      </c>
      <c r="T3818" s="462">
        <v>1</v>
      </c>
      <c r="U3818" s="460" t="s">
        <v>1139</v>
      </c>
      <c r="V3818" s="475">
        <v>0</v>
      </c>
      <c r="W3818" s="463" t="s">
        <v>2268</v>
      </c>
      <c r="X3818" s="463" t="s">
        <v>2268</v>
      </c>
      <c r="Y3818" s="463" t="s">
        <v>2554</v>
      </c>
      <c r="Z3818" s="463"/>
      <c r="AA3818" s="463"/>
      <c r="AB3818" s="464">
        <v>0</v>
      </c>
      <c r="AC3818" s="465">
        <v>0</v>
      </c>
      <c r="AD3818" s="465">
        <v>0</v>
      </c>
      <c r="AE3818" s="476">
        <v>0</v>
      </c>
      <c r="AF3818" s="467">
        <v>0</v>
      </c>
      <c r="AG3818" s="468">
        <v>0</v>
      </c>
      <c r="AH3818" s="218">
        <v>0</v>
      </c>
      <c r="AI3818" s="470">
        <v>0</v>
      </c>
      <c r="AJ3818" s="471">
        <v>0</v>
      </c>
      <c r="AK3818" s="218">
        <v>0</v>
      </c>
      <c r="AL3818" s="470">
        <v>0</v>
      </c>
      <c r="AM3818" s="471">
        <v>0</v>
      </c>
      <c r="AN3818" s="477">
        <v>0</v>
      </c>
      <c r="AO3818" s="473">
        <v>0</v>
      </c>
      <c r="AP3818" s="474">
        <v>0</v>
      </c>
      <c r="AQ3818" s="352"/>
      <c r="AR3818" s="352"/>
      <c r="AS3818" s="352"/>
      <c r="AT3818" s="352"/>
      <c r="AU3818" s="352"/>
      <c r="AV3818" s="352"/>
      <c r="AW3818" s="352" t="s">
        <v>254</v>
      </c>
    </row>
    <row r="3819" spans="2:49" x14ac:dyDescent="0.2">
      <c r="B3819" s="460" t="s">
        <v>3487</v>
      </c>
      <c r="C3819" s="460">
        <v>7000</v>
      </c>
      <c r="D3819" s="460" t="s">
        <v>2366</v>
      </c>
      <c r="E3819" s="460" t="s">
        <v>1136</v>
      </c>
      <c r="F3819" s="460">
        <v>1</v>
      </c>
      <c r="G3819" s="460">
        <v>4</v>
      </c>
      <c r="H3819" s="461" t="s">
        <v>748</v>
      </c>
      <c r="I3819" s="461" t="s">
        <v>765</v>
      </c>
      <c r="J3819" s="461" t="s">
        <v>700</v>
      </c>
      <c r="K3819" s="594"/>
      <c r="L3819" s="594"/>
      <c r="M3819" s="352">
        <v>7000</v>
      </c>
      <c r="N3819" s="352" t="s">
        <v>1891</v>
      </c>
      <c r="O3819" s="460">
        <v>5211</v>
      </c>
      <c r="P3819" s="460" t="s">
        <v>786</v>
      </c>
      <c r="Q3819" s="460" t="s">
        <v>2553</v>
      </c>
      <c r="R3819" s="460">
        <v>5211</v>
      </c>
      <c r="S3819" s="460" t="s">
        <v>1136</v>
      </c>
      <c r="T3819" s="462">
        <v>1</v>
      </c>
      <c r="U3819" s="460" t="s">
        <v>1136</v>
      </c>
      <c r="V3819" s="475">
        <v>0</v>
      </c>
      <c r="W3819" s="463" t="s">
        <v>2268</v>
      </c>
      <c r="X3819" s="463" t="s">
        <v>2268</v>
      </c>
      <c r="Y3819" s="463" t="s">
        <v>2554</v>
      </c>
      <c r="Z3819" s="463"/>
      <c r="AA3819" s="463"/>
      <c r="AB3819" s="464">
        <v>0</v>
      </c>
      <c r="AC3819" s="465">
        <v>0</v>
      </c>
      <c r="AD3819" s="465">
        <v>0</v>
      </c>
      <c r="AE3819" s="476">
        <v>0</v>
      </c>
      <c r="AF3819" s="467">
        <v>0</v>
      </c>
      <c r="AG3819" s="468">
        <v>0</v>
      </c>
      <c r="AH3819" s="218">
        <v>0</v>
      </c>
      <c r="AI3819" s="470">
        <v>0</v>
      </c>
      <c r="AJ3819" s="471">
        <v>0</v>
      </c>
      <c r="AK3819" s="218">
        <v>0</v>
      </c>
      <c r="AL3819" s="470">
        <v>0</v>
      </c>
      <c r="AM3819" s="471">
        <v>0</v>
      </c>
      <c r="AN3819" s="477">
        <v>0</v>
      </c>
      <c r="AO3819" s="473">
        <v>0</v>
      </c>
      <c r="AP3819" s="474">
        <v>0</v>
      </c>
      <c r="AQ3819" s="352"/>
      <c r="AR3819" s="352"/>
      <c r="AS3819" s="352"/>
      <c r="AT3819" s="352"/>
      <c r="AU3819" s="352"/>
      <c r="AV3819" s="352"/>
      <c r="AW3819" s="352" t="s">
        <v>254</v>
      </c>
    </row>
    <row r="3820" spans="2:49" x14ac:dyDescent="0.2">
      <c r="B3820" s="460" t="s">
        <v>3488</v>
      </c>
      <c r="C3820" s="460">
        <v>7000</v>
      </c>
      <c r="D3820" s="460" t="s">
        <v>2367</v>
      </c>
      <c r="E3820" s="460" t="s">
        <v>1137</v>
      </c>
      <c r="F3820" s="460">
        <v>2</v>
      </c>
      <c r="G3820" s="460">
        <v>4</v>
      </c>
      <c r="H3820" s="461" t="s">
        <v>748</v>
      </c>
      <c r="I3820" s="461" t="s">
        <v>765</v>
      </c>
      <c r="J3820" s="461" t="s">
        <v>700</v>
      </c>
      <c r="K3820" s="594"/>
      <c r="L3820" s="594"/>
      <c r="M3820" s="352">
        <v>7000</v>
      </c>
      <c r="N3820" s="352" t="s">
        <v>1891</v>
      </c>
      <c r="O3820" s="460">
        <v>5211</v>
      </c>
      <c r="P3820" s="460" t="s">
        <v>786</v>
      </c>
      <c r="Q3820" s="460" t="s">
        <v>2553</v>
      </c>
      <c r="R3820" s="460">
        <v>5211</v>
      </c>
      <c r="S3820" s="460" t="s">
        <v>1137</v>
      </c>
      <c r="T3820" s="462">
        <v>1</v>
      </c>
      <c r="U3820" s="460" t="s">
        <v>1137</v>
      </c>
      <c r="V3820" s="475">
        <v>0</v>
      </c>
      <c r="W3820" s="463" t="s">
        <v>2268</v>
      </c>
      <c r="X3820" s="463" t="s">
        <v>2268</v>
      </c>
      <c r="Y3820" s="463" t="s">
        <v>2554</v>
      </c>
      <c r="Z3820" s="463"/>
      <c r="AA3820" s="463"/>
      <c r="AB3820" s="464">
        <v>0</v>
      </c>
      <c r="AC3820" s="465">
        <v>0</v>
      </c>
      <c r="AD3820" s="465">
        <v>0</v>
      </c>
      <c r="AE3820" s="476">
        <v>0</v>
      </c>
      <c r="AF3820" s="467">
        <v>0</v>
      </c>
      <c r="AG3820" s="468">
        <v>0</v>
      </c>
      <c r="AH3820" s="218">
        <v>0</v>
      </c>
      <c r="AI3820" s="470">
        <v>0</v>
      </c>
      <c r="AJ3820" s="471">
        <v>0</v>
      </c>
      <c r="AK3820" s="218">
        <v>0</v>
      </c>
      <c r="AL3820" s="470">
        <v>0</v>
      </c>
      <c r="AM3820" s="471">
        <v>0</v>
      </c>
      <c r="AN3820" s="477">
        <v>0</v>
      </c>
      <c r="AO3820" s="473">
        <v>0</v>
      </c>
      <c r="AP3820" s="474">
        <v>0</v>
      </c>
      <c r="AQ3820" s="352"/>
      <c r="AR3820" s="352"/>
      <c r="AS3820" s="352"/>
      <c r="AT3820" s="352"/>
      <c r="AU3820" s="352"/>
      <c r="AV3820" s="352"/>
      <c r="AW3820" s="352" t="s">
        <v>254</v>
      </c>
    </row>
    <row r="3821" spans="2:49" x14ac:dyDescent="0.2">
      <c r="B3821" s="460" t="s">
        <v>3489</v>
      </c>
      <c r="C3821" s="460">
        <v>7000</v>
      </c>
      <c r="D3821" s="460" t="s">
        <v>2368</v>
      </c>
      <c r="E3821" s="460" t="s">
        <v>1138</v>
      </c>
      <c r="F3821" s="460">
        <v>3</v>
      </c>
      <c r="G3821" s="460">
        <v>4</v>
      </c>
      <c r="H3821" s="461" t="s">
        <v>748</v>
      </c>
      <c r="I3821" s="461" t="s">
        <v>765</v>
      </c>
      <c r="J3821" s="461" t="s">
        <v>700</v>
      </c>
      <c r="K3821" s="594"/>
      <c r="L3821" s="594"/>
      <c r="M3821" s="352">
        <v>7000</v>
      </c>
      <c r="N3821" s="352" t="s">
        <v>1891</v>
      </c>
      <c r="O3821" s="460">
        <v>5211</v>
      </c>
      <c r="P3821" s="460" t="s">
        <v>786</v>
      </c>
      <c r="Q3821" s="460" t="s">
        <v>2553</v>
      </c>
      <c r="R3821" s="460">
        <v>5211</v>
      </c>
      <c r="S3821" s="460" t="s">
        <v>1138</v>
      </c>
      <c r="T3821" s="462">
        <v>1</v>
      </c>
      <c r="U3821" s="460" t="s">
        <v>1138</v>
      </c>
      <c r="V3821" s="475">
        <v>0</v>
      </c>
      <c r="W3821" s="463" t="s">
        <v>2268</v>
      </c>
      <c r="X3821" s="463" t="s">
        <v>2268</v>
      </c>
      <c r="Y3821" s="463" t="s">
        <v>2554</v>
      </c>
      <c r="Z3821" s="463"/>
      <c r="AA3821" s="463"/>
      <c r="AB3821" s="464">
        <v>0</v>
      </c>
      <c r="AC3821" s="465">
        <v>0</v>
      </c>
      <c r="AD3821" s="465">
        <v>0</v>
      </c>
      <c r="AE3821" s="476">
        <v>0</v>
      </c>
      <c r="AF3821" s="467">
        <v>0</v>
      </c>
      <c r="AG3821" s="468">
        <v>0</v>
      </c>
      <c r="AH3821" s="218">
        <v>0</v>
      </c>
      <c r="AI3821" s="470">
        <v>0</v>
      </c>
      <c r="AJ3821" s="471">
        <v>0</v>
      </c>
      <c r="AK3821" s="218">
        <v>0</v>
      </c>
      <c r="AL3821" s="470">
        <v>0</v>
      </c>
      <c r="AM3821" s="471">
        <v>0</v>
      </c>
      <c r="AN3821" s="477">
        <v>0</v>
      </c>
      <c r="AO3821" s="473">
        <v>0</v>
      </c>
      <c r="AP3821" s="474">
        <v>0</v>
      </c>
      <c r="AQ3821" s="352"/>
      <c r="AR3821" s="352"/>
      <c r="AS3821" s="352"/>
      <c r="AT3821" s="352"/>
      <c r="AU3821" s="352"/>
      <c r="AV3821" s="352"/>
      <c r="AW3821" s="352" t="s">
        <v>254</v>
      </c>
    </row>
    <row r="3822" spans="2:49" x14ac:dyDescent="0.2">
      <c r="B3822" s="460" t="s">
        <v>3490</v>
      </c>
      <c r="C3822" s="460">
        <v>7000</v>
      </c>
      <c r="D3822" s="460" t="s">
        <v>2369</v>
      </c>
      <c r="E3822" s="460" t="s">
        <v>1139</v>
      </c>
      <c r="F3822" s="460">
        <v>4</v>
      </c>
      <c r="G3822" s="460">
        <v>4</v>
      </c>
      <c r="H3822" s="461" t="s">
        <v>748</v>
      </c>
      <c r="I3822" s="461" t="s">
        <v>765</v>
      </c>
      <c r="J3822" s="461" t="s">
        <v>700</v>
      </c>
      <c r="K3822" s="594"/>
      <c r="L3822" s="594"/>
      <c r="M3822" s="352">
        <v>7000</v>
      </c>
      <c r="N3822" s="352" t="s">
        <v>1891</v>
      </c>
      <c r="O3822" s="460">
        <v>5211</v>
      </c>
      <c r="P3822" s="460" t="s">
        <v>786</v>
      </c>
      <c r="Q3822" s="460" t="s">
        <v>2553</v>
      </c>
      <c r="R3822" s="460">
        <v>5211</v>
      </c>
      <c r="S3822" s="460" t="s">
        <v>1139</v>
      </c>
      <c r="T3822" s="462">
        <v>1</v>
      </c>
      <c r="U3822" s="460" t="s">
        <v>1139</v>
      </c>
      <c r="V3822" s="475">
        <v>0</v>
      </c>
      <c r="W3822" s="463" t="s">
        <v>2268</v>
      </c>
      <c r="X3822" s="463" t="s">
        <v>2268</v>
      </c>
      <c r="Y3822" s="463" t="s">
        <v>2554</v>
      </c>
      <c r="Z3822" s="463"/>
      <c r="AA3822" s="463"/>
      <c r="AB3822" s="464">
        <v>0</v>
      </c>
      <c r="AC3822" s="465">
        <v>0</v>
      </c>
      <c r="AD3822" s="465">
        <v>0</v>
      </c>
      <c r="AE3822" s="476">
        <v>0</v>
      </c>
      <c r="AF3822" s="467">
        <v>0</v>
      </c>
      <c r="AG3822" s="468">
        <v>0</v>
      </c>
      <c r="AH3822" s="218">
        <v>0</v>
      </c>
      <c r="AI3822" s="470">
        <v>0</v>
      </c>
      <c r="AJ3822" s="471">
        <v>0</v>
      </c>
      <c r="AK3822" s="218">
        <v>0</v>
      </c>
      <c r="AL3822" s="470">
        <v>0</v>
      </c>
      <c r="AM3822" s="471">
        <v>0</v>
      </c>
      <c r="AN3822" s="477">
        <v>0</v>
      </c>
      <c r="AO3822" s="473">
        <v>0</v>
      </c>
      <c r="AP3822" s="474">
        <v>0</v>
      </c>
      <c r="AQ3822" s="352"/>
      <c r="AR3822" s="352"/>
      <c r="AS3822" s="352"/>
      <c r="AT3822" s="352"/>
      <c r="AU3822" s="352"/>
      <c r="AV3822" s="352"/>
      <c r="AW3822" s="352" t="s">
        <v>254</v>
      </c>
    </row>
    <row r="3823" spans="2:49" x14ac:dyDescent="0.2">
      <c r="B3823" s="460" t="s">
        <v>3487</v>
      </c>
      <c r="C3823" s="460">
        <v>7000</v>
      </c>
      <c r="D3823" s="460" t="s">
        <v>3491</v>
      </c>
      <c r="E3823" s="460" t="s">
        <v>1136</v>
      </c>
      <c r="F3823" s="460">
        <v>1</v>
      </c>
      <c r="G3823" s="460">
        <v>4</v>
      </c>
      <c r="H3823" s="461" t="s">
        <v>754</v>
      </c>
      <c r="I3823" s="461" t="s">
        <v>1991</v>
      </c>
      <c r="J3823" s="461" t="s">
        <v>754</v>
      </c>
      <c r="K3823" s="594"/>
      <c r="L3823" s="594"/>
      <c r="M3823" s="352">
        <v>7000</v>
      </c>
      <c r="N3823" s="352" t="s">
        <v>1891</v>
      </c>
      <c r="O3823" s="460">
        <v>5211</v>
      </c>
      <c r="P3823" s="460" t="s">
        <v>786</v>
      </c>
      <c r="Q3823" s="460" t="s">
        <v>3478</v>
      </c>
      <c r="R3823" s="460">
        <v>5211</v>
      </c>
      <c r="S3823" s="460" t="s">
        <v>1136</v>
      </c>
      <c r="T3823" s="462">
        <v>1</v>
      </c>
      <c r="U3823" s="460" t="s">
        <v>1136</v>
      </c>
      <c r="V3823" s="475">
        <v>0</v>
      </c>
      <c r="W3823" s="463" t="s">
        <v>2278</v>
      </c>
      <c r="X3823" s="463" t="s">
        <v>2278</v>
      </c>
      <c r="Y3823" s="463" t="s">
        <v>2278</v>
      </c>
      <c r="Z3823" s="463"/>
      <c r="AA3823" s="463"/>
      <c r="AB3823" s="464">
        <v>90.661082390990586</v>
      </c>
      <c r="AC3823" s="465">
        <v>0.97185856241429092</v>
      </c>
      <c r="AD3823" s="465">
        <v>6.5733292887155056E-2</v>
      </c>
      <c r="AE3823" s="476">
        <v>90.661082390990586</v>
      </c>
      <c r="AF3823" s="467">
        <v>0.97185856241429092</v>
      </c>
      <c r="AG3823" s="468">
        <v>6.5733292887155056E-2</v>
      </c>
      <c r="AH3823" s="218">
        <v>90.661082390990586</v>
      </c>
      <c r="AI3823" s="470">
        <v>0.97185856241429092</v>
      </c>
      <c r="AJ3823" s="471">
        <v>6.5733292887155056E-2</v>
      </c>
      <c r="AK3823" s="218">
        <v>90.661082390990586</v>
      </c>
      <c r="AL3823" s="470">
        <v>0.97185856241429092</v>
      </c>
      <c r="AM3823" s="471">
        <v>6.5733292887155056E-2</v>
      </c>
      <c r="AN3823" s="477">
        <v>90.661082390990586</v>
      </c>
      <c r="AO3823" s="473">
        <v>0.97185856241429092</v>
      </c>
      <c r="AP3823" s="474">
        <v>6.5733292887155056E-2</v>
      </c>
      <c r="AQ3823" s="352"/>
      <c r="AR3823" s="352"/>
      <c r="AS3823" s="352"/>
      <c r="AT3823" s="352"/>
      <c r="AU3823" s="352"/>
      <c r="AV3823" s="352"/>
      <c r="AW3823" s="352" t="s">
        <v>127</v>
      </c>
    </row>
    <row r="3824" spans="2:49" x14ac:dyDescent="0.2">
      <c r="B3824" s="460" t="s">
        <v>3488</v>
      </c>
      <c r="C3824" s="460">
        <v>7000</v>
      </c>
      <c r="D3824" s="460" t="s">
        <v>3492</v>
      </c>
      <c r="E3824" s="460" t="s">
        <v>1137</v>
      </c>
      <c r="F3824" s="460">
        <v>2</v>
      </c>
      <c r="G3824" s="460">
        <v>4</v>
      </c>
      <c r="H3824" s="461" t="s">
        <v>754</v>
      </c>
      <c r="I3824" s="461" t="s">
        <v>1991</v>
      </c>
      <c r="J3824" s="461" t="s">
        <v>754</v>
      </c>
      <c r="K3824" s="594"/>
      <c r="L3824" s="594"/>
      <c r="M3824" s="352">
        <v>7000</v>
      </c>
      <c r="N3824" s="352" t="s">
        <v>1891</v>
      </c>
      <c r="O3824" s="460">
        <v>5211</v>
      </c>
      <c r="P3824" s="460" t="s">
        <v>786</v>
      </c>
      <c r="Q3824" s="460" t="s">
        <v>3478</v>
      </c>
      <c r="R3824" s="460">
        <v>5211</v>
      </c>
      <c r="S3824" s="460" t="s">
        <v>1137</v>
      </c>
      <c r="T3824" s="462">
        <v>1</v>
      </c>
      <c r="U3824" s="460" t="s">
        <v>1137</v>
      </c>
      <c r="V3824" s="475">
        <v>0</v>
      </c>
      <c r="W3824" s="463" t="s">
        <v>2278</v>
      </c>
      <c r="X3824" s="463" t="s">
        <v>2278</v>
      </c>
      <c r="Y3824" s="463" t="s">
        <v>2278</v>
      </c>
      <c r="Z3824" s="463"/>
      <c r="AA3824" s="463"/>
      <c r="AB3824" s="464">
        <v>480.61952743841965</v>
      </c>
      <c r="AC3824" s="465">
        <v>1</v>
      </c>
      <c r="AD3824" s="465">
        <v>8.836470206990997E-2</v>
      </c>
      <c r="AE3824" s="476">
        <v>480.61952743841965</v>
      </c>
      <c r="AF3824" s="467">
        <v>1</v>
      </c>
      <c r="AG3824" s="468">
        <v>8.836470206990997E-2</v>
      </c>
      <c r="AH3824" s="218">
        <v>480.61952743841965</v>
      </c>
      <c r="AI3824" s="470">
        <v>1</v>
      </c>
      <c r="AJ3824" s="471">
        <v>8.836470206990997E-2</v>
      </c>
      <c r="AK3824" s="218">
        <v>480.61952743841965</v>
      </c>
      <c r="AL3824" s="470">
        <v>1</v>
      </c>
      <c r="AM3824" s="471">
        <v>8.836470206990997E-2</v>
      </c>
      <c r="AN3824" s="477">
        <v>480.61952743841965</v>
      </c>
      <c r="AO3824" s="473">
        <v>1</v>
      </c>
      <c r="AP3824" s="474">
        <v>8.836470206990997E-2</v>
      </c>
      <c r="AQ3824" s="352"/>
      <c r="AR3824" s="352"/>
      <c r="AS3824" s="352"/>
      <c r="AT3824" s="352"/>
      <c r="AU3824" s="352"/>
      <c r="AV3824" s="352"/>
      <c r="AW3824" s="352" t="s">
        <v>127</v>
      </c>
    </row>
    <row r="3825" spans="2:49" x14ac:dyDescent="0.2">
      <c r="B3825" s="460" t="s">
        <v>3489</v>
      </c>
      <c r="C3825" s="460">
        <v>7000</v>
      </c>
      <c r="D3825" s="460" t="s">
        <v>3493</v>
      </c>
      <c r="E3825" s="460" t="s">
        <v>1138</v>
      </c>
      <c r="F3825" s="460">
        <v>3</v>
      </c>
      <c r="G3825" s="460">
        <v>4</v>
      </c>
      <c r="H3825" s="461" t="s">
        <v>754</v>
      </c>
      <c r="I3825" s="461" t="s">
        <v>1991</v>
      </c>
      <c r="J3825" s="461" t="s">
        <v>754</v>
      </c>
      <c r="K3825" s="594"/>
      <c r="L3825" s="594"/>
      <c r="M3825" s="352">
        <v>7000</v>
      </c>
      <c r="N3825" s="352" t="s">
        <v>1891</v>
      </c>
      <c r="O3825" s="460">
        <v>5211</v>
      </c>
      <c r="P3825" s="460" t="s">
        <v>786</v>
      </c>
      <c r="Q3825" s="460" t="s">
        <v>3478</v>
      </c>
      <c r="R3825" s="460">
        <v>5211</v>
      </c>
      <c r="S3825" s="460" t="s">
        <v>1138</v>
      </c>
      <c r="T3825" s="462">
        <v>1</v>
      </c>
      <c r="U3825" s="460" t="s">
        <v>1138</v>
      </c>
      <c r="V3825" s="475">
        <v>0</v>
      </c>
      <c r="W3825" s="463" t="s">
        <v>2278</v>
      </c>
      <c r="X3825" s="463" t="s">
        <v>2278</v>
      </c>
      <c r="Y3825" s="463" t="s">
        <v>2278</v>
      </c>
      <c r="Z3825" s="463"/>
      <c r="AA3825" s="463"/>
      <c r="AB3825" s="464">
        <v>230.24597046015114</v>
      </c>
      <c r="AC3825" s="465">
        <v>1</v>
      </c>
      <c r="AD3825" s="465">
        <v>9.3439990278615478E-2</v>
      </c>
      <c r="AE3825" s="476">
        <v>230.24597046015114</v>
      </c>
      <c r="AF3825" s="467">
        <v>1</v>
      </c>
      <c r="AG3825" s="468">
        <v>9.3439990278615478E-2</v>
      </c>
      <c r="AH3825" s="218">
        <v>230.24597046015114</v>
      </c>
      <c r="AI3825" s="470">
        <v>1</v>
      </c>
      <c r="AJ3825" s="471">
        <v>9.3439990278615478E-2</v>
      </c>
      <c r="AK3825" s="218">
        <v>230.24597046015114</v>
      </c>
      <c r="AL3825" s="470">
        <v>1</v>
      </c>
      <c r="AM3825" s="471">
        <v>9.3439990278615478E-2</v>
      </c>
      <c r="AN3825" s="477">
        <v>230.24597046015114</v>
      </c>
      <c r="AO3825" s="473">
        <v>1</v>
      </c>
      <c r="AP3825" s="474">
        <v>9.3439990278615478E-2</v>
      </c>
      <c r="AQ3825" s="352"/>
      <c r="AR3825" s="352"/>
      <c r="AS3825" s="352"/>
      <c r="AT3825" s="352"/>
      <c r="AU3825" s="352"/>
      <c r="AV3825" s="352"/>
      <c r="AW3825" s="352" t="s">
        <v>127</v>
      </c>
    </row>
    <row r="3826" spans="2:49" x14ac:dyDescent="0.2">
      <c r="B3826" s="460" t="s">
        <v>3490</v>
      </c>
      <c r="C3826" s="460">
        <v>7000</v>
      </c>
      <c r="D3826" s="460" t="s">
        <v>3494</v>
      </c>
      <c r="E3826" s="460" t="s">
        <v>1139</v>
      </c>
      <c r="F3826" s="460">
        <v>4</v>
      </c>
      <c r="G3826" s="460">
        <v>4</v>
      </c>
      <c r="H3826" s="461" t="s">
        <v>754</v>
      </c>
      <c r="I3826" s="461" t="s">
        <v>1991</v>
      </c>
      <c r="J3826" s="461" t="s">
        <v>754</v>
      </c>
      <c r="K3826" s="594"/>
      <c r="L3826" s="594"/>
      <c r="M3826" s="352">
        <v>7000</v>
      </c>
      <c r="N3826" s="352" t="s">
        <v>1891</v>
      </c>
      <c r="O3826" s="460">
        <v>5211</v>
      </c>
      <c r="P3826" s="460" t="s">
        <v>786</v>
      </c>
      <c r="Q3826" s="460" t="s">
        <v>3478</v>
      </c>
      <c r="R3826" s="460">
        <v>5211</v>
      </c>
      <c r="S3826" s="460" t="s">
        <v>1139</v>
      </c>
      <c r="T3826" s="462">
        <v>1</v>
      </c>
      <c r="U3826" s="460" t="s">
        <v>1139</v>
      </c>
      <c r="V3826" s="475">
        <v>0</v>
      </c>
      <c r="W3826" s="463" t="s">
        <v>2278</v>
      </c>
      <c r="X3826" s="463" t="s">
        <v>2278</v>
      </c>
      <c r="Y3826" s="463" t="s">
        <v>2278</v>
      </c>
      <c r="Z3826" s="463"/>
      <c r="AA3826" s="463"/>
      <c r="AB3826" s="464">
        <v>398.65256939918277</v>
      </c>
      <c r="AC3826" s="465">
        <v>1</v>
      </c>
      <c r="AD3826" s="465">
        <v>6.940570775518462E-2</v>
      </c>
      <c r="AE3826" s="476">
        <v>398.65256939918277</v>
      </c>
      <c r="AF3826" s="467">
        <v>1</v>
      </c>
      <c r="AG3826" s="468">
        <v>6.940570775518462E-2</v>
      </c>
      <c r="AH3826" s="218">
        <v>398.65256939918277</v>
      </c>
      <c r="AI3826" s="470">
        <v>1</v>
      </c>
      <c r="AJ3826" s="471">
        <v>6.940570775518462E-2</v>
      </c>
      <c r="AK3826" s="218">
        <v>398.65256939918277</v>
      </c>
      <c r="AL3826" s="470">
        <v>1</v>
      </c>
      <c r="AM3826" s="471">
        <v>6.940570775518462E-2</v>
      </c>
      <c r="AN3826" s="477">
        <v>398.65256939918277</v>
      </c>
      <c r="AO3826" s="473">
        <v>1</v>
      </c>
      <c r="AP3826" s="474">
        <v>6.940570775518462E-2</v>
      </c>
      <c r="AQ3826" s="352"/>
      <c r="AR3826" s="352"/>
      <c r="AS3826" s="352"/>
      <c r="AT3826" s="352"/>
      <c r="AU3826" s="352"/>
      <c r="AV3826" s="352"/>
      <c r="AW3826" s="352" t="s">
        <v>127</v>
      </c>
    </row>
    <row r="3827" spans="2:49" x14ac:dyDescent="0.2">
      <c r="B3827" s="460" t="s">
        <v>3495</v>
      </c>
      <c r="C3827" s="460">
        <v>7000</v>
      </c>
      <c r="D3827" s="460" t="s">
        <v>2375</v>
      </c>
      <c r="E3827" s="460" t="s">
        <v>2376</v>
      </c>
      <c r="F3827" s="460">
        <v>1</v>
      </c>
      <c r="G3827" s="460">
        <v>5</v>
      </c>
      <c r="H3827" s="461" t="s">
        <v>754</v>
      </c>
      <c r="I3827" s="461" t="s">
        <v>1991</v>
      </c>
      <c r="J3827" s="461" t="s">
        <v>754</v>
      </c>
      <c r="K3827" s="594"/>
      <c r="L3827" s="594"/>
      <c r="M3827" s="352">
        <v>7000</v>
      </c>
      <c r="N3827" s="352" t="s">
        <v>1891</v>
      </c>
      <c r="O3827" s="460">
        <v>5211</v>
      </c>
      <c r="P3827" s="460" t="s">
        <v>786</v>
      </c>
      <c r="Q3827" s="460" t="s">
        <v>2377</v>
      </c>
      <c r="R3827" s="460">
        <v>5211</v>
      </c>
      <c r="S3827" s="460" t="s">
        <v>2376</v>
      </c>
      <c r="T3827" s="462">
        <v>1</v>
      </c>
      <c r="U3827" s="460" t="s">
        <v>2376</v>
      </c>
      <c r="V3827" s="475">
        <v>0</v>
      </c>
      <c r="W3827" s="463" t="s">
        <v>2278</v>
      </c>
      <c r="X3827" s="463" t="s">
        <v>2278</v>
      </c>
      <c r="Y3827" s="463" t="s">
        <v>2278</v>
      </c>
      <c r="Z3827" s="463"/>
      <c r="AA3827" s="463"/>
      <c r="AB3827" s="464">
        <v>13853.29128221652</v>
      </c>
      <c r="AC3827" s="465">
        <v>1</v>
      </c>
      <c r="AD3827" s="465">
        <v>2.3288834984874243E-2</v>
      </c>
      <c r="AE3827" s="476">
        <v>13853.29128221652</v>
      </c>
      <c r="AF3827" s="467">
        <v>1</v>
      </c>
      <c r="AG3827" s="468">
        <v>2.3288834984874243E-2</v>
      </c>
      <c r="AH3827" s="218">
        <v>13853.29128221652</v>
      </c>
      <c r="AI3827" s="470">
        <v>1</v>
      </c>
      <c r="AJ3827" s="471">
        <v>2.3288834984874243E-2</v>
      </c>
      <c r="AK3827" s="218">
        <v>13853.29128221652</v>
      </c>
      <c r="AL3827" s="470">
        <v>1</v>
      </c>
      <c r="AM3827" s="471">
        <v>2.3288834984874243E-2</v>
      </c>
      <c r="AN3827" s="477">
        <v>13853.29128221652</v>
      </c>
      <c r="AO3827" s="473">
        <v>1</v>
      </c>
      <c r="AP3827" s="474">
        <v>2.3288834984874243E-2</v>
      </c>
      <c r="AQ3827" s="352"/>
      <c r="AR3827" s="352"/>
      <c r="AS3827" s="352"/>
      <c r="AT3827" s="352"/>
      <c r="AU3827" s="352"/>
      <c r="AV3827" s="352"/>
      <c r="AW3827" s="352" t="s">
        <v>127</v>
      </c>
    </row>
    <row r="3828" spans="2:49" x14ac:dyDescent="0.2">
      <c r="B3828" s="460" t="s">
        <v>3496</v>
      </c>
      <c r="C3828" s="460">
        <v>7000</v>
      </c>
      <c r="D3828" s="460" t="s">
        <v>2379</v>
      </c>
      <c r="E3828" s="460" t="s">
        <v>2380</v>
      </c>
      <c r="F3828" s="460">
        <v>2</v>
      </c>
      <c r="G3828" s="460">
        <v>5</v>
      </c>
      <c r="H3828" s="461" t="s">
        <v>754</v>
      </c>
      <c r="I3828" s="461" t="s">
        <v>1991</v>
      </c>
      <c r="J3828" s="461" t="s">
        <v>754</v>
      </c>
      <c r="K3828" s="594"/>
      <c r="L3828" s="594"/>
      <c r="M3828" s="352">
        <v>7000</v>
      </c>
      <c r="N3828" s="352" t="s">
        <v>1891</v>
      </c>
      <c r="O3828" s="460">
        <v>5211</v>
      </c>
      <c r="P3828" s="460" t="s">
        <v>786</v>
      </c>
      <c r="Q3828" s="460" t="s">
        <v>2377</v>
      </c>
      <c r="R3828" s="460">
        <v>5211</v>
      </c>
      <c r="S3828" s="460" t="s">
        <v>2380</v>
      </c>
      <c r="T3828" s="462">
        <v>1</v>
      </c>
      <c r="U3828" s="460" t="s">
        <v>2380</v>
      </c>
      <c r="V3828" s="475">
        <v>0</v>
      </c>
      <c r="W3828" s="463" t="s">
        <v>2278</v>
      </c>
      <c r="X3828" s="463" t="s">
        <v>2278</v>
      </c>
      <c r="Y3828" s="463" t="s">
        <v>2278</v>
      </c>
      <c r="Z3828" s="463"/>
      <c r="AA3828" s="463"/>
      <c r="AB3828" s="464">
        <v>11195.827677793235</v>
      </c>
      <c r="AC3828" s="465">
        <v>1</v>
      </c>
      <c r="AD3828" s="465">
        <v>2.2046865289759177E-2</v>
      </c>
      <c r="AE3828" s="476">
        <v>11195.827677793235</v>
      </c>
      <c r="AF3828" s="467">
        <v>1</v>
      </c>
      <c r="AG3828" s="468">
        <v>2.2046865289759177E-2</v>
      </c>
      <c r="AH3828" s="218">
        <v>11195.827677793235</v>
      </c>
      <c r="AI3828" s="470">
        <v>1</v>
      </c>
      <c r="AJ3828" s="471">
        <v>2.2046865289759177E-2</v>
      </c>
      <c r="AK3828" s="218">
        <v>11195.827677793235</v>
      </c>
      <c r="AL3828" s="470">
        <v>1</v>
      </c>
      <c r="AM3828" s="471">
        <v>2.2046865289759177E-2</v>
      </c>
      <c r="AN3828" s="477">
        <v>11195.827677793235</v>
      </c>
      <c r="AO3828" s="473">
        <v>1</v>
      </c>
      <c r="AP3828" s="474">
        <v>2.2046865289759177E-2</v>
      </c>
      <c r="AQ3828" s="352"/>
      <c r="AR3828" s="352"/>
      <c r="AS3828" s="352"/>
      <c r="AT3828" s="352"/>
      <c r="AU3828" s="352"/>
      <c r="AV3828" s="352"/>
      <c r="AW3828" s="352" t="s">
        <v>127</v>
      </c>
    </row>
    <row r="3829" spans="2:49" x14ac:dyDescent="0.2">
      <c r="B3829" s="460" t="s">
        <v>3497</v>
      </c>
      <c r="C3829" s="460">
        <v>7000</v>
      </c>
      <c r="D3829" s="460" t="s">
        <v>2382</v>
      </c>
      <c r="E3829" s="460" t="s">
        <v>2383</v>
      </c>
      <c r="F3829" s="460">
        <v>3</v>
      </c>
      <c r="G3829" s="460">
        <v>5</v>
      </c>
      <c r="H3829" s="461" t="s">
        <v>754</v>
      </c>
      <c r="I3829" s="461" t="s">
        <v>1991</v>
      </c>
      <c r="J3829" s="461" t="s">
        <v>754</v>
      </c>
      <c r="K3829" s="594"/>
      <c r="L3829" s="594"/>
      <c r="M3829" s="352">
        <v>7000</v>
      </c>
      <c r="N3829" s="352" t="s">
        <v>1891</v>
      </c>
      <c r="O3829" s="460">
        <v>5211</v>
      </c>
      <c r="P3829" s="460" t="s">
        <v>786</v>
      </c>
      <c r="Q3829" s="460" t="s">
        <v>2377</v>
      </c>
      <c r="R3829" s="460">
        <v>5211</v>
      </c>
      <c r="S3829" s="460" t="s">
        <v>2383</v>
      </c>
      <c r="T3829" s="462">
        <v>1</v>
      </c>
      <c r="U3829" s="460" t="s">
        <v>2383</v>
      </c>
      <c r="V3829" s="475">
        <v>0</v>
      </c>
      <c r="W3829" s="463" t="s">
        <v>2278</v>
      </c>
      <c r="X3829" s="463" t="s">
        <v>2278</v>
      </c>
      <c r="Y3829" s="463" t="s">
        <v>2278</v>
      </c>
      <c r="Z3829" s="463"/>
      <c r="AA3829" s="463"/>
      <c r="AB3829" s="464">
        <v>4588.7976393163608</v>
      </c>
      <c r="AC3829" s="465">
        <v>1</v>
      </c>
      <c r="AD3829" s="465">
        <v>4.0788253427996801E-2</v>
      </c>
      <c r="AE3829" s="476">
        <v>4588.7976393163608</v>
      </c>
      <c r="AF3829" s="467">
        <v>1</v>
      </c>
      <c r="AG3829" s="468">
        <v>4.0788253427996801E-2</v>
      </c>
      <c r="AH3829" s="218">
        <v>4588.7976393163608</v>
      </c>
      <c r="AI3829" s="470">
        <v>1</v>
      </c>
      <c r="AJ3829" s="471">
        <v>4.0788253427996801E-2</v>
      </c>
      <c r="AK3829" s="218">
        <v>4588.7976393163608</v>
      </c>
      <c r="AL3829" s="470">
        <v>1</v>
      </c>
      <c r="AM3829" s="471">
        <v>4.0788253427996801E-2</v>
      </c>
      <c r="AN3829" s="477">
        <v>4588.7976393163608</v>
      </c>
      <c r="AO3829" s="473">
        <v>1</v>
      </c>
      <c r="AP3829" s="474">
        <v>4.0788253427996801E-2</v>
      </c>
      <c r="AQ3829" s="352"/>
      <c r="AR3829" s="352"/>
      <c r="AS3829" s="352"/>
      <c r="AT3829" s="352"/>
      <c r="AU3829" s="352"/>
      <c r="AV3829" s="352"/>
      <c r="AW3829" s="352" t="s">
        <v>127</v>
      </c>
    </row>
    <row r="3830" spans="2:49" x14ac:dyDescent="0.2">
      <c r="B3830" s="460" t="s">
        <v>3498</v>
      </c>
      <c r="C3830" s="460">
        <v>7000</v>
      </c>
      <c r="D3830" s="460" t="s">
        <v>2385</v>
      </c>
      <c r="E3830" s="460" t="s">
        <v>2386</v>
      </c>
      <c r="F3830" s="460">
        <v>4</v>
      </c>
      <c r="G3830" s="460">
        <v>5</v>
      </c>
      <c r="H3830" s="461" t="s">
        <v>754</v>
      </c>
      <c r="I3830" s="461" t="s">
        <v>1991</v>
      </c>
      <c r="J3830" s="461" t="s">
        <v>754</v>
      </c>
      <c r="K3830" s="594"/>
      <c r="L3830" s="594"/>
      <c r="M3830" s="352">
        <v>7000</v>
      </c>
      <c r="N3830" s="352" t="s">
        <v>1891</v>
      </c>
      <c r="O3830" s="460">
        <v>5211</v>
      </c>
      <c r="P3830" s="460" t="s">
        <v>786</v>
      </c>
      <c r="Q3830" s="460" t="s">
        <v>2377</v>
      </c>
      <c r="R3830" s="460">
        <v>5211</v>
      </c>
      <c r="S3830" s="460" t="s">
        <v>2386</v>
      </c>
      <c r="T3830" s="462">
        <v>1</v>
      </c>
      <c r="U3830" s="460" t="s">
        <v>2386</v>
      </c>
      <c r="V3830" s="475">
        <v>0</v>
      </c>
      <c r="W3830" s="463" t="s">
        <v>2278</v>
      </c>
      <c r="X3830" s="463" t="s">
        <v>2278</v>
      </c>
      <c r="Y3830" s="463" t="s">
        <v>2278</v>
      </c>
      <c r="Z3830" s="463"/>
      <c r="AA3830" s="463"/>
      <c r="AB3830" s="464">
        <v>936.90532155788708</v>
      </c>
      <c r="AC3830" s="465">
        <v>1</v>
      </c>
      <c r="AD3830" s="465">
        <v>1.7380284674216852E-2</v>
      </c>
      <c r="AE3830" s="476">
        <v>936.90532155788708</v>
      </c>
      <c r="AF3830" s="467">
        <v>1</v>
      </c>
      <c r="AG3830" s="468">
        <v>1.7380284674216852E-2</v>
      </c>
      <c r="AH3830" s="218">
        <v>936.90532155788708</v>
      </c>
      <c r="AI3830" s="470">
        <v>1</v>
      </c>
      <c r="AJ3830" s="471">
        <v>1.7380284674216852E-2</v>
      </c>
      <c r="AK3830" s="218">
        <v>936.90532155788708</v>
      </c>
      <c r="AL3830" s="470">
        <v>1</v>
      </c>
      <c r="AM3830" s="471">
        <v>1.7380284674216852E-2</v>
      </c>
      <c r="AN3830" s="477">
        <v>936.90532155788708</v>
      </c>
      <c r="AO3830" s="473">
        <v>1</v>
      </c>
      <c r="AP3830" s="474">
        <v>1.7380284674216852E-2</v>
      </c>
      <c r="AQ3830" s="352"/>
      <c r="AR3830" s="352"/>
      <c r="AS3830" s="352"/>
      <c r="AT3830" s="352"/>
      <c r="AU3830" s="352"/>
      <c r="AV3830" s="352"/>
      <c r="AW3830" s="352" t="s">
        <v>127</v>
      </c>
    </row>
    <row r="3831" spans="2:49" x14ac:dyDescent="0.2">
      <c r="B3831" s="460" t="s">
        <v>3499</v>
      </c>
      <c r="C3831" s="460">
        <v>7000</v>
      </c>
      <c r="D3831" s="460" t="s">
        <v>2264</v>
      </c>
      <c r="E3831" s="460" t="s">
        <v>2265</v>
      </c>
      <c r="F3831" s="460">
        <v>1</v>
      </c>
      <c r="G3831" s="460">
        <v>1</v>
      </c>
      <c r="H3831" s="461" t="s">
        <v>700</v>
      </c>
      <c r="I3831" s="461" t="s">
        <v>872</v>
      </c>
      <c r="J3831" s="461" t="s">
        <v>700</v>
      </c>
      <c r="K3831" s="594"/>
      <c r="L3831" s="594"/>
      <c r="M3831" s="352">
        <v>7000</v>
      </c>
      <c r="N3831" s="352" t="s">
        <v>1891</v>
      </c>
      <c r="O3831" s="460">
        <v>5311</v>
      </c>
      <c r="P3831" s="460" t="s">
        <v>788</v>
      </c>
      <c r="Q3831" s="460" t="s">
        <v>2553</v>
      </c>
      <c r="R3831" s="460">
        <v>5311</v>
      </c>
      <c r="S3831" s="460" t="s">
        <v>2265</v>
      </c>
      <c r="T3831" s="462">
        <v>1</v>
      </c>
      <c r="U3831" s="460" t="s">
        <v>2265</v>
      </c>
      <c r="V3831" s="475">
        <v>0</v>
      </c>
      <c r="W3831" s="463" t="s">
        <v>2554</v>
      </c>
      <c r="X3831" s="463" t="s">
        <v>2554</v>
      </c>
      <c r="Y3831" s="463" t="s">
        <v>2268</v>
      </c>
      <c r="Z3831" s="463"/>
      <c r="AA3831" s="463"/>
      <c r="AB3831" s="464">
        <v>0</v>
      </c>
      <c r="AC3831" s="465">
        <v>0</v>
      </c>
      <c r="AD3831" s="465">
        <v>0</v>
      </c>
      <c r="AE3831" s="476">
        <v>0</v>
      </c>
      <c r="AF3831" s="467">
        <v>0</v>
      </c>
      <c r="AG3831" s="468">
        <v>0</v>
      </c>
      <c r="AH3831" s="218">
        <v>0</v>
      </c>
      <c r="AI3831" s="470">
        <v>0</v>
      </c>
      <c r="AJ3831" s="471">
        <v>0</v>
      </c>
      <c r="AK3831" s="218">
        <v>0</v>
      </c>
      <c r="AL3831" s="470">
        <v>0</v>
      </c>
      <c r="AM3831" s="471">
        <v>0</v>
      </c>
      <c r="AN3831" s="477">
        <v>0</v>
      </c>
      <c r="AO3831" s="473">
        <v>0</v>
      </c>
      <c r="AP3831" s="474">
        <v>0</v>
      </c>
      <c r="AQ3831" s="352"/>
      <c r="AR3831" s="352"/>
      <c r="AS3831" s="352"/>
      <c r="AT3831" s="352"/>
      <c r="AU3831" s="352"/>
      <c r="AV3831" s="352"/>
      <c r="AW3831" s="352" t="s">
        <v>254</v>
      </c>
    </row>
    <row r="3832" spans="2:49" x14ac:dyDescent="0.2">
      <c r="B3832" s="460" t="s">
        <v>3500</v>
      </c>
      <c r="C3832" s="460">
        <v>7000</v>
      </c>
      <c r="D3832" s="460" t="s">
        <v>2270</v>
      </c>
      <c r="E3832" s="460" t="s">
        <v>2271</v>
      </c>
      <c r="F3832" s="460">
        <v>2</v>
      </c>
      <c r="G3832" s="460">
        <v>1</v>
      </c>
      <c r="H3832" s="461" t="s">
        <v>700</v>
      </c>
      <c r="I3832" s="461" t="s">
        <v>872</v>
      </c>
      <c r="J3832" s="461" t="s">
        <v>700</v>
      </c>
      <c r="K3832" s="594"/>
      <c r="L3832" s="594"/>
      <c r="M3832" s="352">
        <v>7000</v>
      </c>
      <c r="N3832" s="352" t="s">
        <v>1891</v>
      </c>
      <c r="O3832" s="460">
        <v>5311</v>
      </c>
      <c r="P3832" s="460" t="s">
        <v>788</v>
      </c>
      <c r="Q3832" s="460" t="s">
        <v>2553</v>
      </c>
      <c r="R3832" s="460">
        <v>5311</v>
      </c>
      <c r="S3832" s="460" t="s">
        <v>2265</v>
      </c>
      <c r="T3832" s="462">
        <v>1</v>
      </c>
      <c r="U3832" s="460" t="s">
        <v>2271</v>
      </c>
      <c r="V3832" s="475">
        <v>0</v>
      </c>
      <c r="W3832" s="463" t="s">
        <v>2554</v>
      </c>
      <c r="X3832" s="463" t="s">
        <v>2554</v>
      </c>
      <c r="Y3832" s="463" t="s">
        <v>2268</v>
      </c>
      <c r="Z3832" s="463"/>
      <c r="AA3832" s="463"/>
      <c r="AB3832" s="464">
        <v>0</v>
      </c>
      <c r="AC3832" s="465">
        <v>0</v>
      </c>
      <c r="AD3832" s="465">
        <v>0</v>
      </c>
      <c r="AE3832" s="476">
        <v>0</v>
      </c>
      <c r="AF3832" s="467">
        <v>0</v>
      </c>
      <c r="AG3832" s="468">
        <v>0</v>
      </c>
      <c r="AH3832" s="218">
        <v>0</v>
      </c>
      <c r="AI3832" s="470">
        <v>0</v>
      </c>
      <c r="AJ3832" s="471">
        <v>0</v>
      </c>
      <c r="AK3832" s="218">
        <v>0</v>
      </c>
      <c r="AL3832" s="470">
        <v>0</v>
      </c>
      <c r="AM3832" s="471">
        <v>0</v>
      </c>
      <c r="AN3832" s="477">
        <v>0</v>
      </c>
      <c r="AO3832" s="473">
        <v>0</v>
      </c>
      <c r="AP3832" s="474">
        <v>0</v>
      </c>
      <c r="AQ3832" s="352"/>
      <c r="AR3832" s="352"/>
      <c r="AS3832" s="352"/>
      <c r="AT3832" s="352"/>
      <c r="AU3832" s="352"/>
      <c r="AV3832" s="352"/>
      <c r="AW3832" s="352" t="s">
        <v>254</v>
      </c>
    </row>
    <row r="3833" spans="2:49" x14ac:dyDescent="0.2">
      <c r="B3833" s="460" t="s">
        <v>3501</v>
      </c>
      <c r="C3833" s="460">
        <v>7000</v>
      </c>
      <c r="D3833" s="460" t="s">
        <v>2273</v>
      </c>
      <c r="E3833" s="460" t="s">
        <v>2274</v>
      </c>
      <c r="F3833" s="460">
        <v>3</v>
      </c>
      <c r="G3833" s="460">
        <v>1</v>
      </c>
      <c r="H3833" s="461" t="s">
        <v>700</v>
      </c>
      <c r="I3833" s="461" t="s">
        <v>872</v>
      </c>
      <c r="J3833" s="461" t="s">
        <v>700</v>
      </c>
      <c r="K3833" s="594"/>
      <c r="L3833" s="594"/>
      <c r="M3833" s="352">
        <v>7000</v>
      </c>
      <c r="N3833" s="352" t="s">
        <v>1891</v>
      </c>
      <c r="O3833" s="460">
        <v>5311</v>
      </c>
      <c r="P3833" s="460" t="s">
        <v>788</v>
      </c>
      <c r="Q3833" s="460" t="s">
        <v>2553</v>
      </c>
      <c r="R3833" s="460">
        <v>5311</v>
      </c>
      <c r="S3833" s="460" t="s">
        <v>2265</v>
      </c>
      <c r="T3833" s="462">
        <v>0.74223365950407583</v>
      </c>
      <c r="U3833" s="460" t="s">
        <v>2274</v>
      </c>
      <c r="V3833" s="475">
        <v>0</v>
      </c>
      <c r="W3833" s="463" t="s">
        <v>2554</v>
      </c>
      <c r="X3833" s="463" t="s">
        <v>2554</v>
      </c>
      <c r="Y3833" s="463" t="s">
        <v>2268</v>
      </c>
      <c r="Z3833" s="463"/>
      <c r="AA3833" s="463"/>
      <c r="AB3833" s="464">
        <v>0</v>
      </c>
      <c r="AC3833" s="465">
        <v>0</v>
      </c>
      <c r="AD3833" s="465">
        <v>0</v>
      </c>
      <c r="AE3833" s="476">
        <v>0</v>
      </c>
      <c r="AF3833" s="467">
        <v>0</v>
      </c>
      <c r="AG3833" s="468">
        <v>0</v>
      </c>
      <c r="AH3833" s="218">
        <v>0</v>
      </c>
      <c r="AI3833" s="470">
        <v>0</v>
      </c>
      <c r="AJ3833" s="471">
        <v>0</v>
      </c>
      <c r="AK3833" s="218">
        <v>0</v>
      </c>
      <c r="AL3833" s="470">
        <v>0</v>
      </c>
      <c r="AM3833" s="471">
        <v>0</v>
      </c>
      <c r="AN3833" s="477">
        <v>0</v>
      </c>
      <c r="AO3833" s="473">
        <v>0</v>
      </c>
      <c r="AP3833" s="474">
        <v>0</v>
      </c>
      <c r="AQ3833" s="352"/>
      <c r="AR3833" s="352"/>
      <c r="AS3833" s="352"/>
      <c r="AT3833" s="352"/>
      <c r="AU3833" s="352"/>
      <c r="AV3833" s="352"/>
      <c r="AW3833" s="352" t="s">
        <v>254</v>
      </c>
    </row>
    <row r="3834" spans="2:49" x14ac:dyDescent="0.2">
      <c r="B3834" s="460" t="s">
        <v>3502</v>
      </c>
      <c r="C3834" s="460">
        <v>7000</v>
      </c>
      <c r="D3834" s="460" t="s">
        <v>2276</v>
      </c>
      <c r="E3834" s="460" t="s">
        <v>2277</v>
      </c>
      <c r="F3834" s="460">
        <v>4</v>
      </c>
      <c r="G3834" s="460">
        <v>1</v>
      </c>
      <c r="H3834" s="461" t="s">
        <v>700</v>
      </c>
      <c r="I3834" s="461" t="s">
        <v>872</v>
      </c>
      <c r="J3834" s="461" t="s">
        <v>700</v>
      </c>
      <c r="K3834" s="594"/>
      <c r="L3834" s="594"/>
      <c r="M3834" s="352">
        <v>7000</v>
      </c>
      <c r="N3834" s="352" t="s">
        <v>1891</v>
      </c>
      <c r="O3834" s="460">
        <v>5311</v>
      </c>
      <c r="P3834" s="460" t="s">
        <v>788</v>
      </c>
      <c r="Q3834" s="460" t="s">
        <v>2553</v>
      </c>
      <c r="R3834" s="460">
        <v>5311</v>
      </c>
      <c r="S3834" s="460" t="s">
        <v>2277</v>
      </c>
      <c r="T3834" s="462">
        <v>1</v>
      </c>
      <c r="U3834" s="460" t="s">
        <v>2277</v>
      </c>
      <c r="V3834" s="475">
        <v>0</v>
      </c>
      <c r="W3834" s="463" t="s">
        <v>2554</v>
      </c>
      <c r="X3834" s="463" t="s">
        <v>2554</v>
      </c>
      <c r="Y3834" s="463" t="s">
        <v>2268</v>
      </c>
      <c r="Z3834" s="463"/>
      <c r="AA3834" s="463"/>
      <c r="AB3834" s="464">
        <v>0</v>
      </c>
      <c r="AC3834" s="465">
        <v>0</v>
      </c>
      <c r="AD3834" s="465">
        <v>0</v>
      </c>
      <c r="AE3834" s="476">
        <v>0</v>
      </c>
      <c r="AF3834" s="467">
        <v>0</v>
      </c>
      <c r="AG3834" s="468">
        <v>0</v>
      </c>
      <c r="AH3834" s="218">
        <v>0</v>
      </c>
      <c r="AI3834" s="470">
        <v>0</v>
      </c>
      <c r="AJ3834" s="471">
        <v>0</v>
      </c>
      <c r="AK3834" s="218">
        <v>0</v>
      </c>
      <c r="AL3834" s="470">
        <v>0</v>
      </c>
      <c r="AM3834" s="471">
        <v>0</v>
      </c>
      <c r="AN3834" s="477">
        <v>0</v>
      </c>
      <c r="AO3834" s="473">
        <v>0</v>
      </c>
      <c r="AP3834" s="474">
        <v>0</v>
      </c>
      <c r="AQ3834" s="352"/>
      <c r="AR3834" s="352"/>
      <c r="AS3834" s="352"/>
      <c r="AT3834" s="352"/>
      <c r="AU3834" s="352"/>
      <c r="AV3834" s="352"/>
      <c r="AW3834" s="352" t="s">
        <v>254</v>
      </c>
    </row>
    <row r="3835" spans="2:49" x14ac:dyDescent="0.2">
      <c r="B3835" s="460" t="s">
        <v>3499</v>
      </c>
      <c r="C3835" s="460">
        <v>7000</v>
      </c>
      <c r="D3835" s="460" t="s">
        <v>2279</v>
      </c>
      <c r="E3835" s="460" t="s">
        <v>2265</v>
      </c>
      <c r="F3835" s="460">
        <v>1</v>
      </c>
      <c r="G3835" s="460">
        <v>1</v>
      </c>
      <c r="H3835" s="461" t="s">
        <v>712</v>
      </c>
      <c r="I3835" s="461" t="s">
        <v>713</v>
      </c>
      <c r="J3835" s="461" t="s">
        <v>712</v>
      </c>
      <c r="K3835" s="594"/>
      <c r="L3835" s="594"/>
      <c r="M3835" s="352">
        <v>7000</v>
      </c>
      <c r="N3835" s="352" t="s">
        <v>1891</v>
      </c>
      <c r="O3835" s="460">
        <v>5311</v>
      </c>
      <c r="P3835" s="460" t="s">
        <v>788</v>
      </c>
      <c r="Q3835" s="460" t="s">
        <v>2280</v>
      </c>
      <c r="R3835" s="460">
        <v>5311</v>
      </c>
      <c r="S3835" s="460" t="s">
        <v>2265</v>
      </c>
      <c r="T3835" s="462">
        <v>1</v>
      </c>
      <c r="U3835" s="460" t="s">
        <v>2265</v>
      </c>
      <c r="V3835" s="475">
        <v>0</v>
      </c>
      <c r="W3835" s="463" t="s">
        <v>713</v>
      </c>
      <c r="X3835" s="463" t="s">
        <v>713</v>
      </c>
      <c r="Y3835" s="463" t="s">
        <v>713</v>
      </c>
      <c r="Z3835" s="463"/>
      <c r="AA3835" s="463"/>
      <c r="AB3835" s="464">
        <v>6019.6963150677802</v>
      </c>
      <c r="AC3835" s="465">
        <v>1</v>
      </c>
      <c r="AD3835" s="465">
        <v>2.2237799223446545E-2</v>
      </c>
      <c r="AE3835" s="476">
        <v>6019.6963150677802</v>
      </c>
      <c r="AF3835" s="467">
        <v>1</v>
      </c>
      <c r="AG3835" s="468">
        <v>2.168617080318385E-2</v>
      </c>
      <c r="AH3835" s="218">
        <v>6019.6963150677802</v>
      </c>
      <c r="AI3835" s="470">
        <v>1</v>
      </c>
      <c r="AJ3835" s="471">
        <v>2.1997114627587248E-2</v>
      </c>
      <c r="AK3835" s="218">
        <v>6019.6963150677802</v>
      </c>
      <c r="AL3835" s="470">
        <v>1</v>
      </c>
      <c r="AM3835" s="471">
        <v>2.1997114627587248E-2</v>
      </c>
      <c r="AN3835" s="477">
        <v>6019.6963150677802</v>
      </c>
      <c r="AO3835" s="473">
        <v>1</v>
      </c>
      <c r="AP3835" s="474">
        <v>2.198994708542008E-2</v>
      </c>
      <c r="AQ3835" s="352"/>
      <c r="AR3835" s="352"/>
      <c r="AS3835" s="352"/>
      <c r="AT3835" s="352"/>
      <c r="AU3835" s="352"/>
      <c r="AV3835" s="352"/>
      <c r="AW3835" s="352" t="s">
        <v>254</v>
      </c>
    </row>
    <row r="3836" spans="2:49" x14ac:dyDescent="0.2">
      <c r="B3836" s="460" t="s">
        <v>3500</v>
      </c>
      <c r="C3836" s="460">
        <v>7000</v>
      </c>
      <c r="D3836" s="460" t="s">
        <v>2281</v>
      </c>
      <c r="E3836" s="460" t="s">
        <v>2271</v>
      </c>
      <c r="F3836" s="460">
        <v>2</v>
      </c>
      <c r="G3836" s="460">
        <v>1</v>
      </c>
      <c r="H3836" s="461" t="s">
        <v>712</v>
      </c>
      <c r="I3836" s="461" t="s">
        <v>713</v>
      </c>
      <c r="J3836" s="461" t="s">
        <v>712</v>
      </c>
      <c r="K3836" s="594"/>
      <c r="L3836" s="594"/>
      <c r="M3836" s="352">
        <v>7000</v>
      </c>
      <c r="N3836" s="352" t="s">
        <v>1891</v>
      </c>
      <c r="O3836" s="460">
        <v>5311</v>
      </c>
      <c r="P3836" s="460" t="s">
        <v>788</v>
      </c>
      <c r="Q3836" s="460" t="s">
        <v>2280</v>
      </c>
      <c r="R3836" s="460">
        <v>5311</v>
      </c>
      <c r="S3836" s="460" t="s">
        <v>2265</v>
      </c>
      <c r="T3836" s="462">
        <v>1</v>
      </c>
      <c r="U3836" s="460" t="s">
        <v>2271</v>
      </c>
      <c r="V3836" s="475">
        <v>0</v>
      </c>
      <c r="W3836" s="463" t="s">
        <v>713</v>
      </c>
      <c r="X3836" s="463" t="s">
        <v>713</v>
      </c>
      <c r="Y3836" s="463" t="s">
        <v>713</v>
      </c>
      <c r="Z3836" s="463"/>
      <c r="AA3836" s="463"/>
      <c r="AB3836" s="464">
        <v>7684.853166185706</v>
      </c>
      <c r="AC3836" s="465">
        <v>1</v>
      </c>
      <c r="AD3836" s="465">
        <v>3.2091336641252702E-2</v>
      </c>
      <c r="AE3836" s="476">
        <v>7684.853166185706</v>
      </c>
      <c r="AF3836" s="467">
        <v>1</v>
      </c>
      <c r="AG3836" s="468">
        <v>3.1278561746738334E-2</v>
      </c>
      <c r="AH3836" s="218">
        <v>7684.853166185706</v>
      </c>
      <c r="AI3836" s="470">
        <v>1</v>
      </c>
      <c r="AJ3836" s="471">
        <v>3.3015247286921019E-2</v>
      </c>
      <c r="AK3836" s="218">
        <v>7684.853166185706</v>
      </c>
      <c r="AL3836" s="470">
        <v>1</v>
      </c>
      <c r="AM3836" s="471">
        <v>3.3015247286921019E-2</v>
      </c>
      <c r="AN3836" s="477">
        <v>7684.853166185706</v>
      </c>
      <c r="AO3836" s="473">
        <v>1</v>
      </c>
      <c r="AP3836" s="474">
        <v>3.3003654550538337E-2</v>
      </c>
      <c r="AQ3836" s="352"/>
      <c r="AR3836" s="352"/>
      <c r="AS3836" s="352"/>
      <c r="AT3836" s="352"/>
      <c r="AU3836" s="352"/>
      <c r="AV3836" s="352"/>
      <c r="AW3836" s="352" t="s">
        <v>254</v>
      </c>
    </row>
    <row r="3837" spans="2:49" x14ac:dyDescent="0.2">
      <c r="B3837" s="460" t="s">
        <v>3501</v>
      </c>
      <c r="C3837" s="460">
        <v>7000</v>
      </c>
      <c r="D3837" s="460" t="s">
        <v>2282</v>
      </c>
      <c r="E3837" s="460" t="s">
        <v>2274</v>
      </c>
      <c r="F3837" s="460">
        <v>3</v>
      </c>
      <c r="G3837" s="460">
        <v>1</v>
      </c>
      <c r="H3837" s="461" t="s">
        <v>712</v>
      </c>
      <c r="I3837" s="461" t="s">
        <v>713</v>
      </c>
      <c r="J3837" s="461" t="s">
        <v>712</v>
      </c>
      <c r="K3837" s="594"/>
      <c r="L3837" s="594"/>
      <c r="M3837" s="352">
        <v>7000</v>
      </c>
      <c r="N3837" s="352" t="s">
        <v>1891</v>
      </c>
      <c r="O3837" s="460">
        <v>5311</v>
      </c>
      <c r="P3837" s="460" t="s">
        <v>788</v>
      </c>
      <c r="Q3837" s="460" t="s">
        <v>2280</v>
      </c>
      <c r="R3837" s="460">
        <v>5311</v>
      </c>
      <c r="S3837" s="460" t="s">
        <v>2265</v>
      </c>
      <c r="T3837" s="462">
        <v>0.74223365950407583</v>
      </c>
      <c r="U3837" s="460" t="s">
        <v>2274</v>
      </c>
      <c r="V3837" s="475">
        <v>0</v>
      </c>
      <c r="W3837" s="463" t="s">
        <v>713</v>
      </c>
      <c r="X3837" s="463" t="s">
        <v>713</v>
      </c>
      <c r="Y3837" s="463" t="s">
        <v>713</v>
      </c>
      <c r="Z3837" s="463"/>
      <c r="AA3837" s="463"/>
      <c r="AB3837" s="464">
        <v>6553.501924730911</v>
      </c>
      <c r="AC3837" s="465">
        <v>1</v>
      </c>
      <c r="AD3837" s="465">
        <v>3.9224101384650517E-2</v>
      </c>
      <c r="AE3837" s="476">
        <v>6553.501924730911</v>
      </c>
      <c r="AF3837" s="467">
        <v>1</v>
      </c>
      <c r="AG3837" s="468">
        <v>3.8863051524193865E-2</v>
      </c>
      <c r="AH3837" s="218">
        <v>6553.501924730911</v>
      </c>
      <c r="AI3837" s="470">
        <v>1</v>
      </c>
      <c r="AJ3837" s="471">
        <v>4.1183324911841068E-2</v>
      </c>
      <c r="AK3837" s="218">
        <v>6553.501924730911</v>
      </c>
      <c r="AL3837" s="470">
        <v>1</v>
      </c>
      <c r="AM3837" s="471">
        <v>4.1183324911841068E-2</v>
      </c>
      <c r="AN3837" s="477">
        <v>6553.501924730911</v>
      </c>
      <c r="AO3837" s="473">
        <v>1</v>
      </c>
      <c r="AP3837" s="474">
        <v>4.1480421288360006E-2</v>
      </c>
      <c r="AQ3837" s="352"/>
      <c r="AR3837" s="352"/>
      <c r="AS3837" s="352"/>
      <c r="AT3837" s="352"/>
      <c r="AU3837" s="352"/>
      <c r="AV3837" s="352"/>
      <c r="AW3837" s="352" t="s">
        <v>254</v>
      </c>
    </row>
    <row r="3838" spans="2:49" x14ac:dyDescent="0.2">
      <c r="B3838" s="460" t="s">
        <v>3502</v>
      </c>
      <c r="C3838" s="460">
        <v>7000</v>
      </c>
      <c r="D3838" s="460" t="s">
        <v>2283</v>
      </c>
      <c r="E3838" s="460" t="s">
        <v>2277</v>
      </c>
      <c r="F3838" s="460">
        <v>4</v>
      </c>
      <c r="G3838" s="460">
        <v>1</v>
      </c>
      <c r="H3838" s="461" t="s">
        <v>712</v>
      </c>
      <c r="I3838" s="461" t="s">
        <v>713</v>
      </c>
      <c r="J3838" s="461" t="s">
        <v>712</v>
      </c>
      <c r="K3838" s="594"/>
      <c r="L3838" s="594"/>
      <c r="M3838" s="352">
        <v>7000</v>
      </c>
      <c r="N3838" s="352" t="s">
        <v>1891</v>
      </c>
      <c r="O3838" s="460">
        <v>5311</v>
      </c>
      <c r="P3838" s="460" t="s">
        <v>788</v>
      </c>
      <c r="Q3838" s="460" t="s">
        <v>2280</v>
      </c>
      <c r="R3838" s="460">
        <v>5311</v>
      </c>
      <c r="S3838" s="460" t="s">
        <v>2277</v>
      </c>
      <c r="T3838" s="462">
        <v>1</v>
      </c>
      <c r="U3838" s="460" t="s">
        <v>2277</v>
      </c>
      <c r="V3838" s="475">
        <v>0</v>
      </c>
      <c r="W3838" s="463" t="s">
        <v>713</v>
      </c>
      <c r="X3838" s="463" t="s">
        <v>713</v>
      </c>
      <c r="Y3838" s="463" t="s">
        <v>713</v>
      </c>
      <c r="Z3838" s="463"/>
      <c r="AA3838" s="463"/>
      <c r="AB3838" s="464">
        <v>7430.1625688733966</v>
      </c>
      <c r="AC3838" s="465">
        <v>1</v>
      </c>
      <c r="AD3838" s="465">
        <v>3.858687655595168E-2</v>
      </c>
      <c r="AE3838" s="476">
        <v>7430.1625688733966</v>
      </c>
      <c r="AF3838" s="467">
        <v>1</v>
      </c>
      <c r="AG3838" s="468">
        <v>3.8581639166220399E-2</v>
      </c>
      <c r="AH3838" s="218">
        <v>7430.1625688733966</v>
      </c>
      <c r="AI3838" s="470">
        <v>1</v>
      </c>
      <c r="AJ3838" s="471">
        <v>3.8583563666559358E-2</v>
      </c>
      <c r="AK3838" s="218">
        <v>7430.1625688733966</v>
      </c>
      <c r="AL3838" s="470">
        <v>1</v>
      </c>
      <c r="AM3838" s="471">
        <v>3.8583563666559358E-2</v>
      </c>
      <c r="AN3838" s="477">
        <v>7430.1625688733966</v>
      </c>
      <c r="AO3838" s="473">
        <v>1</v>
      </c>
      <c r="AP3838" s="474">
        <v>3.8583756060181176E-2</v>
      </c>
      <c r="AQ3838" s="352"/>
      <c r="AR3838" s="352"/>
      <c r="AS3838" s="352"/>
      <c r="AT3838" s="352"/>
      <c r="AU3838" s="352"/>
      <c r="AV3838" s="352"/>
      <c r="AW3838" s="352" t="s">
        <v>254</v>
      </c>
    </row>
    <row r="3839" spans="2:49" x14ac:dyDescent="0.2">
      <c r="B3839" s="460" t="s">
        <v>3499</v>
      </c>
      <c r="C3839" s="460">
        <v>7000</v>
      </c>
      <c r="D3839" s="460" t="s">
        <v>2284</v>
      </c>
      <c r="E3839" s="460" t="s">
        <v>2265</v>
      </c>
      <c r="F3839" s="460">
        <v>1</v>
      </c>
      <c r="G3839" s="460">
        <v>1</v>
      </c>
      <c r="H3839" s="461" t="s">
        <v>746</v>
      </c>
      <c r="I3839" s="461" t="s">
        <v>762</v>
      </c>
      <c r="J3839" s="461" t="s">
        <v>700</v>
      </c>
      <c r="K3839" s="594"/>
      <c r="L3839" s="594"/>
      <c r="M3839" s="352">
        <v>7000</v>
      </c>
      <c r="N3839" s="352" t="s">
        <v>1891</v>
      </c>
      <c r="O3839" s="460">
        <v>5311</v>
      </c>
      <c r="P3839" s="460" t="s">
        <v>788</v>
      </c>
      <c r="Q3839" s="460" t="s">
        <v>2553</v>
      </c>
      <c r="R3839" s="460">
        <v>5311</v>
      </c>
      <c r="S3839" s="460" t="s">
        <v>2265</v>
      </c>
      <c r="T3839" s="462">
        <v>1</v>
      </c>
      <c r="U3839" s="460" t="s">
        <v>2265</v>
      </c>
      <c r="V3839" s="475">
        <v>0</v>
      </c>
      <c r="W3839" s="463" t="s">
        <v>2268</v>
      </c>
      <c r="X3839" s="463" t="s">
        <v>2268</v>
      </c>
      <c r="Y3839" s="463" t="s">
        <v>2554</v>
      </c>
      <c r="Z3839" s="463"/>
      <c r="AA3839" s="463"/>
      <c r="AB3839" s="464">
        <v>0</v>
      </c>
      <c r="AC3839" s="465">
        <v>0</v>
      </c>
      <c r="AD3839" s="465">
        <v>0</v>
      </c>
      <c r="AE3839" s="476">
        <v>0</v>
      </c>
      <c r="AF3839" s="467">
        <v>0</v>
      </c>
      <c r="AG3839" s="468">
        <v>0</v>
      </c>
      <c r="AH3839" s="218">
        <v>0</v>
      </c>
      <c r="AI3839" s="470">
        <v>0</v>
      </c>
      <c r="AJ3839" s="471">
        <v>0</v>
      </c>
      <c r="AK3839" s="218">
        <v>0</v>
      </c>
      <c r="AL3839" s="470">
        <v>0</v>
      </c>
      <c r="AM3839" s="471">
        <v>0</v>
      </c>
      <c r="AN3839" s="477">
        <v>0</v>
      </c>
      <c r="AO3839" s="473">
        <v>0</v>
      </c>
      <c r="AP3839" s="474">
        <v>0</v>
      </c>
      <c r="AQ3839" s="352"/>
      <c r="AR3839" s="352"/>
      <c r="AS3839" s="352"/>
      <c r="AT3839" s="352"/>
      <c r="AU3839" s="352"/>
      <c r="AV3839" s="352"/>
      <c r="AW3839" s="352" t="s">
        <v>254</v>
      </c>
    </row>
    <row r="3840" spans="2:49" x14ac:dyDescent="0.2">
      <c r="B3840" s="460" t="s">
        <v>3500</v>
      </c>
      <c r="C3840" s="460">
        <v>7000</v>
      </c>
      <c r="D3840" s="460" t="s">
        <v>2285</v>
      </c>
      <c r="E3840" s="460" t="s">
        <v>2271</v>
      </c>
      <c r="F3840" s="460">
        <v>2</v>
      </c>
      <c r="G3840" s="460">
        <v>1</v>
      </c>
      <c r="H3840" s="461" t="s">
        <v>746</v>
      </c>
      <c r="I3840" s="461" t="s">
        <v>762</v>
      </c>
      <c r="J3840" s="461" t="s">
        <v>700</v>
      </c>
      <c r="K3840" s="594"/>
      <c r="L3840" s="594"/>
      <c r="M3840" s="352">
        <v>7000</v>
      </c>
      <c r="N3840" s="352" t="s">
        <v>1891</v>
      </c>
      <c r="O3840" s="460">
        <v>5311</v>
      </c>
      <c r="P3840" s="460" t="s">
        <v>788</v>
      </c>
      <c r="Q3840" s="460" t="s">
        <v>2553</v>
      </c>
      <c r="R3840" s="460">
        <v>5311</v>
      </c>
      <c r="S3840" s="460" t="s">
        <v>2265</v>
      </c>
      <c r="T3840" s="462">
        <v>1</v>
      </c>
      <c r="U3840" s="460" t="s">
        <v>2271</v>
      </c>
      <c r="V3840" s="475">
        <v>0</v>
      </c>
      <c r="W3840" s="463" t="s">
        <v>2268</v>
      </c>
      <c r="X3840" s="463" t="s">
        <v>2268</v>
      </c>
      <c r="Y3840" s="463" t="s">
        <v>2554</v>
      </c>
      <c r="Z3840" s="463"/>
      <c r="AA3840" s="463"/>
      <c r="AB3840" s="464">
        <v>0</v>
      </c>
      <c r="AC3840" s="465">
        <v>0</v>
      </c>
      <c r="AD3840" s="465">
        <v>0</v>
      </c>
      <c r="AE3840" s="476">
        <v>0</v>
      </c>
      <c r="AF3840" s="467">
        <v>0</v>
      </c>
      <c r="AG3840" s="468">
        <v>0</v>
      </c>
      <c r="AH3840" s="218">
        <v>0</v>
      </c>
      <c r="AI3840" s="470">
        <v>0</v>
      </c>
      <c r="AJ3840" s="471">
        <v>0</v>
      </c>
      <c r="AK3840" s="218">
        <v>0</v>
      </c>
      <c r="AL3840" s="470">
        <v>0</v>
      </c>
      <c r="AM3840" s="471">
        <v>0</v>
      </c>
      <c r="AN3840" s="477">
        <v>0</v>
      </c>
      <c r="AO3840" s="473">
        <v>0</v>
      </c>
      <c r="AP3840" s="474">
        <v>0</v>
      </c>
      <c r="AQ3840" s="352"/>
      <c r="AR3840" s="352"/>
      <c r="AS3840" s="352"/>
      <c r="AT3840" s="352"/>
      <c r="AU3840" s="352"/>
      <c r="AV3840" s="352"/>
      <c r="AW3840" s="352" t="s">
        <v>254</v>
      </c>
    </row>
    <row r="3841" spans="2:49" x14ac:dyDescent="0.2">
      <c r="B3841" s="460" t="s">
        <v>3501</v>
      </c>
      <c r="C3841" s="460">
        <v>7000</v>
      </c>
      <c r="D3841" s="460" t="s">
        <v>2286</v>
      </c>
      <c r="E3841" s="460" t="s">
        <v>2274</v>
      </c>
      <c r="F3841" s="460">
        <v>3</v>
      </c>
      <c r="G3841" s="460">
        <v>1</v>
      </c>
      <c r="H3841" s="461" t="s">
        <v>746</v>
      </c>
      <c r="I3841" s="461" t="s">
        <v>762</v>
      </c>
      <c r="J3841" s="461" t="s">
        <v>700</v>
      </c>
      <c r="K3841" s="594"/>
      <c r="L3841" s="594"/>
      <c r="M3841" s="352">
        <v>7000</v>
      </c>
      <c r="N3841" s="352" t="s">
        <v>1891</v>
      </c>
      <c r="O3841" s="460">
        <v>5311</v>
      </c>
      <c r="P3841" s="460" t="s">
        <v>788</v>
      </c>
      <c r="Q3841" s="460" t="s">
        <v>2553</v>
      </c>
      <c r="R3841" s="460">
        <v>5311</v>
      </c>
      <c r="S3841" s="460" t="s">
        <v>2265</v>
      </c>
      <c r="T3841" s="462">
        <v>0.74223365950407583</v>
      </c>
      <c r="U3841" s="460" t="s">
        <v>2274</v>
      </c>
      <c r="V3841" s="475">
        <v>0</v>
      </c>
      <c r="W3841" s="463" t="s">
        <v>2268</v>
      </c>
      <c r="X3841" s="463" t="s">
        <v>2268</v>
      </c>
      <c r="Y3841" s="463" t="s">
        <v>2554</v>
      </c>
      <c r="Z3841" s="463"/>
      <c r="AA3841" s="463"/>
      <c r="AB3841" s="464">
        <v>0</v>
      </c>
      <c r="AC3841" s="465">
        <v>0</v>
      </c>
      <c r="AD3841" s="465">
        <v>0</v>
      </c>
      <c r="AE3841" s="476">
        <v>0</v>
      </c>
      <c r="AF3841" s="467">
        <v>0</v>
      </c>
      <c r="AG3841" s="468">
        <v>0</v>
      </c>
      <c r="AH3841" s="218">
        <v>0</v>
      </c>
      <c r="AI3841" s="470">
        <v>0</v>
      </c>
      <c r="AJ3841" s="471">
        <v>0</v>
      </c>
      <c r="AK3841" s="218">
        <v>0</v>
      </c>
      <c r="AL3841" s="470">
        <v>0</v>
      </c>
      <c r="AM3841" s="471">
        <v>0</v>
      </c>
      <c r="AN3841" s="477">
        <v>0</v>
      </c>
      <c r="AO3841" s="473">
        <v>0</v>
      </c>
      <c r="AP3841" s="474">
        <v>0</v>
      </c>
      <c r="AQ3841" s="352"/>
      <c r="AR3841" s="352"/>
      <c r="AS3841" s="352"/>
      <c r="AT3841" s="352"/>
      <c r="AU3841" s="352"/>
      <c r="AV3841" s="352"/>
      <c r="AW3841" s="352" t="s">
        <v>254</v>
      </c>
    </row>
    <row r="3842" spans="2:49" x14ac:dyDescent="0.2">
      <c r="B3842" s="460" t="s">
        <v>3502</v>
      </c>
      <c r="C3842" s="460">
        <v>7000</v>
      </c>
      <c r="D3842" s="460" t="s">
        <v>2287</v>
      </c>
      <c r="E3842" s="460" t="s">
        <v>2277</v>
      </c>
      <c r="F3842" s="460">
        <v>4</v>
      </c>
      <c r="G3842" s="460">
        <v>1</v>
      </c>
      <c r="H3842" s="461" t="s">
        <v>746</v>
      </c>
      <c r="I3842" s="461" t="s">
        <v>762</v>
      </c>
      <c r="J3842" s="461" t="s">
        <v>700</v>
      </c>
      <c r="K3842" s="594"/>
      <c r="L3842" s="594"/>
      <c r="M3842" s="352">
        <v>7000</v>
      </c>
      <c r="N3842" s="352" t="s">
        <v>1891</v>
      </c>
      <c r="O3842" s="460">
        <v>5311</v>
      </c>
      <c r="P3842" s="460" t="s">
        <v>788</v>
      </c>
      <c r="Q3842" s="460" t="s">
        <v>2553</v>
      </c>
      <c r="R3842" s="460">
        <v>5311</v>
      </c>
      <c r="S3842" s="460" t="s">
        <v>2277</v>
      </c>
      <c r="T3842" s="462">
        <v>1</v>
      </c>
      <c r="U3842" s="460" t="s">
        <v>2277</v>
      </c>
      <c r="V3842" s="475">
        <v>0</v>
      </c>
      <c r="W3842" s="463" t="s">
        <v>2268</v>
      </c>
      <c r="X3842" s="463" t="s">
        <v>2268</v>
      </c>
      <c r="Y3842" s="463" t="s">
        <v>2554</v>
      </c>
      <c r="Z3842" s="463"/>
      <c r="AA3842" s="463"/>
      <c r="AB3842" s="464">
        <v>0</v>
      </c>
      <c r="AC3842" s="465">
        <v>0</v>
      </c>
      <c r="AD3842" s="465">
        <v>0</v>
      </c>
      <c r="AE3842" s="476">
        <v>0</v>
      </c>
      <c r="AF3842" s="467">
        <v>0</v>
      </c>
      <c r="AG3842" s="468">
        <v>0</v>
      </c>
      <c r="AH3842" s="218">
        <v>0</v>
      </c>
      <c r="AI3842" s="470">
        <v>0</v>
      </c>
      <c r="AJ3842" s="471">
        <v>0</v>
      </c>
      <c r="AK3842" s="218">
        <v>0</v>
      </c>
      <c r="AL3842" s="470">
        <v>0</v>
      </c>
      <c r="AM3842" s="471">
        <v>0</v>
      </c>
      <c r="AN3842" s="477">
        <v>0</v>
      </c>
      <c r="AO3842" s="473">
        <v>0</v>
      </c>
      <c r="AP3842" s="474">
        <v>0</v>
      </c>
      <c r="AQ3842" s="352"/>
      <c r="AR3842" s="352"/>
      <c r="AS3842" s="352"/>
      <c r="AT3842" s="352"/>
      <c r="AU3842" s="352"/>
      <c r="AV3842" s="352"/>
      <c r="AW3842" s="352" t="s">
        <v>254</v>
      </c>
    </row>
    <row r="3843" spans="2:49" x14ac:dyDescent="0.2">
      <c r="B3843" s="460" t="s">
        <v>3499</v>
      </c>
      <c r="C3843" s="460">
        <v>7000</v>
      </c>
      <c r="D3843" s="460" t="s">
        <v>2288</v>
      </c>
      <c r="E3843" s="460" t="s">
        <v>2265</v>
      </c>
      <c r="F3843" s="460">
        <v>1</v>
      </c>
      <c r="G3843" s="460">
        <v>1</v>
      </c>
      <c r="H3843" s="461" t="s">
        <v>748</v>
      </c>
      <c r="I3843" s="461" t="s">
        <v>765</v>
      </c>
      <c r="J3843" s="461" t="s">
        <v>700</v>
      </c>
      <c r="K3843" s="594"/>
      <c r="L3843" s="594"/>
      <c r="M3843" s="352">
        <v>7000</v>
      </c>
      <c r="N3843" s="352" t="s">
        <v>1891</v>
      </c>
      <c r="O3843" s="460">
        <v>5311</v>
      </c>
      <c r="P3843" s="460" t="s">
        <v>788</v>
      </c>
      <c r="Q3843" s="460" t="s">
        <v>2553</v>
      </c>
      <c r="R3843" s="460">
        <v>5311</v>
      </c>
      <c r="S3843" s="460" t="s">
        <v>2265</v>
      </c>
      <c r="T3843" s="462">
        <v>1</v>
      </c>
      <c r="U3843" s="460" t="s">
        <v>2265</v>
      </c>
      <c r="V3843" s="475">
        <v>0</v>
      </c>
      <c r="W3843" s="463" t="s">
        <v>2268</v>
      </c>
      <c r="X3843" s="463" t="s">
        <v>2268</v>
      </c>
      <c r="Y3843" s="463" t="s">
        <v>2554</v>
      </c>
      <c r="Z3843" s="463"/>
      <c r="AA3843" s="463"/>
      <c r="AB3843" s="464">
        <v>0</v>
      </c>
      <c r="AC3843" s="465">
        <v>0</v>
      </c>
      <c r="AD3843" s="465">
        <v>0</v>
      </c>
      <c r="AE3843" s="476">
        <v>0</v>
      </c>
      <c r="AF3843" s="467">
        <v>0</v>
      </c>
      <c r="AG3843" s="468">
        <v>0</v>
      </c>
      <c r="AH3843" s="218">
        <v>0</v>
      </c>
      <c r="AI3843" s="470">
        <v>0</v>
      </c>
      <c r="AJ3843" s="471">
        <v>0</v>
      </c>
      <c r="AK3843" s="218">
        <v>0</v>
      </c>
      <c r="AL3843" s="470">
        <v>0</v>
      </c>
      <c r="AM3843" s="471">
        <v>0</v>
      </c>
      <c r="AN3843" s="477">
        <v>0</v>
      </c>
      <c r="AO3843" s="473">
        <v>0</v>
      </c>
      <c r="AP3843" s="474">
        <v>0</v>
      </c>
      <c r="AQ3843" s="352"/>
      <c r="AR3843" s="352"/>
      <c r="AS3843" s="352"/>
      <c r="AT3843" s="352"/>
      <c r="AU3843" s="352"/>
      <c r="AV3843" s="352"/>
      <c r="AW3843" s="352" t="s">
        <v>254</v>
      </c>
    </row>
    <row r="3844" spans="2:49" x14ac:dyDescent="0.2">
      <c r="B3844" s="460" t="s">
        <v>3500</v>
      </c>
      <c r="C3844" s="460">
        <v>7000</v>
      </c>
      <c r="D3844" s="460" t="s">
        <v>2291</v>
      </c>
      <c r="E3844" s="460" t="s">
        <v>2271</v>
      </c>
      <c r="F3844" s="460">
        <v>2</v>
      </c>
      <c r="G3844" s="460">
        <v>1</v>
      </c>
      <c r="H3844" s="461" t="s">
        <v>748</v>
      </c>
      <c r="I3844" s="461" t="s">
        <v>765</v>
      </c>
      <c r="J3844" s="461" t="s">
        <v>700</v>
      </c>
      <c r="K3844" s="594"/>
      <c r="L3844" s="594"/>
      <c r="M3844" s="352">
        <v>7000</v>
      </c>
      <c r="N3844" s="352" t="s">
        <v>1891</v>
      </c>
      <c r="O3844" s="460">
        <v>5311</v>
      </c>
      <c r="P3844" s="460" t="s">
        <v>788</v>
      </c>
      <c r="Q3844" s="460" t="s">
        <v>2553</v>
      </c>
      <c r="R3844" s="460">
        <v>5311</v>
      </c>
      <c r="S3844" s="460" t="s">
        <v>2265</v>
      </c>
      <c r="T3844" s="462">
        <v>1</v>
      </c>
      <c r="U3844" s="460" t="s">
        <v>2271</v>
      </c>
      <c r="V3844" s="475">
        <v>0</v>
      </c>
      <c r="W3844" s="463" t="s">
        <v>2268</v>
      </c>
      <c r="X3844" s="463" t="s">
        <v>2268</v>
      </c>
      <c r="Y3844" s="463" t="s">
        <v>2554</v>
      </c>
      <c r="Z3844" s="463"/>
      <c r="AA3844" s="463"/>
      <c r="AB3844" s="464">
        <v>0</v>
      </c>
      <c r="AC3844" s="465">
        <v>0</v>
      </c>
      <c r="AD3844" s="465">
        <v>0</v>
      </c>
      <c r="AE3844" s="476">
        <v>0</v>
      </c>
      <c r="AF3844" s="467">
        <v>0</v>
      </c>
      <c r="AG3844" s="468">
        <v>0</v>
      </c>
      <c r="AH3844" s="218">
        <v>0</v>
      </c>
      <c r="AI3844" s="470">
        <v>0</v>
      </c>
      <c r="AJ3844" s="471">
        <v>0</v>
      </c>
      <c r="AK3844" s="218">
        <v>0</v>
      </c>
      <c r="AL3844" s="470">
        <v>0</v>
      </c>
      <c r="AM3844" s="471">
        <v>0</v>
      </c>
      <c r="AN3844" s="477">
        <v>0</v>
      </c>
      <c r="AO3844" s="473">
        <v>0</v>
      </c>
      <c r="AP3844" s="474">
        <v>0</v>
      </c>
      <c r="AQ3844" s="352"/>
      <c r="AR3844" s="352"/>
      <c r="AS3844" s="352"/>
      <c r="AT3844" s="352"/>
      <c r="AU3844" s="352"/>
      <c r="AV3844" s="352"/>
      <c r="AW3844" s="352" t="s">
        <v>254</v>
      </c>
    </row>
    <row r="3845" spans="2:49" x14ac:dyDescent="0.2">
      <c r="B3845" s="460" t="s">
        <v>3501</v>
      </c>
      <c r="C3845" s="460">
        <v>7000</v>
      </c>
      <c r="D3845" s="460" t="s">
        <v>2292</v>
      </c>
      <c r="E3845" s="460" t="s">
        <v>2274</v>
      </c>
      <c r="F3845" s="460">
        <v>3</v>
      </c>
      <c r="G3845" s="460">
        <v>1</v>
      </c>
      <c r="H3845" s="461" t="s">
        <v>748</v>
      </c>
      <c r="I3845" s="461" t="s">
        <v>765</v>
      </c>
      <c r="J3845" s="461" t="s">
        <v>700</v>
      </c>
      <c r="K3845" s="594"/>
      <c r="L3845" s="594"/>
      <c r="M3845" s="352">
        <v>7000</v>
      </c>
      <c r="N3845" s="352" t="s">
        <v>1891</v>
      </c>
      <c r="O3845" s="460">
        <v>5311</v>
      </c>
      <c r="P3845" s="460" t="s">
        <v>788</v>
      </c>
      <c r="Q3845" s="460" t="s">
        <v>2553</v>
      </c>
      <c r="R3845" s="460">
        <v>5311</v>
      </c>
      <c r="S3845" s="460" t="s">
        <v>2265</v>
      </c>
      <c r="T3845" s="462">
        <v>0.74223365950407583</v>
      </c>
      <c r="U3845" s="460" t="s">
        <v>2274</v>
      </c>
      <c r="V3845" s="475">
        <v>0</v>
      </c>
      <c r="W3845" s="463" t="s">
        <v>2268</v>
      </c>
      <c r="X3845" s="463" t="s">
        <v>2268</v>
      </c>
      <c r="Y3845" s="463" t="s">
        <v>2554</v>
      </c>
      <c r="Z3845" s="463"/>
      <c r="AA3845" s="463"/>
      <c r="AB3845" s="464">
        <v>0</v>
      </c>
      <c r="AC3845" s="465">
        <v>0</v>
      </c>
      <c r="AD3845" s="465">
        <v>0</v>
      </c>
      <c r="AE3845" s="476">
        <v>0</v>
      </c>
      <c r="AF3845" s="467">
        <v>0</v>
      </c>
      <c r="AG3845" s="468">
        <v>0</v>
      </c>
      <c r="AH3845" s="218">
        <v>0</v>
      </c>
      <c r="AI3845" s="470">
        <v>0</v>
      </c>
      <c r="AJ3845" s="471">
        <v>0</v>
      </c>
      <c r="AK3845" s="218">
        <v>0</v>
      </c>
      <c r="AL3845" s="470">
        <v>0</v>
      </c>
      <c r="AM3845" s="471">
        <v>0</v>
      </c>
      <c r="AN3845" s="477">
        <v>0</v>
      </c>
      <c r="AO3845" s="473">
        <v>0</v>
      </c>
      <c r="AP3845" s="474">
        <v>0</v>
      </c>
      <c r="AQ3845" s="352"/>
      <c r="AR3845" s="352"/>
      <c r="AS3845" s="352"/>
      <c r="AT3845" s="352"/>
      <c r="AU3845" s="352"/>
      <c r="AV3845" s="352"/>
      <c r="AW3845" s="352" t="s">
        <v>254</v>
      </c>
    </row>
    <row r="3846" spans="2:49" x14ac:dyDescent="0.2">
      <c r="B3846" s="460" t="s">
        <v>3502</v>
      </c>
      <c r="C3846" s="460">
        <v>7000</v>
      </c>
      <c r="D3846" s="460" t="s">
        <v>2293</v>
      </c>
      <c r="E3846" s="460" t="s">
        <v>2277</v>
      </c>
      <c r="F3846" s="460">
        <v>4</v>
      </c>
      <c r="G3846" s="460">
        <v>1</v>
      </c>
      <c r="H3846" s="461" t="s">
        <v>748</v>
      </c>
      <c r="I3846" s="461" t="s">
        <v>765</v>
      </c>
      <c r="J3846" s="461" t="s">
        <v>700</v>
      </c>
      <c r="K3846" s="594"/>
      <c r="L3846" s="594"/>
      <c r="M3846" s="352">
        <v>7000</v>
      </c>
      <c r="N3846" s="352" t="s">
        <v>1891</v>
      </c>
      <c r="O3846" s="460">
        <v>5311</v>
      </c>
      <c r="P3846" s="460" t="s">
        <v>788</v>
      </c>
      <c r="Q3846" s="460" t="s">
        <v>2553</v>
      </c>
      <c r="R3846" s="460">
        <v>5311</v>
      </c>
      <c r="S3846" s="460" t="s">
        <v>2277</v>
      </c>
      <c r="T3846" s="462">
        <v>1</v>
      </c>
      <c r="U3846" s="460" t="s">
        <v>2277</v>
      </c>
      <c r="V3846" s="475">
        <v>0</v>
      </c>
      <c r="W3846" s="463" t="s">
        <v>2268</v>
      </c>
      <c r="X3846" s="463" t="s">
        <v>2268</v>
      </c>
      <c r="Y3846" s="463" t="s">
        <v>2554</v>
      </c>
      <c r="Z3846" s="463"/>
      <c r="AA3846" s="463"/>
      <c r="AB3846" s="464">
        <v>0</v>
      </c>
      <c r="AC3846" s="465">
        <v>0</v>
      </c>
      <c r="AD3846" s="465">
        <v>0</v>
      </c>
      <c r="AE3846" s="476">
        <v>0</v>
      </c>
      <c r="AF3846" s="467">
        <v>0</v>
      </c>
      <c r="AG3846" s="468">
        <v>0</v>
      </c>
      <c r="AH3846" s="218">
        <v>0</v>
      </c>
      <c r="AI3846" s="470">
        <v>0</v>
      </c>
      <c r="AJ3846" s="471">
        <v>0</v>
      </c>
      <c r="AK3846" s="218">
        <v>0</v>
      </c>
      <c r="AL3846" s="470">
        <v>0</v>
      </c>
      <c r="AM3846" s="471">
        <v>0</v>
      </c>
      <c r="AN3846" s="477">
        <v>0</v>
      </c>
      <c r="AO3846" s="473">
        <v>0</v>
      </c>
      <c r="AP3846" s="474">
        <v>0</v>
      </c>
      <c r="AQ3846" s="352"/>
      <c r="AR3846" s="352"/>
      <c r="AS3846" s="352"/>
      <c r="AT3846" s="352"/>
      <c r="AU3846" s="352"/>
      <c r="AV3846" s="352"/>
      <c r="AW3846" s="352" t="s">
        <v>254</v>
      </c>
    </row>
    <row r="3847" spans="2:49" x14ac:dyDescent="0.2">
      <c r="B3847" s="460" t="s">
        <v>3499</v>
      </c>
      <c r="C3847" s="460">
        <v>7000</v>
      </c>
      <c r="D3847" s="460" t="s">
        <v>3446</v>
      </c>
      <c r="E3847" s="460" t="s">
        <v>2265</v>
      </c>
      <c r="F3847" s="460">
        <v>1</v>
      </c>
      <c r="G3847" s="460">
        <v>1</v>
      </c>
      <c r="H3847" s="461" t="s">
        <v>754</v>
      </c>
      <c r="I3847" s="461" t="s">
        <v>1991</v>
      </c>
      <c r="J3847" s="461" t="s">
        <v>754</v>
      </c>
      <c r="K3847" s="594"/>
      <c r="L3847" s="594"/>
      <c r="M3847" s="352">
        <v>7000</v>
      </c>
      <c r="N3847" s="352" t="s">
        <v>1891</v>
      </c>
      <c r="O3847" s="460">
        <v>5311</v>
      </c>
      <c r="P3847" s="460" t="s">
        <v>788</v>
      </c>
      <c r="Q3847" s="460" t="s">
        <v>2377</v>
      </c>
      <c r="R3847" s="460">
        <v>5311</v>
      </c>
      <c r="S3847" s="460" t="s">
        <v>2265</v>
      </c>
      <c r="T3847" s="462">
        <v>1</v>
      </c>
      <c r="U3847" s="460" t="s">
        <v>2265</v>
      </c>
      <c r="V3847" s="475">
        <v>0</v>
      </c>
      <c r="W3847" s="463" t="s">
        <v>2278</v>
      </c>
      <c r="X3847" s="463" t="s">
        <v>2278</v>
      </c>
      <c r="Y3847" s="463" t="s">
        <v>2278</v>
      </c>
      <c r="Z3847" s="463"/>
      <c r="AA3847" s="463"/>
      <c r="AB3847" s="464">
        <v>0</v>
      </c>
      <c r="AC3847" s="465">
        <v>0</v>
      </c>
      <c r="AD3847" s="465">
        <v>0</v>
      </c>
      <c r="AE3847" s="476">
        <v>0</v>
      </c>
      <c r="AF3847" s="467">
        <v>0</v>
      </c>
      <c r="AG3847" s="468">
        <v>0</v>
      </c>
      <c r="AH3847" s="218">
        <v>0</v>
      </c>
      <c r="AI3847" s="470">
        <v>0</v>
      </c>
      <c r="AJ3847" s="471">
        <v>0</v>
      </c>
      <c r="AK3847" s="218">
        <v>0</v>
      </c>
      <c r="AL3847" s="470">
        <v>0</v>
      </c>
      <c r="AM3847" s="471">
        <v>0</v>
      </c>
      <c r="AN3847" s="477">
        <v>0</v>
      </c>
      <c r="AO3847" s="473">
        <v>0</v>
      </c>
      <c r="AP3847" s="474">
        <v>0</v>
      </c>
      <c r="AQ3847" s="352"/>
      <c r="AR3847" s="352"/>
      <c r="AS3847" s="352"/>
      <c r="AT3847" s="352"/>
      <c r="AU3847" s="352"/>
      <c r="AV3847" s="352"/>
      <c r="AW3847" s="352" t="s">
        <v>127</v>
      </c>
    </row>
    <row r="3848" spans="2:49" x14ac:dyDescent="0.2">
      <c r="B3848" s="460" t="s">
        <v>3500</v>
      </c>
      <c r="C3848" s="460">
        <v>7000</v>
      </c>
      <c r="D3848" s="460" t="s">
        <v>3447</v>
      </c>
      <c r="E3848" s="460" t="s">
        <v>2271</v>
      </c>
      <c r="F3848" s="460">
        <v>2</v>
      </c>
      <c r="G3848" s="460">
        <v>1</v>
      </c>
      <c r="H3848" s="461" t="s">
        <v>754</v>
      </c>
      <c r="I3848" s="461" t="s">
        <v>1991</v>
      </c>
      <c r="J3848" s="461" t="s">
        <v>754</v>
      </c>
      <c r="K3848" s="594"/>
      <c r="L3848" s="594"/>
      <c r="M3848" s="352">
        <v>7000</v>
      </c>
      <c r="N3848" s="352" t="s">
        <v>1891</v>
      </c>
      <c r="O3848" s="460">
        <v>5311</v>
      </c>
      <c r="P3848" s="460" t="s">
        <v>788</v>
      </c>
      <c r="Q3848" s="460" t="s">
        <v>2377</v>
      </c>
      <c r="R3848" s="460">
        <v>5311</v>
      </c>
      <c r="S3848" s="460" t="s">
        <v>2265</v>
      </c>
      <c r="T3848" s="462">
        <v>1</v>
      </c>
      <c r="U3848" s="460" t="s">
        <v>2271</v>
      </c>
      <c r="V3848" s="475">
        <v>0</v>
      </c>
      <c r="W3848" s="463" t="s">
        <v>2278</v>
      </c>
      <c r="X3848" s="463" t="s">
        <v>2278</v>
      </c>
      <c r="Y3848" s="463" t="s">
        <v>2278</v>
      </c>
      <c r="Z3848" s="463"/>
      <c r="AA3848" s="463"/>
      <c r="AB3848" s="464">
        <v>0</v>
      </c>
      <c r="AC3848" s="465">
        <v>0</v>
      </c>
      <c r="AD3848" s="465">
        <v>0</v>
      </c>
      <c r="AE3848" s="476">
        <v>0</v>
      </c>
      <c r="AF3848" s="467">
        <v>0</v>
      </c>
      <c r="AG3848" s="468">
        <v>0</v>
      </c>
      <c r="AH3848" s="218">
        <v>0</v>
      </c>
      <c r="AI3848" s="470">
        <v>0</v>
      </c>
      <c r="AJ3848" s="471">
        <v>0</v>
      </c>
      <c r="AK3848" s="218">
        <v>0</v>
      </c>
      <c r="AL3848" s="470">
        <v>0</v>
      </c>
      <c r="AM3848" s="471">
        <v>0</v>
      </c>
      <c r="AN3848" s="477">
        <v>0</v>
      </c>
      <c r="AO3848" s="473">
        <v>0</v>
      </c>
      <c r="AP3848" s="474">
        <v>0</v>
      </c>
      <c r="AQ3848" s="352"/>
      <c r="AR3848" s="352"/>
      <c r="AS3848" s="352"/>
      <c r="AT3848" s="352"/>
      <c r="AU3848" s="352"/>
      <c r="AV3848" s="352"/>
      <c r="AW3848" s="352" t="s">
        <v>127</v>
      </c>
    </row>
    <row r="3849" spans="2:49" x14ac:dyDescent="0.2">
      <c r="B3849" s="460" t="s">
        <v>3501</v>
      </c>
      <c r="C3849" s="460">
        <v>7000</v>
      </c>
      <c r="D3849" s="460" t="s">
        <v>3448</v>
      </c>
      <c r="E3849" s="460" t="s">
        <v>2274</v>
      </c>
      <c r="F3849" s="460">
        <v>3</v>
      </c>
      <c r="G3849" s="460">
        <v>1</v>
      </c>
      <c r="H3849" s="461" t="s">
        <v>754</v>
      </c>
      <c r="I3849" s="461" t="s">
        <v>1991</v>
      </c>
      <c r="J3849" s="461" t="s">
        <v>754</v>
      </c>
      <c r="K3849" s="594"/>
      <c r="L3849" s="594"/>
      <c r="M3849" s="352">
        <v>7000</v>
      </c>
      <c r="N3849" s="352" t="s">
        <v>1891</v>
      </c>
      <c r="O3849" s="460">
        <v>5311</v>
      </c>
      <c r="P3849" s="460" t="s">
        <v>788</v>
      </c>
      <c r="Q3849" s="460" t="s">
        <v>2377</v>
      </c>
      <c r="R3849" s="460">
        <v>5311</v>
      </c>
      <c r="S3849" s="460" t="s">
        <v>2265</v>
      </c>
      <c r="T3849" s="462">
        <v>0.74223365950407583</v>
      </c>
      <c r="U3849" s="460" t="s">
        <v>2274</v>
      </c>
      <c r="V3849" s="475">
        <v>0</v>
      </c>
      <c r="W3849" s="463" t="s">
        <v>2278</v>
      </c>
      <c r="X3849" s="463" t="s">
        <v>2278</v>
      </c>
      <c r="Y3849" s="463" t="s">
        <v>2278</v>
      </c>
      <c r="Z3849" s="463"/>
      <c r="AA3849" s="463"/>
      <c r="AB3849" s="464">
        <v>0</v>
      </c>
      <c r="AC3849" s="465">
        <v>0</v>
      </c>
      <c r="AD3849" s="465">
        <v>0</v>
      </c>
      <c r="AE3849" s="476">
        <v>0</v>
      </c>
      <c r="AF3849" s="467">
        <v>0</v>
      </c>
      <c r="AG3849" s="468">
        <v>0</v>
      </c>
      <c r="AH3849" s="218">
        <v>0</v>
      </c>
      <c r="AI3849" s="470">
        <v>0</v>
      </c>
      <c r="AJ3849" s="471">
        <v>0</v>
      </c>
      <c r="AK3849" s="218">
        <v>0</v>
      </c>
      <c r="AL3849" s="470">
        <v>0</v>
      </c>
      <c r="AM3849" s="471">
        <v>0</v>
      </c>
      <c r="AN3849" s="477">
        <v>0</v>
      </c>
      <c r="AO3849" s="473">
        <v>0</v>
      </c>
      <c r="AP3849" s="474">
        <v>0</v>
      </c>
      <c r="AQ3849" s="352"/>
      <c r="AR3849" s="352"/>
      <c r="AS3849" s="352"/>
      <c r="AT3849" s="352"/>
      <c r="AU3849" s="352"/>
      <c r="AV3849" s="352"/>
      <c r="AW3849" s="352" t="s">
        <v>127</v>
      </c>
    </row>
    <row r="3850" spans="2:49" x14ac:dyDescent="0.2">
      <c r="B3850" s="460" t="s">
        <v>3502</v>
      </c>
      <c r="C3850" s="460">
        <v>7000</v>
      </c>
      <c r="D3850" s="460" t="s">
        <v>3449</v>
      </c>
      <c r="E3850" s="460" t="s">
        <v>2277</v>
      </c>
      <c r="F3850" s="460">
        <v>4</v>
      </c>
      <c r="G3850" s="460">
        <v>1</v>
      </c>
      <c r="H3850" s="461" t="s">
        <v>754</v>
      </c>
      <c r="I3850" s="461" t="s">
        <v>1991</v>
      </c>
      <c r="J3850" s="461" t="s">
        <v>754</v>
      </c>
      <c r="K3850" s="594"/>
      <c r="L3850" s="594"/>
      <c r="M3850" s="352">
        <v>7000</v>
      </c>
      <c r="N3850" s="352" t="s">
        <v>1891</v>
      </c>
      <c r="O3850" s="460">
        <v>5311</v>
      </c>
      <c r="P3850" s="460" t="s">
        <v>788</v>
      </c>
      <c r="Q3850" s="460" t="s">
        <v>2377</v>
      </c>
      <c r="R3850" s="460">
        <v>5311</v>
      </c>
      <c r="S3850" s="460" t="s">
        <v>2277</v>
      </c>
      <c r="T3850" s="462">
        <v>1</v>
      </c>
      <c r="U3850" s="460" t="s">
        <v>2277</v>
      </c>
      <c r="V3850" s="475">
        <v>0</v>
      </c>
      <c r="W3850" s="463" t="s">
        <v>2278</v>
      </c>
      <c r="X3850" s="463" t="s">
        <v>2278</v>
      </c>
      <c r="Y3850" s="463" t="s">
        <v>2278</v>
      </c>
      <c r="Z3850" s="463"/>
      <c r="AA3850" s="463"/>
      <c r="AB3850" s="464">
        <v>0</v>
      </c>
      <c r="AC3850" s="465">
        <v>0</v>
      </c>
      <c r="AD3850" s="465">
        <v>0</v>
      </c>
      <c r="AE3850" s="476">
        <v>0</v>
      </c>
      <c r="AF3850" s="467">
        <v>0</v>
      </c>
      <c r="AG3850" s="468">
        <v>0</v>
      </c>
      <c r="AH3850" s="218">
        <v>0</v>
      </c>
      <c r="AI3850" s="470">
        <v>0</v>
      </c>
      <c r="AJ3850" s="471">
        <v>0</v>
      </c>
      <c r="AK3850" s="218">
        <v>0</v>
      </c>
      <c r="AL3850" s="470">
        <v>0</v>
      </c>
      <c r="AM3850" s="471">
        <v>0</v>
      </c>
      <c r="AN3850" s="477">
        <v>0</v>
      </c>
      <c r="AO3850" s="473">
        <v>0</v>
      </c>
      <c r="AP3850" s="474">
        <v>0</v>
      </c>
      <c r="AQ3850" s="352"/>
      <c r="AR3850" s="352"/>
      <c r="AS3850" s="352"/>
      <c r="AT3850" s="352"/>
      <c r="AU3850" s="352"/>
      <c r="AV3850" s="352"/>
      <c r="AW3850" s="352" t="s">
        <v>127</v>
      </c>
    </row>
    <row r="3851" spans="2:49" x14ac:dyDescent="0.2">
      <c r="B3851" s="460" t="s">
        <v>3503</v>
      </c>
      <c r="C3851" s="460">
        <v>7000</v>
      </c>
      <c r="D3851" s="460" t="s">
        <v>2295</v>
      </c>
      <c r="E3851" s="460" t="s">
        <v>2296</v>
      </c>
      <c r="F3851" s="460">
        <v>1</v>
      </c>
      <c r="G3851" s="460">
        <v>2</v>
      </c>
      <c r="H3851" s="461" t="s">
        <v>700</v>
      </c>
      <c r="I3851" s="461" t="s">
        <v>872</v>
      </c>
      <c r="J3851" s="461" t="s">
        <v>700</v>
      </c>
      <c r="K3851" s="594"/>
      <c r="L3851" s="594"/>
      <c r="M3851" s="352">
        <v>7000</v>
      </c>
      <c r="N3851" s="352" t="s">
        <v>1891</v>
      </c>
      <c r="O3851" s="460">
        <v>5311</v>
      </c>
      <c r="P3851" s="460" t="s">
        <v>788</v>
      </c>
      <c r="Q3851" s="460" t="s">
        <v>2553</v>
      </c>
      <c r="R3851" s="460">
        <v>5311</v>
      </c>
      <c r="S3851" s="460" t="s">
        <v>2296</v>
      </c>
      <c r="T3851" s="462">
        <v>1</v>
      </c>
      <c r="U3851" s="460" t="s">
        <v>2296</v>
      </c>
      <c r="V3851" s="475">
        <v>0</v>
      </c>
      <c r="W3851" s="463" t="s">
        <v>2554</v>
      </c>
      <c r="X3851" s="463" t="s">
        <v>2554</v>
      </c>
      <c r="Y3851" s="463" t="s">
        <v>2268</v>
      </c>
      <c r="Z3851" s="463"/>
      <c r="AA3851" s="463"/>
      <c r="AB3851" s="464">
        <v>0</v>
      </c>
      <c r="AC3851" s="465">
        <v>0</v>
      </c>
      <c r="AD3851" s="465">
        <v>0</v>
      </c>
      <c r="AE3851" s="476">
        <v>0</v>
      </c>
      <c r="AF3851" s="467">
        <v>0</v>
      </c>
      <c r="AG3851" s="468">
        <v>0</v>
      </c>
      <c r="AH3851" s="218">
        <v>0</v>
      </c>
      <c r="AI3851" s="470">
        <v>0</v>
      </c>
      <c r="AJ3851" s="471">
        <v>0</v>
      </c>
      <c r="AK3851" s="218">
        <v>0</v>
      </c>
      <c r="AL3851" s="470">
        <v>0</v>
      </c>
      <c r="AM3851" s="471">
        <v>0</v>
      </c>
      <c r="AN3851" s="477">
        <v>0</v>
      </c>
      <c r="AO3851" s="473">
        <v>0</v>
      </c>
      <c r="AP3851" s="474">
        <v>0</v>
      </c>
      <c r="AQ3851" s="352"/>
      <c r="AR3851" s="352"/>
      <c r="AS3851" s="352"/>
      <c r="AT3851" s="352"/>
      <c r="AU3851" s="352"/>
      <c r="AV3851" s="352"/>
      <c r="AW3851" s="352" t="s">
        <v>254</v>
      </c>
    </row>
    <row r="3852" spans="2:49" x14ac:dyDescent="0.2">
      <c r="B3852" s="460" t="s">
        <v>3504</v>
      </c>
      <c r="C3852" s="460">
        <v>7000</v>
      </c>
      <c r="D3852" s="460" t="s">
        <v>2298</v>
      </c>
      <c r="E3852" s="460" t="s">
        <v>2299</v>
      </c>
      <c r="F3852" s="460">
        <v>2</v>
      </c>
      <c r="G3852" s="460">
        <v>2</v>
      </c>
      <c r="H3852" s="461" t="s">
        <v>700</v>
      </c>
      <c r="I3852" s="461" t="s">
        <v>872</v>
      </c>
      <c r="J3852" s="461" t="s">
        <v>700</v>
      </c>
      <c r="K3852" s="594"/>
      <c r="L3852" s="594"/>
      <c r="M3852" s="352">
        <v>7000</v>
      </c>
      <c r="N3852" s="352" t="s">
        <v>1891</v>
      </c>
      <c r="O3852" s="460">
        <v>5311</v>
      </c>
      <c r="P3852" s="460" t="s">
        <v>788</v>
      </c>
      <c r="Q3852" s="460" t="s">
        <v>2553</v>
      </c>
      <c r="R3852" s="460">
        <v>5311</v>
      </c>
      <c r="S3852" s="460" t="s">
        <v>2296</v>
      </c>
      <c r="T3852" s="462">
        <v>0.55517361979372948</v>
      </c>
      <c r="U3852" s="460" t="s">
        <v>2299</v>
      </c>
      <c r="V3852" s="475">
        <v>0</v>
      </c>
      <c r="W3852" s="463" t="s">
        <v>2554</v>
      </c>
      <c r="X3852" s="463" t="s">
        <v>2554</v>
      </c>
      <c r="Y3852" s="463" t="s">
        <v>2268</v>
      </c>
      <c r="Z3852" s="463"/>
      <c r="AA3852" s="463"/>
      <c r="AB3852" s="464">
        <v>0</v>
      </c>
      <c r="AC3852" s="465">
        <v>0</v>
      </c>
      <c r="AD3852" s="465">
        <v>0</v>
      </c>
      <c r="AE3852" s="476">
        <v>0</v>
      </c>
      <c r="AF3852" s="467">
        <v>0</v>
      </c>
      <c r="AG3852" s="468">
        <v>0</v>
      </c>
      <c r="AH3852" s="218">
        <v>0</v>
      </c>
      <c r="AI3852" s="470">
        <v>0</v>
      </c>
      <c r="AJ3852" s="471">
        <v>0</v>
      </c>
      <c r="AK3852" s="218">
        <v>0</v>
      </c>
      <c r="AL3852" s="470">
        <v>0</v>
      </c>
      <c r="AM3852" s="471">
        <v>0</v>
      </c>
      <c r="AN3852" s="477">
        <v>0</v>
      </c>
      <c r="AO3852" s="473">
        <v>0</v>
      </c>
      <c r="AP3852" s="474">
        <v>0</v>
      </c>
      <c r="AQ3852" s="352"/>
      <c r="AR3852" s="352"/>
      <c r="AS3852" s="352"/>
      <c r="AT3852" s="352"/>
      <c r="AU3852" s="352"/>
      <c r="AV3852" s="352"/>
      <c r="AW3852" s="352" t="s">
        <v>254</v>
      </c>
    </row>
    <row r="3853" spans="2:49" x14ac:dyDescent="0.2">
      <c r="B3853" s="460" t="s">
        <v>3505</v>
      </c>
      <c r="C3853" s="460">
        <v>7000</v>
      </c>
      <c r="D3853" s="460" t="s">
        <v>2301</v>
      </c>
      <c r="E3853" s="460" t="s">
        <v>2302</v>
      </c>
      <c r="F3853" s="460">
        <v>3</v>
      </c>
      <c r="G3853" s="460">
        <v>2</v>
      </c>
      <c r="H3853" s="461" t="s">
        <v>700</v>
      </c>
      <c r="I3853" s="461" t="s">
        <v>872</v>
      </c>
      <c r="J3853" s="461" t="s">
        <v>700</v>
      </c>
      <c r="K3853" s="594"/>
      <c r="L3853" s="594"/>
      <c r="M3853" s="352">
        <v>7000</v>
      </c>
      <c r="N3853" s="352" t="s">
        <v>1891</v>
      </c>
      <c r="O3853" s="460">
        <v>5311</v>
      </c>
      <c r="P3853" s="460" t="s">
        <v>788</v>
      </c>
      <c r="Q3853" s="460" t="s">
        <v>2553</v>
      </c>
      <c r="R3853" s="460">
        <v>5311</v>
      </c>
      <c r="S3853" s="460" t="s">
        <v>2296</v>
      </c>
      <c r="T3853" s="462">
        <v>0.28481449642268464</v>
      </c>
      <c r="U3853" s="460" t="s">
        <v>2302</v>
      </c>
      <c r="V3853" s="475">
        <v>0</v>
      </c>
      <c r="W3853" s="463" t="s">
        <v>2554</v>
      </c>
      <c r="X3853" s="463" t="s">
        <v>2554</v>
      </c>
      <c r="Y3853" s="463" t="s">
        <v>2268</v>
      </c>
      <c r="Z3853" s="463"/>
      <c r="AA3853" s="463"/>
      <c r="AB3853" s="464">
        <v>0</v>
      </c>
      <c r="AC3853" s="465">
        <v>0</v>
      </c>
      <c r="AD3853" s="465">
        <v>0</v>
      </c>
      <c r="AE3853" s="476">
        <v>0</v>
      </c>
      <c r="AF3853" s="467">
        <v>0</v>
      </c>
      <c r="AG3853" s="468">
        <v>0</v>
      </c>
      <c r="AH3853" s="218">
        <v>0</v>
      </c>
      <c r="AI3853" s="470">
        <v>0</v>
      </c>
      <c r="AJ3853" s="471">
        <v>0</v>
      </c>
      <c r="AK3853" s="218">
        <v>0</v>
      </c>
      <c r="AL3853" s="470">
        <v>0</v>
      </c>
      <c r="AM3853" s="471">
        <v>0</v>
      </c>
      <c r="AN3853" s="477">
        <v>0</v>
      </c>
      <c r="AO3853" s="473">
        <v>0</v>
      </c>
      <c r="AP3853" s="474">
        <v>0</v>
      </c>
      <c r="AQ3853" s="352"/>
      <c r="AR3853" s="352"/>
      <c r="AS3853" s="352"/>
      <c r="AT3853" s="352"/>
      <c r="AU3853" s="352"/>
      <c r="AV3853" s="352"/>
      <c r="AW3853" s="352" t="s">
        <v>254</v>
      </c>
    </row>
    <row r="3854" spans="2:49" x14ac:dyDescent="0.2">
      <c r="B3854" s="460" t="s">
        <v>3506</v>
      </c>
      <c r="C3854" s="460">
        <v>7000</v>
      </c>
      <c r="D3854" s="460" t="s">
        <v>2304</v>
      </c>
      <c r="E3854" s="460" t="s">
        <v>2305</v>
      </c>
      <c r="F3854" s="460">
        <v>4</v>
      </c>
      <c r="G3854" s="460">
        <v>2</v>
      </c>
      <c r="H3854" s="461" t="s">
        <v>700</v>
      </c>
      <c r="I3854" s="461" t="s">
        <v>872</v>
      </c>
      <c r="J3854" s="461" t="s">
        <v>700</v>
      </c>
      <c r="K3854" s="594"/>
      <c r="L3854" s="594"/>
      <c r="M3854" s="352">
        <v>7000</v>
      </c>
      <c r="N3854" s="352" t="s">
        <v>1891</v>
      </c>
      <c r="O3854" s="460">
        <v>5311</v>
      </c>
      <c r="P3854" s="460" t="s">
        <v>788</v>
      </c>
      <c r="Q3854" s="460" t="s">
        <v>2553</v>
      </c>
      <c r="R3854" s="460">
        <v>5311</v>
      </c>
      <c r="S3854" s="460" t="s">
        <v>2305</v>
      </c>
      <c r="T3854" s="462">
        <v>1</v>
      </c>
      <c r="U3854" s="460" t="s">
        <v>2305</v>
      </c>
      <c r="V3854" s="475">
        <v>0</v>
      </c>
      <c r="W3854" s="463" t="s">
        <v>2554</v>
      </c>
      <c r="X3854" s="463" t="s">
        <v>2554</v>
      </c>
      <c r="Y3854" s="463" t="s">
        <v>2268</v>
      </c>
      <c r="Z3854" s="463"/>
      <c r="AA3854" s="463"/>
      <c r="AB3854" s="464">
        <v>0</v>
      </c>
      <c r="AC3854" s="465">
        <v>0</v>
      </c>
      <c r="AD3854" s="465">
        <v>0</v>
      </c>
      <c r="AE3854" s="476">
        <v>0</v>
      </c>
      <c r="AF3854" s="467">
        <v>0</v>
      </c>
      <c r="AG3854" s="468">
        <v>0</v>
      </c>
      <c r="AH3854" s="218">
        <v>0</v>
      </c>
      <c r="AI3854" s="470">
        <v>0</v>
      </c>
      <c r="AJ3854" s="471">
        <v>0</v>
      </c>
      <c r="AK3854" s="218">
        <v>0</v>
      </c>
      <c r="AL3854" s="470">
        <v>0</v>
      </c>
      <c r="AM3854" s="471">
        <v>0</v>
      </c>
      <c r="AN3854" s="477">
        <v>0</v>
      </c>
      <c r="AO3854" s="473">
        <v>0</v>
      </c>
      <c r="AP3854" s="474">
        <v>0</v>
      </c>
      <c r="AQ3854" s="352"/>
      <c r="AR3854" s="352"/>
      <c r="AS3854" s="352"/>
      <c r="AT3854" s="352"/>
      <c r="AU3854" s="352"/>
      <c r="AV3854" s="352"/>
      <c r="AW3854" s="352" t="s">
        <v>254</v>
      </c>
    </row>
    <row r="3855" spans="2:49" x14ac:dyDescent="0.2">
      <c r="B3855" s="460" t="s">
        <v>3503</v>
      </c>
      <c r="C3855" s="460">
        <v>7000</v>
      </c>
      <c r="D3855" s="460" t="s">
        <v>2306</v>
      </c>
      <c r="E3855" s="460" t="s">
        <v>2296</v>
      </c>
      <c r="F3855" s="460">
        <v>1</v>
      </c>
      <c r="G3855" s="460">
        <v>2</v>
      </c>
      <c r="H3855" s="461" t="s">
        <v>712</v>
      </c>
      <c r="I3855" s="461" t="s">
        <v>713</v>
      </c>
      <c r="J3855" s="461" t="s">
        <v>712</v>
      </c>
      <c r="K3855" s="594"/>
      <c r="L3855" s="594"/>
      <c r="M3855" s="352">
        <v>7000</v>
      </c>
      <c r="N3855" s="352" t="s">
        <v>1891</v>
      </c>
      <c r="O3855" s="460">
        <v>5311</v>
      </c>
      <c r="P3855" s="460" t="s">
        <v>788</v>
      </c>
      <c r="Q3855" s="460" t="s">
        <v>2280</v>
      </c>
      <c r="R3855" s="460">
        <v>5311</v>
      </c>
      <c r="S3855" s="460" t="s">
        <v>2296</v>
      </c>
      <c r="T3855" s="462">
        <v>1</v>
      </c>
      <c r="U3855" s="460" t="s">
        <v>2296</v>
      </c>
      <c r="V3855" s="475">
        <v>0</v>
      </c>
      <c r="W3855" s="463" t="s">
        <v>713</v>
      </c>
      <c r="X3855" s="463" t="s">
        <v>713</v>
      </c>
      <c r="Y3855" s="463" t="s">
        <v>713</v>
      </c>
      <c r="Z3855" s="463"/>
      <c r="AA3855" s="463"/>
      <c r="AB3855" s="464">
        <v>3331.1082747619112</v>
      </c>
      <c r="AC3855" s="465">
        <v>1</v>
      </c>
      <c r="AD3855" s="465">
        <v>2.8810678448172661E-2</v>
      </c>
      <c r="AE3855" s="476">
        <v>3331.1082747619112</v>
      </c>
      <c r="AF3855" s="467">
        <v>1</v>
      </c>
      <c r="AG3855" s="468">
        <v>2.8388832769724769E-2</v>
      </c>
      <c r="AH3855" s="218">
        <v>3331.1082747619112</v>
      </c>
      <c r="AI3855" s="470">
        <v>1</v>
      </c>
      <c r="AJ3855" s="471">
        <v>2.8722304979118339E-2</v>
      </c>
      <c r="AK3855" s="218">
        <v>3331.1082747619112</v>
      </c>
      <c r="AL3855" s="470">
        <v>1</v>
      </c>
      <c r="AM3855" s="471">
        <v>2.8722304979118339E-2</v>
      </c>
      <c r="AN3855" s="477">
        <v>3331.1082747619112</v>
      </c>
      <c r="AO3855" s="473">
        <v>1</v>
      </c>
      <c r="AP3855" s="474">
        <v>2.8715256130079417E-2</v>
      </c>
      <c r="AQ3855" s="352"/>
      <c r="AR3855" s="352"/>
      <c r="AS3855" s="352"/>
      <c r="AT3855" s="352"/>
      <c r="AU3855" s="352"/>
      <c r="AV3855" s="352"/>
      <c r="AW3855" s="352" t="s">
        <v>254</v>
      </c>
    </row>
    <row r="3856" spans="2:49" x14ac:dyDescent="0.2">
      <c r="B3856" s="460" t="s">
        <v>3504</v>
      </c>
      <c r="C3856" s="460">
        <v>7000</v>
      </c>
      <c r="D3856" s="460" t="s">
        <v>2307</v>
      </c>
      <c r="E3856" s="460" t="s">
        <v>2299</v>
      </c>
      <c r="F3856" s="460">
        <v>2</v>
      </c>
      <c r="G3856" s="460">
        <v>2</v>
      </c>
      <c r="H3856" s="461" t="s">
        <v>712</v>
      </c>
      <c r="I3856" s="461" t="s">
        <v>713</v>
      </c>
      <c r="J3856" s="461" t="s">
        <v>712</v>
      </c>
      <c r="K3856" s="594"/>
      <c r="L3856" s="594"/>
      <c r="M3856" s="352">
        <v>7000</v>
      </c>
      <c r="N3856" s="352" t="s">
        <v>1891</v>
      </c>
      <c r="O3856" s="460">
        <v>5311</v>
      </c>
      <c r="P3856" s="460" t="s">
        <v>788</v>
      </c>
      <c r="Q3856" s="460" t="s">
        <v>2280</v>
      </c>
      <c r="R3856" s="460">
        <v>5311</v>
      </c>
      <c r="S3856" s="460" t="s">
        <v>2296</v>
      </c>
      <c r="T3856" s="462">
        <v>0.55517361979372948</v>
      </c>
      <c r="U3856" s="460" t="s">
        <v>2299</v>
      </c>
      <c r="V3856" s="475">
        <v>0</v>
      </c>
      <c r="W3856" s="463" t="s">
        <v>713</v>
      </c>
      <c r="X3856" s="463" t="s">
        <v>713</v>
      </c>
      <c r="Y3856" s="463" t="s">
        <v>713</v>
      </c>
      <c r="Z3856" s="463"/>
      <c r="AA3856" s="463"/>
      <c r="AB3856" s="464">
        <v>3644.74953107582</v>
      </c>
      <c r="AC3856" s="465">
        <v>1</v>
      </c>
      <c r="AD3856" s="465">
        <v>4.2157915877151036E-2</v>
      </c>
      <c r="AE3856" s="476">
        <v>3644.74953107582</v>
      </c>
      <c r="AF3856" s="467">
        <v>1</v>
      </c>
      <c r="AG3856" s="468">
        <v>4.1983162308869837E-2</v>
      </c>
      <c r="AH3856" s="218">
        <v>3644.74953107582</v>
      </c>
      <c r="AI3856" s="470">
        <v>1</v>
      </c>
      <c r="AJ3856" s="471">
        <v>4.2701525642699446E-2</v>
      </c>
      <c r="AK3856" s="218">
        <v>3644.74953107582</v>
      </c>
      <c r="AL3856" s="470">
        <v>1</v>
      </c>
      <c r="AM3856" s="471">
        <v>4.2701525642699446E-2</v>
      </c>
      <c r="AN3856" s="477">
        <v>3644.74953107582</v>
      </c>
      <c r="AO3856" s="473">
        <v>1</v>
      </c>
      <c r="AP3856" s="474">
        <v>4.269613522838913E-2</v>
      </c>
      <c r="AQ3856" s="352"/>
      <c r="AR3856" s="352"/>
      <c r="AS3856" s="352"/>
      <c r="AT3856" s="352"/>
      <c r="AU3856" s="352"/>
      <c r="AV3856" s="352"/>
      <c r="AW3856" s="352" t="s">
        <v>254</v>
      </c>
    </row>
    <row r="3857" spans="2:49" x14ac:dyDescent="0.2">
      <c r="B3857" s="460" t="s">
        <v>3505</v>
      </c>
      <c r="C3857" s="460">
        <v>7000</v>
      </c>
      <c r="D3857" s="460" t="s">
        <v>2308</v>
      </c>
      <c r="E3857" s="460" t="s">
        <v>2302</v>
      </c>
      <c r="F3857" s="460">
        <v>3</v>
      </c>
      <c r="G3857" s="460">
        <v>2</v>
      </c>
      <c r="H3857" s="461" t="s">
        <v>712</v>
      </c>
      <c r="I3857" s="461" t="s">
        <v>713</v>
      </c>
      <c r="J3857" s="461" t="s">
        <v>712</v>
      </c>
      <c r="K3857" s="594"/>
      <c r="L3857" s="594"/>
      <c r="M3857" s="352">
        <v>7000</v>
      </c>
      <c r="N3857" s="352" t="s">
        <v>1891</v>
      </c>
      <c r="O3857" s="460">
        <v>5311</v>
      </c>
      <c r="P3857" s="460" t="s">
        <v>788</v>
      </c>
      <c r="Q3857" s="460" t="s">
        <v>2280</v>
      </c>
      <c r="R3857" s="460">
        <v>5311</v>
      </c>
      <c r="S3857" s="460" t="s">
        <v>2296</v>
      </c>
      <c r="T3857" s="462">
        <v>0.28481449642268464</v>
      </c>
      <c r="U3857" s="460" t="s">
        <v>2302</v>
      </c>
      <c r="V3857" s="475">
        <v>0</v>
      </c>
      <c r="W3857" s="463" t="s">
        <v>713</v>
      </c>
      <c r="X3857" s="463" t="s">
        <v>713</v>
      </c>
      <c r="Y3857" s="463" t="s">
        <v>713</v>
      </c>
      <c r="Z3857" s="463"/>
      <c r="AA3857" s="463"/>
      <c r="AB3857" s="464">
        <v>629.60517379603493</v>
      </c>
      <c r="AC3857" s="465">
        <v>1</v>
      </c>
      <c r="AD3857" s="465">
        <v>1.8313641185311102E-2</v>
      </c>
      <c r="AE3857" s="476">
        <v>629.60517379603493</v>
      </c>
      <c r="AF3857" s="467">
        <v>1</v>
      </c>
      <c r="AG3857" s="468">
        <v>1.8282523348773696E-2</v>
      </c>
      <c r="AH3857" s="218">
        <v>629.60517379603493</v>
      </c>
      <c r="AI3857" s="470">
        <v>1</v>
      </c>
      <c r="AJ3857" s="471">
        <v>1.855608529249958E-2</v>
      </c>
      <c r="AK3857" s="218">
        <v>629.60517379603493</v>
      </c>
      <c r="AL3857" s="470">
        <v>1</v>
      </c>
      <c r="AM3857" s="471">
        <v>1.855608529249958E-2</v>
      </c>
      <c r="AN3857" s="477">
        <v>629.60517379603493</v>
      </c>
      <c r="AO3857" s="473">
        <v>1</v>
      </c>
      <c r="AP3857" s="474">
        <v>1.8572220839079886E-2</v>
      </c>
      <c r="AQ3857" s="352"/>
      <c r="AR3857" s="352"/>
      <c r="AS3857" s="352"/>
      <c r="AT3857" s="352"/>
      <c r="AU3857" s="352"/>
      <c r="AV3857" s="352"/>
      <c r="AW3857" s="352" t="s">
        <v>254</v>
      </c>
    </row>
    <row r="3858" spans="2:49" x14ac:dyDescent="0.2">
      <c r="B3858" s="460" t="s">
        <v>3506</v>
      </c>
      <c r="C3858" s="460">
        <v>7000</v>
      </c>
      <c r="D3858" s="460" t="s">
        <v>2309</v>
      </c>
      <c r="E3858" s="460" t="s">
        <v>2305</v>
      </c>
      <c r="F3858" s="460">
        <v>4</v>
      </c>
      <c r="G3858" s="460">
        <v>2</v>
      </c>
      <c r="H3858" s="461" t="s">
        <v>712</v>
      </c>
      <c r="I3858" s="461" t="s">
        <v>713</v>
      </c>
      <c r="J3858" s="461" t="s">
        <v>712</v>
      </c>
      <c r="K3858" s="594"/>
      <c r="L3858" s="594"/>
      <c r="M3858" s="352">
        <v>7000</v>
      </c>
      <c r="N3858" s="352" t="s">
        <v>1891</v>
      </c>
      <c r="O3858" s="460">
        <v>5311</v>
      </c>
      <c r="P3858" s="460" t="s">
        <v>788</v>
      </c>
      <c r="Q3858" s="460" t="s">
        <v>2280</v>
      </c>
      <c r="R3858" s="460">
        <v>5311</v>
      </c>
      <c r="S3858" s="460" t="s">
        <v>2305</v>
      </c>
      <c r="T3858" s="462">
        <v>1</v>
      </c>
      <c r="U3858" s="460" t="s">
        <v>2305</v>
      </c>
      <c r="V3858" s="475">
        <v>0</v>
      </c>
      <c r="W3858" s="463" t="s">
        <v>713</v>
      </c>
      <c r="X3858" s="463" t="s">
        <v>713</v>
      </c>
      <c r="Y3858" s="463" t="s">
        <v>713</v>
      </c>
      <c r="Z3858" s="463"/>
      <c r="AA3858" s="463"/>
      <c r="AB3858" s="464">
        <v>715.04726212415937</v>
      </c>
      <c r="AC3858" s="465">
        <v>0.99794503581379879</v>
      </c>
      <c r="AD3858" s="465">
        <v>1.8262237298463102E-2</v>
      </c>
      <c r="AE3858" s="476">
        <v>715.04726212415937</v>
      </c>
      <c r="AF3858" s="467">
        <v>0.99794503581379879</v>
      </c>
      <c r="AG3858" s="468">
        <v>1.82616515118799E-2</v>
      </c>
      <c r="AH3858" s="218">
        <v>715.04726212415937</v>
      </c>
      <c r="AI3858" s="470">
        <v>0.99794503581379879</v>
      </c>
      <c r="AJ3858" s="471">
        <v>1.8261673618156355E-2</v>
      </c>
      <c r="AK3858" s="218">
        <v>715.04726212415937</v>
      </c>
      <c r="AL3858" s="470">
        <v>0.99794503581379879</v>
      </c>
      <c r="AM3858" s="471">
        <v>1.8261673618156355E-2</v>
      </c>
      <c r="AN3858" s="477">
        <v>715.04726212415937</v>
      </c>
      <c r="AO3858" s="473">
        <v>0.99794503581379879</v>
      </c>
      <c r="AP3858" s="474">
        <v>1.826169595581488E-2</v>
      </c>
      <c r="AQ3858" s="352"/>
      <c r="AR3858" s="352"/>
      <c r="AS3858" s="352"/>
      <c r="AT3858" s="352"/>
      <c r="AU3858" s="352"/>
      <c r="AV3858" s="352"/>
      <c r="AW3858" s="352" t="s">
        <v>254</v>
      </c>
    </row>
    <row r="3859" spans="2:49" x14ac:dyDescent="0.2">
      <c r="B3859" s="460" t="s">
        <v>3503</v>
      </c>
      <c r="C3859" s="460">
        <v>7000</v>
      </c>
      <c r="D3859" s="460" t="s">
        <v>2310</v>
      </c>
      <c r="E3859" s="460" t="s">
        <v>2296</v>
      </c>
      <c r="F3859" s="460">
        <v>1</v>
      </c>
      <c r="G3859" s="460">
        <v>2</v>
      </c>
      <c r="H3859" s="461" t="s">
        <v>746</v>
      </c>
      <c r="I3859" s="461" t="s">
        <v>762</v>
      </c>
      <c r="J3859" s="461" t="s">
        <v>700</v>
      </c>
      <c r="K3859" s="594"/>
      <c r="L3859" s="594"/>
      <c r="M3859" s="352">
        <v>7000</v>
      </c>
      <c r="N3859" s="352" t="s">
        <v>1891</v>
      </c>
      <c r="O3859" s="460">
        <v>5311</v>
      </c>
      <c r="P3859" s="460" t="s">
        <v>788</v>
      </c>
      <c r="Q3859" s="460" t="s">
        <v>2553</v>
      </c>
      <c r="R3859" s="460">
        <v>5311</v>
      </c>
      <c r="S3859" s="460" t="s">
        <v>2296</v>
      </c>
      <c r="T3859" s="462">
        <v>1</v>
      </c>
      <c r="U3859" s="460" t="s">
        <v>2296</v>
      </c>
      <c r="V3859" s="475">
        <v>0</v>
      </c>
      <c r="W3859" s="463" t="s">
        <v>2268</v>
      </c>
      <c r="X3859" s="463" t="s">
        <v>2268</v>
      </c>
      <c r="Y3859" s="463" t="s">
        <v>2554</v>
      </c>
      <c r="Z3859" s="463"/>
      <c r="AA3859" s="463"/>
      <c r="AB3859" s="464">
        <v>0</v>
      </c>
      <c r="AC3859" s="465">
        <v>0</v>
      </c>
      <c r="AD3859" s="465">
        <v>0</v>
      </c>
      <c r="AE3859" s="476">
        <v>0</v>
      </c>
      <c r="AF3859" s="467">
        <v>0</v>
      </c>
      <c r="AG3859" s="468">
        <v>0</v>
      </c>
      <c r="AH3859" s="218">
        <v>0</v>
      </c>
      <c r="AI3859" s="470">
        <v>0</v>
      </c>
      <c r="AJ3859" s="471">
        <v>0</v>
      </c>
      <c r="AK3859" s="218">
        <v>0</v>
      </c>
      <c r="AL3859" s="470">
        <v>0</v>
      </c>
      <c r="AM3859" s="471">
        <v>0</v>
      </c>
      <c r="AN3859" s="477">
        <v>0</v>
      </c>
      <c r="AO3859" s="473">
        <v>0</v>
      </c>
      <c r="AP3859" s="474">
        <v>0</v>
      </c>
      <c r="AQ3859" s="352"/>
      <c r="AR3859" s="352"/>
      <c r="AS3859" s="352"/>
      <c r="AT3859" s="352"/>
      <c r="AU3859" s="352"/>
      <c r="AV3859" s="352"/>
      <c r="AW3859" s="352" t="s">
        <v>254</v>
      </c>
    </row>
    <row r="3860" spans="2:49" x14ac:dyDescent="0.2">
      <c r="B3860" s="460" t="s">
        <v>3504</v>
      </c>
      <c r="C3860" s="460">
        <v>7000</v>
      </c>
      <c r="D3860" s="460" t="s">
        <v>2311</v>
      </c>
      <c r="E3860" s="460" t="s">
        <v>2299</v>
      </c>
      <c r="F3860" s="460">
        <v>2</v>
      </c>
      <c r="G3860" s="460">
        <v>2</v>
      </c>
      <c r="H3860" s="461" t="s">
        <v>746</v>
      </c>
      <c r="I3860" s="461" t="s">
        <v>762</v>
      </c>
      <c r="J3860" s="461" t="s">
        <v>700</v>
      </c>
      <c r="K3860" s="594"/>
      <c r="L3860" s="594"/>
      <c r="M3860" s="352">
        <v>7000</v>
      </c>
      <c r="N3860" s="352" t="s">
        <v>1891</v>
      </c>
      <c r="O3860" s="460">
        <v>5311</v>
      </c>
      <c r="P3860" s="460" t="s">
        <v>788</v>
      </c>
      <c r="Q3860" s="460" t="s">
        <v>2553</v>
      </c>
      <c r="R3860" s="460">
        <v>5311</v>
      </c>
      <c r="S3860" s="460" t="s">
        <v>2296</v>
      </c>
      <c r="T3860" s="462">
        <v>0.55517361979372948</v>
      </c>
      <c r="U3860" s="460" t="s">
        <v>2299</v>
      </c>
      <c r="V3860" s="475">
        <v>0</v>
      </c>
      <c r="W3860" s="463" t="s">
        <v>2268</v>
      </c>
      <c r="X3860" s="463" t="s">
        <v>2268</v>
      </c>
      <c r="Y3860" s="463" t="s">
        <v>2554</v>
      </c>
      <c r="Z3860" s="463"/>
      <c r="AA3860" s="463"/>
      <c r="AB3860" s="464">
        <v>0</v>
      </c>
      <c r="AC3860" s="465">
        <v>0</v>
      </c>
      <c r="AD3860" s="465">
        <v>0</v>
      </c>
      <c r="AE3860" s="476">
        <v>0</v>
      </c>
      <c r="AF3860" s="467">
        <v>0</v>
      </c>
      <c r="AG3860" s="468">
        <v>0</v>
      </c>
      <c r="AH3860" s="218">
        <v>0</v>
      </c>
      <c r="AI3860" s="470">
        <v>0</v>
      </c>
      <c r="AJ3860" s="471">
        <v>0</v>
      </c>
      <c r="AK3860" s="218">
        <v>0</v>
      </c>
      <c r="AL3860" s="470">
        <v>0</v>
      </c>
      <c r="AM3860" s="471">
        <v>0</v>
      </c>
      <c r="AN3860" s="477">
        <v>0</v>
      </c>
      <c r="AO3860" s="473">
        <v>0</v>
      </c>
      <c r="AP3860" s="474">
        <v>0</v>
      </c>
      <c r="AQ3860" s="352"/>
      <c r="AR3860" s="352"/>
      <c r="AS3860" s="352"/>
      <c r="AT3860" s="352"/>
      <c r="AU3860" s="352"/>
      <c r="AV3860" s="352"/>
      <c r="AW3860" s="352" t="s">
        <v>254</v>
      </c>
    </row>
    <row r="3861" spans="2:49" x14ac:dyDescent="0.2">
      <c r="B3861" s="460" t="s">
        <v>3505</v>
      </c>
      <c r="C3861" s="460">
        <v>7000</v>
      </c>
      <c r="D3861" s="460" t="s">
        <v>2312</v>
      </c>
      <c r="E3861" s="460" t="s">
        <v>2302</v>
      </c>
      <c r="F3861" s="460">
        <v>3</v>
      </c>
      <c r="G3861" s="460">
        <v>2</v>
      </c>
      <c r="H3861" s="461" t="s">
        <v>746</v>
      </c>
      <c r="I3861" s="461" t="s">
        <v>762</v>
      </c>
      <c r="J3861" s="461" t="s">
        <v>700</v>
      </c>
      <c r="K3861" s="594"/>
      <c r="L3861" s="594"/>
      <c r="M3861" s="352">
        <v>7000</v>
      </c>
      <c r="N3861" s="352" t="s">
        <v>1891</v>
      </c>
      <c r="O3861" s="460">
        <v>5311</v>
      </c>
      <c r="P3861" s="460" t="s">
        <v>788</v>
      </c>
      <c r="Q3861" s="460" t="s">
        <v>2553</v>
      </c>
      <c r="R3861" s="460">
        <v>5311</v>
      </c>
      <c r="S3861" s="460" t="s">
        <v>2296</v>
      </c>
      <c r="T3861" s="462">
        <v>0.28481449642268464</v>
      </c>
      <c r="U3861" s="460" t="s">
        <v>2302</v>
      </c>
      <c r="V3861" s="475">
        <v>0</v>
      </c>
      <c r="W3861" s="463" t="s">
        <v>2268</v>
      </c>
      <c r="X3861" s="463" t="s">
        <v>2268</v>
      </c>
      <c r="Y3861" s="463" t="s">
        <v>2554</v>
      </c>
      <c r="Z3861" s="463"/>
      <c r="AA3861" s="463"/>
      <c r="AB3861" s="464">
        <v>0</v>
      </c>
      <c r="AC3861" s="465">
        <v>0</v>
      </c>
      <c r="AD3861" s="465">
        <v>0</v>
      </c>
      <c r="AE3861" s="476">
        <v>0</v>
      </c>
      <c r="AF3861" s="467">
        <v>0</v>
      </c>
      <c r="AG3861" s="468">
        <v>0</v>
      </c>
      <c r="AH3861" s="218">
        <v>0</v>
      </c>
      <c r="AI3861" s="470">
        <v>0</v>
      </c>
      <c r="AJ3861" s="471">
        <v>0</v>
      </c>
      <c r="AK3861" s="218">
        <v>0</v>
      </c>
      <c r="AL3861" s="470">
        <v>0</v>
      </c>
      <c r="AM3861" s="471">
        <v>0</v>
      </c>
      <c r="AN3861" s="477">
        <v>0</v>
      </c>
      <c r="AO3861" s="473">
        <v>0</v>
      </c>
      <c r="AP3861" s="474">
        <v>0</v>
      </c>
      <c r="AQ3861" s="352"/>
      <c r="AR3861" s="352"/>
      <c r="AS3861" s="352"/>
      <c r="AT3861" s="352"/>
      <c r="AU3861" s="352"/>
      <c r="AV3861" s="352"/>
      <c r="AW3861" s="352" t="s">
        <v>254</v>
      </c>
    </row>
    <row r="3862" spans="2:49" x14ac:dyDescent="0.2">
      <c r="B3862" s="460" t="s">
        <v>3506</v>
      </c>
      <c r="C3862" s="460">
        <v>7000</v>
      </c>
      <c r="D3862" s="460" t="s">
        <v>2313</v>
      </c>
      <c r="E3862" s="460" t="s">
        <v>2305</v>
      </c>
      <c r="F3862" s="460">
        <v>4</v>
      </c>
      <c r="G3862" s="460">
        <v>2</v>
      </c>
      <c r="H3862" s="461" t="s">
        <v>746</v>
      </c>
      <c r="I3862" s="461" t="s">
        <v>762</v>
      </c>
      <c r="J3862" s="461" t="s">
        <v>700</v>
      </c>
      <c r="K3862" s="594"/>
      <c r="L3862" s="594"/>
      <c r="M3862" s="352">
        <v>7000</v>
      </c>
      <c r="N3862" s="352" t="s">
        <v>1891</v>
      </c>
      <c r="O3862" s="460">
        <v>5311</v>
      </c>
      <c r="P3862" s="460" t="s">
        <v>788</v>
      </c>
      <c r="Q3862" s="460" t="s">
        <v>2553</v>
      </c>
      <c r="R3862" s="460">
        <v>5311</v>
      </c>
      <c r="S3862" s="460" t="s">
        <v>2305</v>
      </c>
      <c r="T3862" s="462">
        <v>1</v>
      </c>
      <c r="U3862" s="460" t="s">
        <v>2305</v>
      </c>
      <c r="V3862" s="475">
        <v>0</v>
      </c>
      <c r="W3862" s="463" t="s">
        <v>2268</v>
      </c>
      <c r="X3862" s="463" t="s">
        <v>2268</v>
      </c>
      <c r="Y3862" s="463" t="s">
        <v>2554</v>
      </c>
      <c r="Z3862" s="463"/>
      <c r="AA3862" s="463"/>
      <c r="AB3862" s="464">
        <v>0</v>
      </c>
      <c r="AC3862" s="465">
        <v>0</v>
      </c>
      <c r="AD3862" s="465">
        <v>0</v>
      </c>
      <c r="AE3862" s="476">
        <v>0</v>
      </c>
      <c r="AF3862" s="467">
        <v>0</v>
      </c>
      <c r="AG3862" s="468">
        <v>0</v>
      </c>
      <c r="AH3862" s="218">
        <v>0</v>
      </c>
      <c r="AI3862" s="470">
        <v>0</v>
      </c>
      <c r="AJ3862" s="471">
        <v>0</v>
      </c>
      <c r="AK3862" s="218">
        <v>0</v>
      </c>
      <c r="AL3862" s="470">
        <v>0</v>
      </c>
      <c r="AM3862" s="471">
        <v>0</v>
      </c>
      <c r="AN3862" s="477">
        <v>0</v>
      </c>
      <c r="AO3862" s="473">
        <v>0</v>
      </c>
      <c r="AP3862" s="474">
        <v>0</v>
      </c>
      <c r="AQ3862" s="352"/>
      <c r="AR3862" s="352"/>
      <c r="AS3862" s="352"/>
      <c r="AT3862" s="352"/>
      <c r="AU3862" s="352"/>
      <c r="AV3862" s="352"/>
      <c r="AW3862" s="352" t="s">
        <v>254</v>
      </c>
    </row>
    <row r="3863" spans="2:49" x14ac:dyDescent="0.2">
      <c r="B3863" s="460" t="s">
        <v>3503</v>
      </c>
      <c r="C3863" s="460">
        <v>7000</v>
      </c>
      <c r="D3863" s="460" t="s">
        <v>2314</v>
      </c>
      <c r="E3863" s="460" t="s">
        <v>2296</v>
      </c>
      <c r="F3863" s="460">
        <v>1</v>
      </c>
      <c r="G3863" s="460">
        <v>2</v>
      </c>
      <c r="H3863" s="461" t="s">
        <v>748</v>
      </c>
      <c r="I3863" s="461" t="s">
        <v>765</v>
      </c>
      <c r="J3863" s="461" t="s">
        <v>700</v>
      </c>
      <c r="K3863" s="594"/>
      <c r="L3863" s="594"/>
      <c r="M3863" s="352">
        <v>7000</v>
      </c>
      <c r="N3863" s="352" t="s">
        <v>1891</v>
      </c>
      <c r="O3863" s="460">
        <v>5311</v>
      </c>
      <c r="P3863" s="460" t="s">
        <v>788</v>
      </c>
      <c r="Q3863" s="460" t="s">
        <v>2553</v>
      </c>
      <c r="R3863" s="460">
        <v>5311</v>
      </c>
      <c r="S3863" s="460" t="s">
        <v>2296</v>
      </c>
      <c r="T3863" s="462">
        <v>1</v>
      </c>
      <c r="U3863" s="460" t="s">
        <v>2296</v>
      </c>
      <c r="V3863" s="475">
        <v>0</v>
      </c>
      <c r="W3863" s="463" t="s">
        <v>2268</v>
      </c>
      <c r="X3863" s="463" t="s">
        <v>2268</v>
      </c>
      <c r="Y3863" s="463" t="s">
        <v>2554</v>
      </c>
      <c r="Z3863" s="463"/>
      <c r="AA3863" s="463"/>
      <c r="AB3863" s="464">
        <v>0</v>
      </c>
      <c r="AC3863" s="465">
        <v>0</v>
      </c>
      <c r="AD3863" s="465">
        <v>0</v>
      </c>
      <c r="AE3863" s="476">
        <v>0</v>
      </c>
      <c r="AF3863" s="467">
        <v>0</v>
      </c>
      <c r="AG3863" s="468">
        <v>0</v>
      </c>
      <c r="AH3863" s="218">
        <v>0</v>
      </c>
      <c r="AI3863" s="470">
        <v>0</v>
      </c>
      <c r="AJ3863" s="471">
        <v>0</v>
      </c>
      <c r="AK3863" s="218">
        <v>0</v>
      </c>
      <c r="AL3863" s="470">
        <v>0</v>
      </c>
      <c r="AM3863" s="471">
        <v>0</v>
      </c>
      <c r="AN3863" s="477">
        <v>0</v>
      </c>
      <c r="AO3863" s="473">
        <v>0</v>
      </c>
      <c r="AP3863" s="474">
        <v>0</v>
      </c>
      <c r="AQ3863" s="352"/>
      <c r="AR3863" s="352"/>
      <c r="AS3863" s="352"/>
      <c r="AT3863" s="352"/>
      <c r="AU3863" s="352"/>
      <c r="AV3863" s="352"/>
      <c r="AW3863" s="352" t="s">
        <v>254</v>
      </c>
    </row>
    <row r="3864" spans="2:49" x14ac:dyDescent="0.2">
      <c r="B3864" s="460" t="s">
        <v>3504</v>
      </c>
      <c r="C3864" s="460">
        <v>7000</v>
      </c>
      <c r="D3864" s="460" t="s">
        <v>2315</v>
      </c>
      <c r="E3864" s="460" t="s">
        <v>2299</v>
      </c>
      <c r="F3864" s="460">
        <v>2</v>
      </c>
      <c r="G3864" s="460">
        <v>2</v>
      </c>
      <c r="H3864" s="461" t="s">
        <v>748</v>
      </c>
      <c r="I3864" s="461" t="s">
        <v>765</v>
      </c>
      <c r="J3864" s="461" t="s">
        <v>700</v>
      </c>
      <c r="K3864" s="594"/>
      <c r="L3864" s="594"/>
      <c r="M3864" s="352">
        <v>7000</v>
      </c>
      <c r="N3864" s="352" t="s">
        <v>1891</v>
      </c>
      <c r="O3864" s="460">
        <v>5311</v>
      </c>
      <c r="P3864" s="460" t="s">
        <v>788</v>
      </c>
      <c r="Q3864" s="460" t="s">
        <v>2553</v>
      </c>
      <c r="R3864" s="460">
        <v>5311</v>
      </c>
      <c r="S3864" s="460" t="s">
        <v>2296</v>
      </c>
      <c r="T3864" s="462">
        <v>0.55517361979372948</v>
      </c>
      <c r="U3864" s="460" t="s">
        <v>2299</v>
      </c>
      <c r="V3864" s="475">
        <v>0</v>
      </c>
      <c r="W3864" s="463" t="s">
        <v>2268</v>
      </c>
      <c r="X3864" s="463" t="s">
        <v>2268</v>
      </c>
      <c r="Y3864" s="463" t="s">
        <v>2554</v>
      </c>
      <c r="Z3864" s="463"/>
      <c r="AA3864" s="463"/>
      <c r="AB3864" s="464">
        <v>0</v>
      </c>
      <c r="AC3864" s="465">
        <v>0</v>
      </c>
      <c r="AD3864" s="465">
        <v>0</v>
      </c>
      <c r="AE3864" s="476">
        <v>0</v>
      </c>
      <c r="AF3864" s="467">
        <v>0</v>
      </c>
      <c r="AG3864" s="468">
        <v>0</v>
      </c>
      <c r="AH3864" s="218">
        <v>0</v>
      </c>
      <c r="AI3864" s="470">
        <v>0</v>
      </c>
      <c r="AJ3864" s="471">
        <v>0</v>
      </c>
      <c r="AK3864" s="218">
        <v>0</v>
      </c>
      <c r="AL3864" s="470">
        <v>0</v>
      </c>
      <c r="AM3864" s="471">
        <v>0</v>
      </c>
      <c r="AN3864" s="477">
        <v>0</v>
      </c>
      <c r="AO3864" s="473">
        <v>0</v>
      </c>
      <c r="AP3864" s="474">
        <v>0</v>
      </c>
      <c r="AQ3864" s="352"/>
      <c r="AR3864" s="352"/>
      <c r="AS3864" s="352"/>
      <c r="AT3864" s="352"/>
      <c r="AU3864" s="352"/>
      <c r="AV3864" s="352"/>
      <c r="AW3864" s="352" t="s">
        <v>254</v>
      </c>
    </row>
    <row r="3865" spans="2:49" x14ac:dyDescent="0.2">
      <c r="B3865" s="460" t="s">
        <v>3505</v>
      </c>
      <c r="C3865" s="460">
        <v>7000</v>
      </c>
      <c r="D3865" s="460" t="s">
        <v>2316</v>
      </c>
      <c r="E3865" s="460" t="s">
        <v>2302</v>
      </c>
      <c r="F3865" s="460">
        <v>3</v>
      </c>
      <c r="G3865" s="460">
        <v>2</v>
      </c>
      <c r="H3865" s="461" t="s">
        <v>748</v>
      </c>
      <c r="I3865" s="461" t="s">
        <v>765</v>
      </c>
      <c r="J3865" s="461" t="s">
        <v>700</v>
      </c>
      <c r="K3865" s="594"/>
      <c r="L3865" s="594"/>
      <c r="M3865" s="352">
        <v>7000</v>
      </c>
      <c r="N3865" s="352" t="s">
        <v>1891</v>
      </c>
      <c r="O3865" s="460">
        <v>5311</v>
      </c>
      <c r="P3865" s="460" t="s">
        <v>788</v>
      </c>
      <c r="Q3865" s="460" t="s">
        <v>2553</v>
      </c>
      <c r="R3865" s="460">
        <v>5311</v>
      </c>
      <c r="S3865" s="460" t="s">
        <v>2296</v>
      </c>
      <c r="T3865" s="462">
        <v>0.28481449642268464</v>
      </c>
      <c r="U3865" s="460" t="s">
        <v>2302</v>
      </c>
      <c r="V3865" s="475">
        <v>0</v>
      </c>
      <c r="W3865" s="463" t="s">
        <v>2268</v>
      </c>
      <c r="X3865" s="463" t="s">
        <v>2268</v>
      </c>
      <c r="Y3865" s="463" t="s">
        <v>2554</v>
      </c>
      <c r="Z3865" s="463"/>
      <c r="AA3865" s="463"/>
      <c r="AB3865" s="464">
        <v>0</v>
      </c>
      <c r="AC3865" s="465">
        <v>0</v>
      </c>
      <c r="AD3865" s="465">
        <v>0</v>
      </c>
      <c r="AE3865" s="476">
        <v>0</v>
      </c>
      <c r="AF3865" s="467">
        <v>0</v>
      </c>
      <c r="AG3865" s="468">
        <v>0</v>
      </c>
      <c r="AH3865" s="218">
        <v>0</v>
      </c>
      <c r="AI3865" s="470">
        <v>0</v>
      </c>
      <c r="AJ3865" s="471">
        <v>0</v>
      </c>
      <c r="AK3865" s="218">
        <v>0</v>
      </c>
      <c r="AL3865" s="470">
        <v>0</v>
      </c>
      <c r="AM3865" s="471">
        <v>0</v>
      </c>
      <c r="AN3865" s="477">
        <v>0</v>
      </c>
      <c r="AO3865" s="473">
        <v>0</v>
      </c>
      <c r="AP3865" s="474">
        <v>0</v>
      </c>
      <c r="AQ3865" s="352"/>
      <c r="AR3865" s="352"/>
      <c r="AS3865" s="352"/>
      <c r="AT3865" s="352"/>
      <c r="AU3865" s="352"/>
      <c r="AV3865" s="352"/>
      <c r="AW3865" s="352" t="s">
        <v>254</v>
      </c>
    </row>
    <row r="3866" spans="2:49" x14ac:dyDescent="0.2">
      <c r="B3866" s="460" t="s">
        <v>3506</v>
      </c>
      <c r="C3866" s="460">
        <v>7000</v>
      </c>
      <c r="D3866" s="460" t="s">
        <v>2317</v>
      </c>
      <c r="E3866" s="460" t="s">
        <v>2305</v>
      </c>
      <c r="F3866" s="460">
        <v>4</v>
      </c>
      <c r="G3866" s="460">
        <v>2</v>
      </c>
      <c r="H3866" s="461" t="s">
        <v>748</v>
      </c>
      <c r="I3866" s="461" t="s">
        <v>765</v>
      </c>
      <c r="J3866" s="461" t="s">
        <v>700</v>
      </c>
      <c r="K3866" s="594"/>
      <c r="L3866" s="594"/>
      <c r="M3866" s="352">
        <v>7000</v>
      </c>
      <c r="N3866" s="352" t="s">
        <v>1891</v>
      </c>
      <c r="O3866" s="460">
        <v>5311</v>
      </c>
      <c r="P3866" s="460" t="s">
        <v>788</v>
      </c>
      <c r="Q3866" s="460" t="s">
        <v>2553</v>
      </c>
      <c r="R3866" s="460">
        <v>5311</v>
      </c>
      <c r="S3866" s="460" t="s">
        <v>2305</v>
      </c>
      <c r="T3866" s="462">
        <v>1</v>
      </c>
      <c r="U3866" s="460" t="s">
        <v>2305</v>
      </c>
      <c r="V3866" s="475">
        <v>0</v>
      </c>
      <c r="W3866" s="463" t="s">
        <v>2268</v>
      </c>
      <c r="X3866" s="463" t="s">
        <v>2268</v>
      </c>
      <c r="Y3866" s="463" t="s">
        <v>2554</v>
      </c>
      <c r="Z3866" s="463"/>
      <c r="AA3866" s="463"/>
      <c r="AB3866" s="464">
        <v>0</v>
      </c>
      <c r="AC3866" s="465">
        <v>0</v>
      </c>
      <c r="AD3866" s="465">
        <v>0</v>
      </c>
      <c r="AE3866" s="476">
        <v>0</v>
      </c>
      <c r="AF3866" s="467">
        <v>0</v>
      </c>
      <c r="AG3866" s="468">
        <v>0</v>
      </c>
      <c r="AH3866" s="218">
        <v>0</v>
      </c>
      <c r="AI3866" s="470">
        <v>0</v>
      </c>
      <c r="AJ3866" s="471">
        <v>0</v>
      </c>
      <c r="AK3866" s="218">
        <v>0</v>
      </c>
      <c r="AL3866" s="470">
        <v>0</v>
      </c>
      <c r="AM3866" s="471">
        <v>0</v>
      </c>
      <c r="AN3866" s="477">
        <v>0</v>
      </c>
      <c r="AO3866" s="473">
        <v>0</v>
      </c>
      <c r="AP3866" s="474">
        <v>0</v>
      </c>
      <c r="AQ3866" s="352"/>
      <c r="AR3866" s="352"/>
      <c r="AS3866" s="352"/>
      <c r="AT3866" s="352"/>
      <c r="AU3866" s="352"/>
      <c r="AV3866" s="352"/>
      <c r="AW3866" s="352" t="s">
        <v>254</v>
      </c>
    </row>
    <row r="3867" spans="2:49" x14ac:dyDescent="0.2">
      <c r="B3867" s="460" t="s">
        <v>3503</v>
      </c>
      <c r="C3867" s="460">
        <v>7000</v>
      </c>
      <c r="D3867" s="460" t="s">
        <v>3454</v>
      </c>
      <c r="E3867" s="460" t="s">
        <v>2296</v>
      </c>
      <c r="F3867" s="460">
        <v>1</v>
      </c>
      <c r="G3867" s="460">
        <v>2</v>
      </c>
      <c r="H3867" s="461" t="s">
        <v>754</v>
      </c>
      <c r="I3867" s="461" t="s">
        <v>1991</v>
      </c>
      <c r="J3867" s="461" t="s">
        <v>754</v>
      </c>
      <c r="K3867" s="594"/>
      <c r="L3867" s="594"/>
      <c r="M3867" s="352">
        <v>7000</v>
      </c>
      <c r="N3867" s="352" t="s">
        <v>1891</v>
      </c>
      <c r="O3867" s="460">
        <v>5311</v>
      </c>
      <c r="P3867" s="460" t="s">
        <v>788</v>
      </c>
      <c r="Q3867" s="460" t="s">
        <v>2377</v>
      </c>
      <c r="R3867" s="460">
        <v>5311</v>
      </c>
      <c r="S3867" s="460" t="s">
        <v>2296</v>
      </c>
      <c r="T3867" s="462">
        <v>1</v>
      </c>
      <c r="U3867" s="460" t="s">
        <v>2296</v>
      </c>
      <c r="V3867" s="475">
        <v>0</v>
      </c>
      <c r="W3867" s="463" t="s">
        <v>2278</v>
      </c>
      <c r="X3867" s="463" t="s">
        <v>2278</v>
      </c>
      <c r="Y3867" s="463" t="s">
        <v>2278</v>
      </c>
      <c r="Z3867" s="463"/>
      <c r="AA3867" s="463"/>
      <c r="AB3867" s="464">
        <v>0</v>
      </c>
      <c r="AC3867" s="465">
        <v>0</v>
      </c>
      <c r="AD3867" s="465">
        <v>0</v>
      </c>
      <c r="AE3867" s="476">
        <v>0</v>
      </c>
      <c r="AF3867" s="467">
        <v>0</v>
      </c>
      <c r="AG3867" s="468">
        <v>0</v>
      </c>
      <c r="AH3867" s="218">
        <v>0</v>
      </c>
      <c r="AI3867" s="470">
        <v>0</v>
      </c>
      <c r="AJ3867" s="471">
        <v>0</v>
      </c>
      <c r="AK3867" s="218">
        <v>0</v>
      </c>
      <c r="AL3867" s="470">
        <v>0</v>
      </c>
      <c r="AM3867" s="471">
        <v>0</v>
      </c>
      <c r="AN3867" s="477">
        <v>0</v>
      </c>
      <c r="AO3867" s="473">
        <v>0</v>
      </c>
      <c r="AP3867" s="474">
        <v>0</v>
      </c>
      <c r="AQ3867" s="352"/>
      <c r="AR3867" s="352"/>
      <c r="AS3867" s="352"/>
      <c r="AT3867" s="352"/>
      <c r="AU3867" s="352"/>
      <c r="AV3867" s="352"/>
      <c r="AW3867" s="352" t="s">
        <v>127</v>
      </c>
    </row>
    <row r="3868" spans="2:49" x14ac:dyDescent="0.2">
      <c r="B3868" s="460" t="s">
        <v>3504</v>
      </c>
      <c r="C3868" s="460">
        <v>7000</v>
      </c>
      <c r="D3868" s="460" t="s">
        <v>3455</v>
      </c>
      <c r="E3868" s="460" t="s">
        <v>2299</v>
      </c>
      <c r="F3868" s="460">
        <v>2</v>
      </c>
      <c r="G3868" s="460">
        <v>2</v>
      </c>
      <c r="H3868" s="461" t="s">
        <v>754</v>
      </c>
      <c r="I3868" s="461" t="s">
        <v>1991</v>
      </c>
      <c r="J3868" s="461" t="s">
        <v>754</v>
      </c>
      <c r="K3868" s="594"/>
      <c r="L3868" s="594"/>
      <c r="M3868" s="352">
        <v>7000</v>
      </c>
      <c r="N3868" s="352" t="s">
        <v>1891</v>
      </c>
      <c r="O3868" s="460">
        <v>5311</v>
      </c>
      <c r="P3868" s="460" t="s">
        <v>788</v>
      </c>
      <c r="Q3868" s="460" t="s">
        <v>2377</v>
      </c>
      <c r="R3868" s="460">
        <v>5311</v>
      </c>
      <c r="S3868" s="460" t="s">
        <v>2296</v>
      </c>
      <c r="T3868" s="462">
        <v>0.55517361979372948</v>
      </c>
      <c r="U3868" s="460" t="s">
        <v>2299</v>
      </c>
      <c r="V3868" s="475">
        <v>0</v>
      </c>
      <c r="W3868" s="463" t="s">
        <v>2278</v>
      </c>
      <c r="X3868" s="463" t="s">
        <v>2278</v>
      </c>
      <c r="Y3868" s="463" t="s">
        <v>2278</v>
      </c>
      <c r="Z3868" s="463"/>
      <c r="AA3868" s="463"/>
      <c r="AB3868" s="464">
        <v>0</v>
      </c>
      <c r="AC3868" s="465">
        <v>0</v>
      </c>
      <c r="AD3868" s="465">
        <v>0</v>
      </c>
      <c r="AE3868" s="476">
        <v>0</v>
      </c>
      <c r="AF3868" s="467">
        <v>0</v>
      </c>
      <c r="AG3868" s="468">
        <v>0</v>
      </c>
      <c r="AH3868" s="218">
        <v>0</v>
      </c>
      <c r="AI3868" s="470">
        <v>0</v>
      </c>
      <c r="AJ3868" s="471">
        <v>0</v>
      </c>
      <c r="AK3868" s="218">
        <v>0</v>
      </c>
      <c r="AL3868" s="470">
        <v>0</v>
      </c>
      <c r="AM3868" s="471">
        <v>0</v>
      </c>
      <c r="AN3868" s="477">
        <v>0</v>
      </c>
      <c r="AO3868" s="473">
        <v>0</v>
      </c>
      <c r="AP3868" s="474">
        <v>0</v>
      </c>
      <c r="AQ3868" s="352"/>
      <c r="AR3868" s="352"/>
      <c r="AS3868" s="352"/>
      <c r="AT3868" s="352"/>
      <c r="AU3868" s="352"/>
      <c r="AV3868" s="352"/>
      <c r="AW3868" s="352" t="s">
        <v>127</v>
      </c>
    </row>
    <row r="3869" spans="2:49" x14ac:dyDescent="0.2">
      <c r="B3869" s="460" t="s">
        <v>3505</v>
      </c>
      <c r="C3869" s="460">
        <v>7000</v>
      </c>
      <c r="D3869" s="460" t="s">
        <v>3456</v>
      </c>
      <c r="E3869" s="460" t="s">
        <v>2302</v>
      </c>
      <c r="F3869" s="460">
        <v>3</v>
      </c>
      <c r="G3869" s="460">
        <v>2</v>
      </c>
      <c r="H3869" s="461" t="s">
        <v>754</v>
      </c>
      <c r="I3869" s="461" t="s">
        <v>1991</v>
      </c>
      <c r="J3869" s="461" t="s">
        <v>754</v>
      </c>
      <c r="K3869" s="594"/>
      <c r="L3869" s="594"/>
      <c r="M3869" s="352">
        <v>7000</v>
      </c>
      <c r="N3869" s="352" t="s">
        <v>1891</v>
      </c>
      <c r="O3869" s="460">
        <v>5311</v>
      </c>
      <c r="P3869" s="460" t="s">
        <v>788</v>
      </c>
      <c r="Q3869" s="460" t="s">
        <v>2377</v>
      </c>
      <c r="R3869" s="460">
        <v>5311</v>
      </c>
      <c r="S3869" s="460" t="s">
        <v>2296</v>
      </c>
      <c r="T3869" s="462">
        <v>0.28481449642268464</v>
      </c>
      <c r="U3869" s="460" t="s">
        <v>2302</v>
      </c>
      <c r="V3869" s="475">
        <v>0</v>
      </c>
      <c r="W3869" s="463" t="s">
        <v>2278</v>
      </c>
      <c r="X3869" s="463" t="s">
        <v>2278</v>
      </c>
      <c r="Y3869" s="463" t="s">
        <v>2278</v>
      </c>
      <c r="Z3869" s="463"/>
      <c r="AA3869" s="463"/>
      <c r="AB3869" s="464">
        <v>0</v>
      </c>
      <c r="AC3869" s="465">
        <v>0</v>
      </c>
      <c r="AD3869" s="465">
        <v>0</v>
      </c>
      <c r="AE3869" s="476">
        <v>0</v>
      </c>
      <c r="AF3869" s="467">
        <v>0</v>
      </c>
      <c r="AG3869" s="468">
        <v>0</v>
      </c>
      <c r="AH3869" s="218">
        <v>0</v>
      </c>
      <c r="AI3869" s="470">
        <v>0</v>
      </c>
      <c r="AJ3869" s="471">
        <v>0</v>
      </c>
      <c r="AK3869" s="218">
        <v>0</v>
      </c>
      <c r="AL3869" s="470">
        <v>0</v>
      </c>
      <c r="AM3869" s="471">
        <v>0</v>
      </c>
      <c r="AN3869" s="477">
        <v>0</v>
      </c>
      <c r="AO3869" s="473">
        <v>0</v>
      </c>
      <c r="AP3869" s="474">
        <v>0</v>
      </c>
      <c r="AQ3869" s="352"/>
      <c r="AR3869" s="352"/>
      <c r="AS3869" s="352"/>
      <c r="AT3869" s="352"/>
      <c r="AU3869" s="352"/>
      <c r="AV3869" s="352"/>
      <c r="AW3869" s="352" t="s">
        <v>127</v>
      </c>
    </row>
    <row r="3870" spans="2:49" x14ac:dyDescent="0.2">
      <c r="B3870" s="460" t="s">
        <v>3506</v>
      </c>
      <c r="C3870" s="460">
        <v>7000</v>
      </c>
      <c r="D3870" s="460" t="s">
        <v>3457</v>
      </c>
      <c r="E3870" s="460" t="s">
        <v>2305</v>
      </c>
      <c r="F3870" s="460">
        <v>4</v>
      </c>
      <c r="G3870" s="460">
        <v>2</v>
      </c>
      <c r="H3870" s="461" t="s">
        <v>754</v>
      </c>
      <c r="I3870" s="461" t="s">
        <v>1991</v>
      </c>
      <c r="J3870" s="461" t="s">
        <v>754</v>
      </c>
      <c r="K3870" s="594"/>
      <c r="L3870" s="594"/>
      <c r="M3870" s="352">
        <v>7000</v>
      </c>
      <c r="N3870" s="352" t="s">
        <v>1891</v>
      </c>
      <c r="O3870" s="460">
        <v>5311</v>
      </c>
      <c r="P3870" s="460" t="s">
        <v>788</v>
      </c>
      <c r="Q3870" s="460" t="s">
        <v>2377</v>
      </c>
      <c r="R3870" s="460">
        <v>5311</v>
      </c>
      <c r="S3870" s="460" t="s">
        <v>2305</v>
      </c>
      <c r="T3870" s="462">
        <v>1</v>
      </c>
      <c r="U3870" s="460" t="s">
        <v>2305</v>
      </c>
      <c r="V3870" s="475">
        <v>0</v>
      </c>
      <c r="W3870" s="463" t="s">
        <v>2278</v>
      </c>
      <c r="X3870" s="463" t="s">
        <v>2278</v>
      </c>
      <c r="Y3870" s="463" t="s">
        <v>2278</v>
      </c>
      <c r="Z3870" s="463"/>
      <c r="AA3870" s="463"/>
      <c r="AB3870" s="464">
        <v>1.4724222901796822</v>
      </c>
      <c r="AC3870" s="465">
        <v>2.0549641862012409E-3</v>
      </c>
      <c r="AD3870" s="465">
        <v>1.8302309938420816E-2</v>
      </c>
      <c r="AE3870" s="476">
        <v>1.4724222901796822</v>
      </c>
      <c r="AF3870" s="467">
        <v>2.0549641862012409E-3</v>
      </c>
      <c r="AG3870" s="468">
        <v>1.8302309938420816E-2</v>
      </c>
      <c r="AH3870" s="218">
        <v>1.4724222901796822</v>
      </c>
      <c r="AI3870" s="470">
        <v>2.0549641862012409E-3</v>
      </c>
      <c r="AJ3870" s="471">
        <v>1.8302309938420816E-2</v>
      </c>
      <c r="AK3870" s="218">
        <v>1.4724222901796822</v>
      </c>
      <c r="AL3870" s="470">
        <v>2.0549641862012409E-3</v>
      </c>
      <c r="AM3870" s="471">
        <v>1.8302309938420816E-2</v>
      </c>
      <c r="AN3870" s="477">
        <v>1.4724222901796822</v>
      </c>
      <c r="AO3870" s="473">
        <v>2.0549641862012409E-3</v>
      </c>
      <c r="AP3870" s="474">
        <v>1.8302309938420816E-2</v>
      </c>
      <c r="AQ3870" s="352"/>
      <c r="AR3870" s="352"/>
      <c r="AS3870" s="352"/>
      <c r="AT3870" s="352"/>
      <c r="AU3870" s="352"/>
      <c r="AV3870" s="352"/>
      <c r="AW3870" s="352" t="s">
        <v>127</v>
      </c>
    </row>
    <row r="3871" spans="2:49" x14ac:dyDescent="0.2">
      <c r="B3871" s="460" t="s">
        <v>3507</v>
      </c>
      <c r="C3871" s="460">
        <v>7000</v>
      </c>
      <c r="D3871" s="460" t="s">
        <v>2323</v>
      </c>
      <c r="E3871" s="460" t="s">
        <v>2324</v>
      </c>
      <c r="F3871" s="460">
        <v>1</v>
      </c>
      <c r="G3871" s="460">
        <v>3</v>
      </c>
      <c r="H3871" s="461" t="s">
        <v>700</v>
      </c>
      <c r="I3871" s="461" t="s">
        <v>872</v>
      </c>
      <c r="J3871" s="461" t="s">
        <v>700</v>
      </c>
      <c r="K3871" s="594"/>
      <c r="L3871" s="594"/>
      <c r="M3871" s="352">
        <v>7000</v>
      </c>
      <c r="N3871" s="352" t="s">
        <v>1891</v>
      </c>
      <c r="O3871" s="460">
        <v>5311</v>
      </c>
      <c r="P3871" s="460" t="s">
        <v>788</v>
      </c>
      <c r="Q3871" s="460" t="s">
        <v>2553</v>
      </c>
      <c r="R3871" s="460">
        <v>5311</v>
      </c>
      <c r="S3871" s="460" t="s">
        <v>2324</v>
      </c>
      <c r="T3871" s="462">
        <v>1</v>
      </c>
      <c r="U3871" s="460" t="s">
        <v>2324</v>
      </c>
      <c r="V3871" s="475">
        <v>0</v>
      </c>
      <c r="W3871" s="463" t="s">
        <v>2554</v>
      </c>
      <c r="X3871" s="463" t="s">
        <v>2554</v>
      </c>
      <c r="Y3871" s="463" t="s">
        <v>2268</v>
      </c>
      <c r="Z3871" s="463"/>
      <c r="AA3871" s="463"/>
      <c r="AB3871" s="464">
        <v>0</v>
      </c>
      <c r="AC3871" s="465">
        <v>0</v>
      </c>
      <c r="AD3871" s="465">
        <v>0</v>
      </c>
      <c r="AE3871" s="476">
        <v>0</v>
      </c>
      <c r="AF3871" s="467">
        <v>0</v>
      </c>
      <c r="AG3871" s="468">
        <v>0</v>
      </c>
      <c r="AH3871" s="218">
        <v>0</v>
      </c>
      <c r="AI3871" s="470">
        <v>0</v>
      </c>
      <c r="AJ3871" s="471">
        <v>0</v>
      </c>
      <c r="AK3871" s="218">
        <v>0</v>
      </c>
      <c r="AL3871" s="470">
        <v>0</v>
      </c>
      <c r="AM3871" s="471">
        <v>0</v>
      </c>
      <c r="AN3871" s="477">
        <v>0</v>
      </c>
      <c r="AO3871" s="473">
        <v>0</v>
      </c>
      <c r="AP3871" s="474">
        <v>0</v>
      </c>
      <c r="AQ3871" s="352"/>
      <c r="AR3871" s="352"/>
      <c r="AS3871" s="352"/>
      <c r="AT3871" s="352"/>
      <c r="AU3871" s="352"/>
      <c r="AV3871" s="352"/>
      <c r="AW3871" s="352" t="s">
        <v>254</v>
      </c>
    </row>
    <row r="3872" spans="2:49" x14ac:dyDescent="0.2">
      <c r="B3872" s="460" t="s">
        <v>3508</v>
      </c>
      <c r="C3872" s="460">
        <v>7000</v>
      </c>
      <c r="D3872" s="460" t="s">
        <v>2326</v>
      </c>
      <c r="E3872" s="460" t="s">
        <v>2327</v>
      </c>
      <c r="F3872" s="460">
        <v>2</v>
      </c>
      <c r="G3872" s="460">
        <v>3</v>
      </c>
      <c r="H3872" s="461" t="s">
        <v>700</v>
      </c>
      <c r="I3872" s="461" t="s">
        <v>872</v>
      </c>
      <c r="J3872" s="461" t="s">
        <v>700</v>
      </c>
      <c r="K3872" s="594"/>
      <c r="L3872" s="594"/>
      <c r="M3872" s="352">
        <v>7000</v>
      </c>
      <c r="N3872" s="352" t="s">
        <v>1891</v>
      </c>
      <c r="O3872" s="460">
        <v>5311</v>
      </c>
      <c r="P3872" s="460" t="s">
        <v>788</v>
      </c>
      <c r="Q3872" s="460" t="s">
        <v>2553</v>
      </c>
      <c r="R3872" s="460">
        <v>5311</v>
      </c>
      <c r="S3872" s="460" t="s">
        <v>2324</v>
      </c>
      <c r="T3872" s="462">
        <v>1</v>
      </c>
      <c r="U3872" s="460" t="s">
        <v>2327</v>
      </c>
      <c r="V3872" s="475">
        <v>0</v>
      </c>
      <c r="W3872" s="463" t="s">
        <v>2554</v>
      </c>
      <c r="X3872" s="463" t="s">
        <v>2554</v>
      </c>
      <c r="Y3872" s="463" t="s">
        <v>2268</v>
      </c>
      <c r="Z3872" s="463"/>
      <c r="AA3872" s="463"/>
      <c r="AB3872" s="464">
        <v>0</v>
      </c>
      <c r="AC3872" s="465">
        <v>0</v>
      </c>
      <c r="AD3872" s="465">
        <v>0</v>
      </c>
      <c r="AE3872" s="476">
        <v>0</v>
      </c>
      <c r="AF3872" s="467">
        <v>0</v>
      </c>
      <c r="AG3872" s="468">
        <v>0</v>
      </c>
      <c r="AH3872" s="218">
        <v>0</v>
      </c>
      <c r="AI3872" s="470">
        <v>0</v>
      </c>
      <c r="AJ3872" s="471">
        <v>0</v>
      </c>
      <c r="AK3872" s="218">
        <v>0</v>
      </c>
      <c r="AL3872" s="470">
        <v>0</v>
      </c>
      <c r="AM3872" s="471">
        <v>0</v>
      </c>
      <c r="AN3872" s="477">
        <v>0</v>
      </c>
      <c r="AO3872" s="473">
        <v>0</v>
      </c>
      <c r="AP3872" s="474">
        <v>0</v>
      </c>
      <c r="AQ3872" s="352"/>
      <c r="AR3872" s="352"/>
      <c r="AS3872" s="352"/>
      <c r="AT3872" s="352"/>
      <c r="AU3872" s="352"/>
      <c r="AV3872" s="352"/>
      <c r="AW3872" s="352" t="s">
        <v>254</v>
      </c>
    </row>
    <row r="3873" spans="2:49" x14ac:dyDescent="0.2">
      <c r="B3873" s="460" t="s">
        <v>3509</v>
      </c>
      <c r="C3873" s="460">
        <v>7000</v>
      </c>
      <c r="D3873" s="460" t="s">
        <v>2329</v>
      </c>
      <c r="E3873" s="460" t="s">
        <v>2330</v>
      </c>
      <c r="F3873" s="460">
        <v>3</v>
      </c>
      <c r="G3873" s="460">
        <v>3</v>
      </c>
      <c r="H3873" s="461" t="s">
        <v>700</v>
      </c>
      <c r="I3873" s="461" t="s">
        <v>872</v>
      </c>
      <c r="J3873" s="461" t="s">
        <v>700</v>
      </c>
      <c r="K3873" s="594"/>
      <c r="L3873" s="594"/>
      <c r="M3873" s="352">
        <v>7000</v>
      </c>
      <c r="N3873" s="352" t="s">
        <v>1891</v>
      </c>
      <c r="O3873" s="460">
        <v>5311</v>
      </c>
      <c r="P3873" s="460" t="s">
        <v>788</v>
      </c>
      <c r="Q3873" s="460" t="s">
        <v>2553</v>
      </c>
      <c r="R3873" s="460">
        <v>5311</v>
      </c>
      <c r="S3873" s="460" t="s">
        <v>2324</v>
      </c>
      <c r="T3873" s="462">
        <v>1</v>
      </c>
      <c r="U3873" s="460" t="s">
        <v>2330</v>
      </c>
      <c r="V3873" s="475">
        <v>0</v>
      </c>
      <c r="W3873" s="463" t="s">
        <v>2554</v>
      </c>
      <c r="X3873" s="463" t="s">
        <v>2554</v>
      </c>
      <c r="Y3873" s="463" t="s">
        <v>2268</v>
      </c>
      <c r="Z3873" s="463"/>
      <c r="AA3873" s="463"/>
      <c r="AB3873" s="464">
        <v>0</v>
      </c>
      <c r="AC3873" s="465">
        <v>0</v>
      </c>
      <c r="AD3873" s="465">
        <v>0</v>
      </c>
      <c r="AE3873" s="476">
        <v>0</v>
      </c>
      <c r="AF3873" s="467">
        <v>0</v>
      </c>
      <c r="AG3873" s="468">
        <v>0</v>
      </c>
      <c r="AH3873" s="218">
        <v>0</v>
      </c>
      <c r="AI3873" s="470">
        <v>0</v>
      </c>
      <c r="AJ3873" s="471">
        <v>0</v>
      </c>
      <c r="AK3873" s="218">
        <v>0</v>
      </c>
      <c r="AL3873" s="470">
        <v>0</v>
      </c>
      <c r="AM3873" s="471">
        <v>0</v>
      </c>
      <c r="AN3873" s="477">
        <v>0</v>
      </c>
      <c r="AO3873" s="473">
        <v>0</v>
      </c>
      <c r="AP3873" s="474">
        <v>0</v>
      </c>
      <c r="AQ3873" s="352"/>
      <c r="AR3873" s="352"/>
      <c r="AS3873" s="352"/>
      <c r="AT3873" s="352"/>
      <c r="AU3873" s="352"/>
      <c r="AV3873" s="352"/>
      <c r="AW3873" s="352" t="s">
        <v>254</v>
      </c>
    </row>
    <row r="3874" spans="2:49" x14ac:dyDescent="0.2">
      <c r="B3874" s="460" t="s">
        <v>3510</v>
      </c>
      <c r="C3874" s="460">
        <v>7000</v>
      </c>
      <c r="D3874" s="460" t="s">
        <v>2332</v>
      </c>
      <c r="E3874" s="460" t="s">
        <v>2333</v>
      </c>
      <c r="F3874" s="460">
        <v>4</v>
      </c>
      <c r="G3874" s="460">
        <v>3</v>
      </c>
      <c r="H3874" s="461" t="s">
        <v>700</v>
      </c>
      <c r="I3874" s="461" t="s">
        <v>872</v>
      </c>
      <c r="J3874" s="461" t="s">
        <v>700</v>
      </c>
      <c r="K3874" s="594"/>
      <c r="L3874" s="594"/>
      <c r="M3874" s="352">
        <v>7000</v>
      </c>
      <c r="N3874" s="352" t="s">
        <v>1891</v>
      </c>
      <c r="O3874" s="460">
        <v>5311</v>
      </c>
      <c r="P3874" s="460" t="s">
        <v>788</v>
      </c>
      <c r="Q3874" s="460" t="s">
        <v>2553</v>
      </c>
      <c r="R3874" s="460">
        <v>5311</v>
      </c>
      <c r="S3874" s="460" t="s">
        <v>2333</v>
      </c>
      <c r="T3874" s="462">
        <v>1</v>
      </c>
      <c r="U3874" s="460" t="s">
        <v>2333</v>
      </c>
      <c r="V3874" s="475">
        <v>0</v>
      </c>
      <c r="W3874" s="463" t="s">
        <v>2554</v>
      </c>
      <c r="X3874" s="463" t="s">
        <v>2554</v>
      </c>
      <c r="Y3874" s="463" t="s">
        <v>2268</v>
      </c>
      <c r="Z3874" s="463"/>
      <c r="AA3874" s="463"/>
      <c r="AB3874" s="464">
        <v>0</v>
      </c>
      <c r="AC3874" s="465">
        <v>0</v>
      </c>
      <c r="AD3874" s="465">
        <v>0</v>
      </c>
      <c r="AE3874" s="476">
        <v>0</v>
      </c>
      <c r="AF3874" s="467">
        <v>0</v>
      </c>
      <c r="AG3874" s="468">
        <v>0</v>
      </c>
      <c r="AH3874" s="218">
        <v>0</v>
      </c>
      <c r="AI3874" s="470">
        <v>0</v>
      </c>
      <c r="AJ3874" s="471">
        <v>0</v>
      </c>
      <c r="AK3874" s="218">
        <v>0</v>
      </c>
      <c r="AL3874" s="470">
        <v>0</v>
      </c>
      <c r="AM3874" s="471">
        <v>0</v>
      </c>
      <c r="AN3874" s="477">
        <v>0</v>
      </c>
      <c r="AO3874" s="473">
        <v>0</v>
      </c>
      <c r="AP3874" s="474">
        <v>0</v>
      </c>
      <c r="AQ3874" s="352"/>
      <c r="AR3874" s="352"/>
      <c r="AS3874" s="352"/>
      <c r="AT3874" s="352"/>
      <c r="AU3874" s="352"/>
      <c r="AV3874" s="352"/>
      <c r="AW3874" s="352" t="s">
        <v>254</v>
      </c>
    </row>
    <row r="3875" spans="2:49" x14ac:dyDescent="0.2">
      <c r="B3875" s="460" t="s">
        <v>3507</v>
      </c>
      <c r="C3875" s="460">
        <v>7000</v>
      </c>
      <c r="D3875" s="460" t="s">
        <v>2334</v>
      </c>
      <c r="E3875" s="460" t="s">
        <v>2324</v>
      </c>
      <c r="F3875" s="460">
        <v>1</v>
      </c>
      <c r="G3875" s="460">
        <v>3</v>
      </c>
      <c r="H3875" s="461" t="s">
        <v>712</v>
      </c>
      <c r="I3875" s="461" t="s">
        <v>713</v>
      </c>
      <c r="J3875" s="461" t="s">
        <v>712</v>
      </c>
      <c r="K3875" s="594"/>
      <c r="L3875" s="594"/>
      <c r="M3875" s="352">
        <v>7000</v>
      </c>
      <c r="N3875" s="352" t="s">
        <v>1891</v>
      </c>
      <c r="O3875" s="460">
        <v>5311</v>
      </c>
      <c r="P3875" s="460" t="s">
        <v>788</v>
      </c>
      <c r="Q3875" s="460" t="s">
        <v>2280</v>
      </c>
      <c r="R3875" s="460">
        <v>5311</v>
      </c>
      <c r="S3875" s="460" t="s">
        <v>2324</v>
      </c>
      <c r="T3875" s="462">
        <v>1</v>
      </c>
      <c r="U3875" s="460" t="s">
        <v>2324</v>
      </c>
      <c r="V3875" s="475">
        <v>0</v>
      </c>
      <c r="W3875" s="463" t="s">
        <v>713</v>
      </c>
      <c r="X3875" s="463" t="s">
        <v>713</v>
      </c>
      <c r="Y3875" s="463" t="s">
        <v>713</v>
      </c>
      <c r="Z3875" s="463"/>
      <c r="AA3875" s="463"/>
      <c r="AB3875" s="464">
        <v>14849.045679486633</v>
      </c>
      <c r="AC3875" s="465">
        <v>0.98871332528962752</v>
      </c>
      <c r="AD3875" s="465">
        <v>3.7076524138761793E-2</v>
      </c>
      <c r="AE3875" s="476">
        <v>14849.045679486633</v>
      </c>
      <c r="AF3875" s="467">
        <v>0.98871332528962752</v>
      </c>
      <c r="AG3875" s="468">
        <v>3.6372391667150825E-2</v>
      </c>
      <c r="AH3875" s="218">
        <v>14849.045679486633</v>
      </c>
      <c r="AI3875" s="470">
        <v>0.98871332528962752</v>
      </c>
      <c r="AJ3875" s="471">
        <v>3.6836075963990522E-2</v>
      </c>
      <c r="AK3875" s="218">
        <v>14849.045679486633</v>
      </c>
      <c r="AL3875" s="470">
        <v>0.98871332528962752</v>
      </c>
      <c r="AM3875" s="471">
        <v>3.6836075963990522E-2</v>
      </c>
      <c r="AN3875" s="477">
        <v>14849.045679486633</v>
      </c>
      <c r="AO3875" s="473">
        <v>0.98871332528962752</v>
      </c>
      <c r="AP3875" s="474">
        <v>3.681814958441873E-2</v>
      </c>
      <c r="AQ3875" s="352"/>
      <c r="AR3875" s="352"/>
      <c r="AS3875" s="352"/>
      <c r="AT3875" s="352"/>
      <c r="AU3875" s="352"/>
      <c r="AV3875" s="352"/>
      <c r="AW3875" s="352" t="s">
        <v>254</v>
      </c>
    </row>
    <row r="3876" spans="2:49" x14ac:dyDescent="0.2">
      <c r="B3876" s="460" t="s">
        <v>3508</v>
      </c>
      <c r="C3876" s="460">
        <v>7000</v>
      </c>
      <c r="D3876" s="460" t="s">
        <v>2335</v>
      </c>
      <c r="E3876" s="460" t="s">
        <v>2327</v>
      </c>
      <c r="F3876" s="460">
        <v>2</v>
      </c>
      <c r="G3876" s="460">
        <v>3</v>
      </c>
      <c r="H3876" s="461" t="s">
        <v>712</v>
      </c>
      <c r="I3876" s="461" t="s">
        <v>713</v>
      </c>
      <c r="J3876" s="461" t="s">
        <v>712</v>
      </c>
      <c r="K3876" s="594"/>
      <c r="L3876" s="594"/>
      <c r="M3876" s="352">
        <v>7000</v>
      </c>
      <c r="N3876" s="352" t="s">
        <v>1891</v>
      </c>
      <c r="O3876" s="460">
        <v>5311</v>
      </c>
      <c r="P3876" s="460" t="s">
        <v>788</v>
      </c>
      <c r="Q3876" s="460" t="s">
        <v>2280</v>
      </c>
      <c r="R3876" s="460">
        <v>5311</v>
      </c>
      <c r="S3876" s="460" t="s">
        <v>2324</v>
      </c>
      <c r="T3876" s="462">
        <v>1</v>
      </c>
      <c r="U3876" s="460" t="s">
        <v>2327</v>
      </c>
      <c r="V3876" s="475">
        <v>0</v>
      </c>
      <c r="W3876" s="463" t="s">
        <v>713</v>
      </c>
      <c r="X3876" s="463" t="s">
        <v>713</v>
      </c>
      <c r="Y3876" s="463" t="s">
        <v>713</v>
      </c>
      <c r="Z3876" s="463"/>
      <c r="AA3876" s="463"/>
      <c r="AB3876" s="464">
        <v>13118.644527933542</v>
      </c>
      <c r="AC3876" s="465">
        <v>1</v>
      </c>
      <c r="AD3876" s="465">
        <v>4.201375120482588E-2</v>
      </c>
      <c r="AE3876" s="476">
        <v>13118.644527933542</v>
      </c>
      <c r="AF3876" s="467">
        <v>1</v>
      </c>
      <c r="AG3876" s="468">
        <v>4.1326149554760772E-2</v>
      </c>
      <c r="AH3876" s="218">
        <v>13118.644527933542</v>
      </c>
      <c r="AI3876" s="470">
        <v>1</v>
      </c>
      <c r="AJ3876" s="471">
        <v>4.2977716862452588E-2</v>
      </c>
      <c r="AK3876" s="218">
        <v>13118.644527933542</v>
      </c>
      <c r="AL3876" s="470">
        <v>1</v>
      </c>
      <c r="AM3876" s="471">
        <v>4.2977716862452588E-2</v>
      </c>
      <c r="AN3876" s="477">
        <v>13118.644527933542</v>
      </c>
      <c r="AO3876" s="473">
        <v>1</v>
      </c>
      <c r="AP3876" s="474">
        <v>4.2960866854173156E-2</v>
      </c>
      <c r="AQ3876" s="352"/>
      <c r="AR3876" s="352"/>
      <c r="AS3876" s="352"/>
      <c r="AT3876" s="352"/>
      <c r="AU3876" s="352"/>
      <c r="AV3876" s="352"/>
      <c r="AW3876" s="352" t="s">
        <v>254</v>
      </c>
    </row>
    <row r="3877" spans="2:49" x14ac:dyDescent="0.2">
      <c r="B3877" s="460" t="s">
        <v>3509</v>
      </c>
      <c r="C3877" s="460">
        <v>7000</v>
      </c>
      <c r="D3877" s="460" t="s">
        <v>2336</v>
      </c>
      <c r="E3877" s="460" t="s">
        <v>2330</v>
      </c>
      <c r="F3877" s="460">
        <v>3</v>
      </c>
      <c r="G3877" s="460">
        <v>3</v>
      </c>
      <c r="H3877" s="461" t="s">
        <v>712</v>
      </c>
      <c r="I3877" s="461" t="s">
        <v>713</v>
      </c>
      <c r="J3877" s="461" t="s">
        <v>712</v>
      </c>
      <c r="K3877" s="594"/>
      <c r="L3877" s="594"/>
      <c r="M3877" s="352">
        <v>7000</v>
      </c>
      <c r="N3877" s="352" t="s">
        <v>1891</v>
      </c>
      <c r="O3877" s="460">
        <v>5311</v>
      </c>
      <c r="P3877" s="460" t="s">
        <v>788</v>
      </c>
      <c r="Q3877" s="460" t="s">
        <v>2280</v>
      </c>
      <c r="R3877" s="460">
        <v>5311</v>
      </c>
      <c r="S3877" s="460" t="s">
        <v>2324</v>
      </c>
      <c r="T3877" s="462">
        <v>1</v>
      </c>
      <c r="U3877" s="460" t="s">
        <v>2330</v>
      </c>
      <c r="V3877" s="475">
        <v>0</v>
      </c>
      <c r="W3877" s="463" t="s">
        <v>713</v>
      </c>
      <c r="X3877" s="463" t="s">
        <v>713</v>
      </c>
      <c r="Y3877" s="463" t="s">
        <v>713</v>
      </c>
      <c r="Z3877" s="463"/>
      <c r="AA3877" s="463"/>
      <c r="AB3877" s="464">
        <v>7683.0471161116311</v>
      </c>
      <c r="AC3877" s="465">
        <v>1</v>
      </c>
      <c r="AD3877" s="465">
        <v>6.8027720241410225E-2</v>
      </c>
      <c r="AE3877" s="476">
        <v>7683.0471161116311</v>
      </c>
      <c r="AF3877" s="467">
        <v>1</v>
      </c>
      <c r="AG3877" s="468">
        <v>6.6976175664846094E-2</v>
      </c>
      <c r="AH3877" s="218">
        <v>7683.0471161116311</v>
      </c>
      <c r="AI3877" s="470">
        <v>1</v>
      </c>
      <c r="AJ3877" s="471">
        <v>6.9533412565190925E-2</v>
      </c>
      <c r="AK3877" s="218">
        <v>7683.0471161116311</v>
      </c>
      <c r="AL3877" s="470">
        <v>1</v>
      </c>
      <c r="AM3877" s="471">
        <v>6.9533412565190925E-2</v>
      </c>
      <c r="AN3877" s="477">
        <v>7683.0471161116311</v>
      </c>
      <c r="AO3877" s="473">
        <v>1</v>
      </c>
      <c r="AP3877" s="474">
        <v>6.9712885982343195E-2</v>
      </c>
      <c r="AQ3877" s="352"/>
      <c r="AR3877" s="352"/>
      <c r="AS3877" s="352"/>
      <c r="AT3877" s="352"/>
      <c r="AU3877" s="352"/>
      <c r="AV3877" s="352"/>
      <c r="AW3877" s="352" t="s">
        <v>254</v>
      </c>
    </row>
    <row r="3878" spans="2:49" x14ac:dyDescent="0.2">
      <c r="B3878" s="460" t="s">
        <v>3510</v>
      </c>
      <c r="C3878" s="460">
        <v>7000</v>
      </c>
      <c r="D3878" s="460" t="s">
        <v>2337</v>
      </c>
      <c r="E3878" s="460" t="s">
        <v>2333</v>
      </c>
      <c r="F3878" s="460">
        <v>4</v>
      </c>
      <c r="G3878" s="460">
        <v>3</v>
      </c>
      <c r="H3878" s="461" t="s">
        <v>712</v>
      </c>
      <c r="I3878" s="461" t="s">
        <v>713</v>
      </c>
      <c r="J3878" s="461" t="s">
        <v>712</v>
      </c>
      <c r="K3878" s="594"/>
      <c r="L3878" s="594"/>
      <c r="M3878" s="352">
        <v>7000</v>
      </c>
      <c r="N3878" s="352" t="s">
        <v>1891</v>
      </c>
      <c r="O3878" s="460">
        <v>5311</v>
      </c>
      <c r="P3878" s="460" t="s">
        <v>788</v>
      </c>
      <c r="Q3878" s="460" t="s">
        <v>2280</v>
      </c>
      <c r="R3878" s="460">
        <v>5311</v>
      </c>
      <c r="S3878" s="460" t="s">
        <v>2333</v>
      </c>
      <c r="T3878" s="462">
        <v>1</v>
      </c>
      <c r="U3878" s="460" t="s">
        <v>2333</v>
      </c>
      <c r="V3878" s="475">
        <v>0</v>
      </c>
      <c r="W3878" s="463" t="s">
        <v>713</v>
      </c>
      <c r="X3878" s="463" t="s">
        <v>713</v>
      </c>
      <c r="Y3878" s="463" t="s">
        <v>713</v>
      </c>
      <c r="Z3878" s="463"/>
      <c r="AA3878" s="463"/>
      <c r="AB3878" s="464">
        <v>8816.5163570342302</v>
      </c>
      <c r="AC3878" s="465">
        <v>1</v>
      </c>
      <c r="AD3878" s="465">
        <v>6.7027306687709481E-2</v>
      </c>
      <c r="AE3878" s="476">
        <v>8816.5163570342302</v>
      </c>
      <c r="AF3878" s="467">
        <v>1</v>
      </c>
      <c r="AG3878" s="468">
        <v>6.6340659776226649E-2</v>
      </c>
      <c r="AH3878" s="218">
        <v>8816.5163570342302</v>
      </c>
      <c r="AI3878" s="470">
        <v>1</v>
      </c>
      <c r="AJ3878" s="471">
        <v>6.6552016652770329E-2</v>
      </c>
      <c r="AK3878" s="218">
        <v>8816.5163570342302</v>
      </c>
      <c r="AL3878" s="470">
        <v>1</v>
      </c>
      <c r="AM3878" s="471">
        <v>6.6552016652770329E-2</v>
      </c>
      <c r="AN3878" s="477">
        <v>8816.5163570342302</v>
      </c>
      <c r="AO3878" s="473">
        <v>1</v>
      </c>
      <c r="AP3878" s="474">
        <v>6.6573165800747292E-2</v>
      </c>
      <c r="AQ3878" s="352"/>
      <c r="AR3878" s="352"/>
      <c r="AS3878" s="352"/>
      <c r="AT3878" s="352"/>
      <c r="AU3878" s="352"/>
      <c r="AV3878" s="352"/>
      <c r="AW3878" s="352" t="s">
        <v>254</v>
      </c>
    </row>
    <row r="3879" spans="2:49" x14ac:dyDescent="0.2">
      <c r="B3879" s="460" t="s">
        <v>3507</v>
      </c>
      <c r="C3879" s="460">
        <v>7000</v>
      </c>
      <c r="D3879" s="460" t="s">
        <v>2338</v>
      </c>
      <c r="E3879" s="460" t="s">
        <v>2324</v>
      </c>
      <c r="F3879" s="460">
        <v>1</v>
      </c>
      <c r="G3879" s="460">
        <v>3</v>
      </c>
      <c r="H3879" s="461" t="s">
        <v>746</v>
      </c>
      <c r="I3879" s="461" t="s">
        <v>762</v>
      </c>
      <c r="J3879" s="461" t="s">
        <v>700</v>
      </c>
      <c r="K3879" s="594"/>
      <c r="L3879" s="594"/>
      <c r="M3879" s="352">
        <v>7000</v>
      </c>
      <c r="N3879" s="352" t="s">
        <v>1891</v>
      </c>
      <c r="O3879" s="460">
        <v>5311</v>
      </c>
      <c r="P3879" s="460" t="s">
        <v>788</v>
      </c>
      <c r="Q3879" s="460" t="s">
        <v>2553</v>
      </c>
      <c r="R3879" s="460">
        <v>5311</v>
      </c>
      <c r="S3879" s="460" t="s">
        <v>2324</v>
      </c>
      <c r="T3879" s="462">
        <v>1</v>
      </c>
      <c r="U3879" s="460" t="s">
        <v>2324</v>
      </c>
      <c r="V3879" s="475">
        <v>0</v>
      </c>
      <c r="W3879" s="463" t="s">
        <v>2268</v>
      </c>
      <c r="X3879" s="463" t="s">
        <v>2268</v>
      </c>
      <c r="Y3879" s="463" t="s">
        <v>2554</v>
      </c>
      <c r="Z3879" s="463"/>
      <c r="AA3879" s="463"/>
      <c r="AB3879" s="464">
        <v>0</v>
      </c>
      <c r="AC3879" s="465">
        <v>0</v>
      </c>
      <c r="AD3879" s="465">
        <v>0</v>
      </c>
      <c r="AE3879" s="476">
        <v>0</v>
      </c>
      <c r="AF3879" s="467">
        <v>0</v>
      </c>
      <c r="AG3879" s="468">
        <v>0</v>
      </c>
      <c r="AH3879" s="218">
        <v>0</v>
      </c>
      <c r="AI3879" s="470">
        <v>0</v>
      </c>
      <c r="AJ3879" s="471">
        <v>0</v>
      </c>
      <c r="AK3879" s="218">
        <v>0</v>
      </c>
      <c r="AL3879" s="470">
        <v>0</v>
      </c>
      <c r="AM3879" s="471">
        <v>0</v>
      </c>
      <c r="AN3879" s="477">
        <v>0</v>
      </c>
      <c r="AO3879" s="473">
        <v>0</v>
      </c>
      <c r="AP3879" s="474">
        <v>0</v>
      </c>
      <c r="AQ3879" s="352"/>
      <c r="AR3879" s="352"/>
      <c r="AS3879" s="352"/>
      <c r="AT3879" s="352"/>
      <c r="AU3879" s="352"/>
      <c r="AV3879" s="352"/>
      <c r="AW3879" s="352" t="s">
        <v>254</v>
      </c>
    </row>
    <row r="3880" spans="2:49" x14ac:dyDescent="0.2">
      <c r="B3880" s="460" t="s">
        <v>3508</v>
      </c>
      <c r="C3880" s="460">
        <v>7000</v>
      </c>
      <c r="D3880" s="460" t="s">
        <v>2339</v>
      </c>
      <c r="E3880" s="460" t="s">
        <v>2327</v>
      </c>
      <c r="F3880" s="460">
        <v>2</v>
      </c>
      <c r="G3880" s="460">
        <v>3</v>
      </c>
      <c r="H3880" s="461" t="s">
        <v>746</v>
      </c>
      <c r="I3880" s="461" t="s">
        <v>762</v>
      </c>
      <c r="J3880" s="461" t="s">
        <v>700</v>
      </c>
      <c r="K3880" s="594"/>
      <c r="L3880" s="594"/>
      <c r="M3880" s="352">
        <v>7000</v>
      </c>
      <c r="N3880" s="352" t="s">
        <v>1891</v>
      </c>
      <c r="O3880" s="460">
        <v>5311</v>
      </c>
      <c r="P3880" s="460" t="s">
        <v>788</v>
      </c>
      <c r="Q3880" s="460" t="s">
        <v>2553</v>
      </c>
      <c r="R3880" s="460">
        <v>5311</v>
      </c>
      <c r="S3880" s="460" t="s">
        <v>2324</v>
      </c>
      <c r="T3880" s="462">
        <v>1</v>
      </c>
      <c r="U3880" s="460" t="s">
        <v>2327</v>
      </c>
      <c r="V3880" s="475">
        <v>0</v>
      </c>
      <c r="W3880" s="463" t="s">
        <v>2268</v>
      </c>
      <c r="X3880" s="463" t="s">
        <v>2268</v>
      </c>
      <c r="Y3880" s="463" t="s">
        <v>2554</v>
      </c>
      <c r="Z3880" s="463"/>
      <c r="AA3880" s="463"/>
      <c r="AB3880" s="464">
        <v>0</v>
      </c>
      <c r="AC3880" s="465">
        <v>0</v>
      </c>
      <c r="AD3880" s="465">
        <v>0</v>
      </c>
      <c r="AE3880" s="476">
        <v>0</v>
      </c>
      <c r="AF3880" s="467">
        <v>0</v>
      </c>
      <c r="AG3880" s="468">
        <v>0</v>
      </c>
      <c r="AH3880" s="218">
        <v>0</v>
      </c>
      <c r="AI3880" s="470">
        <v>0</v>
      </c>
      <c r="AJ3880" s="471">
        <v>0</v>
      </c>
      <c r="AK3880" s="218">
        <v>0</v>
      </c>
      <c r="AL3880" s="470">
        <v>0</v>
      </c>
      <c r="AM3880" s="471">
        <v>0</v>
      </c>
      <c r="AN3880" s="477">
        <v>0</v>
      </c>
      <c r="AO3880" s="473">
        <v>0</v>
      </c>
      <c r="AP3880" s="474">
        <v>0</v>
      </c>
      <c r="AQ3880" s="352"/>
      <c r="AR3880" s="352"/>
      <c r="AS3880" s="352"/>
      <c r="AT3880" s="352"/>
      <c r="AU3880" s="352"/>
      <c r="AV3880" s="352"/>
      <c r="AW3880" s="352" t="s">
        <v>254</v>
      </c>
    </row>
    <row r="3881" spans="2:49" x14ac:dyDescent="0.2">
      <c r="B3881" s="460" t="s">
        <v>3509</v>
      </c>
      <c r="C3881" s="460">
        <v>7000</v>
      </c>
      <c r="D3881" s="460" t="s">
        <v>2340</v>
      </c>
      <c r="E3881" s="460" t="s">
        <v>2330</v>
      </c>
      <c r="F3881" s="460">
        <v>3</v>
      </c>
      <c r="G3881" s="460">
        <v>3</v>
      </c>
      <c r="H3881" s="461" t="s">
        <v>746</v>
      </c>
      <c r="I3881" s="461" t="s">
        <v>762</v>
      </c>
      <c r="J3881" s="461" t="s">
        <v>700</v>
      </c>
      <c r="K3881" s="594"/>
      <c r="L3881" s="594"/>
      <c r="M3881" s="352">
        <v>7000</v>
      </c>
      <c r="N3881" s="352" t="s">
        <v>1891</v>
      </c>
      <c r="O3881" s="460">
        <v>5311</v>
      </c>
      <c r="P3881" s="460" t="s">
        <v>788</v>
      </c>
      <c r="Q3881" s="460" t="s">
        <v>2553</v>
      </c>
      <c r="R3881" s="460">
        <v>5311</v>
      </c>
      <c r="S3881" s="460" t="s">
        <v>2324</v>
      </c>
      <c r="T3881" s="462">
        <v>1</v>
      </c>
      <c r="U3881" s="460" t="s">
        <v>2330</v>
      </c>
      <c r="V3881" s="475">
        <v>0</v>
      </c>
      <c r="W3881" s="463" t="s">
        <v>2268</v>
      </c>
      <c r="X3881" s="463" t="s">
        <v>2268</v>
      </c>
      <c r="Y3881" s="463" t="s">
        <v>2554</v>
      </c>
      <c r="Z3881" s="463"/>
      <c r="AA3881" s="463"/>
      <c r="AB3881" s="464">
        <v>0</v>
      </c>
      <c r="AC3881" s="465">
        <v>0</v>
      </c>
      <c r="AD3881" s="465">
        <v>0</v>
      </c>
      <c r="AE3881" s="476">
        <v>0</v>
      </c>
      <c r="AF3881" s="467">
        <v>0</v>
      </c>
      <c r="AG3881" s="468">
        <v>0</v>
      </c>
      <c r="AH3881" s="218">
        <v>0</v>
      </c>
      <c r="AI3881" s="470">
        <v>0</v>
      </c>
      <c r="AJ3881" s="471">
        <v>0</v>
      </c>
      <c r="AK3881" s="218">
        <v>0</v>
      </c>
      <c r="AL3881" s="470">
        <v>0</v>
      </c>
      <c r="AM3881" s="471">
        <v>0</v>
      </c>
      <c r="AN3881" s="477">
        <v>0</v>
      </c>
      <c r="AO3881" s="473">
        <v>0</v>
      </c>
      <c r="AP3881" s="474">
        <v>0</v>
      </c>
      <c r="AQ3881" s="352"/>
      <c r="AR3881" s="352"/>
      <c r="AS3881" s="352"/>
      <c r="AT3881" s="352"/>
      <c r="AU3881" s="352"/>
      <c r="AV3881" s="352"/>
      <c r="AW3881" s="352" t="s">
        <v>254</v>
      </c>
    </row>
    <row r="3882" spans="2:49" x14ac:dyDescent="0.2">
      <c r="B3882" s="460" t="s">
        <v>3510</v>
      </c>
      <c r="C3882" s="460">
        <v>7000</v>
      </c>
      <c r="D3882" s="460" t="s">
        <v>2341</v>
      </c>
      <c r="E3882" s="460" t="s">
        <v>2333</v>
      </c>
      <c r="F3882" s="460">
        <v>4</v>
      </c>
      <c r="G3882" s="460">
        <v>3</v>
      </c>
      <c r="H3882" s="461" t="s">
        <v>746</v>
      </c>
      <c r="I3882" s="461" t="s">
        <v>762</v>
      </c>
      <c r="J3882" s="461" t="s">
        <v>700</v>
      </c>
      <c r="K3882" s="594"/>
      <c r="L3882" s="594"/>
      <c r="M3882" s="352">
        <v>7000</v>
      </c>
      <c r="N3882" s="352" t="s">
        <v>1891</v>
      </c>
      <c r="O3882" s="460">
        <v>5311</v>
      </c>
      <c r="P3882" s="460" t="s">
        <v>788</v>
      </c>
      <c r="Q3882" s="460" t="s">
        <v>2553</v>
      </c>
      <c r="R3882" s="460">
        <v>5311</v>
      </c>
      <c r="S3882" s="460" t="s">
        <v>2333</v>
      </c>
      <c r="T3882" s="462">
        <v>1</v>
      </c>
      <c r="U3882" s="460" t="s">
        <v>2333</v>
      </c>
      <c r="V3882" s="475">
        <v>0</v>
      </c>
      <c r="W3882" s="463" t="s">
        <v>2268</v>
      </c>
      <c r="X3882" s="463" t="s">
        <v>2268</v>
      </c>
      <c r="Y3882" s="463" t="s">
        <v>2554</v>
      </c>
      <c r="Z3882" s="463"/>
      <c r="AA3882" s="463"/>
      <c r="AB3882" s="464">
        <v>0</v>
      </c>
      <c r="AC3882" s="465">
        <v>0</v>
      </c>
      <c r="AD3882" s="465">
        <v>0</v>
      </c>
      <c r="AE3882" s="476">
        <v>0</v>
      </c>
      <c r="AF3882" s="467">
        <v>0</v>
      </c>
      <c r="AG3882" s="468">
        <v>0</v>
      </c>
      <c r="AH3882" s="218">
        <v>0</v>
      </c>
      <c r="AI3882" s="470">
        <v>0</v>
      </c>
      <c r="AJ3882" s="471">
        <v>0</v>
      </c>
      <c r="AK3882" s="218">
        <v>0</v>
      </c>
      <c r="AL3882" s="470">
        <v>0</v>
      </c>
      <c r="AM3882" s="471">
        <v>0</v>
      </c>
      <c r="AN3882" s="477">
        <v>0</v>
      </c>
      <c r="AO3882" s="473">
        <v>0</v>
      </c>
      <c r="AP3882" s="474">
        <v>0</v>
      </c>
      <c r="AQ3882" s="352"/>
      <c r="AR3882" s="352"/>
      <c r="AS3882" s="352"/>
      <c r="AT3882" s="352"/>
      <c r="AU3882" s="352"/>
      <c r="AV3882" s="352"/>
      <c r="AW3882" s="352" t="s">
        <v>254</v>
      </c>
    </row>
    <row r="3883" spans="2:49" x14ac:dyDescent="0.2">
      <c r="B3883" s="460" t="s">
        <v>3507</v>
      </c>
      <c r="C3883" s="460">
        <v>7000</v>
      </c>
      <c r="D3883" s="460" t="s">
        <v>2342</v>
      </c>
      <c r="E3883" s="460" t="s">
        <v>2324</v>
      </c>
      <c r="F3883" s="460">
        <v>1</v>
      </c>
      <c r="G3883" s="460">
        <v>3</v>
      </c>
      <c r="H3883" s="461" t="s">
        <v>748</v>
      </c>
      <c r="I3883" s="461" t="s">
        <v>765</v>
      </c>
      <c r="J3883" s="461" t="s">
        <v>700</v>
      </c>
      <c r="K3883" s="594"/>
      <c r="L3883" s="594"/>
      <c r="M3883" s="352">
        <v>7000</v>
      </c>
      <c r="N3883" s="352" t="s">
        <v>1891</v>
      </c>
      <c r="O3883" s="460">
        <v>5311</v>
      </c>
      <c r="P3883" s="460" t="s">
        <v>788</v>
      </c>
      <c r="Q3883" s="460" t="s">
        <v>2553</v>
      </c>
      <c r="R3883" s="460">
        <v>5311</v>
      </c>
      <c r="S3883" s="460" t="s">
        <v>2324</v>
      </c>
      <c r="T3883" s="462">
        <v>1</v>
      </c>
      <c r="U3883" s="460" t="s">
        <v>2324</v>
      </c>
      <c r="V3883" s="475">
        <v>0</v>
      </c>
      <c r="W3883" s="463" t="s">
        <v>2268</v>
      </c>
      <c r="X3883" s="463" t="s">
        <v>2268</v>
      </c>
      <c r="Y3883" s="463" t="s">
        <v>2554</v>
      </c>
      <c r="Z3883" s="463"/>
      <c r="AA3883" s="463"/>
      <c r="AB3883" s="464">
        <v>0</v>
      </c>
      <c r="AC3883" s="465">
        <v>0</v>
      </c>
      <c r="AD3883" s="465">
        <v>0</v>
      </c>
      <c r="AE3883" s="476">
        <v>0</v>
      </c>
      <c r="AF3883" s="467">
        <v>0</v>
      </c>
      <c r="AG3883" s="468">
        <v>0</v>
      </c>
      <c r="AH3883" s="218">
        <v>0</v>
      </c>
      <c r="AI3883" s="470">
        <v>0</v>
      </c>
      <c r="AJ3883" s="471">
        <v>0</v>
      </c>
      <c r="AK3883" s="218">
        <v>0</v>
      </c>
      <c r="AL3883" s="470">
        <v>0</v>
      </c>
      <c r="AM3883" s="471">
        <v>0</v>
      </c>
      <c r="AN3883" s="477">
        <v>0</v>
      </c>
      <c r="AO3883" s="473">
        <v>0</v>
      </c>
      <c r="AP3883" s="474">
        <v>0</v>
      </c>
      <c r="AQ3883" s="352"/>
      <c r="AR3883" s="352"/>
      <c r="AS3883" s="352"/>
      <c r="AT3883" s="352"/>
      <c r="AU3883" s="352"/>
      <c r="AV3883" s="352"/>
      <c r="AW3883" s="352" t="s">
        <v>254</v>
      </c>
    </row>
    <row r="3884" spans="2:49" x14ac:dyDescent="0.2">
      <c r="B3884" s="460" t="s">
        <v>3508</v>
      </c>
      <c r="C3884" s="460">
        <v>7000</v>
      </c>
      <c r="D3884" s="460" t="s">
        <v>2343</v>
      </c>
      <c r="E3884" s="460" t="s">
        <v>2327</v>
      </c>
      <c r="F3884" s="460">
        <v>2</v>
      </c>
      <c r="G3884" s="460">
        <v>3</v>
      </c>
      <c r="H3884" s="461" t="s">
        <v>748</v>
      </c>
      <c r="I3884" s="461" t="s">
        <v>765</v>
      </c>
      <c r="J3884" s="461" t="s">
        <v>700</v>
      </c>
      <c r="K3884" s="594"/>
      <c r="L3884" s="594"/>
      <c r="M3884" s="352">
        <v>7000</v>
      </c>
      <c r="N3884" s="352" t="s">
        <v>1891</v>
      </c>
      <c r="O3884" s="460">
        <v>5311</v>
      </c>
      <c r="P3884" s="460" t="s">
        <v>788</v>
      </c>
      <c r="Q3884" s="460" t="s">
        <v>2553</v>
      </c>
      <c r="R3884" s="460">
        <v>5311</v>
      </c>
      <c r="S3884" s="460" t="s">
        <v>2324</v>
      </c>
      <c r="T3884" s="462">
        <v>1</v>
      </c>
      <c r="U3884" s="460" t="s">
        <v>2327</v>
      </c>
      <c r="V3884" s="475">
        <v>0</v>
      </c>
      <c r="W3884" s="463" t="s">
        <v>2268</v>
      </c>
      <c r="X3884" s="463" t="s">
        <v>2268</v>
      </c>
      <c r="Y3884" s="463" t="s">
        <v>2554</v>
      </c>
      <c r="Z3884" s="463"/>
      <c r="AA3884" s="463"/>
      <c r="AB3884" s="464">
        <v>0</v>
      </c>
      <c r="AC3884" s="465">
        <v>0</v>
      </c>
      <c r="AD3884" s="465">
        <v>0</v>
      </c>
      <c r="AE3884" s="476">
        <v>0</v>
      </c>
      <c r="AF3884" s="467">
        <v>0</v>
      </c>
      <c r="AG3884" s="468">
        <v>0</v>
      </c>
      <c r="AH3884" s="218">
        <v>0</v>
      </c>
      <c r="AI3884" s="470">
        <v>0</v>
      </c>
      <c r="AJ3884" s="471">
        <v>0</v>
      </c>
      <c r="AK3884" s="218">
        <v>0</v>
      </c>
      <c r="AL3884" s="470">
        <v>0</v>
      </c>
      <c r="AM3884" s="471">
        <v>0</v>
      </c>
      <c r="AN3884" s="477">
        <v>0</v>
      </c>
      <c r="AO3884" s="473">
        <v>0</v>
      </c>
      <c r="AP3884" s="474">
        <v>0</v>
      </c>
      <c r="AQ3884" s="352"/>
      <c r="AR3884" s="352"/>
      <c r="AS3884" s="352"/>
      <c r="AT3884" s="352"/>
      <c r="AU3884" s="352"/>
      <c r="AV3884" s="352"/>
      <c r="AW3884" s="352" t="s">
        <v>254</v>
      </c>
    </row>
    <row r="3885" spans="2:49" x14ac:dyDescent="0.2">
      <c r="B3885" s="460" t="s">
        <v>3509</v>
      </c>
      <c r="C3885" s="460">
        <v>7000</v>
      </c>
      <c r="D3885" s="460" t="s">
        <v>2344</v>
      </c>
      <c r="E3885" s="460" t="s">
        <v>2330</v>
      </c>
      <c r="F3885" s="460">
        <v>3</v>
      </c>
      <c r="G3885" s="460">
        <v>3</v>
      </c>
      <c r="H3885" s="461" t="s">
        <v>748</v>
      </c>
      <c r="I3885" s="461" t="s">
        <v>765</v>
      </c>
      <c r="J3885" s="461" t="s">
        <v>700</v>
      </c>
      <c r="K3885" s="594"/>
      <c r="L3885" s="594"/>
      <c r="M3885" s="352">
        <v>7000</v>
      </c>
      <c r="N3885" s="352" t="s">
        <v>1891</v>
      </c>
      <c r="O3885" s="460">
        <v>5311</v>
      </c>
      <c r="P3885" s="460" t="s">
        <v>788</v>
      </c>
      <c r="Q3885" s="460" t="s">
        <v>2553</v>
      </c>
      <c r="R3885" s="460">
        <v>5311</v>
      </c>
      <c r="S3885" s="460" t="s">
        <v>2324</v>
      </c>
      <c r="T3885" s="462">
        <v>1</v>
      </c>
      <c r="U3885" s="460" t="s">
        <v>2330</v>
      </c>
      <c r="V3885" s="475">
        <v>0</v>
      </c>
      <c r="W3885" s="463" t="s">
        <v>2268</v>
      </c>
      <c r="X3885" s="463" t="s">
        <v>2268</v>
      </c>
      <c r="Y3885" s="463" t="s">
        <v>2554</v>
      </c>
      <c r="Z3885" s="463"/>
      <c r="AA3885" s="463"/>
      <c r="AB3885" s="464">
        <v>0</v>
      </c>
      <c r="AC3885" s="465">
        <v>0</v>
      </c>
      <c r="AD3885" s="465">
        <v>0</v>
      </c>
      <c r="AE3885" s="476">
        <v>0</v>
      </c>
      <c r="AF3885" s="467">
        <v>0</v>
      </c>
      <c r="AG3885" s="468">
        <v>0</v>
      </c>
      <c r="AH3885" s="218">
        <v>0</v>
      </c>
      <c r="AI3885" s="470">
        <v>0</v>
      </c>
      <c r="AJ3885" s="471">
        <v>0</v>
      </c>
      <c r="AK3885" s="218">
        <v>0</v>
      </c>
      <c r="AL3885" s="470">
        <v>0</v>
      </c>
      <c r="AM3885" s="471">
        <v>0</v>
      </c>
      <c r="AN3885" s="477">
        <v>0</v>
      </c>
      <c r="AO3885" s="473">
        <v>0</v>
      </c>
      <c r="AP3885" s="474">
        <v>0</v>
      </c>
      <c r="AQ3885" s="352"/>
      <c r="AR3885" s="352"/>
      <c r="AS3885" s="352"/>
      <c r="AT3885" s="352"/>
      <c r="AU3885" s="352"/>
      <c r="AV3885" s="352"/>
      <c r="AW3885" s="352" t="s">
        <v>254</v>
      </c>
    </row>
    <row r="3886" spans="2:49" x14ac:dyDescent="0.2">
      <c r="B3886" s="460" t="s">
        <v>3510</v>
      </c>
      <c r="C3886" s="460">
        <v>7000</v>
      </c>
      <c r="D3886" s="460" t="s">
        <v>2345</v>
      </c>
      <c r="E3886" s="460" t="s">
        <v>2333</v>
      </c>
      <c r="F3886" s="460">
        <v>4</v>
      </c>
      <c r="G3886" s="460">
        <v>3</v>
      </c>
      <c r="H3886" s="461" t="s">
        <v>748</v>
      </c>
      <c r="I3886" s="461" t="s">
        <v>765</v>
      </c>
      <c r="J3886" s="461" t="s">
        <v>700</v>
      </c>
      <c r="K3886" s="594"/>
      <c r="L3886" s="594"/>
      <c r="M3886" s="352">
        <v>7000</v>
      </c>
      <c r="N3886" s="352" t="s">
        <v>1891</v>
      </c>
      <c r="O3886" s="460">
        <v>5311</v>
      </c>
      <c r="P3886" s="460" t="s">
        <v>788</v>
      </c>
      <c r="Q3886" s="460" t="s">
        <v>2553</v>
      </c>
      <c r="R3886" s="460">
        <v>5311</v>
      </c>
      <c r="S3886" s="460" t="s">
        <v>2333</v>
      </c>
      <c r="T3886" s="462">
        <v>1</v>
      </c>
      <c r="U3886" s="460" t="s">
        <v>2333</v>
      </c>
      <c r="V3886" s="475">
        <v>0</v>
      </c>
      <c r="W3886" s="463" t="s">
        <v>2268</v>
      </c>
      <c r="X3886" s="463" t="s">
        <v>2268</v>
      </c>
      <c r="Y3886" s="463" t="s">
        <v>2554</v>
      </c>
      <c r="Z3886" s="463"/>
      <c r="AA3886" s="463"/>
      <c r="AB3886" s="464">
        <v>0</v>
      </c>
      <c r="AC3886" s="465">
        <v>0</v>
      </c>
      <c r="AD3886" s="465">
        <v>0</v>
      </c>
      <c r="AE3886" s="476">
        <v>0</v>
      </c>
      <c r="AF3886" s="467">
        <v>0</v>
      </c>
      <c r="AG3886" s="468">
        <v>0</v>
      </c>
      <c r="AH3886" s="218">
        <v>0</v>
      </c>
      <c r="AI3886" s="470">
        <v>0</v>
      </c>
      <c r="AJ3886" s="471">
        <v>0</v>
      </c>
      <c r="AK3886" s="218">
        <v>0</v>
      </c>
      <c r="AL3886" s="470">
        <v>0</v>
      </c>
      <c r="AM3886" s="471">
        <v>0</v>
      </c>
      <c r="AN3886" s="477">
        <v>0</v>
      </c>
      <c r="AO3886" s="473">
        <v>0</v>
      </c>
      <c r="AP3886" s="474">
        <v>0</v>
      </c>
      <c r="AQ3886" s="352"/>
      <c r="AR3886" s="352"/>
      <c r="AS3886" s="352"/>
      <c r="AT3886" s="352"/>
      <c r="AU3886" s="352"/>
      <c r="AV3886" s="352"/>
      <c r="AW3886" s="352" t="s">
        <v>254</v>
      </c>
    </row>
    <row r="3887" spans="2:49" x14ac:dyDescent="0.2">
      <c r="B3887" s="460" t="s">
        <v>3507</v>
      </c>
      <c r="C3887" s="460">
        <v>7000</v>
      </c>
      <c r="D3887" s="460" t="s">
        <v>3462</v>
      </c>
      <c r="E3887" s="460" t="s">
        <v>2324</v>
      </c>
      <c r="F3887" s="460">
        <v>1</v>
      </c>
      <c r="G3887" s="460">
        <v>3</v>
      </c>
      <c r="H3887" s="461" t="s">
        <v>754</v>
      </c>
      <c r="I3887" s="461" t="s">
        <v>1991</v>
      </c>
      <c r="J3887" s="461" t="s">
        <v>754</v>
      </c>
      <c r="K3887" s="594"/>
      <c r="L3887" s="594"/>
      <c r="M3887" s="352">
        <v>7000</v>
      </c>
      <c r="N3887" s="352" t="s">
        <v>1891</v>
      </c>
      <c r="O3887" s="460">
        <v>5311</v>
      </c>
      <c r="P3887" s="460" t="s">
        <v>788</v>
      </c>
      <c r="Q3887" s="460" t="s">
        <v>2377</v>
      </c>
      <c r="R3887" s="460">
        <v>5311</v>
      </c>
      <c r="S3887" s="460" t="s">
        <v>2324</v>
      </c>
      <c r="T3887" s="462">
        <v>1</v>
      </c>
      <c r="U3887" s="460" t="s">
        <v>2324</v>
      </c>
      <c r="V3887" s="475">
        <v>0</v>
      </c>
      <c r="W3887" s="463" t="s">
        <v>2278</v>
      </c>
      <c r="X3887" s="463" t="s">
        <v>2278</v>
      </c>
      <c r="Y3887" s="463" t="s">
        <v>2278</v>
      </c>
      <c r="Z3887" s="463"/>
      <c r="AA3887" s="463"/>
      <c r="AB3887" s="464">
        <v>169.50954746638354</v>
      </c>
      <c r="AC3887" s="465">
        <v>1.1286674710372514E-2</v>
      </c>
      <c r="AD3887" s="465">
        <v>0.24235400433238974</v>
      </c>
      <c r="AE3887" s="476">
        <v>169.50954746638354</v>
      </c>
      <c r="AF3887" s="467">
        <v>1.1286674710372514E-2</v>
      </c>
      <c r="AG3887" s="468">
        <v>0.24235400433238974</v>
      </c>
      <c r="AH3887" s="218">
        <v>169.50954746638354</v>
      </c>
      <c r="AI3887" s="470">
        <v>1.1286674710372514E-2</v>
      </c>
      <c r="AJ3887" s="471">
        <v>0.24235400433238974</v>
      </c>
      <c r="AK3887" s="218">
        <v>169.50954746638354</v>
      </c>
      <c r="AL3887" s="470">
        <v>1.1286674710372514E-2</v>
      </c>
      <c r="AM3887" s="471">
        <v>0.24235400433238974</v>
      </c>
      <c r="AN3887" s="477">
        <v>169.50954746638354</v>
      </c>
      <c r="AO3887" s="473">
        <v>1.1286674710372514E-2</v>
      </c>
      <c r="AP3887" s="474">
        <v>0.24235400433238974</v>
      </c>
      <c r="AQ3887" s="352"/>
      <c r="AR3887" s="352"/>
      <c r="AS3887" s="352"/>
      <c r="AT3887" s="352"/>
      <c r="AU3887" s="352"/>
      <c r="AV3887" s="352"/>
      <c r="AW3887" s="352" t="s">
        <v>127</v>
      </c>
    </row>
    <row r="3888" spans="2:49" x14ac:dyDescent="0.2">
      <c r="B3888" s="460" t="s">
        <v>3508</v>
      </c>
      <c r="C3888" s="460">
        <v>7000</v>
      </c>
      <c r="D3888" s="460" t="s">
        <v>3463</v>
      </c>
      <c r="E3888" s="460" t="s">
        <v>2327</v>
      </c>
      <c r="F3888" s="460">
        <v>2</v>
      </c>
      <c r="G3888" s="460">
        <v>3</v>
      </c>
      <c r="H3888" s="461" t="s">
        <v>754</v>
      </c>
      <c r="I3888" s="461" t="s">
        <v>1991</v>
      </c>
      <c r="J3888" s="461" t="s">
        <v>754</v>
      </c>
      <c r="K3888" s="594"/>
      <c r="L3888" s="594"/>
      <c r="M3888" s="352">
        <v>7000</v>
      </c>
      <c r="N3888" s="352" t="s">
        <v>1891</v>
      </c>
      <c r="O3888" s="460">
        <v>5311</v>
      </c>
      <c r="P3888" s="460" t="s">
        <v>788</v>
      </c>
      <c r="Q3888" s="460" t="s">
        <v>2377</v>
      </c>
      <c r="R3888" s="460">
        <v>5311</v>
      </c>
      <c r="S3888" s="460" t="s">
        <v>2324</v>
      </c>
      <c r="T3888" s="462">
        <v>1</v>
      </c>
      <c r="U3888" s="460" t="s">
        <v>2327</v>
      </c>
      <c r="V3888" s="475">
        <v>0</v>
      </c>
      <c r="W3888" s="463" t="s">
        <v>2278</v>
      </c>
      <c r="X3888" s="463" t="s">
        <v>2278</v>
      </c>
      <c r="Y3888" s="463" t="s">
        <v>2278</v>
      </c>
      <c r="Z3888" s="463"/>
      <c r="AA3888" s="463"/>
      <c r="AB3888" s="464">
        <v>0</v>
      </c>
      <c r="AC3888" s="465">
        <v>0</v>
      </c>
      <c r="AD3888" s="465">
        <v>0</v>
      </c>
      <c r="AE3888" s="476">
        <v>0</v>
      </c>
      <c r="AF3888" s="467">
        <v>0</v>
      </c>
      <c r="AG3888" s="468">
        <v>0</v>
      </c>
      <c r="AH3888" s="218">
        <v>0</v>
      </c>
      <c r="AI3888" s="470">
        <v>0</v>
      </c>
      <c r="AJ3888" s="471">
        <v>0</v>
      </c>
      <c r="AK3888" s="218">
        <v>0</v>
      </c>
      <c r="AL3888" s="470">
        <v>0</v>
      </c>
      <c r="AM3888" s="471">
        <v>0</v>
      </c>
      <c r="AN3888" s="477">
        <v>0</v>
      </c>
      <c r="AO3888" s="473">
        <v>0</v>
      </c>
      <c r="AP3888" s="474">
        <v>0</v>
      </c>
      <c r="AQ3888" s="352"/>
      <c r="AR3888" s="352"/>
      <c r="AS3888" s="352"/>
      <c r="AT3888" s="352"/>
      <c r="AU3888" s="352"/>
      <c r="AV3888" s="352"/>
      <c r="AW3888" s="352" t="s">
        <v>127</v>
      </c>
    </row>
    <row r="3889" spans="2:49" x14ac:dyDescent="0.2">
      <c r="B3889" s="460" t="s">
        <v>3509</v>
      </c>
      <c r="C3889" s="460">
        <v>7000</v>
      </c>
      <c r="D3889" s="460" t="s">
        <v>3464</v>
      </c>
      <c r="E3889" s="460" t="s">
        <v>2330</v>
      </c>
      <c r="F3889" s="460">
        <v>3</v>
      </c>
      <c r="G3889" s="460">
        <v>3</v>
      </c>
      <c r="H3889" s="461" t="s">
        <v>754</v>
      </c>
      <c r="I3889" s="461" t="s">
        <v>1991</v>
      </c>
      <c r="J3889" s="461" t="s">
        <v>754</v>
      </c>
      <c r="K3889" s="594"/>
      <c r="L3889" s="594"/>
      <c r="M3889" s="352">
        <v>7000</v>
      </c>
      <c r="N3889" s="352" t="s">
        <v>1891</v>
      </c>
      <c r="O3889" s="460">
        <v>5311</v>
      </c>
      <c r="P3889" s="460" t="s">
        <v>788</v>
      </c>
      <c r="Q3889" s="460" t="s">
        <v>2377</v>
      </c>
      <c r="R3889" s="460">
        <v>5311</v>
      </c>
      <c r="S3889" s="460" t="s">
        <v>2324</v>
      </c>
      <c r="T3889" s="462">
        <v>1</v>
      </c>
      <c r="U3889" s="460" t="s">
        <v>2330</v>
      </c>
      <c r="V3889" s="475">
        <v>0</v>
      </c>
      <c r="W3889" s="463" t="s">
        <v>2278</v>
      </c>
      <c r="X3889" s="463" t="s">
        <v>2278</v>
      </c>
      <c r="Y3889" s="463" t="s">
        <v>2278</v>
      </c>
      <c r="Z3889" s="463"/>
      <c r="AA3889" s="463"/>
      <c r="AB3889" s="464">
        <v>0</v>
      </c>
      <c r="AC3889" s="465">
        <v>0</v>
      </c>
      <c r="AD3889" s="465">
        <v>0</v>
      </c>
      <c r="AE3889" s="476">
        <v>0</v>
      </c>
      <c r="AF3889" s="467">
        <v>0</v>
      </c>
      <c r="AG3889" s="468">
        <v>0</v>
      </c>
      <c r="AH3889" s="218">
        <v>0</v>
      </c>
      <c r="AI3889" s="470">
        <v>0</v>
      </c>
      <c r="AJ3889" s="471">
        <v>0</v>
      </c>
      <c r="AK3889" s="218">
        <v>0</v>
      </c>
      <c r="AL3889" s="470">
        <v>0</v>
      </c>
      <c r="AM3889" s="471">
        <v>0</v>
      </c>
      <c r="AN3889" s="477">
        <v>0</v>
      </c>
      <c r="AO3889" s="473">
        <v>0</v>
      </c>
      <c r="AP3889" s="474">
        <v>0</v>
      </c>
      <c r="AQ3889" s="352"/>
      <c r="AR3889" s="352"/>
      <c r="AS3889" s="352"/>
      <c r="AT3889" s="352"/>
      <c r="AU3889" s="352"/>
      <c r="AV3889" s="352"/>
      <c r="AW3889" s="352" t="s">
        <v>127</v>
      </c>
    </row>
    <row r="3890" spans="2:49" x14ac:dyDescent="0.2">
      <c r="B3890" s="460" t="s">
        <v>3510</v>
      </c>
      <c r="C3890" s="460">
        <v>7000</v>
      </c>
      <c r="D3890" s="460" t="s">
        <v>3465</v>
      </c>
      <c r="E3890" s="460" t="s">
        <v>2333</v>
      </c>
      <c r="F3890" s="460">
        <v>4</v>
      </c>
      <c r="G3890" s="460">
        <v>3</v>
      </c>
      <c r="H3890" s="461" t="s">
        <v>754</v>
      </c>
      <c r="I3890" s="461" t="s">
        <v>1991</v>
      </c>
      <c r="J3890" s="461" t="s">
        <v>754</v>
      </c>
      <c r="K3890" s="594"/>
      <c r="L3890" s="594"/>
      <c r="M3890" s="352">
        <v>7000</v>
      </c>
      <c r="N3890" s="352" t="s">
        <v>1891</v>
      </c>
      <c r="O3890" s="460">
        <v>5311</v>
      </c>
      <c r="P3890" s="460" t="s">
        <v>788</v>
      </c>
      <c r="Q3890" s="460" t="s">
        <v>2377</v>
      </c>
      <c r="R3890" s="460">
        <v>5311</v>
      </c>
      <c r="S3890" s="460" t="s">
        <v>2333</v>
      </c>
      <c r="T3890" s="462">
        <v>1</v>
      </c>
      <c r="U3890" s="460" t="s">
        <v>2333</v>
      </c>
      <c r="V3890" s="475">
        <v>0</v>
      </c>
      <c r="W3890" s="463" t="s">
        <v>2278</v>
      </c>
      <c r="X3890" s="463" t="s">
        <v>2278</v>
      </c>
      <c r="Y3890" s="463" t="s">
        <v>2278</v>
      </c>
      <c r="Z3890" s="463"/>
      <c r="AA3890" s="463"/>
      <c r="AB3890" s="464">
        <v>0</v>
      </c>
      <c r="AC3890" s="465">
        <v>0</v>
      </c>
      <c r="AD3890" s="465">
        <v>0</v>
      </c>
      <c r="AE3890" s="476">
        <v>0</v>
      </c>
      <c r="AF3890" s="467">
        <v>0</v>
      </c>
      <c r="AG3890" s="468">
        <v>0</v>
      </c>
      <c r="AH3890" s="218">
        <v>0</v>
      </c>
      <c r="AI3890" s="470">
        <v>0</v>
      </c>
      <c r="AJ3890" s="471">
        <v>0</v>
      </c>
      <c r="AK3890" s="218">
        <v>0</v>
      </c>
      <c r="AL3890" s="470">
        <v>0</v>
      </c>
      <c r="AM3890" s="471">
        <v>0</v>
      </c>
      <c r="AN3890" s="477">
        <v>0</v>
      </c>
      <c r="AO3890" s="473">
        <v>0</v>
      </c>
      <c r="AP3890" s="474">
        <v>0</v>
      </c>
      <c r="AQ3890" s="352"/>
      <c r="AR3890" s="352"/>
      <c r="AS3890" s="352"/>
      <c r="AT3890" s="352"/>
      <c r="AU3890" s="352"/>
      <c r="AV3890" s="352"/>
      <c r="AW3890" s="352" t="s">
        <v>127</v>
      </c>
    </row>
    <row r="3891" spans="2:49" x14ac:dyDescent="0.2">
      <c r="B3891" s="460" t="s">
        <v>3511</v>
      </c>
      <c r="C3891" s="460">
        <v>7000</v>
      </c>
      <c r="D3891" s="460" t="s">
        <v>2351</v>
      </c>
      <c r="E3891" s="460" t="s">
        <v>1136</v>
      </c>
      <c r="F3891" s="460">
        <v>1</v>
      </c>
      <c r="G3891" s="460">
        <v>4</v>
      </c>
      <c r="H3891" s="461" t="s">
        <v>700</v>
      </c>
      <c r="I3891" s="461" t="s">
        <v>872</v>
      </c>
      <c r="J3891" s="461" t="s">
        <v>700</v>
      </c>
      <c r="K3891" s="594"/>
      <c r="L3891" s="594"/>
      <c r="M3891" s="352">
        <v>7000</v>
      </c>
      <c r="N3891" s="352" t="s">
        <v>1891</v>
      </c>
      <c r="O3891" s="460">
        <v>5311</v>
      </c>
      <c r="P3891" s="460" t="s">
        <v>788</v>
      </c>
      <c r="Q3891" s="460" t="s">
        <v>2553</v>
      </c>
      <c r="R3891" s="460">
        <v>5311</v>
      </c>
      <c r="S3891" s="460" t="s">
        <v>1136</v>
      </c>
      <c r="T3891" s="462">
        <v>1</v>
      </c>
      <c r="U3891" s="460" t="s">
        <v>1136</v>
      </c>
      <c r="V3891" s="475">
        <v>0</v>
      </c>
      <c r="W3891" s="463" t="s">
        <v>2554</v>
      </c>
      <c r="X3891" s="463" t="s">
        <v>2554</v>
      </c>
      <c r="Y3891" s="463" t="s">
        <v>2268</v>
      </c>
      <c r="Z3891" s="463"/>
      <c r="AA3891" s="463"/>
      <c r="AB3891" s="464">
        <v>0</v>
      </c>
      <c r="AC3891" s="465">
        <v>0</v>
      </c>
      <c r="AD3891" s="465">
        <v>0</v>
      </c>
      <c r="AE3891" s="476">
        <v>0</v>
      </c>
      <c r="AF3891" s="467">
        <v>0</v>
      </c>
      <c r="AG3891" s="468">
        <v>0</v>
      </c>
      <c r="AH3891" s="218">
        <v>0</v>
      </c>
      <c r="AI3891" s="470">
        <v>0</v>
      </c>
      <c r="AJ3891" s="471">
        <v>0</v>
      </c>
      <c r="AK3891" s="218">
        <v>0</v>
      </c>
      <c r="AL3891" s="470">
        <v>0</v>
      </c>
      <c r="AM3891" s="471">
        <v>0</v>
      </c>
      <c r="AN3891" s="477">
        <v>0</v>
      </c>
      <c r="AO3891" s="473">
        <v>0</v>
      </c>
      <c r="AP3891" s="474">
        <v>0</v>
      </c>
      <c r="AQ3891" s="352"/>
      <c r="AR3891" s="352"/>
      <c r="AS3891" s="352"/>
      <c r="AT3891" s="352"/>
      <c r="AU3891" s="352"/>
      <c r="AV3891" s="352"/>
      <c r="AW3891" s="352" t="s">
        <v>254</v>
      </c>
    </row>
    <row r="3892" spans="2:49" x14ac:dyDescent="0.2">
      <c r="B3892" s="460" t="s">
        <v>3512</v>
      </c>
      <c r="C3892" s="460">
        <v>7000</v>
      </c>
      <c r="D3892" s="460" t="s">
        <v>2353</v>
      </c>
      <c r="E3892" s="460" t="s">
        <v>1137</v>
      </c>
      <c r="F3892" s="460">
        <v>2</v>
      </c>
      <c r="G3892" s="460">
        <v>4</v>
      </c>
      <c r="H3892" s="461" t="s">
        <v>700</v>
      </c>
      <c r="I3892" s="461" t="s">
        <v>872</v>
      </c>
      <c r="J3892" s="461" t="s">
        <v>700</v>
      </c>
      <c r="K3892" s="594"/>
      <c r="L3892" s="594"/>
      <c r="M3892" s="352">
        <v>7000</v>
      </c>
      <c r="N3892" s="352" t="s">
        <v>1891</v>
      </c>
      <c r="O3892" s="460">
        <v>5311</v>
      </c>
      <c r="P3892" s="460" t="s">
        <v>788</v>
      </c>
      <c r="Q3892" s="460" t="s">
        <v>2553</v>
      </c>
      <c r="R3892" s="460">
        <v>5311</v>
      </c>
      <c r="S3892" s="460" t="s">
        <v>1137</v>
      </c>
      <c r="T3892" s="462">
        <v>1</v>
      </c>
      <c r="U3892" s="460" t="s">
        <v>1137</v>
      </c>
      <c r="V3892" s="475">
        <v>0</v>
      </c>
      <c r="W3892" s="463" t="s">
        <v>2554</v>
      </c>
      <c r="X3892" s="463" t="s">
        <v>2554</v>
      </c>
      <c r="Y3892" s="463" t="s">
        <v>2268</v>
      </c>
      <c r="Z3892" s="463"/>
      <c r="AA3892" s="463"/>
      <c r="AB3892" s="464">
        <v>0</v>
      </c>
      <c r="AC3892" s="465">
        <v>0</v>
      </c>
      <c r="AD3892" s="465">
        <v>0</v>
      </c>
      <c r="AE3892" s="476">
        <v>0</v>
      </c>
      <c r="AF3892" s="467">
        <v>0</v>
      </c>
      <c r="AG3892" s="468">
        <v>0</v>
      </c>
      <c r="AH3892" s="218">
        <v>0</v>
      </c>
      <c r="AI3892" s="470">
        <v>0</v>
      </c>
      <c r="AJ3892" s="471">
        <v>0</v>
      </c>
      <c r="AK3892" s="218">
        <v>0</v>
      </c>
      <c r="AL3892" s="470">
        <v>0</v>
      </c>
      <c r="AM3892" s="471">
        <v>0</v>
      </c>
      <c r="AN3892" s="477">
        <v>0</v>
      </c>
      <c r="AO3892" s="473">
        <v>0</v>
      </c>
      <c r="AP3892" s="474">
        <v>0</v>
      </c>
      <c r="AQ3892" s="352"/>
      <c r="AR3892" s="352"/>
      <c r="AS3892" s="352"/>
      <c r="AT3892" s="352"/>
      <c r="AU3892" s="352"/>
      <c r="AV3892" s="352"/>
      <c r="AW3892" s="352" t="s">
        <v>254</v>
      </c>
    </row>
    <row r="3893" spans="2:49" x14ac:dyDescent="0.2">
      <c r="B3893" s="460" t="s">
        <v>3513</v>
      </c>
      <c r="C3893" s="460">
        <v>7000</v>
      </c>
      <c r="D3893" s="460" t="s">
        <v>2355</v>
      </c>
      <c r="E3893" s="460" t="s">
        <v>1138</v>
      </c>
      <c r="F3893" s="460">
        <v>3</v>
      </c>
      <c r="G3893" s="460">
        <v>4</v>
      </c>
      <c r="H3893" s="461" t="s">
        <v>700</v>
      </c>
      <c r="I3893" s="461" t="s">
        <v>872</v>
      </c>
      <c r="J3893" s="461" t="s">
        <v>700</v>
      </c>
      <c r="K3893" s="594"/>
      <c r="L3893" s="594"/>
      <c r="M3893" s="352">
        <v>7000</v>
      </c>
      <c r="N3893" s="352" t="s">
        <v>1891</v>
      </c>
      <c r="O3893" s="460">
        <v>5311</v>
      </c>
      <c r="P3893" s="460" t="s">
        <v>788</v>
      </c>
      <c r="Q3893" s="460" t="s">
        <v>2553</v>
      </c>
      <c r="R3893" s="460">
        <v>5311</v>
      </c>
      <c r="S3893" s="460" t="s">
        <v>1138</v>
      </c>
      <c r="T3893" s="462">
        <v>1</v>
      </c>
      <c r="U3893" s="460" t="s">
        <v>1138</v>
      </c>
      <c r="V3893" s="475">
        <v>0</v>
      </c>
      <c r="W3893" s="463" t="s">
        <v>2554</v>
      </c>
      <c r="X3893" s="463" t="s">
        <v>2554</v>
      </c>
      <c r="Y3893" s="463" t="s">
        <v>2268</v>
      </c>
      <c r="Z3893" s="463"/>
      <c r="AA3893" s="463"/>
      <c r="AB3893" s="464">
        <v>0</v>
      </c>
      <c r="AC3893" s="465">
        <v>0</v>
      </c>
      <c r="AD3893" s="465">
        <v>0</v>
      </c>
      <c r="AE3893" s="476">
        <v>0</v>
      </c>
      <c r="AF3893" s="467">
        <v>0</v>
      </c>
      <c r="AG3893" s="468">
        <v>0</v>
      </c>
      <c r="AH3893" s="218">
        <v>0</v>
      </c>
      <c r="AI3893" s="470">
        <v>0</v>
      </c>
      <c r="AJ3893" s="471">
        <v>0</v>
      </c>
      <c r="AK3893" s="218">
        <v>0</v>
      </c>
      <c r="AL3893" s="470">
        <v>0</v>
      </c>
      <c r="AM3893" s="471">
        <v>0</v>
      </c>
      <c r="AN3893" s="477">
        <v>0</v>
      </c>
      <c r="AO3893" s="473">
        <v>0</v>
      </c>
      <c r="AP3893" s="474">
        <v>0</v>
      </c>
      <c r="AQ3893" s="352"/>
      <c r="AR3893" s="352"/>
      <c r="AS3893" s="352"/>
      <c r="AT3893" s="352"/>
      <c r="AU3893" s="352"/>
      <c r="AV3893" s="352"/>
      <c r="AW3893" s="352" t="s">
        <v>254</v>
      </c>
    </row>
    <row r="3894" spans="2:49" x14ac:dyDescent="0.2">
      <c r="B3894" s="460" t="s">
        <v>3514</v>
      </c>
      <c r="C3894" s="460">
        <v>7000</v>
      </c>
      <c r="D3894" s="460" t="s">
        <v>2357</v>
      </c>
      <c r="E3894" s="460" t="s">
        <v>1139</v>
      </c>
      <c r="F3894" s="460">
        <v>4</v>
      </c>
      <c r="G3894" s="460">
        <v>4</v>
      </c>
      <c r="H3894" s="461" t="s">
        <v>700</v>
      </c>
      <c r="I3894" s="461" t="s">
        <v>872</v>
      </c>
      <c r="J3894" s="461" t="s">
        <v>700</v>
      </c>
      <c r="K3894" s="594"/>
      <c r="L3894" s="594"/>
      <c r="M3894" s="352">
        <v>7000</v>
      </c>
      <c r="N3894" s="352" t="s">
        <v>1891</v>
      </c>
      <c r="O3894" s="460">
        <v>5311</v>
      </c>
      <c r="P3894" s="460" t="s">
        <v>788</v>
      </c>
      <c r="Q3894" s="460" t="s">
        <v>2553</v>
      </c>
      <c r="R3894" s="460">
        <v>5311</v>
      </c>
      <c r="S3894" s="460" t="s">
        <v>1139</v>
      </c>
      <c r="T3894" s="462">
        <v>1</v>
      </c>
      <c r="U3894" s="460" t="s">
        <v>1139</v>
      </c>
      <c r="V3894" s="475">
        <v>0</v>
      </c>
      <c r="W3894" s="463" t="s">
        <v>2554</v>
      </c>
      <c r="X3894" s="463" t="s">
        <v>2554</v>
      </c>
      <c r="Y3894" s="463" t="s">
        <v>2268</v>
      </c>
      <c r="Z3894" s="463"/>
      <c r="AA3894" s="463"/>
      <c r="AB3894" s="464">
        <v>0</v>
      </c>
      <c r="AC3894" s="465">
        <v>0</v>
      </c>
      <c r="AD3894" s="465">
        <v>0</v>
      </c>
      <c r="AE3894" s="476">
        <v>0</v>
      </c>
      <c r="AF3894" s="467">
        <v>0</v>
      </c>
      <c r="AG3894" s="468">
        <v>0</v>
      </c>
      <c r="AH3894" s="218">
        <v>0</v>
      </c>
      <c r="AI3894" s="470">
        <v>0</v>
      </c>
      <c r="AJ3894" s="471">
        <v>0</v>
      </c>
      <c r="AK3894" s="218">
        <v>0</v>
      </c>
      <c r="AL3894" s="470">
        <v>0</v>
      </c>
      <c r="AM3894" s="471">
        <v>0</v>
      </c>
      <c r="AN3894" s="477">
        <v>0</v>
      </c>
      <c r="AO3894" s="473">
        <v>0</v>
      </c>
      <c r="AP3894" s="474">
        <v>0</v>
      </c>
      <c r="AQ3894" s="352"/>
      <c r="AR3894" s="352"/>
      <c r="AS3894" s="352"/>
      <c r="AT3894" s="352"/>
      <c r="AU3894" s="352"/>
      <c r="AV3894" s="352"/>
      <c r="AW3894" s="352" t="s">
        <v>254</v>
      </c>
    </row>
    <row r="3895" spans="2:49" x14ac:dyDescent="0.2">
      <c r="B3895" s="460" t="s">
        <v>3511</v>
      </c>
      <c r="C3895" s="460">
        <v>7000</v>
      </c>
      <c r="D3895" s="460" t="s">
        <v>2358</v>
      </c>
      <c r="E3895" s="460" t="s">
        <v>1136</v>
      </c>
      <c r="F3895" s="460">
        <v>1</v>
      </c>
      <c r="G3895" s="460">
        <v>4</v>
      </c>
      <c r="H3895" s="461" t="s">
        <v>712</v>
      </c>
      <c r="I3895" s="461" t="s">
        <v>713</v>
      </c>
      <c r="J3895" s="461" t="s">
        <v>712</v>
      </c>
      <c r="K3895" s="594"/>
      <c r="L3895" s="594"/>
      <c r="M3895" s="352">
        <v>7000</v>
      </c>
      <c r="N3895" s="352" t="s">
        <v>1891</v>
      </c>
      <c r="O3895" s="460">
        <v>5311</v>
      </c>
      <c r="P3895" s="460" t="s">
        <v>788</v>
      </c>
      <c r="Q3895" s="460" t="s">
        <v>2280</v>
      </c>
      <c r="R3895" s="460">
        <v>5311</v>
      </c>
      <c r="S3895" s="460" t="s">
        <v>1136</v>
      </c>
      <c r="T3895" s="462">
        <v>1</v>
      </c>
      <c r="U3895" s="460" t="s">
        <v>1136</v>
      </c>
      <c r="V3895" s="475">
        <v>0</v>
      </c>
      <c r="W3895" s="463" t="s">
        <v>713</v>
      </c>
      <c r="X3895" s="463" t="s">
        <v>713</v>
      </c>
      <c r="Y3895" s="463" t="s">
        <v>713</v>
      </c>
      <c r="Z3895" s="463"/>
      <c r="AA3895" s="463"/>
      <c r="AB3895" s="464">
        <v>43257.707879708149</v>
      </c>
      <c r="AC3895" s="465">
        <v>0.99209617551293428</v>
      </c>
      <c r="AD3895" s="465">
        <v>0.28508431791830541</v>
      </c>
      <c r="AE3895" s="476">
        <v>43257.707879708149</v>
      </c>
      <c r="AF3895" s="467">
        <v>0.99209617551293428</v>
      </c>
      <c r="AG3895" s="468">
        <v>0.28503144165972377</v>
      </c>
      <c r="AH3895" s="218">
        <v>43257.707879708149</v>
      </c>
      <c r="AI3895" s="470">
        <v>0.99209617551293428</v>
      </c>
      <c r="AJ3895" s="471">
        <v>0.28792827946543292</v>
      </c>
      <c r="AK3895" s="218">
        <v>43257.707879708149</v>
      </c>
      <c r="AL3895" s="470">
        <v>0.99209617551293428</v>
      </c>
      <c r="AM3895" s="471">
        <v>0.28792827946543292</v>
      </c>
      <c r="AN3895" s="477">
        <v>43257.707879708149</v>
      </c>
      <c r="AO3895" s="473">
        <v>0.99209617551293428</v>
      </c>
      <c r="AP3895" s="474">
        <v>0.28745977994749089</v>
      </c>
      <c r="AQ3895" s="352"/>
      <c r="AR3895" s="352"/>
      <c r="AS3895" s="352"/>
      <c r="AT3895" s="352"/>
      <c r="AU3895" s="352"/>
      <c r="AV3895" s="352"/>
      <c r="AW3895" s="352" t="s">
        <v>254</v>
      </c>
    </row>
    <row r="3896" spans="2:49" x14ac:dyDescent="0.2">
      <c r="B3896" s="460" t="s">
        <v>3512</v>
      </c>
      <c r="C3896" s="460">
        <v>7000</v>
      </c>
      <c r="D3896" s="460" t="s">
        <v>2359</v>
      </c>
      <c r="E3896" s="460" t="s">
        <v>1137</v>
      </c>
      <c r="F3896" s="460">
        <v>2</v>
      </c>
      <c r="G3896" s="460">
        <v>4</v>
      </c>
      <c r="H3896" s="461" t="s">
        <v>712</v>
      </c>
      <c r="I3896" s="461" t="s">
        <v>713</v>
      </c>
      <c r="J3896" s="461" t="s">
        <v>712</v>
      </c>
      <c r="K3896" s="594"/>
      <c r="L3896" s="594"/>
      <c r="M3896" s="352">
        <v>7000</v>
      </c>
      <c r="N3896" s="352" t="s">
        <v>1891</v>
      </c>
      <c r="O3896" s="460">
        <v>5311</v>
      </c>
      <c r="P3896" s="460" t="s">
        <v>788</v>
      </c>
      <c r="Q3896" s="460" t="s">
        <v>2280</v>
      </c>
      <c r="R3896" s="460">
        <v>5311</v>
      </c>
      <c r="S3896" s="460" t="s">
        <v>1137</v>
      </c>
      <c r="T3896" s="462">
        <v>1</v>
      </c>
      <c r="U3896" s="460" t="s">
        <v>1137</v>
      </c>
      <c r="V3896" s="475">
        <v>0</v>
      </c>
      <c r="W3896" s="463" t="s">
        <v>713</v>
      </c>
      <c r="X3896" s="463" t="s">
        <v>713</v>
      </c>
      <c r="Y3896" s="463" t="s">
        <v>713</v>
      </c>
      <c r="Z3896" s="463"/>
      <c r="AA3896" s="463"/>
      <c r="AB3896" s="464">
        <v>52723.066969287596</v>
      </c>
      <c r="AC3896" s="465">
        <v>0.99936638859460658</v>
      </c>
      <c r="AD3896" s="465">
        <v>0.30490476919254567</v>
      </c>
      <c r="AE3896" s="476">
        <v>52723.066969287596</v>
      </c>
      <c r="AF3896" s="467">
        <v>0.99936638859460658</v>
      </c>
      <c r="AG3896" s="468">
        <v>0.3043452947899481</v>
      </c>
      <c r="AH3896" s="218">
        <v>52723.066969287596</v>
      </c>
      <c r="AI3896" s="470">
        <v>0.99936638859460658</v>
      </c>
      <c r="AJ3896" s="471">
        <v>0.30578948001634676</v>
      </c>
      <c r="AK3896" s="218">
        <v>52723.066969287596</v>
      </c>
      <c r="AL3896" s="470">
        <v>0.99936638859460658</v>
      </c>
      <c r="AM3896" s="471">
        <v>0.30578948001634676</v>
      </c>
      <c r="AN3896" s="477">
        <v>52723.066969287596</v>
      </c>
      <c r="AO3896" s="473">
        <v>0.99936638859460658</v>
      </c>
      <c r="AP3896" s="474">
        <v>0.305537159828913</v>
      </c>
      <c r="AQ3896" s="352"/>
      <c r="AR3896" s="352"/>
      <c r="AS3896" s="352"/>
      <c r="AT3896" s="352"/>
      <c r="AU3896" s="352"/>
      <c r="AV3896" s="352"/>
      <c r="AW3896" s="352" t="s">
        <v>254</v>
      </c>
    </row>
    <row r="3897" spans="2:49" x14ac:dyDescent="0.2">
      <c r="B3897" s="460" t="s">
        <v>3513</v>
      </c>
      <c r="C3897" s="460">
        <v>7000</v>
      </c>
      <c r="D3897" s="460" t="s">
        <v>2360</v>
      </c>
      <c r="E3897" s="460" t="s">
        <v>1138</v>
      </c>
      <c r="F3897" s="460">
        <v>3</v>
      </c>
      <c r="G3897" s="460">
        <v>4</v>
      </c>
      <c r="H3897" s="461" t="s">
        <v>712</v>
      </c>
      <c r="I3897" s="461" t="s">
        <v>713</v>
      </c>
      <c r="J3897" s="461" t="s">
        <v>712</v>
      </c>
      <c r="K3897" s="594"/>
      <c r="L3897" s="594"/>
      <c r="M3897" s="352">
        <v>7000</v>
      </c>
      <c r="N3897" s="352" t="s">
        <v>1891</v>
      </c>
      <c r="O3897" s="460">
        <v>5311</v>
      </c>
      <c r="P3897" s="460" t="s">
        <v>788</v>
      </c>
      <c r="Q3897" s="460" t="s">
        <v>2280</v>
      </c>
      <c r="R3897" s="460">
        <v>5311</v>
      </c>
      <c r="S3897" s="460" t="s">
        <v>1138</v>
      </c>
      <c r="T3897" s="462">
        <v>1</v>
      </c>
      <c r="U3897" s="460" t="s">
        <v>1138</v>
      </c>
      <c r="V3897" s="475">
        <v>0</v>
      </c>
      <c r="W3897" s="463" t="s">
        <v>713</v>
      </c>
      <c r="X3897" s="463" t="s">
        <v>713</v>
      </c>
      <c r="Y3897" s="463" t="s">
        <v>713</v>
      </c>
      <c r="Z3897" s="463"/>
      <c r="AA3897" s="463"/>
      <c r="AB3897" s="464">
        <v>21032.630081921183</v>
      </c>
      <c r="AC3897" s="465">
        <v>0.99939143926582708</v>
      </c>
      <c r="AD3897" s="465">
        <v>0.26247768906874774</v>
      </c>
      <c r="AE3897" s="476">
        <v>21032.630081921183</v>
      </c>
      <c r="AF3897" s="467">
        <v>0.99939143926582708</v>
      </c>
      <c r="AG3897" s="468">
        <v>0.26190823175077249</v>
      </c>
      <c r="AH3897" s="218">
        <v>21032.630081921183</v>
      </c>
      <c r="AI3897" s="470">
        <v>0.99939143926582708</v>
      </c>
      <c r="AJ3897" s="471">
        <v>0.26497920339469438</v>
      </c>
      <c r="AK3897" s="218">
        <v>21032.630081921183</v>
      </c>
      <c r="AL3897" s="470">
        <v>0.99939143926582708</v>
      </c>
      <c r="AM3897" s="471">
        <v>0.26497920339469438</v>
      </c>
      <c r="AN3897" s="477">
        <v>21032.630081921183</v>
      </c>
      <c r="AO3897" s="473">
        <v>0.99939143926582708</v>
      </c>
      <c r="AP3897" s="474">
        <v>0.2649592334791549</v>
      </c>
      <c r="AQ3897" s="352"/>
      <c r="AR3897" s="352"/>
      <c r="AS3897" s="352"/>
      <c r="AT3897" s="352"/>
      <c r="AU3897" s="352"/>
      <c r="AV3897" s="352"/>
      <c r="AW3897" s="352" t="s">
        <v>254</v>
      </c>
    </row>
    <row r="3898" spans="2:49" x14ac:dyDescent="0.2">
      <c r="B3898" s="460" t="s">
        <v>3514</v>
      </c>
      <c r="C3898" s="460">
        <v>7000</v>
      </c>
      <c r="D3898" s="460" t="s">
        <v>2361</v>
      </c>
      <c r="E3898" s="460" t="s">
        <v>1139</v>
      </c>
      <c r="F3898" s="460">
        <v>4</v>
      </c>
      <c r="G3898" s="460">
        <v>4</v>
      </c>
      <c r="H3898" s="461" t="s">
        <v>712</v>
      </c>
      <c r="I3898" s="461" t="s">
        <v>713</v>
      </c>
      <c r="J3898" s="461" t="s">
        <v>712</v>
      </c>
      <c r="K3898" s="594"/>
      <c r="L3898" s="594"/>
      <c r="M3898" s="352">
        <v>7000</v>
      </c>
      <c r="N3898" s="352" t="s">
        <v>1891</v>
      </c>
      <c r="O3898" s="460">
        <v>5311</v>
      </c>
      <c r="P3898" s="460" t="s">
        <v>788</v>
      </c>
      <c r="Q3898" s="460" t="s">
        <v>2280</v>
      </c>
      <c r="R3898" s="460">
        <v>5311</v>
      </c>
      <c r="S3898" s="460" t="s">
        <v>1139</v>
      </c>
      <c r="T3898" s="462">
        <v>1</v>
      </c>
      <c r="U3898" s="460" t="s">
        <v>1139</v>
      </c>
      <c r="V3898" s="475">
        <v>0</v>
      </c>
      <c r="W3898" s="463" t="s">
        <v>713</v>
      </c>
      <c r="X3898" s="463" t="s">
        <v>713</v>
      </c>
      <c r="Y3898" s="463" t="s">
        <v>713</v>
      </c>
      <c r="Z3898" s="463"/>
      <c r="AA3898" s="463"/>
      <c r="AB3898" s="464">
        <v>23593.641764577438</v>
      </c>
      <c r="AC3898" s="465">
        <v>0.97895619805936418</v>
      </c>
      <c r="AD3898" s="465">
        <v>0.26123435396591949</v>
      </c>
      <c r="AE3898" s="476">
        <v>23593.641764577438</v>
      </c>
      <c r="AF3898" s="467">
        <v>0.97895619805936418</v>
      </c>
      <c r="AG3898" s="468">
        <v>0.26123435396591949</v>
      </c>
      <c r="AH3898" s="218">
        <v>23593.641764577438</v>
      </c>
      <c r="AI3898" s="470">
        <v>0.97895619805936418</v>
      </c>
      <c r="AJ3898" s="471">
        <v>0.26685294515729563</v>
      </c>
      <c r="AK3898" s="218">
        <v>23593.641764577438</v>
      </c>
      <c r="AL3898" s="470">
        <v>0.97895619805936418</v>
      </c>
      <c r="AM3898" s="471">
        <v>0.26685294515729563</v>
      </c>
      <c r="AN3898" s="477">
        <v>23593.641764577438</v>
      </c>
      <c r="AO3898" s="473">
        <v>0.97895619805936418</v>
      </c>
      <c r="AP3898" s="474">
        <v>0.26685294515729563</v>
      </c>
      <c r="AQ3898" s="352"/>
      <c r="AR3898" s="352"/>
      <c r="AS3898" s="352"/>
      <c r="AT3898" s="352"/>
      <c r="AU3898" s="352"/>
      <c r="AV3898" s="352"/>
      <c r="AW3898" s="352" t="s">
        <v>254</v>
      </c>
    </row>
    <row r="3899" spans="2:49" x14ac:dyDescent="0.2">
      <c r="B3899" s="460" t="s">
        <v>3511</v>
      </c>
      <c r="C3899" s="460">
        <v>7000</v>
      </c>
      <c r="D3899" s="460" t="s">
        <v>2362</v>
      </c>
      <c r="E3899" s="460" t="s">
        <v>1136</v>
      </c>
      <c r="F3899" s="460">
        <v>1</v>
      </c>
      <c r="G3899" s="460">
        <v>4</v>
      </c>
      <c r="H3899" s="461" t="s">
        <v>746</v>
      </c>
      <c r="I3899" s="461" t="s">
        <v>762</v>
      </c>
      <c r="J3899" s="461" t="s">
        <v>700</v>
      </c>
      <c r="K3899" s="594"/>
      <c r="L3899" s="594"/>
      <c r="M3899" s="352">
        <v>7000</v>
      </c>
      <c r="N3899" s="352" t="s">
        <v>1891</v>
      </c>
      <c r="O3899" s="460">
        <v>5311</v>
      </c>
      <c r="P3899" s="460" t="s">
        <v>788</v>
      </c>
      <c r="Q3899" s="460" t="s">
        <v>2553</v>
      </c>
      <c r="R3899" s="460">
        <v>5311</v>
      </c>
      <c r="S3899" s="460" t="s">
        <v>1136</v>
      </c>
      <c r="T3899" s="462">
        <v>1</v>
      </c>
      <c r="U3899" s="460" t="s">
        <v>1136</v>
      </c>
      <c r="V3899" s="475">
        <v>0</v>
      </c>
      <c r="W3899" s="463" t="s">
        <v>2268</v>
      </c>
      <c r="X3899" s="463" t="s">
        <v>2268</v>
      </c>
      <c r="Y3899" s="463" t="s">
        <v>2554</v>
      </c>
      <c r="Z3899" s="463"/>
      <c r="AA3899" s="463"/>
      <c r="AB3899" s="464">
        <v>0</v>
      </c>
      <c r="AC3899" s="465">
        <v>0</v>
      </c>
      <c r="AD3899" s="465">
        <v>0</v>
      </c>
      <c r="AE3899" s="476">
        <v>0</v>
      </c>
      <c r="AF3899" s="467">
        <v>0</v>
      </c>
      <c r="AG3899" s="468">
        <v>0</v>
      </c>
      <c r="AH3899" s="218">
        <v>0</v>
      </c>
      <c r="AI3899" s="470">
        <v>0</v>
      </c>
      <c r="AJ3899" s="471">
        <v>0</v>
      </c>
      <c r="AK3899" s="218">
        <v>0</v>
      </c>
      <c r="AL3899" s="470">
        <v>0</v>
      </c>
      <c r="AM3899" s="471">
        <v>0</v>
      </c>
      <c r="AN3899" s="477">
        <v>0</v>
      </c>
      <c r="AO3899" s="473">
        <v>0</v>
      </c>
      <c r="AP3899" s="474">
        <v>0</v>
      </c>
      <c r="AQ3899" s="352"/>
      <c r="AR3899" s="352"/>
      <c r="AS3899" s="352"/>
      <c r="AT3899" s="352"/>
      <c r="AU3899" s="352"/>
      <c r="AV3899" s="352"/>
      <c r="AW3899" s="352" t="s">
        <v>254</v>
      </c>
    </row>
    <row r="3900" spans="2:49" x14ac:dyDescent="0.2">
      <c r="B3900" s="460" t="s">
        <v>3512</v>
      </c>
      <c r="C3900" s="460">
        <v>7000</v>
      </c>
      <c r="D3900" s="460" t="s">
        <v>2363</v>
      </c>
      <c r="E3900" s="460" t="s">
        <v>1137</v>
      </c>
      <c r="F3900" s="460">
        <v>2</v>
      </c>
      <c r="G3900" s="460">
        <v>4</v>
      </c>
      <c r="H3900" s="461" t="s">
        <v>746</v>
      </c>
      <c r="I3900" s="461" t="s">
        <v>762</v>
      </c>
      <c r="J3900" s="461" t="s">
        <v>700</v>
      </c>
      <c r="K3900" s="594"/>
      <c r="L3900" s="594"/>
      <c r="M3900" s="352">
        <v>7000</v>
      </c>
      <c r="N3900" s="352" t="s">
        <v>1891</v>
      </c>
      <c r="O3900" s="460">
        <v>5311</v>
      </c>
      <c r="P3900" s="460" t="s">
        <v>788</v>
      </c>
      <c r="Q3900" s="460" t="s">
        <v>2553</v>
      </c>
      <c r="R3900" s="460">
        <v>5311</v>
      </c>
      <c r="S3900" s="460" t="s">
        <v>1137</v>
      </c>
      <c r="T3900" s="462">
        <v>1</v>
      </c>
      <c r="U3900" s="460" t="s">
        <v>1137</v>
      </c>
      <c r="V3900" s="475">
        <v>0</v>
      </c>
      <c r="W3900" s="463" t="s">
        <v>2268</v>
      </c>
      <c r="X3900" s="463" t="s">
        <v>2268</v>
      </c>
      <c r="Y3900" s="463" t="s">
        <v>2554</v>
      </c>
      <c r="Z3900" s="463"/>
      <c r="AA3900" s="463"/>
      <c r="AB3900" s="464">
        <v>0</v>
      </c>
      <c r="AC3900" s="465">
        <v>0</v>
      </c>
      <c r="AD3900" s="465">
        <v>0</v>
      </c>
      <c r="AE3900" s="476">
        <v>0</v>
      </c>
      <c r="AF3900" s="467">
        <v>0</v>
      </c>
      <c r="AG3900" s="468">
        <v>0</v>
      </c>
      <c r="AH3900" s="218">
        <v>0</v>
      </c>
      <c r="AI3900" s="470">
        <v>0</v>
      </c>
      <c r="AJ3900" s="471">
        <v>0</v>
      </c>
      <c r="AK3900" s="218">
        <v>0</v>
      </c>
      <c r="AL3900" s="470">
        <v>0</v>
      </c>
      <c r="AM3900" s="471">
        <v>0</v>
      </c>
      <c r="AN3900" s="477">
        <v>0</v>
      </c>
      <c r="AO3900" s="473">
        <v>0</v>
      </c>
      <c r="AP3900" s="474">
        <v>0</v>
      </c>
      <c r="AQ3900" s="352"/>
      <c r="AR3900" s="352"/>
      <c r="AS3900" s="352"/>
      <c r="AT3900" s="352"/>
      <c r="AU3900" s="352"/>
      <c r="AV3900" s="352"/>
      <c r="AW3900" s="352" t="s">
        <v>254</v>
      </c>
    </row>
    <row r="3901" spans="2:49" x14ac:dyDescent="0.2">
      <c r="B3901" s="460" t="s">
        <v>3513</v>
      </c>
      <c r="C3901" s="460">
        <v>7000</v>
      </c>
      <c r="D3901" s="460" t="s">
        <v>2364</v>
      </c>
      <c r="E3901" s="460" t="s">
        <v>1138</v>
      </c>
      <c r="F3901" s="460">
        <v>3</v>
      </c>
      <c r="G3901" s="460">
        <v>4</v>
      </c>
      <c r="H3901" s="461" t="s">
        <v>746</v>
      </c>
      <c r="I3901" s="461" t="s">
        <v>762</v>
      </c>
      <c r="J3901" s="461" t="s">
        <v>700</v>
      </c>
      <c r="K3901" s="594"/>
      <c r="L3901" s="594"/>
      <c r="M3901" s="352">
        <v>7000</v>
      </c>
      <c r="N3901" s="352" t="s">
        <v>1891</v>
      </c>
      <c r="O3901" s="460">
        <v>5311</v>
      </c>
      <c r="P3901" s="460" t="s">
        <v>788</v>
      </c>
      <c r="Q3901" s="460" t="s">
        <v>2553</v>
      </c>
      <c r="R3901" s="460">
        <v>5311</v>
      </c>
      <c r="S3901" s="460" t="s">
        <v>1138</v>
      </c>
      <c r="T3901" s="462">
        <v>1</v>
      </c>
      <c r="U3901" s="460" t="s">
        <v>1138</v>
      </c>
      <c r="V3901" s="475">
        <v>0</v>
      </c>
      <c r="W3901" s="463" t="s">
        <v>2268</v>
      </c>
      <c r="X3901" s="463" t="s">
        <v>2268</v>
      </c>
      <c r="Y3901" s="463" t="s">
        <v>2554</v>
      </c>
      <c r="Z3901" s="463"/>
      <c r="AA3901" s="463"/>
      <c r="AB3901" s="464">
        <v>0</v>
      </c>
      <c r="AC3901" s="465">
        <v>0</v>
      </c>
      <c r="AD3901" s="465">
        <v>0</v>
      </c>
      <c r="AE3901" s="476">
        <v>0</v>
      </c>
      <c r="AF3901" s="467">
        <v>0</v>
      </c>
      <c r="AG3901" s="468">
        <v>0</v>
      </c>
      <c r="AH3901" s="218">
        <v>0</v>
      </c>
      <c r="AI3901" s="470">
        <v>0</v>
      </c>
      <c r="AJ3901" s="471">
        <v>0</v>
      </c>
      <c r="AK3901" s="218">
        <v>0</v>
      </c>
      <c r="AL3901" s="470">
        <v>0</v>
      </c>
      <c r="AM3901" s="471">
        <v>0</v>
      </c>
      <c r="AN3901" s="477">
        <v>0</v>
      </c>
      <c r="AO3901" s="473">
        <v>0</v>
      </c>
      <c r="AP3901" s="474">
        <v>0</v>
      </c>
      <c r="AQ3901" s="352"/>
      <c r="AR3901" s="352"/>
      <c r="AS3901" s="352"/>
      <c r="AT3901" s="352"/>
      <c r="AU3901" s="352"/>
      <c r="AV3901" s="352"/>
      <c r="AW3901" s="352" t="s">
        <v>254</v>
      </c>
    </row>
    <row r="3902" spans="2:49" x14ac:dyDescent="0.2">
      <c r="B3902" s="460" t="s">
        <v>3514</v>
      </c>
      <c r="C3902" s="460">
        <v>7000</v>
      </c>
      <c r="D3902" s="460" t="s">
        <v>2365</v>
      </c>
      <c r="E3902" s="460" t="s">
        <v>1139</v>
      </c>
      <c r="F3902" s="460">
        <v>4</v>
      </c>
      <c r="G3902" s="460">
        <v>4</v>
      </c>
      <c r="H3902" s="461" t="s">
        <v>746</v>
      </c>
      <c r="I3902" s="461" t="s">
        <v>762</v>
      </c>
      <c r="J3902" s="461" t="s">
        <v>700</v>
      </c>
      <c r="K3902" s="594"/>
      <c r="L3902" s="594"/>
      <c r="M3902" s="352">
        <v>7000</v>
      </c>
      <c r="N3902" s="352" t="s">
        <v>1891</v>
      </c>
      <c r="O3902" s="460">
        <v>5311</v>
      </c>
      <c r="P3902" s="460" t="s">
        <v>788</v>
      </c>
      <c r="Q3902" s="460" t="s">
        <v>2553</v>
      </c>
      <c r="R3902" s="460">
        <v>5311</v>
      </c>
      <c r="S3902" s="460" t="s">
        <v>1139</v>
      </c>
      <c r="T3902" s="462">
        <v>1</v>
      </c>
      <c r="U3902" s="460" t="s">
        <v>1139</v>
      </c>
      <c r="V3902" s="475">
        <v>0</v>
      </c>
      <c r="W3902" s="463" t="s">
        <v>2268</v>
      </c>
      <c r="X3902" s="463" t="s">
        <v>2268</v>
      </c>
      <c r="Y3902" s="463" t="s">
        <v>2554</v>
      </c>
      <c r="Z3902" s="463"/>
      <c r="AA3902" s="463"/>
      <c r="AB3902" s="464">
        <v>0</v>
      </c>
      <c r="AC3902" s="465">
        <v>0</v>
      </c>
      <c r="AD3902" s="465">
        <v>0</v>
      </c>
      <c r="AE3902" s="476">
        <v>0</v>
      </c>
      <c r="AF3902" s="467">
        <v>0</v>
      </c>
      <c r="AG3902" s="468">
        <v>0</v>
      </c>
      <c r="AH3902" s="218">
        <v>0</v>
      </c>
      <c r="AI3902" s="470">
        <v>0</v>
      </c>
      <c r="AJ3902" s="471">
        <v>0</v>
      </c>
      <c r="AK3902" s="218">
        <v>0</v>
      </c>
      <c r="AL3902" s="470">
        <v>0</v>
      </c>
      <c r="AM3902" s="471">
        <v>0</v>
      </c>
      <c r="AN3902" s="477">
        <v>0</v>
      </c>
      <c r="AO3902" s="473">
        <v>0</v>
      </c>
      <c r="AP3902" s="474">
        <v>0</v>
      </c>
      <c r="AQ3902" s="352"/>
      <c r="AR3902" s="352"/>
      <c r="AS3902" s="352"/>
      <c r="AT3902" s="352"/>
      <c r="AU3902" s="352"/>
      <c r="AV3902" s="352"/>
      <c r="AW3902" s="352" t="s">
        <v>254</v>
      </c>
    </row>
    <row r="3903" spans="2:49" x14ac:dyDescent="0.2">
      <c r="B3903" s="460" t="s">
        <v>3511</v>
      </c>
      <c r="C3903" s="460">
        <v>7000</v>
      </c>
      <c r="D3903" s="460" t="s">
        <v>2366</v>
      </c>
      <c r="E3903" s="460" t="s">
        <v>1136</v>
      </c>
      <c r="F3903" s="460">
        <v>1</v>
      </c>
      <c r="G3903" s="460">
        <v>4</v>
      </c>
      <c r="H3903" s="461" t="s">
        <v>748</v>
      </c>
      <c r="I3903" s="461" t="s">
        <v>765</v>
      </c>
      <c r="J3903" s="461" t="s">
        <v>700</v>
      </c>
      <c r="K3903" s="594"/>
      <c r="L3903" s="594"/>
      <c r="M3903" s="352">
        <v>7000</v>
      </c>
      <c r="N3903" s="352" t="s">
        <v>1891</v>
      </c>
      <c r="O3903" s="460">
        <v>5311</v>
      </c>
      <c r="P3903" s="460" t="s">
        <v>788</v>
      </c>
      <c r="Q3903" s="460" t="s">
        <v>2553</v>
      </c>
      <c r="R3903" s="460">
        <v>5311</v>
      </c>
      <c r="S3903" s="460" t="s">
        <v>1136</v>
      </c>
      <c r="T3903" s="462">
        <v>1</v>
      </c>
      <c r="U3903" s="460" t="s">
        <v>1136</v>
      </c>
      <c r="V3903" s="475">
        <v>0</v>
      </c>
      <c r="W3903" s="463" t="s">
        <v>2268</v>
      </c>
      <c r="X3903" s="463" t="s">
        <v>2268</v>
      </c>
      <c r="Y3903" s="463" t="s">
        <v>2554</v>
      </c>
      <c r="Z3903" s="463"/>
      <c r="AA3903" s="463"/>
      <c r="AB3903" s="464">
        <v>0</v>
      </c>
      <c r="AC3903" s="465">
        <v>0</v>
      </c>
      <c r="AD3903" s="465">
        <v>0</v>
      </c>
      <c r="AE3903" s="476">
        <v>0</v>
      </c>
      <c r="AF3903" s="467">
        <v>0</v>
      </c>
      <c r="AG3903" s="468">
        <v>0</v>
      </c>
      <c r="AH3903" s="218">
        <v>0</v>
      </c>
      <c r="AI3903" s="470">
        <v>0</v>
      </c>
      <c r="AJ3903" s="471">
        <v>0</v>
      </c>
      <c r="AK3903" s="218">
        <v>0</v>
      </c>
      <c r="AL3903" s="470">
        <v>0</v>
      </c>
      <c r="AM3903" s="471">
        <v>0</v>
      </c>
      <c r="AN3903" s="477">
        <v>0</v>
      </c>
      <c r="AO3903" s="473">
        <v>0</v>
      </c>
      <c r="AP3903" s="474">
        <v>0</v>
      </c>
      <c r="AQ3903" s="352"/>
      <c r="AR3903" s="352"/>
      <c r="AS3903" s="352"/>
      <c r="AT3903" s="352"/>
      <c r="AU3903" s="352"/>
      <c r="AV3903" s="352"/>
      <c r="AW3903" s="352" t="s">
        <v>254</v>
      </c>
    </row>
    <row r="3904" spans="2:49" x14ac:dyDescent="0.2">
      <c r="B3904" s="460" t="s">
        <v>3512</v>
      </c>
      <c r="C3904" s="460">
        <v>7000</v>
      </c>
      <c r="D3904" s="460" t="s">
        <v>2367</v>
      </c>
      <c r="E3904" s="460" t="s">
        <v>1137</v>
      </c>
      <c r="F3904" s="460">
        <v>2</v>
      </c>
      <c r="G3904" s="460">
        <v>4</v>
      </c>
      <c r="H3904" s="461" t="s">
        <v>748</v>
      </c>
      <c r="I3904" s="461" t="s">
        <v>765</v>
      </c>
      <c r="J3904" s="461" t="s">
        <v>700</v>
      </c>
      <c r="K3904" s="594"/>
      <c r="L3904" s="594"/>
      <c r="M3904" s="352">
        <v>7000</v>
      </c>
      <c r="N3904" s="352" t="s">
        <v>1891</v>
      </c>
      <c r="O3904" s="460">
        <v>5311</v>
      </c>
      <c r="P3904" s="460" t="s">
        <v>788</v>
      </c>
      <c r="Q3904" s="460" t="s">
        <v>2553</v>
      </c>
      <c r="R3904" s="460">
        <v>5311</v>
      </c>
      <c r="S3904" s="460" t="s">
        <v>1137</v>
      </c>
      <c r="T3904" s="462">
        <v>1</v>
      </c>
      <c r="U3904" s="460" t="s">
        <v>1137</v>
      </c>
      <c r="V3904" s="475">
        <v>0</v>
      </c>
      <c r="W3904" s="463" t="s">
        <v>2268</v>
      </c>
      <c r="X3904" s="463" t="s">
        <v>2268</v>
      </c>
      <c r="Y3904" s="463" t="s">
        <v>2554</v>
      </c>
      <c r="Z3904" s="463"/>
      <c r="AA3904" s="463"/>
      <c r="AB3904" s="464">
        <v>0</v>
      </c>
      <c r="AC3904" s="465">
        <v>0</v>
      </c>
      <c r="AD3904" s="465">
        <v>0</v>
      </c>
      <c r="AE3904" s="476">
        <v>0</v>
      </c>
      <c r="AF3904" s="467">
        <v>0</v>
      </c>
      <c r="AG3904" s="468">
        <v>0</v>
      </c>
      <c r="AH3904" s="218">
        <v>0</v>
      </c>
      <c r="AI3904" s="470">
        <v>0</v>
      </c>
      <c r="AJ3904" s="471">
        <v>0</v>
      </c>
      <c r="AK3904" s="218">
        <v>0</v>
      </c>
      <c r="AL3904" s="470">
        <v>0</v>
      </c>
      <c r="AM3904" s="471">
        <v>0</v>
      </c>
      <c r="AN3904" s="477">
        <v>0</v>
      </c>
      <c r="AO3904" s="473">
        <v>0</v>
      </c>
      <c r="AP3904" s="474">
        <v>0</v>
      </c>
      <c r="AQ3904" s="352"/>
      <c r="AR3904" s="352"/>
      <c r="AS3904" s="352"/>
      <c r="AT3904" s="352"/>
      <c r="AU3904" s="352"/>
      <c r="AV3904" s="352"/>
      <c r="AW3904" s="352" t="s">
        <v>254</v>
      </c>
    </row>
    <row r="3905" spans="2:49" x14ac:dyDescent="0.2">
      <c r="B3905" s="460" t="s">
        <v>3513</v>
      </c>
      <c r="C3905" s="460">
        <v>7000</v>
      </c>
      <c r="D3905" s="460" t="s">
        <v>2368</v>
      </c>
      <c r="E3905" s="460" t="s">
        <v>1138</v>
      </c>
      <c r="F3905" s="460">
        <v>3</v>
      </c>
      <c r="G3905" s="460">
        <v>4</v>
      </c>
      <c r="H3905" s="461" t="s">
        <v>748</v>
      </c>
      <c r="I3905" s="461" t="s">
        <v>765</v>
      </c>
      <c r="J3905" s="461" t="s">
        <v>700</v>
      </c>
      <c r="K3905" s="594"/>
      <c r="L3905" s="594"/>
      <c r="M3905" s="352">
        <v>7000</v>
      </c>
      <c r="N3905" s="352" t="s">
        <v>1891</v>
      </c>
      <c r="O3905" s="460">
        <v>5311</v>
      </c>
      <c r="P3905" s="460" t="s">
        <v>788</v>
      </c>
      <c r="Q3905" s="460" t="s">
        <v>2553</v>
      </c>
      <c r="R3905" s="460">
        <v>5311</v>
      </c>
      <c r="S3905" s="460" t="s">
        <v>1138</v>
      </c>
      <c r="T3905" s="462">
        <v>1</v>
      </c>
      <c r="U3905" s="460" t="s">
        <v>1138</v>
      </c>
      <c r="V3905" s="475">
        <v>0</v>
      </c>
      <c r="W3905" s="463" t="s">
        <v>2268</v>
      </c>
      <c r="X3905" s="463" t="s">
        <v>2268</v>
      </c>
      <c r="Y3905" s="463" t="s">
        <v>2554</v>
      </c>
      <c r="Z3905" s="463"/>
      <c r="AA3905" s="463"/>
      <c r="AB3905" s="464">
        <v>0</v>
      </c>
      <c r="AC3905" s="465">
        <v>0</v>
      </c>
      <c r="AD3905" s="465">
        <v>0</v>
      </c>
      <c r="AE3905" s="476">
        <v>0</v>
      </c>
      <c r="AF3905" s="467">
        <v>0</v>
      </c>
      <c r="AG3905" s="468">
        <v>0</v>
      </c>
      <c r="AH3905" s="218">
        <v>0</v>
      </c>
      <c r="AI3905" s="470">
        <v>0</v>
      </c>
      <c r="AJ3905" s="471">
        <v>0</v>
      </c>
      <c r="AK3905" s="218">
        <v>0</v>
      </c>
      <c r="AL3905" s="470">
        <v>0</v>
      </c>
      <c r="AM3905" s="471">
        <v>0</v>
      </c>
      <c r="AN3905" s="477">
        <v>0</v>
      </c>
      <c r="AO3905" s="473">
        <v>0</v>
      </c>
      <c r="AP3905" s="474">
        <v>0</v>
      </c>
      <c r="AQ3905" s="352"/>
      <c r="AR3905" s="352"/>
      <c r="AS3905" s="352"/>
      <c r="AT3905" s="352"/>
      <c r="AU3905" s="352"/>
      <c r="AV3905" s="352"/>
      <c r="AW3905" s="352" t="s">
        <v>254</v>
      </c>
    </row>
    <row r="3906" spans="2:49" x14ac:dyDescent="0.2">
      <c r="B3906" s="460" t="s">
        <v>3514</v>
      </c>
      <c r="C3906" s="460">
        <v>7000</v>
      </c>
      <c r="D3906" s="460" t="s">
        <v>2369</v>
      </c>
      <c r="E3906" s="460" t="s">
        <v>1139</v>
      </c>
      <c r="F3906" s="460">
        <v>4</v>
      </c>
      <c r="G3906" s="460">
        <v>4</v>
      </c>
      <c r="H3906" s="461" t="s">
        <v>748</v>
      </c>
      <c r="I3906" s="461" t="s">
        <v>765</v>
      </c>
      <c r="J3906" s="461" t="s">
        <v>700</v>
      </c>
      <c r="K3906" s="594"/>
      <c r="L3906" s="594"/>
      <c r="M3906" s="352">
        <v>7000</v>
      </c>
      <c r="N3906" s="352" t="s">
        <v>1891</v>
      </c>
      <c r="O3906" s="460">
        <v>5311</v>
      </c>
      <c r="P3906" s="460" t="s">
        <v>788</v>
      </c>
      <c r="Q3906" s="460" t="s">
        <v>2553</v>
      </c>
      <c r="R3906" s="460">
        <v>5311</v>
      </c>
      <c r="S3906" s="460" t="s">
        <v>1139</v>
      </c>
      <c r="T3906" s="462">
        <v>1</v>
      </c>
      <c r="U3906" s="460" t="s">
        <v>1139</v>
      </c>
      <c r="V3906" s="475">
        <v>0</v>
      </c>
      <c r="W3906" s="463" t="s">
        <v>2268</v>
      </c>
      <c r="X3906" s="463" t="s">
        <v>2268</v>
      </c>
      <c r="Y3906" s="463" t="s">
        <v>2554</v>
      </c>
      <c r="Z3906" s="463"/>
      <c r="AA3906" s="463"/>
      <c r="AB3906" s="464">
        <v>0</v>
      </c>
      <c r="AC3906" s="465">
        <v>0</v>
      </c>
      <c r="AD3906" s="465">
        <v>0</v>
      </c>
      <c r="AE3906" s="476">
        <v>0</v>
      </c>
      <c r="AF3906" s="467">
        <v>0</v>
      </c>
      <c r="AG3906" s="468">
        <v>0</v>
      </c>
      <c r="AH3906" s="218">
        <v>0</v>
      </c>
      <c r="AI3906" s="470">
        <v>0</v>
      </c>
      <c r="AJ3906" s="471">
        <v>0</v>
      </c>
      <c r="AK3906" s="218">
        <v>0</v>
      </c>
      <c r="AL3906" s="470">
        <v>0</v>
      </c>
      <c r="AM3906" s="471">
        <v>0</v>
      </c>
      <c r="AN3906" s="477">
        <v>0</v>
      </c>
      <c r="AO3906" s="473">
        <v>0</v>
      </c>
      <c r="AP3906" s="474">
        <v>0</v>
      </c>
      <c r="AQ3906" s="352"/>
      <c r="AR3906" s="352"/>
      <c r="AS3906" s="352"/>
      <c r="AT3906" s="352"/>
      <c r="AU3906" s="352"/>
      <c r="AV3906" s="352"/>
      <c r="AW3906" s="352" t="s">
        <v>254</v>
      </c>
    </row>
    <row r="3907" spans="2:49" x14ac:dyDescent="0.2">
      <c r="B3907" s="460" t="s">
        <v>3511</v>
      </c>
      <c r="C3907" s="460">
        <v>7000</v>
      </c>
      <c r="D3907" s="460" t="s">
        <v>3491</v>
      </c>
      <c r="E3907" s="460" t="s">
        <v>1136</v>
      </c>
      <c r="F3907" s="460">
        <v>1</v>
      </c>
      <c r="G3907" s="460">
        <v>4</v>
      </c>
      <c r="H3907" s="461" t="s">
        <v>754</v>
      </c>
      <c r="I3907" s="461" t="s">
        <v>1991</v>
      </c>
      <c r="J3907" s="461" t="s">
        <v>754</v>
      </c>
      <c r="K3907" s="594"/>
      <c r="L3907" s="594"/>
      <c r="M3907" s="352">
        <v>7000</v>
      </c>
      <c r="N3907" s="352" t="s">
        <v>1891</v>
      </c>
      <c r="O3907" s="460">
        <v>5311</v>
      </c>
      <c r="P3907" s="460" t="s">
        <v>788</v>
      </c>
      <c r="Q3907" s="460" t="s">
        <v>2377</v>
      </c>
      <c r="R3907" s="460">
        <v>5311</v>
      </c>
      <c r="S3907" s="460" t="s">
        <v>1136</v>
      </c>
      <c r="T3907" s="462">
        <v>1</v>
      </c>
      <c r="U3907" s="460" t="s">
        <v>1136</v>
      </c>
      <c r="V3907" s="475">
        <v>0</v>
      </c>
      <c r="W3907" s="463" t="s">
        <v>2278</v>
      </c>
      <c r="X3907" s="463" t="s">
        <v>2278</v>
      </c>
      <c r="Y3907" s="463" t="s">
        <v>2278</v>
      </c>
      <c r="Z3907" s="463"/>
      <c r="AA3907" s="463"/>
      <c r="AB3907" s="464">
        <v>344.62518779210444</v>
      </c>
      <c r="AC3907" s="465">
        <v>7.9038244870657335E-3</v>
      </c>
      <c r="AD3907" s="465">
        <v>0.2498684971323526</v>
      </c>
      <c r="AE3907" s="476">
        <v>344.62518779210444</v>
      </c>
      <c r="AF3907" s="467">
        <v>7.9038244870657335E-3</v>
      </c>
      <c r="AG3907" s="468">
        <v>0.2498684971323526</v>
      </c>
      <c r="AH3907" s="218">
        <v>344.62518779210444</v>
      </c>
      <c r="AI3907" s="470">
        <v>7.9038244870657335E-3</v>
      </c>
      <c r="AJ3907" s="471">
        <v>0.2498684971323526</v>
      </c>
      <c r="AK3907" s="218">
        <v>344.62518779210444</v>
      </c>
      <c r="AL3907" s="470">
        <v>7.9038244870657335E-3</v>
      </c>
      <c r="AM3907" s="471">
        <v>0.2498684971323526</v>
      </c>
      <c r="AN3907" s="477">
        <v>344.62518779210444</v>
      </c>
      <c r="AO3907" s="473">
        <v>7.9038244870657335E-3</v>
      </c>
      <c r="AP3907" s="474">
        <v>0.2498684971323526</v>
      </c>
      <c r="AQ3907" s="352"/>
      <c r="AR3907" s="352"/>
      <c r="AS3907" s="352"/>
      <c r="AT3907" s="352"/>
      <c r="AU3907" s="352"/>
      <c r="AV3907" s="352"/>
      <c r="AW3907" s="352" t="s">
        <v>127</v>
      </c>
    </row>
    <row r="3908" spans="2:49" x14ac:dyDescent="0.2">
      <c r="B3908" s="460" t="s">
        <v>3512</v>
      </c>
      <c r="C3908" s="460">
        <v>7000</v>
      </c>
      <c r="D3908" s="460" t="s">
        <v>3492</v>
      </c>
      <c r="E3908" s="460" t="s">
        <v>1137</v>
      </c>
      <c r="F3908" s="460">
        <v>2</v>
      </c>
      <c r="G3908" s="460">
        <v>4</v>
      </c>
      <c r="H3908" s="461" t="s">
        <v>754</v>
      </c>
      <c r="I3908" s="461" t="s">
        <v>1991</v>
      </c>
      <c r="J3908" s="461" t="s">
        <v>754</v>
      </c>
      <c r="K3908" s="594"/>
      <c r="L3908" s="594"/>
      <c r="M3908" s="352">
        <v>7000</v>
      </c>
      <c r="N3908" s="352" t="s">
        <v>1891</v>
      </c>
      <c r="O3908" s="460">
        <v>5311</v>
      </c>
      <c r="P3908" s="460" t="s">
        <v>788</v>
      </c>
      <c r="Q3908" s="460" t="s">
        <v>2377</v>
      </c>
      <c r="R3908" s="460">
        <v>5311</v>
      </c>
      <c r="S3908" s="460" t="s">
        <v>1137</v>
      </c>
      <c r="T3908" s="462">
        <v>1</v>
      </c>
      <c r="U3908" s="460" t="s">
        <v>1137</v>
      </c>
      <c r="V3908" s="475">
        <v>0</v>
      </c>
      <c r="W3908" s="463" t="s">
        <v>2278</v>
      </c>
      <c r="X3908" s="463" t="s">
        <v>2278</v>
      </c>
      <c r="Y3908" s="463" t="s">
        <v>2278</v>
      </c>
      <c r="Z3908" s="463"/>
      <c r="AA3908" s="463"/>
      <c r="AB3908" s="464">
        <v>33.427116361239193</v>
      </c>
      <c r="AC3908" s="465">
        <v>6.3361140539345011E-4</v>
      </c>
      <c r="AD3908" s="465">
        <v>6.1457702188256868E-3</v>
      </c>
      <c r="AE3908" s="476">
        <v>33.427116361239193</v>
      </c>
      <c r="AF3908" s="467">
        <v>6.3361140539345011E-4</v>
      </c>
      <c r="AG3908" s="468">
        <v>6.1457702188256868E-3</v>
      </c>
      <c r="AH3908" s="218">
        <v>33.427116361239193</v>
      </c>
      <c r="AI3908" s="470">
        <v>6.3361140539345011E-4</v>
      </c>
      <c r="AJ3908" s="471">
        <v>6.1457702188256868E-3</v>
      </c>
      <c r="AK3908" s="218">
        <v>33.427116361239193</v>
      </c>
      <c r="AL3908" s="470">
        <v>6.3361140539345011E-4</v>
      </c>
      <c r="AM3908" s="471">
        <v>6.1457702188256868E-3</v>
      </c>
      <c r="AN3908" s="477">
        <v>33.427116361239193</v>
      </c>
      <c r="AO3908" s="473">
        <v>6.3361140539345011E-4</v>
      </c>
      <c r="AP3908" s="474">
        <v>6.1457702188256868E-3</v>
      </c>
      <c r="AQ3908" s="352"/>
      <c r="AR3908" s="352"/>
      <c r="AS3908" s="352"/>
      <c r="AT3908" s="352"/>
      <c r="AU3908" s="352"/>
      <c r="AV3908" s="352"/>
      <c r="AW3908" s="352" t="s">
        <v>127</v>
      </c>
    </row>
    <row r="3909" spans="2:49" x14ac:dyDescent="0.2">
      <c r="B3909" s="460" t="s">
        <v>3513</v>
      </c>
      <c r="C3909" s="460">
        <v>7000</v>
      </c>
      <c r="D3909" s="460" t="s">
        <v>3493</v>
      </c>
      <c r="E3909" s="460" t="s">
        <v>1138</v>
      </c>
      <c r="F3909" s="460">
        <v>3</v>
      </c>
      <c r="G3909" s="460">
        <v>4</v>
      </c>
      <c r="H3909" s="461" t="s">
        <v>754</v>
      </c>
      <c r="I3909" s="461" t="s">
        <v>1991</v>
      </c>
      <c r="J3909" s="461" t="s">
        <v>754</v>
      </c>
      <c r="K3909" s="594"/>
      <c r="L3909" s="594"/>
      <c r="M3909" s="352">
        <v>7000</v>
      </c>
      <c r="N3909" s="352" t="s">
        <v>1891</v>
      </c>
      <c r="O3909" s="460">
        <v>5311</v>
      </c>
      <c r="P3909" s="460" t="s">
        <v>788</v>
      </c>
      <c r="Q3909" s="460" t="s">
        <v>2377</v>
      </c>
      <c r="R3909" s="460">
        <v>5311</v>
      </c>
      <c r="S3909" s="460" t="s">
        <v>1138</v>
      </c>
      <c r="T3909" s="462">
        <v>1</v>
      </c>
      <c r="U3909" s="460" t="s">
        <v>1138</v>
      </c>
      <c r="V3909" s="475">
        <v>0</v>
      </c>
      <c r="W3909" s="463" t="s">
        <v>2278</v>
      </c>
      <c r="X3909" s="463" t="s">
        <v>2278</v>
      </c>
      <c r="Y3909" s="463" t="s">
        <v>2278</v>
      </c>
      <c r="Z3909" s="463"/>
      <c r="AA3909" s="463"/>
      <c r="AB3909" s="464">
        <v>12.807426901360611</v>
      </c>
      <c r="AC3909" s="465">
        <v>6.0856073417297964E-4</v>
      </c>
      <c r="AD3909" s="465">
        <v>5.1975973467224355E-3</v>
      </c>
      <c r="AE3909" s="476">
        <v>12.807426901360611</v>
      </c>
      <c r="AF3909" s="467">
        <v>6.0856073417297964E-4</v>
      </c>
      <c r="AG3909" s="468">
        <v>5.1975973467224355E-3</v>
      </c>
      <c r="AH3909" s="218">
        <v>12.807426901360611</v>
      </c>
      <c r="AI3909" s="470">
        <v>6.0856073417297964E-4</v>
      </c>
      <c r="AJ3909" s="471">
        <v>5.1975973467224355E-3</v>
      </c>
      <c r="AK3909" s="218">
        <v>12.807426901360611</v>
      </c>
      <c r="AL3909" s="470">
        <v>6.0856073417297964E-4</v>
      </c>
      <c r="AM3909" s="471">
        <v>5.1975973467224355E-3</v>
      </c>
      <c r="AN3909" s="477">
        <v>12.807426901360611</v>
      </c>
      <c r="AO3909" s="473">
        <v>6.0856073417297964E-4</v>
      </c>
      <c r="AP3909" s="474">
        <v>5.1975973467224355E-3</v>
      </c>
      <c r="AQ3909" s="352"/>
      <c r="AR3909" s="352"/>
      <c r="AS3909" s="352"/>
      <c r="AT3909" s="352"/>
      <c r="AU3909" s="352"/>
      <c r="AV3909" s="352"/>
      <c r="AW3909" s="352" t="s">
        <v>127</v>
      </c>
    </row>
    <row r="3910" spans="2:49" x14ac:dyDescent="0.2">
      <c r="B3910" s="460" t="s">
        <v>3514</v>
      </c>
      <c r="C3910" s="460">
        <v>7000</v>
      </c>
      <c r="D3910" s="460" t="s">
        <v>3494</v>
      </c>
      <c r="E3910" s="460" t="s">
        <v>1139</v>
      </c>
      <c r="F3910" s="460">
        <v>4</v>
      </c>
      <c r="G3910" s="460">
        <v>4</v>
      </c>
      <c r="H3910" s="461" t="s">
        <v>754</v>
      </c>
      <c r="I3910" s="461" t="s">
        <v>1991</v>
      </c>
      <c r="J3910" s="461" t="s">
        <v>754</v>
      </c>
      <c r="K3910" s="594"/>
      <c r="L3910" s="594"/>
      <c r="M3910" s="352">
        <v>7000</v>
      </c>
      <c r="N3910" s="352" t="s">
        <v>1891</v>
      </c>
      <c r="O3910" s="460">
        <v>5311</v>
      </c>
      <c r="P3910" s="460" t="s">
        <v>788</v>
      </c>
      <c r="Q3910" s="460" t="s">
        <v>2377</v>
      </c>
      <c r="R3910" s="460">
        <v>5311</v>
      </c>
      <c r="S3910" s="460" t="s">
        <v>1139</v>
      </c>
      <c r="T3910" s="462">
        <v>1</v>
      </c>
      <c r="U3910" s="460" t="s">
        <v>1139</v>
      </c>
      <c r="V3910" s="475">
        <v>0</v>
      </c>
      <c r="W3910" s="463" t="s">
        <v>2278</v>
      </c>
      <c r="X3910" s="463" t="s">
        <v>2278</v>
      </c>
      <c r="Y3910" s="463" t="s">
        <v>2278</v>
      </c>
      <c r="Z3910" s="463"/>
      <c r="AA3910" s="463"/>
      <c r="AB3910" s="464">
        <v>507.1727676236373</v>
      </c>
      <c r="AC3910" s="465">
        <v>2.1043801940635834E-2</v>
      </c>
      <c r="AD3910" s="465">
        <v>8.8299154685309023E-2</v>
      </c>
      <c r="AE3910" s="476">
        <v>507.1727676236373</v>
      </c>
      <c r="AF3910" s="467">
        <v>2.1043801940635834E-2</v>
      </c>
      <c r="AG3910" s="468">
        <v>8.8299154685309023E-2</v>
      </c>
      <c r="AH3910" s="218">
        <v>507.1727676236373</v>
      </c>
      <c r="AI3910" s="470">
        <v>2.1043801940635834E-2</v>
      </c>
      <c r="AJ3910" s="471">
        <v>8.8299154685309023E-2</v>
      </c>
      <c r="AK3910" s="218">
        <v>507.1727676236373</v>
      </c>
      <c r="AL3910" s="470">
        <v>2.1043801940635834E-2</v>
      </c>
      <c r="AM3910" s="471">
        <v>8.8299154685309023E-2</v>
      </c>
      <c r="AN3910" s="477">
        <v>507.1727676236373</v>
      </c>
      <c r="AO3910" s="473">
        <v>2.1043801940635834E-2</v>
      </c>
      <c r="AP3910" s="474">
        <v>8.8299154685309023E-2</v>
      </c>
      <c r="AQ3910" s="352"/>
      <c r="AR3910" s="352"/>
      <c r="AS3910" s="352"/>
      <c r="AT3910" s="352"/>
      <c r="AU3910" s="352"/>
      <c r="AV3910" s="352"/>
      <c r="AW3910" s="352" t="s">
        <v>127</v>
      </c>
    </row>
    <row r="3911" spans="2:49" x14ac:dyDescent="0.2">
      <c r="B3911" s="460" t="s">
        <v>3515</v>
      </c>
      <c r="C3911" s="460">
        <v>7000</v>
      </c>
      <c r="D3911" s="460" t="s">
        <v>2375</v>
      </c>
      <c r="E3911" s="460" t="s">
        <v>2376</v>
      </c>
      <c r="F3911" s="460">
        <v>1</v>
      </c>
      <c r="G3911" s="460">
        <v>5</v>
      </c>
      <c r="H3911" s="461" t="s">
        <v>754</v>
      </c>
      <c r="I3911" s="461" t="s">
        <v>1991</v>
      </c>
      <c r="J3911" s="461" t="s">
        <v>754</v>
      </c>
      <c r="K3911" s="594"/>
      <c r="L3911" s="594"/>
      <c r="M3911" s="352">
        <v>7000</v>
      </c>
      <c r="N3911" s="352" t="s">
        <v>1891</v>
      </c>
      <c r="O3911" s="460">
        <v>5311</v>
      </c>
      <c r="P3911" s="460" t="s">
        <v>788</v>
      </c>
      <c r="Q3911" s="460" t="s">
        <v>2377</v>
      </c>
      <c r="R3911" s="460">
        <v>5311</v>
      </c>
      <c r="S3911" s="460" t="s">
        <v>2376</v>
      </c>
      <c r="T3911" s="462">
        <v>1</v>
      </c>
      <c r="U3911" s="460" t="s">
        <v>2376</v>
      </c>
      <c r="V3911" s="475">
        <v>0</v>
      </c>
      <c r="W3911" s="463" t="s">
        <v>2278</v>
      </c>
      <c r="X3911" s="463" t="s">
        <v>2278</v>
      </c>
      <c r="Y3911" s="463" t="s">
        <v>2278</v>
      </c>
      <c r="Z3911" s="463"/>
      <c r="AA3911" s="463"/>
      <c r="AB3911" s="464">
        <v>20990.538637445799</v>
      </c>
      <c r="AC3911" s="465">
        <v>1</v>
      </c>
      <c r="AD3911" s="465">
        <v>3.5287296037630651E-2</v>
      </c>
      <c r="AE3911" s="476">
        <v>20990.538637445799</v>
      </c>
      <c r="AF3911" s="467">
        <v>1</v>
      </c>
      <c r="AG3911" s="468">
        <v>3.5287296037630651E-2</v>
      </c>
      <c r="AH3911" s="218">
        <v>20990.538637445799</v>
      </c>
      <c r="AI3911" s="470">
        <v>1</v>
      </c>
      <c r="AJ3911" s="471">
        <v>3.5287296037630651E-2</v>
      </c>
      <c r="AK3911" s="218">
        <v>20990.538637445799</v>
      </c>
      <c r="AL3911" s="470">
        <v>1</v>
      </c>
      <c r="AM3911" s="471">
        <v>3.5287296037630651E-2</v>
      </c>
      <c r="AN3911" s="477">
        <v>20990.538637445799</v>
      </c>
      <c r="AO3911" s="473">
        <v>1</v>
      </c>
      <c r="AP3911" s="474">
        <v>3.5287296037630651E-2</v>
      </c>
      <c r="AQ3911" s="352"/>
      <c r="AR3911" s="352"/>
      <c r="AS3911" s="352"/>
      <c r="AT3911" s="352"/>
      <c r="AU3911" s="352"/>
      <c r="AV3911" s="352"/>
      <c r="AW3911" s="352" t="s">
        <v>127</v>
      </c>
    </row>
    <row r="3912" spans="2:49" x14ac:dyDescent="0.2">
      <c r="B3912" s="460" t="s">
        <v>3516</v>
      </c>
      <c r="C3912" s="460">
        <v>7000</v>
      </c>
      <c r="D3912" s="460" t="s">
        <v>2379</v>
      </c>
      <c r="E3912" s="460" t="s">
        <v>2380</v>
      </c>
      <c r="F3912" s="460">
        <v>2</v>
      </c>
      <c r="G3912" s="460">
        <v>5</v>
      </c>
      <c r="H3912" s="461" t="s">
        <v>754</v>
      </c>
      <c r="I3912" s="461" t="s">
        <v>1991</v>
      </c>
      <c r="J3912" s="461" t="s">
        <v>754</v>
      </c>
      <c r="K3912" s="594"/>
      <c r="L3912" s="594"/>
      <c r="M3912" s="352">
        <v>7000</v>
      </c>
      <c r="N3912" s="352" t="s">
        <v>1891</v>
      </c>
      <c r="O3912" s="460">
        <v>5311</v>
      </c>
      <c r="P3912" s="460" t="s">
        <v>788</v>
      </c>
      <c r="Q3912" s="460" t="s">
        <v>2377</v>
      </c>
      <c r="R3912" s="460">
        <v>5311</v>
      </c>
      <c r="S3912" s="460" t="s">
        <v>2380</v>
      </c>
      <c r="T3912" s="462">
        <v>1</v>
      </c>
      <c r="U3912" s="460" t="s">
        <v>2380</v>
      </c>
      <c r="V3912" s="475">
        <v>0</v>
      </c>
      <c r="W3912" s="463" t="s">
        <v>2278</v>
      </c>
      <c r="X3912" s="463" t="s">
        <v>2278</v>
      </c>
      <c r="Y3912" s="463" t="s">
        <v>2278</v>
      </c>
      <c r="Z3912" s="463"/>
      <c r="AA3912" s="463"/>
      <c r="AB3912" s="464">
        <v>306.71097922086051</v>
      </c>
      <c r="AC3912" s="465">
        <v>1</v>
      </c>
      <c r="AD3912" s="465">
        <v>6.0397639516949694E-4</v>
      </c>
      <c r="AE3912" s="476">
        <v>306.71097922086051</v>
      </c>
      <c r="AF3912" s="467">
        <v>1</v>
      </c>
      <c r="AG3912" s="468">
        <v>6.0397639516949694E-4</v>
      </c>
      <c r="AH3912" s="218">
        <v>306.71097922086051</v>
      </c>
      <c r="AI3912" s="470">
        <v>1</v>
      </c>
      <c r="AJ3912" s="471">
        <v>6.0397639516949694E-4</v>
      </c>
      <c r="AK3912" s="218">
        <v>306.71097922086051</v>
      </c>
      <c r="AL3912" s="470">
        <v>1</v>
      </c>
      <c r="AM3912" s="471">
        <v>6.0397639516949694E-4</v>
      </c>
      <c r="AN3912" s="477">
        <v>306.71097922086051</v>
      </c>
      <c r="AO3912" s="473">
        <v>1</v>
      </c>
      <c r="AP3912" s="474">
        <v>6.0397639516949694E-4</v>
      </c>
      <c r="AQ3912" s="352"/>
      <c r="AR3912" s="352"/>
      <c r="AS3912" s="352"/>
      <c r="AT3912" s="352"/>
      <c r="AU3912" s="352"/>
      <c r="AV3912" s="352"/>
      <c r="AW3912" s="352" t="s">
        <v>127</v>
      </c>
    </row>
    <row r="3913" spans="2:49" x14ac:dyDescent="0.2">
      <c r="B3913" s="460" t="s">
        <v>3517</v>
      </c>
      <c r="C3913" s="460">
        <v>7000</v>
      </c>
      <c r="D3913" s="460" t="s">
        <v>2382</v>
      </c>
      <c r="E3913" s="460" t="s">
        <v>2383</v>
      </c>
      <c r="F3913" s="460">
        <v>3</v>
      </c>
      <c r="G3913" s="460">
        <v>5</v>
      </c>
      <c r="H3913" s="461" t="s">
        <v>754</v>
      </c>
      <c r="I3913" s="461" t="s">
        <v>1991</v>
      </c>
      <c r="J3913" s="461" t="s">
        <v>754</v>
      </c>
      <c r="K3913" s="594"/>
      <c r="L3913" s="594"/>
      <c r="M3913" s="352">
        <v>7000</v>
      </c>
      <c r="N3913" s="352" t="s">
        <v>1891</v>
      </c>
      <c r="O3913" s="460">
        <v>5311</v>
      </c>
      <c r="P3913" s="460" t="s">
        <v>788</v>
      </c>
      <c r="Q3913" s="460" t="s">
        <v>2377</v>
      </c>
      <c r="R3913" s="460">
        <v>5311</v>
      </c>
      <c r="S3913" s="460" t="s">
        <v>2383</v>
      </c>
      <c r="T3913" s="462">
        <v>1</v>
      </c>
      <c r="U3913" s="460" t="s">
        <v>2383</v>
      </c>
      <c r="V3913" s="475">
        <v>0</v>
      </c>
      <c r="W3913" s="463" t="s">
        <v>2278</v>
      </c>
      <c r="X3913" s="463" t="s">
        <v>2278</v>
      </c>
      <c r="Y3913" s="463" t="s">
        <v>2278</v>
      </c>
      <c r="Z3913" s="463"/>
      <c r="AA3913" s="463"/>
      <c r="AB3913" s="464">
        <v>20.881140325060983</v>
      </c>
      <c r="AC3913" s="465">
        <v>1</v>
      </c>
      <c r="AD3913" s="465">
        <v>1.8560531764286688E-4</v>
      </c>
      <c r="AE3913" s="476">
        <v>20.881140325060983</v>
      </c>
      <c r="AF3913" s="467">
        <v>1</v>
      </c>
      <c r="AG3913" s="468">
        <v>1.8560531764286688E-4</v>
      </c>
      <c r="AH3913" s="218">
        <v>20.881140325060983</v>
      </c>
      <c r="AI3913" s="470">
        <v>1</v>
      </c>
      <c r="AJ3913" s="471">
        <v>1.8560531764286688E-4</v>
      </c>
      <c r="AK3913" s="218">
        <v>20.881140325060983</v>
      </c>
      <c r="AL3913" s="470">
        <v>1</v>
      </c>
      <c r="AM3913" s="471">
        <v>1.8560531764286688E-4</v>
      </c>
      <c r="AN3913" s="477">
        <v>20.881140325060983</v>
      </c>
      <c r="AO3913" s="473">
        <v>1</v>
      </c>
      <c r="AP3913" s="474">
        <v>1.8560531764286688E-4</v>
      </c>
      <c r="AQ3913" s="352"/>
      <c r="AR3913" s="352"/>
      <c r="AS3913" s="352"/>
      <c r="AT3913" s="352"/>
      <c r="AU3913" s="352"/>
      <c r="AV3913" s="352"/>
      <c r="AW3913" s="352" t="s">
        <v>127</v>
      </c>
    </row>
    <row r="3914" spans="2:49" x14ac:dyDescent="0.2">
      <c r="B3914" s="460" t="s">
        <v>3518</v>
      </c>
      <c r="C3914" s="460">
        <v>7000</v>
      </c>
      <c r="D3914" s="460" t="s">
        <v>2385</v>
      </c>
      <c r="E3914" s="460" t="s">
        <v>2386</v>
      </c>
      <c r="F3914" s="460">
        <v>4</v>
      </c>
      <c r="G3914" s="460">
        <v>5</v>
      </c>
      <c r="H3914" s="461" t="s">
        <v>754</v>
      </c>
      <c r="I3914" s="461" t="s">
        <v>1991</v>
      </c>
      <c r="J3914" s="461" t="s">
        <v>754</v>
      </c>
      <c r="K3914" s="594"/>
      <c r="L3914" s="594"/>
      <c r="M3914" s="352">
        <v>7000</v>
      </c>
      <c r="N3914" s="352" t="s">
        <v>1891</v>
      </c>
      <c r="O3914" s="460">
        <v>5311</v>
      </c>
      <c r="P3914" s="460" t="s">
        <v>788</v>
      </c>
      <c r="Q3914" s="460" t="s">
        <v>2377</v>
      </c>
      <c r="R3914" s="460">
        <v>5311</v>
      </c>
      <c r="S3914" s="460" t="s">
        <v>2386</v>
      </c>
      <c r="T3914" s="462">
        <v>1</v>
      </c>
      <c r="U3914" s="460" t="s">
        <v>2386</v>
      </c>
      <c r="V3914" s="475">
        <v>0</v>
      </c>
      <c r="W3914" s="463" t="s">
        <v>2278</v>
      </c>
      <c r="X3914" s="463" t="s">
        <v>2278</v>
      </c>
      <c r="Y3914" s="463" t="s">
        <v>2278</v>
      </c>
      <c r="Z3914" s="463"/>
      <c r="AA3914" s="463"/>
      <c r="AB3914" s="464">
        <v>16.474735040912115</v>
      </c>
      <c r="AC3914" s="465">
        <v>1</v>
      </c>
      <c r="AD3914" s="465">
        <v>3.056184849790682E-4</v>
      </c>
      <c r="AE3914" s="476">
        <v>16.474735040912115</v>
      </c>
      <c r="AF3914" s="467">
        <v>1</v>
      </c>
      <c r="AG3914" s="468">
        <v>3.056184849790682E-4</v>
      </c>
      <c r="AH3914" s="218">
        <v>16.474735040912115</v>
      </c>
      <c r="AI3914" s="470">
        <v>1</v>
      </c>
      <c r="AJ3914" s="471">
        <v>3.056184849790682E-4</v>
      </c>
      <c r="AK3914" s="218">
        <v>16.474735040912115</v>
      </c>
      <c r="AL3914" s="470">
        <v>1</v>
      </c>
      <c r="AM3914" s="471">
        <v>3.056184849790682E-4</v>
      </c>
      <c r="AN3914" s="477">
        <v>16.474735040912115</v>
      </c>
      <c r="AO3914" s="473">
        <v>1</v>
      </c>
      <c r="AP3914" s="474">
        <v>3.056184849790682E-4</v>
      </c>
      <c r="AQ3914" s="352"/>
      <c r="AR3914" s="352"/>
      <c r="AS3914" s="352"/>
      <c r="AT3914" s="352"/>
      <c r="AU3914" s="352"/>
      <c r="AV3914" s="352"/>
      <c r="AW3914" s="352" t="s">
        <v>127</v>
      </c>
    </row>
    <row r="3915" spans="2:49" x14ac:dyDescent="0.2">
      <c r="B3915" s="460" t="s">
        <v>3519</v>
      </c>
      <c r="C3915" s="460">
        <v>8000</v>
      </c>
      <c r="D3915" s="460" t="s">
        <v>2264</v>
      </c>
      <c r="E3915" s="460" t="s">
        <v>2265</v>
      </c>
      <c r="F3915" s="460">
        <v>1</v>
      </c>
      <c r="G3915" s="460">
        <v>1</v>
      </c>
      <c r="H3915" s="461" t="s">
        <v>700</v>
      </c>
      <c r="I3915" s="461" t="s">
        <v>872</v>
      </c>
      <c r="J3915" s="461" t="s">
        <v>700</v>
      </c>
      <c r="K3915" s="594"/>
      <c r="L3915" s="594"/>
      <c r="M3915" s="352">
        <v>8000</v>
      </c>
      <c r="N3915" s="352" t="s">
        <v>760</v>
      </c>
      <c r="O3915" s="460">
        <v>5321</v>
      </c>
      <c r="P3915" s="460" t="s">
        <v>760</v>
      </c>
      <c r="Q3915" s="460" t="s">
        <v>2553</v>
      </c>
      <c r="R3915" s="460">
        <v>5321</v>
      </c>
      <c r="S3915" s="460" t="s">
        <v>2265</v>
      </c>
      <c r="T3915" s="462">
        <v>1</v>
      </c>
      <c r="U3915" s="460" t="s">
        <v>2265</v>
      </c>
      <c r="V3915" s="475">
        <v>0</v>
      </c>
      <c r="W3915" s="463" t="s">
        <v>2554</v>
      </c>
      <c r="X3915" s="463" t="s">
        <v>2554</v>
      </c>
      <c r="Y3915" s="463" t="s">
        <v>2268</v>
      </c>
      <c r="Z3915" s="463"/>
      <c r="AA3915" s="463"/>
      <c r="AB3915" s="464">
        <v>6023.1066519684682</v>
      </c>
      <c r="AC3915" s="465">
        <v>4.9093458843302802E-2</v>
      </c>
      <c r="AD3915" s="465">
        <v>5.5854889158409166E-2</v>
      </c>
      <c r="AE3915" s="476">
        <v>3613.863991181081</v>
      </c>
      <c r="AF3915" s="467">
        <v>2.9456075305981679E-2</v>
      </c>
      <c r="AG3915" s="468">
        <v>3.5798826890721266E-2</v>
      </c>
      <c r="AH3915" s="218">
        <v>3613.863991181081</v>
      </c>
      <c r="AI3915" s="470">
        <v>2.9456075305981679E-2</v>
      </c>
      <c r="AJ3915" s="471">
        <v>3.4459418954483852E-2</v>
      </c>
      <c r="AK3915" s="218">
        <v>3613.863991181081</v>
      </c>
      <c r="AL3915" s="470">
        <v>2.9456075305981679E-2</v>
      </c>
      <c r="AM3915" s="471">
        <v>3.4459418954483852E-2</v>
      </c>
      <c r="AN3915" s="477">
        <v>0</v>
      </c>
      <c r="AO3915" s="473">
        <v>0</v>
      </c>
      <c r="AP3915" s="474">
        <v>0</v>
      </c>
      <c r="AQ3915" s="352"/>
      <c r="AR3915" s="352"/>
      <c r="AS3915" s="352"/>
      <c r="AT3915" s="352"/>
      <c r="AU3915" s="352"/>
      <c r="AV3915" s="352"/>
      <c r="AW3915" s="352" t="s">
        <v>254</v>
      </c>
    </row>
    <row r="3916" spans="2:49" x14ac:dyDescent="0.2">
      <c r="B3916" s="460" t="s">
        <v>3520</v>
      </c>
      <c r="C3916" s="460">
        <v>8000</v>
      </c>
      <c r="D3916" s="460" t="s">
        <v>2270</v>
      </c>
      <c r="E3916" s="460" t="s">
        <v>2271</v>
      </c>
      <c r="F3916" s="460">
        <v>2</v>
      </c>
      <c r="G3916" s="460">
        <v>1</v>
      </c>
      <c r="H3916" s="461" t="s">
        <v>700</v>
      </c>
      <c r="I3916" s="461" t="s">
        <v>872</v>
      </c>
      <c r="J3916" s="461" t="s">
        <v>700</v>
      </c>
      <c r="K3916" s="594"/>
      <c r="L3916" s="594"/>
      <c r="M3916" s="352">
        <v>8000</v>
      </c>
      <c r="N3916" s="352" t="s">
        <v>760</v>
      </c>
      <c r="O3916" s="460">
        <v>5321</v>
      </c>
      <c r="P3916" s="460" t="s">
        <v>760</v>
      </c>
      <c r="Q3916" s="460" t="s">
        <v>2553</v>
      </c>
      <c r="R3916" s="460">
        <v>5321</v>
      </c>
      <c r="S3916" s="460" t="s">
        <v>2265</v>
      </c>
      <c r="T3916" s="462">
        <v>1</v>
      </c>
      <c r="U3916" s="460" t="s">
        <v>2271</v>
      </c>
      <c r="V3916" s="475">
        <v>0</v>
      </c>
      <c r="W3916" s="463" t="s">
        <v>2554</v>
      </c>
      <c r="X3916" s="463" t="s">
        <v>2554</v>
      </c>
      <c r="Y3916" s="463" t="s">
        <v>2268</v>
      </c>
      <c r="Z3916" s="463"/>
      <c r="AA3916" s="463"/>
      <c r="AB3916" s="464">
        <v>3849.632135172631</v>
      </c>
      <c r="AC3916" s="465">
        <v>4.0486819412412535E-2</v>
      </c>
      <c r="AD3916" s="465">
        <v>4.7761589383050855E-2</v>
      </c>
      <c r="AE3916" s="476">
        <v>2309.7792811035788</v>
      </c>
      <c r="AF3916" s="467">
        <v>2.4292091647447521E-2</v>
      </c>
      <c r="AG3916" s="468">
        <v>3.1054430234928536E-2</v>
      </c>
      <c r="AH3916" s="218">
        <v>2800.7893857724762</v>
      </c>
      <c r="AI3916" s="470">
        <v>2.9456075305981679E-2</v>
      </c>
      <c r="AJ3916" s="471">
        <v>3.3067238332119206E-2</v>
      </c>
      <c r="AK3916" s="218">
        <v>2800.7893857724762</v>
      </c>
      <c r="AL3916" s="470">
        <v>2.9456075305981679E-2</v>
      </c>
      <c r="AM3916" s="471">
        <v>3.3067238332119206E-2</v>
      </c>
      <c r="AN3916" s="477">
        <v>0</v>
      </c>
      <c r="AO3916" s="473">
        <v>0</v>
      </c>
      <c r="AP3916" s="474">
        <v>0</v>
      </c>
      <c r="AQ3916" s="352"/>
      <c r="AR3916" s="352"/>
      <c r="AS3916" s="352"/>
      <c r="AT3916" s="352"/>
      <c r="AU3916" s="352"/>
      <c r="AV3916" s="352"/>
      <c r="AW3916" s="352" t="s">
        <v>254</v>
      </c>
    </row>
    <row r="3917" spans="2:49" x14ac:dyDescent="0.2">
      <c r="B3917" s="460" t="s">
        <v>3521</v>
      </c>
      <c r="C3917" s="460">
        <v>8000</v>
      </c>
      <c r="D3917" s="460" t="s">
        <v>2273</v>
      </c>
      <c r="E3917" s="460" t="s">
        <v>2274</v>
      </c>
      <c r="F3917" s="460">
        <v>3</v>
      </c>
      <c r="G3917" s="460">
        <v>1</v>
      </c>
      <c r="H3917" s="461" t="s">
        <v>700</v>
      </c>
      <c r="I3917" s="461" t="s">
        <v>872</v>
      </c>
      <c r="J3917" s="461" t="s">
        <v>700</v>
      </c>
      <c r="K3917" s="594"/>
      <c r="L3917" s="594"/>
      <c r="M3917" s="352">
        <v>8000</v>
      </c>
      <c r="N3917" s="352" t="s">
        <v>760</v>
      </c>
      <c r="O3917" s="460">
        <v>5321</v>
      </c>
      <c r="P3917" s="460" t="s">
        <v>760</v>
      </c>
      <c r="Q3917" s="460" t="s">
        <v>2553</v>
      </c>
      <c r="R3917" s="460">
        <v>5321</v>
      </c>
      <c r="S3917" s="460" t="s">
        <v>2265</v>
      </c>
      <c r="T3917" s="462">
        <v>0.74223365950407583</v>
      </c>
      <c r="U3917" s="460" t="s">
        <v>2274</v>
      </c>
      <c r="V3917" s="475">
        <v>0</v>
      </c>
      <c r="W3917" s="463" t="s">
        <v>2554</v>
      </c>
      <c r="X3917" s="463" t="s">
        <v>2554</v>
      </c>
      <c r="Y3917" s="463" t="s">
        <v>2268</v>
      </c>
      <c r="Z3917" s="463"/>
      <c r="AA3917" s="463"/>
      <c r="AB3917" s="464">
        <v>686.71748075750565</v>
      </c>
      <c r="AC3917" s="465">
        <v>1.0956941337249523E-2</v>
      </c>
      <c r="AD3917" s="465">
        <v>3.3971677339000424E-2</v>
      </c>
      <c r="AE3917" s="476">
        <v>412.03048845450343</v>
      </c>
      <c r="AF3917" s="467">
        <v>6.574164802349714E-3</v>
      </c>
      <c r="AG3917" s="468">
        <v>2.2078343585365784E-2</v>
      </c>
      <c r="AH3917" s="218">
        <v>1370.2641420158018</v>
      </c>
      <c r="AI3917" s="470">
        <v>2.1863290568986424E-2</v>
      </c>
      <c r="AJ3917" s="471">
        <v>5.3171846289435262E-2</v>
      </c>
      <c r="AK3917" s="218">
        <v>1370.2641420158018</v>
      </c>
      <c r="AL3917" s="470">
        <v>2.1863290568986424E-2</v>
      </c>
      <c r="AM3917" s="471">
        <v>5.3171846289435262E-2</v>
      </c>
      <c r="AN3917" s="477">
        <v>0</v>
      </c>
      <c r="AO3917" s="473">
        <v>0</v>
      </c>
      <c r="AP3917" s="474">
        <v>0</v>
      </c>
      <c r="AQ3917" s="352"/>
      <c r="AR3917" s="352"/>
      <c r="AS3917" s="352"/>
      <c r="AT3917" s="352"/>
      <c r="AU3917" s="352"/>
      <c r="AV3917" s="352"/>
      <c r="AW3917" s="352" t="s">
        <v>254</v>
      </c>
    </row>
    <row r="3918" spans="2:49" x14ac:dyDescent="0.2">
      <c r="B3918" s="460" t="s">
        <v>3522</v>
      </c>
      <c r="C3918" s="460">
        <v>8000</v>
      </c>
      <c r="D3918" s="460" t="s">
        <v>2276</v>
      </c>
      <c r="E3918" s="460" t="s">
        <v>2277</v>
      </c>
      <c r="F3918" s="460">
        <v>4</v>
      </c>
      <c r="G3918" s="460">
        <v>1</v>
      </c>
      <c r="H3918" s="461" t="s">
        <v>700</v>
      </c>
      <c r="I3918" s="461" t="s">
        <v>872</v>
      </c>
      <c r="J3918" s="461" t="s">
        <v>700</v>
      </c>
      <c r="K3918" s="594"/>
      <c r="L3918" s="594"/>
      <c r="M3918" s="352">
        <v>8000</v>
      </c>
      <c r="N3918" s="352" t="s">
        <v>760</v>
      </c>
      <c r="O3918" s="460">
        <v>5321</v>
      </c>
      <c r="P3918" s="460" t="s">
        <v>760</v>
      </c>
      <c r="Q3918" s="460" t="s">
        <v>2553</v>
      </c>
      <c r="R3918" s="460">
        <v>5321</v>
      </c>
      <c r="S3918" s="460" t="s">
        <v>2277</v>
      </c>
      <c r="T3918" s="462">
        <v>1</v>
      </c>
      <c r="U3918" s="460" t="s">
        <v>2277</v>
      </c>
      <c r="V3918" s="475">
        <v>0</v>
      </c>
      <c r="W3918" s="463" t="s">
        <v>2554</v>
      </c>
      <c r="X3918" s="463" t="s">
        <v>2554</v>
      </c>
      <c r="Y3918" s="463" t="s">
        <v>2268</v>
      </c>
      <c r="Z3918" s="463"/>
      <c r="AA3918" s="463"/>
      <c r="AB3918" s="464">
        <v>8.4167275206338168</v>
      </c>
      <c r="AC3918" s="465">
        <v>1.184462765425916E-4</v>
      </c>
      <c r="AD3918" s="465">
        <v>3.3971677339000417E-2</v>
      </c>
      <c r="AE3918" s="476">
        <v>5.0500365123802897</v>
      </c>
      <c r="AF3918" s="467">
        <v>7.1067765925554956E-5</v>
      </c>
      <c r="AG3918" s="468">
        <v>2.2787126716349297E-2</v>
      </c>
      <c r="AH3918" s="218">
        <v>5.0500365123802897</v>
      </c>
      <c r="AI3918" s="470">
        <v>7.1067765925554956E-5</v>
      </c>
      <c r="AJ3918" s="471">
        <v>2.1840474587490021E-2</v>
      </c>
      <c r="AK3918" s="218">
        <v>5.0500365123802897</v>
      </c>
      <c r="AL3918" s="470">
        <v>7.1067765925554956E-5</v>
      </c>
      <c r="AM3918" s="471">
        <v>2.1840474587490021E-2</v>
      </c>
      <c r="AN3918" s="477">
        <v>0</v>
      </c>
      <c r="AO3918" s="473">
        <v>0</v>
      </c>
      <c r="AP3918" s="474">
        <v>0</v>
      </c>
      <c r="AQ3918" s="352"/>
      <c r="AR3918" s="352"/>
      <c r="AS3918" s="352"/>
      <c r="AT3918" s="352"/>
      <c r="AU3918" s="352"/>
      <c r="AV3918" s="352"/>
      <c r="AW3918" s="352" t="s">
        <v>254</v>
      </c>
    </row>
    <row r="3919" spans="2:49" x14ac:dyDescent="0.2">
      <c r="B3919" s="460" t="s">
        <v>3519</v>
      </c>
      <c r="C3919" s="460">
        <v>8000</v>
      </c>
      <c r="D3919" s="460" t="s">
        <v>2279</v>
      </c>
      <c r="E3919" s="460" t="s">
        <v>2265</v>
      </c>
      <c r="F3919" s="460">
        <v>1</v>
      </c>
      <c r="G3919" s="460">
        <v>1</v>
      </c>
      <c r="H3919" s="461" t="s">
        <v>712</v>
      </c>
      <c r="I3919" s="461" t="s">
        <v>713</v>
      </c>
      <c r="J3919" s="461" t="s">
        <v>712</v>
      </c>
      <c r="K3919" s="594"/>
      <c r="L3919" s="594"/>
      <c r="M3919" s="352">
        <v>8000</v>
      </c>
      <c r="N3919" s="352" t="s">
        <v>760</v>
      </c>
      <c r="O3919" s="460">
        <v>5321</v>
      </c>
      <c r="P3919" s="460" t="s">
        <v>760</v>
      </c>
      <c r="Q3919" s="460" t="s">
        <v>2280</v>
      </c>
      <c r="R3919" s="460">
        <v>5321</v>
      </c>
      <c r="S3919" s="460" t="s">
        <v>2265</v>
      </c>
      <c r="T3919" s="462">
        <v>1</v>
      </c>
      <c r="U3919" s="460" t="s">
        <v>2265</v>
      </c>
      <c r="V3919" s="475">
        <v>0</v>
      </c>
      <c r="W3919" s="463" t="s">
        <v>713</v>
      </c>
      <c r="X3919" s="463" t="s">
        <v>713</v>
      </c>
      <c r="Y3919" s="463" t="s">
        <v>713</v>
      </c>
      <c r="Z3919" s="463"/>
      <c r="AA3919" s="463"/>
      <c r="AB3919" s="464">
        <v>116662.60708555637</v>
      </c>
      <c r="AC3919" s="465">
        <v>0.95089979813579284</v>
      </c>
      <c r="AD3919" s="465">
        <v>0.43097184599805244</v>
      </c>
      <c r="AE3919" s="476">
        <v>119071.84974634375</v>
      </c>
      <c r="AF3919" s="467">
        <v>0.97053718167311387</v>
      </c>
      <c r="AG3919" s="468">
        <v>0.42896058809258708</v>
      </c>
      <c r="AH3919" s="218">
        <v>119071.84974634375</v>
      </c>
      <c r="AI3919" s="470">
        <v>0.97053718167311387</v>
      </c>
      <c r="AJ3919" s="471">
        <v>0.43511117350438588</v>
      </c>
      <c r="AK3919" s="218">
        <v>119071.84974634375</v>
      </c>
      <c r="AL3919" s="470">
        <v>0.97053718167311387</v>
      </c>
      <c r="AM3919" s="471">
        <v>0.43511117350438588</v>
      </c>
      <c r="AN3919" s="477">
        <v>119071.84974634375</v>
      </c>
      <c r="AO3919" s="473">
        <v>0.97053718167311387</v>
      </c>
      <c r="AP3919" s="474">
        <v>0.43496939683338615</v>
      </c>
      <c r="AQ3919" s="352"/>
      <c r="AR3919" s="352"/>
      <c r="AS3919" s="352"/>
      <c r="AT3919" s="352"/>
      <c r="AU3919" s="352"/>
      <c r="AV3919" s="352"/>
      <c r="AW3919" s="352" t="s">
        <v>254</v>
      </c>
    </row>
    <row r="3920" spans="2:49" x14ac:dyDescent="0.2">
      <c r="B3920" s="460" t="s">
        <v>3520</v>
      </c>
      <c r="C3920" s="460">
        <v>8000</v>
      </c>
      <c r="D3920" s="460" t="s">
        <v>2281</v>
      </c>
      <c r="E3920" s="460" t="s">
        <v>2271</v>
      </c>
      <c r="F3920" s="460">
        <v>2</v>
      </c>
      <c r="G3920" s="460">
        <v>1</v>
      </c>
      <c r="H3920" s="461" t="s">
        <v>712</v>
      </c>
      <c r="I3920" s="461" t="s">
        <v>713</v>
      </c>
      <c r="J3920" s="461" t="s">
        <v>712</v>
      </c>
      <c r="K3920" s="594"/>
      <c r="L3920" s="594"/>
      <c r="M3920" s="352">
        <v>8000</v>
      </c>
      <c r="N3920" s="352" t="s">
        <v>760</v>
      </c>
      <c r="O3920" s="460">
        <v>5321</v>
      </c>
      <c r="P3920" s="460" t="s">
        <v>760</v>
      </c>
      <c r="Q3920" s="460" t="s">
        <v>2280</v>
      </c>
      <c r="R3920" s="460">
        <v>5321</v>
      </c>
      <c r="S3920" s="460" t="s">
        <v>2265</v>
      </c>
      <c r="T3920" s="462">
        <v>1</v>
      </c>
      <c r="U3920" s="460" t="s">
        <v>2271</v>
      </c>
      <c r="V3920" s="475">
        <v>0</v>
      </c>
      <c r="W3920" s="463" t="s">
        <v>713</v>
      </c>
      <c r="X3920" s="463" t="s">
        <v>713</v>
      </c>
      <c r="Y3920" s="463" t="s">
        <v>713</v>
      </c>
      <c r="Z3920" s="463"/>
      <c r="AA3920" s="463"/>
      <c r="AB3920" s="464">
        <v>91118.657407986029</v>
      </c>
      <c r="AC3920" s="465">
        <v>0.95830055912944612</v>
      </c>
      <c r="AD3920" s="465">
        <v>0.38050427847406859</v>
      </c>
      <c r="AE3920" s="476">
        <v>92658.510262055075</v>
      </c>
      <c r="AF3920" s="467">
        <v>0.97449528689441112</v>
      </c>
      <c r="AG3920" s="468">
        <v>0.37713471837627577</v>
      </c>
      <c r="AH3920" s="218">
        <v>92167.500157386195</v>
      </c>
      <c r="AI3920" s="470">
        <v>0.96933130323587702</v>
      </c>
      <c r="AJ3920" s="471">
        <v>0.39596499031402627</v>
      </c>
      <c r="AK3920" s="218">
        <v>92167.500157386195</v>
      </c>
      <c r="AL3920" s="470">
        <v>0.96933130323587702</v>
      </c>
      <c r="AM3920" s="471">
        <v>0.39596499031402627</v>
      </c>
      <c r="AN3920" s="477">
        <v>92167.500157386195</v>
      </c>
      <c r="AO3920" s="473">
        <v>0.96933130323587702</v>
      </c>
      <c r="AP3920" s="474">
        <v>0.39582595401635484</v>
      </c>
      <c r="AQ3920" s="352"/>
      <c r="AR3920" s="352"/>
      <c r="AS3920" s="352"/>
      <c r="AT3920" s="352"/>
      <c r="AU3920" s="352"/>
      <c r="AV3920" s="352"/>
      <c r="AW3920" s="352" t="s">
        <v>254</v>
      </c>
    </row>
    <row r="3921" spans="2:49" x14ac:dyDescent="0.2">
      <c r="B3921" s="460" t="s">
        <v>3521</v>
      </c>
      <c r="C3921" s="460">
        <v>8000</v>
      </c>
      <c r="D3921" s="460" t="s">
        <v>2282</v>
      </c>
      <c r="E3921" s="460" t="s">
        <v>2274</v>
      </c>
      <c r="F3921" s="460">
        <v>3</v>
      </c>
      <c r="G3921" s="460">
        <v>1</v>
      </c>
      <c r="H3921" s="461" t="s">
        <v>712</v>
      </c>
      <c r="I3921" s="461" t="s">
        <v>713</v>
      </c>
      <c r="J3921" s="461" t="s">
        <v>712</v>
      </c>
      <c r="K3921" s="594"/>
      <c r="L3921" s="594"/>
      <c r="M3921" s="352">
        <v>8000</v>
      </c>
      <c r="N3921" s="352" t="s">
        <v>760</v>
      </c>
      <c r="O3921" s="460">
        <v>5321</v>
      </c>
      <c r="P3921" s="460" t="s">
        <v>760</v>
      </c>
      <c r="Q3921" s="460" t="s">
        <v>2280</v>
      </c>
      <c r="R3921" s="460">
        <v>5321</v>
      </c>
      <c r="S3921" s="460" t="s">
        <v>2265</v>
      </c>
      <c r="T3921" s="462">
        <v>0.74223365950407583</v>
      </c>
      <c r="U3921" s="460" t="s">
        <v>2274</v>
      </c>
      <c r="V3921" s="475">
        <v>0</v>
      </c>
      <c r="W3921" s="463" t="s">
        <v>713</v>
      </c>
      <c r="X3921" s="463" t="s">
        <v>713</v>
      </c>
      <c r="Y3921" s="463" t="s">
        <v>713</v>
      </c>
      <c r="Z3921" s="463"/>
      <c r="AA3921" s="463"/>
      <c r="AB3921" s="464">
        <v>61987.077761588771</v>
      </c>
      <c r="AC3921" s="465">
        <v>0.98903667626467251</v>
      </c>
      <c r="AD3921" s="465">
        <v>0.37100583025442646</v>
      </c>
      <c r="AE3921" s="476">
        <v>62261.764753891774</v>
      </c>
      <c r="AF3921" s="467">
        <v>0.99341945279957233</v>
      </c>
      <c r="AG3921" s="468">
        <v>0.36921972395958153</v>
      </c>
      <c r="AH3921" s="218">
        <v>61303.531100330474</v>
      </c>
      <c r="AI3921" s="470">
        <v>0.97813032703293556</v>
      </c>
      <c r="AJ3921" s="471">
        <v>0.38524185520121412</v>
      </c>
      <c r="AK3921" s="218">
        <v>61303.531100330474</v>
      </c>
      <c r="AL3921" s="470">
        <v>0.97813032703293556</v>
      </c>
      <c r="AM3921" s="471">
        <v>0.38524185520121412</v>
      </c>
      <c r="AN3921" s="477">
        <v>61303.531100330474</v>
      </c>
      <c r="AO3921" s="473">
        <v>0.97813032703293556</v>
      </c>
      <c r="AP3921" s="474">
        <v>0.38802098873423313</v>
      </c>
      <c r="AQ3921" s="352"/>
      <c r="AR3921" s="352"/>
      <c r="AS3921" s="352"/>
      <c r="AT3921" s="352"/>
      <c r="AU3921" s="352"/>
      <c r="AV3921" s="352"/>
      <c r="AW3921" s="352" t="s">
        <v>254</v>
      </c>
    </row>
    <row r="3922" spans="2:49" x14ac:dyDescent="0.2">
      <c r="B3922" s="460" t="s">
        <v>3522</v>
      </c>
      <c r="C3922" s="460">
        <v>8000</v>
      </c>
      <c r="D3922" s="460" t="s">
        <v>2283</v>
      </c>
      <c r="E3922" s="460" t="s">
        <v>2277</v>
      </c>
      <c r="F3922" s="460">
        <v>4</v>
      </c>
      <c r="G3922" s="460">
        <v>1</v>
      </c>
      <c r="H3922" s="461" t="s">
        <v>712</v>
      </c>
      <c r="I3922" s="461" t="s">
        <v>713</v>
      </c>
      <c r="J3922" s="461" t="s">
        <v>712</v>
      </c>
      <c r="K3922" s="594"/>
      <c r="L3922" s="594"/>
      <c r="M3922" s="352">
        <v>8000</v>
      </c>
      <c r="N3922" s="352" t="s">
        <v>760</v>
      </c>
      <c r="O3922" s="460">
        <v>5321</v>
      </c>
      <c r="P3922" s="460" t="s">
        <v>760</v>
      </c>
      <c r="Q3922" s="460" t="s">
        <v>2280</v>
      </c>
      <c r="R3922" s="460">
        <v>5321</v>
      </c>
      <c r="S3922" s="460" t="s">
        <v>2277</v>
      </c>
      <c r="T3922" s="462">
        <v>1</v>
      </c>
      <c r="U3922" s="460" t="s">
        <v>2277</v>
      </c>
      <c r="V3922" s="475">
        <v>0</v>
      </c>
      <c r="W3922" s="463" t="s">
        <v>713</v>
      </c>
      <c r="X3922" s="463" t="s">
        <v>713</v>
      </c>
      <c r="Y3922" s="463" t="s">
        <v>713</v>
      </c>
      <c r="Z3922" s="463"/>
      <c r="AA3922" s="463"/>
      <c r="AB3922" s="464">
        <v>71049.239592315993</v>
      </c>
      <c r="AC3922" s="465">
        <v>0.99985628146586147</v>
      </c>
      <c r="AD3922" s="465">
        <v>0.36897823057438484</v>
      </c>
      <c r="AE3922" s="476">
        <v>71052.606283324247</v>
      </c>
      <c r="AF3922" s="467">
        <v>0.99990365997647845</v>
      </c>
      <c r="AG3922" s="468">
        <v>0.36894563100500177</v>
      </c>
      <c r="AH3922" s="218">
        <v>71052.606283324247</v>
      </c>
      <c r="AI3922" s="470">
        <v>0.99990365997647845</v>
      </c>
      <c r="AJ3922" s="471">
        <v>0.36896403447378306</v>
      </c>
      <c r="AK3922" s="218">
        <v>71052.606283324247</v>
      </c>
      <c r="AL3922" s="470">
        <v>0.99990365997647845</v>
      </c>
      <c r="AM3922" s="471">
        <v>0.36896403447378306</v>
      </c>
      <c r="AN3922" s="477">
        <v>71052.606283324247</v>
      </c>
      <c r="AO3922" s="473">
        <v>0.99990365997647845</v>
      </c>
      <c r="AP3922" s="474">
        <v>0.36896587428120797</v>
      </c>
      <c r="AQ3922" s="352"/>
      <c r="AR3922" s="352"/>
      <c r="AS3922" s="352"/>
      <c r="AT3922" s="352"/>
      <c r="AU3922" s="352"/>
      <c r="AV3922" s="352"/>
      <c r="AW3922" s="352" t="s">
        <v>254</v>
      </c>
    </row>
    <row r="3923" spans="2:49" x14ac:dyDescent="0.2">
      <c r="B3923" s="460" t="s">
        <v>3519</v>
      </c>
      <c r="C3923" s="460">
        <v>8000</v>
      </c>
      <c r="D3923" s="460" t="s">
        <v>2284</v>
      </c>
      <c r="E3923" s="460" t="s">
        <v>2265</v>
      </c>
      <c r="F3923" s="460">
        <v>1</v>
      </c>
      <c r="G3923" s="460">
        <v>1</v>
      </c>
      <c r="H3923" s="461" t="s">
        <v>746</v>
      </c>
      <c r="I3923" s="461" t="s">
        <v>762</v>
      </c>
      <c r="J3923" s="461" t="s">
        <v>700</v>
      </c>
      <c r="K3923" s="594"/>
      <c r="L3923" s="594"/>
      <c r="M3923" s="352">
        <v>8000</v>
      </c>
      <c r="N3923" s="352" t="s">
        <v>760</v>
      </c>
      <c r="O3923" s="460">
        <v>5321</v>
      </c>
      <c r="P3923" s="460" t="s">
        <v>760</v>
      </c>
      <c r="Q3923" s="460" t="s">
        <v>2553</v>
      </c>
      <c r="R3923" s="460">
        <v>5321</v>
      </c>
      <c r="S3923" s="460" t="s">
        <v>2265</v>
      </c>
      <c r="T3923" s="462">
        <v>1</v>
      </c>
      <c r="U3923" s="460" t="s">
        <v>2265</v>
      </c>
      <c r="V3923" s="475">
        <v>0</v>
      </c>
      <c r="W3923" s="463" t="s">
        <v>2268</v>
      </c>
      <c r="X3923" s="463" t="s">
        <v>2268</v>
      </c>
      <c r="Y3923" s="463" t="s">
        <v>2554</v>
      </c>
      <c r="Z3923" s="463"/>
      <c r="AA3923" s="463"/>
      <c r="AB3923" s="464">
        <v>0</v>
      </c>
      <c r="AC3923" s="465">
        <v>0</v>
      </c>
      <c r="AD3923" s="465">
        <v>0</v>
      </c>
      <c r="AE3923" s="476">
        <v>0</v>
      </c>
      <c r="AF3923" s="467">
        <v>0</v>
      </c>
      <c r="AG3923" s="468">
        <v>0</v>
      </c>
      <c r="AH3923" s="218">
        <v>0</v>
      </c>
      <c r="AI3923" s="470">
        <v>0</v>
      </c>
      <c r="AJ3923" s="471">
        <v>0</v>
      </c>
      <c r="AK3923" s="218">
        <v>0</v>
      </c>
      <c r="AL3923" s="470">
        <v>0</v>
      </c>
      <c r="AM3923" s="471">
        <v>0</v>
      </c>
      <c r="AN3923" s="477">
        <v>2409.2426607873876</v>
      </c>
      <c r="AO3923" s="473">
        <v>1.9637383537321123E-2</v>
      </c>
      <c r="AP3923" s="474">
        <v>2.7167536265176793E-2</v>
      </c>
      <c r="AQ3923" s="352"/>
      <c r="AR3923" s="352"/>
      <c r="AS3923" s="352"/>
      <c r="AT3923" s="352"/>
      <c r="AU3923" s="352"/>
      <c r="AV3923" s="352"/>
      <c r="AW3923" s="352" t="s">
        <v>254</v>
      </c>
    </row>
    <row r="3924" spans="2:49" x14ac:dyDescent="0.2">
      <c r="B3924" s="460" t="s">
        <v>3520</v>
      </c>
      <c r="C3924" s="460">
        <v>8000</v>
      </c>
      <c r="D3924" s="460" t="s">
        <v>2285</v>
      </c>
      <c r="E3924" s="460" t="s">
        <v>2271</v>
      </c>
      <c r="F3924" s="460">
        <v>2</v>
      </c>
      <c r="G3924" s="460">
        <v>1</v>
      </c>
      <c r="H3924" s="461" t="s">
        <v>746</v>
      </c>
      <c r="I3924" s="461" t="s">
        <v>762</v>
      </c>
      <c r="J3924" s="461" t="s">
        <v>700</v>
      </c>
      <c r="K3924" s="594"/>
      <c r="L3924" s="594"/>
      <c r="M3924" s="352">
        <v>8000</v>
      </c>
      <c r="N3924" s="352" t="s">
        <v>760</v>
      </c>
      <c r="O3924" s="460">
        <v>5321</v>
      </c>
      <c r="P3924" s="460" t="s">
        <v>760</v>
      </c>
      <c r="Q3924" s="460" t="s">
        <v>2553</v>
      </c>
      <c r="R3924" s="460">
        <v>5321</v>
      </c>
      <c r="S3924" s="460" t="s">
        <v>2265</v>
      </c>
      <c r="T3924" s="462">
        <v>1</v>
      </c>
      <c r="U3924" s="460" t="s">
        <v>2271</v>
      </c>
      <c r="V3924" s="475">
        <v>0</v>
      </c>
      <c r="W3924" s="463" t="s">
        <v>2268</v>
      </c>
      <c r="X3924" s="463" t="s">
        <v>2268</v>
      </c>
      <c r="Y3924" s="463" t="s">
        <v>2554</v>
      </c>
      <c r="Z3924" s="463"/>
      <c r="AA3924" s="463"/>
      <c r="AB3924" s="464">
        <v>0</v>
      </c>
      <c r="AC3924" s="465">
        <v>0</v>
      </c>
      <c r="AD3924" s="465">
        <v>0</v>
      </c>
      <c r="AE3924" s="476">
        <v>0</v>
      </c>
      <c r="AF3924" s="467">
        <v>0</v>
      </c>
      <c r="AG3924" s="468">
        <v>0</v>
      </c>
      <c r="AH3924" s="218">
        <v>0</v>
      </c>
      <c r="AI3924" s="470">
        <v>0</v>
      </c>
      <c r="AJ3924" s="471">
        <v>0</v>
      </c>
      <c r="AK3924" s="218">
        <v>0</v>
      </c>
      <c r="AL3924" s="470">
        <v>0</v>
      </c>
      <c r="AM3924" s="471">
        <v>0</v>
      </c>
      <c r="AN3924" s="477">
        <v>1867.1929238483178</v>
      </c>
      <c r="AO3924" s="473">
        <v>1.9637383537321123E-2</v>
      </c>
      <c r="AP3924" s="474">
        <v>2.7101692796388493E-2</v>
      </c>
      <c r="AQ3924" s="352"/>
      <c r="AR3924" s="352"/>
      <c r="AS3924" s="352"/>
      <c r="AT3924" s="352"/>
      <c r="AU3924" s="352"/>
      <c r="AV3924" s="352"/>
      <c r="AW3924" s="352" t="s">
        <v>254</v>
      </c>
    </row>
    <row r="3925" spans="2:49" x14ac:dyDescent="0.2">
      <c r="B3925" s="460" t="s">
        <v>3521</v>
      </c>
      <c r="C3925" s="460">
        <v>8000</v>
      </c>
      <c r="D3925" s="460" t="s">
        <v>2286</v>
      </c>
      <c r="E3925" s="460" t="s">
        <v>2274</v>
      </c>
      <c r="F3925" s="460">
        <v>3</v>
      </c>
      <c r="G3925" s="460">
        <v>1</v>
      </c>
      <c r="H3925" s="461" t="s">
        <v>746</v>
      </c>
      <c r="I3925" s="461" t="s">
        <v>762</v>
      </c>
      <c r="J3925" s="461" t="s">
        <v>700</v>
      </c>
      <c r="K3925" s="594"/>
      <c r="L3925" s="594"/>
      <c r="M3925" s="352">
        <v>8000</v>
      </c>
      <c r="N3925" s="352" t="s">
        <v>760</v>
      </c>
      <c r="O3925" s="460">
        <v>5321</v>
      </c>
      <c r="P3925" s="460" t="s">
        <v>760</v>
      </c>
      <c r="Q3925" s="460" t="s">
        <v>2553</v>
      </c>
      <c r="R3925" s="460">
        <v>5321</v>
      </c>
      <c r="S3925" s="460" t="s">
        <v>2265</v>
      </c>
      <c r="T3925" s="462">
        <v>0.74223365950407583</v>
      </c>
      <c r="U3925" s="460" t="s">
        <v>2274</v>
      </c>
      <c r="V3925" s="475">
        <v>0</v>
      </c>
      <c r="W3925" s="463" t="s">
        <v>2268</v>
      </c>
      <c r="X3925" s="463" t="s">
        <v>2268</v>
      </c>
      <c r="Y3925" s="463" t="s">
        <v>2554</v>
      </c>
      <c r="Z3925" s="463"/>
      <c r="AA3925" s="463"/>
      <c r="AB3925" s="464">
        <v>0</v>
      </c>
      <c r="AC3925" s="465">
        <v>0</v>
      </c>
      <c r="AD3925" s="465">
        <v>0</v>
      </c>
      <c r="AE3925" s="476">
        <v>0</v>
      </c>
      <c r="AF3925" s="467">
        <v>0</v>
      </c>
      <c r="AG3925" s="468">
        <v>0</v>
      </c>
      <c r="AH3925" s="218">
        <v>0</v>
      </c>
      <c r="AI3925" s="470">
        <v>0</v>
      </c>
      <c r="AJ3925" s="471">
        <v>0</v>
      </c>
      <c r="AK3925" s="218">
        <v>0</v>
      </c>
      <c r="AL3925" s="470">
        <v>0</v>
      </c>
      <c r="AM3925" s="471">
        <v>0</v>
      </c>
      <c r="AN3925" s="477">
        <v>913.50942801053463</v>
      </c>
      <c r="AO3925" s="473">
        <v>1.457552704599095E-2</v>
      </c>
      <c r="AP3925" s="474">
        <v>4.6118697223903903E-2</v>
      </c>
      <c r="AQ3925" s="352"/>
      <c r="AR3925" s="352"/>
      <c r="AS3925" s="352"/>
      <c r="AT3925" s="352"/>
      <c r="AU3925" s="352"/>
      <c r="AV3925" s="352"/>
      <c r="AW3925" s="352" t="s">
        <v>254</v>
      </c>
    </row>
    <row r="3926" spans="2:49" x14ac:dyDescent="0.2">
      <c r="B3926" s="460" t="s">
        <v>3522</v>
      </c>
      <c r="C3926" s="460">
        <v>8000</v>
      </c>
      <c r="D3926" s="460" t="s">
        <v>2287</v>
      </c>
      <c r="E3926" s="460" t="s">
        <v>2277</v>
      </c>
      <c r="F3926" s="460">
        <v>4</v>
      </c>
      <c r="G3926" s="460">
        <v>1</v>
      </c>
      <c r="H3926" s="461" t="s">
        <v>746</v>
      </c>
      <c r="I3926" s="461" t="s">
        <v>762</v>
      </c>
      <c r="J3926" s="461" t="s">
        <v>700</v>
      </c>
      <c r="K3926" s="594"/>
      <c r="L3926" s="594"/>
      <c r="M3926" s="352">
        <v>8000</v>
      </c>
      <c r="N3926" s="352" t="s">
        <v>760</v>
      </c>
      <c r="O3926" s="460">
        <v>5321</v>
      </c>
      <c r="P3926" s="460" t="s">
        <v>760</v>
      </c>
      <c r="Q3926" s="460" t="s">
        <v>2553</v>
      </c>
      <c r="R3926" s="460">
        <v>5321</v>
      </c>
      <c r="S3926" s="460" t="s">
        <v>2277</v>
      </c>
      <c r="T3926" s="462">
        <v>1</v>
      </c>
      <c r="U3926" s="460" t="s">
        <v>2277</v>
      </c>
      <c r="V3926" s="475">
        <v>0</v>
      </c>
      <c r="W3926" s="463" t="s">
        <v>2268</v>
      </c>
      <c r="X3926" s="463" t="s">
        <v>2268</v>
      </c>
      <c r="Y3926" s="463" t="s">
        <v>2554</v>
      </c>
      <c r="Z3926" s="463"/>
      <c r="AA3926" s="463"/>
      <c r="AB3926" s="464">
        <v>0</v>
      </c>
      <c r="AC3926" s="465">
        <v>0</v>
      </c>
      <c r="AD3926" s="465">
        <v>0</v>
      </c>
      <c r="AE3926" s="476">
        <v>0</v>
      </c>
      <c r="AF3926" s="467">
        <v>0</v>
      </c>
      <c r="AG3926" s="468">
        <v>0</v>
      </c>
      <c r="AH3926" s="218">
        <v>0</v>
      </c>
      <c r="AI3926" s="470">
        <v>0</v>
      </c>
      <c r="AJ3926" s="471">
        <v>0</v>
      </c>
      <c r="AK3926" s="218">
        <v>0</v>
      </c>
      <c r="AL3926" s="470">
        <v>0</v>
      </c>
      <c r="AM3926" s="471">
        <v>0</v>
      </c>
      <c r="AN3926" s="477">
        <v>3.3666910082535271</v>
      </c>
      <c r="AO3926" s="473">
        <v>4.7378510617036642E-5</v>
      </c>
      <c r="AP3926" s="474">
        <v>1.7647946571298877E-2</v>
      </c>
      <c r="AQ3926" s="352"/>
      <c r="AR3926" s="352"/>
      <c r="AS3926" s="352"/>
      <c r="AT3926" s="352"/>
      <c r="AU3926" s="352"/>
      <c r="AV3926" s="352"/>
      <c r="AW3926" s="352" t="s">
        <v>254</v>
      </c>
    </row>
    <row r="3927" spans="2:49" x14ac:dyDescent="0.2">
      <c r="B3927" s="460" t="s">
        <v>3519</v>
      </c>
      <c r="C3927" s="460">
        <v>8000</v>
      </c>
      <c r="D3927" s="460" t="s">
        <v>2288</v>
      </c>
      <c r="E3927" s="460" t="s">
        <v>2265</v>
      </c>
      <c r="F3927" s="460">
        <v>1</v>
      </c>
      <c r="G3927" s="460">
        <v>1</v>
      </c>
      <c r="H3927" s="461" t="s">
        <v>748</v>
      </c>
      <c r="I3927" s="461" t="s">
        <v>765</v>
      </c>
      <c r="J3927" s="461" t="s">
        <v>700</v>
      </c>
      <c r="K3927" s="594"/>
      <c r="L3927" s="594"/>
      <c r="M3927" s="352">
        <v>8000</v>
      </c>
      <c r="N3927" s="352" t="s">
        <v>760</v>
      </c>
      <c r="O3927" s="460">
        <v>5321</v>
      </c>
      <c r="P3927" s="460" t="s">
        <v>760</v>
      </c>
      <c r="Q3927" s="460" t="s">
        <v>2553</v>
      </c>
      <c r="R3927" s="460">
        <v>5321</v>
      </c>
      <c r="S3927" s="460" t="s">
        <v>2265</v>
      </c>
      <c r="T3927" s="462">
        <v>1</v>
      </c>
      <c r="U3927" s="460" t="s">
        <v>2265</v>
      </c>
      <c r="V3927" s="475">
        <v>0</v>
      </c>
      <c r="W3927" s="463" t="s">
        <v>2268</v>
      </c>
      <c r="X3927" s="463" t="s">
        <v>2268</v>
      </c>
      <c r="Y3927" s="463" t="s">
        <v>2554</v>
      </c>
      <c r="Z3927" s="463"/>
      <c r="AA3927" s="463"/>
      <c r="AB3927" s="464">
        <v>0</v>
      </c>
      <c r="AC3927" s="465">
        <v>0</v>
      </c>
      <c r="AD3927" s="465">
        <v>0</v>
      </c>
      <c r="AE3927" s="476">
        <v>0</v>
      </c>
      <c r="AF3927" s="467">
        <v>0</v>
      </c>
      <c r="AG3927" s="468">
        <v>0</v>
      </c>
      <c r="AH3927" s="218">
        <v>0</v>
      </c>
      <c r="AI3927" s="470">
        <v>0</v>
      </c>
      <c r="AJ3927" s="471">
        <v>0</v>
      </c>
      <c r="AK3927" s="218">
        <v>0</v>
      </c>
      <c r="AL3927" s="470">
        <v>0</v>
      </c>
      <c r="AM3927" s="471">
        <v>0</v>
      </c>
      <c r="AN3927" s="477">
        <v>1204.6213303936934</v>
      </c>
      <c r="AO3927" s="473">
        <v>9.818691768660558E-3</v>
      </c>
      <c r="AP3927" s="474">
        <v>7.4807721955979012E-2</v>
      </c>
      <c r="AQ3927" s="352"/>
      <c r="AR3927" s="352"/>
      <c r="AS3927" s="352"/>
      <c r="AT3927" s="352"/>
      <c r="AU3927" s="352"/>
      <c r="AV3927" s="352"/>
      <c r="AW3927" s="352" t="s">
        <v>254</v>
      </c>
    </row>
    <row r="3928" spans="2:49" x14ac:dyDescent="0.2">
      <c r="B3928" s="460" t="s">
        <v>3520</v>
      </c>
      <c r="C3928" s="460">
        <v>8000</v>
      </c>
      <c r="D3928" s="460" t="s">
        <v>2291</v>
      </c>
      <c r="E3928" s="460" t="s">
        <v>2271</v>
      </c>
      <c r="F3928" s="460">
        <v>2</v>
      </c>
      <c r="G3928" s="460">
        <v>1</v>
      </c>
      <c r="H3928" s="461" t="s">
        <v>748</v>
      </c>
      <c r="I3928" s="461" t="s">
        <v>765</v>
      </c>
      <c r="J3928" s="461" t="s">
        <v>700</v>
      </c>
      <c r="K3928" s="594"/>
      <c r="L3928" s="594"/>
      <c r="M3928" s="352">
        <v>8000</v>
      </c>
      <c r="N3928" s="352" t="s">
        <v>760</v>
      </c>
      <c r="O3928" s="460">
        <v>5321</v>
      </c>
      <c r="P3928" s="460" t="s">
        <v>760</v>
      </c>
      <c r="Q3928" s="460" t="s">
        <v>2553</v>
      </c>
      <c r="R3928" s="460">
        <v>5321</v>
      </c>
      <c r="S3928" s="460" t="s">
        <v>2265</v>
      </c>
      <c r="T3928" s="462">
        <v>1</v>
      </c>
      <c r="U3928" s="460" t="s">
        <v>2271</v>
      </c>
      <c r="V3928" s="475">
        <v>0</v>
      </c>
      <c r="W3928" s="463" t="s">
        <v>2268</v>
      </c>
      <c r="X3928" s="463" t="s">
        <v>2268</v>
      </c>
      <c r="Y3928" s="463" t="s">
        <v>2554</v>
      </c>
      <c r="Z3928" s="463"/>
      <c r="AA3928" s="463"/>
      <c r="AB3928" s="464">
        <v>0</v>
      </c>
      <c r="AC3928" s="465">
        <v>0</v>
      </c>
      <c r="AD3928" s="465">
        <v>0</v>
      </c>
      <c r="AE3928" s="476">
        <v>0</v>
      </c>
      <c r="AF3928" s="467">
        <v>0</v>
      </c>
      <c r="AG3928" s="468">
        <v>0</v>
      </c>
      <c r="AH3928" s="218">
        <v>0</v>
      </c>
      <c r="AI3928" s="470">
        <v>0</v>
      </c>
      <c r="AJ3928" s="471">
        <v>0</v>
      </c>
      <c r="AK3928" s="218">
        <v>0</v>
      </c>
      <c r="AL3928" s="470">
        <v>0</v>
      </c>
      <c r="AM3928" s="471">
        <v>0</v>
      </c>
      <c r="AN3928" s="477">
        <v>933.59646192415858</v>
      </c>
      <c r="AO3928" s="473">
        <v>9.818691768660558E-3</v>
      </c>
      <c r="AP3928" s="474">
        <v>5.9380541559617563E-2</v>
      </c>
      <c r="AQ3928" s="352"/>
      <c r="AR3928" s="352"/>
      <c r="AS3928" s="352"/>
      <c r="AT3928" s="352"/>
      <c r="AU3928" s="352"/>
      <c r="AV3928" s="352"/>
      <c r="AW3928" s="352" t="s">
        <v>254</v>
      </c>
    </row>
    <row r="3929" spans="2:49" x14ac:dyDescent="0.2">
      <c r="B3929" s="460" t="s">
        <v>3521</v>
      </c>
      <c r="C3929" s="460">
        <v>8000</v>
      </c>
      <c r="D3929" s="460" t="s">
        <v>2292</v>
      </c>
      <c r="E3929" s="460" t="s">
        <v>2274</v>
      </c>
      <c r="F3929" s="460">
        <v>3</v>
      </c>
      <c r="G3929" s="460">
        <v>1</v>
      </c>
      <c r="H3929" s="461" t="s">
        <v>748</v>
      </c>
      <c r="I3929" s="461" t="s">
        <v>765</v>
      </c>
      <c r="J3929" s="461" t="s">
        <v>700</v>
      </c>
      <c r="K3929" s="594"/>
      <c r="L3929" s="594"/>
      <c r="M3929" s="352">
        <v>8000</v>
      </c>
      <c r="N3929" s="352" t="s">
        <v>760</v>
      </c>
      <c r="O3929" s="460">
        <v>5321</v>
      </c>
      <c r="P3929" s="460" t="s">
        <v>760</v>
      </c>
      <c r="Q3929" s="460" t="s">
        <v>2553</v>
      </c>
      <c r="R3929" s="460">
        <v>5321</v>
      </c>
      <c r="S3929" s="460" t="s">
        <v>2265</v>
      </c>
      <c r="T3929" s="462">
        <v>0.74223365950407583</v>
      </c>
      <c r="U3929" s="460" t="s">
        <v>2274</v>
      </c>
      <c r="V3929" s="475">
        <v>0</v>
      </c>
      <c r="W3929" s="463" t="s">
        <v>2268</v>
      </c>
      <c r="X3929" s="463" t="s">
        <v>2268</v>
      </c>
      <c r="Y3929" s="463" t="s">
        <v>2554</v>
      </c>
      <c r="Z3929" s="463"/>
      <c r="AA3929" s="463"/>
      <c r="AB3929" s="464">
        <v>0</v>
      </c>
      <c r="AC3929" s="465">
        <v>0</v>
      </c>
      <c r="AD3929" s="465">
        <v>0</v>
      </c>
      <c r="AE3929" s="476">
        <v>0</v>
      </c>
      <c r="AF3929" s="467">
        <v>0</v>
      </c>
      <c r="AG3929" s="468">
        <v>0</v>
      </c>
      <c r="AH3929" s="218">
        <v>0</v>
      </c>
      <c r="AI3929" s="470">
        <v>0</v>
      </c>
      <c r="AJ3929" s="471">
        <v>0</v>
      </c>
      <c r="AK3929" s="218">
        <v>0</v>
      </c>
      <c r="AL3929" s="470">
        <v>0</v>
      </c>
      <c r="AM3929" s="471">
        <v>0</v>
      </c>
      <c r="AN3929" s="477">
        <v>456.7547140052672</v>
      </c>
      <c r="AO3929" s="473">
        <v>7.2877635229954734E-3</v>
      </c>
      <c r="AP3929" s="474">
        <v>6.4309597280696934E-2</v>
      </c>
      <c r="AQ3929" s="352"/>
      <c r="AR3929" s="352"/>
      <c r="AS3929" s="352"/>
      <c r="AT3929" s="352"/>
      <c r="AU3929" s="352"/>
      <c r="AV3929" s="352"/>
      <c r="AW3929" s="352" t="s">
        <v>254</v>
      </c>
    </row>
    <row r="3930" spans="2:49" x14ac:dyDescent="0.2">
      <c r="B3930" s="460" t="s">
        <v>3522</v>
      </c>
      <c r="C3930" s="460">
        <v>8000</v>
      </c>
      <c r="D3930" s="460" t="s">
        <v>2293</v>
      </c>
      <c r="E3930" s="460" t="s">
        <v>2277</v>
      </c>
      <c r="F3930" s="460">
        <v>4</v>
      </c>
      <c r="G3930" s="460">
        <v>1</v>
      </c>
      <c r="H3930" s="461" t="s">
        <v>748</v>
      </c>
      <c r="I3930" s="461" t="s">
        <v>765</v>
      </c>
      <c r="J3930" s="461" t="s">
        <v>700</v>
      </c>
      <c r="K3930" s="594"/>
      <c r="L3930" s="594"/>
      <c r="M3930" s="352">
        <v>8000</v>
      </c>
      <c r="N3930" s="352" t="s">
        <v>760</v>
      </c>
      <c r="O3930" s="460">
        <v>5321</v>
      </c>
      <c r="P3930" s="460" t="s">
        <v>760</v>
      </c>
      <c r="Q3930" s="460" t="s">
        <v>2553</v>
      </c>
      <c r="R3930" s="460">
        <v>5321</v>
      </c>
      <c r="S3930" s="460" t="s">
        <v>2277</v>
      </c>
      <c r="T3930" s="462">
        <v>1</v>
      </c>
      <c r="U3930" s="460" t="s">
        <v>2277</v>
      </c>
      <c r="V3930" s="475">
        <v>0</v>
      </c>
      <c r="W3930" s="463" t="s">
        <v>2268</v>
      </c>
      <c r="X3930" s="463" t="s">
        <v>2268</v>
      </c>
      <c r="Y3930" s="463" t="s">
        <v>2554</v>
      </c>
      <c r="Z3930" s="463"/>
      <c r="AA3930" s="463"/>
      <c r="AB3930" s="464">
        <v>0</v>
      </c>
      <c r="AC3930" s="465">
        <v>0</v>
      </c>
      <c r="AD3930" s="465">
        <v>0</v>
      </c>
      <c r="AE3930" s="476">
        <v>0</v>
      </c>
      <c r="AF3930" s="467">
        <v>0</v>
      </c>
      <c r="AG3930" s="468">
        <v>0</v>
      </c>
      <c r="AH3930" s="218">
        <v>0</v>
      </c>
      <c r="AI3930" s="470">
        <v>0</v>
      </c>
      <c r="AJ3930" s="471">
        <v>0</v>
      </c>
      <c r="AK3930" s="218">
        <v>0</v>
      </c>
      <c r="AL3930" s="470">
        <v>0</v>
      </c>
      <c r="AM3930" s="471">
        <v>0</v>
      </c>
      <c r="AN3930" s="477">
        <v>1.6833455041267631</v>
      </c>
      <c r="AO3930" s="473">
        <v>2.3689255308518314E-5</v>
      </c>
      <c r="AP3930" s="474">
        <v>4.0646343896506058E-2</v>
      </c>
      <c r="AQ3930" s="352"/>
      <c r="AR3930" s="352"/>
      <c r="AS3930" s="352"/>
      <c r="AT3930" s="352"/>
      <c r="AU3930" s="352"/>
      <c r="AV3930" s="352"/>
      <c r="AW3930" s="352" t="s">
        <v>254</v>
      </c>
    </row>
    <row r="3931" spans="2:49" x14ac:dyDescent="0.2">
      <c r="B3931" s="460" t="s">
        <v>3519</v>
      </c>
      <c r="C3931" s="460">
        <v>8000</v>
      </c>
      <c r="D3931" s="460" t="s">
        <v>3446</v>
      </c>
      <c r="E3931" s="460" t="s">
        <v>2265</v>
      </c>
      <c r="F3931" s="460">
        <v>1</v>
      </c>
      <c r="G3931" s="460">
        <v>1</v>
      </c>
      <c r="H3931" s="461" t="s">
        <v>754</v>
      </c>
      <c r="I3931" s="461" t="s">
        <v>1991</v>
      </c>
      <c r="J3931" s="461" t="s">
        <v>754</v>
      </c>
      <c r="K3931" s="594"/>
      <c r="L3931" s="594"/>
      <c r="M3931" s="352">
        <v>8000</v>
      </c>
      <c r="N3931" s="352" t="s">
        <v>760</v>
      </c>
      <c r="O3931" s="460">
        <v>5321</v>
      </c>
      <c r="P3931" s="460" t="s">
        <v>760</v>
      </c>
      <c r="Q3931" s="460" t="s">
        <v>2377</v>
      </c>
      <c r="R3931" s="460">
        <v>5321</v>
      </c>
      <c r="S3931" s="460" t="s">
        <v>2265</v>
      </c>
      <c r="T3931" s="462">
        <v>1</v>
      </c>
      <c r="U3931" s="460" t="s">
        <v>2265</v>
      </c>
      <c r="V3931" s="475">
        <v>0</v>
      </c>
      <c r="W3931" s="463" t="s">
        <v>2278</v>
      </c>
      <c r="X3931" s="463" t="s">
        <v>2278</v>
      </c>
      <c r="Y3931" s="463" t="s">
        <v>2278</v>
      </c>
      <c r="Z3931" s="463"/>
      <c r="AA3931" s="463"/>
      <c r="AB3931" s="464">
        <v>0.82727791075577339</v>
      </c>
      <c r="AC3931" s="465">
        <v>6.7430209044013302E-6</v>
      </c>
      <c r="AD3931" s="465">
        <v>2.4073706756591248E-3</v>
      </c>
      <c r="AE3931" s="476">
        <v>0.82727791075577339</v>
      </c>
      <c r="AF3931" s="467">
        <v>6.7430209044013302E-6</v>
      </c>
      <c r="AG3931" s="468">
        <v>2.4073706756591248E-3</v>
      </c>
      <c r="AH3931" s="218">
        <v>0.82727791075577339</v>
      </c>
      <c r="AI3931" s="470">
        <v>6.7430209044013302E-6</v>
      </c>
      <c r="AJ3931" s="471">
        <v>2.4073706756591248E-3</v>
      </c>
      <c r="AK3931" s="218">
        <v>0.82727791075577339</v>
      </c>
      <c r="AL3931" s="470">
        <v>6.7430209044013302E-6</v>
      </c>
      <c r="AM3931" s="471">
        <v>2.4073706756591248E-3</v>
      </c>
      <c r="AN3931" s="477">
        <v>0.82727791075577339</v>
      </c>
      <c r="AO3931" s="473">
        <v>6.7430209044013302E-6</v>
      </c>
      <c r="AP3931" s="474">
        <v>2.4073706756591248E-3</v>
      </c>
      <c r="AQ3931" s="352"/>
      <c r="AR3931" s="352"/>
      <c r="AS3931" s="352"/>
      <c r="AT3931" s="352"/>
      <c r="AU3931" s="352"/>
      <c r="AV3931" s="352"/>
      <c r="AW3931" s="352" t="s">
        <v>127</v>
      </c>
    </row>
    <row r="3932" spans="2:49" x14ac:dyDescent="0.2">
      <c r="B3932" s="460" t="s">
        <v>3520</v>
      </c>
      <c r="C3932" s="460">
        <v>8000</v>
      </c>
      <c r="D3932" s="460" t="s">
        <v>3447</v>
      </c>
      <c r="E3932" s="460" t="s">
        <v>2271</v>
      </c>
      <c r="F3932" s="460">
        <v>2</v>
      </c>
      <c r="G3932" s="460">
        <v>1</v>
      </c>
      <c r="H3932" s="461" t="s">
        <v>754</v>
      </c>
      <c r="I3932" s="461" t="s">
        <v>1991</v>
      </c>
      <c r="J3932" s="461" t="s">
        <v>754</v>
      </c>
      <c r="K3932" s="594"/>
      <c r="L3932" s="594"/>
      <c r="M3932" s="352">
        <v>8000</v>
      </c>
      <c r="N3932" s="352" t="s">
        <v>760</v>
      </c>
      <c r="O3932" s="460">
        <v>5321</v>
      </c>
      <c r="P3932" s="460" t="s">
        <v>760</v>
      </c>
      <c r="Q3932" s="460" t="s">
        <v>2377</v>
      </c>
      <c r="R3932" s="460">
        <v>5321</v>
      </c>
      <c r="S3932" s="460" t="s">
        <v>2265</v>
      </c>
      <c r="T3932" s="462">
        <v>1</v>
      </c>
      <c r="U3932" s="460" t="s">
        <v>2271</v>
      </c>
      <c r="V3932" s="475">
        <v>0</v>
      </c>
      <c r="W3932" s="463" t="s">
        <v>2278</v>
      </c>
      <c r="X3932" s="463" t="s">
        <v>2278</v>
      </c>
      <c r="Y3932" s="463" t="s">
        <v>2278</v>
      </c>
      <c r="Z3932" s="463"/>
      <c r="AA3932" s="463"/>
      <c r="AB3932" s="464">
        <v>115.30040148398403</v>
      </c>
      <c r="AC3932" s="465">
        <v>1.2126214581413212E-3</v>
      </c>
      <c r="AD3932" s="465">
        <v>0.36484317006287043</v>
      </c>
      <c r="AE3932" s="476">
        <v>115.30040148398403</v>
      </c>
      <c r="AF3932" s="467">
        <v>1.2126214581413212E-3</v>
      </c>
      <c r="AG3932" s="468">
        <v>0.36484317006287043</v>
      </c>
      <c r="AH3932" s="218">
        <v>115.30040148398403</v>
      </c>
      <c r="AI3932" s="470">
        <v>1.2126214581413212E-3</v>
      </c>
      <c r="AJ3932" s="471">
        <v>0.36484317006287043</v>
      </c>
      <c r="AK3932" s="218">
        <v>115.30040148398403</v>
      </c>
      <c r="AL3932" s="470">
        <v>1.2126214581413212E-3</v>
      </c>
      <c r="AM3932" s="471">
        <v>0.36484317006287043</v>
      </c>
      <c r="AN3932" s="477">
        <v>115.30040148398403</v>
      </c>
      <c r="AO3932" s="473">
        <v>1.2126214581413212E-3</v>
      </c>
      <c r="AP3932" s="474">
        <v>0.36484317006287043</v>
      </c>
      <c r="AQ3932" s="352"/>
      <c r="AR3932" s="352"/>
      <c r="AS3932" s="352"/>
      <c r="AT3932" s="352"/>
      <c r="AU3932" s="352"/>
      <c r="AV3932" s="352"/>
      <c r="AW3932" s="352" t="s">
        <v>127</v>
      </c>
    </row>
    <row r="3933" spans="2:49" x14ac:dyDescent="0.2">
      <c r="B3933" s="460" t="s">
        <v>3521</v>
      </c>
      <c r="C3933" s="460">
        <v>8000</v>
      </c>
      <c r="D3933" s="460" t="s">
        <v>3448</v>
      </c>
      <c r="E3933" s="460" t="s">
        <v>2274</v>
      </c>
      <c r="F3933" s="460">
        <v>3</v>
      </c>
      <c r="G3933" s="460">
        <v>1</v>
      </c>
      <c r="H3933" s="461" t="s">
        <v>754</v>
      </c>
      <c r="I3933" s="461" t="s">
        <v>1991</v>
      </c>
      <c r="J3933" s="461" t="s">
        <v>754</v>
      </c>
      <c r="K3933" s="594"/>
      <c r="L3933" s="594"/>
      <c r="M3933" s="352">
        <v>8000</v>
      </c>
      <c r="N3933" s="352" t="s">
        <v>760</v>
      </c>
      <c r="O3933" s="460">
        <v>5321</v>
      </c>
      <c r="P3933" s="460" t="s">
        <v>760</v>
      </c>
      <c r="Q3933" s="460" t="s">
        <v>2377</v>
      </c>
      <c r="R3933" s="460">
        <v>5321</v>
      </c>
      <c r="S3933" s="460" t="s">
        <v>2265</v>
      </c>
      <c r="T3933" s="462">
        <v>0.74223365950407583</v>
      </c>
      <c r="U3933" s="460" t="s">
        <v>2274</v>
      </c>
      <c r="V3933" s="475">
        <v>0</v>
      </c>
      <c r="W3933" s="463" t="s">
        <v>2278</v>
      </c>
      <c r="X3933" s="463" t="s">
        <v>2278</v>
      </c>
      <c r="Y3933" s="463" t="s">
        <v>2278</v>
      </c>
      <c r="Z3933" s="463"/>
      <c r="AA3933" s="463"/>
      <c r="AB3933" s="464">
        <v>0.40001166332805393</v>
      </c>
      <c r="AC3933" s="465">
        <v>6.3823980779787201E-6</v>
      </c>
      <c r="AD3933" s="465">
        <v>2.8921286435290502E-2</v>
      </c>
      <c r="AE3933" s="476">
        <v>0.40001166332805393</v>
      </c>
      <c r="AF3933" s="467">
        <v>6.3823980779787201E-6</v>
      </c>
      <c r="AG3933" s="468">
        <v>2.8921286435290502E-2</v>
      </c>
      <c r="AH3933" s="218">
        <v>0.40001166332805393</v>
      </c>
      <c r="AI3933" s="470">
        <v>6.3823980779787201E-6</v>
      </c>
      <c r="AJ3933" s="471">
        <v>2.8921286435290502E-2</v>
      </c>
      <c r="AK3933" s="218">
        <v>0.40001166332805393</v>
      </c>
      <c r="AL3933" s="470">
        <v>6.3823980779787201E-6</v>
      </c>
      <c r="AM3933" s="471">
        <v>2.8921286435290502E-2</v>
      </c>
      <c r="AN3933" s="477">
        <v>0.40001166332805393</v>
      </c>
      <c r="AO3933" s="473">
        <v>6.3823980779787201E-6</v>
      </c>
      <c r="AP3933" s="474">
        <v>2.8921286435290502E-2</v>
      </c>
      <c r="AQ3933" s="352"/>
      <c r="AR3933" s="352"/>
      <c r="AS3933" s="352"/>
      <c r="AT3933" s="352"/>
      <c r="AU3933" s="352"/>
      <c r="AV3933" s="352"/>
      <c r="AW3933" s="352" t="s">
        <v>127</v>
      </c>
    </row>
    <row r="3934" spans="2:49" x14ac:dyDescent="0.2">
      <c r="B3934" s="460" t="s">
        <v>3522</v>
      </c>
      <c r="C3934" s="460">
        <v>8000</v>
      </c>
      <c r="D3934" s="460" t="s">
        <v>3449</v>
      </c>
      <c r="E3934" s="460" t="s">
        <v>2277</v>
      </c>
      <c r="F3934" s="460">
        <v>4</v>
      </c>
      <c r="G3934" s="460">
        <v>1</v>
      </c>
      <c r="H3934" s="461" t="s">
        <v>754</v>
      </c>
      <c r="I3934" s="461" t="s">
        <v>1991</v>
      </c>
      <c r="J3934" s="461" t="s">
        <v>754</v>
      </c>
      <c r="K3934" s="594"/>
      <c r="L3934" s="594"/>
      <c r="M3934" s="352">
        <v>8000</v>
      </c>
      <c r="N3934" s="352" t="s">
        <v>760</v>
      </c>
      <c r="O3934" s="460">
        <v>5321</v>
      </c>
      <c r="P3934" s="460" t="s">
        <v>760</v>
      </c>
      <c r="Q3934" s="460" t="s">
        <v>2377</v>
      </c>
      <c r="R3934" s="460">
        <v>5321</v>
      </c>
      <c r="S3934" s="460" t="s">
        <v>2277</v>
      </c>
      <c r="T3934" s="462">
        <v>1</v>
      </c>
      <c r="U3934" s="460" t="s">
        <v>2277</v>
      </c>
      <c r="V3934" s="475">
        <v>0</v>
      </c>
      <c r="W3934" s="463" t="s">
        <v>2278</v>
      </c>
      <c r="X3934" s="463" t="s">
        <v>2278</v>
      </c>
      <c r="Y3934" s="463" t="s">
        <v>2278</v>
      </c>
      <c r="Z3934" s="463"/>
      <c r="AA3934" s="463"/>
      <c r="AB3934" s="464">
        <v>1.7958327794343927</v>
      </c>
      <c r="AC3934" s="465">
        <v>2.527225759604001E-5</v>
      </c>
      <c r="AD3934" s="465">
        <v>0.28255827785637744</v>
      </c>
      <c r="AE3934" s="476">
        <v>1.7958327794343927</v>
      </c>
      <c r="AF3934" s="467">
        <v>2.527225759604001E-5</v>
      </c>
      <c r="AG3934" s="468">
        <v>0.28255827785637744</v>
      </c>
      <c r="AH3934" s="218">
        <v>1.7958327794343927</v>
      </c>
      <c r="AI3934" s="470">
        <v>2.527225759604001E-5</v>
      </c>
      <c r="AJ3934" s="471">
        <v>0.28255827785637744</v>
      </c>
      <c r="AK3934" s="218">
        <v>1.7958327794343927</v>
      </c>
      <c r="AL3934" s="470">
        <v>2.527225759604001E-5</v>
      </c>
      <c r="AM3934" s="471">
        <v>0.28255827785637744</v>
      </c>
      <c r="AN3934" s="477">
        <v>1.7958327794343927</v>
      </c>
      <c r="AO3934" s="473">
        <v>2.527225759604001E-5</v>
      </c>
      <c r="AP3934" s="474">
        <v>0.28255827785637744</v>
      </c>
      <c r="AQ3934" s="352"/>
      <c r="AR3934" s="352"/>
      <c r="AS3934" s="352"/>
      <c r="AT3934" s="352"/>
      <c r="AU3934" s="352"/>
      <c r="AV3934" s="352"/>
      <c r="AW3934" s="352" t="s">
        <v>127</v>
      </c>
    </row>
    <row r="3935" spans="2:49" x14ac:dyDescent="0.2">
      <c r="B3935" s="460" t="s">
        <v>3523</v>
      </c>
      <c r="C3935" s="460">
        <v>8000</v>
      </c>
      <c r="D3935" s="460" t="s">
        <v>2295</v>
      </c>
      <c r="E3935" s="460" t="s">
        <v>2296</v>
      </c>
      <c r="F3935" s="460">
        <v>1</v>
      </c>
      <c r="G3935" s="460">
        <v>2</v>
      </c>
      <c r="H3935" s="461" t="s">
        <v>700</v>
      </c>
      <c r="I3935" s="461" t="s">
        <v>872</v>
      </c>
      <c r="J3935" s="461" t="s">
        <v>700</v>
      </c>
      <c r="K3935" s="594"/>
      <c r="L3935" s="594"/>
      <c r="M3935" s="352">
        <v>8000</v>
      </c>
      <c r="N3935" s="352" t="s">
        <v>760</v>
      </c>
      <c r="O3935" s="460">
        <v>5321</v>
      </c>
      <c r="P3935" s="460" t="s">
        <v>760</v>
      </c>
      <c r="Q3935" s="460" t="s">
        <v>2553</v>
      </c>
      <c r="R3935" s="460">
        <v>5321</v>
      </c>
      <c r="S3935" s="460" t="s">
        <v>2296</v>
      </c>
      <c r="T3935" s="462">
        <v>1</v>
      </c>
      <c r="U3935" s="460" t="s">
        <v>2296</v>
      </c>
      <c r="V3935" s="475">
        <v>0</v>
      </c>
      <c r="W3935" s="463" t="s">
        <v>2554</v>
      </c>
      <c r="X3935" s="463" t="s">
        <v>2554</v>
      </c>
      <c r="Y3935" s="463" t="s">
        <v>2268</v>
      </c>
      <c r="Z3935" s="463"/>
      <c r="AA3935" s="463"/>
      <c r="AB3935" s="464">
        <v>1650.3962963529057</v>
      </c>
      <c r="AC3935" s="465">
        <v>3.7027499380108186E-2</v>
      </c>
      <c r="AD3935" s="465">
        <v>9.6405797399337315E-2</v>
      </c>
      <c r="AE3935" s="476">
        <v>990.23777781174329</v>
      </c>
      <c r="AF3935" s="467">
        <v>2.221649962806491E-2</v>
      </c>
      <c r="AG3935" s="468">
        <v>6.4296177264924939E-2</v>
      </c>
      <c r="AH3935" s="218">
        <v>990.23777781174329</v>
      </c>
      <c r="AI3935" s="470">
        <v>2.221649962806491E-2</v>
      </c>
      <c r="AJ3935" s="471">
        <v>5.9070994177492772E-2</v>
      </c>
      <c r="AK3935" s="218">
        <v>990.23777781174329</v>
      </c>
      <c r="AL3935" s="470">
        <v>2.221649962806491E-2</v>
      </c>
      <c r="AM3935" s="471">
        <v>5.9070994177492772E-2</v>
      </c>
      <c r="AN3935" s="477">
        <v>0</v>
      </c>
      <c r="AO3935" s="473">
        <v>0</v>
      </c>
      <c r="AP3935" s="474">
        <v>0</v>
      </c>
      <c r="AQ3935" s="352"/>
      <c r="AR3935" s="352"/>
      <c r="AS3935" s="352"/>
      <c r="AT3935" s="352"/>
      <c r="AU3935" s="352"/>
      <c r="AV3935" s="352"/>
      <c r="AW3935" s="352" t="s">
        <v>254</v>
      </c>
    </row>
    <row r="3936" spans="2:49" x14ac:dyDescent="0.2">
      <c r="B3936" s="460" t="s">
        <v>3524</v>
      </c>
      <c r="C3936" s="460">
        <v>8000</v>
      </c>
      <c r="D3936" s="460" t="s">
        <v>2298</v>
      </c>
      <c r="E3936" s="460" t="s">
        <v>2299</v>
      </c>
      <c r="F3936" s="460">
        <v>2</v>
      </c>
      <c r="G3936" s="460">
        <v>2</v>
      </c>
      <c r="H3936" s="461" t="s">
        <v>700</v>
      </c>
      <c r="I3936" s="461" t="s">
        <v>872</v>
      </c>
      <c r="J3936" s="461" t="s">
        <v>700</v>
      </c>
      <c r="K3936" s="594"/>
      <c r="L3936" s="594"/>
      <c r="M3936" s="352">
        <v>8000</v>
      </c>
      <c r="N3936" s="352" t="s">
        <v>760</v>
      </c>
      <c r="O3936" s="460">
        <v>5321</v>
      </c>
      <c r="P3936" s="460" t="s">
        <v>760</v>
      </c>
      <c r="Q3936" s="460" t="s">
        <v>2553</v>
      </c>
      <c r="R3936" s="460">
        <v>5321</v>
      </c>
      <c r="S3936" s="460" t="s">
        <v>2296</v>
      </c>
      <c r="T3936" s="462">
        <v>0.55517361979372948</v>
      </c>
      <c r="U3936" s="460" t="s">
        <v>2299</v>
      </c>
      <c r="V3936" s="475">
        <v>0</v>
      </c>
      <c r="W3936" s="463" t="s">
        <v>2554</v>
      </c>
      <c r="X3936" s="463" t="s">
        <v>2554</v>
      </c>
      <c r="Y3936" s="463" t="s">
        <v>2268</v>
      </c>
      <c r="Z3936" s="463"/>
      <c r="AA3936" s="463"/>
      <c r="AB3936" s="464">
        <v>245.49612268083069</v>
      </c>
      <c r="AC3936" s="465">
        <v>8.5089263620627218E-3</v>
      </c>
      <c r="AD3936" s="465">
        <v>7.4282077791818377E-2</v>
      </c>
      <c r="AE3936" s="476">
        <v>147.29767360849843</v>
      </c>
      <c r="AF3936" s="467">
        <v>5.1053558172376333E-3</v>
      </c>
      <c r="AG3936" s="468">
        <v>5.0015297956066282E-2</v>
      </c>
      <c r="AH3936" s="218">
        <v>355.85602840265852</v>
      </c>
      <c r="AI3936" s="470">
        <v>1.2334014517658842E-2</v>
      </c>
      <c r="AJ3936" s="471">
        <v>8.3799674484346207E-2</v>
      </c>
      <c r="AK3936" s="218">
        <v>355.85602840265852</v>
      </c>
      <c r="AL3936" s="470">
        <v>1.2334014517658842E-2</v>
      </c>
      <c r="AM3936" s="471">
        <v>8.3799674484346207E-2</v>
      </c>
      <c r="AN3936" s="477">
        <v>0</v>
      </c>
      <c r="AO3936" s="473">
        <v>0</v>
      </c>
      <c r="AP3936" s="474">
        <v>0</v>
      </c>
      <c r="AQ3936" s="352"/>
      <c r="AR3936" s="352"/>
      <c r="AS3936" s="352"/>
      <c r="AT3936" s="352"/>
      <c r="AU3936" s="352"/>
      <c r="AV3936" s="352"/>
      <c r="AW3936" s="352" t="s">
        <v>254</v>
      </c>
    </row>
    <row r="3937" spans="2:49" x14ac:dyDescent="0.2">
      <c r="B3937" s="460" t="s">
        <v>3525</v>
      </c>
      <c r="C3937" s="460">
        <v>8000</v>
      </c>
      <c r="D3937" s="460" t="s">
        <v>2301</v>
      </c>
      <c r="E3937" s="460" t="s">
        <v>2302</v>
      </c>
      <c r="F3937" s="460">
        <v>3</v>
      </c>
      <c r="G3937" s="460">
        <v>2</v>
      </c>
      <c r="H3937" s="461" t="s">
        <v>700</v>
      </c>
      <c r="I3937" s="461" t="s">
        <v>872</v>
      </c>
      <c r="J3937" s="461" t="s">
        <v>700</v>
      </c>
      <c r="K3937" s="594"/>
      <c r="L3937" s="594"/>
      <c r="M3937" s="352">
        <v>8000</v>
      </c>
      <c r="N3937" s="352" t="s">
        <v>760</v>
      </c>
      <c r="O3937" s="460">
        <v>5321</v>
      </c>
      <c r="P3937" s="460" t="s">
        <v>760</v>
      </c>
      <c r="Q3937" s="460" t="s">
        <v>2553</v>
      </c>
      <c r="R3937" s="460">
        <v>5321</v>
      </c>
      <c r="S3937" s="460" t="s">
        <v>2296</v>
      </c>
      <c r="T3937" s="462">
        <v>0.28481449642268464</v>
      </c>
      <c r="U3937" s="460" t="s">
        <v>2302</v>
      </c>
      <c r="V3937" s="475">
        <v>0</v>
      </c>
      <c r="W3937" s="463" t="s">
        <v>2554</v>
      </c>
      <c r="X3937" s="463" t="s">
        <v>2554</v>
      </c>
      <c r="Y3937" s="463" t="s">
        <v>2268</v>
      </c>
      <c r="Z3937" s="463"/>
      <c r="AA3937" s="463"/>
      <c r="AB3937" s="464">
        <v>36.963961049061055</v>
      </c>
      <c r="AC3937" s="465">
        <v>2.6431884353698564E-3</v>
      </c>
      <c r="AD3937" s="465">
        <v>7.1900000000000089E-2</v>
      </c>
      <c r="AE3937" s="476">
        <v>22.178376629436634</v>
      </c>
      <c r="AF3937" s="467">
        <v>1.5859130612219138E-3</v>
      </c>
      <c r="AG3937" s="468">
        <v>4.8680835481508034E-2</v>
      </c>
      <c r="AH3937" s="218">
        <v>88.488758567325874</v>
      </c>
      <c r="AI3937" s="470">
        <v>6.3275811538420689E-3</v>
      </c>
      <c r="AJ3937" s="471">
        <v>9.1861854686318717E-2</v>
      </c>
      <c r="AK3937" s="218">
        <v>88.488758567325874</v>
      </c>
      <c r="AL3937" s="470">
        <v>6.3275811538420689E-3</v>
      </c>
      <c r="AM3937" s="471">
        <v>9.1861854686318717E-2</v>
      </c>
      <c r="AN3937" s="477">
        <v>0</v>
      </c>
      <c r="AO3937" s="473">
        <v>0</v>
      </c>
      <c r="AP3937" s="474">
        <v>0</v>
      </c>
      <c r="AQ3937" s="352"/>
      <c r="AR3937" s="352"/>
      <c r="AS3937" s="352"/>
      <c r="AT3937" s="352"/>
      <c r="AU3937" s="352"/>
      <c r="AV3937" s="352"/>
      <c r="AW3937" s="352" t="s">
        <v>254</v>
      </c>
    </row>
    <row r="3938" spans="2:49" x14ac:dyDescent="0.2">
      <c r="B3938" s="460" t="s">
        <v>3526</v>
      </c>
      <c r="C3938" s="460">
        <v>8000</v>
      </c>
      <c r="D3938" s="460" t="s">
        <v>2304</v>
      </c>
      <c r="E3938" s="460" t="s">
        <v>2305</v>
      </c>
      <c r="F3938" s="460">
        <v>4</v>
      </c>
      <c r="G3938" s="460">
        <v>2</v>
      </c>
      <c r="H3938" s="461" t="s">
        <v>700</v>
      </c>
      <c r="I3938" s="461" t="s">
        <v>872</v>
      </c>
      <c r="J3938" s="461" t="s">
        <v>700</v>
      </c>
      <c r="K3938" s="594"/>
      <c r="L3938" s="594"/>
      <c r="M3938" s="352">
        <v>8000</v>
      </c>
      <c r="N3938" s="352" t="s">
        <v>760</v>
      </c>
      <c r="O3938" s="460">
        <v>5321</v>
      </c>
      <c r="P3938" s="460" t="s">
        <v>760</v>
      </c>
      <c r="Q3938" s="460" t="s">
        <v>2553</v>
      </c>
      <c r="R3938" s="460">
        <v>5321</v>
      </c>
      <c r="S3938" s="460" t="s">
        <v>2305</v>
      </c>
      <c r="T3938" s="462">
        <v>1</v>
      </c>
      <c r="U3938" s="460" t="s">
        <v>2305</v>
      </c>
      <c r="V3938" s="475">
        <v>0</v>
      </c>
      <c r="W3938" s="463" t="s">
        <v>2554</v>
      </c>
      <c r="X3938" s="463" t="s">
        <v>2554</v>
      </c>
      <c r="Y3938" s="463" t="s">
        <v>2268</v>
      </c>
      <c r="Z3938" s="463"/>
      <c r="AA3938" s="463"/>
      <c r="AB3938" s="464">
        <v>0.90813679645130252</v>
      </c>
      <c r="AC3938" s="465">
        <v>5.6909472276206241E-5</v>
      </c>
      <c r="AD3938" s="465">
        <v>7.1900000000000047E-2</v>
      </c>
      <c r="AE3938" s="476">
        <v>0.54488207787078147</v>
      </c>
      <c r="AF3938" s="467">
        <v>3.4145683365723742E-5</v>
      </c>
      <c r="AG3938" s="468">
        <v>4.7903485743150051E-2</v>
      </c>
      <c r="AH3938" s="218">
        <v>0.54488207787078147</v>
      </c>
      <c r="AI3938" s="470">
        <v>3.4145683365723742E-5</v>
      </c>
      <c r="AJ3938" s="471">
        <v>4.7704695329661692E-2</v>
      </c>
      <c r="AK3938" s="218">
        <v>0.54488207787078147</v>
      </c>
      <c r="AL3938" s="470">
        <v>3.4145683365723742E-5</v>
      </c>
      <c r="AM3938" s="471">
        <v>4.7704695329661692E-2</v>
      </c>
      <c r="AN3938" s="477">
        <v>0</v>
      </c>
      <c r="AO3938" s="473">
        <v>0</v>
      </c>
      <c r="AP3938" s="474">
        <v>0</v>
      </c>
      <c r="AQ3938" s="352"/>
      <c r="AR3938" s="352"/>
      <c r="AS3938" s="352"/>
      <c r="AT3938" s="352"/>
      <c r="AU3938" s="352"/>
      <c r="AV3938" s="352"/>
      <c r="AW3938" s="352" t="s">
        <v>254</v>
      </c>
    </row>
    <row r="3939" spans="2:49" x14ac:dyDescent="0.2">
      <c r="B3939" s="460" t="s">
        <v>3523</v>
      </c>
      <c r="C3939" s="460">
        <v>8000</v>
      </c>
      <c r="D3939" s="460" t="s">
        <v>2306</v>
      </c>
      <c r="E3939" s="460" t="s">
        <v>2296</v>
      </c>
      <c r="F3939" s="460">
        <v>1</v>
      </c>
      <c r="G3939" s="460">
        <v>2</v>
      </c>
      <c r="H3939" s="461" t="s">
        <v>712</v>
      </c>
      <c r="I3939" s="461" t="s">
        <v>713</v>
      </c>
      <c r="J3939" s="461" t="s">
        <v>712</v>
      </c>
      <c r="K3939" s="594"/>
      <c r="L3939" s="594"/>
      <c r="M3939" s="352">
        <v>8000</v>
      </c>
      <c r="N3939" s="352" t="s">
        <v>760</v>
      </c>
      <c r="O3939" s="460">
        <v>5321</v>
      </c>
      <c r="P3939" s="460" t="s">
        <v>760</v>
      </c>
      <c r="Q3939" s="460" t="s">
        <v>2280</v>
      </c>
      <c r="R3939" s="460">
        <v>5321</v>
      </c>
      <c r="S3939" s="460" t="s">
        <v>2296</v>
      </c>
      <c r="T3939" s="462">
        <v>1</v>
      </c>
      <c r="U3939" s="460" t="s">
        <v>2296</v>
      </c>
      <c r="V3939" s="475">
        <v>0</v>
      </c>
      <c r="W3939" s="463" t="s">
        <v>713</v>
      </c>
      <c r="X3939" s="463" t="s">
        <v>713</v>
      </c>
      <c r="Y3939" s="463" t="s">
        <v>713</v>
      </c>
      <c r="Z3939" s="463"/>
      <c r="AA3939" s="463"/>
      <c r="AB3939" s="464">
        <v>42921.751316518566</v>
      </c>
      <c r="AC3939" s="465">
        <v>0.96297181699789203</v>
      </c>
      <c r="AD3939" s="465">
        <v>0.37122923472099795</v>
      </c>
      <c r="AE3939" s="476">
        <v>43581.909835059734</v>
      </c>
      <c r="AF3939" s="467">
        <v>0.97778281674993539</v>
      </c>
      <c r="AG3939" s="468">
        <v>0.371419794266869</v>
      </c>
      <c r="AH3939" s="218">
        <v>43581.909835059734</v>
      </c>
      <c r="AI3939" s="470">
        <v>0.97778281674993539</v>
      </c>
      <c r="AJ3939" s="471">
        <v>0.37578271332068675</v>
      </c>
      <c r="AK3939" s="218">
        <v>43581.909835059734</v>
      </c>
      <c r="AL3939" s="470">
        <v>0.97778281674993539</v>
      </c>
      <c r="AM3939" s="471">
        <v>0.37578271332068675</v>
      </c>
      <c r="AN3939" s="477">
        <v>43581.909835059734</v>
      </c>
      <c r="AO3939" s="473">
        <v>0.97778281674993539</v>
      </c>
      <c r="AP3939" s="474">
        <v>0.37569049106973723</v>
      </c>
      <c r="AQ3939" s="352"/>
      <c r="AR3939" s="352"/>
      <c r="AS3939" s="352"/>
      <c r="AT3939" s="352"/>
      <c r="AU3939" s="352"/>
      <c r="AV3939" s="352"/>
      <c r="AW3939" s="352" t="s">
        <v>254</v>
      </c>
    </row>
    <row r="3940" spans="2:49" x14ac:dyDescent="0.2">
      <c r="B3940" s="460" t="s">
        <v>3524</v>
      </c>
      <c r="C3940" s="460">
        <v>8000</v>
      </c>
      <c r="D3940" s="460" t="s">
        <v>2307</v>
      </c>
      <c r="E3940" s="460" t="s">
        <v>2299</v>
      </c>
      <c r="F3940" s="460">
        <v>2</v>
      </c>
      <c r="G3940" s="460">
        <v>2</v>
      </c>
      <c r="H3940" s="461" t="s">
        <v>712</v>
      </c>
      <c r="I3940" s="461" t="s">
        <v>713</v>
      </c>
      <c r="J3940" s="461" t="s">
        <v>712</v>
      </c>
      <c r="K3940" s="594"/>
      <c r="L3940" s="594"/>
      <c r="M3940" s="352">
        <v>8000</v>
      </c>
      <c r="N3940" s="352" t="s">
        <v>760</v>
      </c>
      <c r="O3940" s="460">
        <v>5321</v>
      </c>
      <c r="P3940" s="460" t="s">
        <v>760</v>
      </c>
      <c r="Q3940" s="460" t="s">
        <v>2280</v>
      </c>
      <c r="R3940" s="460">
        <v>5321</v>
      </c>
      <c r="S3940" s="460" t="s">
        <v>2296</v>
      </c>
      <c r="T3940" s="462">
        <v>0.55517361979372948</v>
      </c>
      <c r="U3940" s="460" t="s">
        <v>2299</v>
      </c>
      <c r="V3940" s="475">
        <v>0</v>
      </c>
      <c r="W3940" s="463" t="s">
        <v>713</v>
      </c>
      <c r="X3940" s="463" t="s">
        <v>713</v>
      </c>
      <c r="Y3940" s="463" t="s">
        <v>713</v>
      </c>
      <c r="Z3940" s="463"/>
      <c r="AA3940" s="463"/>
      <c r="AB3940" s="464">
        <v>28606.101862157986</v>
      </c>
      <c r="AC3940" s="465">
        <v>0.99149107363793731</v>
      </c>
      <c r="AD3940" s="465">
        <v>0.33087970122383226</v>
      </c>
      <c r="AE3940" s="476">
        <v>28704.300311230319</v>
      </c>
      <c r="AF3940" s="467">
        <v>0.99489464418276241</v>
      </c>
      <c r="AG3940" s="468">
        <v>0.33063926304236801</v>
      </c>
      <c r="AH3940" s="218">
        <v>28495.741956436159</v>
      </c>
      <c r="AI3940" s="470">
        <v>0.98766598548234119</v>
      </c>
      <c r="AJ3940" s="471">
        <v>0.33385329924203022</v>
      </c>
      <c r="AK3940" s="218">
        <v>28495.741956436159</v>
      </c>
      <c r="AL3940" s="470">
        <v>0.98766598548234119</v>
      </c>
      <c r="AM3940" s="471">
        <v>0.33385329924203022</v>
      </c>
      <c r="AN3940" s="477">
        <v>28495.741956436159</v>
      </c>
      <c r="AO3940" s="473">
        <v>0.98766598548234119</v>
      </c>
      <c r="AP3940" s="474">
        <v>0.33381115537071193</v>
      </c>
      <c r="AQ3940" s="352"/>
      <c r="AR3940" s="352"/>
      <c r="AS3940" s="352"/>
      <c r="AT3940" s="352"/>
      <c r="AU3940" s="352"/>
      <c r="AV3940" s="352"/>
      <c r="AW3940" s="352" t="s">
        <v>254</v>
      </c>
    </row>
    <row r="3941" spans="2:49" x14ac:dyDescent="0.2">
      <c r="B3941" s="460" t="s">
        <v>3525</v>
      </c>
      <c r="C3941" s="460">
        <v>8000</v>
      </c>
      <c r="D3941" s="460" t="s">
        <v>2308</v>
      </c>
      <c r="E3941" s="460" t="s">
        <v>2302</v>
      </c>
      <c r="F3941" s="460">
        <v>3</v>
      </c>
      <c r="G3941" s="460">
        <v>2</v>
      </c>
      <c r="H3941" s="461" t="s">
        <v>712</v>
      </c>
      <c r="I3941" s="461" t="s">
        <v>713</v>
      </c>
      <c r="J3941" s="461" t="s">
        <v>712</v>
      </c>
      <c r="K3941" s="594"/>
      <c r="L3941" s="594"/>
      <c r="M3941" s="352">
        <v>8000</v>
      </c>
      <c r="N3941" s="352" t="s">
        <v>760</v>
      </c>
      <c r="O3941" s="460">
        <v>5321</v>
      </c>
      <c r="P3941" s="460" t="s">
        <v>760</v>
      </c>
      <c r="Q3941" s="460" t="s">
        <v>2280</v>
      </c>
      <c r="R3941" s="460">
        <v>5321</v>
      </c>
      <c r="S3941" s="460" t="s">
        <v>2296</v>
      </c>
      <c r="T3941" s="462">
        <v>0.28481449642268464</v>
      </c>
      <c r="U3941" s="460" t="s">
        <v>2302</v>
      </c>
      <c r="V3941" s="475">
        <v>0</v>
      </c>
      <c r="W3941" s="463" t="s">
        <v>713</v>
      </c>
      <c r="X3941" s="463" t="s">
        <v>713</v>
      </c>
      <c r="Y3941" s="463" t="s">
        <v>713</v>
      </c>
      <c r="Z3941" s="463"/>
      <c r="AA3941" s="463"/>
      <c r="AB3941" s="464">
        <v>13947.600659742531</v>
      </c>
      <c r="AC3941" s="465">
        <v>0.99735352269355604</v>
      </c>
      <c r="AD3941" s="465">
        <v>0.40570084953158586</v>
      </c>
      <c r="AE3941" s="476">
        <v>13962.386244162155</v>
      </c>
      <c r="AF3941" s="467">
        <v>0.99841079806770394</v>
      </c>
      <c r="AG3941" s="468">
        <v>0.40544084314686241</v>
      </c>
      <c r="AH3941" s="218">
        <v>13896.075862224267</v>
      </c>
      <c r="AI3941" s="470">
        <v>0.99366912997508383</v>
      </c>
      <c r="AJ3941" s="471">
        <v>0.40955312894873491</v>
      </c>
      <c r="AK3941" s="218">
        <v>13896.075862224267</v>
      </c>
      <c r="AL3941" s="470">
        <v>0.99366912997508383</v>
      </c>
      <c r="AM3941" s="471">
        <v>0.40955312894873491</v>
      </c>
      <c r="AN3941" s="477">
        <v>13896.075862224267</v>
      </c>
      <c r="AO3941" s="473">
        <v>0.99366912997508383</v>
      </c>
      <c r="AP3941" s="474">
        <v>0.40990925813682033</v>
      </c>
      <c r="AQ3941" s="352"/>
      <c r="AR3941" s="352"/>
      <c r="AS3941" s="352"/>
      <c r="AT3941" s="352"/>
      <c r="AU3941" s="352"/>
      <c r="AV3941" s="352"/>
      <c r="AW3941" s="352" t="s">
        <v>254</v>
      </c>
    </row>
    <row r="3942" spans="2:49" x14ac:dyDescent="0.2">
      <c r="B3942" s="460" t="s">
        <v>3526</v>
      </c>
      <c r="C3942" s="460">
        <v>8000</v>
      </c>
      <c r="D3942" s="460" t="s">
        <v>2309</v>
      </c>
      <c r="E3942" s="460" t="s">
        <v>2305</v>
      </c>
      <c r="F3942" s="460">
        <v>4</v>
      </c>
      <c r="G3942" s="460">
        <v>2</v>
      </c>
      <c r="H3942" s="461" t="s">
        <v>712</v>
      </c>
      <c r="I3942" s="461" t="s">
        <v>713</v>
      </c>
      <c r="J3942" s="461" t="s">
        <v>712</v>
      </c>
      <c r="K3942" s="594"/>
      <c r="L3942" s="594"/>
      <c r="M3942" s="352">
        <v>8000</v>
      </c>
      <c r="N3942" s="352" t="s">
        <v>760</v>
      </c>
      <c r="O3942" s="460">
        <v>5321</v>
      </c>
      <c r="P3942" s="460" t="s">
        <v>760</v>
      </c>
      <c r="Q3942" s="460" t="s">
        <v>2280</v>
      </c>
      <c r="R3942" s="460">
        <v>5321</v>
      </c>
      <c r="S3942" s="460" t="s">
        <v>2305</v>
      </c>
      <c r="T3942" s="462">
        <v>1</v>
      </c>
      <c r="U3942" s="460" t="s">
        <v>2305</v>
      </c>
      <c r="V3942" s="475">
        <v>0</v>
      </c>
      <c r="W3942" s="463" t="s">
        <v>713</v>
      </c>
      <c r="X3942" s="463" t="s">
        <v>713</v>
      </c>
      <c r="Y3942" s="463" t="s">
        <v>713</v>
      </c>
      <c r="Z3942" s="463"/>
      <c r="AA3942" s="463"/>
      <c r="AB3942" s="464">
        <v>15881.465547977081</v>
      </c>
      <c r="AC3942" s="465">
        <v>0.99523092428354376</v>
      </c>
      <c r="AD3942" s="465">
        <v>0.40561108034025783</v>
      </c>
      <c r="AE3942" s="476">
        <v>15881.828802695663</v>
      </c>
      <c r="AF3942" s="467">
        <v>0.99525368807245429</v>
      </c>
      <c r="AG3942" s="468">
        <v>0.40560734699492501</v>
      </c>
      <c r="AH3942" s="218">
        <v>15881.828802695663</v>
      </c>
      <c r="AI3942" s="470">
        <v>0.99525368807245429</v>
      </c>
      <c r="AJ3942" s="471">
        <v>0.40560783799477451</v>
      </c>
      <c r="AK3942" s="218">
        <v>15881.828802695663</v>
      </c>
      <c r="AL3942" s="470">
        <v>0.99525368807245429</v>
      </c>
      <c r="AM3942" s="471">
        <v>0.40560783799477451</v>
      </c>
      <c r="AN3942" s="477">
        <v>15881.828802695663</v>
      </c>
      <c r="AO3942" s="473">
        <v>0.99525368807245429</v>
      </c>
      <c r="AP3942" s="474">
        <v>0.40560833413382341</v>
      </c>
      <c r="AQ3942" s="352"/>
      <c r="AR3942" s="352"/>
      <c r="AS3942" s="352"/>
      <c r="AT3942" s="352"/>
      <c r="AU3942" s="352"/>
      <c r="AV3942" s="352"/>
      <c r="AW3942" s="352" t="s">
        <v>254</v>
      </c>
    </row>
    <row r="3943" spans="2:49" x14ac:dyDescent="0.2">
      <c r="B3943" s="460" t="s">
        <v>3523</v>
      </c>
      <c r="C3943" s="460">
        <v>8000</v>
      </c>
      <c r="D3943" s="460" t="s">
        <v>2310</v>
      </c>
      <c r="E3943" s="460" t="s">
        <v>2296</v>
      </c>
      <c r="F3943" s="460">
        <v>1</v>
      </c>
      <c r="G3943" s="460">
        <v>2</v>
      </c>
      <c r="H3943" s="461" t="s">
        <v>746</v>
      </c>
      <c r="I3943" s="461" t="s">
        <v>762</v>
      </c>
      <c r="J3943" s="461" t="s">
        <v>700</v>
      </c>
      <c r="K3943" s="594"/>
      <c r="L3943" s="594"/>
      <c r="M3943" s="352">
        <v>8000</v>
      </c>
      <c r="N3943" s="352" t="s">
        <v>760</v>
      </c>
      <c r="O3943" s="460">
        <v>5321</v>
      </c>
      <c r="P3943" s="460" t="s">
        <v>760</v>
      </c>
      <c r="Q3943" s="460" t="s">
        <v>2553</v>
      </c>
      <c r="R3943" s="460">
        <v>5321</v>
      </c>
      <c r="S3943" s="460" t="s">
        <v>2296</v>
      </c>
      <c r="T3943" s="462">
        <v>1</v>
      </c>
      <c r="U3943" s="460" t="s">
        <v>2296</v>
      </c>
      <c r="V3943" s="475">
        <v>0</v>
      </c>
      <c r="W3943" s="463" t="s">
        <v>2268</v>
      </c>
      <c r="X3943" s="463" t="s">
        <v>2268</v>
      </c>
      <c r="Y3943" s="463" t="s">
        <v>2554</v>
      </c>
      <c r="Z3943" s="463"/>
      <c r="AA3943" s="463"/>
      <c r="AB3943" s="464">
        <v>0</v>
      </c>
      <c r="AC3943" s="465">
        <v>0</v>
      </c>
      <c r="AD3943" s="465">
        <v>0</v>
      </c>
      <c r="AE3943" s="476">
        <v>0</v>
      </c>
      <c r="AF3943" s="467">
        <v>0</v>
      </c>
      <c r="AG3943" s="468">
        <v>0</v>
      </c>
      <c r="AH3943" s="218">
        <v>0</v>
      </c>
      <c r="AI3943" s="470">
        <v>0</v>
      </c>
      <c r="AJ3943" s="471">
        <v>0</v>
      </c>
      <c r="AK3943" s="218">
        <v>0</v>
      </c>
      <c r="AL3943" s="470">
        <v>0</v>
      </c>
      <c r="AM3943" s="471">
        <v>0</v>
      </c>
      <c r="AN3943" s="477">
        <v>660.15851854116227</v>
      </c>
      <c r="AO3943" s="473">
        <v>1.4810999752043275E-2</v>
      </c>
      <c r="AP3943" s="474">
        <v>4.9040190739970957E-2</v>
      </c>
      <c r="AQ3943" s="352"/>
      <c r="AR3943" s="352"/>
      <c r="AS3943" s="352"/>
      <c r="AT3943" s="352"/>
      <c r="AU3943" s="352"/>
      <c r="AV3943" s="352"/>
      <c r="AW3943" s="352" t="s">
        <v>254</v>
      </c>
    </row>
    <row r="3944" spans="2:49" x14ac:dyDescent="0.2">
      <c r="B3944" s="460" t="s">
        <v>3524</v>
      </c>
      <c r="C3944" s="460">
        <v>8000</v>
      </c>
      <c r="D3944" s="460" t="s">
        <v>2311</v>
      </c>
      <c r="E3944" s="460" t="s">
        <v>2299</v>
      </c>
      <c r="F3944" s="460">
        <v>2</v>
      </c>
      <c r="G3944" s="460">
        <v>2</v>
      </c>
      <c r="H3944" s="461" t="s">
        <v>746</v>
      </c>
      <c r="I3944" s="461" t="s">
        <v>762</v>
      </c>
      <c r="J3944" s="461" t="s">
        <v>700</v>
      </c>
      <c r="K3944" s="594"/>
      <c r="L3944" s="594"/>
      <c r="M3944" s="352">
        <v>8000</v>
      </c>
      <c r="N3944" s="352" t="s">
        <v>760</v>
      </c>
      <c r="O3944" s="460">
        <v>5321</v>
      </c>
      <c r="P3944" s="460" t="s">
        <v>760</v>
      </c>
      <c r="Q3944" s="460" t="s">
        <v>2553</v>
      </c>
      <c r="R3944" s="460">
        <v>5321</v>
      </c>
      <c r="S3944" s="460" t="s">
        <v>2296</v>
      </c>
      <c r="T3944" s="462">
        <v>0.55517361979372948</v>
      </c>
      <c r="U3944" s="460" t="s">
        <v>2299</v>
      </c>
      <c r="V3944" s="475">
        <v>0</v>
      </c>
      <c r="W3944" s="463" t="s">
        <v>2268</v>
      </c>
      <c r="X3944" s="463" t="s">
        <v>2268</v>
      </c>
      <c r="Y3944" s="463" t="s">
        <v>2554</v>
      </c>
      <c r="Z3944" s="463"/>
      <c r="AA3944" s="463"/>
      <c r="AB3944" s="464">
        <v>0</v>
      </c>
      <c r="AC3944" s="465">
        <v>0</v>
      </c>
      <c r="AD3944" s="465">
        <v>0</v>
      </c>
      <c r="AE3944" s="476">
        <v>0</v>
      </c>
      <c r="AF3944" s="467">
        <v>0</v>
      </c>
      <c r="AG3944" s="468">
        <v>0</v>
      </c>
      <c r="AH3944" s="218">
        <v>0</v>
      </c>
      <c r="AI3944" s="470">
        <v>0</v>
      </c>
      <c r="AJ3944" s="471">
        <v>0</v>
      </c>
      <c r="AK3944" s="218">
        <v>0</v>
      </c>
      <c r="AL3944" s="470">
        <v>0</v>
      </c>
      <c r="AM3944" s="471">
        <v>0</v>
      </c>
      <c r="AN3944" s="477">
        <v>237.23735226843905</v>
      </c>
      <c r="AO3944" s="473">
        <v>8.2226763451058952E-3</v>
      </c>
      <c r="AP3944" s="474">
        <v>7.5161194523973601E-2</v>
      </c>
      <c r="AQ3944" s="352"/>
      <c r="AR3944" s="352"/>
      <c r="AS3944" s="352"/>
      <c r="AT3944" s="352"/>
      <c r="AU3944" s="352"/>
      <c r="AV3944" s="352"/>
      <c r="AW3944" s="352" t="s">
        <v>254</v>
      </c>
    </row>
    <row r="3945" spans="2:49" x14ac:dyDescent="0.2">
      <c r="B3945" s="460" t="s">
        <v>3525</v>
      </c>
      <c r="C3945" s="460">
        <v>8000</v>
      </c>
      <c r="D3945" s="460" t="s">
        <v>2312</v>
      </c>
      <c r="E3945" s="460" t="s">
        <v>2302</v>
      </c>
      <c r="F3945" s="460">
        <v>3</v>
      </c>
      <c r="G3945" s="460">
        <v>2</v>
      </c>
      <c r="H3945" s="461" t="s">
        <v>746</v>
      </c>
      <c r="I3945" s="461" t="s">
        <v>762</v>
      </c>
      <c r="J3945" s="461" t="s">
        <v>700</v>
      </c>
      <c r="K3945" s="594"/>
      <c r="L3945" s="594"/>
      <c r="M3945" s="352">
        <v>8000</v>
      </c>
      <c r="N3945" s="352" t="s">
        <v>760</v>
      </c>
      <c r="O3945" s="460">
        <v>5321</v>
      </c>
      <c r="P3945" s="460" t="s">
        <v>760</v>
      </c>
      <c r="Q3945" s="460" t="s">
        <v>2553</v>
      </c>
      <c r="R3945" s="460">
        <v>5321</v>
      </c>
      <c r="S3945" s="460" t="s">
        <v>2296</v>
      </c>
      <c r="T3945" s="462">
        <v>0.28481449642268464</v>
      </c>
      <c r="U3945" s="460" t="s">
        <v>2302</v>
      </c>
      <c r="V3945" s="475">
        <v>0</v>
      </c>
      <c r="W3945" s="463" t="s">
        <v>2268</v>
      </c>
      <c r="X3945" s="463" t="s">
        <v>2268</v>
      </c>
      <c r="Y3945" s="463" t="s">
        <v>2554</v>
      </c>
      <c r="Z3945" s="463"/>
      <c r="AA3945" s="463"/>
      <c r="AB3945" s="464">
        <v>0</v>
      </c>
      <c r="AC3945" s="465">
        <v>0</v>
      </c>
      <c r="AD3945" s="465">
        <v>0</v>
      </c>
      <c r="AE3945" s="476">
        <v>0</v>
      </c>
      <c r="AF3945" s="467">
        <v>0</v>
      </c>
      <c r="AG3945" s="468">
        <v>0</v>
      </c>
      <c r="AH3945" s="218">
        <v>0</v>
      </c>
      <c r="AI3945" s="470">
        <v>0</v>
      </c>
      <c r="AJ3945" s="471">
        <v>0</v>
      </c>
      <c r="AK3945" s="218">
        <v>0</v>
      </c>
      <c r="AL3945" s="470">
        <v>0</v>
      </c>
      <c r="AM3945" s="471">
        <v>0</v>
      </c>
      <c r="AN3945" s="477">
        <v>58.992505711550578</v>
      </c>
      <c r="AO3945" s="473">
        <v>4.2183874358947123E-3</v>
      </c>
      <c r="AP3945" s="474">
        <v>7.771825836942059E-2</v>
      </c>
      <c r="AQ3945" s="352"/>
      <c r="AR3945" s="352"/>
      <c r="AS3945" s="352"/>
      <c r="AT3945" s="352"/>
      <c r="AU3945" s="352"/>
      <c r="AV3945" s="352"/>
      <c r="AW3945" s="352" t="s">
        <v>254</v>
      </c>
    </row>
    <row r="3946" spans="2:49" x14ac:dyDescent="0.2">
      <c r="B3946" s="460" t="s">
        <v>3526</v>
      </c>
      <c r="C3946" s="460">
        <v>8000</v>
      </c>
      <c r="D3946" s="460" t="s">
        <v>2313</v>
      </c>
      <c r="E3946" s="460" t="s">
        <v>2305</v>
      </c>
      <c r="F3946" s="460">
        <v>4</v>
      </c>
      <c r="G3946" s="460">
        <v>2</v>
      </c>
      <c r="H3946" s="461" t="s">
        <v>746</v>
      </c>
      <c r="I3946" s="461" t="s">
        <v>762</v>
      </c>
      <c r="J3946" s="461" t="s">
        <v>700</v>
      </c>
      <c r="K3946" s="594"/>
      <c r="L3946" s="594"/>
      <c r="M3946" s="352">
        <v>8000</v>
      </c>
      <c r="N3946" s="352" t="s">
        <v>760</v>
      </c>
      <c r="O3946" s="460">
        <v>5321</v>
      </c>
      <c r="P3946" s="460" t="s">
        <v>760</v>
      </c>
      <c r="Q3946" s="460" t="s">
        <v>2553</v>
      </c>
      <c r="R3946" s="460">
        <v>5321</v>
      </c>
      <c r="S3946" s="460" t="s">
        <v>2305</v>
      </c>
      <c r="T3946" s="462">
        <v>1</v>
      </c>
      <c r="U3946" s="460" t="s">
        <v>2305</v>
      </c>
      <c r="V3946" s="475">
        <v>0</v>
      </c>
      <c r="W3946" s="463" t="s">
        <v>2268</v>
      </c>
      <c r="X3946" s="463" t="s">
        <v>2268</v>
      </c>
      <c r="Y3946" s="463" t="s">
        <v>2554</v>
      </c>
      <c r="Z3946" s="463"/>
      <c r="AA3946" s="463"/>
      <c r="AB3946" s="464">
        <v>0</v>
      </c>
      <c r="AC3946" s="465">
        <v>0</v>
      </c>
      <c r="AD3946" s="465">
        <v>0</v>
      </c>
      <c r="AE3946" s="476">
        <v>0</v>
      </c>
      <c r="AF3946" s="467">
        <v>0</v>
      </c>
      <c r="AG3946" s="468">
        <v>0</v>
      </c>
      <c r="AH3946" s="218">
        <v>0</v>
      </c>
      <c r="AI3946" s="470">
        <v>0</v>
      </c>
      <c r="AJ3946" s="471">
        <v>0</v>
      </c>
      <c r="AK3946" s="218">
        <v>0</v>
      </c>
      <c r="AL3946" s="470">
        <v>0</v>
      </c>
      <c r="AM3946" s="471">
        <v>0</v>
      </c>
      <c r="AN3946" s="477">
        <v>0.36325471858052105</v>
      </c>
      <c r="AO3946" s="473">
        <v>2.2763788910482499E-5</v>
      </c>
      <c r="AP3946" s="474">
        <v>3.545530050743239E-2</v>
      </c>
      <c r="AQ3946" s="352"/>
      <c r="AR3946" s="352"/>
      <c r="AS3946" s="352"/>
      <c r="AT3946" s="352"/>
      <c r="AU3946" s="352"/>
      <c r="AV3946" s="352"/>
      <c r="AW3946" s="352" t="s">
        <v>254</v>
      </c>
    </row>
    <row r="3947" spans="2:49" x14ac:dyDescent="0.2">
      <c r="B3947" s="460" t="s">
        <v>3523</v>
      </c>
      <c r="C3947" s="460">
        <v>8000</v>
      </c>
      <c r="D3947" s="460" t="s">
        <v>2314</v>
      </c>
      <c r="E3947" s="460" t="s">
        <v>2296</v>
      </c>
      <c r="F3947" s="460">
        <v>1</v>
      </c>
      <c r="G3947" s="460">
        <v>2</v>
      </c>
      <c r="H3947" s="461" t="s">
        <v>748</v>
      </c>
      <c r="I3947" s="461" t="s">
        <v>765</v>
      </c>
      <c r="J3947" s="461" t="s">
        <v>700</v>
      </c>
      <c r="K3947" s="594"/>
      <c r="L3947" s="594"/>
      <c r="M3947" s="352">
        <v>8000</v>
      </c>
      <c r="N3947" s="352" t="s">
        <v>760</v>
      </c>
      <c r="O3947" s="460">
        <v>5321</v>
      </c>
      <c r="P3947" s="460" t="s">
        <v>760</v>
      </c>
      <c r="Q3947" s="460" t="s">
        <v>2553</v>
      </c>
      <c r="R3947" s="460">
        <v>5321</v>
      </c>
      <c r="S3947" s="460" t="s">
        <v>2296</v>
      </c>
      <c r="T3947" s="462">
        <v>1</v>
      </c>
      <c r="U3947" s="460" t="s">
        <v>2296</v>
      </c>
      <c r="V3947" s="475">
        <v>0</v>
      </c>
      <c r="W3947" s="463" t="s">
        <v>2268</v>
      </c>
      <c r="X3947" s="463" t="s">
        <v>2268</v>
      </c>
      <c r="Y3947" s="463" t="s">
        <v>2554</v>
      </c>
      <c r="Z3947" s="463"/>
      <c r="AA3947" s="463"/>
      <c r="AB3947" s="464">
        <v>0</v>
      </c>
      <c r="AC3947" s="465">
        <v>0</v>
      </c>
      <c r="AD3947" s="465">
        <v>0</v>
      </c>
      <c r="AE3947" s="476">
        <v>0</v>
      </c>
      <c r="AF3947" s="467">
        <v>0</v>
      </c>
      <c r="AG3947" s="468">
        <v>0</v>
      </c>
      <c r="AH3947" s="218">
        <v>0</v>
      </c>
      <c r="AI3947" s="470">
        <v>0</v>
      </c>
      <c r="AJ3947" s="471">
        <v>0</v>
      </c>
      <c r="AK3947" s="218">
        <v>0</v>
      </c>
      <c r="AL3947" s="470">
        <v>0</v>
      </c>
      <c r="AM3947" s="471">
        <v>0</v>
      </c>
      <c r="AN3947" s="477">
        <v>330.07925927058102</v>
      </c>
      <c r="AO3947" s="473">
        <v>7.4054998760216357E-3</v>
      </c>
      <c r="AP3947" s="474">
        <v>0.10083469242565123</v>
      </c>
      <c r="AQ3947" s="352"/>
      <c r="AR3947" s="352"/>
      <c r="AS3947" s="352"/>
      <c r="AT3947" s="352"/>
      <c r="AU3947" s="352"/>
      <c r="AV3947" s="352"/>
      <c r="AW3947" s="352" t="s">
        <v>254</v>
      </c>
    </row>
    <row r="3948" spans="2:49" x14ac:dyDescent="0.2">
      <c r="B3948" s="460" t="s">
        <v>3524</v>
      </c>
      <c r="C3948" s="460">
        <v>8000</v>
      </c>
      <c r="D3948" s="460" t="s">
        <v>2315</v>
      </c>
      <c r="E3948" s="460" t="s">
        <v>2299</v>
      </c>
      <c r="F3948" s="460">
        <v>2</v>
      </c>
      <c r="G3948" s="460">
        <v>2</v>
      </c>
      <c r="H3948" s="461" t="s">
        <v>748</v>
      </c>
      <c r="I3948" s="461" t="s">
        <v>765</v>
      </c>
      <c r="J3948" s="461" t="s">
        <v>700</v>
      </c>
      <c r="K3948" s="594"/>
      <c r="L3948" s="594"/>
      <c r="M3948" s="352">
        <v>8000</v>
      </c>
      <c r="N3948" s="352" t="s">
        <v>760</v>
      </c>
      <c r="O3948" s="460">
        <v>5321</v>
      </c>
      <c r="P3948" s="460" t="s">
        <v>760</v>
      </c>
      <c r="Q3948" s="460" t="s">
        <v>2553</v>
      </c>
      <c r="R3948" s="460">
        <v>5321</v>
      </c>
      <c r="S3948" s="460" t="s">
        <v>2296</v>
      </c>
      <c r="T3948" s="462">
        <v>0.55517361979372948</v>
      </c>
      <c r="U3948" s="460" t="s">
        <v>2299</v>
      </c>
      <c r="V3948" s="475">
        <v>0</v>
      </c>
      <c r="W3948" s="463" t="s">
        <v>2268</v>
      </c>
      <c r="X3948" s="463" t="s">
        <v>2268</v>
      </c>
      <c r="Y3948" s="463" t="s">
        <v>2554</v>
      </c>
      <c r="Z3948" s="463"/>
      <c r="AA3948" s="463"/>
      <c r="AB3948" s="464">
        <v>0</v>
      </c>
      <c r="AC3948" s="465">
        <v>0</v>
      </c>
      <c r="AD3948" s="465">
        <v>0</v>
      </c>
      <c r="AE3948" s="476">
        <v>0</v>
      </c>
      <c r="AF3948" s="467">
        <v>0</v>
      </c>
      <c r="AG3948" s="468">
        <v>0</v>
      </c>
      <c r="AH3948" s="218">
        <v>0</v>
      </c>
      <c r="AI3948" s="470">
        <v>0</v>
      </c>
      <c r="AJ3948" s="471">
        <v>0</v>
      </c>
      <c r="AK3948" s="218">
        <v>0</v>
      </c>
      <c r="AL3948" s="470">
        <v>0</v>
      </c>
      <c r="AM3948" s="471">
        <v>0</v>
      </c>
      <c r="AN3948" s="477">
        <v>118.6186761342195</v>
      </c>
      <c r="AO3948" s="473">
        <v>4.1113381725529467E-3</v>
      </c>
      <c r="AP3948" s="474">
        <v>0.10989808089761094</v>
      </c>
      <c r="AQ3948" s="352"/>
      <c r="AR3948" s="352"/>
      <c r="AS3948" s="352"/>
      <c r="AT3948" s="352"/>
      <c r="AU3948" s="352"/>
      <c r="AV3948" s="352"/>
      <c r="AW3948" s="352" t="s">
        <v>254</v>
      </c>
    </row>
    <row r="3949" spans="2:49" x14ac:dyDescent="0.2">
      <c r="B3949" s="460" t="s">
        <v>3525</v>
      </c>
      <c r="C3949" s="460">
        <v>8000</v>
      </c>
      <c r="D3949" s="460" t="s">
        <v>2316</v>
      </c>
      <c r="E3949" s="460" t="s">
        <v>2302</v>
      </c>
      <c r="F3949" s="460">
        <v>3</v>
      </c>
      <c r="G3949" s="460">
        <v>2</v>
      </c>
      <c r="H3949" s="461" t="s">
        <v>748</v>
      </c>
      <c r="I3949" s="461" t="s">
        <v>765</v>
      </c>
      <c r="J3949" s="461" t="s">
        <v>700</v>
      </c>
      <c r="K3949" s="594"/>
      <c r="L3949" s="594"/>
      <c r="M3949" s="352">
        <v>8000</v>
      </c>
      <c r="N3949" s="352" t="s">
        <v>760</v>
      </c>
      <c r="O3949" s="460">
        <v>5321</v>
      </c>
      <c r="P3949" s="460" t="s">
        <v>760</v>
      </c>
      <c r="Q3949" s="460" t="s">
        <v>2553</v>
      </c>
      <c r="R3949" s="460">
        <v>5321</v>
      </c>
      <c r="S3949" s="460" t="s">
        <v>2296</v>
      </c>
      <c r="T3949" s="462">
        <v>0.28481449642268464</v>
      </c>
      <c r="U3949" s="460" t="s">
        <v>2302</v>
      </c>
      <c r="V3949" s="475">
        <v>0</v>
      </c>
      <c r="W3949" s="463" t="s">
        <v>2268</v>
      </c>
      <c r="X3949" s="463" t="s">
        <v>2268</v>
      </c>
      <c r="Y3949" s="463" t="s">
        <v>2554</v>
      </c>
      <c r="Z3949" s="463"/>
      <c r="AA3949" s="463"/>
      <c r="AB3949" s="464">
        <v>0</v>
      </c>
      <c r="AC3949" s="465">
        <v>0</v>
      </c>
      <c r="AD3949" s="465">
        <v>0</v>
      </c>
      <c r="AE3949" s="476">
        <v>0</v>
      </c>
      <c r="AF3949" s="467">
        <v>0</v>
      </c>
      <c r="AG3949" s="468">
        <v>0</v>
      </c>
      <c r="AH3949" s="218">
        <v>0</v>
      </c>
      <c r="AI3949" s="470">
        <v>0</v>
      </c>
      <c r="AJ3949" s="471">
        <v>0</v>
      </c>
      <c r="AK3949" s="218">
        <v>0</v>
      </c>
      <c r="AL3949" s="470">
        <v>0</v>
      </c>
      <c r="AM3949" s="471">
        <v>0</v>
      </c>
      <c r="AN3949" s="477">
        <v>29.496252855775285</v>
      </c>
      <c r="AO3949" s="473">
        <v>2.1091937179473557E-3</v>
      </c>
      <c r="AP3949" s="474">
        <v>0.12621250731395339</v>
      </c>
      <c r="AQ3949" s="352"/>
      <c r="AR3949" s="352"/>
      <c r="AS3949" s="352"/>
      <c r="AT3949" s="352"/>
      <c r="AU3949" s="352"/>
      <c r="AV3949" s="352"/>
      <c r="AW3949" s="352" t="s">
        <v>254</v>
      </c>
    </row>
    <row r="3950" spans="2:49" x14ac:dyDescent="0.2">
      <c r="B3950" s="460" t="s">
        <v>3526</v>
      </c>
      <c r="C3950" s="460">
        <v>8000</v>
      </c>
      <c r="D3950" s="460" t="s">
        <v>2317</v>
      </c>
      <c r="E3950" s="460" t="s">
        <v>2305</v>
      </c>
      <c r="F3950" s="460">
        <v>4</v>
      </c>
      <c r="G3950" s="460">
        <v>2</v>
      </c>
      <c r="H3950" s="461" t="s">
        <v>748</v>
      </c>
      <c r="I3950" s="461" t="s">
        <v>765</v>
      </c>
      <c r="J3950" s="461" t="s">
        <v>700</v>
      </c>
      <c r="K3950" s="594"/>
      <c r="L3950" s="594"/>
      <c r="M3950" s="352">
        <v>8000</v>
      </c>
      <c r="N3950" s="352" t="s">
        <v>760</v>
      </c>
      <c r="O3950" s="460">
        <v>5321</v>
      </c>
      <c r="P3950" s="460" t="s">
        <v>760</v>
      </c>
      <c r="Q3950" s="460" t="s">
        <v>2553</v>
      </c>
      <c r="R3950" s="460">
        <v>5321</v>
      </c>
      <c r="S3950" s="460" t="s">
        <v>2305</v>
      </c>
      <c r="T3950" s="462">
        <v>1</v>
      </c>
      <c r="U3950" s="460" t="s">
        <v>2305</v>
      </c>
      <c r="V3950" s="475">
        <v>0</v>
      </c>
      <c r="W3950" s="463" t="s">
        <v>2268</v>
      </c>
      <c r="X3950" s="463" t="s">
        <v>2268</v>
      </c>
      <c r="Y3950" s="463" t="s">
        <v>2554</v>
      </c>
      <c r="Z3950" s="463"/>
      <c r="AA3950" s="463"/>
      <c r="AB3950" s="464">
        <v>0</v>
      </c>
      <c r="AC3950" s="465">
        <v>0</v>
      </c>
      <c r="AD3950" s="465">
        <v>0</v>
      </c>
      <c r="AE3950" s="476">
        <v>0</v>
      </c>
      <c r="AF3950" s="467">
        <v>0</v>
      </c>
      <c r="AG3950" s="468">
        <v>0</v>
      </c>
      <c r="AH3950" s="218">
        <v>0</v>
      </c>
      <c r="AI3950" s="470">
        <v>0</v>
      </c>
      <c r="AJ3950" s="471">
        <v>0</v>
      </c>
      <c r="AK3950" s="218">
        <v>0</v>
      </c>
      <c r="AL3950" s="470">
        <v>0</v>
      </c>
      <c r="AM3950" s="471">
        <v>0</v>
      </c>
      <c r="AN3950" s="477">
        <v>0.18162735929026047</v>
      </c>
      <c r="AO3950" s="473">
        <v>1.1381894455241246E-5</v>
      </c>
      <c r="AP3950" s="474">
        <v>0.14833414826514565</v>
      </c>
      <c r="AQ3950" s="352"/>
      <c r="AR3950" s="352"/>
      <c r="AS3950" s="352"/>
      <c r="AT3950" s="352"/>
      <c r="AU3950" s="352"/>
      <c r="AV3950" s="352"/>
      <c r="AW3950" s="352" t="s">
        <v>254</v>
      </c>
    </row>
    <row r="3951" spans="2:49" x14ac:dyDescent="0.2">
      <c r="B3951" s="460" t="s">
        <v>3523</v>
      </c>
      <c r="C3951" s="460">
        <v>8000</v>
      </c>
      <c r="D3951" s="460" t="s">
        <v>3454</v>
      </c>
      <c r="E3951" s="460" t="s">
        <v>2296</v>
      </c>
      <c r="F3951" s="460">
        <v>1</v>
      </c>
      <c r="G3951" s="460">
        <v>2</v>
      </c>
      <c r="H3951" s="461" t="s">
        <v>754</v>
      </c>
      <c r="I3951" s="461" t="s">
        <v>1991</v>
      </c>
      <c r="J3951" s="461" t="s">
        <v>754</v>
      </c>
      <c r="K3951" s="594"/>
      <c r="L3951" s="594"/>
      <c r="M3951" s="352">
        <v>8000</v>
      </c>
      <c r="N3951" s="352" t="s">
        <v>760</v>
      </c>
      <c r="O3951" s="460">
        <v>5321</v>
      </c>
      <c r="P3951" s="460" t="s">
        <v>760</v>
      </c>
      <c r="Q3951" s="460" t="s">
        <v>2377</v>
      </c>
      <c r="R3951" s="460">
        <v>5321</v>
      </c>
      <c r="S3951" s="460" t="s">
        <v>2296</v>
      </c>
      <c r="T3951" s="462">
        <v>1</v>
      </c>
      <c r="U3951" s="460" t="s">
        <v>2296</v>
      </c>
      <c r="V3951" s="475">
        <v>0</v>
      </c>
      <c r="W3951" s="463" t="s">
        <v>2278</v>
      </c>
      <c r="X3951" s="463" t="s">
        <v>2278</v>
      </c>
      <c r="Y3951" s="463" t="s">
        <v>2278</v>
      </c>
      <c r="Z3951" s="463"/>
      <c r="AA3951" s="463"/>
      <c r="AB3951" s="464">
        <v>3.0470521514712974E-2</v>
      </c>
      <c r="AC3951" s="465">
        <v>6.8362199975293317E-7</v>
      </c>
      <c r="AD3951" s="465">
        <v>3.6143130990070417E-2</v>
      </c>
      <c r="AE3951" s="476">
        <v>3.0470521514712974E-2</v>
      </c>
      <c r="AF3951" s="467">
        <v>6.8362199975293317E-7</v>
      </c>
      <c r="AG3951" s="468">
        <v>3.6143130990070417E-2</v>
      </c>
      <c r="AH3951" s="218">
        <v>3.0470521514712974E-2</v>
      </c>
      <c r="AI3951" s="470">
        <v>6.8362199975293317E-7</v>
      </c>
      <c r="AJ3951" s="471">
        <v>3.6143130990070417E-2</v>
      </c>
      <c r="AK3951" s="218">
        <v>3.0470521514712974E-2</v>
      </c>
      <c r="AL3951" s="470">
        <v>6.8362199975293317E-7</v>
      </c>
      <c r="AM3951" s="471">
        <v>3.6143130990070417E-2</v>
      </c>
      <c r="AN3951" s="477">
        <v>3.0470521514712974E-2</v>
      </c>
      <c r="AO3951" s="473">
        <v>6.8362199975293317E-7</v>
      </c>
      <c r="AP3951" s="474">
        <v>3.6143130990070417E-2</v>
      </c>
      <c r="AQ3951" s="352"/>
      <c r="AR3951" s="352"/>
      <c r="AS3951" s="352"/>
      <c r="AT3951" s="352"/>
      <c r="AU3951" s="352"/>
      <c r="AV3951" s="352"/>
      <c r="AW3951" s="352" t="s">
        <v>127</v>
      </c>
    </row>
    <row r="3952" spans="2:49" x14ac:dyDescent="0.2">
      <c r="B3952" s="460" t="s">
        <v>3524</v>
      </c>
      <c r="C3952" s="460">
        <v>8000</v>
      </c>
      <c r="D3952" s="460" t="s">
        <v>3455</v>
      </c>
      <c r="E3952" s="460" t="s">
        <v>2299</v>
      </c>
      <c r="F3952" s="460">
        <v>2</v>
      </c>
      <c r="G3952" s="460">
        <v>2</v>
      </c>
      <c r="H3952" s="461" t="s">
        <v>754</v>
      </c>
      <c r="I3952" s="461" t="s">
        <v>1991</v>
      </c>
      <c r="J3952" s="461" t="s">
        <v>754</v>
      </c>
      <c r="K3952" s="594"/>
      <c r="L3952" s="594"/>
      <c r="M3952" s="352">
        <v>8000</v>
      </c>
      <c r="N3952" s="352" t="s">
        <v>760</v>
      </c>
      <c r="O3952" s="460">
        <v>5321</v>
      </c>
      <c r="P3952" s="460" t="s">
        <v>760</v>
      </c>
      <c r="Q3952" s="460" t="s">
        <v>2377</v>
      </c>
      <c r="R3952" s="460">
        <v>5321</v>
      </c>
      <c r="S3952" s="460" t="s">
        <v>2296</v>
      </c>
      <c r="T3952" s="462">
        <v>0.55517361979372948</v>
      </c>
      <c r="U3952" s="460" t="s">
        <v>2299</v>
      </c>
      <c r="V3952" s="475">
        <v>0</v>
      </c>
      <c r="W3952" s="463" t="s">
        <v>2278</v>
      </c>
      <c r="X3952" s="463" t="s">
        <v>2278</v>
      </c>
      <c r="Y3952" s="463" t="s">
        <v>2278</v>
      </c>
      <c r="Z3952" s="463"/>
      <c r="AA3952" s="463"/>
      <c r="AB3952" s="464">
        <v>0</v>
      </c>
      <c r="AC3952" s="465">
        <v>0</v>
      </c>
      <c r="AD3952" s="465">
        <v>0</v>
      </c>
      <c r="AE3952" s="476">
        <v>0</v>
      </c>
      <c r="AF3952" s="467">
        <v>0</v>
      </c>
      <c r="AG3952" s="468">
        <v>0</v>
      </c>
      <c r="AH3952" s="218">
        <v>0</v>
      </c>
      <c r="AI3952" s="470">
        <v>0</v>
      </c>
      <c r="AJ3952" s="471">
        <v>0</v>
      </c>
      <c r="AK3952" s="218">
        <v>0</v>
      </c>
      <c r="AL3952" s="470">
        <v>0</v>
      </c>
      <c r="AM3952" s="471">
        <v>0</v>
      </c>
      <c r="AN3952" s="477">
        <v>0</v>
      </c>
      <c r="AO3952" s="473">
        <v>0</v>
      </c>
      <c r="AP3952" s="474">
        <v>0</v>
      </c>
      <c r="AQ3952" s="352"/>
      <c r="AR3952" s="352"/>
      <c r="AS3952" s="352"/>
      <c r="AT3952" s="352"/>
      <c r="AU3952" s="352"/>
      <c r="AV3952" s="352"/>
      <c r="AW3952" s="352" t="s">
        <v>127</v>
      </c>
    </row>
    <row r="3953" spans="2:49" x14ac:dyDescent="0.2">
      <c r="B3953" s="460" t="s">
        <v>3525</v>
      </c>
      <c r="C3953" s="460">
        <v>8000</v>
      </c>
      <c r="D3953" s="460" t="s">
        <v>3456</v>
      </c>
      <c r="E3953" s="460" t="s">
        <v>2302</v>
      </c>
      <c r="F3953" s="460">
        <v>3</v>
      </c>
      <c r="G3953" s="460">
        <v>2</v>
      </c>
      <c r="H3953" s="461" t="s">
        <v>754</v>
      </c>
      <c r="I3953" s="461" t="s">
        <v>1991</v>
      </c>
      <c r="J3953" s="461" t="s">
        <v>754</v>
      </c>
      <c r="K3953" s="594"/>
      <c r="L3953" s="594"/>
      <c r="M3953" s="352">
        <v>8000</v>
      </c>
      <c r="N3953" s="352" t="s">
        <v>760</v>
      </c>
      <c r="O3953" s="460">
        <v>5321</v>
      </c>
      <c r="P3953" s="460" t="s">
        <v>760</v>
      </c>
      <c r="Q3953" s="460" t="s">
        <v>2377</v>
      </c>
      <c r="R3953" s="460">
        <v>5321</v>
      </c>
      <c r="S3953" s="460" t="s">
        <v>2296</v>
      </c>
      <c r="T3953" s="462">
        <v>0.28481449642268464</v>
      </c>
      <c r="U3953" s="460" t="s">
        <v>2302</v>
      </c>
      <c r="V3953" s="475">
        <v>0</v>
      </c>
      <c r="W3953" s="463" t="s">
        <v>2278</v>
      </c>
      <c r="X3953" s="463" t="s">
        <v>2278</v>
      </c>
      <c r="Y3953" s="463" t="s">
        <v>2278</v>
      </c>
      <c r="Z3953" s="463"/>
      <c r="AA3953" s="463"/>
      <c r="AB3953" s="464">
        <v>4.5993581332219265E-2</v>
      </c>
      <c r="AC3953" s="465">
        <v>3.2888710741040274E-6</v>
      </c>
      <c r="AD3953" s="465">
        <v>7.2473151698233165E-2</v>
      </c>
      <c r="AE3953" s="476">
        <v>4.5993581332219265E-2</v>
      </c>
      <c r="AF3953" s="467">
        <v>3.2888710741040274E-6</v>
      </c>
      <c r="AG3953" s="468">
        <v>7.2473151698233165E-2</v>
      </c>
      <c r="AH3953" s="218">
        <v>4.5993581332219265E-2</v>
      </c>
      <c r="AI3953" s="470">
        <v>3.2888710741040274E-6</v>
      </c>
      <c r="AJ3953" s="471">
        <v>7.2473151698233165E-2</v>
      </c>
      <c r="AK3953" s="218">
        <v>4.5993581332219265E-2</v>
      </c>
      <c r="AL3953" s="470">
        <v>3.2888710741040274E-6</v>
      </c>
      <c r="AM3953" s="471">
        <v>7.2473151698233165E-2</v>
      </c>
      <c r="AN3953" s="477">
        <v>4.5993581332219265E-2</v>
      </c>
      <c r="AO3953" s="473">
        <v>3.2888710741040274E-6</v>
      </c>
      <c r="AP3953" s="474">
        <v>7.2473151698233165E-2</v>
      </c>
      <c r="AQ3953" s="352"/>
      <c r="AR3953" s="352"/>
      <c r="AS3953" s="352"/>
      <c r="AT3953" s="352"/>
      <c r="AU3953" s="352"/>
      <c r="AV3953" s="352"/>
      <c r="AW3953" s="352" t="s">
        <v>127</v>
      </c>
    </row>
    <row r="3954" spans="2:49" x14ac:dyDescent="0.2">
      <c r="B3954" s="460" t="s">
        <v>3526</v>
      </c>
      <c r="C3954" s="460">
        <v>8000</v>
      </c>
      <c r="D3954" s="460" t="s">
        <v>3457</v>
      </c>
      <c r="E3954" s="460" t="s">
        <v>2305</v>
      </c>
      <c r="F3954" s="460">
        <v>4</v>
      </c>
      <c r="G3954" s="460">
        <v>2</v>
      </c>
      <c r="H3954" s="461" t="s">
        <v>754</v>
      </c>
      <c r="I3954" s="461" t="s">
        <v>1991</v>
      </c>
      <c r="J3954" s="461" t="s">
        <v>754</v>
      </c>
      <c r="K3954" s="594"/>
      <c r="L3954" s="594"/>
      <c r="M3954" s="352">
        <v>8000</v>
      </c>
      <c r="N3954" s="352" t="s">
        <v>760</v>
      </c>
      <c r="O3954" s="460">
        <v>5321</v>
      </c>
      <c r="P3954" s="460" t="s">
        <v>760</v>
      </c>
      <c r="Q3954" s="460" t="s">
        <v>2377</v>
      </c>
      <c r="R3954" s="460">
        <v>5321</v>
      </c>
      <c r="S3954" s="460" t="s">
        <v>2305</v>
      </c>
      <c r="T3954" s="462">
        <v>1</v>
      </c>
      <c r="U3954" s="460" t="s">
        <v>2305</v>
      </c>
      <c r="V3954" s="475">
        <v>0</v>
      </c>
      <c r="W3954" s="463" t="s">
        <v>2278</v>
      </c>
      <c r="X3954" s="463" t="s">
        <v>2278</v>
      </c>
      <c r="Y3954" s="463" t="s">
        <v>2278</v>
      </c>
      <c r="Z3954" s="463"/>
      <c r="AA3954" s="463"/>
      <c r="AB3954" s="464">
        <v>75.194715153329241</v>
      </c>
      <c r="AC3954" s="465">
        <v>4.7121662441800272E-3</v>
      </c>
      <c r="AD3954" s="465">
        <v>0.93467546073318108</v>
      </c>
      <c r="AE3954" s="476">
        <v>75.194715153329241</v>
      </c>
      <c r="AF3954" s="467">
        <v>4.7121662441800272E-3</v>
      </c>
      <c r="AG3954" s="468">
        <v>0.93467546073318108</v>
      </c>
      <c r="AH3954" s="218">
        <v>75.194715153329241</v>
      </c>
      <c r="AI3954" s="470">
        <v>4.7121662441800272E-3</v>
      </c>
      <c r="AJ3954" s="471">
        <v>0.93467546073318108</v>
      </c>
      <c r="AK3954" s="218">
        <v>75.194715153329241</v>
      </c>
      <c r="AL3954" s="470">
        <v>4.7121662441800272E-3</v>
      </c>
      <c r="AM3954" s="471">
        <v>0.93467546073318108</v>
      </c>
      <c r="AN3954" s="477">
        <v>75.194715153329241</v>
      </c>
      <c r="AO3954" s="473">
        <v>4.7121662441800272E-3</v>
      </c>
      <c r="AP3954" s="474">
        <v>0.93467546073318108</v>
      </c>
      <c r="AQ3954" s="352"/>
      <c r="AR3954" s="352"/>
      <c r="AS3954" s="352"/>
      <c r="AT3954" s="352"/>
      <c r="AU3954" s="352"/>
      <c r="AV3954" s="352"/>
      <c r="AW3954" s="352" t="s">
        <v>127</v>
      </c>
    </row>
    <row r="3955" spans="2:49" x14ac:dyDescent="0.2">
      <c r="B3955" s="460" t="s">
        <v>3527</v>
      </c>
      <c r="C3955" s="460">
        <v>8000</v>
      </c>
      <c r="D3955" s="460" t="s">
        <v>2323</v>
      </c>
      <c r="E3955" s="460" t="s">
        <v>2324</v>
      </c>
      <c r="F3955" s="460">
        <v>1</v>
      </c>
      <c r="G3955" s="460">
        <v>3</v>
      </c>
      <c r="H3955" s="461" t="s">
        <v>700</v>
      </c>
      <c r="I3955" s="461" t="s">
        <v>872</v>
      </c>
      <c r="J3955" s="461" t="s">
        <v>700</v>
      </c>
      <c r="K3955" s="594"/>
      <c r="L3955" s="594"/>
      <c r="M3955" s="352">
        <v>8000</v>
      </c>
      <c r="N3955" s="352" t="s">
        <v>760</v>
      </c>
      <c r="O3955" s="460">
        <v>5321</v>
      </c>
      <c r="P3955" s="460" t="s">
        <v>760</v>
      </c>
      <c r="Q3955" s="460" t="s">
        <v>2553</v>
      </c>
      <c r="R3955" s="460">
        <v>5321</v>
      </c>
      <c r="S3955" s="460" t="s">
        <v>2324</v>
      </c>
      <c r="T3955" s="462">
        <v>1</v>
      </c>
      <c r="U3955" s="460" t="s">
        <v>2324</v>
      </c>
      <c r="V3955" s="475">
        <v>0</v>
      </c>
      <c r="W3955" s="463" t="s">
        <v>2554</v>
      </c>
      <c r="X3955" s="463" t="s">
        <v>2554</v>
      </c>
      <c r="Y3955" s="463" t="s">
        <v>2268</v>
      </c>
      <c r="Z3955" s="463"/>
      <c r="AA3955" s="463"/>
      <c r="AB3955" s="464">
        <v>5547.5962804411811</v>
      </c>
      <c r="AC3955" s="465">
        <v>4.4483607908809071E-2</v>
      </c>
      <c r="AD3955" s="465">
        <v>4.7557766221892672E-2</v>
      </c>
      <c r="AE3955" s="476">
        <v>3328.557768264709</v>
      </c>
      <c r="AF3955" s="467">
        <v>2.6690164745285443E-2</v>
      </c>
      <c r="AG3955" s="468">
        <v>3.0566273454379692E-2</v>
      </c>
      <c r="AH3955" s="218">
        <v>3328.557768264709</v>
      </c>
      <c r="AI3955" s="470">
        <v>2.6690164745285443E-2</v>
      </c>
      <c r="AJ3955" s="471">
        <v>2.9188814808955882E-2</v>
      </c>
      <c r="AK3955" s="218">
        <v>3328.557768264709</v>
      </c>
      <c r="AL3955" s="470">
        <v>2.6690164745285443E-2</v>
      </c>
      <c r="AM3955" s="471">
        <v>2.9188814808955882E-2</v>
      </c>
      <c r="AN3955" s="477">
        <v>0</v>
      </c>
      <c r="AO3955" s="473">
        <v>0</v>
      </c>
      <c r="AP3955" s="474">
        <v>0</v>
      </c>
      <c r="AQ3955" s="352"/>
      <c r="AR3955" s="352"/>
      <c r="AS3955" s="352"/>
      <c r="AT3955" s="352"/>
      <c r="AU3955" s="352"/>
      <c r="AV3955" s="352"/>
      <c r="AW3955" s="352" t="s">
        <v>254</v>
      </c>
    </row>
    <row r="3956" spans="2:49" x14ac:dyDescent="0.2">
      <c r="B3956" s="460" t="s">
        <v>3528</v>
      </c>
      <c r="C3956" s="460">
        <v>8000</v>
      </c>
      <c r="D3956" s="460" t="s">
        <v>2326</v>
      </c>
      <c r="E3956" s="460" t="s">
        <v>2327</v>
      </c>
      <c r="F3956" s="460">
        <v>2</v>
      </c>
      <c r="G3956" s="460">
        <v>3</v>
      </c>
      <c r="H3956" s="461" t="s">
        <v>700</v>
      </c>
      <c r="I3956" s="461" t="s">
        <v>872</v>
      </c>
      <c r="J3956" s="461" t="s">
        <v>700</v>
      </c>
      <c r="K3956" s="594"/>
      <c r="L3956" s="594"/>
      <c r="M3956" s="352">
        <v>8000</v>
      </c>
      <c r="N3956" s="352" t="s">
        <v>760</v>
      </c>
      <c r="O3956" s="460">
        <v>5321</v>
      </c>
      <c r="P3956" s="460" t="s">
        <v>760</v>
      </c>
      <c r="Q3956" s="460" t="s">
        <v>2553</v>
      </c>
      <c r="R3956" s="460">
        <v>5321</v>
      </c>
      <c r="S3956" s="460" t="s">
        <v>2324</v>
      </c>
      <c r="T3956" s="462">
        <v>1</v>
      </c>
      <c r="U3956" s="460" t="s">
        <v>2327</v>
      </c>
      <c r="V3956" s="475">
        <v>0</v>
      </c>
      <c r="W3956" s="463" t="s">
        <v>2554</v>
      </c>
      <c r="X3956" s="463" t="s">
        <v>2554</v>
      </c>
      <c r="Y3956" s="463" t="s">
        <v>2268</v>
      </c>
      <c r="Z3956" s="463"/>
      <c r="AA3956" s="463"/>
      <c r="AB3956" s="464">
        <v>3108.1350914052482</v>
      </c>
      <c r="AC3956" s="465">
        <v>3.460548159736497E-2</v>
      </c>
      <c r="AD3956" s="465">
        <v>4.5906589896001222E-2</v>
      </c>
      <c r="AE3956" s="476">
        <v>1864.8810548431491</v>
      </c>
      <c r="AF3956" s="467">
        <v>2.0763288958418981E-2</v>
      </c>
      <c r="AG3956" s="468">
        <v>2.983315422509179E-2</v>
      </c>
      <c r="AH3956" s="218">
        <v>2397.2108987070314</v>
      </c>
      <c r="AI3956" s="470">
        <v>2.6690164745285443E-2</v>
      </c>
      <c r="AJ3956" s="471">
        <v>3.2274107937368186E-2</v>
      </c>
      <c r="AK3956" s="218">
        <v>2397.2108987070314</v>
      </c>
      <c r="AL3956" s="470">
        <v>2.6690164745285443E-2</v>
      </c>
      <c r="AM3956" s="471">
        <v>3.2274107937368186E-2</v>
      </c>
      <c r="AN3956" s="477">
        <v>0</v>
      </c>
      <c r="AO3956" s="473">
        <v>0</v>
      </c>
      <c r="AP3956" s="474">
        <v>0</v>
      </c>
      <c r="AQ3956" s="352"/>
      <c r="AR3956" s="352"/>
      <c r="AS3956" s="352"/>
      <c r="AT3956" s="352"/>
      <c r="AU3956" s="352"/>
      <c r="AV3956" s="352"/>
      <c r="AW3956" s="352" t="s">
        <v>254</v>
      </c>
    </row>
    <row r="3957" spans="2:49" x14ac:dyDescent="0.2">
      <c r="B3957" s="460" t="s">
        <v>3529</v>
      </c>
      <c r="C3957" s="460">
        <v>8000</v>
      </c>
      <c r="D3957" s="460" t="s">
        <v>2329</v>
      </c>
      <c r="E3957" s="460" t="s">
        <v>2330</v>
      </c>
      <c r="F3957" s="460">
        <v>3</v>
      </c>
      <c r="G3957" s="460">
        <v>3</v>
      </c>
      <c r="H3957" s="461" t="s">
        <v>700</v>
      </c>
      <c r="I3957" s="461" t="s">
        <v>872</v>
      </c>
      <c r="J3957" s="461" t="s">
        <v>700</v>
      </c>
      <c r="K3957" s="594"/>
      <c r="L3957" s="594"/>
      <c r="M3957" s="352">
        <v>8000</v>
      </c>
      <c r="N3957" s="352" t="s">
        <v>760</v>
      </c>
      <c r="O3957" s="460">
        <v>5321</v>
      </c>
      <c r="P3957" s="460" t="s">
        <v>760</v>
      </c>
      <c r="Q3957" s="460" t="s">
        <v>2553</v>
      </c>
      <c r="R3957" s="460">
        <v>5321</v>
      </c>
      <c r="S3957" s="460" t="s">
        <v>2324</v>
      </c>
      <c r="T3957" s="462">
        <v>1</v>
      </c>
      <c r="U3957" s="460" t="s">
        <v>2330</v>
      </c>
      <c r="V3957" s="475">
        <v>0</v>
      </c>
      <c r="W3957" s="463" t="s">
        <v>2554</v>
      </c>
      <c r="X3957" s="463" t="s">
        <v>2554</v>
      </c>
      <c r="Y3957" s="463" t="s">
        <v>2268</v>
      </c>
      <c r="Z3957" s="463"/>
      <c r="AA3957" s="463"/>
      <c r="AB3957" s="464">
        <v>1304.2346389432178</v>
      </c>
      <c r="AC3957" s="465">
        <v>3.1575061787137308E-2</v>
      </c>
      <c r="AD3957" s="465">
        <v>4.9249479139542598E-2</v>
      </c>
      <c r="AE3957" s="476">
        <v>782.54078336593057</v>
      </c>
      <c r="AF3957" s="467">
        <v>1.8945037072282383E-2</v>
      </c>
      <c r="AG3957" s="468">
        <v>3.1670256510957145E-2</v>
      </c>
      <c r="AH3957" s="218">
        <v>1102.459834111329</v>
      </c>
      <c r="AI3957" s="470">
        <v>2.6690164745285443E-2</v>
      </c>
      <c r="AJ3957" s="471">
        <v>3.8842247500796664E-2</v>
      </c>
      <c r="AK3957" s="218">
        <v>1102.459834111329</v>
      </c>
      <c r="AL3957" s="470">
        <v>2.6690164745285443E-2</v>
      </c>
      <c r="AM3957" s="471">
        <v>3.8842247500796664E-2</v>
      </c>
      <c r="AN3957" s="477">
        <v>0</v>
      </c>
      <c r="AO3957" s="473">
        <v>0</v>
      </c>
      <c r="AP3957" s="474">
        <v>0</v>
      </c>
      <c r="AQ3957" s="352"/>
      <c r="AR3957" s="352"/>
      <c r="AS3957" s="352"/>
      <c r="AT3957" s="352"/>
      <c r="AU3957" s="352"/>
      <c r="AV3957" s="352"/>
      <c r="AW3957" s="352" t="s">
        <v>254</v>
      </c>
    </row>
    <row r="3958" spans="2:49" x14ac:dyDescent="0.2">
      <c r="B3958" s="460" t="s">
        <v>3530</v>
      </c>
      <c r="C3958" s="460">
        <v>8000</v>
      </c>
      <c r="D3958" s="460" t="s">
        <v>2332</v>
      </c>
      <c r="E3958" s="460" t="s">
        <v>2333</v>
      </c>
      <c r="F3958" s="460">
        <v>4</v>
      </c>
      <c r="G3958" s="460">
        <v>3</v>
      </c>
      <c r="H3958" s="461" t="s">
        <v>700</v>
      </c>
      <c r="I3958" s="461" t="s">
        <v>872</v>
      </c>
      <c r="J3958" s="461" t="s">
        <v>700</v>
      </c>
      <c r="K3958" s="594"/>
      <c r="L3958" s="594"/>
      <c r="M3958" s="352">
        <v>8000</v>
      </c>
      <c r="N3958" s="352" t="s">
        <v>760</v>
      </c>
      <c r="O3958" s="460">
        <v>5321</v>
      </c>
      <c r="P3958" s="460" t="s">
        <v>760</v>
      </c>
      <c r="Q3958" s="460" t="s">
        <v>2553</v>
      </c>
      <c r="R3958" s="460">
        <v>5321</v>
      </c>
      <c r="S3958" s="460" t="s">
        <v>2333</v>
      </c>
      <c r="T3958" s="462">
        <v>1</v>
      </c>
      <c r="U3958" s="460" t="s">
        <v>2333</v>
      </c>
      <c r="V3958" s="475">
        <v>0</v>
      </c>
      <c r="W3958" s="463" t="s">
        <v>2554</v>
      </c>
      <c r="X3958" s="463" t="s">
        <v>2554</v>
      </c>
      <c r="Y3958" s="463" t="s">
        <v>2268</v>
      </c>
      <c r="Z3958" s="463"/>
      <c r="AA3958" s="463"/>
      <c r="AB3958" s="464">
        <v>652.61633845782853</v>
      </c>
      <c r="AC3958" s="465">
        <v>1.3768632253707053E-2</v>
      </c>
      <c r="AD3958" s="465">
        <v>4.5010000000000071E-2</v>
      </c>
      <c r="AE3958" s="476">
        <v>391.56980307469712</v>
      </c>
      <c r="AF3958" s="467">
        <v>8.2611793522242311E-3</v>
      </c>
      <c r="AG3958" s="468">
        <v>2.9804546461992813E-2</v>
      </c>
      <c r="AH3958" s="218">
        <v>391.56980307469712</v>
      </c>
      <c r="AI3958" s="470">
        <v>8.2611793522242311E-3</v>
      </c>
      <c r="AJ3958" s="471">
        <v>2.8876871451317104E-2</v>
      </c>
      <c r="AK3958" s="218">
        <v>391.56980307469712</v>
      </c>
      <c r="AL3958" s="470">
        <v>8.2611793522242311E-3</v>
      </c>
      <c r="AM3958" s="471">
        <v>2.8876871451317104E-2</v>
      </c>
      <c r="AN3958" s="477">
        <v>0</v>
      </c>
      <c r="AO3958" s="473">
        <v>0</v>
      </c>
      <c r="AP3958" s="474">
        <v>0</v>
      </c>
      <c r="AQ3958" s="352"/>
      <c r="AR3958" s="352"/>
      <c r="AS3958" s="352"/>
      <c r="AT3958" s="352"/>
      <c r="AU3958" s="352"/>
      <c r="AV3958" s="352"/>
      <c r="AW3958" s="352" t="s">
        <v>254</v>
      </c>
    </row>
    <row r="3959" spans="2:49" x14ac:dyDescent="0.2">
      <c r="B3959" s="460" t="s">
        <v>3527</v>
      </c>
      <c r="C3959" s="460">
        <v>8000</v>
      </c>
      <c r="D3959" s="460" t="s">
        <v>2334</v>
      </c>
      <c r="E3959" s="460" t="s">
        <v>2324</v>
      </c>
      <c r="F3959" s="460">
        <v>1</v>
      </c>
      <c r="G3959" s="460">
        <v>3</v>
      </c>
      <c r="H3959" s="461" t="s">
        <v>712</v>
      </c>
      <c r="I3959" s="461" t="s">
        <v>713</v>
      </c>
      <c r="J3959" s="461" t="s">
        <v>712</v>
      </c>
      <c r="K3959" s="594"/>
      <c r="L3959" s="594"/>
      <c r="M3959" s="352">
        <v>8000</v>
      </c>
      <c r="N3959" s="352" t="s">
        <v>760</v>
      </c>
      <c r="O3959" s="460">
        <v>5321</v>
      </c>
      <c r="P3959" s="460" t="s">
        <v>760</v>
      </c>
      <c r="Q3959" s="460" t="s">
        <v>2280</v>
      </c>
      <c r="R3959" s="460">
        <v>5321</v>
      </c>
      <c r="S3959" s="460" t="s">
        <v>2324</v>
      </c>
      <c r="T3959" s="462">
        <v>1</v>
      </c>
      <c r="U3959" s="460" t="s">
        <v>2324</v>
      </c>
      <c r="V3959" s="475">
        <v>0</v>
      </c>
      <c r="W3959" s="463" t="s">
        <v>713</v>
      </c>
      <c r="X3959" s="463" t="s">
        <v>713</v>
      </c>
      <c r="Y3959" s="463" t="s">
        <v>713</v>
      </c>
      <c r="Z3959" s="463"/>
      <c r="AA3959" s="463"/>
      <c r="AB3959" s="464">
        <v>119148.05398690296</v>
      </c>
      <c r="AC3959" s="465">
        <v>0.95539311959981077</v>
      </c>
      <c r="AD3959" s="465">
        <v>0.29750031046336084</v>
      </c>
      <c r="AE3959" s="476">
        <v>121367.09249907943</v>
      </c>
      <c r="AF3959" s="467">
        <v>0.97318656276333437</v>
      </c>
      <c r="AG3959" s="468">
        <v>0.29728586733207873</v>
      </c>
      <c r="AH3959" s="218">
        <v>121367.09249907943</v>
      </c>
      <c r="AI3959" s="470">
        <v>0.97318656276333437</v>
      </c>
      <c r="AJ3959" s="471">
        <v>0.30107574152060368</v>
      </c>
      <c r="AK3959" s="218">
        <v>121367.09249907943</v>
      </c>
      <c r="AL3959" s="470">
        <v>0.97318656276333437</v>
      </c>
      <c r="AM3959" s="471">
        <v>0.30107574152060368</v>
      </c>
      <c r="AN3959" s="477">
        <v>121367.09249907943</v>
      </c>
      <c r="AO3959" s="473">
        <v>0.97318656276333437</v>
      </c>
      <c r="AP3959" s="474">
        <v>0.30092922216746648</v>
      </c>
      <c r="AQ3959" s="352"/>
      <c r="AR3959" s="352"/>
      <c r="AS3959" s="352"/>
      <c r="AT3959" s="352"/>
      <c r="AU3959" s="352"/>
      <c r="AV3959" s="352"/>
      <c r="AW3959" s="352" t="s">
        <v>254</v>
      </c>
    </row>
    <row r="3960" spans="2:49" x14ac:dyDescent="0.2">
      <c r="B3960" s="460" t="s">
        <v>3528</v>
      </c>
      <c r="C3960" s="460">
        <v>8000</v>
      </c>
      <c r="D3960" s="460" t="s">
        <v>2335</v>
      </c>
      <c r="E3960" s="460" t="s">
        <v>2327</v>
      </c>
      <c r="F3960" s="460">
        <v>2</v>
      </c>
      <c r="G3960" s="460">
        <v>3</v>
      </c>
      <c r="H3960" s="461" t="s">
        <v>712</v>
      </c>
      <c r="I3960" s="461" t="s">
        <v>713</v>
      </c>
      <c r="J3960" s="461" t="s">
        <v>712</v>
      </c>
      <c r="K3960" s="594"/>
      <c r="L3960" s="594"/>
      <c r="M3960" s="352">
        <v>8000</v>
      </c>
      <c r="N3960" s="352" t="s">
        <v>760</v>
      </c>
      <c r="O3960" s="460">
        <v>5321</v>
      </c>
      <c r="P3960" s="460" t="s">
        <v>760</v>
      </c>
      <c r="Q3960" s="460" t="s">
        <v>2280</v>
      </c>
      <c r="R3960" s="460">
        <v>5321</v>
      </c>
      <c r="S3960" s="460" t="s">
        <v>2324</v>
      </c>
      <c r="T3960" s="462">
        <v>1</v>
      </c>
      <c r="U3960" s="460" t="s">
        <v>2327</v>
      </c>
      <c r="V3960" s="475">
        <v>0</v>
      </c>
      <c r="W3960" s="463" t="s">
        <v>713</v>
      </c>
      <c r="X3960" s="463" t="s">
        <v>713</v>
      </c>
      <c r="Y3960" s="463" t="s">
        <v>713</v>
      </c>
      <c r="Z3960" s="463"/>
      <c r="AA3960" s="463"/>
      <c r="AB3960" s="464">
        <v>86653.363423816685</v>
      </c>
      <c r="AC3960" s="465">
        <v>0.96478476164203819</v>
      </c>
      <c r="AD3960" s="465">
        <v>0.27751593117700463</v>
      </c>
      <c r="AE3960" s="476">
        <v>87896.61746037878</v>
      </c>
      <c r="AF3960" s="467">
        <v>0.97862695428098412</v>
      </c>
      <c r="AG3960" s="468">
        <v>0.27689055456839889</v>
      </c>
      <c r="AH3960" s="218">
        <v>87364.287616514906</v>
      </c>
      <c r="AI3960" s="470">
        <v>0.97270007849411766</v>
      </c>
      <c r="AJ3960" s="471">
        <v>0.28621231477669257</v>
      </c>
      <c r="AK3960" s="218">
        <v>87364.287616514906</v>
      </c>
      <c r="AL3960" s="470">
        <v>0.97270007849411766</v>
      </c>
      <c r="AM3960" s="471">
        <v>0.28621231477669257</v>
      </c>
      <c r="AN3960" s="477">
        <v>87364.287616514906</v>
      </c>
      <c r="AO3960" s="473">
        <v>0.97270007849411766</v>
      </c>
      <c r="AP3960" s="474">
        <v>0.28610010128035684</v>
      </c>
      <c r="AQ3960" s="352"/>
      <c r="AR3960" s="352"/>
      <c r="AS3960" s="352"/>
      <c r="AT3960" s="352"/>
      <c r="AU3960" s="352"/>
      <c r="AV3960" s="352"/>
      <c r="AW3960" s="352" t="s">
        <v>254</v>
      </c>
    </row>
    <row r="3961" spans="2:49" x14ac:dyDescent="0.2">
      <c r="B3961" s="460" t="s">
        <v>3529</v>
      </c>
      <c r="C3961" s="460">
        <v>8000</v>
      </c>
      <c r="D3961" s="460" t="s">
        <v>2336</v>
      </c>
      <c r="E3961" s="460" t="s">
        <v>2330</v>
      </c>
      <c r="F3961" s="460">
        <v>3</v>
      </c>
      <c r="G3961" s="460">
        <v>3</v>
      </c>
      <c r="H3961" s="461" t="s">
        <v>712</v>
      </c>
      <c r="I3961" s="461" t="s">
        <v>713</v>
      </c>
      <c r="J3961" s="461" t="s">
        <v>712</v>
      </c>
      <c r="K3961" s="594"/>
      <c r="L3961" s="594"/>
      <c r="M3961" s="352">
        <v>8000</v>
      </c>
      <c r="N3961" s="352" t="s">
        <v>760</v>
      </c>
      <c r="O3961" s="460">
        <v>5321</v>
      </c>
      <c r="P3961" s="460" t="s">
        <v>760</v>
      </c>
      <c r="Q3961" s="460" t="s">
        <v>2280</v>
      </c>
      <c r="R3961" s="460">
        <v>5321</v>
      </c>
      <c r="S3961" s="460" t="s">
        <v>2324</v>
      </c>
      <c r="T3961" s="462">
        <v>1</v>
      </c>
      <c r="U3961" s="460" t="s">
        <v>2330</v>
      </c>
      <c r="V3961" s="475">
        <v>0</v>
      </c>
      <c r="W3961" s="463" t="s">
        <v>713</v>
      </c>
      <c r="X3961" s="463" t="s">
        <v>713</v>
      </c>
      <c r="Y3961" s="463" t="s">
        <v>713</v>
      </c>
      <c r="Z3961" s="463"/>
      <c r="AA3961" s="463"/>
      <c r="AB3961" s="464">
        <v>40000.859916245434</v>
      </c>
      <c r="AC3961" s="465">
        <v>0.96840674651722847</v>
      </c>
      <c r="AD3961" s="465">
        <v>0.35417813618398836</v>
      </c>
      <c r="AE3961" s="476">
        <v>40522.553771822721</v>
      </c>
      <c r="AF3961" s="467">
        <v>0.98103677123208344</v>
      </c>
      <c r="AG3961" s="468">
        <v>0.35325120864068599</v>
      </c>
      <c r="AH3961" s="218">
        <v>40202.634721077324</v>
      </c>
      <c r="AI3961" s="470">
        <v>0.97329164355908038</v>
      </c>
      <c r="AJ3961" s="471">
        <v>0.36384345221653369</v>
      </c>
      <c r="AK3961" s="218">
        <v>40202.634721077324</v>
      </c>
      <c r="AL3961" s="470">
        <v>0.97329164355908038</v>
      </c>
      <c r="AM3961" s="471">
        <v>0.36384345221653369</v>
      </c>
      <c r="AN3961" s="477">
        <v>40202.634721077324</v>
      </c>
      <c r="AO3961" s="473">
        <v>0.97329164355908038</v>
      </c>
      <c r="AP3961" s="474">
        <v>0.36478257234984446</v>
      </c>
      <c r="AQ3961" s="352"/>
      <c r="AR3961" s="352"/>
      <c r="AS3961" s="352"/>
      <c r="AT3961" s="352"/>
      <c r="AU3961" s="352"/>
      <c r="AV3961" s="352"/>
      <c r="AW3961" s="352" t="s">
        <v>254</v>
      </c>
    </row>
    <row r="3962" spans="2:49" x14ac:dyDescent="0.2">
      <c r="B3962" s="460" t="s">
        <v>3530</v>
      </c>
      <c r="C3962" s="460">
        <v>8000</v>
      </c>
      <c r="D3962" s="460" t="s">
        <v>2337</v>
      </c>
      <c r="E3962" s="460" t="s">
        <v>2333</v>
      </c>
      <c r="F3962" s="460">
        <v>4</v>
      </c>
      <c r="G3962" s="460">
        <v>3</v>
      </c>
      <c r="H3962" s="461" t="s">
        <v>712</v>
      </c>
      <c r="I3962" s="461" t="s">
        <v>713</v>
      </c>
      <c r="J3962" s="461" t="s">
        <v>712</v>
      </c>
      <c r="K3962" s="594"/>
      <c r="L3962" s="594"/>
      <c r="M3962" s="352">
        <v>8000</v>
      </c>
      <c r="N3962" s="352" t="s">
        <v>760</v>
      </c>
      <c r="O3962" s="460">
        <v>5321</v>
      </c>
      <c r="P3962" s="460" t="s">
        <v>760</v>
      </c>
      <c r="Q3962" s="460" t="s">
        <v>2280</v>
      </c>
      <c r="R3962" s="460">
        <v>5321</v>
      </c>
      <c r="S3962" s="460" t="s">
        <v>2333</v>
      </c>
      <c r="T3962" s="462">
        <v>1</v>
      </c>
      <c r="U3962" s="460" t="s">
        <v>2333</v>
      </c>
      <c r="V3962" s="475">
        <v>0</v>
      </c>
      <c r="W3962" s="463" t="s">
        <v>713</v>
      </c>
      <c r="X3962" s="463" t="s">
        <v>713</v>
      </c>
      <c r="Y3962" s="463" t="s">
        <v>713</v>
      </c>
      <c r="Z3962" s="463"/>
      <c r="AA3962" s="463"/>
      <c r="AB3962" s="464">
        <v>46746.161291187906</v>
      </c>
      <c r="AC3962" s="465">
        <v>0.98623136774629305</v>
      </c>
      <c r="AD3962" s="465">
        <v>0.35538631841109397</v>
      </c>
      <c r="AE3962" s="476">
        <v>47007.20782657103</v>
      </c>
      <c r="AF3962" s="467">
        <v>0.99173882064777574</v>
      </c>
      <c r="AG3962" s="468">
        <v>0.3537099070842023</v>
      </c>
      <c r="AH3962" s="218">
        <v>47007.20782657103</v>
      </c>
      <c r="AI3962" s="470">
        <v>0.99173882064777574</v>
      </c>
      <c r="AJ3962" s="471">
        <v>0.35483680303935322</v>
      </c>
      <c r="AK3962" s="218">
        <v>47007.20782657103</v>
      </c>
      <c r="AL3962" s="470">
        <v>0.99173882064777574</v>
      </c>
      <c r="AM3962" s="471">
        <v>0.35483680303935322</v>
      </c>
      <c r="AN3962" s="477">
        <v>47007.20782657103</v>
      </c>
      <c r="AO3962" s="473">
        <v>0.99173882064777574</v>
      </c>
      <c r="AP3962" s="474">
        <v>0.35494956440155662</v>
      </c>
      <c r="AQ3962" s="352"/>
      <c r="AR3962" s="352"/>
      <c r="AS3962" s="352"/>
      <c r="AT3962" s="352"/>
      <c r="AU3962" s="352"/>
      <c r="AV3962" s="352"/>
      <c r="AW3962" s="352" t="s">
        <v>254</v>
      </c>
    </row>
    <row r="3963" spans="2:49" x14ac:dyDescent="0.2">
      <c r="B3963" s="460" t="s">
        <v>3527</v>
      </c>
      <c r="C3963" s="460">
        <v>8000</v>
      </c>
      <c r="D3963" s="460" t="s">
        <v>2338</v>
      </c>
      <c r="E3963" s="460" t="s">
        <v>2324</v>
      </c>
      <c r="F3963" s="460">
        <v>1</v>
      </c>
      <c r="G3963" s="460">
        <v>3</v>
      </c>
      <c r="H3963" s="461" t="s">
        <v>746</v>
      </c>
      <c r="I3963" s="461" t="s">
        <v>762</v>
      </c>
      <c r="J3963" s="461" t="s">
        <v>700</v>
      </c>
      <c r="K3963" s="594"/>
      <c r="L3963" s="594"/>
      <c r="M3963" s="352">
        <v>8000</v>
      </c>
      <c r="N3963" s="352" t="s">
        <v>760</v>
      </c>
      <c r="O3963" s="460">
        <v>5321</v>
      </c>
      <c r="P3963" s="460" t="s">
        <v>760</v>
      </c>
      <c r="Q3963" s="460" t="s">
        <v>2553</v>
      </c>
      <c r="R3963" s="460">
        <v>5321</v>
      </c>
      <c r="S3963" s="460" t="s">
        <v>2324</v>
      </c>
      <c r="T3963" s="462">
        <v>1</v>
      </c>
      <c r="U3963" s="460" t="s">
        <v>2324</v>
      </c>
      <c r="V3963" s="475">
        <v>0</v>
      </c>
      <c r="W3963" s="463" t="s">
        <v>2268</v>
      </c>
      <c r="X3963" s="463" t="s">
        <v>2268</v>
      </c>
      <c r="Y3963" s="463" t="s">
        <v>2554</v>
      </c>
      <c r="Z3963" s="463"/>
      <c r="AA3963" s="463"/>
      <c r="AB3963" s="464">
        <v>0</v>
      </c>
      <c r="AC3963" s="465">
        <v>0</v>
      </c>
      <c r="AD3963" s="465">
        <v>0</v>
      </c>
      <c r="AE3963" s="476">
        <v>0</v>
      </c>
      <c r="AF3963" s="467">
        <v>0</v>
      </c>
      <c r="AG3963" s="468">
        <v>0</v>
      </c>
      <c r="AH3963" s="218">
        <v>0</v>
      </c>
      <c r="AI3963" s="470">
        <v>0</v>
      </c>
      <c r="AJ3963" s="471">
        <v>0</v>
      </c>
      <c r="AK3963" s="218">
        <v>0</v>
      </c>
      <c r="AL3963" s="470">
        <v>0</v>
      </c>
      <c r="AM3963" s="471">
        <v>0</v>
      </c>
      <c r="AN3963" s="477">
        <v>2219.0385121764725</v>
      </c>
      <c r="AO3963" s="473">
        <v>1.7793443163523628E-2</v>
      </c>
      <c r="AP3963" s="474">
        <v>2.3450252408869218E-2</v>
      </c>
      <c r="AQ3963" s="352"/>
      <c r="AR3963" s="352"/>
      <c r="AS3963" s="352"/>
      <c r="AT3963" s="352"/>
      <c r="AU3963" s="352"/>
      <c r="AV3963" s="352"/>
      <c r="AW3963" s="352" t="s">
        <v>254</v>
      </c>
    </row>
    <row r="3964" spans="2:49" x14ac:dyDescent="0.2">
      <c r="B3964" s="460" t="s">
        <v>3528</v>
      </c>
      <c r="C3964" s="460">
        <v>8000</v>
      </c>
      <c r="D3964" s="460" t="s">
        <v>2339</v>
      </c>
      <c r="E3964" s="460" t="s">
        <v>2327</v>
      </c>
      <c r="F3964" s="460">
        <v>2</v>
      </c>
      <c r="G3964" s="460">
        <v>3</v>
      </c>
      <c r="H3964" s="461" t="s">
        <v>746</v>
      </c>
      <c r="I3964" s="461" t="s">
        <v>762</v>
      </c>
      <c r="J3964" s="461" t="s">
        <v>700</v>
      </c>
      <c r="K3964" s="594"/>
      <c r="L3964" s="594"/>
      <c r="M3964" s="352">
        <v>8000</v>
      </c>
      <c r="N3964" s="352" t="s">
        <v>760</v>
      </c>
      <c r="O3964" s="460">
        <v>5321</v>
      </c>
      <c r="P3964" s="460" t="s">
        <v>760</v>
      </c>
      <c r="Q3964" s="460" t="s">
        <v>2553</v>
      </c>
      <c r="R3964" s="460">
        <v>5321</v>
      </c>
      <c r="S3964" s="460" t="s">
        <v>2324</v>
      </c>
      <c r="T3964" s="462">
        <v>1</v>
      </c>
      <c r="U3964" s="460" t="s">
        <v>2327</v>
      </c>
      <c r="V3964" s="475">
        <v>0</v>
      </c>
      <c r="W3964" s="463" t="s">
        <v>2268</v>
      </c>
      <c r="X3964" s="463" t="s">
        <v>2268</v>
      </c>
      <c r="Y3964" s="463" t="s">
        <v>2554</v>
      </c>
      <c r="Z3964" s="463"/>
      <c r="AA3964" s="463"/>
      <c r="AB3964" s="464">
        <v>0</v>
      </c>
      <c r="AC3964" s="465">
        <v>0</v>
      </c>
      <c r="AD3964" s="465">
        <v>0</v>
      </c>
      <c r="AE3964" s="476">
        <v>0</v>
      </c>
      <c r="AF3964" s="467">
        <v>0</v>
      </c>
      <c r="AG3964" s="468">
        <v>0</v>
      </c>
      <c r="AH3964" s="218">
        <v>0</v>
      </c>
      <c r="AI3964" s="470">
        <v>0</v>
      </c>
      <c r="AJ3964" s="471">
        <v>0</v>
      </c>
      <c r="AK3964" s="218">
        <v>0</v>
      </c>
      <c r="AL3964" s="470">
        <v>0</v>
      </c>
      <c r="AM3964" s="471">
        <v>0</v>
      </c>
      <c r="AN3964" s="477">
        <v>1598.1405991380207</v>
      </c>
      <c r="AO3964" s="473">
        <v>1.7793443163523628E-2</v>
      </c>
      <c r="AP3964" s="474">
        <v>2.5404627600754143E-2</v>
      </c>
      <c r="AQ3964" s="352"/>
      <c r="AR3964" s="352"/>
      <c r="AS3964" s="352"/>
      <c r="AT3964" s="352"/>
      <c r="AU3964" s="352"/>
      <c r="AV3964" s="352"/>
      <c r="AW3964" s="352" t="s">
        <v>254</v>
      </c>
    </row>
    <row r="3965" spans="2:49" x14ac:dyDescent="0.2">
      <c r="B3965" s="460" t="s">
        <v>3529</v>
      </c>
      <c r="C3965" s="460">
        <v>8000</v>
      </c>
      <c r="D3965" s="460" t="s">
        <v>2340</v>
      </c>
      <c r="E3965" s="460" t="s">
        <v>2330</v>
      </c>
      <c r="F3965" s="460">
        <v>3</v>
      </c>
      <c r="G3965" s="460">
        <v>3</v>
      </c>
      <c r="H3965" s="461" t="s">
        <v>746</v>
      </c>
      <c r="I3965" s="461" t="s">
        <v>762</v>
      </c>
      <c r="J3965" s="461" t="s">
        <v>700</v>
      </c>
      <c r="K3965" s="594"/>
      <c r="L3965" s="594"/>
      <c r="M3965" s="352">
        <v>8000</v>
      </c>
      <c r="N3965" s="352" t="s">
        <v>760</v>
      </c>
      <c r="O3965" s="460">
        <v>5321</v>
      </c>
      <c r="P3965" s="460" t="s">
        <v>760</v>
      </c>
      <c r="Q3965" s="460" t="s">
        <v>2553</v>
      </c>
      <c r="R3965" s="460">
        <v>5321</v>
      </c>
      <c r="S3965" s="460" t="s">
        <v>2324</v>
      </c>
      <c r="T3965" s="462">
        <v>1</v>
      </c>
      <c r="U3965" s="460" t="s">
        <v>2330</v>
      </c>
      <c r="V3965" s="475">
        <v>0</v>
      </c>
      <c r="W3965" s="463" t="s">
        <v>2268</v>
      </c>
      <c r="X3965" s="463" t="s">
        <v>2268</v>
      </c>
      <c r="Y3965" s="463" t="s">
        <v>2554</v>
      </c>
      <c r="Z3965" s="463"/>
      <c r="AA3965" s="463"/>
      <c r="AB3965" s="464">
        <v>0</v>
      </c>
      <c r="AC3965" s="465">
        <v>0</v>
      </c>
      <c r="AD3965" s="465">
        <v>0</v>
      </c>
      <c r="AE3965" s="476">
        <v>0</v>
      </c>
      <c r="AF3965" s="467">
        <v>0</v>
      </c>
      <c r="AG3965" s="468">
        <v>0</v>
      </c>
      <c r="AH3965" s="218">
        <v>0</v>
      </c>
      <c r="AI3965" s="470">
        <v>0</v>
      </c>
      <c r="AJ3965" s="471">
        <v>0</v>
      </c>
      <c r="AK3965" s="218">
        <v>0</v>
      </c>
      <c r="AL3965" s="470">
        <v>0</v>
      </c>
      <c r="AM3965" s="471">
        <v>0</v>
      </c>
      <c r="AN3965" s="477">
        <v>734.97322274088594</v>
      </c>
      <c r="AO3965" s="473">
        <v>1.7793443163523628E-2</v>
      </c>
      <c r="AP3965" s="474">
        <v>2.9400268408088626E-2</v>
      </c>
      <c r="AQ3965" s="352"/>
      <c r="AR3965" s="352"/>
      <c r="AS3965" s="352"/>
      <c r="AT3965" s="352"/>
      <c r="AU3965" s="352"/>
      <c r="AV3965" s="352"/>
      <c r="AW3965" s="352" t="s">
        <v>254</v>
      </c>
    </row>
    <row r="3966" spans="2:49" x14ac:dyDescent="0.2">
      <c r="B3966" s="460" t="s">
        <v>3530</v>
      </c>
      <c r="C3966" s="460">
        <v>8000</v>
      </c>
      <c r="D3966" s="460" t="s">
        <v>2341</v>
      </c>
      <c r="E3966" s="460" t="s">
        <v>2333</v>
      </c>
      <c r="F3966" s="460">
        <v>4</v>
      </c>
      <c r="G3966" s="460">
        <v>3</v>
      </c>
      <c r="H3966" s="461" t="s">
        <v>746</v>
      </c>
      <c r="I3966" s="461" t="s">
        <v>762</v>
      </c>
      <c r="J3966" s="461" t="s">
        <v>700</v>
      </c>
      <c r="K3966" s="594"/>
      <c r="L3966" s="594"/>
      <c r="M3966" s="352">
        <v>8000</v>
      </c>
      <c r="N3966" s="352" t="s">
        <v>760</v>
      </c>
      <c r="O3966" s="460">
        <v>5321</v>
      </c>
      <c r="P3966" s="460" t="s">
        <v>760</v>
      </c>
      <c r="Q3966" s="460" t="s">
        <v>2553</v>
      </c>
      <c r="R3966" s="460">
        <v>5321</v>
      </c>
      <c r="S3966" s="460" t="s">
        <v>2333</v>
      </c>
      <c r="T3966" s="462">
        <v>1</v>
      </c>
      <c r="U3966" s="460" t="s">
        <v>2333</v>
      </c>
      <c r="V3966" s="475">
        <v>0</v>
      </c>
      <c r="W3966" s="463" t="s">
        <v>2268</v>
      </c>
      <c r="X3966" s="463" t="s">
        <v>2268</v>
      </c>
      <c r="Y3966" s="463" t="s">
        <v>2554</v>
      </c>
      <c r="Z3966" s="463"/>
      <c r="AA3966" s="463"/>
      <c r="AB3966" s="464">
        <v>0</v>
      </c>
      <c r="AC3966" s="465">
        <v>0</v>
      </c>
      <c r="AD3966" s="465">
        <v>0</v>
      </c>
      <c r="AE3966" s="476">
        <v>0</v>
      </c>
      <c r="AF3966" s="467">
        <v>0</v>
      </c>
      <c r="AG3966" s="468">
        <v>0</v>
      </c>
      <c r="AH3966" s="218">
        <v>0</v>
      </c>
      <c r="AI3966" s="470">
        <v>0</v>
      </c>
      <c r="AJ3966" s="471">
        <v>0</v>
      </c>
      <c r="AK3966" s="218">
        <v>0</v>
      </c>
      <c r="AL3966" s="470">
        <v>0</v>
      </c>
      <c r="AM3966" s="471">
        <v>0</v>
      </c>
      <c r="AN3966" s="477">
        <v>261.04653538313147</v>
      </c>
      <c r="AO3966" s="473">
        <v>5.5074529014828219E-3</v>
      </c>
      <c r="AP3966" s="474">
        <v>2.1760734647746138E-2</v>
      </c>
      <c r="AQ3966" s="352"/>
      <c r="AR3966" s="352"/>
      <c r="AS3966" s="352"/>
      <c r="AT3966" s="352"/>
      <c r="AU3966" s="352"/>
      <c r="AV3966" s="352"/>
      <c r="AW3966" s="352" t="s">
        <v>254</v>
      </c>
    </row>
    <row r="3967" spans="2:49" x14ac:dyDescent="0.2">
      <c r="B3967" s="460" t="s">
        <v>3527</v>
      </c>
      <c r="C3967" s="460">
        <v>8000</v>
      </c>
      <c r="D3967" s="460" t="s">
        <v>2342</v>
      </c>
      <c r="E3967" s="460" t="s">
        <v>2324</v>
      </c>
      <c r="F3967" s="460">
        <v>1</v>
      </c>
      <c r="G3967" s="460">
        <v>3</v>
      </c>
      <c r="H3967" s="461" t="s">
        <v>748</v>
      </c>
      <c r="I3967" s="461" t="s">
        <v>765</v>
      </c>
      <c r="J3967" s="461" t="s">
        <v>700</v>
      </c>
      <c r="K3967" s="594"/>
      <c r="L3967" s="594"/>
      <c r="M3967" s="352">
        <v>8000</v>
      </c>
      <c r="N3967" s="352" t="s">
        <v>760</v>
      </c>
      <c r="O3967" s="460">
        <v>5321</v>
      </c>
      <c r="P3967" s="460" t="s">
        <v>760</v>
      </c>
      <c r="Q3967" s="460" t="s">
        <v>2553</v>
      </c>
      <c r="R3967" s="460">
        <v>5321</v>
      </c>
      <c r="S3967" s="460" t="s">
        <v>2324</v>
      </c>
      <c r="T3967" s="462">
        <v>1</v>
      </c>
      <c r="U3967" s="460" t="s">
        <v>2324</v>
      </c>
      <c r="V3967" s="475">
        <v>0</v>
      </c>
      <c r="W3967" s="463" t="s">
        <v>2268</v>
      </c>
      <c r="X3967" s="463" t="s">
        <v>2268</v>
      </c>
      <c r="Y3967" s="463" t="s">
        <v>2554</v>
      </c>
      <c r="Z3967" s="463"/>
      <c r="AA3967" s="463"/>
      <c r="AB3967" s="464">
        <v>0</v>
      </c>
      <c r="AC3967" s="465">
        <v>0</v>
      </c>
      <c r="AD3967" s="465">
        <v>0</v>
      </c>
      <c r="AE3967" s="476">
        <v>0</v>
      </c>
      <c r="AF3967" s="467">
        <v>0</v>
      </c>
      <c r="AG3967" s="468">
        <v>0</v>
      </c>
      <c r="AH3967" s="218">
        <v>0</v>
      </c>
      <c r="AI3967" s="470">
        <v>0</v>
      </c>
      <c r="AJ3967" s="471">
        <v>0</v>
      </c>
      <c r="AK3967" s="218">
        <v>0</v>
      </c>
      <c r="AL3967" s="470">
        <v>0</v>
      </c>
      <c r="AM3967" s="471">
        <v>0</v>
      </c>
      <c r="AN3967" s="477">
        <v>1109.519256088236</v>
      </c>
      <c r="AO3967" s="473">
        <v>8.8967215817618121E-3</v>
      </c>
      <c r="AP3967" s="474">
        <v>5.7752491324341251E-2</v>
      </c>
      <c r="AQ3967" s="352"/>
      <c r="AR3967" s="352"/>
      <c r="AS3967" s="352"/>
      <c r="AT3967" s="352"/>
      <c r="AU3967" s="352"/>
      <c r="AV3967" s="352"/>
      <c r="AW3967" s="352" t="s">
        <v>254</v>
      </c>
    </row>
    <row r="3968" spans="2:49" x14ac:dyDescent="0.2">
      <c r="B3968" s="460" t="s">
        <v>3528</v>
      </c>
      <c r="C3968" s="460">
        <v>8000</v>
      </c>
      <c r="D3968" s="460" t="s">
        <v>2343</v>
      </c>
      <c r="E3968" s="460" t="s">
        <v>2327</v>
      </c>
      <c r="F3968" s="460">
        <v>2</v>
      </c>
      <c r="G3968" s="460">
        <v>3</v>
      </c>
      <c r="H3968" s="461" t="s">
        <v>748</v>
      </c>
      <c r="I3968" s="461" t="s">
        <v>765</v>
      </c>
      <c r="J3968" s="461" t="s">
        <v>700</v>
      </c>
      <c r="K3968" s="594"/>
      <c r="L3968" s="594"/>
      <c r="M3968" s="352">
        <v>8000</v>
      </c>
      <c r="N3968" s="352" t="s">
        <v>760</v>
      </c>
      <c r="O3968" s="460">
        <v>5321</v>
      </c>
      <c r="P3968" s="460" t="s">
        <v>760</v>
      </c>
      <c r="Q3968" s="460" t="s">
        <v>2553</v>
      </c>
      <c r="R3968" s="460">
        <v>5321</v>
      </c>
      <c r="S3968" s="460" t="s">
        <v>2324</v>
      </c>
      <c r="T3968" s="462">
        <v>1</v>
      </c>
      <c r="U3968" s="460" t="s">
        <v>2327</v>
      </c>
      <c r="V3968" s="475">
        <v>0</v>
      </c>
      <c r="W3968" s="463" t="s">
        <v>2268</v>
      </c>
      <c r="X3968" s="463" t="s">
        <v>2268</v>
      </c>
      <c r="Y3968" s="463" t="s">
        <v>2554</v>
      </c>
      <c r="Z3968" s="463"/>
      <c r="AA3968" s="463"/>
      <c r="AB3968" s="464">
        <v>0</v>
      </c>
      <c r="AC3968" s="465">
        <v>0</v>
      </c>
      <c r="AD3968" s="465">
        <v>0</v>
      </c>
      <c r="AE3968" s="476">
        <v>0</v>
      </c>
      <c r="AF3968" s="467">
        <v>0</v>
      </c>
      <c r="AG3968" s="468">
        <v>0</v>
      </c>
      <c r="AH3968" s="218">
        <v>0</v>
      </c>
      <c r="AI3968" s="470">
        <v>0</v>
      </c>
      <c r="AJ3968" s="471">
        <v>0</v>
      </c>
      <c r="AK3968" s="218">
        <v>0</v>
      </c>
      <c r="AL3968" s="470">
        <v>0</v>
      </c>
      <c r="AM3968" s="471">
        <v>0</v>
      </c>
      <c r="AN3968" s="477">
        <v>799.07029956901022</v>
      </c>
      <c r="AO3968" s="473">
        <v>8.8967215817618121E-3</v>
      </c>
      <c r="AP3968" s="474">
        <v>7.1032165657834836E-2</v>
      </c>
      <c r="AQ3968" s="352"/>
      <c r="AR3968" s="352"/>
      <c r="AS3968" s="352"/>
      <c r="AT3968" s="352"/>
      <c r="AU3968" s="352"/>
      <c r="AV3968" s="352"/>
      <c r="AW3968" s="352" t="s">
        <v>254</v>
      </c>
    </row>
    <row r="3969" spans="2:49" x14ac:dyDescent="0.2">
      <c r="B3969" s="460" t="s">
        <v>3529</v>
      </c>
      <c r="C3969" s="460">
        <v>8000</v>
      </c>
      <c r="D3969" s="460" t="s">
        <v>2344</v>
      </c>
      <c r="E3969" s="460" t="s">
        <v>2330</v>
      </c>
      <c r="F3969" s="460">
        <v>3</v>
      </c>
      <c r="G3969" s="460">
        <v>3</v>
      </c>
      <c r="H3969" s="461" t="s">
        <v>748</v>
      </c>
      <c r="I3969" s="461" t="s">
        <v>765</v>
      </c>
      <c r="J3969" s="461" t="s">
        <v>700</v>
      </c>
      <c r="K3969" s="594"/>
      <c r="L3969" s="594"/>
      <c r="M3969" s="352">
        <v>8000</v>
      </c>
      <c r="N3969" s="352" t="s">
        <v>760</v>
      </c>
      <c r="O3969" s="460">
        <v>5321</v>
      </c>
      <c r="P3969" s="460" t="s">
        <v>760</v>
      </c>
      <c r="Q3969" s="460" t="s">
        <v>2553</v>
      </c>
      <c r="R3969" s="460">
        <v>5321</v>
      </c>
      <c r="S3969" s="460" t="s">
        <v>2324</v>
      </c>
      <c r="T3969" s="462">
        <v>1</v>
      </c>
      <c r="U3969" s="460" t="s">
        <v>2330</v>
      </c>
      <c r="V3969" s="475">
        <v>0</v>
      </c>
      <c r="W3969" s="463" t="s">
        <v>2268</v>
      </c>
      <c r="X3969" s="463" t="s">
        <v>2268</v>
      </c>
      <c r="Y3969" s="463" t="s">
        <v>2554</v>
      </c>
      <c r="Z3969" s="463"/>
      <c r="AA3969" s="463"/>
      <c r="AB3969" s="464">
        <v>0</v>
      </c>
      <c r="AC3969" s="465">
        <v>0</v>
      </c>
      <c r="AD3969" s="465">
        <v>0</v>
      </c>
      <c r="AE3969" s="476">
        <v>0</v>
      </c>
      <c r="AF3969" s="467">
        <v>0</v>
      </c>
      <c r="AG3969" s="468">
        <v>0</v>
      </c>
      <c r="AH3969" s="218">
        <v>0</v>
      </c>
      <c r="AI3969" s="470">
        <v>0</v>
      </c>
      <c r="AJ3969" s="471">
        <v>0</v>
      </c>
      <c r="AK3969" s="218">
        <v>0</v>
      </c>
      <c r="AL3969" s="470">
        <v>0</v>
      </c>
      <c r="AM3969" s="471">
        <v>0</v>
      </c>
      <c r="AN3969" s="477">
        <v>367.48661137044286</v>
      </c>
      <c r="AO3969" s="473">
        <v>8.8967215817618121E-3</v>
      </c>
      <c r="AP3969" s="474">
        <v>0.10017049945021403</v>
      </c>
      <c r="AQ3969" s="352"/>
      <c r="AR3969" s="352"/>
      <c r="AS3969" s="352"/>
      <c r="AT3969" s="352"/>
      <c r="AU3969" s="352"/>
      <c r="AV3969" s="352"/>
      <c r="AW3969" s="352" t="s">
        <v>254</v>
      </c>
    </row>
    <row r="3970" spans="2:49" x14ac:dyDescent="0.2">
      <c r="B3970" s="460" t="s">
        <v>3530</v>
      </c>
      <c r="C3970" s="460">
        <v>8000</v>
      </c>
      <c r="D3970" s="460" t="s">
        <v>2345</v>
      </c>
      <c r="E3970" s="460" t="s">
        <v>2333</v>
      </c>
      <c r="F3970" s="460">
        <v>4</v>
      </c>
      <c r="G3970" s="460">
        <v>3</v>
      </c>
      <c r="H3970" s="461" t="s">
        <v>748</v>
      </c>
      <c r="I3970" s="461" t="s">
        <v>765</v>
      </c>
      <c r="J3970" s="461" t="s">
        <v>700</v>
      </c>
      <c r="K3970" s="594"/>
      <c r="L3970" s="594"/>
      <c r="M3970" s="352">
        <v>8000</v>
      </c>
      <c r="N3970" s="352" t="s">
        <v>760</v>
      </c>
      <c r="O3970" s="460">
        <v>5321</v>
      </c>
      <c r="P3970" s="460" t="s">
        <v>760</v>
      </c>
      <c r="Q3970" s="460" t="s">
        <v>2553</v>
      </c>
      <c r="R3970" s="460">
        <v>5321</v>
      </c>
      <c r="S3970" s="460" t="s">
        <v>2333</v>
      </c>
      <c r="T3970" s="462">
        <v>1</v>
      </c>
      <c r="U3970" s="460" t="s">
        <v>2333</v>
      </c>
      <c r="V3970" s="475">
        <v>0</v>
      </c>
      <c r="W3970" s="463" t="s">
        <v>2268</v>
      </c>
      <c r="X3970" s="463" t="s">
        <v>2268</v>
      </c>
      <c r="Y3970" s="463" t="s">
        <v>2554</v>
      </c>
      <c r="Z3970" s="463"/>
      <c r="AA3970" s="463"/>
      <c r="AB3970" s="464">
        <v>0</v>
      </c>
      <c r="AC3970" s="465">
        <v>0</v>
      </c>
      <c r="AD3970" s="465">
        <v>0</v>
      </c>
      <c r="AE3970" s="476">
        <v>0</v>
      </c>
      <c r="AF3970" s="467">
        <v>0</v>
      </c>
      <c r="AG3970" s="468">
        <v>0</v>
      </c>
      <c r="AH3970" s="218">
        <v>0</v>
      </c>
      <c r="AI3970" s="470">
        <v>0</v>
      </c>
      <c r="AJ3970" s="471">
        <v>0</v>
      </c>
      <c r="AK3970" s="218">
        <v>0</v>
      </c>
      <c r="AL3970" s="470">
        <v>0</v>
      </c>
      <c r="AM3970" s="471">
        <v>0</v>
      </c>
      <c r="AN3970" s="477">
        <v>130.52326769156568</v>
      </c>
      <c r="AO3970" s="473">
        <v>2.7537264507414101E-3</v>
      </c>
      <c r="AP3970" s="474">
        <v>8.1280041169322928E-2</v>
      </c>
      <c r="AQ3970" s="352"/>
      <c r="AR3970" s="352"/>
      <c r="AS3970" s="352"/>
      <c r="AT3970" s="352"/>
      <c r="AU3970" s="352"/>
      <c r="AV3970" s="352"/>
      <c r="AW3970" s="352" t="s">
        <v>254</v>
      </c>
    </row>
    <row r="3971" spans="2:49" x14ac:dyDescent="0.2">
      <c r="B3971" s="460" t="s">
        <v>3527</v>
      </c>
      <c r="C3971" s="460">
        <v>8000</v>
      </c>
      <c r="D3971" s="460" t="s">
        <v>3462</v>
      </c>
      <c r="E3971" s="460" t="s">
        <v>2324</v>
      </c>
      <c r="F3971" s="460">
        <v>1</v>
      </c>
      <c r="G3971" s="460">
        <v>3</v>
      </c>
      <c r="H3971" s="461" t="s">
        <v>754</v>
      </c>
      <c r="I3971" s="461" t="s">
        <v>1991</v>
      </c>
      <c r="J3971" s="461" t="s">
        <v>754</v>
      </c>
      <c r="K3971" s="594"/>
      <c r="L3971" s="594"/>
      <c r="M3971" s="352">
        <v>8000</v>
      </c>
      <c r="N3971" s="352" t="s">
        <v>760</v>
      </c>
      <c r="O3971" s="460">
        <v>5321</v>
      </c>
      <c r="P3971" s="460" t="s">
        <v>760</v>
      </c>
      <c r="Q3971" s="460" t="s">
        <v>2377</v>
      </c>
      <c r="R3971" s="460">
        <v>5321</v>
      </c>
      <c r="S3971" s="460" t="s">
        <v>2324</v>
      </c>
      <c r="T3971" s="462">
        <v>1</v>
      </c>
      <c r="U3971" s="460" t="s">
        <v>2324</v>
      </c>
      <c r="V3971" s="475">
        <v>0</v>
      </c>
      <c r="W3971" s="463" t="s">
        <v>2278</v>
      </c>
      <c r="X3971" s="463" t="s">
        <v>2278</v>
      </c>
      <c r="Y3971" s="463" t="s">
        <v>2278</v>
      </c>
      <c r="Z3971" s="463"/>
      <c r="AA3971" s="463"/>
      <c r="AB3971" s="464">
        <v>15.373438594802924</v>
      </c>
      <c r="AC3971" s="465">
        <v>1.232724913801731E-4</v>
      </c>
      <c r="AD3971" s="465">
        <v>2.1979967851353529E-2</v>
      </c>
      <c r="AE3971" s="476">
        <v>15.373438594802922</v>
      </c>
      <c r="AF3971" s="467">
        <v>1.232724913801731E-4</v>
      </c>
      <c r="AG3971" s="468">
        <v>2.1979967851353529E-2</v>
      </c>
      <c r="AH3971" s="218">
        <v>15.373438594802922</v>
      </c>
      <c r="AI3971" s="470">
        <v>1.232724913801731E-4</v>
      </c>
      <c r="AJ3971" s="471">
        <v>2.1979967851353529E-2</v>
      </c>
      <c r="AK3971" s="218">
        <v>15.373438594802922</v>
      </c>
      <c r="AL3971" s="470">
        <v>1.232724913801731E-4</v>
      </c>
      <c r="AM3971" s="471">
        <v>2.1979967851353529E-2</v>
      </c>
      <c r="AN3971" s="477">
        <v>15.373438594802922</v>
      </c>
      <c r="AO3971" s="473">
        <v>1.232724913801731E-4</v>
      </c>
      <c r="AP3971" s="474">
        <v>2.1979967851353529E-2</v>
      </c>
      <c r="AQ3971" s="352"/>
      <c r="AR3971" s="352"/>
      <c r="AS3971" s="352"/>
      <c r="AT3971" s="352"/>
      <c r="AU3971" s="352"/>
      <c r="AV3971" s="352"/>
      <c r="AW3971" s="352" t="s">
        <v>127</v>
      </c>
    </row>
    <row r="3972" spans="2:49" x14ac:dyDescent="0.2">
      <c r="B3972" s="460" t="s">
        <v>3528</v>
      </c>
      <c r="C3972" s="460">
        <v>8000</v>
      </c>
      <c r="D3972" s="460" t="s">
        <v>3463</v>
      </c>
      <c r="E3972" s="460" t="s">
        <v>2327</v>
      </c>
      <c r="F3972" s="460">
        <v>2</v>
      </c>
      <c r="G3972" s="460">
        <v>3</v>
      </c>
      <c r="H3972" s="461" t="s">
        <v>754</v>
      </c>
      <c r="I3972" s="461" t="s">
        <v>1991</v>
      </c>
      <c r="J3972" s="461" t="s">
        <v>754</v>
      </c>
      <c r="K3972" s="594"/>
      <c r="L3972" s="594"/>
      <c r="M3972" s="352">
        <v>8000</v>
      </c>
      <c r="N3972" s="352" t="s">
        <v>760</v>
      </c>
      <c r="O3972" s="460">
        <v>5321</v>
      </c>
      <c r="P3972" s="460" t="s">
        <v>760</v>
      </c>
      <c r="Q3972" s="460" t="s">
        <v>2377</v>
      </c>
      <c r="R3972" s="460">
        <v>5321</v>
      </c>
      <c r="S3972" s="460" t="s">
        <v>2324</v>
      </c>
      <c r="T3972" s="462">
        <v>1</v>
      </c>
      <c r="U3972" s="460" t="s">
        <v>2327</v>
      </c>
      <c r="V3972" s="475">
        <v>0</v>
      </c>
      <c r="W3972" s="463" t="s">
        <v>2278</v>
      </c>
      <c r="X3972" s="463" t="s">
        <v>2278</v>
      </c>
      <c r="Y3972" s="463" t="s">
        <v>2278</v>
      </c>
      <c r="Z3972" s="463"/>
      <c r="AA3972" s="463"/>
      <c r="AB3972" s="464">
        <v>54.766074545166248</v>
      </c>
      <c r="AC3972" s="465">
        <v>6.0975676059685322E-4</v>
      </c>
      <c r="AD3972" s="465">
        <v>0.28736304566423176</v>
      </c>
      <c r="AE3972" s="476">
        <v>54.766074545166248</v>
      </c>
      <c r="AF3972" s="467">
        <v>6.0975676059685322E-4</v>
      </c>
      <c r="AG3972" s="468">
        <v>0.28736304566423176</v>
      </c>
      <c r="AH3972" s="218">
        <v>54.766074545166248</v>
      </c>
      <c r="AI3972" s="470">
        <v>6.0975676059685322E-4</v>
      </c>
      <c r="AJ3972" s="471">
        <v>0.28736304566423176</v>
      </c>
      <c r="AK3972" s="218">
        <v>54.766074545166248</v>
      </c>
      <c r="AL3972" s="470">
        <v>6.0975676059685322E-4</v>
      </c>
      <c r="AM3972" s="471">
        <v>0.28736304566423176</v>
      </c>
      <c r="AN3972" s="477">
        <v>54.766074545166248</v>
      </c>
      <c r="AO3972" s="473">
        <v>6.0975676059685322E-4</v>
      </c>
      <c r="AP3972" s="474">
        <v>0.28736304566423176</v>
      </c>
      <c r="AQ3972" s="352"/>
      <c r="AR3972" s="352"/>
      <c r="AS3972" s="352"/>
      <c r="AT3972" s="352"/>
      <c r="AU3972" s="352"/>
      <c r="AV3972" s="352"/>
      <c r="AW3972" s="352" t="s">
        <v>127</v>
      </c>
    </row>
    <row r="3973" spans="2:49" x14ac:dyDescent="0.2">
      <c r="B3973" s="460" t="s">
        <v>3529</v>
      </c>
      <c r="C3973" s="460">
        <v>8000</v>
      </c>
      <c r="D3973" s="460" t="s">
        <v>3464</v>
      </c>
      <c r="E3973" s="460" t="s">
        <v>2330</v>
      </c>
      <c r="F3973" s="460">
        <v>3</v>
      </c>
      <c r="G3973" s="460">
        <v>3</v>
      </c>
      <c r="H3973" s="461" t="s">
        <v>754</v>
      </c>
      <c r="I3973" s="461" t="s">
        <v>1991</v>
      </c>
      <c r="J3973" s="461" t="s">
        <v>754</v>
      </c>
      <c r="K3973" s="594"/>
      <c r="L3973" s="594"/>
      <c r="M3973" s="352">
        <v>8000</v>
      </c>
      <c r="N3973" s="352" t="s">
        <v>760</v>
      </c>
      <c r="O3973" s="460">
        <v>5321</v>
      </c>
      <c r="P3973" s="460" t="s">
        <v>760</v>
      </c>
      <c r="Q3973" s="460" t="s">
        <v>2377</v>
      </c>
      <c r="R3973" s="460">
        <v>5321</v>
      </c>
      <c r="S3973" s="460" t="s">
        <v>2324</v>
      </c>
      <c r="T3973" s="462">
        <v>1</v>
      </c>
      <c r="U3973" s="460" t="s">
        <v>2330</v>
      </c>
      <c r="V3973" s="475">
        <v>0</v>
      </c>
      <c r="W3973" s="463" t="s">
        <v>2278</v>
      </c>
      <c r="X3973" s="463" t="s">
        <v>2278</v>
      </c>
      <c r="Y3973" s="463" t="s">
        <v>2278</v>
      </c>
      <c r="Z3973" s="463"/>
      <c r="AA3973" s="463"/>
      <c r="AB3973" s="464">
        <v>0.75142337795409331</v>
      </c>
      <c r="AC3973" s="465">
        <v>1.8191695634172535E-5</v>
      </c>
      <c r="AD3973" s="465">
        <v>0.18982112162002621</v>
      </c>
      <c r="AE3973" s="476">
        <v>0.75142337795409331</v>
      </c>
      <c r="AF3973" s="467">
        <v>1.8191695634172535E-5</v>
      </c>
      <c r="AG3973" s="468">
        <v>0.18982112162002621</v>
      </c>
      <c r="AH3973" s="218">
        <v>0.75142337795409331</v>
      </c>
      <c r="AI3973" s="470">
        <v>1.8191695634172535E-5</v>
      </c>
      <c r="AJ3973" s="471">
        <v>0.18982112162002621</v>
      </c>
      <c r="AK3973" s="218">
        <v>0.75142337795409331</v>
      </c>
      <c r="AL3973" s="470">
        <v>1.8191695634172535E-5</v>
      </c>
      <c r="AM3973" s="471">
        <v>0.18982112162002621</v>
      </c>
      <c r="AN3973" s="477">
        <v>0.75142337795409331</v>
      </c>
      <c r="AO3973" s="473">
        <v>1.8191695634172535E-5</v>
      </c>
      <c r="AP3973" s="474">
        <v>0.18982112162002621</v>
      </c>
      <c r="AQ3973" s="352"/>
      <c r="AR3973" s="352"/>
      <c r="AS3973" s="352"/>
      <c r="AT3973" s="352"/>
      <c r="AU3973" s="352"/>
      <c r="AV3973" s="352"/>
      <c r="AW3973" s="352" t="s">
        <v>127</v>
      </c>
    </row>
    <row r="3974" spans="2:49" x14ac:dyDescent="0.2">
      <c r="B3974" s="460" t="s">
        <v>3530</v>
      </c>
      <c r="C3974" s="460">
        <v>8000</v>
      </c>
      <c r="D3974" s="460" t="s">
        <v>3465</v>
      </c>
      <c r="E3974" s="460" t="s">
        <v>2333</v>
      </c>
      <c r="F3974" s="460">
        <v>4</v>
      </c>
      <c r="G3974" s="460">
        <v>3</v>
      </c>
      <c r="H3974" s="461" t="s">
        <v>754</v>
      </c>
      <c r="I3974" s="461" t="s">
        <v>1991</v>
      </c>
      <c r="J3974" s="461" t="s">
        <v>754</v>
      </c>
      <c r="K3974" s="594"/>
      <c r="L3974" s="594"/>
      <c r="M3974" s="352">
        <v>8000</v>
      </c>
      <c r="N3974" s="352" t="s">
        <v>760</v>
      </c>
      <c r="O3974" s="460">
        <v>5321</v>
      </c>
      <c r="P3974" s="460" t="s">
        <v>760</v>
      </c>
      <c r="Q3974" s="460" t="s">
        <v>2377</v>
      </c>
      <c r="R3974" s="460">
        <v>5321</v>
      </c>
      <c r="S3974" s="460" t="s">
        <v>2333</v>
      </c>
      <c r="T3974" s="462">
        <v>1</v>
      </c>
      <c r="U3974" s="460" t="s">
        <v>2333</v>
      </c>
      <c r="V3974" s="475">
        <v>0</v>
      </c>
      <c r="W3974" s="463" t="s">
        <v>2278</v>
      </c>
      <c r="X3974" s="463" t="s">
        <v>2278</v>
      </c>
      <c r="Y3974" s="463" t="s">
        <v>2278</v>
      </c>
      <c r="Z3974" s="463"/>
      <c r="AA3974" s="463"/>
      <c r="AB3974" s="464">
        <v>0</v>
      </c>
      <c r="AC3974" s="465">
        <v>0</v>
      </c>
      <c r="AD3974" s="465">
        <v>0</v>
      </c>
      <c r="AE3974" s="476">
        <v>0</v>
      </c>
      <c r="AF3974" s="467">
        <v>0</v>
      </c>
      <c r="AG3974" s="468">
        <v>0</v>
      </c>
      <c r="AH3974" s="218">
        <v>0</v>
      </c>
      <c r="AI3974" s="470">
        <v>0</v>
      </c>
      <c r="AJ3974" s="471">
        <v>0</v>
      </c>
      <c r="AK3974" s="218">
        <v>0</v>
      </c>
      <c r="AL3974" s="470">
        <v>0</v>
      </c>
      <c r="AM3974" s="471">
        <v>0</v>
      </c>
      <c r="AN3974" s="477">
        <v>0</v>
      </c>
      <c r="AO3974" s="473">
        <v>0</v>
      </c>
      <c r="AP3974" s="474">
        <v>0</v>
      </c>
      <c r="AQ3974" s="352"/>
      <c r="AR3974" s="352"/>
      <c r="AS3974" s="352"/>
      <c r="AT3974" s="352"/>
      <c r="AU3974" s="352"/>
      <c r="AV3974" s="352"/>
      <c r="AW3974" s="352" t="s">
        <v>127</v>
      </c>
    </row>
    <row r="3975" spans="2:49" x14ac:dyDescent="0.2">
      <c r="B3975" s="460" t="s">
        <v>3531</v>
      </c>
      <c r="C3975" s="460">
        <v>8000</v>
      </c>
      <c r="D3975" s="460" t="s">
        <v>2351</v>
      </c>
      <c r="E3975" s="460" t="s">
        <v>1136</v>
      </c>
      <c r="F3975" s="460">
        <v>1</v>
      </c>
      <c r="G3975" s="460">
        <v>4</v>
      </c>
      <c r="H3975" s="461" t="s">
        <v>700</v>
      </c>
      <c r="I3975" s="461" t="s">
        <v>872</v>
      </c>
      <c r="J3975" s="461" t="s">
        <v>700</v>
      </c>
      <c r="K3975" s="594"/>
      <c r="L3975" s="594"/>
      <c r="M3975" s="352">
        <v>8000</v>
      </c>
      <c r="N3975" s="352" t="s">
        <v>760</v>
      </c>
      <c r="O3975" s="460">
        <v>5321</v>
      </c>
      <c r="P3975" s="460" t="s">
        <v>760</v>
      </c>
      <c r="Q3975" s="460" t="s">
        <v>2553</v>
      </c>
      <c r="R3975" s="460">
        <v>5321</v>
      </c>
      <c r="S3975" s="460" t="s">
        <v>1136</v>
      </c>
      <c r="T3975" s="462">
        <v>1</v>
      </c>
      <c r="U3975" s="460" t="s">
        <v>1136</v>
      </c>
      <c r="V3975" s="475">
        <v>0</v>
      </c>
      <c r="W3975" s="463" t="s">
        <v>2554</v>
      </c>
      <c r="X3975" s="463" t="s">
        <v>2554</v>
      </c>
      <c r="Y3975" s="463" t="s">
        <v>2268</v>
      </c>
      <c r="Z3975" s="463"/>
      <c r="AA3975" s="463"/>
      <c r="AB3975" s="464">
        <v>11.939957527062703</v>
      </c>
      <c r="AC3975" s="465">
        <v>2.1351237753377213E-4</v>
      </c>
      <c r="AD3975" s="465">
        <v>3.3971677339000347E-2</v>
      </c>
      <c r="AE3975" s="476">
        <v>7.1639745162376212</v>
      </c>
      <c r="AF3975" s="467">
        <v>1.2810742652026328E-4</v>
      </c>
      <c r="AG3975" s="468">
        <v>2.21575828557251E-2</v>
      </c>
      <c r="AH3975" s="218">
        <v>7.1639745162376212</v>
      </c>
      <c r="AI3975" s="470">
        <v>1.2810742652026328E-4</v>
      </c>
      <c r="AJ3975" s="471">
        <v>5.5948242789467693E-3</v>
      </c>
      <c r="AK3975" s="218">
        <v>7.1639745162376212</v>
      </c>
      <c r="AL3975" s="470">
        <v>1.2810742652026328E-4</v>
      </c>
      <c r="AM3975" s="471">
        <v>5.5948242789467693E-3</v>
      </c>
      <c r="AN3975" s="477">
        <v>0</v>
      </c>
      <c r="AO3975" s="473">
        <v>0</v>
      </c>
      <c r="AP3975" s="474">
        <v>0</v>
      </c>
      <c r="AQ3975" s="352"/>
      <c r="AR3975" s="352"/>
      <c r="AS3975" s="352"/>
      <c r="AT3975" s="352"/>
      <c r="AU3975" s="352"/>
      <c r="AV3975" s="352"/>
      <c r="AW3975" s="352" t="s">
        <v>254</v>
      </c>
    </row>
    <row r="3976" spans="2:49" x14ac:dyDescent="0.2">
      <c r="B3976" s="460" t="s">
        <v>3532</v>
      </c>
      <c r="C3976" s="460">
        <v>8000</v>
      </c>
      <c r="D3976" s="460" t="s">
        <v>2353</v>
      </c>
      <c r="E3976" s="460" t="s">
        <v>1137</v>
      </c>
      <c r="F3976" s="460">
        <v>2</v>
      </c>
      <c r="G3976" s="460">
        <v>4</v>
      </c>
      <c r="H3976" s="461" t="s">
        <v>700</v>
      </c>
      <c r="I3976" s="461" t="s">
        <v>872</v>
      </c>
      <c r="J3976" s="461" t="s">
        <v>700</v>
      </c>
      <c r="K3976" s="594"/>
      <c r="L3976" s="594"/>
      <c r="M3976" s="352">
        <v>8000</v>
      </c>
      <c r="N3976" s="352" t="s">
        <v>760</v>
      </c>
      <c r="O3976" s="460">
        <v>5321</v>
      </c>
      <c r="P3976" s="460" t="s">
        <v>760</v>
      </c>
      <c r="Q3976" s="460" t="s">
        <v>2553</v>
      </c>
      <c r="R3976" s="460">
        <v>5321</v>
      </c>
      <c r="S3976" s="460" t="s">
        <v>1137</v>
      </c>
      <c r="T3976" s="462">
        <v>1</v>
      </c>
      <c r="U3976" s="460" t="s">
        <v>1137</v>
      </c>
      <c r="V3976" s="475">
        <v>0</v>
      </c>
      <c r="W3976" s="463" t="s">
        <v>2554</v>
      </c>
      <c r="X3976" s="463" t="s">
        <v>2554</v>
      </c>
      <c r="Y3976" s="463" t="s">
        <v>2268</v>
      </c>
      <c r="Z3976" s="463"/>
      <c r="AA3976" s="463"/>
      <c r="AB3976" s="464">
        <v>155.90174329350162</v>
      </c>
      <c r="AC3976" s="465">
        <v>2.5236477132557947E-3</v>
      </c>
      <c r="AD3976" s="465">
        <v>3.5204971090551394E-2</v>
      </c>
      <c r="AE3976" s="476">
        <v>93.541045976100975</v>
      </c>
      <c r="AF3976" s="467">
        <v>1.5141886279534768E-3</v>
      </c>
      <c r="AG3976" s="468">
        <v>2.2756438469325631E-2</v>
      </c>
      <c r="AH3976" s="218">
        <v>93.541045976100975</v>
      </c>
      <c r="AI3976" s="470">
        <v>1.5141886279534768E-3</v>
      </c>
      <c r="AJ3976" s="471">
        <v>1.9326462024930609E-2</v>
      </c>
      <c r="AK3976" s="218">
        <v>93.541045976100975</v>
      </c>
      <c r="AL3976" s="470">
        <v>1.5141886279534768E-3</v>
      </c>
      <c r="AM3976" s="471">
        <v>1.9326462024930609E-2</v>
      </c>
      <c r="AN3976" s="477">
        <v>0</v>
      </c>
      <c r="AO3976" s="473">
        <v>0</v>
      </c>
      <c r="AP3976" s="474">
        <v>0</v>
      </c>
      <c r="AQ3976" s="352"/>
      <c r="AR3976" s="352"/>
      <c r="AS3976" s="352"/>
      <c r="AT3976" s="352"/>
      <c r="AU3976" s="352"/>
      <c r="AV3976" s="352"/>
      <c r="AW3976" s="352" t="s">
        <v>254</v>
      </c>
    </row>
    <row r="3977" spans="2:49" x14ac:dyDescent="0.2">
      <c r="B3977" s="460" t="s">
        <v>3533</v>
      </c>
      <c r="C3977" s="460">
        <v>8000</v>
      </c>
      <c r="D3977" s="460" t="s">
        <v>2355</v>
      </c>
      <c r="E3977" s="460" t="s">
        <v>1138</v>
      </c>
      <c r="F3977" s="460">
        <v>3</v>
      </c>
      <c r="G3977" s="460">
        <v>4</v>
      </c>
      <c r="H3977" s="461" t="s">
        <v>700</v>
      </c>
      <c r="I3977" s="461" t="s">
        <v>872</v>
      </c>
      <c r="J3977" s="461" t="s">
        <v>700</v>
      </c>
      <c r="K3977" s="594"/>
      <c r="L3977" s="594"/>
      <c r="M3977" s="352">
        <v>8000</v>
      </c>
      <c r="N3977" s="352" t="s">
        <v>760</v>
      </c>
      <c r="O3977" s="460">
        <v>5321</v>
      </c>
      <c r="P3977" s="460" t="s">
        <v>760</v>
      </c>
      <c r="Q3977" s="460" t="s">
        <v>2553</v>
      </c>
      <c r="R3977" s="460">
        <v>5321</v>
      </c>
      <c r="S3977" s="460" t="s">
        <v>1138</v>
      </c>
      <c r="T3977" s="462">
        <v>1</v>
      </c>
      <c r="U3977" s="460" t="s">
        <v>1138</v>
      </c>
      <c r="V3977" s="475">
        <v>0</v>
      </c>
      <c r="W3977" s="463" t="s">
        <v>2554</v>
      </c>
      <c r="X3977" s="463" t="s">
        <v>2554</v>
      </c>
      <c r="Y3977" s="463" t="s">
        <v>2268</v>
      </c>
      <c r="Z3977" s="463"/>
      <c r="AA3977" s="463"/>
      <c r="AB3977" s="464">
        <v>80.96819701161391</v>
      </c>
      <c r="AC3977" s="465">
        <v>2.9477700188374552E-3</v>
      </c>
      <c r="AD3977" s="465">
        <v>3.3971677339000354E-2</v>
      </c>
      <c r="AE3977" s="476">
        <v>48.580918206968342</v>
      </c>
      <c r="AF3977" s="467">
        <v>1.7686620113024731E-3</v>
      </c>
      <c r="AG3977" s="468">
        <v>2.1990506365978831E-2</v>
      </c>
      <c r="AH3977" s="218">
        <v>48.580918206968342</v>
      </c>
      <c r="AI3977" s="470">
        <v>1.7686620113024731E-3</v>
      </c>
      <c r="AJ3977" s="471">
        <v>1.6741284902061459E-2</v>
      </c>
      <c r="AK3977" s="218">
        <v>48.580918206968342</v>
      </c>
      <c r="AL3977" s="470">
        <v>1.7686620113024731E-3</v>
      </c>
      <c r="AM3977" s="471">
        <v>1.6741284902061459E-2</v>
      </c>
      <c r="AN3977" s="477">
        <v>0</v>
      </c>
      <c r="AO3977" s="473">
        <v>0</v>
      </c>
      <c r="AP3977" s="474">
        <v>0</v>
      </c>
      <c r="AQ3977" s="352"/>
      <c r="AR3977" s="352"/>
      <c r="AS3977" s="352"/>
      <c r="AT3977" s="352"/>
      <c r="AU3977" s="352"/>
      <c r="AV3977" s="352"/>
      <c r="AW3977" s="352" t="s">
        <v>254</v>
      </c>
    </row>
    <row r="3978" spans="2:49" x14ac:dyDescent="0.2">
      <c r="B3978" s="460" t="s">
        <v>3534</v>
      </c>
      <c r="C3978" s="460">
        <v>8000</v>
      </c>
      <c r="D3978" s="460" t="s">
        <v>2357</v>
      </c>
      <c r="E3978" s="460" t="s">
        <v>1139</v>
      </c>
      <c r="F3978" s="460">
        <v>4</v>
      </c>
      <c r="G3978" s="460">
        <v>4</v>
      </c>
      <c r="H3978" s="461" t="s">
        <v>700</v>
      </c>
      <c r="I3978" s="461" t="s">
        <v>872</v>
      </c>
      <c r="J3978" s="461" t="s">
        <v>700</v>
      </c>
      <c r="K3978" s="594"/>
      <c r="L3978" s="594"/>
      <c r="M3978" s="352">
        <v>8000</v>
      </c>
      <c r="N3978" s="352" t="s">
        <v>760</v>
      </c>
      <c r="O3978" s="460">
        <v>5321</v>
      </c>
      <c r="P3978" s="460" t="s">
        <v>760</v>
      </c>
      <c r="Q3978" s="460" t="s">
        <v>2553</v>
      </c>
      <c r="R3978" s="460">
        <v>5321</v>
      </c>
      <c r="S3978" s="460" t="s">
        <v>1139</v>
      </c>
      <c r="T3978" s="462">
        <v>1</v>
      </c>
      <c r="U3978" s="460" t="s">
        <v>1139</v>
      </c>
      <c r="V3978" s="475">
        <v>0</v>
      </c>
      <c r="W3978" s="463" t="s">
        <v>2554</v>
      </c>
      <c r="X3978" s="463" t="s">
        <v>2554</v>
      </c>
      <c r="Y3978" s="463" t="s">
        <v>2268</v>
      </c>
      <c r="Z3978" s="463"/>
      <c r="AA3978" s="463"/>
      <c r="AB3978" s="464">
        <v>0</v>
      </c>
      <c r="AC3978" s="465">
        <v>0</v>
      </c>
      <c r="AD3978" s="465">
        <v>0</v>
      </c>
      <c r="AE3978" s="476">
        <v>0</v>
      </c>
      <c r="AF3978" s="467">
        <v>0</v>
      </c>
      <c r="AG3978" s="468">
        <v>0</v>
      </c>
      <c r="AH3978" s="218">
        <v>0</v>
      </c>
      <c r="AI3978" s="470">
        <v>0</v>
      </c>
      <c r="AJ3978" s="471">
        <v>0</v>
      </c>
      <c r="AK3978" s="218">
        <v>0</v>
      </c>
      <c r="AL3978" s="470">
        <v>0</v>
      </c>
      <c r="AM3978" s="471">
        <v>0</v>
      </c>
      <c r="AN3978" s="477">
        <v>0</v>
      </c>
      <c r="AO3978" s="473">
        <v>0</v>
      </c>
      <c r="AP3978" s="474">
        <v>0</v>
      </c>
      <c r="AQ3978" s="352"/>
      <c r="AR3978" s="352"/>
      <c r="AS3978" s="352"/>
      <c r="AT3978" s="352"/>
      <c r="AU3978" s="352"/>
      <c r="AV3978" s="352"/>
      <c r="AW3978" s="352" t="s">
        <v>254</v>
      </c>
    </row>
    <row r="3979" spans="2:49" x14ac:dyDescent="0.2">
      <c r="B3979" s="460" t="s">
        <v>3531</v>
      </c>
      <c r="C3979" s="460">
        <v>8000</v>
      </c>
      <c r="D3979" s="460" t="s">
        <v>2358</v>
      </c>
      <c r="E3979" s="460" t="s">
        <v>1136</v>
      </c>
      <c r="F3979" s="460">
        <v>1</v>
      </c>
      <c r="G3979" s="460">
        <v>4</v>
      </c>
      <c r="H3979" s="461" t="s">
        <v>712</v>
      </c>
      <c r="I3979" s="461" t="s">
        <v>713</v>
      </c>
      <c r="J3979" s="461" t="s">
        <v>712</v>
      </c>
      <c r="K3979" s="594"/>
      <c r="L3979" s="594"/>
      <c r="M3979" s="352">
        <v>8000</v>
      </c>
      <c r="N3979" s="352" t="s">
        <v>760</v>
      </c>
      <c r="O3979" s="460">
        <v>5321</v>
      </c>
      <c r="P3979" s="460" t="s">
        <v>760</v>
      </c>
      <c r="Q3979" s="460" t="s">
        <v>2280</v>
      </c>
      <c r="R3979" s="460">
        <v>5321</v>
      </c>
      <c r="S3979" s="460" t="s">
        <v>1136</v>
      </c>
      <c r="T3979" s="462">
        <v>1</v>
      </c>
      <c r="U3979" s="460" t="s">
        <v>1136</v>
      </c>
      <c r="V3979" s="475">
        <v>0</v>
      </c>
      <c r="W3979" s="463" t="s">
        <v>713</v>
      </c>
      <c r="X3979" s="463" t="s">
        <v>713</v>
      </c>
      <c r="Y3979" s="463" t="s">
        <v>713</v>
      </c>
      <c r="Z3979" s="463"/>
      <c r="AA3979" s="463"/>
      <c r="AB3979" s="464">
        <v>55288.459439660815</v>
      </c>
      <c r="AC3979" s="465">
        <v>0.98867775688357484</v>
      </c>
      <c r="AD3979" s="465">
        <v>0.36437142698222735</v>
      </c>
      <c r="AE3979" s="476">
        <v>55293.235422671649</v>
      </c>
      <c r="AF3979" s="467">
        <v>0.98876316183458846</v>
      </c>
      <c r="AG3979" s="468">
        <v>0.36433531453818996</v>
      </c>
      <c r="AH3979" s="218">
        <v>55293.235422671649</v>
      </c>
      <c r="AI3979" s="470">
        <v>0.98876316183458846</v>
      </c>
      <c r="AJ3979" s="471">
        <v>0.36803813520584505</v>
      </c>
      <c r="AK3979" s="218">
        <v>55293.235422671649</v>
      </c>
      <c r="AL3979" s="470">
        <v>0.98876316183458846</v>
      </c>
      <c r="AM3979" s="471">
        <v>0.36803813520584505</v>
      </c>
      <c r="AN3979" s="477">
        <v>55293.235422671649</v>
      </c>
      <c r="AO3979" s="473">
        <v>0.98876316183458846</v>
      </c>
      <c r="AP3979" s="474">
        <v>0.3674392857658097</v>
      </c>
      <c r="AQ3979" s="352"/>
      <c r="AR3979" s="352"/>
      <c r="AS3979" s="352"/>
      <c r="AT3979" s="352"/>
      <c r="AU3979" s="352"/>
      <c r="AV3979" s="352"/>
      <c r="AW3979" s="352" t="s">
        <v>254</v>
      </c>
    </row>
    <row r="3980" spans="2:49" x14ac:dyDescent="0.2">
      <c r="B3980" s="460" t="s">
        <v>3532</v>
      </c>
      <c r="C3980" s="460">
        <v>8000</v>
      </c>
      <c r="D3980" s="460" t="s">
        <v>2359</v>
      </c>
      <c r="E3980" s="460" t="s">
        <v>1137</v>
      </c>
      <c r="F3980" s="460">
        <v>2</v>
      </c>
      <c r="G3980" s="460">
        <v>4</v>
      </c>
      <c r="H3980" s="461" t="s">
        <v>712</v>
      </c>
      <c r="I3980" s="461" t="s">
        <v>713</v>
      </c>
      <c r="J3980" s="461" t="s">
        <v>712</v>
      </c>
      <c r="K3980" s="594"/>
      <c r="L3980" s="594"/>
      <c r="M3980" s="352">
        <v>8000</v>
      </c>
      <c r="N3980" s="352" t="s">
        <v>760</v>
      </c>
      <c r="O3980" s="460">
        <v>5321</v>
      </c>
      <c r="P3980" s="460" t="s">
        <v>760</v>
      </c>
      <c r="Q3980" s="460" t="s">
        <v>2280</v>
      </c>
      <c r="R3980" s="460">
        <v>5321</v>
      </c>
      <c r="S3980" s="460" t="s">
        <v>1137</v>
      </c>
      <c r="T3980" s="462">
        <v>1</v>
      </c>
      <c r="U3980" s="460" t="s">
        <v>1137</v>
      </c>
      <c r="V3980" s="475">
        <v>0</v>
      </c>
      <c r="W3980" s="463" t="s">
        <v>713</v>
      </c>
      <c r="X3980" s="463" t="s">
        <v>713</v>
      </c>
      <c r="Y3980" s="463" t="s">
        <v>713</v>
      </c>
      <c r="Z3980" s="463"/>
      <c r="AA3980" s="463"/>
      <c r="AB3980" s="464">
        <v>58112.82067757746</v>
      </c>
      <c r="AC3980" s="465">
        <v>0.94069690252094451</v>
      </c>
      <c r="AD3980" s="465">
        <v>0.33607445837978672</v>
      </c>
      <c r="AE3980" s="476">
        <v>58175.181374894855</v>
      </c>
      <c r="AF3980" s="467">
        <v>0.94170636160624677</v>
      </c>
      <c r="AG3980" s="468">
        <v>0.33581776901019139</v>
      </c>
      <c r="AH3980" s="218">
        <v>58175.181374894855</v>
      </c>
      <c r="AI3980" s="470">
        <v>0.94170636160624677</v>
      </c>
      <c r="AJ3980" s="471">
        <v>0.33741129803485198</v>
      </c>
      <c r="AK3980" s="218">
        <v>58175.181374894855</v>
      </c>
      <c r="AL3980" s="470">
        <v>0.94170636160624677</v>
      </c>
      <c r="AM3980" s="471">
        <v>0.33741129803485198</v>
      </c>
      <c r="AN3980" s="477">
        <v>58175.181374894855</v>
      </c>
      <c r="AO3980" s="473">
        <v>0.94170636160624677</v>
      </c>
      <c r="AP3980" s="474">
        <v>0.33713288531130814</v>
      </c>
      <c r="AQ3980" s="352"/>
      <c r="AR3980" s="352"/>
      <c r="AS3980" s="352"/>
      <c r="AT3980" s="352"/>
      <c r="AU3980" s="352"/>
      <c r="AV3980" s="352"/>
      <c r="AW3980" s="352" t="s">
        <v>254</v>
      </c>
    </row>
    <row r="3981" spans="2:49" x14ac:dyDescent="0.2">
      <c r="B3981" s="460" t="s">
        <v>3533</v>
      </c>
      <c r="C3981" s="460">
        <v>8000</v>
      </c>
      <c r="D3981" s="460" t="s">
        <v>2360</v>
      </c>
      <c r="E3981" s="460" t="s">
        <v>1138</v>
      </c>
      <c r="F3981" s="460">
        <v>3</v>
      </c>
      <c r="G3981" s="460">
        <v>4</v>
      </c>
      <c r="H3981" s="461" t="s">
        <v>712</v>
      </c>
      <c r="I3981" s="461" t="s">
        <v>713</v>
      </c>
      <c r="J3981" s="461" t="s">
        <v>712</v>
      </c>
      <c r="K3981" s="594"/>
      <c r="L3981" s="594"/>
      <c r="M3981" s="352">
        <v>8000</v>
      </c>
      <c r="N3981" s="352" t="s">
        <v>760</v>
      </c>
      <c r="O3981" s="460">
        <v>5321</v>
      </c>
      <c r="P3981" s="460" t="s">
        <v>760</v>
      </c>
      <c r="Q3981" s="460" t="s">
        <v>2280</v>
      </c>
      <c r="R3981" s="460">
        <v>5321</v>
      </c>
      <c r="S3981" s="460" t="s">
        <v>1138</v>
      </c>
      <c r="T3981" s="462">
        <v>1</v>
      </c>
      <c r="U3981" s="460" t="s">
        <v>1138</v>
      </c>
      <c r="V3981" s="475">
        <v>0</v>
      </c>
      <c r="W3981" s="463" t="s">
        <v>713</v>
      </c>
      <c r="X3981" s="463" t="s">
        <v>713</v>
      </c>
      <c r="Y3981" s="463" t="s">
        <v>713</v>
      </c>
      <c r="Z3981" s="463"/>
      <c r="AA3981" s="463"/>
      <c r="AB3981" s="464">
        <v>25522.872137799801</v>
      </c>
      <c r="AC3981" s="465">
        <v>0.92919887139930324</v>
      </c>
      <c r="AD3981" s="465">
        <v>0.31851387444336671</v>
      </c>
      <c r="AE3981" s="476">
        <v>25555.259416604444</v>
      </c>
      <c r="AF3981" s="467">
        <v>0.9303779794068382</v>
      </c>
      <c r="AG3981" s="468">
        <v>0.31822614573953351</v>
      </c>
      <c r="AH3981" s="218">
        <v>25555.259416604444</v>
      </c>
      <c r="AI3981" s="470">
        <v>0.9303779794068382</v>
      </c>
      <c r="AJ3981" s="471">
        <v>0.32195746591755153</v>
      </c>
      <c r="AK3981" s="218">
        <v>25555.259416604444</v>
      </c>
      <c r="AL3981" s="470">
        <v>0.9303779794068382</v>
      </c>
      <c r="AM3981" s="471">
        <v>0.32195746591755153</v>
      </c>
      <c r="AN3981" s="477">
        <v>25555.259416604444</v>
      </c>
      <c r="AO3981" s="473">
        <v>0.9303779794068382</v>
      </c>
      <c r="AP3981" s="474">
        <v>0.32193320188732083</v>
      </c>
      <c r="AQ3981" s="352"/>
      <c r="AR3981" s="352"/>
      <c r="AS3981" s="352"/>
      <c r="AT3981" s="352"/>
      <c r="AU3981" s="352"/>
      <c r="AV3981" s="352"/>
      <c r="AW3981" s="352" t="s">
        <v>254</v>
      </c>
    </row>
    <row r="3982" spans="2:49" x14ac:dyDescent="0.2">
      <c r="B3982" s="460" t="s">
        <v>3534</v>
      </c>
      <c r="C3982" s="460">
        <v>8000</v>
      </c>
      <c r="D3982" s="460" t="s">
        <v>2361</v>
      </c>
      <c r="E3982" s="460" t="s">
        <v>1139</v>
      </c>
      <c r="F3982" s="460">
        <v>4</v>
      </c>
      <c r="G3982" s="460">
        <v>4</v>
      </c>
      <c r="H3982" s="461" t="s">
        <v>712</v>
      </c>
      <c r="I3982" s="461" t="s">
        <v>713</v>
      </c>
      <c r="J3982" s="461" t="s">
        <v>712</v>
      </c>
      <c r="K3982" s="594"/>
      <c r="L3982" s="594"/>
      <c r="M3982" s="352">
        <v>8000</v>
      </c>
      <c r="N3982" s="352" t="s">
        <v>760</v>
      </c>
      <c r="O3982" s="460">
        <v>5321</v>
      </c>
      <c r="P3982" s="460" t="s">
        <v>760</v>
      </c>
      <c r="Q3982" s="460" t="s">
        <v>2280</v>
      </c>
      <c r="R3982" s="460">
        <v>5321</v>
      </c>
      <c r="S3982" s="460" t="s">
        <v>1139</v>
      </c>
      <c r="T3982" s="462">
        <v>1</v>
      </c>
      <c r="U3982" s="460" t="s">
        <v>1139</v>
      </c>
      <c r="V3982" s="475">
        <v>0</v>
      </c>
      <c r="W3982" s="463" t="s">
        <v>713</v>
      </c>
      <c r="X3982" s="463" t="s">
        <v>713</v>
      </c>
      <c r="Y3982" s="463" t="s">
        <v>713</v>
      </c>
      <c r="Z3982" s="463"/>
      <c r="AA3982" s="463"/>
      <c r="AB3982" s="464">
        <v>28721.459670240143</v>
      </c>
      <c r="AC3982" s="465">
        <v>0.94765861541260654</v>
      </c>
      <c r="AD3982" s="465">
        <v>0.3180107605591499</v>
      </c>
      <c r="AE3982" s="476">
        <v>28721.459670240143</v>
      </c>
      <c r="AF3982" s="467">
        <v>0.94765861541260654</v>
      </c>
      <c r="AG3982" s="468">
        <v>0.3180107605591499</v>
      </c>
      <c r="AH3982" s="218">
        <v>28721.459670240143</v>
      </c>
      <c r="AI3982" s="470">
        <v>0.94765861541260654</v>
      </c>
      <c r="AJ3982" s="471">
        <v>0.32485049059815374</v>
      </c>
      <c r="AK3982" s="218">
        <v>28721.459670240143</v>
      </c>
      <c r="AL3982" s="470">
        <v>0.94765861541260654</v>
      </c>
      <c r="AM3982" s="471">
        <v>0.32485049059815374</v>
      </c>
      <c r="AN3982" s="477">
        <v>28721.459670240143</v>
      </c>
      <c r="AO3982" s="473">
        <v>0.94765861541260654</v>
      </c>
      <c r="AP3982" s="474">
        <v>0.32485049059815374</v>
      </c>
      <c r="AQ3982" s="352"/>
      <c r="AR3982" s="352"/>
      <c r="AS3982" s="352"/>
      <c r="AT3982" s="352"/>
      <c r="AU3982" s="352"/>
      <c r="AV3982" s="352"/>
      <c r="AW3982" s="352" t="s">
        <v>254</v>
      </c>
    </row>
    <row r="3983" spans="2:49" x14ac:dyDescent="0.2">
      <c r="B3983" s="460" t="s">
        <v>3531</v>
      </c>
      <c r="C3983" s="460">
        <v>8000</v>
      </c>
      <c r="D3983" s="460" t="s">
        <v>2362</v>
      </c>
      <c r="E3983" s="460" t="s">
        <v>1136</v>
      </c>
      <c r="F3983" s="460">
        <v>1</v>
      </c>
      <c r="G3983" s="460">
        <v>4</v>
      </c>
      <c r="H3983" s="461" t="s">
        <v>746</v>
      </c>
      <c r="I3983" s="461" t="s">
        <v>762</v>
      </c>
      <c r="J3983" s="461" t="s">
        <v>700</v>
      </c>
      <c r="K3983" s="594"/>
      <c r="L3983" s="594"/>
      <c r="M3983" s="352">
        <v>8000</v>
      </c>
      <c r="N3983" s="352" t="s">
        <v>760</v>
      </c>
      <c r="O3983" s="460">
        <v>5321</v>
      </c>
      <c r="P3983" s="460" t="s">
        <v>760</v>
      </c>
      <c r="Q3983" s="460" t="s">
        <v>2553</v>
      </c>
      <c r="R3983" s="460">
        <v>5321</v>
      </c>
      <c r="S3983" s="460" t="s">
        <v>1136</v>
      </c>
      <c r="T3983" s="462">
        <v>1</v>
      </c>
      <c r="U3983" s="460" t="s">
        <v>1136</v>
      </c>
      <c r="V3983" s="475">
        <v>0</v>
      </c>
      <c r="W3983" s="463" t="s">
        <v>2268</v>
      </c>
      <c r="X3983" s="463" t="s">
        <v>2268</v>
      </c>
      <c r="Y3983" s="463" t="s">
        <v>2554</v>
      </c>
      <c r="Z3983" s="463"/>
      <c r="AA3983" s="463"/>
      <c r="AB3983" s="464">
        <v>0</v>
      </c>
      <c r="AC3983" s="465">
        <v>0</v>
      </c>
      <c r="AD3983" s="465">
        <v>0</v>
      </c>
      <c r="AE3983" s="476">
        <v>0</v>
      </c>
      <c r="AF3983" s="467">
        <v>0</v>
      </c>
      <c r="AG3983" s="468">
        <v>0</v>
      </c>
      <c r="AH3983" s="218">
        <v>0</v>
      </c>
      <c r="AI3983" s="470">
        <v>0</v>
      </c>
      <c r="AJ3983" s="471">
        <v>0</v>
      </c>
      <c r="AK3983" s="218">
        <v>0</v>
      </c>
      <c r="AL3983" s="470">
        <v>0</v>
      </c>
      <c r="AM3983" s="471">
        <v>0</v>
      </c>
      <c r="AN3983" s="477">
        <v>4.7759830108250805</v>
      </c>
      <c r="AO3983" s="473">
        <v>8.5404951013508853E-5</v>
      </c>
      <c r="AP3983" s="474">
        <v>2.1542028994774358E-2</v>
      </c>
      <c r="AQ3983" s="352"/>
      <c r="AR3983" s="352"/>
      <c r="AS3983" s="352"/>
      <c r="AT3983" s="352"/>
      <c r="AU3983" s="352"/>
      <c r="AV3983" s="352"/>
      <c r="AW3983" s="352" t="s">
        <v>254</v>
      </c>
    </row>
    <row r="3984" spans="2:49" x14ac:dyDescent="0.2">
      <c r="B3984" s="460" t="s">
        <v>3532</v>
      </c>
      <c r="C3984" s="460">
        <v>8000</v>
      </c>
      <c r="D3984" s="460" t="s">
        <v>2363</v>
      </c>
      <c r="E3984" s="460" t="s">
        <v>1137</v>
      </c>
      <c r="F3984" s="460">
        <v>2</v>
      </c>
      <c r="G3984" s="460">
        <v>4</v>
      </c>
      <c r="H3984" s="461" t="s">
        <v>746</v>
      </c>
      <c r="I3984" s="461" t="s">
        <v>762</v>
      </c>
      <c r="J3984" s="461" t="s">
        <v>700</v>
      </c>
      <c r="K3984" s="594"/>
      <c r="L3984" s="594"/>
      <c r="M3984" s="352">
        <v>8000</v>
      </c>
      <c r="N3984" s="352" t="s">
        <v>760</v>
      </c>
      <c r="O3984" s="460">
        <v>5321</v>
      </c>
      <c r="P3984" s="460" t="s">
        <v>760</v>
      </c>
      <c r="Q3984" s="460" t="s">
        <v>2553</v>
      </c>
      <c r="R3984" s="460">
        <v>5321</v>
      </c>
      <c r="S3984" s="460" t="s">
        <v>1137</v>
      </c>
      <c r="T3984" s="462">
        <v>1</v>
      </c>
      <c r="U3984" s="460" t="s">
        <v>1137</v>
      </c>
      <c r="V3984" s="475">
        <v>0</v>
      </c>
      <c r="W3984" s="463" t="s">
        <v>2268</v>
      </c>
      <c r="X3984" s="463" t="s">
        <v>2268</v>
      </c>
      <c r="Y3984" s="463" t="s">
        <v>2554</v>
      </c>
      <c r="Z3984" s="463"/>
      <c r="AA3984" s="463"/>
      <c r="AB3984" s="464">
        <v>0</v>
      </c>
      <c r="AC3984" s="465">
        <v>0</v>
      </c>
      <c r="AD3984" s="465">
        <v>0</v>
      </c>
      <c r="AE3984" s="476">
        <v>0</v>
      </c>
      <c r="AF3984" s="467">
        <v>0</v>
      </c>
      <c r="AG3984" s="468">
        <v>0</v>
      </c>
      <c r="AH3984" s="218">
        <v>0</v>
      </c>
      <c r="AI3984" s="470">
        <v>0</v>
      </c>
      <c r="AJ3984" s="471">
        <v>0</v>
      </c>
      <c r="AK3984" s="218">
        <v>0</v>
      </c>
      <c r="AL3984" s="470">
        <v>0</v>
      </c>
      <c r="AM3984" s="471">
        <v>0</v>
      </c>
      <c r="AN3984" s="477">
        <v>62.36069731740065</v>
      </c>
      <c r="AO3984" s="473">
        <v>1.0094590853023178E-3</v>
      </c>
      <c r="AP3984" s="474">
        <v>1.7040907038147004E-2</v>
      </c>
      <c r="AQ3984" s="352"/>
      <c r="AR3984" s="352"/>
      <c r="AS3984" s="352"/>
      <c r="AT3984" s="352"/>
      <c r="AU3984" s="352"/>
      <c r="AV3984" s="352"/>
      <c r="AW3984" s="352" t="s">
        <v>254</v>
      </c>
    </row>
    <row r="3985" spans="2:49" x14ac:dyDescent="0.2">
      <c r="B3985" s="460" t="s">
        <v>3533</v>
      </c>
      <c r="C3985" s="460">
        <v>8000</v>
      </c>
      <c r="D3985" s="460" t="s">
        <v>2364</v>
      </c>
      <c r="E3985" s="460" t="s">
        <v>1138</v>
      </c>
      <c r="F3985" s="460">
        <v>3</v>
      </c>
      <c r="G3985" s="460">
        <v>4</v>
      </c>
      <c r="H3985" s="461" t="s">
        <v>746</v>
      </c>
      <c r="I3985" s="461" t="s">
        <v>762</v>
      </c>
      <c r="J3985" s="461" t="s">
        <v>700</v>
      </c>
      <c r="K3985" s="594"/>
      <c r="L3985" s="594"/>
      <c r="M3985" s="352">
        <v>8000</v>
      </c>
      <c r="N3985" s="352" t="s">
        <v>760</v>
      </c>
      <c r="O3985" s="460">
        <v>5321</v>
      </c>
      <c r="P3985" s="460" t="s">
        <v>760</v>
      </c>
      <c r="Q3985" s="460" t="s">
        <v>2553</v>
      </c>
      <c r="R3985" s="460">
        <v>5321</v>
      </c>
      <c r="S3985" s="460" t="s">
        <v>1138</v>
      </c>
      <c r="T3985" s="462">
        <v>1</v>
      </c>
      <c r="U3985" s="460" t="s">
        <v>1138</v>
      </c>
      <c r="V3985" s="475">
        <v>0</v>
      </c>
      <c r="W3985" s="463" t="s">
        <v>2268</v>
      </c>
      <c r="X3985" s="463" t="s">
        <v>2268</v>
      </c>
      <c r="Y3985" s="463" t="s">
        <v>2554</v>
      </c>
      <c r="Z3985" s="463"/>
      <c r="AA3985" s="463"/>
      <c r="AB3985" s="464">
        <v>0</v>
      </c>
      <c r="AC3985" s="465">
        <v>0</v>
      </c>
      <c r="AD3985" s="465">
        <v>0</v>
      </c>
      <c r="AE3985" s="476">
        <v>0</v>
      </c>
      <c r="AF3985" s="467">
        <v>0</v>
      </c>
      <c r="AG3985" s="468">
        <v>0</v>
      </c>
      <c r="AH3985" s="218">
        <v>0</v>
      </c>
      <c r="AI3985" s="470">
        <v>0</v>
      </c>
      <c r="AJ3985" s="471">
        <v>0</v>
      </c>
      <c r="AK3985" s="218">
        <v>0</v>
      </c>
      <c r="AL3985" s="470">
        <v>0</v>
      </c>
      <c r="AM3985" s="471">
        <v>0</v>
      </c>
      <c r="AN3985" s="477">
        <v>32.387278804645561</v>
      </c>
      <c r="AO3985" s="473">
        <v>1.1791080075349821E-3</v>
      </c>
      <c r="AP3985" s="474">
        <v>1.6762975277699713E-2</v>
      </c>
      <c r="AQ3985" s="352"/>
      <c r="AR3985" s="352"/>
      <c r="AS3985" s="352"/>
      <c r="AT3985" s="352"/>
      <c r="AU3985" s="352"/>
      <c r="AV3985" s="352"/>
      <c r="AW3985" s="352" t="s">
        <v>254</v>
      </c>
    </row>
    <row r="3986" spans="2:49" x14ac:dyDescent="0.2">
      <c r="B3986" s="460" t="s">
        <v>3534</v>
      </c>
      <c r="C3986" s="460">
        <v>8000</v>
      </c>
      <c r="D3986" s="460" t="s">
        <v>2365</v>
      </c>
      <c r="E3986" s="460" t="s">
        <v>1139</v>
      </c>
      <c r="F3986" s="460">
        <v>4</v>
      </c>
      <c r="G3986" s="460">
        <v>4</v>
      </c>
      <c r="H3986" s="461" t="s">
        <v>746</v>
      </c>
      <c r="I3986" s="461" t="s">
        <v>762</v>
      </c>
      <c r="J3986" s="461" t="s">
        <v>700</v>
      </c>
      <c r="K3986" s="594"/>
      <c r="L3986" s="594"/>
      <c r="M3986" s="352">
        <v>8000</v>
      </c>
      <c r="N3986" s="352" t="s">
        <v>760</v>
      </c>
      <c r="O3986" s="460">
        <v>5321</v>
      </c>
      <c r="P3986" s="460" t="s">
        <v>760</v>
      </c>
      <c r="Q3986" s="460" t="s">
        <v>2553</v>
      </c>
      <c r="R3986" s="460">
        <v>5321</v>
      </c>
      <c r="S3986" s="460" t="s">
        <v>1139</v>
      </c>
      <c r="T3986" s="462">
        <v>1</v>
      </c>
      <c r="U3986" s="460" t="s">
        <v>1139</v>
      </c>
      <c r="V3986" s="475">
        <v>0</v>
      </c>
      <c r="W3986" s="463" t="s">
        <v>2268</v>
      </c>
      <c r="X3986" s="463" t="s">
        <v>2268</v>
      </c>
      <c r="Y3986" s="463" t="s">
        <v>2554</v>
      </c>
      <c r="Z3986" s="463"/>
      <c r="AA3986" s="463"/>
      <c r="AB3986" s="464">
        <v>0</v>
      </c>
      <c r="AC3986" s="465">
        <v>0</v>
      </c>
      <c r="AD3986" s="465">
        <v>0</v>
      </c>
      <c r="AE3986" s="476">
        <v>0</v>
      </c>
      <c r="AF3986" s="467">
        <v>0</v>
      </c>
      <c r="AG3986" s="468">
        <v>0</v>
      </c>
      <c r="AH3986" s="218">
        <v>0</v>
      </c>
      <c r="AI3986" s="470">
        <v>0</v>
      </c>
      <c r="AJ3986" s="471">
        <v>0</v>
      </c>
      <c r="AK3986" s="218">
        <v>0</v>
      </c>
      <c r="AL3986" s="470">
        <v>0</v>
      </c>
      <c r="AM3986" s="471">
        <v>0</v>
      </c>
      <c r="AN3986" s="477">
        <v>0</v>
      </c>
      <c r="AO3986" s="473">
        <v>0</v>
      </c>
      <c r="AP3986" s="474">
        <v>0</v>
      </c>
      <c r="AQ3986" s="352"/>
      <c r="AR3986" s="352"/>
      <c r="AS3986" s="352"/>
      <c r="AT3986" s="352"/>
      <c r="AU3986" s="352"/>
      <c r="AV3986" s="352"/>
      <c r="AW3986" s="352" t="s">
        <v>254</v>
      </c>
    </row>
    <row r="3987" spans="2:49" x14ac:dyDescent="0.2">
      <c r="B3987" s="460" t="s">
        <v>3531</v>
      </c>
      <c r="C3987" s="460">
        <v>8000</v>
      </c>
      <c r="D3987" s="460" t="s">
        <v>2366</v>
      </c>
      <c r="E3987" s="460" t="s">
        <v>1136</v>
      </c>
      <c r="F3987" s="460">
        <v>1</v>
      </c>
      <c r="G3987" s="460">
        <v>4</v>
      </c>
      <c r="H3987" s="461" t="s">
        <v>748</v>
      </c>
      <c r="I3987" s="461" t="s">
        <v>765</v>
      </c>
      <c r="J3987" s="461" t="s">
        <v>700</v>
      </c>
      <c r="K3987" s="594"/>
      <c r="L3987" s="594"/>
      <c r="M3987" s="352">
        <v>8000</v>
      </c>
      <c r="N3987" s="352" t="s">
        <v>760</v>
      </c>
      <c r="O3987" s="460">
        <v>5321</v>
      </c>
      <c r="P3987" s="460" t="s">
        <v>760</v>
      </c>
      <c r="Q3987" s="460" t="s">
        <v>2553</v>
      </c>
      <c r="R3987" s="460">
        <v>5321</v>
      </c>
      <c r="S3987" s="460" t="s">
        <v>1136</v>
      </c>
      <c r="T3987" s="462">
        <v>1</v>
      </c>
      <c r="U3987" s="460" t="s">
        <v>1136</v>
      </c>
      <c r="V3987" s="475">
        <v>0</v>
      </c>
      <c r="W3987" s="463" t="s">
        <v>2268</v>
      </c>
      <c r="X3987" s="463" t="s">
        <v>2268</v>
      </c>
      <c r="Y3987" s="463" t="s">
        <v>2554</v>
      </c>
      <c r="Z3987" s="463"/>
      <c r="AA3987" s="463"/>
      <c r="AB3987" s="464">
        <v>0</v>
      </c>
      <c r="AC3987" s="465">
        <v>0</v>
      </c>
      <c r="AD3987" s="465">
        <v>0</v>
      </c>
      <c r="AE3987" s="476">
        <v>0</v>
      </c>
      <c r="AF3987" s="467">
        <v>0</v>
      </c>
      <c r="AG3987" s="468">
        <v>0</v>
      </c>
      <c r="AH3987" s="218">
        <v>0</v>
      </c>
      <c r="AI3987" s="470">
        <v>0</v>
      </c>
      <c r="AJ3987" s="471">
        <v>0</v>
      </c>
      <c r="AK3987" s="218">
        <v>0</v>
      </c>
      <c r="AL3987" s="470">
        <v>0</v>
      </c>
      <c r="AM3987" s="471">
        <v>0</v>
      </c>
      <c r="AN3987" s="477">
        <v>2.3879915054125402</v>
      </c>
      <c r="AO3987" s="473">
        <v>4.270247550675442E-5</v>
      </c>
      <c r="AP3987" s="474">
        <v>2.9340001574279678E-3</v>
      </c>
      <c r="AQ3987" s="352"/>
      <c r="AR3987" s="352"/>
      <c r="AS3987" s="352"/>
      <c r="AT3987" s="352"/>
      <c r="AU3987" s="352"/>
      <c r="AV3987" s="352"/>
      <c r="AW3987" s="352" t="s">
        <v>254</v>
      </c>
    </row>
    <row r="3988" spans="2:49" x14ac:dyDescent="0.2">
      <c r="B3988" s="460" t="s">
        <v>3532</v>
      </c>
      <c r="C3988" s="460">
        <v>8000</v>
      </c>
      <c r="D3988" s="460" t="s">
        <v>2367</v>
      </c>
      <c r="E3988" s="460" t="s">
        <v>1137</v>
      </c>
      <c r="F3988" s="460">
        <v>2</v>
      </c>
      <c r="G3988" s="460">
        <v>4</v>
      </c>
      <c r="H3988" s="461" t="s">
        <v>748</v>
      </c>
      <c r="I3988" s="461" t="s">
        <v>765</v>
      </c>
      <c r="J3988" s="461" t="s">
        <v>700</v>
      </c>
      <c r="K3988" s="594"/>
      <c r="L3988" s="594"/>
      <c r="M3988" s="352">
        <v>8000</v>
      </c>
      <c r="N3988" s="352" t="s">
        <v>760</v>
      </c>
      <c r="O3988" s="460">
        <v>5321</v>
      </c>
      <c r="P3988" s="460" t="s">
        <v>760</v>
      </c>
      <c r="Q3988" s="460" t="s">
        <v>2553</v>
      </c>
      <c r="R3988" s="460">
        <v>5321</v>
      </c>
      <c r="S3988" s="460" t="s">
        <v>1137</v>
      </c>
      <c r="T3988" s="462">
        <v>1</v>
      </c>
      <c r="U3988" s="460" t="s">
        <v>1137</v>
      </c>
      <c r="V3988" s="475">
        <v>0</v>
      </c>
      <c r="W3988" s="463" t="s">
        <v>2268</v>
      </c>
      <c r="X3988" s="463" t="s">
        <v>2268</v>
      </c>
      <c r="Y3988" s="463" t="s">
        <v>2554</v>
      </c>
      <c r="Z3988" s="463"/>
      <c r="AA3988" s="463"/>
      <c r="AB3988" s="464">
        <v>0</v>
      </c>
      <c r="AC3988" s="465">
        <v>0</v>
      </c>
      <c r="AD3988" s="465">
        <v>0</v>
      </c>
      <c r="AE3988" s="476">
        <v>0</v>
      </c>
      <c r="AF3988" s="467">
        <v>0</v>
      </c>
      <c r="AG3988" s="468">
        <v>0</v>
      </c>
      <c r="AH3988" s="218">
        <v>0</v>
      </c>
      <c r="AI3988" s="470">
        <v>0</v>
      </c>
      <c r="AJ3988" s="471">
        <v>0</v>
      </c>
      <c r="AK3988" s="218">
        <v>0</v>
      </c>
      <c r="AL3988" s="470">
        <v>0</v>
      </c>
      <c r="AM3988" s="471">
        <v>0</v>
      </c>
      <c r="AN3988" s="477">
        <v>31.180348658700318</v>
      </c>
      <c r="AO3988" s="473">
        <v>5.047295426511588E-4</v>
      </c>
      <c r="AP3988" s="474">
        <v>3.0033257493764953E-2</v>
      </c>
      <c r="AQ3988" s="352"/>
      <c r="AR3988" s="352"/>
      <c r="AS3988" s="352"/>
      <c r="AT3988" s="352"/>
      <c r="AU3988" s="352"/>
      <c r="AV3988" s="352"/>
      <c r="AW3988" s="352" t="s">
        <v>254</v>
      </c>
    </row>
    <row r="3989" spans="2:49" x14ac:dyDescent="0.2">
      <c r="B3989" s="460" t="s">
        <v>3533</v>
      </c>
      <c r="C3989" s="460">
        <v>8000</v>
      </c>
      <c r="D3989" s="460" t="s">
        <v>2368</v>
      </c>
      <c r="E3989" s="460" t="s">
        <v>1138</v>
      </c>
      <c r="F3989" s="460">
        <v>3</v>
      </c>
      <c r="G3989" s="460">
        <v>4</v>
      </c>
      <c r="H3989" s="461" t="s">
        <v>748</v>
      </c>
      <c r="I3989" s="461" t="s">
        <v>765</v>
      </c>
      <c r="J3989" s="461" t="s">
        <v>700</v>
      </c>
      <c r="K3989" s="594"/>
      <c r="L3989" s="594"/>
      <c r="M3989" s="352">
        <v>8000</v>
      </c>
      <c r="N3989" s="352" t="s">
        <v>760</v>
      </c>
      <c r="O3989" s="460">
        <v>5321</v>
      </c>
      <c r="P3989" s="460" t="s">
        <v>760</v>
      </c>
      <c r="Q3989" s="460" t="s">
        <v>2553</v>
      </c>
      <c r="R3989" s="460">
        <v>5321</v>
      </c>
      <c r="S3989" s="460" t="s">
        <v>1138</v>
      </c>
      <c r="T3989" s="462">
        <v>1</v>
      </c>
      <c r="U3989" s="460" t="s">
        <v>1138</v>
      </c>
      <c r="V3989" s="475">
        <v>0</v>
      </c>
      <c r="W3989" s="463" t="s">
        <v>2268</v>
      </c>
      <c r="X3989" s="463" t="s">
        <v>2268</v>
      </c>
      <c r="Y3989" s="463" t="s">
        <v>2554</v>
      </c>
      <c r="Z3989" s="463"/>
      <c r="AA3989" s="463"/>
      <c r="AB3989" s="464">
        <v>0</v>
      </c>
      <c r="AC3989" s="465">
        <v>0</v>
      </c>
      <c r="AD3989" s="465">
        <v>0</v>
      </c>
      <c r="AE3989" s="476">
        <v>0</v>
      </c>
      <c r="AF3989" s="467">
        <v>0</v>
      </c>
      <c r="AG3989" s="468">
        <v>0</v>
      </c>
      <c r="AH3989" s="218">
        <v>0</v>
      </c>
      <c r="AI3989" s="470">
        <v>0</v>
      </c>
      <c r="AJ3989" s="471">
        <v>0</v>
      </c>
      <c r="AK3989" s="218">
        <v>0</v>
      </c>
      <c r="AL3989" s="470">
        <v>0</v>
      </c>
      <c r="AM3989" s="471">
        <v>0</v>
      </c>
      <c r="AN3989" s="477">
        <v>16.193639402322777</v>
      </c>
      <c r="AO3989" s="473">
        <v>5.8955400376749093E-4</v>
      </c>
      <c r="AP3989" s="474">
        <v>1.6801718588316472E-2</v>
      </c>
      <c r="AQ3989" s="352"/>
      <c r="AR3989" s="352"/>
      <c r="AS3989" s="352"/>
      <c r="AT3989" s="352"/>
      <c r="AU3989" s="352"/>
      <c r="AV3989" s="352"/>
      <c r="AW3989" s="352" t="s">
        <v>254</v>
      </c>
    </row>
    <row r="3990" spans="2:49" x14ac:dyDescent="0.2">
      <c r="B3990" s="460" t="s">
        <v>3534</v>
      </c>
      <c r="C3990" s="460">
        <v>8000</v>
      </c>
      <c r="D3990" s="460" t="s">
        <v>2369</v>
      </c>
      <c r="E3990" s="460" t="s">
        <v>1139</v>
      </c>
      <c r="F3990" s="460">
        <v>4</v>
      </c>
      <c r="G3990" s="460">
        <v>4</v>
      </c>
      <c r="H3990" s="461" t="s">
        <v>748</v>
      </c>
      <c r="I3990" s="461" t="s">
        <v>765</v>
      </c>
      <c r="J3990" s="461" t="s">
        <v>700</v>
      </c>
      <c r="K3990" s="594"/>
      <c r="L3990" s="594"/>
      <c r="M3990" s="352">
        <v>8000</v>
      </c>
      <c r="N3990" s="352" t="s">
        <v>760</v>
      </c>
      <c r="O3990" s="460">
        <v>5321</v>
      </c>
      <c r="P3990" s="460" t="s">
        <v>760</v>
      </c>
      <c r="Q3990" s="460" t="s">
        <v>2553</v>
      </c>
      <c r="R3990" s="460">
        <v>5321</v>
      </c>
      <c r="S3990" s="460" t="s">
        <v>1139</v>
      </c>
      <c r="T3990" s="462">
        <v>1</v>
      </c>
      <c r="U3990" s="460" t="s">
        <v>1139</v>
      </c>
      <c r="V3990" s="475">
        <v>0</v>
      </c>
      <c r="W3990" s="463" t="s">
        <v>2268</v>
      </c>
      <c r="X3990" s="463" t="s">
        <v>2268</v>
      </c>
      <c r="Y3990" s="463" t="s">
        <v>2554</v>
      </c>
      <c r="Z3990" s="463"/>
      <c r="AA3990" s="463"/>
      <c r="AB3990" s="464">
        <v>0</v>
      </c>
      <c r="AC3990" s="465">
        <v>0</v>
      </c>
      <c r="AD3990" s="465">
        <v>0</v>
      </c>
      <c r="AE3990" s="476">
        <v>0</v>
      </c>
      <c r="AF3990" s="467">
        <v>0</v>
      </c>
      <c r="AG3990" s="468">
        <v>0</v>
      </c>
      <c r="AH3990" s="218">
        <v>0</v>
      </c>
      <c r="AI3990" s="470">
        <v>0</v>
      </c>
      <c r="AJ3990" s="471">
        <v>0</v>
      </c>
      <c r="AK3990" s="218">
        <v>0</v>
      </c>
      <c r="AL3990" s="470">
        <v>0</v>
      </c>
      <c r="AM3990" s="471">
        <v>0</v>
      </c>
      <c r="AN3990" s="477">
        <v>0</v>
      </c>
      <c r="AO3990" s="473">
        <v>0</v>
      </c>
      <c r="AP3990" s="474">
        <v>0</v>
      </c>
      <c r="AQ3990" s="352"/>
      <c r="AR3990" s="352"/>
      <c r="AS3990" s="352"/>
      <c r="AT3990" s="352"/>
      <c r="AU3990" s="352"/>
      <c r="AV3990" s="352"/>
      <c r="AW3990" s="352" t="s">
        <v>254</v>
      </c>
    </row>
    <row r="3991" spans="2:49" x14ac:dyDescent="0.2">
      <c r="B3991" s="460" t="s">
        <v>3531</v>
      </c>
      <c r="C3991" s="460">
        <v>8000</v>
      </c>
      <c r="D3991" s="460" t="s">
        <v>2370</v>
      </c>
      <c r="E3991" s="460" t="s">
        <v>1136</v>
      </c>
      <c r="F3991" s="460">
        <v>1</v>
      </c>
      <c r="G3991" s="460">
        <v>4</v>
      </c>
      <c r="H3991" s="461" t="s">
        <v>752</v>
      </c>
      <c r="I3991" s="461" t="s">
        <v>964</v>
      </c>
      <c r="J3991" s="461" t="s">
        <v>752</v>
      </c>
      <c r="K3991" s="594"/>
      <c r="L3991" s="594"/>
      <c r="M3991" s="352">
        <v>8000</v>
      </c>
      <c r="N3991" s="352" t="s">
        <v>760</v>
      </c>
      <c r="O3991" s="460">
        <v>5321</v>
      </c>
      <c r="P3991" s="460" t="s">
        <v>760</v>
      </c>
      <c r="Q3991" s="460" t="s">
        <v>2553</v>
      </c>
      <c r="R3991" s="460">
        <v>5321</v>
      </c>
      <c r="S3991" s="460" t="s">
        <v>1136</v>
      </c>
      <c r="T3991" s="462">
        <v>1</v>
      </c>
      <c r="U3991" s="460" t="s">
        <v>1136</v>
      </c>
      <c r="V3991" s="475">
        <v>0</v>
      </c>
      <c r="W3991" s="463" t="s">
        <v>2278</v>
      </c>
      <c r="X3991" s="463" t="s">
        <v>2278</v>
      </c>
      <c r="Y3991" s="463" t="s">
        <v>2278</v>
      </c>
      <c r="Z3991" s="463"/>
      <c r="AA3991" s="463"/>
      <c r="AB3991" s="464">
        <v>0</v>
      </c>
      <c r="AC3991" s="465">
        <v>0</v>
      </c>
      <c r="AD3991" s="465">
        <v>0</v>
      </c>
      <c r="AE3991" s="476">
        <v>0</v>
      </c>
      <c r="AF3991" s="467">
        <v>0</v>
      </c>
      <c r="AG3991" s="468">
        <v>0</v>
      </c>
      <c r="AH3991" s="218">
        <v>0</v>
      </c>
      <c r="AI3991" s="470">
        <v>0</v>
      </c>
      <c r="AJ3991" s="471">
        <v>0</v>
      </c>
      <c r="AK3991" s="218">
        <v>0</v>
      </c>
      <c r="AL3991" s="470">
        <v>0</v>
      </c>
      <c r="AM3991" s="471">
        <v>0</v>
      </c>
      <c r="AN3991" s="477">
        <v>0</v>
      </c>
      <c r="AO3991" s="473">
        <v>0</v>
      </c>
      <c r="AP3991" s="474">
        <v>0</v>
      </c>
      <c r="AQ3991" s="352"/>
      <c r="AR3991" s="352"/>
      <c r="AS3991" s="352"/>
      <c r="AT3991" s="352"/>
      <c r="AU3991" s="352"/>
      <c r="AV3991" s="352"/>
      <c r="AW3991" s="352" t="s">
        <v>254</v>
      </c>
    </row>
    <row r="3992" spans="2:49" x14ac:dyDescent="0.2">
      <c r="B3992" s="460" t="s">
        <v>3532</v>
      </c>
      <c r="C3992" s="460">
        <v>8000</v>
      </c>
      <c r="D3992" s="460" t="s">
        <v>2371</v>
      </c>
      <c r="E3992" s="460" t="s">
        <v>1137</v>
      </c>
      <c r="F3992" s="460">
        <v>2</v>
      </c>
      <c r="G3992" s="460">
        <v>4</v>
      </c>
      <c r="H3992" s="461" t="s">
        <v>752</v>
      </c>
      <c r="I3992" s="461" t="s">
        <v>964</v>
      </c>
      <c r="J3992" s="461" t="s">
        <v>752</v>
      </c>
      <c r="K3992" s="594"/>
      <c r="L3992" s="594"/>
      <c r="M3992" s="352">
        <v>8000</v>
      </c>
      <c r="N3992" s="352" t="s">
        <v>760</v>
      </c>
      <c r="O3992" s="460">
        <v>5321</v>
      </c>
      <c r="P3992" s="460" t="s">
        <v>760</v>
      </c>
      <c r="Q3992" s="460" t="s">
        <v>2553</v>
      </c>
      <c r="R3992" s="460">
        <v>5321</v>
      </c>
      <c r="S3992" s="460" t="s">
        <v>1137</v>
      </c>
      <c r="T3992" s="462">
        <v>1</v>
      </c>
      <c r="U3992" s="460" t="s">
        <v>1137</v>
      </c>
      <c r="V3992" s="475">
        <v>0</v>
      </c>
      <c r="W3992" s="463" t="s">
        <v>2278</v>
      </c>
      <c r="X3992" s="463" t="s">
        <v>2278</v>
      </c>
      <c r="Y3992" s="463" t="s">
        <v>2278</v>
      </c>
      <c r="Z3992" s="463"/>
      <c r="AA3992" s="463"/>
      <c r="AB3992" s="464">
        <v>0</v>
      </c>
      <c r="AC3992" s="465">
        <v>0</v>
      </c>
      <c r="AD3992" s="465">
        <v>0</v>
      </c>
      <c r="AE3992" s="476">
        <v>0</v>
      </c>
      <c r="AF3992" s="467">
        <v>0</v>
      </c>
      <c r="AG3992" s="468">
        <v>0</v>
      </c>
      <c r="AH3992" s="218">
        <v>0</v>
      </c>
      <c r="AI3992" s="470">
        <v>0</v>
      </c>
      <c r="AJ3992" s="471">
        <v>0</v>
      </c>
      <c r="AK3992" s="218">
        <v>0</v>
      </c>
      <c r="AL3992" s="470">
        <v>0</v>
      </c>
      <c r="AM3992" s="471">
        <v>0</v>
      </c>
      <c r="AN3992" s="477">
        <v>0</v>
      </c>
      <c r="AO3992" s="473">
        <v>0</v>
      </c>
      <c r="AP3992" s="474">
        <v>0</v>
      </c>
      <c r="AQ3992" s="352"/>
      <c r="AR3992" s="352"/>
      <c r="AS3992" s="352"/>
      <c r="AT3992" s="352"/>
      <c r="AU3992" s="352"/>
      <c r="AV3992" s="352"/>
      <c r="AW3992" s="352" t="s">
        <v>254</v>
      </c>
    </row>
    <row r="3993" spans="2:49" x14ac:dyDescent="0.2">
      <c r="B3993" s="460" t="s">
        <v>3533</v>
      </c>
      <c r="C3993" s="460">
        <v>8000</v>
      </c>
      <c r="D3993" s="460" t="s">
        <v>2372</v>
      </c>
      <c r="E3993" s="460" t="s">
        <v>1138</v>
      </c>
      <c r="F3993" s="460">
        <v>3</v>
      </c>
      <c r="G3993" s="460">
        <v>4</v>
      </c>
      <c r="H3993" s="461" t="s">
        <v>752</v>
      </c>
      <c r="I3993" s="461" t="s">
        <v>964</v>
      </c>
      <c r="J3993" s="461" t="s">
        <v>752</v>
      </c>
      <c r="K3993" s="594"/>
      <c r="L3993" s="594"/>
      <c r="M3993" s="352">
        <v>8000</v>
      </c>
      <c r="N3993" s="352" t="s">
        <v>760</v>
      </c>
      <c r="O3993" s="460">
        <v>5321</v>
      </c>
      <c r="P3993" s="460" t="s">
        <v>760</v>
      </c>
      <c r="Q3993" s="460" t="s">
        <v>2553</v>
      </c>
      <c r="R3993" s="460">
        <v>5321</v>
      </c>
      <c r="S3993" s="460" t="s">
        <v>1138</v>
      </c>
      <c r="T3993" s="462">
        <v>1</v>
      </c>
      <c r="U3993" s="460" t="s">
        <v>1138</v>
      </c>
      <c r="V3993" s="475">
        <v>0</v>
      </c>
      <c r="W3993" s="463" t="s">
        <v>2278</v>
      </c>
      <c r="X3993" s="463" t="s">
        <v>2278</v>
      </c>
      <c r="Y3993" s="463" t="s">
        <v>2278</v>
      </c>
      <c r="Z3993" s="463"/>
      <c r="AA3993" s="463"/>
      <c r="AB3993" s="464">
        <v>0</v>
      </c>
      <c r="AC3993" s="465">
        <v>0</v>
      </c>
      <c r="AD3993" s="465">
        <v>0</v>
      </c>
      <c r="AE3993" s="476">
        <v>0</v>
      </c>
      <c r="AF3993" s="467">
        <v>0</v>
      </c>
      <c r="AG3993" s="468">
        <v>0</v>
      </c>
      <c r="AH3993" s="218">
        <v>0</v>
      </c>
      <c r="AI3993" s="470">
        <v>0</v>
      </c>
      <c r="AJ3993" s="471">
        <v>0</v>
      </c>
      <c r="AK3993" s="218">
        <v>0</v>
      </c>
      <c r="AL3993" s="470">
        <v>0</v>
      </c>
      <c r="AM3993" s="471">
        <v>0</v>
      </c>
      <c r="AN3993" s="477">
        <v>0</v>
      </c>
      <c r="AO3993" s="473">
        <v>0</v>
      </c>
      <c r="AP3993" s="474">
        <v>0</v>
      </c>
      <c r="AQ3993" s="352"/>
      <c r="AR3993" s="352"/>
      <c r="AS3993" s="352"/>
      <c r="AT3993" s="352"/>
      <c r="AU3993" s="352"/>
      <c r="AV3993" s="352"/>
      <c r="AW3993" s="352" t="s">
        <v>254</v>
      </c>
    </row>
    <row r="3994" spans="2:49" x14ac:dyDescent="0.2">
      <c r="B3994" s="460" t="s">
        <v>3534</v>
      </c>
      <c r="C3994" s="460">
        <v>8000</v>
      </c>
      <c r="D3994" s="460" t="s">
        <v>2373</v>
      </c>
      <c r="E3994" s="460" t="s">
        <v>1139</v>
      </c>
      <c r="F3994" s="460">
        <v>4</v>
      </c>
      <c r="G3994" s="460">
        <v>4</v>
      </c>
      <c r="H3994" s="461" t="s">
        <v>752</v>
      </c>
      <c r="I3994" s="461" t="s">
        <v>964</v>
      </c>
      <c r="J3994" s="461" t="s">
        <v>752</v>
      </c>
      <c r="K3994" s="594"/>
      <c r="L3994" s="594"/>
      <c r="M3994" s="352">
        <v>8000</v>
      </c>
      <c r="N3994" s="352" t="s">
        <v>760</v>
      </c>
      <c r="O3994" s="460">
        <v>5321</v>
      </c>
      <c r="P3994" s="460" t="s">
        <v>760</v>
      </c>
      <c r="Q3994" s="460" t="s">
        <v>2553</v>
      </c>
      <c r="R3994" s="460">
        <v>5321</v>
      </c>
      <c r="S3994" s="460" t="s">
        <v>1139</v>
      </c>
      <c r="T3994" s="462">
        <v>1</v>
      </c>
      <c r="U3994" s="460" t="s">
        <v>1139</v>
      </c>
      <c r="V3994" s="475">
        <v>0</v>
      </c>
      <c r="W3994" s="463" t="s">
        <v>2278</v>
      </c>
      <c r="X3994" s="463" t="s">
        <v>2278</v>
      </c>
      <c r="Y3994" s="463" t="s">
        <v>2278</v>
      </c>
      <c r="Z3994" s="463"/>
      <c r="AA3994" s="463"/>
      <c r="AB3994" s="464">
        <v>0</v>
      </c>
      <c r="AC3994" s="465">
        <v>0</v>
      </c>
      <c r="AD3994" s="465">
        <v>0</v>
      </c>
      <c r="AE3994" s="476">
        <v>0</v>
      </c>
      <c r="AF3994" s="467">
        <v>0</v>
      </c>
      <c r="AG3994" s="468">
        <v>0</v>
      </c>
      <c r="AH3994" s="218">
        <v>0</v>
      </c>
      <c r="AI3994" s="470">
        <v>0</v>
      </c>
      <c r="AJ3994" s="471">
        <v>0</v>
      </c>
      <c r="AK3994" s="218">
        <v>0</v>
      </c>
      <c r="AL3994" s="470">
        <v>0</v>
      </c>
      <c r="AM3994" s="471">
        <v>0</v>
      </c>
      <c r="AN3994" s="477">
        <v>0</v>
      </c>
      <c r="AO3994" s="473">
        <v>0</v>
      </c>
      <c r="AP3994" s="474">
        <v>0</v>
      </c>
      <c r="AQ3994" s="352"/>
      <c r="AR3994" s="352"/>
      <c r="AS3994" s="352"/>
      <c r="AT3994" s="352"/>
      <c r="AU3994" s="352"/>
      <c r="AV3994" s="352"/>
      <c r="AW3994" s="352" t="s">
        <v>254</v>
      </c>
    </row>
    <row r="3995" spans="2:49" x14ac:dyDescent="0.2">
      <c r="B3995" s="460" t="s">
        <v>3535</v>
      </c>
      <c r="C3995" s="460">
        <v>8000</v>
      </c>
      <c r="D3995" s="460" t="s">
        <v>2375</v>
      </c>
      <c r="E3995" s="460" t="s">
        <v>2376</v>
      </c>
      <c r="F3995" s="460">
        <v>1</v>
      </c>
      <c r="G3995" s="460">
        <v>5</v>
      </c>
      <c r="H3995" s="461" t="s">
        <v>754</v>
      </c>
      <c r="I3995" s="461" t="s">
        <v>1991</v>
      </c>
      <c r="J3995" s="461" t="s">
        <v>754</v>
      </c>
      <c r="K3995" s="594"/>
      <c r="L3995" s="594"/>
      <c r="M3995" s="352">
        <v>8000</v>
      </c>
      <c r="N3995" s="352" t="s">
        <v>760</v>
      </c>
      <c r="O3995" s="460">
        <v>5321</v>
      </c>
      <c r="P3995" s="460" t="s">
        <v>760</v>
      </c>
      <c r="Q3995" s="460" t="s">
        <v>2377</v>
      </c>
      <c r="R3995" s="460">
        <v>5321</v>
      </c>
      <c r="S3995" s="460" t="s">
        <v>2376</v>
      </c>
      <c r="T3995" s="462">
        <v>1</v>
      </c>
      <c r="U3995" s="460" t="s">
        <v>2376</v>
      </c>
      <c r="V3995" s="475">
        <v>0</v>
      </c>
      <c r="W3995" s="463" t="s">
        <v>2278</v>
      </c>
      <c r="X3995" s="463" t="s">
        <v>2278</v>
      </c>
      <c r="Y3995" s="463" t="s">
        <v>2278</v>
      </c>
      <c r="Z3995" s="463"/>
      <c r="AA3995" s="463"/>
      <c r="AB3995" s="464">
        <v>29356.292775288264</v>
      </c>
      <c r="AC3995" s="465">
        <v>1</v>
      </c>
      <c r="AD3995" s="465">
        <v>4.9351005785100106E-2</v>
      </c>
      <c r="AE3995" s="476">
        <v>29356.292775288264</v>
      </c>
      <c r="AF3995" s="467">
        <v>1</v>
      </c>
      <c r="AG3995" s="468">
        <v>4.9351005785100106E-2</v>
      </c>
      <c r="AH3995" s="218">
        <v>29356.292775288264</v>
      </c>
      <c r="AI3995" s="470">
        <v>1</v>
      </c>
      <c r="AJ3995" s="471">
        <v>4.9351005785100106E-2</v>
      </c>
      <c r="AK3995" s="218">
        <v>29356.292775288264</v>
      </c>
      <c r="AL3995" s="470">
        <v>1</v>
      </c>
      <c r="AM3995" s="471">
        <v>4.9351005785100106E-2</v>
      </c>
      <c r="AN3995" s="477">
        <v>29356.292775288264</v>
      </c>
      <c r="AO3995" s="473">
        <v>1</v>
      </c>
      <c r="AP3995" s="474">
        <v>4.9351005785100106E-2</v>
      </c>
      <c r="AQ3995" s="352"/>
      <c r="AR3995" s="352"/>
      <c r="AS3995" s="352"/>
      <c r="AT3995" s="352"/>
      <c r="AU3995" s="352"/>
      <c r="AV3995" s="352"/>
      <c r="AW3995" s="352" t="s">
        <v>127</v>
      </c>
    </row>
    <row r="3996" spans="2:49" x14ac:dyDescent="0.2">
      <c r="B3996" s="460" t="s">
        <v>3536</v>
      </c>
      <c r="C3996" s="460">
        <v>8000</v>
      </c>
      <c r="D3996" s="460" t="s">
        <v>2379</v>
      </c>
      <c r="E3996" s="460" t="s">
        <v>2380</v>
      </c>
      <c r="F3996" s="460">
        <v>2</v>
      </c>
      <c r="G3996" s="460">
        <v>5</v>
      </c>
      <c r="H3996" s="461" t="s">
        <v>754</v>
      </c>
      <c r="I3996" s="461" t="s">
        <v>1991</v>
      </c>
      <c r="J3996" s="461" t="s">
        <v>754</v>
      </c>
      <c r="K3996" s="594"/>
      <c r="L3996" s="594"/>
      <c r="M3996" s="352">
        <v>8000</v>
      </c>
      <c r="N3996" s="352" t="s">
        <v>760</v>
      </c>
      <c r="O3996" s="460">
        <v>5321</v>
      </c>
      <c r="P3996" s="460" t="s">
        <v>760</v>
      </c>
      <c r="Q3996" s="460" t="s">
        <v>2377</v>
      </c>
      <c r="R3996" s="460">
        <v>5321</v>
      </c>
      <c r="S3996" s="460" t="s">
        <v>2380</v>
      </c>
      <c r="T3996" s="462">
        <v>1</v>
      </c>
      <c r="U3996" s="460" t="s">
        <v>2380</v>
      </c>
      <c r="V3996" s="475">
        <v>0</v>
      </c>
      <c r="W3996" s="463" t="s">
        <v>2278</v>
      </c>
      <c r="X3996" s="463" t="s">
        <v>2278</v>
      </c>
      <c r="Y3996" s="463" t="s">
        <v>2278</v>
      </c>
      <c r="Z3996" s="463"/>
      <c r="AA3996" s="463"/>
      <c r="AB3996" s="464">
        <v>18845.774990982034</v>
      </c>
      <c r="AC3996" s="465">
        <v>1</v>
      </c>
      <c r="AD3996" s="465">
        <v>3.7111169845121181E-2</v>
      </c>
      <c r="AE3996" s="476">
        <v>18845.774990982034</v>
      </c>
      <c r="AF3996" s="467">
        <v>1</v>
      </c>
      <c r="AG3996" s="468">
        <v>3.7111169845121181E-2</v>
      </c>
      <c r="AH3996" s="218">
        <v>18845.774990982034</v>
      </c>
      <c r="AI3996" s="470">
        <v>1</v>
      </c>
      <c r="AJ3996" s="471">
        <v>3.7111169845121181E-2</v>
      </c>
      <c r="AK3996" s="218">
        <v>18845.774990982034</v>
      </c>
      <c r="AL3996" s="470">
        <v>1</v>
      </c>
      <c r="AM3996" s="471">
        <v>3.7111169845121181E-2</v>
      </c>
      <c r="AN3996" s="477">
        <v>18845.774990982034</v>
      </c>
      <c r="AO3996" s="473">
        <v>1</v>
      </c>
      <c r="AP3996" s="474">
        <v>3.7111169845121181E-2</v>
      </c>
      <c r="AQ3996" s="352"/>
      <c r="AR3996" s="352"/>
      <c r="AS3996" s="352"/>
      <c r="AT3996" s="352"/>
      <c r="AU3996" s="352"/>
      <c r="AV3996" s="352"/>
      <c r="AW3996" s="352" t="s">
        <v>127</v>
      </c>
    </row>
    <row r="3997" spans="2:49" x14ac:dyDescent="0.2">
      <c r="B3997" s="460" t="s">
        <v>3537</v>
      </c>
      <c r="C3997" s="460">
        <v>8000</v>
      </c>
      <c r="D3997" s="460" t="s">
        <v>2382</v>
      </c>
      <c r="E3997" s="460" t="s">
        <v>2383</v>
      </c>
      <c r="F3997" s="460">
        <v>3</v>
      </c>
      <c r="G3997" s="460">
        <v>5</v>
      </c>
      <c r="H3997" s="461" t="s">
        <v>754</v>
      </c>
      <c r="I3997" s="461" t="s">
        <v>1991</v>
      </c>
      <c r="J3997" s="461" t="s">
        <v>754</v>
      </c>
      <c r="K3997" s="594"/>
      <c r="L3997" s="594"/>
      <c r="M3997" s="352">
        <v>8000</v>
      </c>
      <c r="N3997" s="352" t="s">
        <v>760</v>
      </c>
      <c r="O3997" s="460">
        <v>5321</v>
      </c>
      <c r="P3997" s="460" t="s">
        <v>760</v>
      </c>
      <c r="Q3997" s="460" t="s">
        <v>2377</v>
      </c>
      <c r="R3997" s="460">
        <v>5321</v>
      </c>
      <c r="S3997" s="460" t="s">
        <v>2383</v>
      </c>
      <c r="T3997" s="462">
        <v>1</v>
      </c>
      <c r="U3997" s="460" t="s">
        <v>2383</v>
      </c>
      <c r="V3997" s="475">
        <v>0</v>
      </c>
      <c r="W3997" s="463" t="s">
        <v>2278</v>
      </c>
      <c r="X3997" s="463" t="s">
        <v>2278</v>
      </c>
      <c r="Y3997" s="463" t="s">
        <v>2278</v>
      </c>
      <c r="Z3997" s="463"/>
      <c r="AA3997" s="463"/>
      <c r="AB3997" s="464">
        <v>6651.49783983821</v>
      </c>
      <c r="AC3997" s="465">
        <v>1</v>
      </c>
      <c r="AD3997" s="465">
        <v>5.9122890328088845E-2</v>
      </c>
      <c r="AE3997" s="476">
        <v>6651.49783983821</v>
      </c>
      <c r="AF3997" s="467">
        <v>1</v>
      </c>
      <c r="AG3997" s="468">
        <v>5.9122890328088845E-2</v>
      </c>
      <c r="AH3997" s="218">
        <v>6651.49783983821</v>
      </c>
      <c r="AI3997" s="470">
        <v>1</v>
      </c>
      <c r="AJ3997" s="471">
        <v>5.9122890328088845E-2</v>
      </c>
      <c r="AK3997" s="218">
        <v>6651.49783983821</v>
      </c>
      <c r="AL3997" s="470">
        <v>1</v>
      </c>
      <c r="AM3997" s="471">
        <v>5.9122890328088845E-2</v>
      </c>
      <c r="AN3997" s="477">
        <v>6651.49783983821</v>
      </c>
      <c r="AO3997" s="473">
        <v>1</v>
      </c>
      <c r="AP3997" s="474">
        <v>5.9122890328088845E-2</v>
      </c>
      <c r="AQ3997" s="352"/>
      <c r="AR3997" s="352"/>
      <c r="AS3997" s="352"/>
      <c r="AT3997" s="352"/>
      <c r="AU3997" s="352"/>
      <c r="AV3997" s="352"/>
      <c r="AW3997" s="352" t="s">
        <v>127</v>
      </c>
    </row>
    <row r="3998" spans="2:49" x14ac:dyDescent="0.2">
      <c r="B3998" s="460" t="s">
        <v>3538</v>
      </c>
      <c r="C3998" s="460">
        <v>8000</v>
      </c>
      <c r="D3998" s="460" t="s">
        <v>2385</v>
      </c>
      <c r="E3998" s="460" t="s">
        <v>2386</v>
      </c>
      <c r="F3998" s="460">
        <v>4</v>
      </c>
      <c r="G3998" s="460">
        <v>5</v>
      </c>
      <c r="H3998" s="461" t="s">
        <v>754</v>
      </c>
      <c r="I3998" s="461" t="s">
        <v>1991</v>
      </c>
      <c r="J3998" s="461" t="s">
        <v>754</v>
      </c>
      <c r="K3998" s="594"/>
      <c r="L3998" s="594"/>
      <c r="M3998" s="352">
        <v>8000</v>
      </c>
      <c r="N3998" s="352" t="s">
        <v>760</v>
      </c>
      <c r="O3998" s="460">
        <v>5321</v>
      </c>
      <c r="P3998" s="460" t="s">
        <v>760</v>
      </c>
      <c r="Q3998" s="460" t="s">
        <v>2377</v>
      </c>
      <c r="R3998" s="460">
        <v>5321</v>
      </c>
      <c r="S3998" s="460" t="s">
        <v>2386</v>
      </c>
      <c r="T3998" s="462">
        <v>1</v>
      </c>
      <c r="U3998" s="460" t="s">
        <v>2386</v>
      </c>
      <c r="V3998" s="475">
        <v>0</v>
      </c>
      <c r="W3998" s="463" t="s">
        <v>2278</v>
      </c>
      <c r="X3998" s="463" t="s">
        <v>2278</v>
      </c>
      <c r="Y3998" s="463" t="s">
        <v>2278</v>
      </c>
      <c r="Z3998" s="463"/>
      <c r="AA3998" s="463"/>
      <c r="AB3998" s="464">
        <v>2715.2840976812117</v>
      </c>
      <c r="AC3998" s="465">
        <v>1</v>
      </c>
      <c r="AD3998" s="465">
        <v>5.0370522509789906E-2</v>
      </c>
      <c r="AE3998" s="476">
        <v>2715.2840976812117</v>
      </c>
      <c r="AF3998" s="467">
        <v>1</v>
      </c>
      <c r="AG3998" s="468">
        <v>5.0370522509789906E-2</v>
      </c>
      <c r="AH3998" s="218">
        <v>2715.2840976812117</v>
      </c>
      <c r="AI3998" s="470">
        <v>1</v>
      </c>
      <c r="AJ3998" s="471">
        <v>5.0370522509789906E-2</v>
      </c>
      <c r="AK3998" s="218">
        <v>2715.2840976812117</v>
      </c>
      <c r="AL3998" s="470">
        <v>1</v>
      </c>
      <c r="AM3998" s="471">
        <v>5.0370522509789906E-2</v>
      </c>
      <c r="AN3998" s="477">
        <v>2715.2840976812117</v>
      </c>
      <c r="AO3998" s="473">
        <v>1</v>
      </c>
      <c r="AP3998" s="474">
        <v>5.0370522509789906E-2</v>
      </c>
      <c r="AQ3998" s="352"/>
      <c r="AR3998" s="352"/>
      <c r="AS3998" s="352"/>
      <c r="AT3998" s="352"/>
      <c r="AU3998" s="352"/>
      <c r="AV3998" s="352"/>
      <c r="AW3998" s="352" t="s">
        <v>127</v>
      </c>
    </row>
    <row r="3999" spans="2:49" x14ac:dyDescent="0.2">
      <c r="B3999" s="460" t="s">
        <v>3357</v>
      </c>
      <c r="C3999" s="460">
        <v>7000</v>
      </c>
      <c r="D3999" s="460" t="s">
        <v>3462</v>
      </c>
      <c r="E3999" s="460" t="s">
        <v>2324</v>
      </c>
      <c r="F3999" s="460">
        <v>1</v>
      </c>
      <c r="G3999" s="460">
        <v>3</v>
      </c>
      <c r="H3999" s="460" t="s">
        <v>754</v>
      </c>
      <c r="I3999" s="460" t="s">
        <v>1991</v>
      </c>
      <c r="J3999" s="460" t="s">
        <v>754</v>
      </c>
      <c r="K3999" s="108"/>
      <c r="L3999" s="108"/>
      <c r="M3999" s="352">
        <v>7000</v>
      </c>
      <c r="N3999" s="352" t="s">
        <v>1891</v>
      </c>
      <c r="O3999" s="460">
        <v>4411</v>
      </c>
      <c r="P3999" s="460" t="s">
        <v>1888</v>
      </c>
      <c r="Q3999" s="460" t="s">
        <v>3478</v>
      </c>
      <c r="R3999" s="460">
        <v>4411</v>
      </c>
      <c r="S3999" s="460" t="s">
        <v>2324</v>
      </c>
      <c r="T3999" s="462">
        <v>1</v>
      </c>
      <c r="U3999" s="460" t="s">
        <v>2324</v>
      </c>
      <c r="V3999" s="475">
        <v>0</v>
      </c>
      <c r="W3999" s="463" t="s">
        <v>2278</v>
      </c>
      <c r="X3999" s="463" t="s">
        <v>2278</v>
      </c>
      <c r="Y3999" s="463" t="s">
        <v>2278</v>
      </c>
      <c r="Z3999" s="463"/>
      <c r="AA3999" s="463"/>
      <c r="AB3999" s="484">
        <v>496.57649812760008</v>
      </c>
      <c r="AC3999" s="465">
        <v>0.10101677699788293</v>
      </c>
      <c r="AD3999" s="465">
        <v>0.70997359486459677</v>
      </c>
      <c r="AE3999" s="485">
        <v>496.57649812760008</v>
      </c>
      <c r="AF3999" s="467">
        <v>0.10101677699788293</v>
      </c>
      <c r="AG3999" s="468">
        <v>0.70997359486459677</v>
      </c>
      <c r="AH3999" s="485">
        <v>496.57649812760008</v>
      </c>
      <c r="AI3999" s="470">
        <v>0.10101677699788293</v>
      </c>
      <c r="AJ3999" s="471">
        <v>0.70997359486459677</v>
      </c>
      <c r="AK3999" s="486">
        <v>496.57649812760008</v>
      </c>
      <c r="AL3999" s="470">
        <v>0.10101677699788293</v>
      </c>
      <c r="AM3999" s="471">
        <v>0.70997359486459677</v>
      </c>
      <c r="AN3999" s="487">
        <v>496.57649812760008</v>
      </c>
      <c r="AO3999" s="473">
        <v>0.10101677699788293</v>
      </c>
      <c r="AP3999" s="474">
        <v>0.70997359486459677</v>
      </c>
      <c r="AQ3999" s="352"/>
      <c r="AR3999" s="352"/>
      <c r="AS3999" s="352"/>
      <c r="AT3999" s="352"/>
      <c r="AU3999" s="352"/>
      <c r="AV3999" s="352"/>
      <c r="AW3999" s="352" t="s">
        <v>127</v>
      </c>
    </row>
    <row r="4000" spans="2:49" x14ac:dyDescent="0.2">
      <c r="B4000" s="460" t="s">
        <v>3358</v>
      </c>
      <c r="C4000" s="460">
        <v>7000</v>
      </c>
      <c r="D4000" s="460" t="s">
        <v>3463</v>
      </c>
      <c r="E4000" s="460" t="s">
        <v>2327</v>
      </c>
      <c r="F4000" s="460">
        <v>2</v>
      </c>
      <c r="G4000" s="460">
        <v>3</v>
      </c>
      <c r="H4000" s="460" t="s">
        <v>754</v>
      </c>
      <c r="I4000" s="460" t="s">
        <v>1991</v>
      </c>
      <c r="J4000" s="460" t="s">
        <v>754</v>
      </c>
      <c r="K4000" s="108"/>
      <c r="L4000" s="108"/>
      <c r="M4000" s="352">
        <v>7000</v>
      </c>
      <c r="N4000" s="352" t="s">
        <v>1891</v>
      </c>
      <c r="O4000" s="460">
        <v>4411</v>
      </c>
      <c r="P4000" s="460" t="s">
        <v>1888</v>
      </c>
      <c r="Q4000" s="460" t="s">
        <v>3478</v>
      </c>
      <c r="R4000" s="460">
        <v>4411</v>
      </c>
      <c r="S4000" s="460" t="s">
        <v>2324</v>
      </c>
      <c r="T4000" s="462">
        <v>1</v>
      </c>
      <c r="U4000" s="460" t="s">
        <v>2327</v>
      </c>
      <c r="V4000" s="475">
        <v>0</v>
      </c>
      <c r="W4000" s="463" t="s">
        <v>2278</v>
      </c>
      <c r="X4000" s="463" t="s">
        <v>2278</v>
      </c>
      <c r="Y4000" s="463" t="s">
        <v>2278</v>
      </c>
      <c r="Z4000" s="463"/>
      <c r="AA4000" s="463"/>
      <c r="AB4000" s="484">
        <v>124.10573533918628</v>
      </c>
      <c r="AC4000" s="465">
        <v>3.4392325344824198E-2</v>
      </c>
      <c r="AD4000" s="465">
        <v>0.65119514932653444</v>
      </c>
      <c r="AE4000" s="485">
        <v>124.1057353391863</v>
      </c>
      <c r="AF4000" s="467">
        <v>3.4392325344824198E-2</v>
      </c>
      <c r="AG4000" s="468">
        <v>0.65119514932653444</v>
      </c>
      <c r="AH4000" s="485">
        <v>124.1057353391863</v>
      </c>
      <c r="AI4000" s="470">
        <v>3.4392325344824198E-2</v>
      </c>
      <c r="AJ4000" s="471">
        <v>0.65119514932653444</v>
      </c>
      <c r="AK4000" s="486">
        <v>124.1057353391863</v>
      </c>
      <c r="AL4000" s="470">
        <v>3.4392325344824198E-2</v>
      </c>
      <c r="AM4000" s="471">
        <v>0.65119514932653444</v>
      </c>
      <c r="AN4000" s="487">
        <v>124.1057353391863</v>
      </c>
      <c r="AO4000" s="473">
        <v>3.4392325344824198E-2</v>
      </c>
      <c r="AP4000" s="474">
        <v>0.65119514932653444</v>
      </c>
      <c r="AQ4000" s="352"/>
      <c r="AR4000" s="352"/>
      <c r="AS4000" s="352"/>
      <c r="AT4000" s="352"/>
      <c r="AU4000" s="352"/>
      <c r="AV4000" s="352"/>
      <c r="AW4000" s="352" t="s">
        <v>127</v>
      </c>
    </row>
    <row r="4001" spans="2:49" x14ac:dyDescent="0.2">
      <c r="B4001" s="460" t="s">
        <v>3359</v>
      </c>
      <c r="C4001" s="460">
        <v>7000</v>
      </c>
      <c r="D4001" s="460" t="s">
        <v>3464</v>
      </c>
      <c r="E4001" s="460" t="s">
        <v>2330</v>
      </c>
      <c r="F4001" s="460">
        <v>3</v>
      </c>
      <c r="G4001" s="460">
        <v>3</v>
      </c>
      <c r="H4001" s="460" t="s">
        <v>754</v>
      </c>
      <c r="I4001" s="460" t="s">
        <v>1991</v>
      </c>
      <c r="J4001" s="460" t="s">
        <v>754</v>
      </c>
      <c r="K4001" s="108"/>
      <c r="L4001" s="108"/>
      <c r="M4001" s="352">
        <v>7000</v>
      </c>
      <c r="N4001" s="352" t="s">
        <v>1891</v>
      </c>
      <c r="O4001" s="460">
        <v>4411</v>
      </c>
      <c r="P4001" s="460" t="s">
        <v>1888</v>
      </c>
      <c r="Q4001" s="460" t="s">
        <v>3478</v>
      </c>
      <c r="R4001" s="460">
        <v>4411</v>
      </c>
      <c r="S4001" s="460" t="s">
        <v>2324</v>
      </c>
      <c r="T4001" s="462">
        <v>1</v>
      </c>
      <c r="U4001" s="460" t="s">
        <v>2330</v>
      </c>
      <c r="V4001" s="475">
        <v>0</v>
      </c>
      <c r="W4001" s="463" t="s">
        <v>2278</v>
      </c>
      <c r="X4001" s="463" t="s">
        <v>2278</v>
      </c>
      <c r="Y4001" s="463" t="s">
        <v>2278</v>
      </c>
      <c r="Z4001" s="463"/>
      <c r="AA4001" s="463"/>
      <c r="AB4001" s="484">
        <v>2.2261590191224165</v>
      </c>
      <c r="AC4001" s="465">
        <v>1.2219551574344236E-3</v>
      </c>
      <c r="AD4001" s="465">
        <v>0.56236206419993851</v>
      </c>
      <c r="AE4001" s="485">
        <v>2.2261590191224165</v>
      </c>
      <c r="AF4001" s="467">
        <v>1.2219551574344236E-3</v>
      </c>
      <c r="AG4001" s="468">
        <v>0.56236206419993851</v>
      </c>
      <c r="AH4001" s="485">
        <v>2.2261590191224165</v>
      </c>
      <c r="AI4001" s="470">
        <v>1.2219551574344236E-3</v>
      </c>
      <c r="AJ4001" s="471">
        <v>0.56236206419993851</v>
      </c>
      <c r="AK4001" s="486">
        <v>2.2261590191224165</v>
      </c>
      <c r="AL4001" s="470">
        <v>1.2219551574344236E-3</v>
      </c>
      <c r="AM4001" s="471">
        <v>0.56236206419993851</v>
      </c>
      <c r="AN4001" s="487">
        <v>2.2261590191224165</v>
      </c>
      <c r="AO4001" s="473">
        <v>1.2219551574344236E-3</v>
      </c>
      <c r="AP4001" s="474">
        <v>0.56236206419993851</v>
      </c>
      <c r="AQ4001" s="352"/>
      <c r="AR4001" s="352"/>
      <c r="AS4001" s="352"/>
      <c r="AT4001" s="352"/>
      <c r="AU4001" s="352"/>
      <c r="AV4001" s="352"/>
      <c r="AW4001" s="352" t="s">
        <v>127</v>
      </c>
    </row>
    <row r="4002" spans="2:49" x14ac:dyDescent="0.2">
      <c r="B4002" s="460" t="s">
        <v>3360</v>
      </c>
      <c r="C4002" s="460">
        <v>7000</v>
      </c>
      <c r="D4002" s="460" t="s">
        <v>3465</v>
      </c>
      <c r="E4002" s="460" t="s">
        <v>2333</v>
      </c>
      <c r="F4002" s="460">
        <v>4</v>
      </c>
      <c r="G4002" s="460">
        <v>3</v>
      </c>
      <c r="H4002" s="460" t="s">
        <v>754</v>
      </c>
      <c r="I4002" s="460" t="s">
        <v>1991</v>
      </c>
      <c r="J4002" s="460" t="s">
        <v>754</v>
      </c>
      <c r="K4002" s="108"/>
      <c r="L4002" s="108"/>
      <c r="M4002" s="352">
        <v>7000</v>
      </c>
      <c r="N4002" s="352" t="s">
        <v>1891</v>
      </c>
      <c r="O4002" s="460">
        <v>4411</v>
      </c>
      <c r="P4002" s="460" t="s">
        <v>1888</v>
      </c>
      <c r="Q4002" s="460" t="s">
        <v>3478</v>
      </c>
      <c r="R4002" s="460">
        <v>4411</v>
      </c>
      <c r="S4002" s="460" t="s">
        <v>2333</v>
      </c>
      <c r="T4002" s="462">
        <v>1</v>
      </c>
      <c r="U4002" s="460" t="s">
        <v>2333</v>
      </c>
      <c r="V4002" s="475">
        <v>0</v>
      </c>
      <c r="W4002" s="463" t="s">
        <v>2278</v>
      </c>
      <c r="X4002" s="463" t="s">
        <v>2278</v>
      </c>
      <c r="Y4002" s="463" t="s">
        <v>2278</v>
      </c>
      <c r="Z4002" s="463"/>
      <c r="AA4002" s="463"/>
      <c r="AB4002" s="484">
        <v>42.886103670660546</v>
      </c>
      <c r="AC4002" s="465">
        <v>2.0125815360321618E-2</v>
      </c>
      <c r="AD4002" s="465">
        <v>1</v>
      </c>
      <c r="AE4002" s="485">
        <v>42.886103670660546</v>
      </c>
      <c r="AF4002" s="467">
        <v>2.0125815360321618E-2</v>
      </c>
      <c r="AG4002" s="468">
        <v>1</v>
      </c>
      <c r="AH4002" s="485">
        <v>42.886103670660546</v>
      </c>
      <c r="AI4002" s="470">
        <v>2.0125815360321618E-2</v>
      </c>
      <c r="AJ4002" s="471">
        <v>1</v>
      </c>
      <c r="AK4002" s="486">
        <v>42.886103670660546</v>
      </c>
      <c r="AL4002" s="470">
        <v>2.0125815360321618E-2</v>
      </c>
      <c r="AM4002" s="471">
        <v>1</v>
      </c>
      <c r="AN4002" s="487">
        <v>42.886103670660546</v>
      </c>
      <c r="AO4002" s="473">
        <v>2.0125815360321618E-2</v>
      </c>
      <c r="AP4002" s="474">
        <v>1</v>
      </c>
      <c r="AQ4002" s="352"/>
      <c r="AR4002" s="352"/>
      <c r="AS4002" s="352"/>
      <c r="AT4002" s="352"/>
      <c r="AU4002" s="352"/>
      <c r="AV4002" s="352"/>
      <c r="AW4002" s="352" t="s">
        <v>127</v>
      </c>
    </row>
    <row r="4003" spans="2:49" x14ac:dyDescent="0.2">
      <c r="B4003" s="460" t="s">
        <v>3361</v>
      </c>
      <c r="C4003" s="460">
        <v>7000</v>
      </c>
      <c r="D4003" s="460" t="s">
        <v>3491</v>
      </c>
      <c r="E4003" s="460" t="s">
        <v>1136</v>
      </c>
      <c r="F4003" s="460">
        <v>1</v>
      </c>
      <c r="G4003" s="460">
        <v>4</v>
      </c>
      <c r="H4003" s="460" t="s">
        <v>754</v>
      </c>
      <c r="I4003" s="460" t="s">
        <v>1991</v>
      </c>
      <c r="J4003" s="460" t="s">
        <v>754</v>
      </c>
      <c r="K4003" s="108"/>
      <c r="L4003" s="108"/>
      <c r="M4003" s="352">
        <v>7000</v>
      </c>
      <c r="N4003" s="352" t="s">
        <v>1891</v>
      </c>
      <c r="O4003" s="460">
        <v>4411</v>
      </c>
      <c r="P4003" s="460" t="s">
        <v>1888</v>
      </c>
      <c r="Q4003" s="460" t="s">
        <v>3478</v>
      </c>
      <c r="R4003" s="460">
        <v>4411</v>
      </c>
      <c r="S4003" s="460" t="s">
        <v>1136</v>
      </c>
      <c r="T4003" s="462">
        <v>1</v>
      </c>
      <c r="U4003" s="460" t="s">
        <v>1136</v>
      </c>
      <c r="V4003" s="475">
        <v>0</v>
      </c>
      <c r="W4003" s="463" t="s">
        <v>2278</v>
      </c>
      <c r="X4003" s="463" t="s">
        <v>2278</v>
      </c>
      <c r="Y4003" s="463" t="s">
        <v>2278</v>
      </c>
      <c r="Z4003" s="463"/>
      <c r="AA4003" s="463"/>
      <c r="AB4003" s="484">
        <v>322.72177752339712</v>
      </c>
      <c r="AC4003" s="465">
        <v>6.646365736007212E-2</v>
      </c>
      <c r="AD4003" s="465">
        <v>0.23398755633119209</v>
      </c>
      <c r="AE4003" s="485">
        <v>322.72177752339712</v>
      </c>
      <c r="AF4003" s="467">
        <v>6.646365736007212E-2</v>
      </c>
      <c r="AG4003" s="468">
        <v>0.23398755633119209</v>
      </c>
      <c r="AH4003" s="485">
        <v>322.72177752339712</v>
      </c>
      <c r="AI4003" s="470">
        <v>6.646365736007212E-2</v>
      </c>
      <c r="AJ4003" s="471">
        <v>0.23398755633119209</v>
      </c>
      <c r="AK4003" s="486">
        <v>322.72177752339712</v>
      </c>
      <c r="AL4003" s="470">
        <v>6.646365736007212E-2</v>
      </c>
      <c r="AM4003" s="471">
        <v>0.23398755633119209</v>
      </c>
      <c r="AN4003" s="487">
        <v>322.72177752339712</v>
      </c>
      <c r="AO4003" s="473">
        <v>6.646365736007212E-2</v>
      </c>
      <c r="AP4003" s="474">
        <v>0.23398755633119209</v>
      </c>
      <c r="AQ4003" s="352"/>
      <c r="AR4003" s="352"/>
      <c r="AS4003" s="352"/>
      <c r="AT4003" s="352"/>
      <c r="AU4003" s="352"/>
      <c r="AV4003" s="352"/>
      <c r="AW4003" s="352" t="s">
        <v>127</v>
      </c>
    </row>
    <row r="4004" spans="2:49" x14ac:dyDescent="0.2">
      <c r="B4004" s="460" t="s">
        <v>3362</v>
      </c>
      <c r="C4004" s="460">
        <v>7000</v>
      </c>
      <c r="D4004" s="460" t="s">
        <v>3492</v>
      </c>
      <c r="E4004" s="460" t="s">
        <v>1137</v>
      </c>
      <c r="F4004" s="460">
        <v>2</v>
      </c>
      <c r="G4004" s="460">
        <v>4</v>
      </c>
      <c r="H4004" s="460" t="s">
        <v>754</v>
      </c>
      <c r="I4004" s="460" t="s">
        <v>1991</v>
      </c>
      <c r="J4004" s="460" t="s">
        <v>754</v>
      </c>
      <c r="K4004" s="108"/>
      <c r="L4004" s="108"/>
      <c r="M4004" s="352">
        <v>7000</v>
      </c>
      <c r="N4004" s="352" t="s">
        <v>1891</v>
      </c>
      <c r="O4004" s="460">
        <v>4411</v>
      </c>
      <c r="P4004" s="460" t="s">
        <v>1888</v>
      </c>
      <c r="Q4004" s="460" t="s">
        <v>3478</v>
      </c>
      <c r="R4004" s="460">
        <v>4411</v>
      </c>
      <c r="S4004" s="460" t="s">
        <v>1137</v>
      </c>
      <c r="T4004" s="462">
        <v>1</v>
      </c>
      <c r="U4004" s="460" t="s">
        <v>1137</v>
      </c>
      <c r="V4004" s="475">
        <v>0</v>
      </c>
      <c r="W4004" s="463" t="s">
        <v>2278</v>
      </c>
      <c r="X4004" s="463" t="s">
        <v>2278</v>
      </c>
      <c r="Y4004" s="463" t="s">
        <v>2278</v>
      </c>
      <c r="Z4004" s="463"/>
      <c r="AA4004" s="463"/>
      <c r="AB4004" s="484">
        <v>1417.370500830463</v>
      </c>
      <c r="AC4004" s="465">
        <v>0.26214291291767272</v>
      </c>
      <c r="AD4004" s="465">
        <v>0.26059182966636801</v>
      </c>
      <c r="AE4004" s="485">
        <v>1417.370500830463</v>
      </c>
      <c r="AF4004" s="467">
        <v>0.26214291291767272</v>
      </c>
      <c r="AG4004" s="468">
        <v>0.26059182966636801</v>
      </c>
      <c r="AH4004" s="485">
        <v>1417.370500830463</v>
      </c>
      <c r="AI4004" s="470">
        <v>0.26214291291767272</v>
      </c>
      <c r="AJ4004" s="471">
        <v>0.26059182966636801</v>
      </c>
      <c r="AK4004" s="486">
        <v>1417.370500830463</v>
      </c>
      <c r="AL4004" s="470">
        <v>0.26214291291767272</v>
      </c>
      <c r="AM4004" s="471">
        <v>0.26059182966636801</v>
      </c>
      <c r="AN4004" s="487">
        <v>1417.370500830463</v>
      </c>
      <c r="AO4004" s="473">
        <v>0.26214291291767272</v>
      </c>
      <c r="AP4004" s="474">
        <v>0.26059182966636801</v>
      </c>
      <c r="AQ4004" s="352"/>
      <c r="AR4004" s="352"/>
      <c r="AS4004" s="352"/>
      <c r="AT4004" s="352"/>
      <c r="AU4004" s="352"/>
      <c r="AV4004" s="352"/>
      <c r="AW4004" s="352" t="s">
        <v>127</v>
      </c>
    </row>
    <row r="4005" spans="2:49" x14ac:dyDescent="0.2">
      <c r="B4005" s="460" t="s">
        <v>3363</v>
      </c>
      <c r="C4005" s="460">
        <v>7000</v>
      </c>
      <c r="D4005" s="460" t="s">
        <v>3493</v>
      </c>
      <c r="E4005" s="460" t="s">
        <v>1138</v>
      </c>
      <c r="F4005" s="460">
        <v>3</v>
      </c>
      <c r="G4005" s="460">
        <v>4</v>
      </c>
      <c r="H4005" s="460" t="s">
        <v>754</v>
      </c>
      <c r="I4005" s="460" t="s">
        <v>1991</v>
      </c>
      <c r="J4005" s="460" t="s">
        <v>754</v>
      </c>
      <c r="K4005" s="108"/>
      <c r="L4005" s="108"/>
      <c r="M4005" s="352">
        <v>7000</v>
      </c>
      <c r="N4005" s="352" t="s">
        <v>1891</v>
      </c>
      <c r="O4005" s="460">
        <v>4411</v>
      </c>
      <c r="P4005" s="460" t="s">
        <v>1888</v>
      </c>
      <c r="Q4005" s="460" t="s">
        <v>3478</v>
      </c>
      <c r="R4005" s="460">
        <v>4411</v>
      </c>
      <c r="S4005" s="460" t="s">
        <v>1138</v>
      </c>
      <c r="T4005" s="462">
        <v>1</v>
      </c>
      <c r="U4005" s="460" t="s">
        <v>1138</v>
      </c>
      <c r="V4005" s="475">
        <v>0</v>
      </c>
      <c r="W4005" s="463" t="s">
        <v>2278</v>
      </c>
      <c r="X4005" s="463" t="s">
        <v>2278</v>
      </c>
      <c r="Y4005" s="463" t="s">
        <v>2278</v>
      </c>
      <c r="Z4005" s="463"/>
      <c r="AA4005" s="463"/>
      <c r="AB4005" s="484">
        <v>357.28226578745227</v>
      </c>
      <c r="AC4005" s="465">
        <v>0.13615292866531206</v>
      </c>
      <c r="AD4005" s="465">
        <v>0.14499472618427051</v>
      </c>
      <c r="AE4005" s="485">
        <v>357.28226578745227</v>
      </c>
      <c r="AF4005" s="467">
        <v>0.13615292866531206</v>
      </c>
      <c r="AG4005" s="468">
        <v>0.14499472618427051</v>
      </c>
      <c r="AH4005" s="485">
        <v>357.28226578745227</v>
      </c>
      <c r="AI4005" s="470">
        <v>0.13615292866531206</v>
      </c>
      <c r="AJ4005" s="471">
        <v>0.14499472618427051</v>
      </c>
      <c r="AK4005" s="486">
        <v>357.28226578745227</v>
      </c>
      <c r="AL4005" s="470">
        <v>0.13615292866531206</v>
      </c>
      <c r="AM4005" s="471">
        <v>0.14499472618427051</v>
      </c>
      <c r="AN4005" s="487">
        <v>357.28226578745227</v>
      </c>
      <c r="AO4005" s="473">
        <v>0.13615292866531206</v>
      </c>
      <c r="AP4005" s="474">
        <v>0.14499472618427051</v>
      </c>
      <c r="AQ4005" s="352"/>
      <c r="AR4005" s="352"/>
      <c r="AS4005" s="352"/>
      <c r="AT4005" s="352"/>
      <c r="AU4005" s="352"/>
      <c r="AV4005" s="352"/>
      <c r="AW4005" s="352" t="s">
        <v>127</v>
      </c>
    </row>
    <row r="4006" spans="2:49" x14ac:dyDescent="0.2">
      <c r="B4006" s="460" t="s">
        <v>3364</v>
      </c>
      <c r="C4006" s="460">
        <v>7000</v>
      </c>
      <c r="D4006" s="460" t="s">
        <v>3494</v>
      </c>
      <c r="E4006" s="460" t="s">
        <v>1139</v>
      </c>
      <c r="F4006" s="460">
        <v>4</v>
      </c>
      <c r="G4006" s="460">
        <v>4</v>
      </c>
      <c r="H4006" s="460" t="s">
        <v>754</v>
      </c>
      <c r="I4006" s="460" t="s">
        <v>1991</v>
      </c>
      <c r="J4006" s="460" t="s">
        <v>754</v>
      </c>
      <c r="K4006" s="108"/>
      <c r="L4006" s="108"/>
      <c r="M4006" s="352">
        <v>7000</v>
      </c>
      <c r="N4006" s="352" t="s">
        <v>1891</v>
      </c>
      <c r="O4006" s="460">
        <v>4411</v>
      </c>
      <c r="P4006" s="460" t="s">
        <v>1888</v>
      </c>
      <c r="Q4006" s="460" t="s">
        <v>3478</v>
      </c>
      <c r="R4006" s="460">
        <v>4411</v>
      </c>
      <c r="S4006" s="460" t="s">
        <v>1139</v>
      </c>
      <c r="T4006" s="462">
        <v>1</v>
      </c>
      <c r="U4006" s="460" t="s">
        <v>1139</v>
      </c>
      <c r="V4006" s="475">
        <v>0</v>
      </c>
      <c r="W4006" s="463" t="s">
        <v>2278</v>
      </c>
      <c r="X4006" s="463" t="s">
        <v>2278</v>
      </c>
      <c r="Y4006" s="463" t="s">
        <v>2278</v>
      </c>
      <c r="Z4006" s="463"/>
      <c r="AA4006" s="463"/>
      <c r="AB4006" s="484">
        <v>3251.62273001721</v>
      </c>
      <c r="AC4006" s="465">
        <v>0.561158251031874</v>
      </c>
      <c r="AD4006" s="465">
        <v>0.56610992692162665</v>
      </c>
      <c r="AE4006" s="485">
        <v>3251.62273001721</v>
      </c>
      <c r="AF4006" s="467">
        <v>0.561158251031874</v>
      </c>
      <c r="AG4006" s="468">
        <v>0.56610992692162665</v>
      </c>
      <c r="AH4006" s="485">
        <v>3251.62273001721</v>
      </c>
      <c r="AI4006" s="470">
        <v>0.561158251031874</v>
      </c>
      <c r="AJ4006" s="471">
        <v>0.56610992692162665</v>
      </c>
      <c r="AK4006" s="486">
        <v>3251.62273001721</v>
      </c>
      <c r="AL4006" s="470">
        <v>0.561158251031874</v>
      </c>
      <c r="AM4006" s="471">
        <v>0.56610992692162665</v>
      </c>
      <c r="AN4006" s="487">
        <v>3251.62273001721</v>
      </c>
      <c r="AO4006" s="473">
        <v>0.561158251031874</v>
      </c>
      <c r="AP4006" s="474">
        <v>0.56610992692162665</v>
      </c>
      <c r="AQ4006" s="352"/>
      <c r="AR4006" s="352"/>
      <c r="AS4006" s="352"/>
      <c r="AT4006" s="352"/>
      <c r="AU4006" s="352"/>
      <c r="AV4006" s="352"/>
      <c r="AW4006" s="352" t="s">
        <v>127</v>
      </c>
    </row>
    <row r="4007" spans="2:49" x14ac:dyDescent="0.2">
      <c r="B4007" s="460" t="s">
        <v>3531</v>
      </c>
      <c r="C4007" s="460">
        <v>8000</v>
      </c>
      <c r="D4007" s="460" t="s">
        <v>3491</v>
      </c>
      <c r="E4007" s="460" t="s">
        <v>1136</v>
      </c>
      <c r="F4007" s="460">
        <v>1</v>
      </c>
      <c r="G4007" s="460">
        <v>4</v>
      </c>
      <c r="H4007" s="460" t="s">
        <v>754</v>
      </c>
      <c r="I4007" s="460" t="s">
        <v>1991</v>
      </c>
      <c r="J4007" s="460" t="s">
        <v>754</v>
      </c>
      <c r="K4007" s="108"/>
      <c r="L4007" s="108"/>
      <c r="M4007" s="352">
        <v>8000</v>
      </c>
      <c r="N4007" s="352" t="s">
        <v>760</v>
      </c>
      <c r="O4007" s="460">
        <v>5321</v>
      </c>
      <c r="P4007" s="460" t="s">
        <v>760</v>
      </c>
      <c r="Q4007" s="460" t="s">
        <v>3478</v>
      </c>
      <c r="R4007" s="460">
        <v>5321</v>
      </c>
      <c r="S4007" s="460" t="s">
        <v>1136</v>
      </c>
      <c r="T4007" s="462">
        <v>1</v>
      </c>
      <c r="U4007" s="460" t="s">
        <v>1136</v>
      </c>
      <c r="V4007" s="475">
        <v>0</v>
      </c>
      <c r="W4007" s="463" t="s">
        <v>2278</v>
      </c>
      <c r="X4007" s="463" t="s">
        <v>2278</v>
      </c>
      <c r="Y4007" s="463" t="s">
        <v>2278</v>
      </c>
      <c r="Z4007" s="463"/>
      <c r="AA4007" s="463"/>
      <c r="AB4007" s="484">
        <v>621.21819228469917</v>
      </c>
      <c r="AC4007" s="465">
        <v>1.1108730738891312E-2</v>
      </c>
      <c r="AD4007" s="465">
        <v>0.45041065364930027</v>
      </c>
      <c r="AE4007" s="485">
        <v>621.21819228469917</v>
      </c>
      <c r="AF4007" s="467">
        <v>1.1108730738891312E-2</v>
      </c>
      <c r="AG4007" s="468">
        <v>0.45041065364930027</v>
      </c>
      <c r="AH4007" s="485">
        <v>621.21819228469917</v>
      </c>
      <c r="AI4007" s="470">
        <v>1.1108730738891312E-2</v>
      </c>
      <c r="AJ4007" s="471">
        <v>0.45041065364930027</v>
      </c>
      <c r="AK4007" s="486">
        <v>621.21819228469917</v>
      </c>
      <c r="AL4007" s="470">
        <v>1.1108730738891312E-2</v>
      </c>
      <c r="AM4007" s="471">
        <v>0.45041065364930027</v>
      </c>
      <c r="AN4007" s="487">
        <v>621.21819228469917</v>
      </c>
      <c r="AO4007" s="473">
        <v>1.1108730738891312E-2</v>
      </c>
      <c r="AP4007" s="474">
        <v>0.45041065364930027</v>
      </c>
      <c r="AQ4007" s="352"/>
      <c r="AR4007" s="352"/>
      <c r="AS4007" s="352"/>
      <c r="AT4007" s="352"/>
      <c r="AU4007" s="352"/>
      <c r="AV4007" s="352"/>
      <c r="AW4007" s="352" t="s">
        <v>127</v>
      </c>
    </row>
    <row r="4008" spans="2:49" x14ac:dyDescent="0.2">
      <c r="B4008" s="460" t="s">
        <v>3532</v>
      </c>
      <c r="C4008" s="460">
        <v>8000</v>
      </c>
      <c r="D4008" s="460" t="s">
        <v>3492</v>
      </c>
      <c r="E4008" s="460" t="s">
        <v>1137</v>
      </c>
      <c r="F4008" s="460">
        <v>2</v>
      </c>
      <c r="G4008" s="460">
        <v>4</v>
      </c>
      <c r="H4008" s="460" t="s">
        <v>754</v>
      </c>
      <c r="I4008" s="460" t="s">
        <v>1991</v>
      </c>
      <c r="J4008" s="460" t="s">
        <v>754</v>
      </c>
      <c r="K4008" s="108"/>
      <c r="L4008" s="108"/>
      <c r="M4008" s="352">
        <v>8000</v>
      </c>
      <c r="N4008" s="352" t="s">
        <v>760</v>
      </c>
      <c r="O4008" s="460">
        <v>5321</v>
      </c>
      <c r="P4008" s="460" t="s">
        <v>760</v>
      </c>
      <c r="Q4008" s="460" t="s">
        <v>3478</v>
      </c>
      <c r="R4008" s="460">
        <v>5321</v>
      </c>
      <c r="S4008" s="460" t="s">
        <v>1137</v>
      </c>
      <c r="T4008" s="462">
        <v>1</v>
      </c>
      <c r="U4008" s="460" t="s">
        <v>1137</v>
      </c>
      <c r="V4008" s="475">
        <v>0</v>
      </c>
      <c r="W4008" s="463" t="s">
        <v>2278</v>
      </c>
      <c r="X4008" s="463" t="s">
        <v>2278</v>
      </c>
      <c r="Y4008" s="463" t="s">
        <v>2278</v>
      </c>
      <c r="Z4008" s="463"/>
      <c r="AA4008" s="463"/>
      <c r="AB4008" s="484">
        <v>3507.6271364016438</v>
      </c>
      <c r="AC4008" s="465">
        <v>5.6779449765799725E-2</v>
      </c>
      <c r="AD4008" s="465">
        <v>0.64489769804489638</v>
      </c>
      <c r="AE4008" s="485">
        <v>3507.6271364016438</v>
      </c>
      <c r="AF4008" s="467">
        <v>5.6779449765799725E-2</v>
      </c>
      <c r="AG4008" s="468">
        <v>0.64489769804489638</v>
      </c>
      <c r="AH4008" s="485">
        <v>3507.6271364016438</v>
      </c>
      <c r="AI4008" s="470">
        <v>5.6779449765799725E-2</v>
      </c>
      <c r="AJ4008" s="471">
        <v>0.64489769804489638</v>
      </c>
      <c r="AK4008" s="486">
        <v>3507.6271364016438</v>
      </c>
      <c r="AL4008" s="470">
        <v>5.6779449765799725E-2</v>
      </c>
      <c r="AM4008" s="471">
        <v>0.64489769804489638</v>
      </c>
      <c r="AN4008" s="487">
        <v>3507.6271364016438</v>
      </c>
      <c r="AO4008" s="473">
        <v>5.6779449765799725E-2</v>
      </c>
      <c r="AP4008" s="474">
        <v>0.64489769804489638</v>
      </c>
      <c r="AQ4008" s="352"/>
      <c r="AR4008" s="352"/>
      <c r="AS4008" s="352"/>
      <c r="AT4008" s="352"/>
      <c r="AU4008" s="352"/>
      <c r="AV4008" s="352"/>
      <c r="AW4008" s="352" t="s">
        <v>127</v>
      </c>
    </row>
    <row r="4009" spans="2:49" x14ac:dyDescent="0.2">
      <c r="B4009" s="460" t="s">
        <v>3533</v>
      </c>
      <c r="C4009" s="460">
        <v>8000</v>
      </c>
      <c r="D4009" s="460" t="s">
        <v>3493</v>
      </c>
      <c r="E4009" s="460" t="s">
        <v>1138</v>
      </c>
      <c r="F4009" s="460">
        <v>3</v>
      </c>
      <c r="G4009" s="460">
        <v>4</v>
      </c>
      <c r="H4009" s="460" t="s">
        <v>754</v>
      </c>
      <c r="I4009" s="460" t="s">
        <v>1991</v>
      </c>
      <c r="J4009" s="460" t="s">
        <v>754</v>
      </c>
      <c r="K4009" s="108"/>
      <c r="L4009" s="108"/>
      <c r="M4009" s="352">
        <v>8000</v>
      </c>
      <c r="N4009" s="352" t="s">
        <v>760</v>
      </c>
      <c r="O4009" s="460">
        <v>5321</v>
      </c>
      <c r="P4009" s="460" t="s">
        <v>760</v>
      </c>
      <c r="Q4009" s="460" t="s">
        <v>3478</v>
      </c>
      <c r="R4009" s="460">
        <v>5321</v>
      </c>
      <c r="S4009" s="460" t="s">
        <v>1138</v>
      </c>
      <c r="T4009" s="462">
        <v>1</v>
      </c>
      <c r="U4009" s="460" t="s">
        <v>1138</v>
      </c>
      <c r="V4009" s="475">
        <v>0</v>
      </c>
      <c r="W4009" s="463" t="s">
        <v>2278</v>
      </c>
      <c r="X4009" s="463" t="s">
        <v>2278</v>
      </c>
      <c r="Y4009" s="463" t="s">
        <v>2278</v>
      </c>
      <c r="Z4009" s="463"/>
      <c r="AA4009" s="463"/>
      <c r="AB4009" s="484">
        <v>1863.769585295661</v>
      </c>
      <c r="AC4009" s="465">
        <v>6.7853358581859299E-2</v>
      </c>
      <c r="AD4009" s="465">
        <v>0.75636768619039163</v>
      </c>
      <c r="AE4009" s="485">
        <v>1863.769585295661</v>
      </c>
      <c r="AF4009" s="467">
        <v>6.7853358581859299E-2</v>
      </c>
      <c r="AG4009" s="468">
        <v>0.75636768619039163</v>
      </c>
      <c r="AH4009" s="485">
        <v>1863.769585295661</v>
      </c>
      <c r="AI4009" s="470">
        <v>6.7853358581859299E-2</v>
      </c>
      <c r="AJ4009" s="471">
        <v>0.75636768619039163</v>
      </c>
      <c r="AK4009" s="486">
        <v>1863.769585295661</v>
      </c>
      <c r="AL4009" s="470">
        <v>6.7853358581859299E-2</v>
      </c>
      <c r="AM4009" s="471">
        <v>0.75636768619039163</v>
      </c>
      <c r="AN4009" s="487">
        <v>1863.769585295661</v>
      </c>
      <c r="AO4009" s="473">
        <v>6.7853358581859299E-2</v>
      </c>
      <c r="AP4009" s="474">
        <v>0.75636768619039163</v>
      </c>
      <c r="AQ4009" s="352"/>
      <c r="AR4009" s="352"/>
      <c r="AS4009" s="352"/>
      <c r="AT4009" s="352"/>
      <c r="AU4009" s="352"/>
      <c r="AV4009" s="352"/>
      <c r="AW4009" s="352" t="s">
        <v>127</v>
      </c>
    </row>
    <row r="4010" spans="2:49" x14ac:dyDescent="0.2">
      <c r="B4010" s="460" t="s">
        <v>3534</v>
      </c>
      <c r="C4010" s="460">
        <v>8000</v>
      </c>
      <c r="D4010" s="460" t="s">
        <v>3494</v>
      </c>
      <c r="E4010" s="460" t="s">
        <v>1139</v>
      </c>
      <c r="F4010" s="460">
        <v>4</v>
      </c>
      <c r="G4010" s="460">
        <v>4</v>
      </c>
      <c r="H4010" s="460" t="s">
        <v>754</v>
      </c>
      <c r="I4010" s="460" t="s">
        <v>1991</v>
      </c>
      <c r="J4010" s="460" t="s">
        <v>754</v>
      </c>
      <c r="K4010" s="108"/>
      <c r="L4010" s="108"/>
      <c r="M4010" s="352">
        <v>8000</v>
      </c>
      <c r="N4010" s="352" t="s">
        <v>760</v>
      </c>
      <c r="O4010" s="460">
        <v>5321</v>
      </c>
      <c r="P4010" s="460" t="s">
        <v>760</v>
      </c>
      <c r="Q4010" s="460" t="s">
        <v>3478</v>
      </c>
      <c r="R4010" s="460">
        <v>5321</v>
      </c>
      <c r="S4010" s="460" t="s">
        <v>1139</v>
      </c>
      <c r="T4010" s="462">
        <v>1</v>
      </c>
      <c r="U4010" s="460" t="s">
        <v>1139</v>
      </c>
      <c r="V4010" s="475">
        <v>0</v>
      </c>
      <c r="W4010" s="463" t="s">
        <v>2278</v>
      </c>
      <c r="X4010" s="463" t="s">
        <v>2278</v>
      </c>
      <c r="Y4010" s="463" t="s">
        <v>2278</v>
      </c>
      <c r="Z4010" s="463"/>
      <c r="AA4010" s="463"/>
      <c r="AB4010" s="484">
        <v>1586.3528722912652</v>
      </c>
      <c r="AC4010" s="465">
        <v>5.2341384587393514E-2</v>
      </c>
      <c r="AD4010" s="465">
        <v>0.27618521063787971</v>
      </c>
      <c r="AE4010" s="485">
        <v>1586.3528722912652</v>
      </c>
      <c r="AF4010" s="467">
        <v>5.2341384587393514E-2</v>
      </c>
      <c r="AG4010" s="468">
        <v>0.27618521063787971</v>
      </c>
      <c r="AH4010" s="485">
        <v>1586.3528722912652</v>
      </c>
      <c r="AI4010" s="470">
        <v>5.2341384587393514E-2</v>
      </c>
      <c r="AJ4010" s="471">
        <v>0.27618521063787971</v>
      </c>
      <c r="AK4010" s="486">
        <v>1586.3528722912652</v>
      </c>
      <c r="AL4010" s="470">
        <v>5.2341384587393514E-2</v>
      </c>
      <c r="AM4010" s="471">
        <v>0.27618521063787971</v>
      </c>
      <c r="AN4010" s="487">
        <v>1586.3528722912652</v>
      </c>
      <c r="AO4010" s="473">
        <v>5.2341384587393514E-2</v>
      </c>
      <c r="AP4010" s="474">
        <v>0.27618521063787971</v>
      </c>
      <c r="AQ4010" s="352"/>
      <c r="AR4010" s="352"/>
      <c r="AS4010" s="352"/>
      <c r="AT4010" s="352"/>
      <c r="AU4010" s="352"/>
      <c r="AV4010" s="352"/>
      <c r="AW4010" s="352" t="s">
        <v>127</v>
      </c>
    </row>
  </sheetData>
  <pageMargins left="0.7" right="0.7" top="0.75" bottom="0.75" header="0.3" footer="0.3"/>
  <pageSetup orientation="portrait" horizontalDpi="1200" verticalDpi="12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C7013-DC60-4B70-988C-D6D013C3036C}">
  <sheetPr>
    <tabColor theme="6"/>
  </sheetPr>
  <dimension ref="A1:X46"/>
  <sheetViews>
    <sheetView workbookViewId="0"/>
  </sheetViews>
  <sheetFormatPr defaultRowHeight="14.25" x14ac:dyDescent="0.2"/>
  <cols>
    <col min="1" max="1" width="10" customWidth="1"/>
    <col min="2" max="2" width="15.25" customWidth="1"/>
    <col min="3" max="5" width="6" customWidth="1"/>
    <col min="6" max="6" width="6" style="352" customWidth="1"/>
    <col min="7" max="7" width="42.625" bestFit="1" customWidth="1"/>
    <col min="8" max="8" width="24.125" bestFit="1" customWidth="1"/>
    <col min="9" max="9" width="18.75" bestFit="1" customWidth="1"/>
    <col min="10" max="17" width="13.625" customWidth="1"/>
    <col min="18" max="19" width="2.75" customWidth="1"/>
    <col min="21" max="21" width="14.5" customWidth="1"/>
    <col min="22" max="22" width="13.875" customWidth="1"/>
    <col min="23" max="23" width="17.125" customWidth="1"/>
  </cols>
  <sheetData>
    <row r="1" spans="1:24" ht="15" x14ac:dyDescent="0.25">
      <c r="A1" s="400" t="s">
        <v>1145</v>
      </c>
      <c r="B1" s="401"/>
      <c r="C1" s="401"/>
      <c r="D1" s="401"/>
      <c r="E1" s="401"/>
      <c r="F1" s="401"/>
      <c r="G1" s="401"/>
      <c r="H1" s="401"/>
      <c r="I1" s="401"/>
      <c r="J1" s="401"/>
      <c r="K1" s="401"/>
      <c r="L1" s="401"/>
      <c r="M1" s="401"/>
      <c r="N1" s="401"/>
      <c r="O1" s="401"/>
      <c r="P1" s="401"/>
      <c r="Q1" s="401"/>
      <c r="R1" s="401"/>
      <c r="S1" s="401"/>
      <c r="T1" s="401"/>
      <c r="U1" s="401"/>
      <c r="V1" s="401"/>
      <c r="W1" s="401"/>
    </row>
    <row r="2" spans="1:24" x14ac:dyDescent="0.2">
      <c r="A2" s="401" t="s">
        <v>1146</v>
      </c>
      <c r="B2" s="401"/>
      <c r="C2" s="401"/>
      <c r="D2" s="401"/>
      <c r="E2" s="401"/>
      <c r="F2" s="401"/>
      <c r="G2" s="401"/>
      <c r="H2" s="401"/>
      <c r="I2" s="401"/>
      <c r="J2" s="401"/>
      <c r="K2" s="401"/>
      <c r="L2" s="401"/>
      <c r="M2" s="401"/>
      <c r="N2" s="401"/>
      <c r="O2" s="401"/>
      <c r="P2" s="401"/>
      <c r="Q2" s="401"/>
      <c r="R2" s="401"/>
      <c r="S2" s="401"/>
      <c r="T2" s="401"/>
      <c r="U2" s="401"/>
      <c r="V2" s="401"/>
      <c r="W2" s="401"/>
    </row>
    <row r="3" spans="1:24" x14ac:dyDescent="0.2">
      <c r="A3" s="352" t="s">
        <v>138</v>
      </c>
      <c r="B3" s="352" t="s">
        <v>2216</v>
      </c>
      <c r="C3" s="352"/>
      <c r="D3" s="352"/>
      <c r="E3" s="352"/>
      <c r="G3" s="352"/>
      <c r="H3" s="352"/>
      <c r="I3" s="352"/>
      <c r="J3" s="352"/>
      <c r="K3" s="352"/>
      <c r="L3" s="352"/>
      <c r="M3" s="352"/>
      <c r="N3" s="352"/>
      <c r="O3" s="352"/>
      <c r="P3" s="352"/>
      <c r="Q3" s="352"/>
      <c r="R3" s="352"/>
      <c r="S3" s="352"/>
      <c r="T3" s="352"/>
      <c r="U3" s="352"/>
      <c r="V3" s="352"/>
      <c r="W3" s="352"/>
    </row>
    <row r="4" spans="1:24" x14ac:dyDescent="0.2">
      <c r="A4" s="352" t="s">
        <v>1133</v>
      </c>
      <c r="B4" s="402">
        <v>43986.604831828707</v>
      </c>
      <c r="C4" s="352"/>
      <c r="D4" s="352"/>
      <c r="E4" s="352"/>
      <c r="G4" s="352"/>
      <c r="H4" s="352"/>
      <c r="I4" s="352"/>
      <c r="J4" s="352"/>
      <c r="K4" s="352"/>
      <c r="L4" s="352"/>
      <c r="M4" s="352"/>
      <c r="N4" s="352"/>
      <c r="O4" s="352"/>
      <c r="P4" s="352"/>
      <c r="Q4" s="352"/>
      <c r="R4" s="352"/>
      <c r="S4" s="352"/>
      <c r="T4" s="352"/>
      <c r="U4" s="352"/>
      <c r="V4" s="352"/>
      <c r="W4" s="352"/>
    </row>
    <row r="5" spans="1:24" x14ac:dyDescent="0.2">
      <c r="A5" s="352" t="s">
        <v>1134</v>
      </c>
      <c r="B5" s="352"/>
      <c r="C5" s="352"/>
      <c r="D5" s="352"/>
      <c r="E5" s="352"/>
      <c r="G5" s="352"/>
      <c r="H5" s="352"/>
      <c r="I5" s="352"/>
      <c r="J5" s="352"/>
      <c r="K5" s="352"/>
      <c r="L5" s="352"/>
      <c r="M5" s="352"/>
      <c r="N5" s="352"/>
      <c r="O5" s="352"/>
      <c r="P5" s="352"/>
      <c r="Q5" s="352"/>
      <c r="R5" s="352"/>
      <c r="S5" s="352"/>
      <c r="T5" s="352"/>
      <c r="U5" s="352"/>
      <c r="V5" s="352"/>
      <c r="W5" s="352"/>
    </row>
    <row r="6" spans="1:24" x14ac:dyDescent="0.2">
      <c r="A6" s="352"/>
      <c r="B6" s="352"/>
      <c r="C6" s="352" t="s">
        <v>1147</v>
      </c>
      <c r="D6" s="352"/>
      <c r="E6" s="352"/>
      <c r="G6" s="352"/>
      <c r="H6" s="352"/>
      <c r="I6" s="352"/>
      <c r="J6" s="352"/>
      <c r="K6" s="352"/>
      <c r="L6" s="352"/>
      <c r="M6" s="352"/>
      <c r="N6" s="352"/>
      <c r="O6" s="352"/>
      <c r="P6" s="352"/>
      <c r="Q6" s="352"/>
      <c r="R6" s="352"/>
      <c r="S6" s="352"/>
      <c r="T6" s="352"/>
      <c r="U6" s="352"/>
      <c r="V6" s="352"/>
      <c r="W6" s="352"/>
      <c r="X6" s="352"/>
    </row>
    <row r="7" spans="1:24" ht="45" x14ac:dyDescent="0.25">
      <c r="A7" s="352"/>
      <c r="B7" s="352"/>
      <c r="C7" s="352" t="s">
        <v>877</v>
      </c>
      <c r="D7" s="352" t="s">
        <v>869</v>
      </c>
      <c r="E7" s="403" t="s">
        <v>692</v>
      </c>
      <c r="F7" s="411" t="s">
        <v>1176</v>
      </c>
      <c r="G7" s="352" t="s">
        <v>868</v>
      </c>
      <c r="H7" s="403" t="s">
        <v>693</v>
      </c>
      <c r="I7" s="221" t="s">
        <v>1148</v>
      </c>
      <c r="J7" s="221" t="s">
        <v>1149</v>
      </c>
      <c r="K7" s="221" t="s">
        <v>1150</v>
      </c>
      <c r="L7" s="221" t="s">
        <v>1151</v>
      </c>
      <c r="M7" s="221" t="s">
        <v>1152</v>
      </c>
      <c r="N7" s="221" t="s">
        <v>1153</v>
      </c>
      <c r="O7" s="221" t="s">
        <v>1154</v>
      </c>
      <c r="P7" s="221" t="s">
        <v>1155</v>
      </c>
      <c r="Q7" s="221" t="s">
        <v>1156</v>
      </c>
      <c r="R7" s="352"/>
      <c r="S7" s="352"/>
      <c r="T7" s="352"/>
      <c r="U7" s="352"/>
      <c r="V7" s="352"/>
      <c r="W7" s="352"/>
      <c r="X7" s="352"/>
    </row>
    <row r="8" spans="1:24" hidden="1" x14ac:dyDescent="0.2">
      <c r="A8" s="352"/>
      <c r="B8" s="352"/>
      <c r="C8" s="404" t="s">
        <v>876</v>
      </c>
      <c r="D8" s="404" t="s">
        <v>706</v>
      </c>
      <c r="E8" s="404" t="s">
        <v>700</v>
      </c>
      <c r="F8" s="404" t="s">
        <v>706</v>
      </c>
      <c r="G8" s="404" t="s">
        <v>1992</v>
      </c>
      <c r="H8" s="404" t="s">
        <v>872</v>
      </c>
      <c r="I8" s="405">
        <v>119577.1307510717</v>
      </c>
      <c r="J8" s="406">
        <v>0.12207456574829204</v>
      </c>
      <c r="K8" s="405">
        <v>99718.841225467768</v>
      </c>
      <c r="L8" s="405">
        <v>2295.653419327673</v>
      </c>
      <c r="M8" s="405">
        <v>102014.49464479544</v>
      </c>
      <c r="N8" s="407">
        <v>0.97749679173218551</v>
      </c>
      <c r="O8" s="407">
        <v>2.2503208267814441E-2</v>
      </c>
      <c r="P8" s="405">
        <v>17562.63610627623</v>
      </c>
      <c r="Q8" s="408">
        <v>0.14687286771278232</v>
      </c>
      <c r="R8" s="352"/>
      <c r="S8" s="352"/>
      <c r="T8" s="352"/>
      <c r="U8" s="352"/>
      <c r="V8" s="352"/>
      <c r="W8" s="352"/>
      <c r="X8" s="352"/>
    </row>
    <row r="9" spans="1:24" hidden="1" x14ac:dyDescent="0.2">
      <c r="A9" s="352"/>
      <c r="B9" s="352"/>
      <c r="C9" s="404" t="s">
        <v>876</v>
      </c>
      <c r="D9" s="404" t="s">
        <v>712</v>
      </c>
      <c r="E9" s="404" t="s">
        <v>700</v>
      </c>
      <c r="F9" s="404" t="s">
        <v>712</v>
      </c>
      <c r="G9" s="404" t="s">
        <v>1993</v>
      </c>
      <c r="H9" s="404" t="s">
        <v>872</v>
      </c>
      <c r="I9" s="251">
        <v>209456.99037383424</v>
      </c>
      <c r="J9" s="408">
        <v>0.12619944624685736</v>
      </c>
      <c r="K9" s="409">
        <v>173321.84662345695</v>
      </c>
      <c r="L9" s="251">
        <v>4341.7924459285368</v>
      </c>
      <c r="M9" s="251">
        <v>177663.63906938548</v>
      </c>
      <c r="N9" s="407">
        <v>0.97556172738174707</v>
      </c>
      <c r="O9" s="407">
        <v>2.4438272618252942E-2</v>
      </c>
      <c r="P9" s="251">
        <v>31793.351304448734</v>
      </c>
      <c r="Q9" s="408">
        <v>0.15178940195648116</v>
      </c>
      <c r="R9" s="352"/>
      <c r="S9" s="352"/>
      <c r="T9" s="352"/>
      <c r="U9" s="352"/>
      <c r="V9" s="352"/>
      <c r="W9" s="352"/>
      <c r="X9" s="352"/>
    </row>
    <row r="10" spans="1:24" hidden="1" x14ac:dyDescent="0.2">
      <c r="A10" s="352"/>
      <c r="B10" s="352"/>
      <c r="C10" s="404" t="s">
        <v>876</v>
      </c>
      <c r="D10" s="404" t="s">
        <v>719</v>
      </c>
      <c r="E10" s="404" t="s">
        <v>700</v>
      </c>
      <c r="F10" s="404" t="s">
        <v>719</v>
      </c>
      <c r="G10" s="404" t="s">
        <v>1994</v>
      </c>
      <c r="H10" s="404" t="s">
        <v>872</v>
      </c>
      <c r="I10" s="251">
        <v>133314.99022292712</v>
      </c>
      <c r="J10" s="408">
        <v>0.12467874109625453</v>
      </c>
      <c r="K10" s="409">
        <v>111204.6899014907</v>
      </c>
      <c r="L10" s="251">
        <v>2726.3173255246033</v>
      </c>
      <c r="M10" s="251">
        <v>113931.0072270153</v>
      </c>
      <c r="N10" s="407">
        <v>0.97607045358519273</v>
      </c>
      <c r="O10" s="407">
        <v>2.3929546414807254E-2</v>
      </c>
      <c r="P10" s="251">
        <v>19383.982995911792</v>
      </c>
      <c r="Q10" s="408">
        <v>0.14539987561412424</v>
      </c>
      <c r="R10" s="352"/>
      <c r="S10" s="352"/>
      <c r="T10" s="352"/>
      <c r="U10" s="352"/>
      <c r="V10" s="352"/>
      <c r="W10" s="352"/>
      <c r="X10" s="352"/>
    </row>
    <row r="11" spans="1:24" hidden="1" x14ac:dyDescent="0.2">
      <c r="A11" s="352"/>
      <c r="B11" s="352"/>
      <c r="C11" s="404" t="s">
        <v>876</v>
      </c>
      <c r="D11" s="404" t="s">
        <v>719</v>
      </c>
      <c r="E11" s="404" t="s">
        <v>706</v>
      </c>
      <c r="F11" s="404" t="s">
        <v>719</v>
      </c>
      <c r="G11" s="404" t="s">
        <v>1994</v>
      </c>
      <c r="H11" s="404" t="s">
        <v>707</v>
      </c>
      <c r="I11" s="251">
        <v>22823.288497576581</v>
      </c>
      <c r="J11" s="408">
        <v>0</v>
      </c>
      <c r="K11" s="409">
        <v>22823.288497576581</v>
      </c>
      <c r="L11" s="251">
        <v>0</v>
      </c>
      <c r="M11" s="251">
        <v>22823.288497576581</v>
      </c>
      <c r="N11" s="407">
        <v>1</v>
      </c>
      <c r="O11" s="407">
        <v>0</v>
      </c>
      <c r="P11" s="251">
        <v>0</v>
      </c>
      <c r="Q11" s="408">
        <v>0</v>
      </c>
      <c r="R11" s="352"/>
      <c r="S11" s="352"/>
      <c r="T11" s="352"/>
      <c r="U11" s="352"/>
      <c r="V11" s="352"/>
      <c r="W11" s="352"/>
      <c r="X11" s="352"/>
    </row>
    <row r="12" spans="1:24" hidden="1" x14ac:dyDescent="0.2">
      <c r="A12" s="352"/>
      <c r="B12" s="352"/>
      <c r="C12" s="404" t="s">
        <v>876</v>
      </c>
      <c r="D12" s="404" t="s">
        <v>757</v>
      </c>
      <c r="E12" s="404" t="s">
        <v>706</v>
      </c>
      <c r="F12" s="404" t="s">
        <v>757</v>
      </c>
      <c r="G12" s="404" t="s">
        <v>2000</v>
      </c>
      <c r="H12" s="404" t="s">
        <v>707</v>
      </c>
      <c r="I12" s="251">
        <v>35724.526322073361</v>
      </c>
      <c r="J12" s="408">
        <v>2.149962079064371E-3</v>
      </c>
      <c r="K12" s="409">
        <v>35647.719945188364</v>
      </c>
      <c r="L12" s="251">
        <v>0</v>
      </c>
      <c r="M12" s="251">
        <v>35647.719945188364</v>
      </c>
      <c r="N12" s="407">
        <v>1</v>
      </c>
      <c r="O12" s="407">
        <v>0</v>
      </c>
      <c r="P12" s="251">
        <v>76.806376884994691</v>
      </c>
      <c r="Q12" s="408">
        <v>2.149962079064371E-3</v>
      </c>
      <c r="R12" s="352"/>
      <c r="S12" s="352"/>
      <c r="T12" s="352"/>
      <c r="U12" s="352"/>
      <c r="V12" s="352"/>
      <c r="W12" s="352"/>
      <c r="X12" s="352"/>
    </row>
    <row r="13" spans="1:24" hidden="1" x14ac:dyDescent="0.2">
      <c r="A13" s="352"/>
      <c r="B13" s="352"/>
      <c r="C13" s="404" t="s">
        <v>876</v>
      </c>
      <c r="D13" s="404" t="s">
        <v>757</v>
      </c>
      <c r="E13" s="404" t="s">
        <v>759</v>
      </c>
      <c r="F13" s="404" t="s">
        <v>757</v>
      </c>
      <c r="G13" s="404" t="s">
        <v>2000</v>
      </c>
      <c r="H13" s="404" t="s">
        <v>1157</v>
      </c>
      <c r="I13" s="251">
        <v>22823.288497576581</v>
      </c>
      <c r="J13" s="408">
        <v>2.2121519299552754E-3</v>
      </c>
      <c r="K13" s="409">
        <v>22772.799915878742</v>
      </c>
      <c r="L13" s="251">
        <v>0</v>
      </c>
      <c r="M13" s="251">
        <v>22772.799915878742</v>
      </c>
      <c r="N13" s="407">
        <v>1</v>
      </c>
      <c r="O13" s="407">
        <v>0</v>
      </c>
      <c r="P13" s="251">
        <v>50.488581697840075</v>
      </c>
      <c r="Q13" s="408">
        <v>2.2121519299552754E-3</v>
      </c>
      <c r="R13" s="352"/>
      <c r="S13" s="352"/>
      <c r="T13" s="352"/>
      <c r="U13" s="352"/>
      <c r="V13" s="352"/>
      <c r="W13" s="352"/>
      <c r="X13" s="352"/>
    </row>
    <row r="14" spans="1:24" hidden="1" x14ac:dyDescent="0.2">
      <c r="A14" s="352"/>
      <c r="B14" s="352"/>
      <c r="C14" s="404" t="s">
        <v>876</v>
      </c>
      <c r="D14" s="404" t="s">
        <v>754</v>
      </c>
      <c r="E14" s="404" t="s">
        <v>750</v>
      </c>
      <c r="F14" s="404" t="s">
        <v>754</v>
      </c>
      <c r="G14" s="404" t="s">
        <v>1999</v>
      </c>
      <c r="H14" s="404" t="s">
        <v>963</v>
      </c>
      <c r="I14" s="251">
        <v>24050.323138516822</v>
      </c>
      <c r="J14" s="408">
        <v>0</v>
      </c>
      <c r="K14" s="409">
        <v>24050.323138516822</v>
      </c>
      <c r="L14" s="251">
        <v>0</v>
      </c>
      <c r="M14" s="251">
        <v>24050.323138516822</v>
      </c>
      <c r="N14" s="407">
        <v>1</v>
      </c>
      <c r="O14" s="407">
        <v>0</v>
      </c>
      <c r="P14" s="251">
        <v>0</v>
      </c>
      <c r="Q14" s="408">
        <v>0</v>
      </c>
      <c r="R14" s="352"/>
      <c r="S14" s="352"/>
      <c r="T14" s="352"/>
      <c r="U14" s="352"/>
      <c r="V14" s="352"/>
      <c r="W14" s="352"/>
      <c r="X14" s="352"/>
    </row>
    <row r="15" spans="1:24" hidden="1" x14ac:dyDescent="0.2">
      <c r="A15" s="352"/>
      <c r="B15" s="352"/>
      <c r="C15" s="404" t="s">
        <v>876</v>
      </c>
      <c r="D15" s="404" t="s">
        <v>754</v>
      </c>
      <c r="E15" s="404" t="s">
        <v>752</v>
      </c>
      <c r="F15" s="404" t="s">
        <v>754</v>
      </c>
      <c r="G15" s="404" t="s">
        <v>1999</v>
      </c>
      <c r="H15" s="404" t="s">
        <v>964</v>
      </c>
      <c r="I15" s="251">
        <v>47674.010754196308</v>
      </c>
      <c r="J15" s="408">
        <v>8.6476349545566678E-4</v>
      </c>
      <c r="K15" s="409">
        <v>47632.784010014118</v>
      </c>
      <c r="L15" s="251">
        <v>0</v>
      </c>
      <c r="M15" s="251">
        <v>47632.784010014118</v>
      </c>
      <c r="N15" s="407">
        <v>1</v>
      </c>
      <c r="O15" s="407">
        <v>0</v>
      </c>
      <c r="P15" s="251">
        <v>41.226744182189847</v>
      </c>
      <c r="Q15" s="408">
        <v>8.6476349545566678E-4</v>
      </c>
      <c r="R15" s="352"/>
      <c r="S15" s="352"/>
      <c r="T15" s="352"/>
      <c r="U15" s="352"/>
      <c r="V15" s="352"/>
      <c r="W15" s="352"/>
      <c r="X15" s="352"/>
    </row>
    <row r="16" spans="1:24" hidden="1" x14ac:dyDescent="0.2">
      <c r="A16" s="352"/>
      <c r="B16" s="352"/>
      <c r="C16" s="404" t="s">
        <v>875</v>
      </c>
      <c r="D16" s="404" t="s">
        <v>706</v>
      </c>
      <c r="E16" s="404" t="s">
        <v>700</v>
      </c>
      <c r="F16" s="404" t="s">
        <v>706</v>
      </c>
      <c r="G16" s="404" t="s">
        <v>1992</v>
      </c>
      <c r="H16" s="404" t="s">
        <v>872</v>
      </c>
      <c r="I16" s="251">
        <v>110340.66021378172</v>
      </c>
      <c r="J16" s="408">
        <v>6.9410892844201225E-2</v>
      </c>
      <c r="K16" s="409">
        <v>97858.276618936594</v>
      </c>
      <c r="L16" s="251">
        <v>1216.8302200348965</v>
      </c>
      <c r="M16" s="251">
        <v>99075.106838971493</v>
      </c>
      <c r="N16" s="407">
        <v>0.98771810337774724</v>
      </c>
      <c r="O16" s="407">
        <v>1.2281896622252772E-2</v>
      </c>
      <c r="P16" s="251">
        <v>11265.55337481023</v>
      </c>
      <c r="Q16" s="408">
        <v>0.10209793337273457</v>
      </c>
      <c r="R16" s="352"/>
      <c r="S16" s="352"/>
      <c r="T16" s="352"/>
      <c r="U16" s="352"/>
      <c r="V16" s="352"/>
      <c r="W16" s="352"/>
      <c r="X16" s="352"/>
    </row>
    <row r="17" spans="1:24" hidden="1" x14ac:dyDescent="0.2">
      <c r="A17" s="352"/>
      <c r="B17" s="352"/>
      <c r="C17" s="404" t="s">
        <v>875</v>
      </c>
      <c r="D17" s="404" t="s">
        <v>712</v>
      </c>
      <c r="E17" s="404" t="s">
        <v>700</v>
      </c>
      <c r="F17" s="404" t="s">
        <v>712</v>
      </c>
      <c r="G17" s="404" t="s">
        <v>1993</v>
      </c>
      <c r="H17" s="404" t="s">
        <v>872</v>
      </c>
      <c r="I17" s="251">
        <v>194880.34022933262</v>
      </c>
      <c r="J17" s="408">
        <v>7.0819601502466689E-2</v>
      </c>
      <c r="K17" s="409">
        <v>172251.61188644145</v>
      </c>
      <c r="L17" s="251">
        <v>2247.4544365923721</v>
      </c>
      <c r="M17" s="251">
        <v>174499.06632303383</v>
      </c>
      <c r="N17" s="407">
        <v>0.98712053603523653</v>
      </c>
      <c r="O17" s="407">
        <v>1.2879463964763397E-2</v>
      </c>
      <c r="P17" s="251">
        <v>20381.273906298826</v>
      </c>
      <c r="Q17" s="408">
        <v>0.10458352998724453</v>
      </c>
      <c r="R17" s="352"/>
      <c r="S17" s="352"/>
      <c r="T17" s="352"/>
      <c r="U17" s="352"/>
      <c r="V17" s="352"/>
      <c r="W17" s="352"/>
      <c r="X17" s="352"/>
    </row>
    <row r="18" spans="1:24" hidden="1" x14ac:dyDescent="0.2">
      <c r="A18" s="352"/>
      <c r="B18" s="352"/>
      <c r="C18" s="404" t="s">
        <v>875</v>
      </c>
      <c r="D18" s="404" t="s">
        <v>719</v>
      </c>
      <c r="E18" s="404" t="s">
        <v>700</v>
      </c>
      <c r="F18" s="404" t="s">
        <v>719</v>
      </c>
      <c r="G18" s="404" t="s">
        <v>1994</v>
      </c>
      <c r="H18" s="404" t="s">
        <v>872</v>
      </c>
      <c r="I18" s="251">
        <v>123700.40656218091</v>
      </c>
      <c r="J18" s="408">
        <v>6.9940356508448084E-2</v>
      </c>
      <c r="K18" s="409">
        <v>109997.97969601137</v>
      </c>
      <c r="L18" s="251">
        <v>1366.3997910744511</v>
      </c>
      <c r="M18" s="251">
        <v>111364.37948708583</v>
      </c>
      <c r="N18" s="407">
        <v>0.98773036946492476</v>
      </c>
      <c r="O18" s="407">
        <v>1.2269630535075205E-2</v>
      </c>
      <c r="P18" s="251">
        <v>12336.027075095051</v>
      </c>
      <c r="Q18" s="408">
        <v>9.9725032584222412E-2</v>
      </c>
      <c r="R18" s="352"/>
      <c r="S18" s="352"/>
      <c r="T18" s="352"/>
      <c r="U18" s="352"/>
      <c r="V18" s="352"/>
      <c r="W18" s="352"/>
      <c r="X18" s="352"/>
    </row>
    <row r="19" spans="1:24" hidden="1" x14ac:dyDescent="0.2">
      <c r="A19" s="352"/>
      <c r="B19" s="352"/>
      <c r="C19" s="404" t="s">
        <v>875</v>
      </c>
      <c r="D19" s="404" t="s">
        <v>757</v>
      </c>
      <c r="E19" s="404" t="s">
        <v>706</v>
      </c>
      <c r="F19" s="404" t="s">
        <v>757</v>
      </c>
      <c r="G19" s="404" t="s">
        <v>2000</v>
      </c>
      <c r="H19" s="404" t="s">
        <v>707</v>
      </c>
      <c r="I19" s="251">
        <v>35724.526322073361</v>
      </c>
      <c r="J19" s="408">
        <v>2.149962079064371E-3</v>
      </c>
      <c r="K19" s="409">
        <v>35647.719945188364</v>
      </c>
      <c r="L19" s="251">
        <v>0</v>
      </c>
      <c r="M19" s="251">
        <v>35647.719945188364</v>
      </c>
      <c r="N19" s="407">
        <v>1</v>
      </c>
      <c r="O19" s="407">
        <v>0</v>
      </c>
      <c r="P19" s="251">
        <v>76.806376884994691</v>
      </c>
      <c r="Q19" s="408">
        <v>2.149962079064371E-3</v>
      </c>
      <c r="R19" s="352"/>
      <c r="S19" s="352"/>
      <c r="T19" s="352"/>
      <c r="U19" s="352"/>
      <c r="V19" s="352"/>
      <c r="W19" s="352"/>
      <c r="X19" s="352"/>
    </row>
    <row r="20" spans="1:24" hidden="1" x14ac:dyDescent="0.2">
      <c r="A20" s="352"/>
      <c r="B20" s="352"/>
      <c r="C20" s="404" t="s">
        <v>875</v>
      </c>
      <c r="D20" s="404" t="s">
        <v>757</v>
      </c>
      <c r="E20" s="404" t="s">
        <v>759</v>
      </c>
      <c r="F20" s="404" t="s">
        <v>757</v>
      </c>
      <c r="G20" s="404" t="s">
        <v>2000</v>
      </c>
      <c r="H20" s="404" t="s">
        <v>1157</v>
      </c>
      <c r="I20" s="251">
        <v>22823.288497576581</v>
      </c>
      <c r="J20" s="408">
        <v>2.2121519299552754E-3</v>
      </c>
      <c r="K20" s="409">
        <v>22772.799915878742</v>
      </c>
      <c r="L20" s="251">
        <v>0</v>
      </c>
      <c r="M20" s="251">
        <v>22772.799915878742</v>
      </c>
      <c r="N20" s="407">
        <v>1</v>
      </c>
      <c r="O20" s="407">
        <v>0</v>
      </c>
      <c r="P20" s="251">
        <v>50.488581697840075</v>
      </c>
      <c r="Q20" s="408">
        <v>2.2121519299552754E-3</v>
      </c>
      <c r="R20" s="352"/>
      <c r="S20" s="352"/>
      <c r="T20" s="352"/>
      <c r="U20" s="352"/>
      <c r="V20" s="352"/>
      <c r="W20" s="352"/>
    </row>
    <row r="21" spans="1:24" hidden="1" x14ac:dyDescent="0.2">
      <c r="A21" s="352"/>
      <c r="B21" s="352"/>
      <c r="C21" s="404" t="s">
        <v>875</v>
      </c>
      <c r="D21" s="404" t="s">
        <v>754</v>
      </c>
      <c r="E21" s="404" t="s">
        <v>750</v>
      </c>
      <c r="F21" s="404" t="s">
        <v>754</v>
      </c>
      <c r="G21" s="404" t="s">
        <v>1999</v>
      </c>
      <c r="H21" s="404" t="s">
        <v>963</v>
      </c>
      <c r="I21" s="251">
        <v>24050.323138516822</v>
      </c>
      <c r="J21" s="408">
        <v>0</v>
      </c>
      <c r="K21" s="409">
        <v>24050.323138516822</v>
      </c>
      <c r="L21" s="251">
        <v>0</v>
      </c>
      <c r="M21" s="251">
        <v>24050.323138516822</v>
      </c>
      <c r="N21" s="407">
        <v>1</v>
      </c>
      <c r="O21" s="407">
        <v>0</v>
      </c>
      <c r="P21" s="251">
        <v>0</v>
      </c>
      <c r="Q21" s="408">
        <v>0</v>
      </c>
      <c r="R21" s="352"/>
      <c r="S21" s="352"/>
      <c r="T21" s="352"/>
      <c r="U21" s="352"/>
      <c r="V21" s="352"/>
      <c r="W21" s="352"/>
    </row>
    <row r="22" spans="1:24" hidden="1" x14ac:dyDescent="0.2">
      <c r="A22" s="352"/>
      <c r="B22" s="352"/>
      <c r="C22" s="404" t="s">
        <v>875</v>
      </c>
      <c r="D22" s="404" t="s">
        <v>754</v>
      </c>
      <c r="E22" s="404" t="s">
        <v>752</v>
      </c>
      <c r="F22" s="404" t="s">
        <v>754</v>
      </c>
      <c r="G22" s="404" t="s">
        <v>1999</v>
      </c>
      <c r="H22" s="404" t="s">
        <v>964</v>
      </c>
      <c r="I22" s="251">
        <v>47674.010754196308</v>
      </c>
      <c r="J22" s="408">
        <v>8.6476349545566678E-4</v>
      </c>
      <c r="K22" s="409">
        <v>47632.784010014118</v>
      </c>
      <c r="L22" s="251">
        <v>0</v>
      </c>
      <c r="M22" s="251">
        <v>47632.784010014118</v>
      </c>
      <c r="N22" s="407">
        <v>1</v>
      </c>
      <c r="O22" s="407">
        <v>0</v>
      </c>
      <c r="P22" s="251">
        <v>41.226744182189847</v>
      </c>
      <c r="Q22" s="408">
        <v>8.6476349545566678E-4</v>
      </c>
      <c r="R22" s="352"/>
      <c r="S22" s="352"/>
      <c r="T22" s="352"/>
      <c r="U22" s="352"/>
      <c r="V22" s="352"/>
      <c r="W22" s="352"/>
    </row>
    <row r="23" spans="1:24" hidden="1" x14ac:dyDescent="0.2">
      <c r="A23" s="352"/>
      <c r="B23" s="352"/>
      <c r="C23" s="404" t="s">
        <v>874</v>
      </c>
      <c r="D23" s="404" t="s">
        <v>706</v>
      </c>
      <c r="E23" s="404" t="s">
        <v>700</v>
      </c>
      <c r="F23" s="404" t="s">
        <v>706</v>
      </c>
      <c r="G23" s="404" t="s">
        <v>1992</v>
      </c>
      <c r="H23" s="404" t="s">
        <v>872</v>
      </c>
      <c r="I23" s="251">
        <v>129262.24906831772</v>
      </c>
      <c r="J23" s="408">
        <v>6.9197931958517978E-2</v>
      </c>
      <c r="K23" s="409">
        <v>114577.83719090934</v>
      </c>
      <c r="L23" s="251">
        <v>2039.5227758264343</v>
      </c>
      <c r="M23" s="251">
        <v>116617.35996673578</v>
      </c>
      <c r="N23" s="407">
        <v>0.98251098484472466</v>
      </c>
      <c r="O23" s="407">
        <v>1.7489015155275275E-2</v>
      </c>
      <c r="P23" s="251">
        <v>12644.889101581899</v>
      </c>
      <c r="Q23" s="408">
        <v>9.7823526920832224E-2</v>
      </c>
      <c r="R23" s="352"/>
      <c r="S23" s="352"/>
      <c r="T23" s="352"/>
      <c r="U23" s="352"/>
      <c r="V23" s="352"/>
      <c r="W23" s="352"/>
    </row>
    <row r="24" spans="1:24" hidden="1" x14ac:dyDescent="0.2">
      <c r="A24" s="352"/>
      <c r="B24" s="352"/>
      <c r="C24" s="404" t="s">
        <v>874</v>
      </c>
      <c r="D24" s="404" t="s">
        <v>712</v>
      </c>
      <c r="E24" s="404" t="s">
        <v>700</v>
      </c>
      <c r="F24" s="404" t="s">
        <v>712</v>
      </c>
      <c r="G24" s="404" t="s">
        <v>1993</v>
      </c>
      <c r="H24" s="404" t="s">
        <v>872</v>
      </c>
      <c r="I24" s="251">
        <v>210339.70579271796</v>
      </c>
      <c r="J24" s="408">
        <v>6.7621812680255702E-2</v>
      </c>
      <c r="K24" s="409">
        <v>187315.55880710055</v>
      </c>
      <c r="L24" s="251">
        <v>3039.4891352125805</v>
      </c>
      <c r="M24" s="251">
        <v>190355.04794231313</v>
      </c>
      <c r="N24" s="407">
        <v>0.98403252675424868</v>
      </c>
      <c r="O24" s="407">
        <v>1.5967473245751245E-2</v>
      </c>
      <c r="P24" s="251">
        <v>19984.657850404994</v>
      </c>
      <c r="Q24" s="408">
        <v>9.5011342604515853E-2</v>
      </c>
      <c r="R24" s="352"/>
      <c r="S24" s="352"/>
      <c r="T24" s="352"/>
      <c r="U24" s="352"/>
      <c r="V24" s="352"/>
      <c r="W24" s="352"/>
    </row>
    <row r="25" spans="1:24" hidden="1" x14ac:dyDescent="0.2">
      <c r="A25" s="352"/>
      <c r="B25" s="352"/>
      <c r="C25" s="404" t="s">
        <v>874</v>
      </c>
      <c r="D25" s="404" t="s">
        <v>719</v>
      </c>
      <c r="E25" s="404" t="s">
        <v>700</v>
      </c>
      <c r="F25" s="404" t="s">
        <v>719</v>
      </c>
      <c r="G25" s="404" t="s">
        <v>1994</v>
      </c>
      <c r="H25" s="404" t="s">
        <v>872</v>
      </c>
      <c r="I25" s="251">
        <v>137234.69848781664</v>
      </c>
      <c r="J25" s="408">
        <v>7.1650699087273714E-2</v>
      </c>
      <c r="K25" s="409">
        <v>121586.3666478528</v>
      </c>
      <c r="L25" s="251">
        <v>2092.3870958458569</v>
      </c>
      <c r="M25" s="251">
        <v>123678.75374369866</v>
      </c>
      <c r="N25" s="407">
        <v>0.98308208133967823</v>
      </c>
      <c r="O25" s="407">
        <v>1.6917918660321742E-2</v>
      </c>
      <c r="P25" s="251">
        <v>13555.944744117973</v>
      </c>
      <c r="Q25" s="408">
        <v>9.8779280265780867E-2</v>
      </c>
      <c r="R25" s="352"/>
      <c r="S25" s="352"/>
      <c r="T25" s="352"/>
      <c r="U25" s="352"/>
      <c r="V25" s="352"/>
      <c r="W25" s="352"/>
    </row>
    <row r="26" spans="1:24" hidden="1" x14ac:dyDescent="0.2">
      <c r="A26" s="352"/>
      <c r="B26" s="352"/>
      <c r="C26" s="404" t="s">
        <v>874</v>
      </c>
      <c r="D26" s="404" t="s">
        <v>727</v>
      </c>
      <c r="E26" s="404" t="s">
        <v>757</v>
      </c>
      <c r="F26" s="404" t="s">
        <v>719</v>
      </c>
      <c r="G26" s="404" t="s">
        <v>1995</v>
      </c>
      <c r="H26" s="404" t="s">
        <v>1158</v>
      </c>
      <c r="I26" s="251">
        <v>18182.276496074694</v>
      </c>
      <c r="J26" s="408">
        <v>6.227836339358251E-2</v>
      </c>
      <c r="K26" s="409">
        <v>15863.224371844459</v>
      </c>
      <c r="L26" s="251">
        <v>621.67097886450745</v>
      </c>
      <c r="M26" s="251">
        <v>16484.895350708965</v>
      </c>
      <c r="N26" s="407">
        <v>0.96228844856829687</v>
      </c>
      <c r="O26" s="407">
        <v>3.771155143170328E-2</v>
      </c>
      <c r="P26" s="251">
        <v>1697.3811453657199</v>
      </c>
      <c r="Q26" s="408">
        <v>9.3353609804149737E-2</v>
      </c>
      <c r="R26" s="352"/>
      <c r="S26" s="352"/>
      <c r="T26" s="352"/>
      <c r="U26" s="352"/>
      <c r="V26" s="352"/>
      <c r="W26" s="352"/>
    </row>
    <row r="27" spans="1:24" hidden="1" x14ac:dyDescent="0.2">
      <c r="A27" s="352"/>
      <c r="B27" s="352"/>
      <c r="C27" s="404" t="s">
        <v>874</v>
      </c>
      <c r="D27" s="404" t="s">
        <v>757</v>
      </c>
      <c r="E27" s="404" t="s">
        <v>706</v>
      </c>
      <c r="F27" s="404" t="s">
        <v>757</v>
      </c>
      <c r="G27" s="404" t="s">
        <v>2000</v>
      </c>
      <c r="H27" s="404" t="s">
        <v>707</v>
      </c>
      <c r="I27" s="251">
        <v>39911.955950764794</v>
      </c>
      <c r="J27" s="408">
        <v>1.9243952107920416E-3</v>
      </c>
      <c r="K27" s="409">
        <v>39835.149573879797</v>
      </c>
      <c r="L27" s="251">
        <v>0</v>
      </c>
      <c r="M27" s="251">
        <v>39835.149573879797</v>
      </c>
      <c r="N27" s="407">
        <v>1</v>
      </c>
      <c r="O27" s="407">
        <v>0</v>
      </c>
      <c r="P27" s="251">
        <v>76.806376884994691</v>
      </c>
      <c r="Q27" s="408">
        <v>1.9243952107920416E-3</v>
      </c>
      <c r="R27" s="352"/>
      <c r="S27" s="352"/>
      <c r="T27" s="352"/>
      <c r="U27" s="352"/>
      <c r="V27" s="352"/>
      <c r="W27" s="352"/>
    </row>
    <row r="28" spans="1:24" hidden="1" x14ac:dyDescent="0.2">
      <c r="A28" s="352"/>
      <c r="B28" s="352"/>
      <c r="C28" s="404" t="s">
        <v>874</v>
      </c>
      <c r="D28" s="404" t="s">
        <v>757</v>
      </c>
      <c r="E28" s="404" t="s">
        <v>759</v>
      </c>
      <c r="F28" s="404" t="s">
        <v>757</v>
      </c>
      <c r="G28" s="404" t="s">
        <v>2000</v>
      </c>
      <c r="H28" s="404" t="s">
        <v>1157</v>
      </c>
      <c r="I28" s="251">
        <v>24767.180771452891</v>
      </c>
      <c r="J28" s="408">
        <v>2.0385276048872766E-3</v>
      </c>
      <c r="K28" s="409">
        <v>24716.692189755053</v>
      </c>
      <c r="L28" s="251">
        <v>0</v>
      </c>
      <c r="M28" s="251">
        <v>24716.692189755053</v>
      </c>
      <c r="N28" s="407">
        <v>1</v>
      </c>
      <c r="O28" s="407">
        <v>0</v>
      </c>
      <c r="P28" s="251">
        <v>50.488581697840075</v>
      </c>
      <c r="Q28" s="408">
        <v>2.0385276048872766E-3</v>
      </c>
      <c r="R28" s="352"/>
      <c r="S28" s="352"/>
      <c r="T28" s="352"/>
      <c r="U28" s="352"/>
      <c r="V28" s="352"/>
      <c r="W28" s="352"/>
    </row>
    <row r="29" spans="1:24" hidden="1" x14ac:dyDescent="0.2">
      <c r="A29" s="352"/>
      <c r="B29" s="352"/>
      <c r="C29" s="404" t="s">
        <v>874</v>
      </c>
      <c r="D29" s="404" t="s">
        <v>754</v>
      </c>
      <c r="E29" s="404" t="s">
        <v>750</v>
      </c>
      <c r="F29" s="404" t="s">
        <v>754</v>
      </c>
      <c r="G29" s="404" t="s">
        <v>1999</v>
      </c>
      <c r="H29" s="404" t="s">
        <v>963</v>
      </c>
      <c r="I29" s="251">
        <v>24050.323138516822</v>
      </c>
      <c r="J29" s="408">
        <v>0</v>
      </c>
      <c r="K29" s="409">
        <v>24050.323138516822</v>
      </c>
      <c r="L29" s="251">
        <v>0</v>
      </c>
      <c r="M29" s="251">
        <v>24050.323138516822</v>
      </c>
      <c r="N29" s="407">
        <v>1</v>
      </c>
      <c r="O29" s="407">
        <v>0</v>
      </c>
      <c r="P29" s="251">
        <v>0</v>
      </c>
      <c r="Q29" s="408">
        <v>0</v>
      </c>
      <c r="R29" s="352"/>
      <c r="S29" s="352"/>
      <c r="T29" s="352"/>
      <c r="U29" s="352"/>
      <c r="V29" s="352"/>
      <c r="W29" s="352"/>
    </row>
    <row r="30" spans="1:24" hidden="1" x14ac:dyDescent="0.2">
      <c r="A30" s="352"/>
      <c r="B30" s="352"/>
      <c r="C30" s="404" t="s">
        <v>874</v>
      </c>
      <c r="D30" s="404" t="s">
        <v>754</v>
      </c>
      <c r="E30" s="404" t="s">
        <v>752</v>
      </c>
      <c r="F30" s="404" t="s">
        <v>754</v>
      </c>
      <c r="G30" s="404" t="s">
        <v>1999</v>
      </c>
      <c r="H30" s="404" t="s">
        <v>964</v>
      </c>
      <c r="I30" s="251">
        <v>50472.014277759547</v>
      </c>
      <c r="J30" s="408">
        <v>8.9291353709213201E-4</v>
      </c>
      <c r="K30" s="409">
        <v>50426.947132966627</v>
      </c>
      <c r="L30" s="251">
        <v>0</v>
      </c>
      <c r="M30" s="251">
        <v>50426.947132966627</v>
      </c>
      <c r="N30" s="407">
        <v>1</v>
      </c>
      <c r="O30" s="407">
        <v>0</v>
      </c>
      <c r="P30" s="251">
        <v>45.067144792918867</v>
      </c>
      <c r="Q30" s="408">
        <v>8.9291353709213201E-4</v>
      </c>
      <c r="R30" s="352"/>
      <c r="S30" s="352"/>
      <c r="T30" s="352"/>
      <c r="U30" s="352"/>
      <c r="V30" s="352"/>
      <c r="W30" s="352"/>
    </row>
    <row r="31" spans="1:24" hidden="1" x14ac:dyDescent="0.2">
      <c r="A31" s="352"/>
      <c r="B31" s="352"/>
      <c r="C31" s="404" t="s">
        <v>873</v>
      </c>
      <c r="D31" s="404" t="s">
        <v>706</v>
      </c>
      <c r="E31" s="404" t="s">
        <v>700</v>
      </c>
      <c r="F31" s="404" t="s">
        <v>706</v>
      </c>
      <c r="G31" s="404" t="s">
        <v>1992</v>
      </c>
      <c r="H31" s="404" t="s">
        <v>872</v>
      </c>
      <c r="I31" s="251">
        <v>129262.24906831772</v>
      </c>
      <c r="J31" s="408">
        <v>6.9197931958517978E-2</v>
      </c>
      <c r="K31" s="409">
        <v>114643.20323852138</v>
      </c>
      <c r="L31" s="251">
        <v>1974.1567282143985</v>
      </c>
      <c r="M31" s="251">
        <v>116617.35996673578</v>
      </c>
      <c r="N31" s="407">
        <v>0.98307150214361305</v>
      </c>
      <c r="O31" s="407">
        <v>1.6928497856387007E-2</v>
      </c>
      <c r="P31" s="251">
        <v>12644.889101581899</v>
      </c>
      <c r="Q31" s="408">
        <v>9.7823526920832224E-2</v>
      </c>
      <c r="R31" s="352"/>
      <c r="S31" s="352"/>
      <c r="T31" s="352"/>
      <c r="U31" s="352"/>
      <c r="V31" s="352"/>
      <c r="W31" s="352"/>
    </row>
    <row r="32" spans="1:24" hidden="1" x14ac:dyDescent="0.2">
      <c r="A32" s="352"/>
      <c r="B32" s="352"/>
      <c r="C32" s="404" t="s">
        <v>873</v>
      </c>
      <c r="D32" s="404" t="s">
        <v>712</v>
      </c>
      <c r="E32" s="404" t="s">
        <v>700</v>
      </c>
      <c r="F32" s="404" t="s">
        <v>712</v>
      </c>
      <c r="G32" s="404" t="s">
        <v>1993</v>
      </c>
      <c r="H32" s="404" t="s">
        <v>872</v>
      </c>
      <c r="I32" s="251">
        <v>210339.70579271796</v>
      </c>
      <c r="J32" s="408">
        <v>6.7621812680255702E-2</v>
      </c>
      <c r="K32" s="409">
        <v>187256.15215582418</v>
      </c>
      <c r="L32" s="251">
        <v>3059.2913523047032</v>
      </c>
      <c r="M32" s="251">
        <v>190315.4435081289</v>
      </c>
      <c r="N32" s="407">
        <v>0.98392515449134299</v>
      </c>
      <c r="O32" s="407">
        <v>1.6074845508656961E-2</v>
      </c>
      <c r="P32" s="251">
        <v>20024.26228458924</v>
      </c>
      <c r="Q32" s="408">
        <v>9.5199630564865453E-2</v>
      </c>
      <c r="R32" s="352"/>
      <c r="S32" s="352"/>
      <c r="T32" s="352"/>
      <c r="U32" s="352"/>
      <c r="V32" s="352"/>
      <c r="W32" s="352"/>
    </row>
    <row r="33" spans="1:23" hidden="1" x14ac:dyDescent="0.2">
      <c r="A33" s="352"/>
      <c r="B33" s="352"/>
      <c r="C33" s="404" t="s">
        <v>873</v>
      </c>
      <c r="D33" s="404" t="s">
        <v>719</v>
      </c>
      <c r="E33" s="404" t="s">
        <v>700</v>
      </c>
      <c r="F33" s="404" t="s">
        <v>719</v>
      </c>
      <c r="G33" s="404" t="s">
        <v>1994</v>
      </c>
      <c r="H33" s="404" t="s">
        <v>872</v>
      </c>
      <c r="I33" s="251">
        <v>137234.69848781664</v>
      </c>
      <c r="J33" s="408">
        <v>6.8300339409244432E-2</v>
      </c>
      <c r="K33" s="409">
        <v>122013.6424261207</v>
      </c>
      <c r="L33" s="251">
        <v>2057.5083562186865</v>
      </c>
      <c r="M33" s="251">
        <v>124071.15078233939</v>
      </c>
      <c r="N33" s="407">
        <v>0.98341670611383125</v>
      </c>
      <c r="O33" s="407">
        <v>1.6583293886168721E-2</v>
      </c>
      <c r="P33" s="251">
        <v>13163.547705477245</v>
      </c>
      <c r="Q33" s="408">
        <v>9.5919966674068755E-2</v>
      </c>
      <c r="R33" s="352"/>
      <c r="S33" s="352"/>
      <c r="T33" s="352"/>
      <c r="U33" s="352"/>
      <c r="V33" s="352"/>
      <c r="W33" s="352"/>
    </row>
    <row r="34" spans="1:23" hidden="1" x14ac:dyDescent="0.2">
      <c r="A34" s="352"/>
      <c r="B34" s="352"/>
      <c r="C34" s="404" t="s">
        <v>873</v>
      </c>
      <c r="D34" s="404" t="s">
        <v>727</v>
      </c>
      <c r="E34" s="404" t="s">
        <v>757</v>
      </c>
      <c r="F34" s="404" t="s">
        <v>727</v>
      </c>
      <c r="G34" s="404" t="s">
        <v>1995</v>
      </c>
      <c r="H34" s="404" t="s">
        <v>1158</v>
      </c>
      <c r="I34" s="251">
        <v>20889.350416380148</v>
      </c>
      <c r="J34" s="408">
        <v>7.509337986336663E-2</v>
      </c>
      <c r="K34" s="409">
        <v>17998.32478475025</v>
      </c>
      <c r="L34" s="251">
        <v>725.3040034288332</v>
      </c>
      <c r="M34" s="251">
        <v>18723.628788179081</v>
      </c>
      <c r="N34" s="407">
        <v>0.96126263708631399</v>
      </c>
      <c r="O34" s="407">
        <v>3.8737362913686069E-2</v>
      </c>
      <c r="P34" s="251">
        <v>2165.7216282010659</v>
      </c>
      <c r="Q34" s="408">
        <v>0.10367587239586157</v>
      </c>
      <c r="R34" s="352"/>
      <c r="S34" s="352"/>
      <c r="T34" s="352"/>
      <c r="U34" s="352"/>
      <c r="V34" s="352"/>
      <c r="W34" s="352"/>
    </row>
    <row r="35" spans="1:23" hidden="1" x14ac:dyDescent="0.2">
      <c r="A35" s="352"/>
      <c r="B35" s="352"/>
      <c r="C35" s="404" t="s">
        <v>873</v>
      </c>
      <c r="D35" s="404" t="s">
        <v>757</v>
      </c>
      <c r="E35" s="404" t="s">
        <v>706</v>
      </c>
      <c r="F35" s="404" t="s">
        <v>757</v>
      </c>
      <c r="G35" s="404" t="s">
        <v>2000</v>
      </c>
      <c r="H35" s="404" t="s">
        <v>707</v>
      </c>
      <c r="I35" s="251">
        <v>39911.955950764794</v>
      </c>
      <c r="J35" s="408">
        <v>1.9243952107920416E-3</v>
      </c>
      <c r="K35" s="409">
        <v>39835.149573879797</v>
      </c>
      <c r="L35" s="251">
        <v>0</v>
      </c>
      <c r="M35" s="251">
        <v>39835.149573879797</v>
      </c>
      <c r="N35" s="407">
        <v>1</v>
      </c>
      <c r="O35" s="407">
        <v>0</v>
      </c>
      <c r="P35" s="251">
        <v>76.806376884994691</v>
      </c>
      <c r="Q35" s="408">
        <v>1.9243952107920416E-3</v>
      </c>
      <c r="R35" s="352"/>
      <c r="S35" s="352"/>
      <c r="T35" s="352"/>
      <c r="U35" s="352"/>
      <c r="V35" s="352"/>
      <c r="W35" s="352"/>
    </row>
    <row r="36" spans="1:23" hidden="1" x14ac:dyDescent="0.2">
      <c r="A36" s="352"/>
      <c r="B36" s="352"/>
      <c r="C36" s="404" t="s">
        <v>873</v>
      </c>
      <c r="D36" s="404" t="s">
        <v>757</v>
      </c>
      <c r="E36" s="404" t="s">
        <v>759</v>
      </c>
      <c r="F36" s="404" t="s">
        <v>757</v>
      </c>
      <c r="G36" s="404" t="s">
        <v>2000</v>
      </c>
      <c r="H36" s="404" t="s">
        <v>1157</v>
      </c>
      <c r="I36" s="251">
        <v>24767.180771452891</v>
      </c>
      <c r="J36" s="408">
        <v>2.0385276048872766E-3</v>
      </c>
      <c r="K36" s="409">
        <v>24716.692189755053</v>
      </c>
      <c r="L36" s="251">
        <v>0</v>
      </c>
      <c r="M36" s="251">
        <v>24716.692189755053</v>
      </c>
      <c r="N36" s="407">
        <v>1</v>
      </c>
      <c r="O36" s="407">
        <v>0</v>
      </c>
      <c r="P36" s="251">
        <v>50.488581697840075</v>
      </c>
      <c r="Q36" s="408">
        <v>2.0385276048872766E-3</v>
      </c>
      <c r="R36" s="352"/>
      <c r="S36" s="352"/>
      <c r="T36" s="352"/>
      <c r="U36" s="352"/>
      <c r="V36" s="352"/>
      <c r="W36" s="352"/>
    </row>
    <row r="37" spans="1:23" hidden="1" x14ac:dyDescent="0.2">
      <c r="A37" s="352"/>
      <c r="B37" s="352"/>
      <c r="C37" s="404" t="s">
        <v>873</v>
      </c>
      <c r="D37" s="404" t="s">
        <v>754</v>
      </c>
      <c r="E37" s="404" t="s">
        <v>750</v>
      </c>
      <c r="F37" s="404" t="s">
        <v>754</v>
      </c>
      <c r="G37" s="404" t="s">
        <v>1999</v>
      </c>
      <c r="H37" s="404" t="s">
        <v>963</v>
      </c>
      <c r="I37" s="251">
        <v>24050.323138516822</v>
      </c>
      <c r="J37" s="408">
        <v>0</v>
      </c>
      <c r="K37" s="409">
        <v>24050.323138516822</v>
      </c>
      <c r="L37" s="251">
        <v>0</v>
      </c>
      <c r="M37" s="251">
        <v>24050.323138516822</v>
      </c>
      <c r="N37" s="407">
        <v>1</v>
      </c>
      <c r="O37" s="407">
        <v>0</v>
      </c>
      <c r="P37" s="251">
        <v>0</v>
      </c>
      <c r="Q37" s="408">
        <v>0</v>
      </c>
      <c r="R37" s="352"/>
      <c r="S37" s="352"/>
      <c r="T37" s="352"/>
      <c r="U37" s="352"/>
      <c r="V37" s="352"/>
      <c r="W37" s="352"/>
    </row>
    <row r="38" spans="1:23" hidden="1" x14ac:dyDescent="0.2">
      <c r="A38" s="352"/>
      <c r="B38" s="352"/>
      <c r="C38" s="404" t="s">
        <v>873</v>
      </c>
      <c r="D38" s="404" t="s">
        <v>754</v>
      </c>
      <c r="E38" s="404" t="s">
        <v>752</v>
      </c>
      <c r="F38" s="404" t="s">
        <v>754</v>
      </c>
      <c r="G38" s="404" t="s">
        <v>1999</v>
      </c>
      <c r="H38" s="404" t="s">
        <v>964</v>
      </c>
      <c r="I38" s="251">
        <v>50472.014277759547</v>
      </c>
      <c r="J38" s="408">
        <v>8.9291353709213201E-4</v>
      </c>
      <c r="K38" s="409">
        <v>50426.947132966627</v>
      </c>
      <c r="L38" s="251">
        <v>0</v>
      </c>
      <c r="M38" s="251">
        <v>50426.947132966627</v>
      </c>
      <c r="N38" s="407">
        <v>1</v>
      </c>
      <c r="O38" s="407">
        <v>0</v>
      </c>
      <c r="P38" s="251">
        <v>45.067144792918867</v>
      </c>
      <c r="Q38" s="408">
        <v>8.9291353709213201E-4</v>
      </c>
      <c r="R38" s="352"/>
      <c r="S38" s="352"/>
      <c r="T38" s="352"/>
      <c r="U38" s="352"/>
      <c r="V38" s="352"/>
      <c r="W38" s="352"/>
    </row>
    <row r="39" spans="1:23" hidden="1" x14ac:dyDescent="0.2">
      <c r="A39" s="352"/>
      <c r="B39" s="352"/>
      <c r="C39" s="404" t="s">
        <v>870</v>
      </c>
      <c r="D39" s="404" t="s">
        <v>744</v>
      </c>
      <c r="E39" s="404" t="s">
        <v>746</v>
      </c>
      <c r="F39" s="404" t="s">
        <v>744</v>
      </c>
      <c r="G39" s="404" t="s">
        <v>1998</v>
      </c>
      <c r="H39" s="404" t="s">
        <v>762</v>
      </c>
      <c r="I39" s="251">
        <v>69309.557930468334</v>
      </c>
      <c r="J39" s="408">
        <v>5.3915070292504239E-2</v>
      </c>
      <c r="K39" s="409">
        <v>63264.424463510099</v>
      </c>
      <c r="L39" s="251">
        <v>693.60847535039545</v>
      </c>
      <c r="M39" s="251">
        <v>63958.032938860495</v>
      </c>
      <c r="N39" s="407">
        <v>0.98915525629105194</v>
      </c>
      <c r="O39" s="407">
        <v>1.0844743708947986E-2</v>
      </c>
      <c r="P39" s="251">
        <v>5351.524991607841</v>
      </c>
      <c r="Q39" s="408">
        <v>7.7211933698617952E-2</v>
      </c>
      <c r="R39" s="352"/>
      <c r="S39" s="352"/>
      <c r="T39" s="352"/>
      <c r="U39" s="352"/>
      <c r="V39" s="352"/>
      <c r="W39" s="352"/>
    </row>
    <row r="40" spans="1:23" x14ac:dyDescent="0.2">
      <c r="A40" s="352"/>
      <c r="B40" s="352"/>
      <c r="C40" s="404" t="s">
        <v>870</v>
      </c>
      <c r="D40" s="404" t="s">
        <v>735</v>
      </c>
      <c r="E40" s="404" t="s">
        <v>746</v>
      </c>
      <c r="F40" s="404" t="s">
        <v>735</v>
      </c>
      <c r="G40" s="404" t="s">
        <v>1996</v>
      </c>
      <c r="H40" s="404" t="s">
        <v>762</v>
      </c>
      <c r="I40" s="251">
        <v>241090.68266408695</v>
      </c>
      <c r="J40" s="408">
        <v>5.3341171031777379E-2</v>
      </c>
      <c r="K40" s="409">
        <v>222368.2959044227</v>
      </c>
      <c r="L40" s="251">
        <v>2351.5665464041876</v>
      </c>
      <c r="M40" s="251">
        <v>224719.86245082688</v>
      </c>
      <c r="N40" s="407">
        <v>0.98953556432102774</v>
      </c>
      <c r="O40" s="407">
        <v>1.0464435678972333E-2</v>
      </c>
      <c r="P40" s="251">
        <v>16370.820213260104</v>
      </c>
      <c r="Q40" s="408">
        <v>6.790316420510395E-2</v>
      </c>
      <c r="R40" s="352"/>
      <c r="S40" s="352"/>
      <c r="T40" s="352"/>
      <c r="U40" s="352"/>
      <c r="V40" s="352"/>
      <c r="W40" s="352"/>
    </row>
    <row r="41" spans="1:23" x14ac:dyDescent="0.2">
      <c r="A41" s="352"/>
      <c r="B41" s="352"/>
      <c r="C41" s="404" t="s">
        <v>870</v>
      </c>
      <c r="D41" s="404" t="s">
        <v>739</v>
      </c>
      <c r="E41" s="404" t="s">
        <v>746</v>
      </c>
      <c r="F41" s="404" t="s">
        <v>739</v>
      </c>
      <c r="G41" s="404" t="s">
        <v>1997</v>
      </c>
      <c r="H41" s="404" t="s">
        <v>762</v>
      </c>
      <c r="I41" s="251">
        <v>84905.603784631516</v>
      </c>
      <c r="J41" s="408">
        <v>5.3136799557132949E-2</v>
      </c>
      <c r="K41" s="409">
        <v>78405.904591376398</v>
      </c>
      <c r="L41" s="251">
        <v>819.44412383082249</v>
      </c>
      <c r="M41" s="251">
        <v>79225.348715207219</v>
      </c>
      <c r="N41" s="407">
        <v>0.98965679372675919</v>
      </c>
      <c r="O41" s="407">
        <v>1.0343206273240816E-2</v>
      </c>
      <c r="P41" s="251">
        <v>5680.2550694242955</v>
      </c>
      <c r="Q41" s="408">
        <v>6.6900826520621945E-2</v>
      </c>
      <c r="R41" s="352"/>
      <c r="S41" s="352"/>
      <c r="T41" s="352"/>
      <c r="U41" s="352"/>
      <c r="V41" s="352"/>
      <c r="W41" s="352"/>
    </row>
    <row r="42" spans="1:23" x14ac:dyDescent="0.2">
      <c r="A42" s="352"/>
      <c r="B42" s="352"/>
      <c r="C42" s="404" t="s">
        <v>870</v>
      </c>
      <c r="D42" s="404" t="s">
        <v>739</v>
      </c>
      <c r="E42" s="404" t="s">
        <v>748</v>
      </c>
      <c r="F42" s="404" t="s">
        <v>739</v>
      </c>
      <c r="G42" s="404" t="s">
        <v>1997</v>
      </c>
      <c r="H42" s="404" t="s">
        <v>765</v>
      </c>
      <c r="I42" s="251">
        <v>82108.164757406936</v>
      </c>
      <c r="J42" s="408">
        <v>0.15426096412634113</v>
      </c>
      <c r="K42" s="409">
        <v>66177.283799131677</v>
      </c>
      <c r="L42" s="251">
        <v>1889.3058438545115</v>
      </c>
      <c r="M42" s="251">
        <v>68066.58964298619</v>
      </c>
      <c r="N42" s="407">
        <v>0.97224327157032475</v>
      </c>
      <c r="O42" s="407">
        <v>2.7756728429675217E-2</v>
      </c>
      <c r="P42" s="251">
        <v>14041.575114420764</v>
      </c>
      <c r="Q42" s="408">
        <v>0.17101314048252528</v>
      </c>
      <c r="R42" s="352"/>
      <c r="S42" s="352"/>
      <c r="T42" s="352"/>
      <c r="U42" s="352"/>
      <c r="V42" s="352"/>
      <c r="W42" s="352"/>
    </row>
    <row r="43" spans="1:23" hidden="1" x14ac:dyDescent="0.2">
      <c r="A43" s="352"/>
      <c r="B43" s="352"/>
      <c r="C43" s="404" t="s">
        <v>870</v>
      </c>
      <c r="D43" s="404" t="s">
        <v>757</v>
      </c>
      <c r="E43" s="404" t="s">
        <v>706</v>
      </c>
      <c r="F43" s="404" t="s">
        <v>757</v>
      </c>
      <c r="G43" s="404" t="s">
        <v>2000</v>
      </c>
      <c r="H43" s="404" t="s">
        <v>707</v>
      </c>
      <c r="I43" s="251">
        <v>39911.955950764794</v>
      </c>
      <c r="J43" s="408">
        <v>1.9243952107920416E-3</v>
      </c>
      <c r="K43" s="409">
        <v>39835.149573879797</v>
      </c>
      <c r="L43" s="251">
        <v>0</v>
      </c>
      <c r="M43" s="251">
        <v>39835.149573879797</v>
      </c>
      <c r="N43" s="407">
        <v>1</v>
      </c>
      <c r="O43" s="407">
        <v>0</v>
      </c>
      <c r="P43" s="251">
        <v>76.806376884994691</v>
      </c>
      <c r="Q43" s="408">
        <v>1.9243952107920416E-3</v>
      </c>
      <c r="R43" s="352"/>
      <c r="S43" s="352"/>
      <c r="T43" s="352"/>
      <c r="U43" s="352"/>
      <c r="V43" s="352"/>
      <c r="W43" s="352"/>
    </row>
    <row r="44" spans="1:23" hidden="1" x14ac:dyDescent="0.2">
      <c r="A44" s="352"/>
      <c r="B44" s="352"/>
      <c r="C44" s="404" t="s">
        <v>870</v>
      </c>
      <c r="D44" s="404" t="s">
        <v>757</v>
      </c>
      <c r="E44" s="404" t="s">
        <v>759</v>
      </c>
      <c r="F44" s="404" t="s">
        <v>757</v>
      </c>
      <c r="G44" s="404" t="s">
        <v>2000</v>
      </c>
      <c r="H44" s="404" t="s">
        <v>1157</v>
      </c>
      <c r="I44" s="251">
        <v>24767.180771452891</v>
      </c>
      <c r="J44" s="408">
        <v>2.0385276048872766E-3</v>
      </c>
      <c r="K44" s="409">
        <v>24716.692189755053</v>
      </c>
      <c r="L44" s="251">
        <v>0</v>
      </c>
      <c r="M44" s="251">
        <v>24716.692189755053</v>
      </c>
      <c r="N44" s="407">
        <v>1</v>
      </c>
      <c r="O44" s="407">
        <v>0</v>
      </c>
      <c r="P44" s="251">
        <v>50.488581697840075</v>
      </c>
      <c r="Q44" s="408">
        <v>2.0385276048872766E-3</v>
      </c>
      <c r="R44" s="352"/>
      <c r="S44" s="352"/>
      <c r="T44" s="352"/>
      <c r="U44" s="352"/>
      <c r="V44" s="352"/>
      <c r="W44" s="352"/>
    </row>
    <row r="45" spans="1:23" hidden="1" x14ac:dyDescent="0.2">
      <c r="A45" s="352"/>
      <c r="B45" s="352"/>
      <c r="C45" s="404" t="s">
        <v>870</v>
      </c>
      <c r="D45" s="404" t="s">
        <v>754</v>
      </c>
      <c r="E45" s="404" t="s">
        <v>750</v>
      </c>
      <c r="F45" s="404" t="s">
        <v>754</v>
      </c>
      <c r="G45" s="404" t="s">
        <v>1999</v>
      </c>
      <c r="H45" s="404" t="s">
        <v>963</v>
      </c>
      <c r="I45" s="251">
        <v>24050.323138516822</v>
      </c>
      <c r="J45" s="408">
        <v>0</v>
      </c>
      <c r="K45" s="409">
        <v>24050.323138516822</v>
      </c>
      <c r="L45" s="251">
        <v>0</v>
      </c>
      <c r="M45" s="251">
        <v>24050.323138516822</v>
      </c>
      <c r="N45" s="407">
        <v>1</v>
      </c>
      <c r="O45" s="407">
        <v>0</v>
      </c>
      <c r="P45" s="251">
        <v>0</v>
      </c>
      <c r="Q45" s="408">
        <v>0</v>
      </c>
      <c r="R45" s="352"/>
      <c r="S45" s="352"/>
      <c r="T45" s="352"/>
      <c r="U45" s="352"/>
      <c r="V45" s="352"/>
      <c r="W45" s="352"/>
    </row>
    <row r="46" spans="1:23" hidden="1" x14ac:dyDescent="0.2">
      <c r="A46" s="352"/>
      <c r="B46" s="352"/>
      <c r="C46" s="404" t="s">
        <v>870</v>
      </c>
      <c r="D46" s="404" t="s">
        <v>754</v>
      </c>
      <c r="E46" s="404" t="s">
        <v>752</v>
      </c>
      <c r="F46" s="404" t="s">
        <v>754</v>
      </c>
      <c r="G46" s="404" t="s">
        <v>1999</v>
      </c>
      <c r="H46" s="404" t="s">
        <v>964</v>
      </c>
      <c r="I46" s="251">
        <v>50472.014277759547</v>
      </c>
      <c r="J46" s="408">
        <v>8.9291353709213201E-4</v>
      </c>
      <c r="K46" s="409">
        <v>50426.947132966627</v>
      </c>
      <c r="L46" s="251">
        <v>0</v>
      </c>
      <c r="M46" s="251">
        <v>50426.947132966627</v>
      </c>
      <c r="N46" s="407">
        <v>1</v>
      </c>
      <c r="O46" s="407">
        <v>0</v>
      </c>
      <c r="P46" s="251">
        <v>45.067144792918867</v>
      </c>
      <c r="Q46" s="408">
        <v>8.9291353709213201E-4</v>
      </c>
      <c r="R46" s="352"/>
      <c r="S46" s="352"/>
      <c r="T46" s="352"/>
      <c r="U46" s="352"/>
      <c r="V46" s="352"/>
      <c r="W46" s="352"/>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6286-6A4C-4D7E-BEBB-65BFE8538859}">
  <sheetPr>
    <tabColor theme="6"/>
  </sheetPr>
  <dimension ref="A1:AI302"/>
  <sheetViews>
    <sheetView workbookViewId="0">
      <selection activeCell="K11" sqref="K11"/>
    </sheetView>
  </sheetViews>
  <sheetFormatPr defaultRowHeight="14.25" x14ac:dyDescent="0.2"/>
  <cols>
    <col min="2" max="2" width="18" customWidth="1"/>
    <col min="3" max="3" width="13" bestFit="1" customWidth="1"/>
    <col min="11" max="11" width="50.25" bestFit="1" customWidth="1"/>
    <col min="12" max="14" width="8" customWidth="1"/>
  </cols>
  <sheetData>
    <row r="1" spans="1:35" x14ac:dyDescent="0.2">
      <c r="A1" s="401" t="s">
        <v>3551</v>
      </c>
      <c r="B1" s="401"/>
      <c r="C1" s="401"/>
      <c r="D1" s="401"/>
      <c r="E1" s="401"/>
      <c r="F1" s="401"/>
      <c r="G1" s="401"/>
      <c r="H1" s="401"/>
      <c r="I1" s="401"/>
      <c r="J1" s="401"/>
      <c r="K1" s="401"/>
      <c r="L1" s="401"/>
      <c r="M1" s="401"/>
      <c r="N1" s="401"/>
    </row>
    <row r="2" spans="1:35" x14ac:dyDescent="0.2">
      <c r="A2" s="352" t="s">
        <v>138</v>
      </c>
      <c r="B2" s="352" t="s">
        <v>2216</v>
      </c>
      <c r="C2" s="352"/>
      <c r="D2" s="352"/>
      <c r="E2" s="352"/>
      <c r="F2" s="352"/>
      <c r="G2" s="352"/>
      <c r="H2" s="352"/>
      <c r="I2" s="352"/>
      <c r="J2" s="352"/>
      <c r="K2" s="352"/>
      <c r="L2" s="352"/>
      <c r="M2" s="352"/>
      <c r="N2" s="352"/>
    </row>
    <row r="3" spans="1:35" x14ac:dyDescent="0.2">
      <c r="A3" s="352" t="s">
        <v>1133</v>
      </c>
      <c r="B3" s="402">
        <v>43984.837170254628</v>
      </c>
      <c r="C3" s="454"/>
      <c r="D3" s="352"/>
      <c r="E3" s="352"/>
      <c r="F3" s="352"/>
      <c r="G3" s="352"/>
      <c r="H3" s="352"/>
      <c r="I3" s="352"/>
      <c r="J3" s="352"/>
      <c r="K3" s="352"/>
      <c r="L3" s="352"/>
      <c r="M3" s="352"/>
      <c r="N3" s="352"/>
    </row>
    <row r="4" spans="1:35" x14ac:dyDescent="0.2">
      <c r="A4" s="352" t="s">
        <v>1134</v>
      </c>
      <c r="B4" s="352" t="s">
        <v>3552</v>
      </c>
      <c r="C4" s="352"/>
      <c r="D4" s="352"/>
      <c r="E4" s="352"/>
      <c r="F4" s="352"/>
      <c r="G4" s="352"/>
      <c r="H4" s="352"/>
      <c r="I4" s="352"/>
      <c r="J4" s="352"/>
      <c r="K4" s="352"/>
      <c r="L4" s="352"/>
      <c r="M4" s="352"/>
      <c r="N4" s="352"/>
    </row>
    <row r="5" spans="1:35" x14ac:dyDescent="0.2">
      <c r="A5" s="352"/>
      <c r="B5" s="352"/>
      <c r="C5" s="352"/>
      <c r="D5" s="352"/>
      <c r="E5" s="352"/>
      <c r="F5" s="352"/>
      <c r="G5" s="352"/>
      <c r="H5" s="352"/>
      <c r="I5" s="352"/>
      <c r="J5" s="352"/>
      <c r="K5" s="352"/>
      <c r="L5" s="352"/>
      <c r="M5" s="352"/>
      <c r="N5" s="352"/>
    </row>
    <row r="10" spans="1:35" ht="15" thickBot="1" x14ac:dyDescent="0.25"/>
    <row r="11" spans="1:35" ht="15" x14ac:dyDescent="0.25">
      <c r="B11" s="352" t="s">
        <v>3553</v>
      </c>
      <c r="C11" s="352" t="s">
        <v>869</v>
      </c>
      <c r="D11" s="352" t="s">
        <v>868</v>
      </c>
      <c r="E11" s="352" t="s">
        <v>692</v>
      </c>
      <c r="F11" s="352" t="s">
        <v>693</v>
      </c>
      <c r="G11" s="352" t="s">
        <v>2035</v>
      </c>
      <c r="H11" s="352" t="s">
        <v>2036</v>
      </c>
      <c r="I11" s="352" t="s">
        <v>3554</v>
      </c>
      <c r="J11" s="381" t="s">
        <v>694</v>
      </c>
      <c r="K11" s="381" t="s">
        <v>695</v>
      </c>
      <c r="L11" s="491" t="s">
        <v>3555</v>
      </c>
      <c r="M11" s="492" t="s">
        <v>3556</v>
      </c>
      <c r="N11" s="492" t="s">
        <v>3557</v>
      </c>
      <c r="O11" s="492" t="s">
        <v>3558</v>
      </c>
      <c r="P11" s="493" t="s">
        <v>3559</v>
      </c>
      <c r="Q11" s="494" t="s">
        <v>3560</v>
      </c>
      <c r="R11" s="494" t="s">
        <v>3561</v>
      </c>
      <c r="S11" s="491" t="s">
        <v>3562</v>
      </c>
      <c r="T11" s="492" t="s">
        <v>3563</v>
      </c>
      <c r="U11" s="492" t="s">
        <v>3564</v>
      </c>
      <c r="V11" s="492" t="s">
        <v>3565</v>
      </c>
      <c r="W11" s="493" t="s">
        <v>3566</v>
      </c>
      <c r="X11" s="494" t="s">
        <v>3567</v>
      </c>
      <c r="Y11" s="494" t="s">
        <v>3568</v>
      </c>
      <c r="Z11" s="491" t="s">
        <v>3569</v>
      </c>
      <c r="AA11" s="492" t="s">
        <v>3570</v>
      </c>
      <c r="AB11" s="492" t="s">
        <v>3571</v>
      </c>
      <c r="AC11" s="492" t="s">
        <v>3572</v>
      </c>
      <c r="AD11" s="493" t="s">
        <v>3573</v>
      </c>
      <c r="AE11" s="494" t="s">
        <v>3574</v>
      </c>
      <c r="AF11" s="494" t="s">
        <v>3575</v>
      </c>
      <c r="AG11" s="352" t="s">
        <v>3576</v>
      </c>
      <c r="AH11" s="352" t="s">
        <v>2045</v>
      </c>
      <c r="AI11" s="495" t="s">
        <v>2233</v>
      </c>
    </row>
    <row r="12" spans="1:35" x14ac:dyDescent="0.2">
      <c r="B12" s="352">
        <v>1</v>
      </c>
      <c r="C12" s="496" t="s">
        <v>706</v>
      </c>
      <c r="D12" s="496" t="s">
        <v>1992</v>
      </c>
      <c r="E12" s="497" t="s">
        <v>700</v>
      </c>
      <c r="F12" s="496" t="s">
        <v>872</v>
      </c>
      <c r="G12" s="496" t="b">
        <v>1</v>
      </c>
      <c r="H12" s="496"/>
      <c r="I12" s="496" t="s">
        <v>762</v>
      </c>
      <c r="J12" s="498" t="s">
        <v>969</v>
      </c>
      <c r="K12" s="499" t="s">
        <v>970</v>
      </c>
      <c r="L12" s="500">
        <v>48570.065823907287</v>
      </c>
      <c r="M12" s="501">
        <v>54956.757561472688</v>
      </c>
      <c r="N12" s="501">
        <v>55905.934419657031</v>
      </c>
      <c r="O12" s="501">
        <v>55870.9095390531</v>
      </c>
      <c r="P12" s="502">
        <v>0</v>
      </c>
      <c r="Q12" s="503"/>
      <c r="R12" s="503"/>
      <c r="S12" s="500">
        <v>47430.354053042349</v>
      </c>
      <c r="T12" s="501">
        <v>54237.723342250029</v>
      </c>
      <c r="U12" s="501">
        <v>54684.332486257874</v>
      </c>
      <c r="V12" s="501">
        <v>54684.332486257874</v>
      </c>
      <c r="W12" s="502">
        <v>0</v>
      </c>
      <c r="X12" s="503"/>
      <c r="Y12" s="503"/>
      <c r="Z12" s="504">
        <v>2.3465312462145116E-2</v>
      </c>
      <c r="AA12" s="505">
        <v>1.30836361373462E-2</v>
      </c>
      <c r="AB12" s="505">
        <v>2.1851024333646274E-2</v>
      </c>
      <c r="AC12" s="505">
        <v>2.1237833115385851E-2</v>
      </c>
      <c r="AD12" s="506" t="s">
        <v>2054</v>
      </c>
      <c r="AE12" s="507"/>
      <c r="AF12" s="507"/>
      <c r="AG12" s="505">
        <v>0.05</v>
      </c>
      <c r="AH12" s="501">
        <v>0</v>
      </c>
      <c r="AI12" s="505"/>
    </row>
    <row r="13" spans="1:35" x14ac:dyDescent="0.2">
      <c r="B13" s="352">
        <v>2</v>
      </c>
      <c r="C13" s="496" t="s">
        <v>706</v>
      </c>
      <c r="D13" s="496" t="s">
        <v>1992</v>
      </c>
      <c r="E13" s="497" t="s">
        <v>700</v>
      </c>
      <c r="F13" s="496" t="s">
        <v>872</v>
      </c>
      <c r="G13" s="496" t="b">
        <v>1</v>
      </c>
      <c r="H13" s="496"/>
      <c r="I13" s="496" t="s">
        <v>762</v>
      </c>
      <c r="J13" s="498" t="s">
        <v>971</v>
      </c>
      <c r="K13" s="499" t="s">
        <v>972</v>
      </c>
      <c r="L13" s="500">
        <v>0</v>
      </c>
      <c r="M13" s="501">
        <v>0</v>
      </c>
      <c r="N13" s="501">
        <v>0</v>
      </c>
      <c r="O13" s="501">
        <v>0</v>
      </c>
      <c r="P13" s="502">
        <v>0</v>
      </c>
      <c r="Q13" s="503"/>
      <c r="R13" s="503"/>
      <c r="S13" s="500">
        <v>0</v>
      </c>
      <c r="T13" s="501">
        <v>0</v>
      </c>
      <c r="U13" s="501">
        <v>0</v>
      </c>
      <c r="V13" s="501">
        <v>0</v>
      </c>
      <c r="W13" s="502">
        <v>0</v>
      </c>
      <c r="X13" s="503"/>
      <c r="Y13" s="503"/>
      <c r="Z13" s="504" t="s">
        <v>2054</v>
      </c>
      <c r="AA13" s="505" t="s">
        <v>2054</v>
      </c>
      <c r="AB13" s="505" t="s">
        <v>2054</v>
      </c>
      <c r="AC13" s="505" t="s">
        <v>2054</v>
      </c>
      <c r="AD13" s="506" t="s">
        <v>2054</v>
      </c>
      <c r="AE13" s="507"/>
      <c r="AF13" s="507"/>
      <c r="AG13" s="505">
        <v>0.11</v>
      </c>
      <c r="AH13" s="501" t="s">
        <v>722</v>
      </c>
      <c r="AI13" s="505"/>
    </row>
    <row r="14" spans="1:35" x14ac:dyDescent="0.2">
      <c r="B14" s="352">
        <v>3</v>
      </c>
      <c r="C14" s="496" t="s">
        <v>706</v>
      </c>
      <c r="D14" s="496" t="s">
        <v>1992</v>
      </c>
      <c r="E14" s="497" t="s">
        <v>700</v>
      </c>
      <c r="F14" s="496" t="s">
        <v>872</v>
      </c>
      <c r="G14" s="496" t="b">
        <v>1</v>
      </c>
      <c r="H14" s="496"/>
      <c r="I14" s="496" t="s">
        <v>762</v>
      </c>
      <c r="J14" s="498" t="s">
        <v>973</v>
      </c>
      <c r="K14" s="499" t="s">
        <v>974</v>
      </c>
      <c r="L14" s="500">
        <v>10517.134945591815</v>
      </c>
      <c r="M14" s="501">
        <v>21416.213276446859</v>
      </c>
      <c r="N14" s="501">
        <v>25031.31561002582</v>
      </c>
      <c r="O14" s="501">
        <v>25015.722849974769</v>
      </c>
      <c r="P14" s="502">
        <v>0</v>
      </c>
      <c r="Q14" s="503"/>
      <c r="R14" s="503"/>
      <c r="S14" s="500">
        <v>10393.89268632699</v>
      </c>
      <c r="T14" s="501">
        <v>21264.891554594422</v>
      </c>
      <c r="U14" s="501">
        <v>24806.964257506737</v>
      </c>
      <c r="V14" s="501">
        <v>24806.964257506737</v>
      </c>
      <c r="W14" s="502">
        <v>0</v>
      </c>
      <c r="X14" s="503"/>
      <c r="Y14" s="503"/>
      <c r="Z14" s="504">
        <v>1.1718235042375458E-2</v>
      </c>
      <c r="AA14" s="505">
        <v>7.0657552714445959E-3</v>
      </c>
      <c r="AB14" s="505">
        <v>8.9628270449045866E-3</v>
      </c>
      <c r="AC14" s="505">
        <v>8.3450953514317971E-3</v>
      </c>
      <c r="AD14" s="506" t="s">
        <v>2054</v>
      </c>
      <c r="AE14" s="507"/>
      <c r="AF14" s="507"/>
      <c r="AG14" s="505">
        <v>0.05</v>
      </c>
      <c r="AH14" s="501">
        <v>0</v>
      </c>
      <c r="AI14" s="505"/>
    </row>
    <row r="15" spans="1:35" x14ac:dyDescent="0.2">
      <c r="B15" s="352">
        <v>4</v>
      </c>
      <c r="C15" s="496" t="s">
        <v>706</v>
      </c>
      <c r="D15" s="496" t="s">
        <v>1992</v>
      </c>
      <c r="E15" s="497" t="s">
        <v>700</v>
      </c>
      <c r="F15" s="496" t="s">
        <v>872</v>
      </c>
      <c r="G15" s="496" t="b">
        <v>1</v>
      </c>
      <c r="H15" s="496"/>
      <c r="I15" s="496" t="s">
        <v>762</v>
      </c>
      <c r="J15" s="498" t="s">
        <v>975</v>
      </c>
      <c r="K15" s="499" t="s">
        <v>976</v>
      </c>
      <c r="L15" s="500">
        <v>0</v>
      </c>
      <c r="M15" s="501">
        <v>0</v>
      </c>
      <c r="N15" s="501">
        <v>0</v>
      </c>
      <c r="O15" s="501">
        <v>0</v>
      </c>
      <c r="P15" s="502">
        <v>0</v>
      </c>
      <c r="Q15" s="503"/>
      <c r="R15" s="503"/>
      <c r="S15" s="500">
        <v>0</v>
      </c>
      <c r="T15" s="501">
        <v>0</v>
      </c>
      <c r="U15" s="501">
        <v>0</v>
      </c>
      <c r="V15" s="501">
        <v>0</v>
      </c>
      <c r="W15" s="502">
        <v>0</v>
      </c>
      <c r="X15" s="503"/>
      <c r="Y15" s="503"/>
      <c r="Z15" s="504" t="s">
        <v>2054</v>
      </c>
      <c r="AA15" s="505" t="s">
        <v>2054</v>
      </c>
      <c r="AB15" s="505" t="s">
        <v>2054</v>
      </c>
      <c r="AC15" s="505" t="s">
        <v>2054</v>
      </c>
      <c r="AD15" s="506" t="s">
        <v>2054</v>
      </c>
      <c r="AE15" s="507"/>
      <c r="AF15" s="507"/>
      <c r="AG15" s="505" t="s">
        <v>2054</v>
      </c>
      <c r="AH15" s="501" t="s">
        <v>722</v>
      </c>
      <c r="AI15" s="505"/>
    </row>
    <row r="16" spans="1:35" x14ac:dyDescent="0.2">
      <c r="B16" s="352">
        <v>5</v>
      </c>
      <c r="C16" s="496" t="s">
        <v>706</v>
      </c>
      <c r="D16" s="496" t="s">
        <v>1992</v>
      </c>
      <c r="E16" s="497" t="s">
        <v>700</v>
      </c>
      <c r="F16" s="496" t="s">
        <v>872</v>
      </c>
      <c r="G16" s="496" t="b">
        <v>1</v>
      </c>
      <c r="H16" s="496"/>
      <c r="I16" s="496" t="s">
        <v>762</v>
      </c>
      <c r="J16" s="498" t="s">
        <v>977</v>
      </c>
      <c r="K16" s="499" t="s">
        <v>864</v>
      </c>
      <c r="L16" s="500">
        <v>32826.742002962805</v>
      </c>
      <c r="M16" s="501">
        <v>14636.363225947705</v>
      </c>
      <c r="N16" s="501">
        <v>19037.309299380977</v>
      </c>
      <c r="O16" s="501">
        <v>19025.445129841257</v>
      </c>
      <c r="P16" s="502">
        <v>0</v>
      </c>
      <c r="Q16" s="503"/>
      <c r="R16" s="503"/>
      <c r="S16" s="500">
        <v>32348.762405675865</v>
      </c>
      <c r="T16" s="501">
        <v>14503.744130449692</v>
      </c>
      <c r="U16" s="501">
        <v>18825.66840862533</v>
      </c>
      <c r="V16" s="501">
        <v>18825.66840862533</v>
      </c>
      <c r="W16" s="502">
        <v>0</v>
      </c>
      <c r="X16" s="503"/>
      <c r="Y16" s="503"/>
      <c r="Z16" s="504">
        <v>1.4560677305222702E-2</v>
      </c>
      <c r="AA16" s="505">
        <v>9.0609322446236762E-3</v>
      </c>
      <c r="AB16" s="505">
        <v>1.1117164060707285E-2</v>
      </c>
      <c r="AC16" s="505">
        <v>1.0500501820195463E-2</v>
      </c>
      <c r="AD16" s="506" t="s">
        <v>2054</v>
      </c>
      <c r="AE16" s="507"/>
      <c r="AF16" s="507"/>
      <c r="AG16" s="505">
        <v>0.05</v>
      </c>
      <c r="AH16" s="501">
        <v>0</v>
      </c>
      <c r="AI16" s="505"/>
    </row>
    <row r="17" spans="2:35" x14ac:dyDescent="0.2">
      <c r="B17" s="352">
        <v>6</v>
      </c>
      <c r="C17" s="496" t="s">
        <v>706</v>
      </c>
      <c r="D17" s="496" t="s">
        <v>1992</v>
      </c>
      <c r="E17" s="497" t="s">
        <v>700</v>
      </c>
      <c r="F17" s="496" t="s">
        <v>872</v>
      </c>
      <c r="G17" s="496" t="b">
        <v>1</v>
      </c>
      <c r="H17" s="496"/>
      <c r="I17" s="496" t="s">
        <v>762</v>
      </c>
      <c r="J17" s="498" t="s">
        <v>978</v>
      </c>
      <c r="K17" s="499" t="s">
        <v>1892</v>
      </c>
      <c r="L17" s="500">
        <v>0</v>
      </c>
      <c r="M17" s="501">
        <v>0</v>
      </c>
      <c r="N17" s="501">
        <v>0</v>
      </c>
      <c r="O17" s="501">
        <v>0</v>
      </c>
      <c r="P17" s="502">
        <v>0</v>
      </c>
      <c r="Q17" s="503"/>
      <c r="R17" s="503"/>
      <c r="S17" s="500">
        <v>0</v>
      </c>
      <c r="T17" s="501">
        <v>0</v>
      </c>
      <c r="U17" s="501">
        <v>0</v>
      </c>
      <c r="V17" s="501">
        <v>0</v>
      </c>
      <c r="W17" s="502">
        <v>0</v>
      </c>
      <c r="X17" s="503"/>
      <c r="Y17" s="503"/>
      <c r="Z17" s="504" t="s">
        <v>2054</v>
      </c>
      <c r="AA17" s="505" t="s">
        <v>2054</v>
      </c>
      <c r="AB17" s="505" t="s">
        <v>2054</v>
      </c>
      <c r="AC17" s="505" t="s">
        <v>2054</v>
      </c>
      <c r="AD17" s="506" t="s">
        <v>2054</v>
      </c>
      <c r="AE17" s="507"/>
      <c r="AF17" s="507"/>
      <c r="AG17" s="505" t="s">
        <v>2054</v>
      </c>
      <c r="AH17" s="501" t="s">
        <v>722</v>
      </c>
      <c r="AI17" s="505"/>
    </row>
    <row r="18" spans="2:35" x14ac:dyDescent="0.2">
      <c r="B18" s="352">
        <v>7</v>
      </c>
      <c r="C18" s="496" t="s">
        <v>706</v>
      </c>
      <c r="D18" s="496" t="s">
        <v>1992</v>
      </c>
      <c r="E18" s="497" t="s">
        <v>700</v>
      </c>
      <c r="F18" s="496" t="s">
        <v>872</v>
      </c>
      <c r="G18" s="496" t="b">
        <v>1</v>
      </c>
      <c r="H18" s="496"/>
      <c r="I18" s="496" t="s">
        <v>762</v>
      </c>
      <c r="J18" s="498" t="s">
        <v>979</v>
      </c>
      <c r="K18" s="499" t="s">
        <v>980</v>
      </c>
      <c r="L18" s="500">
        <v>278.50670627283205</v>
      </c>
      <c r="M18" s="501">
        <v>221.42912550184988</v>
      </c>
      <c r="N18" s="501">
        <v>0</v>
      </c>
      <c r="O18" s="501">
        <v>0</v>
      </c>
      <c r="P18" s="502">
        <v>0</v>
      </c>
      <c r="Q18" s="503"/>
      <c r="R18" s="503"/>
      <c r="S18" s="500">
        <v>272.06166455496145</v>
      </c>
      <c r="T18" s="501">
        <v>218.57157457466397</v>
      </c>
      <c r="U18" s="501">
        <v>0</v>
      </c>
      <c r="V18" s="501">
        <v>0</v>
      </c>
      <c r="W18" s="502">
        <v>0</v>
      </c>
      <c r="X18" s="503"/>
      <c r="Y18" s="503"/>
      <c r="Z18" s="504">
        <v>2.3141423788757387E-2</v>
      </c>
      <c r="AA18" s="505">
        <v>1.2905036411581028E-2</v>
      </c>
      <c r="AB18" s="505" t="s">
        <v>2054</v>
      </c>
      <c r="AC18" s="505" t="s">
        <v>2054</v>
      </c>
      <c r="AD18" s="506" t="s">
        <v>2054</v>
      </c>
      <c r="AE18" s="507"/>
      <c r="AF18" s="507"/>
      <c r="AG18" s="505">
        <v>0.05</v>
      </c>
      <c r="AH18" s="501">
        <v>0</v>
      </c>
      <c r="AI18" s="505"/>
    </row>
    <row r="19" spans="2:35" x14ac:dyDescent="0.2">
      <c r="B19" s="352">
        <v>8</v>
      </c>
      <c r="C19" s="496" t="s">
        <v>706</v>
      </c>
      <c r="D19" s="496" t="s">
        <v>1992</v>
      </c>
      <c r="E19" s="497" t="s">
        <v>700</v>
      </c>
      <c r="F19" s="496" t="s">
        <v>872</v>
      </c>
      <c r="G19" s="496" t="b">
        <v>1</v>
      </c>
      <c r="H19" s="496"/>
      <c r="I19" s="496" t="s">
        <v>762</v>
      </c>
      <c r="J19" s="498" t="s">
        <v>981</v>
      </c>
      <c r="K19" s="499" t="s">
        <v>3674</v>
      </c>
      <c r="L19" s="500">
        <v>0</v>
      </c>
      <c r="M19" s="501">
        <v>0</v>
      </c>
      <c r="N19" s="501">
        <v>0</v>
      </c>
      <c r="O19" s="501">
        <v>0</v>
      </c>
      <c r="P19" s="502">
        <v>0</v>
      </c>
      <c r="Q19" s="503"/>
      <c r="R19" s="503"/>
      <c r="S19" s="500">
        <v>0</v>
      </c>
      <c r="T19" s="501">
        <v>0</v>
      </c>
      <c r="U19" s="501">
        <v>0</v>
      </c>
      <c r="V19" s="501">
        <v>0</v>
      </c>
      <c r="W19" s="502">
        <v>0</v>
      </c>
      <c r="X19" s="503"/>
      <c r="Y19" s="503"/>
      <c r="Z19" s="504" t="s">
        <v>2054</v>
      </c>
      <c r="AA19" s="505" t="s">
        <v>2054</v>
      </c>
      <c r="AB19" s="505" t="s">
        <v>2054</v>
      </c>
      <c r="AC19" s="505" t="s">
        <v>2054</v>
      </c>
      <c r="AD19" s="506" t="s">
        <v>2054</v>
      </c>
      <c r="AE19" s="507"/>
      <c r="AF19" s="507"/>
      <c r="AG19" s="505">
        <v>0.05</v>
      </c>
      <c r="AH19" s="501" t="s">
        <v>722</v>
      </c>
      <c r="AI19" s="505"/>
    </row>
    <row r="20" spans="2:35" x14ac:dyDescent="0.2">
      <c r="B20" s="352">
        <v>9</v>
      </c>
      <c r="C20" s="496" t="s">
        <v>706</v>
      </c>
      <c r="D20" s="496" t="s">
        <v>1992</v>
      </c>
      <c r="E20" s="497" t="s">
        <v>700</v>
      </c>
      <c r="F20" s="496" t="s">
        <v>872</v>
      </c>
      <c r="G20" s="496" t="b">
        <v>1</v>
      </c>
      <c r="H20" s="496"/>
      <c r="I20" s="496" t="s">
        <v>1903</v>
      </c>
      <c r="J20" s="498" t="s">
        <v>982</v>
      </c>
      <c r="K20" s="499" t="s">
        <v>983</v>
      </c>
      <c r="L20" s="500">
        <v>2121.740377011457</v>
      </c>
      <c r="M20" s="501">
        <v>2007.9833614979054</v>
      </c>
      <c r="N20" s="501">
        <v>0</v>
      </c>
      <c r="O20" s="501">
        <v>0</v>
      </c>
      <c r="P20" s="502">
        <v>0</v>
      </c>
      <c r="Q20" s="503"/>
      <c r="R20" s="503"/>
      <c r="S20" s="500">
        <v>1959.4490543659399</v>
      </c>
      <c r="T20" s="501">
        <v>1939.054478263638</v>
      </c>
      <c r="U20" s="501">
        <v>0</v>
      </c>
      <c r="V20" s="501">
        <v>0</v>
      </c>
      <c r="W20" s="502">
        <v>0</v>
      </c>
      <c r="X20" s="503"/>
      <c r="Y20" s="503"/>
      <c r="Z20" s="504">
        <v>7.6489717782582733E-2</v>
      </c>
      <c r="AA20" s="505">
        <v>3.4327417525436221E-2</v>
      </c>
      <c r="AB20" s="505" t="s">
        <v>2054</v>
      </c>
      <c r="AC20" s="505" t="s">
        <v>2054</v>
      </c>
      <c r="AD20" s="506" t="s">
        <v>2054</v>
      </c>
      <c r="AE20" s="507"/>
      <c r="AF20" s="507"/>
      <c r="AG20" s="505">
        <v>0.06</v>
      </c>
      <c r="AH20" s="501">
        <v>1</v>
      </c>
      <c r="AI20" s="505"/>
    </row>
    <row r="21" spans="2:35" x14ac:dyDescent="0.2">
      <c r="B21" s="352">
        <v>10</v>
      </c>
      <c r="C21" s="496" t="s">
        <v>706</v>
      </c>
      <c r="D21" s="496" t="s">
        <v>1992</v>
      </c>
      <c r="E21" s="497" t="s">
        <v>700</v>
      </c>
      <c r="F21" s="496" t="s">
        <v>872</v>
      </c>
      <c r="G21" s="496" t="b">
        <v>1</v>
      </c>
      <c r="H21" s="496"/>
      <c r="I21" s="496" t="s">
        <v>1903</v>
      </c>
      <c r="J21" s="498" t="s">
        <v>984</v>
      </c>
      <c r="K21" s="499" t="s">
        <v>985</v>
      </c>
      <c r="L21" s="500">
        <v>0</v>
      </c>
      <c r="M21" s="501">
        <v>0</v>
      </c>
      <c r="N21" s="501">
        <v>0</v>
      </c>
      <c r="O21" s="501">
        <v>0</v>
      </c>
      <c r="P21" s="502">
        <v>0</v>
      </c>
      <c r="Q21" s="503"/>
      <c r="R21" s="503"/>
      <c r="S21" s="500">
        <v>0</v>
      </c>
      <c r="T21" s="501">
        <v>0</v>
      </c>
      <c r="U21" s="501">
        <v>0</v>
      </c>
      <c r="V21" s="501">
        <v>0</v>
      </c>
      <c r="W21" s="502">
        <v>0</v>
      </c>
      <c r="X21" s="503"/>
      <c r="Y21" s="503"/>
      <c r="Z21" s="504" t="s">
        <v>2054</v>
      </c>
      <c r="AA21" s="505" t="s">
        <v>2054</v>
      </c>
      <c r="AB21" s="505" t="s">
        <v>2054</v>
      </c>
      <c r="AC21" s="505" t="s">
        <v>2054</v>
      </c>
      <c r="AD21" s="506" t="s">
        <v>2054</v>
      </c>
      <c r="AE21" s="507"/>
      <c r="AF21" s="507"/>
      <c r="AG21" s="505">
        <v>0.05</v>
      </c>
      <c r="AH21" s="501" t="s">
        <v>722</v>
      </c>
      <c r="AI21" s="505"/>
    </row>
    <row r="22" spans="2:35" x14ac:dyDescent="0.2">
      <c r="B22" s="352">
        <v>11</v>
      </c>
      <c r="C22" s="496" t="s">
        <v>706</v>
      </c>
      <c r="D22" s="496" t="s">
        <v>1992</v>
      </c>
      <c r="E22" s="497" t="s">
        <v>700</v>
      </c>
      <c r="F22" s="496" t="s">
        <v>872</v>
      </c>
      <c r="G22" s="496" t="b">
        <v>1</v>
      </c>
      <c r="H22" s="496"/>
      <c r="I22" s="496" t="s">
        <v>1903</v>
      </c>
      <c r="J22" s="498" t="s">
        <v>986</v>
      </c>
      <c r="K22" s="499" t="s">
        <v>987</v>
      </c>
      <c r="L22" s="500">
        <v>651.81795741268343</v>
      </c>
      <c r="M22" s="501">
        <v>623.34769245303494</v>
      </c>
      <c r="N22" s="501">
        <v>0</v>
      </c>
      <c r="O22" s="501">
        <v>0</v>
      </c>
      <c r="P22" s="502">
        <v>0</v>
      </c>
      <c r="Q22" s="503"/>
      <c r="R22" s="503"/>
      <c r="S22" s="500">
        <v>601.6296918172211</v>
      </c>
      <c r="T22" s="501">
        <v>601.6296918172211</v>
      </c>
      <c r="U22" s="501">
        <v>0</v>
      </c>
      <c r="V22" s="501">
        <v>0</v>
      </c>
      <c r="W22" s="502">
        <v>0</v>
      </c>
      <c r="X22" s="503"/>
      <c r="Y22" s="503"/>
      <c r="Z22" s="504">
        <v>7.6997365636686133E-2</v>
      </c>
      <c r="AA22" s="505">
        <v>3.4840909654045404E-2</v>
      </c>
      <c r="AB22" s="505" t="s">
        <v>2054</v>
      </c>
      <c r="AC22" s="505" t="s">
        <v>2054</v>
      </c>
      <c r="AD22" s="506" t="s">
        <v>2054</v>
      </c>
      <c r="AE22" s="507"/>
      <c r="AF22" s="507"/>
      <c r="AG22" s="505">
        <v>0.05</v>
      </c>
      <c r="AH22" s="501">
        <v>1</v>
      </c>
      <c r="AI22" s="505"/>
    </row>
    <row r="23" spans="2:35" x14ac:dyDescent="0.2">
      <c r="B23" s="352">
        <v>12</v>
      </c>
      <c r="C23" s="496" t="s">
        <v>706</v>
      </c>
      <c r="D23" s="496" t="s">
        <v>1992</v>
      </c>
      <c r="E23" s="497" t="s">
        <v>700</v>
      </c>
      <c r="F23" s="496" t="s">
        <v>872</v>
      </c>
      <c r="G23" s="496" t="b">
        <v>1</v>
      </c>
      <c r="H23" s="496"/>
      <c r="I23" s="496" t="s">
        <v>1903</v>
      </c>
      <c r="J23" s="498" t="s">
        <v>988</v>
      </c>
      <c r="K23" s="499" t="s">
        <v>989</v>
      </c>
      <c r="L23" s="500">
        <v>896.24969144243937</v>
      </c>
      <c r="M23" s="501">
        <v>857.10307712292308</v>
      </c>
      <c r="N23" s="501">
        <v>0</v>
      </c>
      <c r="O23" s="501">
        <v>0</v>
      </c>
      <c r="P23" s="502">
        <v>0</v>
      </c>
      <c r="Q23" s="503"/>
      <c r="R23" s="503"/>
      <c r="S23" s="500">
        <v>827.2408262486789</v>
      </c>
      <c r="T23" s="501">
        <v>827.2408262486789</v>
      </c>
      <c r="U23" s="501">
        <v>0</v>
      </c>
      <c r="V23" s="501">
        <v>0</v>
      </c>
      <c r="W23" s="502">
        <v>0</v>
      </c>
      <c r="X23" s="503"/>
      <c r="Y23" s="503"/>
      <c r="Z23" s="504">
        <v>7.699736563668591E-2</v>
      </c>
      <c r="AA23" s="505">
        <v>3.4840909654045515E-2</v>
      </c>
      <c r="AB23" s="505" t="s">
        <v>2054</v>
      </c>
      <c r="AC23" s="505" t="s">
        <v>2054</v>
      </c>
      <c r="AD23" s="506" t="s">
        <v>2054</v>
      </c>
      <c r="AE23" s="507"/>
      <c r="AF23" s="507"/>
      <c r="AG23" s="505">
        <v>0.05</v>
      </c>
      <c r="AH23" s="501">
        <v>1</v>
      </c>
      <c r="AI23" s="505"/>
    </row>
    <row r="24" spans="2:35" x14ac:dyDescent="0.2">
      <c r="B24" s="352">
        <v>13</v>
      </c>
      <c r="C24" s="496" t="s">
        <v>706</v>
      </c>
      <c r="D24" s="496" t="s">
        <v>1992</v>
      </c>
      <c r="E24" s="497" t="s">
        <v>700</v>
      </c>
      <c r="F24" s="496" t="s">
        <v>872</v>
      </c>
      <c r="G24" s="496" t="b">
        <v>1</v>
      </c>
      <c r="H24" s="496"/>
      <c r="I24" s="496" t="s">
        <v>1903</v>
      </c>
      <c r="J24" s="498" t="s">
        <v>990</v>
      </c>
      <c r="K24" s="499" t="s">
        <v>991</v>
      </c>
      <c r="L24" s="500">
        <v>0</v>
      </c>
      <c r="M24" s="501">
        <v>0</v>
      </c>
      <c r="N24" s="501">
        <v>0</v>
      </c>
      <c r="O24" s="501">
        <v>0</v>
      </c>
      <c r="P24" s="502">
        <v>0</v>
      </c>
      <c r="Q24" s="503"/>
      <c r="R24" s="503"/>
      <c r="S24" s="500">
        <v>0</v>
      </c>
      <c r="T24" s="501">
        <v>0</v>
      </c>
      <c r="U24" s="501">
        <v>0</v>
      </c>
      <c r="V24" s="501">
        <v>0</v>
      </c>
      <c r="W24" s="502">
        <v>0</v>
      </c>
      <c r="X24" s="503"/>
      <c r="Y24" s="503"/>
      <c r="Z24" s="504" t="s">
        <v>2054</v>
      </c>
      <c r="AA24" s="505" t="s">
        <v>2054</v>
      </c>
      <c r="AB24" s="505" t="s">
        <v>2054</v>
      </c>
      <c r="AC24" s="505" t="s">
        <v>2054</v>
      </c>
      <c r="AD24" s="506" t="s">
        <v>2054</v>
      </c>
      <c r="AE24" s="507"/>
      <c r="AF24" s="507"/>
      <c r="AG24" s="505">
        <v>0.1</v>
      </c>
      <c r="AH24" s="501" t="s">
        <v>722</v>
      </c>
      <c r="AI24" s="505"/>
    </row>
    <row r="25" spans="2:35" x14ac:dyDescent="0.2">
      <c r="B25" s="352">
        <v>14</v>
      </c>
      <c r="C25" s="496" t="s">
        <v>706</v>
      </c>
      <c r="D25" s="496" t="s">
        <v>1992</v>
      </c>
      <c r="E25" s="497" t="s">
        <v>700</v>
      </c>
      <c r="F25" s="496" t="s">
        <v>872</v>
      </c>
      <c r="G25" s="496" t="b">
        <v>1</v>
      </c>
      <c r="H25" s="496"/>
      <c r="I25" s="496" t="s">
        <v>1903</v>
      </c>
      <c r="J25" s="498" t="s">
        <v>992</v>
      </c>
      <c r="K25" s="499" t="s">
        <v>993</v>
      </c>
      <c r="L25" s="500">
        <v>0</v>
      </c>
      <c r="M25" s="501">
        <v>0</v>
      </c>
      <c r="N25" s="501">
        <v>0</v>
      </c>
      <c r="O25" s="501">
        <v>0</v>
      </c>
      <c r="P25" s="502">
        <v>0</v>
      </c>
      <c r="Q25" s="503"/>
      <c r="R25" s="503"/>
      <c r="S25" s="500">
        <v>0</v>
      </c>
      <c r="T25" s="501">
        <v>0</v>
      </c>
      <c r="U25" s="501">
        <v>0</v>
      </c>
      <c r="V25" s="501">
        <v>0</v>
      </c>
      <c r="W25" s="502">
        <v>0</v>
      </c>
      <c r="X25" s="503"/>
      <c r="Y25" s="503"/>
      <c r="Z25" s="504" t="s">
        <v>2054</v>
      </c>
      <c r="AA25" s="505" t="s">
        <v>2054</v>
      </c>
      <c r="AB25" s="505" t="s">
        <v>2054</v>
      </c>
      <c r="AC25" s="505" t="s">
        <v>2054</v>
      </c>
      <c r="AD25" s="506" t="s">
        <v>2054</v>
      </c>
      <c r="AE25" s="507"/>
      <c r="AF25" s="507"/>
      <c r="AG25" s="505">
        <v>0.15</v>
      </c>
      <c r="AH25" s="501" t="s">
        <v>722</v>
      </c>
      <c r="AI25" s="505"/>
    </row>
    <row r="26" spans="2:35" x14ac:dyDescent="0.2">
      <c r="B26" s="352">
        <v>15</v>
      </c>
      <c r="C26" s="496" t="s">
        <v>706</v>
      </c>
      <c r="D26" s="496" t="s">
        <v>1992</v>
      </c>
      <c r="E26" s="497" t="s">
        <v>700</v>
      </c>
      <c r="F26" s="496" t="s">
        <v>872</v>
      </c>
      <c r="G26" s="496" t="b">
        <v>1</v>
      </c>
      <c r="H26" s="496"/>
      <c r="I26" s="496" t="s">
        <v>1904</v>
      </c>
      <c r="J26" s="498" t="s">
        <v>994</v>
      </c>
      <c r="K26" s="499" t="s">
        <v>995</v>
      </c>
      <c r="L26" s="500">
        <v>0</v>
      </c>
      <c r="M26" s="501">
        <v>0</v>
      </c>
      <c r="N26" s="501">
        <v>0</v>
      </c>
      <c r="O26" s="501">
        <v>0</v>
      </c>
      <c r="P26" s="502">
        <v>0</v>
      </c>
      <c r="Q26" s="503"/>
      <c r="R26" s="503"/>
      <c r="S26" s="500">
        <v>0</v>
      </c>
      <c r="T26" s="501">
        <v>0</v>
      </c>
      <c r="U26" s="501">
        <v>0</v>
      </c>
      <c r="V26" s="501">
        <v>0</v>
      </c>
      <c r="W26" s="502">
        <v>0</v>
      </c>
      <c r="X26" s="503"/>
      <c r="Y26" s="503"/>
      <c r="Z26" s="504" t="s">
        <v>2054</v>
      </c>
      <c r="AA26" s="505" t="s">
        <v>2054</v>
      </c>
      <c r="AB26" s="505" t="s">
        <v>2054</v>
      </c>
      <c r="AC26" s="505" t="s">
        <v>2054</v>
      </c>
      <c r="AD26" s="506" t="s">
        <v>2054</v>
      </c>
      <c r="AE26" s="507"/>
      <c r="AF26" s="507"/>
      <c r="AG26" s="505" t="s">
        <v>2054</v>
      </c>
      <c r="AH26" s="501" t="s">
        <v>722</v>
      </c>
      <c r="AI26" s="505"/>
    </row>
    <row r="27" spans="2:35" x14ac:dyDescent="0.2">
      <c r="B27" s="352">
        <v>16</v>
      </c>
      <c r="C27" s="496" t="s">
        <v>706</v>
      </c>
      <c r="D27" s="496" t="s">
        <v>1992</v>
      </c>
      <c r="E27" s="497" t="s">
        <v>700</v>
      </c>
      <c r="F27" s="496" t="s">
        <v>872</v>
      </c>
      <c r="G27" s="496" t="b">
        <v>1</v>
      </c>
      <c r="H27" s="496"/>
      <c r="I27" s="496" t="s">
        <v>1904</v>
      </c>
      <c r="J27" s="498" t="s">
        <v>996</v>
      </c>
      <c r="K27" s="499" t="s">
        <v>997</v>
      </c>
      <c r="L27" s="500">
        <v>0</v>
      </c>
      <c r="M27" s="501">
        <v>0</v>
      </c>
      <c r="N27" s="501">
        <v>0</v>
      </c>
      <c r="O27" s="501">
        <v>0</v>
      </c>
      <c r="P27" s="502">
        <v>0</v>
      </c>
      <c r="Q27" s="503"/>
      <c r="R27" s="503"/>
      <c r="S27" s="500">
        <v>0</v>
      </c>
      <c r="T27" s="501">
        <v>0</v>
      </c>
      <c r="U27" s="501">
        <v>0</v>
      </c>
      <c r="V27" s="501">
        <v>0</v>
      </c>
      <c r="W27" s="502">
        <v>0</v>
      </c>
      <c r="X27" s="503"/>
      <c r="Y27" s="503"/>
      <c r="Z27" s="504" t="s">
        <v>2054</v>
      </c>
      <c r="AA27" s="505" t="s">
        <v>2054</v>
      </c>
      <c r="AB27" s="505" t="s">
        <v>2054</v>
      </c>
      <c r="AC27" s="505" t="s">
        <v>2054</v>
      </c>
      <c r="AD27" s="506" t="s">
        <v>2054</v>
      </c>
      <c r="AE27" s="507"/>
      <c r="AF27" s="507"/>
      <c r="AG27" s="505" t="s">
        <v>2054</v>
      </c>
      <c r="AH27" s="501" t="s">
        <v>722</v>
      </c>
      <c r="AI27" s="505"/>
    </row>
    <row r="28" spans="2:35" x14ac:dyDescent="0.2">
      <c r="B28" s="352">
        <v>17</v>
      </c>
      <c r="C28" s="496" t="s">
        <v>706</v>
      </c>
      <c r="D28" s="496" t="s">
        <v>1992</v>
      </c>
      <c r="E28" s="497" t="s">
        <v>700</v>
      </c>
      <c r="F28" s="496" t="s">
        <v>872</v>
      </c>
      <c r="G28" s="496" t="b">
        <v>1</v>
      </c>
      <c r="H28" s="496"/>
      <c r="I28" s="496" t="s">
        <v>1904</v>
      </c>
      <c r="J28" s="498" t="s">
        <v>998</v>
      </c>
      <c r="K28" s="499" t="s">
        <v>999</v>
      </c>
      <c r="L28" s="500">
        <v>0</v>
      </c>
      <c r="M28" s="501">
        <v>0</v>
      </c>
      <c r="N28" s="501">
        <v>0</v>
      </c>
      <c r="O28" s="501">
        <v>0</v>
      </c>
      <c r="P28" s="502">
        <v>0</v>
      </c>
      <c r="Q28" s="503"/>
      <c r="R28" s="503"/>
      <c r="S28" s="500">
        <v>0</v>
      </c>
      <c r="T28" s="501">
        <v>0</v>
      </c>
      <c r="U28" s="501">
        <v>0</v>
      </c>
      <c r="V28" s="501">
        <v>0</v>
      </c>
      <c r="W28" s="502">
        <v>0</v>
      </c>
      <c r="X28" s="503"/>
      <c r="Y28" s="503"/>
      <c r="Z28" s="504" t="s">
        <v>2054</v>
      </c>
      <c r="AA28" s="505" t="s">
        <v>2054</v>
      </c>
      <c r="AB28" s="505" t="s">
        <v>2054</v>
      </c>
      <c r="AC28" s="505" t="s">
        <v>2054</v>
      </c>
      <c r="AD28" s="506" t="s">
        <v>2054</v>
      </c>
      <c r="AE28" s="507"/>
      <c r="AF28" s="507"/>
      <c r="AG28" s="505" t="s">
        <v>2054</v>
      </c>
      <c r="AH28" s="501" t="s">
        <v>722</v>
      </c>
      <c r="AI28" s="505"/>
    </row>
    <row r="29" spans="2:35" x14ac:dyDescent="0.2">
      <c r="B29" s="352">
        <v>18</v>
      </c>
      <c r="C29" s="496" t="s">
        <v>706</v>
      </c>
      <c r="D29" s="496" t="s">
        <v>1992</v>
      </c>
      <c r="E29" s="497" t="s">
        <v>700</v>
      </c>
      <c r="F29" s="496" t="s">
        <v>872</v>
      </c>
      <c r="G29" s="496" t="b">
        <v>1</v>
      </c>
      <c r="H29" s="496"/>
      <c r="I29" s="496" t="s">
        <v>1903</v>
      </c>
      <c r="J29" s="498" t="s">
        <v>1000</v>
      </c>
      <c r="K29" s="499" t="s">
        <v>1001</v>
      </c>
      <c r="L29" s="500">
        <v>679.21994758898074</v>
      </c>
      <c r="M29" s="501">
        <v>389.73806547155027</v>
      </c>
      <c r="N29" s="501">
        <v>3183.4967427556176</v>
      </c>
      <c r="O29" s="501">
        <v>3181.3793325681795</v>
      </c>
      <c r="P29" s="502">
        <v>0</v>
      </c>
      <c r="Q29" s="503"/>
      <c r="R29" s="503"/>
      <c r="S29" s="500">
        <v>626.74036529658679</v>
      </c>
      <c r="T29" s="501">
        <v>376.04421917795196</v>
      </c>
      <c r="U29" s="501">
        <v>3078.0004666491327</v>
      </c>
      <c r="V29" s="501">
        <v>3078.0004666491327</v>
      </c>
      <c r="W29" s="502">
        <v>0</v>
      </c>
      <c r="X29" s="503"/>
      <c r="Y29" s="503"/>
      <c r="Z29" s="504">
        <v>7.7264489181567919E-2</v>
      </c>
      <c r="AA29" s="505">
        <v>3.5136024696561075E-2</v>
      </c>
      <c r="AB29" s="505">
        <v>3.313849035547245E-2</v>
      </c>
      <c r="AC29" s="505">
        <v>3.2494982557013663E-2</v>
      </c>
      <c r="AD29" s="506" t="s">
        <v>2054</v>
      </c>
      <c r="AE29" s="507"/>
      <c r="AF29" s="507"/>
      <c r="AG29" s="505">
        <v>0.15</v>
      </c>
      <c r="AH29" s="501">
        <v>0</v>
      </c>
      <c r="AI29" s="505"/>
    </row>
    <row r="30" spans="2:35" x14ac:dyDescent="0.2">
      <c r="B30" s="352">
        <v>19</v>
      </c>
      <c r="C30" s="496" t="s">
        <v>706</v>
      </c>
      <c r="D30" s="496" t="s">
        <v>1992</v>
      </c>
      <c r="E30" s="497" t="s">
        <v>700</v>
      </c>
      <c r="F30" s="496" t="s">
        <v>872</v>
      </c>
      <c r="G30" s="496" t="b">
        <v>1</v>
      </c>
      <c r="H30" s="496"/>
      <c r="I30" s="496" t="s">
        <v>1903</v>
      </c>
      <c r="J30" s="498" t="s">
        <v>1002</v>
      </c>
      <c r="K30" s="499" t="s">
        <v>1003</v>
      </c>
      <c r="L30" s="500">
        <v>0</v>
      </c>
      <c r="M30" s="501">
        <v>0</v>
      </c>
      <c r="N30" s="501">
        <v>0</v>
      </c>
      <c r="O30" s="501">
        <v>0</v>
      </c>
      <c r="P30" s="502">
        <v>0</v>
      </c>
      <c r="Q30" s="503"/>
      <c r="R30" s="503"/>
      <c r="S30" s="500">
        <v>0</v>
      </c>
      <c r="T30" s="501">
        <v>0</v>
      </c>
      <c r="U30" s="501">
        <v>0</v>
      </c>
      <c r="V30" s="501">
        <v>0</v>
      </c>
      <c r="W30" s="502">
        <v>0</v>
      </c>
      <c r="X30" s="503"/>
      <c r="Y30" s="503"/>
      <c r="Z30" s="504" t="s">
        <v>2054</v>
      </c>
      <c r="AA30" s="505" t="s">
        <v>2054</v>
      </c>
      <c r="AB30" s="505" t="s">
        <v>2054</v>
      </c>
      <c r="AC30" s="505" t="s">
        <v>2054</v>
      </c>
      <c r="AD30" s="506" t="s">
        <v>2054</v>
      </c>
      <c r="AE30" s="507"/>
      <c r="AF30" s="507"/>
      <c r="AG30" s="505">
        <v>0.08</v>
      </c>
      <c r="AH30" s="501" t="s">
        <v>722</v>
      </c>
      <c r="AI30" s="505"/>
    </row>
    <row r="31" spans="2:35" x14ac:dyDescent="0.2">
      <c r="B31" s="352">
        <v>20</v>
      </c>
      <c r="C31" s="496" t="s">
        <v>706</v>
      </c>
      <c r="D31" s="496" t="s">
        <v>1992</v>
      </c>
      <c r="E31" s="497" t="s">
        <v>700</v>
      </c>
      <c r="F31" s="496" t="s">
        <v>872</v>
      </c>
      <c r="G31" s="496" t="b">
        <v>1</v>
      </c>
      <c r="H31" s="496"/>
      <c r="I31" s="496" t="s">
        <v>1903</v>
      </c>
      <c r="J31" s="498" t="s">
        <v>1004</v>
      </c>
      <c r="K31" s="499" t="s">
        <v>1005</v>
      </c>
      <c r="L31" s="500">
        <v>0</v>
      </c>
      <c r="M31" s="501">
        <v>0</v>
      </c>
      <c r="N31" s="501">
        <v>0</v>
      </c>
      <c r="O31" s="501">
        <v>0</v>
      </c>
      <c r="P31" s="502">
        <v>0</v>
      </c>
      <c r="Q31" s="503"/>
      <c r="R31" s="503"/>
      <c r="S31" s="500">
        <v>0</v>
      </c>
      <c r="T31" s="501">
        <v>0</v>
      </c>
      <c r="U31" s="501">
        <v>0</v>
      </c>
      <c r="V31" s="501">
        <v>0</v>
      </c>
      <c r="W31" s="502">
        <v>0</v>
      </c>
      <c r="X31" s="503"/>
      <c r="Y31" s="503"/>
      <c r="Z31" s="504" t="s">
        <v>2054</v>
      </c>
      <c r="AA31" s="505" t="s">
        <v>2054</v>
      </c>
      <c r="AB31" s="505" t="s">
        <v>2054</v>
      </c>
      <c r="AC31" s="505" t="s">
        <v>2054</v>
      </c>
      <c r="AD31" s="506" t="s">
        <v>2054</v>
      </c>
      <c r="AE31" s="507"/>
      <c r="AF31" s="507"/>
      <c r="AG31" s="505" t="s">
        <v>2054</v>
      </c>
      <c r="AH31" s="501" t="s">
        <v>722</v>
      </c>
      <c r="AI31" s="505"/>
    </row>
    <row r="32" spans="2:35" x14ac:dyDescent="0.2">
      <c r="B32" s="352">
        <v>21</v>
      </c>
      <c r="C32" s="496" t="s">
        <v>706</v>
      </c>
      <c r="D32" s="496" t="s">
        <v>1992</v>
      </c>
      <c r="E32" s="497" t="s">
        <v>700</v>
      </c>
      <c r="F32" s="496" t="s">
        <v>872</v>
      </c>
      <c r="G32" s="496" t="b">
        <v>1</v>
      </c>
      <c r="H32" s="496"/>
      <c r="I32" s="496" t="s">
        <v>1903</v>
      </c>
      <c r="J32" s="498" t="s">
        <v>1006</v>
      </c>
      <c r="K32" s="499" t="s">
        <v>1007</v>
      </c>
      <c r="L32" s="500">
        <v>0</v>
      </c>
      <c r="M32" s="501">
        <v>0</v>
      </c>
      <c r="N32" s="501">
        <v>0</v>
      </c>
      <c r="O32" s="501">
        <v>0</v>
      </c>
      <c r="P32" s="502">
        <v>0</v>
      </c>
      <c r="Q32" s="503"/>
      <c r="R32" s="503"/>
      <c r="S32" s="500">
        <v>0</v>
      </c>
      <c r="T32" s="501">
        <v>0</v>
      </c>
      <c r="U32" s="501">
        <v>0</v>
      </c>
      <c r="V32" s="501">
        <v>0</v>
      </c>
      <c r="W32" s="502">
        <v>0</v>
      </c>
      <c r="X32" s="503"/>
      <c r="Y32" s="503"/>
      <c r="Z32" s="504" t="s">
        <v>2054</v>
      </c>
      <c r="AA32" s="505" t="s">
        <v>2054</v>
      </c>
      <c r="AB32" s="505" t="s">
        <v>2054</v>
      </c>
      <c r="AC32" s="505" t="s">
        <v>2054</v>
      </c>
      <c r="AD32" s="506" t="s">
        <v>2054</v>
      </c>
      <c r="AE32" s="507"/>
      <c r="AF32" s="507"/>
      <c r="AG32" s="505">
        <v>0.08</v>
      </c>
      <c r="AH32" s="501" t="s">
        <v>722</v>
      </c>
      <c r="AI32" s="505"/>
    </row>
    <row r="33" spans="2:35" x14ac:dyDescent="0.2">
      <c r="B33" s="352">
        <v>22</v>
      </c>
      <c r="C33" s="496" t="s">
        <v>706</v>
      </c>
      <c r="D33" s="496" t="s">
        <v>1992</v>
      </c>
      <c r="E33" s="497" t="s">
        <v>700</v>
      </c>
      <c r="F33" s="496" t="s">
        <v>872</v>
      </c>
      <c r="G33" s="496" t="b">
        <v>1</v>
      </c>
      <c r="H33" s="496"/>
      <c r="I33" s="496" t="s">
        <v>1903</v>
      </c>
      <c r="J33" s="498" t="s">
        <v>1008</v>
      </c>
      <c r="K33" s="499" t="s">
        <v>1009</v>
      </c>
      <c r="L33" s="500">
        <v>0</v>
      </c>
      <c r="M33" s="501">
        <v>0</v>
      </c>
      <c r="N33" s="501">
        <v>0</v>
      </c>
      <c r="O33" s="501">
        <v>0</v>
      </c>
      <c r="P33" s="502">
        <v>0</v>
      </c>
      <c r="Q33" s="503"/>
      <c r="R33" s="503"/>
      <c r="S33" s="500">
        <v>0</v>
      </c>
      <c r="T33" s="501">
        <v>0</v>
      </c>
      <c r="U33" s="501">
        <v>0</v>
      </c>
      <c r="V33" s="501">
        <v>0</v>
      </c>
      <c r="W33" s="502">
        <v>0</v>
      </c>
      <c r="X33" s="503"/>
      <c r="Y33" s="503"/>
      <c r="Z33" s="504" t="s">
        <v>2054</v>
      </c>
      <c r="AA33" s="505" t="s">
        <v>2054</v>
      </c>
      <c r="AB33" s="505" t="s">
        <v>2054</v>
      </c>
      <c r="AC33" s="505" t="s">
        <v>2054</v>
      </c>
      <c r="AD33" s="506" t="s">
        <v>2054</v>
      </c>
      <c r="AE33" s="507"/>
      <c r="AF33" s="507"/>
      <c r="AG33" s="505">
        <v>0.05</v>
      </c>
      <c r="AH33" s="501" t="s">
        <v>722</v>
      </c>
      <c r="AI33" s="505"/>
    </row>
    <row r="34" spans="2:35" x14ac:dyDescent="0.2">
      <c r="B34" s="352">
        <v>23</v>
      </c>
      <c r="C34" s="496" t="s">
        <v>706</v>
      </c>
      <c r="D34" s="496" t="s">
        <v>1992</v>
      </c>
      <c r="E34" s="497" t="s">
        <v>700</v>
      </c>
      <c r="F34" s="496" t="s">
        <v>872</v>
      </c>
      <c r="G34" s="496" t="b">
        <v>1</v>
      </c>
      <c r="H34" s="496"/>
      <c r="I34" s="496" t="s">
        <v>1905</v>
      </c>
      <c r="J34" s="498" t="s">
        <v>1848</v>
      </c>
      <c r="K34" s="499" t="s">
        <v>1849</v>
      </c>
      <c r="L34" s="500">
        <v>0</v>
      </c>
      <c r="M34" s="501">
        <v>0</v>
      </c>
      <c r="N34" s="501">
        <v>0</v>
      </c>
      <c r="O34" s="501">
        <v>0</v>
      </c>
      <c r="P34" s="502">
        <v>0</v>
      </c>
      <c r="Q34" s="503"/>
      <c r="R34" s="503"/>
      <c r="S34" s="500">
        <v>0</v>
      </c>
      <c r="T34" s="501">
        <v>0</v>
      </c>
      <c r="U34" s="501">
        <v>0</v>
      </c>
      <c r="V34" s="501">
        <v>0</v>
      </c>
      <c r="W34" s="502">
        <v>0</v>
      </c>
      <c r="X34" s="503"/>
      <c r="Y34" s="503"/>
      <c r="Z34" s="504" t="s">
        <v>2054</v>
      </c>
      <c r="AA34" s="505" t="s">
        <v>2054</v>
      </c>
      <c r="AB34" s="505" t="s">
        <v>2054</v>
      </c>
      <c r="AC34" s="505" t="s">
        <v>2054</v>
      </c>
      <c r="AD34" s="506" t="s">
        <v>2054</v>
      </c>
      <c r="AE34" s="507"/>
      <c r="AF34" s="507"/>
      <c r="AG34" s="505" t="s">
        <v>2054</v>
      </c>
      <c r="AH34" s="501" t="s">
        <v>722</v>
      </c>
      <c r="AI34" s="505"/>
    </row>
    <row r="35" spans="2:35" x14ac:dyDescent="0.2">
      <c r="B35" s="352">
        <v>24</v>
      </c>
      <c r="C35" s="496" t="s">
        <v>706</v>
      </c>
      <c r="D35" s="496" t="s">
        <v>1992</v>
      </c>
      <c r="E35" s="497" t="s">
        <v>700</v>
      </c>
      <c r="F35" s="496" t="s">
        <v>872</v>
      </c>
      <c r="G35" s="496" t="b">
        <v>1</v>
      </c>
      <c r="H35" s="496"/>
      <c r="I35" s="496" t="s">
        <v>1903</v>
      </c>
      <c r="J35" s="498" t="s">
        <v>1010</v>
      </c>
      <c r="K35" s="499" t="s">
        <v>1011</v>
      </c>
      <c r="L35" s="500">
        <v>0</v>
      </c>
      <c r="M35" s="501">
        <v>0</v>
      </c>
      <c r="N35" s="501">
        <v>0</v>
      </c>
      <c r="O35" s="501">
        <v>0</v>
      </c>
      <c r="P35" s="502">
        <v>0</v>
      </c>
      <c r="Q35" s="503"/>
      <c r="R35" s="503"/>
      <c r="S35" s="500">
        <v>0</v>
      </c>
      <c r="T35" s="501">
        <v>0</v>
      </c>
      <c r="U35" s="501">
        <v>0</v>
      </c>
      <c r="V35" s="501">
        <v>0</v>
      </c>
      <c r="W35" s="502">
        <v>0</v>
      </c>
      <c r="X35" s="503"/>
      <c r="Y35" s="503"/>
      <c r="Z35" s="504" t="s">
        <v>2054</v>
      </c>
      <c r="AA35" s="505" t="s">
        <v>2054</v>
      </c>
      <c r="AB35" s="505" t="s">
        <v>2054</v>
      </c>
      <c r="AC35" s="505" t="s">
        <v>2054</v>
      </c>
      <c r="AD35" s="506" t="s">
        <v>2054</v>
      </c>
      <c r="AE35" s="507"/>
      <c r="AF35" s="507"/>
      <c r="AG35" s="505" t="s">
        <v>2054</v>
      </c>
      <c r="AH35" s="501" t="s">
        <v>722</v>
      </c>
      <c r="AI35" s="505"/>
    </row>
    <row r="36" spans="2:35" x14ac:dyDescent="0.2">
      <c r="B36" s="352">
        <v>25</v>
      </c>
      <c r="C36" s="496" t="s">
        <v>706</v>
      </c>
      <c r="D36" s="496" t="s">
        <v>1992</v>
      </c>
      <c r="E36" s="497" t="s">
        <v>700</v>
      </c>
      <c r="F36" s="496" t="s">
        <v>872</v>
      </c>
      <c r="G36" s="496" t="b">
        <v>1</v>
      </c>
      <c r="H36" s="496"/>
      <c r="I36" s="496" t="s">
        <v>1903</v>
      </c>
      <c r="J36" s="498" t="s">
        <v>1012</v>
      </c>
      <c r="K36" s="499" t="s">
        <v>1013</v>
      </c>
      <c r="L36" s="500">
        <v>0</v>
      </c>
      <c r="M36" s="501">
        <v>0</v>
      </c>
      <c r="N36" s="501">
        <v>0</v>
      </c>
      <c r="O36" s="501">
        <v>0</v>
      </c>
      <c r="P36" s="502">
        <v>0</v>
      </c>
      <c r="Q36" s="503"/>
      <c r="R36" s="503"/>
      <c r="S36" s="500">
        <v>0</v>
      </c>
      <c r="T36" s="501">
        <v>0</v>
      </c>
      <c r="U36" s="501">
        <v>0</v>
      </c>
      <c r="V36" s="501">
        <v>0</v>
      </c>
      <c r="W36" s="502">
        <v>0</v>
      </c>
      <c r="X36" s="503"/>
      <c r="Y36" s="503"/>
      <c r="Z36" s="504" t="s">
        <v>2054</v>
      </c>
      <c r="AA36" s="505" t="s">
        <v>2054</v>
      </c>
      <c r="AB36" s="505" t="s">
        <v>2054</v>
      </c>
      <c r="AC36" s="505" t="s">
        <v>2054</v>
      </c>
      <c r="AD36" s="506" t="s">
        <v>2054</v>
      </c>
      <c r="AE36" s="507"/>
      <c r="AF36" s="507"/>
      <c r="AG36" s="505">
        <v>0.05</v>
      </c>
      <c r="AH36" s="501" t="s">
        <v>722</v>
      </c>
      <c r="AI36" s="505"/>
    </row>
    <row r="37" spans="2:35" x14ac:dyDescent="0.2">
      <c r="B37" s="352">
        <v>26</v>
      </c>
      <c r="C37" s="496" t="s">
        <v>706</v>
      </c>
      <c r="D37" s="496" t="s">
        <v>1992</v>
      </c>
      <c r="E37" s="497" t="s">
        <v>700</v>
      </c>
      <c r="F37" s="496" t="s">
        <v>872</v>
      </c>
      <c r="G37" s="496" t="b">
        <v>1</v>
      </c>
      <c r="H37" s="496"/>
      <c r="I37" s="496" t="s">
        <v>1903</v>
      </c>
      <c r="J37" s="498" t="s">
        <v>1014</v>
      </c>
      <c r="K37" s="499" t="s">
        <v>1893</v>
      </c>
      <c r="L37" s="500">
        <v>1252.6977404419315</v>
      </c>
      <c r="M37" s="501">
        <v>725.64563555291909</v>
      </c>
      <c r="N37" s="501">
        <v>0</v>
      </c>
      <c r="O37" s="501">
        <v>0</v>
      </c>
      <c r="P37" s="502">
        <v>0</v>
      </c>
      <c r="Q37" s="503"/>
      <c r="R37" s="503"/>
      <c r="S37" s="500">
        <v>1174.5487531949966</v>
      </c>
      <c r="T37" s="501">
        <v>704.72925191699778</v>
      </c>
      <c r="U37" s="501">
        <v>0</v>
      </c>
      <c r="V37" s="501">
        <v>0</v>
      </c>
      <c r="W37" s="502">
        <v>0</v>
      </c>
      <c r="X37" s="503"/>
      <c r="Y37" s="503"/>
      <c r="Z37" s="504">
        <v>6.2384551934583365E-2</v>
      </c>
      <c r="AA37" s="505">
        <v>2.8824515178105692E-2</v>
      </c>
      <c r="AB37" s="505" t="s">
        <v>2054</v>
      </c>
      <c r="AC37" s="505" t="s">
        <v>2054</v>
      </c>
      <c r="AD37" s="506" t="s">
        <v>2054</v>
      </c>
      <c r="AE37" s="507"/>
      <c r="AF37" s="507"/>
      <c r="AG37" s="505">
        <v>0.05</v>
      </c>
      <c r="AH37" s="501">
        <v>1</v>
      </c>
      <c r="AI37" s="505"/>
    </row>
    <row r="38" spans="2:35" x14ac:dyDescent="0.2">
      <c r="B38" s="352">
        <v>27</v>
      </c>
      <c r="C38" s="496" t="s">
        <v>706</v>
      </c>
      <c r="D38" s="496" t="s">
        <v>1992</v>
      </c>
      <c r="E38" s="497" t="s">
        <v>700</v>
      </c>
      <c r="F38" s="496" t="s">
        <v>872</v>
      </c>
      <c r="G38" s="496" t="b">
        <v>1</v>
      </c>
      <c r="H38" s="496"/>
      <c r="I38" s="496" t="s">
        <v>709</v>
      </c>
      <c r="J38" s="498" t="s">
        <v>1015</v>
      </c>
      <c r="K38" s="499" t="s">
        <v>1016</v>
      </c>
      <c r="L38" s="500">
        <v>0</v>
      </c>
      <c r="M38" s="501">
        <v>0</v>
      </c>
      <c r="N38" s="501">
        <v>0</v>
      </c>
      <c r="O38" s="501">
        <v>0</v>
      </c>
      <c r="P38" s="502">
        <v>0</v>
      </c>
      <c r="Q38" s="503"/>
      <c r="R38" s="503"/>
      <c r="S38" s="500">
        <v>0</v>
      </c>
      <c r="T38" s="501">
        <v>0</v>
      </c>
      <c r="U38" s="501">
        <v>0</v>
      </c>
      <c r="V38" s="501">
        <v>0</v>
      </c>
      <c r="W38" s="502">
        <v>0</v>
      </c>
      <c r="X38" s="503"/>
      <c r="Y38" s="503"/>
      <c r="Z38" s="504" t="s">
        <v>2054</v>
      </c>
      <c r="AA38" s="505" t="s">
        <v>2054</v>
      </c>
      <c r="AB38" s="505" t="s">
        <v>2054</v>
      </c>
      <c r="AC38" s="505" t="s">
        <v>2054</v>
      </c>
      <c r="AD38" s="506" t="s">
        <v>2054</v>
      </c>
      <c r="AE38" s="507"/>
      <c r="AF38" s="507"/>
      <c r="AG38" s="505" t="s">
        <v>2054</v>
      </c>
      <c r="AH38" s="501" t="s">
        <v>722</v>
      </c>
      <c r="AI38" s="505"/>
    </row>
    <row r="39" spans="2:35" x14ac:dyDescent="0.2">
      <c r="B39" s="352">
        <v>28</v>
      </c>
      <c r="C39" s="496" t="s">
        <v>706</v>
      </c>
      <c r="D39" s="496" t="s">
        <v>1992</v>
      </c>
      <c r="E39" s="497" t="s">
        <v>700</v>
      </c>
      <c r="F39" s="496" t="s">
        <v>872</v>
      </c>
      <c r="G39" s="496" t="b">
        <v>1</v>
      </c>
      <c r="H39" s="496"/>
      <c r="I39" s="496" t="s">
        <v>716</v>
      </c>
      <c r="J39" s="498" t="s">
        <v>1017</v>
      </c>
      <c r="K39" s="499" t="s">
        <v>1018</v>
      </c>
      <c r="L39" s="500">
        <v>241.87271373296713</v>
      </c>
      <c r="M39" s="501">
        <v>202.00252039743836</v>
      </c>
      <c r="N39" s="501">
        <v>256.09984797278958</v>
      </c>
      <c r="O39" s="501">
        <v>256.09984797278958</v>
      </c>
      <c r="P39" s="502">
        <v>0</v>
      </c>
      <c r="Q39" s="503"/>
      <c r="R39" s="503"/>
      <c r="S39" s="500">
        <v>239.29896040015393</v>
      </c>
      <c r="T39" s="501">
        <v>201.42861518879346</v>
      </c>
      <c r="U39" s="501">
        <v>255.29692944622451</v>
      </c>
      <c r="V39" s="501">
        <v>255.29692944622451</v>
      </c>
      <c r="W39" s="502">
        <v>0</v>
      </c>
      <c r="X39" s="503"/>
      <c r="Y39" s="503"/>
      <c r="Z39" s="504">
        <v>1.0640941233473256E-2</v>
      </c>
      <c r="AA39" s="505">
        <v>2.8410794455224764E-3</v>
      </c>
      <c r="AB39" s="505">
        <v>3.1351776774595219E-3</v>
      </c>
      <c r="AC39" s="505">
        <v>3.1351776774595219E-3</v>
      </c>
      <c r="AD39" s="506" t="s">
        <v>2054</v>
      </c>
      <c r="AE39" s="507"/>
      <c r="AF39" s="507"/>
      <c r="AG39" s="505">
        <v>0.1</v>
      </c>
      <c r="AH39" s="501">
        <v>0</v>
      </c>
      <c r="AI39" s="505"/>
    </row>
    <row r="40" spans="2:35" x14ac:dyDescent="0.2">
      <c r="B40" s="352">
        <v>29</v>
      </c>
      <c r="C40" s="496" t="s">
        <v>706</v>
      </c>
      <c r="D40" s="496" t="s">
        <v>1992</v>
      </c>
      <c r="E40" s="497" t="s">
        <v>700</v>
      </c>
      <c r="F40" s="496" t="s">
        <v>872</v>
      </c>
      <c r="G40" s="496" t="b">
        <v>1</v>
      </c>
      <c r="H40" s="496"/>
      <c r="I40" s="496" t="s">
        <v>716</v>
      </c>
      <c r="J40" s="498" t="s">
        <v>1019</v>
      </c>
      <c r="K40" s="499" t="s">
        <v>1020</v>
      </c>
      <c r="L40" s="500">
        <v>1837.4199965633272</v>
      </c>
      <c r="M40" s="501">
        <v>1733.4602490695374</v>
      </c>
      <c r="N40" s="501">
        <v>2871.5417546969547</v>
      </c>
      <c r="O40" s="501">
        <v>2869.6237301853721</v>
      </c>
      <c r="P40" s="502">
        <v>0</v>
      </c>
      <c r="Q40" s="503"/>
      <c r="R40" s="503"/>
      <c r="S40" s="500">
        <v>1704.9375684805457</v>
      </c>
      <c r="T40" s="501">
        <v>1678.5607165390295</v>
      </c>
      <c r="U40" s="501">
        <v>2788.9580260343346</v>
      </c>
      <c r="V40" s="501">
        <v>2788.9580260343346</v>
      </c>
      <c r="W40" s="502">
        <v>0</v>
      </c>
      <c r="X40" s="503"/>
      <c r="Y40" s="503"/>
      <c r="Z40" s="504">
        <v>7.2102419877096091E-2</v>
      </c>
      <c r="AA40" s="505">
        <v>3.1670488296444144E-2</v>
      </c>
      <c r="AB40" s="505">
        <v>2.8759368909589633E-2</v>
      </c>
      <c r="AC40" s="505">
        <v>2.8110202498857428E-2</v>
      </c>
      <c r="AD40" s="506" t="s">
        <v>2054</v>
      </c>
      <c r="AE40" s="507"/>
      <c r="AF40" s="507"/>
      <c r="AG40" s="505">
        <v>0.05</v>
      </c>
      <c r="AH40" s="501">
        <v>1</v>
      </c>
      <c r="AI40" s="505"/>
    </row>
    <row r="41" spans="2:35" x14ac:dyDescent="0.2">
      <c r="B41" s="352">
        <v>30</v>
      </c>
      <c r="C41" s="496" t="s">
        <v>706</v>
      </c>
      <c r="D41" s="496" t="s">
        <v>1992</v>
      </c>
      <c r="E41" s="497" t="s">
        <v>700</v>
      </c>
      <c r="F41" s="496" t="s">
        <v>872</v>
      </c>
      <c r="G41" s="496" t="b">
        <v>1</v>
      </c>
      <c r="H41" s="496"/>
      <c r="I41" s="496" t="s">
        <v>716</v>
      </c>
      <c r="J41" s="498" t="s">
        <v>1021</v>
      </c>
      <c r="K41" s="499" t="s">
        <v>751</v>
      </c>
      <c r="L41" s="500">
        <v>2141.0267418669778</v>
      </c>
      <c r="M41" s="501">
        <v>1305.0630480371096</v>
      </c>
      <c r="N41" s="501">
        <v>2420.8892910080276</v>
      </c>
      <c r="O41" s="501">
        <v>2420.888868026916</v>
      </c>
      <c r="P41" s="502">
        <v>0</v>
      </c>
      <c r="Q41" s="503"/>
      <c r="R41" s="503"/>
      <c r="S41" s="500">
        <v>2139.9251960634992</v>
      </c>
      <c r="T41" s="501">
        <v>1304.6582179154902</v>
      </c>
      <c r="U41" s="501">
        <v>2420.1599230810289</v>
      </c>
      <c r="V41" s="501">
        <v>2420.1599230810289</v>
      </c>
      <c r="W41" s="502">
        <v>0</v>
      </c>
      <c r="X41" s="503"/>
      <c r="Y41" s="503"/>
      <c r="Z41" s="504">
        <v>5.1449418259852386E-4</v>
      </c>
      <c r="AA41" s="505">
        <v>3.1019966600720483E-4</v>
      </c>
      <c r="AB41" s="505">
        <v>3.0128099195114721E-4</v>
      </c>
      <c r="AC41" s="505">
        <v>3.0110632318336439E-4</v>
      </c>
      <c r="AD41" s="506" t="s">
        <v>2054</v>
      </c>
      <c r="AE41" s="507"/>
      <c r="AF41" s="507"/>
      <c r="AG41" s="505">
        <v>0.1</v>
      </c>
      <c r="AH41" s="501">
        <v>0</v>
      </c>
      <c r="AI41" s="505"/>
    </row>
    <row r="42" spans="2:35" x14ac:dyDescent="0.2">
      <c r="B42" s="352">
        <v>31</v>
      </c>
      <c r="C42" s="496" t="s">
        <v>706</v>
      </c>
      <c r="D42" s="496" t="s">
        <v>1992</v>
      </c>
      <c r="E42" s="497" t="s">
        <v>700</v>
      </c>
      <c r="F42" s="496" t="s">
        <v>872</v>
      </c>
      <c r="G42" s="496" t="b">
        <v>1</v>
      </c>
      <c r="H42" s="496"/>
      <c r="I42" s="496" t="s">
        <v>1908</v>
      </c>
      <c r="J42" s="498" t="s">
        <v>1846</v>
      </c>
      <c r="K42" s="499" t="s">
        <v>1895</v>
      </c>
      <c r="L42" s="500">
        <v>17562.63610627623</v>
      </c>
      <c r="M42" s="501">
        <v>11265.55337481023</v>
      </c>
      <c r="N42" s="501">
        <v>12644.889101581899</v>
      </c>
      <c r="O42" s="501">
        <v>12644.889101581899</v>
      </c>
      <c r="P42" s="502">
        <v>0</v>
      </c>
      <c r="Q42" s="503"/>
      <c r="R42" s="503"/>
      <c r="S42" s="500">
        <v>17562.63610627623</v>
      </c>
      <c r="T42" s="501">
        <v>11265.55337481023</v>
      </c>
      <c r="U42" s="501">
        <v>12644.889101581899</v>
      </c>
      <c r="V42" s="501">
        <v>12644.889101581899</v>
      </c>
      <c r="W42" s="502">
        <v>0</v>
      </c>
      <c r="X42" s="503"/>
      <c r="Y42" s="503"/>
      <c r="Z42" s="504">
        <v>0</v>
      </c>
      <c r="AA42" s="505">
        <v>0</v>
      </c>
      <c r="AB42" s="505">
        <v>0</v>
      </c>
      <c r="AC42" s="505">
        <v>0</v>
      </c>
      <c r="AD42" s="506" t="s">
        <v>2054</v>
      </c>
      <c r="AE42" s="507"/>
      <c r="AF42" s="507"/>
      <c r="AG42" s="505">
        <v>0.2</v>
      </c>
      <c r="AH42" s="501" t="s">
        <v>722</v>
      </c>
      <c r="AI42" s="505"/>
    </row>
    <row r="43" spans="2:35" x14ac:dyDescent="0.2">
      <c r="B43" s="352">
        <v>32</v>
      </c>
      <c r="C43" s="496" t="s">
        <v>706</v>
      </c>
      <c r="D43" s="496" t="s">
        <v>1992</v>
      </c>
      <c r="E43" s="497" t="s">
        <v>700</v>
      </c>
      <c r="F43" s="496" t="s">
        <v>872</v>
      </c>
      <c r="G43" s="496" t="b">
        <v>1</v>
      </c>
      <c r="H43" s="496"/>
      <c r="I43" s="496" t="s">
        <v>1905</v>
      </c>
      <c r="J43" s="498" t="s">
        <v>1847</v>
      </c>
      <c r="K43" s="499" t="s">
        <v>1894</v>
      </c>
      <c r="L43" s="500">
        <v>0</v>
      </c>
      <c r="M43" s="501">
        <v>0</v>
      </c>
      <c r="N43" s="501">
        <v>7910.7730012386173</v>
      </c>
      <c r="O43" s="501">
        <v>7977.2906691134467</v>
      </c>
      <c r="P43" s="502">
        <v>0</v>
      </c>
      <c r="Q43" s="503"/>
      <c r="R43" s="503"/>
      <c r="S43" s="500">
        <v>0</v>
      </c>
      <c r="T43" s="501">
        <v>0</v>
      </c>
      <c r="U43" s="501">
        <v>7718.4566933087126</v>
      </c>
      <c r="V43" s="501">
        <v>7783.8227409207475</v>
      </c>
      <c r="W43" s="502">
        <v>0</v>
      </c>
      <c r="X43" s="503"/>
      <c r="Y43" s="503"/>
      <c r="Z43" s="504" t="s">
        <v>2054</v>
      </c>
      <c r="AA43" s="505" t="s">
        <v>2054</v>
      </c>
      <c r="AB43" s="505">
        <v>2.4310684670106553E-2</v>
      </c>
      <c r="AC43" s="505">
        <v>2.4252335312510365E-2</v>
      </c>
      <c r="AD43" s="506" t="s">
        <v>2054</v>
      </c>
      <c r="AE43" s="507"/>
      <c r="AF43" s="507"/>
      <c r="AG43" s="505">
        <v>0.2</v>
      </c>
      <c r="AH43" s="501">
        <v>0</v>
      </c>
      <c r="AI43" s="505"/>
    </row>
    <row r="44" spans="2:35" x14ac:dyDescent="0.2">
      <c r="B44" s="352">
        <v>33</v>
      </c>
      <c r="C44" s="496" t="s">
        <v>712</v>
      </c>
      <c r="D44" s="496" t="s">
        <v>1993</v>
      </c>
      <c r="E44" s="497" t="s">
        <v>700</v>
      </c>
      <c r="F44" s="496" t="s">
        <v>872</v>
      </c>
      <c r="G44" s="496" t="b">
        <v>1</v>
      </c>
      <c r="H44" s="496"/>
      <c r="I44" s="496" t="s">
        <v>762</v>
      </c>
      <c r="J44" s="498" t="s">
        <v>969</v>
      </c>
      <c r="K44" s="499" t="s">
        <v>970</v>
      </c>
      <c r="L44" s="500">
        <v>83832.937839204184</v>
      </c>
      <c r="M44" s="501">
        <v>95094.926174471082</v>
      </c>
      <c r="N44" s="501">
        <v>95875.724684872373</v>
      </c>
      <c r="O44" s="501">
        <v>95887.278403669203</v>
      </c>
      <c r="P44" s="502">
        <v>0</v>
      </c>
      <c r="Q44" s="503"/>
      <c r="R44" s="503"/>
      <c r="S44" s="500">
        <v>81768.962600937419</v>
      </c>
      <c r="T44" s="501">
        <v>93740.838128756484</v>
      </c>
      <c r="U44" s="501">
        <v>93992.133734422328</v>
      </c>
      <c r="V44" s="501">
        <v>93992.133734422328</v>
      </c>
      <c r="W44" s="502">
        <v>0</v>
      </c>
      <c r="X44" s="503"/>
      <c r="Y44" s="503"/>
      <c r="Z44" s="504">
        <v>2.4620099109798232E-2</v>
      </c>
      <c r="AA44" s="505">
        <v>1.4239330111369464E-2</v>
      </c>
      <c r="AB44" s="505">
        <v>1.9646171714905902E-2</v>
      </c>
      <c r="AC44" s="505">
        <v>1.9764297212281234E-2</v>
      </c>
      <c r="AD44" s="506" t="s">
        <v>2054</v>
      </c>
      <c r="AE44" s="507"/>
      <c r="AF44" s="507"/>
      <c r="AG44" s="505">
        <v>0.05</v>
      </c>
      <c r="AH44" s="501">
        <v>0</v>
      </c>
      <c r="AI44" s="505"/>
    </row>
    <row r="45" spans="2:35" x14ac:dyDescent="0.2">
      <c r="B45" s="352">
        <v>34</v>
      </c>
      <c r="C45" s="496" t="s">
        <v>712</v>
      </c>
      <c r="D45" s="496" t="s">
        <v>1993</v>
      </c>
      <c r="E45" s="497" t="s">
        <v>700</v>
      </c>
      <c r="F45" s="496" t="s">
        <v>872</v>
      </c>
      <c r="G45" s="496" t="b">
        <v>1</v>
      </c>
      <c r="H45" s="496"/>
      <c r="I45" s="496" t="s">
        <v>762</v>
      </c>
      <c r="J45" s="498" t="s">
        <v>971</v>
      </c>
      <c r="K45" s="499" t="s">
        <v>972</v>
      </c>
      <c r="L45" s="500">
        <v>0</v>
      </c>
      <c r="M45" s="501">
        <v>0</v>
      </c>
      <c r="N45" s="501">
        <v>0</v>
      </c>
      <c r="O45" s="501">
        <v>0</v>
      </c>
      <c r="P45" s="502">
        <v>0</v>
      </c>
      <c r="Q45" s="503"/>
      <c r="R45" s="503"/>
      <c r="S45" s="500">
        <v>0</v>
      </c>
      <c r="T45" s="501">
        <v>0</v>
      </c>
      <c r="U45" s="501">
        <v>0</v>
      </c>
      <c r="V45" s="501">
        <v>0</v>
      </c>
      <c r="W45" s="502">
        <v>0</v>
      </c>
      <c r="X45" s="503"/>
      <c r="Y45" s="503"/>
      <c r="Z45" s="504" t="s">
        <v>2054</v>
      </c>
      <c r="AA45" s="505" t="s">
        <v>2054</v>
      </c>
      <c r="AB45" s="505" t="s">
        <v>2054</v>
      </c>
      <c r="AC45" s="505" t="s">
        <v>2054</v>
      </c>
      <c r="AD45" s="506" t="s">
        <v>2054</v>
      </c>
      <c r="AE45" s="507"/>
      <c r="AF45" s="507"/>
      <c r="AG45" s="505">
        <v>0.11</v>
      </c>
      <c r="AH45" s="501" t="s">
        <v>722</v>
      </c>
      <c r="AI45" s="505"/>
    </row>
    <row r="46" spans="2:35" x14ac:dyDescent="0.2">
      <c r="B46" s="352">
        <v>35</v>
      </c>
      <c r="C46" s="496" t="s">
        <v>712</v>
      </c>
      <c r="D46" s="496" t="s">
        <v>1993</v>
      </c>
      <c r="E46" s="497" t="s">
        <v>700</v>
      </c>
      <c r="F46" s="496" t="s">
        <v>872</v>
      </c>
      <c r="G46" s="496" t="b">
        <v>1</v>
      </c>
      <c r="H46" s="496"/>
      <c r="I46" s="496" t="s">
        <v>762</v>
      </c>
      <c r="J46" s="498" t="s">
        <v>973</v>
      </c>
      <c r="K46" s="499" t="s">
        <v>974</v>
      </c>
      <c r="L46" s="500">
        <v>524.99596609835976</v>
      </c>
      <c r="M46" s="501">
        <v>37142.199936910984</v>
      </c>
      <c r="N46" s="501">
        <v>38788.286555179679</v>
      </c>
      <c r="O46" s="501">
        <v>38792.790118570025</v>
      </c>
      <c r="P46" s="502">
        <v>0</v>
      </c>
      <c r="Q46" s="503"/>
      <c r="R46" s="503"/>
      <c r="S46" s="500">
        <v>518.39019386957091</v>
      </c>
      <c r="T46" s="501">
        <v>36862.288599532272</v>
      </c>
      <c r="U46" s="501">
        <v>38475.327169066964</v>
      </c>
      <c r="V46" s="501">
        <v>38475.327169066964</v>
      </c>
      <c r="W46" s="502">
        <v>0</v>
      </c>
      <c r="X46" s="503"/>
      <c r="Y46" s="503"/>
      <c r="Z46" s="504">
        <v>1.2582519972260564E-2</v>
      </c>
      <c r="AA46" s="505">
        <v>7.5362078135964294E-3</v>
      </c>
      <c r="AB46" s="505">
        <v>8.0683993521473152E-3</v>
      </c>
      <c r="AC46" s="505">
        <v>8.1835554630831364E-3</v>
      </c>
      <c r="AD46" s="506" t="s">
        <v>2054</v>
      </c>
      <c r="AE46" s="507"/>
      <c r="AF46" s="507"/>
      <c r="AG46" s="505">
        <v>0.05</v>
      </c>
      <c r="AH46" s="501">
        <v>0</v>
      </c>
      <c r="AI46" s="505"/>
    </row>
    <row r="47" spans="2:35" x14ac:dyDescent="0.2">
      <c r="B47" s="352">
        <v>36</v>
      </c>
      <c r="C47" s="496" t="s">
        <v>712</v>
      </c>
      <c r="D47" s="496" t="s">
        <v>1993</v>
      </c>
      <c r="E47" s="497" t="s">
        <v>700</v>
      </c>
      <c r="F47" s="496" t="s">
        <v>872</v>
      </c>
      <c r="G47" s="496" t="b">
        <v>1</v>
      </c>
      <c r="H47" s="496"/>
      <c r="I47" s="496" t="s">
        <v>762</v>
      </c>
      <c r="J47" s="498" t="s">
        <v>975</v>
      </c>
      <c r="K47" s="499" t="s">
        <v>976</v>
      </c>
      <c r="L47" s="500">
        <v>0</v>
      </c>
      <c r="M47" s="501">
        <v>0</v>
      </c>
      <c r="N47" s="501">
        <v>0</v>
      </c>
      <c r="O47" s="501">
        <v>0</v>
      </c>
      <c r="P47" s="502">
        <v>0</v>
      </c>
      <c r="Q47" s="503"/>
      <c r="R47" s="503"/>
      <c r="S47" s="500">
        <v>0</v>
      </c>
      <c r="T47" s="501">
        <v>0</v>
      </c>
      <c r="U47" s="501">
        <v>0</v>
      </c>
      <c r="V47" s="501">
        <v>0</v>
      </c>
      <c r="W47" s="502">
        <v>0</v>
      </c>
      <c r="X47" s="503"/>
      <c r="Y47" s="503"/>
      <c r="Z47" s="504" t="s">
        <v>2054</v>
      </c>
      <c r="AA47" s="505" t="s">
        <v>2054</v>
      </c>
      <c r="AB47" s="505" t="s">
        <v>2054</v>
      </c>
      <c r="AC47" s="505" t="s">
        <v>2054</v>
      </c>
      <c r="AD47" s="506" t="s">
        <v>2054</v>
      </c>
      <c r="AE47" s="507"/>
      <c r="AF47" s="507"/>
      <c r="AG47" s="505" t="s">
        <v>2054</v>
      </c>
      <c r="AH47" s="501" t="s">
        <v>722</v>
      </c>
      <c r="AI47" s="505"/>
    </row>
    <row r="48" spans="2:35" x14ac:dyDescent="0.2">
      <c r="B48" s="352">
        <v>37</v>
      </c>
      <c r="C48" s="496" t="s">
        <v>712</v>
      </c>
      <c r="D48" s="496" t="s">
        <v>1993</v>
      </c>
      <c r="E48" s="497" t="s">
        <v>700</v>
      </c>
      <c r="F48" s="496" t="s">
        <v>872</v>
      </c>
      <c r="G48" s="496" t="b">
        <v>1</v>
      </c>
      <c r="H48" s="496"/>
      <c r="I48" s="496" t="s">
        <v>762</v>
      </c>
      <c r="J48" s="498" t="s">
        <v>977</v>
      </c>
      <c r="K48" s="499" t="s">
        <v>864</v>
      </c>
      <c r="L48" s="500">
        <v>74960.041534030344</v>
      </c>
      <c r="M48" s="501">
        <v>25790.430077801535</v>
      </c>
      <c r="N48" s="501">
        <v>29003.531230337234</v>
      </c>
      <c r="O48" s="501">
        <v>29006.916526256755</v>
      </c>
      <c r="P48" s="502">
        <v>0</v>
      </c>
      <c r="Q48" s="503"/>
      <c r="R48" s="503"/>
      <c r="S48" s="500">
        <v>73813.275703024716</v>
      </c>
      <c r="T48" s="501">
        <v>25541.41442377746</v>
      </c>
      <c r="U48" s="501">
        <v>28711.259652791457</v>
      </c>
      <c r="V48" s="501">
        <v>28711.259652791457</v>
      </c>
      <c r="W48" s="502">
        <v>0</v>
      </c>
      <c r="X48" s="503"/>
      <c r="Y48" s="503"/>
      <c r="Z48" s="504">
        <v>1.5298361734298438E-2</v>
      </c>
      <c r="AA48" s="505">
        <v>9.6553509682806293E-3</v>
      </c>
      <c r="AB48" s="505">
        <v>1.0077103205973215E-2</v>
      </c>
      <c r="AC48" s="505">
        <v>1.0192633649897642E-2</v>
      </c>
      <c r="AD48" s="506" t="s">
        <v>2054</v>
      </c>
      <c r="AE48" s="507"/>
      <c r="AF48" s="507"/>
      <c r="AG48" s="505">
        <v>0.05</v>
      </c>
      <c r="AH48" s="501">
        <v>0</v>
      </c>
      <c r="AI48" s="505"/>
    </row>
    <row r="49" spans="2:35" x14ac:dyDescent="0.2">
      <c r="B49" s="352">
        <v>38</v>
      </c>
      <c r="C49" s="496" t="s">
        <v>712</v>
      </c>
      <c r="D49" s="496" t="s">
        <v>1993</v>
      </c>
      <c r="E49" s="497" t="s">
        <v>700</v>
      </c>
      <c r="F49" s="496" t="s">
        <v>872</v>
      </c>
      <c r="G49" s="496" t="b">
        <v>1</v>
      </c>
      <c r="H49" s="496"/>
      <c r="I49" s="496" t="s">
        <v>762</v>
      </c>
      <c r="J49" s="498" t="s">
        <v>978</v>
      </c>
      <c r="K49" s="499" t="s">
        <v>1892</v>
      </c>
      <c r="L49" s="500">
        <v>0</v>
      </c>
      <c r="M49" s="501">
        <v>0</v>
      </c>
      <c r="N49" s="501">
        <v>0</v>
      </c>
      <c r="O49" s="501">
        <v>0</v>
      </c>
      <c r="P49" s="502">
        <v>0</v>
      </c>
      <c r="Q49" s="503"/>
      <c r="R49" s="503"/>
      <c r="S49" s="500">
        <v>0</v>
      </c>
      <c r="T49" s="501">
        <v>0</v>
      </c>
      <c r="U49" s="501">
        <v>0</v>
      </c>
      <c r="V49" s="501">
        <v>0</v>
      </c>
      <c r="W49" s="502">
        <v>0</v>
      </c>
      <c r="X49" s="503"/>
      <c r="Y49" s="503"/>
      <c r="Z49" s="504" t="s">
        <v>2054</v>
      </c>
      <c r="AA49" s="505" t="s">
        <v>2054</v>
      </c>
      <c r="AB49" s="505" t="s">
        <v>2054</v>
      </c>
      <c r="AC49" s="505" t="s">
        <v>2054</v>
      </c>
      <c r="AD49" s="506" t="s">
        <v>2054</v>
      </c>
      <c r="AE49" s="507"/>
      <c r="AF49" s="507"/>
      <c r="AG49" s="505" t="s">
        <v>2054</v>
      </c>
      <c r="AH49" s="501" t="s">
        <v>722</v>
      </c>
      <c r="AI49" s="505"/>
    </row>
    <row r="50" spans="2:35" x14ac:dyDescent="0.2">
      <c r="B50" s="352">
        <v>39</v>
      </c>
      <c r="C50" s="496" t="s">
        <v>712</v>
      </c>
      <c r="D50" s="496" t="s">
        <v>1993</v>
      </c>
      <c r="E50" s="497" t="s">
        <v>700</v>
      </c>
      <c r="F50" s="496" t="s">
        <v>872</v>
      </c>
      <c r="G50" s="496" t="b">
        <v>1</v>
      </c>
      <c r="H50" s="496"/>
      <c r="I50" s="496" t="s">
        <v>762</v>
      </c>
      <c r="J50" s="498" t="s">
        <v>979</v>
      </c>
      <c r="K50" s="499" t="s">
        <v>980</v>
      </c>
      <c r="L50" s="500">
        <v>0</v>
      </c>
      <c r="M50" s="501">
        <v>0</v>
      </c>
      <c r="N50" s="501">
        <v>0</v>
      </c>
      <c r="O50" s="501">
        <v>0</v>
      </c>
      <c r="P50" s="502">
        <v>0</v>
      </c>
      <c r="Q50" s="503"/>
      <c r="R50" s="503"/>
      <c r="S50" s="500">
        <v>0</v>
      </c>
      <c r="T50" s="501">
        <v>0</v>
      </c>
      <c r="U50" s="501">
        <v>0</v>
      </c>
      <c r="V50" s="501">
        <v>0</v>
      </c>
      <c r="W50" s="502">
        <v>0</v>
      </c>
      <c r="X50" s="503"/>
      <c r="Y50" s="503"/>
      <c r="Z50" s="504" t="s">
        <v>2054</v>
      </c>
      <c r="AA50" s="505" t="s">
        <v>2054</v>
      </c>
      <c r="AB50" s="505" t="s">
        <v>2054</v>
      </c>
      <c r="AC50" s="505" t="s">
        <v>2054</v>
      </c>
      <c r="AD50" s="506" t="s">
        <v>2054</v>
      </c>
      <c r="AE50" s="507"/>
      <c r="AF50" s="507"/>
      <c r="AG50" s="505">
        <v>0.05</v>
      </c>
      <c r="AH50" s="501" t="s">
        <v>722</v>
      </c>
      <c r="AI50" s="505"/>
    </row>
    <row r="51" spans="2:35" x14ac:dyDescent="0.2">
      <c r="B51" s="352">
        <v>40</v>
      </c>
      <c r="C51" s="496" t="s">
        <v>712</v>
      </c>
      <c r="D51" s="496" t="s">
        <v>1993</v>
      </c>
      <c r="E51" s="497" t="s">
        <v>700</v>
      </c>
      <c r="F51" s="496" t="s">
        <v>872</v>
      </c>
      <c r="G51" s="496" t="b">
        <v>1</v>
      </c>
      <c r="H51" s="496"/>
      <c r="I51" s="496" t="s">
        <v>762</v>
      </c>
      <c r="J51" s="498" t="s">
        <v>981</v>
      </c>
      <c r="K51" s="499" t="s">
        <v>3674</v>
      </c>
      <c r="L51" s="500">
        <v>0</v>
      </c>
      <c r="M51" s="501">
        <v>0</v>
      </c>
      <c r="N51" s="501">
        <v>0</v>
      </c>
      <c r="O51" s="501">
        <v>0</v>
      </c>
      <c r="P51" s="502">
        <v>0</v>
      </c>
      <c r="Q51" s="503"/>
      <c r="R51" s="503"/>
      <c r="S51" s="500">
        <v>0</v>
      </c>
      <c r="T51" s="501">
        <v>0</v>
      </c>
      <c r="U51" s="501">
        <v>0</v>
      </c>
      <c r="V51" s="501">
        <v>0</v>
      </c>
      <c r="W51" s="502">
        <v>0</v>
      </c>
      <c r="X51" s="503"/>
      <c r="Y51" s="503"/>
      <c r="Z51" s="504" t="s">
        <v>2054</v>
      </c>
      <c r="AA51" s="505" t="s">
        <v>2054</v>
      </c>
      <c r="AB51" s="505" t="s">
        <v>2054</v>
      </c>
      <c r="AC51" s="505" t="s">
        <v>2054</v>
      </c>
      <c r="AD51" s="506" t="s">
        <v>2054</v>
      </c>
      <c r="AE51" s="507"/>
      <c r="AF51" s="507"/>
      <c r="AG51" s="505">
        <v>0.05</v>
      </c>
      <c r="AH51" s="501" t="s">
        <v>722</v>
      </c>
      <c r="AI51" s="505"/>
    </row>
    <row r="52" spans="2:35" x14ac:dyDescent="0.2">
      <c r="B52" s="352">
        <v>41</v>
      </c>
      <c r="C52" s="496" t="s">
        <v>712</v>
      </c>
      <c r="D52" s="496" t="s">
        <v>1993</v>
      </c>
      <c r="E52" s="497" t="s">
        <v>700</v>
      </c>
      <c r="F52" s="496" t="s">
        <v>872</v>
      </c>
      <c r="G52" s="496" t="b">
        <v>1</v>
      </c>
      <c r="H52" s="496"/>
      <c r="I52" s="496" t="s">
        <v>1903</v>
      </c>
      <c r="J52" s="498" t="s">
        <v>982</v>
      </c>
      <c r="K52" s="499" t="s">
        <v>983</v>
      </c>
      <c r="L52" s="500">
        <v>2663.7484371571404</v>
      </c>
      <c r="M52" s="501">
        <v>2458.9204460564401</v>
      </c>
      <c r="N52" s="501">
        <v>0</v>
      </c>
      <c r="O52" s="501">
        <v>0</v>
      </c>
      <c r="P52" s="502">
        <v>0</v>
      </c>
      <c r="Q52" s="503"/>
      <c r="R52" s="503"/>
      <c r="S52" s="500">
        <v>2399.5193328677788</v>
      </c>
      <c r="T52" s="501">
        <v>2367.1329299866111</v>
      </c>
      <c r="U52" s="501">
        <v>0</v>
      </c>
      <c r="V52" s="501">
        <v>0</v>
      </c>
      <c r="W52" s="502">
        <v>0</v>
      </c>
      <c r="X52" s="503"/>
      <c r="Y52" s="503"/>
      <c r="Z52" s="504">
        <v>9.9194466190417607E-2</v>
      </c>
      <c r="AA52" s="505">
        <v>3.7328379702985415E-2</v>
      </c>
      <c r="AB52" s="505" t="s">
        <v>2054</v>
      </c>
      <c r="AC52" s="505" t="s">
        <v>2054</v>
      </c>
      <c r="AD52" s="506" t="s">
        <v>2054</v>
      </c>
      <c r="AE52" s="507"/>
      <c r="AF52" s="507"/>
      <c r="AG52" s="505">
        <v>0.06</v>
      </c>
      <c r="AH52" s="501">
        <v>1</v>
      </c>
      <c r="AI52" s="505"/>
    </row>
    <row r="53" spans="2:35" x14ac:dyDescent="0.2">
      <c r="B53" s="352">
        <v>42</v>
      </c>
      <c r="C53" s="496" t="s">
        <v>712</v>
      </c>
      <c r="D53" s="496" t="s">
        <v>1993</v>
      </c>
      <c r="E53" s="497" t="s">
        <v>700</v>
      </c>
      <c r="F53" s="496" t="s">
        <v>872</v>
      </c>
      <c r="G53" s="496" t="b">
        <v>1</v>
      </c>
      <c r="H53" s="496"/>
      <c r="I53" s="496" t="s">
        <v>1903</v>
      </c>
      <c r="J53" s="498" t="s">
        <v>984</v>
      </c>
      <c r="K53" s="499" t="s">
        <v>985</v>
      </c>
      <c r="L53" s="500">
        <v>0</v>
      </c>
      <c r="M53" s="501">
        <v>0</v>
      </c>
      <c r="N53" s="501">
        <v>0</v>
      </c>
      <c r="O53" s="501">
        <v>0</v>
      </c>
      <c r="P53" s="502">
        <v>0</v>
      </c>
      <c r="Q53" s="503"/>
      <c r="R53" s="503"/>
      <c r="S53" s="500">
        <v>0</v>
      </c>
      <c r="T53" s="501">
        <v>0</v>
      </c>
      <c r="U53" s="501">
        <v>0</v>
      </c>
      <c r="V53" s="501">
        <v>0</v>
      </c>
      <c r="W53" s="502">
        <v>0</v>
      </c>
      <c r="X53" s="503"/>
      <c r="Y53" s="503"/>
      <c r="Z53" s="504" t="s">
        <v>2054</v>
      </c>
      <c r="AA53" s="505" t="s">
        <v>2054</v>
      </c>
      <c r="AB53" s="505" t="s">
        <v>2054</v>
      </c>
      <c r="AC53" s="505" t="s">
        <v>2054</v>
      </c>
      <c r="AD53" s="506" t="s">
        <v>2054</v>
      </c>
      <c r="AE53" s="507"/>
      <c r="AF53" s="507"/>
      <c r="AG53" s="505">
        <v>0.05</v>
      </c>
      <c r="AH53" s="501" t="s">
        <v>722</v>
      </c>
      <c r="AI53" s="505"/>
    </row>
    <row r="54" spans="2:35" x14ac:dyDescent="0.2">
      <c r="B54" s="352">
        <v>43</v>
      </c>
      <c r="C54" s="496" t="s">
        <v>712</v>
      </c>
      <c r="D54" s="496" t="s">
        <v>1993</v>
      </c>
      <c r="E54" s="497" t="s">
        <v>700</v>
      </c>
      <c r="F54" s="496" t="s">
        <v>872</v>
      </c>
      <c r="G54" s="496" t="b">
        <v>1</v>
      </c>
      <c r="H54" s="496"/>
      <c r="I54" s="496" t="s">
        <v>1903</v>
      </c>
      <c r="J54" s="498" t="s">
        <v>986</v>
      </c>
      <c r="K54" s="499" t="s">
        <v>987</v>
      </c>
      <c r="L54" s="500">
        <v>821.43492226863987</v>
      </c>
      <c r="M54" s="501">
        <v>768.5985606682832</v>
      </c>
      <c r="N54" s="501">
        <v>0</v>
      </c>
      <c r="O54" s="501">
        <v>0</v>
      </c>
      <c r="P54" s="502">
        <v>0</v>
      </c>
      <c r="Q54" s="503"/>
      <c r="R54" s="503"/>
      <c r="S54" s="500">
        <v>739.63781826934678</v>
      </c>
      <c r="T54" s="501">
        <v>739.63781826934689</v>
      </c>
      <c r="U54" s="501">
        <v>0</v>
      </c>
      <c r="V54" s="501">
        <v>0</v>
      </c>
      <c r="W54" s="502">
        <v>0</v>
      </c>
      <c r="X54" s="503"/>
      <c r="Y54" s="503"/>
      <c r="Z54" s="504">
        <v>9.9578313244079952E-2</v>
      </c>
      <c r="AA54" s="505">
        <v>3.7679933167914625E-2</v>
      </c>
      <c r="AB54" s="505" t="s">
        <v>2054</v>
      </c>
      <c r="AC54" s="505" t="s">
        <v>2054</v>
      </c>
      <c r="AD54" s="506" t="s">
        <v>2054</v>
      </c>
      <c r="AE54" s="507"/>
      <c r="AF54" s="507"/>
      <c r="AG54" s="505">
        <v>0.05</v>
      </c>
      <c r="AH54" s="501">
        <v>1</v>
      </c>
      <c r="AI54" s="505"/>
    </row>
    <row r="55" spans="2:35" x14ac:dyDescent="0.2">
      <c r="B55" s="352">
        <v>44</v>
      </c>
      <c r="C55" s="496" t="s">
        <v>712</v>
      </c>
      <c r="D55" s="496" t="s">
        <v>1993</v>
      </c>
      <c r="E55" s="497" t="s">
        <v>700</v>
      </c>
      <c r="F55" s="496" t="s">
        <v>872</v>
      </c>
      <c r="G55" s="496" t="b">
        <v>1</v>
      </c>
      <c r="H55" s="496"/>
      <c r="I55" s="496" t="s">
        <v>1903</v>
      </c>
      <c r="J55" s="498" t="s">
        <v>988</v>
      </c>
      <c r="K55" s="499" t="s">
        <v>989</v>
      </c>
      <c r="L55" s="500">
        <v>1129.4730181193795</v>
      </c>
      <c r="M55" s="501">
        <v>1056.8230209188894</v>
      </c>
      <c r="N55" s="501">
        <v>0</v>
      </c>
      <c r="O55" s="501">
        <v>0</v>
      </c>
      <c r="P55" s="502">
        <v>0</v>
      </c>
      <c r="Q55" s="503"/>
      <c r="R55" s="503"/>
      <c r="S55" s="500">
        <v>1017.002000120352</v>
      </c>
      <c r="T55" s="501">
        <v>1017.0020001203521</v>
      </c>
      <c r="U55" s="501">
        <v>0</v>
      </c>
      <c r="V55" s="501">
        <v>0</v>
      </c>
      <c r="W55" s="502">
        <v>0</v>
      </c>
      <c r="X55" s="503"/>
      <c r="Y55" s="503"/>
      <c r="Z55" s="504">
        <v>9.9578313244079508E-2</v>
      </c>
      <c r="AA55" s="505">
        <v>3.7679933167914514E-2</v>
      </c>
      <c r="AB55" s="505" t="s">
        <v>2054</v>
      </c>
      <c r="AC55" s="505" t="s">
        <v>2054</v>
      </c>
      <c r="AD55" s="506" t="s">
        <v>2054</v>
      </c>
      <c r="AE55" s="507"/>
      <c r="AF55" s="507"/>
      <c r="AG55" s="505">
        <v>0.05</v>
      </c>
      <c r="AH55" s="501">
        <v>1</v>
      </c>
      <c r="AI55" s="505"/>
    </row>
    <row r="56" spans="2:35" x14ac:dyDescent="0.2">
      <c r="B56" s="352">
        <v>45</v>
      </c>
      <c r="C56" s="496" t="s">
        <v>712</v>
      </c>
      <c r="D56" s="496" t="s">
        <v>1993</v>
      </c>
      <c r="E56" s="497" t="s">
        <v>700</v>
      </c>
      <c r="F56" s="496" t="s">
        <v>872</v>
      </c>
      <c r="G56" s="496" t="b">
        <v>1</v>
      </c>
      <c r="H56" s="496"/>
      <c r="I56" s="496" t="s">
        <v>1903</v>
      </c>
      <c r="J56" s="498" t="s">
        <v>990</v>
      </c>
      <c r="K56" s="499" t="s">
        <v>991</v>
      </c>
      <c r="L56" s="500">
        <v>0</v>
      </c>
      <c r="M56" s="501">
        <v>0</v>
      </c>
      <c r="N56" s="501">
        <v>0</v>
      </c>
      <c r="O56" s="501">
        <v>0</v>
      </c>
      <c r="P56" s="502">
        <v>0</v>
      </c>
      <c r="Q56" s="503"/>
      <c r="R56" s="503"/>
      <c r="S56" s="500">
        <v>0</v>
      </c>
      <c r="T56" s="501">
        <v>0</v>
      </c>
      <c r="U56" s="501">
        <v>0</v>
      </c>
      <c r="V56" s="501">
        <v>0</v>
      </c>
      <c r="W56" s="502">
        <v>0</v>
      </c>
      <c r="X56" s="503"/>
      <c r="Y56" s="503"/>
      <c r="Z56" s="504" t="s">
        <v>2054</v>
      </c>
      <c r="AA56" s="505" t="s">
        <v>2054</v>
      </c>
      <c r="AB56" s="505" t="s">
        <v>2054</v>
      </c>
      <c r="AC56" s="505" t="s">
        <v>2054</v>
      </c>
      <c r="AD56" s="506" t="s">
        <v>2054</v>
      </c>
      <c r="AE56" s="507"/>
      <c r="AF56" s="507"/>
      <c r="AG56" s="505">
        <v>0.1</v>
      </c>
      <c r="AH56" s="501" t="s">
        <v>722</v>
      </c>
      <c r="AI56" s="505"/>
    </row>
    <row r="57" spans="2:35" x14ac:dyDescent="0.2">
      <c r="B57" s="352">
        <v>46</v>
      </c>
      <c r="C57" s="496" t="s">
        <v>712</v>
      </c>
      <c r="D57" s="496" t="s">
        <v>1993</v>
      </c>
      <c r="E57" s="497" t="s">
        <v>700</v>
      </c>
      <c r="F57" s="496" t="s">
        <v>872</v>
      </c>
      <c r="G57" s="496" t="b">
        <v>1</v>
      </c>
      <c r="H57" s="496"/>
      <c r="I57" s="496" t="s">
        <v>1903</v>
      </c>
      <c r="J57" s="498" t="s">
        <v>992</v>
      </c>
      <c r="K57" s="499" t="s">
        <v>993</v>
      </c>
      <c r="L57" s="500">
        <v>0</v>
      </c>
      <c r="M57" s="501">
        <v>0</v>
      </c>
      <c r="N57" s="501">
        <v>0</v>
      </c>
      <c r="O57" s="501">
        <v>0</v>
      </c>
      <c r="P57" s="502">
        <v>0</v>
      </c>
      <c r="Q57" s="503"/>
      <c r="R57" s="503"/>
      <c r="S57" s="500">
        <v>0</v>
      </c>
      <c r="T57" s="501">
        <v>0</v>
      </c>
      <c r="U57" s="501">
        <v>0</v>
      </c>
      <c r="V57" s="501">
        <v>0</v>
      </c>
      <c r="W57" s="502">
        <v>0</v>
      </c>
      <c r="X57" s="503"/>
      <c r="Y57" s="503"/>
      <c r="Z57" s="504" t="s">
        <v>2054</v>
      </c>
      <c r="AA57" s="505" t="s">
        <v>2054</v>
      </c>
      <c r="AB57" s="505" t="s">
        <v>2054</v>
      </c>
      <c r="AC57" s="505" t="s">
        <v>2054</v>
      </c>
      <c r="AD57" s="506" t="s">
        <v>2054</v>
      </c>
      <c r="AE57" s="507"/>
      <c r="AF57" s="507"/>
      <c r="AG57" s="505">
        <v>0.15</v>
      </c>
      <c r="AH57" s="501" t="s">
        <v>722</v>
      </c>
      <c r="AI57" s="505"/>
    </row>
    <row r="58" spans="2:35" x14ac:dyDescent="0.2">
      <c r="B58" s="352">
        <v>47</v>
      </c>
      <c r="C58" s="496" t="s">
        <v>712</v>
      </c>
      <c r="D58" s="496" t="s">
        <v>1993</v>
      </c>
      <c r="E58" s="497" t="s">
        <v>700</v>
      </c>
      <c r="F58" s="496" t="s">
        <v>872</v>
      </c>
      <c r="G58" s="496" t="b">
        <v>1</v>
      </c>
      <c r="H58" s="496"/>
      <c r="I58" s="496" t="s">
        <v>1904</v>
      </c>
      <c r="J58" s="498" t="s">
        <v>994</v>
      </c>
      <c r="K58" s="499" t="s">
        <v>995</v>
      </c>
      <c r="L58" s="500">
        <v>0</v>
      </c>
      <c r="M58" s="501">
        <v>0</v>
      </c>
      <c r="N58" s="501">
        <v>0</v>
      </c>
      <c r="O58" s="501">
        <v>0</v>
      </c>
      <c r="P58" s="502">
        <v>0</v>
      </c>
      <c r="Q58" s="503"/>
      <c r="R58" s="503"/>
      <c r="S58" s="500">
        <v>0</v>
      </c>
      <c r="T58" s="501">
        <v>0</v>
      </c>
      <c r="U58" s="501">
        <v>0</v>
      </c>
      <c r="V58" s="501">
        <v>0</v>
      </c>
      <c r="W58" s="502">
        <v>0</v>
      </c>
      <c r="X58" s="503"/>
      <c r="Y58" s="503"/>
      <c r="Z58" s="504" t="s">
        <v>2054</v>
      </c>
      <c r="AA58" s="505" t="s">
        <v>2054</v>
      </c>
      <c r="AB58" s="505" t="s">
        <v>2054</v>
      </c>
      <c r="AC58" s="505" t="s">
        <v>2054</v>
      </c>
      <c r="AD58" s="506" t="s">
        <v>2054</v>
      </c>
      <c r="AE58" s="507"/>
      <c r="AF58" s="507"/>
      <c r="AG58" s="505" t="s">
        <v>2054</v>
      </c>
      <c r="AH58" s="501" t="s">
        <v>722</v>
      </c>
      <c r="AI58" s="505"/>
    </row>
    <row r="59" spans="2:35" x14ac:dyDescent="0.2">
      <c r="B59" s="352">
        <v>48</v>
      </c>
      <c r="C59" s="496" t="s">
        <v>712</v>
      </c>
      <c r="D59" s="496" t="s">
        <v>1993</v>
      </c>
      <c r="E59" s="497" t="s">
        <v>700</v>
      </c>
      <c r="F59" s="496" t="s">
        <v>872</v>
      </c>
      <c r="G59" s="496" t="b">
        <v>1</v>
      </c>
      <c r="H59" s="496"/>
      <c r="I59" s="496" t="s">
        <v>1904</v>
      </c>
      <c r="J59" s="498" t="s">
        <v>996</v>
      </c>
      <c r="K59" s="499" t="s">
        <v>997</v>
      </c>
      <c r="L59" s="500">
        <v>0</v>
      </c>
      <c r="M59" s="501">
        <v>0</v>
      </c>
      <c r="N59" s="501">
        <v>0</v>
      </c>
      <c r="O59" s="501">
        <v>0</v>
      </c>
      <c r="P59" s="502">
        <v>0</v>
      </c>
      <c r="Q59" s="503"/>
      <c r="R59" s="503"/>
      <c r="S59" s="500">
        <v>0</v>
      </c>
      <c r="T59" s="501">
        <v>0</v>
      </c>
      <c r="U59" s="501">
        <v>0</v>
      </c>
      <c r="V59" s="501">
        <v>0</v>
      </c>
      <c r="W59" s="502">
        <v>0</v>
      </c>
      <c r="X59" s="503"/>
      <c r="Y59" s="503"/>
      <c r="Z59" s="504" t="s">
        <v>2054</v>
      </c>
      <c r="AA59" s="505" t="s">
        <v>2054</v>
      </c>
      <c r="AB59" s="505" t="s">
        <v>2054</v>
      </c>
      <c r="AC59" s="505" t="s">
        <v>2054</v>
      </c>
      <c r="AD59" s="506" t="s">
        <v>2054</v>
      </c>
      <c r="AE59" s="507"/>
      <c r="AF59" s="507"/>
      <c r="AG59" s="505" t="s">
        <v>2054</v>
      </c>
      <c r="AH59" s="501" t="s">
        <v>722</v>
      </c>
      <c r="AI59" s="505"/>
    </row>
    <row r="60" spans="2:35" x14ac:dyDescent="0.2">
      <c r="B60" s="352">
        <v>49</v>
      </c>
      <c r="C60" s="496" t="s">
        <v>712</v>
      </c>
      <c r="D60" s="496" t="s">
        <v>1993</v>
      </c>
      <c r="E60" s="497" t="s">
        <v>700</v>
      </c>
      <c r="F60" s="496" t="s">
        <v>872</v>
      </c>
      <c r="G60" s="496" t="b">
        <v>1</v>
      </c>
      <c r="H60" s="496"/>
      <c r="I60" s="496" t="s">
        <v>1904</v>
      </c>
      <c r="J60" s="498" t="s">
        <v>998</v>
      </c>
      <c r="K60" s="499" t="s">
        <v>999</v>
      </c>
      <c r="L60" s="500">
        <v>0</v>
      </c>
      <c r="M60" s="501">
        <v>0</v>
      </c>
      <c r="N60" s="501">
        <v>0</v>
      </c>
      <c r="O60" s="501">
        <v>0</v>
      </c>
      <c r="P60" s="502">
        <v>0</v>
      </c>
      <c r="Q60" s="503"/>
      <c r="R60" s="503"/>
      <c r="S60" s="500">
        <v>0</v>
      </c>
      <c r="T60" s="501">
        <v>0</v>
      </c>
      <c r="U60" s="501">
        <v>0</v>
      </c>
      <c r="V60" s="501">
        <v>0</v>
      </c>
      <c r="W60" s="502">
        <v>0</v>
      </c>
      <c r="X60" s="503"/>
      <c r="Y60" s="503"/>
      <c r="Z60" s="504" t="s">
        <v>2054</v>
      </c>
      <c r="AA60" s="505" t="s">
        <v>2054</v>
      </c>
      <c r="AB60" s="505" t="s">
        <v>2054</v>
      </c>
      <c r="AC60" s="505" t="s">
        <v>2054</v>
      </c>
      <c r="AD60" s="506" t="s">
        <v>2054</v>
      </c>
      <c r="AE60" s="507"/>
      <c r="AF60" s="507"/>
      <c r="AG60" s="505" t="s">
        <v>2054</v>
      </c>
      <c r="AH60" s="501" t="s">
        <v>722</v>
      </c>
      <c r="AI60" s="505"/>
    </row>
    <row r="61" spans="2:35" x14ac:dyDescent="0.2">
      <c r="B61" s="352">
        <v>50</v>
      </c>
      <c r="C61" s="496" t="s">
        <v>712</v>
      </c>
      <c r="D61" s="496" t="s">
        <v>1993</v>
      </c>
      <c r="E61" s="497" t="s">
        <v>700</v>
      </c>
      <c r="F61" s="496" t="s">
        <v>872</v>
      </c>
      <c r="G61" s="496" t="b">
        <v>1</v>
      </c>
      <c r="H61" s="496"/>
      <c r="I61" s="496" t="s">
        <v>1903</v>
      </c>
      <c r="J61" s="498" t="s">
        <v>1000</v>
      </c>
      <c r="K61" s="499" t="s">
        <v>1001</v>
      </c>
      <c r="L61" s="500">
        <v>1306.2849200075364</v>
      </c>
      <c r="M61" s="501">
        <v>856.65220940150039</v>
      </c>
      <c r="N61" s="501">
        <v>5443.4298623514724</v>
      </c>
      <c r="O61" s="501">
        <v>5444.2745042400138</v>
      </c>
      <c r="P61" s="502">
        <v>0</v>
      </c>
      <c r="Q61" s="503"/>
      <c r="R61" s="503"/>
      <c r="S61" s="500">
        <v>1175.9698414514505</v>
      </c>
      <c r="T61" s="501">
        <v>824.19505072297886</v>
      </c>
      <c r="U61" s="501">
        <v>5265.2875340797345</v>
      </c>
      <c r="V61" s="501">
        <v>5265.2875340797345</v>
      </c>
      <c r="W61" s="502">
        <v>0</v>
      </c>
      <c r="X61" s="503"/>
      <c r="Y61" s="503"/>
      <c r="Z61" s="504">
        <v>9.9760072676437272E-2</v>
      </c>
      <c r="AA61" s="505">
        <v>3.788837327717598E-2</v>
      </c>
      <c r="AB61" s="505">
        <v>3.2726118049913322E-2</v>
      </c>
      <c r="AC61" s="505">
        <v>3.2876183965537376E-2</v>
      </c>
      <c r="AD61" s="506" t="s">
        <v>2054</v>
      </c>
      <c r="AE61" s="507"/>
      <c r="AF61" s="507"/>
      <c r="AG61" s="505">
        <v>0.15</v>
      </c>
      <c r="AH61" s="501">
        <v>0</v>
      </c>
      <c r="AI61" s="505"/>
    </row>
    <row r="62" spans="2:35" x14ac:dyDescent="0.2">
      <c r="B62" s="352">
        <v>51</v>
      </c>
      <c r="C62" s="496" t="s">
        <v>712</v>
      </c>
      <c r="D62" s="496" t="s">
        <v>1993</v>
      </c>
      <c r="E62" s="497" t="s">
        <v>700</v>
      </c>
      <c r="F62" s="496" t="s">
        <v>872</v>
      </c>
      <c r="G62" s="496" t="b">
        <v>1</v>
      </c>
      <c r="H62" s="496"/>
      <c r="I62" s="496" t="s">
        <v>1903</v>
      </c>
      <c r="J62" s="498" t="s">
        <v>1002</v>
      </c>
      <c r="K62" s="499" t="s">
        <v>1003</v>
      </c>
      <c r="L62" s="500">
        <v>0</v>
      </c>
      <c r="M62" s="501">
        <v>0</v>
      </c>
      <c r="N62" s="501">
        <v>0</v>
      </c>
      <c r="O62" s="501">
        <v>0</v>
      </c>
      <c r="P62" s="502">
        <v>0</v>
      </c>
      <c r="Q62" s="503"/>
      <c r="R62" s="503"/>
      <c r="S62" s="500">
        <v>0</v>
      </c>
      <c r="T62" s="501">
        <v>0</v>
      </c>
      <c r="U62" s="501">
        <v>0</v>
      </c>
      <c r="V62" s="501">
        <v>0</v>
      </c>
      <c r="W62" s="502">
        <v>0</v>
      </c>
      <c r="X62" s="503"/>
      <c r="Y62" s="503"/>
      <c r="Z62" s="504" t="s">
        <v>2054</v>
      </c>
      <c r="AA62" s="505" t="s">
        <v>2054</v>
      </c>
      <c r="AB62" s="505" t="s">
        <v>2054</v>
      </c>
      <c r="AC62" s="505" t="s">
        <v>2054</v>
      </c>
      <c r="AD62" s="506" t="s">
        <v>2054</v>
      </c>
      <c r="AE62" s="507"/>
      <c r="AF62" s="507"/>
      <c r="AG62" s="505">
        <v>0.08</v>
      </c>
      <c r="AH62" s="501" t="s">
        <v>722</v>
      </c>
      <c r="AI62" s="505"/>
    </row>
    <row r="63" spans="2:35" x14ac:dyDescent="0.2">
      <c r="B63" s="352">
        <v>52</v>
      </c>
      <c r="C63" s="496" t="s">
        <v>712</v>
      </c>
      <c r="D63" s="496" t="s">
        <v>1993</v>
      </c>
      <c r="E63" s="497" t="s">
        <v>700</v>
      </c>
      <c r="F63" s="496" t="s">
        <v>872</v>
      </c>
      <c r="G63" s="496" t="b">
        <v>1</v>
      </c>
      <c r="H63" s="496"/>
      <c r="I63" s="496" t="s">
        <v>1903</v>
      </c>
      <c r="J63" s="498" t="s">
        <v>1004</v>
      </c>
      <c r="K63" s="499" t="s">
        <v>1005</v>
      </c>
      <c r="L63" s="500">
        <v>0</v>
      </c>
      <c r="M63" s="501">
        <v>0</v>
      </c>
      <c r="N63" s="501">
        <v>0</v>
      </c>
      <c r="O63" s="501">
        <v>0</v>
      </c>
      <c r="P63" s="502">
        <v>0</v>
      </c>
      <c r="Q63" s="503"/>
      <c r="R63" s="503"/>
      <c r="S63" s="500">
        <v>0</v>
      </c>
      <c r="T63" s="501">
        <v>0</v>
      </c>
      <c r="U63" s="501">
        <v>0</v>
      </c>
      <c r="V63" s="501">
        <v>0</v>
      </c>
      <c r="W63" s="502">
        <v>0</v>
      </c>
      <c r="X63" s="503"/>
      <c r="Y63" s="503"/>
      <c r="Z63" s="504" t="s">
        <v>2054</v>
      </c>
      <c r="AA63" s="505" t="s">
        <v>2054</v>
      </c>
      <c r="AB63" s="505" t="s">
        <v>2054</v>
      </c>
      <c r="AC63" s="505" t="s">
        <v>2054</v>
      </c>
      <c r="AD63" s="506" t="s">
        <v>2054</v>
      </c>
      <c r="AE63" s="507"/>
      <c r="AF63" s="507"/>
      <c r="AG63" s="505" t="s">
        <v>2054</v>
      </c>
      <c r="AH63" s="501" t="s">
        <v>722</v>
      </c>
      <c r="AI63" s="505"/>
    </row>
    <row r="64" spans="2:35" x14ac:dyDescent="0.2">
      <c r="B64" s="352">
        <v>53</v>
      </c>
      <c r="C64" s="496" t="s">
        <v>712</v>
      </c>
      <c r="D64" s="496" t="s">
        <v>1993</v>
      </c>
      <c r="E64" s="497" t="s">
        <v>700</v>
      </c>
      <c r="F64" s="496" t="s">
        <v>872</v>
      </c>
      <c r="G64" s="496" t="b">
        <v>1</v>
      </c>
      <c r="H64" s="496"/>
      <c r="I64" s="496" t="s">
        <v>1903</v>
      </c>
      <c r="J64" s="498" t="s">
        <v>1006</v>
      </c>
      <c r="K64" s="499" t="s">
        <v>1007</v>
      </c>
      <c r="L64" s="500">
        <v>24.799942660244739</v>
      </c>
      <c r="M64" s="501">
        <v>13.918811744066472</v>
      </c>
      <c r="N64" s="501">
        <v>0</v>
      </c>
      <c r="O64" s="501">
        <v>0</v>
      </c>
      <c r="P64" s="502">
        <v>0</v>
      </c>
      <c r="Q64" s="503"/>
      <c r="R64" s="503"/>
      <c r="S64" s="500">
        <v>22.308623427002541</v>
      </c>
      <c r="T64" s="501">
        <v>13.385174056201523</v>
      </c>
      <c r="U64" s="501">
        <v>0</v>
      </c>
      <c r="V64" s="501">
        <v>0</v>
      </c>
      <c r="W64" s="502">
        <v>0</v>
      </c>
      <c r="X64" s="503"/>
      <c r="Y64" s="503"/>
      <c r="Z64" s="504">
        <v>0.10045665295976181</v>
      </c>
      <c r="AA64" s="505">
        <v>3.8339313561909227E-2</v>
      </c>
      <c r="AB64" s="505" t="s">
        <v>2054</v>
      </c>
      <c r="AC64" s="505" t="s">
        <v>2054</v>
      </c>
      <c r="AD64" s="506" t="s">
        <v>2054</v>
      </c>
      <c r="AE64" s="507"/>
      <c r="AF64" s="507"/>
      <c r="AG64" s="505">
        <v>0.08</v>
      </c>
      <c r="AH64" s="501">
        <v>1</v>
      </c>
      <c r="AI64" s="505"/>
    </row>
    <row r="65" spans="2:35" x14ac:dyDescent="0.2">
      <c r="B65" s="352">
        <v>54</v>
      </c>
      <c r="C65" s="496" t="s">
        <v>712</v>
      </c>
      <c r="D65" s="496" t="s">
        <v>1993</v>
      </c>
      <c r="E65" s="497" t="s">
        <v>700</v>
      </c>
      <c r="F65" s="496" t="s">
        <v>872</v>
      </c>
      <c r="G65" s="496" t="b">
        <v>1</v>
      </c>
      <c r="H65" s="496"/>
      <c r="I65" s="496" t="s">
        <v>1903</v>
      </c>
      <c r="J65" s="498" t="s">
        <v>1008</v>
      </c>
      <c r="K65" s="499" t="s">
        <v>1009</v>
      </c>
      <c r="L65" s="500">
        <v>0</v>
      </c>
      <c r="M65" s="501">
        <v>0</v>
      </c>
      <c r="N65" s="501">
        <v>0</v>
      </c>
      <c r="O65" s="501">
        <v>0</v>
      </c>
      <c r="P65" s="502">
        <v>0</v>
      </c>
      <c r="Q65" s="503"/>
      <c r="R65" s="503"/>
      <c r="S65" s="500">
        <v>0</v>
      </c>
      <c r="T65" s="501">
        <v>0</v>
      </c>
      <c r="U65" s="501">
        <v>0</v>
      </c>
      <c r="V65" s="501">
        <v>0</v>
      </c>
      <c r="W65" s="502">
        <v>0</v>
      </c>
      <c r="X65" s="503"/>
      <c r="Y65" s="503"/>
      <c r="Z65" s="504" t="s">
        <v>2054</v>
      </c>
      <c r="AA65" s="505" t="s">
        <v>2054</v>
      </c>
      <c r="AB65" s="505" t="s">
        <v>2054</v>
      </c>
      <c r="AC65" s="505" t="s">
        <v>2054</v>
      </c>
      <c r="AD65" s="506" t="s">
        <v>2054</v>
      </c>
      <c r="AE65" s="507"/>
      <c r="AF65" s="507"/>
      <c r="AG65" s="505">
        <v>0.05</v>
      </c>
      <c r="AH65" s="501" t="s">
        <v>722</v>
      </c>
      <c r="AI65" s="505"/>
    </row>
    <row r="66" spans="2:35" x14ac:dyDescent="0.2">
      <c r="B66" s="352">
        <v>55</v>
      </c>
      <c r="C66" s="496" t="s">
        <v>712</v>
      </c>
      <c r="D66" s="496" t="s">
        <v>1993</v>
      </c>
      <c r="E66" s="497" t="s">
        <v>700</v>
      </c>
      <c r="F66" s="496" t="s">
        <v>872</v>
      </c>
      <c r="G66" s="496" t="b">
        <v>1</v>
      </c>
      <c r="H66" s="496"/>
      <c r="I66" s="496" t="s">
        <v>1905</v>
      </c>
      <c r="J66" s="498" t="s">
        <v>1848</v>
      </c>
      <c r="K66" s="499" t="s">
        <v>1849</v>
      </c>
      <c r="L66" s="500">
        <v>0</v>
      </c>
      <c r="M66" s="501">
        <v>0</v>
      </c>
      <c r="N66" s="501">
        <v>0</v>
      </c>
      <c r="O66" s="501">
        <v>0</v>
      </c>
      <c r="P66" s="502">
        <v>0</v>
      </c>
      <c r="Q66" s="503"/>
      <c r="R66" s="503"/>
      <c r="S66" s="500">
        <v>0</v>
      </c>
      <c r="T66" s="501">
        <v>0</v>
      </c>
      <c r="U66" s="501">
        <v>0</v>
      </c>
      <c r="V66" s="501">
        <v>0</v>
      </c>
      <c r="W66" s="502">
        <v>0</v>
      </c>
      <c r="X66" s="503"/>
      <c r="Y66" s="503"/>
      <c r="Z66" s="504" t="s">
        <v>2054</v>
      </c>
      <c r="AA66" s="505" t="s">
        <v>2054</v>
      </c>
      <c r="AB66" s="505" t="s">
        <v>2054</v>
      </c>
      <c r="AC66" s="505" t="s">
        <v>2054</v>
      </c>
      <c r="AD66" s="506" t="s">
        <v>2054</v>
      </c>
      <c r="AE66" s="507"/>
      <c r="AF66" s="507"/>
      <c r="AG66" s="505" t="s">
        <v>2054</v>
      </c>
      <c r="AH66" s="501" t="s">
        <v>722</v>
      </c>
      <c r="AI66" s="505"/>
    </row>
    <row r="67" spans="2:35" x14ac:dyDescent="0.2">
      <c r="B67" s="352">
        <v>56</v>
      </c>
      <c r="C67" s="496" t="s">
        <v>712</v>
      </c>
      <c r="D67" s="496" t="s">
        <v>1993</v>
      </c>
      <c r="E67" s="497" t="s">
        <v>700</v>
      </c>
      <c r="F67" s="496" t="s">
        <v>872</v>
      </c>
      <c r="G67" s="496" t="b">
        <v>1</v>
      </c>
      <c r="H67" s="496"/>
      <c r="I67" s="496" t="s">
        <v>1903</v>
      </c>
      <c r="J67" s="498" t="s">
        <v>1010</v>
      </c>
      <c r="K67" s="499" t="s">
        <v>1011</v>
      </c>
      <c r="L67" s="500">
        <v>0</v>
      </c>
      <c r="M67" s="501">
        <v>0</v>
      </c>
      <c r="N67" s="501">
        <v>0</v>
      </c>
      <c r="O67" s="501">
        <v>0</v>
      </c>
      <c r="P67" s="502">
        <v>0</v>
      </c>
      <c r="Q67" s="503"/>
      <c r="R67" s="503"/>
      <c r="S67" s="500">
        <v>0</v>
      </c>
      <c r="T67" s="501">
        <v>0</v>
      </c>
      <c r="U67" s="501">
        <v>0</v>
      </c>
      <c r="V67" s="501">
        <v>0</v>
      </c>
      <c r="W67" s="502">
        <v>0</v>
      </c>
      <c r="X67" s="503"/>
      <c r="Y67" s="503"/>
      <c r="Z67" s="504" t="s">
        <v>2054</v>
      </c>
      <c r="AA67" s="505" t="s">
        <v>2054</v>
      </c>
      <c r="AB67" s="505" t="s">
        <v>2054</v>
      </c>
      <c r="AC67" s="505" t="s">
        <v>2054</v>
      </c>
      <c r="AD67" s="506" t="s">
        <v>2054</v>
      </c>
      <c r="AE67" s="507"/>
      <c r="AF67" s="507"/>
      <c r="AG67" s="505" t="s">
        <v>2054</v>
      </c>
      <c r="AH67" s="501" t="s">
        <v>722</v>
      </c>
      <c r="AI67" s="505"/>
    </row>
    <row r="68" spans="2:35" x14ac:dyDescent="0.2">
      <c r="B68" s="352">
        <v>57</v>
      </c>
      <c r="C68" s="496" t="s">
        <v>712</v>
      </c>
      <c r="D68" s="496" t="s">
        <v>1993</v>
      </c>
      <c r="E68" s="497" t="s">
        <v>700</v>
      </c>
      <c r="F68" s="496" t="s">
        <v>872</v>
      </c>
      <c r="G68" s="496" t="b">
        <v>1</v>
      </c>
      <c r="H68" s="496"/>
      <c r="I68" s="496" t="s">
        <v>1903</v>
      </c>
      <c r="J68" s="498" t="s">
        <v>1012</v>
      </c>
      <c r="K68" s="499" t="s">
        <v>1013</v>
      </c>
      <c r="L68" s="500">
        <v>0</v>
      </c>
      <c r="M68" s="501">
        <v>0</v>
      </c>
      <c r="N68" s="501">
        <v>0</v>
      </c>
      <c r="O68" s="501">
        <v>0</v>
      </c>
      <c r="P68" s="502">
        <v>0</v>
      </c>
      <c r="Q68" s="503"/>
      <c r="R68" s="503"/>
      <c r="S68" s="500">
        <v>0</v>
      </c>
      <c r="T68" s="501">
        <v>0</v>
      </c>
      <c r="U68" s="501">
        <v>0</v>
      </c>
      <c r="V68" s="501">
        <v>0</v>
      </c>
      <c r="W68" s="502">
        <v>0</v>
      </c>
      <c r="X68" s="503"/>
      <c r="Y68" s="503"/>
      <c r="Z68" s="504" t="s">
        <v>2054</v>
      </c>
      <c r="AA68" s="505" t="s">
        <v>2054</v>
      </c>
      <c r="AB68" s="505" t="s">
        <v>2054</v>
      </c>
      <c r="AC68" s="505" t="s">
        <v>2054</v>
      </c>
      <c r="AD68" s="506" t="s">
        <v>2054</v>
      </c>
      <c r="AE68" s="507"/>
      <c r="AF68" s="507"/>
      <c r="AG68" s="505">
        <v>0.05</v>
      </c>
      <c r="AH68" s="501" t="s">
        <v>722</v>
      </c>
      <c r="AI68" s="505"/>
    </row>
    <row r="69" spans="2:35" x14ac:dyDescent="0.2">
      <c r="B69" s="352">
        <v>58</v>
      </c>
      <c r="C69" s="496" t="s">
        <v>712</v>
      </c>
      <c r="D69" s="496" t="s">
        <v>1993</v>
      </c>
      <c r="E69" s="497" t="s">
        <v>700</v>
      </c>
      <c r="F69" s="496" t="s">
        <v>872</v>
      </c>
      <c r="G69" s="496" t="b">
        <v>1</v>
      </c>
      <c r="H69" s="496"/>
      <c r="I69" s="496" t="s">
        <v>1903</v>
      </c>
      <c r="J69" s="498" t="s">
        <v>1014</v>
      </c>
      <c r="K69" s="499" t="s">
        <v>1893</v>
      </c>
      <c r="L69" s="500">
        <v>1895.4441336839075</v>
      </c>
      <c r="M69" s="501">
        <v>1477.9436378875314</v>
      </c>
      <c r="N69" s="501">
        <v>0</v>
      </c>
      <c r="O69" s="501">
        <v>0</v>
      </c>
      <c r="P69" s="502">
        <v>0</v>
      </c>
      <c r="Q69" s="503"/>
      <c r="R69" s="503"/>
      <c r="S69" s="500">
        <v>1735.2565680373446</v>
      </c>
      <c r="T69" s="501">
        <v>1432.1367167676308</v>
      </c>
      <c r="U69" s="501">
        <v>0</v>
      </c>
      <c r="V69" s="501">
        <v>0</v>
      </c>
      <c r="W69" s="502">
        <v>0</v>
      </c>
      <c r="X69" s="503"/>
      <c r="Y69" s="503"/>
      <c r="Z69" s="504">
        <v>8.4511889746509694E-2</v>
      </c>
      <c r="AA69" s="505">
        <v>3.0993686055155512E-2</v>
      </c>
      <c r="AB69" s="505" t="s">
        <v>2054</v>
      </c>
      <c r="AC69" s="505" t="s">
        <v>2054</v>
      </c>
      <c r="AD69" s="506" t="s">
        <v>2054</v>
      </c>
      <c r="AE69" s="507"/>
      <c r="AF69" s="507"/>
      <c r="AG69" s="505">
        <v>0.05</v>
      </c>
      <c r="AH69" s="501">
        <v>1</v>
      </c>
      <c r="AI69" s="505"/>
    </row>
    <row r="70" spans="2:35" x14ac:dyDescent="0.2">
      <c r="B70" s="352">
        <v>59</v>
      </c>
      <c r="C70" s="496" t="s">
        <v>712</v>
      </c>
      <c r="D70" s="496" t="s">
        <v>1993</v>
      </c>
      <c r="E70" s="497" t="s">
        <v>700</v>
      </c>
      <c r="F70" s="496" t="s">
        <v>872</v>
      </c>
      <c r="G70" s="496" t="b">
        <v>1</v>
      </c>
      <c r="H70" s="496"/>
      <c r="I70" s="496" t="s">
        <v>709</v>
      </c>
      <c r="J70" s="498" t="s">
        <v>1015</v>
      </c>
      <c r="K70" s="499" t="s">
        <v>1016</v>
      </c>
      <c r="L70" s="500">
        <v>0</v>
      </c>
      <c r="M70" s="501">
        <v>0</v>
      </c>
      <c r="N70" s="501">
        <v>0</v>
      </c>
      <c r="O70" s="501">
        <v>0</v>
      </c>
      <c r="P70" s="502">
        <v>0</v>
      </c>
      <c r="Q70" s="503"/>
      <c r="R70" s="503"/>
      <c r="S70" s="500">
        <v>0</v>
      </c>
      <c r="T70" s="501">
        <v>0</v>
      </c>
      <c r="U70" s="501">
        <v>0</v>
      </c>
      <c r="V70" s="501">
        <v>0</v>
      </c>
      <c r="W70" s="502">
        <v>0</v>
      </c>
      <c r="X70" s="503"/>
      <c r="Y70" s="503"/>
      <c r="Z70" s="504" t="s">
        <v>2054</v>
      </c>
      <c r="AA70" s="505" t="s">
        <v>2054</v>
      </c>
      <c r="AB70" s="505" t="s">
        <v>2054</v>
      </c>
      <c r="AC70" s="505" t="s">
        <v>2054</v>
      </c>
      <c r="AD70" s="506" t="s">
        <v>2054</v>
      </c>
      <c r="AE70" s="507"/>
      <c r="AF70" s="507"/>
      <c r="AG70" s="505" t="s">
        <v>2054</v>
      </c>
      <c r="AH70" s="501" t="s">
        <v>722</v>
      </c>
      <c r="AI70" s="505"/>
    </row>
    <row r="71" spans="2:35" x14ac:dyDescent="0.2">
      <c r="B71" s="352">
        <v>60</v>
      </c>
      <c r="C71" s="496" t="s">
        <v>712</v>
      </c>
      <c r="D71" s="496" t="s">
        <v>1993</v>
      </c>
      <c r="E71" s="497" t="s">
        <v>700</v>
      </c>
      <c r="F71" s="496" t="s">
        <v>872</v>
      </c>
      <c r="G71" s="496" t="b">
        <v>1</v>
      </c>
      <c r="H71" s="496"/>
      <c r="I71" s="496" t="s">
        <v>716</v>
      </c>
      <c r="J71" s="498" t="s">
        <v>1017</v>
      </c>
      <c r="K71" s="499" t="s">
        <v>1018</v>
      </c>
      <c r="L71" s="500">
        <v>660.22280383022792</v>
      </c>
      <c r="M71" s="501">
        <v>514.60819883873216</v>
      </c>
      <c r="N71" s="501">
        <v>681.4853315029726</v>
      </c>
      <c r="O71" s="501">
        <v>681.4853315029726</v>
      </c>
      <c r="P71" s="502">
        <v>0</v>
      </c>
      <c r="Q71" s="503"/>
      <c r="R71" s="503"/>
      <c r="S71" s="500">
        <v>652.88305451342683</v>
      </c>
      <c r="T71" s="501">
        <v>513.0790592308465</v>
      </c>
      <c r="U71" s="501">
        <v>679.49761027806903</v>
      </c>
      <c r="V71" s="501">
        <v>679.49761027806903</v>
      </c>
      <c r="W71" s="502">
        <v>0</v>
      </c>
      <c r="X71" s="503"/>
      <c r="Y71" s="503"/>
      <c r="Z71" s="504">
        <v>1.1117079377174099E-2</v>
      </c>
      <c r="AA71" s="505">
        <v>2.9714637491907725E-3</v>
      </c>
      <c r="AB71" s="505">
        <v>2.9167483627560165E-3</v>
      </c>
      <c r="AC71" s="505">
        <v>2.9167483627560165E-3</v>
      </c>
      <c r="AD71" s="506" t="s">
        <v>2054</v>
      </c>
      <c r="AE71" s="507"/>
      <c r="AF71" s="507"/>
      <c r="AG71" s="505">
        <v>0.1</v>
      </c>
      <c r="AH71" s="501">
        <v>0</v>
      </c>
      <c r="AI71" s="505"/>
    </row>
    <row r="72" spans="2:35" x14ac:dyDescent="0.2">
      <c r="B72" s="352">
        <v>61</v>
      </c>
      <c r="C72" s="496" t="s">
        <v>712</v>
      </c>
      <c r="D72" s="496" t="s">
        <v>1993</v>
      </c>
      <c r="E72" s="497" t="s">
        <v>700</v>
      </c>
      <c r="F72" s="496" t="s">
        <v>872</v>
      </c>
      <c r="G72" s="496" t="b">
        <v>1</v>
      </c>
      <c r="H72" s="496"/>
      <c r="I72" s="496" t="s">
        <v>716</v>
      </c>
      <c r="J72" s="498" t="s">
        <v>1019</v>
      </c>
      <c r="K72" s="499" t="s">
        <v>1020</v>
      </c>
      <c r="L72" s="500">
        <v>3857.3375657687488</v>
      </c>
      <c r="M72" s="501">
        <v>3608.0666106817348</v>
      </c>
      <c r="N72" s="501">
        <v>3888.4105403037884</v>
      </c>
      <c r="O72" s="501">
        <v>3889.0161825945188</v>
      </c>
      <c r="P72" s="502">
        <v>0</v>
      </c>
      <c r="Q72" s="503"/>
      <c r="R72" s="503"/>
      <c r="S72" s="500">
        <v>3495.0691604885396</v>
      </c>
      <c r="T72" s="501">
        <v>3486.5547043135202</v>
      </c>
      <c r="U72" s="501">
        <v>3779.0900758254293</v>
      </c>
      <c r="V72" s="501">
        <v>3779.0900758254293</v>
      </c>
      <c r="W72" s="502">
        <v>0</v>
      </c>
      <c r="X72" s="503"/>
      <c r="Y72" s="503"/>
      <c r="Z72" s="504">
        <v>9.3916697489764722E-2</v>
      </c>
      <c r="AA72" s="505">
        <v>3.3677844529942047E-2</v>
      </c>
      <c r="AB72" s="505">
        <v>2.8114434765887264E-2</v>
      </c>
      <c r="AC72" s="505">
        <v>2.8265787954565247E-2</v>
      </c>
      <c r="AD72" s="506" t="s">
        <v>2054</v>
      </c>
      <c r="AE72" s="507"/>
      <c r="AF72" s="507"/>
      <c r="AG72" s="505">
        <v>0.05</v>
      </c>
      <c r="AH72" s="501">
        <v>1</v>
      </c>
      <c r="AI72" s="505"/>
    </row>
    <row r="73" spans="2:35" x14ac:dyDescent="0.2">
      <c r="B73" s="352">
        <v>62</v>
      </c>
      <c r="C73" s="496" t="s">
        <v>712</v>
      </c>
      <c r="D73" s="496" t="s">
        <v>1993</v>
      </c>
      <c r="E73" s="497" t="s">
        <v>700</v>
      </c>
      <c r="F73" s="496" t="s">
        <v>872</v>
      </c>
      <c r="G73" s="496" t="b">
        <v>1</v>
      </c>
      <c r="H73" s="496"/>
      <c r="I73" s="496" t="s">
        <v>716</v>
      </c>
      <c r="J73" s="498" t="s">
        <v>1021</v>
      </c>
      <c r="K73" s="499" t="s">
        <v>751</v>
      </c>
      <c r="L73" s="500">
        <v>5986.9179865568267</v>
      </c>
      <c r="M73" s="501">
        <v>5715.9786376530737</v>
      </c>
      <c r="N73" s="501">
        <v>6402.6762429294304</v>
      </c>
      <c r="O73" s="501">
        <v>6402.677066285928</v>
      </c>
      <c r="P73" s="502">
        <v>0</v>
      </c>
      <c r="Q73" s="503"/>
      <c r="R73" s="503"/>
      <c r="S73" s="500">
        <v>5983.5717264500508</v>
      </c>
      <c r="T73" s="501">
        <v>5713.947280907757</v>
      </c>
      <c r="U73" s="501">
        <v>6400.1145159272146</v>
      </c>
      <c r="V73" s="501">
        <v>6400.1145159272146</v>
      </c>
      <c r="W73" s="502">
        <v>0</v>
      </c>
      <c r="X73" s="503"/>
      <c r="Y73" s="503"/>
      <c r="Z73" s="504">
        <v>5.5892866985807199E-4</v>
      </c>
      <c r="AA73" s="505">
        <v>3.553821443514904E-4</v>
      </c>
      <c r="AB73" s="505">
        <v>4.0010253603639523E-4</v>
      </c>
      <c r="AC73" s="505">
        <v>4.0023108024722642E-4</v>
      </c>
      <c r="AD73" s="506" t="s">
        <v>2054</v>
      </c>
      <c r="AE73" s="507"/>
      <c r="AF73" s="507"/>
      <c r="AG73" s="505">
        <v>0.1</v>
      </c>
      <c r="AH73" s="501">
        <v>0</v>
      </c>
      <c r="AI73" s="505"/>
    </row>
    <row r="74" spans="2:35" x14ac:dyDescent="0.2">
      <c r="B74" s="352">
        <v>63</v>
      </c>
      <c r="C74" s="496" t="s">
        <v>712</v>
      </c>
      <c r="D74" s="496" t="s">
        <v>1993</v>
      </c>
      <c r="E74" s="497" t="s">
        <v>700</v>
      </c>
      <c r="F74" s="496" t="s">
        <v>872</v>
      </c>
      <c r="G74" s="496" t="b">
        <v>1</v>
      </c>
      <c r="H74" s="496"/>
      <c r="I74" s="496" t="s">
        <v>1908</v>
      </c>
      <c r="J74" s="498" t="s">
        <v>1846</v>
      </c>
      <c r="K74" s="499" t="s">
        <v>1895</v>
      </c>
      <c r="L74" s="500">
        <v>31793.351304448734</v>
      </c>
      <c r="M74" s="501">
        <v>20381.273906298826</v>
      </c>
      <c r="N74" s="501">
        <v>19984.657850404994</v>
      </c>
      <c r="O74" s="501">
        <v>20024.26228458924</v>
      </c>
      <c r="P74" s="502">
        <v>0</v>
      </c>
      <c r="Q74" s="503"/>
      <c r="R74" s="503"/>
      <c r="S74" s="500">
        <v>31793.351304448734</v>
      </c>
      <c r="T74" s="501">
        <v>20381.273906298826</v>
      </c>
      <c r="U74" s="501">
        <v>19984.657850404994</v>
      </c>
      <c r="V74" s="501">
        <v>20024.26228458924</v>
      </c>
      <c r="W74" s="502">
        <v>0</v>
      </c>
      <c r="X74" s="503"/>
      <c r="Y74" s="503"/>
      <c r="Z74" s="504">
        <v>0</v>
      </c>
      <c r="AA74" s="505">
        <v>0</v>
      </c>
      <c r="AB74" s="505">
        <v>0</v>
      </c>
      <c r="AC74" s="505">
        <v>0</v>
      </c>
      <c r="AD74" s="506" t="s">
        <v>2054</v>
      </c>
      <c r="AE74" s="507"/>
      <c r="AF74" s="507"/>
      <c r="AG74" s="505">
        <v>0.2</v>
      </c>
      <c r="AH74" s="501" t="s">
        <v>722</v>
      </c>
      <c r="AI74" s="505"/>
    </row>
    <row r="75" spans="2:35" x14ac:dyDescent="0.2">
      <c r="B75" s="352">
        <v>64</v>
      </c>
      <c r="C75" s="496" t="s">
        <v>712</v>
      </c>
      <c r="D75" s="496" t="s">
        <v>1993</v>
      </c>
      <c r="E75" s="497" t="s">
        <v>700</v>
      </c>
      <c r="F75" s="496" t="s">
        <v>872</v>
      </c>
      <c r="G75" s="496" t="b">
        <v>1</v>
      </c>
      <c r="H75" s="496"/>
      <c r="I75" s="496" t="s">
        <v>1905</v>
      </c>
      <c r="J75" s="498" t="s">
        <v>1847</v>
      </c>
      <c r="K75" s="499" t="s">
        <v>1894</v>
      </c>
      <c r="L75" s="500">
        <v>0</v>
      </c>
      <c r="M75" s="501">
        <v>0</v>
      </c>
      <c r="N75" s="501">
        <v>10271.503494836072</v>
      </c>
      <c r="O75" s="501">
        <v>10211.005375009363</v>
      </c>
      <c r="P75" s="502">
        <v>0</v>
      </c>
      <c r="Q75" s="503"/>
      <c r="R75" s="503"/>
      <c r="S75" s="500">
        <v>0</v>
      </c>
      <c r="T75" s="501">
        <v>0</v>
      </c>
      <c r="U75" s="501">
        <v>10012.848514709274</v>
      </c>
      <c r="V75" s="501">
        <v>9953.4418634329068</v>
      </c>
      <c r="W75" s="502">
        <v>0</v>
      </c>
      <c r="X75" s="503"/>
      <c r="Y75" s="503"/>
      <c r="Z75" s="504" t="s">
        <v>2054</v>
      </c>
      <c r="AA75" s="505" t="s">
        <v>2054</v>
      </c>
      <c r="AB75" s="505">
        <v>2.5181803253713997E-2</v>
      </c>
      <c r="AC75" s="505">
        <v>2.5224108901834796E-2</v>
      </c>
      <c r="AD75" s="506" t="s">
        <v>2054</v>
      </c>
      <c r="AE75" s="507"/>
      <c r="AF75" s="507"/>
      <c r="AG75" s="505">
        <v>0.2</v>
      </c>
      <c r="AH75" s="501">
        <v>0</v>
      </c>
      <c r="AI75" s="505"/>
    </row>
    <row r="76" spans="2:35" x14ac:dyDescent="0.2">
      <c r="B76" s="352">
        <v>65</v>
      </c>
      <c r="C76" s="496" t="s">
        <v>719</v>
      </c>
      <c r="D76" s="496" t="s">
        <v>1994</v>
      </c>
      <c r="E76" s="497" t="s">
        <v>700</v>
      </c>
      <c r="F76" s="496" t="s">
        <v>872</v>
      </c>
      <c r="G76" s="496" t="b">
        <v>1</v>
      </c>
      <c r="H76" s="496"/>
      <c r="I76" s="496" t="s">
        <v>762</v>
      </c>
      <c r="J76" s="498" t="s">
        <v>969</v>
      </c>
      <c r="K76" s="499" t="s">
        <v>970</v>
      </c>
      <c r="L76" s="500">
        <v>53712.004141814861</v>
      </c>
      <c r="M76" s="501">
        <v>60906.769053312157</v>
      </c>
      <c r="N76" s="501">
        <v>61652.351651813595</v>
      </c>
      <c r="O76" s="501">
        <v>61636.709351471516</v>
      </c>
      <c r="P76" s="502">
        <v>0</v>
      </c>
      <c r="Q76" s="503"/>
      <c r="R76" s="503"/>
      <c r="S76" s="500">
        <v>52435.996904632986</v>
      </c>
      <c r="T76" s="501">
        <v>60103.643138142004</v>
      </c>
      <c r="U76" s="501">
        <v>60378.984319916242</v>
      </c>
      <c r="V76" s="501">
        <v>60378.984319916242</v>
      </c>
      <c r="W76" s="502">
        <v>0</v>
      </c>
      <c r="X76" s="503"/>
      <c r="Y76" s="503"/>
      <c r="Z76" s="504">
        <v>2.3756462965203395E-2</v>
      </c>
      <c r="AA76" s="505">
        <v>1.3186152009921459E-2</v>
      </c>
      <c r="AB76" s="505">
        <v>2.0653994499492789E-2</v>
      </c>
      <c r="AC76" s="505">
        <v>2.0405453905453341E-2</v>
      </c>
      <c r="AD76" s="506" t="s">
        <v>2054</v>
      </c>
      <c r="AE76" s="507"/>
      <c r="AF76" s="507"/>
      <c r="AG76" s="505">
        <v>0.05</v>
      </c>
      <c r="AH76" s="501">
        <v>0</v>
      </c>
      <c r="AI76" s="505"/>
    </row>
    <row r="77" spans="2:35" x14ac:dyDescent="0.2">
      <c r="B77" s="352">
        <v>66</v>
      </c>
      <c r="C77" s="496" t="s">
        <v>719</v>
      </c>
      <c r="D77" s="496" t="s">
        <v>1994</v>
      </c>
      <c r="E77" s="497" t="s">
        <v>700</v>
      </c>
      <c r="F77" s="496" t="s">
        <v>872</v>
      </c>
      <c r="G77" s="496" t="b">
        <v>1</v>
      </c>
      <c r="H77" s="496"/>
      <c r="I77" s="496" t="s">
        <v>762</v>
      </c>
      <c r="J77" s="498" t="s">
        <v>971</v>
      </c>
      <c r="K77" s="499" t="s">
        <v>972</v>
      </c>
      <c r="L77" s="500">
        <v>0</v>
      </c>
      <c r="M77" s="501">
        <v>0</v>
      </c>
      <c r="N77" s="501">
        <v>0</v>
      </c>
      <c r="O77" s="501">
        <v>0</v>
      </c>
      <c r="P77" s="502">
        <v>0</v>
      </c>
      <c r="Q77" s="503"/>
      <c r="R77" s="503"/>
      <c r="S77" s="500">
        <v>0</v>
      </c>
      <c r="T77" s="501">
        <v>0</v>
      </c>
      <c r="U77" s="501">
        <v>0</v>
      </c>
      <c r="V77" s="501">
        <v>0</v>
      </c>
      <c r="W77" s="502">
        <v>0</v>
      </c>
      <c r="X77" s="503"/>
      <c r="Y77" s="503"/>
      <c r="Z77" s="504" t="s">
        <v>2054</v>
      </c>
      <c r="AA77" s="505" t="s">
        <v>2054</v>
      </c>
      <c r="AB77" s="505" t="s">
        <v>2054</v>
      </c>
      <c r="AC77" s="505" t="s">
        <v>2054</v>
      </c>
      <c r="AD77" s="506" t="s">
        <v>2054</v>
      </c>
      <c r="AE77" s="507"/>
      <c r="AF77" s="507"/>
      <c r="AG77" s="505">
        <v>0.11</v>
      </c>
      <c r="AH77" s="501" t="s">
        <v>722</v>
      </c>
      <c r="AI77" s="505"/>
    </row>
    <row r="78" spans="2:35" x14ac:dyDescent="0.2">
      <c r="B78" s="352">
        <v>67</v>
      </c>
      <c r="C78" s="496" t="s">
        <v>719</v>
      </c>
      <c r="D78" s="496" t="s">
        <v>1994</v>
      </c>
      <c r="E78" s="497" t="s">
        <v>700</v>
      </c>
      <c r="F78" s="496" t="s">
        <v>872</v>
      </c>
      <c r="G78" s="496" t="b">
        <v>1</v>
      </c>
      <c r="H78" s="496"/>
      <c r="I78" s="496" t="s">
        <v>762</v>
      </c>
      <c r="J78" s="498" t="s">
        <v>973</v>
      </c>
      <c r="K78" s="499" t="s">
        <v>974</v>
      </c>
      <c r="L78" s="500">
        <v>333.1830304065528</v>
      </c>
      <c r="M78" s="501">
        <v>23597.126517648267</v>
      </c>
      <c r="N78" s="501">
        <v>25653.009153488427</v>
      </c>
      <c r="O78" s="501">
        <v>25647.662131041132</v>
      </c>
      <c r="P78" s="502">
        <v>0</v>
      </c>
      <c r="Q78" s="503"/>
      <c r="R78" s="503"/>
      <c r="S78" s="500">
        <v>329.1623800392191</v>
      </c>
      <c r="T78" s="501">
        <v>23426.53919650727</v>
      </c>
      <c r="U78" s="501">
        <v>25439.684300103483</v>
      </c>
      <c r="V78" s="501">
        <v>25439.684300103483</v>
      </c>
      <c r="W78" s="502">
        <v>0</v>
      </c>
      <c r="X78" s="503"/>
      <c r="Y78" s="503"/>
      <c r="Z78" s="504">
        <v>1.2067392395187948E-2</v>
      </c>
      <c r="AA78" s="505">
        <v>7.2291565251987322E-3</v>
      </c>
      <c r="AB78" s="505">
        <v>8.3157828428067626E-3</v>
      </c>
      <c r="AC78" s="505">
        <v>8.1090366004913372E-3</v>
      </c>
      <c r="AD78" s="506" t="s">
        <v>2054</v>
      </c>
      <c r="AE78" s="507"/>
      <c r="AF78" s="507"/>
      <c r="AG78" s="505">
        <v>0.05</v>
      </c>
      <c r="AH78" s="501">
        <v>0</v>
      </c>
      <c r="AI78" s="505"/>
    </row>
    <row r="79" spans="2:35" x14ac:dyDescent="0.2">
      <c r="B79" s="352">
        <v>68</v>
      </c>
      <c r="C79" s="496" t="s">
        <v>719</v>
      </c>
      <c r="D79" s="496" t="s">
        <v>1994</v>
      </c>
      <c r="E79" s="497" t="s">
        <v>700</v>
      </c>
      <c r="F79" s="496" t="s">
        <v>872</v>
      </c>
      <c r="G79" s="496" t="b">
        <v>1</v>
      </c>
      <c r="H79" s="496"/>
      <c r="I79" s="496" t="s">
        <v>762</v>
      </c>
      <c r="J79" s="498" t="s">
        <v>975</v>
      </c>
      <c r="K79" s="499" t="s">
        <v>976</v>
      </c>
      <c r="L79" s="500">
        <v>0</v>
      </c>
      <c r="M79" s="501">
        <v>0</v>
      </c>
      <c r="N79" s="501">
        <v>0</v>
      </c>
      <c r="O79" s="501">
        <v>0</v>
      </c>
      <c r="P79" s="502">
        <v>0</v>
      </c>
      <c r="Q79" s="503"/>
      <c r="R79" s="503"/>
      <c r="S79" s="500">
        <v>0</v>
      </c>
      <c r="T79" s="501">
        <v>0</v>
      </c>
      <c r="U79" s="501">
        <v>0</v>
      </c>
      <c r="V79" s="501">
        <v>0</v>
      </c>
      <c r="W79" s="502">
        <v>0</v>
      </c>
      <c r="X79" s="503"/>
      <c r="Y79" s="503"/>
      <c r="Z79" s="504" t="s">
        <v>2054</v>
      </c>
      <c r="AA79" s="505" t="s">
        <v>2054</v>
      </c>
      <c r="AB79" s="505" t="s">
        <v>2054</v>
      </c>
      <c r="AC79" s="505" t="s">
        <v>2054</v>
      </c>
      <c r="AD79" s="506" t="s">
        <v>2054</v>
      </c>
      <c r="AE79" s="507"/>
      <c r="AF79" s="507"/>
      <c r="AG79" s="505" t="s">
        <v>2054</v>
      </c>
      <c r="AH79" s="501" t="s">
        <v>722</v>
      </c>
      <c r="AI79" s="505"/>
    </row>
    <row r="80" spans="2:35" x14ac:dyDescent="0.2">
      <c r="B80" s="352">
        <v>69</v>
      </c>
      <c r="C80" s="496" t="s">
        <v>719</v>
      </c>
      <c r="D80" s="496" t="s">
        <v>1994</v>
      </c>
      <c r="E80" s="497" t="s">
        <v>700</v>
      </c>
      <c r="F80" s="496" t="s">
        <v>872</v>
      </c>
      <c r="G80" s="496" t="b">
        <v>1</v>
      </c>
      <c r="H80" s="496"/>
      <c r="I80" s="496" t="s">
        <v>762</v>
      </c>
      <c r="J80" s="498" t="s">
        <v>977</v>
      </c>
      <c r="K80" s="499" t="s">
        <v>864</v>
      </c>
      <c r="L80" s="500">
        <v>47643.937824034962</v>
      </c>
      <c r="M80" s="501">
        <v>16300.899585066343</v>
      </c>
      <c r="N80" s="501">
        <v>19342.261293734187</v>
      </c>
      <c r="O80" s="501">
        <v>19338.051438545594</v>
      </c>
      <c r="P80" s="502">
        <v>0</v>
      </c>
      <c r="Q80" s="503"/>
      <c r="R80" s="503"/>
      <c r="S80" s="500">
        <v>46942.750618210463</v>
      </c>
      <c r="T80" s="501">
        <v>16149.390709221079</v>
      </c>
      <c r="U80" s="501">
        <v>19141.322921442312</v>
      </c>
      <c r="V80" s="501">
        <v>19141.322921442312</v>
      </c>
      <c r="W80" s="502">
        <v>0</v>
      </c>
      <c r="X80" s="503"/>
      <c r="Y80" s="503"/>
      <c r="Z80" s="504">
        <v>1.471723870546171E-2</v>
      </c>
      <c r="AA80" s="505">
        <v>9.2945101007839703E-3</v>
      </c>
      <c r="AB80" s="505">
        <v>1.0388566736866944E-2</v>
      </c>
      <c r="AC80" s="505">
        <v>1.0173130303664069E-2</v>
      </c>
      <c r="AD80" s="506" t="s">
        <v>2054</v>
      </c>
      <c r="AE80" s="507"/>
      <c r="AF80" s="507"/>
      <c r="AG80" s="505">
        <v>0.05</v>
      </c>
      <c r="AH80" s="501">
        <v>0</v>
      </c>
      <c r="AI80" s="505"/>
    </row>
    <row r="81" spans="2:35" x14ac:dyDescent="0.2">
      <c r="B81" s="352">
        <v>70</v>
      </c>
      <c r="C81" s="496" t="s">
        <v>719</v>
      </c>
      <c r="D81" s="496" t="s">
        <v>1994</v>
      </c>
      <c r="E81" s="497" t="s">
        <v>700</v>
      </c>
      <c r="F81" s="496" t="s">
        <v>872</v>
      </c>
      <c r="G81" s="496" t="b">
        <v>1</v>
      </c>
      <c r="H81" s="496"/>
      <c r="I81" s="496" t="s">
        <v>762</v>
      </c>
      <c r="J81" s="498" t="s">
        <v>978</v>
      </c>
      <c r="K81" s="499" t="s">
        <v>1892</v>
      </c>
      <c r="L81" s="500">
        <v>0</v>
      </c>
      <c r="M81" s="501">
        <v>0</v>
      </c>
      <c r="N81" s="501">
        <v>0</v>
      </c>
      <c r="O81" s="501">
        <v>0</v>
      </c>
      <c r="P81" s="502">
        <v>0</v>
      </c>
      <c r="Q81" s="503"/>
      <c r="R81" s="503"/>
      <c r="S81" s="500">
        <v>0</v>
      </c>
      <c r="T81" s="501">
        <v>0</v>
      </c>
      <c r="U81" s="501">
        <v>0</v>
      </c>
      <c r="V81" s="501">
        <v>0</v>
      </c>
      <c r="W81" s="502">
        <v>0</v>
      </c>
      <c r="X81" s="503"/>
      <c r="Y81" s="503"/>
      <c r="Z81" s="504" t="s">
        <v>2054</v>
      </c>
      <c r="AA81" s="505" t="s">
        <v>2054</v>
      </c>
      <c r="AB81" s="505" t="s">
        <v>2054</v>
      </c>
      <c r="AC81" s="505" t="s">
        <v>2054</v>
      </c>
      <c r="AD81" s="506" t="s">
        <v>2054</v>
      </c>
      <c r="AE81" s="507"/>
      <c r="AF81" s="507"/>
      <c r="AG81" s="505" t="s">
        <v>2054</v>
      </c>
      <c r="AH81" s="501" t="s">
        <v>722</v>
      </c>
      <c r="AI81" s="505"/>
    </row>
    <row r="82" spans="2:35" x14ac:dyDescent="0.2">
      <c r="B82" s="352">
        <v>71</v>
      </c>
      <c r="C82" s="496" t="s">
        <v>719</v>
      </c>
      <c r="D82" s="496" t="s">
        <v>1994</v>
      </c>
      <c r="E82" s="497" t="s">
        <v>700</v>
      </c>
      <c r="F82" s="496" t="s">
        <v>872</v>
      </c>
      <c r="G82" s="496" t="b">
        <v>1</v>
      </c>
      <c r="H82" s="496"/>
      <c r="I82" s="496" t="s">
        <v>762</v>
      </c>
      <c r="J82" s="498" t="s">
        <v>979</v>
      </c>
      <c r="K82" s="499" t="s">
        <v>980</v>
      </c>
      <c r="L82" s="500">
        <v>339.25389192649311</v>
      </c>
      <c r="M82" s="501">
        <v>367.06880676786102</v>
      </c>
      <c r="N82" s="501">
        <v>465.02682876920665</v>
      </c>
      <c r="O82" s="501">
        <v>464.90011793968762</v>
      </c>
      <c r="P82" s="502">
        <v>0</v>
      </c>
      <c r="Q82" s="503"/>
      <c r="R82" s="503"/>
      <c r="S82" s="500">
        <v>331.30453948643856</v>
      </c>
      <c r="T82" s="501">
        <v>362.31979217696187</v>
      </c>
      <c r="U82" s="501">
        <v>455.69244396962483</v>
      </c>
      <c r="V82" s="501">
        <v>455.69244396962483</v>
      </c>
      <c r="W82" s="502">
        <v>0</v>
      </c>
      <c r="X82" s="503"/>
      <c r="Y82" s="503"/>
      <c r="Z82" s="504">
        <v>2.3431868076481677E-2</v>
      </c>
      <c r="AA82" s="505">
        <v>1.2937668642333033E-2</v>
      </c>
      <c r="AB82" s="505">
        <v>2.0072787680416759E-2</v>
      </c>
      <c r="AC82" s="505">
        <v>1.980570366570078E-2</v>
      </c>
      <c r="AD82" s="506" t="s">
        <v>2054</v>
      </c>
      <c r="AE82" s="507"/>
      <c r="AF82" s="507"/>
      <c r="AG82" s="505">
        <v>0.05</v>
      </c>
      <c r="AH82" s="501">
        <v>0</v>
      </c>
      <c r="AI82" s="505"/>
    </row>
    <row r="83" spans="2:35" x14ac:dyDescent="0.2">
      <c r="B83" s="352">
        <v>72</v>
      </c>
      <c r="C83" s="496" t="s">
        <v>719</v>
      </c>
      <c r="D83" s="496" t="s">
        <v>1994</v>
      </c>
      <c r="E83" s="497" t="s">
        <v>700</v>
      </c>
      <c r="F83" s="496" t="s">
        <v>872</v>
      </c>
      <c r="G83" s="496" t="b">
        <v>1</v>
      </c>
      <c r="H83" s="496"/>
      <c r="I83" s="496" t="s">
        <v>762</v>
      </c>
      <c r="J83" s="498" t="s">
        <v>981</v>
      </c>
      <c r="K83" s="499" t="s">
        <v>3674</v>
      </c>
      <c r="L83" s="500">
        <v>0</v>
      </c>
      <c r="M83" s="501">
        <v>0</v>
      </c>
      <c r="N83" s="501">
        <v>0</v>
      </c>
      <c r="O83" s="501">
        <v>0</v>
      </c>
      <c r="P83" s="502">
        <v>0</v>
      </c>
      <c r="Q83" s="503"/>
      <c r="R83" s="503"/>
      <c r="S83" s="500">
        <v>0</v>
      </c>
      <c r="T83" s="501">
        <v>0</v>
      </c>
      <c r="U83" s="501">
        <v>0</v>
      </c>
      <c r="V83" s="501">
        <v>0</v>
      </c>
      <c r="W83" s="502">
        <v>0</v>
      </c>
      <c r="X83" s="503"/>
      <c r="Y83" s="503"/>
      <c r="Z83" s="504" t="s">
        <v>2054</v>
      </c>
      <c r="AA83" s="505" t="s">
        <v>2054</v>
      </c>
      <c r="AB83" s="505" t="s">
        <v>2054</v>
      </c>
      <c r="AC83" s="505" t="s">
        <v>2054</v>
      </c>
      <c r="AD83" s="506" t="s">
        <v>2054</v>
      </c>
      <c r="AE83" s="507"/>
      <c r="AF83" s="507"/>
      <c r="AG83" s="505">
        <v>0.05</v>
      </c>
      <c r="AH83" s="501" t="s">
        <v>722</v>
      </c>
      <c r="AI83" s="505"/>
    </row>
    <row r="84" spans="2:35" x14ac:dyDescent="0.2">
      <c r="B84" s="352">
        <v>73</v>
      </c>
      <c r="C84" s="496" t="s">
        <v>719</v>
      </c>
      <c r="D84" s="496" t="s">
        <v>1994</v>
      </c>
      <c r="E84" s="497" t="s">
        <v>700</v>
      </c>
      <c r="F84" s="496" t="s">
        <v>872</v>
      </c>
      <c r="G84" s="496" t="b">
        <v>1</v>
      </c>
      <c r="H84" s="496"/>
      <c r="I84" s="496" t="s">
        <v>1903</v>
      </c>
      <c r="J84" s="498" t="s">
        <v>982</v>
      </c>
      <c r="K84" s="499" t="s">
        <v>983</v>
      </c>
      <c r="L84" s="500">
        <v>2365.5040239775299</v>
      </c>
      <c r="M84" s="501">
        <v>2034.9764742782452</v>
      </c>
      <c r="N84" s="501">
        <v>1966.572484547454</v>
      </c>
      <c r="O84" s="501">
        <v>2726.1628031367763</v>
      </c>
      <c r="P84" s="502">
        <v>0</v>
      </c>
      <c r="Q84" s="503"/>
      <c r="R84" s="503"/>
      <c r="S84" s="500">
        <v>2151.0344421174082</v>
      </c>
      <c r="T84" s="501">
        <v>1964.7393954697739</v>
      </c>
      <c r="U84" s="501">
        <v>1904.3593457902095</v>
      </c>
      <c r="V84" s="501">
        <v>2640.800469763436</v>
      </c>
      <c r="W84" s="502">
        <v>0</v>
      </c>
      <c r="X84" s="503"/>
      <c r="Y84" s="503"/>
      <c r="Z84" s="504">
        <v>9.0665490181452757E-2</v>
      </c>
      <c r="AA84" s="505">
        <v>3.4514934052681245E-2</v>
      </c>
      <c r="AB84" s="505">
        <v>3.1635314358403055E-2</v>
      </c>
      <c r="AC84" s="505">
        <v>3.1312265457925204E-2</v>
      </c>
      <c r="AD84" s="506" t="s">
        <v>2054</v>
      </c>
      <c r="AE84" s="507"/>
      <c r="AF84" s="507"/>
      <c r="AG84" s="505">
        <v>0.06</v>
      </c>
      <c r="AH84" s="501">
        <v>1</v>
      </c>
      <c r="AI84" s="505"/>
    </row>
    <row r="85" spans="2:35" x14ac:dyDescent="0.2">
      <c r="B85" s="352">
        <v>74</v>
      </c>
      <c r="C85" s="496" t="s">
        <v>719</v>
      </c>
      <c r="D85" s="496" t="s">
        <v>1994</v>
      </c>
      <c r="E85" s="497" t="s">
        <v>700</v>
      </c>
      <c r="F85" s="496" t="s">
        <v>872</v>
      </c>
      <c r="G85" s="496" t="b">
        <v>1</v>
      </c>
      <c r="H85" s="496"/>
      <c r="I85" s="496" t="s">
        <v>1903</v>
      </c>
      <c r="J85" s="498" t="s">
        <v>984</v>
      </c>
      <c r="K85" s="499" t="s">
        <v>985</v>
      </c>
      <c r="L85" s="500">
        <v>0</v>
      </c>
      <c r="M85" s="501">
        <v>0</v>
      </c>
      <c r="N85" s="501">
        <v>760.49977337338817</v>
      </c>
      <c r="O85" s="501">
        <v>0</v>
      </c>
      <c r="P85" s="502">
        <v>0</v>
      </c>
      <c r="Q85" s="503"/>
      <c r="R85" s="503"/>
      <c r="S85" s="500">
        <v>0</v>
      </c>
      <c r="T85" s="501">
        <v>0</v>
      </c>
      <c r="U85" s="501">
        <v>736.44112397322669</v>
      </c>
      <c r="V85" s="501">
        <v>0</v>
      </c>
      <c r="W85" s="502">
        <v>0</v>
      </c>
      <c r="X85" s="503"/>
      <c r="Y85" s="503"/>
      <c r="Z85" s="504" t="s">
        <v>2054</v>
      </c>
      <c r="AA85" s="505" t="s">
        <v>2054</v>
      </c>
      <c r="AB85" s="505">
        <v>3.1635314358403166E-2</v>
      </c>
      <c r="AC85" s="505" t="s">
        <v>2054</v>
      </c>
      <c r="AD85" s="506" t="s">
        <v>2054</v>
      </c>
      <c r="AE85" s="507"/>
      <c r="AF85" s="507"/>
      <c r="AG85" s="505">
        <v>0.05</v>
      </c>
      <c r="AH85" s="501">
        <v>0</v>
      </c>
      <c r="AI85" s="505"/>
    </row>
    <row r="86" spans="2:35" x14ac:dyDescent="0.2">
      <c r="B86" s="352">
        <v>75</v>
      </c>
      <c r="C86" s="496" t="s">
        <v>719</v>
      </c>
      <c r="D86" s="496" t="s">
        <v>1994</v>
      </c>
      <c r="E86" s="497" t="s">
        <v>700</v>
      </c>
      <c r="F86" s="496" t="s">
        <v>872</v>
      </c>
      <c r="G86" s="496" t="b">
        <v>1</v>
      </c>
      <c r="H86" s="496"/>
      <c r="I86" s="496" t="s">
        <v>1903</v>
      </c>
      <c r="J86" s="498" t="s">
        <v>986</v>
      </c>
      <c r="K86" s="499" t="s">
        <v>987</v>
      </c>
      <c r="L86" s="500">
        <v>588.53547712940565</v>
      </c>
      <c r="M86" s="501">
        <v>554.29025509330188</v>
      </c>
      <c r="N86" s="501">
        <v>591.85195084164275</v>
      </c>
      <c r="O86" s="501">
        <v>589.63078376476335</v>
      </c>
      <c r="P86" s="502">
        <v>0</v>
      </c>
      <c r="Q86" s="503"/>
      <c r="R86" s="503"/>
      <c r="S86" s="500">
        <v>534.97418717248024</v>
      </c>
      <c r="T86" s="501">
        <v>534.97418717248024</v>
      </c>
      <c r="U86" s="501">
        <v>572.76288818575358</v>
      </c>
      <c r="V86" s="501">
        <v>570.79643431038596</v>
      </c>
      <c r="W86" s="502">
        <v>0</v>
      </c>
      <c r="X86" s="503"/>
      <c r="Y86" s="503"/>
      <c r="Z86" s="504">
        <v>9.1007750659606312E-2</v>
      </c>
      <c r="AA86" s="505">
        <v>3.4848290662389925E-2</v>
      </c>
      <c r="AB86" s="505">
        <v>3.2253104224364892E-2</v>
      </c>
      <c r="AC86" s="505">
        <v>3.1942615570579647E-2</v>
      </c>
      <c r="AD86" s="506" t="s">
        <v>2054</v>
      </c>
      <c r="AE86" s="507"/>
      <c r="AF86" s="507"/>
      <c r="AG86" s="505">
        <v>0.05</v>
      </c>
      <c r="AH86" s="501">
        <v>1</v>
      </c>
      <c r="AI86" s="505"/>
    </row>
    <row r="87" spans="2:35" x14ac:dyDescent="0.2">
      <c r="B87" s="352">
        <v>76</v>
      </c>
      <c r="C87" s="496" t="s">
        <v>719</v>
      </c>
      <c r="D87" s="496" t="s">
        <v>1994</v>
      </c>
      <c r="E87" s="497" t="s">
        <v>700</v>
      </c>
      <c r="F87" s="496" t="s">
        <v>872</v>
      </c>
      <c r="G87" s="496" t="b">
        <v>1</v>
      </c>
      <c r="H87" s="496"/>
      <c r="I87" s="496" t="s">
        <v>1903</v>
      </c>
      <c r="J87" s="498" t="s">
        <v>988</v>
      </c>
      <c r="K87" s="499" t="s">
        <v>989</v>
      </c>
      <c r="L87" s="500">
        <v>809.23628105293278</v>
      </c>
      <c r="M87" s="501">
        <v>762.14910075329078</v>
      </c>
      <c r="N87" s="501">
        <v>813.79643240725909</v>
      </c>
      <c r="O87" s="501">
        <v>810.74232767654951</v>
      </c>
      <c r="P87" s="502">
        <v>0</v>
      </c>
      <c r="Q87" s="503"/>
      <c r="R87" s="503"/>
      <c r="S87" s="500">
        <v>735.58950736216036</v>
      </c>
      <c r="T87" s="501">
        <v>735.58950736216036</v>
      </c>
      <c r="U87" s="501">
        <v>787.54897125541117</v>
      </c>
      <c r="V87" s="501">
        <v>784.84509717678077</v>
      </c>
      <c r="W87" s="502">
        <v>0</v>
      </c>
      <c r="X87" s="503"/>
      <c r="Y87" s="503"/>
      <c r="Z87" s="504">
        <v>9.1007750659606312E-2</v>
      </c>
      <c r="AA87" s="505">
        <v>3.4848290662390813E-2</v>
      </c>
      <c r="AB87" s="505">
        <v>3.2253104224365226E-2</v>
      </c>
      <c r="AC87" s="505">
        <v>3.1942615570579425E-2</v>
      </c>
      <c r="AD87" s="506" t="s">
        <v>2054</v>
      </c>
      <c r="AE87" s="507"/>
      <c r="AF87" s="507"/>
      <c r="AG87" s="505">
        <v>0.05</v>
      </c>
      <c r="AH87" s="501">
        <v>1</v>
      </c>
      <c r="AI87" s="505"/>
    </row>
    <row r="88" spans="2:35" x14ac:dyDescent="0.2">
      <c r="B88" s="352">
        <v>77</v>
      </c>
      <c r="C88" s="496" t="s">
        <v>719</v>
      </c>
      <c r="D88" s="496" t="s">
        <v>1994</v>
      </c>
      <c r="E88" s="497" t="s">
        <v>700</v>
      </c>
      <c r="F88" s="496" t="s">
        <v>872</v>
      </c>
      <c r="G88" s="496" t="b">
        <v>1</v>
      </c>
      <c r="H88" s="496"/>
      <c r="I88" s="496" t="s">
        <v>1903</v>
      </c>
      <c r="J88" s="498" t="s">
        <v>990</v>
      </c>
      <c r="K88" s="499" t="s">
        <v>991</v>
      </c>
      <c r="L88" s="500">
        <v>336.04014274985116</v>
      </c>
      <c r="M88" s="501">
        <v>258.39467034726459</v>
      </c>
      <c r="N88" s="501">
        <v>393.39769495551576</v>
      </c>
      <c r="O88" s="501">
        <v>0</v>
      </c>
      <c r="P88" s="502">
        <v>0</v>
      </c>
      <c r="Q88" s="503"/>
      <c r="R88" s="503"/>
      <c r="S88" s="500">
        <v>305.40462607916459</v>
      </c>
      <c r="T88" s="501">
        <v>249.34090359025902</v>
      </c>
      <c r="U88" s="501">
        <v>380.6438038149559</v>
      </c>
      <c r="V88" s="501">
        <v>0</v>
      </c>
      <c r="W88" s="502">
        <v>0</v>
      </c>
      <c r="X88" s="503"/>
      <c r="Y88" s="503"/>
      <c r="Z88" s="504">
        <v>9.1166241092486722E-2</v>
      </c>
      <c r="AA88" s="505">
        <v>3.5038519737415452E-2</v>
      </c>
      <c r="AB88" s="505">
        <v>3.2419842068474813E-2</v>
      </c>
      <c r="AC88" s="505" t="s">
        <v>2054</v>
      </c>
      <c r="AD88" s="506" t="s">
        <v>2054</v>
      </c>
      <c r="AE88" s="507"/>
      <c r="AF88" s="507"/>
      <c r="AG88" s="505">
        <v>0.1</v>
      </c>
      <c r="AH88" s="501">
        <v>0</v>
      </c>
      <c r="AI88" s="505"/>
    </row>
    <row r="89" spans="2:35" x14ac:dyDescent="0.2">
      <c r="B89" s="352">
        <v>78</v>
      </c>
      <c r="C89" s="496" t="s">
        <v>719</v>
      </c>
      <c r="D89" s="496" t="s">
        <v>1994</v>
      </c>
      <c r="E89" s="497" t="s">
        <v>700</v>
      </c>
      <c r="F89" s="496" t="s">
        <v>872</v>
      </c>
      <c r="G89" s="496" t="b">
        <v>1</v>
      </c>
      <c r="H89" s="496"/>
      <c r="I89" s="496" t="s">
        <v>1903</v>
      </c>
      <c r="J89" s="498" t="s">
        <v>992</v>
      </c>
      <c r="K89" s="499" t="s">
        <v>993</v>
      </c>
      <c r="L89" s="500">
        <v>0</v>
      </c>
      <c r="M89" s="501">
        <v>0</v>
      </c>
      <c r="N89" s="501">
        <v>0</v>
      </c>
      <c r="O89" s="501">
        <v>0</v>
      </c>
      <c r="P89" s="502">
        <v>0</v>
      </c>
      <c r="Q89" s="503"/>
      <c r="R89" s="503"/>
      <c r="S89" s="500">
        <v>0</v>
      </c>
      <c r="T89" s="501">
        <v>0</v>
      </c>
      <c r="U89" s="501">
        <v>0</v>
      </c>
      <c r="V89" s="501">
        <v>0</v>
      </c>
      <c r="W89" s="502">
        <v>0</v>
      </c>
      <c r="X89" s="503"/>
      <c r="Y89" s="503"/>
      <c r="Z89" s="504" t="s">
        <v>2054</v>
      </c>
      <c r="AA89" s="505" t="s">
        <v>2054</v>
      </c>
      <c r="AB89" s="505" t="s">
        <v>2054</v>
      </c>
      <c r="AC89" s="505" t="s">
        <v>2054</v>
      </c>
      <c r="AD89" s="506" t="s">
        <v>2054</v>
      </c>
      <c r="AE89" s="507"/>
      <c r="AF89" s="507"/>
      <c r="AG89" s="505">
        <v>0.15</v>
      </c>
      <c r="AH89" s="501" t="s">
        <v>722</v>
      </c>
      <c r="AI89" s="505"/>
    </row>
    <row r="90" spans="2:35" x14ac:dyDescent="0.2">
      <c r="B90" s="352">
        <v>79</v>
      </c>
      <c r="C90" s="496" t="s">
        <v>719</v>
      </c>
      <c r="D90" s="496" t="s">
        <v>1994</v>
      </c>
      <c r="E90" s="497" t="s">
        <v>700</v>
      </c>
      <c r="F90" s="496" t="s">
        <v>872</v>
      </c>
      <c r="G90" s="496" t="b">
        <v>1</v>
      </c>
      <c r="H90" s="496"/>
      <c r="I90" s="496" t="s">
        <v>1904</v>
      </c>
      <c r="J90" s="498" t="s">
        <v>994</v>
      </c>
      <c r="K90" s="499" t="s">
        <v>995</v>
      </c>
      <c r="L90" s="500">
        <v>0</v>
      </c>
      <c r="M90" s="501">
        <v>0</v>
      </c>
      <c r="N90" s="501">
        <v>0</v>
      </c>
      <c r="O90" s="501">
        <v>0</v>
      </c>
      <c r="P90" s="502">
        <v>0</v>
      </c>
      <c r="Q90" s="503"/>
      <c r="R90" s="503"/>
      <c r="S90" s="500">
        <v>0</v>
      </c>
      <c r="T90" s="501">
        <v>0</v>
      </c>
      <c r="U90" s="501">
        <v>0</v>
      </c>
      <c r="V90" s="501">
        <v>0</v>
      </c>
      <c r="W90" s="502">
        <v>0</v>
      </c>
      <c r="X90" s="503"/>
      <c r="Y90" s="503"/>
      <c r="Z90" s="504" t="s">
        <v>2054</v>
      </c>
      <c r="AA90" s="505" t="s">
        <v>2054</v>
      </c>
      <c r="AB90" s="505" t="s">
        <v>2054</v>
      </c>
      <c r="AC90" s="505" t="s">
        <v>2054</v>
      </c>
      <c r="AD90" s="506" t="s">
        <v>2054</v>
      </c>
      <c r="AE90" s="507"/>
      <c r="AF90" s="507"/>
      <c r="AG90" s="505" t="s">
        <v>2054</v>
      </c>
      <c r="AH90" s="501" t="s">
        <v>722</v>
      </c>
      <c r="AI90" s="505"/>
    </row>
    <row r="91" spans="2:35" x14ac:dyDescent="0.2">
      <c r="B91" s="352">
        <v>80</v>
      </c>
      <c r="C91" s="496" t="s">
        <v>719</v>
      </c>
      <c r="D91" s="496" t="s">
        <v>1994</v>
      </c>
      <c r="E91" s="497" t="s">
        <v>700</v>
      </c>
      <c r="F91" s="496" t="s">
        <v>872</v>
      </c>
      <c r="G91" s="496" t="b">
        <v>1</v>
      </c>
      <c r="H91" s="496"/>
      <c r="I91" s="496" t="s">
        <v>1904</v>
      </c>
      <c r="J91" s="498" t="s">
        <v>996</v>
      </c>
      <c r="K91" s="499" t="s">
        <v>997</v>
      </c>
      <c r="L91" s="500">
        <v>0</v>
      </c>
      <c r="M91" s="501">
        <v>0</v>
      </c>
      <c r="N91" s="501">
        <v>0</v>
      </c>
      <c r="O91" s="501">
        <v>0</v>
      </c>
      <c r="P91" s="502">
        <v>0</v>
      </c>
      <c r="Q91" s="503"/>
      <c r="R91" s="503"/>
      <c r="S91" s="500">
        <v>0</v>
      </c>
      <c r="T91" s="501">
        <v>0</v>
      </c>
      <c r="U91" s="501">
        <v>0</v>
      </c>
      <c r="V91" s="501">
        <v>0</v>
      </c>
      <c r="W91" s="502">
        <v>0</v>
      </c>
      <c r="X91" s="503"/>
      <c r="Y91" s="503"/>
      <c r="Z91" s="504" t="s">
        <v>2054</v>
      </c>
      <c r="AA91" s="505" t="s">
        <v>2054</v>
      </c>
      <c r="AB91" s="505" t="s">
        <v>2054</v>
      </c>
      <c r="AC91" s="505" t="s">
        <v>2054</v>
      </c>
      <c r="AD91" s="506" t="s">
        <v>2054</v>
      </c>
      <c r="AE91" s="507"/>
      <c r="AF91" s="507"/>
      <c r="AG91" s="505" t="s">
        <v>2054</v>
      </c>
      <c r="AH91" s="501" t="s">
        <v>722</v>
      </c>
      <c r="AI91" s="505"/>
    </row>
    <row r="92" spans="2:35" x14ac:dyDescent="0.2">
      <c r="B92" s="352">
        <v>81</v>
      </c>
      <c r="C92" s="496" t="s">
        <v>719</v>
      </c>
      <c r="D92" s="496" t="s">
        <v>1994</v>
      </c>
      <c r="E92" s="497" t="s">
        <v>700</v>
      </c>
      <c r="F92" s="496" t="s">
        <v>872</v>
      </c>
      <c r="G92" s="496" t="b">
        <v>1</v>
      </c>
      <c r="H92" s="496"/>
      <c r="I92" s="496" t="s">
        <v>1904</v>
      </c>
      <c r="J92" s="498" t="s">
        <v>998</v>
      </c>
      <c r="K92" s="499" t="s">
        <v>999</v>
      </c>
      <c r="L92" s="500">
        <v>0</v>
      </c>
      <c r="M92" s="501">
        <v>0</v>
      </c>
      <c r="N92" s="501">
        <v>0</v>
      </c>
      <c r="O92" s="501">
        <v>0</v>
      </c>
      <c r="P92" s="502">
        <v>0</v>
      </c>
      <c r="Q92" s="503"/>
      <c r="R92" s="503"/>
      <c r="S92" s="500">
        <v>0</v>
      </c>
      <c r="T92" s="501">
        <v>0</v>
      </c>
      <c r="U92" s="501">
        <v>0</v>
      </c>
      <c r="V92" s="501">
        <v>0</v>
      </c>
      <c r="W92" s="502">
        <v>0</v>
      </c>
      <c r="X92" s="503"/>
      <c r="Y92" s="503"/>
      <c r="Z92" s="504" t="s">
        <v>2054</v>
      </c>
      <c r="AA92" s="505" t="s">
        <v>2054</v>
      </c>
      <c r="AB92" s="505" t="s">
        <v>2054</v>
      </c>
      <c r="AC92" s="505" t="s">
        <v>2054</v>
      </c>
      <c r="AD92" s="506" t="s">
        <v>2054</v>
      </c>
      <c r="AE92" s="507"/>
      <c r="AF92" s="507"/>
      <c r="AG92" s="505" t="s">
        <v>2054</v>
      </c>
      <c r="AH92" s="501" t="s">
        <v>722</v>
      </c>
      <c r="AI92" s="505"/>
    </row>
    <row r="93" spans="2:35" x14ac:dyDescent="0.2">
      <c r="B93" s="352">
        <v>82</v>
      </c>
      <c r="C93" s="496" t="s">
        <v>719</v>
      </c>
      <c r="D93" s="496" t="s">
        <v>1994</v>
      </c>
      <c r="E93" s="497" t="s">
        <v>700</v>
      </c>
      <c r="F93" s="496" t="s">
        <v>872</v>
      </c>
      <c r="G93" s="496" t="b">
        <v>1</v>
      </c>
      <c r="H93" s="496"/>
      <c r="I93" s="496" t="s">
        <v>1903</v>
      </c>
      <c r="J93" s="498" t="s">
        <v>1000</v>
      </c>
      <c r="K93" s="499" t="s">
        <v>1001</v>
      </c>
      <c r="L93" s="500">
        <v>814.28136762946701</v>
      </c>
      <c r="M93" s="501">
        <v>512.83017606444923</v>
      </c>
      <c r="N93" s="501">
        <v>3381.4686248769544</v>
      </c>
      <c r="O93" s="501">
        <v>3410.6899832815989</v>
      </c>
      <c r="P93" s="502">
        <v>0</v>
      </c>
      <c r="Q93" s="503"/>
      <c r="R93" s="503"/>
      <c r="S93" s="500">
        <v>740.0060510753276</v>
      </c>
      <c r="T93" s="501">
        <v>494.83783601038579</v>
      </c>
      <c r="U93" s="501">
        <v>3271.6254643855054</v>
      </c>
      <c r="V93" s="501">
        <v>3300.9408764059908</v>
      </c>
      <c r="W93" s="502">
        <v>0</v>
      </c>
      <c r="X93" s="503"/>
      <c r="Y93" s="503"/>
      <c r="Z93" s="504">
        <v>9.1215787941175019E-2</v>
      </c>
      <c r="AA93" s="505">
        <v>3.5084401998610737E-2</v>
      </c>
      <c r="AB93" s="505">
        <v>3.2483862095702865E-2</v>
      </c>
      <c r="AC93" s="505">
        <v>3.2177977891151732E-2</v>
      </c>
      <c r="AD93" s="506" t="s">
        <v>2054</v>
      </c>
      <c r="AE93" s="507"/>
      <c r="AF93" s="507"/>
      <c r="AG93" s="505">
        <v>0.15</v>
      </c>
      <c r="AH93" s="501">
        <v>0</v>
      </c>
      <c r="AI93" s="505"/>
    </row>
    <row r="94" spans="2:35" x14ac:dyDescent="0.2">
      <c r="B94" s="352">
        <v>83</v>
      </c>
      <c r="C94" s="496" t="s">
        <v>719</v>
      </c>
      <c r="D94" s="496" t="s">
        <v>1994</v>
      </c>
      <c r="E94" s="497" t="s">
        <v>700</v>
      </c>
      <c r="F94" s="496" t="s">
        <v>872</v>
      </c>
      <c r="G94" s="496" t="b">
        <v>1</v>
      </c>
      <c r="H94" s="496"/>
      <c r="I94" s="496" t="s">
        <v>1903</v>
      </c>
      <c r="J94" s="498" t="s">
        <v>1002</v>
      </c>
      <c r="K94" s="499" t="s">
        <v>1003</v>
      </c>
      <c r="L94" s="500">
        <v>54.482900498905508</v>
      </c>
      <c r="M94" s="501">
        <v>51.313421200872213</v>
      </c>
      <c r="N94" s="501">
        <v>55.325978148101825</v>
      </c>
      <c r="O94" s="501">
        <v>0</v>
      </c>
      <c r="P94" s="502">
        <v>0</v>
      </c>
      <c r="Q94" s="503"/>
      <c r="R94" s="503"/>
      <c r="S94" s="500">
        <v>49.514351936288449</v>
      </c>
      <c r="T94" s="501">
        <v>49.514351936288449</v>
      </c>
      <c r="U94" s="501">
        <v>53.530087443419653</v>
      </c>
      <c r="V94" s="501">
        <v>0</v>
      </c>
      <c r="W94" s="502">
        <v>0</v>
      </c>
      <c r="X94" s="503"/>
      <c r="Y94" s="503"/>
      <c r="Z94" s="504">
        <v>9.1194641201543081E-2</v>
      </c>
      <c r="AA94" s="505">
        <v>3.506040374000996E-2</v>
      </c>
      <c r="AB94" s="505">
        <v>3.2460170878041428E-2</v>
      </c>
      <c r="AC94" s="505" t="s">
        <v>2054</v>
      </c>
      <c r="AD94" s="506" t="s">
        <v>2054</v>
      </c>
      <c r="AE94" s="507"/>
      <c r="AF94" s="507"/>
      <c r="AG94" s="505">
        <v>0.08</v>
      </c>
      <c r="AH94" s="501">
        <v>1</v>
      </c>
      <c r="AI94" s="505"/>
    </row>
    <row r="95" spans="2:35" x14ac:dyDescent="0.2">
      <c r="B95" s="352">
        <v>84</v>
      </c>
      <c r="C95" s="496" t="s">
        <v>719</v>
      </c>
      <c r="D95" s="496" t="s">
        <v>1994</v>
      </c>
      <c r="E95" s="497" t="s">
        <v>700</v>
      </c>
      <c r="F95" s="496" t="s">
        <v>872</v>
      </c>
      <c r="G95" s="496" t="b">
        <v>1</v>
      </c>
      <c r="H95" s="496"/>
      <c r="I95" s="496" t="s">
        <v>1903</v>
      </c>
      <c r="J95" s="498" t="s">
        <v>1004</v>
      </c>
      <c r="K95" s="499" t="s">
        <v>1005</v>
      </c>
      <c r="L95" s="500">
        <v>0</v>
      </c>
      <c r="M95" s="501">
        <v>0</v>
      </c>
      <c r="N95" s="501">
        <v>0</v>
      </c>
      <c r="O95" s="501">
        <v>0</v>
      </c>
      <c r="P95" s="502">
        <v>0</v>
      </c>
      <c r="Q95" s="503"/>
      <c r="R95" s="503"/>
      <c r="S95" s="500">
        <v>0</v>
      </c>
      <c r="T95" s="501">
        <v>0</v>
      </c>
      <c r="U95" s="501">
        <v>0</v>
      </c>
      <c r="V95" s="501">
        <v>0</v>
      </c>
      <c r="W95" s="502">
        <v>0</v>
      </c>
      <c r="X95" s="503"/>
      <c r="Y95" s="503"/>
      <c r="Z95" s="504" t="s">
        <v>2054</v>
      </c>
      <c r="AA95" s="505" t="s">
        <v>2054</v>
      </c>
      <c r="AB95" s="505" t="s">
        <v>2054</v>
      </c>
      <c r="AC95" s="505" t="s">
        <v>2054</v>
      </c>
      <c r="AD95" s="506" t="s">
        <v>2054</v>
      </c>
      <c r="AE95" s="507"/>
      <c r="AF95" s="507"/>
      <c r="AG95" s="505" t="s">
        <v>2054</v>
      </c>
      <c r="AH95" s="501" t="s">
        <v>722</v>
      </c>
      <c r="AI95" s="505"/>
    </row>
    <row r="96" spans="2:35" x14ac:dyDescent="0.2">
      <c r="B96" s="352">
        <v>85</v>
      </c>
      <c r="C96" s="496" t="s">
        <v>719</v>
      </c>
      <c r="D96" s="496" t="s">
        <v>1994</v>
      </c>
      <c r="E96" s="497" t="s">
        <v>700</v>
      </c>
      <c r="F96" s="496" t="s">
        <v>872</v>
      </c>
      <c r="G96" s="496" t="b">
        <v>1</v>
      </c>
      <c r="H96" s="496"/>
      <c r="I96" s="496" t="s">
        <v>1903</v>
      </c>
      <c r="J96" s="498" t="s">
        <v>1006</v>
      </c>
      <c r="K96" s="499" t="s">
        <v>1007</v>
      </c>
      <c r="L96" s="500">
        <v>894.24925521701266</v>
      </c>
      <c r="M96" s="501">
        <v>603.82614450013523</v>
      </c>
      <c r="N96" s="501">
        <v>1684.0047074401964</v>
      </c>
      <c r="O96" s="501">
        <v>0</v>
      </c>
      <c r="P96" s="502">
        <v>0</v>
      </c>
      <c r="Q96" s="503"/>
      <c r="R96" s="503"/>
      <c r="S96" s="500">
        <v>812.03911442408184</v>
      </c>
      <c r="T96" s="501">
        <v>582.35870230801697</v>
      </c>
      <c r="U96" s="501">
        <v>1628.7331001829639</v>
      </c>
      <c r="V96" s="501">
        <v>0</v>
      </c>
      <c r="W96" s="502">
        <v>0</v>
      </c>
      <c r="X96" s="503"/>
      <c r="Y96" s="503"/>
      <c r="Z96" s="504">
        <v>9.1932020421957583E-2</v>
      </c>
      <c r="AA96" s="505">
        <v>3.5552356233083615E-2</v>
      </c>
      <c r="AB96" s="505">
        <v>3.2821527762383229E-2</v>
      </c>
      <c r="AC96" s="505" t="s">
        <v>2054</v>
      </c>
      <c r="AD96" s="506" t="s">
        <v>2054</v>
      </c>
      <c r="AE96" s="507"/>
      <c r="AF96" s="507"/>
      <c r="AG96" s="505">
        <v>0.08</v>
      </c>
      <c r="AH96" s="501">
        <v>1</v>
      </c>
      <c r="AI96" s="505"/>
    </row>
    <row r="97" spans="2:35" x14ac:dyDescent="0.2">
      <c r="B97" s="352">
        <v>86</v>
      </c>
      <c r="C97" s="496" t="s">
        <v>719</v>
      </c>
      <c r="D97" s="496" t="s">
        <v>1994</v>
      </c>
      <c r="E97" s="497" t="s">
        <v>700</v>
      </c>
      <c r="F97" s="496" t="s">
        <v>872</v>
      </c>
      <c r="G97" s="496" t="b">
        <v>1</v>
      </c>
      <c r="H97" s="496"/>
      <c r="I97" s="496" t="s">
        <v>1903</v>
      </c>
      <c r="J97" s="498" t="s">
        <v>1008</v>
      </c>
      <c r="K97" s="499" t="s">
        <v>1009</v>
      </c>
      <c r="L97" s="500">
        <v>0</v>
      </c>
      <c r="M97" s="501">
        <v>18.827524460448263</v>
      </c>
      <c r="N97" s="501">
        <v>172.66804471126727</v>
      </c>
      <c r="O97" s="501">
        <v>0</v>
      </c>
      <c r="P97" s="502">
        <v>0</v>
      </c>
      <c r="Q97" s="503"/>
      <c r="R97" s="503"/>
      <c r="S97" s="500">
        <v>0</v>
      </c>
      <c r="T97" s="501">
        <v>18.167322982664238</v>
      </c>
      <c r="U97" s="501">
        <v>167.0861889421484</v>
      </c>
      <c r="V97" s="501">
        <v>0</v>
      </c>
      <c r="W97" s="502">
        <v>0</v>
      </c>
      <c r="X97" s="503"/>
      <c r="Y97" s="503"/>
      <c r="Z97" s="504" t="s">
        <v>2054</v>
      </c>
      <c r="AA97" s="505">
        <v>3.5065761256661054E-2</v>
      </c>
      <c r="AB97" s="505">
        <v>3.2327092013190728E-2</v>
      </c>
      <c r="AC97" s="505" t="s">
        <v>2054</v>
      </c>
      <c r="AD97" s="506" t="s">
        <v>2054</v>
      </c>
      <c r="AE97" s="507"/>
      <c r="AF97" s="507"/>
      <c r="AG97" s="505">
        <v>0.05</v>
      </c>
      <c r="AH97" s="501">
        <v>0</v>
      </c>
      <c r="AI97" s="505"/>
    </row>
    <row r="98" spans="2:35" x14ac:dyDescent="0.2">
      <c r="B98" s="352">
        <v>87</v>
      </c>
      <c r="C98" s="496" t="s">
        <v>719</v>
      </c>
      <c r="D98" s="496" t="s">
        <v>1994</v>
      </c>
      <c r="E98" s="497" t="s">
        <v>700</v>
      </c>
      <c r="F98" s="496" t="s">
        <v>872</v>
      </c>
      <c r="G98" s="496" t="b">
        <v>1</v>
      </c>
      <c r="H98" s="496"/>
      <c r="I98" s="496" t="s">
        <v>1905</v>
      </c>
      <c r="J98" s="498" t="s">
        <v>1848</v>
      </c>
      <c r="K98" s="499" t="s">
        <v>1849</v>
      </c>
      <c r="L98" s="500">
        <v>0</v>
      </c>
      <c r="M98" s="501">
        <v>0</v>
      </c>
      <c r="N98" s="501">
        <v>0</v>
      </c>
      <c r="O98" s="501">
        <v>0</v>
      </c>
      <c r="P98" s="502">
        <v>0</v>
      </c>
      <c r="Q98" s="503"/>
      <c r="R98" s="503"/>
      <c r="S98" s="500">
        <v>0</v>
      </c>
      <c r="T98" s="501">
        <v>0</v>
      </c>
      <c r="U98" s="501">
        <v>0</v>
      </c>
      <c r="V98" s="501">
        <v>0</v>
      </c>
      <c r="W98" s="502">
        <v>0</v>
      </c>
      <c r="X98" s="503"/>
      <c r="Y98" s="503"/>
      <c r="Z98" s="504" t="s">
        <v>2054</v>
      </c>
      <c r="AA98" s="505" t="s">
        <v>2054</v>
      </c>
      <c r="AB98" s="505" t="s">
        <v>2054</v>
      </c>
      <c r="AC98" s="505" t="s">
        <v>2054</v>
      </c>
      <c r="AD98" s="506" t="s">
        <v>2054</v>
      </c>
      <c r="AE98" s="507"/>
      <c r="AF98" s="507"/>
      <c r="AG98" s="505" t="s">
        <v>2054</v>
      </c>
      <c r="AH98" s="501" t="s">
        <v>722</v>
      </c>
      <c r="AI98" s="505"/>
    </row>
    <row r="99" spans="2:35" x14ac:dyDescent="0.2">
      <c r="B99" s="352">
        <v>88</v>
      </c>
      <c r="C99" s="496" t="s">
        <v>719</v>
      </c>
      <c r="D99" s="496" t="s">
        <v>1994</v>
      </c>
      <c r="E99" s="497" t="s">
        <v>700</v>
      </c>
      <c r="F99" s="496" t="s">
        <v>872</v>
      </c>
      <c r="G99" s="496" t="b">
        <v>1</v>
      </c>
      <c r="H99" s="496"/>
      <c r="I99" s="496" t="s">
        <v>1903</v>
      </c>
      <c r="J99" s="498" t="s">
        <v>1010</v>
      </c>
      <c r="K99" s="499" t="s">
        <v>1011</v>
      </c>
      <c r="L99" s="500">
        <v>0</v>
      </c>
      <c r="M99" s="501">
        <v>0</v>
      </c>
      <c r="N99" s="501">
        <v>0</v>
      </c>
      <c r="O99" s="501">
        <v>0</v>
      </c>
      <c r="P99" s="502">
        <v>0</v>
      </c>
      <c r="Q99" s="503"/>
      <c r="R99" s="503"/>
      <c r="S99" s="500">
        <v>0</v>
      </c>
      <c r="T99" s="501">
        <v>0</v>
      </c>
      <c r="U99" s="501">
        <v>0</v>
      </c>
      <c r="V99" s="501">
        <v>0</v>
      </c>
      <c r="W99" s="502">
        <v>0</v>
      </c>
      <c r="X99" s="503"/>
      <c r="Y99" s="503"/>
      <c r="Z99" s="504" t="s">
        <v>2054</v>
      </c>
      <c r="AA99" s="505" t="s">
        <v>2054</v>
      </c>
      <c r="AB99" s="505" t="s">
        <v>2054</v>
      </c>
      <c r="AC99" s="505" t="s">
        <v>2054</v>
      </c>
      <c r="AD99" s="506" t="s">
        <v>2054</v>
      </c>
      <c r="AE99" s="507"/>
      <c r="AF99" s="507"/>
      <c r="AG99" s="505" t="s">
        <v>2054</v>
      </c>
      <c r="AH99" s="501" t="s">
        <v>722</v>
      </c>
      <c r="AI99" s="505"/>
    </row>
    <row r="100" spans="2:35" x14ac:dyDescent="0.2">
      <c r="B100" s="352">
        <v>89</v>
      </c>
      <c r="C100" s="496" t="s">
        <v>719</v>
      </c>
      <c r="D100" s="496" t="s">
        <v>1994</v>
      </c>
      <c r="E100" s="497" t="s">
        <v>700</v>
      </c>
      <c r="F100" s="496" t="s">
        <v>872</v>
      </c>
      <c r="G100" s="496" t="b">
        <v>1</v>
      </c>
      <c r="H100" s="496"/>
      <c r="I100" s="496" t="s">
        <v>1903</v>
      </c>
      <c r="J100" s="498" t="s">
        <v>1012</v>
      </c>
      <c r="K100" s="499" t="s">
        <v>1013</v>
      </c>
      <c r="L100" s="500">
        <v>0</v>
      </c>
      <c r="M100" s="501">
        <v>0</v>
      </c>
      <c r="N100" s="501">
        <v>0</v>
      </c>
      <c r="O100" s="501">
        <v>0</v>
      </c>
      <c r="P100" s="502">
        <v>0</v>
      </c>
      <c r="Q100" s="503"/>
      <c r="R100" s="503"/>
      <c r="S100" s="500">
        <v>0</v>
      </c>
      <c r="T100" s="501">
        <v>0</v>
      </c>
      <c r="U100" s="501">
        <v>0</v>
      </c>
      <c r="V100" s="501">
        <v>0</v>
      </c>
      <c r="W100" s="502">
        <v>0</v>
      </c>
      <c r="X100" s="503"/>
      <c r="Y100" s="503"/>
      <c r="Z100" s="504" t="s">
        <v>2054</v>
      </c>
      <c r="AA100" s="505" t="s">
        <v>2054</v>
      </c>
      <c r="AB100" s="505" t="s">
        <v>2054</v>
      </c>
      <c r="AC100" s="505" t="s">
        <v>2054</v>
      </c>
      <c r="AD100" s="506" t="s">
        <v>2054</v>
      </c>
      <c r="AE100" s="507"/>
      <c r="AF100" s="507"/>
      <c r="AG100" s="505">
        <v>0.05</v>
      </c>
      <c r="AH100" s="501" t="s">
        <v>722</v>
      </c>
      <c r="AI100" s="505"/>
    </row>
    <row r="101" spans="2:35" x14ac:dyDescent="0.2">
      <c r="B101" s="352">
        <v>90</v>
      </c>
      <c r="C101" s="496" t="s">
        <v>719</v>
      </c>
      <c r="D101" s="496" t="s">
        <v>1994</v>
      </c>
      <c r="E101" s="497" t="s">
        <v>700</v>
      </c>
      <c r="F101" s="496" t="s">
        <v>872</v>
      </c>
      <c r="G101" s="496" t="b">
        <v>1</v>
      </c>
      <c r="H101" s="496"/>
      <c r="I101" s="496" t="s">
        <v>1903</v>
      </c>
      <c r="J101" s="498" t="s">
        <v>1014</v>
      </c>
      <c r="K101" s="499" t="s">
        <v>1893</v>
      </c>
      <c r="L101" s="500">
        <v>0</v>
      </c>
      <c r="M101" s="501">
        <v>0</v>
      </c>
      <c r="N101" s="501">
        <v>0</v>
      </c>
      <c r="O101" s="501">
        <v>0</v>
      </c>
      <c r="P101" s="502">
        <v>0</v>
      </c>
      <c r="Q101" s="503"/>
      <c r="R101" s="503"/>
      <c r="S101" s="500">
        <v>0</v>
      </c>
      <c r="T101" s="501">
        <v>0</v>
      </c>
      <c r="U101" s="501">
        <v>0</v>
      </c>
      <c r="V101" s="501">
        <v>0</v>
      </c>
      <c r="W101" s="502">
        <v>0</v>
      </c>
      <c r="X101" s="503"/>
      <c r="Y101" s="503"/>
      <c r="Z101" s="504" t="s">
        <v>2054</v>
      </c>
      <c r="AA101" s="505" t="s">
        <v>2054</v>
      </c>
      <c r="AB101" s="505" t="s">
        <v>2054</v>
      </c>
      <c r="AC101" s="505" t="s">
        <v>2054</v>
      </c>
      <c r="AD101" s="506" t="s">
        <v>2054</v>
      </c>
      <c r="AE101" s="507"/>
      <c r="AF101" s="507"/>
      <c r="AG101" s="505">
        <v>0.05</v>
      </c>
      <c r="AH101" s="501" t="s">
        <v>722</v>
      </c>
      <c r="AI101" s="505"/>
    </row>
    <row r="102" spans="2:35" x14ac:dyDescent="0.2">
      <c r="B102" s="352">
        <v>91</v>
      </c>
      <c r="C102" s="496" t="s">
        <v>719</v>
      </c>
      <c r="D102" s="496" t="s">
        <v>1994</v>
      </c>
      <c r="E102" s="497" t="s">
        <v>700</v>
      </c>
      <c r="F102" s="496" t="s">
        <v>872</v>
      </c>
      <c r="G102" s="496" t="b">
        <v>1</v>
      </c>
      <c r="H102" s="496"/>
      <c r="I102" s="496" t="s">
        <v>709</v>
      </c>
      <c r="J102" s="498" t="s">
        <v>1015</v>
      </c>
      <c r="K102" s="499" t="s">
        <v>1016</v>
      </c>
      <c r="L102" s="500">
        <v>0</v>
      </c>
      <c r="M102" s="501">
        <v>0</v>
      </c>
      <c r="N102" s="501">
        <v>0</v>
      </c>
      <c r="O102" s="501">
        <v>0</v>
      </c>
      <c r="P102" s="502">
        <v>0</v>
      </c>
      <c r="Q102" s="503"/>
      <c r="R102" s="503"/>
      <c r="S102" s="500">
        <v>0</v>
      </c>
      <c r="T102" s="501">
        <v>0</v>
      </c>
      <c r="U102" s="501">
        <v>0</v>
      </c>
      <c r="V102" s="501">
        <v>0</v>
      </c>
      <c r="W102" s="502">
        <v>0</v>
      </c>
      <c r="X102" s="503"/>
      <c r="Y102" s="503"/>
      <c r="Z102" s="504" t="s">
        <v>2054</v>
      </c>
      <c r="AA102" s="505" t="s">
        <v>2054</v>
      </c>
      <c r="AB102" s="505" t="s">
        <v>2054</v>
      </c>
      <c r="AC102" s="505" t="s">
        <v>2054</v>
      </c>
      <c r="AD102" s="506" t="s">
        <v>2054</v>
      </c>
      <c r="AE102" s="507"/>
      <c r="AF102" s="507"/>
      <c r="AG102" s="505" t="s">
        <v>2054</v>
      </c>
      <c r="AH102" s="501" t="s">
        <v>722</v>
      </c>
      <c r="AI102" s="505"/>
    </row>
    <row r="103" spans="2:35" x14ac:dyDescent="0.2">
      <c r="B103" s="352">
        <v>92</v>
      </c>
      <c r="C103" s="496" t="s">
        <v>719</v>
      </c>
      <c r="D103" s="496" t="s">
        <v>1994</v>
      </c>
      <c r="E103" s="497" t="s">
        <v>700</v>
      </c>
      <c r="F103" s="496" t="s">
        <v>872</v>
      </c>
      <c r="G103" s="496" t="b">
        <v>1</v>
      </c>
      <c r="H103" s="496"/>
      <c r="I103" s="496" t="s">
        <v>716</v>
      </c>
      <c r="J103" s="498" t="s">
        <v>1017</v>
      </c>
      <c r="K103" s="499" t="s">
        <v>1018</v>
      </c>
      <c r="L103" s="500">
        <v>370.75211142942561</v>
      </c>
      <c r="M103" s="501">
        <v>294.49410674517907</v>
      </c>
      <c r="N103" s="501">
        <v>385.61045884172415</v>
      </c>
      <c r="O103" s="501">
        <v>385.73653583118278</v>
      </c>
      <c r="P103" s="502">
        <v>0</v>
      </c>
      <c r="Q103" s="503"/>
      <c r="R103" s="503"/>
      <c r="S103" s="500">
        <v>367.50604916093425</v>
      </c>
      <c r="T103" s="501">
        <v>293.77283309600114</v>
      </c>
      <c r="U103" s="501">
        <v>385.02019747199057</v>
      </c>
      <c r="V103" s="501">
        <v>385.02019747199057</v>
      </c>
      <c r="W103" s="502">
        <v>0</v>
      </c>
      <c r="X103" s="503"/>
      <c r="Y103" s="503"/>
      <c r="Z103" s="504">
        <v>8.7553439843571779E-3</v>
      </c>
      <c r="AA103" s="505">
        <v>2.4491955277122779E-3</v>
      </c>
      <c r="AB103" s="505">
        <v>1.5307192950797521E-3</v>
      </c>
      <c r="AC103" s="505">
        <v>1.8570663980497226E-3</v>
      </c>
      <c r="AD103" s="506" t="s">
        <v>2054</v>
      </c>
      <c r="AE103" s="507"/>
      <c r="AF103" s="507"/>
      <c r="AG103" s="505">
        <v>0.1</v>
      </c>
      <c r="AH103" s="501">
        <v>0</v>
      </c>
      <c r="AI103" s="505"/>
    </row>
    <row r="104" spans="2:35" x14ac:dyDescent="0.2">
      <c r="B104" s="352">
        <v>93</v>
      </c>
      <c r="C104" s="496" t="s">
        <v>719</v>
      </c>
      <c r="D104" s="496" t="s">
        <v>1994</v>
      </c>
      <c r="E104" s="497" t="s">
        <v>700</v>
      </c>
      <c r="F104" s="496" t="s">
        <v>872</v>
      </c>
      <c r="G104" s="496" t="b">
        <v>1</v>
      </c>
      <c r="H104" s="496"/>
      <c r="I104" s="496" t="s">
        <v>716</v>
      </c>
      <c r="J104" s="498" t="s">
        <v>1019</v>
      </c>
      <c r="K104" s="499" t="s">
        <v>1020</v>
      </c>
      <c r="L104" s="500">
        <v>2315.3227380338126</v>
      </c>
      <c r="M104" s="501">
        <v>2171.2602985632202</v>
      </c>
      <c r="N104" s="501">
        <v>2719.1065221813742</v>
      </c>
      <c r="O104" s="501">
        <v>2718.024090526912</v>
      </c>
      <c r="P104" s="502">
        <v>0</v>
      </c>
      <c r="Q104" s="503"/>
      <c r="R104" s="503"/>
      <c r="S104" s="500">
        <v>2116.9950658804719</v>
      </c>
      <c r="T104" s="501">
        <v>2103.6292910919701</v>
      </c>
      <c r="U104" s="501">
        <v>2642.4927973132653</v>
      </c>
      <c r="V104" s="501">
        <v>2642.4927973132653</v>
      </c>
      <c r="W104" s="502">
        <v>0</v>
      </c>
      <c r="X104" s="503"/>
      <c r="Y104" s="503"/>
      <c r="Z104" s="504">
        <v>8.5658758882902863E-2</v>
      </c>
      <c r="AA104" s="505">
        <v>3.1148272510671982E-2</v>
      </c>
      <c r="AB104" s="505">
        <v>2.8176066014010459E-2</v>
      </c>
      <c r="AC104" s="505">
        <v>2.7789044797982054E-2</v>
      </c>
      <c r="AD104" s="506" t="s">
        <v>2054</v>
      </c>
      <c r="AE104" s="507"/>
      <c r="AF104" s="507"/>
      <c r="AG104" s="505">
        <v>0.05</v>
      </c>
      <c r="AH104" s="501">
        <v>1</v>
      </c>
      <c r="AI104" s="505"/>
    </row>
    <row r="105" spans="2:35" x14ac:dyDescent="0.2">
      <c r="B105" s="352">
        <v>94</v>
      </c>
      <c r="C105" s="496" t="s">
        <v>719</v>
      </c>
      <c r="D105" s="496" t="s">
        <v>1994</v>
      </c>
      <c r="E105" s="497" t="s">
        <v>700</v>
      </c>
      <c r="F105" s="496" t="s">
        <v>872</v>
      </c>
      <c r="G105" s="496" t="b">
        <v>1</v>
      </c>
      <c r="H105" s="496"/>
      <c r="I105" s="496" t="s">
        <v>716</v>
      </c>
      <c r="J105" s="498" t="s">
        <v>1021</v>
      </c>
      <c r="K105" s="499" t="s">
        <v>751</v>
      </c>
      <c r="L105" s="500">
        <v>3354.224041114072</v>
      </c>
      <c r="M105" s="501">
        <v>2930.1533522847963</v>
      </c>
      <c r="N105" s="501">
        <v>3641.8021435683904</v>
      </c>
      <c r="O105" s="501">
        <v>3641.7868468663523</v>
      </c>
      <c r="P105" s="502">
        <v>0</v>
      </c>
      <c r="Q105" s="503"/>
      <c r="R105" s="503"/>
      <c r="S105" s="500">
        <v>3352.412063913273</v>
      </c>
      <c r="T105" s="501">
        <v>2929.1625289440622</v>
      </c>
      <c r="U105" s="501">
        <v>3640.438693662295</v>
      </c>
      <c r="V105" s="501">
        <v>3640.438693662295</v>
      </c>
      <c r="W105" s="502">
        <v>0</v>
      </c>
      <c r="X105" s="503"/>
      <c r="Y105" s="503"/>
      <c r="Z105" s="504">
        <v>5.4020756472694664E-4</v>
      </c>
      <c r="AA105" s="505">
        <v>3.3814726453185173E-4</v>
      </c>
      <c r="AB105" s="505">
        <v>3.7438879223661292E-4</v>
      </c>
      <c r="AC105" s="505">
        <v>3.7019003603067091E-4</v>
      </c>
      <c r="AD105" s="506" t="s">
        <v>2054</v>
      </c>
      <c r="AE105" s="507"/>
      <c r="AF105" s="507"/>
      <c r="AG105" s="505">
        <v>0.1</v>
      </c>
      <c r="AH105" s="501">
        <v>0</v>
      </c>
      <c r="AI105" s="505"/>
    </row>
    <row r="106" spans="2:35" x14ac:dyDescent="0.2">
      <c r="B106" s="352">
        <v>95</v>
      </c>
      <c r="C106" s="496" t="s">
        <v>719</v>
      </c>
      <c r="D106" s="496" t="s">
        <v>1994</v>
      </c>
      <c r="E106" s="497" t="s">
        <v>700</v>
      </c>
      <c r="F106" s="496" t="s">
        <v>872</v>
      </c>
      <c r="G106" s="496" t="b">
        <v>1</v>
      </c>
      <c r="H106" s="496"/>
      <c r="I106" s="496" t="s">
        <v>1908</v>
      </c>
      <c r="J106" s="498" t="s">
        <v>1846</v>
      </c>
      <c r="K106" s="499" t="s">
        <v>1895</v>
      </c>
      <c r="L106" s="500">
        <v>19383.982995911792</v>
      </c>
      <c r="M106" s="501">
        <v>12336.027075095051</v>
      </c>
      <c r="N106" s="501">
        <v>13555.944744117973</v>
      </c>
      <c r="O106" s="501">
        <v>13163.547705477245</v>
      </c>
      <c r="P106" s="502">
        <v>0</v>
      </c>
      <c r="Q106" s="503"/>
      <c r="R106" s="503"/>
      <c r="S106" s="500">
        <v>19383.982995911792</v>
      </c>
      <c r="T106" s="501">
        <v>12336.027075095051</v>
      </c>
      <c r="U106" s="501">
        <v>13555.944744117973</v>
      </c>
      <c r="V106" s="501">
        <v>13163.547705477245</v>
      </c>
      <c r="W106" s="502">
        <v>0</v>
      </c>
      <c r="X106" s="503"/>
      <c r="Y106" s="503"/>
      <c r="Z106" s="504">
        <v>0</v>
      </c>
      <c r="AA106" s="505">
        <v>0</v>
      </c>
      <c r="AB106" s="505">
        <v>0</v>
      </c>
      <c r="AC106" s="505">
        <v>0</v>
      </c>
      <c r="AD106" s="506" t="s">
        <v>2054</v>
      </c>
      <c r="AE106" s="507"/>
      <c r="AF106" s="507"/>
      <c r="AG106" s="505">
        <v>0.2</v>
      </c>
      <c r="AH106" s="501" t="s">
        <v>722</v>
      </c>
      <c r="AI106" s="505"/>
    </row>
    <row r="107" spans="2:35" x14ac:dyDescent="0.2">
      <c r="B107" s="352">
        <v>96</v>
      </c>
      <c r="C107" s="496" t="s">
        <v>719</v>
      </c>
      <c r="D107" s="496" t="s">
        <v>1994</v>
      </c>
      <c r="E107" s="497" t="s">
        <v>700</v>
      </c>
      <c r="F107" s="496" t="s">
        <v>872</v>
      </c>
      <c r="G107" s="496" t="b">
        <v>1</v>
      </c>
      <c r="H107" s="496"/>
      <c r="I107" s="496" t="s">
        <v>1905</v>
      </c>
      <c r="J107" s="498" t="s">
        <v>1847</v>
      </c>
      <c r="K107" s="499" t="s">
        <v>1894</v>
      </c>
      <c r="L107" s="500">
        <v>0</v>
      </c>
      <c r="M107" s="501">
        <v>0</v>
      </c>
      <c r="N107" s="501">
        <v>0</v>
      </c>
      <c r="O107" s="501">
        <v>2701.0543722573448</v>
      </c>
      <c r="P107" s="502">
        <v>0</v>
      </c>
      <c r="Q107" s="503"/>
      <c r="R107" s="503"/>
      <c r="S107" s="500">
        <v>0</v>
      </c>
      <c r="T107" s="501">
        <v>0</v>
      </c>
      <c r="U107" s="501">
        <v>0</v>
      </c>
      <c r="V107" s="501">
        <v>2632.6238745849005</v>
      </c>
      <c r="W107" s="502">
        <v>0</v>
      </c>
      <c r="X107" s="503"/>
      <c r="Y107" s="503"/>
      <c r="Z107" s="504" t="s">
        <v>2054</v>
      </c>
      <c r="AA107" s="505" t="s">
        <v>2054</v>
      </c>
      <c r="AB107" s="505" t="s">
        <v>2054</v>
      </c>
      <c r="AC107" s="505">
        <v>2.5334735344573978E-2</v>
      </c>
      <c r="AD107" s="506" t="s">
        <v>2054</v>
      </c>
      <c r="AE107" s="507"/>
      <c r="AF107" s="507"/>
      <c r="AG107" s="505">
        <v>0.2</v>
      </c>
      <c r="AH107" s="501">
        <v>0</v>
      </c>
      <c r="AI107" s="505"/>
    </row>
    <row r="108" spans="2:35" x14ac:dyDescent="0.2">
      <c r="B108" s="352">
        <v>97</v>
      </c>
      <c r="C108" s="496" t="s">
        <v>735</v>
      </c>
      <c r="D108" s="496" t="s">
        <v>1996</v>
      </c>
      <c r="E108" s="497" t="s">
        <v>746</v>
      </c>
      <c r="F108" s="496" t="s">
        <v>762</v>
      </c>
      <c r="G108" s="496" t="b">
        <v>1</v>
      </c>
      <c r="H108" s="496"/>
      <c r="I108" s="496" t="s">
        <v>762</v>
      </c>
      <c r="J108" s="498" t="s">
        <v>969</v>
      </c>
      <c r="K108" s="499" t="s">
        <v>970</v>
      </c>
      <c r="L108" s="500">
        <v>0</v>
      </c>
      <c r="M108" s="501">
        <v>0</v>
      </c>
      <c r="N108" s="501">
        <v>0</v>
      </c>
      <c r="O108" s="501">
        <v>0</v>
      </c>
      <c r="P108" s="502">
        <v>132475.3476600821</v>
      </c>
      <c r="Q108" s="503"/>
      <c r="R108" s="503"/>
      <c r="S108" s="500">
        <v>0</v>
      </c>
      <c r="T108" s="501">
        <v>0</v>
      </c>
      <c r="U108" s="501">
        <v>0</v>
      </c>
      <c r="V108" s="501">
        <v>0</v>
      </c>
      <c r="W108" s="502">
        <v>130533.37314343345</v>
      </c>
      <c r="X108" s="503"/>
      <c r="Y108" s="503"/>
      <c r="Z108" s="504" t="s">
        <v>2054</v>
      </c>
      <c r="AA108" s="505" t="s">
        <v>2054</v>
      </c>
      <c r="AB108" s="505" t="s">
        <v>2054</v>
      </c>
      <c r="AC108" s="505" t="s">
        <v>2054</v>
      </c>
      <c r="AD108" s="506">
        <v>1.4659138858284515E-2</v>
      </c>
      <c r="AE108" s="507"/>
      <c r="AF108" s="507"/>
      <c r="AG108" s="505">
        <v>0.05</v>
      </c>
      <c r="AH108" s="501">
        <v>0</v>
      </c>
      <c r="AI108" s="505"/>
    </row>
    <row r="109" spans="2:35" x14ac:dyDescent="0.2">
      <c r="B109" s="352">
        <v>98</v>
      </c>
      <c r="C109" s="496" t="s">
        <v>735</v>
      </c>
      <c r="D109" s="496" t="s">
        <v>1996</v>
      </c>
      <c r="E109" s="497" t="s">
        <v>746</v>
      </c>
      <c r="F109" s="496" t="s">
        <v>762</v>
      </c>
      <c r="G109" s="496" t="b">
        <v>1</v>
      </c>
      <c r="H109" s="496"/>
      <c r="I109" s="496" t="s">
        <v>762</v>
      </c>
      <c r="J109" s="498" t="s">
        <v>971</v>
      </c>
      <c r="K109" s="499" t="s">
        <v>972</v>
      </c>
      <c r="L109" s="500">
        <v>0</v>
      </c>
      <c r="M109" s="501">
        <v>0</v>
      </c>
      <c r="N109" s="501">
        <v>0</v>
      </c>
      <c r="O109" s="501">
        <v>0</v>
      </c>
      <c r="P109" s="502">
        <v>0</v>
      </c>
      <c r="Q109" s="503"/>
      <c r="R109" s="503"/>
      <c r="S109" s="500">
        <v>0</v>
      </c>
      <c r="T109" s="501">
        <v>0</v>
      </c>
      <c r="U109" s="501">
        <v>0</v>
      </c>
      <c r="V109" s="501">
        <v>0</v>
      </c>
      <c r="W109" s="502">
        <v>0</v>
      </c>
      <c r="X109" s="503"/>
      <c r="Y109" s="503"/>
      <c r="Z109" s="504" t="s">
        <v>2054</v>
      </c>
      <c r="AA109" s="505" t="s">
        <v>2054</v>
      </c>
      <c r="AB109" s="505" t="s">
        <v>2054</v>
      </c>
      <c r="AC109" s="505" t="s">
        <v>2054</v>
      </c>
      <c r="AD109" s="506" t="s">
        <v>2054</v>
      </c>
      <c r="AE109" s="507"/>
      <c r="AF109" s="507"/>
      <c r="AG109" s="505">
        <v>0.11</v>
      </c>
      <c r="AH109" s="501" t="s">
        <v>722</v>
      </c>
      <c r="AI109" s="505"/>
    </row>
    <row r="110" spans="2:35" x14ac:dyDescent="0.2">
      <c r="B110" s="352">
        <v>99</v>
      </c>
      <c r="C110" s="496" t="s">
        <v>735</v>
      </c>
      <c r="D110" s="496" t="s">
        <v>1996</v>
      </c>
      <c r="E110" s="497" t="s">
        <v>746</v>
      </c>
      <c r="F110" s="496" t="s">
        <v>762</v>
      </c>
      <c r="G110" s="496" t="b">
        <v>1</v>
      </c>
      <c r="H110" s="496"/>
      <c r="I110" s="496" t="s">
        <v>762</v>
      </c>
      <c r="J110" s="498" t="s">
        <v>973</v>
      </c>
      <c r="K110" s="499" t="s">
        <v>974</v>
      </c>
      <c r="L110" s="500">
        <v>0</v>
      </c>
      <c r="M110" s="501">
        <v>0</v>
      </c>
      <c r="N110" s="501">
        <v>0</v>
      </c>
      <c r="O110" s="501">
        <v>0</v>
      </c>
      <c r="P110" s="502">
        <v>55967.103243378508</v>
      </c>
      <c r="Q110" s="503"/>
      <c r="R110" s="503"/>
      <c r="S110" s="500">
        <v>0</v>
      </c>
      <c r="T110" s="501">
        <v>0</v>
      </c>
      <c r="U110" s="501">
        <v>0</v>
      </c>
      <c r="V110" s="501">
        <v>0</v>
      </c>
      <c r="W110" s="502">
        <v>55767.798778398581</v>
      </c>
      <c r="X110" s="503"/>
      <c r="Y110" s="503"/>
      <c r="Z110" s="504" t="s">
        <v>2054</v>
      </c>
      <c r="AA110" s="505" t="s">
        <v>2054</v>
      </c>
      <c r="AB110" s="505" t="s">
        <v>2054</v>
      </c>
      <c r="AC110" s="505" t="s">
        <v>2054</v>
      </c>
      <c r="AD110" s="506">
        <v>3.5611002433559857E-3</v>
      </c>
      <c r="AE110" s="507"/>
      <c r="AF110" s="507"/>
      <c r="AG110" s="505">
        <v>0.05</v>
      </c>
      <c r="AH110" s="501">
        <v>0</v>
      </c>
      <c r="AI110" s="505"/>
    </row>
    <row r="111" spans="2:35" x14ac:dyDescent="0.2">
      <c r="B111" s="352">
        <v>100</v>
      </c>
      <c r="C111" s="496" t="s">
        <v>735</v>
      </c>
      <c r="D111" s="496" t="s">
        <v>1996</v>
      </c>
      <c r="E111" s="497" t="s">
        <v>746</v>
      </c>
      <c r="F111" s="496" t="s">
        <v>762</v>
      </c>
      <c r="G111" s="496" t="b">
        <v>1</v>
      </c>
      <c r="H111" s="496"/>
      <c r="I111" s="496" t="s">
        <v>762</v>
      </c>
      <c r="J111" s="498" t="s">
        <v>975</v>
      </c>
      <c r="K111" s="499" t="s">
        <v>976</v>
      </c>
      <c r="L111" s="500">
        <v>0</v>
      </c>
      <c r="M111" s="501">
        <v>0</v>
      </c>
      <c r="N111" s="501">
        <v>0</v>
      </c>
      <c r="O111" s="501">
        <v>0</v>
      </c>
      <c r="P111" s="502">
        <v>0</v>
      </c>
      <c r="Q111" s="503"/>
      <c r="R111" s="503"/>
      <c r="S111" s="500">
        <v>0</v>
      </c>
      <c r="T111" s="501">
        <v>0</v>
      </c>
      <c r="U111" s="501">
        <v>0</v>
      </c>
      <c r="V111" s="501">
        <v>0</v>
      </c>
      <c r="W111" s="502">
        <v>0</v>
      </c>
      <c r="X111" s="503"/>
      <c r="Y111" s="503"/>
      <c r="Z111" s="504" t="s">
        <v>2054</v>
      </c>
      <c r="AA111" s="505" t="s">
        <v>2054</v>
      </c>
      <c r="AB111" s="505" t="s">
        <v>2054</v>
      </c>
      <c r="AC111" s="505" t="s">
        <v>2054</v>
      </c>
      <c r="AD111" s="506" t="s">
        <v>2054</v>
      </c>
      <c r="AE111" s="507"/>
      <c r="AF111" s="507"/>
      <c r="AG111" s="505" t="s">
        <v>2054</v>
      </c>
      <c r="AH111" s="501" t="s">
        <v>722</v>
      </c>
      <c r="AI111" s="505"/>
    </row>
    <row r="112" spans="2:35" x14ac:dyDescent="0.2">
      <c r="B112" s="352">
        <v>101</v>
      </c>
      <c r="C112" s="496" t="s">
        <v>735</v>
      </c>
      <c r="D112" s="496" t="s">
        <v>1996</v>
      </c>
      <c r="E112" s="497" t="s">
        <v>746</v>
      </c>
      <c r="F112" s="496" t="s">
        <v>762</v>
      </c>
      <c r="G112" s="496" t="b">
        <v>1</v>
      </c>
      <c r="H112" s="496"/>
      <c r="I112" s="496" t="s">
        <v>762</v>
      </c>
      <c r="J112" s="498" t="s">
        <v>977</v>
      </c>
      <c r="K112" s="499" t="s">
        <v>864</v>
      </c>
      <c r="L112" s="500">
        <v>0</v>
      </c>
      <c r="M112" s="501">
        <v>0</v>
      </c>
      <c r="N112" s="501">
        <v>0</v>
      </c>
      <c r="O112" s="501">
        <v>0</v>
      </c>
      <c r="P112" s="502">
        <v>36277.41154736626</v>
      </c>
      <c r="Q112" s="503"/>
      <c r="R112" s="503"/>
      <c r="S112" s="500">
        <v>0</v>
      </c>
      <c r="T112" s="501">
        <v>0</v>
      </c>
      <c r="U112" s="501">
        <v>0</v>
      </c>
      <c r="V112" s="501">
        <v>0</v>
      </c>
      <c r="W112" s="502">
        <v>36067.123982590623</v>
      </c>
      <c r="X112" s="503"/>
      <c r="Y112" s="503"/>
      <c r="Z112" s="504" t="s">
        <v>2054</v>
      </c>
      <c r="AA112" s="505" t="s">
        <v>2054</v>
      </c>
      <c r="AB112" s="505" t="s">
        <v>2054</v>
      </c>
      <c r="AC112" s="505" t="s">
        <v>2054</v>
      </c>
      <c r="AD112" s="506">
        <v>5.7966529530661948E-3</v>
      </c>
      <c r="AE112" s="507"/>
      <c r="AF112" s="507"/>
      <c r="AG112" s="505">
        <v>0.05</v>
      </c>
      <c r="AH112" s="501">
        <v>0</v>
      </c>
      <c r="AI112" s="505"/>
    </row>
    <row r="113" spans="2:35" x14ac:dyDescent="0.2">
      <c r="B113" s="352">
        <v>102</v>
      </c>
      <c r="C113" s="496" t="s">
        <v>735</v>
      </c>
      <c r="D113" s="496" t="s">
        <v>1996</v>
      </c>
      <c r="E113" s="497" t="s">
        <v>746</v>
      </c>
      <c r="F113" s="496" t="s">
        <v>762</v>
      </c>
      <c r="G113" s="496" t="b">
        <v>1</v>
      </c>
      <c r="H113" s="496"/>
      <c r="I113" s="496" t="s">
        <v>762</v>
      </c>
      <c r="J113" s="498" t="s">
        <v>978</v>
      </c>
      <c r="K113" s="499" t="s">
        <v>1892</v>
      </c>
      <c r="L113" s="500">
        <v>0</v>
      </c>
      <c r="M113" s="501">
        <v>0</v>
      </c>
      <c r="N113" s="501">
        <v>0</v>
      </c>
      <c r="O113" s="501">
        <v>0</v>
      </c>
      <c r="P113" s="502">
        <v>0</v>
      </c>
      <c r="Q113" s="503"/>
      <c r="R113" s="503"/>
      <c r="S113" s="500">
        <v>0</v>
      </c>
      <c r="T113" s="501">
        <v>0</v>
      </c>
      <c r="U113" s="501">
        <v>0</v>
      </c>
      <c r="V113" s="501">
        <v>0</v>
      </c>
      <c r="W113" s="502">
        <v>0</v>
      </c>
      <c r="X113" s="503"/>
      <c r="Y113" s="503"/>
      <c r="Z113" s="504" t="s">
        <v>2054</v>
      </c>
      <c r="AA113" s="505" t="s">
        <v>2054</v>
      </c>
      <c r="AB113" s="505" t="s">
        <v>2054</v>
      </c>
      <c r="AC113" s="505" t="s">
        <v>2054</v>
      </c>
      <c r="AD113" s="506" t="s">
        <v>2054</v>
      </c>
      <c r="AE113" s="507"/>
      <c r="AF113" s="507"/>
      <c r="AG113" s="505" t="s">
        <v>2054</v>
      </c>
      <c r="AH113" s="501" t="s">
        <v>722</v>
      </c>
      <c r="AI113" s="505"/>
    </row>
    <row r="114" spans="2:35" x14ac:dyDescent="0.2">
      <c r="B114" s="352">
        <v>103</v>
      </c>
      <c r="C114" s="496" t="s">
        <v>735</v>
      </c>
      <c r="D114" s="496" t="s">
        <v>1996</v>
      </c>
      <c r="E114" s="497" t="s">
        <v>746</v>
      </c>
      <c r="F114" s="496" t="s">
        <v>762</v>
      </c>
      <c r="G114" s="496" t="b">
        <v>1</v>
      </c>
      <c r="H114" s="496"/>
      <c r="I114" s="496" t="s">
        <v>762</v>
      </c>
      <c r="J114" s="498" t="s">
        <v>979</v>
      </c>
      <c r="K114" s="499" t="s">
        <v>980</v>
      </c>
      <c r="L114" s="500">
        <v>0</v>
      </c>
      <c r="M114" s="501">
        <v>0</v>
      </c>
      <c r="N114" s="501">
        <v>0</v>
      </c>
      <c r="O114" s="501">
        <v>0</v>
      </c>
      <c r="P114" s="502">
        <v>0</v>
      </c>
      <c r="Q114" s="503"/>
      <c r="R114" s="503"/>
      <c r="S114" s="500">
        <v>0</v>
      </c>
      <c r="T114" s="501">
        <v>0</v>
      </c>
      <c r="U114" s="501">
        <v>0</v>
      </c>
      <c r="V114" s="501">
        <v>0</v>
      </c>
      <c r="W114" s="502">
        <v>0</v>
      </c>
      <c r="X114" s="503"/>
      <c r="Y114" s="503"/>
      <c r="Z114" s="504" t="s">
        <v>2054</v>
      </c>
      <c r="AA114" s="505" t="s">
        <v>2054</v>
      </c>
      <c r="AB114" s="505" t="s">
        <v>2054</v>
      </c>
      <c r="AC114" s="505" t="s">
        <v>2054</v>
      </c>
      <c r="AD114" s="506" t="s">
        <v>2054</v>
      </c>
      <c r="AE114" s="507"/>
      <c r="AF114" s="507"/>
      <c r="AG114" s="505">
        <v>0.05</v>
      </c>
      <c r="AH114" s="501" t="s">
        <v>722</v>
      </c>
      <c r="AI114" s="505"/>
    </row>
    <row r="115" spans="2:35" x14ac:dyDescent="0.2">
      <c r="B115" s="352">
        <v>104</v>
      </c>
      <c r="C115" s="496" t="s">
        <v>735</v>
      </c>
      <c r="D115" s="496" t="s">
        <v>1996</v>
      </c>
      <c r="E115" s="497" t="s">
        <v>746</v>
      </c>
      <c r="F115" s="496" t="s">
        <v>762</v>
      </c>
      <c r="G115" s="496" t="b">
        <v>1</v>
      </c>
      <c r="H115" s="496"/>
      <c r="I115" s="496" t="s">
        <v>762</v>
      </c>
      <c r="J115" s="498" t="s">
        <v>981</v>
      </c>
      <c r="K115" s="499" t="s">
        <v>3674</v>
      </c>
      <c r="L115" s="500">
        <v>0</v>
      </c>
      <c r="M115" s="501">
        <v>0</v>
      </c>
      <c r="N115" s="501">
        <v>0</v>
      </c>
      <c r="O115" s="501">
        <v>0</v>
      </c>
      <c r="P115" s="502">
        <v>0</v>
      </c>
      <c r="Q115" s="503"/>
      <c r="R115" s="503"/>
      <c r="S115" s="500">
        <v>0</v>
      </c>
      <c r="T115" s="501">
        <v>0</v>
      </c>
      <c r="U115" s="501">
        <v>0</v>
      </c>
      <c r="V115" s="501">
        <v>0</v>
      </c>
      <c r="W115" s="502">
        <v>0</v>
      </c>
      <c r="X115" s="503"/>
      <c r="Y115" s="503"/>
      <c r="Z115" s="504" t="s">
        <v>2054</v>
      </c>
      <c r="AA115" s="505" t="s">
        <v>2054</v>
      </c>
      <c r="AB115" s="505" t="s">
        <v>2054</v>
      </c>
      <c r="AC115" s="505" t="s">
        <v>2054</v>
      </c>
      <c r="AD115" s="506" t="s">
        <v>2054</v>
      </c>
      <c r="AE115" s="507"/>
      <c r="AF115" s="507"/>
      <c r="AG115" s="505">
        <v>0.05</v>
      </c>
      <c r="AH115" s="501" t="s">
        <v>722</v>
      </c>
      <c r="AI115" s="505"/>
    </row>
    <row r="116" spans="2:35" x14ac:dyDescent="0.2">
      <c r="B116" s="352">
        <v>105</v>
      </c>
      <c r="C116" s="496" t="s">
        <v>735</v>
      </c>
      <c r="D116" s="496" t="s">
        <v>1996</v>
      </c>
      <c r="E116" s="497" t="s">
        <v>746</v>
      </c>
      <c r="F116" s="496" t="s">
        <v>762</v>
      </c>
      <c r="G116" s="496" t="b">
        <v>1</v>
      </c>
      <c r="H116" s="496"/>
      <c r="I116" s="496" t="s">
        <v>1903</v>
      </c>
      <c r="J116" s="498" t="s">
        <v>982</v>
      </c>
      <c r="K116" s="499" t="s">
        <v>983</v>
      </c>
      <c r="L116" s="500">
        <v>0</v>
      </c>
      <c r="M116" s="501">
        <v>0</v>
      </c>
      <c r="N116" s="501">
        <v>0</v>
      </c>
      <c r="O116" s="501">
        <v>0</v>
      </c>
      <c r="P116" s="502">
        <v>0</v>
      </c>
      <c r="Q116" s="503"/>
      <c r="R116" s="503"/>
      <c r="S116" s="500">
        <v>0</v>
      </c>
      <c r="T116" s="501">
        <v>0</v>
      </c>
      <c r="U116" s="501">
        <v>0</v>
      </c>
      <c r="V116" s="501">
        <v>0</v>
      </c>
      <c r="W116" s="502">
        <v>0</v>
      </c>
      <c r="X116" s="503"/>
      <c r="Y116" s="503"/>
      <c r="Z116" s="504" t="s">
        <v>2054</v>
      </c>
      <c r="AA116" s="505" t="s">
        <v>2054</v>
      </c>
      <c r="AB116" s="505" t="s">
        <v>2054</v>
      </c>
      <c r="AC116" s="505" t="s">
        <v>2054</v>
      </c>
      <c r="AD116" s="506" t="s">
        <v>2054</v>
      </c>
      <c r="AE116" s="507"/>
      <c r="AF116" s="507"/>
      <c r="AG116" s="505">
        <v>0.06</v>
      </c>
      <c r="AH116" s="501" t="s">
        <v>722</v>
      </c>
      <c r="AI116" s="505"/>
    </row>
    <row r="117" spans="2:35" x14ac:dyDescent="0.2">
      <c r="B117" s="352">
        <v>106</v>
      </c>
      <c r="C117" s="496" t="s">
        <v>735</v>
      </c>
      <c r="D117" s="496" t="s">
        <v>1996</v>
      </c>
      <c r="E117" s="497" t="s">
        <v>746</v>
      </c>
      <c r="F117" s="496" t="s">
        <v>762</v>
      </c>
      <c r="G117" s="496" t="b">
        <v>1</v>
      </c>
      <c r="H117" s="496"/>
      <c r="I117" s="496" t="s">
        <v>1903</v>
      </c>
      <c r="J117" s="498" t="s">
        <v>984</v>
      </c>
      <c r="K117" s="499" t="s">
        <v>985</v>
      </c>
      <c r="L117" s="500">
        <v>0</v>
      </c>
      <c r="M117" s="501">
        <v>0</v>
      </c>
      <c r="N117" s="501">
        <v>0</v>
      </c>
      <c r="O117" s="501">
        <v>0</v>
      </c>
      <c r="P117" s="502">
        <v>0</v>
      </c>
      <c r="Q117" s="503"/>
      <c r="R117" s="503"/>
      <c r="S117" s="500">
        <v>0</v>
      </c>
      <c r="T117" s="501">
        <v>0</v>
      </c>
      <c r="U117" s="501">
        <v>0</v>
      </c>
      <c r="V117" s="501">
        <v>0</v>
      </c>
      <c r="W117" s="502">
        <v>0</v>
      </c>
      <c r="X117" s="503"/>
      <c r="Y117" s="503"/>
      <c r="Z117" s="504" t="s">
        <v>2054</v>
      </c>
      <c r="AA117" s="505" t="s">
        <v>2054</v>
      </c>
      <c r="AB117" s="505" t="s">
        <v>2054</v>
      </c>
      <c r="AC117" s="505" t="s">
        <v>2054</v>
      </c>
      <c r="AD117" s="506" t="s">
        <v>2054</v>
      </c>
      <c r="AE117" s="507"/>
      <c r="AF117" s="507"/>
      <c r="AG117" s="505">
        <v>0.05</v>
      </c>
      <c r="AH117" s="501" t="s">
        <v>722</v>
      </c>
      <c r="AI117" s="505"/>
    </row>
    <row r="118" spans="2:35" x14ac:dyDescent="0.2">
      <c r="B118" s="352">
        <v>107</v>
      </c>
      <c r="C118" s="496" t="s">
        <v>735</v>
      </c>
      <c r="D118" s="496" t="s">
        <v>1996</v>
      </c>
      <c r="E118" s="497" t="s">
        <v>746</v>
      </c>
      <c r="F118" s="496" t="s">
        <v>762</v>
      </c>
      <c r="G118" s="496" t="b">
        <v>1</v>
      </c>
      <c r="H118" s="496"/>
      <c r="I118" s="496" t="s">
        <v>1903</v>
      </c>
      <c r="J118" s="498" t="s">
        <v>986</v>
      </c>
      <c r="K118" s="499" t="s">
        <v>987</v>
      </c>
      <c r="L118" s="500">
        <v>0</v>
      </c>
      <c r="M118" s="501">
        <v>0</v>
      </c>
      <c r="N118" s="501">
        <v>0</v>
      </c>
      <c r="O118" s="501">
        <v>0</v>
      </c>
      <c r="P118" s="502">
        <v>0</v>
      </c>
      <c r="Q118" s="503"/>
      <c r="R118" s="503"/>
      <c r="S118" s="500">
        <v>0</v>
      </c>
      <c r="T118" s="501">
        <v>0</v>
      </c>
      <c r="U118" s="501">
        <v>0</v>
      </c>
      <c r="V118" s="501">
        <v>0</v>
      </c>
      <c r="W118" s="502">
        <v>0</v>
      </c>
      <c r="X118" s="503"/>
      <c r="Y118" s="503"/>
      <c r="Z118" s="504" t="s">
        <v>2054</v>
      </c>
      <c r="AA118" s="505" t="s">
        <v>2054</v>
      </c>
      <c r="AB118" s="505" t="s">
        <v>2054</v>
      </c>
      <c r="AC118" s="505" t="s">
        <v>2054</v>
      </c>
      <c r="AD118" s="506" t="s">
        <v>2054</v>
      </c>
      <c r="AE118" s="507"/>
      <c r="AF118" s="507"/>
      <c r="AG118" s="505">
        <v>0.05</v>
      </c>
      <c r="AH118" s="501" t="s">
        <v>722</v>
      </c>
      <c r="AI118" s="505"/>
    </row>
    <row r="119" spans="2:35" x14ac:dyDescent="0.2">
      <c r="B119" s="352">
        <v>108</v>
      </c>
      <c r="C119" s="496" t="s">
        <v>735</v>
      </c>
      <c r="D119" s="496" t="s">
        <v>1996</v>
      </c>
      <c r="E119" s="497" t="s">
        <v>746</v>
      </c>
      <c r="F119" s="496" t="s">
        <v>762</v>
      </c>
      <c r="G119" s="496" t="b">
        <v>1</v>
      </c>
      <c r="H119" s="496"/>
      <c r="I119" s="496" t="s">
        <v>1903</v>
      </c>
      <c r="J119" s="498" t="s">
        <v>988</v>
      </c>
      <c r="K119" s="499" t="s">
        <v>989</v>
      </c>
      <c r="L119" s="500">
        <v>0</v>
      </c>
      <c r="M119" s="501">
        <v>0</v>
      </c>
      <c r="N119" s="501">
        <v>0</v>
      </c>
      <c r="O119" s="501">
        <v>0</v>
      </c>
      <c r="P119" s="502">
        <v>0</v>
      </c>
      <c r="Q119" s="503"/>
      <c r="R119" s="503"/>
      <c r="S119" s="500">
        <v>0</v>
      </c>
      <c r="T119" s="501">
        <v>0</v>
      </c>
      <c r="U119" s="501">
        <v>0</v>
      </c>
      <c r="V119" s="501">
        <v>0</v>
      </c>
      <c r="W119" s="502">
        <v>0</v>
      </c>
      <c r="X119" s="503"/>
      <c r="Y119" s="503"/>
      <c r="Z119" s="504" t="s">
        <v>2054</v>
      </c>
      <c r="AA119" s="505" t="s">
        <v>2054</v>
      </c>
      <c r="AB119" s="505" t="s">
        <v>2054</v>
      </c>
      <c r="AC119" s="505" t="s">
        <v>2054</v>
      </c>
      <c r="AD119" s="506" t="s">
        <v>2054</v>
      </c>
      <c r="AE119" s="507"/>
      <c r="AF119" s="507"/>
      <c r="AG119" s="505">
        <v>0.05</v>
      </c>
      <c r="AH119" s="501" t="s">
        <v>722</v>
      </c>
      <c r="AI119" s="505"/>
    </row>
    <row r="120" spans="2:35" x14ac:dyDescent="0.2">
      <c r="B120" s="352">
        <v>109</v>
      </c>
      <c r="C120" s="496" t="s">
        <v>735</v>
      </c>
      <c r="D120" s="496" t="s">
        <v>1996</v>
      </c>
      <c r="E120" s="497" t="s">
        <v>746</v>
      </c>
      <c r="F120" s="496" t="s">
        <v>762</v>
      </c>
      <c r="G120" s="496" t="b">
        <v>1</v>
      </c>
      <c r="H120" s="496"/>
      <c r="I120" s="496" t="s">
        <v>1903</v>
      </c>
      <c r="J120" s="498" t="s">
        <v>990</v>
      </c>
      <c r="K120" s="499" t="s">
        <v>991</v>
      </c>
      <c r="L120" s="500">
        <v>0</v>
      </c>
      <c r="M120" s="501">
        <v>0</v>
      </c>
      <c r="N120" s="501">
        <v>0</v>
      </c>
      <c r="O120" s="501">
        <v>0</v>
      </c>
      <c r="P120" s="502">
        <v>0</v>
      </c>
      <c r="Q120" s="503"/>
      <c r="R120" s="503"/>
      <c r="S120" s="500">
        <v>0</v>
      </c>
      <c r="T120" s="501">
        <v>0</v>
      </c>
      <c r="U120" s="501">
        <v>0</v>
      </c>
      <c r="V120" s="501">
        <v>0</v>
      </c>
      <c r="W120" s="502">
        <v>0</v>
      </c>
      <c r="X120" s="503"/>
      <c r="Y120" s="503"/>
      <c r="Z120" s="504" t="s">
        <v>2054</v>
      </c>
      <c r="AA120" s="505" t="s">
        <v>2054</v>
      </c>
      <c r="AB120" s="505" t="s">
        <v>2054</v>
      </c>
      <c r="AC120" s="505" t="s">
        <v>2054</v>
      </c>
      <c r="AD120" s="506" t="s">
        <v>2054</v>
      </c>
      <c r="AE120" s="507"/>
      <c r="AF120" s="507"/>
      <c r="AG120" s="505">
        <v>0.1</v>
      </c>
      <c r="AH120" s="501" t="s">
        <v>722</v>
      </c>
      <c r="AI120" s="505"/>
    </row>
    <row r="121" spans="2:35" x14ac:dyDescent="0.2">
      <c r="B121" s="352">
        <v>110</v>
      </c>
      <c r="C121" s="496" t="s">
        <v>735</v>
      </c>
      <c r="D121" s="496" t="s">
        <v>1996</v>
      </c>
      <c r="E121" s="497" t="s">
        <v>746</v>
      </c>
      <c r="F121" s="496" t="s">
        <v>762</v>
      </c>
      <c r="G121" s="496" t="b">
        <v>1</v>
      </c>
      <c r="H121" s="496"/>
      <c r="I121" s="496" t="s">
        <v>1903</v>
      </c>
      <c r="J121" s="498" t="s">
        <v>992</v>
      </c>
      <c r="K121" s="499" t="s">
        <v>993</v>
      </c>
      <c r="L121" s="500">
        <v>0</v>
      </c>
      <c r="M121" s="501">
        <v>0</v>
      </c>
      <c r="N121" s="501">
        <v>0</v>
      </c>
      <c r="O121" s="501">
        <v>0</v>
      </c>
      <c r="P121" s="502">
        <v>0</v>
      </c>
      <c r="Q121" s="503"/>
      <c r="R121" s="503"/>
      <c r="S121" s="500">
        <v>0</v>
      </c>
      <c r="T121" s="501">
        <v>0</v>
      </c>
      <c r="U121" s="501">
        <v>0</v>
      </c>
      <c r="V121" s="501">
        <v>0</v>
      </c>
      <c r="W121" s="502">
        <v>0</v>
      </c>
      <c r="X121" s="503"/>
      <c r="Y121" s="503"/>
      <c r="Z121" s="504" t="s">
        <v>2054</v>
      </c>
      <c r="AA121" s="505" t="s">
        <v>2054</v>
      </c>
      <c r="AB121" s="505" t="s">
        <v>2054</v>
      </c>
      <c r="AC121" s="505" t="s">
        <v>2054</v>
      </c>
      <c r="AD121" s="506" t="s">
        <v>2054</v>
      </c>
      <c r="AE121" s="507"/>
      <c r="AF121" s="507"/>
      <c r="AG121" s="505">
        <v>0.15</v>
      </c>
      <c r="AH121" s="501" t="s">
        <v>722</v>
      </c>
      <c r="AI121" s="505"/>
    </row>
    <row r="122" spans="2:35" x14ac:dyDescent="0.2">
      <c r="B122" s="352">
        <v>111</v>
      </c>
      <c r="C122" s="496" t="s">
        <v>735</v>
      </c>
      <c r="D122" s="496" t="s">
        <v>1996</v>
      </c>
      <c r="E122" s="497" t="s">
        <v>746</v>
      </c>
      <c r="F122" s="496" t="s">
        <v>762</v>
      </c>
      <c r="G122" s="496" t="b">
        <v>1</v>
      </c>
      <c r="H122" s="496"/>
      <c r="I122" s="496" t="s">
        <v>1904</v>
      </c>
      <c r="J122" s="498" t="s">
        <v>994</v>
      </c>
      <c r="K122" s="499" t="s">
        <v>995</v>
      </c>
      <c r="L122" s="500">
        <v>0</v>
      </c>
      <c r="M122" s="501">
        <v>0</v>
      </c>
      <c r="N122" s="501">
        <v>0</v>
      </c>
      <c r="O122" s="501">
        <v>0</v>
      </c>
      <c r="P122" s="502">
        <v>0</v>
      </c>
      <c r="Q122" s="503"/>
      <c r="R122" s="503"/>
      <c r="S122" s="500">
        <v>0</v>
      </c>
      <c r="T122" s="501">
        <v>0</v>
      </c>
      <c r="U122" s="501">
        <v>0</v>
      </c>
      <c r="V122" s="501">
        <v>0</v>
      </c>
      <c r="W122" s="502">
        <v>0</v>
      </c>
      <c r="X122" s="503"/>
      <c r="Y122" s="503"/>
      <c r="Z122" s="504" t="s">
        <v>2054</v>
      </c>
      <c r="AA122" s="505" t="s">
        <v>2054</v>
      </c>
      <c r="AB122" s="505" t="s">
        <v>2054</v>
      </c>
      <c r="AC122" s="505" t="s">
        <v>2054</v>
      </c>
      <c r="AD122" s="506" t="s">
        <v>2054</v>
      </c>
      <c r="AE122" s="507"/>
      <c r="AF122" s="507"/>
      <c r="AG122" s="505" t="s">
        <v>2054</v>
      </c>
      <c r="AH122" s="501" t="s">
        <v>722</v>
      </c>
      <c r="AI122" s="505"/>
    </row>
    <row r="123" spans="2:35" x14ac:dyDescent="0.2">
      <c r="B123" s="352">
        <v>112</v>
      </c>
      <c r="C123" s="496" t="s">
        <v>735</v>
      </c>
      <c r="D123" s="496" t="s">
        <v>1996</v>
      </c>
      <c r="E123" s="497" t="s">
        <v>746</v>
      </c>
      <c r="F123" s="496" t="s">
        <v>762</v>
      </c>
      <c r="G123" s="496" t="b">
        <v>1</v>
      </c>
      <c r="H123" s="496"/>
      <c r="I123" s="496" t="s">
        <v>1904</v>
      </c>
      <c r="J123" s="498" t="s">
        <v>996</v>
      </c>
      <c r="K123" s="499" t="s">
        <v>997</v>
      </c>
      <c r="L123" s="500">
        <v>0</v>
      </c>
      <c r="M123" s="501">
        <v>0</v>
      </c>
      <c r="N123" s="501">
        <v>0</v>
      </c>
      <c r="O123" s="501">
        <v>0</v>
      </c>
      <c r="P123" s="502">
        <v>0</v>
      </c>
      <c r="Q123" s="503"/>
      <c r="R123" s="503"/>
      <c r="S123" s="500">
        <v>0</v>
      </c>
      <c r="T123" s="501">
        <v>0</v>
      </c>
      <c r="U123" s="501">
        <v>0</v>
      </c>
      <c r="V123" s="501">
        <v>0</v>
      </c>
      <c r="W123" s="502">
        <v>0</v>
      </c>
      <c r="X123" s="503"/>
      <c r="Y123" s="503"/>
      <c r="Z123" s="504" t="s">
        <v>2054</v>
      </c>
      <c r="AA123" s="505" t="s">
        <v>2054</v>
      </c>
      <c r="AB123" s="505" t="s">
        <v>2054</v>
      </c>
      <c r="AC123" s="505" t="s">
        <v>2054</v>
      </c>
      <c r="AD123" s="506" t="s">
        <v>2054</v>
      </c>
      <c r="AE123" s="507"/>
      <c r="AF123" s="507"/>
      <c r="AG123" s="505" t="s">
        <v>2054</v>
      </c>
      <c r="AH123" s="501" t="s">
        <v>722</v>
      </c>
      <c r="AI123" s="505"/>
    </row>
    <row r="124" spans="2:35" x14ac:dyDescent="0.2">
      <c r="B124" s="352">
        <v>113</v>
      </c>
      <c r="C124" s="496" t="s">
        <v>735</v>
      </c>
      <c r="D124" s="496" t="s">
        <v>1996</v>
      </c>
      <c r="E124" s="497" t="s">
        <v>746</v>
      </c>
      <c r="F124" s="496" t="s">
        <v>762</v>
      </c>
      <c r="G124" s="496" t="b">
        <v>1</v>
      </c>
      <c r="H124" s="496"/>
      <c r="I124" s="496" t="s">
        <v>1904</v>
      </c>
      <c r="J124" s="498" t="s">
        <v>998</v>
      </c>
      <c r="K124" s="499" t="s">
        <v>999</v>
      </c>
      <c r="L124" s="500">
        <v>0</v>
      </c>
      <c r="M124" s="501">
        <v>0</v>
      </c>
      <c r="N124" s="501">
        <v>0</v>
      </c>
      <c r="O124" s="501">
        <v>0</v>
      </c>
      <c r="P124" s="502">
        <v>0</v>
      </c>
      <c r="Q124" s="503"/>
      <c r="R124" s="503"/>
      <c r="S124" s="500">
        <v>0</v>
      </c>
      <c r="T124" s="501">
        <v>0</v>
      </c>
      <c r="U124" s="501">
        <v>0</v>
      </c>
      <c r="V124" s="501">
        <v>0</v>
      </c>
      <c r="W124" s="502">
        <v>0</v>
      </c>
      <c r="X124" s="503"/>
      <c r="Y124" s="503"/>
      <c r="Z124" s="504" t="s">
        <v>2054</v>
      </c>
      <c r="AA124" s="505" t="s">
        <v>2054</v>
      </c>
      <c r="AB124" s="505" t="s">
        <v>2054</v>
      </c>
      <c r="AC124" s="505" t="s">
        <v>2054</v>
      </c>
      <c r="AD124" s="506" t="s">
        <v>2054</v>
      </c>
      <c r="AE124" s="507"/>
      <c r="AF124" s="507"/>
      <c r="AG124" s="505" t="s">
        <v>2054</v>
      </c>
      <c r="AH124" s="501" t="s">
        <v>722</v>
      </c>
      <c r="AI124" s="505"/>
    </row>
    <row r="125" spans="2:35" x14ac:dyDescent="0.2">
      <c r="B125" s="352">
        <v>114</v>
      </c>
      <c r="C125" s="496" t="s">
        <v>735</v>
      </c>
      <c r="D125" s="496" t="s">
        <v>1996</v>
      </c>
      <c r="E125" s="497" t="s">
        <v>746</v>
      </c>
      <c r="F125" s="496" t="s">
        <v>762</v>
      </c>
      <c r="G125" s="496" t="b">
        <v>1</v>
      </c>
      <c r="H125" s="496"/>
      <c r="I125" s="496" t="s">
        <v>1903</v>
      </c>
      <c r="J125" s="498" t="s">
        <v>1000</v>
      </c>
      <c r="K125" s="499" t="s">
        <v>1001</v>
      </c>
      <c r="L125" s="500">
        <v>0</v>
      </c>
      <c r="M125" s="501">
        <v>0</v>
      </c>
      <c r="N125" s="501">
        <v>0</v>
      </c>
      <c r="O125" s="501">
        <v>0</v>
      </c>
      <c r="P125" s="502">
        <v>0</v>
      </c>
      <c r="Q125" s="503"/>
      <c r="R125" s="503"/>
      <c r="S125" s="500">
        <v>0</v>
      </c>
      <c r="T125" s="501">
        <v>0</v>
      </c>
      <c r="U125" s="501">
        <v>0</v>
      </c>
      <c r="V125" s="501">
        <v>0</v>
      </c>
      <c r="W125" s="502">
        <v>0</v>
      </c>
      <c r="X125" s="503"/>
      <c r="Y125" s="503"/>
      <c r="Z125" s="504" t="s">
        <v>2054</v>
      </c>
      <c r="AA125" s="505" t="s">
        <v>2054</v>
      </c>
      <c r="AB125" s="505" t="s">
        <v>2054</v>
      </c>
      <c r="AC125" s="505" t="s">
        <v>2054</v>
      </c>
      <c r="AD125" s="506" t="s">
        <v>2054</v>
      </c>
      <c r="AE125" s="507"/>
      <c r="AF125" s="507"/>
      <c r="AG125" s="505">
        <v>0.15</v>
      </c>
      <c r="AH125" s="501" t="s">
        <v>722</v>
      </c>
      <c r="AI125" s="505"/>
    </row>
    <row r="126" spans="2:35" x14ac:dyDescent="0.2">
      <c r="B126" s="352">
        <v>115</v>
      </c>
      <c r="C126" s="496" t="s">
        <v>735</v>
      </c>
      <c r="D126" s="496" t="s">
        <v>1996</v>
      </c>
      <c r="E126" s="497" t="s">
        <v>746</v>
      </c>
      <c r="F126" s="496" t="s">
        <v>762</v>
      </c>
      <c r="G126" s="496" t="b">
        <v>1</v>
      </c>
      <c r="H126" s="496"/>
      <c r="I126" s="496" t="s">
        <v>1903</v>
      </c>
      <c r="J126" s="498" t="s">
        <v>1002</v>
      </c>
      <c r="K126" s="499" t="s">
        <v>1003</v>
      </c>
      <c r="L126" s="500">
        <v>0</v>
      </c>
      <c r="M126" s="501">
        <v>0</v>
      </c>
      <c r="N126" s="501">
        <v>0</v>
      </c>
      <c r="O126" s="501">
        <v>0</v>
      </c>
      <c r="P126" s="502">
        <v>0</v>
      </c>
      <c r="Q126" s="503"/>
      <c r="R126" s="503"/>
      <c r="S126" s="500">
        <v>0</v>
      </c>
      <c r="T126" s="501">
        <v>0</v>
      </c>
      <c r="U126" s="501">
        <v>0</v>
      </c>
      <c r="V126" s="501">
        <v>0</v>
      </c>
      <c r="W126" s="502">
        <v>0</v>
      </c>
      <c r="X126" s="503"/>
      <c r="Y126" s="503"/>
      <c r="Z126" s="504" t="s">
        <v>2054</v>
      </c>
      <c r="AA126" s="505" t="s">
        <v>2054</v>
      </c>
      <c r="AB126" s="505" t="s">
        <v>2054</v>
      </c>
      <c r="AC126" s="505" t="s">
        <v>2054</v>
      </c>
      <c r="AD126" s="506" t="s">
        <v>2054</v>
      </c>
      <c r="AE126" s="507"/>
      <c r="AF126" s="507"/>
      <c r="AG126" s="505">
        <v>0.08</v>
      </c>
      <c r="AH126" s="501" t="s">
        <v>722</v>
      </c>
      <c r="AI126" s="505"/>
    </row>
    <row r="127" spans="2:35" x14ac:dyDescent="0.2">
      <c r="B127" s="352">
        <v>116</v>
      </c>
      <c r="C127" s="496" t="s">
        <v>735</v>
      </c>
      <c r="D127" s="496" t="s">
        <v>1996</v>
      </c>
      <c r="E127" s="497" t="s">
        <v>746</v>
      </c>
      <c r="F127" s="496" t="s">
        <v>762</v>
      </c>
      <c r="G127" s="496" t="b">
        <v>1</v>
      </c>
      <c r="H127" s="496"/>
      <c r="I127" s="496" t="s">
        <v>1903</v>
      </c>
      <c r="J127" s="498" t="s">
        <v>1004</v>
      </c>
      <c r="K127" s="499" t="s">
        <v>1005</v>
      </c>
      <c r="L127" s="500">
        <v>0</v>
      </c>
      <c r="M127" s="501">
        <v>0</v>
      </c>
      <c r="N127" s="501">
        <v>0</v>
      </c>
      <c r="O127" s="501">
        <v>0</v>
      </c>
      <c r="P127" s="502">
        <v>0</v>
      </c>
      <c r="Q127" s="503"/>
      <c r="R127" s="503"/>
      <c r="S127" s="500">
        <v>0</v>
      </c>
      <c r="T127" s="501">
        <v>0</v>
      </c>
      <c r="U127" s="501">
        <v>0</v>
      </c>
      <c r="V127" s="501">
        <v>0</v>
      </c>
      <c r="W127" s="502">
        <v>0</v>
      </c>
      <c r="X127" s="503"/>
      <c r="Y127" s="503"/>
      <c r="Z127" s="504" t="s">
        <v>2054</v>
      </c>
      <c r="AA127" s="505" t="s">
        <v>2054</v>
      </c>
      <c r="AB127" s="505" t="s">
        <v>2054</v>
      </c>
      <c r="AC127" s="505" t="s">
        <v>2054</v>
      </c>
      <c r="AD127" s="506" t="s">
        <v>2054</v>
      </c>
      <c r="AE127" s="507"/>
      <c r="AF127" s="507"/>
      <c r="AG127" s="505" t="s">
        <v>2054</v>
      </c>
      <c r="AH127" s="501" t="s">
        <v>722</v>
      </c>
      <c r="AI127" s="505"/>
    </row>
    <row r="128" spans="2:35" x14ac:dyDescent="0.2">
      <c r="B128" s="352">
        <v>117</v>
      </c>
      <c r="C128" s="496" t="s">
        <v>735</v>
      </c>
      <c r="D128" s="496" t="s">
        <v>1996</v>
      </c>
      <c r="E128" s="497" t="s">
        <v>746</v>
      </c>
      <c r="F128" s="496" t="s">
        <v>762</v>
      </c>
      <c r="G128" s="496" t="b">
        <v>1</v>
      </c>
      <c r="H128" s="496"/>
      <c r="I128" s="496" t="s">
        <v>1903</v>
      </c>
      <c r="J128" s="498" t="s">
        <v>1006</v>
      </c>
      <c r="K128" s="499" t="s">
        <v>1007</v>
      </c>
      <c r="L128" s="500">
        <v>0</v>
      </c>
      <c r="M128" s="501">
        <v>0</v>
      </c>
      <c r="N128" s="501">
        <v>0</v>
      </c>
      <c r="O128" s="501">
        <v>0</v>
      </c>
      <c r="P128" s="502">
        <v>0</v>
      </c>
      <c r="Q128" s="503"/>
      <c r="R128" s="503"/>
      <c r="S128" s="500">
        <v>0</v>
      </c>
      <c r="T128" s="501">
        <v>0</v>
      </c>
      <c r="U128" s="501">
        <v>0</v>
      </c>
      <c r="V128" s="501">
        <v>0</v>
      </c>
      <c r="W128" s="502">
        <v>0</v>
      </c>
      <c r="X128" s="503"/>
      <c r="Y128" s="503"/>
      <c r="Z128" s="504" t="s">
        <v>2054</v>
      </c>
      <c r="AA128" s="505" t="s">
        <v>2054</v>
      </c>
      <c r="AB128" s="505" t="s">
        <v>2054</v>
      </c>
      <c r="AC128" s="505" t="s">
        <v>2054</v>
      </c>
      <c r="AD128" s="506" t="s">
        <v>2054</v>
      </c>
      <c r="AE128" s="507"/>
      <c r="AF128" s="507"/>
      <c r="AG128" s="505">
        <v>0.08</v>
      </c>
      <c r="AH128" s="501" t="s">
        <v>722</v>
      </c>
      <c r="AI128" s="505"/>
    </row>
    <row r="129" spans="2:35" x14ac:dyDescent="0.2">
      <c r="B129" s="352">
        <v>118</v>
      </c>
      <c r="C129" s="496" t="s">
        <v>735</v>
      </c>
      <c r="D129" s="496" t="s">
        <v>1996</v>
      </c>
      <c r="E129" s="497" t="s">
        <v>746</v>
      </c>
      <c r="F129" s="496" t="s">
        <v>762</v>
      </c>
      <c r="G129" s="496" t="b">
        <v>1</v>
      </c>
      <c r="H129" s="496"/>
      <c r="I129" s="496" t="s">
        <v>1903</v>
      </c>
      <c r="J129" s="498" t="s">
        <v>1008</v>
      </c>
      <c r="K129" s="499" t="s">
        <v>1009</v>
      </c>
      <c r="L129" s="500">
        <v>0</v>
      </c>
      <c r="M129" s="501">
        <v>0</v>
      </c>
      <c r="N129" s="501">
        <v>0</v>
      </c>
      <c r="O129" s="501">
        <v>0</v>
      </c>
      <c r="P129" s="502">
        <v>0</v>
      </c>
      <c r="Q129" s="503"/>
      <c r="R129" s="503"/>
      <c r="S129" s="500">
        <v>0</v>
      </c>
      <c r="T129" s="501">
        <v>0</v>
      </c>
      <c r="U129" s="501">
        <v>0</v>
      </c>
      <c r="V129" s="501">
        <v>0</v>
      </c>
      <c r="W129" s="502">
        <v>0</v>
      </c>
      <c r="X129" s="503"/>
      <c r="Y129" s="503"/>
      <c r="Z129" s="504" t="s">
        <v>2054</v>
      </c>
      <c r="AA129" s="505" t="s">
        <v>2054</v>
      </c>
      <c r="AB129" s="505" t="s">
        <v>2054</v>
      </c>
      <c r="AC129" s="505" t="s">
        <v>2054</v>
      </c>
      <c r="AD129" s="506" t="s">
        <v>2054</v>
      </c>
      <c r="AE129" s="507"/>
      <c r="AF129" s="507"/>
      <c r="AG129" s="505">
        <v>0.05</v>
      </c>
      <c r="AH129" s="501" t="s">
        <v>722</v>
      </c>
      <c r="AI129" s="505"/>
    </row>
    <row r="130" spans="2:35" x14ac:dyDescent="0.2">
      <c r="B130" s="352">
        <v>119</v>
      </c>
      <c r="C130" s="496" t="s">
        <v>735</v>
      </c>
      <c r="D130" s="496" t="s">
        <v>1996</v>
      </c>
      <c r="E130" s="497" t="s">
        <v>746</v>
      </c>
      <c r="F130" s="496" t="s">
        <v>762</v>
      </c>
      <c r="G130" s="496" t="b">
        <v>1</v>
      </c>
      <c r="H130" s="496"/>
      <c r="I130" s="496" t="s">
        <v>1905</v>
      </c>
      <c r="J130" s="498" t="s">
        <v>1848</v>
      </c>
      <c r="K130" s="499" t="s">
        <v>1849</v>
      </c>
      <c r="L130" s="500">
        <v>0</v>
      </c>
      <c r="M130" s="501">
        <v>0</v>
      </c>
      <c r="N130" s="501">
        <v>0</v>
      </c>
      <c r="O130" s="501">
        <v>0</v>
      </c>
      <c r="P130" s="502">
        <v>0</v>
      </c>
      <c r="Q130" s="503"/>
      <c r="R130" s="503"/>
      <c r="S130" s="500">
        <v>0</v>
      </c>
      <c r="T130" s="501">
        <v>0</v>
      </c>
      <c r="U130" s="501">
        <v>0</v>
      </c>
      <c r="V130" s="501">
        <v>0</v>
      </c>
      <c r="W130" s="502">
        <v>0</v>
      </c>
      <c r="X130" s="503"/>
      <c r="Y130" s="503"/>
      <c r="Z130" s="504" t="s">
        <v>2054</v>
      </c>
      <c r="AA130" s="505" t="s">
        <v>2054</v>
      </c>
      <c r="AB130" s="505" t="s">
        <v>2054</v>
      </c>
      <c r="AC130" s="505" t="s">
        <v>2054</v>
      </c>
      <c r="AD130" s="506" t="s">
        <v>2054</v>
      </c>
      <c r="AE130" s="507"/>
      <c r="AF130" s="507"/>
      <c r="AG130" s="505" t="s">
        <v>2054</v>
      </c>
      <c r="AH130" s="501" t="s">
        <v>722</v>
      </c>
      <c r="AI130" s="505"/>
    </row>
    <row r="131" spans="2:35" x14ac:dyDescent="0.2">
      <c r="B131" s="352">
        <v>120</v>
      </c>
      <c r="C131" s="496" t="s">
        <v>735</v>
      </c>
      <c r="D131" s="496" t="s">
        <v>1996</v>
      </c>
      <c r="E131" s="497" t="s">
        <v>746</v>
      </c>
      <c r="F131" s="496" t="s">
        <v>762</v>
      </c>
      <c r="G131" s="496" t="b">
        <v>1</v>
      </c>
      <c r="H131" s="496"/>
      <c r="I131" s="496" t="s">
        <v>1903</v>
      </c>
      <c r="J131" s="498" t="s">
        <v>1010</v>
      </c>
      <c r="K131" s="499" t="s">
        <v>1011</v>
      </c>
      <c r="L131" s="500">
        <v>0</v>
      </c>
      <c r="M131" s="501">
        <v>0</v>
      </c>
      <c r="N131" s="501">
        <v>0</v>
      </c>
      <c r="O131" s="501">
        <v>0</v>
      </c>
      <c r="P131" s="502">
        <v>0</v>
      </c>
      <c r="Q131" s="503"/>
      <c r="R131" s="503"/>
      <c r="S131" s="500">
        <v>0</v>
      </c>
      <c r="T131" s="501">
        <v>0</v>
      </c>
      <c r="U131" s="501">
        <v>0</v>
      </c>
      <c r="V131" s="501">
        <v>0</v>
      </c>
      <c r="W131" s="502">
        <v>0</v>
      </c>
      <c r="X131" s="503"/>
      <c r="Y131" s="503"/>
      <c r="Z131" s="504" t="s">
        <v>2054</v>
      </c>
      <c r="AA131" s="505" t="s">
        <v>2054</v>
      </c>
      <c r="AB131" s="505" t="s">
        <v>2054</v>
      </c>
      <c r="AC131" s="505" t="s">
        <v>2054</v>
      </c>
      <c r="AD131" s="506" t="s">
        <v>2054</v>
      </c>
      <c r="AE131" s="507"/>
      <c r="AF131" s="507"/>
      <c r="AG131" s="505" t="s">
        <v>2054</v>
      </c>
      <c r="AH131" s="501" t="s">
        <v>722</v>
      </c>
      <c r="AI131" s="505"/>
    </row>
    <row r="132" spans="2:35" x14ac:dyDescent="0.2">
      <c r="B132" s="352">
        <v>121</v>
      </c>
      <c r="C132" s="496" t="s">
        <v>735</v>
      </c>
      <c r="D132" s="496" t="s">
        <v>1996</v>
      </c>
      <c r="E132" s="497" t="s">
        <v>746</v>
      </c>
      <c r="F132" s="496" t="s">
        <v>762</v>
      </c>
      <c r="G132" s="496" t="b">
        <v>1</v>
      </c>
      <c r="H132" s="496"/>
      <c r="I132" s="496" t="s">
        <v>1903</v>
      </c>
      <c r="J132" s="498" t="s">
        <v>1012</v>
      </c>
      <c r="K132" s="499" t="s">
        <v>1013</v>
      </c>
      <c r="L132" s="500">
        <v>0</v>
      </c>
      <c r="M132" s="501">
        <v>0</v>
      </c>
      <c r="N132" s="501">
        <v>0</v>
      </c>
      <c r="O132" s="501">
        <v>0</v>
      </c>
      <c r="P132" s="502">
        <v>0</v>
      </c>
      <c r="Q132" s="503"/>
      <c r="R132" s="503"/>
      <c r="S132" s="500">
        <v>0</v>
      </c>
      <c r="T132" s="501">
        <v>0</v>
      </c>
      <c r="U132" s="501">
        <v>0</v>
      </c>
      <c r="V132" s="501">
        <v>0</v>
      </c>
      <c r="W132" s="502">
        <v>0</v>
      </c>
      <c r="X132" s="503"/>
      <c r="Y132" s="503"/>
      <c r="Z132" s="504" t="s">
        <v>2054</v>
      </c>
      <c r="AA132" s="505" t="s">
        <v>2054</v>
      </c>
      <c r="AB132" s="505" t="s">
        <v>2054</v>
      </c>
      <c r="AC132" s="505" t="s">
        <v>2054</v>
      </c>
      <c r="AD132" s="506" t="s">
        <v>2054</v>
      </c>
      <c r="AE132" s="507"/>
      <c r="AF132" s="507"/>
      <c r="AG132" s="505">
        <v>0.05</v>
      </c>
      <c r="AH132" s="501" t="s">
        <v>722</v>
      </c>
      <c r="AI132" s="505"/>
    </row>
    <row r="133" spans="2:35" x14ac:dyDescent="0.2">
      <c r="B133" s="352">
        <v>122</v>
      </c>
      <c r="C133" s="496" t="s">
        <v>735</v>
      </c>
      <c r="D133" s="496" t="s">
        <v>1996</v>
      </c>
      <c r="E133" s="497" t="s">
        <v>746</v>
      </c>
      <c r="F133" s="496" t="s">
        <v>762</v>
      </c>
      <c r="G133" s="496" t="b">
        <v>1</v>
      </c>
      <c r="H133" s="496"/>
      <c r="I133" s="496" t="s">
        <v>1903</v>
      </c>
      <c r="J133" s="498" t="s">
        <v>1014</v>
      </c>
      <c r="K133" s="499" t="s">
        <v>1893</v>
      </c>
      <c r="L133" s="500">
        <v>0</v>
      </c>
      <c r="M133" s="501">
        <v>0</v>
      </c>
      <c r="N133" s="501">
        <v>0</v>
      </c>
      <c r="O133" s="501">
        <v>0</v>
      </c>
      <c r="P133" s="502">
        <v>0</v>
      </c>
      <c r="Q133" s="503"/>
      <c r="R133" s="503"/>
      <c r="S133" s="500">
        <v>0</v>
      </c>
      <c r="T133" s="501">
        <v>0</v>
      </c>
      <c r="U133" s="501">
        <v>0</v>
      </c>
      <c r="V133" s="501">
        <v>0</v>
      </c>
      <c r="W133" s="502">
        <v>0</v>
      </c>
      <c r="X133" s="503"/>
      <c r="Y133" s="503"/>
      <c r="Z133" s="504" t="s">
        <v>2054</v>
      </c>
      <c r="AA133" s="505" t="s">
        <v>2054</v>
      </c>
      <c r="AB133" s="505" t="s">
        <v>2054</v>
      </c>
      <c r="AC133" s="505" t="s">
        <v>2054</v>
      </c>
      <c r="AD133" s="506" t="s">
        <v>2054</v>
      </c>
      <c r="AE133" s="507"/>
      <c r="AF133" s="507"/>
      <c r="AG133" s="505">
        <v>0.05</v>
      </c>
      <c r="AH133" s="501" t="s">
        <v>722</v>
      </c>
      <c r="AI133" s="505"/>
    </row>
    <row r="134" spans="2:35" x14ac:dyDescent="0.2">
      <c r="B134" s="352">
        <v>123</v>
      </c>
      <c r="C134" s="496" t="s">
        <v>735</v>
      </c>
      <c r="D134" s="496" t="s">
        <v>1996</v>
      </c>
      <c r="E134" s="497" t="s">
        <v>746</v>
      </c>
      <c r="F134" s="496" t="s">
        <v>762</v>
      </c>
      <c r="G134" s="496" t="b">
        <v>1</v>
      </c>
      <c r="H134" s="496"/>
      <c r="I134" s="496" t="s">
        <v>709</v>
      </c>
      <c r="J134" s="498" t="s">
        <v>1015</v>
      </c>
      <c r="K134" s="499" t="s">
        <v>1016</v>
      </c>
      <c r="L134" s="500">
        <v>0</v>
      </c>
      <c r="M134" s="501">
        <v>0</v>
      </c>
      <c r="N134" s="501">
        <v>0</v>
      </c>
      <c r="O134" s="501">
        <v>0</v>
      </c>
      <c r="P134" s="502">
        <v>0</v>
      </c>
      <c r="Q134" s="503"/>
      <c r="R134" s="503"/>
      <c r="S134" s="500">
        <v>0</v>
      </c>
      <c r="T134" s="501">
        <v>0</v>
      </c>
      <c r="U134" s="501">
        <v>0</v>
      </c>
      <c r="V134" s="501">
        <v>0</v>
      </c>
      <c r="W134" s="502">
        <v>0</v>
      </c>
      <c r="X134" s="503"/>
      <c r="Y134" s="503"/>
      <c r="Z134" s="504" t="s">
        <v>2054</v>
      </c>
      <c r="AA134" s="505" t="s">
        <v>2054</v>
      </c>
      <c r="AB134" s="505" t="s">
        <v>2054</v>
      </c>
      <c r="AC134" s="505" t="s">
        <v>2054</v>
      </c>
      <c r="AD134" s="506" t="s">
        <v>2054</v>
      </c>
      <c r="AE134" s="507"/>
      <c r="AF134" s="507"/>
      <c r="AG134" s="505" t="s">
        <v>2054</v>
      </c>
      <c r="AH134" s="501" t="s">
        <v>722</v>
      </c>
      <c r="AI134" s="505"/>
    </row>
    <row r="135" spans="2:35" x14ac:dyDescent="0.2">
      <c r="B135" s="352">
        <v>124</v>
      </c>
      <c r="C135" s="496" t="s">
        <v>735</v>
      </c>
      <c r="D135" s="496" t="s">
        <v>1996</v>
      </c>
      <c r="E135" s="497" t="s">
        <v>746</v>
      </c>
      <c r="F135" s="496" t="s">
        <v>762</v>
      </c>
      <c r="G135" s="496" t="b">
        <v>1</v>
      </c>
      <c r="H135" s="496"/>
      <c r="I135" s="496" t="s">
        <v>716</v>
      </c>
      <c r="J135" s="498" t="s">
        <v>1017</v>
      </c>
      <c r="K135" s="499" t="s">
        <v>1018</v>
      </c>
      <c r="L135" s="500">
        <v>0</v>
      </c>
      <c r="M135" s="501">
        <v>0</v>
      </c>
      <c r="N135" s="501">
        <v>0</v>
      </c>
      <c r="O135" s="501">
        <v>0</v>
      </c>
      <c r="P135" s="502">
        <v>0</v>
      </c>
      <c r="Q135" s="503"/>
      <c r="R135" s="503"/>
      <c r="S135" s="500">
        <v>0</v>
      </c>
      <c r="T135" s="501">
        <v>0</v>
      </c>
      <c r="U135" s="501">
        <v>0</v>
      </c>
      <c r="V135" s="501">
        <v>0</v>
      </c>
      <c r="W135" s="502">
        <v>0</v>
      </c>
      <c r="X135" s="503"/>
      <c r="Y135" s="503"/>
      <c r="Z135" s="504" t="s">
        <v>2054</v>
      </c>
      <c r="AA135" s="505" t="s">
        <v>2054</v>
      </c>
      <c r="AB135" s="505" t="s">
        <v>2054</v>
      </c>
      <c r="AC135" s="505" t="s">
        <v>2054</v>
      </c>
      <c r="AD135" s="506" t="s">
        <v>2054</v>
      </c>
      <c r="AE135" s="507"/>
      <c r="AF135" s="507"/>
      <c r="AG135" s="505">
        <v>0.1</v>
      </c>
      <c r="AH135" s="501" t="s">
        <v>722</v>
      </c>
      <c r="AI135" s="505"/>
    </row>
    <row r="136" spans="2:35" x14ac:dyDescent="0.2">
      <c r="B136" s="352">
        <v>125</v>
      </c>
      <c r="C136" s="496" t="s">
        <v>735</v>
      </c>
      <c r="D136" s="496" t="s">
        <v>1996</v>
      </c>
      <c r="E136" s="497" t="s">
        <v>746</v>
      </c>
      <c r="F136" s="496" t="s">
        <v>762</v>
      </c>
      <c r="G136" s="496" t="b">
        <v>1</v>
      </c>
      <c r="H136" s="496"/>
      <c r="I136" s="496" t="s">
        <v>716</v>
      </c>
      <c r="J136" s="498" t="s">
        <v>1019</v>
      </c>
      <c r="K136" s="499" t="s">
        <v>1020</v>
      </c>
      <c r="L136" s="500">
        <v>0</v>
      </c>
      <c r="M136" s="501">
        <v>0</v>
      </c>
      <c r="N136" s="501">
        <v>0</v>
      </c>
      <c r="O136" s="501">
        <v>0</v>
      </c>
      <c r="P136" s="502">
        <v>0</v>
      </c>
      <c r="Q136" s="503"/>
      <c r="R136" s="503"/>
      <c r="S136" s="500">
        <v>0</v>
      </c>
      <c r="T136" s="501">
        <v>0</v>
      </c>
      <c r="U136" s="501">
        <v>0</v>
      </c>
      <c r="V136" s="501">
        <v>0</v>
      </c>
      <c r="W136" s="502">
        <v>0</v>
      </c>
      <c r="X136" s="503"/>
      <c r="Y136" s="503"/>
      <c r="Z136" s="504" t="s">
        <v>2054</v>
      </c>
      <c r="AA136" s="505" t="s">
        <v>2054</v>
      </c>
      <c r="AB136" s="505" t="s">
        <v>2054</v>
      </c>
      <c r="AC136" s="505" t="s">
        <v>2054</v>
      </c>
      <c r="AD136" s="506" t="s">
        <v>2054</v>
      </c>
      <c r="AE136" s="507"/>
      <c r="AF136" s="507"/>
      <c r="AG136" s="505">
        <v>0.05</v>
      </c>
      <c r="AH136" s="501" t="s">
        <v>722</v>
      </c>
      <c r="AI136" s="505"/>
    </row>
    <row r="137" spans="2:35" x14ac:dyDescent="0.2">
      <c r="B137" s="352">
        <v>126</v>
      </c>
      <c r="C137" s="496" t="s">
        <v>735</v>
      </c>
      <c r="D137" s="496" t="s">
        <v>1996</v>
      </c>
      <c r="E137" s="497" t="s">
        <v>746</v>
      </c>
      <c r="F137" s="496" t="s">
        <v>762</v>
      </c>
      <c r="G137" s="496" t="b">
        <v>1</v>
      </c>
      <c r="H137" s="496"/>
      <c r="I137" s="496" t="s">
        <v>716</v>
      </c>
      <c r="J137" s="498" t="s">
        <v>1021</v>
      </c>
      <c r="K137" s="499" t="s">
        <v>751</v>
      </c>
      <c r="L137" s="500">
        <v>0</v>
      </c>
      <c r="M137" s="501">
        <v>0</v>
      </c>
      <c r="N137" s="501">
        <v>0</v>
      </c>
      <c r="O137" s="501">
        <v>0</v>
      </c>
      <c r="P137" s="502">
        <v>0</v>
      </c>
      <c r="Q137" s="503"/>
      <c r="R137" s="503"/>
      <c r="S137" s="500">
        <v>0</v>
      </c>
      <c r="T137" s="501">
        <v>0</v>
      </c>
      <c r="U137" s="501">
        <v>0</v>
      </c>
      <c r="V137" s="501">
        <v>0</v>
      </c>
      <c r="W137" s="502">
        <v>0</v>
      </c>
      <c r="X137" s="503"/>
      <c r="Y137" s="503"/>
      <c r="Z137" s="504" t="s">
        <v>2054</v>
      </c>
      <c r="AA137" s="505" t="s">
        <v>2054</v>
      </c>
      <c r="AB137" s="505" t="s">
        <v>2054</v>
      </c>
      <c r="AC137" s="505" t="s">
        <v>2054</v>
      </c>
      <c r="AD137" s="506" t="s">
        <v>2054</v>
      </c>
      <c r="AE137" s="507"/>
      <c r="AF137" s="507"/>
      <c r="AG137" s="505">
        <v>0.1</v>
      </c>
      <c r="AH137" s="501" t="s">
        <v>722</v>
      </c>
      <c r="AI137" s="505"/>
    </row>
    <row r="138" spans="2:35" x14ac:dyDescent="0.2">
      <c r="B138" s="352">
        <v>127</v>
      </c>
      <c r="C138" s="496" t="s">
        <v>735</v>
      </c>
      <c r="D138" s="496" t="s">
        <v>1996</v>
      </c>
      <c r="E138" s="497" t="s">
        <v>746</v>
      </c>
      <c r="F138" s="496" t="s">
        <v>762</v>
      </c>
      <c r="G138" s="496" t="b">
        <v>1</v>
      </c>
      <c r="H138" s="496"/>
      <c r="I138" s="496" t="s">
        <v>1908</v>
      </c>
      <c r="J138" s="498" t="s">
        <v>1846</v>
      </c>
      <c r="K138" s="499" t="s">
        <v>1895</v>
      </c>
      <c r="L138" s="500">
        <v>0</v>
      </c>
      <c r="M138" s="501">
        <v>0</v>
      </c>
      <c r="N138" s="501">
        <v>0</v>
      </c>
      <c r="O138" s="501">
        <v>0</v>
      </c>
      <c r="P138" s="502">
        <v>16370.820213260104</v>
      </c>
      <c r="Q138" s="503"/>
      <c r="R138" s="503"/>
      <c r="S138" s="500">
        <v>0</v>
      </c>
      <c r="T138" s="501">
        <v>0</v>
      </c>
      <c r="U138" s="501">
        <v>0</v>
      </c>
      <c r="V138" s="501">
        <v>0</v>
      </c>
      <c r="W138" s="502">
        <v>16370.820213260104</v>
      </c>
      <c r="X138" s="503"/>
      <c r="Y138" s="503"/>
      <c r="Z138" s="504" t="s">
        <v>2054</v>
      </c>
      <c r="AA138" s="505" t="s">
        <v>2054</v>
      </c>
      <c r="AB138" s="505" t="s">
        <v>2054</v>
      </c>
      <c r="AC138" s="505" t="s">
        <v>2054</v>
      </c>
      <c r="AD138" s="506">
        <v>0</v>
      </c>
      <c r="AE138" s="507"/>
      <c r="AF138" s="507"/>
      <c r="AG138" s="505">
        <v>0.2</v>
      </c>
      <c r="AH138" s="501" t="s">
        <v>722</v>
      </c>
      <c r="AI138" s="505"/>
    </row>
    <row r="139" spans="2:35" x14ac:dyDescent="0.2">
      <c r="B139" s="352">
        <v>128</v>
      </c>
      <c r="C139" s="496" t="s">
        <v>735</v>
      </c>
      <c r="D139" s="496" t="s">
        <v>1996</v>
      </c>
      <c r="E139" s="497" t="s">
        <v>746</v>
      </c>
      <c r="F139" s="496" t="s">
        <v>762</v>
      </c>
      <c r="G139" s="496" t="b">
        <v>1</v>
      </c>
      <c r="H139" s="496"/>
      <c r="I139" s="496" t="s">
        <v>1905</v>
      </c>
      <c r="J139" s="498" t="s">
        <v>1847</v>
      </c>
      <c r="K139" s="499" t="s">
        <v>1894</v>
      </c>
      <c r="L139" s="500">
        <v>0</v>
      </c>
      <c r="M139" s="501">
        <v>0</v>
      </c>
      <c r="N139" s="501">
        <v>0</v>
      </c>
      <c r="O139" s="501">
        <v>0</v>
      </c>
      <c r="P139" s="502">
        <v>0</v>
      </c>
      <c r="Q139" s="503"/>
      <c r="R139" s="503"/>
      <c r="S139" s="500">
        <v>0</v>
      </c>
      <c r="T139" s="501">
        <v>0</v>
      </c>
      <c r="U139" s="501">
        <v>0</v>
      </c>
      <c r="V139" s="501">
        <v>0</v>
      </c>
      <c r="W139" s="502">
        <v>0</v>
      </c>
      <c r="X139" s="503"/>
      <c r="Y139" s="503"/>
      <c r="Z139" s="504" t="s">
        <v>2054</v>
      </c>
      <c r="AA139" s="505" t="s">
        <v>2054</v>
      </c>
      <c r="AB139" s="505" t="s">
        <v>2054</v>
      </c>
      <c r="AC139" s="505" t="s">
        <v>2054</v>
      </c>
      <c r="AD139" s="506" t="s">
        <v>2054</v>
      </c>
      <c r="AE139" s="507"/>
      <c r="AF139" s="507"/>
      <c r="AG139" s="505">
        <v>0.2</v>
      </c>
      <c r="AH139" s="501" t="s">
        <v>722</v>
      </c>
      <c r="AI139" s="505"/>
    </row>
    <row r="140" spans="2:35" x14ac:dyDescent="0.2">
      <c r="B140" s="352">
        <v>129</v>
      </c>
      <c r="C140" s="498" t="s">
        <v>739</v>
      </c>
      <c r="D140" s="496" t="s">
        <v>1997</v>
      </c>
      <c r="E140" s="508" t="s">
        <v>746</v>
      </c>
      <c r="F140" s="496" t="s">
        <v>762</v>
      </c>
      <c r="G140" s="496" t="b">
        <v>1</v>
      </c>
      <c r="H140" s="496"/>
      <c r="I140" s="496" t="s">
        <v>762</v>
      </c>
      <c r="J140" s="498" t="s">
        <v>969</v>
      </c>
      <c r="K140" s="499" t="s">
        <v>970</v>
      </c>
      <c r="L140" s="500">
        <v>0</v>
      </c>
      <c r="M140" s="501">
        <v>0</v>
      </c>
      <c r="N140" s="501">
        <v>0</v>
      </c>
      <c r="O140" s="501">
        <v>0</v>
      </c>
      <c r="P140" s="502">
        <v>47278.990509762509</v>
      </c>
      <c r="Q140" s="503"/>
      <c r="R140" s="503"/>
      <c r="S140" s="500">
        <v>0</v>
      </c>
      <c r="T140" s="501">
        <v>0</v>
      </c>
      <c r="U140" s="501">
        <v>0</v>
      </c>
      <c r="V140" s="501">
        <v>0</v>
      </c>
      <c r="W140" s="502">
        <v>46600.913124118189</v>
      </c>
      <c r="X140" s="503"/>
      <c r="Y140" s="503"/>
      <c r="Z140" s="504" t="s">
        <v>2054</v>
      </c>
      <c r="AA140" s="505" t="s">
        <v>2054</v>
      </c>
      <c r="AB140" s="505" t="s">
        <v>2054</v>
      </c>
      <c r="AC140" s="505" t="s">
        <v>2054</v>
      </c>
      <c r="AD140" s="506">
        <v>1.4342044496578388E-2</v>
      </c>
      <c r="AE140" s="507"/>
      <c r="AF140" s="507"/>
      <c r="AG140" s="505">
        <v>0.05</v>
      </c>
      <c r="AH140" s="501">
        <v>0</v>
      </c>
      <c r="AI140" s="505"/>
    </row>
    <row r="141" spans="2:35" x14ac:dyDescent="0.2">
      <c r="B141" s="352">
        <v>130</v>
      </c>
      <c r="C141" s="498" t="s">
        <v>739</v>
      </c>
      <c r="D141" s="496" t="s">
        <v>1997</v>
      </c>
      <c r="E141" s="508" t="s">
        <v>746</v>
      </c>
      <c r="F141" s="496" t="s">
        <v>762</v>
      </c>
      <c r="G141" s="496" t="b">
        <v>1</v>
      </c>
      <c r="H141" s="496"/>
      <c r="I141" s="496" t="s">
        <v>762</v>
      </c>
      <c r="J141" s="498" t="s">
        <v>971</v>
      </c>
      <c r="K141" s="499" t="s">
        <v>972</v>
      </c>
      <c r="L141" s="500">
        <v>0</v>
      </c>
      <c r="M141" s="501">
        <v>0</v>
      </c>
      <c r="N141" s="501">
        <v>0</v>
      </c>
      <c r="O141" s="501">
        <v>0</v>
      </c>
      <c r="P141" s="502">
        <v>0</v>
      </c>
      <c r="Q141" s="503"/>
      <c r="R141" s="503"/>
      <c r="S141" s="500">
        <v>0</v>
      </c>
      <c r="T141" s="501">
        <v>0</v>
      </c>
      <c r="U141" s="501">
        <v>0</v>
      </c>
      <c r="V141" s="501">
        <v>0</v>
      </c>
      <c r="W141" s="502">
        <v>0</v>
      </c>
      <c r="X141" s="503"/>
      <c r="Y141" s="503"/>
      <c r="Z141" s="504" t="s">
        <v>2054</v>
      </c>
      <c r="AA141" s="505" t="s">
        <v>2054</v>
      </c>
      <c r="AB141" s="505" t="s">
        <v>2054</v>
      </c>
      <c r="AC141" s="505" t="s">
        <v>2054</v>
      </c>
      <c r="AD141" s="506" t="s">
        <v>2054</v>
      </c>
      <c r="AE141" s="507"/>
      <c r="AF141" s="507"/>
      <c r="AG141" s="505">
        <v>0.11</v>
      </c>
      <c r="AH141" s="501" t="s">
        <v>722</v>
      </c>
      <c r="AI141" s="505"/>
    </row>
    <row r="142" spans="2:35" x14ac:dyDescent="0.2">
      <c r="B142" s="352">
        <v>131</v>
      </c>
      <c r="C142" s="498" t="s">
        <v>739</v>
      </c>
      <c r="D142" s="496" t="s">
        <v>1997</v>
      </c>
      <c r="E142" s="508" t="s">
        <v>746</v>
      </c>
      <c r="F142" s="496" t="s">
        <v>762</v>
      </c>
      <c r="G142" s="496" t="b">
        <v>1</v>
      </c>
      <c r="H142" s="496"/>
      <c r="I142" s="496" t="s">
        <v>762</v>
      </c>
      <c r="J142" s="498" t="s">
        <v>973</v>
      </c>
      <c r="K142" s="499" t="s">
        <v>974</v>
      </c>
      <c r="L142" s="500">
        <v>0</v>
      </c>
      <c r="M142" s="501">
        <v>0</v>
      </c>
      <c r="N142" s="501">
        <v>0</v>
      </c>
      <c r="O142" s="501">
        <v>0</v>
      </c>
      <c r="P142" s="502">
        <v>19774.80761314492</v>
      </c>
      <c r="Q142" s="503"/>
      <c r="R142" s="503"/>
      <c r="S142" s="500">
        <v>0</v>
      </c>
      <c r="T142" s="501">
        <v>0</v>
      </c>
      <c r="U142" s="501">
        <v>0</v>
      </c>
      <c r="V142" s="501">
        <v>0</v>
      </c>
      <c r="W142" s="502">
        <v>19703.740941255521</v>
      </c>
      <c r="X142" s="503"/>
      <c r="Y142" s="503"/>
      <c r="Z142" s="504" t="s">
        <v>2054</v>
      </c>
      <c r="AA142" s="505" t="s">
        <v>2054</v>
      </c>
      <c r="AB142" s="505" t="s">
        <v>2054</v>
      </c>
      <c r="AC142" s="505" t="s">
        <v>2054</v>
      </c>
      <c r="AD142" s="506">
        <v>3.5937983964080544E-3</v>
      </c>
      <c r="AE142" s="507"/>
      <c r="AF142" s="507"/>
      <c r="AG142" s="505">
        <v>0.05</v>
      </c>
      <c r="AH142" s="501">
        <v>0</v>
      </c>
      <c r="AI142" s="505"/>
    </row>
    <row r="143" spans="2:35" x14ac:dyDescent="0.2">
      <c r="B143" s="352">
        <v>132</v>
      </c>
      <c r="C143" s="498" t="s">
        <v>739</v>
      </c>
      <c r="D143" s="496" t="s">
        <v>1997</v>
      </c>
      <c r="E143" s="508" t="s">
        <v>746</v>
      </c>
      <c r="F143" s="496" t="s">
        <v>762</v>
      </c>
      <c r="G143" s="496" t="b">
        <v>1</v>
      </c>
      <c r="H143" s="496"/>
      <c r="I143" s="496" t="s">
        <v>762</v>
      </c>
      <c r="J143" s="498" t="s">
        <v>975</v>
      </c>
      <c r="K143" s="499" t="s">
        <v>976</v>
      </c>
      <c r="L143" s="500">
        <v>0</v>
      </c>
      <c r="M143" s="501">
        <v>0</v>
      </c>
      <c r="N143" s="501">
        <v>0</v>
      </c>
      <c r="O143" s="501">
        <v>0</v>
      </c>
      <c r="P143" s="502">
        <v>0</v>
      </c>
      <c r="Q143" s="503"/>
      <c r="R143" s="503"/>
      <c r="S143" s="500">
        <v>0</v>
      </c>
      <c r="T143" s="501">
        <v>0</v>
      </c>
      <c r="U143" s="501">
        <v>0</v>
      </c>
      <c r="V143" s="501">
        <v>0</v>
      </c>
      <c r="W143" s="502">
        <v>0</v>
      </c>
      <c r="X143" s="503"/>
      <c r="Y143" s="503"/>
      <c r="Z143" s="504" t="s">
        <v>2054</v>
      </c>
      <c r="AA143" s="505" t="s">
        <v>2054</v>
      </c>
      <c r="AB143" s="505" t="s">
        <v>2054</v>
      </c>
      <c r="AC143" s="505" t="s">
        <v>2054</v>
      </c>
      <c r="AD143" s="506" t="s">
        <v>2054</v>
      </c>
      <c r="AE143" s="507"/>
      <c r="AF143" s="507"/>
      <c r="AG143" s="505" t="s">
        <v>2054</v>
      </c>
      <c r="AH143" s="501" t="s">
        <v>722</v>
      </c>
      <c r="AI143" s="505"/>
    </row>
    <row r="144" spans="2:35" x14ac:dyDescent="0.2">
      <c r="B144" s="352">
        <v>133</v>
      </c>
      <c r="C144" s="498" t="s">
        <v>739</v>
      </c>
      <c r="D144" s="496" t="s">
        <v>1997</v>
      </c>
      <c r="E144" s="508" t="s">
        <v>746</v>
      </c>
      <c r="F144" s="496" t="s">
        <v>762</v>
      </c>
      <c r="G144" s="496" t="b">
        <v>1</v>
      </c>
      <c r="H144" s="496"/>
      <c r="I144" s="496" t="s">
        <v>762</v>
      </c>
      <c r="J144" s="498" t="s">
        <v>977</v>
      </c>
      <c r="K144" s="499" t="s">
        <v>864</v>
      </c>
      <c r="L144" s="500">
        <v>0</v>
      </c>
      <c r="M144" s="501">
        <v>0</v>
      </c>
      <c r="N144" s="501">
        <v>0</v>
      </c>
      <c r="O144" s="501">
        <v>0</v>
      </c>
      <c r="P144" s="502">
        <v>12171.550592299793</v>
      </c>
      <c r="Q144" s="503"/>
      <c r="R144" s="503"/>
      <c r="S144" s="500">
        <v>0</v>
      </c>
      <c r="T144" s="501">
        <v>0</v>
      </c>
      <c r="U144" s="501">
        <v>0</v>
      </c>
      <c r="V144" s="501">
        <v>0</v>
      </c>
      <c r="W144" s="502">
        <v>12101.250526002694</v>
      </c>
      <c r="X144" s="503"/>
      <c r="Y144" s="503"/>
      <c r="Z144" s="504" t="s">
        <v>2054</v>
      </c>
      <c r="AA144" s="505" t="s">
        <v>2054</v>
      </c>
      <c r="AB144" s="505" t="s">
        <v>2054</v>
      </c>
      <c r="AC144" s="505" t="s">
        <v>2054</v>
      </c>
      <c r="AD144" s="506">
        <v>5.7757691400118771E-3</v>
      </c>
      <c r="AE144" s="507"/>
      <c r="AF144" s="507"/>
      <c r="AG144" s="505">
        <v>0.05</v>
      </c>
      <c r="AH144" s="501">
        <v>0</v>
      </c>
      <c r="AI144" s="505"/>
    </row>
    <row r="145" spans="2:35" x14ac:dyDescent="0.2">
      <c r="B145" s="352">
        <v>134</v>
      </c>
      <c r="C145" s="498" t="s">
        <v>739</v>
      </c>
      <c r="D145" s="496" t="s">
        <v>1997</v>
      </c>
      <c r="E145" s="508" t="s">
        <v>746</v>
      </c>
      <c r="F145" s="496" t="s">
        <v>762</v>
      </c>
      <c r="G145" s="496" t="b">
        <v>1</v>
      </c>
      <c r="H145" s="496"/>
      <c r="I145" s="496" t="s">
        <v>762</v>
      </c>
      <c r="J145" s="498" t="s">
        <v>978</v>
      </c>
      <c r="K145" s="499" t="s">
        <v>1892</v>
      </c>
      <c r="L145" s="500">
        <v>0</v>
      </c>
      <c r="M145" s="501">
        <v>0</v>
      </c>
      <c r="N145" s="501">
        <v>0</v>
      </c>
      <c r="O145" s="501">
        <v>0</v>
      </c>
      <c r="P145" s="502">
        <v>0</v>
      </c>
      <c r="Q145" s="503"/>
      <c r="R145" s="503"/>
      <c r="S145" s="500">
        <v>0</v>
      </c>
      <c r="T145" s="501">
        <v>0</v>
      </c>
      <c r="U145" s="501">
        <v>0</v>
      </c>
      <c r="V145" s="501">
        <v>0</v>
      </c>
      <c r="W145" s="502">
        <v>0</v>
      </c>
      <c r="X145" s="503"/>
      <c r="Y145" s="503"/>
      <c r="Z145" s="504" t="s">
        <v>2054</v>
      </c>
      <c r="AA145" s="505" t="s">
        <v>2054</v>
      </c>
      <c r="AB145" s="505" t="s">
        <v>2054</v>
      </c>
      <c r="AC145" s="505" t="s">
        <v>2054</v>
      </c>
      <c r="AD145" s="506" t="s">
        <v>2054</v>
      </c>
      <c r="AE145" s="507"/>
      <c r="AF145" s="507"/>
      <c r="AG145" s="505" t="s">
        <v>2054</v>
      </c>
      <c r="AH145" s="501" t="s">
        <v>722</v>
      </c>
      <c r="AI145" s="505"/>
    </row>
    <row r="146" spans="2:35" x14ac:dyDescent="0.2">
      <c r="B146" s="352">
        <v>135</v>
      </c>
      <c r="C146" s="498" t="s">
        <v>739</v>
      </c>
      <c r="D146" s="496" t="s">
        <v>1997</v>
      </c>
      <c r="E146" s="508" t="s">
        <v>746</v>
      </c>
      <c r="F146" s="496" t="s">
        <v>762</v>
      </c>
      <c r="G146" s="496" t="b">
        <v>1</v>
      </c>
      <c r="H146" s="496"/>
      <c r="I146" s="496" t="s">
        <v>762</v>
      </c>
      <c r="J146" s="498" t="s">
        <v>979</v>
      </c>
      <c r="K146" s="499" t="s">
        <v>980</v>
      </c>
      <c r="L146" s="500">
        <v>0</v>
      </c>
      <c r="M146" s="501">
        <v>0</v>
      </c>
      <c r="N146" s="501">
        <v>0</v>
      </c>
      <c r="O146" s="501">
        <v>0</v>
      </c>
      <c r="P146" s="502">
        <v>0</v>
      </c>
      <c r="Q146" s="503"/>
      <c r="R146" s="503"/>
      <c r="S146" s="500">
        <v>0</v>
      </c>
      <c r="T146" s="501">
        <v>0</v>
      </c>
      <c r="U146" s="501">
        <v>0</v>
      </c>
      <c r="V146" s="501">
        <v>0</v>
      </c>
      <c r="W146" s="502">
        <v>0</v>
      </c>
      <c r="X146" s="503"/>
      <c r="Y146" s="503"/>
      <c r="Z146" s="504" t="s">
        <v>2054</v>
      </c>
      <c r="AA146" s="505" t="s">
        <v>2054</v>
      </c>
      <c r="AB146" s="505" t="s">
        <v>2054</v>
      </c>
      <c r="AC146" s="505" t="s">
        <v>2054</v>
      </c>
      <c r="AD146" s="506" t="s">
        <v>2054</v>
      </c>
      <c r="AE146" s="507"/>
      <c r="AF146" s="507"/>
      <c r="AG146" s="505">
        <v>0.05</v>
      </c>
      <c r="AH146" s="501" t="s">
        <v>722</v>
      </c>
      <c r="AI146" s="505"/>
    </row>
    <row r="147" spans="2:35" x14ac:dyDescent="0.2">
      <c r="B147" s="352">
        <v>136</v>
      </c>
      <c r="C147" s="498" t="s">
        <v>739</v>
      </c>
      <c r="D147" s="496" t="s">
        <v>1997</v>
      </c>
      <c r="E147" s="508" t="s">
        <v>746</v>
      </c>
      <c r="F147" s="496" t="s">
        <v>762</v>
      </c>
      <c r="G147" s="496" t="b">
        <v>1</v>
      </c>
      <c r="H147" s="496"/>
      <c r="I147" s="496" t="s">
        <v>762</v>
      </c>
      <c r="J147" s="498" t="s">
        <v>981</v>
      </c>
      <c r="K147" s="499" t="s">
        <v>3674</v>
      </c>
      <c r="L147" s="500">
        <v>0</v>
      </c>
      <c r="M147" s="501">
        <v>0</v>
      </c>
      <c r="N147" s="501">
        <v>0</v>
      </c>
      <c r="O147" s="501">
        <v>0</v>
      </c>
      <c r="P147" s="502">
        <v>0</v>
      </c>
      <c r="Q147" s="503"/>
      <c r="R147" s="503"/>
      <c r="S147" s="500">
        <v>0</v>
      </c>
      <c r="T147" s="501">
        <v>0</v>
      </c>
      <c r="U147" s="501">
        <v>0</v>
      </c>
      <c r="V147" s="501">
        <v>0</v>
      </c>
      <c r="W147" s="502">
        <v>0</v>
      </c>
      <c r="X147" s="503"/>
      <c r="Y147" s="503"/>
      <c r="Z147" s="504" t="s">
        <v>2054</v>
      </c>
      <c r="AA147" s="505" t="s">
        <v>2054</v>
      </c>
      <c r="AB147" s="505" t="s">
        <v>2054</v>
      </c>
      <c r="AC147" s="505" t="s">
        <v>2054</v>
      </c>
      <c r="AD147" s="506" t="s">
        <v>2054</v>
      </c>
      <c r="AE147" s="507"/>
      <c r="AF147" s="507"/>
      <c r="AG147" s="505">
        <v>0.05</v>
      </c>
      <c r="AH147" s="501" t="s">
        <v>722</v>
      </c>
      <c r="AI147" s="505"/>
    </row>
    <row r="148" spans="2:35" x14ac:dyDescent="0.2">
      <c r="B148" s="352">
        <v>137</v>
      </c>
      <c r="C148" s="498" t="s">
        <v>739</v>
      </c>
      <c r="D148" s="496" t="s">
        <v>1997</v>
      </c>
      <c r="E148" s="508" t="s">
        <v>746</v>
      </c>
      <c r="F148" s="496" t="s">
        <v>762</v>
      </c>
      <c r="G148" s="496" t="b">
        <v>1</v>
      </c>
      <c r="H148" s="496"/>
      <c r="I148" s="496" t="s">
        <v>1903</v>
      </c>
      <c r="J148" s="498" t="s">
        <v>982</v>
      </c>
      <c r="K148" s="499" t="s">
        <v>983</v>
      </c>
      <c r="L148" s="500">
        <v>0</v>
      </c>
      <c r="M148" s="501">
        <v>0</v>
      </c>
      <c r="N148" s="501">
        <v>0</v>
      </c>
      <c r="O148" s="501">
        <v>0</v>
      </c>
      <c r="P148" s="502">
        <v>0</v>
      </c>
      <c r="Q148" s="503"/>
      <c r="R148" s="503"/>
      <c r="S148" s="500">
        <v>0</v>
      </c>
      <c r="T148" s="501">
        <v>0</v>
      </c>
      <c r="U148" s="501">
        <v>0</v>
      </c>
      <c r="V148" s="501">
        <v>0</v>
      </c>
      <c r="W148" s="502">
        <v>0</v>
      </c>
      <c r="X148" s="503"/>
      <c r="Y148" s="503"/>
      <c r="Z148" s="504" t="s">
        <v>2054</v>
      </c>
      <c r="AA148" s="505" t="s">
        <v>2054</v>
      </c>
      <c r="AB148" s="505" t="s">
        <v>2054</v>
      </c>
      <c r="AC148" s="505" t="s">
        <v>2054</v>
      </c>
      <c r="AD148" s="506" t="s">
        <v>2054</v>
      </c>
      <c r="AE148" s="507"/>
      <c r="AF148" s="507"/>
      <c r="AG148" s="505">
        <v>0.06</v>
      </c>
      <c r="AH148" s="501" t="s">
        <v>722</v>
      </c>
      <c r="AI148" s="505"/>
    </row>
    <row r="149" spans="2:35" x14ac:dyDescent="0.2">
      <c r="B149" s="352">
        <v>138</v>
      </c>
      <c r="C149" s="498" t="s">
        <v>739</v>
      </c>
      <c r="D149" s="496" t="s">
        <v>1997</v>
      </c>
      <c r="E149" s="508" t="s">
        <v>746</v>
      </c>
      <c r="F149" s="496" t="s">
        <v>762</v>
      </c>
      <c r="G149" s="496" t="b">
        <v>1</v>
      </c>
      <c r="H149" s="496"/>
      <c r="I149" s="496" t="s">
        <v>1903</v>
      </c>
      <c r="J149" s="498" t="s">
        <v>984</v>
      </c>
      <c r="K149" s="499" t="s">
        <v>985</v>
      </c>
      <c r="L149" s="500">
        <v>0</v>
      </c>
      <c r="M149" s="501">
        <v>0</v>
      </c>
      <c r="N149" s="501">
        <v>0</v>
      </c>
      <c r="O149" s="501">
        <v>0</v>
      </c>
      <c r="P149" s="502">
        <v>0</v>
      </c>
      <c r="Q149" s="503"/>
      <c r="R149" s="503"/>
      <c r="S149" s="500">
        <v>0</v>
      </c>
      <c r="T149" s="501">
        <v>0</v>
      </c>
      <c r="U149" s="501">
        <v>0</v>
      </c>
      <c r="V149" s="501">
        <v>0</v>
      </c>
      <c r="W149" s="502">
        <v>0</v>
      </c>
      <c r="X149" s="503"/>
      <c r="Y149" s="503"/>
      <c r="Z149" s="504" t="s">
        <v>2054</v>
      </c>
      <c r="AA149" s="505" t="s">
        <v>2054</v>
      </c>
      <c r="AB149" s="505" t="s">
        <v>2054</v>
      </c>
      <c r="AC149" s="505" t="s">
        <v>2054</v>
      </c>
      <c r="AD149" s="506" t="s">
        <v>2054</v>
      </c>
      <c r="AE149" s="507"/>
      <c r="AF149" s="507"/>
      <c r="AG149" s="505">
        <v>0.05</v>
      </c>
      <c r="AH149" s="501" t="s">
        <v>722</v>
      </c>
      <c r="AI149" s="505"/>
    </row>
    <row r="150" spans="2:35" x14ac:dyDescent="0.2">
      <c r="B150" s="352">
        <v>139</v>
      </c>
      <c r="C150" s="498" t="s">
        <v>739</v>
      </c>
      <c r="D150" s="496" t="s">
        <v>1997</v>
      </c>
      <c r="E150" s="508" t="s">
        <v>746</v>
      </c>
      <c r="F150" s="496" t="s">
        <v>762</v>
      </c>
      <c r="G150" s="496" t="b">
        <v>1</v>
      </c>
      <c r="H150" s="496"/>
      <c r="I150" s="496" t="s">
        <v>1903</v>
      </c>
      <c r="J150" s="498" t="s">
        <v>986</v>
      </c>
      <c r="K150" s="499" t="s">
        <v>987</v>
      </c>
      <c r="L150" s="500">
        <v>0</v>
      </c>
      <c r="M150" s="501">
        <v>0</v>
      </c>
      <c r="N150" s="501">
        <v>0</v>
      </c>
      <c r="O150" s="501">
        <v>0</v>
      </c>
      <c r="P150" s="502">
        <v>0</v>
      </c>
      <c r="Q150" s="503"/>
      <c r="R150" s="503"/>
      <c r="S150" s="500">
        <v>0</v>
      </c>
      <c r="T150" s="501">
        <v>0</v>
      </c>
      <c r="U150" s="501">
        <v>0</v>
      </c>
      <c r="V150" s="501">
        <v>0</v>
      </c>
      <c r="W150" s="502">
        <v>0</v>
      </c>
      <c r="X150" s="503"/>
      <c r="Y150" s="503"/>
      <c r="Z150" s="504" t="s">
        <v>2054</v>
      </c>
      <c r="AA150" s="505" t="s">
        <v>2054</v>
      </c>
      <c r="AB150" s="505" t="s">
        <v>2054</v>
      </c>
      <c r="AC150" s="505" t="s">
        <v>2054</v>
      </c>
      <c r="AD150" s="506" t="s">
        <v>2054</v>
      </c>
      <c r="AE150" s="507"/>
      <c r="AF150" s="507"/>
      <c r="AG150" s="505">
        <v>0.05</v>
      </c>
      <c r="AH150" s="501" t="s">
        <v>722</v>
      </c>
      <c r="AI150" s="505"/>
    </row>
    <row r="151" spans="2:35" x14ac:dyDescent="0.2">
      <c r="B151" s="352">
        <v>140</v>
      </c>
      <c r="C151" s="498" t="s">
        <v>739</v>
      </c>
      <c r="D151" s="496" t="s">
        <v>1997</v>
      </c>
      <c r="E151" s="508" t="s">
        <v>746</v>
      </c>
      <c r="F151" s="496" t="s">
        <v>762</v>
      </c>
      <c r="G151" s="496" t="b">
        <v>1</v>
      </c>
      <c r="H151" s="496"/>
      <c r="I151" s="496" t="s">
        <v>1903</v>
      </c>
      <c r="J151" s="498" t="s">
        <v>988</v>
      </c>
      <c r="K151" s="499" t="s">
        <v>989</v>
      </c>
      <c r="L151" s="500">
        <v>0</v>
      </c>
      <c r="M151" s="501">
        <v>0</v>
      </c>
      <c r="N151" s="501">
        <v>0</v>
      </c>
      <c r="O151" s="501">
        <v>0</v>
      </c>
      <c r="P151" s="502">
        <v>0</v>
      </c>
      <c r="Q151" s="503"/>
      <c r="R151" s="503"/>
      <c r="S151" s="500">
        <v>0</v>
      </c>
      <c r="T151" s="501">
        <v>0</v>
      </c>
      <c r="U151" s="501">
        <v>0</v>
      </c>
      <c r="V151" s="501">
        <v>0</v>
      </c>
      <c r="W151" s="502">
        <v>0</v>
      </c>
      <c r="X151" s="503"/>
      <c r="Y151" s="503"/>
      <c r="Z151" s="504" t="s">
        <v>2054</v>
      </c>
      <c r="AA151" s="505" t="s">
        <v>2054</v>
      </c>
      <c r="AB151" s="505" t="s">
        <v>2054</v>
      </c>
      <c r="AC151" s="505" t="s">
        <v>2054</v>
      </c>
      <c r="AD151" s="506" t="s">
        <v>2054</v>
      </c>
      <c r="AE151" s="507"/>
      <c r="AF151" s="507"/>
      <c r="AG151" s="505">
        <v>0.05</v>
      </c>
      <c r="AH151" s="501" t="s">
        <v>722</v>
      </c>
      <c r="AI151" s="505"/>
    </row>
    <row r="152" spans="2:35" x14ac:dyDescent="0.2">
      <c r="B152" s="352">
        <v>141</v>
      </c>
      <c r="C152" s="498" t="s">
        <v>739</v>
      </c>
      <c r="D152" s="496" t="s">
        <v>1997</v>
      </c>
      <c r="E152" s="508" t="s">
        <v>746</v>
      </c>
      <c r="F152" s="496" t="s">
        <v>762</v>
      </c>
      <c r="G152" s="496" t="b">
        <v>1</v>
      </c>
      <c r="H152" s="496"/>
      <c r="I152" s="496" t="s">
        <v>1903</v>
      </c>
      <c r="J152" s="498" t="s">
        <v>990</v>
      </c>
      <c r="K152" s="499" t="s">
        <v>991</v>
      </c>
      <c r="L152" s="500">
        <v>0</v>
      </c>
      <c r="M152" s="501">
        <v>0</v>
      </c>
      <c r="N152" s="501">
        <v>0</v>
      </c>
      <c r="O152" s="501">
        <v>0</v>
      </c>
      <c r="P152" s="502">
        <v>0</v>
      </c>
      <c r="Q152" s="503"/>
      <c r="R152" s="503"/>
      <c r="S152" s="500">
        <v>0</v>
      </c>
      <c r="T152" s="501">
        <v>0</v>
      </c>
      <c r="U152" s="501">
        <v>0</v>
      </c>
      <c r="V152" s="501">
        <v>0</v>
      </c>
      <c r="W152" s="502">
        <v>0</v>
      </c>
      <c r="X152" s="503"/>
      <c r="Y152" s="503"/>
      <c r="Z152" s="504" t="s">
        <v>2054</v>
      </c>
      <c r="AA152" s="505" t="s">
        <v>2054</v>
      </c>
      <c r="AB152" s="505" t="s">
        <v>2054</v>
      </c>
      <c r="AC152" s="505" t="s">
        <v>2054</v>
      </c>
      <c r="AD152" s="506" t="s">
        <v>2054</v>
      </c>
      <c r="AE152" s="507"/>
      <c r="AF152" s="507"/>
      <c r="AG152" s="505">
        <v>0.1</v>
      </c>
      <c r="AH152" s="501" t="s">
        <v>722</v>
      </c>
      <c r="AI152" s="505"/>
    </row>
    <row r="153" spans="2:35" x14ac:dyDescent="0.2">
      <c r="B153" s="352">
        <v>142</v>
      </c>
      <c r="C153" s="498" t="s">
        <v>739</v>
      </c>
      <c r="D153" s="496" t="s">
        <v>1997</v>
      </c>
      <c r="E153" s="508" t="s">
        <v>746</v>
      </c>
      <c r="F153" s="496" t="s">
        <v>762</v>
      </c>
      <c r="G153" s="496" t="b">
        <v>1</v>
      </c>
      <c r="H153" s="496"/>
      <c r="I153" s="496" t="s">
        <v>1903</v>
      </c>
      <c r="J153" s="498" t="s">
        <v>992</v>
      </c>
      <c r="K153" s="499" t="s">
        <v>993</v>
      </c>
      <c r="L153" s="500">
        <v>0</v>
      </c>
      <c r="M153" s="501">
        <v>0</v>
      </c>
      <c r="N153" s="501">
        <v>0</v>
      </c>
      <c r="O153" s="501">
        <v>0</v>
      </c>
      <c r="P153" s="502">
        <v>0</v>
      </c>
      <c r="Q153" s="503"/>
      <c r="R153" s="503"/>
      <c r="S153" s="500">
        <v>0</v>
      </c>
      <c r="T153" s="501">
        <v>0</v>
      </c>
      <c r="U153" s="501">
        <v>0</v>
      </c>
      <c r="V153" s="501">
        <v>0</v>
      </c>
      <c r="W153" s="502">
        <v>0</v>
      </c>
      <c r="X153" s="503"/>
      <c r="Y153" s="503"/>
      <c r="Z153" s="504" t="s">
        <v>2054</v>
      </c>
      <c r="AA153" s="505" t="s">
        <v>2054</v>
      </c>
      <c r="AB153" s="505" t="s">
        <v>2054</v>
      </c>
      <c r="AC153" s="505" t="s">
        <v>2054</v>
      </c>
      <c r="AD153" s="506" t="s">
        <v>2054</v>
      </c>
      <c r="AE153" s="507"/>
      <c r="AF153" s="507"/>
      <c r="AG153" s="505">
        <v>0.15</v>
      </c>
      <c r="AH153" s="501" t="s">
        <v>722</v>
      </c>
      <c r="AI153" s="505"/>
    </row>
    <row r="154" spans="2:35" x14ac:dyDescent="0.2">
      <c r="B154" s="352">
        <v>143</v>
      </c>
      <c r="C154" s="498" t="s">
        <v>739</v>
      </c>
      <c r="D154" s="496" t="s">
        <v>1997</v>
      </c>
      <c r="E154" s="508" t="s">
        <v>746</v>
      </c>
      <c r="F154" s="496" t="s">
        <v>762</v>
      </c>
      <c r="G154" s="496" t="b">
        <v>1</v>
      </c>
      <c r="H154" s="496"/>
      <c r="I154" s="496" t="s">
        <v>1904</v>
      </c>
      <c r="J154" s="498" t="s">
        <v>994</v>
      </c>
      <c r="K154" s="499" t="s">
        <v>995</v>
      </c>
      <c r="L154" s="500">
        <v>0</v>
      </c>
      <c r="M154" s="501">
        <v>0</v>
      </c>
      <c r="N154" s="501">
        <v>0</v>
      </c>
      <c r="O154" s="501">
        <v>0</v>
      </c>
      <c r="P154" s="502">
        <v>0</v>
      </c>
      <c r="Q154" s="503"/>
      <c r="R154" s="503"/>
      <c r="S154" s="500">
        <v>0</v>
      </c>
      <c r="T154" s="501">
        <v>0</v>
      </c>
      <c r="U154" s="501">
        <v>0</v>
      </c>
      <c r="V154" s="501">
        <v>0</v>
      </c>
      <c r="W154" s="502">
        <v>0</v>
      </c>
      <c r="X154" s="503"/>
      <c r="Y154" s="503"/>
      <c r="Z154" s="504" t="s">
        <v>2054</v>
      </c>
      <c r="AA154" s="505" t="s">
        <v>2054</v>
      </c>
      <c r="AB154" s="505" t="s">
        <v>2054</v>
      </c>
      <c r="AC154" s="505" t="s">
        <v>2054</v>
      </c>
      <c r="AD154" s="506" t="s">
        <v>2054</v>
      </c>
      <c r="AE154" s="507"/>
      <c r="AF154" s="507"/>
      <c r="AG154" s="505" t="s">
        <v>2054</v>
      </c>
      <c r="AH154" s="501" t="s">
        <v>722</v>
      </c>
      <c r="AI154" s="505"/>
    </row>
    <row r="155" spans="2:35" x14ac:dyDescent="0.2">
      <c r="B155" s="352">
        <v>144</v>
      </c>
      <c r="C155" s="498" t="s">
        <v>739</v>
      </c>
      <c r="D155" s="496" t="s">
        <v>1997</v>
      </c>
      <c r="E155" s="508" t="s">
        <v>746</v>
      </c>
      <c r="F155" s="496" t="s">
        <v>762</v>
      </c>
      <c r="G155" s="496" t="b">
        <v>1</v>
      </c>
      <c r="H155" s="496"/>
      <c r="I155" s="496" t="s">
        <v>1904</v>
      </c>
      <c r="J155" s="498" t="s">
        <v>996</v>
      </c>
      <c r="K155" s="499" t="s">
        <v>997</v>
      </c>
      <c r="L155" s="500">
        <v>0</v>
      </c>
      <c r="M155" s="501">
        <v>0</v>
      </c>
      <c r="N155" s="501">
        <v>0</v>
      </c>
      <c r="O155" s="501">
        <v>0</v>
      </c>
      <c r="P155" s="502">
        <v>0</v>
      </c>
      <c r="Q155" s="503"/>
      <c r="R155" s="503"/>
      <c r="S155" s="500">
        <v>0</v>
      </c>
      <c r="T155" s="501">
        <v>0</v>
      </c>
      <c r="U155" s="501">
        <v>0</v>
      </c>
      <c r="V155" s="501">
        <v>0</v>
      </c>
      <c r="W155" s="502">
        <v>0</v>
      </c>
      <c r="X155" s="503"/>
      <c r="Y155" s="503"/>
      <c r="Z155" s="504" t="s">
        <v>2054</v>
      </c>
      <c r="AA155" s="505" t="s">
        <v>2054</v>
      </c>
      <c r="AB155" s="505" t="s">
        <v>2054</v>
      </c>
      <c r="AC155" s="505" t="s">
        <v>2054</v>
      </c>
      <c r="AD155" s="506" t="s">
        <v>2054</v>
      </c>
      <c r="AE155" s="507"/>
      <c r="AF155" s="507"/>
      <c r="AG155" s="505" t="s">
        <v>2054</v>
      </c>
      <c r="AH155" s="501" t="s">
        <v>722</v>
      </c>
      <c r="AI155" s="505"/>
    </row>
    <row r="156" spans="2:35" x14ac:dyDescent="0.2">
      <c r="B156" s="352">
        <v>145</v>
      </c>
      <c r="C156" s="498" t="s">
        <v>739</v>
      </c>
      <c r="D156" s="496" t="s">
        <v>1997</v>
      </c>
      <c r="E156" s="508" t="s">
        <v>746</v>
      </c>
      <c r="F156" s="496" t="s">
        <v>762</v>
      </c>
      <c r="G156" s="496" t="b">
        <v>1</v>
      </c>
      <c r="H156" s="496"/>
      <c r="I156" s="496" t="s">
        <v>1904</v>
      </c>
      <c r="J156" s="498" t="s">
        <v>998</v>
      </c>
      <c r="K156" s="499" t="s">
        <v>999</v>
      </c>
      <c r="L156" s="500">
        <v>0</v>
      </c>
      <c r="M156" s="501">
        <v>0</v>
      </c>
      <c r="N156" s="501">
        <v>0</v>
      </c>
      <c r="O156" s="501">
        <v>0</v>
      </c>
      <c r="P156" s="502">
        <v>0</v>
      </c>
      <c r="Q156" s="503"/>
      <c r="R156" s="503"/>
      <c r="S156" s="500">
        <v>0</v>
      </c>
      <c r="T156" s="501">
        <v>0</v>
      </c>
      <c r="U156" s="501">
        <v>0</v>
      </c>
      <c r="V156" s="501">
        <v>0</v>
      </c>
      <c r="W156" s="502">
        <v>0</v>
      </c>
      <c r="X156" s="503"/>
      <c r="Y156" s="503"/>
      <c r="Z156" s="504" t="s">
        <v>2054</v>
      </c>
      <c r="AA156" s="505" t="s">
        <v>2054</v>
      </c>
      <c r="AB156" s="505" t="s">
        <v>2054</v>
      </c>
      <c r="AC156" s="505" t="s">
        <v>2054</v>
      </c>
      <c r="AD156" s="506" t="s">
        <v>2054</v>
      </c>
      <c r="AE156" s="507"/>
      <c r="AF156" s="507"/>
      <c r="AG156" s="505" t="s">
        <v>2054</v>
      </c>
      <c r="AH156" s="501" t="s">
        <v>722</v>
      </c>
      <c r="AI156" s="505"/>
    </row>
    <row r="157" spans="2:35" x14ac:dyDescent="0.2">
      <c r="B157" s="352">
        <v>146</v>
      </c>
      <c r="C157" s="498" t="s">
        <v>739</v>
      </c>
      <c r="D157" s="496" t="s">
        <v>1997</v>
      </c>
      <c r="E157" s="508" t="s">
        <v>746</v>
      </c>
      <c r="F157" s="496" t="s">
        <v>762</v>
      </c>
      <c r="G157" s="496" t="b">
        <v>1</v>
      </c>
      <c r="H157" s="496"/>
      <c r="I157" s="496" t="s">
        <v>1903</v>
      </c>
      <c r="J157" s="498" t="s">
        <v>1000</v>
      </c>
      <c r="K157" s="499" t="s">
        <v>1001</v>
      </c>
      <c r="L157" s="500">
        <v>0</v>
      </c>
      <c r="M157" s="501">
        <v>0</v>
      </c>
      <c r="N157" s="501">
        <v>0</v>
      </c>
      <c r="O157" s="501">
        <v>0</v>
      </c>
      <c r="P157" s="502">
        <v>0</v>
      </c>
      <c r="Q157" s="503"/>
      <c r="R157" s="503"/>
      <c r="S157" s="500">
        <v>0</v>
      </c>
      <c r="T157" s="501">
        <v>0</v>
      </c>
      <c r="U157" s="501">
        <v>0</v>
      </c>
      <c r="V157" s="501">
        <v>0</v>
      </c>
      <c r="W157" s="502">
        <v>0</v>
      </c>
      <c r="X157" s="503"/>
      <c r="Y157" s="503"/>
      <c r="Z157" s="504" t="s">
        <v>2054</v>
      </c>
      <c r="AA157" s="505" t="s">
        <v>2054</v>
      </c>
      <c r="AB157" s="505" t="s">
        <v>2054</v>
      </c>
      <c r="AC157" s="505" t="s">
        <v>2054</v>
      </c>
      <c r="AD157" s="506" t="s">
        <v>2054</v>
      </c>
      <c r="AE157" s="507"/>
      <c r="AF157" s="507"/>
      <c r="AG157" s="505">
        <v>0.15</v>
      </c>
      <c r="AH157" s="501" t="s">
        <v>722</v>
      </c>
      <c r="AI157" s="505"/>
    </row>
    <row r="158" spans="2:35" x14ac:dyDescent="0.2">
      <c r="B158" s="352">
        <v>147</v>
      </c>
      <c r="C158" s="498" t="s">
        <v>739</v>
      </c>
      <c r="D158" s="496" t="s">
        <v>1997</v>
      </c>
      <c r="E158" s="508" t="s">
        <v>746</v>
      </c>
      <c r="F158" s="496" t="s">
        <v>762</v>
      </c>
      <c r="G158" s="496" t="b">
        <v>1</v>
      </c>
      <c r="H158" s="496"/>
      <c r="I158" s="496" t="s">
        <v>1903</v>
      </c>
      <c r="J158" s="498" t="s">
        <v>1002</v>
      </c>
      <c r="K158" s="499" t="s">
        <v>1003</v>
      </c>
      <c r="L158" s="500">
        <v>0</v>
      </c>
      <c r="M158" s="501">
        <v>0</v>
      </c>
      <c r="N158" s="501">
        <v>0</v>
      </c>
      <c r="O158" s="501">
        <v>0</v>
      </c>
      <c r="P158" s="502">
        <v>0</v>
      </c>
      <c r="Q158" s="503"/>
      <c r="R158" s="503"/>
      <c r="S158" s="500">
        <v>0</v>
      </c>
      <c r="T158" s="501">
        <v>0</v>
      </c>
      <c r="U158" s="501">
        <v>0</v>
      </c>
      <c r="V158" s="501">
        <v>0</v>
      </c>
      <c r="W158" s="502">
        <v>0</v>
      </c>
      <c r="X158" s="503"/>
      <c r="Y158" s="503"/>
      <c r="Z158" s="504" t="s">
        <v>2054</v>
      </c>
      <c r="AA158" s="505" t="s">
        <v>2054</v>
      </c>
      <c r="AB158" s="505" t="s">
        <v>2054</v>
      </c>
      <c r="AC158" s="505" t="s">
        <v>2054</v>
      </c>
      <c r="AD158" s="506" t="s">
        <v>2054</v>
      </c>
      <c r="AE158" s="507"/>
      <c r="AF158" s="507"/>
      <c r="AG158" s="505">
        <v>0.08</v>
      </c>
      <c r="AH158" s="501" t="s">
        <v>722</v>
      </c>
      <c r="AI158" s="505"/>
    </row>
    <row r="159" spans="2:35" x14ac:dyDescent="0.2">
      <c r="B159" s="352">
        <v>148</v>
      </c>
      <c r="C159" s="498" t="s">
        <v>739</v>
      </c>
      <c r="D159" s="496" t="s">
        <v>1997</v>
      </c>
      <c r="E159" s="508" t="s">
        <v>746</v>
      </c>
      <c r="F159" s="496" t="s">
        <v>762</v>
      </c>
      <c r="G159" s="496" t="b">
        <v>1</v>
      </c>
      <c r="H159" s="496"/>
      <c r="I159" s="496" t="s">
        <v>1903</v>
      </c>
      <c r="J159" s="498" t="s">
        <v>1004</v>
      </c>
      <c r="K159" s="499" t="s">
        <v>1005</v>
      </c>
      <c r="L159" s="500">
        <v>0</v>
      </c>
      <c r="M159" s="501">
        <v>0</v>
      </c>
      <c r="N159" s="501">
        <v>0</v>
      </c>
      <c r="O159" s="501">
        <v>0</v>
      </c>
      <c r="P159" s="502">
        <v>0</v>
      </c>
      <c r="Q159" s="503"/>
      <c r="R159" s="503"/>
      <c r="S159" s="500">
        <v>0</v>
      </c>
      <c r="T159" s="501">
        <v>0</v>
      </c>
      <c r="U159" s="501">
        <v>0</v>
      </c>
      <c r="V159" s="501">
        <v>0</v>
      </c>
      <c r="W159" s="502">
        <v>0</v>
      </c>
      <c r="X159" s="503"/>
      <c r="Y159" s="503"/>
      <c r="Z159" s="504" t="s">
        <v>2054</v>
      </c>
      <c r="AA159" s="505" t="s">
        <v>2054</v>
      </c>
      <c r="AB159" s="505" t="s">
        <v>2054</v>
      </c>
      <c r="AC159" s="505" t="s">
        <v>2054</v>
      </c>
      <c r="AD159" s="506" t="s">
        <v>2054</v>
      </c>
      <c r="AE159" s="507"/>
      <c r="AF159" s="507"/>
      <c r="AG159" s="505" t="s">
        <v>2054</v>
      </c>
      <c r="AH159" s="501" t="s">
        <v>722</v>
      </c>
      <c r="AI159" s="505"/>
    </row>
    <row r="160" spans="2:35" x14ac:dyDescent="0.2">
      <c r="B160" s="352">
        <v>149</v>
      </c>
      <c r="C160" s="498" t="s">
        <v>739</v>
      </c>
      <c r="D160" s="496" t="s">
        <v>1997</v>
      </c>
      <c r="E160" s="508" t="s">
        <v>746</v>
      </c>
      <c r="F160" s="496" t="s">
        <v>762</v>
      </c>
      <c r="G160" s="496" t="b">
        <v>1</v>
      </c>
      <c r="H160" s="496"/>
      <c r="I160" s="496" t="s">
        <v>1903</v>
      </c>
      <c r="J160" s="498" t="s">
        <v>1006</v>
      </c>
      <c r="K160" s="499" t="s">
        <v>1007</v>
      </c>
      <c r="L160" s="500">
        <v>0</v>
      </c>
      <c r="M160" s="501">
        <v>0</v>
      </c>
      <c r="N160" s="501">
        <v>0</v>
      </c>
      <c r="O160" s="501">
        <v>0</v>
      </c>
      <c r="P160" s="502">
        <v>0</v>
      </c>
      <c r="Q160" s="503"/>
      <c r="R160" s="503"/>
      <c r="S160" s="500">
        <v>0</v>
      </c>
      <c r="T160" s="501">
        <v>0</v>
      </c>
      <c r="U160" s="501">
        <v>0</v>
      </c>
      <c r="V160" s="501">
        <v>0</v>
      </c>
      <c r="W160" s="502">
        <v>0</v>
      </c>
      <c r="X160" s="503"/>
      <c r="Y160" s="503"/>
      <c r="Z160" s="504" t="s">
        <v>2054</v>
      </c>
      <c r="AA160" s="505" t="s">
        <v>2054</v>
      </c>
      <c r="AB160" s="505" t="s">
        <v>2054</v>
      </c>
      <c r="AC160" s="505" t="s">
        <v>2054</v>
      </c>
      <c r="AD160" s="506" t="s">
        <v>2054</v>
      </c>
      <c r="AE160" s="507"/>
      <c r="AF160" s="507"/>
      <c r="AG160" s="505">
        <v>0.08</v>
      </c>
      <c r="AH160" s="501" t="s">
        <v>722</v>
      </c>
      <c r="AI160" s="505"/>
    </row>
    <row r="161" spans="2:35" x14ac:dyDescent="0.2">
      <c r="B161" s="352">
        <v>150</v>
      </c>
      <c r="C161" s="498" t="s">
        <v>739</v>
      </c>
      <c r="D161" s="496" t="s">
        <v>1997</v>
      </c>
      <c r="E161" s="508" t="s">
        <v>746</v>
      </c>
      <c r="F161" s="496" t="s">
        <v>762</v>
      </c>
      <c r="G161" s="496" t="b">
        <v>1</v>
      </c>
      <c r="H161" s="496"/>
      <c r="I161" s="496" t="s">
        <v>1903</v>
      </c>
      <c r="J161" s="498" t="s">
        <v>1008</v>
      </c>
      <c r="K161" s="499" t="s">
        <v>1009</v>
      </c>
      <c r="L161" s="500">
        <v>0</v>
      </c>
      <c r="M161" s="501">
        <v>0</v>
      </c>
      <c r="N161" s="501">
        <v>0</v>
      </c>
      <c r="O161" s="501">
        <v>0</v>
      </c>
      <c r="P161" s="502">
        <v>0</v>
      </c>
      <c r="Q161" s="503"/>
      <c r="R161" s="503"/>
      <c r="S161" s="500">
        <v>0</v>
      </c>
      <c r="T161" s="501">
        <v>0</v>
      </c>
      <c r="U161" s="501">
        <v>0</v>
      </c>
      <c r="V161" s="501">
        <v>0</v>
      </c>
      <c r="W161" s="502">
        <v>0</v>
      </c>
      <c r="X161" s="503"/>
      <c r="Y161" s="503"/>
      <c r="Z161" s="504" t="s">
        <v>2054</v>
      </c>
      <c r="AA161" s="505" t="s">
        <v>2054</v>
      </c>
      <c r="AB161" s="505" t="s">
        <v>2054</v>
      </c>
      <c r="AC161" s="505" t="s">
        <v>2054</v>
      </c>
      <c r="AD161" s="506" t="s">
        <v>2054</v>
      </c>
      <c r="AE161" s="507"/>
      <c r="AF161" s="507"/>
      <c r="AG161" s="505">
        <v>0.05</v>
      </c>
      <c r="AH161" s="501" t="s">
        <v>722</v>
      </c>
      <c r="AI161" s="505"/>
    </row>
    <row r="162" spans="2:35" x14ac:dyDescent="0.2">
      <c r="B162" s="352">
        <v>151</v>
      </c>
      <c r="C162" s="498" t="s">
        <v>739</v>
      </c>
      <c r="D162" s="496" t="s">
        <v>1997</v>
      </c>
      <c r="E162" s="508" t="s">
        <v>746</v>
      </c>
      <c r="F162" s="496" t="s">
        <v>762</v>
      </c>
      <c r="G162" s="496" t="b">
        <v>1</v>
      </c>
      <c r="H162" s="496"/>
      <c r="I162" s="496" t="s">
        <v>1905</v>
      </c>
      <c r="J162" s="498" t="s">
        <v>1848</v>
      </c>
      <c r="K162" s="499" t="s">
        <v>1849</v>
      </c>
      <c r="L162" s="500">
        <v>0</v>
      </c>
      <c r="M162" s="501">
        <v>0</v>
      </c>
      <c r="N162" s="501">
        <v>0</v>
      </c>
      <c r="O162" s="501">
        <v>0</v>
      </c>
      <c r="P162" s="502">
        <v>0</v>
      </c>
      <c r="Q162" s="503"/>
      <c r="R162" s="503"/>
      <c r="S162" s="500">
        <v>0</v>
      </c>
      <c r="T162" s="501">
        <v>0</v>
      </c>
      <c r="U162" s="501">
        <v>0</v>
      </c>
      <c r="V162" s="501">
        <v>0</v>
      </c>
      <c r="W162" s="502">
        <v>0</v>
      </c>
      <c r="X162" s="503"/>
      <c r="Y162" s="503"/>
      <c r="Z162" s="504" t="s">
        <v>2054</v>
      </c>
      <c r="AA162" s="505" t="s">
        <v>2054</v>
      </c>
      <c r="AB162" s="505" t="s">
        <v>2054</v>
      </c>
      <c r="AC162" s="505" t="s">
        <v>2054</v>
      </c>
      <c r="AD162" s="506" t="s">
        <v>2054</v>
      </c>
      <c r="AE162" s="507"/>
      <c r="AF162" s="507"/>
      <c r="AG162" s="505" t="s">
        <v>2054</v>
      </c>
      <c r="AH162" s="501" t="s">
        <v>722</v>
      </c>
      <c r="AI162" s="505"/>
    </row>
    <row r="163" spans="2:35" x14ac:dyDescent="0.2">
      <c r="B163" s="352">
        <v>152</v>
      </c>
      <c r="C163" s="498" t="s">
        <v>739</v>
      </c>
      <c r="D163" s="496" t="s">
        <v>1997</v>
      </c>
      <c r="E163" s="508" t="s">
        <v>746</v>
      </c>
      <c r="F163" s="496" t="s">
        <v>762</v>
      </c>
      <c r="G163" s="496" t="b">
        <v>1</v>
      </c>
      <c r="H163" s="496"/>
      <c r="I163" s="496" t="s">
        <v>1903</v>
      </c>
      <c r="J163" s="498" t="s">
        <v>1010</v>
      </c>
      <c r="K163" s="499" t="s">
        <v>1011</v>
      </c>
      <c r="L163" s="500">
        <v>0</v>
      </c>
      <c r="M163" s="501">
        <v>0</v>
      </c>
      <c r="N163" s="501">
        <v>0</v>
      </c>
      <c r="O163" s="501">
        <v>0</v>
      </c>
      <c r="P163" s="502">
        <v>0</v>
      </c>
      <c r="Q163" s="503"/>
      <c r="R163" s="503"/>
      <c r="S163" s="500">
        <v>0</v>
      </c>
      <c r="T163" s="501">
        <v>0</v>
      </c>
      <c r="U163" s="501">
        <v>0</v>
      </c>
      <c r="V163" s="501">
        <v>0</v>
      </c>
      <c r="W163" s="502">
        <v>0</v>
      </c>
      <c r="X163" s="503"/>
      <c r="Y163" s="503"/>
      <c r="Z163" s="504" t="s">
        <v>2054</v>
      </c>
      <c r="AA163" s="505" t="s">
        <v>2054</v>
      </c>
      <c r="AB163" s="505" t="s">
        <v>2054</v>
      </c>
      <c r="AC163" s="505" t="s">
        <v>2054</v>
      </c>
      <c r="AD163" s="506" t="s">
        <v>2054</v>
      </c>
      <c r="AE163" s="507"/>
      <c r="AF163" s="507"/>
      <c r="AG163" s="505" t="s">
        <v>2054</v>
      </c>
      <c r="AH163" s="501" t="s">
        <v>722</v>
      </c>
      <c r="AI163" s="505"/>
    </row>
    <row r="164" spans="2:35" x14ac:dyDescent="0.2">
      <c r="B164" s="352">
        <v>153</v>
      </c>
      <c r="C164" s="498" t="s">
        <v>739</v>
      </c>
      <c r="D164" s="496" t="s">
        <v>1997</v>
      </c>
      <c r="E164" s="508" t="s">
        <v>746</v>
      </c>
      <c r="F164" s="496" t="s">
        <v>762</v>
      </c>
      <c r="G164" s="496" t="b">
        <v>1</v>
      </c>
      <c r="H164" s="496"/>
      <c r="I164" s="496" t="s">
        <v>1903</v>
      </c>
      <c r="J164" s="498" t="s">
        <v>1012</v>
      </c>
      <c r="K164" s="499" t="s">
        <v>1013</v>
      </c>
      <c r="L164" s="500">
        <v>0</v>
      </c>
      <c r="M164" s="501">
        <v>0</v>
      </c>
      <c r="N164" s="501">
        <v>0</v>
      </c>
      <c r="O164" s="501">
        <v>0</v>
      </c>
      <c r="P164" s="502">
        <v>0</v>
      </c>
      <c r="Q164" s="503"/>
      <c r="R164" s="503"/>
      <c r="S164" s="500">
        <v>0</v>
      </c>
      <c r="T164" s="501">
        <v>0</v>
      </c>
      <c r="U164" s="501">
        <v>0</v>
      </c>
      <c r="V164" s="501">
        <v>0</v>
      </c>
      <c r="W164" s="502">
        <v>0</v>
      </c>
      <c r="X164" s="503"/>
      <c r="Y164" s="503"/>
      <c r="Z164" s="504" t="s">
        <v>2054</v>
      </c>
      <c r="AA164" s="505" t="s">
        <v>2054</v>
      </c>
      <c r="AB164" s="505" t="s">
        <v>2054</v>
      </c>
      <c r="AC164" s="505" t="s">
        <v>2054</v>
      </c>
      <c r="AD164" s="506" t="s">
        <v>2054</v>
      </c>
      <c r="AE164" s="507"/>
      <c r="AF164" s="507"/>
      <c r="AG164" s="505">
        <v>0.05</v>
      </c>
      <c r="AH164" s="501" t="s">
        <v>722</v>
      </c>
      <c r="AI164" s="505"/>
    </row>
    <row r="165" spans="2:35" x14ac:dyDescent="0.2">
      <c r="B165" s="352">
        <v>154</v>
      </c>
      <c r="C165" s="498" t="s">
        <v>739</v>
      </c>
      <c r="D165" s="496" t="s">
        <v>1997</v>
      </c>
      <c r="E165" s="508" t="s">
        <v>746</v>
      </c>
      <c r="F165" s="496" t="s">
        <v>762</v>
      </c>
      <c r="G165" s="496" t="b">
        <v>1</v>
      </c>
      <c r="H165" s="496"/>
      <c r="I165" s="496" t="s">
        <v>1903</v>
      </c>
      <c r="J165" s="498" t="s">
        <v>1014</v>
      </c>
      <c r="K165" s="499" t="s">
        <v>1893</v>
      </c>
      <c r="L165" s="500">
        <v>0</v>
      </c>
      <c r="M165" s="501">
        <v>0</v>
      </c>
      <c r="N165" s="501">
        <v>0</v>
      </c>
      <c r="O165" s="501">
        <v>0</v>
      </c>
      <c r="P165" s="502">
        <v>0</v>
      </c>
      <c r="Q165" s="503"/>
      <c r="R165" s="503"/>
      <c r="S165" s="500">
        <v>0</v>
      </c>
      <c r="T165" s="501">
        <v>0</v>
      </c>
      <c r="U165" s="501">
        <v>0</v>
      </c>
      <c r="V165" s="501">
        <v>0</v>
      </c>
      <c r="W165" s="502">
        <v>0</v>
      </c>
      <c r="X165" s="503"/>
      <c r="Y165" s="503"/>
      <c r="Z165" s="504" t="s">
        <v>2054</v>
      </c>
      <c r="AA165" s="505" t="s">
        <v>2054</v>
      </c>
      <c r="AB165" s="505" t="s">
        <v>2054</v>
      </c>
      <c r="AC165" s="505" t="s">
        <v>2054</v>
      </c>
      <c r="AD165" s="506" t="s">
        <v>2054</v>
      </c>
      <c r="AE165" s="507"/>
      <c r="AF165" s="507"/>
      <c r="AG165" s="505">
        <v>0.05</v>
      </c>
      <c r="AH165" s="501" t="s">
        <v>722</v>
      </c>
      <c r="AI165" s="505"/>
    </row>
    <row r="166" spans="2:35" x14ac:dyDescent="0.2">
      <c r="B166" s="352">
        <v>155</v>
      </c>
      <c r="C166" s="498" t="s">
        <v>739</v>
      </c>
      <c r="D166" s="496" t="s">
        <v>1997</v>
      </c>
      <c r="E166" s="508" t="s">
        <v>746</v>
      </c>
      <c r="F166" s="496" t="s">
        <v>762</v>
      </c>
      <c r="G166" s="496" t="b">
        <v>1</v>
      </c>
      <c r="H166" s="496"/>
      <c r="I166" s="496" t="s">
        <v>709</v>
      </c>
      <c r="J166" s="498" t="s">
        <v>1015</v>
      </c>
      <c r="K166" s="499" t="s">
        <v>1016</v>
      </c>
      <c r="L166" s="500">
        <v>0</v>
      </c>
      <c r="M166" s="501">
        <v>0</v>
      </c>
      <c r="N166" s="501">
        <v>0</v>
      </c>
      <c r="O166" s="501">
        <v>0</v>
      </c>
      <c r="P166" s="502">
        <v>0</v>
      </c>
      <c r="Q166" s="503"/>
      <c r="R166" s="503"/>
      <c r="S166" s="500">
        <v>0</v>
      </c>
      <c r="T166" s="501">
        <v>0</v>
      </c>
      <c r="U166" s="501">
        <v>0</v>
      </c>
      <c r="V166" s="501">
        <v>0</v>
      </c>
      <c r="W166" s="502">
        <v>0</v>
      </c>
      <c r="X166" s="503"/>
      <c r="Y166" s="503"/>
      <c r="Z166" s="504" t="s">
        <v>2054</v>
      </c>
      <c r="AA166" s="505" t="s">
        <v>2054</v>
      </c>
      <c r="AB166" s="505" t="s">
        <v>2054</v>
      </c>
      <c r="AC166" s="505" t="s">
        <v>2054</v>
      </c>
      <c r="AD166" s="506" t="s">
        <v>2054</v>
      </c>
      <c r="AE166" s="507"/>
      <c r="AF166" s="507"/>
      <c r="AG166" s="505" t="s">
        <v>2054</v>
      </c>
      <c r="AH166" s="501" t="s">
        <v>722</v>
      </c>
      <c r="AI166" s="505"/>
    </row>
    <row r="167" spans="2:35" x14ac:dyDescent="0.2">
      <c r="B167" s="352">
        <v>156</v>
      </c>
      <c r="C167" s="498" t="s">
        <v>739</v>
      </c>
      <c r="D167" s="496" t="s">
        <v>1997</v>
      </c>
      <c r="E167" s="508" t="s">
        <v>746</v>
      </c>
      <c r="F167" s="496" t="s">
        <v>762</v>
      </c>
      <c r="G167" s="496" t="b">
        <v>1</v>
      </c>
      <c r="H167" s="496"/>
      <c r="I167" s="496" t="s">
        <v>716</v>
      </c>
      <c r="J167" s="498" t="s">
        <v>1017</v>
      </c>
      <c r="K167" s="499" t="s">
        <v>1018</v>
      </c>
      <c r="L167" s="500">
        <v>0</v>
      </c>
      <c r="M167" s="501">
        <v>0</v>
      </c>
      <c r="N167" s="501">
        <v>0</v>
      </c>
      <c r="O167" s="501">
        <v>0</v>
      </c>
      <c r="P167" s="502">
        <v>0</v>
      </c>
      <c r="Q167" s="503"/>
      <c r="R167" s="503"/>
      <c r="S167" s="500">
        <v>0</v>
      </c>
      <c r="T167" s="501">
        <v>0</v>
      </c>
      <c r="U167" s="501">
        <v>0</v>
      </c>
      <c r="V167" s="501">
        <v>0</v>
      </c>
      <c r="W167" s="502">
        <v>0</v>
      </c>
      <c r="X167" s="503"/>
      <c r="Y167" s="503"/>
      <c r="Z167" s="504" t="s">
        <v>2054</v>
      </c>
      <c r="AA167" s="505" t="s">
        <v>2054</v>
      </c>
      <c r="AB167" s="505" t="s">
        <v>2054</v>
      </c>
      <c r="AC167" s="505" t="s">
        <v>2054</v>
      </c>
      <c r="AD167" s="506" t="s">
        <v>2054</v>
      </c>
      <c r="AE167" s="507"/>
      <c r="AF167" s="507"/>
      <c r="AG167" s="505">
        <v>0.1</v>
      </c>
      <c r="AH167" s="501" t="s">
        <v>722</v>
      </c>
      <c r="AI167" s="505"/>
    </row>
    <row r="168" spans="2:35" x14ac:dyDescent="0.2">
      <c r="B168" s="352">
        <v>157</v>
      </c>
      <c r="C168" s="498" t="s">
        <v>739</v>
      </c>
      <c r="D168" s="496" t="s">
        <v>1997</v>
      </c>
      <c r="E168" s="508" t="s">
        <v>746</v>
      </c>
      <c r="F168" s="496" t="s">
        <v>762</v>
      </c>
      <c r="G168" s="496" t="b">
        <v>1</v>
      </c>
      <c r="H168" s="496"/>
      <c r="I168" s="496" t="s">
        <v>716</v>
      </c>
      <c r="J168" s="498" t="s">
        <v>1019</v>
      </c>
      <c r="K168" s="499" t="s">
        <v>1020</v>
      </c>
      <c r="L168" s="500">
        <v>0</v>
      </c>
      <c r="M168" s="501">
        <v>0</v>
      </c>
      <c r="N168" s="501">
        <v>0</v>
      </c>
      <c r="O168" s="501">
        <v>0</v>
      </c>
      <c r="P168" s="502">
        <v>0</v>
      </c>
      <c r="Q168" s="503"/>
      <c r="R168" s="503"/>
      <c r="S168" s="500">
        <v>0</v>
      </c>
      <c r="T168" s="501">
        <v>0</v>
      </c>
      <c r="U168" s="501">
        <v>0</v>
      </c>
      <c r="V168" s="501">
        <v>0</v>
      </c>
      <c r="W168" s="502">
        <v>0</v>
      </c>
      <c r="X168" s="503"/>
      <c r="Y168" s="503"/>
      <c r="Z168" s="504" t="s">
        <v>2054</v>
      </c>
      <c r="AA168" s="505" t="s">
        <v>2054</v>
      </c>
      <c r="AB168" s="505" t="s">
        <v>2054</v>
      </c>
      <c r="AC168" s="505" t="s">
        <v>2054</v>
      </c>
      <c r="AD168" s="506" t="s">
        <v>2054</v>
      </c>
      <c r="AE168" s="507"/>
      <c r="AF168" s="507"/>
      <c r="AG168" s="505">
        <v>0.05</v>
      </c>
      <c r="AH168" s="501" t="s">
        <v>722</v>
      </c>
      <c r="AI168" s="505"/>
    </row>
    <row r="169" spans="2:35" x14ac:dyDescent="0.2">
      <c r="B169" s="352">
        <v>158</v>
      </c>
      <c r="C169" s="498" t="s">
        <v>739</v>
      </c>
      <c r="D169" s="496" t="s">
        <v>1997</v>
      </c>
      <c r="E169" s="508" t="s">
        <v>746</v>
      </c>
      <c r="F169" s="496" t="s">
        <v>762</v>
      </c>
      <c r="G169" s="496" t="b">
        <v>1</v>
      </c>
      <c r="H169" s="496"/>
      <c r="I169" s="496" t="s">
        <v>716</v>
      </c>
      <c r="J169" s="498" t="s">
        <v>1021</v>
      </c>
      <c r="K169" s="499" t="s">
        <v>751</v>
      </c>
      <c r="L169" s="500">
        <v>0</v>
      </c>
      <c r="M169" s="501">
        <v>0</v>
      </c>
      <c r="N169" s="501">
        <v>0</v>
      </c>
      <c r="O169" s="501">
        <v>0</v>
      </c>
      <c r="P169" s="502">
        <v>0</v>
      </c>
      <c r="Q169" s="503"/>
      <c r="R169" s="503"/>
      <c r="S169" s="500">
        <v>0</v>
      </c>
      <c r="T169" s="501">
        <v>0</v>
      </c>
      <c r="U169" s="501">
        <v>0</v>
      </c>
      <c r="V169" s="501">
        <v>0</v>
      </c>
      <c r="W169" s="502">
        <v>0</v>
      </c>
      <c r="X169" s="503"/>
      <c r="Y169" s="503"/>
      <c r="Z169" s="504" t="s">
        <v>2054</v>
      </c>
      <c r="AA169" s="505" t="s">
        <v>2054</v>
      </c>
      <c r="AB169" s="505" t="s">
        <v>2054</v>
      </c>
      <c r="AC169" s="505" t="s">
        <v>2054</v>
      </c>
      <c r="AD169" s="506" t="s">
        <v>2054</v>
      </c>
      <c r="AE169" s="507"/>
      <c r="AF169" s="507"/>
      <c r="AG169" s="505">
        <v>0.1</v>
      </c>
      <c r="AH169" s="501" t="s">
        <v>722</v>
      </c>
      <c r="AI169" s="505"/>
    </row>
    <row r="170" spans="2:35" x14ac:dyDescent="0.2">
      <c r="B170" s="352">
        <v>159</v>
      </c>
      <c r="C170" s="498" t="s">
        <v>739</v>
      </c>
      <c r="D170" s="496" t="s">
        <v>1997</v>
      </c>
      <c r="E170" s="508" t="s">
        <v>746</v>
      </c>
      <c r="F170" s="496" t="s">
        <v>762</v>
      </c>
      <c r="G170" s="496" t="b">
        <v>1</v>
      </c>
      <c r="H170" s="496"/>
      <c r="I170" s="496" t="s">
        <v>1908</v>
      </c>
      <c r="J170" s="498" t="s">
        <v>1846</v>
      </c>
      <c r="K170" s="499" t="s">
        <v>1895</v>
      </c>
      <c r="L170" s="500">
        <v>0</v>
      </c>
      <c r="M170" s="501">
        <v>0</v>
      </c>
      <c r="N170" s="501">
        <v>0</v>
      </c>
      <c r="O170" s="501">
        <v>0</v>
      </c>
      <c r="P170" s="502">
        <v>5680.2550694242955</v>
      </c>
      <c r="Q170" s="503"/>
      <c r="R170" s="503"/>
      <c r="S170" s="500">
        <v>0</v>
      </c>
      <c r="T170" s="501">
        <v>0</v>
      </c>
      <c r="U170" s="501">
        <v>0</v>
      </c>
      <c r="V170" s="501">
        <v>0</v>
      </c>
      <c r="W170" s="502">
        <v>5680.2550694242955</v>
      </c>
      <c r="X170" s="503"/>
      <c r="Y170" s="503"/>
      <c r="Z170" s="504" t="s">
        <v>2054</v>
      </c>
      <c r="AA170" s="505" t="s">
        <v>2054</v>
      </c>
      <c r="AB170" s="505" t="s">
        <v>2054</v>
      </c>
      <c r="AC170" s="505" t="s">
        <v>2054</v>
      </c>
      <c r="AD170" s="506">
        <v>0</v>
      </c>
      <c r="AE170" s="507"/>
      <c r="AF170" s="507"/>
      <c r="AG170" s="505">
        <v>0.2</v>
      </c>
      <c r="AH170" s="501" t="s">
        <v>722</v>
      </c>
      <c r="AI170" s="505"/>
    </row>
    <row r="171" spans="2:35" x14ac:dyDescent="0.2">
      <c r="B171" s="352">
        <v>160</v>
      </c>
      <c r="C171" s="498" t="s">
        <v>739</v>
      </c>
      <c r="D171" s="496" t="s">
        <v>1997</v>
      </c>
      <c r="E171" s="508" t="s">
        <v>746</v>
      </c>
      <c r="F171" s="496" t="s">
        <v>762</v>
      </c>
      <c r="G171" s="496" t="b">
        <v>1</v>
      </c>
      <c r="H171" s="496"/>
      <c r="I171" s="496" t="s">
        <v>1905</v>
      </c>
      <c r="J171" s="498" t="s">
        <v>1847</v>
      </c>
      <c r="K171" s="499" t="s">
        <v>1894</v>
      </c>
      <c r="L171" s="500">
        <v>0</v>
      </c>
      <c r="M171" s="501">
        <v>0</v>
      </c>
      <c r="N171" s="501">
        <v>0</v>
      </c>
      <c r="O171" s="501">
        <v>0</v>
      </c>
      <c r="P171" s="502">
        <v>0</v>
      </c>
      <c r="Q171" s="503"/>
      <c r="R171" s="503"/>
      <c r="S171" s="500">
        <v>0</v>
      </c>
      <c r="T171" s="501">
        <v>0</v>
      </c>
      <c r="U171" s="501">
        <v>0</v>
      </c>
      <c r="V171" s="501">
        <v>0</v>
      </c>
      <c r="W171" s="502">
        <v>0</v>
      </c>
      <c r="X171" s="503"/>
      <c r="Y171" s="503"/>
      <c r="Z171" s="504" t="s">
        <v>2054</v>
      </c>
      <c r="AA171" s="505" t="s">
        <v>2054</v>
      </c>
      <c r="AB171" s="505" t="s">
        <v>2054</v>
      </c>
      <c r="AC171" s="505" t="s">
        <v>2054</v>
      </c>
      <c r="AD171" s="506" t="s">
        <v>2054</v>
      </c>
      <c r="AE171" s="507"/>
      <c r="AF171" s="507"/>
      <c r="AG171" s="505">
        <v>0.2</v>
      </c>
      <c r="AH171" s="501" t="s">
        <v>722</v>
      </c>
      <c r="AI171" s="505"/>
    </row>
    <row r="172" spans="2:35" x14ac:dyDescent="0.2">
      <c r="B172" s="352">
        <v>161</v>
      </c>
      <c r="C172" s="498" t="s">
        <v>744</v>
      </c>
      <c r="D172" s="496" t="s">
        <v>1998</v>
      </c>
      <c r="E172" s="497" t="s">
        <v>746</v>
      </c>
      <c r="F172" s="496" t="s">
        <v>762</v>
      </c>
      <c r="G172" s="496" t="b">
        <v>1</v>
      </c>
      <c r="H172" s="496"/>
      <c r="I172" s="496" t="s">
        <v>762</v>
      </c>
      <c r="J172" s="498" t="s">
        <v>969</v>
      </c>
      <c r="K172" s="499" t="s">
        <v>970</v>
      </c>
      <c r="L172" s="500">
        <v>0</v>
      </c>
      <c r="M172" s="501">
        <v>0</v>
      </c>
      <c r="N172" s="501">
        <v>0</v>
      </c>
      <c r="O172" s="501">
        <v>0</v>
      </c>
      <c r="P172" s="502">
        <v>36864.038443259618</v>
      </c>
      <c r="Q172" s="503"/>
      <c r="R172" s="503"/>
      <c r="S172" s="500">
        <v>0</v>
      </c>
      <c r="T172" s="501">
        <v>0</v>
      </c>
      <c r="U172" s="501">
        <v>0</v>
      </c>
      <c r="V172" s="501">
        <v>0</v>
      </c>
      <c r="W172" s="502">
        <v>36291.72063932586</v>
      </c>
      <c r="X172" s="503"/>
      <c r="Y172" s="503"/>
      <c r="Z172" s="504" t="s">
        <v>2054</v>
      </c>
      <c r="AA172" s="505" t="s">
        <v>2054</v>
      </c>
      <c r="AB172" s="505" t="s">
        <v>2054</v>
      </c>
      <c r="AC172" s="505" t="s">
        <v>2054</v>
      </c>
      <c r="AD172" s="506">
        <v>1.552509784880618E-2</v>
      </c>
      <c r="AE172" s="507"/>
      <c r="AF172" s="507"/>
      <c r="AG172" s="505">
        <v>0.05</v>
      </c>
      <c r="AH172" s="501">
        <v>0</v>
      </c>
      <c r="AI172" s="505"/>
    </row>
    <row r="173" spans="2:35" x14ac:dyDescent="0.2">
      <c r="B173" s="352">
        <v>162</v>
      </c>
      <c r="C173" s="498" t="s">
        <v>744</v>
      </c>
      <c r="D173" s="496" t="s">
        <v>1998</v>
      </c>
      <c r="E173" s="497" t="s">
        <v>746</v>
      </c>
      <c r="F173" s="496" t="s">
        <v>762</v>
      </c>
      <c r="G173" s="496" t="b">
        <v>1</v>
      </c>
      <c r="H173" s="496"/>
      <c r="I173" s="496" t="s">
        <v>762</v>
      </c>
      <c r="J173" s="498" t="s">
        <v>971</v>
      </c>
      <c r="K173" s="499" t="s">
        <v>972</v>
      </c>
      <c r="L173" s="500">
        <v>0</v>
      </c>
      <c r="M173" s="501">
        <v>0</v>
      </c>
      <c r="N173" s="501">
        <v>0</v>
      </c>
      <c r="O173" s="501">
        <v>0</v>
      </c>
      <c r="P173" s="502">
        <v>0</v>
      </c>
      <c r="Q173" s="503"/>
      <c r="R173" s="503"/>
      <c r="S173" s="500">
        <v>0</v>
      </c>
      <c r="T173" s="501">
        <v>0</v>
      </c>
      <c r="U173" s="501">
        <v>0</v>
      </c>
      <c r="V173" s="501">
        <v>0</v>
      </c>
      <c r="W173" s="502">
        <v>0</v>
      </c>
      <c r="X173" s="503"/>
      <c r="Y173" s="503"/>
      <c r="Z173" s="504" t="s">
        <v>2054</v>
      </c>
      <c r="AA173" s="505" t="s">
        <v>2054</v>
      </c>
      <c r="AB173" s="505" t="s">
        <v>2054</v>
      </c>
      <c r="AC173" s="505" t="s">
        <v>2054</v>
      </c>
      <c r="AD173" s="506" t="s">
        <v>2054</v>
      </c>
      <c r="AE173" s="507"/>
      <c r="AF173" s="507"/>
      <c r="AG173" s="505">
        <v>0.11</v>
      </c>
      <c r="AH173" s="501" t="s">
        <v>722</v>
      </c>
      <c r="AI173" s="505"/>
    </row>
    <row r="174" spans="2:35" x14ac:dyDescent="0.2">
      <c r="B174" s="352">
        <v>163</v>
      </c>
      <c r="C174" s="498" t="s">
        <v>744</v>
      </c>
      <c r="D174" s="496" t="s">
        <v>1998</v>
      </c>
      <c r="E174" s="497" t="s">
        <v>746</v>
      </c>
      <c r="F174" s="496" t="s">
        <v>762</v>
      </c>
      <c r="G174" s="496" t="b">
        <v>1</v>
      </c>
      <c r="H174" s="496"/>
      <c r="I174" s="496" t="s">
        <v>762</v>
      </c>
      <c r="J174" s="498" t="s">
        <v>973</v>
      </c>
      <c r="K174" s="499" t="s">
        <v>974</v>
      </c>
      <c r="L174" s="500">
        <v>0</v>
      </c>
      <c r="M174" s="501">
        <v>0</v>
      </c>
      <c r="N174" s="501">
        <v>0</v>
      </c>
      <c r="O174" s="501">
        <v>0</v>
      </c>
      <c r="P174" s="502">
        <v>16230.349714906968</v>
      </c>
      <c r="Q174" s="503"/>
      <c r="R174" s="503"/>
      <c r="S174" s="500">
        <v>0</v>
      </c>
      <c r="T174" s="501">
        <v>0</v>
      </c>
      <c r="U174" s="501">
        <v>0</v>
      </c>
      <c r="V174" s="501">
        <v>0</v>
      </c>
      <c r="W174" s="502">
        <v>16173.357706415452</v>
      </c>
      <c r="X174" s="503"/>
      <c r="Y174" s="503"/>
      <c r="Z174" s="504" t="s">
        <v>2054</v>
      </c>
      <c r="AA174" s="505" t="s">
        <v>2054</v>
      </c>
      <c r="AB174" s="505" t="s">
        <v>2054</v>
      </c>
      <c r="AC174" s="505" t="s">
        <v>2054</v>
      </c>
      <c r="AD174" s="506">
        <v>3.5114467335950472E-3</v>
      </c>
      <c r="AE174" s="507"/>
      <c r="AF174" s="507"/>
      <c r="AG174" s="505">
        <v>0.05</v>
      </c>
      <c r="AH174" s="501">
        <v>0</v>
      </c>
      <c r="AI174" s="505"/>
    </row>
    <row r="175" spans="2:35" x14ac:dyDescent="0.2">
      <c r="B175" s="352">
        <v>164</v>
      </c>
      <c r="C175" s="498" t="s">
        <v>744</v>
      </c>
      <c r="D175" s="496" t="s">
        <v>1998</v>
      </c>
      <c r="E175" s="497" t="s">
        <v>746</v>
      </c>
      <c r="F175" s="496" t="s">
        <v>762</v>
      </c>
      <c r="G175" s="496" t="b">
        <v>1</v>
      </c>
      <c r="H175" s="496"/>
      <c r="I175" s="496" t="s">
        <v>762</v>
      </c>
      <c r="J175" s="498" t="s">
        <v>975</v>
      </c>
      <c r="K175" s="499" t="s">
        <v>976</v>
      </c>
      <c r="L175" s="500">
        <v>0</v>
      </c>
      <c r="M175" s="501">
        <v>0</v>
      </c>
      <c r="N175" s="501">
        <v>0</v>
      </c>
      <c r="O175" s="501">
        <v>0</v>
      </c>
      <c r="P175" s="502">
        <v>0</v>
      </c>
      <c r="Q175" s="503"/>
      <c r="R175" s="503"/>
      <c r="S175" s="500">
        <v>0</v>
      </c>
      <c r="T175" s="501">
        <v>0</v>
      </c>
      <c r="U175" s="501">
        <v>0</v>
      </c>
      <c r="V175" s="501">
        <v>0</v>
      </c>
      <c r="W175" s="502">
        <v>0</v>
      </c>
      <c r="X175" s="503"/>
      <c r="Y175" s="503"/>
      <c r="Z175" s="504" t="s">
        <v>2054</v>
      </c>
      <c r="AA175" s="505" t="s">
        <v>2054</v>
      </c>
      <c r="AB175" s="505" t="s">
        <v>2054</v>
      </c>
      <c r="AC175" s="505" t="s">
        <v>2054</v>
      </c>
      <c r="AD175" s="506" t="s">
        <v>2054</v>
      </c>
      <c r="AE175" s="507"/>
      <c r="AF175" s="507"/>
      <c r="AG175" s="505" t="s">
        <v>2054</v>
      </c>
      <c r="AH175" s="501" t="s">
        <v>722</v>
      </c>
      <c r="AI175" s="505"/>
    </row>
    <row r="176" spans="2:35" x14ac:dyDescent="0.2">
      <c r="B176" s="352">
        <v>165</v>
      </c>
      <c r="C176" s="498" t="s">
        <v>744</v>
      </c>
      <c r="D176" s="496" t="s">
        <v>1998</v>
      </c>
      <c r="E176" s="497" t="s">
        <v>746</v>
      </c>
      <c r="F176" s="496" t="s">
        <v>762</v>
      </c>
      <c r="G176" s="496" t="b">
        <v>1</v>
      </c>
      <c r="H176" s="496"/>
      <c r="I176" s="496" t="s">
        <v>762</v>
      </c>
      <c r="J176" s="498" t="s">
        <v>977</v>
      </c>
      <c r="K176" s="499" t="s">
        <v>864</v>
      </c>
      <c r="L176" s="500">
        <v>0</v>
      </c>
      <c r="M176" s="501">
        <v>0</v>
      </c>
      <c r="N176" s="501">
        <v>0</v>
      </c>
      <c r="O176" s="501">
        <v>0</v>
      </c>
      <c r="P176" s="502">
        <v>10863.644780693921</v>
      </c>
      <c r="Q176" s="503"/>
      <c r="R176" s="503"/>
      <c r="S176" s="500">
        <v>0</v>
      </c>
      <c r="T176" s="501">
        <v>0</v>
      </c>
      <c r="U176" s="501">
        <v>0</v>
      </c>
      <c r="V176" s="501">
        <v>0</v>
      </c>
      <c r="W176" s="502">
        <v>10799.346117768786</v>
      </c>
      <c r="X176" s="503"/>
      <c r="Y176" s="503"/>
      <c r="Z176" s="504" t="s">
        <v>2054</v>
      </c>
      <c r="AA176" s="505" t="s">
        <v>2054</v>
      </c>
      <c r="AB176" s="505" t="s">
        <v>2054</v>
      </c>
      <c r="AC176" s="505" t="s">
        <v>2054</v>
      </c>
      <c r="AD176" s="506">
        <v>5.9187007881003062E-3</v>
      </c>
      <c r="AE176" s="507"/>
      <c r="AF176" s="507"/>
      <c r="AG176" s="505">
        <v>0.05</v>
      </c>
      <c r="AH176" s="501">
        <v>0</v>
      </c>
      <c r="AI176" s="505"/>
    </row>
    <row r="177" spans="2:35" x14ac:dyDescent="0.2">
      <c r="B177" s="352">
        <v>166</v>
      </c>
      <c r="C177" s="498" t="s">
        <v>744</v>
      </c>
      <c r="D177" s="496" t="s">
        <v>1998</v>
      </c>
      <c r="E177" s="497" t="s">
        <v>746</v>
      </c>
      <c r="F177" s="496" t="s">
        <v>762</v>
      </c>
      <c r="G177" s="496" t="b">
        <v>1</v>
      </c>
      <c r="H177" s="496"/>
      <c r="I177" s="496" t="s">
        <v>762</v>
      </c>
      <c r="J177" s="498" t="s">
        <v>978</v>
      </c>
      <c r="K177" s="499" t="s">
        <v>1892</v>
      </c>
      <c r="L177" s="500">
        <v>0</v>
      </c>
      <c r="M177" s="501">
        <v>0</v>
      </c>
      <c r="N177" s="501">
        <v>0</v>
      </c>
      <c r="O177" s="501">
        <v>0</v>
      </c>
      <c r="P177" s="502">
        <v>0</v>
      </c>
      <c r="Q177" s="503"/>
      <c r="R177" s="503"/>
      <c r="S177" s="500">
        <v>0</v>
      </c>
      <c r="T177" s="501">
        <v>0</v>
      </c>
      <c r="U177" s="501">
        <v>0</v>
      </c>
      <c r="V177" s="501">
        <v>0</v>
      </c>
      <c r="W177" s="502">
        <v>0</v>
      </c>
      <c r="X177" s="503"/>
      <c r="Y177" s="503"/>
      <c r="Z177" s="504" t="s">
        <v>2054</v>
      </c>
      <c r="AA177" s="505" t="s">
        <v>2054</v>
      </c>
      <c r="AB177" s="505" t="s">
        <v>2054</v>
      </c>
      <c r="AC177" s="505" t="s">
        <v>2054</v>
      </c>
      <c r="AD177" s="506" t="s">
        <v>2054</v>
      </c>
      <c r="AE177" s="507"/>
      <c r="AF177" s="507"/>
      <c r="AG177" s="505" t="s">
        <v>2054</v>
      </c>
      <c r="AH177" s="501" t="s">
        <v>722</v>
      </c>
      <c r="AI177" s="505"/>
    </row>
    <row r="178" spans="2:35" x14ac:dyDescent="0.2">
      <c r="B178" s="352">
        <v>167</v>
      </c>
      <c r="C178" s="498" t="s">
        <v>744</v>
      </c>
      <c r="D178" s="496" t="s">
        <v>1998</v>
      </c>
      <c r="E178" s="497" t="s">
        <v>746</v>
      </c>
      <c r="F178" s="496" t="s">
        <v>762</v>
      </c>
      <c r="G178" s="496" t="b">
        <v>1</v>
      </c>
      <c r="H178" s="496"/>
      <c r="I178" s="496" t="s">
        <v>762</v>
      </c>
      <c r="J178" s="498" t="s">
        <v>979</v>
      </c>
      <c r="K178" s="499" t="s">
        <v>980</v>
      </c>
      <c r="L178" s="500">
        <v>0</v>
      </c>
      <c r="M178" s="501">
        <v>0</v>
      </c>
      <c r="N178" s="501">
        <v>0</v>
      </c>
      <c r="O178" s="501">
        <v>0</v>
      </c>
      <c r="P178" s="502">
        <v>0</v>
      </c>
      <c r="Q178" s="503"/>
      <c r="R178" s="503"/>
      <c r="S178" s="500">
        <v>0</v>
      </c>
      <c r="T178" s="501">
        <v>0</v>
      </c>
      <c r="U178" s="501">
        <v>0</v>
      </c>
      <c r="V178" s="501">
        <v>0</v>
      </c>
      <c r="W178" s="502">
        <v>0</v>
      </c>
      <c r="X178" s="503"/>
      <c r="Y178" s="503"/>
      <c r="Z178" s="504" t="s">
        <v>2054</v>
      </c>
      <c r="AA178" s="505" t="s">
        <v>2054</v>
      </c>
      <c r="AB178" s="505" t="s">
        <v>2054</v>
      </c>
      <c r="AC178" s="505" t="s">
        <v>2054</v>
      </c>
      <c r="AD178" s="506" t="s">
        <v>2054</v>
      </c>
      <c r="AE178" s="507"/>
      <c r="AF178" s="507"/>
      <c r="AG178" s="505">
        <v>0.05</v>
      </c>
      <c r="AH178" s="501" t="s">
        <v>722</v>
      </c>
      <c r="AI178" s="505"/>
    </row>
    <row r="179" spans="2:35" x14ac:dyDescent="0.2">
      <c r="B179" s="352">
        <v>168</v>
      </c>
      <c r="C179" s="498" t="s">
        <v>744</v>
      </c>
      <c r="D179" s="496" t="s">
        <v>1998</v>
      </c>
      <c r="E179" s="497" t="s">
        <v>746</v>
      </c>
      <c r="F179" s="496" t="s">
        <v>762</v>
      </c>
      <c r="G179" s="496" t="b">
        <v>1</v>
      </c>
      <c r="H179" s="496"/>
      <c r="I179" s="496" t="s">
        <v>762</v>
      </c>
      <c r="J179" s="498" t="s">
        <v>981</v>
      </c>
      <c r="K179" s="499" t="s">
        <v>3674</v>
      </c>
      <c r="L179" s="500">
        <v>0</v>
      </c>
      <c r="M179" s="501">
        <v>0</v>
      </c>
      <c r="N179" s="501">
        <v>0</v>
      </c>
      <c r="O179" s="501">
        <v>0</v>
      </c>
      <c r="P179" s="502">
        <v>0</v>
      </c>
      <c r="Q179" s="503"/>
      <c r="R179" s="503"/>
      <c r="S179" s="500">
        <v>0</v>
      </c>
      <c r="T179" s="501">
        <v>0</v>
      </c>
      <c r="U179" s="501">
        <v>0</v>
      </c>
      <c r="V179" s="501">
        <v>0</v>
      </c>
      <c r="W179" s="502">
        <v>0</v>
      </c>
      <c r="X179" s="503"/>
      <c r="Y179" s="503"/>
      <c r="Z179" s="504" t="s">
        <v>2054</v>
      </c>
      <c r="AA179" s="505" t="s">
        <v>2054</v>
      </c>
      <c r="AB179" s="505" t="s">
        <v>2054</v>
      </c>
      <c r="AC179" s="505" t="s">
        <v>2054</v>
      </c>
      <c r="AD179" s="506" t="s">
        <v>2054</v>
      </c>
      <c r="AE179" s="507"/>
      <c r="AF179" s="507"/>
      <c r="AG179" s="505">
        <v>0.05</v>
      </c>
      <c r="AH179" s="501" t="s">
        <v>722</v>
      </c>
      <c r="AI179" s="505"/>
    </row>
    <row r="180" spans="2:35" x14ac:dyDescent="0.2">
      <c r="B180" s="352">
        <v>169</v>
      </c>
      <c r="C180" s="498" t="s">
        <v>744</v>
      </c>
      <c r="D180" s="496" t="s">
        <v>1998</v>
      </c>
      <c r="E180" s="497" t="s">
        <v>746</v>
      </c>
      <c r="F180" s="496" t="s">
        <v>762</v>
      </c>
      <c r="G180" s="496" t="b">
        <v>1</v>
      </c>
      <c r="H180" s="496"/>
      <c r="I180" s="496" t="s">
        <v>1903</v>
      </c>
      <c r="J180" s="498" t="s">
        <v>982</v>
      </c>
      <c r="K180" s="499" t="s">
        <v>983</v>
      </c>
      <c r="L180" s="500">
        <v>0</v>
      </c>
      <c r="M180" s="501">
        <v>0</v>
      </c>
      <c r="N180" s="501">
        <v>0</v>
      </c>
      <c r="O180" s="501">
        <v>0</v>
      </c>
      <c r="P180" s="502">
        <v>0</v>
      </c>
      <c r="Q180" s="503"/>
      <c r="R180" s="503"/>
      <c r="S180" s="500">
        <v>0</v>
      </c>
      <c r="T180" s="501">
        <v>0</v>
      </c>
      <c r="U180" s="501">
        <v>0</v>
      </c>
      <c r="V180" s="501">
        <v>0</v>
      </c>
      <c r="W180" s="502">
        <v>0</v>
      </c>
      <c r="X180" s="503"/>
      <c r="Y180" s="503"/>
      <c r="Z180" s="504" t="s">
        <v>2054</v>
      </c>
      <c r="AA180" s="505" t="s">
        <v>2054</v>
      </c>
      <c r="AB180" s="505" t="s">
        <v>2054</v>
      </c>
      <c r="AC180" s="505" t="s">
        <v>2054</v>
      </c>
      <c r="AD180" s="506" t="s">
        <v>2054</v>
      </c>
      <c r="AE180" s="507"/>
      <c r="AF180" s="507"/>
      <c r="AG180" s="505">
        <v>0.06</v>
      </c>
      <c r="AH180" s="501" t="s">
        <v>722</v>
      </c>
      <c r="AI180" s="505"/>
    </row>
    <row r="181" spans="2:35" x14ac:dyDescent="0.2">
      <c r="B181" s="352">
        <v>170</v>
      </c>
      <c r="C181" s="498" t="s">
        <v>744</v>
      </c>
      <c r="D181" s="496" t="s">
        <v>1998</v>
      </c>
      <c r="E181" s="497" t="s">
        <v>746</v>
      </c>
      <c r="F181" s="496" t="s">
        <v>762</v>
      </c>
      <c r="G181" s="496" t="b">
        <v>1</v>
      </c>
      <c r="H181" s="496"/>
      <c r="I181" s="496" t="s">
        <v>1903</v>
      </c>
      <c r="J181" s="498" t="s">
        <v>984</v>
      </c>
      <c r="K181" s="499" t="s">
        <v>985</v>
      </c>
      <c r="L181" s="500">
        <v>0</v>
      </c>
      <c r="M181" s="501">
        <v>0</v>
      </c>
      <c r="N181" s="501">
        <v>0</v>
      </c>
      <c r="O181" s="501">
        <v>0</v>
      </c>
      <c r="P181" s="502">
        <v>0</v>
      </c>
      <c r="Q181" s="503"/>
      <c r="R181" s="503"/>
      <c r="S181" s="500">
        <v>0</v>
      </c>
      <c r="T181" s="501">
        <v>0</v>
      </c>
      <c r="U181" s="501">
        <v>0</v>
      </c>
      <c r="V181" s="501">
        <v>0</v>
      </c>
      <c r="W181" s="502">
        <v>0</v>
      </c>
      <c r="X181" s="503"/>
      <c r="Y181" s="503"/>
      <c r="Z181" s="504" t="s">
        <v>2054</v>
      </c>
      <c r="AA181" s="505" t="s">
        <v>2054</v>
      </c>
      <c r="AB181" s="505" t="s">
        <v>2054</v>
      </c>
      <c r="AC181" s="505" t="s">
        <v>2054</v>
      </c>
      <c r="AD181" s="506" t="s">
        <v>2054</v>
      </c>
      <c r="AE181" s="507"/>
      <c r="AF181" s="507"/>
      <c r="AG181" s="505">
        <v>0.05</v>
      </c>
      <c r="AH181" s="501" t="s">
        <v>722</v>
      </c>
      <c r="AI181" s="505"/>
    </row>
    <row r="182" spans="2:35" x14ac:dyDescent="0.2">
      <c r="B182" s="352">
        <v>171</v>
      </c>
      <c r="C182" s="498" t="s">
        <v>744</v>
      </c>
      <c r="D182" s="496" t="s">
        <v>1998</v>
      </c>
      <c r="E182" s="497" t="s">
        <v>746</v>
      </c>
      <c r="F182" s="496" t="s">
        <v>762</v>
      </c>
      <c r="G182" s="496" t="b">
        <v>1</v>
      </c>
      <c r="H182" s="496"/>
      <c r="I182" s="496" t="s">
        <v>1903</v>
      </c>
      <c r="J182" s="498" t="s">
        <v>986</v>
      </c>
      <c r="K182" s="499" t="s">
        <v>987</v>
      </c>
      <c r="L182" s="500">
        <v>0</v>
      </c>
      <c r="M182" s="501">
        <v>0</v>
      </c>
      <c r="N182" s="501">
        <v>0</v>
      </c>
      <c r="O182" s="501">
        <v>0</v>
      </c>
      <c r="P182" s="502">
        <v>0</v>
      </c>
      <c r="Q182" s="503"/>
      <c r="R182" s="503"/>
      <c r="S182" s="500">
        <v>0</v>
      </c>
      <c r="T182" s="501">
        <v>0</v>
      </c>
      <c r="U182" s="501">
        <v>0</v>
      </c>
      <c r="V182" s="501">
        <v>0</v>
      </c>
      <c r="W182" s="502">
        <v>0</v>
      </c>
      <c r="X182" s="503"/>
      <c r="Y182" s="503"/>
      <c r="Z182" s="504" t="s">
        <v>2054</v>
      </c>
      <c r="AA182" s="505" t="s">
        <v>2054</v>
      </c>
      <c r="AB182" s="505" t="s">
        <v>2054</v>
      </c>
      <c r="AC182" s="505" t="s">
        <v>2054</v>
      </c>
      <c r="AD182" s="506" t="s">
        <v>2054</v>
      </c>
      <c r="AE182" s="507"/>
      <c r="AF182" s="507"/>
      <c r="AG182" s="505">
        <v>0.05</v>
      </c>
      <c r="AH182" s="501" t="s">
        <v>722</v>
      </c>
      <c r="AI182" s="505"/>
    </row>
    <row r="183" spans="2:35" x14ac:dyDescent="0.2">
      <c r="B183" s="352">
        <v>172</v>
      </c>
      <c r="C183" s="498" t="s">
        <v>744</v>
      </c>
      <c r="D183" s="496" t="s">
        <v>1998</v>
      </c>
      <c r="E183" s="497" t="s">
        <v>746</v>
      </c>
      <c r="F183" s="496" t="s">
        <v>762</v>
      </c>
      <c r="G183" s="496" t="b">
        <v>1</v>
      </c>
      <c r="H183" s="496"/>
      <c r="I183" s="496" t="s">
        <v>1903</v>
      </c>
      <c r="J183" s="498" t="s">
        <v>988</v>
      </c>
      <c r="K183" s="499" t="s">
        <v>989</v>
      </c>
      <c r="L183" s="500">
        <v>0</v>
      </c>
      <c r="M183" s="501">
        <v>0</v>
      </c>
      <c r="N183" s="501">
        <v>0</v>
      </c>
      <c r="O183" s="501">
        <v>0</v>
      </c>
      <c r="P183" s="502">
        <v>0</v>
      </c>
      <c r="Q183" s="503"/>
      <c r="R183" s="503"/>
      <c r="S183" s="500">
        <v>0</v>
      </c>
      <c r="T183" s="501">
        <v>0</v>
      </c>
      <c r="U183" s="501">
        <v>0</v>
      </c>
      <c r="V183" s="501">
        <v>0</v>
      </c>
      <c r="W183" s="502">
        <v>0</v>
      </c>
      <c r="X183" s="503"/>
      <c r="Y183" s="503"/>
      <c r="Z183" s="504" t="s">
        <v>2054</v>
      </c>
      <c r="AA183" s="505" t="s">
        <v>2054</v>
      </c>
      <c r="AB183" s="505" t="s">
        <v>2054</v>
      </c>
      <c r="AC183" s="505" t="s">
        <v>2054</v>
      </c>
      <c r="AD183" s="506" t="s">
        <v>2054</v>
      </c>
      <c r="AE183" s="507"/>
      <c r="AF183" s="507"/>
      <c r="AG183" s="505">
        <v>0.05</v>
      </c>
      <c r="AH183" s="501" t="s">
        <v>722</v>
      </c>
      <c r="AI183" s="505"/>
    </row>
    <row r="184" spans="2:35" x14ac:dyDescent="0.2">
      <c r="B184" s="352">
        <v>173</v>
      </c>
      <c r="C184" s="498" t="s">
        <v>744</v>
      </c>
      <c r="D184" s="496" t="s">
        <v>1998</v>
      </c>
      <c r="E184" s="497" t="s">
        <v>746</v>
      </c>
      <c r="F184" s="496" t="s">
        <v>762</v>
      </c>
      <c r="G184" s="496" t="b">
        <v>1</v>
      </c>
      <c r="H184" s="496"/>
      <c r="I184" s="496" t="s">
        <v>1903</v>
      </c>
      <c r="J184" s="498" t="s">
        <v>990</v>
      </c>
      <c r="K184" s="499" t="s">
        <v>991</v>
      </c>
      <c r="L184" s="500">
        <v>0</v>
      </c>
      <c r="M184" s="501">
        <v>0</v>
      </c>
      <c r="N184" s="501">
        <v>0</v>
      </c>
      <c r="O184" s="501">
        <v>0</v>
      </c>
      <c r="P184" s="502">
        <v>0</v>
      </c>
      <c r="Q184" s="503"/>
      <c r="R184" s="503"/>
      <c r="S184" s="500">
        <v>0</v>
      </c>
      <c r="T184" s="501">
        <v>0</v>
      </c>
      <c r="U184" s="501">
        <v>0</v>
      </c>
      <c r="V184" s="501">
        <v>0</v>
      </c>
      <c r="W184" s="502">
        <v>0</v>
      </c>
      <c r="X184" s="503"/>
      <c r="Y184" s="503"/>
      <c r="Z184" s="504" t="s">
        <v>2054</v>
      </c>
      <c r="AA184" s="505" t="s">
        <v>2054</v>
      </c>
      <c r="AB184" s="505" t="s">
        <v>2054</v>
      </c>
      <c r="AC184" s="505" t="s">
        <v>2054</v>
      </c>
      <c r="AD184" s="506" t="s">
        <v>2054</v>
      </c>
      <c r="AE184" s="507"/>
      <c r="AF184" s="507"/>
      <c r="AG184" s="505">
        <v>0.1</v>
      </c>
      <c r="AH184" s="501" t="s">
        <v>722</v>
      </c>
      <c r="AI184" s="505"/>
    </row>
    <row r="185" spans="2:35" x14ac:dyDescent="0.2">
      <c r="B185" s="352">
        <v>174</v>
      </c>
      <c r="C185" s="498" t="s">
        <v>744</v>
      </c>
      <c r="D185" s="496" t="s">
        <v>1998</v>
      </c>
      <c r="E185" s="497" t="s">
        <v>746</v>
      </c>
      <c r="F185" s="496" t="s">
        <v>762</v>
      </c>
      <c r="G185" s="496" t="b">
        <v>1</v>
      </c>
      <c r="H185" s="496"/>
      <c r="I185" s="496" t="s">
        <v>1903</v>
      </c>
      <c r="J185" s="498" t="s">
        <v>992</v>
      </c>
      <c r="K185" s="499" t="s">
        <v>993</v>
      </c>
      <c r="L185" s="500">
        <v>0</v>
      </c>
      <c r="M185" s="501">
        <v>0</v>
      </c>
      <c r="N185" s="501">
        <v>0</v>
      </c>
      <c r="O185" s="501">
        <v>0</v>
      </c>
      <c r="P185" s="502">
        <v>0</v>
      </c>
      <c r="Q185" s="503"/>
      <c r="R185" s="503"/>
      <c r="S185" s="500">
        <v>0</v>
      </c>
      <c r="T185" s="501">
        <v>0</v>
      </c>
      <c r="U185" s="501">
        <v>0</v>
      </c>
      <c r="V185" s="501">
        <v>0</v>
      </c>
      <c r="W185" s="502">
        <v>0</v>
      </c>
      <c r="X185" s="503"/>
      <c r="Y185" s="503"/>
      <c r="Z185" s="504" t="s">
        <v>2054</v>
      </c>
      <c r="AA185" s="505" t="s">
        <v>2054</v>
      </c>
      <c r="AB185" s="505" t="s">
        <v>2054</v>
      </c>
      <c r="AC185" s="505" t="s">
        <v>2054</v>
      </c>
      <c r="AD185" s="506" t="s">
        <v>2054</v>
      </c>
      <c r="AE185" s="507"/>
      <c r="AF185" s="507"/>
      <c r="AG185" s="505">
        <v>0.15</v>
      </c>
      <c r="AH185" s="501" t="s">
        <v>722</v>
      </c>
      <c r="AI185" s="505"/>
    </row>
    <row r="186" spans="2:35" x14ac:dyDescent="0.2">
      <c r="B186" s="352">
        <v>175</v>
      </c>
      <c r="C186" s="498" t="s">
        <v>744</v>
      </c>
      <c r="D186" s="496" t="s">
        <v>1998</v>
      </c>
      <c r="E186" s="497" t="s">
        <v>746</v>
      </c>
      <c r="F186" s="496" t="s">
        <v>762</v>
      </c>
      <c r="G186" s="496" t="b">
        <v>1</v>
      </c>
      <c r="H186" s="496"/>
      <c r="I186" s="496" t="s">
        <v>1904</v>
      </c>
      <c r="J186" s="498" t="s">
        <v>994</v>
      </c>
      <c r="K186" s="499" t="s">
        <v>995</v>
      </c>
      <c r="L186" s="500">
        <v>0</v>
      </c>
      <c r="M186" s="501">
        <v>0</v>
      </c>
      <c r="N186" s="501">
        <v>0</v>
      </c>
      <c r="O186" s="501">
        <v>0</v>
      </c>
      <c r="P186" s="502">
        <v>0</v>
      </c>
      <c r="Q186" s="503"/>
      <c r="R186" s="503"/>
      <c r="S186" s="500">
        <v>0</v>
      </c>
      <c r="T186" s="501">
        <v>0</v>
      </c>
      <c r="U186" s="501">
        <v>0</v>
      </c>
      <c r="V186" s="501">
        <v>0</v>
      </c>
      <c r="W186" s="502">
        <v>0</v>
      </c>
      <c r="X186" s="503"/>
      <c r="Y186" s="503"/>
      <c r="Z186" s="504" t="s">
        <v>2054</v>
      </c>
      <c r="AA186" s="505" t="s">
        <v>2054</v>
      </c>
      <c r="AB186" s="505" t="s">
        <v>2054</v>
      </c>
      <c r="AC186" s="505" t="s">
        <v>2054</v>
      </c>
      <c r="AD186" s="506" t="s">
        <v>2054</v>
      </c>
      <c r="AE186" s="507"/>
      <c r="AF186" s="507"/>
      <c r="AG186" s="505" t="s">
        <v>2054</v>
      </c>
      <c r="AH186" s="501" t="s">
        <v>722</v>
      </c>
      <c r="AI186" s="505"/>
    </row>
    <row r="187" spans="2:35" x14ac:dyDescent="0.2">
      <c r="B187" s="352">
        <v>176</v>
      </c>
      <c r="C187" s="498" t="s">
        <v>744</v>
      </c>
      <c r="D187" s="496" t="s">
        <v>1998</v>
      </c>
      <c r="E187" s="497" t="s">
        <v>746</v>
      </c>
      <c r="F187" s="496" t="s">
        <v>762</v>
      </c>
      <c r="G187" s="496" t="b">
        <v>1</v>
      </c>
      <c r="H187" s="496"/>
      <c r="I187" s="496" t="s">
        <v>1904</v>
      </c>
      <c r="J187" s="498" t="s">
        <v>996</v>
      </c>
      <c r="K187" s="499" t="s">
        <v>997</v>
      </c>
      <c r="L187" s="500">
        <v>0</v>
      </c>
      <c r="M187" s="501">
        <v>0</v>
      </c>
      <c r="N187" s="501">
        <v>0</v>
      </c>
      <c r="O187" s="501">
        <v>0</v>
      </c>
      <c r="P187" s="502">
        <v>0</v>
      </c>
      <c r="Q187" s="503"/>
      <c r="R187" s="503"/>
      <c r="S187" s="500">
        <v>0</v>
      </c>
      <c r="T187" s="501">
        <v>0</v>
      </c>
      <c r="U187" s="501">
        <v>0</v>
      </c>
      <c r="V187" s="501">
        <v>0</v>
      </c>
      <c r="W187" s="502">
        <v>0</v>
      </c>
      <c r="X187" s="503"/>
      <c r="Y187" s="503"/>
      <c r="Z187" s="504" t="s">
        <v>2054</v>
      </c>
      <c r="AA187" s="505" t="s">
        <v>2054</v>
      </c>
      <c r="AB187" s="505" t="s">
        <v>2054</v>
      </c>
      <c r="AC187" s="505" t="s">
        <v>2054</v>
      </c>
      <c r="AD187" s="506" t="s">
        <v>2054</v>
      </c>
      <c r="AE187" s="507"/>
      <c r="AF187" s="507"/>
      <c r="AG187" s="505" t="s">
        <v>2054</v>
      </c>
      <c r="AH187" s="501" t="s">
        <v>722</v>
      </c>
      <c r="AI187" s="505"/>
    </row>
    <row r="188" spans="2:35" x14ac:dyDescent="0.2">
      <c r="B188" s="352">
        <v>177</v>
      </c>
      <c r="C188" s="498" t="s">
        <v>744</v>
      </c>
      <c r="D188" s="496" t="s">
        <v>1998</v>
      </c>
      <c r="E188" s="497" t="s">
        <v>746</v>
      </c>
      <c r="F188" s="496" t="s">
        <v>762</v>
      </c>
      <c r="G188" s="496" t="b">
        <v>1</v>
      </c>
      <c r="H188" s="496"/>
      <c r="I188" s="496" t="s">
        <v>1904</v>
      </c>
      <c r="J188" s="498" t="s">
        <v>998</v>
      </c>
      <c r="K188" s="499" t="s">
        <v>999</v>
      </c>
      <c r="L188" s="500">
        <v>0</v>
      </c>
      <c r="M188" s="501">
        <v>0</v>
      </c>
      <c r="N188" s="501">
        <v>0</v>
      </c>
      <c r="O188" s="501">
        <v>0</v>
      </c>
      <c r="P188" s="502">
        <v>0</v>
      </c>
      <c r="Q188" s="503"/>
      <c r="R188" s="503"/>
      <c r="S188" s="500">
        <v>0</v>
      </c>
      <c r="T188" s="501">
        <v>0</v>
      </c>
      <c r="U188" s="501">
        <v>0</v>
      </c>
      <c r="V188" s="501">
        <v>0</v>
      </c>
      <c r="W188" s="502">
        <v>0</v>
      </c>
      <c r="X188" s="503"/>
      <c r="Y188" s="503"/>
      <c r="Z188" s="504" t="s">
        <v>2054</v>
      </c>
      <c r="AA188" s="505" t="s">
        <v>2054</v>
      </c>
      <c r="AB188" s="505" t="s">
        <v>2054</v>
      </c>
      <c r="AC188" s="505" t="s">
        <v>2054</v>
      </c>
      <c r="AD188" s="506" t="s">
        <v>2054</v>
      </c>
      <c r="AE188" s="507"/>
      <c r="AF188" s="507"/>
      <c r="AG188" s="505" t="s">
        <v>2054</v>
      </c>
      <c r="AH188" s="501" t="s">
        <v>722</v>
      </c>
      <c r="AI188" s="505"/>
    </row>
    <row r="189" spans="2:35" x14ac:dyDescent="0.2">
      <c r="B189" s="352">
        <v>178</v>
      </c>
      <c r="C189" s="498" t="s">
        <v>744</v>
      </c>
      <c r="D189" s="496" t="s">
        <v>1998</v>
      </c>
      <c r="E189" s="497" t="s">
        <v>746</v>
      </c>
      <c r="F189" s="496" t="s">
        <v>762</v>
      </c>
      <c r="G189" s="496" t="b">
        <v>1</v>
      </c>
      <c r="H189" s="496"/>
      <c r="I189" s="496" t="s">
        <v>1903</v>
      </c>
      <c r="J189" s="498" t="s">
        <v>1000</v>
      </c>
      <c r="K189" s="499" t="s">
        <v>1001</v>
      </c>
      <c r="L189" s="500">
        <v>0</v>
      </c>
      <c r="M189" s="501">
        <v>0</v>
      </c>
      <c r="N189" s="501">
        <v>0</v>
      </c>
      <c r="O189" s="501">
        <v>0</v>
      </c>
      <c r="P189" s="502">
        <v>0</v>
      </c>
      <c r="Q189" s="503"/>
      <c r="R189" s="503"/>
      <c r="S189" s="500">
        <v>0</v>
      </c>
      <c r="T189" s="501">
        <v>0</v>
      </c>
      <c r="U189" s="501">
        <v>0</v>
      </c>
      <c r="V189" s="501">
        <v>0</v>
      </c>
      <c r="W189" s="502">
        <v>0</v>
      </c>
      <c r="X189" s="503"/>
      <c r="Y189" s="503"/>
      <c r="Z189" s="504" t="s">
        <v>2054</v>
      </c>
      <c r="AA189" s="505" t="s">
        <v>2054</v>
      </c>
      <c r="AB189" s="505" t="s">
        <v>2054</v>
      </c>
      <c r="AC189" s="505" t="s">
        <v>2054</v>
      </c>
      <c r="AD189" s="506" t="s">
        <v>2054</v>
      </c>
      <c r="AE189" s="507"/>
      <c r="AF189" s="507"/>
      <c r="AG189" s="505">
        <v>0.15</v>
      </c>
      <c r="AH189" s="501" t="s">
        <v>722</v>
      </c>
      <c r="AI189" s="505"/>
    </row>
    <row r="190" spans="2:35" x14ac:dyDescent="0.2">
      <c r="B190" s="352">
        <v>179</v>
      </c>
      <c r="C190" s="498" t="s">
        <v>744</v>
      </c>
      <c r="D190" s="496" t="s">
        <v>1998</v>
      </c>
      <c r="E190" s="497" t="s">
        <v>746</v>
      </c>
      <c r="F190" s="496" t="s">
        <v>762</v>
      </c>
      <c r="G190" s="496" t="b">
        <v>1</v>
      </c>
      <c r="H190" s="496"/>
      <c r="I190" s="496" t="s">
        <v>1903</v>
      </c>
      <c r="J190" s="498" t="s">
        <v>1002</v>
      </c>
      <c r="K190" s="499" t="s">
        <v>1003</v>
      </c>
      <c r="L190" s="500">
        <v>0</v>
      </c>
      <c r="M190" s="501">
        <v>0</v>
      </c>
      <c r="N190" s="501">
        <v>0</v>
      </c>
      <c r="O190" s="501">
        <v>0</v>
      </c>
      <c r="P190" s="502">
        <v>0</v>
      </c>
      <c r="Q190" s="503"/>
      <c r="R190" s="503"/>
      <c r="S190" s="500">
        <v>0</v>
      </c>
      <c r="T190" s="501">
        <v>0</v>
      </c>
      <c r="U190" s="501">
        <v>0</v>
      </c>
      <c r="V190" s="501">
        <v>0</v>
      </c>
      <c r="W190" s="502">
        <v>0</v>
      </c>
      <c r="X190" s="503"/>
      <c r="Y190" s="503"/>
      <c r="Z190" s="504" t="s">
        <v>2054</v>
      </c>
      <c r="AA190" s="505" t="s">
        <v>2054</v>
      </c>
      <c r="AB190" s="505" t="s">
        <v>2054</v>
      </c>
      <c r="AC190" s="505" t="s">
        <v>2054</v>
      </c>
      <c r="AD190" s="506" t="s">
        <v>2054</v>
      </c>
      <c r="AE190" s="507"/>
      <c r="AF190" s="507"/>
      <c r="AG190" s="505">
        <v>0.08</v>
      </c>
      <c r="AH190" s="501" t="s">
        <v>722</v>
      </c>
      <c r="AI190" s="505"/>
    </row>
    <row r="191" spans="2:35" x14ac:dyDescent="0.2">
      <c r="B191" s="352">
        <v>180</v>
      </c>
      <c r="C191" s="498" t="s">
        <v>744</v>
      </c>
      <c r="D191" s="496" t="s">
        <v>1998</v>
      </c>
      <c r="E191" s="497" t="s">
        <v>746</v>
      </c>
      <c r="F191" s="496" t="s">
        <v>762</v>
      </c>
      <c r="G191" s="496" t="b">
        <v>1</v>
      </c>
      <c r="H191" s="496"/>
      <c r="I191" s="496" t="s">
        <v>1903</v>
      </c>
      <c r="J191" s="498" t="s">
        <v>1004</v>
      </c>
      <c r="K191" s="499" t="s">
        <v>1005</v>
      </c>
      <c r="L191" s="500">
        <v>0</v>
      </c>
      <c r="M191" s="501">
        <v>0</v>
      </c>
      <c r="N191" s="501">
        <v>0</v>
      </c>
      <c r="O191" s="501">
        <v>0</v>
      </c>
      <c r="P191" s="502">
        <v>0</v>
      </c>
      <c r="Q191" s="503"/>
      <c r="R191" s="503"/>
      <c r="S191" s="500">
        <v>0</v>
      </c>
      <c r="T191" s="501">
        <v>0</v>
      </c>
      <c r="U191" s="501">
        <v>0</v>
      </c>
      <c r="V191" s="501">
        <v>0</v>
      </c>
      <c r="W191" s="502">
        <v>0</v>
      </c>
      <c r="X191" s="503"/>
      <c r="Y191" s="503"/>
      <c r="Z191" s="504" t="s">
        <v>2054</v>
      </c>
      <c r="AA191" s="505" t="s">
        <v>2054</v>
      </c>
      <c r="AB191" s="505" t="s">
        <v>2054</v>
      </c>
      <c r="AC191" s="505" t="s">
        <v>2054</v>
      </c>
      <c r="AD191" s="506" t="s">
        <v>2054</v>
      </c>
      <c r="AE191" s="507"/>
      <c r="AF191" s="507"/>
      <c r="AG191" s="505" t="s">
        <v>2054</v>
      </c>
      <c r="AH191" s="501" t="s">
        <v>722</v>
      </c>
      <c r="AI191" s="505"/>
    </row>
    <row r="192" spans="2:35" x14ac:dyDescent="0.2">
      <c r="B192" s="352">
        <v>181</v>
      </c>
      <c r="C192" s="498" t="s">
        <v>744</v>
      </c>
      <c r="D192" s="496" t="s">
        <v>1998</v>
      </c>
      <c r="E192" s="497" t="s">
        <v>746</v>
      </c>
      <c r="F192" s="496" t="s">
        <v>762</v>
      </c>
      <c r="G192" s="496" t="b">
        <v>1</v>
      </c>
      <c r="H192" s="496"/>
      <c r="I192" s="496" t="s">
        <v>1903</v>
      </c>
      <c r="J192" s="498" t="s">
        <v>1006</v>
      </c>
      <c r="K192" s="499" t="s">
        <v>1007</v>
      </c>
      <c r="L192" s="500">
        <v>0</v>
      </c>
      <c r="M192" s="501">
        <v>0</v>
      </c>
      <c r="N192" s="501">
        <v>0</v>
      </c>
      <c r="O192" s="501">
        <v>0</v>
      </c>
      <c r="P192" s="502">
        <v>0</v>
      </c>
      <c r="Q192" s="503"/>
      <c r="R192" s="503"/>
      <c r="S192" s="500">
        <v>0</v>
      </c>
      <c r="T192" s="501">
        <v>0</v>
      </c>
      <c r="U192" s="501">
        <v>0</v>
      </c>
      <c r="V192" s="501">
        <v>0</v>
      </c>
      <c r="W192" s="502">
        <v>0</v>
      </c>
      <c r="X192" s="503"/>
      <c r="Y192" s="503"/>
      <c r="Z192" s="504" t="s">
        <v>2054</v>
      </c>
      <c r="AA192" s="505" t="s">
        <v>2054</v>
      </c>
      <c r="AB192" s="505" t="s">
        <v>2054</v>
      </c>
      <c r="AC192" s="505" t="s">
        <v>2054</v>
      </c>
      <c r="AD192" s="506" t="s">
        <v>2054</v>
      </c>
      <c r="AE192" s="507"/>
      <c r="AF192" s="507"/>
      <c r="AG192" s="505">
        <v>0.08</v>
      </c>
      <c r="AH192" s="501" t="s">
        <v>722</v>
      </c>
      <c r="AI192" s="505"/>
    </row>
    <row r="193" spans="2:35" x14ac:dyDescent="0.2">
      <c r="B193" s="352">
        <v>182</v>
      </c>
      <c r="C193" s="498" t="s">
        <v>744</v>
      </c>
      <c r="D193" s="496" t="s">
        <v>1998</v>
      </c>
      <c r="E193" s="497" t="s">
        <v>746</v>
      </c>
      <c r="F193" s="496" t="s">
        <v>762</v>
      </c>
      <c r="G193" s="496" t="b">
        <v>1</v>
      </c>
      <c r="H193" s="496"/>
      <c r="I193" s="496" t="s">
        <v>1903</v>
      </c>
      <c r="J193" s="498" t="s">
        <v>1008</v>
      </c>
      <c r="K193" s="499" t="s">
        <v>1009</v>
      </c>
      <c r="L193" s="500">
        <v>0</v>
      </c>
      <c r="M193" s="501">
        <v>0</v>
      </c>
      <c r="N193" s="501">
        <v>0</v>
      </c>
      <c r="O193" s="501">
        <v>0</v>
      </c>
      <c r="P193" s="502">
        <v>0</v>
      </c>
      <c r="Q193" s="503"/>
      <c r="R193" s="503"/>
      <c r="S193" s="500">
        <v>0</v>
      </c>
      <c r="T193" s="501">
        <v>0</v>
      </c>
      <c r="U193" s="501">
        <v>0</v>
      </c>
      <c r="V193" s="501">
        <v>0</v>
      </c>
      <c r="W193" s="502">
        <v>0</v>
      </c>
      <c r="X193" s="503"/>
      <c r="Y193" s="503"/>
      <c r="Z193" s="504" t="s">
        <v>2054</v>
      </c>
      <c r="AA193" s="505" t="s">
        <v>2054</v>
      </c>
      <c r="AB193" s="505" t="s">
        <v>2054</v>
      </c>
      <c r="AC193" s="505" t="s">
        <v>2054</v>
      </c>
      <c r="AD193" s="506" t="s">
        <v>2054</v>
      </c>
      <c r="AE193" s="507"/>
      <c r="AF193" s="507"/>
      <c r="AG193" s="505">
        <v>0.05</v>
      </c>
      <c r="AH193" s="501" t="s">
        <v>722</v>
      </c>
      <c r="AI193" s="505"/>
    </row>
    <row r="194" spans="2:35" x14ac:dyDescent="0.2">
      <c r="B194" s="352">
        <v>183</v>
      </c>
      <c r="C194" s="498" t="s">
        <v>744</v>
      </c>
      <c r="D194" s="496" t="s">
        <v>1998</v>
      </c>
      <c r="E194" s="497" t="s">
        <v>746</v>
      </c>
      <c r="F194" s="496" t="s">
        <v>762</v>
      </c>
      <c r="G194" s="496" t="b">
        <v>1</v>
      </c>
      <c r="H194" s="496"/>
      <c r="I194" s="496" t="s">
        <v>1905</v>
      </c>
      <c r="J194" s="498" t="s">
        <v>1848</v>
      </c>
      <c r="K194" s="499" t="s">
        <v>1849</v>
      </c>
      <c r="L194" s="500">
        <v>0</v>
      </c>
      <c r="M194" s="501">
        <v>0</v>
      </c>
      <c r="N194" s="501">
        <v>0</v>
      </c>
      <c r="O194" s="501">
        <v>0</v>
      </c>
      <c r="P194" s="502">
        <v>0</v>
      </c>
      <c r="Q194" s="503"/>
      <c r="R194" s="503"/>
      <c r="S194" s="500">
        <v>0</v>
      </c>
      <c r="T194" s="501">
        <v>0</v>
      </c>
      <c r="U194" s="501">
        <v>0</v>
      </c>
      <c r="V194" s="501">
        <v>0</v>
      </c>
      <c r="W194" s="502">
        <v>0</v>
      </c>
      <c r="X194" s="503"/>
      <c r="Y194" s="503"/>
      <c r="Z194" s="504" t="s">
        <v>2054</v>
      </c>
      <c r="AA194" s="505" t="s">
        <v>2054</v>
      </c>
      <c r="AB194" s="505" t="s">
        <v>2054</v>
      </c>
      <c r="AC194" s="505" t="s">
        <v>2054</v>
      </c>
      <c r="AD194" s="506" t="s">
        <v>2054</v>
      </c>
      <c r="AE194" s="507"/>
      <c r="AF194" s="507"/>
      <c r="AG194" s="505" t="s">
        <v>2054</v>
      </c>
      <c r="AH194" s="501" t="s">
        <v>722</v>
      </c>
      <c r="AI194" s="505"/>
    </row>
    <row r="195" spans="2:35" x14ac:dyDescent="0.2">
      <c r="B195" s="352">
        <v>184</v>
      </c>
      <c r="C195" s="498" t="s">
        <v>744</v>
      </c>
      <c r="D195" s="496" t="s">
        <v>1998</v>
      </c>
      <c r="E195" s="497" t="s">
        <v>746</v>
      </c>
      <c r="F195" s="496" t="s">
        <v>762</v>
      </c>
      <c r="G195" s="496" t="b">
        <v>1</v>
      </c>
      <c r="H195" s="496"/>
      <c r="I195" s="496" t="s">
        <v>1903</v>
      </c>
      <c r="J195" s="498" t="s">
        <v>1010</v>
      </c>
      <c r="K195" s="499" t="s">
        <v>1011</v>
      </c>
      <c r="L195" s="500">
        <v>0</v>
      </c>
      <c r="M195" s="501">
        <v>0</v>
      </c>
      <c r="N195" s="501">
        <v>0</v>
      </c>
      <c r="O195" s="501">
        <v>0</v>
      </c>
      <c r="P195" s="502">
        <v>0</v>
      </c>
      <c r="Q195" s="503"/>
      <c r="R195" s="503"/>
      <c r="S195" s="500">
        <v>0</v>
      </c>
      <c r="T195" s="501">
        <v>0</v>
      </c>
      <c r="U195" s="501">
        <v>0</v>
      </c>
      <c r="V195" s="501">
        <v>0</v>
      </c>
      <c r="W195" s="502">
        <v>0</v>
      </c>
      <c r="X195" s="503"/>
      <c r="Y195" s="503"/>
      <c r="Z195" s="504" t="s">
        <v>2054</v>
      </c>
      <c r="AA195" s="505" t="s">
        <v>2054</v>
      </c>
      <c r="AB195" s="505" t="s">
        <v>2054</v>
      </c>
      <c r="AC195" s="505" t="s">
        <v>2054</v>
      </c>
      <c r="AD195" s="506" t="s">
        <v>2054</v>
      </c>
      <c r="AE195" s="507"/>
      <c r="AF195" s="507"/>
      <c r="AG195" s="505" t="s">
        <v>2054</v>
      </c>
      <c r="AH195" s="501" t="s">
        <v>722</v>
      </c>
      <c r="AI195" s="505"/>
    </row>
    <row r="196" spans="2:35" x14ac:dyDescent="0.2">
      <c r="B196" s="352">
        <v>185</v>
      </c>
      <c r="C196" s="498" t="s">
        <v>744</v>
      </c>
      <c r="D196" s="496" t="s">
        <v>1998</v>
      </c>
      <c r="E196" s="497" t="s">
        <v>746</v>
      </c>
      <c r="F196" s="496" t="s">
        <v>762</v>
      </c>
      <c r="G196" s="496" t="b">
        <v>1</v>
      </c>
      <c r="H196" s="496"/>
      <c r="I196" s="496" t="s">
        <v>1903</v>
      </c>
      <c r="J196" s="498" t="s">
        <v>1012</v>
      </c>
      <c r="K196" s="499" t="s">
        <v>1013</v>
      </c>
      <c r="L196" s="500">
        <v>0</v>
      </c>
      <c r="M196" s="501">
        <v>0</v>
      </c>
      <c r="N196" s="501">
        <v>0</v>
      </c>
      <c r="O196" s="501">
        <v>0</v>
      </c>
      <c r="P196" s="502">
        <v>0</v>
      </c>
      <c r="Q196" s="503"/>
      <c r="R196" s="503"/>
      <c r="S196" s="500">
        <v>0</v>
      </c>
      <c r="T196" s="501">
        <v>0</v>
      </c>
      <c r="U196" s="501">
        <v>0</v>
      </c>
      <c r="V196" s="501">
        <v>0</v>
      </c>
      <c r="W196" s="502">
        <v>0</v>
      </c>
      <c r="X196" s="503"/>
      <c r="Y196" s="503"/>
      <c r="Z196" s="504" t="s">
        <v>2054</v>
      </c>
      <c r="AA196" s="505" t="s">
        <v>2054</v>
      </c>
      <c r="AB196" s="505" t="s">
        <v>2054</v>
      </c>
      <c r="AC196" s="505" t="s">
        <v>2054</v>
      </c>
      <c r="AD196" s="506" t="s">
        <v>2054</v>
      </c>
      <c r="AE196" s="507"/>
      <c r="AF196" s="507"/>
      <c r="AG196" s="505">
        <v>0.05</v>
      </c>
      <c r="AH196" s="501" t="s">
        <v>722</v>
      </c>
      <c r="AI196" s="505"/>
    </row>
    <row r="197" spans="2:35" x14ac:dyDescent="0.2">
      <c r="B197" s="352">
        <v>186</v>
      </c>
      <c r="C197" s="498" t="s">
        <v>744</v>
      </c>
      <c r="D197" s="496" t="s">
        <v>1998</v>
      </c>
      <c r="E197" s="497" t="s">
        <v>746</v>
      </c>
      <c r="F197" s="496" t="s">
        <v>762</v>
      </c>
      <c r="G197" s="496" t="b">
        <v>1</v>
      </c>
      <c r="H197" s="496"/>
      <c r="I197" s="496" t="s">
        <v>1903</v>
      </c>
      <c r="J197" s="498" t="s">
        <v>1014</v>
      </c>
      <c r="K197" s="499" t="s">
        <v>1893</v>
      </c>
      <c r="L197" s="500">
        <v>0</v>
      </c>
      <c r="M197" s="501">
        <v>0</v>
      </c>
      <c r="N197" s="501">
        <v>0</v>
      </c>
      <c r="O197" s="501">
        <v>0</v>
      </c>
      <c r="P197" s="502">
        <v>0</v>
      </c>
      <c r="Q197" s="503"/>
      <c r="R197" s="503"/>
      <c r="S197" s="500">
        <v>0</v>
      </c>
      <c r="T197" s="501">
        <v>0</v>
      </c>
      <c r="U197" s="501">
        <v>0</v>
      </c>
      <c r="V197" s="501">
        <v>0</v>
      </c>
      <c r="W197" s="502">
        <v>0</v>
      </c>
      <c r="X197" s="503"/>
      <c r="Y197" s="503"/>
      <c r="Z197" s="504" t="s">
        <v>2054</v>
      </c>
      <c r="AA197" s="505" t="s">
        <v>2054</v>
      </c>
      <c r="AB197" s="505" t="s">
        <v>2054</v>
      </c>
      <c r="AC197" s="505" t="s">
        <v>2054</v>
      </c>
      <c r="AD197" s="506" t="s">
        <v>2054</v>
      </c>
      <c r="AE197" s="507"/>
      <c r="AF197" s="507"/>
      <c r="AG197" s="505">
        <v>0.05</v>
      </c>
      <c r="AH197" s="501" t="s">
        <v>722</v>
      </c>
      <c r="AI197" s="505"/>
    </row>
    <row r="198" spans="2:35" x14ac:dyDescent="0.2">
      <c r="B198" s="352">
        <v>187</v>
      </c>
      <c r="C198" s="498" t="s">
        <v>744</v>
      </c>
      <c r="D198" s="496" t="s">
        <v>1998</v>
      </c>
      <c r="E198" s="497" t="s">
        <v>746</v>
      </c>
      <c r="F198" s="496" t="s">
        <v>762</v>
      </c>
      <c r="G198" s="496" t="b">
        <v>1</v>
      </c>
      <c r="H198" s="496"/>
      <c r="I198" s="496" t="s">
        <v>709</v>
      </c>
      <c r="J198" s="498" t="s">
        <v>1015</v>
      </c>
      <c r="K198" s="499" t="s">
        <v>1016</v>
      </c>
      <c r="L198" s="500">
        <v>0</v>
      </c>
      <c r="M198" s="501">
        <v>0</v>
      </c>
      <c r="N198" s="501">
        <v>0</v>
      </c>
      <c r="O198" s="501">
        <v>0</v>
      </c>
      <c r="P198" s="502">
        <v>0</v>
      </c>
      <c r="Q198" s="503"/>
      <c r="R198" s="503"/>
      <c r="S198" s="500">
        <v>0</v>
      </c>
      <c r="T198" s="501">
        <v>0</v>
      </c>
      <c r="U198" s="501">
        <v>0</v>
      </c>
      <c r="V198" s="501">
        <v>0</v>
      </c>
      <c r="W198" s="502">
        <v>0</v>
      </c>
      <c r="X198" s="503"/>
      <c r="Y198" s="503"/>
      <c r="Z198" s="504" t="s">
        <v>2054</v>
      </c>
      <c r="AA198" s="505" t="s">
        <v>2054</v>
      </c>
      <c r="AB198" s="505" t="s">
        <v>2054</v>
      </c>
      <c r="AC198" s="505" t="s">
        <v>2054</v>
      </c>
      <c r="AD198" s="506" t="s">
        <v>2054</v>
      </c>
      <c r="AE198" s="507"/>
      <c r="AF198" s="507"/>
      <c r="AG198" s="505" t="s">
        <v>2054</v>
      </c>
      <c r="AH198" s="501" t="s">
        <v>722</v>
      </c>
      <c r="AI198" s="505"/>
    </row>
    <row r="199" spans="2:35" x14ac:dyDescent="0.2">
      <c r="B199" s="352">
        <v>188</v>
      </c>
      <c r="C199" s="498" t="s">
        <v>744</v>
      </c>
      <c r="D199" s="496" t="s">
        <v>1998</v>
      </c>
      <c r="E199" s="497" t="s">
        <v>746</v>
      </c>
      <c r="F199" s="496" t="s">
        <v>762</v>
      </c>
      <c r="G199" s="496" t="b">
        <v>1</v>
      </c>
      <c r="H199" s="496"/>
      <c r="I199" s="496" t="s">
        <v>716</v>
      </c>
      <c r="J199" s="498" t="s">
        <v>1017</v>
      </c>
      <c r="K199" s="499" t="s">
        <v>1018</v>
      </c>
      <c r="L199" s="500">
        <v>0</v>
      </c>
      <c r="M199" s="501">
        <v>0</v>
      </c>
      <c r="N199" s="501">
        <v>0</v>
      </c>
      <c r="O199" s="501">
        <v>0</v>
      </c>
      <c r="P199" s="502">
        <v>0</v>
      </c>
      <c r="Q199" s="503"/>
      <c r="R199" s="503"/>
      <c r="S199" s="500">
        <v>0</v>
      </c>
      <c r="T199" s="501">
        <v>0</v>
      </c>
      <c r="U199" s="501">
        <v>0</v>
      </c>
      <c r="V199" s="501">
        <v>0</v>
      </c>
      <c r="W199" s="502">
        <v>0</v>
      </c>
      <c r="X199" s="503"/>
      <c r="Y199" s="503"/>
      <c r="Z199" s="504" t="s">
        <v>2054</v>
      </c>
      <c r="AA199" s="505" t="s">
        <v>2054</v>
      </c>
      <c r="AB199" s="505" t="s">
        <v>2054</v>
      </c>
      <c r="AC199" s="505" t="s">
        <v>2054</v>
      </c>
      <c r="AD199" s="506" t="s">
        <v>2054</v>
      </c>
      <c r="AE199" s="507"/>
      <c r="AF199" s="507"/>
      <c r="AG199" s="505">
        <v>0.1</v>
      </c>
      <c r="AH199" s="501" t="s">
        <v>722</v>
      </c>
      <c r="AI199" s="505"/>
    </row>
    <row r="200" spans="2:35" x14ac:dyDescent="0.2">
      <c r="B200" s="352">
        <v>189</v>
      </c>
      <c r="C200" s="498" t="s">
        <v>744</v>
      </c>
      <c r="D200" s="496" t="s">
        <v>1998</v>
      </c>
      <c r="E200" s="497" t="s">
        <v>746</v>
      </c>
      <c r="F200" s="496" t="s">
        <v>762</v>
      </c>
      <c r="G200" s="496" t="b">
        <v>1</v>
      </c>
      <c r="H200" s="496"/>
      <c r="I200" s="496" t="s">
        <v>716</v>
      </c>
      <c r="J200" s="498" t="s">
        <v>1019</v>
      </c>
      <c r="K200" s="499" t="s">
        <v>1020</v>
      </c>
      <c r="L200" s="500">
        <v>0</v>
      </c>
      <c r="M200" s="501">
        <v>0</v>
      </c>
      <c r="N200" s="501">
        <v>0</v>
      </c>
      <c r="O200" s="501">
        <v>0</v>
      </c>
      <c r="P200" s="502">
        <v>0</v>
      </c>
      <c r="Q200" s="503"/>
      <c r="R200" s="503"/>
      <c r="S200" s="500">
        <v>0</v>
      </c>
      <c r="T200" s="501">
        <v>0</v>
      </c>
      <c r="U200" s="501">
        <v>0</v>
      </c>
      <c r="V200" s="501">
        <v>0</v>
      </c>
      <c r="W200" s="502">
        <v>0</v>
      </c>
      <c r="X200" s="503"/>
      <c r="Y200" s="503"/>
      <c r="Z200" s="504" t="s">
        <v>2054</v>
      </c>
      <c r="AA200" s="505" t="s">
        <v>2054</v>
      </c>
      <c r="AB200" s="505" t="s">
        <v>2054</v>
      </c>
      <c r="AC200" s="505" t="s">
        <v>2054</v>
      </c>
      <c r="AD200" s="506" t="s">
        <v>2054</v>
      </c>
      <c r="AE200" s="507"/>
      <c r="AF200" s="507"/>
      <c r="AG200" s="505">
        <v>0.05</v>
      </c>
      <c r="AH200" s="501" t="s">
        <v>722</v>
      </c>
      <c r="AI200" s="505"/>
    </row>
    <row r="201" spans="2:35" x14ac:dyDescent="0.2">
      <c r="B201" s="352">
        <v>190</v>
      </c>
      <c r="C201" s="498" t="s">
        <v>744</v>
      </c>
      <c r="D201" s="496" t="s">
        <v>1998</v>
      </c>
      <c r="E201" s="497" t="s">
        <v>746</v>
      </c>
      <c r="F201" s="496" t="s">
        <v>762</v>
      </c>
      <c r="G201" s="496" t="b">
        <v>1</v>
      </c>
      <c r="H201" s="496"/>
      <c r="I201" s="496" t="s">
        <v>716</v>
      </c>
      <c r="J201" s="498" t="s">
        <v>1021</v>
      </c>
      <c r="K201" s="499" t="s">
        <v>751</v>
      </c>
      <c r="L201" s="500">
        <v>0</v>
      </c>
      <c r="M201" s="501">
        <v>0</v>
      </c>
      <c r="N201" s="501">
        <v>0</v>
      </c>
      <c r="O201" s="501">
        <v>0</v>
      </c>
      <c r="P201" s="502">
        <v>0</v>
      </c>
      <c r="Q201" s="503"/>
      <c r="R201" s="503"/>
      <c r="S201" s="500">
        <v>0</v>
      </c>
      <c r="T201" s="501">
        <v>0</v>
      </c>
      <c r="U201" s="501">
        <v>0</v>
      </c>
      <c r="V201" s="501">
        <v>0</v>
      </c>
      <c r="W201" s="502">
        <v>0</v>
      </c>
      <c r="X201" s="503"/>
      <c r="Y201" s="503"/>
      <c r="Z201" s="504" t="s">
        <v>2054</v>
      </c>
      <c r="AA201" s="505" t="s">
        <v>2054</v>
      </c>
      <c r="AB201" s="505" t="s">
        <v>2054</v>
      </c>
      <c r="AC201" s="505" t="s">
        <v>2054</v>
      </c>
      <c r="AD201" s="506" t="s">
        <v>2054</v>
      </c>
      <c r="AE201" s="507"/>
      <c r="AF201" s="507"/>
      <c r="AG201" s="505">
        <v>0.1</v>
      </c>
      <c r="AH201" s="501" t="s">
        <v>722</v>
      </c>
      <c r="AI201" s="505"/>
    </row>
    <row r="202" spans="2:35" x14ac:dyDescent="0.2">
      <c r="B202" s="352">
        <v>191</v>
      </c>
      <c r="C202" s="498" t="s">
        <v>744</v>
      </c>
      <c r="D202" s="496" t="s">
        <v>1998</v>
      </c>
      <c r="E202" s="497" t="s">
        <v>746</v>
      </c>
      <c r="F202" s="496" t="s">
        <v>762</v>
      </c>
      <c r="G202" s="496" t="b">
        <v>1</v>
      </c>
      <c r="H202" s="496"/>
      <c r="I202" s="496" t="s">
        <v>1908</v>
      </c>
      <c r="J202" s="498" t="s">
        <v>1846</v>
      </c>
      <c r="K202" s="499" t="s">
        <v>1895</v>
      </c>
      <c r="L202" s="500">
        <v>0</v>
      </c>
      <c r="M202" s="501">
        <v>0</v>
      </c>
      <c r="N202" s="501">
        <v>0</v>
      </c>
      <c r="O202" s="501">
        <v>0</v>
      </c>
      <c r="P202" s="502">
        <v>5351.524991607841</v>
      </c>
      <c r="Q202" s="503"/>
      <c r="R202" s="503"/>
      <c r="S202" s="500">
        <v>0</v>
      </c>
      <c r="T202" s="501">
        <v>0</v>
      </c>
      <c r="U202" s="501">
        <v>0</v>
      </c>
      <c r="V202" s="501">
        <v>0</v>
      </c>
      <c r="W202" s="502">
        <v>5351.524991607841</v>
      </c>
      <c r="X202" s="503"/>
      <c r="Y202" s="503"/>
      <c r="Z202" s="504" t="s">
        <v>2054</v>
      </c>
      <c r="AA202" s="505" t="s">
        <v>2054</v>
      </c>
      <c r="AB202" s="505" t="s">
        <v>2054</v>
      </c>
      <c r="AC202" s="505" t="s">
        <v>2054</v>
      </c>
      <c r="AD202" s="506">
        <v>0</v>
      </c>
      <c r="AE202" s="507"/>
      <c r="AF202" s="507"/>
      <c r="AG202" s="505">
        <v>0.2</v>
      </c>
      <c r="AH202" s="501" t="s">
        <v>722</v>
      </c>
      <c r="AI202" s="505"/>
    </row>
    <row r="203" spans="2:35" x14ac:dyDescent="0.2">
      <c r="B203" s="352">
        <v>192</v>
      </c>
      <c r="C203" s="498" t="s">
        <v>744</v>
      </c>
      <c r="D203" s="496" t="s">
        <v>1998</v>
      </c>
      <c r="E203" s="497" t="s">
        <v>746</v>
      </c>
      <c r="F203" s="496" t="s">
        <v>762</v>
      </c>
      <c r="G203" s="496" t="b">
        <v>1</v>
      </c>
      <c r="H203" s="496"/>
      <c r="I203" s="496" t="s">
        <v>1905</v>
      </c>
      <c r="J203" s="498" t="s">
        <v>1847</v>
      </c>
      <c r="K203" s="499" t="s">
        <v>1894</v>
      </c>
      <c r="L203" s="500">
        <v>0</v>
      </c>
      <c r="M203" s="501">
        <v>0</v>
      </c>
      <c r="N203" s="501">
        <v>0</v>
      </c>
      <c r="O203" s="501">
        <v>0</v>
      </c>
      <c r="P203" s="502">
        <v>0</v>
      </c>
      <c r="Q203" s="503"/>
      <c r="R203" s="503"/>
      <c r="S203" s="500">
        <v>0</v>
      </c>
      <c r="T203" s="501">
        <v>0</v>
      </c>
      <c r="U203" s="501">
        <v>0</v>
      </c>
      <c r="V203" s="501">
        <v>0</v>
      </c>
      <c r="W203" s="502">
        <v>0</v>
      </c>
      <c r="X203" s="503"/>
      <c r="Y203" s="503"/>
      <c r="Z203" s="504" t="s">
        <v>2054</v>
      </c>
      <c r="AA203" s="505" t="s">
        <v>2054</v>
      </c>
      <c r="AB203" s="505" t="s">
        <v>2054</v>
      </c>
      <c r="AC203" s="505" t="s">
        <v>2054</v>
      </c>
      <c r="AD203" s="506" t="s">
        <v>2054</v>
      </c>
      <c r="AE203" s="507"/>
      <c r="AF203" s="507"/>
      <c r="AG203" s="505">
        <v>0.2</v>
      </c>
      <c r="AH203" s="501" t="s">
        <v>722</v>
      </c>
      <c r="AI203" s="505"/>
    </row>
    <row r="204" spans="2:35" x14ac:dyDescent="0.2">
      <c r="B204" s="352">
        <v>193</v>
      </c>
      <c r="C204" s="498" t="s">
        <v>757</v>
      </c>
      <c r="D204" s="496" t="s">
        <v>2000</v>
      </c>
      <c r="E204" s="497" t="s">
        <v>706</v>
      </c>
      <c r="F204" s="496" t="s">
        <v>707</v>
      </c>
      <c r="G204" s="496" t="b">
        <v>0</v>
      </c>
      <c r="H204" s="496"/>
      <c r="I204" s="496" t="s">
        <v>709</v>
      </c>
      <c r="J204" s="498" t="s">
        <v>1015</v>
      </c>
      <c r="K204" s="499" t="s">
        <v>1016</v>
      </c>
      <c r="L204" s="500">
        <v>35647.719945188364</v>
      </c>
      <c r="M204" s="501">
        <v>35647.719945188364</v>
      </c>
      <c r="N204" s="501">
        <v>39835.149573879797</v>
      </c>
      <c r="O204" s="501">
        <v>39835.149573879797</v>
      </c>
      <c r="P204" s="502">
        <v>39835.149573879797</v>
      </c>
      <c r="Q204" s="503"/>
      <c r="R204" s="503"/>
      <c r="S204" s="500">
        <v>35647.719945188364</v>
      </c>
      <c r="T204" s="501">
        <v>35647.719945188364</v>
      </c>
      <c r="U204" s="501">
        <v>39835.149573879797</v>
      </c>
      <c r="V204" s="501">
        <v>39835.149573879797</v>
      </c>
      <c r="W204" s="502">
        <v>39835.149573879797</v>
      </c>
      <c r="X204" s="503"/>
      <c r="Y204" s="503"/>
      <c r="Z204" s="504">
        <v>0</v>
      </c>
      <c r="AA204" s="505">
        <v>0</v>
      </c>
      <c r="AB204" s="505">
        <v>0</v>
      </c>
      <c r="AC204" s="505">
        <v>0</v>
      </c>
      <c r="AD204" s="506">
        <v>0</v>
      </c>
      <c r="AE204" s="507"/>
      <c r="AF204" s="507"/>
      <c r="AG204" s="505" t="s">
        <v>2054</v>
      </c>
      <c r="AH204" s="501" t="s">
        <v>722</v>
      </c>
      <c r="AI204" s="505"/>
    </row>
    <row r="205" spans="2:35" x14ac:dyDescent="0.2">
      <c r="B205" s="352">
        <v>194</v>
      </c>
      <c r="C205" s="498" t="s">
        <v>757</v>
      </c>
      <c r="D205" s="496" t="s">
        <v>2000</v>
      </c>
      <c r="E205" s="509" t="s">
        <v>759</v>
      </c>
      <c r="F205" s="496" t="s">
        <v>1157</v>
      </c>
      <c r="G205" s="496" t="b">
        <v>0</v>
      </c>
      <c r="H205" s="496"/>
      <c r="I205" s="496" t="s">
        <v>709</v>
      </c>
      <c r="J205" s="498" t="s">
        <v>1015</v>
      </c>
      <c r="K205" s="499" t="s">
        <v>1016</v>
      </c>
      <c r="L205" s="500">
        <v>22772.799915878742</v>
      </c>
      <c r="M205" s="501">
        <v>22772.799915878742</v>
      </c>
      <c r="N205" s="501">
        <v>24716.692189755053</v>
      </c>
      <c r="O205" s="501">
        <v>24716.692189755053</v>
      </c>
      <c r="P205" s="502">
        <v>24716.692189755053</v>
      </c>
      <c r="Q205" s="503"/>
      <c r="R205" s="503"/>
      <c r="S205" s="500">
        <v>22772.799915878742</v>
      </c>
      <c r="T205" s="501">
        <v>22772.799915878742</v>
      </c>
      <c r="U205" s="501">
        <v>24716.692189755053</v>
      </c>
      <c r="V205" s="501">
        <v>24716.692189755053</v>
      </c>
      <c r="W205" s="502">
        <v>24716.692189755053</v>
      </c>
      <c r="X205" s="503"/>
      <c r="Y205" s="503"/>
      <c r="Z205" s="504">
        <v>0</v>
      </c>
      <c r="AA205" s="505">
        <v>0</v>
      </c>
      <c r="AB205" s="505">
        <v>0</v>
      </c>
      <c r="AC205" s="505">
        <v>0</v>
      </c>
      <c r="AD205" s="506">
        <v>0</v>
      </c>
      <c r="AE205" s="507"/>
      <c r="AF205" s="507"/>
      <c r="AG205" s="505" t="s">
        <v>2054</v>
      </c>
      <c r="AH205" s="501" t="s">
        <v>722</v>
      </c>
      <c r="AI205" s="505"/>
    </row>
    <row r="206" spans="2:35" x14ac:dyDescent="0.2">
      <c r="B206" s="352">
        <v>195</v>
      </c>
      <c r="C206" s="498" t="s">
        <v>757</v>
      </c>
      <c r="D206" s="496" t="s">
        <v>2000</v>
      </c>
      <c r="E206" s="497" t="s">
        <v>706</v>
      </c>
      <c r="F206" s="496" t="s">
        <v>707</v>
      </c>
      <c r="G206" s="496" t="b">
        <v>0</v>
      </c>
      <c r="H206" s="496"/>
      <c r="I206" s="496" t="s">
        <v>1908</v>
      </c>
      <c r="J206" s="498" t="s">
        <v>1846</v>
      </c>
      <c r="K206" s="499" t="s">
        <v>1895</v>
      </c>
      <c r="L206" s="500">
        <v>76.806376884994691</v>
      </c>
      <c r="M206" s="501">
        <v>76.806376884994691</v>
      </c>
      <c r="N206" s="501">
        <v>76.806376884994691</v>
      </c>
      <c r="O206" s="501">
        <v>76.806376884994691</v>
      </c>
      <c r="P206" s="502">
        <v>76.806376884994691</v>
      </c>
      <c r="Q206" s="503"/>
      <c r="R206" s="503"/>
      <c r="S206" s="500">
        <v>76.806376884994691</v>
      </c>
      <c r="T206" s="501">
        <v>76.806376884994691</v>
      </c>
      <c r="U206" s="501">
        <v>76.806376884994691</v>
      </c>
      <c r="V206" s="501">
        <v>76.806376884994691</v>
      </c>
      <c r="W206" s="502">
        <v>76.806376884994691</v>
      </c>
      <c r="X206" s="503"/>
      <c r="Y206" s="503"/>
      <c r="Z206" s="504">
        <v>0</v>
      </c>
      <c r="AA206" s="505">
        <v>0</v>
      </c>
      <c r="AB206" s="505">
        <v>0</v>
      </c>
      <c r="AC206" s="505">
        <v>0</v>
      </c>
      <c r="AD206" s="506">
        <v>0</v>
      </c>
      <c r="AE206" s="507"/>
      <c r="AF206" s="507"/>
      <c r="AG206" s="505">
        <v>0.2</v>
      </c>
      <c r="AH206" s="501" t="s">
        <v>722</v>
      </c>
      <c r="AI206" s="505"/>
    </row>
    <row r="207" spans="2:35" x14ac:dyDescent="0.2">
      <c r="B207" s="352">
        <v>196</v>
      </c>
      <c r="C207" s="498" t="s">
        <v>757</v>
      </c>
      <c r="D207" s="496" t="s">
        <v>2000</v>
      </c>
      <c r="E207" s="509" t="s">
        <v>759</v>
      </c>
      <c r="F207" s="496" t="s">
        <v>1157</v>
      </c>
      <c r="G207" s="496" t="b">
        <v>0</v>
      </c>
      <c r="H207" s="496"/>
      <c r="I207" s="496" t="s">
        <v>1908</v>
      </c>
      <c r="J207" s="498" t="s">
        <v>1846</v>
      </c>
      <c r="K207" s="499" t="s">
        <v>1895</v>
      </c>
      <c r="L207" s="500">
        <v>50.488581697840075</v>
      </c>
      <c r="M207" s="501">
        <v>50.488581697840075</v>
      </c>
      <c r="N207" s="501">
        <v>50.488581697840075</v>
      </c>
      <c r="O207" s="501">
        <v>50.488581697840075</v>
      </c>
      <c r="P207" s="502">
        <v>50.488581697840075</v>
      </c>
      <c r="Q207" s="503"/>
      <c r="R207" s="503"/>
      <c r="S207" s="500">
        <v>50.488581697840075</v>
      </c>
      <c r="T207" s="501">
        <v>50.488581697840075</v>
      </c>
      <c r="U207" s="501">
        <v>50.488581697840075</v>
      </c>
      <c r="V207" s="501">
        <v>50.488581697840075</v>
      </c>
      <c r="W207" s="502">
        <v>50.488581697840075</v>
      </c>
      <c r="X207" s="503"/>
      <c r="Y207" s="503"/>
      <c r="Z207" s="504">
        <v>0</v>
      </c>
      <c r="AA207" s="505">
        <v>0</v>
      </c>
      <c r="AB207" s="505">
        <v>0</v>
      </c>
      <c r="AC207" s="505">
        <v>0</v>
      </c>
      <c r="AD207" s="506">
        <v>0</v>
      </c>
      <c r="AE207" s="507"/>
      <c r="AF207" s="507"/>
      <c r="AG207" s="505">
        <v>0.2</v>
      </c>
      <c r="AH207" s="501" t="s">
        <v>722</v>
      </c>
      <c r="AI207" s="505"/>
    </row>
    <row r="208" spans="2:35" x14ac:dyDescent="0.2">
      <c r="B208" s="352">
        <v>197</v>
      </c>
      <c r="C208" s="496" t="s">
        <v>727</v>
      </c>
      <c r="D208" s="496" t="s">
        <v>1995</v>
      </c>
      <c r="E208" s="497" t="s">
        <v>757</v>
      </c>
      <c r="F208" s="496" t="s">
        <v>1158</v>
      </c>
      <c r="G208" s="496" t="b">
        <v>1</v>
      </c>
      <c r="H208" s="496"/>
      <c r="I208" s="496" t="s">
        <v>762</v>
      </c>
      <c r="J208" s="498" t="s">
        <v>969</v>
      </c>
      <c r="K208" s="499" t="s">
        <v>970</v>
      </c>
      <c r="L208" s="500">
        <v>0</v>
      </c>
      <c r="M208" s="501">
        <v>0</v>
      </c>
      <c r="N208" s="501">
        <v>0</v>
      </c>
      <c r="O208" s="501">
        <v>0</v>
      </c>
      <c r="P208" s="502">
        <v>0</v>
      </c>
      <c r="Q208" s="503"/>
      <c r="R208" s="503"/>
      <c r="S208" s="500">
        <v>0</v>
      </c>
      <c r="T208" s="501">
        <v>0</v>
      </c>
      <c r="U208" s="501">
        <v>0</v>
      </c>
      <c r="V208" s="501">
        <v>0</v>
      </c>
      <c r="W208" s="502">
        <v>0</v>
      </c>
      <c r="X208" s="503"/>
      <c r="Y208" s="503"/>
      <c r="Z208" s="504" t="s">
        <v>2054</v>
      </c>
      <c r="AA208" s="505" t="s">
        <v>2054</v>
      </c>
      <c r="AB208" s="505" t="s">
        <v>2054</v>
      </c>
      <c r="AC208" s="505" t="s">
        <v>2054</v>
      </c>
      <c r="AD208" s="506" t="s">
        <v>2054</v>
      </c>
      <c r="AE208" s="507"/>
      <c r="AF208" s="507"/>
      <c r="AG208" s="505">
        <v>0.05</v>
      </c>
      <c r="AH208" s="501" t="s">
        <v>722</v>
      </c>
      <c r="AI208" s="505"/>
    </row>
    <row r="209" spans="2:35" x14ac:dyDescent="0.2">
      <c r="B209" s="352">
        <v>198</v>
      </c>
      <c r="C209" s="496" t="s">
        <v>727</v>
      </c>
      <c r="D209" s="496" t="s">
        <v>1995</v>
      </c>
      <c r="E209" s="497" t="s">
        <v>757</v>
      </c>
      <c r="F209" s="496" t="s">
        <v>1158</v>
      </c>
      <c r="G209" s="496" t="b">
        <v>1</v>
      </c>
      <c r="H209" s="496"/>
      <c r="I209" s="496" t="s">
        <v>762</v>
      </c>
      <c r="J209" s="498" t="s">
        <v>971</v>
      </c>
      <c r="K209" s="499" t="s">
        <v>972</v>
      </c>
      <c r="L209" s="500">
        <v>0</v>
      </c>
      <c r="M209" s="501">
        <v>0</v>
      </c>
      <c r="N209" s="501">
        <v>0</v>
      </c>
      <c r="O209" s="501">
        <v>0</v>
      </c>
      <c r="P209" s="502">
        <v>0</v>
      </c>
      <c r="Q209" s="503"/>
      <c r="R209" s="503"/>
      <c r="S209" s="500">
        <v>0</v>
      </c>
      <c r="T209" s="501">
        <v>0</v>
      </c>
      <c r="U209" s="501">
        <v>0</v>
      </c>
      <c r="V209" s="501">
        <v>0</v>
      </c>
      <c r="W209" s="502">
        <v>0</v>
      </c>
      <c r="X209" s="503"/>
      <c r="Y209" s="503"/>
      <c r="Z209" s="504" t="s">
        <v>2054</v>
      </c>
      <c r="AA209" s="505" t="s">
        <v>2054</v>
      </c>
      <c r="AB209" s="505" t="s">
        <v>2054</v>
      </c>
      <c r="AC209" s="505" t="s">
        <v>2054</v>
      </c>
      <c r="AD209" s="506" t="s">
        <v>2054</v>
      </c>
      <c r="AE209" s="507"/>
      <c r="AF209" s="507"/>
      <c r="AG209" s="505">
        <v>0.11</v>
      </c>
      <c r="AH209" s="501" t="s">
        <v>722</v>
      </c>
      <c r="AI209" s="505"/>
    </row>
    <row r="210" spans="2:35" x14ac:dyDescent="0.2">
      <c r="B210" s="352">
        <v>199</v>
      </c>
      <c r="C210" s="496" t="s">
        <v>727</v>
      </c>
      <c r="D210" s="496" t="s">
        <v>1995</v>
      </c>
      <c r="E210" s="497" t="s">
        <v>757</v>
      </c>
      <c r="F210" s="496" t="s">
        <v>1158</v>
      </c>
      <c r="G210" s="496" t="b">
        <v>1</v>
      </c>
      <c r="H210" s="496"/>
      <c r="I210" s="496" t="s">
        <v>762</v>
      </c>
      <c r="J210" s="498" t="s">
        <v>973</v>
      </c>
      <c r="K210" s="499" t="s">
        <v>974</v>
      </c>
      <c r="L210" s="500">
        <v>0</v>
      </c>
      <c r="M210" s="501">
        <v>0</v>
      </c>
      <c r="N210" s="501">
        <v>0</v>
      </c>
      <c r="O210" s="501">
        <v>0</v>
      </c>
      <c r="P210" s="502">
        <v>0</v>
      </c>
      <c r="Q210" s="503"/>
      <c r="R210" s="503"/>
      <c r="S210" s="500">
        <v>0</v>
      </c>
      <c r="T210" s="501">
        <v>0</v>
      </c>
      <c r="U210" s="501">
        <v>0</v>
      </c>
      <c r="V210" s="501">
        <v>0</v>
      </c>
      <c r="W210" s="502">
        <v>0</v>
      </c>
      <c r="X210" s="503"/>
      <c r="Y210" s="503"/>
      <c r="Z210" s="504" t="s">
        <v>2054</v>
      </c>
      <c r="AA210" s="505" t="s">
        <v>2054</v>
      </c>
      <c r="AB210" s="505" t="s">
        <v>2054</v>
      </c>
      <c r="AC210" s="505" t="s">
        <v>2054</v>
      </c>
      <c r="AD210" s="506" t="s">
        <v>2054</v>
      </c>
      <c r="AE210" s="507"/>
      <c r="AF210" s="507"/>
      <c r="AG210" s="505">
        <v>0.05</v>
      </c>
      <c r="AH210" s="501" t="s">
        <v>722</v>
      </c>
      <c r="AI210" s="505"/>
    </row>
    <row r="211" spans="2:35" x14ac:dyDescent="0.2">
      <c r="B211" s="352">
        <v>200</v>
      </c>
      <c r="C211" s="496" t="s">
        <v>727</v>
      </c>
      <c r="D211" s="496" t="s">
        <v>1995</v>
      </c>
      <c r="E211" s="497" t="s">
        <v>757</v>
      </c>
      <c r="F211" s="496" t="s">
        <v>1158</v>
      </c>
      <c r="G211" s="496" t="b">
        <v>1</v>
      </c>
      <c r="H211" s="496"/>
      <c r="I211" s="496" t="s">
        <v>762</v>
      </c>
      <c r="J211" s="498" t="s">
        <v>975</v>
      </c>
      <c r="K211" s="499" t="s">
        <v>976</v>
      </c>
      <c r="L211" s="500">
        <v>0</v>
      </c>
      <c r="M211" s="501">
        <v>0</v>
      </c>
      <c r="N211" s="501">
        <v>0</v>
      </c>
      <c r="O211" s="501">
        <v>0</v>
      </c>
      <c r="P211" s="502">
        <v>0</v>
      </c>
      <c r="Q211" s="503"/>
      <c r="R211" s="503"/>
      <c r="S211" s="500">
        <v>0</v>
      </c>
      <c r="T211" s="501">
        <v>0</v>
      </c>
      <c r="U211" s="501">
        <v>0</v>
      </c>
      <c r="V211" s="501">
        <v>0</v>
      </c>
      <c r="W211" s="502">
        <v>0</v>
      </c>
      <c r="X211" s="503"/>
      <c r="Y211" s="503"/>
      <c r="Z211" s="504" t="s">
        <v>2054</v>
      </c>
      <c r="AA211" s="505" t="s">
        <v>2054</v>
      </c>
      <c r="AB211" s="505" t="s">
        <v>2054</v>
      </c>
      <c r="AC211" s="505" t="s">
        <v>2054</v>
      </c>
      <c r="AD211" s="506" t="s">
        <v>2054</v>
      </c>
      <c r="AE211" s="507"/>
      <c r="AF211" s="507"/>
      <c r="AG211" s="505" t="s">
        <v>2054</v>
      </c>
      <c r="AH211" s="501" t="s">
        <v>722</v>
      </c>
      <c r="AI211" s="505"/>
    </row>
    <row r="212" spans="2:35" x14ac:dyDescent="0.2">
      <c r="B212" s="352">
        <v>201</v>
      </c>
      <c r="C212" s="496" t="s">
        <v>727</v>
      </c>
      <c r="D212" s="496" t="s">
        <v>1995</v>
      </c>
      <c r="E212" s="497" t="s">
        <v>757</v>
      </c>
      <c r="F212" s="496" t="s">
        <v>1158</v>
      </c>
      <c r="G212" s="496" t="b">
        <v>1</v>
      </c>
      <c r="H212" s="496"/>
      <c r="I212" s="496" t="s">
        <v>762</v>
      </c>
      <c r="J212" s="498" t="s">
        <v>977</v>
      </c>
      <c r="K212" s="499" t="s">
        <v>864</v>
      </c>
      <c r="L212" s="500">
        <v>0</v>
      </c>
      <c r="M212" s="501">
        <v>0</v>
      </c>
      <c r="N212" s="501">
        <v>363.60761738619794</v>
      </c>
      <c r="O212" s="501">
        <v>419.00213248687459</v>
      </c>
      <c r="P212" s="502">
        <v>0</v>
      </c>
      <c r="Q212" s="503"/>
      <c r="R212" s="503"/>
      <c r="S212" s="500">
        <v>0</v>
      </c>
      <c r="T212" s="501">
        <v>0</v>
      </c>
      <c r="U212" s="501">
        <v>347.3848086074596</v>
      </c>
      <c r="V212" s="501">
        <v>400.21973514930801</v>
      </c>
      <c r="W212" s="502">
        <v>0</v>
      </c>
      <c r="X212" s="503"/>
      <c r="Y212" s="503"/>
      <c r="Z212" s="504" t="s">
        <v>2054</v>
      </c>
      <c r="AA212" s="505" t="s">
        <v>2054</v>
      </c>
      <c r="AB212" s="505">
        <v>4.4616251153802522E-2</v>
      </c>
      <c r="AC212" s="505">
        <v>4.4826495813013456E-2</v>
      </c>
      <c r="AD212" s="506" t="s">
        <v>2054</v>
      </c>
      <c r="AE212" s="507"/>
      <c r="AF212" s="507"/>
      <c r="AG212" s="505">
        <v>0.05</v>
      </c>
      <c r="AH212" s="501">
        <v>0</v>
      </c>
      <c r="AI212" s="505"/>
    </row>
    <row r="213" spans="2:35" x14ac:dyDescent="0.2">
      <c r="B213" s="352">
        <v>202</v>
      </c>
      <c r="C213" s="496" t="s">
        <v>727</v>
      </c>
      <c r="D213" s="496" t="s">
        <v>1995</v>
      </c>
      <c r="E213" s="497" t="s">
        <v>757</v>
      </c>
      <c r="F213" s="496" t="s">
        <v>1158</v>
      </c>
      <c r="G213" s="496" t="b">
        <v>1</v>
      </c>
      <c r="H213" s="496"/>
      <c r="I213" s="496" t="s">
        <v>762</v>
      </c>
      <c r="J213" s="498" t="s">
        <v>978</v>
      </c>
      <c r="K213" s="499" t="s">
        <v>1892</v>
      </c>
      <c r="L213" s="500">
        <v>0</v>
      </c>
      <c r="M213" s="501">
        <v>0</v>
      </c>
      <c r="N213" s="501">
        <v>0</v>
      </c>
      <c r="O213" s="501">
        <v>0</v>
      </c>
      <c r="P213" s="502">
        <v>0</v>
      </c>
      <c r="Q213" s="503"/>
      <c r="R213" s="503"/>
      <c r="S213" s="500">
        <v>0</v>
      </c>
      <c r="T213" s="501">
        <v>0</v>
      </c>
      <c r="U213" s="501">
        <v>0</v>
      </c>
      <c r="V213" s="501">
        <v>0</v>
      </c>
      <c r="W213" s="502">
        <v>0</v>
      </c>
      <c r="X213" s="503"/>
      <c r="Y213" s="503"/>
      <c r="Z213" s="504" t="s">
        <v>2054</v>
      </c>
      <c r="AA213" s="505" t="s">
        <v>2054</v>
      </c>
      <c r="AB213" s="505" t="s">
        <v>2054</v>
      </c>
      <c r="AC213" s="505" t="s">
        <v>2054</v>
      </c>
      <c r="AD213" s="506" t="s">
        <v>2054</v>
      </c>
      <c r="AE213" s="507"/>
      <c r="AF213" s="507"/>
      <c r="AG213" s="505" t="s">
        <v>2054</v>
      </c>
      <c r="AH213" s="501" t="s">
        <v>722</v>
      </c>
      <c r="AI213" s="505"/>
    </row>
    <row r="214" spans="2:35" x14ac:dyDescent="0.2">
      <c r="B214" s="352">
        <v>203</v>
      </c>
      <c r="C214" s="496" t="s">
        <v>727</v>
      </c>
      <c r="D214" s="496" t="s">
        <v>1995</v>
      </c>
      <c r="E214" s="497" t="s">
        <v>757</v>
      </c>
      <c r="F214" s="496" t="s">
        <v>1158</v>
      </c>
      <c r="G214" s="496" t="b">
        <v>1</v>
      </c>
      <c r="H214" s="496"/>
      <c r="I214" s="496" t="s">
        <v>762</v>
      </c>
      <c r="J214" s="498" t="s">
        <v>979</v>
      </c>
      <c r="K214" s="499" t="s">
        <v>980</v>
      </c>
      <c r="L214" s="500">
        <v>0</v>
      </c>
      <c r="M214" s="501">
        <v>0</v>
      </c>
      <c r="N214" s="501">
        <v>1117.2642140912565</v>
      </c>
      <c r="O214" s="501">
        <v>1117.511505274789</v>
      </c>
      <c r="P214" s="502">
        <v>0</v>
      </c>
      <c r="Q214" s="503"/>
      <c r="R214" s="503"/>
      <c r="S214" s="500">
        <v>0</v>
      </c>
      <c r="T214" s="501">
        <v>0</v>
      </c>
      <c r="U214" s="501">
        <v>1067.2987122937022</v>
      </c>
      <c r="V214" s="501">
        <v>1067.2987122937022</v>
      </c>
      <c r="W214" s="502">
        <v>0</v>
      </c>
      <c r="X214" s="503"/>
      <c r="Y214" s="503"/>
      <c r="Z214" s="504" t="s">
        <v>2054</v>
      </c>
      <c r="AA214" s="505" t="s">
        <v>2054</v>
      </c>
      <c r="AB214" s="505">
        <v>4.4721294361150243E-2</v>
      </c>
      <c r="AC214" s="505">
        <v>4.4932685474893375E-2</v>
      </c>
      <c r="AD214" s="506" t="s">
        <v>2054</v>
      </c>
      <c r="AE214" s="507"/>
      <c r="AF214" s="507"/>
      <c r="AG214" s="505">
        <v>0.05</v>
      </c>
      <c r="AH214" s="501">
        <v>0</v>
      </c>
      <c r="AI214" s="505"/>
    </row>
    <row r="215" spans="2:35" x14ac:dyDescent="0.2">
      <c r="B215" s="352">
        <v>204</v>
      </c>
      <c r="C215" s="496" t="s">
        <v>727</v>
      </c>
      <c r="D215" s="496" t="s">
        <v>1995</v>
      </c>
      <c r="E215" s="497" t="s">
        <v>757</v>
      </c>
      <c r="F215" s="496" t="s">
        <v>1158</v>
      </c>
      <c r="G215" s="496" t="b">
        <v>1</v>
      </c>
      <c r="H215" s="496"/>
      <c r="I215" s="496" t="s">
        <v>762</v>
      </c>
      <c r="J215" s="498" t="s">
        <v>981</v>
      </c>
      <c r="K215" s="499" t="s">
        <v>3674</v>
      </c>
      <c r="L215" s="500">
        <v>0</v>
      </c>
      <c r="M215" s="501">
        <v>0</v>
      </c>
      <c r="N215" s="501">
        <v>0</v>
      </c>
      <c r="O215" s="501">
        <v>0</v>
      </c>
      <c r="P215" s="502">
        <v>0</v>
      </c>
      <c r="Q215" s="503"/>
      <c r="R215" s="503"/>
      <c r="S215" s="500">
        <v>0</v>
      </c>
      <c r="T215" s="501">
        <v>0</v>
      </c>
      <c r="U215" s="501">
        <v>0</v>
      </c>
      <c r="V215" s="501">
        <v>0</v>
      </c>
      <c r="W215" s="502">
        <v>0</v>
      </c>
      <c r="X215" s="503"/>
      <c r="Y215" s="503"/>
      <c r="Z215" s="504" t="s">
        <v>2054</v>
      </c>
      <c r="AA215" s="505" t="s">
        <v>2054</v>
      </c>
      <c r="AB215" s="505" t="s">
        <v>2054</v>
      </c>
      <c r="AC215" s="505" t="s">
        <v>2054</v>
      </c>
      <c r="AD215" s="506" t="s">
        <v>2054</v>
      </c>
      <c r="AE215" s="507"/>
      <c r="AF215" s="507"/>
      <c r="AG215" s="505">
        <v>0.05</v>
      </c>
      <c r="AH215" s="501" t="s">
        <v>722</v>
      </c>
      <c r="AI215" s="505"/>
    </row>
    <row r="216" spans="2:35" x14ac:dyDescent="0.2">
      <c r="B216" s="352">
        <v>205</v>
      </c>
      <c r="C216" s="496" t="s">
        <v>727</v>
      </c>
      <c r="D216" s="496" t="s">
        <v>1995</v>
      </c>
      <c r="E216" s="497" t="s">
        <v>757</v>
      </c>
      <c r="F216" s="496" t="s">
        <v>1158</v>
      </c>
      <c r="G216" s="496" t="b">
        <v>1</v>
      </c>
      <c r="H216" s="496"/>
      <c r="I216" s="496" t="s">
        <v>1903</v>
      </c>
      <c r="J216" s="498" t="s">
        <v>982</v>
      </c>
      <c r="K216" s="499" t="s">
        <v>983</v>
      </c>
      <c r="L216" s="500">
        <v>0</v>
      </c>
      <c r="M216" s="501">
        <v>0</v>
      </c>
      <c r="N216" s="501">
        <v>4474.2616910268334</v>
      </c>
      <c r="O216" s="501">
        <v>4520.4279762957931</v>
      </c>
      <c r="P216" s="502">
        <v>0</v>
      </c>
      <c r="Q216" s="503"/>
      <c r="R216" s="503"/>
      <c r="S216" s="500">
        <v>0</v>
      </c>
      <c r="T216" s="501">
        <v>0</v>
      </c>
      <c r="U216" s="501">
        <v>4350.3713204602454</v>
      </c>
      <c r="V216" s="501">
        <v>4380.570929489978</v>
      </c>
      <c r="W216" s="502">
        <v>0</v>
      </c>
      <c r="X216" s="503"/>
      <c r="Y216" s="503"/>
      <c r="Z216" s="504" t="s">
        <v>2054</v>
      </c>
      <c r="AA216" s="505" t="s">
        <v>2054</v>
      </c>
      <c r="AB216" s="505">
        <v>2.7689567379362567E-2</v>
      </c>
      <c r="AC216" s="505">
        <v>3.0938895064625993E-2</v>
      </c>
      <c r="AD216" s="506" t="s">
        <v>2054</v>
      </c>
      <c r="AE216" s="507"/>
      <c r="AF216" s="507"/>
      <c r="AG216" s="505">
        <v>0.06</v>
      </c>
      <c r="AH216" s="501">
        <v>0</v>
      </c>
      <c r="AI216" s="505"/>
    </row>
    <row r="217" spans="2:35" x14ac:dyDescent="0.2">
      <c r="B217" s="352">
        <v>206</v>
      </c>
      <c r="C217" s="496" t="s">
        <v>727</v>
      </c>
      <c r="D217" s="496" t="s">
        <v>1995</v>
      </c>
      <c r="E217" s="497" t="s">
        <v>757</v>
      </c>
      <c r="F217" s="496" t="s">
        <v>1158</v>
      </c>
      <c r="G217" s="496" t="b">
        <v>1</v>
      </c>
      <c r="H217" s="496"/>
      <c r="I217" s="496" t="s">
        <v>1903</v>
      </c>
      <c r="J217" s="498" t="s">
        <v>984</v>
      </c>
      <c r="K217" s="499" t="s">
        <v>985</v>
      </c>
      <c r="L217" s="500">
        <v>0</v>
      </c>
      <c r="M217" s="501">
        <v>0</v>
      </c>
      <c r="N217" s="501">
        <v>1741.9832618694188</v>
      </c>
      <c r="O217" s="501">
        <v>1748.5167785183635</v>
      </c>
      <c r="P217" s="502">
        <v>0</v>
      </c>
      <c r="Q217" s="503"/>
      <c r="R217" s="503"/>
      <c r="S217" s="500">
        <v>0</v>
      </c>
      <c r="T217" s="501">
        <v>0</v>
      </c>
      <c r="U217" s="501">
        <v>1693.7484989661641</v>
      </c>
      <c r="V217" s="501">
        <v>1694.4196013890469</v>
      </c>
      <c r="W217" s="502">
        <v>0</v>
      </c>
      <c r="X217" s="503"/>
      <c r="Y217" s="503"/>
      <c r="Z217" s="504" t="s">
        <v>2054</v>
      </c>
      <c r="AA217" s="505" t="s">
        <v>2054</v>
      </c>
      <c r="AB217" s="505">
        <v>2.7689567379362345E-2</v>
      </c>
      <c r="AC217" s="505">
        <v>3.0938895064625438E-2</v>
      </c>
      <c r="AD217" s="506" t="s">
        <v>2054</v>
      </c>
      <c r="AE217" s="507"/>
      <c r="AF217" s="507"/>
      <c r="AG217" s="505">
        <v>0.05</v>
      </c>
      <c r="AH217" s="501">
        <v>0</v>
      </c>
      <c r="AI217" s="505"/>
    </row>
    <row r="218" spans="2:35" x14ac:dyDescent="0.2">
      <c r="B218" s="352">
        <v>207</v>
      </c>
      <c r="C218" s="496" t="s">
        <v>727</v>
      </c>
      <c r="D218" s="496" t="s">
        <v>1995</v>
      </c>
      <c r="E218" s="497" t="s">
        <v>757</v>
      </c>
      <c r="F218" s="496" t="s">
        <v>1158</v>
      </c>
      <c r="G218" s="496" t="b">
        <v>1</v>
      </c>
      <c r="H218" s="496"/>
      <c r="I218" s="496" t="s">
        <v>1903</v>
      </c>
      <c r="J218" s="498" t="s">
        <v>986</v>
      </c>
      <c r="K218" s="499" t="s">
        <v>987</v>
      </c>
      <c r="L218" s="500">
        <v>0</v>
      </c>
      <c r="M218" s="501">
        <v>0</v>
      </c>
      <c r="N218" s="501">
        <v>1390.458770008687</v>
      </c>
      <c r="O218" s="501">
        <v>1381.3527162667228</v>
      </c>
      <c r="P218" s="502">
        <v>0</v>
      </c>
      <c r="Q218" s="503"/>
      <c r="R218" s="503"/>
      <c r="S218" s="500">
        <v>0</v>
      </c>
      <c r="T218" s="501">
        <v>0</v>
      </c>
      <c r="U218" s="501">
        <v>1329.7383745034615</v>
      </c>
      <c r="V218" s="501">
        <v>1320.5682157616689</v>
      </c>
      <c r="W218" s="502">
        <v>0</v>
      </c>
      <c r="X218" s="503"/>
      <c r="Y218" s="503"/>
      <c r="Z218" s="504" t="s">
        <v>2054</v>
      </c>
      <c r="AA218" s="505" t="s">
        <v>2054</v>
      </c>
      <c r="AB218" s="505">
        <v>4.3669324696945955E-2</v>
      </c>
      <c r="AC218" s="505">
        <v>4.4003605877962593E-2</v>
      </c>
      <c r="AD218" s="506" t="s">
        <v>2054</v>
      </c>
      <c r="AE218" s="507"/>
      <c r="AF218" s="507"/>
      <c r="AG218" s="505">
        <v>0.05</v>
      </c>
      <c r="AH218" s="501">
        <v>0</v>
      </c>
      <c r="AI218" s="505"/>
    </row>
    <row r="219" spans="2:35" x14ac:dyDescent="0.2">
      <c r="B219" s="352">
        <v>208</v>
      </c>
      <c r="C219" s="496" t="s">
        <v>727</v>
      </c>
      <c r="D219" s="496" t="s">
        <v>1995</v>
      </c>
      <c r="E219" s="497" t="s">
        <v>757</v>
      </c>
      <c r="F219" s="496" t="s">
        <v>1158</v>
      </c>
      <c r="G219" s="496" t="b">
        <v>1</v>
      </c>
      <c r="H219" s="496"/>
      <c r="I219" s="496" t="s">
        <v>1903</v>
      </c>
      <c r="J219" s="498" t="s">
        <v>988</v>
      </c>
      <c r="K219" s="499" t="s">
        <v>989</v>
      </c>
      <c r="L219" s="500">
        <v>0</v>
      </c>
      <c r="M219" s="501">
        <v>0</v>
      </c>
      <c r="N219" s="501">
        <v>1911.8808087619443</v>
      </c>
      <c r="O219" s="501">
        <v>1899.3599848667441</v>
      </c>
      <c r="P219" s="502">
        <v>0</v>
      </c>
      <c r="Q219" s="503"/>
      <c r="R219" s="503"/>
      <c r="S219" s="500">
        <v>0</v>
      </c>
      <c r="T219" s="501">
        <v>0</v>
      </c>
      <c r="U219" s="501">
        <v>1828.3902649422596</v>
      </c>
      <c r="V219" s="501">
        <v>1815.7812966722947</v>
      </c>
      <c r="W219" s="502">
        <v>0</v>
      </c>
      <c r="X219" s="503"/>
      <c r="Y219" s="503"/>
      <c r="Z219" s="504" t="s">
        <v>2054</v>
      </c>
      <c r="AA219" s="505" t="s">
        <v>2054</v>
      </c>
      <c r="AB219" s="505">
        <v>4.3669324696945844E-2</v>
      </c>
      <c r="AC219" s="505">
        <v>4.4003605877962704E-2</v>
      </c>
      <c r="AD219" s="506" t="s">
        <v>2054</v>
      </c>
      <c r="AE219" s="507"/>
      <c r="AF219" s="507"/>
      <c r="AG219" s="505">
        <v>0.05</v>
      </c>
      <c r="AH219" s="501">
        <v>0</v>
      </c>
      <c r="AI219" s="505"/>
    </row>
    <row r="220" spans="2:35" x14ac:dyDescent="0.2">
      <c r="B220" s="352">
        <v>209</v>
      </c>
      <c r="C220" s="496" t="s">
        <v>727</v>
      </c>
      <c r="D220" s="496" t="s">
        <v>1995</v>
      </c>
      <c r="E220" s="497" t="s">
        <v>757</v>
      </c>
      <c r="F220" s="496" t="s">
        <v>1158</v>
      </c>
      <c r="G220" s="496" t="b">
        <v>1</v>
      </c>
      <c r="H220" s="496"/>
      <c r="I220" s="496" t="s">
        <v>1903</v>
      </c>
      <c r="J220" s="498" t="s">
        <v>990</v>
      </c>
      <c r="K220" s="499" t="s">
        <v>991</v>
      </c>
      <c r="L220" s="500">
        <v>0</v>
      </c>
      <c r="M220" s="501">
        <v>0</v>
      </c>
      <c r="N220" s="501">
        <v>951.14774460892829</v>
      </c>
      <c r="O220" s="501">
        <v>1329.7590264755124</v>
      </c>
      <c r="P220" s="502">
        <v>0</v>
      </c>
      <c r="Q220" s="503"/>
      <c r="R220" s="503"/>
      <c r="S220" s="500">
        <v>0</v>
      </c>
      <c r="T220" s="501">
        <v>0</v>
      </c>
      <c r="U220" s="501">
        <v>906.17841845488999</v>
      </c>
      <c r="V220" s="501">
        <v>1267.790032079098</v>
      </c>
      <c r="W220" s="502">
        <v>0</v>
      </c>
      <c r="X220" s="503"/>
      <c r="Y220" s="503"/>
      <c r="Z220" s="504" t="s">
        <v>2054</v>
      </c>
      <c r="AA220" s="505" t="s">
        <v>2054</v>
      </c>
      <c r="AB220" s="505">
        <v>4.7279012549756749E-2</v>
      </c>
      <c r="AC220" s="505">
        <v>4.6601672304990127E-2</v>
      </c>
      <c r="AD220" s="506" t="s">
        <v>2054</v>
      </c>
      <c r="AE220" s="507"/>
      <c r="AF220" s="507"/>
      <c r="AG220" s="505">
        <v>0.1</v>
      </c>
      <c r="AH220" s="501">
        <v>0</v>
      </c>
      <c r="AI220" s="505"/>
    </row>
    <row r="221" spans="2:35" x14ac:dyDescent="0.2">
      <c r="B221" s="352">
        <v>210</v>
      </c>
      <c r="C221" s="496" t="s">
        <v>727</v>
      </c>
      <c r="D221" s="496" t="s">
        <v>1995</v>
      </c>
      <c r="E221" s="497" t="s">
        <v>757</v>
      </c>
      <c r="F221" s="496" t="s">
        <v>1158</v>
      </c>
      <c r="G221" s="496" t="b">
        <v>1</v>
      </c>
      <c r="H221" s="496"/>
      <c r="I221" s="496" t="s">
        <v>1903</v>
      </c>
      <c r="J221" s="498" t="s">
        <v>992</v>
      </c>
      <c r="K221" s="499" t="s">
        <v>993</v>
      </c>
      <c r="L221" s="500">
        <v>0</v>
      </c>
      <c r="M221" s="501">
        <v>0</v>
      </c>
      <c r="N221" s="501">
        <v>0</v>
      </c>
      <c r="O221" s="501">
        <v>0</v>
      </c>
      <c r="P221" s="502">
        <v>0</v>
      </c>
      <c r="Q221" s="503"/>
      <c r="R221" s="503"/>
      <c r="S221" s="500">
        <v>0</v>
      </c>
      <c r="T221" s="501">
        <v>0</v>
      </c>
      <c r="U221" s="501">
        <v>0</v>
      </c>
      <c r="V221" s="501">
        <v>0</v>
      </c>
      <c r="W221" s="502">
        <v>0</v>
      </c>
      <c r="X221" s="503"/>
      <c r="Y221" s="503"/>
      <c r="Z221" s="504" t="s">
        <v>2054</v>
      </c>
      <c r="AA221" s="505" t="s">
        <v>2054</v>
      </c>
      <c r="AB221" s="505" t="s">
        <v>2054</v>
      </c>
      <c r="AC221" s="505" t="s">
        <v>2054</v>
      </c>
      <c r="AD221" s="506" t="s">
        <v>2054</v>
      </c>
      <c r="AE221" s="507"/>
      <c r="AF221" s="507"/>
      <c r="AG221" s="505">
        <v>0.15</v>
      </c>
      <c r="AH221" s="501" t="s">
        <v>722</v>
      </c>
      <c r="AI221" s="505"/>
    </row>
    <row r="222" spans="2:35" x14ac:dyDescent="0.2">
      <c r="B222" s="352">
        <v>211</v>
      </c>
      <c r="C222" s="496" t="s">
        <v>727</v>
      </c>
      <c r="D222" s="496" t="s">
        <v>1995</v>
      </c>
      <c r="E222" s="497" t="s">
        <v>757</v>
      </c>
      <c r="F222" s="496" t="s">
        <v>1158</v>
      </c>
      <c r="G222" s="496" t="b">
        <v>1</v>
      </c>
      <c r="H222" s="496"/>
      <c r="I222" s="496" t="s">
        <v>1904</v>
      </c>
      <c r="J222" s="498" t="s">
        <v>994</v>
      </c>
      <c r="K222" s="499" t="s">
        <v>995</v>
      </c>
      <c r="L222" s="500">
        <v>0</v>
      </c>
      <c r="M222" s="501">
        <v>0</v>
      </c>
      <c r="N222" s="501">
        <v>0</v>
      </c>
      <c r="O222" s="501">
        <v>0</v>
      </c>
      <c r="P222" s="502">
        <v>0</v>
      </c>
      <c r="Q222" s="503"/>
      <c r="R222" s="503"/>
      <c r="S222" s="500">
        <v>0</v>
      </c>
      <c r="T222" s="501">
        <v>0</v>
      </c>
      <c r="U222" s="501">
        <v>0</v>
      </c>
      <c r="V222" s="501">
        <v>0</v>
      </c>
      <c r="W222" s="502">
        <v>0</v>
      </c>
      <c r="X222" s="503"/>
      <c r="Y222" s="503"/>
      <c r="Z222" s="504" t="s">
        <v>2054</v>
      </c>
      <c r="AA222" s="505" t="s">
        <v>2054</v>
      </c>
      <c r="AB222" s="505" t="s">
        <v>2054</v>
      </c>
      <c r="AC222" s="505" t="s">
        <v>2054</v>
      </c>
      <c r="AD222" s="506" t="s">
        <v>2054</v>
      </c>
      <c r="AE222" s="507"/>
      <c r="AF222" s="507"/>
      <c r="AG222" s="505" t="s">
        <v>2054</v>
      </c>
      <c r="AH222" s="501" t="s">
        <v>722</v>
      </c>
      <c r="AI222" s="505"/>
    </row>
    <row r="223" spans="2:35" x14ac:dyDescent="0.2">
      <c r="B223" s="352">
        <v>212</v>
      </c>
      <c r="C223" s="496" t="s">
        <v>727</v>
      </c>
      <c r="D223" s="496" t="s">
        <v>1995</v>
      </c>
      <c r="E223" s="497" t="s">
        <v>757</v>
      </c>
      <c r="F223" s="496" t="s">
        <v>1158</v>
      </c>
      <c r="G223" s="496" t="b">
        <v>1</v>
      </c>
      <c r="H223" s="496"/>
      <c r="I223" s="496" t="s">
        <v>1904</v>
      </c>
      <c r="J223" s="498" t="s">
        <v>996</v>
      </c>
      <c r="K223" s="499" t="s">
        <v>997</v>
      </c>
      <c r="L223" s="500">
        <v>0</v>
      </c>
      <c r="M223" s="501">
        <v>0</v>
      </c>
      <c r="N223" s="501">
        <v>0</v>
      </c>
      <c r="O223" s="501">
        <v>0</v>
      </c>
      <c r="P223" s="502">
        <v>0</v>
      </c>
      <c r="Q223" s="503"/>
      <c r="R223" s="503"/>
      <c r="S223" s="500">
        <v>0</v>
      </c>
      <c r="T223" s="501">
        <v>0</v>
      </c>
      <c r="U223" s="501">
        <v>0</v>
      </c>
      <c r="V223" s="501">
        <v>0</v>
      </c>
      <c r="W223" s="502">
        <v>0</v>
      </c>
      <c r="X223" s="503"/>
      <c r="Y223" s="503"/>
      <c r="Z223" s="504" t="s">
        <v>2054</v>
      </c>
      <c r="AA223" s="505" t="s">
        <v>2054</v>
      </c>
      <c r="AB223" s="505" t="s">
        <v>2054</v>
      </c>
      <c r="AC223" s="505" t="s">
        <v>2054</v>
      </c>
      <c r="AD223" s="506" t="s">
        <v>2054</v>
      </c>
      <c r="AE223" s="507"/>
      <c r="AF223" s="507"/>
      <c r="AG223" s="505" t="s">
        <v>2054</v>
      </c>
      <c r="AH223" s="501" t="s">
        <v>722</v>
      </c>
      <c r="AI223" s="505"/>
    </row>
    <row r="224" spans="2:35" x14ac:dyDescent="0.2">
      <c r="B224" s="352">
        <v>213</v>
      </c>
      <c r="C224" s="496" t="s">
        <v>727</v>
      </c>
      <c r="D224" s="496" t="s">
        <v>1995</v>
      </c>
      <c r="E224" s="497" t="s">
        <v>757</v>
      </c>
      <c r="F224" s="496" t="s">
        <v>1158</v>
      </c>
      <c r="G224" s="496" t="b">
        <v>1</v>
      </c>
      <c r="H224" s="496"/>
      <c r="I224" s="496" t="s">
        <v>1904</v>
      </c>
      <c r="J224" s="498" t="s">
        <v>998</v>
      </c>
      <c r="K224" s="499" t="s">
        <v>999</v>
      </c>
      <c r="L224" s="500">
        <v>0</v>
      </c>
      <c r="M224" s="501">
        <v>0</v>
      </c>
      <c r="N224" s="501">
        <v>0</v>
      </c>
      <c r="O224" s="501">
        <v>0</v>
      </c>
      <c r="P224" s="502">
        <v>0</v>
      </c>
      <c r="Q224" s="503"/>
      <c r="R224" s="503"/>
      <c r="S224" s="500">
        <v>0</v>
      </c>
      <c r="T224" s="501">
        <v>0</v>
      </c>
      <c r="U224" s="501">
        <v>0</v>
      </c>
      <c r="V224" s="501">
        <v>0</v>
      </c>
      <c r="W224" s="502">
        <v>0</v>
      </c>
      <c r="X224" s="503"/>
      <c r="Y224" s="503"/>
      <c r="Z224" s="504" t="s">
        <v>2054</v>
      </c>
      <c r="AA224" s="505" t="s">
        <v>2054</v>
      </c>
      <c r="AB224" s="505" t="s">
        <v>2054</v>
      </c>
      <c r="AC224" s="505" t="s">
        <v>2054</v>
      </c>
      <c r="AD224" s="506" t="s">
        <v>2054</v>
      </c>
      <c r="AE224" s="507"/>
      <c r="AF224" s="507"/>
      <c r="AG224" s="505" t="s">
        <v>2054</v>
      </c>
      <c r="AH224" s="501" t="s">
        <v>722</v>
      </c>
      <c r="AI224" s="505"/>
    </row>
    <row r="225" spans="2:35" x14ac:dyDescent="0.2">
      <c r="B225" s="352">
        <v>214</v>
      </c>
      <c r="C225" s="496" t="s">
        <v>727</v>
      </c>
      <c r="D225" s="496" t="s">
        <v>1995</v>
      </c>
      <c r="E225" s="497" t="s">
        <v>757</v>
      </c>
      <c r="F225" s="496" t="s">
        <v>1158</v>
      </c>
      <c r="G225" s="496" t="b">
        <v>1</v>
      </c>
      <c r="H225" s="496"/>
      <c r="I225" s="496" t="s">
        <v>1903</v>
      </c>
      <c r="J225" s="498" t="s">
        <v>1000</v>
      </c>
      <c r="K225" s="499" t="s">
        <v>1001</v>
      </c>
      <c r="L225" s="500">
        <v>0</v>
      </c>
      <c r="M225" s="501">
        <v>0</v>
      </c>
      <c r="N225" s="501">
        <v>0</v>
      </c>
      <c r="O225" s="501">
        <v>0</v>
      </c>
      <c r="P225" s="502">
        <v>0</v>
      </c>
      <c r="Q225" s="503"/>
      <c r="R225" s="503"/>
      <c r="S225" s="500">
        <v>0</v>
      </c>
      <c r="T225" s="501">
        <v>0</v>
      </c>
      <c r="U225" s="501">
        <v>0</v>
      </c>
      <c r="V225" s="501">
        <v>0</v>
      </c>
      <c r="W225" s="502">
        <v>0</v>
      </c>
      <c r="X225" s="503"/>
      <c r="Y225" s="503"/>
      <c r="Z225" s="504" t="s">
        <v>2054</v>
      </c>
      <c r="AA225" s="505" t="s">
        <v>2054</v>
      </c>
      <c r="AB225" s="505" t="s">
        <v>2054</v>
      </c>
      <c r="AC225" s="505" t="s">
        <v>2054</v>
      </c>
      <c r="AD225" s="506" t="s">
        <v>2054</v>
      </c>
      <c r="AE225" s="507"/>
      <c r="AF225" s="507"/>
      <c r="AG225" s="505">
        <v>0.15</v>
      </c>
      <c r="AH225" s="501" t="s">
        <v>722</v>
      </c>
      <c r="AI225" s="505"/>
    </row>
    <row r="226" spans="2:35" x14ac:dyDescent="0.2">
      <c r="B226" s="352">
        <v>215</v>
      </c>
      <c r="C226" s="496" t="s">
        <v>727</v>
      </c>
      <c r="D226" s="496" t="s">
        <v>1995</v>
      </c>
      <c r="E226" s="497" t="s">
        <v>757</v>
      </c>
      <c r="F226" s="496" t="s">
        <v>1158</v>
      </c>
      <c r="G226" s="496" t="b">
        <v>1</v>
      </c>
      <c r="H226" s="496"/>
      <c r="I226" s="496" t="s">
        <v>1903</v>
      </c>
      <c r="J226" s="498" t="s">
        <v>1002</v>
      </c>
      <c r="K226" s="499" t="s">
        <v>1003</v>
      </c>
      <c r="L226" s="500">
        <v>0</v>
      </c>
      <c r="M226" s="501">
        <v>0</v>
      </c>
      <c r="N226" s="501">
        <v>129.70722303979406</v>
      </c>
      <c r="O226" s="501">
        <v>180.22550999285727</v>
      </c>
      <c r="P226" s="502">
        <v>0</v>
      </c>
      <c r="Q226" s="503"/>
      <c r="R226" s="503"/>
      <c r="S226" s="500">
        <v>0</v>
      </c>
      <c r="T226" s="501">
        <v>0</v>
      </c>
      <c r="U226" s="501">
        <v>123.47593042096838</v>
      </c>
      <c r="V226" s="501">
        <v>171.65300912004608</v>
      </c>
      <c r="W226" s="502">
        <v>0</v>
      </c>
      <c r="X226" s="503"/>
      <c r="Y226" s="503"/>
      <c r="Z226" s="504" t="s">
        <v>2054</v>
      </c>
      <c r="AA226" s="505" t="s">
        <v>2054</v>
      </c>
      <c r="AB226" s="505">
        <v>4.8041215229115863E-2</v>
      </c>
      <c r="AC226" s="505">
        <v>4.7565413315523108E-2</v>
      </c>
      <c r="AD226" s="506" t="s">
        <v>2054</v>
      </c>
      <c r="AE226" s="507"/>
      <c r="AF226" s="507"/>
      <c r="AG226" s="505">
        <v>0.08</v>
      </c>
      <c r="AH226" s="501">
        <v>0</v>
      </c>
      <c r="AI226" s="505"/>
    </row>
    <row r="227" spans="2:35" x14ac:dyDescent="0.2">
      <c r="B227" s="352">
        <v>216</v>
      </c>
      <c r="C227" s="496" t="s">
        <v>727</v>
      </c>
      <c r="D227" s="496" t="s">
        <v>1995</v>
      </c>
      <c r="E227" s="497" t="s">
        <v>757</v>
      </c>
      <c r="F227" s="496" t="s">
        <v>1158</v>
      </c>
      <c r="G227" s="496" t="b">
        <v>1</v>
      </c>
      <c r="H227" s="496"/>
      <c r="I227" s="496" t="s">
        <v>1903</v>
      </c>
      <c r="J227" s="498" t="s">
        <v>1004</v>
      </c>
      <c r="K227" s="499" t="s">
        <v>1005</v>
      </c>
      <c r="L227" s="500">
        <v>0</v>
      </c>
      <c r="M227" s="501">
        <v>0</v>
      </c>
      <c r="N227" s="501">
        <v>0</v>
      </c>
      <c r="O227" s="501">
        <v>0</v>
      </c>
      <c r="P227" s="502">
        <v>0</v>
      </c>
      <c r="Q227" s="503"/>
      <c r="R227" s="503"/>
      <c r="S227" s="500">
        <v>0</v>
      </c>
      <c r="T227" s="501">
        <v>0</v>
      </c>
      <c r="U227" s="501">
        <v>0</v>
      </c>
      <c r="V227" s="501">
        <v>0</v>
      </c>
      <c r="W227" s="502">
        <v>0</v>
      </c>
      <c r="X227" s="503"/>
      <c r="Y227" s="503"/>
      <c r="Z227" s="504" t="s">
        <v>2054</v>
      </c>
      <c r="AA227" s="505" t="s">
        <v>2054</v>
      </c>
      <c r="AB227" s="505" t="s">
        <v>2054</v>
      </c>
      <c r="AC227" s="505" t="s">
        <v>2054</v>
      </c>
      <c r="AD227" s="506" t="s">
        <v>2054</v>
      </c>
      <c r="AE227" s="507"/>
      <c r="AF227" s="507"/>
      <c r="AG227" s="505" t="s">
        <v>2054</v>
      </c>
      <c r="AH227" s="501" t="s">
        <v>722</v>
      </c>
      <c r="AI227" s="505"/>
    </row>
    <row r="228" spans="2:35" x14ac:dyDescent="0.2">
      <c r="B228" s="352">
        <v>217</v>
      </c>
      <c r="C228" s="496" t="s">
        <v>727</v>
      </c>
      <c r="D228" s="496" t="s">
        <v>1995</v>
      </c>
      <c r="E228" s="497" t="s">
        <v>757</v>
      </c>
      <c r="F228" s="496" t="s">
        <v>1158</v>
      </c>
      <c r="G228" s="496" t="b">
        <v>1</v>
      </c>
      <c r="H228" s="496"/>
      <c r="I228" s="496" t="s">
        <v>1903</v>
      </c>
      <c r="J228" s="498" t="s">
        <v>1006</v>
      </c>
      <c r="K228" s="499" t="s">
        <v>1007</v>
      </c>
      <c r="L228" s="500">
        <v>0</v>
      </c>
      <c r="M228" s="501">
        <v>0</v>
      </c>
      <c r="N228" s="501">
        <v>4009.3502654095842</v>
      </c>
      <c r="O228" s="501">
        <v>5582.0053660862277</v>
      </c>
      <c r="P228" s="502">
        <v>0</v>
      </c>
      <c r="Q228" s="503"/>
      <c r="R228" s="503"/>
      <c r="S228" s="500">
        <v>0</v>
      </c>
      <c r="T228" s="501">
        <v>0</v>
      </c>
      <c r="U228" s="501">
        <v>3838.9612371133653</v>
      </c>
      <c r="V228" s="501">
        <v>5358.40804086772</v>
      </c>
      <c r="W228" s="502">
        <v>0</v>
      </c>
      <c r="X228" s="503"/>
      <c r="Y228" s="503"/>
      <c r="Z228" s="504" t="s">
        <v>2054</v>
      </c>
      <c r="AA228" s="505" t="s">
        <v>2054</v>
      </c>
      <c r="AB228" s="505">
        <v>4.2497915377022411E-2</v>
      </c>
      <c r="AC228" s="505">
        <v>4.0056809435724539E-2</v>
      </c>
      <c r="AD228" s="506" t="s">
        <v>2054</v>
      </c>
      <c r="AE228" s="507"/>
      <c r="AF228" s="507"/>
      <c r="AG228" s="505">
        <v>0.08</v>
      </c>
      <c r="AH228" s="501">
        <v>0</v>
      </c>
      <c r="AI228" s="505"/>
    </row>
    <row r="229" spans="2:35" x14ac:dyDescent="0.2">
      <c r="B229" s="352">
        <v>218</v>
      </c>
      <c r="C229" s="496" t="s">
        <v>727</v>
      </c>
      <c r="D229" s="496" t="s">
        <v>1995</v>
      </c>
      <c r="E229" s="497" t="s">
        <v>757</v>
      </c>
      <c r="F229" s="496" t="s">
        <v>1158</v>
      </c>
      <c r="G229" s="496" t="b">
        <v>1</v>
      </c>
      <c r="H229" s="496"/>
      <c r="I229" s="496" t="s">
        <v>1903</v>
      </c>
      <c r="J229" s="498" t="s">
        <v>1008</v>
      </c>
      <c r="K229" s="499" t="s">
        <v>1009</v>
      </c>
      <c r="L229" s="500">
        <v>0</v>
      </c>
      <c r="M229" s="501">
        <v>0</v>
      </c>
      <c r="N229" s="501">
        <v>382.32323392526212</v>
      </c>
      <c r="O229" s="501">
        <v>530.64198037180893</v>
      </c>
      <c r="P229" s="502">
        <v>0</v>
      </c>
      <c r="Q229" s="503"/>
      <c r="R229" s="503"/>
      <c r="S229" s="500">
        <v>0</v>
      </c>
      <c r="T229" s="501">
        <v>0</v>
      </c>
      <c r="U229" s="501">
        <v>364.76678371669635</v>
      </c>
      <c r="V229" s="501">
        <v>506.79004431752247</v>
      </c>
      <c r="W229" s="502">
        <v>0</v>
      </c>
      <c r="X229" s="503"/>
      <c r="Y229" s="503"/>
      <c r="Z229" s="504" t="s">
        <v>2054</v>
      </c>
      <c r="AA229" s="505" t="s">
        <v>2054</v>
      </c>
      <c r="AB229" s="505">
        <v>4.5920437605415754E-2</v>
      </c>
      <c r="AC229" s="505">
        <v>4.4949206690307331E-2</v>
      </c>
      <c r="AD229" s="506" t="s">
        <v>2054</v>
      </c>
      <c r="AE229" s="507"/>
      <c r="AF229" s="507"/>
      <c r="AG229" s="505">
        <v>0.05</v>
      </c>
      <c r="AH229" s="501">
        <v>0</v>
      </c>
      <c r="AI229" s="505"/>
    </row>
    <row r="230" spans="2:35" x14ac:dyDescent="0.2">
      <c r="B230" s="352">
        <v>219</v>
      </c>
      <c r="C230" s="496" t="s">
        <v>727</v>
      </c>
      <c r="D230" s="496" t="s">
        <v>1995</v>
      </c>
      <c r="E230" s="497" t="s">
        <v>757</v>
      </c>
      <c r="F230" s="496" t="s">
        <v>1158</v>
      </c>
      <c r="G230" s="496" t="b">
        <v>1</v>
      </c>
      <c r="H230" s="496"/>
      <c r="I230" s="496" t="s">
        <v>1905</v>
      </c>
      <c r="J230" s="498" t="s">
        <v>1848</v>
      </c>
      <c r="K230" s="499" t="s">
        <v>1849</v>
      </c>
      <c r="L230" s="500">
        <v>0</v>
      </c>
      <c r="M230" s="501">
        <v>0</v>
      </c>
      <c r="N230" s="501">
        <v>0</v>
      </c>
      <c r="O230" s="501">
        <v>0</v>
      </c>
      <c r="P230" s="502">
        <v>0</v>
      </c>
      <c r="Q230" s="503"/>
      <c r="R230" s="503"/>
      <c r="S230" s="500">
        <v>0</v>
      </c>
      <c r="T230" s="501">
        <v>0</v>
      </c>
      <c r="U230" s="501">
        <v>0</v>
      </c>
      <c r="V230" s="501">
        <v>0</v>
      </c>
      <c r="W230" s="502">
        <v>0</v>
      </c>
      <c r="X230" s="503"/>
      <c r="Y230" s="503"/>
      <c r="Z230" s="504" t="s">
        <v>2054</v>
      </c>
      <c r="AA230" s="505" t="s">
        <v>2054</v>
      </c>
      <c r="AB230" s="505" t="s">
        <v>2054</v>
      </c>
      <c r="AC230" s="505" t="s">
        <v>2054</v>
      </c>
      <c r="AD230" s="506" t="s">
        <v>2054</v>
      </c>
      <c r="AE230" s="507"/>
      <c r="AF230" s="507"/>
      <c r="AG230" s="505" t="s">
        <v>2054</v>
      </c>
      <c r="AH230" s="501" t="s">
        <v>722</v>
      </c>
      <c r="AI230" s="505"/>
    </row>
    <row r="231" spans="2:35" x14ac:dyDescent="0.2">
      <c r="B231" s="352">
        <v>220</v>
      </c>
      <c r="C231" s="496" t="s">
        <v>727</v>
      </c>
      <c r="D231" s="496" t="s">
        <v>1995</v>
      </c>
      <c r="E231" s="497" t="s">
        <v>757</v>
      </c>
      <c r="F231" s="496" t="s">
        <v>1158</v>
      </c>
      <c r="G231" s="496" t="b">
        <v>1</v>
      </c>
      <c r="H231" s="496"/>
      <c r="I231" s="496" t="s">
        <v>1903</v>
      </c>
      <c r="J231" s="498" t="s">
        <v>1010</v>
      </c>
      <c r="K231" s="499" t="s">
        <v>1011</v>
      </c>
      <c r="L231" s="500">
        <v>0</v>
      </c>
      <c r="M231" s="501">
        <v>0</v>
      </c>
      <c r="N231" s="501">
        <v>0</v>
      </c>
      <c r="O231" s="501">
        <v>0</v>
      </c>
      <c r="P231" s="502">
        <v>0</v>
      </c>
      <c r="Q231" s="503"/>
      <c r="R231" s="503"/>
      <c r="S231" s="500">
        <v>0</v>
      </c>
      <c r="T231" s="501">
        <v>0</v>
      </c>
      <c r="U231" s="501">
        <v>0</v>
      </c>
      <c r="V231" s="501">
        <v>0</v>
      </c>
      <c r="W231" s="502">
        <v>0</v>
      </c>
      <c r="X231" s="503"/>
      <c r="Y231" s="503"/>
      <c r="Z231" s="504" t="s">
        <v>2054</v>
      </c>
      <c r="AA231" s="505" t="s">
        <v>2054</v>
      </c>
      <c r="AB231" s="505" t="s">
        <v>2054</v>
      </c>
      <c r="AC231" s="505" t="s">
        <v>2054</v>
      </c>
      <c r="AD231" s="506" t="s">
        <v>2054</v>
      </c>
      <c r="AE231" s="507"/>
      <c r="AF231" s="507"/>
      <c r="AG231" s="505" t="s">
        <v>2054</v>
      </c>
      <c r="AH231" s="501" t="s">
        <v>722</v>
      </c>
      <c r="AI231" s="505"/>
    </row>
    <row r="232" spans="2:35" x14ac:dyDescent="0.2">
      <c r="B232" s="352">
        <v>221</v>
      </c>
      <c r="C232" s="496" t="s">
        <v>727</v>
      </c>
      <c r="D232" s="496" t="s">
        <v>1995</v>
      </c>
      <c r="E232" s="497" t="s">
        <v>757</v>
      </c>
      <c r="F232" s="496" t="s">
        <v>1158</v>
      </c>
      <c r="G232" s="496" t="b">
        <v>1</v>
      </c>
      <c r="H232" s="496"/>
      <c r="I232" s="496" t="s">
        <v>1903</v>
      </c>
      <c r="J232" s="498" t="s">
        <v>1012</v>
      </c>
      <c r="K232" s="499" t="s">
        <v>1013</v>
      </c>
      <c r="L232" s="500">
        <v>0</v>
      </c>
      <c r="M232" s="501">
        <v>0</v>
      </c>
      <c r="N232" s="501">
        <v>0</v>
      </c>
      <c r="O232" s="501">
        <v>0</v>
      </c>
      <c r="P232" s="502">
        <v>0</v>
      </c>
      <c r="Q232" s="503"/>
      <c r="R232" s="503"/>
      <c r="S232" s="500">
        <v>0</v>
      </c>
      <c r="T232" s="501">
        <v>0</v>
      </c>
      <c r="U232" s="501">
        <v>0</v>
      </c>
      <c r="V232" s="501">
        <v>0</v>
      </c>
      <c r="W232" s="502">
        <v>0</v>
      </c>
      <c r="X232" s="503"/>
      <c r="Y232" s="503"/>
      <c r="Z232" s="504" t="s">
        <v>2054</v>
      </c>
      <c r="AA232" s="505" t="s">
        <v>2054</v>
      </c>
      <c r="AB232" s="505" t="s">
        <v>2054</v>
      </c>
      <c r="AC232" s="505" t="s">
        <v>2054</v>
      </c>
      <c r="AD232" s="506" t="s">
        <v>2054</v>
      </c>
      <c r="AE232" s="507"/>
      <c r="AF232" s="507"/>
      <c r="AG232" s="505">
        <v>0.05</v>
      </c>
      <c r="AH232" s="501" t="s">
        <v>722</v>
      </c>
      <c r="AI232" s="505"/>
    </row>
    <row r="233" spans="2:35" x14ac:dyDescent="0.2">
      <c r="B233" s="352">
        <v>222</v>
      </c>
      <c r="C233" s="496" t="s">
        <v>727</v>
      </c>
      <c r="D233" s="496" t="s">
        <v>1995</v>
      </c>
      <c r="E233" s="497" t="s">
        <v>757</v>
      </c>
      <c r="F233" s="496" t="s">
        <v>1158</v>
      </c>
      <c r="G233" s="496" t="b">
        <v>1</v>
      </c>
      <c r="H233" s="496"/>
      <c r="I233" s="496" t="s">
        <v>1903</v>
      </c>
      <c r="J233" s="498" t="s">
        <v>1014</v>
      </c>
      <c r="K233" s="499" t="s">
        <v>1893</v>
      </c>
      <c r="L233" s="500">
        <v>0</v>
      </c>
      <c r="M233" s="501">
        <v>0</v>
      </c>
      <c r="N233" s="501">
        <v>0</v>
      </c>
      <c r="O233" s="501">
        <v>0</v>
      </c>
      <c r="P233" s="502">
        <v>0</v>
      </c>
      <c r="Q233" s="503"/>
      <c r="R233" s="503"/>
      <c r="S233" s="500">
        <v>0</v>
      </c>
      <c r="T233" s="501">
        <v>0</v>
      </c>
      <c r="U233" s="501">
        <v>0</v>
      </c>
      <c r="V233" s="501">
        <v>0</v>
      </c>
      <c r="W233" s="502">
        <v>0</v>
      </c>
      <c r="X233" s="503"/>
      <c r="Y233" s="503"/>
      <c r="Z233" s="504" t="s">
        <v>2054</v>
      </c>
      <c r="AA233" s="505" t="s">
        <v>2054</v>
      </c>
      <c r="AB233" s="505" t="s">
        <v>2054</v>
      </c>
      <c r="AC233" s="505" t="s">
        <v>2054</v>
      </c>
      <c r="AD233" s="506" t="s">
        <v>2054</v>
      </c>
      <c r="AE233" s="507"/>
      <c r="AF233" s="507"/>
      <c r="AG233" s="505">
        <v>0.05</v>
      </c>
      <c r="AH233" s="501" t="s">
        <v>722</v>
      </c>
      <c r="AI233" s="505"/>
    </row>
    <row r="234" spans="2:35" x14ac:dyDescent="0.2">
      <c r="B234" s="352">
        <v>223</v>
      </c>
      <c r="C234" s="496" t="s">
        <v>727</v>
      </c>
      <c r="D234" s="496" t="s">
        <v>1995</v>
      </c>
      <c r="E234" s="497" t="s">
        <v>757</v>
      </c>
      <c r="F234" s="496" t="s">
        <v>1158</v>
      </c>
      <c r="G234" s="496" t="b">
        <v>1</v>
      </c>
      <c r="H234" s="496"/>
      <c r="I234" s="496" t="s">
        <v>709</v>
      </c>
      <c r="J234" s="498" t="s">
        <v>1015</v>
      </c>
      <c r="K234" s="499" t="s">
        <v>1016</v>
      </c>
      <c r="L234" s="500">
        <v>0</v>
      </c>
      <c r="M234" s="501">
        <v>0</v>
      </c>
      <c r="N234" s="501">
        <v>0</v>
      </c>
      <c r="O234" s="501">
        <v>0</v>
      </c>
      <c r="P234" s="502">
        <v>0</v>
      </c>
      <c r="Q234" s="503"/>
      <c r="R234" s="503"/>
      <c r="S234" s="500">
        <v>0</v>
      </c>
      <c r="T234" s="501">
        <v>0</v>
      </c>
      <c r="U234" s="501">
        <v>0</v>
      </c>
      <c r="V234" s="501">
        <v>0</v>
      </c>
      <c r="W234" s="502">
        <v>0</v>
      </c>
      <c r="X234" s="503"/>
      <c r="Y234" s="503"/>
      <c r="Z234" s="504" t="s">
        <v>2054</v>
      </c>
      <c r="AA234" s="505" t="s">
        <v>2054</v>
      </c>
      <c r="AB234" s="505" t="s">
        <v>2054</v>
      </c>
      <c r="AC234" s="505" t="s">
        <v>2054</v>
      </c>
      <c r="AD234" s="506" t="s">
        <v>2054</v>
      </c>
      <c r="AE234" s="507"/>
      <c r="AF234" s="507"/>
      <c r="AG234" s="505" t="s">
        <v>2054</v>
      </c>
      <c r="AH234" s="501" t="s">
        <v>722</v>
      </c>
      <c r="AI234" s="505"/>
    </row>
    <row r="235" spans="2:35" x14ac:dyDescent="0.2">
      <c r="B235" s="352">
        <v>224</v>
      </c>
      <c r="C235" s="496" t="s">
        <v>727</v>
      </c>
      <c r="D235" s="496" t="s">
        <v>1995</v>
      </c>
      <c r="E235" s="497" t="s">
        <v>757</v>
      </c>
      <c r="F235" s="496" t="s">
        <v>1158</v>
      </c>
      <c r="G235" s="496" t="b">
        <v>1</v>
      </c>
      <c r="H235" s="496"/>
      <c r="I235" s="496" t="s">
        <v>716</v>
      </c>
      <c r="J235" s="498" t="s">
        <v>1017</v>
      </c>
      <c r="K235" s="499" t="s">
        <v>1018</v>
      </c>
      <c r="L235" s="500">
        <v>0</v>
      </c>
      <c r="M235" s="501">
        <v>0</v>
      </c>
      <c r="N235" s="501">
        <v>3.4491239163346901</v>
      </c>
      <c r="O235" s="501">
        <v>3.9336219287667697</v>
      </c>
      <c r="P235" s="502">
        <v>0</v>
      </c>
      <c r="Q235" s="503"/>
      <c r="R235" s="503"/>
      <c r="S235" s="500">
        <v>0</v>
      </c>
      <c r="T235" s="501">
        <v>0</v>
      </c>
      <c r="U235" s="501">
        <v>3.4491239163346901</v>
      </c>
      <c r="V235" s="501">
        <v>3.9336219287667697</v>
      </c>
      <c r="W235" s="502">
        <v>0</v>
      </c>
      <c r="X235" s="503"/>
      <c r="Y235" s="503"/>
      <c r="Z235" s="504" t="s">
        <v>2054</v>
      </c>
      <c r="AA235" s="505" t="s">
        <v>2054</v>
      </c>
      <c r="AB235" s="505">
        <v>0</v>
      </c>
      <c r="AC235" s="505">
        <v>0</v>
      </c>
      <c r="AD235" s="506" t="s">
        <v>2054</v>
      </c>
      <c r="AE235" s="507"/>
      <c r="AF235" s="507"/>
      <c r="AG235" s="505">
        <v>0.1</v>
      </c>
      <c r="AH235" s="501" t="s">
        <v>722</v>
      </c>
      <c r="AI235" s="505"/>
    </row>
    <row r="236" spans="2:35" x14ac:dyDescent="0.2">
      <c r="B236" s="352">
        <v>225</v>
      </c>
      <c r="C236" s="496" t="s">
        <v>727</v>
      </c>
      <c r="D236" s="496" t="s">
        <v>1995</v>
      </c>
      <c r="E236" s="497" t="s">
        <v>757</v>
      </c>
      <c r="F236" s="496" t="s">
        <v>1158</v>
      </c>
      <c r="G236" s="496" t="b">
        <v>1</v>
      </c>
      <c r="H236" s="496"/>
      <c r="I236" s="496" t="s">
        <v>716</v>
      </c>
      <c r="J236" s="498" t="s">
        <v>1019</v>
      </c>
      <c r="K236" s="499" t="s">
        <v>1020</v>
      </c>
      <c r="L236" s="500">
        <v>0</v>
      </c>
      <c r="M236" s="501">
        <v>0</v>
      </c>
      <c r="N236" s="501">
        <v>0</v>
      </c>
      <c r="O236" s="501">
        <v>0</v>
      </c>
      <c r="P236" s="502">
        <v>0</v>
      </c>
      <c r="Q236" s="503"/>
      <c r="R236" s="503"/>
      <c r="S236" s="500">
        <v>0</v>
      </c>
      <c r="T236" s="501">
        <v>0</v>
      </c>
      <c r="U236" s="501">
        <v>0</v>
      </c>
      <c r="V236" s="501">
        <v>0</v>
      </c>
      <c r="W236" s="502">
        <v>0</v>
      </c>
      <c r="X236" s="503"/>
      <c r="Y236" s="503"/>
      <c r="Z236" s="504" t="s">
        <v>2054</v>
      </c>
      <c r="AA236" s="505" t="s">
        <v>2054</v>
      </c>
      <c r="AB236" s="505" t="s">
        <v>2054</v>
      </c>
      <c r="AC236" s="505" t="s">
        <v>2054</v>
      </c>
      <c r="AD236" s="506" t="s">
        <v>2054</v>
      </c>
      <c r="AE236" s="507"/>
      <c r="AF236" s="507"/>
      <c r="AG236" s="505">
        <v>0.05</v>
      </c>
      <c r="AH236" s="501" t="s">
        <v>722</v>
      </c>
      <c r="AI236" s="505"/>
    </row>
    <row r="237" spans="2:35" x14ac:dyDescent="0.2">
      <c r="B237" s="352">
        <v>226</v>
      </c>
      <c r="C237" s="496" t="s">
        <v>727</v>
      </c>
      <c r="D237" s="496" t="s">
        <v>1995</v>
      </c>
      <c r="E237" s="497" t="s">
        <v>757</v>
      </c>
      <c r="F237" s="496" t="s">
        <v>1158</v>
      </c>
      <c r="G237" s="496" t="b">
        <v>1</v>
      </c>
      <c r="H237" s="496"/>
      <c r="I237" s="496" t="s">
        <v>716</v>
      </c>
      <c r="J237" s="498" t="s">
        <v>1021</v>
      </c>
      <c r="K237" s="499" t="s">
        <v>751</v>
      </c>
      <c r="L237" s="500">
        <v>0</v>
      </c>
      <c r="M237" s="501">
        <v>0</v>
      </c>
      <c r="N237" s="501">
        <v>9.4613966647283156</v>
      </c>
      <c r="O237" s="501">
        <v>10.892189614625305</v>
      </c>
      <c r="P237" s="502">
        <v>0</v>
      </c>
      <c r="Q237" s="503"/>
      <c r="R237" s="503"/>
      <c r="S237" s="500">
        <v>0</v>
      </c>
      <c r="T237" s="501">
        <v>0</v>
      </c>
      <c r="U237" s="501">
        <v>9.4608984489121912</v>
      </c>
      <c r="V237" s="501">
        <v>10.891545681096005</v>
      </c>
      <c r="W237" s="502">
        <v>0</v>
      </c>
      <c r="X237" s="503"/>
      <c r="Y237" s="503"/>
      <c r="Z237" s="504" t="s">
        <v>2054</v>
      </c>
      <c r="AA237" s="505" t="s">
        <v>2054</v>
      </c>
      <c r="AB237" s="505">
        <v>5.2657745339246276E-5</v>
      </c>
      <c r="AC237" s="505">
        <v>5.9118832124949172E-5</v>
      </c>
      <c r="AD237" s="506" t="s">
        <v>2054</v>
      </c>
      <c r="AE237" s="507"/>
      <c r="AF237" s="507"/>
      <c r="AG237" s="505">
        <v>0.1</v>
      </c>
      <c r="AH237" s="501">
        <v>0</v>
      </c>
      <c r="AI237" s="505"/>
    </row>
    <row r="238" spans="2:35" x14ac:dyDescent="0.2">
      <c r="B238" s="352">
        <v>227</v>
      </c>
      <c r="C238" s="496" t="s">
        <v>727</v>
      </c>
      <c r="D238" s="496" t="s">
        <v>1995</v>
      </c>
      <c r="E238" s="497" t="s">
        <v>757</v>
      </c>
      <c r="F238" s="496" t="s">
        <v>1158</v>
      </c>
      <c r="G238" s="496" t="b">
        <v>1</v>
      </c>
      <c r="H238" s="496"/>
      <c r="I238" s="496" t="s">
        <v>1908</v>
      </c>
      <c r="J238" s="498" t="s">
        <v>1846</v>
      </c>
      <c r="K238" s="499" t="s">
        <v>1895</v>
      </c>
      <c r="L238" s="500">
        <v>0</v>
      </c>
      <c r="M238" s="501">
        <v>0</v>
      </c>
      <c r="N238" s="501">
        <v>1697.3811453657199</v>
      </c>
      <c r="O238" s="501">
        <v>2165.7216282010659</v>
      </c>
      <c r="P238" s="502">
        <v>0</v>
      </c>
      <c r="Q238" s="503"/>
      <c r="R238" s="503"/>
      <c r="S238" s="500">
        <v>0</v>
      </c>
      <c r="T238" s="501">
        <v>0</v>
      </c>
      <c r="U238" s="501">
        <v>1697.3811453657199</v>
      </c>
      <c r="V238" s="501">
        <v>2165.7216282010659</v>
      </c>
      <c r="W238" s="502">
        <v>0</v>
      </c>
      <c r="X238" s="503"/>
      <c r="Y238" s="503"/>
      <c r="Z238" s="504" t="s">
        <v>2054</v>
      </c>
      <c r="AA238" s="505" t="s">
        <v>2054</v>
      </c>
      <c r="AB238" s="505">
        <v>0</v>
      </c>
      <c r="AC238" s="505">
        <v>0</v>
      </c>
      <c r="AD238" s="506" t="s">
        <v>2054</v>
      </c>
      <c r="AE238" s="507"/>
      <c r="AF238" s="507"/>
      <c r="AG238" s="505">
        <v>0.2</v>
      </c>
      <c r="AH238" s="501" t="s">
        <v>722</v>
      </c>
      <c r="AI238" s="505"/>
    </row>
    <row r="239" spans="2:35" x14ac:dyDescent="0.2">
      <c r="B239" s="352">
        <v>228</v>
      </c>
      <c r="C239" s="496" t="s">
        <v>727</v>
      </c>
      <c r="D239" s="496" t="s">
        <v>1995</v>
      </c>
      <c r="E239" s="497" t="s">
        <v>757</v>
      </c>
      <c r="F239" s="496" t="s">
        <v>1158</v>
      </c>
      <c r="G239" s="496" t="b">
        <v>1</v>
      </c>
      <c r="H239" s="496"/>
      <c r="I239" s="496" t="s">
        <v>1905</v>
      </c>
      <c r="J239" s="498" t="s">
        <v>1847</v>
      </c>
      <c r="K239" s="499" t="s">
        <v>1894</v>
      </c>
      <c r="L239" s="500">
        <v>0</v>
      </c>
      <c r="M239" s="501">
        <v>0</v>
      </c>
      <c r="N239" s="501">
        <v>0</v>
      </c>
      <c r="O239" s="501">
        <v>0</v>
      </c>
      <c r="P239" s="502">
        <v>0</v>
      </c>
      <c r="Q239" s="503"/>
      <c r="R239" s="503"/>
      <c r="S239" s="500">
        <v>0</v>
      </c>
      <c r="T239" s="501">
        <v>0</v>
      </c>
      <c r="U239" s="501">
        <v>0</v>
      </c>
      <c r="V239" s="501">
        <v>0</v>
      </c>
      <c r="W239" s="502">
        <v>0</v>
      </c>
      <c r="X239" s="503"/>
      <c r="Y239" s="503"/>
      <c r="Z239" s="504" t="s">
        <v>2054</v>
      </c>
      <c r="AA239" s="505" t="s">
        <v>2054</v>
      </c>
      <c r="AB239" s="505" t="s">
        <v>2054</v>
      </c>
      <c r="AC239" s="505" t="s">
        <v>2054</v>
      </c>
      <c r="AD239" s="506" t="s">
        <v>2054</v>
      </c>
      <c r="AE239" s="507"/>
      <c r="AF239" s="507"/>
      <c r="AG239" s="505">
        <v>0.2</v>
      </c>
      <c r="AH239" s="501" t="s">
        <v>722</v>
      </c>
      <c r="AI239" s="505"/>
    </row>
    <row r="240" spans="2:35" x14ac:dyDescent="0.2">
      <c r="B240" s="352">
        <v>229</v>
      </c>
      <c r="C240" s="498" t="s">
        <v>739</v>
      </c>
      <c r="D240" s="496" t="s">
        <v>1997</v>
      </c>
      <c r="E240" s="508" t="s">
        <v>748</v>
      </c>
      <c r="F240" s="496" t="s">
        <v>765</v>
      </c>
      <c r="G240" s="496" t="b">
        <v>1</v>
      </c>
      <c r="H240" s="496"/>
      <c r="I240" s="496" t="s">
        <v>762</v>
      </c>
      <c r="J240" s="498" t="s">
        <v>969</v>
      </c>
      <c r="K240" s="499" t="s">
        <v>970</v>
      </c>
      <c r="L240" s="500">
        <v>0</v>
      </c>
      <c r="M240" s="501">
        <v>0</v>
      </c>
      <c r="N240" s="501">
        <v>0</v>
      </c>
      <c r="O240" s="501">
        <v>0</v>
      </c>
      <c r="P240" s="502">
        <v>0</v>
      </c>
      <c r="Q240" s="503"/>
      <c r="R240" s="503"/>
      <c r="S240" s="500">
        <v>0</v>
      </c>
      <c r="T240" s="501">
        <v>0</v>
      </c>
      <c r="U240" s="501">
        <v>0</v>
      </c>
      <c r="V240" s="501">
        <v>0</v>
      </c>
      <c r="W240" s="502">
        <v>0</v>
      </c>
      <c r="X240" s="503"/>
      <c r="Y240" s="503"/>
      <c r="Z240" s="504" t="s">
        <v>2054</v>
      </c>
      <c r="AA240" s="505" t="s">
        <v>2054</v>
      </c>
      <c r="AB240" s="505" t="s">
        <v>2054</v>
      </c>
      <c r="AC240" s="505" t="s">
        <v>2054</v>
      </c>
      <c r="AD240" s="506" t="s">
        <v>2054</v>
      </c>
      <c r="AE240" s="507"/>
      <c r="AF240" s="507"/>
      <c r="AG240" s="505">
        <v>0.05</v>
      </c>
      <c r="AH240" s="501" t="s">
        <v>722</v>
      </c>
      <c r="AI240" s="505"/>
    </row>
    <row r="241" spans="2:35" x14ac:dyDescent="0.2">
      <c r="B241" s="352">
        <v>230</v>
      </c>
      <c r="C241" s="498" t="s">
        <v>739</v>
      </c>
      <c r="D241" s="496" t="s">
        <v>1997</v>
      </c>
      <c r="E241" s="508" t="s">
        <v>748</v>
      </c>
      <c r="F241" s="496" t="s">
        <v>765</v>
      </c>
      <c r="G241" s="496" t="b">
        <v>1</v>
      </c>
      <c r="H241" s="496"/>
      <c r="I241" s="496" t="s">
        <v>762</v>
      </c>
      <c r="J241" s="498" t="s">
        <v>971</v>
      </c>
      <c r="K241" s="499" t="s">
        <v>972</v>
      </c>
      <c r="L241" s="500">
        <v>0</v>
      </c>
      <c r="M241" s="501">
        <v>0</v>
      </c>
      <c r="N241" s="501">
        <v>0</v>
      </c>
      <c r="O241" s="501">
        <v>0</v>
      </c>
      <c r="P241" s="502">
        <v>0</v>
      </c>
      <c r="Q241" s="503"/>
      <c r="R241" s="503"/>
      <c r="S241" s="500">
        <v>0</v>
      </c>
      <c r="T241" s="501">
        <v>0</v>
      </c>
      <c r="U241" s="501">
        <v>0</v>
      </c>
      <c r="V241" s="501">
        <v>0</v>
      </c>
      <c r="W241" s="502">
        <v>0</v>
      </c>
      <c r="X241" s="503"/>
      <c r="Y241" s="503"/>
      <c r="Z241" s="504" t="s">
        <v>2054</v>
      </c>
      <c r="AA241" s="505" t="s">
        <v>2054</v>
      </c>
      <c r="AB241" s="505" t="s">
        <v>2054</v>
      </c>
      <c r="AC241" s="505" t="s">
        <v>2054</v>
      </c>
      <c r="AD241" s="506" t="s">
        <v>2054</v>
      </c>
      <c r="AE241" s="507"/>
      <c r="AF241" s="507"/>
      <c r="AG241" s="505">
        <v>0.11</v>
      </c>
      <c r="AH241" s="501" t="s">
        <v>722</v>
      </c>
      <c r="AI241" s="505"/>
    </row>
    <row r="242" spans="2:35" x14ac:dyDescent="0.2">
      <c r="B242" s="352">
        <v>231</v>
      </c>
      <c r="C242" s="498" t="s">
        <v>739</v>
      </c>
      <c r="D242" s="496" t="s">
        <v>1997</v>
      </c>
      <c r="E242" s="508" t="s">
        <v>748</v>
      </c>
      <c r="F242" s="496" t="s">
        <v>765</v>
      </c>
      <c r="G242" s="496" t="b">
        <v>1</v>
      </c>
      <c r="H242" s="496"/>
      <c r="I242" s="496" t="s">
        <v>762</v>
      </c>
      <c r="J242" s="498" t="s">
        <v>973</v>
      </c>
      <c r="K242" s="499" t="s">
        <v>974</v>
      </c>
      <c r="L242" s="500">
        <v>0</v>
      </c>
      <c r="M242" s="501">
        <v>0</v>
      </c>
      <c r="N242" s="501">
        <v>0</v>
      </c>
      <c r="O242" s="501">
        <v>0</v>
      </c>
      <c r="P242" s="502">
        <v>0</v>
      </c>
      <c r="Q242" s="503"/>
      <c r="R242" s="503"/>
      <c r="S242" s="500">
        <v>0</v>
      </c>
      <c r="T242" s="501">
        <v>0</v>
      </c>
      <c r="U242" s="501">
        <v>0</v>
      </c>
      <c r="V242" s="501">
        <v>0</v>
      </c>
      <c r="W242" s="502">
        <v>0</v>
      </c>
      <c r="X242" s="503"/>
      <c r="Y242" s="503"/>
      <c r="Z242" s="504" t="s">
        <v>2054</v>
      </c>
      <c r="AA242" s="505" t="s">
        <v>2054</v>
      </c>
      <c r="AB242" s="505" t="s">
        <v>2054</v>
      </c>
      <c r="AC242" s="505" t="s">
        <v>2054</v>
      </c>
      <c r="AD242" s="506" t="s">
        <v>2054</v>
      </c>
      <c r="AE242" s="507"/>
      <c r="AF242" s="507"/>
      <c r="AG242" s="505">
        <v>0.05</v>
      </c>
      <c r="AH242" s="501" t="s">
        <v>722</v>
      </c>
      <c r="AI242" s="505"/>
    </row>
    <row r="243" spans="2:35" x14ac:dyDescent="0.2">
      <c r="B243" s="352">
        <v>232</v>
      </c>
      <c r="C243" s="498" t="s">
        <v>739</v>
      </c>
      <c r="D243" s="496" t="s">
        <v>1997</v>
      </c>
      <c r="E243" s="508" t="s">
        <v>748</v>
      </c>
      <c r="F243" s="496" t="s">
        <v>765</v>
      </c>
      <c r="G243" s="496" t="b">
        <v>1</v>
      </c>
      <c r="H243" s="496"/>
      <c r="I243" s="496" t="s">
        <v>762</v>
      </c>
      <c r="J243" s="498" t="s">
        <v>975</v>
      </c>
      <c r="K243" s="499" t="s">
        <v>976</v>
      </c>
      <c r="L243" s="500">
        <v>0</v>
      </c>
      <c r="M243" s="501">
        <v>0</v>
      </c>
      <c r="N243" s="501">
        <v>0</v>
      </c>
      <c r="O243" s="501">
        <v>0</v>
      </c>
      <c r="P243" s="502">
        <v>0</v>
      </c>
      <c r="Q243" s="503"/>
      <c r="R243" s="503"/>
      <c r="S243" s="500">
        <v>0</v>
      </c>
      <c r="T243" s="501">
        <v>0</v>
      </c>
      <c r="U243" s="501">
        <v>0</v>
      </c>
      <c r="V243" s="501">
        <v>0</v>
      </c>
      <c r="W243" s="502">
        <v>0</v>
      </c>
      <c r="X243" s="503"/>
      <c r="Y243" s="503"/>
      <c r="Z243" s="504" t="s">
        <v>2054</v>
      </c>
      <c r="AA243" s="505" t="s">
        <v>2054</v>
      </c>
      <c r="AB243" s="505" t="s">
        <v>2054</v>
      </c>
      <c r="AC243" s="505" t="s">
        <v>2054</v>
      </c>
      <c r="AD243" s="506" t="s">
        <v>2054</v>
      </c>
      <c r="AE243" s="507"/>
      <c r="AF243" s="507"/>
      <c r="AG243" s="505" t="s">
        <v>2054</v>
      </c>
      <c r="AH243" s="501" t="s">
        <v>722</v>
      </c>
      <c r="AI243" s="505"/>
    </row>
    <row r="244" spans="2:35" x14ac:dyDescent="0.2">
      <c r="B244" s="352">
        <v>233</v>
      </c>
      <c r="C244" s="498" t="s">
        <v>739</v>
      </c>
      <c r="D244" s="496" t="s">
        <v>1997</v>
      </c>
      <c r="E244" s="508" t="s">
        <v>748</v>
      </c>
      <c r="F244" s="496" t="s">
        <v>765</v>
      </c>
      <c r="G244" s="496" t="b">
        <v>1</v>
      </c>
      <c r="H244" s="496"/>
      <c r="I244" s="496" t="s">
        <v>762</v>
      </c>
      <c r="J244" s="498" t="s">
        <v>977</v>
      </c>
      <c r="K244" s="499" t="s">
        <v>864</v>
      </c>
      <c r="L244" s="500">
        <v>0</v>
      </c>
      <c r="M244" s="501">
        <v>0</v>
      </c>
      <c r="N244" s="501">
        <v>0</v>
      </c>
      <c r="O244" s="501">
        <v>0</v>
      </c>
      <c r="P244" s="502">
        <v>8552.6369764340834</v>
      </c>
      <c r="Q244" s="503"/>
      <c r="R244" s="503"/>
      <c r="S244" s="500">
        <v>0</v>
      </c>
      <c r="T244" s="501">
        <v>0</v>
      </c>
      <c r="U244" s="501">
        <v>0</v>
      </c>
      <c r="V244" s="501">
        <v>0</v>
      </c>
      <c r="W244" s="502">
        <v>8280.857321268677</v>
      </c>
      <c r="X244" s="503"/>
      <c r="Y244" s="503"/>
      <c r="Z244" s="504" t="s">
        <v>2054</v>
      </c>
      <c r="AA244" s="505" t="s">
        <v>2054</v>
      </c>
      <c r="AB244" s="505" t="s">
        <v>2054</v>
      </c>
      <c r="AC244" s="505" t="s">
        <v>2054</v>
      </c>
      <c r="AD244" s="506">
        <v>3.1777293472675994E-2</v>
      </c>
      <c r="AE244" s="507"/>
      <c r="AF244" s="507"/>
      <c r="AG244" s="505">
        <v>0.05</v>
      </c>
      <c r="AH244" s="501">
        <v>0</v>
      </c>
      <c r="AI244" s="505"/>
    </row>
    <row r="245" spans="2:35" x14ac:dyDescent="0.2">
      <c r="B245" s="352">
        <v>234</v>
      </c>
      <c r="C245" s="498" t="s">
        <v>739</v>
      </c>
      <c r="D245" s="496" t="s">
        <v>1997</v>
      </c>
      <c r="E245" s="508" t="s">
        <v>748</v>
      </c>
      <c r="F245" s="496" t="s">
        <v>765</v>
      </c>
      <c r="G245" s="496" t="b">
        <v>1</v>
      </c>
      <c r="H245" s="496"/>
      <c r="I245" s="496" t="s">
        <v>762</v>
      </c>
      <c r="J245" s="498" t="s">
        <v>978</v>
      </c>
      <c r="K245" s="499" t="s">
        <v>1892</v>
      </c>
      <c r="L245" s="500">
        <v>0</v>
      </c>
      <c r="M245" s="501">
        <v>0</v>
      </c>
      <c r="N245" s="501">
        <v>0</v>
      </c>
      <c r="O245" s="501">
        <v>0</v>
      </c>
      <c r="P245" s="502">
        <v>0</v>
      </c>
      <c r="Q245" s="503"/>
      <c r="R245" s="503"/>
      <c r="S245" s="500">
        <v>0</v>
      </c>
      <c r="T245" s="501">
        <v>0</v>
      </c>
      <c r="U245" s="501">
        <v>0</v>
      </c>
      <c r="V245" s="501">
        <v>0</v>
      </c>
      <c r="W245" s="502">
        <v>0</v>
      </c>
      <c r="X245" s="503"/>
      <c r="Y245" s="503"/>
      <c r="Z245" s="504" t="s">
        <v>2054</v>
      </c>
      <c r="AA245" s="505" t="s">
        <v>2054</v>
      </c>
      <c r="AB245" s="505" t="s">
        <v>2054</v>
      </c>
      <c r="AC245" s="505" t="s">
        <v>2054</v>
      </c>
      <c r="AD245" s="506" t="s">
        <v>2054</v>
      </c>
      <c r="AE245" s="507"/>
      <c r="AF245" s="507"/>
      <c r="AG245" s="505" t="s">
        <v>2054</v>
      </c>
      <c r="AH245" s="501" t="s">
        <v>722</v>
      </c>
      <c r="AI245" s="505"/>
    </row>
    <row r="246" spans="2:35" x14ac:dyDescent="0.2">
      <c r="B246" s="352">
        <v>235</v>
      </c>
      <c r="C246" s="498" t="s">
        <v>739</v>
      </c>
      <c r="D246" s="496" t="s">
        <v>1997</v>
      </c>
      <c r="E246" s="508" t="s">
        <v>748</v>
      </c>
      <c r="F246" s="496" t="s">
        <v>765</v>
      </c>
      <c r="G246" s="496" t="b">
        <v>1</v>
      </c>
      <c r="H246" s="496"/>
      <c r="I246" s="496" t="s">
        <v>762</v>
      </c>
      <c r="J246" s="498" t="s">
        <v>979</v>
      </c>
      <c r="K246" s="499" t="s">
        <v>980</v>
      </c>
      <c r="L246" s="500">
        <v>0</v>
      </c>
      <c r="M246" s="501">
        <v>0</v>
      </c>
      <c r="N246" s="501">
        <v>0</v>
      </c>
      <c r="O246" s="501">
        <v>0</v>
      </c>
      <c r="P246" s="502">
        <v>1793.3214892142551</v>
      </c>
      <c r="Q246" s="503"/>
      <c r="R246" s="503"/>
      <c r="S246" s="500">
        <v>0</v>
      </c>
      <c r="T246" s="501">
        <v>0</v>
      </c>
      <c r="U246" s="501">
        <v>0</v>
      </c>
      <c r="V246" s="501">
        <v>0</v>
      </c>
      <c r="W246" s="502">
        <v>1722.4732384513254</v>
      </c>
      <c r="X246" s="503"/>
      <c r="Y246" s="503"/>
      <c r="Z246" s="504" t="s">
        <v>2054</v>
      </c>
      <c r="AA246" s="505" t="s">
        <v>2054</v>
      </c>
      <c r="AB246" s="505" t="s">
        <v>2054</v>
      </c>
      <c r="AC246" s="505" t="s">
        <v>2054</v>
      </c>
      <c r="AD246" s="506">
        <v>3.9506720456448541E-2</v>
      </c>
      <c r="AE246" s="507"/>
      <c r="AF246" s="507"/>
      <c r="AG246" s="505">
        <v>0.05</v>
      </c>
      <c r="AH246" s="501">
        <v>0</v>
      </c>
      <c r="AI246" s="505"/>
    </row>
    <row r="247" spans="2:35" x14ac:dyDescent="0.2">
      <c r="B247" s="352">
        <v>236</v>
      </c>
      <c r="C247" s="498" t="s">
        <v>739</v>
      </c>
      <c r="D247" s="496" t="s">
        <v>1997</v>
      </c>
      <c r="E247" s="508" t="s">
        <v>748</v>
      </c>
      <c r="F247" s="496" t="s">
        <v>765</v>
      </c>
      <c r="G247" s="496" t="b">
        <v>1</v>
      </c>
      <c r="H247" s="496"/>
      <c r="I247" s="496" t="s">
        <v>762</v>
      </c>
      <c r="J247" s="498" t="s">
        <v>981</v>
      </c>
      <c r="K247" s="499" t="s">
        <v>3674</v>
      </c>
      <c r="L247" s="500">
        <v>0</v>
      </c>
      <c r="M247" s="501">
        <v>0</v>
      </c>
      <c r="N247" s="501">
        <v>0</v>
      </c>
      <c r="O247" s="501">
        <v>0</v>
      </c>
      <c r="P247" s="502">
        <v>0</v>
      </c>
      <c r="Q247" s="503"/>
      <c r="R247" s="503"/>
      <c r="S247" s="500">
        <v>0</v>
      </c>
      <c r="T247" s="501">
        <v>0</v>
      </c>
      <c r="U247" s="501">
        <v>0</v>
      </c>
      <c r="V247" s="501">
        <v>0</v>
      </c>
      <c r="W247" s="502">
        <v>0</v>
      </c>
      <c r="X247" s="503"/>
      <c r="Y247" s="503"/>
      <c r="Z247" s="504" t="s">
        <v>2054</v>
      </c>
      <c r="AA247" s="505" t="s">
        <v>2054</v>
      </c>
      <c r="AB247" s="505" t="s">
        <v>2054</v>
      </c>
      <c r="AC247" s="505" t="s">
        <v>2054</v>
      </c>
      <c r="AD247" s="506" t="s">
        <v>2054</v>
      </c>
      <c r="AE247" s="507"/>
      <c r="AF247" s="507"/>
      <c r="AG247" s="505">
        <v>0.05</v>
      </c>
      <c r="AH247" s="501" t="s">
        <v>722</v>
      </c>
      <c r="AI247" s="505"/>
    </row>
    <row r="248" spans="2:35" x14ac:dyDescent="0.2">
      <c r="B248" s="352">
        <v>237</v>
      </c>
      <c r="C248" s="498" t="s">
        <v>739</v>
      </c>
      <c r="D248" s="496" t="s">
        <v>1997</v>
      </c>
      <c r="E248" s="508" t="s">
        <v>748</v>
      </c>
      <c r="F248" s="496" t="s">
        <v>765</v>
      </c>
      <c r="G248" s="496" t="b">
        <v>1</v>
      </c>
      <c r="H248" s="496"/>
      <c r="I248" s="496" t="s">
        <v>1903</v>
      </c>
      <c r="J248" s="498" t="s">
        <v>982</v>
      </c>
      <c r="K248" s="499" t="s">
        <v>983</v>
      </c>
      <c r="L248" s="500">
        <v>0</v>
      </c>
      <c r="M248" s="501">
        <v>0</v>
      </c>
      <c r="N248" s="501">
        <v>0</v>
      </c>
      <c r="O248" s="501">
        <v>0</v>
      </c>
      <c r="P248" s="502">
        <v>7006.9514924857158</v>
      </c>
      <c r="Q248" s="503"/>
      <c r="R248" s="503"/>
      <c r="S248" s="500">
        <v>0</v>
      </c>
      <c r="T248" s="501">
        <v>0</v>
      </c>
      <c r="U248" s="501">
        <v>0</v>
      </c>
      <c r="V248" s="501">
        <v>0</v>
      </c>
      <c r="W248" s="502">
        <v>6799.5137270285486</v>
      </c>
      <c r="X248" s="503"/>
      <c r="Y248" s="503"/>
      <c r="Z248" s="504" t="s">
        <v>2054</v>
      </c>
      <c r="AA248" s="505" t="s">
        <v>2054</v>
      </c>
      <c r="AB248" s="505" t="s">
        <v>2054</v>
      </c>
      <c r="AC248" s="505" t="s">
        <v>2054</v>
      </c>
      <c r="AD248" s="506">
        <v>2.9604567075942279E-2</v>
      </c>
      <c r="AE248" s="507"/>
      <c r="AF248" s="507"/>
      <c r="AG248" s="505">
        <v>0.06</v>
      </c>
      <c r="AH248" s="501">
        <v>0</v>
      </c>
      <c r="AI248" s="505"/>
    </row>
    <row r="249" spans="2:35" x14ac:dyDescent="0.2">
      <c r="B249" s="352">
        <v>238</v>
      </c>
      <c r="C249" s="498" t="s">
        <v>739</v>
      </c>
      <c r="D249" s="496" t="s">
        <v>1997</v>
      </c>
      <c r="E249" s="508" t="s">
        <v>748</v>
      </c>
      <c r="F249" s="496" t="s">
        <v>765</v>
      </c>
      <c r="G249" s="496" t="b">
        <v>1</v>
      </c>
      <c r="H249" s="496"/>
      <c r="I249" s="496" t="s">
        <v>1903</v>
      </c>
      <c r="J249" s="498" t="s">
        <v>984</v>
      </c>
      <c r="K249" s="499" t="s">
        <v>985</v>
      </c>
      <c r="L249" s="500">
        <v>0</v>
      </c>
      <c r="M249" s="501">
        <v>0</v>
      </c>
      <c r="N249" s="501">
        <v>0</v>
      </c>
      <c r="O249" s="501">
        <v>0</v>
      </c>
      <c r="P249" s="502">
        <v>2778.6647108559764</v>
      </c>
      <c r="Q249" s="503"/>
      <c r="R249" s="503"/>
      <c r="S249" s="500">
        <v>0</v>
      </c>
      <c r="T249" s="501">
        <v>0</v>
      </c>
      <c r="U249" s="501">
        <v>0</v>
      </c>
      <c r="V249" s="501">
        <v>0</v>
      </c>
      <c r="W249" s="502">
        <v>2696.4035450418874</v>
      </c>
      <c r="X249" s="503"/>
      <c r="Y249" s="503"/>
      <c r="Z249" s="504" t="s">
        <v>2054</v>
      </c>
      <c r="AA249" s="505" t="s">
        <v>2054</v>
      </c>
      <c r="AB249" s="505" t="s">
        <v>2054</v>
      </c>
      <c r="AC249" s="505" t="s">
        <v>2054</v>
      </c>
      <c r="AD249" s="506">
        <v>2.9604567075942168E-2</v>
      </c>
      <c r="AE249" s="507"/>
      <c r="AF249" s="507"/>
      <c r="AG249" s="505">
        <v>0.05</v>
      </c>
      <c r="AH249" s="501">
        <v>0</v>
      </c>
      <c r="AI249" s="505"/>
    </row>
    <row r="250" spans="2:35" x14ac:dyDescent="0.2">
      <c r="B250" s="352">
        <v>239</v>
      </c>
      <c r="C250" s="498" t="s">
        <v>739</v>
      </c>
      <c r="D250" s="496" t="s">
        <v>1997</v>
      </c>
      <c r="E250" s="508" t="s">
        <v>748</v>
      </c>
      <c r="F250" s="496" t="s">
        <v>765</v>
      </c>
      <c r="G250" s="496" t="b">
        <v>1</v>
      </c>
      <c r="H250" s="496"/>
      <c r="I250" s="496" t="s">
        <v>1903</v>
      </c>
      <c r="J250" s="498" t="s">
        <v>986</v>
      </c>
      <c r="K250" s="499" t="s">
        <v>987</v>
      </c>
      <c r="L250" s="500">
        <v>0</v>
      </c>
      <c r="M250" s="501">
        <v>0</v>
      </c>
      <c r="N250" s="501">
        <v>0</v>
      </c>
      <c r="O250" s="501">
        <v>0</v>
      </c>
      <c r="P250" s="502">
        <v>2080.5836831490396</v>
      </c>
      <c r="Q250" s="503"/>
      <c r="R250" s="503"/>
      <c r="S250" s="500">
        <v>0</v>
      </c>
      <c r="T250" s="501">
        <v>0</v>
      </c>
      <c r="U250" s="501">
        <v>0</v>
      </c>
      <c r="V250" s="501">
        <v>0</v>
      </c>
      <c r="W250" s="502">
        <v>2005.9726786819103</v>
      </c>
      <c r="X250" s="503"/>
      <c r="Y250" s="503"/>
      <c r="Z250" s="504" t="s">
        <v>2054</v>
      </c>
      <c r="AA250" s="505" t="s">
        <v>2054</v>
      </c>
      <c r="AB250" s="505" t="s">
        <v>2054</v>
      </c>
      <c r="AC250" s="505" t="s">
        <v>2054</v>
      </c>
      <c r="AD250" s="506">
        <v>3.5860612130824143E-2</v>
      </c>
      <c r="AE250" s="507"/>
      <c r="AF250" s="507"/>
      <c r="AG250" s="505">
        <v>0.05</v>
      </c>
      <c r="AH250" s="501">
        <v>0</v>
      </c>
      <c r="AI250" s="505"/>
    </row>
    <row r="251" spans="2:35" x14ac:dyDescent="0.2">
      <c r="B251" s="352">
        <v>240</v>
      </c>
      <c r="C251" s="498" t="s">
        <v>739</v>
      </c>
      <c r="D251" s="496" t="s">
        <v>1997</v>
      </c>
      <c r="E251" s="508" t="s">
        <v>748</v>
      </c>
      <c r="F251" s="496" t="s">
        <v>765</v>
      </c>
      <c r="G251" s="496" t="b">
        <v>1</v>
      </c>
      <c r="H251" s="496"/>
      <c r="I251" s="496" t="s">
        <v>1903</v>
      </c>
      <c r="J251" s="498" t="s">
        <v>988</v>
      </c>
      <c r="K251" s="499" t="s">
        <v>989</v>
      </c>
      <c r="L251" s="500">
        <v>0</v>
      </c>
      <c r="M251" s="501">
        <v>0</v>
      </c>
      <c r="N251" s="501">
        <v>0</v>
      </c>
      <c r="O251" s="501">
        <v>0</v>
      </c>
      <c r="P251" s="502">
        <v>2860.8025643299288</v>
      </c>
      <c r="Q251" s="503"/>
      <c r="R251" s="503"/>
      <c r="S251" s="500">
        <v>0</v>
      </c>
      <c r="T251" s="501">
        <v>0</v>
      </c>
      <c r="U251" s="501">
        <v>0</v>
      </c>
      <c r="V251" s="501">
        <v>0</v>
      </c>
      <c r="W251" s="502">
        <v>2758.2124331876266</v>
      </c>
      <c r="X251" s="503"/>
      <c r="Y251" s="503"/>
      <c r="Z251" s="504" t="s">
        <v>2054</v>
      </c>
      <c r="AA251" s="505" t="s">
        <v>2054</v>
      </c>
      <c r="AB251" s="505" t="s">
        <v>2054</v>
      </c>
      <c r="AC251" s="505" t="s">
        <v>2054</v>
      </c>
      <c r="AD251" s="506">
        <v>3.5860612130824032E-2</v>
      </c>
      <c r="AE251" s="507"/>
      <c r="AF251" s="507"/>
      <c r="AG251" s="505">
        <v>0.05</v>
      </c>
      <c r="AH251" s="501">
        <v>0</v>
      </c>
      <c r="AI251" s="505"/>
    </row>
    <row r="252" spans="2:35" x14ac:dyDescent="0.2">
      <c r="B252" s="352">
        <v>241</v>
      </c>
      <c r="C252" s="498" t="s">
        <v>739</v>
      </c>
      <c r="D252" s="496" t="s">
        <v>1997</v>
      </c>
      <c r="E252" s="508" t="s">
        <v>748</v>
      </c>
      <c r="F252" s="496" t="s">
        <v>765</v>
      </c>
      <c r="G252" s="496" t="b">
        <v>1</v>
      </c>
      <c r="H252" s="496"/>
      <c r="I252" s="496" t="s">
        <v>1903</v>
      </c>
      <c r="J252" s="498" t="s">
        <v>990</v>
      </c>
      <c r="K252" s="499" t="s">
        <v>991</v>
      </c>
      <c r="L252" s="500">
        <v>0</v>
      </c>
      <c r="M252" s="501">
        <v>0</v>
      </c>
      <c r="N252" s="501">
        <v>0</v>
      </c>
      <c r="O252" s="501">
        <v>0</v>
      </c>
      <c r="P252" s="502">
        <v>1386.2208327467258</v>
      </c>
      <c r="Q252" s="503"/>
      <c r="R252" s="503"/>
      <c r="S252" s="500">
        <v>0</v>
      </c>
      <c r="T252" s="501">
        <v>0</v>
      </c>
      <c r="U252" s="501">
        <v>0</v>
      </c>
      <c r="V252" s="501">
        <v>0</v>
      </c>
      <c r="W252" s="502">
        <v>1334.5158232411559</v>
      </c>
      <c r="X252" s="503"/>
      <c r="Y252" s="503"/>
      <c r="Z252" s="504" t="s">
        <v>2054</v>
      </c>
      <c r="AA252" s="505" t="s">
        <v>2054</v>
      </c>
      <c r="AB252" s="505" t="s">
        <v>2054</v>
      </c>
      <c r="AC252" s="505" t="s">
        <v>2054</v>
      </c>
      <c r="AD252" s="506">
        <v>3.7299258735795426E-2</v>
      </c>
      <c r="AE252" s="507"/>
      <c r="AF252" s="507"/>
      <c r="AG252" s="505">
        <v>0.1</v>
      </c>
      <c r="AH252" s="501">
        <v>0</v>
      </c>
      <c r="AI252" s="505"/>
    </row>
    <row r="253" spans="2:35" x14ac:dyDescent="0.2">
      <c r="B253" s="352">
        <v>242</v>
      </c>
      <c r="C253" s="498" t="s">
        <v>739</v>
      </c>
      <c r="D253" s="496" t="s">
        <v>1997</v>
      </c>
      <c r="E253" s="508" t="s">
        <v>748</v>
      </c>
      <c r="F253" s="496" t="s">
        <v>765</v>
      </c>
      <c r="G253" s="496" t="b">
        <v>1</v>
      </c>
      <c r="H253" s="496"/>
      <c r="I253" s="496" t="s">
        <v>1903</v>
      </c>
      <c r="J253" s="498" t="s">
        <v>992</v>
      </c>
      <c r="K253" s="499" t="s">
        <v>993</v>
      </c>
      <c r="L253" s="500">
        <v>0</v>
      </c>
      <c r="M253" s="501">
        <v>0</v>
      </c>
      <c r="N253" s="501">
        <v>0</v>
      </c>
      <c r="O253" s="501">
        <v>0</v>
      </c>
      <c r="P253" s="502">
        <v>0</v>
      </c>
      <c r="Q253" s="503"/>
      <c r="R253" s="503"/>
      <c r="S253" s="500">
        <v>0</v>
      </c>
      <c r="T253" s="501">
        <v>0</v>
      </c>
      <c r="U253" s="501">
        <v>0</v>
      </c>
      <c r="V253" s="501">
        <v>0</v>
      </c>
      <c r="W253" s="502">
        <v>0</v>
      </c>
      <c r="X253" s="503"/>
      <c r="Y253" s="503"/>
      <c r="Z253" s="504" t="s">
        <v>2054</v>
      </c>
      <c r="AA253" s="505" t="s">
        <v>2054</v>
      </c>
      <c r="AB253" s="505" t="s">
        <v>2054</v>
      </c>
      <c r="AC253" s="505" t="s">
        <v>2054</v>
      </c>
      <c r="AD253" s="506" t="s">
        <v>2054</v>
      </c>
      <c r="AE253" s="507"/>
      <c r="AF253" s="507"/>
      <c r="AG253" s="505">
        <v>0.15</v>
      </c>
      <c r="AH253" s="501" t="s">
        <v>722</v>
      </c>
      <c r="AI253" s="505"/>
    </row>
    <row r="254" spans="2:35" x14ac:dyDescent="0.2">
      <c r="B254" s="352">
        <v>243</v>
      </c>
      <c r="C254" s="498" t="s">
        <v>739</v>
      </c>
      <c r="D254" s="496" t="s">
        <v>1997</v>
      </c>
      <c r="E254" s="508" t="s">
        <v>748</v>
      </c>
      <c r="F254" s="496" t="s">
        <v>765</v>
      </c>
      <c r="G254" s="496" t="b">
        <v>1</v>
      </c>
      <c r="H254" s="496"/>
      <c r="I254" s="496" t="s">
        <v>1904</v>
      </c>
      <c r="J254" s="498" t="s">
        <v>994</v>
      </c>
      <c r="K254" s="499" t="s">
        <v>995</v>
      </c>
      <c r="L254" s="500">
        <v>0</v>
      </c>
      <c r="M254" s="501">
        <v>0</v>
      </c>
      <c r="N254" s="501">
        <v>0</v>
      </c>
      <c r="O254" s="501">
        <v>0</v>
      </c>
      <c r="P254" s="502">
        <v>0</v>
      </c>
      <c r="Q254" s="503"/>
      <c r="R254" s="503"/>
      <c r="S254" s="500">
        <v>0</v>
      </c>
      <c r="T254" s="501">
        <v>0</v>
      </c>
      <c r="U254" s="501">
        <v>0</v>
      </c>
      <c r="V254" s="501">
        <v>0</v>
      </c>
      <c r="W254" s="502">
        <v>0</v>
      </c>
      <c r="X254" s="503"/>
      <c r="Y254" s="503"/>
      <c r="Z254" s="504" t="s">
        <v>2054</v>
      </c>
      <c r="AA254" s="505" t="s">
        <v>2054</v>
      </c>
      <c r="AB254" s="505" t="s">
        <v>2054</v>
      </c>
      <c r="AC254" s="505" t="s">
        <v>2054</v>
      </c>
      <c r="AD254" s="506" t="s">
        <v>2054</v>
      </c>
      <c r="AE254" s="507"/>
      <c r="AF254" s="507"/>
      <c r="AG254" s="505" t="s">
        <v>2054</v>
      </c>
      <c r="AH254" s="501" t="s">
        <v>722</v>
      </c>
      <c r="AI254" s="505"/>
    </row>
    <row r="255" spans="2:35" x14ac:dyDescent="0.2">
      <c r="B255" s="352">
        <v>244</v>
      </c>
      <c r="C255" s="498" t="s">
        <v>739</v>
      </c>
      <c r="D255" s="496" t="s">
        <v>1997</v>
      </c>
      <c r="E255" s="508" t="s">
        <v>748</v>
      </c>
      <c r="F255" s="496" t="s">
        <v>765</v>
      </c>
      <c r="G255" s="496" t="b">
        <v>1</v>
      </c>
      <c r="H255" s="496"/>
      <c r="I255" s="496" t="s">
        <v>1904</v>
      </c>
      <c r="J255" s="498" t="s">
        <v>996</v>
      </c>
      <c r="K255" s="499" t="s">
        <v>997</v>
      </c>
      <c r="L255" s="500">
        <v>0</v>
      </c>
      <c r="M255" s="501">
        <v>0</v>
      </c>
      <c r="N255" s="501">
        <v>0</v>
      </c>
      <c r="O255" s="501">
        <v>0</v>
      </c>
      <c r="P255" s="502">
        <v>0</v>
      </c>
      <c r="Q255" s="503"/>
      <c r="R255" s="503"/>
      <c r="S255" s="500">
        <v>0</v>
      </c>
      <c r="T255" s="501">
        <v>0</v>
      </c>
      <c r="U255" s="501">
        <v>0</v>
      </c>
      <c r="V255" s="501">
        <v>0</v>
      </c>
      <c r="W255" s="502">
        <v>0</v>
      </c>
      <c r="X255" s="503"/>
      <c r="Y255" s="503"/>
      <c r="Z255" s="504" t="s">
        <v>2054</v>
      </c>
      <c r="AA255" s="505" t="s">
        <v>2054</v>
      </c>
      <c r="AB255" s="505" t="s">
        <v>2054</v>
      </c>
      <c r="AC255" s="505" t="s">
        <v>2054</v>
      </c>
      <c r="AD255" s="506" t="s">
        <v>2054</v>
      </c>
      <c r="AE255" s="507"/>
      <c r="AF255" s="507"/>
      <c r="AG255" s="505" t="s">
        <v>2054</v>
      </c>
      <c r="AH255" s="501" t="s">
        <v>722</v>
      </c>
      <c r="AI255" s="505"/>
    </row>
    <row r="256" spans="2:35" x14ac:dyDescent="0.2">
      <c r="B256" s="352">
        <v>245</v>
      </c>
      <c r="C256" s="498" t="s">
        <v>739</v>
      </c>
      <c r="D256" s="496" t="s">
        <v>1997</v>
      </c>
      <c r="E256" s="508" t="s">
        <v>748</v>
      </c>
      <c r="F256" s="496" t="s">
        <v>765</v>
      </c>
      <c r="G256" s="496" t="b">
        <v>1</v>
      </c>
      <c r="H256" s="496"/>
      <c r="I256" s="496" t="s">
        <v>1904</v>
      </c>
      <c r="J256" s="498" t="s">
        <v>998</v>
      </c>
      <c r="K256" s="499" t="s">
        <v>999</v>
      </c>
      <c r="L256" s="500">
        <v>0</v>
      </c>
      <c r="M256" s="501">
        <v>0</v>
      </c>
      <c r="N256" s="501">
        <v>0</v>
      </c>
      <c r="O256" s="501">
        <v>0</v>
      </c>
      <c r="P256" s="502">
        <v>0</v>
      </c>
      <c r="Q256" s="503"/>
      <c r="R256" s="503"/>
      <c r="S256" s="500">
        <v>0</v>
      </c>
      <c r="T256" s="501">
        <v>0</v>
      </c>
      <c r="U256" s="501">
        <v>0</v>
      </c>
      <c r="V256" s="501">
        <v>0</v>
      </c>
      <c r="W256" s="502">
        <v>0</v>
      </c>
      <c r="X256" s="503"/>
      <c r="Y256" s="503"/>
      <c r="Z256" s="504" t="s">
        <v>2054</v>
      </c>
      <c r="AA256" s="505" t="s">
        <v>2054</v>
      </c>
      <c r="AB256" s="505" t="s">
        <v>2054</v>
      </c>
      <c r="AC256" s="505" t="s">
        <v>2054</v>
      </c>
      <c r="AD256" s="506" t="s">
        <v>2054</v>
      </c>
      <c r="AE256" s="507"/>
      <c r="AF256" s="507"/>
      <c r="AG256" s="505" t="s">
        <v>2054</v>
      </c>
      <c r="AH256" s="501" t="s">
        <v>722</v>
      </c>
      <c r="AI256" s="505"/>
    </row>
    <row r="257" spans="2:35" x14ac:dyDescent="0.2">
      <c r="B257" s="352">
        <v>246</v>
      </c>
      <c r="C257" s="498" t="s">
        <v>739</v>
      </c>
      <c r="D257" s="496" t="s">
        <v>1997</v>
      </c>
      <c r="E257" s="508" t="s">
        <v>748</v>
      </c>
      <c r="F257" s="496" t="s">
        <v>765</v>
      </c>
      <c r="G257" s="496" t="b">
        <v>1</v>
      </c>
      <c r="H257" s="496"/>
      <c r="I257" s="496" t="s">
        <v>1903</v>
      </c>
      <c r="J257" s="498" t="s">
        <v>1000</v>
      </c>
      <c r="K257" s="499" t="s">
        <v>1001</v>
      </c>
      <c r="L257" s="500">
        <v>0</v>
      </c>
      <c r="M257" s="501">
        <v>0</v>
      </c>
      <c r="N257" s="501">
        <v>0</v>
      </c>
      <c r="O257" s="501">
        <v>0</v>
      </c>
      <c r="P257" s="502">
        <v>11600.523288498216</v>
      </c>
      <c r="Q257" s="503"/>
      <c r="R257" s="503"/>
      <c r="S257" s="500">
        <v>0</v>
      </c>
      <c r="T257" s="501">
        <v>0</v>
      </c>
      <c r="U257" s="501">
        <v>0</v>
      </c>
      <c r="V257" s="501">
        <v>0</v>
      </c>
      <c r="W257" s="502">
        <v>11161.939031895294</v>
      </c>
      <c r="X257" s="503"/>
      <c r="Y257" s="503"/>
      <c r="Z257" s="504" t="s">
        <v>2054</v>
      </c>
      <c r="AA257" s="505" t="s">
        <v>2054</v>
      </c>
      <c r="AB257" s="505" t="s">
        <v>2054</v>
      </c>
      <c r="AC257" s="505" t="s">
        <v>2054</v>
      </c>
      <c r="AD257" s="506">
        <v>3.7807282110952189E-2</v>
      </c>
      <c r="AE257" s="507"/>
      <c r="AF257" s="507"/>
      <c r="AG257" s="505">
        <v>0.15</v>
      </c>
      <c r="AH257" s="501">
        <v>0</v>
      </c>
      <c r="AI257" s="505"/>
    </row>
    <row r="258" spans="2:35" x14ac:dyDescent="0.2">
      <c r="B258" s="352">
        <v>247</v>
      </c>
      <c r="C258" s="498" t="s">
        <v>739</v>
      </c>
      <c r="D258" s="496" t="s">
        <v>1997</v>
      </c>
      <c r="E258" s="508" t="s">
        <v>748</v>
      </c>
      <c r="F258" s="496" t="s">
        <v>765</v>
      </c>
      <c r="G258" s="496" t="b">
        <v>1</v>
      </c>
      <c r="H258" s="496"/>
      <c r="I258" s="496" t="s">
        <v>1903</v>
      </c>
      <c r="J258" s="498" t="s">
        <v>1002</v>
      </c>
      <c r="K258" s="499" t="s">
        <v>1003</v>
      </c>
      <c r="L258" s="500">
        <v>0</v>
      </c>
      <c r="M258" s="501">
        <v>0</v>
      </c>
      <c r="N258" s="501">
        <v>0</v>
      </c>
      <c r="O258" s="501">
        <v>0</v>
      </c>
      <c r="P258" s="502">
        <v>205.59153827544975</v>
      </c>
      <c r="Q258" s="503"/>
      <c r="R258" s="503"/>
      <c r="S258" s="500">
        <v>0</v>
      </c>
      <c r="T258" s="501">
        <v>0</v>
      </c>
      <c r="U258" s="501">
        <v>0</v>
      </c>
      <c r="V258" s="501">
        <v>0</v>
      </c>
      <c r="W258" s="502">
        <v>197.83382142861436</v>
      </c>
      <c r="X258" s="503"/>
      <c r="Y258" s="503"/>
      <c r="Z258" s="504" t="s">
        <v>2054</v>
      </c>
      <c r="AA258" s="505" t="s">
        <v>2054</v>
      </c>
      <c r="AB258" s="505" t="s">
        <v>2054</v>
      </c>
      <c r="AC258" s="505" t="s">
        <v>2054</v>
      </c>
      <c r="AD258" s="506">
        <v>3.7733638805900971E-2</v>
      </c>
      <c r="AE258" s="507"/>
      <c r="AF258" s="507"/>
      <c r="AG258" s="505">
        <v>0.08</v>
      </c>
      <c r="AH258" s="501">
        <v>0</v>
      </c>
      <c r="AI258" s="505"/>
    </row>
    <row r="259" spans="2:35" x14ac:dyDescent="0.2">
      <c r="B259" s="352">
        <v>248</v>
      </c>
      <c r="C259" s="498" t="s">
        <v>739</v>
      </c>
      <c r="D259" s="496" t="s">
        <v>1997</v>
      </c>
      <c r="E259" s="508" t="s">
        <v>748</v>
      </c>
      <c r="F259" s="496" t="s">
        <v>765</v>
      </c>
      <c r="G259" s="496" t="b">
        <v>1</v>
      </c>
      <c r="H259" s="496"/>
      <c r="I259" s="496" t="s">
        <v>1903</v>
      </c>
      <c r="J259" s="498" t="s">
        <v>1004</v>
      </c>
      <c r="K259" s="499" t="s">
        <v>1005</v>
      </c>
      <c r="L259" s="500">
        <v>0</v>
      </c>
      <c r="M259" s="501">
        <v>0</v>
      </c>
      <c r="N259" s="501">
        <v>0</v>
      </c>
      <c r="O259" s="501">
        <v>0</v>
      </c>
      <c r="P259" s="502">
        <v>0</v>
      </c>
      <c r="Q259" s="503"/>
      <c r="R259" s="503"/>
      <c r="S259" s="500">
        <v>0</v>
      </c>
      <c r="T259" s="501">
        <v>0</v>
      </c>
      <c r="U259" s="501">
        <v>0</v>
      </c>
      <c r="V259" s="501">
        <v>0</v>
      </c>
      <c r="W259" s="502">
        <v>0</v>
      </c>
      <c r="X259" s="503"/>
      <c r="Y259" s="503"/>
      <c r="Z259" s="504" t="s">
        <v>2054</v>
      </c>
      <c r="AA259" s="505" t="s">
        <v>2054</v>
      </c>
      <c r="AB259" s="505" t="s">
        <v>2054</v>
      </c>
      <c r="AC259" s="505" t="s">
        <v>2054</v>
      </c>
      <c r="AD259" s="506" t="s">
        <v>2054</v>
      </c>
      <c r="AE259" s="507"/>
      <c r="AF259" s="507"/>
      <c r="AG259" s="505" t="s">
        <v>2054</v>
      </c>
      <c r="AH259" s="501" t="s">
        <v>722</v>
      </c>
      <c r="AI259" s="505"/>
    </row>
    <row r="260" spans="2:35" x14ac:dyDescent="0.2">
      <c r="B260" s="352">
        <v>249</v>
      </c>
      <c r="C260" s="498" t="s">
        <v>739</v>
      </c>
      <c r="D260" s="496" t="s">
        <v>1997</v>
      </c>
      <c r="E260" s="508" t="s">
        <v>748</v>
      </c>
      <c r="F260" s="496" t="s">
        <v>765</v>
      </c>
      <c r="G260" s="496" t="b">
        <v>1</v>
      </c>
      <c r="H260" s="496"/>
      <c r="I260" s="496" t="s">
        <v>1903</v>
      </c>
      <c r="J260" s="498" t="s">
        <v>1006</v>
      </c>
      <c r="K260" s="499" t="s">
        <v>1007</v>
      </c>
      <c r="L260" s="500">
        <v>0</v>
      </c>
      <c r="M260" s="501">
        <v>0</v>
      </c>
      <c r="N260" s="501">
        <v>0</v>
      </c>
      <c r="O260" s="501">
        <v>0</v>
      </c>
      <c r="P260" s="502">
        <v>5946.7164921813155</v>
      </c>
      <c r="Q260" s="503"/>
      <c r="R260" s="503"/>
      <c r="S260" s="500">
        <v>0</v>
      </c>
      <c r="T260" s="501">
        <v>0</v>
      </c>
      <c r="U260" s="501">
        <v>0</v>
      </c>
      <c r="V260" s="501">
        <v>0</v>
      </c>
      <c r="W260" s="502">
        <v>5724.4969556068654</v>
      </c>
      <c r="X260" s="503"/>
      <c r="Y260" s="503"/>
      <c r="Z260" s="504" t="s">
        <v>2054</v>
      </c>
      <c r="AA260" s="505" t="s">
        <v>2054</v>
      </c>
      <c r="AB260" s="505" t="s">
        <v>2054</v>
      </c>
      <c r="AC260" s="505" t="s">
        <v>2054</v>
      </c>
      <c r="AD260" s="506">
        <v>3.7368443050315614E-2</v>
      </c>
      <c r="AE260" s="507"/>
      <c r="AF260" s="507"/>
      <c r="AG260" s="505">
        <v>0.08</v>
      </c>
      <c r="AH260" s="501">
        <v>0</v>
      </c>
      <c r="AI260" s="505"/>
    </row>
    <row r="261" spans="2:35" x14ac:dyDescent="0.2">
      <c r="B261" s="352">
        <v>250</v>
      </c>
      <c r="C261" s="498" t="s">
        <v>739</v>
      </c>
      <c r="D261" s="496" t="s">
        <v>1997</v>
      </c>
      <c r="E261" s="508" t="s">
        <v>748</v>
      </c>
      <c r="F261" s="496" t="s">
        <v>765</v>
      </c>
      <c r="G261" s="496" t="b">
        <v>1</v>
      </c>
      <c r="H261" s="496"/>
      <c r="I261" s="496" t="s">
        <v>1903</v>
      </c>
      <c r="J261" s="498" t="s">
        <v>1008</v>
      </c>
      <c r="K261" s="499" t="s">
        <v>1009</v>
      </c>
      <c r="L261" s="500">
        <v>0</v>
      </c>
      <c r="M261" s="501">
        <v>0</v>
      </c>
      <c r="N261" s="501">
        <v>0</v>
      </c>
      <c r="O261" s="501">
        <v>0</v>
      </c>
      <c r="P261" s="502">
        <v>701.05664920405093</v>
      </c>
      <c r="Q261" s="503"/>
      <c r="R261" s="503"/>
      <c r="S261" s="500">
        <v>0</v>
      </c>
      <c r="T261" s="501">
        <v>0</v>
      </c>
      <c r="U261" s="501">
        <v>0</v>
      </c>
      <c r="V261" s="501">
        <v>0</v>
      </c>
      <c r="W261" s="502">
        <v>675.54724606441755</v>
      </c>
      <c r="X261" s="503"/>
      <c r="Y261" s="503"/>
      <c r="Z261" s="504" t="s">
        <v>2054</v>
      </c>
      <c r="AA261" s="505" t="s">
        <v>2054</v>
      </c>
      <c r="AB261" s="505" t="s">
        <v>2054</v>
      </c>
      <c r="AC261" s="505" t="s">
        <v>2054</v>
      </c>
      <c r="AD261" s="506">
        <v>3.6387078231974068E-2</v>
      </c>
      <c r="AE261" s="507"/>
      <c r="AF261" s="507"/>
      <c r="AG261" s="505">
        <v>0.05</v>
      </c>
      <c r="AH261" s="501">
        <v>0</v>
      </c>
      <c r="AI261" s="505"/>
    </row>
    <row r="262" spans="2:35" x14ac:dyDescent="0.2">
      <c r="B262" s="352">
        <v>251</v>
      </c>
      <c r="C262" s="498" t="s">
        <v>739</v>
      </c>
      <c r="D262" s="496" t="s">
        <v>1997</v>
      </c>
      <c r="E262" s="508" t="s">
        <v>748</v>
      </c>
      <c r="F262" s="496" t="s">
        <v>765</v>
      </c>
      <c r="G262" s="496" t="b">
        <v>1</v>
      </c>
      <c r="H262" s="496"/>
      <c r="I262" s="496" t="s">
        <v>1905</v>
      </c>
      <c r="J262" s="498" t="s">
        <v>1848</v>
      </c>
      <c r="K262" s="499" t="s">
        <v>1849</v>
      </c>
      <c r="L262" s="500">
        <v>0</v>
      </c>
      <c r="M262" s="501">
        <v>0</v>
      </c>
      <c r="N262" s="501">
        <v>0</v>
      </c>
      <c r="O262" s="501">
        <v>0</v>
      </c>
      <c r="P262" s="502">
        <v>0</v>
      </c>
      <c r="Q262" s="503"/>
      <c r="R262" s="503"/>
      <c r="S262" s="500">
        <v>0</v>
      </c>
      <c r="T262" s="501">
        <v>0</v>
      </c>
      <c r="U262" s="501">
        <v>0</v>
      </c>
      <c r="V262" s="501">
        <v>0</v>
      </c>
      <c r="W262" s="502">
        <v>0</v>
      </c>
      <c r="X262" s="503"/>
      <c r="Y262" s="503"/>
      <c r="Z262" s="504" t="s">
        <v>2054</v>
      </c>
      <c r="AA262" s="505" t="s">
        <v>2054</v>
      </c>
      <c r="AB262" s="505" t="s">
        <v>2054</v>
      </c>
      <c r="AC262" s="505" t="s">
        <v>2054</v>
      </c>
      <c r="AD262" s="506" t="s">
        <v>2054</v>
      </c>
      <c r="AE262" s="507"/>
      <c r="AF262" s="507"/>
      <c r="AG262" s="505" t="s">
        <v>2054</v>
      </c>
      <c r="AH262" s="501" t="s">
        <v>722</v>
      </c>
      <c r="AI262" s="505"/>
    </row>
    <row r="263" spans="2:35" x14ac:dyDescent="0.2">
      <c r="B263" s="352">
        <v>252</v>
      </c>
      <c r="C263" s="498" t="s">
        <v>739</v>
      </c>
      <c r="D263" s="496" t="s">
        <v>1997</v>
      </c>
      <c r="E263" s="508" t="s">
        <v>748</v>
      </c>
      <c r="F263" s="496" t="s">
        <v>765</v>
      </c>
      <c r="G263" s="496" t="b">
        <v>1</v>
      </c>
      <c r="H263" s="496"/>
      <c r="I263" s="496" t="s">
        <v>1903</v>
      </c>
      <c r="J263" s="498" t="s">
        <v>1010</v>
      </c>
      <c r="K263" s="499" t="s">
        <v>1011</v>
      </c>
      <c r="L263" s="500">
        <v>0</v>
      </c>
      <c r="M263" s="501">
        <v>0</v>
      </c>
      <c r="N263" s="501">
        <v>0</v>
      </c>
      <c r="O263" s="501">
        <v>0</v>
      </c>
      <c r="P263" s="502">
        <v>0</v>
      </c>
      <c r="Q263" s="503"/>
      <c r="R263" s="503"/>
      <c r="S263" s="500">
        <v>0</v>
      </c>
      <c r="T263" s="501">
        <v>0</v>
      </c>
      <c r="U263" s="501">
        <v>0</v>
      </c>
      <c r="V263" s="501">
        <v>0</v>
      </c>
      <c r="W263" s="502">
        <v>0</v>
      </c>
      <c r="X263" s="503"/>
      <c r="Y263" s="503"/>
      <c r="Z263" s="504" t="s">
        <v>2054</v>
      </c>
      <c r="AA263" s="505" t="s">
        <v>2054</v>
      </c>
      <c r="AB263" s="505" t="s">
        <v>2054</v>
      </c>
      <c r="AC263" s="505" t="s">
        <v>2054</v>
      </c>
      <c r="AD263" s="506" t="s">
        <v>2054</v>
      </c>
      <c r="AE263" s="507"/>
      <c r="AF263" s="507"/>
      <c r="AG263" s="505" t="s">
        <v>2054</v>
      </c>
      <c r="AH263" s="501" t="s">
        <v>722</v>
      </c>
      <c r="AI263" s="505"/>
    </row>
    <row r="264" spans="2:35" x14ac:dyDescent="0.2">
      <c r="B264" s="352">
        <v>253</v>
      </c>
      <c r="C264" s="498" t="s">
        <v>739</v>
      </c>
      <c r="D264" s="496" t="s">
        <v>1997</v>
      </c>
      <c r="E264" s="508" t="s">
        <v>748</v>
      </c>
      <c r="F264" s="496" t="s">
        <v>765</v>
      </c>
      <c r="G264" s="496" t="b">
        <v>1</v>
      </c>
      <c r="H264" s="496"/>
      <c r="I264" s="496" t="s">
        <v>1903</v>
      </c>
      <c r="J264" s="498" t="s">
        <v>1012</v>
      </c>
      <c r="K264" s="499" t="s">
        <v>1013</v>
      </c>
      <c r="L264" s="500">
        <v>0</v>
      </c>
      <c r="M264" s="501">
        <v>0</v>
      </c>
      <c r="N264" s="501">
        <v>0</v>
      </c>
      <c r="O264" s="501">
        <v>0</v>
      </c>
      <c r="P264" s="502">
        <v>0</v>
      </c>
      <c r="Q264" s="503"/>
      <c r="R264" s="503"/>
      <c r="S264" s="500">
        <v>0</v>
      </c>
      <c r="T264" s="501">
        <v>0</v>
      </c>
      <c r="U264" s="501">
        <v>0</v>
      </c>
      <c r="V264" s="501">
        <v>0</v>
      </c>
      <c r="W264" s="502">
        <v>0</v>
      </c>
      <c r="X264" s="503"/>
      <c r="Y264" s="503"/>
      <c r="Z264" s="504" t="s">
        <v>2054</v>
      </c>
      <c r="AA264" s="505" t="s">
        <v>2054</v>
      </c>
      <c r="AB264" s="505" t="s">
        <v>2054</v>
      </c>
      <c r="AC264" s="505" t="s">
        <v>2054</v>
      </c>
      <c r="AD264" s="506" t="s">
        <v>2054</v>
      </c>
      <c r="AE264" s="507"/>
      <c r="AF264" s="507"/>
      <c r="AG264" s="505">
        <v>0.05</v>
      </c>
      <c r="AH264" s="501" t="s">
        <v>722</v>
      </c>
      <c r="AI264" s="505"/>
    </row>
    <row r="265" spans="2:35" x14ac:dyDescent="0.2">
      <c r="B265" s="352">
        <v>254</v>
      </c>
      <c r="C265" s="498" t="s">
        <v>739</v>
      </c>
      <c r="D265" s="496" t="s">
        <v>1997</v>
      </c>
      <c r="E265" s="508" t="s">
        <v>748</v>
      </c>
      <c r="F265" s="496" t="s">
        <v>765</v>
      </c>
      <c r="G265" s="496" t="b">
        <v>1</v>
      </c>
      <c r="H265" s="496"/>
      <c r="I265" s="496" t="s">
        <v>1903</v>
      </c>
      <c r="J265" s="498" t="s">
        <v>1014</v>
      </c>
      <c r="K265" s="499" t="s">
        <v>1893</v>
      </c>
      <c r="L265" s="500">
        <v>0</v>
      </c>
      <c r="M265" s="501">
        <v>0</v>
      </c>
      <c r="N265" s="501">
        <v>0</v>
      </c>
      <c r="O265" s="501">
        <v>0</v>
      </c>
      <c r="P265" s="502">
        <v>0</v>
      </c>
      <c r="Q265" s="503"/>
      <c r="R265" s="503"/>
      <c r="S265" s="500">
        <v>0</v>
      </c>
      <c r="T265" s="501">
        <v>0</v>
      </c>
      <c r="U265" s="501">
        <v>0</v>
      </c>
      <c r="V265" s="501">
        <v>0</v>
      </c>
      <c r="W265" s="502">
        <v>0</v>
      </c>
      <c r="X265" s="503"/>
      <c r="Y265" s="503"/>
      <c r="Z265" s="504" t="s">
        <v>2054</v>
      </c>
      <c r="AA265" s="505" t="s">
        <v>2054</v>
      </c>
      <c r="AB265" s="505" t="s">
        <v>2054</v>
      </c>
      <c r="AC265" s="505" t="s">
        <v>2054</v>
      </c>
      <c r="AD265" s="506" t="s">
        <v>2054</v>
      </c>
      <c r="AE265" s="507"/>
      <c r="AF265" s="507"/>
      <c r="AG265" s="505">
        <v>0.05</v>
      </c>
      <c r="AH265" s="501" t="s">
        <v>722</v>
      </c>
      <c r="AI265" s="505"/>
    </row>
    <row r="266" spans="2:35" x14ac:dyDescent="0.2">
      <c r="B266" s="352">
        <v>255</v>
      </c>
      <c r="C266" s="498" t="s">
        <v>739</v>
      </c>
      <c r="D266" s="496" t="s">
        <v>1997</v>
      </c>
      <c r="E266" s="508" t="s">
        <v>748</v>
      </c>
      <c r="F266" s="496" t="s">
        <v>765</v>
      </c>
      <c r="G266" s="496" t="b">
        <v>1</v>
      </c>
      <c r="H266" s="496"/>
      <c r="I266" s="496" t="s">
        <v>709</v>
      </c>
      <c r="J266" s="498" t="s">
        <v>1015</v>
      </c>
      <c r="K266" s="499" t="s">
        <v>1016</v>
      </c>
      <c r="L266" s="500">
        <v>0</v>
      </c>
      <c r="M266" s="501">
        <v>0</v>
      </c>
      <c r="N266" s="501">
        <v>0</v>
      </c>
      <c r="O266" s="501">
        <v>0</v>
      </c>
      <c r="P266" s="502">
        <v>0</v>
      </c>
      <c r="Q266" s="503"/>
      <c r="R266" s="503"/>
      <c r="S266" s="500">
        <v>0</v>
      </c>
      <c r="T266" s="501">
        <v>0</v>
      </c>
      <c r="U266" s="501">
        <v>0</v>
      </c>
      <c r="V266" s="501">
        <v>0</v>
      </c>
      <c r="W266" s="502">
        <v>0</v>
      </c>
      <c r="X266" s="503"/>
      <c r="Y266" s="503"/>
      <c r="Z266" s="504" t="s">
        <v>2054</v>
      </c>
      <c r="AA266" s="505" t="s">
        <v>2054</v>
      </c>
      <c r="AB266" s="505" t="s">
        <v>2054</v>
      </c>
      <c r="AC266" s="505" t="s">
        <v>2054</v>
      </c>
      <c r="AD266" s="506" t="s">
        <v>2054</v>
      </c>
      <c r="AE266" s="507"/>
      <c r="AF266" s="507"/>
      <c r="AG266" s="505" t="s">
        <v>2054</v>
      </c>
      <c r="AH266" s="501" t="s">
        <v>722</v>
      </c>
      <c r="AI266" s="505"/>
    </row>
    <row r="267" spans="2:35" x14ac:dyDescent="0.2">
      <c r="B267" s="352">
        <v>256</v>
      </c>
      <c r="C267" s="498" t="s">
        <v>739</v>
      </c>
      <c r="D267" s="496" t="s">
        <v>1997</v>
      </c>
      <c r="E267" s="508" t="s">
        <v>748</v>
      </c>
      <c r="F267" s="496" t="s">
        <v>765</v>
      </c>
      <c r="G267" s="496" t="b">
        <v>1</v>
      </c>
      <c r="H267" s="496"/>
      <c r="I267" s="496" t="s">
        <v>716</v>
      </c>
      <c r="J267" s="498" t="s">
        <v>1017</v>
      </c>
      <c r="K267" s="499" t="s">
        <v>1018</v>
      </c>
      <c r="L267" s="500">
        <v>0</v>
      </c>
      <c r="M267" s="501">
        <v>0</v>
      </c>
      <c r="N267" s="501">
        <v>0</v>
      </c>
      <c r="O267" s="501">
        <v>0</v>
      </c>
      <c r="P267" s="502">
        <v>1367.15908625833</v>
      </c>
      <c r="Q267" s="503"/>
      <c r="R267" s="503"/>
      <c r="S267" s="500">
        <v>0</v>
      </c>
      <c r="T267" s="501">
        <v>0</v>
      </c>
      <c r="U267" s="501">
        <v>0</v>
      </c>
      <c r="V267" s="501">
        <v>0</v>
      </c>
      <c r="W267" s="502">
        <v>1366.742703877288</v>
      </c>
      <c r="X267" s="503"/>
      <c r="Y267" s="503"/>
      <c r="Z267" s="504" t="s">
        <v>2054</v>
      </c>
      <c r="AA267" s="505" t="s">
        <v>2054</v>
      </c>
      <c r="AB267" s="505" t="s">
        <v>2054</v>
      </c>
      <c r="AC267" s="505" t="s">
        <v>2054</v>
      </c>
      <c r="AD267" s="506">
        <v>3.0456029969527787E-4</v>
      </c>
      <c r="AE267" s="507"/>
      <c r="AF267" s="507"/>
      <c r="AG267" s="505">
        <v>0.1</v>
      </c>
      <c r="AH267" s="501">
        <v>0</v>
      </c>
      <c r="AI267" s="505"/>
    </row>
    <row r="268" spans="2:35" x14ac:dyDescent="0.2">
      <c r="B268" s="352">
        <v>257</v>
      </c>
      <c r="C268" s="498" t="s">
        <v>739</v>
      </c>
      <c r="D268" s="496" t="s">
        <v>1997</v>
      </c>
      <c r="E268" s="508" t="s">
        <v>748</v>
      </c>
      <c r="F268" s="496" t="s">
        <v>765</v>
      </c>
      <c r="G268" s="496" t="b">
        <v>1</v>
      </c>
      <c r="H268" s="496"/>
      <c r="I268" s="496" t="s">
        <v>716</v>
      </c>
      <c r="J268" s="498" t="s">
        <v>1019</v>
      </c>
      <c r="K268" s="499" t="s">
        <v>1020</v>
      </c>
      <c r="L268" s="500">
        <v>0</v>
      </c>
      <c r="M268" s="501">
        <v>0</v>
      </c>
      <c r="N268" s="501">
        <v>0</v>
      </c>
      <c r="O268" s="501">
        <v>0</v>
      </c>
      <c r="P268" s="502">
        <v>9509.7137943520902</v>
      </c>
      <c r="Q268" s="503"/>
      <c r="R268" s="503"/>
      <c r="S268" s="500">
        <v>0</v>
      </c>
      <c r="T268" s="501">
        <v>0</v>
      </c>
      <c r="U268" s="501">
        <v>0</v>
      </c>
      <c r="V268" s="501">
        <v>0</v>
      </c>
      <c r="W268" s="502">
        <v>9203.8527739132714</v>
      </c>
      <c r="X268" s="503"/>
      <c r="Y268" s="503"/>
      <c r="Z268" s="504" t="s">
        <v>2054</v>
      </c>
      <c r="AA268" s="505" t="s">
        <v>2054</v>
      </c>
      <c r="AB268" s="505" t="s">
        <v>2054</v>
      </c>
      <c r="AC268" s="505" t="s">
        <v>2054</v>
      </c>
      <c r="AD268" s="506">
        <v>3.2163010060352493E-2</v>
      </c>
      <c r="AE268" s="507"/>
      <c r="AF268" s="507"/>
      <c r="AG268" s="505">
        <v>0.05</v>
      </c>
      <c r="AH268" s="501">
        <v>0</v>
      </c>
      <c r="AI268" s="505"/>
    </row>
    <row r="269" spans="2:35" x14ac:dyDescent="0.2">
      <c r="B269" s="352">
        <v>258</v>
      </c>
      <c r="C269" s="498" t="s">
        <v>739</v>
      </c>
      <c r="D269" s="496" t="s">
        <v>1997</v>
      </c>
      <c r="E269" s="508" t="s">
        <v>748</v>
      </c>
      <c r="F269" s="496" t="s">
        <v>765</v>
      </c>
      <c r="G269" s="496" t="b">
        <v>1</v>
      </c>
      <c r="H269" s="496"/>
      <c r="I269" s="496" t="s">
        <v>716</v>
      </c>
      <c r="J269" s="498" t="s">
        <v>1021</v>
      </c>
      <c r="K269" s="499" t="s">
        <v>751</v>
      </c>
      <c r="L269" s="500">
        <v>0</v>
      </c>
      <c r="M269" s="501">
        <v>0</v>
      </c>
      <c r="N269" s="501">
        <v>0</v>
      </c>
      <c r="O269" s="501">
        <v>0</v>
      </c>
      <c r="P269" s="502">
        <v>12276.647045001022</v>
      </c>
      <c r="Q269" s="503"/>
      <c r="R269" s="503"/>
      <c r="S269" s="500">
        <v>0</v>
      </c>
      <c r="T269" s="501">
        <v>0</v>
      </c>
      <c r="U269" s="501">
        <v>0</v>
      </c>
      <c r="V269" s="501">
        <v>0</v>
      </c>
      <c r="W269" s="502">
        <v>12248.922499444803</v>
      </c>
      <c r="X269" s="503"/>
      <c r="Y269" s="503"/>
      <c r="Z269" s="504" t="s">
        <v>2054</v>
      </c>
      <c r="AA269" s="505" t="s">
        <v>2054</v>
      </c>
      <c r="AB269" s="505" t="s">
        <v>2054</v>
      </c>
      <c r="AC269" s="505" t="s">
        <v>2054</v>
      </c>
      <c r="AD269" s="506">
        <v>2.2583157644422425E-3</v>
      </c>
      <c r="AE269" s="507"/>
      <c r="AF269" s="507"/>
      <c r="AG269" s="505">
        <v>0.1</v>
      </c>
      <c r="AH269" s="501">
        <v>0</v>
      </c>
      <c r="AI269" s="505"/>
    </row>
    <row r="270" spans="2:35" x14ac:dyDescent="0.2">
      <c r="B270" s="352">
        <v>259</v>
      </c>
      <c r="C270" s="498" t="s">
        <v>739</v>
      </c>
      <c r="D270" s="496" t="s">
        <v>1997</v>
      </c>
      <c r="E270" s="508" t="s">
        <v>748</v>
      </c>
      <c r="F270" s="496" t="s">
        <v>765</v>
      </c>
      <c r="G270" s="496" t="b">
        <v>1</v>
      </c>
      <c r="H270" s="496"/>
      <c r="I270" s="496" t="s">
        <v>1908</v>
      </c>
      <c r="J270" s="498" t="s">
        <v>1846</v>
      </c>
      <c r="K270" s="499" t="s">
        <v>1895</v>
      </c>
      <c r="L270" s="500">
        <v>0</v>
      </c>
      <c r="M270" s="501">
        <v>0</v>
      </c>
      <c r="N270" s="501">
        <v>0</v>
      </c>
      <c r="O270" s="501">
        <v>0</v>
      </c>
      <c r="P270" s="502">
        <v>14041.575114420764</v>
      </c>
      <c r="Q270" s="503"/>
      <c r="R270" s="503"/>
      <c r="S270" s="500">
        <v>0</v>
      </c>
      <c r="T270" s="501">
        <v>0</v>
      </c>
      <c r="U270" s="501">
        <v>0</v>
      </c>
      <c r="V270" s="501">
        <v>0</v>
      </c>
      <c r="W270" s="502">
        <v>14041.575114420764</v>
      </c>
      <c r="X270" s="503"/>
      <c r="Y270" s="503"/>
      <c r="Z270" s="504" t="s">
        <v>2054</v>
      </c>
      <c r="AA270" s="505" t="s">
        <v>2054</v>
      </c>
      <c r="AB270" s="505" t="s">
        <v>2054</v>
      </c>
      <c r="AC270" s="505" t="s">
        <v>2054</v>
      </c>
      <c r="AD270" s="506">
        <v>0</v>
      </c>
      <c r="AE270" s="507"/>
      <c r="AF270" s="507"/>
      <c r="AG270" s="505">
        <v>0.2</v>
      </c>
      <c r="AH270" s="501" t="s">
        <v>722</v>
      </c>
      <c r="AI270" s="505"/>
    </row>
    <row r="271" spans="2:35" x14ac:dyDescent="0.2">
      <c r="B271" s="352">
        <v>260</v>
      </c>
      <c r="C271" s="498" t="s">
        <v>739</v>
      </c>
      <c r="D271" s="496" t="s">
        <v>1997</v>
      </c>
      <c r="E271" s="508" t="s">
        <v>748</v>
      </c>
      <c r="F271" s="496" t="s">
        <v>765</v>
      </c>
      <c r="G271" s="496" t="b">
        <v>1</v>
      </c>
      <c r="H271" s="496"/>
      <c r="I271" s="496" t="s">
        <v>1905</v>
      </c>
      <c r="J271" s="498" t="s">
        <v>1847</v>
      </c>
      <c r="K271" s="499" t="s">
        <v>1894</v>
      </c>
      <c r="L271" s="500">
        <v>0</v>
      </c>
      <c r="M271" s="501">
        <v>0</v>
      </c>
      <c r="N271" s="501">
        <v>0</v>
      </c>
      <c r="O271" s="501">
        <v>0</v>
      </c>
      <c r="P271" s="502">
        <v>0</v>
      </c>
      <c r="Q271" s="503"/>
      <c r="R271" s="503"/>
      <c r="S271" s="500">
        <v>0</v>
      </c>
      <c r="T271" s="501">
        <v>0</v>
      </c>
      <c r="U271" s="501">
        <v>0</v>
      </c>
      <c r="V271" s="501">
        <v>0</v>
      </c>
      <c r="W271" s="502">
        <v>0</v>
      </c>
      <c r="X271" s="503"/>
      <c r="Y271" s="503"/>
      <c r="Z271" s="504" t="s">
        <v>2054</v>
      </c>
      <c r="AA271" s="505" t="s">
        <v>2054</v>
      </c>
      <c r="AB271" s="505" t="s">
        <v>2054</v>
      </c>
      <c r="AC271" s="505" t="s">
        <v>2054</v>
      </c>
      <c r="AD271" s="506" t="s">
        <v>2054</v>
      </c>
      <c r="AE271" s="507"/>
      <c r="AF271" s="507"/>
      <c r="AG271" s="505">
        <v>0.2</v>
      </c>
      <c r="AH271" s="501" t="s">
        <v>722</v>
      </c>
      <c r="AI271" s="505"/>
    </row>
    <row r="272" spans="2:35" x14ac:dyDescent="0.2">
      <c r="B272" s="352">
        <v>261</v>
      </c>
      <c r="C272" s="496" t="s">
        <v>754</v>
      </c>
      <c r="D272" s="496" t="s">
        <v>1999</v>
      </c>
      <c r="E272" s="508" t="s">
        <v>752</v>
      </c>
      <c r="F272" s="496" t="s">
        <v>964</v>
      </c>
      <c r="G272" s="496" t="b">
        <v>0</v>
      </c>
      <c r="H272" s="496"/>
      <c r="I272" s="496" t="s">
        <v>762</v>
      </c>
      <c r="J272" s="498" t="s">
        <v>969</v>
      </c>
      <c r="K272" s="499" t="s">
        <v>970</v>
      </c>
      <c r="L272" s="500">
        <v>18809.189368531246</v>
      </c>
      <c r="M272" s="501">
        <v>18809.189368531246</v>
      </c>
      <c r="N272" s="501">
        <v>18809.189368531246</v>
      </c>
      <c r="O272" s="501">
        <v>18809.189368531246</v>
      </c>
      <c r="P272" s="502">
        <v>18809.189368531246</v>
      </c>
      <c r="Q272" s="503"/>
      <c r="R272" s="503"/>
      <c r="S272" s="500">
        <v>18809.189368531246</v>
      </c>
      <c r="T272" s="501">
        <v>18809.189368531246</v>
      </c>
      <c r="U272" s="501">
        <v>18809.189368531246</v>
      </c>
      <c r="V272" s="501">
        <v>18809.189368531246</v>
      </c>
      <c r="W272" s="502">
        <v>18809.189368531246</v>
      </c>
      <c r="X272" s="503"/>
      <c r="Y272" s="503"/>
      <c r="Z272" s="504">
        <v>0</v>
      </c>
      <c r="AA272" s="505">
        <v>0</v>
      </c>
      <c r="AB272" s="505">
        <v>0</v>
      </c>
      <c r="AC272" s="505">
        <v>0</v>
      </c>
      <c r="AD272" s="506">
        <v>0</v>
      </c>
      <c r="AE272" s="507"/>
      <c r="AF272" s="507"/>
      <c r="AG272" s="505">
        <v>0.05</v>
      </c>
      <c r="AH272" s="501" t="s">
        <v>722</v>
      </c>
      <c r="AI272" s="505"/>
    </row>
    <row r="273" spans="2:35" x14ac:dyDescent="0.2">
      <c r="B273" s="352">
        <v>262</v>
      </c>
      <c r="C273" s="496" t="s">
        <v>754</v>
      </c>
      <c r="D273" s="496" t="s">
        <v>1999</v>
      </c>
      <c r="E273" s="508" t="s">
        <v>752</v>
      </c>
      <c r="F273" s="496" t="s">
        <v>964</v>
      </c>
      <c r="G273" s="496" t="b">
        <v>0</v>
      </c>
      <c r="H273" s="496"/>
      <c r="I273" s="496" t="s">
        <v>762</v>
      </c>
      <c r="J273" s="498" t="s">
        <v>971</v>
      </c>
      <c r="K273" s="499" t="s">
        <v>972</v>
      </c>
      <c r="L273" s="500">
        <v>1121.1440925045511</v>
      </c>
      <c r="M273" s="501">
        <v>1121.1440925045511</v>
      </c>
      <c r="N273" s="501">
        <v>1121.1440925045508</v>
      </c>
      <c r="O273" s="501">
        <v>1121.1440925045508</v>
      </c>
      <c r="P273" s="502">
        <v>1121.1440925045508</v>
      </c>
      <c r="Q273" s="503"/>
      <c r="R273" s="503"/>
      <c r="S273" s="500">
        <v>1121.1440925045511</v>
      </c>
      <c r="T273" s="501">
        <v>1121.1440925045511</v>
      </c>
      <c r="U273" s="501">
        <v>1121.1440925045508</v>
      </c>
      <c r="V273" s="501">
        <v>1121.1440925045508</v>
      </c>
      <c r="W273" s="502">
        <v>1121.1440925045508</v>
      </c>
      <c r="X273" s="503"/>
      <c r="Y273" s="503"/>
      <c r="Z273" s="504">
        <v>0</v>
      </c>
      <c r="AA273" s="505">
        <v>0</v>
      </c>
      <c r="AB273" s="505">
        <v>0</v>
      </c>
      <c r="AC273" s="505">
        <v>0</v>
      </c>
      <c r="AD273" s="506">
        <v>0</v>
      </c>
      <c r="AE273" s="507"/>
      <c r="AF273" s="507"/>
      <c r="AG273" s="505">
        <v>0.11</v>
      </c>
      <c r="AH273" s="501" t="s">
        <v>722</v>
      </c>
      <c r="AI273" s="505"/>
    </row>
    <row r="274" spans="2:35" x14ac:dyDescent="0.2">
      <c r="B274" s="352">
        <v>263</v>
      </c>
      <c r="C274" s="496" t="s">
        <v>754</v>
      </c>
      <c r="D274" s="496" t="s">
        <v>1999</v>
      </c>
      <c r="E274" s="508" t="s">
        <v>752</v>
      </c>
      <c r="F274" s="496" t="s">
        <v>964</v>
      </c>
      <c r="G274" s="496" t="b">
        <v>0</v>
      </c>
      <c r="H274" s="496"/>
      <c r="I274" s="496" t="s">
        <v>762</v>
      </c>
      <c r="J274" s="498" t="s">
        <v>973</v>
      </c>
      <c r="K274" s="499" t="s">
        <v>974</v>
      </c>
      <c r="L274" s="500">
        <v>1486.4617114438606</v>
      </c>
      <c r="M274" s="501">
        <v>1486.4617114438606</v>
      </c>
      <c r="N274" s="501">
        <v>1536.3827546255011</v>
      </c>
      <c r="O274" s="501">
        <v>1536.3827546255011</v>
      </c>
      <c r="P274" s="502">
        <v>1536.3827546255011</v>
      </c>
      <c r="Q274" s="503"/>
      <c r="R274" s="503"/>
      <c r="S274" s="500">
        <v>1486.4617114438606</v>
      </c>
      <c r="T274" s="501">
        <v>1486.4617114438606</v>
      </c>
      <c r="U274" s="501">
        <v>1536.3827546255011</v>
      </c>
      <c r="V274" s="501">
        <v>1536.3827546255011</v>
      </c>
      <c r="W274" s="502">
        <v>1536.3827546255011</v>
      </c>
      <c r="X274" s="503"/>
      <c r="Y274" s="503"/>
      <c r="Z274" s="504">
        <v>0</v>
      </c>
      <c r="AA274" s="505">
        <v>0</v>
      </c>
      <c r="AB274" s="505">
        <v>0</v>
      </c>
      <c r="AC274" s="505">
        <v>0</v>
      </c>
      <c r="AD274" s="506">
        <v>0</v>
      </c>
      <c r="AE274" s="507"/>
      <c r="AF274" s="507"/>
      <c r="AG274" s="505">
        <v>0.05</v>
      </c>
      <c r="AH274" s="501" t="s">
        <v>722</v>
      </c>
      <c r="AI274" s="505"/>
    </row>
    <row r="275" spans="2:35" x14ac:dyDescent="0.2">
      <c r="B275" s="352">
        <v>264</v>
      </c>
      <c r="C275" s="496" t="s">
        <v>754</v>
      </c>
      <c r="D275" s="496" t="s">
        <v>1999</v>
      </c>
      <c r="E275" s="508" t="s">
        <v>752</v>
      </c>
      <c r="F275" s="496" t="s">
        <v>964</v>
      </c>
      <c r="G275" s="496" t="b">
        <v>0</v>
      </c>
      <c r="H275" s="496"/>
      <c r="I275" s="496" t="s">
        <v>762</v>
      </c>
      <c r="J275" s="498" t="s">
        <v>975</v>
      </c>
      <c r="K275" s="499" t="s">
        <v>976</v>
      </c>
      <c r="L275" s="500">
        <v>0</v>
      </c>
      <c r="M275" s="501">
        <v>0</v>
      </c>
      <c r="N275" s="501">
        <v>0</v>
      </c>
      <c r="O275" s="501">
        <v>0</v>
      </c>
      <c r="P275" s="502">
        <v>0</v>
      </c>
      <c r="Q275" s="503"/>
      <c r="R275" s="503"/>
      <c r="S275" s="500">
        <v>0</v>
      </c>
      <c r="T275" s="501">
        <v>0</v>
      </c>
      <c r="U275" s="501">
        <v>0</v>
      </c>
      <c r="V275" s="501">
        <v>0</v>
      </c>
      <c r="W275" s="502">
        <v>0</v>
      </c>
      <c r="X275" s="503"/>
      <c r="Y275" s="503"/>
      <c r="Z275" s="504" t="s">
        <v>2054</v>
      </c>
      <c r="AA275" s="505" t="s">
        <v>2054</v>
      </c>
      <c r="AB275" s="505" t="s">
        <v>2054</v>
      </c>
      <c r="AC275" s="505" t="s">
        <v>2054</v>
      </c>
      <c r="AD275" s="506" t="s">
        <v>2054</v>
      </c>
      <c r="AE275" s="507"/>
      <c r="AF275" s="507"/>
      <c r="AG275" s="505" t="s">
        <v>2054</v>
      </c>
      <c r="AH275" s="501" t="s">
        <v>722</v>
      </c>
      <c r="AI275" s="505"/>
    </row>
    <row r="276" spans="2:35" x14ac:dyDescent="0.2">
      <c r="B276" s="352">
        <v>265</v>
      </c>
      <c r="C276" s="496" t="s">
        <v>754</v>
      </c>
      <c r="D276" s="496" t="s">
        <v>1999</v>
      </c>
      <c r="E276" s="508" t="s">
        <v>752</v>
      </c>
      <c r="F276" s="496" t="s">
        <v>964</v>
      </c>
      <c r="G276" s="496" t="b">
        <v>0</v>
      </c>
      <c r="H276" s="496"/>
      <c r="I276" s="496" t="s">
        <v>762</v>
      </c>
      <c r="J276" s="498" t="s">
        <v>977</v>
      </c>
      <c r="K276" s="499" t="s">
        <v>864</v>
      </c>
      <c r="L276" s="500">
        <v>148.82901907019368</v>
      </c>
      <c r="M276" s="501">
        <v>148.82901907019368</v>
      </c>
      <c r="N276" s="501">
        <v>219.41310090799618</v>
      </c>
      <c r="O276" s="501">
        <v>219.41310090799618</v>
      </c>
      <c r="P276" s="502">
        <v>219.41310090799618</v>
      </c>
      <c r="Q276" s="503"/>
      <c r="R276" s="503"/>
      <c r="S276" s="500">
        <v>148.82901907019368</v>
      </c>
      <c r="T276" s="501">
        <v>148.82901907019368</v>
      </c>
      <c r="U276" s="501">
        <v>219.41310090799618</v>
      </c>
      <c r="V276" s="501">
        <v>219.41310090799618</v>
      </c>
      <c r="W276" s="502">
        <v>219.41310090799618</v>
      </c>
      <c r="X276" s="503"/>
      <c r="Y276" s="503"/>
      <c r="Z276" s="504">
        <v>0</v>
      </c>
      <c r="AA276" s="505">
        <v>0</v>
      </c>
      <c r="AB276" s="505">
        <v>0</v>
      </c>
      <c r="AC276" s="505">
        <v>0</v>
      </c>
      <c r="AD276" s="506">
        <v>0</v>
      </c>
      <c r="AE276" s="507"/>
      <c r="AF276" s="507"/>
      <c r="AG276" s="505">
        <v>0.05</v>
      </c>
      <c r="AH276" s="501" t="s">
        <v>722</v>
      </c>
      <c r="AI276" s="505"/>
    </row>
    <row r="277" spans="2:35" x14ac:dyDescent="0.2">
      <c r="B277" s="352">
        <v>266</v>
      </c>
      <c r="C277" s="496" t="s">
        <v>754</v>
      </c>
      <c r="D277" s="496" t="s">
        <v>1999</v>
      </c>
      <c r="E277" s="508" t="s">
        <v>752</v>
      </c>
      <c r="F277" s="496" t="s">
        <v>964</v>
      </c>
      <c r="G277" s="496" t="b">
        <v>0</v>
      </c>
      <c r="H277" s="496"/>
      <c r="I277" s="496" t="s">
        <v>762</v>
      </c>
      <c r="J277" s="498" t="s">
        <v>978</v>
      </c>
      <c r="K277" s="499" t="s">
        <v>1892</v>
      </c>
      <c r="L277" s="500">
        <v>940.10711159800303</v>
      </c>
      <c r="M277" s="501">
        <v>940.10711159800303</v>
      </c>
      <c r="N277" s="501">
        <v>940.10711159800303</v>
      </c>
      <c r="O277" s="501">
        <v>940.10711159800303</v>
      </c>
      <c r="P277" s="502">
        <v>940.10711159800303</v>
      </c>
      <c r="Q277" s="503"/>
      <c r="R277" s="503"/>
      <c r="S277" s="500">
        <v>940.10711159800303</v>
      </c>
      <c r="T277" s="501">
        <v>940.10711159800303</v>
      </c>
      <c r="U277" s="501">
        <v>940.10711159800303</v>
      </c>
      <c r="V277" s="501">
        <v>940.10711159800303</v>
      </c>
      <c r="W277" s="502">
        <v>940.10711159800303</v>
      </c>
      <c r="X277" s="503"/>
      <c r="Y277" s="503"/>
      <c r="Z277" s="504">
        <v>0</v>
      </c>
      <c r="AA277" s="505">
        <v>0</v>
      </c>
      <c r="AB277" s="505">
        <v>0</v>
      </c>
      <c r="AC277" s="505">
        <v>0</v>
      </c>
      <c r="AD277" s="506">
        <v>0</v>
      </c>
      <c r="AE277" s="507"/>
      <c r="AF277" s="507"/>
      <c r="AG277" s="505" t="s">
        <v>2054</v>
      </c>
      <c r="AH277" s="501" t="s">
        <v>722</v>
      </c>
      <c r="AI277" s="505"/>
    </row>
    <row r="278" spans="2:35" x14ac:dyDescent="0.2">
      <c r="B278" s="352">
        <v>267</v>
      </c>
      <c r="C278" s="496" t="s">
        <v>754</v>
      </c>
      <c r="D278" s="496" t="s">
        <v>1999</v>
      </c>
      <c r="E278" s="508" t="s">
        <v>752</v>
      </c>
      <c r="F278" s="496" t="s">
        <v>964</v>
      </c>
      <c r="G278" s="496" t="b">
        <v>0</v>
      </c>
      <c r="H278" s="496"/>
      <c r="I278" s="496" t="s">
        <v>762</v>
      </c>
      <c r="J278" s="498" t="s">
        <v>979</v>
      </c>
      <c r="K278" s="499" t="s">
        <v>980</v>
      </c>
      <c r="L278" s="500">
        <v>45.767290188694304</v>
      </c>
      <c r="M278" s="501">
        <v>45.767290188694304</v>
      </c>
      <c r="N278" s="501">
        <v>45.767290188694297</v>
      </c>
      <c r="O278" s="501">
        <v>45.767290188694297</v>
      </c>
      <c r="P278" s="502">
        <v>45.767290188694297</v>
      </c>
      <c r="Q278" s="503"/>
      <c r="R278" s="503"/>
      <c r="S278" s="500">
        <v>45.767290188694304</v>
      </c>
      <c r="T278" s="501">
        <v>45.767290188694304</v>
      </c>
      <c r="U278" s="501">
        <v>45.767290188694297</v>
      </c>
      <c r="V278" s="501">
        <v>45.767290188694297</v>
      </c>
      <c r="W278" s="502">
        <v>45.767290188694297</v>
      </c>
      <c r="X278" s="503"/>
      <c r="Y278" s="503"/>
      <c r="Z278" s="504">
        <v>0</v>
      </c>
      <c r="AA278" s="505">
        <v>0</v>
      </c>
      <c r="AB278" s="505">
        <v>0</v>
      </c>
      <c r="AC278" s="505">
        <v>0</v>
      </c>
      <c r="AD278" s="506">
        <v>0</v>
      </c>
      <c r="AE278" s="507"/>
      <c r="AF278" s="507"/>
      <c r="AG278" s="505">
        <v>0.05</v>
      </c>
      <c r="AH278" s="501" t="s">
        <v>722</v>
      </c>
      <c r="AI278" s="505"/>
    </row>
    <row r="279" spans="2:35" x14ac:dyDescent="0.2">
      <c r="B279" s="352">
        <v>268</v>
      </c>
      <c r="C279" s="496" t="s">
        <v>754</v>
      </c>
      <c r="D279" s="496" t="s">
        <v>1999</v>
      </c>
      <c r="E279" s="508" t="s">
        <v>752</v>
      </c>
      <c r="F279" s="496" t="s">
        <v>964</v>
      </c>
      <c r="G279" s="496" t="b">
        <v>0</v>
      </c>
      <c r="H279" s="496"/>
      <c r="I279" s="496" t="s">
        <v>762</v>
      </c>
      <c r="J279" s="498" t="s">
        <v>981</v>
      </c>
      <c r="K279" s="499" t="s">
        <v>3674</v>
      </c>
      <c r="L279" s="500">
        <v>0</v>
      </c>
      <c r="M279" s="501">
        <v>0</v>
      </c>
      <c r="N279" s="501">
        <v>0</v>
      </c>
      <c r="O279" s="501">
        <v>0</v>
      </c>
      <c r="P279" s="502">
        <v>0</v>
      </c>
      <c r="Q279" s="503"/>
      <c r="R279" s="503"/>
      <c r="S279" s="500">
        <v>0</v>
      </c>
      <c r="T279" s="501">
        <v>0</v>
      </c>
      <c r="U279" s="501">
        <v>0</v>
      </c>
      <c r="V279" s="501">
        <v>0</v>
      </c>
      <c r="W279" s="502">
        <v>0</v>
      </c>
      <c r="X279" s="503"/>
      <c r="Y279" s="503"/>
      <c r="Z279" s="504" t="s">
        <v>2054</v>
      </c>
      <c r="AA279" s="505" t="s">
        <v>2054</v>
      </c>
      <c r="AB279" s="505" t="s">
        <v>2054</v>
      </c>
      <c r="AC279" s="505" t="s">
        <v>2054</v>
      </c>
      <c r="AD279" s="506" t="s">
        <v>2054</v>
      </c>
      <c r="AE279" s="507"/>
      <c r="AF279" s="507"/>
      <c r="AG279" s="505">
        <v>0.05</v>
      </c>
      <c r="AH279" s="501" t="s">
        <v>722</v>
      </c>
      <c r="AI279" s="505"/>
    </row>
    <row r="280" spans="2:35" x14ac:dyDescent="0.2">
      <c r="B280" s="352">
        <v>269</v>
      </c>
      <c r="C280" s="496" t="s">
        <v>754</v>
      </c>
      <c r="D280" s="496" t="s">
        <v>1999</v>
      </c>
      <c r="E280" s="508" t="s">
        <v>752</v>
      </c>
      <c r="F280" s="496" t="s">
        <v>964</v>
      </c>
      <c r="G280" s="496" t="b">
        <v>0</v>
      </c>
      <c r="H280" s="496"/>
      <c r="I280" s="496" t="s">
        <v>1903</v>
      </c>
      <c r="J280" s="498" t="s">
        <v>982</v>
      </c>
      <c r="K280" s="499" t="s">
        <v>983</v>
      </c>
      <c r="L280" s="500">
        <v>344.71253017972879</v>
      </c>
      <c r="M280" s="501">
        <v>344.71253017972879</v>
      </c>
      <c r="N280" s="501">
        <v>344.71253017972879</v>
      </c>
      <c r="O280" s="501">
        <v>344.71253017972879</v>
      </c>
      <c r="P280" s="502">
        <v>344.71253017972879</v>
      </c>
      <c r="Q280" s="503"/>
      <c r="R280" s="503"/>
      <c r="S280" s="500">
        <v>344.71253017972879</v>
      </c>
      <c r="T280" s="501">
        <v>344.71253017972879</v>
      </c>
      <c r="U280" s="501">
        <v>344.71253017972879</v>
      </c>
      <c r="V280" s="501">
        <v>344.71253017972879</v>
      </c>
      <c r="W280" s="502">
        <v>344.71253017972879</v>
      </c>
      <c r="X280" s="503"/>
      <c r="Y280" s="503"/>
      <c r="Z280" s="504">
        <v>0</v>
      </c>
      <c r="AA280" s="505">
        <v>0</v>
      </c>
      <c r="AB280" s="505">
        <v>0</v>
      </c>
      <c r="AC280" s="505">
        <v>0</v>
      </c>
      <c r="AD280" s="506">
        <v>0</v>
      </c>
      <c r="AE280" s="507"/>
      <c r="AF280" s="507"/>
      <c r="AG280" s="505">
        <v>0.06</v>
      </c>
      <c r="AH280" s="501" t="s">
        <v>722</v>
      </c>
      <c r="AI280" s="505"/>
    </row>
    <row r="281" spans="2:35" x14ac:dyDescent="0.2">
      <c r="B281" s="352">
        <v>270</v>
      </c>
      <c r="C281" s="496" t="s">
        <v>754</v>
      </c>
      <c r="D281" s="496" t="s">
        <v>1999</v>
      </c>
      <c r="E281" s="508" t="s">
        <v>752</v>
      </c>
      <c r="F281" s="496" t="s">
        <v>964</v>
      </c>
      <c r="G281" s="496" t="b">
        <v>0</v>
      </c>
      <c r="H281" s="496"/>
      <c r="I281" s="496" t="s">
        <v>1903</v>
      </c>
      <c r="J281" s="498" t="s">
        <v>984</v>
      </c>
      <c r="K281" s="499" t="s">
        <v>985</v>
      </c>
      <c r="L281" s="500">
        <v>24.295138204122495</v>
      </c>
      <c r="M281" s="501">
        <v>24.295138204122495</v>
      </c>
      <c r="N281" s="501">
        <v>27.252940384489456</v>
      </c>
      <c r="O281" s="501">
        <v>27.252940384489456</v>
      </c>
      <c r="P281" s="502">
        <v>27.252940384489456</v>
      </c>
      <c r="Q281" s="503"/>
      <c r="R281" s="503"/>
      <c r="S281" s="500">
        <v>24.295138204122495</v>
      </c>
      <c r="T281" s="501">
        <v>24.295138204122495</v>
      </c>
      <c r="U281" s="501">
        <v>27.252940384489456</v>
      </c>
      <c r="V281" s="501">
        <v>27.252940384489456</v>
      </c>
      <c r="W281" s="502">
        <v>27.252940384489456</v>
      </c>
      <c r="X281" s="503"/>
      <c r="Y281" s="503"/>
      <c r="Z281" s="504">
        <v>0</v>
      </c>
      <c r="AA281" s="505">
        <v>0</v>
      </c>
      <c r="AB281" s="505">
        <v>0</v>
      </c>
      <c r="AC281" s="505">
        <v>0</v>
      </c>
      <c r="AD281" s="506">
        <v>0</v>
      </c>
      <c r="AE281" s="507"/>
      <c r="AF281" s="507"/>
      <c r="AG281" s="505">
        <v>0.05</v>
      </c>
      <c r="AH281" s="501" t="s">
        <v>722</v>
      </c>
      <c r="AI281" s="505"/>
    </row>
    <row r="282" spans="2:35" x14ac:dyDescent="0.2">
      <c r="B282" s="352">
        <v>271</v>
      </c>
      <c r="C282" s="496" t="s">
        <v>754</v>
      </c>
      <c r="D282" s="496" t="s">
        <v>1999</v>
      </c>
      <c r="E282" s="508" t="s">
        <v>752</v>
      </c>
      <c r="F282" s="496" t="s">
        <v>964</v>
      </c>
      <c r="G282" s="496" t="b">
        <v>0</v>
      </c>
      <c r="H282" s="496"/>
      <c r="I282" s="496" t="s">
        <v>1903</v>
      </c>
      <c r="J282" s="498" t="s">
        <v>986</v>
      </c>
      <c r="K282" s="499" t="s">
        <v>987</v>
      </c>
      <c r="L282" s="500">
        <v>100.78724107062199</v>
      </c>
      <c r="M282" s="501">
        <v>100.78724107062199</v>
      </c>
      <c r="N282" s="501">
        <v>100.78724107062199</v>
      </c>
      <c r="O282" s="501">
        <v>100.78724107062199</v>
      </c>
      <c r="P282" s="502">
        <v>100.78724107062199</v>
      </c>
      <c r="Q282" s="503"/>
      <c r="R282" s="503"/>
      <c r="S282" s="500">
        <v>100.78724107062199</v>
      </c>
      <c r="T282" s="501">
        <v>100.78724107062199</v>
      </c>
      <c r="U282" s="501">
        <v>100.78724107062199</v>
      </c>
      <c r="V282" s="501">
        <v>100.78724107062199</v>
      </c>
      <c r="W282" s="502">
        <v>100.78724107062199</v>
      </c>
      <c r="X282" s="503"/>
      <c r="Y282" s="503"/>
      <c r="Z282" s="504">
        <v>0</v>
      </c>
      <c r="AA282" s="505">
        <v>0</v>
      </c>
      <c r="AB282" s="505">
        <v>0</v>
      </c>
      <c r="AC282" s="505">
        <v>0</v>
      </c>
      <c r="AD282" s="506">
        <v>0</v>
      </c>
      <c r="AE282" s="507"/>
      <c r="AF282" s="507"/>
      <c r="AG282" s="505">
        <v>0.05</v>
      </c>
      <c r="AH282" s="501" t="s">
        <v>722</v>
      </c>
      <c r="AI282" s="505"/>
    </row>
    <row r="283" spans="2:35" x14ac:dyDescent="0.2">
      <c r="B283" s="352">
        <v>272</v>
      </c>
      <c r="C283" s="496" t="s">
        <v>754</v>
      </c>
      <c r="D283" s="496" t="s">
        <v>1999</v>
      </c>
      <c r="E283" s="508" t="s">
        <v>752</v>
      </c>
      <c r="F283" s="496" t="s">
        <v>964</v>
      </c>
      <c r="G283" s="496" t="b">
        <v>0</v>
      </c>
      <c r="H283" s="496"/>
      <c r="I283" s="496" t="s">
        <v>1903</v>
      </c>
      <c r="J283" s="498" t="s">
        <v>988</v>
      </c>
      <c r="K283" s="499" t="s">
        <v>989</v>
      </c>
      <c r="L283" s="500">
        <v>151.18086160593299</v>
      </c>
      <c r="M283" s="501">
        <v>151.18086160593299</v>
      </c>
      <c r="N283" s="501">
        <v>151.18086160593296</v>
      </c>
      <c r="O283" s="501">
        <v>151.18086160593296</v>
      </c>
      <c r="P283" s="502">
        <v>151.18086160593296</v>
      </c>
      <c r="Q283" s="503"/>
      <c r="R283" s="503"/>
      <c r="S283" s="500">
        <v>151.18086160593299</v>
      </c>
      <c r="T283" s="501">
        <v>151.18086160593299</v>
      </c>
      <c r="U283" s="501">
        <v>151.18086160593296</v>
      </c>
      <c r="V283" s="501">
        <v>151.18086160593296</v>
      </c>
      <c r="W283" s="502">
        <v>151.18086160593296</v>
      </c>
      <c r="X283" s="503"/>
      <c r="Y283" s="503"/>
      <c r="Z283" s="504">
        <v>0</v>
      </c>
      <c r="AA283" s="505">
        <v>0</v>
      </c>
      <c r="AB283" s="505">
        <v>0</v>
      </c>
      <c r="AC283" s="505">
        <v>0</v>
      </c>
      <c r="AD283" s="506">
        <v>0</v>
      </c>
      <c r="AE283" s="507"/>
      <c r="AF283" s="507"/>
      <c r="AG283" s="505">
        <v>0.05</v>
      </c>
      <c r="AH283" s="501" t="s">
        <v>722</v>
      </c>
      <c r="AI283" s="505"/>
    </row>
    <row r="284" spans="2:35" x14ac:dyDescent="0.2">
      <c r="B284" s="352">
        <v>273</v>
      </c>
      <c r="C284" s="496" t="s">
        <v>754</v>
      </c>
      <c r="D284" s="496" t="s">
        <v>1999</v>
      </c>
      <c r="E284" s="508" t="s">
        <v>752</v>
      </c>
      <c r="F284" s="496" t="s">
        <v>964</v>
      </c>
      <c r="G284" s="496" t="b">
        <v>0</v>
      </c>
      <c r="H284" s="496"/>
      <c r="I284" s="496" t="s">
        <v>1903</v>
      </c>
      <c r="J284" s="498" t="s">
        <v>990</v>
      </c>
      <c r="K284" s="499" t="s">
        <v>991</v>
      </c>
      <c r="L284" s="500">
        <v>61.120595602605142</v>
      </c>
      <c r="M284" s="501">
        <v>61.120595602605142</v>
      </c>
      <c r="N284" s="501">
        <v>61.120595602605142</v>
      </c>
      <c r="O284" s="501">
        <v>61.120595602605142</v>
      </c>
      <c r="P284" s="502">
        <v>61.120595602605142</v>
      </c>
      <c r="Q284" s="503"/>
      <c r="R284" s="503"/>
      <c r="S284" s="500">
        <v>61.120595602605142</v>
      </c>
      <c r="T284" s="501">
        <v>61.120595602605142</v>
      </c>
      <c r="U284" s="501">
        <v>61.120595602605142</v>
      </c>
      <c r="V284" s="501">
        <v>61.120595602605142</v>
      </c>
      <c r="W284" s="502">
        <v>61.120595602605142</v>
      </c>
      <c r="X284" s="503"/>
      <c r="Y284" s="503"/>
      <c r="Z284" s="504">
        <v>0</v>
      </c>
      <c r="AA284" s="505">
        <v>0</v>
      </c>
      <c r="AB284" s="505">
        <v>0</v>
      </c>
      <c r="AC284" s="505">
        <v>0</v>
      </c>
      <c r="AD284" s="506">
        <v>0</v>
      </c>
      <c r="AE284" s="507"/>
      <c r="AF284" s="507"/>
      <c r="AG284" s="505">
        <v>0.1</v>
      </c>
      <c r="AH284" s="501" t="s">
        <v>722</v>
      </c>
      <c r="AI284" s="505"/>
    </row>
    <row r="285" spans="2:35" x14ac:dyDescent="0.2">
      <c r="B285" s="352">
        <v>274</v>
      </c>
      <c r="C285" s="496" t="s">
        <v>754</v>
      </c>
      <c r="D285" s="496" t="s">
        <v>1999</v>
      </c>
      <c r="E285" s="508" t="s">
        <v>752</v>
      </c>
      <c r="F285" s="496" t="s">
        <v>964</v>
      </c>
      <c r="G285" s="496" t="b">
        <v>0</v>
      </c>
      <c r="H285" s="496"/>
      <c r="I285" s="496" t="s">
        <v>1903</v>
      </c>
      <c r="J285" s="498" t="s">
        <v>992</v>
      </c>
      <c r="K285" s="499" t="s">
        <v>993</v>
      </c>
      <c r="L285" s="500">
        <v>0</v>
      </c>
      <c r="M285" s="501">
        <v>0</v>
      </c>
      <c r="N285" s="501">
        <v>0</v>
      </c>
      <c r="O285" s="501">
        <v>0</v>
      </c>
      <c r="P285" s="502">
        <v>0</v>
      </c>
      <c r="Q285" s="503"/>
      <c r="R285" s="503"/>
      <c r="S285" s="500">
        <v>0</v>
      </c>
      <c r="T285" s="501">
        <v>0</v>
      </c>
      <c r="U285" s="501">
        <v>0</v>
      </c>
      <c r="V285" s="501">
        <v>0</v>
      </c>
      <c r="W285" s="502">
        <v>0</v>
      </c>
      <c r="X285" s="503"/>
      <c r="Y285" s="503"/>
      <c r="Z285" s="504" t="s">
        <v>2054</v>
      </c>
      <c r="AA285" s="505" t="s">
        <v>2054</v>
      </c>
      <c r="AB285" s="505" t="s">
        <v>2054</v>
      </c>
      <c r="AC285" s="505" t="s">
        <v>2054</v>
      </c>
      <c r="AD285" s="506" t="s">
        <v>2054</v>
      </c>
      <c r="AE285" s="507"/>
      <c r="AF285" s="507"/>
      <c r="AG285" s="505">
        <v>0.15</v>
      </c>
      <c r="AH285" s="501" t="s">
        <v>722</v>
      </c>
      <c r="AI285" s="505"/>
    </row>
    <row r="286" spans="2:35" x14ac:dyDescent="0.2">
      <c r="B286" s="352">
        <v>275</v>
      </c>
      <c r="C286" s="496" t="s">
        <v>754</v>
      </c>
      <c r="D286" s="496" t="s">
        <v>1999</v>
      </c>
      <c r="E286" s="508" t="s">
        <v>752</v>
      </c>
      <c r="F286" s="496" t="s">
        <v>964</v>
      </c>
      <c r="G286" s="496" t="b">
        <v>0</v>
      </c>
      <c r="H286" s="496"/>
      <c r="I286" s="496" t="s">
        <v>1904</v>
      </c>
      <c r="J286" s="498" t="s">
        <v>994</v>
      </c>
      <c r="K286" s="499" t="s">
        <v>995</v>
      </c>
      <c r="L286" s="500">
        <v>3684.2974687214764</v>
      </c>
      <c r="M286" s="501">
        <v>3684.2974687214764</v>
      </c>
      <c r="N286" s="501">
        <v>3817.2040075646578</v>
      </c>
      <c r="O286" s="501">
        <v>3817.2040075646578</v>
      </c>
      <c r="P286" s="502">
        <v>3817.2040075646578</v>
      </c>
      <c r="Q286" s="503"/>
      <c r="R286" s="503"/>
      <c r="S286" s="500">
        <v>3684.2974687214764</v>
      </c>
      <c r="T286" s="501">
        <v>3684.2974687214764</v>
      </c>
      <c r="U286" s="501">
        <v>3817.2040075646578</v>
      </c>
      <c r="V286" s="501">
        <v>3817.2040075646578</v>
      </c>
      <c r="W286" s="502">
        <v>3817.2040075646578</v>
      </c>
      <c r="X286" s="503"/>
      <c r="Y286" s="503"/>
      <c r="Z286" s="504">
        <v>0</v>
      </c>
      <c r="AA286" s="505">
        <v>0</v>
      </c>
      <c r="AB286" s="505">
        <v>0</v>
      </c>
      <c r="AC286" s="505">
        <v>0</v>
      </c>
      <c r="AD286" s="506">
        <v>0</v>
      </c>
      <c r="AE286" s="507"/>
      <c r="AF286" s="507"/>
      <c r="AG286" s="505" t="s">
        <v>2054</v>
      </c>
      <c r="AH286" s="501" t="s">
        <v>722</v>
      </c>
      <c r="AI286" s="505"/>
    </row>
    <row r="287" spans="2:35" x14ac:dyDescent="0.2">
      <c r="B287" s="352">
        <v>276</v>
      </c>
      <c r="C287" s="496" t="s">
        <v>754</v>
      </c>
      <c r="D287" s="496" t="s">
        <v>1999</v>
      </c>
      <c r="E287" s="508" t="s">
        <v>752</v>
      </c>
      <c r="F287" s="496" t="s">
        <v>964</v>
      </c>
      <c r="G287" s="496" t="b">
        <v>0</v>
      </c>
      <c r="H287" s="496"/>
      <c r="I287" s="496" t="s">
        <v>1904</v>
      </c>
      <c r="J287" s="498" t="s">
        <v>996</v>
      </c>
      <c r="K287" s="499" t="s">
        <v>997</v>
      </c>
      <c r="L287" s="500">
        <v>0</v>
      </c>
      <c r="M287" s="501">
        <v>0</v>
      </c>
      <c r="N287" s="501">
        <v>0</v>
      </c>
      <c r="O287" s="501">
        <v>0</v>
      </c>
      <c r="P287" s="502">
        <v>0</v>
      </c>
      <c r="Q287" s="503"/>
      <c r="R287" s="503"/>
      <c r="S287" s="500">
        <v>0</v>
      </c>
      <c r="T287" s="501">
        <v>0</v>
      </c>
      <c r="U287" s="501">
        <v>0</v>
      </c>
      <c r="V287" s="501">
        <v>0</v>
      </c>
      <c r="W287" s="502">
        <v>0</v>
      </c>
      <c r="X287" s="503"/>
      <c r="Y287" s="503"/>
      <c r="Z287" s="504" t="s">
        <v>2054</v>
      </c>
      <c r="AA287" s="505" t="s">
        <v>2054</v>
      </c>
      <c r="AB287" s="505" t="s">
        <v>2054</v>
      </c>
      <c r="AC287" s="505" t="s">
        <v>2054</v>
      </c>
      <c r="AD287" s="506" t="s">
        <v>2054</v>
      </c>
      <c r="AE287" s="507"/>
      <c r="AF287" s="507"/>
      <c r="AG287" s="505" t="s">
        <v>2054</v>
      </c>
      <c r="AH287" s="501" t="s">
        <v>722</v>
      </c>
      <c r="AI287" s="505"/>
    </row>
    <row r="288" spans="2:35" x14ac:dyDescent="0.2">
      <c r="B288" s="352">
        <v>277</v>
      </c>
      <c r="C288" s="496" t="s">
        <v>754</v>
      </c>
      <c r="D288" s="496" t="s">
        <v>1999</v>
      </c>
      <c r="E288" s="508" t="s">
        <v>752</v>
      </c>
      <c r="F288" s="496" t="s">
        <v>964</v>
      </c>
      <c r="G288" s="496" t="b">
        <v>0</v>
      </c>
      <c r="H288" s="496"/>
      <c r="I288" s="496" t="s">
        <v>1904</v>
      </c>
      <c r="J288" s="498" t="s">
        <v>998</v>
      </c>
      <c r="K288" s="499" t="s">
        <v>999</v>
      </c>
      <c r="L288" s="500">
        <v>0</v>
      </c>
      <c r="M288" s="501">
        <v>0</v>
      </c>
      <c r="N288" s="501">
        <v>0</v>
      </c>
      <c r="O288" s="501">
        <v>0</v>
      </c>
      <c r="P288" s="502">
        <v>0</v>
      </c>
      <c r="Q288" s="503"/>
      <c r="R288" s="503"/>
      <c r="S288" s="500">
        <v>0</v>
      </c>
      <c r="T288" s="501">
        <v>0</v>
      </c>
      <c r="U288" s="501">
        <v>0</v>
      </c>
      <c r="V288" s="501">
        <v>0</v>
      </c>
      <c r="W288" s="502">
        <v>0</v>
      </c>
      <c r="X288" s="503"/>
      <c r="Y288" s="503"/>
      <c r="Z288" s="504" t="s">
        <v>2054</v>
      </c>
      <c r="AA288" s="505" t="s">
        <v>2054</v>
      </c>
      <c r="AB288" s="505" t="s">
        <v>2054</v>
      </c>
      <c r="AC288" s="505" t="s">
        <v>2054</v>
      </c>
      <c r="AD288" s="506" t="s">
        <v>2054</v>
      </c>
      <c r="AE288" s="507"/>
      <c r="AF288" s="507"/>
      <c r="AG288" s="505" t="s">
        <v>2054</v>
      </c>
      <c r="AH288" s="501" t="s">
        <v>722</v>
      </c>
      <c r="AI288" s="505"/>
    </row>
    <row r="289" spans="2:35" x14ac:dyDescent="0.2">
      <c r="B289" s="352">
        <v>278</v>
      </c>
      <c r="C289" s="496" t="s">
        <v>754</v>
      </c>
      <c r="D289" s="496" t="s">
        <v>1999</v>
      </c>
      <c r="E289" s="508" t="s">
        <v>752</v>
      </c>
      <c r="F289" s="496" t="s">
        <v>964</v>
      </c>
      <c r="G289" s="496" t="b">
        <v>0</v>
      </c>
      <c r="H289" s="496"/>
      <c r="I289" s="496" t="s">
        <v>1903</v>
      </c>
      <c r="J289" s="498" t="s">
        <v>1000</v>
      </c>
      <c r="K289" s="499" t="s">
        <v>1001</v>
      </c>
      <c r="L289" s="500">
        <v>40.228254440081649</v>
      </c>
      <c r="M289" s="501">
        <v>40.228254440081649</v>
      </c>
      <c r="N289" s="501">
        <v>2129.0751915226092</v>
      </c>
      <c r="O289" s="501">
        <v>2129.0751915226092</v>
      </c>
      <c r="P289" s="502">
        <v>2129.0751915226092</v>
      </c>
      <c r="Q289" s="503"/>
      <c r="R289" s="503"/>
      <c r="S289" s="500">
        <v>40.228254440081649</v>
      </c>
      <c r="T289" s="501">
        <v>40.228254440081649</v>
      </c>
      <c r="U289" s="501">
        <v>2129.0751915226092</v>
      </c>
      <c r="V289" s="501">
        <v>2129.0751915226092</v>
      </c>
      <c r="W289" s="502">
        <v>2129.0751915226092</v>
      </c>
      <c r="X289" s="503"/>
      <c r="Y289" s="503"/>
      <c r="Z289" s="504">
        <v>0</v>
      </c>
      <c r="AA289" s="505">
        <v>0</v>
      </c>
      <c r="AB289" s="505">
        <v>0</v>
      </c>
      <c r="AC289" s="505">
        <v>0</v>
      </c>
      <c r="AD289" s="506">
        <v>0</v>
      </c>
      <c r="AE289" s="507"/>
      <c r="AF289" s="507"/>
      <c r="AG289" s="505">
        <v>0.15</v>
      </c>
      <c r="AH289" s="501" t="s">
        <v>722</v>
      </c>
      <c r="AI289" s="505"/>
    </row>
    <row r="290" spans="2:35" x14ac:dyDescent="0.2">
      <c r="B290" s="352">
        <v>279</v>
      </c>
      <c r="C290" s="496" t="s">
        <v>754</v>
      </c>
      <c r="D290" s="496" t="s">
        <v>1999</v>
      </c>
      <c r="E290" s="508" t="s">
        <v>752</v>
      </c>
      <c r="F290" s="496" t="s">
        <v>964</v>
      </c>
      <c r="G290" s="496" t="b">
        <v>0</v>
      </c>
      <c r="H290" s="496"/>
      <c r="I290" s="496" t="s">
        <v>1903</v>
      </c>
      <c r="J290" s="498" t="s">
        <v>1002</v>
      </c>
      <c r="K290" s="499" t="s">
        <v>1003</v>
      </c>
      <c r="L290" s="500">
        <v>10.373004533108652</v>
      </c>
      <c r="M290" s="501">
        <v>10.373004533108652</v>
      </c>
      <c r="N290" s="501">
        <v>10.373004533108652</v>
      </c>
      <c r="O290" s="501">
        <v>10.373004533108652</v>
      </c>
      <c r="P290" s="502">
        <v>10.373004533108652</v>
      </c>
      <c r="Q290" s="503"/>
      <c r="R290" s="503"/>
      <c r="S290" s="500">
        <v>10.373004533108652</v>
      </c>
      <c r="T290" s="501">
        <v>10.373004533108652</v>
      </c>
      <c r="U290" s="501">
        <v>10.373004533108652</v>
      </c>
      <c r="V290" s="501">
        <v>10.373004533108652</v>
      </c>
      <c r="W290" s="502">
        <v>10.373004533108652</v>
      </c>
      <c r="X290" s="503"/>
      <c r="Y290" s="503"/>
      <c r="Z290" s="504">
        <v>0</v>
      </c>
      <c r="AA290" s="505">
        <v>0</v>
      </c>
      <c r="AB290" s="505">
        <v>0</v>
      </c>
      <c r="AC290" s="505">
        <v>0</v>
      </c>
      <c r="AD290" s="506">
        <v>0</v>
      </c>
      <c r="AE290" s="507"/>
      <c r="AF290" s="507"/>
      <c r="AG290" s="505">
        <v>0.08</v>
      </c>
      <c r="AH290" s="501" t="s">
        <v>722</v>
      </c>
      <c r="AI290" s="505"/>
    </row>
    <row r="291" spans="2:35" x14ac:dyDescent="0.2">
      <c r="B291" s="352">
        <v>280</v>
      </c>
      <c r="C291" s="496" t="s">
        <v>754</v>
      </c>
      <c r="D291" s="496" t="s">
        <v>1999</v>
      </c>
      <c r="E291" s="508" t="s">
        <v>752</v>
      </c>
      <c r="F291" s="496" t="s">
        <v>964</v>
      </c>
      <c r="G291" s="496" t="b">
        <v>0</v>
      </c>
      <c r="H291" s="496"/>
      <c r="I291" s="496" t="s">
        <v>1903</v>
      </c>
      <c r="J291" s="498" t="s">
        <v>1004</v>
      </c>
      <c r="K291" s="499" t="s">
        <v>1005</v>
      </c>
      <c r="L291" s="500">
        <v>0</v>
      </c>
      <c r="M291" s="501">
        <v>0</v>
      </c>
      <c r="N291" s="501">
        <v>0</v>
      </c>
      <c r="O291" s="501">
        <v>0</v>
      </c>
      <c r="P291" s="502">
        <v>0</v>
      </c>
      <c r="Q291" s="503"/>
      <c r="R291" s="503"/>
      <c r="S291" s="500">
        <v>0</v>
      </c>
      <c r="T291" s="501">
        <v>0</v>
      </c>
      <c r="U291" s="501">
        <v>0</v>
      </c>
      <c r="V291" s="501">
        <v>0</v>
      </c>
      <c r="W291" s="502">
        <v>0</v>
      </c>
      <c r="X291" s="503"/>
      <c r="Y291" s="503"/>
      <c r="Z291" s="504" t="s">
        <v>2054</v>
      </c>
      <c r="AA291" s="505" t="s">
        <v>2054</v>
      </c>
      <c r="AB291" s="505" t="s">
        <v>2054</v>
      </c>
      <c r="AC291" s="505" t="s">
        <v>2054</v>
      </c>
      <c r="AD291" s="506" t="s">
        <v>2054</v>
      </c>
      <c r="AE291" s="507"/>
      <c r="AF291" s="507"/>
      <c r="AG291" s="505" t="s">
        <v>2054</v>
      </c>
      <c r="AH291" s="501" t="s">
        <v>722</v>
      </c>
      <c r="AI291" s="505"/>
    </row>
    <row r="292" spans="2:35" x14ac:dyDescent="0.2">
      <c r="B292" s="352">
        <v>281</v>
      </c>
      <c r="C292" s="496" t="s">
        <v>754</v>
      </c>
      <c r="D292" s="496" t="s">
        <v>1999</v>
      </c>
      <c r="E292" s="508" t="s">
        <v>752</v>
      </c>
      <c r="F292" s="496" t="s">
        <v>964</v>
      </c>
      <c r="G292" s="496" t="b">
        <v>0</v>
      </c>
      <c r="H292" s="496"/>
      <c r="I292" s="496" t="s">
        <v>1903</v>
      </c>
      <c r="J292" s="498" t="s">
        <v>1006</v>
      </c>
      <c r="K292" s="499" t="s">
        <v>1007</v>
      </c>
      <c r="L292" s="500">
        <v>79.374709770251187</v>
      </c>
      <c r="M292" s="501">
        <v>79.374709770251187</v>
      </c>
      <c r="N292" s="501">
        <v>367.00036827220504</v>
      </c>
      <c r="O292" s="501">
        <v>367.00036827220504</v>
      </c>
      <c r="P292" s="502">
        <v>367.00036827220504</v>
      </c>
      <c r="Q292" s="503"/>
      <c r="R292" s="503"/>
      <c r="S292" s="500">
        <v>79.374709770251187</v>
      </c>
      <c r="T292" s="501">
        <v>79.374709770251187</v>
      </c>
      <c r="U292" s="501">
        <v>367.00036827220504</v>
      </c>
      <c r="V292" s="501">
        <v>367.00036827220504</v>
      </c>
      <c r="W292" s="502">
        <v>367.00036827220504</v>
      </c>
      <c r="X292" s="503"/>
      <c r="Y292" s="503"/>
      <c r="Z292" s="504">
        <v>0</v>
      </c>
      <c r="AA292" s="505">
        <v>0</v>
      </c>
      <c r="AB292" s="505">
        <v>0</v>
      </c>
      <c r="AC292" s="505">
        <v>0</v>
      </c>
      <c r="AD292" s="506">
        <v>0</v>
      </c>
      <c r="AE292" s="507"/>
      <c r="AF292" s="507"/>
      <c r="AG292" s="505">
        <v>0.08</v>
      </c>
      <c r="AH292" s="501" t="s">
        <v>722</v>
      </c>
      <c r="AI292" s="505"/>
    </row>
    <row r="293" spans="2:35" x14ac:dyDescent="0.2">
      <c r="B293" s="352">
        <v>282</v>
      </c>
      <c r="C293" s="496" t="s">
        <v>754</v>
      </c>
      <c r="D293" s="496" t="s">
        <v>1999</v>
      </c>
      <c r="E293" s="508" t="s">
        <v>752</v>
      </c>
      <c r="F293" s="496" t="s">
        <v>964</v>
      </c>
      <c r="G293" s="496" t="b">
        <v>0</v>
      </c>
      <c r="H293" s="496"/>
      <c r="I293" s="496" t="s">
        <v>1903</v>
      </c>
      <c r="J293" s="498" t="s">
        <v>1008</v>
      </c>
      <c r="K293" s="499" t="s">
        <v>1009</v>
      </c>
      <c r="L293" s="500">
        <v>0.27666363481483458</v>
      </c>
      <c r="M293" s="501">
        <v>0.27666363481483458</v>
      </c>
      <c r="N293" s="501">
        <v>10.380408510097872</v>
      </c>
      <c r="O293" s="501">
        <v>10.380408510097872</v>
      </c>
      <c r="P293" s="502">
        <v>10.380408510097872</v>
      </c>
      <c r="Q293" s="503"/>
      <c r="R293" s="503"/>
      <c r="S293" s="500">
        <v>0.27666363481483458</v>
      </c>
      <c r="T293" s="501">
        <v>0.27666363481483458</v>
      </c>
      <c r="U293" s="501">
        <v>10.380408510097872</v>
      </c>
      <c r="V293" s="501">
        <v>10.380408510097872</v>
      </c>
      <c r="W293" s="502">
        <v>10.380408510097872</v>
      </c>
      <c r="X293" s="503"/>
      <c r="Y293" s="503"/>
      <c r="Z293" s="504">
        <v>0</v>
      </c>
      <c r="AA293" s="505">
        <v>0</v>
      </c>
      <c r="AB293" s="505">
        <v>0</v>
      </c>
      <c r="AC293" s="505">
        <v>0</v>
      </c>
      <c r="AD293" s="506">
        <v>0</v>
      </c>
      <c r="AE293" s="507"/>
      <c r="AF293" s="507"/>
      <c r="AG293" s="505">
        <v>0.05</v>
      </c>
      <c r="AH293" s="501" t="s">
        <v>722</v>
      </c>
      <c r="AI293" s="505"/>
    </row>
    <row r="294" spans="2:35" x14ac:dyDescent="0.2">
      <c r="B294" s="352">
        <v>283</v>
      </c>
      <c r="C294" s="496" t="s">
        <v>754</v>
      </c>
      <c r="D294" s="496" t="s">
        <v>1999</v>
      </c>
      <c r="E294" s="508" t="s">
        <v>752</v>
      </c>
      <c r="F294" s="496" t="s">
        <v>964</v>
      </c>
      <c r="G294" s="496" t="b">
        <v>0</v>
      </c>
      <c r="H294" s="496"/>
      <c r="I294" s="496" t="s">
        <v>1905</v>
      </c>
      <c r="J294" s="498" t="s">
        <v>1848</v>
      </c>
      <c r="K294" s="499" t="s">
        <v>1849</v>
      </c>
      <c r="L294" s="500">
        <v>0</v>
      </c>
      <c r="M294" s="501">
        <v>0</v>
      </c>
      <c r="N294" s="501">
        <v>0</v>
      </c>
      <c r="O294" s="501">
        <v>0</v>
      </c>
      <c r="P294" s="502">
        <v>0</v>
      </c>
      <c r="Q294" s="503"/>
      <c r="R294" s="503"/>
      <c r="S294" s="500">
        <v>0</v>
      </c>
      <c r="T294" s="501">
        <v>0</v>
      </c>
      <c r="U294" s="501">
        <v>0</v>
      </c>
      <c r="V294" s="501">
        <v>0</v>
      </c>
      <c r="W294" s="502">
        <v>0</v>
      </c>
      <c r="X294" s="503"/>
      <c r="Y294" s="503"/>
      <c r="Z294" s="504" t="s">
        <v>2054</v>
      </c>
      <c r="AA294" s="505" t="s">
        <v>2054</v>
      </c>
      <c r="AB294" s="505" t="s">
        <v>2054</v>
      </c>
      <c r="AC294" s="505" t="s">
        <v>2054</v>
      </c>
      <c r="AD294" s="506" t="s">
        <v>2054</v>
      </c>
      <c r="AE294" s="507"/>
      <c r="AF294" s="507"/>
      <c r="AG294" s="505" t="s">
        <v>2054</v>
      </c>
      <c r="AH294" s="501" t="s">
        <v>722</v>
      </c>
      <c r="AI294" s="505"/>
    </row>
    <row r="295" spans="2:35" x14ac:dyDescent="0.2">
      <c r="B295" s="352">
        <v>284</v>
      </c>
      <c r="C295" s="496" t="s">
        <v>754</v>
      </c>
      <c r="D295" s="496" t="s">
        <v>1999</v>
      </c>
      <c r="E295" s="508" t="s">
        <v>752</v>
      </c>
      <c r="F295" s="496" t="s">
        <v>964</v>
      </c>
      <c r="G295" s="496" t="b">
        <v>0</v>
      </c>
      <c r="H295" s="496"/>
      <c r="I295" s="496" t="s">
        <v>1903</v>
      </c>
      <c r="J295" s="498" t="s">
        <v>1010</v>
      </c>
      <c r="K295" s="499" t="s">
        <v>1011</v>
      </c>
      <c r="L295" s="500">
        <v>1.3862672329687287</v>
      </c>
      <c r="M295" s="501">
        <v>1.3862672329687287</v>
      </c>
      <c r="N295" s="501">
        <v>134.07979500328059</v>
      </c>
      <c r="O295" s="501">
        <v>134.07979500328059</v>
      </c>
      <c r="P295" s="502">
        <v>134.07979500328059</v>
      </c>
      <c r="Q295" s="503"/>
      <c r="R295" s="503"/>
      <c r="S295" s="500">
        <v>1.3862672329687287</v>
      </c>
      <c r="T295" s="501">
        <v>1.3862672329687287</v>
      </c>
      <c r="U295" s="501">
        <v>134.07979500328059</v>
      </c>
      <c r="V295" s="501">
        <v>134.07979500328059</v>
      </c>
      <c r="W295" s="502">
        <v>134.07979500328059</v>
      </c>
      <c r="X295" s="503"/>
      <c r="Y295" s="503"/>
      <c r="Z295" s="504">
        <v>0</v>
      </c>
      <c r="AA295" s="505">
        <v>0</v>
      </c>
      <c r="AB295" s="505">
        <v>0</v>
      </c>
      <c r="AC295" s="505">
        <v>0</v>
      </c>
      <c r="AD295" s="506">
        <v>0</v>
      </c>
      <c r="AE295" s="507"/>
      <c r="AF295" s="507"/>
      <c r="AG295" s="505" t="s">
        <v>2054</v>
      </c>
      <c r="AH295" s="501" t="s">
        <v>722</v>
      </c>
      <c r="AI295" s="505"/>
    </row>
    <row r="296" spans="2:35" x14ac:dyDescent="0.2">
      <c r="B296" s="352">
        <v>285</v>
      </c>
      <c r="C296" s="496" t="s">
        <v>754</v>
      </c>
      <c r="D296" s="496" t="s">
        <v>1999</v>
      </c>
      <c r="E296" s="508" t="s">
        <v>752</v>
      </c>
      <c r="F296" s="496" t="s">
        <v>964</v>
      </c>
      <c r="G296" s="496" t="b">
        <v>0</v>
      </c>
      <c r="H296" s="496"/>
      <c r="I296" s="496" t="s">
        <v>1903</v>
      </c>
      <c r="J296" s="498" t="s">
        <v>1012</v>
      </c>
      <c r="K296" s="499" t="s">
        <v>1013</v>
      </c>
      <c r="L296" s="500">
        <v>0</v>
      </c>
      <c r="M296" s="501">
        <v>0</v>
      </c>
      <c r="N296" s="501">
        <v>0</v>
      </c>
      <c r="O296" s="501">
        <v>0</v>
      </c>
      <c r="P296" s="502">
        <v>0</v>
      </c>
      <c r="Q296" s="503"/>
      <c r="R296" s="503"/>
      <c r="S296" s="500">
        <v>0</v>
      </c>
      <c r="T296" s="501">
        <v>0</v>
      </c>
      <c r="U296" s="501">
        <v>0</v>
      </c>
      <c r="V296" s="501">
        <v>0</v>
      </c>
      <c r="W296" s="502">
        <v>0</v>
      </c>
      <c r="X296" s="503"/>
      <c r="Y296" s="503"/>
      <c r="Z296" s="504" t="s">
        <v>2054</v>
      </c>
      <c r="AA296" s="505" t="s">
        <v>2054</v>
      </c>
      <c r="AB296" s="505" t="s">
        <v>2054</v>
      </c>
      <c r="AC296" s="505" t="s">
        <v>2054</v>
      </c>
      <c r="AD296" s="506" t="s">
        <v>2054</v>
      </c>
      <c r="AE296" s="507"/>
      <c r="AF296" s="507"/>
      <c r="AG296" s="505">
        <v>0.05</v>
      </c>
      <c r="AH296" s="501" t="s">
        <v>722</v>
      </c>
      <c r="AI296" s="505"/>
    </row>
    <row r="297" spans="2:35" x14ac:dyDescent="0.2">
      <c r="B297" s="352">
        <v>286</v>
      </c>
      <c r="C297" s="496" t="s">
        <v>754</v>
      </c>
      <c r="D297" s="496" t="s">
        <v>1999</v>
      </c>
      <c r="E297" s="508" t="s">
        <v>752</v>
      </c>
      <c r="F297" s="496" t="s">
        <v>964</v>
      </c>
      <c r="G297" s="496" t="b">
        <v>0</v>
      </c>
      <c r="H297" s="496"/>
      <c r="I297" s="496" t="s">
        <v>1903</v>
      </c>
      <c r="J297" s="498" t="s">
        <v>1014</v>
      </c>
      <c r="K297" s="499" t="s">
        <v>1893</v>
      </c>
      <c r="L297" s="500">
        <v>6.1332606170817305</v>
      </c>
      <c r="M297" s="501">
        <v>6.1332606170817305</v>
      </c>
      <c r="N297" s="501">
        <v>24.657049296529493</v>
      </c>
      <c r="O297" s="501">
        <v>24.657049296529493</v>
      </c>
      <c r="P297" s="502">
        <v>24.657049296529493</v>
      </c>
      <c r="Q297" s="503"/>
      <c r="R297" s="503"/>
      <c r="S297" s="500">
        <v>6.1332606170817305</v>
      </c>
      <c r="T297" s="501">
        <v>6.1332606170817305</v>
      </c>
      <c r="U297" s="501">
        <v>24.657049296529493</v>
      </c>
      <c r="V297" s="501">
        <v>24.657049296529493</v>
      </c>
      <c r="W297" s="502">
        <v>24.657049296529493</v>
      </c>
      <c r="X297" s="503"/>
      <c r="Y297" s="503"/>
      <c r="Z297" s="504">
        <v>0</v>
      </c>
      <c r="AA297" s="505">
        <v>0</v>
      </c>
      <c r="AB297" s="505">
        <v>0</v>
      </c>
      <c r="AC297" s="505">
        <v>0</v>
      </c>
      <c r="AD297" s="506">
        <v>0</v>
      </c>
      <c r="AE297" s="507"/>
      <c r="AF297" s="507"/>
      <c r="AG297" s="505">
        <v>0.05</v>
      </c>
      <c r="AH297" s="501" t="s">
        <v>722</v>
      </c>
      <c r="AI297" s="505"/>
    </row>
    <row r="298" spans="2:35" x14ac:dyDescent="0.2">
      <c r="B298" s="352">
        <v>287</v>
      </c>
      <c r="C298" s="496" t="s">
        <v>754</v>
      </c>
      <c r="D298" s="496" t="s">
        <v>1999</v>
      </c>
      <c r="E298" s="508" t="s">
        <v>752</v>
      </c>
      <c r="F298" s="496" t="s">
        <v>964</v>
      </c>
      <c r="G298" s="496" t="b">
        <v>0</v>
      </c>
      <c r="H298" s="496"/>
      <c r="I298" s="496" t="s">
        <v>709</v>
      </c>
      <c r="J298" s="498" t="s">
        <v>1015</v>
      </c>
      <c r="K298" s="499" t="s">
        <v>1016</v>
      </c>
      <c r="L298" s="500">
        <v>0</v>
      </c>
      <c r="M298" s="501">
        <v>0</v>
      </c>
      <c r="N298" s="501">
        <v>0</v>
      </c>
      <c r="O298" s="501">
        <v>0</v>
      </c>
      <c r="P298" s="502">
        <v>0</v>
      </c>
      <c r="Q298" s="503"/>
      <c r="R298" s="503"/>
      <c r="S298" s="500">
        <v>0</v>
      </c>
      <c r="T298" s="501">
        <v>0</v>
      </c>
      <c r="U298" s="501">
        <v>0</v>
      </c>
      <c r="V298" s="501">
        <v>0</v>
      </c>
      <c r="W298" s="502">
        <v>0</v>
      </c>
      <c r="X298" s="503"/>
      <c r="Y298" s="503"/>
      <c r="Z298" s="504" t="s">
        <v>2054</v>
      </c>
      <c r="AA298" s="505" t="s">
        <v>2054</v>
      </c>
      <c r="AB298" s="505" t="s">
        <v>2054</v>
      </c>
      <c r="AC298" s="505" t="s">
        <v>2054</v>
      </c>
      <c r="AD298" s="506" t="s">
        <v>2054</v>
      </c>
      <c r="AE298" s="507"/>
      <c r="AF298" s="507"/>
      <c r="AG298" s="505" t="s">
        <v>2054</v>
      </c>
      <c r="AH298" s="501" t="s">
        <v>722</v>
      </c>
      <c r="AI298" s="505"/>
    </row>
    <row r="299" spans="2:35" x14ac:dyDescent="0.2">
      <c r="B299" s="352">
        <v>288</v>
      </c>
      <c r="C299" s="496" t="s">
        <v>754</v>
      </c>
      <c r="D299" s="496" t="s">
        <v>1999</v>
      </c>
      <c r="E299" s="508" t="s">
        <v>752</v>
      </c>
      <c r="F299" s="496" t="s">
        <v>964</v>
      </c>
      <c r="G299" s="496" t="b">
        <v>0</v>
      </c>
      <c r="H299" s="496"/>
      <c r="I299" s="496" t="s">
        <v>716</v>
      </c>
      <c r="J299" s="498" t="s">
        <v>1017</v>
      </c>
      <c r="K299" s="499" t="s">
        <v>1018</v>
      </c>
      <c r="L299" s="500">
        <v>141.44241879542824</v>
      </c>
      <c r="M299" s="501">
        <v>141.44241879542824</v>
      </c>
      <c r="N299" s="501">
        <v>141.44241879542824</v>
      </c>
      <c r="O299" s="501">
        <v>141.44241879542824</v>
      </c>
      <c r="P299" s="502">
        <v>141.44241879542824</v>
      </c>
      <c r="Q299" s="503"/>
      <c r="R299" s="503"/>
      <c r="S299" s="500">
        <v>141.44241879542824</v>
      </c>
      <c r="T299" s="501">
        <v>141.44241879542824</v>
      </c>
      <c r="U299" s="501">
        <v>141.44241879542824</v>
      </c>
      <c r="V299" s="501">
        <v>141.44241879542824</v>
      </c>
      <c r="W299" s="502">
        <v>141.44241879542824</v>
      </c>
      <c r="X299" s="503"/>
      <c r="Y299" s="503"/>
      <c r="Z299" s="504">
        <v>0</v>
      </c>
      <c r="AA299" s="505">
        <v>0</v>
      </c>
      <c r="AB299" s="505">
        <v>0</v>
      </c>
      <c r="AC299" s="505">
        <v>0</v>
      </c>
      <c r="AD299" s="506">
        <v>0</v>
      </c>
      <c r="AE299" s="507"/>
      <c r="AF299" s="507"/>
      <c r="AG299" s="505">
        <v>0.1</v>
      </c>
      <c r="AH299" s="501" t="s">
        <v>722</v>
      </c>
      <c r="AI299" s="505"/>
    </row>
    <row r="300" spans="2:35" x14ac:dyDescent="0.2">
      <c r="B300" s="352">
        <v>289</v>
      </c>
      <c r="C300" s="496" t="s">
        <v>754</v>
      </c>
      <c r="D300" s="496" t="s">
        <v>1999</v>
      </c>
      <c r="E300" s="508" t="s">
        <v>752</v>
      </c>
      <c r="F300" s="496" t="s">
        <v>964</v>
      </c>
      <c r="G300" s="496" t="b">
        <v>0</v>
      </c>
      <c r="H300" s="496"/>
      <c r="I300" s="496" t="s">
        <v>716</v>
      </c>
      <c r="J300" s="498" t="s">
        <v>1019</v>
      </c>
      <c r="K300" s="499" t="s">
        <v>1020</v>
      </c>
      <c r="L300" s="500">
        <v>20435.677002269349</v>
      </c>
      <c r="M300" s="501">
        <v>20435.677002269349</v>
      </c>
      <c r="N300" s="501">
        <v>20435.677002269349</v>
      </c>
      <c r="O300" s="501">
        <v>20435.677002269349</v>
      </c>
      <c r="P300" s="502">
        <v>20435.677002269349</v>
      </c>
      <c r="Q300" s="503"/>
      <c r="R300" s="503"/>
      <c r="S300" s="500">
        <v>20435.677002269349</v>
      </c>
      <c r="T300" s="501">
        <v>20435.677002269349</v>
      </c>
      <c r="U300" s="501">
        <v>20435.677002269349</v>
      </c>
      <c r="V300" s="501">
        <v>20435.677002269349</v>
      </c>
      <c r="W300" s="502">
        <v>20435.677002269349</v>
      </c>
      <c r="X300" s="503"/>
      <c r="Y300" s="503"/>
      <c r="Z300" s="504">
        <v>0</v>
      </c>
      <c r="AA300" s="505">
        <v>0</v>
      </c>
      <c r="AB300" s="505">
        <v>0</v>
      </c>
      <c r="AC300" s="505">
        <v>0</v>
      </c>
      <c r="AD300" s="506">
        <v>0</v>
      </c>
      <c r="AE300" s="507"/>
      <c r="AF300" s="507"/>
      <c r="AG300" s="505">
        <v>0.05</v>
      </c>
      <c r="AH300" s="501" t="s">
        <v>722</v>
      </c>
      <c r="AI300" s="505"/>
    </row>
    <row r="301" spans="2:35" x14ac:dyDescent="0.2">
      <c r="B301" s="352">
        <v>290</v>
      </c>
      <c r="C301" s="496" t="s">
        <v>754</v>
      </c>
      <c r="D301" s="496" t="s">
        <v>1999</v>
      </c>
      <c r="E301" s="508" t="s">
        <v>752</v>
      </c>
      <c r="F301" s="496" t="s">
        <v>964</v>
      </c>
      <c r="G301" s="496" t="b">
        <v>0</v>
      </c>
      <c r="H301" s="496"/>
      <c r="I301" s="496" t="s">
        <v>716</v>
      </c>
      <c r="J301" s="498" t="s">
        <v>1021</v>
      </c>
      <c r="K301" s="499" t="s">
        <v>751</v>
      </c>
      <c r="L301" s="500">
        <v>0</v>
      </c>
      <c r="M301" s="501">
        <v>0</v>
      </c>
      <c r="N301" s="501">
        <v>0</v>
      </c>
      <c r="O301" s="501">
        <v>0</v>
      </c>
      <c r="P301" s="502">
        <v>0</v>
      </c>
      <c r="Q301" s="503"/>
      <c r="R301" s="503"/>
      <c r="S301" s="500">
        <v>0</v>
      </c>
      <c r="T301" s="501">
        <v>0</v>
      </c>
      <c r="U301" s="501">
        <v>0</v>
      </c>
      <c r="V301" s="501">
        <v>0</v>
      </c>
      <c r="W301" s="502">
        <v>0</v>
      </c>
      <c r="X301" s="503"/>
      <c r="Y301" s="503"/>
      <c r="Z301" s="504" t="s">
        <v>2054</v>
      </c>
      <c r="AA301" s="505" t="s">
        <v>2054</v>
      </c>
      <c r="AB301" s="505" t="s">
        <v>2054</v>
      </c>
      <c r="AC301" s="505" t="s">
        <v>2054</v>
      </c>
      <c r="AD301" s="506" t="s">
        <v>2054</v>
      </c>
      <c r="AE301" s="507"/>
      <c r="AF301" s="507"/>
      <c r="AG301" s="505">
        <v>0.1</v>
      </c>
      <c r="AH301" s="501" t="s">
        <v>722</v>
      </c>
      <c r="AI301" s="505"/>
    </row>
    <row r="302" spans="2:35" ht="15" thickBot="1" x14ac:dyDescent="0.25">
      <c r="B302" s="352">
        <v>291</v>
      </c>
      <c r="C302" s="496" t="s">
        <v>754</v>
      </c>
      <c r="D302" s="496" t="s">
        <v>1999</v>
      </c>
      <c r="E302" s="508" t="s">
        <v>750</v>
      </c>
      <c r="F302" s="496" t="s">
        <v>963</v>
      </c>
      <c r="G302" s="496" t="b">
        <v>0</v>
      </c>
      <c r="H302" s="496"/>
      <c r="I302" s="496" t="s">
        <v>716</v>
      </c>
      <c r="J302" s="498" t="s">
        <v>1021</v>
      </c>
      <c r="K302" s="499" t="s">
        <v>751</v>
      </c>
      <c r="L302" s="510">
        <v>24050.323138516822</v>
      </c>
      <c r="M302" s="511">
        <v>24050.323138516822</v>
      </c>
      <c r="N302" s="511">
        <v>24050.323138516822</v>
      </c>
      <c r="O302" s="511">
        <v>24050.323138516822</v>
      </c>
      <c r="P302" s="512">
        <v>24050.323138516822</v>
      </c>
      <c r="Q302" s="513"/>
      <c r="R302" s="513"/>
      <c r="S302" s="510">
        <v>24050.323138516822</v>
      </c>
      <c r="T302" s="511">
        <v>24050.323138516822</v>
      </c>
      <c r="U302" s="511">
        <v>24050.323138516822</v>
      </c>
      <c r="V302" s="511">
        <v>24050.323138516822</v>
      </c>
      <c r="W302" s="512">
        <v>24050.323138516822</v>
      </c>
      <c r="X302" s="513"/>
      <c r="Y302" s="513"/>
      <c r="Z302" s="514">
        <v>0</v>
      </c>
      <c r="AA302" s="515">
        <v>0</v>
      </c>
      <c r="AB302" s="515">
        <v>0</v>
      </c>
      <c r="AC302" s="515">
        <v>0</v>
      </c>
      <c r="AD302" s="516">
        <v>0</v>
      </c>
      <c r="AE302" s="517"/>
      <c r="AF302" s="517"/>
      <c r="AG302" s="505">
        <v>0.1</v>
      </c>
      <c r="AH302" s="501" t="s">
        <v>722</v>
      </c>
      <c r="AI302" s="505"/>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58FE-43B2-45A3-B653-406541297F58}">
  <sheetPr>
    <tabColor theme="6"/>
  </sheetPr>
  <dimension ref="A1:X1492"/>
  <sheetViews>
    <sheetView workbookViewId="0"/>
  </sheetViews>
  <sheetFormatPr defaultRowHeight="14.25" x14ac:dyDescent="0.2"/>
  <cols>
    <col min="1" max="1" width="9" style="352"/>
    <col min="2" max="2" width="16.25" style="352" customWidth="1"/>
    <col min="3" max="3" width="13" style="352" customWidth="1"/>
    <col min="4" max="5" width="9" style="352" customWidth="1"/>
    <col min="6" max="6" width="29.125" style="352" customWidth="1"/>
    <col min="7" max="8" width="13" style="352" customWidth="1"/>
    <col min="9" max="9" width="8.625" style="352" customWidth="1"/>
    <col min="10" max="10" width="50.25" style="352" bestFit="1" customWidth="1"/>
    <col min="11" max="11" width="7" style="352" customWidth="1"/>
    <col min="12" max="12" width="35.25" style="352" bestFit="1" customWidth="1"/>
    <col min="13" max="13" width="15.875" style="352" customWidth="1"/>
    <col min="14" max="14" width="8" style="352" customWidth="1"/>
    <col min="15" max="16" width="9" style="352"/>
    <col min="17" max="17" width="19" style="352" bestFit="1" customWidth="1"/>
    <col min="18" max="18" width="9.25" style="352" bestFit="1" customWidth="1"/>
    <col min="19" max="22" width="9.25" style="352" customWidth="1"/>
    <col min="23" max="16384" width="9" style="352"/>
  </cols>
  <sheetData>
    <row r="1" spans="1:24" ht="15" x14ac:dyDescent="0.25">
      <c r="A1" s="400" t="s">
        <v>2136</v>
      </c>
      <c r="B1" s="401"/>
      <c r="C1" s="401"/>
      <c r="D1" s="401"/>
      <c r="E1" s="401"/>
      <c r="F1" s="401"/>
      <c r="G1" s="401"/>
      <c r="H1" s="401"/>
      <c r="I1" s="401"/>
      <c r="J1" s="401"/>
      <c r="K1" s="401"/>
      <c r="L1" s="401"/>
      <c r="M1" s="401"/>
      <c r="N1" s="401"/>
      <c r="O1" s="401"/>
      <c r="P1" s="401"/>
      <c r="Q1" s="401"/>
      <c r="R1" s="401"/>
      <c r="S1" s="401"/>
      <c r="T1" s="401"/>
      <c r="U1" s="401"/>
      <c r="V1" s="401"/>
      <c r="W1" s="401"/>
      <c r="X1" s="401"/>
    </row>
    <row r="2" spans="1:24" x14ac:dyDescent="0.2">
      <c r="A2" s="441" t="s">
        <v>2137</v>
      </c>
      <c r="B2" s="401"/>
      <c r="C2" s="401"/>
      <c r="D2" s="401"/>
      <c r="E2" s="401"/>
      <c r="F2" s="401"/>
      <c r="G2" s="401"/>
      <c r="H2" s="401"/>
      <c r="I2" s="401"/>
      <c r="J2" s="401"/>
      <c r="K2" s="401"/>
      <c r="L2" s="401"/>
      <c r="M2" s="401"/>
      <c r="N2" s="401"/>
      <c r="O2" s="401"/>
      <c r="P2" s="401"/>
      <c r="Q2" s="401"/>
      <c r="R2" s="440"/>
      <c r="S2" s="440"/>
      <c r="T2" s="440"/>
      <c r="U2" s="440"/>
      <c r="V2" s="440"/>
      <c r="W2" s="440"/>
      <c r="X2" s="401"/>
    </row>
    <row r="3" spans="1:24" x14ac:dyDescent="0.2">
      <c r="A3" s="383"/>
      <c r="R3" s="251"/>
      <c r="S3" s="251"/>
      <c r="T3" s="251"/>
      <c r="U3" s="251"/>
      <c r="V3" s="251"/>
      <c r="W3" s="251"/>
    </row>
    <row r="4" spans="1:24" x14ac:dyDescent="0.2">
      <c r="A4" s="352" t="s">
        <v>138</v>
      </c>
      <c r="B4" s="352" t="s">
        <v>2138</v>
      </c>
      <c r="R4" s="251"/>
      <c r="S4" s="251"/>
      <c r="T4" s="251"/>
      <c r="U4" s="251"/>
      <c r="V4" s="251"/>
      <c r="W4" s="251"/>
    </row>
    <row r="5" spans="1:24" x14ac:dyDescent="0.2">
      <c r="A5" s="352" t="s">
        <v>1133</v>
      </c>
      <c r="B5" s="402">
        <v>43986.190739814818</v>
      </c>
      <c r="R5" s="251"/>
      <c r="S5" s="251"/>
      <c r="T5" s="251"/>
      <c r="U5" s="251"/>
      <c r="V5" s="251"/>
    </row>
    <row r="6" spans="1:24" x14ac:dyDescent="0.2">
      <c r="A6" s="352" t="s">
        <v>1134</v>
      </c>
      <c r="B6" s="352" t="s">
        <v>2139</v>
      </c>
      <c r="R6" s="251"/>
      <c r="S6" s="251"/>
      <c r="T6" s="251"/>
      <c r="U6" s="251"/>
      <c r="V6" s="251"/>
    </row>
    <row r="7" spans="1:24" x14ac:dyDescent="0.2">
      <c r="B7" s="402"/>
      <c r="R7" s="251"/>
      <c r="S7" s="251"/>
      <c r="T7" s="251"/>
      <c r="U7" s="251"/>
      <c r="V7" s="251"/>
    </row>
    <row r="8" spans="1:24" x14ac:dyDescent="0.2">
      <c r="B8" s="402"/>
      <c r="R8" s="251"/>
      <c r="S8" s="251"/>
      <c r="T8" s="251"/>
      <c r="U8" s="251"/>
      <c r="V8" s="251"/>
    </row>
    <row r="9" spans="1:24" x14ac:dyDescent="0.2">
      <c r="B9" s="402"/>
      <c r="R9" s="251"/>
      <c r="S9" s="251"/>
      <c r="T9" s="251"/>
      <c r="U9" s="251"/>
      <c r="V9" s="251"/>
    </row>
    <row r="10" spans="1:24" x14ac:dyDescent="0.2">
      <c r="B10" s="402"/>
      <c r="R10" s="251"/>
      <c r="S10" s="251"/>
      <c r="T10" s="251"/>
      <c r="U10" s="251"/>
      <c r="V10" s="251"/>
    </row>
    <row r="11" spans="1:24" x14ac:dyDescent="0.2">
      <c r="B11" s="402"/>
      <c r="R11" s="251"/>
      <c r="S11" s="251"/>
      <c r="T11" s="251"/>
      <c r="U11" s="251"/>
      <c r="V11" s="251"/>
    </row>
    <row r="12" spans="1:24" x14ac:dyDescent="0.2">
      <c r="B12" s="402"/>
      <c r="R12" s="251" t="s">
        <v>2140</v>
      </c>
      <c r="S12" s="251"/>
      <c r="T12" s="251"/>
      <c r="U12" s="251"/>
      <c r="V12" s="251"/>
    </row>
    <row r="13" spans="1:24" x14ac:dyDescent="0.2">
      <c r="B13" s="402"/>
      <c r="R13" s="251" t="s">
        <v>2141</v>
      </c>
      <c r="S13" s="251"/>
      <c r="T13" s="251"/>
      <c r="U13" s="251"/>
      <c r="V13" s="251"/>
    </row>
    <row r="14" spans="1:24" ht="15" x14ac:dyDescent="0.25">
      <c r="B14" s="352" t="s">
        <v>877</v>
      </c>
      <c r="C14" s="352" t="s">
        <v>869</v>
      </c>
      <c r="D14" s="352" t="s">
        <v>2035</v>
      </c>
      <c r="E14" s="352" t="s">
        <v>2036</v>
      </c>
      <c r="F14" s="352" t="s">
        <v>868</v>
      </c>
      <c r="G14" s="352" t="s">
        <v>2037</v>
      </c>
      <c r="H14" s="352" t="s">
        <v>1177</v>
      </c>
      <c r="I14" s="352" t="s">
        <v>694</v>
      </c>
      <c r="J14" s="352" t="s">
        <v>695</v>
      </c>
      <c r="K14" s="352" t="s">
        <v>2142</v>
      </c>
      <c r="L14" s="352" t="s">
        <v>2143</v>
      </c>
      <c r="M14" s="352" t="s">
        <v>2144</v>
      </c>
      <c r="N14" s="352" t="s">
        <v>2038</v>
      </c>
      <c r="O14" s="352" t="s">
        <v>2039</v>
      </c>
      <c r="P14" s="381" t="s">
        <v>2040</v>
      </c>
      <c r="Q14" s="352" t="s">
        <v>2041</v>
      </c>
      <c r="R14" s="352" t="s">
        <v>2145</v>
      </c>
      <c r="S14" s="352" t="s">
        <v>2007</v>
      </c>
      <c r="T14" s="352" t="s">
        <v>2008</v>
      </c>
      <c r="U14" s="352" t="s">
        <v>1912</v>
      </c>
      <c r="V14" s="352" t="s">
        <v>1913</v>
      </c>
      <c r="W14" s="352" t="s">
        <v>2044</v>
      </c>
      <c r="X14" s="352" t="s">
        <v>2146</v>
      </c>
    </row>
    <row r="15" spans="1:24" x14ac:dyDescent="0.2">
      <c r="B15" s="352" t="s">
        <v>876</v>
      </c>
      <c r="C15" s="352" t="s">
        <v>706</v>
      </c>
      <c r="F15" s="352" t="s">
        <v>1992</v>
      </c>
      <c r="G15" s="352" t="s">
        <v>2047</v>
      </c>
      <c r="H15" s="352" t="s">
        <v>1180</v>
      </c>
      <c r="I15" s="352" t="s">
        <v>969</v>
      </c>
      <c r="J15" s="352" t="s">
        <v>970</v>
      </c>
      <c r="K15" s="352">
        <v>1111</v>
      </c>
      <c r="L15" s="352" t="s">
        <v>699</v>
      </c>
      <c r="M15" s="352" t="s">
        <v>2147</v>
      </c>
      <c r="N15" s="352" t="s">
        <v>2048</v>
      </c>
      <c r="O15" s="352">
        <v>6</v>
      </c>
      <c r="P15" s="352" t="s">
        <v>2049</v>
      </c>
      <c r="Q15" s="352" t="s">
        <v>2050</v>
      </c>
      <c r="R15" s="251">
        <v>46483.163238169371</v>
      </c>
      <c r="S15" s="251" t="s">
        <v>2015</v>
      </c>
      <c r="T15" s="251" t="s">
        <v>2016</v>
      </c>
      <c r="U15" s="251" t="s">
        <v>1914</v>
      </c>
      <c r="V15" s="251" t="s">
        <v>1915</v>
      </c>
      <c r="X15" s="251">
        <v>0</v>
      </c>
    </row>
    <row r="16" spans="1:24" x14ac:dyDescent="0.2">
      <c r="B16" s="352" t="s">
        <v>876</v>
      </c>
      <c r="C16" s="352" t="s">
        <v>706</v>
      </c>
      <c r="F16" s="352" t="s">
        <v>1992</v>
      </c>
      <c r="G16" s="352" t="s">
        <v>2047</v>
      </c>
      <c r="H16" s="352" t="s">
        <v>1180</v>
      </c>
      <c r="I16" s="352" t="s">
        <v>969</v>
      </c>
      <c r="J16" s="352" t="s">
        <v>970</v>
      </c>
      <c r="K16" s="352">
        <v>1231</v>
      </c>
      <c r="L16" s="352" t="s">
        <v>726</v>
      </c>
      <c r="M16" s="352" t="s">
        <v>2148</v>
      </c>
      <c r="N16" s="352" t="s">
        <v>2048</v>
      </c>
      <c r="O16" s="352">
        <v>6</v>
      </c>
      <c r="P16" s="352" t="s">
        <v>2049</v>
      </c>
      <c r="Q16" s="352" t="s">
        <v>2050</v>
      </c>
      <c r="R16" s="251">
        <v>947.1908148729816</v>
      </c>
      <c r="S16" s="251" t="s">
        <v>2015</v>
      </c>
      <c r="T16" s="251" t="s">
        <v>2016</v>
      </c>
      <c r="U16" s="251" t="s">
        <v>1920</v>
      </c>
      <c r="V16" s="251" t="s">
        <v>726</v>
      </c>
      <c r="X16" s="251">
        <v>0</v>
      </c>
    </row>
    <row r="17" spans="2:24" x14ac:dyDescent="0.2">
      <c r="B17" s="352" t="s">
        <v>876</v>
      </c>
      <c r="C17" s="352" t="s">
        <v>706</v>
      </c>
      <c r="F17" s="352" t="s">
        <v>1992</v>
      </c>
      <c r="G17" s="352" t="s">
        <v>2047</v>
      </c>
      <c r="H17" s="352" t="s">
        <v>1184</v>
      </c>
      <c r="I17" s="352" t="s">
        <v>971</v>
      </c>
      <c r="J17" s="352" t="s">
        <v>972</v>
      </c>
      <c r="K17" s="352">
        <v>1211</v>
      </c>
      <c r="L17" s="352" t="s">
        <v>705</v>
      </c>
      <c r="M17" s="352" t="s">
        <v>2149</v>
      </c>
      <c r="N17" s="352" t="s">
        <v>2048</v>
      </c>
      <c r="O17" s="352">
        <v>6</v>
      </c>
      <c r="P17" s="352" t="s">
        <v>2049</v>
      </c>
      <c r="Q17" s="352" t="s">
        <v>2050</v>
      </c>
      <c r="R17" s="251">
        <v>0</v>
      </c>
      <c r="S17" s="251" t="s">
        <v>2015</v>
      </c>
      <c r="T17" s="251" t="s">
        <v>2054</v>
      </c>
      <c r="U17" s="251" t="s">
        <v>1916</v>
      </c>
      <c r="V17" s="251" t="s">
        <v>1917</v>
      </c>
      <c r="X17" s="251">
        <v>0</v>
      </c>
    </row>
    <row r="18" spans="2:24" x14ac:dyDescent="0.2">
      <c r="B18" s="352" t="s">
        <v>876</v>
      </c>
      <c r="C18" s="352" t="s">
        <v>706</v>
      </c>
      <c r="F18" s="352" t="s">
        <v>1992</v>
      </c>
      <c r="G18" s="352" t="s">
        <v>2047</v>
      </c>
      <c r="H18" s="352" t="s">
        <v>1188</v>
      </c>
      <c r="I18" s="352" t="s">
        <v>973</v>
      </c>
      <c r="J18" s="352" t="s">
        <v>974</v>
      </c>
      <c r="K18" s="352">
        <v>1211</v>
      </c>
      <c r="L18" s="352" t="s">
        <v>705</v>
      </c>
      <c r="M18" s="352" t="s">
        <v>2150</v>
      </c>
      <c r="N18" s="352" t="s">
        <v>2048</v>
      </c>
      <c r="O18" s="352">
        <v>6</v>
      </c>
      <c r="P18" s="352" t="s">
        <v>2049</v>
      </c>
      <c r="Q18" s="352" t="s">
        <v>2050</v>
      </c>
      <c r="R18" s="251">
        <v>4430.2258500301768</v>
      </c>
      <c r="S18" s="251" t="s">
        <v>2015</v>
      </c>
      <c r="T18" s="251" t="s">
        <v>2016</v>
      </c>
      <c r="U18" s="251" t="s">
        <v>1916</v>
      </c>
      <c r="V18" s="251" t="s">
        <v>1917</v>
      </c>
      <c r="X18" s="251">
        <v>0</v>
      </c>
    </row>
    <row r="19" spans="2:24" x14ac:dyDescent="0.2">
      <c r="B19" s="352" t="s">
        <v>876</v>
      </c>
      <c r="C19" s="352" t="s">
        <v>706</v>
      </c>
      <c r="F19" s="352" t="s">
        <v>1992</v>
      </c>
      <c r="G19" s="352" t="s">
        <v>2047</v>
      </c>
      <c r="H19" s="352" t="s">
        <v>1188</v>
      </c>
      <c r="I19" s="352" t="s">
        <v>973</v>
      </c>
      <c r="J19" s="352" t="s">
        <v>974</v>
      </c>
      <c r="K19" s="352">
        <v>1221</v>
      </c>
      <c r="L19" s="352" t="s">
        <v>711</v>
      </c>
      <c r="M19" s="352" t="s">
        <v>2151</v>
      </c>
      <c r="N19" s="352" t="s">
        <v>2048</v>
      </c>
      <c r="O19" s="352">
        <v>6</v>
      </c>
      <c r="P19" s="352" t="s">
        <v>2049</v>
      </c>
      <c r="Q19" s="352" t="s">
        <v>2050</v>
      </c>
      <c r="R19" s="251">
        <v>5665.4834944819731</v>
      </c>
      <c r="S19" s="251" t="s">
        <v>2015</v>
      </c>
      <c r="T19" s="251" t="s">
        <v>2016</v>
      </c>
      <c r="U19" s="251" t="s">
        <v>1918</v>
      </c>
      <c r="V19" s="251" t="s">
        <v>1919</v>
      </c>
      <c r="X19" s="251">
        <v>0</v>
      </c>
    </row>
    <row r="20" spans="2:24" x14ac:dyDescent="0.2">
      <c r="B20" s="352" t="s">
        <v>876</v>
      </c>
      <c r="C20" s="352" t="s">
        <v>706</v>
      </c>
      <c r="F20" s="352" t="s">
        <v>1992</v>
      </c>
      <c r="G20" s="352" t="s">
        <v>2047</v>
      </c>
      <c r="H20" s="352" t="s">
        <v>1188</v>
      </c>
      <c r="I20" s="352" t="s">
        <v>973</v>
      </c>
      <c r="J20" s="352" t="s">
        <v>974</v>
      </c>
      <c r="K20" s="352">
        <v>1222</v>
      </c>
      <c r="L20" s="352" t="s">
        <v>718</v>
      </c>
      <c r="M20" s="352" t="s">
        <v>2152</v>
      </c>
      <c r="N20" s="352" t="s">
        <v>2048</v>
      </c>
      <c r="O20" s="352">
        <v>6</v>
      </c>
      <c r="P20" s="352" t="s">
        <v>2049</v>
      </c>
      <c r="Q20" s="352" t="s">
        <v>2050</v>
      </c>
      <c r="R20" s="251">
        <v>298.18334181484062</v>
      </c>
      <c r="S20" s="251" t="s">
        <v>2015</v>
      </c>
      <c r="T20" s="251" t="s">
        <v>2016</v>
      </c>
      <c r="U20" s="251">
        <v>0</v>
      </c>
      <c r="V20" s="251" t="s">
        <v>2153</v>
      </c>
      <c r="X20" s="251">
        <v>0</v>
      </c>
    </row>
    <row r="21" spans="2:24" x14ac:dyDescent="0.2">
      <c r="B21" s="352" t="s">
        <v>876</v>
      </c>
      <c r="C21" s="352" t="s">
        <v>706</v>
      </c>
      <c r="F21" s="352" t="s">
        <v>1992</v>
      </c>
      <c r="G21" s="352" t="s">
        <v>2047</v>
      </c>
      <c r="H21" s="352" t="s">
        <v>1192</v>
      </c>
      <c r="I21" s="352" t="s">
        <v>975</v>
      </c>
      <c r="J21" s="352" t="s">
        <v>976</v>
      </c>
      <c r="K21" s="352">
        <v>1221</v>
      </c>
      <c r="L21" s="352" t="s">
        <v>711</v>
      </c>
      <c r="M21" s="352" t="s">
        <v>2154</v>
      </c>
      <c r="N21" s="352" t="s">
        <v>2048</v>
      </c>
      <c r="O21" s="352">
        <v>7</v>
      </c>
      <c r="P21" s="352" t="s">
        <v>2055</v>
      </c>
      <c r="Q21" s="352" t="s">
        <v>2056</v>
      </c>
      <c r="R21" s="251">
        <v>0</v>
      </c>
      <c r="S21" s="251" t="s">
        <v>2015</v>
      </c>
      <c r="T21" s="251" t="s">
        <v>2054</v>
      </c>
      <c r="U21" s="251" t="s">
        <v>1918</v>
      </c>
      <c r="V21" s="251" t="s">
        <v>1919</v>
      </c>
      <c r="X21" s="251">
        <v>0</v>
      </c>
    </row>
    <row r="22" spans="2:24" x14ac:dyDescent="0.2">
      <c r="B22" s="352" t="s">
        <v>876</v>
      </c>
      <c r="C22" s="352" t="s">
        <v>706</v>
      </c>
      <c r="F22" s="352" t="s">
        <v>1992</v>
      </c>
      <c r="G22" s="352" t="s">
        <v>2047</v>
      </c>
      <c r="H22" s="352" t="s">
        <v>1196</v>
      </c>
      <c r="I22" s="352" t="s">
        <v>977</v>
      </c>
      <c r="J22" s="352" t="s">
        <v>864</v>
      </c>
      <c r="K22" s="352">
        <v>1111</v>
      </c>
      <c r="L22" s="352" t="s">
        <v>699</v>
      </c>
      <c r="M22" s="352" t="s">
        <v>2155</v>
      </c>
      <c r="N22" s="352" t="s">
        <v>2048</v>
      </c>
      <c r="O22" s="352">
        <v>5</v>
      </c>
      <c r="P22" s="352" t="s">
        <v>2057</v>
      </c>
      <c r="Q22" s="352" t="s">
        <v>2058</v>
      </c>
      <c r="R22" s="251">
        <v>8534.240496603923</v>
      </c>
      <c r="S22" s="251" t="s">
        <v>2015</v>
      </c>
      <c r="T22" s="251" t="s">
        <v>2016</v>
      </c>
      <c r="U22" s="251" t="s">
        <v>1914</v>
      </c>
      <c r="V22" s="251" t="s">
        <v>1915</v>
      </c>
      <c r="X22" s="251">
        <v>0</v>
      </c>
    </row>
    <row r="23" spans="2:24" x14ac:dyDescent="0.2">
      <c r="B23" s="352" t="s">
        <v>876</v>
      </c>
      <c r="C23" s="352" t="s">
        <v>706</v>
      </c>
      <c r="F23" s="352" t="s">
        <v>1992</v>
      </c>
      <c r="G23" s="352" t="s">
        <v>2047</v>
      </c>
      <c r="H23" s="352" t="s">
        <v>1196</v>
      </c>
      <c r="I23" s="352" t="s">
        <v>977</v>
      </c>
      <c r="J23" s="352" t="s">
        <v>864</v>
      </c>
      <c r="K23" s="352">
        <v>1211</v>
      </c>
      <c r="L23" s="352" t="s">
        <v>705</v>
      </c>
      <c r="M23" s="352" t="s">
        <v>2156</v>
      </c>
      <c r="N23" s="352" t="s">
        <v>2048</v>
      </c>
      <c r="O23" s="352">
        <v>5</v>
      </c>
      <c r="P23" s="352" t="s">
        <v>2057</v>
      </c>
      <c r="Q23" s="352" t="s">
        <v>2058</v>
      </c>
      <c r="R23" s="251">
        <v>6313.0718362930011</v>
      </c>
      <c r="S23" s="251" t="s">
        <v>2015</v>
      </c>
      <c r="T23" s="251" t="s">
        <v>2016</v>
      </c>
      <c r="U23" s="251" t="s">
        <v>1916</v>
      </c>
      <c r="V23" s="251" t="s">
        <v>1917</v>
      </c>
      <c r="X23" s="251">
        <v>0</v>
      </c>
    </row>
    <row r="24" spans="2:24" x14ac:dyDescent="0.2">
      <c r="B24" s="352" t="s">
        <v>876</v>
      </c>
      <c r="C24" s="352" t="s">
        <v>706</v>
      </c>
      <c r="F24" s="352" t="s">
        <v>1992</v>
      </c>
      <c r="G24" s="352" t="s">
        <v>2047</v>
      </c>
      <c r="H24" s="352" t="s">
        <v>1196</v>
      </c>
      <c r="I24" s="352" t="s">
        <v>977</v>
      </c>
      <c r="J24" s="352" t="s">
        <v>864</v>
      </c>
      <c r="K24" s="352">
        <v>1221</v>
      </c>
      <c r="L24" s="352" t="s">
        <v>711</v>
      </c>
      <c r="M24" s="352" t="s">
        <v>2157</v>
      </c>
      <c r="N24" s="352" t="s">
        <v>2048</v>
      </c>
      <c r="O24" s="352">
        <v>5</v>
      </c>
      <c r="P24" s="352" t="s">
        <v>2057</v>
      </c>
      <c r="Q24" s="352" t="s">
        <v>2058</v>
      </c>
      <c r="R24" s="251">
        <v>7081.8543681024657</v>
      </c>
      <c r="S24" s="251" t="s">
        <v>2015</v>
      </c>
      <c r="T24" s="251" t="s">
        <v>2016</v>
      </c>
      <c r="U24" s="251" t="s">
        <v>1918</v>
      </c>
      <c r="V24" s="251" t="s">
        <v>1919</v>
      </c>
      <c r="X24" s="251">
        <v>0</v>
      </c>
    </row>
    <row r="25" spans="2:24" x14ac:dyDescent="0.2">
      <c r="B25" s="352" t="s">
        <v>876</v>
      </c>
      <c r="C25" s="352" t="s">
        <v>706</v>
      </c>
      <c r="F25" s="352" t="s">
        <v>1992</v>
      </c>
      <c r="G25" s="352" t="s">
        <v>2047</v>
      </c>
      <c r="H25" s="352" t="s">
        <v>1196</v>
      </c>
      <c r="I25" s="352" t="s">
        <v>977</v>
      </c>
      <c r="J25" s="352" t="s">
        <v>864</v>
      </c>
      <c r="K25" s="352">
        <v>1222</v>
      </c>
      <c r="L25" s="352" t="s">
        <v>718</v>
      </c>
      <c r="M25" s="352" t="s">
        <v>2158</v>
      </c>
      <c r="N25" s="352" t="s">
        <v>2048</v>
      </c>
      <c r="O25" s="352">
        <v>5</v>
      </c>
      <c r="P25" s="352" t="s">
        <v>2057</v>
      </c>
      <c r="Q25" s="352" t="s">
        <v>2058</v>
      </c>
      <c r="R25" s="251">
        <v>372.72917726855076</v>
      </c>
      <c r="S25" s="251" t="s">
        <v>2015</v>
      </c>
      <c r="T25" s="251" t="s">
        <v>2016</v>
      </c>
      <c r="U25" s="251">
        <v>0</v>
      </c>
      <c r="V25" s="251" t="s">
        <v>2153</v>
      </c>
      <c r="X25" s="251">
        <v>0</v>
      </c>
    </row>
    <row r="26" spans="2:24" x14ac:dyDescent="0.2">
      <c r="B26" s="352" t="s">
        <v>876</v>
      </c>
      <c r="C26" s="352" t="s">
        <v>706</v>
      </c>
      <c r="F26" s="352" t="s">
        <v>1992</v>
      </c>
      <c r="G26" s="352" t="s">
        <v>2047</v>
      </c>
      <c r="H26" s="352" t="s">
        <v>1196</v>
      </c>
      <c r="I26" s="352" t="s">
        <v>977</v>
      </c>
      <c r="J26" s="352" t="s">
        <v>864</v>
      </c>
      <c r="K26" s="352">
        <v>1231</v>
      </c>
      <c r="L26" s="352" t="s">
        <v>726</v>
      </c>
      <c r="M26" s="352" t="s">
        <v>2159</v>
      </c>
      <c r="N26" s="352" t="s">
        <v>2048</v>
      </c>
      <c r="O26" s="352">
        <v>5</v>
      </c>
      <c r="P26" s="352" t="s">
        <v>2057</v>
      </c>
      <c r="Q26" s="352" t="s">
        <v>2058</v>
      </c>
      <c r="R26" s="251">
        <v>8051.1219264203428</v>
      </c>
      <c r="S26" s="251" t="s">
        <v>2015</v>
      </c>
      <c r="T26" s="251" t="s">
        <v>2016</v>
      </c>
      <c r="U26" s="251" t="s">
        <v>1920</v>
      </c>
      <c r="V26" s="251" t="s">
        <v>726</v>
      </c>
      <c r="X26" s="251">
        <v>0</v>
      </c>
    </row>
    <row r="27" spans="2:24" x14ac:dyDescent="0.2">
      <c r="B27" s="352" t="s">
        <v>876</v>
      </c>
      <c r="C27" s="352" t="s">
        <v>706</v>
      </c>
      <c r="F27" s="352" t="s">
        <v>1992</v>
      </c>
      <c r="G27" s="352" t="s">
        <v>2047</v>
      </c>
      <c r="H27" s="352" t="s">
        <v>1196</v>
      </c>
      <c r="I27" s="352" t="s">
        <v>977</v>
      </c>
      <c r="J27" s="352" t="s">
        <v>864</v>
      </c>
      <c r="K27" s="352">
        <v>1232</v>
      </c>
      <c r="L27" s="352" t="s">
        <v>734</v>
      </c>
      <c r="M27" s="352" t="s">
        <v>2160</v>
      </c>
      <c r="N27" s="352" t="s">
        <v>2048</v>
      </c>
      <c r="O27" s="352">
        <v>5</v>
      </c>
      <c r="P27" s="352" t="s">
        <v>2057</v>
      </c>
      <c r="Q27" s="352" t="s">
        <v>2058</v>
      </c>
      <c r="R27" s="251">
        <v>1290.7437213839257</v>
      </c>
      <c r="S27" s="251" t="s">
        <v>2015</v>
      </c>
      <c r="T27" s="251" t="s">
        <v>2016</v>
      </c>
      <c r="U27" s="251">
        <v>0</v>
      </c>
      <c r="V27" s="251" t="s">
        <v>2153</v>
      </c>
      <c r="X27" s="251">
        <v>0</v>
      </c>
    </row>
    <row r="28" spans="2:24" x14ac:dyDescent="0.2">
      <c r="B28" s="352" t="s">
        <v>876</v>
      </c>
      <c r="C28" s="352" t="s">
        <v>706</v>
      </c>
      <c r="F28" s="352" t="s">
        <v>1992</v>
      </c>
      <c r="G28" s="352" t="s">
        <v>2047</v>
      </c>
      <c r="H28" s="352" t="s">
        <v>1196</v>
      </c>
      <c r="I28" s="352" t="s">
        <v>977</v>
      </c>
      <c r="J28" s="352" t="s">
        <v>864</v>
      </c>
      <c r="K28" s="352">
        <v>1241</v>
      </c>
      <c r="L28" s="352" t="s">
        <v>1872</v>
      </c>
      <c r="M28" s="352" t="s">
        <v>2161</v>
      </c>
      <c r="N28" s="352" t="s">
        <v>2048</v>
      </c>
      <c r="O28" s="352">
        <v>5</v>
      </c>
      <c r="P28" s="352" t="s">
        <v>2057</v>
      </c>
      <c r="Q28" s="352" t="s">
        <v>2058</v>
      </c>
      <c r="R28" s="251">
        <v>124.50279564379593</v>
      </c>
      <c r="S28" s="251" t="s">
        <v>2015</v>
      </c>
      <c r="T28" s="251" t="s">
        <v>2016</v>
      </c>
      <c r="U28" s="251">
        <v>0</v>
      </c>
      <c r="V28" s="251" t="s">
        <v>2153</v>
      </c>
      <c r="X28" s="251">
        <v>0</v>
      </c>
    </row>
    <row r="29" spans="2:24" x14ac:dyDescent="0.2">
      <c r="B29" s="352" t="s">
        <v>876</v>
      </c>
      <c r="C29" s="352" t="s">
        <v>706</v>
      </c>
      <c r="F29" s="352" t="s">
        <v>1992</v>
      </c>
      <c r="G29" s="352" t="s">
        <v>2047</v>
      </c>
      <c r="H29" s="352" t="s">
        <v>1196</v>
      </c>
      <c r="I29" s="352" t="s">
        <v>977</v>
      </c>
      <c r="J29" s="352" t="s">
        <v>864</v>
      </c>
      <c r="K29" s="352">
        <v>1251</v>
      </c>
      <c r="L29" s="352" t="s">
        <v>733</v>
      </c>
      <c r="M29" s="352" t="s">
        <v>2162</v>
      </c>
      <c r="N29" s="352" t="s">
        <v>2048</v>
      </c>
      <c r="O29" s="352">
        <v>5</v>
      </c>
      <c r="P29" s="352" t="s">
        <v>2057</v>
      </c>
      <c r="Q29" s="352" t="s">
        <v>2058</v>
      </c>
      <c r="R29" s="251">
        <v>580.49808395986236</v>
      </c>
      <c r="S29" s="251" t="s">
        <v>2015</v>
      </c>
      <c r="T29" s="251" t="s">
        <v>2016</v>
      </c>
      <c r="U29" s="251">
        <v>0</v>
      </c>
      <c r="V29" s="251" t="s">
        <v>2153</v>
      </c>
      <c r="X29" s="251">
        <v>0</v>
      </c>
    </row>
    <row r="30" spans="2:24" x14ac:dyDescent="0.2">
      <c r="B30" s="352" t="s">
        <v>876</v>
      </c>
      <c r="C30" s="352" t="s">
        <v>706</v>
      </c>
      <c r="F30" s="352" t="s">
        <v>1992</v>
      </c>
      <c r="G30" s="352" t="s">
        <v>2047</v>
      </c>
      <c r="H30" s="352" t="s">
        <v>1200</v>
      </c>
      <c r="I30" s="352" t="s">
        <v>978</v>
      </c>
      <c r="J30" s="352" t="s">
        <v>1892</v>
      </c>
      <c r="K30" s="352">
        <v>1111</v>
      </c>
      <c r="L30" s="352" t="s">
        <v>699</v>
      </c>
      <c r="M30" s="352" t="s">
        <v>2163</v>
      </c>
      <c r="N30" s="352" t="s">
        <v>2048</v>
      </c>
      <c r="O30" s="352">
        <v>5</v>
      </c>
      <c r="P30" s="352" t="s">
        <v>2057</v>
      </c>
      <c r="Q30" s="352" t="s">
        <v>2058</v>
      </c>
      <c r="R30" s="251">
        <v>0</v>
      </c>
      <c r="S30" s="251" t="s">
        <v>2015</v>
      </c>
      <c r="T30" s="251" t="s">
        <v>2054</v>
      </c>
      <c r="U30" s="251" t="s">
        <v>1914</v>
      </c>
      <c r="V30" s="251" t="s">
        <v>1915</v>
      </c>
      <c r="X30" s="251">
        <v>0</v>
      </c>
    </row>
    <row r="31" spans="2:24" x14ac:dyDescent="0.2">
      <c r="B31" s="352" t="s">
        <v>876</v>
      </c>
      <c r="C31" s="352" t="s">
        <v>706</v>
      </c>
      <c r="F31" s="352" t="s">
        <v>1992</v>
      </c>
      <c r="G31" s="352" t="s">
        <v>2047</v>
      </c>
      <c r="H31" s="352" t="s">
        <v>1200</v>
      </c>
      <c r="I31" s="352" t="s">
        <v>978</v>
      </c>
      <c r="J31" s="352" t="s">
        <v>1892</v>
      </c>
      <c r="K31" s="352">
        <v>1231</v>
      </c>
      <c r="L31" s="352" t="s">
        <v>726</v>
      </c>
      <c r="M31" s="352" t="s">
        <v>2164</v>
      </c>
      <c r="N31" s="352" t="s">
        <v>2048</v>
      </c>
      <c r="O31" s="352">
        <v>5</v>
      </c>
      <c r="P31" s="352" t="s">
        <v>2057</v>
      </c>
      <c r="Q31" s="352" t="s">
        <v>2058</v>
      </c>
      <c r="R31" s="251">
        <v>0</v>
      </c>
      <c r="S31" s="251" t="s">
        <v>2015</v>
      </c>
      <c r="T31" s="251" t="s">
        <v>2054</v>
      </c>
      <c r="U31" s="251" t="s">
        <v>1920</v>
      </c>
      <c r="V31" s="251" t="s">
        <v>726</v>
      </c>
      <c r="X31" s="251">
        <v>0</v>
      </c>
    </row>
    <row r="32" spans="2:24" x14ac:dyDescent="0.2">
      <c r="B32" s="352" t="s">
        <v>876</v>
      </c>
      <c r="C32" s="352" t="s">
        <v>706</v>
      </c>
      <c r="F32" s="352" t="s">
        <v>1992</v>
      </c>
      <c r="G32" s="352" t="s">
        <v>2047</v>
      </c>
      <c r="H32" s="352" t="s">
        <v>1204</v>
      </c>
      <c r="I32" s="352" t="s">
        <v>979</v>
      </c>
      <c r="J32" s="352" t="s">
        <v>980</v>
      </c>
      <c r="K32" s="352">
        <v>1241</v>
      </c>
      <c r="L32" s="352" t="s">
        <v>1872</v>
      </c>
      <c r="M32" s="352" t="s">
        <v>2165</v>
      </c>
      <c r="N32" s="352" t="s">
        <v>2048</v>
      </c>
      <c r="O32" s="352">
        <v>7</v>
      </c>
      <c r="P32" s="352" t="s">
        <v>2055</v>
      </c>
      <c r="Q32" s="352" t="s">
        <v>2056</v>
      </c>
      <c r="R32" s="251">
        <v>272.06166455496145</v>
      </c>
      <c r="S32" s="251" t="s">
        <v>2015</v>
      </c>
      <c r="T32" s="251" t="s">
        <v>2016</v>
      </c>
      <c r="U32" s="251">
        <v>0</v>
      </c>
      <c r="V32" s="251" t="s">
        <v>2153</v>
      </c>
      <c r="X32" s="251">
        <v>0</v>
      </c>
    </row>
    <row r="33" spans="2:24" x14ac:dyDescent="0.2">
      <c r="B33" s="352" t="s">
        <v>876</v>
      </c>
      <c r="C33" s="352" t="s">
        <v>706</v>
      </c>
      <c r="F33" s="352" t="s">
        <v>1992</v>
      </c>
      <c r="G33" s="352" t="s">
        <v>2047</v>
      </c>
      <c r="H33" s="352" t="s">
        <v>1208</v>
      </c>
      <c r="I33" s="352" t="s">
        <v>981</v>
      </c>
      <c r="J33" s="352" t="s">
        <v>3674</v>
      </c>
      <c r="K33" s="352">
        <v>1241</v>
      </c>
      <c r="L33" s="352" t="s">
        <v>1872</v>
      </c>
      <c r="M33" s="352" t="s">
        <v>2166</v>
      </c>
      <c r="N33" s="352" t="s">
        <v>2048</v>
      </c>
      <c r="O33" s="352">
        <v>13</v>
      </c>
      <c r="P33" s="352" t="s">
        <v>2059</v>
      </c>
      <c r="Q33" s="352" t="s">
        <v>2060</v>
      </c>
      <c r="R33" s="251">
        <v>0</v>
      </c>
      <c r="S33" s="251" t="s">
        <v>2015</v>
      </c>
      <c r="T33" s="251" t="s">
        <v>2054</v>
      </c>
      <c r="U33" s="251">
        <v>0</v>
      </c>
      <c r="V33" s="251" t="s">
        <v>2153</v>
      </c>
      <c r="X33" s="251">
        <v>0</v>
      </c>
    </row>
    <row r="34" spans="2:24" x14ac:dyDescent="0.2">
      <c r="B34" s="352" t="s">
        <v>876</v>
      </c>
      <c r="C34" s="352" t="s">
        <v>706</v>
      </c>
      <c r="F34" s="352" t="s">
        <v>1992</v>
      </c>
      <c r="G34" s="352" t="s">
        <v>2047</v>
      </c>
      <c r="H34" s="352" t="s">
        <v>1208</v>
      </c>
      <c r="I34" s="352" t="s">
        <v>981</v>
      </c>
      <c r="J34" s="352" t="s">
        <v>3674</v>
      </c>
      <c r="K34" s="352">
        <v>1251</v>
      </c>
      <c r="L34" s="352" t="s">
        <v>733</v>
      </c>
      <c r="M34" s="352" t="s">
        <v>2167</v>
      </c>
      <c r="N34" s="352" t="s">
        <v>2048</v>
      </c>
      <c r="O34" s="352">
        <v>13</v>
      </c>
      <c r="P34" s="352" t="s">
        <v>2059</v>
      </c>
      <c r="Q34" s="352" t="s">
        <v>2060</v>
      </c>
      <c r="R34" s="251">
        <v>0</v>
      </c>
      <c r="S34" s="251" t="s">
        <v>2015</v>
      </c>
      <c r="T34" s="251" t="s">
        <v>2054</v>
      </c>
      <c r="U34" s="251">
        <v>0</v>
      </c>
      <c r="V34" s="251" t="s">
        <v>2153</v>
      </c>
      <c r="X34" s="251">
        <v>0</v>
      </c>
    </row>
    <row r="35" spans="2:24" x14ac:dyDescent="0.2">
      <c r="B35" s="352" t="s">
        <v>876</v>
      </c>
      <c r="C35" s="352" t="s">
        <v>706</v>
      </c>
      <c r="F35" s="352" t="s">
        <v>1992</v>
      </c>
      <c r="G35" s="352" t="s">
        <v>2047</v>
      </c>
      <c r="H35" s="352" t="s">
        <v>1212</v>
      </c>
      <c r="I35" s="352" t="s">
        <v>982</v>
      </c>
      <c r="J35" s="352" t="s">
        <v>983</v>
      </c>
      <c r="K35" s="352">
        <v>2111</v>
      </c>
      <c r="L35" s="352" t="s">
        <v>1873</v>
      </c>
      <c r="M35" s="352" t="s">
        <v>2168</v>
      </c>
      <c r="N35" s="352" t="s">
        <v>2048</v>
      </c>
      <c r="O35" s="352">
        <v>10</v>
      </c>
      <c r="P35" s="352" t="s">
        <v>2061</v>
      </c>
      <c r="Q35" s="352" t="s">
        <v>2062</v>
      </c>
      <c r="R35" s="251">
        <v>467.67730665484265</v>
      </c>
      <c r="S35" s="251" t="s">
        <v>2015</v>
      </c>
      <c r="T35" s="251" t="s">
        <v>2016</v>
      </c>
      <c r="U35" s="251" t="s">
        <v>1929</v>
      </c>
      <c r="V35" s="251" t="s">
        <v>1930</v>
      </c>
      <c r="X35" s="251">
        <v>0</v>
      </c>
    </row>
    <row r="36" spans="2:24" x14ac:dyDescent="0.2">
      <c r="B36" s="352" t="s">
        <v>876</v>
      </c>
      <c r="C36" s="352" t="s">
        <v>706</v>
      </c>
      <c r="F36" s="352" t="s">
        <v>1992</v>
      </c>
      <c r="G36" s="352" t="s">
        <v>2047</v>
      </c>
      <c r="H36" s="352" t="s">
        <v>1212</v>
      </c>
      <c r="I36" s="352" t="s">
        <v>982</v>
      </c>
      <c r="J36" s="352" t="s">
        <v>983</v>
      </c>
      <c r="K36" s="352">
        <v>2121</v>
      </c>
      <c r="L36" s="352" t="s">
        <v>1876</v>
      </c>
      <c r="M36" s="352" t="s">
        <v>2169</v>
      </c>
      <c r="N36" s="352" t="s">
        <v>2048</v>
      </c>
      <c r="O36" s="352">
        <v>10</v>
      </c>
      <c r="P36" s="352" t="s">
        <v>2061</v>
      </c>
      <c r="Q36" s="352" t="s">
        <v>2062</v>
      </c>
      <c r="R36" s="251">
        <v>1440.7853074553427</v>
      </c>
      <c r="S36" s="251" t="s">
        <v>2015</v>
      </c>
      <c r="T36" s="251" t="s">
        <v>2016</v>
      </c>
      <c r="U36" s="251" t="s">
        <v>1929</v>
      </c>
      <c r="V36" s="251" t="s">
        <v>1930</v>
      </c>
      <c r="X36" s="251">
        <v>0</v>
      </c>
    </row>
    <row r="37" spans="2:24" x14ac:dyDescent="0.2">
      <c r="B37" s="352" t="s">
        <v>876</v>
      </c>
      <c r="C37" s="352" t="s">
        <v>706</v>
      </c>
      <c r="F37" s="352" t="s">
        <v>1992</v>
      </c>
      <c r="G37" s="352" t="s">
        <v>2047</v>
      </c>
      <c r="H37" s="352" t="s">
        <v>1212</v>
      </c>
      <c r="I37" s="352" t="s">
        <v>982</v>
      </c>
      <c r="J37" s="352" t="s">
        <v>983</v>
      </c>
      <c r="K37" s="352">
        <v>2131</v>
      </c>
      <c r="L37" s="352" t="s">
        <v>1879</v>
      </c>
      <c r="M37" s="352" t="s">
        <v>2170</v>
      </c>
      <c r="N37" s="352" t="s">
        <v>2048</v>
      </c>
      <c r="O37" s="352">
        <v>10</v>
      </c>
      <c r="P37" s="352" t="s">
        <v>2061</v>
      </c>
      <c r="Q37" s="352" t="s">
        <v>2062</v>
      </c>
      <c r="R37" s="251">
        <v>7.8512547142218789</v>
      </c>
      <c r="S37" s="251" t="s">
        <v>2015</v>
      </c>
      <c r="T37" s="251" t="s">
        <v>2016</v>
      </c>
      <c r="U37" s="251" t="s">
        <v>1929</v>
      </c>
      <c r="V37" s="251" t="s">
        <v>1930</v>
      </c>
      <c r="X37" s="251">
        <v>0</v>
      </c>
    </row>
    <row r="38" spans="2:24" x14ac:dyDescent="0.2">
      <c r="B38" s="352" t="s">
        <v>876</v>
      </c>
      <c r="C38" s="352" t="s">
        <v>706</v>
      </c>
      <c r="F38" s="352" t="s">
        <v>1992</v>
      </c>
      <c r="G38" s="352" t="s">
        <v>2047</v>
      </c>
      <c r="H38" s="352" t="s">
        <v>1212</v>
      </c>
      <c r="I38" s="352" t="s">
        <v>982</v>
      </c>
      <c r="J38" s="352" t="s">
        <v>983</v>
      </c>
      <c r="K38" s="352">
        <v>2211</v>
      </c>
      <c r="L38" s="352" t="s">
        <v>1883</v>
      </c>
      <c r="M38" s="352" t="s">
        <v>2171</v>
      </c>
      <c r="N38" s="352" t="s">
        <v>2048</v>
      </c>
      <c r="O38" s="352">
        <v>10</v>
      </c>
      <c r="P38" s="352" t="s">
        <v>2061</v>
      </c>
      <c r="Q38" s="352" t="s">
        <v>2062</v>
      </c>
      <c r="R38" s="251">
        <v>43.135185541532813</v>
      </c>
      <c r="S38" s="251" t="s">
        <v>2015</v>
      </c>
      <c r="T38" s="251" t="s">
        <v>2016</v>
      </c>
      <c r="U38" s="251" t="s">
        <v>1929</v>
      </c>
      <c r="V38" s="251" t="s">
        <v>1930</v>
      </c>
      <c r="X38" s="251">
        <v>0</v>
      </c>
    </row>
    <row r="39" spans="2:24" x14ac:dyDescent="0.2">
      <c r="B39" s="352" t="s">
        <v>876</v>
      </c>
      <c r="C39" s="352" t="s">
        <v>706</v>
      </c>
      <c r="F39" s="352" t="s">
        <v>1992</v>
      </c>
      <c r="G39" s="352" t="s">
        <v>2047</v>
      </c>
      <c r="H39" s="352" t="s">
        <v>1216</v>
      </c>
      <c r="I39" s="352" t="s">
        <v>984</v>
      </c>
      <c r="J39" s="352" t="s">
        <v>985</v>
      </c>
      <c r="K39" s="352">
        <v>2111</v>
      </c>
      <c r="L39" s="352" t="s">
        <v>1873</v>
      </c>
      <c r="M39" s="352" t="s">
        <v>2172</v>
      </c>
      <c r="N39" s="352" t="s">
        <v>2048</v>
      </c>
      <c r="O39" s="352">
        <v>11</v>
      </c>
      <c r="P39" s="352" t="s">
        <v>2063</v>
      </c>
      <c r="Q39" s="352" t="s">
        <v>2064</v>
      </c>
      <c r="R39" s="251">
        <v>0</v>
      </c>
      <c r="S39" s="251" t="s">
        <v>2015</v>
      </c>
      <c r="T39" s="251" t="s">
        <v>2054</v>
      </c>
      <c r="U39" s="251" t="s">
        <v>1929</v>
      </c>
      <c r="V39" s="251" t="s">
        <v>1930</v>
      </c>
      <c r="X39" s="251">
        <v>0</v>
      </c>
    </row>
    <row r="40" spans="2:24" x14ac:dyDescent="0.2">
      <c r="B40" s="352" t="s">
        <v>876</v>
      </c>
      <c r="C40" s="352" t="s">
        <v>706</v>
      </c>
      <c r="F40" s="352" t="s">
        <v>1992</v>
      </c>
      <c r="G40" s="352" t="s">
        <v>2047</v>
      </c>
      <c r="H40" s="352" t="s">
        <v>1216</v>
      </c>
      <c r="I40" s="352" t="s">
        <v>984</v>
      </c>
      <c r="J40" s="352" t="s">
        <v>985</v>
      </c>
      <c r="K40" s="352">
        <v>2121</v>
      </c>
      <c r="L40" s="352" t="s">
        <v>1876</v>
      </c>
      <c r="M40" s="352" t="s">
        <v>2173</v>
      </c>
      <c r="N40" s="352" t="s">
        <v>2048</v>
      </c>
      <c r="O40" s="352">
        <v>11</v>
      </c>
      <c r="P40" s="352" t="s">
        <v>2063</v>
      </c>
      <c r="Q40" s="352" t="s">
        <v>2064</v>
      </c>
      <c r="R40" s="251">
        <v>0</v>
      </c>
      <c r="S40" s="251" t="s">
        <v>2015</v>
      </c>
      <c r="T40" s="251" t="s">
        <v>2054</v>
      </c>
      <c r="U40" s="251" t="s">
        <v>1929</v>
      </c>
      <c r="V40" s="251" t="s">
        <v>1930</v>
      </c>
      <c r="X40" s="251">
        <v>0</v>
      </c>
    </row>
    <row r="41" spans="2:24" x14ac:dyDescent="0.2">
      <c r="B41" s="352" t="s">
        <v>876</v>
      </c>
      <c r="C41" s="352" t="s">
        <v>706</v>
      </c>
      <c r="F41" s="352" t="s">
        <v>1992</v>
      </c>
      <c r="G41" s="352" t="s">
        <v>2047</v>
      </c>
      <c r="H41" s="352" t="s">
        <v>1216</v>
      </c>
      <c r="I41" s="352" t="s">
        <v>984</v>
      </c>
      <c r="J41" s="352" t="s">
        <v>985</v>
      </c>
      <c r="K41" s="352">
        <v>2131</v>
      </c>
      <c r="L41" s="352" t="s">
        <v>1879</v>
      </c>
      <c r="M41" s="352" t="s">
        <v>2174</v>
      </c>
      <c r="N41" s="352" t="s">
        <v>2048</v>
      </c>
      <c r="O41" s="352">
        <v>11</v>
      </c>
      <c r="P41" s="352" t="s">
        <v>2063</v>
      </c>
      <c r="Q41" s="352" t="s">
        <v>2064</v>
      </c>
      <c r="R41" s="251">
        <v>0</v>
      </c>
      <c r="S41" s="251" t="s">
        <v>2015</v>
      </c>
      <c r="T41" s="251" t="s">
        <v>2054</v>
      </c>
      <c r="U41" s="251" t="s">
        <v>1929</v>
      </c>
      <c r="V41" s="251" t="s">
        <v>1930</v>
      </c>
      <c r="X41" s="251">
        <v>0</v>
      </c>
    </row>
    <row r="42" spans="2:24" x14ac:dyDescent="0.2">
      <c r="B42" s="352" t="s">
        <v>876</v>
      </c>
      <c r="C42" s="352" t="s">
        <v>706</v>
      </c>
      <c r="F42" s="352" t="s">
        <v>1992</v>
      </c>
      <c r="G42" s="352" t="s">
        <v>2047</v>
      </c>
      <c r="H42" s="352" t="s">
        <v>1216</v>
      </c>
      <c r="I42" s="352" t="s">
        <v>984</v>
      </c>
      <c r="J42" s="352" t="s">
        <v>985</v>
      </c>
      <c r="K42" s="352">
        <v>2211</v>
      </c>
      <c r="L42" s="352" t="s">
        <v>1883</v>
      </c>
      <c r="M42" s="352" t="s">
        <v>2175</v>
      </c>
      <c r="N42" s="352" t="s">
        <v>2048</v>
      </c>
      <c r="O42" s="352">
        <v>11</v>
      </c>
      <c r="P42" s="352" t="s">
        <v>2063</v>
      </c>
      <c r="Q42" s="352" t="s">
        <v>2064</v>
      </c>
      <c r="R42" s="251">
        <v>0</v>
      </c>
      <c r="S42" s="251" t="s">
        <v>2015</v>
      </c>
      <c r="T42" s="251" t="s">
        <v>2054</v>
      </c>
      <c r="U42" s="251" t="s">
        <v>1929</v>
      </c>
      <c r="V42" s="251" t="s">
        <v>1930</v>
      </c>
      <c r="X42" s="251">
        <v>0</v>
      </c>
    </row>
    <row r="43" spans="2:24" x14ac:dyDescent="0.2">
      <c r="B43" s="352" t="s">
        <v>876</v>
      </c>
      <c r="C43" s="352" t="s">
        <v>706</v>
      </c>
      <c r="F43" s="352" t="s">
        <v>1992</v>
      </c>
      <c r="G43" s="352" t="s">
        <v>2047</v>
      </c>
      <c r="H43" s="352" t="s">
        <v>1220</v>
      </c>
      <c r="I43" s="352" t="s">
        <v>986</v>
      </c>
      <c r="J43" s="352" t="s">
        <v>987</v>
      </c>
      <c r="K43" s="352">
        <v>2112</v>
      </c>
      <c r="L43" s="352" t="s">
        <v>1874</v>
      </c>
      <c r="M43" s="352" t="s">
        <v>2176</v>
      </c>
      <c r="N43" s="352" t="s">
        <v>2048</v>
      </c>
      <c r="O43" s="352">
        <v>11</v>
      </c>
      <c r="P43" s="352" t="s">
        <v>2063</v>
      </c>
      <c r="Q43" s="352" t="s">
        <v>2064</v>
      </c>
      <c r="R43" s="251">
        <v>1.9063021274992655</v>
      </c>
      <c r="S43" s="251" t="s">
        <v>2015</v>
      </c>
      <c r="T43" s="251" t="s">
        <v>2016</v>
      </c>
      <c r="U43" s="251" t="s">
        <v>1931</v>
      </c>
      <c r="V43" s="251" t="s">
        <v>1932</v>
      </c>
      <c r="X43" s="251">
        <v>0</v>
      </c>
    </row>
    <row r="44" spans="2:24" x14ac:dyDescent="0.2">
      <c r="B44" s="352" t="s">
        <v>876</v>
      </c>
      <c r="C44" s="352" t="s">
        <v>706</v>
      </c>
      <c r="F44" s="352" t="s">
        <v>1992</v>
      </c>
      <c r="G44" s="352" t="s">
        <v>2047</v>
      </c>
      <c r="H44" s="352" t="s">
        <v>1220</v>
      </c>
      <c r="I44" s="352" t="s">
        <v>986</v>
      </c>
      <c r="J44" s="352" t="s">
        <v>987</v>
      </c>
      <c r="K44" s="352">
        <v>2122</v>
      </c>
      <c r="L44" s="352" t="s">
        <v>1877</v>
      </c>
      <c r="M44" s="352" t="s">
        <v>2177</v>
      </c>
      <c r="N44" s="352" t="s">
        <v>2048</v>
      </c>
      <c r="O44" s="352">
        <v>11</v>
      </c>
      <c r="P44" s="352" t="s">
        <v>2063</v>
      </c>
      <c r="Q44" s="352" t="s">
        <v>2064</v>
      </c>
      <c r="R44" s="251">
        <v>599.72338968972178</v>
      </c>
      <c r="S44" s="251" t="s">
        <v>2015</v>
      </c>
      <c r="T44" s="251" t="s">
        <v>2016</v>
      </c>
      <c r="U44" s="251" t="s">
        <v>1931</v>
      </c>
      <c r="V44" s="251" t="s">
        <v>1932</v>
      </c>
      <c r="X44" s="251">
        <v>0</v>
      </c>
    </row>
    <row r="45" spans="2:24" x14ac:dyDescent="0.2">
      <c r="B45" s="352" t="s">
        <v>876</v>
      </c>
      <c r="C45" s="352" t="s">
        <v>706</v>
      </c>
      <c r="F45" s="352" t="s">
        <v>1992</v>
      </c>
      <c r="G45" s="352" t="s">
        <v>2047</v>
      </c>
      <c r="H45" s="352" t="s">
        <v>1224</v>
      </c>
      <c r="I45" s="352" t="s">
        <v>988</v>
      </c>
      <c r="J45" s="352" t="s">
        <v>989</v>
      </c>
      <c r="K45" s="352">
        <v>2112</v>
      </c>
      <c r="L45" s="352" t="s">
        <v>1874</v>
      </c>
      <c r="M45" s="352" t="s">
        <v>2178</v>
      </c>
      <c r="N45" s="352" t="s">
        <v>2048</v>
      </c>
      <c r="O45" s="352">
        <v>11</v>
      </c>
      <c r="P45" s="352" t="s">
        <v>2063</v>
      </c>
      <c r="Q45" s="352" t="s">
        <v>2064</v>
      </c>
      <c r="R45" s="251">
        <v>2.62116542531149</v>
      </c>
      <c r="S45" s="251" t="s">
        <v>2015</v>
      </c>
      <c r="T45" s="251" t="s">
        <v>2016</v>
      </c>
      <c r="U45" s="251" t="s">
        <v>1931</v>
      </c>
      <c r="V45" s="251" t="s">
        <v>1932</v>
      </c>
      <c r="X45" s="251">
        <v>0</v>
      </c>
    </row>
    <row r="46" spans="2:24" x14ac:dyDescent="0.2">
      <c r="B46" s="352" t="s">
        <v>876</v>
      </c>
      <c r="C46" s="352" t="s">
        <v>706</v>
      </c>
      <c r="F46" s="352" t="s">
        <v>1992</v>
      </c>
      <c r="G46" s="352" t="s">
        <v>2047</v>
      </c>
      <c r="H46" s="352" t="s">
        <v>1224</v>
      </c>
      <c r="I46" s="352" t="s">
        <v>988</v>
      </c>
      <c r="J46" s="352" t="s">
        <v>989</v>
      </c>
      <c r="K46" s="352">
        <v>2122</v>
      </c>
      <c r="L46" s="352" t="s">
        <v>1877</v>
      </c>
      <c r="M46" s="352" t="s">
        <v>2179</v>
      </c>
      <c r="N46" s="352" t="s">
        <v>2048</v>
      </c>
      <c r="O46" s="352">
        <v>11</v>
      </c>
      <c r="P46" s="352" t="s">
        <v>2063</v>
      </c>
      <c r="Q46" s="352" t="s">
        <v>2064</v>
      </c>
      <c r="R46" s="251">
        <v>824.61966082336744</v>
      </c>
      <c r="S46" s="251" t="s">
        <v>2015</v>
      </c>
      <c r="T46" s="251" t="s">
        <v>2016</v>
      </c>
      <c r="U46" s="251" t="s">
        <v>1931</v>
      </c>
      <c r="V46" s="251" t="s">
        <v>1932</v>
      </c>
      <c r="X46" s="251">
        <v>0</v>
      </c>
    </row>
    <row r="47" spans="2:24" x14ac:dyDescent="0.2">
      <c r="B47" s="352" t="s">
        <v>876</v>
      </c>
      <c r="C47" s="352" t="s">
        <v>706</v>
      </c>
      <c r="F47" s="352" t="s">
        <v>1992</v>
      </c>
      <c r="G47" s="352" t="s">
        <v>2047</v>
      </c>
      <c r="H47" s="352" t="s">
        <v>1228</v>
      </c>
      <c r="I47" s="352" t="s">
        <v>990</v>
      </c>
      <c r="J47" s="352" t="s">
        <v>991</v>
      </c>
      <c r="K47" s="352">
        <v>2132</v>
      </c>
      <c r="L47" s="352" t="s">
        <v>1880</v>
      </c>
      <c r="M47" s="352" t="s">
        <v>2180</v>
      </c>
      <c r="N47" s="352" t="s">
        <v>2048</v>
      </c>
      <c r="O47" s="352">
        <v>1</v>
      </c>
      <c r="P47" s="352" t="s">
        <v>2065</v>
      </c>
      <c r="Q47" s="352" t="s">
        <v>2066</v>
      </c>
      <c r="R47" s="251">
        <v>0</v>
      </c>
      <c r="S47" s="251" t="s">
        <v>2015</v>
      </c>
      <c r="T47" s="251" t="s">
        <v>2054</v>
      </c>
      <c r="U47" s="251" t="s">
        <v>1931</v>
      </c>
      <c r="V47" s="251" t="s">
        <v>1932</v>
      </c>
      <c r="X47" s="251">
        <v>0</v>
      </c>
    </row>
    <row r="48" spans="2:24" x14ac:dyDescent="0.2">
      <c r="B48" s="352" t="s">
        <v>876</v>
      </c>
      <c r="C48" s="352" t="s">
        <v>706</v>
      </c>
      <c r="F48" s="352" t="s">
        <v>1992</v>
      </c>
      <c r="G48" s="352" t="s">
        <v>2047</v>
      </c>
      <c r="H48" s="352" t="s">
        <v>1232</v>
      </c>
      <c r="I48" s="352" t="s">
        <v>994</v>
      </c>
      <c r="J48" s="352" t="s">
        <v>995</v>
      </c>
      <c r="K48" s="352">
        <v>2311</v>
      </c>
      <c r="L48" s="352" t="s">
        <v>1887</v>
      </c>
      <c r="M48" s="352" t="s">
        <v>2181</v>
      </c>
      <c r="N48" s="352" t="s">
        <v>2048</v>
      </c>
      <c r="O48" s="352">
        <v>8</v>
      </c>
      <c r="P48" s="352" t="s">
        <v>2067</v>
      </c>
      <c r="Q48" s="352" t="s">
        <v>2068</v>
      </c>
      <c r="R48" s="251">
        <v>0</v>
      </c>
      <c r="S48" s="251" t="s">
        <v>2015</v>
      </c>
      <c r="T48" s="251" t="s">
        <v>2054</v>
      </c>
      <c r="U48" s="251" t="s">
        <v>1943</v>
      </c>
      <c r="V48" s="251" t="s">
        <v>1944</v>
      </c>
      <c r="X48" s="251">
        <v>0</v>
      </c>
    </row>
    <row r="49" spans="2:24" x14ac:dyDescent="0.2">
      <c r="B49" s="352" t="s">
        <v>876</v>
      </c>
      <c r="C49" s="352" t="s">
        <v>706</v>
      </c>
      <c r="F49" s="352" t="s">
        <v>1992</v>
      </c>
      <c r="G49" s="352" t="s">
        <v>2047</v>
      </c>
      <c r="H49" s="352" t="s">
        <v>1236</v>
      </c>
      <c r="I49" s="352" t="s">
        <v>996</v>
      </c>
      <c r="J49" s="352" t="s">
        <v>997</v>
      </c>
      <c r="K49" s="352">
        <v>2311</v>
      </c>
      <c r="L49" s="352" t="s">
        <v>1887</v>
      </c>
      <c r="M49" s="352" t="s">
        <v>2182</v>
      </c>
      <c r="N49" s="352" t="s">
        <v>2048</v>
      </c>
      <c r="O49" s="352">
        <v>8</v>
      </c>
      <c r="P49" s="352" t="s">
        <v>2067</v>
      </c>
      <c r="Q49" s="352" t="s">
        <v>2068</v>
      </c>
      <c r="R49" s="251">
        <v>0</v>
      </c>
      <c r="S49" s="251" t="s">
        <v>2015</v>
      </c>
      <c r="T49" s="251" t="s">
        <v>2054</v>
      </c>
      <c r="U49" s="251" t="s">
        <v>1943</v>
      </c>
      <c r="V49" s="251" t="s">
        <v>1944</v>
      </c>
      <c r="X49" s="251">
        <v>0</v>
      </c>
    </row>
    <row r="50" spans="2:24" x14ac:dyDescent="0.2">
      <c r="B50" s="352" t="s">
        <v>876</v>
      </c>
      <c r="C50" s="352" t="s">
        <v>706</v>
      </c>
      <c r="F50" s="352" t="s">
        <v>1992</v>
      </c>
      <c r="G50" s="352" t="s">
        <v>2047</v>
      </c>
      <c r="H50" s="352" t="s">
        <v>1240</v>
      </c>
      <c r="I50" s="352" t="s">
        <v>998</v>
      </c>
      <c r="J50" s="352" t="s">
        <v>999</v>
      </c>
      <c r="K50" s="352">
        <v>2311</v>
      </c>
      <c r="L50" s="352" t="s">
        <v>1887</v>
      </c>
      <c r="M50" s="352" t="s">
        <v>2183</v>
      </c>
      <c r="N50" s="352" t="s">
        <v>2048</v>
      </c>
      <c r="O50" s="352">
        <v>8</v>
      </c>
      <c r="P50" s="352" t="s">
        <v>2067</v>
      </c>
      <c r="Q50" s="352" t="s">
        <v>2068</v>
      </c>
      <c r="R50" s="251">
        <v>0</v>
      </c>
      <c r="S50" s="251" t="s">
        <v>2015</v>
      </c>
      <c r="T50" s="251" t="s">
        <v>2054</v>
      </c>
      <c r="U50" s="251" t="s">
        <v>1943</v>
      </c>
      <c r="V50" s="251" t="s">
        <v>1944</v>
      </c>
      <c r="X50" s="251">
        <v>0</v>
      </c>
    </row>
    <row r="51" spans="2:24" x14ac:dyDescent="0.2">
      <c r="B51" s="352" t="s">
        <v>876</v>
      </c>
      <c r="C51" s="352" t="s">
        <v>706</v>
      </c>
      <c r="F51" s="352" t="s">
        <v>1992</v>
      </c>
      <c r="G51" s="352" t="s">
        <v>2047</v>
      </c>
      <c r="H51" s="352" t="s">
        <v>1240</v>
      </c>
      <c r="I51" s="352" t="s">
        <v>998</v>
      </c>
      <c r="J51" s="352" t="s">
        <v>999</v>
      </c>
      <c r="K51" s="352">
        <v>2312</v>
      </c>
      <c r="L51" s="352" t="s">
        <v>789</v>
      </c>
      <c r="M51" s="352" t="s">
        <v>2184</v>
      </c>
      <c r="N51" s="352" t="s">
        <v>2048</v>
      </c>
      <c r="O51" s="352">
        <v>8</v>
      </c>
      <c r="P51" s="352" t="s">
        <v>2067</v>
      </c>
      <c r="Q51" s="352" t="s">
        <v>2068</v>
      </c>
      <c r="R51" s="251">
        <v>0</v>
      </c>
      <c r="S51" s="251" t="s">
        <v>2015</v>
      </c>
      <c r="T51" s="251" t="s">
        <v>2054</v>
      </c>
      <c r="U51" s="251" t="s">
        <v>1943</v>
      </c>
      <c r="V51" s="251" t="s">
        <v>1944</v>
      </c>
      <c r="X51" s="251">
        <v>0</v>
      </c>
    </row>
    <row r="52" spans="2:24" x14ac:dyDescent="0.2">
      <c r="B52" s="352" t="s">
        <v>876</v>
      </c>
      <c r="C52" s="352" t="s">
        <v>706</v>
      </c>
      <c r="F52" s="352" t="s">
        <v>1992</v>
      </c>
      <c r="G52" s="352" t="s">
        <v>2047</v>
      </c>
      <c r="H52" s="352" t="s">
        <v>1244</v>
      </c>
      <c r="I52" s="352" t="s">
        <v>1000</v>
      </c>
      <c r="J52" s="352" t="s">
        <v>1001</v>
      </c>
      <c r="K52" s="352">
        <v>2141</v>
      </c>
      <c r="L52" s="352" t="s">
        <v>1882</v>
      </c>
      <c r="M52" s="352" t="s">
        <v>2185</v>
      </c>
      <c r="N52" s="352" t="s">
        <v>2048</v>
      </c>
      <c r="O52" s="352">
        <v>12</v>
      </c>
      <c r="P52" s="352" t="s">
        <v>2069</v>
      </c>
      <c r="Q52" s="352" t="s">
        <v>2070</v>
      </c>
      <c r="R52" s="251">
        <v>384.93857246136463</v>
      </c>
      <c r="S52" s="251" t="s">
        <v>2015</v>
      </c>
      <c r="T52" s="251" t="s">
        <v>2016</v>
      </c>
      <c r="U52" s="251" t="s">
        <v>1935</v>
      </c>
      <c r="V52" s="251" t="s">
        <v>1936</v>
      </c>
      <c r="X52" s="251">
        <v>0</v>
      </c>
    </row>
    <row r="53" spans="2:24" x14ac:dyDescent="0.2">
      <c r="B53" s="352" t="s">
        <v>876</v>
      </c>
      <c r="C53" s="352" t="s">
        <v>706</v>
      </c>
      <c r="F53" s="352" t="s">
        <v>1992</v>
      </c>
      <c r="G53" s="352" t="s">
        <v>2047</v>
      </c>
      <c r="H53" s="352" t="s">
        <v>1244</v>
      </c>
      <c r="I53" s="352" t="s">
        <v>1000</v>
      </c>
      <c r="J53" s="352" t="s">
        <v>1001</v>
      </c>
      <c r="K53" s="352">
        <v>2142</v>
      </c>
      <c r="L53" s="352" t="s">
        <v>780</v>
      </c>
      <c r="M53" s="352" t="s">
        <v>2186</v>
      </c>
      <c r="N53" s="352" t="s">
        <v>2048</v>
      </c>
      <c r="O53" s="352">
        <v>12</v>
      </c>
      <c r="P53" s="352" t="s">
        <v>2069</v>
      </c>
      <c r="Q53" s="352" t="s">
        <v>2070</v>
      </c>
      <c r="R53" s="251">
        <v>241.80179283522213</v>
      </c>
      <c r="S53" s="251" t="s">
        <v>2015</v>
      </c>
      <c r="T53" s="251" t="s">
        <v>2016</v>
      </c>
      <c r="U53" s="251">
        <v>0</v>
      </c>
      <c r="V53" s="251" t="s">
        <v>2153</v>
      </c>
      <c r="X53" s="251">
        <v>0</v>
      </c>
    </row>
    <row r="54" spans="2:24" x14ac:dyDescent="0.2">
      <c r="B54" s="352" t="s">
        <v>876</v>
      </c>
      <c r="C54" s="352" t="s">
        <v>706</v>
      </c>
      <c r="F54" s="352" t="s">
        <v>1992</v>
      </c>
      <c r="G54" s="352" t="s">
        <v>2047</v>
      </c>
      <c r="H54" s="352" t="s">
        <v>1248</v>
      </c>
      <c r="I54" s="352" t="s">
        <v>1002</v>
      </c>
      <c r="J54" s="352" t="s">
        <v>1003</v>
      </c>
      <c r="K54" s="352">
        <v>2113</v>
      </c>
      <c r="L54" s="352" t="s">
        <v>1875</v>
      </c>
      <c r="M54" s="352" t="s">
        <v>2187</v>
      </c>
      <c r="N54" s="352" t="s">
        <v>2048</v>
      </c>
      <c r="O54" s="352">
        <v>1</v>
      </c>
      <c r="P54" s="352" t="s">
        <v>2065</v>
      </c>
      <c r="Q54" s="352" t="s">
        <v>2066</v>
      </c>
      <c r="R54" s="251">
        <v>0</v>
      </c>
      <c r="S54" s="251" t="s">
        <v>2015</v>
      </c>
      <c r="T54" s="251" t="s">
        <v>2054</v>
      </c>
      <c r="U54" s="251" t="s">
        <v>1935</v>
      </c>
      <c r="V54" s="251" t="s">
        <v>1936</v>
      </c>
      <c r="X54" s="251">
        <v>0</v>
      </c>
    </row>
    <row r="55" spans="2:24" x14ac:dyDescent="0.2">
      <c r="B55" s="352" t="s">
        <v>876</v>
      </c>
      <c r="C55" s="352" t="s">
        <v>706</v>
      </c>
      <c r="F55" s="352" t="s">
        <v>1992</v>
      </c>
      <c r="G55" s="352" t="s">
        <v>2047</v>
      </c>
      <c r="H55" s="352" t="s">
        <v>1248</v>
      </c>
      <c r="I55" s="352" t="s">
        <v>1002</v>
      </c>
      <c r="J55" s="352" t="s">
        <v>1003</v>
      </c>
      <c r="K55" s="352">
        <v>2123</v>
      </c>
      <c r="L55" s="352" t="s">
        <v>1878</v>
      </c>
      <c r="M55" s="352" t="s">
        <v>2188</v>
      </c>
      <c r="N55" s="352" t="s">
        <v>2048</v>
      </c>
      <c r="O55" s="352">
        <v>1</v>
      </c>
      <c r="P55" s="352" t="s">
        <v>2065</v>
      </c>
      <c r="Q55" s="352" t="s">
        <v>2066</v>
      </c>
      <c r="R55" s="251">
        <v>0</v>
      </c>
      <c r="S55" s="251" t="s">
        <v>2015</v>
      </c>
      <c r="T55" s="251" t="s">
        <v>2054</v>
      </c>
      <c r="U55" s="251" t="s">
        <v>1935</v>
      </c>
      <c r="V55" s="251" t="s">
        <v>1936</v>
      </c>
      <c r="X55" s="251">
        <v>0</v>
      </c>
    </row>
    <row r="56" spans="2:24" x14ac:dyDescent="0.2">
      <c r="B56" s="352" t="s">
        <v>876</v>
      </c>
      <c r="C56" s="352" t="s">
        <v>706</v>
      </c>
      <c r="F56" s="352" t="s">
        <v>1992</v>
      </c>
      <c r="G56" s="352" t="s">
        <v>2047</v>
      </c>
      <c r="H56" s="352" t="s">
        <v>1252</v>
      </c>
      <c r="I56" s="352" t="s">
        <v>1006</v>
      </c>
      <c r="J56" s="352" t="s">
        <v>1007</v>
      </c>
      <c r="K56" s="352">
        <v>2133</v>
      </c>
      <c r="L56" s="352" t="s">
        <v>1881</v>
      </c>
      <c r="M56" s="352" t="s">
        <v>2189</v>
      </c>
      <c r="N56" s="352" t="s">
        <v>2048</v>
      </c>
      <c r="O56" s="352">
        <v>1</v>
      </c>
      <c r="P56" s="352" t="s">
        <v>2065</v>
      </c>
      <c r="Q56" s="352" t="s">
        <v>2066</v>
      </c>
      <c r="R56" s="251">
        <v>0</v>
      </c>
      <c r="S56" s="251" t="s">
        <v>2015</v>
      </c>
      <c r="T56" s="251" t="s">
        <v>2054</v>
      </c>
      <c r="U56" s="251" t="s">
        <v>1935</v>
      </c>
      <c r="V56" s="251" t="s">
        <v>1936</v>
      </c>
      <c r="X56" s="251">
        <v>0</v>
      </c>
    </row>
    <row r="57" spans="2:24" x14ac:dyDescent="0.2">
      <c r="B57" s="352" t="s">
        <v>876</v>
      </c>
      <c r="C57" s="352" t="s">
        <v>706</v>
      </c>
      <c r="F57" s="352" t="s">
        <v>1992</v>
      </c>
      <c r="G57" s="352" t="s">
        <v>2047</v>
      </c>
      <c r="H57" s="352" t="s">
        <v>1252</v>
      </c>
      <c r="I57" s="352" t="s">
        <v>1006</v>
      </c>
      <c r="J57" s="352" t="s">
        <v>1007</v>
      </c>
      <c r="K57" s="352">
        <v>2141</v>
      </c>
      <c r="L57" s="352" t="s">
        <v>1882</v>
      </c>
      <c r="M57" s="352" t="s">
        <v>2190</v>
      </c>
      <c r="N57" s="352" t="s">
        <v>2048</v>
      </c>
      <c r="O57" s="352">
        <v>1</v>
      </c>
      <c r="P57" s="352" t="s">
        <v>2065</v>
      </c>
      <c r="Q57" s="352" t="s">
        <v>2066</v>
      </c>
      <c r="R57" s="251">
        <v>0</v>
      </c>
      <c r="S57" s="251" t="s">
        <v>2015</v>
      </c>
      <c r="T57" s="251" t="s">
        <v>2054</v>
      </c>
      <c r="U57" s="251" t="s">
        <v>1935</v>
      </c>
      <c r="V57" s="251" t="s">
        <v>1936</v>
      </c>
      <c r="X57" s="251">
        <v>0</v>
      </c>
    </row>
    <row r="58" spans="2:24" x14ac:dyDescent="0.2">
      <c r="B58" s="352" t="s">
        <v>876</v>
      </c>
      <c r="C58" s="352" t="s">
        <v>706</v>
      </c>
      <c r="F58" s="352" t="s">
        <v>1992</v>
      </c>
      <c r="G58" s="352" t="s">
        <v>2047</v>
      </c>
      <c r="H58" s="352" t="s">
        <v>1252</v>
      </c>
      <c r="I58" s="352" t="s">
        <v>1006</v>
      </c>
      <c r="J58" s="352" t="s">
        <v>1007</v>
      </c>
      <c r="K58" s="352">
        <v>2221</v>
      </c>
      <c r="L58" s="352" t="s">
        <v>1884</v>
      </c>
      <c r="M58" s="352" t="s">
        <v>2191</v>
      </c>
      <c r="N58" s="352" t="s">
        <v>2048</v>
      </c>
      <c r="O58" s="352">
        <v>1</v>
      </c>
      <c r="P58" s="352" t="s">
        <v>2065</v>
      </c>
      <c r="Q58" s="352" t="s">
        <v>2066</v>
      </c>
      <c r="R58" s="251">
        <v>0</v>
      </c>
      <c r="S58" s="251" t="s">
        <v>2015</v>
      </c>
      <c r="T58" s="251" t="s">
        <v>2054</v>
      </c>
      <c r="U58" s="251" t="s">
        <v>1935</v>
      </c>
      <c r="V58" s="251" t="s">
        <v>1936</v>
      </c>
      <c r="X58" s="251">
        <v>0</v>
      </c>
    </row>
    <row r="59" spans="2:24" x14ac:dyDescent="0.2">
      <c r="B59" s="352" t="s">
        <v>876</v>
      </c>
      <c r="C59" s="352" t="s">
        <v>706</v>
      </c>
      <c r="F59" s="352" t="s">
        <v>1992</v>
      </c>
      <c r="G59" s="352" t="s">
        <v>2047</v>
      </c>
      <c r="H59" s="352" t="s">
        <v>1256</v>
      </c>
      <c r="I59" s="352" t="s">
        <v>1008</v>
      </c>
      <c r="J59" s="352" t="s">
        <v>1009</v>
      </c>
      <c r="K59" s="352">
        <v>2223</v>
      </c>
      <c r="L59" s="352" t="s">
        <v>1886</v>
      </c>
      <c r="M59" s="352" t="s">
        <v>2192</v>
      </c>
      <c r="N59" s="352" t="s">
        <v>2048</v>
      </c>
      <c r="O59" s="352">
        <v>2</v>
      </c>
      <c r="P59" s="352" t="s">
        <v>2071</v>
      </c>
      <c r="Q59" s="352" t="s">
        <v>2072</v>
      </c>
      <c r="R59" s="251">
        <v>0</v>
      </c>
      <c r="S59" s="251" t="s">
        <v>2193</v>
      </c>
      <c r="T59" s="251" t="s">
        <v>2054</v>
      </c>
      <c r="U59" s="251" t="s">
        <v>1937</v>
      </c>
      <c r="V59" s="251" t="s">
        <v>1938</v>
      </c>
      <c r="X59" s="251">
        <v>0</v>
      </c>
    </row>
    <row r="60" spans="2:24" x14ac:dyDescent="0.2">
      <c r="B60" s="352" t="s">
        <v>876</v>
      </c>
      <c r="C60" s="352" t="s">
        <v>706</v>
      </c>
      <c r="F60" s="352" t="s">
        <v>1992</v>
      </c>
      <c r="G60" s="352" t="s">
        <v>2047</v>
      </c>
      <c r="H60" s="352" t="s">
        <v>1260</v>
      </c>
      <c r="I60" s="352" t="s">
        <v>1010</v>
      </c>
      <c r="J60" s="352" t="s">
        <v>1011</v>
      </c>
      <c r="K60" s="352">
        <v>2222</v>
      </c>
      <c r="L60" s="352" t="s">
        <v>1885</v>
      </c>
      <c r="M60" s="352" t="s">
        <v>2194</v>
      </c>
      <c r="N60" s="352" t="s">
        <v>2048</v>
      </c>
      <c r="O60" s="352">
        <v>2</v>
      </c>
      <c r="P60" s="352" t="s">
        <v>2071</v>
      </c>
      <c r="Q60" s="352" t="s">
        <v>2072</v>
      </c>
      <c r="R60" s="251">
        <v>0</v>
      </c>
      <c r="S60" s="251" t="s">
        <v>2193</v>
      </c>
      <c r="T60" s="251" t="s">
        <v>2054</v>
      </c>
      <c r="U60" s="251" t="s">
        <v>1939</v>
      </c>
      <c r="V60" s="251" t="s">
        <v>1940</v>
      </c>
      <c r="X60" s="251">
        <v>0</v>
      </c>
    </row>
    <row r="61" spans="2:24" x14ac:dyDescent="0.2">
      <c r="B61" s="352" t="s">
        <v>876</v>
      </c>
      <c r="C61" s="352" t="s">
        <v>706</v>
      </c>
      <c r="F61" s="352" t="s">
        <v>1992</v>
      </c>
      <c r="G61" s="352" t="s">
        <v>2047</v>
      </c>
      <c r="H61" s="352" t="s">
        <v>1264</v>
      </c>
      <c r="I61" s="352" t="s">
        <v>1012</v>
      </c>
      <c r="J61" s="352" t="s">
        <v>1013</v>
      </c>
      <c r="K61" s="352">
        <v>2222</v>
      </c>
      <c r="L61" s="352" t="s">
        <v>1885</v>
      </c>
      <c r="M61" s="352" t="s">
        <v>2195</v>
      </c>
      <c r="N61" s="352" t="s">
        <v>2048</v>
      </c>
      <c r="O61" s="352">
        <v>2</v>
      </c>
      <c r="P61" s="352" t="s">
        <v>2071</v>
      </c>
      <c r="Q61" s="352" t="s">
        <v>2072</v>
      </c>
      <c r="R61" s="251">
        <v>0</v>
      </c>
      <c r="S61" s="251" t="s">
        <v>2193</v>
      </c>
      <c r="T61" s="251" t="s">
        <v>2054</v>
      </c>
      <c r="U61" s="251" t="s">
        <v>1939</v>
      </c>
      <c r="V61" s="251" t="s">
        <v>1940</v>
      </c>
      <c r="X61" s="251">
        <v>0</v>
      </c>
    </row>
    <row r="62" spans="2:24" x14ac:dyDescent="0.2">
      <c r="B62" s="352" t="s">
        <v>876</v>
      </c>
      <c r="C62" s="352" t="s">
        <v>706</v>
      </c>
      <c r="F62" s="352" t="s">
        <v>1992</v>
      </c>
      <c r="G62" s="352" t="s">
        <v>2047</v>
      </c>
      <c r="H62" s="352" t="s">
        <v>1268</v>
      </c>
      <c r="I62" s="352" t="s">
        <v>1014</v>
      </c>
      <c r="J62" s="352" t="s">
        <v>1893</v>
      </c>
      <c r="K62" s="352">
        <v>2131</v>
      </c>
      <c r="L62" s="352" t="s">
        <v>1879</v>
      </c>
      <c r="M62" s="352" t="s">
        <v>2196</v>
      </c>
      <c r="N62" s="352" t="s">
        <v>2048</v>
      </c>
      <c r="O62" s="352">
        <v>8</v>
      </c>
      <c r="P62" s="352" t="s">
        <v>2067</v>
      </c>
      <c r="Q62" s="352" t="s">
        <v>2068</v>
      </c>
      <c r="R62" s="251">
        <v>0</v>
      </c>
      <c r="S62" s="251" t="s">
        <v>2015</v>
      </c>
      <c r="T62" s="251" t="s">
        <v>2054</v>
      </c>
      <c r="U62" s="251" t="s">
        <v>1929</v>
      </c>
      <c r="V62" s="251" t="s">
        <v>1930</v>
      </c>
      <c r="X62" s="251">
        <v>0</v>
      </c>
    </row>
    <row r="63" spans="2:24" x14ac:dyDescent="0.2">
      <c r="B63" s="352" t="s">
        <v>876</v>
      </c>
      <c r="C63" s="352" t="s">
        <v>706</v>
      </c>
      <c r="F63" s="352" t="s">
        <v>1992</v>
      </c>
      <c r="G63" s="352" t="s">
        <v>2047</v>
      </c>
      <c r="H63" s="352" t="s">
        <v>1268</v>
      </c>
      <c r="I63" s="352" t="s">
        <v>1014</v>
      </c>
      <c r="J63" s="352" t="s">
        <v>1893</v>
      </c>
      <c r="K63" s="352">
        <v>2132</v>
      </c>
      <c r="L63" s="352" t="s">
        <v>1880</v>
      </c>
      <c r="M63" s="352" t="s">
        <v>2197</v>
      </c>
      <c r="N63" s="352" t="s">
        <v>2048</v>
      </c>
      <c r="O63" s="352">
        <v>8</v>
      </c>
      <c r="P63" s="352" t="s">
        <v>2067</v>
      </c>
      <c r="Q63" s="352" t="s">
        <v>2068</v>
      </c>
      <c r="R63" s="251">
        <v>319.43698965166612</v>
      </c>
      <c r="S63" s="251" t="s">
        <v>2015</v>
      </c>
      <c r="T63" s="251" t="s">
        <v>2016</v>
      </c>
      <c r="U63" s="251" t="s">
        <v>1931</v>
      </c>
      <c r="V63" s="251" t="s">
        <v>1932</v>
      </c>
      <c r="X63" s="251">
        <v>0</v>
      </c>
    </row>
    <row r="64" spans="2:24" x14ac:dyDescent="0.2">
      <c r="B64" s="352" t="s">
        <v>876</v>
      </c>
      <c r="C64" s="352" t="s">
        <v>706</v>
      </c>
      <c r="F64" s="352" t="s">
        <v>1992</v>
      </c>
      <c r="G64" s="352" t="s">
        <v>2047</v>
      </c>
      <c r="H64" s="352" t="s">
        <v>1268</v>
      </c>
      <c r="I64" s="352" t="s">
        <v>1014</v>
      </c>
      <c r="J64" s="352" t="s">
        <v>1893</v>
      </c>
      <c r="K64" s="352">
        <v>2133</v>
      </c>
      <c r="L64" s="352" t="s">
        <v>1881</v>
      </c>
      <c r="M64" s="352" t="s">
        <v>2198</v>
      </c>
      <c r="N64" s="352" t="s">
        <v>2048</v>
      </c>
      <c r="O64" s="352">
        <v>8</v>
      </c>
      <c r="P64" s="352" t="s">
        <v>2067</v>
      </c>
      <c r="Q64" s="352" t="s">
        <v>2068</v>
      </c>
      <c r="R64" s="251">
        <v>495.24972058038509</v>
      </c>
      <c r="S64" s="251" t="s">
        <v>2015</v>
      </c>
      <c r="T64" s="251" t="s">
        <v>2016</v>
      </c>
      <c r="U64" s="251" t="s">
        <v>1935</v>
      </c>
      <c r="V64" s="251" t="s">
        <v>1936</v>
      </c>
      <c r="X64" s="251">
        <v>0</v>
      </c>
    </row>
    <row r="65" spans="2:24" x14ac:dyDescent="0.2">
      <c r="B65" s="352" t="s">
        <v>876</v>
      </c>
      <c r="C65" s="352" t="s">
        <v>706</v>
      </c>
      <c r="F65" s="352" t="s">
        <v>1992</v>
      </c>
      <c r="G65" s="352" t="s">
        <v>2047</v>
      </c>
      <c r="H65" s="352" t="s">
        <v>1268</v>
      </c>
      <c r="I65" s="352" t="s">
        <v>1014</v>
      </c>
      <c r="J65" s="352" t="s">
        <v>1893</v>
      </c>
      <c r="K65" s="352">
        <v>2134</v>
      </c>
      <c r="L65" s="352" t="s">
        <v>775</v>
      </c>
      <c r="M65" s="352" t="s">
        <v>2199</v>
      </c>
      <c r="N65" s="352" t="s">
        <v>2048</v>
      </c>
      <c r="O65" s="352">
        <v>8</v>
      </c>
      <c r="P65" s="352" t="s">
        <v>2067</v>
      </c>
      <c r="Q65" s="352" t="s">
        <v>2068</v>
      </c>
      <c r="R65" s="251">
        <v>28.825862718882259</v>
      </c>
      <c r="S65" s="251" t="s">
        <v>2015</v>
      </c>
      <c r="T65" s="251" t="s">
        <v>2016</v>
      </c>
      <c r="U65" s="251">
        <v>0</v>
      </c>
      <c r="V65" s="251" t="s">
        <v>2153</v>
      </c>
      <c r="X65" s="251">
        <v>0</v>
      </c>
    </row>
    <row r="66" spans="2:24" x14ac:dyDescent="0.2">
      <c r="B66" s="352" t="s">
        <v>876</v>
      </c>
      <c r="C66" s="352" t="s">
        <v>706</v>
      </c>
      <c r="F66" s="352" t="s">
        <v>1992</v>
      </c>
      <c r="G66" s="352" t="s">
        <v>2047</v>
      </c>
      <c r="H66" s="352" t="s">
        <v>1268</v>
      </c>
      <c r="I66" s="352" t="s">
        <v>1014</v>
      </c>
      <c r="J66" s="352" t="s">
        <v>1893</v>
      </c>
      <c r="K66" s="352">
        <v>2141</v>
      </c>
      <c r="L66" s="352" t="s">
        <v>1882</v>
      </c>
      <c r="M66" s="352" t="s">
        <v>2200</v>
      </c>
      <c r="N66" s="352" t="s">
        <v>2048</v>
      </c>
      <c r="O66" s="352">
        <v>8</v>
      </c>
      <c r="P66" s="352" t="s">
        <v>2067</v>
      </c>
      <c r="Q66" s="352" t="s">
        <v>2068</v>
      </c>
      <c r="R66" s="251">
        <v>11.905316674062822</v>
      </c>
      <c r="S66" s="251" t="s">
        <v>2015</v>
      </c>
      <c r="T66" s="251" t="s">
        <v>2016</v>
      </c>
      <c r="U66" s="251" t="s">
        <v>1935</v>
      </c>
      <c r="V66" s="251" t="s">
        <v>1936</v>
      </c>
      <c r="X66" s="251">
        <v>0</v>
      </c>
    </row>
    <row r="67" spans="2:24" x14ac:dyDescent="0.2">
      <c r="B67" s="352" t="s">
        <v>876</v>
      </c>
      <c r="C67" s="352" t="s">
        <v>706</v>
      </c>
      <c r="F67" s="352" t="s">
        <v>1992</v>
      </c>
      <c r="G67" s="352" t="s">
        <v>2047</v>
      </c>
      <c r="H67" s="352" t="s">
        <v>1268</v>
      </c>
      <c r="I67" s="352" t="s">
        <v>1014</v>
      </c>
      <c r="J67" s="352" t="s">
        <v>1893</v>
      </c>
      <c r="K67" s="352">
        <v>2211</v>
      </c>
      <c r="L67" s="352" t="s">
        <v>1883</v>
      </c>
      <c r="M67" s="352" t="s">
        <v>2201</v>
      </c>
      <c r="N67" s="352" t="s">
        <v>2048</v>
      </c>
      <c r="O67" s="352">
        <v>8</v>
      </c>
      <c r="P67" s="352" t="s">
        <v>2067</v>
      </c>
      <c r="Q67" s="352" t="s">
        <v>2068</v>
      </c>
      <c r="R67" s="251">
        <v>21.567592770766407</v>
      </c>
      <c r="S67" s="251" t="s">
        <v>2015</v>
      </c>
      <c r="T67" s="251" t="s">
        <v>2016</v>
      </c>
      <c r="U67" s="251" t="s">
        <v>1929</v>
      </c>
      <c r="V67" s="251" t="s">
        <v>1930</v>
      </c>
      <c r="X67" s="251">
        <v>0</v>
      </c>
    </row>
    <row r="68" spans="2:24" x14ac:dyDescent="0.2">
      <c r="B68" s="352" t="s">
        <v>876</v>
      </c>
      <c r="C68" s="352" t="s">
        <v>706</v>
      </c>
      <c r="F68" s="352" t="s">
        <v>1992</v>
      </c>
      <c r="G68" s="352" t="s">
        <v>2047</v>
      </c>
      <c r="H68" s="352" t="s">
        <v>1268</v>
      </c>
      <c r="I68" s="352" t="s">
        <v>1014</v>
      </c>
      <c r="J68" s="352" t="s">
        <v>1893</v>
      </c>
      <c r="K68" s="352">
        <v>2221</v>
      </c>
      <c r="L68" s="352" t="s">
        <v>1884</v>
      </c>
      <c r="M68" s="352" t="s">
        <v>2202</v>
      </c>
      <c r="N68" s="352" t="s">
        <v>2048</v>
      </c>
      <c r="O68" s="352">
        <v>8</v>
      </c>
      <c r="P68" s="352" t="s">
        <v>2067</v>
      </c>
      <c r="Q68" s="352" t="s">
        <v>2068</v>
      </c>
      <c r="R68" s="251">
        <v>297.56327079923381</v>
      </c>
      <c r="S68" s="251" t="s">
        <v>2015</v>
      </c>
      <c r="T68" s="251" t="s">
        <v>2016</v>
      </c>
      <c r="U68" s="251" t="s">
        <v>1935</v>
      </c>
      <c r="V68" s="251" t="s">
        <v>1936</v>
      </c>
      <c r="X68" s="251">
        <v>0</v>
      </c>
    </row>
    <row r="69" spans="2:24" x14ac:dyDescent="0.2">
      <c r="B69" s="352" t="s">
        <v>876</v>
      </c>
      <c r="C69" s="352" t="s">
        <v>706</v>
      </c>
      <c r="F69" s="352" t="s">
        <v>1992</v>
      </c>
      <c r="G69" s="352" t="s">
        <v>2047</v>
      </c>
      <c r="H69" s="352" t="s">
        <v>1272</v>
      </c>
      <c r="I69" s="352" t="s">
        <v>1015</v>
      </c>
      <c r="J69" s="352" t="s">
        <v>1016</v>
      </c>
      <c r="K69" s="352">
        <v>3111</v>
      </c>
      <c r="L69" s="352" t="s">
        <v>763</v>
      </c>
      <c r="M69" s="352" t="s">
        <v>2203</v>
      </c>
      <c r="N69" s="352" t="s">
        <v>2048</v>
      </c>
      <c r="O69" s="352">
        <v>1</v>
      </c>
      <c r="P69" s="352" t="s">
        <v>2065</v>
      </c>
      <c r="Q69" s="352" t="s">
        <v>2066</v>
      </c>
      <c r="R69" s="251">
        <v>0</v>
      </c>
      <c r="S69" s="251"/>
      <c r="T69" s="251" t="s">
        <v>2054</v>
      </c>
      <c r="U69" s="251" t="s">
        <v>1945</v>
      </c>
      <c r="V69" s="251" t="s">
        <v>709</v>
      </c>
      <c r="X69" s="251">
        <v>0</v>
      </c>
    </row>
    <row r="70" spans="2:24" x14ac:dyDescent="0.2">
      <c r="B70" s="352" t="s">
        <v>876</v>
      </c>
      <c r="C70" s="352" t="s">
        <v>706</v>
      </c>
      <c r="F70" s="352" t="s">
        <v>1992</v>
      </c>
      <c r="G70" s="352" t="s">
        <v>2047</v>
      </c>
      <c r="H70" s="352" t="s">
        <v>1272</v>
      </c>
      <c r="I70" s="352" t="s">
        <v>1015</v>
      </c>
      <c r="J70" s="352" t="s">
        <v>1016</v>
      </c>
      <c r="K70" s="352">
        <v>3121</v>
      </c>
      <c r="L70" s="352" t="s">
        <v>766</v>
      </c>
      <c r="M70" s="352" t="s">
        <v>2204</v>
      </c>
      <c r="N70" s="352" t="s">
        <v>2048</v>
      </c>
      <c r="O70" s="352">
        <v>1</v>
      </c>
      <c r="P70" s="352" t="s">
        <v>2065</v>
      </c>
      <c r="Q70" s="352" t="s">
        <v>2066</v>
      </c>
      <c r="R70" s="251">
        <v>0</v>
      </c>
      <c r="S70" s="251"/>
      <c r="T70" s="251" t="s">
        <v>2054</v>
      </c>
      <c r="U70" s="251" t="s">
        <v>1945</v>
      </c>
      <c r="V70" s="251" t="s">
        <v>709</v>
      </c>
      <c r="X70" s="251">
        <v>0</v>
      </c>
    </row>
    <row r="71" spans="2:24" x14ac:dyDescent="0.2">
      <c r="B71" s="352" t="s">
        <v>876</v>
      </c>
      <c r="C71" s="352" t="s">
        <v>706</v>
      </c>
      <c r="F71" s="352" t="s">
        <v>1992</v>
      </c>
      <c r="G71" s="352" t="s">
        <v>2047</v>
      </c>
      <c r="H71" s="352" t="s">
        <v>1276</v>
      </c>
      <c r="I71" s="352" t="s">
        <v>1017</v>
      </c>
      <c r="J71" s="352" t="s">
        <v>1018</v>
      </c>
      <c r="K71" s="352">
        <v>4111</v>
      </c>
      <c r="L71" s="352" t="s">
        <v>770</v>
      </c>
      <c r="M71" s="352" t="s">
        <v>2205</v>
      </c>
      <c r="N71" s="352" t="s">
        <v>2048</v>
      </c>
      <c r="O71" s="352">
        <v>11</v>
      </c>
      <c r="P71" s="352" t="s">
        <v>2063</v>
      </c>
      <c r="Q71" s="352" t="s">
        <v>2064</v>
      </c>
      <c r="R71" s="251">
        <v>133.72185887639449</v>
      </c>
      <c r="S71" s="251" t="s">
        <v>2015</v>
      </c>
      <c r="T71" s="251" t="s">
        <v>2016</v>
      </c>
      <c r="U71" s="251" t="s">
        <v>1946</v>
      </c>
      <c r="V71" s="251" t="s">
        <v>1947</v>
      </c>
      <c r="X71" s="251">
        <v>0</v>
      </c>
    </row>
    <row r="72" spans="2:24" x14ac:dyDescent="0.2">
      <c r="B72" s="352" t="s">
        <v>876</v>
      </c>
      <c r="C72" s="352" t="s">
        <v>706</v>
      </c>
      <c r="F72" s="352" t="s">
        <v>1992</v>
      </c>
      <c r="G72" s="352" t="s">
        <v>2047</v>
      </c>
      <c r="H72" s="352" t="s">
        <v>1276</v>
      </c>
      <c r="I72" s="352" t="s">
        <v>1017</v>
      </c>
      <c r="J72" s="352" t="s">
        <v>1018</v>
      </c>
      <c r="K72" s="352">
        <v>4121</v>
      </c>
      <c r="L72" s="352" t="s">
        <v>772</v>
      </c>
      <c r="M72" s="352" t="s">
        <v>2206</v>
      </c>
      <c r="N72" s="352" t="s">
        <v>2048</v>
      </c>
      <c r="O72" s="352">
        <v>11</v>
      </c>
      <c r="P72" s="352" t="s">
        <v>2063</v>
      </c>
      <c r="Q72" s="352" t="s">
        <v>2064</v>
      </c>
      <c r="R72" s="251">
        <v>105.57710152375944</v>
      </c>
      <c r="S72" s="251" t="s">
        <v>2015</v>
      </c>
      <c r="T72" s="251" t="s">
        <v>2016</v>
      </c>
      <c r="U72" s="251" t="s">
        <v>1946</v>
      </c>
      <c r="V72" s="251" t="s">
        <v>1947</v>
      </c>
      <c r="X72" s="251">
        <v>0</v>
      </c>
    </row>
    <row r="73" spans="2:24" x14ac:dyDescent="0.2">
      <c r="B73" s="352" t="s">
        <v>876</v>
      </c>
      <c r="C73" s="352" t="s">
        <v>706</v>
      </c>
      <c r="F73" s="352" t="s">
        <v>1992</v>
      </c>
      <c r="G73" s="352" t="s">
        <v>2047</v>
      </c>
      <c r="H73" s="352" t="s">
        <v>1280</v>
      </c>
      <c r="I73" s="352" t="s">
        <v>1019</v>
      </c>
      <c r="J73" s="352" t="s">
        <v>1020</v>
      </c>
      <c r="K73" s="352">
        <v>4231</v>
      </c>
      <c r="L73" s="352" t="s">
        <v>774</v>
      </c>
      <c r="M73" s="352" t="s">
        <v>2207</v>
      </c>
      <c r="N73" s="352" t="s">
        <v>2048</v>
      </c>
      <c r="O73" s="352">
        <v>1</v>
      </c>
      <c r="P73" s="352" t="s">
        <v>2065</v>
      </c>
      <c r="Q73" s="352" t="s">
        <v>2066</v>
      </c>
      <c r="R73" s="251">
        <v>1638.9954386267555</v>
      </c>
      <c r="S73" s="251" t="s">
        <v>2015</v>
      </c>
      <c r="T73" s="251" t="s">
        <v>2016</v>
      </c>
      <c r="U73" s="251" t="s">
        <v>1948</v>
      </c>
      <c r="V73" s="251" t="s">
        <v>1949</v>
      </c>
      <c r="X73" s="251">
        <v>0</v>
      </c>
    </row>
    <row r="74" spans="2:24" x14ac:dyDescent="0.2">
      <c r="B74" s="352" t="s">
        <v>876</v>
      </c>
      <c r="C74" s="352" t="s">
        <v>706</v>
      </c>
      <c r="F74" s="352" t="s">
        <v>1992</v>
      </c>
      <c r="G74" s="352" t="s">
        <v>2047</v>
      </c>
      <c r="H74" s="352" t="s">
        <v>1280</v>
      </c>
      <c r="I74" s="352" t="s">
        <v>1019</v>
      </c>
      <c r="J74" s="352" t="s">
        <v>1020</v>
      </c>
      <c r="K74" s="352">
        <v>4241</v>
      </c>
      <c r="L74" s="352" t="s">
        <v>777</v>
      </c>
      <c r="M74" s="352" t="s">
        <v>2208</v>
      </c>
      <c r="N74" s="352" t="s">
        <v>2048</v>
      </c>
      <c r="O74" s="352">
        <v>1</v>
      </c>
      <c r="P74" s="352" t="s">
        <v>2065</v>
      </c>
      <c r="Q74" s="352" t="s">
        <v>2066</v>
      </c>
      <c r="R74" s="251">
        <v>60.491913272142831</v>
      </c>
      <c r="S74" s="251" t="s">
        <v>2015</v>
      </c>
      <c r="T74" s="251" t="s">
        <v>2016</v>
      </c>
      <c r="U74" s="251" t="s">
        <v>1950</v>
      </c>
      <c r="V74" s="251" t="s">
        <v>1951</v>
      </c>
      <c r="X74" s="251">
        <v>0</v>
      </c>
    </row>
    <row r="75" spans="2:24" x14ac:dyDescent="0.2">
      <c r="B75" s="352" t="s">
        <v>876</v>
      </c>
      <c r="C75" s="352" t="s">
        <v>706</v>
      </c>
      <c r="F75" s="352" t="s">
        <v>1992</v>
      </c>
      <c r="G75" s="352" t="s">
        <v>2047</v>
      </c>
      <c r="H75" s="352" t="s">
        <v>1280</v>
      </c>
      <c r="I75" s="352" t="s">
        <v>1019</v>
      </c>
      <c r="J75" s="352" t="s">
        <v>1020</v>
      </c>
      <c r="K75" s="352">
        <v>4311</v>
      </c>
      <c r="L75" s="352" t="s">
        <v>779</v>
      </c>
      <c r="M75" s="352" t="s">
        <v>2209</v>
      </c>
      <c r="N75" s="352" t="s">
        <v>2048</v>
      </c>
      <c r="O75" s="352">
        <v>1</v>
      </c>
      <c r="P75" s="352" t="s">
        <v>2065</v>
      </c>
      <c r="Q75" s="352" t="s">
        <v>2066</v>
      </c>
      <c r="R75" s="251">
        <v>5.4502165816473624</v>
      </c>
      <c r="S75" s="251" t="s">
        <v>2015</v>
      </c>
      <c r="T75" s="251" t="s">
        <v>2016</v>
      </c>
      <c r="U75" s="251" t="s">
        <v>1952</v>
      </c>
      <c r="V75" s="251" t="s">
        <v>1953</v>
      </c>
      <c r="X75" s="251">
        <v>0</v>
      </c>
    </row>
    <row r="76" spans="2:24" x14ac:dyDescent="0.2">
      <c r="B76" s="352" t="s">
        <v>876</v>
      </c>
      <c r="C76" s="352" t="s">
        <v>706</v>
      </c>
      <c r="F76" s="352" t="s">
        <v>1992</v>
      </c>
      <c r="G76" s="352" t="s">
        <v>2047</v>
      </c>
      <c r="H76" s="352" t="s">
        <v>1284</v>
      </c>
      <c r="I76" s="352" t="s">
        <v>1021</v>
      </c>
      <c r="J76" s="352" t="s">
        <v>751</v>
      </c>
      <c r="K76" s="352">
        <v>4231</v>
      </c>
      <c r="L76" s="352" t="s">
        <v>774</v>
      </c>
      <c r="M76" s="352" t="s">
        <v>2210</v>
      </c>
      <c r="N76" s="352" t="s">
        <v>2048</v>
      </c>
      <c r="O76" s="352">
        <v>20</v>
      </c>
      <c r="P76" s="352" t="s">
        <v>2073</v>
      </c>
      <c r="Q76" s="352" t="s">
        <v>2074</v>
      </c>
      <c r="R76" s="251">
        <v>51.757750693476488</v>
      </c>
      <c r="S76" s="251" t="s">
        <v>2015</v>
      </c>
      <c r="T76" s="251" t="s">
        <v>2016</v>
      </c>
      <c r="U76" s="251" t="s">
        <v>1948</v>
      </c>
      <c r="V76" s="251" t="s">
        <v>1949</v>
      </c>
      <c r="X76" s="251">
        <v>0</v>
      </c>
    </row>
    <row r="77" spans="2:24" x14ac:dyDescent="0.2">
      <c r="B77" s="352" t="s">
        <v>876</v>
      </c>
      <c r="C77" s="352" t="s">
        <v>706</v>
      </c>
      <c r="F77" s="352" t="s">
        <v>1992</v>
      </c>
      <c r="G77" s="352" t="s">
        <v>2047</v>
      </c>
      <c r="H77" s="352" t="s">
        <v>1284</v>
      </c>
      <c r="I77" s="352" t="s">
        <v>1021</v>
      </c>
      <c r="J77" s="352" t="s">
        <v>751</v>
      </c>
      <c r="K77" s="352">
        <v>4241</v>
      </c>
      <c r="L77" s="352" t="s">
        <v>777</v>
      </c>
      <c r="M77" s="352" t="s">
        <v>2211</v>
      </c>
      <c r="N77" s="352" t="s">
        <v>2048</v>
      </c>
      <c r="O77" s="352">
        <v>20</v>
      </c>
      <c r="P77" s="352" t="s">
        <v>2073</v>
      </c>
      <c r="Q77" s="352" t="s">
        <v>2074</v>
      </c>
      <c r="R77" s="251">
        <v>1915.5772536178563</v>
      </c>
      <c r="S77" s="251" t="s">
        <v>2015</v>
      </c>
      <c r="T77" s="251" t="s">
        <v>2016</v>
      </c>
      <c r="U77" s="251" t="s">
        <v>1950</v>
      </c>
      <c r="V77" s="251" t="s">
        <v>1951</v>
      </c>
      <c r="X77" s="251">
        <v>0</v>
      </c>
    </row>
    <row r="78" spans="2:24" x14ac:dyDescent="0.2">
      <c r="B78" s="352" t="s">
        <v>876</v>
      </c>
      <c r="C78" s="352" t="s">
        <v>706</v>
      </c>
      <c r="F78" s="352" t="s">
        <v>1992</v>
      </c>
      <c r="G78" s="352" t="s">
        <v>2047</v>
      </c>
      <c r="H78" s="352" t="s">
        <v>1284</v>
      </c>
      <c r="I78" s="352" t="s">
        <v>1021</v>
      </c>
      <c r="J78" s="352" t="s">
        <v>751</v>
      </c>
      <c r="K78" s="352">
        <v>4311</v>
      </c>
      <c r="L78" s="352" t="s">
        <v>779</v>
      </c>
      <c r="M78" s="352" t="s">
        <v>2212</v>
      </c>
      <c r="N78" s="352" t="s">
        <v>2048</v>
      </c>
      <c r="O78" s="352">
        <v>20</v>
      </c>
      <c r="P78" s="352" t="s">
        <v>2073</v>
      </c>
      <c r="Q78" s="352" t="s">
        <v>2074</v>
      </c>
      <c r="R78" s="251">
        <v>172.59019175216648</v>
      </c>
      <c r="S78" s="251" t="s">
        <v>2015</v>
      </c>
      <c r="T78" s="251" t="s">
        <v>2016</v>
      </c>
      <c r="U78" s="251" t="s">
        <v>1952</v>
      </c>
      <c r="V78" s="251" t="s">
        <v>1953</v>
      </c>
      <c r="X78" s="251">
        <v>0</v>
      </c>
    </row>
    <row r="79" spans="2:24" x14ac:dyDescent="0.2">
      <c r="B79" s="352" t="s">
        <v>876</v>
      </c>
      <c r="C79" s="352" t="s">
        <v>712</v>
      </c>
      <c r="F79" s="352" t="s">
        <v>1993</v>
      </c>
      <c r="G79" s="352" t="s">
        <v>2075</v>
      </c>
      <c r="H79" s="352" t="s">
        <v>1288</v>
      </c>
      <c r="I79" s="352" t="s">
        <v>969</v>
      </c>
      <c r="J79" s="352" t="s">
        <v>970</v>
      </c>
      <c r="K79" s="352">
        <v>1111</v>
      </c>
      <c r="L79" s="352" t="s">
        <v>699</v>
      </c>
      <c r="M79" s="352" t="s">
        <v>2147</v>
      </c>
      <c r="N79" s="352" t="s">
        <v>2076</v>
      </c>
      <c r="O79" s="352">
        <v>5</v>
      </c>
      <c r="P79" s="352" t="s">
        <v>2077</v>
      </c>
      <c r="Q79" s="352" t="s">
        <v>2058</v>
      </c>
      <c r="R79" s="251">
        <v>80119.191499424604</v>
      </c>
      <c r="S79" s="251" t="s">
        <v>2015</v>
      </c>
      <c r="T79" s="251" t="s">
        <v>2016</v>
      </c>
      <c r="U79" s="251" t="s">
        <v>1914</v>
      </c>
      <c r="V79" s="251" t="s">
        <v>1915</v>
      </c>
      <c r="X79" s="251">
        <v>0</v>
      </c>
    </row>
    <row r="80" spans="2:24" x14ac:dyDescent="0.2">
      <c r="B80" s="352" t="s">
        <v>876</v>
      </c>
      <c r="C80" s="352" t="s">
        <v>712</v>
      </c>
      <c r="F80" s="352" t="s">
        <v>1993</v>
      </c>
      <c r="G80" s="352" t="s">
        <v>2075</v>
      </c>
      <c r="H80" s="352" t="s">
        <v>1288</v>
      </c>
      <c r="I80" s="352" t="s">
        <v>969</v>
      </c>
      <c r="J80" s="352" t="s">
        <v>970</v>
      </c>
      <c r="K80" s="352">
        <v>1231</v>
      </c>
      <c r="L80" s="352" t="s">
        <v>726</v>
      </c>
      <c r="M80" s="352" t="s">
        <v>2148</v>
      </c>
      <c r="N80" s="352" t="s">
        <v>2076</v>
      </c>
      <c r="O80" s="352">
        <v>5</v>
      </c>
      <c r="P80" s="352" t="s">
        <v>2077</v>
      </c>
      <c r="Q80" s="352" t="s">
        <v>2058</v>
      </c>
      <c r="R80" s="251">
        <v>1649.7711015128139</v>
      </c>
      <c r="S80" s="251" t="s">
        <v>2015</v>
      </c>
      <c r="T80" s="251" t="s">
        <v>2016</v>
      </c>
      <c r="U80" s="251" t="s">
        <v>1920</v>
      </c>
      <c r="V80" s="251" t="s">
        <v>726</v>
      </c>
      <c r="X80" s="251">
        <v>0</v>
      </c>
    </row>
    <row r="81" spans="2:24" x14ac:dyDescent="0.2">
      <c r="B81" s="352" t="s">
        <v>876</v>
      </c>
      <c r="C81" s="352" t="s">
        <v>712</v>
      </c>
      <c r="F81" s="352" t="s">
        <v>1993</v>
      </c>
      <c r="G81" s="352" t="s">
        <v>2075</v>
      </c>
      <c r="H81" s="352" t="s">
        <v>1292</v>
      </c>
      <c r="I81" s="352" t="s">
        <v>971</v>
      </c>
      <c r="J81" s="352" t="s">
        <v>972</v>
      </c>
      <c r="K81" s="352">
        <v>1211</v>
      </c>
      <c r="L81" s="352" t="s">
        <v>705</v>
      </c>
      <c r="M81" s="352" t="s">
        <v>2149</v>
      </c>
      <c r="N81" s="352" t="s">
        <v>2076</v>
      </c>
      <c r="O81" s="352">
        <v>5</v>
      </c>
      <c r="P81" s="352" t="s">
        <v>2077</v>
      </c>
      <c r="Q81" s="352" t="s">
        <v>2058</v>
      </c>
      <c r="R81" s="251">
        <v>0</v>
      </c>
      <c r="S81" s="251" t="s">
        <v>2015</v>
      </c>
      <c r="T81" s="251" t="s">
        <v>2054</v>
      </c>
      <c r="U81" s="251" t="s">
        <v>1916</v>
      </c>
      <c r="V81" s="251" t="s">
        <v>1917</v>
      </c>
      <c r="X81" s="251">
        <v>0</v>
      </c>
    </row>
    <row r="82" spans="2:24" x14ac:dyDescent="0.2">
      <c r="B82" s="352" t="s">
        <v>876</v>
      </c>
      <c r="C82" s="352" t="s">
        <v>712</v>
      </c>
      <c r="F82" s="352" t="s">
        <v>1993</v>
      </c>
      <c r="G82" s="352" t="s">
        <v>2075</v>
      </c>
      <c r="H82" s="352" t="s">
        <v>1296</v>
      </c>
      <c r="I82" s="352" t="s">
        <v>973</v>
      </c>
      <c r="J82" s="352" t="s">
        <v>974</v>
      </c>
      <c r="K82" s="352">
        <v>1211</v>
      </c>
      <c r="L82" s="352" t="s">
        <v>705</v>
      </c>
      <c r="M82" s="352" t="s">
        <v>2150</v>
      </c>
      <c r="N82" s="352" t="s">
        <v>2076</v>
      </c>
      <c r="O82" s="352">
        <v>5</v>
      </c>
      <c r="P82" s="352" t="s">
        <v>2077</v>
      </c>
      <c r="Q82" s="352" t="s">
        <v>2058</v>
      </c>
      <c r="R82" s="251">
        <v>0</v>
      </c>
      <c r="S82" s="251" t="s">
        <v>2015</v>
      </c>
      <c r="T82" s="251" t="s">
        <v>2054</v>
      </c>
      <c r="U82" s="251" t="s">
        <v>1916</v>
      </c>
      <c r="V82" s="251" t="s">
        <v>1917</v>
      </c>
      <c r="X82" s="251">
        <v>0</v>
      </c>
    </row>
    <row r="83" spans="2:24" x14ac:dyDescent="0.2">
      <c r="B83" s="352" t="s">
        <v>876</v>
      </c>
      <c r="C83" s="352" t="s">
        <v>712</v>
      </c>
      <c r="F83" s="352" t="s">
        <v>1993</v>
      </c>
      <c r="G83" s="352" t="s">
        <v>2075</v>
      </c>
      <c r="H83" s="352" t="s">
        <v>1296</v>
      </c>
      <c r="I83" s="352" t="s">
        <v>973</v>
      </c>
      <c r="J83" s="352" t="s">
        <v>974</v>
      </c>
      <c r="K83" s="352">
        <v>1221</v>
      </c>
      <c r="L83" s="352" t="s">
        <v>711</v>
      </c>
      <c r="M83" s="352" t="s">
        <v>2151</v>
      </c>
      <c r="N83" s="352" t="s">
        <v>2076</v>
      </c>
      <c r="O83" s="352">
        <v>5</v>
      </c>
      <c r="P83" s="352" t="s">
        <v>2077</v>
      </c>
      <c r="Q83" s="352" t="s">
        <v>2058</v>
      </c>
      <c r="R83" s="251">
        <v>0</v>
      </c>
      <c r="S83" s="251" t="s">
        <v>2015</v>
      </c>
      <c r="T83" s="251" t="s">
        <v>2054</v>
      </c>
      <c r="U83" s="251" t="s">
        <v>1918</v>
      </c>
      <c r="V83" s="251" t="s">
        <v>1919</v>
      </c>
      <c r="X83" s="251">
        <v>0</v>
      </c>
    </row>
    <row r="84" spans="2:24" x14ac:dyDescent="0.2">
      <c r="B84" s="352" t="s">
        <v>876</v>
      </c>
      <c r="C84" s="352" t="s">
        <v>712</v>
      </c>
      <c r="F84" s="352" t="s">
        <v>1993</v>
      </c>
      <c r="G84" s="352" t="s">
        <v>2075</v>
      </c>
      <c r="H84" s="352" t="s">
        <v>1296</v>
      </c>
      <c r="I84" s="352" t="s">
        <v>973</v>
      </c>
      <c r="J84" s="352" t="s">
        <v>974</v>
      </c>
      <c r="K84" s="352">
        <v>1222</v>
      </c>
      <c r="L84" s="352" t="s">
        <v>718</v>
      </c>
      <c r="M84" s="352" t="s">
        <v>2152</v>
      </c>
      <c r="N84" s="352" t="s">
        <v>2076</v>
      </c>
      <c r="O84" s="352">
        <v>5</v>
      </c>
      <c r="P84" s="352" t="s">
        <v>2077</v>
      </c>
      <c r="Q84" s="352" t="s">
        <v>2058</v>
      </c>
      <c r="R84" s="251">
        <v>518.39019386957091</v>
      </c>
      <c r="S84" s="251" t="s">
        <v>2015</v>
      </c>
      <c r="T84" s="251" t="s">
        <v>2016</v>
      </c>
      <c r="U84" s="251">
        <v>0</v>
      </c>
      <c r="V84" s="251" t="s">
        <v>2153</v>
      </c>
      <c r="X84" s="251">
        <v>0</v>
      </c>
    </row>
    <row r="85" spans="2:24" x14ac:dyDescent="0.2">
      <c r="B85" s="352" t="s">
        <v>876</v>
      </c>
      <c r="C85" s="352" t="s">
        <v>712</v>
      </c>
      <c r="F85" s="352" t="s">
        <v>1993</v>
      </c>
      <c r="G85" s="352" t="s">
        <v>2075</v>
      </c>
      <c r="H85" s="352" t="s">
        <v>1300</v>
      </c>
      <c r="I85" s="352" t="s">
        <v>975</v>
      </c>
      <c r="J85" s="352" t="s">
        <v>976</v>
      </c>
      <c r="K85" s="352">
        <v>1221</v>
      </c>
      <c r="L85" s="352" t="s">
        <v>711</v>
      </c>
      <c r="M85" s="352" t="s">
        <v>2154</v>
      </c>
      <c r="N85" s="352" t="s">
        <v>2076</v>
      </c>
      <c r="O85" s="352">
        <v>7</v>
      </c>
      <c r="P85" s="352" t="s">
        <v>2081</v>
      </c>
      <c r="Q85" s="352" t="s">
        <v>2056</v>
      </c>
      <c r="R85" s="251">
        <v>0</v>
      </c>
      <c r="S85" s="251" t="s">
        <v>2015</v>
      </c>
      <c r="T85" s="251" t="s">
        <v>2054</v>
      </c>
      <c r="U85" s="251" t="s">
        <v>1918</v>
      </c>
      <c r="V85" s="251" t="s">
        <v>1919</v>
      </c>
      <c r="X85" s="251">
        <v>0</v>
      </c>
    </row>
    <row r="86" spans="2:24" x14ac:dyDescent="0.2">
      <c r="B86" s="352" t="s">
        <v>876</v>
      </c>
      <c r="C86" s="352" t="s">
        <v>712</v>
      </c>
      <c r="F86" s="352" t="s">
        <v>1993</v>
      </c>
      <c r="G86" s="352" t="s">
        <v>2075</v>
      </c>
      <c r="H86" s="352" t="s">
        <v>1304</v>
      </c>
      <c r="I86" s="352" t="s">
        <v>977</v>
      </c>
      <c r="J86" s="352" t="s">
        <v>864</v>
      </c>
      <c r="K86" s="352">
        <v>1111</v>
      </c>
      <c r="L86" s="352" t="s">
        <v>699</v>
      </c>
      <c r="M86" s="352" t="s">
        <v>2155</v>
      </c>
      <c r="N86" s="352" t="s">
        <v>2076</v>
      </c>
      <c r="O86" s="352">
        <v>5</v>
      </c>
      <c r="P86" s="352" t="s">
        <v>2077</v>
      </c>
      <c r="Q86" s="352" t="s">
        <v>2058</v>
      </c>
      <c r="R86" s="251">
        <v>14745.863466151768</v>
      </c>
      <c r="S86" s="251" t="s">
        <v>2015</v>
      </c>
      <c r="T86" s="251" t="s">
        <v>2016</v>
      </c>
      <c r="U86" s="251" t="s">
        <v>1914</v>
      </c>
      <c r="V86" s="251" t="s">
        <v>1915</v>
      </c>
      <c r="X86" s="251">
        <v>0</v>
      </c>
    </row>
    <row r="87" spans="2:24" x14ac:dyDescent="0.2">
      <c r="B87" s="352" t="s">
        <v>876</v>
      </c>
      <c r="C87" s="352" t="s">
        <v>712</v>
      </c>
      <c r="F87" s="352" t="s">
        <v>1993</v>
      </c>
      <c r="G87" s="352" t="s">
        <v>2075</v>
      </c>
      <c r="H87" s="352" t="s">
        <v>1304</v>
      </c>
      <c r="I87" s="352" t="s">
        <v>977</v>
      </c>
      <c r="J87" s="352" t="s">
        <v>864</v>
      </c>
      <c r="K87" s="352">
        <v>1211</v>
      </c>
      <c r="L87" s="352" t="s">
        <v>705</v>
      </c>
      <c r="M87" s="352" t="s">
        <v>2156</v>
      </c>
      <c r="N87" s="352" t="s">
        <v>2076</v>
      </c>
      <c r="O87" s="352">
        <v>5</v>
      </c>
      <c r="P87" s="352" t="s">
        <v>2077</v>
      </c>
      <c r="Q87" s="352" t="s">
        <v>2058</v>
      </c>
      <c r="R87" s="251">
        <v>18558.297594782114</v>
      </c>
      <c r="S87" s="251" t="s">
        <v>2015</v>
      </c>
      <c r="T87" s="251" t="s">
        <v>2016</v>
      </c>
      <c r="U87" s="251" t="s">
        <v>1916</v>
      </c>
      <c r="V87" s="251" t="s">
        <v>1917</v>
      </c>
      <c r="X87" s="251">
        <v>0</v>
      </c>
    </row>
    <row r="88" spans="2:24" x14ac:dyDescent="0.2">
      <c r="B88" s="352" t="s">
        <v>876</v>
      </c>
      <c r="C88" s="352" t="s">
        <v>712</v>
      </c>
      <c r="F88" s="352" t="s">
        <v>1993</v>
      </c>
      <c r="G88" s="352" t="s">
        <v>2075</v>
      </c>
      <c r="H88" s="352" t="s">
        <v>1304</v>
      </c>
      <c r="I88" s="352" t="s">
        <v>977</v>
      </c>
      <c r="J88" s="352" t="s">
        <v>864</v>
      </c>
      <c r="K88" s="352">
        <v>1221</v>
      </c>
      <c r="L88" s="352" t="s">
        <v>711</v>
      </c>
      <c r="M88" s="352" t="s">
        <v>2157</v>
      </c>
      <c r="N88" s="352" t="s">
        <v>2076</v>
      </c>
      <c r="O88" s="352">
        <v>5</v>
      </c>
      <c r="P88" s="352" t="s">
        <v>2077</v>
      </c>
      <c r="Q88" s="352" t="s">
        <v>2058</v>
      </c>
      <c r="R88" s="251">
        <v>22161.180787924153</v>
      </c>
      <c r="S88" s="251" t="s">
        <v>2015</v>
      </c>
      <c r="T88" s="251" t="s">
        <v>2016</v>
      </c>
      <c r="U88" s="251" t="s">
        <v>1918</v>
      </c>
      <c r="V88" s="251" t="s">
        <v>1919</v>
      </c>
      <c r="X88" s="251">
        <v>0</v>
      </c>
    </row>
    <row r="89" spans="2:24" x14ac:dyDescent="0.2">
      <c r="B89" s="352" t="s">
        <v>876</v>
      </c>
      <c r="C89" s="352" t="s">
        <v>712</v>
      </c>
      <c r="F89" s="352" t="s">
        <v>1993</v>
      </c>
      <c r="G89" s="352" t="s">
        <v>2075</v>
      </c>
      <c r="H89" s="352" t="s">
        <v>1304</v>
      </c>
      <c r="I89" s="352" t="s">
        <v>977</v>
      </c>
      <c r="J89" s="352" t="s">
        <v>864</v>
      </c>
      <c r="K89" s="352">
        <v>1222</v>
      </c>
      <c r="L89" s="352" t="s">
        <v>718</v>
      </c>
      <c r="M89" s="352" t="s">
        <v>2158</v>
      </c>
      <c r="N89" s="352" t="s">
        <v>2076</v>
      </c>
      <c r="O89" s="352">
        <v>5</v>
      </c>
      <c r="P89" s="352" t="s">
        <v>2077</v>
      </c>
      <c r="Q89" s="352" t="s">
        <v>2058</v>
      </c>
      <c r="R89" s="251">
        <v>647.98774233696361</v>
      </c>
      <c r="S89" s="251" t="s">
        <v>2015</v>
      </c>
      <c r="T89" s="251" t="s">
        <v>2016</v>
      </c>
      <c r="U89" s="251">
        <v>0</v>
      </c>
      <c r="V89" s="251" t="s">
        <v>2153</v>
      </c>
      <c r="X89" s="251">
        <v>0</v>
      </c>
    </row>
    <row r="90" spans="2:24" x14ac:dyDescent="0.2">
      <c r="B90" s="352" t="s">
        <v>876</v>
      </c>
      <c r="C90" s="352" t="s">
        <v>712</v>
      </c>
      <c r="F90" s="352" t="s">
        <v>1993</v>
      </c>
      <c r="G90" s="352" t="s">
        <v>2075</v>
      </c>
      <c r="H90" s="352" t="s">
        <v>1304</v>
      </c>
      <c r="I90" s="352" t="s">
        <v>977</v>
      </c>
      <c r="J90" s="352" t="s">
        <v>864</v>
      </c>
      <c r="K90" s="352">
        <v>1231</v>
      </c>
      <c r="L90" s="352" t="s">
        <v>726</v>
      </c>
      <c r="M90" s="352" t="s">
        <v>2159</v>
      </c>
      <c r="N90" s="352" t="s">
        <v>2076</v>
      </c>
      <c r="O90" s="352">
        <v>5</v>
      </c>
      <c r="P90" s="352" t="s">
        <v>2077</v>
      </c>
      <c r="Q90" s="352" t="s">
        <v>2058</v>
      </c>
      <c r="R90" s="251">
        <v>14023.054362858917</v>
      </c>
      <c r="S90" s="251" t="s">
        <v>2015</v>
      </c>
      <c r="T90" s="251" t="s">
        <v>2016</v>
      </c>
      <c r="U90" s="251" t="s">
        <v>1920</v>
      </c>
      <c r="V90" s="251" t="s">
        <v>726</v>
      </c>
      <c r="X90" s="251">
        <v>0</v>
      </c>
    </row>
    <row r="91" spans="2:24" x14ac:dyDescent="0.2">
      <c r="B91" s="352" t="s">
        <v>876</v>
      </c>
      <c r="C91" s="352" t="s">
        <v>712</v>
      </c>
      <c r="F91" s="352" t="s">
        <v>1993</v>
      </c>
      <c r="G91" s="352" t="s">
        <v>2075</v>
      </c>
      <c r="H91" s="352" t="s">
        <v>1304</v>
      </c>
      <c r="I91" s="352" t="s">
        <v>977</v>
      </c>
      <c r="J91" s="352" t="s">
        <v>864</v>
      </c>
      <c r="K91" s="352">
        <v>1232</v>
      </c>
      <c r="L91" s="352" t="s">
        <v>734</v>
      </c>
      <c r="M91" s="352" t="s">
        <v>2160</v>
      </c>
      <c r="N91" s="352" t="s">
        <v>2076</v>
      </c>
      <c r="O91" s="352">
        <v>5</v>
      </c>
      <c r="P91" s="352" t="s">
        <v>2077</v>
      </c>
      <c r="Q91" s="352" t="s">
        <v>2058</v>
      </c>
      <c r="R91" s="251">
        <v>2368.1599975535901</v>
      </c>
      <c r="S91" s="251" t="s">
        <v>2015</v>
      </c>
      <c r="T91" s="251" t="s">
        <v>2016</v>
      </c>
      <c r="U91" s="251">
        <v>0</v>
      </c>
      <c r="V91" s="251" t="s">
        <v>2153</v>
      </c>
      <c r="X91" s="251">
        <v>0</v>
      </c>
    </row>
    <row r="92" spans="2:24" x14ac:dyDescent="0.2">
      <c r="B92" s="352" t="s">
        <v>876</v>
      </c>
      <c r="C92" s="352" t="s">
        <v>712</v>
      </c>
      <c r="F92" s="352" t="s">
        <v>1993</v>
      </c>
      <c r="G92" s="352" t="s">
        <v>2075</v>
      </c>
      <c r="H92" s="352" t="s">
        <v>1304</v>
      </c>
      <c r="I92" s="352" t="s">
        <v>977</v>
      </c>
      <c r="J92" s="352" t="s">
        <v>864</v>
      </c>
      <c r="K92" s="352">
        <v>1241</v>
      </c>
      <c r="L92" s="352" t="s">
        <v>1872</v>
      </c>
      <c r="M92" s="352" t="s">
        <v>2161</v>
      </c>
      <c r="N92" s="352" t="s">
        <v>2076</v>
      </c>
      <c r="O92" s="352">
        <v>5</v>
      </c>
      <c r="P92" s="352" t="s">
        <v>2077</v>
      </c>
      <c r="Q92" s="352" t="s">
        <v>2058</v>
      </c>
      <c r="R92" s="251">
        <v>216.85294144056311</v>
      </c>
      <c r="S92" s="251" t="s">
        <v>2015</v>
      </c>
      <c r="T92" s="251" t="s">
        <v>2016</v>
      </c>
      <c r="U92" s="251">
        <v>0</v>
      </c>
      <c r="V92" s="251" t="s">
        <v>2153</v>
      </c>
      <c r="X92" s="251">
        <v>0</v>
      </c>
    </row>
    <row r="93" spans="2:24" x14ac:dyDescent="0.2">
      <c r="B93" s="352" t="s">
        <v>876</v>
      </c>
      <c r="C93" s="352" t="s">
        <v>712</v>
      </c>
      <c r="F93" s="352" t="s">
        <v>1993</v>
      </c>
      <c r="G93" s="352" t="s">
        <v>2075</v>
      </c>
      <c r="H93" s="352" t="s">
        <v>1304</v>
      </c>
      <c r="I93" s="352" t="s">
        <v>977</v>
      </c>
      <c r="J93" s="352" t="s">
        <v>864</v>
      </c>
      <c r="K93" s="352">
        <v>1251</v>
      </c>
      <c r="L93" s="352" t="s">
        <v>733</v>
      </c>
      <c r="M93" s="352" t="s">
        <v>2162</v>
      </c>
      <c r="N93" s="352" t="s">
        <v>2076</v>
      </c>
      <c r="O93" s="352">
        <v>5</v>
      </c>
      <c r="P93" s="352" t="s">
        <v>2077</v>
      </c>
      <c r="Q93" s="352" t="s">
        <v>2058</v>
      </c>
      <c r="R93" s="251">
        <v>1091.8788099766321</v>
      </c>
      <c r="S93" s="251" t="s">
        <v>2015</v>
      </c>
      <c r="T93" s="251" t="s">
        <v>2016</v>
      </c>
      <c r="U93" s="251">
        <v>0</v>
      </c>
      <c r="V93" s="251" t="s">
        <v>2153</v>
      </c>
      <c r="X93" s="251">
        <v>0</v>
      </c>
    </row>
    <row r="94" spans="2:24" x14ac:dyDescent="0.2">
      <c r="B94" s="352" t="s">
        <v>876</v>
      </c>
      <c r="C94" s="352" t="s">
        <v>712</v>
      </c>
      <c r="F94" s="352" t="s">
        <v>1993</v>
      </c>
      <c r="G94" s="352" t="s">
        <v>2075</v>
      </c>
      <c r="H94" s="352" t="s">
        <v>1308</v>
      </c>
      <c r="I94" s="352" t="s">
        <v>978</v>
      </c>
      <c r="J94" s="352" t="s">
        <v>1892</v>
      </c>
      <c r="K94" s="352">
        <v>1111</v>
      </c>
      <c r="L94" s="352" t="s">
        <v>699</v>
      </c>
      <c r="M94" s="352" t="s">
        <v>2163</v>
      </c>
      <c r="N94" s="352" t="s">
        <v>2076</v>
      </c>
      <c r="O94" s="352">
        <v>5</v>
      </c>
      <c r="P94" s="352" t="s">
        <v>2077</v>
      </c>
      <c r="Q94" s="352" t="s">
        <v>2058</v>
      </c>
      <c r="R94" s="251">
        <v>0</v>
      </c>
      <c r="S94" s="251" t="s">
        <v>2015</v>
      </c>
      <c r="T94" s="251" t="s">
        <v>2054</v>
      </c>
      <c r="U94" s="251" t="s">
        <v>1914</v>
      </c>
      <c r="V94" s="251" t="s">
        <v>1915</v>
      </c>
      <c r="X94" s="251">
        <v>0</v>
      </c>
    </row>
    <row r="95" spans="2:24" x14ac:dyDescent="0.2">
      <c r="B95" s="352" t="s">
        <v>876</v>
      </c>
      <c r="C95" s="352" t="s">
        <v>712</v>
      </c>
      <c r="F95" s="352" t="s">
        <v>1993</v>
      </c>
      <c r="G95" s="352" t="s">
        <v>2075</v>
      </c>
      <c r="H95" s="352" t="s">
        <v>1308</v>
      </c>
      <c r="I95" s="352" t="s">
        <v>978</v>
      </c>
      <c r="J95" s="352" t="s">
        <v>1892</v>
      </c>
      <c r="K95" s="352">
        <v>1231</v>
      </c>
      <c r="L95" s="352" t="s">
        <v>726</v>
      </c>
      <c r="M95" s="352" t="s">
        <v>2164</v>
      </c>
      <c r="N95" s="352" t="s">
        <v>2076</v>
      </c>
      <c r="O95" s="352">
        <v>5</v>
      </c>
      <c r="P95" s="352" t="s">
        <v>2077</v>
      </c>
      <c r="Q95" s="352" t="s">
        <v>2058</v>
      </c>
      <c r="R95" s="251">
        <v>0</v>
      </c>
      <c r="S95" s="251" t="s">
        <v>2015</v>
      </c>
      <c r="T95" s="251" t="s">
        <v>2054</v>
      </c>
      <c r="U95" s="251" t="s">
        <v>1920</v>
      </c>
      <c r="V95" s="251" t="s">
        <v>726</v>
      </c>
      <c r="X95" s="251">
        <v>0</v>
      </c>
    </row>
    <row r="96" spans="2:24" x14ac:dyDescent="0.2">
      <c r="B96" s="352" t="s">
        <v>876</v>
      </c>
      <c r="C96" s="352" t="s">
        <v>712</v>
      </c>
      <c r="F96" s="352" t="s">
        <v>1993</v>
      </c>
      <c r="G96" s="352" t="s">
        <v>2075</v>
      </c>
      <c r="H96" s="352" t="s">
        <v>1312</v>
      </c>
      <c r="I96" s="352" t="s">
        <v>979</v>
      </c>
      <c r="J96" s="352" t="s">
        <v>980</v>
      </c>
      <c r="K96" s="352">
        <v>1241</v>
      </c>
      <c r="L96" s="352" t="s">
        <v>1872</v>
      </c>
      <c r="M96" s="352" t="s">
        <v>2165</v>
      </c>
      <c r="N96" s="352" t="s">
        <v>2076</v>
      </c>
      <c r="O96" s="352">
        <v>7</v>
      </c>
      <c r="P96" s="352" t="s">
        <v>2081</v>
      </c>
      <c r="Q96" s="352" t="s">
        <v>2056</v>
      </c>
      <c r="R96" s="251">
        <v>0</v>
      </c>
      <c r="S96" s="251" t="s">
        <v>2015</v>
      </c>
      <c r="T96" s="251" t="s">
        <v>2054</v>
      </c>
      <c r="U96" s="251">
        <v>0</v>
      </c>
      <c r="V96" s="251" t="s">
        <v>2153</v>
      </c>
      <c r="X96" s="251">
        <v>0</v>
      </c>
    </row>
    <row r="97" spans="2:24" x14ac:dyDescent="0.2">
      <c r="B97" s="352" t="s">
        <v>876</v>
      </c>
      <c r="C97" s="352" t="s">
        <v>712</v>
      </c>
      <c r="F97" s="352" t="s">
        <v>1993</v>
      </c>
      <c r="G97" s="352" t="s">
        <v>2075</v>
      </c>
      <c r="H97" s="352" t="s">
        <v>1316</v>
      </c>
      <c r="I97" s="352" t="s">
        <v>981</v>
      </c>
      <c r="J97" s="352" t="s">
        <v>3674</v>
      </c>
      <c r="K97" s="352">
        <v>1241</v>
      </c>
      <c r="L97" s="352" t="s">
        <v>1872</v>
      </c>
      <c r="M97" s="352" t="s">
        <v>2166</v>
      </c>
      <c r="N97" s="352" t="s">
        <v>2076</v>
      </c>
      <c r="O97" s="352">
        <v>13</v>
      </c>
      <c r="P97" s="352" t="s">
        <v>2082</v>
      </c>
      <c r="Q97" s="352" t="s">
        <v>2060</v>
      </c>
      <c r="R97" s="251">
        <v>0</v>
      </c>
      <c r="S97" s="251" t="s">
        <v>2015</v>
      </c>
      <c r="T97" s="251" t="s">
        <v>2054</v>
      </c>
      <c r="U97" s="251">
        <v>0</v>
      </c>
      <c r="V97" s="251" t="s">
        <v>2153</v>
      </c>
      <c r="X97" s="251">
        <v>0</v>
      </c>
    </row>
    <row r="98" spans="2:24" x14ac:dyDescent="0.2">
      <c r="B98" s="352" t="s">
        <v>876</v>
      </c>
      <c r="C98" s="352" t="s">
        <v>712</v>
      </c>
      <c r="F98" s="352" t="s">
        <v>1993</v>
      </c>
      <c r="G98" s="352" t="s">
        <v>2075</v>
      </c>
      <c r="H98" s="352" t="s">
        <v>1316</v>
      </c>
      <c r="I98" s="352" t="s">
        <v>981</v>
      </c>
      <c r="J98" s="352" t="s">
        <v>3674</v>
      </c>
      <c r="K98" s="352">
        <v>1251</v>
      </c>
      <c r="L98" s="352" t="s">
        <v>733</v>
      </c>
      <c r="M98" s="352" t="s">
        <v>2167</v>
      </c>
      <c r="N98" s="352" t="s">
        <v>2076</v>
      </c>
      <c r="O98" s="352">
        <v>13</v>
      </c>
      <c r="P98" s="352" t="s">
        <v>2082</v>
      </c>
      <c r="Q98" s="352" t="s">
        <v>2060</v>
      </c>
      <c r="R98" s="251">
        <v>0</v>
      </c>
      <c r="S98" s="251" t="s">
        <v>2015</v>
      </c>
      <c r="T98" s="251" t="s">
        <v>2054</v>
      </c>
      <c r="U98" s="251">
        <v>0</v>
      </c>
      <c r="V98" s="251" t="s">
        <v>2153</v>
      </c>
      <c r="X98" s="251">
        <v>0</v>
      </c>
    </row>
    <row r="99" spans="2:24" x14ac:dyDescent="0.2">
      <c r="B99" s="352" t="s">
        <v>876</v>
      </c>
      <c r="C99" s="352" t="s">
        <v>712</v>
      </c>
      <c r="F99" s="352" t="s">
        <v>1993</v>
      </c>
      <c r="G99" s="352" t="s">
        <v>2075</v>
      </c>
      <c r="H99" s="352" t="s">
        <v>1320</v>
      </c>
      <c r="I99" s="352" t="s">
        <v>982</v>
      </c>
      <c r="J99" s="352" t="s">
        <v>983</v>
      </c>
      <c r="K99" s="352">
        <v>2111</v>
      </c>
      <c r="L99" s="352" t="s">
        <v>1873</v>
      </c>
      <c r="M99" s="352" t="s">
        <v>2168</v>
      </c>
      <c r="N99" s="352" t="s">
        <v>2076</v>
      </c>
      <c r="O99" s="352">
        <v>10</v>
      </c>
      <c r="P99" s="352" t="s">
        <v>2083</v>
      </c>
      <c r="Q99" s="352" t="s">
        <v>2062</v>
      </c>
      <c r="R99" s="251">
        <v>547.28421755682257</v>
      </c>
      <c r="S99" s="251" t="s">
        <v>2015</v>
      </c>
      <c r="T99" s="251" t="s">
        <v>2016</v>
      </c>
      <c r="U99" s="251" t="s">
        <v>1929</v>
      </c>
      <c r="V99" s="251" t="s">
        <v>1930</v>
      </c>
      <c r="X99" s="251">
        <v>0</v>
      </c>
    </row>
    <row r="100" spans="2:24" x14ac:dyDescent="0.2">
      <c r="B100" s="352" t="s">
        <v>876</v>
      </c>
      <c r="C100" s="352" t="s">
        <v>712</v>
      </c>
      <c r="F100" s="352" t="s">
        <v>1993</v>
      </c>
      <c r="G100" s="352" t="s">
        <v>2075</v>
      </c>
      <c r="H100" s="352" t="s">
        <v>1320</v>
      </c>
      <c r="I100" s="352" t="s">
        <v>982</v>
      </c>
      <c r="J100" s="352" t="s">
        <v>983</v>
      </c>
      <c r="K100" s="352">
        <v>2121</v>
      </c>
      <c r="L100" s="352" t="s">
        <v>1876</v>
      </c>
      <c r="M100" s="352" t="s">
        <v>2169</v>
      </c>
      <c r="N100" s="352" t="s">
        <v>2076</v>
      </c>
      <c r="O100" s="352">
        <v>10</v>
      </c>
      <c r="P100" s="352" t="s">
        <v>2083</v>
      </c>
      <c r="Q100" s="352" t="s">
        <v>2062</v>
      </c>
      <c r="R100" s="251">
        <v>1771.2691081080359</v>
      </c>
      <c r="S100" s="251" t="s">
        <v>2015</v>
      </c>
      <c r="T100" s="251" t="s">
        <v>2016</v>
      </c>
      <c r="U100" s="251" t="s">
        <v>1929</v>
      </c>
      <c r="V100" s="251" t="s">
        <v>1930</v>
      </c>
      <c r="X100" s="251">
        <v>0</v>
      </c>
    </row>
    <row r="101" spans="2:24" x14ac:dyDescent="0.2">
      <c r="B101" s="352" t="s">
        <v>876</v>
      </c>
      <c r="C101" s="352" t="s">
        <v>712</v>
      </c>
      <c r="F101" s="352" t="s">
        <v>1993</v>
      </c>
      <c r="G101" s="352" t="s">
        <v>2075</v>
      </c>
      <c r="H101" s="352" t="s">
        <v>1320</v>
      </c>
      <c r="I101" s="352" t="s">
        <v>982</v>
      </c>
      <c r="J101" s="352" t="s">
        <v>983</v>
      </c>
      <c r="K101" s="352">
        <v>2131</v>
      </c>
      <c r="L101" s="352" t="s">
        <v>1879</v>
      </c>
      <c r="M101" s="352" t="s">
        <v>2170</v>
      </c>
      <c r="N101" s="352" t="s">
        <v>2076</v>
      </c>
      <c r="O101" s="352">
        <v>10</v>
      </c>
      <c r="P101" s="352" t="s">
        <v>2083</v>
      </c>
      <c r="Q101" s="352" t="s">
        <v>2062</v>
      </c>
      <c r="R101" s="251">
        <v>11.492252598305319</v>
      </c>
      <c r="S101" s="251" t="s">
        <v>2015</v>
      </c>
      <c r="T101" s="251" t="s">
        <v>2016</v>
      </c>
      <c r="U101" s="251" t="s">
        <v>1929</v>
      </c>
      <c r="V101" s="251" t="s">
        <v>1930</v>
      </c>
      <c r="X101" s="251">
        <v>0</v>
      </c>
    </row>
    <row r="102" spans="2:24" x14ac:dyDescent="0.2">
      <c r="B102" s="352" t="s">
        <v>876</v>
      </c>
      <c r="C102" s="352" t="s">
        <v>712</v>
      </c>
      <c r="F102" s="352" t="s">
        <v>1993</v>
      </c>
      <c r="G102" s="352" t="s">
        <v>2075</v>
      </c>
      <c r="H102" s="352" t="s">
        <v>1320</v>
      </c>
      <c r="I102" s="352" t="s">
        <v>982</v>
      </c>
      <c r="J102" s="352" t="s">
        <v>983</v>
      </c>
      <c r="K102" s="352">
        <v>2211</v>
      </c>
      <c r="L102" s="352" t="s">
        <v>1883</v>
      </c>
      <c r="M102" s="352" t="s">
        <v>2171</v>
      </c>
      <c r="N102" s="352" t="s">
        <v>2076</v>
      </c>
      <c r="O102" s="352">
        <v>10</v>
      </c>
      <c r="P102" s="352" t="s">
        <v>2083</v>
      </c>
      <c r="Q102" s="352" t="s">
        <v>2062</v>
      </c>
      <c r="R102" s="251">
        <v>69.473754604615124</v>
      </c>
      <c r="S102" s="251" t="s">
        <v>2015</v>
      </c>
      <c r="T102" s="251" t="s">
        <v>2016</v>
      </c>
      <c r="U102" s="251" t="s">
        <v>1929</v>
      </c>
      <c r="V102" s="251" t="s">
        <v>1930</v>
      </c>
      <c r="X102" s="251">
        <v>0</v>
      </c>
    </row>
    <row r="103" spans="2:24" x14ac:dyDescent="0.2">
      <c r="B103" s="352" t="s">
        <v>876</v>
      </c>
      <c r="C103" s="352" t="s">
        <v>712</v>
      </c>
      <c r="F103" s="352" t="s">
        <v>1993</v>
      </c>
      <c r="G103" s="352" t="s">
        <v>2075</v>
      </c>
      <c r="H103" s="352" t="s">
        <v>1324</v>
      </c>
      <c r="I103" s="352" t="s">
        <v>984</v>
      </c>
      <c r="J103" s="352" t="s">
        <v>985</v>
      </c>
      <c r="K103" s="352">
        <v>2111</v>
      </c>
      <c r="L103" s="352" t="s">
        <v>1873</v>
      </c>
      <c r="M103" s="352" t="s">
        <v>2172</v>
      </c>
      <c r="N103" s="352" t="s">
        <v>2076</v>
      </c>
      <c r="O103" s="352">
        <v>11</v>
      </c>
      <c r="P103" s="352" t="s">
        <v>2084</v>
      </c>
      <c r="Q103" s="352" t="s">
        <v>2064</v>
      </c>
      <c r="R103" s="251">
        <v>0</v>
      </c>
      <c r="S103" s="251" t="s">
        <v>2015</v>
      </c>
      <c r="T103" s="251" t="s">
        <v>2054</v>
      </c>
      <c r="U103" s="251" t="s">
        <v>1929</v>
      </c>
      <c r="V103" s="251" t="s">
        <v>1930</v>
      </c>
      <c r="X103" s="251">
        <v>0</v>
      </c>
    </row>
    <row r="104" spans="2:24" x14ac:dyDescent="0.2">
      <c r="B104" s="352" t="s">
        <v>876</v>
      </c>
      <c r="C104" s="352" t="s">
        <v>712</v>
      </c>
      <c r="F104" s="352" t="s">
        <v>1993</v>
      </c>
      <c r="G104" s="352" t="s">
        <v>2075</v>
      </c>
      <c r="H104" s="352" t="s">
        <v>1324</v>
      </c>
      <c r="I104" s="352" t="s">
        <v>984</v>
      </c>
      <c r="J104" s="352" t="s">
        <v>985</v>
      </c>
      <c r="K104" s="352">
        <v>2121</v>
      </c>
      <c r="L104" s="352" t="s">
        <v>1876</v>
      </c>
      <c r="M104" s="352" t="s">
        <v>2173</v>
      </c>
      <c r="N104" s="352" t="s">
        <v>2076</v>
      </c>
      <c r="O104" s="352">
        <v>11</v>
      </c>
      <c r="P104" s="352" t="s">
        <v>2084</v>
      </c>
      <c r="Q104" s="352" t="s">
        <v>2064</v>
      </c>
      <c r="R104" s="251">
        <v>0</v>
      </c>
      <c r="S104" s="251" t="s">
        <v>2015</v>
      </c>
      <c r="T104" s="251" t="s">
        <v>2054</v>
      </c>
      <c r="U104" s="251" t="s">
        <v>1929</v>
      </c>
      <c r="V104" s="251" t="s">
        <v>1930</v>
      </c>
      <c r="X104" s="251">
        <v>0</v>
      </c>
    </row>
    <row r="105" spans="2:24" x14ac:dyDescent="0.2">
      <c r="B105" s="352" t="s">
        <v>876</v>
      </c>
      <c r="C105" s="352" t="s">
        <v>712</v>
      </c>
      <c r="F105" s="352" t="s">
        <v>1993</v>
      </c>
      <c r="G105" s="352" t="s">
        <v>2075</v>
      </c>
      <c r="H105" s="352" t="s">
        <v>1324</v>
      </c>
      <c r="I105" s="352" t="s">
        <v>984</v>
      </c>
      <c r="J105" s="352" t="s">
        <v>985</v>
      </c>
      <c r="K105" s="352">
        <v>2131</v>
      </c>
      <c r="L105" s="352" t="s">
        <v>1879</v>
      </c>
      <c r="M105" s="352" t="s">
        <v>2174</v>
      </c>
      <c r="N105" s="352" t="s">
        <v>2076</v>
      </c>
      <c r="O105" s="352">
        <v>11</v>
      </c>
      <c r="P105" s="352" t="s">
        <v>2084</v>
      </c>
      <c r="Q105" s="352" t="s">
        <v>2064</v>
      </c>
      <c r="R105" s="251">
        <v>0</v>
      </c>
      <c r="S105" s="251" t="s">
        <v>2015</v>
      </c>
      <c r="T105" s="251" t="s">
        <v>2054</v>
      </c>
      <c r="U105" s="251" t="s">
        <v>1929</v>
      </c>
      <c r="V105" s="251" t="s">
        <v>1930</v>
      </c>
      <c r="X105" s="251">
        <v>0</v>
      </c>
    </row>
    <row r="106" spans="2:24" x14ac:dyDescent="0.2">
      <c r="B106" s="352" t="s">
        <v>876</v>
      </c>
      <c r="C106" s="352" t="s">
        <v>712</v>
      </c>
      <c r="F106" s="352" t="s">
        <v>1993</v>
      </c>
      <c r="G106" s="352" t="s">
        <v>2075</v>
      </c>
      <c r="H106" s="352" t="s">
        <v>1324</v>
      </c>
      <c r="I106" s="352" t="s">
        <v>984</v>
      </c>
      <c r="J106" s="352" t="s">
        <v>985</v>
      </c>
      <c r="K106" s="352">
        <v>2211</v>
      </c>
      <c r="L106" s="352" t="s">
        <v>1883</v>
      </c>
      <c r="M106" s="352" t="s">
        <v>2175</v>
      </c>
      <c r="N106" s="352" t="s">
        <v>2076</v>
      </c>
      <c r="O106" s="352">
        <v>11</v>
      </c>
      <c r="P106" s="352" t="s">
        <v>2084</v>
      </c>
      <c r="Q106" s="352" t="s">
        <v>2064</v>
      </c>
      <c r="R106" s="251">
        <v>0</v>
      </c>
      <c r="S106" s="251" t="s">
        <v>2015</v>
      </c>
      <c r="T106" s="251" t="s">
        <v>2054</v>
      </c>
      <c r="U106" s="251" t="s">
        <v>1929</v>
      </c>
      <c r="V106" s="251" t="s">
        <v>1930</v>
      </c>
      <c r="X106" s="251">
        <v>0</v>
      </c>
    </row>
    <row r="107" spans="2:24" x14ac:dyDescent="0.2">
      <c r="B107" s="352" t="s">
        <v>876</v>
      </c>
      <c r="C107" s="352" t="s">
        <v>712</v>
      </c>
      <c r="F107" s="352" t="s">
        <v>1993</v>
      </c>
      <c r="G107" s="352" t="s">
        <v>2075</v>
      </c>
      <c r="H107" s="352" t="s">
        <v>1328</v>
      </c>
      <c r="I107" s="352" t="s">
        <v>986</v>
      </c>
      <c r="J107" s="352" t="s">
        <v>987</v>
      </c>
      <c r="K107" s="352">
        <v>2112</v>
      </c>
      <c r="L107" s="352" t="s">
        <v>1874</v>
      </c>
      <c r="M107" s="352" t="s">
        <v>2176</v>
      </c>
      <c r="N107" s="352" t="s">
        <v>2076</v>
      </c>
      <c r="O107" s="352">
        <v>8</v>
      </c>
      <c r="P107" s="352" t="s">
        <v>2085</v>
      </c>
      <c r="Q107" s="352" t="s">
        <v>2068</v>
      </c>
      <c r="R107" s="251">
        <v>2.3513481266279923</v>
      </c>
      <c r="S107" s="251" t="s">
        <v>2015</v>
      </c>
      <c r="T107" s="251" t="s">
        <v>2016</v>
      </c>
      <c r="U107" s="251" t="s">
        <v>1931</v>
      </c>
      <c r="V107" s="251" t="s">
        <v>1932</v>
      </c>
      <c r="X107" s="251">
        <v>0</v>
      </c>
    </row>
    <row r="108" spans="2:24" x14ac:dyDescent="0.2">
      <c r="B108" s="352" t="s">
        <v>876</v>
      </c>
      <c r="C108" s="352" t="s">
        <v>712</v>
      </c>
      <c r="F108" s="352" t="s">
        <v>1993</v>
      </c>
      <c r="G108" s="352" t="s">
        <v>2075</v>
      </c>
      <c r="H108" s="352" t="s">
        <v>1328</v>
      </c>
      <c r="I108" s="352" t="s">
        <v>986</v>
      </c>
      <c r="J108" s="352" t="s">
        <v>987</v>
      </c>
      <c r="K108" s="352">
        <v>2122</v>
      </c>
      <c r="L108" s="352" t="s">
        <v>1877</v>
      </c>
      <c r="M108" s="352" t="s">
        <v>2177</v>
      </c>
      <c r="N108" s="352" t="s">
        <v>2076</v>
      </c>
      <c r="O108" s="352">
        <v>8</v>
      </c>
      <c r="P108" s="352" t="s">
        <v>2085</v>
      </c>
      <c r="Q108" s="352" t="s">
        <v>2068</v>
      </c>
      <c r="R108" s="251">
        <v>737.28647014271883</v>
      </c>
      <c r="S108" s="251" t="s">
        <v>2015</v>
      </c>
      <c r="T108" s="251" t="s">
        <v>2016</v>
      </c>
      <c r="U108" s="251" t="s">
        <v>1931</v>
      </c>
      <c r="V108" s="251" t="s">
        <v>1932</v>
      </c>
      <c r="X108" s="251">
        <v>0</v>
      </c>
    </row>
    <row r="109" spans="2:24" x14ac:dyDescent="0.2">
      <c r="B109" s="352" t="s">
        <v>876</v>
      </c>
      <c r="C109" s="352" t="s">
        <v>712</v>
      </c>
      <c r="F109" s="352" t="s">
        <v>1993</v>
      </c>
      <c r="G109" s="352" t="s">
        <v>2075</v>
      </c>
      <c r="H109" s="352" t="s">
        <v>1332</v>
      </c>
      <c r="I109" s="352" t="s">
        <v>988</v>
      </c>
      <c r="J109" s="352" t="s">
        <v>989</v>
      </c>
      <c r="K109" s="352">
        <v>2112</v>
      </c>
      <c r="L109" s="352" t="s">
        <v>1874</v>
      </c>
      <c r="M109" s="352" t="s">
        <v>2178</v>
      </c>
      <c r="N109" s="352" t="s">
        <v>2076</v>
      </c>
      <c r="O109" s="352">
        <v>8</v>
      </c>
      <c r="P109" s="352" t="s">
        <v>2085</v>
      </c>
      <c r="Q109" s="352" t="s">
        <v>2068</v>
      </c>
      <c r="R109" s="251">
        <v>3.2331036741134893</v>
      </c>
      <c r="S109" s="251" t="s">
        <v>2015</v>
      </c>
      <c r="T109" s="251" t="s">
        <v>2016</v>
      </c>
      <c r="U109" s="251" t="s">
        <v>1931</v>
      </c>
      <c r="V109" s="251" t="s">
        <v>1932</v>
      </c>
      <c r="X109" s="251">
        <v>0</v>
      </c>
    </row>
    <row r="110" spans="2:24" x14ac:dyDescent="0.2">
      <c r="B110" s="352" t="s">
        <v>876</v>
      </c>
      <c r="C110" s="352" t="s">
        <v>712</v>
      </c>
      <c r="F110" s="352" t="s">
        <v>1993</v>
      </c>
      <c r="G110" s="352" t="s">
        <v>2075</v>
      </c>
      <c r="H110" s="352" t="s">
        <v>1332</v>
      </c>
      <c r="I110" s="352" t="s">
        <v>988</v>
      </c>
      <c r="J110" s="352" t="s">
        <v>989</v>
      </c>
      <c r="K110" s="352">
        <v>2122</v>
      </c>
      <c r="L110" s="352" t="s">
        <v>1877</v>
      </c>
      <c r="M110" s="352" t="s">
        <v>2179</v>
      </c>
      <c r="N110" s="352" t="s">
        <v>2076</v>
      </c>
      <c r="O110" s="352">
        <v>8</v>
      </c>
      <c r="P110" s="352" t="s">
        <v>2085</v>
      </c>
      <c r="Q110" s="352" t="s">
        <v>2068</v>
      </c>
      <c r="R110" s="251">
        <v>1013.7688964462385</v>
      </c>
      <c r="S110" s="251" t="s">
        <v>2015</v>
      </c>
      <c r="T110" s="251" t="s">
        <v>2016</v>
      </c>
      <c r="U110" s="251" t="s">
        <v>1931</v>
      </c>
      <c r="V110" s="251" t="s">
        <v>1932</v>
      </c>
      <c r="X110" s="251">
        <v>0</v>
      </c>
    </row>
    <row r="111" spans="2:24" x14ac:dyDescent="0.2">
      <c r="B111" s="352" t="s">
        <v>876</v>
      </c>
      <c r="C111" s="352" t="s">
        <v>712</v>
      </c>
      <c r="F111" s="352" t="s">
        <v>1993</v>
      </c>
      <c r="G111" s="352" t="s">
        <v>2075</v>
      </c>
      <c r="H111" s="352" t="s">
        <v>1336</v>
      </c>
      <c r="I111" s="352" t="s">
        <v>990</v>
      </c>
      <c r="J111" s="352" t="s">
        <v>991</v>
      </c>
      <c r="K111" s="352">
        <v>2132</v>
      </c>
      <c r="L111" s="352" t="s">
        <v>1880</v>
      </c>
      <c r="M111" s="352" t="s">
        <v>2180</v>
      </c>
      <c r="N111" s="352" t="s">
        <v>2076</v>
      </c>
      <c r="O111" s="352">
        <v>1</v>
      </c>
      <c r="P111" s="352" t="s">
        <v>2086</v>
      </c>
      <c r="Q111" s="352" t="s">
        <v>2066</v>
      </c>
      <c r="R111" s="251">
        <v>0</v>
      </c>
      <c r="S111" s="251" t="s">
        <v>2015</v>
      </c>
      <c r="T111" s="251" t="s">
        <v>2054</v>
      </c>
      <c r="U111" s="251" t="s">
        <v>1931</v>
      </c>
      <c r="V111" s="251" t="s">
        <v>1932</v>
      </c>
      <c r="X111" s="251">
        <v>0</v>
      </c>
    </row>
    <row r="112" spans="2:24" x14ac:dyDescent="0.2">
      <c r="B112" s="352" t="s">
        <v>876</v>
      </c>
      <c r="C112" s="352" t="s">
        <v>712</v>
      </c>
      <c r="F112" s="352" t="s">
        <v>1993</v>
      </c>
      <c r="G112" s="352" t="s">
        <v>2075</v>
      </c>
      <c r="H112" s="352" t="s">
        <v>1340</v>
      </c>
      <c r="I112" s="352" t="s">
        <v>994</v>
      </c>
      <c r="J112" s="352" t="s">
        <v>995</v>
      </c>
      <c r="K112" s="352">
        <v>2311</v>
      </c>
      <c r="L112" s="352" t="s">
        <v>1887</v>
      </c>
      <c r="M112" s="352" t="s">
        <v>2181</v>
      </c>
      <c r="N112" s="352" t="s">
        <v>2076</v>
      </c>
      <c r="O112" s="352">
        <v>8</v>
      </c>
      <c r="P112" s="352" t="s">
        <v>2085</v>
      </c>
      <c r="Q112" s="352" t="s">
        <v>2068</v>
      </c>
      <c r="R112" s="251">
        <v>0</v>
      </c>
      <c r="S112" s="251" t="s">
        <v>2015</v>
      </c>
      <c r="T112" s="251" t="s">
        <v>2054</v>
      </c>
      <c r="U112" s="251" t="s">
        <v>1943</v>
      </c>
      <c r="V112" s="251" t="s">
        <v>1944</v>
      </c>
      <c r="X112" s="251">
        <v>0</v>
      </c>
    </row>
    <row r="113" spans="2:24" x14ac:dyDescent="0.2">
      <c r="B113" s="352" t="s">
        <v>876</v>
      </c>
      <c r="C113" s="352" t="s">
        <v>712</v>
      </c>
      <c r="F113" s="352" t="s">
        <v>1993</v>
      </c>
      <c r="G113" s="352" t="s">
        <v>2075</v>
      </c>
      <c r="H113" s="352" t="s">
        <v>1344</v>
      </c>
      <c r="I113" s="352" t="s">
        <v>996</v>
      </c>
      <c r="J113" s="352" t="s">
        <v>997</v>
      </c>
      <c r="K113" s="352">
        <v>2311</v>
      </c>
      <c r="L113" s="352" t="s">
        <v>1887</v>
      </c>
      <c r="M113" s="352" t="s">
        <v>2182</v>
      </c>
      <c r="N113" s="352" t="s">
        <v>2076</v>
      </c>
      <c r="O113" s="352">
        <v>8</v>
      </c>
      <c r="P113" s="352" t="s">
        <v>2085</v>
      </c>
      <c r="Q113" s="352" t="s">
        <v>2068</v>
      </c>
      <c r="R113" s="251">
        <v>0</v>
      </c>
      <c r="S113" s="251" t="s">
        <v>2015</v>
      </c>
      <c r="T113" s="251" t="s">
        <v>2054</v>
      </c>
      <c r="U113" s="251" t="s">
        <v>1943</v>
      </c>
      <c r="V113" s="251" t="s">
        <v>1944</v>
      </c>
      <c r="X113" s="251">
        <v>0</v>
      </c>
    </row>
    <row r="114" spans="2:24" x14ac:dyDescent="0.2">
      <c r="B114" s="352" t="s">
        <v>876</v>
      </c>
      <c r="C114" s="352" t="s">
        <v>712</v>
      </c>
      <c r="F114" s="352" t="s">
        <v>1993</v>
      </c>
      <c r="G114" s="352" t="s">
        <v>2075</v>
      </c>
      <c r="H114" s="352" t="s">
        <v>1348</v>
      </c>
      <c r="I114" s="352" t="s">
        <v>998</v>
      </c>
      <c r="J114" s="352" t="s">
        <v>999</v>
      </c>
      <c r="K114" s="352">
        <v>2311</v>
      </c>
      <c r="L114" s="352" t="s">
        <v>1887</v>
      </c>
      <c r="M114" s="352" t="s">
        <v>2183</v>
      </c>
      <c r="N114" s="352" t="s">
        <v>2076</v>
      </c>
      <c r="O114" s="352">
        <v>8</v>
      </c>
      <c r="P114" s="352" t="s">
        <v>2085</v>
      </c>
      <c r="Q114" s="352" t="s">
        <v>2068</v>
      </c>
      <c r="R114" s="251">
        <v>0</v>
      </c>
      <c r="S114" s="251" t="s">
        <v>2015</v>
      </c>
      <c r="T114" s="251" t="s">
        <v>2054</v>
      </c>
      <c r="U114" s="251" t="s">
        <v>1943</v>
      </c>
      <c r="V114" s="251" t="s">
        <v>1944</v>
      </c>
      <c r="X114" s="251">
        <v>0</v>
      </c>
    </row>
    <row r="115" spans="2:24" x14ac:dyDescent="0.2">
      <c r="B115" s="352" t="s">
        <v>876</v>
      </c>
      <c r="C115" s="352" t="s">
        <v>712</v>
      </c>
      <c r="F115" s="352" t="s">
        <v>1993</v>
      </c>
      <c r="G115" s="352" t="s">
        <v>2075</v>
      </c>
      <c r="H115" s="352" t="s">
        <v>1348</v>
      </c>
      <c r="I115" s="352" t="s">
        <v>998</v>
      </c>
      <c r="J115" s="352" t="s">
        <v>999</v>
      </c>
      <c r="K115" s="352">
        <v>2312</v>
      </c>
      <c r="L115" s="352" t="s">
        <v>789</v>
      </c>
      <c r="M115" s="352" t="s">
        <v>2184</v>
      </c>
      <c r="N115" s="352" t="s">
        <v>2076</v>
      </c>
      <c r="O115" s="352">
        <v>8</v>
      </c>
      <c r="P115" s="352" t="s">
        <v>2085</v>
      </c>
      <c r="Q115" s="352" t="s">
        <v>2068</v>
      </c>
      <c r="R115" s="251">
        <v>0</v>
      </c>
      <c r="S115" s="251" t="s">
        <v>2015</v>
      </c>
      <c r="T115" s="251" t="s">
        <v>2054</v>
      </c>
      <c r="U115" s="251" t="s">
        <v>1943</v>
      </c>
      <c r="V115" s="251" t="s">
        <v>1944</v>
      </c>
      <c r="X115" s="251">
        <v>0</v>
      </c>
    </row>
    <row r="116" spans="2:24" x14ac:dyDescent="0.2">
      <c r="B116" s="352" t="s">
        <v>876</v>
      </c>
      <c r="C116" s="352" t="s">
        <v>712</v>
      </c>
      <c r="F116" s="352" t="s">
        <v>1993</v>
      </c>
      <c r="G116" s="352" t="s">
        <v>2075</v>
      </c>
      <c r="H116" s="352" t="s">
        <v>1352</v>
      </c>
      <c r="I116" s="352" t="s">
        <v>1000</v>
      </c>
      <c r="J116" s="352" t="s">
        <v>1001</v>
      </c>
      <c r="K116" s="352">
        <v>2141</v>
      </c>
      <c r="L116" s="352" t="s">
        <v>1882</v>
      </c>
      <c r="M116" s="352" t="s">
        <v>2185</v>
      </c>
      <c r="N116" s="352" t="s">
        <v>2076</v>
      </c>
      <c r="O116" s="352">
        <v>12</v>
      </c>
      <c r="P116" s="352" t="s">
        <v>2087</v>
      </c>
      <c r="Q116" s="352" t="s">
        <v>2070</v>
      </c>
      <c r="R116" s="251">
        <v>699.00353404607961</v>
      </c>
      <c r="S116" s="251" t="s">
        <v>2015</v>
      </c>
      <c r="T116" s="251" t="s">
        <v>2016</v>
      </c>
      <c r="U116" s="251" t="s">
        <v>1935</v>
      </c>
      <c r="V116" s="251" t="s">
        <v>1936</v>
      </c>
      <c r="X116" s="251">
        <v>0</v>
      </c>
    </row>
    <row r="117" spans="2:24" x14ac:dyDescent="0.2">
      <c r="B117" s="352" t="s">
        <v>876</v>
      </c>
      <c r="C117" s="352" t="s">
        <v>712</v>
      </c>
      <c r="F117" s="352" t="s">
        <v>1993</v>
      </c>
      <c r="G117" s="352" t="s">
        <v>2075</v>
      </c>
      <c r="H117" s="352" t="s">
        <v>1352</v>
      </c>
      <c r="I117" s="352" t="s">
        <v>1000</v>
      </c>
      <c r="J117" s="352" t="s">
        <v>1001</v>
      </c>
      <c r="K117" s="352">
        <v>2142</v>
      </c>
      <c r="L117" s="352" t="s">
        <v>780</v>
      </c>
      <c r="M117" s="352" t="s">
        <v>2186</v>
      </c>
      <c r="N117" s="352" t="s">
        <v>2076</v>
      </c>
      <c r="O117" s="352">
        <v>12</v>
      </c>
      <c r="P117" s="352" t="s">
        <v>2087</v>
      </c>
      <c r="Q117" s="352" t="s">
        <v>2070</v>
      </c>
      <c r="R117" s="251">
        <v>476.96630740537091</v>
      </c>
      <c r="S117" s="251" t="s">
        <v>2015</v>
      </c>
      <c r="T117" s="251" t="s">
        <v>2016</v>
      </c>
      <c r="U117" s="251">
        <v>0</v>
      </c>
      <c r="V117" s="251" t="s">
        <v>2153</v>
      </c>
      <c r="X117" s="251">
        <v>0</v>
      </c>
    </row>
    <row r="118" spans="2:24" x14ac:dyDescent="0.2">
      <c r="B118" s="352" t="s">
        <v>876</v>
      </c>
      <c r="C118" s="352" t="s">
        <v>712</v>
      </c>
      <c r="F118" s="352" t="s">
        <v>1993</v>
      </c>
      <c r="G118" s="352" t="s">
        <v>2075</v>
      </c>
      <c r="H118" s="352" t="s">
        <v>1356</v>
      </c>
      <c r="I118" s="352" t="s">
        <v>1002</v>
      </c>
      <c r="J118" s="352" t="s">
        <v>1003</v>
      </c>
      <c r="K118" s="352">
        <v>2113</v>
      </c>
      <c r="L118" s="352" t="s">
        <v>1875</v>
      </c>
      <c r="M118" s="352" t="s">
        <v>2187</v>
      </c>
      <c r="N118" s="352" t="s">
        <v>2076</v>
      </c>
      <c r="O118" s="352">
        <v>1</v>
      </c>
      <c r="P118" s="352" t="s">
        <v>2086</v>
      </c>
      <c r="Q118" s="352" t="s">
        <v>2066</v>
      </c>
      <c r="R118" s="251">
        <v>0</v>
      </c>
      <c r="S118" s="251" t="s">
        <v>2015</v>
      </c>
      <c r="T118" s="251" t="s">
        <v>2054</v>
      </c>
      <c r="U118" s="251" t="s">
        <v>1935</v>
      </c>
      <c r="V118" s="251" t="s">
        <v>1936</v>
      </c>
      <c r="X118" s="251">
        <v>0</v>
      </c>
    </row>
    <row r="119" spans="2:24" x14ac:dyDescent="0.2">
      <c r="B119" s="352" t="s">
        <v>876</v>
      </c>
      <c r="C119" s="352" t="s">
        <v>712</v>
      </c>
      <c r="F119" s="352" t="s">
        <v>1993</v>
      </c>
      <c r="G119" s="352" t="s">
        <v>2075</v>
      </c>
      <c r="H119" s="352" t="s">
        <v>1356</v>
      </c>
      <c r="I119" s="352" t="s">
        <v>1002</v>
      </c>
      <c r="J119" s="352" t="s">
        <v>1003</v>
      </c>
      <c r="K119" s="352">
        <v>2123</v>
      </c>
      <c r="L119" s="352" t="s">
        <v>1878</v>
      </c>
      <c r="M119" s="352" t="s">
        <v>2188</v>
      </c>
      <c r="N119" s="352" t="s">
        <v>2076</v>
      </c>
      <c r="O119" s="352">
        <v>1</v>
      </c>
      <c r="P119" s="352" t="s">
        <v>2086</v>
      </c>
      <c r="Q119" s="352" t="s">
        <v>2066</v>
      </c>
      <c r="R119" s="251">
        <v>0</v>
      </c>
      <c r="S119" s="251" t="s">
        <v>2015</v>
      </c>
      <c r="T119" s="251" t="s">
        <v>2054</v>
      </c>
      <c r="U119" s="251" t="s">
        <v>1935</v>
      </c>
      <c r="V119" s="251" t="s">
        <v>1936</v>
      </c>
      <c r="X119" s="251">
        <v>0</v>
      </c>
    </row>
    <row r="120" spans="2:24" x14ac:dyDescent="0.2">
      <c r="B120" s="352" t="s">
        <v>876</v>
      </c>
      <c r="C120" s="352" t="s">
        <v>712</v>
      </c>
      <c r="F120" s="352" t="s">
        <v>1993</v>
      </c>
      <c r="G120" s="352" t="s">
        <v>2075</v>
      </c>
      <c r="H120" s="352" t="s">
        <v>1360</v>
      </c>
      <c r="I120" s="352" t="s">
        <v>1006</v>
      </c>
      <c r="J120" s="352" t="s">
        <v>1007</v>
      </c>
      <c r="K120" s="352">
        <v>2133</v>
      </c>
      <c r="L120" s="352" t="s">
        <v>1881</v>
      </c>
      <c r="M120" s="352" t="s">
        <v>2189</v>
      </c>
      <c r="N120" s="352" t="s">
        <v>2076</v>
      </c>
      <c r="O120" s="352">
        <v>1</v>
      </c>
      <c r="P120" s="352" t="s">
        <v>2086</v>
      </c>
      <c r="Q120" s="352" t="s">
        <v>2066</v>
      </c>
      <c r="R120" s="251">
        <v>0</v>
      </c>
      <c r="S120" s="251" t="s">
        <v>2015</v>
      </c>
      <c r="T120" s="251" t="s">
        <v>2054</v>
      </c>
      <c r="U120" s="251" t="s">
        <v>1935</v>
      </c>
      <c r="V120" s="251" t="s">
        <v>1936</v>
      </c>
      <c r="X120" s="251">
        <v>0</v>
      </c>
    </row>
    <row r="121" spans="2:24" x14ac:dyDescent="0.2">
      <c r="B121" s="352" t="s">
        <v>876</v>
      </c>
      <c r="C121" s="352" t="s">
        <v>712</v>
      </c>
      <c r="F121" s="352" t="s">
        <v>1993</v>
      </c>
      <c r="G121" s="352" t="s">
        <v>2075</v>
      </c>
      <c r="H121" s="352" t="s">
        <v>1360</v>
      </c>
      <c r="I121" s="352" t="s">
        <v>1006</v>
      </c>
      <c r="J121" s="352" t="s">
        <v>1007</v>
      </c>
      <c r="K121" s="352">
        <v>2141</v>
      </c>
      <c r="L121" s="352" t="s">
        <v>1882</v>
      </c>
      <c r="M121" s="352" t="s">
        <v>2190</v>
      </c>
      <c r="N121" s="352" t="s">
        <v>2076</v>
      </c>
      <c r="O121" s="352">
        <v>1</v>
      </c>
      <c r="P121" s="352" t="s">
        <v>2086</v>
      </c>
      <c r="Q121" s="352" t="s">
        <v>2066</v>
      </c>
      <c r="R121" s="251">
        <v>22.308623427002541</v>
      </c>
      <c r="S121" s="251" t="s">
        <v>2015</v>
      </c>
      <c r="T121" s="251" t="s">
        <v>2016</v>
      </c>
      <c r="U121" s="251" t="s">
        <v>1935</v>
      </c>
      <c r="V121" s="251" t="s">
        <v>1936</v>
      </c>
      <c r="X121" s="251">
        <v>0</v>
      </c>
    </row>
    <row r="122" spans="2:24" x14ac:dyDescent="0.2">
      <c r="B122" s="352" t="s">
        <v>876</v>
      </c>
      <c r="C122" s="352" t="s">
        <v>712</v>
      </c>
      <c r="F122" s="352" t="s">
        <v>1993</v>
      </c>
      <c r="G122" s="352" t="s">
        <v>2075</v>
      </c>
      <c r="H122" s="352" t="s">
        <v>1360</v>
      </c>
      <c r="I122" s="352" t="s">
        <v>1006</v>
      </c>
      <c r="J122" s="352" t="s">
        <v>1007</v>
      </c>
      <c r="K122" s="352">
        <v>2221</v>
      </c>
      <c r="L122" s="352" t="s">
        <v>1884</v>
      </c>
      <c r="M122" s="352" t="s">
        <v>2191</v>
      </c>
      <c r="N122" s="352" t="s">
        <v>2076</v>
      </c>
      <c r="O122" s="352">
        <v>1</v>
      </c>
      <c r="P122" s="352" t="s">
        <v>2086</v>
      </c>
      <c r="Q122" s="352" t="s">
        <v>2066</v>
      </c>
      <c r="R122" s="251">
        <v>0</v>
      </c>
      <c r="S122" s="251" t="s">
        <v>2015</v>
      </c>
      <c r="T122" s="251" t="s">
        <v>2054</v>
      </c>
      <c r="U122" s="251" t="s">
        <v>1935</v>
      </c>
      <c r="V122" s="251" t="s">
        <v>1936</v>
      </c>
      <c r="X122" s="251">
        <v>0</v>
      </c>
    </row>
    <row r="123" spans="2:24" x14ac:dyDescent="0.2">
      <c r="B123" s="352" t="s">
        <v>876</v>
      </c>
      <c r="C123" s="352" t="s">
        <v>712</v>
      </c>
      <c r="F123" s="352" t="s">
        <v>1993</v>
      </c>
      <c r="G123" s="352" t="s">
        <v>2075</v>
      </c>
      <c r="H123" s="352" t="s">
        <v>1364</v>
      </c>
      <c r="I123" s="352" t="s">
        <v>1008</v>
      </c>
      <c r="J123" s="352" t="s">
        <v>1009</v>
      </c>
      <c r="K123" s="352">
        <v>2223</v>
      </c>
      <c r="L123" s="352" t="s">
        <v>1886</v>
      </c>
      <c r="M123" s="352" t="s">
        <v>2192</v>
      </c>
      <c r="N123" s="352" t="s">
        <v>2076</v>
      </c>
      <c r="O123" s="352">
        <v>2</v>
      </c>
      <c r="P123" s="352" t="s">
        <v>2088</v>
      </c>
      <c r="Q123" s="352" t="s">
        <v>2072</v>
      </c>
      <c r="R123" s="251">
        <v>0</v>
      </c>
      <c r="S123" s="251" t="s">
        <v>2193</v>
      </c>
      <c r="T123" s="251" t="s">
        <v>2054</v>
      </c>
      <c r="U123" s="251" t="s">
        <v>1937</v>
      </c>
      <c r="V123" s="251" t="s">
        <v>1938</v>
      </c>
      <c r="X123" s="251">
        <v>0</v>
      </c>
    </row>
    <row r="124" spans="2:24" x14ac:dyDescent="0.2">
      <c r="B124" s="352" t="s">
        <v>876</v>
      </c>
      <c r="C124" s="352" t="s">
        <v>712</v>
      </c>
      <c r="F124" s="352" t="s">
        <v>1993</v>
      </c>
      <c r="G124" s="352" t="s">
        <v>2075</v>
      </c>
      <c r="H124" s="352" t="s">
        <v>1368</v>
      </c>
      <c r="I124" s="352" t="s">
        <v>1010</v>
      </c>
      <c r="J124" s="352" t="s">
        <v>1011</v>
      </c>
      <c r="K124" s="352">
        <v>2222</v>
      </c>
      <c r="L124" s="352" t="s">
        <v>1885</v>
      </c>
      <c r="M124" s="352" t="s">
        <v>2194</v>
      </c>
      <c r="N124" s="352" t="s">
        <v>2076</v>
      </c>
      <c r="O124" s="352">
        <v>2</v>
      </c>
      <c r="P124" s="352" t="s">
        <v>2088</v>
      </c>
      <c r="Q124" s="352" t="s">
        <v>2072</v>
      </c>
      <c r="R124" s="251">
        <v>0</v>
      </c>
      <c r="S124" s="251" t="s">
        <v>2193</v>
      </c>
      <c r="T124" s="251" t="s">
        <v>2054</v>
      </c>
      <c r="U124" s="251" t="s">
        <v>1939</v>
      </c>
      <c r="V124" s="251" t="s">
        <v>1940</v>
      </c>
      <c r="X124" s="251">
        <v>0</v>
      </c>
    </row>
    <row r="125" spans="2:24" x14ac:dyDescent="0.2">
      <c r="B125" s="352" t="s">
        <v>876</v>
      </c>
      <c r="C125" s="352" t="s">
        <v>712</v>
      </c>
      <c r="F125" s="352" t="s">
        <v>1993</v>
      </c>
      <c r="G125" s="352" t="s">
        <v>2075</v>
      </c>
      <c r="H125" s="352" t="s">
        <v>1372</v>
      </c>
      <c r="I125" s="352" t="s">
        <v>1012</v>
      </c>
      <c r="J125" s="352" t="s">
        <v>1013</v>
      </c>
      <c r="K125" s="352">
        <v>2222</v>
      </c>
      <c r="L125" s="352" t="s">
        <v>1885</v>
      </c>
      <c r="M125" s="352" t="s">
        <v>2195</v>
      </c>
      <c r="N125" s="352" t="s">
        <v>2076</v>
      </c>
      <c r="O125" s="352">
        <v>2</v>
      </c>
      <c r="P125" s="352" t="s">
        <v>2088</v>
      </c>
      <c r="Q125" s="352" t="s">
        <v>2072</v>
      </c>
      <c r="R125" s="251">
        <v>0</v>
      </c>
      <c r="S125" s="251" t="s">
        <v>2193</v>
      </c>
      <c r="T125" s="251" t="s">
        <v>2054</v>
      </c>
      <c r="U125" s="251" t="s">
        <v>1939</v>
      </c>
      <c r="V125" s="251" t="s">
        <v>1940</v>
      </c>
      <c r="X125" s="251">
        <v>0</v>
      </c>
    </row>
    <row r="126" spans="2:24" x14ac:dyDescent="0.2">
      <c r="B126" s="352" t="s">
        <v>876</v>
      </c>
      <c r="C126" s="352" t="s">
        <v>712</v>
      </c>
      <c r="F126" s="352" t="s">
        <v>1993</v>
      </c>
      <c r="G126" s="352" t="s">
        <v>2075</v>
      </c>
      <c r="H126" s="352" t="s">
        <v>1376</v>
      </c>
      <c r="I126" s="352" t="s">
        <v>1014</v>
      </c>
      <c r="J126" s="352" t="s">
        <v>1893</v>
      </c>
      <c r="K126" s="352">
        <v>2131</v>
      </c>
      <c r="L126" s="352" t="s">
        <v>1879</v>
      </c>
      <c r="M126" s="352" t="s">
        <v>2196</v>
      </c>
      <c r="N126" s="352" t="s">
        <v>2076</v>
      </c>
      <c r="O126" s="352">
        <v>8</v>
      </c>
      <c r="P126" s="352" t="s">
        <v>2085</v>
      </c>
      <c r="Q126" s="352" t="s">
        <v>2068</v>
      </c>
      <c r="R126" s="251">
        <v>0</v>
      </c>
      <c r="S126" s="251" t="s">
        <v>2015</v>
      </c>
      <c r="T126" s="251" t="s">
        <v>2054</v>
      </c>
      <c r="U126" s="251" t="s">
        <v>1929</v>
      </c>
      <c r="V126" s="251" t="s">
        <v>1930</v>
      </c>
      <c r="X126" s="251">
        <v>0</v>
      </c>
    </row>
    <row r="127" spans="2:24" x14ac:dyDescent="0.2">
      <c r="B127" s="352" t="s">
        <v>876</v>
      </c>
      <c r="C127" s="352" t="s">
        <v>712</v>
      </c>
      <c r="F127" s="352" t="s">
        <v>1993</v>
      </c>
      <c r="G127" s="352" t="s">
        <v>2075</v>
      </c>
      <c r="H127" s="352" t="s">
        <v>1376</v>
      </c>
      <c r="I127" s="352" t="s">
        <v>1014</v>
      </c>
      <c r="J127" s="352" t="s">
        <v>1893</v>
      </c>
      <c r="K127" s="352">
        <v>2132</v>
      </c>
      <c r="L127" s="352" t="s">
        <v>1880</v>
      </c>
      <c r="M127" s="352" t="s">
        <v>2197</v>
      </c>
      <c r="N127" s="352" t="s">
        <v>2076</v>
      </c>
      <c r="O127" s="352">
        <v>8</v>
      </c>
      <c r="P127" s="352" t="s">
        <v>2085</v>
      </c>
      <c r="Q127" s="352" t="s">
        <v>2068</v>
      </c>
      <c r="R127" s="251">
        <v>443.10893092099201</v>
      </c>
      <c r="S127" s="251" t="s">
        <v>2015</v>
      </c>
      <c r="T127" s="251" t="s">
        <v>2016</v>
      </c>
      <c r="U127" s="251" t="s">
        <v>1931</v>
      </c>
      <c r="V127" s="251" t="s">
        <v>1932</v>
      </c>
      <c r="X127" s="251">
        <v>0</v>
      </c>
    </row>
    <row r="128" spans="2:24" x14ac:dyDescent="0.2">
      <c r="B128" s="352" t="s">
        <v>876</v>
      </c>
      <c r="C128" s="352" t="s">
        <v>712</v>
      </c>
      <c r="F128" s="352" t="s">
        <v>1993</v>
      </c>
      <c r="G128" s="352" t="s">
        <v>2075</v>
      </c>
      <c r="H128" s="352" t="s">
        <v>1376</v>
      </c>
      <c r="I128" s="352" t="s">
        <v>1014</v>
      </c>
      <c r="J128" s="352" t="s">
        <v>1893</v>
      </c>
      <c r="K128" s="352">
        <v>2133</v>
      </c>
      <c r="L128" s="352" t="s">
        <v>1881</v>
      </c>
      <c r="M128" s="352" t="s">
        <v>2198</v>
      </c>
      <c r="N128" s="352" t="s">
        <v>2076</v>
      </c>
      <c r="O128" s="352">
        <v>8</v>
      </c>
      <c r="P128" s="352" t="s">
        <v>2085</v>
      </c>
      <c r="Q128" s="352" t="s">
        <v>2068</v>
      </c>
      <c r="R128" s="251">
        <v>651.07473587514687</v>
      </c>
      <c r="S128" s="251" t="s">
        <v>2015</v>
      </c>
      <c r="T128" s="251" t="s">
        <v>2016</v>
      </c>
      <c r="U128" s="251" t="s">
        <v>1935</v>
      </c>
      <c r="V128" s="251" t="s">
        <v>1936</v>
      </c>
      <c r="X128" s="251">
        <v>0</v>
      </c>
    </row>
    <row r="129" spans="2:24" x14ac:dyDescent="0.2">
      <c r="B129" s="352" t="s">
        <v>876</v>
      </c>
      <c r="C129" s="352" t="s">
        <v>712</v>
      </c>
      <c r="F129" s="352" t="s">
        <v>1993</v>
      </c>
      <c r="G129" s="352" t="s">
        <v>2075</v>
      </c>
      <c r="H129" s="352" t="s">
        <v>1376</v>
      </c>
      <c r="I129" s="352" t="s">
        <v>1014</v>
      </c>
      <c r="J129" s="352" t="s">
        <v>1893</v>
      </c>
      <c r="K129" s="352">
        <v>2134</v>
      </c>
      <c r="L129" s="352" t="s">
        <v>775</v>
      </c>
      <c r="M129" s="352" t="s">
        <v>2199</v>
      </c>
      <c r="N129" s="352" t="s">
        <v>2076</v>
      </c>
      <c r="O129" s="352">
        <v>8</v>
      </c>
      <c r="P129" s="352" t="s">
        <v>2085</v>
      </c>
      <c r="Q129" s="352" t="s">
        <v>2068</v>
      </c>
      <c r="R129" s="251">
        <v>42.193777655613722</v>
      </c>
      <c r="S129" s="251" t="s">
        <v>2015</v>
      </c>
      <c r="T129" s="251" t="s">
        <v>2016</v>
      </c>
      <c r="U129" s="251">
        <v>0</v>
      </c>
      <c r="V129" s="251" t="s">
        <v>2153</v>
      </c>
      <c r="X129" s="251">
        <v>0</v>
      </c>
    </row>
    <row r="130" spans="2:24" x14ac:dyDescent="0.2">
      <c r="B130" s="352" t="s">
        <v>876</v>
      </c>
      <c r="C130" s="352" t="s">
        <v>712</v>
      </c>
      <c r="F130" s="352" t="s">
        <v>1993</v>
      </c>
      <c r="G130" s="352" t="s">
        <v>2075</v>
      </c>
      <c r="H130" s="352" t="s">
        <v>1376</v>
      </c>
      <c r="I130" s="352" t="s">
        <v>1014</v>
      </c>
      <c r="J130" s="352" t="s">
        <v>1893</v>
      </c>
      <c r="K130" s="352">
        <v>2141</v>
      </c>
      <c r="L130" s="352" t="s">
        <v>1882</v>
      </c>
      <c r="M130" s="352" t="s">
        <v>2200</v>
      </c>
      <c r="N130" s="352" t="s">
        <v>2076</v>
      </c>
      <c r="O130" s="352">
        <v>8</v>
      </c>
      <c r="P130" s="352" t="s">
        <v>2085</v>
      </c>
      <c r="Q130" s="352" t="s">
        <v>2068</v>
      </c>
      <c r="R130" s="251">
        <v>22.308623427002541</v>
      </c>
      <c r="S130" s="251" t="s">
        <v>2015</v>
      </c>
      <c r="T130" s="251" t="s">
        <v>2016</v>
      </c>
      <c r="U130" s="251" t="s">
        <v>1935</v>
      </c>
      <c r="V130" s="251" t="s">
        <v>1936</v>
      </c>
      <c r="X130" s="251">
        <v>0</v>
      </c>
    </row>
    <row r="131" spans="2:24" x14ac:dyDescent="0.2">
      <c r="B131" s="352" t="s">
        <v>876</v>
      </c>
      <c r="C131" s="352" t="s">
        <v>712</v>
      </c>
      <c r="F131" s="352" t="s">
        <v>1993</v>
      </c>
      <c r="G131" s="352" t="s">
        <v>2075</v>
      </c>
      <c r="H131" s="352" t="s">
        <v>1376</v>
      </c>
      <c r="I131" s="352" t="s">
        <v>1014</v>
      </c>
      <c r="J131" s="352" t="s">
        <v>1893</v>
      </c>
      <c r="K131" s="352">
        <v>2211</v>
      </c>
      <c r="L131" s="352" t="s">
        <v>1883</v>
      </c>
      <c r="M131" s="352" t="s">
        <v>2201</v>
      </c>
      <c r="N131" s="352" t="s">
        <v>2076</v>
      </c>
      <c r="O131" s="352">
        <v>8</v>
      </c>
      <c r="P131" s="352" t="s">
        <v>2085</v>
      </c>
      <c r="Q131" s="352" t="s">
        <v>2068</v>
      </c>
      <c r="R131" s="251">
        <v>34.736877302307562</v>
      </c>
      <c r="S131" s="251" t="s">
        <v>2015</v>
      </c>
      <c r="T131" s="251" t="s">
        <v>2016</v>
      </c>
      <c r="U131" s="251" t="s">
        <v>1929</v>
      </c>
      <c r="V131" s="251" t="s">
        <v>1930</v>
      </c>
      <c r="X131" s="251">
        <v>0</v>
      </c>
    </row>
    <row r="132" spans="2:24" x14ac:dyDescent="0.2">
      <c r="B132" s="352" t="s">
        <v>876</v>
      </c>
      <c r="C132" s="352" t="s">
        <v>712</v>
      </c>
      <c r="F132" s="352" t="s">
        <v>1993</v>
      </c>
      <c r="G132" s="352" t="s">
        <v>2075</v>
      </c>
      <c r="H132" s="352" t="s">
        <v>1376</v>
      </c>
      <c r="I132" s="352" t="s">
        <v>1014</v>
      </c>
      <c r="J132" s="352" t="s">
        <v>1893</v>
      </c>
      <c r="K132" s="352">
        <v>2221</v>
      </c>
      <c r="L132" s="352" t="s">
        <v>1884</v>
      </c>
      <c r="M132" s="352" t="s">
        <v>2202</v>
      </c>
      <c r="N132" s="352" t="s">
        <v>2076</v>
      </c>
      <c r="O132" s="352">
        <v>8</v>
      </c>
      <c r="P132" s="352" t="s">
        <v>2085</v>
      </c>
      <c r="Q132" s="352" t="s">
        <v>2068</v>
      </c>
      <c r="R132" s="251">
        <v>541.83362285628209</v>
      </c>
      <c r="S132" s="251" t="s">
        <v>2015</v>
      </c>
      <c r="T132" s="251" t="s">
        <v>2016</v>
      </c>
      <c r="U132" s="251" t="s">
        <v>1935</v>
      </c>
      <c r="V132" s="251" t="s">
        <v>1936</v>
      </c>
      <c r="X132" s="251">
        <v>0</v>
      </c>
    </row>
    <row r="133" spans="2:24" x14ac:dyDescent="0.2">
      <c r="B133" s="352" t="s">
        <v>876</v>
      </c>
      <c r="C133" s="352" t="s">
        <v>712</v>
      </c>
      <c r="F133" s="352" t="s">
        <v>1993</v>
      </c>
      <c r="G133" s="352" t="s">
        <v>2075</v>
      </c>
      <c r="H133" s="352" t="s">
        <v>1380</v>
      </c>
      <c r="I133" s="352" t="s">
        <v>1015</v>
      </c>
      <c r="J133" s="352" t="s">
        <v>1016</v>
      </c>
      <c r="K133" s="352">
        <v>3111</v>
      </c>
      <c r="L133" s="352" t="s">
        <v>763</v>
      </c>
      <c r="M133" s="352" t="s">
        <v>2203</v>
      </c>
      <c r="N133" s="352" t="s">
        <v>2076</v>
      </c>
      <c r="O133" s="352">
        <v>1</v>
      </c>
      <c r="P133" s="352" t="s">
        <v>2086</v>
      </c>
      <c r="Q133" s="352" t="s">
        <v>2066</v>
      </c>
      <c r="R133" s="251">
        <v>0</v>
      </c>
      <c r="S133" s="251"/>
      <c r="T133" s="251" t="s">
        <v>2054</v>
      </c>
      <c r="U133" s="251" t="s">
        <v>1945</v>
      </c>
      <c r="V133" s="251" t="s">
        <v>709</v>
      </c>
      <c r="X133" s="251">
        <v>0</v>
      </c>
    </row>
    <row r="134" spans="2:24" x14ac:dyDescent="0.2">
      <c r="B134" s="352" t="s">
        <v>876</v>
      </c>
      <c r="C134" s="352" t="s">
        <v>712</v>
      </c>
      <c r="F134" s="352" t="s">
        <v>1993</v>
      </c>
      <c r="G134" s="352" t="s">
        <v>2075</v>
      </c>
      <c r="H134" s="352" t="s">
        <v>1380</v>
      </c>
      <c r="I134" s="352" t="s">
        <v>1015</v>
      </c>
      <c r="J134" s="352" t="s">
        <v>1016</v>
      </c>
      <c r="K134" s="352">
        <v>3121</v>
      </c>
      <c r="L134" s="352" t="s">
        <v>766</v>
      </c>
      <c r="M134" s="352" t="s">
        <v>2204</v>
      </c>
      <c r="N134" s="352" t="s">
        <v>2076</v>
      </c>
      <c r="O134" s="352">
        <v>1</v>
      </c>
      <c r="P134" s="352" t="s">
        <v>2086</v>
      </c>
      <c r="Q134" s="352" t="s">
        <v>2066</v>
      </c>
      <c r="R134" s="251">
        <v>0</v>
      </c>
      <c r="S134" s="251"/>
      <c r="T134" s="251" t="s">
        <v>2054</v>
      </c>
      <c r="U134" s="251" t="s">
        <v>1945</v>
      </c>
      <c r="V134" s="251" t="s">
        <v>709</v>
      </c>
      <c r="X134" s="251">
        <v>0</v>
      </c>
    </row>
    <row r="135" spans="2:24" x14ac:dyDescent="0.2">
      <c r="B135" s="352" t="s">
        <v>876</v>
      </c>
      <c r="C135" s="352" t="s">
        <v>712</v>
      </c>
      <c r="F135" s="352" t="s">
        <v>1993</v>
      </c>
      <c r="G135" s="352" t="s">
        <v>2075</v>
      </c>
      <c r="H135" s="352" t="s">
        <v>1384</v>
      </c>
      <c r="I135" s="352" t="s">
        <v>1017</v>
      </c>
      <c r="J135" s="352" t="s">
        <v>1018</v>
      </c>
      <c r="K135" s="352">
        <v>4111</v>
      </c>
      <c r="L135" s="352" t="s">
        <v>770</v>
      </c>
      <c r="M135" s="352" t="s">
        <v>2205</v>
      </c>
      <c r="N135" s="352" t="s">
        <v>2076</v>
      </c>
      <c r="O135" s="352">
        <v>11</v>
      </c>
      <c r="P135" s="352" t="s">
        <v>2084</v>
      </c>
      <c r="Q135" s="352" t="s">
        <v>2064</v>
      </c>
      <c r="R135" s="251">
        <v>186.38762333389511</v>
      </c>
      <c r="S135" s="251" t="s">
        <v>2015</v>
      </c>
      <c r="T135" s="251" t="s">
        <v>2016</v>
      </c>
      <c r="U135" s="251" t="s">
        <v>1946</v>
      </c>
      <c r="V135" s="251" t="s">
        <v>1947</v>
      </c>
      <c r="X135" s="251">
        <v>0</v>
      </c>
    </row>
    <row r="136" spans="2:24" x14ac:dyDescent="0.2">
      <c r="B136" s="352" t="s">
        <v>876</v>
      </c>
      <c r="C136" s="352" t="s">
        <v>712</v>
      </c>
      <c r="F136" s="352" t="s">
        <v>1993</v>
      </c>
      <c r="G136" s="352" t="s">
        <v>2075</v>
      </c>
      <c r="H136" s="352" t="s">
        <v>1384</v>
      </c>
      <c r="I136" s="352" t="s">
        <v>1017</v>
      </c>
      <c r="J136" s="352" t="s">
        <v>1018</v>
      </c>
      <c r="K136" s="352">
        <v>4121</v>
      </c>
      <c r="L136" s="352" t="s">
        <v>772</v>
      </c>
      <c r="M136" s="352" t="s">
        <v>2206</v>
      </c>
      <c r="N136" s="352" t="s">
        <v>2076</v>
      </c>
      <c r="O136" s="352">
        <v>11</v>
      </c>
      <c r="P136" s="352" t="s">
        <v>2084</v>
      </c>
      <c r="Q136" s="352" t="s">
        <v>2064</v>
      </c>
      <c r="R136" s="251">
        <v>466.49543117953175</v>
      </c>
      <c r="S136" s="251" t="s">
        <v>2015</v>
      </c>
      <c r="T136" s="251" t="s">
        <v>2016</v>
      </c>
      <c r="U136" s="251" t="s">
        <v>1946</v>
      </c>
      <c r="V136" s="251" t="s">
        <v>1947</v>
      </c>
      <c r="X136" s="251">
        <v>0</v>
      </c>
    </row>
    <row r="137" spans="2:24" x14ac:dyDescent="0.2">
      <c r="B137" s="352" t="s">
        <v>876</v>
      </c>
      <c r="C137" s="352" t="s">
        <v>712</v>
      </c>
      <c r="F137" s="352" t="s">
        <v>1993</v>
      </c>
      <c r="G137" s="352" t="s">
        <v>2075</v>
      </c>
      <c r="H137" s="352" t="s">
        <v>1388</v>
      </c>
      <c r="I137" s="352" t="s">
        <v>1019</v>
      </c>
      <c r="J137" s="352" t="s">
        <v>1020</v>
      </c>
      <c r="K137" s="352">
        <v>4231</v>
      </c>
      <c r="L137" s="352" t="s">
        <v>774</v>
      </c>
      <c r="M137" s="352" t="s">
        <v>2207</v>
      </c>
      <c r="N137" s="352" t="s">
        <v>2076</v>
      </c>
      <c r="O137" s="352">
        <v>1</v>
      </c>
      <c r="P137" s="352" t="s">
        <v>2086</v>
      </c>
      <c r="Q137" s="352" t="s">
        <v>2066</v>
      </c>
      <c r="R137" s="251">
        <v>3309.4145110216068</v>
      </c>
      <c r="S137" s="251" t="s">
        <v>2015</v>
      </c>
      <c r="T137" s="251" t="s">
        <v>2016</v>
      </c>
      <c r="U137" s="251" t="s">
        <v>1948</v>
      </c>
      <c r="V137" s="251" t="s">
        <v>1949</v>
      </c>
      <c r="X137" s="251">
        <v>0</v>
      </c>
    </row>
    <row r="138" spans="2:24" x14ac:dyDescent="0.2">
      <c r="B138" s="352" t="s">
        <v>876</v>
      </c>
      <c r="C138" s="352" t="s">
        <v>712</v>
      </c>
      <c r="F138" s="352" t="s">
        <v>1993</v>
      </c>
      <c r="G138" s="352" t="s">
        <v>2075</v>
      </c>
      <c r="H138" s="352" t="s">
        <v>1388</v>
      </c>
      <c r="I138" s="352" t="s">
        <v>1019</v>
      </c>
      <c r="J138" s="352" t="s">
        <v>1020</v>
      </c>
      <c r="K138" s="352">
        <v>4241</v>
      </c>
      <c r="L138" s="352" t="s">
        <v>777</v>
      </c>
      <c r="M138" s="352" t="s">
        <v>2208</v>
      </c>
      <c r="N138" s="352" t="s">
        <v>2076</v>
      </c>
      <c r="O138" s="352">
        <v>1</v>
      </c>
      <c r="P138" s="352" t="s">
        <v>2086</v>
      </c>
      <c r="Q138" s="352" t="s">
        <v>2066</v>
      </c>
      <c r="R138" s="251">
        <v>180.10204388245631</v>
      </c>
      <c r="S138" s="251" t="s">
        <v>2015</v>
      </c>
      <c r="T138" s="251" t="s">
        <v>2016</v>
      </c>
      <c r="U138" s="251" t="s">
        <v>1950</v>
      </c>
      <c r="V138" s="251" t="s">
        <v>1951</v>
      </c>
      <c r="X138" s="251">
        <v>0</v>
      </c>
    </row>
    <row r="139" spans="2:24" x14ac:dyDescent="0.2">
      <c r="B139" s="352" t="s">
        <v>876</v>
      </c>
      <c r="C139" s="352" t="s">
        <v>712</v>
      </c>
      <c r="F139" s="352" t="s">
        <v>1993</v>
      </c>
      <c r="G139" s="352" t="s">
        <v>2075</v>
      </c>
      <c r="H139" s="352" t="s">
        <v>1388</v>
      </c>
      <c r="I139" s="352" t="s">
        <v>1019</v>
      </c>
      <c r="J139" s="352" t="s">
        <v>1020</v>
      </c>
      <c r="K139" s="352">
        <v>4311</v>
      </c>
      <c r="L139" s="352" t="s">
        <v>779</v>
      </c>
      <c r="M139" s="352" t="s">
        <v>2209</v>
      </c>
      <c r="N139" s="352" t="s">
        <v>2076</v>
      </c>
      <c r="O139" s="352">
        <v>1</v>
      </c>
      <c r="P139" s="352" t="s">
        <v>2086</v>
      </c>
      <c r="Q139" s="352" t="s">
        <v>2066</v>
      </c>
      <c r="R139" s="251">
        <v>5.5526055844766562</v>
      </c>
      <c r="S139" s="251" t="s">
        <v>2015</v>
      </c>
      <c r="T139" s="251" t="s">
        <v>2016</v>
      </c>
      <c r="U139" s="251" t="s">
        <v>1952</v>
      </c>
      <c r="V139" s="251" t="s">
        <v>1953</v>
      </c>
      <c r="X139" s="251">
        <v>0</v>
      </c>
    </row>
    <row r="140" spans="2:24" x14ac:dyDescent="0.2">
      <c r="B140" s="352" t="s">
        <v>876</v>
      </c>
      <c r="C140" s="352" t="s">
        <v>712</v>
      </c>
      <c r="F140" s="352" t="s">
        <v>1993</v>
      </c>
      <c r="G140" s="352" t="s">
        <v>2075</v>
      </c>
      <c r="H140" s="352" t="s">
        <v>1392</v>
      </c>
      <c r="I140" s="352" t="s">
        <v>1021</v>
      </c>
      <c r="J140" s="352" t="s">
        <v>751</v>
      </c>
      <c r="K140" s="352">
        <v>4231</v>
      </c>
      <c r="L140" s="352" t="s">
        <v>774</v>
      </c>
      <c r="M140" s="352" t="s">
        <v>2210</v>
      </c>
      <c r="N140" s="352" t="s">
        <v>2076</v>
      </c>
      <c r="O140" s="352">
        <v>20</v>
      </c>
      <c r="P140" s="352" t="s">
        <v>2089</v>
      </c>
      <c r="Q140" s="352" t="s">
        <v>2074</v>
      </c>
      <c r="R140" s="251">
        <v>104.50782666384022</v>
      </c>
      <c r="S140" s="251" t="s">
        <v>2015</v>
      </c>
      <c r="T140" s="251" t="s">
        <v>2016</v>
      </c>
      <c r="U140" s="251" t="s">
        <v>1948</v>
      </c>
      <c r="V140" s="251" t="s">
        <v>1949</v>
      </c>
      <c r="X140" s="251">
        <v>0</v>
      </c>
    </row>
    <row r="141" spans="2:24" x14ac:dyDescent="0.2">
      <c r="B141" s="352" t="s">
        <v>876</v>
      </c>
      <c r="C141" s="352" t="s">
        <v>712</v>
      </c>
      <c r="F141" s="352" t="s">
        <v>1993</v>
      </c>
      <c r="G141" s="352" t="s">
        <v>2075</v>
      </c>
      <c r="H141" s="352" t="s">
        <v>1392</v>
      </c>
      <c r="I141" s="352" t="s">
        <v>1021</v>
      </c>
      <c r="J141" s="352" t="s">
        <v>751</v>
      </c>
      <c r="K141" s="352">
        <v>4241</v>
      </c>
      <c r="L141" s="352" t="s">
        <v>777</v>
      </c>
      <c r="M141" s="352" t="s">
        <v>2211</v>
      </c>
      <c r="N141" s="352" t="s">
        <v>2076</v>
      </c>
      <c r="O141" s="352">
        <v>20</v>
      </c>
      <c r="P141" s="352" t="s">
        <v>2089</v>
      </c>
      <c r="Q141" s="352" t="s">
        <v>2074</v>
      </c>
      <c r="R141" s="251">
        <v>5703.2313896111164</v>
      </c>
      <c r="S141" s="251" t="s">
        <v>2015</v>
      </c>
      <c r="T141" s="251" t="s">
        <v>2016</v>
      </c>
      <c r="U141" s="251" t="s">
        <v>1950</v>
      </c>
      <c r="V141" s="251" t="s">
        <v>1951</v>
      </c>
      <c r="X141" s="251">
        <v>0</v>
      </c>
    </row>
    <row r="142" spans="2:24" x14ac:dyDescent="0.2">
      <c r="B142" s="352" t="s">
        <v>876</v>
      </c>
      <c r="C142" s="352" t="s">
        <v>712</v>
      </c>
      <c r="F142" s="352" t="s">
        <v>1993</v>
      </c>
      <c r="G142" s="352" t="s">
        <v>2075</v>
      </c>
      <c r="H142" s="352" t="s">
        <v>1392</v>
      </c>
      <c r="I142" s="352" t="s">
        <v>1021</v>
      </c>
      <c r="J142" s="352" t="s">
        <v>751</v>
      </c>
      <c r="K142" s="352">
        <v>4311</v>
      </c>
      <c r="L142" s="352" t="s">
        <v>779</v>
      </c>
      <c r="M142" s="352" t="s">
        <v>2212</v>
      </c>
      <c r="N142" s="352" t="s">
        <v>2076</v>
      </c>
      <c r="O142" s="352">
        <v>20</v>
      </c>
      <c r="P142" s="352" t="s">
        <v>2089</v>
      </c>
      <c r="Q142" s="352" t="s">
        <v>2074</v>
      </c>
      <c r="R142" s="251">
        <v>175.83251017509409</v>
      </c>
      <c r="S142" s="251" t="s">
        <v>2015</v>
      </c>
      <c r="T142" s="251" t="s">
        <v>2016</v>
      </c>
      <c r="U142" s="251" t="s">
        <v>1952</v>
      </c>
      <c r="V142" s="251" t="s">
        <v>1953</v>
      </c>
      <c r="X142" s="251">
        <v>0</v>
      </c>
    </row>
    <row r="143" spans="2:24" x14ac:dyDescent="0.2">
      <c r="B143" s="352" t="s">
        <v>876</v>
      </c>
      <c r="C143" s="352" t="s">
        <v>719</v>
      </c>
      <c r="F143" s="352" t="s">
        <v>1994</v>
      </c>
      <c r="G143" s="352" t="s">
        <v>2090</v>
      </c>
      <c r="H143" s="352" t="s">
        <v>1396</v>
      </c>
      <c r="I143" s="352" t="s">
        <v>969</v>
      </c>
      <c r="J143" s="352" t="s">
        <v>970</v>
      </c>
      <c r="K143" s="352">
        <v>1111</v>
      </c>
      <c r="L143" s="352" t="s">
        <v>699</v>
      </c>
      <c r="M143" s="352" t="s">
        <v>2147</v>
      </c>
      <c r="N143" s="352" t="s">
        <v>2076</v>
      </c>
      <c r="O143" s="352">
        <v>5</v>
      </c>
      <c r="P143" s="352" t="s">
        <v>2077</v>
      </c>
      <c r="Q143" s="352" t="s">
        <v>2058</v>
      </c>
      <c r="R143" s="251">
        <v>51389.022249247937</v>
      </c>
      <c r="S143" s="251" t="s">
        <v>2015</v>
      </c>
      <c r="T143" s="251" t="s">
        <v>2016</v>
      </c>
      <c r="U143" s="251" t="s">
        <v>1914</v>
      </c>
      <c r="V143" s="251" t="s">
        <v>1915</v>
      </c>
      <c r="X143" s="251">
        <v>0</v>
      </c>
    </row>
    <row r="144" spans="2:24" x14ac:dyDescent="0.2">
      <c r="B144" s="352" t="s">
        <v>876</v>
      </c>
      <c r="C144" s="352" t="s">
        <v>719</v>
      </c>
      <c r="F144" s="352" t="s">
        <v>1994</v>
      </c>
      <c r="G144" s="352" t="s">
        <v>2090</v>
      </c>
      <c r="H144" s="352" t="s">
        <v>1396</v>
      </c>
      <c r="I144" s="352" t="s">
        <v>969</v>
      </c>
      <c r="J144" s="352" t="s">
        <v>970</v>
      </c>
      <c r="K144" s="352">
        <v>1231</v>
      </c>
      <c r="L144" s="352" t="s">
        <v>726</v>
      </c>
      <c r="M144" s="352" t="s">
        <v>2148</v>
      </c>
      <c r="N144" s="352" t="s">
        <v>2076</v>
      </c>
      <c r="O144" s="352">
        <v>5</v>
      </c>
      <c r="P144" s="352" t="s">
        <v>2077</v>
      </c>
      <c r="Q144" s="352" t="s">
        <v>2058</v>
      </c>
      <c r="R144" s="251">
        <v>1046.9746553850489</v>
      </c>
      <c r="S144" s="251" t="s">
        <v>2015</v>
      </c>
      <c r="T144" s="251" t="s">
        <v>2016</v>
      </c>
      <c r="U144" s="251" t="s">
        <v>1920</v>
      </c>
      <c r="V144" s="251" t="s">
        <v>726</v>
      </c>
      <c r="X144" s="251">
        <v>0</v>
      </c>
    </row>
    <row r="145" spans="2:24" x14ac:dyDescent="0.2">
      <c r="B145" s="352" t="s">
        <v>876</v>
      </c>
      <c r="C145" s="352" t="s">
        <v>719</v>
      </c>
      <c r="F145" s="352" t="s">
        <v>1994</v>
      </c>
      <c r="G145" s="352" t="s">
        <v>2090</v>
      </c>
      <c r="H145" s="352" t="s">
        <v>1400</v>
      </c>
      <c r="I145" s="352" t="s">
        <v>971</v>
      </c>
      <c r="J145" s="352" t="s">
        <v>972</v>
      </c>
      <c r="K145" s="352">
        <v>1211</v>
      </c>
      <c r="L145" s="352" t="s">
        <v>705</v>
      </c>
      <c r="M145" s="352" t="s">
        <v>2149</v>
      </c>
      <c r="N145" s="352" t="s">
        <v>2076</v>
      </c>
      <c r="O145" s="352">
        <v>5</v>
      </c>
      <c r="P145" s="352" t="s">
        <v>2077</v>
      </c>
      <c r="Q145" s="352" t="s">
        <v>2058</v>
      </c>
      <c r="R145" s="251">
        <v>0</v>
      </c>
      <c r="S145" s="251" t="s">
        <v>2015</v>
      </c>
      <c r="T145" s="251" t="s">
        <v>2054</v>
      </c>
      <c r="U145" s="251" t="s">
        <v>1916</v>
      </c>
      <c r="V145" s="251" t="s">
        <v>1917</v>
      </c>
      <c r="X145" s="251">
        <v>0</v>
      </c>
    </row>
    <row r="146" spans="2:24" x14ac:dyDescent="0.2">
      <c r="B146" s="352" t="s">
        <v>876</v>
      </c>
      <c r="C146" s="352" t="s">
        <v>719</v>
      </c>
      <c r="F146" s="352" t="s">
        <v>1994</v>
      </c>
      <c r="G146" s="352" t="s">
        <v>2090</v>
      </c>
      <c r="H146" s="352" t="s">
        <v>1404</v>
      </c>
      <c r="I146" s="352" t="s">
        <v>973</v>
      </c>
      <c r="J146" s="352" t="s">
        <v>974</v>
      </c>
      <c r="K146" s="352">
        <v>1211</v>
      </c>
      <c r="L146" s="352" t="s">
        <v>705</v>
      </c>
      <c r="M146" s="352" t="s">
        <v>2150</v>
      </c>
      <c r="N146" s="352" t="s">
        <v>2076</v>
      </c>
      <c r="O146" s="352">
        <v>5</v>
      </c>
      <c r="P146" s="352" t="s">
        <v>2077</v>
      </c>
      <c r="Q146" s="352" t="s">
        <v>2058</v>
      </c>
      <c r="R146" s="251">
        <v>0</v>
      </c>
      <c r="S146" s="251" t="s">
        <v>2015</v>
      </c>
      <c r="T146" s="251" t="s">
        <v>2054</v>
      </c>
      <c r="U146" s="251" t="s">
        <v>1916</v>
      </c>
      <c r="V146" s="251" t="s">
        <v>1917</v>
      </c>
      <c r="X146" s="251">
        <v>0</v>
      </c>
    </row>
    <row r="147" spans="2:24" x14ac:dyDescent="0.2">
      <c r="B147" s="352" t="s">
        <v>876</v>
      </c>
      <c r="C147" s="352" t="s">
        <v>719</v>
      </c>
      <c r="F147" s="352" t="s">
        <v>1994</v>
      </c>
      <c r="G147" s="352" t="s">
        <v>2090</v>
      </c>
      <c r="H147" s="352" t="s">
        <v>1404</v>
      </c>
      <c r="I147" s="352" t="s">
        <v>973</v>
      </c>
      <c r="J147" s="352" t="s">
        <v>974</v>
      </c>
      <c r="K147" s="352">
        <v>1221</v>
      </c>
      <c r="L147" s="352" t="s">
        <v>711</v>
      </c>
      <c r="M147" s="352" t="s">
        <v>2151</v>
      </c>
      <c r="N147" s="352" t="s">
        <v>2076</v>
      </c>
      <c r="O147" s="352">
        <v>5</v>
      </c>
      <c r="P147" s="352" t="s">
        <v>2077</v>
      </c>
      <c r="Q147" s="352" t="s">
        <v>2058</v>
      </c>
      <c r="R147" s="251">
        <v>0</v>
      </c>
      <c r="S147" s="251" t="s">
        <v>2015</v>
      </c>
      <c r="T147" s="251" t="s">
        <v>2054</v>
      </c>
      <c r="U147" s="251" t="s">
        <v>1918</v>
      </c>
      <c r="V147" s="251" t="s">
        <v>1919</v>
      </c>
      <c r="X147" s="251">
        <v>0</v>
      </c>
    </row>
    <row r="148" spans="2:24" x14ac:dyDescent="0.2">
      <c r="B148" s="352" t="s">
        <v>876</v>
      </c>
      <c r="C148" s="352" t="s">
        <v>719</v>
      </c>
      <c r="F148" s="352" t="s">
        <v>1994</v>
      </c>
      <c r="G148" s="352" t="s">
        <v>2090</v>
      </c>
      <c r="H148" s="352" t="s">
        <v>1404</v>
      </c>
      <c r="I148" s="352" t="s">
        <v>973</v>
      </c>
      <c r="J148" s="352" t="s">
        <v>974</v>
      </c>
      <c r="K148" s="352">
        <v>1222</v>
      </c>
      <c r="L148" s="352" t="s">
        <v>718</v>
      </c>
      <c r="M148" s="352" t="s">
        <v>2152</v>
      </c>
      <c r="N148" s="352" t="s">
        <v>2076</v>
      </c>
      <c r="O148" s="352">
        <v>5</v>
      </c>
      <c r="P148" s="352" t="s">
        <v>2077</v>
      </c>
      <c r="Q148" s="352" t="s">
        <v>2058</v>
      </c>
      <c r="R148" s="251">
        <v>329.1623800392191</v>
      </c>
      <c r="S148" s="251" t="s">
        <v>2015</v>
      </c>
      <c r="T148" s="251" t="s">
        <v>2016</v>
      </c>
      <c r="U148" s="251">
        <v>0</v>
      </c>
      <c r="V148" s="251" t="s">
        <v>2153</v>
      </c>
      <c r="X148" s="251">
        <v>0</v>
      </c>
    </row>
    <row r="149" spans="2:24" x14ac:dyDescent="0.2">
      <c r="B149" s="352" t="s">
        <v>876</v>
      </c>
      <c r="C149" s="352" t="s">
        <v>719</v>
      </c>
      <c r="F149" s="352" t="s">
        <v>1994</v>
      </c>
      <c r="G149" s="352" t="s">
        <v>2090</v>
      </c>
      <c r="H149" s="352" t="s">
        <v>1408</v>
      </c>
      <c r="I149" s="352" t="s">
        <v>975</v>
      </c>
      <c r="J149" s="352" t="s">
        <v>976</v>
      </c>
      <c r="K149" s="352">
        <v>1221</v>
      </c>
      <c r="L149" s="352" t="s">
        <v>711</v>
      </c>
      <c r="M149" s="352" t="s">
        <v>2154</v>
      </c>
      <c r="N149" s="352" t="s">
        <v>2076</v>
      </c>
      <c r="O149" s="352">
        <v>7</v>
      </c>
      <c r="P149" s="352" t="s">
        <v>2081</v>
      </c>
      <c r="Q149" s="352" t="s">
        <v>2056</v>
      </c>
      <c r="R149" s="251">
        <v>0</v>
      </c>
      <c r="S149" s="251" t="s">
        <v>2015</v>
      </c>
      <c r="T149" s="251" t="s">
        <v>2054</v>
      </c>
      <c r="U149" s="251" t="s">
        <v>1918</v>
      </c>
      <c r="V149" s="251" t="s">
        <v>1919</v>
      </c>
      <c r="X149" s="251">
        <v>0</v>
      </c>
    </row>
    <row r="150" spans="2:24" x14ac:dyDescent="0.2">
      <c r="B150" s="352" t="s">
        <v>876</v>
      </c>
      <c r="C150" s="352" t="s">
        <v>719</v>
      </c>
      <c r="F150" s="352" t="s">
        <v>1994</v>
      </c>
      <c r="G150" s="352" t="s">
        <v>2090</v>
      </c>
      <c r="H150" s="352" t="s">
        <v>1412</v>
      </c>
      <c r="I150" s="352" t="s">
        <v>977</v>
      </c>
      <c r="J150" s="352" t="s">
        <v>864</v>
      </c>
      <c r="K150" s="352">
        <v>1111</v>
      </c>
      <c r="L150" s="352" t="s">
        <v>699</v>
      </c>
      <c r="M150" s="352" t="s">
        <v>2155</v>
      </c>
      <c r="N150" s="352" t="s">
        <v>2076</v>
      </c>
      <c r="O150" s="352">
        <v>5</v>
      </c>
      <c r="P150" s="352" t="s">
        <v>2077</v>
      </c>
      <c r="Q150" s="352" t="s">
        <v>2058</v>
      </c>
      <c r="R150" s="251">
        <v>9458.1022544628104</v>
      </c>
      <c r="S150" s="251" t="s">
        <v>2015</v>
      </c>
      <c r="T150" s="251" t="s">
        <v>2016</v>
      </c>
      <c r="U150" s="251" t="s">
        <v>1914</v>
      </c>
      <c r="V150" s="251" t="s">
        <v>1915</v>
      </c>
      <c r="X150" s="251">
        <v>0</v>
      </c>
    </row>
    <row r="151" spans="2:24" x14ac:dyDescent="0.2">
      <c r="B151" s="352" t="s">
        <v>876</v>
      </c>
      <c r="C151" s="352" t="s">
        <v>719</v>
      </c>
      <c r="F151" s="352" t="s">
        <v>1994</v>
      </c>
      <c r="G151" s="352" t="s">
        <v>2090</v>
      </c>
      <c r="H151" s="352" t="s">
        <v>1412</v>
      </c>
      <c r="I151" s="352" t="s">
        <v>977</v>
      </c>
      <c r="J151" s="352" t="s">
        <v>864</v>
      </c>
      <c r="K151" s="352">
        <v>1211</v>
      </c>
      <c r="L151" s="352" t="s">
        <v>705</v>
      </c>
      <c r="M151" s="352" t="s">
        <v>2156</v>
      </c>
      <c r="N151" s="352" t="s">
        <v>2076</v>
      </c>
      <c r="O151" s="352">
        <v>5</v>
      </c>
      <c r="P151" s="352" t="s">
        <v>2077</v>
      </c>
      <c r="Q151" s="352" t="s">
        <v>2058</v>
      </c>
      <c r="R151" s="251">
        <v>11806.356533021144</v>
      </c>
      <c r="S151" s="251" t="s">
        <v>2015</v>
      </c>
      <c r="T151" s="251" t="s">
        <v>2016</v>
      </c>
      <c r="U151" s="251" t="s">
        <v>1916</v>
      </c>
      <c r="V151" s="251" t="s">
        <v>1917</v>
      </c>
      <c r="X151" s="251">
        <v>0</v>
      </c>
    </row>
    <row r="152" spans="2:24" x14ac:dyDescent="0.2">
      <c r="B152" s="352" t="s">
        <v>876</v>
      </c>
      <c r="C152" s="352" t="s">
        <v>719</v>
      </c>
      <c r="F152" s="352" t="s">
        <v>1994</v>
      </c>
      <c r="G152" s="352" t="s">
        <v>2090</v>
      </c>
      <c r="H152" s="352" t="s">
        <v>1412</v>
      </c>
      <c r="I152" s="352" t="s">
        <v>977</v>
      </c>
      <c r="J152" s="352" t="s">
        <v>864</v>
      </c>
      <c r="K152" s="352">
        <v>1221</v>
      </c>
      <c r="L152" s="352" t="s">
        <v>711</v>
      </c>
      <c r="M152" s="352" t="s">
        <v>2157</v>
      </c>
      <c r="N152" s="352" t="s">
        <v>2076</v>
      </c>
      <c r="O152" s="352">
        <v>5</v>
      </c>
      <c r="P152" s="352" t="s">
        <v>2077</v>
      </c>
      <c r="Q152" s="352" t="s">
        <v>2058</v>
      </c>
      <c r="R152" s="251">
        <v>14071.691746676615</v>
      </c>
      <c r="S152" s="251" t="s">
        <v>2015</v>
      </c>
      <c r="T152" s="251" t="s">
        <v>2016</v>
      </c>
      <c r="U152" s="251" t="s">
        <v>1918</v>
      </c>
      <c r="V152" s="251" t="s">
        <v>1919</v>
      </c>
      <c r="X152" s="251">
        <v>0</v>
      </c>
    </row>
    <row r="153" spans="2:24" x14ac:dyDescent="0.2">
      <c r="B153" s="352" t="s">
        <v>876</v>
      </c>
      <c r="C153" s="352" t="s">
        <v>719</v>
      </c>
      <c r="F153" s="352" t="s">
        <v>1994</v>
      </c>
      <c r="G153" s="352" t="s">
        <v>2090</v>
      </c>
      <c r="H153" s="352" t="s">
        <v>1412</v>
      </c>
      <c r="I153" s="352" t="s">
        <v>977</v>
      </c>
      <c r="J153" s="352" t="s">
        <v>864</v>
      </c>
      <c r="K153" s="352">
        <v>1222</v>
      </c>
      <c r="L153" s="352" t="s">
        <v>718</v>
      </c>
      <c r="M153" s="352" t="s">
        <v>2158</v>
      </c>
      <c r="N153" s="352" t="s">
        <v>2076</v>
      </c>
      <c r="O153" s="352">
        <v>5</v>
      </c>
      <c r="P153" s="352" t="s">
        <v>2077</v>
      </c>
      <c r="Q153" s="352" t="s">
        <v>2058</v>
      </c>
      <c r="R153" s="251">
        <v>411.45297504902385</v>
      </c>
      <c r="S153" s="251" t="s">
        <v>2015</v>
      </c>
      <c r="T153" s="251" t="s">
        <v>2016</v>
      </c>
      <c r="U153" s="251">
        <v>0</v>
      </c>
      <c r="V153" s="251" t="s">
        <v>2153</v>
      </c>
      <c r="X153" s="251">
        <v>0</v>
      </c>
    </row>
    <row r="154" spans="2:24" x14ac:dyDescent="0.2">
      <c r="B154" s="352" t="s">
        <v>876</v>
      </c>
      <c r="C154" s="352" t="s">
        <v>719</v>
      </c>
      <c r="F154" s="352" t="s">
        <v>1994</v>
      </c>
      <c r="G154" s="352" t="s">
        <v>2090</v>
      </c>
      <c r="H154" s="352" t="s">
        <v>1412</v>
      </c>
      <c r="I154" s="352" t="s">
        <v>977</v>
      </c>
      <c r="J154" s="352" t="s">
        <v>864</v>
      </c>
      <c r="K154" s="352">
        <v>1231</v>
      </c>
      <c r="L154" s="352" t="s">
        <v>726</v>
      </c>
      <c r="M154" s="352" t="s">
        <v>2159</v>
      </c>
      <c r="N154" s="352" t="s">
        <v>2076</v>
      </c>
      <c r="O154" s="352">
        <v>5</v>
      </c>
      <c r="P154" s="352" t="s">
        <v>2077</v>
      </c>
      <c r="Q154" s="352" t="s">
        <v>2058</v>
      </c>
      <c r="R154" s="251">
        <v>8899.2845707729157</v>
      </c>
      <c r="S154" s="251" t="s">
        <v>2015</v>
      </c>
      <c r="T154" s="251" t="s">
        <v>2016</v>
      </c>
      <c r="U154" s="251" t="s">
        <v>1920</v>
      </c>
      <c r="V154" s="251" t="s">
        <v>726</v>
      </c>
      <c r="X154" s="251">
        <v>0</v>
      </c>
    </row>
    <row r="155" spans="2:24" x14ac:dyDescent="0.2">
      <c r="B155" s="352" t="s">
        <v>876</v>
      </c>
      <c r="C155" s="352" t="s">
        <v>719</v>
      </c>
      <c r="F155" s="352" t="s">
        <v>1994</v>
      </c>
      <c r="G155" s="352" t="s">
        <v>2090</v>
      </c>
      <c r="H155" s="352" t="s">
        <v>1412</v>
      </c>
      <c r="I155" s="352" t="s">
        <v>977</v>
      </c>
      <c r="J155" s="352" t="s">
        <v>864</v>
      </c>
      <c r="K155" s="352">
        <v>1232</v>
      </c>
      <c r="L155" s="352" t="s">
        <v>734</v>
      </c>
      <c r="M155" s="352" t="s">
        <v>2160</v>
      </c>
      <c r="N155" s="352" t="s">
        <v>2076</v>
      </c>
      <c r="O155" s="352">
        <v>5</v>
      </c>
      <c r="P155" s="352" t="s">
        <v>2077</v>
      </c>
      <c r="Q155" s="352" t="s">
        <v>2058</v>
      </c>
      <c r="R155" s="251">
        <v>1477.9757699502816</v>
      </c>
      <c r="S155" s="251" t="s">
        <v>2015</v>
      </c>
      <c r="T155" s="251" t="s">
        <v>2016</v>
      </c>
      <c r="U155" s="251">
        <v>0</v>
      </c>
      <c r="V155" s="251" t="s">
        <v>2153</v>
      </c>
      <c r="X155" s="251">
        <v>0</v>
      </c>
    </row>
    <row r="156" spans="2:24" x14ac:dyDescent="0.2">
      <c r="B156" s="352" t="s">
        <v>876</v>
      </c>
      <c r="C156" s="352" t="s">
        <v>719</v>
      </c>
      <c r="F156" s="352" t="s">
        <v>1994</v>
      </c>
      <c r="G156" s="352" t="s">
        <v>2090</v>
      </c>
      <c r="H156" s="352" t="s">
        <v>1412</v>
      </c>
      <c r="I156" s="352" t="s">
        <v>977</v>
      </c>
      <c r="J156" s="352" t="s">
        <v>864</v>
      </c>
      <c r="K156" s="352">
        <v>1241</v>
      </c>
      <c r="L156" s="352" t="s">
        <v>1872</v>
      </c>
      <c r="M156" s="352" t="s">
        <v>2161</v>
      </c>
      <c r="N156" s="352" t="s">
        <v>2076</v>
      </c>
      <c r="O156" s="352">
        <v>5</v>
      </c>
      <c r="P156" s="352" t="s">
        <v>2077</v>
      </c>
      <c r="Q156" s="352" t="s">
        <v>2058</v>
      </c>
      <c r="R156" s="251">
        <v>137.61880870975142</v>
      </c>
      <c r="S156" s="251" t="s">
        <v>2015</v>
      </c>
      <c r="T156" s="251" t="s">
        <v>2016</v>
      </c>
      <c r="U156" s="251">
        <v>0</v>
      </c>
      <c r="V156" s="251" t="s">
        <v>2153</v>
      </c>
      <c r="X156" s="251">
        <v>0</v>
      </c>
    </row>
    <row r="157" spans="2:24" x14ac:dyDescent="0.2">
      <c r="B157" s="352" t="s">
        <v>876</v>
      </c>
      <c r="C157" s="352" t="s">
        <v>719</v>
      </c>
      <c r="F157" s="352" t="s">
        <v>1994</v>
      </c>
      <c r="G157" s="352" t="s">
        <v>2090</v>
      </c>
      <c r="H157" s="352" t="s">
        <v>1412</v>
      </c>
      <c r="I157" s="352" t="s">
        <v>977</v>
      </c>
      <c r="J157" s="352" t="s">
        <v>864</v>
      </c>
      <c r="K157" s="352">
        <v>1251</v>
      </c>
      <c r="L157" s="352" t="s">
        <v>733</v>
      </c>
      <c r="M157" s="352" t="s">
        <v>2162</v>
      </c>
      <c r="N157" s="352" t="s">
        <v>2076</v>
      </c>
      <c r="O157" s="352">
        <v>5</v>
      </c>
      <c r="P157" s="352" t="s">
        <v>2077</v>
      </c>
      <c r="Q157" s="352" t="s">
        <v>2058</v>
      </c>
      <c r="R157" s="251">
        <v>680.2679595679175</v>
      </c>
      <c r="S157" s="251" t="s">
        <v>2015</v>
      </c>
      <c r="T157" s="251" t="s">
        <v>2016</v>
      </c>
      <c r="U157" s="251">
        <v>0</v>
      </c>
      <c r="V157" s="251" t="s">
        <v>2153</v>
      </c>
      <c r="X157" s="251">
        <v>0</v>
      </c>
    </row>
    <row r="158" spans="2:24" x14ac:dyDescent="0.2">
      <c r="B158" s="352" t="s">
        <v>876</v>
      </c>
      <c r="C158" s="352" t="s">
        <v>719</v>
      </c>
      <c r="F158" s="352" t="s">
        <v>1994</v>
      </c>
      <c r="G158" s="352" t="s">
        <v>2090</v>
      </c>
      <c r="H158" s="352" t="s">
        <v>1416</v>
      </c>
      <c r="I158" s="352" t="s">
        <v>978</v>
      </c>
      <c r="J158" s="352" t="s">
        <v>1892</v>
      </c>
      <c r="K158" s="352">
        <v>1111</v>
      </c>
      <c r="L158" s="352" t="s">
        <v>699</v>
      </c>
      <c r="M158" s="352" t="s">
        <v>2163</v>
      </c>
      <c r="N158" s="352" t="s">
        <v>2076</v>
      </c>
      <c r="O158" s="352">
        <v>5</v>
      </c>
      <c r="P158" s="352" t="s">
        <v>2077</v>
      </c>
      <c r="Q158" s="352" t="s">
        <v>2058</v>
      </c>
      <c r="R158" s="251">
        <v>0</v>
      </c>
      <c r="S158" s="251" t="s">
        <v>2015</v>
      </c>
      <c r="T158" s="251" t="s">
        <v>2054</v>
      </c>
      <c r="U158" s="251" t="s">
        <v>1914</v>
      </c>
      <c r="V158" s="251" t="s">
        <v>1915</v>
      </c>
      <c r="X158" s="251">
        <v>0</v>
      </c>
    </row>
    <row r="159" spans="2:24" x14ac:dyDescent="0.2">
      <c r="B159" s="352" t="s">
        <v>876</v>
      </c>
      <c r="C159" s="352" t="s">
        <v>719</v>
      </c>
      <c r="F159" s="352" t="s">
        <v>1994</v>
      </c>
      <c r="G159" s="352" t="s">
        <v>2090</v>
      </c>
      <c r="H159" s="352" t="s">
        <v>1416</v>
      </c>
      <c r="I159" s="352" t="s">
        <v>978</v>
      </c>
      <c r="J159" s="352" t="s">
        <v>1892</v>
      </c>
      <c r="K159" s="352">
        <v>1231</v>
      </c>
      <c r="L159" s="352" t="s">
        <v>726</v>
      </c>
      <c r="M159" s="352" t="s">
        <v>2164</v>
      </c>
      <c r="N159" s="352" t="s">
        <v>2076</v>
      </c>
      <c r="O159" s="352">
        <v>5</v>
      </c>
      <c r="P159" s="352" t="s">
        <v>2077</v>
      </c>
      <c r="Q159" s="352" t="s">
        <v>2058</v>
      </c>
      <c r="R159" s="251">
        <v>0</v>
      </c>
      <c r="S159" s="251" t="s">
        <v>2015</v>
      </c>
      <c r="T159" s="251" t="s">
        <v>2054</v>
      </c>
      <c r="U159" s="251" t="s">
        <v>1920</v>
      </c>
      <c r="V159" s="251" t="s">
        <v>726</v>
      </c>
      <c r="X159" s="251">
        <v>0</v>
      </c>
    </row>
    <row r="160" spans="2:24" x14ac:dyDescent="0.2">
      <c r="B160" s="352" t="s">
        <v>876</v>
      </c>
      <c r="C160" s="352" t="s">
        <v>719</v>
      </c>
      <c r="F160" s="352" t="s">
        <v>1994</v>
      </c>
      <c r="G160" s="352" t="s">
        <v>2090</v>
      </c>
      <c r="H160" s="352" t="s">
        <v>1420</v>
      </c>
      <c r="I160" s="352" t="s">
        <v>979</v>
      </c>
      <c r="J160" s="352" t="s">
        <v>980</v>
      </c>
      <c r="K160" s="352">
        <v>1241</v>
      </c>
      <c r="L160" s="352" t="s">
        <v>1872</v>
      </c>
      <c r="M160" s="352" t="s">
        <v>2165</v>
      </c>
      <c r="N160" s="352" t="s">
        <v>2076</v>
      </c>
      <c r="O160" s="352">
        <v>7</v>
      </c>
      <c r="P160" s="352" t="s">
        <v>2081</v>
      </c>
      <c r="Q160" s="352" t="s">
        <v>2056</v>
      </c>
      <c r="R160" s="251">
        <v>331.30453948643856</v>
      </c>
      <c r="S160" s="251" t="s">
        <v>2015</v>
      </c>
      <c r="T160" s="251" t="s">
        <v>2016</v>
      </c>
      <c r="U160" s="251">
        <v>0</v>
      </c>
      <c r="V160" s="251" t="s">
        <v>2153</v>
      </c>
      <c r="X160" s="251">
        <v>0</v>
      </c>
    </row>
    <row r="161" spans="2:24" x14ac:dyDescent="0.2">
      <c r="B161" s="352" t="s">
        <v>876</v>
      </c>
      <c r="C161" s="352" t="s">
        <v>719</v>
      </c>
      <c r="F161" s="352" t="s">
        <v>1994</v>
      </c>
      <c r="G161" s="352" t="s">
        <v>2090</v>
      </c>
      <c r="H161" s="352" t="s">
        <v>1424</v>
      </c>
      <c r="I161" s="352" t="s">
        <v>981</v>
      </c>
      <c r="J161" s="352" t="s">
        <v>3674</v>
      </c>
      <c r="K161" s="352">
        <v>1241</v>
      </c>
      <c r="L161" s="352" t="s">
        <v>1872</v>
      </c>
      <c r="M161" s="352" t="s">
        <v>2166</v>
      </c>
      <c r="N161" s="352" t="s">
        <v>2076</v>
      </c>
      <c r="O161" s="352">
        <v>13</v>
      </c>
      <c r="P161" s="352" t="s">
        <v>2082</v>
      </c>
      <c r="Q161" s="352" t="s">
        <v>2060</v>
      </c>
      <c r="R161" s="251">
        <v>0</v>
      </c>
      <c r="S161" s="251" t="s">
        <v>2015</v>
      </c>
      <c r="T161" s="251" t="s">
        <v>2054</v>
      </c>
      <c r="U161" s="251">
        <v>0</v>
      </c>
      <c r="V161" s="251" t="s">
        <v>2153</v>
      </c>
      <c r="X161" s="251">
        <v>0</v>
      </c>
    </row>
    <row r="162" spans="2:24" x14ac:dyDescent="0.2">
      <c r="B162" s="352" t="s">
        <v>876</v>
      </c>
      <c r="C162" s="352" t="s">
        <v>719</v>
      </c>
      <c r="F162" s="352" t="s">
        <v>1994</v>
      </c>
      <c r="G162" s="352" t="s">
        <v>2090</v>
      </c>
      <c r="H162" s="352" t="s">
        <v>1424</v>
      </c>
      <c r="I162" s="352" t="s">
        <v>981</v>
      </c>
      <c r="J162" s="352" t="s">
        <v>3674</v>
      </c>
      <c r="K162" s="352">
        <v>1251</v>
      </c>
      <c r="L162" s="352" t="s">
        <v>733</v>
      </c>
      <c r="M162" s="352" t="s">
        <v>2167</v>
      </c>
      <c r="N162" s="352" t="s">
        <v>2076</v>
      </c>
      <c r="O162" s="352">
        <v>13</v>
      </c>
      <c r="P162" s="352" t="s">
        <v>2082</v>
      </c>
      <c r="Q162" s="352" t="s">
        <v>2060</v>
      </c>
      <c r="R162" s="251">
        <v>0</v>
      </c>
      <c r="S162" s="251" t="s">
        <v>2015</v>
      </c>
      <c r="T162" s="251" t="s">
        <v>2054</v>
      </c>
      <c r="U162" s="251">
        <v>0</v>
      </c>
      <c r="V162" s="251" t="s">
        <v>2153</v>
      </c>
      <c r="X162" s="251">
        <v>0</v>
      </c>
    </row>
    <row r="163" spans="2:24" x14ac:dyDescent="0.2">
      <c r="B163" s="352" t="s">
        <v>876</v>
      </c>
      <c r="C163" s="352" t="s">
        <v>719</v>
      </c>
      <c r="F163" s="352" t="s">
        <v>1994</v>
      </c>
      <c r="G163" s="352" t="s">
        <v>2090</v>
      </c>
      <c r="H163" s="352" t="s">
        <v>1428</v>
      </c>
      <c r="I163" s="352" t="s">
        <v>982</v>
      </c>
      <c r="J163" s="352" t="s">
        <v>983</v>
      </c>
      <c r="K163" s="352">
        <v>2111</v>
      </c>
      <c r="L163" s="352" t="s">
        <v>1873</v>
      </c>
      <c r="M163" s="352" t="s">
        <v>2168</v>
      </c>
      <c r="N163" s="352" t="s">
        <v>2076</v>
      </c>
      <c r="O163" s="352">
        <v>10</v>
      </c>
      <c r="P163" s="352" t="s">
        <v>2083</v>
      </c>
      <c r="Q163" s="352" t="s">
        <v>2062</v>
      </c>
      <c r="R163" s="251">
        <v>404.14739320850964</v>
      </c>
      <c r="S163" s="251" t="s">
        <v>2015</v>
      </c>
      <c r="T163" s="251" t="s">
        <v>2016</v>
      </c>
      <c r="U163" s="251" t="s">
        <v>1929</v>
      </c>
      <c r="V163" s="251" t="s">
        <v>1930</v>
      </c>
      <c r="X163" s="251">
        <v>0</v>
      </c>
    </row>
    <row r="164" spans="2:24" x14ac:dyDescent="0.2">
      <c r="B164" s="352" t="s">
        <v>876</v>
      </c>
      <c r="C164" s="352" t="s">
        <v>719</v>
      </c>
      <c r="F164" s="352" t="s">
        <v>1994</v>
      </c>
      <c r="G164" s="352" t="s">
        <v>2090</v>
      </c>
      <c r="H164" s="352" t="s">
        <v>1428</v>
      </c>
      <c r="I164" s="352" t="s">
        <v>982</v>
      </c>
      <c r="J164" s="352" t="s">
        <v>983</v>
      </c>
      <c r="K164" s="352">
        <v>2121</v>
      </c>
      <c r="L164" s="352" t="s">
        <v>1876</v>
      </c>
      <c r="M164" s="352" t="s">
        <v>2169</v>
      </c>
      <c r="N164" s="352" t="s">
        <v>2076</v>
      </c>
      <c r="O164" s="352">
        <v>10</v>
      </c>
      <c r="P164" s="352" t="s">
        <v>2083</v>
      </c>
      <c r="Q164" s="352" t="s">
        <v>2062</v>
      </c>
      <c r="R164" s="251">
        <v>1281.1494322898127</v>
      </c>
      <c r="S164" s="251" t="s">
        <v>2015</v>
      </c>
      <c r="T164" s="251" t="s">
        <v>2016</v>
      </c>
      <c r="U164" s="251" t="s">
        <v>1929</v>
      </c>
      <c r="V164" s="251" t="s">
        <v>1930</v>
      </c>
      <c r="X164" s="251">
        <v>0</v>
      </c>
    </row>
    <row r="165" spans="2:24" x14ac:dyDescent="0.2">
      <c r="B165" s="352" t="s">
        <v>876</v>
      </c>
      <c r="C165" s="352" t="s">
        <v>719</v>
      </c>
      <c r="F165" s="352" t="s">
        <v>1994</v>
      </c>
      <c r="G165" s="352" t="s">
        <v>2090</v>
      </c>
      <c r="H165" s="352" t="s">
        <v>1428</v>
      </c>
      <c r="I165" s="352" t="s">
        <v>982</v>
      </c>
      <c r="J165" s="352" t="s">
        <v>983</v>
      </c>
      <c r="K165" s="352">
        <v>2131</v>
      </c>
      <c r="L165" s="352" t="s">
        <v>1879</v>
      </c>
      <c r="M165" s="352" t="s">
        <v>2170</v>
      </c>
      <c r="N165" s="352" t="s">
        <v>2076</v>
      </c>
      <c r="O165" s="352">
        <v>10</v>
      </c>
      <c r="P165" s="352" t="s">
        <v>2083</v>
      </c>
      <c r="Q165" s="352" t="s">
        <v>2062</v>
      </c>
      <c r="R165" s="251">
        <v>47.614677356939701</v>
      </c>
      <c r="S165" s="251" t="s">
        <v>2015</v>
      </c>
      <c r="T165" s="251" t="s">
        <v>2016</v>
      </c>
      <c r="U165" s="251" t="s">
        <v>1929</v>
      </c>
      <c r="V165" s="251" t="s">
        <v>1930</v>
      </c>
      <c r="X165" s="251">
        <v>0</v>
      </c>
    </row>
    <row r="166" spans="2:24" x14ac:dyDescent="0.2">
      <c r="B166" s="352" t="s">
        <v>876</v>
      </c>
      <c r="C166" s="352" t="s">
        <v>719</v>
      </c>
      <c r="F166" s="352" t="s">
        <v>1994</v>
      </c>
      <c r="G166" s="352" t="s">
        <v>2090</v>
      </c>
      <c r="H166" s="352" t="s">
        <v>1428</v>
      </c>
      <c r="I166" s="352" t="s">
        <v>982</v>
      </c>
      <c r="J166" s="352" t="s">
        <v>983</v>
      </c>
      <c r="K166" s="352">
        <v>2211</v>
      </c>
      <c r="L166" s="352" t="s">
        <v>1883</v>
      </c>
      <c r="M166" s="352" t="s">
        <v>2171</v>
      </c>
      <c r="N166" s="352" t="s">
        <v>2076</v>
      </c>
      <c r="O166" s="352">
        <v>10</v>
      </c>
      <c r="P166" s="352" t="s">
        <v>2083</v>
      </c>
      <c r="Q166" s="352" t="s">
        <v>2062</v>
      </c>
      <c r="R166" s="251">
        <v>418.12293926214625</v>
      </c>
      <c r="S166" s="251" t="s">
        <v>2015</v>
      </c>
      <c r="T166" s="251" t="s">
        <v>2016</v>
      </c>
      <c r="U166" s="251" t="s">
        <v>1929</v>
      </c>
      <c r="V166" s="251" t="s">
        <v>1930</v>
      </c>
      <c r="X166" s="251">
        <v>0</v>
      </c>
    </row>
    <row r="167" spans="2:24" x14ac:dyDescent="0.2">
      <c r="B167" s="352" t="s">
        <v>876</v>
      </c>
      <c r="C167" s="352" t="s">
        <v>719</v>
      </c>
      <c r="F167" s="352" t="s">
        <v>1994</v>
      </c>
      <c r="G167" s="352" t="s">
        <v>2090</v>
      </c>
      <c r="H167" s="352" t="s">
        <v>1432</v>
      </c>
      <c r="I167" s="352" t="s">
        <v>984</v>
      </c>
      <c r="J167" s="352" t="s">
        <v>985</v>
      </c>
      <c r="K167" s="352">
        <v>2111</v>
      </c>
      <c r="L167" s="352" t="s">
        <v>1873</v>
      </c>
      <c r="M167" s="352" t="s">
        <v>2172</v>
      </c>
      <c r="N167" s="352" t="s">
        <v>2076</v>
      </c>
      <c r="O167" s="352">
        <v>11</v>
      </c>
      <c r="P167" s="352" t="s">
        <v>2084</v>
      </c>
      <c r="Q167" s="352" t="s">
        <v>2064</v>
      </c>
      <c r="R167" s="251">
        <v>0</v>
      </c>
      <c r="S167" s="251" t="s">
        <v>2015</v>
      </c>
      <c r="T167" s="251" t="s">
        <v>2054</v>
      </c>
      <c r="U167" s="251" t="s">
        <v>1929</v>
      </c>
      <c r="V167" s="251" t="s">
        <v>1930</v>
      </c>
      <c r="X167" s="251">
        <v>0</v>
      </c>
    </row>
    <row r="168" spans="2:24" x14ac:dyDescent="0.2">
      <c r="B168" s="352" t="s">
        <v>876</v>
      </c>
      <c r="C168" s="352" t="s">
        <v>719</v>
      </c>
      <c r="F168" s="352" t="s">
        <v>1994</v>
      </c>
      <c r="G168" s="352" t="s">
        <v>2090</v>
      </c>
      <c r="H168" s="352" t="s">
        <v>1432</v>
      </c>
      <c r="I168" s="352" t="s">
        <v>984</v>
      </c>
      <c r="J168" s="352" t="s">
        <v>985</v>
      </c>
      <c r="K168" s="352">
        <v>2121</v>
      </c>
      <c r="L168" s="352" t="s">
        <v>1876</v>
      </c>
      <c r="M168" s="352" t="s">
        <v>2173</v>
      </c>
      <c r="N168" s="352" t="s">
        <v>2076</v>
      </c>
      <c r="O168" s="352">
        <v>11</v>
      </c>
      <c r="P168" s="352" t="s">
        <v>2084</v>
      </c>
      <c r="Q168" s="352" t="s">
        <v>2064</v>
      </c>
      <c r="R168" s="251">
        <v>0</v>
      </c>
      <c r="S168" s="251" t="s">
        <v>2015</v>
      </c>
      <c r="T168" s="251" t="s">
        <v>2054</v>
      </c>
      <c r="U168" s="251" t="s">
        <v>1929</v>
      </c>
      <c r="V168" s="251" t="s">
        <v>1930</v>
      </c>
      <c r="X168" s="251">
        <v>0</v>
      </c>
    </row>
    <row r="169" spans="2:24" x14ac:dyDescent="0.2">
      <c r="B169" s="352" t="s">
        <v>876</v>
      </c>
      <c r="C169" s="352" t="s">
        <v>719</v>
      </c>
      <c r="F169" s="352" t="s">
        <v>1994</v>
      </c>
      <c r="G169" s="352" t="s">
        <v>2090</v>
      </c>
      <c r="H169" s="352" t="s">
        <v>1432</v>
      </c>
      <c r="I169" s="352" t="s">
        <v>984</v>
      </c>
      <c r="J169" s="352" t="s">
        <v>985</v>
      </c>
      <c r="K169" s="352">
        <v>2131</v>
      </c>
      <c r="L169" s="352" t="s">
        <v>1879</v>
      </c>
      <c r="M169" s="352" t="s">
        <v>2174</v>
      </c>
      <c r="N169" s="352" t="s">
        <v>2076</v>
      </c>
      <c r="O169" s="352">
        <v>11</v>
      </c>
      <c r="P169" s="352" t="s">
        <v>2084</v>
      </c>
      <c r="Q169" s="352" t="s">
        <v>2064</v>
      </c>
      <c r="R169" s="251">
        <v>0</v>
      </c>
      <c r="S169" s="251" t="s">
        <v>2015</v>
      </c>
      <c r="T169" s="251" t="s">
        <v>2054</v>
      </c>
      <c r="U169" s="251" t="s">
        <v>1929</v>
      </c>
      <c r="V169" s="251" t="s">
        <v>1930</v>
      </c>
      <c r="X169" s="251">
        <v>0</v>
      </c>
    </row>
    <row r="170" spans="2:24" x14ac:dyDescent="0.2">
      <c r="B170" s="352" t="s">
        <v>876</v>
      </c>
      <c r="C170" s="352" t="s">
        <v>719</v>
      </c>
      <c r="F170" s="352" t="s">
        <v>1994</v>
      </c>
      <c r="G170" s="352" t="s">
        <v>2090</v>
      </c>
      <c r="H170" s="352" t="s">
        <v>1432</v>
      </c>
      <c r="I170" s="352" t="s">
        <v>984</v>
      </c>
      <c r="J170" s="352" t="s">
        <v>985</v>
      </c>
      <c r="K170" s="352">
        <v>2211</v>
      </c>
      <c r="L170" s="352" t="s">
        <v>1883</v>
      </c>
      <c r="M170" s="352" t="s">
        <v>2175</v>
      </c>
      <c r="N170" s="352" t="s">
        <v>2076</v>
      </c>
      <c r="O170" s="352">
        <v>11</v>
      </c>
      <c r="P170" s="352" t="s">
        <v>2084</v>
      </c>
      <c r="Q170" s="352" t="s">
        <v>2064</v>
      </c>
      <c r="R170" s="251">
        <v>0</v>
      </c>
      <c r="S170" s="251" t="s">
        <v>2015</v>
      </c>
      <c r="T170" s="251" t="s">
        <v>2054</v>
      </c>
      <c r="U170" s="251" t="s">
        <v>1929</v>
      </c>
      <c r="V170" s="251" t="s">
        <v>1930</v>
      </c>
      <c r="X170" s="251">
        <v>0</v>
      </c>
    </row>
    <row r="171" spans="2:24" x14ac:dyDescent="0.2">
      <c r="B171" s="352" t="s">
        <v>876</v>
      </c>
      <c r="C171" s="352" t="s">
        <v>719</v>
      </c>
      <c r="F171" s="352" t="s">
        <v>1994</v>
      </c>
      <c r="G171" s="352" t="s">
        <v>2090</v>
      </c>
      <c r="H171" s="352" t="s">
        <v>1436</v>
      </c>
      <c r="I171" s="352" t="s">
        <v>986</v>
      </c>
      <c r="J171" s="352" t="s">
        <v>987</v>
      </c>
      <c r="K171" s="352">
        <v>2112</v>
      </c>
      <c r="L171" s="352" t="s">
        <v>1874</v>
      </c>
      <c r="M171" s="352" t="s">
        <v>2176</v>
      </c>
      <c r="N171" s="352" t="s">
        <v>2076</v>
      </c>
      <c r="O171" s="352">
        <v>8</v>
      </c>
      <c r="P171" s="352" t="s">
        <v>2085</v>
      </c>
      <c r="Q171" s="352" t="s">
        <v>2068</v>
      </c>
      <c r="R171" s="251">
        <v>1.6988433331456116</v>
      </c>
      <c r="S171" s="251" t="s">
        <v>2015</v>
      </c>
      <c r="T171" s="251" t="s">
        <v>2016</v>
      </c>
      <c r="U171" s="251" t="s">
        <v>1931</v>
      </c>
      <c r="V171" s="251" t="s">
        <v>1932</v>
      </c>
      <c r="X171" s="251">
        <v>0</v>
      </c>
    </row>
    <row r="172" spans="2:24" x14ac:dyDescent="0.2">
      <c r="B172" s="352" t="s">
        <v>876</v>
      </c>
      <c r="C172" s="352" t="s">
        <v>719</v>
      </c>
      <c r="F172" s="352" t="s">
        <v>1994</v>
      </c>
      <c r="G172" s="352" t="s">
        <v>2090</v>
      </c>
      <c r="H172" s="352" t="s">
        <v>1436</v>
      </c>
      <c r="I172" s="352" t="s">
        <v>986</v>
      </c>
      <c r="J172" s="352" t="s">
        <v>987</v>
      </c>
      <c r="K172" s="352">
        <v>2122</v>
      </c>
      <c r="L172" s="352" t="s">
        <v>1877</v>
      </c>
      <c r="M172" s="352" t="s">
        <v>2177</v>
      </c>
      <c r="N172" s="352" t="s">
        <v>2076</v>
      </c>
      <c r="O172" s="352">
        <v>8</v>
      </c>
      <c r="P172" s="352" t="s">
        <v>2085</v>
      </c>
      <c r="Q172" s="352" t="s">
        <v>2068</v>
      </c>
      <c r="R172" s="251">
        <v>533.2753438393346</v>
      </c>
      <c r="S172" s="251" t="s">
        <v>2015</v>
      </c>
      <c r="T172" s="251" t="s">
        <v>2016</v>
      </c>
      <c r="U172" s="251" t="s">
        <v>1931</v>
      </c>
      <c r="V172" s="251" t="s">
        <v>1932</v>
      </c>
      <c r="X172" s="251">
        <v>0</v>
      </c>
    </row>
    <row r="173" spans="2:24" x14ac:dyDescent="0.2">
      <c r="B173" s="352" t="s">
        <v>876</v>
      </c>
      <c r="C173" s="352" t="s">
        <v>719</v>
      </c>
      <c r="F173" s="352" t="s">
        <v>1994</v>
      </c>
      <c r="G173" s="352" t="s">
        <v>2090</v>
      </c>
      <c r="H173" s="352" t="s">
        <v>1440</v>
      </c>
      <c r="I173" s="352" t="s">
        <v>988</v>
      </c>
      <c r="J173" s="352" t="s">
        <v>989</v>
      </c>
      <c r="K173" s="352">
        <v>2112</v>
      </c>
      <c r="L173" s="352" t="s">
        <v>1874</v>
      </c>
      <c r="M173" s="352" t="s">
        <v>2178</v>
      </c>
      <c r="N173" s="352" t="s">
        <v>2076</v>
      </c>
      <c r="O173" s="352">
        <v>8</v>
      </c>
      <c r="P173" s="352" t="s">
        <v>2085</v>
      </c>
      <c r="Q173" s="352" t="s">
        <v>2068</v>
      </c>
      <c r="R173" s="251">
        <v>2.3359095830752161</v>
      </c>
      <c r="S173" s="251" t="s">
        <v>2015</v>
      </c>
      <c r="T173" s="251" t="s">
        <v>2016</v>
      </c>
      <c r="U173" s="251" t="s">
        <v>1931</v>
      </c>
      <c r="V173" s="251" t="s">
        <v>1932</v>
      </c>
      <c r="X173" s="251">
        <v>0</v>
      </c>
    </row>
    <row r="174" spans="2:24" x14ac:dyDescent="0.2">
      <c r="B174" s="352" t="s">
        <v>876</v>
      </c>
      <c r="C174" s="352" t="s">
        <v>719</v>
      </c>
      <c r="F174" s="352" t="s">
        <v>1994</v>
      </c>
      <c r="G174" s="352" t="s">
        <v>2090</v>
      </c>
      <c r="H174" s="352" t="s">
        <v>1440</v>
      </c>
      <c r="I174" s="352" t="s">
        <v>988</v>
      </c>
      <c r="J174" s="352" t="s">
        <v>989</v>
      </c>
      <c r="K174" s="352">
        <v>2122</v>
      </c>
      <c r="L174" s="352" t="s">
        <v>1877</v>
      </c>
      <c r="M174" s="352" t="s">
        <v>2179</v>
      </c>
      <c r="N174" s="352" t="s">
        <v>2076</v>
      </c>
      <c r="O174" s="352">
        <v>8</v>
      </c>
      <c r="P174" s="352" t="s">
        <v>2085</v>
      </c>
      <c r="Q174" s="352" t="s">
        <v>2068</v>
      </c>
      <c r="R174" s="251">
        <v>733.25359777908511</v>
      </c>
      <c r="S174" s="251" t="s">
        <v>2015</v>
      </c>
      <c r="T174" s="251" t="s">
        <v>2016</v>
      </c>
      <c r="U174" s="251" t="s">
        <v>1931</v>
      </c>
      <c r="V174" s="251" t="s">
        <v>1932</v>
      </c>
      <c r="X174" s="251">
        <v>0</v>
      </c>
    </row>
    <row r="175" spans="2:24" x14ac:dyDescent="0.2">
      <c r="B175" s="352" t="s">
        <v>876</v>
      </c>
      <c r="C175" s="352" t="s">
        <v>719</v>
      </c>
      <c r="F175" s="352" t="s">
        <v>1994</v>
      </c>
      <c r="G175" s="352" t="s">
        <v>2090</v>
      </c>
      <c r="H175" s="352" t="s">
        <v>1444</v>
      </c>
      <c r="I175" s="352" t="s">
        <v>990</v>
      </c>
      <c r="J175" s="352" t="s">
        <v>991</v>
      </c>
      <c r="K175" s="352">
        <v>2132</v>
      </c>
      <c r="L175" s="352" t="s">
        <v>1880</v>
      </c>
      <c r="M175" s="352" t="s">
        <v>2180</v>
      </c>
      <c r="N175" s="352" t="s">
        <v>2076</v>
      </c>
      <c r="O175" s="352">
        <v>1</v>
      </c>
      <c r="P175" s="352" t="s">
        <v>2086</v>
      </c>
      <c r="Q175" s="352" t="s">
        <v>2066</v>
      </c>
      <c r="R175" s="251">
        <v>305.40462607916459</v>
      </c>
      <c r="S175" s="251" t="s">
        <v>2015</v>
      </c>
      <c r="T175" s="251" t="s">
        <v>2016</v>
      </c>
      <c r="U175" s="251" t="s">
        <v>1931</v>
      </c>
      <c r="V175" s="251" t="s">
        <v>1932</v>
      </c>
      <c r="X175" s="251">
        <v>0</v>
      </c>
    </row>
    <row r="176" spans="2:24" x14ac:dyDescent="0.2">
      <c r="B176" s="352" t="s">
        <v>876</v>
      </c>
      <c r="C176" s="352" t="s">
        <v>719</v>
      </c>
      <c r="F176" s="352" t="s">
        <v>1994</v>
      </c>
      <c r="G176" s="352" t="s">
        <v>2090</v>
      </c>
      <c r="H176" s="352" t="s">
        <v>1448</v>
      </c>
      <c r="I176" s="352" t="s">
        <v>994</v>
      </c>
      <c r="J176" s="352" t="s">
        <v>995</v>
      </c>
      <c r="K176" s="352">
        <v>2311</v>
      </c>
      <c r="L176" s="352" t="s">
        <v>1887</v>
      </c>
      <c r="M176" s="352" t="s">
        <v>2181</v>
      </c>
      <c r="N176" s="352" t="s">
        <v>2076</v>
      </c>
      <c r="O176" s="352">
        <v>8</v>
      </c>
      <c r="P176" s="352" t="s">
        <v>2085</v>
      </c>
      <c r="Q176" s="352" t="s">
        <v>2068</v>
      </c>
      <c r="R176" s="251">
        <v>0</v>
      </c>
      <c r="S176" s="251" t="s">
        <v>2015</v>
      </c>
      <c r="T176" s="251" t="s">
        <v>2054</v>
      </c>
      <c r="U176" s="251" t="s">
        <v>1943</v>
      </c>
      <c r="V176" s="251" t="s">
        <v>1944</v>
      </c>
      <c r="X176" s="251">
        <v>0</v>
      </c>
    </row>
    <row r="177" spans="2:24" x14ac:dyDescent="0.2">
      <c r="B177" s="352" t="s">
        <v>876</v>
      </c>
      <c r="C177" s="352" t="s">
        <v>719</v>
      </c>
      <c r="F177" s="352" t="s">
        <v>1994</v>
      </c>
      <c r="G177" s="352" t="s">
        <v>2090</v>
      </c>
      <c r="H177" s="352" t="s">
        <v>1452</v>
      </c>
      <c r="I177" s="352" t="s">
        <v>996</v>
      </c>
      <c r="J177" s="352" t="s">
        <v>997</v>
      </c>
      <c r="K177" s="352">
        <v>2311</v>
      </c>
      <c r="L177" s="352" t="s">
        <v>1887</v>
      </c>
      <c r="M177" s="352" t="s">
        <v>2182</v>
      </c>
      <c r="N177" s="352" t="s">
        <v>2076</v>
      </c>
      <c r="O177" s="352">
        <v>8</v>
      </c>
      <c r="P177" s="352" t="s">
        <v>2085</v>
      </c>
      <c r="Q177" s="352" t="s">
        <v>2068</v>
      </c>
      <c r="R177" s="251">
        <v>0</v>
      </c>
      <c r="S177" s="251" t="s">
        <v>2015</v>
      </c>
      <c r="T177" s="251" t="s">
        <v>2054</v>
      </c>
      <c r="U177" s="251" t="s">
        <v>1943</v>
      </c>
      <c r="V177" s="251" t="s">
        <v>1944</v>
      </c>
      <c r="X177" s="251">
        <v>0</v>
      </c>
    </row>
    <row r="178" spans="2:24" x14ac:dyDescent="0.2">
      <c r="B178" s="352" t="s">
        <v>876</v>
      </c>
      <c r="C178" s="352" t="s">
        <v>719</v>
      </c>
      <c r="F178" s="352" t="s">
        <v>1994</v>
      </c>
      <c r="G178" s="352" t="s">
        <v>2090</v>
      </c>
      <c r="H178" s="352" t="s">
        <v>1456</v>
      </c>
      <c r="I178" s="352" t="s">
        <v>998</v>
      </c>
      <c r="J178" s="352" t="s">
        <v>999</v>
      </c>
      <c r="K178" s="352">
        <v>2311</v>
      </c>
      <c r="L178" s="352" t="s">
        <v>1887</v>
      </c>
      <c r="M178" s="352" t="s">
        <v>2183</v>
      </c>
      <c r="N178" s="352" t="s">
        <v>2076</v>
      </c>
      <c r="O178" s="352">
        <v>8</v>
      </c>
      <c r="P178" s="352" t="s">
        <v>2085</v>
      </c>
      <c r="Q178" s="352" t="s">
        <v>2068</v>
      </c>
      <c r="R178" s="251">
        <v>0</v>
      </c>
      <c r="S178" s="251" t="s">
        <v>2015</v>
      </c>
      <c r="T178" s="251" t="s">
        <v>2054</v>
      </c>
      <c r="U178" s="251" t="s">
        <v>1943</v>
      </c>
      <c r="V178" s="251" t="s">
        <v>1944</v>
      </c>
      <c r="X178" s="251">
        <v>0</v>
      </c>
    </row>
    <row r="179" spans="2:24" x14ac:dyDescent="0.2">
      <c r="B179" s="352" t="s">
        <v>876</v>
      </c>
      <c r="C179" s="352" t="s">
        <v>719</v>
      </c>
      <c r="F179" s="352" t="s">
        <v>1994</v>
      </c>
      <c r="G179" s="352" t="s">
        <v>2090</v>
      </c>
      <c r="H179" s="352" t="s">
        <v>1456</v>
      </c>
      <c r="I179" s="352" t="s">
        <v>998</v>
      </c>
      <c r="J179" s="352" t="s">
        <v>999</v>
      </c>
      <c r="K179" s="352">
        <v>2312</v>
      </c>
      <c r="L179" s="352" t="s">
        <v>789</v>
      </c>
      <c r="M179" s="352" t="s">
        <v>2184</v>
      </c>
      <c r="N179" s="352" t="s">
        <v>2076</v>
      </c>
      <c r="O179" s="352">
        <v>8</v>
      </c>
      <c r="P179" s="352" t="s">
        <v>2085</v>
      </c>
      <c r="Q179" s="352" t="s">
        <v>2068</v>
      </c>
      <c r="R179" s="251">
        <v>0</v>
      </c>
      <c r="S179" s="251" t="s">
        <v>2015</v>
      </c>
      <c r="T179" s="251" t="s">
        <v>2054</v>
      </c>
      <c r="U179" s="251" t="s">
        <v>1943</v>
      </c>
      <c r="V179" s="251" t="s">
        <v>1944</v>
      </c>
      <c r="X179" s="251">
        <v>0</v>
      </c>
    </row>
    <row r="180" spans="2:24" x14ac:dyDescent="0.2">
      <c r="B180" s="352" t="s">
        <v>876</v>
      </c>
      <c r="C180" s="352" t="s">
        <v>719</v>
      </c>
      <c r="F180" s="352" t="s">
        <v>1994</v>
      </c>
      <c r="G180" s="352" t="s">
        <v>2090</v>
      </c>
      <c r="H180" s="352" t="s">
        <v>1460</v>
      </c>
      <c r="I180" s="352" t="s">
        <v>1000</v>
      </c>
      <c r="J180" s="352" t="s">
        <v>1001</v>
      </c>
      <c r="K180" s="352">
        <v>2141</v>
      </c>
      <c r="L180" s="352" t="s">
        <v>1882</v>
      </c>
      <c r="M180" s="352" t="s">
        <v>2185</v>
      </c>
      <c r="N180" s="352" t="s">
        <v>2076</v>
      </c>
      <c r="O180" s="352">
        <v>12</v>
      </c>
      <c r="P180" s="352" t="s">
        <v>2087</v>
      </c>
      <c r="Q180" s="352" t="s">
        <v>2070</v>
      </c>
      <c r="R180" s="251">
        <v>449.07936550766544</v>
      </c>
      <c r="S180" s="251" t="s">
        <v>2015</v>
      </c>
      <c r="T180" s="251" t="s">
        <v>2016</v>
      </c>
      <c r="U180" s="251" t="s">
        <v>1935</v>
      </c>
      <c r="V180" s="251" t="s">
        <v>1936</v>
      </c>
      <c r="X180" s="251">
        <v>0</v>
      </c>
    </row>
    <row r="181" spans="2:24" x14ac:dyDescent="0.2">
      <c r="B181" s="352" t="s">
        <v>876</v>
      </c>
      <c r="C181" s="352" t="s">
        <v>719</v>
      </c>
      <c r="F181" s="352" t="s">
        <v>1994</v>
      </c>
      <c r="G181" s="352" t="s">
        <v>2090</v>
      </c>
      <c r="H181" s="352" t="s">
        <v>1460</v>
      </c>
      <c r="I181" s="352" t="s">
        <v>1000</v>
      </c>
      <c r="J181" s="352" t="s">
        <v>1001</v>
      </c>
      <c r="K181" s="352">
        <v>2142</v>
      </c>
      <c r="L181" s="352" t="s">
        <v>780</v>
      </c>
      <c r="M181" s="352" t="s">
        <v>2186</v>
      </c>
      <c r="N181" s="352" t="s">
        <v>2076</v>
      </c>
      <c r="O181" s="352">
        <v>12</v>
      </c>
      <c r="P181" s="352" t="s">
        <v>2087</v>
      </c>
      <c r="Q181" s="352" t="s">
        <v>2070</v>
      </c>
      <c r="R181" s="251">
        <v>290.9266855676621</v>
      </c>
      <c r="S181" s="251" t="s">
        <v>2015</v>
      </c>
      <c r="T181" s="251" t="s">
        <v>2016</v>
      </c>
      <c r="U181" s="251">
        <v>0</v>
      </c>
      <c r="V181" s="251" t="s">
        <v>2153</v>
      </c>
      <c r="X181" s="251">
        <v>0</v>
      </c>
    </row>
    <row r="182" spans="2:24" x14ac:dyDescent="0.2">
      <c r="B182" s="352" t="s">
        <v>876</v>
      </c>
      <c r="C182" s="352" t="s">
        <v>719</v>
      </c>
      <c r="F182" s="352" t="s">
        <v>1994</v>
      </c>
      <c r="G182" s="352" t="s">
        <v>2090</v>
      </c>
      <c r="H182" s="352" t="s">
        <v>1464</v>
      </c>
      <c r="I182" s="352" t="s">
        <v>1002</v>
      </c>
      <c r="J182" s="352" t="s">
        <v>1003</v>
      </c>
      <c r="K182" s="352">
        <v>2113</v>
      </c>
      <c r="L182" s="352" t="s">
        <v>1875</v>
      </c>
      <c r="M182" s="352" t="s">
        <v>2187</v>
      </c>
      <c r="N182" s="352" t="s">
        <v>2076</v>
      </c>
      <c r="O182" s="352">
        <v>1</v>
      </c>
      <c r="P182" s="352" t="s">
        <v>2086</v>
      </c>
      <c r="Q182" s="352" t="s">
        <v>2066</v>
      </c>
      <c r="R182" s="251">
        <v>3.822397499577626</v>
      </c>
      <c r="S182" s="251" t="s">
        <v>2015</v>
      </c>
      <c r="T182" s="251" t="s">
        <v>2016</v>
      </c>
      <c r="U182" s="251" t="s">
        <v>1935</v>
      </c>
      <c r="V182" s="251" t="s">
        <v>1936</v>
      </c>
      <c r="X182" s="251">
        <v>0</v>
      </c>
    </row>
    <row r="183" spans="2:24" x14ac:dyDescent="0.2">
      <c r="B183" s="352" t="s">
        <v>876</v>
      </c>
      <c r="C183" s="352" t="s">
        <v>719</v>
      </c>
      <c r="F183" s="352" t="s">
        <v>1994</v>
      </c>
      <c r="G183" s="352" t="s">
        <v>2090</v>
      </c>
      <c r="H183" s="352" t="s">
        <v>1464</v>
      </c>
      <c r="I183" s="352" t="s">
        <v>1002</v>
      </c>
      <c r="J183" s="352" t="s">
        <v>1003</v>
      </c>
      <c r="K183" s="352">
        <v>2123</v>
      </c>
      <c r="L183" s="352" t="s">
        <v>1878</v>
      </c>
      <c r="M183" s="352" t="s">
        <v>2188</v>
      </c>
      <c r="N183" s="352" t="s">
        <v>2076</v>
      </c>
      <c r="O183" s="352">
        <v>1</v>
      </c>
      <c r="P183" s="352" t="s">
        <v>2086</v>
      </c>
      <c r="Q183" s="352" t="s">
        <v>2066</v>
      </c>
      <c r="R183" s="251">
        <v>45.691954436710823</v>
      </c>
      <c r="S183" s="251" t="s">
        <v>2015</v>
      </c>
      <c r="T183" s="251" t="s">
        <v>2016</v>
      </c>
      <c r="U183" s="251" t="s">
        <v>1935</v>
      </c>
      <c r="V183" s="251" t="s">
        <v>1936</v>
      </c>
      <c r="X183" s="251">
        <v>0</v>
      </c>
    </row>
    <row r="184" spans="2:24" x14ac:dyDescent="0.2">
      <c r="B184" s="352" t="s">
        <v>876</v>
      </c>
      <c r="C184" s="352" t="s">
        <v>719</v>
      </c>
      <c r="F184" s="352" t="s">
        <v>1994</v>
      </c>
      <c r="G184" s="352" t="s">
        <v>2090</v>
      </c>
      <c r="H184" s="352" t="s">
        <v>1468</v>
      </c>
      <c r="I184" s="352" t="s">
        <v>1006</v>
      </c>
      <c r="J184" s="352" t="s">
        <v>1007</v>
      </c>
      <c r="K184" s="352">
        <v>2133</v>
      </c>
      <c r="L184" s="352" t="s">
        <v>1881</v>
      </c>
      <c r="M184" s="352" t="s">
        <v>2189</v>
      </c>
      <c r="N184" s="352" t="s">
        <v>2076</v>
      </c>
      <c r="O184" s="352">
        <v>1</v>
      </c>
      <c r="P184" s="352" t="s">
        <v>2086</v>
      </c>
      <c r="Q184" s="352" t="s">
        <v>2066</v>
      </c>
      <c r="R184" s="251">
        <v>457.45463228170109</v>
      </c>
      <c r="S184" s="251" t="s">
        <v>2015</v>
      </c>
      <c r="T184" s="251" t="s">
        <v>2016</v>
      </c>
      <c r="U184" s="251" t="s">
        <v>1935</v>
      </c>
      <c r="V184" s="251" t="s">
        <v>1936</v>
      </c>
      <c r="X184" s="251">
        <v>0</v>
      </c>
    </row>
    <row r="185" spans="2:24" x14ac:dyDescent="0.2">
      <c r="B185" s="352" t="s">
        <v>876</v>
      </c>
      <c r="C185" s="352" t="s">
        <v>719</v>
      </c>
      <c r="F185" s="352" t="s">
        <v>1994</v>
      </c>
      <c r="G185" s="352" t="s">
        <v>2090</v>
      </c>
      <c r="H185" s="352" t="s">
        <v>1468</v>
      </c>
      <c r="I185" s="352" t="s">
        <v>1006</v>
      </c>
      <c r="J185" s="352" t="s">
        <v>1007</v>
      </c>
      <c r="K185" s="352">
        <v>2141</v>
      </c>
      <c r="L185" s="352" t="s">
        <v>1882</v>
      </c>
      <c r="M185" s="352" t="s">
        <v>2190</v>
      </c>
      <c r="N185" s="352" t="s">
        <v>2076</v>
      </c>
      <c r="O185" s="352">
        <v>1</v>
      </c>
      <c r="P185" s="352" t="s">
        <v>2086</v>
      </c>
      <c r="Q185" s="352" t="s">
        <v>2066</v>
      </c>
      <c r="R185" s="251">
        <v>13.889052541474189</v>
      </c>
      <c r="S185" s="251" t="s">
        <v>2015</v>
      </c>
      <c r="T185" s="251" t="s">
        <v>2016</v>
      </c>
      <c r="U185" s="251" t="s">
        <v>1935</v>
      </c>
      <c r="V185" s="251" t="s">
        <v>1936</v>
      </c>
      <c r="X185" s="251">
        <v>0</v>
      </c>
    </row>
    <row r="186" spans="2:24" x14ac:dyDescent="0.2">
      <c r="B186" s="352" t="s">
        <v>876</v>
      </c>
      <c r="C186" s="352" t="s">
        <v>719</v>
      </c>
      <c r="F186" s="352" t="s">
        <v>1994</v>
      </c>
      <c r="G186" s="352" t="s">
        <v>2090</v>
      </c>
      <c r="H186" s="352" t="s">
        <v>1468</v>
      </c>
      <c r="I186" s="352" t="s">
        <v>1006</v>
      </c>
      <c r="J186" s="352" t="s">
        <v>1007</v>
      </c>
      <c r="K186" s="352">
        <v>2221</v>
      </c>
      <c r="L186" s="352" t="s">
        <v>1884</v>
      </c>
      <c r="M186" s="352" t="s">
        <v>2191</v>
      </c>
      <c r="N186" s="352" t="s">
        <v>2076</v>
      </c>
      <c r="O186" s="352">
        <v>1</v>
      </c>
      <c r="P186" s="352" t="s">
        <v>2086</v>
      </c>
      <c r="Q186" s="352" t="s">
        <v>2066</v>
      </c>
      <c r="R186" s="251">
        <v>340.69542960090649</v>
      </c>
      <c r="S186" s="251" t="s">
        <v>2015</v>
      </c>
      <c r="T186" s="251" t="s">
        <v>2016</v>
      </c>
      <c r="U186" s="251" t="s">
        <v>1935</v>
      </c>
      <c r="V186" s="251" t="s">
        <v>1936</v>
      </c>
      <c r="X186" s="251">
        <v>0</v>
      </c>
    </row>
    <row r="187" spans="2:24" x14ac:dyDescent="0.2">
      <c r="B187" s="352" t="s">
        <v>876</v>
      </c>
      <c r="C187" s="352" t="s">
        <v>719</v>
      </c>
      <c r="F187" s="352" t="s">
        <v>1994</v>
      </c>
      <c r="G187" s="352" t="s">
        <v>2090</v>
      </c>
      <c r="H187" s="352" t="s">
        <v>1472</v>
      </c>
      <c r="I187" s="352" t="s">
        <v>1008</v>
      </c>
      <c r="J187" s="352" t="s">
        <v>1009</v>
      </c>
      <c r="K187" s="352">
        <v>2223</v>
      </c>
      <c r="L187" s="352" t="s">
        <v>1886</v>
      </c>
      <c r="M187" s="352" t="s">
        <v>2192</v>
      </c>
      <c r="N187" s="352" t="s">
        <v>2076</v>
      </c>
      <c r="O187" s="352">
        <v>2</v>
      </c>
      <c r="P187" s="352" t="s">
        <v>2088</v>
      </c>
      <c r="Q187" s="352" t="s">
        <v>2072</v>
      </c>
      <c r="R187" s="251">
        <v>0</v>
      </c>
      <c r="S187" s="251" t="s">
        <v>2193</v>
      </c>
      <c r="T187" s="251" t="s">
        <v>2054</v>
      </c>
      <c r="U187" s="251" t="s">
        <v>1937</v>
      </c>
      <c r="V187" s="251" t="s">
        <v>1938</v>
      </c>
      <c r="X187" s="251">
        <v>0</v>
      </c>
    </row>
    <row r="188" spans="2:24" x14ac:dyDescent="0.2">
      <c r="B188" s="352" t="s">
        <v>876</v>
      </c>
      <c r="C188" s="352" t="s">
        <v>719</v>
      </c>
      <c r="F188" s="352" t="s">
        <v>1994</v>
      </c>
      <c r="G188" s="352" t="s">
        <v>2090</v>
      </c>
      <c r="H188" s="352" t="s">
        <v>1476</v>
      </c>
      <c r="I188" s="352" t="s">
        <v>1010</v>
      </c>
      <c r="J188" s="352" t="s">
        <v>1011</v>
      </c>
      <c r="K188" s="352">
        <v>2222</v>
      </c>
      <c r="L188" s="352" t="s">
        <v>1885</v>
      </c>
      <c r="M188" s="352" t="s">
        <v>2194</v>
      </c>
      <c r="N188" s="352" t="s">
        <v>2076</v>
      </c>
      <c r="O188" s="352">
        <v>2</v>
      </c>
      <c r="P188" s="352" t="s">
        <v>2088</v>
      </c>
      <c r="Q188" s="352" t="s">
        <v>2072</v>
      </c>
      <c r="R188" s="251">
        <v>0</v>
      </c>
      <c r="S188" s="251" t="s">
        <v>2193</v>
      </c>
      <c r="T188" s="251" t="s">
        <v>2054</v>
      </c>
      <c r="U188" s="251" t="s">
        <v>1939</v>
      </c>
      <c r="V188" s="251" t="s">
        <v>1940</v>
      </c>
      <c r="X188" s="251">
        <v>0</v>
      </c>
    </row>
    <row r="189" spans="2:24" x14ac:dyDescent="0.2">
      <c r="B189" s="352" t="s">
        <v>876</v>
      </c>
      <c r="C189" s="352" t="s">
        <v>719</v>
      </c>
      <c r="F189" s="352" t="s">
        <v>1994</v>
      </c>
      <c r="G189" s="352" t="s">
        <v>2090</v>
      </c>
      <c r="H189" s="352" t="s">
        <v>1480</v>
      </c>
      <c r="I189" s="352" t="s">
        <v>1012</v>
      </c>
      <c r="J189" s="352" t="s">
        <v>1013</v>
      </c>
      <c r="K189" s="352">
        <v>2222</v>
      </c>
      <c r="L189" s="352" t="s">
        <v>1885</v>
      </c>
      <c r="M189" s="352" t="s">
        <v>2195</v>
      </c>
      <c r="N189" s="352" t="s">
        <v>2076</v>
      </c>
      <c r="O189" s="352">
        <v>2</v>
      </c>
      <c r="P189" s="352" t="s">
        <v>2088</v>
      </c>
      <c r="Q189" s="352" t="s">
        <v>2072</v>
      </c>
      <c r="R189" s="251">
        <v>0</v>
      </c>
      <c r="S189" s="251" t="s">
        <v>2193</v>
      </c>
      <c r="T189" s="251" t="s">
        <v>2054</v>
      </c>
      <c r="U189" s="251" t="s">
        <v>1939</v>
      </c>
      <c r="V189" s="251" t="s">
        <v>1940</v>
      </c>
      <c r="X189" s="251">
        <v>0</v>
      </c>
    </row>
    <row r="190" spans="2:24" x14ac:dyDescent="0.2">
      <c r="B190" s="352" t="s">
        <v>876</v>
      </c>
      <c r="C190" s="352" t="s">
        <v>719</v>
      </c>
      <c r="F190" s="352" t="s">
        <v>1994</v>
      </c>
      <c r="G190" s="352" t="s">
        <v>2090</v>
      </c>
      <c r="H190" s="352" t="s">
        <v>1484</v>
      </c>
      <c r="I190" s="352" t="s">
        <v>1014</v>
      </c>
      <c r="J190" s="352" t="s">
        <v>1893</v>
      </c>
      <c r="K190" s="352">
        <v>2131</v>
      </c>
      <c r="L190" s="352" t="s">
        <v>1879</v>
      </c>
      <c r="M190" s="352" t="s">
        <v>2196</v>
      </c>
      <c r="N190" s="352" t="s">
        <v>2076</v>
      </c>
      <c r="O190" s="352">
        <v>8</v>
      </c>
      <c r="P190" s="352" t="s">
        <v>2085</v>
      </c>
      <c r="Q190" s="352" t="s">
        <v>2068</v>
      </c>
      <c r="R190" s="251">
        <v>0</v>
      </c>
      <c r="S190" s="251" t="s">
        <v>2015</v>
      </c>
      <c r="T190" s="251" t="s">
        <v>2054</v>
      </c>
      <c r="U190" s="251" t="s">
        <v>1929</v>
      </c>
      <c r="V190" s="251" t="s">
        <v>1930</v>
      </c>
      <c r="X190" s="251">
        <v>0</v>
      </c>
    </row>
    <row r="191" spans="2:24" x14ac:dyDescent="0.2">
      <c r="B191" s="352" t="s">
        <v>876</v>
      </c>
      <c r="C191" s="352" t="s">
        <v>719</v>
      </c>
      <c r="F191" s="352" t="s">
        <v>1994</v>
      </c>
      <c r="G191" s="352" t="s">
        <v>2090</v>
      </c>
      <c r="H191" s="352" t="s">
        <v>1484</v>
      </c>
      <c r="I191" s="352" t="s">
        <v>1014</v>
      </c>
      <c r="J191" s="352" t="s">
        <v>1893</v>
      </c>
      <c r="K191" s="352">
        <v>2132</v>
      </c>
      <c r="L191" s="352" t="s">
        <v>1880</v>
      </c>
      <c r="M191" s="352" t="s">
        <v>2197</v>
      </c>
      <c r="N191" s="352" t="s">
        <v>2076</v>
      </c>
      <c r="O191" s="352">
        <v>8</v>
      </c>
      <c r="P191" s="352" t="s">
        <v>2085</v>
      </c>
      <c r="Q191" s="352" t="s">
        <v>2068</v>
      </c>
      <c r="R191" s="251">
        <v>0</v>
      </c>
      <c r="S191" s="251" t="s">
        <v>2015</v>
      </c>
      <c r="T191" s="251" t="s">
        <v>2054</v>
      </c>
      <c r="U191" s="251" t="s">
        <v>1931</v>
      </c>
      <c r="V191" s="251" t="s">
        <v>1932</v>
      </c>
      <c r="X191" s="251">
        <v>0</v>
      </c>
    </row>
    <row r="192" spans="2:24" x14ac:dyDescent="0.2">
      <c r="B192" s="352" t="s">
        <v>876</v>
      </c>
      <c r="C192" s="352" t="s">
        <v>719</v>
      </c>
      <c r="F192" s="352" t="s">
        <v>1994</v>
      </c>
      <c r="G192" s="352" t="s">
        <v>2090</v>
      </c>
      <c r="H192" s="352" t="s">
        <v>1484</v>
      </c>
      <c r="I192" s="352" t="s">
        <v>1014</v>
      </c>
      <c r="J192" s="352" t="s">
        <v>1893</v>
      </c>
      <c r="K192" s="352">
        <v>2133</v>
      </c>
      <c r="L192" s="352" t="s">
        <v>1881</v>
      </c>
      <c r="M192" s="352" t="s">
        <v>2198</v>
      </c>
      <c r="N192" s="352" t="s">
        <v>2076</v>
      </c>
      <c r="O192" s="352">
        <v>8</v>
      </c>
      <c r="P192" s="352" t="s">
        <v>2085</v>
      </c>
      <c r="Q192" s="352" t="s">
        <v>2068</v>
      </c>
      <c r="R192" s="251">
        <v>0</v>
      </c>
      <c r="S192" s="251" t="s">
        <v>2015</v>
      </c>
      <c r="T192" s="251" t="s">
        <v>2054</v>
      </c>
      <c r="U192" s="251" t="s">
        <v>1935</v>
      </c>
      <c r="V192" s="251" t="s">
        <v>1936</v>
      </c>
      <c r="X192" s="251">
        <v>0</v>
      </c>
    </row>
    <row r="193" spans="2:24" x14ac:dyDescent="0.2">
      <c r="B193" s="352" t="s">
        <v>876</v>
      </c>
      <c r="C193" s="352" t="s">
        <v>719</v>
      </c>
      <c r="F193" s="352" t="s">
        <v>1994</v>
      </c>
      <c r="G193" s="352" t="s">
        <v>2090</v>
      </c>
      <c r="H193" s="352" t="s">
        <v>1484</v>
      </c>
      <c r="I193" s="352" t="s">
        <v>1014</v>
      </c>
      <c r="J193" s="352" t="s">
        <v>1893</v>
      </c>
      <c r="K193" s="352">
        <v>2134</v>
      </c>
      <c r="L193" s="352" t="s">
        <v>775</v>
      </c>
      <c r="M193" s="352" t="s">
        <v>2199</v>
      </c>
      <c r="N193" s="352" t="s">
        <v>2076</v>
      </c>
      <c r="O193" s="352">
        <v>8</v>
      </c>
      <c r="P193" s="352" t="s">
        <v>2085</v>
      </c>
      <c r="Q193" s="352" t="s">
        <v>2068</v>
      </c>
      <c r="R193" s="251">
        <v>0</v>
      </c>
      <c r="S193" s="251" t="s">
        <v>2015</v>
      </c>
      <c r="T193" s="251" t="s">
        <v>2054</v>
      </c>
      <c r="U193" s="251">
        <v>0</v>
      </c>
      <c r="V193" s="251" t="s">
        <v>2153</v>
      </c>
      <c r="X193" s="251">
        <v>0</v>
      </c>
    </row>
    <row r="194" spans="2:24" x14ac:dyDescent="0.2">
      <c r="B194" s="352" t="s">
        <v>876</v>
      </c>
      <c r="C194" s="352" t="s">
        <v>719</v>
      </c>
      <c r="F194" s="352" t="s">
        <v>1994</v>
      </c>
      <c r="G194" s="352" t="s">
        <v>2090</v>
      </c>
      <c r="H194" s="352" t="s">
        <v>1484</v>
      </c>
      <c r="I194" s="352" t="s">
        <v>1014</v>
      </c>
      <c r="J194" s="352" t="s">
        <v>1893</v>
      </c>
      <c r="K194" s="352">
        <v>2141</v>
      </c>
      <c r="L194" s="352" t="s">
        <v>1882</v>
      </c>
      <c r="M194" s="352" t="s">
        <v>2200</v>
      </c>
      <c r="N194" s="352" t="s">
        <v>2076</v>
      </c>
      <c r="O194" s="352">
        <v>8</v>
      </c>
      <c r="P194" s="352" t="s">
        <v>2085</v>
      </c>
      <c r="Q194" s="352" t="s">
        <v>2068</v>
      </c>
      <c r="R194" s="251">
        <v>0</v>
      </c>
      <c r="S194" s="251" t="s">
        <v>2015</v>
      </c>
      <c r="T194" s="251" t="s">
        <v>2054</v>
      </c>
      <c r="U194" s="251" t="s">
        <v>1935</v>
      </c>
      <c r="V194" s="251" t="s">
        <v>1936</v>
      </c>
      <c r="X194" s="251">
        <v>0</v>
      </c>
    </row>
    <row r="195" spans="2:24" x14ac:dyDescent="0.2">
      <c r="B195" s="352" t="s">
        <v>876</v>
      </c>
      <c r="C195" s="352" t="s">
        <v>719</v>
      </c>
      <c r="F195" s="352" t="s">
        <v>1994</v>
      </c>
      <c r="G195" s="352" t="s">
        <v>2090</v>
      </c>
      <c r="H195" s="352" t="s">
        <v>1484</v>
      </c>
      <c r="I195" s="352" t="s">
        <v>1014</v>
      </c>
      <c r="J195" s="352" t="s">
        <v>1893</v>
      </c>
      <c r="K195" s="352">
        <v>2211</v>
      </c>
      <c r="L195" s="352" t="s">
        <v>1883</v>
      </c>
      <c r="M195" s="352" t="s">
        <v>2201</v>
      </c>
      <c r="N195" s="352" t="s">
        <v>2076</v>
      </c>
      <c r="O195" s="352">
        <v>8</v>
      </c>
      <c r="P195" s="352" t="s">
        <v>2085</v>
      </c>
      <c r="Q195" s="352" t="s">
        <v>2068</v>
      </c>
      <c r="R195" s="251">
        <v>0</v>
      </c>
      <c r="S195" s="251" t="s">
        <v>2015</v>
      </c>
      <c r="T195" s="251" t="s">
        <v>2054</v>
      </c>
      <c r="U195" s="251" t="s">
        <v>1929</v>
      </c>
      <c r="V195" s="251" t="s">
        <v>1930</v>
      </c>
      <c r="X195" s="251">
        <v>0</v>
      </c>
    </row>
    <row r="196" spans="2:24" x14ac:dyDescent="0.2">
      <c r="B196" s="352" t="s">
        <v>876</v>
      </c>
      <c r="C196" s="352" t="s">
        <v>719</v>
      </c>
      <c r="F196" s="352" t="s">
        <v>1994</v>
      </c>
      <c r="G196" s="352" t="s">
        <v>2090</v>
      </c>
      <c r="H196" s="352" t="s">
        <v>1484</v>
      </c>
      <c r="I196" s="352" t="s">
        <v>1014</v>
      </c>
      <c r="J196" s="352" t="s">
        <v>1893</v>
      </c>
      <c r="K196" s="352">
        <v>2221</v>
      </c>
      <c r="L196" s="352" t="s">
        <v>1884</v>
      </c>
      <c r="M196" s="352" t="s">
        <v>2202</v>
      </c>
      <c r="N196" s="352" t="s">
        <v>2076</v>
      </c>
      <c r="O196" s="352">
        <v>8</v>
      </c>
      <c r="P196" s="352" t="s">
        <v>2085</v>
      </c>
      <c r="Q196" s="352" t="s">
        <v>2068</v>
      </c>
      <c r="R196" s="251">
        <v>0</v>
      </c>
      <c r="S196" s="251" t="s">
        <v>2015</v>
      </c>
      <c r="T196" s="251" t="s">
        <v>2054</v>
      </c>
      <c r="U196" s="251" t="s">
        <v>1935</v>
      </c>
      <c r="V196" s="251" t="s">
        <v>1936</v>
      </c>
      <c r="X196" s="251">
        <v>0</v>
      </c>
    </row>
    <row r="197" spans="2:24" x14ac:dyDescent="0.2">
      <c r="B197" s="352" t="s">
        <v>876</v>
      </c>
      <c r="C197" s="352" t="s">
        <v>719</v>
      </c>
      <c r="F197" s="352" t="s">
        <v>1994</v>
      </c>
      <c r="G197" s="352" t="s">
        <v>2090</v>
      </c>
      <c r="H197" s="352" t="s">
        <v>1488</v>
      </c>
      <c r="I197" s="352" t="s">
        <v>1015</v>
      </c>
      <c r="J197" s="352" t="s">
        <v>1016</v>
      </c>
      <c r="K197" s="352">
        <v>3111</v>
      </c>
      <c r="L197" s="352" t="s">
        <v>763</v>
      </c>
      <c r="M197" s="352" t="s">
        <v>2203</v>
      </c>
      <c r="N197" s="352" t="s">
        <v>2076</v>
      </c>
      <c r="O197" s="352">
        <v>1</v>
      </c>
      <c r="P197" s="352" t="s">
        <v>2086</v>
      </c>
      <c r="Q197" s="352" t="s">
        <v>2066</v>
      </c>
      <c r="R197" s="251">
        <v>0</v>
      </c>
      <c r="S197" s="251"/>
      <c r="T197" s="251" t="s">
        <v>2054</v>
      </c>
      <c r="U197" s="251" t="s">
        <v>1945</v>
      </c>
      <c r="V197" s="251" t="s">
        <v>709</v>
      </c>
      <c r="X197" s="251">
        <v>0</v>
      </c>
    </row>
    <row r="198" spans="2:24" x14ac:dyDescent="0.2">
      <c r="B198" s="352" t="s">
        <v>876</v>
      </c>
      <c r="C198" s="352" t="s">
        <v>719</v>
      </c>
      <c r="F198" s="352" t="s">
        <v>1994</v>
      </c>
      <c r="G198" s="352" t="s">
        <v>2090</v>
      </c>
      <c r="H198" s="352" t="s">
        <v>1488</v>
      </c>
      <c r="I198" s="352" t="s">
        <v>1015</v>
      </c>
      <c r="J198" s="352" t="s">
        <v>1016</v>
      </c>
      <c r="K198" s="352">
        <v>3121</v>
      </c>
      <c r="L198" s="352" t="s">
        <v>766</v>
      </c>
      <c r="M198" s="352" t="s">
        <v>2204</v>
      </c>
      <c r="N198" s="352" t="s">
        <v>2076</v>
      </c>
      <c r="O198" s="352">
        <v>1</v>
      </c>
      <c r="P198" s="352" t="s">
        <v>2086</v>
      </c>
      <c r="Q198" s="352" t="s">
        <v>2066</v>
      </c>
      <c r="R198" s="251">
        <v>0</v>
      </c>
      <c r="S198" s="251"/>
      <c r="T198" s="251" t="s">
        <v>2054</v>
      </c>
      <c r="U198" s="251" t="s">
        <v>1945</v>
      </c>
      <c r="V198" s="251" t="s">
        <v>709</v>
      </c>
      <c r="X198" s="251">
        <v>0</v>
      </c>
    </row>
    <row r="199" spans="2:24" x14ac:dyDescent="0.2">
      <c r="B199" s="352" t="s">
        <v>876</v>
      </c>
      <c r="C199" s="352" t="s">
        <v>719</v>
      </c>
      <c r="F199" s="352" t="s">
        <v>1994</v>
      </c>
      <c r="G199" s="352" t="s">
        <v>2090</v>
      </c>
      <c r="H199" s="352" t="s">
        <v>1492</v>
      </c>
      <c r="I199" s="352" t="s">
        <v>1017</v>
      </c>
      <c r="J199" s="352" t="s">
        <v>1018</v>
      </c>
      <c r="K199" s="352">
        <v>4111</v>
      </c>
      <c r="L199" s="352" t="s">
        <v>770</v>
      </c>
      <c r="M199" s="352" t="s">
        <v>2205</v>
      </c>
      <c r="N199" s="352" t="s">
        <v>2076</v>
      </c>
      <c r="O199" s="352">
        <v>11</v>
      </c>
      <c r="P199" s="352" t="s">
        <v>2084</v>
      </c>
      <c r="Q199" s="352" t="s">
        <v>2064</v>
      </c>
      <c r="R199" s="251">
        <v>129.02965837694433</v>
      </c>
      <c r="S199" s="251" t="s">
        <v>2015</v>
      </c>
      <c r="T199" s="251" t="s">
        <v>2016</v>
      </c>
      <c r="U199" s="251" t="s">
        <v>1946</v>
      </c>
      <c r="V199" s="251" t="s">
        <v>1947</v>
      </c>
      <c r="X199" s="251">
        <v>0</v>
      </c>
    </row>
    <row r="200" spans="2:24" x14ac:dyDescent="0.2">
      <c r="B200" s="352" t="s">
        <v>876</v>
      </c>
      <c r="C200" s="352" t="s">
        <v>719</v>
      </c>
      <c r="F200" s="352" t="s">
        <v>1994</v>
      </c>
      <c r="G200" s="352" t="s">
        <v>2090</v>
      </c>
      <c r="H200" s="352" t="s">
        <v>1492</v>
      </c>
      <c r="I200" s="352" t="s">
        <v>1017</v>
      </c>
      <c r="J200" s="352" t="s">
        <v>1018</v>
      </c>
      <c r="K200" s="352">
        <v>4121</v>
      </c>
      <c r="L200" s="352" t="s">
        <v>772</v>
      </c>
      <c r="M200" s="352" t="s">
        <v>2206</v>
      </c>
      <c r="N200" s="352" t="s">
        <v>2076</v>
      </c>
      <c r="O200" s="352">
        <v>11</v>
      </c>
      <c r="P200" s="352" t="s">
        <v>2084</v>
      </c>
      <c r="Q200" s="352" t="s">
        <v>2064</v>
      </c>
      <c r="R200" s="251">
        <v>238.4763907839899</v>
      </c>
      <c r="S200" s="251" t="s">
        <v>2015</v>
      </c>
      <c r="T200" s="251" t="s">
        <v>2016</v>
      </c>
      <c r="U200" s="251" t="s">
        <v>1946</v>
      </c>
      <c r="V200" s="251" t="s">
        <v>1947</v>
      </c>
      <c r="X200" s="251">
        <v>0</v>
      </c>
    </row>
    <row r="201" spans="2:24" x14ac:dyDescent="0.2">
      <c r="B201" s="352" t="s">
        <v>876</v>
      </c>
      <c r="C201" s="352" t="s">
        <v>719</v>
      </c>
      <c r="F201" s="352" t="s">
        <v>1994</v>
      </c>
      <c r="G201" s="352" t="s">
        <v>2090</v>
      </c>
      <c r="H201" s="352" t="s">
        <v>1496</v>
      </c>
      <c r="I201" s="352" t="s">
        <v>1019</v>
      </c>
      <c r="J201" s="352" t="s">
        <v>1020</v>
      </c>
      <c r="K201" s="352">
        <v>4231</v>
      </c>
      <c r="L201" s="352" t="s">
        <v>774</v>
      </c>
      <c r="M201" s="352" t="s">
        <v>2207</v>
      </c>
      <c r="N201" s="352" t="s">
        <v>2076</v>
      </c>
      <c r="O201" s="352">
        <v>1</v>
      </c>
      <c r="P201" s="352" t="s">
        <v>2086</v>
      </c>
      <c r="Q201" s="352" t="s">
        <v>2066</v>
      </c>
      <c r="R201" s="251">
        <v>2013.13698218234</v>
      </c>
      <c r="S201" s="251" t="s">
        <v>2015</v>
      </c>
      <c r="T201" s="251" t="s">
        <v>2016</v>
      </c>
      <c r="U201" s="251" t="s">
        <v>1948</v>
      </c>
      <c r="V201" s="251" t="s">
        <v>1949</v>
      </c>
      <c r="X201" s="251">
        <v>0</v>
      </c>
    </row>
    <row r="202" spans="2:24" x14ac:dyDescent="0.2">
      <c r="B202" s="352" t="s">
        <v>876</v>
      </c>
      <c r="C202" s="352" t="s">
        <v>719</v>
      </c>
      <c r="F202" s="352" t="s">
        <v>1994</v>
      </c>
      <c r="G202" s="352" t="s">
        <v>2090</v>
      </c>
      <c r="H202" s="352" t="s">
        <v>1496</v>
      </c>
      <c r="I202" s="352" t="s">
        <v>1019</v>
      </c>
      <c r="J202" s="352" t="s">
        <v>1020</v>
      </c>
      <c r="K202" s="352">
        <v>4241</v>
      </c>
      <c r="L202" s="352" t="s">
        <v>777</v>
      </c>
      <c r="M202" s="352" t="s">
        <v>2208</v>
      </c>
      <c r="N202" s="352" t="s">
        <v>2076</v>
      </c>
      <c r="O202" s="352">
        <v>1</v>
      </c>
      <c r="P202" s="352" t="s">
        <v>2086</v>
      </c>
      <c r="Q202" s="352" t="s">
        <v>2066</v>
      </c>
      <c r="R202" s="251">
        <v>99.54907887957205</v>
      </c>
      <c r="S202" s="251" t="s">
        <v>2015</v>
      </c>
      <c r="T202" s="251" t="s">
        <v>2016</v>
      </c>
      <c r="U202" s="251" t="s">
        <v>1950</v>
      </c>
      <c r="V202" s="251" t="s">
        <v>1951</v>
      </c>
      <c r="X202" s="251">
        <v>0</v>
      </c>
    </row>
    <row r="203" spans="2:24" x14ac:dyDescent="0.2">
      <c r="B203" s="352" t="s">
        <v>876</v>
      </c>
      <c r="C203" s="352" t="s">
        <v>719</v>
      </c>
      <c r="F203" s="352" t="s">
        <v>1994</v>
      </c>
      <c r="G203" s="352" t="s">
        <v>2090</v>
      </c>
      <c r="H203" s="352" t="s">
        <v>1496</v>
      </c>
      <c r="I203" s="352" t="s">
        <v>1019</v>
      </c>
      <c r="J203" s="352" t="s">
        <v>1020</v>
      </c>
      <c r="K203" s="352">
        <v>4311</v>
      </c>
      <c r="L203" s="352" t="s">
        <v>779</v>
      </c>
      <c r="M203" s="352" t="s">
        <v>2209</v>
      </c>
      <c r="N203" s="352" t="s">
        <v>2076</v>
      </c>
      <c r="O203" s="352">
        <v>1</v>
      </c>
      <c r="P203" s="352" t="s">
        <v>2086</v>
      </c>
      <c r="Q203" s="352" t="s">
        <v>2066</v>
      </c>
      <c r="R203" s="251">
        <v>4.3090048185600018</v>
      </c>
      <c r="S203" s="251" t="s">
        <v>2015</v>
      </c>
      <c r="T203" s="251" t="s">
        <v>2016</v>
      </c>
      <c r="U203" s="251" t="s">
        <v>1952</v>
      </c>
      <c r="V203" s="251" t="s">
        <v>1953</v>
      </c>
      <c r="X203" s="251">
        <v>0</v>
      </c>
    </row>
    <row r="204" spans="2:24" x14ac:dyDescent="0.2">
      <c r="B204" s="352" t="s">
        <v>876</v>
      </c>
      <c r="C204" s="352" t="s">
        <v>719</v>
      </c>
      <c r="F204" s="352" t="s">
        <v>1994</v>
      </c>
      <c r="G204" s="352" t="s">
        <v>2090</v>
      </c>
      <c r="H204" s="352" t="s">
        <v>1500</v>
      </c>
      <c r="I204" s="352" t="s">
        <v>1021</v>
      </c>
      <c r="J204" s="352" t="s">
        <v>751</v>
      </c>
      <c r="K204" s="352">
        <v>4231</v>
      </c>
      <c r="L204" s="352" t="s">
        <v>774</v>
      </c>
      <c r="M204" s="352" t="s">
        <v>2210</v>
      </c>
      <c r="N204" s="352" t="s">
        <v>2076</v>
      </c>
      <c r="O204" s="352">
        <v>20</v>
      </c>
      <c r="P204" s="352" t="s">
        <v>2089</v>
      </c>
      <c r="Q204" s="352" t="s">
        <v>2074</v>
      </c>
      <c r="R204" s="251">
        <v>63.572746805758101</v>
      </c>
      <c r="S204" s="251" t="s">
        <v>2015</v>
      </c>
      <c r="T204" s="251" t="s">
        <v>2016</v>
      </c>
      <c r="U204" s="251" t="s">
        <v>1948</v>
      </c>
      <c r="V204" s="251" t="s">
        <v>1949</v>
      </c>
      <c r="X204" s="251">
        <v>0</v>
      </c>
    </row>
    <row r="205" spans="2:24" x14ac:dyDescent="0.2">
      <c r="B205" s="352" t="s">
        <v>876</v>
      </c>
      <c r="C205" s="352" t="s">
        <v>719</v>
      </c>
      <c r="F205" s="352" t="s">
        <v>1994</v>
      </c>
      <c r="G205" s="352" t="s">
        <v>2090</v>
      </c>
      <c r="H205" s="352" t="s">
        <v>1500</v>
      </c>
      <c r="I205" s="352" t="s">
        <v>1021</v>
      </c>
      <c r="J205" s="352" t="s">
        <v>751</v>
      </c>
      <c r="K205" s="352">
        <v>4241</v>
      </c>
      <c r="L205" s="352" t="s">
        <v>777</v>
      </c>
      <c r="M205" s="352" t="s">
        <v>2211</v>
      </c>
      <c r="N205" s="352" t="s">
        <v>2076</v>
      </c>
      <c r="O205" s="352">
        <v>20</v>
      </c>
      <c r="P205" s="352" t="s">
        <v>2089</v>
      </c>
      <c r="Q205" s="352" t="s">
        <v>2074</v>
      </c>
      <c r="R205" s="251">
        <v>3152.3874978531148</v>
      </c>
      <c r="S205" s="251" t="s">
        <v>2015</v>
      </c>
      <c r="T205" s="251" t="s">
        <v>2016</v>
      </c>
      <c r="U205" s="251" t="s">
        <v>1950</v>
      </c>
      <c r="V205" s="251" t="s">
        <v>1951</v>
      </c>
      <c r="X205" s="251">
        <v>0</v>
      </c>
    </row>
    <row r="206" spans="2:24" x14ac:dyDescent="0.2">
      <c r="B206" s="352" t="s">
        <v>876</v>
      </c>
      <c r="C206" s="352" t="s">
        <v>719</v>
      </c>
      <c r="F206" s="352" t="s">
        <v>1994</v>
      </c>
      <c r="G206" s="352" t="s">
        <v>2090</v>
      </c>
      <c r="H206" s="352" t="s">
        <v>1500</v>
      </c>
      <c r="I206" s="352" t="s">
        <v>1021</v>
      </c>
      <c r="J206" s="352" t="s">
        <v>751</v>
      </c>
      <c r="K206" s="352">
        <v>4311</v>
      </c>
      <c r="L206" s="352" t="s">
        <v>779</v>
      </c>
      <c r="M206" s="352" t="s">
        <v>2212</v>
      </c>
      <c r="N206" s="352" t="s">
        <v>2076</v>
      </c>
      <c r="O206" s="352">
        <v>20</v>
      </c>
      <c r="P206" s="352" t="s">
        <v>2089</v>
      </c>
      <c r="Q206" s="352" t="s">
        <v>2074</v>
      </c>
      <c r="R206" s="251">
        <v>136.45181925440005</v>
      </c>
      <c r="S206" s="251" t="s">
        <v>2015</v>
      </c>
      <c r="T206" s="251" t="s">
        <v>2016</v>
      </c>
      <c r="U206" s="251" t="s">
        <v>1952</v>
      </c>
      <c r="V206" s="251" t="s">
        <v>1953</v>
      </c>
      <c r="X206" s="251">
        <v>0</v>
      </c>
    </row>
    <row r="207" spans="2:24" x14ac:dyDescent="0.2">
      <c r="B207" s="352" t="s">
        <v>876</v>
      </c>
      <c r="C207" s="352" t="s">
        <v>754</v>
      </c>
      <c r="F207" s="352" t="s">
        <v>1999</v>
      </c>
      <c r="G207" s="352" t="s">
        <v>2118</v>
      </c>
      <c r="H207" s="352" t="s">
        <v>1639</v>
      </c>
      <c r="I207" s="352" t="s">
        <v>969</v>
      </c>
      <c r="J207" s="352" t="s">
        <v>970</v>
      </c>
      <c r="K207" s="352">
        <v>1111</v>
      </c>
      <c r="L207" s="352" t="s">
        <v>699</v>
      </c>
      <c r="M207" s="352" t="s">
        <v>2147</v>
      </c>
      <c r="N207" s="352" t="s">
        <v>2048</v>
      </c>
      <c r="O207" s="352">
        <v>6</v>
      </c>
      <c r="P207" s="352" t="s">
        <v>2049</v>
      </c>
      <c r="Q207" s="352" t="s">
        <v>2050</v>
      </c>
      <c r="R207" s="251">
        <v>18809.189368531246</v>
      </c>
      <c r="S207" s="251" t="s">
        <v>2015</v>
      </c>
      <c r="T207" s="251" t="s">
        <v>2016</v>
      </c>
      <c r="U207" s="251" t="s">
        <v>1914</v>
      </c>
      <c r="V207" s="251" t="s">
        <v>1915</v>
      </c>
      <c r="X207" s="251">
        <v>0</v>
      </c>
    </row>
    <row r="208" spans="2:24" x14ac:dyDescent="0.2">
      <c r="B208" s="352" t="s">
        <v>876</v>
      </c>
      <c r="C208" s="352" t="s">
        <v>754</v>
      </c>
      <c r="F208" s="352" t="s">
        <v>1999</v>
      </c>
      <c r="G208" s="352" t="s">
        <v>2118</v>
      </c>
      <c r="H208" s="352" t="s">
        <v>1639</v>
      </c>
      <c r="I208" s="352" t="s">
        <v>969</v>
      </c>
      <c r="J208" s="352" t="s">
        <v>970</v>
      </c>
      <c r="K208" s="352">
        <v>1231</v>
      </c>
      <c r="L208" s="352" t="s">
        <v>726</v>
      </c>
      <c r="M208" s="352" t="s">
        <v>2148</v>
      </c>
      <c r="N208" s="352" t="s">
        <v>2048</v>
      </c>
      <c r="O208" s="352">
        <v>6</v>
      </c>
      <c r="P208" s="352" t="s">
        <v>2049</v>
      </c>
      <c r="Q208" s="352" t="s">
        <v>2050</v>
      </c>
      <c r="R208" s="251">
        <v>0</v>
      </c>
      <c r="S208" s="251" t="s">
        <v>2015</v>
      </c>
      <c r="T208" s="251" t="s">
        <v>2054</v>
      </c>
      <c r="U208" s="251" t="s">
        <v>1920</v>
      </c>
      <c r="V208" s="251" t="s">
        <v>726</v>
      </c>
      <c r="X208" s="251">
        <v>0</v>
      </c>
    </row>
    <row r="209" spans="2:24" x14ac:dyDescent="0.2">
      <c r="B209" s="352" t="s">
        <v>876</v>
      </c>
      <c r="C209" s="352" t="s">
        <v>754</v>
      </c>
      <c r="F209" s="352" t="s">
        <v>1999</v>
      </c>
      <c r="G209" s="352" t="s">
        <v>2118</v>
      </c>
      <c r="H209" s="352" t="s">
        <v>1644</v>
      </c>
      <c r="I209" s="352" t="s">
        <v>971</v>
      </c>
      <c r="J209" s="352" t="s">
        <v>972</v>
      </c>
      <c r="K209" s="352">
        <v>1211</v>
      </c>
      <c r="L209" s="352" t="s">
        <v>705</v>
      </c>
      <c r="M209" s="352" t="s">
        <v>2149</v>
      </c>
      <c r="N209" s="352" t="s">
        <v>2048</v>
      </c>
      <c r="O209" s="352">
        <v>6</v>
      </c>
      <c r="P209" s="352" t="s">
        <v>2049</v>
      </c>
      <c r="Q209" s="352" t="s">
        <v>2050</v>
      </c>
      <c r="R209" s="251">
        <v>1121.1440925045511</v>
      </c>
      <c r="S209" s="251" t="s">
        <v>2015</v>
      </c>
      <c r="T209" s="251" t="s">
        <v>2016</v>
      </c>
      <c r="U209" s="251" t="s">
        <v>1916</v>
      </c>
      <c r="V209" s="251" t="s">
        <v>1917</v>
      </c>
      <c r="X209" s="251">
        <v>0</v>
      </c>
    </row>
    <row r="210" spans="2:24" x14ac:dyDescent="0.2">
      <c r="B210" s="352" t="s">
        <v>876</v>
      </c>
      <c r="C210" s="352" t="s">
        <v>754</v>
      </c>
      <c r="F210" s="352" t="s">
        <v>1999</v>
      </c>
      <c r="G210" s="352" t="s">
        <v>2118</v>
      </c>
      <c r="H210" s="352" t="s">
        <v>1649</v>
      </c>
      <c r="I210" s="352" t="s">
        <v>973</v>
      </c>
      <c r="J210" s="352" t="s">
        <v>974</v>
      </c>
      <c r="K210" s="352">
        <v>1211</v>
      </c>
      <c r="L210" s="352" t="s">
        <v>705</v>
      </c>
      <c r="M210" s="352" t="s">
        <v>2150</v>
      </c>
      <c r="N210" s="352" t="s">
        <v>2048</v>
      </c>
      <c r="O210" s="352">
        <v>6</v>
      </c>
      <c r="P210" s="352" t="s">
        <v>2049</v>
      </c>
      <c r="Q210" s="352" t="s">
        <v>2050</v>
      </c>
      <c r="R210" s="251">
        <v>0</v>
      </c>
      <c r="S210" s="251" t="s">
        <v>2015</v>
      </c>
      <c r="T210" s="251" t="s">
        <v>2054</v>
      </c>
      <c r="U210" s="251" t="s">
        <v>1916</v>
      </c>
      <c r="V210" s="251" t="s">
        <v>1917</v>
      </c>
      <c r="X210" s="251">
        <v>0</v>
      </c>
    </row>
    <row r="211" spans="2:24" x14ac:dyDescent="0.2">
      <c r="B211" s="352" t="s">
        <v>876</v>
      </c>
      <c r="C211" s="352" t="s">
        <v>754</v>
      </c>
      <c r="F211" s="352" t="s">
        <v>1999</v>
      </c>
      <c r="G211" s="352" t="s">
        <v>2118</v>
      </c>
      <c r="H211" s="352" t="s">
        <v>1649</v>
      </c>
      <c r="I211" s="352" t="s">
        <v>973</v>
      </c>
      <c r="J211" s="352" t="s">
        <v>974</v>
      </c>
      <c r="K211" s="352">
        <v>1221</v>
      </c>
      <c r="L211" s="352" t="s">
        <v>711</v>
      </c>
      <c r="M211" s="352" t="s">
        <v>2151</v>
      </c>
      <c r="N211" s="352" t="s">
        <v>2048</v>
      </c>
      <c r="O211" s="352">
        <v>6</v>
      </c>
      <c r="P211" s="352" t="s">
        <v>2049</v>
      </c>
      <c r="Q211" s="352" t="s">
        <v>2050</v>
      </c>
      <c r="R211" s="251">
        <v>1412.1386258716675</v>
      </c>
      <c r="S211" s="251" t="s">
        <v>2015</v>
      </c>
      <c r="T211" s="251" t="s">
        <v>2016</v>
      </c>
      <c r="U211" s="251" t="s">
        <v>1918</v>
      </c>
      <c r="V211" s="251" t="s">
        <v>1919</v>
      </c>
      <c r="X211" s="251">
        <v>0</v>
      </c>
    </row>
    <row r="212" spans="2:24" x14ac:dyDescent="0.2">
      <c r="B212" s="352" t="s">
        <v>876</v>
      </c>
      <c r="C212" s="352" t="s">
        <v>754</v>
      </c>
      <c r="F212" s="352" t="s">
        <v>1999</v>
      </c>
      <c r="G212" s="352" t="s">
        <v>2118</v>
      </c>
      <c r="H212" s="352" t="s">
        <v>1649</v>
      </c>
      <c r="I212" s="352" t="s">
        <v>973</v>
      </c>
      <c r="J212" s="352" t="s">
        <v>974</v>
      </c>
      <c r="K212" s="352">
        <v>1222</v>
      </c>
      <c r="L212" s="352" t="s">
        <v>718</v>
      </c>
      <c r="M212" s="352" t="s">
        <v>2152</v>
      </c>
      <c r="N212" s="352" t="s">
        <v>2048</v>
      </c>
      <c r="O212" s="352">
        <v>6</v>
      </c>
      <c r="P212" s="352" t="s">
        <v>2049</v>
      </c>
      <c r="Q212" s="352" t="s">
        <v>2050</v>
      </c>
      <c r="R212" s="251">
        <v>74.323085572193037</v>
      </c>
      <c r="S212" s="251" t="s">
        <v>2015</v>
      </c>
      <c r="T212" s="251" t="s">
        <v>2016</v>
      </c>
      <c r="U212" s="251">
        <v>0</v>
      </c>
      <c r="V212" s="251" t="s">
        <v>2153</v>
      </c>
      <c r="X212" s="251">
        <v>0</v>
      </c>
    </row>
    <row r="213" spans="2:24" x14ac:dyDescent="0.2">
      <c r="B213" s="352" t="s">
        <v>876</v>
      </c>
      <c r="C213" s="352" t="s">
        <v>754</v>
      </c>
      <c r="F213" s="352" t="s">
        <v>1999</v>
      </c>
      <c r="G213" s="352" t="s">
        <v>2118</v>
      </c>
      <c r="H213" s="352" t="s">
        <v>1654</v>
      </c>
      <c r="I213" s="352" t="s">
        <v>975</v>
      </c>
      <c r="J213" s="352" t="s">
        <v>976</v>
      </c>
      <c r="K213" s="352">
        <v>1221</v>
      </c>
      <c r="L213" s="352" t="s">
        <v>711</v>
      </c>
      <c r="M213" s="352" t="s">
        <v>2154</v>
      </c>
      <c r="N213" s="352" t="s">
        <v>2048</v>
      </c>
      <c r="O213" s="352">
        <v>7</v>
      </c>
      <c r="P213" s="352" t="s">
        <v>2055</v>
      </c>
      <c r="Q213" s="352" t="s">
        <v>2056</v>
      </c>
      <c r="R213" s="251">
        <v>0</v>
      </c>
      <c r="S213" s="251" t="s">
        <v>2015</v>
      </c>
      <c r="T213" s="251" t="s">
        <v>2054</v>
      </c>
      <c r="U213" s="251" t="s">
        <v>1918</v>
      </c>
      <c r="V213" s="251" t="s">
        <v>1919</v>
      </c>
      <c r="X213" s="251">
        <v>0</v>
      </c>
    </row>
    <row r="214" spans="2:24" x14ac:dyDescent="0.2">
      <c r="B214" s="352" t="s">
        <v>876</v>
      </c>
      <c r="C214" s="352" t="s">
        <v>754</v>
      </c>
      <c r="F214" s="352" t="s">
        <v>1999</v>
      </c>
      <c r="G214" s="352" t="s">
        <v>2118</v>
      </c>
      <c r="H214" s="352" t="s">
        <v>1659</v>
      </c>
      <c r="I214" s="352" t="s">
        <v>977</v>
      </c>
      <c r="J214" s="352" t="s">
        <v>864</v>
      </c>
      <c r="K214" s="352">
        <v>1111</v>
      </c>
      <c r="L214" s="352" t="s">
        <v>699</v>
      </c>
      <c r="M214" s="352" t="s">
        <v>2155</v>
      </c>
      <c r="N214" s="352" t="s">
        <v>2048</v>
      </c>
      <c r="O214" s="352">
        <v>5</v>
      </c>
      <c r="P214" s="352" t="s">
        <v>2057</v>
      </c>
      <c r="Q214" s="352" t="s">
        <v>2058</v>
      </c>
      <c r="R214" s="251">
        <v>0</v>
      </c>
      <c r="S214" s="251" t="s">
        <v>2015</v>
      </c>
      <c r="T214" s="251" t="s">
        <v>2054</v>
      </c>
      <c r="U214" s="251" t="s">
        <v>1914</v>
      </c>
      <c r="V214" s="251" t="s">
        <v>1915</v>
      </c>
      <c r="X214" s="251">
        <v>0</v>
      </c>
    </row>
    <row r="215" spans="2:24" x14ac:dyDescent="0.2">
      <c r="B215" s="352" t="s">
        <v>876</v>
      </c>
      <c r="C215" s="352" t="s">
        <v>754</v>
      </c>
      <c r="F215" s="352" t="s">
        <v>1999</v>
      </c>
      <c r="G215" s="352" t="s">
        <v>2118</v>
      </c>
      <c r="H215" s="352" t="s">
        <v>1659</v>
      </c>
      <c r="I215" s="352" t="s">
        <v>977</v>
      </c>
      <c r="J215" s="352" t="s">
        <v>864</v>
      </c>
      <c r="K215" s="352">
        <v>1211</v>
      </c>
      <c r="L215" s="352" t="s">
        <v>705</v>
      </c>
      <c r="M215" s="352" t="s">
        <v>2156</v>
      </c>
      <c r="N215" s="352" t="s">
        <v>2048</v>
      </c>
      <c r="O215" s="352">
        <v>5</v>
      </c>
      <c r="P215" s="352" t="s">
        <v>2057</v>
      </c>
      <c r="Q215" s="352" t="s">
        <v>2058</v>
      </c>
      <c r="R215" s="251">
        <v>0</v>
      </c>
      <c r="S215" s="251" t="s">
        <v>2015</v>
      </c>
      <c r="T215" s="251" t="s">
        <v>2054</v>
      </c>
      <c r="U215" s="251" t="s">
        <v>1916</v>
      </c>
      <c r="V215" s="251" t="s">
        <v>1917</v>
      </c>
      <c r="X215" s="251">
        <v>0</v>
      </c>
    </row>
    <row r="216" spans="2:24" x14ac:dyDescent="0.2">
      <c r="B216" s="352" t="s">
        <v>876</v>
      </c>
      <c r="C216" s="352" t="s">
        <v>754</v>
      </c>
      <c r="F216" s="352" t="s">
        <v>1999</v>
      </c>
      <c r="G216" s="352" t="s">
        <v>2118</v>
      </c>
      <c r="H216" s="352" t="s">
        <v>1659</v>
      </c>
      <c r="I216" s="352" t="s">
        <v>977</v>
      </c>
      <c r="J216" s="352" t="s">
        <v>864</v>
      </c>
      <c r="K216" s="352">
        <v>1221</v>
      </c>
      <c r="L216" s="352" t="s">
        <v>711</v>
      </c>
      <c r="M216" s="352" t="s">
        <v>2157</v>
      </c>
      <c r="N216" s="352" t="s">
        <v>2048</v>
      </c>
      <c r="O216" s="352">
        <v>5</v>
      </c>
      <c r="P216" s="352" t="s">
        <v>2057</v>
      </c>
      <c r="Q216" s="352" t="s">
        <v>2058</v>
      </c>
      <c r="R216" s="251">
        <v>0</v>
      </c>
      <c r="S216" s="251" t="s">
        <v>2015</v>
      </c>
      <c r="T216" s="251" t="s">
        <v>2054</v>
      </c>
      <c r="U216" s="251" t="s">
        <v>1918</v>
      </c>
      <c r="V216" s="251" t="s">
        <v>1919</v>
      </c>
      <c r="X216" s="251">
        <v>0</v>
      </c>
    </row>
    <row r="217" spans="2:24" x14ac:dyDescent="0.2">
      <c r="B217" s="352" t="s">
        <v>876</v>
      </c>
      <c r="C217" s="352" t="s">
        <v>754</v>
      </c>
      <c r="F217" s="352" t="s">
        <v>1999</v>
      </c>
      <c r="G217" s="352" t="s">
        <v>2118</v>
      </c>
      <c r="H217" s="352" t="s">
        <v>1659</v>
      </c>
      <c r="I217" s="352" t="s">
        <v>977</v>
      </c>
      <c r="J217" s="352" t="s">
        <v>864</v>
      </c>
      <c r="K217" s="352">
        <v>1222</v>
      </c>
      <c r="L217" s="352" t="s">
        <v>718</v>
      </c>
      <c r="M217" s="352" t="s">
        <v>2158</v>
      </c>
      <c r="N217" s="352" t="s">
        <v>2048</v>
      </c>
      <c r="O217" s="352">
        <v>5</v>
      </c>
      <c r="P217" s="352" t="s">
        <v>2057</v>
      </c>
      <c r="Q217" s="352" t="s">
        <v>2058</v>
      </c>
      <c r="R217" s="251">
        <v>0</v>
      </c>
      <c r="S217" s="251" t="s">
        <v>2015</v>
      </c>
      <c r="T217" s="251" t="s">
        <v>2054</v>
      </c>
      <c r="U217" s="251">
        <v>0</v>
      </c>
      <c r="V217" s="251" t="s">
        <v>2153</v>
      </c>
      <c r="X217" s="251">
        <v>0</v>
      </c>
    </row>
    <row r="218" spans="2:24" x14ac:dyDescent="0.2">
      <c r="B218" s="352" t="s">
        <v>876</v>
      </c>
      <c r="C218" s="352" t="s">
        <v>754</v>
      </c>
      <c r="F218" s="352" t="s">
        <v>1999</v>
      </c>
      <c r="G218" s="352" t="s">
        <v>2118</v>
      </c>
      <c r="H218" s="352" t="s">
        <v>1659</v>
      </c>
      <c r="I218" s="352" t="s">
        <v>977</v>
      </c>
      <c r="J218" s="352" t="s">
        <v>864</v>
      </c>
      <c r="K218" s="352">
        <v>1231</v>
      </c>
      <c r="L218" s="352" t="s">
        <v>726</v>
      </c>
      <c r="M218" s="352" t="s">
        <v>2159</v>
      </c>
      <c r="N218" s="352" t="s">
        <v>2048</v>
      </c>
      <c r="O218" s="352">
        <v>5</v>
      </c>
      <c r="P218" s="352" t="s">
        <v>2057</v>
      </c>
      <c r="Q218" s="352" t="s">
        <v>2058</v>
      </c>
      <c r="R218" s="251">
        <v>0</v>
      </c>
      <c r="S218" s="251" t="s">
        <v>2015</v>
      </c>
      <c r="T218" s="251" t="s">
        <v>2054</v>
      </c>
      <c r="U218" s="251" t="s">
        <v>1920</v>
      </c>
      <c r="V218" s="251" t="s">
        <v>726</v>
      </c>
      <c r="X218" s="251">
        <v>0</v>
      </c>
    </row>
    <row r="219" spans="2:24" x14ac:dyDescent="0.2">
      <c r="B219" s="352" t="s">
        <v>876</v>
      </c>
      <c r="C219" s="352" t="s">
        <v>754</v>
      </c>
      <c r="F219" s="352" t="s">
        <v>1999</v>
      </c>
      <c r="G219" s="352" t="s">
        <v>2118</v>
      </c>
      <c r="H219" s="352" t="s">
        <v>1659</v>
      </c>
      <c r="I219" s="352" t="s">
        <v>977</v>
      </c>
      <c r="J219" s="352" t="s">
        <v>864</v>
      </c>
      <c r="K219" s="352">
        <v>1232</v>
      </c>
      <c r="L219" s="352" t="s">
        <v>734</v>
      </c>
      <c r="M219" s="352" t="s">
        <v>2160</v>
      </c>
      <c r="N219" s="352" t="s">
        <v>2048</v>
      </c>
      <c r="O219" s="352">
        <v>5</v>
      </c>
      <c r="P219" s="352" t="s">
        <v>2057</v>
      </c>
      <c r="Q219" s="352" t="s">
        <v>2058</v>
      </c>
      <c r="R219" s="251">
        <v>148.82901907019368</v>
      </c>
      <c r="S219" s="251" t="s">
        <v>2015</v>
      </c>
      <c r="T219" s="251" t="s">
        <v>2016</v>
      </c>
      <c r="U219" s="251">
        <v>0</v>
      </c>
      <c r="V219" s="251" t="s">
        <v>2153</v>
      </c>
      <c r="X219" s="251">
        <v>0</v>
      </c>
    </row>
    <row r="220" spans="2:24" x14ac:dyDescent="0.2">
      <c r="B220" s="352" t="s">
        <v>876</v>
      </c>
      <c r="C220" s="352" t="s">
        <v>754</v>
      </c>
      <c r="F220" s="352" t="s">
        <v>1999</v>
      </c>
      <c r="G220" s="352" t="s">
        <v>2118</v>
      </c>
      <c r="H220" s="352" t="s">
        <v>1659</v>
      </c>
      <c r="I220" s="352" t="s">
        <v>977</v>
      </c>
      <c r="J220" s="352" t="s">
        <v>864</v>
      </c>
      <c r="K220" s="352">
        <v>1241</v>
      </c>
      <c r="L220" s="352" t="s">
        <v>1872</v>
      </c>
      <c r="M220" s="352" t="s">
        <v>2161</v>
      </c>
      <c r="N220" s="352" t="s">
        <v>2048</v>
      </c>
      <c r="O220" s="352">
        <v>5</v>
      </c>
      <c r="P220" s="352" t="s">
        <v>2057</v>
      </c>
      <c r="Q220" s="352" t="s">
        <v>2058</v>
      </c>
      <c r="R220" s="251">
        <v>0</v>
      </c>
      <c r="S220" s="251" t="s">
        <v>2015</v>
      </c>
      <c r="T220" s="251" t="s">
        <v>2054</v>
      </c>
      <c r="U220" s="251">
        <v>0</v>
      </c>
      <c r="V220" s="251" t="s">
        <v>2153</v>
      </c>
      <c r="X220" s="251">
        <v>0</v>
      </c>
    </row>
    <row r="221" spans="2:24" x14ac:dyDescent="0.2">
      <c r="B221" s="352" t="s">
        <v>876</v>
      </c>
      <c r="C221" s="352" t="s">
        <v>754</v>
      </c>
      <c r="F221" s="352" t="s">
        <v>1999</v>
      </c>
      <c r="G221" s="352" t="s">
        <v>2118</v>
      </c>
      <c r="H221" s="352" t="s">
        <v>1659</v>
      </c>
      <c r="I221" s="352" t="s">
        <v>977</v>
      </c>
      <c r="J221" s="352" t="s">
        <v>864</v>
      </c>
      <c r="K221" s="352">
        <v>1251</v>
      </c>
      <c r="L221" s="352" t="s">
        <v>733</v>
      </c>
      <c r="M221" s="352" t="s">
        <v>2162</v>
      </c>
      <c r="N221" s="352" t="s">
        <v>2048</v>
      </c>
      <c r="O221" s="352">
        <v>5</v>
      </c>
      <c r="P221" s="352" t="s">
        <v>2057</v>
      </c>
      <c r="Q221" s="352" t="s">
        <v>2058</v>
      </c>
      <c r="R221" s="251">
        <v>0</v>
      </c>
      <c r="S221" s="251" t="s">
        <v>2015</v>
      </c>
      <c r="T221" s="251" t="s">
        <v>2054</v>
      </c>
      <c r="U221" s="251">
        <v>0</v>
      </c>
      <c r="V221" s="251" t="s">
        <v>2153</v>
      </c>
      <c r="X221" s="251">
        <v>0</v>
      </c>
    </row>
    <row r="222" spans="2:24" x14ac:dyDescent="0.2">
      <c r="B222" s="352" t="s">
        <v>876</v>
      </c>
      <c r="C222" s="352" t="s">
        <v>754</v>
      </c>
      <c r="F222" s="352" t="s">
        <v>1999</v>
      </c>
      <c r="G222" s="352" t="s">
        <v>2118</v>
      </c>
      <c r="H222" s="352" t="s">
        <v>1664</v>
      </c>
      <c r="I222" s="352" t="s">
        <v>978</v>
      </c>
      <c r="J222" s="352" t="s">
        <v>1892</v>
      </c>
      <c r="K222" s="352">
        <v>1111</v>
      </c>
      <c r="L222" s="352" t="s">
        <v>699</v>
      </c>
      <c r="M222" s="352" t="s">
        <v>2163</v>
      </c>
      <c r="N222" s="352" t="s">
        <v>2048</v>
      </c>
      <c r="O222" s="352">
        <v>5</v>
      </c>
      <c r="P222" s="352" t="s">
        <v>2057</v>
      </c>
      <c r="Q222" s="352" t="s">
        <v>2058</v>
      </c>
      <c r="R222" s="251">
        <v>0</v>
      </c>
      <c r="S222" s="251" t="s">
        <v>2015</v>
      </c>
      <c r="T222" s="251" t="s">
        <v>2054</v>
      </c>
      <c r="U222" s="251" t="s">
        <v>1914</v>
      </c>
      <c r="V222" s="251" t="s">
        <v>1915</v>
      </c>
      <c r="X222" s="251">
        <v>0</v>
      </c>
    </row>
    <row r="223" spans="2:24" x14ac:dyDescent="0.2">
      <c r="B223" s="352" t="s">
        <v>876</v>
      </c>
      <c r="C223" s="352" t="s">
        <v>754</v>
      </c>
      <c r="F223" s="352" t="s">
        <v>1999</v>
      </c>
      <c r="G223" s="352" t="s">
        <v>2118</v>
      </c>
      <c r="H223" s="352" t="s">
        <v>1664</v>
      </c>
      <c r="I223" s="352" t="s">
        <v>978</v>
      </c>
      <c r="J223" s="352" t="s">
        <v>1892</v>
      </c>
      <c r="K223" s="352">
        <v>1231</v>
      </c>
      <c r="L223" s="352" t="s">
        <v>726</v>
      </c>
      <c r="M223" s="352" t="s">
        <v>2164</v>
      </c>
      <c r="N223" s="352" t="s">
        <v>2048</v>
      </c>
      <c r="O223" s="352">
        <v>5</v>
      </c>
      <c r="P223" s="352" t="s">
        <v>2057</v>
      </c>
      <c r="Q223" s="352" t="s">
        <v>2058</v>
      </c>
      <c r="R223" s="251">
        <v>940.10711159800303</v>
      </c>
      <c r="S223" s="251" t="s">
        <v>2015</v>
      </c>
      <c r="T223" s="251" t="s">
        <v>2016</v>
      </c>
      <c r="U223" s="251" t="s">
        <v>1920</v>
      </c>
      <c r="V223" s="251" t="s">
        <v>726</v>
      </c>
      <c r="X223" s="251">
        <v>0</v>
      </c>
    </row>
    <row r="224" spans="2:24" x14ac:dyDescent="0.2">
      <c r="B224" s="352" t="s">
        <v>876</v>
      </c>
      <c r="C224" s="352" t="s">
        <v>754</v>
      </c>
      <c r="F224" s="352" t="s">
        <v>1999</v>
      </c>
      <c r="G224" s="352" t="s">
        <v>2118</v>
      </c>
      <c r="H224" s="352" t="s">
        <v>1669</v>
      </c>
      <c r="I224" s="352" t="s">
        <v>979</v>
      </c>
      <c r="J224" s="352" t="s">
        <v>980</v>
      </c>
      <c r="K224" s="352">
        <v>1241</v>
      </c>
      <c r="L224" s="352" t="s">
        <v>1872</v>
      </c>
      <c r="M224" s="352" t="s">
        <v>2165</v>
      </c>
      <c r="N224" s="352" t="s">
        <v>2048</v>
      </c>
      <c r="O224" s="352">
        <v>7</v>
      </c>
      <c r="P224" s="352" t="s">
        <v>2055</v>
      </c>
      <c r="Q224" s="352" t="s">
        <v>2056</v>
      </c>
      <c r="R224" s="251">
        <v>45.767290188694304</v>
      </c>
      <c r="S224" s="251" t="s">
        <v>2015</v>
      </c>
      <c r="T224" s="251" t="s">
        <v>2016</v>
      </c>
      <c r="U224" s="251">
        <v>0</v>
      </c>
      <c r="V224" s="251" t="s">
        <v>2153</v>
      </c>
      <c r="X224" s="251">
        <v>0</v>
      </c>
    </row>
    <row r="225" spans="2:24" x14ac:dyDescent="0.2">
      <c r="B225" s="352" t="s">
        <v>876</v>
      </c>
      <c r="C225" s="352" t="s">
        <v>754</v>
      </c>
      <c r="F225" s="352" t="s">
        <v>1999</v>
      </c>
      <c r="G225" s="352" t="s">
        <v>2118</v>
      </c>
      <c r="H225" s="352" t="s">
        <v>1674</v>
      </c>
      <c r="I225" s="352" t="s">
        <v>981</v>
      </c>
      <c r="J225" s="352" t="s">
        <v>3674</v>
      </c>
      <c r="K225" s="352">
        <v>1241</v>
      </c>
      <c r="L225" s="352" t="s">
        <v>1872</v>
      </c>
      <c r="M225" s="352" t="s">
        <v>2166</v>
      </c>
      <c r="N225" s="352" t="s">
        <v>2048</v>
      </c>
      <c r="O225" s="352">
        <v>13</v>
      </c>
      <c r="P225" s="352" t="s">
        <v>2059</v>
      </c>
      <c r="Q225" s="352" t="s">
        <v>2060</v>
      </c>
      <c r="R225" s="251">
        <v>0</v>
      </c>
      <c r="S225" s="251" t="s">
        <v>2015</v>
      </c>
      <c r="T225" s="251" t="s">
        <v>2054</v>
      </c>
      <c r="U225" s="251">
        <v>0</v>
      </c>
      <c r="V225" s="251" t="s">
        <v>2153</v>
      </c>
      <c r="X225" s="251">
        <v>0</v>
      </c>
    </row>
    <row r="226" spans="2:24" x14ac:dyDescent="0.2">
      <c r="B226" s="352" t="s">
        <v>876</v>
      </c>
      <c r="C226" s="352" t="s">
        <v>754</v>
      </c>
      <c r="F226" s="352" t="s">
        <v>1999</v>
      </c>
      <c r="G226" s="352" t="s">
        <v>2118</v>
      </c>
      <c r="H226" s="352" t="s">
        <v>1674</v>
      </c>
      <c r="I226" s="352" t="s">
        <v>981</v>
      </c>
      <c r="J226" s="352" t="s">
        <v>3674</v>
      </c>
      <c r="K226" s="352">
        <v>1251</v>
      </c>
      <c r="L226" s="352" t="s">
        <v>733</v>
      </c>
      <c r="M226" s="352" t="s">
        <v>2167</v>
      </c>
      <c r="N226" s="352" t="s">
        <v>2048</v>
      </c>
      <c r="O226" s="352">
        <v>13</v>
      </c>
      <c r="P226" s="352" t="s">
        <v>2059</v>
      </c>
      <c r="Q226" s="352" t="s">
        <v>2060</v>
      </c>
      <c r="R226" s="251">
        <v>0</v>
      </c>
      <c r="S226" s="251" t="s">
        <v>2015</v>
      </c>
      <c r="T226" s="251" t="s">
        <v>2054</v>
      </c>
      <c r="U226" s="251">
        <v>0</v>
      </c>
      <c r="V226" s="251" t="s">
        <v>2153</v>
      </c>
      <c r="X226" s="251">
        <v>0</v>
      </c>
    </row>
    <row r="227" spans="2:24" x14ac:dyDescent="0.2">
      <c r="B227" s="352" t="s">
        <v>876</v>
      </c>
      <c r="C227" s="352" t="s">
        <v>754</v>
      </c>
      <c r="F227" s="352" t="s">
        <v>1999</v>
      </c>
      <c r="G227" s="352" t="s">
        <v>2118</v>
      </c>
      <c r="H227" s="352" t="s">
        <v>1679</v>
      </c>
      <c r="I227" s="352" t="s">
        <v>982</v>
      </c>
      <c r="J227" s="352" t="s">
        <v>983</v>
      </c>
      <c r="K227" s="352">
        <v>2111</v>
      </c>
      <c r="L227" s="352" t="s">
        <v>1873</v>
      </c>
      <c r="M227" s="352" t="s">
        <v>2168</v>
      </c>
      <c r="N227" s="352" t="s">
        <v>2048</v>
      </c>
      <c r="O227" s="352">
        <v>3</v>
      </c>
      <c r="P227" s="352" t="s">
        <v>2117</v>
      </c>
      <c r="Q227" s="352" t="s">
        <v>2114</v>
      </c>
      <c r="R227" s="251">
        <v>82.369241066189772</v>
      </c>
      <c r="S227" s="251" t="s">
        <v>2015</v>
      </c>
      <c r="T227" s="251" t="s">
        <v>2016</v>
      </c>
      <c r="U227" s="251" t="s">
        <v>1929</v>
      </c>
      <c r="V227" s="251" t="s">
        <v>1930</v>
      </c>
      <c r="X227" s="251">
        <v>0</v>
      </c>
    </row>
    <row r="228" spans="2:24" x14ac:dyDescent="0.2">
      <c r="B228" s="352" t="s">
        <v>876</v>
      </c>
      <c r="C228" s="352" t="s">
        <v>754</v>
      </c>
      <c r="F228" s="352" t="s">
        <v>1999</v>
      </c>
      <c r="G228" s="352" t="s">
        <v>2118</v>
      </c>
      <c r="H228" s="352" t="s">
        <v>1679</v>
      </c>
      <c r="I228" s="352" t="s">
        <v>982</v>
      </c>
      <c r="J228" s="352" t="s">
        <v>983</v>
      </c>
      <c r="K228" s="352">
        <v>2121</v>
      </c>
      <c r="L228" s="352" t="s">
        <v>1876</v>
      </c>
      <c r="M228" s="352" t="s">
        <v>2169</v>
      </c>
      <c r="N228" s="352" t="s">
        <v>2048</v>
      </c>
      <c r="O228" s="352">
        <v>3</v>
      </c>
      <c r="P228" s="352" t="s">
        <v>2117</v>
      </c>
      <c r="Q228" s="352" t="s">
        <v>2114</v>
      </c>
      <c r="R228" s="251">
        <v>262.34328911353902</v>
      </c>
      <c r="S228" s="251" t="s">
        <v>2015</v>
      </c>
      <c r="T228" s="251" t="s">
        <v>2016</v>
      </c>
      <c r="U228" s="251" t="s">
        <v>1929</v>
      </c>
      <c r="V228" s="251" t="s">
        <v>1930</v>
      </c>
      <c r="X228" s="251">
        <v>0</v>
      </c>
    </row>
    <row r="229" spans="2:24" x14ac:dyDescent="0.2">
      <c r="B229" s="352" t="s">
        <v>876</v>
      </c>
      <c r="C229" s="352" t="s">
        <v>754</v>
      </c>
      <c r="F229" s="352" t="s">
        <v>1999</v>
      </c>
      <c r="G229" s="352" t="s">
        <v>2118</v>
      </c>
      <c r="H229" s="352" t="s">
        <v>1679</v>
      </c>
      <c r="I229" s="352" t="s">
        <v>982</v>
      </c>
      <c r="J229" s="352" t="s">
        <v>983</v>
      </c>
      <c r="K229" s="352">
        <v>2131</v>
      </c>
      <c r="L229" s="352" t="s">
        <v>1879</v>
      </c>
      <c r="M229" s="352" t="s">
        <v>2170</v>
      </c>
      <c r="N229" s="352" t="s">
        <v>2048</v>
      </c>
      <c r="O229" s="352">
        <v>3</v>
      </c>
      <c r="P229" s="352" t="s">
        <v>2117</v>
      </c>
      <c r="Q229" s="352" t="s">
        <v>2114</v>
      </c>
      <c r="R229" s="251">
        <v>0</v>
      </c>
      <c r="S229" s="251" t="s">
        <v>2015</v>
      </c>
      <c r="T229" s="251" t="s">
        <v>2054</v>
      </c>
      <c r="U229" s="251" t="s">
        <v>1929</v>
      </c>
      <c r="V229" s="251" t="s">
        <v>1930</v>
      </c>
      <c r="X229" s="251">
        <v>0</v>
      </c>
    </row>
    <row r="230" spans="2:24" x14ac:dyDescent="0.2">
      <c r="B230" s="352" t="s">
        <v>876</v>
      </c>
      <c r="C230" s="352" t="s">
        <v>754</v>
      </c>
      <c r="F230" s="352" t="s">
        <v>1999</v>
      </c>
      <c r="G230" s="352" t="s">
        <v>2118</v>
      </c>
      <c r="H230" s="352" t="s">
        <v>1679</v>
      </c>
      <c r="I230" s="352" t="s">
        <v>982</v>
      </c>
      <c r="J230" s="352" t="s">
        <v>983</v>
      </c>
      <c r="K230" s="352">
        <v>2211</v>
      </c>
      <c r="L230" s="352" t="s">
        <v>1883</v>
      </c>
      <c r="M230" s="352" t="s">
        <v>2171</v>
      </c>
      <c r="N230" s="352" t="s">
        <v>2048</v>
      </c>
      <c r="O230" s="352">
        <v>3</v>
      </c>
      <c r="P230" s="352" t="s">
        <v>2117</v>
      </c>
      <c r="Q230" s="352" t="s">
        <v>2114</v>
      </c>
      <c r="R230" s="251">
        <v>0</v>
      </c>
      <c r="S230" s="251" t="s">
        <v>2015</v>
      </c>
      <c r="T230" s="251" t="s">
        <v>2054</v>
      </c>
      <c r="U230" s="251" t="s">
        <v>1929</v>
      </c>
      <c r="V230" s="251" t="s">
        <v>1930</v>
      </c>
      <c r="X230" s="251">
        <v>0</v>
      </c>
    </row>
    <row r="231" spans="2:24" x14ac:dyDescent="0.2">
      <c r="B231" s="352" t="s">
        <v>876</v>
      </c>
      <c r="C231" s="352" t="s">
        <v>754</v>
      </c>
      <c r="F231" s="352" t="s">
        <v>1999</v>
      </c>
      <c r="G231" s="352" t="s">
        <v>2118</v>
      </c>
      <c r="H231" s="352" t="s">
        <v>1684</v>
      </c>
      <c r="I231" s="352" t="s">
        <v>984</v>
      </c>
      <c r="J231" s="352" t="s">
        <v>985</v>
      </c>
      <c r="K231" s="352">
        <v>2111</v>
      </c>
      <c r="L231" s="352" t="s">
        <v>1873</v>
      </c>
      <c r="M231" s="352" t="s">
        <v>2172</v>
      </c>
      <c r="N231" s="352" t="s">
        <v>2048</v>
      </c>
      <c r="O231" s="352">
        <v>11</v>
      </c>
      <c r="P231" s="352" t="s">
        <v>2063</v>
      </c>
      <c r="Q231" s="352" t="s">
        <v>2064</v>
      </c>
      <c r="R231" s="251">
        <v>0</v>
      </c>
      <c r="S231" s="251" t="s">
        <v>2015</v>
      </c>
      <c r="T231" s="251" t="s">
        <v>2054</v>
      </c>
      <c r="U231" s="251" t="s">
        <v>1929</v>
      </c>
      <c r="V231" s="251" t="s">
        <v>1930</v>
      </c>
      <c r="X231" s="251">
        <v>0</v>
      </c>
    </row>
    <row r="232" spans="2:24" x14ac:dyDescent="0.2">
      <c r="B232" s="352" t="s">
        <v>876</v>
      </c>
      <c r="C232" s="352" t="s">
        <v>754</v>
      </c>
      <c r="F232" s="352" t="s">
        <v>1999</v>
      </c>
      <c r="G232" s="352" t="s">
        <v>2118</v>
      </c>
      <c r="H232" s="352" t="s">
        <v>1684</v>
      </c>
      <c r="I232" s="352" t="s">
        <v>984</v>
      </c>
      <c r="J232" s="352" t="s">
        <v>985</v>
      </c>
      <c r="K232" s="352">
        <v>2121</v>
      </c>
      <c r="L232" s="352" t="s">
        <v>1876</v>
      </c>
      <c r="M232" s="352" t="s">
        <v>2173</v>
      </c>
      <c r="N232" s="352" t="s">
        <v>2048</v>
      </c>
      <c r="O232" s="352">
        <v>11</v>
      </c>
      <c r="P232" s="352" t="s">
        <v>2063</v>
      </c>
      <c r="Q232" s="352" t="s">
        <v>2064</v>
      </c>
      <c r="R232" s="251">
        <v>0</v>
      </c>
      <c r="S232" s="251" t="s">
        <v>2015</v>
      </c>
      <c r="T232" s="251" t="s">
        <v>2054</v>
      </c>
      <c r="U232" s="251" t="s">
        <v>1929</v>
      </c>
      <c r="V232" s="251" t="s">
        <v>1930</v>
      </c>
      <c r="X232" s="251">
        <v>0</v>
      </c>
    </row>
    <row r="233" spans="2:24" x14ac:dyDescent="0.2">
      <c r="B233" s="352" t="s">
        <v>876</v>
      </c>
      <c r="C233" s="352" t="s">
        <v>754</v>
      </c>
      <c r="F233" s="352" t="s">
        <v>1999</v>
      </c>
      <c r="G233" s="352" t="s">
        <v>2118</v>
      </c>
      <c r="H233" s="352" t="s">
        <v>1684</v>
      </c>
      <c r="I233" s="352" t="s">
        <v>984</v>
      </c>
      <c r="J233" s="352" t="s">
        <v>985</v>
      </c>
      <c r="K233" s="352">
        <v>2131</v>
      </c>
      <c r="L233" s="352" t="s">
        <v>1879</v>
      </c>
      <c r="M233" s="352" t="s">
        <v>2174</v>
      </c>
      <c r="N233" s="352" t="s">
        <v>2048</v>
      </c>
      <c r="O233" s="352">
        <v>11</v>
      </c>
      <c r="P233" s="352" t="s">
        <v>2063</v>
      </c>
      <c r="Q233" s="352" t="s">
        <v>2064</v>
      </c>
      <c r="R233" s="251">
        <v>9.9644944078782345</v>
      </c>
      <c r="S233" s="251" t="s">
        <v>2015</v>
      </c>
      <c r="T233" s="251" t="s">
        <v>2016</v>
      </c>
      <c r="U233" s="251" t="s">
        <v>1929</v>
      </c>
      <c r="V233" s="251" t="s">
        <v>1930</v>
      </c>
      <c r="X233" s="251">
        <v>0</v>
      </c>
    </row>
    <row r="234" spans="2:24" x14ac:dyDescent="0.2">
      <c r="B234" s="352" t="s">
        <v>876</v>
      </c>
      <c r="C234" s="352" t="s">
        <v>754</v>
      </c>
      <c r="F234" s="352" t="s">
        <v>1999</v>
      </c>
      <c r="G234" s="352" t="s">
        <v>2118</v>
      </c>
      <c r="H234" s="352" t="s">
        <v>1684</v>
      </c>
      <c r="I234" s="352" t="s">
        <v>984</v>
      </c>
      <c r="J234" s="352" t="s">
        <v>985</v>
      </c>
      <c r="K234" s="352">
        <v>2211</v>
      </c>
      <c r="L234" s="352" t="s">
        <v>1883</v>
      </c>
      <c r="M234" s="352" t="s">
        <v>2175</v>
      </c>
      <c r="N234" s="352" t="s">
        <v>2048</v>
      </c>
      <c r="O234" s="352">
        <v>11</v>
      </c>
      <c r="P234" s="352" t="s">
        <v>2063</v>
      </c>
      <c r="Q234" s="352" t="s">
        <v>2064</v>
      </c>
      <c r="R234" s="251">
        <v>14.330643796244258</v>
      </c>
      <c r="S234" s="251" t="s">
        <v>2015</v>
      </c>
      <c r="T234" s="251" t="s">
        <v>2016</v>
      </c>
      <c r="U234" s="251" t="s">
        <v>1929</v>
      </c>
      <c r="V234" s="251" t="s">
        <v>1930</v>
      </c>
      <c r="X234" s="251">
        <v>0</v>
      </c>
    </row>
    <row r="235" spans="2:24" x14ac:dyDescent="0.2">
      <c r="B235" s="352" t="s">
        <v>876</v>
      </c>
      <c r="C235" s="352" t="s">
        <v>754</v>
      </c>
      <c r="F235" s="352" t="s">
        <v>1999</v>
      </c>
      <c r="G235" s="352" t="s">
        <v>2118</v>
      </c>
      <c r="H235" s="352" t="s">
        <v>1689</v>
      </c>
      <c r="I235" s="352" t="s">
        <v>986</v>
      </c>
      <c r="J235" s="352" t="s">
        <v>987</v>
      </c>
      <c r="K235" s="352">
        <v>2112</v>
      </c>
      <c r="L235" s="352" t="s">
        <v>1874</v>
      </c>
      <c r="M235" s="352" t="s">
        <v>2176</v>
      </c>
      <c r="N235" s="352" t="s">
        <v>2048</v>
      </c>
      <c r="O235" s="352">
        <v>11</v>
      </c>
      <c r="P235" s="352" t="s">
        <v>2063</v>
      </c>
      <c r="Q235" s="352" t="s">
        <v>2064</v>
      </c>
      <c r="R235" s="251">
        <v>0.32346389870839798</v>
      </c>
      <c r="S235" s="251" t="s">
        <v>2015</v>
      </c>
      <c r="T235" s="251" t="s">
        <v>2016</v>
      </c>
      <c r="U235" s="251" t="s">
        <v>1931</v>
      </c>
      <c r="V235" s="251" t="s">
        <v>1932</v>
      </c>
      <c r="X235" s="251">
        <v>0</v>
      </c>
    </row>
    <row r="236" spans="2:24" x14ac:dyDescent="0.2">
      <c r="B236" s="352" t="s">
        <v>876</v>
      </c>
      <c r="C236" s="352" t="s">
        <v>754</v>
      </c>
      <c r="F236" s="352" t="s">
        <v>1999</v>
      </c>
      <c r="G236" s="352" t="s">
        <v>2118</v>
      </c>
      <c r="H236" s="352" t="s">
        <v>1689</v>
      </c>
      <c r="I236" s="352" t="s">
        <v>986</v>
      </c>
      <c r="J236" s="352" t="s">
        <v>987</v>
      </c>
      <c r="K236" s="352">
        <v>2122</v>
      </c>
      <c r="L236" s="352" t="s">
        <v>1877</v>
      </c>
      <c r="M236" s="352" t="s">
        <v>2177</v>
      </c>
      <c r="N236" s="352" t="s">
        <v>2048</v>
      </c>
      <c r="O236" s="352">
        <v>11</v>
      </c>
      <c r="P236" s="352" t="s">
        <v>2063</v>
      </c>
      <c r="Q236" s="352" t="s">
        <v>2064</v>
      </c>
      <c r="R236" s="251">
        <v>100.46377717191359</v>
      </c>
      <c r="S236" s="251" t="s">
        <v>2015</v>
      </c>
      <c r="T236" s="251" t="s">
        <v>2016</v>
      </c>
      <c r="U236" s="251" t="s">
        <v>1931</v>
      </c>
      <c r="V236" s="251" t="s">
        <v>1932</v>
      </c>
      <c r="X236" s="251">
        <v>0</v>
      </c>
    </row>
    <row r="237" spans="2:24" x14ac:dyDescent="0.2">
      <c r="B237" s="352" t="s">
        <v>876</v>
      </c>
      <c r="C237" s="352" t="s">
        <v>754</v>
      </c>
      <c r="F237" s="352" t="s">
        <v>1999</v>
      </c>
      <c r="G237" s="352" t="s">
        <v>2118</v>
      </c>
      <c r="H237" s="352" t="s">
        <v>1694</v>
      </c>
      <c r="I237" s="352" t="s">
        <v>988</v>
      </c>
      <c r="J237" s="352" t="s">
        <v>989</v>
      </c>
      <c r="K237" s="352">
        <v>2112</v>
      </c>
      <c r="L237" s="352" t="s">
        <v>1874</v>
      </c>
      <c r="M237" s="352" t="s">
        <v>2178</v>
      </c>
      <c r="N237" s="352" t="s">
        <v>2048</v>
      </c>
      <c r="O237" s="352">
        <v>11</v>
      </c>
      <c r="P237" s="352" t="s">
        <v>2063</v>
      </c>
      <c r="Q237" s="352" t="s">
        <v>2064</v>
      </c>
      <c r="R237" s="251">
        <v>0.48519584806259697</v>
      </c>
      <c r="S237" s="251" t="s">
        <v>2015</v>
      </c>
      <c r="T237" s="251" t="s">
        <v>2016</v>
      </c>
      <c r="U237" s="251" t="s">
        <v>1931</v>
      </c>
      <c r="V237" s="251" t="s">
        <v>1932</v>
      </c>
      <c r="X237" s="251">
        <v>0</v>
      </c>
    </row>
    <row r="238" spans="2:24" x14ac:dyDescent="0.2">
      <c r="B238" s="352" t="s">
        <v>876</v>
      </c>
      <c r="C238" s="352" t="s">
        <v>754</v>
      </c>
      <c r="F238" s="352" t="s">
        <v>1999</v>
      </c>
      <c r="G238" s="352" t="s">
        <v>2118</v>
      </c>
      <c r="H238" s="352" t="s">
        <v>1694</v>
      </c>
      <c r="I238" s="352" t="s">
        <v>988</v>
      </c>
      <c r="J238" s="352" t="s">
        <v>989</v>
      </c>
      <c r="K238" s="352">
        <v>2122</v>
      </c>
      <c r="L238" s="352" t="s">
        <v>1877</v>
      </c>
      <c r="M238" s="352" t="s">
        <v>2179</v>
      </c>
      <c r="N238" s="352" t="s">
        <v>2048</v>
      </c>
      <c r="O238" s="352">
        <v>11</v>
      </c>
      <c r="P238" s="352" t="s">
        <v>2063</v>
      </c>
      <c r="Q238" s="352" t="s">
        <v>2064</v>
      </c>
      <c r="R238" s="251">
        <v>150.69566575787039</v>
      </c>
      <c r="S238" s="251" t="s">
        <v>2015</v>
      </c>
      <c r="T238" s="251" t="s">
        <v>2016</v>
      </c>
      <c r="U238" s="251" t="s">
        <v>1931</v>
      </c>
      <c r="V238" s="251" t="s">
        <v>1932</v>
      </c>
      <c r="X238" s="251">
        <v>0</v>
      </c>
    </row>
    <row r="239" spans="2:24" x14ac:dyDescent="0.2">
      <c r="B239" s="352" t="s">
        <v>876</v>
      </c>
      <c r="C239" s="352" t="s">
        <v>754</v>
      </c>
      <c r="F239" s="352" t="s">
        <v>1999</v>
      </c>
      <c r="G239" s="352" t="s">
        <v>2118</v>
      </c>
      <c r="H239" s="352" t="s">
        <v>1699</v>
      </c>
      <c r="I239" s="352" t="s">
        <v>990</v>
      </c>
      <c r="J239" s="352" t="s">
        <v>991</v>
      </c>
      <c r="K239" s="352">
        <v>2132</v>
      </c>
      <c r="L239" s="352" t="s">
        <v>1880</v>
      </c>
      <c r="M239" s="352" t="s">
        <v>2180</v>
      </c>
      <c r="N239" s="352" t="s">
        <v>2048</v>
      </c>
      <c r="O239" s="352">
        <v>1</v>
      </c>
      <c r="P239" s="352" t="s">
        <v>2065</v>
      </c>
      <c r="Q239" s="352" t="s">
        <v>2066</v>
      </c>
      <c r="R239" s="251">
        <v>61.120595602605142</v>
      </c>
      <c r="S239" s="251" t="s">
        <v>2015</v>
      </c>
      <c r="T239" s="251" t="s">
        <v>2016</v>
      </c>
      <c r="U239" s="251" t="s">
        <v>1931</v>
      </c>
      <c r="V239" s="251" t="s">
        <v>1932</v>
      </c>
      <c r="X239" s="251">
        <v>0</v>
      </c>
    </row>
    <row r="240" spans="2:24" x14ac:dyDescent="0.2">
      <c r="B240" s="352" t="s">
        <v>876</v>
      </c>
      <c r="C240" s="352" t="s">
        <v>754</v>
      </c>
      <c r="F240" s="352" t="s">
        <v>1999</v>
      </c>
      <c r="G240" s="352" t="s">
        <v>2118</v>
      </c>
      <c r="H240" s="352" t="s">
        <v>1704</v>
      </c>
      <c r="I240" s="352" t="s">
        <v>994</v>
      </c>
      <c r="J240" s="352" t="s">
        <v>995</v>
      </c>
      <c r="K240" s="352">
        <v>2311</v>
      </c>
      <c r="L240" s="352" t="s">
        <v>1887</v>
      </c>
      <c r="M240" s="352" t="s">
        <v>2181</v>
      </c>
      <c r="N240" s="352" t="s">
        <v>2048</v>
      </c>
      <c r="O240" s="352">
        <v>8</v>
      </c>
      <c r="P240" s="352" t="s">
        <v>2067</v>
      </c>
      <c r="Q240" s="352" t="s">
        <v>2068</v>
      </c>
      <c r="R240" s="251">
        <v>3684.2974687214764</v>
      </c>
      <c r="S240" s="251" t="s">
        <v>2015</v>
      </c>
      <c r="T240" s="251" t="s">
        <v>2016</v>
      </c>
      <c r="U240" s="251" t="s">
        <v>1943</v>
      </c>
      <c r="V240" s="251" t="s">
        <v>1944</v>
      </c>
      <c r="X240" s="251">
        <v>0</v>
      </c>
    </row>
    <row r="241" spans="2:24" x14ac:dyDescent="0.2">
      <c r="B241" s="352" t="s">
        <v>876</v>
      </c>
      <c r="C241" s="352" t="s">
        <v>754</v>
      </c>
      <c r="F241" s="352" t="s">
        <v>1999</v>
      </c>
      <c r="G241" s="352" t="s">
        <v>2118</v>
      </c>
      <c r="H241" s="352" t="s">
        <v>1709</v>
      </c>
      <c r="I241" s="352" t="s">
        <v>996</v>
      </c>
      <c r="J241" s="352" t="s">
        <v>997</v>
      </c>
      <c r="K241" s="352">
        <v>2311</v>
      </c>
      <c r="L241" s="352" t="s">
        <v>1887</v>
      </c>
      <c r="M241" s="352" t="s">
        <v>2182</v>
      </c>
      <c r="N241" s="352" t="s">
        <v>2048</v>
      </c>
      <c r="O241" s="352">
        <v>8</v>
      </c>
      <c r="P241" s="352" t="s">
        <v>2067</v>
      </c>
      <c r="Q241" s="352" t="s">
        <v>2068</v>
      </c>
      <c r="R241" s="251">
        <v>0</v>
      </c>
      <c r="S241" s="251" t="s">
        <v>2015</v>
      </c>
      <c r="T241" s="251" t="s">
        <v>2054</v>
      </c>
      <c r="U241" s="251" t="s">
        <v>1943</v>
      </c>
      <c r="V241" s="251" t="s">
        <v>1944</v>
      </c>
      <c r="X241" s="251">
        <v>0</v>
      </c>
    </row>
    <row r="242" spans="2:24" x14ac:dyDescent="0.2">
      <c r="B242" s="352" t="s">
        <v>876</v>
      </c>
      <c r="C242" s="352" t="s">
        <v>754</v>
      </c>
      <c r="F242" s="352" t="s">
        <v>1999</v>
      </c>
      <c r="G242" s="352" t="s">
        <v>2118</v>
      </c>
      <c r="H242" s="352" t="s">
        <v>1714</v>
      </c>
      <c r="I242" s="352" t="s">
        <v>998</v>
      </c>
      <c r="J242" s="352" t="s">
        <v>999</v>
      </c>
      <c r="K242" s="352">
        <v>2311</v>
      </c>
      <c r="L242" s="352" t="s">
        <v>1887</v>
      </c>
      <c r="M242" s="352" t="s">
        <v>2183</v>
      </c>
      <c r="N242" s="352" t="s">
        <v>2048</v>
      </c>
      <c r="O242" s="352">
        <v>8</v>
      </c>
      <c r="P242" s="352" t="s">
        <v>2067</v>
      </c>
      <c r="Q242" s="352" t="s">
        <v>2068</v>
      </c>
      <c r="R242" s="251">
        <v>0</v>
      </c>
      <c r="S242" s="251" t="s">
        <v>2015</v>
      </c>
      <c r="T242" s="251" t="s">
        <v>2054</v>
      </c>
      <c r="U242" s="251" t="s">
        <v>1943</v>
      </c>
      <c r="V242" s="251" t="s">
        <v>1944</v>
      </c>
      <c r="X242" s="251">
        <v>0</v>
      </c>
    </row>
    <row r="243" spans="2:24" x14ac:dyDescent="0.2">
      <c r="B243" s="352" t="s">
        <v>876</v>
      </c>
      <c r="C243" s="352" t="s">
        <v>754</v>
      </c>
      <c r="F243" s="352" t="s">
        <v>1999</v>
      </c>
      <c r="G243" s="352" t="s">
        <v>2118</v>
      </c>
      <c r="H243" s="352" t="s">
        <v>1714</v>
      </c>
      <c r="I243" s="352" t="s">
        <v>998</v>
      </c>
      <c r="J243" s="352" t="s">
        <v>999</v>
      </c>
      <c r="K243" s="352">
        <v>2312</v>
      </c>
      <c r="L243" s="352" t="s">
        <v>789</v>
      </c>
      <c r="M243" s="352" t="s">
        <v>2184</v>
      </c>
      <c r="N243" s="352" t="s">
        <v>2048</v>
      </c>
      <c r="O243" s="352">
        <v>8</v>
      </c>
      <c r="P243" s="352" t="s">
        <v>2067</v>
      </c>
      <c r="Q243" s="352" t="s">
        <v>2068</v>
      </c>
      <c r="R243" s="251">
        <v>0</v>
      </c>
      <c r="S243" s="251" t="s">
        <v>2015</v>
      </c>
      <c r="T243" s="251" t="s">
        <v>2054</v>
      </c>
      <c r="U243" s="251" t="s">
        <v>1943</v>
      </c>
      <c r="V243" s="251" t="s">
        <v>1944</v>
      </c>
      <c r="X243" s="251">
        <v>0</v>
      </c>
    </row>
    <row r="244" spans="2:24" x14ac:dyDescent="0.2">
      <c r="B244" s="352" t="s">
        <v>876</v>
      </c>
      <c r="C244" s="352" t="s">
        <v>754</v>
      </c>
      <c r="F244" s="352" t="s">
        <v>1999</v>
      </c>
      <c r="G244" s="352" t="s">
        <v>2118</v>
      </c>
      <c r="H244" s="352" t="s">
        <v>1719</v>
      </c>
      <c r="I244" s="352" t="s">
        <v>1000</v>
      </c>
      <c r="J244" s="352" t="s">
        <v>1001</v>
      </c>
      <c r="K244" s="352">
        <v>2141</v>
      </c>
      <c r="L244" s="352" t="s">
        <v>1882</v>
      </c>
      <c r="M244" s="352" t="s">
        <v>2185</v>
      </c>
      <c r="N244" s="352" t="s">
        <v>2048</v>
      </c>
      <c r="O244" s="352">
        <v>12</v>
      </c>
      <c r="P244" s="352" t="s">
        <v>2069</v>
      </c>
      <c r="Q244" s="352" t="s">
        <v>2070</v>
      </c>
      <c r="R244" s="251">
        <v>11.534661872272883</v>
      </c>
      <c r="S244" s="251" t="s">
        <v>2015</v>
      </c>
      <c r="T244" s="251" t="s">
        <v>2016</v>
      </c>
      <c r="U244" s="251" t="s">
        <v>1935</v>
      </c>
      <c r="V244" s="251" t="s">
        <v>1936</v>
      </c>
      <c r="X244" s="251">
        <v>0</v>
      </c>
    </row>
    <row r="245" spans="2:24" x14ac:dyDescent="0.2">
      <c r="B245" s="352" t="s">
        <v>876</v>
      </c>
      <c r="C245" s="352" t="s">
        <v>754</v>
      </c>
      <c r="F245" s="352" t="s">
        <v>1999</v>
      </c>
      <c r="G245" s="352" t="s">
        <v>2118</v>
      </c>
      <c r="H245" s="352" t="s">
        <v>1719</v>
      </c>
      <c r="I245" s="352" t="s">
        <v>1000</v>
      </c>
      <c r="J245" s="352" t="s">
        <v>1001</v>
      </c>
      <c r="K245" s="352">
        <v>2142</v>
      </c>
      <c r="L245" s="352" t="s">
        <v>780</v>
      </c>
      <c r="M245" s="352" t="s">
        <v>2186</v>
      </c>
      <c r="N245" s="352" t="s">
        <v>2048</v>
      </c>
      <c r="O245" s="352">
        <v>12</v>
      </c>
      <c r="P245" s="352" t="s">
        <v>2069</v>
      </c>
      <c r="Q245" s="352" t="s">
        <v>2070</v>
      </c>
      <c r="R245" s="251">
        <v>28.693592567808768</v>
      </c>
      <c r="S245" s="251" t="s">
        <v>2015</v>
      </c>
      <c r="T245" s="251" t="s">
        <v>2016</v>
      </c>
      <c r="U245" s="251">
        <v>0</v>
      </c>
      <c r="V245" s="251" t="s">
        <v>2153</v>
      </c>
      <c r="X245" s="251">
        <v>0</v>
      </c>
    </row>
    <row r="246" spans="2:24" x14ac:dyDescent="0.2">
      <c r="B246" s="352" t="s">
        <v>876</v>
      </c>
      <c r="C246" s="352" t="s">
        <v>754</v>
      </c>
      <c r="F246" s="352" t="s">
        <v>1999</v>
      </c>
      <c r="G246" s="352" t="s">
        <v>2118</v>
      </c>
      <c r="H246" s="352" t="s">
        <v>1724</v>
      </c>
      <c r="I246" s="352" t="s">
        <v>1002</v>
      </c>
      <c r="J246" s="352" t="s">
        <v>1003</v>
      </c>
      <c r="K246" s="352">
        <v>2113</v>
      </c>
      <c r="L246" s="352" t="s">
        <v>1875</v>
      </c>
      <c r="M246" s="352" t="s">
        <v>2187</v>
      </c>
      <c r="N246" s="352" t="s">
        <v>2048</v>
      </c>
      <c r="O246" s="352">
        <v>1</v>
      </c>
      <c r="P246" s="352" t="s">
        <v>2065</v>
      </c>
      <c r="Q246" s="352" t="s">
        <v>2066</v>
      </c>
      <c r="R246" s="251">
        <v>0.80865974677099495</v>
      </c>
      <c r="S246" s="251" t="s">
        <v>2015</v>
      </c>
      <c r="T246" s="251" t="s">
        <v>2016</v>
      </c>
      <c r="U246" s="251" t="s">
        <v>1935</v>
      </c>
      <c r="V246" s="251" t="s">
        <v>1936</v>
      </c>
      <c r="X246" s="251">
        <v>0</v>
      </c>
    </row>
    <row r="247" spans="2:24" x14ac:dyDescent="0.2">
      <c r="B247" s="352" t="s">
        <v>876</v>
      </c>
      <c r="C247" s="352" t="s">
        <v>754</v>
      </c>
      <c r="F247" s="352" t="s">
        <v>1999</v>
      </c>
      <c r="G247" s="352" t="s">
        <v>2118</v>
      </c>
      <c r="H247" s="352" t="s">
        <v>1724</v>
      </c>
      <c r="I247" s="352" t="s">
        <v>1002</v>
      </c>
      <c r="J247" s="352" t="s">
        <v>1003</v>
      </c>
      <c r="K247" s="352">
        <v>2123</v>
      </c>
      <c r="L247" s="352" t="s">
        <v>1878</v>
      </c>
      <c r="M247" s="352" t="s">
        <v>2188</v>
      </c>
      <c r="N247" s="352" t="s">
        <v>2048</v>
      </c>
      <c r="O247" s="352">
        <v>1</v>
      </c>
      <c r="P247" s="352" t="s">
        <v>2065</v>
      </c>
      <c r="Q247" s="352" t="s">
        <v>2066</v>
      </c>
      <c r="R247" s="251">
        <v>9.5643447863376565</v>
      </c>
      <c r="S247" s="251" t="s">
        <v>2015</v>
      </c>
      <c r="T247" s="251" t="s">
        <v>2016</v>
      </c>
      <c r="U247" s="251" t="s">
        <v>1935</v>
      </c>
      <c r="V247" s="251" t="s">
        <v>1936</v>
      </c>
      <c r="X247" s="251">
        <v>0</v>
      </c>
    </row>
    <row r="248" spans="2:24" x14ac:dyDescent="0.2">
      <c r="B248" s="352" t="s">
        <v>876</v>
      </c>
      <c r="C248" s="352" t="s">
        <v>754</v>
      </c>
      <c r="F248" s="352" t="s">
        <v>1999</v>
      </c>
      <c r="G248" s="352" t="s">
        <v>2118</v>
      </c>
      <c r="H248" s="352" t="s">
        <v>1729</v>
      </c>
      <c r="I248" s="352" t="s">
        <v>1006</v>
      </c>
      <c r="J248" s="352" t="s">
        <v>1007</v>
      </c>
      <c r="K248" s="352">
        <v>2133</v>
      </c>
      <c r="L248" s="352" t="s">
        <v>1881</v>
      </c>
      <c r="M248" s="352" t="s">
        <v>2189</v>
      </c>
      <c r="N248" s="352" t="s">
        <v>2048</v>
      </c>
      <c r="O248" s="352">
        <v>1</v>
      </c>
      <c r="P248" s="352" t="s">
        <v>2065</v>
      </c>
      <c r="Q248" s="352" t="s">
        <v>2066</v>
      </c>
      <c r="R248" s="251">
        <v>78.775955553567726</v>
      </c>
      <c r="S248" s="251" t="s">
        <v>2015</v>
      </c>
      <c r="T248" s="251" t="s">
        <v>2016</v>
      </c>
      <c r="U248" s="251" t="s">
        <v>1935</v>
      </c>
      <c r="V248" s="251" t="s">
        <v>1936</v>
      </c>
      <c r="X248" s="251">
        <v>0</v>
      </c>
    </row>
    <row r="249" spans="2:24" x14ac:dyDescent="0.2">
      <c r="B249" s="352" t="s">
        <v>876</v>
      </c>
      <c r="C249" s="352" t="s">
        <v>754</v>
      </c>
      <c r="F249" s="352" t="s">
        <v>1999</v>
      </c>
      <c r="G249" s="352" t="s">
        <v>2118</v>
      </c>
      <c r="H249" s="352" t="s">
        <v>1729</v>
      </c>
      <c r="I249" s="352" t="s">
        <v>1006</v>
      </c>
      <c r="J249" s="352" t="s">
        <v>1007</v>
      </c>
      <c r="K249" s="352">
        <v>2141</v>
      </c>
      <c r="L249" s="352" t="s">
        <v>1882</v>
      </c>
      <c r="M249" s="352" t="s">
        <v>2190</v>
      </c>
      <c r="N249" s="352" t="s">
        <v>2048</v>
      </c>
      <c r="O249" s="352">
        <v>1</v>
      </c>
      <c r="P249" s="352" t="s">
        <v>2065</v>
      </c>
      <c r="Q249" s="352" t="s">
        <v>2066</v>
      </c>
      <c r="R249" s="251">
        <v>0</v>
      </c>
      <c r="S249" s="251" t="s">
        <v>2015</v>
      </c>
      <c r="T249" s="251" t="s">
        <v>2054</v>
      </c>
      <c r="U249" s="251" t="s">
        <v>1935</v>
      </c>
      <c r="V249" s="251" t="s">
        <v>1936</v>
      </c>
      <c r="X249" s="251">
        <v>0</v>
      </c>
    </row>
    <row r="250" spans="2:24" x14ac:dyDescent="0.2">
      <c r="B250" s="352" t="s">
        <v>876</v>
      </c>
      <c r="C250" s="352" t="s">
        <v>754</v>
      </c>
      <c r="F250" s="352" t="s">
        <v>1999</v>
      </c>
      <c r="G250" s="352" t="s">
        <v>2118</v>
      </c>
      <c r="H250" s="352" t="s">
        <v>1729</v>
      </c>
      <c r="I250" s="352" t="s">
        <v>1006</v>
      </c>
      <c r="J250" s="352" t="s">
        <v>1007</v>
      </c>
      <c r="K250" s="352">
        <v>2221</v>
      </c>
      <c r="L250" s="352" t="s">
        <v>1884</v>
      </c>
      <c r="M250" s="352" t="s">
        <v>2191</v>
      </c>
      <c r="N250" s="352" t="s">
        <v>2048</v>
      </c>
      <c r="O250" s="352">
        <v>1</v>
      </c>
      <c r="P250" s="352" t="s">
        <v>2065</v>
      </c>
      <c r="Q250" s="352" t="s">
        <v>2066</v>
      </c>
      <c r="R250" s="251">
        <v>0.59875421668345474</v>
      </c>
      <c r="S250" s="251" t="s">
        <v>2015</v>
      </c>
      <c r="T250" s="251" t="s">
        <v>2016</v>
      </c>
      <c r="U250" s="251" t="s">
        <v>1935</v>
      </c>
      <c r="V250" s="251" t="s">
        <v>1936</v>
      </c>
      <c r="X250" s="251">
        <v>0</v>
      </c>
    </row>
    <row r="251" spans="2:24" x14ac:dyDescent="0.2">
      <c r="B251" s="352" t="s">
        <v>876</v>
      </c>
      <c r="C251" s="352" t="s">
        <v>754</v>
      </c>
      <c r="F251" s="352" t="s">
        <v>1999</v>
      </c>
      <c r="G251" s="352" t="s">
        <v>2118</v>
      </c>
      <c r="H251" s="352" t="s">
        <v>1734</v>
      </c>
      <c r="I251" s="352" t="s">
        <v>1008</v>
      </c>
      <c r="J251" s="352" t="s">
        <v>1009</v>
      </c>
      <c r="K251" s="352">
        <v>2223</v>
      </c>
      <c r="L251" s="352" t="s">
        <v>1886</v>
      </c>
      <c r="M251" s="352" t="s">
        <v>2192</v>
      </c>
      <c r="N251" s="352" t="s">
        <v>2048</v>
      </c>
      <c r="O251" s="352">
        <v>2</v>
      </c>
      <c r="P251" s="352" t="s">
        <v>2071</v>
      </c>
      <c r="Q251" s="352" t="s">
        <v>2072</v>
      </c>
      <c r="R251" s="251">
        <v>0.27666363481483458</v>
      </c>
      <c r="S251" s="251" t="s">
        <v>2193</v>
      </c>
      <c r="T251" s="251" t="s">
        <v>2213</v>
      </c>
      <c r="U251" s="251" t="s">
        <v>1937</v>
      </c>
      <c r="V251" s="251" t="s">
        <v>1938</v>
      </c>
      <c r="X251" s="251">
        <v>0</v>
      </c>
    </row>
    <row r="252" spans="2:24" x14ac:dyDescent="0.2">
      <c r="B252" s="352" t="s">
        <v>876</v>
      </c>
      <c r="C252" s="352" t="s">
        <v>754</v>
      </c>
      <c r="F252" s="352" t="s">
        <v>1999</v>
      </c>
      <c r="G252" s="352" t="s">
        <v>2118</v>
      </c>
      <c r="H252" s="352" t="s">
        <v>1739</v>
      </c>
      <c r="I252" s="352" t="s">
        <v>1010</v>
      </c>
      <c r="J252" s="352" t="s">
        <v>1011</v>
      </c>
      <c r="K252" s="352">
        <v>2222</v>
      </c>
      <c r="L252" s="352" t="s">
        <v>1885</v>
      </c>
      <c r="M252" s="352" t="s">
        <v>2194</v>
      </c>
      <c r="N252" s="352" t="s">
        <v>2048</v>
      </c>
      <c r="O252" s="352">
        <v>2</v>
      </c>
      <c r="P252" s="352" t="s">
        <v>2071</v>
      </c>
      <c r="Q252" s="352" t="s">
        <v>2072</v>
      </c>
      <c r="R252" s="251">
        <v>1.3862672329687287</v>
      </c>
      <c r="S252" s="251" t="s">
        <v>2193</v>
      </c>
      <c r="T252" s="251" t="s">
        <v>2213</v>
      </c>
      <c r="U252" s="251" t="s">
        <v>1939</v>
      </c>
      <c r="V252" s="251" t="s">
        <v>1940</v>
      </c>
      <c r="X252" s="251">
        <v>0</v>
      </c>
    </row>
    <row r="253" spans="2:24" x14ac:dyDescent="0.2">
      <c r="B253" s="352" t="s">
        <v>876</v>
      </c>
      <c r="C253" s="352" t="s">
        <v>754</v>
      </c>
      <c r="F253" s="352" t="s">
        <v>1999</v>
      </c>
      <c r="G253" s="352" t="s">
        <v>2118</v>
      </c>
      <c r="H253" s="352" t="s">
        <v>1744</v>
      </c>
      <c r="I253" s="352" t="s">
        <v>1012</v>
      </c>
      <c r="J253" s="352" t="s">
        <v>1013</v>
      </c>
      <c r="K253" s="352">
        <v>2222</v>
      </c>
      <c r="L253" s="352" t="s">
        <v>1885</v>
      </c>
      <c r="M253" s="352" t="s">
        <v>2195</v>
      </c>
      <c r="N253" s="352" t="s">
        <v>2048</v>
      </c>
      <c r="O253" s="352">
        <v>2</v>
      </c>
      <c r="P253" s="352" t="s">
        <v>2071</v>
      </c>
      <c r="Q253" s="352" t="s">
        <v>2072</v>
      </c>
      <c r="R253" s="251">
        <v>0</v>
      </c>
      <c r="S253" s="251" t="s">
        <v>2193</v>
      </c>
      <c r="T253" s="251" t="s">
        <v>2054</v>
      </c>
      <c r="U253" s="251" t="s">
        <v>1939</v>
      </c>
      <c r="V253" s="251" t="s">
        <v>1940</v>
      </c>
      <c r="X253" s="251">
        <v>0</v>
      </c>
    </row>
    <row r="254" spans="2:24" x14ac:dyDescent="0.2">
      <c r="B254" s="352" t="s">
        <v>876</v>
      </c>
      <c r="C254" s="352" t="s">
        <v>754</v>
      </c>
      <c r="F254" s="352" t="s">
        <v>1999</v>
      </c>
      <c r="G254" s="352" t="s">
        <v>2118</v>
      </c>
      <c r="H254" s="352" t="s">
        <v>1749</v>
      </c>
      <c r="I254" s="352" t="s">
        <v>1014</v>
      </c>
      <c r="J254" s="352" t="s">
        <v>1893</v>
      </c>
      <c r="K254" s="352">
        <v>2131</v>
      </c>
      <c r="L254" s="352" t="s">
        <v>1879</v>
      </c>
      <c r="M254" s="352" t="s">
        <v>2196</v>
      </c>
      <c r="N254" s="352" t="s">
        <v>2048</v>
      </c>
      <c r="O254" s="352">
        <v>8</v>
      </c>
      <c r="P254" s="352" t="s">
        <v>2067</v>
      </c>
      <c r="Q254" s="352" t="s">
        <v>2068</v>
      </c>
      <c r="R254" s="251">
        <v>0</v>
      </c>
      <c r="S254" s="251" t="s">
        <v>2015</v>
      </c>
      <c r="T254" s="251" t="s">
        <v>2054</v>
      </c>
      <c r="U254" s="251" t="s">
        <v>1929</v>
      </c>
      <c r="V254" s="251" t="s">
        <v>1930</v>
      </c>
      <c r="X254" s="251">
        <v>0</v>
      </c>
    </row>
    <row r="255" spans="2:24" x14ac:dyDescent="0.2">
      <c r="B255" s="352" t="s">
        <v>876</v>
      </c>
      <c r="C255" s="352" t="s">
        <v>754</v>
      </c>
      <c r="F255" s="352" t="s">
        <v>1999</v>
      </c>
      <c r="G255" s="352" t="s">
        <v>2118</v>
      </c>
      <c r="H255" s="352" t="s">
        <v>1749</v>
      </c>
      <c r="I255" s="352" t="s">
        <v>1014</v>
      </c>
      <c r="J255" s="352" t="s">
        <v>1893</v>
      </c>
      <c r="K255" s="352">
        <v>2132</v>
      </c>
      <c r="L255" s="352" t="s">
        <v>1880</v>
      </c>
      <c r="M255" s="352" t="s">
        <v>2197</v>
      </c>
      <c r="N255" s="352" t="s">
        <v>2048</v>
      </c>
      <c r="O255" s="352">
        <v>8</v>
      </c>
      <c r="P255" s="352" t="s">
        <v>2067</v>
      </c>
      <c r="Q255" s="352" t="s">
        <v>2068</v>
      </c>
      <c r="R255" s="251">
        <v>0</v>
      </c>
      <c r="S255" s="251" t="s">
        <v>2015</v>
      </c>
      <c r="T255" s="251" t="s">
        <v>2054</v>
      </c>
      <c r="U255" s="251" t="s">
        <v>1931</v>
      </c>
      <c r="V255" s="251" t="s">
        <v>1932</v>
      </c>
      <c r="X255" s="251">
        <v>0</v>
      </c>
    </row>
    <row r="256" spans="2:24" x14ac:dyDescent="0.2">
      <c r="B256" s="352" t="s">
        <v>876</v>
      </c>
      <c r="C256" s="352" t="s">
        <v>754</v>
      </c>
      <c r="F256" s="352" t="s">
        <v>1999</v>
      </c>
      <c r="G256" s="352" t="s">
        <v>2118</v>
      </c>
      <c r="H256" s="352" t="s">
        <v>1749</v>
      </c>
      <c r="I256" s="352" t="s">
        <v>1014</v>
      </c>
      <c r="J256" s="352" t="s">
        <v>1893</v>
      </c>
      <c r="K256" s="352">
        <v>2133</v>
      </c>
      <c r="L256" s="352" t="s">
        <v>1881</v>
      </c>
      <c r="M256" s="352" t="s">
        <v>2198</v>
      </c>
      <c r="N256" s="352" t="s">
        <v>2048</v>
      </c>
      <c r="O256" s="352">
        <v>8</v>
      </c>
      <c r="P256" s="352" t="s">
        <v>2067</v>
      </c>
      <c r="Q256" s="352" t="s">
        <v>2068</v>
      </c>
      <c r="R256" s="251">
        <v>0</v>
      </c>
      <c r="S256" s="251" t="s">
        <v>2015</v>
      </c>
      <c r="T256" s="251" t="s">
        <v>2054</v>
      </c>
      <c r="U256" s="251" t="s">
        <v>1935</v>
      </c>
      <c r="V256" s="251" t="s">
        <v>1936</v>
      </c>
      <c r="X256" s="251">
        <v>0</v>
      </c>
    </row>
    <row r="257" spans="2:24" x14ac:dyDescent="0.2">
      <c r="B257" s="352" t="s">
        <v>876</v>
      </c>
      <c r="C257" s="352" t="s">
        <v>754</v>
      </c>
      <c r="F257" s="352" t="s">
        <v>1999</v>
      </c>
      <c r="G257" s="352" t="s">
        <v>2118</v>
      </c>
      <c r="H257" s="352" t="s">
        <v>1749</v>
      </c>
      <c r="I257" s="352" t="s">
        <v>1014</v>
      </c>
      <c r="J257" s="352" t="s">
        <v>1893</v>
      </c>
      <c r="K257" s="352">
        <v>2134</v>
      </c>
      <c r="L257" s="352" t="s">
        <v>775</v>
      </c>
      <c r="M257" s="352" t="s">
        <v>2199</v>
      </c>
      <c r="N257" s="352" t="s">
        <v>2048</v>
      </c>
      <c r="O257" s="352">
        <v>8</v>
      </c>
      <c r="P257" s="352" t="s">
        <v>2067</v>
      </c>
      <c r="Q257" s="352" t="s">
        <v>2068</v>
      </c>
      <c r="R257" s="251">
        <v>5.7765184973207138</v>
      </c>
      <c r="S257" s="251" t="s">
        <v>2015</v>
      </c>
      <c r="T257" s="251" t="s">
        <v>2016</v>
      </c>
      <c r="U257" s="251">
        <v>0</v>
      </c>
      <c r="V257" s="251" t="s">
        <v>2153</v>
      </c>
      <c r="X257" s="251">
        <v>0</v>
      </c>
    </row>
    <row r="258" spans="2:24" x14ac:dyDescent="0.2">
      <c r="B258" s="352" t="s">
        <v>876</v>
      </c>
      <c r="C258" s="352" t="s">
        <v>754</v>
      </c>
      <c r="F258" s="352" t="s">
        <v>1999</v>
      </c>
      <c r="G258" s="352" t="s">
        <v>2118</v>
      </c>
      <c r="H258" s="352" t="s">
        <v>1749</v>
      </c>
      <c r="I258" s="352" t="s">
        <v>1014</v>
      </c>
      <c r="J258" s="352" t="s">
        <v>1893</v>
      </c>
      <c r="K258" s="352">
        <v>2141</v>
      </c>
      <c r="L258" s="352" t="s">
        <v>1882</v>
      </c>
      <c r="M258" s="352" t="s">
        <v>2200</v>
      </c>
      <c r="N258" s="352" t="s">
        <v>2048</v>
      </c>
      <c r="O258" s="352">
        <v>8</v>
      </c>
      <c r="P258" s="352" t="s">
        <v>2067</v>
      </c>
      <c r="Q258" s="352" t="s">
        <v>2068</v>
      </c>
      <c r="R258" s="251">
        <v>0.356742119761017</v>
      </c>
      <c r="S258" s="251" t="s">
        <v>2015</v>
      </c>
      <c r="T258" s="251" t="s">
        <v>2016</v>
      </c>
      <c r="U258" s="251" t="s">
        <v>1935</v>
      </c>
      <c r="V258" s="251" t="s">
        <v>1936</v>
      </c>
      <c r="X258" s="251">
        <v>0</v>
      </c>
    </row>
    <row r="259" spans="2:24" x14ac:dyDescent="0.2">
      <c r="B259" s="352" t="s">
        <v>876</v>
      </c>
      <c r="C259" s="352" t="s">
        <v>754</v>
      </c>
      <c r="F259" s="352" t="s">
        <v>1999</v>
      </c>
      <c r="G259" s="352" t="s">
        <v>2118</v>
      </c>
      <c r="H259" s="352" t="s">
        <v>1749</v>
      </c>
      <c r="I259" s="352" t="s">
        <v>1014</v>
      </c>
      <c r="J259" s="352" t="s">
        <v>1893</v>
      </c>
      <c r="K259" s="352">
        <v>2211</v>
      </c>
      <c r="L259" s="352" t="s">
        <v>1883</v>
      </c>
      <c r="M259" s="352" t="s">
        <v>2201</v>
      </c>
      <c r="N259" s="352" t="s">
        <v>2048</v>
      </c>
      <c r="O259" s="352">
        <v>8</v>
      </c>
      <c r="P259" s="352" t="s">
        <v>2067</v>
      </c>
      <c r="Q259" s="352" t="s">
        <v>2068</v>
      </c>
      <c r="R259" s="251">
        <v>0</v>
      </c>
      <c r="S259" s="251" t="s">
        <v>2015</v>
      </c>
      <c r="T259" s="251" t="s">
        <v>2054</v>
      </c>
      <c r="U259" s="251" t="s">
        <v>1929</v>
      </c>
      <c r="V259" s="251" t="s">
        <v>1930</v>
      </c>
      <c r="X259" s="251">
        <v>0</v>
      </c>
    </row>
    <row r="260" spans="2:24" x14ac:dyDescent="0.2">
      <c r="B260" s="352" t="s">
        <v>876</v>
      </c>
      <c r="C260" s="352" t="s">
        <v>754</v>
      </c>
      <c r="F260" s="352" t="s">
        <v>1999</v>
      </c>
      <c r="G260" s="352" t="s">
        <v>2118</v>
      </c>
      <c r="H260" s="352" t="s">
        <v>1749</v>
      </c>
      <c r="I260" s="352" t="s">
        <v>1014</v>
      </c>
      <c r="J260" s="352" t="s">
        <v>1893</v>
      </c>
      <c r="K260" s="352">
        <v>2221</v>
      </c>
      <c r="L260" s="352" t="s">
        <v>1884</v>
      </c>
      <c r="M260" s="352" t="s">
        <v>2202</v>
      </c>
      <c r="N260" s="352" t="s">
        <v>2048</v>
      </c>
      <c r="O260" s="352">
        <v>8</v>
      </c>
      <c r="P260" s="352" t="s">
        <v>2067</v>
      </c>
      <c r="Q260" s="352" t="s">
        <v>2068</v>
      </c>
      <c r="R260" s="251">
        <v>0</v>
      </c>
      <c r="S260" s="251" t="s">
        <v>2015</v>
      </c>
      <c r="T260" s="251" t="s">
        <v>2054</v>
      </c>
      <c r="U260" s="251" t="s">
        <v>1935</v>
      </c>
      <c r="V260" s="251" t="s">
        <v>1936</v>
      </c>
      <c r="X260" s="251">
        <v>0</v>
      </c>
    </row>
    <row r="261" spans="2:24" x14ac:dyDescent="0.2">
      <c r="B261" s="352" t="s">
        <v>876</v>
      </c>
      <c r="C261" s="352" t="s">
        <v>754</v>
      </c>
      <c r="F261" s="352" t="s">
        <v>1999</v>
      </c>
      <c r="G261" s="352" t="s">
        <v>2118</v>
      </c>
      <c r="H261" s="352" t="s">
        <v>1754</v>
      </c>
      <c r="I261" s="352" t="s">
        <v>1015</v>
      </c>
      <c r="J261" s="352" t="s">
        <v>1016</v>
      </c>
      <c r="K261" s="352">
        <v>3111</v>
      </c>
      <c r="L261" s="352" t="s">
        <v>763</v>
      </c>
      <c r="M261" s="352" t="s">
        <v>2203</v>
      </c>
      <c r="N261" s="352" t="s">
        <v>2048</v>
      </c>
      <c r="O261" s="352">
        <v>1</v>
      </c>
      <c r="P261" s="352" t="s">
        <v>2065</v>
      </c>
      <c r="Q261" s="352" t="s">
        <v>2066</v>
      </c>
      <c r="R261" s="251">
        <v>0</v>
      </c>
      <c r="S261" s="251"/>
      <c r="T261" s="251" t="s">
        <v>2054</v>
      </c>
      <c r="U261" s="251" t="s">
        <v>1945</v>
      </c>
      <c r="V261" s="251" t="s">
        <v>709</v>
      </c>
      <c r="X261" s="251">
        <v>0</v>
      </c>
    </row>
    <row r="262" spans="2:24" x14ac:dyDescent="0.2">
      <c r="B262" s="352" t="s">
        <v>876</v>
      </c>
      <c r="C262" s="352" t="s">
        <v>754</v>
      </c>
      <c r="F262" s="352" t="s">
        <v>1999</v>
      </c>
      <c r="G262" s="352" t="s">
        <v>2118</v>
      </c>
      <c r="H262" s="352" t="s">
        <v>1754</v>
      </c>
      <c r="I262" s="352" t="s">
        <v>1015</v>
      </c>
      <c r="J262" s="352" t="s">
        <v>1016</v>
      </c>
      <c r="K262" s="352">
        <v>3121</v>
      </c>
      <c r="L262" s="352" t="s">
        <v>766</v>
      </c>
      <c r="M262" s="352" t="s">
        <v>2204</v>
      </c>
      <c r="N262" s="352" t="s">
        <v>2048</v>
      </c>
      <c r="O262" s="352">
        <v>1</v>
      </c>
      <c r="P262" s="352" t="s">
        <v>2065</v>
      </c>
      <c r="Q262" s="352" t="s">
        <v>2066</v>
      </c>
      <c r="R262" s="251">
        <v>0</v>
      </c>
      <c r="S262" s="251"/>
      <c r="T262" s="251" t="s">
        <v>2054</v>
      </c>
      <c r="U262" s="251" t="s">
        <v>1945</v>
      </c>
      <c r="V262" s="251" t="s">
        <v>709</v>
      </c>
      <c r="X262" s="251">
        <v>0</v>
      </c>
    </row>
    <row r="263" spans="2:24" x14ac:dyDescent="0.2">
      <c r="B263" s="352" t="s">
        <v>876</v>
      </c>
      <c r="C263" s="352" t="s">
        <v>754</v>
      </c>
      <c r="F263" s="352" t="s">
        <v>1999</v>
      </c>
      <c r="G263" s="352" t="s">
        <v>2118</v>
      </c>
      <c r="H263" s="352" t="s">
        <v>1759</v>
      </c>
      <c r="I263" s="352" t="s">
        <v>1017</v>
      </c>
      <c r="J263" s="352" t="s">
        <v>1018</v>
      </c>
      <c r="K263" s="352">
        <v>4111</v>
      </c>
      <c r="L263" s="352" t="s">
        <v>770</v>
      </c>
      <c r="M263" s="352" t="s">
        <v>2205</v>
      </c>
      <c r="N263" s="352" t="s">
        <v>2048</v>
      </c>
      <c r="O263" s="352">
        <v>11</v>
      </c>
      <c r="P263" s="352" t="s">
        <v>2063</v>
      </c>
      <c r="Q263" s="352" t="s">
        <v>2064</v>
      </c>
      <c r="R263" s="251">
        <v>64.998404586668585</v>
      </c>
      <c r="S263" s="251" t="s">
        <v>2015</v>
      </c>
      <c r="T263" s="251" t="s">
        <v>2016</v>
      </c>
      <c r="U263" s="251" t="s">
        <v>1946</v>
      </c>
      <c r="V263" s="251" t="s">
        <v>1947</v>
      </c>
      <c r="X263" s="251">
        <v>0</v>
      </c>
    </row>
    <row r="264" spans="2:24" x14ac:dyDescent="0.2">
      <c r="B264" s="352" t="s">
        <v>876</v>
      </c>
      <c r="C264" s="352" t="s">
        <v>754</v>
      </c>
      <c r="F264" s="352" t="s">
        <v>1999</v>
      </c>
      <c r="G264" s="352" t="s">
        <v>2118</v>
      </c>
      <c r="H264" s="352" t="s">
        <v>1759</v>
      </c>
      <c r="I264" s="352" t="s">
        <v>1017</v>
      </c>
      <c r="J264" s="352" t="s">
        <v>1018</v>
      </c>
      <c r="K264" s="352">
        <v>4121</v>
      </c>
      <c r="L264" s="352" t="s">
        <v>772</v>
      </c>
      <c r="M264" s="352" t="s">
        <v>2206</v>
      </c>
      <c r="N264" s="352" t="s">
        <v>2048</v>
      </c>
      <c r="O264" s="352">
        <v>11</v>
      </c>
      <c r="P264" s="352" t="s">
        <v>2063</v>
      </c>
      <c r="Q264" s="352" t="s">
        <v>2064</v>
      </c>
      <c r="R264" s="251">
        <v>76.444014208759668</v>
      </c>
      <c r="S264" s="251" t="s">
        <v>2015</v>
      </c>
      <c r="T264" s="251" t="s">
        <v>2016</v>
      </c>
      <c r="U264" s="251" t="s">
        <v>1946</v>
      </c>
      <c r="V264" s="251" t="s">
        <v>1947</v>
      </c>
      <c r="X264" s="251">
        <v>0</v>
      </c>
    </row>
    <row r="265" spans="2:24" x14ac:dyDescent="0.2">
      <c r="B265" s="352" t="s">
        <v>876</v>
      </c>
      <c r="C265" s="352" t="s">
        <v>754</v>
      </c>
      <c r="F265" s="352" t="s">
        <v>1999</v>
      </c>
      <c r="G265" s="352" t="s">
        <v>2118</v>
      </c>
      <c r="H265" s="352" t="s">
        <v>1764</v>
      </c>
      <c r="I265" s="352" t="s">
        <v>1019</v>
      </c>
      <c r="J265" s="352" t="s">
        <v>1020</v>
      </c>
      <c r="K265" s="352">
        <v>4231</v>
      </c>
      <c r="L265" s="352" t="s">
        <v>774</v>
      </c>
      <c r="M265" s="352" t="s">
        <v>2207</v>
      </c>
      <c r="N265" s="352" t="s">
        <v>2048</v>
      </c>
      <c r="O265" s="352">
        <v>1</v>
      </c>
      <c r="P265" s="352" t="s">
        <v>2065</v>
      </c>
      <c r="Q265" s="352" t="s">
        <v>2066</v>
      </c>
      <c r="R265" s="251">
        <v>613.13049765121048</v>
      </c>
      <c r="S265" s="251" t="s">
        <v>2015</v>
      </c>
      <c r="T265" s="251" t="s">
        <v>2016</v>
      </c>
      <c r="U265" s="251" t="s">
        <v>1948</v>
      </c>
      <c r="V265" s="251" t="s">
        <v>1949</v>
      </c>
      <c r="X265" s="251">
        <v>0</v>
      </c>
    </row>
    <row r="266" spans="2:24" x14ac:dyDescent="0.2">
      <c r="B266" s="352" t="s">
        <v>876</v>
      </c>
      <c r="C266" s="352" t="s">
        <v>754</v>
      </c>
      <c r="F266" s="352" t="s">
        <v>1999</v>
      </c>
      <c r="G266" s="352" t="s">
        <v>2118</v>
      </c>
      <c r="H266" s="352" t="s">
        <v>1764</v>
      </c>
      <c r="I266" s="352" t="s">
        <v>1019</v>
      </c>
      <c r="J266" s="352" t="s">
        <v>1020</v>
      </c>
      <c r="K266" s="352">
        <v>4241</v>
      </c>
      <c r="L266" s="352" t="s">
        <v>777</v>
      </c>
      <c r="M266" s="352" t="s">
        <v>2208</v>
      </c>
      <c r="N266" s="352" t="s">
        <v>2048</v>
      </c>
      <c r="O266" s="352">
        <v>1</v>
      </c>
      <c r="P266" s="352" t="s">
        <v>2065</v>
      </c>
      <c r="Q266" s="352" t="s">
        <v>2066</v>
      </c>
      <c r="R266" s="251">
        <v>19822.546504618138</v>
      </c>
      <c r="S266" s="251" t="s">
        <v>2015</v>
      </c>
      <c r="T266" s="251" t="s">
        <v>2016</v>
      </c>
      <c r="U266" s="251" t="s">
        <v>1950</v>
      </c>
      <c r="V266" s="251" t="s">
        <v>1951</v>
      </c>
      <c r="X266" s="251">
        <v>0</v>
      </c>
    </row>
    <row r="267" spans="2:24" x14ac:dyDescent="0.2">
      <c r="B267" s="352" t="s">
        <v>876</v>
      </c>
      <c r="C267" s="352" t="s">
        <v>754</v>
      </c>
      <c r="F267" s="352" t="s">
        <v>1999</v>
      </c>
      <c r="G267" s="352" t="s">
        <v>2118</v>
      </c>
      <c r="H267" s="352" t="s">
        <v>1764</v>
      </c>
      <c r="I267" s="352" t="s">
        <v>1019</v>
      </c>
      <c r="J267" s="352" t="s">
        <v>1020</v>
      </c>
      <c r="K267" s="352">
        <v>4311</v>
      </c>
      <c r="L267" s="352" t="s">
        <v>779</v>
      </c>
      <c r="M267" s="352" t="s">
        <v>2209</v>
      </c>
      <c r="N267" s="352" t="s">
        <v>2048</v>
      </c>
      <c r="O267" s="352">
        <v>1</v>
      </c>
      <c r="P267" s="352" t="s">
        <v>2065</v>
      </c>
      <c r="Q267" s="352" t="s">
        <v>2066</v>
      </c>
      <c r="R267" s="251">
        <v>0</v>
      </c>
      <c r="S267" s="251" t="s">
        <v>2015</v>
      </c>
      <c r="T267" s="251" t="s">
        <v>2054</v>
      </c>
      <c r="U267" s="251" t="s">
        <v>1952</v>
      </c>
      <c r="V267" s="251" t="s">
        <v>1953</v>
      </c>
      <c r="X267" s="251">
        <v>0</v>
      </c>
    </row>
    <row r="268" spans="2:24" x14ac:dyDescent="0.2">
      <c r="B268" s="352" t="s">
        <v>876</v>
      </c>
      <c r="C268" s="352" t="s">
        <v>754</v>
      </c>
      <c r="F268" s="352" t="s">
        <v>1999</v>
      </c>
      <c r="G268" s="352" t="s">
        <v>2118</v>
      </c>
      <c r="H268" s="352" t="s">
        <v>1769</v>
      </c>
      <c r="I268" s="352" t="s">
        <v>1021</v>
      </c>
      <c r="J268" s="352" t="s">
        <v>751</v>
      </c>
      <c r="K268" s="352">
        <v>4231</v>
      </c>
      <c r="L268" s="352" t="s">
        <v>774</v>
      </c>
      <c r="M268" s="352" t="s">
        <v>2210</v>
      </c>
      <c r="N268" s="352" t="s">
        <v>2048</v>
      </c>
      <c r="O268" s="352">
        <v>20</v>
      </c>
      <c r="P268" s="352" t="s">
        <v>2073</v>
      </c>
      <c r="Q268" s="352" t="s">
        <v>2074</v>
      </c>
      <c r="R268" s="251">
        <v>0</v>
      </c>
      <c r="S268" s="251" t="s">
        <v>2015</v>
      </c>
      <c r="T268" s="251" t="s">
        <v>2054</v>
      </c>
      <c r="U268" s="251" t="s">
        <v>1948</v>
      </c>
      <c r="V268" s="251" t="s">
        <v>1949</v>
      </c>
      <c r="X268" s="251">
        <v>0</v>
      </c>
    </row>
    <row r="269" spans="2:24" x14ac:dyDescent="0.2">
      <c r="B269" s="352" t="s">
        <v>876</v>
      </c>
      <c r="C269" s="352" t="s">
        <v>754</v>
      </c>
      <c r="F269" s="352" t="s">
        <v>1999</v>
      </c>
      <c r="G269" s="352" t="s">
        <v>2118</v>
      </c>
      <c r="H269" s="352" t="s">
        <v>1769</v>
      </c>
      <c r="I269" s="352" t="s">
        <v>1021</v>
      </c>
      <c r="J269" s="352" t="s">
        <v>751</v>
      </c>
      <c r="K269" s="352">
        <v>4241</v>
      </c>
      <c r="L269" s="352" t="s">
        <v>777</v>
      </c>
      <c r="M269" s="352" t="s">
        <v>2211</v>
      </c>
      <c r="N269" s="352" t="s">
        <v>2048</v>
      </c>
      <c r="O269" s="352">
        <v>20</v>
      </c>
      <c r="P269" s="352" t="s">
        <v>2073</v>
      </c>
      <c r="Q269" s="352" t="s">
        <v>2074</v>
      </c>
      <c r="R269" s="251">
        <v>0</v>
      </c>
      <c r="S269" s="251" t="s">
        <v>2015</v>
      </c>
      <c r="T269" s="251" t="s">
        <v>2054</v>
      </c>
      <c r="U269" s="251" t="s">
        <v>1950</v>
      </c>
      <c r="V269" s="251" t="s">
        <v>1951</v>
      </c>
      <c r="X269" s="251">
        <v>0</v>
      </c>
    </row>
    <row r="270" spans="2:24" x14ac:dyDescent="0.2">
      <c r="B270" s="352" t="s">
        <v>876</v>
      </c>
      <c r="C270" s="352" t="s">
        <v>754</v>
      </c>
      <c r="F270" s="352" t="s">
        <v>1999</v>
      </c>
      <c r="G270" s="352" t="s">
        <v>2118</v>
      </c>
      <c r="H270" s="352" t="s">
        <v>1769</v>
      </c>
      <c r="I270" s="352" t="s">
        <v>1021</v>
      </c>
      <c r="J270" s="352" t="s">
        <v>751</v>
      </c>
      <c r="K270" s="352">
        <v>4311</v>
      </c>
      <c r="L270" s="352" t="s">
        <v>779</v>
      </c>
      <c r="M270" s="352" t="s">
        <v>2212</v>
      </c>
      <c r="N270" s="352" t="s">
        <v>2048</v>
      </c>
      <c r="O270" s="352">
        <v>20</v>
      </c>
      <c r="P270" s="352" t="s">
        <v>2073</v>
      </c>
      <c r="Q270" s="352" t="s">
        <v>2074</v>
      </c>
      <c r="R270" s="251">
        <v>24050.323138516822</v>
      </c>
      <c r="S270" s="251" t="s">
        <v>2015</v>
      </c>
      <c r="T270" s="251" t="s">
        <v>2016</v>
      </c>
      <c r="U270" s="251" t="s">
        <v>1952</v>
      </c>
      <c r="V270" s="251" t="s">
        <v>1953</v>
      </c>
      <c r="X270" s="251">
        <v>0</v>
      </c>
    </row>
    <row r="271" spans="2:24" x14ac:dyDescent="0.2">
      <c r="B271" s="352" t="s">
        <v>876</v>
      </c>
      <c r="C271" s="352" t="s">
        <v>757</v>
      </c>
      <c r="F271" s="352" t="s">
        <v>2000</v>
      </c>
      <c r="G271" s="352" t="s">
        <v>2123</v>
      </c>
      <c r="H271" s="352" t="s">
        <v>1774</v>
      </c>
      <c r="I271" s="352" t="s">
        <v>1015</v>
      </c>
      <c r="J271" s="352" t="s">
        <v>1016</v>
      </c>
      <c r="K271" s="352">
        <v>3111</v>
      </c>
      <c r="L271" s="352" t="s">
        <v>763</v>
      </c>
      <c r="M271" s="352" t="s">
        <v>2203</v>
      </c>
      <c r="N271" s="352" t="s">
        <v>2076</v>
      </c>
      <c r="O271" s="352">
        <v>99</v>
      </c>
      <c r="P271" s="352" t="s">
        <v>2124</v>
      </c>
      <c r="Q271" s="352" t="s">
        <v>2125</v>
      </c>
      <c r="R271" s="251">
        <v>10515.693574992079</v>
      </c>
      <c r="S271" s="251"/>
      <c r="T271" s="251" t="s">
        <v>2054</v>
      </c>
      <c r="U271" s="251" t="s">
        <v>1945</v>
      </c>
      <c r="V271" s="251" t="s">
        <v>709</v>
      </c>
      <c r="X271" s="251">
        <v>0</v>
      </c>
    </row>
    <row r="272" spans="2:24" x14ac:dyDescent="0.2">
      <c r="B272" s="352" t="s">
        <v>876</v>
      </c>
      <c r="C272" s="352" t="s">
        <v>757</v>
      </c>
      <c r="F272" s="352" t="s">
        <v>2000</v>
      </c>
      <c r="G272" s="352" t="s">
        <v>2123</v>
      </c>
      <c r="H272" s="352" t="s">
        <v>1774</v>
      </c>
      <c r="I272" s="352" t="s">
        <v>1015</v>
      </c>
      <c r="J272" s="352" t="s">
        <v>1016</v>
      </c>
      <c r="K272" s="352">
        <v>3121</v>
      </c>
      <c r="L272" s="352" t="s">
        <v>766</v>
      </c>
      <c r="M272" s="352" t="s">
        <v>2204</v>
      </c>
      <c r="N272" s="352" t="s">
        <v>2076</v>
      </c>
      <c r="O272" s="352">
        <v>99</v>
      </c>
      <c r="P272" s="352" t="s">
        <v>2124</v>
      </c>
      <c r="Q272" s="352" t="s">
        <v>2125</v>
      </c>
      <c r="R272" s="251">
        <v>47904.826286075026</v>
      </c>
      <c r="S272" s="251"/>
      <c r="T272" s="251" t="s">
        <v>2054</v>
      </c>
      <c r="U272" s="251" t="s">
        <v>1945</v>
      </c>
      <c r="V272" s="251" t="s">
        <v>709</v>
      </c>
      <c r="X272" s="251">
        <v>0</v>
      </c>
    </row>
    <row r="273" spans="2:24" x14ac:dyDescent="0.2">
      <c r="B273" s="352" t="s">
        <v>875</v>
      </c>
      <c r="C273" s="352" t="s">
        <v>706</v>
      </c>
      <c r="F273" s="352" t="s">
        <v>1992</v>
      </c>
      <c r="G273" s="352" t="s">
        <v>2051</v>
      </c>
      <c r="H273" s="352" t="s">
        <v>1181</v>
      </c>
      <c r="I273" s="352" t="s">
        <v>969</v>
      </c>
      <c r="J273" s="352" t="s">
        <v>970</v>
      </c>
      <c r="K273" s="352">
        <v>1111</v>
      </c>
      <c r="L273" s="352" t="s">
        <v>699</v>
      </c>
      <c r="M273" s="352" t="s">
        <v>2147</v>
      </c>
      <c r="N273" s="352" t="s">
        <v>2048</v>
      </c>
      <c r="O273" s="352">
        <v>6</v>
      </c>
      <c r="P273" s="352" t="s">
        <v>2049</v>
      </c>
      <c r="Q273" s="352" t="s">
        <v>2050</v>
      </c>
      <c r="R273" s="251">
        <v>52343.341712504065</v>
      </c>
      <c r="S273" s="251" t="s">
        <v>2015</v>
      </c>
      <c r="T273" s="251" t="s">
        <v>2016</v>
      </c>
      <c r="U273" s="251" t="s">
        <v>1914</v>
      </c>
      <c r="V273" s="251" t="s">
        <v>1915</v>
      </c>
      <c r="X273" s="251">
        <v>0</v>
      </c>
    </row>
    <row r="274" spans="2:24" x14ac:dyDescent="0.2">
      <c r="B274" s="352" t="s">
        <v>875</v>
      </c>
      <c r="C274" s="352" t="s">
        <v>706</v>
      </c>
      <c r="F274" s="352" t="s">
        <v>1992</v>
      </c>
      <c r="G274" s="352" t="s">
        <v>2051</v>
      </c>
      <c r="H274" s="352" t="s">
        <v>1181</v>
      </c>
      <c r="I274" s="352" t="s">
        <v>969</v>
      </c>
      <c r="J274" s="352" t="s">
        <v>970</v>
      </c>
      <c r="K274" s="352">
        <v>1231</v>
      </c>
      <c r="L274" s="352" t="s">
        <v>726</v>
      </c>
      <c r="M274" s="352" t="s">
        <v>2148</v>
      </c>
      <c r="N274" s="352" t="s">
        <v>2048</v>
      </c>
      <c r="O274" s="352">
        <v>6</v>
      </c>
      <c r="P274" s="352" t="s">
        <v>2049</v>
      </c>
      <c r="Q274" s="352" t="s">
        <v>2050</v>
      </c>
      <c r="R274" s="251">
        <v>1894.3816297459632</v>
      </c>
      <c r="S274" s="251" t="s">
        <v>2015</v>
      </c>
      <c r="T274" s="251" t="s">
        <v>2016</v>
      </c>
      <c r="U274" s="251" t="s">
        <v>1920</v>
      </c>
      <c r="V274" s="251" t="s">
        <v>726</v>
      </c>
      <c r="X274" s="251">
        <v>0</v>
      </c>
    </row>
    <row r="275" spans="2:24" x14ac:dyDescent="0.2">
      <c r="B275" s="352" t="s">
        <v>875</v>
      </c>
      <c r="C275" s="352" t="s">
        <v>706</v>
      </c>
      <c r="F275" s="352" t="s">
        <v>1992</v>
      </c>
      <c r="G275" s="352" t="s">
        <v>2051</v>
      </c>
      <c r="H275" s="352" t="s">
        <v>1185</v>
      </c>
      <c r="I275" s="352" t="s">
        <v>971</v>
      </c>
      <c r="J275" s="352" t="s">
        <v>972</v>
      </c>
      <c r="K275" s="352">
        <v>1211</v>
      </c>
      <c r="L275" s="352" t="s">
        <v>705</v>
      </c>
      <c r="M275" s="352" t="s">
        <v>2149</v>
      </c>
      <c r="N275" s="352" t="s">
        <v>2048</v>
      </c>
      <c r="O275" s="352">
        <v>6</v>
      </c>
      <c r="P275" s="352" t="s">
        <v>2049</v>
      </c>
      <c r="Q275" s="352" t="s">
        <v>2050</v>
      </c>
      <c r="R275" s="251">
        <v>0</v>
      </c>
      <c r="S275" s="251" t="s">
        <v>2015</v>
      </c>
      <c r="T275" s="251" t="s">
        <v>2054</v>
      </c>
      <c r="U275" s="251" t="s">
        <v>1916</v>
      </c>
      <c r="V275" s="251" t="s">
        <v>1917</v>
      </c>
      <c r="X275" s="251">
        <v>0</v>
      </c>
    </row>
    <row r="276" spans="2:24" x14ac:dyDescent="0.2">
      <c r="B276" s="352" t="s">
        <v>875</v>
      </c>
      <c r="C276" s="352" t="s">
        <v>706</v>
      </c>
      <c r="F276" s="352" t="s">
        <v>1992</v>
      </c>
      <c r="G276" s="352" t="s">
        <v>2051</v>
      </c>
      <c r="H276" s="352" t="s">
        <v>1189</v>
      </c>
      <c r="I276" s="352" t="s">
        <v>973</v>
      </c>
      <c r="J276" s="352" t="s">
        <v>974</v>
      </c>
      <c r="K276" s="352">
        <v>1211</v>
      </c>
      <c r="L276" s="352" t="s">
        <v>705</v>
      </c>
      <c r="M276" s="352" t="s">
        <v>2150</v>
      </c>
      <c r="N276" s="352" t="s">
        <v>2048</v>
      </c>
      <c r="O276" s="352">
        <v>6</v>
      </c>
      <c r="P276" s="352" t="s">
        <v>2049</v>
      </c>
      <c r="Q276" s="352" t="s">
        <v>2050</v>
      </c>
      <c r="R276" s="251">
        <v>9635.7412238156339</v>
      </c>
      <c r="S276" s="251" t="s">
        <v>2015</v>
      </c>
      <c r="T276" s="251" t="s">
        <v>2016</v>
      </c>
      <c r="U276" s="251" t="s">
        <v>1916</v>
      </c>
      <c r="V276" s="251" t="s">
        <v>1917</v>
      </c>
      <c r="X276" s="251">
        <v>0</v>
      </c>
    </row>
    <row r="277" spans="2:24" x14ac:dyDescent="0.2">
      <c r="B277" s="352" t="s">
        <v>875</v>
      </c>
      <c r="C277" s="352" t="s">
        <v>706</v>
      </c>
      <c r="F277" s="352" t="s">
        <v>1992</v>
      </c>
      <c r="G277" s="352" t="s">
        <v>2051</v>
      </c>
      <c r="H277" s="352" t="s">
        <v>1189</v>
      </c>
      <c r="I277" s="352" t="s">
        <v>973</v>
      </c>
      <c r="J277" s="352" t="s">
        <v>974</v>
      </c>
      <c r="K277" s="352">
        <v>1221</v>
      </c>
      <c r="L277" s="352" t="s">
        <v>711</v>
      </c>
      <c r="M277" s="352" t="s">
        <v>2151</v>
      </c>
      <c r="N277" s="352" t="s">
        <v>2048</v>
      </c>
      <c r="O277" s="352">
        <v>6</v>
      </c>
      <c r="P277" s="352" t="s">
        <v>2049</v>
      </c>
      <c r="Q277" s="352" t="s">
        <v>2050</v>
      </c>
      <c r="R277" s="251">
        <v>11330.966988963946</v>
      </c>
      <c r="S277" s="251" t="s">
        <v>2015</v>
      </c>
      <c r="T277" s="251" t="s">
        <v>2016</v>
      </c>
      <c r="U277" s="251" t="s">
        <v>1918</v>
      </c>
      <c r="V277" s="251" t="s">
        <v>1919</v>
      </c>
      <c r="X277" s="251">
        <v>0</v>
      </c>
    </row>
    <row r="278" spans="2:24" x14ac:dyDescent="0.2">
      <c r="B278" s="352" t="s">
        <v>875</v>
      </c>
      <c r="C278" s="352" t="s">
        <v>706</v>
      </c>
      <c r="F278" s="352" t="s">
        <v>1992</v>
      </c>
      <c r="G278" s="352" t="s">
        <v>2051</v>
      </c>
      <c r="H278" s="352" t="s">
        <v>1189</v>
      </c>
      <c r="I278" s="352" t="s">
        <v>973</v>
      </c>
      <c r="J278" s="352" t="s">
        <v>974</v>
      </c>
      <c r="K278" s="352">
        <v>1222</v>
      </c>
      <c r="L278" s="352" t="s">
        <v>718</v>
      </c>
      <c r="M278" s="352" t="s">
        <v>2152</v>
      </c>
      <c r="N278" s="352" t="s">
        <v>2048</v>
      </c>
      <c r="O278" s="352">
        <v>6</v>
      </c>
      <c r="P278" s="352" t="s">
        <v>2049</v>
      </c>
      <c r="Q278" s="352" t="s">
        <v>2050</v>
      </c>
      <c r="R278" s="251">
        <v>298.18334181484056</v>
      </c>
      <c r="S278" s="251" t="s">
        <v>2015</v>
      </c>
      <c r="T278" s="251" t="s">
        <v>2016</v>
      </c>
      <c r="U278" s="251">
        <v>0</v>
      </c>
      <c r="V278" s="251" t="s">
        <v>2153</v>
      </c>
      <c r="X278" s="251">
        <v>0</v>
      </c>
    </row>
    <row r="279" spans="2:24" x14ac:dyDescent="0.2">
      <c r="B279" s="352" t="s">
        <v>875</v>
      </c>
      <c r="C279" s="352" t="s">
        <v>706</v>
      </c>
      <c r="F279" s="352" t="s">
        <v>1992</v>
      </c>
      <c r="G279" s="352" t="s">
        <v>2051</v>
      </c>
      <c r="H279" s="352" t="s">
        <v>1193</v>
      </c>
      <c r="I279" s="352" t="s">
        <v>975</v>
      </c>
      <c r="J279" s="352" t="s">
        <v>976</v>
      </c>
      <c r="K279" s="352">
        <v>1221</v>
      </c>
      <c r="L279" s="352" t="s">
        <v>711</v>
      </c>
      <c r="M279" s="352" t="s">
        <v>2154</v>
      </c>
      <c r="N279" s="352" t="s">
        <v>2048</v>
      </c>
      <c r="O279" s="352">
        <v>7</v>
      </c>
      <c r="P279" s="352" t="s">
        <v>2055</v>
      </c>
      <c r="Q279" s="352" t="s">
        <v>2056</v>
      </c>
      <c r="R279" s="251">
        <v>0</v>
      </c>
      <c r="S279" s="251" t="s">
        <v>2015</v>
      </c>
      <c r="T279" s="251" t="s">
        <v>2054</v>
      </c>
      <c r="U279" s="251" t="s">
        <v>1918</v>
      </c>
      <c r="V279" s="251" t="s">
        <v>1919</v>
      </c>
      <c r="X279" s="251">
        <v>0</v>
      </c>
    </row>
    <row r="280" spans="2:24" x14ac:dyDescent="0.2">
      <c r="B280" s="352" t="s">
        <v>875</v>
      </c>
      <c r="C280" s="352" t="s">
        <v>706</v>
      </c>
      <c r="F280" s="352" t="s">
        <v>1992</v>
      </c>
      <c r="G280" s="352" t="s">
        <v>2051</v>
      </c>
      <c r="H280" s="352" t="s">
        <v>1197</v>
      </c>
      <c r="I280" s="352" t="s">
        <v>977</v>
      </c>
      <c r="J280" s="352" t="s">
        <v>864</v>
      </c>
      <c r="K280" s="352">
        <v>1111</v>
      </c>
      <c r="L280" s="352" t="s">
        <v>699</v>
      </c>
      <c r="M280" s="352" t="s">
        <v>2155</v>
      </c>
      <c r="N280" s="352" t="s">
        <v>2048</v>
      </c>
      <c r="O280" s="352">
        <v>5</v>
      </c>
      <c r="P280" s="352" t="s">
        <v>2057</v>
      </c>
      <c r="Q280" s="352" t="s">
        <v>2058</v>
      </c>
      <c r="R280" s="251">
        <v>2844.7468322013083</v>
      </c>
      <c r="S280" s="251" t="s">
        <v>2015</v>
      </c>
      <c r="T280" s="251" t="s">
        <v>2016</v>
      </c>
      <c r="U280" s="251" t="s">
        <v>1914</v>
      </c>
      <c r="V280" s="251" t="s">
        <v>1915</v>
      </c>
      <c r="X280" s="251">
        <v>0</v>
      </c>
    </row>
    <row r="281" spans="2:24" x14ac:dyDescent="0.2">
      <c r="B281" s="352" t="s">
        <v>875</v>
      </c>
      <c r="C281" s="352" t="s">
        <v>706</v>
      </c>
      <c r="F281" s="352" t="s">
        <v>1992</v>
      </c>
      <c r="G281" s="352" t="s">
        <v>2051</v>
      </c>
      <c r="H281" s="352" t="s">
        <v>1197</v>
      </c>
      <c r="I281" s="352" t="s">
        <v>977</v>
      </c>
      <c r="J281" s="352" t="s">
        <v>864</v>
      </c>
      <c r="K281" s="352">
        <v>1211</v>
      </c>
      <c r="L281" s="352" t="s">
        <v>705</v>
      </c>
      <c r="M281" s="352" t="s">
        <v>2156</v>
      </c>
      <c r="N281" s="352" t="s">
        <v>2048</v>
      </c>
      <c r="O281" s="352">
        <v>5</v>
      </c>
      <c r="P281" s="352" t="s">
        <v>2057</v>
      </c>
      <c r="Q281" s="352" t="s">
        <v>2058</v>
      </c>
      <c r="R281" s="251">
        <v>1107.5564625075442</v>
      </c>
      <c r="S281" s="251" t="s">
        <v>2015</v>
      </c>
      <c r="T281" s="251" t="s">
        <v>2016</v>
      </c>
      <c r="U281" s="251" t="s">
        <v>1916</v>
      </c>
      <c r="V281" s="251" t="s">
        <v>1917</v>
      </c>
      <c r="X281" s="251">
        <v>0</v>
      </c>
    </row>
    <row r="282" spans="2:24" x14ac:dyDescent="0.2">
      <c r="B282" s="352" t="s">
        <v>875</v>
      </c>
      <c r="C282" s="352" t="s">
        <v>706</v>
      </c>
      <c r="F282" s="352" t="s">
        <v>1992</v>
      </c>
      <c r="G282" s="352" t="s">
        <v>2051</v>
      </c>
      <c r="H282" s="352" t="s">
        <v>1197</v>
      </c>
      <c r="I282" s="352" t="s">
        <v>977</v>
      </c>
      <c r="J282" s="352" t="s">
        <v>864</v>
      </c>
      <c r="K282" s="352">
        <v>1221</v>
      </c>
      <c r="L282" s="352" t="s">
        <v>711</v>
      </c>
      <c r="M282" s="352" t="s">
        <v>2157</v>
      </c>
      <c r="N282" s="352" t="s">
        <v>2048</v>
      </c>
      <c r="O282" s="352">
        <v>5</v>
      </c>
      <c r="P282" s="352" t="s">
        <v>2057</v>
      </c>
      <c r="Q282" s="352" t="s">
        <v>2058</v>
      </c>
      <c r="R282" s="251">
        <v>1416.3708736204933</v>
      </c>
      <c r="S282" s="251" t="s">
        <v>2015</v>
      </c>
      <c r="T282" s="251" t="s">
        <v>2016</v>
      </c>
      <c r="U282" s="251" t="s">
        <v>1918</v>
      </c>
      <c r="V282" s="251" t="s">
        <v>1919</v>
      </c>
      <c r="X282" s="251">
        <v>0</v>
      </c>
    </row>
    <row r="283" spans="2:24" x14ac:dyDescent="0.2">
      <c r="B283" s="352" t="s">
        <v>875</v>
      </c>
      <c r="C283" s="352" t="s">
        <v>706</v>
      </c>
      <c r="F283" s="352" t="s">
        <v>1992</v>
      </c>
      <c r="G283" s="352" t="s">
        <v>2051</v>
      </c>
      <c r="H283" s="352" t="s">
        <v>1197</v>
      </c>
      <c r="I283" s="352" t="s">
        <v>977</v>
      </c>
      <c r="J283" s="352" t="s">
        <v>864</v>
      </c>
      <c r="K283" s="352">
        <v>1222</v>
      </c>
      <c r="L283" s="352" t="s">
        <v>718</v>
      </c>
      <c r="M283" s="352" t="s">
        <v>2158</v>
      </c>
      <c r="N283" s="352" t="s">
        <v>2048</v>
      </c>
      <c r="O283" s="352">
        <v>5</v>
      </c>
      <c r="P283" s="352" t="s">
        <v>2057</v>
      </c>
      <c r="Q283" s="352" t="s">
        <v>2058</v>
      </c>
      <c r="R283" s="251">
        <v>372.7291772685507</v>
      </c>
      <c r="S283" s="251" t="s">
        <v>2015</v>
      </c>
      <c r="T283" s="251" t="s">
        <v>2016</v>
      </c>
      <c r="U283" s="251">
        <v>0</v>
      </c>
      <c r="V283" s="251" t="s">
        <v>2153</v>
      </c>
      <c r="X283" s="251">
        <v>0</v>
      </c>
    </row>
    <row r="284" spans="2:24" x14ac:dyDescent="0.2">
      <c r="B284" s="352" t="s">
        <v>875</v>
      </c>
      <c r="C284" s="352" t="s">
        <v>706</v>
      </c>
      <c r="F284" s="352" t="s">
        <v>1992</v>
      </c>
      <c r="G284" s="352" t="s">
        <v>2051</v>
      </c>
      <c r="H284" s="352" t="s">
        <v>1197</v>
      </c>
      <c r="I284" s="352" t="s">
        <v>977</v>
      </c>
      <c r="J284" s="352" t="s">
        <v>864</v>
      </c>
      <c r="K284" s="352">
        <v>1231</v>
      </c>
      <c r="L284" s="352" t="s">
        <v>726</v>
      </c>
      <c r="M284" s="352" t="s">
        <v>2159</v>
      </c>
      <c r="N284" s="352" t="s">
        <v>2048</v>
      </c>
      <c r="O284" s="352">
        <v>5</v>
      </c>
      <c r="P284" s="352" t="s">
        <v>2057</v>
      </c>
      <c r="Q284" s="352" t="s">
        <v>2058</v>
      </c>
      <c r="R284" s="251">
        <v>7103.9311115473611</v>
      </c>
      <c r="S284" s="251" t="s">
        <v>2015</v>
      </c>
      <c r="T284" s="251" t="s">
        <v>2016</v>
      </c>
      <c r="U284" s="251" t="s">
        <v>1920</v>
      </c>
      <c r="V284" s="251" t="s">
        <v>726</v>
      </c>
      <c r="X284" s="251">
        <v>0</v>
      </c>
    </row>
    <row r="285" spans="2:24" x14ac:dyDescent="0.2">
      <c r="B285" s="352" t="s">
        <v>875</v>
      </c>
      <c r="C285" s="352" t="s">
        <v>706</v>
      </c>
      <c r="F285" s="352" t="s">
        <v>1992</v>
      </c>
      <c r="G285" s="352" t="s">
        <v>2051</v>
      </c>
      <c r="H285" s="352" t="s">
        <v>1197</v>
      </c>
      <c r="I285" s="352" t="s">
        <v>977</v>
      </c>
      <c r="J285" s="352" t="s">
        <v>864</v>
      </c>
      <c r="K285" s="352">
        <v>1232</v>
      </c>
      <c r="L285" s="352" t="s">
        <v>734</v>
      </c>
      <c r="M285" s="352" t="s">
        <v>2160</v>
      </c>
      <c r="N285" s="352" t="s">
        <v>2048</v>
      </c>
      <c r="O285" s="352">
        <v>5</v>
      </c>
      <c r="P285" s="352" t="s">
        <v>2057</v>
      </c>
      <c r="Q285" s="352" t="s">
        <v>2058</v>
      </c>
      <c r="R285" s="251">
        <v>1290.7437213839255</v>
      </c>
      <c r="S285" s="251" t="s">
        <v>2015</v>
      </c>
      <c r="T285" s="251" t="s">
        <v>2016</v>
      </c>
      <c r="U285" s="251">
        <v>0</v>
      </c>
      <c r="V285" s="251" t="s">
        <v>2153</v>
      </c>
      <c r="X285" s="251">
        <v>0</v>
      </c>
    </row>
    <row r="286" spans="2:24" x14ac:dyDescent="0.2">
      <c r="B286" s="352" t="s">
        <v>875</v>
      </c>
      <c r="C286" s="352" t="s">
        <v>706</v>
      </c>
      <c r="F286" s="352" t="s">
        <v>1992</v>
      </c>
      <c r="G286" s="352" t="s">
        <v>2051</v>
      </c>
      <c r="H286" s="352" t="s">
        <v>1197</v>
      </c>
      <c r="I286" s="352" t="s">
        <v>977</v>
      </c>
      <c r="J286" s="352" t="s">
        <v>864</v>
      </c>
      <c r="K286" s="352">
        <v>1241</v>
      </c>
      <c r="L286" s="352" t="s">
        <v>1872</v>
      </c>
      <c r="M286" s="352" t="s">
        <v>2161</v>
      </c>
      <c r="N286" s="352" t="s">
        <v>2048</v>
      </c>
      <c r="O286" s="352">
        <v>5</v>
      </c>
      <c r="P286" s="352" t="s">
        <v>2057</v>
      </c>
      <c r="Q286" s="352" t="s">
        <v>2058</v>
      </c>
      <c r="R286" s="251">
        <v>19.367101544590479</v>
      </c>
      <c r="S286" s="251" t="s">
        <v>2015</v>
      </c>
      <c r="T286" s="251" t="s">
        <v>2016</v>
      </c>
      <c r="U286" s="251">
        <v>0</v>
      </c>
      <c r="V286" s="251" t="s">
        <v>2153</v>
      </c>
      <c r="X286" s="251">
        <v>0</v>
      </c>
    </row>
    <row r="287" spans="2:24" x14ac:dyDescent="0.2">
      <c r="B287" s="352" t="s">
        <v>875</v>
      </c>
      <c r="C287" s="352" t="s">
        <v>706</v>
      </c>
      <c r="F287" s="352" t="s">
        <v>1992</v>
      </c>
      <c r="G287" s="352" t="s">
        <v>2051</v>
      </c>
      <c r="H287" s="352" t="s">
        <v>1197</v>
      </c>
      <c r="I287" s="352" t="s">
        <v>977</v>
      </c>
      <c r="J287" s="352" t="s">
        <v>864</v>
      </c>
      <c r="K287" s="352">
        <v>1251</v>
      </c>
      <c r="L287" s="352" t="s">
        <v>733</v>
      </c>
      <c r="M287" s="352" t="s">
        <v>2162</v>
      </c>
      <c r="N287" s="352" t="s">
        <v>2048</v>
      </c>
      <c r="O287" s="352">
        <v>5</v>
      </c>
      <c r="P287" s="352" t="s">
        <v>2057</v>
      </c>
      <c r="Q287" s="352" t="s">
        <v>2058</v>
      </c>
      <c r="R287" s="251">
        <v>348.29885037591737</v>
      </c>
      <c r="S287" s="251" t="s">
        <v>2015</v>
      </c>
      <c r="T287" s="251" t="s">
        <v>2016</v>
      </c>
      <c r="U287" s="251">
        <v>0</v>
      </c>
      <c r="V287" s="251" t="s">
        <v>2153</v>
      </c>
      <c r="X287" s="251">
        <v>0</v>
      </c>
    </row>
    <row r="288" spans="2:24" x14ac:dyDescent="0.2">
      <c r="B288" s="352" t="s">
        <v>875</v>
      </c>
      <c r="C288" s="352" t="s">
        <v>706</v>
      </c>
      <c r="F288" s="352" t="s">
        <v>1992</v>
      </c>
      <c r="G288" s="352" t="s">
        <v>2051</v>
      </c>
      <c r="H288" s="352" t="s">
        <v>1201</v>
      </c>
      <c r="I288" s="352" t="s">
        <v>978</v>
      </c>
      <c r="J288" s="352" t="s">
        <v>1892</v>
      </c>
      <c r="K288" s="352">
        <v>1111</v>
      </c>
      <c r="L288" s="352" t="s">
        <v>699</v>
      </c>
      <c r="M288" s="352" t="s">
        <v>2163</v>
      </c>
      <c r="N288" s="352" t="s">
        <v>2048</v>
      </c>
      <c r="O288" s="352">
        <v>5</v>
      </c>
      <c r="P288" s="352" t="s">
        <v>2057</v>
      </c>
      <c r="Q288" s="352" t="s">
        <v>2058</v>
      </c>
      <c r="R288" s="251">
        <v>0</v>
      </c>
      <c r="S288" s="251" t="s">
        <v>2015</v>
      </c>
      <c r="T288" s="251" t="s">
        <v>2054</v>
      </c>
      <c r="U288" s="251" t="s">
        <v>1914</v>
      </c>
      <c r="V288" s="251" t="s">
        <v>1915</v>
      </c>
      <c r="X288" s="251">
        <v>0</v>
      </c>
    </row>
    <row r="289" spans="2:24" x14ac:dyDescent="0.2">
      <c r="B289" s="352" t="s">
        <v>875</v>
      </c>
      <c r="C289" s="352" t="s">
        <v>706</v>
      </c>
      <c r="F289" s="352" t="s">
        <v>1992</v>
      </c>
      <c r="G289" s="352" t="s">
        <v>2051</v>
      </c>
      <c r="H289" s="352" t="s">
        <v>1201</v>
      </c>
      <c r="I289" s="352" t="s">
        <v>978</v>
      </c>
      <c r="J289" s="352" t="s">
        <v>1892</v>
      </c>
      <c r="K289" s="352">
        <v>1231</v>
      </c>
      <c r="L289" s="352" t="s">
        <v>726</v>
      </c>
      <c r="M289" s="352" t="s">
        <v>2164</v>
      </c>
      <c r="N289" s="352" t="s">
        <v>2048</v>
      </c>
      <c r="O289" s="352">
        <v>5</v>
      </c>
      <c r="P289" s="352" t="s">
        <v>2057</v>
      </c>
      <c r="Q289" s="352" t="s">
        <v>2058</v>
      </c>
      <c r="R289" s="251">
        <v>0</v>
      </c>
      <c r="S289" s="251" t="s">
        <v>2015</v>
      </c>
      <c r="T289" s="251" t="s">
        <v>2054</v>
      </c>
      <c r="U289" s="251" t="s">
        <v>1920</v>
      </c>
      <c r="V289" s="251" t="s">
        <v>726</v>
      </c>
      <c r="X289" s="251">
        <v>0</v>
      </c>
    </row>
    <row r="290" spans="2:24" x14ac:dyDescent="0.2">
      <c r="B290" s="352" t="s">
        <v>875</v>
      </c>
      <c r="C290" s="352" t="s">
        <v>706</v>
      </c>
      <c r="F290" s="352" t="s">
        <v>1992</v>
      </c>
      <c r="G290" s="352" t="s">
        <v>2051</v>
      </c>
      <c r="H290" s="352" t="s">
        <v>1205</v>
      </c>
      <c r="I290" s="352" t="s">
        <v>979</v>
      </c>
      <c r="J290" s="352" t="s">
        <v>980</v>
      </c>
      <c r="K290" s="352">
        <v>1241</v>
      </c>
      <c r="L290" s="352" t="s">
        <v>1872</v>
      </c>
      <c r="M290" s="352" t="s">
        <v>2165</v>
      </c>
      <c r="N290" s="352" t="s">
        <v>2048</v>
      </c>
      <c r="O290" s="352">
        <v>7</v>
      </c>
      <c r="P290" s="352" t="s">
        <v>2055</v>
      </c>
      <c r="Q290" s="352" t="s">
        <v>2056</v>
      </c>
      <c r="R290" s="251">
        <v>218.57157457466397</v>
      </c>
      <c r="S290" s="251" t="s">
        <v>2015</v>
      </c>
      <c r="T290" s="251" t="s">
        <v>2016</v>
      </c>
      <c r="U290" s="251">
        <v>0</v>
      </c>
      <c r="V290" s="251" t="s">
        <v>2153</v>
      </c>
      <c r="X290" s="251">
        <v>0</v>
      </c>
    </row>
    <row r="291" spans="2:24" x14ac:dyDescent="0.2">
      <c r="B291" s="352" t="s">
        <v>875</v>
      </c>
      <c r="C291" s="352" t="s">
        <v>706</v>
      </c>
      <c r="F291" s="352" t="s">
        <v>1992</v>
      </c>
      <c r="G291" s="352" t="s">
        <v>2051</v>
      </c>
      <c r="H291" s="352" t="s">
        <v>1209</v>
      </c>
      <c r="I291" s="352" t="s">
        <v>981</v>
      </c>
      <c r="J291" s="352" t="s">
        <v>3674</v>
      </c>
      <c r="K291" s="352">
        <v>1241</v>
      </c>
      <c r="L291" s="352" t="s">
        <v>1872</v>
      </c>
      <c r="M291" s="352" t="s">
        <v>2166</v>
      </c>
      <c r="N291" s="352" t="s">
        <v>2048</v>
      </c>
      <c r="O291" s="352">
        <v>13</v>
      </c>
      <c r="P291" s="352" t="s">
        <v>2059</v>
      </c>
      <c r="Q291" s="352" t="s">
        <v>2060</v>
      </c>
      <c r="R291" s="251">
        <v>0</v>
      </c>
      <c r="S291" s="251" t="s">
        <v>2015</v>
      </c>
      <c r="T291" s="251" t="s">
        <v>2054</v>
      </c>
      <c r="U291" s="251">
        <v>0</v>
      </c>
      <c r="V291" s="251" t="s">
        <v>2153</v>
      </c>
      <c r="X291" s="251">
        <v>0</v>
      </c>
    </row>
    <row r="292" spans="2:24" x14ac:dyDescent="0.2">
      <c r="B292" s="352" t="s">
        <v>875</v>
      </c>
      <c r="C292" s="352" t="s">
        <v>706</v>
      </c>
      <c r="F292" s="352" t="s">
        <v>1992</v>
      </c>
      <c r="G292" s="352" t="s">
        <v>2051</v>
      </c>
      <c r="H292" s="352" t="s">
        <v>1209</v>
      </c>
      <c r="I292" s="352" t="s">
        <v>981</v>
      </c>
      <c r="J292" s="352" t="s">
        <v>3674</v>
      </c>
      <c r="K292" s="352">
        <v>1251</v>
      </c>
      <c r="L292" s="352" t="s">
        <v>733</v>
      </c>
      <c r="M292" s="352" t="s">
        <v>2167</v>
      </c>
      <c r="N292" s="352" t="s">
        <v>2048</v>
      </c>
      <c r="O292" s="352">
        <v>13</v>
      </c>
      <c r="P292" s="352" t="s">
        <v>2059</v>
      </c>
      <c r="Q292" s="352" t="s">
        <v>2060</v>
      </c>
      <c r="R292" s="251">
        <v>0</v>
      </c>
      <c r="S292" s="251" t="s">
        <v>2015</v>
      </c>
      <c r="T292" s="251" t="s">
        <v>2054</v>
      </c>
      <c r="U292" s="251">
        <v>0</v>
      </c>
      <c r="V292" s="251" t="s">
        <v>2153</v>
      </c>
      <c r="X292" s="251">
        <v>0</v>
      </c>
    </row>
    <row r="293" spans="2:24" x14ac:dyDescent="0.2">
      <c r="B293" s="352" t="s">
        <v>875</v>
      </c>
      <c r="C293" s="352" t="s">
        <v>706</v>
      </c>
      <c r="F293" s="352" t="s">
        <v>1992</v>
      </c>
      <c r="G293" s="352" t="s">
        <v>2051</v>
      </c>
      <c r="H293" s="352" t="s">
        <v>1213</v>
      </c>
      <c r="I293" s="352" t="s">
        <v>982</v>
      </c>
      <c r="J293" s="352" t="s">
        <v>983</v>
      </c>
      <c r="K293" s="352">
        <v>2111</v>
      </c>
      <c r="L293" s="352" t="s">
        <v>1873</v>
      </c>
      <c r="M293" s="352" t="s">
        <v>2168</v>
      </c>
      <c r="N293" s="352" t="s">
        <v>2048</v>
      </c>
      <c r="O293" s="352">
        <v>10</v>
      </c>
      <c r="P293" s="352" t="s">
        <v>2061</v>
      </c>
      <c r="Q293" s="352" t="s">
        <v>2062</v>
      </c>
      <c r="R293" s="251">
        <v>467.67730665484265</v>
      </c>
      <c r="S293" s="251" t="s">
        <v>2015</v>
      </c>
      <c r="T293" s="251" t="s">
        <v>2016</v>
      </c>
      <c r="U293" s="251" t="s">
        <v>1929</v>
      </c>
      <c r="V293" s="251" t="s">
        <v>1930</v>
      </c>
      <c r="X293" s="251">
        <v>0</v>
      </c>
    </row>
    <row r="294" spans="2:24" x14ac:dyDescent="0.2">
      <c r="B294" s="352" t="s">
        <v>875</v>
      </c>
      <c r="C294" s="352" t="s">
        <v>706</v>
      </c>
      <c r="F294" s="352" t="s">
        <v>1992</v>
      </c>
      <c r="G294" s="352" t="s">
        <v>2051</v>
      </c>
      <c r="H294" s="352" t="s">
        <v>1213</v>
      </c>
      <c r="I294" s="352" t="s">
        <v>982</v>
      </c>
      <c r="J294" s="352" t="s">
        <v>983</v>
      </c>
      <c r="K294" s="352">
        <v>2121</v>
      </c>
      <c r="L294" s="352" t="s">
        <v>1876</v>
      </c>
      <c r="M294" s="352" t="s">
        <v>2169</v>
      </c>
      <c r="N294" s="352" t="s">
        <v>2048</v>
      </c>
      <c r="O294" s="352">
        <v>10</v>
      </c>
      <c r="P294" s="352" t="s">
        <v>2061</v>
      </c>
      <c r="Q294" s="352" t="s">
        <v>2062</v>
      </c>
      <c r="R294" s="251">
        <v>1440.7853074553427</v>
      </c>
      <c r="S294" s="251" t="s">
        <v>2015</v>
      </c>
      <c r="T294" s="251" t="s">
        <v>2016</v>
      </c>
      <c r="U294" s="251" t="s">
        <v>1929</v>
      </c>
      <c r="V294" s="251" t="s">
        <v>1930</v>
      </c>
      <c r="X294" s="251">
        <v>0</v>
      </c>
    </row>
    <row r="295" spans="2:24" x14ac:dyDescent="0.2">
      <c r="B295" s="352" t="s">
        <v>875</v>
      </c>
      <c r="C295" s="352" t="s">
        <v>706</v>
      </c>
      <c r="F295" s="352" t="s">
        <v>1992</v>
      </c>
      <c r="G295" s="352" t="s">
        <v>2051</v>
      </c>
      <c r="H295" s="352" t="s">
        <v>1213</v>
      </c>
      <c r="I295" s="352" t="s">
        <v>982</v>
      </c>
      <c r="J295" s="352" t="s">
        <v>983</v>
      </c>
      <c r="K295" s="352">
        <v>2131</v>
      </c>
      <c r="L295" s="352" t="s">
        <v>1879</v>
      </c>
      <c r="M295" s="352" t="s">
        <v>2170</v>
      </c>
      <c r="N295" s="352" t="s">
        <v>2048</v>
      </c>
      <c r="O295" s="352">
        <v>10</v>
      </c>
      <c r="P295" s="352" t="s">
        <v>2061</v>
      </c>
      <c r="Q295" s="352" t="s">
        <v>2062</v>
      </c>
      <c r="R295" s="251">
        <v>4.7107528285331259</v>
      </c>
      <c r="S295" s="251" t="s">
        <v>2015</v>
      </c>
      <c r="T295" s="251" t="s">
        <v>2016</v>
      </c>
      <c r="U295" s="251" t="s">
        <v>1929</v>
      </c>
      <c r="V295" s="251" t="s">
        <v>1930</v>
      </c>
      <c r="X295" s="251">
        <v>0</v>
      </c>
    </row>
    <row r="296" spans="2:24" x14ac:dyDescent="0.2">
      <c r="B296" s="352" t="s">
        <v>875</v>
      </c>
      <c r="C296" s="352" t="s">
        <v>706</v>
      </c>
      <c r="F296" s="352" t="s">
        <v>1992</v>
      </c>
      <c r="G296" s="352" t="s">
        <v>2051</v>
      </c>
      <c r="H296" s="352" t="s">
        <v>1213</v>
      </c>
      <c r="I296" s="352" t="s">
        <v>982</v>
      </c>
      <c r="J296" s="352" t="s">
        <v>983</v>
      </c>
      <c r="K296" s="352">
        <v>2211</v>
      </c>
      <c r="L296" s="352" t="s">
        <v>1883</v>
      </c>
      <c r="M296" s="352" t="s">
        <v>2171</v>
      </c>
      <c r="N296" s="352" t="s">
        <v>2048</v>
      </c>
      <c r="O296" s="352">
        <v>10</v>
      </c>
      <c r="P296" s="352" t="s">
        <v>2061</v>
      </c>
      <c r="Q296" s="352" t="s">
        <v>2062</v>
      </c>
      <c r="R296" s="251">
        <v>25.881111324919683</v>
      </c>
      <c r="S296" s="251" t="s">
        <v>2015</v>
      </c>
      <c r="T296" s="251" t="s">
        <v>2016</v>
      </c>
      <c r="U296" s="251" t="s">
        <v>1929</v>
      </c>
      <c r="V296" s="251" t="s">
        <v>1930</v>
      </c>
      <c r="X296" s="251">
        <v>0</v>
      </c>
    </row>
    <row r="297" spans="2:24" x14ac:dyDescent="0.2">
      <c r="B297" s="352" t="s">
        <v>875</v>
      </c>
      <c r="C297" s="352" t="s">
        <v>706</v>
      </c>
      <c r="F297" s="352" t="s">
        <v>1992</v>
      </c>
      <c r="G297" s="352" t="s">
        <v>2051</v>
      </c>
      <c r="H297" s="352" t="s">
        <v>1217</v>
      </c>
      <c r="I297" s="352" t="s">
        <v>984</v>
      </c>
      <c r="J297" s="352" t="s">
        <v>985</v>
      </c>
      <c r="K297" s="352">
        <v>2111</v>
      </c>
      <c r="L297" s="352" t="s">
        <v>1873</v>
      </c>
      <c r="M297" s="352" t="s">
        <v>2172</v>
      </c>
      <c r="N297" s="352" t="s">
        <v>2048</v>
      </c>
      <c r="O297" s="352">
        <v>11</v>
      </c>
      <c r="P297" s="352" t="s">
        <v>2063</v>
      </c>
      <c r="Q297" s="352" t="s">
        <v>2064</v>
      </c>
      <c r="R297" s="251">
        <v>0</v>
      </c>
      <c r="S297" s="251" t="s">
        <v>2015</v>
      </c>
      <c r="T297" s="251" t="s">
        <v>2054</v>
      </c>
      <c r="U297" s="251" t="s">
        <v>1929</v>
      </c>
      <c r="V297" s="251" t="s">
        <v>1930</v>
      </c>
      <c r="X297" s="251">
        <v>0</v>
      </c>
    </row>
    <row r="298" spans="2:24" x14ac:dyDescent="0.2">
      <c r="B298" s="352" t="s">
        <v>875</v>
      </c>
      <c r="C298" s="352" t="s">
        <v>706</v>
      </c>
      <c r="F298" s="352" t="s">
        <v>1992</v>
      </c>
      <c r="G298" s="352" t="s">
        <v>2051</v>
      </c>
      <c r="H298" s="352" t="s">
        <v>1217</v>
      </c>
      <c r="I298" s="352" t="s">
        <v>984</v>
      </c>
      <c r="J298" s="352" t="s">
        <v>985</v>
      </c>
      <c r="K298" s="352">
        <v>2121</v>
      </c>
      <c r="L298" s="352" t="s">
        <v>1876</v>
      </c>
      <c r="M298" s="352" t="s">
        <v>2173</v>
      </c>
      <c r="N298" s="352" t="s">
        <v>2048</v>
      </c>
      <c r="O298" s="352">
        <v>11</v>
      </c>
      <c r="P298" s="352" t="s">
        <v>2063</v>
      </c>
      <c r="Q298" s="352" t="s">
        <v>2064</v>
      </c>
      <c r="R298" s="251">
        <v>0</v>
      </c>
      <c r="S298" s="251" t="s">
        <v>2015</v>
      </c>
      <c r="T298" s="251" t="s">
        <v>2054</v>
      </c>
      <c r="U298" s="251" t="s">
        <v>1929</v>
      </c>
      <c r="V298" s="251" t="s">
        <v>1930</v>
      </c>
      <c r="X298" s="251">
        <v>0</v>
      </c>
    </row>
    <row r="299" spans="2:24" x14ac:dyDescent="0.2">
      <c r="B299" s="352" t="s">
        <v>875</v>
      </c>
      <c r="C299" s="352" t="s">
        <v>706</v>
      </c>
      <c r="F299" s="352" t="s">
        <v>1992</v>
      </c>
      <c r="G299" s="352" t="s">
        <v>2051</v>
      </c>
      <c r="H299" s="352" t="s">
        <v>1217</v>
      </c>
      <c r="I299" s="352" t="s">
        <v>984</v>
      </c>
      <c r="J299" s="352" t="s">
        <v>985</v>
      </c>
      <c r="K299" s="352">
        <v>2131</v>
      </c>
      <c r="L299" s="352" t="s">
        <v>1879</v>
      </c>
      <c r="M299" s="352" t="s">
        <v>2174</v>
      </c>
      <c r="N299" s="352" t="s">
        <v>2048</v>
      </c>
      <c r="O299" s="352">
        <v>11</v>
      </c>
      <c r="P299" s="352" t="s">
        <v>2063</v>
      </c>
      <c r="Q299" s="352" t="s">
        <v>2064</v>
      </c>
      <c r="R299" s="251">
        <v>0</v>
      </c>
      <c r="S299" s="251" t="s">
        <v>2015</v>
      </c>
      <c r="T299" s="251" t="s">
        <v>2054</v>
      </c>
      <c r="U299" s="251" t="s">
        <v>1929</v>
      </c>
      <c r="V299" s="251" t="s">
        <v>1930</v>
      </c>
      <c r="X299" s="251">
        <v>0</v>
      </c>
    </row>
    <row r="300" spans="2:24" x14ac:dyDescent="0.2">
      <c r="B300" s="352" t="s">
        <v>875</v>
      </c>
      <c r="C300" s="352" t="s">
        <v>706</v>
      </c>
      <c r="F300" s="352" t="s">
        <v>1992</v>
      </c>
      <c r="G300" s="352" t="s">
        <v>2051</v>
      </c>
      <c r="H300" s="352" t="s">
        <v>1217</v>
      </c>
      <c r="I300" s="352" t="s">
        <v>984</v>
      </c>
      <c r="J300" s="352" t="s">
        <v>985</v>
      </c>
      <c r="K300" s="352">
        <v>2211</v>
      </c>
      <c r="L300" s="352" t="s">
        <v>1883</v>
      </c>
      <c r="M300" s="352" t="s">
        <v>2175</v>
      </c>
      <c r="N300" s="352" t="s">
        <v>2048</v>
      </c>
      <c r="O300" s="352">
        <v>11</v>
      </c>
      <c r="P300" s="352" t="s">
        <v>2063</v>
      </c>
      <c r="Q300" s="352" t="s">
        <v>2064</v>
      </c>
      <c r="R300" s="251">
        <v>0</v>
      </c>
      <c r="S300" s="251" t="s">
        <v>2015</v>
      </c>
      <c r="T300" s="251" t="s">
        <v>2054</v>
      </c>
      <c r="U300" s="251" t="s">
        <v>1929</v>
      </c>
      <c r="V300" s="251" t="s">
        <v>1930</v>
      </c>
      <c r="X300" s="251">
        <v>0</v>
      </c>
    </row>
    <row r="301" spans="2:24" x14ac:dyDescent="0.2">
      <c r="B301" s="352" t="s">
        <v>875</v>
      </c>
      <c r="C301" s="352" t="s">
        <v>706</v>
      </c>
      <c r="F301" s="352" t="s">
        <v>1992</v>
      </c>
      <c r="G301" s="352" t="s">
        <v>2051</v>
      </c>
      <c r="H301" s="352" t="s">
        <v>1221</v>
      </c>
      <c r="I301" s="352" t="s">
        <v>986</v>
      </c>
      <c r="J301" s="352" t="s">
        <v>987</v>
      </c>
      <c r="K301" s="352">
        <v>2112</v>
      </c>
      <c r="L301" s="352" t="s">
        <v>1874</v>
      </c>
      <c r="M301" s="352" t="s">
        <v>2176</v>
      </c>
      <c r="N301" s="352" t="s">
        <v>2048</v>
      </c>
      <c r="O301" s="352">
        <v>11</v>
      </c>
      <c r="P301" s="352" t="s">
        <v>2063</v>
      </c>
      <c r="Q301" s="352" t="s">
        <v>2064</v>
      </c>
      <c r="R301" s="251">
        <v>1.9063021274992651</v>
      </c>
      <c r="S301" s="251" t="s">
        <v>2015</v>
      </c>
      <c r="T301" s="251" t="s">
        <v>2016</v>
      </c>
      <c r="U301" s="251" t="s">
        <v>1931</v>
      </c>
      <c r="V301" s="251" t="s">
        <v>1932</v>
      </c>
      <c r="X301" s="251">
        <v>0</v>
      </c>
    </row>
    <row r="302" spans="2:24" x14ac:dyDescent="0.2">
      <c r="B302" s="352" t="s">
        <v>875</v>
      </c>
      <c r="C302" s="352" t="s">
        <v>706</v>
      </c>
      <c r="F302" s="352" t="s">
        <v>1992</v>
      </c>
      <c r="G302" s="352" t="s">
        <v>2051</v>
      </c>
      <c r="H302" s="352" t="s">
        <v>1221</v>
      </c>
      <c r="I302" s="352" t="s">
        <v>986</v>
      </c>
      <c r="J302" s="352" t="s">
        <v>987</v>
      </c>
      <c r="K302" s="352">
        <v>2122</v>
      </c>
      <c r="L302" s="352" t="s">
        <v>1877</v>
      </c>
      <c r="M302" s="352" t="s">
        <v>2177</v>
      </c>
      <c r="N302" s="352" t="s">
        <v>2048</v>
      </c>
      <c r="O302" s="352">
        <v>11</v>
      </c>
      <c r="P302" s="352" t="s">
        <v>2063</v>
      </c>
      <c r="Q302" s="352" t="s">
        <v>2064</v>
      </c>
      <c r="R302" s="251">
        <v>599.72338968972178</v>
      </c>
      <c r="S302" s="251" t="s">
        <v>2015</v>
      </c>
      <c r="T302" s="251" t="s">
        <v>2016</v>
      </c>
      <c r="U302" s="251" t="s">
        <v>1931</v>
      </c>
      <c r="V302" s="251" t="s">
        <v>1932</v>
      </c>
      <c r="X302" s="251">
        <v>0</v>
      </c>
    </row>
    <row r="303" spans="2:24" x14ac:dyDescent="0.2">
      <c r="B303" s="352" t="s">
        <v>875</v>
      </c>
      <c r="C303" s="352" t="s">
        <v>706</v>
      </c>
      <c r="F303" s="352" t="s">
        <v>1992</v>
      </c>
      <c r="G303" s="352" t="s">
        <v>2051</v>
      </c>
      <c r="H303" s="352" t="s">
        <v>1225</v>
      </c>
      <c r="I303" s="352" t="s">
        <v>988</v>
      </c>
      <c r="J303" s="352" t="s">
        <v>989</v>
      </c>
      <c r="K303" s="352">
        <v>2112</v>
      </c>
      <c r="L303" s="352" t="s">
        <v>1874</v>
      </c>
      <c r="M303" s="352" t="s">
        <v>2178</v>
      </c>
      <c r="N303" s="352" t="s">
        <v>2048</v>
      </c>
      <c r="O303" s="352">
        <v>11</v>
      </c>
      <c r="P303" s="352" t="s">
        <v>2063</v>
      </c>
      <c r="Q303" s="352" t="s">
        <v>2064</v>
      </c>
      <c r="R303" s="251">
        <v>2.6211654253114895</v>
      </c>
      <c r="S303" s="251" t="s">
        <v>2015</v>
      </c>
      <c r="T303" s="251" t="s">
        <v>2016</v>
      </c>
      <c r="U303" s="251" t="s">
        <v>1931</v>
      </c>
      <c r="V303" s="251" t="s">
        <v>1932</v>
      </c>
      <c r="X303" s="251">
        <v>0</v>
      </c>
    </row>
    <row r="304" spans="2:24" x14ac:dyDescent="0.2">
      <c r="B304" s="352" t="s">
        <v>875</v>
      </c>
      <c r="C304" s="352" t="s">
        <v>706</v>
      </c>
      <c r="F304" s="352" t="s">
        <v>1992</v>
      </c>
      <c r="G304" s="352" t="s">
        <v>2051</v>
      </c>
      <c r="H304" s="352" t="s">
        <v>1225</v>
      </c>
      <c r="I304" s="352" t="s">
        <v>988</v>
      </c>
      <c r="J304" s="352" t="s">
        <v>989</v>
      </c>
      <c r="K304" s="352">
        <v>2122</v>
      </c>
      <c r="L304" s="352" t="s">
        <v>1877</v>
      </c>
      <c r="M304" s="352" t="s">
        <v>2179</v>
      </c>
      <c r="N304" s="352" t="s">
        <v>2048</v>
      </c>
      <c r="O304" s="352">
        <v>11</v>
      </c>
      <c r="P304" s="352" t="s">
        <v>2063</v>
      </c>
      <c r="Q304" s="352" t="s">
        <v>2064</v>
      </c>
      <c r="R304" s="251">
        <v>824.61966082336744</v>
      </c>
      <c r="S304" s="251" t="s">
        <v>2015</v>
      </c>
      <c r="T304" s="251" t="s">
        <v>2016</v>
      </c>
      <c r="U304" s="251" t="s">
        <v>1931</v>
      </c>
      <c r="V304" s="251" t="s">
        <v>1932</v>
      </c>
      <c r="X304" s="251">
        <v>0</v>
      </c>
    </row>
    <row r="305" spans="2:24" x14ac:dyDescent="0.2">
      <c r="B305" s="352" t="s">
        <v>875</v>
      </c>
      <c r="C305" s="352" t="s">
        <v>706</v>
      </c>
      <c r="F305" s="352" t="s">
        <v>1992</v>
      </c>
      <c r="G305" s="352" t="s">
        <v>2051</v>
      </c>
      <c r="H305" s="352" t="s">
        <v>1229</v>
      </c>
      <c r="I305" s="352" t="s">
        <v>990</v>
      </c>
      <c r="J305" s="352" t="s">
        <v>991</v>
      </c>
      <c r="K305" s="352">
        <v>2132</v>
      </c>
      <c r="L305" s="352" t="s">
        <v>1880</v>
      </c>
      <c r="M305" s="352" t="s">
        <v>2180</v>
      </c>
      <c r="N305" s="352" t="s">
        <v>2048</v>
      </c>
      <c r="O305" s="352">
        <v>1</v>
      </c>
      <c r="P305" s="352" t="s">
        <v>2065</v>
      </c>
      <c r="Q305" s="352" t="s">
        <v>2066</v>
      </c>
      <c r="R305" s="251">
        <v>0</v>
      </c>
      <c r="S305" s="251" t="s">
        <v>2015</v>
      </c>
      <c r="T305" s="251" t="s">
        <v>2054</v>
      </c>
      <c r="U305" s="251" t="s">
        <v>1931</v>
      </c>
      <c r="V305" s="251" t="s">
        <v>1932</v>
      </c>
      <c r="X305" s="251">
        <v>0</v>
      </c>
    </row>
    <row r="306" spans="2:24" x14ac:dyDescent="0.2">
      <c r="B306" s="352" t="s">
        <v>875</v>
      </c>
      <c r="C306" s="352" t="s">
        <v>706</v>
      </c>
      <c r="F306" s="352" t="s">
        <v>1992</v>
      </c>
      <c r="G306" s="352" t="s">
        <v>2051</v>
      </c>
      <c r="H306" s="352" t="s">
        <v>1233</v>
      </c>
      <c r="I306" s="352" t="s">
        <v>994</v>
      </c>
      <c r="J306" s="352" t="s">
        <v>995</v>
      </c>
      <c r="K306" s="352">
        <v>2311</v>
      </c>
      <c r="L306" s="352" t="s">
        <v>1887</v>
      </c>
      <c r="M306" s="352" t="s">
        <v>2181</v>
      </c>
      <c r="N306" s="352" t="s">
        <v>2048</v>
      </c>
      <c r="O306" s="352">
        <v>8</v>
      </c>
      <c r="P306" s="352" t="s">
        <v>2067</v>
      </c>
      <c r="Q306" s="352" t="s">
        <v>2068</v>
      </c>
      <c r="R306" s="251">
        <v>0</v>
      </c>
      <c r="S306" s="251" t="s">
        <v>2015</v>
      </c>
      <c r="T306" s="251" t="s">
        <v>2054</v>
      </c>
      <c r="U306" s="251" t="s">
        <v>1943</v>
      </c>
      <c r="V306" s="251" t="s">
        <v>1944</v>
      </c>
      <c r="X306" s="251">
        <v>0</v>
      </c>
    </row>
    <row r="307" spans="2:24" x14ac:dyDescent="0.2">
      <c r="B307" s="352" t="s">
        <v>875</v>
      </c>
      <c r="C307" s="352" t="s">
        <v>706</v>
      </c>
      <c r="F307" s="352" t="s">
        <v>1992</v>
      </c>
      <c r="G307" s="352" t="s">
        <v>2051</v>
      </c>
      <c r="H307" s="352" t="s">
        <v>1237</v>
      </c>
      <c r="I307" s="352" t="s">
        <v>996</v>
      </c>
      <c r="J307" s="352" t="s">
        <v>997</v>
      </c>
      <c r="K307" s="352">
        <v>2311</v>
      </c>
      <c r="L307" s="352" t="s">
        <v>1887</v>
      </c>
      <c r="M307" s="352" t="s">
        <v>2182</v>
      </c>
      <c r="N307" s="352" t="s">
        <v>2048</v>
      </c>
      <c r="O307" s="352">
        <v>8</v>
      </c>
      <c r="P307" s="352" t="s">
        <v>2067</v>
      </c>
      <c r="Q307" s="352" t="s">
        <v>2068</v>
      </c>
      <c r="R307" s="251">
        <v>0</v>
      </c>
      <c r="S307" s="251" t="s">
        <v>2015</v>
      </c>
      <c r="T307" s="251" t="s">
        <v>2054</v>
      </c>
      <c r="U307" s="251" t="s">
        <v>1943</v>
      </c>
      <c r="V307" s="251" t="s">
        <v>1944</v>
      </c>
      <c r="X307" s="251">
        <v>0</v>
      </c>
    </row>
    <row r="308" spans="2:24" x14ac:dyDescent="0.2">
      <c r="B308" s="352" t="s">
        <v>875</v>
      </c>
      <c r="C308" s="352" t="s">
        <v>706</v>
      </c>
      <c r="F308" s="352" t="s">
        <v>1992</v>
      </c>
      <c r="G308" s="352" t="s">
        <v>2051</v>
      </c>
      <c r="H308" s="352" t="s">
        <v>1241</v>
      </c>
      <c r="I308" s="352" t="s">
        <v>998</v>
      </c>
      <c r="J308" s="352" t="s">
        <v>999</v>
      </c>
      <c r="K308" s="352">
        <v>2311</v>
      </c>
      <c r="L308" s="352" t="s">
        <v>1887</v>
      </c>
      <c r="M308" s="352" t="s">
        <v>2183</v>
      </c>
      <c r="N308" s="352" t="s">
        <v>2048</v>
      </c>
      <c r="O308" s="352">
        <v>8</v>
      </c>
      <c r="P308" s="352" t="s">
        <v>2067</v>
      </c>
      <c r="Q308" s="352" t="s">
        <v>2068</v>
      </c>
      <c r="R308" s="251">
        <v>0</v>
      </c>
      <c r="S308" s="251" t="s">
        <v>2015</v>
      </c>
      <c r="T308" s="251" t="s">
        <v>2054</v>
      </c>
      <c r="U308" s="251" t="s">
        <v>1943</v>
      </c>
      <c r="V308" s="251" t="s">
        <v>1944</v>
      </c>
      <c r="X308" s="251">
        <v>0</v>
      </c>
    </row>
    <row r="309" spans="2:24" x14ac:dyDescent="0.2">
      <c r="B309" s="352" t="s">
        <v>875</v>
      </c>
      <c r="C309" s="352" t="s">
        <v>706</v>
      </c>
      <c r="F309" s="352" t="s">
        <v>1992</v>
      </c>
      <c r="G309" s="352" t="s">
        <v>2051</v>
      </c>
      <c r="H309" s="352" t="s">
        <v>1241</v>
      </c>
      <c r="I309" s="352" t="s">
        <v>998</v>
      </c>
      <c r="J309" s="352" t="s">
        <v>999</v>
      </c>
      <c r="K309" s="352">
        <v>2312</v>
      </c>
      <c r="L309" s="352" t="s">
        <v>789</v>
      </c>
      <c r="M309" s="352" t="s">
        <v>2184</v>
      </c>
      <c r="N309" s="352" t="s">
        <v>2048</v>
      </c>
      <c r="O309" s="352">
        <v>8</v>
      </c>
      <c r="P309" s="352" t="s">
        <v>2067</v>
      </c>
      <c r="Q309" s="352" t="s">
        <v>2068</v>
      </c>
      <c r="R309" s="251">
        <v>0</v>
      </c>
      <c r="S309" s="251" t="s">
        <v>2015</v>
      </c>
      <c r="T309" s="251" t="s">
        <v>2054</v>
      </c>
      <c r="U309" s="251" t="s">
        <v>1943</v>
      </c>
      <c r="V309" s="251" t="s">
        <v>1944</v>
      </c>
      <c r="X309" s="251">
        <v>0</v>
      </c>
    </row>
    <row r="310" spans="2:24" x14ac:dyDescent="0.2">
      <c r="B310" s="352" t="s">
        <v>875</v>
      </c>
      <c r="C310" s="352" t="s">
        <v>706</v>
      </c>
      <c r="F310" s="352" t="s">
        <v>1992</v>
      </c>
      <c r="G310" s="352" t="s">
        <v>2051</v>
      </c>
      <c r="H310" s="352" t="s">
        <v>1245</v>
      </c>
      <c r="I310" s="352" t="s">
        <v>1000</v>
      </c>
      <c r="J310" s="352" t="s">
        <v>1001</v>
      </c>
      <c r="K310" s="352">
        <v>2141</v>
      </c>
      <c r="L310" s="352" t="s">
        <v>1882</v>
      </c>
      <c r="M310" s="352" t="s">
        <v>2185</v>
      </c>
      <c r="N310" s="352" t="s">
        <v>2048</v>
      </c>
      <c r="O310" s="352">
        <v>12</v>
      </c>
      <c r="P310" s="352" t="s">
        <v>2069</v>
      </c>
      <c r="Q310" s="352" t="s">
        <v>2070</v>
      </c>
      <c r="R310" s="251">
        <v>230.96314347681871</v>
      </c>
      <c r="S310" s="251" t="s">
        <v>2015</v>
      </c>
      <c r="T310" s="251" t="s">
        <v>2016</v>
      </c>
      <c r="U310" s="251" t="s">
        <v>1935</v>
      </c>
      <c r="V310" s="251" t="s">
        <v>1936</v>
      </c>
      <c r="X310" s="251">
        <v>0</v>
      </c>
    </row>
    <row r="311" spans="2:24" x14ac:dyDescent="0.2">
      <c r="B311" s="352" t="s">
        <v>875</v>
      </c>
      <c r="C311" s="352" t="s">
        <v>706</v>
      </c>
      <c r="F311" s="352" t="s">
        <v>1992</v>
      </c>
      <c r="G311" s="352" t="s">
        <v>2051</v>
      </c>
      <c r="H311" s="352" t="s">
        <v>1245</v>
      </c>
      <c r="I311" s="352" t="s">
        <v>1000</v>
      </c>
      <c r="J311" s="352" t="s">
        <v>1001</v>
      </c>
      <c r="K311" s="352">
        <v>2142</v>
      </c>
      <c r="L311" s="352" t="s">
        <v>780</v>
      </c>
      <c r="M311" s="352" t="s">
        <v>2186</v>
      </c>
      <c r="N311" s="352" t="s">
        <v>2048</v>
      </c>
      <c r="O311" s="352">
        <v>12</v>
      </c>
      <c r="P311" s="352" t="s">
        <v>2069</v>
      </c>
      <c r="Q311" s="352" t="s">
        <v>2070</v>
      </c>
      <c r="R311" s="251">
        <v>145.08107570113327</v>
      </c>
      <c r="S311" s="251" t="s">
        <v>2015</v>
      </c>
      <c r="T311" s="251" t="s">
        <v>2016</v>
      </c>
      <c r="U311" s="251">
        <v>0</v>
      </c>
      <c r="V311" s="251" t="s">
        <v>2153</v>
      </c>
      <c r="X311" s="251">
        <v>0</v>
      </c>
    </row>
    <row r="312" spans="2:24" x14ac:dyDescent="0.2">
      <c r="B312" s="352" t="s">
        <v>875</v>
      </c>
      <c r="C312" s="352" t="s">
        <v>706</v>
      </c>
      <c r="F312" s="352" t="s">
        <v>1992</v>
      </c>
      <c r="G312" s="352" t="s">
        <v>2051</v>
      </c>
      <c r="H312" s="352" t="s">
        <v>1249</v>
      </c>
      <c r="I312" s="352" t="s">
        <v>1002</v>
      </c>
      <c r="J312" s="352" t="s">
        <v>1003</v>
      </c>
      <c r="K312" s="352">
        <v>2113</v>
      </c>
      <c r="L312" s="352" t="s">
        <v>1875</v>
      </c>
      <c r="M312" s="352" t="s">
        <v>2187</v>
      </c>
      <c r="N312" s="352" t="s">
        <v>2048</v>
      </c>
      <c r="O312" s="352">
        <v>1</v>
      </c>
      <c r="P312" s="352" t="s">
        <v>2065</v>
      </c>
      <c r="Q312" s="352" t="s">
        <v>2066</v>
      </c>
      <c r="R312" s="251">
        <v>0</v>
      </c>
      <c r="S312" s="251" t="s">
        <v>2015</v>
      </c>
      <c r="T312" s="251" t="s">
        <v>2054</v>
      </c>
      <c r="U312" s="251" t="s">
        <v>1935</v>
      </c>
      <c r="V312" s="251" t="s">
        <v>1936</v>
      </c>
      <c r="X312" s="251">
        <v>0</v>
      </c>
    </row>
    <row r="313" spans="2:24" x14ac:dyDescent="0.2">
      <c r="B313" s="352" t="s">
        <v>875</v>
      </c>
      <c r="C313" s="352" t="s">
        <v>706</v>
      </c>
      <c r="F313" s="352" t="s">
        <v>1992</v>
      </c>
      <c r="G313" s="352" t="s">
        <v>2051</v>
      </c>
      <c r="H313" s="352" t="s">
        <v>1249</v>
      </c>
      <c r="I313" s="352" t="s">
        <v>1002</v>
      </c>
      <c r="J313" s="352" t="s">
        <v>1003</v>
      </c>
      <c r="K313" s="352">
        <v>2123</v>
      </c>
      <c r="L313" s="352" t="s">
        <v>1878</v>
      </c>
      <c r="M313" s="352" t="s">
        <v>2188</v>
      </c>
      <c r="N313" s="352" t="s">
        <v>2048</v>
      </c>
      <c r="O313" s="352">
        <v>1</v>
      </c>
      <c r="P313" s="352" t="s">
        <v>2065</v>
      </c>
      <c r="Q313" s="352" t="s">
        <v>2066</v>
      </c>
      <c r="R313" s="251">
        <v>0</v>
      </c>
      <c r="S313" s="251" t="s">
        <v>2015</v>
      </c>
      <c r="T313" s="251" t="s">
        <v>2054</v>
      </c>
      <c r="U313" s="251" t="s">
        <v>1935</v>
      </c>
      <c r="V313" s="251" t="s">
        <v>1936</v>
      </c>
      <c r="X313" s="251">
        <v>0</v>
      </c>
    </row>
    <row r="314" spans="2:24" x14ac:dyDescent="0.2">
      <c r="B314" s="352" t="s">
        <v>875</v>
      </c>
      <c r="C314" s="352" t="s">
        <v>706</v>
      </c>
      <c r="F314" s="352" t="s">
        <v>1992</v>
      </c>
      <c r="G314" s="352" t="s">
        <v>2051</v>
      </c>
      <c r="H314" s="352" t="s">
        <v>1253</v>
      </c>
      <c r="I314" s="352" t="s">
        <v>1006</v>
      </c>
      <c r="J314" s="352" t="s">
        <v>1007</v>
      </c>
      <c r="K314" s="352">
        <v>2133</v>
      </c>
      <c r="L314" s="352" t="s">
        <v>1881</v>
      </c>
      <c r="M314" s="352" t="s">
        <v>2189</v>
      </c>
      <c r="N314" s="352" t="s">
        <v>2048</v>
      </c>
      <c r="O314" s="352">
        <v>1</v>
      </c>
      <c r="P314" s="352" t="s">
        <v>2065</v>
      </c>
      <c r="Q314" s="352" t="s">
        <v>2066</v>
      </c>
      <c r="R314" s="251">
        <v>0</v>
      </c>
      <c r="S314" s="251" t="s">
        <v>2015</v>
      </c>
      <c r="T314" s="251" t="s">
        <v>2054</v>
      </c>
      <c r="U314" s="251" t="s">
        <v>1935</v>
      </c>
      <c r="V314" s="251" t="s">
        <v>1936</v>
      </c>
      <c r="X314" s="251">
        <v>0</v>
      </c>
    </row>
    <row r="315" spans="2:24" x14ac:dyDescent="0.2">
      <c r="B315" s="352" t="s">
        <v>875</v>
      </c>
      <c r="C315" s="352" t="s">
        <v>706</v>
      </c>
      <c r="F315" s="352" t="s">
        <v>1992</v>
      </c>
      <c r="G315" s="352" t="s">
        <v>2051</v>
      </c>
      <c r="H315" s="352" t="s">
        <v>1253</v>
      </c>
      <c r="I315" s="352" t="s">
        <v>1006</v>
      </c>
      <c r="J315" s="352" t="s">
        <v>1007</v>
      </c>
      <c r="K315" s="352">
        <v>2141</v>
      </c>
      <c r="L315" s="352" t="s">
        <v>1882</v>
      </c>
      <c r="M315" s="352" t="s">
        <v>2190</v>
      </c>
      <c r="N315" s="352" t="s">
        <v>2048</v>
      </c>
      <c r="O315" s="352">
        <v>1</v>
      </c>
      <c r="P315" s="352" t="s">
        <v>2065</v>
      </c>
      <c r="Q315" s="352" t="s">
        <v>2066</v>
      </c>
      <c r="R315" s="251">
        <v>0</v>
      </c>
      <c r="S315" s="251" t="s">
        <v>2015</v>
      </c>
      <c r="T315" s="251" t="s">
        <v>2054</v>
      </c>
      <c r="U315" s="251" t="s">
        <v>1935</v>
      </c>
      <c r="V315" s="251" t="s">
        <v>1936</v>
      </c>
      <c r="X315" s="251">
        <v>0</v>
      </c>
    </row>
    <row r="316" spans="2:24" x14ac:dyDescent="0.2">
      <c r="B316" s="352" t="s">
        <v>875</v>
      </c>
      <c r="C316" s="352" t="s">
        <v>706</v>
      </c>
      <c r="F316" s="352" t="s">
        <v>1992</v>
      </c>
      <c r="G316" s="352" t="s">
        <v>2051</v>
      </c>
      <c r="H316" s="352" t="s">
        <v>1253</v>
      </c>
      <c r="I316" s="352" t="s">
        <v>1006</v>
      </c>
      <c r="J316" s="352" t="s">
        <v>1007</v>
      </c>
      <c r="K316" s="352">
        <v>2221</v>
      </c>
      <c r="L316" s="352" t="s">
        <v>1884</v>
      </c>
      <c r="M316" s="352" t="s">
        <v>2191</v>
      </c>
      <c r="N316" s="352" t="s">
        <v>2048</v>
      </c>
      <c r="O316" s="352">
        <v>1</v>
      </c>
      <c r="P316" s="352" t="s">
        <v>2065</v>
      </c>
      <c r="Q316" s="352" t="s">
        <v>2066</v>
      </c>
      <c r="R316" s="251">
        <v>0</v>
      </c>
      <c r="S316" s="251" t="s">
        <v>2015</v>
      </c>
      <c r="T316" s="251" t="s">
        <v>2054</v>
      </c>
      <c r="U316" s="251" t="s">
        <v>1935</v>
      </c>
      <c r="V316" s="251" t="s">
        <v>1936</v>
      </c>
      <c r="X316" s="251">
        <v>0</v>
      </c>
    </row>
    <row r="317" spans="2:24" x14ac:dyDescent="0.2">
      <c r="B317" s="352" t="s">
        <v>875</v>
      </c>
      <c r="C317" s="352" t="s">
        <v>706</v>
      </c>
      <c r="F317" s="352" t="s">
        <v>1992</v>
      </c>
      <c r="G317" s="352" t="s">
        <v>2051</v>
      </c>
      <c r="H317" s="352" t="s">
        <v>1257</v>
      </c>
      <c r="I317" s="352" t="s">
        <v>1008</v>
      </c>
      <c r="J317" s="352" t="s">
        <v>1009</v>
      </c>
      <c r="K317" s="352">
        <v>2223</v>
      </c>
      <c r="L317" s="352" t="s">
        <v>1886</v>
      </c>
      <c r="M317" s="352" t="s">
        <v>2192</v>
      </c>
      <c r="N317" s="352" t="s">
        <v>2048</v>
      </c>
      <c r="O317" s="352">
        <v>2</v>
      </c>
      <c r="P317" s="352" t="s">
        <v>2071</v>
      </c>
      <c r="Q317" s="352" t="s">
        <v>2072</v>
      </c>
      <c r="R317" s="251">
        <v>0</v>
      </c>
      <c r="S317" s="251" t="s">
        <v>2193</v>
      </c>
      <c r="T317" s="251" t="s">
        <v>2054</v>
      </c>
      <c r="U317" s="251" t="s">
        <v>1937</v>
      </c>
      <c r="V317" s="251" t="s">
        <v>1938</v>
      </c>
      <c r="X317" s="251">
        <v>0</v>
      </c>
    </row>
    <row r="318" spans="2:24" x14ac:dyDescent="0.2">
      <c r="B318" s="352" t="s">
        <v>875</v>
      </c>
      <c r="C318" s="352" t="s">
        <v>706</v>
      </c>
      <c r="F318" s="352" t="s">
        <v>1992</v>
      </c>
      <c r="G318" s="352" t="s">
        <v>2051</v>
      </c>
      <c r="H318" s="352" t="s">
        <v>1261</v>
      </c>
      <c r="I318" s="352" t="s">
        <v>1010</v>
      </c>
      <c r="J318" s="352" t="s">
        <v>1011</v>
      </c>
      <c r="K318" s="352">
        <v>2222</v>
      </c>
      <c r="L318" s="352" t="s">
        <v>1885</v>
      </c>
      <c r="M318" s="352" t="s">
        <v>2194</v>
      </c>
      <c r="N318" s="352" t="s">
        <v>2048</v>
      </c>
      <c r="O318" s="352">
        <v>2</v>
      </c>
      <c r="P318" s="352" t="s">
        <v>2071</v>
      </c>
      <c r="Q318" s="352" t="s">
        <v>2072</v>
      </c>
      <c r="R318" s="251">
        <v>0</v>
      </c>
      <c r="S318" s="251" t="s">
        <v>2193</v>
      </c>
      <c r="T318" s="251" t="s">
        <v>2054</v>
      </c>
      <c r="U318" s="251" t="s">
        <v>1939</v>
      </c>
      <c r="V318" s="251" t="s">
        <v>1940</v>
      </c>
      <c r="X318" s="251">
        <v>0</v>
      </c>
    </row>
    <row r="319" spans="2:24" x14ac:dyDescent="0.2">
      <c r="B319" s="352" t="s">
        <v>875</v>
      </c>
      <c r="C319" s="352" t="s">
        <v>706</v>
      </c>
      <c r="F319" s="352" t="s">
        <v>1992</v>
      </c>
      <c r="G319" s="352" t="s">
        <v>2051</v>
      </c>
      <c r="H319" s="352" t="s">
        <v>1265</v>
      </c>
      <c r="I319" s="352" t="s">
        <v>1012</v>
      </c>
      <c r="J319" s="352" t="s">
        <v>1013</v>
      </c>
      <c r="K319" s="352">
        <v>2222</v>
      </c>
      <c r="L319" s="352" t="s">
        <v>1885</v>
      </c>
      <c r="M319" s="352" t="s">
        <v>2195</v>
      </c>
      <c r="N319" s="352" t="s">
        <v>2048</v>
      </c>
      <c r="O319" s="352">
        <v>2</v>
      </c>
      <c r="P319" s="352" t="s">
        <v>2071</v>
      </c>
      <c r="Q319" s="352" t="s">
        <v>2072</v>
      </c>
      <c r="R319" s="251">
        <v>0</v>
      </c>
      <c r="S319" s="251" t="s">
        <v>2193</v>
      </c>
      <c r="T319" s="251" t="s">
        <v>2054</v>
      </c>
      <c r="U319" s="251" t="s">
        <v>1939</v>
      </c>
      <c r="V319" s="251" t="s">
        <v>1940</v>
      </c>
      <c r="X319" s="251">
        <v>0</v>
      </c>
    </row>
    <row r="320" spans="2:24" x14ac:dyDescent="0.2">
      <c r="B320" s="352" t="s">
        <v>875</v>
      </c>
      <c r="C320" s="352" t="s">
        <v>706</v>
      </c>
      <c r="F320" s="352" t="s">
        <v>1992</v>
      </c>
      <c r="G320" s="352" t="s">
        <v>2051</v>
      </c>
      <c r="H320" s="352" t="s">
        <v>1269</v>
      </c>
      <c r="I320" s="352" t="s">
        <v>1014</v>
      </c>
      <c r="J320" s="352" t="s">
        <v>1893</v>
      </c>
      <c r="K320" s="352">
        <v>2131</v>
      </c>
      <c r="L320" s="352" t="s">
        <v>1879</v>
      </c>
      <c r="M320" s="352" t="s">
        <v>2196</v>
      </c>
      <c r="N320" s="352" t="s">
        <v>2048</v>
      </c>
      <c r="O320" s="352">
        <v>8</v>
      </c>
      <c r="P320" s="352" t="s">
        <v>2067</v>
      </c>
      <c r="Q320" s="352" t="s">
        <v>2068</v>
      </c>
      <c r="R320" s="251">
        <v>0</v>
      </c>
      <c r="S320" s="251" t="s">
        <v>2015</v>
      </c>
      <c r="T320" s="251" t="s">
        <v>2054</v>
      </c>
      <c r="U320" s="251" t="s">
        <v>1929</v>
      </c>
      <c r="V320" s="251" t="s">
        <v>1930</v>
      </c>
      <c r="X320" s="251">
        <v>0</v>
      </c>
    </row>
    <row r="321" spans="2:24" x14ac:dyDescent="0.2">
      <c r="B321" s="352" t="s">
        <v>875</v>
      </c>
      <c r="C321" s="352" t="s">
        <v>706</v>
      </c>
      <c r="F321" s="352" t="s">
        <v>1992</v>
      </c>
      <c r="G321" s="352" t="s">
        <v>2051</v>
      </c>
      <c r="H321" s="352" t="s">
        <v>1269</v>
      </c>
      <c r="I321" s="352" t="s">
        <v>1014</v>
      </c>
      <c r="J321" s="352" t="s">
        <v>1893</v>
      </c>
      <c r="K321" s="352">
        <v>2132</v>
      </c>
      <c r="L321" s="352" t="s">
        <v>1880</v>
      </c>
      <c r="M321" s="352" t="s">
        <v>2197</v>
      </c>
      <c r="N321" s="352" t="s">
        <v>2048</v>
      </c>
      <c r="O321" s="352">
        <v>8</v>
      </c>
      <c r="P321" s="352" t="s">
        <v>2067</v>
      </c>
      <c r="Q321" s="352" t="s">
        <v>2068</v>
      </c>
      <c r="R321" s="251">
        <v>191.66219379099965</v>
      </c>
      <c r="S321" s="251" t="s">
        <v>2015</v>
      </c>
      <c r="T321" s="251" t="s">
        <v>2016</v>
      </c>
      <c r="U321" s="251" t="s">
        <v>1931</v>
      </c>
      <c r="V321" s="251" t="s">
        <v>1932</v>
      </c>
      <c r="X321" s="251">
        <v>0</v>
      </c>
    </row>
    <row r="322" spans="2:24" x14ac:dyDescent="0.2">
      <c r="B322" s="352" t="s">
        <v>875</v>
      </c>
      <c r="C322" s="352" t="s">
        <v>706</v>
      </c>
      <c r="F322" s="352" t="s">
        <v>1992</v>
      </c>
      <c r="G322" s="352" t="s">
        <v>2051</v>
      </c>
      <c r="H322" s="352" t="s">
        <v>1269</v>
      </c>
      <c r="I322" s="352" t="s">
        <v>1014</v>
      </c>
      <c r="J322" s="352" t="s">
        <v>1893</v>
      </c>
      <c r="K322" s="352">
        <v>2133</v>
      </c>
      <c r="L322" s="352" t="s">
        <v>1881</v>
      </c>
      <c r="M322" s="352" t="s">
        <v>2198</v>
      </c>
      <c r="N322" s="352" t="s">
        <v>2048</v>
      </c>
      <c r="O322" s="352">
        <v>8</v>
      </c>
      <c r="P322" s="352" t="s">
        <v>2067</v>
      </c>
      <c r="Q322" s="352" t="s">
        <v>2068</v>
      </c>
      <c r="R322" s="251">
        <v>297.14983234823097</v>
      </c>
      <c r="S322" s="251" t="s">
        <v>2015</v>
      </c>
      <c r="T322" s="251" t="s">
        <v>2016</v>
      </c>
      <c r="U322" s="251" t="s">
        <v>1935</v>
      </c>
      <c r="V322" s="251" t="s">
        <v>1936</v>
      </c>
      <c r="X322" s="251">
        <v>0</v>
      </c>
    </row>
    <row r="323" spans="2:24" x14ac:dyDescent="0.2">
      <c r="B323" s="352" t="s">
        <v>875</v>
      </c>
      <c r="C323" s="352" t="s">
        <v>706</v>
      </c>
      <c r="F323" s="352" t="s">
        <v>1992</v>
      </c>
      <c r="G323" s="352" t="s">
        <v>2051</v>
      </c>
      <c r="H323" s="352" t="s">
        <v>1269</v>
      </c>
      <c r="I323" s="352" t="s">
        <v>1014</v>
      </c>
      <c r="J323" s="352" t="s">
        <v>1893</v>
      </c>
      <c r="K323" s="352">
        <v>2134</v>
      </c>
      <c r="L323" s="352" t="s">
        <v>775</v>
      </c>
      <c r="M323" s="352" t="s">
        <v>2199</v>
      </c>
      <c r="N323" s="352" t="s">
        <v>2048</v>
      </c>
      <c r="O323" s="352">
        <v>8</v>
      </c>
      <c r="P323" s="352" t="s">
        <v>2067</v>
      </c>
      <c r="Q323" s="352" t="s">
        <v>2068</v>
      </c>
      <c r="R323" s="251">
        <v>17.29551763132935</v>
      </c>
      <c r="S323" s="251" t="s">
        <v>2015</v>
      </c>
      <c r="T323" s="251" t="s">
        <v>2016</v>
      </c>
      <c r="U323" s="251">
        <v>0</v>
      </c>
      <c r="V323" s="251" t="s">
        <v>2153</v>
      </c>
      <c r="X323" s="251">
        <v>0</v>
      </c>
    </row>
    <row r="324" spans="2:24" x14ac:dyDescent="0.2">
      <c r="B324" s="352" t="s">
        <v>875</v>
      </c>
      <c r="C324" s="352" t="s">
        <v>706</v>
      </c>
      <c r="F324" s="352" t="s">
        <v>1992</v>
      </c>
      <c r="G324" s="352" t="s">
        <v>2051</v>
      </c>
      <c r="H324" s="352" t="s">
        <v>1269</v>
      </c>
      <c r="I324" s="352" t="s">
        <v>1014</v>
      </c>
      <c r="J324" s="352" t="s">
        <v>1893</v>
      </c>
      <c r="K324" s="352">
        <v>2141</v>
      </c>
      <c r="L324" s="352" t="s">
        <v>1882</v>
      </c>
      <c r="M324" s="352" t="s">
        <v>2200</v>
      </c>
      <c r="N324" s="352" t="s">
        <v>2048</v>
      </c>
      <c r="O324" s="352">
        <v>8</v>
      </c>
      <c r="P324" s="352" t="s">
        <v>2067</v>
      </c>
      <c r="Q324" s="352" t="s">
        <v>2068</v>
      </c>
      <c r="R324" s="251">
        <v>7.1431900044376926</v>
      </c>
      <c r="S324" s="251" t="s">
        <v>2015</v>
      </c>
      <c r="T324" s="251" t="s">
        <v>2016</v>
      </c>
      <c r="U324" s="251" t="s">
        <v>1935</v>
      </c>
      <c r="V324" s="251" t="s">
        <v>1936</v>
      </c>
      <c r="X324" s="251">
        <v>0</v>
      </c>
    </row>
    <row r="325" spans="2:24" x14ac:dyDescent="0.2">
      <c r="B325" s="352" t="s">
        <v>875</v>
      </c>
      <c r="C325" s="352" t="s">
        <v>706</v>
      </c>
      <c r="F325" s="352" t="s">
        <v>1992</v>
      </c>
      <c r="G325" s="352" t="s">
        <v>2051</v>
      </c>
      <c r="H325" s="352" t="s">
        <v>1269</v>
      </c>
      <c r="I325" s="352" t="s">
        <v>1014</v>
      </c>
      <c r="J325" s="352" t="s">
        <v>1893</v>
      </c>
      <c r="K325" s="352">
        <v>2211</v>
      </c>
      <c r="L325" s="352" t="s">
        <v>1883</v>
      </c>
      <c r="M325" s="352" t="s">
        <v>2201</v>
      </c>
      <c r="N325" s="352" t="s">
        <v>2048</v>
      </c>
      <c r="O325" s="352">
        <v>8</v>
      </c>
      <c r="P325" s="352" t="s">
        <v>2067</v>
      </c>
      <c r="Q325" s="352" t="s">
        <v>2068</v>
      </c>
      <c r="R325" s="251">
        <v>12.940555662459841</v>
      </c>
      <c r="S325" s="251" t="s">
        <v>2015</v>
      </c>
      <c r="T325" s="251" t="s">
        <v>2016</v>
      </c>
      <c r="U325" s="251" t="s">
        <v>1929</v>
      </c>
      <c r="V325" s="251" t="s">
        <v>1930</v>
      </c>
      <c r="X325" s="251">
        <v>0</v>
      </c>
    </row>
    <row r="326" spans="2:24" x14ac:dyDescent="0.2">
      <c r="B326" s="352" t="s">
        <v>875</v>
      </c>
      <c r="C326" s="352" t="s">
        <v>706</v>
      </c>
      <c r="F326" s="352" t="s">
        <v>1992</v>
      </c>
      <c r="G326" s="352" t="s">
        <v>2051</v>
      </c>
      <c r="H326" s="352" t="s">
        <v>1269</v>
      </c>
      <c r="I326" s="352" t="s">
        <v>1014</v>
      </c>
      <c r="J326" s="352" t="s">
        <v>1893</v>
      </c>
      <c r="K326" s="352">
        <v>2221</v>
      </c>
      <c r="L326" s="352" t="s">
        <v>1884</v>
      </c>
      <c r="M326" s="352" t="s">
        <v>2202</v>
      </c>
      <c r="N326" s="352" t="s">
        <v>2048</v>
      </c>
      <c r="O326" s="352">
        <v>8</v>
      </c>
      <c r="P326" s="352" t="s">
        <v>2067</v>
      </c>
      <c r="Q326" s="352" t="s">
        <v>2068</v>
      </c>
      <c r="R326" s="251">
        <v>178.53796247954028</v>
      </c>
      <c r="S326" s="251" t="s">
        <v>2015</v>
      </c>
      <c r="T326" s="251" t="s">
        <v>2016</v>
      </c>
      <c r="U326" s="251" t="s">
        <v>1935</v>
      </c>
      <c r="V326" s="251" t="s">
        <v>1936</v>
      </c>
      <c r="X326" s="251">
        <v>0</v>
      </c>
    </row>
    <row r="327" spans="2:24" x14ac:dyDescent="0.2">
      <c r="B327" s="352" t="s">
        <v>875</v>
      </c>
      <c r="C327" s="352" t="s">
        <v>706</v>
      </c>
      <c r="F327" s="352" t="s">
        <v>1992</v>
      </c>
      <c r="G327" s="352" t="s">
        <v>2051</v>
      </c>
      <c r="H327" s="352" t="s">
        <v>1273</v>
      </c>
      <c r="I327" s="352" t="s">
        <v>1015</v>
      </c>
      <c r="J327" s="352" t="s">
        <v>1016</v>
      </c>
      <c r="K327" s="352">
        <v>3111</v>
      </c>
      <c r="L327" s="352" t="s">
        <v>763</v>
      </c>
      <c r="M327" s="352" t="s">
        <v>2203</v>
      </c>
      <c r="N327" s="352" t="s">
        <v>2048</v>
      </c>
      <c r="O327" s="352">
        <v>1</v>
      </c>
      <c r="P327" s="352" t="s">
        <v>2065</v>
      </c>
      <c r="Q327" s="352" t="s">
        <v>2066</v>
      </c>
      <c r="R327" s="251">
        <v>0</v>
      </c>
      <c r="S327" s="251"/>
      <c r="T327" s="251" t="s">
        <v>2054</v>
      </c>
      <c r="U327" s="251" t="s">
        <v>1945</v>
      </c>
      <c r="V327" s="251" t="s">
        <v>709</v>
      </c>
      <c r="X327" s="251">
        <v>0</v>
      </c>
    </row>
    <row r="328" spans="2:24" x14ac:dyDescent="0.2">
      <c r="B328" s="352" t="s">
        <v>875</v>
      </c>
      <c r="C328" s="352" t="s">
        <v>706</v>
      </c>
      <c r="F328" s="352" t="s">
        <v>1992</v>
      </c>
      <c r="G328" s="352" t="s">
        <v>2051</v>
      </c>
      <c r="H328" s="352" t="s">
        <v>1273</v>
      </c>
      <c r="I328" s="352" t="s">
        <v>1015</v>
      </c>
      <c r="J328" s="352" t="s">
        <v>1016</v>
      </c>
      <c r="K328" s="352">
        <v>3121</v>
      </c>
      <c r="L328" s="352" t="s">
        <v>766</v>
      </c>
      <c r="M328" s="352" t="s">
        <v>2204</v>
      </c>
      <c r="N328" s="352" t="s">
        <v>2048</v>
      </c>
      <c r="O328" s="352">
        <v>1</v>
      </c>
      <c r="P328" s="352" t="s">
        <v>2065</v>
      </c>
      <c r="Q328" s="352" t="s">
        <v>2066</v>
      </c>
      <c r="R328" s="251">
        <v>0</v>
      </c>
      <c r="S328" s="251"/>
      <c r="T328" s="251" t="s">
        <v>2054</v>
      </c>
      <c r="U328" s="251" t="s">
        <v>1945</v>
      </c>
      <c r="V328" s="251" t="s">
        <v>709</v>
      </c>
      <c r="X328" s="251">
        <v>0</v>
      </c>
    </row>
    <row r="329" spans="2:24" x14ac:dyDescent="0.2">
      <c r="B329" s="352" t="s">
        <v>875</v>
      </c>
      <c r="C329" s="352" t="s">
        <v>706</v>
      </c>
      <c r="F329" s="352" t="s">
        <v>1992</v>
      </c>
      <c r="G329" s="352" t="s">
        <v>2051</v>
      </c>
      <c r="H329" s="352" t="s">
        <v>1277</v>
      </c>
      <c r="I329" s="352" t="s">
        <v>1017</v>
      </c>
      <c r="J329" s="352" t="s">
        <v>1018</v>
      </c>
      <c r="K329" s="352">
        <v>4111</v>
      </c>
      <c r="L329" s="352" t="s">
        <v>770</v>
      </c>
      <c r="M329" s="352" t="s">
        <v>2205</v>
      </c>
      <c r="N329" s="352" t="s">
        <v>2048</v>
      </c>
      <c r="O329" s="352">
        <v>11</v>
      </c>
      <c r="P329" s="352" t="s">
        <v>2063</v>
      </c>
      <c r="Q329" s="352" t="s">
        <v>2064</v>
      </c>
      <c r="R329" s="251">
        <v>138.08235427453778</v>
      </c>
      <c r="S329" s="251" t="s">
        <v>2015</v>
      </c>
      <c r="T329" s="251" t="s">
        <v>2016</v>
      </c>
      <c r="U329" s="251" t="s">
        <v>1946</v>
      </c>
      <c r="V329" s="251" t="s">
        <v>1947</v>
      </c>
      <c r="X329" s="251">
        <v>0</v>
      </c>
    </row>
    <row r="330" spans="2:24" x14ac:dyDescent="0.2">
      <c r="B330" s="352" t="s">
        <v>875</v>
      </c>
      <c r="C330" s="352" t="s">
        <v>706</v>
      </c>
      <c r="F330" s="352" t="s">
        <v>1992</v>
      </c>
      <c r="G330" s="352" t="s">
        <v>2051</v>
      </c>
      <c r="H330" s="352" t="s">
        <v>1277</v>
      </c>
      <c r="I330" s="352" t="s">
        <v>1017</v>
      </c>
      <c r="J330" s="352" t="s">
        <v>1018</v>
      </c>
      <c r="K330" s="352">
        <v>4121</v>
      </c>
      <c r="L330" s="352" t="s">
        <v>772</v>
      </c>
      <c r="M330" s="352" t="s">
        <v>2206</v>
      </c>
      <c r="N330" s="352" t="s">
        <v>2048</v>
      </c>
      <c r="O330" s="352">
        <v>11</v>
      </c>
      <c r="P330" s="352" t="s">
        <v>2063</v>
      </c>
      <c r="Q330" s="352" t="s">
        <v>2064</v>
      </c>
      <c r="R330" s="251">
        <v>63.346260914255666</v>
      </c>
      <c r="S330" s="251" t="s">
        <v>2015</v>
      </c>
      <c r="T330" s="251" t="s">
        <v>2016</v>
      </c>
      <c r="U330" s="251" t="s">
        <v>1946</v>
      </c>
      <c r="V330" s="251" t="s">
        <v>1947</v>
      </c>
      <c r="X330" s="251">
        <v>0</v>
      </c>
    </row>
    <row r="331" spans="2:24" x14ac:dyDescent="0.2">
      <c r="B331" s="352" t="s">
        <v>875</v>
      </c>
      <c r="C331" s="352" t="s">
        <v>706</v>
      </c>
      <c r="F331" s="352" t="s">
        <v>1992</v>
      </c>
      <c r="G331" s="352" t="s">
        <v>2051</v>
      </c>
      <c r="H331" s="352" t="s">
        <v>1281</v>
      </c>
      <c r="I331" s="352" t="s">
        <v>1019</v>
      </c>
      <c r="J331" s="352" t="s">
        <v>1020</v>
      </c>
      <c r="K331" s="352">
        <v>4231</v>
      </c>
      <c r="L331" s="352" t="s">
        <v>774</v>
      </c>
      <c r="M331" s="352" t="s">
        <v>2207</v>
      </c>
      <c r="N331" s="352" t="s">
        <v>2048</v>
      </c>
      <c r="O331" s="352">
        <v>1</v>
      </c>
      <c r="P331" s="352" t="s">
        <v>2065</v>
      </c>
      <c r="Q331" s="352" t="s">
        <v>2066</v>
      </c>
      <c r="R331" s="251">
        <v>1638.9954386267555</v>
      </c>
      <c r="S331" s="251" t="s">
        <v>2015</v>
      </c>
      <c r="T331" s="251" t="s">
        <v>2016</v>
      </c>
      <c r="U331" s="251" t="s">
        <v>1948</v>
      </c>
      <c r="V331" s="251" t="s">
        <v>1949</v>
      </c>
      <c r="X331" s="251">
        <v>0</v>
      </c>
    </row>
    <row r="332" spans="2:24" x14ac:dyDescent="0.2">
      <c r="B332" s="352" t="s">
        <v>875</v>
      </c>
      <c r="C332" s="352" t="s">
        <v>706</v>
      </c>
      <c r="F332" s="352" t="s">
        <v>1992</v>
      </c>
      <c r="G332" s="352" t="s">
        <v>2051</v>
      </c>
      <c r="H332" s="352" t="s">
        <v>1281</v>
      </c>
      <c r="I332" s="352" t="s">
        <v>1019</v>
      </c>
      <c r="J332" s="352" t="s">
        <v>1020</v>
      </c>
      <c r="K332" s="352">
        <v>4241</v>
      </c>
      <c r="L332" s="352" t="s">
        <v>777</v>
      </c>
      <c r="M332" s="352" t="s">
        <v>2208</v>
      </c>
      <c r="N332" s="352" t="s">
        <v>2048</v>
      </c>
      <c r="O332" s="352">
        <v>1</v>
      </c>
      <c r="P332" s="352" t="s">
        <v>2065</v>
      </c>
      <c r="Q332" s="352" t="s">
        <v>2066</v>
      </c>
      <c r="R332" s="251">
        <v>36.2951479632857</v>
      </c>
      <c r="S332" s="251" t="s">
        <v>2015</v>
      </c>
      <c r="T332" s="251" t="s">
        <v>2016</v>
      </c>
      <c r="U332" s="251" t="s">
        <v>1950</v>
      </c>
      <c r="V332" s="251" t="s">
        <v>1951</v>
      </c>
      <c r="X332" s="251">
        <v>0</v>
      </c>
    </row>
    <row r="333" spans="2:24" x14ac:dyDescent="0.2">
      <c r="B333" s="352" t="s">
        <v>875</v>
      </c>
      <c r="C333" s="352" t="s">
        <v>706</v>
      </c>
      <c r="F333" s="352" t="s">
        <v>1992</v>
      </c>
      <c r="G333" s="352" t="s">
        <v>2051</v>
      </c>
      <c r="H333" s="352" t="s">
        <v>1281</v>
      </c>
      <c r="I333" s="352" t="s">
        <v>1019</v>
      </c>
      <c r="J333" s="352" t="s">
        <v>1020</v>
      </c>
      <c r="K333" s="352">
        <v>4311</v>
      </c>
      <c r="L333" s="352" t="s">
        <v>779</v>
      </c>
      <c r="M333" s="352" t="s">
        <v>2209</v>
      </c>
      <c r="N333" s="352" t="s">
        <v>2048</v>
      </c>
      <c r="O333" s="352">
        <v>1</v>
      </c>
      <c r="P333" s="352" t="s">
        <v>2065</v>
      </c>
      <c r="Q333" s="352" t="s">
        <v>2066</v>
      </c>
      <c r="R333" s="251">
        <v>3.270129948988417</v>
      </c>
      <c r="S333" s="251" t="s">
        <v>2015</v>
      </c>
      <c r="T333" s="251" t="s">
        <v>2016</v>
      </c>
      <c r="U333" s="251" t="s">
        <v>1952</v>
      </c>
      <c r="V333" s="251" t="s">
        <v>1953</v>
      </c>
      <c r="X333" s="251">
        <v>0</v>
      </c>
    </row>
    <row r="334" spans="2:24" x14ac:dyDescent="0.2">
      <c r="B334" s="352" t="s">
        <v>875</v>
      </c>
      <c r="C334" s="352" t="s">
        <v>706</v>
      </c>
      <c r="F334" s="352" t="s">
        <v>1992</v>
      </c>
      <c r="G334" s="352" t="s">
        <v>2051</v>
      </c>
      <c r="H334" s="352" t="s">
        <v>1285</v>
      </c>
      <c r="I334" s="352" t="s">
        <v>1021</v>
      </c>
      <c r="J334" s="352" t="s">
        <v>751</v>
      </c>
      <c r="K334" s="352">
        <v>4231</v>
      </c>
      <c r="L334" s="352" t="s">
        <v>774</v>
      </c>
      <c r="M334" s="352" t="s">
        <v>2210</v>
      </c>
      <c r="N334" s="352" t="s">
        <v>2048</v>
      </c>
      <c r="O334" s="352">
        <v>20</v>
      </c>
      <c r="P334" s="352" t="s">
        <v>2073</v>
      </c>
      <c r="Q334" s="352" t="s">
        <v>2074</v>
      </c>
      <c r="R334" s="251">
        <v>51.757750693476488</v>
      </c>
      <c r="S334" s="251" t="s">
        <v>2015</v>
      </c>
      <c r="T334" s="251" t="s">
        <v>2016</v>
      </c>
      <c r="U334" s="251" t="s">
        <v>1948</v>
      </c>
      <c r="V334" s="251" t="s">
        <v>1949</v>
      </c>
      <c r="X334" s="251">
        <v>0</v>
      </c>
    </row>
    <row r="335" spans="2:24" x14ac:dyDescent="0.2">
      <c r="B335" s="352" t="s">
        <v>875</v>
      </c>
      <c r="C335" s="352" t="s">
        <v>706</v>
      </c>
      <c r="F335" s="352" t="s">
        <v>1992</v>
      </c>
      <c r="G335" s="352" t="s">
        <v>2051</v>
      </c>
      <c r="H335" s="352" t="s">
        <v>1285</v>
      </c>
      <c r="I335" s="352" t="s">
        <v>1021</v>
      </c>
      <c r="J335" s="352" t="s">
        <v>751</v>
      </c>
      <c r="K335" s="352">
        <v>4241</v>
      </c>
      <c r="L335" s="352" t="s">
        <v>777</v>
      </c>
      <c r="M335" s="352" t="s">
        <v>2211</v>
      </c>
      <c r="N335" s="352" t="s">
        <v>2048</v>
      </c>
      <c r="O335" s="352">
        <v>20</v>
      </c>
      <c r="P335" s="352" t="s">
        <v>2073</v>
      </c>
      <c r="Q335" s="352" t="s">
        <v>2074</v>
      </c>
      <c r="R335" s="251">
        <v>1149.3463521707138</v>
      </c>
      <c r="S335" s="251" t="s">
        <v>2015</v>
      </c>
      <c r="T335" s="251" t="s">
        <v>2016</v>
      </c>
      <c r="U335" s="251" t="s">
        <v>1950</v>
      </c>
      <c r="V335" s="251" t="s">
        <v>1951</v>
      </c>
      <c r="X335" s="251">
        <v>0</v>
      </c>
    </row>
    <row r="336" spans="2:24" x14ac:dyDescent="0.2">
      <c r="B336" s="352" t="s">
        <v>875</v>
      </c>
      <c r="C336" s="352" t="s">
        <v>706</v>
      </c>
      <c r="F336" s="352" t="s">
        <v>1992</v>
      </c>
      <c r="G336" s="352" t="s">
        <v>2051</v>
      </c>
      <c r="H336" s="352" t="s">
        <v>1285</v>
      </c>
      <c r="I336" s="352" t="s">
        <v>1021</v>
      </c>
      <c r="J336" s="352" t="s">
        <v>751</v>
      </c>
      <c r="K336" s="352">
        <v>4311</v>
      </c>
      <c r="L336" s="352" t="s">
        <v>779</v>
      </c>
      <c r="M336" s="352" t="s">
        <v>2212</v>
      </c>
      <c r="N336" s="352" t="s">
        <v>2048</v>
      </c>
      <c r="O336" s="352">
        <v>20</v>
      </c>
      <c r="P336" s="352" t="s">
        <v>2073</v>
      </c>
      <c r="Q336" s="352" t="s">
        <v>2074</v>
      </c>
      <c r="R336" s="251">
        <v>103.55411505129987</v>
      </c>
      <c r="S336" s="251" t="s">
        <v>2015</v>
      </c>
      <c r="T336" s="251" t="s">
        <v>2016</v>
      </c>
      <c r="U336" s="251" t="s">
        <v>1952</v>
      </c>
      <c r="V336" s="251" t="s">
        <v>1953</v>
      </c>
      <c r="X336" s="251">
        <v>0</v>
      </c>
    </row>
    <row r="337" spans="2:24" x14ac:dyDescent="0.2">
      <c r="B337" s="352" t="s">
        <v>875</v>
      </c>
      <c r="C337" s="352" t="s">
        <v>712</v>
      </c>
      <c r="F337" s="352" t="s">
        <v>1993</v>
      </c>
      <c r="G337" s="352" t="s">
        <v>2078</v>
      </c>
      <c r="H337" s="352" t="s">
        <v>1289</v>
      </c>
      <c r="I337" s="352" t="s">
        <v>969</v>
      </c>
      <c r="J337" s="352" t="s">
        <v>970</v>
      </c>
      <c r="K337" s="352">
        <v>1111</v>
      </c>
      <c r="L337" s="352" t="s">
        <v>699</v>
      </c>
      <c r="M337" s="352" t="s">
        <v>2147</v>
      </c>
      <c r="N337" s="352" t="s">
        <v>2076</v>
      </c>
      <c r="O337" s="352">
        <v>5</v>
      </c>
      <c r="P337" s="352" t="s">
        <v>2077</v>
      </c>
      <c r="Q337" s="352" t="s">
        <v>2058</v>
      </c>
      <c r="R337" s="251">
        <v>90441.295925730854</v>
      </c>
      <c r="S337" s="251" t="s">
        <v>2015</v>
      </c>
      <c r="T337" s="251" t="s">
        <v>2016</v>
      </c>
      <c r="U337" s="251" t="s">
        <v>1914</v>
      </c>
      <c r="V337" s="251" t="s">
        <v>1915</v>
      </c>
      <c r="X337" s="251">
        <v>0</v>
      </c>
    </row>
    <row r="338" spans="2:24" x14ac:dyDescent="0.2">
      <c r="B338" s="352" t="s">
        <v>875</v>
      </c>
      <c r="C338" s="352" t="s">
        <v>712</v>
      </c>
      <c r="F338" s="352" t="s">
        <v>1993</v>
      </c>
      <c r="G338" s="352" t="s">
        <v>2078</v>
      </c>
      <c r="H338" s="352" t="s">
        <v>1289</v>
      </c>
      <c r="I338" s="352" t="s">
        <v>969</v>
      </c>
      <c r="J338" s="352" t="s">
        <v>970</v>
      </c>
      <c r="K338" s="352">
        <v>1231</v>
      </c>
      <c r="L338" s="352" t="s">
        <v>726</v>
      </c>
      <c r="M338" s="352" t="s">
        <v>2148</v>
      </c>
      <c r="N338" s="352" t="s">
        <v>2076</v>
      </c>
      <c r="O338" s="352">
        <v>5</v>
      </c>
      <c r="P338" s="352" t="s">
        <v>2077</v>
      </c>
      <c r="Q338" s="352" t="s">
        <v>2058</v>
      </c>
      <c r="R338" s="251">
        <v>3299.5422030256277</v>
      </c>
      <c r="S338" s="251" t="s">
        <v>2015</v>
      </c>
      <c r="T338" s="251" t="s">
        <v>2016</v>
      </c>
      <c r="U338" s="251" t="s">
        <v>1920</v>
      </c>
      <c r="V338" s="251" t="s">
        <v>726</v>
      </c>
      <c r="X338" s="251">
        <v>0</v>
      </c>
    </row>
    <row r="339" spans="2:24" x14ac:dyDescent="0.2">
      <c r="B339" s="352" t="s">
        <v>875</v>
      </c>
      <c r="C339" s="352" t="s">
        <v>712</v>
      </c>
      <c r="F339" s="352" t="s">
        <v>1993</v>
      </c>
      <c r="G339" s="352" t="s">
        <v>2078</v>
      </c>
      <c r="H339" s="352" t="s">
        <v>1293</v>
      </c>
      <c r="I339" s="352" t="s">
        <v>971</v>
      </c>
      <c r="J339" s="352" t="s">
        <v>972</v>
      </c>
      <c r="K339" s="352">
        <v>1211</v>
      </c>
      <c r="L339" s="352" t="s">
        <v>705</v>
      </c>
      <c r="M339" s="352" t="s">
        <v>2149</v>
      </c>
      <c r="N339" s="352" t="s">
        <v>2076</v>
      </c>
      <c r="O339" s="352">
        <v>5</v>
      </c>
      <c r="P339" s="352" t="s">
        <v>2077</v>
      </c>
      <c r="Q339" s="352" t="s">
        <v>2058</v>
      </c>
      <c r="R339" s="251">
        <v>0</v>
      </c>
      <c r="S339" s="251" t="s">
        <v>2015</v>
      </c>
      <c r="T339" s="251" t="s">
        <v>2054</v>
      </c>
      <c r="U339" s="251" t="s">
        <v>1916</v>
      </c>
      <c r="V339" s="251" t="s">
        <v>1917</v>
      </c>
      <c r="X339" s="251">
        <v>0</v>
      </c>
    </row>
    <row r="340" spans="2:24" x14ac:dyDescent="0.2">
      <c r="B340" s="352" t="s">
        <v>875</v>
      </c>
      <c r="C340" s="352" t="s">
        <v>712</v>
      </c>
      <c r="F340" s="352" t="s">
        <v>1993</v>
      </c>
      <c r="G340" s="352" t="s">
        <v>2078</v>
      </c>
      <c r="H340" s="352" t="s">
        <v>1297</v>
      </c>
      <c r="I340" s="352" t="s">
        <v>973</v>
      </c>
      <c r="J340" s="352" t="s">
        <v>974</v>
      </c>
      <c r="K340" s="352">
        <v>1211</v>
      </c>
      <c r="L340" s="352" t="s">
        <v>705</v>
      </c>
      <c r="M340" s="352" t="s">
        <v>2150</v>
      </c>
      <c r="N340" s="352" t="s">
        <v>2076</v>
      </c>
      <c r="O340" s="352">
        <v>5</v>
      </c>
      <c r="P340" s="352" t="s">
        <v>2077</v>
      </c>
      <c r="Q340" s="352" t="s">
        <v>2058</v>
      </c>
      <c r="R340" s="251">
        <v>16645.071038619011</v>
      </c>
      <c r="S340" s="251" t="s">
        <v>2015</v>
      </c>
      <c r="T340" s="251" t="s">
        <v>2016</v>
      </c>
      <c r="U340" s="251" t="s">
        <v>1916</v>
      </c>
      <c r="V340" s="251" t="s">
        <v>1917</v>
      </c>
      <c r="X340" s="251">
        <v>0</v>
      </c>
    </row>
    <row r="341" spans="2:24" x14ac:dyDescent="0.2">
      <c r="B341" s="352" t="s">
        <v>875</v>
      </c>
      <c r="C341" s="352" t="s">
        <v>712</v>
      </c>
      <c r="F341" s="352" t="s">
        <v>1993</v>
      </c>
      <c r="G341" s="352" t="s">
        <v>2078</v>
      </c>
      <c r="H341" s="352" t="s">
        <v>1297</v>
      </c>
      <c r="I341" s="352" t="s">
        <v>973</v>
      </c>
      <c r="J341" s="352" t="s">
        <v>974</v>
      </c>
      <c r="K341" s="352">
        <v>1221</v>
      </c>
      <c r="L341" s="352" t="s">
        <v>711</v>
      </c>
      <c r="M341" s="352" t="s">
        <v>2151</v>
      </c>
      <c r="N341" s="352" t="s">
        <v>2076</v>
      </c>
      <c r="O341" s="352">
        <v>5</v>
      </c>
      <c r="P341" s="352" t="s">
        <v>2077</v>
      </c>
      <c r="Q341" s="352" t="s">
        <v>2058</v>
      </c>
      <c r="R341" s="251">
        <v>19698.82736704369</v>
      </c>
      <c r="S341" s="251" t="s">
        <v>2015</v>
      </c>
      <c r="T341" s="251" t="s">
        <v>2016</v>
      </c>
      <c r="U341" s="251" t="s">
        <v>1918</v>
      </c>
      <c r="V341" s="251" t="s">
        <v>1919</v>
      </c>
      <c r="X341" s="251">
        <v>0</v>
      </c>
    </row>
    <row r="342" spans="2:24" x14ac:dyDescent="0.2">
      <c r="B342" s="352" t="s">
        <v>875</v>
      </c>
      <c r="C342" s="352" t="s">
        <v>712</v>
      </c>
      <c r="F342" s="352" t="s">
        <v>1993</v>
      </c>
      <c r="G342" s="352" t="s">
        <v>2078</v>
      </c>
      <c r="H342" s="352" t="s">
        <v>1297</v>
      </c>
      <c r="I342" s="352" t="s">
        <v>973</v>
      </c>
      <c r="J342" s="352" t="s">
        <v>974</v>
      </c>
      <c r="K342" s="352">
        <v>1222</v>
      </c>
      <c r="L342" s="352" t="s">
        <v>718</v>
      </c>
      <c r="M342" s="352" t="s">
        <v>2152</v>
      </c>
      <c r="N342" s="352" t="s">
        <v>2076</v>
      </c>
      <c r="O342" s="352">
        <v>5</v>
      </c>
      <c r="P342" s="352" t="s">
        <v>2077</v>
      </c>
      <c r="Q342" s="352" t="s">
        <v>2058</v>
      </c>
      <c r="R342" s="251">
        <v>518.39019386957102</v>
      </c>
      <c r="S342" s="251" t="s">
        <v>2015</v>
      </c>
      <c r="T342" s="251" t="s">
        <v>2016</v>
      </c>
      <c r="U342" s="251">
        <v>0</v>
      </c>
      <c r="V342" s="251" t="s">
        <v>2153</v>
      </c>
      <c r="X342" s="251">
        <v>0</v>
      </c>
    </row>
    <row r="343" spans="2:24" x14ac:dyDescent="0.2">
      <c r="B343" s="352" t="s">
        <v>875</v>
      </c>
      <c r="C343" s="352" t="s">
        <v>712</v>
      </c>
      <c r="F343" s="352" t="s">
        <v>1993</v>
      </c>
      <c r="G343" s="352" t="s">
        <v>2078</v>
      </c>
      <c r="H343" s="352" t="s">
        <v>1301</v>
      </c>
      <c r="I343" s="352" t="s">
        <v>975</v>
      </c>
      <c r="J343" s="352" t="s">
        <v>976</v>
      </c>
      <c r="K343" s="352">
        <v>1221</v>
      </c>
      <c r="L343" s="352" t="s">
        <v>711</v>
      </c>
      <c r="M343" s="352" t="s">
        <v>2154</v>
      </c>
      <c r="N343" s="352" t="s">
        <v>2076</v>
      </c>
      <c r="O343" s="352">
        <v>7</v>
      </c>
      <c r="P343" s="352" t="s">
        <v>2081</v>
      </c>
      <c r="Q343" s="352" t="s">
        <v>2056</v>
      </c>
      <c r="R343" s="251">
        <v>0</v>
      </c>
      <c r="S343" s="251" t="s">
        <v>2015</v>
      </c>
      <c r="T343" s="251" t="s">
        <v>2054</v>
      </c>
      <c r="U343" s="251" t="s">
        <v>1918</v>
      </c>
      <c r="V343" s="251" t="s">
        <v>1919</v>
      </c>
      <c r="X343" s="251">
        <v>0</v>
      </c>
    </row>
    <row r="344" spans="2:24" x14ac:dyDescent="0.2">
      <c r="B344" s="352" t="s">
        <v>875</v>
      </c>
      <c r="C344" s="352" t="s">
        <v>712</v>
      </c>
      <c r="F344" s="352" t="s">
        <v>1993</v>
      </c>
      <c r="G344" s="352" t="s">
        <v>2078</v>
      </c>
      <c r="H344" s="352" t="s">
        <v>1305</v>
      </c>
      <c r="I344" s="352" t="s">
        <v>977</v>
      </c>
      <c r="J344" s="352" t="s">
        <v>864</v>
      </c>
      <c r="K344" s="352">
        <v>1111</v>
      </c>
      <c r="L344" s="352" t="s">
        <v>699</v>
      </c>
      <c r="M344" s="352" t="s">
        <v>2155</v>
      </c>
      <c r="N344" s="352" t="s">
        <v>2076</v>
      </c>
      <c r="O344" s="352">
        <v>5</v>
      </c>
      <c r="P344" s="352" t="s">
        <v>2077</v>
      </c>
      <c r="Q344" s="352" t="s">
        <v>2058</v>
      </c>
      <c r="R344" s="251">
        <v>4915.28782205059</v>
      </c>
      <c r="S344" s="251" t="s">
        <v>2015</v>
      </c>
      <c r="T344" s="251" t="s">
        <v>2016</v>
      </c>
      <c r="U344" s="251" t="s">
        <v>1914</v>
      </c>
      <c r="V344" s="251" t="s">
        <v>1915</v>
      </c>
      <c r="X344" s="251">
        <v>0</v>
      </c>
    </row>
    <row r="345" spans="2:24" x14ac:dyDescent="0.2">
      <c r="B345" s="352" t="s">
        <v>875</v>
      </c>
      <c r="C345" s="352" t="s">
        <v>712</v>
      </c>
      <c r="F345" s="352" t="s">
        <v>1993</v>
      </c>
      <c r="G345" s="352" t="s">
        <v>2078</v>
      </c>
      <c r="H345" s="352" t="s">
        <v>1305</v>
      </c>
      <c r="I345" s="352" t="s">
        <v>977</v>
      </c>
      <c r="J345" s="352" t="s">
        <v>864</v>
      </c>
      <c r="K345" s="352">
        <v>1211</v>
      </c>
      <c r="L345" s="352" t="s">
        <v>705</v>
      </c>
      <c r="M345" s="352" t="s">
        <v>2156</v>
      </c>
      <c r="N345" s="352" t="s">
        <v>2076</v>
      </c>
      <c r="O345" s="352">
        <v>5</v>
      </c>
      <c r="P345" s="352" t="s">
        <v>2077</v>
      </c>
      <c r="Q345" s="352" t="s">
        <v>2058</v>
      </c>
      <c r="R345" s="251">
        <v>1913.2265561631048</v>
      </c>
      <c r="S345" s="251" t="s">
        <v>2015</v>
      </c>
      <c r="T345" s="251" t="s">
        <v>2016</v>
      </c>
      <c r="U345" s="251" t="s">
        <v>1916</v>
      </c>
      <c r="V345" s="251" t="s">
        <v>1917</v>
      </c>
      <c r="X345" s="251">
        <v>0</v>
      </c>
    </row>
    <row r="346" spans="2:24" x14ac:dyDescent="0.2">
      <c r="B346" s="352" t="s">
        <v>875</v>
      </c>
      <c r="C346" s="352" t="s">
        <v>712</v>
      </c>
      <c r="F346" s="352" t="s">
        <v>1993</v>
      </c>
      <c r="G346" s="352" t="s">
        <v>2078</v>
      </c>
      <c r="H346" s="352" t="s">
        <v>1305</v>
      </c>
      <c r="I346" s="352" t="s">
        <v>977</v>
      </c>
      <c r="J346" s="352" t="s">
        <v>864</v>
      </c>
      <c r="K346" s="352">
        <v>1221</v>
      </c>
      <c r="L346" s="352" t="s">
        <v>711</v>
      </c>
      <c r="M346" s="352" t="s">
        <v>2157</v>
      </c>
      <c r="N346" s="352" t="s">
        <v>2076</v>
      </c>
      <c r="O346" s="352">
        <v>5</v>
      </c>
      <c r="P346" s="352" t="s">
        <v>2077</v>
      </c>
      <c r="Q346" s="352" t="s">
        <v>2058</v>
      </c>
      <c r="R346" s="251">
        <v>2462.3534208804613</v>
      </c>
      <c r="S346" s="251" t="s">
        <v>2015</v>
      </c>
      <c r="T346" s="251" t="s">
        <v>2016</v>
      </c>
      <c r="U346" s="251" t="s">
        <v>1918</v>
      </c>
      <c r="V346" s="251" t="s">
        <v>1919</v>
      </c>
      <c r="X346" s="251">
        <v>0</v>
      </c>
    </row>
    <row r="347" spans="2:24" x14ac:dyDescent="0.2">
      <c r="B347" s="352" t="s">
        <v>875</v>
      </c>
      <c r="C347" s="352" t="s">
        <v>712</v>
      </c>
      <c r="F347" s="352" t="s">
        <v>1993</v>
      </c>
      <c r="G347" s="352" t="s">
        <v>2078</v>
      </c>
      <c r="H347" s="352" t="s">
        <v>1305</v>
      </c>
      <c r="I347" s="352" t="s">
        <v>977</v>
      </c>
      <c r="J347" s="352" t="s">
        <v>864</v>
      </c>
      <c r="K347" s="352">
        <v>1222</v>
      </c>
      <c r="L347" s="352" t="s">
        <v>718</v>
      </c>
      <c r="M347" s="352" t="s">
        <v>2158</v>
      </c>
      <c r="N347" s="352" t="s">
        <v>2076</v>
      </c>
      <c r="O347" s="352">
        <v>5</v>
      </c>
      <c r="P347" s="352" t="s">
        <v>2077</v>
      </c>
      <c r="Q347" s="352" t="s">
        <v>2058</v>
      </c>
      <c r="R347" s="251">
        <v>647.98774233696372</v>
      </c>
      <c r="S347" s="251" t="s">
        <v>2015</v>
      </c>
      <c r="T347" s="251" t="s">
        <v>2016</v>
      </c>
      <c r="U347" s="251">
        <v>0</v>
      </c>
      <c r="V347" s="251" t="s">
        <v>2153</v>
      </c>
      <c r="X347" s="251">
        <v>0</v>
      </c>
    </row>
    <row r="348" spans="2:24" x14ac:dyDescent="0.2">
      <c r="B348" s="352" t="s">
        <v>875</v>
      </c>
      <c r="C348" s="352" t="s">
        <v>712</v>
      </c>
      <c r="F348" s="352" t="s">
        <v>1993</v>
      </c>
      <c r="G348" s="352" t="s">
        <v>2078</v>
      </c>
      <c r="H348" s="352" t="s">
        <v>1305</v>
      </c>
      <c r="I348" s="352" t="s">
        <v>977</v>
      </c>
      <c r="J348" s="352" t="s">
        <v>864</v>
      </c>
      <c r="K348" s="352">
        <v>1231</v>
      </c>
      <c r="L348" s="352" t="s">
        <v>726</v>
      </c>
      <c r="M348" s="352" t="s">
        <v>2159</v>
      </c>
      <c r="N348" s="352" t="s">
        <v>2076</v>
      </c>
      <c r="O348" s="352">
        <v>5</v>
      </c>
      <c r="P348" s="352" t="s">
        <v>2077</v>
      </c>
      <c r="Q348" s="352" t="s">
        <v>2058</v>
      </c>
      <c r="R348" s="251">
        <v>12373.283261346103</v>
      </c>
      <c r="S348" s="251" t="s">
        <v>2015</v>
      </c>
      <c r="T348" s="251" t="s">
        <v>2016</v>
      </c>
      <c r="U348" s="251" t="s">
        <v>1920</v>
      </c>
      <c r="V348" s="251" t="s">
        <v>726</v>
      </c>
      <c r="X348" s="251">
        <v>0</v>
      </c>
    </row>
    <row r="349" spans="2:24" x14ac:dyDescent="0.2">
      <c r="B349" s="352" t="s">
        <v>875</v>
      </c>
      <c r="C349" s="352" t="s">
        <v>712</v>
      </c>
      <c r="F349" s="352" t="s">
        <v>1993</v>
      </c>
      <c r="G349" s="352" t="s">
        <v>2078</v>
      </c>
      <c r="H349" s="352" t="s">
        <v>1305</v>
      </c>
      <c r="I349" s="352" t="s">
        <v>977</v>
      </c>
      <c r="J349" s="352" t="s">
        <v>864</v>
      </c>
      <c r="K349" s="352">
        <v>1232</v>
      </c>
      <c r="L349" s="352" t="s">
        <v>734</v>
      </c>
      <c r="M349" s="352" t="s">
        <v>2160</v>
      </c>
      <c r="N349" s="352" t="s">
        <v>2076</v>
      </c>
      <c r="O349" s="352">
        <v>5</v>
      </c>
      <c r="P349" s="352" t="s">
        <v>2077</v>
      </c>
      <c r="Q349" s="352" t="s">
        <v>2058</v>
      </c>
      <c r="R349" s="251">
        <v>2368.1599975535905</v>
      </c>
      <c r="S349" s="251" t="s">
        <v>2015</v>
      </c>
      <c r="T349" s="251" t="s">
        <v>2016</v>
      </c>
      <c r="U349" s="251">
        <v>0</v>
      </c>
      <c r="V349" s="251" t="s">
        <v>2153</v>
      </c>
      <c r="X349" s="251">
        <v>0</v>
      </c>
    </row>
    <row r="350" spans="2:24" x14ac:dyDescent="0.2">
      <c r="B350" s="352" t="s">
        <v>875</v>
      </c>
      <c r="C350" s="352" t="s">
        <v>712</v>
      </c>
      <c r="F350" s="352" t="s">
        <v>1993</v>
      </c>
      <c r="G350" s="352" t="s">
        <v>2078</v>
      </c>
      <c r="H350" s="352" t="s">
        <v>1305</v>
      </c>
      <c r="I350" s="352" t="s">
        <v>977</v>
      </c>
      <c r="J350" s="352" t="s">
        <v>864</v>
      </c>
      <c r="K350" s="352">
        <v>1241</v>
      </c>
      <c r="L350" s="352" t="s">
        <v>1872</v>
      </c>
      <c r="M350" s="352" t="s">
        <v>2161</v>
      </c>
      <c r="N350" s="352" t="s">
        <v>2076</v>
      </c>
      <c r="O350" s="352">
        <v>5</v>
      </c>
      <c r="P350" s="352" t="s">
        <v>2077</v>
      </c>
      <c r="Q350" s="352" t="s">
        <v>2058</v>
      </c>
      <c r="R350" s="251">
        <v>205.98833746066947</v>
      </c>
      <c r="S350" s="251" t="s">
        <v>2015</v>
      </c>
      <c r="T350" s="251" t="s">
        <v>2016</v>
      </c>
      <c r="U350" s="251">
        <v>0</v>
      </c>
      <c r="V350" s="251" t="s">
        <v>2153</v>
      </c>
      <c r="X350" s="251">
        <v>0</v>
      </c>
    </row>
    <row r="351" spans="2:24" x14ac:dyDescent="0.2">
      <c r="B351" s="352" t="s">
        <v>875</v>
      </c>
      <c r="C351" s="352" t="s">
        <v>712</v>
      </c>
      <c r="F351" s="352" t="s">
        <v>1993</v>
      </c>
      <c r="G351" s="352" t="s">
        <v>2078</v>
      </c>
      <c r="H351" s="352" t="s">
        <v>1305</v>
      </c>
      <c r="I351" s="352" t="s">
        <v>977</v>
      </c>
      <c r="J351" s="352" t="s">
        <v>864</v>
      </c>
      <c r="K351" s="352">
        <v>1251</v>
      </c>
      <c r="L351" s="352" t="s">
        <v>733</v>
      </c>
      <c r="M351" s="352" t="s">
        <v>2162</v>
      </c>
      <c r="N351" s="352" t="s">
        <v>2076</v>
      </c>
      <c r="O351" s="352">
        <v>5</v>
      </c>
      <c r="P351" s="352" t="s">
        <v>2077</v>
      </c>
      <c r="Q351" s="352" t="s">
        <v>2058</v>
      </c>
      <c r="R351" s="251">
        <v>655.12728598597937</v>
      </c>
      <c r="S351" s="251" t="s">
        <v>2015</v>
      </c>
      <c r="T351" s="251" t="s">
        <v>2016</v>
      </c>
      <c r="U351" s="251">
        <v>0</v>
      </c>
      <c r="V351" s="251" t="s">
        <v>2153</v>
      </c>
      <c r="X351" s="251">
        <v>0</v>
      </c>
    </row>
    <row r="352" spans="2:24" x14ac:dyDescent="0.2">
      <c r="B352" s="352" t="s">
        <v>875</v>
      </c>
      <c r="C352" s="352" t="s">
        <v>712</v>
      </c>
      <c r="F352" s="352" t="s">
        <v>1993</v>
      </c>
      <c r="G352" s="352" t="s">
        <v>2078</v>
      </c>
      <c r="H352" s="352" t="s">
        <v>1309</v>
      </c>
      <c r="I352" s="352" t="s">
        <v>978</v>
      </c>
      <c r="J352" s="352" t="s">
        <v>1892</v>
      </c>
      <c r="K352" s="352">
        <v>1111</v>
      </c>
      <c r="L352" s="352" t="s">
        <v>699</v>
      </c>
      <c r="M352" s="352" t="s">
        <v>2163</v>
      </c>
      <c r="N352" s="352" t="s">
        <v>2076</v>
      </c>
      <c r="O352" s="352">
        <v>5</v>
      </c>
      <c r="P352" s="352" t="s">
        <v>2077</v>
      </c>
      <c r="Q352" s="352" t="s">
        <v>2058</v>
      </c>
      <c r="R352" s="251">
        <v>0</v>
      </c>
      <c r="S352" s="251" t="s">
        <v>2015</v>
      </c>
      <c r="T352" s="251" t="s">
        <v>2054</v>
      </c>
      <c r="U352" s="251" t="s">
        <v>1914</v>
      </c>
      <c r="V352" s="251" t="s">
        <v>1915</v>
      </c>
      <c r="X352" s="251">
        <v>0</v>
      </c>
    </row>
    <row r="353" spans="2:24" x14ac:dyDescent="0.2">
      <c r="B353" s="352" t="s">
        <v>875</v>
      </c>
      <c r="C353" s="352" t="s">
        <v>712</v>
      </c>
      <c r="F353" s="352" t="s">
        <v>1993</v>
      </c>
      <c r="G353" s="352" t="s">
        <v>2078</v>
      </c>
      <c r="H353" s="352" t="s">
        <v>1309</v>
      </c>
      <c r="I353" s="352" t="s">
        <v>978</v>
      </c>
      <c r="J353" s="352" t="s">
        <v>1892</v>
      </c>
      <c r="K353" s="352">
        <v>1231</v>
      </c>
      <c r="L353" s="352" t="s">
        <v>726</v>
      </c>
      <c r="M353" s="352" t="s">
        <v>2164</v>
      </c>
      <c r="N353" s="352" t="s">
        <v>2076</v>
      </c>
      <c r="O353" s="352">
        <v>5</v>
      </c>
      <c r="P353" s="352" t="s">
        <v>2077</v>
      </c>
      <c r="Q353" s="352" t="s">
        <v>2058</v>
      </c>
      <c r="R353" s="251">
        <v>0</v>
      </c>
      <c r="S353" s="251" t="s">
        <v>2015</v>
      </c>
      <c r="T353" s="251" t="s">
        <v>2054</v>
      </c>
      <c r="U353" s="251" t="s">
        <v>1920</v>
      </c>
      <c r="V353" s="251" t="s">
        <v>726</v>
      </c>
      <c r="X353" s="251">
        <v>0</v>
      </c>
    </row>
    <row r="354" spans="2:24" x14ac:dyDescent="0.2">
      <c r="B354" s="352" t="s">
        <v>875</v>
      </c>
      <c r="C354" s="352" t="s">
        <v>712</v>
      </c>
      <c r="F354" s="352" t="s">
        <v>1993</v>
      </c>
      <c r="G354" s="352" t="s">
        <v>2078</v>
      </c>
      <c r="H354" s="352" t="s">
        <v>1313</v>
      </c>
      <c r="I354" s="352" t="s">
        <v>979</v>
      </c>
      <c r="J354" s="352" t="s">
        <v>980</v>
      </c>
      <c r="K354" s="352">
        <v>1241</v>
      </c>
      <c r="L354" s="352" t="s">
        <v>1872</v>
      </c>
      <c r="M354" s="352" t="s">
        <v>2165</v>
      </c>
      <c r="N354" s="352" t="s">
        <v>2076</v>
      </c>
      <c r="O354" s="352">
        <v>7</v>
      </c>
      <c r="P354" s="352" t="s">
        <v>2081</v>
      </c>
      <c r="Q354" s="352" t="s">
        <v>2056</v>
      </c>
      <c r="R354" s="251">
        <v>0</v>
      </c>
      <c r="S354" s="251" t="s">
        <v>2015</v>
      </c>
      <c r="T354" s="251" t="s">
        <v>2054</v>
      </c>
      <c r="U354" s="251">
        <v>0</v>
      </c>
      <c r="V354" s="251" t="s">
        <v>2153</v>
      </c>
      <c r="X354" s="251">
        <v>0</v>
      </c>
    </row>
    <row r="355" spans="2:24" x14ac:dyDescent="0.2">
      <c r="B355" s="352" t="s">
        <v>875</v>
      </c>
      <c r="C355" s="352" t="s">
        <v>712</v>
      </c>
      <c r="F355" s="352" t="s">
        <v>1993</v>
      </c>
      <c r="G355" s="352" t="s">
        <v>2078</v>
      </c>
      <c r="H355" s="352" t="s">
        <v>1317</v>
      </c>
      <c r="I355" s="352" t="s">
        <v>981</v>
      </c>
      <c r="J355" s="352" t="s">
        <v>3674</v>
      </c>
      <c r="K355" s="352">
        <v>1241</v>
      </c>
      <c r="L355" s="352" t="s">
        <v>1872</v>
      </c>
      <c r="M355" s="352" t="s">
        <v>2166</v>
      </c>
      <c r="N355" s="352" t="s">
        <v>2076</v>
      </c>
      <c r="O355" s="352">
        <v>13</v>
      </c>
      <c r="P355" s="352" t="s">
        <v>2082</v>
      </c>
      <c r="Q355" s="352" t="s">
        <v>2060</v>
      </c>
      <c r="R355" s="251">
        <v>0</v>
      </c>
      <c r="S355" s="251" t="s">
        <v>2015</v>
      </c>
      <c r="T355" s="251" t="s">
        <v>2054</v>
      </c>
      <c r="U355" s="251">
        <v>0</v>
      </c>
      <c r="V355" s="251" t="s">
        <v>2153</v>
      </c>
      <c r="X355" s="251">
        <v>0</v>
      </c>
    </row>
    <row r="356" spans="2:24" x14ac:dyDescent="0.2">
      <c r="B356" s="352" t="s">
        <v>875</v>
      </c>
      <c r="C356" s="352" t="s">
        <v>712</v>
      </c>
      <c r="F356" s="352" t="s">
        <v>1993</v>
      </c>
      <c r="G356" s="352" t="s">
        <v>2078</v>
      </c>
      <c r="H356" s="352" t="s">
        <v>1317</v>
      </c>
      <c r="I356" s="352" t="s">
        <v>981</v>
      </c>
      <c r="J356" s="352" t="s">
        <v>3674</v>
      </c>
      <c r="K356" s="352">
        <v>1251</v>
      </c>
      <c r="L356" s="352" t="s">
        <v>733</v>
      </c>
      <c r="M356" s="352" t="s">
        <v>2167</v>
      </c>
      <c r="N356" s="352" t="s">
        <v>2076</v>
      </c>
      <c r="O356" s="352">
        <v>13</v>
      </c>
      <c r="P356" s="352" t="s">
        <v>2082</v>
      </c>
      <c r="Q356" s="352" t="s">
        <v>2060</v>
      </c>
      <c r="R356" s="251">
        <v>0</v>
      </c>
      <c r="S356" s="251" t="s">
        <v>2015</v>
      </c>
      <c r="T356" s="251" t="s">
        <v>2054</v>
      </c>
      <c r="U356" s="251">
        <v>0</v>
      </c>
      <c r="V356" s="251" t="s">
        <v>2153</v>
      </c>
      <c r="X356" s="251">
        <v>0</v>
      </c>
    </row>
    <row r="357" spans="2:24" x14ac:dyDescent="0.2">
      <c r="B357" s="352" t="s">
        <v>875</v>
      </c>
      <c r="C357" s="352" t="s">
        <v>712</v>
      </c>
      <c r="F357" s="352" t="s">
        <v>1993</v>
      </c>
      <c r="G357" s="352" t="s">
        <v>2078</v>
      </c>
      <c r="H357" s="352" t="s">
        <v>1321</v>
      </c>
      <c r="I357" s="352" t="s">
        <v>982</v>
      </c>
      <c r="J357" s="352" t="s">
        <v>983</v>
      </c>
      <c r="K357" s="352">
        <v>2111</v>
      </c>
      <c r="L357" s="352" t="s">
        <v>1873</v>
      </c>
      <c r="M357" s="352" t="s">
        <v>2168</v>
      </c>
      <c r="N357" s="352" t="s">
        <v>2076</v>
      </c>
      <c r="O357" s="352">
        <v>10</v>
      </c>
      <c r="P357" s="352" t="s">
        <v>2083</v>
      </c>
      <c r="Q357" s="352" t="s">
        <v>2062</v>
      </c>
      <c r="R357" s="251">
        <v>547.28421755682268</v>
      </c>
      <c r="S357" s="251" t="s">
        <v>2015</v>
      </c>
      <c r="T357" s="251" t="s">
        <v>2016</v>
      </c>
      <c r="U357" s="251" t="s">
        <v>1929</v>
      </c>
      <c r="V357" s="251" t="s">
        <v>1930</v>
      </c>
      <c r="X357" s="251">
        <v>0</v>
      </c>
    </row>
    <row r="358" spans="2:24" x14ac:dyDescent="0.2">
      <c r="B358" s="352" t="s">
        <v>875</v>
      </c>
      <c r="C358" s="352" t="s">
        <v>712</v>
      </c>
      <c r="F358" s="352" t="s">
        <v>1993</v>
      </c>
      <c r="G358" s="352" t="s">
        <v>2078</v>
      </c>
      <c r="H358" s="352" t="s">
        <v>1321</v>
      </c>
      <c r="I358" s="352" t="s">
        <v>982</v>
      </c>
      <c r="J358" s="352" t="s">
        <v>983</v>
      </c>
      <c r="K358" s="352">
        <v>2121</v>
      </c>
      <c r="L358" s="352" t="s">
        <v>1876</v>
      </c>
      <c r="M358" s="352" t="s">
        <v>2169</v>
      </c>
      <c r="N358" s="352" t="s">
        <v>2076</v>
      </c>
      <c r="O358" s="352">
        <v>10</v>
      </c>
      <c r="P358" s="352" t="s">
        <v>2083</v>
      </c>
      <c r="Q358" s="352" t="s">
        <v>2062</v>
      </c>
      <c r="R358" s="251">
        <v>1771.2691081080361</v>
      </c>
      <c r="S358" s="251" t="s">
        <v>2015</v>
      </c>
      <c r="T358" s="251" t="s">
        <v>2016</v>
      </c>
      <c r="U358" s="251" t="s">
        <v>1929</v>
      </c>
      <c r="V358" s="251" t="s">
        <v>1930</v>
      </c>
      <c r="X358" s="251">
        <v>0</v>
      </c>
    </row>
    <row r="359" spans="2:24" x14ac:dyDescent="0.2">
      <c r="B359" s="352" t="s">
        <v>875</v>
      </c>
      <c r="C359" s="352" t="s">
        <v>712</v>
      </c>
      <c r="F359" s="352" t="s">
        <v>1993</v>
      </c>
      <c r="G359" s="352" t="s">
        <v>2078</v>
      </c>
      <c r="H359" s="352" t="s">
        <v>1321</v>
      </c>
      <c r="I359" s="352" t="s">
        <v>982</v>
      </c>
      <c r="J359" s="352" t="s">
        <v>983</v>
      </c>
      <c r="K359" s="352">
        <v>2131</v>
      </c>
      <c r="L359" s="352" t="s">
        <v>1879</v>
      </c>
      <c r="M359" s="352" t="s">
        <v>2170</v>
      </c>
      <c r="N359" s="352" t="s">
        <v>2076</v>
      </c>
      <c r="O359" s="352">
        <v>10</v>
      </c>
      <c r="P359" s="352" t="s">
        <v>2083</v>
      </c>
      <c r="Q359" s="352" t="s">
        <v>2062</v>
      </c>
      <c r="R359" s="251">
        <v>6.8953515589831911</v>
      </c>
      <c r="S359" s="251" t="s">
        <v>2015</v>
      </c>
      <c r="T359" s="251" t="s">
        <v>2016</v>
      </c>
      <c r="U359" s="251" t="s">
        <v>1929</v>
      </c>
      <c r="V359" s="251" t="s">
        <v>1930</v>
      </c>
      <c r="X359" s="251">
        <v>0</v>
      </c>
    </row>
    <row r="360" spans="2:24" x14ac:dyDescent="0.2">
      <c r="B360" s="352" t="s">
        <v>875</v>
      </c>
      <c r="C360" s="352" t="s">
        <v>712</v>
      </c>
      <c r="F360" s="352" t="s">
        <v>1993</v>
      </c>
      <c r="G360" s="352" t="s">
        <v>2078</v>
      </c>
      <c r="H360" s="352" t="s">
        <v>1321</v>
      </c>
      <c r="I360" s="352" t="s">
        <v>982</v>
      </c>
      <c r="J360" s="352" t="s">
        <v>983</v>
      </c>
      <c r="K360" s="352">
        <v>2211</v>
      </c>
      <c r="L360" s="352" t="s">
        <v>1883</v>
      </c>
      <c r="M360" s="352" t="s">
        <v>2171</v>
      </c>
      <c r="N360" s="352" t="s">
        <v>2076</v>
      </c>
      <c r="O360" s="352">
        <v>10</v>
      </c>
      <c r="P360" s="352" t="s">
        <v>2083</v>
      </c>
      <c r="Q360" s="352" t="s">
        <v>2062</v>
      </c>
      <c r="R360" s="251">
        <v>41.684252762769077</v>
      </c>
      <c r="S360" s="251" t="s">
        <v>2015</v>
      </c>
      <c r="T360" s="251" t="s">
        <v>2016</v>
      </c>
      <c r="U360" s="251" t="s">
        <v>1929</v>
      </c>
      <c r="V360" s="251" t="s">
        <v>1930</v>
      </c>
      <c r="X360" s="251">
        <v>0</v>
      </c>
    </row>
    <row r="361" spans="2:24" x14ac:dyDescent="0.2">
      <c r="B361" s="352" t="s">
        <v>875</v>
      </c>
      <c r="C361" s="352" t="s">
        <v>712</v>
      </c>
      <c r="F361" s="352" t="s">
        <v>1993</v>
      </c>
      <c r="G361" s="352" t="s">
        <v>2078</v>
      </c>
      <c r="H361" s="352" t="s">
        <v>1325</v>
      </c>
      <c r="I361" s="352" t="s">
        <v>984</v>
      </c>
      <c r="J361" s="352" t="s">
        <v>985</v>
      </c>
      <c r="K361" s="352">
        <v>2111</v>
      </c>
      <c r="L361" s="352" t="s">
        <v>1873</v>
      </c>
      <c r="M361" s="352" t="s">
        <v>2172</v>
      </c>
      <c r="N361" s="352" t="s">
        <v>2076</v>
      </c>
      <c r="O361" s="352">
        <v>11</v>
      </c>
      <c r="P361" s="352" t="s">
        <v>2084</v>
      </c>
      <c r="Q361" s="352" t="s">
        <v>2064</v>
      </c>
      <c r="R361" s="251">
        <v>0</v>
      </c>
      <c r="S361" s="251" t="s">
        <v>2015</v>
      </c>
      <c r="T361" s="251" t="s">
        <v>2054</v>
      </c>
      <c r="U361" s="251" t="s">
        <v>1929</v>
      </c>
      <c r="V361" s="251" t="s">
        <v>1930</v>
      </c>
      <c r="X361" s="251">
        <v>0</v>
      </c>
    </row>
    <row r="362" spans="2:24" x14ac:dyDescent="0.2">
      <c r="B362" s="352" t="s">
        <v>875</v>
      </c>
      <c r="C362" s="352" t="s">
        <v>712</v>
      </c>
      <c r="F362" s="352" t="s">
        <v>1993</v>
      </c>
      <c r="G362" s="352" t="s">
        <v>2078</v>
      </c>
      <c r="H362" s="352" t="s">
        <v>1325</v>
      </c>
      <c r="I362" s="352" t="s">
        <v>984</v>
      </c>
      <c r="J362" s="352" t="s">
        <v>985</v>
      </c>
      <c r="K362" s="352">
        <v>2121</v>
      </c>
      <c r="L362" s="352" t="s">
        <v>1876</v>
      </c>
      <c r="M362" s="352" t="s">
        <v>2173</v>
      </c>
      <c r="N362" s="352" t="s">
        <v>2076</v>
      </c>
      <c r="O362" s="352">
        <v>11</v>
      </c>
      <c r="P362" s="352" t="s">
        <v>2084</v>
      </c>
      <c r="Q362" s="352" t="s">
        <v>2064</v>
      </c>
      <c r="R362" s="251">
        <v>0</v>
      </c>
      <c r="S362" s="251" t="s">
        <v>2015</v>
      </c>
      <c r="T362" s="251" t="s">
        <v>2054</v>
      </c>
      <c r="U362" s="251" t="s">
        <v>1929</v>
      </c>
      <c r="V362" s="251" t="s">
        <v>1930</v>
      </c>
      <c r="X362" s="251">
        <v>0</v>
      </c>
    </row>
    <row r="363" spans="2:24" x14ac:dyDescent="0.2">
      <c r="B363" s="352" t="s">
        <v>875</v>
      </c>
      <c r="C363" s="352" t="s">
        <v>712</v>
      </c>
      <c r="F363" s="352" t="s">
        <v>1993</v>
      </c>
      <c r="G363" s="352" t="s">
        <v>2078</v>
      </c>
      <c r="H363" s="352" t="s">
        <v>1325</v>
      </c>
      <c r="I363" s="352" t="s">
        <v>984</v>
      </c>
      <c r="J363" s="352" t="s">
        <v>985</v>
      </c>
      <c r="K363" s="352">
        <v>2131</v>
      </c>
      <c r="L363" s="352" t="s">
        <v>1879</v>
      </c>
      <c r="M363" s="352" t="s">
        <v>2174</v>
      </c>
      <c r="N363" s="352" t="s">
        <v>2076</v>
      </c>
      <c r="O363" s="352">
        <v>11</v>
      </c>
      <c r="P363" s="352" t="s">
        <v>2084</v>
      </c>
      <c r="Q363" s="352" t="s">
        <v>2064</v>
      </c>
      <c r="R363" s="251">
        <v>0</v>
      </c>
      <c r="S363" s="251" t="s">
        <v>2015</v>
      </c>
      <c r="T363" s="251" t="s">
        <v>2054</v>
      </c>
      <c r="U363" s="251" t="s">
        <v>1929</v>
      </c>
      <c r="V363" s="251" t="s">
        <v>1930</v>
      </c>
      <c r="X363" s="251">
        <v>0</v>
      </c>
    </row>
    <row r="364" spans="2:24" x14ac:dyDescent="0.2">
      <c r="B364" s="352" t="s">
        <v>875</v>
      </c>
      <c r="C364" s="352" t="s">
        <v>712</v>
      </c>
      <c r="F364" s="352" t="s">
        <v>1993</v>
      </c>
      <c r="G364" s="352" t="s">
        <v>2078</v>
      </c>
      <c r="H364" s="352" t="s">
        <v>1325</v>
      </c>
      <c r="I364" s="352" t="s">
        <v>984</v>
      </c>
      <c r="J364" s="352" t="s">
        <v>985</v>
      </c>
      <c r="K364" s="352">
        <v>2211</v>
      </c>
      <c r="L364" s="352" t="s">
        <v>1883</v>
      </c>
      <c r="M364" s="352" t="s">
        <v>2175</v>
      </c>
      <c r="N364" s="352" t="s">
        <v>2076</v>
      </c>
      <c r="O364" s="352">
        <v>11</v>
      </c>
      <c r="P364" s="352" t="s">
        <v>2084</v>
      </c>
      <c r="Q364" s="352" t="s">
        <v>2064</v>
      </c>
      <c r="R364" s="251">
        <v>0</v>
      </c>
      <c r="S364" s="251" t="s">
        <v>2015</v>
      </c>
      <c r="T364" s="251" t="s">
        <v>2054</v>
      </c>
      <c r="U364" s="251" t="s">
        <v>1929</v>
      </c>
      <c r="V364" s="251" t="s">
        <v>1930</v>
      </c>
      <c r="X364" s="251">
        <v>0</v>
      </c>
    </row>
    <row r="365" spans="2:24" x14ac:dyDescent="0.2">
      <c r="B365" s="352" t="s">
        <v>875</v>
      </c>
      <c r="C365" s="352" t="s">
        <v>712</v>
      </c>
      <c r="F365" s="352" t="s">
        <v>1993</v>
      </c>
      <c r="G365" s="352" t="s">
        <v>2078</v>
      </c>
      <c r="H365" s="352" t="s">
        <v>1329</v>
      </c>
      <c r="I365" s="352" t="s">
        <v>986</v>
      </c>
      <c r="J365" s="352" t="s">
        <v>987</v>
      </c>
      <c r="K365" s="352">
        <v>2112</v>
      </c>
      <c r="L365" s="352" t="s">
        <v>1874</v>
      </c>
      <c r="M365" s="352" t="s">
        <v>2176</v>
      </c>
      <c r="N365" s="352" t="s">
        <v>2076</v>
      </c>
      <c r="O365" s="352">
        <v>8</v>
      </c>
      <c r="P365" s="352" t="s">
        <v>2085</v>
      </c>
      <c r="Q365" s="352" t="s">
        <v>2068</v>
      </c>
      <c r="R365" s="251">
        <v>2.3513481266279928</v>
      </c>
      <c r="S365" s="251" t="s">
        <v>2015</v>
      </c>
      <c r="T365" s="251" t="s">
        <v>2016</v>
      </c>
      <c r="U365" s="251" t="s">
        <v>1931</v>
      </c>
      <c r="V365" s="251" t="s">
        <v>1932</v>
      </c>
      <c r="X365" s="251">
        <v>0</v>
      </c>
    </row>
    <row r="366" spans="2:24" x14ac:dyDescent="0.2">
      <c r="B366" s="352" t="s">
        <v>875</v>
      </c>
      <c r="C366" s="352" t="s">
        <v>712</v>
      </c>
      <c r="F366" s="352" t="s">
        <v>1993</v>
      </c>
      <c r="G366" s="352" t="s">
        <v>2078</v>
      </c>
      <c r="H366" s="352" t="s">
        <v>1329</v>
      </c>
      <c r="I366" s="352" t="s">
        <v>986</v>
      </c>
      <c r="J366" s="352" t="s">
        <v>987</v>
      </c>
      <c r="K366" s="352">
        <v>2122</v>
      </c>
      <c r="L366" s="352" t="s">
        <v>1877</v>
      </c>
      <c r="M366" s="352" t="s">
        <v>2177</v>
      </c>
      <c r="N366" s="352" t="s">
        <v>2076</v>
      </c>
      <c r="O366" s="352">
        <v>8</v>
      </c>
      <c r="P366" s="352" t="s">
        <v>2085</v>
      </c>
      <c r="Q366" s="352" t="s">
        <v>2068</v>
      </c>
      <c r="R366" s="251">
        <v>737.28647014271894</v>
      </c>
      <c r="S366" s="251" t="s">
        <v>2015</v>
      </c>
      <c r="T366" s="251" t="s">
        <v>2016</v>
      </c>
      <c r="U366" s="251" t="s">
        <v>1931</v>
      </c>
      <c r="V366" s="251" t="s">
        <v>1932</v>
      </c>
      <c r="X366" s="251">
        <v>0</v>
      </c>
    </row>
    <row r="367" spans="2:24" x14ac:dyDescent="0.2">
      <c r="B367" s="352" t="s">
        <v>875</v>
      </c>
      <c r="C367" s="352" t="s">
        <v>712</v>
      </c>
      <c r="F367" s="352" t="s">
        <v>1993</v>
      </c>
      <c r="G367" s="352" t="s">
        <v>2078</v>
      </c>
      <c r="H367" s="352" t="s">
        <v>1333</v>
      </c>
      <c r="I367" s="352" t="s">
        <v>988</v>
      </c>
      <c r="J367" s="352" t="s">
        <v>989</v>
      </c>
      <c r="K367" s="352">
        <v>2112</v>
      </c>
      <c r="L367" s="352" t="s">
        <v>1874</v>
      </c>
      <c r="M367" s="352" t="s">
        <v>2178</v>
      </c>
      <c r="N367" s="352" t="s">
        <v>2076</v>
      </c>
      <c r="O367" s="352">
        <v>8</v>
      </c>
      <c r="P367" s="352" t="s">
        <v>2085</v>
      </c>
      <c r="Q367" s="352" t="s">
        <v>2068</v>
      </c>
      <c r="R367" s="251">
        <v>3.2331036741134898</v>
      </c>
      <c r="S367" s="251" t="s">
        <v>2015</v>
      </c>
      <c r="T367" s="251" t="s">
        <v>2016</v>
      </c>
      <c r="U367" s="251" t="s">
        <v>1931</v>
      </c>
      <c r="V367" s="251" t="s">
        <v>1932</v>
      </c>
      <c r="X367" s="251">
        <v>0</v>
      </c>
    </row>
    <row r="368" spans="2:24" x14ac:dyDescent="0.2">
      <c r="B368" s="352" t="s">
        <v>875</v>
      </c>
      <c r="C368" s="352" t="s">
        <v>712</v>
      </c>
      <c r="F368" s="352" t="s">
        <v>1993</v>
      </c>
      <c r="G368" s="352" t="s">
        <v>2078</v>
      </c>
      <c r="H368" s="352" t="s">
        <v>1333</v>
      </c>
      <c r="I368" s="352" t="s">
        <v>988</v>
      </c>
      <c r="J368" s="352" t="s">
        <v>989</v>
      </c>
      <c r="K368" s="352">
        <v>2122</v>
      </c>
      <c r="L368" s="352" t="s">
        <v>1877</v>
      </c>
      <c r="M368" s="352" t="s">
        <v>2179</v>
      </c>
      <c r="N368" s="352" t="s">
        <v>2076</v>
      </c>
      <c r="O368" s="352">
        <v>8</v>
      </c>
      <c r="P368" s="352" t="s">
        <v>2085</v>
      </c>
      <c r="Q368" s="352" t="s">
        <v>2068</v>
      </c>
      <c r="R368" s="251">
        <v>1013.7688964462386</v>
      </c>
      <c r="S368" s="251" t="s">
        <v>2015</v>
      </c>
      <c r="T368" s="251" t="s">
        <v>2016</v>
      </c>
      <c r="U368" s="251" t="s">
        <v>1931</v>
      </c>
      <c r="V368" s="251" t="s">
        <v>1932</v>
      </c>
      <c r="X368" s="251">
        <v>0</v>
      </c>
    </row>
    <row r="369" spans="2:24" x14ac:dyDescent="0.2">
      <c r="B369" s="352" t="s">
        <v>875</v>
      </c>
      <c r="C369" s="352" t="s">
        <v>712</v>
      </c>
      <c r="F369" s="352" t="s">
        <v>1993</v>
      </c>
      <c r="G369" s="352" t="s">
        <v>2078</v>
      </c>
      <c r="H369" s="352" t="s">
        <v>1337</v>
      </c>
      <c r="I369" s="352" t="s">
        <v>990</v>
      </c>
      <c r="J369" s="352" t="s">
        <v>991</v>
      </c>
      <c r="K369" s="352">
        <v>2132</v>
      </c>
      <c r="L369" s="352" t="s">
        <v>1880</v>
      </c>
      <c r="M369" s="352" t="s">
        <v>2180</v>
      </c>
      <c r="N369" s="352" t="s">
        <v>2076</v>
      </c>
      <c r="O369" s="352">
        <v>1</v>
      </c>
      <c r="P369" s="352" t="s">
        <v>2086</v>
      </c>
      <c r="Q369" s="352" t="s">
        <v>2066</v>
      </c>
      <c r="R369" s="251">
        <v>0</v>
      </c>
      <c r="S369" s="251" t="s">
        <v>2015</v>
      </c>
      <c r="T369" s="251" t="s">
        <v>2054</v>
      </c>
      <c r="U369" s="251" t="s">
        <v>1931</v>
      </c>
      <c r="V369" s="251" t="s">
        <v>1932</v>
      </c>
      <c r="X369" s="251">
        <v>0</v>
      </c>
    </row>
    <row r="370" spans="2:24" x14ac:dyDescent="0.2">
      <c r="B370" s="352" t="s">
        <v>875</v>
      </c>
      <c r="C370" s="352" t="s">
        <v>712</v>
      </c>
      <c r="F370" s="352" t="s">
        <v>1993</v>
      </c>
      <c r="G370" s="352" t="s">
        <v>2078</v>
      </c>
      <c r="H370" s="352" t="s">
        <v>1341</v>
      </c>
      <c r="I370" s="352" t="s">
        <v>994</v>
      </c>
      <c r="J370" s="352" t="s">
        <v>995</v>
      </c>
      <c r="K370" s="352">
        <v>2311</v>
      </c>
      <c r="L370" s="352" t="s">
        <v>1887</v>
      </c>
      <c r="M370" s="352" t="s">
        <v>2181</v>
      </c>
      <c r="N370" s="352" t="s">
        <v>2076</v>
      </c>
      <c r="O370" s="352">
        <v>8</v>
      </c>
      <c r="P370" s="352" t="s">
        <v>2085</v>
      </c>
      <c r="Q370" s="352" t="s">
        <v>2068</v>
      </c>
      <c r="R370" s="251">
        <v>0</v>
      </c>
      <c r="S370" s="251" t="s">
        <v>2015</v>
      </c>
      <c r="T370" s="251" t="s">
        <v>2054</v>
      </c>
      <c r="U370" s="251" t="s">
        <v>1943</v>
      </c>
      <c r="V370" s="251" t="s">
        <v>1944</v>
      </c>
      <c r="X370" s="251">
        <v>0</v>
      </c>
    </row>
    <row r="371" spans="2:24" x14ac:dyDescent="0.2">
      <c r="B371" s="352" t="s">
        <v>875</v>
      </c>
      <c r="C371" s="352" t="s">
        <v>712</v>
      </c>
      <c r="F371" s="352" t="s">
        <v>1993</v>
      </c>
      <c r="G371" s="352" t="s">
        <v>2078</v>
      </c>
      <c r="H371" s="352" t="s">
        <v>1345</v>
      </c>
      <c r="I371" s="352" t="s">
        <v>996</v>
      </c>
      <c r="J371" s="352" t="s">
        <v>997</v>
      </c>
      <c r="K371" s="352">
        <v>2311</v>
      </c>
      <c r="L371" s="352" t="s">
        <v>1887</v>
      </c>
      <c r="M371" s="352" t="s">
        <v>2182</v>
      </c>
      <c r="N371" s="352" t="s">
        <v>2076</v>
      </c>
      <c r="O371" s="352">
        <v>8</v>
      </c>
      <c r="P371" s="352" t="s">
        <v>2085</v>
      </c>
      <c r="Q371" s="352" t="s">
        <v>2068</v>
      </c>
      <c r="R371" s="251">
        <v>0</v>
      </c>
      <c r="S371" s="251" t="s">
        <v>2015</v>
      </c>
      <c r="T371" s="251" t="s">
        <v>2054</v>
      </c>
      <c r="U371" s="251" t="s">
        <v>1943</v>
      </c>
      <c r="V371" s="251" t="s">
        <v>1944</v>
      </c>
      <c r="X371" s="251">
        <v>0</v>
      </c>
    </row>
    <row r="372" spans="2:24" x14ac:dyDescent="0.2">
      <c r="B372" s="352" t="s">
        <v>875</v>
      </c>
      <c r="C372" s="352" t="s">
        <v>712</v>
      </c>
      <c r="F372" s="352" t="s">
        <v>1993</v>
      </c>
      <c r="G372" s="352" t="s">
        <v>2078</v>
      </c>
      <c r="H372" s="352" t="s">
        <v>1349</v>
      </c>
      <c r="I372" s="352" t="s">
        <v>998</v>
      </c>
      <c r="J372" s="352" t="s">
        <v>999</v>
      </c>
      <c r="K372" s="352">
        <v>2311</v>
      </c>
      <c r="L372" s="352" t="s">
        <v>1887</v>
      </c>
      <c r="M372" s="352" t="s">
        <v>2183</v>
      </c>
      <c r="N372" s="352" t="s">
        <v>2076</v>
      </c>
      <c r="O372" s="352">
        <v>8</v>
      </c>
      <c r="P372" s="352" t="s">
        <v>2085</v>
      </c>
      <c r="Q372" s="352" t="s">
        <v>2068</v>
      </c>
      <c r="R372" s="251">
        <v>0</v>
      </c>
      <c r="S372" s="251" t="s">
        <v>2015</v>
      </c>
      <c r="T372" s="251" t="s">
        <v>2054</v>
      </c>
      <c r="U372" s="251" t="s">
        <v>1943</v>
      </c>
      <c r="V372" s="251" t="s">
        <v>1944</v>
      </c>
      <c r="X372" s="251">
        <v>0</v>
      </c>
    </row>
    <row r="373" spans="2:24" x14ac:dyDescent="0.2">
      <c r="B373" s="352" t="s">
        <v>875</v>
      </c>
      <c r="C373" s="352" t="s">
        <v>712</v>
      </c>
      <c r="F373" s="352" t="s">
        <v>1993</v>
      </c>
      <c r="G373" s="352" t="s">
        <v>2078</v>
      </c>
      <c r="H373" s="352" t="s">
        <v>1349</v>
      </c>
      <c r="I373" s="352" t="s">
        <v>998</v>
      </c>
      <c r="J373" s="352" t="s">
        <v>999</v>
      </c>
      <c r="K373" s="352">
        <v>2312</v>
      </c>
      <c r="L373" s="352" t="s">
        <v>789</v>
      </c>
      <c r="M373" s="352" t="s">
        <v>2184</v>
      </c>
      <c r="N373" s="352" t="s">
        <v>2076</v>
      </c>
      <c r="O373" s="352">
        <v>8</v>
      </c>
      <c r="P373" s="352" t="s">
        <v>2085</v>
      </c>
      <c r="Q373" s="352" t="s">
        <v>2068</v>
      </c>
      <c r="R373" s="251">
        <v>0</v>
      </c>
      <c r="S373" s="251" t="s">
        <v>2015</v>
      </c>
      <c r="T373" s="251" t="s">
        <v>2054</v>
      </c>
      <c r="U373" s="251" t="s">
        <v>1943</v>
      </c>
      <c r="V373" s="251" t="s">
        <v>1944</v>
      </c>
      <c r="X373" s="251">
        <v>0</v>
      </c>
    </row>
    <row r="374" spans="2:24" x14ac:dyDescent="0.2">
      <c r="B374" s="352" t="s">
        <v>875</v>
      </c>
      <c r="C374" s="352" t="s">
        <v>712</v>
      </c>
      <c r="F374" s="352" t="s">
        <v>1993</v>
      </c>
      <c r="G374" s="352" t="s">
        <v>2078</v>
      </c>
      <c r="H374" s="352" t="s">
        <v>1353</v>
      </c>
      <c r="I374" s="352" t="s">
        <v>1000</v>
      </c>
      <c r="J374" s="352" t="s">
        <v>1001</v>
      </c>
      <c r="K374" s="352">
        <v>2141</v>
      </c>
      <c r="L374" s="352" t="s">
        <v>1882</v>
      </c>
      <c r="M374" s="352" t="s">
        <v>2185</v>
      </c>
      <c r="N374" s="352" t="s">
        <v>2076</v>
      </c>
      <c r="O374" s="352">
        <v>12</v>
      </c>
      <c r="P374" s="352" t="s">
        <v>2087</v>
      </c>
      <c r="Q374" s="352" t="s">
        <v>2070</v>
      </c>
      <c r="R374" s="251">
        <v>419.40212042764773</v>
      </c>
      <c r="S374" s="251" t="s">
        <v>2015</v>
      </c>
      <c r="T374" s="251" t="s">
        <v>2016</v>
      </c>
      <c r="U374" s="251" t="s">
        <v>1935</v>
      </c>
      <c r="V374" s="251" t="s">
        <v>1936</v>
      </c>
      <c r="X374" s="251">
        <v>0</v>
      </c>
    </row>
    <row r="375" spans="2:24" x14ac:dyDescent="0.2">
      <c r="B375" s="352" t="s">
        <v>875</v>
      </c>
      <c r="C375" s="352" t="s">
        <v>712</v>
      </c>
      <c r="F375" s="352" t="s">
        <v>1993</v>
      </c>
      <c r="G375" s="352" t="s">
        <v>2078</v>
      </c>
      <c r="H375" s="352" t="s">
        <v>1353</v>
      </c>
      <c r="I375" s="352" t="s">
        <v>1000</v>
      </c>
      <c r="J375" s="352" t="s">
        <v>1001</v>
      </c>
      <c r="K375" s="352">
        <v>2142</v>
      </c>
      <c r="L375" s="352" t="s">
        <v>780</v>
      </c>
      <c r="M375" s="352" t="s">
        <v>2186</v>
      </c>
      <c r="N375" s="352" t="s">
        <v>2076</v>
      </c>
      <c r="O375" s="352">
        <v>12</v>
      </c>
      <c r="P375" s="352" t="s">
        <v>2087</v>
      </c>
      <c r="Q375" s="352" t="s">
        <v>2070</v>
      </c>
      <c r="R375" s="251">
        <v>404.79293029533113</v>
      </c>
      <c r="S375" s="251" t="s">
        <v>2015</v>
      </c>
      <c r="T375" s="251" t="s">
        <v>2016</v>
      </c>
      <c r="U375" s="251">
        <v>0</v>
      </c>
      <c r="V375" s="251" t="s">
        <v>2153</v>
      </c>
      <c r="X375" s="251">
        <v>0</v>
      </c>
    </row>
    <row r="376" spans="2:24" x14ac:dyDescent="0.2">
      <c r="B376" s="352" t="s">
        <v>875</v>
      </c>
      <c r="C376" s="352" t="s">
        <v>712</v>
      </c>
      <c r="F376" s="352" t="s">
        <v>1993</v>
      </c>
      <c r="G376" s="352" t="s">
        <v>2078</v>
      </c>
      <c r="H376" s="352" t="s">
        <v>1357</v>
      </c>
      <c r="I376" s="352" t="s">
        <v>1002</v>
      </c>
      <c r="J376" s="352" t="s">
        <v>1003</v>
      </c>
      <c r="K376" s="352">
        <v>2113</v>
      </c>
      <c r="L376" s="352" t="s">
        <v>1875</v>
      </c>
      <c r="M376" s="352" t="s">
        <v>2187</v>
      </c>
      <c r="N376" s="352" t="s">
        <v>2076</v>
      </c>
      <c r="O376" s="352">
        <v>1</v>
      </c>
      <c r="P376" s="352" t="s">
        <v>2086</v>
      </c>
      <c r="Q376" s="352" t="s">
        <v>2066</v>
      </c>
      <c r="R376" s="251">
        <v>0</v>
      </c>
      <c r="S376" s="251" t="s">
        <v>2015</v>
      </c>
      <c r="T376" s="251" t="s">
        <v>2054</v>
      </c>
      <c r="U376" s="251" t="s">
        <v>1935</v>
      </c>
      <c r="V376" s="251" t="s">
        <v>1936</v>
      </c>
      <c r="X376" s="251">
        <v>0</v>
      </c>
    </row>
    <row r="377" spans="2:24" x14ac:dyDescent="0.2">
      <c r="B377" s="352" t="s">
        <v>875</v>
      </c>
      <c r="C377" s="352" t="s">
        <v>712</v>
      </c>
      <c r="F377" s="352" t="s">
        <v>1993</v>
      </c>
      <c r="G377" s="352" t="s">
        <v>2078</v>
      </c>
      <c r="H377" s="352" t="s">
        <v>1357</v>
      </c>
      <c r="I377" s="352" t="s">
        <v>1002</v>
      </c>
      <c r="J377" s="352" t="s">
        <v>1003</v>
      </c>
      <c r="K377" s="352">
        <v>2123</v>
      </c>
      <c r="L377" s="352" t="s">
        <v>1878</v>
      </c>
      <c r="M377" s="352" t="s">
        <v>2188</v>
      </c>
      <c r="N377" s="352" t="s">
        <v>2076</v>
      </c>
      <c r="O377" s="352">
        <v>1</v>
      </c>
      <c r="P377" s="352" t="s">
        <v>2086</v>
      </c>
      <c r="Q377" s="352" t="s">
        <v>2066</v>
      </c>
      <c r="R377" s="251">
        <v>0</v>
      </c>
      <c r="S377" s="251" t="s">
        <v>2015</v>
      </c>
      <c r="T377" s="251" t="s">
        <v>2054</v>
      </c>
      <c r="U377" s="251" t="s">
        <v>1935</v>
      </c>
      <c r="V377" s="251" t="s">
        <v>1936</v>
      </c>
      <c r="X377" s="251">
        <v>0</v>
      </c>
    </row>
    <row r="378" spans="2:24" x14ac:dyDescent="0.2">
      <c r="B378" s="352" t="s">
        <v>875</v>
      </c>
      <c r="C378" s="352" t="s">
        <v>712</v>
      </c>
      <c r="F378" s="352" t="s">
        <v>1993</v>
      </c>
      <c r="G378" s="352" t="s">
        <v>2078</v>
      </c>
      <c r="H378" s="352" t="s">
        <v>1361</v>
      </c>
      <c r="I378" s="352" t="s">
        <v>1006</v>
      </c>
      <c r="J378" s="352" t="s">
        <v>1007</v>
      </c>
      <c r="K378" s="352">
        <v>2133</v>
      </c>
      <c r="L378" s="352" t="s">
        <v>1881</v>
      </c>
      <c r="M378" s="352" t="s">
        <v>2189</v>
      </c>
      <c r="N378" s="352" t="s">
        <v>2076</v>
      </c>
      <c r="O378" s="352">
        <v>1</v>
      </c>
      <c r="P378" s="352" t="s">
        <v>2086</v>
      </c>
      <c r="Q378" s="352" t="s">
        <v>2066</v>
      </c>
      <c r="R378" s="251">
        <v>0</v>
      </c>
      <c r="S378" s="251" t="s">
        <v>2015</v>
      </c>
      <c r="T378" s="251" t="s">
        <v>2054</v>
      </c>
      <c r="U378" s="251" t="s">
        <v>1935</v>
      </c>
      <c r="V378" s="251" t="s">
        <v>1936</v>
      </c>
      <c r="X378" s="251">
        <v>0</v>
      </c>
    </row>
    <row r="379" spans="2:24" x14ac:dyDescent="0.2">
      <c r="B379" s="352" t="s">
        <v>875</v>
      </c>
      <c r="C379" s="352" t="s">
        <v>712</v>
      </c>
      <c r="F379" s="352" t="s">
        <v>1993</v>
      </c>
      <c r="G379" s="352" t="s">
        <v>2078</v>
      </c>
      <c r="H379" s="352" t="s">
        <v>1361</v>
      </c>
      <c r="I379" s="352" t="s">
        <v>1006</v>
      </c>
      <c r="J379" s="352" t="s">
        <v>1007</v>
      </c>
      <c r="K379" s="352">
        <v>2141</v>
      </c>
      <c r="L379" s="352" t="s">
        <v>1882</v>
      </c>
      <c r="M379" s="352" t="s">
        <v>2190</v>
      </c>
      <c r="N379" s="352" t="s">
        <v>2076</v>
      </c>
      <c r="O379" s="352">
        <v>1</v>
      </c>
      <c r="P379" s="352" t="s">
        <v>2086</v>
      </c>
      <c r="Q379" s="352" t="s">
        <v>2066</v>
      </c>
      <c r="R379" s="251">
        <v>13.385174056201523</v>
      </c>
      <c r="S379" s="251" t="s">
        <v>2015</v>
      </c>
      <c r="T379" s="251" t="s">
        <v>2016</v>
      </c>
      <c r="U379" s="251" t="s">
        <v>1935</v>
      </c>
      <c r="V379" s="251" t="s">
        <v>1936</v>
      </c>
      <c r="X379" s="251">
        <v>0</v>
      </c>
    </row>
    <row r="380" spans="2:24" x14ac:dyDescent="0.2">
      <c r="B380" s="352" t="s">
        <v>875</v>
      </c>
      <c r="C380" s="352" t="s">
        <v>712</v>
      </c>
      <c r="F380" s="352" t="s">
        <v>1993</v>
      </c>
      <c r="G380" s="352" t="s">
        <v>2078</v>
      </c>
      <c r="H380" s="352" t="s">
        <v>1361</v>
      </c>
      <c r="I380" s="352" t="s">
        <v>1006</v>
      </c>
      <c r="J380" s="352" t="s">
        <v>1007</v>
      </c>
      <c r="K380" s="352">
        <v>2221</v>
      </c>
      <c r="L380" s="352" t="s">
        <v>1884</v>
      </c>
      <c r="M380" s="352" t="s">
        <v>2191</v>
      </c>
      <c r="N380" s="352" t="s">
        <v>2076</v>
      </c>
      <c r="O380" s="352">
        <v>1</v>
      </c>
      <c r="P380" s="352" t="s">
        <v>2086</v>
      </c>
      <c r="Q380" s="352" t="s">
        <v>2066</v>
      </c>
      <c r="R380" s="251">
        <v>0</v>
      </c>
      <c r="S380" s="251" t="s">
        <v>2015</v>
      </c>
      <c r="T380" s="251" t="s">
        <v>2054</v>
      </c>
      <c r="U380" s="251" t="s">
        <v>1935</v>
      </c>
      <c r="V380" s="251" t="s">
        <v>1936</v>
      </c>
      <c r="X380" s="251">
        <v>0</v>
      </c>
    </row>
    <row r="381" spans="2:24" x14ac:dyDescent="0.2">
      <c r="B381" s="352" t="s">
        <v>875</v>
      </c>
      <c r="C381" s="352" t="s">
        <v>712</v>
      </c>
      <c r="F381" s="352" t="s">
        <v>1993</v>
      </c>
      <c r="G381" s="352" t="s">
        <v>2078</v>
      </c>
      <c r="H381" s="352" t="s">
        <v>1365</v>
      </c>
      <c r="I381" s="352" t="s">
        <v>1008</v>
      </c>
      <c r="J381" s="352" t="s">
        <v>1009</v>
      </c>
      <c r="K381" s="352">
        <v>2223</v>
      </c>
      <c r="L381" s="352" t="s">
        <v>1886</v>
      </c>
      <c r="M381" s="352" t="s">
        <v>2192</v>
      </c>
      <c r="N381" s="352" t="s">
        <v>2076</v>
      </c>
      <c r="O381" s="352">
        <v>2</v>
      </c>
      <c r="P381" s="352" t="s">
        <v>2088</v>
      </c>
      <c r="Q381" s="352" t="s">
        <v>2072</v>
      </c>
      <c r="R381" s="251">
        <v>0</v>
      </c>
      <c r="S381" s="251" t="s">
        <v>2193</v>
      </c>
      <c r="T381" s="251" t="s">
        <v>2054</v>
      </c>
      <c r="U381" s="251" t="s">
        <v>1937</v>
      </c>
      <c r="V381" s="251" t="s">
        <v>1938</v>
      </c>
      <c r="X381" s="251">
        <v>0</v>
      </c>
    </row>
    <row r="382" spans="2:24" x14ac:dyDescent="0.2">
      <c r="B382" s="352" t="s">
        <v>875</v>
      </c>
      <c r="C382" s="352" t="s">
        <v>712</v>
      </c>
      <c r="F382" s="352" t="s">
        <v>1993</v>
      </c>
      <c r="G382" s="352" t="s">
        <v>2078</v>
      </c>
      <c r="H382" s="352" t="s">
        <v>1369</v>
      </c>
      <c r="I382" s="352" t="s">
        <v>1010</v>
      </c>
      <c r="J382" s="352" t="s">
        <v>1011</v>
      </c>
      <c r="K382" s="352">
        <v>2222</v>
      </c>
      <c r="L382" s="352" t="s">
        <v>1885</v>
      </c>
      <c r="M382" s="352" t="s">
        <v>2194</v>
      </c>
      <c r="N382" s="352" t="s">
        <v>2076</v>
      </c>
      <c r="O382" s="352">
        <v>2</v>
      </c>
      <c r="P382" s="352" t="s">
        <v>2088</v>
      </c>
      <c r="Q382" s="352" t="s">
        <v>2072</v>
      </c>
      <c r="R382" s="251">
        <v>0</v>
      </c>
      <c r="S382" s="251" t="s">
        <v>2193</v>
      </c>
      <c r="T382" s="251" t="s">
        <v>2054</v>
      </c>
      <c r="U382" s="251" t="s">
        <v>1939</v>
      </c>
      <c r="V382" s="251" t="s">
        <v>1940</v>
      </c>
      <c r="X382" s="251">
        <v>0</v>
      </c>
    </row>
    <row r="383" spans="2:24" x14ac:dyDescent="0.2">
      <c r="B383" s="352" t="s">
        <v>875</v>
      </c>
      <c r="C383" s="352" t="s">
        <v>712</v>
      </c>
      <c r="F383" s="352" t="s">
        <v>1993</v>
      </c>
      <c r="G383" s="352" t="s">
        <v>2078</v>
      </c>
      <c r="H383" s="352" t="s">
        <v>1373</v>
      </c>
      <c r="I383" s="352" t="s">
        <v>1012</v>
      </c>
      <c r="J383" s="352" t="s">
        <v>1013</v>
      </c>
      <c r="K383" s="352">
        <v>2222</v>
      </c>
      <c r="L383" s="352" t="s">
        <v>1885</v>
      </c>
      <c r="M383" s="352" t="s">
        <v>2195</v>
      </c>
      <c r="N383" s="352" t="s">
        <v>2076</v>
      </c>
      <c r="O383" s="352">
        <v>2</v>
      </c>
      <c r="P383" s="352" t="s">
        <v>2088</v>
      </c>
      <c r="Q383" s="352" t="s">
        <v>2072</v>
      </c>
      <c r="R383" s="251">
        <v>0</v>
      </c>
      <c r="S383" s="251" t="s">
        <v>2193</v>
      </c>
      <c r="T383" s="251" t="s">
        <v>2054</v>
      </c>
      <c r="U383" s="251" t="s">
        <v>1939</v>
      </c>
      <c r="V383" s="251" t="s">
        <v>1940</v>
      </c>
      <c r="X383" s="251">
        <v>0</v>
      </c>
    </row>
    <row r="384" spans="2:24" x14ac:dyDescent="0.2">
      <c r="B384" s="352" t="s">
        <v>875</v>
      </c>
      <c r="C384" s="352" t="s">
        <v>712</v>
      </c>
      <c r="F384" s="352" t="s">
        <v>1993</v>
      </c>
      <c r="G384" s="352" t="s">
        <v>2078</v>
      </c>
      <c r="H384" s="352" t="s">
        <v>1377</v>
      </c>
      <c r="I384" s="352" t="s">
        <v>1014</v>
      </c>
      <c r="J384" s="352" t="s">
        <v>1893</v>
      </c>
      <c r="K384" s="352">
        <v>2131</v>
      </c>
      <c r="L384" s="352" t="s">
        <v>1879</v>
      </c>
      <c r="M384" s="352" t="s">
        <v>2196</v>
      </c>
      <c r="N384" s="352" t="s">
        <v>2076</v>
      </c>
      <c r="O384" s="352">
        <v>8</v>
      </c>
      <c r="P384" s="352" t="s">
        <v>2085</v>
      </c>
      <c r="Q384" s="352" t="s">
        <v>2068</v>
      </c>
      <c r="R384" s="251">
        <v>0</v>
      </c>
      <c r="S384" s="251" t="s">
        <v>2015</v>
      </c>
      <c r="T384" s="251" t="s">
        <v>2054</v>
      </c>
      <c r="U384" s="251" t="s">
        <v>1929</v>
      </c>
      <c r="V384" s="251" t="s">
        <v>1930</v>
      </c>
      <c r="X384" s="251">
        <v>0</v>
      </c>
    </row>
    <row r="385" spans="2:24" x14ac:dyDescent="0.2">
      <c r="B385" s="352" t="s">
        <v>875</v>
      </c>
      <c r="C385" s="352" t="s">
        <v>712</v>
      </c>
      <c r="F385" s="352" t="s">
        <v>1993</v>
      </c>
      <c r="G385" s="352" t="s">
        <v>2078</v>
      </c>
      <c r="H385" s="352" t="s">
        <v>1377</v>
      </c>
      <c r="I385" s="352" t="s">
        <v>1014</v>
      </c>
      <c r="J385" s="352" t="s">
        <v>1893</v>
      </c>
      <c r="K385" s="352">
        <v>2132</v>
      </c>
      <c r="L385" s="352" t="s">
        <v>1880</v>
      </c>
      <c r="M385" s="352" t="s">
        <v>2197</v>
      </c>
      <c r="N385" s="352" t="s">
        <v>2076</v>
      </c>
      <c r="O385" s="352">
        <v>8</v>
      </c>
      <c r="P385" s="352" t="s">
        <v>2085</v>
      </c>
      <c r="Q385" s="352" t="s">
        <v>2068</v>
      </c>
      <c r="R385" s="251">
        <v>420.09432375236923</v>
      </c>
      <c r="S385" s="251" t="s">
        <v>2015</v>
      </c>
      <c r="T385" s="251" t="s">
        <v>2016</v>
      </c>
      <c r="U385" s="251" t="s">
        <v>1931</v>
      </c>
      <c r="V385" s="251" t="s">
        <v>1932</v>
      </c>
      <c r="X385" s="251">
        <v>0</v>
      </c>
    </row>
    <row r="386" spans="2:24" x14ac:dyDescent="0.2">
      <c r="B386" s="352" t="s">
        <v>875</v>
      </c>
      <c r="C386" s="352" t="s">
        <v>712</v>
      </c>
      <c r="F386" s="352" t="s">
        <v>1993</v>
      </c>
      <c r="G386" s="352" t="s">
        <v>2078</v>
      </c>
      <c r="H386" s="352" t="s">
        <v>1377</v>
      </c>
      <c r="I386" s="352" t="s">
        <v>1014</v>
      </c>
      <c r="J386" s="352" t="s">
        <v>1893</v>
      </c>
      <c r="K386" s="352">
        <v>2133</v>
      </c>
      <c r="L386" s="352" t="s">
        <v>1881</v>
      </c>
      <c r="M386" s="352" t="s">
        <v>2198</v>
      </c>
      <c r="N386" s="352" t="s">
        <v>2076</v>
      </c>
      <c r="O386" s="352">
        <v>8</v>
      </c>
      <c r="P386" s="352" t="s">
        <v>2085</v>
      </c>
      <c r="Q386" s="352" t="s">
        <v>2068</v>
      </c>
      <c r="R386" s="251">
        <v>612.62705338341323</v>
      </c>
      <c r="S386" s="251" t="s">
        <v>2015</v>
      </c>
      <c r="T386" s="251" t="s">
        <v>2016</v>
      </c>
      <c r="U386" s="251" t="s">
        <v>1935</v>
      </c>
      <c r="V386" s="251" t="s">
        <v>1936</v>
      </c>
      <c r="X386" s="251">
        <v>0</v>
      </c>
    </row>
    <row r="387" spans="2:24" x14ac:dyDescent="0.2">
      <c r="B387" s="352" t="s">
        <v>875</v>
      </c>
      <c r="C387" s="352" t="s">
        <v>712</v>
      </c>
      <c r="F387" s="352" t="s">
        <v>1993</v>
      </c>
      <c r="G387" s="352" t="s">
        <v>2078</v>
      </c>
      <c r="H387" s="352" t="s">
        <v>1377</v>
      </c>
      <c r="I387" s="352" t="s">
        <v>1014</v>
      </c>
      <c r="J387" s="352" t="s">
        <v>1893</v>
      </c>
      <c r="K387" s="352">
        <v>2134</v>
      </c>
      <c r="L387" s="352" t="s">
        <v>775</v>
      </c>
      <c r="M387" s="352" t="s">
        <v>2199</v>
      </c>
      <c r="N387" s="352" t="s">
        <v>2076</v>
      </c>
      <c r="O387" s="352">
        <v>8</v>
      </c>
      <c r="P387" s="352" t="s">
        <v>2085</v>
      </c>
      <c r="Q387" s="352" t="s">
        <v>2068</v>
      </c>
      <c r="R387" s="251">
        <v>40.087865480492965</v>
      </c>
      <c r="S387" s="251" t="s">
        <v>2015</v>
      </c>
      <c r="T387" s="251" t="s">
        <v>2016</v>
      </c>
      <c r="U387" s="251">
        <v>0</v>
      </c>
      <c r="V387" s="251" t="s">
        <v>2153</v>
      </c>
      <c r="X387" s="251">
        <v>0</v>
      </c>
    </row>
    <row r="388" spans="2:24" x14ac:dyDescent="0.2">
      <c r="B388" s="352" t="s">
        <v>875</v>
      </c>
      <c r="C388" s="352" t="s">
        <v>712</v>
      </c>
      <c r="F388" s="352" t="s">
        <v>1993</v>
      </c>
      <c r="G388" s="352" t="s">
        <v>2078</v>
      </c>
      <c r="H388" s="352" t="s">
        <v>1377</v>
      </c>
      <c r="I388" s="352" t="s">
        <v>1014</v>
      </c>
      <c r="J388" s="352" t="s">
        <v>1893</v>
      </c>
      <c r="K388" s="352">
        <v>2141</v>
      </c>
      <c r="L388" s="352" t="s">
        <v>1882</v>
      </c>
      <c r="M388" s="352" t="s">
        <v>2200</v>
      </c>
      <c r="N388" s="352" t="s">
        <v>2076</v>
      </c>
      <c r="O388" s="352">
        <v>8</v>
      </c>
      <c r="P388" s="352" t="s">
        <v>2085</v>
      </c>
      <c r="Q388" s="352" t="s">
        <v>2068</v>
      </c>
      <c r="R388" s="251">
        <v>13.385174056201523</v>
      </c>
      <c r="S388" s="251" t="s">
        <v>2015</v>
      </c>
      <c r="T388" s="251" t="s">
        <v>2016</v>
      </c>
      <c r="U388" s="251" t="s">
        <v>1935</v>
      </c>
      <c r="V388" s="251" t="s">
        <v>1936</v>
      </c>
      <c r="X388" s="251">
        <v>0</v>
      </c>
    </row>
    <row r="389" spans="2:24" x14ac:dyDescent="0.2">
      <c r="B389" s="352" t="s">
        <v>875</v>
      </c>
      <c r="C389" s="352" t="s">
        <v>712</v>
      </c>
      <c r="F389" s="352" t="s">
        <v>1993</v>
      </c>
      <c r="G389" s="352" t="s">
        <v>2078</v>
      </c>
      <c r="H389" s="352" t="s">
        <v>1377</v>
      </c>
      <c r="I389" s="352" t="s">
        <v>1014</v>
      </c>
      <c r="J389" s="352" t="s">
        <v>1893</v>
      </c>
      <c r="K389" s="352">
        <v>2211</v>
      </c>
      <c r="L389" s="352" t="s">
        <v>1883</v>
      </c>
      <c r="M389" s="352" t="s">
        <v>2201</v>
      </c>
      <c r="N389" s="352" t="s">
        <v>2076</v>
      </c>
      <c r="O389" s="352">
        <v>8</v>
      </c>
      <c r="P389" s="352" t="s">
        <v>2085</v>
      </c>
      <c r="Q389" s="352" t="s">
        <v>2068</v>
      </c>
      <c r="R389" s="251">
        <v>20.842126381384539</v>
      </c>
      <c r="S389" s="251" t="s">
        <v>2015</v>
      </c>
      <c r="T389" s="251" t="s">
        <v>2016</v>
      </c>
      <c r="U389" s="251" t="s">
        <v>1929</v>
      </c>
      <c r="V389" s="251" t="s">
        <v>1930</v>
      </c>
      <c r="X389" s="251">
        <v>0</v>
      </c>
    </row>
    <row r="390" spans="2:24" x14ac:dyDescent="0.2">
      <c r="B390" s="352" t="s">
        <v>875</v>
      </c>
      <c r="C390" s="352" t="s">
        <v>712</v>
      </c>
      <c r="F390" s="352" t="s">
        <v>1993</v>
      </c>
      <c r="G390" s="352" t="s">
        <v>2078</v>
      </c>
      <c r="H390" s="352" t="s">
        <v>1377</v>
      </c>
      <c r="I390" s="352" t="s">
        <v>1014</v>
      </c>
      <c r="J390" s="352" t="s">
        <v>1893</v>
      </c>
      <c r="K390" s="352">
        <v>2221</v>
      </c>
      <c r="L390" s="352" t="s">
        <v>1884</v>
      </c>
      <c r="M390" s="352" t="s">
        <v>2202</v>
      </c>
      <c r="N390" s="352" t="s">
        <v>2076</v>
      </c>
      <c r="O390" s="352">
        <v>8</v>
      </c>
      <c r="P390" s="352" t="s">
        <v>2085</v>
      </c>
      <c r="Q390" s="352" t="s">
        <v>2068</v>
      </c>
      <c r="R390" s="251">
        <v>325.10017371376921</v>
      </c>
      <c r="S390" s="251" t="s">
        <v>2015</v>
      </c>
      <c r="T390" s="251" t="s">
        <v>2016</v>
      </c>
      <c r="U390" s="251" t="s">
        <v>1935</v>
      </c>
      <c r="V390" s="251" t="s">
        <v>1936</v>
      </c>
      <c r="X390" s="251">
        <v>0</v>
      </c>
    </row>
    <row r="391" spans="2:24" x14ac:dyDescent="0.2">
      <c r="B391" s="352" t="s">
        <v>875</v>
      </c>
      <c r="C391" s="352" t="s">
        <v>712</v>
      </c>
      <c r="F391" s="352" t="s">
        <v>1993</v>
      </c>
      <c r="G391" s="352" t="s">
        <v>2078</v>
      </c>
      <c r="H391" s="352" t="s">
        <v>1381</v>
      </c>
      <c r="I391" s="352" t="s">
        <v>1015</v>
      </c>
      <c r="J391" s="352" t="s">
        <v>1016</v>
      </c>
      <c r="K391" s="352">
        <v>3111</v>
      </c>
      <c r="L391" s="352" t="s">
        <v>763</v>
      </c>
      <c r="M391" s="352" t="s">
        <v>2203</v>
      </c>
      <c r="N391" s="352" t="s">
        <v>2076</v>
      </c>
      <c r="O391" s="352">
        <v>1</v>
      </c>
      <c r="P391" s="352" t="s">
        <v>2086</v>
      </c>
      <c r="Q391" s="352" t="s">
        <v>2066</v>
      </c>
      <c r="R391" s="251">
        <v>0</v>
      </c>
      <c r="S391" s="251"/>
      <c r="T391" s="251" t="s">
        <v>2054</v>
      </c>
      <c r="U391" s="251" t="s">
        <v>1945</v>
      </c>
      <c r="V391" s="251" t="s">
        <v>709</v>
      </c>
      <c r="X391" s="251">
        <v>0</v>
      </c>
    </row>
    <row r="392" spans="2:24" x14ac:dyDescent="0.2">
      <c r="B392" s="352" t="s">
        <v>875</v>
      </c>
      <c r="C392" s="352" t="s">
        <v>712</v>
      </c>
      <c r="F392" s="352" t="s">
        <v>1993</v>
      </c>
      <c r="G392" s="352" t="s">
        <v>2078</v>
      </c>
      <c r="H392" s="352" t="s">
        <v>1381</v>
      </c>
      <c r="I392" s="352" t="s">
        <v>1015</v>
      </c>
      <c r="J392" s="352" t="s">
        <v>1016</v>
      </c>
      <c r="K392" s="352">
        <v>3121</v>
      </c>
      <c r="L392" s="352" t="s">
        <v>766</v>
      </c>
      <c r="M392" s="352" t="s">
        <v>2204</v>
      </c>
      <c r="N392" s="352" t="s">
        <v>2076</v>
      </c>
      <c r="O392" s="352">
        <v>1</v>
      </c>
      <c r="P392" s="352" t="s">
        <v>2086</v>
      </c>
      <c r="Q392" s="352" t="s">
        <v>2066</v>
      </c>
      <c r="R392" s="251">
        <v>0</v>
      </c>
      <c r="S392" s="251"/>
      <c r="T392" s="251" t="s">
        <v>2054</v>
      </c>
      <c r="U392" s="251" t="s">
        <v>1945</v>
      </c>
      <c r="V392" s="251" t="s">
        <v>709</v>
      </c>
      <c r="X392" s="251">
        <v>0</v>
      </c>
    </row>
    <row r="393" spans="2:24" x14ac:dyDescent="0.2">
      <c r="B393" s="352" t="s">
        <v>875</v>
      </c>
      <c r="C393" s="352" t="s">
        <v>712</v>
      </c>
      <c r="F393" s="352" t="s">
        <v>1993</v>
      </c>
      <c r="G393" s="352" t="s">
        <v>2078</v>
      </c>
      <c r="H393" s="352" t="s">
        <v>1385</v>
      </c>
      <c r="I393" s="352" t="s">
        <v>1017</v>
      </c>
      <c r="J393" s="352" t="s">
        <v>1018</v>
      </c>
      <c r="K393" s="352">
        <v>4111</v>
      </c>
      <c r="L393" s="352" t="s">
        <v>770</v>
      </c>
      <c r="M393" s="352" t="s">
        <v>2205</v>
      </c>
      <c r="N393" s="352" t="s">
        <v>2076</v>
      </c>
      <c r="O393" s="352">
        <v>11</v>
      </c>
      <c r="P393" s="352" t="s">
        <v>2084</v>
      </c>
      <c r="Q393" s="352" t="s">
        <v>2064</v>
      </c>
      <c r="R393" s="251">
        <v>192.46548061652211</v>
      </c>
      <c r="S393" s="251" t="s">
        <v>2015</v>
      </c>
      <c r="T393" s="251" t="s">
        <v>2016</v>
      </c>
      <c r="U393" s="251" t="s">
        <v>1946</v>
      </c>
      <c r="V393" s="251" t="s">
        <v>1947</v>
      </c>
      <c r="X393" s="251">
        <v>0</v>
      </c>
    </row>
    <row r="394" spans="2:24" x14ac:dyDescent="0.2">
      <c r="B394" s="352" t="s">
        <v>875</v>
      </c>
      <c r="C394" s="352" t="s">
        <v>712</v>
      </c>
      <c r="F394" s="352" t="s">
        <v>1993</v>
      </c>
      <c r="G394" s="352" t="s">
        <v>2078</v>
      </c>
      <c r="H394" s="352" t="s">
        <v>1385</v>
      </c>
      <c r="I394" s="352" t="s">
        <v>1017</v>
      </c>
      <c r="J394" s="352" t="s">
        <v>1018</v>
      </c>
      <c r="K394" s="352">
        <v>4121</v>
      </c>
      <c r="L394" s="352" t="s">
        <v>772</v>
      </c>
      <c r="M394" s="352" t="s">
        <v>2206</v>
      </c>
      <c r="N394" s="352" t="s">
        <v>2076</v>
      </c>
      <c r="O394" s="352">
        <v>11</v>
      </c>
      <c r="P394" s="352" t="s">
        <v>2084</v>
      </c>
      <c r="Q394" s="352" t="s">
        <v>2064</v>
      </c>
      <c r="R394" s="251">
        <v>320.61357861432441</v>
      </c>
      <c r="S394" s="251" t="s">
        <v>2015</v>
      </c>
      <c r="T394" s="251" t="s">
        <v>2016</v>
      </c>
      <c r="U394" s="251" t="s">
        <v>1946</v>
      </c>
      <c r="V394" s="251" t="s">
        <v>1947</v>
      </c>
      <c r="X394" s="251">
        <v>0</v>
      </c>
    </row>
    <row r="395" spans="2:24" x14ac:dyDescent="0.2">
      <c r="B395" s="352" t="s">
        <v>875</v>
      </c>
      <c r="C395" s="352" t="s">
        <v>712</v>
      </c>
      <c r="F395" s="352" t="s">
        <v>1993</v>
      </c>
      <c r="G395" s="352" t="s">
        <v>2078</v>
      </c>
      <c r="H395" s="352" t="s">
        <v>1389</v>
      </c>
      <c r="I395" s="352" t="s">
        <v>1019</v>
      </c>
      <c r="J395" s="352" t="s">
        <v>1020</v>
      </c>
      <c r="K395" s="352">
        <v>4231</v>
      </c>
      <c r="L395" s="352" t="s">
        <v>774</v>
      </c>
      <c r="M395" s="352" t="s">
        <v>2207</v>
      </c>
      <c r="N395" s="352" t="s">
        <v>2076</v>
      </c>
      <c r="O395" s="352">
        <v>1</v>
      </c>
      <c r="P395" s="352" t="s">
        <v>2086</v>
      </c>
      <c r="Q395" s="352" t="s">
        <v>2066</v>
      </c>
      <c r="R395" s="251">
        <v>3309.4145110216073</v>
      </c>
      <c r="S395" s="251" t="s">
        <v>2015</v>
      </c>
      <c r="T395" s="251" t="s">
        <v>2016</v>
      </c>
      <c r="U395" s="251" t="s">
        <v>1948</v>
      </c>
      <c r="V395" s="251" t="s">
        <v>1949</v>
      </c>
      <c r="X395" s="251">
        <v>0</v>
      </c>
    </row>
    <row r="396" spans="2:24" x14ac:dyDescent="0.2">
      <c r="B396" s="352" t="s">
        <v>875</v>
      </c>
      <c r="C396" s="352" t="s">
        <v>712</v>
      </c>
      <c r="F396" s="352" t="s">
        <v>1993</v>
      </c>
      <c r="G396" s="352" t="s">
        <v>2078</v>
      </c>
      <c r="H396" s="352" t="s">
        <v>1389</v>
      </c>
      <c r="I396" s="352" t="s">
        <v>1019</v>
      </c>
      <c r="J396" s="352" t="s">
        <v>1020</v>
      </c>
      <c r="K396" s="352">
        <v>4241</v>
      </c>
      <c r="L396" s="352" t="s">
        <v>777</v>
      </c>
      <c r="M396" s="352" t="s">
        <v>2208</v>
      </c>
      <c r="N396" s="352" t="s">
        <v>2076</v>
      </c>
      <c r="O396" s="352">
        <v>1</v>
      </c>
      <c r="P396" s="352" t="s">
        <v>2086</v>
      </c>
      <c r="Q396" s="352" t="s">
        <v>2066</v>
      </c>
      <c r="R396" s="251">
        <v>173.80862994122717</v>
      </c>
      <c r="S396" s="251" t="s">
        <v>2015</v>
      </c>
      <c r="T396" s="251" t="s">
        <v>2016</v>
      </c>
      <c r="U396" s="251" t="s">
        <v>1950</v>
      </c>
      <c r="V396" s="251" t="s">
        <v>1951</v>
      </c>
      <c r="X396" s="251">
        <v>0</v>
      </c>
    </row>
    <row r="397" spans="2:24" x14ac:dyDescent="0.2">
      <c r="B397" s="352" t="s">
        <v>875</v>
      </c>
      <c r="C397" s="352" t="s">
        <v>712</v>
      </c>
      <c r="F397" s="352" t="s">
        <v>1993</v>
      </c>
      <c r="G397" s="352" t="s">
        <v>2078</v>
      </c>
      <c r="H397" s="352" t="s">
        <v>1389</v>
      </c>
      <c r="I397" s="352" t="s">
        <v>1019</v>
      </c>
      <c r="J397" s="352" t="s">
        <v>1020</v>
      </c>
      <c r="K397" s="352">
        <v>4311</v>
      </c>
      <c r="L397" s="352" t="s">
        <v>779</v>
      </c>
      <c r="M397" s="352" t="s">
        <v>2209</v>
      </c>
      <c r="N397" s="352" t="s">
        <v>2076</v>
      </c>
      <c r="O397" s="352">
        <v>1</v>
      </c>
      <c r="P397" s="352" t="s">
        <v>2086</v>
      </c>
      <c r="Q397" s="352" t="s">
        <v>2066</v>
      </c>
      <c r="R397" s="251">
        <v>3.3315633506859932</v>
      </c>
      <c r="S397" s="251" t="s">
        <v>2015</v>
      </c>
      <c r="T397" s="251" t="s">
        <v>2016</v>
      </c>
      <c r="U397" s="251" t="s">
        <v>1952</v>
      </c>
      <c r="V397" s="251" t="s">
        <v>1953</v>
      </c>
      <c r="X397" s="251">
        <v>0</v>
      </c>
    </row>
    <row r="398" spans="2:24" x14ac:dyDescent="0.2">
      <c r="B398" s="352" t="s">
        <v>875</v>
      </c>
      <c r="C398" s="352" t="s">
        <v>712</v>
      </c>
      <c r="F398" s="352" t="s">
        <v>1993</v>
      </c>
      <c r="G398" s="352" t="s">
        <v>2078</v>
      </c>
      <c r="H398" s="352" t="s">
        <v>1393</v>
      </c>
      <c r="I398" s="352" t="s">
        <v>1021</v>
      </c>
      <c r="J398" s="352" t="s">
        <v>751</v>
      </c>
      <c r="K398" s="352">
        <v>4231</v>
      </c>
      <c r="L398" s="352" t="s">
        <v>774</v>
      </c>
      <c r="M398" s="352" t="s">
        <v>2210</v>
      </c>
      <c r="N398" s="352" t="s">
        <v>2076</v>
      </c>
      <c r="O398" s="352">
        <v>20</v>
      </c>
      <c r="P398" s="352" t="s">
        <v>2089</v>
      </c>
      <c r="Q398" s="352" t="s">
        <v>2074</v>
      </c>
      <c r="R398" s="251">
        <v>104.50782666384023</v>
      </c>
      <c r="S398" s="251" t="s">
        <v>2015</v>
      </c>
      <c r="T398" s="251" t="s">
        <v>2016</v>
      </c>
      <c r="U398" s="251" t="s">
        <v>1948</v>
      </c>
      <c r="V398" s="251" t="s">
        <v>1949</v>
      </c>
      <c r="X398" s="251">
        <v>0</v>
      </c>
    </row>
    <row r="399" spans="2:24" x14ac:dyDescent="0.2">
      <c r="B399" s="352" t="s">
        <v>875</v>
      </c>
      <c r="C399" s="352" t="s">
        <v>712</v>
      </c>
      <c r="F399" s="352" t="s">
        <v>1993</v>
      </c>
      <c r="G399" s="352" t="s">
        <v>2078</v>
      </c>
      <c r="H399" s="352" t="s">
        <v>1393</v>
      </c>
      <c r="I399" s="352" t="s">
        <v>1021</v>
      </c>
      <c r="J399" s="352" t="s">
        <v>751</v>
      </c>
      <c r="K399" s="352">
        <v>4241</v>
      </c>
      <c r="L399" s="352" t="s">
        <v>777</v>
      </c>
      <c r="M399" s="352" t="s">
        <v>2211</v>
      </c>
      <c r="N399" s="352" t="s">
        <v>2076</v>
      </c>
      <c r="O399" s="352">
        <v>20</v>
      </c>
      <c r="P399" s="352" t="s">
        <v>2089</v>
      </c>
      <c r="Q399" s="352" t="s">
        <v>2074</v>
      </c>
      <c r="R399" s="251">
        <v>5503.93994813886</v>
      </c>
      <c r="S399" s="251" t="s">
        <v>2015</v>
      </c>
      <c r="T399" s="251" t="s">
        <v>2016</v>
      </c>
      <c r="U399" s="251" t="s">
        <v>1950</v>
      </c>
      <c r="V399" s="251" t="s">
        <v>1951</v>
      </c>
      <c r="X399" s="251">
        <v>0</v>
      </c>
    </row>
    <row r="400" spans="2:24" x14ac:dyDescent="0.2">
      <c r="B400" s="352" t="s">
        <v>875</v>
      </c>
      <c r="C400" s="352" t="s">
        <v>712</v>
      </c>
      <c r="F400" s="352" t="s">
        <v>1993</v>
      </c>
      <c r="G400" s="352" t="s">
        <v>2078</v>
      </c>
      <c r="H400" s="352" t="s">
        <v>1393</v>
      </c>
      <c r="I400" s="352" t="s">
        <v>1021</v>
      </c>
      <c r="J400" s="352" t="s">
        <v>751</v>
      </c>
      <c r="K400" s="352">
        <v>4311</v>
      </c>
      <c r="L400" s="352" t="s">
        <v>779</v>
      </c>
      <c r="M400" s="352" t="s">
        <v>2212</v>
      </c>
      <c r="N400" s="352" t="s">
        <v>2076</v>
      </c>
      <c r="O400" s="352">
        <v>20</v>
      </c>
      <c r="P400" s="352" t="s">
        <v>2089</v>
      </c>
      <c r="Q400" s="352" t="s">
        <v>2074</v>
      </c>
      <c r="R400" s="251">
        <v>105.49950610505644</v>
      </c>
      <c r="S400" s="251" t="s">
        <v>2015</v>
      </c>
      <c r="T400" s="251" t="s">
        <v>2016</v>
      </c>
      <c r="U400" s="251" t="s">
        <v>1952</v>
      </c>
      <c r="V400" s="251" t="s">
        <v>1953</v>
      </c>
      <c r="X400" s="251">
        <v>0</v>
      </c>
    </row>
    <row r="401" spans="2:24" x14ac:dyDescent="0.2">
      <c r="B401" s="352" t="s">
        <v>875</v>
      </c>
      <c r="C401" s="352" t="s">
        <v>719</v>
      </c>
      <c r="F401" s="352" t="s">
        <v>1994</v>
      </c>
      <c r="G401" s="352" t="s">
        <v>2091</v>
      </c>
      <c r="H401" s="352" t="s">
        <v>1397</v>
      </c>
      <c r="I401" s="352" t="s">
        <v>969</v>
      </c>
      <c r="J401" s="352" t="s">
        <v>970</v>
      </c>
      <c r="K401" s="352">
        <v>1111</v>
      </c>
      <c r="L401" s="352" t="s">
        <v>699</v>
      </c>
      <c r="M401" s="352" t="s">
        <v>2147</v>
      </c>
      <c r="N401" s="352" t="s">
        <v>2076</v>
      </c>
      <c r="O401" s="352">
        <v>5</v>
      </c>
      <c r="P401" s="352" t="s">
        <v>2077</v>
      </c>
      <c r="Q401" s="352" t="s">
        <v>2058</v>
      </c>
      <c r="R401" s="251">
        <v>58009.693827371906</v>
      </c>
      <c r="S401" s="251" t="s">
        <v>2015</v>
      </c>
      <c r="T401" s="251" t="s">
        <v>2016</v>
      </c>
      <c r="U401" s="251" t="s">
        <v>1914</v>
      </c>
      <c r="V401" s="251" t="s">
        <v>1915</v>
      </c>
      <c r="X401" s="251">
        <v>0</v>
      </c>
    </row>
    <row r="402" spans="2:24" x14ac:dyDescent="0.2">
      <c r="B402" s="352" t="s">
        <v>875</v>
      </c>
      <c r="C402" s="352" t="s">
        <v>719</v>
      </c>
      <c r="F402" s="352" t="s">
        <v>1994</v>
      </c>
      <c r="G402" s="352" t="s">
        <v>2091</v>
      </c>
      <c r="H402" s="352" t="s">
        <v>1397</v>
      </c>
      <c r="I402" s="352" t="s">
        <v>969</v>
      </c>
      <c r="J402" s="352" t="s">
        <v>970</v>
      </c>
      <c r="K402" s="352">
        <v>1231</v>
      </c>
      <c r="L402" s="352" t="s">
        <v>726</v>
      </c>
      <c r="M402" s="352" t="s">
        <v>2148</v>
      </c>
      <c r="N402" s="352" t="s">
        <v>2076</v>
      </c>
      <c r="O402" s="352">
        <v>5</v>
      </c>
      <c r="P402" s="352" t="s">
        <v>2077</v>
      </c>
      <c r="Q402" s="352" t="s">
        <v>2058</v>
      </c>
      <c r="R402" s="251">
        <v>2093.9493107700978</v>
      </c>
      <c r="S402" s="251" t="s">
        <v>2015</v>
      </c>
      <c r="T402" s="251" t="s">
        <v>2016</v>
      </c>
      <c r="U402" s="251" t="s">
        <v>1920</v>
      </c>
      <c r="V402" s="251" t="s">
        <v>726</v>
      </c>
      <c r="X402" s="251">
        <v>0</v>
      </c>
    </row>
    <row r="403" spans="2:24" x14ac:dyDescent="0.2">
      <c r="B403" s="352" t="s">
        <v>875</v>
      </c>
      <c r="C403" s="352" t="s">
        <v>719</v>
      </c>
      <c r="F403" s="352" t="s">
        <v>1994</v>
      </c>
      <c r="G403" s="352" t="s">
        <v>2091</v>
      </c>
      <c r="H403" s="352" t="s">
        <v>1401</v>
      </c>
      <c r="I403" s="352" t="s">
        <v>971</v>
      </c>
      <c r="J403" s="352" t="s">
        <v>972</v>
      </c>
      <c r="K403" s="352">
        <v>1211</v>
      </c>
      <c r="L403" s="352" t="s">
        <v>705</v>
      </c>
      <c r="M403" s="352" t="s">
        <v>2149</v>
      </c>
      <c r="N403" s="352" t="s">
        <v>2076</v>
      </c>
      <c r="O403" s="352">
        <v>5</v>
      </c>
      <c r="P403" s="352" t="s">
        <v>2077</v>
      </c>
      <c r="Q403" s="352" t="s">
        <v>2058</v>
      </c>
      <c r="R403" s="251">
        <v>0</v>
      </c>
      <c r="S403" s="251" t="s">
        <v>2015</v>
      </c>
      <c r="T403" s="251" t="s">
        <v>2054</v>
      </c>
      <c r="U403" s="251" t="s">
        <v>1916</v>
      </c>
      <c r="V403" s="251" t="s">
        <v>1917</v>
      </c>
      <c r="X403" s="251">
        <v>0</v>
      </c>
    </row>
    <row r="404" spans="2:24" x14ac:dyDescent="0.2">
      <c r="B404" s="352" t="s">
        <v>875</v>
      </c>
      <c r="C404" s="352" t="s">
        <v>719</v>
      </c>
      <c r="F404" s="352" t="s">
        <v>1994</v>
      </c>
      <c r="G404" s="352" t="s">
        <v>2091</v>
      </c>
      <c r="H404" s="352" t="s">
        <v>1405</v>
      </c>
      <c r="I404" s="352" t="s">
        <v>973</v>
      </c>
      <c r="J404" s="352" t="s">
        <v>974</v>
      </c>
      <c r="K404" s="352">
        <v>1211</v>
      </c>
      <c r="L404" s="352" t="s">
        <v>705</v>
      </c>
      <c r="M404" s="352" t="s">
        <v>2150</v>
      </c>
      <c r="N404" s="352" t="s">
        <v>2076</v>
      </c>
      <c r="O404" s="352">
        <v>5</v>
      </c>
      <c r="P404" s="352" t="s">
        <v>2077</v>
      </c>
      <c r="Q404" s="352" t="s">
        <v>2058</v>
      </c>
      <c r="R404" s="251">
        <v>10589.206374977728</v>
      </c>
      <c r="S404" s="251" t="s">
        <v>2015</v>
      </c>
      <c r="T404" s="251" t="s">
        <v>2016</v>
      </c>
      <c r="U404" s="251" t="s">
        <v>1916</v>
      </c>
      <c r="V404" s="251" t="s">
        <v>1917</v>
      </c>
      <c r="X404" s="251">
        <v>0</v>
      </c>
    </row>
    <row r="405" spans="2:24" x14ac:dyDescent="0.2">
      <c r="B405" s="352" t="s">
        <v>875</v>
      </c>
      <c r="C405" s="352" t="s">
        <v>719</v>
      </c>
      <c r="F405" s="352" t="s">
        <v>1994</v>
      </c>
      <c r="G405" s="352" t="s">
        <v>2091</v>
      </c>
      <c r="H405" s="352" t="s">
        <v>1405</v>
      </c>
      <c r="I405" s="352" t="s">
        <v>973</v>
      </c>
      <c r="J405" s="352" t="s">
        <v>974</v>
      </c>
      <c r="K405" s="352">
        <v>1221</v>
      </c>
      <c r="L405" s="352" t="s">
        <v>711</v>
      </c>
      <c r="M405" s="352" t="s">
        <v>2151</v>
      </c>
      <c r="N405" s="352" t="s">
        <v>2076</v>
      </c>
      <c r="O405" s="352">
        <v>5</v>
      </c>
      <c r="P405" s="352" t="s">
        <v>2077</v>
      </c>
      <c r="Q405" s="352" t="s">
        <v>2058</v>
      </c>
      <c r="R405" s="251">
        <v>12508.170441490325</v>
      </c>
      <c r="S405" s="251" t="s">
        <v>2015</v>
      </c>
      <c r="T405" s="251" t="s">
        <v>2016</v>
      </c>
      <c r="U405" s="251" t="s">
        <v>1918</v>
      </c>
      <c r="V405" s="251" t="s">
        <v>1919</v>
      </c>
      <c r="X405" s="251">
        <v>0</v>
      </c>
    </row>
    <row r="406" spans="2:24" x14ac:dyDescent="0.2">
      <c r="B406" s="352" t="s">
        <v>875</v>
      </c>
      <c r="C406" s="352" t="s">
        <v>719</v>
      </c>
      <c r="F406" s="352" t="s">
        <v>1994</v>
      </c>
      <c r="G406" s="352" t="s">
        <v>2091</v>
      </c>
      <c r="H406" s="352" t="s">
        <v>1405</v>
      </c>
      <c r="I406" s="352" t="s">
        <v>973</v>
      </c>
      <c r="J406" s="352" t="s">
        <v>974</v>
      </c>
      <c r="K406" s="352">
        <v>1222</v>
      </c>
      <c r="L406" s="352" t="s">
        <v>718</v>
      </c>
      <c r="M406" s="352" t="s">
        <v>2152</v>
      </c>
      <c r="N406" s="352" t="s">
        <v>2076</v>
      </c>
      <c r="O406" s="352">
        <v>5</v>
      </c>
      <c r="P406" s="352" t="s">
        <v>2077</v>
      </c>
      <c r="Q406" s="352" t="s">
        <v>2058</v>
      </c>
      <c r="R406" s="251">
        <v>329.1623800392191</v>
      </c>
      <c r="S406" s="251" t="s">
        <v>2015</v>
      </c>
      <c r="T406" s="251" t="s">
        <v>2016</v>
      </c>
      <c r="U406" s="251">
        <v>0</v>
      </c>
      <c r="V406" s="251" t="s">
        <v>2153</v>
      </c>
      <c r="X406" s="251">
        <v>0</v>
      </c>
    </row>
    <row r="407" spans="2:24" x14ac:dyDescent="0.2">
      <c r="B407" s="352" t="s">
        <v>875</v>
      </c>
      <c r="C407" s="352" t="s">
        <v>719</v>
      </c>
      <c r="F407" s="352" t="s">
        <v>1994</v>
      </c>
      <c r="G407" s="352" t="s">
        <v>2091</v>
      </c>
      <c r="H407" s="352" t="s">
        <v>1409</v>
      </c>
      <c r="I407" s="352" t="s">
        <v>975</v>
      </c>
      <c r="J407" s="352" t="s">
        <v>976</v>
      </c>
      <c r="K407" s="352">
        <v>1221</v>
      </c>
      <c r="L407" s="352" t="s">
        <v>711</v>
      </c>
      <c r="M407" s="352" t="s">
        <v>2154</v>
      </c>
      <c r="N407" s="352" t="s">
        <v>2076</v>
      </c>
      <c r="O407" s="352">
        <v>7</v>
      </c>
      <c r="P407" s="352" t="s">
        <v>2081</v>
      </c>
      <c r="Q407" s="352" t="s">
        <v>2056</v>
      </c>
      <c r="R407" s="251">
        <v>0</v>
      </c>
      <c r="S407" s="251" t="s">
        <v>2015</v>
      </c>
      <c r="T407" s="251" t="s">
        <v>2054</v>
      </c>
      <c r="U407" s="251" t="s">
        <v>1918</v>
      </c>
      <c r="V407" s="251" t="s">
        <v>1919</v>
      </c>
      <c r="X407" s="251">
        <v>0</v>
      </c>
    </row>
    <row r="408" spans="2:24" x14ac:dyDescent="0.2">
      <c r="B408" s="352" t="s">
        <v>875</v>
      </c>
      <c r="C408" s="352" t="s">
        <v>719</v>
      </c>
      <c r="F408" s="352" t="s">
        <v>1994</v>
      </c>
      <c r="G408" s="352" t="s">
        <v>2091</v>
      </c>
      <c r="H408" s="352" t="s">
        <v>1413</v>
      </c>
      <c r="I408" s="352" t="s">
        <v>977</v>
      </c>
      <c r="J408" s="352" t="s">
        <v>864</v>
      </c>
      <c r="K408" s="352">
        <v>1111</v>
      </c>
      <c r="L408" s="352" t="s">
        <v>699</v>
      </c>
      <c r="M408" s="352" t="s">
        <v>2155</v>
      </c>
      <c r="N408" s="352" t="s">
        <v>2076</v>
      </c>
      <c r="O408" s="352">
        <v>5</v>
      </c>
      <c r="P408" s="352" t="s">
        <v>2077</v>
      </c>
      <c r="Q408" s="352" t="s">
        <v>2058</v>
      </c>
      <c r="R408" s="251">
        <v>3152.7007514876036</v>
      </c>
      <c r="S408" s="251" t="s">
        <v>2015</v>
      </c>
      <c r="T408" s="251" t="s">
        <v>2016</v>
      </c>
      <c r="U408" s="251" t="s">
        <v>1914</v>
      </c>
      <c r="V408" s="251" t="s">
        <v>1915</v>
      </c>
      <c r="X408" s="251">
        <v>0</v>
      </c>
    </row>
    <row r="409" spans="2:24" x14ac:dyDescent="0.2">
      <c r="B409" s="352" t="s">
        <v>875</v>
      </c>
      <c r="C409" s="352" t="s">
        <v>719</v>
      </c>
      <c r="F409" s="352" t="s">
        <v>1994</v>
      </c>
      <c r="G409" s="352" t="s">
        <v>2091</v>
      </c>
      <c r="H409" s="352" t="s">
        <v>1413</v>
      </c>
      <c r="I409" s="352" t="s">
        <v>977</v>
      </c>
      <c r="J409" s="352" t="s">
        <v>864</v>
      </c>
      <c r="K409" s="352">
        <v>1211</v>
      </c>
      <c r="L409" s="352" t="s">
        <v>705</v>
      </c>
      <c r="M409" s="352" t="s">
        <v>2156</v>
      </c>
      <c r="N409" s="352" t="s">
        <v>2076</v>
      </c>
      <c r="O409" s="352">
        <v>5</v>
      </c>
      <c r="P409" s="352" t="s">
        <v>2077</v>
      </c>
      <c r="Q409" s="352" t="s">
        <v>2058</v>
      </c>
      <c r="R409" s="251">
        <v>1217.1501580434172</v>
      </c>
      <c r="S409" s="251" t="s">
        <v>2015</v>
      </c>
      <c r="T409" s="251" t="s">
        <v>2016</v>
      </c>
      <c r="U409" s="251" t="s">
        <v>1916</v>
      </c>
      <c r="V409" s="251" t="s">
        <v>1917</v>
      </c>
      <c r="X409" s="251">
        <v>0</v>
      </c>
    </row>
    <row r="410" spans="2:24" x14ac:dyDescent="0.2">
      <c r="B410" s="352" t="s">
        <v>875</v>
      </c>
      <c r="C410" s="352" t="s">
        <v>719</v>
      </c>
      <c r="F410" s="352" t="s">
        <v>1994</v>
      </c>
      <c r="G410" s="352" t="s">
        <v>2091</v>
      </c>
      <c r="H410" s="352" t="s">
        <v>1413</v>
      </c>
      <c r="I410" s="352" t="s">
        <v>977</v>
      </c>
      <c r="J410" s="352" t="s">
        <v>864</v>
      </c>
      <c r="K410" s="352">
        <v>1221</v>
      </c>
      <c r="L410" s="352" t="s">
        <v>711</v>
      </c>
      <c r="M410" s="352" t="s">
        <v>2157</v>
      </c>
      <c r="N410" s="352" t="s">
        <v>2076</v>
      </c>
      <c r="O410" s="352">
        <v>5</v>
      </c>
      <c r="P410" s="352" t="s">
        <v>2077</v>
      </c>
      <c r="Q410" s="352" t="s">
        <v>2058</v>
      </c>
      <c r="R410" s="251">
        <v>1563.5213051862906</v>
      </c>
      <c r="S410" s="251" t="s">
        <v>2015</v>
      </c>
      <c r="T410" s="251" t="s">
        <v>2016</v>
      </c>
      <c r="U410" s="251" t="s">
        <v>1918</v>
      </c>
      <c r="V410" s="251" t="s">
        <v>1919</v>
      </c>
      <c r="X410" s="251">
        <v>0</v>
      </c>
    </row>
    <row r="411" spans="2:24" x14ac:dyDescent="0.2">
      <c r="B411" s="352" t="s">
        <v>875</v>
      </c>
      <c r="C411" s="352" t="s">
        <v>719</v>
      </c>
      <c r="F411" s="352" t="s">
        <v>1994</v>
      </c>
      <c r="G411" s="352" t="s">
        <v>2091</v>
      </c>
      <c r="H411" s="352" t="s">
        <v>1413</v>
      </c>
      <c r="I411" s="352" t="s">
        <v>977</v>
      </c>
      <c r="J411" s="352" t="s">
        <v>864</v>
      </c>
      <c r="K411" s="352">
        <v>1222</v>
      </c>
      <c r="L411" s="352" t="s">
        <v>718</v>
      </c>
      <c r="M411" s="352" t="s">
        <v>2158</v>
      </c>
      <c r="N411" s="352" t="s">
        <v>2076</v>
      </c>
      <c r="O411" s="352">
        <v>5</v>
      </c>
      <c r="P411" s="352" t="s">
        <v>2077</v>
      </c>
      <c r="Q411" s="352" t="s">
        <v>2058</v>
      </c>
      <c r="R411" s="251">
        <v>411.45297504902385</v>
      </c>
      <c r="S411" s="251" t="s">
        <v>2015</v>
      </c>
      <c r="T411" s="251" t="s">
        <v>2016</v>
      </c>
      <c r="U411" s="251">
        <v>0</v>
      </c>
      <c r="V411" s="251" t="s">
        <v>2153</v>
      </c>
      <c r="X411" s="251">
        <v>0</v>
      </c>
    </row>
    <row r="412" spans="2:24" x14ac:dyDescent="0.2">
      <c r="B412" s="352" t="s">
        <v>875</v>
      </c>
      <c r="C412" s="352" t="s">
        <v>719</v>
      </c>
      <c r="F412" s="352" t="s">
        <v>1994</v>
      </c>
      <c r="G412" s="352" t="s">
        <v>2091</v>
      </c>
      <c r="H412" s="352" t="s">
        <v>1413</v>
      </c>
      <c r="I412" s="352" t="s">
        <v>977</v>
      </c>
      <c r="J412" s="352" t="s">
        <v>864</v>
      </c>
      <c r="K412" s="352">
        <v>1231</v>
      </c>
      <c r="L412" s="352" t="s">
        <v>726</v>
      </c>
      <c r="M412" s="352" t="s">
        <v>2159</v>
      </c>
      <c r="N412" s="352" t="s">
        <v>2076</v>
      </c>
      <c r="O412" s="352">
        <v>5</v>
      </c>
      <c r="P412" s="352" t="s">
        <v>2077</v>
      </c>
      <c r="Q412" s="352" t="s">
        <v>2058</v>
      </c>
      <c r="R412" s="251">
        <v>7852.3099153878666</v>
      </c>
      <c r="S412" s="251" t="s">
        <v>2015</v>
      </c>
      <c r="T412" s="251" t="s">
        <v>2016</v>
      </c>
      <c r="U412" s="251" t="s">
        <v>1920</v>
      </c>
      <c r="V412" s="251" t="s">
        <v>726</v>
      </c>
      <c r="X412" s="251">
        <v>0</v>
      </c>
    </row>
    <row r="413" spans="2:24" x14ac:dyDescent="0.2">
      <c r="B413" s="352" t="s">
        <v>875</v>
      </c>
      <c r="C413" s="352" t="s">
        <v>719</v>
      </c>
      <c r="F413" s="352" t="s">
        <v>1994</v>
      </c>
      <c r="G413" s="352" t="s">
        <v>2091</v>
      </c>
      <c r="H413" s="352" t="s">
        <v>1413</v>
      </c>
      <c r="I413" s="352" t="s">
        <v>977</v>
      </c>
      <c r="J413" s="352" t="s">
        <v>864</v>
      </c>
      <c r="K413" s="352">
        <v>1232</v>
      </c>
      <c r="L413" s="352" t="s">
        <v>734</v>
      </c>
      <c r="M413" s="352" t="s">
        <v>2160</v>
      </c>
      <c r="N413" s="352" t="s">
        <v>2076</v>
      </c>
      <c r="O413" s="352">
        <v>5</v>
      </c>
      <c r="P413" s="352" t="s">
        <v>2077</v>
      </c>
      <c r="Q413" s="352" t="s">
        <v>2058</v>
      </c>
      <c r="R413" s="251">
        <v>1477.9757699502816</v>
      </c>
      <c r="S413" s="251" t="s">
        <v>2015</v>
      </c>
      <c r="T413" s="251" t="s">
        <v>2016</v>
      </c>
      <c r="U413" s="251">
        <v>0</v>
      </c>
      <c r="V413" s="251" t="s">
        <v>2153</v>
      </c>
      <c r="X413" s="251">
        <v>0</v>
      </c>
    </row>
    <row r="414" spans="2:24" x14ac:dyDescent="0.2">
      <c r="B414" s="352" t="s">
        <v>875</v>
      </c>
      <c r="C414" s="352" t="s">
        <v>719</v>
      </c>
      <c r="F414" s="352" t="s">
        <v>1994</v>
      </c>
      <c r="G414" s="352" t="s">
        <v>2091</v>
      </c>
      <c r="H414" s="352" t="s">
        <v>1413</v>
      </c>
      <c r="I414" s="352" t="s">
        <v>977</v>
      </c>
      <c r="J414" s="352" t="s">
        <v>864</v>
      </c>
      <c r="K414" s="352">
        <v>1241</v>
      </c>
      <c r="L414" s="352" t="s">
        <v>1872</v>
      </c>
      <c r="M414" s="352" t="s">
        <v>2161</v>
      </c>
      <c r="N414" s="352" t="s">
        <v>2076</v>
      </c>
      <c r="O414" s="352">
        <v>5</v>
      </c>
      <c r="P414" s="352" t="s">
        <v>2077</v>
      </c>
      <c r="Q414" s="352" t="s">
        <v>2058</v>
      </c>
      <c r="R414" s="251">
        <v>29.838100532220395</v>
      </c>
      <c r="S414" s="251" t="s">
        <v>2015</v>
      </c>
      <c r="T414" s="251" t="s">
        <v>2016</v>
      </c>
      <c r="U414" s="251">
        <v>0</v>
      </c>
      <c r="V414" s="251" t="s">
        <v>2153</v>
      </c>
      <c r="X414" s="251">
        <v>0</v>
      </c>
    </row>
    <row r="415" spans="2:24" x14ac:dyDescent="0.2">
      <c r="B415" s="352" t="s">
        <v>875</v>
      </c>
      <c r="C415" s="352" t="s">
        <v>719</v>
      </c>
      <c r="F415" s="352" t="s">
        <v>1994</v>
      </c>
      <c r="G415" s="352" t="s">
        <v>2091</v>
      </c>
      <c r="H415" s="352" t="s">
        <v>1413</v>
      </c>
      <c r="I415" s="352" t="s">
        <v>977</v>
      </c>
      <c r="J415" s="352" t="s">
        <v>864</v>
      </c>
      <c r="K415" s="352">
        <v>1251</v>
      </c>
      <c r="L415" s="352" t="s">
        <v>733</v>
      </c>
      <c r="M415" s="352" t="s">
        <v>2162</v>
      </c>
      <c r="N415" s="352" t="s">
        <v>2076</v>
      </c>
      <c r="O415" s="352">
        <v>5</v>
      </c>
      <c r="P415" s="352" t="s">
        <v>2077</v>
      </c>
      <c r="Q415" s="352" t="s">
        <v>2058</v>
      </c>
      <c r="R415" s="251">
        <v>444.44173358437274</v>
      </c>
      <c r="S415" s="251" t="s">
        <v>2015</v>
      </c>
      <c r="T415" s="251" t="s">
        <v>2016</v>
      </c>
      <c r="U415" s="251">
        <v>0</v>
      </c>
      <c r="V415" s="251" t="s">
        <v>2153</v>
      </c>
      <c r="X415" s="251">
        <v>0</v>
      </c>
    </row>
    <row r="416" spans="2:24" x14ac:dyDescent="0.2">
      <c r="B416" s="352" t="s">
        <v>875</v>
      </c>
      <c r="C416" s="352" t="s">
        <v>719</v>
      </c>
      <c r="F416" s="352" t="s">
        <v>1994</v>
      </c>
      <c r="G416" s="352" t="s">
        <v>2091</v>
      </c>
      <c r="H416" s="352" t="s">
        <v>1417</v>
      </c>
      <c r="I416" s="352" t="s">
        <v>978</v>
      </c>
      <c r="J416" s="352" t="s">
        <v>1892</v>
      </c>
      <c r="K416" s="352">
        <v>1111</v>
      </c>
      <c r="L416" s="352" t="s">
        <v>699</v>
      </c>
      <c r="M416" s="352" t="s">
        <v>2163</v>
      </c>
      <c r="N416" s="352" t="s">
        <v>2076</v>
      </c>
      <c r="O416" s="352">
        <v>5</v>
      </c>
      <c r="P416" s="352" t="s">
        <v>2077</v>
      </c>
      <c r="Q416" s="352" t="s">
        <v>2058</v>
      </c>
      <c r="R416" s="251">
        <v>0</v>
      </c>
      <c r="S416" s="251" t="s">
        <v>2015</v>
      </c>
      <c r="T416" s="251" t="s">
        <v>2054</v>
      </c>
      <c r="U416" s="251" t="s">
        <v>1914</v>
      </c>
      <c r="V416" s="251" t="s">
        <v>1915</v>
      </c>
      <c r="X416" s="251">
        <v>0</v>
      </c>
    </row>
    <row r="417" spans="2:24" x14ac:dyDescent="0.2">
      <c r="B417" s="352" t="s">
        <v>875</v>
      </c>
      <c r="C417" s="352" t="s">
        <v>719</v>
      </c>
      <c r="F417" s="352" t="s">
        <v>1994</v>
      </c>
      <c r="G417" s="352" t="s">
        <v>2091</v>
      </c>
      <c r="H417" s="352" t="s">
        <v>1417</v>
      </c>
      <c r="I417" s="352" t="s">
        <v>978</v>
      </c>
      <c r="J417" s="352" t="s">
        <v>1892</v>
      </c>
      <c r="K417" s="352">
        <v>1231</v>
      </c>
      <c r="L417" s="352" t="s">
        <v>726</v>
      </c>
      <c r="M417" s="352" t="s">
        <v>2164</v>
      </c>
      <c r="N417" s="352" t="s">
        <v>2076</v>
      </c>
      <c r="O417" s="352">
        <v>5</v>
      </c>
      <c r="P417" s="352" t="s">
        <v>2077</v>
      </c>
      <c r="Q417" s="352" t="s">
        <v>2058</v>
      </c>
      <c r="R417" s="251">
        <v>0</v>
      </c>
      <c r="S417" s="251" t="s">
        <v>2015</v>
      </c>
      <c r="T417" s="251" t="s">
        <v>2054</v>
      </c>
      <c r="U417" s="251" t="s">
        <v>1920</v>
      </c>
      <c r="V417" s="251" t="s">
        <v>726</v>
      </c>
      <c r="X417" s="251">
        <v>0</v>
      </c>
    </row>
    <row r="418" spans="2:24" x14ac:dyDescent="0.2">
      <c r="B418" s="352" t="s">
        <v>875</v>
      </c>
      <c r="C418" s="352" t="s">
        <v>719</v>
      </c>
      <c r="F418" s="352" t="s">
        <v>1994</v>
      </c>
      <c r="G418" s="352" t="s">
        <v>2091</v>
      </c>
      <c r="H418" s="352" t="s">
        <v>1421</v>
      </c>
      <c r="I418" s="352" t="s">
        <v>979</v>
      </c>
      <c r="J418" s="352" t="s">
        <v>980</v>
      </c>
      <c r="K418" s="352">
        <v>1241</v>
      </c>
      <c r="L418" s="352" t="s">
        <v>1872</v>
      </c>
      <c r="M418" s="352" t="s">
        <v>2165</v>
      </c>
      <c r="N418" s="352" t="s">
        <v>2076</v>
      </c>
      <c r="O418" s="352">
        <v>7</v>
      </c>
      <c r="P418" s="352" t="s">
        <v>2081</v>
      </c>
      <c r="Q418" s="352" t="s">
        <v>2056</v>
      </c>
      <c r="R418" s="251">
        <v>362.31979217696187</v>
      </c>
      <c r="S418" s="251" t="s">
        <v>2015</v>
      </c>
      <c r="T418" s="251" t="s">
        <v>2016</v>
      </c>
      <c r="U418" s="251">
        <v>0</v>
      </c>
      <c r="V418" s="251" t="s">
        <v>2153</v>
      </c>
      <c r="X418" s="251">
        <v>0</v>
      </c>
    </row>
    <row r="419" spans="2:24" x14ac:dyDescent="0.2">
      <c r="B419" s="352" t="s">
        <v>875</v>
      </c>
      <c r="C419" s="352" t="s">
        <v>719</v>
      </c>
      <c r="F419" s="352" t="s">
        <v>1994</v>
      </c>
      <c r="G419" s="352" t="s">
        <v>2091</v>
      </c>
      <c r="H419" s="352" t="s">
        <v>1425</v>
      </c>
      <c r="I419" s="352" t="s">
        <v>981</v>
      </c>
      <c r="J419" s="352" t="s">
        <v>3674</v>
      </c>
      <c r="K419" s="352">
        <v>1241</v>
      </c>
      <c r="L419" s="352" t="s">
        <v>1872</v>
      </c>
      <c r="M419" s="352" t="s">
        <v>2166</v>
      </c>
      <c r="N419" s="352" t="s">
        <v>2076</v>
      </c>
      <c r="O419" s="352">
        <v>13</v>
      </c>
      <c r="P419" s="352" t="s">
        <v>2082</v>
      </c>
      <c r="Q419" s="352" t="s">
        <v>2060</v>
      </c>
      <c r="R419" s="251">
        <v>0</v>
      </c>
      <c r="S419" s="251" t="s">
        <v>2015</v>
      </c>
      <c r="T419" s="251" t="s">
        <v>2054</v>
      </c>
      <c r="U419" s="251">
        <v>0</v>
      </c>
      <c r="V419" s="251" t="s">
        <v>2153</v>
      </c>
      <c r="X419" s="251">
        <v>0</v>
      </c>
    </row>
    <row r="420" spans="2:24" x14ac:dyDescent="0.2">
      <c r="B420" s="352" t="s">
        <v>875</v>
      </c>
      <c r="C420" s="352" t="s">
        <v>719</v>
      </c>
      <c r="F420" s="352" t="s">
        <v>1994</v>
      </c>
      <c r="G420" s="352" t="s">
        <v>2091</v>
      </c>
      <c r="H420" s="352" t="s">
        <v>1425</v>
      </c>
      <c r="I420" s="352" t="s">
        <v>981</v>
      </c>
      <c r="J420" s="352" t="s">
        <v>3674</v>
      </c>
      <c r="K420" s="352">
        <v>1251</v>
      </c>
      <c r="L420" s="352" t="s">
        <v>733</v>
      </c>
      <c r="M420" s="352" t="s">
        <v>2167</v>
      </c>
      <c r="N420" s="352" t="s">
        <v>2076</v>
      </c>
      <c r="O420" s="352">
        <v>13</v>
      </c>
      <c r="P420" s="352" t="s">
        <v>2082</v>
      </c>
      <c r="Q420" s="352" t="s">
        <v>2060</v>
      </c>
      <c r="R420" s="251">
        <v>0</v>
      </c>
      <c r="S420" s="251" t="s">
        <v>2015</v>
      </c>
      <c r="T420" s="251" t="s">
        <v>2054</v>
      </c>
      <c r="U420" s="251">
        <v>0</v>
      </c>
      <c r="V420" s="251" t="s">
        <v>2153</v>
      </c>
      <c r="X420" s="251">
        <v>0</v>
      </c>
    </row>
    <row r="421" spans="2:24" x14ac:dyDescent="0.2">
      <c r="B421" s="352" t="s">
        <v>875</v>
      </c>
      <c r="C421" s="352" t="s">
        <v>719</v>
      </c>
      <c r="F421" s="352" t="s">
        <v>1994</v>
      </c>
      <c r="G421" s="352" t="s">
        <v>2091</v>
      </c>
      <c r="H421" s="352" t="s">
        <v>1429</v>
      </c>
      <c r="I421" s="352" t="s">
        <v>982</v>
      </c>
      <c r="J421" s="352" t="s">
        <v>983</v>
      </c>
      <c r="K421" s="352">
        <v>2111</v>
      </c>
      <c r="L421" s="352" t="s">
        <v>1873</v>
      </c>
      <c r="M421" s="352" t="s">
        <v>2168</v>
      </c>
      <c r="N421" s="352" t="s">
        <v>2076</v>
      </c>
      <c r="O421" s="352">
        <v>10</v>
      </c>
      <c r="P421" s="352" t="s">
        <v>2083</v>
      </c>
      <c r="Q421" s="352" t="s">
        <v>2062</v>
      </c>
      <c r="R421" s="251">
        <v>404.14739320850964</v>
      </c>
      <c r="S421" s="251" t="s">
        <v>2015</v>
      </c>
      <c r="T421" s="251" t="s">
        <v>2016</v>
      </c>
      <c r="U421" s="251" t="s">
        <v>1929</v>
      </c>
      <c r="V421" s="251" t="s">
        <v>1930</v>
      </c>
      <c r="X421" s="251">
        <v>0</v>
      </c>
    </row>
    <row r="422" spans="2:24" x14ac:dyDescent="0.2">
      <c r="B422" s="352" t="s">
        <v>875</v>
      </c>
      <c r="C422" s="352" t="s">
        <v>719</v>
      </c>
      <c r="F422" s="352" t="s">
        <v>1994</v>
      </c>
      <c r="G422" s="352" t="s">
        <v>2091</v>
      </c>
      <c r="H422" s="352" t="s">
        <v>1429</v>
      </c>
      <c r="I422" s="352" t="s">
        <v>982</v>
      </c>
      <c r="J422" s="352" t="s">
        <v>983</v>
      </c>
      <c r="K422" s="352">
        <v>2121</v>
      </c>
      <c r="L422" s="352" t="s">
        <v>1876</v>
      </c>
      <c r="M422" s="352" t="s">
        <v>2169</v>
      </c>
      <c r="N422" s="352" t="s">
        <v>2076</v>
      </c>
      <c r="O422" s="352">
        <v>10</v>
      </c>
      <c r="P422" s="352" t="s">
        <v>2083</v>
      </c>
      <c r="Q422" s="352" t="s">
        <v>2062</v>
      </c>
      <c r="R422" s="251">
        <v>1281.1494322898127</v>
      </c>
      <c r="S422" s="251" t="s">
        <v>2015</v>
      </c>
      <c r="T422" s="251" t="s">
        <v>2016</v>
      </c>
      <c r="U422" s="251" t="s">
        <v>1929</v>
      </c>
      <c r="V422" s="251" t="s">
        <v>1930</v>
      </c>
      <c r="X422" s="251">
        <v>0</v>
      </c>
    </row>
    <row r="423" spans="2:24" x14ac:dyDescent="0.2">
      <c r="B423" s="352" t="s">
        <v>875</v>
      </c>
      <c r="C423" s="352" t="s">
        <v>719</v>
      </c>
      <c r="F423" s="352" t="s">
        <v>1994</v>
      </c>
      <c r="G423" s="352" t="s">
        <v>2091</v>
      </c>
      <c r="H423" s="352" t="s">
        <v>1429</v>
      </c>
      <c r="I423" s="352" t="s">
        <v>982</v>
      </c>
      <c r="J423" s="352" t="s">
        <v>983</v>
      </c>
      <c r="K423" s="352">
        <v>2131</v>
      </c>
      <c r="L423" s="352" t="s">
        <v>1879</v>
      </c>
      <c r="M423" s="352" t="s">
        <v>2170</v>
      </c>
      <c r="N423" s="352" t="s">
        <v>2076</v>
      </c>
      <c r="O423" s="352">
        <v>10</v>
      </c>
      <c r="P423" s="352" t="s">
        <v>2083</v>
      </c>
      <c r="Q423" s="352" t="s">
        <v>2062</v>
      </c>
      <c r="R423" s="251">
        <v>28.568806414163813</v>
      </c>
      <c r="S423" s="251" t="s">
        <v>2015</v>
      </c>
      <c r="T423" s="251" t="s">
        <v>2016</v>
      </c>
      <c r="U423" s="251" t="s">
        <v>1929</v>
      </c>
      <c r="V423" s="251" t="s">
        <v>1930</v>
      </c>
      <c r="X423" s="251">
        <v>0</v>
      </c>
    </row>
    <row r="424" spans="2:24" x14ac:dyDescent="0.2">
      <c r="B424" s="352" t="s">
        <v>875</v>
      </c>
      <c r="C424" s="352" t="s">
        <v>719</v>
      </c>
      <c r="F424" s="352" t="s">
        <v>1994</v>
      </c>
      <c r="G424" s="352" t="s">
        <v>2091</v>
      </c>
      <c r="H424" s="352" t="s">
        <v>1429</v>
      </c>
      <c r="I424" s="352" t="s">
        <v>982</v>
      </c>
      <c r="J424" s="352" t="s">
        <v>983</v>
      </c>
      <c r="K424" s="352">
        <v>2211</v>
      </c>
      <c r="L424" s="352" t="s">
        <v>1883</v>
      </c>
      <c r="M424" s="352" t="s">
        <v>2171</v>
      </c>
      <c r="N424" s="352" t="s">
        <v>2076</v>
      </c>
      <c r="O424" s="352">
        <v>10</v>
      </c>
      <c r="P424" s="352" t="s">
        <v>2083</v>
      </c>
      <c r="Q424" s="352" t="s">
        <v>2062</v>
      </c>
      <c r="R424" s="251">
        <v>250.87376355728776</v>
      </c>
      <c r="S424" s="251" t="s">
        <v>2015</v>
      </c>
      <c r="T424" s="251" t="s">
        <v>2016</v>
      </c>
      <c r="U424" s="251" t="s">
        <v>1929</v>
      </c>
      <c r="V424" s="251" t="s">
        <v>1930</v>
      </c>
      <c r="X424" s="251">
        <v>0</v>
      </c>
    </row>
    <row r="425" spans="2:24" x14ac:dyDescent="0.2">
      <c r="B425" s="352" t="s">
        <v>875</v>
      </c>
      <c r="C425" s="352" t="s">
        <v>719</v>
      </c>
      <c r="F425" s="352" t="s">
        <v>1994</v>
      </c>
      <c r="G425" s="352" t="s">
        <v>2091</v>
      </c>
      <c r="H425" s="352" t="s">
        <v>1433</v>
      </c>
      <c r="I425" s="352" t="s">
        <v>984</v>
      </c>
      <c r="J425" s="352" t="s">
        <v>985</v>
      </c>
      <c r="K425" s="352">
        <v>2111</v>
      </c>
      <c r="L425" s="352" t="s">
        <v>1873</v>
      </c>
      <c r="M425" s="352" t="s">
        <v>2172</v>
      </c>
      <c r="N425" s="352" t="s">
        <v>2076</v>
      </c>
      <c r="O425" s="352">
        <v>11</v>
      </c>
      <c r="P425" s="352" t="s">
        <v>2084</v>
      </c>
      <c r="Q425" s="352" t="s">
        <v>2064</v>
      </c>
      <c r="R425" s="251">
        <v>0</v>
      </c>
      <c r="S425" s="251" t="s">
        <v>2015</v>
      </c>
      <c r="T425" s="251" t="s">
        <v>2054</v>
      </c>
      <c r="U425" s="251" t="s">
        <v>1929</v>
      </c>
      <c r="V425" s="251" t="s">
        <v>1930</v>
      </c>
      <c r="X425" s="251">
        <v>0</v>
      </c>
    </row>
    <row r="426" spans="2:24" x14ac:dyDescent="0.2">
      <c r="B426" s="352" t="s">
        <v>875</v>
      </c>
      <c r="C426" s="352" t="s">
        <v>719</v>
      </c>
      <c r="F426" s="352" t="s">
        <v>1994</v>
      </c>
      <c r="G426" s="352" t="s">
        <v>2091</v>
      </c>
      <c r="H426" s="352" t="s">
        <v>1433</v>
      </c>
      <c r="I426" s="352" t="s">
        <v>984</v>
      </c>
      <c r="J426" s="352" t="s">
        <v>985</v>
      </c>
      <c r="K426" s="352">
        <v>2121</v>
      </c>
      <c r="L426" s="352" t="s">
        <v>1876</v>
      </c>
      <c r="M426" s="352" t="s">
        <v>2173</v>
      </c>
      <c r="N426" s="352" t="s">
        <v>2076</v>
      </c>
      <c r="O426" s="352">
        <v>11</v>
      </c>
      <c r="P426" s="352" t="s">
        <v>2084</v>
      </c>
      <c r="Q426" s="352" t="s">
        <v>2064</v>
      </c>
      <c r="R426" s="251">
        <v>0</v>
      </c>
      <c r="S426" s="251" t="s">
        <v>2015</v>
      </c>
      <c r="T426" s="251" t="s">
        <v>2054</v>
      </c>
      <c r="U426" s="251" t="s">
        <v>1929</v>
      </c>
      <c r="V426" s="251" t="s">
        <v>1930</v>
      </c>
      <c r="X426" s="251">
        <v>0</v>
      </c>
    </row>
    <row r="427" spans="2:24" x14ac:dyDescent="0.2">
      <c r="B427" s="352" t="s">
        <v>875</v>
      </c>
      <c r="C427" s="352" t="s">
        <v>719</v>
      </c>
      <c r="F427" s="352" t="s">
        <v>1994</v>
      </c>
      <c r="G427" s="352" t="s">
        <v>2091</v>
      </c>
      <c r="H427" s="352" t="s">
        <v>1433</v>
      </c>
      <c r="I427" s="352" t="s">
        <v>984</v>
      </c>
      <c r="J427" s="352" t="s">
        <v>985</v>
      </c>
      <c r="K427" s="352">
        <v>2131</v>
      </c>
      <c r="L427" s="352" t="s">
        <v>1879</v>
      </c>
      <c r="M427" s="352" t="s">
        <v>2174</v>
      </c>
      <c r="N427" s="352" t="s">
        <v>2076</v>
      </c>
      <c r="O427" s="352">
        <v>11</v>
      </c>
      <c r="P427" s="352" t="s">
        <v>2084</v>
      </c>
      <c r="Q427" s="352" t="s">
        <v>2064</v>
      </c>
      <c r="R427" s="251">
        <v>0</v>
      </c>
      <c r="S427" s="251" t="s">
        <v>2015</v>
      </c>
      <c r="T427" s="251" t="s">
        <v>2054</v>
      </c>
      <c r="U427" s="251" t="s">
        <v>1929</v>
      </c>
      <c r="V427" s="251" t="s">
        <v>1930</v>
      </c>
      <c r="X427" s="251">
        <v>0</v>
      </c>
    </row>
    <row r="428" spans="2:24" x14ac:dyDescent="0.2">
      <c r="B428" s="352" t="s">
        <v>875</v>
      </c>
      <c r="C428" s="352" t="s">
        <v>719</v>
      </c>
      <c r="F428" s="352" t="s">
        <v>1994</v>
      </c>
      <c r="G428" s="352" t="s">
        <v>2091</v>
      </c>
      <c r="H428" s="352" t="s">
        <v>1433</v>
      </c>
      <c r="I428" s="352" t="s">
        <v>984</v>
      </c>
      <c r="J428" s="352" t="s">
        <v>985</v>
      </c>
      <c r="K428" s="352">
        <v>2211</v>
      </c>
      <c r="L428" s="352" t="s">
        <v>1883</v>
      </c>
      <c r="M428" s="352" t="s">
        <v>2175</v>
      </c>
      <c r="N428" s="352" t="s">
        <v>2076</v>
      </c>
      <c r="O428" s="352">
        <v>11</v>
      </c>
      <c r="P428" s="352" t="s">
        <v>2084</v>
      </c>
      <c r="Q428" s="352" t="s">
        <v>2064</v>
      </c>
      <c r="R428" s="251">
        <v>0</v>
      </c>
      <c r="S428" s="251" t="s">
        <v>2015</v>
      </c>
      <c r="T428" s="251" t="s">
        <v>2054</v>
      </c>
      <c r="U428" s="251" t="s">
        <v>1929</v>
      </c>
      <c r="V428" s="251" t="s">
        <v>1930</v>
      </c>
      <c r="X428" s="251">
        <v>0</v>
      </c>
    </row>
    <row r="429" spans="2:24" x14ac:dyDescent="0.2">
      <c r="B429" s="352" t="s">
        <v>875</v>
      </c>
      <c r="C429" s="352" t="s">
        <v>719</v>
      </c>
      <c r="F429" s="352" t="s">
        <v>1994</v>
      </c>
      <c r="G429" s="352" t="s">
        <v>2091</v>
      </c>
      <c r="H429" s="352" t="s">
        <v>1437</v>
      </c>
      <c r="I429" s="352" t="s">
        <v>986</v>
      </c>
      <c r="J429" s="352" t="s">
        <v>987</v>
      </c>
      <c r="K429" s="352">
        <v>2112</v>
      </c>
      <c r="L429" s="352" t="s">
        <v>1874</v>
      </c>
      <c r="M429" s="352" t="s">
        <v>2176</v>
      </c>
      <c r="N429" s="352" t="s">
        <v>2076</v>
      </c>
      <c r="O429" s="352">
        <v>8</v>
      </c>
      <c r="P429" s="352" t="s">
        <v>2085</v>
      </c>
      <c r="Q429" s="352" t="s">
        <v>2068</v>
      </c>
      <c r="R429" s="251">
        <v>1.6988433331456116</v>
      </c>
      <c r="S429" s="251" t="s">
        <v>2015</v>
      </c>
      <c r="T429" s="251" t="s">
        <v>2016</v>
      </c>
      <c r="U429" s="251" t="s">
        <v>1931</v>
      </c>
      <c r="V429" s="251" t="s">
        <v>1932</v>
      </c>
      <c r="X429" s="251">
        <v>0</v>
      </c>
    </row>
    <row r="430" spans="2:24" x14ac:dyDescent="0.2">
      <c r="B430" s="352" t="s">
        <v>875</v>
      </c>
      <c r="C430" s="352" t="s">
        <v>719</v>
      </c>
      <c r="F430" s="352" t="s">
        <v>1994</v>
      </c>
      <c r="G430" s="352" t="s">
        <v>2091</v>
      </c>
      <c r="H430" s="352" t="s">
        <v>1437</v>
      </c>
      <c r="I430" s="352" t="s">
        <v>986</v>
      </c>
      <c r="J430" s="352" t="s">
        <v>987</v>
      </c>
      <c r="K430" s="352">
        <v>2122</v>
      </c>
      <c r="L430" s="352" t="s">
        <v>1877</v>
      </c>
      <c r="M430" s="352" t="s">
        <v>2177</v>
      </c>
      <c r="N430" s="352" t="s">
        <v>2076</v>
      </c>
      <c r="O430" s="352">
        <v>8</v>
      </c>
      <c r="P430" s="352" t="s">
        <v>2085</v>
      </c>
      <c r="Q430" s="352" t="s">
        <v>2068</v>
      </c>
      <c r="R430" s="251">
        <v>533.2753438393346</v>
      </c>
      <c r="S430" s="251" t="s">
        <v>2015</v>
      </c>
      <c r="T430" s="251" t="s">
        <v>2016</v>
      </c>
      <c r="U430" s="251" t="s">
        <v>1931</v>
      </c>
      <c r="V430" s="251" t="s">
        <v>1932</v>
      </c>
      <c r="X430" s="251">
        <v>0</v>
      </c>
    </row>
    <row r="431" spans="2:24" x14ac:dyDescent="0.2">
      <c r="B431" s="352" t="s">
        <v>875</v>
      </c>
      <c r="C431" s="352" t="s">
        <v>719</v>
      </c>
      <c r="F431" s="352" t="s">
        <v>1994</v>
      </c>
      <c r="G431" s="352" t="s">
        <v>2091</v>
      </c>
      <c r="H431" s="352" t="s">
        <v>1441</v>
      </c>
      <c r="I431" s="352" t="s">
        <v>988</v>
      </c>
      <c r="J431" s="352" t="s">
        <v>989</v>
      </c>
      <c r="K431" s="352">
        <v>2112</v>
      </c>
      <c r="L431" s="352" t="s">
        <v>1874</v>
      </c>
      <c r="M431" s="352" t="s">
        <v>2178</v>
      </c>
      <c r="N431" s="352" t="s">
        <v>2076</v>
      </c>
      <c r="O431" s="352">
        <v>8</v>
      </c>
      <c r="P431" s="352" t="s">
        <v>2085</v>
      </c>
      <c r="Q431" s="352" t="s">
        <v>2068</v>
      </c>
      <c r="R431" s="251">
        <v>2.3359095830752161</v>
      </c>
      <c r="S431" s="251" t="s">
        <v>2015</v>
      </c>
      <c r="T431" s="251" t="s">
        <v>2016</v>
      </c>
      <c r="U431" s="251" t="s">
        <v>1931</v>
      </c>
      <c r="V431" s="251" t="s">
        <v>1932</v>
      </c>
      <c r="X431" s="251">
        <v>0</v>
      </c>
    </row>
    <row r="432" spans="2:24" x14ac:dyDescent="0.2">
      <c r="B432" s="352" t="s">
        <v>875</v>
      </c>
      <c r="C432" s="352" t="s">
        <v>719</v>
      </c>
      <c r="F432" s="352" t="s">
        <v>1994</v>
      </c>
      <c r="G432" s="352" t="s">
        <v>2091</v>
      </c>
      <c r="H432" s="352" t="s">
        <v>1441</v>
      </c>
      <c r="I432" s="352" t="s">
        <v>988</v>
      </c>
      <c r="J432" s="352" t="s">
        <v>989</v>
      </c>
      <c r="K432" s="352">
        <v>2122</v>
      </c>
      <c r="L432" s="352" t="s">
        <v>1877</v>
      </c>
      <c r="M432" s="352" t="s">
        <v>2179</v>
      </c>
      <c r="N432" s="352" t="s">
        <v>2076</v>
      </c>
      <c r="O432" s="352">
        <v>8</v>
      </c>
      <c r="P432" s="352" t="s">
        <v>2085</v>
      </c>
      <c r="Q432" s="352" t="s">
        <v>2068</v>
      </c>
      <c r="R432" s="251">
        <v>733.25359777908511</v>
      </c>
      <c r="S432" s="251" t="s">
        <v>2015</v>
      </c>
      <c r="T432" s="251" t="s">
        <v>2016</v>
      </c>
      <c r="U432" s="251" t="s">
        <v>1931</v>
      </c>
      <c r="V432" s="251" t="s">
        <v>1932</v>
      </c>
      <c r="X432" s="251">
        <v>0</v>
      </c>
    </row>
    <row r="433" spans="2:24" x14ac:dyDescent="0.2">
      <c r="B433" s="352" t="s">
        <v>875</v>
      </c>
      <c r="C433" s="352" t="s">
        <v>719</v>
      </c>
      <c r="F433" s="352" t="s">
        <v>1994</v>
      </c>
      <c r="G433" s="352" t="s">
        <v>2091</v>
      </c>
      <c r="H433" s="352" t="s">
        <v>1445</v>
      </c>
      <c r="I433" s="352" t="s">
        <v>990</v>
      </c>
      <c r="J433" s="352" t="s">
        <v>991</v>
      </c>
      <c r="K433" s="352">
        <v>2132</v>
      </c>
      <c r="L433" s="352" t="s">
        <v>1880</v>
      </c>
      <c r="M433" s="352" t="s">
        <v>2180</v>
      </c>
      <c r="N433" s="352" t="s">
        <v>2076</v>
      </c>
      <c r="O433" s="352">
        <v>1</v>
      </c>
      <c r="P433" s="352" t="s">
        <v>2086</v>
      </c>
      <c r="Q433" s="352" t="s">
        <v>2066</v>
      </c>
      <c r="R433" s="251">
        <v>249.34090359025902</v>
      </c>
      <c r="S433" s="251" t="s">
        <v>2015</v>
      </c>
      <c r="T433" s="251" t="s">
        <v>2016</v>
      </c>
      <c r="U433" s="251" t="s">
        <v>1931</v>
      </c>
      <c r="V433" s="251" t="s">
        <v>1932</v>
      </c>
      <c r="X433" s="251">
        <v>0</v>
      </c>
    </row>
    <row r="434" spans="2:24" x14ac:dyDescent="0.2">
      <c r="B434" s="352" t="s">
        <v>875</v>
      </c>
      <c r="C434" s="352" t="s">
        <v>719</v>
      </c>
      <c r="F434" s="352" t="s">
        <v>1994</v>
      </c>
      <c r="G434" s="352" t="s">
        <v>2091</v>
      </c>
      <c r="H434" s="352" t="s">
        <v>1449</v>
      </c>
      <c r="I434" s="352" t="s">
        <v>994</v>
      </c>
      <c r="J434" s="352" t="s">
        <v>995</v>
      </c>
      <c r="K434" s="352">
        <v>2311</v>
      </c>
      <c r="L434" s="352" t="s">
        <v>1887</v>
      </c>
      <c r="M434" s="352" t="s">
        <v>2181</v>
      </c>
      <c r="N434" s="352" t="s">
        <v>2076</v>
      </c>
      <c r="O434" s="352">
        <v>8</v>
      </c>
      <c r="P434" s="352" t="s">
        <v>2085</v>
      </c>
      <c r="Q434" s="352" t="s">
        <v>2068</v>
      </c>
      <c r="R434" s="251">
        <v>0</v>
      </c>
      <c r="S434" s="251" t="s">
        <v>2015</v>
      </c>
      <c r="T434" s="251" t="s">
        <v>2054</v>
      </c>
      <c r="U434" s="251" t="s">
        <v>1943</v>
      </c>
      <c r="V434" s="251" t="s">
        <v>1944</v>
      </c>
      <c r="X434" s="251">
        <v>0</v>
      </c>
    </row>
    <row r="435" spans="2:24" x14ac:dyDescent="0.2">
      <c r="B435" s="352" t="s">
        <v>875</v>
      </c>
      <c r="C435" s="352" t="s">
        <v>719</v>
      </c>
      <c r="F435" s="352" t="s">
        <v>1994</v>
      </c>
      <c r="G435" s="352" t="s">
        <v>2091</v>
      </c>
      <c r="H435" s="352" t="s">
        <v>1453</v>
      </c>
      <c r="I435" s="352" t="s">
        <v>996</v>
      </c>
      <c r="J435" s="352" t="s">
        <v>997</v>
      </c>
      <c r="K435" s="352">
        <v>2311</v>
      </c>
      <c r="L435" s="352" t="s">
        <v>1887</v>
      </c>
      <c r="M435" s="352" t="s">
        <v>2182</v>
      </c>
      <c r="N435" s="352" t="s">
        <v>2076</v>
      </c>
      <c r="O435" s="352">
        <v>8</v>
      </c>
      <c r="P435" s="352" t="s">
        <v>2085</v>
      </c>
      <c r="Q435" s="352" t="s">
        <v>2068</v>
      </c>
      <c r="R435" s="251">
        <v>0</v>
      </c>
      <c r="S435" s="251" t="s">
        <v>2015</v>
      </c>
      <c r="T435" s="251" t="s">
        <v>2054</v>
      </c>
      <c r="U435" s="251" t="s">
        <v>1943</v>
      </c>
      <c r="V435" s="251" t="s">
        <v>1944</v>
      </c>
      <c r="X435" s="251">
        <v>0</v>
      </c>
    </row>
    <row r="436" spans="2:24" x14ac:dyDescent="0.2">
      <c r="B436" s="352" t="s">
        <v>875</v>
      </c>
      <c r="C436" s="352" t="s">
        <v>719</v>
      </c>
      <c r="F436" s="352" t="s">
        <v>1994</v>
      </c>
      <c r="G436" s="352" t="s">
        <v>2091</v>
      </c>
      <c r="H436" s="352" t="s">
        <v>1457</v>
      </c>
      <c r="I436" s="352" t="s">
        <v>998</v>
      </c>
      <c r="J436" s="352" t="s">
        <v>999</v>
      </c>
      <c r="K436" s="352">
        <v>2311</v>
      </c>
      <c r="L436" s="352" t="s">
        <v>1887</v>
      </c>
      <c r="M436" s="352" t="s">
        <v>2183</v>
      </c>
      <c r="N436" s="352" t="s">
        <v>2076</v>
      </c>
      <c r="O436" s="352">
        <v>8</v>
      </c>
      <c r="P436" s="352" t="s">
        <v>2085</v>
      </c>
      <c r="Q436" s="352" t="s">
        <v>2068</v>
      </c>
      <c r="R436" s="251">
        <v>0</v>
      </c>
      <c r="S436" s="251" t="s">
        <v>2015</v>
      </c>
      <c r="T436" s="251" t="s">
        <v>2054</v>
      </c>
      <c r="U436" s="251" t="s">
        <v>1943</v>
      </c>
      <c r="V436" s="251" t="s">
        <v>1944</v>
      </c>
      <c r="X436" s="251">
        <v>0</v>
      </c>
    </row>
    <row r="437" spans="2:24" x14ac:dyDescent="0.2">
      <c r="B437" s="352" t="s">
        <v>875</v>
      </c>
      <c r="C437" s="352" t="s">
        <v>719</v>
      </c>
      <c r="F437" s="352" t="s">
        <v>1994</v>
      </c>
      <c r="G437" s="352" t="s">
        <v>2091</v>
      </c>
      <c r="H437" s="352" t="s">
        <v>1457</v>
      </c>
      <c r="I437" s="352" t="s">
        <v>998</v>
      </c>
      <c r="J437" s="352" t="s">
        <v>999</v>
      </c>
      <c r="K437" s="352">
        <v>2312</v>
      </c>
      <c r="L437" s="352" t="s">
        <v>789</v>
      </c>
      <c r="M437" s="352" t="s">
        <v>2184</v>
      </c>
      <c r="N437" s="352" t="s">
        <v>2076</v>
      </c>
      <c r="O437" s="352">
        <v>8</v>
      </c>
      <c r="P437" s="352" t="s">
        <v>2085</v>
      </c>
      <c r="Q437" s="352" t="s">
        <v>2068</v>
      </c>
      <c r="R437" s="251">
        <v>0</v>
      </c>
      <c r="S437" s="251" t="s">
        <v>2015</v>
      </c>
      <c r="T437" s="251" t="s">
        <v>2054</v>
      </c>
      <c r="U437" s="251" t="s">
        <v>1943</v>
      </c>
      <c r="V437" s="251" t="s">
        <v>1944</v>
      </c>
      <c r="X437" s="251">
        <v>0</v>
      </c>
    </row>
    <row r="438" spans="2:24" x14ac:dyDescent="0.2">
      <c r="B438" s="352" t="s">
        <v>875</v>
      </c>
      <c r="C438" s="352" t="s">
        <v>719</v>
      </c>
      <c r="F438" s="352" t="s">
        <v>1994</v>
      </c>
      <c r="G438" s="352" t="s">
        <v>2091</v>
      </c>
      <c r="H438" s="352" t="s">
        <v>1461</v>
      </c>
      <c r="I438" s="352" t="s">
        <v>1000</v>
      </c>
      <c r="J438" s="352" t="s">
        <v>1001</v>
      </c>
      <c r="K438" s="352">
        <v>2141</v>
      </c>
      <c r="L438" s="352" t="s">
        <v>1882</v>
      </c>
      <c r="M438" s="352" t="s">
        <v>2185</v>
      </c>
      <c r="N438" s="352" t="s">
        <v>2076</v>
      </c>
      <c r="O438" s="352">
        <v>12</v>
      </c>
      <c r="P438" s="352" t="s">
        <v>2087</v>
      </c>
      <c r="Q438" s="352" t="s">
        <v>2070</v>
      </c>
      <c r="R438" s="251">
        <v>269.44761930459919</v>
      </c>
      <c r="S438" s="251" t="s">
        <v>2015</v>
      </c>
      <c r="T438" s="251" t="s">
        <v>2016</v>
      </c>
      <c r="U438" s="251" t="s">
        <v>1935</v>
      </c>
      <c r="V438" s="251" t="s">
        <v>1936</v>
      </c>
      <c r="X438" s="251">
        <v>0</v>
      </c>
    </row>
    <row r="439" spans="2:24" x14ac:dyDescent="0.2">
      <c r="B439" s="352" t="s">
        <v>875</v>
      </c>
      <c r="C439" s="352" t="s">
        <v>719</v>
      </c>
      <c r="F439" s="352" t="s">
        <v>1994</v>
      </c>
      <c r="G439" s="352" t="s">
        <v>2091</v>
      </c>
      <c r="H439" s="352" t="s">
        <v>1461</v>
      </c>
      <c r="I439" s="352" t="s">
        <v>1000</v>
      </c>
      <c r="J439" s="352" t="s">
        <v>1001</v>
      </c>
      <c r="K439" s="352">
        <v>2142</v>
      </c>
      <c r="L439" s="352" t="s">
        <v>780</v>
      </c>
      <c r="M439" s="352" t="s">
        <v>2186</v>
      </c>
      <c r="N439" s="352" t="s">
        <v>2076</v>
      </c>
      <c r="O439" s="352">
        <v>12</v>
      </c>
      <c r="P439" s="352" t="s">
        <v>2087</v>
      </c>
      <c r="Q439" s="352" t="s">
        <v>2070</v>
      </c>
      <c r="R439" s="251">
        <v>225.3902167057866</v>
      </c>
      <c r="S439" s="251" t="s">
        <v>2015</v>
      </c>
      <c r="T439" s="251" t="s">
        <v>2016</v>
      </c>
      <c r="U439" s="251">
        <v>0</v>
      </c>
      <c r="V439" s="251" t="s">
        <v>2153</v>
      </c>
      <c r="X439" s="251">
        <v>0</v>
      </c>
    </row>
    <row r="440" spans="2:24" x14ac:dyDescent="0.2">
      <c r="B440" s="352" t="s">
        <v>875</v>
      </c>
      <c r="C440" s="352" t="s">
        <v>719</v>
      </c>
      <c r="F440" s="352" t="s">
        <v>1994</v>
      </c>
      <c r="G440" s="352" t="s">
        <v>2091</v>
      </c>
      <c r="H440" s="352" t="s">
        <v>1465</v>
      </c>
      <c r="I440" s="352" t="s">
        <v>1002</v>
      </c>
      <c r="J440" s="352" t="s">
        <v>1003</v>
      </c>
      <c r="K440" s="352">
        <v>2113</v>
      </c>
      <c r="L440" s="352" t="s">
        <v>1875</v>
      </c>
      <c r="M440" s="352" t="s">
        <v>2187</v>
      </c>
      <c r="N440" s="352" t="s">
        <v>2076</v>
      </c>
      <c r="O440" s="352">
        <v>1</v>
      </c>
      <c r="P440" s="352" t="s">
        <v>2086</v>
      </c>
      <c r="Q440" s="352" t="s">
        <v>2066</v>
      </c>
      <c r="R440" s="251">
        <v>3.822397499577626</v>
      </c>
      <c r="S440" s="251" t="s">
        <v>2015</v>
      </c>
      <c r="T440" s="251" t="s">
        <v>2016</v>
      </c>
      <c r="U440" s="251" t="s">
        <v>1935</v>
      </c>
      <c r="V440" s="251" t="s">
        <v>1936</v>
      </c>
      <c r="X440" s="251">
        <v>0</v>
      </c>
    </row>
    <row r="441" spans="2:24" x14ac:dyDescent="0.2">
      <c r="B441" s="352" t="s">
        <v>875</v>
      </c>
      <c r="C441" s="352" t="s">
        <v>719</v>
      </c>
      <c r="F441" s="352" t="s">
        <v>1994</v>
      </c>
      <c r="G441" s="352" t="s">
        <v>2091</v>
      </c>
      <c r="H441" s="352" t="s">
        <v>1465</v>
      </c>
      <c r="I441" s="352" t="s">
        <v>1002</v>
      </c>
      <c r="J441" s="352" t="s">
        <v>1003</v>
      </c>
      <c r="K441" s="352">
        <v>2123</v>
      </c>
      <c r="L441" s="352" t="s">
        <v>1878</v>
      </c>
      <c r="M441" s="352" t="s">
        <v>2188</v>
      </c>
      <c r="N441" s="352" t="s">
        <v>2076</v>
      </c>
      <c r="O441" s="352">
        <v>1</v>
      </c>
      <c r="P441" s="352" t="s">
        <v>2086</v>
      </c>
      <c r="Q441" s="352" t="s">
        <v>2066</v>
      </c>
      <c r="R441" s="251">
        <v>45.691954436710823</v>
      </c>
      <c r="S441" s="251" t="s">
        <v>2015</v>
      </c>
      <c r="T441" s="251" t="s">
        <v>2016</v>
      </c>
      <c r="U441" s="251" t="s">
        <v>1935</v>
      </c>
      <c r="V441" s="251" t="s">
        <v>1936</v>
      </c>
      <c r="X441" s="251">
        <v>0</v>
      </c>
    </row>
    <row r="442" spans="2:24" x14ac:dyDescent="0.2">
      <c r="B442" s="352" t="s">
        <v>875</v>
      </c>
      <c r="C442" s="352" t="s">
        <v>719</v>
      </c>
      <c r="F442" s="352" t="s">
        <v>1994</v>
      </c>
      <c r="G442" s="352" t="s">
        <v>2091</v>
      </c>
      <c r="H442" s="352" t="s">
        <v>1469</v>
      </c>
      <c r="I442" s="352" t="s">
        <v>1006</v>
      </c>
      <c r="J442" s="352" t="s">
        <v>1007</v>
      </c>
      <c r="K442" s="352">
        <v>2133</v>
      </c>
      <c r="L442" s="352" t="s">
        <v>1881</v>
      </c>
      <c r="M442" s="352" t="s">
        <v>2189</v>
      </c>
      <c r="N442" s="352" t="s">
        <v>2076</v>
      </c>
      <c r="O442" s="352">
        <v>1</v>
      </c>
      <c r="P442" s="352" t="s">
        <v>2086</v>
      </c>
      <c r="Q442" s="352" t="s">
        <v>2066</v>
      </c>
      <c r="R442" s="251">
        <v>369.60801302258858</v>
      </c>
      <c r="S442" s="251" t="s">
        <v>2015</v>
      </c>
      <c r="T442" s="251" t="s">
        <v>2016</v>
      </c>
      <c r="U442" s="251" t="s">
        <v>1935</v>
      </c>
      <c r="V442" s="251" t="s">
        <v>1936</v>
      </c>
      <c r="X442" s="251">
        <v>0</v>
      </c>
    </row>
    <row r="443" spans="2:24" x14ac:dyDescent="0.2">
      <c r="B443" s="352" t="s">
        <v>875</v>
      </c>
      <c r="C443" s="352" t="s">
        <v>719</v>
      </c>
      <c r="F443" s="352" t="s">
        <v>1994</v>
      </c>
      <c r="G443" s="352" t="s">
        <v>2091</v>
      </c>
      <c r="H443" s="352" t="s">
        <v>1469</v>
      </c>
      <c r="I443" s="352" t="s">
        <v>1006</v>
      </c>
      <c r="J443" s="352" t="s">
        <v>1007</v>
      </c>
      <c r="K443" s="352">
        <v>2141</v>
      </c>
      <c r="L443" s="352" t="s">
        <v>1882</v>
      </c>
      <c r="M443" s="352" t="s">
        <v>2190</v>
      </c>
      <c r="N443" s="352" t="s">
        <v>2076</v>
      </c>
      <c r="O443" s="352">
        <v>1</v>
      </c>
      <c r="P443" s="352" t="s">
        <v>2086</v>
      </c>
      <c r="Q443" s="352" t="s">
        <v>2066</v>
      </c>
      <c r="R443" s="251">
        <v>8.3334315248845119</v>
      </c>
      <c r="S443" s="251" t="s">
        <v>2015</v>
      </c>
      <c r="T443" s="251" t="s">
        <v>2016</v>
      </c>
      <c r="U443" s="251" t="s">
        <v>1935</v>
      </c>
      <c r="V443" s="251" t="s">
        <v>1936</v>
      </c>
      <c r="X443" s="251">
        <v>0</v>
      </c>
    </row>
    <row r="444" spans="2:24" x14ac:dyDescent="0.2">
      <c r="B444" s="352" t="s">
        <v>875</v>
      </c>
      <c r="C444" s="352" t="s">
        <v>719</v>
      </c>
      <c r="F444" s="352" t="s">
        <v>1994</v>
      </c>
      <c r="G444" s="352" t="s">
        <v>2091</v>
      </c>
      <c r="H444" s="352" t="s">
        <v>1469</v>
      </c>
      <c r="I444" s="352" t="s">
        <v>1006</v>
      </c>
      <c r="J444" s="352" t="s">
        <v>1007</v>
      </c>
      <c r="K444" s="352">
        <v>2221</v>
      </c>
      <c r="L444" s="352" t="s">
        <v>1884</v>
      </c>
      <c r="M444" s="352" t="s">
        <v>2191</v>
      </c>
      <c r="N444" s="352" t="s">
        <v>2076</v>
      </c>
      <c r="O444" s="352">
        <v>1</v>
      </c>
      <c r="P444" s="352" t="s">
        <v>2086</v>
      </c>
      <c r="Q444" s="352" t="s">
        <v>2066</v>
      </c>
      <c r="R444" s="251">
        <v>204.41725776054389</v>
      </c>
      <c r="S444" s="251" t="s">
        <v>2015</v>
      </c>
      <c r="T444" s="251" t="s">
        <v>2016</v>
      </c>
      <c r="U444" s="251" t="s">
        <v>1935</v>
      </c>
      <c r="V444" s="251" t="s">
        <v>1936</v>
      </c>
      <c r="X444" s="251">
        <v>0</v>
      </c>
    </row>
    <row r="445" spans="2:24" x14ac:dyDescent="0.2">
      <c r="B445" s="352" t="s">
        <v>875</v>
      </c>
      <c r="C445" s="352" t="s">
        <v>719</v>
      </c>
      <c r="F445" s="352" t="s">
        <v>1994</v>
      </c>
      <c r="G445" s="352" t="s">
        <v>2091</v>
      </c>
      <c r="H445" s="352" t="s">
        <v>1473</v>
      </c>
      <c r="I445" s="352" t="s">
        <v>1008</v>
      </c>
      <c r="J445" s="352" t="s">
        <v>1009</v>
      </c>
      <c r="K445" s="352">
        <v>2223</v>
      </c>
      <c r="L445" s="352" t="s">
        <v>1886</v>
      </c>
      <c r="M445" s="352" t="s">
        <v>2192</v>
      </c>
      <c r="N445" s="352" t="s">
        <v>2076</v>
      </c>
      <c r="O445" s="352">
        <v>2</v>
      </c>
      <c r="P445" s="352" t="s">
        <v>2088</v>
      </c>
      <c r="Q445" s="352" t="s">
        <v>2072</v>
      </c>
      <c r="R445" s="251">
        <v>18.167322982664238</v>
      </c>
      <c r="S445" s="251" t="s">
        <v>2193</v>
      </c>
      <c r="T445" s="251" t="s">
        <v>2213</v>
      </c>
      <c r="U445" s="251" t="s">
        <v>1937</v>
      </c>
      <c r="V445" s="251" t="s">
        <v>1938</v>
      </c>
      <c r="X445" s="251">
        <v>0</v>
      </c>
    </row>
    <row r="446" spans="2:24" x14ac:dyDescent="0.2">
      <c r="B446" s="352" t="s">
        <v>875</v>
      </c>
      <c r="C446" s="352" t="s">
        <v>719</v>
      </c>
      <c r="F446" s="352" t="s">
        <v>1994</v>
      </c>
      <c r="G446" s="352" t="s">
        <v>2091</v>
      </c>
      <c r="H446" s="352" t="s">
        <v>1477</v>
      </c>
      <c r="I446" s="352" t="s">
        <v>1010</v>
      </c>
      <c r="J446" s="352" t="s">
        <v>1011</v>
      </c>
      <c r="K446" s="352">
        <v>2222</v>
      </c>
      <c r="L446" s="352" t="s">
        <v>1885</v>
      </c>
      <c r="M446" s="352" t="s">
        <v>2194</v>
      </c>
      <c r="N446" s="352" t="s">
        <v>2076</v>
      </c>
      <c r="O446" s="352">
        <v>2</v>
      </c>
      <c r="P446" s="352" t="s">
        <v>2088</v>
      </c>
      <c r="Q446" s="352" t="s">
        <v>2072</v>
      </c>
      <c r="R446" s="251">
        <v>0</v>
      </c>
      <c r="S446" s="251" t="s">
        <v>2193</v>
      </c>
      <c r="T446" s="251" t="s">
        <v>2054</v>
      </c>
      <c r="U446" s="251" t="s">
        <v>1939</v>
      </c>
      <c r="V446" s="251" t="s">
        <v>1940</v>
      </c>
      <c r="X446" s="251">
        <v>0</v>
      </c>
    </row>
    <row r="447" spans="2:24" x14ac:dyDescent="0.2">
      <c r="B447" s="352" t="s">
        <v>875</v>
      </c>
      <c r="C447" s="352" t="s">
        <v>719</v>
      </c>
      <c r="F447" s="352" t="s">
        <v>1994</v>
      </c>
      <c r="G447" s="352" t="s">
        <v>2091</v>
      </c>
      <c r="H447" s="352" t="s">
        <v>1481</v>
      </c>
      <c r="I447" s="352" t="s">
        <v>1012</v>
      </c>
      <c r="J447" s="352" t="s">
        <v>1013</v>
      </c>
      <c r="K447" s="352">
        <v>2222</v>
      </c>
      <c r="L447" s="352" t="s">
        <v>1885</v>
      </c>
      <c r="M447" s="352" t="s">
        <v>2195</v>
      </c>
      <c r="N447" s="352" t="s">
        <v>2076</v>
      </c>
      <c r="O447" s="352">
        <v>2</v>
      </c>
      <c r="P447" s="352" t="s">
        <v>2088</v>
      </c>
      <c r="Q447" s="352" t="s">
        <v>2072</v>
      </c>
      <c r="R447" s="251">
        <v>0</v>
      </c>
      <c r="S447" s="251" t="s">
        <v>2193</v>
      </c>
      <c r="T447" s="251" t="s">
        <v>2054</v>
      </c>
      <c r="U447" s="251" t="s">
        <v>1939</v>
      </c>
      <c r="V447" s="251" t="s">
        <v>1940</v>
      </c>
      <c r="X447" s="251">
        <v>0</v>
      </c>
    </row>
    <row r="448" spans="2:24" x14ac:dyDescent="0.2">
      <c r="B448" s="352" t="s">
        <v>875</v>
      </c>
      <c r="C448" s="352" t="s">
        <v>719</v>
      </c>
      <c r="F448" s="352" t="s">
        <v>1994</v>
      </c>
      <c r="G448" s="352" t="s">
        <v>2091</v>
      </c>
      <c r="H448" s="352" t="s">
        <v>1485</v>
      </c>
      <c r="I448" s="352" t="s">
        <v>1014</v>
      </c>
      <c r="J448" s="352" t="s">
        <v>1893</v>
      </c>
      <c r="K448" s="352">
        <v>2131</v>
      </c>
      <c r="L448" s="352" t="s">
        <v>1879</v>
      </c>
      <c r="M448" s="352" t="s">
        <v>2196</v>
      </c>
      <c r="N448" s="352" t="s">
        <v>2076</v>
      </c>
      <c r="O448" s="352">
        <v>8</v>
      </c>
      <c r="P448" s="352" t="s">
        <v>2085</v>
      </c>
      <c r="Q448" s="352" t="s">
        <v>2068</v>
      </c>
      <c r="R448" s="251">
        <v>0</v>
      </c>
      <c r="S448" s="251" t="s">
        <v>2015</v>
      </c>
      <c r="T448" s="251" t="s">
        <v>2054</v>
      </c>
      <c r="U448" s="251" t="s">
        <v>1929</v>
      </c>
      <c r="V448" s="251" t="s">
        <v>1930</v>
      </c>
      <c r="X448" s="251">
        <v>0</v>
      </c>
    </row>
    <row r="449" spans="2:24" x14ac:dyDescent="0.2">
      <c r="B449" s="352" t="s">
        <v>875</v>
      </c>
      <c r="C449" s="352" t="s">
        <v>719</v>
      </c>
      <c r="F449" s="352" t="s">
        <v>1994</v>
      </c>
      <c r="G449" s="352" t="s">
        <v>2091</v>
      </c>
      <c r="H449" s="352" t="s">
        <v>1485</v>
      </c>
      <c r="I449" s="352" t="s">
        <v>1014</v>
      </c>
      <c r="J449" s="352" t="s">
        <v>1893</v>
      </c>
      <c r="K449" s="352">
        <v>2132</v>
      </c>
      <c r="L449" s="352" t="s">
        <v>1880</v>
      </c>
      <c r="M449" s="352" t="s">
        <v>2197</v>
      </c>
      <c r="N449" s="352" t="s">
        <v>2076</v>
      </c>
      <c r="O449" s="352">
        <v>8</v>
      </c>
      <c r="P449" s="352" t="s">
        <v>2085</v>
      </c>
      <c r="Q449" s="352" t="s">
        <v>2068</v>
      </c>
      <c r="R449" s="251">
        <v>0</v>
      </c>
      <c r="S449" s="251" t="s">
        <v>2015</v>
      </c>
      <c r="T449" s="251" t="s">
        <v>2054</v>
      </c>
      <c r="U449" s="251" t="s">
        <v>1931</v>
      </c>
      <c r="V449" s="251" t="s">
        <v>1932</v>
      </c>
      <c r="X449" s="251">
        <v>0</v>
      </c>
    </row>
    <row r="450" spans="2:24" x14ac:dyDescent="0.2">
      <c r="B450" s="352" t="s">
        <v>875</v>
      </c>
      <c r="C450" s="352" t="s">
        <v>719</v>
      </c>
      <c r="F450" s="352" t="s">
        <v>1994</v>
      </c>
      <c r="G450" s="352" t="s">
        <v>2091</v>
      </c>
      <c r="H450" s="352" t="s">
        <v>1485</v>
      </c>
      <c r="I450" s="352" t="s">
        <v>1014</v>
      </c>
      <c r="J450" s="352" t="s">
        <v>1893</v>
      </c>
      <c r="K450" s="352">
        <v>2133</v>
      </c>
      <c r="L450" s="352" t="s">
        <v>1881</v>
      </c>
      <c r="M450" s="352" t="s">
        <v>2198</v>
      </c>
      <c r="N450" s="352" t="s">
        <v>2076</v>
      </c>
      <c r="O450" s="352">
        <v>8</v>
      </c>
      <c r="P450" s="352" t="s">
        <v>2085</v>
      </c>
      <c r="Q450" s="352" t="s">
        <v>2068</v>
      </c>
      <c r="R450" s="251">
        <v>0</v>
      </c>
      <c r="S450" s="251" t="s">
        <v>2015</v>
      </c>
      <c r="T450" s="251" t="s">
        <v>2054</v>
      </c>
      <c r="U450" s="251" t="s">
        <v>1935</v>
      </c>
      <c r="V450" s="251" t="s">
        <v>1936</v>
      </c>
      <c r="X450" s="251">
        <v>0</v>
      </c>
    </row>
    <row r="451" spans="2:24" x14ac:dyDescent="0.2">
      <c r="B451" s="352" t="s">
        <v>875</v>
      </c>
      <c r="C451" s="352" t="s">
        <v>719</v>
      </c>
      <c r="F451" s="352" t="s">
        <v>1994</v>
      </c>
      <c r="G451" s="352" t="s">
        <v>2091</v>
      </c>
      <c r="H451" s="352" t="s">
        <v>1485</v>
      </c>
      <c r="I451" s="352" t="s">
        <v>1014</v>
      </c>
      <c r="J451" s="352" t="s">
        <v>1893</v>
      </c>
      <c r="K451" s="352">
        <v>2134</v>
      </c>
      <c r="L451" s="352" t="s">
        <v>775</v>
      </c>
      <c r="M451" s="352" t="s">
        <v>2199</v>
      </c>
      <c r="N451" s="352" t="s">
        <v>2076</v>
      </c>
      <c r="O451" s="352">
        <v>8</v>
      </c>
      <c r="P451" s="352" t="s">
        <v>2085</v>
      </c>
      <c r="Q451" s="352" t="s">
        <v>2068</v>
      </c>
      <c r="R451" s="251">
        <v>0</v>
      </c>
      <c r="S451" s="251" t="s">
        <v>2015</v>
      </c>
      <c r="T451" s="251" t="s">
        <v>2054</v>
      </c>
      <c r="U451" s="251">
        <v>0</v>
      </c>
      <c r="V451" s="251" t="s">
        <v>2153</v>
      </c>
      <c r="X451" s="251">
        <v>0</v>
      </c>
    </row>
    <row r="452" spans="2:24" x14ac:dyDescent="0.2">
      <c r="B452" s="352" t="s">
        <v>875</v>
      </c>
      <c r="C452" s="352" t="s">
        <v>719</v>
      </c>
      <c r="F452" s="352" t="s">
        <v>1994</v>
      </c>
      <c r="G452" s="352" t="s">
        <v>2091</v>
      </c>
      <c r="H452" s="352" t="s">
        <v>1485</v>
      </c>
      <c r="I452" s="352" t="s">
        <v>1014</v>
      </c>
      <c r="J452" s="352" t="s">
        <v>1893</v>
      </c>
      <c r="K452" s="352">
        <v>2141</v>
      </c>
      <c r="L452" s="352" t="s">
        <v>1882</v>
      </c>
      <c r="M452" s="352" t="s">
        <v>2200</v>
      </c>
      <c r="N452" s="352" t="s">
        <v>2076</v>
      </c>
      <c r="O452" s="352">
        <v>8</v>
      </c>
      <c r="P452" s="352" t="s">
        <v>2085</v>
      </c>
      <c r="Q452" s="352" t="s">
        <v>2068</v>
      </c>
      <c r="R452" s="251">
        <v>0</v>
      </c>
      <c r="S452" s="251" t="s">
        <v>2015</v>
      </c>
      <c r="T452" s="251" t="s">
        <v>2054</v>
      </c>
      <c r="U452" s="251" t="s">
        <v>1935</v>
      </c>
      <c r="V452" s="251" t="s">
        <v>1936</v>
      </c>
      <c r="X452" s="251">
        <v>0</v>
      </c>
    </row>
    <row r="453" spans="2:24" x14ac:dyDescent="0.2">
      <c r="B453" s="352" t="s">
        <v>875</v>
      </c>
      <c r="C453" s="352" t="s">
        <v>719</v>
      </c>
      <c r="F453" s="352" t="s">
        <v>1994</v>
      </c>
      <c r="G453" s="352" t="s">
        <v>2091</v>
      </c>
      <c r="H453" s="352" t="s">
        <v>1485</v>
      </c>
      <c r="I453" s="352" t="s">
        <v>1014</v>
      </c>
      <c r="J453" s="352" t="s">
        <v>1893</v>
      </c>
      <c r="K453" s="352">
        <v>2211</v>
      </c>
      <c r="L453" s="352" t="s">
        <v>1883</v>
      </c>
      <c r="M453" s="352" t="s">
        <v>2201</v>
      </c>
      <c r="N453" s="352" t="s">
        <v>2076</v>
      </c>
      <c r="O453" s="352">
        <v>8</v>
      </c>
      <c r="P453" s="352" t="s">
        <v>2085</v>
      </c>
      <c r="Q453" s="352" t="s">
        <v>2068</v>
      </c>
      <c r="R453" s="251">
        <v>0</v>
      </c>
      <c r="S453" s="251" t="s">
        <v>2015</v>
      </c>
      <c r="T453" s="251" t="s">
        <v>2054</v>
      </c>
      <c r="U453" s="251" t="s">
        <v>1929</v>
      </c>
      <c r="V453" s="251" t="s">
        <v>1930</v>
      </c>
      <c r="X453" s="251">
        <v>0</v>
      </c>
    </row>
    <row r="454" spans="2:24" x14ac:dyDescent="0.2">
      <c r="B454" s="352" t="s">
        <v>875</v>
      </c>
      <c r="C454" s="352" t="s">
        <v>719</v>
      </c>
      <c r="F454" s="352" t="s">
        <v>1994</v>
      </c>
      <c r="G454" s="352" t="s">
        <v>2091</v>
      </c>
      <c r="H454" s="352" t="s">
        <v>1485</v>
      </c>
      <c r="I454" s="352" t="s">
        <v>1014</v>
      </c>
      <c r="J454" s="352" t="s">
        <v>1893</v>
      </c>
      <c r="K454" s="352">
        <v>2221</v>
      </c>
      <c r="L454" s="352" t="s">
        <v>1884</v>
      </c>
      <c r="M454" s="352" t="s">
        <v>2202</v>
      </c>
      <c r="N454" s="352" t="s">
        <v>2076</v>
      </c>
      <c r="O454" s="352">
        <v>8</v>
      </c>
      <c r="P454" s="352" t="s">
        <v>2085</v>
      </c>
      <c r="Q454" s="352" t="s">
        <v>2068</v>
      </c>
      <c r="R454" s="251">
        <v>0</v>
      </c>
      <c r="S454" s="251" t="s">
        <v>2015</v>
      </c>
      <c r="T454" s="251" t="s">
        <v>2054</v>
      </c>
      <c r="U454" s="251" t="s">
        <v>1935</v>
      </c>
      <c r="V454" s="251" t="s">
        <v>1936</v>
      </c>
      <c r="X454" s="251">
        <v>0</v>
      </c>
    </row>
    <row r="455" spans="2:24" x14ac:dyDescent="0.2">
      <c r="B455" s="352" t="s">
        <v>875</v>
      </c>
      <c r="C455" s="352" t="s">
        <v>719</v>
      </c>
      <c r="F455" s="352" t="s">
        <v>1994</v>
      </c>
      <c r="G455" s="352" t="s">
        <v>2091</v>
      </c>
      <c r="H455" s="352" t="s">
        <v>1489</v>
      </c>
      <c r="I455" s="352" t="s">
        <v>1015</v>
      </c>
      <c r="J455" s="352" t="s">
        <v>1016</v>
      </c>
      <c r="K455" s="352">
        <v>3111</v>
      </c>
      <c r="L455" s="352" t="s">
        <v>763</v>
      </c>
      <c r="M455" s="352" t="s">
        <v>2203</v>
      </c>
      <c r="N455" s="352" t="s">
        <v>2076</v>
      </c>
      <c r="O455" s="352">
        <v>1</v>
      </c>
      <c r="P455" s="352" t="s">
        <v>2086</v>
      </c>
      <c r="Q455" s="352" t="s">
        <v>2066</v>
      </c>
      <c r="R455" s="251">
        <v>0</v>
      </c>
      <c r="S455" s="251"/>
      <c r="T455" s="251" t="s">
        <v>2054</v>
      </c>
      <c r="U455" s="251" t="s">
        <v>1945</v>
      </c>
      <c r="V455" s="251" t="s">
        <v>709</v>
      </c>
      <c r="X455" s="251">
        <v>0</v>
      </c>
    </row>
    <row r="456" spans="2:24" x14ac:dyDescent="0.2">
      <c r="B456" s="352" t="s">
        <v>875</v>
      </c>
      <c r="C456" s="352" t="s">
        <v>719</v>
      </c>
      <c r="F456" s="352" t="s">
        <v>1994</v>
      </c>
      <c r="G456" s="352" t="s">
        <v>2091</v>
      </c>
      <c r="H456" s="352" t="s">
        <v>1489</v>
      </c>
      <c r="I456" s="352" t="s">
        <v>1015</v>
      </c>
      <c r="J456" s="352" t="s">
        <v>1016</v>
      </c>
      <c r="K456" s="352">
        <v>3121</v>
      </c>
      <c r="L456" s="352" t="s">
        <v>766</v>
      </c>
      <c r="M456" s="352" t="s">
        <v>2204</v>
      </c>
      <c r="N456" s="352" t="s">
        <v>2076</v>
      </c>
      <c r="O456" s="352">
        <v>1</v>
      </c>
      <c r="P456" s="352" t="s">
        <v>2086</v>
      </c>
      <c r="Q456" s="352" t="s">
        <v>2066</v>
      </c>
      <c r="R456" s="251">
        <v>0</v>
      </c>
      <c r="S456" s="251"/>
      <c r="T456" s="251" t="s">
        <v>2054</v>
      </c>
      <c r="U456" s="251" t="s">
        <v>1945</v>
      </c>
      <c r="V456" s="251" t="s">
        <v>709</v>
      </c>
      <c r="X456" s="251">
        <v>0</v>
      </c>
    </row>
    <row r="457" spans="2:24" x14ac:dyDescent="0.2">
      <c r="B457" s="352" t="s">
        <v>875</v>
      </c>
      <c r="C457" s="352" t="s">
        <v>719</v>
      </c>
      <c r="F457" s="352" t="s">
        <v>1994</v>
      </c>
      <c r="G457" s="352" t="s">
        <v>2091</v>
      </c>
      <c r="H457" s="352" t="s">
        <v>1493</v>
      </c>
      <c r="I457" s="352" t="s">
        <v>1017</v>
      </c>
      <c r="J457" s="352" t="s">
        <v>1018</v>
      </c>
      <c r="K457" s="352">
        <v>4111</v>
      </c>
      <c r="L457" s="352" t="s">
        <v>770</v>
      </c>
      <c r="M457" s="352" t="s">
        <v>2205</v>
      </c>
      <c r="N457" s="352" t="s">
        <v>2076</v>
      </c>
      <c r="O457" s="352">
        <v>11</v>
      </c>
      <c r="P457" s="352" t="s">
        <v>2084</v>
      </c>
      <c r="Q457" s="352" t="s">
        <v>2064</v>
      </c>
      <c r="R457" s="251">
        <v>133.23714723706206</v>
      </c>
      <c r="S457" s="251" t="s">
        <v>2015</v>
      </c>
      <c r="T457" s="251" t="s">
        <v>2016</v>
      </c>
      <c r="U457" s="251" t="s">
        <v>1946</v>
      </c>
      <c r="V457" s="251" t="s">
        <v>1947</v>
      </c>
      <c r="X457" s="251">
        <v>0</v>
      </c>
    </row>
    <row r="458" spans="2:24" x14ac:dyDescent="0.2">
      <c r="B458" s="352" t="s">
        <v>875</v>
      </c>
      <c r="C458" s="352" t="s">
        <v>719</v>
      </c>
      <c r="F458" s="352" t="s">
        <v>1994</v>
      </c>
      <c r="G458" s="352" t="s">
        <v>2091</v>
      </c>
      <c r="H458" s="352" t="s">
        <v>1493</v>
      </c>
      <c r="I458" s="352" t="s">
        <v>1017</v>
      </c>
      <c r="J458" s="352" t="s">
        <v>1018</v>
      </c>
      <c r="K458" s="352">
        <v>4121</v>
      </c>
      <c r="L458" s="352" t="s">
        <v>772</v>
      </c>
      <c r="M458" s="352" t="s">
        <v>2206</v>
      </c>
      <c r="N458" s="352" t="s">
        <v>2076</v>
      </c>
      <c r="O458" s="352">
        <v>11</v>
      </c>
      <c r="P458" s="352" t="s">
        <v>2084</v>
      </c>
      <c r="Q458" s="352" t="s">
        <v>2064</v>
      </c>
      <c r="R458" s="251">
        <v>160.5356858589391</v>
      </c>
      <c r="S458" s="251" t="s">
        <v>2015</v>
      </c>
      <c r="T458" s="251" t="s">
        <v>2016</v>
      </c>
      <c r="U458" s="251" t="s">
        <v>1946</v>
      </c>
      <c r="V458" s="251" t="s">
        <v>1947</v>
      </c>
      <c r="X458" s="251">
        <v>0</v>
      </c>
    </row>
    <row r="459" spans="2:24" x14ac:dyDescent="0.2">
      <c r="B459" s="352" t="s">
        <v>875</v>
      </c>
      <c r="C459" s="352" t="s">
        <v>719</v>
      </c>
      <c r="F459" s="352" t="s">
        <v>1994</v>
      </c>
      <c r="G459" s="352" t="s">
        <v>2091</v>
      </c>
      <c r="H459" s="352" t="s">
        <v>1497</v>
      </c>
      <c r="I459" s="352" t="s">
        <v>1019</v>
      </c>
      <c r="J459" s="352" t="s">
        <v>1020</v>
      </c>
      <c r="K459" s="352">
        <v>4231</v>
      </c>
      <c r="L459" s="352" t="s">
        <v>774</v>
      </c>
      <c r="M459" s="352" t="s">
        <v>2207</v>
      </c>
      <c r="N459" s="352" t="s">
        <v>2076</v>
      </c>
      <c r="O459" s="352">
        <v>1</v>
      </c>
      <c r="P459" s="352" t="s">
        <v>2086</v>
      </c>
      <c r="Q459" s="352" t="s">
        <v>2066</v>
      </c>
      <c r="R459" s="251">
        <v>2013.1369821823396</v>
      </c>
      <c r="S459" s="251" t="s">
        <v>2015</v>
      </c>
      <c r="T459" s="251" t="s">
        <v>2016</v>
      </c>
      <c r="U459" s="251" t="s">
        <v>1948</v>
      </c>
      <c r="V459" s="251" t="s">
        <v>1949</v>
      </c>
      <c r="X459" s="251">
        <v>0</v>
      </c>
    </row>
    <row r="460" spans="2:24" x14ac:dyDescent="0.2">
      <c r="B460" s="352" t="s">
        <v>875</v>
      </c>
      <c r="C460" s="352" t="s">
        <v>719</v>
      </c>
      <c r="F460" s="352" t="s">
        <v>1994</v>
      </c>
      <c r="G460" s="352" t="s">
        <v>2091</v>
      </c>
      <c r="H460" s="352" t="s">
        <v>1497</v>
      </c>
      <c r="I460" s="352" t="s">
        <v>1019</v>
      </c>
      <c r="J460" s="352" t="s">
        <v>1020</v>
      </c>
      <c r="K460" s="352">
        <v>4241</v>
      </c>
      <c r="L460" s="352" t="s">
        <v>777</v>
      </c>
      <c r="M460" s="352" t="s">
        <v>2208</v>
      </c>
      <c r="N460" s="352" t="s">
        <v>2076</v>
      </c>
      <c r="O460" s="352">
        <v>1</v>
      </c>
      <c r="P460" s="352" t="s">
        <v>2086</v>
      </c>
      <c r="Q460" s="352" t="s">
        <v>2066</v>
      </c>
      <c r="R460" s="251">
        <v>87.906906018494652</v>
      </c>
      <c r="S460" s="251" t="s">
        <v>2015</v>
      </c>
      <c r="T460" s="251" t="s">
        <v>2016</v>
      </c>
      <c r="U460" s="251" t="s">
        <v>1950</v>
      </c>
      <c r="V460" s="251" t="s">
        <v>1951</v>
      </c>
      <c r="X460" s="251">
        <v>0</v>
      </c>
    </row>
    <row r="461" spans="2:24" x14ac:dyDescent="0.2">
      <c r="B461" s="352" t="s">
        <v>875</v>
      </c>
      <c r="C461" s="352" t="s">
        <v>719</v>
      </c>
      <c r="F461" s="352" t="s">
        <v>1994</v>
      </c>
      <c r="G461" s="352" t="s">
        <v>2091</v>
      </c>
      <c r="H461" s="352" t="s">
        <v>1497</v>
      </c>
      <c r="I461" s="352" t="s">
        <v>1019</v>
      </c>
      <c r="J461" s="352" t="s">
        <v>1020</v>
      </c>
      <c r="K461" s="352">
        <v>4311</v>
      </c>
      <c r="L461" s="352" t="s">
        <v>779</v>
      </c>
      <c r="M461" s="352" t="s">
        <v>2209</v>
      </c>
      <c r="N461" s="352" t="s">
        <v>2076</v>
      </c>
      <c r="O461" s="352">
        <v>1</v>
      </c>
      <c r="P461" s="352" t="s">
        <v>2086</v>
      </c>
      <c r="Q461" s="352" t="s">
        <v>2066</v>
      </c>
      <c r="R461" s="251">
        <v>2.5854028911360016</v>
      </c>
      <c r="S461" s="251" t="s">
        <v>2015</v>
      </c>
      <c r="T461" s="251" t="s">
        <v>2016</v>
      </c>
      <c r="U461" s="251" t="s">
        <v>1952</v>
      </c>
      <c r="V461" s="251" t="s">
        <v>1953</v>
      </c>
      <c r="X461" s="251">
        <v>0</v>
      </c>
    </row>
    <row r="462" spans="2:24" x14ac:dyDescent="0.2">
      <c r="B462" s="352" t="s">
        <v>875</v>
      </c>
      <c r="C462" s="352" t="s">
        <v>719</v>
      </c>
      <c r="F462" s="352" t="s">
        <v>1994</v>
      </c>
      <c r="G462" s="352" t="s">
        <v>2091</v>
      </c>
      <c r="H462" s="352" t="s">
        <v>1501</v>
      </c>
      <c r="I462" s="352" t="s">
        <v>1021</v>
      </c>
      <c r="J462" s="352" t="s">
        <v>751</v>
      </c>
      <c r="K462" s="352">
        <v>4231</v>
      </c>
      <c r="L462" s="352" t="s">
        <v>774</v>
      </c>
      <c r="M462" s="352" t="s">
        <v>2210</v>
      </c>
      <c r="N462" s="352" t="s">
        <v>2076</v>
      </c>
      <c r="O462" s="352">
        <v>20</v>
      </c>
      <c r="P462" s="352" t="s">
        <v>2089</v>
      </c>
      <c r="Q462" s="352" t="s">
        <v>2074</v>
      </c>
      <c r="R462" s="251">
        <v>63.572746805758094</v>
      </c>
      <c r="S462" s="251" t="s">
        <v>2015</v>
      </c>
      <c r="T462" s="251" t="s">
        <v>2016</v>
      </c>
      <c r="U462" s="251" t="s">
        <v>1948</v>
      </c>
      <c r="V462" s="251" t="s">
        <v>1949</v>
      </c>
      <c r="X462" s="251">
        <v>0</v>
      </c>
    </row>
    <row r="463" spans="2:24" x14ac:dyDescent="0.2">
      <c r="B463" s="352" t="s">
        <v>875</v>
      </c>
      <c r="C463" s="352" t="s">
        <v>719</v>
      </c>
      <c r="F463" s="352" t="s">
        <v>1994</v>
      </c>
      <c r="G463" s="352" t="s">
        <v>2091</v>
      </c>
      <c r="H463" s="352" t="s">
        <v>1501</v>
      </c>
      <c r="I463" s="352" t="s">
        <v>1021</v>
      </c>
      <c r="J463" s="352" t="s">
        <v>751</v>
      </c>
      <c r="K463" s="352">
        <v>4241</v>
      </c>
      <c r="L463" s="352" t="s">
        <v>777</v>
      </c>
      <c r="M463" s="352" t="s">
        <v>2211</v>
      </c>
      <c r="N463" s="352" t="s">
        <v>2076</v>
      </c>
      <c r="O463" s="352">
        <v>20</v>
      </c>
      <c r="P463" s="352" t="s">
        <v>2089</v>
      </c>
      <c r="Q463" s="352" t="s">
        <v>2074</v>
      </c>
      <c r="R463" s="251">
        <v>2783.7186905856643</v>
      </c>
      <c r="S463" s="251" t="s">
        <v>2015</v>
      </c>
      <c r="T463" s="251" t="s">
        <v>2016</v>
      </c>
      <c r="U463" s="251" t="s">
        <v>1950</v>
      </c>
      <c r="V463" s="251" t="s">
        <v>1951</v>
      </c>
      <c r="X463" s="251">
        <v>0</v>
      </c>
    </row>
    <row r="464" spans="2:24" x14ac:dyDescent="0.2">
      <c r="B464" s="352" t="s">
        <v>875</v>
      </c>
      <c r="C464" s="352" t="s">
        <v>719</v>
      </c>
      <c r="F464" s="352" t="s">
        <v>1994</v>
      </c>
      <c r="G464" s="352" t="s">
        <v>2091</v>
      </c>
      <c r="H464" s="352" t="s">
        <v>1501</v>
      </c>
      <c r="I464" s="352" t="s">
        <v>1021</v>
      </c>
      <c r="J464" s="352" t="s">
        <v>751</v>
      </c>
      <c r="K464" s="352">
        <v>4311</v>
      </c>
      <c r="L464" s="352" t="s">
        <v>779</v>
      </c>
      <c r="M464" s="352" t="s">
        <v>2212</v>
      </c>
      <c r="N464" s="352" t="s">
        <v>2076</v>
      </c>
      <c r="O464" s="352">
        <v>20</v>
      </c>
      <c r="P464" s="352" t="s">
        <v>2089</v>
      </c>
      <c r="Q464" s="352" t="s">
        <v>2074</v>
      </c>
      <c r="R464" s="251">
        <v>81.871091552640038</v>
      </c>
      <c r="S464" s="251" t="s">
        <v>2015</v>
      </c>
      <c r="T464" s="251" t="s">
        <v>2016</v>
      </c>
      <c r="U464" s="251" t="s">
        <v>1952</v>
      </c>
      <c r="V464" s="251" t="s">
        <v>1953</v>
      </c>
      <c r="X464" s="251">
        <v>0</v>
      </c>
    </row>
    <row r="465" spans="2:24" x14ac:dyDescent="0.2">
      <c r="B465" s="352" t="s">
        <v>875</v>
      </c>
      <c r="C465" s="352" t="s">
        <v>754</v>
      </c>
      <c r="F465" s="352" t="s">
        <v>1999</v>
      </c>
      <c r="G465" s="352" t="s">
        <v>2119</v>
      </c>
      <c r="H465" s="352" t="s">
        <v>1640</v>
      </c>
      <c r="I465" s="352" t="s">
        <v>969</v>
      </c>
      <c r="J465" s="352" t="s">
        <v>970</v>
      </c>
      <c r="K465" s="352">
        <v>1111</v>
      </c>
      <c r="L465" s="352" t="s">
        <v>699</v>
      </c>
      <c r="M465" s="352" t="s">
        <v>2147</v>
      </c>
      <c r="N465" s="352" t="s">
        <v>2048</v>
      </c>
      <c r="O465" s="352">
        <v>6</v>
      </c>
      <c r="P465" s="352" t="s">
        <v>2049</v>
      </c>
      <c r="Q465" s="352" t="s">
        <v>2050</v>
      </c>
      <c r="R465" s="251">
        <v>18809.189368531246</v>
      </c>
      <c r="S465" s="251" t="s">
        <v>2015</v>
      </c>
      <c r="T465" s="251" t="s">
        <v>2016</v>
      </c>
      <c r="U465" s="251" t="s">
        <v>1914</v>
      </c>
      <c r="V465" s="251" t="s">
        <v>1915</v>
      </c>
      <c r="X465" s="251">
        <v>0</v>
      </c>
    </row>
    <row r="466" spans="2:24" x14ac:dyDescent="0.2">
      <c r="B466" s="352" t="s">
        <v>875</v>
      </c>
      <c r="C466" s="352" t="s">
        <v>754</v>
      </c>
      <c r="F466" s="352" t="s">
        <v>1999</v>
      </c>
      <c r="G466" s="352" t="s">
        <v>2119</v>
      </c>
      <c r="H466" s="352" t="s">
        <v>1640</v>
      </c>
      <c r="I466" s="352" t="s">
        <v>969</v>
      </c>
      <c r="J466" s="352" t="s">
        <v>970</v>
      </c>
      <c r="K466" s="352">
        <v>1231</v>
      </c>
      <c r="L466" s="352" t="s">
        <v>726</v>
      </c>
      <c r="M466" s="352" t="s">
        <v>2148</v>
      </c>
      <c r="N466" s="352" t="s">
        <v>2048</v>
      </c>
      <c r="O466" s="352">
        <v>6</v>
      </c>
      <c r="P466" s="352" t="s">
        <v>2049</v>
      </c>
      <c r="Q466" s="352" t="s">
        <v>2050</v>
      </c>
      <c r="R466" s="251">
        <v>0</v>
      </c>
      <c r="S466" s="251" t="s">
        <v>2015</v>
      </c>
      <c r="T466" s="251" t="s">
        <v>2054</v>
      </c>
      <c r="U466" s="251" t="s">
        <v>1920</v>
      </c>
      <c r="V466" s="251" t="s">
        <v>726</v>
      </c>
      <c r="X466" s="251">
        <v>0</v>
      </c>
    </row>
    <row r="467" spans="2:24" x14ac:dyDescent="0.2">
      <c r="B467" s="352" t="s">
        <v>875</v>
      </c>
      <c r="C467" s="352" t="s">
        <v>754</v>
      </c>
      <c r="F467" s="352" t="s">
        <v>1999</v>
      </c>
      <c r="G467" s="352" t="s">
        <v>2119</v>
      </c>
      <c r="H467" s="352" t="s">
        <v>1645</v>
      </c>
      <c r="I467" s="352" t="s">
        <v>971</v>
      </c>
      <c r="J467" s="352" t="s">
        <v>972</v>
      </c>
      <c r="K467" s="352">
        <v>1211</v>
      </c>
      <c r="L467" s="352" t="s">
        <v>705</v>
      </c>
      <c r="M467" s="352" t="s">
        <v>2149</v>
      </c>
      <c r="N467" s="352" t="s">
        <v>2048</v>
      </c>
      <c r="O467" s="352">
        <v>6</v>
      </c>
      <c r="P467" s="352" t="s">
        <v>2049</v>
      </c>
      <c r="Q467" s="352" t="s">
        <v>2050</v>
      </c>
      <c r="R467" s="251">
        <v>1121.1440925045511</v>
      </c>
      <c r="S467" s="251" t="s">
        <v>2015</v>
      </c>
      <c r="T467" s="251" t="s">
        <v>2016</v>
      </c>
      <c r="U467" s="251" t="s">
        <v>1916</v>
      </c>
      <c r="V467" s="251" t="s">
        <v>1917</v>
      </c>
      <c r="X467" s="251">
        <v>0</v>
      </c>
    </row>
    <row r="468" spans="2:24" x14ac:dyDescent="0.2">
      <c r="B468" s="352" t="s">
        <v>875</v>
      </c>
      <c r="C468" s="352" t="s">
        <v>754</v>
      </c>
      <c r="F468" s="352" t="s">
        <v>1999</v>
      </c>
      <c r="G468" s="352" t="s">
        <v>2119</v>
      </c>
      <c r="H468" s="352" t="s">
        <v>1650</v>
      </c>
      <c r="I468" s="352" t="s">
        <v>973</v>
      </c>
      <c r="J468" s="352" t="s">
        <v>974</v>
      </c>
      <c r="K468" s="352">
        <v>1211</v>
      </c>
      <c r="L468" s="352" t="s">
        <v>705</v>
      </c>
      <c r="M468" s="352" t="s">
        <v>2150</v>
      </c>
      <c r="N468" s="352" t="s">
        <v>2048</v>
      </c>
      <c r="O468" s="352">
        <v>6</v>
      </c>
      <c r="P468" s="352" t="s">
        <v>2049</v>
      </c>
      <c r="Q468" s="352" t="s">
        <v>2050</v>
      </c>
      <c r="R468" s="251">
        <v>0</v>
      </c>
      <c r="S468" s="251" t="s">
        <v>2015</v>
      </c>
      <c r="T468" s="251" t="s">
        <v>2054</v>
      </c>
      <c r="U468" s="251" t="s">
        <v>1916</v>
      </c>
      <c r="V468" s="251" t="s">
        <v>1917</v>
      </c>
      <c r="X468" s="251">
        <v>0</v>
      </c>
    </row>
    <row r="469" spans="2:24" x14ac:dyDescent="0.2">
      <c r="B469" s="352" t="s">
        <v>875</v>
      </c>
      <c r="C469" s="352" t="s">
        <v>754</v>
      </c>
      <c r="F469" s="352" t="s">
        <v>1999</v>
      </c>
      <c r="G469" s="352" t="s">
        <v>2119</v>
      </c>
      <c r="H469" s="352" t="s">
        <v>1650</v>
      </c>
      <c r="I469" s="352" t="s">
        <v>973</v>
      </c>
      <c r="J469" s="352" t="s">
        <v>974</v>
      </c>
      <c r="K469" s="352">
        <v>1221</v>
      </c>
      <c r="L469" s="352" t="s">
        <v>711</v>
      </c>
      <c r="M469" s="352" t="s">
        <v>2151</v>
      </c>
      <c r="N469" s="352" t="s">
        <v>2048</v>
      </c>
      <c r="O469" s="352">
        <v>6</v>
      </c>
      <c r="P469" s="352" t="s">
        <v>2049</v>
      </c>
      <c r="Q469" s="352" t="s">
        <v>2050</v>
      </c>
      <c r="R469" s="251">
        <v>1412.1386258716675</v>
      </c>
      <c r="S469" s="251" t="s">
        <v>2015</v>
      </c>
      <c r="T469" s="251" t="s">
        <v>2016</v>
      </c>
      <c r="U469" s="251" t="s">
        <v>1918</v>
      </c>
      <c r="V469" s="251" t="s">
        <v>1919</v>
      </c>
      <c r="X469" s="251">
        <v>0</v>
      </c>
    </row>
    <row r="470" spans="2:24" x14ac:dyDescent="0.2">
      <c r="B470" s="352" t="s">
        <v>875</v>
      </c>
      <c r="C470" s="352" t="s">
        <v>754</v>
      </c>
      <c r="F470" s="352" t="s">
        <v>1999</v>
      </c>
      <c r="G470" s="352" t="s">
        <v>2119</v>
      </c>
      <c r="H470" s="352" t="s">
        <v>1650</v>
      </c>
      <c r="I470" s="352" t="s">
        <v>973</v>
      </c>
      <c r="J470" s="352" t="s">
        <v>974</v>
      </c>
      <c r="K470" s="352">
        <v>1222</v>
      </c>
      <c r="L470" s="352" t="s">
        <v>718</v>
      </c>
      <c r="M470" s="352" t="s">
        <v>2152</v>
      </c>
      <c r="N470" s="352" t="s">
        <v>2048</v>
      </c>
      <c r="O470" s="352">
        <v>6</v>
      </c>
      <c r="P470" s="352" t="s">
        <v>2049</v>
      </c>
      <c r="Q470" s="352" t="s">
        <v>2050</v>
      </c>
      <c r="R470" s="251">
        <v>74.323085572193037</v>
      </c>
      <c r="S470" s="251" t="s">
        <v>2015</v>
      </c>
      <c r="T470" s="251" t="s">
        <v>2016</v>
      </c>
      <c r="U470" s="251">
        <v>0</v>
      </c>
      <c r="V470" s="251" t="s">
        <v>2153</v>
      </c>
      <c r="X470" s="251">
        <v>0</v>
      </c>
    </row>
    <row r="471" spans="2:24" x14ac:dyDescent="0.2">
      <c r="B471" s="352" t="s">
        <v>875</v>
      </c>
      <c r="C471" s="352" t="s">
        <v>754</v>
      </c>
      <c r="F471" s="352" t="s">
        <v>1999</v>
      </c>
      <c r="G471" s="352" t="s">
        <v>2119</v>
      </c>
      <c r="H471" s="352" t="s">
        <v>1655</v>
      </c>
      <c r="I471" s="352" t="s">
        <v>975</v>
      </c>
      <c r="J471" s="352" t="s">
        <v>976</v>
      </c>
      <c r="K471" s="352">
        <v>1221</v>
      </c>
      <c r="L471" s="352" t="s">
        <v>711</v>
      </c>
      <c r="M471" s="352" t="s">
        <v>2154</v>
      </c>
      <c r="N471" s="352" t="s">
        <v>2048</v>
      </c>
      <c r="O471" s="352">
        <v>7</v>
      </c>
      <c r="P471" s="352" t="s">
        <v>2055</v>
      </c>
      <c r="Q471" s="352" t="s">
        <v>2056</v>
      </c>
      <c r="R471" s="251">
        <v>0</v>
      </c>
      <c r="S471" s="251" t="s">
        <v>2015</v>
      </c>
      <c r="T471" s="251" t="s">
        <v>2054</v>
      </c>
      <c r="U471" s="251" t="s">
        <v>1918</v>
      </c>
      <c r="V471" s="251" t="s">
        <v>1919</v>
      </c>
      <c r="X471" s="251">
        <v>0</v>
      </c>
    </row>
    <row r="472" spans="2:24" x14ac:dyDescent="0.2">
      <c r="B472" s="352" t="s">
        <v>875</v>
      </c>
      <c r="C472" s="352" t="s">
        <v>754</v>
      </c>
      <c r="F472" s="352" t="s">
        <v>1999</v>
      </c>
      <c r="G472" s="352" t="s">
        <v>2119</v>
      </c>
      <c r="H472" s="352" t="s">
        <v>1660</v>
      </c>
      <c r="I472" s="352" t="s">
        <v>977</v>
      </c>
      <c r="J472" s="352" t="s">
        <v>864</v>
      </c>
      <c r="K472" s="352">
        <v>1111</v>
      </c>
      <c r="L472" s="352" t="s">
        <v>699</v>
      </c>
      <c r="M472" s="352" t="s">
        <v>2155</v>
      </c>
      <c r="N472" s="352" t="s">
        <v>2048</v>
      </c>
      <c r="O472" s="352">
        <v>5</v>
      </c>
      <c r="P472" s="352" t="s">
        <v>2057</v>
      </c>
      <c r="Q472" s="352" t="s">
        <v>2058</v>
      </c>
      <c r="R472" s="251">
        <v>0</v>
      </c>
      <c r="S472" s="251" t="s">
        <v>2015</v>
      </c>
      <c r="T472" s="251" t="s">
        <v>2054</v>
      </c>
      <c r="U472" s="251" t="s">
        <v>1914</v>
      </c>
      <c r="V472" s="251" t="s">
        <v>1915</v>
      </c>
      <c r="X472" s="251">
        <v>0</v>
      </c>
    </row>
    <row r="473" spans="2:24" x14ac:dyDescent="0.2">
      <c r="B473" s="352" t="s">
        <v>875</v>
      </c>
      <c r="C473" s="352" t="s">
        <v>754</v>
      </c>
      <c r="F473" s="352" t="s">
        <v>1999</v>
      </c>
      <c r="G473" s="352" t="s">
        <v>2119</v>
      </c>
      <c r="H473" s="352" t="s">
        <v>1660</v>
      </c>
      <c r="I473" s="352" t="s">
        <v>977</v>
      </c>
      <c r="J473" s="352" t="s">
        <v>864</v>
      </c>
      <c r="K473" s="352">
        <v>1211</v>
      </c>
      <c r="L473" s="352" t="s">
        <v>705</v>
      </c>
      <c r="M473" s="352" t="s">
        <v>2156</v>
      </c>
      <c r="N473" s="352" t="s">
        <v>2048</v>
      </c>
      <c r="O473" s="352">
        <v>5</v>
      </c>
      <c r="P473" s="352" t="s">
        <v>2057</v>
      </c>
      <c r="Q473" s="352" t="s">
        <v>2058</v>
      </c>
      <c r="R473" s="251">
        <v>0</v>
      </c>
      <c r="S473" s="251" t="s">
        <v>2015</v>
      </c>
      <c r="T473" s="251" t="s">
        <v>2054</v>
      </c>
      <c r="U473" s="251" t="s">
        <v>1916</v>
      </c>
      <c r="V473" s="251" t="s">
        <v>1917</v>
      </c>
      <c r="X473" s="251">
        <v>0</v>
      </c>
    </row>
    <row r="474" spans="2:24" x14ac:dyDescent="0.2">
      <c r="B474" s="352" t="s">
        <v>875</v>
      </c>
      <c r="C474" s="352" t="s">
        <v>754</v>
      </c>
      <c r="F474" s="352" t="s">
        <v>1999</v>
      </c>
      <c r="G474" s="352" t="s">
        <v>2119</v>
      </c>
      <c r="H474" s="352" t="s">
        <v>1660</v>
      </c>
      <c r="I474" s="352" t="s">
        <v>977</v>
      </c>
      <c r="J474" s="352" t="s">
        <v>864</v>
      </c>
      <c r="K474" s="352">
        <v>1221</v>
      </c>
      <c r="L474" s="352" t="s">
        <v>711</v>
      </c>
      <c r="M474" s="352" t="s">
        <v>2157</v>
      </c>
      <c r="N474" s="352" t="s">
        <v>2048</v>
      </c>
      <c r="O474" s="352">
        <v>5</v>
      </c>
      <c r="P474" s="352" t="s">
        <v>2057</v>
      </c>
      <c r="Q474" s="352" t="s">
        <v>2058</v>
      </c>
      <c r="R474" s="251">
        <v>0</v>
      </c>
      <c r="S474" s="251" t="s">
        <v>2015</v>
      </c>
      <c r="T474" s="251" t="s">
        <v>2054</v>
      </c>
      <c r="U474" s="251" t="s">
        <v>1918</v>
      </c>
      <c r="V474" s="251" t="s">
        <v>1919</v>
      </c>
      <c r="X474" s="251">
        <v>0</v>
      </c>
    </row>
    <row r="475" spans="2:24" x14ac:dyDescent="0.2">
      <c r="B475" s="352" t="s">
        <v>875</v>
      </c>
      <c r="C475" s="352" t="s">
        <v>754</v>
      </c>
      <c r="F475" s="352" t="s">
        <v>1999</v>
      </c>
      <c r="G475" s="352" t="s">
        <v>2119</v>
      </c>
      <c r="H475" s="352" t="s">
        <v>1660</v>
      </c>
      <c r="I475" s="352" t="s">
        <v>977</v>
      </c>
      <c r="J475" s="352" t="s">
        <v>864</v>
      </c>
      <c r="K475" s="352">
        <v>1222</v>
      </c>
      <c r="L475" s="352" t="s">
        <v>718</v>
      </c>
      <c r="M475" s="352" t="s">
        <v>2158</v>
      </c>
      <c r="N475" s="352" t="s">
        <v>2048</v>
      </c>
      <c r="O475" s="352">
        <v>5</v>
      </c>
      <c r="P475" s="352" t="s">
        <v>2057</v>
      </c>
      <c r="Q475" s="352" t="s">
        <v>2058</v>
      </c>
      <c r="R475" s="251">
        <v>0</v>
      </c>
      <c r="S475" s="251" t="s">
        <v>2015</v>
      </c>
      <c r="T475" s="251" t="s">
        <v>2054</v>
      </c>
      <c r="U475" s="251">
        <v>0</v>
      </c>
      <c r="V475" s="251" t="s">
        <v>2153</v>
      </c>
      <c r="X475" s="251">
        <v>0</v>
      </c>
    </row>
    <row r="476" spans="2:24" x14ac:dyDescent="0.2">
      <c r="B476" s="352" t="s">
        <v>875</v>
      </c>
      <c r="C476" s="352" t="s">
        <v>754</v>
      </c>
      <c r="F476" s="352" t="s">
        <v>1999</v>
      </c>
      <c r="G476" s="352" t="s">
        <v>2119</v>
      </c>
      <c r="H476" s="352" t="s">
        <v>1660</v>
      </c>
      <c r="I476" s="352" t="s">
        <v>977</v>
      </c>
      <c r="J476" s="352" t="s">
        <v>864</v>
      </c>
      <c r="K476" s="352">
        <v>1231</v>
      </c>
      <c r="L476" s="352" t="s">
        <v>726</v>
      </c>
      <c r="M476" s="352" t="s">
        <v>2159</v>
      </c>
      <c r="N476" s="352" t="s">
        <v>2048</v>
      </c>
      <c r="O476" s="352">
        <v>5</v>
      </c>
      <c r="P476" s="352" t="s">
        <v>2057</v>
      </c>
      <c r="Q476" s="352" t="s">
        <v>2058</v>
      </c>
      <c r="R476" s="251">
        <v>0</v>
      </c>
      <c r="S476" s="251" t="s">
        <v>2015</v>
      </c>
      <c r="T476" s="251" t="s">
        <v>2054</v>
      </c>
      <c r="U476" s="251" t="s">
        <v>1920</v>
      </c>
      <c r="V476" s="251" t="s">
        <v>726</v>
      </c>
      <c r="X476" s="251">
        <v>0</v>
      </c>
    </row>
    <row r="477" spans="2:24" x14ac:dyDescent="0.2">
      <c r="B477" s="352" t="s">
        <v>875</v>
      </c>
      <c r="C477" s="352" t="s">
        <v>754</v>
      </c>
      <c r="F477" s="352" t="s">
        <v>1999</v>
      </c>
      <c r="G477" s="352" t="s">
        <v>2119</v>
      </c>
      <c r="H477" s="352" t="s">
        <v>1660</v>
      </c>
      <c r="I477" s="352" t="s">
        <v>977</v>
      </c>
      <c r="J477" s="352" t="s">
        <v>864</v>
      </c>
      <c r="K477" s="352">
        <v>1232</v>
      </c>
      <c r="L477" s="352" t="s">
        <v>734</v>
      </c>
      <c r="M477" s="352" t="s">
        <v>2160</v>
      </c>
      <c r="N477" s="352" t="s">
        <v>2048</v>
      </c>
      <c r="O477" s="352">
        <v>5</v>
      </c>
      <c r="P477" s="352" t="s">
        <v>2057</v>
      </c>
      <c r="Q477" s="352" t="s">
        <v>2058</v>
      </c>
      <c r="R477" s="251">
        <v>148.82901907019368</v>
      </c>
      <c r="S477" s="251" t="s">
        <v>2015</v>
      </c>
      <c r="T477" s="251" t="s">
        <v>2016</v>
      </c>
      <c r="U477" s="251">
        <v>0</v>
      </c>
      <c r="V477" s="251" t="s">
        <v>2153</v>
      </c>
      <c r="X477" s="251">
        <v>0</v>
      </c>
    </row>
    <row r="478" spans="2:24" x14ac:dyDescent="0.2">
      <c r="B478" s="352" t="s">
        <v>875</v>
      </c>
      <c r="C478" s="352" t="s">
        <v>754</v>
      </c>
      <c r="F478" s="352" t="s">
        <v>1999</v>
      </c>
      <c r="G478" s="352" t="s">
        <v>2119</v>
      </c>
      <c r="H478" s="352" t="s">
        <v>1660</v>
      </c>
      <c r="I478" s="352" t="s">
        <v>977</v>
      </c>
      <c r="J478" s="352" t="s">
        <v>864</v>
      </c>
      <c r="K478" s="352">
        <v>1241</v>
      </c>
      <c r="L478" s="352" t="s">
        <v>1872</v>
      </c>
      <c r="M478" s="352" t="s">
        <v>2161</v>
      </c>
      <c r="N478" s="352" t="s">
        <v>2048</v>
      </c>
      <c r="O478" s="352">
        <v>5</v>
      </c>
      <c r="P478" s="352" t="s">
        <v>2057</v>
      </c>
      <c r="Q478" s="352" t="s">
        <v>2058</v>
      </c>
      <c r="R478" s="251">
        <v>0</v>
      </c>
      <c r="S478" s="251" t="s">
        <v>2015</v>
      </c>
      <c r="T478" s="251" t="s">
        <v>2054</v>
      </c>
      <c r="U478" s="251">
        <v>0</v>
      </c>
      <c r="V478" s="251" t="s">
        <v>2153</v>
      </c>
      <c r="X478" s="251">
        <v>0</v>
      </c>
    </row>
    <row r="479" spans="2:24" x14ac:dyDescent="0.2">
      <c r="B479" s="352" t="s">
        <v>875</v>
      </c>
      <c r="C479" s="352" t="s">
        <v>754</v>
      </c>
      <c r="F479" s="352" t="s">
        <v>1999</v>
      </c>
      <c r="G479" s="352" t="s">
        <v>2119</v>
      </c>
      <c r="H479" s="352" t="s">
        <v>1660</v>
      </c>
      <c r="I479" s="352" t="s">
        <v>977</v>
      </c>
      <c r="J479" s="352" t="s">
        <v>864</v>
      </c>
      <c r="K479" s="352">
        <v>1251</v>
      </c>
      <c r="L479" s="352" t="s">
        <v>733</v>
      </c>
      <c r="M479" s="352" t="s">
        <v>2162</v>
      </c>
      <c r="N479" s="352" t="s">
        <v>2048</v>
      </c>
      <c r="O479" s="352">
        <v>5</v>
      </c>
      <c r="P479" s="352" t="s">
        <v>2057</v>
      </c>
      <c r="Q479" s="352" t="s">
        <v>2058</v>
      </c>
      <c r="R479" s="251">
        <v>0</v>
      </c>
      <c r="S479" s="251" t="s">
        <v>2015</v>
      </c>
      <c r="T479" s="251" t="s">
        <v>2054</v>
      </c>
      <c r="U479" s="251">
        <v>0</v>
      </c>
      <c r="V479" s="251" t="s">
        <v>2153</v>
      </c>
      <c r="X479" s="251">
        <v>0</v>
      </c>
    </row>
    <row r="480" spans="2:24" x14ac:dyDescent="0.2">
      <c r="B480" s="352" t="s">
        <v>875</v>
      </c>
      <c r="C480" s="352" t="s">
        <v>754</v>
      </c>
      <c r="F480" s="352" t="s">
        <v>1999</v>
      </c>
      <c r="G480" s="352" t="s">
        <v>2119</v>
      </c>
      <c r="H480" s="352" t="s">
        <v>1665</v>
      </c>
      <c r="I480" s="352" t="s">
        <v>978</v>
      </c>
      <c r="J480" s="352" t="s">
        <v>1892</v>
      </c>
      <c r="K480" s="352">
        <v>1111</v>
      </c>
      <c r="L480" s="352" t="s">
        <v>699</v>
      </c>
      <c r="M480" s="352" t="s">
        <v>2163</v>
      </c>
      <c r="N480" s="352" t="s">
        <v>2048</v>
      </c>
      <c r="O480" s="352">
        <v>5</v>
      </c>
      <c r="P480" s="352" t="s">
        <v>2057</v>
      </c>
      <c r="Q480" s="352" t="s">
        <v>2058</v>
      </c>
      <c r="R480" s="251">
        <v>0</v>
      </c>
      <c r="S480" s="251" t="s">
        <v>2015</v>
      </c>
      <c r="T480" s="251" t="s">
        <v>2054</v>
      </c>
      <c r="U480" s="251" t="s">
        <v>1914</v>
      </c>
      <c r="V480" s="251" t="s">
        <v>1915</v>
      </c>
      <c r="X480" s="251">
        <v>0</v>
      </c>
    </row>
    <row r="481" spans="2:24" x14ac:dyDescent="0.2">
      <c r="B481" s="352" t="s">
        <v>875</v>
      </c>
      <c r="C481" s="352" t="s">
        <v>754</v>
      </c>
      <c r="F481" s="352" t="s">
        <v>1999</v>
      </c>
      <c r="G481" s="352" t="s">
        <v>2119</v>
      </c>
      <c r="H481" s="352" t="s">
        <v>1665</v>
      </c>
      <c r="I481" s="352" t="s">
        <v>978</v>
      </c>
      <c r="J481" s="352" t="s">
        <v>1892</v>
      </c>
      <c r="K481" s="352">
        <v>1231</v>
      </c>
      <c r="L481" s="352" t="s">
        <v>726</v>
      </c>
      <c r="M481" s="352" t="s">
        <v>2164</v>
      </c>
      <c r="N481" s="352" t="s">
        <v>2048</v>
      </c>
      <c r="O481" s="352">
        <v>5</v>
      </c>
      <c r="P481" s="352" t="s">
        <v>2057</v>
      </c>
      <c r="Q481" s="352" t="s">
        <v>2058</v>
      </c>
      <c r="R481" s="251">
        <v>940.10711159800303</v>
      </c>
      <c r="S481" s="251" t="s">
        <v>2015</v>
      </c>
      <c r="T481" s="251" t="s">
        <v>2016</v>
      </c>
      <c r="U481" s="251" t="s">
        <v>1920</v>
      </c>
      <c r="V481" s="251" t="s">
        <v>726</v>
      </c>
      <c r="X481" s="251">
        <v>0</v>
      </c>
    </row>
    <row r="482" spans="2:24" x14ac:dyDescent="0.2">
      <c r="B482" s="352" t="s">
        <v>875</v>
      </c>
      <c r="C482" s="352" t="s">
        <v>754</v>
      </c>
      <c r="F482" s="352" t="s">
        <v>1999</v>
      </c>
      <c r="G482" s="352" t="s">
        <v>2119</v>
      </c>
      <c r="H482" s="352" t="s">
        <v>1670</v>
      </c>
      <c r="I482" s="352" t="s">
        <v>979</v>
      </c>
      <c r="J482" s="352" t="s">
        <v>980</v>
      </c>
      <c r="K482" s="352">
        <v>1241</v>
      </c>
      <c r="L482" s="352" t="s">
        <v>1872</v>
      </c>
      <c r="M482" s="352" t="s">
        <v>2165</v>
      </c>
      <c r="N482" s="352" t="s">
        <v>2048</v>
      </c>
      <c r="O482" s="352">
        <v>7</v>
      </c>
      <c r="P482" s="352" t="s">
        <v>2055</v>
      </c>
      <c r="Q482" s="352" t="s">
        <v>2056</v>
      </c>
      <c r="R482" s="251">
        <v>45.767290188694304</v>
      </c>
      <c r="S482" s="251" t="s">
        <v>2015</v>
      </c>
      <c r="T482" s="251" t="s">
        <v>2016</v>
      </c>
      <c r="U482" s="251">
        <v>0</v>
      </c>
      <c r="V482" s="251" t="s">
        <v>2153</v>
      </c>
      <c r="X482" s="251">
        <v>0</v>
      </c>
    </row>
    <row r="483" spans="2:24" x14ac:dyDescent="0.2">
      <c r="B483" s="352" t="s">
        <v>875</v>
      </c>
      <c r="C483" s="352" t="s">
        <v>754</v>
      </c>
      <c r="F483" s="352" t="s">
        <v>1999</v>
      </c>
      <c r="G483" s="352" t="s">
        <v>2119</v>
      </c>
      <c r="H483" s="352" t="s">
        <v>1675</v>
      </c>
      <c r="I483" s="352" t="s">
        <v>981</v>
      </c>
      <c r="J483" s="352" t="s">
        <v>3674</v>
      </c>
      <c r="K483" s="352">
        <v>1241</v>
      </c>
      <c r="L483" s="352" t="s">
        <v>1872</v>
      </c>
      <c r="M483" s="352" t="s">
        <v>2166</v>
      </c>
      <c r="N483" s="352" t="s">
        <v>2048</v>
      </c>
      <c r="O483" s="352">
        <v>13</v>
      </c>
      <c r="P483" s="352" t="s">
        <v>2059</v>
      </c>
      <c r="Q483" s="352" t="s">
        <v>2060</v>
      </c>
      <c r="R483" s="251">
        <v>0</v>
      </c>
      <c r="S483" s="251" t="s">
        <v>2015</v>
      </c>
      <c r="T483" s="251" t="s">
        <v>2054</v>
      </c>
      <c r="U483" s="251">
        <v>0</v>
      </c>
      <c r="V483" s="251" t="s">
        <v>2153</v>
      </c>
      <c r="X483" s="251">
        <v>0</v>
      </c>
    </row>
    <row r="484" spans="2:24" x14ac:dyDescent="0.2">
      <c r="B484" s="352" t="s">
        <v>875</v>
      </c>
      <c r="C484" s="352" t="s">
        <v>754</v>
      </c>
      <c r="F484" s="352" t="s">
        <v>1999</v>
      </c>
      <c r="G484" s="352" t="s">
        <v>2119</v>
      </c>
      <c r="H484" s="352" t="s">
        <v>1675</v>
      </c>
      <c r="I484" s="352" t="s">
        <v>981</v>
      </c>
      <c r="J484" s="352" t="s">
        <v>3674</v>
      </c>
      <c r="K484" s="352">
        <v>1251</v>
      </c>
      <c r="L484" s="352" t="s">
        <v>733</v>
      </c>
      <c r="M484" s="352" t="s">
        <v>2167</v>
      </c>
      <c r="N484" s="352" t="s">
        <v>2048</v>
      </c>
      <c r="O484" s="352">
        <v>13</v>
      </c>
      <c r="P484" s="352" t="s">
        <v>2059</v>
      </c>
      <c r="Q484" s="352" t="s">
        <v>2060</v>
      </c>
      <c r="R484" s="251">
        <v>0</v>
      </c>
      <c r="S484" s="251" t="s">
        <v>2015</v>
      </c>
      <c r="T484" s="251" t="s">
        <v>2054</v>
      </c>
      <c r="U484" s="251">
        <v>0</v>
      </c>
      <c r="V484" s="251" t="s">
        <v>2153</v>
      </c>
      <c r="X484" s="251">
        <v>0</v>
      </c>
    </row>
    <row r="485" spans="2:24" x14ac:dyDescent="0.2">
      <c r="B485" s="352" t="s">
        <v>875</v>
      </c>
      <c r="C485" s="352" t="s">
        <v>754</v>
      </c>
      <c r="F485" s="352" t="s">
        <v>1999</v>
      </c>
      <c r="G485" s="352" t="s">
        <v>2119</v>
      </c>
      <c r="H485" s="352" t="s">
        <v>1680</v>
      </c>
      <c r="I485" s="352" t="s">
        <v>982</v>
      </c>
      <c r="J485" s="352" t="s">
        <v>983</v>
      </c>
      <c r="K485" s="352">
        <v>2111</v>
      </c>
      <c r="L485" s="352" t="s">
        <v>1873</v>
      </c>
      <c r="M485" s="352" t="s">
        <v>2168</v>
      </c>
      <c r="N485" s="352" t="s">
        <v>2048</v>
      </c>
      <c r="O485" s="352">
        <v>3</v>
      </c>
      <c r="P485" s="352" t="s">
        <v>2117</v>
      </c>
      <c r="Q485" s="352" t="s">
        <v>2114</v>
      </c>
      <c r="R485" s="251">
        <v>82.369241066189772</v>
      </c>
      <c r="S485" s="251" t="s">
        <v>2015</v>
      </c>
      <c r="T485" s="251" t="s">
        <v>2016</v>
      </c>
      <c r="U485" s="251" t="s">
        <v>1929</v>
      </c>
      <c r="V485" s="251" t="s">
        <v>1930</v>
      </c>
      <c r="X485" s="251">
        <v>0</v>
      </c>
    </row>
    <row r="486" spans="2:24" x14ac:dyDescent="0.2">
      <c r="B486" s="352" t="s">
        <v>875</v>
      </c>
      <c r="C486" s="352" t="s">
        <v>754</v>
      </c>
      <c r="F486" s="352" t="s">
        <v>1999</v>
      </c>
      <c r="G486" s="352" t="s">
        <v>2119</v>
      </c>
      <c r="H486" s="352" t="s">
        <v>1680</v>
      </c>
      <c r="I486" s="352" t="s">
        <v>982</v>
      </c>
      <c r="J486" s="352" t="s">
        <v>983</v>
      </c>
      <c r="K486" s="352">
        <v>2121</v>
      </c>
      <c r="L486" s="352" t="s">
        <v>1876</v>
      </c>
      <c r="M486" s="352" t="s">
        <v>2169</v>
      </c>
      <c r="N486" s="352" t="s">
        <v>2048</v>
      </c>
      <c r="O486" s="352">
        <v>3</v>
      </c>
      <c r="P486" s="352" t="s">
        <v>2117</v>
      </c>
      <c r="Q486" s="352" t="s">
        <v>2114</v>
      </c>
      <c r="R486" s="251">
        <v>262.34328911353902</v>
      </c>
      <c r="S486" s="251" t="s">
        <v>2015</v>
      </c>
      <c r="T486" s="251" t="s">
        <v>2016</v>
      </c>
      <c r="U486" s="251" t="s">
        <v>1929</v>
      </c>
      <c r="V486" s="251" t="s">
        <v>1930</v>
      </c>
      <c r="X486" s="251">
        <v>0</v>
      </c>
    </row>
    <row r="487" spans="2:24" x14ac:dyDescent="0.2">
      <c r="B487" s="352" t="s">
        <v>875</v>
      </c>
      <c r="C487" s="352" t="s">
        <v>754</v>
      </c>
      <c r="F487" s="352" t="s">
        <v>1999</v>
      </c>
      <c r="G487" s="352" t="s">
        <v>2119</v>
      </c>
      <c r="H487" s="352" t="s">
        <v>1680</v>
      </c>
      <c r="I487" s="352" t="s">
        <v>982</v>
      </c>
      <c r="J487" s="352" t="s">
        <v>983</v>
      </c>
      <c r="K487" s="352">
        <v>2131</v>
      </c>
      <c r="L487" s="352" t="s">
        <v>1879</v>
      </c>
      <c r="M487" s="352" t="s">
        <v>2170</v>
      </c>
      <c r="N487" s="352" t="s">
        <v>2048</v>
      </c>
      <c r="O487" s="352">
        <v>3</v>
      </c>
      <c r="P487" s="352" t="s">
        <v>2117</v>
      </c>
      <c r="Q487" s="352" t="s">
        <v>2114</v>
      </c>
      <c r="R487" s="251">
        <v>0</v>
      </c>
      <c r="S487" s="251" t="s">
        <v>2015</v>
      </c>
      <c r="T487" s="251" t="s">
        <v>2054</v>
      </c>
      <c r="U487" s="251" t="s">
        <v>1929</v>
      </c>
      <c r="V487" s="251" t="s">
        <v>1930</v>
      </c>
      <c r="X487" s="251">
        <v>0</v>
      </c>
    </row>
    <row r="488" spans="2:24" x14ac:dyDescent="0.2">
      <c r="B488" s="352" t="s">
        <v>875</v>
      </c>
      <c r="C488" s="352" t="s">
        <v>754</v>
      </c>
      <c r="F488" s="352" t="s">
        <v>1999</v>
      </c>
      <c r="G488" s="352" t="s">
        <v>2119</v>
      </c>
      <c r="H488" s="352" t="s">
        <v>1680</v>
      </c>
      <c r="I488" s="352" t="s">
        <v>982</v>
      </c>
      <c r="J488" s="352" t="s">
        <v>983</v>
      </c>
      <c r="K488" s="352">
        <v>2211</v>
      </c>
      <c r="L488" s="352" t="s">
        <v>1883</v>
      </c>
      <c r="M488" s="352" t="s">
        <v>2171</v>
      </c>
      <c r="N488" s="352" t="s">
        <v>2048</v>
      </c>
      <c r="O488" s="352">
        <v>3</v>
      </c>
      <c r="P488" s="352" t="s">
        <v>2117</v>
      </c>
      <c r="Q488" s="352" t="s">
        <v>2114</v>
      </c>
      <c r="R488" s="251">
        <v>0</v>
      </c>
      <c r="S488" s="251" t="s">
        <v>2015</v>
      </c>
      <c r="T488" s="251" t="s">
        <v>2054</v>
      </c>
      <c r="U488" s="251" t="s">
        <v>1929</v>
      </c>
      <c r="V488" s="251" t="s">
        <v>1930</v>
      </c>
      <c r="X488" s="251">
        <v>0</v>
      </c>
    </row>
    <row r="489" spans="2:24" x14ac:dyDescent="0.2">
      <c r="B489" s="352" t="s">
        <v>875</v>
      </c>
      <c r="C489" s="352" t="s">
        <v>754</v>
      </c>
      <c r="F489" s="352" t="s">
        <v>1999</v>
      </c>
      <c r="G489" s="352" t="s">
        <v>2119</v>
      </c>
      <c r="H489" s="352" t="s">
        <v>1685</v>
      </c>
      <c r="I489" s="352" t="s">
        <v>984</v>
      </c>
      <c r="J489" s="352" t="s">
        <v>985</v>
      </c>
      <c r="K489" s="352">
        <v>2111</v>
      </c>
      <c r="L489" s="352" t="s">
        <v>1873</v>
      </c>
      <c r="M489" s="352" t="s">
        <v>2172</v>
      </c>
      <c r="N489" s="352" t="s">
        <v>2048</v>
      </c>
      <c r="O489" s="352">
        <v>11</v>
      </c>
      <c r="P489" s="352" t="s">
        <v>2063</v>
      </c>
      <c r="Q489" s="352" t="s">
        <v>2064</v>
      </c>
      <c r="R489" s="251">
        <v>0</v>
      </c>
      <c r="S489" s="251" t="s">
        <v>2015</v>
      </c>
      <c r="T489" s="251" t="s">
        <v>2054</v>
      </c>
      <c r="U489" s="251" t="s">
        <v>1929</v>
      </c>
      <c r="V489" s="251" t="s">
        <v>1930</v>
      </c>
      <c r="X489" s="251">
        <v>0</v>
      </c>
    </row>
    <row r="490" spans="2:24" x14ac:dyDescent="0.2">
      <c r="B490" s="352" t="s">
        <v>875</v>
      </c>
      <c r="C490" s="352" t="s">
        <v>754</v>
      </c>
      <c r="F490" s="352" t="s">
        <v>1999</v>
      </c>
      <c r="G490" s="352" t="s">
        <v>2119</v>
      </c>
      <c r="H490" s="352" t="s">
        <v>1685</v>
      </c>
      <c r="I490" s="352" t="s">
        <v>984</v>
      </c>
      <c r="J490" s="352" t="s">
        <v>985</v>
      </c>
      <c r="K490" s="352">
        <v>2121</v>
      </c>
      <c r="L490" s="352" t="s">
        <v>1876</v>
      </c>
      <c r="M490" s="352" t="s">
        <v>2173</v>
      </c>
      <c r="N490" s="352" t="s">
        <v>2048</v>
      </c>
      <c r="O490" s="352">
        <v>11</v>
      </c>
      <c r="P490" s="352" t="s">
        <v>2063</v>
      </c>
      <c r="Q490" s="352" t="s">
        <v>2064</v>
      </c>
      <c r="R490" s="251">
        <v>0</v>
      </c>
      <c r="S490" s="251" t="s">
        <v>2015</v>
      </c>
      <c r="T490" s="251" t="s">
        <v>2054</v>
      </c>
      <c r="U490" s="251" t="s">
        <v>1929</v>
      </c>
      <c r="V490" s="251" t="s">
        <v>1930</v>
      </c>
      <c r="X490" s="251">
        <v>0</v>
      </c>
    </row>
    <row r="491" spans="2:24" x14ac:dyDescent="0.2">
      <c r="B491" s="352" t="s">
        <v>875</v>
      </c>
      <c r="C491" s="352" t="s">
        <v>754</v>
      </c>
      <c r="F491" s="352" t="s">
        <v>1999</v>
      </c>
      <c r="G491" s="352" t="s">
        <v>2119</v>
      </c>
      <c r="H491" s="352" t="s">
        <v>1685</v>
      </c>
      <c r="I491" s="352" t="s">
        <v>984</v>
      </c>
      <c r="J491" s="352" t="s">
        <v>985</v>
      </c>
      <c r="K491" s="352">
        <v>2131</v>
      </c>
      <c r="L491" s="352" t="s">
        <v>1879</v>
      </c>
      <c r="M491" s="352" t="s">
        <v>2174</v>
      </c>
      <c r="N491" s="352" t="s">
        <v>2048</v>
      </c>
      <c r="O491" s="352">
        <v>11</v>
      </c>
      <c r="P491" s="352" t="s">
        <v>2063</v>
      </c>
      <c r="Q491" s="352" t="s">
        <v>2064</v>
      </c>
      <c r="R491" s="251">
        <v>9.9644944078782345</v>
      </c>
      <c r="S491" s="251" t="s">
        <v>2015</v>
      </c>
      <c r="T491" s="251" t="s">
        <v>2016</v>
      </c>
      <c r="U491" s="251" t="s">
        <v>1929</v>
      </c>
      <c r="V491" s="251" t="s">
        <v>1930</v>
      </c>
      <c r="X491" s="251">
        <v>0</v>
      </c>
    </row>
    <row r="492" spans="2:24" x14ac:dyDescent="0.2">
      <c r="B492" s="352" t="s">
        <v>875</v>
      </c>
      <c r="C492" s="352" t="s">
        <v>754</v>
      </c>
      <c r="F492" s="352" t="s">
        <v>1999</v>
      </c>
      <c r="G492" s="352" t="s">
        <v>2119</v>
      </c>
      <c r="H492" s="352" t="s">
        <v>1685</v>
      </c>
      <c r="I492" s="352" t="s">
        <v>984</v>
      </c>
      <c r="J492" s="352" t="s">
        <v>985</v>
      </c>
      <c r="K492" s="352">
        <v>2211</v>
      </c>
      <c r="L492" s="352" t="s">
        <v>1883</v>
      </c>
      <c r="M492" s="352" t="s">
        <v>2175</v>
      </c>
      <c r="N492" s="352" t="s">
        <v>2048</v>
      </c>
      <c r="O492" s="352">
        <v>11</v>
      </c>
      <c r="P492" s="352" t="s">
        <v>2063</v>
      </c>
      <c r="Q492" s="352" t="s">
        <v>2064</v>
      </c>
      <c r="R492" s="251">
        <v>14.330643796244258</v>
      </c>
      <c r="S492" s="251" t="s">
        <v>2015</v>
      </c>
      <c r="T492" s="251" t="s">
        <v>2016</v>
      </c>
      <c r="U492" s="251" t="s">
        <v>1929</v>
      </c>
      <c r="V492" s="251" t="s">
        <v>1930</v>
      </c>
      <c r="X492" s="251">
        <v>0</v>
      </c>
    </row>
    <row r="493" spans="2:24" x14ac:dyDescent="0.2">
      <c r="B493" s="352" t="s">
        <v>875</v>
      </c>
      <c r="C493" s="352" t="s">
        <v>754</v>
      </c>
      <c r="F493" s="352" t="s">
        <v>1999</v>
      </c>
      <c r="G493" s="352" t="s">
        <v>2119</v>
      </c>
      <c r="H493" s="352" t="s">
        <v>1690</v>
      </c>
      <c r="I493" s="352" t="s">
        <v>986</v>
      </c>
      <c r="J493" s="352" t="s">
        <v>987</v>
      </c>
      <c r="K493" s="352">
        <v>2112</v>
      </c>
      <c r="L493" s="352" t="s">
        <v>1874</v>
      </c>
      <c r="M493" s="352" t="s">
        <v>2176</v>
      </c>
      <c r="N493" s="352" t="s">
        <v>2048</v>
      </c>
      <c r="O493" s="352">
        <v>11</v>
      </c>
      <c r="P493" s="352" t="s">
        <v>2063</v>
      </c>
      <c r="Q493" s="352" t="s">
        <v>2064</v>
      </c>
      <c r="R493" s="251">
        <v>0.32346389870839798</v>
      </c>
      <c r="S493" s="251" t="s">
        <v>2015</v>
      </c>
      <c r="T493" s="251" t="s">
        <v>2016</v>
      </c>
      <c r="U493" s="251" t="s">
        <v>1931</v>
      </c>
      <c r="V493" s="251" t="s">
        <v>1932</v>
      </c>
      <c r="X493" s="251">
        <v>0</v>
      </c>
    </row>
    <row r="494" spans="2:24" x14ac:dyDescent="0.2">
      <c r="B494" s="352" t="s">
        <v>875</v>
      </c>
      <c r="C494" s="352" t="s">
        <v>754</v>
      </c>
      <c r="F494" s="352" t="s">
        <v>1999</v>
      </c>
      <c r="G494" s="352" t="s">
        <v>2119</v>
      </c>
      <c r="H494" s="352" t="s">
        <v>1690</v>
      </c>
      <c r="I494" s="352" t="s">
        <v>986</v>
      </c>
      <c r="J494" s="352" t="s">
        <v>987</v>
      </c>
      <c r="K494" s="352">
        <v>2122</v>
      </c>
      <c r="L494" s="352" t="s">
        <v>1877</v>
      </c>
      <c r="M494" s="352" t="s">
        <v>2177</v>
      </c>
      <c r="N494" s="352" t="s">
        <v>2048</v>
      </c>
      <c r="O494" s="352">
        <v>11</v>
      </c>
      <c r="P494" s="352" t="s">
        <v>2063</v>
      </c>
      <c r="Q494" s="352" t="s">
        <v>2064</v>
      </c>
      <c r="R494" s="251">
        <v>100.46377717191359</v>
      </c>
      <c r="S494" s="251" t="s">
        <v>2015</v>
      </c>
      <c r="T494" s="251" t="s">
        <v>2016</v>
      </c>
      <c r="U494" s="251" t="s">
        <v>1931</v>
      </c>
      <c r="V494" s="251" t="s">
        <v>1932</v>
      </c>
      <c r="X494" s="251">
        <v>0</v>
      </c>
    </row>
    <row r="495" spans="2:24" x14ac:dyDescent="0.2">
      <c r="B495" s="352" t="s">
        <v>875</v>
      </c>
      <c r="C495" s="352" t="s">
        <v>754</v>
      </c>
      <c r="F495" s="352" t="s">
        <v>1999</v>
      </c>
      <c r="G495" s="352" t="s">
        <v>2119</v>
      </c>
      <c r="H495" s="352" t="s">
        <v>1695</v>
      </c>
      <c r="I495" s="352" t="s">
        <v>988</v>
      </c>
      <c r="J495" s="352" t="s">
        <v>989</v>
      </c>
      <c r="K495" s="352">
        <v>2112</v>
      </c>
      <c r="L495" s="352" t="s">
        <v>1874</v>
      </c>
      <c r="M495" s="352" t="s">
        <v>2178</v>
      </c>
      <c r="N495" s="352" t="s">
        <v>2048</v>
      </c>
      <c r="O495" s="352">
        <v>11</v>
      </c>
      <c r="P495" s="352" t="s">
        <v>2063</v>
      </c>
      <c r="Q495" s="352" t="s">
        <v>2064</v>
      </c>
      <c r="R495" s="251">
        <v>0.48519584806259697</v>
      </c>
      <c r="S495" s="251" t="s">
        <v>2015</v>
      </c>
      <c r="T495" s="251" t="s">
        <v>2016</v>
      </c>
      <c r="U495" s="251" t="s">
        <v>1931</v>
      </c>
      <c r="V495" s="251" t="s">
        <v>1932</v>
      </c>
      <c r="X495" s="251">
        <v>0</v>
      </c>
    </row>
    <row r="496" spans="2:24" x14ac:dyDescent="0.2">
      <c r="B496" s="352" t="s">
        <v>875</v>
      </c>
      <c r="C496" s="352" t="s">
        <v>754</v>
      </c>
      <c r="F496" s="352" t="s">
        <v>1999</v>
      </c>
      <c r="G496" s="352" t="s">
        <v>2119</v>
      </c>
      <c r="H496" s="352" t="s">
        <v>1695</v>
      </c>
      <c r="I496" s="352" t="s">
        <v>988</v>
      </c>
      <c r="J496" s="352" t="s">
        <v>989</v>
      </c>
      <c r="K496" s="352">
        <v>2122</v>
      </c>
      <c r="L496" s="352" t="s">
        <v>1877</v>
      </c>
      <c r="M496" s="352" t="s">
        <v>2179</v>
      </c>
      <c r="N496" s="352" t="s">
        <v>2048</v>
      </c>
      <c r="O496" s="352">
        <v>11</v>
      </c>
      <c r="P496" s="352" t="s">
        <v>2063</v>
      </c>
      <c r="Q496" s="352" t="s">
        <v>2064</v>
      </c>
      <c r="R496" s="251">
        <v>150.69566575787039</v>
      </c>
      <c r="S496" s="251" t="s">
        <v>2015</v>
      </c>
      <c r="T496" s="251" t="s">
        <v>2016</v>
      </c>
      <c r="U496" s="251" t="s">
        <v>1931</v>
      </c>
      <c r="V496" s="251" t="s">
        <v>1932</v>
      </c>
      <c r="X496" s="251">
        <v>0</v>
      </c>
    </row>
    <row r="497" spans="2:24" x14ac:dyDescent="0.2">
      <c r="B497" s="352" t="s">
        <v>875</v>
      </c>
      <c r="C497" s="352" t="s">
        <v>754</v>
      </c>
      <c r="F497" s="352" t="s">
        <v>1999</v>
      </c>
      <c r="G497" s="352" t="s">
        <v>2119</v>
      </c>
      <c r="H497" s="352" t="s">
        <v>1700</v>
      </c>
      <c r="I497" s="352" t="s">
        <v>990</v>
      </c>
      <c r="J497" s="352" t="s">
        <v>991</v>
      </c>
      <c r="K497" s="352">
        <v>2132</v>
      </c>
      <c r="L497" s="352" t="s">
        <v>1880</v>
      </c>
      <c r="M497" s="352" t="s">
        <v>2180</v>
      </c>
      <c r="N497" s="352" t="s">
        <v>2048</v>
      </c>
      <c r="O497" s="352">
        <v>1</v>
      </c>
      <c r="P497" s="352" t="s">
        <v>2065</v>
      </c>
      <c r="Q497" s="352" t="s">
        <v>2066</v>
      </c>
      <c r="R497" s="251">
        <v>61.120595602605142</v>
      </c>
      <c r="S497" s="251" t="s">
        <v>2015</v>
      </c>
      <c r="T497" s="251" t="s">
        <v>2016</v>
      </c>
      <c r="U497" s="251" t="s">
        <v>1931</v>
      </c>
      <c r="V497" s="251" t="s">
        <v>1932</v>
      </c>
      <c r="X497" s="251">
        <v>0</v>
      </c>
    </row>
    <row r="498" spans="2:24" x14ac:dyDescent="0.2">
      <c r="B498" s="352" t="s">
        <v>875</v>
      </c>
      <c r="C498" s="352" t="s">
        <v>754</v>
      </c>
      <c r="F498" s="352" t="s">
        <v>1999</v>
      </c>
      <c r="G498" s="352" t="s">
        <v>2119</v>
      </c>
      <c r="H498" s="352" t="s">
        <v>1705</v>
      </c>
      <c r="I498" s="352" t="s">
        <v>994</v>
      </c>
      <c r="J498" s="352" t="s">
        <v>995</v>
      </c>
      <c r="K498" s="352">
        <v>2311</v>
      </c>
      <c r="L498" s="352" t="s">
        <v>1887</v>
      </c>
      <c r="M498" s="352" t="s">
        <v>2181</v>
      </c>
      <c r="N498" s="352" t="s">
        <v>2048</v>
      </c>
      <c r="O498" s="352">
        <v>8</v>
      </c>
      <c r="P498" s="352" t="s">
        <v>2067</v>
      </c>
      <c r="Q498" s="352" t="s">
        <v>2068</v>
      </c>
      <c r="R498" s="251">
        <v>3684.2974687214764</v>
      </c>
      <c r="S498" s="251" t="s">
        <v>2015</v>
      </c>
      <c r="T498" s="251" t="s">
        <v>2016</v>
      </c>
      <c r="U498" s="251" t="s">
        <v>1943</v>
      </c>
      <c r="V498" s="251" t="s">
        <v>1944</v>
      </c>
      <c r="X498" s="251">
        <v>0</v>
      </c>
    </row>
    <row r="499" spans="2:24" x14ac:dyDescent="0.2">
      <c r="B499" s="352" t="s">
        <v>875</v>
      </c>
      <c r="C499" s="352" t="s">
        <v>754</v>
      </c>
      <c r="F499" s="352" t="s">
        <v>1999</v>
      </c>
      <c r="G499" s="352" t="s">
        <v>2119</v>
      </c>
      <c r="H499" s="352" t="s">
        <v>1710</v>
      </c>
      <c r="I499" s="352" t="s">
        <v>996</v>
      </c>
      <c r="J499" s="352" t="s">
        <v>997</v>
      </c>
      <c r="K499" s="352">
        <v>2311</v>
      </c>
      <c r="L499" s="352" t="s">
        <v>1887</v>
      </c>
      <c r="M499" s="352" t="s">
        <v>2182</v>
      </c>
      <c r="N499" s="352" t="s">
        <v>2048</v>
      </c>
      <c r="O499" s="352">
        <v>8</v>
      </c>
      <c r="P499" s="352" t="s">
        <v>2067</v>
      </c>
      <c r="Q499" s="352" t="s">
        <v>2068</v>
      </c>
      <c r="R499" s="251">
        <v>0</v>
      </c>
      <c r="S499" s="251" t="s">
        <v>2015</v>
      </c>
      <c r="T499" s="251" t="s">
        <v>2054</v>
      </c>
      <c r="U499" s="251" t="s">
        <v>1943</v>
      </c>
      <c r="V499" s="251" t="s">
        <v>1944</v>
      </c>
      <c r="X499" s="251">
        <v>0</v>
      </c>
    </row>
    <row r="500" spans="2:24" x14ac:dyDescent="0.2">
      <c r="B500" s="352" t="s">
        <v>875</v>
      </c>
      <c r="C500" s="352" t="s">
        <v>754</v>
      </c>
      <c r="F500" s="352" t="s">
        <v>1999</v>
      </c>
      <c r="G500" s="352" t="s">
        <v>2119</v>
      </c>
      <c r="H500" s="352" t="s">
        <v>1715</v>
      </c>
      <c r="I500" s="352" t="s">
        <v>998</v>
      </c>
      <c r="J500" s="352" t="s">
        <v>999</v>
      </c>
      <c r="K500" s="352">
        <v>2311</v>
      </c>
      <c r="L500" s="352" t="s">
        <v>1887</v>
      </c>
      <c r="M500" s="352" t="s">
        <v>2183</v>
      </c>
      <c r="N500" s="352" t="s">
        <v>2048</v>
      </c>
      <c r="O500" s="352">
        <v>8</v>
      </c>
      <c r="P500" s="352" t="s">
        <v>2067</v>
      </c>
      <c r="Q500" s="352" t="s">
        <v>2068</v>
      </c>
      <c r="R500" s="251">
        <v>0</v>
      </c>
      <c r="S500" s="251" t="s">
        <v>2015</v>
      </c>
      <c r="T500" s="251" t="s">
        <v>2054</v>
      </c>
      <c r="U500" s="251" t="s">
        <v>1943</v>
      </c>
      <c r="V500" s="251" t="s">
        <v>1944</v>
      </c>
      <c r="X500" s="251">
        <v>0</v>
      </c>
    </row>
    <row r="501" spans="2:24" x14ac:dyDescent="0.2">
      <c r="B501" s="352" t="s">
        <v>875</v>
      </c>
      <c r="C501" s="352" t="s">
        <v>754</v>
      </c>
      <c r="F501" s="352" t="s">
        <v>1999</v>
      </c>
      <c r="G501" s="352" t="s">
        <v>2119</v>
      </c>
      <c r="H501" s="352" t="s">
        <v>1715</v>
      </c>
      <c r="I501" s="352" t="s">
        <v>998</v>
      </c>
      <c r="J501" s="352" t="s">
        <v>999</v>
      </c>
      <c r="K501" s="352">
        <v>2312</v>
      </c>
      <c r="L501" s="352" t="s">
        <v>789</v>
      </c>
      <c r="M501" s="352" t="s">
        <v>2184</v>
      </c>
      <c r="N501" s="352" t="s">
        <v>2048</v>
      </c>
      <c r="O501" s="352">
        <v>8</v>
      </c>
      <c r="P501" s="352" t="s">
        <v>2067</v>
      </c>
      <c r="Q501" s="352" t="s">
        <v>2068</v>
      </c>
      <c r="R501" s="251">
        <v>0</v>
      </c>
      <c r="S501" s="251" t="s">
        <v>2015</v>
      </c>
      <c r="T501" s="251" t="s">
        <v>2054</v>
      </c>
      <c r="U501" s="251" t="s">
        <v>1943</v>
      </c>
      <c r="V501" s="251" t="s">
        <v>1944</v>
      </c>
      <c r="X501" s="251">
        <v>0</v>
      </c>
    </row>
    <row r="502" spans="2:24" x14ac:dyDescent="0.2">
      <c r="B502" s="352" t="s">
        <v>875</v>
      </c>
      <c r="C502" s="352" t="s">
        <v>754</v>
      </c>
      <c r="F502" s="352" t="s">
        <v>1999</v>
      </c>
      <c r="G502" s="352" t="s">
        <v>2119</v>
      </c>
      <c r="H502" s="352" t="s">
        <v>1720</v>
      </c>
      <c r="I502" s="352" t="s">
        <v>1000</v>
      </c>
      <c r="J502" s="352" t="s">
        <v>1001</v>
      </c>
      <c r="K502" s="352">
        <v>2141</v>
      </c>
      <c r="L502" s="352" t="s">
        <v>1882</v>
      </c>
      <c r="M502" s="352" t="s">
        <v>2185</v>
      </c>
      <c r="N502" s="352" t="s">
        <v>2048</v>
      </c>
      <c r="O502" s="352">
        <v>12</v>
      </c>
      <c r="P502" s="352" t="s">
        <v>2069</v>
      </c>
      <c r="Q502" s="352" t="s">
        <v>2070</v>
      </c>
      <c r="R502" s="251">
        <v>11.534661872272883</v>
      </c>
      <c r="S502" s="251" t="s">
        <v>2015</v>
      </c>
      <c r="T502" s="251" t="s">
        <v>2016</v>
      </c>
      <c r="U502" s="251" t="s">
        <v>1935</v>
      </c>
      <c r="V502" s="251" t="s">
        <v>1936</v>
      </c>
      <c r="X502" s="251">
        <v>0</v>
      </c>
    </row>
    <row r="503" spans="2:24" x14ac:dyDescent="0.2">
      <c r="B503" s="352" t="s">
        <v>875</v>
      </c>
      <c r="C503" s="352" t="s">
        <v>754</v>
      </c>
      <c r="F503" s="352" t="s">
        <v>1999</v>
      </c>
      <c r="G503" s="352" t="s">
        <v>2119</v>
      </c>
      <c r="H503" s="352" t="s">
        <v>1720</v>
      </c>
      <c r="I503" s="352" t="s">
        <v>1000</v>
      </c>
      <c r="J503" s="352" t="s">
        <v>1001</v>
      </c>
      <c r="K503" s="352">
        <v>2142</v>
      </c>
      <c r="L503" s="352" t="s">
        <v>780</v>
      </c>
      <c r="M503" s="352" t="s">
        <v>2186</v>
      </c>
      <c r="N503" s="352" t="s">
        <v>2048</v>
      </c>
      <c r="O503" s="352">
        <v>12</v>
      </c>
      <c r="P503" s="352" t="s">
        <v>2069</v>
      </c>
      <c r="Q503" s="352" t="s">
        <v>2070</v>
      </c>
      <c r="R503" s="251">
        <v>28.693592567808768</v>
      </c>
      <c r="S503" s="251" t="s">
        <v>2015</v>
      </c>
      <c r="T503" s="251" t="s">
        <v>2016</v>
      </c>
      <c r="U503" s="251">
        <v>0</v>
      </c>
      <c r="V503" s="251" t="s">
        <v>2153</v>
      </c>
      <c r="X503" s="251">
        <v>0</v>
      </c>
    </row>
    <row r="504" spans="2:24" x14ac:dyDescent="0.2">
      <c r="B504" s="352" t="s">
        <v>875</v>
      </c>
      <c r="C504" s="352" t="s">
        <v>754</v>
      </c>
      <c r="F504" s="352" t="s">
        <v>1999</v>
      </c>
      <c r="G504" s="352" t="s">
        <v>2119</v>
      </c>
      <c r="H504" s="352" t="s">
        <v>1725</v>
      </c>
      <c r="I504" s="352" t="s">
        <v>1002</v>
      </c>
      <c r="J504" s="352" t="s">
        <v>1003</v>
      </c>
      <c r="K504" s="352">
        <v>2113</v>
      </c>
      <c r="L504" s="352" t="s">
        <v>1875</v>
      </c>
      <c r="M504" s="352" t="s">
        <v>2187</v>
      </c>
      <c r="N504" s="352" t="s">
        <v>2048</v>
      </c>
      <c r="O504" s="352">
        <v>1</v>
      </c>
      <c r="P504" s="352" t="s">
        <v>2065</v>
      </c>
      <c r="Q504" s="352" t="s">
        <v>2066</v>
      </c>
      <c r="R504" s="251">
        <v>0.80865974677099495</v>
      </c>
      <c r="S504" s="251" t="s">
        <v>2015</v>
      </c>
      <c r="T504" s="251" t="s">
        <v>2016</v>
      </c>
      <c r="U504" s="251" t="s">
        <v>1935</v>
      </c>
      <c r="V504" s="251" t="s">
        <v>1936</v>
      </c>
      <c r="X504" s="251">
        <v>0</v>
      </c>
    </row>
    <row r="505" spans="2:24" x14ac:dyDescent="0.2">
      <c r="B505" s="352" t="s">
        <v>875</v>
      </c>
      <c r="C505" s="352" t="s">
        <v>754</v>
      </c>
      <c r="F505" s="352" t="s">
        <v>1999</v>
      </c>
      <c r="G505" s="352" t="s">
        <v>2119</v>
      </c>
      <c r="H505" s="352" t="s">
        <v>1725</v>
      </c>
      <c r="I505" s="352" t="s">
        <v>1002</v>
      </c>
      <c r="J505" s="352" t="s">
        <v>1003</v>
      </c>
      <c r="K505" s="352">
        <v>2123</v>
      </c>
      <c r="L505" s="352" t="s">
        <v>1878</v>
      </c>
      <c r="M505" s="352" t="s">
        <v>2188</v>
      </c>
      <c r="N505" s="352" t="s">
        <v>2048</v>
      </c>
      <c r="O505" s="352">
        <v>1</v>
      </c>
      <c r="P505" s="352" t="s">
        <v>2065</v>
      </c>
      <c r="Q505" s="352" t="s">
        <v>2066</v>
      </c>
      <c r="R505" s="251">
        <v>9.5643447863376565</v>
      </c>
      <c r="S505" s="251" t="s">
        <v>2015</v>
      </c>
      <c r="T505" s="251" t="s">
        <v>2016</v>
      </c>
      <c r="U505" s="251" t="s">
        <v>1935</v>
      </c>
      <c r="V505" s="251" t="s">
        <v>1936</v>
      </c>
      <c r="X505" s="251">
        <v>0</v>
      </c>
    </row>
    <row r="506" spans="2:24" x14ac:dyDescent="0.2">
      <c r="B506" s="352" t="s">
        <v>875</v>
      </c>
      <c r="C506" s="352" t="s">
        <v>754</v>
      </c>
      <c r="F506" s="352" t="s">
        <v>1999</v>
      </c>
      <c r="G506" s="352" t="s">
        <v>2119</v>
      </c>
      <c r="H506" s="352" t="s">
        <v>1730</v>
      </c>
      <c r="I506" s="352" t="s">
        <v>1006</v>
      </c>
      <c r="J506" s="352" t="s">
        <v>1007</v>
      </c>
      <c r="K506" s="352">
        <v>2133</v>
      </c>
      <c r="L506" s="352" t="s">
        <v>1881</v>
      </c>
      <c r="M506" s="352" t="s">
        <v>2189</v>
      </c>
      <c r="N506" s="352" t="s">
        <v>2048</v>
      </c>
      <c r="O506" s="352">
        <v>1</v>
      </c>
      <c r="P506" s="352" t="s">
        <v>2065</v>
      </c>
      <c r="Q506" s="352" t="s">
        <v>2066</v>
      </c>
      <c r="R506" s="251">
        <v>78.775955553567726</v>
      </c>
      <c r="S506" s="251" t="s">
        <v>2015</v>
      </c>
      <c r="T506" s="251" t="s">
        <v>2016</v>
      </c>
      <c r="U506" s="251" t="s">
        <v>1935</v>
      </c>
      <c r="V506" s="251" t="s">
        <v>1936</v>
      </c>
      <c r="X506" s="251">
        <v>0</v>
      </c>
    </row>
    <row r="507" spans="2:24" x14ac:dyDescent="0.2">
      <c r="B507" s="352" t="s">
        <v>875</v>
      </c>
      <c r="C507" s="352" t="s">
        <v>754</v>
      </c>
      <c r="F507" s="352" t="s">
        <v>1999</v>
      </c>
      <c r="G507" s="352" t="s">
        <v>2119</v>
      </c>
      <c r="H507" s="352" t="s">
        <v>1730</v>
      </c>
      <c r="I507" s="352" t="s">
        <v>1006</v>
      </c>
      <c r="J507" s="352" t="s">
        <v>1007</v>
      </c>
      <c r="K507" s="352">
        <v>2141</v>
      </c>
      <c r="L507" s="352" t="s">
        <v>1882</v>
      </c>
      <c r="M507" s="352" t="s">
        <v>2190</v>
      </c>
      <c r="N507" s="352" t="s">
        <v>2048</v>
      </c>
      <c r="O507" s="352">
        <v>1</v>
      </c>
      <c r="P507" s="352" t="s">
        <v>2065</v>
      </c>
      <c r="Q507" s="352" t="s">
        <v>2066</v>
      </c>
      <c r="R507" s="251">
        <v>0</v>
      </c>
      <c r="S507" s="251" t="s">
        <v>2015</v>
      </c>
      <c r="T507" s="251" t="s">
        <v>2054</v>
      </c>
      <c r="U507" s="251" t="s">
        <v>1935</v>
      </c>
      <c r="V507" s="251" t="s">
        <v>1936</v>
      </c>
      <c r="X507" s="251">
        <v>0</v>
      </c>
    </row>
    <row r="508" spans="2:24" x14ac:dyDescent="0.2">
      <c r="B508" s="352" t="s">
        <v>875</v>
      </c>
      <c r="C508" s="352" t="s">
        <v>754</v>
      </c>
      <c r="F508" s="352" t="s">
        <v>1999</v>
      </c>
      <c r="G508" s="352" t="s">
        <v>2119</v>
      </c>
      <c r="H508" s="352" t="s">
        <v>1730</v>
      </c>
      <c r="I508" s="352" t="s">
        <v>1006</v>
      </c>
      <c r="J508" s="352" t="s">
        <v>1007</v>
      </c>
      <c r="K508" s="352">
        <v>2221</v>
      </c>
      <c r="L508" s="352" t="s">
        <v>1884</v>
      </c>
      <c r="M508" s="352" t="s">
        <v>2191</v>
      </c>
      <c r="N508" s="352" t="s">
        <v>2048</v>
      </c>
      <c r="O508" s="352">
        <v>1</v>
      </c>
      <c r="P508" s="352" t="s">
        <v>2065</v>
      </c>
      <c r="Q508" s="352" t="s">
        <v>2066</v>
      </c>
      <c r="R508" s="251">
        <v>0.59875421668345474</v>
      </c>
      <c r="S508" s="251" t="s">
        <v>2015</v>
      </c>
      <c r="T508" s="251" t="s">
        <v>2016</v>
      </c>
      <c r="U508" s="251" t="s">
        <v>1935</v>
      </c>
      <c r="V508" s="251" t="s">
        <v>1936</v>
      </c>
      <c r="X508" s="251">
        <v>0</v>
      </c>
    </row>
    <row r="509" spans="2:24" x14ac:dyDescent="0.2">
      <c r="B509" s="352" t="s">
        <v>875</v>
      </c>
      <c r="C509" s="352" t="s">
        <v>754</v>
      </c>
      <c r="F509" s="352" t="s">
        <v>1999</v>
      </c>
      <c r="G509" s="352" t="s">
        <v>2119</v>
      </c>
      <c r="H509" s="352" t="s">
        <v>1735</v>
      </c>
      <c r="I509" s="352" t="s">
        <v>1008</v>
      </c>
      <c r="J509" s="352" t="s">
        <v>1009</v>
      </c>
      <c r="K509" s="352">
        <v>2223</v>
      </c>
      <c r="L509" s="352" t="s">
        <v>1886</v>
      </c>
      <c r="M509" s="352" t="s">
        <v>2192</v>
      </c>
      <c r="N509" s="352" t="s">
        <v>2048</v>
      </c>
      <c r="O509" s="352">
        <v>2</v>
      </c>
      <c r="P509" s="352" t="s">
        <v>2071</v>
      </c>
      <c r="Q509" s="352" t="s">
        <v>2072</v>
      </c>
      <c r="R509" s="251">
        <v>0.27666363481483458</v>
      </c>
      <c r="S509" s="251" t="s">
        <v>2193</v>
      </c>
      <c r="T509" s="251" t="s">
        <v>2213</v>
      </c>
      <c r="U509" s="251" t="s">
        <v>1937</v>
      </c>
      <c r="V509" s="251" t="s">
        <v>1938</v>
      </c>
      <c r="X509" s="251">
        <v>0</v>
      </c>
    </row>
    <row r="510" spans="2:24" x14ac:dyDescent="0.2">
      <c r="B510" s="352" t="s">
        <v>875</v>
      </c>
      <c r="C510" s="352" t="s">
        <v>754</v>
      </c>
      <c r="F510" s="352" t="s">
        <v>1999</v>
      </c>
      <c r="G510" s="352" t="s">
        <v>2119</v>
      </c>
      <c r="H510" s="352" t="s">
        <v>1740</v>
      </c>
      <c r="I510" s="352" t="s">
        <v>1010</v>
      </c>
      <c r="J510" s="352" t="s">
        <v>1011</v>
      </c>
      <c r="K510" s="352">
        <v>2222</v>
      </c>
      <c r="L510" s="352" t="s">
        <v>1885</v>
      </c>
      <c r="M510" s="352" t="s">
        <v>2194</v>
      </c>
      <c r="N510" s="352" t="s">
        <v>2048</v>
      </c>
      <c r="O510" s="352">
        <v>2</v>
      </c>
      <c r="P510" s="352" t="s">
        <v>2071</v>
      </c>
      <c r="Q510" s="352" t="s">
        <v>2072</v>
      </c>
      <c r="R510" s="251">
        <v>1.3862672329687287</v>
      </c>
      <c r="S510" s="251" t="s">
        <v>2193</v>
      </c>
      <c r="T510" s="251" t="s">
        <v>2213</v>
      </c>
      <c r="U510" s="251" t="s">
        <v>1939</v>
      </c>
      <c r="V510" s="251" t="s">
        <v>1940</v>
      </c>
      <c r="X510" s="251">
        <v>0</v>
      </c>
    </row>
    <row r="511" spans="2:24" x14ac:dyDescent="0.2">
      <c r="B511" s="352" t="s">
        <v>875</v>
      </c>
      <c r="C511" s="352" t="s">
        <v>754</v>
      </c>
      <c r="F511" s="352" t="s">
        <v>1999</v>
      </c>
      <c r="G511" s="352" t="s">
        <v>2119</v>
      </c>
      <c r="H511" s="352" t="s">
        <v>1745</v>
      </c>
      <c r="I511" s="352" t="s">
        <v>1012</v>
      </c>
      <c r="J511" s="352" t="s">
        <v>1013</v>
      </c>
      <c r="K511" s="352">
        <v>2222</v>
      </c>
      <c r="L511" s="352" t="s">
        <v>1885</v>
      </c>
      <c r="M511" s="352" t="s">
        <v>2195</v>
      </c>
      <c r="N511" s="352" t="s">
        <v>2048</v>
      </c>
      <c r="O511" s="352">
        <v>2</v>
      </c>
      <c r="P511" s="352" t="s">
        <v>2071</v>
      </c>
      <c r="Q511" s="352" t="s">
        <v>2072</v>
      </c>
      <c r="R511" s="251">
        <v>0</v>
      </c>
      <c r="S511" s="251" t="s">
        <v>2193</v>
      </c>
      <c r="T511" s="251" t="s">
        <v>2054</v>
      </c>
      <c r="U511" s="251" t="s">
        <v>1939</v>
      </c>
      <c r="V511" s="251" t="s">
        <v>1940</v>
      </c>
      <c r="X511" s="251">
        <v>0</v>
      </c>
    </row>
    <row r="512" spans="2:24" x14ac:dyDescent="0.2">
      <c r="B512" s="352" t="s">
        <v>875</v>
      </c>
      <c r="C512" s="352" t="s">
        <v>754</v>
      </c>
      <c r="F512" s="352" t="s">
        <v>1999</v>
      </c>
      <c r="G512" s="352" t="s">
        <v>2119</v>
      </c>
      <c r="H512" s="352" t="s">
        <v>1750</v>
      </c>
      <c r="I512" s="352" t="s">
        <v>1014</v>
      </c>
      <c r="J512" s="352" t="s">
        <v>1893</v>
      </c>
      <c r="K512" s="352">
        <v>2131</v>
      </c>
      <c r="L512" s="352" t="s">
        <v>1879</v>
      </c>
      <c r="M512" s="352" t="s">
        <v>2196</v>
      </c>
      <c r="N512" s="352" t="s">
        <v>2048</v>
      </c>
      <c r="O512" s="352">
        <v>8</v>
      </c>
      <c r="P512" s="352" t="s">
        <v>2067</v>
      </c>
      <c r="Q512" s="352" t="s">
        <v>2068</v>
      </c>
      <c r="R512" s="251">
        <v>0</v>
      </c>
      <c r="S512" s="251" t="s">
        <v>2015</v>
      </c>
      <c r="T512" s="251" t="s">
        <v>2054</v>
      </c>
      <c r="U512" s="251" t="s">
        <v>1929</v>
      </c>
      <c r="V512" s="251" t="s">
        <v>1930</v>
      </c>
      <c r="X512" s="251">
        <v>0</v>
      </c>
    </row>
    <row r="513" spans="2:24" x14ac:dyDescent="0.2">
      <c r="B513" s="352" t="s">
        <v>875</v>
      </c>
      <c r="C513" s="352" t="s">
        <v>754</v>
      </c>
      <c r="F513" s="352" t="s">
        <v>1999</v>
      </c>
      <c r="G513" s="352" t="s">
        <v>2119</v>
      </c>
      <c r="H513" s="352" t="s">
        <v>1750</v>
      </c>
      <c r="I513" s="352" t="s">
        <v>1014</v>
      </c>
      <c r="J513" s="352" t="s">
        <v>1893</v>
      </c>
      <c r="K513" s="352">
        <v>2132</v>
      </c>
      <c r="L513" s="352" t="s">
        <v>1880</v>
      </c>
      <c r="M513" s="352" t="s">
        <v>2197</v>
      </c>
      <c r="N513" s="352" t="s">
        <v>2048</v>
      </c>
      <c r="O513" s="352">
        <v>8</v>
      </c>
      <c r="P513" s="352" t="s">
        <v>2067</v>
      </c>
      <c r="Q513" s="352" t="s">
        <v>2068</v>
      </c>
      <c r="R513" s="251">
        <v>0</v>
      </c>
      <c r="S513" s="251" t="s">
        <v>2015</v>
      </c>
      <c r="T513" s="251" t="s">
        <v>2054</v>
      </c>
      <c r="U513" s="251" t="s">
        <v>1931</v>
      </c>
      <c r="V513" s="251" t="s">
        <v>1932</v>
      </c>
      <c r="X513" s="251">
        <v>0</v>
      </c>
    </row>
    <row r="514" spans="2:24" x14ac:dyDescent="0.2">
      <c r="B514" s="352" t="s">
        <v>875</v>
      </c>
      <c r="C514" s="352" t="s">
        <v>754</v>
      </c>
      <c r="F514" s="352" t="s">
        <v>1999</v>
      </c>
      <c r="G514" s="352" t="s">
        <v>2119</v>
      </c>
      <c r="H514" s="352" t="s">
        <v>1750</v>
      </c>
      <c r="I514" s="352" t="s">
        <v>1014</v>
      </c>
      <c r="J514" s="352" t="s">
        <v>1893</v>
      </c>
      <c r="K514" s="352">
        <v>2133</v>
      </c>
      <c r="L514" s="352" t="s">
        <v>1881</v>
      </c>
      <c r="M514" s="352" t="s">
        <v>2198</v>
      </c>
      <c r="N514" s="352" t="s">
        <v>2048</v>
      </c>
      <c r="O514" s="352">
        <v>8</v>
      </c>
      <c r="P514" s="352" t="s">
        <v>2067</v>
      </c>
      <c r="Q514" s="352" t="s">
        <v>2068</v>
      </c>
      <c r="R514" s="251">
        <v>0</v>
      </c>
      <c r="S514" s="251" t="s">
        <v>2015</v>
      </c>
      <c r="T514" s="251" t="s">
        <v>2054</v>
      </c>
      <c r="U514" s="251" t="s">
        <v>1935</v>
      </c>
      <c r="V514" s="251" t="s">
        <v>1936</v>
      </c>
      <c r="X514" s="251">
        <v>0</v>
      </c>
    </row>
    <row r="515" spans="2:24" x14ac:dyDescent="0.2">
      <c r="B515" s="352" t="s">
        <v>875</v>
      </c>
      <c r="C515" s="352" t="s">
        <v>754</v>
      </c>
      <c r="F515" s="352" t="s">
        <v>1999</v>
      </c>
      <c r="G515" s="352" t="s">
        <v>2119</v>
      </c>
      <c r="H515" s="352" t="s">
        <v>1750</v>
      </c>
      <c r="I515" s="352" t="s">
        <v>1014</v>
      </c>
      <c r="J515" s="352" t="s">
        <v>1893</v>
      </c>
      <c r="K515" s="352">
        <v>2134</v>
      </c>
      <c r="L515" s="352" t="s">
        <v>775</v>
      </c>
      <c r="M515" s="352" t="s">
        <v>2199</v>
      </c>
      <c r="N515" s="352" t="s">
        <v>2048</v>
      </c>
      <c r="O515" s="352">
        <v>8</v>
      </c>
      <c r="P515" s="352" t="s">
        <v>2067</v>
      </c>
      <c r="Q515" s="352" t="s">
        <v>2068</v>
      </c>
      <c r="R515" s="251">
        <v>5.7765184973207138</v>
      </c>
      <c r="S515" s="251" t="s">
        <v>2015</v>
      </c>
      <c r="T515" s="251" t="s">
        <v>2016</v>
      </c>
      <c r="U515" s="251">
        <v>0</v>
      </c>
      <c r="V515" s="251" t="s">
        <v>2153</v>
      </c>
      <c r="X515" s="251">
        <v>0</v>
      </c>
    </row>
    <row r="516" spans="2:24" x14ac:dyDescent="0.2">
      <c r="B516" s="352" t="s">
        <v>875</v>
      </c>
      <c r="C516" s="352" t="s">
        <v>754</v>
      </c>
      <c r="F516" s="352" t="s">
        <v>1999</v>
      </c>
      <c r="G516" s="352" t="s">
        <v>2119</v>
      </c>
      <c r="H516" s="352" t="s">
        <v>1750</v>
      </c>
      <c r="I516" s="352" t="s">
        <v>1014</v>
      </c>
      <c r="J516" s="352" t="s">
        <v>1893</v>
      </c>
      <c r="K516" s="352">
        <v>2141</v>
      </c>
      <c r="L516" s="352" t="s">
        <v>1882</v>
      </c>
      <c r="M516" s="352" t="s">
        <v>2200</v>
      </c>
      <c r="N516" s="352" t="s">
        <v>2048</v>
      </c>
      <c r="O516" s="352">
        <v>8</v>
      </c>
      <c r="P516" s="352" t="s">
        <v>2067</v>
      </c>
      <c r="Q516" s="352" t="s">
        <v>2068</v>
      </c>
      <c r="R516" s="251">
        <v>0.356742119761017</v>
      </c>
      <c r="S516" s="251" t="s">
        <v>2015</v>
      </c>
      <c r="T516" s="251" t="s">
        <v>2016</v>
      </c>
      <c r="U516" s="251" t="s">
        <v>1935</v>
      </c>
      <c r="V516" s="251" t="s">
        <v>1936</v>
      </c>
      <c r="X516" s="251">
        <v>0</v>
      </c>
    </row>
    <row r="517" spans="2:24" x14ac:dyDescent="0.2">
      <c r="B517" s="352" t="s">
        <v>875</v>
      </c>
      <c r="C517" s="352" t="s">
        <v>754</v>
      </c>
      <c r="F517" s="352" t="s">
        <v>1999</v>
      </c>
      <c r="G517" s="352" t="s">
        <v>2119</v>
      </c>
      <c r="H517" s="352" t="s">
        <v>1750</v>
      </c>
      <c r="I517" s="352" t="s">
        <v>1014</v>
      </c>
      <c r="J517" s="352" t="s">
        <v>1893</v>
      </c>
      <c r="K517" s="352">
        <v>2211</v>
      </c>
      <c r="L517" s="352" t="s">
        <v>1883</v>
      </c>
      <c r="M517" s="352" t="s">
        <v>2201</v>
      </c>
      <c r="N517" s="352" t="s">
        <v>2048</v>
      </c>
      <c r="O517" s="352">
        <v>8</v>
      </c>
      <c r="P517" s="352" t="s">
        <v>2067</v>
      </c>
      <c r="Q517" s="352" t="s">
        <v>2068</v>
      </c>
      <c r="R517" s="251">
        <v>0</v>
      </c>
      <c r="S517" s="251" t="s">
        <v>2015</v>
      </c>
      <c r="T517" s="251" t="s">
        <v>2054</v>
      </c>
      <c r="U517" s="251" t="s">
        <v>1929</v>
      </c>
      <c r="V517" s="251" t="s">
        <v>1930</v>
      </c>
      <c r="X517" s="251">
        <v>0</v>
      </c>
    </row>
    <row r="518" spans="2:24" x14ac:dyDescent="0.2">
      <c r="B518" s="352" t="s">
        <v>875</v>
      </c>
      <c r="C518" s="352" t="s">
        <v>754</v>
      </c>
      <c r="F518" s="352" t="s">
        <v>1999</v>
      </c>
      <c r="G518" s="352" t="s">
        <v>2119</v>
      </c>
      <c r="H518" s="352" t="s">
        <v>1750</v>
      </c>
      <c r="I518" s="352" t="s">
        <v>1014</v>
      </c>
      <c r="J518" s="352" t="s">
        <v>1893</v>
      </c>
      <c r="K518" s="352">
        <v>2221</v>
      </c>
      <c r="L518" s="352" t="s">
        <v>1884</v>
      </c>
      <c r="M518" s="352" t="s">
        <v>2202</v>
      </c>
      <c r="N518" s="352" t="s">
        <v>2048</v>
      </c>
      <c r="O518" s="352">
        <v>8</v>
      </c>
      <c r="P518" s="352" t="s">
        <v>2067</v>
      </c>
      <c r="Q518" s="352" t="s">
        <v>2068</v>
      </c>
      <c r="R518" s="251">
        <v>0</v>
      </c>
      <c r="S518" s="251" t="s">
        <v>2015</v>
      </c>
      <c r="T518" s="251" t="s">
        <v>2054</v>
      </c>
      <c r="U518" s="251" t="s">
        <v>1935</v>
      </c>
      <c r="V518" s="251" t="s">
        <v>1936</v>
      </c>
      <c r="X518" s="251">
        <v>0</v>
      </c>
    </row>
    <row r="519" spans="2:24" x14ac:dyDescent="0.2">
      <c r="B519" s="352" t="s">
        <v>875</v>
      </c>
      <c r="C519" s="352" t="s">
        <v>754</v>
      </c>
      <c r="F519" s="352" t="s">
        <v>1999</v>
      </c>
      <c r="G519" s="352" t="s">
        <v>2119</v>
      </c>
      <c r="H519" s="352" t="s">
        <v>1755</v>
      </c>
      <c r="I519" s="352" t="s">
        <v>1015</v>
      </c>
      <c r="J519" s="352" t="s">
        <v>1016</v>
      </c>
      <c r="K519" s="352">
        <v>3111</v>
      </c>
      <c r="L519" s="352" t="s">
        <v>763</v>
      </c>
      <c r="M519" s="352" t="s">
        <v>2203</v>
      </c>
      <c r="N519" s="352" t="s">
        <v>2048</v>
      </c>
      <c r="O519" s="352">
        <v>1</v>
      </c>
      <c r="P519" s="352" t="s">
        <v>2065</v>
      </c>
      <c r="Q519" s="352" t="s">
        <v>2066</v>
      </c>
      <c r="R519" s="251">
        <v>0</v>
      </c>
      <c r="S519" s="251"/>
      <c r="T519" s="251" t="s">
        <v>2054</v>
      </c>
      <c r="U519" s="251" t="s">
        <v>1945</v>
      </c>
      <c r="V519" s="251" t="s">
        <v>709</v>
      </c>
      <c r="X519" s="251">
        <v>0</v>
      </c>
    </row>
    <row r="520" spans="2:24" x14ac:dyDescent="0.2">
      <c r="B520" s="352" t="s">
        <v>875</v>
      </c>
      <c r="C520" s="352" t="s">
        <v>754</v>
      </c>
      <c r="F520" s="352" t="s">
        <v>1999</v>
      </c>
      <c r="G520" s="352" t="s">
        <v>2119</v>
      </c>
      <c r="H520" s="352" t="s">
        <v>1755</v>
      </c>
      <c r="I520" s="352" t="s">
        <v>1015</v>
      </c>
      <c r="J520" s="352" t="s">
        <v>1016</v>
      </c>
      <c r="K520" s="352">
        <v>3121</v>
      </c>
      <c r="L520" s="352" t="s">
        <v>766</v>
      </c>
      <c r="M520" s="352" t="s">
        <v>2204</v>
      </c>
      <c r="N520" s="352" t="s">
        <v>2048</v>
      </c>
      <c r="O520" s="352">
        <v>1</v>
      </c>
      <c r="P520" s="352" t="s">
        <v>2065</v>
      </c>
      <c r="Q520" s="352" t="s">
        <v>2066</v>
      </c>
      <c r="R520" s="251">
        <v>0</v>
      </c>
      <c r="S520" s="251"/>
      <c r="T520" s="251" t="s">
        <v>2054</v>
      </c>
      <c r="U520" s="251" t="s">
        <v>1945</v>
      </c>
      <c r="V520" s="251" t="s">
        <v>709</v>
      </c>
      <c r="X520" s="251">
        <v>0</v>
      </c>
    </row>
    <row r="521" spans="2:24" x14ac:dyDescent="0.2">
      <c r="B521" s="352" t="s">
        <v>875</v>
      </c>
      <c r="C521" s="352" t="s">
        <v>754</v>
      </c>
      <c r="F521" s="352" t="s">
        <v>1999</v>
      </c>
      <c r="G521" s="352" t="s">
        <v>2119</v>
      </c>
      <c r="H521" s="352" t="s">
        <v>1760</v>
      </c>
      <c r="I521" s="352" t="s">
        <v>1017</v>
      </c>
      <c r="J521" s="352" t="s">
        <v>1018</v>
      </c>
      <c r="K521" s="352">
        <v>4111</v>
      </c>
      <c r="L521" s="352" t="s">
        <v>770</v>
      </c>
      <c r="M521" s="352" t="s">
        <v>2205</v>
      </c>
      <c r="N521" s="352" t="s">
        <v>2048</v>
      </c>
      <c r="O521" s="352">
        <v>11</v>
      </c>
      <c r="P521" s="352" t="s">
        <v>2063</v>
      </c>
      <c r="Q521" s="352" t="s">
        <v>2064</v>
      </c>
      <c r="R521" s="251">
        <v>64.998404586668585</v>
      </c>
      <c r="S521" s="251" t="s">
        <v>2015</v>
      </c>
      <c r="T521" s="251" t="s">
        <v>2016</v>
      </c>
      <c r="U521" s="251" t="s">
        <v>1946</v>
      </c>
      <c r="V521" s="251" t="s">
        <v>1947</v>
      </c>
      <c r="X521" s="251">
        <v>0</v>
      </c>
    </row>
    <row r="522" spans="2:24" x14ac:dyDescent="0.2">
      <c r="B522" s="352" t="s">
        <v>875</v>
      </c>
      <c r="C522" s="352" t="s">
        <v>754</v>
      </c>
      <c r="F522" s="352" t="s">
        <v>1999</v>
      </c>
      <c r="G522" s="352" t="s">
        <v>2119</v>
      </c>
      <c r="H522" s="352" t="s">
        <v>1760</v>
      </c>
      <c r="I522" s="352" t="s">
        <v>1017</v>
      </c>
      <c r="J522" s="352" t="s">
        <v>1018</v>
      </c>
      <c r="K522" s="352">
        <v>4121</v>
      </c>
      <c r="L522" s="352" t="s">
        <v>772</v>
      </c>
      <c r="M522" s="352" t="s">
        <v>2206</v>
      </c>
      <c r="N522" s="352" t="s">
        <v>2048</v>
      </c>
      <c r="O522" s="352">
        <v>11</v>
      </c>
      <c r="P522" s="352" t="s">
        <v>2063</v>
      </c>
      <c r="Q522" s="352" t="s">
        <v>2064</v>
      </c>
      <c r="R522" s="251">
        <v>76.444014208759668</v>
      </c>
      <c r="S522" s="251" t="s">
        <v>2015</v>
      </c>
      <c r="T522" s="251" t="s">
        <v>2016</v>
      </c>
      <c r="U522" s="251" t="s">
        <v>1946</v>
      </c>
      <c r="V522" s="251" t="s">
        <v>1947</v>
      </c>
      <c r="X522" s="251">
        <v>0</v>
      </c>
    </row>
    <row r="523" spans="2:24" x14ac:dyDescent="0.2">
      <c r="B523" s="352" t="s">
        <v>875</v>
      </c>
      <c r="C523" s="352" t="s">
        <v>754</v>
      </c>
      <c r="F523" s="352" t="s">
        <v>1999</v>
      </c>
      <c r="G523" s="352" t="s">
        <v>2119</v>
      </c>
      <c r="H523" s="352" t="s">
        <v>1765</v>
      </c>
      <c r="I523" s="352" t="s">
        <v>1019</v>
      </c>
      <c r="J523" s="352" t="s">
        <v>1020</v>
      </c>
      <c r="K523" s="352">
        <v>4231</v>
      </c>
      <c r="L523" s="352" t="s">
        <v>774</v>
      </c>
      <c r="M523" s="352" t="s">
        <v>2207</v>
      </c>
      <c r="N523" s="352" t="s">
        <v>2048</v>
      </c>
      <c r="O523" s="352">
        <v>1</v>
      </c>
      <c r="P523" s="352" t="s">
        <v>2065</v>
      </c>
      <c r="Q523" s="352" t="s">
        <v>2066</v>
      </c>
      <c r="R523" s="251">
        <v>613.13049765121048</v>
      </c>
      <c r="S523" s="251" t="s">
        <v>2015</v>
      </c>
      <c r="T523" s="251" t="s">
        <v>2016</v>
      </c>
      <c r="U523" s="251" t="s">
        <v>1948</v>
      </c>
      <c r="V523" s="251" t="s">
        <v>1949</v>
      </c>
      <c r="X523" s="251">
        <v>0</v>
      </c>
    </row>
    <row r="524" spans="2:24" x14ac:dyDescent="0.2">
      <c r="B524" s="352" t="s">
        <v>875</v>
      </c>
      <c r="C524" s="352" t="s">
        <v>754</v>
      </c>
      <c r="F524" s="352" t="s">
        <v>1999</v>
      </c>
      <c r="G524" s="352" t="s">
        <v>2119</v>
      </c>
      <c r="H524" s="352" t="s">
        <v>1765</v>
      </c>
      <c r="I524" s="352" t="s">
        <v>1019</v>
      </c>
      <c r="J524" s="352" t="s">
        <v>1020</v>
      </c>
      <c r="K524" s="352">
        <v>4241</v>
      </c>
      <c r="L524" s="352" t="s">
        <v>777</v>
      </c>
      <c r="M524" s="352" t="s">
        <v>2208</v>
      </c>
      <c r="N524" s="352" t="s">
        <v>2048</v>
      </c>
      <c r="O524" s="352">
        <v>1</v>
      </c>
      <c r="P524" s="352" t="s">
        <v>2065</v>
      </c>
      <c r="Q524" s="352" t="s">
        <v>2066</v>
      </c>
      <c r="R524" s="251">
        <v>19822.546504618138</v>
      </c>
      <c r="S524" s="251" t="s">
        <v>2015</v>
      </c>
      <c r="T524" s="251" t="s">
        <v>2016</v>
      </c>
      <c r="U524" s="251" t="s">
        <v>1950</v>
      </c>
      <c r="V524" s="251" t="s">
        <v>1951</v>
      </c>
      <c r="X524" s="251">
        <v>0</v>
      </c>
    </row>
    <row r="525" spans="2:24" x14ac:dyDescent="0.2">
      <c r="B525" s="352" t="s">
        <v>875</v>
      </c>
      <c r="C525" s="352" t="s">
        <v>754</v>
      </c>
      <c r="F525" s="352" t="s">
        <v>1999</v>
      </c>
      <c r="G525" s="352" t="s">
        <v>2119</v>
      </c>
      <c r="H525" s="352" t="s">
        <v>1765</v>
      </c>
      <c r="I525" s="352" t="s">
        <v>1019</v>
      </c>
      <c r="J525" s="352" t="s">
        <v>1020</v>
      </c>
      <c r="K525" s="352">
        <v>4311</v>
      </c>
      <c r="L525" s="352" t="s">
        <v>779</v>
      </c>
      <c r="M525" s="352" t="s">
        <v>2209</v>
      </c>
      <c r="N525" s="352" t="s">
        <v>2048</v>
      </c>
      <c r="O525" s="352">
        <v>1</v>
      </c>
      <c r="P525" s="352" t="s">
        <v>2065</v>
      </c>
      <c r="Q525" s="352" t="s">
        <v>2066</v>
      </c>
      <c r="R525" s="251">
        <v>0</v>
      </c>
      <c r="S525" s="251" t="s">
        <v>2015</v>
      </c>
      <c r="T525" s="251" t="s">
        <v>2054</v>
      </c>
      <c r="U525" s="251" t="s">
        <v>1952</v>
      </c>
      <c r="V525" s="251" t="s">
        <v>1953</v>
      </c>
      <c r="X525" s="251">
        <v>0</v>
      </c>
    </row>
    <row r="526" spans="2:24" x14ac:dyDescent="0.2">
      <c r="B526" s="352" t="s">
        <v>875</v>
      </c>
      <c r="C526" s="352" t="s">
        <v>754</v>
      </c>
      <c r="F526" s="352" t="s">
        <v>1999</v>
      </c>
      <c r="G526" s="352" t="s">
        <v>2119</v>
      </c>
      <c r="H526" s="352" t="s">
        <v>1770</v>
      </c>
      <c r="I526" s="352" t="s">
        <v>1021</v>
      </c>
      <c r="J526" s="352" t="s">
        <v>751</v>
      </c>
      <c r="K526" s="352">
        <v>4231</v>
      </c>
      <c r="L526" s="352" t="s">
        <v>774</v>
      </c>
      <c r="M526" s="352" t="s">
        <v>2210</v>
      </c>
      <c r="N526" s="352" t="s">
        <v>2048</v>
      </c>
      <c r="O526" s="352">
        <v>20</v>
      </c>
      <c r="P526" s="352" t="s">
        <v>2073</v>
      </c>
      <c r="Q526" s="352" t="s">
        <v>2074</v>
      </c>
      <c r="R526" s="251">
        <v>0</v>
      </c>
      <c r="S526" s="251" t="s">
        <v>2015</v>
      </c>
      <c r="T526" s="251" t="s">
        <v>2054</v>
      </c>
      <c r="U526" s="251" t="s">
        <v>1948</v>
      </c>
      <c r="V526" s="251" t="s">
        <v>1949</v>
      </c>
      <c r="X526" s="251">
        <v>0</v>
      </c>
    </row>
    <row r="527" spans="2:24" x14ac:dyDescent="0.2">
      <c r="B527" s="352" t="s">
        <v>875</v>
      </c>
      <c r="C527" s="352" t="s">
        <v>754</v>
      </c>
      <c r="F527" s="352" t="s">
        <v>1999</v>
      </c>
      <c r="G527" s="352" t="s">
        <v>2119</v>
      </c>
      <c r="H527" s="352" t="s">
        <v>1770</v>
      </c>
      <c r="I527" s="352" t="s">
        <v>1021</v>
      </c>
      <c r="J527" s="352" t="s">
        <v>751</v>
      </c>
      <c r="K527" s="352">
        <v>4241</v>
      </c>
      <c r="L527" s="352" t="s">
        <v>777</v>
      </c>
      <c r="M527" s="352" t="s">
        <v>2211</v>
      </c>
      <c r="N527" s="352" t="s">
        <v>2048</v>
      </c>
      <c r="O527" s="352">
        <v>20</v>
      </c>
      <c r="P527" s="352" t="s">
        <v>2073</v>
      </c>
      <c r="Q527" s="352" t="s">
        <v>2074</v>
      </c>
      <c r="R527" s="251">
        <v>0</v>
      </c>
      <c r="S527" s="251" t="s">
        <v>2015</v>
      </c>
      <c r="T527" s="251" t="s">
        <v>2054</v>
      </c>
      <c r="U527" s="251" t="s">
        <v>1950</v>
      </c>
      <c r="V527" s="251" t="s">
        <v>1951</v>
      </c>
      <c r="X527" s="251">
        <v>0</v>
      </c>
    </row>
    <row r="528" spans="2:24" x14ac:dyDescent="0.2">
      <c r="B528" s="352" t="s">
        <v>875</v>
      </c>
      <c r="C528" s="352" t="s">
        <v>754</v>
      </c>
      <c r="F528" s="352" t="s">
        <v>1999</v>
      </c>
      <c r="G528" s="352" t="s">
        <v>2119</v>
      </c>
      <c r="H528" s="352" t="s">
        <v>1770</v>
      </c>
      <c r="I528" s="352" t="s">
        <v>1021</v>
      </c>
      <c r="J528" s="352" t="s">
        <v>751</v>
      </c>
      <c r="K528" s="352">
        <v>4311</v>
      </c>
      <c r="L528" s="352" t="s">
        <v>779</v>
      </c>
      <c r="M528" s="352" t="s">
        <v>2212</v>
      </c>
      <c r="N528" s="352" t="s">
        <v>2048</v>
      </c>
      <c r="O528" s="352">
        <v>20</v>
      </c>
      <c r="P528" s="352" t="s">
        <v>2073</v>
      </c>
      <c r="Q528" s="352" t="s">
        <v>2074</v>
      </c>
      <c r="R528" s="251">
        <v>24050.323138516822</v>
      </c>
      <c r="S528" s="251" t="s">
        <v>2015</v>
      </c>
      <c r="T528" s="251" t="s">
        <v>2016</v>
      </c>
      <c r="U528" s="251" t="s">
        <v>1952</v>
      </c>
      <c r="V528" s="251" t="s">
        <v>1953</v>
      </c>
      <c r="X528" s="251">
        <v>0</v>
      </c>
    </row>
    <row r="529" spans="2:24" x14ac:dyDescent="0.2">
      <c r="B529" s="352" t="s">
        <v>875</v>
      </c>
      <c r="C529" s="352" t="s">
        <v>757</v>
      </c>
      <c r="F529" s="352" t="s">
        <v>2000</v>
      </c>
      <c r="G529" s="352" t="s">
        <v>2126</v>
      </c>
      <c r="H529" s="352" t="s">
        <v>1775</v>
      </c>
      <c r="I529" s="352" t="s">
        <v>1015</v>
      </c>
      <c r="J529" s="352" t="s">
        <v>1016</v>
      </c>
      <c r="K529" s="352">
        <v>3111</v>
      </c>
      <c r="L529" s="352" t="s">
        <v>763</v>
      </c>
      <c r="M529" s="352" t="s">
        <v>2203</v>
      </c>
      <c r="N529" s="352" t="s">
        <v>2076</v>
      </c>
      <c r="O529" s="352">
        <v>99</v>
      </c>
      <c r="P529" s="352" t="s">
        <v>2124</v>
      </c>
      <c r="Q529" s="352" t="s">
        <v>2125</v>
      </c>
      <c r="R529" s="251">
        <v>10515.693574992079</v>
      </c>
      <c r="S529" s="251"/>
      <c r="T529" s="251" t="s">
        <v>2054</v>
      </c>
      <c r="U529" s="251" t="s">
        <v>1945</v>
      </c>
      <c r="V529" s="251" t="s">
        <v>709</v>
      </c>
      <c r="X529" s="251">
        <v>0</v>
      </c>
    </row>
    <row r="530" spans="2:24" x14ac:dyDescent="0.2">
      <c r="B530" s="352" t="s">
        <v>875</v>
      </c>
      <c r="C530" s="352" t="s">
        <v>757</v>
      </c>
      <c r="F530" s="352" t="s">
        <v>2000</v>
      </c>
      <c r="G530" s="352" t="s">
        <v>2126</v>
      </c>
      <c r="H530" s="352" t="s">
        <v>1775</v>
      </c>
      <c r="I530" s="352" t="s">
        <v>1015</v>
      </c>
      <c r="J530" s="352" t="s">
        <v>1016</v>
      </c>
      <c r="K530" s="352">
        <v>3121</v>
      </c>
      <c r="L530" s="352" t="s">
        <v>766</v>
      </c>
      <c r="M530" s="352" t="s">
        <v>2204</v>
      </c>
      <c r="N530" s="352" t="s">
        <v>2076</v>
      </c>
      <c r="O530" s="352">
        <v>99</v>
      </c>
      <c r="P530" s="352" t="s">
        <v>2124</v>
      </c>
      <c r="Q530" s="352" t="s">
        <v>2125</v>
      </c>
      <c r="R530" s="251">
        <v>47904.826286075026</v>
      </c>
      <c r="S530" s="251"/>
      <c r="T530" s="251" t="s">
        <v>2054</v>
      </c>
      <c r="U530" s="251" t="s">
        <v>1945</v>
      </c>
      <c r="V530" s="251" t="s">
        <v>709</v>
      </c>
      <c r="X530" s="251">
        <v>0</v>
      </c>
    </row>
    <row r="531" spans="2:24" x14ac:dyDescent="0.2">
      <c r="B531" s="352" t="s">
        <v>874</v>
      </c>
      <c r="C531" s="352" t="s">
        <v>706</v>
      </c>
      <c r="F531" s="352" t="s">
        <v>1992</v>
      </c>
      <c r="G531" s="352" t="s">
        <v>2052</v>
      </c>
      <c r="H531" s="352" t="s">
        <v>1182</v>
      </c>
      <c r="I531" s="352" t="s">
        <v>969</v>
      </c>
      <c r="J531" s="352" t="s">
        <v>970</v>
      </c>
      <c r="K531" s="352">
        <v>1111</v>
      </c>
      <c r="L531" s="352" t="s">
        <v>699</v>
      </c>
      <c r="M531" s="352" t="s">
        <v>2147</v>
      </c>
      <c r="N531" s="352" t="s">
        <v>2048</v>
      </c>
      <c r="O531" s="352">
        <v>6</v>
      </c>
      <c r="P531" s="352" t="s">
        <v>2049</v>
      </c>
      <c r="Q531" s="352" t="s">
        <v>2050</v>
      </c>
      <c r="R531" s="251">
        <v>52398.11036940926</v>
      </c>
      <c r="S531" s="251" t="s">
        <v>2015</v>
      </c>
      <c r="T531" s="251" t="s">
        <v>2016</v>
      </c>
      <c r="U531" s="251" t="s">
        <v>1914</v>
      </c>
      <c r="V531" s="251" t="s">
        <v>1915</v>
      </c>
      <c r="X531" s="251">
        <v>0</v>
      </c>
    </row>
    <row r="532" spans="2:24" x14ac:dyDescent="0.2">
      <c r="B532" s="352" t="s">
        <v>874</v>
      </c>
      <c r="C532" s="352" t="s">
        <v>706</v>
      </c>
      <c r="F532" s="352" t="s">
        <v>1992</v>
      </c>
      <c r="G532" s="352" t="s">
        <v>2052</v>
      </c>
      <c r="H532" s="352" t="s">
        <v>1182</v>
      </c>
      <c r="I532" s="352" t="s">
        <v>969</v>
      </c>
      <c r="J532" s="352" t="s">
        <v>970</v>
      </c>
      <c r="K532" s="352">
        <v>1231</v>
      </c>
      <c r="L532" s="352" t="s">
        <v>726</v>
      </c>
      <c r="M532" s="352" t="s">
        <v>2148</v>
      </c>
      <c r="N532" s="352" t="s">
        <v>2048</v>
      </c>
      <c r="O532" s="352">
        <v>6</v>
      </c>
      <c r="P532" s="352" t="s">
        <v>2049</v>
      </c>
      <c r="Q532" s="352" t="s">
        <v>2050</v>
      </c>
      <c r="R532" s="251">
        <v>2286.2221168486153</v>
      </c>
      <c r="S532" s="251" t="s">
        <v>2015</v>
      </c>
      <c r="T532" s="251" t="s">
        <v>2016</v>
      </c>
      <c r="U532" s="251" t="s">
        <v>1920</v>
      </c>
      <c r="V532" s="251" t="s">
        <v>726</v>
      </c>
      <c r="X532" s="251">
        <v>0</v>
      </c>
    </row>
    <row r="533" spans="2:24" x14ac:dyDescent="0.2">
      <c r="B533" s="352" t="s">
        <v>874</v>
      </c>
      <c r="C533" s="352" t="s">
        <v>706</v>
      </c>
      <c r="F533" s="352" t="s">
        <v>1992</v>
      </c>
      <c r="G533" s="352" t="s">
        <v>2052</v>
      </c>
      <c r="H533" s="352" t="s">
        <v>1186</v>
      </c>
      <c r="I533" s="352" t="s">
        <v>971</v>
      </c>
      <c r="J533" s="352" t="s">
        <v>972</v>
      </c>
      <c r="K533" s="352">
        <v>1211</v>
      </c>
      <c r="L533" s="352" t="s">
        <v>705</v>
      </c>
      <c r="M533" s="352" t="s">
        <v>2149</v>
      </c>
      <c r="N533" s="352" t="s">
        <v>2048</v>
      </c>
      <c r="O533" s="352">
        <v>6</v>
      </c>
      <c r="P533" s="352" t="s">
        <v>2049</v>
      </c>
      <c r="Q533" s="352" t="s">
        <v>2050</v>
      </c>
      <c r="R533" s="251">
        <v>0</v>
      </c>
      <c r="S533" s="251" t="s">
        <v>2015</v>
      </c>
      <c r="T533" s="251" t="s">
        <v>2054</v>
      </c>
      <c r="U533" s="251" t="s">
        <v>1916</v>
      </c>
      <c r="V533" s="251" t="s">
        <v>1917</v>
      </c>
      <c r="X533" s="251">
        <v>0</v>
      </c>
    </row>
    <row r="534" spans="2:24" x14ac:dyDescent="0.2">
      <c r="B534" s="352" t="s">
        <v>874</v>
      </c>
      <c r="C534" s="352" t="s">
        <v>706</v>
      </c>
      <c r="F534" s="352" t="s">
        <v>1992</v>
      </c>
      <c r="G534" s="352" t="s">
        <v>2052</v>
      </c>
      <c r="H534" s="352" t="s">
        <v>1190</v>
      </c>
      <c r="I534" s="352" t="s">
        <v>973</v>
      </c>
      <c r="J534" s="352" t="s">
        <v>974</v>
      </c>
      <c r="K534" s="352">
        <v>1211</v>
      </c>
      <c r="L534" s="352" t="s">
        <v>705</v>
      </c>
      <c r="M534" s="352" t="s">
        <v>2150</v>
      </c>
      <c r="N534" s="352" t="s">
        <v>2048</v>
      </c>
      <c r="O534" s="352">
        <v>6</v>
      </c>
      <c r="P534" s="352" t="s">
        <v>2049</v>
      </c>
      <c r="Q534" s="352" t="s">
        <v>2050</v>
      </c>
      <c r="R534" s="251">
        <v>10311.768768738873</v>
      </c>
      <c r="S534" s="251" t="s">
        <v>2015</v>
      </c>
      <c r="T534" s="251" t="s">
        <v>2016</v>
      </c>
      <c r="U534" s="251" t="s">
        <v>1916</v>
      </c>
      <c r="V534" s="251" t="s">
        <v>1917</v>
      </c>
      <c r="X534" s="251">
        <v>0</v>
      </c>
    </row>
    <row r="535" spans="2:24" x14ac:dyDescent="0.2">
      <c r="B535" s="352" t="s">
        <v>874</v>
      </c>
      <c r="C535" s="352" t="s">
        <v>706</v>
      </c>
      <c r="F535" s="352" t="s">
        <v>1992</v>
      </c>
      <c r="G535" s="352" t="s">
        <v>2052</v>
      </c>
      <c r="H535" s="352" t="s">
        <v>1190</v>
      </c>
      <c r="I535" s="352" t="s">
        <v>973</v>
      </c>
      <c r="J535" s="352" t="s">
        <v>974</v>
      </c>
      <c r="K535" s="352">
        <v>1221</v>
      </c>
      <c r="L535" s="352" t="s">
        <v>711</v>
      </c>
      <c r="M535" s="352" t="s">
        <v>2151</v>
      </c>
      <c r="N535" s="352" t="s">
        <v>2048</v>
      </c>
      <c r="O535" s="352">
        <v>6</v>
      </c>
      <c r="P535" s="352" t="s">
        <v>2049</v>
      </c>
      <c r="Q535" s="352" t="s">
        <v>2050</v>
      </c>
      <c r="R535" s="251">
        <v>13949.981544846614</v>
      </c>
      <c r="S535" s="251" t="s">
        <v>2015</v>
      </c>
      <c r="T535" s="251" t="s">
        <v>2016</v>
      </c>
      <c r="U535" s="251" t="s">
        <v>1918</v>
      </c>
      <c r="V535" s="251" t="s">
        <v>1919</v>
      </c>
      <c r="X535" s="251">
        <v>0</v>
      </c>
    </row>
    <row r="536" spans="2:24" x14ac:dyDescent="0.2">
      <c r="B536" s="352" t="s">
        <v>874</v>
      </c>
      <c r="C536" s="352" t="s">
        <v>706</v>
      </c>
      <c r="F536" s="352" t="s">
        <v>1992</v>
      </c>
      <c r="G536" s="352" t="s">
        <v>2052</v>
      </c>
      <c r="H536" s="352" t="s">
        <v>1190</v>
      </c>
      <c r="I536" s="352" t="s">
        <v>973</v>
      </c>
      <c r="J536" s="352" t="s">
        <v>974</v>
      </c>
      <c r="K536" s="352">
        <v>1222</v>
      </c>
      <c r="L536" s="352" t="s">
        <v>718</v>
      </c>
      <c r="M536" s="352" t="s">
        <v>2152</v>
      </c>
      <c r="N536" s="352" t="s">
        <v>2048</v>
      </c>
      <c r="O536" s="352">
        <v>6</v>
      </c>
      <c r="P536" s="352" t="s">
        <v>2049</v>
      </c>
      <c r="Q536" s="352" t="s">
        <v>2050</v>
      </c>
      <c r="R536" s="251">
        <v>545.21394392125103</v>
      </c>
      <c r="S536" s="251" t="s">
        <v>2015</v>
      </c>
      <c r="T536" s="251" t="s">
        <v>2016</v>
      </c>
      <c r="U536" s="251">
        <v>0</v>
      </c>
      <c r="V536" s="251" t="s">
        <v>2153</v>
      </c>
      <c r="X536" s="251">
        <v>0</v>
      </c>
    </row>
    <row r="537" spans="2:24" x14ac:dyDescent="0.2">
      <c r="B537" s="352" t="s">
        <v>874</v>
      </c>
      <c r="C537" s="352" t="s">
        <v>706</v>
      </c>
      <c r="F537" s="352" t="s">
        <v>1992</v>
      </c>
      <c r="G537" s="352" t="s">
        <v>2052</v>
      </c>
      <c r="H537" s="352" t="s">
        <v>1194</v>
      </c>
      <c r="I537" s="352" t="s">
        <v>975</v>
      </c>
      <c r="J537" s="352" t="s">
        <v>976</v>
      </c>
      <c r="K537" s="352">
        <v>1221</v>
      </c>
      <c r="L537" s="352" t="s">
        <v>711</v>
      </c>
      <c r="M537" s="352" t="s">
        <v>2154</v>
      </c>
      <c r="N537" s="352" t="s">
        <v>2048</v>
      </c>
      <c r="O537" s="352">
        <v>7</v>
      </c>
      <c r="P537" s="352" t="s">
        <v>2055</v>
      </c>
      <c r="Q537" s="352" t="s">
        <v>2056</v>
      </c>
      <c r="R537" s="251">
        <v>0</v>
      </c>
      <c r="S537" s="251" t="s">
        <v>2015</v>
      </c>
      <c r="T537" s="251" t="s">
        <v>2054</v>
      </c>
      <c r="U537" s="251" t="s">
        <v>1918</v>
      </c>
      <c r="V537" s="251" t="s">
        <v>1919</v>
      </c>
      <c r="X537" s="251">
        <v>0</v>
      </c>
    </row>
    <row r="538" spans="2:24" x14ac:dyDescent="0.2">
      <c r="B538" s="352" t="s">
        <v>874</v>
      </c>
      <c r="C538" s="352" t="s">
        <v>706</v>
      </c>
      <c r="F538" s="352" t="s">
        <v>1992</v>
      </c>
      <c r="G538" s="352" t="s">
        <v>2052</v>
      </c>
      <c r="H538" s="352" t="s">
        <v>1198</v>
      </c>
      <c r="I538" s="352" t="s">
        <v>977</v>
      </c>
      <c r="J538" s="352" t="s">
        <v>864</v>
      </c>
      <c r="K538" s="352">
        <v>1111</v>
      </c>
      <c r="L538" s="352" t="s">
        <v>699</v>
      </c>
      <c r="M538" s="352" t="s">
        <v>2155</v>
      </c>
      <c r="N538" s="352" t="s">
        <v>2048</v>
      </c>
      <c r="O538" s="352">
        <v>5</v>
      </c>
      <c r="P538" s="352" t="s">
        <v>2057</v>
      </c>
      <c r="Q538" s="352" t="s">
        <v>2058</v>
      </c>
      <c r="R538" s="251">
        <v>2847.7233896418074</v>
      </c>
      <c r="S538" s="251" t="s">
        <v>2015</v>
      </c>
      <c r="T538" s="251" t="s">
        <v>2016</v>
      </c>
      <c r="U538" s="251" t="s">
        <v>1914</v>
      </c>
      <c r="V538" s="251" t="s">
        <v>1915</v>
      </c>
      <c r="X538" s="251">
        <v>0</v>
      </c>
    </row>
    <row r="539" spans="2:24" x14ac:dyDescent="0.2">
      <c r="B539" s="352" t="s">
        <v>874</v>
      </c>
      <c r="C539" s="352" t="s">
        <v>706</v>
      </c>
      <c r="F539" s="352" t="s">
        <v>1992</v>
      </c>
      <c r="G539" s="352" t="s">
        <v>2052</v>
      </c>
      <c r="H539" s="352" t="s">
        <v>1198</v>
      </c>
      <c r="I539" s="352" t="s">
        <v>977</v>
      </c>
      <c r="J539" s="352" t="s">
        <v>864</v>
      </c>
      <c r="K539" s="352">
        <v>1211</v>
      </c>
      <c r="L539" s="352" t="s">
        <v>705</v>
      </c>
      <c r="M539" s="352" t="s">
        <v>2156</v>
      </c>
      <c r="N539" s="352" t="s">
        <v>2048</v>
      </c>
      <c r="O539" s="352">
        <v>5</v>
      </c>
      <c r="P539" s="352" t="s">
        <v>2057</v>
      </c>
      <c r="Q539" s="352" t="s">
        <v>2058</v>
      </c>
      <c r="R539" s="251">
        <v>1185.2607780159624</v>
      </c>
      <c r="S539" s="251" t="s">
        <v>2015</v>
      </c>
      <c r="T539" s="251" t="s">
        <v>2016</v>
      </c>
      <c r="U539" s="251" t="s">
        <v>1916</v>
      </c>
      <c r="V539" s="251" t="s">
        <v>1917</v>
      </c>
      <c r="X539" s="251">
        <v>0</v>
      </c>
    </row>
    <row r="540" spans="2:24" x14ac:dyDescent="0.2">
      <c r="B540" s="352" t="s">
        <v>874</v>
      </c>
      <c r="C540" s="352" t="s">
        <v>706</v>
      </c>
      <c r="F540" s="352" t="s">
        <v>1992</v>
      </c>
      <c r="G540" s="352" t="s">
        <v>2052</v>
      </c>
      <c r="H540" s="352" t="s">
        <v>1198</v>
      </c>
      <c r="I540" s="352" t="s">
        <v>977</v>
      </c>
      <c r="J540" s="352" t="s">
        <v>864</v>
      </c>
      <c r="K540" s="352">
        <v>1221</v>
      </c>
      <c r="L540" s="352" t="s">
        <v>711</v>
      </c>
      <c r="M540" s="352" t="s">
        <v>2157</v>
      </c>
      <c r="N540" s="352" t="s">
        <v>2048</v>
      </c>
      <c r="O540" s="352">
        <v>5</v>
      </c>
      <c r="P540" s="352" t="s">
        <v>2057</v>
      </c>
      <c r="Q540" s="352" t="s">
        <v>2058</v>
      </c>
      <c r="R540" s="251">
        <v>1743.7476931058268</v>
      </c>
      <c r="S540" s="251" t="s">
        <v>2015</v>
      </c>
      <c r="T540" s="251" t="s">
        <v>2016</v>
      </c>
      <c r="U540" s="251" t="s">
        <v>1918</v>
      </c>
      <c r="V540" s="251" t="s">
        <v>1919</v>
      </c>
      <c r="X540" s="251">
        <v>0</v>
      </c>
    </row>
    <row r="541" spans="2:24" x14ac:dyDescent="0.2">
      <c r="B541" s="352" t="s">
        <v>874</v>
      </c>
      <c r="C541" s="352" t="s">
        <v>706</v>
      </c>
      <c r="F541" s="352" t="s">
        <v>1992</v>
      </c>
      <c r="G541" s="352" t="s">
        <v>2052</v>
      </c>
      <c r="H541" s="352" t="s">
        <v>1198</v>
      </c>
      <c r="I541" s="352" t="s">
        <v>977</v>
      </c>
      <c r="J541" s="352" t="s">
        <v>864</v>
      </c>
      <c r="K541" s="352">
        <v>1222</v>
      </c>
      <c r="L541" s="352" t="s">
        <v>718</v>
      </c>
      <c r="M541" s="352" t="s">
        <v>2158</v>
      </c>
      <c r="N541" s="352" t="s">
        <v>2048</v>
      </c>
      <c r="O541" s="352">
        <v>5</v>
      </c>
      <c r="P541" s="352" t="s">
        <v>2057</v>
      </c>
      <c r="Q541" s="352" t="s">
        <v>2058</v>
      </c>
      <c r="R541" s="251">
        <v>681.51742990156379</v>
      </c>
      <c r="S541" s="251" t="s">
        <v>2015</v>
      </c>
      <c r="T541" s="251" t="s">
        <v>2016</v>
      </c>
      <c r="U541" s="251">
        <v>0</v>
      </c>
      <c r="V541" s="251" t="s">
        <v>2153</v>
      </c>
      <c r="X541" s="251">
        <v>0</v>
      </c>
    </row>
    <row r="542" spans="2:24" x14ac:dyDescent="0.2">
      <c r="B542" s="352" t="s">
        <v>874</v>
      </c>
      <c r="C542" s="352" t="s">
        <v>706</v>
      </c>
      <c r="F542" s="352" t="s">
        <v>1992</v>
      </c>
      <c r="G542" s="352" t="s">
        <v>2052</v>
      </c>
      <c r="H542" s="352" t="s">
        <v>1198</v>
      </c>
      <c r="I542" s="352" t="s">
        <v>977</v>
      </c>
      <c r="J542" s="352" t="s">
        <v>864</v>
      </c>
      <c r="K542" s="352">
        <v>1231</v>
      </c>
      <c r="L542" s="352" t="s">
        <v>726</v>
      </c>
      <c r="M542" s="352" t="s">
        <v>2159</v>
      </c>
      <c r="N542" s="352" t="s">
        <v>2048</v>
      </c>
      <c r="O542" s="352">
        <v>5</v>
      </c>
      <c r="P542" s="352" t="s">
        <v>2057</v>
      </c>
      <c r="Q542" s="352" t="s">
        <v>2058</v>
      </c>
      <c r="R542" s="251">
        <v>8573.332938182306</v>
      </c>
      <c r="S542" s="251" t="s">
        <v>2015</v>
      </c>
      <c r="T542" s="251" t="s">
        <v>2016</v>
      </c>
      <c r="U542" s="251" t="s">
        <v>1920</v>
      </c>
      <c r="V542" s="251" t="s">
        <v>726</v>
      </c>
      <c r="X542" s="251">
        <v>0</v>
      </c>
    </row>
    <row r="543" spans="2:24" x14ac:dyDescent="0.2">
      <c r="B543" s="352" t="s">
        <v>874</v>
      </c>
      <c r="C543" s="352" t="s">
        <v>706</v>
      </c>
      <c r="F543" s="352" t="s">
        <v>1992</v>
      </c>
      <c r="G543" s="352" t="s">
        <v>2052</v>
      </c>
      <c r="H543" s="352" t="s">
        <v>1198</v>
      </c>
      <c r="I543" s="352" t="s">
        <v>977</v>
      </c>
      <c r="J543" s="352" t="s">
        <v>864</v>
      </c>
      <c r="K543" s="352">
        <v>1232</v>
      </c>
      <c r="L543" s="352" t="s">
        <v>734</v>
      </c>
      <c r="M543" s="352" t="s">
        <v>2160</v>
      </c>
      <c r="N543" s="352" t="s">
        <v>2048</v>
      </c>
      <c r="O543" s="352">
        <v>5</v>
      </c>
      <c r="P543" s="352" t="s">
        <v>2057</v>
      </c>
      <c r="Q543" s="352" t="s">
        <v>2058</v>
      </c>
      <c r="R543" s="251">
        <v>1530.9888753241196</v>
      </c>
      <c r="S543" s="251" t="s">
        <v>2015</v>
      </c>
      <c r="T543" s="251" t="s">
        <v>2016</v>
      </c>
      <c r="U543" s="251">
        <v>0</v>
      </c>
      <c r="V543" s="251" t="s">
        <v>2153</v>
      </c>
      <c r="X543" s="251">
        <v>0</v>
      </c>
    </row>
    <row r="544" spans="2:24" x14ac:dyDescent="0.2">
      <c r="B544" s="352" t="s">
        <v>874</v>
      </c>
      <c r="C544" s="352" t="s">
        <v>706</v>
      </c>
      <c r="F544" s="352" t="s">
        <v>1992</v>
      </c>
      <c r="G544" s="352" t="s">
        <v>2052</v>
      </c>
      <c r="H544" s="352" t="s">
        <v>1198</v>
      </c>
      <c r="I544" s="352" t="s">
        <v>977</v>
      </c>
      <c r="J544" s="352" t="s">
        <v>864</v>
      </c>
      <c r="K544" s="352">
        <v>1241</v>
      </c>
      <c r="L544" s="352" t="s">
        <v>1872</v>
      </c>
      <c r="M544" s="352" t="s">
        <v>2161</v>
      </c>
      <c r="N544" s="352" t="s">
        <v>2048</v>
      </c>
      <c r="O544" s="352">
        <v>5</v>
      </c>
      <c r="P544" s="352" t="s">
        <v>2057</v>
      </c>
      <c r="Q544" s="352" t="s">
        <v>2058</v>
      </c>
      <c r="R544" s="251">
        <v>37.132661801732958</v>
      </c>
      <c r="S544" s="251" t="s">
        <v>2015</v>
      </c>
      <c r="T544" s="251" t="s">
        <v>2016</v>
      </c>
      <c r="U544" s="251">
        <v>0</v>
      </c>
      <c r="V544" s="251" t="s">
        <v>2153</v>
      </c>
      <c r="X544" s="251">
        <v>0</v>
      </c>
    </row>
    <row r="545" spans="2:24" x14ac:dyDescent="0.2">
      <c r="B545" s="352" t="s">
        <v>874</v>
      </c>
      <c r="C545" s="352" t="s">
        <v>706</v>
      </c>
      <c r="F545" s="352" t="s">
        <v>1992</v>
      </c>
      <c r="G545" s="352" t="s">
        <v>2052</v>
      </c>
      <c r="H545" s="352" t="s">
        <v>1198</v>
      </c>
      <c r="I545" s="352" t="s">
        <v>977</v>
      </c>
      <c r="J545" s="352" t="s">
        <v>864</v>
      </c>
      <c r="K545" s="352">
        <v>1251</v>
      </c>
      <c r="L545" s="352" t="s">
        <v>733</v>
      </c>
      <c r="M545" s="352" t="s">
        <v>2162</v>
      </c>
      <c r="N545" s="352" t="s">
        <v>2048</v>
      </c>
      <c r="O545" s="352">
        <v>5</v>
      </c>
      <c r="P545" s="352" t="s">
        <v>2057</v>
      </c>
      <c r="Q545" s="352" t="s">
        <v>2058</v>
      </c>
      <c r="R545" s="251">
        <v>2225.9646426520094</v>
      </c>
      <c r="S545" s="251" t="s">
        <v>2015</v>
      </c>
      <c r="T545" s="251" t="s">
        <v>2016</v>
      </c>
      <c r="U545" s="251">
        <v>0</v>
      </c>
      <c r="V545" s="251" t="s">
        <v>2153</v>
      </c>
      <c r="X545" s="251">
        <v>0</v>
      </c>
    </row>
    <row r="546" spans="2:24" x14ac:dyDescent="0.2">
      <c r="B546" s="352" t="s">
        <v>874</v>
      </c>
      <c r="C546" s="352" t="s">
        <v>706</v>
      </c>
      <c r="F546" s="352" t="s">
        <v>1992</v>
      </c>
      <c r="G546" s="352" t="s">
        <v>2052</v>
      </c>
      <c r="H546" s="352" t="s">
        <v>1202</v>
      </c>
      <c r="I546" s="352" t="s">
        <v>978</v>
      </c>
      <c r="J546" s="352" t="s">
        <v>1892</v>
      </c>
      <c r="K546" s="352">
        <v>1111</v>
      </c>
      <c r="L546" s="352" t="s">
        <v>699</v>
      </c>
      <c r="M546" s="352" t="s">
        <v>2163</v>
      </c>
      <c r="N546" s="352" t="s">
        <v>2048</v>
      </c>
      <c r="O546" s="352">
        <v>5</v>
      </c>
      <c r="P546" s="352" t="s">
        <v>2057</v>
      </c>
      <c r="Q546" s="352" t="s">
        <v>2058</v>
      </c>
      <c r="R546" s="251">
        <v>0</v>
      </c>
      <c r="S546" s="251" t="s">
        <v>2015</v>
      </c>
      <c r="T546" s="251" t="s">
        <v>2054</v>
      </c>
      <c r="U546" s="251" t="s">
        <v>1914</v>
      </c>
      <c r="V546" s="251" t="s">
        <v>1915</v>
      </c>
      <c r="X546" s="251">
        <v>0</v>
      </c>
    </row>
    <row r="547" spans="2:24" x14ac:dyDescent="0.2">
      <c r="B547" s="352" t="s">
        <v>874</v>
      </c>
      <c r="C547" s="352" t="s">
        <v>706</v>
      </c>
      <c r="F547" s="352" t="s">
        <v>1992</v>
      </c>
      <c r="G547" s="352" t="s">
        <v>2052</v>
      </c>
      <c r="H547" s="352" t="s">
        <v>1202</v>
      </c>
      <c r="I547" s="352" t="s">
        <v>978</v>
      </c>
      <c r="J547" s="352" t="s">
        <v>1892</v>
      </c>
      <c r="K547" s="352">
        <v>1231</v>
      </c>
      <c r="L547" s="352" t="s">
        <v>726</v>
      </c>
      <c r="M547" s="352" t="s">
        <v>2164</v>
      </c>
      <c r="N547" s="352" t="s">
        <v>2048</v>
      </c>
      <c r="O547" s="352">
        <v>5</v>
      </c>
      <c r="P547" s="352" t="s">
        <v>2057</v>
      </c>
      <c r="Q547" s="352" t="s">
        <v>2058</v>
      </c>
      <c r="R547" s="251">
        <v>0</v>
      </c>
      <c r="S547" s="251" t="s">
        <v>2015</v>
      </c>
      <c r="T547" s="251" t="s">
        <v>2054</v>
      </c>
      <c r="U547" s="251" t="s">
        <v>1920</v>
      </c>
      <c r="V547" s="251" t="s">
        <v>726</v>
      </c>
      <c r="X547" s="251">
        <v>0</v>
      </c>
    </row>
    <row r="548" spans="2:24" x14ac:dyDescent="0.2">
      <c r="B548" s="352" t="s">
        <v>874</v>
      </c>
      <c r="C548" s="352" t="s">
        <v>706</v>
      </c>
      <c r="F548" s="352" t="s">
        <v>1992</v>
      </c>
      <c r="G548" s="352" t="s">
        <v>2052</v>
      </c>
      <c r="H548" s="352" t="s">
        <v>1206</v>
      </c>
      <c r="I548" s="352" t="s">
        <v>979</v>
      </c>
      <c r="J548" s="352" t="s">
        <v>980</v>
      </c>
      <c r="K548" s="352">
        <v>1241</v>
      </c>
      <c r="L548" s="352" t="s">
        <v>1872</v>
      </c>
      <c r="M548" s="352" t="s">
        <v>2165</v>
      </c>
      <c r="N548" s="352" t="s">
        <v>2048</v>
      </c>
      <c r="O548" s="352">
        <v>7</v>
      </c>
      <c r="P548" s="352" t="s">
        <v>2055</v>
      </c>
      <c r="Q548" s="352" t="s">
        <v>2056</v>
      </c>
      <c r="R548" s="251">
        <v>0</v>
      </c>
      <c r="S548" s="251" t="s">
        <v>2015</v>
      </c>
      <c r="T548" s="251" t="s">
        <v>2054</v>
      </c>
      <c r="U548" s="251">
        <v>0</v>
      </c>
      <c r="V548" s="251" t="s">
        <v>2153</v>
      </c>
      <c r="X548" s="251">
        <v>0</v>
      </c>
    </row>
    <row r="549" spans="2:24" x14ac:dyDescent="0.2">
      <c r="B549" s="352" t="s">
        <v>874</v>
      </c>
      <c r="C549" s="352" t="s">
        <v>706</v>
      </c>
      <c r="F549" s="352" t="s">
        <v>1992</v>
      </c>
      <c r="G549" s="352" t="s">
        <v>2052</v>
      </c>
      <c r="H549" s="352" t="s">
        <v>1210</v>
      </c>
      <c r="I549" s="352" t="s">
        <v>981</v>
      </c>
      <c r="J549" s="352" t="s">
        <v>3674</v>
      </c>
      <c r="K549" s="352">
        <v>1241</v>
      </c>
      <c r="L549" s="352" t="s">
        <v>1872</v>
      </c>
      <c r="M549" s="352" t="s">
        <v>2166</v>
      </c>
      <c r="N549" s="352" t="s">
        <v>2048</v>
      </c>
      <c r="O549" s="352">
        <v>13</v>
      </c>
      <c r="P549" s="352" t="s">
        <v>2059</v>
      </c>
      <c r="Q549" s="352" t="s">
        <v>2060</v>
      </c>
      <c r="R549" s="251">
        <v>0</v>
      </c>
      <c r="S549" s="251" t="s">
        <v>2015</v>
      </c>
      <c r="T549" s="251" t="s">
        <v>2054</v>
      </c>
      <c r="U549" s="251">
        <v>0</v>
      </c>
      <c r="V549" s="251" t="s">
        <v>2153</v>
      </c>
      <c r="X549" s="251">
        <v>0</v>
      </c>
    </row>
    <row r="550" spans="2:24" x14ac:dyDescent="0.2">
      <c r="B550" s="352" t="s">
        <v>874</v>
      </c>
      <c r="C550" s="352" t="s">
        <v>706</v>
      </c>
      <c r="F550" s="352" t="s">
        <v>1992</v>
      </c>
      <c r="G550" s="352" t="s">
        <v>2052</v>
      </c>
      <c r="H550" s="352" t="s">
        <v>1210</v>
      </c>
      <c r="I550" s="352" t="s">
        <v>981</v>
      </c>
      <c r="J550" s="352" t="s">
        <v>3674</v>
      </c>
      <c r="K550" s="352">
        <v>1251</v>
      </c>
      <c r="L550" s="352" t="s">
        <v>733</v>
      </c>
      <c r="M550" s="352" t="s">
        <v>2167</v>
      </c>
      <c r="N550" s="352" t="s">
        <v>2048</v>
      </c>
      <c r="O550" s="352">
        <v>13</v>
      </c>
      <c r="P550" s="352" t="s">
        <v>2059</v>
      </c>
      <c r="Q550" s="352" t="s">
        <v>2060</v>
      </c>
      <c r="R550" s="251">
        <v>0</v>
      </c>
      <c r="S550" s="251" t="s">
        <v>2015</v>
      </c>
      <c r="T550" s="251" t="s">
        <v>2054</v>
      </c>
      <c r="U550" s="251">
        <v>0</v>
      </c>
      <c r="V550" s="251" t="s">
        <v>2153</v>
      </c>
      <c r="X550" s="251">
        <v>0</v>
      </c>
    </row>
    <row r="551" spans="2:24" x14ac:dyDescent="0.2">
      <c r="B551" s="352" t="s">
        <v>874</v>
      </c>
      <c r="C551" s="352" t="s">
        <v>706</v>
      </c>
      <c r="F551" s="352" t="s">
        <v>1992</v>
      </c>
      <c r="G551" s="352" t="s">
        <v>2052</v>
      </c>
      <c r="H551" s="352" t="s">
        <v>1214</v>
      </c>
      <c r="I551" s="352" t="s">
        <v>982</v>
      </c>
      <c r="J551" s="352" t="s">
        <v>983</v>
      </c>
      <c r="K551" s="352">
        <v>2111</v>
      </c>
      <c r="L551" s="352" t="s">
        <v>1873</v>
      </c>
      <c r="M551" s="352" t="s">
        <v>2168</v>
      </c>
      <c r="N551" s="352" t="s">
        <v>2048</v>
      </c>
      <c r="O551" s="352">
        <v>10</v>
      </c>
      <c r="P551" s="352" t="s">
        <v>2061</v>
      </c>
      <c r="Q551" s="352" t="s">
        <v>2062</v>
      </c>
      <c r="R551" s="251">
        <v>0</v>
      </c>
      <c r="S551" s="251" t="s">
        <v>2015</v>
      </c>
      <c r="T551" s="251" t="s">
        <v>2054</v>
      </c>
      <c r="U551" s="251" t="s">
        <v>1929</v>
      </c>
      <c r="V551" s="251" t="s">
        <v>1930</v>
      </c>
      <c r="X551" s="251">
        <v>0</v>
      </c>
    </row>
    <row r="552" spans="2:24" x14ac:dyDescent="0.2">
      <c r="B552" s="352" t="s">
        <v>874</v>
      </c>
      <c r="C552" s="352" t="s">
        <v>706</v>
      </c>
      <c r="F552" s="352" t="s">
        <v>1992</v>
      </c>
      <c r="G552" s="352" t="s">
        <v>2052</v>
      </c>
      <c r="H552" s="352" t="s">
        <v>1214</v>
      </c>
      <c r="I552" s="352" t="s">
        <v>982</v>
      </c>
      <c r="J552" s="352" t="s">
        <v>983</v>
      </c>
      <c r="K552" s="352">
        <v>2121</v>
      </c>
      <c r="L552" s="352" t="s">
        <v>1876</v>
      </c>
      <c r="M552" s="352" t="s">
        <v>2169</v>
      </c>
      <c r="N552" s="352" t="s">
        <v>2048</v>
      </c>
      <c r="O552" s="352">
        <v>10</v>
      </c>
      <c r="P552" s="352" t="s">
        <v>2061</v>
      </c>
      <c r="Q552" s="352" t="s">
        <v>2062</v>
      </c>
      <c r="R552" s="251">
        <v>0</v>
      </c>
      <c r="S552" s="251" t="s">
        <v>2015</v>
      </c>
      <c r="T552" s="251" t="s">
        <v>2054</v>
      </c>
      <c r="U552" s="251" t="s">
        <v>1929</v>
      </c>
      <c r="V552" s="251" t="s">
        <v>1930</v>
      </c>
      <c r="X552" s="251">
        <v>0</v>
      </c>
    </row>
    <row r="553" spans="2:24" x14ac:dyDescent="0.2">
      <c r="B553" s="352" t="s">
        <v>874</v>
      </c>
      <c r="C553" s="352" t="s">
        <v>706</v>
      </c>
      <c r="F553" s="352" t="s">
        <v>1992</v>
      </c>
      <c r="G553" s="352" t="s">
        <v>2052</v>
      </c>
      <c r="H553" s="352" t="s">
        <v>1214</v>
      </c>
      <c r="I553" s="352" t="s">
        <v>982</v>
      </c>
      <c r="J553" s="352" t="s">
        <v>983</v>
      </c>
      <c r="K553" s="352">
        <v>2131</v>
      </c>
      <c r="L553" s="352" t="s">
        <v>1879</v>
      </c>
      <c r="M553" s="352" t="s">
        <v>2170</v>
      </c>
      <c r="N553" s="352" t="s">
        <v>2048</v>
      </c>
      <c r="O553" s="352">
        <v>10</v>
      </c>
      <c r="P553" s="352" t="s">
        <v>2061</v>
      </c>
      <c r="Q553" s="352" t="s">
        <v>2062</v>
      </c>
      <c r="R553" s="251">
        <v>0</v>
      </c>
      <c r="S553" s="251" t="s">
        <v>2015</v>
      </c>
      <c r="T553" s="251" t="s">
        <v>2054</v>
      </c>
      <c r="U553" s="251" t="s">
        <v>1929</v>
      </c>
      <c r="V553" s="251" t="s">
        <v>1930</v>
      </c>
      <c r="X553" s="251">
        <v>0</v>
      </c>
    </row>
    <row r="554" spans="2:24" x14ac:dyDescent="0.2">
      <c r="B554" s="352" t="s">
        <v>874</v>
      </c>
      <c r="C554" s="352" t="s">
        <v>706</v>
      </c>
      <c r="F554" s="352" t="s">
        <v>1992</v>
      </c>
      <c r="G554" s="352" t="s">
        <v>2052</v>
      </c>
      <c r="H554" s="352" t="s">
        <v>1214</v>
      </c>
      <c r="I554" s="352" t="s">
        <v>982</v>
      </c>
      <c r="J554" s="352" t="s">
        <v>983</v>
      </c>
      <c r="K554" s="352">
        <v>2211</v>
      </c>
      <c r="L554" s="352" t="s">
        <v>1883</v>
      </c>
      <c r="M554" s="352" t="s">
        <v>2171</v>
      </c>
      <c r="N554" s="352" t="s">
        <v>2048</v>
      </c>
      <c r="O554" s="352">
        <v>10</v>
      </c>
      <c r="P554" s="352" t="s">
        <v>2061</v>
      </c>
      <c r="Q554" s="352" t="s">
        <v>2062</v>
      </c>
      <c r="R554" s="251">
        <v>0</v>
      </c>
      <c r="S554" s="251" t="s">
        <v>2015</v>
      </c>
      <c r="T554" s="251" t="s">
        <v>2054</v>
      </c>
      <c r="U554" s="251" t="s">
        <v>1929</v>
      </c>
      <c r="V554" s="251" t="s">
        <v>1930</v>
      </c>
      <c r="X554" s="251">
        <v>0</v>
      </c>
    </row>
    <row r="555" spans="2:24" x14ac:dyDescent="0.2">
      <c r="B555" s="352" t="s">
        <v>874</v>
      </c>
      <c r="C555" s="352" t="s">
        <v>706</v>
      </c>
      <c r="F555" s="352" t="s">
        <v>1992</v>
      </c>
      <c r="G555" s="352" t="s">
        <v>2052</v>
      </c>
      <c r="H555" s="352" t="s">
        <v>1218</v>
      </c>
      <c r="I555" s="352" t="s">
        <v>984</v>
      </c>
      <c r="J555" s="352" t="s">
        <v>985</v>
      </c>
      <c r="K555" s="352">
        <v>2111</v>
      </c>
      <c r="L555" s="352" t="s">
        <v>1873</v>
      </c>
      <c r="M555" s="352" t="s">
        <v>2172</v>
      </c>
      <c r="N555" s="352" t="s">
        <v>2048</v>
      </c>
      <c r="O555" s="352">
        <v>11</v>
      </c>
      <c r="P555" s="352" t="s">
        <v>2063</v>
      </c>
      <c r="Q555" s="352" t="s">
        <v>2064</v>
      </c>
      <c r="R555" s="251">
        <v>0</v>
      </c>
      <c r="S555" s="251" t="s">
        <v>2015</v>
      </c>
      <c r="T555" s="251" t="s">
        <v>2054</v>
      </c>
      <c r="U555" s="251" t="s">
        <v>1929</v>
      </c>
      <c r="V555" s="251" t="s">
        <v>1930</v>
      </c>
      <c r="X555" s="251">
        <v>0</v>
      </c>
    </row>
    <row r="556" spans="2:24" x14ac:dyDescent="0.2">
      <c r="B556" s="352" t="s">
        <v>874</v>
      </c>
      <c r="C556" s="352" t="s">
        <v>706</v>
      </c>
      <c r="F556" s="352" t="s">
        <v>1992</v>
      </c>
      <c r="G556" s="352" t="s">
        <v>2052</v>
      </c>
      <c r="H556" s="352" t="s">
        <v>1218</v>
      </c>
      <c r="I556" s="352" t="s">
        <v>984</v>
      </c>
      <c r="J556" s="352" t="s">
        <v>985</v>
      </c>
      <c r="K556" s="352">
        <v>2121</v>
      </c>
      <c r="L556" s="352" t="s">
        <v>1876</v>
      </c>
      <c r="M556" s="352" t="s">
        <v>2173</v>
      </c>
      <c r="N556" s="352" t="s">
        <v>2048</v>
      </c>
      <c r="O556" s="352">
        <v>11</v>
      </c>
      <c r="P556" s="352" t="s">
        <v>2063</v>
      </c>
      <c r="Q556" s="352" t="s">
        <v>2064</v>
      </c>
      <c r="R556" s="251">
        <v>0</v>
      </c>
      <c r="S556" s="251" t="s">
        <v>2015</v>
      </c>
      <c r="T556" s="251" t="s">
        <v>2054</v>
      </c>
      <c r="U556" s="251" t="s">
        <v>1929</v>
      </c>
      <c r="V556" s="251" t="s">
        <v>1930</v>
      </c>
      <c r="X556" s="251">
        <v>0</v>
      </c>
    </row>
    <row r="557" spans="2:24" x14ac:dyDescent="0.2">
      <c r="B557" s="352" t="s">
        <v>874</v>
      </c>
      <c r="C557" s="352" t="s">
        <v>706</v>
      </c>
      <c r="F557" s="352" t="s">
        <v>1992</v>
      </c>
      <c r="G557" s="352" t="s">
        <v>2052</v>
      </c>
      <c r="H557" s="352" t="s">
        <v>1218</v>
      </c>
      <c r="I557" s="352" t="s">
        <v>984</v>
      </c>
      <c r="J557" s="352" t="s">
        <v>985</v>
      </c>
      <c r="K557" s="352">
        <v>2131</v>
      </c>
      <c r="L557" s="352" t="s">
        <v>1879</v>
      </c>
      <c r="M557" s="352" t="s">
        <v>2174</v>
      </c>
      <c r="N557" s="352" t="s">
        <v>2048</v>
      </c>
      <c r="O557" s="352">
        <v>11</v>
      </c>
      <c r="P557" s="352" t="s">
        <v>2063</v>
      </c>
      <c r="Q557" s="352" t="s">
        <v>2064</v>
      </c>
      <c r="R557" s="251">
        <v>0</v>
      </c>
      <c r="S557" s="251" t="s">
        <v>2015</v>
      </c>
      <c r="T557" s="251" t="s">
        <v>2054</v>
      </c>
      <c r="U557" s="251" t="s">
        <v>1929</v>
      </c>
      <c r="V557" s="251" t="s">
        <v>1930</v>
      </c>
      <c r="X557" s="251">
        <v>0</v>
      </c>
    </row>
    <row r="558" spans="2:24" x14ac:dyDescent="0.2">
      <c r="B558" s="352" t="s">
        <v>874</v>
      </c>
      <c r="C558" s="352" t="s">
        <v>706</v>
      </c>
      <c r="F558" s="352" t="s">
        <v>1992</v>
      </c>
      <c r="G558" s="352" t="s">
        <v>2052</v>
      </c>
      <c r="H558" s="352" t="s">
        <v>1218</v>
      </c>
      <c r="I558" s="352" t="s">
        <v>984</v>
      </c>
      <c r="J558" s="352" t="s">
        <v>985</v>
      </c>
      <c r="K558" s="352">
        <v>2211</v>
      </c>
      <c r="L558" s="352" t="s">
        <v>1883</v>
      </c>
      <c r="M558" s="352" t="s">
        <v>2175</v>
      </c>
      <c r="N558" s="352" t="s">
        <v>2048</v>
      </c>
      <c r="O558" s="352">
        <v>11</v>
      </c>
      <c r="P558" s="352" t="s">
        <v>2063</v>
      </c>
      <c r="Q558" s="352" t="s">
        <v>2064</v>
      </c>
      <c r="R558" s="251">
        <v>0</v>
      </c>
      <c r="S558" s="251" t="s">
        <v>2015</v>
      </c>
      <c r="T558" s="251" t="s">
        <v>2054</v>
      </c>
      <c r="U558" s="251" t="s">
        <v>1929</v>
      </c>
      <c r="V558" s="251" t="s">
        <v>1930</v>
      </c>
      <c r="X558" s="251">
        <v>0</v>
      </c>
    </row>
    <row r="559" spans="2:24" x14ac:dyDescent="0.2">
      <c r="B559" s="352" t="s">
        <v>874</v>
      </c>
      <c r="C559" s="352" t="s">
        <v>706</v>
      </c>
      <c r="F559" s="352" t="s">
        <v>1992</v>
      </c>
      <c r="G559" s="352" t="s">
        <v>2052</v>
      </c>
      <c r="H559" s="352" t="s">
        <v>1222</v>
      </c>
      <c r="I559" s="352" t="s">
        <v>986</v>
      </c>
      <c r="J559" s="352" t="s">
        <v>987</v>
      </c>
      <c r="K559" s="352">
        <v>2112</v>
      </c>
      <c r="L559" s="352" t="s">
        <v>1874</v>
      </c>
      <c r="M559" s="352" t="s">
        <v>2176</v>
      </c>
      <c r="N559" s="352" t="s">
        <v>2048</v>
      </c>
      <c r="O559" s="352">
        <v>11</v>
      </c>
      <c r="P559" s="352" t="s">
        <v>2063</v>
      </c>
      <c r="Q559" s="352" t="s">
        <v>2064</v>
      </c>
      <c r="R559" s="251">
        <v>0</v>
      </c>
      <c r="S559" s="251" t="s">
        <v>2015</v>
      </c>
      <c r="T559" s="251" t="s">
        <v>2054</v>
      </c>
      <c r="U559" s="251" t="s">
        <v>1931</v>
      </c>
      <c r="V559" s="251" t="s">
        <v>1932</v>
      </c>
      <c r="X559" s="251">
        <v>0</v>
      </c>
    </row>
    <row r="560" spans="2:24" x14ac:dyDescent="0.2">
      <c r="B560" s="352" t="s">
        <v>874</v>
      </c>
      <c r="C560" s="352" t="s">
        <v>706</v>
      </c>
      <c r="F560" s="352" t="s">
        <v>1992</v>
      </c>
      <c r="G560" s="352" t="s">
        <v>2052</v>
      </c>
      <c r="H560" s="352" t="s">
        <v>1222</v>
      </c>
      <c r="I560" s="352" t="s">
        <v>986</v>
      </c>
      <c r="J560" s="352" t="s">
        <v>987</v>
      </c>
      <c r="K560" s="352">
        <v>2122</v>
      </c>
      <c r="L560" s="352" t="s">
        <v>1877</v>
      </c>
      <c r="M560" s="352" t="s">
        <v>2177</v>
      </c>
      <c r="N560" s="352" t="s">
        <v>2048</v>
      </c>
      <c r="O560" s="352">
        <v>11</v>
      </c>
      <c r="P560" s="352" t="s">
        <v>2063</v>
      </c>
      <c r="Q560" s="352" t="s">
        <v>2064</v>
      </c>
      <c r="R560" s="251">
        <v>0</v>
      </c>
      <c r="S560" s="251" t="s">
        <v>2015</v>
      </c>
      <c r="T560" s="251" t="s">
        <v>2054</v>
      </c>
      <c r="U560" s="251" t="s">
        <v>1931</v>
      </c>
      <c r="V560" s="251" t="s">
        <v>1932</v>
      </c>
      <c r="X560" s="251">
        <v>0</v>
      </c>
    </row>
    <row r="561" spans="2:24" x14ac:dyDescent="0.2">
      <c r="B561" s="352" t="s">
        <v>874</v>
      </c>
      <c r="C561" s="352" t="s">
        <v>706</v>
      </c>
      <c r="F561" s="352" t="s">
        <v>1992</v>
      </c>
      <c r="G561" s="352" t="s">
        <v>2052</v>
      </c>
      <c r="H561" s="352" t="s">
        <v>1226</v>
      </c>
      <c r="I561" s="352" t="s">
        <v>988</v>
      </c>
      <c r="J561" s="352" t="s">
        <v>989</v>
      </c>
      <c r="K561" s="352">
        <v>2112</v>
      </c>
      <c r="L561" s="352" t="s">
        <v>1874</v>
      </c>
      <c r="M561" s="352" t="s">
        <v>2178</v>
      </c>
      <c r="N561" s="352" t="s">
        <v>2048</v>
      </c>
      <c r="O561" s="352">
        <v>11</v>
      </c>
      <c r="P561" s="352" t="s">
        <v>2063</v>
      </c>
      <c r="Q561" s="352" t="s">
        <v>2064</v>
      </c>
      <c r="R561" s="251">
        <v>0</v>
      </c>
      <c r="S561" s="251" t="s">
        <v>2015</v>
      </c>
      <c r="T561" s="251" t="s">
        <v>2054</v>
      </c>
      <c r="U561" s="251" t="s">
        <v>1931</v>
      </c>
      <c r="V561" s="251" t="s">
        <v>1932</v>
      </c>
      <c r="X561" s="251">
        <v>0</v>
      </c>
    </row>
    <row r="562" spans="2:24" x14ac:dyDescent="0.2">
      <c r="B562" s="352" t="s">
        <v>874</v>
      </c>
      <c r="C562" s="352" t="s">
        <v>706</v>
      </c>
      <c r="F562" s="352" t="s">
        <v>1992</v>
      </c>
      <c r="G562" s="352" t="s">
        <v>2052</v>
      </c>
      <c r="H562" s="352" t="s">
        <v>1226</v>
      </c>
      <c r="I562" s="352" t="s">
        <v>988</v>
      </c>
      <c r="J562" s="352" t="s">
        <v>989</v>
      </c>
      <c r="K562" s="352">
        <v>2122</v>
      </c>
      <c r="L562" s="352" t="s">
        <v>1877</v>
      </c>
      <c r="M562" s="352" t="s">
        <v>2179</v>
      </c>
      <c r="N562" s="352" t="s">
        <v>2048</v>
      </c>
      <c r="O562" s="352">
        <v>11</v>
      </c>
      <c r="P562" s="352" t="s">
        <v>2063</v>
      </c>
      <c r="Q562" s="352" t="s">
        <v>2064</v>
      </c>
      <c r="R562" s="251">
        <v>0</v>
      </c>
      <c r="S562" s="251" t="s">
        <v>2015</v>
      </c>
      <c r="T562" s="251" t="s">
        <v>2054</v>
      </c>
      <c r="U562" s="251" t="s">
        <v>1931</v>
      </c>
      <c r="V562" s="251" t="s">
        <v>1932</v>
      </c>
      <c r="X562" s="251">
        <v>0</v>
      </c>
    </row>
    <row r="563" spans="2:24" x14ac:dyDescent="0.2">
      <c r="B563" s="352" t="s">
        <v>874</v>
      </c>
      <c r="C563" s="352" t="s">
        <v>706</v>
      </c>
      <c r="F563" s="352" t="s">
        <v>1992</v>
      </c>
      <c r="G563" s="352" t="s">
        <v>2052</v>
      </c>
      <c r="H563" s="352" t="s">
        <v>1230</v>
      </c>
      <c r="I563" s="352" t="s">
        <v>990</v>
      </c>
      <c r="J563" s="352" t="s">
        <v>991</v>
      </c>
      <c r="K563" s="352">
        <v>2132</v>
      </c>
      <c r="L563" s="352" t="s">
        <v>1880</v>
      </c>
      <c r="M563" s="352" t="s">
        <v>2180</v>
      </c>
      <c r="N563" s="352" t="s">
        <v>2048</v>
      </c>
      <c r="O563" s="352">
        <v>1</v>
      </c>
      <c r="P563" s="352" t="s">
        <v>2065</v>
      </c>
      <c r="Q563" s="352" t="s">
        <v>2066</v>
      </c>
      <c r="R563" s="251">
        <v>0</v>
      </c>
      <c r="S563" s="251" t="s">
        <v>2015</v>
      </c>
      <c r="T563" s="251" t="s">
        <v>2054</v>
      </c>
      <c r="U563" s="251" t="s">
        <v>1931</v>
      </c>
      <c r="V563" s="251" t="s">
        <v>1932</v>
      </c>
      <c r="X563" s="251">
        <v>0</v>
      </c>
    </row>
    <row r="564" spans="2:24" x14ac:dyDescent="0.2">
      <c r="B564" s="352" t="s">
        <v>874</v>
      </c>
      <c r="C564" s="352" t="s">
        <v>706</v>
      </c>
      <c r="F564" s="352" t="s">
        <v>1992</v>
      </c>
      <c r="G564" s="352" t="s">
        <v>2052</v>
      </c>
      <c r="H564" s="352" t="s">
        <v>1234</v>
      </c>
      <c r="I564" s="352" t="s">
        <v>994</v>
      </c>
      <c r="J564" s="352" t="s">
        <v>995</v>
      </c>
      <c r="K564" s="352">
        <v>2311</v>
      </c>
      <c r="L564" s="352" t="s">
        <v>1887</v>
      </c>
      <c r="M564" s="352" t="s">
        <v>2181</v>
      </c>
      <c r="N564" s="352" t="s">
        <v>2048</v>
      </c>
      <c r="O564" s="352">
        <v>8</v>
      </c>
      <c r="P564" s="352" t="s">
        <v>2067</v>
      </c>
      <c r="Q564" s="352" t="s">
        <v>2068</v>
      </c>
      <c r="R564" s="251">
        <v>0</v>
      </c>
      <c r="S564" s="251" t="s">
        <v>2015</v>
      </c>
      <c r="T564" s="251" t="s">
        <v>2054</v>
      </c>
      <c r="U564" s="251" t="s">
        <v>1943</v>
      </c>
      <c r="V564" s="251" t="s">
        <v>1944</v>
      </c>
      <c r="X564" s="251">
        <v>0</v>
      </c>
    </row>
    <row r="565" spans="2:24" x14ac:dyDescent="0.2">
      <c r="B565" s="352" t="s">
        <v>874</v>
      </c>
      <c r="C565" s="352" t="s">
        <v>706</v>
      </c>
      <c r="F565" s="352" t="s">
        <v>1992</v>
      </c>
      <c r="G565" s="352" t="s">
        <v>2052</v>
      </c>
      <c r="H565" s="352" t="s">
        <v>1238</v>
      </c>
      <c r="I565" s="352" t="s">
        <v>996</v>
      </c>
      <c r="J565" s="352" t="s">
        <v>997</v>
      </c>
      <c r="K565" s="352">
        <v>2311</v>
      </c>
      <c r="L565" s="352" t="s">
        <v>1887</v>
      </c>
      <c r="M565" s="352" t="s">
        <v>2182</v>
      </c>
      <c r="N565" s="352" t="s">
        <v>2048</v>
      </c>
      <c r="O565" s="352">
        <v>8</v>
      </c>
      <c r="P565" s="352" t="s">
        <v>2067</v>
      </c>
      <c r="Q565" s="352" t="s">
        <v>2068</v>
      </c>
      <c r="R565" s="251">
        <v>0</v>
      </c>
      <c r="S565" s="251" t="s">
        <v>2015</v>
      </c>
      <c r="T565" s="251" t="s">
        <v>2054</v>
      </c>
      <c r="U565" s="251" t="s">
        <v>1943</v>
      </c>
      <c r="V565" s="251" t="s">
        <v>1944</v>
      </c>
      <c r="X565" s="251">
        <v>0</v>
      </c>
    </row>
    <row r="566" spans="2:24" x14ac:dyDescent="0.2">
      <c r="B566" s="352" t="s">
        <v>874</v>
      </c>
      <c r="C566" s="352" t="s">
        <v>706</v>
      </c>
      <c r="F566" s="352" t="s">
        <v>1992</v>
      </c>
      <c r="G566" s="352" t="s">
        <v>2052</v>
      </c>
      <c r="H566" s="352" t="s">
        <v>1242</v>
      </c>
      <c r="I566" s="352" t="s">
        <v>998</v>
      </c>
      <c r="J566" s="352" t="s">
        <v>999</v>
      </c>
      <c r="K566" s="352">
        <v>2311</v>
      </c>
      <c r="L566" s="352" t="s">
        <v>1887</v>
      </c>
      <c r="M566" s="352" t="s">
        <v>2183</v>
      </c>
      <c r="N566" s="352" t="s">
        <v>2048</v>
      </c>
      <c r="O566" s="352">
        <v>8</v>
      </c>
      <c r="P566" s="352" t="s">
        <v>2067</v>
      </c>
      <c r="Q566" s="352" t="s">
        <v>2068</v>
      </c>
      <c r="R566" s="251">
        <v>0</v>
      </c>
      <c r="S566" s="251" t="s">
        <v>2015</v>
      </c>
      <c r="T566" s="251" t="s">
        <v>2054</v>
      </c>
      <c r="U566" s="251" t="s">
        <v>1943</v>
      </c>
      <c r="V566" s="251" t="s">
        <v>1944</v>
      </c>
      <c r="X566" s="251">
        <v>0</v>
      </c>
    </row>
    <row r="567" spans="2:24" x14ac:dyDescent="0.2">
      <c r="B567" s="352" t="s">
        <v>874</v>
      </c>
      <c r="C567" s="352" t="s">
        <v>706</v>
      </c>
      <c r="F567" s="352" t="s">
        <v>1992</v>
      </c>
      <c r="G567" s="352" t="s">
        <v>2052</v>
      </c>
      <c r="H567" s="352" t="s">
        <v>1242</v>
      </c>
      <c r="I567" s="352" t="s">
        <v>998</v>
      </c>
      <c r="J567" s="352" t="s">
        <v>999</v>
      </c>
      <c r="K567" s="352">
        <v>2312</v>
      </c>
      <c r="L567" s="352" t="s">
        <v>789</v>
      </c>
      <c r="M567" s="352" t="s">
        <v>2184</v>
      </c>
      <c r="N567" s="352" t="s">
        <v>2048</v>
      </c>
      <c r="O567" s="352">
        <v>8</v>
      </c>
      <c r="P567" s="352" t="s">
        <v>2067</v>
      </c>
      <c r="Q567" s="352" t="s">
        <v>2068</v>
      </c>
      <c r="R567" s="251">
        <v>0</v>
      </c>
      <c r="S567" s="251" t="s">
        <v>2015</v>
      </c>
      <c r="T567" s="251" t="s">
        <v>2054</v>
      </c>
      <c r="U567" s="251" t="s">
        <v>1943</v>
      </c>
      <c r="V567" s="251" t="s">
        <v>1944</v>
      </c>
      <c r="X567" s="251">
        <v>0</v>
      </c>
    </row>
    <row r="568" spans="2:24" x14ac:dyDescent="0.2">
      <c r="B568" s="352" t="s">
        <v>874</v>
      </c>
      <c r="C568" s="352" t="s">
        <v>706</v>
      </c>
      <c r="F568" s="352" t="s">
        <v>1992</v>
      </c>
      <c r="G568" s="352" t="s">
        <v>2052</v>
      </c>
      <c r="H568" s="352" t="s">
        <v>1246</v>
      </c>
      <c r="I568" s="352" t="s">
        <v>1000</v>
      </c>
      <c r="J568" s="352" t="s">
        <v>1001</v>
      </c>
      <c r="K568" s="352">
        <v>2141</v>
      </c>
      <c r="L568" s="352" t="s">
        <v>1882</v>
      </c>
      <c r="M568" s="352" t="s">
        <v>2185</v>
      </c>
      <c r="N568" s="352" t="s">
        <v>2048</v>
      </c>
      <c r="O568" s="352">
        <v>12</v>
      </c>
      <c r="P568" s="352" t="s">
        <v>2069</v>
      </c>
      <c r="Q568" s="352" t="s">
        <v>2070</v>
      </c>
      <c r="R568" s="251">
        <v>901.85413672819595</v>
      </c>
      <c r="S568" s="251" t="s">
        <v>2015</v>
      </c>
      <c r="T568" s="251" t="s">
        <v>2016</v>
      </c>
      <c r="U568" s="251" t="s">
        <v>1935</v>
      </c>
      <c r="V568" s="251" t="s">
        <v>1936</v>
      </c>
      <c r="X568" s="251">
        <v>0</v>
      </c>
    </row>
    <row r="569" spans="2:24" x14ac:dyDescent="0.2">
      <c r="B569" s="352" t="s">
        <v>874</v>
      </c>
      <c r="C569" s="352" t="s">
        <v>706</v>
      </c>
      <c r="F569" s="352" t="s">
        <v>1992</v>
      </c>
      <c r="G569" s="352" t="s">
        <v>2052</v>
      </c>
      <c r="H569" s="352" t="s">
        <v>1246</v>
      </c>
      <c r="I569" s="352" t="s">
        <v>1000</v>
      </c>
      <c r="J569" s="352" t="s">
        <v>1001</v>
      </c>
      <c r="K569" s="352">
        <v>2142</v>
      </c>
      <c r="L569" s="352" t="s">
        <v>780</v>
      </c>
      <c r="M569" s="352" t="s">
        <v>2186</v>
      </c>
      <c r="N569" s="352" t="s">
        <v>2048</v>
      </c>
      <c r="O569" s="352">
        <v>12</v>
      </c>
      <c r="P569" s="352" t="s">
        <v>2069</v>
      </c>
      <c r="Q569" s="352" t="s">
        <v>2070</v>
      </c>
      <c r="R569" s="251">
        <v>2176.1463299209368</v>
      </c>
      <c r="S569" s="251" t="s">
        <v>2015</v>
      </c>
      <c r="T569" s="251" t="s">
        <v>2016</v>
      </c>
      <c r="U569" s="251">
        <v>0</v>
      </c>
      <c r="V569" s="251" t="s">
        <v>2153</v>
      </c>
      <c r="X569" s="251">
        <v>0</v>
      </c>
    </row>
    <row r="570" spans="2:24" x14ac:dyDescent="0.2">
      <c r="B570" s="352" t="s">
        <v>874</v>
      </c>
      <c r="C570" s="352" t="s">
        <v>706</v>
      </c>
      <c r="F570" s="352" t="s">
        <v>1992</v>
      </c>
      <c r="G570" s="352" t="s">
        <v>2052</v>
      </c>
      <c r="H570" s="352" t="s">
        <v>1250</v>
      </c>
      <c r="I570" s="352" t="s">
        <v>1002</v>
      </c>
      <c r="J570" s="352" t="s">
        <v>1003</v>
      </c>
      <c r="K570" s="352">
        <v>2113</v>
      </c>
      <c r="L570" s="352" t="s">
        <v>1875</v>
      </c>
      <c r="M570" s="352" t="s">
        <v>2187</v>
      </c>
      <c r="N570" s="352" t="s">
        <v>2048</v>
      </c>
      <c r="O570" s="352">
        <v>1</v>
      </c>
      <c r="P570" s="352" t="s">
        <v>2065</v>
      </c>
      <c r="Q570" s="352" t="s">
        <v>2066</v>
      </c>
      <c r="R570" s="251">
        <v>0</v>
      </c>
      <c r="S570" s="251" t="s">
        <v>2015</v>
      </c>
      <c r="T570" s="251" t="s">
        <v>2054</v>
      </c>
      <c r="U570" s="251" t="s">
        <v>1935</v>
      </c>
      <c r="V570" s="251" t="s">
        <v>1936</v>
      </c>
      <c r="X570" s="251">
        <v>0</v>
      </c>
    </row>
    <row r="571" spans="2:24" x14ac:dyDescent="0.2">
      <c r="B571" s="352" t="s">
        <v>874</v>
      </c>
      <c r="C571" s="352" t="s">
        <v>706</v>
      </c>
      <c r="F571" s="352" t="s">
        <v>1992</v>
      </c>
      <c r="G571" s="352" t="s">
        <v>2052</v>
      </c>
      <c r="H571" s="352" t="s">
        <v>1250</v>
      </c>
      <c r="I571" s="352" t="s">
        <v>1002</v>
      </c>
      <c r="J571" s="352" t="s">
        <v>1003</v>
      </c>
      <c r="K571" s="352">
        <v>2123</v>
      </c>
      <c r="L571" s="352" t="s">
        <v>1878</v>
      </c>
      <c r="M571" s="352" t="s">
        <v>2188</v>
      </c>
      <c r="N571" s="352" t="s">
        <v>2048</v>
      </c>
      <c r="O571" s="352">
        <v>1</v>
      </c>
      <c r="P571" s="352" t="s">
        <v>2065</v>
      </c>
      <c r="Q571" s="352" t="s">
        <v>2066</v>
      </c>
      <c r="R571" s="251">
        <v>0</v>
      </c>
      <c r="S571" s="251" t="s">
        <v>2015</v>
      </c>
      <c r="T571" s="251" t="s">
        <v>2054</v>
      </c>
      <c r="U571" s="251" t="s">
        <v>1935</v>
      </c>
      <c r="V571" s="251" t="s">
        <v>1936</v>
      </c>
      <c r="X571" s="251">
        <v>0</v>
      </c>
    </row>
    <row r="572" spans="2:24" x14ac:dyDescent="0.2">
      <c r="B572" s="352" t="s">
        <v>874</v>
      </c>
      <c r="C572" s="352" t="s">
        <v>706</v>
      </c>
      <c r="F572" s="352" t="s">
        <v>1992</v>
      </c>
      <c r="G572" s="352" t="s">
        <v>2052</v>
      </c>
      <c r="H572" s="352" t="s">
        <v>1254</v>
      </c>
      <c r="I572" s="352" t="s">
        <v>1006</v>
      </c>
      <c r="J572" s="352" t="s">
        <v>1007</v>
      </c>
      <c r="K572" s="352">
        <v>2133</v>
      </c>
      <c r="L572" s="352" t="s">
        <v>1881</v>
      </c>
      <c r="M572" s="352" t="s">
        <v>2189</v>
      </c>
      <c r="N572" s="352" t="s">
        <v>2048</v>
      </c>
      <c r="O572" s="352">
        <v>1</v>
      </c>
      <c r="P572" s="352" t="s">
        <v>2065</v>
      </c>
      <c r="Q572" s="352" t="s">
        <v>2066</v>
      </c>
      <c r="R572" s="251">
        <v>0</v>
      </c>
      <c r="S572" s="251" t="s">
        <v>2015</v>
      </c>
      <c r="T572" s="251" t="s">
        <v>2054</v>
      </c>
      <c r="U572" s="251" t="s">
        <v>1935</v>
      </c>
      <c r="V572" s="251" t="s">
        <v>1936</v>
      </c>
      <c r="X572" s="251">
        <v>0</v>
      </c>
    </row>
    <row r="573" spans="2:24" x14ac:dyDescent="0.2">
      <c r="B573" s="352" t="s">
        <v>874</v>
      </c>
      <c r="C573" s="352" t="s">
        <v>706</v>
      </c>
      <c r="F573" s="352" t="s">
        <v>1992</v>
      </c>
      <c r="G573" s="352" t="s">
        <v>2052</v>
      </c>
      <c r="H573" s="352" t="s">
        <v>1254</v>
      </c>
      <c r="I573" s="352" t="s">
        <v>1006</v>
      </c>
      <c r="J573" s="352" t="s">
        <v>1007</v>
      </c>
      <c r="K573" s="352">
        <v>2141</v>
      </c>
      <c r="L573" s="352" t="s">
        <v>1882</v>
      </c>
      <c r="M573" s="352" t="s">
        <v>2190</v>
      </c>
      <c r="N573" s="352" t="s">
        <v>2048</v>
      </c>
      <c r="O573" s="352">
        <v>1</v>
      </c>
      <c r="P573" s="352" t="s">
        <v>2065</v>
      </c>
      <c r="Q573" s="352" t="s">
        <v>2066</v>
      </c>
      <c r="R573" s="251">
        <v>0</v>
      </c>
      <c r="S573" s="251" t="s">
        <v>2015</v>
      </c>
      <c r="T573" s="251" t="s">
        <v>2054</v>
      </c>
      <c r="U573" s="251" t="s">
        <v>1935</v>
      </c>
      <c r="V573" s="251" t="s">
        <v>1936</v>
      </c>
      <c r="X573" s="251">
        <v>0</v>
      </c>
    </row>
    <row r="574" spans="2:24" x14ac:dyDescent="0.2">
      <c r="B574" s="352" t="s">
        <v>874</v>
      </c>
      <c r="C574" s="352" t="s">
        <v>706</v>
      </c>
      <c r="F574" s="352" t="s">
        <v>1992</v>
      </c>
      <c r="G574" s="352" t="s">
        <v>2052</v>
      </c>
      <c r="H574" s="352" t="s">
        <v>1254</v>
      </c>
      <c r="I574" s="352" t="s">
        <v>1006</v>
      </c>
      <c r="J574" s="352" t="s">
        <v>1007</v>
      </c>
      <c r="K574" s="352">
        <v>2221</v>
      </c>
      <c r="L574" s="352" t="s">
        <v>1884</v>
      </c>
      <c r="M574" s="352" t="s">
        <v>2191</v>
      </c>
      <c r="N574" s="352" t="s">
        <v>2048</v>
      </c>
      <c r="O574" s="352">
        <v>1</v>
      </c>
      <c r="P574" s="352" t="s">
        <v>2065</v>
      </c>
      <c r="Q574" s="352" t="s">
        <v>2066</v>
      </c>
      <c r="R574" s="251">
        <v>0</v>
      </c>
      <c r="S574" s="251" t="s">
        <v>2015</v>
      </c>
      <c r="T574" s="251" t="s">
        <v>2054</v>
      </c>
      <c r="U574" s="251" t="s">
        <v>1935</v>
      </c>
      <c r="V574" s="251" t="s">
        <v>1936</v>
      </c>
      <c r="X574" s="251">
        <v>0</v>
      </c>
    </row>
    <row r="575" spans="2:24" x14ac:dyDescent="0.2">
      <c r="B575" s="352" t="s">
        <v>874</v>
      </c>
      <c r="C575" s="352" t="s">
        <v>706</v>
      </c>
      <c r="F575" s="352" t="s">
        <v>1992</v>
      </c>
      <c r="G575" s="352" t="s">
        <v>2052</v>
      </c>
      <c r="H575" s="352" t="s">
        <v>1258</v>
      </c>
      <c r="I575" s="352" t="s">
        <v>1008</v>
      </c>
      <c r="J575" s="352" t="s">
        <v>1009</v>
      </c>
      <c r="K575" s="352">
        <v>2223</v>
      </c>
      <c r="L575" s="352" t="s">
        <v>1886</v>
      </c>
      <c r="M575" s="352" t="s">
        <v>2192</v>
      </c>
      <c r="N575" s="352" t="s">
        <v>2048</v>
      </c>
      <c r="O575" s="352">
        <v>2</v>
      </c>
      <c r="P575" s="352" t="s">
        <v>2071</v>
      </c>
      <c r="Q575" s="352" t="s">
        <v>2072</v>
      </c>
      <c r="R575" s="251">
        <v>0</v>
      </c>
      <c r="S575" s="251" t="s">
        <v>2193</v>
      </c>
      <c r="T575" s="251" t="s">
        <v>2054</v>
      </c>
      <c r="U575" s="251" t="s">
        <v>1937</v>
      </c>
      <c r="V575" s="251" t="s">
        <v>1938</v>
      </c>
      <c r="X575" s="251">
        <v>0</v>
      </c>
    </row>
    <row r="576" spans="2:24" x14ac:dyDescent="0.2">
      <c r="B576" s="352" t="s">
        <v>874</v>
      </c>
      <c r="C576" s="352" t="s">
        <v>706</v>
      </c>
      <c r="F576" s="352" t="s">
        <v>1992</v>
      </c>
      <c r="G576" s="352" t="s">
        <v>2052</v>
      </c>
      <c r="H576" s="352" t="s">
        <v>1262</v>
      </c>
      <c r="I576" s="352" t="s">
        <v>1010</v>
      </c>
      <c r="J576" s="352" t="s">
        <v>1011</v>
      </c>
      <c r="K576" s="352">
        <v>2222</v>
      </c>
      <c r="L576" s="352" t="s">
        <v>1885</v>
      </c>
      <c r="M576" s="352" t="s">
        <v>2194</v>
      </c>
      <c r="N576" s="352" t="s">
        <v>2048</v>
      </c>
      <c r="O576" s="352">
        <v>2</v>
      </c>
      <c r="P576" s="352" t="s">
        <v>2071</v>
      </c>
      <c r="Q576" s="352" t="s">
        <v>2072</v>
      </c>
      <c r="R576" s="251">
        <v>0</v>
      </c>
      <c r="S576" s="251" t="s">
        <v>2193</v>
      </c>
      <c r="T576" s="251" t="s">
        <v>2054</v>
      </c>
      <c r="U576" s="251" t="s">
        <v>1939</v>
      </c>
      <c r="V576" s="251" t="s">
        <v>1940</v>
      </c>
      <c r="X576" s="251">
        <v>0</v>
      </c>
    </row>
    <row r="577" spans="2:24" x14ac:dyDescent="0.2">
      <c r="B577" s="352" t="s">
        <v>874</v>
      </c>
      <c r="C577" s="352" t="s">
        <v>706</v>
      </c>
      <c r="F577" s="352" t="s">
        <v>1992</v>
      </c>
      <c r="G577" s="352" t="s">
        <v>2052</v>
      </c>
      <c r="H577" s="352" t="s">
        <v>1266</v>
      </c>
      <c r="I577" s="352" t="s">
        <v>1012</v>
      </c>
      <c r="J577" s="352" t="s">
        <v>1013</v>
      </c>
      <c r="K577" s="352">
        <v>2222</v>
      </c>
      <c r="L577" s="352" t="s">
        <v>1885</v>
      </c>
      <c r="M577" s="352" t="s">
        <v>2195</v>
      </c>
      <c r="N577" s="352" t="s">
        <v>2048</v>
      </c>
      <c r="O577" s="352">
        <v>2</v>
      </c>
      <c r="P577" s="352" t="s">
        <v>2071</v>
      </c>
      <c r="Q577" s="352" t="s">
        <v>2072</v>
      </c>
      <c r="R577" s="251">
        <v>0</v>
      </c>
      <c r="S577" s="251" t="s">
        <v>2193</v>
      </c>
      <c r="T577" s="251" t="s">
        <v>2054</v>
      </c>
      <c r="U577" s="251" t="s">
        <v>1939</v>
      </c>
      <c r="V577" s="251" t="s">
        <v>1940</v>
      </c>
      <c r="X577" s="251">
        <v>0</v>
      </c>
    </row>
    <row r="578" spans="2:24" x14ac:dyDescent="0.2">
      <c r="B578" s="352" t="s">
        <v>874</v>
      </c>
      <c r="C578" s="352" t="s">
        <v>706</v>
      </c>
      <c r="F578" s="352" t="s">
        <v>1992</v>
      </c>
      <c r="G578" s="352" t="s">
        <v>2052</v>
      </c>
      <c r="H578" s="352" t="s">
        <v>1270</v>
      </c>
      <c r="I578" s="352" t="s">
        <v>1014</v>
      </c>
      <c r="J578" s="352" t="s">
        <v>1893</v>
      </c>
      <c r="K578" s="352">
        <v>2131</v>
      </c>
      <c r="L578" s="352" t="s">
        <v>1879</v>
      </c>
      <c r="M578" s="352" t="s">
        <v>2196</v>
      </c>
      <c r="N578" s="352" t="s">
        <v>2048</v>
      </c>
      <c r="O578" s="352">
        <v>8</v>
      </c>
      <c r="P578" s="352" t="s">
        <v>2067</v>
      </c>
      <c r="Q578" s="352" t="s">
        <v>2068</v>
      </c>
      <c r="R578" s="251">
        <v>0</v>
      </c>
      <c r="S578" s="251" t="s">
        <v>2015</v>
      </c>
      <c r="T578" s="251" t="s">
        <v>2054</v>
      </c>
      <c r="U578" s="251" t="s">
        <v>1929</v>
      </c>
      <c r="V578" s="251" t="s">
        <v>1930</v>
      </c>
      <c r="X578" s="251">
        <v>0</v>
      </c>
    </row>
    <row r="579" spans="2:24" x14ac:dyDescent="0.2">
      <c r="B579" s="352" t="s">
        <v>874</v>
      </c>
      <c r="C579" s="352" t="s">
        <v>706</v>
      </c>
      <c r="F579" s="352" t="s">
        <v>1992</v>
      </c>
      <c r="G579" s="352" t="s">
        <v>2052</v>
      </c>
      <c r="H579" s="352" t="s">
        <v>1270</v>
      </c>
      <c r="I579" s="352" t="s">
        <v>1014</v>
      </c>
      <c r="J579" s="352" t="s">
        <v>1893</v>
      </c>
      <c r="K579" s="352">
        <v>2132</v>
      </c>
      <c r="L579" s="352" t="s">
        <v>1880</v>
      </c>
      <c r="M579" s="352" t="s">
        <v>2197</v>
      </c>
      <c r="N579" s="352" t="s">
        <v>2048</v>
      </c>
      <c r="O579" s="352">
        <v>8</v>
      </c>
      <c r="P579" s="352" t="s">
        <v>2067</v>
      </c>
      <c r="Q579" s="352" t="s">
        <v>2068</v>
      </c>
      <c r="R579" s="251">
        <v>0</v>
      </c>
      <c r="S579" s="251" t="s">
        <v>2015</v>
      </c>
      <c r="T579" s="251" t="s">
        <v>2054</v>
      </c>
      <c r="U579" s="251" t="s">
        <v>1931</v>
      </c>
      <c r="V579" s="251" t="s">
        <v>1932</v>
      </c>
      <c r="X579" s="251">
        <v>0</v>
      </c>
    </row>
    <row r="580" spans="2:24" x14ac:dyDescent="0.2">
      <c r="B580" s="352" t="s">
        <v>874</v>
      </c>
      <c r="C580" s="352" t="s">
        <v>706</v>
      </c>
      <c r="F580" s="352" t="s">
        <v>1992</v>
      </c>
      <c r="G580" s="352" t="s">
        <v>2052</v>
      </c>
      <c r="H580" s="352" t="s">
        <v>1270</v>
      </c>
      <c r="I580" s="352" t="s">
        <v>1014</v>
      </c>
      <c r="J580" s="352" t="s">
        <v>1893</v>
      </c>
      <c r="K580" s="352">
        <v>2133</v>
      </c>
      <c r="L580" s="352" t="s">
        <v>1881</v>
      </c>
      <c r="M580" s="352" t="s">
        <v>2198</v>
      </c>
      <c r="N580" s="352" t="s">
        <v>2048</v>
      </c>
      <c r="O580" s="352">
        <v>8</v>
      </c>
      <c r="P580" s="352" t="s">
        <v>2067</v>
      </c>
      <c r="Q580" s="352" t="s">
        <v>2068</v>
      </c>
      <c r="R580" s="251">
        <v>0</v>
      </c>
      <c r="S580" s="251" t="s">
        <v>2015</v>
      </c>
      <c r="T580" s="251" t="s">
        <v>2054</v>
      </c>
      <c r="U580" s="251" t="s">
        <v>1935</v>
      </c>
      <c r="V580" s="251" t="s">
        <v>1936</v>
      </c>
      <c r="X580" s="251">
        <v>0</v>
      </c>
    </row>
    <row r="581" spans="2:24" x14ac:dyDescent="0.2">
      <c r="B581" s="352" t="s">
        <v>874</v>
      </c>
      <c r="C581" s="352" t="s">
        <v>706</v>
      </c>
      <c r="F581" s="352" t="s">
        <v>1992</v>
      </c>
      <c r="G581" s="352" t="s">
        <v>2052</v>
      </c>
      <c r="H581" s="352" t="s">
        <v>1270</v>
      </c>
      <c r="I581" s="352" t="s">
        <v>1014</v>
      </c>
      <c r="J581" s="352" t="s">
        <v>1893</v>
      </c>
      <c r="K581" s="352">
        <v>2134</v>
      </c>
      <c r="L581" s="352" t="s">
        <v>775</v>
      </c>
      <c r="M581" s="352" t="s">
        <v>2199</v>
      </c>
      <c r="N581" s="352" t="s">
        <v>2048</v>
      </c>
      <c r="O581" s="352">
        <v>8</v>
      </c>
      <c r="P581" s="352" t="s">
        <v>2067</v>
      </c>
      <c r="Q581" s="352" t="s">
        <v>2068</v>
      </c>
      <c r="R581" s="251">
        <v>0</v>
      </c>
      <c r="S581" s="251" t="s">
        <v>2015</v>
      </c>
      <c r="T581" s="251" t="s">
        <v>2054</v>
      </c>
      <c r="U581" s="251">
        <v>0</v>
      </c>
      <c r="V581" s="251" t="s">
        <v>2153</v>
      </c>
      <c r="X581" s="251">
        <v>0</v>
      </c>
    </row>
    <row r="582" spans="2:24" x14ac:dyDescent="0.2">
      <c r="B582" s="352" t="s">
        <v>874</v>
      </c>
      <c r="C582" s="352" t="s">
        <v>706</v>
      </c>
      <c r="F582" s="352" t="s">
        <v>1992</v>
      </c>
      <c r="G582" s="352" t="s">
        <v>2052</v>
      </c>
      <c r="H582" s="352" t="s">
        <v>1270</v>
      </c>
      <c r="I582" s="352" t="s">
        <v>1014</v>
      </c>
      <c r="J582" s="352" t="s">
        <v>1893</v>
      </c>
      <c r="K582" s="352">
        <v>2141</v>
      </c>
      <c r="L582" s="352" t="s">
        <v>1882</v>
      </c>
      <c r="M582" s="352" t="s">
        <v>2200</v>
      </c>
      <c r="N582" s="352" t="s">
        <v>2048</v>
      </c>
      <c r="O582" s="352">
        <v>8</v>
      </c>
      <c r="P582" s="352" t="s">
        <v>2067</v>
      </c>
      <c r="Q582" s="352" t="s">
        <v>2068</v>
      </c>
      <c r="R582" s="251">
        <v>0</v>
      </c>
      <c r="S582" s="251" t="s">
        <v>2015</v>
      </c>
      <c r="T582" s="251" t="s">
        <v>2054</v>
      </c>
      <c r="U582" s="251" t="s">
        <v>1935</v>
      </c>
      <c r="V582" s="251" t="s">
        <v>1936</v>
      </c>
      <c r="X582" s="251">
        <v>0</v>
      </c>
    </row>
    <row r="583" spans="2:24" x14ac:dyDescent="0.2">
      <c r="B583" s="352" t="s">
        <v>874</v>
      </c>
      <c r="C583" s="352" t="s">
        <v>706</v>
      </c>
      <c r="F583" s="352" t="s">
        <v>1992</v>
      </c>
      <c r="G583" s="352" t="s">
        <v>2052</v>
      </c>
      <c r="H583" s="352" t="s">
        <v>1270</v>
      </c>
      <c r="I583" s="352" t="s">
        <v>1014</v>
      </c>
      <c r="J583" s="352" t="s">
        <v>1893</v>
      </c>
      <c r="K583" s="352">
        <v>2211</v>
      </c>
      <c r="L583" s="352" t="s">
        <v>1883</v>
      </c>
      <c r="M583" s="352" t="s">
        <v>2201</v>
      </c>
      <c r="N583" s="352" t="s">
        <v>2048</v>
      </c>
      <c r="O583" s="352">
        <v>8</v>
      </c>
      <c r="P583" s="352" t="s">
        <v>2067</v>
      </c>
      <c r="Q583" s="352" t="s">
        <v>2068</v>
      </c>
      <c r="R583" s="251">
        <v>0</v>
      </c>
      <c r="S583" s="251" t="s">
        <v>2015</v>
      </c>
      <c r="T583" s="251" t="s">
        <v>2054</v>
      </c>
      <c r="U583" s="251" t="s">
        <v>1929</v>
      </c>
      <c r="V583" s="251" t="s">
        <v>1930</v>
      </c>
      <c r="X583" s="251">
        <v>0</v>
      </c>
    </row>
    <row r="584" spans="2:24" x14ac:dyDescent="0.2">
      <c r="B584" s="352" t="s">
        <v>874</v>
      </c>
      <c r="C584" s="352" t="s">
        <v>706</v>
      </c>
      <c r="F584" s="352" t="s">
        <v>1992</v>
      </c>
      <c r="G584" s="352" t="s">
        <v>2052</v>
      </c>
      <c r="H584" s="352" t="s">
        <v>1270</v>
      </c>
      <c r="I584" s="352" t="s">
        <v>1014</v>
      </c>
      <c r="J584" s="352" t="s">
        <v>1893</v>
      </c>
      <c r="K584" s="352">
        <v>2221</v>
      </c>
      <c r="L584" s="352" t="s">
        <v>1884</v>
      </c>
      <c r="M584" s="352" t="s">
        <v>2202</v>
      </c>
      <c r="N584" s="352" t="s">
        <v>2048</v>
      </c>
      <c r="O584" s="352">
        <v>8</v>
      </c>
      <c r="P584" s="352" t="s">
        <v>2067</v>
      </c>
      <c r="Q584" s="352" t="s">
        <v>2068</v>
      </c>
      <c r="R584" s="251">
        <v>0</v>
      </c>
      <c r="S584" s="251" t="s">
        <v>2015</v>
      </c>
      <c r="T584" s="251" t="s">
        <v>2054</v>
      </c>
      <c r="U584" s="251" t="s">
        <v>1935</v>
      </c>
      <c r="V584" s="251" t="s">
        <v>1936</v>
      </c>
      <c r="X584" s="251">
        <v>0</v>
      </c>
    </row>
    <row r="585" spans="2:24" x14ac:dyDescent="0.2">
      <c r="B585" s="352" t="s">
        <v>874</v>
      </c>
      <c r="C585" s="352" t="s">
        <v>706</v>
      </c>
      <c r="F585" s="352" t="s">
        <v>1992</v>
      </c>
      <c r="G585" s="352" t="s">
        <v>2052</v>
      </c>
      <c r="H585" s="352" t="s">
        <v>1274</v>
      </c>
      <c r="I585" s="352" t="s">
        <v>1015</v>
      </c>
      <c r="J585" s="352" t="s">
        <v>1016</v>
      </c>
      <c r="K585" s="352">
        <v>3111</v>
      </c>
      <c r="L585" s="352" t="s">
        <v>763</v>
      </c>
      <c r="M585" s="352" t="s">
        <v>2203</v>
      </c>
      <c r="N585" s="352" t="s">
        <v>2048</v>
      </c>
      <c r="O585" s="352">
        <v>1</v>
      </c>
      <c r="P585" s="352" t="s">
        <v>2065</v>
      </c>
      <c r="Q585" s="352" t="s">
        <v>2066</v>
      </c>
      <c r="R585" s="251">
        <v>0</v>
      </c>
      <c r="S585" s="251"/>
      <c r="T585" s="251" t="s">
        <v>2054</v>
      </c>
      <c r="U585" s="251" t="s">
        <v>1945</v>
      </c>
      <c r="V585" s="251" t="s">
        <v>709</v>
      </c>
      <c r="X585" s="251">
        <v>0</v>
      </c>
    </row>
    <row r="586" spans="2:24" x14ac:dyDescent="0.2">
      <c r="B586" s="352" t="s">
        <v>874</v>
      </c>
      <c r="C586" s="352" t="s">
        <v>706</v>
      </c>
      <c r="F586" s="352" t="s">
        <v>1992</v>
      </c>
      <c r="G586" s="352" t="s">
        <v>2052</v>
      </c>
      <c r="H586" s="352" t="s">
        <v>1274</v>
      </c>
      <c r="I586" s="352" t="s">
        <v>1015</v>
      </c>
      <c r="J586" s="352" t="s">
        <v>1016</v>
      </c>
      <c r="K586" s="352">
        <v>3121</v>
      </c>
      <c r="L586" s="352" t="s">
        <v>766</v>
      </c>
      <c r="M586" s="352" t="s">
        <v>2204</v>
      </c>
      <c r="N586" s="352" t="s">
        <v>2048</v>
      </c>
      <c r="O586" s="352">
        <v>1</v>
      </c>
      <c r="P586" s="352" t="s">
        <v>2065</v>
      </c>
      <c r="Q586" s="352" t="s">
        <v>2066</v>
      </c>
      <c r="R586" s="251">
        <v>0</v>
      </c>
      <c r="S586" s="251"/>
      <c r="T586" s="251" t="s">
        <v>2054</v>
      </c>
      <c r="U586" s="251" t="s">
        <v>1945</v>
      </c>
      <c r="V586" s="251" t="s">
        <v>709</v>
      </c>
      <c r="X586" s="251">
        <v>0</v>
      </c>
    </row>
    <row r="587" spans="2:24" x14ac:dyDescent="0.2">
      <c r="B587" s="352" t="s">
        <v>874</v>
      </c>
      <c r="C587" s="352" t="s">
        <v>706</v>
      </c>
      <c r="F587" s="352" t="s">
        <v>1992</v>
      </c>
      <c r="G587" s="352" t="s">
        <v>2052</v>
      </c>
      <c r="H587" s="352" t="s">
        <v>1278</v>
      </c>
      <c r="I587" s="352" t="s">
        <v>1017</v>
      </c>
      <c r="J587" s="352" t="s">
        <v>1018</v>
      </c>
      <c r="K587" s="352">
        <v>4111</v>
      </c>
      <c r="L587" s="352" t="s">
        <v>770</v>
      </c>
      <c r="M587" s="352" t="s">
        <v>2205</v>
      </c>
      <c r="N587" s="352" t="s">
        <v>2048</v>
      </c>
      <c r="O587" s="352">
        <v>11</v>
      </c>
      <c r="P587" s="352" t="s">
        <v>2063</v>
      </c>
      <c r="Q587" s="352" t="s">
        <v>2064</v>
      </c>
      <c r="R587" s="251">
        <v>144.12689832008905</v>
      </c>
      <c r="S587" s="251" t="s">
        <v>2015</v>
      </c>
      <c r="T587" s="251" t="s">
        <v>2016</v>
      </c>
      <c r="U587" s="251" t="s">
        <v>1946</v>
      </c>
      <c r="V587" s="251" t="s">
        <v>1947</v>
      </c>
      <c r="X587" s="251">
        <v>0</v>
      </c>
    </row>
    <row r="588" spans="2:24" x14ac:dyDescent="0.2">
      <c r="B588" s="352" t="s">
        <v>874</v>
      </c>
      <c r="C588" s="352" t="s">
        <v>706</v>
      </c>
      <c r="F588" s="352" t="s">
        <v>1992</v>
      </c>
      <c r="G588" s="352" t="s">
        <v>2052</v>
      </c>
      <c r="H588" s="352" t="s">
        <v>1278</v>
      </c>
      <c r="I588" s="352" t="s">
        <v>1017</v>
      </c>
      <c r="J588" s="352" t="s">
        <v>1018</v>
      </c>
      <c r="K588" s="352">
        <v>4121</v>
      </c>
      <c r="L588" s="352" t="s">
        <v>772</v>
      </c>
      <c r="M588" s="352" t="s">
        <v>2206</v>
      </c>
      <c r="N588" s="352" t="s">
        <v>2048</v>
      </c>
      <c r="O588" s="352">
        <v>11</v>
      </c>
      <c r="P588" s="352" t="s">
        <v>2063</v>
      </c>
      <c r="Q588" s="352" t="s">
        <v>2064</v>
      </c>
      <c r="R588" s="251">
        <v>111.17003112613547</v>
      </c>
      <c r="S588" s="251" t="s">
        <v>2015</v>
      </c>
      <c r="T588" s="251" t="s">
        <v>2016</v>
      </c>
      <c r="U588" s="251" t="s">
        <v>1946</v>
      </c>
      <c r="V588" s="251" t="s">
        <v>1947</v>
      </c>
      <c r="X588" s="251">
        <v>0</v>
      </c>
    </row>
    <row r="589" spans="2:24" x14ac:dyDescent="0.2">
      <c r="B589" s="352" t="s">
        <v>874</v>
      </c>
      <c r="C589" s="352" t="s">
        <v>706</v>
      </c>
      <c r="F589" s="352" t="s">
        <v>1992</v>
      </c>
      <c r="G589" s="352" t="s">
        <v>2052</v>
      </c>
      <c r="H589" s="352" t="s">
        <v>1282</v>
      </c>
      <c r="I589" s="352" t="s">
        <v>1019</v>
      </c>
      <c r="J589" s="352" t="s">
        <v>1020</v>
      </c>
      <c r="K589" s="352">
        <v>4231</v>
      </c>
      <c r="L589" s="352" t="s">
        <v>774</v>
      </c>
      <c r="M589" s="352" t="s">
        <v>2207</v>
      </c>
      <c r="N589" s="352" t="s">
        <v>2048</v>
      </c>
      <c r="O589" s="352">
        <v>1</v>
      </c>
      <c r="P589" s="352" t="s">
        <v>2065</v>
      </c>
      <c r="Q589" s="352" t="s">
        <v>2066</v>
      </c>
      <c r="R589" s="251">
        <v>2715.2396414021491</v>
      </c>
      <c r="S589" s="251" t="s">
        <v>2015</v>
      </c>
      <c r="T589" s="251" t="s">
        <v>2016</v>
      </c>
      <c r="U589" s="251" t="s">
        <v>1948</v>
      </c>
      <c r="V589" s="251" t="s">
        <v>1949</v>
      </c>
      <c r="X589" s="251">
        <v>0</v>
      </c>
    </row>
    <row r="590" spans="2:24" x14ac:dyDescent="0.2">
      <c r="B590" s="352" t="s">
        <v>874</v>
      </c>
      <c r="C590" s="352" t="s">
        <v>706</v>
      </c>
      <c r="F590" s="352" t="s">
        <v>1992</v>
      </c>
      <c r="G590" s="352" t="s">
        <v>2052</v>
      </c>
      <c r="H590" s="352" t="s">
        <v>1282</v>
      </c>
      <c r="I590" s="352" t="s">
        <v>1019</v>
      </c>
      <c r="J590" s="352" t="s">
        <v>1020</v>
      </c>
      <c r="K590" s="352">
        <v>4241</v>
      </c>
      <c r="L590" s="352" t="s">
        <v>777</v>
      </c>
      <c r="M590" s="352" t="s">
        <v>2208</v>
      </c>
      <c r="N590" s="352" t="s">
        <v>2048</v>
      </c>
      <c r="O590" s="352">
        <v>1</v>
      </c>
      <c r="P590" s="352" t="s">
        <v>2065</v>
      </c>
      <c r="Q590" s="352" t="s">
        <v>2066</v>
      </c>
      <c r="R590" s="251">
        <v>70.363745513314086</v>
      </c>
      <c r="S590" s="251" t="s">
        <v>2015</v>
      </c>
      <c r="T590" s="251" t="s">
        <v>2016</v>
      </c>
      <c r="U590" s="251" t="s">
        <v>1950</v>
      </c>
      <c r="V590" s="251" t="s">
        <v>1951</v>
      </c>
      <c r="X590" s="251">
        <v>0</v>
      </c>
    </row>
    <row r="591" spans="2:24" x14ac:dyDescent="0.2">
      <c r="B591" s="352" t="s">
        <v>874</v>
      </c>
      <c r="C591" s="352" t="s">
        <v>706</v>
      </c>
      <c r="F591" s="352" t="s">
        <v>1992</v>
      </c>
      <c r="G591" s="352" t="s">
        <v>2052</v>
      </c>
      <c r="H591" s="352" t="s">
        <v>1282</v>
      </c>
      <c r="I591" s="352" t="s">
        <v>1019</v>
      </c>
      <c r="J591" s="352" t="s">
        <v>1020</v>
      </c>
      <c r="K591" s="352">
        <v>4311</v>
      </c>
      <c r="L591" s="352" t="s">
        <v>779</v>
      </c>
      <c r="M591" s="352" t="s">
        <v>2209</v>
      </c>
      <c r="N591" s="352" t="s">
        <v>2048</v>
      </c>
      <c r="O591" s="352">
        <v>1</v>
      </c>
      <c r="P591" s="352" t="s">
        <v>2065</v>
      </c>
      <c r="Q591" s="352" t="s">
        <v>2066</v>
      </c>
      <c r="R591" s="251">
        <v>3.3546391188713942</v>
      </c>
      <c r="S591" s="251" t="s">
        <v>2015</v>
      </c>
      <c r="T591" s="251" t="s">
        <v>2016</v>
      </c>
      <c r="U591" s="251" t="s">
        <v>1952</v>
      </c>
      <c r="V591" s="251" t="s">
        <v>1953</v>
      </c>
      <c r="X591" s="251">
        <v>0</v>
      </c>
    </row>
    <row r="592" spans="2:24" x14ac:dyDescent="0.2">
      <c r="B592" s="352" t="s">
        <v>874</v>
      </c>
      <c r="C592" s="352" t="s">
        <v>706</v>
      </c>
      <c r="F592" s="352" t="s">
        <v>1992</v>
      </c>
      <c r="G592" s="352" t="s">
        <v>2052</v>
      </c>
      <c r="H592" s="352" t="s">
        <v>1286</v>
      </c>
      <c r="I592" s="352" t="s">
        <v>1021</v>
      </c>
      <c r="J592" s="352" t="s">
        <v>751</v>
      </c>
      <c r="K592" s="352">
        <v>4231</v>
      </c>
      <c r="L592" s="352" t="s">
        <v>774</v>
      </c>
      <c r="M592" s="352" t="s">
        <v>2210</v>
      </c>
      <c r="N592" s="352" t="s">
        <v>2048</v>
      </c>
      <c r="O592" s="352">
        <v>20</v>
      </c>
      <c r="P592" s="352" t="s">
        <v>2073</v>
      </c>
      <c r="Q592" s="352" t="s">
        <v>2074</v>
      </c>
      <c r="R592" s="251">
        <v>85.744409728488918</v>
      </c>
      <c r="S592" s="251" t="s">
        <v>2015</v>
      </c>
      <c r="T592" s="251" t="s">
        <v>2016</v>
      </c>
      <c r="U592" s="251" t="s">
        <v>1948</v>
      </c>
      <c r="V592" s="251" t="s">
        <v>1949</v>
      </c>
      <c r="X592" s="251">
        <v>0</v>
      </c>
    </row>
    <row r="593" spans="2:24" x14ac:dyDescent="0.2">
      <c r="B593" s="352" t="s">
        <v>874</v>
      </c>
      <c r="C593" s="352" t="s">
        <v>706</v>
      </c>
      <c r="F593" s="352" t="s">
        <v>1992</v>
      </c>
      <c r="G593" s="352" t="s">
        <v>2052</v>
      </c>
      <c r="H593" s="352" t="s">
        <v>1286</v>
      </c>
      <c r="I593" s="352" t="s">
        <v>1021</v>
      </c>
      <c r="J593" s="352" t="s">
        <v>751</v>
      </c>
      <c r="K593" s="352">
        <v>4241</v>
      </c>
      <c r="L593" s="352" t="s">
        <v>777</v>
      </c>
      <c r="M593" s="352" t="s">
        <v>2211</v>
      </c>
      <c r="N593" s="352" t="s">
        <v>2048</v>
      </c>
      <c r="O593" s="352">
        <v>20</v>
      </c>
      <c r="P593" s="352" t="s">
        <v>2073</v>
      </c>
      <c r="Q593" s="352" t="s">
        <v>2074</v>
      </c>
      <c r="R593" s="251">
        <v>2228.1852745882793</v>
      </c>
      <c r="S593" s="251" t="s">
        <v>2015</v>
      </c>
      <c r="T593" s="251" t="s">
        <v>2016</v>
      </c>
      <c r="U593" s="251" t="s">
        <v>1950</v>
      </c>
      <c r="V593" s="251" t="s">
        <v>1951</v>
      </c>
      <c r="X593" s="251">
        <v>0</v>
      </c>
    </row>
    <row r="594" spans="2:24" x14ac:dyDescent="0.2">
      <c r="B594" s="352" t="s">
        <v>874</v>
      </c>
      <c r="C594" s="352" t="s">
        <v>706</v>
      </c>
      <c r="F594" s="352" t="s">
        <v>1992</v>
      </c>
      <c r="G594" s="352" t="s">
        <v>2052</v>
      </c>
      <c r="H594" s="352" t="s">
        <v>1286</v>
      </c>
      <c r="I594" s="352" t="s">
        <v>1021</v>
      </c>
      <c r="J594" s="352" t="s">
        <v>751</v>
      </c>
      <c r="K594" s="352">
        <v>4311</v>
      </c>
      <c r="L594" s="352" t="s">
        <v>779</v>
      </c>
      <c r="M594" s="352" t="s">
        <v>2212</v>
      </c>
      <c r="N594" s="352" t="s">
        <v>2048</v>
      </c>
      <c r="O594" s="352">
        <v>20</v>
      </c>
      <c r="P594" s="352" t="s">
        <v>2073</v>
      </c>
      <c r="Q594" s="352" t="s">
        <v>2074</v>
      </c>
      <c r="R594" s="251">
        <v>106.23023876426082</v>
      </c>
      <c r="S594" s="251" t="s">
        <v>2015</v>
      </c>
      <c r="T594" s="251" t="s">
        <v>2016</v>
      </c>
      <c r="U594" s="251" t="s">
        <v>1952</v>
      </c>
      <c r="V594" s="251" t="s">
        <v>1953</v>
      </c>
      <c r="X594" s="251">
        <v>0</v>
      </c>
    </row>
    <row r="595" spans="2:24" x14ac:dyDescent="0.2">
      <c r="B595" s="352" t="s">
        <v>874</v>
      </c>
      <c r="C595" s="352" t="s">
        <v>712</v>
      </c>
      <c r="F595" s="352" t="s">
        <v>1993</v>
      </c>
      <c r="G595" s="352" t="s">
        <v>2079</v>
      </c>
      <c r="H595" s="352" t="s">
        <v>1290</v>
      </c>
      <c r="I595" s="352" t="s">
        <v>969</v>
      </c>
      <c r="J595" s="352" t="s">
        <v>970</v>
      </c>
      <c r="K595" s="352">
        <v>1111</v>
      </c>
      <c r="L595" s="352" t="s">
        <v>699</v>
      </c>
      <c r="M595" s="352" t="s">
        <v>2147</v>
      </c>
      <c r="N595" s="352" t="s">
        <v>2076</v>
      </c>
      <c r="O595" s="352">
        <v>5</v>
      </c>
      <c r="P595" s="352" t="s">
        <v>2077</v>
      </c>
      <c r="Q595" s="352" t="s">
        <v>2058</v>
      </c>
      <c r="R595" s="251">
        <v>90563.821785654727</v>
      </c>
      <c r="S595" s="251" t="s">
        <v>2015</v>
      </c>
      <c r="T595" s="251" t="s">
        <v>2016</v>
      </c>
      <c r="U595" s="251" t="s">
        <v>1914</v>
      </c>
      <c r="V595" s="251" t="s">
        <v>1915</v>
      </c>
      <c r="X595" s="251">
        <v>0</v>
      </c>
    </row>
    <row r="596" spans="2:24" x14ac:dyDescent="0.2">
      <c r="B596" s="352" t="s">
        <v>874</v>
      </c>
      <c r="C596" s="352" t="s">
        <v>712</v>
      </c>
      <c r="F596" s="352" t="s">
        <v>1993</v>
      </c>
      <c r="G596" s="352" t="s">
        <v>2079</v>
      </c>
      <c r="H596" s="352" t="s">
        <v>1290</v>
      </c>
      <c r="I596" s="352" t="s">
        <v>969</v>
      </c>
      <c r="J596" s="352" t="s">
        <v>970</v>
      </c>
      <c r="K596" s="352">
        <v>1231</v>
      </c>
      <c r="L596" s="352" t="s">
        <v>726</v>
      </c>
      <c r="M596" s="352" t="s">
        <v>2148</v>
      </c>
      <c r="N596" s="352" t="s">
        <v>2076</v>
      </c>
      <c r="O596" s="352">
        <v>5</v>
      </c>
      <c r="P596" s="352" t="s">
        <v>2077</v>
      </c>
      <c r="Q596" s="352" t="s">
        <v>2058</v>
      </c>
      <c r="R596" s="251">
        <v>3428.3119487676072</v>
      </c>
      <c r="S596" s="251" t="s">
        <v>2015</v>
      </c>
      <c r="T596" s="251" t="s">
        <v>2016</v>
      </c>
      <c r="U596" s="251" t="s">
        <v>1920</v>
      </c>
      <c r="V596" s="251" t="s">
        <v>726</v>
      </c>
      <c r="X596" s="251">
        <v>0</v>
      </c>
    </row>
    <row r="597" spans="2:24" x14ac:dyDescent="0.2">
      <c r="B597" s="352" t="s">
        <v>874</v>
      </c>
      <c r="C597" s="352" t="s">
        <v>712</v>
      </c>
      <c r="F597" s="352" t="s">
        <v>1993</v>
      </c>
      <c r="G597" s="352" t="s">
        <v>2079</v>
      </c>
      <c r="H597" s="352" t="s">
        <v>1294</v>
      </c>
      <c r="I597" s="352" t="s">
        <v>971</v>
      </c>
      <c r="J597" s="352" t="s">
        <v>972</v>
      </c>
      <c r="K597" s="352">
        <v>1211</v>
      </c>
      <c r="L597" s="352" t="s">
        <v>705</v>
      </c>
      <c r="M597" s="352" t="s">
        <v>2149</v>
      </c>
      <c r="N597" s="352" t="s">
        <v>2076</v>
      </c>
      <c r="O597" s="352">
        <v>5</v>
      </c>
      <c r="P597" s="352" t="s">
        <v>2077</v>
      </c>
      <c r="Q597" s="352" t="s">
        <v>2058</v>
      </c>
      <c r="R597" s="251">
        <v>0</v>
      </c>
      <c r="S597" s="251" t="s">
        <v>2015</v>
      </c>
      <c r="T597" s="251" t="s">
        <v>2054</v>
      </c>
      <c r="U597" s="251" t="s">
        <v>1916</v>
      </c>
      <c r="V597" s="251" t="s">
        <v>1917</v>
      </c>
      <c r="X597" s="251">
        <v>0</v>
      </c>
    </row>
    <row r="598" spans="2:24" x14ac:dyDescent="0.2">
      <c r="B598" s="352" t="s">
        <v>874</v>
      </c>
      <c r="C598" s="352" t="s">
        <v>712</v>
      </c>
      <c r="F598" s="352" t="s">
        <v>1993</v>
      </c>
      <c r="G598" s="352" t="s">
        <v>2079</v>
      </c>
      <c r="H598" s="352" t="s">
        <v>1298</v>
      </c>
      <c r="I598" s="352" t="s">
        <v>973</v>
      </c>
      <c r="J598" s="352" t="s">
        <v>974</v>
      </c>
      <c r="K598" s="352">
        <v>1211</v>
      </c>
      <c r="L598" s="352" t="s">
        <v>705</v>
      </c>
      <c r="M598" s="352" t="s">
        <v>2150</v>
      </c>
      <c r="N598" s="352" t="s">
        <v>2076</v>
      </c>
      <c r="O598" s="352">
        <v>5</v>
      </c>
      <c r="P598" s="352" t="s">
        <v>2077</v>
      </c>
      <c r="Q598" s="352" t="s">
        <v>2058</v>
      </c>
      <c r="R598" s="251">
        <v>16715.567872348805</v>
      </c>
      <c r="S598" s="251" t="s">
        <v>2015</v>
      </c>
      <c r="T598" s="251" t="s">
        <v>2016</v>
      </c>
      <c r="U598" s="251" t="s">
        <v>1916</v>
      </c>
      <c r="V598" s="251" t="s">
        <v>1917</v>
      </c>
      <c r="X598" s="251">
        <v>0</v>
      </c>
    </row>
    <row r="599" spans="2:24" x14ac:dyDescent="0.2">
      <c r="B599" s="352" t="s">
        <v>874</v>
      </c>
      <c r="C599" s="352" t="s">
        <v>712</v>
      </c>
      <c r="F599" s="352" t="s">
        <v>1993</v>
      </c>
      <c r="G599" s="352" t="s">
        <v>2079</v>
      </c>
      <c r="H599" s="352" t="s">
        <v>1298</v>
      </c>
      <c r="I599" s="352" t="s">
        <v>973</v>
      </c>
      <c r="J599" s="352" t="s">
        <v>974</v>
      </c>
      <c r="K599" s="352">
        <v>1221</v>
      </c>
      <c r="L599" s="352" t="s">
        <v>711</v>
      </c>
      <c r="M599" s="352" t="s">
        <v>2151</v>
      </c>
      <c r="N599" s="352" t="s">
        <v>2076</v>
      </c>
      <c r="O599" s="352">
        <v>5</v>
      </c>
      <c r="P599" s="352" t="s">
        <v>2077</v>
      </c>
      <c r="Q599" s="352" t="s">
        <v>2058</v>
      </c>
      <c r="R599" s="251">
        <v>20980.649327861709</v>
      </c>
      <c r="S599" s="251" t="s">
        <v>2015</v>
      </c>
      <c r="T599" s="251" t="s">
        <v>2016</v>
      </c>
      <c r="U599" s="251" t="s">
        <v>1918</v>
      </c>
      <c r="V599" s="251" t="s">
        <v>1919</v>
      </c>
      <c r="X599" s="251">
        <v>0</v>
      </c>
    </row>
    <row r="600" spans="2:24" x14ac:dyDescent="0.2">
      <c r="B600" s="352" t="s">
        <v>874</v>
      </c>
      <c r="C600" s="352" t="s">
        <v>712</v>
      </c>
      <c r="F600" s="352" t="s">
        <v>1993</v>
      </c>
      <c r="G600" s="352" t="s">
        <v>2079</v>
      </c>
      <c r="H600" s="352" t="s">
        <v>1298</v>
      </c>
      <c r="I600" s="352" t="s">
        <v>973</v>
      </c>
      <c r="J600" s="352" t="s">
        <v>974</v>
      </c>
      <c r="K600" s="352">
        <v>1222</v>
      </c>
      <c r="L600" s="352" t="s">
        <v>718</v>
      </c>
      <c r="M600" s="352" t="s">
        <v>2152</v>
      </c>
      <c r="N600" s="352" t="s">
        <v>2076</v>
      </c>
      <c r="O600" s="352">
        <v>5</v>
      </c>
      <c r="P600" s="352" t="s">
        <v>2077</v>
      </c>
      <c r="Q600" s="352" t="s">
        <v>2058</v>
      </c>
      <c r="R600" s="251">
        <v>779.10996885645227</v>
      </c>
      <c r="S600" s="251" t="s">
        <v>2015</v>
      </c>
      <c r="T600" s="251" t="s">
        <v>2016</v>
      </c>
      <c r="U600" s="251">
        <v>0</v>
      </c>
      <c r="V600" s="251" t="s">
        <v>2153</v>
      </c>
      <c r="X600" s="251">
        <v>0</v>
      </c>
    </row>
    <row r="601" spans="2:24" x14ac:dyDescent="0.2">
      <c r="B601" s="352" t="s">
        <v>874</v>
      </c>
      <c r="C601" s="352" t="s">
        <v>712</v>
      </c>
      <c r="F601" s="352" t="s">
        <v>1993</v>
      </c>
      <c r="G601" s="352" t="s">
        <v>2079</v>
      </c>
      <c r="H601" s="352" t="s">
        <v>1302</v>
      </c>
      <c r="I601" s="352" t="s">
        <v>975</v>
      </c>
      <c r="J601" s="352" t="s">
        <v>976</v>
      </c>
      <c r="K601" s="352">
        <v>1221</v>
      </c>
      <c r="L601" s="352" t="s">
        <v>711</v>
      </c>
      <c r="M601" s="352" t="s">
        <v>2154</v>
      </c>
      <c r="N601" s="352" t="s">
        <v>2076</v>
      </c>
      <c r="O601" s="352">
        <v>7</v>
      </c>
      <c r="P601" s="352" t="s">
        <v>2081</v>
      </c>
      <c r="Q601" s="352" t="s">
        <v>2056</v>
      </c>
      <c r="R601" s="251">
        <v>0</v>
      </c>
      <c r="S601" s="251" t="s">
        <v>2015</v>
      </c>
      <c r="T601" s="251" t="s">
        <v>2054</v>
      </c>
      <c r="U601" s="251" t="s">
        <v>1918</v>
      </c>
      <c r="V601" s="251" t="s">
        <v>1919</v>
      </c>
      <c r="X601" s="251">
        <v>0</v>
      </c>
    </row>
    <row r="602" spans="2:24" x14ac:dyDescent="0.2">
      <c r="B602" s="352" t="s">
        <v>874</v>
      </c>
      <c r="C602" s="352" t="s">
        <v>712</v>
      </c>
      <c r="F602" s="352" t="s">
        <v>1993</v>
      </c>
      <c r="G602" s="352" t="s">
        <v>2079</v>
      </c>
      <c r="H602" s="352" t="s">
        <v>1306</v>
      </c>
      <c r="I602" s="352" t="s">
        <v>977</v>
      </c>
      <c r="J602" s="352" t="s">
        <v>864</v>
      </c>
      <c r="K602" s="352">
        <v>1111</v>
      </c>
      <c r="L602" s="352" t="s">
        <v>699</v>
      </c>
      <c r="M602" s="352" t="s">
        <v>2155</v>
      </c>
      <c r="N602" s="352" t="s">
        <v>2076</v>
      </c>
      <c r="O602" s="352">
        <v>5</v>
      </c>
      <c r="P602" s="352" t="s">
        <v>2077</v>
      </c>
      <c r="Q602" s="352" t="s">
        <v>2058</v>
      </c>
      <c r="R602" s="251">
        <v>4921.9468361768877</v>
      </c>
      <c r="S602" s="251" t="s">
        <v>2015</v>
      </c>
      <c r="T602" s="251" t="s">
        <v>2016</v>
      </c>
      <c r="U602" s="251" t="s">
        <v>1914</v>
      </c>
      <c r="V602" s="251" t="s">
        <v>1915</v>
      </c>
      <c r="X602" s="251">
        <v>0</v>
      </c>
    </row>
    <row r="603" spans="2:24" x14ac:dyDescent="0.2">
      <c r="B603" s="352" t="s">
        <v>874</v>
      </c>
      <c r="C603" s="352" t="s">
        <v>712</v>
      </c>
      <c r="F603" s="352" t="s">
        <v>1993</v>
      </c>
      <c r="G603" s="352" t="s">
        <v>2079</v>
      </c>
      <c r="H603" s="352" t="s">
        <v>1306</v>
      </c>
      <c r="I603" s="352" t="s">
        <v>977</v>
      </c>
      <c r="J603" s="352" t="s">
        <v>864</v>
      </c>
      <c r="K603" s="352">
        <v>1211</v>
      </c>
      <c r="L603" s="352" t="s">
        <v>705</v>
      </c>
      <c r="M603" s="352" t="s">
        <v>2156</v>
      </c>
      <c r="N603" s="352" t="s">
        <v>2076</v>
      </c>
      <c r="O603" s="352">
        <v>5</v>
      </c>
      <c r="P603" s="352" t="s">
        <v>2077</v>
      </c>
      <c r="Q603" s="352" t="s">
        <v>2058</v>
      </c>
      <c r="R603" s="251">
        <v>1921.3296404998628</v>
      </c>
      <c r="S603" s="251" t="s">
        <v>2015</v>
      </c>
      <c r="T603" s="251" t="s">
        <v>2016</v>
      </c>
      <c r="U603" s="251" t="s">
        <v>1916</v>
      </c>
      <c r="V603" s="251" t="s">
        <v>1917</v>
      </c>
      <c r="X603" s="251">
        <v>0</v>
      </c>
    </row>
    <row r="604" spans="2:24" x14ac:dyDescent="0.2">
      <c r="B604" s="352" t="s">
        <v>874</v>
      </c>
      <c r="C604" s="352" t="s">
        <v>712</v>
      </c>
      <c r="F604" s="352" t="s">
        <v>1993</v>
      </c>
      <c r="G604" s="352" t="s">
        <v>2079</v>
      </c>
      <c r="H604" s="352" t="s">
        <v>1306</v>
      </c>
      <c r="I604" s="352" t="s">
        <v>977</v>
      </c>
      <c r="J604" s="352" t="s">
        <v>864</v>
      </c>
      <c r="K604" s="352">
        <v>1221</v>
      </c>
      <c r="L604" s="352" t="s">
        <v>711</v>
      </c>
      <c r="M604" s="352" t="s">
        <v>2157</v>
      </c>
      <c r="N604" s="352" t="s">
        <v>2076</v>
      </c>
      <c r="O604" s="352">
        <v>5</v>
      </c>
      <c r="P604" s="352" t="s">
        <v>2077</v>
      </c>
      <c r="Q604" s="352" t="s">
        <v>2058</v>
      </c>
      <c r="R604" s="251">
        <v>2622.5811659827136</v>
      </c>
      <c r="S604" s="251" t="s">
        <v>2015</v>
      </c>
      <c r="T604" s="251" t="s">
        <v>2016</v>
      </c>
      <c r="U604" s="251" t="s">
        <v>1918</v>
      </c>
      <c r="V604" s="251" t="s">
        <v>1919</v>
      </c>
      <c r="X604" s="251">
        <v>0</v>
      </c>
    </row>
    <row r="605" spans="2:24" x14ac:dyDescent="0.2">
      <c r="B605" s="352" t="s">
        <v>874</v>
      </c>
      <c r="C605" s="352" t="s">
        <v>712</v>
      </c>
      <c r="F605" s="352" t="s">
        <v>1993</v>
      </c>
      <c r="G605" s="352" t="s">
        <v>2079</v>
      </c>
      <c r="H605" s="352" t="s">
        <v>1306</v>
      </c>
      <c r="I605" s="352" t="s">
        <v>977</v>
      </c>
      <c r="J605" s="352" t="s">
        <v>864</v>
      </c>
      <c r="K605" s="352">
        <v>1222</v>
      </c>
      <c r="L605" s="352" t="s">
        <v>718</v>
      </c>
      <c r="M605" s="352" t="s">
        <v>2158</v>
      </c>
      <c r="N605" s="352" t="s">
        <v>2076</v>
      </c>
      <c r="O605" s="352">
        <v>5</v>
      </c>
      <c r="P605" s="352" t="s">
        <v>2077</v>
      </c>
      <c r="Q605" s="352" t="s">
        <v>2058</v>
      </c>
      <c r="R605" s="251">
        <v>973.88746107056522</v>
      </c>
      <c r="S605" s="251" t="s">
        <v>2015</v>
      </c>
      <c r="T605" s="251" t="s">
        <v>2016</v>
      </c>
      <c r="U605" s="251">
        <v>0</v>
      </c>
      <c r="V605" s="251" t="s">
        <v>2153</v>
      </c>
      <c r="X605" s="251">
        <v>0</v>
      </c>
    </row>
    <row r="606" spans="2:24" x14ac:dyDescent="0.2">
      <c r="B606" s="352" t="s">
        <v>874</v>
      </c>
      <c r="C606" s="352" t="s">
        <v>712</v>
      </c>
      <c r="F606" s="352" t="s">
        <v>1993</v>
      </c>
      <c r="G606" s="352" t="s">
        <v>2079</v>
      </c>
      <c r="H606" s="352" t="s">
        <v>1306</v>
      </c>
      <c r="I606" s="352" t="s">
        <v>977</v>
      </c>
      <c r="J606" s="352" t="s">
        <v>864</v>
      </c>
      <c r="K606" s="352">
        <v>1231</v>
      </c>
      <c r="L606" s="352" t="s">
        <v>726</v>
      </c>
      <c r="M606" s="352" t="s">
        <v>2159</v>
      </c>
      <c r="N606" s="352" t="s">
        <v>2076</v>
      </c>
      <c r="O606" s="352">
        <v>5</v>
      </c>
      <c r="P606" s="352" t="s">
        <v>2077</v>
      </c>
      <c r="Q606" s="352" t="s">
        <v>2058</v>
      </c>
      <c r="R606" s="251">
        <v>12856.169807878527</v>
      </c>
      <c r="S606" s="251" t="s">
        <v>2015</v>
      </c>
      <c r="T606" s="251" t="s">
        <v>2016</v>
      </c>
      <c r="U606" s="251" t="s">
        <v>1920</v>
      </c>
      <c r="V606" s="251" t="s">
        <v>726</v>
      </c>
      <c r="X606" s="251">
        <v>0</v>
      </c>
    </row>
    <row r="607" spans="2:24" x14ac:dyDescent="0.2">
      <c r="B607" s="352" t="s">
        <v>874</v>
      </c>
      <c r="C607" s="352" t="s">
        <v>712</v>
      </c>
      <c r="F607" s="352" t="s">
        <v>1993</v>
      </c>
      <c r="G607" s="352" t="s">
        <v>2079</v>
      </c>
      <c r="H607" s="352" t="s">
        <v>1306</v>
      </c>
      <c r="I607" s="352" t="s">
        <v>977</v>
      </c>
      <c r="J607" s="352" t="s">
        <v>864</v>
      </c>
      <c r="K607" s="352">
        <v>1232</v>
      </c>
      <c r="L607" s="352" t="s">
        <v>734</v>
      </c>
      <c r="M607" s="352" t="s">
        <v>2160</v>
      </c>
      <c r="N607" s="352" t="s">
        <v>2076</v>
      </c>
      <c r="O607" s="352">
        <v>5</v>
      </c>
      <c r="P607" s="352" t="s">
        <v>2077</v>
      </c>
      <c r="Q607" s="352" t="s">
        <v>2058</v>
      </c>
      <c r="R607" s="251">
        <v>2453.9339459740036</v>
      </c>
      <c r="S607" s="251" t="s">
        <v>2015</v>
      </c>
      <c r="T607" s="251" t="s">
        <v>2016</v>
      </c>
      <c r="U607" s="251">
        <v>0</v>
      </c>
      <c r="V607" s="251" t="s">
        <v>2153</v>
      </c>
      <c r="X607" s="251">
        <v>0</v>
      </c>
    </row>
    <row r="608" spans="2:24" x14ac:dyDescent="0.2">
      <c r="B608" s="352" t="s">
        <v>874</v>
      </c>
      <c r="C608" s="352" t="s">
        <v>712</v>
      </c>
      <c r="F608" s="352" t="s">
        <v>1993</v>
      </c>
      <c r="G608" s="352" t="s">
        <v>2079</v>
      </c>
      <c r="H608" s="352" t="s">
        <v>1306</v>
      </c>
      <c r="I608" s="352" t="s">
        <v>977</v>
      </c>
      <c r="J608" s="352" t="s">
        <v>864</v>
      </c>
      <c r="K608" s="352">
        <v>1241</v>
      </c>
      <c r="L608" s="352" t="s">
        <v>1872</v>
      </c>
      <c r="M608" s="352" t="s">
        <v>2161</v>
      </c>
      <c r="N608" s="352" t="s">
        <v>2076</v>
      </c>
      <c r="O608" s="352">
        <v>5</v>
      </c>
      <c r="P608" s="352" t="s">
        <v>2077</v>
      </c>
      <c r="Q608" s="352" t="s">
        <v>2058</v>
      </c>
      <c r="R608" s="251">
        <v>58.405586101795379</v>
      </c>
      <c r="S608" s="251" t="s">
        <v>2015</v>
      </c>
      <c r="T608" s="251" t="s">
        <v>2016</v>
      </c>
      <c r="U608" s="251">
        <v>0</v>
      </c>
      <c r="V608" s="251" t="s">
        <v>2153</v>
      </c>
      <c r="X608" s="251">
        <v>0</v>
      </c>
    </row>
    <row r="609" spans="2:24" x14ac:dyDescent="0.2">
      <c r="B609" s="352" t="s">
        <v>874</v>
      </c>
      <c r="C609" s="352" t="s">
        <v>712</v>
      </c>
      <c r="F609" s="352" t="s">
        <v>1993</v>
      </c>
      <c r="G609" s="352" t="s">
        <v>2079</v>
      </c>
      <c r="H609" s="352" t="s">
        <v>1306</v>
      </c>
      <c r="I609" s="352" t="s">
        <v>977</v>
      </c>
      <c r="J609" s="352" t="s">
        <v>864</v>
      </c>
      <c r="K609" s="352">
        <v>1251</v>
      </c>
      <c r="L609" s="352" t="s">
        <v>733</v>
      </c>
      <c r="M609" s="352" t="s">
        <v>2162</v>
      </c>
      <c r="N609" s="352" t="s">
        <v>2076</v>
      </c>
      <c r="O609" s="352">
        <v>5</v>
      </c>
      <c r="P609" s="352" t="s">
        <v>2077</v>
      </c>
      <c r="Q609" s="352" t="s">
        <v>2058</v>
      </c>
      <c r="R609" s="251">
        <v>2903.0052091071016</v>
      </c>
      <c r="S609" s="251" t="s">
        <v>2015</v>
      </c>
      <c r="T609" s="251" t="s">
        <v>2016</v>
      </c>
      <c r="U609" s="251">
        <v>0</v>
      </c>
      <c r="V609" s="251" t="s">
        <v>2153</v>
      </c>
      <c r="X609" s="251">
        <v>0</v>
      </c>
    </row>
    <row r="610" spans="2:24" x14ac:dyDescent="0.2">
      <c r="B610" s="352" t="s">
        <v>874</v>
      </c>
      <c r="C610" s="352" t="s">
        <v>712</v>
      </c>
      <c r="F610" s="352" t="s">
        <v>1993</v>
      </c>
      <c r="G610" s="352" t="s">
        <v>2079</v>
      </c>
      <c r="H610" s="352" t="s">
        <v>1310</v>
      </c>
      <c r="I610" s="352" t="s">
        <v>978</v>
      </c>
      <c r="J610" s="352" t="s">
        <v>1892</v>
      </c>
      <c r="K610" s="352">
        <v>1111</v>
      </c>
      <c r="L610" s="352" t="s">
        <v>699</v>
      </c>
      <c r="M610" s="352" t="s">
        <v>2163</v>
      </c>
      <c r="N610" s="352" t="s">
        <v>2076</v>
      </c>
      <c r="O610" s="352">
        <v>5</v>
      </c>
      <c r="P610" s="352" t="s">
        <v>2077</v>
      </c>
      <c r="Q610" s="352" t="s">
        <v>2058</v>
      </c>
      <c r="R610" s="251">
        <v>0</v>
      </c>
      <c r="S610" s="251" t="s">
        <v>2015</v>
      </c>
      <c r="T610" s="251" t="s">
        <v>2054</v>
      </c>
      <c r="U610" s="251" t="s">
        <v>1914</v>
      </c>
      <c r="V610" s="251" t="s">
        <v>1915</v>
      </c>
      <c r="X610" s="251">
        <v>0</v>
      </c>
    </row>
    <row r="611" spans="2:24" x14ac:dyDescent="0.2">
      <c r="B611" s="352" t="s">
        <v>874</v>
      </c>
      <c r="C611" s="352" t="s">
        <v>712</v>
      </c>
      <c r="F611" s="352" t="s">
        <v>1993</v>
      </c>
      <c r="G611" s="352" t="s">
        <v>2079</v>
      </c>
      <c r="H611" s="352" t="s">
        <v>1310</v>
      </c>
      <c r="I611" s="352" t="s">
        <v>978</v>
      </c>
      <c r="J611" s="352" t="s">
        <v>1892</v>
      </c>
      <c r="K611" s="352">
        <v>1231</v>
      </c>
      <c r="L611" s="352" t="s">
        <v>726</v>
      </c>
      <c r="M611" s="352" t="s">
        <v>2164</v>
      </c>
      <c r="N611" s="352" t="s">
        <v>2076</v>
      </c>
      <c r="O611" s="352">
        <v>5</v>
      </c>
      <c r="P611" s="352" t="s">
        <v>2077</v>
      </c>
      <c r="Q611" s="352" t="s">
        <v>2058</v>
      </c>
      <c r="R611" s="251">
        <v>0</v>
      </c>
      <c r="S611" s="251" t="s">
        <v>2015</v>
      </c>
      <c r="T611" s="251" t="s">
        <v>2054</v>
      </c>
      <c r="U611" s="251" t="s">
        <v>1920</v>
      </c>
      <c r="V611" s="251" t="s">
        <v>726</v>
      </c>
      <c r="X611" s="251">
        <v>0</v>
      </c>
    </row>
    <row r="612" spans="2:24" x14ac:dyDescent="0.2">
      <c r="B612" s="352" t="s">
        <v>874</v>
      </c>
      <c r="C612" s="352" t="s">
        <v>712</v>
      </c>
      <c r="F612" s="352" t="s">
        <v>1993</v>
      </c>
      <c r="G612" s="352" t="s">
        <v>2079</v>
      </c>
      <c r="H612" s="352" t="s">
        <v>1314</v>
      </c>
      <c r="I612" s="352" t="s">
        <v>979</v>
      </c>
      <c r="J612" s="352" t="s">
        <v>980</v>
      </c>
      <c r="K612" s="352">
        <v>1241</v>
      </c>
      <c r="L612" s="352" t="s">
        <v>1872</v>
      </c>
      <c r="M612" s="352" t="s">
        <v>2165</v>
      </c>
      <c r="N612" s="352" t="s">
        <v>2076</v>
      </c>
      <c r="O612" s="352">
        <v>7</v>
      </c>
      <c r="P612" s="352" t="s">
        <v>2081</v>
      </c>
      <c r="Q612" s="352" t="s">
        <v>2056</v>
      </c>
      <c r="R612" s="251">
        <v>0</v>
      </c>
      <c r="S612" s="251" t="s">
        <v>2015</v>
      </c>
      <c r="T612" s="251" t="s">
        <v>2054</v>
      </c>
      <c r="U612" s="251">
        <v>0</v>
      </c>
      <c r="V612" s="251" t="s">
        <v>2153</v>
      </c>
      <c r="X612" s="251">
        <v>0</v>
      </c>
    </row>
    <row r="613" spans="2:24" x14ac:dyDescent="0.2">
      <c r="B613" s="352" t="s">
        <v>874</v>
      </c>
      <c r="C613" s="352" t="s">
        <v>712</v>
      </c>
      <c r="F613" s="352" t="s">
        <v>1993</v>
      </c>
      <c r="G613" s="352" t="s">
        <v>2079</v>
      </c>
      <c r="H613" s="352" t="s">
        <v>1318</v>
      </c>
      <c r="I613" s="352" t="s">
        <v>981</v>
      </c>
      <c r="J613" s="352" t="s">
        <v>3674</v>
      </c>
      <c r="K613" s="352">
        <v>1241</v>
      </c>
      <c r="L613" s="352" t="s">
        <v>1872</v>
      </c>
      <c r="M613" s="352" t="s">
        <v>2166</v>
      </c>
      <c r="N613" s="352" t="s">
        <v>2076</v>
      </c>
      <c r="O613" s="352">
        <v>13</v>
      </c>
      <c r="P613" s="352" t="s">
        <v>2082</v>
      </c>
      <c r="Q613" s="352" t="s">
        <v>2060</v>
      </c>
      <c r="R613" s="251">
        <v>0</v>
      </c>
      <c r="S613" s="251" t="s">
        <v>2015</v>
      </c>
      <c r="T613" s="251" t="s">
        <v>2054</v>
      </c>
      <c r="U613" s="251">
        <v>0</v>
      </c>
      <c r="V613" s="251" t="s">
        <v>2153</v>
      </c>
      <c r="X613" s="251">
        <v>0</v>
      </c>
    </row>
    <row r="614" spans="2:24" x14ac:dyDescent="0.2">
      <c r="B614" s="352" t="s">
        <v>874</v>
      </c>
      <c r="C614" s="352" t="s">
        <v>712</v>
      </c>
      <c r="F614" s="352" t="s">
        <v>1993</v>
      </c>
      <c r="G614" s="352" t="s">
        <v>2079</v>
      </c>
      <c r="H614" s="352" t="s">
        <v>1318</v>
      </c>
      <c r="I614" s="352" t="s">
        <v>981</v>
      </c>
      <c r="J614" s="352" t="s">
        <v>3674</v>
      </c>
      <c r="K614" s="352">
        <v>1251</v>
      </c>
      <c r="L614" s="352" t="s">
        <v>733</v>
      </c>
      <c r="M614" s="352" t="s">
        <v>2167</v>
      </c>
      <c r="N614" s="352" t="s">
        <v>2076</v>
      </c>
      <c r="O614" s="352">
        <v>13</v>
      </c>
      <c r="P614" s="352" t="s">
        <v>2082</v>
      </c>
      <c r="Q614" s="352" t="s">
        <v>2060</v>
      </c>
      <c r="R614" s="251">
        <v>0</v>
      </c>
      <c r="S614" s="251" t="s">
        <v>2015</v>
      </c>
      <c r="T614" s="251" t="s">
        <v>2054</v>
      </c>
      <c r="U614" s="251">
        <v>0</v>
      </c>
      <c r="V614" s="251" t="s">
        <v>2153</v>
      </c>
      <c r="X614" s="251">
        <v>0</v>
      </c>
    </row>
    <row r="615" spans="2:24" x14ac:dyDescent="0.2">
      <c r="B615" s="352" t="s">
        <v>874</v>
      </c>
      <c r="C615" s="352" t="s">
        <v>712</v>
      </c>
      <c r="F615" s="352" t="s">
        <v>1993</v>
      </c>
      <c r="G615" s="352" t="s">
        <v>2079</v>
      </c>
      <c r="H615" s="352" t="s">
        <v>1322</v>
      </c>
      <c r="I615" s="352" t="s">
        <v>982</v>
      </c>
      <c r="J615" s="352" t="s">
        <v>983</v>
      </c>
      <c r="K615" s="352">
        <v>2111</v>
      </c>
      <c r="L615" s="352" t="s">
        <v>1873</v>
      </c>
      <c r="M615" s="352" t="s">
        <v>2168</v>
      </c>
      <c r="N615" s="352" t="s">
        <v>2076</v>
      </c>
      <c r="O615" s="352">
        <v>10</v>
      </c>
      <c r="P615" s="352" t="s">
        <v>2083</v>
      </c>
      <c r="Q615" s="352" t="s">
        <v>2062</v>
      </c>
      <c r="R615" s="251">
        <v>0</v>
      </c>
      <c r="S615" s="251" t="s">
        <v>2015</v>
      </c>
      <c r="T615" s="251" t="s">
        <v>2054</v>
      </c>
      <c r="U615" s="251" t="s">
        <v>1929</v>
      </c>
      <c r="V615" s="251" t="s">
        <v>1930</v>
      </c>
      <c r="X615" s="251">
        <v>0</v>
      </c>
    </row>
    <row r="616" spans="2:24" x14ac:dyDescent="0.2">
      <c r="B616" s="352" t="s">
        <v>874</v>
      </c>
      <c r="C616" s="352" t="s">
        <v>712</v>
      </c>
      <c r="F616" s="352" t="s">
        <v>1993</v>
      </c>
      <c r="G616" s="352" t="s">
        <v>2079</v>
      </c>
      <c r="H616" s="352" t="s">
        <v>1322</v>
      </c>
      <c r="I616" s="352" t="s">
        <v>982</v>
      </c>
      <c r="J616" s="352" t="s">
        <v>983</v>
      </c>
      <c r="K616" s="352">
        <v>2121</v>
      </c>
      <c r="L616" s="352" t="s">
        <v>1876</v>
      </c>
      <c r="M616" s="352" t="s">
        <v>2169</v>
      </c>
      <c r="N616" s="352" t="s">
        <v>2076</v>
      </c>
      <c r="O616" s="352">
        <v>10</v>
      </c>
      <c r="P616" s="352" t="s">
        <v>2083</v>
      </c>
      <c r="Q616" s="352" t="s">
        <v>2062</v>
      </c>
      <c r="R616" s="251">
        <v>0</v>
      </c>
      <c r="S616" s="251" t="s">
        <v>2015</v>
      </c>
      <c r="T616" s="251" t="s">
        <v>2054</v>
      </c>
      <c r="U616" s="251" t="s">
        <v>1929</v>
      </c>
      <c r="V616" s="251" t="s">
        <v>1930</v>
      </c>
      <c r="X616" s="251">
        <v>0</v>
      </c>
    </row>
    <row r="617" spans="2:24" x14ac:dyDescent="0.2">
      <c r="B617" s="352" t="s">
        <v>874</v>
      </c>
      <c r="C617" s="352" t="s">
        <v>712</v>
      </c>
      <c r="F617" s="352" t="s">
        <v>1993</v>
      </c>
      <c r="G617" s="352" t="s">
        <v>2079</v>
      </c>
      <c r="H617" s="352" t="s">
        <v>1322</v>
      </c>
      <c r="I617" s="352" t="s">
        <v>982</v>
      </c>
      <c r="J617" s="352" t="s">
        <v>983</v>
      </c>
      <c r="K617" s="352">
        <v>2131</v>
      </c>
      <c r="L617" s="352" t="s">
        <v>1879</v>
      </c>
      <c r="M617" s="352" t="s">
        <v>2170</v>
      </c>
      <c r="N617" s="352" t="s">
        <v>2076</v>
      </c>
      <c r="O617" s="352">
        <v>10</v>
      </c>
      <c r="P617" s="352" t="s">
        <v>2083</v>
      </c>
      <c r="Q617" s="352" t="s">
        <v>2062</v>
      </c>
      <c r="R617" s="251">
        <v>0</v>
      </c>
      <c r="S617" s="251" t="s">
        <v>2015</v>
      </c>
      <c r="T617" s="251" t="s">
        <v>2054</v>
      </c>
      <c r="U617" s="251" t="s">
        <v>1929</v>
      </c>
      <c r="V617" s="251" t="s">
        <v>1930</v>
      </c>
      <c r="X617" s="251">
        <v>0</v>
      </c>
    </row>
    <row r="618" spans="2:24" x14ac:dyDescent="0.2">
      <c r="B618" s="352" t="s">
        <v>874</v>
      </c>
      <c r="C618" s="352" t="s">
        <v>712</v>
      </c>
      <c r="F618" s="352" t="s">
        <v>1993</v>
      </c>
      <c r="G618" s="352" t="s">
        <v>2079</v>
      </c>
      <c r="H618" s="352" t="s">
        <v>1322</v>
      </c>
      <c r="I618" s="352" t="s">
        <v>982</v>
      </c>
      <c r="J618" s="352" t="s">
        <v>983</v>
      </c>
      <c r="K618" s="352">
        <v>2211</v>
      </c>
      <c r="L618" s="352" t="s">
        <v>1883</v>
      </c>
      <c r="M618" s="352" t="s">
        <v>2171</v>
      </c>
      <c r="N618" s="352" t="s">
        <v>2076</v>
      </c>
      <c r="O618" s="352">
        <v>10</v>
      </c>
      <c r="P618" s="352" t="s">
        <v>2083</v>
      </c>
      <c r="Q618" s="352" t="s">
        <v>2062</v>
      </c>
      <c r="R618" s="251">
        <v>0</v>
      </c>
      <c r="S618" s="251" t="s">
        <v>2015</v>
      </c>
      <c r="T618" s="251" t="s">
        <v>2054</v>
      </c>
      <c r="U618" s="251" t="s">
        <v>1929</v>
      </c>
      <c r="V618" s="251" t="s">
        <v>1930</v>
      </c>
      <c r="X618" s="251">
        <v>0</v>
      </c>
    </row>
    <row r="619" spans="2:24" x14ac:dyDescent="0.2">
      <c r="B619" s="352" t="s">
        <v>874</v>
      </c>
      <c r="C619" s="352" t="s">
        <v>712</v>
      </c>
      <c r="F619" s="352" t="s">
        <v>1993</v>
      </c>
      <c r="G619" s="352" t="s">
        <v>2079</v>
      </c>
      <c r="H619" s="352" t="s">
        <v>1326</v>
      </c>
      <c r="I619" s="352" t="s">
        <v>984</v>
      </c>
      <c r="J619" s="352" t="s">
        <v>985</v>
      </c>
      <c r="K619" s="352">
        <v>2111</v>
      </c>
      <c r="L619" s="352" t="s">
        <v>1873</v>
      </c>
      <c r="M619" s="352" t="s">
        <v>2172</v>
      </c>
      <c r="N619" s="352" t="s">
        <v>2076</v>
      </c>
      <c r="O619" s="352">
        <v>11</v>
      </c>
      <c r="P619" s="352" t="s">
        <v>2084</v>
      </c>
      <c r="Q619" s="352" t="s">
        <v>2064</v>
      </c>
      <c r="R619" s="251">
        <v>0</v>
      </c>
      <c r="S619" s="251" t="s">
        <v>2015</v>
      </c>
      <c r="T619" s="251" t="s">
        <v>2054</v>
      </c>
      <c r="U619" s="251" t="s">
        <v>1929</v>
      </c>
      <c r="V619" s="251" t="s">
        <v>1930</v>
      </c>
      <c r="X619" s="251">
        <v>0</v>
      </c>
    </row>
    <row r="620" spans="2:24" x14ac:dyDescent="0.2">
      <c r="B620" s="352" t="s">
        <v>874</v>
      </c>
      <c r="C620" s="352" t="s">
        <v>712</v>
      </c>
      <c r="F620" s="352" t="s">
        <v>1993</v>
      </c>
      <c r="G620" s="352" t="s">
        <v>2079</v>
      </c>
      <c r="H620" s="352" t="s">
        <v>1326</v>
      </c>
      <c r="I620" s="352" t="s">
        <v>984</v>
      </c>
      <c r="J620" s="352" t="s">
        <v>985</v>
      </c>
      <c r="K620" s="352">
        <v>2121</v>
      </c>
      <c r="L620" s="352" t="s">
        <v>1876</v>
      </c>
      <c r="M620" s="352" t="s">
        <v>2173</v>
      </c>
      <c r="N620" s="352" t="s">
        <v>2076</v>
      </c>
      <c r="O620" s="352">
        <v>11</v>
      </c>
      <c r="P620" s="352" t="s">
        <v>2084</v>
      </c>
      <c r="Q620" s="352" t="s">
        <v>2064</v>
      </c>
      <c r="R620" s="251">
        <v>0</v>
      </c>
      <c r="S620" s="251" t="s">
        <v>2015</v>
      </c>
      <c r="T620" s="251" t="s">
        <v>2054</v>
      </c>
      <c r="U620" s="251" t="s">
        <v>1929</v>
      </c>
      <c r="V620" s="251" t="s">
        <v>1930</v>
      </c>
      <c r="X620" s="251">
        <v>0</v>
      </c>
    </row>
    <row r="621" spans="2:24" x14ac:dyDescent="0.2">
      <c r="B621" s="352" t="s">
        <v>874</v>
      </c>
      <c r="C621" s="352" t="s">
        <v>712</v>
      </c>
      <c r="F621" s="352" t="s">
        <v>1993</v>
      </c>
      <c r="G621" s="352" t="s">
        <v>2079</v>
      </c>
      <c r="H621" s="352" t="s">
        <v>1326</v>
      </c>
      <c r="I621" s="352" t="s">
        <v>984</v>
      </c>
      <c r="J621" s="352" t="s">
        <v>985</v>
      </c>
      <c r="K621" s="352">
        <v>2131</v>
      </c>
      <c r="L621" s="352" t="s">
        <v>1879</v>
      </c>
      <c r="M621" s="352" t="s">
        <v>2174</v>
      </c>
      <c r="N621" s="352" t="s">
        <v>2076</v>
      </c>
      <c r="O621" s="352">
        <v>11</v>
      </c>
      <c r="P621" s="352" t="s">
        <v>2084</v>
      </c>
      <c r="Q621" s="352" t="s">
        <v>2064</v>
      </c>
      <c r="R621" s="251">
        <v>0</v>
      </c>
      <c r="S621" s="251" t="s">
        <v>2015</v>
      </c>
      <c r="T621" s="251" t="s">
        <v>2054</v>
      </c>
      <c r="U621" s="251" t="s">
        <v>1929</v>
      </c>
      <c r="V621" s="251" t="s">
        <v>1930</v>
      </c>
      <c r="X621" s="251">
        <v>0</v>
      </c>
    </row>
    <row r="622" spans="2:24" x14ac:dyDescent="0.2">
      <c r="B622" s="352" t="s">
        <v>874</v>
      </c>
      <c r="C622" s="352" t="s">
        <v>712</v>
      </c>
      <c r="F622" s="352" t="s">
        <v>1993</v>
      </c>
      <c r="G622" s="352" t="s">
        <v>2079</v>
      </c>
      <c r="H622" s="352" t="s">
        <v>1326</v>
      </c>
      <c r="I622" s="352" t="s">
        <v>984</v>
      </c>
      <c r="J622" s="352" t="s">
        <v>985</v>
      </c>
      <c r="K622" s="352">
        <v>2211</v>
      </c>
      <c r="L622" s="352" t="s">
        <v>1883</v>
      </c>
      <c r="M622" s="352" t="s">
        <v>2175</v>
      </c>
      <c r="N622" s="352" t="s">
        <v>2076</v>
      </c>
      <c r="O622" s="352">
        <v>11</v>
      </c>
      <c r="P622" s="352" t="s">
        <v>2084</v>
      </c>
      <c r="Q622" s="352" t="s">
        <v>2064</v>
      </c>
      <c r="R622" s="251">
        <v>0</v>
      </c>
      <c r="S622" s="251" t="s">
        <v>2015</v>
      </c>
      <c r="T622" s="251" t="s">
        <v>2054</v>
      </c>
      <c r="U622" s="251" t="s">
        <v>1929</v>
      </c>
      <c r="V622" s="251" t="s">
        <v>1930</v>
      </c>
      <c r="X622" s="251">
        <v>0</v>
      </c>
    </row>
    <row r="623" spans="2:24" x14ac:dyDescent="0.2">
      <c r="B623" s="352" t="s">
        <v>874</v>
      </c>
      <c r="C623" s="352" t="s">
        <v>712</v>
      </c>
      <c r="F623" s="352" t="s">
        <v>1993</v>
      </c>
      <c r="G623" s="352" t="s">
        <v>2079</v>
      </c>
      <c r="H623" s="352" t="s">
        <v>1330</v>
      </c>
      <c r="I623" s="352" t="s">
        <v>986</v>
      </c>
      <c r="J623" s="352" t="s">
        <v>987</v>
      </c>
      <c r="K623" s="352">
        <v>2112</v>
      </c>
      <c r="L623" s="352" t="s">
        <v>1874</v>
      </c>
      <c r="M623" s="352" t="s">
        <v>2176</v>
      </c>
      <c r="N623" s="352" t="s">
        <v>2076</v>
      </c>
      <c r="O623" s="352">
        <v>8</v>
      </c>
      <c r="P623" s="352" t="s">
        <v>2085</v>
      </c>
      <c r="Q623" s="352" t="s">
        <v>2068</v>
      </c>
      <c r="R623" s="251">
        <v>0</v>
      </c>
      <c r="S623" s="251" t="s">
        <v>2015</v>
      </c>
      <c r="T623" s="251" t="s">
        <v>2054</v>
      </c>
      <c r="U623" s="251" t="s">
        <v>1931</v>
      </c>
      <c r="V623" s="251" t="s">
        <v>1932</v>
      </c>
      <c r="X623" s="251">
        <v>0</v>
      </c>
    </row>
    <row r="624" spans="2:24" x14ac:dyDescent="0.2">
      <c r="B624" s="352" t="s">
        <v>874</v>
      </c>
      <c r="C624" s="352" t="s">
        <v>712</v>
      </c>
      <c r="F624" s="352" t="s">
        <v>1993</v>
      </c>
      <c r="G624" s="352" t="s">
        <v>2079</v>
      </c>
      <c r="H624" s="352" t="s">
        <v>1330</v>
      </c>
      <c r="I624" s="352" t="s">
        <v>986</v>
      </c>
      <c r="J624" s="352" t="s">
        <v>987</v>
      </c>
      <c r="K624" s="352">
        <v>2122</v>
      </c>
      <c r="L624" s="352" t="s">
        <v>1877</v>
      </c>
      <c r="M624" s="352" t="s">
        <v>2177</v>
      </c>
      <c r="N624" s="352" t="s">
        <v>2076</v>
      </c>
      <c r="O624" s="352">
        <v>8</v>
      </c>
      <c r="P624" s="352" t="s">
        <v>2085</v>
      </c>
      <c r="Q624" s="352" t="s">
        <v>2068</v>
      </c>
      <c r="R624" s="251">
        <v>0</v>
      </c>
      <c r="S624" s="251" t="s">
        <v>2015</v>
      </c>
      <c r="T624" s="251" t="s">
        <v>2054</v>
      </c>
      <c r="U624" s="251" t="s">
        <v>1931</v>
      </c>
      <c r="V624" s="251" t="s">
        <v>1932</v>
      </c>
      <c r="X624" s="251">
        <v>0</v>
      </c>
    </row>
    <row r="625" spans="2:24" x14ac:dyDescent="0.2">
      <c r="B625" s="352" t="s">
        <v>874</v>
      </c>
      <c r="C625" s="352" t="s">
        <v>712</v>
      </c>
      <c r="F625" s="352" t="s">
        <v>1993</v>
      </c>
      <c r="G625" s="352" t="s">
        <v>2079</v>
      </c>
      <c r="H625" s="352" t="s">
        <v>1334</v>
      </c>
      <c r="I625" s="352" t="s">
        <v>988</v>
      </c>
      <c r="J625" s="352" t="s">
        <v>989</v>
      </c>
      <c r="K625" s="352">
        <v>2112</v>
      </c>
      <c r="L625" s="352" t="s">
        <v>1874</v>
      </c>
      <c r="M625" s="352" t="s">
        <v>2178</v>
      </c>
      <c r="N625" s="352" t="s">
        <v>2076</v>
      </c>
      <c r="O625" s="352">
        <v>8</v>
      </c>
      <c r="P625" s="352" t="s">
        <v>2085</v>
      </c>
      <c r="Q625" s="352" t="s">
        <v>2068</v>
      </c>
      <c r="R625" s="251">
        <v>0</v>
      </c>
      <c r="S625" s="251" t="s">
        <v>2015</v>
      </c>
      <c r="T625" s="251" t="s">
        <v>2054</v>
      </c>
      <c r="U625" s="251" t="s">
        <v>1931</v>
      </c>
      <c r="V625" s="251" t="s">
        <v>1932</v>
      </c>
      <c r="X625" s="251">
        <v>0</v>
      </c>
    </row>
    <row r="626" spans="2:24" x14ac:dyDescent="0.2">
      <c r="B626" s="352" t="s">
        <v>874</v>
      </c>
      <c r="C626" s="352" t="s">
        <v>712</v>
      </c>
      <c r="F626" s="352" t="s">
        <v>1993</v>
      </c>
      <c r="G626" s="352" t="s">
        <v>2079</v>
      </c>
      <c r="H626" s="352" t="s">
        <v>1334</v>
      </c>
      <c r="I626" s="352" t="s">
        <v>988</v>
      </c>
      <c r="J626" s="352" t="s">
        <v>989</v>
      </c>
      <c r="K626" s="352">
        <v>2122</v>
      </c>
      <c r="L626" s="352" t="s">
        <v>1877</v>
      </c>
      <c r="M626" s="352" t="s">
        <v>2179</v>
      </c>
      <c r="N626" s="352" t="s">
        <v>2076</v>
      </c>
      <c r="O626" s="352">
        <v>8</v>
      </c>
      <c r="P626" s="352" t="s">
        <v>2085</v>
      </c>
      <c r="Q626" s="352" t="s">
        <v>2068</v>
      </c>
      <c r="R626" s="251">
        <v>0</v>
      </c>
      <c r="S626" s="251" t="s">
        <v>2015</v>
      </c>
      <c r="T626" s="251" t="s">
        <v>2054</v>
      </c>
      <c r="U626" s="251" t="s">
        <v>1931</v>
      </c>
      <c r="V626" s="251" t="s">
        <v>1932</v>
      </c>
      <c r="X626" s="251">
        <v>0</v>
      </c>
    </row>
    <row r="627" spans="2:24" x14ac:dyDescent="0.2">
      <c r="B627" s="352" t="s">
        <v>874</v>
      </c>
      <c r="C627" s="352" t="s">
        <v>712</v>
      </c>
      <c r="F627" s="352" t="s">
        <v>1993</v>
      </c>
      <c r="G627" s="352" t="s">
        <v>2079</v>
      </c>
      <c r="H627" s="352" t="s">
        <v>1338</v>
      </c>
      <c r="I627" s="352" t="s">
        <v>990</v>
      </c>
      <c r="J627" s="352" t="s">
        <v>991</v>
      </c>
      <c r="K627" s="352">
        <v>2132</v>
      </c>
      <c r="L627" s="352" t="s">
        <v>1880</v>
      </c>
      <c r="M627" s="352" t="s">
        <v>2180</v>
      </c>
      <c r="N627" s="352" t="s">
        <v>2076</v>
      </c>
      <c r="O627" s="352">
        <v>1</v>
      </c>
      <c r="P627" s="352" t="s">
        <v>2086</v>
      </c>
      <c r="Q627" s="352" t="s">
        <v>2066</v>
      </c>
      <c r="R627" s="251">
        <v>0</v>
      </c>
      <c r="S627" s="251" t="s">
        <v>2015</v>
      </c>
      <c r="T627" s="251" t="s">
        <v>2054</v>
      </c>
      <c r="U627" s="251" t="s">
        <v>1931</v>
      </c>
      <c r="V627" s="251" t="s">
        <v>1932</v>
      </c>
      <c r="X627" s="251">
        <v>0</v>
      </c>
    </row>
    <row r="628" spans="2:24" x14ac:dyDescent="0.2">
      <c r="B628" s="352" t="s">
        <v>874</v>
      </c>
      <c r="C628" s="352" t="s">
        <v>712</v>
      </c>
      <c r="F628" s="352" t="s">
        <v>1993</v>
      </c>
      <c r="G628" s="352" t="s">
        <v>2079</v>
      </c>
      <c r="H628" s="352" t="s">
        <v>1342</v>
      </c>
      <c r="I628" s="352" t="s">
        <v>994</v>
      </c>
      <c r="J628" s="352" t="s">
        <v>995</v>
      </c>
      <c r="K628" s="352">
        <v>2311</v>
      </c>
      <c r="L628" s="352" t="s">
        <v>1887</v>
      </c>
      <c r="M628" s="352" t="s">
        <v>2181</v>
      </c>
      <c r="N628" s="352" t="s">
        <v>2076</v>
      </c>
      <c r="O628" s="352">
        <v>8</v>
      </c>
      <c r="P628" s="352" t="s">
        <v>2085</v>
      </c>
      <c r="Q628" s="352" t="s">
        <v>2068</v>
      </c>
      <c r="R628" s="251">
        <v>0</v>
      </c>
      <c r="S628" s="251" t="s">
        <v>2015</v>
      </c>
      <c r="T628" s="251" t="s">
        <v>2054</v>
      </c>
      <c r="U628" s="251" t="s">
        <v>1943</v>
      </c>
      <c r="V628" s="251" t="s">
        <v>1944</v>
      </c>
      <c r="X628" s="251">
        <v>0</v>
      </c>
    </row>
    <row r="629" spans="2:24" x14ac:dyDescent="0.2">
      <c r="B629" s="352" t="s">
        <v>874</v>
      </c>
      <c r="C629" s="352" t="s">
        <v>712</v>
      </c>
      <c r="F629" s="352" t="s">
        <v>1993</v>
      </c>
      <c r="G629" s="352" t="s">
        <v>2079</v>
      </c>
      <c r="H629" s="352" t="s">
        <v>1346</v>
      </c>
      <c r="I629" s="352" t="s">
        <v>996</v>
      </c>
      <c r="J629" s="352" t="s">
        <v>997</v>
      </c>
      <c r="K629" s="352">
        <v>2311</v>
      </c>
      <c r="L629" s="352" t="s">
        <v>1887</v>
      </c>
      <c r="M629" s="352" t="s">
        <v>2182</v>
      </c>
      <c r="N629" s="352" t="s">
        <v>2076</v>
      </c>
      <c r="O629" s="352">
        <v>8</v>
      </c>
      <c r="P629" s="352" t="s">
        <v>2085</v>
      </c>
      <c r="Q629" s="352" t="s">
        <v>2068</v>
      </c>
      <c r="R629" s="251">
        <v>0</v>
      </c>
      <c r="S629" s="251" t="s">
        <v>2015</v>
      </c>
      <c r="T629" s="251" t="s">
        <v>2054</v>
      </c>
      <c r="U629" s="251" t="s">
        <v>1943</v>
      </c>
      <c r="V629" s="251" t="s">
        <v>1944</v>
      </c>
      <c r="X629" s="251">
        <v>0</v>
      </c>
    </row>
    <row r="630" spans="2:24" x14ac:dyDescent="0.2">
      <c r="B630" s="352" t="s">
        <v>874</v>
      </c>
      <c r="C630" s="352" t="s">
        <v>712</v>
      </c>
      <c r="F630" s="352" t="s">
        <v>1993</v>
      </c>
      <c r="G630" s="352" t="s">
        <v>2079</v>
      </c>
      <c r="H630" s="352" t="s">
        <v>1350</v>
      </c>
      <c r="I630" s="352" t="s">
        <v>998</v>
      </c>
      <c r="J630" s="352" t="s">
        <v>999</v>
      </c>
      <c r="K630" s="352">
        <v>2311</v>
      </c>
      <c r="L630" s="352" t="s">
        <v>1887</v>
      </c>
      <c r="M630" s="352" t="s">
        <v>2183</v>
      </c>
      <c r="N630" s="352" t="s">
        <v>2076</v>
      </c>
      <c r="O630" s="352">
        <v>8</v>
      </c>
      <c r="P630" s="352" t="s">
        <v>2085</v>
      </c>
      <c r="Q630" s="352" t="s">
        <v>2068</v>
      </c>
      <c r="R630" s="251">
        <v>0</v>
      </c>
      <c r="S630" s="251" t="s">
        <v>2015</v>
      </c>
      <c r="T630" s="251" t="s">
        <v>2054</v>
      </c>
      <c r="U630" s="251" t="s">
        <v>1943</v>
      </c>
      <c r="V630" s="251" t="s">
        <v>1944</v>
      </c>
      <c r="X630" s="251">
        <v>0</v>
      </c>
    </row>
    <row r="631" spans="2:24" x14ac:dyDescent="0.2">
      <c r="B631" s="352" t="s">
        <v>874</v>
      </c>
      <c r="C631" s="352" t="s">
        <v>712</v>
      </c>
      <c r="F631" s="352" t="s">
        <v>1993</v>
      </c>
      <c r="G631" s="352" t="s">
        <v>2079</v>
      </c>
      <c r="H631" s="352" t="s">
        <v>1350</v>
      </c>
      <c r="I631" s="352" t="s">
        <v>998</v>
      </c>
      <c r="J631" s="352" t="s">
        <v>999</v>
      </c>
      <c r="K631" s="352">
        <v>2312</v>
      </c>
      <c r="L631" s="352" t="s">
        <v>789</v>
      </c>
      <c r="M631" s="352" t="s">
        <v>2184</v>
      </c>
      <c r="N631" s="352" t="s">
        <v>2076</v>
      </c>
      <c r="O631" s="352">
        <v>8</v>
      </c>
      <c r="P631" s="352" t="s">
        <v>2085</v>
      </c>
      <c r="Q631" s="352" t="s">
        <v>2068</v>
      </c>
      <c r="R631" s="251">
        <v>0</v>
      </c>
      <c r="S631" s="251" t="s">
        <v>2015</v>
      </c>
      <c r="T631" s="251" t="s">
        <v>2054</v>
      </c>
      <c r="U631" s="251" t="s">
        <v>1943</v>
      </c>
      <c r="V631" s="251" t="s">
        <v>1944</v>
      </c>
      <c r="X631" s="251">
        <v>0</v>
      </c>
    </row>
    <row r="632" spans="2:24" x14ac:dyDescent="0.2">
      <c r="B632" s="352" t="s">
        <v>874</v>
      </c>
      <c r="C632" s="352" t="s">
        <v>712</v>
      </c>
      <c r="F632" s="352" t="s">
        <v>1993</v>
      </c>
      <c r="G632" s="352" t="s">
        <v>2079</v>
      </c>
      <c r="H632" s="352" t="s">
        <v>1354</v>
      </c>
      <c r="I632" s="352" t="s">
        <v>1000</v>
      </c>
      <c r="J632" s="352" t="s">
        <v>1001</v>
      </c>
      <c r="K632" s="352">
        <v>2141</v>
      </c>
      <c r="L632" s="352" t="s">
        <v>1882</v>
      </c>
      <c r="M632" s="352" t="s">
        <v>2185</v>
      </c>
      <c r="N632" s="352" t="s">
        <v>2076</v>
      </c>
      <c r="O632" s="352">
        <v>12</v>
      </c>
      <c r="P632" s="352" t="s">
        <v>2087</v>
      </c>
      <c r="Q632" s="352" t="s">
        <v>2070</v>
      </c>
      <c r="R632" s="251">
        <v>1566.0736032424234</v>
      </c>
      <c r="S632" s="251" t="s">
        <v>2015</v>
      </c>
      <c r="T632" s="251" t="s">
        <v>2016</v>
      </c>
      <c r="U632" s="251" t="s">
        <v>1935</v>
      </c>
      <c r="V632" s="251" t="s">
        <v>1936</v>
      </c>
      <c r="X632" s="251">
        <v>0</v>
      </c>
    </row>
    <row r="633" spans="2:24" x14ac:dyDescent="0.2">
      <c r="B633" s="352" t="s">
        <v>874</v>
      </c>
      <c r="C633" s="352" t="s">
        <v>712</v>
      </c>
      <c r="F633" s="352" t="s">
        <v>1993</v>
      </c>
      <c r="G633" s="352" t="s">
        <v>2079</v>
      </c>
      <c r="H633" s="352" t="s">
        <v>1354</v>
      </c>
      <c r="I633" s="352" t="s">
        <v>1000</v>
      </c>
      <c r="J633" s="352" t="s">
        <v>1001</v>
      </c>
      <c r="K633" s="352">
        <v>2142</v>
      </c>
      <c r="L633" s="352" t="s">
        <v>780</v>
      </c>
      <c r="M633" s="352" t="s">
        <v>2186</v>
      </c>
      <c r="N633" s="352" t="s">
        <v>2076</v>
      </c>
      <c r="O633" s="352">
        <v>12</v>
      </c>
      <c r="P633" s="352" t="s">
        <v>2087</v>
      </c>
      <c r="Q633" s="352" t="s">
        <v>2070</v>
      </c>
      <c r="R633" s="251">
        <v>3699.2139308373112</v>
      </c>
      <c r="S633" s="251" t="s">
        <v>2015</v>
      </c>
      <c r="T633" s="251" t="s">
        <v>2016</v>
      </c>
      <c r="U633" s="251">
        <v>0</v>
      </c>
      <c r="V633" s="251" t="s">
        <v>2153</v>
      </c>
      <c r="X633" s="251">
        <v>0</v>
      </c>
    </row>
    <row r="634" spans="2:24" x14ac:dyDescent="0.2">
      <c r="B634" s="352" t="s">
        <v>874</v>
      </c>
      <c r="C634" s="352" t="s">
        <v>712</v>
      </c>
      <c r="F634" s="352" t="s">
        <v>1993</v>
      </c>
      <c r="G634" s="352" t="s">
        <v>2079</v>
      </c>
      <c r="H634" s="352" t="s">
        <v>1358</v>
      </c>
      <c r="I634" s="352" t="s">
        <v>1002</v>
      </c>
      <c r="J634" s="352" t="s">
        <v>1003</v>
      </c>
      <c r="K634" s="352">
        <v>2113</v>
      </c>
      <c r="L634" s="352" t="s">
        <v>1875</v>
      </c>
      <c r="M634" s="352" t="s">
        <v>2187</v>
      </c>
      <c r="N634" s="352" t="s">
        <v>2076</v>
      </c>
      <c r="O634" s="352">
        <v>1</v>
      </c>
      <c r="P634" s="352" t="s">
        <v>2086</v>
      </c>
      <c r="Q634" s="352" t="s">
        <v>2066</v>
      </c>
      <c r="R634" s="251">
        <v>0</v>
      </c>
      <c r="S634" s="251" t="s">
        <v>2015</v>
      </c>
      <c r="T634" s="251" t="s">
        <v>2054</v>
      </c>
      <c r="U634" s="251" t="s">
        <v>1935</v>
      </c>
      <c r="V634" s="251" t="s">
        <v>1936</v>
      </c>
      <c r="X634" s="251">
        <v>0</v>
      </c>
    </row>
    <row r="635" spans="2:24" x14ac:dyDescent="0.2">
      <c r="B635" s="352" t="s">
        <v>874</v>
      </c>
      <c r="C635" s="352" t="s">
        <v>712</v>
      </c>
      <c r="F635" s="352" t="s">
        <v>1993</v>
      </c>
      <c r="G635" s="352" t="s">
        <v>2079</v>
      </c>
      <c r="H635" s="352" t="s">
        <v>1358</v>
      </c>
      <c r="I635" s="352" t="s">
        <v>1002</v>
      </c>
      <c r="J635" s="352" t="s">
        <v>1003</v>
      </c>
      <c r="K635" s="352">
        <v>2123</v>
      </c>
      <c r="L635" s="352" t="s">
        <v>1878</v>
      </c>
      <c r="M635" s="352" t="s">
        <v>2188</v>
      </c>
      <c r="N635" s="352" t="s">
        <v>2076</v>
      </c>
      <c r="O635" s="352">
        <v>1</v>
      </c>
      <c r="P635" s="352" t="s">
        <v>2086</v>
      </c>
      <c r="Q635" s="352" t="s">
        <v>2066</v>
      </c>
      <c r="R635" s="251">
        <v>0</v>
      </c>
      <c r="S635" s="251" t="s">
        <v>2015</v>
      </c>
      <c r="T635" s="251" t="s">
        <v>2054</v>
      </c>
      <c r="U635" s="251" t="s">
        <v>1935</v>
      </c>
      <c r="V635" s="251" t="s">
        <v>1936</v>
      </c>
      <c r="X635" s="251">
        <v>0</v>
      </c>
    </row>
    <row r="636" spans="2:24" x14ac:dyDescent="0.2">
      <c r="B636" s="352" t="s">
        <v>874</v>
      </c>
      <c r="C636" s="352" t="s">
        <v>712</v>
      </c>
      <c r="F636" s="352" t="s">
        <v>1993</v>
      </c>
      <c r="G636" s="352" t="s">
        <v>2079</v>
      </c>
      <c r="H636" s="352" t="s">
        <v>1362</v>
      </c>
      <c r="I636" s="352" t="s">
        <v>1006</v>
      </c>
      <c r="J636" s="352" t="s">
        <v>1007</v>
      </c>
      <c r="K636" s="352">
        <v>2133</v>
      </c>
      <c r="L636" s="352" t="s">
        <v>1881</v>
      </c>
      <c r="M636" s="352" t="s">
        <v>2189</v>
      </c>
      <c r="N636" s="352" t="s">
        <v>2076</v>
      </c>
      <c r="O636" s="352">
        <v>1</v>
      </c>
      <c r="P636" s="352" t="s">
        <v>2086</v>
      </c>
      <c r="Q636" s="352" t="s">
        <v>2066</v>
      </c>
      <c r="R636" s="251">
        <v>0</v>
      </c>
      <c r="S636" s="251" t="s">
        <v>2015</v>
      </c>
      <c r="T636" s="251" t="s">
        <v>2054</v>
      </c>
      <c r="U636" s="251" t="s">
        <v>1935</v>
      </c>
      <c r="V636" s="251" t="s">
        <v>1936</v>
      </c>
      <c r="X636" s="251">
        <v>0</v>
      </c>
    </row>
    <row r="637" spans="2:24" x14ac:dyDescent="0.2">
      <c r="B637" s="352" t="s">
        <v>874</v>
      </c>
      <c r="C637" s="352" t="s">
        <v>712</v>
      </c>
      <c r="F637" s="352" t="s">
        <v>1993</v>
      </c>
      <c r="G637" s="352" t="s">
        <v>2079</v>
      </c>
      <c r="H637" s="352" t="s">
        <v>1362</v>
      </c>
      <c r="I637" s="352" t="s">
        <v>1006</v>
      </c>
      <c r="J637" s="352" t="s">
        <v>1007</v>
      </c>
      <c r="K637" s="352">
        <v>2141</v>
      </c>
      <c r="L637" s="352" t="s">
        <v>1882</v>
      </c>
      <c r="M637" s="352" t="s">
        <v>2190</v>
      </c>
      <c r="N637" s="352" t="s">
        <v>2076</v>
      </c>
      <c r="O637" s="352">
        <v>1</v>
      </c>
      <c r="P637" s="352" t="s">
        <v>2086</v>
      </c>
      <c r="Q637" s="352" t="s">
        <v>2066</v>
      </c>
      <c r="R637" s="251">
        <v>0</v>
      </c>
      <c r="S637" s="251" t="s">
        <v>2015</v>
      </c>
      <c r="T637" s="251" t="s">
        <v>2054</v>
      </c>
      <c r="U637" s="251" t="s">
        <v>1935</v>
      </c>
      <c r="V637" s="251" t="s">
        <v>1936</v>
      </c>
      <c r="X637" s="251">
        <v>0</v>
      </c>
    </row>
    <row r="638" spans="2:24" x14ac:dyDescent="0.2">
      <c r="B638" s="352" t="s">
        <v>874</v>
      </c>
      <c r="C638" s="352" t="s">
        <v>712</v>
      </c>
      <c r="F638" s="352" t="s">
        <v>1993</v>
      </c>
      <c r="G638" s="352" t="s">
        <v>2079</v>
      </c>
      <c r="H638" s="352" t="s">
        <v>1362</v>
      </c>
      <c r="I638" s="352" t="s">
        <v>1006</v>
      </c>
      <c r="J638" s="352" t="s">
        <v>1007</v>
      </c>
      <c r="K638" s="352">
        <v>2221</v>
      </c>
      <c r="L638" s="352" t="s">
        <v>1884</v>
      </c>
      <c r="M638" s="352" t="s">
        <v>2191</v>
      </c>
      <c r="N638" s="352" t="s">
        <v>2076</v>
      </c>
      <c r="O638" s="352">
        <v>1</v>
      </c>
      <c r="P638" s="352" t="s">
        <v>2086</v>
      </c>
      <c r="Q638" s="352" t="s">
        <v>2066</v>
      </c>
      <c r="R638" s="251">
        <v>0</v>
      </c>
      <c r="S638" s="251" t="s">
        <v>2015</v>
      </c>
      <c r="T638" s="251" t="s">
        <v>2054</v>
      </c>
      <c r="U638" s="251" t="s">
        <v>1935</v>
      </c>
      <c r="V638" s="251" t="s">
        <v>1936</v>
      </c>
      <c r="X638" s="251">
        <v>0</v>
      </c>
    </row>
    <row r="639" spans="2:24" x14ac:dyDescent="0.2">
      <c r="B639" s="352" t="s">
        <v>874</v>
      </c>
      <c r="C639" s="352" t="s">
        <v>712</v>
      </c>
      <c r="F639" s="352" t="s">
        <v>1993</v>
      </c>
      <c r="G639" s="352" t="s">
        <v>2079</v>
      </c>
      <c r="H639" s="352" t="s">
        <v>1366</v>
      </c>
      <c r="I639" s="352" t="s">
        <v>1008</v>
      </c>
      <c r="J639" s="352" t="s">
        <v>1009</v>
      </c>
      <c r="K639" s="352">
        <v>2223</v>
      </c>
      <c r="L639" s="352" t="s">
        <v>1886</v>
      </c>
      <c r="M639" s="352" t="s">
        <v>2192</v>
      </c>
      <c r="N639" s="352" t="s">
        <v>2076</v>
      </c>
      <c r="O639" s="352">
        <v>2</v>
      </c>
      <c r="P639" s="352" t="s">
        <v>2088</v>
      </c>
      <c r="Q639" s="352" t="s">
        <v>2072</v>
      </c>
      <c r="R639" s="251">
        <v>0</v>
      </c>
      <c r="S639" s="251" t="s">
        <v>2193</v>
      </c>
      <c r="T639" s="251" t="s">
        <v>2054</v>
      </c>
      <c r="U639" s="251" t="s">
        <v>1937</v>
      </c>
      <c r="V639" s="251" t="s">
        <v>1938</v>
      </c>
      <c r="X639" s="251">
        <v>0</v>
      </c>
    </row>
    <row r="640" spans="2:24" x14ac:dyDescent="0.2">
      <c r="B640" s="352" t="s">
        <v>874</v>
      </c>
      <c r="C640" s="352" t="s">
        <v>712</v>
      </c>
      <c r="F640" s="352" t="s">
        <v>1993</v>
      </c>
      <c r="G640" s="352" t="s">
        <v>2079</v>
      </c>
      <c r="H640" s="352" t="s">
        <v>1370</v>
      </c>
      <c r="I640" s="352" t="s">
        <v>1010</v>
      </c>
      <c r="J640" s="352" t="s">
        <v>1011</v>
      </c>
      <c r="K640" s="352">
        <v>2222</v>
      </c>
      <c r="L640" s="352" t="s">
        <v>1885</v>
      </c>
      <c r="M640" s="352" t="s">
        <v>2194</v>
      </c>
      <c r="N640" s="352" t="s">
        <v>2076</v>
      </c>
      <c r="O640" s="352">
        <v>2</v>
      </c>
      <c r="P640" s="352" t="s">
        <v>2088</v>
      </c>
      <c r="Q640" s="352" t="s">
        <v>2072</v>
      </c>
      <c r="R640" s="251">
        <v>0</v>
      </c>
      <c r="S640" s="251" t="s">
        <v>2193</v>
      </c>
      <c r="T640" s="251" t="s">
        <v>2054</v>
      </c>
      <c r="U640" s="251" t="s">
        <v>1939</v>
      </c>
      <c r="V640" s="251" t="s">
        <v>1940</v>
      </c>
      <c r="X640" s="251">
        <v>0</v>
      </c>
    </row>
    <row r="641" spans="2:24" x14ac:dyDescent="0.2">
      <c r="B641" s="352" t="s">
        <v>874</v>
      </c>
      <c r="C641" s="352" t="s">
        <v>712</v>
      </c>
      <c r="F641" s="352" t="s">
        <v>1993</v>
      </c>
      <c r="G641" s="352" t="s">
        <v>2079</v>
      </c>
      <c r="H641" s="352" t="s">
        <v>1374</v>
      </c>
      <c r="I641" s="352" t="s">
        <v>1012</v>
      </c>
      <c r="J641" s="352" t="s">
        <v>1013</v>
      </c>
      <c r="K641" s="352">
        <v>2222</v>
      </c>
      <c r="L641" s="352" t="s">
        <v>1885</v>
      </c>
      <c r="M641" s="352" t="s">
        <v>2195</v>
      </c>
      <c r="N641" s="352" t="s">
        <v>2076</v>
      </c>
      <c r="O641" s="352">
        <v>2</v>
      </c>
      <c r="P641" s="352" t="s">
        <v>2088</v>
      </c>
      <c r="Q641" s="352" t="s">
        <v>2072</v>
      </c>
      <c r="R641" s="251">
        <v>0</v>
      </c>
      <c r="S641" s="251" t="s">
        <v>2193</v>
      </c>
      <c r="T641" s="251" t="s">
        <v>2054</v>
      </c>
      <c r="U641" s="251" t="s">
        <v>1939</v>
      </c>
      <c r="V641" s="251" t="s">
        <v>1940</v>
      </c>
      <c r="X641" s="251">
        <v>0</v>
      </c>
    </row>
    <row r="642" spans="2:24" x14ac:dyDescent="0.2">
      <c r="B642" s="352" t="s">
        <v>874</v>
      </c>
      <c r="C642" s="352" t="s">
        <v>712</v>
      </c>
      <c r="F642" s="352" t="s">
        <v>1993</v>
      </c>
      <c r="G642" s="352" t="s">
        <v>2079</v>
      </c>
      <c r="H642" s="352" t="s">
        <v>1378</v>
      </c>
      <c r="I642" s="352" t="s">
        <v>1014</v>
      </c>
      <c r="J642" s="352" t="s">
        <v>1893</v>
      </c>
      <c r="K642" s="352">
        <v>2131</v>
      </c>
      <c r="L642" s="352" t="s">
        <v>1879</v>
      </c>
      <c r="M642" s="352" t="s">
        <v>2196</v>
      </c>
      <c r="N642" s="352" t="s">
        <v>2076</v>
      </c>
      <c r="O642" s="352">
        <v>8</v>
      </c>
      <c r="P642" s="352" t="s">
        <v>2085</v>
      </c>
      <c r="Q642" s="352" t="s">
        <v>2068</v>
      </c>
      <c r="R642" s="251">
        <v>0</v>
      </c>
      <c r="S642" s="251" t="s">
        <v>2015</v>
      </c>
      <c r="T642" s="251" t="s">
        <v>2054</v>
      </c>
      <c r="U642" s="251" t="s">
        <v>1929</v>
      </c>
      <c r="V642" s="251" t="s">
        <v>1930</v>
      </c>
      <c r="X642" s="251">
        <v>0</v>
      </c>
    </row>
    <row r="643" spans="2:24" x14ac:dyDescent="0.2">
      <c r="B643" s="352" t="s">
        <v>874</v>
      </c>
      <c r="C643" s="352" t="s">
        <v>712</v>
      </c>
      <c r="F643" s="352" t="s">
        <v>1993</v>
      </c>
      <c r="G643" s="352" t="s">
        <v>2079</v>
      </c>
      <c r="H643" s="352" t="s">
        <v>1378</v>
      </c>
      <c r="I643" s="352" t="s">
        <v>1014</v>
      </c>
      <c r="J643" s="352" t="s">
        <v>1893</v>
      </c>
      <c r="K643" s="352">
        <v>2132</v>
      </c>
      <c r="L643" s="352" t="s">
        <v>1880</v>
      </c>
      <c r="M643" s="352" t="s">
        <v>2197</v>
      </c>
      <c r="N643" s="352" t="s">
        <v>2076</v>
      </c>
      <c r="O643" s="352">
        <v>8</v>
      </c>
      <c r="P643" s="352" t="s">
        <v>2085</v>
      </c>
      <c r="Q643" s="352" t="s">
        <v>2068</v>
      </c>
      <c r="R643" s="251">
        <v>0</v>
      </c>
      <c r="S643" s="251" t="s">
        <v>2015</v>
      </c>
      <c r="T643" s="251" t="s">
        <v>2054</v>
      </c>
      <c r="U643" s="251" t="s">
        <v>1931</v>
      </c>
      <c r="V643" s="251" t="s">
        <v>1932</v>
      </c>
      <c r="X643" s="251">
        <v>0</v>
      </c>
    </row>
    <row r="644" spans="2:24" x14ac:dyDescent="0.2">
      <c r="B644" s="352" t="s">
        <v>874</v>
      </c>
      <c r="C644" s="352" t="s">
        <v>712</v>
      </c>
      <c r="F644" s="352" t="s">
        <v>1993</v>
      </c>
      <c r="G644" s="352" t="s">
        <v>2079</v>
      </c>
      <c r="H644" s="352" t="s">
        <v>1378</v>
      </c>
      <c r="I644" s="352" t="s">
        <v>1014</v>
      </c>
      <c r="J644" s="352" t="s">
        <v>1893</v>
      </c>
      <c r="K644" s="352">
        <v>2133</v>
      </c>
      <c r="L644" s="352" t="s">
        <v>1881</v>
      </c>
      <c r="M644" s="352" t="s">
        <v>2198</v>
      </c>
      <c r="N644" s="352" t="s">
        <v>2076</v>
      </c>
      <c r="O644" s="352">
        <v>8</v>
      </c>
      <c r="P644" s="352" t="s">
        <v>2085</v>
      </c>
      <c r="Q644" s="352" t="s">
        <v>2068</v>
      </c>
      <c r="R644" s="251">
        <v>0</v>
      </c>
      <c r="S644" s="251" t="s">
        <v>2015</v>
      </c>
      <c r="T644" s="251" t="s">
        <v>2054</v>
      </c>
      <c r="U644" s="251" t="s">
        <v>1935</v>
      </c>
      <c r="V644" s="251" t="s">
        <v>1936</v>
      </c>
      <c r="X644" s="251">
        <v>0</v>
      </c>
    </row>
    <row r="645" spans="2:24" x14ac:dyDescent="0.2">
      <c r="B645" s="352" t="s">
        <v>874</v>
      </c>
      <c r="C645" s="352" t="s">
        <v>712</v>
      </c>
      <c r="F645" s="352" t="s">
        <v>1993</v>
      </c>
      <c r="G645" s="352" t="s">
        <v>2079</v>
      </c>
      <c r="H645" s="352" t="s">
        <v>1378</v>
      </c>
      <c r="I645" s="352" t="s">
        <v>1014</v>
      </c>
      <c r="J645" s="352" t="s">
        <v>1893</v>
      </c>
      <c r="K645" s="352">
        <v>2134</v>
      </c>
      <c r="L645" s="352" t="s">
        <v>775</v>
      </c>
      <c r="M645" s="352" t="s">
        <v>2199</v>
      </c>
      <c r="N645" s="352" t="s">
        <v>2076</v>
      </c>
      <c r="O645" s="352">
        <v>8</v>
      </c>
      <c r="P645" s="352" t="s">
        <v>2085</v>
      </c>
      <c r="Q645" s="352" t="s">
        <v>2068</v>
      </c>
      <c r="R645" s="251">
        <v>0</v>
      </c>
      <c r="S645" s="251" t="s">
        <v>2015</v>
      </c>
      <c r="T645" s="251" t="s">
        <v>2054</v>
      </c>
      <c r="U645" s="251">
        <v>0</v>
      </c>
      <c r="V645" s="251" t="s">
        <v>2153</v>
      </c>
      <c r="X645" s="251">
        <v>0</v>
      </c>
    </row>
    <row r="646" spans="2:24" x14ac:dyDescent="0.2">
      <c r="B646" s="352" t="s">
        <v>874</v>
      </c>
      <c r="C646" s="352" t="s">
        <v>712</v>
      </c>
      <c r="F646" s="352" t="s">
        <v>1993</v>
      </c>
      <c r="G646" s="352" t="s">
        <v>2079</v>
      </c>
      <c r="H646" s="352" t="s">
        <v>1378</v>
      </c>
      <c r="I646" s="352" t="s">
        <v>1014</v>
      </c>
      <c r="J646" s="352" t="s">
        <v>1893</v>
      </c>
      <c r="K646" s="352">
        <v>2141</v>
      </c>
      <c r="L646" s="352" t="s">
        <v>1882</v>
      </c>
      <c r="M646" s="352" t="s">
        <v>2200</v>
      </c>
      <c r="N646" s="352" t="s">
        <v>2076</v>
      </c>
      <c r="O646" s="352">
        <v>8</v>
      </c>
      <c r="P646" s="352" t="s">
        <v>2085</v>
      </c>
      <c r="Q646" s="352" t="s">
        <v>2068</v>
      </c>
      <c r="R646" s="251">
        <v>0</v>
      </c>
      <c r="S646" s="251" t="s">
        <v>2015</v>
      </c>
      <c r="T646" s="251" t="s">
        <v>2054</v>
      </c>
      <c r="U646" s="251" t="s">
        <v>1935</v>
      </c>
      <c r="V646" s="251" t="s">
        <v>1936</v>
      </c>
      <c r="X646" s="251">
        <v>0</v>
      </c>
    </row>
    <row r="647" spans="2:24" x14ac:dyDescent="0.2">
      <c r="B647" s="352" t="s">
        <v>874</v>
      </c>
      <c r="C647" s="352" t="s">
        <v>712</v>
      </c>
      <c r="F647" s="352" t="s">
        <v>1993</v>
      </c>
      <c r="G647" s="352" t="s">
        <v>2079</v>
      </c>
      <c r="H647" s="352" t="s">
        <v>1378</v>
      </c>
      <c r="I647" s="352" t="s">
        <v>1014</v>
      </c>
      <c r="J647" s="352" t="s">
        <v>1893</v>
      </c>
      <c r="K647" s="352">
        <v>2211</v>
      </c>
      <c r="L647" s="352" t="s">
        <v>1883</v>
      </c>
      <c r="M647" s="352" t="s">
        <v>2201</v>
      </c>
      <c r="N647" s="352" t="s">
        <v>2076</v>
      </c>
      <c r="O647" s="352">
        <v>8</v>
      </c>
      <c r="P647" s="352" t="s">
        <v>2085</v>
      </c>
      <c r="Q647" s="352" t="s">
        <v>2068</v>
      </c>
      <c r="R647" s="251">
        <v>0</v>
      </c>
      <c r="S647" s="251" t="s">
        <v>2015</v>
      </c>
      <c r="T647" s="251" t="s">
        <v>2054</v>
      </c>
      <c r="U647" s="251" t="s">
        <v>1929</v>
      </c>
      <c r="V647" s="251" t="s">
        <v>1930</v>
      </c>
      <c r="X647" s="251">
        <v>0</v>
      </c>
    </row>
    <row r="648" spans="2:24" x14ac:dyDescent="0.2">
      <c r="B648" s="352" t="s">
        <v>874</v>
      </c>
      <c r="C648" s="352" t="s">
        <v>712</v>
      </c>
      <c r="F648" s="352" t="s">
        <v>1993</v>
      </c>
      <c r="G648" s="352" t="s">
        <v>2079</v>
      </c>
      <c r="H648" s="352" t="s">
        <v>1378</v>
      </c>
      <c r="I648" s="352" t="s">
        <v>1014</v>
      </c>
      <c r="J648" s="352" t="s">
        <v>1893</v>
      </c>
      <c r="K648" s="352">
        <v>2221</v>
      </c>
      <c r="L648" s="352" t="s">
        <v>1884</v>
      </c>
      <c r="M648" s="352" t="s">
        <v>2202</v>
      </c>
      <c r="N648" s="352" t="s">
        <v>2076</v>
      </c>
      <c r="O648" s="352">
        <v>8</v>
      </c>
      <c r="P648" s="352" t="s">
        <v>2085</v>
      </c>
      <c r="Q648" s="352" t="s">
        <v>2068</v>
      </c>
      <c r="R648" s="251">
        <v>0</v>
      </c>
      <c r="S648" s="251" t="s">
        <v>2015</v>
      </c>
      <c r="T648" s="251" t="s">
        <v>2054</v>
      </c>
      <c r="U648" s="251" t="s">
        <v>1935</v>
      </c>
      <c r="V648" s="251" t="s">
        <v>1936</v>
      </c>
      <c r="X648" s="251">
        <v>0</v>
      </c>
    </row>
    <row r="649" spans="2:24" x14ac:dyDescent="0.2">
      <c r="B649" s="352" t="s">
        <v>874</v>
      </c>
      <c r="C649" s="352" t="s">
        <v>712</v>
      </c>
      <c r="F649" s="352" t="s">
        <v>1993</v>
      </c>
      <c r="G649" s="352" t="s">
        <v>2079</v>
      </c>
      <c r="H649" s="352" t="s">
        <v>1382</v>
      </c>
      <c r="I649" s="352" t="s">
        <v>1015</v>
      </c>
      <c r="J649" s="352" t="s">
        <v>1016</v>
      </c>
      <c r="K649" s="352">
        <v>3111</v>
      </c>
      <c r="L649" s="352" t="s">
        <v>763</v>
      </c>
      <c r="M649" s="352" t="s">
        <v>2203</v>
      </c>
      <c r="N649" s="352" t="s">
        <v>2076</v>
      </c>
      <c r="O649" s="352">
        <v>1</v>
      </c>
      <c r="P649" s="352" t="s">
        <v>2086</v>
      </c>
      <c r="Q649" s="352" t="s">
        <v>2066</v>
      </c>
      <c r="R649" s="251">
        <v>0</v>
      </c>
      <c r="S649" s="251"/>
      <c r="T649" s="251" t="s">
        <v>2054</v>
      </c>
      <c r="U649" s="251" t="s">
        <v>1945</v>
      </c>
      <c r="V649" s="251" t="s">
        <v>709</v>
      </c>
      <c r="X649" s="251">
        <v>0</v>
      </c>
    </row>
    <row r="650" spans="2:24" x14ac:dyDescent="0.2">
      <c r="B650" s="352" t="s">
        <v>874</v>
      </c>
      <c r="C650" s="352" t="s">
        <v>712</v>
      </c>
      <c r="F650" s="352" t="s">
        <v>1993</v>
      </c>
      <c r="G650" s="352" t="s">
        <v>2079</v>
      </c>
      <c r="H650" s="352" t="s">
        <v>1382</v>
      </c>
      <c r="I650" s="352" t="s">
        <v>1015</v>
      </c>
      <c r="J650" s="352" t="s">
        <v>1016</v>
      </c>
      <c r="K650" s="352">
        <v>3121</v>
      </c>
      <c r="L650" s="352" t="s">
        <v>766</v>
      </c>
      <c r="M650" s="352" t="s">
        <v>2204</v>
      </c>
      <c r="N650" s="352" t="s">
        <v>2076</v>
      </c>
      <c r="O650" s="352">
        <v>1</v>
      </c>
      <c r="P650" s="352" t="s">
        <v>2086</v>
      </c>
      <c r="Q650" s="352" t="s">
        <v>2066</v>
      </c>
      <c r="R650" s="251">
        <v>0</v>
      </c>
      <c r="S650" s="251"/>
      <c r="T650" s="251" t="s">
        <v>2054</v>
      </c>
      <c r="U650" s="251" t="s">
        <v>1945</v>
      </c>
      <c r="V650" s="251" t="s">
        <v>709</v>
      </c>
      <c r="X650" s="251">
        <v>0</v>
      </c>
    </row>
    <row r="651" spans="2:24" x14ac:dyDescent="0.2">
      <c r="B651" s="352" t="s">
        <v>874</v>
      </c>
      <c r="C651" s="352" t="s">
        <v>712</v>
      </c>
      <c r="F651" s="352" t="s">
        <v>1993</v>
      </c>
      <c r="G651" s="352" t="s">
        <v>2079</v>
      </c>
      <c r="H651" s="352" t="s">
        <v>1386</v>
      </c>
      <c r="I651" s="352" t="s">
        <v>1017</v>
      </c>
      <c r="J651" s="352" t="s">
        <v>1018</v>
      </c>
      <c r="K651" s="352">
        <v>4111</v>
      </c>
      <c r="L651" s="352" t="s">
        <v>770</v>
      </c>
      <c r="M651" s="352" t="s">
        <v>2205</v>
      </c>
      <c r="N651" s="352" t="s">
        <v>2076</v>
      </c>
      <c r="O651" s="352">
        <v>11</v>
      </c>
      <c r="P651" s="352" t="s">
        <v>2084</v>
      </c>
      <c r="Q651" s="352" t="s">
        <v>2064</v>
      </c>
      <c r="R651" s="251">
        <v>212.913994230551</v>
      </c>
      <c r="S651" s="251" t="s">
        <v>2015</v>
      </c>
      <c r="T651" s="251" t="s">
        <v>2016</v>
      </c>
      <c r="U651" s="251" t="s">
        <v>1946</v>
      </c>
      <c r="V651" s="251" t="s">
        <v>1947</v>
      </c>
      <c r="X651" s="251">
        <v>0</v>
      </c>
    </row>
    <row r="652" spans="2:24" x14ac:dyDescent="0.2">
      <c r="B652" s="352" t="s">
        <v>874</v>
      </c>
      <c r="C652" s="352" t="s">
        <v>712</v>
      </c>
      <c r="F652" s="352" t="s">
        <v>1993</v>
      </c>
      <c r="G652" s="352" t="s">
        <v>2079</v>
      </c>
      <c r="H652" s="352" t="s">
        <v>1386</v>
      </c>
      <c r="I652" s="352" t="s">
        <v>1017</v>
      </c>
      <c r="J652" s="352" t="s">
        <v>1018</v>
      </c>
      <c r="K652" s="352">
        <v>4121</v>
      </c>
      <c r="L652" s="352" t="s">
        <v>772</v>
      </c>
      <c r="M652" s="352" t="s">
        <v>2206</v>
      </c>
      <c r="N652" s="352" t="s">
        <v>2076</v>
      </c>
      <c r="O652" s="352">
        <v>11</v>
      </c>
      <c r="P652" s="352" t="s">
        <v>2084</v>
      </c>
      <c r="Q652" s="352" t="s">
        <v>2064</v>
      </c>
      <c r="R652" s="251">
        <v>466.58361604751798</v>
      </c>
      <c r="S652" s="251" t="s">
        <v>2015</v>
      </c>
      <c r="T652" s="251" t="s">
        <v>2016</v>
      </c>
      <c r="U652" s="251" t="s">
        <v>1946</v>
      </c>
      <c r="V652" s="251" t="s">
        <v>1947</v>
      </c>
      <c r="X652" s="251">
        <v>0</v>
      </c>
    </row>
    <row r="653" spans="2:24" x14ac:dyDescent="0.2">
      <c r="B653" s="352" t="s">
        <v>874</v>
      </c>
      <c r="C653" s="352" t="s">
        <v>712</v>
      </c>
      <c r="F653" s="352" t="s">
        <v>1993</v>
      </c>
      <c r="G653" s="352" t="s">
        <v>2079</v>
      </c>
      <c r="H653" s="352" t="s">
        <v>1390</v>
      </c>
      <c r="I653" s="352" t="s">
        <v>1019</v>
      </c>
      <c r="J653" s="352" t="s">
        <v>1020</v>
      </c>
      <c r="K653" s="352">
        <v>4231</v>
      </c>
      <c r="L653" s="352" t="s">
        <v>774</v>
      </c>
      <c r="M653" s="352" t="s">
        <v>2207</v>
      </c>
      <c r="N653" s="352" t="s">
        <v>2076</v>
      </c>
      <c r="O653" s="352">
        <v>1</v>
      </c>
      <c r="P653" s="352" t="s">
        <v>2086</v>
      </c>
      <c r="Q653" s="352" t="s">
        <v>2066</v>
      </c>
      <c r="R653" s="251">
        <v>3580.5518297787535</v>
      </c>
      <c r="S653" s="251" t="s">
        <v>2015</v>
      </c>
      <c r="T653" s="251" t="s">
        <v>2016</v>
      </c>
      <c r="U653" s="251" t="s">
        <v>1948</v>
      </c>
      <c r="V653" s="251" t="s">
        <v>1949</v>
      </c>
      <c r="X653" s="251">
        <v>0</v>
      </c>
    </row>
    <row r="654" spans="2:24" x14ac:dyDescent="0.2">
      <c r="B654" s="352" t="s">
        <v>874</v>
      </c>
      <c r="C654" s="352" t="s">
        <v>712</v>
      </c>
      <c r="F654" s="352" t="s">
        <v>1993</v>
      </c>
      <c r="G654" s="352" t="s">
        <v>2079</v>
      </c>
      <c r="H654" s="352" t="s">
        <v>1390</v>
      </c>
      <c r="I654" s="352" t="s">
        <v>1019</v>
      </c>
      <c r="J654" s="352" t="s">
        <v>1020</v>
      </c>
      <c r="K654" s="352">
        <v>4241</v>
      </c>
      <c r="L654" s="352" t="s">
        <v>777</v>
      </c>
      <c r="M654" s="352" t="s">
        <v>2208</v>
      </c>
      <c r="N654" s="352" t="s">
        <v>2076</v>
      </c>
      <c r="O654" s="352">
        <v>1</v>
      </c>
      <c r="P654" s="352" t="s">
        <v>2086</v>
      </c>
      <c r="Q654" s="352" t="s">
        <v>2066</v>
      </c>
      <c r="R654" s="251">
        <v>194.6996276766917</v>
      </c>
      <c r="S654" s="251" t="s">
        <v>2015</v>
      </c>
      <c r="T654" s="251" t="s">
        <v>2016</v>
      </c>
      <c r="U654" s="251" t="s">
        <v>1950</v>
      </c>
      <c r="V654" s="251" t="s">
        <v>1951</v>
      </c>
      <c r="X654" s="251">
        <v>0</v>
      </c>
    </row>
    <row r="655" spans="2:24" x14ac:dyDescent="0.2">
      <c r="B655" s="352" t="s">
        <v>874</v>
      </c>
      <c r="C655" s="352" t="s">
        <v>712</v>
      </c>
      <c r="F655" s="352" t="s">
        <v>1993</v>
      </c>
      <c r="G655" s="352" t="s">
        <v>2079</v>
      </c>
      <c r="H655" s="352" t="s">
        <v>1390</v>
      </c>
      <c r="I655" s="352" t="s">
        <v>1019</v>
      </c>
      <c r="J655" s="352" t="s">
        <v>1020</v>
      </c>
      <c r="K655" s="352">
        <v>4311</v>
      </c>
      <c r="L655" s="352" t="s">
        <v>779</v>
      </c>
      <c r="M655" s="352" t="s">
        <v>2209</v>
      </c>
      <c r="N655" s="352" t="s">
        <v>2076</v>
      </c>
      <c r="O655" s="352">
        <v>1</v>
      </c>
      <c r="P655" s="352" t="s">
        <v>2086</v>
      </c>
      <c r="Q655" s="352" t="s">
        <v>2066</v>
      </c>
      <c r="R655" s="251">
        <v>3.8386183699838576</v>
      </c>
      <c r="S655" s="251" t="s">
        <v>2015</v>
      </c>
      <c r="T655" s="251" t="s">
        <v>2016</v>
      </c>
      <c r="U655" s="251" t="s">
        <v>1952</v>
      </c>
      <c r="V655" s="251" t="s">
        <v>1953</v>
      </c>
      <c r="X655" s="251">
        <v>0</v>
      </c>
    </row>
    <row r="656" spans="2:24" x14ac:dyDescent="0.2">
      <c r="B656" s="352" t="s">
        <v>874</v>
      </c>
      <c r="C656" s="352" t="s">
        <v>712</v>
      </c>
      <c r="F656" s="352" t="s">
        <v>1993</v>
      </c>
      <c r="G656" s="352" t="s">
        <v>2079</v>
      </c>
      <c r="H656" s="352" t="s">
        <v>1394</v>
      </c>
      <c r="I656" s="352" t="s">
        <v>1021</v>
      </c>
      <c r="J656" s="352" t="s">
        <v>751</v>
      </c>
      <c r="K656" s="352">
        <v>4231</v>
      </c>
      <c r="L656" s="352" t="s">
        <v>774</v>
      </c>
      <c r="M656" s="352" t="s">
        <v>2210</v>
      </c>
      <c r="N656" s="352" t="s">
        <v>2076</v>
      </c>
      <c r="O656" s="352">
        <v>20</v>
      </c>
      <c r="P656" s="352" t="s">
        <v>2089</v>
      </c>
      <c r="Q656" s="352" t="s">
        <v>2074</v>
      </c>
      <c r="R656" s="251">
        <v>113.07005778248696</v>
      </c>
      <c r="S656" s="251" t="s">
        <v>2015</v>
      </c>
      <c r="T656" s="251" t="s">
        <v>2016</v>
      </c>
      <c r="U656" s="251" t="s">
        <v>1948</v>
      </c>
      <c r="V656" s="251" t="s">
        <v>1949</v>
      </c>
      <c r="X656" s="251">
        <v>0</v>
      </c>
    </row>
    <row r="657" spans="2:24" x14ac:dyDescent="0.2">
      <c r="B657" s="352" t="s">
        <v>874</v>
      </c>
      <c r="C657" s="352" t="s">
        <v>712</v>
      </c>
      <c r="F657" s="352" t="s">
        <v>1993</v>
      </c>
      <c r="G657" s="352" t="s">
        <v>2079</v>
      </c>
      <c r="H657" s="352" t="s">
        <v>1394</v>
      </c>
      <c r="I657" s="352" t="s">
        <v>1021</v>
      </c>
      <c r="J657" s="352" t="s">
        <v>751</v>
      </c>
      <c r="K657" s="352">
        <v>4241</v>
      </c>
      <c r="L657" s="352" t="s">
        <v>777</v>
      </c>
      <c r="M657" s="352" t="s">
        <v>2211</v>
      </c>
      <c r="N657" s="352" t="s">
        <v>2076</v>
      </c>
      <c r="O657" s="352">
        <v>20</v>
      </c>
      <c r="P657" s="352" t="s">
        <v>2089</v>
      </c>
      <c r="Q657" s="352" t="s">
        <v>2074</v>
      </c>
      <c r="R657" s="251">
        <v>6165.4882097619047</v>
      </c>
      <c r="S657" s="251" t="s">
        <v>2015</v>
      </c>
      <c r="T657" s="251" t="s">
        <v>2016</v>
      </c>
      <c r="U657" s="251" t="s">
        <v>1950</v>
      </c>
      <c r="V657" s="251" t="s">
        <v>1951</v>
      </c>
      <c r="X657" s="251">
        <v>0</v>
      </c>
    </row>
    <row r="658" spans="2:24" x14ac:dyDescent="0.2">
      <c r="B658" s="352" t="s">
        <v>874</v>
      </c>
      <c r="C658" s="352" t="s">
        <v>712</v>
      </c>
      <c r="F658" s="352" t="s">
        <v>1993</v>
      </c>
      <c r="G658" s="352" t="s">
        <v>2079</v>
      </c>
      <c r="H658" s="352" t="s">
        <v>1394</v>
      </c>
      <c r="I658" s="352" t="s">
        <v>1021</v>
      </c>
      <c r="J658" s="352" t="s">
        <v>751</v>
      </c>
      <c r="K658" s="352">
        <v>4311</v>
      </c>
      <c r="L658" s="352" t="s">
        <v>779</v>
      </c>
      <c r="M658" s="352" t="s">
        <v>2212</v>
      </c>
      <c r="N658" s="352" t="s">
        <v>2076</v>
      </c>
      <c r="O658" s="352">
        <v>20</v>
      </c>
      <c r="P658" s="352" t="s">
        <v>2089</v>
      </c>
      <c r="Q658" s="352" t="s">
        <v>2074</v>
      </c>
      <c r="R658" s="251">
        <v>121.55624838282216</v>
      </c>
      <c r="S658" s="251" t="s">
        <v>2015</v>
      </c>
      <c r="T658" s="251" t="s">
        <v>2016</v>
      </c>
      <c r="U658" s="251" t="s">
        <v>1952</v>
      </c>
      <c r="V658" s="251" t="s">
        <v>1953</v>
      </c>
      <c r="X658" s="251">
        <v>0</v>
      </c>
    </row>
    <row r="659" spans="2:24" x14ac:dyDescent="0.2">
      <c r="B659" s="352" t="s">
        <v>874</v>
      </c>
      <c r="C659" s="352" t="s">
        <v>719</v>
      </c>
      <c r="F659" s="352" t="s">
        <v>1994</v>
      </c>
      <c r="G659" s="352" t="s">
        <v>2092</v>
      </c>
      <c r="H659" s="352" t="s">
        <v>1398</v>
      </c>
      <c r="I659" s="352" t="s">
        <v>969</v>
      </c>
      <c r="J659" s="352" t="s">
        <v>970</v>
      </c>
      <c r="K659" s="352">
        <v>1111</v>
      </c>
      <c r="L659" s="352" t="s">
        <v>699</v>
      </c>
      <c r="M659" s="352" t="s">
        <v>2147</v>
      </c>
      <c r="N659" s="352" t="s">
        <v>2076</v>
      </c>
      <c r="O659" s="352">
        <v>5</v>
      </c>
      <c r="P659" s="352" t="s">
        <v>2077</v>
      </c>
      <c r="Q659" s="352" t="s">
        <v>2058</v>
      </c>
      <c r="R659" s="251">
        <v>58083.660693865117</v>
      </c>
      <c r="S659" s="251" t="s">
        <v>2015</v>
      </c>
      <c r="T659" s="251" t="s">
        <v>2016</v>
      </c>
      <c r="U659" s="251" t="s">
        <v>1914</v>
      </c>
      <c r="V659" s="251" t="s">
        <v>1915</v>
      </c>
      <c r="X659" s="251">
        <v>0</v>
      </c>
    </row>
    <row r="660" spans="2:24" x14ac:dyDescent="0.2">
      <c r="B660" s="352" t="s">
        <v>874</v>
      </c>
      <c r="C660" s="352" t="s">
        <v>719</v>
      </c>
      <c r="F660" s="352" t="s">
        <v>1994</v>
      </c>
      <c r="G660" s="352" t="s">
        <v>2092</v>
      </c>
      <c r="H660" s="352" t="s">
        <v>1398</v>
      </c>
      <c r="I660" s="352" t="s">
        <v>969</v>
      </c>
      <c r="J660" s="352" t="s">
        <v>970</v>
      </c>
      <c r="K660" s="352">
        <v>1231</v>
      </c>
      <c r="L660" s="352" t="s">
        <v>726</v>
      </c>
      <c r="M660" s="352" t="s">
        <v>2148</v>
      </c>
      <c r="N660" s="352" t="s">
        <v>2076</v>
      </c>
      <c r="O660" s="352">
        <v>5</v>
      </c>
      <c r="P660" s="352" t="s">
        <v>2077</v>
      </c>
      <c r="Q660" s="352" t="s">
        <v>2058</v>
      </c>
      <c r="R660" s="251">
        <v>2295.3236260511248</v>
      </c>
      <c r="S660" s="251" t="s">
        <v>2015</v>
      </c>
      <c r="T660" s="251" t="s">
        <v>2016</v>
      </c>
      <c r="U660" s="251" t="s">
        <v>1920</v>
      </c>
      <c r="V660" s="251" t="s">
        <v>726</v>
      </c>
      <c r="X660" s="251">
        <v>0</v>
      </c>
    </row>
    <row r="661" spans="2:24" x14ac:dyDescent="0.2">
      <c r="B661" s="352" t="s">
        <v>874</v>
      </c>
      <c r="C661" s="352" t="s">
        <v>719</v>
      </c>
      <c r="F661" s="352" t="s">
        <v>1994</v>
      </c>
      <c r="G661" s="352" t="s">
        <v>2092</v>
      </c>
      <c r="H661" s="352" t="s">
        <v>1402</v>
      </c>
      <c r="I661" s="352" t="s">
        <v>971</v>
      </c>
      <c r="J661" s="352" t="s">
        <v>972</v>
      </c>
      <c r="K661" s="352">
        <v>1211</v>
      </c>
      <c r="L661" s="352" t="s">
        <v>705</v>
      </c>
      <c r="M661" s="352" t="s">
        <v>2149</v>
      </c>
      <c r="N661" s="352" t="s">
        <v>2076</v>
      </c>
      <c r="O661" s="352">
        <v>5</v>
      </c>
      <c r="P661" s="352" t="s">
        <v>2077</v>
      </c>
      <c r="Q661" s="352" t="s">
        <v>2058</v>
      </c>
      <c r="R661" s="251">
        <v>0</v>
      </c>
      <c r="S661" s="251" t="s">
        <v>2015</v>
      </c>
      <c r="T661" s="251" t="s">
        <v>2054</v>
      </c>
      <c r="U661" s="251" t="s">
        <v>1916</v>
      </c>
      <c r="V661" s="251" t="s">
        <v>1917</v>
      </c>
      <c r="X661" s="251">
        <v>0</v>
      </c>
    </row>
    <row r="662" spans="2:24" x14ac:dyDescent="0.2">
      <c r="B662" s="352" t="s">
        <v>874</v>
      </c>
      <c r="C662" s="352" t="s">
        <v>719</v>
      </c>
      <c r="F662" s="352" t="s">
        <v>1994</v>
      </c>
      <c r="G662" s="352" t="s">
        <v>2092</v>
      </c>
      <c r="H662" s="352" t="s">
        <v>1406</v>
      </c>
      <c r="I662" s="352" t="s">
        <v>973</v>
      </c>
      <c r="J662" s="352" t="s">
        <v>974</v>
      </c>
      <c r="K662" s="352">
        <v>1211</v>
      </c>
      <c r="L662" s="352" t="s">
        <v>705</v>
      </c>
      <c r="M662" s="352" t="s">
        <v>2150</v>
      </c>
      <c r="N662" s="352" t="s">
        <v>2076</v>
      </c>
      <c r="O662" s="352">
        <v>5</v>
      </c>
      <c r="P662" s="352" t="s">
        <v>2077</v>
      </c>
      <c r="Q662" s="352" t="s">
        <v>2058</v>
      </c>
      <c r="R662" s="251">
        <v>10870.146681721304</v>
      </c>
      <c r="S662" s="251" t="s">
        <v>2015</v>
      </c>
      <c r="T662" s="251" t="s">
        <v>2016</v>
      </c>
      <c r="U662" s="251" t="s">
        <v>1916</v>
      </c>
      <c r="V662" s="251" t="s">
        <v>1917</v>
      </c>
      <c r="X662" s="251">
        <v>0</v>
      </c>
    </row>
    <row r="663" spans="2:24" x14ac:dyDescent="0.2">
      <c r="B663" s="352" t="s">
        <v>874</v>
      </c>
      <c r="C663" s="352" t="s">
        <v>719</v>
      </c>
      <c r="F663" s="352" t="s">
        <v>1994</v>
      </c>
      <c r="G663" s="352" t="s">
        <v>2092</v>
      </c>
      <c r="H663" s="352" t="s">
        <v>1406</v>
      </c>
      <c r="I663" s="352" t="s">
        <v>973</v>
      </c>
      <c r="J663" s="352" t="s">
        <v>974</v>
      </c>
      <c r="K663" s="352">
        <v>1221</v>
      </c>
      <c r="L663" s="352" t="s">
        <v>711</v>
      </c>
      <c r="M663" s="352" t="s">
        <v>2151</v>
      </c>
      <c r="N663" s="352" t="s">
        <v>2076</v>
      </c>
      <c r="O663" s="352">
        <v>5</v>
      </c>
      <c r="P663" s="352" t="s">
        <v>2077</v>
      </c>
      <c r="Q663" s="352" t="s">
        <v>2058</v>
      </c>
      <c r="R663" s="251">
        <v>14038.741616216468</v>
      </c>
      <c r="S663" s="251" t="s">
        <v>2015</v>
      </c>
      <c r="T663" s="251" t="s">
        <v>2016</v>
      </c>
      <c r="U663" s="251" t="s">
        <v>1918</v>
      </c>
      <c r="V663" s="251" t="s">
        <v>1919</v>
      </c>
      <c r="X663" s="251">
        <v>0</v>
      </c>
    </row>
    <row r="664" spans="2:24" x14ac:dyDescent="0.2">
      <c r="B664" s="352" t="s">
        <v>874</v>
      </c>
      <c r="C664" s="352" t="s">
        <v>719</v>
      </c>
      <c r="F664" s="352" t="s">
        <v>1994</v>
      </c>
      <c r="G664" s="352" t="s">
        <v>2092</v>
      </c>
      <c r="H664" s="352" t="s">
        <v>1406</v>
      </c>
      <c r="I664" s="352" t="s">
        <v>973</v>
      </c>
      <c r="J664" s="352" t="s">
        <v>974</v>
      </c>
      <c r="K664" s="352">
        <v>1222</v>
      </c>
      <c r="L664" s="352" t="s">
        <v>718</v>
      </c>
      <c r="M664" s="352" t="s">
        <v>2152</v>
      </c>
      <c r="N664" s="352" t="s">
        <v>2076</v>
      </c>
      <c r="O664" s="352">
        <v>5</v>
      </c>
      <c r="P664" s="352" t="s">
        <v>2077</v>
      </c>
      <c r="Q664" s="352" t="s">
        <v>2058</v>
      </c>
      <c r="R664" s="251">
        <v>530.79600216570816</v>
      </c>
      <c r="S664" s="251" t="s">
        <v>2015</v>
      </c>
      <c r="T664" s="251" t="s">
        <v>2016</v>
      </c>
      <c r="U664" s="251">
        <v>0</v>
      </c>
      <c r="V664" s="251" t="s">
        <v>2153</v>
      </c>
      <c r="X664" s="251">
        <v>0</v>
      </c>
    </row>
    <row r="665" spans="2:24" x14ac:dyDescent="0.2">
      <c r="B665" s="352" t="s">
        <v>874</v>
      </c>
      <c r="C665" s="352" t="s">
        <v>719</v>
      </c>
      <c r="F665" s="352" t="s">
        <v>1994</v>
      </c>
      <c r="G665" s="352" t="s">
        <v>2092</v>
      </c>
      <c r="H665" s="352" t="s">
        <v>1410</v>
      </c>
      <c r="I665" s="352" t="s">
        <v>975</v>
      </c>
      <c r="J665" s="352" t="s">
        <v>976</v>
      </c>
      <c r="K665" s="352">
        <v>1221</v>
      </c>
      <c r="L665" s="352" t="s">
        <v>711</v>
      </c>
      <c r="M665" s="352" t="s">
        <v>2154</v>
      </c>
      <c r="N665" s="352" t="s">
        <v>2076</v>
      </c>
      <c r="O665" s="352">
        <v>7</v>
      </c>
      <c r="P665" s="352" t="s">
        <v>2081</v>
      </c>
      <c r="Q665" s="352" t="s">
        <v>2056</v>
      </c>
      <c r="R665" s="251">
        <v>0</v>
      </c>
      <c r="S665" s="251" t="s">
        <v>2015</v>
      </c>
      <c r="T665" s="251" t="s">
        <v>2054</v>
      </c>
      <c r="U665" s="251" t="s">
        <v>1918</v>
      </c>
      <c r="V665" s="251" t="s">
        <v>1919</v>
      </c>
      <c r="X665" s="251">
        <v>0</v>
      </c>
    </row>
    <row r="666" spans="2:24" x14ac:dyDescent="0.2">
      <c r="B666" s="352" t="s">
        <v>874</v>
      </c>
      <c r="C666" s="352" t="s">
        <v>719</v>
      </c>
      <c r="F666" s="352" t="s">
        <v>1994</v>
      </c>
      <c r="G666" s="352" t="s">
        <v>2092</v>
      </c>
      <c r="H666" s="352" t="s">
        <v>1414</v>
      </c>
      <c r="I666" s="352" t="s">
        <v>977</v>
      </c>
      <c r="J666" s="352" t="s">
        <v>864</v>
      </c>
      <c r="K666" s="352">
        <v>1111</v>
      </c>
      <c r="L666" s="352" t="s">
        <v>699</v>
      </c>
      <c r="M666" s="352" t="s">
        <v>2155</v>
      </c>
      <c r="N666" s="352" t="s">
        <v>2076</v>
      </c>
      <c r="O666" s="352">
        <v>5</v>
      </c>
      <c r="P666" s="352" t="s">
        <v>2077</v>
      </c>
      <c r="Q666" s="352" t="s">
        <v>2058</v>
      </c>
      <c r="R666" s="251">
        <v>3156.720689883974</v>
      </c>
      <c r="S666" s="251" t="s">
        <v>2015</v>
      </c>
      <c r="T666" s="251" t="s">
        <v>2016</v>
      </c>
      <c r="U666" s="251" t="s">
        <v>1914</v>
      </c>
      <c r="V666" s="251" t="s">
        <v>1915</v>
      </c>
      <c r="X666" s="251">
        <v>0</v>
      </c>
    </row>
    <row r="667" spans="2:24" x14ac:dyDescent="0.2">
      <c r="B667" s="352" t="s">
        <v>874</v>
      </c>
      <c r="C667" s="352" t="s">
        <v>719</v>
      </c>
      <c r="F667" s="352" t="s">
        <v>1994</v>
      </c>
      <c r="G667" s="352" t="s">
        <v>2092</v>
      </c>
      <c r="H667" s="352" t="s">
        <v>1414</v>
      </c>
      <c r="I667" s="352" t="s">
        <v>977</v>
      </c>
      <c r="J667" s="352" t="s">
        <v>864</v>
      </c>
      <c r="K667" s="352">
        <v>1211</v>
      </c>
      <c r="L667" s="352" t="s">
        <v>705</v>
      </c>
      <c r="M667" s="352" t="s">
        <v>2156</v>
      </c>
      <c r="N667" s="352" t="s">
        <v>2076</v>
      </c>
      <c r="O667" s="352">
        <v>5</v>
      </c>
      <c r="P667" s="352" t="s">
        <v>2077</v>
      </c>
      <c r="Q667" s="352" t="s">
        <v>2058</v>
      </c>
      <c r="R667" s="251">
        <v>1249.4421473242878</v>
      </c>
      <c r="S667" s="251" t="s">
        <v>2015</v>
      </c>
      <c r="T667" s="251" t="s">
        <v>2016</v>
      </c>
      <c r="U667" s="251" t="s">
        <v>1916</v>
      </c>
      <c r="V667" s="251" t="s">
        <v>1917</v>
      </c>
      <c r="X667" s="251">
        <v>0</v>
      </c>
    </row>
    <row r="668" spans="2:24" x14ac:dyDescent="0.2">
      <c r="B668" s="352" t="s">
        <v>874</v>
      </c>
      <c r="C668" s="352" t="s">
        <v>719</v>
      </c>
      <c r="F668" s="352" t="s">
        <v>1994</v>
      </c>
      <c r="G668" s="352" t="s">
        <v>2092</v>
      </c>
      <c r="H668" s="352" t="s">
        <v>1414</v>
      </c>
      <c r="I668" s="352" t="s">
        <v>977</v>
      </c>
      <c r="J668" s="352" t="s">
        <v>864</v>
      </c>
      <c r="K668" s="352">
        <v>1221</v>
      </c>
      <c r="L668" s="352" t="s">
        <v>711</v>
      </c>
      <c r="M668" s="352" t="s">
        <v>2157</v>
      </c>
      <c r="N668" s="352" t="s">
        <v>2076</v>
      </c>
      <c r="O668" s="352">
        <v>5</v>
      </c>
      <c r="P668" s="352" t="s">
        <v>2077</v>
      </c>
      <c r="Q668" s="352" t="s">
        <v>2058</v>
      </c>
      <c r="R668" s="251">
        <v>1754.8427020270585</v>
      </c>
      <c r="S668" s="251" t="s">
        <v>2015</v>
      </c>
      <c r="T668" s="251" t="s">
        <v>2016</v>
      </c>
      <c r="U668" s="251" t="s">
        <v>1918</v>
      </c>
      <c r="V668" s="251" t="s">
        <v>1919</v>
      </c>
      <c r="X668" s="251">
        <v>0</v>
      </c>
    </row>
    <row r="669" spans="2:24" x14ac:dyDescent="0.2">
      <c r="B669" s="352" t="s">
        <v>874</v>
      </c>
      <c r="C669" s="352" t="s">
        <v>719</v>
      </c>
      <c r="F669" s="352" t="s">
        <v>1994</v>
      </c>
      <c r="G669" s="352" t="s">
        <v>2092</v>
      </c>
      <c r="H669" s="352" t="s">
        <v>1414</v>
      </c>
      <c r="I669" s="352" t="s">
        <v>977</v>
      </c>
      <c r="J669" s="352" t="s">
        <v>864</v>
      </c>
      <c r="K669" s="352">
        <v>1222</v>
      </c>
      <c r="L669" s="352" t="s">
        <v>718</v>
      </c>
      <c r="M669" s="352" t="s">
        <v>2158</v>
      </c>
      <c r="N669" s="352" t="s">
        <v>2076</v>
      </c>
      <c r="O669" s="352">
        <v>5</v>
      </c>
      <c r="P669" s="352" t="s">
        <v>2077</v>
      </c>
      <c r="Q669" s="352" t="s">
        <v>2058</v>
      </c>
      <c r="R669" s="251">
        <v>663.4950027071352</v>
      </c>
      <c r="S669" s="251" t="s">
        <v>2015</v>
      </c>
      <c r="T669" s="251" t="s">
        <v>2016</v>
      </c>
      <c r="U669" s="251">
        <v>0</v>
      </c>
      <c r="V669" s="251" t="s">
        <v>2153</v>
      </c>
      <c r="X669" s="251">
        <v>0</v>
      </c>
    </row>
    <row r="670" spans="2:24" x14ac:dyDescent="0.2">
      <c r="B670" s="352" t="s">
        <v>874</v>
      </c>
      <c r="C670" s="352" t="s">
        <v>719</v>
      </c>
      <c r="F670" s="352" t="s">
        <v>1994</v>
      </c>
      <c r="G670" s="352" t="s">
        <v>2092</v>
      </c>
      <c r="H670" s="352" t="s">
        <v>1414</v>
      </c>
      <c r="I670" s="352" t="s">
        <v>977</v>
      </c>
      <c r="J670" s="352" t="s">
        <v>864</v>
      </c>
      <c r="K670" s="352">
        <v>1231</v>
      </c>
      <c r="L670" s="352" t="s">
        <v>726</v>
      </c>
      <c r="M670" s="352" t="s">
        <v>2159</v>
      </c>
      <c r="N670" s="352" t="s">
        <v>2076</v>
      </c>
      <c r="O670" s="352">
        <v>5</v>
      </c>
      <c r="P670" s="352" t="s">
        <v>2077</v>
      </c>
      <c r="Q670" s="352" t="s">
        <v>2058</v>
      </c>
      <c r="R670" s="251">
        <v>8607.463597691718</v>
      </c>
      <c r="S670" s="251" t="s">
        <v>2015</v>
      </c>
      <c r="T670" s="251" t="s">
        <v>2016</v>
      </c>
      <c r="U670" s="251" t="s">
        <v>1920</v>
      </c>
      <c r="V670" s="251" t="s">
        <v>726</v>
      </c>
      <c r="X670" s="251">
        <v>0</v>
      </c>
    </row>
    <row r="671" spans="2:24" x14ac:dyDescent="0.2">
      <c r="B671" s="352" t="s">
        <v>874</v>
      </c>
      <c r="C671" s="352" t="s">
        <v>719</v>
      </c>
      <c r="F671" s="352" t="s">
        <v>1994</v>
      </c>
      <c r="G671" s="352" t="s">
        <v>2092</v>
      </c>
      <c r="H671" s="352" t="s">
        <v>1414</v>
      </c>
      <c r="I671" s="352" t="s">
        <v>977</v>
      </c>
      <c r="J671" s="352" t="s">
        <v>864</v>
      </c>
      <c r="K671" s="352">
        <v>1232</v>
      </c>
      <c r="L671" s="352" t="s">
        <v>734</v>
      </c>
      <c r="M671" s="352" t="s">
        <v>2160</v>
      </c>
      <c r="N671" s="352" t="s">
        <v>2076</v>
      </c>
      <c r="O671" s="352">
        <v>5</v>
      </c>
      <c r="P671" s="352" t="s">
        <v>2077</v>
      </c>
      <c r="Q671" s="352" t="s">
        <v>2058</v>
      </c>
      <c r="R671" s="251">
        <v>1604.4331056466992</v>
      </c>
      <c r="S671" s="251" t="s">
        <v>2015</v>
      </c>
      <c r="T671" s="251" t="s">
        <v>2016</v>
      </c>
      <c r="U671" s="251">
        <v>0</v>
      </c>
      <c r="V671" s="251" t="s">
        <v>2153</v>
      </c>
      <c r="X671" s="251">
        <v>0</v>
      </c>
    </row>
    <row r="672" spans="2:24" x14ac:dyDescent="0.2">
      <c r="B672" s="352" t="s">
        <v>874</v>
      </c>
      <c r="C672" s="352" t="s">
        <v>719</v>
      </c>
      <c r="F672" s="352" t="s">
        <v>1994</v>
      </c>
      <c r="G672" s="352" t="s">
        <v>2092</v>
      </c>
      <c r="H672" s="352" t="s">
        <v>1414</v>
      </c>
      <c r="I672" s="352" t="s">
        <v>977</v>
      </c>
      <c r="J672" s="352" t="s">
        <v>864</v>
      </c>
      <c r="K672" s="352">
        <v>1241</v>
      </c>
      <c r="L672" s="352" t="s">
        <v>1872</v>
      </c>
      <c r="M672" s="352" t="s">
        <v>2161</v>
      </c>
      <c r="N672" s="352" t="s">
        <v>2076</v>
      </c>
      <c r="O672" s="352">
        <v>5</v>
      </c>
      <c r="P672" s="352" t="s">
        <v>2077</v>
      </c>
      <c r="Q672" s="352" t="s">
        <v>2058</v>
      </c>
      <c r="R672" s="251">
        <v>38.431892864908129</v>
      </c>
      <c r="S672" s="251" t="s">
        <v>2015</v>
      </c>
      <c r="T672" s="251" t="s">
        <v>2016</v>
      </c>
      <c r="U672" s="251">
        <v>0</v>
      </c>
      <c r="V672" s="251" t="s">
        <v>2153</v>
      </c>
      <c r="X672" s="251">
        <v>0</v>
      </c>
    </row>
    <row r="673" spans="2:24" x14ac:dyDescent="0.2">
      <c r="B673" s="352" t="s">
        <v>874</v>
      </c>
      <c r="C673" s="352" t="s">
        <v>719</v>
      </c>
      <c r="F673" s="352" t="s">
        <v>1994</v>
      </c>
      <c r="G673" s="352" t="s">
        <v>2092</v>
      </c>
      <c r="H673" s="352" t="s">
        <v>1414</v>
      </c>
      <c r="I673" s="352" t="s">
        <v>977</v>
      </c>
      <c r="J673" s="352" t="s">
        <v>864</v>
      </c>
      <c r="K673" s="352">
        <v>1251</v>
      </c>
      <c r="L673" s="352" t="s">
        <v>733</v>
      </c>
      <c r="M673" s="352" t="s">
        <v>2162</v>
      </c>
      <c r="N673" s="352" t="s">
        <v>2076</v>
      </c>
      <c r="O673" s="352">
        <v>5</v>
      </c>
      <c r="P673" s="352" t="s">
        <v>2077</v>
      </c>
      <c r="Q673" s="352" t="s">
        <v>2058</v>
      </c>
      <c r="R673" s="251">
        <v>2066.4937832965343</v>
      </c>
      <c r="S673" s="251" t="s">
        <v>2015</v>
      </c>
      <c r="T673" s="251" t="s">
        <v>2016</v>
      </c>
      <c r="U673" s="251">
        <v>0</v>
      </c>
      <c r="V673" s="251" t="s">
        <v>2153</v>
      </c>
      <c r="X673" s="251">
        <v>0</v>
      </c>
    </row>
    <row r="674" spans="2:24" x14ac:dyDescent="0.2">
      <c r="B674" s="352" t="s">
        <v>874</v>
      </c>
      <c r="C674" s="352" t="s">
        <v>719</v>
      </c>
      <c r="F674" s="352" t="s">
        <v>1994</v>
      </c>
      <c r="G674" s="352" t="s">
        <v>2092</v>
      </c>
      <c r="H674" s="352" t="s">
        <v>1418</v>
      </c>
      <c r="I674" s="352" t="s">
        <v>978</v>
      </c>
      <c r="J674" s="352" t="s">
        <v>1892</v>
      </c>
      <c r="K674" s="352">
        <v>1111</v>
      </c>
      <c r="L674" s="352" t="s">
        <v>699</v>
      </c>
      <c r="M674" s="352" t="s">
        <v>2163</v>
      </c>
      <c r="N674" s="352" t="s">
        <v>2076</v>
      </c>
      <c r="O674" s="352">
        <v>5</v>
      </c>
      <c r="P674" s="352" t="s">
        <v>2077</v>
      </c>
      <c r="Q674" s="352" t="s">
        <v>2058</v>
      </c>
      <c r="R674" s="251">
        <v>0</v>
      </c>
      <c r="S674" s="251" t="s">
        <v>2015</v>
      </c>
      <c r="T674" s="251" t="s">
        <v>2054</v>
      </c>
      <c r="U674" s="251" t="s">
        <v>1914</v>
      </c>
      <c r="V674" s="251" t="s">
        <v>1915</v>
      </c>
      <c r="X674" s="251">
        <v>0</v>
      </c>
    </row>
    <row r="675" spans="2:24" x14ac:dyDescent="0.2">
      <c r="B675" s="352" t="s">
        <v>874</v>
      </c>
      <c r="C675" s="352" t="s">
        <v>719</v>
      </c>
      <c r="F675" s="352" t="s">
        <v>1994</v>
      </c>
      <c r="G675" s="352" t="s">
        <v>2092</v>
      </c>
      <c r="H675" s="352" t="s">
        <v>1418</v>
      </c>
      <c r="I675" s="352" t="s">
        <v>978</v>
      </c>
      <c r="J675" s="352" t="s">
        <v>1892</v>
      </c>
      <c r="K675" s="352">
        <v>1231</v>
      </c>
      <c r="L675" s="352" t="s">
        <v>726</v>
      </c>
      <c r="M675" s="352" t="s">
        <v>2164</v>
      </c>
      <c r="N675" s="352" t="s">
        <v>2076</v>
      </c>
      <c r="O675" s="352">
        <v>5</v>
      </c>
      <c r="P675" s="352" t="s">
        <v>2077</v>
      </c>
      <c r="Q675" s="352" t="s">
        <v>2058</v>
      </c>
      <c r="R675" s="251">
        <v>0</v>
      </c>
      <c r="S675" s="251" t="s">
        <v>2015</v>
      </c>
      <c r="T675" s="251" t="s">
        <v>2054</v>
      </c>
      <c r="U675" s="251" t="s">
        <v>1920</v>
      </c>
      <c r="V675" s="251" t="s">
        <v>726</v>
      </c>
      <c r="X675" s="251">
        <v>0</v>
      </c>
    </row>
    <row r="676" spans="2:24" x14ac:dyDescent="0.2">
      <c r="B676" s="352" t="s">
        <v>874</v>
      </c>
      <c r="C676" s="352" t="s">
        <v>719</v>
      </c>
      <c r="F676" s="352" t="s">
        <v>1994</v>
      </c>
      <c r="G676" s="352" t="s">
        <v>2092</v>
      </c>
      <c r="H676" s="352" t="s">
        <v>1422</v>
      </c>
      <c r="I676" s="352" t="s">
        <v>979</v>
      </c>
      <c r="J676" s="352" t="s">
        <v>980</v>
      </c>
      <c r="K676" s="352">
        <v>1241</v>
      </c>
      <c r="L676" s="352" t="s">
        <v>1872</v>
      </c>
      <c r="M676" s="352" t="s">
        <v>2165</v>
      </c>
      <c r="N676" s="352" t="s">
        <v>2076</v>
      </c>
      <c r="O676" s="352">
        <v>7</v>
      </c>
      <c r="P676" s="352" t="s">
        <v>2081</v>
      </c>
      <c r="Q676" s="352" t="s">
        <v>2056</v>
      </c>
      <c r="R676" s="251">
        <v>455.69244396962483</v>
      </c>
      <c r="S676" s="251" t="s">
        <v>2015</v>
      </c>
      <c r="T676" s="251" t="s">
        <v>2016</v>
      </c>
      <c r="U676" s="251">
        <v>0</v>
      </c>
      <c r="V676" s="251" t="s">
        <v>2153</v>
      </c>
      <c r="X676" s="251">
        <v>0</v>
      </c>
    </row>
    <row r="677" spans="2:24" x14ac:dyDescent="0.2">
      <c r="B677" s="352" t="s">
        <v>874</v>
      </c>
      <c r="C677" s="352" t="s">
        <v>719</v>
      </c>
      <c r="F677" s="352" t="s">
        <v>1994</v>
      </c>
      <c r="G677" s="352" t="s">
        <v>2092</v>
      </c>
      <c r="H677" s="352" t="s">
        <v>1426</v>
      </c>
      <c r="I677" s="352" t="s">
        <v>981</v>
      </c>
      <c r="J677" s="352" t="s">
        <v>3674</v>
      </c>
      <c r="K677" s="352">
        <v>1241</v>
      </c>
      <c r="L677" s="352" t="s">
        <v>1872</v>
      </c>
      <c r="M677" s="352" t="s">
        <v>2166</v>
      </c>
      <c r="N677" s="352" t="s">
        <v>2076</v>
      </c>
      <c r="O677" s="352">
        <v>13</v>
      </c>
      <c r="P677" s="352" t="s">
        <v>2082</v>
      </c>
      <c r="Q677" s="352" t="s">
        <v>2060</v>
      </c>
      <c r="R677" s="251">
        <v>0</v>
      </c>
      <c r="S677" s="251" t="s">
        <v>2015</v>
      </c>
      <c r="T677" s="251" t="s">
        <v>2054</v>
      </c>
      <c r="U677" s="251">
        <v>0</v>
      </c>
      <c r="V677" s="251" t="s">
        <v>2153</v>
      </c>
      <c r="X677" s="251">
        <v>0</v>
      </c>
    </row>
    <row r="678" spans="2:24" x14ac:dyDescent="0.2">
      <c r="B678" s="352" t="s">
        <v>874</v>
      </c>
      <c r="C678" s="352" t="s">
        <v>719</v>
      </c>
      <c r="F678" s="352" t="s">
        <v>1994</v>
      </c>
      <c r="G678" s="352" t="s">
        <v>2092</v>
      </c>
      <c r="H678" s="352" t="s">
        <v>1426</v>
      </c>
      <c r="I678" s="352" t="s">
        <v>981</v>
      </c>
      <c r="J678" s="352" t="s">
        <v>3674</v>
      </c>
      <c r="K678" s="352">
        <v>1251</v>
      </c>
      <c r="L678" s="352" t="s">
        <v>733</v>
      </c>
      <c r="M678" s="352" t="s">
        <v>2167</v>
      </c>
      <c r="N678" s="352" t="s">
        <v>2076</v>
      </c>
      <c r="O678" s="352">
        <v>13</v>
      </c>
      <c r="P678" s="352" t="s">
        <v>2082</v>
      </c>
      <c r="Q678" s="352" t="s">
        <v>2060</v>
      </c>
      <c r="R678" s="251">
        <v>0</v>
      </c>
      <c r="S678" s="251" t="s">
        <v>2015</v>
      </c>
      <c r="T678" s="251" t="s">
        <v>2054</v>
      </c>
      <c r="U678" s="251">
        <v>0</v>
      </c>
      <c r="V678" s="251" t="s">
        <v>2153</v>
      </c>
      <c r="X678" s="251">
        <v>0</v>
      </c>
    </row>
    <row r="679" spans="2:24" x14ac:dyDescent="0.2">
      <c r="B679" s="352" t="s">
        <v>874</v>
      </c>
      <c r="C679" s="352" t="s">
        <v>719</v>
      </c>
      <c r="F679" s="352" t="s">
        <v>1994</v>
      </c>
      <c r="G679" s="352" t="s">
        <v>2092</v>
      </c>
      <c r="H679" s="352" t="s">
        <v>1430</v>
      </c>
      <c r="I679" s="352" t="s">
        <v>982</v>
      </c>
      <c r="J679" s="352" t="s">
        <v>983</v>
      </c>
      <c r="K679" s="352">
        <v>2111</v>
      </c>
      <c r="L679" s="352" t="s">
        <v>1873</v>
      </c>
      <c r="M679" s="352" t="s">
        <v>2168</v>
      </c>
      <c r="N679" s="352" t="s">
        <v>2076</v>
      </c>
      <c r="O679" s="352">
        <v>10</v>
      </c>
      <c r="P679" s="352" t="s">
        <v>2083</v>
      </c>
      <c r="Q679" s="352" t="s">
        <v>2062</v>
      </c>
      <c r="R679" s="251">
        <v>459.11584555333235</v>
      </c>
      <c r="S679" s="251" t="s">
        <v>2015</v>
      </c>
      <c r="T679" s="251" t="s">
        <v>2016</v>
      </c>
      <c r="U679" s="251" t="s">
        <v>1929</v>
      </c>
      <c r="V679" s="251" t="s">
        <v>1930</v>
      </c>
      <c r="X679" s="251">
        <v>0</v>
      </c>
    </row>
    <row r="680" spans="2:24" x14ac:dyDescent="0.2">
      <c r="B680" s="352" t="s">
        <v>874</v>
      </c>
      <c r="C680" s="352" t="s">
        <v>719</v>
      </c>
      <c r="F680" s="352" t="s">
        <v>1994</v>
      </c>
      <c r="G680" s="352" t="s">
        <v>2092</v>
      </c>
      <c r="H680" s="352" t="s">
        <v>1430</v>
      </c>
      <c r="I680" s="352" t="s">
        <v>982</v>
      </c>
      <c r="J680" s="352" t="s">
        <v>983</v>
      </c>
      <c r="K680" s="352">
        <v>2121</v>
      </c>
      <c r="L680" s="352" t="s">
        <v>1876</v>
      </c>
      <c r="M680" s="352" t="s">
        <v>2169</v>
      </c>
      <c r="N680" s="352" t="s">
        <v>2076</v>
      </c>
      <c r="O680" s="352">
        <v>10</v>
      </c>
      <c r="P680" s="352" t="s">
        <v>2083</v>
      </c>
      <c r="Q680" s="352" t="s">
        <v>2062</v>
      </c>
      <c r="R680" s="251">
        <v>1358.2365608691753</v>
      </c>
      <c r="S680" s="251" t="s">
        <v>2015</v>
      </c>
      <c r="T680" s="251" t="s">
        <v>2016</v>
      </c>
      <c r="U680" s="251" t="s">
        <v>1929</v>
      </c>
      <c r="V680" s="251" t="s">
        <v>1930</v>
      </c>
      <c r="X680" s="251">
        <v>0</v>
      </c>
    </row>
    <row r="681" spans="2:24" x14ac:dyDescent="0.2">
      <c r="B681" s="352" t="s">
        <v>874</v>
      </c>
      <c r="C681" s="352" t="s">
        <v>719</v>
      </c>
      <c r="F681" s="352" t="s">
        <v>1994</v>
      </c>
      <c r="G681" s="352" t="s">
        <v>2092</v>
      </c>
      <c r="H681" s="352" t="s">
        <v>1430</v>
      </c>
      <c r="I681" s="352" t="s">
        <v>982</v>
      </c>
      <c r="J681" s="352" t="s">
        <v>983</v>
      </c>
      <c r="K681" s="352">
        <v>2131</v>
      </c>
      <c r="L681" s="352" t="s">
        <v>1879</v>
      </c>
      <c r="M681" s="352" t="s">
        <v>2170</v>
      </c>
      <c r="N681" s="352" t="s">
        <v>2076</v>
      </c>
      <c r="O681" s="352">
        <v>10</v>
      </c>
      <c r="P681" s="352" t="s">
        <v>2083</v>
      </c>
      <c r="Q681" s="352" t="s">
        <v>2062</v>
      </c>
      <c r="R681" s="251">
        <v>6.4127593608759454</v>
      </c>
      <c r="S681" s="251" t="s">
        <v>2015</v>
      </c>
      <c r="T681" s="251" t="s">
        <v>2016</v>
      </c>
      <c r="U681" s="251" t="s">
        <v>1929</v>
      </c>
      <c r="V681" s="251" t="s">
        <v>1930</v>
      </c>
      <c r="X681" s="251">
        <v>0</v>
      </c>
    </row>
    <row r="682" spans="2:24" x14ac:dyDescent="0.2">
      <c r="B682" s="352" t="s">
        <v>874</v>
      </c>
      <c r="C682" s="352" t="s">
        <v>719</v>
      </c>
      <c r="F682" s="352" t="s">
        <v>1994</v>
      </c>
      <c r="G682" s="352" t="s">
        <v>2092</v>
      </c>
      <c r="H682" s="352" t="s">
        <v>1430</v>
      </c>
      <c r="I682" s="352" t="s">
        <v>982</v>
      </c>
      <c r="J682" s="352" t="s">
        <v>983</v>
      </c>
      <c r="K682" s="352">
        <v>2211</v>
      </c>
      <c r="L682" s="352" t="s">
        <v>1883</v>
      </c>
      <c r="M682" s="352" t="s">
        <v>2171</v>
      </c>
      <c r="N682" s="352" t="s">
        <v>2076</v>
      </c>
      <c r="O682" s="352">
        <v>10</v>
      </c>
      <c r="P682" s="352" t="s">
        <v>2083</v>
      </c>
      <c r="Q682" s="352" t="s">
        <v>2062</v>
      </c>
      <c r="R682" s="251">
        <v>80.594180006825979</v>
      </c>
      <c r="S682" s="251" t="s">
        <v>2015</v>
      </c>
      <c r="T682" s="251" t="s">
        <v>2016</v>
      </c>
      <c r="U682" s="251" t="s">
        <v>1929</v>
      </c>
      <c r="V682" s="251" t="s">
        <v>1930</v>
      </c>
      <c r="X682" s="251">
        <v>0</v>
      </c>
    </row>
    <row r="683" spans="2:24" x14ac:dyDescent="0.2">
      <c r="B683" s="352" t="s">
        <v>874</v>
      </c>
      <c r="C683" s="352" t="s">
        <v>719</v>
      </c>
      <c r="F683" s="352" t="s">
        <v>1994</v>
      </c>
      <c r="G683" s="352" t="s">
        <v>2092</v>
      </c>
      <c r="H683" s="352" t="s">
        <v>1434</v>
      </c>
      <c r="I683" s="352" t="s">
        <v>984</v>
      </c>
      <c r="J683" s="352" t="s">
        <v>985</v>
      </c>
      <c r="K683" s="352">
        <v>2111</v>
      </c>
      <c r="L683" s="352" t="s">
        <v>1873</v>
      </c>
      <c r="M683" s="352" t="s">
        <v>2172</v>
      </c>
      <c r="N683" s="352" t="s">
        <v>2076</v>
      </c>
      <c r="O683" s="352">
        <v>11</v>
      </c>
      <c r="P683" s="352" t="s">
        <v>2084</v>
      </c>
      <c r="Q683" s="352" t="s">
        <v>2064</v>
      </c>
      <c r="R683" s="251">
        <v>10.202574345629607</v>
      </c>
      <c r="S683" s="251" t="s">
        <v>2015</v>
      </c>
      <c r="T683" s="251" t="s">
        <v>2016</v>
      </c>
      <c r="U683" s="251" t="s">
        <v>1929</v>
      </c>
      <c r="V683" s="251" t="s">
        <v>1930</v>
      </c>
      <c r="X683" s="251">
        <v>0</v>
      </c>
    </row>
    <row r="684" spans="2:24" x14ac:dyDescent="0.2">
      <c r="B684" s="352" t="s">
        <v>874</v>
      </c>
      <c r="C684" s="352" t="s">
        <v>719</v>
      </c>
      <c r="F684" s="352" t="s">
        <v>1994</v>
      </c>
      <c r="G684" s="352" t="s">
        <v>2092</v>
      </c>
      <c r="H684" s="352" t="s">
        <v>1434</v>
      </c>
      <c r="I684" s="352" t="s">
        <v>984</v>
      </c>
      <c r="J684" s="352" t="s">
        <v>985</v>
      </c>
      <c r="K684" s="352">
        <v>2121</v>
      </c>
      <c r="L684" s="352" t="s">
        <v>1876</v>
      </c>
      <c r="M684" s="352" t="s">
        <v>2173</v>
      </c>
      <c r="N684" s="352" t="s">
        <v>2076</v>
      </c>
      <c r="O684" s="352">
        <v>11</v>
      </c>
      <c r="P684" s="352" t="s">
        <v>2084</v>
      </c>
      <c r="Q684" s="352" t="s">
        <v>2064</v>
      </c>
      <c r="R684" s="251">
        <v>30.183034685981671</v>
      </c>
      <c r="S684" s="251" t="s">
        <v>2015</v>
      </c>
      <c r="T684" s="251" t="s">
        <v>2016</v>
      </c>
      <c r="U684" s="251" t="s">
        <v>1929</v>
      </c>
      <c r="V684" s="251" t="s">
        <v>1930</v>
      </c>
      <c r="X684" s="251">
        <v>0</v>
      </c>
    </row>
    <row r="685" spans="2:24" x14ac:dyDescent="0.2">
      <c r="B685" s="352" t="s">
        <v>874</v>
      </c>
      <c r="C685" s="352" t="s">
        <v>719</v>
      </c>
      <c r="F685" s="352" t="s">
        <v>1994</v>
      </c>
      <c r="G685" s="352" t="s">
        <v>2092</v>
      </c>
      <c r="H685" s="352" t="s">
        <v>1434</v>
      </c>
      <c r="I685" s="352" t="s">
        <v>984</v>
      </c>
      <c r="J685" s="352" t="s">
        <v>985</v>
      </c>
      <c r="K685" s="352">
        <v>2131</v>
      </c>
      <c r="L685" s="352" t="s">
        <v>1879</v>
      </c>
      <c r="M685" s="352" t="s">
        <v>2174</v>
      </c>
      <c r="N685" s="352" t="s">
        <v>2076</v>
      </c>
      <c r="O685" s="352">
        <v>11</v>
      </c>
      <c r="P685" s="352" t="s">
        <v>2084</v>
      </c>
      <c r="Q685" s="352" t="s">
        <v>2064</v>
      </c>
      <c r="R685" s="251">
        <v>51.302074887007564</v>
      </c>
      <c r="S685" s="251" t="s">
        <v>2015</v>
      </c>
      <c r="T685" s="251" t="s">
        <v>2016</v>
      </c>
      <c r="U685" s="251" t="s">
        <v>1929</v>
      </c>
      <c r="V685" s="251" t="s">
        <v>1930</v>
      </c>
      <c r="X685" s="251">
        <v>0</v>
      </c>
    </row>
    <row r="686" spans="2:24" x14ac:dyDescent="0.2">
      <c r="B686" s="352" t="s">
        <v>874</v>
      </c>
      <c r="C686" s="352" t="s">
        <v>719</v>
      </c>
      <c r="F686" s="352" t="s">
        <v>1994</v>
      </c>
      <c r="G686" s="352" t="s">
        <v>2092</v>
      </c>
      <c r="H686" s="352" t="s">
        <v>1434</v>
      </c>
      <c r="I686" s="352" t="s">
        <v>984</v>
      </c>
      <c r="J686" s="352" t="s">
        <v>985</v>
      </c>
      <c r="K686" s="352">
        <v>2211</v>
      </c>
      <c r="L686" s="352" t="s">
        <v>1883</v>
      </c>
      <c r="M686" s="352" t="s">
        <v>2175</v>
      </c>
      <c r="N686" s="352" t="s">
        <v>2076</v>
      </c>
      <c r="O686" s="352">
        <v>11</v>
      </c>
      <c r="P686" s="352" t="s">
        <v>2084</v>
      </c>
      <c r="Q686" s="352" t="s">
        <v>2064</v>
      </c>
      <c r="R686" s="251">
        <v>644.75344005460784</v>
      </c>
      <c r="S686" s="251" t="s">
        <v>2015</v>
      </c>
      <c r="T686" s="251" t="s">
        <v>2016</v>
      </c>
      <c r="U686" s="251" t="s">
        <v>1929</v>
      </c>
      <c r="V686" s="251" t="s">
        <v>1930</v>
      </c>
      <c r="X686" s="251">
        <v>0</v>
      </c>
    </row>
    <row r="687" spans="2:24" x14ac:dyDescent="0.2">
      <c r="B687" s="352" t="s">
        <v>874</v>
      </c>
      <c r="C687" s="352" t="s">
        <v>719</v>
      </c>
      <c r="F687" s="352" t="s">
        <v>1994</v>
      </c>
      <c r="G687" s="352" t="s">
        <v>2092</v>
      </c>
      <c r="H687" s="352" t="s">
        <v>1438</v>
      </c>
      <c r="I687" s="352" t="s">
        <v>986</v>
      </c>
      <c r="J687" s="352" t="s">
        <v>987</v>
      </c>
      <c r="K687" s="352">
        <v>2112</v>
      </c>
      <c r="L687" s="352" t="s">
        <v>1874</v>
      </c>
      <c r="M687" s="352" t="s">
        <v>2176</v>
      </c>
      <c r="N687" s="352" t="s">
        <v>2076</v>
      </c>
      <c r="O687" s="352">
        <v>8</v>
      </c>
      <c r="P687" s="352" t="s">
        <v>2085</v>
      </c>
      <c r="Q687" s="352" t="s">
        <v>2068</v>
      </c>
      <c r="R687" s="251">
        <v>1.9664538753675704</v>
      </c>
      <c r="S687" s="251" t="s">
        <v>2015</v>
      </c>
      <c r="T687" s="251" t="s">
        <v>2016</v>
      </c>
      <c r="U687" s="251" t="s">
        <v>1931</v>
      </c>
      <c r="V687" s="251" t="s">
        <v>1932</v>
      </c>
      <c r="X687" s="251">
        <v>0</v>
      </c>
    </row>
    <row r="688" spans="2:24" x14ac:dyDescent="0.2">
      <c r="B688" s="352" t="s">
        <v>874</v>
      </c>
      <c r="C688" s="352" t="s">
        <v>719</v>
      </c>
      <c r="F688" s="352" t="s">
        <v>1994</v>
      </c>
      <c r="G688" s="352" t="s">
        <v>2092</v>
      </c>
      <c r="H688" s="352" t="s">
        <v>1438</v>
      </c>
      <c r="I688" s="352" t="s">
        <v>986</v>
      </c>
      <c r="J688" s="352" t="s">
        <v>987</v>
      </c>
      <c r="K688" s="352">
        <v>2122</v>
      </c>
      <c r="L688" s="352" t="s">
        <v>1877</v>
      </c>
      <c r="M688" s="352" t="s">
        <v>2177</v>
      </c>
      <c r="N688" s="352" t="s">
        <v>2076</v>
      </c>
      <c r="O688" s="352">
        <v>8</v>
      </c>
      <c r="P688" s="352" t="s">
        <v>2085</v>
      </c>
      <c r="Q688" s="352" t="s">
        <v>2068</v>
      </c>
      <c r="R688" s="251">
        <v>570.79643431038596</v>
      </c>
      <c r="S688" s="251" t="s">
        <v>2015</v>
      </c>
      <c r="T688" s="251" t="s">
        <v>2016</v>
      </c>
      <c r="U688" s="251" t="s">
        <v>1931</v>
      </c>
      <c r="V688" s="251" t="s">
        <v>1932</v>
      </c>
      <c r="X688" s="251">
        <v>0</v>
      </c>
    </row>
    <row r="689" spans="2:24" x14ac:dyDescent="0.2">
      <c r="B689" s="352" t="s">
        <v>874</v>
      </c>
      <c r="C689" s="352" t="s">
        <v>719</v>
      </c>
      <c r="F689" s="352" t="s">
        <v>1994</v>
      </c>
      <c r="G689" s="352" t="s">
        <v>2092</v>
      </c>
      <c r="H689" s="352" t="s">
        <v>1442</v>
      </c>
      <c r="I689" s="352" t="s">
        <v>988</v>
      </c>
      <c r="J689" s="352" t="s">
        <v>989</v>
      </c>
      <c r="K689" s="352">
        <v>2112</v>
      </c>
      <c r="L689" s="352" t="s">
        <v>1874</v>
      </c>
      <c r="M689" s="352" t="s">
        <v>2178</v>
      </c>
      <c r="N689" s="352" t="s">
        <v>2076</v>
      </c>
      <c r="O689" s="352">
        <v>8</v>
      </c>
      <c r="P689" s="352" t="s">
        <v>2085</v>
      </c>
      <c r="Q689" s="352" t="s">
        <v>2068</v>
      </c>
      <c r="R689" s="251">
        <v>2.7038740786304096</v>
      </c>
      <c r="S689" s="251" t="s">
        <v>2015</v>
      </c>
      <c r="T689" s="251" t="s">
        <v>2016</v>
      </c>
      <c r="U689" s="251" t="s">
        <v>1931</v>
      </c>
      <c r="V689" s="251" t="s">
        <v>1932</v>
      </c>
      <c r="X689" s="251">
        <v>0</v>
      </c>
    </row>
    <row r="690" spans="2:24" x14ac:dyDescent="0.2">
      <c r="B690" s="352" t="s">
        <v>874</v>
      </c>
      <c r="C690" s="352" t="s">
        <v>719</v>
      </c>
      <c r="F690" s="352" t="s">
        <v>1994</v>
      </c>
      <c r="G690" s="352" t="s">
        <v>2092</v>
      </c>
      <c r="H690" s="352" t="s">
        <v>1442</v>
      </c>
      <c r="I690" s="352" t="s">
        <v>988</v>
      </c>
      <c r="J690" s="352" t="s">
        <v>989</v>
      </c>
      <c r="K690" s="352">
        <v>2122</v>
      </c>
      <c r="L690" s="352" t="s">
        <v>1877</v>
      </c>
      <c r="M690" s="352" t="s">
        <v>2179</v>
      </c>
      <c r="N690" s="352" t="s">
        <v>2076</v>
      </c>
      <c r="O690" s="352">
        <v>8</v>
      </c>
      <c r="P690" s="352" t="s">
        <v>2085</v>
      </c>
      <c r="Q690" s="352" t="s">
        <v>2068</v>
      </c>
      <c r="R690" s="251">
        <v>784.84509717678077</v>
      </c>
      <c r="S690" s="251" t="s">
        <v>2015</v>
      </c>
      <c r="T690" s="251" t="s">
        <v>2016</v>
      </c>
      <c r="U690" s="251" t="s">
        <v>1931</v>
      </c>
      <c r="V690" s="251" t="s">
        <v>1932</v>
      </c>
      <c r="X690" s="251">
        <v>0</v>
      </c>
    </row>
    <row r="691" spans="2:24" x14ac:dyDescent="0.2">
      <c r="B691" s="352" t="s">
        <v>874</v>
      </c>
      <c r="C691" s="352" t="s">
        <v>719</v>
      </c>
      <c r="F691" s="352" t="s">
        <v>1994</v>
      </c>
      <c r="G691" s="352" t="s">
        <v>2092</v>
      </c>
      <c r="H691" s="352" t="s">
        <v>1446</v>
      </c>
      <c r="I691" s="352" t="s">
        <v>990</v>
      </c>
      <c r="J691" s="352" t="s">
        <v>991</v>
      </c>
      <c r="K691" s="352">
        <v>2132</v>
      </c>
      <c r="L691" s="352" t="s">
        <v>1880</v>
      </c>
      <c r="M691" s="352" t="s">
        <v>2180</v>
      </c>
      <c r="N691" s="352" t="s">
        <v>2076</v>
      </c>
      <c r="O691" s="352">
        <v>1</v>
      </c>
      <c r="P691" s="352" t="s">
        <v>2086</v>
      </c>
      <c r="Q691" s="352" t="s">
        <v>2066</v>
      </c>
      <c r="R691" s="251">
        <v>380.6438038149559</v>
      </c>
      <c r="S691" s="251" t="s">
        <v>2015</v>
      </c>
      <c r="T691" s="251" t="s">
        <v>2016</v>
      </c>
      <c r="U691" s="251" t="s">
        <v>1931</v>
      </c>
      <c r="V691" s="251" t="s">
        <v>1932</v>
      </c>
      <c r="X691" s="251">
        <v>0</v>
      </c>
    </row>
    <row r="692" spans="2:24" x14ac:dyDescent="0.2">
      <c r="B692" s="352" t="s">
        <v>874</v>
      </c>
      <c r="C692" s="352" t="s">
        <v>719</v>
      </c>
      <c r="F692" s="352" t="s">
        <v>1994</v>
      </c>
      <c r="G692" s="352" t="s">
        <v>2092</v>
      </c>
      <c r="H692" s="352" t="s">
        <v>1450</v>
      </c>
      <c r="I692" s="352" t="s">
        <v>994</v>
      </c>
      <c r="J692" s="352" t="s">
        <v>995</v>
      </c>
      <c r="K692" s="352">
        <v>2311</v>
      </c>
      <c r="L692" s="352" t="s">
        <v>1887</v>
      </c>
      <c r="M692" s="352" t="s">
        <v>2181</v>
      </c>
      <c r="N692" s="352" t="s">
        <v>2076</v>
      </c>
      <c r="O692" s="352">
        <v>8</v>
      </c>
      <c r="P692" s="352" t="s">
        <v>2085</v>
      </c>
      <c r="Q692" s="352" t="s">
        <v>2068</v>
      </c>
      <c r="R692" s="251">
        <v>0</v>
      </c>
      <c r="S692" s="251" t="s">
        <v>2015</v>
      </c>
      <c r="T692" s="251" t="s">
        <v>2054</v>
      </c>
      <c r="U692" s="251" t="s">
        <v>1943</v>
      </c>
      <c r="V692" s="251" t="s">
        <v>1944</v>
      </c>
      <c r="X692" s="251">
        <v>0</v>
      </c>
    </row>
    <row r="693" spans="2:24" x14ac:dyDescent="0.2">
      <c r="B693" s="352" t="s">
        <v>874</v>
      </c>
      <c r="C693" s="352" t="s">
        <v>719</v>
      </c>
      <c r="F693" s="352" t="s">
        <v>1994</v>
      </c>
      <c r="G693" s="352" t="s">
        <v>2092</v>
      </c>
      <c r="H693" s="352" t="s">
        <v>1454</v>
      </c>
      <c r="I693" s="352" t="s">
        <v>996</v>
      </c>
      <c r="J693" s="352" t="s">
        <v>997</v>
      </c>
      <c r="K693" s="352">
        <v>2311</v>
      </c>
      <c r="L693" s="352" t="s">
        <v>1887</v>
      </c>
      <c r="M693" s="352" t="s">
        <v>2182</v>
      </c>
      <c r="N693" s="352" t="s">
        <v>2076</v>
      </c>
      <c r="O693" s="352">
        <v>8</v>
      </c>
      <c r="P693" s="352" t="s">
        <v>2085</v>
      </c>
      <c r="Q693" s="352" t="s">
        <v>2068</v>
      </c>
      <c r="R693" s="251">
        <v>0</v>
      </c>
      <c r="S693" s="251" t="s">
        <v>2015</v>
      </c>
      <c r="T693" s="251" t="s">
        <v>2054</v>
      </c>
      <c r="U693" s="251" t="s">
        <v>1943</v>
      </c>
      <c r="V693" s="251" t="s">
        <v>1944</v>
      </c>
      <c r="X693" s="251">
        <v>0</v>
      </c>
    </row>
    <row r="694" spans="2:24" x14ac:dyDescent="0.2">
      <c r="B694" s="352" t="s">
        <v>874</v>
      </c>
      <c r="C694" s="352" t="s">
        <v>719</v>
      </c>
      <c r="F694" s="352" t="s">
        <v>1994</v>
      </c>
      <c r="G694" s="352" t="s">
        <v>2092</v>
      </c>
      <c r="H694" s="352" t="s">
        <v>1458</v>
      </c>
      <c r="I694" s="352" t="s">
        <v>998</v>
      </c>
      <c r="J694" s="352" t="s">
        <v>999</v>
      </c>
      <c r="K694" s="352">
        <v>2311</v>
      </c>
      <c r="L694" s="352" t="s">
        <v>1887</v>
      </c>
      <c r="M694" s="352" t="s">
        <v>2183</v>
      </c>
      <c r="N694" s="352" t="s">
        <v>2076</v>
      </c>
      <c r="O694" s="352">
        <v>8</v>
      </c>
      <c r="P694" s="352" t="s">
        <v>2085</v>
      </c>
      <c r="Q694" s="352" t="s">
        <v>2068</v>
      </c>
      <c r="R694" s="251">
        <v>0</v>
      </c>
      <c r="S694" s="251" t="s">
        <v>2015</v>
      </c>
      <c r="T694" s="251" t="s">
        <v>2054</v>
      </c>
      <c r="U694" s="251" t="s">
        <v>1943</v>
      </c>
      <c r="V694" s="251" t="s">
        <v>1944</v>
      </c>
      <c r="X694" s="251">
        <v>0</v>
      </c>
    </row>
    <row r="695" spans="2:24" x14ac:dyDescent="0.2">
      <c r="B695" s="352" t="s">
        <v>874</v>
      </c>
      <c r="C695" s="352" t="s">
        <v>719</v>
      </c>
      <c r="F695" s="352" t="s">
        <v>1994</v>
      </c>
      <c r="G695" s="352" t="s">
        <v>2092</v>
      </c>
      <c r="H695" s="352" t="s">
        <v>1458</v>
      </c>
      <c r="I695" s="352" t="s">
        <v>998</v>
      </c>
      <c r="J695" s="352" t="s">
        <v>999</v>
      </c>
      <c r="K695" s="352">
        <v>2312</v>
      </c>
      <c r="L695" s="352" t="s">
        <v>789</v>
      </c>
      <c r="M695" s="352" t="s">
        <v>2184</v>
      </c>
      <c r="N695" s="352" t="s">
        <v>2076</v>
      </c>
      <c r="O695" s="352">
        <v>8</v>
      </c>
      <c r="P695" s="352" t="s">
        <v>2085</v>
      </c>
      <c r="Q695" s="352" t="s">
        <v>2068</v>
      </c>
      <c r="R695" s="251">
        <v>0</v>
      </c>
      <c r="S695" s="251" t="s">
        <v>2015</v>
      </c>
      <c r="T695" s="251" t="s">
        <v>2054</v>
      </c>
      <c r="U695" s="251" t="s">
        <v>1943</v>
      </c>
      <c r="V695" s="251" t="s">
        <v>1944</v>
      </c>
      <c r="X695" s="251">
        <v>0</v>
      </c>
    </row>
    <row r="696" spans="2:24" x14ac:dyDescent="0.2">
      <c r="B696" s="352" t="s">
        <v>874</v>
      </c>
      <c r="C696" s="352" t="s">
        <v>719</v>
      </c>
      <c r="F696" s="352" t="s">
        <v>1994</v>
      </c>
      <c r="G696" s="352" t="s">
        <v>2092</v>
      </c>
      <c r="H696" s="352" t="s">
        <v>1462</v>
      </c>
      <c r="I696" s="352" t="s">
        <v>1000</v>
      </c>
      <c r="J696" s="352" t="s">
        <v>1001</v>
      </c>
      <c r="K696" s="352">
        <v>2141</v>
      </c>
      <c r="L696" s="352" t="s">
        <v>1882</v>
      </c>
      <c r="M696" s="352" t="s">
        <v>2185</v>
      </c>
      <c r="N696" s="352" t="s">
        <v>2076</v>
      </c>
      <c r="O696" s="352">
        <v>12</v>
      </c>
      <c r="P696" s="352" t="s">
        <v>2087</v>
      </c>
      <c r="Q696" s="352" t="s">
        <v>2070</v>
      </c>
      <c r="R696" s="251">
        <v>947.86498866235354</v>
      </c>
      <c r="S696" s="251" t="s">
        <v>2015</v>
      </c>
      <c r="T696" s="251" t="s">
        <v>2016</v>
      </c>
      <c r="U696" s="251" t="s">
        <v>1935</v>
      </c>
      <c r="V696" s="251" t="s">
        <v>1936</v>
      </c>
      <c r="X696" s="251">
        <v>0</v>
      </c>
    </row>
    <row r="697" spans="2:24" x14ac:dyDescent="0.2">
      <c r="B697" s="352" t="s">
        <v>874</v>
      </c>
      <c r="C697" s="352" t="s">
        <v>719</v>
      </c>
      <c r="F697" s="352" t="s">
        <v>1994</v>
      </c>
      <c r="G697" s="352" t="s">
        <v>2092</v>
      </c>
      <c r="H697" s="352" t="s">
        <v>1462</v>
      </c>
      <c r="I697" s="352" t="s">
        <v>1000</v>
      </c>
      <c r="J697" s="352" t="s">
        <v>1001</v>
      </c>
      <c r="K697" s="352">
        <v>2142</v>
      </c>
      <c r="L697" s="352" t="s">
        <v>780</v>
      </c>
      <c r="M697" s="352" t="s">
        <v>2186</v>
      </c>
      <c r="N697" s="352" t="s">
        <v>2076</v>
      </c>
      <c r="O697" s="352">
        <v>12</v>
      </c>
      <c r="P697" s="352" t="s">
        <v>2087</v>
      </c>
      <c r="Q697" s="352" t="s">
        <v>2070</v>
      </c>
      <c r="R697" s="251">
        <v>2323.760475723152</v>
      </c>
      <c r="S697" s="251" t="s">
        <v>2015</v>
      </c>
      <c r="T697" s="251" t="s">
        <v>2016</v>
      </c>
      <c r="U697" s="251">
        <v>0</v>
      </c>
      <c r="V697" s="251" t="s">
        <v>2153</v>
      </c>
      <c r="X697" s="251">
        <v>0</v>
      </c>
    </row>
    <row r="698" spans="2:24" x14ac:dyDescent="0.2">
      <c r="B698" s="352" t="s">
        <v>874</v>
      </c>
      <c r="C698" s="352" t="s">
        <v>719</v>
      </c>
      <c r="F698" s="352" t="s">
        <v>1994</v>
      </c>
      <c r="G698" s="352" t="s">
        <v>2092</v>
      </c>
      <c r="H698" s="352" t="s">
        <v>1466</v>
      </c>
      <c r="I698" s="352" t="s">
        <v>1002</v>
      </c>
      <c r="J698" s="352" t="s">
        <v>1003</v>
      </c>
      <c r="K698" s="352">
        <v>2113</v>
      </c>
      <c r="L698" s="352" t="s">
        <v>1875</v>
      </c>
      <c r="M698" s="352" t="s">
        <v>2187</v>
      </c>
      <c r="N698" s="352" t="s">
        <v>2076</v>
      </c>
      <c r="O698" s="352">
        <v>1</v>
      </c>
      <c r="P698" s="352" t="s">
        <v>2086</v>
      </c>
      <c r="Q698" s="352" t="s">
        <v>2066</v>
      </c>
      <c r="R698" s="251">
        <v>4.4245212195770334</v>
      </c>
      <c r="S698" s="251" t="s">
        <v>2015</v>
      </c>
      <c r="T698" s="251" t="s">
        <v>2016</v>
      </c>
      <c r="U698" s="251" t="s">
        <v>1935</v>
      </c>
      <c r="V698" s="251" t="s">
        <v>1936</v>
      </c>
      <c r="X698" s="251">
        <v>0</v>
      </c>
    </row>
    <row r="699" spans="2:24" x14ac:dyDescent="0.2">
      <c r="B699" s="352" t="s">
        <v>874</v>
      </c>
      <c r="C699" s="352" t="s">
        <v>719</v>
      </c>
      <c r="F699" s="352" t="s">
        <v>1994</v>
      </c>
      <c r="G699" s="352" t="s">
        <v>2092</v>
      </c>
      <c r="H699" s="352" t="s">
        <v>1466</v>
      </c>
      <c r="I699" s="352" t="s">
        <v>1002</v>
      </c>
      <c r="J699" s="352" t="s">
        <v>1003</v>
      </c>
      <c r="K699" s="352">
        <v>2123</v>
      </c>
      <c r="L699" s="352" t="s">
        <v>1878</v>
      </c>
      <c r="M699" s="352" t="s">
        <v>2188</v>
      </c>
      <c r="N699" s="352" t="s">
        <v>2076</v>
      </c>
      <c r="O699" s="352">
        <v>1</v>
      </c>
      <c r="P699" s="352" t="s">
        <v>2086</v>
      </c>
      <c r="Q699" s="352" t="s">
        <v>2066</v>
      </c>
      <c r="R699" s="251">
        <v>49.105566223842622</v>
      </c>
      <c r="S699" s="251" t="s">
        <v>2015</v>
      </c>
      <c r="T699" s="251" t="s">
        <v>2016</v>
      </c>
      <c r="U699" s="251" t="s">
        <v>1935</v>
      </c>
      <c r="V699" s="251" t="s">
        <v>1936</v>
      </c>
      <c r="X699" s="251">
        <v>0</v>
      </c>
    </row>
    <row r="700" spans="2:24" x14ac:dyDescent="0.2">
      <c r="B700" s="352" t="s">
        <v>874</v>
      </c>
      <c r="C700" s="352" t="s">
        <v>719</v>
      </c>
      <c r="F700" s="352" t="s">
        <v>1994</v>
      </c>
      <c r="G700" s="352" t="s">
        <v>2092</v>
      </c>
      <c r="H700" s="352" t="s">
        <v>1470</v>
      </c>
      <c r="I700" s="352" t="s">
        <v>1006</v>
      </c>
      <c r="J700" s="352" t="s">
        <v>1007</v>
      </c>
      <c r="K700" s="352">
        <v>2133</v>
      </c>
      <c r="L700" s="352" t="s">
        <v>1881</v>
      </c>
      <c r="M700" s="352" t="s">
        <v>2189</v>
      </c>
      <c r="N700" s="352" t="s">
        <v>2076</v>
      </c>
      <c r="O700" s="352">
        <v>1</v>
      </c>
      <c r="P700" s="352" t="s">
        <v>2086</v>
      </c>
      <c r="Q700" s="352" t="s">
        <v>2066</v>
      </c>
      <c r="R700" s="251">
        <v>549.9372522600421</v>
      </c>
      <c r="S700" s="251" t="s">
        <v>2015</v>
      </c>
      <c r="T700" s="251" t="s">
        <v>2016</v>
      </c>
      <c r="U700" s="251" t="s">
        <v>1935</v>
      </c>
      <c r="V700" s="251" t="s">
        <v>1936</v>
      </c>
      <c r="X700" s="251">
        <v>0</v>
      </c>
    </row>
    <row r="701" spans="2:24" x14ac:dyDescent="0.2">
      <c r="B701" s="352" t="s">
        <v>874</v>
      </c>
      <c r="C701" s="352" t="s">
        <v>719</v>
      </c>
      <c r="F701" s="352" t="s">
        <v>1994</v>
      </c>
      <c r="G701" s="352" t="s">
        <v>2092</v>
      </c>
      <c r="H701" s="352" t="s">
        <v>1470</v>
      </c>
      <c r="I701" s="352" t="s">
        <v>1006</v>
      </c>
      <c r="J701" s="352" t="s">
        <v>1007</v>
      </c>
      <c r="K701" s="352">
        <v>2141</v>
      </c>
      <c r="L701" s="352" t="s">
        <v>1882</v>
      </c>
      <c r="M701" s="352" t="s">
        <v>2190</v>
      </c>
      <c r="N701" s="352" t="s">
        <v>2076</v>
      </c>
      <c r="O701" s="352">
        <v>1</v>
      </c>
      <c r="P701" s="352" t="s">
        <v>2086</v>
      </c>
      <c r="Q701" s="352" t="s">
        <v>2066</v>
      </c>
      <c r="R701" s="251">
        <v>29.315412020485159</v>
      </c>
      <c r="S701" s="251" t="s">
        <v>2015</v>
      </c>
      <c r="T701" s="251" t="s">
        <v>2016</v>
      </c>
      <c r="U701" s="251" t="s">
        <v>1935</v>
      </c>
      <c r="V701" s="251" t="s">
        <v>1936</v>
      </c>
      <c r="X701" s="251">
        <v>0</v>
      </c>
    </row>
    <row r="702" spans="2:24" x14ac:dyDescent="0.2">
      <c r="B702" s="352" t="s">
        <v>874</v>
      </c>
      <c r="C702" s="352" t="s">
        <v>719</v>
      </c>
      <c r="F702" s="352" t="s">
        <v>1994</v>
      </c>
      <c r="G702" s="352" t="s">
        <v>2092</v>
      </c>
      <c r="H702" s="352" t="s">
        <v>1470</v>
      </c>
      <c r="I702" s="352" t="s">
        <v>1006</v>
      </c>
      <c r="J702" s="352" t="s">
        <v>1007</v>
      </c>
      <c r="K702" s="352">
        <v>2221</v>
      </c>
      <c r="L702" s="352" t="s">
        <v>1884</v>
      </c>
      <c r="M702" s="352" t="s">
        <v>2191</v>
      </c>
      <c r="N702" s="352" t="s">
        <v>2076</v>
      </c>
      <c r="O702" s="352">
        <v>1</v>
      </c>
      <c r="P702" s="352" t="s">
        <v>2086</v>
      </c>
      <c r="Q702" s="352" t="s">
        <v>2066</v>
      </c>
      <c r="R702" s="251">
        <v>1049.4804359024365</v>
      </c>
      <c r="S702" s="251" t="s">
        <v>2015</v>
      </c>
      <c r="T702" s="251" t="s">
        <v>2016</v>
      </c>
      <c r="U702" s="251" t="s">
        <v>1935</v>
      </c>
      <c r="V702" s="251" t="s">
        <v>1936</v>
      </c>
      <c r="X702" s="251">
        <v>0</v>
      </c>
    </row>
    <row r="703" spans="2:24" x14ac:dyDescent="0.2">
      <c r="B703" s="352" t="s">
        <v>874</v>
      </c>
      <c r="C703" s="352" t="s">
        <v>719</v>
      </c>
      <c r="F703" s="352" t="s">
        <v>1994</v>
      </c>
      <c r="G703" s="352" t="s">
        <v>2092</v>
      </c>
      <c r="H703" s="352" t="s">
        <v>1474</v>
      </c>
      <c r="I703" s="352" t="s">
        <v>1008</v>
      </c>
      <c r="J703" s="352" t="s">
        <v>1009</v>
      </c>
      <c r="K703" s="352">
        <v>2223</v>
      </c>
      <c r="L703" s="352" t="s">
        <v>1886</v>
      </c>
      <c r="M703" s="352" t="s">
        <v>2192</v>
      </c>
      <c r="N703" s="352" t="s">
        <v>2076</v>
      </c>
      <c r="O703" s="352">
        <v>2</v>
      </c>
      <c r="P703" s="352" t="s">
        <v>2088</v>
      </c>
      <c r="Q703" s="352" t="s">
        <v>2072</v>
      </c>
      <c r="R703" s="251">
        <v>167.0861889421484</v>
      </c>
      <c r="S703" s="251" t="s">
        <v>2193</v>
      </c>
      <c r="T703" s="251" t="s">
        <v>2213</v>
      </c>
      <c r="U703" s="251" t="s">
        <v>1937</v>
      </c>
      <c r="V703" s="251" t="s">
        <v>1938</v>
      </c>
      <c r="X703" s="251">
        <v>0</v>
      </c>
    </row>
    <row r="704" spans="2:24" x14ac:dyDescent="0.2">
      <c r="B704" s="352" t="s">
        <v>874</v>
      </c>
      <c r="C704" s="352" t="s">
        <v>719</v>
      </c>
      <c r="F704" s="352" t="s">
        <v>1994</v>
      </c>
      <c r="G704" s="352" t="s">
        <v>2092</v>
      </c>
      <c r="H704" s="352" t="s">
        <v>1478</v>
      </c>
      <c r="I704" s="352" t="s">
        <v>1010</v>
      </c>
      <c r="J704" s="352" t="s">
        <v>1011</v>
      </c>
      <c r="K704" s="352">
        <v>2222</v>
      </c>
      <c r="L704" s="352" t="s">
        <v>1885</v>
      </c>
      <c r="M704" s="352" t="s">
        <v>2194</v>
      </c>
      <c r="N704" s="352" t="s">
        <v>2076</v>
      </c>
      <c r="O704" s="352">
        <v>2</v>
      </c>
      <c r="P704" s="352" t="s">
        <v>2088</v>
      </c>
      <c r="Q704" s="352" t="s">
        <v>2072</v>
      </c>
      <c r="R704" s="251">
        <v>0</v>
      </c>
      <c r="S704" s="251" t="s">
        <v>2193</v>
      </c>
      <c r="T704" s="251" t="s">
        <v>2054</v>
      </c>
      <c r="U704" s="251" t="s">
        <v>1939</v>
      </c>
      <c r="V704" s="251" t="s">
        <v>1940</v>
      </c>
      <c r="X704" s="251">
        <v>0</v>
      </c>
    </row>
    <row r="705" spans="2:24" x14ac:dyDescent="0.2">
      <c r="B705" s="352" t="s">
        <v>874</v>
      </c>
      <c r="C705" s="352" t="s">
        <v>719</v>
      </c>
      <c r="F705" s="352" t="s">
        <v>1994</v>
      </c>
      <c r="G705" s="352" t="s">
        <v>2092</v>
      </c>
      <c r="H705" s="352" t="s">
        <v>1482</v>
      </c>
      <c r="I705" s="352" t="s">
        <v>1012</v>
      </c>
      <c r="J705" s="352" t="s">
        <v>1013</v>
      </c>
      <c r="K705" s="352">
        <v>2222</v>
      </c>
      <c r="L705" s="352" t="s">
        <v>1885</v>
      </c>
      <c r="M705" s="352" t="s">
        <v>2195</v>
      </c>
      <c r="N705" s="352" t="s">
        <v>2076</v>
      </c>
      <c r="O705" s="352">
        <v>2</v>
      </c>
      <c r="P705" s="352" t="s">
        <v>2088</v>
      </c>
      <c r="Q705" s="352" t="s">
        <v>2072</v>
      </c>
      <c r="R705" s="251">
        <v>0</v>
      </c>
      <c r="S705" s="251" t="s">
        <v>2193</v>
      </c>
      <c r="T705" s="251" t="s">
        <v>2054</v>
      </c>
      <c r="U705" s="251" t="s">
        <v>1939</v>
      </c>
      <c r="V705" s="251" t="s">
        <v>1940</v>
      </c>
      <c r="X705" s="251">
        <v>0</v>
      </c>
    </row>
    <row r="706" spans="2:24" x14ac:dyDescent="0.2">
      <c r="B706" s="352" t="s">
        <v>874</v>
      </c>
      <c r="C706" s="352" t="s">
        <v>719</v>
      </c>
      <c r="F706" s="352" t="s">
        <v>1994</v>
      </c>
      <c r="G706" s="352" t="s">
        <v>2092</v>
      </c>
      <c r="H706" s="352" t="s">
        <v>1486</v>
      </c>
      <c r="I706" s="352" t="s">
        <v>1014</v>
      </c>
      <c r="J706" s="352" t="s">
        <v>1893</v>
      </c>
      <c r="K706" s="352">
        <v>2131</v>
      </c>
      <c r="L706" s="352" t="s">
        <v>1879</v>
      </c>
      <c r="M706" s="352" t="s">
        <v>2196</v>
      </c>
      <c r="N706" s="352" t="s">
        <v>2076</v>
      </c>
      <c r="O706" s="352">
        <v>8</v>
      </c>
      <c r="P706" s="352" t="s">
        <v>2085</v>
      </c>
      <c r="Q706" s="352" t="s">
        <v>2068</v>
      </c>
      <c r="R706" s="251">
        <v>0</v>
      </c>
      <c r="S706" s="251" t="s">
        <v>2015</v>
      </c>
      <c r="T706" s="251" t="s">
        <v>2054</v>
      </c>
      <c r="U706" s="251" t="s">
        <v>1929</v>
      </c>
      <c r="V706" s="251" t="s">
        <v>1930</v>
      </c>
      <c r="X706" s="251">
        <v>0</v>
      </c>
    </row>
    <row r="707" spans="2:24" x14ac:dyDescent="0.2">
      <c r="B707" s="352" t="s">
        <v>874</v>
      </c>
      <c r="C707" s="352" t="s">
        <v>719</v>
      </c>
      <c r="F707" s="352" t="s">
        <v>1994</v>
      </c>
      <c r="G707" s="352" t="s">
        <v>2092</v>
      </c>
      <c r="H707" s="352" t="s">
        <v>1486</v>
      </c>
      <c r="I707" s="352" t="s">
        <v>1014</v>
      </c>
      <c r="J707" s="352" t="s">
        <v>1893</v>
      </c>
      <c r="K707" s="352">
        <v>2132</v>
      </c>
      <c r="L707" s="352" t="s">
        <v>1880</v>
      </c>
      <c r="M707" s="352" t="s">
        <v>2197</v>
      </c>
      <c r="N707" s="352" t="s">
        <v>2076</v>
      </c>
      <c r="O707" s="352">
        <v>8</v>
      </c>
      <c r="P707" s="352" t="s">
        <v>2085</v>
      </c>
      <c r="Q707" s="352" t="s">
        <v>2068</v>
      </c>
      <c r="R707" s="251">
        <v>0</v>
      </c>
      <c r="S707" s="251" t="s">
        <v>2015</v>
      </c>
      <c r="T707" s="251" t="s">
        <v>2054</v>
      </c>
      <c r="U707" s="251" t="s">
        <v>1931</v>
      </c>
      <c r="V707" s="251" t="s">
        <v>1932</v>
      </c>
      <c r="X707" s="251">
        <v>0</v>
      </c>
    </row>
    <row r="708" spans="2:24" x14ac:dyDescent="0.2">
      <c r="B708" s="352" t="s">
        <v>874</v>
      </c>
      <c r="C708" s="352" t="s">
        <v>719</v>
      </c>
      <c r="F708" s="352" t="s">
        <v>1994</v>
      </c>
      <c r="G708" s="352" t="s">
        <v>2092</v>
      </c>
      <c r="H708" s="352" t="s">
        <v>1486</v>
      </c>
      <c r="I708" s="352" t="s">
        <v>1014</v>
      </c>
      <c r="J708" s="352" t="s">
        <v>1893</v>
      </c>
      <c r="K708" s="352">
        <v>2133</v>
      </c>
      <c r="L708" s="352" t="s">
        <v>1881</v>
      </c>
      <c r="M708" s="352" t="s">
        <v>2198</v>
      </c>
      <c r="N708" s="352" t="s">
        <v>2076</v>
      </c>
      <c r="O708" s="352">
        <v>8</v>
      </c>
      <c r="P708" s="352" t="s">
        <v>2085</v>
      </c>
      <c r="Q708" s="352" t="s">
        <v>2068</v>
      </c>
      <c r="R708" s="251">
        <v>0</v>
      </c>
      <c r="S708" s="251" t="s">
        <v>2015</v>
      </c>
      <c r="T708" s="251" t="s">
        <v>2054</v>
      </c>
      <c r="U708" s="251" t="s">
        <v>1935</v>
      </c>
      <c r="V708" s="251" t="s">
        <v>1936</v>
      </c>
      <c r="X708" s="251">
        <v>0</v>
      </c>
    </row>
    <row r="709" spans="2:24" x14ac:dyDescent="0.2">
      <c r="B709" s="352" t="s">
        <v>874</v>
      </c>
      <c r="C709" s="352" t="s">
        <v>719</v>
      </c>
      <c r="F709" s="352" t="s">
        <v>1994</v>
      </c>
      <c r="G709" s="352" t="s">
        <v>2092</v>
      </c>
      <c r="H709" s="352" t="s">
        <v>1486</v>
      </c>
      <c r="I709" s="352" t="s">
        <v>1014</v>
      </c>
      <c r="J709" s="352" t="s">
        <v>1893</v>
      </c>
      <c r="K709" s="352">
        <v>2134</v>
      </c>
      <c r="L709" s="352" t="s">
        <v>775</v>
      </c>
      <c r="M709" s="352" t="s">
        <v>2199</v>
      </c>
      <c r="N709" s="352" t="s">
        <v>2076</v>
      </c>
      <c r="O709" s="352">
        <v>8</v>
      </c>
      <c r="P709" s="352" t="s">
        <v>2085</v>
      </c>
      <c r="Q709" s="352" t="s">
        <v>2068</v>
      </c>
      <c r="R709" s="251">
        <v>0</v>
      </c>
      <c r="S709" s="251" t="s">
        <v>2015</v>
      </c>
      <c r="T709" s="251" t="s">
        <v>2054</v>
      </c>
      <c r="U709" s="251">
        <v>0</v>
      </c>
      <c r="V709" s="251" t="s">
        <v>2153</v>
      </c>
      <c r="X709" s="251">
        <v>0</v>
      </c>
    </row>
    <row r="710" spans="2:24" x14ac:dyDescent="0.2">
      <c r="B710" s="352" t="s">
        <v>874</v>
      </c>
      <c r="C710" s="352" t="s">
        <v>719</v>
      </c>
      <c r="F710" s="352" t="s">
        <v>1994</v>
      </c>
      <c r="G710" s="352" t="s">
        <v>2092</v>
      </c>
      <c r="H710" s="352" t="s">
        <v>1486</v>
      </c>
      <c r="I710" s="352" t="s">
        <v>1014</v>
      </c>
      <c r="J710" s="352" t="s">
        <v>1893</v>
      </c>
      <c r="K710" s="352">
        <v>2141</v>
      </c>
      <c r="L710" s="352" t="s">
        <v>1882</v>
      </c>
      <c r="M710" s="352" t="s">
        <v>2200</v>
      </c>
      <c r="N710" s="352" t="s">
        <v>2076</v>
      </c>
      <c r="O710" s="352">
        <v>8</v>
      </c>
      <c r="P710" s="352" t="s">
        <v>2085</v>
      </c>
      <c r="Q710" s="352" t="s">
        <v>2068</v>
      </c>
      <c r="R710" s="251">
        <v>0</v>
      </c>
      <c r="S710" s="251" t="s">
        <v>2015</v>
      </c>
      <c r="T710" s="251" t="s">
        <v>2054</v>
      </c>
      <c r="U710" s="251" t="s">
        <v>1935</v>
      </c>
      <c r="V710" s="251" t="s">
        <v>1936</v>
      </c>
      <c r="X710" s="251">
        <v>0</v>
      </c>
    </row>
    <row r="711" spans="2:24" x14ac:dyDescent="0.2">
      <c r="B711" s="352" t="s">
        <v>874</v>
      </c>
      <c r="C711" s="352" t="s">
        <v>719</v>
      </c>
      <c r="F711" s="352" t="s">
        <v>1994</v>
      </c>
      <c r="G711" s="352" t="s">
        <v>2092</v>
      </c>
      <c r="H711" s="352" t="s">
        <v>1486</v>
      </c>
      <c r="I711" s="352" t="s">
        <v>1014</v>
      </c>
      <c r="J711" s="352" t="s">
        <v>1893</v>
      </c>
      <c r="K711" s="352">
        <v>2211</v>
      </c>
      <c r="L711" s="352" t="s">
        <v>1883</v>
      </c>
      <c r="M711" s="352" t="s">
        <v>2201</v>
      </c>
      <c r="N711" s="352" t="s">
        <v>2076</v>
      </c>
      <c r="O711" s="352">
        <v>8</v>
      </c>
      <c r="P711" s="352" t="s">
        <v>2085</v>
      </c>
      <c r="Q711" s="352" t="s">
        <v>2068</v>
      </c>
      <c r="R711" s="251">
        <v>0</v>
      </c>
      <c r="S711" s="251" t="s">
        <v>2015</v>
      </c>
      <c r="T711" s="251" t="s">
        <v>2054</v>
      </c>
      <c r="U711" s="251" t="s">
        <v>1929</v>
      </c>
      <c r="V711" s="251" t="s">
        <v>1930</v>
      </c>
      <c r="X711" s="251">
        <v>0</v>
      </c>
    </row>
    <row r="712" spans="2:24" x14ac:dyDescent="0.2">
      <c r="B712" s="352" t="s">
        <v>874</v>
      </c>
      <c r="C712" s="352" t="s">
        <v>719</v>
      </c>
      <c r="F712" s="352" t="s">
        <v>1994</v>
      </c>
      <c r="G712" s="352" t="s">
        <v>2092</v>
      </c>
      <c r="H712" s="352" t="s">
        <v>1486</v>
      </c>
      <c r="I712" s="352" t="s">
        <v>1014</v>
      </c>
      <c r="J712" s="352" t="s">
        <v>1893</v>
      </c>
      <c r="K712" s="352">
        <v>2221</v>
      </c>
      <c r="L712" s="352" t="s">
        <v>1884</v>
      </c>
      <c r="M712" s="352" t="s">
        <v>2202</v>
      </c>
      <c r="N712" s="352" t="s">
        <v>2076</v>
      </c>
      <c r="O712" s="352">
        <v>8</v>
      </c>
      <c r="P712" s="352" t="s">
        <v>2085</v>
      </c>
      <c r="Q712" s="352" t="s">
        <v>2068</v>
      </c>
      <c r="R712" s="251">
        <v>0</v>
      </c>
      <c r="S712" s="251" t="s">
        <v>2015</v>
      </c>
      <c r="T712" s="251" t="s">
        <v>2054</v>
      </c>
      <c r="U712" s="251" t="s">
        <v>1935</v>
      </c>
      <c r="V712" s="251" t="s">
        <v>1936</v>
      </c>
      <c r="X712" s="251">
        <v>0</v>
      </c>
    </row>
    <row r="713" spans="2:24" x14ac:dyDescent="0.2">
      <c r="B713" s="352" t="s">
        <v>874</v>
      </c>
      <c r="C713" s="352" t="s">
        <v>719</v>
      </c>
      <c r="F713" s="352" t="s">
        <v>1994</v>
      </c>
      <c r="G713" s="352" t="s">
        <v>2092</v>
      </c>
      <c r="H713" s="352" t="s">
        <v>1490</v>
      </c>
      <c r="I713" s="352" t="s">
        <v>1015</v>
      </c>
      <c r="J713" s="352" t="s">
        <v>1016</v>
      </c>
      <c r="K713" s="352">
        <v>3111</v>
      </c>
      <c r="L713" s="352" t="s">
        <v>763</v>
      </c>
      <c r="M713" s="352" t="s">
        <v>2203</v>
      </c>
      <c r="N713" s="352" t="s">
        <v>2076</v>
      </c>
      <c r="O713" s="352">
        <v>1</v>
      </c>
      <c r="P713" s="352" t="s">
        <v>2086</v>
      </c>
      <c r="Q713" s="352" t="s">
        <v>2066</v>
      </c>
      <c r="R713" s="251">
        <v>0</v>
      </c>
      <c r="S713" s="251"/>
      <c r="T713" s="251" t="s">
        <v>2054</v>
      </c>
      <c r="U713" s="251" t="s">
        <v>1945</v>
      </c>
      <c r="V713" s="251" t="s">
        <v>709</v>
      </c>
      <c r="X713" s="251">
        <v>0</v>
      </c>
    </row>
    <row r="714" spans="2:24" x14ac:dyDescent="0.2">
      <c r="B714" s="352" t="s">
        <v>874</v>
      </c>
      <c r="C714" s="352" t="s">
        <v>719</v>
      </c>
      <c r="F714" s="352" t="s">
        <v>1994</v>
      </c>
      <c r="G714" s="352" t="s">
        <v>2092</v>
      </c>
      <c r="H714" s="352" t="s">
        <v>1490</v>
      </c>
      <c r="I714" s="352" t="s">
        <v>1015</v>
      </c>
      <c r="J714" s="352" t="s">
        <v>1016</v>
      </c>
      <c r="K714" s="352">
        <v>3121</v>
      </c>
      <c r="L714" s="352" t="s">
        <v>766</v>
      </c>
      <c r="M714" s="352" t="s">
        <v>2204</v>
      </c>
      <c r="N714" s="352" t="s">
        <v>2076</v>
      </c>
      <c r="O714" s="352">
        <v>1</v>
      </c>
      <c r="P714" s="352" t="s">
        <v>2086</v>
      </c>
      <c r="Q714" s="352" t="s">
        <v>2066</v>
      </c>
      <c r="R714" s="251">
        <v>0</v>
      </c>
      <c r="S714" s="251"/>
      <c r="T714" s="251" t="s">
        <v>2054</v>
      </c>
      <c r="U714" s="251" t="s">
        <v>1945</v>
      </c>
      <c r="V714" s="251" t="s">
        <v>709</v>
      </c>
      <c r="X714" s="251">
        <v>0</v>
      </c>
    </row>
    <row r="715" spans="2:24" x14ac:dyDescent="0.2">
      <c r="B715" s="352" t="s">
        <v>874</v>
      </c>
      <c r="C715" s="352" t="s">
        <v>719</v>
      </c>
      <c r="F715" s="352" t="s">
        <v>1994</v>
      </c>
      <c r="G715" s="352" t="s">
        <v>2092</v>
      </c>
      <c r="H715" s="352" t="s">
        <v>1494</v>
      </c>
      <c r="I715" s="352" t="s">
        <v>1017</v>
      </c>
      <c r="J715" s="352" t="s">
        <v>1018</v>
      </c>
      <c r="K715" s="352">
        <v>4111</v>
      </c>
      <c r="L715" s="352" t="s">
        <v>770</v>
      </c>
      <c r="M715" s="352" t="s">
        <v>2205</v>
      </c>
      <c r="N715" s="352" t="s">
        <v>2076</v>
      </c>
      <c r="O715" s="352">
        <v>11</v>
      </c>
      <c r="P715" s="352" t="s">
        <v>2084</v>
      </c>
      <c r="Q715" s="352" t="s">
        <v>2064</v>
      </c>
      <c r="R715" s="251">
        <v>144.4365325093745</v>
      </c>
      <c r="S715" s="251" t="s">
        <v>2015</v>
      </c>
      <c r="T715" s="251" t="s">
        <v>2016</v>
      </c>
      <c r="U715" s="251" t="s">
        <v>1946</v>
      </c>
      <c r="V715" s="251" t="s">
        <v>1947</v>
      </c>
      <c r="X715" s="251">
        <v>0</v>
      </c>
    </row>
    <row r="716" spans="2:24" x14ac:dyDescent="0.2">
      <c r="B716" s="352" t="s">
        <v>874</v>
      </c>
      <c r="C716" s="352" t="s">
        <v>719</v>
      </c>
      <c r="F716" s="352" t="s">
        <v>1994</v>
      </c>
      <c r="G716" s="352" t="s">
        <v>2092</v>
      </c>
      <c r="H716" s="352" t="s">
        <v>1494</v>
      </c>
      <c r="I716" s="352" t="s">
        <v>1017</v>
      </c>
      <c r="J716" s="352" t="s">
        <v>1018</v>
      </c>
      <c r="K716" s="352">
        <v>4121</v>
      </c>
      <c r="L716" s="352" t="s">
        <v>772</v>
      </c>
      <c r="M716" s="352" t="s">
        <v>2206</v>
      </c>
      <c r="N716" s="352" t="s">
        <v>2076</v>
      </c>
      <c r="O716" s="352">
        <v>11</v>
      </c>
      <c r="P716" s="352" t="s">
        <v>2084</v>
      </c>
      <c r="Q716" s="352" t="s">
        <v>2064</v>
      </c>
      <c r="R716" s="251">
        <v>240.58366496261607</v>
      </c>
      <c r="S716" s="251" t="s">
        <v>2015</v>
      </c>
      <c r="T716" s="251" t="s">
        <v>2016</v>
      </c>
      <c r="U716" s="251" t="s">
        <v>1946</v>
      </c>
      <c r="V716" s="251" t="s">
        <v>1947</v>
      </c>
      <c r="X716" s="251">
        <v>0</v>
      </c>
    </row>
    <row r="717" spans="2:24" x14ac:dyDescent="0.2">
      <c r="B717" s="352" t="s">
        <v>874</v>
      </c>
      <c r="C717" s="352" t="s">
        <v>719</v>
      </c>
      <c r="F717" s="352" t="s">
        <v>1994</v>
      </c>
      <c r="G717" s="352" t="s">
        <v>2092</v>
      </c>
      <c r="H717" s="352" t="s">
        <v>1498</v>
      </c>
      <c r="I717" s="352" t="s">
        <v>1019</v>
      </c>
      <c r="J717" s="352" t="s">
        <v>1020</v>
      </c>
      <c r="K717" s="352">
        <v>4231</v>
      </c>
      <c r="L717" s="352" t="s">
        <v>774</v>
      </c>
      <c r="M717" s="352" t="s">
        <v>2207</v>
      </c>
      <c r="N717" s="352" t="s">
        <v>2076</v>
      </c>
      <c r="O717" s="352">
        <v>1</v>
      </c>
      <c r="P717" s="352" t="s">
        <v>2086</v>
      </c>
      <c r="Q717" s="352" t="s">
        <v>2066</v>
      </c>
      <c r="R717" s="251">
        <v>2530.0546215681525</v>
      </c>
      <c r="S717" s="251" t="s">
        <v>2015</v>
      </c>
      <c r="T717" s="251" t="s">
        <v>2016</v>
      </c>
      <c r="U717" s="251" t="s">
        <v>1948</v>
      </c>
      <c r="V717" s="251" t="s">
        <v>1949</v>
      </c>
      <c r="X717" s="251">
        <v>0</v>
      </c>
    </row>
    <row r="718" spans="2:24" x14ac:dyDescent="0.2">
      <c r="B718" s="352" t="s">
        <v>874</v>
      </c>
      <c r="C718" s="352" t="s">
        <v>719</v>
      </c>
      <c r="F718" s="352" t="s">
        <v>1994</v>
      </c>
      <c r="G718" s="352" t="s">
        <v>2092</v>
      </c>
      <c r="H718" s="352" t="s">
        <v>1498</v>
      </c>
      <c r="I718" s="352" t="s">
        <v>1019</v>
      </c>
      <c r="J718" s="352" t="s">
        <v>1020</v>
      </c>
      <c r="K718" s="352">
        <v>4241</v>
      </c>
      <c r="L718" s="352" t="s">
        <v>777</v>
      </c>
      <c r="M718" s="352" t="s">
        <v>2208</v>
      </c>
      <c r="N718" s="352" t="s">
        <v>2076</v>
      </c>
      <c r="O718" s="352">
        <v>1</v>
      </c>
      <c r="P718" s="352" t="s">
        <v>2086</v>
      </c>
      <c r="Q718" s="352" t="s">
        <v>2066</v>
      </c>
      <c r="R718" s="251">
        <v>109.59924534432763</v>
      </c>
      <c r="S718" s="251" t="s">
        <v>2015</v>
      </c>
      <c r="T718" s="251" t="s">
        <v>2016</v>
      </c>
      <c r="U718" s="251" t="s">
        <v>1950</v>
      </c>
      <c r="V718" s="251" t="s">
        <v>1951</v>
      </c>
      <c r="X718" s="251">
        <v>0</v>
      </c>
    </row>
    <row r="719" spans="2:24" x14ac:dyDescent="0.2">
      <c r="B719" s="352" t="s">
        <v>874</v>
      </c>
      <c r="C719" s="352" t="s">
        <v>719</v>
      </c>
      <c r="F719" s="352" t="s">
        <v>1994</v>
      </c>
      <c r="G719" s="352" t="s">
        <v>2092</v>
      </c>
      <c r="H719" s="352" t="s">
        <v>1498</v>
      </c>
      <c r="I719" s="352" t="s">
        <v>1019</v>
      </c>
      <c r="J719" s="352" t="s">
        <v>1020</v>
      </c>
      <c r="K719" s="352">
        <v>4311</v>
      </c>
      <c r="L719" s="352" t="s">
        <v>779</v>
      </c>
      <c r="M719" s="352" t="s">
        <v>2209</v>
      </c>
      <c r="N719" s="352" t="s">
        <v>2076</v>
      </c>
      <c r="O719" s="352">
        <v>1</v>
      </c>
      <c r="P719" s="352" t="s">
        <v>2086</v>
      </c>
      <c r="Q719" s="352" t="s">
        <v>2066</v>
      </c>
      <c r="R719" s="251">
        <v>2.8389304007849336</v>
      </c>
      <c r="S719" s="251" t="s">
        <v>2015</v>
      </c>
      <c r="T719" s="251" t="s">
        <v>2016</v>
      </c>
      <c r="U719" s="251" t="s">
        <v>1952</v>
      </c>
      <c r="V719" s="251" t="s">
        <v>1953</v>
      </c>
      <c r="X719" s="251">
        <v>0</v>
      </c>
    </row>
    <row r="720" spans="2:24" x14ac:dyDescent="0.2">
      <c r="B720" s="352" t="s">
        <v>874</v>
      </c>
      <c r="C720" s="352" t="s">
        <v>719</v>
      </c>
      <c r="F720" s="352" t="s">
        <v>1994</v>
      </c>
      <c r="G720" s="352" t="s">
        <v>2092</v>
      </c>
      <c r="H720" s="352" t="s">
        <v>1502</v>
      </c>
      <c r="I720" s="352" t="s">
        <v>1021</v>
      </c>
      <c r="J720" s="352" t="s">
        <v>751</v>
      </c>
      <c r="K720" s="352">
        <v>4231</v>
      </c>
      <c r="L720" s="352" t="s">
        <v>774</v>
      </c>
      <c r="M720" s="352" t="s">
        <v>2210</v>
      </c>
      <c r="N720" s="352" t="s">
        <v>2076</v>
      </c>
      <c r="O720" s="352">
        <v>20</v>
      </c>
      <c r="P720" s="352" t="s">
        <v>2089</v>
      </c>
      <c r="Q720" s="352" t="s">
        <v>2074</v>
      </c>
      <c r="R720" s="251">
        <v>79.89646173373113</v>
      </c>
      <c r="S720" s="251" t="s">
        <v>2015</v>
      </c>
      <c r="T720" s="251" t="s">
        <v>2016</v>
      </c>
      <c r="U720" s="251" t="s">
        <v>1948</v>
      </c>
      <c r="V720" s="251" t="s">
        <v>1949</v>
      </c>
      <c r="X720" s="251">
        <v>0</v>
      </c>
    </row>
    <row r="721" spans="2:24" x14ac:dyDescent="0.2">
      <c r="B721" s="352" t="s">
        <v>874</v>
      </c>
      <c r="C721" s="352" t="s">
        <v>719</v>
      </c>
      <c r="F721" s="352" t="s">
        <v>1994</v>
      </c>
      <c r="G721" s="352" t="s">
        <v>2092</v>
      </c>
      <c r="H721" s="352" t="s">
        <v>1502</v>
      </c>
      <c r="I721" s="352" t="s">
        <v>1021</v>
      </c>
      <c r="J721" s="352" t="s">
        <v>751</v>
      </c>
      <c r="K721" s="352">
        <v>4241</v>
      </c>
      <c r="L721" s="352" t="s">
        <v>777</v>
      </c>
      <c r="M721" s="352" t="s">
        <v>2211</v>
      </c>
      <c r="N721" s="352" t="s">
        <v>2076</v>
      </c>
      <c r="O721" s="352">
        <v>20</v>
      </c>
      <c r="P721" s="352" t="s">
        <v>2089</v>
      </c>
      <c r="Q721" s="352" t="s">
        <v>2074</v>
      </c>
      <c r="R721" s="251">
        <v>3470.6427692370412</v>
      </c>
      <c r="S721" s="251" t="s">
        <v>2015</v>
      </c>
      <c r="T721" s="251" t="s">
        <v>2016</v>
      </c>
      <c r="U721" s="251" t="s">
        <v>1950</v>
      </c>
      <c r="V721" s="251" t="s">
        <v>1951</v>
      </c>
      <c r="X721" s="251">
        <v>0</v>
      </c>
    </row>
    <row r="722" spans="2:24" x14ac:dyDescent="0.2">
      <c r="B722" s="352" t="s">
        <v>874</v>
      </c>
      <c r="C722" s="352" t="s">
        <v>719</v>
      </c>
      <c r="F722" s="352" t="s">
        <v>1994</v>
      </c>
      <c r="G722" s="352" t="s">
        <v>2092</v>
      </c>
      <c r="H722" s="352" t="s">
        <v>1502</v>
      </c>
      <c r="I722" s="352" t="s">
        <v>1021</v>
      </c>
      <c r="J722" s="352" t="s">
        <v>751</v>
      </c>
      <c r="K722" s="352">
        <v>4311</v>
      </c>
      <c r="L722" s="352" t="s">
        <v>779</v>
      </c>
      <c r="M722" s="352" t="s">
        <v>2212</v>
      </c>
      <c r="N722" s="352" t="s">
        <v>2076</v>
      </c>
      <c r="O722" s="352">
        <v>20</v>
      </c>
      <c r="P722" s="352" t="s">
        <v>2089</v>
      </c>
      <c r="Q722" s="352" t="s">
        <v>2074</v>
      </c>
      <c r="R722" s="251">
        <v>89.899462691522899</v>
      </c>
      <c r="S722" s="251" t="s">
        <v>2015</v>
      </c>
      <c r="T722" s="251" t="s">
        <v>2016</v>
      </c>
      <c r="U722" s="251" t="s">
        <v>1952</v>
      </c>
      <c r="V722" s="251" t="s">
        <v>1953</v>
      </c>
      <c r="X722" s="251">
        <v>0</v>
      </c>
    </row>
    <row r="723" spans="2:24" x14ac:dyDescent="0.2">
      <c r="B723" s="352" t="s">
        <v>874</v>
      </c>
      <c r="C723" s="352" t="s">
        <v>727</v>
      </c>
      <c r="F723" s="352" t="s">
        <v>1995</v>
      </c>
      <c r="G723" s="352" t="s">
        <v>2094</v>
      </c>
      <c r="H723" s="352" t="s">
        <v>1504</v>
      </c>
      <c r="I723" s="352" t="s">
        <v>969</v>
      </c>
      <c r="J723" s="352" t="s">
        <v>970</v>
      </c>
      <c r="K723" s="352">
        <v>1111</v>
      </c>
      <c r="L723" s="352" t="s">
        <v>699</v>
      </c>
      <c r="M723" s="352" t="s">
        <v>2147</v>
      </c>
      <c r="N723" s="352" t="s">
        <v>2076</v>
      </c>
      <c r="O723" s="352">
        <v>5</v>
      </c>
      <c r="P723" s="352" t="s">
        <v>2077</v>
      </c>
      <c r="Q723" s="352" t="s">
        <v>2058</v>
      </c>
      <c r="R723" s="251">
        <v>0</v>
      </c>
      <c r="S723" s="251" t="s">
        <v>2015</v>
      </c>
      <c r="T723" s="251" t="s">
        <v>2054</v>
      </c>
      <c r="U723" s="251" t="s">
        <v>1914</v>
      </c>
      <c r="V723" s="251" t="s">
        <v>1915</v>
      </c>
      <c r="X723" s="251">
        <v>0</v>
      </c>
    </row>
    <row r="724" spans="2:24" x14ac:dyDescent="0.2">
      <c r="B724" s="352" t="s">
        <v>874</v>
      </c>
      <c r="C724" s="352" t="s">
        <v>727</v>
      </c>
      <c r="F724" s="352" t="s">
        <v>1995</v>
      </c>
      <c r="G724" s="352" t="s">
        <v>2094</v>
      </c>
      <c r="H724" s="352" t="s">
        <v>1504</v>
      </c>
      <c r="I724" s="352" t="s">
        <v>969</v>
      </c>
      <c r="J724" s="352" t="s">
        <v>970</v>
      </c>
      <c r="K724" s="352">
        <v>1231</v>
      </c>
      <c r="L724" s="352" t="s">
        <v>726</v>
      </c>
      <c r="M724" s="352" t="s">
        <v>2148</v>
      </c>
      <c r="N724" s="352" t="s">
        <v>2076</v>
      </c>
      <c r="O724" s="352">
        <v>5</v>
      </c>
      <c r="P724" s="352" t="s">
        <v>2077</v>
      </c>
      <c r="Q724" s="352" t="s">
        <v>2058</v>
      </c>
      <c r="R724" s="251">
        <v>0</v>
      </c>
      <c r="S724" s="251" t="s">
        <v>2015</v>
      </c>
      <c r="T724" s="251" t="s">
        <v>2054</v>
      </c>
      <c r="U724" s="251" t="s">
        <v>1920</v>
      </c>
      <c r="V724" s="251" t="s">
        <v>726</v>
      </c>
      <c r="X724" s="251">
        <v>0</v>
      </c>
    </row>
    <row r="725" spans="2:24" x14ac:dyDescent="0.2">
      <c r="B725" s="352" t="s">
        <v>874</v>
      </c>
      <c r="C725" s="352" t="s">
        <v>727</v>
      </c>
      <c r="F725" s="352" t="s">
        <v>1995</v>
      </c>
      <c r="G725" s="352" t="s">
        <v>2094</v>
      </c>
      <c r="H725" s="352" t="s">
        <v>1506</v>
      </c>
      <c r="I725" s="352" t="s">
        <v>971</v>
      </c>
      <c r="J725" s="352" t="s">
        <v>972</v>
      </c>
      <c r="K725" s="352">
        <v>1211</v>
      </c>
      <c r="L725" s="352" t="s">
        <v>705</v>
      </c>
      <c r="M725" s="352" t="s">
        <v>2149</v>
      </c>
      <c r="N725" s="352" t="s">
        <v>2076</v>
      </c>
      <c r="O725" s="352">
        <v>5</v>
      </c>
      <c r="P725" s="352" t="s">
        <v>2077</v>
      </c>
      <c r="Q725" s="352" t="s">
        <v>2058</v>
      </c>
      <c r="R725" s="251">
        <v>0</v>
      </c>
      <c r="S725" s="251" t="s">
        <v>2015</v>
      </c>
      <c r="T725" s="251" t="s">
        <v>2054</v>
      </c>
      <c r="U725" s="251" t="s">
        <v>1916</v>
      </c>
      <c r="V725" s="251" t="s">
        <v>1917</v>
      </c>
      <c r="X725" s="251">
        <v>0</v>
      </c>
    </row>
    <row r="726" spans="2:24" x14ac:dyDescent="0.2">
      <c r="B726" s="352" t="s">
        <v>874</v>
      </c>
      <c r="C726" s="352" t="s">
        <v>727</v>
      </c>
      <c r="F726" s="352" t="s">
        <v>1995</v>
      </c>
      <c r="G726" s="352" t="s">
        <v>2094</v>
      </c>
      <c r="H726" s="352" t="s">
        <v>1508</v>
      </c>
      <c r="I726" s="352" t="s">
        <v>973</v>
      </c>
      <c r="J726" s="352" t="s">
        <v>974</v>
      </c>
      <c r="K726" s="352">
        <v>1211</v>
      </c>
      <c r="L726" s="352" t="s">
        <v>705</v>
      </c>
      <c r="M726" s="352" t="s">
        <v>2150</v>
      </c>
      <c r="N726" s="352" t="s">
        <v>2076</v>
      </c>
      <c r="O726" s="352">
        <v>5</v>
      </c>
      <c r="P726" s="352" t="s">
        <v>2077</v>
      </c>
      <c r="Q726" s="352" t="s">
        <v>2058</v>
      </c>
      <c r="R726" s="251">
        <v>0</v>
      </c>
      <c r="S726" s="251" t="s">
        <v>2015</v>
      </c>
      <c r="T726" s="251" t="s">
        <v>2054</v>
      </c>
      <c r="U726" s="251" t="s">
        <v>1916</v>
      </c>
      <c r="V726" s="251" t="s">
        <v>1917</v>
      </c>
      <c r="X726" s="251">
        <v>0</v>
      </c>
    </row>
    <row r="727" spans="2:24" x14ac:dyDescent="0.2">
      <c r="B727" s="352" t="s">
        <v>874</v>
      </c>
      <c r="C727" s="352" t="s">
        <v>727</v>
      </c>
      <c r="F727" s="352" t="s">
        <v>1995</v>
      </c>
      <c r="G727" s="352" t="s">
        <v>2094</v>
      </c>
      <c r="H727" s="352" t="s">
        <v>1508</v>
      </c>
      <c r="I727" s="352" t="s">
        <v>973</v>
      </c>
      <c r="J727" s="352" t="s">
        <v>974</v>
      </c>
      <c r="K727" s="352">
        <v>1221</v>
      </c>
      <c r="L727" s="352" t="s">
        <v>711</v>
      </c>
      <c r="M727" s="352" t="s">
        <v>2151</v>
      </c>
      <c r="N727" s="352" t="s">
        <v>2076</v>
      </c>
      <c r="O727" s="352">
        <v>5</v>
      </c>
      <c r="P727" s="352" t="s">
        <v>2077</v>
      </c>
      <c r="Q727" s="352" t="s">
        <v>2058</v>
      </c>
      <c r="R727" s="251">
        <v>0</v>
      </c>
      <c r="S727" s="251" t="s">
        <v>2015</v>
      </c>
      <c r="T727" s="251" t="s">
        <v>2054</v>
      </c>
      <c r="U727" s="251" t="s">
        <v>1918</v>
      </c>
      <c r="V727" s="251" t="s">
        <v>1919</v>
      </c>
      <c r="X727" s="251">
        <v>0</v>
      </c>
    </row>
    <row r="728" spans="2:24" x14ac:dyDescent="0.2">
      <c r="B728" s="352" t="s">
        <v>874</v>
      </c>
      <c r="C728" s="352" t="s">
        <v>727</v>
      </c>
      <c r="F728" s="352" t="s">
        <v>1995</v>
      </c>
      <c r="G728" s="352" t="s">
        <v>2094</v>
      </c>
      <c r="H728" s="352" t="s">
        <v>1508</v>
      </c>
      <c r="I728" s="352" t="s">
        <v>973</v>
      </c>
      <c r="J728" s="352" t="s">
        <v>974</v>
      </c>
      <c r="K728" s="352">
        <v>1222</v>
      </c>
      <c r="L728" s="352" t="s">
        <v>718</v>
      </c>
      <c r="M728" s="352" t="s">
        <v>2152</v>
      </c>
      <c r="N728" s="352" t="s">
        <v>2076</v>
      </c>
      <c r="O728" s="352">
        <v>5</v>
      </c>
      <c r="P728" s="352" t="s">
        <v>2077</v>
      </c>
      <c r="Q728" s="352" t="s">
        <v>2058</v>
      </c>
      <c r="R728" s="251">
        <v>0</v>
      </c>
      <c r="S728" s="251" t="s">
        <v>2015</v>
      </c>
      <c r="T728" s="251" t="s">
        <v>2054</v>
      </c>
      <c r="U728" s="251">
        <v>0</v>
      </c>
      <c r="V728" s="251" t="s">
        <v>2153</v>
      </c>
      <c r="X728" s="251">
        <v>0</v>
      </c>
    </row>
    <row r="729" spans="2:24" x14ac:dyDescent="0.2">
      <c r="B729" s="352" t="s">
        <v>874</v>
      </c>
      <c r="C729" s="352" t="s">
        <v>727</v>
      </c>
      <c r="F729" s="352" t="s">
        <v>1995</v>
      </c>
      <c r="G729" s="352" t="s">
        <v>2094</v>
      </c>
      <c r="H729" s="352" t="s">
        <v>1510</v>
      </c>
      <c r="I729" s="352" t="s">
        <v>975</v>
      </c>
      <c r="J729" s="352" t="s">
        <v>976</v>
      </c>
      <c r="K729" s="352">
        <v>1221</v>
      </c>
      <c r="L729" s="352" t="s">
        <v>711</v>
      </c>
      <c r="M729" s="352" t="s">
        <v>2154</v>
      </c>
      <c r="N729" s="352" t="s">
        <v>2076</v>
      </c>
      <c r="O729" s="352">
        <v>7</v>
      </c>
      <c r="P729" s="352" t="s">
        <v>2081</v>
      </c>
      <c r="Q729" s="352" t="s">
        <v>2056</v>
      </c>
      <c r="R729" s="251">
        <v>0</v>
      </c>
      <c r="S729" s="251" t="s">
        <v>2015</v>
      </c>
      <c r="T729" s="251" t="s">
        <v>2054</v>
      </c>
      <c r="U729" s="251" t="s">
        <v>1918</v>
      </c>
      <c r="V729" s="251" t="s">
        <v>1919</v>
      </c>
      <c r="X729" s="251">
        <v>0</v>
      </c>
    </row>
    <row r="730" spans="2:24" x14ac:dyDescent="0.2">
      <c r="B730" s="352" t="s">
        <v>874</v>
      </c>
      <c r="C730" s="352" t="s">
        <v>727</v>
      </c>
      <c r="F730" s="352" t="s">
        <v>1995</v>
      </c>
      <c r="G730" s="352" t="s">
        <v>2094</v>
      </c>
      <c r="H730" s="352" t="s">
        <v>1512</v>
      </c>
      <c r="I730" s="352" t="s">
        <v>977</v>
      </c>
      <c r="J730" s="352" t="s">
        <v>864</v>
      </c>
      <c r="K730" s="352">
        <v>1111</v>
      </c>
      <c r="L730" s="352" t="s">
        <v>699</v>
      </c>
      <c r="M730" s="352" t="s">
        <v>2155</v>
      </c>
      <c r="N730" s="352" t="s">
        <v>2076</v>
      </c>
      <c r="O730" s="352">
        <v>5</v>
      </c>
      <c r="P730" s="352" t="s">
        <v>2077</v>
      </c>
      <c r="Q730" s="352" t="s">
        <v>2058</v>
      </c>
      <c r="R730" s="251">
        <v>154.7054178620339</v>
      </c>
      <c r="S730" s="251" t="s">
        <v>2015</v>
      </c>
      <c r="T730" s="251" t="s">
        <v>2016</v>
      </c>
      <c r="U730" s="251" t="s">
        <v>1914</v>
      </c>
      <c r="V730" s="251" t="s">
        <v>1915</v>
      </c>
      <c r="X730" s="251">
        <v>0</v>
      </c>
    </row>
    <row r="731" spans="2:24" x14ac:dyDescent="0.2">
      <c r="B731" s="352" t="s">
        <v>874</v>
      </c>
      <c r="C731" s="352" t="s">
        <v>727</v>
      </c>
      <c r="F731" s="352" t="s">
        <v>1995</v>
      </c>
      <c r="G731" s="352" t="s">
        <v>2094</v>
      </c>
      <c r="H731" s="352" t="s">
        <v>1512</v>
      </c>
      <c r="I731" s="352" t="s">
        <v>977</v>
      </c>
      <c r="J731" s="352" t="s">
        <v>864</v>
      </c>
      <c r="K731" s="352">
        <v>1211</v>
      </c>
      <c r="L731" s="352" t="s">
        <v>705</v>
      </c>
      <c r="M731" s="352" t="s">
        <v>2156</v>
      </c>
      <c r="N731" s="352" t="s">
        <v>2076</v>
      </c>
      <c r="O731" s="352">
        <v>5</v>
      </c>
      <c r="P731" s="352" t="s">
        <v>2077</v>
      </c>
      <c r="Q731" s="352" t="s">
        <v>2058</v>
      </c>
      <c r="R731" s="251">
        <v>5.596852812061063</v>
      </c>
      <c r="S731" s="251" t="s">
        <v>2015</v>
      </c>
      <c r="T731" s="251" t="s">
        <v>2016</v>
      </c>
      <c r="U731" s="251" t="s">
        <v>1916</v>
      </c>
      <c r="V731" s="251" t="s">
        <v>1917</v>
      </c>
      <c r="X731" s="251">
        <v>0</v>
      </c>
    </row>
    <row r="732" spans="2:24" x14ac:dyDescent="0.2">
      <c r="B732" s="352" t="s">
        <v>874</v>
      </c>
      <c r="C732" s="352" t="s">
        <v>727</v>
      </c>
      <c r="F732" s="352" t="s">
        <v>1995</v>
      </c>
      <c r="G732" s="352" t="s">
        <v>2094</v>
      </c>
      <c r="H732" s="352" t="s">
        <v>1512</v>
      </c>
      <c r="I732" s="352" t="s">
        <v>977</v>
      </c>
      <c r="J732" s="352" t="s">
        <v>864</v>
      </c>
      <c r="K732" s="352">
        <v>1221</v>
      </c>
      <c r="L732" s="352" t="s">
        <v>711</v>
      </c>
      <c r="M732" s="352" t="s">
        <v>2157</v>
      </c>
      <c r="N732" s="352" t="s">
        <v>2076</v>
      </c>
      <c r="O732" s="352">
        <v>5</v>
      </c>
      <c r="P732" s="352" t="s">
        <v>2077</v>
      </c>
      <c r="Q732" s="352" t="s">
        <v>2058</v>
      </c>
      <c r="R732" s="251">
        <v>79.014859757520085</v>
      </c>
      <c r="S732" s="251" t="s">
        <v>2015</v>
      </c>
      <c r="T732" s="251" t="s">
        <v>2016</v>
      </c>
      <c r="U732" s="251" t="s">
        <v>1918</v>
      </c>
      <c r="V732" s="251" t="s">
        <v>1919</v>
      </c>
      <c r="X732" s="251">
        <v>0</v>
      </c>
    </row>
    <row r="733" spans="2:24" x14ac:dyDescent="0.2">
      <c r="B733" s="352" t="s">
        <v>874</v>
      </c>
      <c r="C733" s="352" t="s">
        <v>727</v>
      </c>
      <c r="F733" s="352" t="s">
        <v>1995</v>
      </c>
      <c r="G733" s="352" t="s">
        <v>2094</v>
      </c>
      <c r="H733" s="352" t="s">
        <v>1512</v>
      </c>
      <c r="I733" s="352" t="s">
        <v>977</v>
      </c>
      <c r="J733" s="352" t="s">
        <v>864</v>
      </c>
      <c r="K733" s="352">
        <v>1222</v>
      </c>
      <c r="L733" s="352" t="s">
        <v>718</v>
      </c>
      <c r="M733" s="352" t="s">
        <v>2158</v>
      </c>
      <c r="N733" s="352" t="s">
        <v>2076</v>
      </c>
      <c r="O733" s="352">
        <v>5</v>
      </c>
      <c r="P733" s="352" t="s">
        <v>2077</v>
      </c>
      <c r="Q733" s="352" t="s">
        <v>2058</v>
      </c>
      <c r="R733" s="251">
        <v>6.0097689942869108</v>
      </c>
      <c r="S733" s="251" t="s">
        <v>2015</v>
      </c>
      <c r="T733" s="251" t="s">
        <v>2016</v>
      </c>
      <c r="U733" s="251">
        <v>0</v>
      </c>
      <c r="V733" s="251" t="s">
        <v>2153</v>
      </c>
      <c r="X733" s="251">
        <v>0</v>
      </c>
    </row>
    <row r="734" spans="2:24" x14ac:dyDescent="0.2">
      <c r="B734" s="352" t="s">
        <v>874</v>
      </c>
      <c r="C734" s="352" t="s">
        <v>727</v>
      </c>
      <c r="F734" s="352" t="s">
        <v>1995</v>
      </c>
      <c r="G734" s="352" t="s">
        <v>2094</v>
      </c>
      <c r="H734" s="352" t="s">
        <v>1512</v>
      </c>
      <c r="I734" s="352" t="s">
        <v>977</v>
      </c>
      <c r="J734" s="352" t="s">
        <v>864</v>
      </c>
      <c r="K734" s="352">
        <v>1231</v>
      </c>
      <c r="L734" s="352" t="s">
        <v>726</v>
      </c>
      <c r="M734" s="352" t="s">
        <v>2159</v>
      </c>
      <c r="N734" s="352" t="s">
        <v>2076</v>
      </c>
      <c r="O734" s="352">
        <v>5</v>
      </c>
      <c r="P734" s="352" t="s">
        <v>2077</v>
      </c>
      <c r="Q734" s="352" t="s">
        <v>2058</v>
      </c>
      <c r="R734" s="251">
        <v>28.52155115541396</v>
      </c>
      <c r="S734" s="251" t="s">
        <v>2015</v>
      </c>
      <c r="T734" s="251" t="s">
        <v>2016</v>
      </c>
      <c r="U734" s="251" t="s">
        <v>1920</v>
      </c>
      <c r="V734" s="251" t="s">
        <v>726</v>
      </c>
      <c r="X734" s="251">
        <v>0</v>
      </c>
    </row>
    <row r="735" spans="2:24" x14ac:dyDescent="0.2">
      <c r="B735" s="352" t="s">
        <v>874</v>
      </c>
      <c r="C735" s="352" t="s">
        <v>727</v>
      </c>
      <c r="F735" s="352" t="s">
        <v>1995</v>
      </c>
      <c r="G735" s="352" t="s">
        <v>2094</v>
      </c>
      <c r="H735" s="352" t="s">
        <v>1512</v>
      </c>
      <c r="I735" s="352" t="s">
        <v>977</v>
      </c>
      <c r="J735" s="352" t="s">
        <v>864</v>
      </c>
      <c r="K735" s="352">
        <v>1232</v>
      </c>
      <c r="L735" s="352" t="s">
        <v>734</v>
      </c>
      <c r="M735" s="352" t="s">
        <v>2160</v>
      </c>
      <c r="N735" s="352" t="s">
        <v>2076</v>
      </c>
      <c r="O735" s="352">
        <v>5</v>
      </c>
      <c r="P735" s="352" t="s">
        <v>2077</v>
      </c>
      <c r="Q735" s="352" t="s">
        <v>2058</v>
      </c>
      <c r="R735" s="251">
        <v>31.929092050819612</v>
      </c>
      <c r="S735" s="251" t="s">
        <v>2015</v>
      </c>
      <c r="T735" s="251" t="s">
        <v>2016</v>
      </c>
      <c r="U735" s="251">
        <v>0</v>
      </c>
      <c r="V735" s="251" t="s">
        <v>2153</v>
      </c>
      <c r="X735" s="251">
        <v>0</v>
      </c>
    </row>
    <row r="736" spans="2:24" x14ac:dyDescent="0.2">
      <c r="B736" s="352" t="s">
        <v>874</v>
      </c>
      <c r="C736" s="352" t="s">
        <v>727</v>
      </c>
      <c r="F736" s="352" t="s">
        <v>1995</v>
      </c>
      <c r="G736" s="352" t="s">
        <v>2094</v>
      </c>
      <c r="H736" s="352" t="s">
        <v>1512</v>
      </c>
      <c r="I736" s="352" t="s">
        <v>977</v>
      </c>
      <c r="J736" s="352" t="s">
        <v>864</v>
      </c>
      <c r="K736" s="352">
        <v>1241</v>
      </c>
      <c r="L736" s="352" t="s">
        <v>1872</v>
      </c>
      <c r="M736" s="352" t="s">
        <v>2161</v>
      </c>
      <c r="N736" s="352" t="s">
        <v>2076</v>
      </c>
      <c r="O736" s="352">
        <v>5</v>
      </c>
      <c r="P736" s="352" t="s">
        <v>2077</v>
      </c>
      <c r="Q736" s="352" t="s">
        <v>2058</v>
      </c>
      <c r="R736" s="251">
        <v>0</v>
      </c>
      <c r="S736" s="251" t="s">
        <v>2015</v>
      </c>
      <c r="T736" s="251" t="s">
        <v>2054</v>
      </c>
      <c r="U736" s="251">
        <v>0</v>
      </c>
      <c r="V736" s="251" t="s">
        <v>2153</v>
      </c>
      <c r="X736" s="251">
        <v>0</v>
      </c>
    </row>
    <row r="737" spans="2:24" x14ac:dyDescent="0.2">
      <c r="B737" s="352" t="s">
        <v>874</v>
      </c>
      <c r="C737" s="352" t="s">
        <v>727</v>
      </c>
      <c r="F737" s="352" t="s">
        <v>1995</v>
      </c>
      <c r="G737" s="352" t="s">
        <v>2094</v>
      </c>
      <c r="H737" s="352" t="s">
        <v>1512</v>
      </c>
      <c r="I737" s="352" t="s">
        <v>977</v>
      </c>
      <c r="J737" s="352" t="s">
        <v>864</v>
      </c>
      <c r="K737" s="352">
        <v>1251</v>
      </c>
      <c r="L737" s="352" t="s">
        <v>733</v>
      </c>
      <c r="M737" s="352" t="s">
        <v>2162</v>
      </c>
      <c r="N737" s="352" t="s">
        <v>2076</v>
      </c>
      <c r="O737" s="352">
        <v>5</v>
      </c>
      <c r="P737" s="352" t="s">
        <v>2077</v>
      </c>
      <c r="Q737" s="352" t="s">
        <v>2058</v>
      </c>
      <c r="R737" s="251">
        <v>41.607265975324061</v>
      </c>
      <c r="S737" s="251" t="s">
        <v>2015</v>
      </c>
      <c r="T737" s="251" t="s">
        <v>2016</v>
      </c>
      <c r="U737" s="251">
        <v>0</v>
      </c>
      <c r="V737" s="251" t="s">
        <v>2153</v>
      </c>
      <c r="X737" s="251">
        <v>0</v>
      </c>
    </row>
    <row r="738" spans="2:24" x14ac:dyDescent="0.2">
      <c r="B738" s="352" t="s">
        <v>874</v>
      </c>
      <c r="C738" s="352" t="s">
        <v>727</v>
      </c>
      <c r="F738" s="352" t="s">
        <v>1995</v>
      </c>
      <c r="G738" s="352" t="s">
        <v>2094</v>
      </c>
      <c r="H738" s="352" t="s">
        <v>1514</v>
      </c>
      <c r="I738" s="352" t="s">
        <v>978</v>
      </c>
      <c r="J738" s="352" t="s">
        <v>1892</v>
      </c>
      <c r="K738" s="352">
        <v>1111</v>
      </c>
      <c r="L738" s="352" t="s">
        <v>699</v>
      </c>
      <c r="M738" s="352" t="s">
        <v>2163</v>
      </c>
      <c r="N738" s="352" t="s">
        <v>2076</v>
      </c>
      <c r="O738" s="352">
        <v>5</v>
      </c>
      <c r="P738" s="352" t="s">
        <v>2077</v>
      </c>
      <c r="Q738" s="352" t="s">
        <v>2058</v>
      </c>
      <c r="R738" s="251">
        <v>0</v>
      </c>
      <c r="S738" s="251" t="s">
        <v>2015</v>
      </c>
      <c r="T738" s="251" t="s">
        <v>2054</v>
      </c>
      <c r="U738" s="251" t="s">
        <v>1914</v>
      </c>
      <c r="V738" s="251" t="s">
        <v>1915</v>
      </c>
      <c r="X738" s="251">
        <v>0</v>
      </c>
    </row>
    <row r="739" spans="2:24" x14ac:dyDescent="0.2">
      <c r="B739" s="352" t="s">
        <v>874</v>
      </c>
      <c r="C739" s="352" t="s">
        <v>727</v>
      </c>
      <c r="F739" s="352" t="s">
        <v>1995</v>
      </c>
      <c r="G739" s="352" t="s">
        <v>2094</v>
      </c>
      <c r="H739" s="352" t="s">
        <v>1514</v>
      </c>
      <c r="I739" s="352" t="s">
        <v>978</v>
      </c>
      <c r="J739" s="352" t="s">
        <v>1892</v>
      </c>
      <c r="K739" s="352">
        <v>1231</v>
      </c>
      <c r="L739" s="352" t="s">
        <v>726</v>
      </c>
      <c r="M739" s="352" t="s">
        <v>2164</v>
      </c>
      <c r="N739" s="352" t="s">
        <v>2076</v>
      </c>
      <c r="O739" s="352">
        <v>5</v>
      </c>
      <c r="P739" s="352" t="s">
        <v>2077</v>
      </c>
      <c r="Q739" s="352" t="s">
        <v>2058</v>
      </c>
      <c r="R739" s="251">
        <v>0</v>
      </c>
      <c r="S739" s="251" t="s">
        <v>2015</v>
      </c>
      <c r="T739" s="251" t="s">
        <v>2054</v>
      </c>
      <c r="U739" s="251" t="s">
        <v>1920</v>
      </c>
      <c r="V739" s="251" t="s">
        <v>726</v>
      </c>
      <c r="X739" s="251">
        <v>0</v>
      </c>
    </row>
    <row r="740" spans="2:24" x14ac:dyDescent="0.2">
      <c r="B740" s="352" t="s">
        <v>874</v>
      </c>
      <c r="C740" s="352" t="s">
        <v>727</v>
      </c>
      <c r="F740" s="352" t="s">
        <v>1995</v>
      </c>
      <c r="G740" s="352" t="s">
        <v>2094</v>
      </c>
      <c r="H740" s="352" t="s">
        <v>1516</v>
      </c>
      <c r="I740" s="352" t="s">
        <v>979</v>
      </c>
      <c r="J740" s="352" t="s">
        <v>980</v>
      </c>
      <c r="K740" s="352">
        <v>1241</v>
      </c>
      <c r="L740" s="352" t="s">
        <v>1872</v>
      </c>
      <c r="M740" s="352" t="s">
        <v>2165</v>
      </c>
      <c r="N740" s="352" t="s">
        <v>2076</v>
      </c>
      <c r="O740" s="352">
        <v>7</v>
      </c>
      <c r="P740" s="352" t="s">
        <v>2081</v>
      </c>
      <c r="Q740" s="352" t="s">
        <v>2056</v>
      </c>
      <c r="R740" s="251">
        <v>1067.2987122937022</v>
      </c>
      <c r="S740" s="251" t="s">
        <v>2015</v>
      </c>
      <c r="T740" s="251" t="s">
        <v>2016</v>
      </c>
      <c r="U740" s="251">
        <v>0</v>
      </c>
      <c r="V740" s="251" t="s">
        <v>2153</v>
      </c>
      <c r="X740" s="251">
        <v>0</v>
      </c>
    </row>
    <row r="741" spans="2:24" x14ac:dyDescent="0.2">
      <c r="B741" s="352" t="s">
        <v>874</v>
      </c>
      <c r="C741" s="352" t="s">
        <v>727</v>
      </c>
      <c r="F741" s="352" t="s">
        <v>1995</v>
      </c>
      <c r="G741" s="352" t="s">
        <v>2094</v>
      </c>
      <c r="H741" s="352" t="s">
        <v>1518</v>
      </c>
      <c r="I741" s="352" t="s">
        <v>981</v>
      </c>
      <c r="J741" s="352" t="s">
        <v>3674</v>
      </c>
      <c r="K741" s="352">
        <v>1241</v>
      </c>
      <c r="L741" s="352" t="s">
        <v>1872</v>
      </c>
      <c r="M741" s="352" t="s">
        <v>2166</v>
      </c>
      <c r="N741" s="352" t="s">
        <v>2076</v>
      </c>
      <c r="O741" s="352">
        <v>13</v>
      </c>
      <c r="P741" s="352" t="s">
        <v>2082</v>
      </c>
      <c r="Q741" s="352" t="s">
        <v>2060</v>
      </c>
      <c r="R741" s="251">
        <v>0</v>
      </c>
      <c r="S741" s="251" t="s">
        <v>2015</v>
      </c>
      <c r="T741" s="251" t="s">
        <v>2054</v>
      </c>
      <c r="U741" s="251">
        <v>0</v>
      </c>
      <c r="V741" s="251" t="s">
        <v>2153</v>
      </c>
      <c r="X741" s="251">
        <v>0</v>
      </c>
    </row>
    <row r="742" spans="2:24" x14ac:dyDescent="0.2">
      <c r="B742" s="352" t="s">
        <v>874</v>
      </c>
      <c r="C742" s="352" t="s">
        <v>727</v>
      </c>
      <c r="F742" s="352" t="s">
        <v>1995</v>
      </c>
      <c r="G742" s="352" t="s">
        <v>2094</v>
      </c>
      <c r="H742" s="352" t="s">
        <v>1518</v>
      </c>
      <c r="I742" s="352" t="s">
        <v>981</v>
      </c>
      <c r="J742" s="352" t="s">
        <v>3674</v>
      </c>
      <c r="K742" s="352">
        <v>1251</v>
      </c>
      <c r="L742" s="352" t="s">
        <v>733</v>
      </c>
      <c r="M742" s="352" t="s">
        <v>2167</v>
      </c>
      <c r="N742" s="352" t="s">
        <v>2076</v>
      </c>
      <c r="O742" s="352">
        <v>13</v>
      </c>
      <c r="P742" s="352" t="s">
        <v>2082</v>
      </c>
      <c r="Q742" s="352" t="s">
        <v>2060</v>
      </c>
      <c r="R742" s="251">
        <v>0</v>
      </c>
      <c r="S742" s="251" t="s">
        <v>2015</v>
      </c>
      <c r="T742" s="251" t="s">
        <v>2054</v>
      </c>
      <c r="U742" s="251">
        <v>0</v>
      </c>
      <c r="V742" s="251" t="s">
        <v>2153</v>
      </c>
      <c r="X742" s="251">
        <v>0</v>
      </c>
    </row>
    <row r="743" spans="2:24" x14ac:dyDescent="0.2">
      <c r="B743" s="352" t="s">
        <v>874</v>
      </c>
      <c r="C743" s="352" t="s">
        <v>727</v>
      </c>
      <c r="F743" s="352" t="s">
        <v>1995</v>
      </c>
      <c r="G743" s="352" t="s">
        <v>2094</v>
      </c>
      <c r="H743" s="352" t="s">
        <v>1520</v>
      </c>
      <c r="I743" s="352" t="s">
        <v>982</v>
      </c>
      <c r="J743" s="352" t="s">
        <v>983</v>
      </c>
      <c r="K743" s="352">
        <v>2111</v>
      </c>
      <c r="L743" s="352" t="s">
        <v>1873</v>
      </c>
      <c r="M743" s="352" t="s">
        <v>2168</v>
      </c>
      <c r="N743" s="352" t="s">
        <v>2076</v>
      </c>
      <c r="O743" s="352">
        <v>10</v>
      </c>
      <c r="P743" s="352" t="s">
        <v>2083</v>
      </c>
      <c r="Q743" s="352" t="s">
        <v>2062</v>
      </c>
      <c r="R743" s="251">
        <v>1054.8433637809107</v>
      </c>
      <c r="S743" s="251" t="s">
        <v>2015</v>
      </c>
      <c r="T743" s="251" t="s">
        <v>2016</v>
      </c>
      <c r="U743" s="251" t="s">
        <v>1929</v>
      </c>
      <c r="V743" s="251" t="s">
        <v>1930</v>
      </c>
      <c r="X743" s="251">
        <v>0</v>
      </c>
    </row>
    <row r="744" spans="2:24" x14ac:dyDescent="0.2">
      <c r="B744" s="352" t="s">
        <v>874</v>
      </c>
      <c r="C744" s="352" t="s">
        <v>727</v>
      </c>
      <c r="F744" s="352" t="s">
        <v>1995</v>
      </c>
      <c r="G744" s="352" t="s">
        <v>2094</v>
      </c>
      <c r="H744" s="352" t="s">
        <v>1520</v>
      </c>
      <c r="I744" s="352" t="s">
        <v>982</v>
      </c>
      <c r="J744" s="352" t="s">
        <v>983</v>
      </c>
      <c r="K744" s="352">
        <v>2121</v>
      </c>
      <c r="L744" s="352" t="s">
        <v>1876</v>
      </c>
      <c r="M744" s="352" t="s">
        <v>2169</v>
      </c>
      <c r="N744" s="352" t="s">
        <v>2076</v>
      </c>
      <c r="O744" s="352">
        <v>10</v>
      </c>
      <c r="P744" s="352" t="s">
        <v>2083</v>
      </c>
      <c r="Q744" s="352" t="s">
        <v>2062</v>
      </c>
      <c r="R744" s="251">
        <v>3095.3376749717663</v>
      </c>
      <c r="S744" s="251" t="s">
        <v>2015</v>
      </c>
      <c r="T744" s="251" t="s">
        <v>2016</v>
      </c>
      <c r="U744" s="251" t="s">
        <v>1929</v>
      </c>
      <c r="V744" s="251" t="s">
        <v>1930</v>
      </c>
      <c r="X744" s="251">
        <v>0</v>
      </c>
    </row>
    <row r="745" spans="2:24" x14ac:dyDescent="0.2">
      <c r="B745" s="352" t="s">
        <v>874</v>
      </c>
      <c r="C745" s="352" t="s">
        <v>727</v>
      </c>
      <c r="F745" s="352" t="s">
        <v>1995</v>
      </c>
      <c r="G745" s="352" t="s">
        <v>2094</v>
      </c>
      <c r="H745" s="352" t="s">
        <v>1520</v>
      </c>
      <c r="I745" s="352" t="s">
        <v>982</v>
      </c>
      <c r="J745" s="352" t="s">
        <v>983</v>
      </c>
      <c r="K745" s="352">
        <v>2131</v>
      </c>
      <c r="L745" s="352" t="s">
        <v>1879</v>
      </c>
      <c r="M745" s="352" t="s">
        <v>2170</v>
      </c>
      <c r="N745" s="352" t="s">
        <v>2076</v>
      </c>
      <c r="O745" s="352">
        <v>10</v>
      </c>
      <c r="P745" s="352" t="s">
        <v>2083</v>
      </c>
      <c r="Q745" s="352" t="s">
        <v>2062</v>
      </c>
      <c r="R745" s="251">
        <v>14.75828811120919</v>
      </c>
      <c r="S745" s="251" t="s">
        <v>2015</v>
      </c>
      <c r="T745" s="251" t="s">
        <v>2016</v>
      </c>
      <c r="U745" s="251" t="s">
        <v>1929</v>
      </c>
      <c r="V745" s="251" t="s">
        <v>1930</v>
      </c>
      <c r="X745" s="251">
        <v>0</v>
      </c>
    </row>
    <row r="746" spans="2:24" x14ac:dyDescent="0.2">
      <c r="B746" s="352" t="s">
        <v>874</v>
      </c>
      <c r="C746" s="352" t="s">
        <v>727</v>
      </c>
      <c r="F746" s="352" t="s">
        <v>1995</v>
      </c>
      <c r="G746" s="352" t="s">
        <v>2094</v>
      </c>
      <c r="H746" s="352" t="s">
        <v>1520</v>
      </c>
      <c r="I746" s="352" t="s">
        <v>982</v>
      </c>
      <c r="J746" s="352" t="s">
        <v>983</v>
      </c>
      <c r="K746" s="352">
        <v>2211</v>
      </c>
      <c r="L746" s="352" t="s">
        <v>1883</v>
      </c>
      <c r="M746" s="352" t="s">
        <v>2171</v>
      </c>
      <c r="N746" s="352" t="s">
        <v>2076</v>
      </c>
      <c r="O746" s="352">
        <v>10</v>
      </c>
      <c r="P746" s="352" t="s">
        <v>2083</v>
      </c>
      <c r="Q746" s="352" t="s">
        <v>2062</v>
      </c>
      <c r="R746" s="251">
        <v>185.43199359635943</v>
      </c>
      <c r="S746" s="251" t="s">
        <v>2015</v>
      </c>
      <c r="T746" s="251" t="s">
        <v>2016</v>
      </c>
      <c r="U746" s="251" t="s">
        <v>1929</v>
      </c>
      <c r="V746" s="251" t="s">
        <v>1930</v>
      </c>
      <c r="X746" s="251">
        <v>0</v>
      </c>
    </row>
    <row r="747" spans="2:24" x14ac:dyDescent="0.2">
      <c r="B747" s="352" t="s">
        <v>874</v>
      </c>
      <c r="C747" s="352" t="s">
        <v>727</v>
      </c>
      <c r="F747" s="352" t="s">
        <v>1995</v>
      </c>
      <c r="G747" s="352" t="s">
        <v>2094</v>
      </c>
      <c r="H747" s="352" t="s">
        <v>1522</v>
      </c>
      <c r="I747" s="352" t="s">
        <v>984</v>
      </c>
      <c r="J747" s="352" t="s">
        <v>985</v>
      </c>
      <c r="K747" s="352">
        <v>2111</v>
      </c>
      <c r="L747" s="352" t="s">
        <v>1873</v>
      </c>
      <c r="M747" s="352" t="s">
        <v>2172</v>
      </c>
      <c r="N747" s="352" t="s">
        <v>2076</v>
      </c>
      <c r="O747" s="352">
        <v>11</v>
      </c>
      <c r="P747" s="352" t="s">
        <v>2084</v>
      </c>
      <c r="Q747" s="352" t="s">
        <v>2064</v>
      </c>
      <c r="R747" s="251">
        <v>23.440963639575795</v>
      </c>
      <c r="S747" s="251" t="s">
        <v>2015</v>
      </c>
      <c r="T747" s="251" t="s">
        <v>2016</v>
      </c>
      <c r="U747" s="251" t="s">
        <v>1929</v>
      </c>
      <c r="V747" s="251" t="s">
        <v>1930</v>
      </c>
      <c r="X747" s="251">
        <v>0</v>
      </c>
    </row>
    <row r="748" spans="2:24" x14ac:dyDescent="0.2">
      <c r="B748" s="352" t="s">
        <v>874</v>
      </c>
      <c r="C748" s="352" t="s">
        <v>727</v>
      </c>
      <c r="F748" s="352" t="s">
        <v>1995</v>
      </c>
      <c r="G748" s="352" t="s">
        <v>2094</v>
      </c>
      <c r="H748" s="352" t="s">
        <v>1522</v>
      </c>
      <c r="I748" s="352" t="s">
        <v>984</v>
      </c>
      <c r="J748" s="352" t="s">
        <v>985</v>
      </c>
      <c r="K748" s="352">
        <v>2121</v>
      </c>
      <c r="L748" s="352" t="s">
        <v>1876</v>
      </c>
      <c r="M748" s="352" t="s">
        <v>2173</v>
      </c>
      <c r="N748" s="352" t="s">
        <v>2076</v>
      </c>
      <c r="O748" s="352">
        <v>11</v>
      </c>
      <c r="P748" s="352" t="s">
        <v>2084</v>
      </c>
      <c r="Q748" s="352" t="s">
        <v>2064</v>
      </c>
      <c r="R748" s="251">
        <v>68.785281666039253</v>
      </c>
      <c r="S748" s="251" t="s">
        <v>2015</v>
      </c>
      <c r="T748" s="251" t="s">
        <v>2016</v>
      </c>
      <c r="U748" s="251" t="s">
        <v>1929</v>
      </c>
      <c r="V748" s="251" t="s">
        <v>1930</v>
      </c>
      <c r="X748" s="251">
        <v>0</v>
      </c>
    </row>
    <row r="749" spans="2:24" x14ac:dyDescent="0.2">
      <c r="B749" s="352" t="s">
        <v>874</v>
      </c>
      <c r="C749" s="352" t="s">
        <v>727</v>
      </c>
      <c r="F749" s="352" t="s">
        <v>1995</v>
      </c>
      <c r="G749" s="352" t="s">
        <v>2094</v>
      </c>
      <c r="H749" s="352" t="s">
        <v>1522</v>
      </c>
      <c r="I749" s="352" t="s">
        <v>984</v>
      </c>
      <c r="J749" s="352" t="s">
        <v>985</v>
      </c>
      <c r="K749" s="352">
        <v>2131</v>
      </c>
      <c r="L749" s="352" t="s">
        <v>1879</v>
      </c>
      <c r="M749" s="352" t="s">
        <v>2174</v>
      </c>
      <c r="N749" s="352" t="s">
        <v>2076</v>
      </c>
      <c r="O749" s="352">
        <v>11</v>
      </c>
      <c r="P749" s="352" t="s">
        <v>2084</v>
      </c>
      <c r="Q749" s="352" t="s">
        <v>2064</v>
      </c>
      <c r="R749" s="251">
        <v>118.06630488967352</v>
      </c>
      <c r="S749" s="251" t="s">
        <v>2015</v>
      </c>
      <c r="T749" s="251" t="s">
        <v>2016</v>
      </c>
      <c r="U749" s="251" t="s">
        <v>1929</v>
      </c>
      <c r="V749" s="251" t="s">
        <v>1930</v>
      </c>
      <c r="X749" s="251">
        <v>0</v>
      </c>
    </row>
    <row r="750" spans="2:24" x14ac:dyDescent="0.2">
      <c r="B750" s="352" t="s">
        <v>874</v>
      </c>
      <c r="C750" s="352" t="s">
        <v>727</v>
      </c>
      <c r="F750" s="352" t="s">
        <v>1995</v>
      </c>
      <c r="G750" s="352" t="s">
        <v>2094</v>
      </c>
      <c r="H750" s="352" t="s">
        <v>1522</v>
      </c>
      <c r="I750" s="352" t="s">
        <v>984</v>
      </c>
      <c r="J750" s="352" t="s">
        <v>985</v>
      </c>
      <c r="K750" s="352">
        <v>2211</v>
      </c>
      <c r="L750" s="352" t="s">
        <v>1883</v>
      </c>
      <c r="M750" s="352" t="s">
        <v>2175</v>
      </c>
      <c r="N750" s="352" t="s">
        <v>2076</v>
      </c>
      <c r="O750" s="352">
        <v>11</v>
      </c>
      <c r="P750" s="352" t="s">
        <v>2084</v>
      </c>
      <c r="Q750" s="352" t="s">
        <v>2064</v>
      </c>
      <c r="R750" s="251">
        <v>1483.4559487708755</v>
      </c>
      <c r="S750" s="251" t="s">
        <v>2015</v>
      </c>
      <c r="T750" s="251" t="s">
        <v>2016</v>
      </c>
      <c r="U750" s="251" t="s">
        <v>1929</v>
      </c>
      <c r="V750" s="251" t="s">
        <v>1930</v>
      </c>
      <c r="X750" s="251">
        <v>0</v>
      </c>
    </row>
    <row r="751" spans="2:24" x14ac:dyDescent="0.2">
      <c r="B751" s="352" t="s">
        <v>874</v>
      </c>
      <c r="C751" s="352" t="s">
        <v>727</v>
      </c>
      <c r="F751" s="352" t="s">
        <v>1995</v>
      </c>
      <c r="G751" s="352" t="s">
        <v>2094</v>
      </c>
      <c r="H751" s="352" t="s">
        <v>1524</v>
      </c>
      <c r="I751" s="352" t="s">
        <v>986</v>
      </c>
      <c r="J751" s="352" t="s">
        <v>987</v>
      </c>
      <c r="K751" s="352">
        <v>2112</v>
      </c>
      <c r="L751" s="352" t="s">
        <v>1874</v>
      </c>
      <c r="M751" s="352" t="s">
        <v>2176</v>
      </c>
      <c r="N751" s="352" t="s">
        <v>2076</v>
      </c>
      <c r="O751" s="352">
        <v>8</v>
      </c>
      <c r="P751" s="352" t="s">
        <v>2085</v>
      </c>
      <c r="Q751" s="352" t="s">
        <v>2068</v>
      </c>
      <c r="R751" s="251">
        <v>4.6574485808250996</v>
      </c>
      <c r="S751" s="251" t="s">
        <v>2015</v>
      </c>
      <c r="T751" s="251" t="s">
        <v>2016</v>
      </c>
      <c r="U751" s="251" t="s">
        <v>1931</v>
      </c>
      <c r="V751" s="251" t="s">
        <v>1932</v>
      </c>
      <c r="X751" s="251">
        <v>0</v>
      </c>
    </row>
    <row r="752" spans="2:24" x14ac:dyDescent="0.2">
      <c r="B752" s="352" t="s">
        <v>874</v>
      </c>
      <c r="C752" s="352" t="s">
        <v>727</v>
      </c>
      <c r="F752" s="352" t="s">
        <v>1995</v>
      </c>
      <c r="G752" s="352" t="s">
        <v>2094</v>
      </c>
      <c r="H752" s="352" t="s">
        <v>1524</v>
      </c>
      <c r="I752" s="352" t="s">
        <v>986</v>
      </c>
      <c r="J752" s="352" t="s">
        <v>987</v>
      </c>
      <c r="K752" s="352">
        <v>2122</v>
      </c>
      <c r="L752" s="352" t="s">
        <v>1877</v>
      </c>
      <c r="M752" s="352" t="s">
        <v>2177</v>
      </c>
      <c r="N752" s="352" t="s">
        <v>2076</v>
      </c>
      <c r="O752" s="352">
        <v>8</v>
      </c>
      <c r="P752" s="352" t="s">
        <v>2085</v>
      </c>
      <c r="Q752" s="352" t="s">
        <v>2068</v>
      </c>
      <c r="R752" s="251">
        <v>1325.0809259226364</v>
      </c>
      <c r="S752" s="251" t="s">
        <v>2015</v>
      </c>
      <c r="T752" s="251" t="s">
        <v>2016</v>
      </c>
      <c r="U752" s="251" t="s">
        <v>1931</v>
      </c>
      <c r="V752" s="251" t="s">
        <v>1932</v>
      </c>
      <c r="X752" s="251">
        <v>0</v>
      </c>
    </row>
    <row r="753" spans="2:24" x14ac:dyDescent="0.2">
      <c r="B753" s="352" t="s">
        <v>874</v>
      </c>
      <c r="C753" s="352" t="s">
        <v>727</v>
      </c>
      <c r="F753" s="352" t="s">
        <v>1995</v>
      </c>
      <c r="G753" s="352" t="s">
        <v>2094</v>
      </c>
      <c r="H753" s="352" t="s">
        <v>1526</v>
      </c>
      <c r="I753" s="352" t="s">
        <v>988</v>
      </c>
      <c r="J753" s="352" t="s">
        <v>989</v>
      </c>
      <c r="K753" s="352">
        <v>2112</v>
      </c>
      <c r="L753" s="352" t="s">
        <v>1874</v>
      </c>
      <c r="M753" s="352" t="s">
        <v>2178</v>
      </c>
      <c r="N753" s="352" t="s">
        <v>2076</v>
      </c>
      <c r="O753" s="352">
        <v>8</v>
      </c>
      <c r="P753" s="352" t="s">
        <v>2085</v>
      </c>
      <c r="Q753" s="352" t="s">
        <v>2068</v>
      </c>
      <c r="R753" s="251">
        <v>6.4039917986345118</v>
      </c>
      <c r="S753" s="251" t="s">
        <v>2015</v>
      </c>
      <c r="T753" s="251" t="s">
        <v>2016</v>
      </c>
      <c r="U753" s="251" t="s">
        <v>1931</v>
      </c>
      <c r="V753" s="251" t="s">
        <v>1932</v>
      </c>
      <c r="X753" s="251">
        <v>0</v>
      </c>
    </row>
    <row r="754" spans="2:24" x14ac:dyDescent="0.2">
      <c r="B754" s="352" t="s">
        <v>874</v>
      </c>
      <c r="C754" s="352" t="s">
        <v>727</v>
      </c>
      <c r="F754" s="352" t="s">
        <v>1995</v>
      </c>
      <c r="G754" s="352" t="s">
        <v>2094</v>
      </c>
      <c r="H754" s="352" t="s">
        <v>1526</v>
      </c>
      <c r="I754" s="352" t="s">
        <v>988</v>
      </c>
      <c r="J754" s="352" t="s">
        <v>989</v>
      </c>
      <c r="K754" s="352">
        <v>2122</v>
      </c>
      <c r="L754" s="352" t="s">
        <v>1877</v>
      </c>
      <c r="M754" s="352" t="s">
        <v>2179</v>
      </c>
      <c r="N754" s="352" t="s">
        <v>2076</v>
      </c>
      <c r="O754" s="352">
        <v>8</v>
      </c>
      <c r="P754" s="352" t="s">
        <v>2085</v>
      </c>
      <c r="Q754" s="352" t="s">
        <v>2068</v>
      </c>
      <c r="R754" s="251">
        <v>1821.9862731436251</v>
      </c>
      <c r="S754" s="251" t="s">
        <v>2015</v>
      </c>
      <c r="T754" s="251" t="s">
        <v>2016</v>
      </c>
      <c r="U754" s="251" t="s">
        <v>1931</v>
      </c>
      <c r="V754" s="251" t="s">
        <v>1932</v>
      </c>
      <c r="X754" s="251">
        <v>0</v>
      </c>
    </row>
    <row r="755" spans="2:24" x14ac:dyDescent="0.2">
      <c r="B755" s="352" t="s">
        <v>874</v>
      </c>
      <c r="C755" s="352" t="s">
        <v>727</v>
      </c>
      <c r="F755" s="352" t="s">
        <v>1995</v>
      </c>
      <c r="G755" s="352" t="s">
        <v>2094</v>
      </c>
      <c r="H755" s="352" t="s">
        <v>1528</v>
      </c>
      <c r="I755" s="352" t="s">
        <v>990</v>
      </c>
      <c r="J755" s="352" t="s">
        <v>991</v>
      </c>
      <c r="K755" s="352">
        <v>2132</v>
      </c>
      <c r="L755" s="352" t="s">
        <v>1880</v>
      </c>
      <c r="M755" s="352" t="s">
        <v>2180</v>
      </c>
      <c r="N755" s="352" t="s">
        <v>2076</v>
      </c>
      <c r="O755" s="352">
        <v>1</v>
      </c>
      <c r="P755" s="352" t="s">
        <v>2086</v>
      </c>
      <c r="Q755" s="352" t="s">
        <v>2066</v>
      </c>
      <c r="R755" s="251">
        <v>906.17841845488999</v>
      </c>
      <c r="S755" s="251" t="s">
        <v>2015</v>
      </c>
      <c r="T755" s="251" t="s">
        <v>2016</v>
      </c>
      <c r="U755" s="251" t="s">
        <v>1931</v>
      </c>
      <c r="V755" s="251" t="s">
        <v>1932</v>
      </c>
      <c r="X755" s="251">
        <v>0</v>
      </c>
    </row>
    <row r="756" spans="2:24" x14ac:dyDescent="0.2">
      <c r="B756" s="352" t="s">
        <v>874</v>
      </c>
      <c r="C756" s="352" t="s">
        <v>727</v>
      </c>
      <c r="F756" s="352" t="s">
        <v>1995</v>
      </c>
      <c r="G756" s="352" t="s">
        <v>2094</v>
      </c>
      <c r="H756" s="352" t="s">
        <v>1530</v>
      </c>
      <c r="I756" s="352" t="s">
        <v>994</v>
      </c>
      <c r="J756" s="352" t="s">
        <v>995</v>
      </c>
      <c r="K756" s="352">
        <v>2311</v>
      </c>
      <c r="L756" s="352" t="s">
        <v>1887</v>
      </c>
      <c r="M756" s="352" t="s">
        <v>2181</v>
      </c>
      <c r="N756" s="352" t="s">
        <v>2076</v>
      </c>
      <c r="O756" s="352">
        <v>8</v>
      </c>
      <c r="P756" s="352" t="s">
        <v>2085</v>
      </c>
      <c r="Q756" s="352" t="s">
        <v>2068</v>
      </c>
      <c r="R756" s="251">
        <v>0</v>
      </c>
      <c r="S756" s="251" t="s">
        <v>2015</v>
      </c>
      <c r="T756" s="251" t="s">
        <v>2054</v>
      </c>
      <c r="U756" s="251" t="s">
        <v>1943</v>
      </c>
      <c r="V756" s="251" t="s">
        <v>1944</v>
      </c>
      <c r="X756" s="251">
        <v>0</v>
      </c>
    </row>
    <row r="757" spans="2:24" x14ac:dyDescent="0.2">
      <c r="B757" s="352" t="s">
        <v>874</v>
      </c>
      <c r="C757" s="352" t="s">
        <v>727</v>
      </c>
      <c r="F757" s="352" t="s">
        <v>1995</v>
      </c>
      <c r="G757" s="352" t="s">
        <v>2094</v>
      </c>
      <c r="H757" s="352" t="s">
        <v>1532</v>
      </c>
      <c r="I757" s="352" t="s">
        <v>996</v>
      </c>
      <c r="J757" s="352" t="s">
        <v>997</v>
      </c>
      <c r="K757" s="352">
        <v>2311</v>
      </c>
      <c r="L757" s="352" t="s">
        <v>1887</v>
      </c>
      <c r="M757" s="352" t="s">
        <v>2182</v>
      </c>
      <c r="N757" s="352" t="s">
        <v>2076</v>
      </c>
      <c r="O757" s="352">
        <v>8</v>
      </c>
      <c r="P757" s="352" t="s">
        <v>2085</v>
      </c>
      <c r="Q757" s="352" t="s">
        <v>2068</v>
      </c>
      <c r="R757" s="251">
        <v>0</v>
      </c>
      <c r="S757" s="251" t="s">
        <v>2015</v>
      </c>
      <c r="T757" s="251" t="s">
        <v>2054</v>
      </c>
      <c r="U757" s="251" t="s">
        <v>1943</v>
      </c>
      <c r="V757" s="251" t="s">
        <v>1944</v>
      </c>
      <c r="X757" s="251">
        <v>0</v>
      </c>
    </row>
    <row r="758" spans="2:24" x14ac:dyDescent="0.2">
      <c r="B758" s="352" t="s">
        <v>874</v>
      </c>
      <c r="C758" s="352" t="s">
        <v>727</v>
      </c>
      <c r="F758" s="352" t="s">
        <v>1995</v>
      </c>
      <c r="G758" s="352" t="s">
        <v>2094</v>
      </c>
      <c r="H758" s="352" t="s">
        <v>1534</v>
      </c>
      <c r="I758" s="352" t="s">
        <v>998</v>
      </c>
      <c r="J758" s="352" t="s">
        <v>999</v>
      </c>
      <c r="K758" s="352">
        <v>2311</v>
      </c>
      <c r="L758" s="352" t="s">
        <v>1887</v>
      </c>
      <c r="M758" s="352" t="s">
        <v>2183</v>
      </c>
      <c r="N758" s="352" t="s">
        <v>2076</v>
      </c>
      <c r="O758" s="352">
        <v>8</v>
      </c>
      <c r="P758" s="352" t="s">
        <v>2085</v>
      </c>
      <c r="Q758" s="352" t="s">
        <v>2068</v>
      </c>
      <c r="R758" s="251">
        <v>0</v>
      </c>
      <c r="S758" s="251" t="s">
        <v>2015</v>
      </c>
      <c r="T758" s="251" t="s">
        <v>2054</v>
      </c>
      <c r="U758" s="251" t="s">
        <v>1943</v>
      </c>
      <c r="V758" s="251" t="s">
        <v>1944</v>
      </c>
      <c r="X758" s="251">
        <v>0</v>
      </c>
    </row>
    <row r="759" spans="2:24" x14ac:dyDescent="0.2">
      <c r="B759" s="352" t="s">
        <v>874</v>
      </c>
      <c r="C759" s="352" t="s">
        <v>727</v>
      </c>
      <c r="F759" s="352" t="s">
        <v>1995</v>
      </c>
      <c r="G759" s="352" t="s">
        <v>2094</v>
      </c>
      <c r="H759" s="352" t="s">
        <v>1534</v>
      </c>
      <c r="I759" s="352" t="s">
        <v>998</v>
      </c>
      <c r="J759" s="352" t="s">
        <v>999</v>
      </c>
      <c r="K759" s="352">
        <v>2312</v>
      </c>
      <c r="L759" s="352" t="s">
        <v>789</v>
      </c>
      <c r="M759" s="352" t="s">
        <v>2184</v>
      </c>
      <c r="N759" s="352" t="s">
        <v>2076</v>
      </c>
      <c r="O759" s="352">
        <v>8</v>
      </c>
      <c r="P759" s="352" t="s">
        <v>2085</v>
      </c>
      <c r="Q759" s="352" t="s">
        <v>2068</v>
      </c>
      <c r="R759" s="251">
        <v>0</v>
      </c>
      <c r="S759" s="251" t="s">
        <v>2015</v>
      </c>
      <c r="T759" s="251" t="s">
        <v>2054</v>
      </c>
      <c r="U759" s="251" t="s">
        <v>1943</v>
      </c>
      <c r="V759" s="251" t="s">
        <v>1944</v>
      </c>
      <c r="X759" s="251">
        <v>0</v>
      </c>
    </row>
    <row r="760" spans="2:24" x14ac:dyDescent="0.2">
      <c r="B760" s="352" t="s">
        <v>874</v>
      </c>
      <c r="C760" s="352" t="s">
        <v>727</v>
      </c>
      <c r="F760" s="352" t="s">
        <v>1995</v>
      </c>
      <c r="G760" s="352" t="s">
        <v>2094</v>
      </c>
      <c r="H760" s="352" t="s">
        <v>1536</v>
      </c>
      <c r="I760" s="352" t="s">
        <v>1000</v>
      </c>
      <c r="J760" s="352" t="s">
        <v>1001</v>
      </c>
      <c r="K760" s="352">
        <v>2141</v>
      </c>
      <c r="L760" s="352" t="s">
        <v>1882</v>
      </c>
      <c r="M760" s="352" t="s">
        <v>2185</v>
      </c>
      <c r="N760" s="352" t="s">
        <v>2076</v>
      </c>
      <c r="O760" s="352">
        <v>12</v>
      </c>
      <c r="P760" s="352" t="s">
        <v>2087</v>
      </c>
      <c r="Q760" s="352" t="s">
        <v>2070</v>
      </c>
      <c r="R760" s="251">
        <v>0</v>
      </c>
      <c r="S760" s="251" t="s">
        <v>2015</v>
      </c>
      <c r="T760" s="251" t="s">
        <v>2054</v>
      </c>
      <c r="U760" s="251" t="s">
        <v>1935</v>
      </c>
      <c r="V760" s="251" t="s">
        <v>1936</v>
      </c>
      <c r="X760" s="251">
        <v>0</v>
      </c>
    </row>
    <row r="761" spans="2:24" x14ac:dyDescent="0.2">
      <c r="B761" s="352" t="s">
        <v>874</v>
      </c>
      <c r="C761" s="352" t="s">
        <v>727</v>
      </c>
      <c r="F761" s="352" t="s">
        <v>1995</v>
      </c>
      <c r="G761" s="352" t="s">
        <v>2094</v>
      </c>
      <c r="H761" s="352" t="s">
        <v>1536</v>
      </c>
      <c r="I761" s="352" t="s">
        <v>1000</v>
      </c>
      <c r="J761" s="352" t="s">
        <v>1001</v>
      </c>
      <c r="K761" s="352">
        <v>2142</v>
      </c>
      <c r="L761" s="352" t="s">
        <v>780</v>
      </c>
      <c r="M761" s="352" t="s">
        <v>2186</v>
      </c>
      <c r="N761" s="352" t="s">
        <v>2076</v>
      </c>
      <c r="O761" s="352">
        <v>12</v>
      </c>
      <c r="P761" s="352" t="s">
        <v>2087</v>
      </c>
      <c r="Q761" s="352" t="s">
        <v>2070</v>
      </c>
      <c r="R761" s="251">
        <v>0</v>
      </c>
      <c r="S761" s="251" t="s">
        <v>2015</v>
      </c>
      <c r="T761" s="251" t="s">
        <v>2054</v>
      </c>
      <c r="U761" s="251">
        <v>0</v>
      </c>
      <c r="V761" s="251" t="s">
        <v>2153</v>
      </c>
      <c r="X761" s="251">
        <v>0</v>
      </c>
    </row>
    <row r="762" spans="2:24" x14ac:dyDescent="0.2">
      <c r="B762" s="352" t="s">
        <v>874</v>
      </c>
      <c r="C762" s="352" t="s">
        <v>727</v>
      </c>
      <c r="F762" s="352" t="s">
        <v>1995</v>
      </c>
      <c r="G762" s="352" t="s">
        <v>2094</v>
      </c>
      <c r="H762" s="352" t="s">
        <v>1538</v>
      </c>
      <c r="I762" s="352" t="s">
        <v>1002</v>
      </c>
      <c r="J762" s="352" t="s">
        <v>1003</v>
      </c>
      <c r="K762" s="352">
        <v>2113</v>
      </c>
      <c r="L762" s="352" t="s">
        <v>1875</v>
      </c>
      <c r="M762" s="352" t="s">
        <v>2187</v>
      </c>
      <c r="N762" s="352" t="s">
        <v>2076</v>
      </c>
      <c r="O762" s="352">
        <v>1</v>
      </c>
      <c r="P762" s="352" t="s">
        <v>2086</v>
      </c>
      <c r="Q762" s="352" t="s">
        <v>2066</v>
      </c>
      <c r="R762" s="251">
        <v>10.166975600630259</v>
      </c>
      <c r="S762" s="251" t="s">
        <v>2015</v>
      </c>
      <c r="T762" s="251" t="s">
        <v>2016</v>
      </c>
      <c r="U762" s="251" t="s">
        <v>1935</v>
      </c>
      <c r="V762" s="251" t="s">
        <v>1936</v>
      </c>
      <c r="X762" s="251">
        <v>0</v>
      </c>
    </row>
    <row r="763" spans="2:24" x14ac:dyDescent="0.2">
      <c r="B763" s="352" t="s">
        <v>874</v>
      </c>
      <c r="C763" s="352" t="s">
        <v>727</v>
      </c>
      <c r="F763" s="352" t="s">
        <v>1995</v>
      </c>
      <c r="G763" s="352" t="s">
        <v>2094</v>
      </c>
      <c r="H763" s="352" t="s">
        <v>1538</v>
      </c>
      <c r="I763" s="352" t="s">
        <v>1002</v>
      </c>
      <c r="J763" s="352" t="s">
        <v>1003</v>
      </c>
      <c r="K763" s="352">
        <v>2123</v>
      </c>
      <c r="L763" s="352" t="s">
        <v>1878</v>
      </c>
      <c r="M763" s="352" t="s">
        <v>2188</v>
      </c>
      <c r="N763" s="352" t="s">
        <v>2076</v>
      </c>
      <c r="O763" s="352">
        <v>1</v>
      </c>
      <c r="P763" s="352" t="s">
        <v>2086</v>
      </c>
      <c r="Q763" s="352" t="s">
        <v>2066</v>
      </c>
      <c r="R763" s="251">
        <v>113.30895482033813</v>
      </c>
      <c r="S763" s="251" t="s">
        <v>2015</v>
      </c>
      <c r="T763" s="251" t="s">
        <v>2016</v>
      </c>
      <c r="U763" s="251" t="s">
        <v>1935</v>
      </c>
      <c r="V763" s="251" t="s">
        <v>1936</v>
      </c>
      <c r="X763" s="251">
        <v>0</v>
      </c>
    </row>
    <row r="764" spans="2:24" x14ac:dyDescent="0.2">
      <c r="B764" s="352" t="s">
        <v>874</v>
      </c>
      <c r="C764" s="352" t="s">
        <v>727</v>
      </c>
      <c r="F764" s="352" t="s">
        <v>1995</v>
      </c>
      <c r="G764" s="352" t="s">
        <v>2094</v>
      </c>
      <c r="H764" s="352" t="s">
        <v>1540</v>
      </c>
      <c r="I764" s="352" t="s">
        <v>1006</v>
      </c>
      <c r="J764" s="352" t="s">
        <v>1007</v>
      </c>
      <c r="K764" s="352">
        <v>2133</v>
      </c>
      <c r="L764" s="352" t="s">
        <v>1881</v>
      </c>
      <c r="M764" s="352" t="s">
        <v>2189</v>
      </c>
      <c r="N764" s="352" t="s">
        <v>2076</v>
      </c>
      <c r="O764" s="352">
        <v>1</v>
      </c>
      <c r="P764" s="352" t="s">
        <v>2086</v>
      </c>
      <c r="Q764" s="352" t="s">
        <v>2066</v>
      </c>
      <c r="R764" s="251">
        <v>1312.7243095025176</v>
      </c>
      <c r="S764" s="251" t="s">
        <v>2015</v>
      </c>
      <c r="T764" s="251" t="s">
        <v>2016</v>
      </c>
      <c r="U764" s="251" t="s">
        <v>1935</v>
      </c>
      <c r="V764" s="251" t="s">
        <v>1936</v>
      </c>
      <c r="X764" s="251">
        <v>0</v>
      </c>
    </row>
    <row r="765" spans="2:24" x14ac:dyDescent="0.2">
      <c r="B765" s="352" t="s">
        <v>874</v>
      </c>
      <c r="C765" s="352" t="s">
        <v>727</v>
      </c>
      <c r="F765" s="352" t="s">
        <v>1995</v>
      </c>
      <c r="G765" s="352" t="s">
        <v>2094</v>
      </c>
      <c r="H765" s="352" t="s">
        <v>1540</v>
      </c>
      <c r="I765" s="352" t="s">
        <v>1006</v>
      </c>
      <c r="J765" s="352" t="s">
        <v>1007</v>
      </c>
      <c r="K765" s="352">
        <v>2141</v>
      </c>
      <c r="L765" s="352" t="s">
        <v>1882</v>
      </c>
      <c r="M765" s="352" t="s">
        <v>2190</v>
      </c>
      <c r="N765" s="352" t="s">
        <v>2076</v>
      </c>
      <c r="O765" s="352">
        <v>1</v>
      </c>
      <c r="P765" s="352" t="s">
        <v>2086</v>
      </c>
      <c r="Q765" s="352" t="s">
        <v>2066</v>
      </c>
      <c r="R765" s="251">
        <v>0</v>
      </c>
      <c r="S765" s="251" t="s">
        <v>2015</v>
      </c>
      <c r="T765" s="251" t="s">
        <v>2054</v>
      </c>
      <c r="U765" s="251" t="s">
        <v>1935</v>
      </c>
      <c r="V765" s="251" t="s">
        <v>1936</v>
      </c>
      <c r="X765" s="251">
        <v>0</v>
      </c>
    </row>
    <row r="766" spans="2:24" x14ac:dyDescent="0.2">
      <c r="B766" s="352" t="s">
        <v>874</v>
      </c>
      <c r="C766" s="352" t="s">
        <v>727</v>
      </c>
      <c r="F766" s="352" t="s">
        <v>1995</v>
      </c>
      <c r="G766" s="352" t="s">
        <v>2094</v>
      </c>
      <c r="H766" s="352" t="s">
        <v>1540</v>
      </c>
      <c r="I766" s="352" t="s">
        <v>1006</v>
      </c>
      <c r="J766" s="352" t="s">
        <v>1007</v>
      </c>
      <c r="K766" s="352">
        <v>2221</v>
      </c>
      <c r="L766" s="352" t="s">
        <v>1884</v>
      </c>
      <c r="M766" s="352" t="s">
        <v>2191</v>
      </c>
      <c r="N766" s="352" t="s">
        <v>2076</v>
      </c>
      <c r="O766" s="352">
        <v>1</v>
      </c>
      <c r="P766" s="352" t="s">
        <v>2086</v>
      </c>
      <c r="Q766" s="352" t="s">
        <v>2066</v>
      </c>
      <c r="R766" s="251">
        <v>2526.2369276108479</v>
      </c>
      <c r="S766" s="251" t="s">
        <v>2015</v>
      </c>
      <c r="T766" s="251" t="s">
        <v>2016</v>
      </c>
      <c r="U766" s="251" t="s">
        <v>1935</v>
      </c>
      <c r="V766" s="251" t="s">
        <v>1936</v>
      </c>
      <c r="X766" s="251">
        <v>0</v>
      </c>
    </row>
    <row r="767" spans="2:24" x14ac:dyDescent="0.2">
      <c r="B767" s="352" t="s">
        <v>874</v>
      </c>
      <c r="C767" s="352" t="s">
        <v>727</v>
      </c>
      <c r="F767" s="352" t="s">
        <v>1995</v>
      </c>
      <c r="G767" s="352" t="s">
        <v>2094</v>
      </c>
      <c r="H767" s="352" t="s">
        <v>1542</v>
      </c>
      <c r="I767" s="352" t="s">
        <v>1008</v>
      </c>
      <c r="J767" s="352" t="s">
        <v>1009</v>
      </c>
      <c r="K767" s="352">
        <v>2223</v>
      </c>
      <c r="L767" s="352" t="s">
        <v>1886</v>
      </c>
      <c r="M767" s="352" t="s">
        <v>2192</v>
      </c>
      <c r="N767" s="352" t="s">
        <v>2076</v>
      </c>
      <c r="O767" s="352">
        <v>2</v>
      </c>
      <c r="P767" s="352" t="s">
        <v>2088</v>
      </c>
      <c r="Q767" s="352" t="s">
        <v>2072</v>
      </c>
      <c r="R767" s="251">
        <v>364.76678371669635</v>
      </c>
      <c r="S767" s="251" t="s">
        <v>2193</v>
      </c>
      <c r="T767" s="251" t="s">
        <v>2213</v>
      </c>
      <c r="U767" s="251" t="s">
        <v>1937</v>
      </c>
      <c r="V767" s="251" t="s">
        <v>1938</v>
      </c>
      <c r="X767" s="251">
        <v>0</v>
      </c>
    </row>
    <row r="768" spans="2:24" x14ac:dyDescent="0.2">
      <c r="B768" s="352" t="s">
        <v>874</v>
      </c>
      <c r="C768" s="352" t="s">
        <v>727</v>
      </c>
      <c r="F768" s="352" t="s">
        <v>1995</v>
      </c>
      <c r="G768" s="352" t="s">
        <v>2094</v>
      </c>
      <c r="H768" s="352" t="s">
        <v>1544</v>
      </c>
      <c r="I768" s="352" t="s">
        <v>1010</v>
      </c>
      <c r="J768" s="352" t="s">
        <v>1011</v>
      </c>
      <c r="K768" s="352">
        <v>2222</v>
      </c>
      <c r="L768" s="352" t="s">
        <v>1885</v>
      </c>
      <c r="M768" s="352" t="s">
        <v>2194</v>
      </c>
      <c r="N768" s="352" t="s">
        <v>2076</v>
      </c>
      <c r="O768" s="352">
        <v>2</v>
      </c>
      <c r="P768" s="352" t="s">
        <v>2088</v>
      </c>
      <c r="Q768" s="352" t="s">
        <v>2072</v>
      </c>
      <c r="R768" s="251">
        <v>0</v>
      </c>
      <c r="S768" s="251" t="s">
        <v>2193</v>
      </c>
      <c r="T768" s="251" t="s">
        <v>2054</v>
      </c>
      <c r="U768" s="251" t="s">
        <v>1939</v>
      </c>
      <c r="V768" s="251" t="s">
        <v>1940</v>
      </c>
      <c r="X768" s="251">
        <v>0</v>
      </c>
    </row>
    <row r="769" spans="2:24" x14ac:dyDescent="0.2">
      <c r="B769" s="352" t="s">
        <v>874</v>
      </c>
      <c r="C769" s="352" t="s">
        <v>727</v>
      </c>
      <c r="F769" s="352" t="s">
        <v>1995</v>
      </c>
      <c r="G769" s="352" t="s">
        <v>2094</v>
      </c>
      <c r="H769" s="352" t="s">
        <v>1546</v>
      </c>
      <c r="I769" s="352" t="s">
        <v>1012</v>
      </c>
      <c r="J769" s="352" t="s">
        <v>1013</v>
      </c>
      <c r="K769" s="352">
        <v>2222</v>
      </c>
      <c r="L769" s="352" t="s">
        <v>1885</v>
      </c>
      <c r="M769" s="352" t="s">
        <v>2195</v>
      </c>
      <c r="N769" s="352" t="s">
        <v>2076</v>
      </c>
      <c r="O769" s="352">
        <v>2</v>
      </c>
      <c r="P769" s="352" t="s">
        <v>2088</v>
      </c>
      <c r="Q769" s="352" t="s">
        <v>2072</v>
      </c>
      <c r="R769" s="251">
        <v>0</v>
      </c>
      <c r="S769" s="251" t="s">
        <v>2193</v>
      </c>
      <c r="T769" s="251" t="s">
        <v>2054</v>
      </c>
      <c r="U769" s="251" t="s">
        <v>1939</v>
      </c>
      <c r="V769" s="251" t="s">
        <v>1940</v>
      </c>
      <c r="X769" s="251">
        <v>0</v>
      </c>
    </row>
    <row r="770" spans="2:24" x14ac:dyDescent="0.2">
      <c r="B770" s="352" t="s">
        <v>874</v>
      </c>
      <c r="C770" s="352" t="s">
        <v>727</v>
      </c>
      <c r="F770" s="352" t="s">
        <v>1995</v>
      </c>
      <c r="G770" s="352" t="s">
        <v>2094</v>
      </c>
      <c r="H770" s="352" t="s">
        <v>1548</v>
      </c>
      <c r="I770" s="352" t="s">
        <v>1014</v>
      </c>
      <c r="J770" s="352" t="s">
        <v>1893</v>
      </c>
      <c r="K770" s="352">
        <v>2131</v>
      </c>
      <c r="L770" s="352" t="s">
        <v>1879</v>
      </c>
      <c r="M770" s="352" t="s">
        <v>2196</v>
      </c>
      <c r="N770" s="352" t="s">
        <v>2076</v>
      </c>
      <c r="O770" s="352">
        <v>8</v>
      </c>
      <c r="P770" s="352" t="s">
        <v>2085</v>
      </c>
      <c r="Q770" s="352" t="s">
        <v>2068</v>
      </c>
      <c r="R770" s="251">
        <v>0</v>
      </c>
      <c r="S770" s="251" t="s">
        <v>2015</v>
      </c>
      <c r="T770" s="251" t="s">
        <v>2054</v>
      </c>
      <c r="U770" s="251" t="s">
        <v>1929</v>
      </c>
      <c r="V770" s="251" t="s">
        <v>1930</v>
      </c>
      <c r="X770" s="251">
        <v>0</v>
      </c>
    </row>
    <row r="771" spans="2:24" x14ac:dyDescent="0.2">
      <c r="B771" s="352" t="s">
        <v>874</v>
      </c>
      <c r="C771" s="352" t="s">
        <v>727</v>
      </c>
      <c r="F771" s="352" t="s">
        <v>1995</v>
      </c>
      <c r="G771" s="352" t="s">
        <v>2094</v>
      </c>
      <c r="H771" s="352" t="s">
        <v>1548</v>
      </c>
      <c r="I771" s="352" t="s">
        <v>1014</v>
      </c>
      <c r="J771" s="352" t="s">
        <v>1893</v>
      </c>
      <c r="K771" s="352">
        <v>2132</v>
      </c>
      <c r="L771" s="352" t="s">
        <v>1880</v>
      </c>
      <c r="M771" s="352" t="s">
        <v>2197</v>
      </c>
      <c r="N771" s="352" t="s">
        <v>2076</v>
      </c>
      <c r="O771" s="352">
        <v>8</v>
      </c>
      <c r="P771" s="352" t="s">
        <v>2085</v>
      </c>
      <c r="Q771" s="352" t="s">
        <v>2068</v>
      </c>
      <c r="R771" s="251">
        <v>0</v>
      </c>
      <c r="S771" s="251" t="s">
        <v>2015</v>
      </c>
      <c r="T771" s="251" t="s">
        <v>2054</v>
      </c>
      <c r="U771" s="251" t="s">
        <v>1931</v>
      </c>
      <c r="V771" s="251" t="s">
        <v>1932</v>
      </c>
      <c r="X771" s="251">
        <v>0</v>
      </c>
    </row>
    <row r="772" spans="2:24" x14ac:dyDescent="0.2">
      <c r="B772" s="352" t="s">
        <v>874</v>
      </c>
      <c r="C772" s="352" t="s">
        <v>727</v>
      </c>
      <c r="F772" s="352" t="s">
        <v>1995</v>
      </c>
      <c r="G772" s="352" t="s">
        <v>2094</v>
      </c>
      <c r="H772" s="352" t="s">
        <v>1548</v>
      </c>
      <c r="I772" s="352" t="s">
        <v>1014</v>
      </c>
      <c r="J772" s="352" t="s">
        <v>1893</v>
      </c>
      <c r="K772" s="352">
        <v>2133</v>
      </c>
      <c r="L772" s="352" t="s">
        <v>1881</v>
      </c>
      <c r="M772" s="352" t="s">
        <v>2198</v>
      </c>
      <c r="N772" s="352" t="s">
        <v>2076</v>
      </c>
      <c r="O772" s="352">
        <v>8</v>
      </c>
      <c r="P772" s="352" t="s">
        <v>2085</v>
      </c>
      <c r="Q772" s="352" t="s">
        <v>2068</v>
      </c>
      <c r="R772" s="251">
        <v>0</v>
      </c>
      <c r="S772" s="251" t="s">
        <v>2015</v>
      </c>
      <c r="T772" s="251" t="s">
        <v>2054</v>
      </c>
      <c r="U772" s="251" t="s">
        <v>1935</v>
      </c>
      <c r="V772" s="251" t="s">
        <v>1936</v>
      </c>
      <c r="X772" s="251">
        <v>0</v>
      </c>
    </row>
    <row r="773" spans="2:24" x14ac:dyDescent="0.2">
      <c r="B773" s="352" t="s">
        <v>874</v>
      </c>
      <c r="C773" s="352" t="s">
        <v>727</v>
      </c>
      <c r="F773" s="352" t="s">
        <v>1995</v>
      </c>
      <c r="G773" s="352" t="s">
        <v>2094</v>
      </c>
      <c r="H773" s="352" t="s">
        <v>1548</v>
      </c>
      <c r="I773" s="352" t="s">
        <v>1014</v>
      </c>
      <c r="J773" s="352" t="s">
        <v>1893</v>
      </c>
      <c r="K773" s="352">
        <v>2134</v>
      </c>
      <c r="L773" s="352" t="s">
        <v>775</v>
      </c>
      <c r="M773" s="352" t="s">
        <v>2199</v>
      </c>
      <c r="N773" s="352" t="s">
        <v>2076</v>
      </c>
      <c r="O773" s="352">
        <v>8</v>
      </c>
      <c r="P773" s="352" t="s">
        <v>2085</v>
      </c>
      <c r="Q773" s="352" t="s">
        <v>2068</v>
      </c>
      <c r="R773" s="251">
        <v>0</v>
      </c>
      <c r="S773" s="251" t="s">
        <v>2015</v>
      </c>
      <c r="T773" s="251" t="s">
        <v>2054</v>
      </c>
      <c r="U773" s="251">
        <v>0</v>
      </c>
      <c r="V773" s="251" t="s">
        <v>2153</v>
      </c>
      <c r="X773" s="251">
        <v>0</v>
      </c>
    </row>
    <row r="774" spans="2:24" x14ac:dyDescent="0.2">
      <c r="B774" s="352" t="s">
        <v>874</v>
      </c>
      <c r="C774" s="352" t="s">
        <v>727</v>
      </c>
      <c r="F774" s="352" t="s">
        <v>1995</v>
      </c>
      <c r="G774" s="352" t="s">
        <v>2094</v>
      </c>
      <c r="H774" s="352" t="s">
        <v>1548</v>
      </c>
      <c r="I774" s="352" t="s">
        <v>1014</v>
      </c>
      <c r="J774" s="352" t="s">
        <v>1893</v>
      </c>
      <c r="K774" s="352">
        <v>2141</v>
      </c>
      <c r="L774" s="352" t="s">
        <v>1882</v>
      </c>
      <c r="M774" s="352" t="s">
        <v>2200</v>
      </c>
      <c r="N774" s="352" t="s">
        <v>2076</v>
      </c>
      <c r="O774" s="352">
        <v>8</v>
      </c>
      <c r="P774" s="352" t="s">
        <v>2085</v>
      </c>
      <c r="Q774" s="352" t="s">
        <v>2068</v>
      </c>
      <c r="R774" s="251">
        <v>0</v>
      </c>
      <c r="S774" s="251" t="s">
        <v>2015</v>
      </c>
      <c r="T774" s="251" t="s">
        <v>2054</v>
      </c>
      <c r="U774" s="251" t="s">
        <v>1935</v>
      </c>
      <c r="V774" s="251" t="s">
        <v>1936</v>
      </c>
      <c r="X774" s="251">
        <v>0</v>
      </c>
    </row>
    <row r="775" spans="2:24" x14ac:dyDescent="0.2">
      <c r="B775" s="352" t="s">
        <v>874</v>
      </c>
      <c r="C775" s="352" t="s">
        <v>727</v>
      </c>
      <c r="F775" s="352" t="s">
        <v>1995</v>
      </c>
      <c r="G775" s="352" t="s">
        <v>2094</v>
      </c>
      <c r="H775" s="352" t="s">
        <v>1548</v>
      </c>
      <c r="I775" s="352" t="s">
        <v>1014</v>
      </c>
      <c r="J775" s="352" t="s">
        <v>1893</v>
      </c>
      <c r="K775" s="352">
        <v>2211</v>
      </c>
      <c r="L775" s="352" t="s">
        <v>1883</v>
      </c>
      <c r="M775" s="352" t="s">
        <v>2201</v>
      </c>
      <c r="N775" s="352" t="s">
        <v>2076</v>
      </c>
      <c r="O775" s="352">
        <v>8</v>
      </c>
      <c r="P775" s="352" t="s">
        <v>2085</v>
      </c>
      <c r="Q775" s="352" t="s">
        <v>2068</v>
      </c>
      <c r="R775" s="251">
        <v>0</v>
      </c>
      <c r="S775" s="251" t="s">
        <v>2015</v>
      </c>
      <c r="T775" s="251" t="s">
        <v>2054</v>
      </c>
      <c r="U775" s="251" t="s">
        <v>1929</v>
      </c>
      <c r="V775" s="251" t="s">
        <v>1930</v>
      </c>
      <c r="X775" s="251">
        <v>0</v>
      </c>
    </row>
    <row r="776" spans="2:24" x14ac:dyDescent="0.2">
      <c r="B776" s="352" t="s">
        <v>874</v>
      </c>
      <c r="C776" s="352" t="s">
        <v>727</v>
      </c>
      <c r="F776" s="352" t="s">
        <v>1995</v>
      </c>
      <c r="G776" s="352" t="s">
        <v>2094</v>
      </c>
      <c r="H776" s="352" t="s">
        <v>1548</v>
      </c>
      <c r="I776" s="352" t="s">
        <v>1014</v>
      </c>
      <c r="J776" s="352" t="s">
        <v>1893</v>
      </c>
      <c r="K776" s="352">
        <v>2221</v>
      </c>
      <c r="L776" s="352" t="s">
        <v>1884</v>
      </c>
      <c r="M776" s="352" t="s">
        <v>2202</v>
      </c>
      <c r="N776" s="352" t="s">
        <v>2076</v>
      </c>
      <c r="O776" s="352">
        <v>8</v>
      </c>
      <c r="P776" s="352" t="s">
        <v>2085</v>
      </c>
      <c r="Q776" s="352" t="s">
        <v>2068</v>
      </c>
      <c r="R776" s="251">
        <v>0</v>
      </c>
      <c r="S776" s="251" t="s">
        <v>2015</v>
      </c>
      <c r="T776" s="251" t="s">
        <v>2054</v>
      </c>
      <c r="U776" s="251" t="s">
        <v>1935</v>
      </c>
      <c r="V776" s="251" t="s">
        <v>1936</v>
      </c>
      <c r="X776" s="251">
        <v>0</v>
      </c>
    </row>
    <row r="777" spans="2:24" x14ac:dyDescent="0.2">
      <c r="B777" s="352" t="s">
        <v>874</v>
      </c>
      <c r="C777" s="352" t="s">
        <v>727</v>
      </c>
      <c r="F777" s="352" t="s">
        <v>1995</v>
      </c>
      <c r="G777" s="352" t="s">
        <v>2094</v>
      </c>
      <c r="H777" s="352" t="s">
        <v>1550</v>
      </c>
      <c r="I777" s="352" t="s">
        <v>1015</v>
      </c>
      <c r="J777" s="352" t="s">
        <v>1016</v>
      </c>
      <c r="K777" s="352">
        <v>3111</v>
      </c>
      <c r="L777" s="352" t="s">
        <v>763</v>
      </c>
      <c r="M777" s="352" t="s">
        <v>2203</v>
      </c>
      <c r="N777" s="352" t="s">
        <v>2076</v>
      </c>
      <c r="O777" s="352">
        <v>1</v>
      </c>
      <c r="P777" s="352" t="s">
        <v>2086</v>
      </c>
      <c r="Q777" s="352" t="s">
        <v>2066</v>
      </c>
      <c r="R777" s="251">
        <v>0</v>
      </c>
      <c r="S777" s="251"/>
      <c r="T777" s="251" t="s">
        <v>2054</v>
      </c>
      <c r="U777" s="251" t="s">
        <v>1945</v>
      </c>
      <c r="V777" s="251" t="s">
        <v>709</v>
      </c>
      <c r="X777" s="251">
        <v>0</v>
      </c>
    </row>
    <row r="778" spans="2:24" x14ac:dyDescent="0.2">
      <c r="B778" s="352" t="s">
        <v>874</v>
      </c>
      <c r="C778" s="352" t="s">
        <v>727</v>
      </c>
      <c r="F778" s="352" t="s">
        <v>1995</v>
      </c>
      <c r="G778" s="352" t="s">
        <v>2094</v>
      </c>
      <c r="H778" s="352" t="s">
        <v>1550</v>
      </c>
      <c r="I778" s="352" t="s">
        <v>1015</v>
      </c>
      <c r="J778" s="352" t="s">
        <v>1016</v>
      </c>
      <c r="K778" s="352">
        <v>3121</v>
      </c>
      <c r="L778" s="352" t="s">
        <v>766</v>
      </c>
      <c r="M778" s="352" t="s">
        <v>2204</v>
      </c>
      <c r="N778" s="352" t="s">
        <v>2076</v>
      </c>
      <c r="O778" s="352">
        <v>1</v>
      </c>
      <c r="P778" s="352" t="s">
        <v>2086</v>
      </c>
      <c r="Q778" s="352" t="s">
        <v>2066</v>
      </c>
      <c r="R778" s="251">
        <v>0</v>
      </c>
      <c r="S778" s="251"/>
      <c r="T778" s="251" t="s">
        <v>2054</v>
      </c>
      <c r="U778" s="251" t="s">
        <v>1945</v>
      </c>
      <c r="V778" s="251" t="s">
        <v>709</v>
      </c>
      <c r="X778" s="251">
        <v>0</v>
      </c>
    </row>
    <row r="779" spans="2:24" x14ac:dyDescent="0.2">
      <c r="B779" s="352" t="s">
        <v>874</v>
      </c>
      <c r="C779" s="352" t="s">
        <v>727</v>
      </c>
      <c r="F779" s="352" t="s">
        <v>1995</v>
      </c>
      <c r="G779" s="352" t="s">
        <v>2094</v>
      </c>
      <c r="H779" s="352" t="s">
        <v>1552</v>
      </c>
      <c r="I779" s="352" t="s">
        <v>1017</v>
      </c>
      <c r="J779" s="352" t="s">
        <v>1018</v>
      </c>
      <c r="K779" s="352">
        <v>4111</v>
      </c>
      <c r="L779" s="352" t="s">
        <v>770</v>
      </c>
      <c r="M779" s="352" t="s">
        <v>2205</v>
      </c>
      <c r="N779" s="352" t="s">
        <v>2076</v>
      </c>
      <c r="O779" s="352">
        <v>11</v>
      </c>
      <c r="P779" s="352" t="s">
        <v>2084</v>
      </c>
      <c r="Q779" s="352" t="s">
        <v>2064</v>
      </c>
      <c r="R779" s="251">
        <v>0.8461330010158018</v>
      </c>
      <c r="S779" s="251" t="s">
        <v>2015</v>
      </c>
      <c r="T779" s="251" t="s">
        <v>2016</v>
      </c>
      <c r="U779" s="251" t="s">
        <v>1946</v>
      </c>
      <c r="V779" s="251" t="s">
        <v>1947</v>
      </c>
      <c r="X779" s="251">
        <v>0</v>
      </c>
    </row>
    <row r="780" spans="2:24" x14ac:dyDescent="0.2">
      <c r="B780" s="352" t="s">
        <v>874</v>
      </c>
      <c r="C780" s="352" t="s">
        <v>727</v>
      </c>
      <c r="F780" s="352" t="s">
        <v>1995</v>
      </c>
      <c r="G780" s="352" t="s">
        <v>2094</v>
      </c>
      <c r="H780" s="352" t="s">
        <v>1552</v>
      </c>
      <c r="I780" s="352" t="s">
        <v>1017</v>
      </c>
      <c r="J780" s="352" t="s">
        <v>1018</v>
      </c>
      <c r="K780" s="352">
        <v>4121</v>
      </c>
      <c r="L780" s="352" t="s">
        <v>772</v>
      </c>
      <c r="M780" s="352" t="s">
        <v>2206</v>
      </c>
      <c r="N780" s="352" t="s">
        <v>2076</v>
      </c>
      <c r="O780" s="352">
        <v>11</v>
      </c>
      <c r="P780" s="352" t="s">
        <v>2084</v>
      </c>
      <c r="Q780" s="352" t="s">
        <v>2064</v>
      </c>
      <c r="R780" s="251">
        <v>2.6029909153188884</v>
      </c>
      <c r="S780" s="251" t="s">
        <v>2015</v>
      </c>
      <c r="T780" s="251" t="s">
        <v>2016</v>
      </c>
      <c r="U780" s="251" t="s">
        <v>1946</v>
      </c>
      <c r="V780" s="251" t="s">
        <v>1947</v>
      </c>
      <c r="X780" s="251">
        <v>0</v>
      </c>
    </row>
    <row r="781" spans="2:24" x14ac:dyDescent="0.2">
      <c r="B781" s="352" t="s">
        <v>874</v>
      </c>
      <c r="C781" s="352" t="s">
        <v>727</v>
      </c>
      <c r="F781" s="352" t="s">
        <v>1995</v>
      </c>
      <c r="G781" s="352" t="s">
        <v>2094</v>
      </c>
      <c r="H781" s="352" t="s">
        <v>1554</v>
      </c>
      <c r="I781" s="352" t="s">
        <v>1019</v>
      </c>
      <c r="J781" s="352" t="s">
        <v>1020</v>
      </c>
      <c r="K781" s="352">
        <v>4231</v>
      </c>
      <c r="L781" s="352" t="s">
        <v>774</v>
      </c>
      <c r="M781" s="352" t="s">
        <v>2207</v>
      </c>
      <c r="N781" s="352" t="s">
        <v>2076</v>
      </c>
      <c r="O781" s="352">
        <v>1</v>
      </c>
      <c r="P781" s="352" t="s">
        <v>2086</v>
      </c>
      <c r="Q781" s="352" t="s">
        <v>2066</v>
      </c>
      <c r="R781" s="251">
        <v>0</v>
      </c>
      <c r="S781" s="251" t="s">
        <v>2015</v>
      </c>
      <c r="T781" s="251" t="s">
        <v>2054</v>
      </c>
      <c r="U781" s="251" t="s">
        <v>1948</v>
      </c>
      <c r="V781" s="251" t="s">
        <v>1949</v>
      </c>
      <c r="X781" s="251">
        <v>0</v>
      </c>
    </row>
    <row r="782" spans="2:24" x14ac:dyDescent="0.2">
      <c r="B782" s="352" t="s">
        <v>874</v>
      </c>
      <c r="C782" s="352" t="s">
        <v>727</v>
      </c>
      <c r="F782" s="352" t="s">
        <v>1995</v>
      </c>
      <c r="G782" s="352" t="s">
        <v>2094</v>
      </c>
      <c r="H782" s="352" t="s">
        <v>1554</v>
      </c>
      <c r="I782" s="352" t="s">
        <v>1019</v>
      </c>
      <c r="J782" s="352" t="s">
        <v>1020</v>
      </c>
      <c r="K782" s="352">
        <v>4241</v>
      </c>
      <c r="L782" s="352" t="s">
        <v>777</v>
      </c>
      <c r="M782" s="352" t="s">
        <v>2208</v>
      </c>
      <c r="N782" s="352" t="s">
        <v>2076</v>
      </c>
      <c r="O782" s="352">
        <v>1</v>
      </c>
      <c r="P782" s="352" t="s">
        <v>2086</v>
      </c>
      <c r="Q782" s="352" t="s">
        <v>2066</v>
      </c>
      <c r="R782" s="251">
        <v>0</v>
      </c>
      <c r="S782" s="251" t="s">
        <v>2015</v>
      </c>
      <c r="T782" s="251" t="s">
        <v>2054</v>
      </c>
      <c r="U782" s="251" t="s">
        <v>1950</v>
      </c>
      <c r="V782" s="251" t="s">
        <v>1951</v>
      </c>
      <c r="X782" s="251">
        <v>0</v>
      </c>
    </row>
    <row r="783" spans="2:24" x14ac:dyDescent="0.2">
      <c r="B783" s="352" t="s">
        <v>874</v>
      </c>
      <c r="C783" s="352" t="s">
        <v>727</v>
      </c>
      <c r="F783" s="352" t="s">
        <v>1995</v>
      </c>
      <c r="G783" s="352" t="s">
        <v>2094</v>
      </c>
      <c r="H783" s="352" t="s">
        <v>1554</v>
      </c>
      <c r="I783" s="352" t="s">
        <v>1019</v>
      </c>
      <c r="J783" s="352" t="s">
        <v>1020</v>
      </c>
      <c r="K783" s="352">
        <v>4311</v>
      </c>
      <c r="L783" s="352" t="s">
        <v>779</v>
      </c>
      <c r="M783" s="352" t="s">
        <v>2209</v>
      </c>
      <c r="N783" s="352" t="s">
        <v>2076</v>
      </c>
      <c r="O783" s="352">
        <v>1</v>
      </c>
      <c r="P783" s="352" t="s">
        <v>2086</v>
      </c>
      <c r="Q783" s="352" t="s">
        <v>2066</v>
      </c>
      <c r="R783" s="251">
        <v>0</v>
      </c>
      <c r="S783" s="251" t="s">
        <v>2015</v>
      </c>
      <c r="T783" s="251" t="s">
        <v>2054</v>
      </c>
      <c r="U783" s="251" t="s">
        <v>1952</v>
      </c>
      <c r="V783" s="251" t="s">
        <v>1953</v>
      </c>
      <c r="X783" s="251">
        <v>0</v>
      </c>
    </row>
    <row r="784" spans="2:24" x14ac:dyDescent="0.2">
      <c r="B784" s="352" t="s">
        <v>874</v>
      </c>
      <c r="C784" s="352" t="s">
        <v>727</v>
      </c>
      <c r="F784" s="352" t="s">
        <v>1995</v>
      </c>
      <c r="G784" s="352" t="s">
        <v>2094</v>
      </c>
      <c r="H784" s="352" t="s">
        <v>1556</v>
      </c>
      <c r="I784" s="352" t="s">
        <v>1021</v>
      </c>
      <c r="J784" s="352" t="s">
        <v>751</v>
      </c>
      <c r="K784" s="352">
        <v>4231</v>
      </c>
      <c r="L784" s="352" t="s">
        <v>774</v>
      </c>
      <c r="M784" s="352" t="s">
        <v>2210</v>
      </c>
      <c r="N784" s="352" t="s">
        <v>2076</v>
      </c>
      <c r="O784" s="352">
        <v>20</v>
      </c>
      <c r="P784" s="352" t="s">
        <v>2089</v>
      </c>
      <c r="Q784" s="352" t="s">
        <v>2074</v>
      </c>
      <c r="R784" s="251">
        <v>4.0772626492005024</v>
      </c>
      <c r="S784" s="251" t="s">
        <v>2015</v>
      </c>
      <c r="T784" s="251" t="s">
        <v>2016</v>
      </c>
      <c r="U784" s="251" t="s">
        <v>1948</v>
      </c>
      <c r="V784" s="251" t="s">
        <v>1949</v>
      </c>
      <c r="X784" s="251">
        <v>0</v>
      </c>
    </row>
    <row r="785" spans="2:24" x14ac:dyDescent="0.2">
      <c r="B785" s="352" t="s">
        <v>874</v>
      </c>
      <c r="C785" s="352" t="s">
        <v>727</v>
      </c>
      <c r="F785" s="352" t="s">
        <v>1995</v>
      </c>
      <c r="G785" s="352" t="s">
        <v>2094</v>
      </c>
      <c r="H785" s="352" t="s">
        <v>1556</v>
      </c>
      <c r="I785" s="352" t="s">
        <v>1021</v>
      </c>
      <c r="J785" s="352" t="s">
        <v>751</v>
      </c>
      <c r="K785" s="352">
        <v>4241</v>
      </c>
      <c r="L785" s="352" t="s">
        <v>777</v>
      </c>
      <c r="M785" s="352" t="s">
        <v>2211</v>
      </c>
      <c r="N785" s="352" t="s">
        <v>2076</v>
      </c>
      <c r="O785" s="352">
        <v>20</v>
      </c>
      <c r="P785" s="352" t="s">
        <v>2089</v>
      </c>
      <c r="Q785" s="352" t="s">
        <v>2074</v>
      </c>
      <c r="R785" s="251">
        <v>5.234963809269483</v>
      </c>
      <c r="S785" s="251" t="s">
        <v>2015</v>
      </c>
      <c r="T785" s="251" t="s">
        <v>2016</v>
      </c>
      <c r="U785" s="251" t="s">
        <v>1950</v>
      </c>
      <c r="V785" s="251" t="s">
        <v>1951</v>
      </c>
      <c r="X785" s="251">
        <v>0</v>
      </c>
    </row>
    <row r="786" spans="2:24" x14ac:dyDescent="0.2">
      <c r="B786" s="352" t="s">
        <v>874</v>
      </c>
      <c r="C786" s="352" t="s">
        <v>727</v>
      </c>
      <c r="F786" s="352" t="s">
        <v>1995</v>
      </c>
      <c r="G786" s="352" t="s">
        <v>2094</v>
      </c>
      <c r="H786" s="352" t="s">
        <v>1556</v>
      </c>
      <c r="I786" s="352" t="s">
        <v>1021</v>
      </c>
      <c r="J786" s="352" t="s">
        <v>751</v>
      </c>
      <c r="K786" s="352">
        <v>4311</v>
      </c>
      <c r="L786" s="352" t="s">
        <v>779</v>
      </c>
      <c r="M786" s="352" t="s">
        <v>2212</v>
      </c>
      <c r="N786" s="352" t="s">
        <v>2076</v>
      </c>
      <c r="O786" s="352">
        <v>20</v>
      </c>
      <c r="P786" s="352" t="s">
        <v>2089</v>
      </c>
      <c r="Q786" s="352" t="s">
        <v>2074</v>
      </c>
      <c r="R786" s="251">
        <v>0.14867199044220494</v>
      </c>
      <c r="S786" s="251" t="s">
        <v>2015</v>
      </c>
      <c r="T786" s="251" t="s">
        <v>2016</v>
      </c>
      <c r="U786" s="251" t="s">
        <v>1952</v>
      </c>
      <c r="V786" s="251" t="s">
        <v>1953</v>
      </c>
      <c r="X786" s="251">
        <v>0</v>
      </c>
    </row>
    <row r="787" spans="2:24" x14ac:dyDescent="0.2">
      <c r="B787" s="352" t="s">
        <v>874</v>
      </c>
      <c r="C787" s="352" t="s">
        <v>754</v>
      </c>
      <c r="F787" s="352" t="s">
        <v>1999</v>
      </c>
      <c r="G787" s="352" t="s">
        <v>2120</v>
      </c>
      <c r="H787" s="352" t="s">
        <v>1641</v>
      </c>
      <c r="I787" s="352" t="s">
        <v>969</v>
      </c>
      <c r="J787" s="352" t="s">
        <v>970</v>
      </c>
      <c r="K787" s="352">
        <v>1111</v>
      </c>
      <c r="L787" s="352" t="s">
        <v>699</v>
      </c>
      <c r="M787" s="352" t="s">
        <v>2147</v>
      </c>
      <c r="N787" s="352" t="s">
        <v>2048</v>
      </c>
      <c r="O787" s="352">
        <v>6</v>
      </c>
      <c r="P787" s="352" t="s">
        <v>2049</v>
      </c>
      <c r="Q787" s="352" t="s">
        <v>2050</v>
      </c>
      <c r="R787" s="251">
        <v>18809.189368531246</v>
      </c>
      <c r="S787" s="251" t="s">
        <v>2015</v>
      </c>
      <c r="T787" s="251" t="s">
        <v>2016</v>
      </c>
      <c r="U787" s="251" t="s">
        <v>1914</v>
      </c>
      <c r="V787" s="251" t="s">
        <v>1915</v>
      </c>
      <c r="X787" s="251">
        <v>0</v>
      </c>
    </row>
    <row r="788" spans="2:24" x14ac:dyDescent="0.2">
      <c r="B788" s="352" t="s">
        <v>874</v>
      </c>
      <c r="C788" s="352" t="s">
        <v>754</v>
      </c>
      <c r="F788" s="352" t="s">
        <v>1999</v>
      </c>
      <c r="G788" s="352" t="s">
        <v>2120</v>
      </c>
      <c r="H788" s="352" t="s">
        <v>1641</v>
      </c>
      <c r="I788" s="352" t="s">
        <v>969</v>
      </c>
      <c r="J788" s="352" t="s">
        <v>970</v>
      </c>
      <c r="K788" s="352">
        <v>1231</v>
      </c>
      <c r="L788" s="352" t="s">
        <v>726</v>
      </c>
      <c r="M788" s="352" t="s">
        <v>2148</v>
      </c>
      <c r="N788" s="352" t="s">
        <v>2048</v>
      </c>
      <c r="O788" s="352">
        <v>6</v>
      </c>
      <c r="P788" s="352" t="s">
        <v>2049</v>
      </c>
      <c r="Q788" s="352" t="s">
        <v>2050</v>
      </c>
      <c r="R788" s="251">
        <v>0</v>
      </c>
      <c r="S788" s="251" t="s">
        <v>2015</v>
      </c>
      <c r="T788" s="251" t="s">
        <v>2054</v>
      </c>
      <c r="U788" s="251" t="s">
        <v>1920</v>
      </c>
      <c r="V788" s="251" t="s">
        <v>726</v>
      </c>
      <c r="X788" s="251">
        <v>0</v>
      </c>
    </row>
    <row r="789" spans="2:24" x14ac:dyDescent="0.2">
      <c r="B789" s="352" t="s">
        <v>874</v>
      </c>
      <c r="C789" s="352" t="s">
        <v>754</v>
      </c>
      <c r="F789" s="352" t="s">
        <v>1999</v>
      </c>
      <c r="G789" s="352" t="s">
        <v>2120</v>
      </c>
      <c r="H789" s="352" t="s">
        <v>1646</v>
      </c>
      <c r="I789" s="352" t="s">
        <v>971</v>
      </c>
      <c r="J789" s="352" t="s">
        <v>972</v>
      </c>
      <c r="K789" s="352">
        <v>1211</v>
      </c>
      <c r="L789" s="352" t="s">
        <v>705</v>
      </c>
      <c r="M789" s="352" t="s">
        <v>2149</v>
      </c>
      <c r="N789" s="352" t="s">
        <v>2048</v>
      </c>
      <c r="O789" s="352">
        <v>6</v>
      </c>
      <c r="P789" s="352" t="s">
        <v>2049</v>
      </c>
      <c r="Q789" s="352" t="s">
        <v>2050</v>
      </c>
      <c r="R789" s="251">
        <v>1121.1440925045508</v>
      </c>
      <c r="S789" s="251" t="s">
        <v>2015</v>
      </c>
      <c r="T789" s="251" t="s">
        <v>2016</v>
      </c>
      <c r="U789" s="251" t="s">
        <v>1916</v>
      </c>
      <c r="V789" s="251" t="s">
        <v>1917</v>
      </c>
      <c r="X789" s="251">
        <v>0</v>
      </c>
    </row>
    <row r="790" spans="2:24" x14ac:dyDescent="0.2">
      <c r="B790" s="352" t="s">
        <v>874</v>
      </c>
      <c r="C790" s="352" t="s">
        <v>754</v>
      </c>
      <c r="F790" s="352" t="s">
        <v>1999</v>
      </c>
      <c r="G790" s="352" t="s">
        <v>2120</v>
      </c>
      <c r="H790" s="352" t="s">
        <v>1651</v>
      </c>
      <c r="I790" s="352" t="s">
        <v>973</v>
      </c>
      <c r="J790" s="352" t="s">
        <v>974</v>
      </c>
      <c r="K790" s="352">
        <v>1211</v>
      </c>
      <c r="L790" s="352" t="s">
        <v>705</v>
      </c>
      <c r="M790" s="352" t="s">
        <v>2150</v>
      </c>
      <c r="N790" s="352" t="s">
        <v>2048</v>
      </c>
      <c r="O790" s="352">
        <v>6</v>
      </c>
      <c r="P790" s="352" t="s">
        <v>2049</v>
      </c>
      <c r="Q790" s="352" t="s">
        <v>2050</v>
      </c>
      <c r="R790" s="251">
        <v>0</v>
      </c>
      <c r="S790" s="251" t="s">
        <v>2015</v>
      </c>
      <c r="T790" s="251" t="s">
        <v>2054</v>
      </c>
      <c r="U790" s="251" t="s">
        <v>1916</v>
      </c>
      <c r="V790" s="251" t="s">
        <v>1917</v>
      </c>
      <c r="X790" s="251">
        <v>0</v>
      </c>
    </row>
    <row r="791" spans="2:24" x14ac:dyDescent="0.2">
      <c r="B791" s="352" t="s">
        <v>874</v>
      </c>
      <c r="C791" s="352" t="s">
        <v>754</v>
      </c>
      <c r="F791" s="352" t="s">
        <v>1999</v>
      </c>
      <c r="G791" s="352" t="s">
        <v>2120</v>
      </c>
      <c r="H791" s="352" t="s">
        <v>1651</v>
      </c>
      <c r="I791" s="352" t="s">
        <v>973</v>
      </c>
      <c r="J791" s="352" t="s">
        <v>974</v>
      </c>
      <c r="K791" s="352">
        <v>1221</v>
      </c>
      <c r="L791" s="352" t="s">
        <v>711</v>
      </c>
      <c r="M791" s="352" t="s">
        <v>2151</v>
      </c>
      <c r="N791" s="352" t="s">
        <v>2048</v>
      </c>
      <c r="O791" s="352">
        <v>6</v>
      </c>
      <c r="P791" s="352" t="s">
        <v>2049</v>
      </c>
      <c r="Q791" s="352" t="s">
        <v>2050</v>
      </c>
      <c r="R791" s="251">
        <v>1412.1386258716675</v>
      </c>
      <c r="S791" s="251" t="s">
        <v>2015</v>
      </c>
      <c r="T791" s="251" t="s">
        <v>2016</v>
      </c>
      <c r="U791" s="251" t="s">
        <v>1918</v>
      </c>
      <c r="V791" s="251" t="s">
        <v>1919</v>
      </c>
      <c r="X791" s="251">
        <v>0</v>
      </c>
    </row>
    <row r="792" spans="2:24" x14ac:dyDescent="0.2">
      <c r="B792" s="352" t="s">
        <v>874</v>
      </c>
      <c r="C792" s="352" t="s">
        <v>754</v>
      </c>
      <c r="F792" s="352" t="s">
        <v>1999</v>
      </c>
      <c r="G792" s="352" t="s">
        <v>2120</v>
      </c>
      <c r="H792" s="352" t="s">
        <v>1651</v>
      </c>
      <c r="I792" s="352" t="s">
        <v>973</v>
      </c>
      <c r="J792" s="352" t="s">
        <v>974</v>
      </c>
      <c r="K792" s="352">
        <v>1222</v>
      </c>
      <c r="L792" s="352" t="s">
        <v>718</v>
      </c>
      <c r="M792" s="352" t="s">
        <v>2152</v>
      </c>
      <c r="N792" s="352" t="s">
        <v>2048</v>
      </c>
      <c r="O792" s="352">
        <v>6</v>
      </c>
      <c r="P792" s="352" t="s">
        <v>2049</v>
      </c>
      <c r="Q792" s="352" t="s">
        <v>2050</v>
      </c>
      <c r="R792" s="251">
        <v>124.24412875383352</v>
      </c>
      <c r="S792" s="251" t="s">
        <v>2015</v>
      </c>
      <c r="T792" s="251" t="s">
        <v>2016</v>
      </c>
      <c r="U792" s="251">
        <v>0</v>
      </c>
      <c r="V792" s="251" t="s">
        <v>2153</v>
      </c>
      <c r="X792" s="251">
        <v>0</v>
      </c>
    </row>
    <row r="793" spans="2:24" x14ac:dyDescent="0.2">
      <c r="B793" s="352" t="s">
        <v>874</v>
      </c>
      <c r="C793" s="352" t="s">
        <v>754</v>
      </c>
      <c r="F793" s="352" t="s">
        <v>1999</v>
      </c>
      <c r="G793" s="352" t="s">
        <v>2120</v>
      </c>
      <c r="H793" s="352" t="s">
        <v>1656</v>
      </c>
      <c r="I793" s="352" t="s">
        <v>975</v>
      </c>
      <c r="J793" s="352" t="s">
        <v>976</v>
      </c>
      <c r="K793" s="352">
        <v>1221</v>
      </c>
      <c r="L793" s="352" t="s">
        <v>711</v>
      </c>
      <c r="M793" s="352" t="s">
        <v>2154</v>
      </c>
      <c r="N793" s="352" t="s">
        <v>2048</v>
      </c>
      <c r="O793" s="352">
        <v>7</v>
      </c>
      <c r="P793" s="352" t="s">
        <v>2055</v>
      </c>
      <c r="Q793" s="352" t="s">
        <v>2056</v>
      </c>
      <c r="R793" s="251">
        <v>0</v>
      </c>
      <c r="S793" s="251" t="s">
        <v>2015</v>
      </c>
      <c r="T793" s="251" t="s">
        <v>2054</v>
      </c>
      <c r="U793" s="251" t="s">
        <v>1918</v>
      </c>
      <c r="V793" s="251" t="s">
        <v>1919</v>
      </c>
      <c r="X793" s="251">
        <v>0</v>
      </c>
    </row>
    <row r="794" spans="2:24" x14ac:dyDescent="0.2">
      <c r="B794" s="352" t="s">
        <v>874</v>
      </c>
      <c r="C794" s="352" t="s">
        <v>754</v>
      </c>
      <c r="F794" s="352" t="s">
        <v>1999</v>
      </c>
      <c r="G794" s="352" t="s">
        <v>2120</v>
      </c>
      <c r="H794" s="352" t="s">
        <v>1661</v>
      </c>
      <c r="I794" s="352" t="s">
        <v>977</v>
      </c>
      <c r="J794" s="352" t="s">
        <v>864</v>
      </c>
      <c r="K794" s="352">
        <v>1111</v>
      </c>
      <c r="L794" s="352" t="s">
        <v>699</v>
      </c>
      <c r="M794" s="352" t="s">
        <v>2155</v>
      </c>
      <c r="N794" s="352" t="s">
        <v>2048</v>
      </c>
      <c r="O794" s="352">
        <v>5</v>
      </c>
      <c r="P794" s="352" t="s">
        <v>2057</v>
      </c>
      <c r="Q794" s="352" t="s">
        <v>2058</v>
      </c>
      <c r="R794" s="251">
        <v>0</v>
      </c>
      <c r="S794" s="251" t="s">
        <v>2015</v>
      </c>
      <c r="T794" s="251" t="s">
        <v>2054</v>
      </c>
      <c r="U794" s="251" t="s">
        <v>1914</v>
      </c>
      <c r="V794" s="251" t="s">
        <v>1915</v>
      </c>
      <c r="X794" s="251">
        <v>0</v>
      </c>
    </row>
    <row r="795" spans="2:24" x14ac:dyDescent="0.2">
      <c r="B795" s="352" t="s">
        <v>874</v>
      </c>
      <c r="C795" s="352" t="s">
        <v>754</v>
      </c>
      <c r="F795" s="352" t="s">
        <v>1999</v>
      </c>
      <c r="G795" s="352" t="s">
        <v>2120</v>
      </c>
      <c r="H795" s="352" t="s">
        <v>1661</v>
      </c>
      <c r="I795" s="352" t="s">
        <v>977</v>
      </c>
      <c r="J795" s="352" t="s">
        <v>864</v>
      </c>
      <c r="K795" s="352">
        <v>1211</v>
      </c>
      <c r="L795" s="352" t="s">
        <v>705</v>
      </c>
      <c r="M795" s="352" t="s">
        <v>2156</v>
      </c>
      <c r="N795" s="352" t="s">
        <v>2048</v>
      </c>
      <c r="O795" s="352">
        <v>5</v>
      </c>
      <c r="P795" s="352" t="s">
        <v>2057</v>
      </c>
      <c r="Q795" s="352" t="s">
        <v>2058</v>
      </c>
      <c r="R795" s="251">
        <v>0</v>
      </c>
      <c r="S795" s="251" t="s">
        <v>2015</v>
      </c>
      <c r="T795" s="251" t="s">
        <v>2054</v>
      </c>
      <c r="U795" s="251" t="s">
        <v>1916</v>
      </c>
      <c r="V795" s="251" t="s">
        <v>1917</v>
      </c>
      <c r="X795" s="251">
        <v>0</v>
      </c>
    </row>
    <row r="796" spans="2:24" x14ac:dyDescent="0.2">
      <c r="B796" s="352" t="s">
        <v>874</v>
      </c>
      <c r="C796" s="352" t="s">
        <v>754</v>
      </c>
      <c r="F796" s="352" t="s">
        <v>1999</v>
      </c>
      <c r="G796" s="352" t="s">
        <v>2120</v>
      </c>
      <c r="H796" s="352" t="s">
        <v>1661</v>
      </c>
      <c r="I796" s="352" t="s">
        <v>977</v>
      </c>
      <c r="J796" s="352" t="s">
        <v>864</v>
      </c>
      <c r="K796" s="352">
        <v>1221</v>
      </c>
      <c r="L796" s="352" t="s">
        <v>711</v>
      </c>
      <c r="M796" s="352" t="s">
        <v>2157</v>
      </c>
      <c r="N796" s="352" t="s">
        <v>2048</v>
      </c>
      <c r="O796" s="352">
        <v>5</v>
      </c>
      <c r="P796" s="352" t="s">
        <v>2057</v>
      </c>
      <c r="Q796" s="352" t="s">
        <v>2058</v>
      </c>
      <c r="R796" s="251">
        <v>0</v>
      </c>
      <c r="S796" s="251" t="s">
        <v>2015</v>
      </c>
      <c r="T796" s="251" t="s">
        <v>2054</v>
      </c>
      <c r="U796" s="251" t="s">
        <v>1918</v>
      </c>
      <c r="V796" s="251" t="s">
        <v>1919</v>
      </c>
      <c r="X796" s="251">
        <v>0</v>
      </c>
    </row>
    <row r="797" spans="2:24" x14ac:dyDescent="0.2">
      <c r="B797" s="352" t="s">
        <v>874</v>
      </c>
      <c r="C797" s="352" t="s">
        <v>754</v>
      </c>
      <c r="F797" s="352" t="s">
        <v>1999</v>
      </c>
      <c r="G797" s="352" t="s">
        <v>2120</v>
      </c>
      <c r="H797" s="352" t="s">
        <v>1661</v>
      </c>
      <c r="I797" s="352" t="s">
        <v>977</v>
      </c>
      <c r="J797" s="352" t="s">
        <v>864</v>
      </c>
      <c r="K797" s="352">
        <v>1222</v>
      </c>
      <c r="L797" s="352" t="s">
        <v>718</v>
      </c>
      <c r="M797" s="352" t="s">
        <v>2158</v>
      </c>
      <c r="N797" s="352" t="s">
        <v>2048</v>
      </c>
      <c r="O797" s="352">
        <v>5</v>
      </c>
      <c r="P797" s="352" t="s">
        <v>2057</v>
      </c>
      <c r="Q797" s="352" t="s">
        <v>2058</v>
      </c>
      <c r="R797" s="251">
        <v>0</v>
      </c>
      <c r="S797" s="251" t="s">
        <v>2015</v>
      </c>
      <c r="T797" s="251" t="s">
        <v>2054</v>
      </c>
      <c r="U797" s="251">
        <v>0</v>
      </c>
      <c r="V797" s="251" t="s">
        <v>2153</v>
      </c>
      <c r="X797" s="251">
        <v>0</v>
      </c>
    </row>
    <row r="798" spans="2:24" x14ac:dyDescent="0.2">
      <c r="B798" s="352" t="s">
        <v>874</v>
      </c>
      <c r="C798" s="352" t="s">
        <v>754</v>
      </c>
      <c r="F798" s="352" t="s">
        <v>1999</v>
      </c>
      <c r="G798" s="352" t="s">
        <v>2120</v>
      </c>
      <c r="H798" s="352" t="s">
        <v>1661</v>
      </c>
      <c r="I798" s="352" t="s">
        <v>977</v>
      </c>
      <c r="J798" s="352" t="s">
        <v>864</v>
      </c>
      <c r="K798" s="352">
        <v>1231</v>
      </c>
      <c r="L798" s="352" t="s">
        <v>726</v>
      </c>
      <c r="M798" s="352" t="s">
        <v>2159</v>
      </c>
      <c r="N798" s="352" t="s">
        <v>2048</v>
      </c>
      <c r="O798" s="352">
        <v>5</v>
      </c>
      <c r="P798" s="352" t="s">
        <v>2057</v>
      </c>
      <c r="Q798" s="352" t="s">
        <v>2058</v>
      </c>
      <c r="R798" s="251">
        <v>0</v>
      </c>
      <c r="S798" s="251" t="s">
        <v>2015</v>
      </c>
      <c r="T798" s="251" t="s">
        <v>2054</v>
      </c>
      <c r="U798" s="251" t="s">
        <v>1920</v>
      </c>
      <c r="V798" s="251" t="s">
        <v>726</v>
      </c>
      <c r="X798" s="251">
        <v>0</v>
      </c>
    </row>
    <row r="799" spans="2:24" x14ac:dyDescent="0.2">
      <c r="B799" s="352" t="s">
        <v>874</v>
      </c>
      <c r="C799" s="352" t="s">
        <v>754</v>
      </c>
      <c r="F799" s="352" t="s">
        <v>1999</v>
      </c>
      <c r="G799" s="352" t="s">
        <v>2120</v>
      </c>
      <c r="H799" s="352" t="s">
        <v>1661</v>
      </c>
      <c r="I799" s="352" t="s">
        <v>977</v>
      </c>
      <c r="J799" s="352" t="s">
        <v>864</v>
      </c>
      <c r="K799" s="352">
        <v>1232</v>
      </c>
      <c r="L799" s="352" t="s">
        <v>734</v>
      </c>
      <c r="M799" s="352" t="s">
        <v>2160</v>
      </c>
      <c r="N799" s="352" t="s">
        <v>2048</v>
      </c>
      <c r="O799" s="352">
        <v>5</v>
      </c>
      <c r="P799" s="352" t="s">
        <v>2057</v>
      </c>
      <c r="Q799" s="352" t="s">
        <v>2058</v>
      </c>
      <c r="R799" s="251">
        <v>148.82901907019368</v>
      </c>
      <c r="S799" s="251" t="s">
        <v>2015</v>
      </c>
      <c r="T799" s="251" t="s">
        <v>2016</v>
      </c>
      <c r="U799" s="251">
        <v>0</v>
      </c>
      <c r="V799" s="251" t="s">
        <v>2153</v>
      </c>
      <c r="X799" s="251">
        <v>0</v>
      </c>
    </row>
    <row r="800" spans="2:24" x14ac:dyDescent="0.2">
      <c r="B800" s="352" t="s">
        <v>874</v>
      </c>
      <c r="C800" s="352" t="s">
        <v>754</v>
      </c>
      <c r="F800" s="352" t="s">
        <v>1999</v>
      </c>
      <c r="G800" s="352" t="s">
        <v>2120</v>
      </c>
      <c r="H800" s="352" t="s">
        <v>1661</v>
      </c>
      <c r="I800" s="352" t="s">
        <v>977</v>
      </c>
      <c r="J800" s="352" t="s">
        <v>864</v>
      </c>
      <c r="K800" s="352">
        <v>1241</v>
      </c>
      <c r="L800" s="352" t="s">
        <v>1872</v>
      </c>
      <c r="M800" s="352" t="s">
        <v>2161</v>
      </c>
      <c r="N800" s="352" t="s">
        <v>2048</v>
      </c>
      <c r="O800" s="352">
        <v>5</v>
      </c>
      <c r="P800" s="352" t="s">
        <v>2057</v>
      </c>
      <c r="Q800" s="352" t="s">
        <v>2058</v>
      </c>
      <c r="R800" s="251">
        <v>0</v>
      </c>
      <c r="S800" s="251" t="s">
        <v>2015</v>
      </c>
      <c r="T800" s="251" t="s">
        <v>2054</v>
      </c>
      <c r="U800" s="251">
        <v>0</v>
      </c>
      <c r="V800" s="251" t="s">
        <v>2153</v>
      </c>
      <c r="X800" s="251">
        <v>0</v>
      </c>
    </row>
    <row r="801" spans="2:24" x14ac:dyDescent="0.2">
      <c r="B801" s="352" t="s">
        <v>874</v>
      </c>
      <c r="C801" s="352" t="s">
        <v>754</v>
      </c>
      <c r="F801" s="352" t="s">
        <v>1999</v>
      </c>
      <c r="G801" s="352" t="s">
        <v>2120</v>
      </c>
      <c r="H801" s="352" t="s">
        <v>1661</v>
      </c>
      <c r="I801" s="352" t="s">
        <v>977</v>
      </c>
      <c r="J801" s="352" t="s">
        <v>864</v>
      </c>
      <c r="K801" s="352">
        <v>1251</v>
      </c>
      <c r="L801" s="352" t="s">
        <v>733</v>
      </c>
      <c r="M801" s="352" t="s">
        <v>2162</v>
      </c>
      <c r="N801" s="352" t="s">
        <v>2048</v>
      </c>
      <c r="O801" s="352">
        <v>5</v>
      </c>
      <c r="P801" s="352" t="s">
        <v>2057</v>
      </c>
      <c r="Q801" s="352" t="s">
        <v>2058</v>
      </c>
      <c r="R801" s="251">
        <v>70.584081837802501</v>
      </c>
      <c r="S801" s="251" t="s">
        <v>2015</v>
      </c>
      <c r="T801" s="251" t="s">
        <v>2016</v>
      </c>
      <c r="U801" s="251">
        <v>0</v>
      </c>
      <c r="V801" s="251" t="s">
        <v>2153</v>
      </c>
      <c r="X801" s="251">
        <v>0</v>
      </c>
    </row>
    <row r="802" spans="2:24" x14ac:dyDescent="0.2">
      <c r="B802" s="352" t="s">
        <v>874</v>
      </c>
      <c r="C802" s="352" t="s">
        <v>754</v>
      </c>
      <c r="F802" s="352" t="s">
        <v>1999</v>
      </c>
      <c r="G802" s="352" t="s">
        <v>2120</v>
      </c>
      <c r="H802" s="352" t="s">
        <v>1666</v>
      </c>
      <c r="I802" s="352" t="s">
        <v>978</v>
      </c>
      <c r="J802" s="352" t="s">
        <v>1892</v>
      </c>
      <c r="K802" s="352">
        <v>1111</v>
      </c>
      <c r="L802" s="352" t="s">
        <v>699</v>
      </c>
      <c r="M802" s="352" t="s">
        <v>2163</v>
      </c>
      <c r="N802" s="352" t="s">
        <v>2048</v>
      </c>
      <c r="O802" s="352">
        <v>5</v>
      </c>
      <c r="P802" s="352" t="s">
        <v>2057</v>
      </c>
      <c r="Q802" s="352" t="s">
        <v>2058</v>
      </c>
      <c r="R802" s="251">
        <v>0</v>
      </c>
      <c r="S802" s="251" t="s">
        <v>2015</v>
      </c>
      <c r="T802" s="251" t="s">
        <v>2054</v>
      </c>
      <c r="U802" s="251" t="s">
        <v>1914</v>
      </c>
      <c r="V802" s="251" t="s">
        <v>1915</v>
      </c>
      <c r="X802" s="251">
        <v>0</v>
      </c>
    </row>
    <row r="803" spans="2:24" x14ac:dyDescent="0.2">
      <c r="B803" s="352" t="s">
        <v>874</v>
      </c>
      <c r="C803" s="352" t="s">
        <v>754</v>
      </c>
      <c r="F803" s="352" t="s">
        <v>1999</v>
      </c>
      <c r="G803" s="352" t="s">
        <v>2120</v>
      </c>
      <c r="H803" s="352" t="s">
        <v>1666</v>
      </c>
      <c r="I803" s="352" t="s">
        <v>978</v>
      </c>
      <c r="J803" s="352" t="s">
        <v>1892</v>
      </c>
      <c r="K803" s="352">
        <v>1231</v>
      </c>
      <c r="L803" s="352" t="s">
        <v>726</v>
      </c>
      <c r="M803" s="352" t="s">
        <v>2164</v>
      </c>
      <c r="N803" s="352" t="s">
        <v>2048</v>
      </c>
      <c r="O803" s="352">
        <v>5</v>
      </c>
      <c r="P803" s="352" t="s">
        <v>2057</v>
      </c>
      <c r="Q803" s="352" t="s">
        <v>2058</v>
      </c>
      <c r="R803" s="251">
        <v>940.10711159800303</v>
      </c>
      <c r="S803" s="251" t="s">
        <v>2015</v>
      </c>
      <c r="T803" s="251" t="s">
        <v>2016</v>
      </c>
      <c r="U803" s="251" t="s">
        <v>1920</v>
      </c>
      <c r="V803" s="251" t="s">
        <v>726</v>
      </c>
      <c r="X803" s="251">
        <v>0</v>
      </c>
    </row>
    <row r="804" spans="2:24" x14ac:dyDescent="0.2">
      <c r="B804" s="352" t="s">
        <v>874</v>
      </c>
      <c r="C804" s="352" t="s">
        <v>754</v>
      </c>
      <c r="F804" s="352" t="s">
        <v>1999</v>
      </c>
      <c r="G804" s="352" t="s">
        <v>2120</v>
      </c>
      <c r="H804" s="352" t="s">
        <v>1671</v>
      </c>
      <c r="I804" s="352" t="s">
        <v>979</v>
      </c>
      <c r="J804" s="352" t="s">
        <v>980</v>
      </c>
      <c r="K804" s="352">
        <v>1241</v>
      </c>
      <c r="L804" s="352" t="s">
        <v>1872</v>
      </c>
      <c r="M804" s="352" t="s">
        <v>2165</v>
      </c>
      <c r="N804" s="352" t="s">
        <v>2048</v>
      </c>
      <c r="O804" s="352">
        <v>7</v>
      </c>
      <c r="P804" s="352" t="s">
        <v>2055</v>
      </c>
      <c r="Q804" s="352" t="s">
        <v>2056</v>
      </c>
      <c r="R804" s="251">
        <v>45.767290188694297</v>
      </c>
      <c r="S804" s="251" t="s">
        <v>2015</v>
      </c>
      <c r="T804" s="251" t="s">
        <v>2016</v>
      </c>
      <c r="U804" s="251">
        <v>0</v>
      </c>
      <c r="V804" s="251" t="s">
        <v>2153</v>
      </c>
      <c r="X804" s="251">
        <v>0</v>
      </c>
    </row>
    <row r="805" spans="2:24" x14ac:dyDescent="0.2">
      <c r="B805" s="352" t="s">
        <v>874</v>
      </c>
      <c r="C805" s="352" t="s">
        <v>754</v>
      </c>
      <c r="F805" s="352" t="s">
        <v>1999</v>
      </c>
      <c r="G805" s="352" t="s">
        <v>2120</v>
      </c>
      <c r="H805" s="352" t="s">
        <v>1676</v>
      </c>
      <c r="I805" s="352" t="s">
        <v>981</v>
      </c>
      <c r="J805" s="352" t="s">
        <v>3674</v>
      </c>
      <c r="K805" s="352">
        <v>1241</v>
      </c>
      <c r="L805" s="352" t="s">
        <v>1872</v>
      </c>
      <c r="M805" s="352" t="s">
        <v>2166</v>
      </c>
      <c r="N805" s="352" t="s">
        <v>2048</v>
      </c>
      <c r="O805" s="352">
        <v>13</v>
      </c>
      <c r="P805" s="352" t="s">
        <v>2059</v>
      </c>
      <c r="Q805" s="352" t="s">
        <v>2060</v>
      </c>
      <c r="R805" s="251">
        <v>0</v>
      </c>
      <c r="S805" s="251" t="s">
        <v>2015</v>
      </c>
      <c r="T805" s="251" t="s">
        <v>2054</v>
      </c>
      <c r="U805" s="251">
        <v>0</v>
      </c>
      <c r="V805" s="251" t="s">
        <v>2153</v>
      </c>
      <c r="X805" s="251">
        <v>0</v>
      </c>
    </row>
    <row r="806" spans="2:24" x14ac:dyDescent="0.2">
      <c r="B806" s="352" t="s">
        <v>874</v>
      </c>
      <c r="C806" s="352" t="s">
        <v>754</v>
      </c>
      <c r="F806" s="352" t="s">
        <v>1999</v>
      </c>
      <c r="G806" s="352" t="s">
        <v>2120</v>
      </c>
      <c r="H806" s="352" t="s">
        <v>1676</v>
      </c>
      <c r="I806" s="352" t="s">
        <v>981</v>
      </c>
      <c r="J806" s="352" t="s">
        <v>3674</v>
      </c>
      <c r="K806" s="352">
        <v>1251</v>
      </c>
      <c r="L806" s="352" t="s">
        <v>733</v>
      </c>
      <c r="M806" s="352" t="s">
        <v>2167</v>
      </c>
      <c r="N806" s="352" t="s">
        <v>2048</v>
      </c>
      <c r="O806" s="352">
        <v>13</v>
      </c>
      <c r="P806" s="352" t="s">
        <v>2059</v>
      </c>
      <c r="Q806" s="352" t="s">
        <v>2060</v>
      </c>
      <c r="R806" s="251">
        <v>0</v>
      </c>
      <c r="S806" s="251" t="s">
        <v>2015</v>
      </c>
      <c r="T806" s="251" t="s">
        <v>2054</v>
      </c>
      <c r="U806" s="251">
        <v>0</v>
      </c>
      <c r="V806" s="251" t="s">
        <v>2153</v>
      </c>
      <c r="X806" s="251">
        <v>0</v>
      </c>
    </row>
    <row r="807" spans="2:24" x14ac:dyDescent="0.2">
      <c r="B807" s="352" t="s">
        <v>874</v>
      </c>
      <c r="C807" s="352" t="s">
        <v>754</v>
      </c>
      <c r="F807" s="352" t="s">
        <v>1999</v>
      </c>
      <c r="G807" s="352" t="s">
        <v>2120</v>
      </c>
      <c r="H807" s="352" t="s">
        <v>1681</v>
      </c>
      <c r="I807" s="352" t="s">
        <v>982</v>
      </c>
      <c r="J807" s="352" t="s">
        <v>983</v>
      </c>
      <c r="K807" s="352">
        <v>2111</v>
      </c>
      <c r="L807" s="352" t="s">
        <v>1873</v>
      </c>
      <c r="M807" s="352" t="s">
        <v>2168</v>
      </c>
      <c r="N807" s="352" t="s">
        <v>2048</v>
      </c>
      <c r="O807" s="352">
        <v>3</v>
      </c>
      <c r="P807" s="352" t="s">
        <v>2117</v>
      </c>
      <c r="Q807" s="352" t="s">
        <v>2114</v>
      </c>
      <c r="R807" s="251">
        <v>82.369241066189772</v>
      </c>
      <c r="S807" s="251" t="s">
        <v>2015</v>
      </c>
      <c r="T807" s="251" t="s">
        <v>2016</v>
      </c>
      <c r="U807" s="251" t="s">
        <v>1929</v>
      </c>
      <c r="V807" s="251" t="s">
        <v>1930</v>
      </c>
      <c r="X807" s="251">
        <v>0</v>
      </c>
    </row>
    <row r="808" spans="2:24" x14ac:dyDescent="0.2">
      <c r="B808" s="352" t="s">
        <v>874</v>
      </c>
      <c r="C808" s="352" t="s">
        <v>754</v>
      </c>
      <c r="F808" s="352" t="s">
        <v>1999</v>
      </c>
      <c r="G808" s="352" t="s">
        <v>2120</v>
      </c>
      <c r="H808" s="352" t="s">
        <v>1681</v>
      </c>
      <c r="I808" s="352" t="s">
        <v>982</v>
      </c>
      <c r="J808" s="352" t="s">
        <v>983</v>
      </c>
      <c r="K808" s="352">
        <v>2121</v>
      </c>
      <c r="L808" s="352" t="s">
        <v>1876</v>
      </c>
      <c r="M808" s="352" t="s">
        <v>2169</v>
      </c>
      <c r="N808" s="352" t="s">
        <v>2048</v>
      </c>
      <c r="O808" s="352">
        <v>3</v>
      </c>
      <c r="P808" s="352" t="s">
        <v>2117</v>
      </c>
      <c r="Q808" s="352" t="s">
        <v>2114</v>
      </c>
      <c r="R808" s="251">
        <v>262.34328911353902</v>
      </c>
      <c r="S808" s="251" t="s">
        <v>2015</v>
      </c>
      <c r="T808" s="251" t="s">
        <v>2016</v>
      </c>
      <c r="U808" s="251" t="s">
        <v>1929</v>
      </c>
      <c r="V808" s="251" t="s">
        <v>1930</v>
      </c>
      <c r="X808" s="251">
        <v>0</v>
      </c>
    </row>
    <row r="809" spans="2:24" x14ac:dyDescent="0.2">
      <c r="B809" s="352" t="s">
        <v>874</v>
      </c>
      <c r="C809" s="352" t="s">
        <v>754</v>
      </c>
      <c r="F809" s="352" t="s">
        <v>1999</v>
      </c>
      <c r="G809" s="352" t="s">
        <v>2120</v>
      </c>
      <c r="H809" s="352" t="s">
        <v>1681</v>
      </c>
      <c r="I809" s="352" t="s">
        <v>982</v>
      </c>
      <c r="J809" s="352" t="s">
        <v>983</v>
      </c>
      <c r="K809" s="352">
        <v>2131</v>
      </c>
      <c r="L809" s="352" t="s">
        <v>1879</v>
      </c>
      <c r="M809" s="352" t="s">
        <v>2170</v>
      </c>
      <c r="N809" s="352" t="s">
        <v>2048</v>
      </c>
      <c r="O809" s="352">
        <v>3</v>
      </c>
      <c r="P809" s="352" t="s">
        <v>2117</v>
      </c>
      <c r="Q809" s="352" t="s">
        <v>2114</v>
      </c>
      <c r="R809" s="251">
        <v>0</v>
      </c>
      <c r="S809" s="251" t="s">
        <v>2015</v>
      </c>
      <c r="T809" s="251" t="s">
        <v>2054</v>
      </c>
      <c r="U809" s="251" t="s">
        <v>1929</v>
      </c>
      <c r="V809" s="251" t="s">
        <v>1930</v>
      </c>
      <c r="X809" s="251">
        <v>0</v>
      </c>
    </row>
    <row r="810" spans="2:24" x14ac:dyDescent="0.2">
      <c r="B810" s="352" t="s">
        <v>874</v>
      </c>
      <c r="C810" s="352" t="s">
        <v>754</v>
      </c>
      <c r="F810" s="352" t="s">
        <v>1999</v>
      </c>
      <c r="G810" s="352" t="s">
        <v>2120</v>
      </c>
      <c r="H810" s="352" t="s">
        <v>1681</v>
      </c>
      <c r="I810" s="352" t="s">
        <v>982</v>
      </c>
      <c r="J810" s="352" t="s">
        <v>983</v>
      </c>
      <c r="K810" s="352">
        <v>2211</v>
      </c>
      <c r="L810" s="352" t="s">
        <v>1883</v>
      </c>
      <c r="M810" s="352" t="s">
        <v>2171</v>
      </c>
      <c r="N810" s="352" t="s">
        <v>2048</v>
      </c>
      <c r="O810" s="352">
        <v>3</v>
      </c>
      <c r="P810" s="352" t="s">
        <v>2117</v>
      </c>
      <c r="Q810" s="352" t="s">
        <v>2114</v>
      </c>
      <c r="R810" s="251">
        <v>0</v>
      </c>
      <c r="S810" s="251" t="s">
        <v>2015</v>
      </c>
      <c r="T810" s="251" t="s">
        <v>2054</v>
      </c>
      <c r="U810" s="251" t="s">
        <v>1929</v>
      </c>
      <c r="V810" s="251" t="s">
        <v>1930</v>
      </c>
      <c r="X810" s="251">
        <v>0</v>
      </c>
    </row>
    <row r="811" spans="2:24" x14ac:dyDescent="0.2">
      <c r="B811" s="352" t="s">
        <v>874</v>
      </c>
      <c r="C811" s="352" t="s">
        <v>754</v>
      </c>
      <c r="F811" s="352" t="s">
        <v>1999</v>
      </c>
      <c r="G811" s="352" t="s">
        <v>2120</v>
      </c>
      <c r="H811" s="352" t="s">
        <v>1686</v>
      </c>
      <c r="I811" s="352" t="s">
        <v>984</v>
      </c>
      <c r="J811" s="352" t="s">
        <v>985</v>
      </c>
      <c r="K811" s="352">
        <v>2111</v>
      </c>
      <c r="L811" s="352" t="s">
        <v>1873</v>
      </c>
      <c r="M811" s="352" t="s">
        <v>2172</v>
      </c>
      <c r="N811" s="352" t="s">
        <v>2048</v>
      </c>
      <c r="O811" s="352">
        <v>11</v>
      </c>
      <c r="P811" s="352" t="s">
        <v>2063</v>
      </c>
      <c r="Q811" s="352" t="s">
        <v>2064</v>
      </c>
      <c r="R811" s="251">
        <v>0</v>
      </c>
      <c r="S811" s="251" t="s">
        <v>2015</v>
      </c>
      <c r="T811" s="251" t="s">
        <v>2054</v>
      </c>
      <c r="U811" s="251" t="s">
        <v>1929</v>
      </c>
      <c r="V811" s="251" t="s">
        <v>1930</v>
      </c>
      <c r="X811" s="251">
        <v>0</v>
      </c>
    </row>
    <row r="812" spans="2:24" x14ac:dyDescent="0.2">
      <c r="B812" s="352" t="s">
        <v>874</v>
      </c>
      <c r="C812" s="352" t="s">
        <v>754</v>
      </c>
      <c r="F812" s="352" t="s">
        <v>1999</v>
      </c>
      <c r="G812" s="352" t="s">
        <v>2120</v>
      </c>
      <c r="H812" s="352" t="s">
        <v>1686</v>
      </c>
      <c r="I812" s="352" t="s">
        <v>984</v>
      </c>
      <c r="J812" s="352" t="s">
        <v>985</v>
      </c>
      <c r="K812" s="352">
        <v>2121</v>
      </c>
      <c r="L812" s="352" t="s">
        <v>1876</v>
      </c>
      <c r="M812" s="352" t="s">
        <v>2173</v>
      </c>
      <c r="N812" s="352" t="s">
        <v>2048</v>
      </c>
      <c r="O812" s="352">
        <v>11</v>
      </c>
      <c r="P812" s="352" t="s">
        <v>2063</v>
      </c>
      <c r="Q812" s="352" t="s">
        <v>2064</v>
      </c>
      <c r="R812" s="251">
        <v>0</v>
      </c>
      <c r="S812" s="251" t="s">
        <v>2015</v>
      </c>
      <c r="T812" s="251" t="s">
        <v>2054</v>
      </c>
      <c r="U812" s="251" t="s">
        <v>1929</v>
      </c>
      <c r="V812" s="251" t="s">
        <v>1930</v>
      </c>
      <c r="X812" s="251">
        <v>0</v>
      </c>
    </row>
    <row r="813" spans="2:24" x14ac:dyDescent="0.2">
      <c r="B813" s="352" t="s">
        <v>874</v>
      </c>
      <c r="C813" s="352" t="s">
        <v>754</v>
      </c>
      <c r="F813" s="352" t="s">
        <v>1999</v>
      </c>
      <c r="G813" s="352" t="s">
        <v>2120</v>
      </c>
      <c r="H813" s="352" t="s">
        <v>1686</v>
      </c>
      <c r="I813" s="352" t="s">
        <v>984</v>
      </c>
      <c r="J813" s="352" t="s">
        <v>985</v>
      </c>
      <c r="K813" s="352">
        <v>2131</v>
      </c>
      <c r="L813" s="352" t="s">
        <v>1879</v>
      </c>
      <c r="M813" s="352" t="s">
        <v>2174</v>
      </c>
      <c r="N813" s="352" t="s">
        <v>2048</v>
      </c>
      <c r="O813" s="352">
        <v>11</v>
      </c>
      <c r="P813" s="352" t="s">
        <v>2063</v>
      </c>
      <c r="Q813" s="352" t="s">
        <v>2064</v>
      </c>
      <c r="R813" s="251">
        <v>9.9644944078782345</v>
      </c>
      <c r="S813" s="251" t="s">
        <v>2015</v>
      </c>
      <c r="T813" s="251" t="s">
        <v>2016</v>
      </c>
      <c r="U813" s="251" t="s">
        <v>1929</v>
      </c>
      <c r="V813" s="251" t="s">
        <v>1930</v>
      </c>
      <c r="X813" s="251">
        <v>0</v>
      </c>
    </row>
    <row r="814" spans="2:24" x14ac:dyDescent="0.2">
      <c r="B814" s="352" t="s">
        <v>874</v>
      </c>
      <c r="C814" s="352" t="s">
        <v>754</v>
      </c>
      <c r="F814" s="352" t="s">
        <v>1999</v>
      </c>
      <c r="G814" s="352" t="s">
        <v>2120</v>
      </c>
      <c r="H814" s="352" t="s">
        <v>1686</v>
      </c>
      <c r="I814" s="352" t="s">
        <v>984</v>
      </c>
      <c r="J814" s="352" t="s">
        <v>985</v>
      </c>
      <c r="K814" s="352">
        <v>2211</v>
      </c>
      <c r="L814" s="352" t="s">
        <v>1883</v>
      </c>
      <c r="M814" s="352" t="s">
        <v>2175</v>
      </c>
      <c r="N814" s="352" t="s">
        <v>2048</v>
      </c>
      <c r="O814" s="352">
        <v>11</v>
      </c>
      <c r="P814" s="352" t="s">
        <v>2063</v>
      </c>
      <c r="Q814" s="352" t="s">
        <v>2064</v>
      </c>
      <c r="R814" s="251">
        <v>17.288445976611222</v>
      </c>
      <c r="S814" s="251" t="s">
        <v>2015</v>
      </c>
      <c r="T814" s="251" t="s">
        <v>2016</v>
      </c>
      <c r="U814" s="251" t="s">
        <v>1929</v>
      </c>
      <c r="V814" s="251" t="s">
        <v>1930</v>
      </c>
      <c r="X814" s="251">
        <v>0</v>
      </c>
    </row>
    <row r="815" spans="2:24" x14ac:dyDescent="0.2">
      <c r="B815" s="352" t="s">
        <v>874</v>
      </c>
      <c r="C815" s="352" t="s">
        <v>754</v>
      </c>
      <c r="F815" s="352" t="s">
        <v>1999</v>
      </c>
      <c r="G815" s="352" t="s">
        <v>2120</v>
      </c>
      <c r="H815" s="352" t="s">
        <v>1691</v>
      </c>
      <c r="I815" s="352" t="s">
        <v>986</v>
      </c>
      <c r="J815" s="352" t="s">
        <v>987</v>
      </c>
      <c r="K815" s="352">
        <v>2112</v>
      </c>
      <c r="L815" s="352" t="s">
        <v>1874</v>
      </c>
      <c r="M815" s="352" t="s">
        <v>2176</v>
      </c>
      <c r="N815" s="352" t="s">
        <v>2048</v>
      </c>
      <c r="O815" s="352">
        <v>11</v>
      </c>
      <c r="P815" s="352" t="s">
        <v>2063</v>
      </c>
      <c r="Q815" s="352" t="s">
        <v>2064</v>
      </c>
      <c r="R815" s="251">
        <v>0.32346389870839798</v>
      </c>
      <c r="S815" s="251" t="s">
        <v>2015</v>
      </c>
      <c r="T815" s="251" t="s">
        <v>2016</v>
      </c>
      <c r="U815" s="251" t="s">
        <v>1931</v>
      </c>
      <c r="V815" s="251" t="s">
        <v>1932</v>
      </c>
      <c r="X815" s="251">
        <v>0</v>
      </c>
    </row>
    <row r="816" spans="2:24" x14ac:dyDescent="0.2">
      <c r="B816" s="352" t="s">
        <v>874</v>
      </c>
      <c r="C816" s="352" t="s">
        <v>754</v>
      </c>
      <c r="F816" s="352" t="s">
        <v>1999</v>
      </c>
      <c r="G816" s="352" t="s">
        <v>2120</v>
      </c>
      <c r="H816" s="352" t="s">
        <v>1691</v>
      </c>
      <c r="I816" s="352" t="s">
        <v>986</v>
      </c>
      <c r="J816" s="352" t="s">
        <v>987</v>
      </c>
      <c r="K816" s="352">
        <v>2122</v>
      </c>
      <c r="L816" s="352" t="s">
        <v>1877</v>
      </c>
      <c r="M816" s="352" t="s">
        <v>2177</v>
      </c>
      <c r="N816" s="352" t="s">
        <v>2048</v>
      </c>
      <c r="O816" s="352">
        <v>11</v>
      </c>
      <c r="P816" s="352" t="s">
        <v>2063</v>
      </c>
      <c r="Q816" s="352" t="s">
        <v>2064</v>
      </c>
      <c r="R816" s="251">
        <v>100.46377717191359</v>
      </c>
      <c r="S816" s="251" t="s">
        <v>2015</v>
      </c>
      <c r="T816" s="251" t="s">
        <v>2016</v>
      </c>
      <c r="U816" s="251" t="s">
        <v>1931</v>
      </c>
      <c r="V816" s="251" t="s">
        <v>1932</v>
      </c>
      <c r="X816" s="251">
        <v>0</v>
      </c>
    </row>
    <row r="817" spans="2:24" x14ac:dyDescent="0.2">
      <c r="B817" s="352" t="s">
        <v>874</v>
      </c>
      <c r="C817" s="352" t="s">
        <v>754</v>
      </c>
      <c r="F817" s="352" t="s">
        <v>1999</v>
      </c>
      <c r="G817" s="352" t="s">
        <v>2120</v>
      </c>
      <c r="H817" s="352" t="s">
        <v>1696</v>
      </c>
      <c r="I817" s="352" t="s">
        <v>988</v>
      </c>
      <c r="J817" s="352" t="s">
        <v>989</v>
      </c>
      <c r="K817" s="352">
        <v>2112</v>
      </c>
      <c r="L817" s="352" t="s">
        <v>1874</v>
      </c>
      <c r="M817" s="352" t="s">
        <v>2178</v>
      </c>
      <c r="N817" s="352" t="s">
        <v>2048</v>
      </c>
      <c r="O817" s="352">
        <v>11</v>
      </c>
      <c r="P817" s="352" t="s">
        <v>2063</v>
      </c>
      <c r="Q817" s="352" t="s">
        <v>2064</v>
      </c>
      <c r="R817" s="251">
        <v>0.48519584806259697</v>
      </c>
      <c r="S817" s="251" t="s">
        <v>2015</v>
      </c>
      <c r="T817" s="251" t="s">
        <v>2016</v>
      </c>
      <c r="U817" s="251" t="s">
        <v>1931</v>
      </c>
      <c r="V817" s="251" t="s">
        <v>1932</v>
      </c>
      <c r="X817" s="251">
        <v>0</v>
      </c>
    </row>
    <row r="818" spans="2:24" x14ac:dyDescent="0.2">
      <c r="B818" s="352" t="s">
        <v>874</v>
      </c>
      <c r="C818" s="352" t="s">
        <v>754</v>
      </c>
      <c r="F818" s="352" t="s">
        <v>1999</v>
      </c>
      <c r="G818" s="352" t="s">
        <v>2120</v>
      </c>
      <c r="H818" s="352" t="s">
        <v>1696</v>
      </c>
      <c r="I818" s="352" t="s">
        <v>988</v>
      </c>
      <c r="J818" s="352" t="s">
        <v>989</v>
      </c>
      <c r="K818" s="352">
        <v>2122</v>
      </c>
      <c r="L818" s="352" t="s">
        <v>1877</v>
      </c>
      <c r="M818" s="352" t="s">
        <v>2179</v>
      </c>
      <c r="N818" s="352" t="s">
        <v>2048</v>
      </c>
      <c r="O818" s="352">
        <v>11</v>
      </c>
      <c r="P818" s="352" t="s">
        <v>2063</v>
      </c>
      <c r="Q818" s="352" t="s">
        <v>2064</v>
      </c>
      <c r="R818" s="251">
        <v>150.69566575787036</v>
      </c>
      <c r="S818" s="251" t="s">
        <v>2015</v>
      </c>
      <c r="T818" s="251" t="s">
        <v>2016</v>
      </c>
      <c r="U818" s="251" t="s">
        <v>1931</v>
      </c>
      <c r="V818" s="251" t="s">
        <v>1932</v>
      </c>
      <c r="X818" s="251">
        <v>0</v>
      </c>
    </row>
    <row r="819" spans="2:24" x14ac:dyDescent="0.2">
      <c r="B819" s="352" t="s">
        <v>874</v>
      </c>
      <c r="C819" s="352" t="s">
        <v>754</v>
      </c>
      <c r="F819" s="352" t="s">
        <v>1999</v>
      </c>
      <c r="G819" s="352" t="s">
        <v>2120</v>
      </c>
      <c r="H819" s="352" t="s">
        <v>1701</v>
      </c>
      <c r="I819" s="352" t="s">
        <v>990</v>
      </c>
      <c r="J819" s="352" t="s">
        <v>991</v>
      </c>
      <c r="K819" s="352">
        <v>2132</v>
      </c>
      <c r="L819" s="352" t="s">
        <v>1880</v>
      </c>
      <c r="M819" s="352" t="s">
        <v>2180</v>
      </c>
      <c r="N819" s="352" t="s">
        <v>2048</v>
      </c>
      <c r="O819" s="352">
        <v>1</v>
      </c>
      <c r="P819" s="352" t="s">
        <v>2065</v>
      </c>
      <c r="Q819" s="352" t="s">
        <v>2066</v>
      </c>
      <c r="R819" s="251">
        <v>61.120595602605142</v>
      </c>
      <c r="S819" s="251" t="s">
        <v>2015</v>
      </c>
      <c r="T819" s="251" t="s">
        <v>2016</v>
      </c>
      <c r="U819" s="251" t="s">
        <v>1931</v>
      </c>
      <c r="V819" s="251" t="s">
        <v>1932</v>
      </c>
      <c r="X819" s="251">
        <v>0</v>
      </c>
    </row>
    <row r="820" spans="2:24" x14ac:dyDescent="0.2">
      <c r="B820" s="352" t="s">
        <v>874</v>
      </c>
      <c r="C820" s="352" t="s">
        <v>754</v>
      </c>
      <c r="F820" s="352" t="s">
        <v>1999</v>
      </c>
      <c r="G820" s="352" t="s">
        <v>2120</v>
      </c>
      <c r="H820" s="352" t="s">
        <v>1706</v>
      </c>
      <c r="I820" s="352" t="s">
        <v>994</v>
      </c>
      <c r="J820" s="352" t="s">
        <v>995</v>
      </c>
      <c r="K820" s="352">
        <v>2311</v>
      </c>
      <c r="L820" s="352" t="s">
        <v>1887</v>
      </c>
      <c r="M820" s="352" t="s">
        <v>2181</v>
      </c>
      <c r="N820" s="352" t="s">
        <v>2048</v>
      </c>
      <c r="O820" s="352">
        <v>8</v>
      </c>
      <c r="P820" s="352" t="s">
        <v>2067</v>
      </c>
      <c r="Q820" s="352" t="s">
        <v>2068</v>
      </c>
      <c r="R820" s="251">
        <v>3817.2040075646578</v>
      </c>
      <c r="S820" s="251" t="s">
        <v>2015</v>
      </c>
      <c r="T820" s="251" t="s">
        <v>2016</v>
      </c>
      <c r="U820" s="251" t="s">
        <v>1943</v>
      </c>
      <c r="V820" s="251" t="s">
        <v>1944</v>
      </c>
      <c r="X820" s="251">
        <v>0</v>
      </c>
    </row>
    <row r="821" spans="2:24" x14ac:dyDescent="0.2">
      <c r="B821" s="352" t="s">
        <v>874</v>
      </c>
      <c r="C821" s="352" t="s">
        <v>754</v>
      </c>
      <c r="F821" s="352" t="s">
        <v>1999</v>
      </c>
      <c r="G821" s="352" t="s">
        <v>2120</v>
      </c>
      <c r="H821" s="352" t="s">
        <v>1711</v>
      </c>
      <c r="I821" s="352" t="s">
        <v>996</v>
      </c>
      <c r="J821" s="352" t="s">
        <v>997</v>
      </c>
      <c r="K821" s="352">
        <v>2311</v>
      </c>
      <c r="L821" s="352" t="s">
        <v>1887</v>
      </c>
      <c r="M821" s="352" t="s">
        <v>2182</v>
      </c>
      <c r="N821" s="352" t="s">
        <v>2048</v>
      </c>
      <c r="O821" s="352">
        <v>8</v>
      </c>
      <c r="P821" s="352" t="s">
        <v>2067</v>
      </c>
      <c r="Q821" s="352" t="s">
        <v>2068</v>
      </c>
      <c r="R821" s="251">
        <v>0</v>
      </c>
      <c r="S821" s="251" t="s">
        <v>2015</v>
      </c>
      <c r="T821" s="251" t="s">
        <v>2054</v>
      </c>
      <c r="U821" s="251" t="s">
        <v>1943</v>
      </c>
      <c r="V821" s="251" t="s">
        <v>1944</v>
      </c>
      <c r="X821" s="251">
        <v>0</v>
      </c>
    </row>
    <row r="822" spans="2:24" x14ac:dyDescent="0.2">
      <c r="B822" s="352" t="s">
        <v>874</v>
      </c>
      <c r="C822" s="352" t="s">
        <v>754</v>
      </c>
      <c r="F822" s="352" t="s">
        <v>1999</v>
      </c>
      <c r="G822" s="352" t="s">
        <v>2120</v>
      </c>
      <c r="H822" s="352" t="s">
        <v>1716</v>
      </c>
      <c r="I822" s="352" t="s">
        <v>998</v>
      </c>
      <c r="J822" s="352" t="s">
        <v>999</v>
      </c>
      <c r="K822" s="352">
        <v>2311</v>
      </c>
      <c r="L822" s="352" t="s">
        <v>1887</v>
      </c>
      <c r="M822" s="352" t="s">
        <v>2183</v>
      </c>
      <c r="N822" s="352" t="s">
        <v>2048</v>
      </c>
      <c r="O822" s="352">
        <v>8</v>
      </c>
      <c r="P822" s="352" t="s">
        <v>2067</v>
      </c>
      <c r="Q822" s="352" t="s">
        <v>2068</v>
      </c>
      <c r="R822" s="251">
        <v>0</v>
      </c>
      <c r="S822" s="251" t="s">
        <v>2015</v>
      </c>
      <c r="T822" s="251" t="s">
        <v>2054</v>
      </c>
      <c r="U822" s="251" t="s">
        <v>1943</v>
      </c>
      <c r="V822" s="251" t="s">
        <v>1944</v>
      </c>
      <c r="X822" s="251">
        <v>0</v>
      </c>
    </row>
    <row r="823" spans="2:24" x14ac:dyDescent="0.2">
      <c r="B823" s="352" t="s">
        <v>874</v>
      </c>
      <c r="C823" s="352" t="s">
        <v>754</v>
      </c>
      <c r="F823" s="352" t="s">
        <v>1999</v>
      </c>
      <c r="G823" s="352" t="s">
        <v>2120</v>
      </c>
      <c r="H823" s="352" t="s">
        <v>1716</v>
      </c>
      <c r="I823" s="352" t="s">
        <v>998</v>
      </c>
      <c r="J823" s="352" t="s">
        <v>999</v>
      </c>
      <c r="K823" s="352">
        <v>2312</v>
      </c>
      <c r="L823" s="352" t="s">
        <v>789</v>
      </c>
      <c r="M823" s="352" t="s">
        <v>2184</v>
      </c>
      <c r="N823" s="352" t="s">
        <v>2048</v>
      </c>
      <c r="O823" s="352">
        <v>8</v>
      </c>
      <c r="P823" s="352" t="s">
        <v>2067</v>
      </c>
      <c r="Q823" s="352" t="s">
        <v>2068</v>
      </c>
      <c r="R823" s="251">
        <v>0</v>
      </c>
      <c r="S823" s="251" t="s">
        <v>2015</v>
      </c>
      <c r="T823" s="251" t="s">
        <v>2054</v>
      </c>
      <c r="U823" s="251" t="s">
        <v>1943</v>
      </c>
      <c r="V823" s="251" t="s">
        <v>1944</v>
      </c>
      <c r="X823" s="251">
        <v>0</v>
      </c>
    </row>
    <row r="824" spans="2:24" x14ac:dyDescent="0.2">
      <c r="B824" s="352" t="s">
        <v>874</v>
      </c>
      <c r="C824" s="352" t="s">
        <v>754</v>
      </c>
      <c r="F824" s="352" t="s">
        <v>1999</v>
      </c>
      <c r="G824" s="352" t="s">
        <v>2120</v>
      </c>
      <c r="H824" s="352" t="s">
        <v>1721</v>
      </c>
      <c r="I824" s="352" t="s">
        <v>1000</v>
      </c>
      <c r="J824" s="352" t="s">
        <v>1001</v>
      </c>
      <c r="K824" s="352">
        <v>2141</v>
      </c>
      <c r="L824" s="352" t="s">
        <v>1882</v>
      </c>
      <c r="M824" s="352" t="s">
        <v>2185</v>
      </c>
      <c r="N824" s="352" t="s">
        <v>2048</v>
      </c>
      <c r="O824" s="352">
        <v>12</v>
      </c>
      <c r="P824" s="352" t="s">
        <v>2069</v>
      </c>
      <c r="Q824" s="352" t="s">
        <v>2070</v>
      </c>
      <c r="R824" s="251">
        <v>610.47049584108379</v>
      </c>
      <c r="S824" s="251" t="s">
        <v>2015</v>
      </c>
      <c r="T824" s="251" t="s">
        <v>2016</v>
      </c>
      <c r="U824" s="251" t="s">
        <v>1935</v>
      </c>
      <c r="V824" s="251" t="s">
        <v>1936</v>
      </c>
      <c r="X824" s="251">
        <v>0</v>
      </c>
    </row>
    <row r="825" spans="2:24" x14ac:dyDescent="0.2">
      <c r="B825" s="352" t="s">
        <v>874</v>
      </c>
      <c r="C825" s="352" t="s">
        <v>754</v>
      </c>
      <c r="F825" s="352" t="s">
        <v>1999</v>
      </c>
      <c r="G825" s="352" t="s">
        <v>2120</v>
      </c>
      <c r="H825" s="352" t="s">
        <v>1721</v>
      </c>
      <c r="I825" s="352" t="s">
        <v>1000</v>
      </c>
      <c r="J825" s="352" t="s">
        <v>1001</v>
      </c>
      <c r="K825" s="352">
        <v>2142</v>
      </c>
      <c r="L825" s="352" t="s">
        <v>780</v>
      </c>
      <c r="M825" s="352" t="s">
        <v>2186</v>
      </c>
      <c r="N825" s="352" t="s">
        <v>2048</v>
      </c>
      <c r="O825" s="352">
        <v>12</v>
      </c>
      <c r="P825" s="352" t="s">
        <v>2069</v>
      </c>
      <c r="Q825" s="352" t="s">
        <v>2070</v>
      </c>
      <c r="R825" s="251">
        <v>1518.6046956815255</v>
      </c>
      <c r="S825" s="251" t="s">
        <v>2015</v>
      </c>
      <c r="T825" s="251" t="s">
        <v>2016</v>
      </c>
      <c r="U825" s="251">
        <v>0</v>
      </c>
      <c r="V825" s="251" t="s">
        <v>2153</v>
      </c>
      <c r="X825" s="251">
        <v>0</v>
      </c>
    </row>
    <row r="826" spans="2:24" x14ac:dyDescent="0.2">
      <c r="B826" s="352" t="s">
        <v>874</v>
      </c>
      <c r="C826" s="352" t="s">
        <v>754</v>
      </c>
      <c r="F826" s="352" t="s">
        <v>1999</v>
      </c>
      <c r="G826" s="352" t="s">
        <v>2120</v>
      </c>
      <c r="H826" s="352" t="s">
        <v>1726</v>
      </c>
      <c r="I826" s="352" t="s">
        <v>1002</v>
      </c>
      <c r="J826" s="352" t="s">
        <v>1003</v>
      </c>
      <c r="K826" s="352">
        <v>2113</v>
      </c>
      <c r="L826" s="352" t="s">
        <v>1875</v>
      </c>
      <c r="M826" s="352" t="s">
        <v>2187</v>
      </c>
      <c r="N826" s="352" t="s">
        <v>2048</v>
      </c>
      <c r="O826" s="352">
        <v>1</v>
      </c>
      <c r="P826" s="352" t="s">
        <v>2065</v>
      </c>
      <c r="Q826" s="352" t="s">
        <v>2066</v>
      </c>
      <c r="R826" s="251">
        <v>0.80865974677099495</v>
      </c>
      <c r="S826" s="251" t="s">
        <v>2015</v>
      </c>
      <c r="T826" s="251" t="s">
        <v>2016</v>
      </c>
      <c r="U826" s="251" t="s">
        <v>1935</v>
      </c>
      <c r="V826" s="251" t="s">
        <v>1936</v>
      </c>
      <c r="X826" s="251">
        <v>0</v>
      </c>
    </row>
    <row r="827" spans="2:24" x14ac:dyDescent="0.2">
      <c r="B827" s="352" t="s">
        <v>874</v>
      </c>
      <c r="C827" s="352" t="s">
        <v>754</v>
      </c>
      <c r="F827" s="352" t="s">
        <v>1999</v>
      </c>
      <c r="G827" s="352" t="s">
        <v>2120</v>
      </c>
      <c r="H827" s="352" t="s">
        <v>1726</v>
      </c>
      <c r="I827" s="352" t="s">
        <v>1002</v>
      </c>
      <c r="J827" s="352" t="s">
        <v>1003</v>
      </c>
      <c r="K827" s="352">
        <v>2123</v>
      </c>
      <c r="L827" s="352" t="s">
        <v>1878</v>
      </c>
      <c r="M827" s="352" t="s">
        <v>2188</v>
      </c>
      <c r="N827" s="352" t="s">
        <v>2048</v>
      </c>
      <c r="O827" s="352">
        <v>1</v>
      </c>
      <c r="P827" s="352" t="s">
        <v>2065</v>
      </c>
      <c r="Q827" s="352" t="s">
        <v>2066</v>
      </c>
      <c r="R827" s="251">
        <v>9.5643447863376565</v>
      </c>
      <c r="S827" s="251" t="s">
        <v>2015</v>
      </c>
      <c r="T827" s="251" t="s">
        <v>2016</v>
      </c>
      <c r="U827" s="251" t="s">
        <v>1935</v>
      </c>
      <c r="V827" s="251" t="s">
        <v>1936</v>
      </c>
      <c r="X827" s="251">
        <v>0</v>
      </c>
    </row>
    <row r="828" spans="2:24" x14ac:dyDescent="0.2">
      <c r="B828" s="352" t="s">
        <v>874</v>
      </c>
      <c r="C828" s="352" t="s">
        <v>754</v>
      </c>
      <c r="F828" s="352" t="s">
        <v>1999</v>
      </c>
      <c r="G828" s="352" t="s">
        <v>2120</v>
      </c>
      <c r="H828" s="352" t="s">
        <v>1731</v>
      </c>
      <c r="I828" s="352" t="s">
        <v>1006</v>
      </c>
      <c r="J828" s="352" t="s">
        <v>1007</v>
      </c>
      <c r="K828" s="352">
        <v>2133</v>
      </c>
      <c r="L828" s="352" t="s">
        <v>1881</v>
      </c>
      <c r="M828" s="352" t="s">
        <v>2189</v>
      </c>
      <c r="N828" s="352" t="s">
        <v>2048</v>
      </c>
      <c r="O828" s="352">
        <v>1</v>
      </c>
      <c r="P828" s="352" t="s">
        <v>2065</v>
      </c>
      <c r="Q828" s="352" t="s">
        <v>2066</v>
      </c>
      <c r="R828" s="251">
        <v>78.775955553567726</v>
      </c>
      <c r="S828" s="251" t="s">
        <v>2015</v>
      </c>
      <c r="T828" s="251" t="s">
        <v>2016</v>
      </c>
      <c r="U828" s="251" t="s">
        <v>1935</v>
      </c>
      <c r="V828" s="251" t="s">
        <v>1936</v>
      </c>
      <c r="X828" s="251">
        <v>0</v>
      </c>
    </row>
    <row r="829" spans="2:24" x14ac:dyDescent="0.2">
      <c r="B829" s="352" t="s">
        <v>874</v>
      </c>
      <c r="C829" s="352" t="s">
        <v>754</v>
      </c>
      <c r="F829" s="352" t="s">
        <v>1999</v>
      </c>
      <c r="G829" s="352" t="s">
        <v>2120</v>
      </c>
      <c r="H829" s="352" t="s">
        <v>1731</v>
      </c>
      <c r="I829" s="352" t="s">
        <v>1006</v>
      </c>
      <c r="J829" s="352" t="s">
        <v>1007</v>
      </c>
      <c r="K829" s="352">
        <v>2141</v>
      </c>
      <c r="L829" s="352" t="s">
        <v>1882</v>
      </c>
      <c r="M829" s="352" t="s">
        <v>2190</v>
      </c>
      <c r="N829" s="352" t="s">
        <v>2048</v>
      </c>
      <c r="O829" s="352">
        <v>1</v>
      </c>
      <c r="P829" s="352" t="s">
        <v>2065</v>
      </c>
      <c r="Q829" s="352" t="s">
        <v>2066</v>
      </c>
      <c r="R829" s="251">
        <v>0</v>
      </c>
      <c r="S829" s="251" t="s">
        <v>2015</v>
      </c>
      <c r="T829" s="251" t="s">
        <v>2054</v>
      </c>
      <c r="U829" s="251" t="s">
        <v>1935</v>
      </c>
      <c r="V829" s="251" t="s">
        <v>1936</v>
      </c>
      <c r="X829" s="251">
        <v>0</v>
      </c>
    </row>
    <row r="830" spans="2:24" x14ac:dyDescent="0.2">
      <c r="B830" s="352" t="s">
        <v>874</v>
      </c>
      <c r="C830" s="352" t="s">
        <v>754</v>
      </c>
      <c r="F830" s="352" t="s">
        <v>1999</v>
      </c>
      <c r="G830" s="352" t="s">
        <v>2120</v>
      </c>
      <c r="H830" s="352" t="s">
        <v>1731</v>
      </c>
      <c r="I830" s="352" t="s">
        <v>1006</v>
      </c>
      <c r="J830" s="352" t="s">
        <v>1007</v>
      </c>
      <c r="K830" s="352">
        <v>2221</v>
      </c>
      <c r="L830" s="352" t="s">
        <v>1884</v>
      </c>
      <c r="M830" s="352" t="s">
        <v>2191</v>
      </c>
      <c r="N830" s="352" t="s">
        <v>2048</v>
      </c>
      <c r="O830" s="352">
        <v>1</v>
      </c>
      <c r="P830" s="352" t="s">
        <v>2065</v>
      </c>
      <c r="Q830" s="352" t="s">
        <v>2066</v>
      </c>
      <c r="R830" s="251">
        <v>288.22441271863732</v>
      </c>
      <c r="S830" s="251" t="s">
        <v>2015</v>
      </c>
      <c r="T830" s="251" t="s">
        <v>2016</v>
      </c>
      <c r="U830" s="251" t="s">
        <v>1935</v>
      </c>
      <c r="V830" s="251" t="s">
        <v>1936</v>
      </c>
      <c r="X830" s="251">
        <v>0</v>
      </c>
    </row>
    <row r="831" spans="2:24" x14ac:dyDescent="0.2">
      <c r="B831" s="352" t="s">
        <v>874</v>
      </c>
      <c r="C831" s="352" t="s">
        <v>754</v>
      </c>
      <c r="F831" s="352" t="s">
        <v>1999</v>
      </c>
      <c r="G831" s="352" t="s">
        <v>2120</v>
      </c>
      <c r="H831" s="352" t="s">
        <v>1736</v>
      </c>
      <c r="I831" s="352" t="s">
        <v>1008</v>
      </c>
      <c r="J831" s="352" t="s">
        <v>1009</v>
      </c>
      <c r="K831" s="352">
        <v>2223</v>
      </c>
      <c r="L831" s="352" t="s">
        <v>1886</v>
      </c>
      <c r="M831" s="352" t="s">
        <v>2192</v>
      </c>
      <c r="N831" s="352" t="s">
        <v>2048</v>
      </c>
      <c r="O831" s="352">
        <v>2</v>
      </c>
      <c r="P831" s="352" t="s">
        <v>2071</v>
      </c>
      <c r="Q831" s="352" t="s">
        <v>2072</v>
      </c>
      <c r="R831" s="251">
        <v>10.380408510097872</v>
      </c>
      <c r="S831" s="251" t="s">
        <v>2193</v>
      </c>
      <c r="T831" s="251" t="s">
        <v>2213</v>
      </c>
      <c r="U831" s="251" t="s">
        <v>1937</v>
      </c>
      <c r="V831" s="251" t="s">
        <v>1938</v>
      </c>
      <c r="X831" s="251">
        <v>0</v>
      </c>
    </row>
    <row r="832" spans="2:24" x14ac:dyDescent="0.2">
      <c r="B832" s="352" t="s">
        <v>874</v>
      </c>
      <c r="C832" s="352" t="s">
        <v>754</v>
      </c>
      <c r="F832" s="352" t="s">
        <v>1999</v>
      </c>
      <c r="G832" s="352" t="s">
        <v>2120</v>
      </c>
      <c r="H832" s="352" t="s">
        <v>1741</v>
      </c>
      <c r="I832" s="352" t="s">
        <v>1010</v>
      </c>
      <c r="J832" s="352" t="s">
        <v>1011</v>
      </c>
      <c r="K832" s="352">
        <v>2222</v>
      </c>
      <c r="L832" s="352" t="s">
        <v>1885</v>
      </c>
      <c r="M832" s="352" t="s">
        <v>2194</v>
      </c>
      <c r="N832" s="352" t="s">
        <v>2048</v>
      </c>
      <c r="O832" s="352">
        <v>2</v>
      </c>
      <c r="P832" s="352" t="s">
        <v>2071</v>
      </c>
      <c r="Q832" s="352" t="s">
        <v>2072</v>
      </c>
      <c r="R832" s="251">
        <v>134.07979500328059</v>
      </c>
      <c r="S832" s="251" t="s">
        <v>2193</v>
      </c>
      <c r="T832" s="251" t="s">
        <v>2213</v>
      </c>
      <c r="U832" s="251" t="s">
        <v>1939</v>
      </c>
      <c r="V832" s="251" t="s">
        <v>1940</v>
      </c>
      <c r="X832" s="251">
        <v>0</v>
      </c>
    </row>
    <row r="833" spans="2:24" x14ac:dyDescent="0.2">
      <c r="B833" s="352" t="s">
        <v>874</v>
      </c>
      <c r="C833" s="352" t="s">
        <v>754</v>
      </c>
      <c r="F833" s="352" t="s">
        <v>1999</v>
      </c>
      <c r="G833" s="352" t="s">
        <v>2120</v>
      </c>
      <c r="H833" s="352" t="s">
        <v>1746</v>
      </c>
      <c r="I833" s="352" t="s">
        <v>1012</v>
      </c>
      <c r="J833" s="352" t="s">
        <v>1013</v>
      </c>
      <c r="K833" s="352">
        <v>2222</v>
      </c>
      <c r="L833" s="352" t="s">
        <v>1885</v>
      </c>
      <c r="M833" s="352" t="s">
        <v>2195</v>
      </c>
      <c r="N833" s="352" t="s">
        <v>2048</v>
      </c>
      <c r="O833" s="352">
        <v>2</v>
      </c>
      <c r="P833" s="352" t="s">
        <v>2071</v>
      </c>
      <c r="Q833" s="352" t="s">
        <v>2072</v>
      </c>
      <c r="R833" s="251">
        <v>0</v>
      </c>
      <c r="S833" s="251" t="s">
        <v>2193</v>
      </c>
      <c r="T833" s="251" t="s">
        <v>2054</v>
      </c>
      <c r="U833" s="251" t="s">
        <v>1939</v>
      </c>
      <c r="V833" s="251" t="s">
        <v>1940</v>
      </c>
      <c r="X833" s="251">
        <v>0</v>
      </c>
    </row>
    <row r="834" spans="2:24" x14ac:dyDescent="0.2">
      <c r="B834" s="352" t="s">
        <v>874</v>
      </c>
      <c r="C834" s="352" t="s">
        <v>754</v>
      </c>
      <c r="F834" s="352" t="s">
        <v>1999</v>
      </c>
      <c r="G834" s="352" t="s">
        <v>2120</v>
      </c>
      <c r="H834" s="352" t="s">
        <v>1751</v>
      </c>
      <c r="I834" s="352" t="s">
        <v>1014</v>
      </c>
      <c r="J834" s="352" t="s">
        <v>1893</v>
      </c>
      <c r="K834" s="352">
        <v>2131</v>
      </c>
      <c r="L834" s="352" t="s">
        <v>1879</v>
      </c>
      <c r="M834" s="352" t="s">
        <v>2196</v>
      </c>
      <c r="N834" s="352" t="s">
        <v>2048</v>
      </c>
      <c r="O834" s="352">
        <v>8</v>
      </c>
      <c r="P834" s="352" t="s">
        <v>2067</v>
      </c>
      <c r="Q834" s="352" t="s">
        <v>2068</v>
      </c>
      <c r="R834" s="251">
        <v>0</v>
      </c>
      <c r="S834" s="251" t="s">
        <v>2015</v>
      </c>
      <c r="T834" s="251" t="s">
        <v>2054</v>
      </c>
      <c r="U834" s="251" t="s">
        <v>1929</v>
      </c>
      <c r="V834" s="251" t="s">
        <v>1930</v>
      </c>
      <c r="X834" s="251">
        <v>0</v>
      </c>
    </row>
    <row r="835" spans="2:24" x14ac:dyDescent="0.2">
      <c r="B835" s="352" t="s">
        <v>874</v>
      </c>
      <c r="C835" s="352" t="s">
        <v>754</v>
      </c>
      <c r="F835" s="352" t="s">
        <v>1999</v>
      </c>
      <c r="G835" s="352" t="s">
        <v>2120</v>
      </c>
      <c r="H835" s="352" t="s">
        <v>1751</v>
      </c>
      <c r="I835" s="352" t="s">
        <v>1014</v>
      </c>
      <c r="J835" s="352" t="s">
        <v>1893</v>
      </c>
      <c r="K835" s="352">
        <v>2132</v>
      </c>
      <c r="L835" s="352" t="s">
        <v>1880</v>
      </c>
      <c r="M835" s="352" t="s">
        <v>2197</v>
      </c>
      <c r="N835" s="352" t="s">
        <v>2048</v>
      </c>
      <c r="O835" s="352">
        <v>8</v>
      </c>
      <c r="P835" s="352" t="s">
        <v>2067</v>
      </c>
      <c r="Q835" s="352" t="s">
        <v>2068</v>
      </c>
      <c r="R835" s="251">
        <v>0</v>
      </c>
      <c r="S835" s="251" t="s">
        <v>2015</v>
      </c>
      <c r="T835" s="251" t="s">
        <v>2054</v>
      </c>
      <c r="U835" s="251" t="s">
        <v>1931</v>
      </c>
      <c r="V835" s="251" t="s">
        <v>1932</v>
      </c>
      <c r="X835" s="251">
        <v>0</v>
      </c>
    </row>
    <row r="836" spans="2:24" x14ac:dyDescent="0.2">
      <c r="B836" s="352" t="s">
        <v>874</v>
      </c>
      <c r="C836" s="352" t="s">
        <v>754</v>
      </c>
      <c r="F836" s="352" t="s">
        <v>1999</v>
      </c>
      <c r="G836" s="352" t="s">
        <v>2120</v>
      </c>
      <c r="H836" s="352" t="s">
        <v>1751</v>
      </c>
      <c r="I836" s="352" t="s">
        <v>1014</v>
      </c>
      <c r="J836" s="352" t="s">
        <v>1893</v>
      </c>
      <c r="K836" s="352">
        <v>2133</v>
      </c>
      <c r="L836" s="352" t="s">
        <v>1881</v>
      </c>
      <c r="M836" s="352" t="s">
        <v>2198</v>
      </c>
      <c r="N836" s="352" t="s">
        <v>2048</v>
      </c>
      <c r="O836" s="352">
        <v>8</v>
      </c>
      <c r="P836" s="352" t="s">
        <v>2067</v>
      </c>
      <c r="Q836" s="352" t="s">
        <v>2068</v>
      </c>
      <c r="R836" s="251">
        <v>0</v>
      </c>
      <c r="S836" s="251" t="s">
        <v>2015</v>
      </c>
      <c r="T836" s="251" t="s">
        <v>2054</v>
      </c>
      <c r="U836" s="251" t="s">
        <v>1935</v>
      </c>
      <c r="V836" s="251" t="s">
        <v>1936</v>
      </c>
      <c r="X836" s="251">
        <v>0</v>
      </c>
    </row>
    <row r="837" spans="2:24" x14ac:dyDescent="0.2">
      <c r="B837" s="352" t="s">
        <v>874</v>
      </c>
      <c r="C837" s="352" t="s">
        <v>754</v>
      </c>
      <c r="F837" s="352" t="s">
        <v>1999</v>
      </c>
      <c r="G837" s="352" t="s">
        <v>2120</v>
      </c>
      <c r="H837" s="352" t="s">
        <v>1751</v>
      </c>
      <c r="I837" s="352" t="s">
        <v>1014</v>
      </c>
      <c r="J837" s="352" t="s">
        <v>1893</v>
      </c>
      <c r="K837" s="352">
        <v>2134</v>
      </c>
      <c r="L837" s="352" t="s">
        <v>775</v>
      </c>
      <c r="M837" s="352" t="s">
        <v>2199</v>
      </c>
      <c r="N837" s="352" t="s">
        <v>2048</v>
      </c>
      <c r="O837" s="352">
        <v>8</v>
      </c>
      <c r="P837" s="352" t="s">
        <v>2067</v>
      </c>
      <c r="Q837" s="352" t="s">
        <v>2068</v>
      </c>
      <c r="R837" s="251">
        <v>5.7765184973207138</v>
      </c>
      <c r="S837" s="251" t="s">
        <v>2015</v>
      </c>
      <c r="T837" s="251" t="s">
        <v>2016</v>
      </c>
      <c r="U837" s="251">
        <v>0</v>
      </c>
      <c r="V837" s="251" t="s">
        <v>2153</v>
      </c>
      <c r="X837" s="251">
        <v>0</v>
      </c>
    </row>
    <row r="838" spans="2:24" x14ac:dyDescent="0.2">
      <c r="B838" s="352" t="s">
        <v>874</v>
      </c>
      <c r="C838" s="352" t="s">
        <v>754</v>
      </c>
      <c r="F838" s="352" t="s">
        <v>1999</v>
      </c>
      <c r="G838" s="352" t="s">
        <v>2120</v>
      </c>
      <c r="H838" s="352" t="s">
        <v>1751</v>
      </c>
      <c r="I838" s="352" t="s">
        <v>1014</v>
      </c>
      <c r="J838" s="352" t="s">
        <v>1893</v>
      </c>
      <c r="K838" s="352">
        <v>2141</v>
      </c>
      <c r="L838" s="352" t="s">
        <v>1882</v>
      </c>
      <c r="M838" s="352" t="s">
        <v>2200</v>
      </c>
      <c r="N838" s="352" t="s">
        <v>2048</v>
      </c>
      <c r="O838" s="352">
        <v>8</v>
      </c>
      <c r="P838" s="352" t="s">
        <v>2067</v>
      </c>
      <c r="Q838" s="352" t="s">
        <v>2068</v>
      </c>
      <c r="R838" s="251">
        <v>18.880530799208778</v>
      </c>
      <c r="S838" s="251" t="s">
        <v>2015</v>
      </c>
      <c r="T838" s="251" t="s">
        <v>2016</v>
      </c>
      <c r="U838" s="251" t="s">
        <v>1935</v>
      </c>
      <c r="V838" s="251" t="s">
        <v>1936</v>
      </c>
      <c r="X838" s="251">
        <v>0</v>
      </c>
    </row>
    <row r="839" spans="2:24" x14ac:dyDescent="0.2">
      <c r="B839" s="352" t="s">
        <v>874</v>
      </c>
      <c r="C839" s="352" t="s">
        <v>754</v>
      </c>
      <c r="F839" s="352" t="s">
        <v>1999</v>
      </c>
      <c r="G839" s="352" t="s">
        <v>2120</v>
      </c>
      <c r="H839" s="352" t="s">
        <v>1751</v>
      </c>
      <c r="I839" s="352" t="s">
        <v>1014</v>
      </c>
      <c r="J839" s="352" t="s">
        <v>1893</v>
      </c>
      <c r="K839" s="352">
        <v>2211</v>
      </c>
      <c r="L839" s="352" t="s">
        <v>1883</v>
      </c>
      <c r="M839" s="352" t="s">
        <v>2201</v>
      </c>
      <c r="N839" s="352" t="s">
        <v>2048</v>
      </c>
      <c r="O839" s="352">
        <v>8</v>
      </c>
      <c r="P839" s="352" t="s">
        <v>2067</v>
      </c>
      <c r="Q839" s="352" t="s">
        <v>2068</v>
      </c>
      <c r="R839" s="251">
        <v>0</v>
      </c>
      <c r="S839" s="251" t="s">
        <v>2015</v>
      </c>
      <c r="T839" s="251" t="s">
        <v>2054</v>
      </c>
      <c r="U839" s="251" t="s">
        <v>1929</v>
      </c>
      <c r="V839" s="251" t="s">
        <v>1930</v>
      </c>
      <c r="X839" s="251">
        <v>0</v>
      </c>
    </row>
    <row r="840" spans="2:24" x14ac:dyDescent="0.2">
      <c r="B840" s="352" t="s">
        <v>874</v>
      </c>
      <c r="C840" s="352" t="s">
        <v>754</v>
      </c>
      <c r="F840" s="352" t="s">
        <v>1999</v>
      </c>
      <c r="G840" s="352" t="s">
        <v>2120</v>
      </c>
      <c r="H840" s="352" t="s">
        <v>1751</v>
      </c>
      <c r="I840" s="352" t="s">
        <v>1014</v>
      </c>
      <c r="J840" s="352" t="s">
        <v>1893</v>
      </c>
      <c r="K840" s="352">
        <v>2221</v>
      </c>
      <c r="L840" s="352" t="s">
        <v>1884</v>
      </c>
      <c r="M840" s="352" t="s">
        <v>2202</v>
      </c>
      <c r="N840" s="352" t="s">
        <v>2048</v>
      </c>
      <c r="O840" s="352">
        <v>8</v>
      </c>
      <c r="P840" s="352" t="s">
        <v>2067</v>
      </c>
      <c r="Q840" s="352" t="s">
        <v>2068</v>
      </c>
      <c r="R840" s="251">
        <v>0</v>
      </c>
      <c r="S840" s="251" t="s">
        <v>2015</v>
      </c>
      <c r="T840" s="251" t="s">
        <v>2054</v>
      </c>
      <c r="U840" s="251" t="s">
        <v>1935</v>
      </c>
      <c r="V840" s="251" t="s">
        <v>1936</v>
      </c>
      <c r="X840" s="251">
        <v>0</v>
      </c>
    </row>
    <row r="841" spans="2:24" x14ac:dyDescent="0.2">
      <c r="B841" s="352" t="s">
        <v>874</v>
      </c>
      <c r="C841" s="352" t="s">
        <v>754</v>
      </c>
      <c r="F841" s="352" t="s">
        <v>1999</v>
      </c>
      <c r="G841" s="352" t="s">
        <v>2120</v>
      </c>
      <c r="H841" s="352" t="s">
        <v>1756</v>
      </c>
      <c r="I841" s="352" t="s">
        <v>1015</v>
      </c>
      <c r="J841" s="352" t="s">
        <v>1016</v>
      </c>
      <c r="K841" s="352">
        <v>3111</v>
      </c>
      <c r="L841" s="352" t="s">
        <v>763</v>
      </c>
      <c r="M841" s="352" t="s">
        <v>2203</v>
      </c>
      <c r="N841" s="352" t="s">
        <v>2048</v>
      </c>
      <c r="O841" s="352">
        <v>1</v>
      </c>
      <c r="P841" s="352" t="s">
        <v>2065</v>
      </c>
      <c r="Q841" s="352" t="s">
        <v>2066</v>
      </c>
      <c r="R841" s="251">
        <v>0</v>
      </c>
      <c r="S841" s="251"/>
      <c r="T841" s="251" t="s">
        <v>2054</v>
      </c>
      <c r="U841" s="251" t="s">
        <v>1945</v>
      </c>
      <c r="V841" s="251" t="s">
        <v>709</v>
      </c>
      <c r="X841" s="251">
        <v>0</v>
      </c>
    </row>
    <row r="842" spans="2:24" x14ac:dyDescent="0.2">
      <c r="B842" s="352" t="s">
        <v>874</v>
      </c>
      <c r="C842" s="352" t="s">
        <v>754</v>
      </c>
      <c r="F842" s="352" t="s">
        <v>1999</v>
      </c>
      <c r="G842" s="352" t="s">
        <v>2120</v>
      </c>
      <c r="H842" s="352" t="s">
        <v>1756</v>
      </c>
      <c r="I842" s="352" t="s">
        <v>1015</v>
      </c>
      <c r="J842" s="352" t="s">
        <v>1016</v>
      </c>
      <c r="K842" s="352">
        <v>3121</v>
      </c>
      <c r="L842" s="352" t="s">
        <v>766</v>
      </c>
      <c r="M842" s="352" t="s">
        <v>2204</v>
      </c>
      <c r="N842" s="352" t="s">
        <v>2048</v>
      </c>
      <c r="O842" s="352">
        <v>1</v>
      </c>
      <c r="P842" s="352" t="s">
        <v>2065</v>
      </c>
      <c r="Q842" s="352" t="s">
        <v>2066</v>
      </c>
      <c r="R842" s="251">
        <v>0</v>
      </c>
      <c r="S842" s="251"/>
      <c r="T842" s="251" t="s">
        <v>2054</v>
      </c>
      <c r="U842" s="251" t="s">
        <v>1945</v>
      </c>
      <c r="V842" s="251" t="s">
        <v>709</v>
      </c>
      <c r="X842" s="251">
        <v>0</v>
      </c>
    </row>
    <row r="843" spans="2:24" x14ac:dyDescent="0.2">
      <c r="B843" s="352" t="s">
        <v>874</v>
      </c>
      <c r="C843" s="352" t="s">
        <v>754</v>
      </c>
      <c r="F843" s="352" t="s">
        <v>1999</v>
      </c>
      <c r="G843" s="352" t="s">
        <v>2120</v>
      </c>
      <c r="H843" s="352" t="s">
        <v>1761</v>
      </c>
      <c r="I843" s="352" t="s">
        <v>1017</v>
      </c>
      <c r="J843" s="352" t="s">
        <v>1018</v>
      </c>
      <c r="K843" s="352">
        <v>4111</v>
      </c>
      <c r="L843" s="352" t="s">
        <v>770</v>
      </c>
      <c r="M843" s="352" t="s">
        <v>2205</v>
      </c>
      <c r="N843" s="352" t="s">
        <v>2048</v>
      </c>
      <c r="O843" s="352">
        <v>11</v>
      </c>
      <c r="P843" s="352" t="s">
        <v>2063</v>
      </c>
      <c r="Q843" s="352" t="s">
        <v>2064</v>
      </c>
      <c r="R843" s="251">
        <v>64.998404586668585</v>
      </c>
      <c r="S843" s="251" t="s">
        <v>2015</v>
      </c>
      <c r="T843" s="251" t="s">
        <v>2016</v>
      </c>
      <c r="U843" s="251" t="s">
        <v>1946</v>
      </c>
      <c r="V843" s="251" t="s">
        <v>1947</v>
      </c>
      <c r="X843" s="251">
        <v>0</v>
      </c>
    </row>
    <row r="844" spans="2:24" x14ac:dyDescent="0.2">
      <c r="B844" s="352" t="s">
        <v>874</v>
      </c>
      <c r="C844" s="352" t="s">
        <v>754</v>
      </c>
      <c r="F844" s="352" t="s">
        <v>1999</v>
      </c>
      <c r="G844" s="352" t="s">
        <v>2120</v>
      </c>
      <c r="H844" s="352" t="s">
        <v>1761</v>
      </c>
      <c r="I844" s="352" t="s">
        <v>1017</v>
      </c>
      <c r="J844" s="352" t="s">
        <v>1018</v>
      </c>
      <c r="K844" s="352">
        <v>4121</v>
      </c>
      <c r="L844" s="352" t="s">
        <v>772</v>
      </c>
      <c r="M844" s="352" t="s">
        <v>2206</v>
      </c>
      <c r="N844" s="352" t="s">
        <v>2048</v>
      </c>
      <c r="O844" s="352">
        <v>11</v>
      </c>
      <c r="P844" s="352" t="s">
        <v>2063</v>
      </c>
      <c r="Q844" s="352" t="s">
        <v>2064</v>
      </c>
      <c r="R844" s="251">
        <v>76.444014208759668</v>
      </c>
      <c r="S844" s="251" t="s">
        <v>2015</v>
      </c>
      <c r="T844" s="251" t="s">
        <v>2016</v>
      </c>
      <c r="U844" s="251" t="s">
        <v>1946</v>
      </c>
      <c r="V844" s="251" t="s">
        <v>1947</v>
      </c>
      <c r="X844" s="251">
        <v>0</v>
      </c>
    </row>
    <row r="845" spans="2:24" x14ac:dyDescent="0.2">
      <c r="B845" s="352" t="s">
        <v>874</v>
      </c>
      <c r="C845" s="352" t="s">
        <v>754</v>
      </c>
      <c r="F845" s="352" t="s">
        <v>1999</v>
      </c>
      <c r="G845" s="352" t="s">
        <v>2120</v>
      </c>
      <c r="H845" s="352" t="s">
        <v>1766</v>
      </c>
      <c r="I845" s="352" t="s">
        <v>1019</v>
      </c>
      <c r="J845" s="352" t="s">
        <v>1020</v>
      </c>
      <c r="K845" s="352">
        <v>4231</v>
      </c>
      <c r="L845" s="352" t="s">
        <v>774</v>
      </c>
      <c r="M845" s="352" t="s">
        <v>2207</v>
      </c>
      <c r="N845" s="352" t="s">
        <v>2048</v>
      </c>
      <c r="O845" s="352">
        <v>1</v>
      </c>
      <c r="P845" s="352" t="s">
        <v>2065</v>
      </c>
      <c r="Q845" s="352" t="s">
        <v>2066</v>
      </c>
      <c r="R845" s="251">
        <v>613.13049765121048</v>
      </c>
      <c r="S845" s="251" t="s">
        <v>2015</v>
      </c>
      <c r="T845" s="251" t="s">
        <v>2016</v>
      </c>
      <c r="U845" s="251" t="s">
        <v>1948</v>
      </c>
      <c r="V845" s="251" t="s">
        <v>1949</v>
      </c>
      <c r="X845" s="251">
        <v>0</v>
      </c>
    </row>
    <row r="846" spans="2:24" x14ac:dyDescent="0.2">
      <c r="B846" s="352" t="s">
        <v>874</v>
      </c>
      <c r="C846" s="352" t="s">
        <v>754</v>
      </c>
      <c r="F846" s="352" t="s">
        <v>1999</v>
      </c>
      <c r="G846" s="352" t="s">
        <v>2120</v>
      </c>
      <c r="H846" s="352" t="s">
        <v>1766</v>
      </c>
      <c r="I846" s="352" t="s">
        <v>1019</v>
      </c>
      <c r="J846" s="352" t="s">
        <v>1020</v>
      </c>
      <c r="K846" s="352">
        <v>4241</v>
      </c>
      <c r="L846" s="352" t="s">
        <v>777</v>
      </c>
      <c r="M846" s="352" t="s">
        <v>2208</v>
      </c>
      <c r="N846" s="352" t="s">
        <v>2048</v>
      </c>
      <c r="O846" s="352">
        <v>1</v>
      </c>
      <c r="P846" s="352" t="s">
        <v>2065</v>
      </c>
      <c r="Q846" s="352" t="s">
        <v>2066</v>
      </c>
      <c r="R846" s="251">
        <v>19822.546504618138</v>
      </c>
      <c r="S846" s="251" t="s">
        <v>2015</v>
      </c>
      <c r="T846" s="251" t="s">
        <v>2016</v>
      </c>
      <c r="U846" s="251" t="s">
        <v>1950</v>
      </c>
      <c r="V846" s="251" t="s">
        <v>1951</v>
      </c>
      <c r="X846" s="251">
        <v>0</v>
      </c>
    </row>
    <row r="847" spans="2:24" x14ac:dyDescent="0.2">
      <c r="B847" s="352" t="s">
        <v>874</v>
      </c>
      <c r="C847" s="352" t="s">
        <v>754</v>
      </c>
      <c r="F847" s="352" t="s">
        <v>1999</v>
      </c>
      <c r="G847" s="352" t="s">
        <v>2120</v>
      </c>
      <c r="H847" s="352" t="s">
        <v>1766</v>
      </c>
      <c r="I847" s="352" t="s">
        <v>1019</v>
      </c>
      <c r="J847" s="352" t="s">
        <v>1020</v>
      </c>
      <c r="K847" s="352">
        <v>4311</v>
      </c>
      <c r="L847" s="352" t="s">
        <v>779</v>
      </c>
      <c r="M847" s="352" t="s">
        <v>2209</v>
      </c>
      <c r="N847" s="352" t="s">
        <v>2048</v>
      </c>
      <c r="O847" s="352">
        <v>1</v>
      </c>
      <c r="P847" s="352" t="s">
        <v>2065</v>
      </c>
      <c r="Q847" s="352" t="s">
        <v>2066</v>
      </c>
      <c r="R847" s="251">
        <v>0</v>
      </c>
      <c r="S847" s="251" t="s">
        <v>2015</v>
      </c>
      <c r="T847" s="251" t="s">
        <v>2054</v>
      </c>
      <c r="U847" s="251" t="s">
        <v>1952</v>
      </c>
      <c r="V847" s="251" t="s">
        <v>1953</v>
      </c>
      <c r="X847" s="251">
        <v>0</v>
      </c>
    </row>
    <row r="848" spans="2:24" x14ac:dyDescent="0.2">
      <c r="B848" s="352" t="s">
        <v>874</v>
      </c>
      <c r="C848" s="352" t="s">
        <v>754</v>
      </c>
      <c r="F848" s="352" t="s">
        <v>1999</v>
      </c>
      <c r="G848" s="352" t="s">
        <v>2120</v>
      </c>
      <c r="H848" s="352" t="s">
        <v>1771</v>
      </c>
      <c r="I848" s="352" t="s">
        <v>1021</v>
      </c>
      <c r="J848" s="352" t="s">
        <v>751</v>
      </c>
      <c r="K848" s="352">
        <v>4231</v>
      </c>
      <c r="L848" s="352" t="s">
        <v>774</v>
      </c>
      <c r="M848" s="352" t="s">
        <v>2210</v>
      </c>
      <c r="N848" s="352" t="s">
        <v>2048</v>
      </c>
      <c r="O848" s="352">
        <v>20</v>
      </c>
      <c r="P848" s="352" t="s">
        <v>2073</v>
      </c>
      <c r="Q848" s="352" t="s">
        <v>2074</v>
      </c>
      <c r="R848" s="251">
        <v>0</v>
      </c>
      <c r="S848" s="251" t="s">
        <v>2015</v>
      </c>
      <c r="T848" s="251" t="s">
        <v>2054</v>
      </c>
      <c r="U848" s="251" t="s">
        <v>1948</v>
      </c>
      <c r="V848" s="251" t="s">
        <v>1949</v>
      </c>
      <c r="X848" s="251">
        <v>0</v>
      </c>
    </row>
    <row r="849" spans="2:24" x14ac:dyDescent="0.2">
      <c r="B849" s="352" t="s">
        <v>874</v>
      </c>
      <c r="C849" s="352" t="s">
        <v>754</v>
      </c>
      <c r="F849" s="352" t="s">
        <v>1999</v>
      </c>
      <c r="G849" s="352" t="s">
        <v>2120</v>
      </c>
      <c r="H849" s="352" t="s">
        <v>1771</v>
      </c>
      <c r="I849" s="352" t="s">
        <v>1021</v>
      </c>
      <c r="J849" s="352" t="s">
        <v>751</v>
      </c>
      <c r="K849" s="352">
        <v>4241</v>
      </c>
      <c r="L849" s="352" t="s">
        <v>777</v>
      </c>
      <c r="M849" s="352" t="s">
        <v>2211</v>
      </c>
      <c r="N849" s="352" t="s">
        <v>2048</v>
      </c>
      <c r="O849" s="352">
        <v>20</v>
      </c>
      <c r="P849" s="352" t="s">
        <v>2073</v>
      </c>
      <c r="Q849" s="352" t="s">
        <v>2074</v>
      </c>
      <c r="R849" s="251">
        <v>0</v>
      </c>
      <c r="S849" s="251" t="s">
        <v>2015</v>
      </c>
      <c r="T849" s="251" t="s">
        <v>2054</v>
      </c>
      <c r="U849" s="251" t="s">
        <v>1950</v>
      </c>
      <c r="V849" s="251" t="s">
        <v>1951</v>
      </c>
      <c r="X849" s="251">
        <v>0</v>
      </c>
    </row>
    <row r="850" spans="2:24" x14ac:dyDescent="0.2">
      <c r="B850" s="352" t="s">
        <v>874</v>
      </c>
      <c r="C850" s="352" t="s">
        <v>754</v>
      </c>
      <c r="F850" s="352" t="s">
        <v>1999</v>
      </c>
      <c r="G850" s="352" t="s">
        <v>2120</v>
      </c>
      <c r="H850" s="352" t="s">
        <v>1771</v>
      </c>
      <c r="I850" s="352" t="s">
        <v>1021</v>
      </c>
      <c r="J850" s="352" t="s">
        <v>751</v>
      </c>
      <c r="K850" s="352">
        <v>4311</v>
      </c>
      <c r="L850" s="352" t="s">
        <v>779</v>
      </c>
      <c r="M850" s="352" t="s">
        <v>2212</v>
      </c>
      <c r="N850" s="352" t="s">
        <v>2048</v>
      </c>
      <c r="O850" s="352">
        <v>20</v>
      </c>
      <c r="P850" s="352" t="s">
        <v>2073</v>
      </c>
      <c r="Q850" s="352" t="s">
        <v>2074</v>
      </c>
      <c r="R850" s="251">
        <v>24050.323138516822</v>
      </c>
      <c r="S850" s="251" t="s">
        <v>2015</v>
      </c>
      <c r="T850" s="251" t="s">
        <v>2016</v>
      </c>
      <c r="U850" s="251" t="s">
        <v>1952</v>
      </c>
      <c r="V850" s="251" t="s">
        <v>1953</v>
      </c>
      <c r="X850" s="251">
        <v>0</v>
      </c>
    </row>
    <row r="851" spans="2:24" x14ac:dyDescent="0.2">
      <c r="B851" s="352" t="s">
        <v>874</v>
      </c>
      <c r="C851" s="352" t="s">
        <v>757</v>
      </c>
      <c r="F851" s="352" t="s">
        <v>2000</v>
      </c>
      <c r="G851" s="352" t="s">
        <v>2127</v>
      </c>
      <c r="H851" s="352" t="s">
        <v>1776</v>
      </c>
      <c r="I851" s="352" t="s">
        <v>1015</v>
      </c>
      <c r="J851" s="352" t="s">
        <v>1016</v>
      </c>
      <c r="K851" s="352">
        <v>3111</v>
      </c>
      <c r="L851" s="352" t="s">
        <v>763</v>
      </c>
      <c r="M851" s="352" t="s">
        <v>2203</v>
      </c>
      <c r="N851" s="352" t="s">
        <v>2076</v>
      </c>
      <c r="O851" s="352">
        <v>99</v>
      </c>
      <c r="P851" s="352" t="s">
        <v>2124</v>
      </c>
      <c r="Q851" s="352" t="s">
        <v>2125</v>
      </c>
      <c r="R851" s="251">
        <v>11731.07589475211</v>
      </c>
      <c r="S851" s="251"/>
      <c r="T851" s="251" t="s">
        <v>2054</v>
      </c>
      <c r="U851" s="251" t="s">
        <v>1945</v>
      </c>
      <c r="V851" s="251" t="s">
        <v>709</v>
      </c>
      <c r="X851" s="251">
        <v>0</v>
      </c>
    </row>
    <row r="852" spans="2:24" x14ac:dyDescent="0.2">
      <c r="B852" s="352" t="s">
        <v>874</v>
      </c>
      <c r="C852" s="352" t="s">
        <v>757</v>
      </c>
      <c r="F852" s="352" t="s">
        <v>2000</v>
      </c>
      <c r="G852" s="352" t="s">
        <v>2127</v>
      </c>
      <c r="H852" s="352" t="s">
        <v>1776</v>
      </c>
      <c r="I852" s="352" t="s">
        <v>1015</v>
      </c>
      <c r="J852" s="352" t="s">
        <v>1016</v>
      </c>
      <c r="K852" s="352">
        <v>3121</v>
      </c>
      <c r="L852" s="352" t="s">
        <v>766</v>
      </c>
      <c r="M852" s="352" t="s">
        <v>2204</v>
      </c>
      <c r="N852" s="352" t="s">
        <v>2076</v>
      </c>
      <c r="O852" s="352">
        <v>99</v>
      </c>
      <c r="P852" s="352" t="s">
        <v>2124</v>
      </c>
      <c r="Q852" s="352" t="s">
        <v>2125</v>
      </c>
      <c r="R852" s="251">
        <v>52820.765868882743</v>
      </c>
      <c r="S852" s="251"/>
      <c r="T852" s="251" t="s">
        <v>2054</v>
      </c>
      <c r="U852" s="251" t="s">
        <v>1945</v>
      </c>
      <c r="V852" s="251" t="s">
        <v>709</v>
      </c>
      <c r="X852" s="251">
        <v>0</v>
      </c>
    </row>
    <row r="853" spans="2:24" x14ac:dyDescent="0.2">
      <c r="B853" s="352" t="s">
        <v>873</v>
      </c>
      <c r="C853" s="352" t="s">
        <v>706</v>
      </c>
      <c r="F853" s="352" t="s">
        <v>1992</v>
      </c>
      <c r="G853" s="352" t="s">
        <v>2053</v>
      </c>
      <c r="H853" s="352" t="s">
        <v>1183</v>
      </c>
      <c r="I853" s="352" t="s">
        <v>969</v>
      </c>
      <c r="J853" s="352" t="s">
        <v>970</v>
      </c>
      <c r="K853" s="352">
        <v>1111</v>
      </c>
      <c r="L853" s="352" t="s">
        <v>699</v>
      </c>
      <c r="M853" s="352" t="s">
        <v>2147</v>
      </c>
      <c r="N853" s="352" t="s">
        <v>2048</v>
      </c>
      <c r="O853" s="352">
        <v>6</v>
      </c>
      <c r="P853" s="352" t="s">
        <v>2049</v>
      </c>
      <c r="Q853" s="352" t="s">
        <v>2050</v>
      </c>
      <c r="R853" s="251">
        <v>52398.11036940926</v>
      </c>
      <c r="S853" s="251" t="s">
        <v>2015</v>
      </c>
      <c r="T853" s="251" t="s">
        <v>2016</v>
      </c>
      <c r="U853" s="251" t="s">
        <v>1914</v>
      </c>
      <c r="V853" s="251" t="s">
        <v>1915</v>
      </c>
      <c r="X853" s="251">
        <v>0</v>
      </c>
    </row>
    <row r="854" spans="2:24" x14ac:dyDescent="0.2">
      <c r="B854" s="352" t="s">
        <v>873</v>
      </c>
      <c r="C854" s="352" t="s">
        <v>706</v>
      </c>
      <c r="F854" s="352" t="s">
        <v>1992</v>
      </c>
      <c r="G854" s="352" t="s">
        <v>2053</v>
      </c>
      <c r="H854" s="352" t="s">
        <v>1183</v>
      </c>
      <c r="I854" s="352" t="s">
        <v>969</v>
      </c>
      <c r="J854" s="352" t="s">
        <v>970</v>
      </c>
      <c r="K854" s="352">
        <v>1231</v>
      </c>
      <c r="L854" s="352" t="s">
        <v>726</v>
      </c>
      <c r="M854" s="352" t="s">
        <v>2148</v>
      </c>
      <c r="N854" s="352" t="s">
        <v>2048</v>
      </c>
      <c r="O854" s="352">
        <v>6</v>
      </c>
      <c r="P854" s="352" t="s">
        <v>2049</v>
      </c>
      <c r="Q854" s="352" t="s">
        <v>2050</v>
      </c>
      <c r="R854" s="251">
        <v>2286.2221168486153</v>
      </c>
      <c r="S854" s="251" t="s">
        <v>2015</v>
      </c>
      <c r="T854" s="251" t="s">
        <v>2016</v>
      </c>
      <c r="U854" s="251" t="s">
        <v>1920</v>
      </c>
      <c r="V854" s="251" t="s">
        <v>726</v>
      </c>
      <c r="X854" s="251">
        <v>0</v>
      </c>
    </row>
    <row r="855" spans="2:24" x14ac:dyDescent="0.2">
      <c r="B855" s="352" t="s">
        <v>873</v>
      </c>
      <c r="C855" s="352" t="s">
        <v>706</v>
      </c>
      <c r="F855" s="352" t="s">
        <v>1992</v>
      </c>
      <c r="G855" s="352" t="s">
        <v>2053</v>
      </c>
      <c r="H855" s="352" t="s">
        <v>1187</v>
      </c>
      <c r="I855" s="352" t="s">
        <v>971</v>
      </c>
      <c r="J855" s="352" t="s">
        <v>972</v>
      </c>
      <c r="K855" s="352">
        <v>1211</v>
      </c>
      <c r="L855" s="352" t="s">
        <v>705</v>
      </c>
      <c r="M855" s="352" t="s">
        <v>2149</v>
      </c>
      <c r="N855" s="352" t="s">
        <v>2048</v>
      </c>
      <c r="O855" s="352">
        <v>6</v>
      </c>
      <c r="P855" s="352" t="s">
        <v>2049</v>
      </c>
      <c r="Q855" s="352" t="s">
        <v>2050</v>
      </c>
      <c r="R855" s="251">
        <v>0</v>
      </c>
      <c r="S855" s="251" t="s">
        <v>2015</v>
      </c>
      <c r="T855" s="251" t="s">
        <v>2054</v>
      </c>
      <c r="U855" s="251" t="s">
        <v>1916</v>
      </c>
      <c r="V855" s="251" t="s">
        <v>1917</v>
      </c>
      <c r="X855" s="251">
        <v>0</v>
      </c>
    </row>
    <row r="856" spans="2:24" x14ac:dyDescent="0.2">
      <c r="B856" s="352" t="s">
        <v>873</v>
      </c>
      <c r="C856" s="352" t="s">
        <v>706</v>
      </c>
      <c r="F856" s="352" t="s">
        <v>1992</v>
      </c>
      <c r="G856" s="352" t="s">
        <v>2053</v>
      </c>
      <c r="H856" s="352" t="s">
        <v>1191</v>
      </c>
      <c r="I856" s="352" t="s">
        <v>973</v>
      </c>
      <c r="J856" s="352" t="s">
        <v>974</v>
      </c>
      <c r="K856" s="352">
        <v>1211</v>
      </c>
      <c r="L856" s="352" t="s">
        <v>705</v>
      </c>
      <c r="M856" s="352" t="s">
        <v>2150</v>
      </c>
      <c r="N856" s="352" t="s">
        <v>2048</v>
      </c>
      <c r="O856" s="352">
        <v>6</v>
      </c>
      <c r="P856" s="352" t="s">
        <v>2049</v>
      </c>
      <c r="Q856" s="352" t="s">
        <v>2050</v>
      </c>
      <c r="R856" s="251">
        <v>10311.768768738873</v>
      </c>
      <c r="S856" s="251" t="s">
        <v>2015</v>
      </c>
      <c r="T856" s="251" t="s">
        <v>2016</v>
      </c>
      <c r="U856" s="251" t="s">
        <v>1916</v>
      </c>
      <c r="V856" s="251" t="s">
        <v>1917</v>
      </c>
      <c r="X856" s="251">
        <v>0</v>
      </c>
    </row>
    <row r="857" spans="2:24" x14ac:dyDescent="0.2">
      <c r="B857" s="352" t="s">
        <v>873</v>
      </c>
      <c r="C857" s="352" t="s">
        <v>706</v>
      </c>
      <c r="F857" s="352" t="s">
        <v>1992</v>
      </c>
      <c r="G857" s="352" t="s">
        <v>2053</v>
      </c>
      <c r="H857" s="352" t="s">
        <v>1191</v>
      </c>
      <c r="I857" s="352" t="s">
        <v>973</v>
      </c>
      <c r="J857" s="352" t="s">
        <v>974</v>
      </c>
      <c r="K857" s="352">
        <v>1221</v>
      </c>
      <c r="L857" s="352" t="s">
        <v>711</v>
      </c>
      <c r="M857" s="352" t="s">
        <v>2151</v>
      </c>
      <c r="N857" s="352" t="s">
        <v>2048</v>
      </c>
      <c r="O857" s="352">
        <v>6</v>
      </c>
      <c r="P857" s="352" t="s">
        <v>2049</v>
      </c>
      <c r="Q857" s="352" t="s">
        <v>2050</v>
      </c>
      <c r="R857" s="251">
        <v>13949.981544846614</v>
      </c>
      <c r="S857" s="251" t="s">
        <v>2015</v>
      </c>
      <c r="T857" s="251" t="s">
        <v>2016</v>
      </c>
      <c r="U857" s="251" t="s">
        <v>1918</v>
      </c>
      <c r="V857" s="251" t="s">
        <v>1919</v>
      </c>
      <c r="X857" s="251">
        <v>0</v>
      </c>
    </row>
    <row r="858" spans="2:24" x14ac:dyDescent="0.2">
      <c r="B858" s="352" t="s">
        <v>873</v>
      </c>
      <c r="C858" s="352" t="s">
        <v>706</v>
      </c>
      <c r="F858" s="352" t="s">
        <v>1992</v>
      </c>
      <c r="G858" s="352" t="s">
        <v>2053</v>
      </c>
      <c r="H858" s="352" t="s">
        <v>1191</v>
      </c>
      <c r="I858" s="352" t="s">
        <v>973</v>
      </c>
      <c r="J858" s="352" t="s">
        <v>974</v>
      </c>
      <c r="K858" s="352">
        <v>1222</v>
      </c>
      <c r="L858" s="352" t="s">
        <v>718</v>
      </c>
      <c r="M858" s="352" t="s">
        <v>2152</v>
      </c>
      <c r="N858" s="352" t="s">
        <v>2048</v>
      </c>
      <c r="O858" s="352">
        <v>6</v>
      </c>
      <c r="P858" s="352" t="s">
        <v>2049</v>
      </c>
      <c r="Q858" s="352" t="s">
        <v>2050</v>
      </c>
      <c r="R858" s="251">
        <v>545.21394392125103</v>
      </c>
      <c r="S858" s="251" t="s">
        <v>2015</v>
      </c>
      <c r="T858" s="251" t="s">
        <v>2016</v>
      </c>
      <c r="U858" s="251">
        <v>0</v>
      </c>
      <c r="V858" s="251" t="s">
        <v>2153</v>
      </c>
      <c r="X858" s="251">
        <v>0</v>
      </c>
    </row>
    <row r="859" spans="2:24" x14ac:dyDescent="0.2">
      <c r="B859" s="352" t="s">
        <v>873</v>
      </c>
      <c r="C859" s="352" t="s">
        <v>706</v>
      </c>
      <c r="F859" s="352" t="s">
        <v>1992</v>
      </c>
      <c r="G859" s="352" t="s">
        <v>2053</v>
      </c>
      <c r="H859" s="352" t="s">
        <v>1195</v>
      </c>
      <c r="I859" s="352" t="s">
        <v>975</v>
      </c>
      <c r="J859" s="352" t="s">
        <v>976</v>
      </c>
      <c r="K859" s="352">
        <v>1221</v>
      </c>
      <c r="L859" s="352" t="s">
        <v>711</v>
      </c>
      <c r="M859" s="352" t="s">
        <v>2154</v>
      </c>
      <c r="N859" s="352" t="s">
        <v>2048</v>
      </c>
      <c r="O859" s="352">
        <v>7</v>
      </c>
      <c r="P859" s="352" t="s">
        <v>2055</v>
      </c>
      <c r="Q859" s="352" t="s">
        <v>2056</v>
      </c>
      <c r="R859" s="251">
        <v>0</v>
      </c>
      <c r="S859" s="251" t="s">
        <v>2015</v>
      </c>
      <c r="T859" s="251" t="s">
        <v>2054</v>
      </c>
      <c r="U859" s="251" t="s">
        <v>1918</v>
      </c>
      <c r="V859" s="251" t="s">
        <v>1919</v>
      </c>
      <c r="X859" s="251">
        <v>0</v>
      </c>
    </row>
    <row r="860" spans="2:24" x14ac:dyDescent="0.2">
      <c r="B860" s="352" t="s">
        <v>873</v>
      </c>
      <c r="C860" s="352" t="s">
        <v>706</v>
      </c>
      <c r="F860" s="352" t="s">
        <v>1992</v>
      </c>
      <c r="G860" s="352" t="s">
        <v>2053</v>
      </c>
      <c r="H860" s="352" t="s">
        <v>1199</v>
      </c>
      <c r="I860" s="352" t="s">
        <v>977</v>
      </c>
      <c r="J860" s="352" t="s">
        <v>864</v>
      </c>
      <c r="K860" s="352">
        <v>1111</v>
      </c>
      <c r="L860" s="352" t="s">
        <v>699</v>
      </c>
      <c r="M860" s="352" t="s">
        <v>2155</v>
      </c>
      <c r="N860" s="352" t="s">
        <v>2048</v>
      </c>
      <c r="O860" s="352">
        <v>5</v>
      </c>
      <c r="P860" s="352" t="s">
        <v>2057</v>
      </c>
      <c r="Q860" s="352" t="s">
        <v>2058</v>
      </c>
      <c r="R860" s="251">
        <v>2847.7233896418074</v>
      </c>
      <c r="S860" s="251" t="s">
        <v>2015</v>
      </c>
      <c r="T860" s="251" t="s">
        <v>2016</v>
      </c>
      <c r="U860" s="251" t="s">
        <v>1914</v>
      </c>
      <c r="V860" s="251" t="s">
        <v>1915</v>
      </c>
      <c r="X860" s="251">
        <v>0</v>
      </c>
    </row>
    <row r="861" spans="2:24" x14ac:dyDescent="0.2">
      <c r="B861" s="352" t="s">
        <v>873</v>
      </c>
      <c r="C861" s="352" t="s">
        <v>706</v>
      </c>
      <c r="F861" s="352" t="s">
        <v>1992</v>
      </c>
      <c r="G861" s="352" t="s">
        <v>2053</v>
      </c>
      <c r="H861" s="352" t="s">
        <v>1199</v>
      </c>
      <c r="I861" s="352" t="s">
        <v>977</v>
      </c>
      <c r="J861" s="352" t="s">
        <v>864</v>
      </c>
      <c r="K861" s="352">
        <v>1211</v>
      </c>
      <c r="L861" s="352" t="s">
        <v>705</v>
      </c>
      <c r="M861" s="352" t="s">
        <v>2156</v>
      </c>
      <c r="N861" s="352" t="s">
        <v>2048</v>
      </c>
      <c r="O861" s="352">
        <v>5</v>
      </c>
      <c r="P861" s="352" t="s">
        <v>2057</v>
      </c>
      <c r="Q861" s="352" t="s">
        <v>2058</v>
      </c>
      <c r="R861" s="251">
        <v>1185.2607780159624</v>
      </c>
      <c r="S861" s="251" t="s">
        <v>2015</v>
      </c>
      <c r="T861" s="251" t="s">
        <v>2016</v>
      </c>
      <c r="U861" s="251" t="s">
        <v>1916</v>
      </c>
      <c r="V861" s="251" t="s">
        <v>1917</v>
      </c>
      <c r="X861" s="251">
        <v>0</v>
      </c>
    </row>
    <row r="862" spans="2:24" x14ac:dyDescent="0.2">
      <c r="B862" s="352" t="s">
        <v>873</v>
      </c>
      <c r="C862" s="352" t="s">
        <v>706</v>
      </c>
      <c r="F862" s="352" t="s">
        <v>1992</v>
      </c>
      <c r="G862" s="352" t="s">
        <v>2053</v>
      </c>
      <c r="H862" s="352" t="s">
        <v>1199</v>
      </c>
      <c r="I862" s="352" t="s">
        <v>977</v>
      </c>
      <c r="J862" s="352" t="s">
        <v>864</v>
      </c>
      <c r="K862" s="352">
        <v>1221</v>
      </c>
      <c r="L862" s="352" t="s">
        <v>711</v>
      </c>
      <c r="M862" s="352" t="s">
        <v>2157</v>
      </c>
      <c r="N862" s="352" t="s">
        <v>2048</v>
      </c>
      <c r="O862" s="352">
        <v>5</v>
      </c>
      <c r="P862" s="352" t="s">
        <v>2057</v>
      </c>
      <c r="Q862" s="352" t="s">
        <v>2058</v>
      </c>
      <c r="R862" s="251">
        <v>1743.7476931058268</v>
      </c>
      <c r="S862" s="251" t="s">
        <v>2015</v>
      </c>
      <c r="T862" s="251" t="s">
        <v>2016</v>
      </c>
      <c r="U862" s="251" t="s">
        <v>1918</v>
      </c>
      <c r="V862" s="251" t="s">
        <v>1919</v>
      </c>
      <c r="X862" s="251">
        <v>0</v>
      </c>
    </row>
    <row r="863" spans="2:24" x14ac:dyDescent="0.2">
      <c r="B863" s="352" t="s">
        <v>873</v>
      </c>
      <c r="C863" s="352" t="s">
        <v>706</v>
      </c>
      <c r="F863" s="352" t="s">
        <v>1992</v>
      </c>
      <c r="G863" s="352" t="s">
        <v>2053</v>
      </c>
      <c r="H863" s="352" t="s">
        <v>1199</v>
      </c>
      <c r="I863" s="352" t="s">
        <v>977</v>
      </c>
      <c r="J863" s="352" t="s">
        <v>864</v>
      </c>
      <c r="K863" s="352">
        <v>1222</v>
      </c>
      <c r="L863" s="352" t="s">
        <v>718</v>
      </c>
      <c r="M863" s="352" t="s">
        <v>2158</v>
      </c>
      <c r="N863" s="352" t="s">
        <v>2048</v>
      </c>
      <c r="O863" s="352">
        <v>5</v>
      </c>
      <c r="P863" s="352" t="s">
        <v>2057</v>
      </c>
      <c r="Q863" s="352" t="s">
        <v>2058</v>
      </c>
      <c r="R863" s="251">
        <v>681.51742990156379</v>
      </c>
      <c r="S863" s="251" t="s">
        <v>2015</v>
      </c>
      <c r="T863" s="251" t="s">
        <v>2016</v>
      </c>
      <c r="U863" s="251">
        <v>0</v>
      </c>
      <c r="V863" s="251" t="s">
        <v>2153</v>
      </c>
      <c r="X863" s="251">
        <v>0</v>
      </c>
    </row>
    <row r="864" spans="2:24" x14ac:dyDescent="0.2">
      <c r="B864" s="352" t="s">
        <v>873</v>
      </c>
      <c r="C864" s="352" t="s">
        <v>706</v>
      </c>
      <c r="F864" s="352" t="s">
        <v>1992</v>
      </c>
      <c r="G864" s="352" t="s">
        <v>2053</v>
      </c>
      <c r="H864" s="352" t="s">
        <v>1199</v>
      </c>
      <c r="I864" s="352" t="s">
        <v>977</v>
      </c>
      <c r="J864" s="352" t="s">
        <v>864</v>
      </c>
      <c r="K864" s="352">
        <v>1231</v>
      </c>
      <c r="L864" s="352" t="s">
        <v>726</v>
      </c>
      <c r="M864" s="352" t="s">
        <v>2159</v>
      </c>
      <c r="N864" s="352" t="s">
        <v>2048</v>
      </c>
      <c r="O864" s="352">
        <v>5</v>
      </c>
      <c r="P864" s="352" t="s">
        <v>2057</v>
      </c>
      <c r="Q864" s="352" t="s">
        <v>2058</v>
      </c>
      <c r="R864" s="251">
        <v>8573.332938182306</v>
      </c>
      <c r="S864" s="251" t="s">
        <v>2015</v>
      </c>
      <c r="T864" s="251" t="s">
        <v>2016</v>
      </c>
      <c r="U864" s="251" t="s">
        <v>1920</v>
      </c>
      <c r="V864" s="251" t="s">
        <v>726</v>
      </c>
      <c r="X864" s="251">
        <v>0</v>
      </c>
    </row>
    <row r="865" spans="2:24" x14ac:dyDescent="0.2">
      <c r="B865" s="352" t="s">
        <v>873</v>
      </c>
      <c r="C865" s="352" t="s">
        <v>706</v>
      </c>
      <c r="F865" s="352" t="s">
        <v>1992</v>
      </c>
      <c r="G865" s="352" t="s">
        <v>2053</v>
      </c>
      <c r="H865" s="352" t="s">
        <v>1199</v>
      </c>
      <c r="I865" s="352" t="s">
        <v>977</v>
      </c>
      <c r="J865" s="352" t="s">
        <v>864</v>
      </c>
      <c r="K865" s="352">
        <v>1232</v>
      </c>
      <c r="L865" s="352" t="s">
        <v>734</v>
      </c>
      <c r="M865" s="352" t="s">
        <v>2160</v>
      </c>
      <c r="N865" s="352" t="s">
        <v>2048</v>
      </c>
      <c r="O865" s="352">
        <v>5</v>
      </c>
      <c r="P865" s="352" t="s">
        <v>2057</v>
      </c>
      <c r="Q865" s="352" t="s">
        <v>2058</v>
      </c>
      <c r="R865" s="251">
        <v>1530.9888753241196</v>
      </c>
      <c r="S865" s="251" t="s">
        <v>2015</v>
      </c>
      <c r="T865" s="251" t="s">
        <v>2016</v>
      </c>
      <c r="U865" s="251">
        <v>0</v>
      </c>
      <c r="V865" s="251" t="s">
        <v>2153</v>
      </c>
      <c r="X865" s="251">
        <v>0</v>
      </c>
    </row>
    <row r="866" spans="2:24" x14ac:dyDescent="0.2">
      <c r="B866" s="352" t="s">
        <v>873</v>
      </c>
      <c r="C866" s="352" t="s">
        <v>706</v>
      </c>
      <c r="F866" s="352" t="s">
        <v>1992</v>
      </c>
      <c r="G866" s="352" t="s">
        <v>2053</v>
      </c>
      <c r="H866" s="352" t="s">
        <v>1199</v>
      </c>
      <c r="I866" s="352" t="s">
        <v>977</v>
      </c>
      <c r="J866" s="352" t="s">
        <v>864</v>
      </c>
      <c r="K866" s="352">
        <v>1241</v>
      </c>
      <c r="L866" s="352" t="s">
        <v>1872</v>
      </c>
      <c r="M866" s="352" t="s">
        <v>2161</v>
      </c>
      <c r="N866" s="352" t="s">
        <v>2048</v>
      </c>
      <c r="O866" s="352">
        <v>5</v>
      </c>
      <c r="P866" s="352" t="s">
        <v>2057</v>
      </c>
      <c r="Q866" s="352" t="s">
        <v>2058</v>
      </c>
      <c r="R866" s="251">
        <v>37.132661801732958</v>
      </c>
      <c r="S866" s="251" t="s">
        <v>2015</v>
      </c>
      <c r="T866" s="251" t="s">
        <v>2016</v>
      </c>
      <c r="U866" s="251">
        <v>0</v>
      </c>
      <c r="V866" s="251" t="s">
        <v>2153</v>
      </c>
      <c r="X866" s="251">
        <v>0</v>
      </c>
    </row>
    <row r="867" spans="2:24" x14ac:dyDescent="0.2">
      <c r="B867" s="352" t="s">
        <v>873</v>
      </c>
      <c r="C867" s="352" t="s">
        <v>706</v>
      </c>
      <c r="F867" s="352" t="s">
        <v>1992</v>
      </c>
      <c r="G867" s="352" t="s">
        <v>2053</v>
      </c>
      <c r="H867" s="352" t="s">
        <v>1199</v>
      </c>
      <c r="I867" s="352" t="s">
        <v>977</v>
      </c>
      <c r="J867" s="352" t="s">
        <v>864</v>
      </c>
      <c r="K867" s="352">
        <v>1251</v>
      </c>
      <c r="L867" s="352" t="s">
        <v>733</v>
      </c>
      <c r="M867" s="352" t="s">
        <v>2162</v>
      </c>
      <c r="N867" s="352" t="s">
        <v>2048</v>
      </c>
      <c r="O867" s="352">
        <v>5</v>
      </c>
      <c r="P867" s="352" t="s">
        <v>2057</v>
      </c>
      <c r="Q867" s="352" t="s">
        <v>2058</v>
      </c>
      <c r="R867" s="251">
        <v>2225.9646426520094</v>
      </c>
      <c r="S867" s="251" t="s">
        <v>2015</v>
      </c>
      <c r="T867" s="251" t="s">
        <v>2016</v>
      </c>
      <c r="U867" s="251">
        <v>0</v>
      </c>
      <c r="V867" s="251" t="s">
        <v>2153</v>
      </c>
      <c r="X867" s="251">
        <v>0</v>
      </c>
    </row>
    <row r="868" spans="2:24" x14ac:dyDescent="0.2">
      <c r="B868" s="352" t="s">
        <v>873</v>
      </c>
      <c r="C868" s="352" t="s">
        <v>706</v>
      </c>
      <c r="F868" s="352" t="s">
        <v>1992</v>
      </c>
      <c r="G868" s="352" t="s">
        <v>2053</v>
      </c>
      <c r="H868" s="352" t="s">
        <v>1203</v>
      </c>
      <c r="I868" s="352" t="s">
        <v>978</v>
      </c>
      <c r="J868" s="352" t="s">
        <v>1892</v>
      </c>
      <c r="K868" s="352">
        <v>1111</v>
      </c>
      <c r="L868" s="352" t="s">
        <v>699</v>
      </c>
      <c r="M868" s="352" t="s">
        <v>2163</v>
      </c>
      <c r="N868" s="352" t="s">
        <v>2048</v>
      </c>
      <c r="O868" s="352">
        <v>5</v>
      </c>
      <c r="P868" s="352" t="s">
        <v>2057</v>
      </c>
      <c r="Q868" s="352" t="s">
        <v>2058</v>
      </c>
      <c r="R868" s="251">
        <v>0</v>
      </c>
      <c r="S868" s="251" t="s">
        <v>2015</v>
      </c>
      <c r="T868" s="251" t="s">
        <v>2054</v>
      </c>
      <c r="U868" s="251" t="s">
        <v>1914</v>
      </c>
      <c r="V868" s="251" t="s">
        <v>1915</v>
      </c>
      <c r="X868" s="251">
        <v>0</v>
      </c>
    </row>
    <row r="869" spans="2:24" x14ac:dyDescent="0.2">
      <c r="B869" s="352" t="s">
        <v>873</v>
      </c>
      <c r="C869" s="352" t="s">
        <v>706</v>
      </c>
      <c r="F869" s="352" t="s">
        <v>1992</v>
      </c>
      <c r="G869" s="352" t="s">
        <v>2053</v>
      </c>
      <c r="H869" s="352" t="s">
        <v>1203</v>
      </c>
      <c r="I869" s="352" t="s">
        <v>978</v>
      </c>
      <c r="J869" s="352" t="s">
        <v>1892</v>
      </c>
      <c r="K869" s="352">
        <v>1231</v>
      </c>
      <c r="L869" s="352" t="s">
        <v>726</v>
      </c>
      <c r="M869" s="352" t="s">
        <v>2164</v>
      </c>
      <c r="N869" s="352" t="s">
        <v>2048</v>
      </c>
      <c r="O869" s="352">
        <v>5</v>
      </c>
      <c r="P869" s="352" t="s">
        <v>2057</v>
      </c>
      <c r="Q869" s="352" t="s">
        <v>2058</v>
      </c>
      <c r="R869" s="251">
        <v>0</v>
      </c>
      <c r="S869" s="251" t="s">
        <v>2015</v>
      </c>
      <c r="T869" s="251" t="s">
        <v>2054</v>
      </c>
      <c r="U869" s="251" t="s">
        <v>1920</v>
      </c>
      <c r="V869" s="251" t="s">
        <v>726</v>
      </c>
      <c r="X869" s="251">
        <v>0</v>
      </c>
    </row>
    <row r="870" spans="2:24" x14ac:dyDescent="0.2">
      <c r="B870" s="352" t="s">
        <v>873</v>
      </c>
      <c r="C870" s="352" t="s">
        <v>706</v>
      </c>
      <c r="F870" s="352" t="s">
        <v>1992</v>
      </c>
      <c r="G870" s="352" t="s">
        <v>2053</v>
      </c>
      <c r="H870" s="352" t="s">
        <v>1207</v>
      </c>
      <c r="I870" s="352" t="s">
        <v>979</v>
      </c>
      <c r="J870" s="352" t="s">
        <v>980</v>
      </c>
      <c r="K870" s="352">
        <v>1241</v>
      </c>
      <c r="L870" s="352" t="s">
        <v>1872</v>
      </c>
      <c r="M870" s="352" t="s">
        <v>2165</v>
      </c>
      <c r="N870" s="352" t="s">
        <v>2048</v>
      </c>
      <c r="O870" s="352">
        <v>7</v>
      </c>
      <c r="P870" s="352" t="s">
        <v>2055</v>
      </c>
      <c r="Q870" s="352" t="s">
        <v>2056</v>
      </c>
      <c r="R870" s="251">
        <v>0</v>
      </c>
      <c r="S870" s="251" t="s">
        <v>2015</v>
      </c>
      <c r="T870" s="251" t="s">
        <v>2054</v>
      </c>
      <c r="U870" s="251">
        <v>0</v>
      </c>
      <c r="V870" s="251" t="s">
        <v>2153</v>
      </c>
      <c r="X870" s="251">
        <v>0</v>
      </c>
    </row>
    <row r="871" spans="2:24" x14ac:dyDescent="0.2">
      <c r="B871" s="352" t="s">
        <v>873</v>
      </c>
      <c r="C871" s="352" t="s">
        <v>706</v>
      </c>
      <c r="F871" s="352" t="s">
        <v>1992</v>
      </c>
      <c r="G871" s="352" t="s">
        <v>2053</v>
      </c>
      <c r="H871" s="352" t="s">
        <v>1211</v>
      </c>
      <c r="I871" s="352" t="s">
        <v>981</v>
      </c>
      <c r="J871" s="352" t="s">
        <v>3674</v>
      </c>
      <c r="K871" s="352">
        <v>1241</v>
      </c>
      <c r="L871" s="352" t="s">
        <v>1872</v>
      </c>
      <c r="M871" s="352" t="s">
        <v>2166</v>
      </c>
      <c r="N871" s="352" t="s">
        <v>2048</v>
      </c>
      <c r="O871" s="352">
        <v>13</v>
      </c>
      <c r="P871" s="352" t="s">
        <v>2059</v>
      </c>
      <c r="Q871" s="352" t="s">
        <v>2060</v>
      </c>
      <c r="R871" s="251">
        <v>0</v>
      </c>
      <c r="S871" s="251" t="s">
        <v>2015</v>
      </c>
      <c r="T871" s="251" t="s">
        <v>2054</v>
      </c>
      <c r="U871" s="251">
        <v>0</v>
      </c>
      <c r="V871" s="251" t="s">
        <v>2153</v>
      </c>
      <c r="X871" s="251">
        <v>0</v>
      </c>
    </row>
    <row r="872" spans="2:24" x14ac:dyDescent="0.2">
      <c r="B872" s="352" t="s">
        <v>873</v>
      </c>
      <c r="C872" s="352" t="s">
        <v>706</v>
      </c>
      <c r="F872" s="352" t="s">
        <v>1992</v>
      </c>
      <c r="G872" s="352" t="s">
        <v>2053</v>
      </c>
      <c r="H872" s="352" t="s">
        <v>1211</v>
      </c>
      <c r="I872" s="352" t="s">
        <v>981</v>
      </c>
      <c r="J872" s="352" t="s">
        <v>3674</v>
      </c>
      <c r="K872" s="352">
        <v>1251</v>
      </c>
      <c r="L872" s="352" t="s">
        <v>733</v>
      </c>
      <c r="M872" s="352" t="s">
        <v>2167</v>
      </c>
      <c r="N872" s="352" t="s">
        <v>2048</v>
      </c>
      <c r="O872" s="352">
        <v>13</v>
      </c>
      <c r="P872" s="352" t="s">
        <v>2059</v>
      </c>
      <c r="Q872" s="352" t="s">
        <v>2060</v>
      </c>
      <c r="R872" s="251">
        <v>0</v>
      </c>
      <c r="S872" s="251" t="s">
        <v>2015</v>
      </c>
      <c r="T872" s="251" t="s">
        <v>2054</v>
      </c>
      <c r="U872" s="251">
        <v>0</v>
      </c>
      <c r="V872" s="251" t="s">
        <v>2153</v>
      </c>
      <c r="X872" s="251">
        <v>0</v>
      </c>
    </row>
    <row r="873" spans="2:24" x14ac:dyDescent="0.2">
      <c r="B873" s="352" t="s">
        <v>873</v>
      </c>
      <c r="C873" s="352" t="s">
        <v>706</v>
      </c>
      <c r="F873" s="352" t="s">
        <v>1992</v>
      </c>
      <c r="G873" s="352" t="s">
        <v>2053</v>
      </c>
      <c r="H873" s="352" t="s">
        <v>1215</v>
      </c>
      <c r="I873" s="352" t="s">
        <v>982</v>
      </c>
      <c r="J873" s="352" t="s">
        <v>983</v>
      </c>
      <c r="K873" s="352">
        <v>2111</v>
      </c>
      <c r="L873" s="352" t="s">
        <v>1873</v>
      </c>
      <c r="M873" s="352" t="s">
        <v>2168</v>
      </c>
      <c r="N873" s="352" t="s">
        <v>2048</v>
      </c>
      <c r="O873" s="352">
        <v>10</v>
      </c>
      <c r="P873" s="352" t="s">
        <v>2061</v>
      </c>
      <c r="Q873" s="352" t="s">
        <v>2062</v>
      </c>
      <c r="R873" s="251">
        <v>0</v>
      </c>
      <c r="S873" s="251" t="s">
        <v>2015</v>
      </c>
      <c r="T873" s="251" t="s">
        <v>2054</v>
      </c>
      <c r="U873" s="251" t="s">
        <v>1929</v>
      </c>
      <c r="V873" s="251" t="s">
        <v>1930</v>
      </c>
      <c r="X873" s="251">
        <v>0</v>
      </c>
    </row>
    <row r="874" spans="2:24" x14ac:dyDescent="0.2">
      <c r="B874" s="352" t="s">
        <v>873</v>
      </c>
      <c r="C874" s="352" t="s">
        <v>706</v>
      </c>
      <c r="F874" s="352" t="s">
        <v>1992</v>
      </c>
      <c r="G874" s="352" t="s">
        <v>2053</v>
      </c>
      <c r="H874" s="352" t="s">
        <v>1215</v>
      </c>
      <c r="I874" s="352" t="s">
        <v>982</v>
      </c>
      <c r="J874" s="352" t="s">
        <v>983</v>
      </c>
      <c r="K874" s="352">
        <v>2121</v>
      </c>
      <c r="L874" s="352" t="s">
        <v>1876</v>
      </c>
      <c r="M874" s="352" t="s">
        <v>2169</v>
      </c>
      <c r="N874" s="352" t="s">
        <v>2048</v>
      </c>
      <c r="O874" s="352">
        <v>10</v>
      </c>
      <c r="P874" s="352" t="s">
        <v>2061</v>
      </c>
      <c r="Q874" s="352" t="s">
        <v>2062</v>
      </c>
      <c r="R874" s="251">
        <v>0</v>
      </c>
      <c r="S874" s="251" t="s">
        <v>2015</v>
      </c>
      <c r="T874" s="251" t="s">
        <v>2054</v>
      </c>
      <c r="U874" s="251" t="s">
        <v>1929</v>
      </c>
      <c r="V874" s="251" t="s">
        <v>1930</v>
      </c>
      <c r="X874" s="251">
        <v>0</v>
      </c>
    </row>
    <row r="875" spans="2:24" x14ac:dyDescent="0.2">
      <c r="B875" s="352" t="s">
        <v>873</v>
      </c>
      <c r="C875" s="352" t="s">
        <v>706</v>
      </c>
      <c r="F875" s="352" t="s">
        <v>1992</v>
      </c>
      <c r="G875" s="352" t="s">
        <v>2053</v>
      </c>
      <c r="H875" s="352" t="s">
        <v>1215</v>
      </c>
      <c r="I875" s="352" t="s">
        <v>982</v>
      </c>
      <c r="J875" s="352" t="s">
        <v>983</v>
      </c>
      <c r="K875" s="352">
        <v>2131</v>
      </c>
      <c r="L875" s="352" t="s">
        <v>1879</v>
      </c>
      <c r="M875" s="352" t="s">
        <v>2170</v>
      </c>
      <c r="N875" s="352" t="s">
        <v>2048</v>
      </c>
      <c r="O875" s="352">
        <v>10</v>
      </c>
      <c r="P875" s="352" t="s">
        <v>2061</v>
      </c>
      <c r="Q875" s="352" t="s">
        <v>2062</v>
      </c>
      <c r="R875" s="251">
        <v>0</v>
      </c>
      <c r="S875" s="251" t="s">
        <v>2015</v>
      </c>
      <c r="T875" s="251" t="s">
        <v>2054</v>
      </c>
      <c r="U875" s="251" t="s">
        <v>1929</v>
      </c>
      <c r="V875" s="251" t="s">
        <v>1930</v>
      </c>
      <c r="X875" s="251">
        <v>0</v>
      </c>
    </row>
    <row r="876" spans="2:24" x14ac:dyDescent="0.2">
      <c r="B876" s="352" t="s">
        <v>873</v>
      </c>
      <c r="C876" s="352" t="s">
        <v>706</v>
      </c>
      <c r="F876" s="352" t="s">
        <v>1992</v>
      </c>
      <c r="G876" s="352" t="s">
        <v>2053</v>
      </c>
      <c r="H876" s="352" t="s">
        <v>1215</v>
      </c>
      <c r="I876" s="352" t="s">
        <v>982</v>
      </c>
      <c r="J876" s="352" t="s">
        <v>983</v>
      </c>
      <c r="K876" s="352">
        <v>2211</v>
      </c>
      <c r="L876" s="352" t="s">
        <v>1883</v>
      </c>
      <c r="M876" s="352" t="s">
        <v>2171</v>
      </c>
      <c r="N876" s="352" t="s">
        <v>2048</v>
      </c>
      <c r="O876" s="352">
        <v>10</v>
      </c>
      <c r="P876" s="352" t="s">
        <v>2061</v>
      </c>
      <c r="Q876" s="352" t="s">
        <v>2062</v>
      </c>
      <c r="R876" s="251">
        <v>0</v>
      </c>
      <c r="S876" s="251" t="s">
        <v>2015</v>
      </c>
      <c r="T876" s="251" t="s">
        <v>2054</v>
      </c>
      <c r="U876" s="251" t="s">
        <v>1929</v>
      </c>
      <c r="V876" s="251" t="s">
        <v>1930</v>
      </c>
      <c r="X876" s="251">
        <v>0</v>
      </c>
    </row>
    <row r="877" spans="2:24" x14ac:dyDescent="0.2">
      <c r="B877" s="352" t="s">
        <v>873</v>
      </c>
      <c r="C877" s="352" t="s">
        <v>706</v>
      </c>
      <c r="F877" s="352" t="s">
        <v>1992</v>
      </c>
      <c r="G877" s="352" t="s">
        <v>2053</v>
      </c>
      <c r="H877" s="352" t="s">
        <v>1219</v>
      </c>
      <c r="I877" s="352" t="s">
        <v>984</v>
      </c>
      <c r="J877" s="352" t="s">
        <v>985</v>
      </c>
      <c r="K877" s="352">
        <v>2111</v>
      </c>
      <c r="L877" s="352" t="s">
        <v>1873</v>
      </c>
      <c r="M877" s="352" t="s">
        <v>2172</v>
      </c>
      <c r="N877" s="352" t="s">
        <v>2048</v>
      </c>
      <c r="O877" s="352">
        <v>11</v>
      </c>
      <c r="P877" s="352" t="s">
        <v>2063</v>
      </c>
      <c r="Q877" s="352" t="s">
        <v>2064</v>
      </c>
      <c r="R877" s="251">
        <v>0</v>
      </c>
      <c r="S877" s="251" t="s">
        <v>2015</v>
      </c>
      <c r="T877" s="251" t="s">
        <v>2054</v>
      </c>
      <c r="U877" s="251" t="s">
        <v>1929</v>
      </c>
      <c r="V877" s="251" t="s">
        <v>1930</v>
      </c>
      <c r="X877" s="251">
        <v>0</v>
      </c>
    </row>
    <row r="878" spans="2:24" x14ac:dyDescent="0.2">
      <c r="B878" s="352" t="s">
        <v>873</v>
      </c>
      <c r="C878" s="352" t="s">
        <v>706</v>
      </c>
      <c r="F878" s="352" t="s">
        <v>1992</v>
      </c>
      <c r="G878" s="352" t="s">
        <v>2053</v>
      </c>
      <c r="H878" s="352" t="s">
        <v>1219</v>
      </c>
      <c r="I878" s="352" t="s">
        <v>984</v>
      </c>
      <c r="J878" s="352" t="s">
        <v>985</v>
      </c>
      <c r="K878" s="352">
        <v>2121</v>
      </c>
      <c r="L878" s="352" t="s">
        <v>1876</v>
      </c>
      <c r="M878" s="352" t="s">
        <v>2173</v>
      </c>
      <c r="N878" s="352" t="s">
        <v>2048</v>
      </c>
      <c r="O878" s="352">
        <v>11</v>
      </c>
      <c r="P878" s="352" t="s">
        <v>2063</v>
      </c>
      <c r="Q878" s="352" t="s">
        <v>2064</v>
      </c>
      <c r="R878" s="251">
        <v>0</v>
      </c>
      <c r="S878" s="251" t="s">
        <v>2015</v>
      </c>
      <c r="T878" s="251" t="s">
        <v>2054</v>
      </c>
      <c r="U878" s="251" t="s">
        <v>1929</v>
      </c>
      <c r="V878" s="251" t="s">
        <v>1930</v>
      </c>
      <c r="X878" s="251">
        <v>0</v>
      </c>
    </row>
    <row r="879" spans="2:24" x14ac:dyDescent="0.2">
      <c r="B879" s="352" t="s">
        <v>873</v>
      </c>
      <c r="C879" s="352" t="s">
        <v>706</v>
      </c>
      <c r="F879" s="352" t="s">
        <v>1992</v>
      </c>
      <c r="G879" s="352" t="s">
        <v>2053</v>
      </c>
      <c r="H879" s="352" t="s">
        <v>1219</v>
      </c>
      <c r="I879" s="352" t="s">
        <v>984</v>
      </c>
      <c r="J879" s="352" t="s">
        <v>985</v>
      </c>
      <c r="K879" s="352">
        <v>2131</v>
      </c>
      <c r="L879" s="352" t="s">
        <v>1879</v>
      </c>
      <c r="M879" s="352" t="s">
        <v>2174</v>
      </c>
      <c r="N879" s="352" t="s">
        <v>2048</v>
      </c>
      <c r="O879" s="352">
        <v>11</v>
      </c>
      <c r="P879" s="352" t="s">
        <v>2063</v>
      </c>
      <c r="Q879" s="352" t="s">
        <v>2064</v>
      </c>
      <c r="R879" s="251">
        <v>0</v>
      </c>
      <c r="S879" s="251" t="s">
        <v>2015</v>
      </c>
      <c r="T879" s="251" t="s">
        <v>2054</v>
      </c>
      <c r="U879" s="251" t="s">
        <v>1929</v>
      </c>
      <c r="V879" s="251" t="s">
        <v>1930</v>
      </c>
      <c r="X879" s="251">
        <v>0</v>
      </c>
    </row>
    <row r="880" spans="2:24" x14ac:dyDescent="0.2">
      <c r="B880" s="352" t="s">
        <v>873</v>
      </c>
      <c r="C880" s="352" t="s">
        <v>706</v>
      </c>
      <c r="F880" s="352" t="s">
        <v>1992</v>
      </c>
      <c r="G880" s="352" t="s">
        <v>2053</v>
      </c>
      <c r="H880" s="352" t="s">
        <v>1219</v>
      </c>
      <c r="I880" s="352" t="s">
        <v>984</v>
      </c>
      <c r="J880" s="352" t="s">
        <v>985</v>
      </c>
      <c r="K880" s="352">
        <v>2211</v>
      </c>
      <c r="L880" s="352" t="s">
        <v>1883</v>
      </c>
      <c r="M880" s="352" t="s">
        <v>2175</v>
      </c>
      <c r="N880" s="352" t="s">
        <v>2048</v>
      </c>
      <c r="O880" s="352">
        <v>11</v>
      </c>
      <c r="P880" s="352" t="s">
        <v>2063</v>
      </c>
      <c r="Q880" s="352" t="s">
        <v>2064</v>
      </c>
      <c r="R880" s="251">
        <v>0</v>
      </c>
      <c r="S880" s="251" t="s">
        <v>2015</v>
      </c>
      <c r="T880" s="251" t="s">
        <v>2054</v>
      </c>
      <c r="U880" s="251" t="s">
        <v>1929</v>
      </c>
      <c r="V880" s="251" t="s">
        <v>1930</v>
      </c>
      <c r="X880" s="251">
        <v>0</v>
      </c>
    </row>
    <row r="881" spans="2:24" x14ac:dyDescent="0.2">
      <c r="B881" s="352" t="s">
        <v>873</v>
      </c>
      <c r="C881" s="352" t="s">
        <v>706</v>
      </c>
      <c r="F881" s="352" t="s">
        <v>1992</v>
      </c>
      <c r="G881" s="352" t="s">
        <v>2053</v>
      </c>
      <c r="H881" s="352" t="s">
        <v>1223</v>
      </c>
      <c r="I881" s="352" t="s">
        <v>986</v>
      </c>
      <c r="J881" s="352" t="s">
        <v>987</v>
      </c>
      <c r="K881" s="352">
        <v>2112</v>
      </c>
      <c r="L881" s="352" t="s">
        <v>1874</v>
      </c>
      <c r="M881" s="352" t="s">
        <v>2176</v>
      </c>
      <c r="N881" s="352" t="s">
        <v>2048</v>
      </c>
      <c r="O881" s="352">
        <v>11</v>
      </c>
      <c r="P881" s="352" t="s">
        <v>2063</v>
      </c>
      <c r="Q881" s="352" t="s">
        <v>2064</v>
      </c>
      <c r="R881" s="251">
        <v>0</v>
      </c>
      <c r="S881" s="251" t="s">
        <v>2015</v>
      </c>
      <c r="T881" s="251" t="s">
        <v>2054</v>
      </c>
      <c r="U881" s="251" t="s">
        <v>1931</v>
      </c>
      <c r="V881" s="251" t="s">
        <v>1932</v>
      </c>
      <c r="X881" s="251">
        <v>0</v>
      </c>
    </row>
    <row r="882" spans="2:24" x14ac:dyDescent="0.2">
      <c r="B882" s="352" t="s">
        <v>873</v>
      </c>
      <c r="C882" s="352" t="s">
        <v>706</v>
      </c>
      <c r="F882" s="352" t="s">
        <v>1992</v>
      </c>
      <c r="G882" s="352" t="s">
        <v>2053</v>
      </c>
      <c r="H882" s="352" t="s">
        <v>1223</v>
      </c>
      <c r="I882" s="352" t="s">
        <v>986</v>
      </c>
      <c r="J882" s="352" t="s">
        <v>987</v>
      </c>
      <c r="K882" s="352">
        <v>2122</v>
      </c>
      <c r="L882" s="352" t="s">
        <v>1877</v>
      </c>
      <c r="M882" s="352" t="s">
        <v>2177</v>
      </c>
      <c r="N882" s="352" t="s">
        <v>2048</v>
      </c>
      <c r="O882" s="352">
        <v>11</v>
      </c>
      <c r="P882" s="352" t="s">
        <v>2063</v>
      </c>
      <c r="Q882" s="352" t="s">
        <v>2064</v>
      </c>
      <c r="R882" s="251">
        <v>0</v>
      </c>
      <c r="S882" s="251" t="s">
        <v>2015</v>
      </c>
      <c r="T882" s="251" t="s">
        <v>2054</v>
      </c>
      <c r="U882" s="251" t="s">
        <v>1931</v>
      </c>
      <c r="V882" s="251" t="s">
        <v>1932</v>
      </c>
      <c r="X882" s="251">
        <v>0</v>
      </c>
    </row>
    <row r="883" spans="2:24" x14ac:dyDescent="0.2">
      <c r="B883" s="352" t="s">
        <v>873</v>
      </c>
      <c r="C883" s="352" t="s">
        <v>706</v>
      </c>
      <c r="F883" s="352" t="s">
        <v>1992</v>
      </c>
      <c r="G883" s="352" t="s">
        <v>2053</v>
      </c>
      <c r="H883" s="352" t="s">
        <v>1227</v>
      </c>
      <c r="I883" s="352" t="s">
        <v>988</v>
      </c>
      <c r="J883" s="352" t="s">
        <v>989</v>
      </c>
      <c r="K883" s="352">
        <v>2112</v>
      </c>
      <c r="L883" s="352" t="s">
        <v>1874</v>
      </c>
      <c r="M883" s="352" t="s">
        <v>2178</v>
      </c>
      <c r="N883" s="352" t="s">
        <v>2048</v>
      </c>
      <c r="O883" s="352">
        <v>11</v>
      </c>
      <c r="P883" s="352" t="s">
        <v>2063</v>
      </c>
      <c r="Q883" s="352" t="s">
        <v>2064</v>
      </c>
      <c r="R883" s="251">
        <v>0</v>
      </c>
      <c r="S883" s="251" t="s">
        <v>2015</v>
      </c>
      <c r="T883" s="251" t="s">
        <v>2054</v>
      </c>
      <c r="U883" s="251" t="s">
        <v>1931</v>
      </c>
      <c r="V883" s="251" t="s">
        <v>1932</v>
      </c>
      <c r="X883" s="251">
        <v>0</v>
      </c>
    </row>
    <row r="884" spans="2:24" x14ac:dyDescent="0.2">
      <c r="B884" s="352" t="s">
        <v>873</v>
      </c>
      <c r="C884" s="352" t="s">
        <v>706</v>
      </c>
      <c r="F884" s="352" t="s">
        <v>1992</v>
      </c>
      <c r="G884" s="352" t="s">
        <v>2053</v>
      </c>
      <c r="H884" s="352" t="s">
        <v>1227</v>
      </c>
      <c r="I884" s="352" t="s">
        <v>988</v>
      </c>
      <c r="J884" s="352" t="s">
        <v>989</v>
      </c>
      <c r="K884" s="352">
        <v>2122</v>
      </c>
      <c r="L884" s="352" t="s">
        <v>1877</v>
      </c>
      <c r="M884" s="352" t="s">
        <v>2179</v>
      </c>
      <c r="N884" s="352" t="s">
        <v>2048</v>
      </c>
      <c r="O884" s="352">
        <v>11</v>
      </c>
      <c r="P884" s="352" t="s">
        <v>2063</v>
      </c>
      <c r="Q884" s="352" t="s">
        <v>2064</v>
      </c>
      <c r="R884" s="251">
        <v>0</v>
      </c>
      <c r="S884" s="251" t="s">
        <v>2015</v>
      </c>
      <c r="T884" s="251" t="s">
        <v>2054</v>
      </c>
      <c r="U884" s="251" t="s">
        <v>1931</v>
      </c>
      <c r="V884" s="251" t="s">
        <v>1932</v>
      </c>
      <c r="X884" s="251">
        <v>0</v>
      </c>
    </row>
    <row r="885" spans="2:24" x14ac:dyDescent="0.2">
      <c r="B885" s="352" t="s">
        <v>873</v>
      </c>
      <c r="C885" s="352" t="s">
        <v>706</v>
      </c>
      <c r="F885" s="352" t="s">
        <v>1992</v>
      </c>
      <c r="G885" s="352" t="s">
        <v>2053</v>
      </c>
      <c r="H885" s="352" t="s">
        <v>1231</v>
      </c>
      <c r="I885" s="352" t="s">
        <v>990</v>
      </c>
      <c r="J885" s="352" t="s">
        <v>991</v>
      </c>
      <c r="K885" s="352">
        <v>2132</v>
      </c>
      <c r="L885" s="352" t="s">
        <v>1880</v>
      </c>
      <c r="M885" s="352" t="s">
        <v>2180</v>
      </c>
      <c r="N885" s="352" t="s">
        <v>2048</v>
      </c>
      <c r="O885" s="352">
        <v>1</v>
      </c>
      <c r="P885" s="352" t="s">
        <v>2065</v>
      </c>
      <c r="Q885" s="352" t="s">
        <v>2066</v>
      </c>
      <c r="R885" s="251">
        <v>0</v>
      </c>
      <c r="S885" s="251" t="s">
        <v>2015</v>
      </c>
      <c r="T885" s="251" t="s">
        <v>2054</v>
      </c>
      <c r="U885" s="251" t="s">
        <v>1931</v>
      </c>
      <c r="V885" s="251" t="s">
        <v>1932</v>
      </c>
      <c r="X885" s="251">
        <v>0</v>
      </c>
    </row>
    <row r="886" spans="2:24" x14ac:dyDescent="0.2">
      <c r="B886" s="352" t="s">
        <v>873</v>
      </c>
      <c r="C886" s="352" t="s">
        <v>706</v>
      </c>
      <c r="F886" s="352" t="s">
        <v>1992</v>
      </c>
      <c r="G886" s="352" t="s">
        <v>2053</v>
      </c>
      <c r="H886" s="352" t="s">
        <v>1235</v>
      </c>
      <c r="I886" s="352" t="s">
        <v>994</v>
      </c>
      <c r="J886" s="352" t="s">
        <v>995</v>
      </c>
      <c r="K886" s="352">
        <v>2311</v>
      </c>
      <c r="L886" s="352" t="s">
        <v>1887</v>
      </c>
      <c r="M886" s="352" t="s">
        <v>2181</v>
      </c>
      <c r="N886" s="352" t="s">
        <v>2048</v>
      </c>
      <c r="O886" s="352">
        <v>8</v>
      </c>
      <c r="P886" s="352" t="s">
        <v>2067</v>
      </c>
      <c r="Q886" s="352" t="s">
        <v>2068</v>
      </c>
      <c r="R886" s="251">
        <v>0</v>
      </c>
      <c r="S886" s="251" t="s">
        <v>2015</v>
      </c>
      <c r="T886" s="251" t="s">
        <v>2054</v>
      </c>
      <c r="U886" s="251" t="s">
        <v>1943</v>
      </c>
      <c r="V886" s="251" t="s">
        <v>1944</v>
      </c>
      <c r="X886" s="251">
        <v>0</v>
      </c>
    </row>
    <row r="887" spans="2:24" x14ac:dyDescent="0.2">
      <c r="B887" s="352" t="s">
        <v>873</v>
      </c>
      <c r="C887" s="352" t="s">
        <v>706</v>
      </c>
      <c r="F887" s="352" t="s">
        <v>1992</v>
      </c>
      <c r="G887" s="352" t="s">
        <v>2053</v>
      </c>
      <c r="H887" s="352" t="s">
        <v>1239</v>
      </c>
      <c r="I887" s="352" t="s">
        <v>996</v>
      </c>
      <c r="J887" s="352" t="s">
        <v>997</v>
      </c>
      <c r="K887" s="352">
        <v>2311</v>
      </c>
      <c r="L887" s="352" t="s">
        <v>1887</v>
      </c>
      <c r="M887" s="352" t="s">
        <v>2182</v>
      </c>
      <c r="N887" s="352" t="s">
        <v>2048</v>
      </c>
      <c r="O887" s="352">
        <v>8</v>
      </c>
      <c r="P887" s="352" t="s">
        <v>2067</v>
      </c>
      <c r="Q887" s="352" t="s">
        <v>2068</v>
      </c>
      <c r="R887" s="251">
        <v>0</v>
      </c>
      <c r="S887" s="251" t="s">
        <v>2015</v>
      </c>
      <c r="T887" s="251" t="s">
        <v>2054</v>
      </c>
      <c r="U887" s="251" t="s">
        <v>1943</v>
      </c>
      <c r="V887" s="251" t="s">
        <v>1944</v>
      </c>
      <c r="X887" s="251">
        <v>0</v>
      </c>
    </row>
    <row r="888" spans="2:24" x14ac:dyDescent="0.2">
      <c r="B888" s="352" t="s">
        <v>873</v>
      </c>
      <c r="C888" s="352" t="s">
        <v>706</v>
      </c>
      <c r="F888" s="352" t="s">
        <v>1992</v>
      </c>
      <c r="G888" s="352" t="s">
        <v>2053</v>
      </c>
      <c r="H888" s="352" t="s">
        <v>1243</v>
      </c>
      <c r="I888" s="352" t="s">
        <v>998</v>
      </c>
      <c r="J888" s="352" t="s">
        <v>999</v>
      </c>
      <c r="K888" s="352">
        <v>2311</v>
      </c>
      <c r="L888" s="352" t="s">
        <v>1887</v>
      </c>
      <c r="M888" s="352" t="s">
        <v>2183</v>
      </c>
      <c r="N888" s="352" t="s">
        <v>2048</v>
      </c>
      <c r="O888" s="352">
        <v>8</v>
      </c>
      <c r="P888" s="352" t="s">
        <v>2067</v>
      </c>
      <c r="Q888" s="352" t="s">
        <v>2068</v>
      </c>
      <c r="R888" s="251">
        <v>0</v>
      </c>
      <c r="S888" s="251" t="s">
        <v>2015</v>
      </c>
      <c r="T888" s="251" t="s">
        <v>2054</v>
      </c>
      <c r="U888" s="251" t="s">
        <v>1943</v>
      </c>
      <c r="V888" s="251" t="s">
        <v>1944</v>
      </c>
      <c r="X888" s="251">
        <v>0</v>
      </c>
    </row>
    <row r="889" spans="2:24" x14ac:dyDescent="0.2">
      <c r="B889" s="352" t="s">
        <v>873</v>
      </c>
      <c r="C889" s="352" t="s">
        <v>706</v>
      </c>
      <c r="F889" s="352" t="s">
        <v>1992</v>
      </c>
      <c r="G889" s="352" t="s">
        <v>2053</v>
      </c>
      <c r="H889" s="352" t="s">
        <v>1243</v>
      </c>
      <c r="I889" s="352" t="s">
        <v>998</v>
      </c>
      <c r="J889" s="352" t="s">
        <v>999</v>
      </c>
      <c r="K889" s="352">
        <v>2312</v>
      </c>
      <c r="L889" s="352" t="s">
        <v>789</v>
      </c>
      <c r="M889" s="352" t="s">
        <v>2184</v>
      </c>
      <c r="N889" s="352" t="s">
        <v>2048</v>
      </c>
      <c r="O889" s="352">
        <v>8</v>
      </c>
      <c r="P889" s="352" t="s">
        <v>2067</v>
      </c>
      <c r="Q889" s="352" t="s">
        <v>2068</v>
      </c>
      <c r="R889" s="251">
        <v>0</v>
      </c>
      <c r="S889" s="251" t="s">
        <v>2015</v>
      </c>
      <c r="T889" s="251" t="s">
        <v>2054</v>
      </c>
      <c r="U889" s="251" t="s">
        <v>1943</v>
      </c>
      <c r="V889" s="251" t="s">
        <v>1944</v>
      </c>
      <c r="X889" s="251">
        <v>0</v>
      </c>
    </row>
    <row r="890" spans="2:24" x14ac:dyDescent="0.2">
      <c r="B890" s="352" t="s">
        <v>873</v>
      </c>
      <c r="C890" s="352" t="s">
        <v>706</v>
      </c>
      <c r="F890" s="352" t="s">
        <v>1992</v>
      </c>
      <c r="G890" s="352" t="s">
        <v>2053</v>
      </c>
      <c r="H890" s="352" t="s">
        <v>1247</v>
      </c>
      <c r="I890" s="352" t="s">
        <v>1000</v>
      </c>
      <c r="J890" s="352" t="s">
        <v>1001</v>
      </c>
      <c r="K890" s="352">
        <v>2141</v>
      </c>
      <c r="L890" s="352" t="s">
        <v>1882</v>
      </c>
      <c r="M890" s="352" t="s">
        <v>2185</v>
      </c>
      <c r="N890" s="352" t="s">
        <v>2048</v>
      </c>
      <c r="O890" s="352">
        <v>12</v>
      </c>
      <c r="P890" s="352" t="s">
        <v>2069</v>
      </c>
      <c r="Q890" s="352" t="s">
        <v>2070</v>
      </c>
      <c r="R890" s="251">
        <v>901.85413672819595</v>
      </c>
      <c r="S890" s="251" t="s">
        <v>2015</v>
      </c>
      <c r="T890" s="251" t="s">
        <v>2016</v>
      </c>
      <c r="U890" s="251" t="s">
        <v>1935</v>
      </c>
      <c r="V890" s="251" t="s">
        <v>1936</v>
      </c>
      <c r="X890" s="251">
        <v>0</v>
      </c>
    </row>
    <row r="891" spans="2:24" x14ac:dyDescent="0.2">
      <c r="B891" s="352" t="s">
        <v>873</v>
      </c>
      <c r="C891" s="352" t="s">
        <v>706</v>
      </c>
      <c r="F891" s="352" t="s">
        <v>1992</v>
      </c>
      <c r="G891" s="352" t="s">
        <v>2053</v>
      </c>
      <c r="H891" s="352" t="s">
        <v>1247</v>
      </c>
      <c r="I891" s="352" t="s">
        <v>1000</v>
      </c>
      <c r="J891" s="352" t="s">
        <v>1001</v>
      </c>
      <c r="K891" s="352">
        <v>2142</v>
      </c>
      <c r="L891" s="352" t="s">
        <v>780</v>
      </c>
      <c r="M891" s="352" t="s">
        <v>2186</v>
      </c>
      <c r="N891" s="352" t="s">
        <v>2048</v>
      </c>
      <c r="O891" s="352">
        <v>12</v>
      </c>
      <c r="P891" s="352" t="s">
        <v>2069</v>
      </c>
      <c r="Q891" s="352" t="s">
        <v>2070</v>
      </c>
      <c r="R891" s="251">
        <v>2176.1463299209368</v>
      </c>
      <c r="S891" s="251" t="s">
        <v>2015</v>
      </c>
      <c r="T891" s="251" t="s">
        <v>2016</v>
      </c>
      <c r="U891" s="251">
        <v>0</v>
      </c>
      <c r="V891" s="251" t="s">
        <v>2153</v>
      </c>
      <c r="X891" s="251">
        <v>0</v>
      </c>
    </row>
    <row r="892" spans="2:24" x14ac:dyDescent="0.2">
      <c r="B892" s="352" t="s">
        <v>873</v>
      </c>
      <c r="C892" s="352" t="s">
        <v>706</v>
      </c>
      <c r="F892" s="352" t="s">
        <v>1992</v>
      </c>
      <c r="G892" s="352" t="s">
        <v>2053</v>
      </c>
      <c r="H892" s="352" t="s">
        <v>1251</v>
      </c>
      <c r="I892" s="352" t="s">
        <v>1002</v>
      </c>
      <c r="J892" s="352" t="s">
        <v>1003</v>
      </c>
      <c r="K892" s="352">
        <v>2113</v>
      </c>
      <c r="L892" s="352" t="s">
        <v>1875</v>
      </c>
      <c r="M892" s="352" t="s">
        <v>2187</v>
      </c>
      <c r="N892" s="352" t="s">
        <v>2048</v>
      </c>
      <c r="O892" s="352">
        <v>1</v>
      </c>
      <c r="P892" s="352" t="s">
        <v>2065</v>
      </c>
      <c r="Q892" s="352" t="s">
        <v>2066</v>
      </c>
      <c r="R892" s="251">
        <v>0</v>
      </c>
      <c r="S892" s="251" t="s">
        <v>2015</v>
      </c>
      <c r="T892" s="251" t="s">
        <v>2054</v>
      </c>
      <c r="U892" s="251" t="s">
        <v>1935</v>
      </c>
      <c r="V892" s="251" t="s">
        <v>1936</v>
      </c>
      <c r="X892" s="251">
        <v>0</v>
      </c>
    </row>
    <row r="893" spans="2:24" x14ac:dyDescent="0.2">
      <c r="B893" s="352" t="s">
        <v>873</v>
      </c>
      <c r="C893" s="352" t="s">
        <v>706</v>
      </c>
      <c r="F893" s="352" t="s">
        <v>1992</v>
      </c>
      <c r="G893" s="352" t="s">
        <v>2053</v>
      </c>
      <c r="H893" s="352" t="s">
        <v>1251</v>
      </c>
      <c r="I893" s="352" t="s">
        <v>1002</v>
      </c>
      <c r="J893" s="352" t="s">
        <v>1003</v>
      </c>
      <c r="K893" s="352">
        <v>2123</v>
      </c>
      <c r="L893" s="352" t="s">
        <v>1878</v>
      </c>
      <c r="M893" s="352" t="s">
        <v>2188</v>
      </c>
      <c r="N893" s="352" t="s">
        <v>2048</v>
      </c>
      <c r="O893" s="352">
        <v>1</v>
      </c>
      <c r="P893" s="352" t="s">
        <v>2065</v>
      </c>
      <c r="Q893" s="352" t="s">
        <v>2066</v>
      </c>
      <c r="R893" s="251">
        <v>0</v>
      </c>
      <c r="S893" s="251" t="s">
        <v>2015</v>
      </c>
      <c r="T893" s="251" t="s">
        <v>2054</v>
      </c>
      <c r="U893" s="251" t="s">
        <v>1935</v>
      </c>
      <c r="V893" s="251" t="s">
        <v>1936</v>
      </c>
      <c r="X893" s="251">
        <v>0</v>
      </c>
    </row>
    <row r="894" spans="2:24" x14ac:dyDescent="0.2">
      <c r="B894" s="352" t="s">
        <v>873</v>
      </c>
      <c r="C894" s="352" t="s">
        <v>706</v>
      </c>
      <c r="F894" s="352" t="s">
        <v>1992</v>
      </c>
      <c r="G894" s="352" t="s">
        <v>2053</v>
      </c>
      <c r="H894" s="352" t="s">
        <v>1255</v>
      </c>
      <c r="I894" s="352" t="s">
        <v>1006</v>
      </c>
      <c r="J894" s="352" t="s">
        <v>1007</v>
      </c>
      <c r="K894" s="352">
        <v>2133</v>
      </c>
      <c r="L894" s="352" t="s">
        <v>1881</v>
      </c>
      <c r="M894" s="352" t="s">
        <v>2189</v>
      </c>
      <c r="N894" s="352" t="s">
        <v>2048</v>
      </c>
      <c r="O894" s="352">
        <v>1</v>
      </c>
      <c r="P894" s="352" t="s">
        <v>2065</v>
      </c>
      <c r="Q894" s="352" t="s">
        <v>2066</v>
      </c>
      <c r="R894" s="251">
        <v>0</v>
      </c>
      <c r="S894" s="251" t="s">
        <v>2015</v>
      </c>
      <c r="T894" s="251" t="s">
        <v>2054</v>
      </c>
      <c r="U894" s="251" t="s">
        <v>1935</v>
      </c>
      <c r="V894" s="251" t="s">
        <v>1936</v>
      </c>
      <c r="X894" s="251">
        <v>0</v>
      </c>
    </row>
    <row r="895" spans="2:24" x14ac:dyDescent="0.2">
      <c r="B895" s="352" t="s">
        <v>873</v>
      </c>
      <c r="C895" s="352" t="s">
        <v>706</v>
      </c>
      <c r="F895" s="352" t="s">
        <v>1992</v>
      </c>
      <c r="G895" s="352" t="s">
        <v>2053</v>
      </c>
      <c r="H895" s="352" t="s">
        <v>1255</v>
      </c>
      <c r="I895" s="352" t="s">
        <v>1006</v>
      </c>
      <c r="J895" s="352" t="s">
        <v>1007</v>
      </c>
      <c r="K895" s="352">
        <v>2141</v>
      </c>
      <c r="L895" s="352" t="s">
        <v>1882</v>
      </c>
      <c r="M895" s="352" t="s">
        <v>2190</v>
      </c>
      <c r="N895" s="352" t="s">
        <v>2048</v>
      </c>
      <c r="O895" s="352">
        <v>1</v>
      </c>
      <c r="P895" s="352" t="s">
        <v>2065</v>
      </c>
      <c r="Q895" s="352" t="s">
        <v>2066</v>
      </c>
      <c r="R895" s="251">
        <v>0</v>
      </c>
      <c r="S895" s="251" t="s">
        <v>2015</v>
      </c>
      <c r="T895" s="251" t="s">
        <v>2054</v>
      </c>
      <c r="U895" s="251" t="s">
        <v>1935</v>
      </c>
      <c r="V895" s="251" t="s">
        <v>1936</v>
      </c>
      <c r="X895" s="251">
        <v>0</v>
      </c>
    </row>
    <row r="896" spans="2:24" x14ac:dyDescent="0.2">
      <c r="B896" s="352" t="s">
        <v>873</v>
      </c>
      <c r="C896" s="352" t="s">
        <v>706</v>
      </c>
      <c r="F896" s="352" t="s">
        <v>1992</v>
      </c>
      <c r="G896" s="352" t="s">
        <v>2053</v>
      </c>
      <c r="H896" s="352" t="s">
        <v>1255</v>
      </c>
      <c r="I896" s="352" t="s">
        <v>1006</v>
      </c>
      <c r="J896" s="352" t="s">
        <v>1007</v>
      </c>
      <c r="K896" s="352">
        <v>2221</v>
      </c>
      <c r="L896" s="352" t="s">
        <v>1884</v>
      </c>
      <c r="M896" s="352" t="s">
        <v>2191</v>
      </c>
      <c r="N896" s="352" t="s">
        <v>2048</v>
      </c>
      <c r="O896" s="352">
        <v>1</v>
      </c>
      <c r="P896" s="352" t="s">
        <v>2065</v>
      </c>
      <c r="Q896" s="352" t="s">
        <v>2066</v>
      </c>
      <c r="R896" s="251">
        <v>0</v>
      </c>
      <c r="S896" s="251" t="s">
        <v>2015</v>
      </c>
      <c r="T896" s="251" t="s">
        <v>2054</v>
      </c>
      <c r="U896" s="251" t="s">
        <v>1935</v>
      </c>
      <c r="V896" s="251" t="s">
        <v>1936</v>
      </c>
      <c r="X896" s="251">
        <v>0</v>
      </c>
    </row>
    <row r="897" spans="2:24" x14ac:dyDescent="0.2">
      <c r="B897" s="352" t="s">
        <v>873</v>
      </c>
      <c r="C897" s="352" t="s">
        <v>706</v>
      </c>
      <c r="F897" s="352" t="s">
        <v>1992</v>
      </c>
      <c r="G897" s="352" t="s">
        <v>2053</v>
      </c>
      <c r="H897" s="352" t="s">
        <v>1259</v>
      </c>
      <c r="I897" s="352" t="s">
        <v>1008</v>
      </c>
      <c r="J897" s="352" t="s">
        <v>1009</v>
      </c>
      <c r="K897" s="352">
        <v>2223</v>
      </c>
      <c r="L897" s="352" t="s">
        <v>1886</v>
      </c>
      <c r="M897" s="352" t="s">
        <v>2192</v>
      </c>
      <c r="N897" s="352" t="s">
        <v>2048</v>
      </c>
      <c r="O897" s="352">
        <v>2</v>
      </c>
      <c r="P897" s="352" t="s">
        <v>2071</v>
      </c>
      <c r="Q897" s="352" t="s">
        <v>2072</v>
      </c>
      <c r="R897" s="251">
        <v>0</v>
      </c>
      <c r="S897" s="251" t="s">
        <v>2193</v>
      </c>
      <c r="T897" s="251" t="s">
        <v>2054</v>
      </c>
      <c r="U897" s="251" t="s">
        <v>1937</v>
      </c>
      <c r="V897" s="251" t="s">
        <v>1938</v>
      </c>
      <c r="X897" s="251">
        <v>0</v>
      </c>
    </row>
    <row r="898" spans="2:24" x14ac:dyDescent="0.2">
      <c r="B898" s="352" t="s">
        <v>873</v>
      </c>
      <c r="C898" s="352" t="s">
        <v>706</v>
      </c>
      <c r="F898" s="352" t="s">
        <v>1992</v>
      </c>
      <c r="G898" s="352" t="s">
        <v>2053</v>
      </c>
      <c r="H898" s="352" t="s">
        <v>1263</v>
      </c>
      <c r="I898" s="352" t="s">
        <v>1010</v>
      </c>
      <c r="J898" s="352" t="s">
        <v>1011</v>
      </c>
      <c r="K898" s="352">
        <v>2222</v>
      </c>
      <c r="L898" s="352" t="s">
        <v>1885</v>
      </c>
      <c r="M898" s="352" t="s">
        <v>2194</v>
      </c>
      <c r="N898" s="352" t="s">
        <v>2048</v>
      </c>
      <c r="O898" s="352">
        <v>2</v>
      </c>
      <c r="P898" s="352" t="s">
        <v>2071</v>
      </c>
      <c r="Q898" s="352" t="s">
        <v>2072</v>
      </c>
      <c r="R898" s="251">
        <v>0</v>
      </c>
      <c r="S898" s="251" t="s">
        <v>2193</v>
      </c>
      <c r="T898" s="251" t="s">
        <v>2054</v>
      </c>
      <c r="U898" s="251" t="s">
        <v>1939</v>
      </c>
      <c r="V898" s="251" t="s">
        <v>1940</v>
      </c>
      <c r="X898" s="251">
        <v>0</v>
      </c>
    </row>
    <row r="899" spans="2:24" x14ac:dyDescent="0.2">
      <c r="B899" s="352" t="s">
        <v>873</v>
      </c>
      <c r="C899" s="352" t="s">
        <v>706</v>
      </c>
      <c r="F899" s="352" t="s">
        <v>1992</v>
      </c>
      <c r="G899" s="352" t="s">
        <v>2053</v>
      </c>
      <c r="H899" s="352" t="s">
        <v>1267</v>
      </c>
      <c r="I899" s="352" t="s">
        <v>1012</v>
      </c>
      <c r="J899" s="352" t="s">
        <v>1013</v>
      </c>
      <c r="K899" s="352">
        <v>2222</v>
      </c>
      <c r="L899" s="352" t="s">
        <v>1885</v>
      </c>
      <c r="M899" s="352" t="s">
        <v>2195</v>
      </c>
      <c r="N899" s="352" t="s">
        <v>2048</v>
      </c>
      <c r="O899" s="352">
        <v>2</v>
      </c>
      <c r="P899" s="352" t="s">
        <v>2071</v>
      </c>
      <c r="Q899" s="352" t="s">
        <v>2072</v>
      </c>
      <c r="R899" s="251">
        <v>0</v>
      </c>
      <c r="S899" s="251" t="s">
        <v>2193</v>
      </c>
      <c r="T899" s="251" t="s">
        <v>2054</v>
      </c>
      <c r="U899" s="251" t="s">
        <v>1939</v>
      </c>
      <c r="V899" s="251" t="s">
        <v>1940</v>
      </c>
      <c r="X899" s="251">
        <v>0</v>
      </c>
    </row>
    <row r="900" spans="2:24" x14ac:dyDescent="0.2">
      <c r="B900" s="352" t="s">
        <v>873</v>
      </c>
      <c r="C900" s="352" t="s">
        <v>706</v>
      </c>
      <c r="F900" s="352" t="s">
        <v>1992</v>
      </c>
      <c r="G900" s="352" t="s">
        <v>2053</v>
      </c>
      <c r="H900" s="352" t="s">
        <v>1271</v>
      </c>
      <c r="I900" s="352" t="s">
        <v>1014</v>
      </c>
      <c r="J900" s="352" t="s">
        <v>1893</v>
      </c>
      <c r="K900" s="352">
        <v>2131</v>
      </c>
      <c r="L900" s="352" t="s">
        <v>1879</v>
      </c>
      <c r="M900" s="352" t="s">
        <v>2196</v>
      </c>
      <c r="N900" s="352" t="s">
        <v>2048</v>
      </c>
      <c r="O900" s="352">
        <v>8</v>
      </c>
      <c r="P900" s="352" t="s">
        <v>2067</v>
      </c>
      <c r="Q900" s="352" t="s">
        <v>2068</v>
      </c>
      <c r="R900" s="251">
        <v>0</v>
      </c>
      <c r="S900" s="251" t="s">
        <v>2015</v>
      </c>
      <c r="T900" s="251" t="s">
        <v>2054</v>
      </c>
      <c r="U900" s="251" t="s">
        <v>1929</v>
      </c>
      <c r="V900" s="251" t="s">
        <v>1930</v>
      </c>
      <c r="X900" s="251">
        <v>0</v>
      </c>
    </row>
    <row r="901" spans="2:24" x14ac:dyDescent="0.2">
      <c r="B901" s="352" t="s">
        <v>873</v>
      </c>
      <c r="C901" s="352" t="s">
        <v>706</v>
      </c>
      <c r="F901" s="352" t="s">
        <v>1992</v>
      </c>
      <c r="G901" s="352" t="s">
        <v>2053</v>
      </c>
      <c r="H901" s="352" t="s">
        <v>1271</v>
      </c>
      <c r="I901" s="352" t="s">
        <v>1014</v>
      </c>
      <c r="J901" s="352" t="s">
        <v>1893</v>
      </c>
      <c r="K901" s="352">
        <v>2132</v>
      </c>
      <c r="L901" s="352" t="s">
        <v>1880</v>
      </c>
      <c r="M901" s="352" t="s">
        <v>2197</v>
      </c>
      <c r="N901" s="352" t="s">
        <v>2048</v>
      </c>
      <c r="O901" s="352">
        <v>8</v>
      </c>
      <c r="P901" s="352" t="s">
        <v>2067</v>
      </c>
      <c r="Q901" s="352" t="s">
        <v>2068</v>
      </c>
      <c r="R901" s="251">
        <v>0</v>
      </c>
      <c r="S901" s="251" t="s">
        <v>2015</v>
      </c>
      <c r="T901" s="251" t="s">
        <v>2054</v>
      </c>
      <c r="U901" s="251" t="s">
        <v>1931</v>
      </c>
      <c r="V901" s="251" t="s">
        <v>1932</v>
      </c>
      <c r="X901" s="251">
        <v>0</v>
      </c>
    </row>
    <row r="902" spans="2:24" x14ac:dyDescent="0.2">
      <c r="B902" s="352" t="s">
        <v>873</v>
      </c>
      <c r="C902" s="352" t="s">
        <v>706</v>
      </c>
      <c r="F902" s="352" t="s">
        <v>1992</v>
      </c>
      <c r="G902" s="352" t="s">
        <v>2053</v>
      </c>
      <c r="H902" s="352" t="s">
        <v>1271</v>
      </c>
      <c r="I902" s="352" t="s">
        <v>1014</v>
      </c>
      <c r="J902" s="352" t="s">
        <v>1893</v>
      </c>
      <c r="K902" s="352">
        <v>2133</v>
      </c>
      <c r="L902" s="352" t="s">
        <v>1881</v>
      </c>
      <c r="M902" s="352" t="s">
        <v>2198</v>
      </c>
      <c r="N902" s="352" t="s">
        <v>2048</v>
      </c>
      <c r="O902" s="352">
        <v>8</v>
      </c>
      <c r="P902" s="352" t="s">
        <v>2067</v>
      </c>
      <c r="Q902" s="352" t="s">
        <v>2068</v>
      </c>
      <c r="R902" s="251">
        <v>0</v>
      </c>
      <c r="S902" s="251" t="s">
        <v>2015</v>
      </c>
      <c r="T902" s="251" t="s">
        <v>2054</v>
      </c>
      <c r="U902" s="251" t="s">
        <v>1935</v>
      </c>
      <c r="V902" s="251" t="s">
        <v>1936</v>
      </c>
      <c r="X902" s="251">
        <v>0</v>
      </c>
    </row>
    <row r="903" spans="2:24" x14ac:dyDescent="0.2">
      <c r="B903" s="352" t="s">
        <v>873</v>
      </c>
      <c r="C903" s="352" t="s">
        <v>706</v>
      </c>
      <c r="F903" s="352" t="s">
        <v>1992</v>
      </c>
      <c r="G903" s="352" t="s">
        <v>2053</v>
      </c>
      <c r="H903" s="352" t="s">
        <v>1271</v>
      </c>
      <c r="I903" s="352" t="s">
        <v>1014</v>
      </c>
      <c r="J903" s="352" t="s">
        <v>1893</v>
      </c>
      <c r="K903" s="352">
        <v>2134</v>
      </c>
      <c r="L903" s="352" t="s">
        <v>775</v>
      </c>
      <c r="M903" s="352" t="s">
        <v>2199</v>
      </c>
      <c r="N903" s="352" t="s">
        <v>2048</v>
      </c>
      <c r="O903" s="352">
        <v>8</v>
      </c>
      <c r="P903" s="352" t="s">
        <v>2067</v>
      </c>
      <c r="Q903" s="352" t="s">
        <v>2068</v>
      </c>
      <c r="R903" s="251">
        <v>0</v>
      </c>
      <c r="S903" s="251" t="s">
        <v>2015</v>
      </c>
      <c r="T903" s="251" t="s">
        <v>2054</v>
      </c>
      <c r="U903" s="251">
        <v>0</v>
      </c>
      <c r="V903" s="251" t="s">
        <v>2153</v>
      </c>
      <c r="X903" s="251">
        <v>0</v>
      </c>
    </row>
    <row r="904" spans="2:24" x14ac:dyDescent="0.2">
      <c r="B904" s="352" t="s">
        <v>873</v>
      </c>
      <c r="C904" s="352" t="s">
        <v>706</v>
      </c>
      <c r="F904" s="352" t="s">
        <v>1992</v>
      </c>
      <c r="G904" s="352" t="s">
        <v>2053</v>
      </c>
      <c r="H904" s="352" t="s">
        <v>1271</v>
      </c>
      <c r="I904" s="352" t="s">
        <v>1014</v>
      </c>
      <c r="J904" s="352" t="s">
        <v>1893</v>
      </c>
      <c r="K904" s="352">
        <v>2141</v>
      </c>
      <c r="L904" s="352" t="s">
        <v>1882</v>
      </c>
      <c r="M904" s="352" t="s">
        <v>2200</v>
      </c>
      <c r="N904" s="352" t="s">
        <v>2048</v>
      </c>
      <c r="O904" s="352">
        <v>8</v>
      </c>
      <c r="P904" s="352" t="s">
        <v>2067</v>
      </c>
      <c r="Q904" s="352" t="s">
        <v>2068</v>
      </c>
      <c r="R904" s="251">
        <v>0</v>
      </c>
      <c r="S904" s="251" t="s">
        <v>2015</v>
      </c>
      <c r="T904" s="251" t="s">
        <v>2054</v>
      </c>
      <c r="U904" s="251" t="s">
        <v>1935</v>
      </c>
      <c r="V904" s="251" t="s">
        <v>1936</v>
      </c>
      <c r="X904" s="251">
        <v>0</v>
      </c>
    </row>
    <row r="905" spans="2:24" x14ac:dyDescent="0.2">
      <c r="B905" s="352" t="s">
        <v>873</v>
      </c>
      <c r="C905" s="352" t="s">
        <v>706</v>
      </c>
      <c r="F905" s="352" t="s">
        <v>1992</v>
      </c>
      <c r="G905" s="352" t="s">
        <v>2053</v>
      </c>
      <c r="H905" s="352" t="s">
        <v>1271</v>
      </c>
      <c r="I905" s="352" t="s">
        <v>1014</v>
      </c>
      <c r="J905" s="352" t="s">
        <v>1893</v>
      </c>
      <c r="K905" s="352">
        <v>2211</v>
      </c>
      <c r="L905" s="352" t="s">
        <v>1883</v>
      </c>
      <c r="M905" s="352" t="s">
        <v>2201</v>
      </c>
      <c r="N905" s="352" t="s">
        <v>2048</v>
      </c>
      <c r="O905" s="352">
        <v>8</v>
      </c>
      <c r="P905" s="352" t="s">
        <v>2067</v>
      </c>
      <c r="Q905" s="352" t="s">
        <v>2068</v>
      </c>
      <c r="R905" s="251">
        <v>0</v>
      </c>
      <c r="S905" s="251" t="s">
        <v>2015</v>
      </c>
      <c r="T905" s="251" t="s">
        <v>2054</v>
      </c>
      <c r="U905" s="251" t="s">
        <v>1929</v>
      </c>
      <c r="V905" s="251" t="s">
        <v>1930</v>
      </c>
      <c r="X905" s="251">
        <v>0</v>
      </c>
    </row>
    <row r="906" spans="2:24" x14ac:dyDescent="0.2">
      <c r="B906" s="352" t="s">
        <v>873</v>
      </c>
      <c r="C906" s="352" t="s">
        <v>706</v>
      </c>
      <c r="F906" s="352" t="s">
        <v>1992</v>
      </c>
      <c r="G906" s="352" t="s">
        <v>2053</v>
      </c>
      <c r="H906" s="352" t="s">
        <v>1271</v>
      </c>
      <c r="I906" s="352" t="s">
        <v>1014</v>
      </c>
      <c r="J906" s="352" t="s">
        <v>1893</v>
      </c>
      <c r="K906" s="352">
        <v>2221</v>
      </c>
      <c r="L906" s="352" t="s">
        <v>1884</v>
      </c>
      <c r="M906" s="352" t="s">
        <v>2202</v>
      </c>
      <c r="N906" s="352" t="s">
        <v>2048</v>
      </c>
      <c r="O906" s="352">
        <v>8</v>
      </c>
      <c r="P906" s="352" t="s">
        <v>2067</v>
      </c>
      <c r="Q906" s="352" t="s">
        <v>2068</v>
      </c>
      <c r="R906" s="251">
        <v>0</v>
      </c>
      <c r="S906" s="251" t="s">
        <v>2015</v>
      </c>
      <c r="T906" s="251" t="s">
        <v>2054</v>
      </c>
      <c r="U906" s="251" t="s">
        <v>1935</v>
      </c>
      <c r="V906" s="251" t="s">
        <v>1936</v>
      </c>
      <c r="X906" s="251">
        <v>0</v>
      </c>
    </row>
    <row r="907" spans="2:24" x14ac:dyDescent="0.2">
      <c r="B907" s="352" t="s">
        <v>873</v>
      </c>
      <c r="C907" s="352" t="s">
        <v>706</v>
      </c>
      <c r="F907" s="352" t="s">
        <v>1992</v>
      </c>
      <c r="G907" s="352" t="s">
        <v>2053</v>
      </c>
      <c r="H907" s="352" t="s">
        <v>1275</v>
      </c>
      <c r="I907" s="352" t="s">
        <v>1015</v>
      </c>
      <c r="J907" s="352" t="s">
        <v>1016</v>
      </c>
      <c r="K907" s="352">
        <v>3111</v>
      </c>
      <c r="L907" s="352" t="s">
        <v>763</v>
      </c>
      <c r="M907" s="352" t="s">
        <v>2203</v>
      </c>
      <c r="N907" s="352" t="s">
        <v>2048</v>
      </c>
      <c r="O907" s="352">
        <v>1</v>
      </c>
      <c r="P907" s="352" t="s">
        <v>2065</v>
      </c>
      <c r="Q907" s="352" t="s">
        <v>2066</v>
      </c>
      <c r="R907" s="251">
        <v>0</v>
      </c>
      <c r="S907" s="251"/>
      <c r="T907" s="251" t="s">
        <v>2054</v>
      </c>
      <c r="U907" s="251" t="s">
        <v>1945</v>
      </c>
      <c r="V907" s="251" t="s">
        <v>709</v>
      </c>
      <c r="X907" s="251">
        <v>0</v>
      </c>
    </row>
    <row r="908" spans="2:24" x14ac:dyDescent="0.2">
      <c r="B908" s="352" t="s">
        <v>873</v>
      </c>
      <c r="C908" s="352" t="s">
        <v>706</v>
      </c>
      <c r="F908" s="352" t="s">
        <v>1992</v>
      </c>
      <c r="G908" s="352" t="s">
        <v>2053</v>
      </c>
      <c r="H908" s="352" t="s">
        <v>1275</v>
      </c>
      <c r="I908" s="352" t="s">
        <v>1015</v>
      </c>
      <c r="J908" s="352" t="s">
        <v>1016</v>
      </c>
      <c r="K908" s="352">
        <v>3121</v>
      </c>
      <c r="L908" s="352" t="s">
        <v>766</v>
      </c>
      <c r="M908" s="352" t="s">
        <v>2204</v>
      </c>
      <c r="N908" s="352" t="s">
        <v>2048</v>
      </c>
      <c r="O908" s="352">
        <v>1</v>
      </c>
      <c r="P908" s="352" t="s">
        <v>2065</v>
      </c>
      <c r="Q908" s="352" t="s">
        <v>2066</v>
      </c>
      <c r="R908" s="251">
        <v>0</v>
      </c>
      <c r="S908" s="251"/>
      <c r="T908" s="251" t="s">
        <v>2054</v>
      </c>
      <c r="U908" s="251" t="s">
        <v>1945</v>
      </c>
      <c r="V908" s="251" t="s">
        <v>709</v>
      </c>
      <c r="X908" s="251">
        <v>0</v>
      </c>
    </row>
    <row r="909" spans="2:24" x14ac:dyDescent="0.2">
      <c r="B909" s="352" t="s">
        <v>873</v>
      </c>
      <c r="C909" s="352" t="s">
        <v>706</v>
      </c>
      <c r="F909" s="352" t="s">
        <v>1992</v>
      </c>
      <c r="G909" s="352" t="s">
        <v>2053</v>
      </c>
      <c r="H909" s="352" t="s">
        <v>1279</v>
      </c>
      <c r="I909" s="352" t="s">
        <v>1017</v>
      </c>
      <c r="J909" s="352" t="s">
        <v>1018</v>
      </c>
      <c r="K909" s="352">
        <v>4111</v>
      </c>
      <c r="L909" s="352" t="s">
        <v>770</v>
      </c>
      <c r="M909" s="352" t="s">
        <v>2205</v>
      </c>
      <c r="N909" s="352" t="s">
        <v>2048</v>
      </c>
      <c r="O909" s="352">
        <v>11</v>
      </c>
      <c r="P909" s="352" t="s">
        <v>2063</v>
      </c>
      <c r="Q909" s="352" t="s">
        <v>2064</v>
      </c>
      <c r="R909" s="251">
        <v>144.12689832008905</v>
      </c>
      <c r="S909" s="251" t="s">
        <v>2015</v>
      </c>
      <c r="T909" s="251" t="s">
        <v>2016</v>
      </c>
      <c r="U909" s="251" t="s">
        <v>1946</v>
      </c>
      <c r="V909" s="251" t="s">
        <v>1947</v>
      </c>
      <c r="X909" s="251">
        <v>0</v>
      </c>
    </row>
    <row r="910" spans="2:24" x14ac:dyDescent="0.2">
      <c r="B910" s="352" t="s">
        <v>873</v>
      </c>
      <c r="C910" s="352" t="s">
        <v>706</v>
      </c>
      <c r="F910" s="352" t="s">
        <v>1992</v>
      </c>
      <c r="G910" s="352" t="s">
        <v>2053</v>
      </c>
      <c r="H910" s="352" t="s">
        <v>1279</v>
      </c>
      <c r="I910" s="352" t="s">
        <v>1017</v>
      </c>
      <c r="J910" s="352" t="s">
        <v>1018</v>
      </c>
      <c r="K910" s="352">
        <v>4121</v>
      </c>
      <c r="L910" s="352" t="s">
        <v>772</v>
      </c>
      <c r="M910" s="352" t="s">
        <v>2206</v>
      </c>
      <c r="N910" s="352" t="s">
        <v>2048</v>
      </c>
      <c r="O910" s="352">
        <v>11</v>
      </c>
      <c r="P910" s="352" t="s">
        <v>2063</v>
      </c>
      <c r="Q910" s="352" t="s">
        <v>2064</v>
      </c>
      <c r="R910" s="251">
        <v>111.17003112613547</v>
      </c>
      <c r="S910" s="251" t="s">
        <v>2015</v>
      </c>
      <c r="T910" s="251" t="s">
        <v>2016</v>
      </c>
      <c r="U910" s="251" t="s">
        <v>1946</v>
      </c>
      <c r="V910" s="251" t="s">
        <v>1947</v>
      </c>
      <c r="X910" s="251">
        <v>0</v>
      </c>
    </row>
    <row r="911" spans="2:24" x14ac:dyDescent="0.2">
      <c r="B911" s="352" t="s">
        <v>873</v>
      </c>
      <c r="C911" s="352" t="s">
        <v>706</v>
      </c>
      <c r="F911" s="352" t="s">
        <v>1992</v>
      </c>
      <c r="G911" s="352" t="s">
        <v>2053</v>
      </c>
      <c r="H911" s="352" t="s">
        <v>1283</v>
      </c>
      <c r="I911" s="352" t="s">
        <v>1019</v>
      </c>
      <c r="J911" s="352" t="s">
        <v>1020</v>
      </c>
      <c r="K911" s="352">
        <v>4231</v>
      </c>
      <c r="L911" s="352" t="s">
        <v>774</v>
      </c>
      <c r="M911" s="352" t="s">
        <v>2207</v>
      </c>
      <c r="N911" s="352" t="s">
        <v>2048</v>
      </c>
      <c r="O911" s="352">
        <v>1</v>
      </c>
      <c r="P911" s="352" t="s">
        <v>2065</v>
      </c>
      <c r="Q911" s="352" t="s">
        <v>2066</v>
      </c>
      <c r="R911" s="251">
        <v>2715.2396414021491</v>
      </c>
      <c r="S911" s="251" t="s">
        <v>2015</v>
      </c>
      <c r="T911" s="251" t="s">
        <v>2016</v>
      </c>
      <c r="U911" s="251" t="s">
        <v>1948</v>
      </c>
      <c r="V911" s="251" t="s">
        <v>1949</v>
      </c>
      <c r="X911" s="251">
        <v>0</v>
      </c>
    </row>
    <row r="912" spans="2:24" x14ac:dyDescent="0.2">
      <c r="B912" s="352" t="s">
        <v>873</v>
      </c>
      <c r="C912" s="352" t="s">
        <v>706</v>
      </c>
      <c r="F912" s="352" t="s">
        <v>1992</v>
      </c>
      <c r="G912" s="352" t="s">
        <v>2053</v>
      </c>
      <c r="H912" s="352" t="s">
        <v>1283</v>
      </c>
      <c r="I912" s="352" t="s">
        <v>1019</v>
      </c>
      <c r="J912" s="352" t="s">
        <v>1020</v>
      </c>
      <c r="K912" s="352">
        <v>4241</v>
      </c>
      <c r="L912" s="352" t="s">
        <v>777</v>
      </c>
      <c r="M912" s="352" t="s">
        <v>2208</v>
      </c>
      <c r="N912" s="352" t="s">
        <v>2048</v>
      </c>
      <c r="O912" s="352">
        <v>1</v>
      </c>
      <c r="P912" s="352" t="s">
        <v>2065</v>
      </c>
      <c r="Q912" s="352" t="s">
        <v>2066</v>
      </c>
      <c r="R912" s="251">
        <v>70.363745513314086</v>
      </c>
      <c r="S912" s="251" t="s">
        <v>2015</v>
      </c>
      <c r="T912" s="251" t="s">
        <v>2016</v>
      </c>
      <c r="U912" s="251" t="s">
        <v>1950</v>
      </c>
      <c r="V912" s="251" t="s">
        <v>1951</v>
      </c>
      <c r="X912" s="251">
        <v>0</v>
      </c>
    </row>
    <row r="913" spans="2:24" x14ac:dyDescent="0.2">
      <c r="B913" s="352" t="s">
        <v>873</v>
      </c>
      <c r="C913" s="352" t="s">
        <v>706</v>
      </c>
      <c r="F913" s="352" t="s">
        <v>1992</v>
      </c>
      <c r="G913" s="352" t="s">
        <v>2053</v>
      </c>
      <c r="H913" s="352" t="s">
        <v>1283</v>
      </c>
      <c r="I913" s="352" t="s">
        <v>1019</v>
      </c>
      <c r="J913" s="352" t="s">
        <v>1020</v>
      </c>
      <c r="K913" s="352">
        <v>4311</v>
      </c>
      <c r="L913" s="352" t="s">
        <v>779</v>
      </c>
      <c r="M913" s="352" t="s">
        <v>2209</v>
      </c>
      <c r="N913" s="352" t="s">
        <v>2048</v>
      </c>
      <c r="O913" s="352">
        <v>1</v>
      </c>
      <c r="P913" s="352" t="s">
        <v>2065</v>
      </c>
      <c r="Q913" s="352" t="s">
        <v>2066</v>
      </c>
      <c r="R913" s="251">
        <v>3.3546391188713942</v>
      </c>
      <c r="S913" s="251" t="s">
        <v>2015</v>
      </c>
      <c r="T913" s="251" t="s">
        <v>2016</v>
      </c>
      <c r="U913" s="251" t="s">
        <v>1952</v>
      </c>
      <c r="V913" s="251" t="s">
        <v>1953</v>
      </c>
      <c r="X913" s="251">
        <v>0</v>
      </c>
    </row>
    <row r="914" spans="2:24" x14ac:dyDescent="0.2">
      <c r="B914" s="352" t="s">
        <v>873</v>
      </c>
      <c r="C914" s="352" t="s">
        <v>706</v>
      </c>
      <c r="F914" s="352" t="s">
        <v>1992</v>
      </c>
      <c r="G914" s="352" t="s">
        <v>2053</v>
      </c>
      <c r="H914" s="352" t="s">
        <v>1287</v>
      </c>
      <c r="I914" s="352" t="s">
        <v>1021</v>
      </c>
      <c r="J914" s="352" t="s">
        <v>751</v>
      </c>
      <c r="K914" s="352">
        <v>4231</v>
      </c>
      <c r="L914" s="352" t="s">
        <v>774</v>
      </c>
      <c r="M914" s="352" t="s">
        <v>2210</v>
      </c>
      <c r="N914" s="352" t="s">
        <v>2048</v>
      </c>
      <c r="O914" s="352">
        <v>20</v>
      </c>
      <c r="P914" s="352" t="s">
        <v>2073</v>
      </c>
      <c r="Q914" s="352" t="s">
        <v>2074</v>
      </c>
      <c r="R914" s="251">
        <v>85.744409728488918</v>
      </c>
      <c r="S914" s="251" t="s">
        <v>2015</v>
      </c>
      <c r="T914" s="251" t="s">
        <v>2016</v>
      </c>
      <c r="U914" s="251" t="s">
        <v>1948</v>
      </c>
      <c r="V914" s="251" t="s">
        <v>1949</v>
      </c>
      <c r="X914" s="251">
        <v>0</v>
      </c>
    </row>
    <row r="915" spans="2:24" x14ac:dyDescent="0.2">
      <c r="B915" s="352" t="s">
        <v>873</v>
      </c>
      <c r="C915" s="352" t="s">
        <v>706</v>
      </c>
      <c r="F915" s="352" t="s">
        <v>1992</v>
      </c>
      <c r="G915" s="352" t="s">
        <v>2053</v>
      </c>
      <c r="H915" s="352" t="s">
        <v>1287</v>
      </c>
      <c r="I915" s="352" t="s">
        <v>1021</v>
      </c>
      <c r="J915" s="352" t="s">
        <v>751</v>
      </c>
      <c r="K915" s="352">
        <v>4241</v>
      </c>
      <c r="L915" s="352" t="s">
        <v>777</v>
      </c>
      <c r="M915" s="352" t="s">
        <v>2211</v>
      </c>
      <c r="N915" s="352" t="s">
        <v>2048</v>
      </c>
      <c r="O915" s="352">
        <v>20</v>
      </c>
      <c r="P915" s="352" t="s">
        <v>2073</v>
      </c>
      <c r="Q915" s="352" t="s">
        <v>2074</v>
      </c>
      <c r="R915" s="251">
        <v>2228.1852745882793</v>
      </c>
      <c r="S915" s="251" t="s">
        <v>2015</v>
      </c>
      <c r="T915" s="251" t="s">
        <v>2016</v>
      </c>
      <c r="U915" s="251" t="s">
        <v>1950</v>
      </c>
      <c r="V915" s="251" t="s">
        <v>1951</v>
      </c>
      <c r="X915" s="251">
        <v>0</v>
      </c>
    </row>
    <row r="916" spans="2:24" x14ac:dyDescent="0.2">
      <c r="B916" s="352" t="s">
        <v>873</v>
      </c>
      <c r="C916" s="352" t="s">
        <v>706</v>
      </c>
      <c r="F916" s="352" t="s">
        <v>1992</v>
      </c>
      <c r="G916" s="352" t="s">
        <v>2053</v>
      </c>
      <c r="H916" s="352" t="s">
        <v>1287</v>
      </c>
      <c r="I916" s="352" t="s">
        <v>1021</v>
      </c>
      <c r="J916" s="352" t="s">
        <v>751</v>
      </c>
      <c r="K916" s="352">
        <v>4311</v>
      </c>
      <c r="L916" s="352" t="s">
        <v>779</v>
      </c>
      <c r="M916" s="352" t="s">
        <v>2212</v>
      </c>
      <c r="N916" s="352" t="s">
        <v>2048</v>
      </c>
      <c r="O916" s="352">
        <v>20</v>
      </c>
      <c r="P916" s="352" t="s">
        <v>2073</v>
      </c>
      <c r="Q916" s="352" t="s">
        <v>2074</v>
      </c>
      <c r="R916" s="251">
        <v>106.23023876426082</v>
      </c>
      <c r="S916" s="251" t="s">
        <v>2015</v>
      </c>
      <c r="T916" s="251" t="s">
        <v>2016</v>
      </c>
      <c r="U916" s="251" t="s">
        <v>1952</v>
      </c>
      <c r="V916" s="251" t="s">
        <v>1953</v>
      </c>
      <c r="X916" s="251">
        <v>0</v>
      </c>
    </row>
    <row r="917" spans="2:24" x14ac:dyDescent="0.2">
      <c r="B917" s="352" t="s">
        <v>873</v>
      </c>
      <c r="C917" s="352" t="s">
        <v>712</v>
      </c>
      <c r="F917" s="352" t="s">
        <v>1993</v>
      </c>
      <c r="G917" s="352" t="s">
        <v>2080</v>
      </c>
      <c r="H917" s="352" t="s">
        <v>1291</v>
      </c>
      <c r="I917" s="352" t="s">
        <v>969</v>
      </c>
      <c r="J917" s="352" t="s">
        <v>970</v>
      </c>
      <c r="K917" s="352">
        <v>1111</v>
      </c>
      <c r="L917" s="352" t="s">
        <v>699</v>
      </c>
      <c r="M917" s="352" t="s">
        <v>2147</v>
      </c>
      <c r="N917" s="352" t="s">
        <v>2076</v>
      </c>
      <c r="O917" s="352">
        <v>5</v>
      </c>
      <c r="P917" s="352" t="s">
        <v>2077</v>
      </c>
      <c r="Q917" s="352" t="s">
        <v>2058</v>
      </c>
      <c r="R917" s="251">
        <v>90563.821785654727</v>
      </c>
      <c r="S917" s="251" t="s">
        <v>2015</v>
      </c>
      <c r="T917" s="251" t="s">
        <v>2016</v>
      </c>
      <c r="U917" s="251" t="s">
        <v>1914</v>
      </c>
      <c r="V917" s="251" t="s">
        <v>1915</v>
      </c>
      <c r="X917" s="251">
        <v>0</v>
      </c>
    </row>
    <row r="918" spans="2:24" x14ac:dyDescent="0.2">
      <c r="B918" s="352" t="s">
        <v>873</v>
      </c>
      <c r="C918" s="352" t="s">
        <v>712</v>
      </c>
      <c r="F918" s="352" t="s">
        <v>1993</v>
      </c>
      <c r="G918" s="352" t="s">
        <v>2080</v>
      </c>
      <c r="H918" s="352" t="s">
        <v>1291</v>
      </c>
      <c r="I918" s="352" t="s">
        <v>969</v>
      </c>
      <c r="J918" s="352" t="s">
        <v>970</v>
      </c>
      <c r="K918" s="352">
        <v>1231</v>
      </c>
      <c r="L918" s="352" t="s">
        <v>726</v>
      </c>
      <c r="M918" s="352" t="s">
        <v>2148</v>
      </c>
      <c r="N918" s="352" t="s">
        <v>2076</v>
      </c>
      <c r="O918" s="352">
        <v>5</v>
      </c>
      <c r="P918" s="352" t="s">
        <v>2077</v>
      </c>
      <c r="Q918" s="352" t="s">
        <v>2058</v>
      </c>
      <c r="R918" s="251">
        <v>3428.3119487676072</v>
      </c>
      <c r="S918" s="251" t="s">
        <v>2015</v>
      </c>
      <c r="T918" s="251" t="s">
        <v>2016</v>
      </c>
      <c r="U918" s="251" t="s">
        <v>1920</v>
      </c>
      <c r="V918" s="251" t="s">
        <v>726</v>
      </c>
      <c r="X918" s="251">
        <v>0</v>
      </c>
    </row>
    <row r="919" spans="2:24" x14ac:dyDescent="0.2">
      <c r="B919" s="352" t="s">
        <v>873</v>
      </c>
      <c r="C919" s="352" t="s">
        <v>712</v>
      </c>
      <c r="F919" s="352" t="s">
        <v>1993</v>
      </c>
      <c r="G919" s="352" t="s">
        <v>2080</v>
      </c>
      <c r="H919" s="352" t="s">
        <v>1295</v>
      </c>
      <c r="I919" s="352" t="s">
        <v>971</v>
      </c>
      <c r="J919" s="352" t="s">
        <v>972</v>
      </c>
      <c r="K919" s="352">
        <v>1211</v>
      </c>
      <c r="L919" s="352" t="s">
        <v>705</v>
      </c>
      <c r="M919" s="352" t="s">
        <v>2149</v>
      </c>
      <c r="N919" s="352" t="s">
        <v>2076</v>
      </c>
      <c r="O919" s="352">
        <v>5</v>
      </c>
      <c r="P919" s="352" t="s">
        <v>2077</v>
      </c>
      <c r="Q919" s="352" t="s">
        <v>2058</v>
      </c>
      <c r="R919" s="251">
        <v>0</v>
      </c>
      <c r="S919" s="251" t="s">
        <v>2015</v>
      </c>
      <c r="T919" s="251" t="s">
        <v>2054</v>
      </c>
      <c r="U919" s="251" t="s">
        <v>1916</v>
      </c>
      <c r="V919" s="251" t="s">
        <v>1917</v>
      </c>
      <c r="X919" s="251">
        <v>0</v>
      </c>
    </row>
    <row r="920" spans="2:24" x14ac:dyDescent="0.2">
      <c r="B920" s="352" t="s">
        <v>873</v>
      </c>
      <c r="C920" s="352" t="s">
        <v>712</v>
      </c>
      <c r="F920" s="352" t="s">
        <v>1993</v>
      </c>
      <c r="G920" s="352" t="s">
        <v>2080</v>
      </c>
      <c r="H920" s="352" t="s">
        <v>1299</v>
      </c>
      <c r="I920" s="352" t="s">
        <v>973</v>
      </c>
      <c r="J920" s="352" t="s">
        <v>974</v>
      </c>
      <c r="K920" s="352">
        <v>1211</v>
      </c>
      <c r="L920" s="352" t="s">
        <v>705</v>
      </c>
      <c r="M920" s="352" t="s">
        <v>2150</v>
      </c>
      <c r="N920" s="352" t="s">
        <v>2076</v>
      </c>
      <c r="O920" s="352">
        <v>5</v>
      </c>
      <c r="P920" s="352" t="s">
        <v>2077</v>
      </c>
      <c r="Q920" s="352" t="s">
        <v>2058</v>
      </c>
      <c r="R920" s="251">
        <v>16715.567872348805</v>
      </c>
      <c r="S920" s="251" t="s">
        <v>2015</v>
      </c>
      <c r="T920" s="251" t="s">
        <v>2016</v>
      </c>
      <c r="U920" s="251" t="s">
        <v>1916</v>
      </c>
      <c r="V920" s="251" t="s">
        <v>1917</v>
      </c>
      <c r="X920" s="251">
        <v>0</v>
      </c>
    </row>
    <row r="921" spans="2:24" x14ac:dyDescent="0.2">
      <c r="B921" s="352" t="s">
        <v>873</v>
      </c>
      <c r="C921" s="352" t="s">
        <v>712</v>
      </c>
      <c r="F921" s="352" t="s">
        <v>1993</v>
      </c>
      <c r="G921" s="352" t="s">
        <v>2080</v>
      </c>
      <c r="H921" s="352" t="s">
        <v>1299</v>
      </c>
      <c r="I921" s="352" t="s">
        <v>973</v>
      </c>
      <c r="J921" s="352" t="s">
        <v>974</v>
      </c>
      <c r="K921" s="352">
        <v>1221</v>
      </c>
      <c r="L921" s="352" t="s">
        <v>711</v>
      </c>
      <c r="M921" s="352" t="s">
        <v>2151</v>
      </c>
      <c r="N921" s="352" t="s">
        <v>2076</v>
      </c>
      <c r="O921" s="352">
        <v>5</v>
      </c>
      <c r="P921" s="352" t="s">
        <v>2077</v>
      </c>
      <c r="Q921" s="352" t="s">
        <v>2058</v>
      </c>
      <c r="R921" s="251">
        <v>20980.649327861709</v>
      </c>
      <c r="S921" s="251" t="s">
        <v>2015</v>
      </c>
      <c r="T921" s="251" t="s">
        <v>2016</v>
      </c>
      <c r="U921" s="251" t="s">
        <v>1918</v>
      </c>
      <c r="V921" s="251" t="s">
        <v>1919</v>
      </c>
      <c r="X921" s="251">
        <v>0</v>
      </c>
    </row>
    <row r="922" spans="2:24" x14ac:dyDescent="0.2">
      <c r="B922" s="352" t="s">
        <v>873</v>
      </c>
      <c r="C922" s="352" t="s">
        <v>712</v>
      </c>
      <c r="F922" s="352" t="s">
        <v>1993</v>
      </c>
      <c r="G922" s="352" t="s">
        <v>2080</v>
      </c>
      <c r="H922" s="352" t="s">
        <v>1299</v>
      </c>
      <c r="I922" s="352" t="s">
        <v>973</v>
      </c>
      <c r="J922" s="352" t="s">
        <v>974</v>
      </c>
      <c r="K922" s="352">
        <v>1222</v>
      </c>
      <c r="L922" s="352" t="s">
        <v>718</v>
      </c>
      <c r="M922" s="352" t="s">
        <v>2152</v>
      </c>
      <c r="N922" s="352" t="s">
        <v>2076</v>
      </c>
      <c r="O922" s="352">
        <v>5</v>
      </c>
      <c r="P922" s="352" t="s">
        <v>2077</v>
      </c>
      <c r="Q922" s="352" t="s">
        <v>2058</v>
      </c>
      <c r="R922" s="251">
        <v>779.10996885645227</v>
      </c>
      <c r="S922" s="251" t="s">
        <v>2015</v>
      </c>
      <c r="T922" s="251" t="s">
        <v>2016</v>
      </c>
      <c r="U922" s="251">
        <v>0</v>
      </c>
      <c r="V922" s="251" t="s">
        <v>2153</v>
      </c>
      <c r="X922" s="251">
        <v>0</v>
      </c>
    </row>
    <row r="923" spans="2:24" x14ac:dyDescent="0.2">
      <c r="B923" s="352" t="s">
        <v>873</v>
      </c>
      <c r="C923" s="352" t="s">
        <v>712</v>
      </c>
      <c r="F923" s="352" t="s">
        <v>1993</v>
      </c>
      <c r="G923" s="352" t="s">
        <v>2080</v>
      </c>
      <c r="H923" s="352" t="s">
        <v>1303</v>
      </c>
      <c r="I923" s="352" t="s">
        <v>975</v>
      </c>
      <c r="J923" s="352" t="s">
        <v>976</v>
      </c>
      <c r="K923" s="352">
        <v>1221</v>
      </c>
      <c r="L923" s="352" t="s">
        <v>711</v>
      </c>
      <c r="M923" s="352" t="s">
        <v>2154</v>
      </c>
      <c r="N923" s="352" t="s">
        <v>2076</v>
      </c>
      <c r="O923" s="352">
        <v>7</v>
      </c>
      <c r="P923" s="352" t="s">
        <v>2081</v>
      </c>
      <c r="Q923" s="352" t="s">
        <v>2056</v>
      </c>
      <c r="R923" s="251">
        <v>0</v>
      </c>
      <c r="S923" s="251" t="s">
        <v>2015</v>
      </c>
      <c r="T923" s="251" t="s">
        <v>2054</v>
      </c>
      <c r="U923" s="251" t="s">
        <v>1918</v>
      </c>
      <c r="V923" s="251" t="s">
        <v>1919</v>
      </c>
      <c r="X923" s="251">
        <v>0</v>
      </c>
    </row>
    <row r="924" spans="2:24" x14ac:dyDescent="0.2">
      <c r="B924" s="352" t="s">
        <v>873</v>
      </c>
      <c r="C924" s="352" t="s">
        <v>712</v>
      </c>
      <c r="F924" s="352" t="s">
        <v>1993</v>
      </c>
      <c r="G924" s="352" t="s">
        <v>2080</v>
      </c>
      <c r="H924" s="352" t="s">
        <v>1307</v>
      </c>
      <c r="I924" s="352" t="s">
        <v>977</v>
      </c>
      <c r="J924" s="352" t="s">
        <v>864</v>
      </c>
      <c r="K924" s="352">
        <v>1111</v>
      </c>
      <c r="L924" s="352" t="s">
        <v>699</v>
      </c>
      <c r="M924" s="352" t="s">
        <v>2155</v>
      </c>
      <c r="N924" s="352" t="s">
        <v>2076</v>
      </c>
      <c r="O924" s="352">
        <v>5</v>
      </c>
      <c r="P924" s="352" t="s">
        <v>2077</v>
      </c>
      <c r="Q924" s="352" t="s">
        <v>2058</v>
      </c>
      <c r="R924" s="251">
        <v>4921.9468361768877</v>
      </c>
      <c r="S924" s="251" t="s">
        <v>2015</v>
      </c>
      <c r="T924" s="251" t="s">
        <v>2016</v>
      </c>
      <c r="U924" s="251" t="s">
        <v>1914</v>
      </c>
      <c r="V924" s="251" t="s">
        <v>1915</v>
      </c>
      <c r="X924" s="251">
        <v>0</v>
      </c>
    </row>
    <row r="925" spans="2:24" x14ac:dyDescent="0.2">
      <c r="B925" s="352" t="s">
        <v>873</v>
      </c>
      <c r="C925" s="352" t="s">
        <v>712</v>
      </c>
      <c r="F925" s="352" t="s">
        <v>1993</v>
      </c>
      <c r="G925" s="352" t="s">
        <v>2080</v>
      </c>
      <c r="H925" s="352" t="s">
        <v>1307</v>
      </c>
      <c r="I925" s="352" t="s">
        <v>977</v>
      </c>
      <c r="J925" s="352" t="s">
        <v>864</v>
      </c>
      <c r="K925" s="352">
        <v>1211</v>
      </c>
      <c r="L925" s="352" t="s">
        <v>705</v>
      </c>
      <c r="M925" s="352" t="s">
        <v>2156</v>
      </c>
      <c r="N925" s="352" t="s">
        <v>2076</v>
      </c>
      <c r="O925" s="352">
        <v>5</v>
      </c>
      <c r="P925" s="352" t="s">
        <v>2077</v>
      </c>
      <c r="Q925" s="352" t="s">
        <v>2058</v>
      </c>
      <c r="R925" s="251">
        <v>1921.3296404998628</v>
      </c>
      <c r="S925" s="251" t="s">
        <v>2015</v>
      </c>
      <c r="T925" s="251" t="s">
        <v>2016</v>
      </c>
      <c r="U925" s="251" t="s">
        <v>1916</v>
      </c>
      <c r="V925" s="251" t="s">
        <v>1917</v>
      </c>
      <c r="X925" s="251">
        <v>0</v>
      </c>
    </row>
    <row r="926" spans="2:24" x14ac:dyDescent="0.2">
      <c r="B926" s="352" t="s">
        <v>873</v>
      </c>
      <c r="C926" s="352" t="s">
        <v>712</v>
      </c>
      <c r="F926" s="352" t="s">
        <v>1993</v>
      </c>
      <c r="G926" s="352" t="s">
        <v>2080</v>
      </c>
      <c r="H926" s="352" t="s">
        <v>1307</v>
      </c>
      <c r="I926" s="352" t="s">
        <v>977</v>
      </c>
      <c r="J926" s="352" t="s">
        <v>864</v>
      </c>
      <c r="K926" s="352">
        <v>1221</v>
      </c>
      <c r="L926" s="352" t="s">
        <v>711</v>
      </c>
      <c r="M926" s="352" t="s">
        <v>2157</v>
      </c>
      <c r="N926" s="352" t="s">
        <v>2076</v>
      </c>
      <c r="O926" s="352">
        <v>5</v>
      </c>
      <c r="P926" s="352" t="s">
        <v>2077</v>
      </c>
      <c r="Q926" s="352" t="s">
        <v>2058</v>
      </c>
      <c r="R926" s="251">
        <v>2622.5811659827136</v>
      </c>
      <c r="S926" s="251" t="s">
        <v>2015</v>
      </c>
      <c r="T926" s="251" t="s">
        <v>2016</v>
      </c>
      <c r="U926" s="251" t="s">
        <v>1918</v>
      </c>
      <c r="V926" s="251" t="s">
        <v>1919</v>
      </c>
      <c r="X926" s="251">
        <v>0</v>
      </c>
    </row>
    <row r="927" spans="2:24" x14ac:dyDescent="0.2">
      <c r="B927" s="352" t="s">
        <v>873</v>
      </c>
      <c r="C927" s="352" t="s">
        <v>712</v>
      </c>
      <c r="F927" s="352" t="s">
        <v>1993</v>
      </c>
      <c r="G927" s="352" t="s">
        <v>2080</v>
      </c>
      <c r="H927" s="352" t="s">
        <v>1307</v>
      </c>
      <c r="I927" s="352" t="s">
        <v>977</v>
      </c>
      <c r="J927" s="352" t="s">
        <v>864</v>
      </c>
      <c r="K927" s="352">
        <v>1222</v>
      </c>
      <c r="L927" s="352" t="s">
        <v>718</v>
      </c>
      <c r="M927" s="352" t="s">
        <v>2158</v>
      </c>
      <c r="N927" s="352" t="s">
        <v>2076</v>
      </c>
      <c r="O927" s="352">
        <v>5</v>
      </c>
      <c r="P927" s="352" t="s">
        <v>2077</v>
      </c>
      <c r="Q927" s="352" t="s">
        <v>2058</v>
      </c>
      <c r="R927" s="251">
        <v>973.88746107056522</v>
      </c>
      <c r="S927" s="251" t="s">
        <v>2015</v>
      </c>
      <c r="T927" s="251" t="s">
        <v>2016</v>
      </c>
      <c r="U927" s="251">
        <v>0</v>
      </c>
      <c r="V927" s="251" t="s">
        <v>2153</v>
      </c>
      <c r="X927" s="251">
        <v>0</v>
      </c>
    </row>
    <row r="928" spans="2:24" x14ac:dyDescent="0.2">
      <c r="B928" s="352" t="s">
        <v>873</v>
      </c>
      <c r="C928" s="352" t="s">
        <v>712</v>
      </c>
      <c r="F928" s="352" t="s">
        <v>1993</v>
      </c>
      <c r="G928" s="352" t="s">
        <v>2080</v>
      </c>
      <c r="H928" s="352" t="s">
        <v>1307</v>
      </c>
      <c r="I928" s="352" t="s">
        <v>977</v>
      </c>
      <c r="J928" s="352" t="s">
        <v>864</v>
      </c>
      <c r="K928" s="352">
        <v>1231</v>
      </c>
      <c r="L928" s="352" t="s">
        <v>726</v>
      </c>
      <c r="M928" s="352" t="s">
        <v>2159</v>
      </c>
      <c r="N928" s="352" t="s">
        <v>2076</v>
      </c>
      <c r="O928" s="352">
        <v>5</v>
      </c>
      <c r="P928" s="352" t="s">
        <v>2077</v>
      </c>
      <c r="Q928" s="352" t="s">
        <v>2058</v>
      </c>
      <c r="R928" s="251">
        <v>12856.169807878527</v>
      </c>
      <c r="S928" s="251" t="s">
        <v>2015</v>
      </c>
      <c r="T928" s="251" t="s">
        <v>2016</v>
      </c>
      <c r="U928" s="251" t="s">
        <v>1920</v>
      </c>
      <c r="V928" s="251" t="s">
        <v>726</v>
      </c>
      <c r="X928" s="251">
        <v>0</v>
      </c>
    </row>
    <row r="929" spans="2:24" x14ac:dyDescent="0.2">
      <c r="B929" s="352" t="s">
        <v>873</v>
      </c>
      <c r="C929" s="352" t="s">
        <v>712</v>
      </c>
      <c r="F929" s="352" t="s">
        <v>1993</v>
      </c>
      <c r="G929" s="352" t="s">
        <v>2080</v>
      </c>
      <c r="H929" s="352" t="s">
        <v>1307</v>
      </c>
      <c r="I929" s="352" t="s">
        <v>977</v>
      </c>
      <c r="J929" s="352" t="s">
        <v>864</v>
      </c>
      <c r="K929" s="352">
        <v>1232</v>
      </c>
      <c r="L929" s="352" t="s">
        <v>734</v>
      </c>
      <c r="M929" s="352" t="s">
        <v>2160</v>
      </c>
      <c r="N929" s="352" t="s">
        <v>2076</v>
      </c>
      <c r="O929" s="352">
        <v>5</v>
      </c>
      <c r="P929" s="352" t="s">
        <v>2077</v>
      </c>
      <c r="Q929" s="352" t="s">
        <v>2058</v>
      </c>
      <c r="R929" s="251">
        <v>2453.9339459740036</v>
      </c>
      <c r="S929" s="251" t="s">
        <v>2015</v>
      </c>
      <c r="T929" s="251" t="s">
        <v>2016</v>
      </c>
      <c r="U929" s="251">
        <v>0</v>
      </c>
      <c r="V929" s="251" t="s">
        <v>2153</v>
      </c>
      <c r="X929" s="251">
        <v>0</v>
      </c>
    </row>
    <row r="930" spans="2:24" x14ac:dyDescent="0.2">
      <c r="B930" s="352" t="s">
        <v>873</v>
      </c>
      <c r="C930" s="352" t="s">
        <v>712</v>
      </c>
      <c r="F930" s="352" t="s">
        <v>1993</v>
      </c>
      <c r="G930" s="352" t="s">
        <v>2080</v>
      </c>
      <c r="H930" s="352" t="s">
        <v>1307</v>
      </c>
      <c r="I930" s="352" t="s">
        <v>977</v>
      </c>
      <c r="J930" s="352" t="s">
        <v>864</v>
      </c>
      <c r="K930" s="352">
        <v>1241</v>
      </c>
      <c r="L930" s="352" t="s">
        <v>1872</v>
      </c>
      <c r="M930" s="352" t="s">
        <v>2161</v>
      </c>
      <c r="N930" s="352" t="s">
        <v>2076</v>
      </c>
      <c r="O930" s="352">
        <v>5</v>
      </c>
      <c r="P930" s="352" t="s">
        <v>2077</v>
      </c>
      <c r="Q930" s="352" t="s">
        <v>2058</v>
      </c>
      <c r="R930" s="251">
        <v>58.405586101795379</v>
      </c>
      <c r="S930" s="251" t="s">
        <v>2015</v>
      </c>
      <c r="T930" s="251" t="s">
        <v>2016</v>
      </c>
      <c r="U930" s="251">
        <v>0</v>
      </c>
      <c r="V930" s="251" t="s">
        <v>2153</v>
      </c>
      <c r="X930" s="251">
        <v>0</v>
      </c>
    </row>
    <row r="931" spans="2:24" x14ac:dyDescent="0.2">
      <c r="B931" s="352" t="s">
        <v>873</v>
      </c>
      <c r="C931" s="352" t="s">
        <v>712</v>
      </c>
      <c r="F931" s="352" t="s">
        <v>1993</v>
      </c>
      <c r="G931" s="352" t="s">
        <v>2080</v>
      </c>
      <c r="H931" s="352" t="s">
        <v>1307</v>
      </c>
      <c r="I931" s="352" t="s">
        <v>977</v>
      </c>
      <c r="J931" s="352" t="s">
        <v>864</v>
      </c>
      <c r="K931" s="352">
        <v>1251</v>
      </c>
      <c r="L931" s="352" t="s">
        <v>733</v>
      </c>
      <c r="M931" s="352" t="s">
        <v>2162</v>
      </c>
      <c r="N931" s="352" t="s">
        <v>2076</v>
      </c>
      <c r="O931" s="352">
        <v>5</v>
      </c>
      <c r="P931" s="352" t="s">
        <v>2077</v>
      </c>
      <c r="Q931" s="352" t="s">
        <v>2058</v>
      </c>
      <c r="R931" s="251">
        <v>2903.0052091071016</v>
      </c>
      <c r="S931" s="251" t="s">
        <v>2015</v>
      </c>
      <c r="T931" s="251" t="s">
        <v>2016</v>
      </c>
      <c r="U931" s="251">
        <v>0</v>
      </c>
      <c r="V931" s="251" t="s">
        <v>2153</v>
      </c>
      <c r="X931" s="251">
        <v>0</v>
      </c>
    </row>
    <row r="932" spans="2:24" x14ac:dyDescent="0.2">
      <c r="B932" s="352" t="s">
        <v>873</v>
      </c>
      <c r="C932" s="352" t="s">
        <v>712</v>
      </c>
      <c r="F932" s="352" t="s">
        <v>1993</v>
      </c>
      <c r="G932" s="352" t="s">
        <v>2080</v>
      </c>
      <c r="H932" s="352" t="s">
        <v>1311</v>
      </c>
      <c r="I932" s="352" t="s">
        <v>978</v>
      </c>
      <c r="J932" s="352" t="s">
        <v>1892</v>
      </c>
      <c r="K932" s="352">
        <v>1111</v>
      </c>
      <c r="L932" s="352" t="s">
        <v>699</v>
      </c>
      <c r="M932" s="352" t="s">
        <v>2163</v>
      </c>
      <c r="N932" s="352" t="s">
        <v>2076</v>
      </c>
      <c r="O932" s="352">
        <v>5</v>
      </c>
      <c r="P932" s="352" t="s">
        <v>2077</v>
      </c>
      <c r="Q932" s="352" t="s">
        <v>2058</v>
      </c>
      <c r="R932" s="251">
        <v>0</v>
      </c>
      <c r="S932" s="251" t="s">
        <v>2015</v>
      </c>
      <c r="T932" s="251" t="s">
        <v>2054</v>
      </c>
      <c r="U932" s="251" t="s">
        <v>1914</v>
      </c>
      <c r="V932" s="251" t="s">
        <v>1915</v>
      </c>
      <c r="X932" s="251">
        <v>0</v>
      </c>
    </row>
    <row r="933" spans="2:24" x14ac:dyDescent="0.2">
      <c r="B933" s="352" t="s">
        <v>873</v>
      </c>
      <c r="C933" s="352" t="s">
        <v>712</v>
      </c>
      <c r="F933" s="352" t="s">
        <v>1993</v>
      </c>
      <c r="G933" s="352" t="s">
        <v>2080</v>
      </c>
      <c r="H933" s="352" t="s">
        <v>1311</v>
      </c>
      <c r="I933" s="352" t="s">
        <v>978</v>
      </c>
      <c r="J933" s="352" t="s">
        <v>1892</v>
      </c>
      <c r="K933" s="352">
        <v>1231</v>
      </c>
      <c r="L933" s="352" t="s">
        <v>726</v>
      </c>
      <c r="M933" s="352" t="s">
        <v>2164</v>
      </c>
      <c r="N933" s="352" t="s">
        <v>2076</v>
      </c>
      <c r="O933" s="352">
        <v>5</v>
      </c>
      <c r="P933" s="352" t="s">
        <v>2077</v>
      </c>
      <c r="Q933" s="352" t="s">
        <v>2058</v>
      </c>
      <c r="R933" s="251">
        <v>0</v>
      </c>
      <c r="S933" s="251" t="s">
        <v>2015</v>
      </c>
      <c r="T933" s="251" t="s">
        <v>2054</v>
      </c>
      <c r="U933" s="251" t="s">
        <v>1920</v>
      </c>
      <c r="V933" s="251" t="s">
        <v>726</v>
      </c>
      <c r="X933" s="251">
        <v>0</v>
      </c>
    </row>
    <row r="934" spans="2:24" x14ac:dyDescent="0.2">
      <c r="B934" s="352" t="s">
        <v>873</v>
      </c>
      <c r="C934" s="352" t="s">
        <v>712</v>
      </c>
      <c r="F934" s="352" t="s">
        <v>1993</v>
      </c>
      <c r="G934" s="352" t="s">
        <v>2080</v>
      </c>
      <c r="H934" s="352" t="s">
        <v>1315</v>
      </c>
      <c r="I934" s="352" t="s">
        <v>979</v>
      </c>
      <c r="J934" s="352" t="s">
        <v>980</v>
      </c>
      <c r="K934" s="352">
        <v>1241</v>
      </c>
      <c r="L934" s="352" t="s">
        <v>1872</v>
      </c>
      <c r="M934" s="352" t="s">
        <v>2165</v>
      </c>
      <c r="N934" s="352" t="s">
        <v>2076</v>
      </c>
      <c r="O934" s="352">
        <v>7</v>
      </c>
      <c r="P934" s="352" t="s">
        <v>2081</v>
      </c>
      <c r="Q934" s="352" t="s">
        <v>2056</v>
      </c>
      <c r="R934" s="251">
        <v>0</v>
      </c>
      <c r="S934" s="251" t="s">
        <v>2015</v>
      </c>
      <c r="T934" s="251" t="s">
        <v>2054</v>
      </c>
      <c r="U934" s="251">
        <v>0</v>
      </c>
      <c r="V934" s="251" t="s">
        <v>2153</v>
      </c>
      <c r="X934" s="251">
        <v>0</v>
      </c>
    </row>
    <row r="935" spans="2:24" x14ac:dyDescent="0.2">
      <c r="B935" s="352" t="s">
        <v>873</v>
      </c>
      <c r="C935" s="352" t="s">
        <v>712</v>
      </c>
      <c r="F935" s="352" t="s">
        <v>1993</v>
      </c>
      <c r="G935" s="352" t="s">
        <v>2080</v>
      </c>
      <c r="H935" s="352" t="s">
        <v>1319</v>
      </c>
      <c r="I935" s="352" t="s">
        <v>981</v>
      </c>
      <c r="J935" s="352" t="s">
        <v>3674</v>
      </c>
      <c r="K935" s="352">
        <v>1241</v>
      </c>
      <c r="L935" s="352" t="s">
        <v>1872</v>
      </c>
      <c r="M935" s="352" t="s">
        <v>2166</v>
      </c>
      <c r="N935" s="352" t="s">
        <v>2076</v>
      </c>
      <c r="O935" s="352">
        <v>13</v>
      </c>
      <c r="P935" s="352" t="s">
        <v>2082</v>
      </c>
      <c r="Q935" s="352" t="s">
        <v>2060</v>
      </c>
      <c r="R935" s="251">
        <v>0</v>
      </c>
      <c r="S935" s="251" t="s">
        <v>2015</v>
      </c>
      <c r="T935" s="251" t="s">
        <v>2054</v>
      </c>
      <c r="U935" s="251">
        <v>0</v>
      </c>
      <c r="V935" s="251" t="s">
        <v>2153</v>
      </c>
      <c r="X935" s="251">
        <v>0</v>
      </c>
    </row>
    <row r="936" spans="2:24" x14ac:dyDescent="0.2">
      <c r="B936" s="352" t="s">
        <v>873</v>
      </c>
      <c r="C936" s="352" t="s">
        <v>712</v>
      </c>
      <c r="F936" s="352" t="s">
        <v>1993</v>
      </c>
      <c r="G936" s="352" t="s">
        <v>2080</v>
      </c>
      <c r="H936" s="352" t="s">
        <v>1319</v>
      </c>
      <c r="I936" s="352" t="s">
        <v>981</v>
      </c>
      <c r="J936" s="352" t="s">
        <v>3674</v>
      </c>
      <c r="K936" s="352">
        <v>1251</v>
      </c>
      <c r="L936" s="352" t="s">
        <v>733</v>
      </c>
      <c r="M936" s="352" t="s">
        <v>2167</v>
      </c>
      <c r="N936" s="352" t="s">
        <v>2076</v>
      </c>
      <c r="O936" s="352">
        <v>13</v>
      </c>
      <c r="P936" s="352" t="s">
        <v>2082</v>
      </c>
      <c r="Q936" s="352" t="s">
        <v>2060</v>
      </c>
      <c r="R936" s="251">
        <v>0</v>
      </c>
      <c r="S936" s="251" t="s">
        <v>2015</v>
      </c>
      <c r="T936" s="251" t="s">
        <v>2054</v>
      </c>
      <c r="U936" s="251">
        <v>0</v>
      </c>
      <c r="V936" s="251" t="s">
        <v>2153</v>
      </c>
      <c r="X936" s="251">
        <v>0</v>
      </c>
    </row>
    <row r="937" spans="2:24" x14ac:dyDescent="0.2">
      <c r="B937" s="352" t="s">
        <v>873</v>
      </c>
      <c r="C937" s="352" t="s">
        <v>712</v>
      </c>
      <c r="F937" s="352" t="s">
        <v>1993</v>
      </c>
      <c r="G937" s="352" t="s">
        <v>2080</v>
      </c>
      <c r="H937" s="352" t="s">
        <v>1323</v>
      </c>
      <c r="I937" s="352" t="s">
        <v>982</v>
      </c>
      <c r="J937" s="352" t="s">
        <v>983</v>
      </c>
      <c r="K937" s="352">
        <v>2111</v>
      </c>
      <c r="L937" s="352" t="s">
        <v>1873</v>
      </c>
      <c r="M937" s="352" t="s">
        <v>2168</v>
      </c>
      <c r="N937" s="352" t="s">
        <v>2076</v>
      </c>
      <c r="O937" s="352">
        <v>10</v>
      </c>
      <c r="P937" s="352" t="s">
        <v>2083</v>
      </c>
      <c r="Q937" s="352" t="s">
        <v>2062</v>
      </c>
      <c r="R937" s="251">
        <v>0</v>
      </c>
      <c r="S937" s="251" t="s">
        <v>2015</v>
      </c>
      <c r="T937" s="251" t="s">
        <v>2054</v>
      </c>
      <c r="U937" s="251" t="s">
        <v>1929</v>
      </c>
      <c r="V937" s="251" t="s">
        <v>1930</v>
      </c>
      <c r="X937" s="251">
        <v>0</v>
      </c>
    </row>
    <row r="938" spans="2:24" x14ac:dyDescent="0.2">
      <c r="B938" s="352" t="s">
        <v>873</v>
      </c>
      <c r="C938" s="352" t="s">
        <v>712</v>
      </c>
      <c r="F938" s="352" t="s">
        <v>1993</v>
      </c>
      <c r="G938" s="352" t="s">
        <v>2080</v>
      </c>
      <c r="H938" s="352" t="s">
        <v>1323</v>
      </c>
      <c r="I938" s="352" t="s">
        <v>982</v>
      </c>
      <c r="J938" s="352" t="s">
        <v>983</v>
      </c>
      <c r="K938" s="352">
        <v>2121</v>
      </c>
      <c r="L938" s="352" t="s">
        <v>1876</v>
      </c>
      <c r="M938" s="352" t="s">
        <v>2169</v>
      </c>
      <c r="N938" s="352" t="s">
        <v>2076</v>
      </c>
      <c r="O938" s="352">
        <v>10</v>
      </c>
      <c r="P938" s="352" t="s">
        <v>2083</v>
      </c>
      <c r="Q938" s="352" t="s">
        <v>2062</v>
      </c>
      <c r="R938" s="251">
        <v>0</v>
      </c>
      <c r="S938" s="251" t="s">
        <v>2015</v>
      </c>
      <c r="T938" s="251" t="s">
        <v>2054</v>
      </c>
      <c r="U938" s="251" t="s">
        <v>1929</v>
      </c>
      <c r="V938" s="251" t="s">
        <v>1930</v>
      </c>
      <c r="X938" s="251">
        <v>0</v>
      </c>
    </row>
    <row r="939" spans="2:24" x14ac:dyDescent="0.2">
      <c r="B939" s="352" t="s">
        <v>873</v>
      </c>
      <c r="C939" s="352" t="s">
        <v>712</v>
      </c>
      <c r="F939" s="352" t="s">
        <v>1993</v>
      </c>
      <c r="G939" s="352" t="s">
        <v>2080</v>
      </c>
      <c r="H939" s="352" t="s">
        <v>1323</v>
      </c>
      <c r="I939" s="352" t="s">
        <v>982</v>
      </c>
      <c r="J939" s="352" t="s">
        <v>983</v>
      </c>
      <c r="K939" s="352">
        <v>2131</v>
      </c>
      <c r="L939" s="352" t="s">
        <v>1879</v>
      </c>
      <c r="M939" s="352" t="s">
        <v>2170</v>
      </c>
      <c r="N939" s="352" t="s">
        <v>2076</v>
      </c>
      <c r="O939" s="352">
        <v>10</v>
      </c>
      <c r="P939" s="352" t="s">
        <v>2083</v>
      </c>
      <c r="Q939" s="352" t="s">
        <v>2062</v>
      </c>
      <c r="R939" s="251">
        <v>0</v>
      </c>
      <c r="S939" s="251" t="s">
        <v>2015</v>
      </c>
      <c r="T939" s="251" t="s">
        <v>2054</v>
      </c>
      <c r="U939" s="251" t="s">
        <v>1929</v>
      </c>
      <c r="V939" s="251" t="s">
        <v>1930</v>
      </c>
      <c r="X939" s="251">
        <v>0</v>
      </c>
    </row>
    <row r="940" spans="2:24" x14ac:dyDescent="0.2">
      <c r="B940" s="352" t="s">
        <v>873</v>
      </c>
      <c r="C940" s="352" t="s">
        <v>712</v>
      </c>
      <c r="F940" s="352" t="s">
        <v>1993</v>
      </c>
      <c r="G940" s="352" t="s">
        <v>2080</v>
      </c>
      <c r="H940" s="352" t="s">
        <v>1323</v>
      </c>
      <c r="I940" s="352" t="s">
        <v>982</v>
      </c>
      <c r="J940" s="352" t="s">
        <v>983</v>
      </c>
      <c r="K940" s="352">
        <v>2211</v>
      </c>
      <c r="L940" s="352" t="s">
        <v>1883</v>
      </c>
      <c r="M940" s="352" t="s">
        <v>2171</v>
      </c>
      <c r="N940" s="352" t="s">
        <v>2076</v>
      </c>
      <c r="O940" s="352">
        <v>10</v>
      </c>
      <c r="P940" s="352" t="s">
        <v>2083</v>
      </c>
      <c r="Q940" s="352" t="s">
        <v>2062</v>
      </c>
      <c r="R940" s="251">
        <v>0</v>
      </c>
      <c r="S940" s="251" t="s">
        <v>2015</v>
      </c>
      <c r="T940" s="251" t="s">
        <v>2054</v>
      </c>
      <c r="U940" s="251" t="s">
        <v>1929</v>
      </c>
      <c r="V940" s="251" t="s">
        <v>1930</v>
      </c>
      <c r="X940" s="251">
        <v>0</v>
      </c>
    </row>
    <row r="941" spans="2:24" x14ac:dyDescent="0.2">
      <c r="B941" s="352" t="s">
        <v>873</v>
      </c>
      <c r="C941" s="352" t="s">
        <v>712</v>
      </c>
      <c r="F941" s="352" t="s">
        <v>1993</v>
      </c>
      <c r="G941" s="352" t="s">
        <v>2080</v>
      </c>
      <c r="H941" s="352" t="s">
        <v>1327</v>
      </c>
      <c r="I941" s="352" t="s">
        <v>984</v>
      </c>
      <c r="J941" s="352" t="s">
        <v>985</v>
      </c>
      <c r="K941" s="352">
        <v>2111</v>
      </c>
      <c r="L941" s="352" t="s">
        <v>1873</v>
      </c>
      <c r="M941" s="352" t="s">
        <v>2172</v>
      </c>
      <c r="N941" s="352" t="s">
        <v>2076</v>
      </c>
      <c r="O941" s="352">
        <v>11</v>
      </c>
      <c r="P941" s="352" t="s">
        <v>2084</v>
      </c>
      <c r="Q941" s="352" t="s">
        <v>2064</v>
      </c>
      <c r="R941" s="251">
        <v>0</v>
      </c>
      <c r="S941" s="251" t="s">
        <v>2015</v>
      </c>
      <c r="T941" s="251" t="s">
        <v>2054</v>
      </c>
      <c r="U941" s="251" t="s">
        <v>1929</v>
      </c>
      <c r="V941" s="251" t="s">
        <v>1930</v>
      </c>
      <c r="X941" s="251">
        <v>0</v>
      </c>
    </row>
    <row r="942" spans="2:24" x14ac:dyDescent="0.2">
      <c r="B942" s="352" t="s">
        <v>873</v>
      </c>
      <c r="C942" s="352" t="s">
        <v>712</v>
      </c>
      <c r="F942" s="352" t="s">
        <v>1993</v>
      </c>
      <c r="G942" s="352" t="s">
        <v>2080</v>
      </c>
      <c r="H942" s="352" t="s">
        <v>1327</v>
      </c>
      <c r="I942" s="352" t="s">
        <v>984</v>
      </c>
      <c r="J942" s="352" t="s">
        <v>985</v>
      </c>
      <c r="K942" s="352">
        <v>2121</v>
      </c>
      <c r="L942" s="352" t="s">
        <v>1876</v>
      </c>
      <c r="M942" s="352" t="s">
        <v>2173</v>
      </c>
      <c r="N942" s="352" t="s">
        <v>2076</v>
      </c>
      <c r="O942" s="352">
        <v>11</v>
      </c>
      <c r="P942" s="352" t="s">
        <v>2084</v>
      </c>
      <c r="Q942" s="352" t="s">
        <v>2064</v>
      </c>
      <c r="R942" s="251">
        <v>0</v>
      </c>
      <c r="S942" s="251" t="s">
        <v>2015</v>
      </c>
      <c r="T942" s="251" t="s">
        <v>2054</v>
      </c>
      <c r="U942" s="251" t="s">
        <v>1929</v>
      </c>
      <c r="V942" s="251" t="s">
        <v>1930</v>
      </c>
      <c r="X942" s="251">
        <v>0</v>
      </c>
    </row>
    <row r="943" spans="2:24" x14ac:dyDescent="0.2">
      <c r="B943" s="352" t="s">
        <v>873</v>
      </c>
      <c r="C943" s="352" t="s">
        <v>712</v>
      </c>
      <c r="F943" s="352" t="s">
        <v>1993</v>
      </c>
      <c r="G943" s="352" t="s">
        <v>2080</v>
      </c>
      <c r="H943" s="352" t="s">
        <v>1327</v>
      </c>
      <c r="I943" s="352" t="s">
        <v>984</v>
      </c>
      <c r="J943" s="352" t="s">
        <v>985</v>
      </c>
      <c r="K943" s="352">
        <v>2131</v>
      </c>
      <c r="L943" s="352" t="s">
        <v>1879</v>
      </c>
      <c r="M943" s="352" t="s">
        <v>2174</v>
      </c>
      <c r="N943" s="352" t="s">
        <v>2076</v>
      </c>
      <c r="O943" s="352">
        <v>11</v>
      </c>
      <c r="P943" s="352" t="s">
        <v>2084</v>
      </c>
      <c r="Q943" s="352" t="s">
        <v>2064</v>
      </c>
      <c r="R943" s="251">
        <v>0</v>
      </c>
      <c r="S943" s="251" t="s">
        <v>2015</v>
      </c>
      <c r="T943" s="251" t="s">
        <v>2054</v>
      </c>
      <c r="U943" s="251" t="s">
        <v>1929</v>
      </c>
      <c r="V943" s="251" t="s">
        <v>1930</v>
      </c>
      <c r="X943" s="251">
        <v>0</v>
      </c>
    </row>
    <row r="944" spans="2:24" x14ac:dyDescent="0.2">
      <c r="B944" s="352" t="s">
        <v>873</v>
      </c>
      <c r="C944" s="352" t="s">
        <v>712</v>
      </c>
      <c r="F944" s="352" t="s">
        <v>1993</v>
      </c>
      <c r="G944" s="352" t="s">
        <v>2080</v>
      </c>
      <c r="H944" s="352" t="s">
        <v>1327</v>
      </c>
      <c r="I944" s="352" t="s">
        <v>984</v>
      </c>
      <c r="J944" s="352" t="s">
        <v>985</v>
      </c>
      <c r="K944" s="352">
        <v>2211</v>
      </c>
      <c r="L944" s="352" t="s">
        <v>1883</v>
      </c>
      <c r="M944" s="352" t="s">
        <v>2175</v>
      </c>
      <c r="N944" s="352" t="s">
        <v>2076</v>
      </c>
      <c r="O944" s="352">
        <v>11</v>
      </c>
      <c r="P944" s="352" t="s">
        <v>2084</v>
      </c>
      <c r="Q944" s="352" t="s">
        <v>2064</v>
      </c>
      <c r="R944" s="251">
        <v>0</v>
      </c>
      <c r="S944" s="251" t="s">
        <v>2015</v>
      </c>
      <c r="T944" s="251" t="s">
        <v>2054</v>
      </c>
      <c r="U944" s="251" t="s">
        <v>1929</v>
      </c>
      <c r="V944" s="251" t="s">
        <v>1930</v>
      </c>
      <c r="X944" s="251">
        <v>0</v>
      </c>
    </row>
    <row r="945" spans="2:24" x14ac:dyDescent="0.2">
      <c r="B945" s="352" t="s">
        <v>873</v>
      </c>
      <c r="C945" s="352" t="s">
        <v>712</v>
      </c>
      <c r="F945" s="352" t="s">
        <v>1993</v>
      </c>
      <c r="G945" s="352" t="s">
        <v>2080</v>
      </c>
      <c r="H945" s="352" t="s">
        <v>1331</v>
      </c>
      <c r="I945" s="352" t="s">
        <v>986</v>
      </c>
      <c r="J945" s="352" t="s">
        <v>987</v>
      </c>
      <c r="K945" s="352">
        <v>2112</v>
      </c>
      <c r="L945" s="352" t="s">
        <v>1874</v>
      </c>
      <c r="M945" s="352" t="s">
        <v>2176</v>
      </c>
      <c r="N945" s="352" t="s">
        <v>2076</v>
      </c>
      <c r="O945" s="352">
        <v>8</v>
      </c>
      <c r="P945" s="352" t="s">
        <v>2085</v>
      </c>
      <c r="Q945" s="352" t="s">
        <v>2068</v>
      </c>
      <c r="R945" s="251">
        <v>0</v>
      </c>
      <c r="S945" s="251" t="s">
        <v>2015</v>
      </c>
      <c r="T945" s="251" t="s">
        <v>2054</v>
      </c>
      <c r="U945" s="251" t="s">
        <v>1931</v>
      </c>
      <c r="V945" s="251" t="s">
        <v>1932</v>
      </c>
      <c r="X945" s="251">
        <v>0</v>
      </c>
    </row>
    <row r="946" spans="2:24" x14ac:dyDescent="0.2">
      <c r="B946" s="352" t="s">
        <v>873</v>
      </c>
      <c r="C946" s="352" t="s">
        <v>712</v>
      </c>
      <c r="F946" s="352" t="s">
        <v>1993</v>
      </c>
      <c r="G946" s="352" t="s">
        <v>2080</v>
      </c>
      <c r="H946" s="352" t="s">
        <v>1331</v>
      </c>
      <c r="I946" s="352" t="s">
        <v>986</v>
      </c>
      <c r="J946" s="352" t="s">
        <v>987</v>
      </c>
      <c r="K946" s="352">
        <v>2122</v>
      </c>
      <c r="L946" s="352" t="s">
        <v>1877</v>
      </c>
      <c r="M946" s="352" t="s">
        <v>2177</v>
      </c>
      <c r="N946" s="352" t="s">
        <v>2076</v>
      </c>
      <c r="O946" s="352">
        <v>8</v>
      </c>
      <c r="P946" s="352" t="s">
        <v>2085</v>
      </c>
      <c r="Q946" s="352" t="s">
        <v>2068</v>
      </c>
      <c r="R946" s="251">
        <v>0</v>
      </c>
      <c r="S946" s="251" t="s">
        <v>2015</v>
      </c>
      <c r="T946" s="251" t="s">
        <v>2054</v>
      </c>
      <c r="U946" s="251" t="s">
        <v>1931</v>
      </c>
      <c r="V946" s="251" t="s">
        <v>1932</v>
      </c>
      <c r="X946" s="251">
        <v>0</v>
      </c>
    </row>
    <row r="947" spans="2:24" x14ac:dyDescent="0.2">
      <c r="B947" s="352" t="s">
        <v>873</v>
      </c>
      <c r="C947" s="352" t="s">
        <v>712</v>
      </c>
      <c r="F947" s="352" t="s">
        <v>1993</v>
      </c>
      <c r="G947" s="352" t="s">
        <v>2080</v>
      </c>
      <c r="H947" s="352" t="s">
        <v>1335</v>
      </c>
      <c r="I947" s="352" t="s">
        <v>988</v>
      </c>
      <c r="J947" s="352" t="s">
        <v>989</v>
      </c>
      <c r="K947" s="352">
        <v>2112</v>
      </c>
      <c r="L947" s="352" t="s">
        <v>1874</v>
      </c>
      <c r="M947" s="352" t="s">
        <v>2178</v>
      </c>
      <c r="N947" s="352" t="s">
        <v>2076</v>
      </c>
      <c r="O947" s="352">
        <v>8</v>
      </c>
      <c r="P947" s="352" t="s">
        <v>2085</v>
      </c>
      <c r="Q947" s="352" t="s">
        <v>2068</v>
      </c>
      <c r="R947" s="251">
        <v>0</v>
      </c>
      <c r="S947" s="251" t="s">
        <v>2015</v>
      </c>
      <c r="T947" s="251" t="s">
        <v>2054</v>
      </c>
      <c r="U947" s="251" t="s">
        <v>1931</v>
      </c>
      <c r="V947" s="251" t="s">
        <v>1932</v>
      </c>
      <c r="X947" s="251">
        <v>0</v>
      </c>
    </row>
    <row r="948" spans="2:24" x14ac:dyDescent="0.2">
      <c r="B948" s="352" t="s">
        <v>873</v>
      </c>
      <c r="C948" s="352" t="s">
        <v>712</v>
      </c>
      <c r="F948" s="352" t="s">
        <v>1993</v>
      </c>
      <c r="G948" s="352" t="s">
        <v>2080</v>
      </c>
      <c r="H948" s="352" t="s">
        <v>1335</v>
      </c>
      <c r="I948" s="352" t="s">
        <v>988</v>
      </c>
      <c r="J948" s="352" t="s">
        <v>989</v>
      </c>
      <c r="K948" s="352">
        <v>2122</v>
      </c>
      <c r="L948" s="352" t="s">
        <v>1877</v>
      </c>
      <c r="M948" s="352" t="s">
        <v>2179</v>
      </c>
      <c r="N948" s="352" t="s">
        <v>2076</v>
      </c>
      <c r="O948" s="352">
        <v>8</v>
      </c>
      <c r="P948" s="352" t="s">
        <v>2085</v>
      </c>
      <c r="Q948" s="352" t="s">
        <v>2068</v>
      </c>
      <c r="R948" s="251">
        <v>0</v>
      </c>
      <c r="S948" s="251" t="s">
        <v>2015</v>
      </c>
      <c r="T948" s="251" t="s">
        <v>2054</v>
      </c>
      <c r="U948" s="251" t="s">
        <v>1931</v>
      </c>
      <c r="V948" s="251" t="s">
        <v>1932</v>
      </c>
      <c r="X948" s="251">
        <v>0</v>
      </c>
    </row>
    <row r="949" spans="2:24" x14ac:dyDescent="0.2">
      <c r="B949" s="352" t="s">
        <v>873</v>
      </c>
      <c r="C949" s="352" t="s">
        <v>712</v>
      </c>
      <c r="F949" s="352" t="s">
        <v>1993</v>
      </c>
      <c r="G949" s="352" t="s">
        <v>2080</v>
      </c>
      <c r="H949" s="352" t="s">
        <v>1339</v>
      </c>
      <c r="I949" s="352" t="s">
        <v>990</v>
      </c>
      <c r="J949" s="352" t="s">
        <v>991</v>
      </c>
      <c r="K949" s="352">
        <v>2132</v>
      </c>
      <c r="L949" s="352" t="s">
        <v>1880</v>
      </c>
      <c r="M949" s="352" t="s">
        <v>2180</v>
      </c>
      <c r="N949" s="352" t="s">
        <v>2076</v>
      </c>
      <c r="O949" s="352">
        <v>1</v>
      </c>
      <c r="P949" s="352" t="s">
        <v>2086</v>
      </c>
      <c r="Q949" s="352" t="s">
        <v>2066</v>
      </c>
      <c r="R949" s="251">
        <v>0</v>
      </c>
      <c r="S949" s="251" t="s">
        <v>2015</v>
      </c>
      <c r="T949" s="251" t="s">
        <v>2054</v>
      </c>
      <c r="U949" s="251" t="s">
        <v>1931</v>
      </c>
      <c r="V949" s="251" t="s">
        <v>1932</v>
      </c>
      <c r="X949" s="251">
        <v>0</v>
      </c>
    </row>
    <row r="950" spans="2:24" x14ac:dyDescent="0.2">
      <c r="B950" s="352" t="s">
        <v>873</v>
      </c>
      <c r="C950" s="352" t="s">
        <v>712</v>
      </c>
      <c r="F950" s="352" t="s">
        <v>1993</v>
      </c>
      <c r="G950" s="352" t="s">
        <v>2080</v>
      </c>
      <c r="H950" s="352" t="s">
        <v>1343</v>
      </c>
      <c r="I950" s="352" t="s">
        <v>994</v>
      </c>
      <c r="J950" s="352" t="s">
        <v>995</v>
      </c>
      <c r="K950" s="352">
        <v>2311</v>
      </c>
      <c r="L950" s="352" t="s">
        <v>1887</v>
      </c>
      <c r="M950" s="352" t="s">
        <v>2181</v>
      </c>
      <c r="N950" s="352" t="s">
        <v>2076</v>
      </c>
      <c r="O950" s="352">
        <v>8</v>
      </c>
      <c r="P950" s="352" t="s">
        <v>2085</v>
      </c>
      <c r="Q950" s="352" t="s">
        <v>2068</v>
      </c>
      <c r="R950" s="251">
        <v>0</v>
      </c>
      <c r="S950" s="251" t="s">
        <v>2015</v>
      </c>
      <c r="T950" s="251" t="s">
        <v>2054</v>
      </c>
      <c r="U950" s="251" t="s">
        <v>1943</v>
      </c>
      <c r="V950" s="251" t="s">
        <v>1944</v>
      </c>
      <c r="X950" s="251">
        <v>0</v>
      </c>
    </row>
    <row r="951" spans="2:24" x14ac:dyDescent="0.2">
      <c r="B951" s="352" t="s">
        <v>873</v>
      </c>
      <c r="C951" s="352" t="s">
        <v>712</v>
      </c>
      <c r="F951" s="352" t="s">
        <v>1993</v>
      </c>
      <c r="G951" s="352" t="s">
        <v>2080</v>
      </c>
      <c r="H951" s="352" t="s">
        <v>1347</v>
      </c>
      <c r="I951" s="352" t="s">
        <v>996</v>
      </c>
      <c r="J951" s="352" t="s">
        <v>997</v>
      </c>
      <c r="K951" s="352">
        <v>2311</v>
      </c>
      <c r="L951" s="352" t="s">
        <v>1887</v>
      </c>
      <c r="M951" s="352" t="s">
        <v>2182</v>
      </c>
      <c r="N951" s="352" t="s">
        <v>2076</v>
      </c>
      <c r="O951" s="352">
        <v>8</v>
      </c>
      <c r="P951" s="352" t="s">
        <v>2085</v>
      </c>
      <c r="Q951" s="352" t="s">
        <v>2068</v>
      </c>
      <c r="R951" s="251">
        <v>0</v>
      </c>
      <c r="S951" s="251" t="s">
        <v>2015</v>
      </c>
      <c r="T951" s="251" t="s">
        <v>2054</v>
      </c>
      <c r="U951" s="251" t="s">
        <v>1943</v>
      </c>
      <c r="V951" s="251" t="s">
        <v>1944</v>
      </c>
      <c r="X951" s="251">
        <v>0</v>
      </c>
    </row>
    <row r="952" spans="2:24" x14ac:dyDescent="0.2">
      <c r="B952" s="352" t="s">
        <v>873</v>
      </c>
      <c r="C952" s="352" t="s">
        <v>712</v>
      </c>
      <c r="F952" s="352" t="s">
        <v>1993</v>
      </c>
      <c r="G952" s="352" t="s">
        <v>2080</v>
      </c>
      <c r="H952" s="352" t="s">
        <v>1351</v>
      </c>
      <c r="I952" s="352" t="s">
        <v>998</v>
      </c>
      <c r="J952" s="352" t="s">
        <v>999</v>
      </c>
      <c r="K952" s="352">
        <v>2311</v>
      </c>
      <c r="L952" s="352" t="s">
        <v>1887</v>
      </c>
      <c r="M952" s="352" t="s">
        <v>2183</v>
      </c>
      <c r="N952" s="352" t="s">
        <v>2076</v>
      </c>
      <c r="O952" s="352">
        <v>8</v>
      </c>
      <c r="P952" s="352" t="s">
        <v>2085</v>
      </c>
      <c r="Q952" s="352" t="s">
        <v>2068</v>
      </c>
      <c r="R952" s="251">
        <v>0</v>
      </c>
      <c r="S952" s="251" t="s">
        <v>2015</v>
      </c>
      <c r="T952" s="251" t="s">
        <v>2054</v>
      </c>
      <c r="U952" s="251" t="s">
        <v>1943</v>
      </c>
      <c r="V952" s="251" t="s">
        <v>1944</v>
      </c>
      <c r="X952" s="251">
        <v>0</v>
      </c>
    </row>
    <row r="953" spans="2:24" x14ac:dyDescent="0.2">
      <c r="B953" s="352" t="s">
        <v>873</v>
      </c>
      <c r="C953" s="352" t="s">
        <v>712</v>
      </c>
      <c r="F953" s="352" t="s">
        <v>1993</v>
      </c>
      <c r="G953" s="352" t="s">
        <v>2080</v>
      </c>
      <c r="H953" s="352" t="s">
        <v>1351</v>
      </c>
      <c r="I953" s="352" t="s">
        <v>998</v>
      </c>
      <c r="J953" s="352" t="s">
        <v>999</v>
      </c>
      <c r="K953" s="352">
        <v>2312</v>
      </c>
      <c r="L953" s="352" t="s">
        <v>789</v>
      </c>
      <c r="M953" s="352" t="s">
        <v>2184</v>
      </c>
      <c r="N953" s="352" t="s">
        <v>2076</v>
      </c>
      <c r="O953" s="352">
        <v>8</v>
      </c>
      <c r="P953" s="352" t="s">
        <v>2085</v>
      </c>
      <c r="Q953" s="352" t="s">
        <v>2068</v>
      </c>
      <c r="R953" s="251">
        <v>0</v>
      </c>
      <c r="S953" s="251" t="s">
        <v>2015</v>
      </c>
      <c r="T953" s="251" t="s">
        <v>2054</v>
      </c>
      <c r="U953" s="251" t="s">
        <v>1943</v>
      </c>
      <c r="V953" s="251" t="s">
        <v>1944</v>
      </c>
      <c r="X953" s="251">
        <v>0</v>
      </c>
    </row>
    <row r="954" spans="2:24" x14ac:dyDescent="0.2">
      <c r="B954" s="352" t="s">
        <v>873</v>
      </c>
      <c r="C954" s="352" t="s">
        <v>712</v>
      </c>
      <c r="F954" s="352" t="s">
        <v>1993</v>
      </c>
      <c r="G954" s="352" t="s">
        <v>2080</v>
      </c>
      <c r="H954" s="352" t="s">
        <v>1355</v>
      </c>
      <c r="I954" s="352" t="s">
        <v>1000</v>
      </c>
      <c r="J954" s="352" t="s">
        <v>1001</v>
      </c>
      <c r="K954" s="352">
        <v>2141</v>
      </c>
      <c r="L954" s="352" t="s">
        <v>1882</v>
      </c>
      <c r="M954" s="352" t="s">
        <v>2185</v>
      </c>
      <c r="N954" s="352" t="s">
        <v>2076</v>
      </c>
      <c r="O954" s="352">
        <v>12</v>
      </c>
      <c r="P954" s="352" t="s">
        <v>2087</v>
      </c>
      <c r="Q954" s="352" t="s">
        <v>2070</v>
      </c>
      <c r="R954" s="251">
        <v>1566.0736032424234</v>
      </c>
      <c r="S954" s="251" t="s">
        <v>2015</v>
      </c>
      <c r="T954" s="251" t="s">
        <v>2016</v>
      </c>
      <c r="U954" s="251" t="s">
        <v>1935</v>
      </c>
      <c r="V954" s="251" t="s">
        <v>1936</v>
      </c>
      <c r="X954" s="251">
        <v>0</v>
      </c>
    </row>
    <row r="955" spans="2:24" x14ac:dyDescent="0.2">
      <c r="B955" s="352" t="s">
        <v>873</v>
      </c>
      <c r="C955" s="352" t="s">
        <v>712</v>
      </c>
      <c r="F955" s="352" t="s">
        <v>1993</v>
      </c>
      <c r="G955" s="352" t="s">
        <v>2080</v>
      </c>
      <c r="H955" s="352" t="s">
        <v>1355</v>
      </c>
      <c r="I955" s="352" t="s">
        <v>1000</v>
      </c>
      <c r="J955" s="352" t="s">
        <v>1001</v>
      </c>
      <c r="K955" s="352">
        <v>2142</v>
      </c>
      <c r="L955" s="352" t="s">
        <v>780</v>
      </c>
      <c r="M955" s="352" t="s">
        <v>2186</v>
      </c>
      <c r="N955" s="352" t="s">
        <v>2076</v>
      </c>
      <c r="O955" s="352">
        <v>12</v>
      </c>
      <c r="P955" s="352" t="s">
        <v>2087</v>
      </c>
      <c r="Q955" s="352" t="s">
        <v>2070</v>
      </c>
      <c r="R955" s="251">
        <v>3699.2139308373112</v>
      </c>
      <c r="S955" s="251" t="s">
        <v>2015</v>
      </c>
      <c r="T955" s="251" t="s">
        <v>2016</v>
      </c>
      <c r="U955" s="251">
        <v>0</v>
      </c>
      <c r="V955" s="251" t="s">
        <v>2153</v>
      </c>
      <c r="X955" s="251">
        <v>0</v>
      </c>
    </row>
    <row r="956" spans="2:24" x14ac:dyDescent="0.2">
      <c r="B956" s="352" t="s">
        <v>873</v>
      </c>
      <c r="C956" s="352" t="s">
        <v>712</v>
      </c>
      <c r="F956" s="352" t="s">
        <v>1993</v>
      </c>
      <c r="G956" s="352" t="s">
        <v>2080</v>
      </c>
      <c r="H956" s="352" t="s">
        <v>1359</v>
      </c>
      <c r="I956" s="352" t="s">
        <v>1002</v>
      </c>
      <c r="J956" s="352" t="s">
        <v>1003</v>
      </c>
      <c r="K956" s="352">
        <v>2113</v>
      </c>
      <c r="L956" s="352" t="s">
        <v>1875</v>
      </c>
      <c r="M956" s="352" t="s">
        <v>2187</v>
      </c>
      <c r="N956" s="352" t="s">
        <v>2076</v>
      </c>
      <c r="O956" s="352">
        <v>1</v>
      </c>
      <c r="P956" s="352" t="s">
        <v>2086</v>
      </c>
      <c r="Q956" s="352" t="s">
        <v>2066</v>
      </c>
      <c r="R956" s="251">
        <v>0</v>
      </c>
      <c r="S956" s="251" t="s">
        <v>2015</v>
      </c>
      <c r="T956" s="251" t="s">
        <v>2054</v>
      </c>
      <c r="U956" s="251" t="s">
        <v>1935</v>
      </c>
      <c r="V956" s="251" t="s">
        <v>1936</v>
      </c>
      <c r="X956" s="251">
        <v>0</v>
      </c>
    </row>
    <row r="957" spans="2:24" x14ac:dyDescent="0.2">
      <c r="B957" s="352" t="s">
        <v>873</v>
      </c>
      <c r="C957" s="352" t="s">
        <v>712</v>
      </c>
      <c r="F957" s="352" t="s">
        <v>1993</v>
      </c>
      <c r="G957" s="352" t="s">
        <v>2080</v>
      </c>
      <c r="H957" s="352" t="s">
        <v>1359</v>
      </c>
      <c r="I957" s="352" t="s">
        <v>1002</v>
      </c>
      <c r="J957" s="352" t="s">
        <v>1003</v>
      </c>
      <c r="K957" s="352">
        <v>2123</v>
      </c>
      <c r="L957" s="352" t="s">
        <v>1878</v>
      </c>
      <c r="M957" s="352" t="s">
        <v>2188</v>
      </c>
      <c r="N957" s="352" t="s">
        <v>2076</v>
      </c>
      <c r="O957" s="352">
        <v>1</v>
      </c>
      <c r="P957" s="352" t="s">
        <v>2086</v>
      </c>
      <c r="Q957" s="352" t="s">
        <v>2066</v>
      </c>
      <c r="R957" s="251">
        <v>0</v>
      </c>
      <c r="S957" s="251" t="s">
        <v>2015</v>
      </c>
      <c r="T957" s="251" t="s">
        <v>2054</v>
      </c>
      <c r="U957" s="251" t="s">
        <v>1935</v>
      </c>
      <c r="V957" s="251" t="s">
        <v>1936</v>
      </c>
      <c r="X957" s="251">
        <v>0</v>
      </c>
    </row>
    <row r="958" spans="2:24" x14ac:dyDescent="0.2">
      <c r="B958" s="352" t="s">
        <v>873</v>
      </c>
      <c r="C958" s="352" t="s">
        <v>712</v>
      </c>
      <c r="F958" s="352" t="s">
        <v>1993</v>
      </c>
      <c r="G958" s="352" t="s">
        <v>2080</v>
      </c>
      <c r="H958" s="352" t="s">
        <v>1363</v>
      </c>
      <c r="I958" s="352" t="s">
        <v>1006</v>
      </c>
      <c r="J958" s="352" t="s">
        <v>1007</v>
      </c>
      <c r="K958" s="352">
        <v>2133</v>
      </c>
      <c r="L958" s="352" t="s">
        <v>1881</v>
      </c>
      <c r="M958" s="352" t="s">
        <v>2189</v>
      </c>
      <c r="N958" s="352" t="s">
        <v>2076</v>
      </c>
      <c r="O958" s="352">
        <v>1</v>
      </c>
      <c r="P958" s="352" t="s">
        <v>2086</v>
      </c>
      <c r="Q958" s="352" t="s">
        <v>2066</v>
      </c>
      <c r="R958" s="251">
        <v>0</v>
      </c>
      <c r="S958" s="251" t="s">
        <v>2015</v>
      </c>
      <c r="T958" s="251" t="s">
        <v>2054</v>
      </c>
      <c r="U958" s="251" t="s">
        <v>1935</v>
      </c>
      <c r="V958" s="251" t="s">
        <v>1936</v>
      </c>
      <c r="X958" s="251">
        <v>0</v>
      </c>
    </row>
    <row r="959" spans="2:24" x14ac:dyDescent="0.2">
      <c r="B959" s="352" t="s">
        <v>873</v>
      </c>
      <c r="C959" s="352" t="s">
        <v>712</v>
      </c>
      <c r="F959" s="352" t="s">
        <v>1993</v>
      </c>
      <c r="G959" s="352" t="s">
        <v>2080</v>
      </c>
      <c r="H959" s="352" t="s">
        <v>1363</v>
      </c>
      <c r="I959" s="352" t="s">
        <v>1006</v>
      </c>
      <c r="J959" s="352" t="s">
        <v>1007</v>
      </c>
      <c r="K959" s="352">
        <v>2141</v>
      </c>
      <c r="L959" s="352" t="s">
        <v>1882</v>
      </c>
      <c r="M959" s="352" t="s">
        <v>2190</v>
      </c>
      <c r="N959" s="352" t="s">
        <v>2076</v>
      </c>
      <c r="O959" s="352">
        <v>1</v>
      </c>
      <c r="P959" s="352" t="s">
        <v>2086</v>
      </c>
      <c r="Q959" s="352" t="s">
        <v>2066</v>
      </c>
      <c r="R959" s="251">
        <v>0</v>
      </c>
      <c r="S959" s="251" t="s">
        <v>2015</v>
      </c>
      <c r="T959" s="251" t="s">
        <v>2054</v>
      </c>
      <c r="U959" s="251" t="s">
        <v>1935</v>
      </c>
      <c r="V959" s="251" t="s">
        <v>1936</v>
      </c>
      <c r="X959" s="251">
        <v>0</v>
      </c>
    </row>
    <row r="960" spans="2:24" x14ac:dyDescent="0.2">
      <c r="B960" s="352" t="s">
        <v>873</v>
      </c>
      <c r="C960" s="352" t="s">
        <v>712</v>
      </c>
      <c r="F960" s="352" t="s">
        <v>1993</v>
      </c>
      <c r="G960" s="352" t="s">
        <v>2080</v>
      </c>
      <c r="H960" s="352" t="s">
        <v>1363</v>
      </c>
      <c r="I960" s="352" t="s">
        <v>1006</v>
      </c>
      <c r="J960" s="352" t="s">
        <v>1007</v>
      </c>
      <c r="K960" s="352">
        <v>2221</v>
      </c>
      <c r="L960" s="352" t="s">
        <v>1884</v>
      </c>
      <c r="M960" s="352" t="s">
        <v>2191</v>
      </c>
      <c r="N960" s="352" t="s">
        <v>2076</v>
      </c>
      <c r="O960" s="352">
        <v>1</v>
      </c>
      <c r="P960" s="352" t="s">
        <v>2086</v>
      </c>
      <c r="Q960" s="352" t="s">
        <v>2066</v>
      </c>
      <c r="R960" s="251">
        <v>0</v>
      </c>
      <c r="S960" s="251" t="s">
        <v>2015</v>
      </c>
      <c r="T960" s="251" t="s">
        <v>2054</v>
      </c>
      <c r="U960" s="251" t="s">
        <v>1935</v>
      </c>
      <c r="V960" s="251" t="s">
        <v>1936</v>
      </c>
      <c r="X960" s="251">
        <v>0</v>
      </c>
    </row>
    <row r="961" spans="2:24" x14ac:dyDescent="0.2">
      <c r="B961" s="352" t="s">
        <v>873</v>
      </c>
      <c r="C961" s="352" t="s">
        <v>712</v>
      </c>
      <c r="F961" s="352" t="s">
        <v>1993</v>
      </c>
      <c r="G961" s="352" t="s">
        <v>2080</v>
      </c>
      <c r="H961" s="352" t="s">
        <v>1367</v>
      </c>
      <c r="I961" s="352" t="s">
        <v>1008</v>
      </c>
      <c r="J961" s="352" t="s">
        <v>1009</v>
      </c>
      <c r="K961" s="352">
        <v>2223</v>
      </c>
      <c r="L961" s="352" t="s">
        <v>1886</v>
      </c>
      <c r="M961" s="352" t="s">
        <v>2192</v>
      </c>
      <c r="N961" s="352" t="s">
        <v>2076</v>
      </c>
      <c r="O961" s="352">
        <v>2</v>
      </c>
      <c r="P961" s="352" t="s">
        <v>2088</v>
      </c>
      <c r="Q961" s="352" t="s">
        <v>2072</v>
      </c>
      <c r="R961" s="251">
        <v>0</v>
      </c>
      <c r="S961" s="251" t="s">
        <v>2193</v>
      </c>
      <c r="T961" s="251" t="s">
        <v>2054</v>
      </c>
      <c r="U961" s="251" t="s">
        <v>1937</v>
      </c>
      <c r="V961" s="251" t="s">
        <v>1938</v>
      </c>
      <c r="X961" s="251">
        <v>0</v>
      </c>
    </row>
    <row r="962" spans="2:24" x14ac:dyDescent="0.2">
      <c r="B962" s="352" t="s">
        <v>873</v>
      </c>
      <c r="C962" s="352" t="s">
        <v>712</v>
      </c>
      <c r="F962" s="352" t="s">
        <v>1993</v>
      </c>
      <c r="G962" s="352" t="s">
        <v>2080</v>
      </c>
      <c r="H962" s="352" t="s">
        <v>1371</v>
      </c>
      <c r="I962" s="352" t="s">
        <v>1010</v>
      </c>
      <c r="J962" s="352" t="s">
        <v>1011</v>
      </c>
      <c r="K962" s="352">
        <v>2222</v>
      </c>
      <c r="L962" s="352" t="s">
        <v>1885</v>
      </c>
      <c r="M962" s="352" t="s">
        <v>2194</v>
      </c>
      <c r="N962" s="352" t="s">
        <v>2076</v>
      </c>
      <c r="O962" s="352">
        <v>2</v>
      </c>
      <c r="P962" s="352" t="s">
        <v>2088</v>
      </c>
      <c r="Q962" s="352" t="s">
        <v>2072</v>
      </c>
      <c r="R962" s="251">
        <v>0</v>
      </c>
      <c r="S962" s="251" t="s">
        <v>2193</v>
      </c>
      <c r="T962" s="251" t="s">
        <v>2054</v>
      </c>
      <c r="U962" s="251" t="s">
        <v>1939</v>
      </c>
      <c r="V962" s="251" t="s">
        <v>1940</v>
      </c>
      <c r="X962" s="251">
        <v>0</v>
      </c>
    </row>
    <row r="963" spans="2:24" x14ac:dyDescent="0.2">
      <c r="B963" s="352" t="s">
        <v>873</v>
      </c>
      <c r="C963" s="352" t="s">
        <v>712</v>
      </c>
      <c r="F963" s="352" t="s">
        <v>1993</v>
      </c>
      <c r="G963" s="352" t="s">
        <v>2080</v>
      </c>
      <c r="H963" s="352" t="s">
        <v>1375</v>
      </c>
      <c r="I963" s="352" t="s">
        <v>1012</v>
      </c>
      <c r="J963" s="352" t="s">
        <v>1013</v>
      </c>
      <c r="K963" s="352">
        <v>2222</v>
      </c>
      <c r="L963" s="352" t="s">
        <v>1885</v>
      </c>
      <c r="M963" s="352" t="s">
        <v>2195</v>
      </c>
      <c r="N963" s="352" t="s">
        <v>2076</v>
      </c>
      <c r="O963" s="352">
        <v>2</v>
      </c>
      <c r="P963" s="352" t="s">
        <v>2088</v>
      </c>
      <c r="Q963" s="352" t="s">
        <v>2072</v>
      </c>
      <c r="R963" s="251">
        <v>0</v>
      </c>
      <c r="S963" s="251" t="s">
        <v>2193</v>
      </c>
      <c r="T963" s="251" t="s">
        <v>2054</v>
      </c>
      <c r="U963" s="251" t="s">
        <v>1939</v>
      </c>
      <c r="V963" s="251" t="s">
        <v>1940</v>
      </c>
      <c r="X963" s="251">
        <v>0</v>
      </c>
    </row>
    <row r="964" spans="2:24" x14ac:dyDescent="0.2">
      <c r="B964" s="352" t="s">
        <v>873</v>
      </c>
      <c r="C964" s="352" t="s">
        <v>712</v>
      </c>
      <c r="F964" s="352" t="s">
        <v>1993</v>
      </c>
      <c r="G964" s="352" t="s">
        <v>2080</v>
      </c>
      <c r="H964" s="352" t="s">
        <v>1379</v>
      </c>
      <c r="I964" s="352" t="s">
        <v>1014</v>
      </c>
      <c r="J964" s="352" t="s">
        <v>1893</v>
      </c>
      <c r="K964" s="352">
        <v>2131</v>
      </c>
      <c r="L964" s="352" t="s">
        <v>1879</v>
      </c>
      <c r="M964" s="352" t="s">
        <v>2196</v>
      </c>
      <c r="N964" s="352" t="s">
        <v>2076</v>
      </c>
      <c r="O964" s="352">
        <v>8</v>
      </c>
      <c r="P964" s="352" t="s">
        <v>2085</v>
      </c>
      <c r="Q964" s="352" t="s">
        <v>2068</v>
      </c>
      <c r="R964" s="251">
        <v>0</v>
      </c>
      <c r="S964" s="251" t="s">
        <v>2015</v>
      </c>
      <c r="T964" s="251" t="s">
        <v>2054</v>
      </c>
      <c r="U964" s="251" t="s">
        <v>1929</v>
      </c>
      <c r="V964" s="251" t="s">
        <v>1930</v>
      </c>
      <c r="X964" s="251">
        <v>0</v>
      </c>
    </row>
    <row r="965" spans="2:24" x14ac:dyDescent="0.2">
      <c r="B965" s="352" t="s">
        <v>873</v>
      </c>
      <c r="C965" s="352" t="s">
        <v>712</v>
      </c>
      <c r="F965" s="352" t="s">
        <v>1993</v>
      </c>
      <c r="G965" s="352" t="s">
        <v>2080</v>
      </c>
      <c r="H965" s="352" t="s">
        <v>1379</v>
      </c>
      <c r="I965" s="352" t="s">
        <v>1014</v>
      </c>
      <c r="J965" s="352" t="s">
        <v>1893</v>
      </c>
      <c r="K965" s="352">
        <v>2132</v>
      </c>
      <c r="L965" s="352" t="s">
        <v>1880</v>
      </c>
      <c r="M965" s="352" t="s">
        <v>2197</v>
      </c>
      <c r="N965" s="352" t="s">
        <v>2076</v>
      </c>
      <c r="O965" s="352">
        <v>8</v>
      </c>
      <c r="P965" s="352" t="s">
        <v>2085</v>
      </c>
      <c r="Q965" s="352" t="s">
        <v>2068</v>
      </c>
      <c r="R965" s="251">
        <v>0</v>
      </c>
      <c r="S965" s="251" t="s">
        <v>2015</v>
      </c>
      <c r="T965" s="251" t="s">
        <v>2054</v>
      </c>
      <c r="U965" s="251" t="s">
        <v>1931</v>
      </c>
      <c r="V965" s="251" t="s">
        <v>1932</v>
      </c>
      <c r="X965" s="251">
        <v>0</v>
      </c>
    </row>
    <row r="966" spans="2:24" x14ac:dyDescent="0.2">
      <c r="B966" s="352" t="s">
        <v>873</v>
      </c>
      <c r="C966" s="352" t="s">
        <v>712</v>
      </c>
      <c r="F966" s="352" t="s">
        <v>1993</v>
      </c>
      <c r="G966" s="352" t="s">
        <v>2080</v>
      </c>
      <c r="H966" s="352" t="s">
        <v>1379</v>
      </c>
      <c r="I966" s="352" t="s">
        <v>1014</v>
      </c>
      <c r="J966" s="352" t="s">
        <v>1893</v>
      </c>
      <c r="K966" s="352">
        <v>2133</v>
      </c>
      <c r="L966" s="352" t="s">
        <v>1881</v>
      </c>
      <c r="M966" s="352" t="s">
        <v>2198</v>
      </c>
      <c r="N966" s="352" t="s">
        <v>2076</v>
      </c>
      <c r="O966" s="352">
        <v>8</v>
      </c>
      <c r="P966" s="352" t="s">
        <v>2085</v>
      </c>
      <c r="Q966" s="352" t="s">
        <v>2068</v>
      </c>
      <c r="R966" s="251">
        <v>0</v>
      </c>
      <c r="S966" s="251" t="s">
        <v>2015</v>
      </c>
      <c r="T966" s="251" t="s">
        <v>2054</v>
      </c>
      <c r="U966" s="251" t="s">
        <v>1935</v>
      </c>
      <c r="V966" s="251" t="s">
        <v>1936</v>
      </c>
      <c r="X966" s="251">
        <v>0</v>
      </c>
    </row>
    <row r="967" spans="2:24" x14ac:dyDescent="0.2">
      <c r="B967" s="352" t="s">
        <v>873</v>
      </c>
      <c r="C967" s="352" t="s">
        <v>712</v>
      </c>
      <c r="F967" s="352" t="s">
        <v>1993</v>
      </c>
      <c r="G967" s="352" t="s">
        <v>2080</v>
      </c>
      <c r="H967" s="352" t="s">
        <v>1379</v>
      </c>
      <c r="I967" s="352" t="s">
        <v>1014</v>
      </c>
      <c r="J967" s="352" t="s">
        <v>1893</v>
      </c>
      <c r="K967" s="352">
        <v>2134</v>
      </c>
      <c r="L967" s="352" t="s">
        <v>775</v>
      </c>
      <c r="M967" s="352" t="s">
        <v>2199</v>
      </c>
      <c r="N967" s="352" t="s">
        <v>2076</v>
      </c>
      <c r="O967" s="352">
        <v>8</v>
      </c>
      <c r="P967" s="352" t="s">
        <v>2085</v>
      </c>
      <c r="Q967" s="352" t="s">
        <v>2068</v>
      </c>
      <c r="R967" s="251">
        <v>0</v>
      </c>
      <c r="S967" s="251" t="s">
        <v>2015</v>
      </c>
      <c r="T967" s="251" t="s">
        <v>2054</v>
      </c>
      <c r="U967" s="251">
        <v>0</v>
      </c>
      <c r="V967" s="251" t="s">
        <v>2153</v>
      </c>
      <c r="X967" s="251">
        <v>0</v>
      </c>
    </row>
    <row r="968" spans="2:24" x14ac:dyDescent="0.2">
      <c r="B968" s="352" t="s">
        <v>873</v>
      </c>
      <c r="C968" s="352" t="s">
        <v>712</v>
      </c>
      <c r="F968" s="352" t="s">
        <v>1993</v>
      </c>
      <c r="G968" s="352" t="s">
        <v>2080</v>
      </c>
      <c r="H968" s="352" t="s">
        <v>1379</v>
      </c>
      <c r="I968" s="352" t="s">
        <v>1014</v>
      </c>
      <c r="J968" s="352" t="s">
        <v>1893</v>
      </c>
      <c r="K968" s="352">
        <v>2141</v>
      </c>
      <c r="L968" s="352" t="s">
        <v>1882</v>
      </c>
      <c r="M968" s="352" t="s">
        <v>2200</v>
      </c>
      <c r="N968" s="352" t="s">
        <v>2076</v>
      </c>
      <c r="O968" s="352">
        <v>8</v>
      </c>
      <c r="P968" s="352" t="s">
        <v>2085</v>
      </c>
      <c r="Q968" s="352" t="s">
        <v>2068</v>
      </c>
      <c r="R968" s="251">
        <v>0</v>
      </c>
      <c r="S968" s="251" t="s">
        <v>2015</v>
      </c>
      <c r="T968" s="251" t="s">
        <v>2054</v>
      </c>
      <c r="U968" s="251" t="s">
        <v>1935</v>
      </c>
      <c r="V968" s="251" t="s">
        <v>1936</v>
      </c>
      <c r="X968" s="251">
        <v>0</v>
      </c>
    </row>
    <row r="969" spans="2:24" x14ac:dyDescent="0.2">
      <c r="B969" s="352" t="s">
        <v>873</v>
      </c>
      <c r="C969" s="352" t="s">
        <v>712</v>
      </c>
      <c r="F969" s="352" t="s">
        <v>1993</v>
      </c>
      <c r="G969" s="352" t="s">
        <v>2080</v>
      </c>
      <c r="H969" s="352" t="s">
        <v>1379</v>
      </c>
      <c r="I969" s="352" t="s">
        <v>1014</v>
      </c>
      <c r="J969" s="352" t="s">
        <v>1893</v>
      </c>
      <c r="K969" s="352">
        <v>2211</v>
      </c>
      <c r="L969" s="352" t="s">
        <v>1883</v>
      </c>
      <c r="M969" s="352" t="s">
        <v>2201</v>
      </c>
      <c r="N969" s="352" t="s">
        <v>2076</v>
      </c>
      <c r="O969" s="352">
        <v>8</v>
      </c>
      <c r="P969" s="352" t="s">
        <v>2085</v>
      </c>
      <c r="Q969" s="352" t="s">
        <v>2068</v>
      </c>
      <c r="R969" s="251">
        <v>0</v>
      </c>
      <c r="S969" s="251" t="s">
        <v>2015</v>
      </c>
      <c r="T969" s="251" t="s">
        <v>2054</v>
      </c>
      <c r="U969" s="251" t="s">
        <v>1929</v>
      </c>
      <c r="V969" s="251" t="s">
        <v>1930</v>
      </c>
      <c r="X969" s="251">
        <v>0</v>
      </c>
    </row>
    <row r="970" spans="2:24" x14ac:dyDescent="0.2">
      <c r="B970" s="352" t="s">
        <v>873</v>
      </c>
      <c r="C970" s="352" t="s">
        <v>712</v>
      </c>
      <c r="F970" s="352" t="s">
        <v>1993</v>
      </c>
      <c r="G970" s="352" t="s">
        <v>2080</v>
      </c>
      <c r="H970" s="352" t="s">
        <v>1379</v>
      </c>
      <c r="I970" s="352" t="s">
        <v>1014</v>
      </c>
      <c r="J970" s="352" t="s">
        <v>1893</v>
      </c>
      <c r="K970" s="352">
        <v>2221</v>
      </c>
      <c r="L970" s="352" t="s">
        <v>1884</v>
      </c>
      <c r="M970" s="352" t="s">
        <v>2202</v>
      </c>
      <c r="N970" s="352" t="s">
        <v>2076</v>
      </c>
      <c r="O970" s="352">
        <v>8</v>
      </c>
      <c r="P970" s="352" t="s">
        <v>2085</v>
      </c>
      <c r="Q970" s="352" t="s">
        <v>2068</v>
      </c>
      <c r="R970" s="251">
        <v>0</v>
      </c>
      <c r="S970" s="251" t="s">
        <v>2015</v>
      </c>
      <c r="T970" s="251" t="s">
        <v>2054</v>
      </c>
      <c r="U970" s="251" t="s">
        <v>1935</v>
      </c>
      <c r="V970" s="251" t="s">
        <v>1936</v>
      </c>
      <c r="X970" s="251">
        <v>0</v>
      </c>
    </row>
    <row r="971" spans="2:24" x14ac:dyDescent="0.2">
      <c r="B971" s="352" t="s">
        <v>873</v>
      </c>
      <c r="C971" s="352" t="s">
        <v>712</v>
      </c>
      <c r="F971" s="352" t="s">
        <v>1993</v>
      </c>
      <c r="G971" s="352" t="s">
        <v>2080</v>
      </c>
      <c r="H971" s="352" t="s">
        <v>1383</v>
      </c>
      <c r="I971" s="352" t="s">
        <v>1015</v>
      </c>
      <c r="J971" s="352" t="s">
        <v>1016</v>
      </c>
      <c r="K971" s="352">
        <v>3111</v>
      </c>
      <c r="L971" s="352" t="s">
        <v>763</v>
      </c>
      <c r="M971" s="352" t="s">
        <v>2203</v>
      </c>
      <c r="N971" s="352" t="s">
        <v>2076</v>
      </c>
      <c r="O971" s="352">
        <v>1</v>
      </c>
      <c r="P971" s="352" t="s">
        <v>2086</v>
      </c>
      <c r="Q971" s="352" t="s">
        <v>2066</v>
      </c>
      <c r="R971" s="251">
        <v>0</v>
      </c>
      <c r="S971" s="251"/>
      <c r="T971" s="251" t="s">
        <v>2054</v>
      </c>
      <c r="U971" s="251" t="s">
        <v>1945</v>
      </c>
      <c r="V971" s="251" t="s">
        <v>709</v>
      </c>
      <c r="X971" s="251">
        <v>0</v>
      </c>
    </row>
    <row r="972" spans="2:24" x14ac:dyDescent="0.2">
      <c r="B972" s="352" t="s">
        <v>873</v>
      </c>
      <c r="C972" s="352" t="s">
        <v>712</v>
      </c>
      <c r="F972" s="352" t="s">
        <v>1993</v>
      </c>
      <c r="G972" s="352" t="s">
        <v>2080</v>
      </c>
      <c r="H972" s="352" t="s">
        <v>1383</v>
      </c>
      <c r="I972" s="352" t="s">
        <v>1015</v>
      </c>
      <c r="J972" s="352" t="s">
        <v>1016</v>
      </c>
      <c r="K972" s="352">
        <v>3121</v>
      </c>
      <c r="L972" s="352" t="s">
        <v>766</v>
      </c>
      <c r="M972" s="352" t="s">
        <v>2204</v>
      </c>
      <c r="N972" s="352" t="s">
        <v>2076</v>
      </c>
      <c r="O972" s="352">
        <v>1</v>
      </c>
      <c r="P972" s="352" t="s">
        <v>2086</v>
      </c>
      <c r="Q972" s="352" t="s">
        <v>2066</v>
      </c>
      <c r="R972" s="251">
        <v>0</v>
      </c>
      <c r="S972" s="251"/>
      <c r="T972" s="251" t="s">
        <v>2054</v>
      </c>
      <c r="U972" s="251" t="s">
        <v>1945</v>
      </c>
      <c r="V972" s="251" t="s">
        <v>709</v>
      </c>
      <c r="X972" s="251">
        <v>0</v>
      </c>
    </row>
    <row r="973" spans="2:24" x14ac:dyDescent="0.2">
      <c r="B973" s="352" t="s">
        <v>873</v>
      </c>
      <c r="C973" s="352" t="s">
        <v>712</v>
      </c>
      <c r="F973" s="352" t="s">
        <v>1993</v>
      </c>
      <c r="G973" s="352" t="s">
        <v>2080</v>
      </c>
      <c r="H973" s="352" t="s">
        <v>1387</v>
      </c>
      <c r="I973" s="352" t="s">
        <v>1017</v>
      </c>
      <c r="J973" s="352" t="s">
        <v>1018</v>
      </c>
      <c r="K973" s="352">
        <v>4111</v>
      </c>
      <c r="L973" s="352" t="s">
        <v>770</v>
      </c>
      <c r="M973" s="352" t="s">
        <v>2205</v>
      </c>
      <c r="N973" s="352" t="s">
        <v>2076</v>
      </c>
      <c r="O973" s="352">
        <v>11</v>
      </c>
      <c r="P973" s="352" t="s">
        <v>2084</v>
      </c>
      <c r="Q973" s="352" t="s">
        <v>2064</v>
      </c>
      <c r="R973" s="251">
        <v>212.913994230551</v>
      </c>
      <c r="S973" s="251" t="s">
        <v>2015</v>
      </c>
      <c r="T973" s="251" t="s">
        <v>2016</v>
      </c>
      <c r="U973" s="251" t="s">
        <v>1946</v>
      </c>
      <c r="V973" s="251" t="s">
        <v>1947</v>
      </c>
      <c r="X973" s="251">
        <v>0</v>
      </c>
    </row>
    <row r="974" spans="2:24" x14ac:dyDescent="0.2">
      <c r="B974" s="352" t="s">
        <v>873</v>
      </c>
      <c r="C974" s="352" t="s">
        <v>712</v>
      </c>
      <c r="F974" s="352" t="s">
        <v>1993</v>
      </c>
      <c r="G974" s="352" t="s">
        <v>2080</v>
      </c>
      <c r="H974" s="352" t="s">
        <v>1387</v>
      </c>
      <c r="I974" s="352" t="s">
        <v>1017</v>
      </c>
      <c r="J974" s="352" t="s">
        <v>1018</v>
      </c>
      <c r="K974" s="352">
        <v>4121</v>
      </c>
      <c r="L974" s="352" t="s">
        <v>772</v>
      </c>
      <c r="M974" s="352" t="s">
        <v>2206</v>
      </c>
      <c r="N974" s="352" t="s">
        <v>2076</v>
      </c>
      <c r="O974" s="352">
        <v>11</v>
      </c>
      <c r="P974" s="352" t="s">
        <v>2084</v>
      </c>
      <c r="Q974" s="352" t="s">
        <v>2064</v>
      </c>
      <c r="R974" s="251">
        <v>466.58361604751798</v>
      </c>
      <c r="S974" s="251" t="s">
        <v>2015</v>
      </c>
      <c r="T974" s="251" t="s">
        <v>2016</v>
      </c>
      <c r="U974" s="251" t="s">
        <v>1946</v>
      </c>
      <c r="V974" s="251" t="s">
        <v>1947</v>
      </c>
      <c r="X974" s="251">
        <v>0</v>
      </c>
    </row>
    <row r="975" spans="2:24" x14ac:dyDescent="0.2">
      <c r="B975" s="352" t="s">
        <v>873</v>
      </c>
      <c r="C975" s="352" t="s">
        <v>712</v>
      </c>
      <c r="F975" s="352" t="s">
        <v>1993</v>
      </c>
      <c r="G975" s="352" t="s">
        <v>2080</v>
      </c>
      <c r="H975" s="352" t="s">
        <v>1391</v>
      </c>
      <c r="I975" s="352" t="s">
        <v>1019</v>
      </c>
      <c r="J975" s="352" t="s">
        <v>1020</v>
      </c>
      <c r="K975" s="352">
        <v>4231</v>
      </c>
      <c r="L975" s="352" t="s">
        <v>774</v>
      </c>
      <c r="M975" s="352" t="s">
        <v>2207</v>
      </c>
      <c r="N975" s="352" t="s">
        <v>2076</v>
      </c>
      <c r="O975" s="352">
        <v>1</v>
      </c>
      <c r="P975" s="352" t="s">
        <v>2086</v>
      </c>
      <c r="Q975" s="352" t="s">
        <v>2066</v>
      </c>
      <c r="R975" s="251">
        <v>3580.5518297787535</v>
      </c>
      <c r="S975" s="251" t="s">
        <v>2015</v>
      </c>
      <c r="T975" s="251" t="s">
        <v>2016</v>
      </c>
      <c r="U975" s="251" t="s">
        <v>1948</v>
      </c>
      <c r="V975" s="251" t="s">
        <v>1949</v>
      </c>
      <c r="X975" s="251">
        <v>0</v>
      </c>
    </row>
    <row r="976" spans="2:24" x14ac:dyDescent="0.2">
      <c r="B976" s="352" t="s">
        <v>873</v>
      </c>
      <c r="C976" s="352" t="s">
        <v>712</v>
      </c>
      <c r="F976" s="352" t="s">
        <v>1993</v>
      </c>
      <c r="G976" s="352" t="s">
        <v>2080</v>
      </c>
      <c r="H976" s="352" t="s">
        <v>1391</v>
      </c>
      <c r="I976" s="352" t="s">
        <v>1019</v>
      </c>
      <c r="J976" s="352" t="s">
        <v>1020</v>
      </c>
      <c r="K976" s="352">
        <v>4241</v>
      </c>
      <c r="L976" s="352" t="s">
        <v>777</v>
      </c>
      <c r="M976" s="352" t="s">
        <v>2208</v>
      </c>
      <c r="N976" s="352" t="s">
        <v>2076</v>
      </c>
      <c r="O976" s="352">
        <v>1</v>
      </c>
      <c r="P976" s="352" t="s">
        <v>2086</v>
      </c>
      <c r="Q976" s="352" t="s">
        <v>2066</v>
      </c>
      <c r="R976" s="251">
        <v>194.6996276766917</v>
      </c>
      <c r="S976" s="251" t="s">
        <v>2015</v>
      </c>
      <c r="T976" s="251" t="s">
        <v>2016</v>
      </c>
      <c r="U976" s="251" t="s">
        <v>1950</v>
      </c>
      <c r="V976" s="251" t="s">
        <v>1951</v>
      </c>
      <c r="X976" s="251">
        <v>0</v>
      </c>
    </row>
    <row r="977" spans="2:24" x14ac:dyDescent="0.2">
      <c r="B977" s="352" t="s">
        <v>873</v>
      </c>
      <c r="C977" s="352" t="s">
        <v>712</v>
      </c>
      <c r="F977" s="352" t="s">
        <v>1993</v>
      </c>
      <c r="G977" s="352" t="s">
        <v>2080</v>
      </c>
      <c r="H977" s="352" t="s">
        <v>1391</v>
      </c>
      <c r="I977" s="352" t="s">
        <v>1019</v>
      </c>
      <c r="J977" s="352" t="s">
        <v>1020</v>
      </c>
      <c r="K977" s="352">
        <v>4311</v>
      </c>
      <c r="L977" s="352" t="s">
        <v>779</v>
      </c>
      <c r="M977" s="352" t="s">
        <v>2209</v>
      </c>
      <c r="N977" s="352" t="s">
        <v>2076</v>
      </c>
      <c r="O977" s="352">
        <v>1</v>
      </c>
      <c r="P977" s="352" t="s">
        <v>2086</v>
      </c>
      <c r="Q977" s="352" t="s">
        <v>2066</v>
      </c>
      <c r="R977" s="251">
        <v>3.8386183699838576</v>
      </c>
      <c r="S977" s="251" t="s">
        <v>2015</v>
      </c>
      <c r="T977" s="251" t="s">
        <v>2016</v>
      </c>
      <c r="U977" s="251" t="s">
        <v>1952</v>
      </c>
      <c r="V977" s="251" t="s">
        <v>1953</v>
      </c>
      <c r="X977" s="251">
        <v>0</v>
      </c>
    </row>
    <row r="978" spans="2:24" x14ac:dyDescent="0.2">
      <c r="B978" s="352" t="s">
        <v>873</v>
      </c>
      <c r="C978" s="352" t="s">
        <v>712</v>
      </c>
      <c r="F978" s="352" t="s">
        <v>1993</v>
      </c>
      <c r="G978" s="352" t="s">
        <v>2080</v>
      </c>
      <c r="H978" s="352" t="s">
        <v>1395</v>
      </c>
      <c r="I978" s="352" t="s">
        <v>1021</v>
      </c>
      <c r="J978" s="352" t="s">
        <v>751</v>
      </c>
      <c r="K978" s="352">
        <v>4231</v>
      </c>
      <c r="L978" s="352" t="s">
        <v>774</v>
      </c>
      <c r="M978" s="352" t="s">
        <v>2210</v>
      </c>
      <c r="N978" s="352" t="s">
        <v>2076</v>
      </c>
      <c r="O978" s="352">
        <v>20</v>
      </c>
      <c r="P978" s="352" t="s">
        <v>2089</v>
      </c>
      <c r="Q978" s="352" t="s">
        <v>2074</v>
      </c>
      <c r="R978" s="251">
        <v>113.07005778248696</v>
      </c>
      <c r="S978" s="251" t="s">
        <v>2015</v>
      </c>
      <c r="T978" s="251" t="s">
        <v>2016</v>
      </c>
      <c r="U978" s="251" t="s">
        <v>1948</v>
      </c>
      <c r="V978" s="251" t="s">
        <v>1949</v>
      </c>
      <c r="X978" s="251">
        <v>0</v>
      </c>
    </row>
    <row r="979" spans="2:24" x14ac:dyDescent="0.2">
      <c r="B979" s="352" t="s">
        <v>873</v>
      </c>
      <c r="C979" s="352" t="s">
        <v>712</v>
      </c>
      <c r="F979" s="352" t="s">
        <v>1993</v>
      </c>
      <c r="G979" s="352" t="s">
        <v>2080</v>
      </c>
      <c r="H979" s="352" t="s">
        <v>1395</v>
      </c>
      <c r="I979" s="352" t="s">
        <v>1021</v>
      </c>
      <c r="J979" s="352" t="s">
        <v>751</v>
      </c>
      <c r="K979" s="352">
        <v>4241</v>
      </c>
      <c r="L979" s="352" t="s">
        <v>777</v>
      </c>
      <c r="M979" s="352" t="s">
        <v>2211</v>
      </c>
      <c r="N979" s="352" t="s">
        <v>2076</v>
      </c>
      <c r="O979" s="352">
        <v>20</v>
      </c>
      <c r="P979" s="352" t="s">
        <v>2089</v>
      </c>
      <c r="Q979" s="352" t="s">
        <v>2074</v>
      </c>
      <c r="R979" s="251">
        <v>6165.4882097619047</v>
      </c>
      <c r="S979" s="251" t="s">
        <v>2015</v>
      </c>
      <c r="T979" s="251" t="s">
        <v>2016</v>
      </c>
      <c r="U979" s="251" t="s">
        <v>1950</v>
      </c>
      <c r="V979" s="251" t="s">
        <v>1951</v>
      </c>
      <c r="X979" s="251">
        <v>0</v>
      </c>
    </row>
    <row r="980" spans="2:24" x14ac:dyDescent="0.2">
      <c r="B980" s="352" t="s">
        <v>873</v>
      </c>
      <c r="C980" s="352" t="s">
        <v>712</v>
      </c>
      <c r="F980" s="352" t="s">
        <v>1993</v>
      </c>
      <c r="G980" s="352" t="s">
        <v>2080</v>
      </c>
      <c r="H980" s="352" t="s">
        <v>1395</v>
      </c>
      <c r="I980" s="352" t="s">
        <v>1021</v>
      </c>
      <c r="J980" s="352" t="s">
        <v>751</v>
      </c>
      <c r="K980" s="352">
        <v>4311</v>
      </c>
      <c r="L980" s="352" t="s">
        <v>779</v>
      </c>
      <c r="M980" s="352" t="s">
        <v>2212</v>
      </c>
      <c r="N980" s="352" t="s">
        <v>2076</v>
      </c>
      <c r="O980" s="352">
        <v>20</v>
      </c>
      <c r="P980" s="352" t="s">
        <v>2089</v>
      </c>
      <c r="Q980" s="352" t="s">
        <v>2074</v>
      </c>
      <c r="R980" s="251">
        <v>121.55624838282216</v>
      </c>
      <c r="S980" s="251" t="s">
        <v>2015</v>
      </c>
      <c r="T980" s="251" t="s">
        <v>2016</v>
      </c>
      <c r="U980" s="251" t="s">
        <v>1952</v>
      </c>
      <c r="V980" s="251" t="s">
        <v>1953</v>
      </c>
      <c r="X980" s="251">
        <v>0</v>
      </c>
    </row>
    <row r="981" spans="2:24" x14ac:dyDescent="0.2">
      <c r="B981" s="352" t="s">
        <v>873</v>
      </c>
      <c r="C981" s="352" t="s">
        <v>719</v>
      </c>
      <c r="F981" s="352" t="s">
        <v>1994</v>
      </c>
      <c r="G981" s="352" t="s">
        <v>2093</v>
      </c>
      <c r="H981" s="352" t="s">
        <v>1399</v>
      </c>
      <c r="I981" s="352" t="s">
        <v>969</v>
      </c>
      <c r="J981" s="352" t="s">
        <v>970</v>
      </c>
      <c r="K981" s="352">
        <v>1111</v>
      </c>
      <c r="L981" s="352" t="s">
        <v>699</v>
      </c>
      <c r="M981" s="352" t="s">
        <v>2147</v>
      </c>
      <c r="N981" s="352" t="s">
        <v>2076</v>
      </c>
      <c r="O981" s="352">
        <v>5</v>
      </c>
      <c r="P981" s="352" t="s">
        <v>2077</v>
      </c>
      <c r="Q981" s="352" t="s">
        <v>2058</v>
      </c>
      <c r="R981" s="251">
        <v>58083.660693865117</v>
      </c>
      <c r="S981" s="251" t="s">
        <v>2015</v>
      </c>
      <c r="T981" s="251" t="s">
        <v>2016</v>
      </c>
      <c r="U981" s="251" t="s">
        <v>1914</v>
      </c>
      <c r="V981" s="251" t="s">
        <v>1915</v>
      </c>
      <c r="X981" s="251">
        <v>0</v>
      </c>
    </row>
    <row r="982" spans="2:24" x14ac:dyDescent="0.2">
      <c r="B982" s="352" t="s">
        <v>873</v>
      </c>
      <c r="C982" s="352" t="s">
        <v>719</v>
      </c>
      <c r="F982" s="352" t="s">
        <v>1994</v>
      </c>
      <c r="G982" s="352" t="s">
        <v>2093</v>
      </c>
      <c r="H982" s="352" t="s">
        <v>1399</v>
      </c>
      <c r="I982" s="352" t="s">
        <v>969</v>
      </c>
      <c r="J982" s="352" t="s">
        <v>970</v>
      </c>
      <c r="K982" s="352">
        <v>1231</v>
      </c>
      <c r="L982" s="352" t="s">
        <v>726</v>
      </c>
      <c r="M982" s="352" t="s">
        <v>2148</v>
      </c>
      <c r="N982" s="352" t="s">
        <v>2076</v>
      </c>
      <c r="O982" s="352">
        <v>5</v>
      </c>
      <c r="P982" s="352" t="s">
        <v>2077</v>
      </c>
      <c r="Q982" s="352" t="s">
        <v>2058</v>
      </c>
      <c r="R982" s="251">
        <v>2295.3236260511248</v>
      </c>
      <c r="S982" s="251" t="s">
        <v>2015</v>
      </c>
      <c r="T982" s="251" t="s">
        <v>2016</v>
      </c>
      <c r="U982" s="251" t="s">
        <v>1920</v>
      </c>
      <c r="V982" s="251" t="s">
        <v>726</v>
      </c>
      <c r="X982" s="251">
        <v>0</v>
      </c>
    </row>
    <row r="983" spans="2:24" x14ac:dyDescent="0.2">
      <c r="B983" s="352" t="s">
        <v>873</v>
      </c>
      <c r="C983" s="352" t="s">
        <v>719</v>
      </c>
      <c r="F983" s="352" t="s">
        <v>1994</v>
      </c>
      <c r="G983" s="352" t="s">
        <v>2093</v>
      </c>
      <c r="H983" s="352" t="s">
        <v>1403</v>
      </c>
      <c r="I983" s="352" t="s">
        <v>971</v>
      </c>
      <c r="J983" s="352" t="s">
        <v>972</v>
      </c>
      <c r="K983" s="352">
        <v>1211</v>
      </c>
      <c r="L983" s="352" t="s">
        <v>705</v>
      </c>
      <c r="M983" s="352" t="s">
        <v>2149</v>
      </c>
      <c r="N983" s="352" t="s">
        <v>2076</v>
      </c>
      <c r="O983" s="352">
        <v>5</v>
      </c>
      <c r="P983" s="352" t="s">
        <v>2077</v>
      </c>
      <c r="Q983" s="352" t="s">
        <v>2058</v>
      </c>
      <c r="R983" s="251">
        <v>0</v>
      </c>
      <c r="S983" s="251" t="s">
        <v>2015</v>
      </c>
      <c r="T983" s="251" t="s">
        <v>2054</v>
      </c>
      <c r="U983" s="251" t="s">
        <v>1916</v>
      </c>
      <c r="V983" s="251" t="s">
        <v>1917</v>
      </c>
      <c r="X983" s="251">
        <v>0</v>
      </c>
    </row>
    <row r="984" spans="2:24" x14ac:dyDescent="0.2">
      <c r="B984" s="352" t="s">
        <v>873</v>
      </c>
      <c r="C984" s="352" t="s">
        <v>719</v>
      </c>
      <c r="F984" s="352" t="s">
        <v>1994</v>
      </c>
      <c r="G984" s="352" t="s">
        <v>2093</v>
      </c>
      <c r="H984" s="352" t="s">
        <v>1407</v>
      </c>
      <c r="I984" s="352" t="s">
        <v>973</v>
      </c>
      <c r="J984" s="352" t="s">
        <v>974</v>
      </c>
      <c r="K984" s="352">
        <v>1211</v>
      </c>
      <c r="L984" s="352" t="s">
        <v>705</v>
      </c>
      <c r="M984" s="352" t="s">
        <v>2150</v>
      </c>
      <c r="N984" s="352" t="s">
        <v>2076</v>
      </c>
      <c r="O984" s="352">
        <v>5</v>
      </c>
      <c r="P984" s="352" t="s">
        <v>2077</v>
      </c>
      <c r="Q984" s="352" t="s">
        <v>2058</v>
      </c>
      <c r="R984" s="251">
        <v>10870.146681721304</v>
      </c>
      <c r="S984" s="251" t="s">
        <v>2015</v>
      </c>
      <c r="T984" s="251" t="s">
        <v>2016</v>
      </c>
      <c r="U984" s="251" t="s">
        <v>1916</v>
      </c>
      <c r="V984" s="251" t="s">
        <v>1917</v>
      </c>
      <c r="X984" s="251">
        <v>0</v>
      </c>
    </row>
    <row r="985" spans="2:24" x14ac:dyDescent="0.2">
      <c r="B985" s="352" t="s">
        <v>873</v>
      </c>
      <c r="C985" s="352" t="s">
        <v>719</v>
      </c>
      <c r="F985" s="352" t="s">
        <v>1994</v>
      </c>
      <c r="G985" s="352" t="s">
        <v>2093</v>
      </c>
      <c r="H985" s="352" t="s">
        <v>1407</v>
      </c>
      <c r="I985" s="352" t="s">
        <v>973</v>
      </c>
      <c r="J985" s="352" t="s">
        <v>974</v>
      </c>
      <c r="K985" s="352">
        <v>1221</v>
      </c>
      <c r="L985" s="352" t="s">
        <v>711</v>
      </c>
      <c r="M985" s="352" t="s">
        <v>2151</v>
      </c>
      <c r="N985" s="352" t="s">
        <v>2076</v>
      </c>
      <c r="O985" s="352">
        <v>5</v>
      </c>
      <c r="P985" s="352" t="s">
        <v>2077</v>
      </c>
      <c r="Q985" s="352" t="s">
        <v>2058</v>
      </c>
      <c r="R985" s="251">
        <v>14038.741616216468</v>
      </c>
      <c r="S985" s="251" t="s">
        <v>2015</v>
      </c>
      <c r="T985" s="251" t="s">
        <v>2016</v>
      </c>
      <c r="U985" s="251" t="s">
        <v>1918</v>
      </c>
      <c r="V985" s="251" t="s">
        <v>1919</v>
      </c>
      <c r="X985" s="251">
        <v>0</v>
      </c>
    </row>
    <row r="986" spans="2:24" x14ac:dyDescent="0.2">
      <c r="B986" s="352" t="s">
        <v>873</v>
      </c>
      <c r="C986" s="352" t="s">
        <v>719</v>
      </c>
      <c r="F986" s="352" t="s">
        <v>1994</v>
      </c>
      <c r="G986" s="352" t="s">
        <v>2093</v>
      </c>
      <c r="H986" s="352" t="s">
        <v>1407</v>
      </c>
      <c r="I986" s="352" t="s">
        <v>973</v>
      </c>
      <c r="J986" s="352" t="s">
        <v>974</v>
      </c>
      <c r="K986" s="352">
        <v>1222</v>
      </c>
      <c r="L986" s="352" t="s">
        <v>718</v>
      </c>
      <c r="M986" s="352" t="s">
        <v>2152</v>
      </c>
      <c r="N986" s="352" t="s">
        <v>2076</v>
      </c>
      <c r="O986" s="352">
        <v>5</v>
      </c>
      <c r="P986" s="352" t="s">
        <v>2077</v>
      </c>
      <c r="Q986" s="352" t="s">
        <v>2058</v>
      </c>
      <c r="R986" s="251">
        <v>530.79600216570816</v>
      </c>
      <c r="S986" s="251" t="s">
        <v>2015</v>
      </c>
      <c r="T986" s="251" t="s">
        <v>2016</v>
      </c>
      <c r="U986" s="251">
        <v>0</v>
      </c>
      <c r="V986" s="251" t="s">
        <v>2153</v>
      </c>
      <c r="X986" s="251">
        <v>0</v>
      </c>
    </row>
    <row r="987" spans="2:24" x14ac:dyDescent="0.2">
      <c r="B987" s="352" t="s">
        <v>873</v>
      </c>
      <c r="C987" s="352" t="s">
        <v>719</v>
      </c>
      <c r="F987" s="352" t="s">
        <v>1994</v>
      </c>
      <c r="G987" s="352" t="s">
        <v>2093</v>
      </c>
      <c r="H987" s="352" t="s">
        <v>1411</v>
      </c>
      <c r="I987" s="352" t="s">
        <v>975</v>
      </c>
      <c r="J987" s="352" t="s">
        <v>976</v>
      </c>
      <c r="K987" s="352">
        <v>1221</v>
      </c>
      <c r="L987" s="352" t="s">
        <v>711</v>
      </c>
      <c r="M987" s="352" t="s">
        <v>2154</v>
      </c>
      <c r="N987" s="352" t="s">
        <v>2076</v>
      </c>
      <c r="O987" s="352">
        <v>7</v>
      </c>
      <c r="P987" s="352" t="s">
        <v>2081</v>
      </c>
      <c r="Q987" s="352" t="s">
        <v>2056</v>
      </c>
      <c r="R987" s="251">
        <v>0</v>
      </c>
      <c r="S987" s="251" t="s">
        <v>2015</v>
      </c>
      <c r="T987" s="251" t="s">
        <v>2054</v>
      </c>
      <c r="U987" s="251" t="s">
        <v>1918</v>
      </c>
      <c r="V987" s="251" t="s">
        <v>1919</v>
      </c>
      <c r="X987" s="251">
        <v>0</v>
      </c>
    </row>
    <row r="988" spans="2:24" x14ac:dyDescent="0.2">
      <c r="B988" s="352" t="s">
        <v>873</v>
      </c>
      <c r="C988" s="352" t="s">
        <v>719</v>
      </c>
      <c r="F988" s="352" t="s">
        <v>1994</v>
      </c>
      <c r="G988" s="352" t="s">
        <v>2093</v>
      </c>
      <c r="H988" s="352" t="s">
        <v>1415</v>
      </c>
      <c r="I988" s="352" t="s">
        <v>977</v>
      </c>
      <c r="J988" s="352" t="s">
        <v>864</v>
      </c>
      <c r="K988" s="352">
        <v>1111</v>
      </c>
      <c r="L988" s="352" t="s">
        <v>699</v>
      </c>
      <c r="M988" s="352" t="s">
        <v>2155</v>
      </c>
      <c r="N988" s="352" t="s">
        <v>2076</v>
      </c>
      <c r="O988" s="352">
        <v>5</v>
      </c>
      <c r="P988" s="352" t="s">
        <v>2077</v>
      </c>
      <c r="Q988" s="352" t="s">
        <v>2058</v>
      </c>
      <c r="R988" s="251">
        <v>3156.720689883974</v>
      </c>
      <c r="S988" s="251" t="s">
        <v>2015</v>
      </c>
      <c r="T988" s="251" t="s">
        <v>2016</v>
      </c>
      <c r="U988" s="251" t="s">
        <v>1914</v>
      </c>
      <c r="V988" s="251" t="s">
        <v>1915</v>
      </c>
      <c r="X988" s="251">
        <v>0</v>
      </c>
    </row>
    <row r="989" spans="2:24" x14ac:dyDescent="0.2">
      <c r="B989" s="352" t="s">
        <v>873</v>
      </c>
      <c r="C989" s="352" t="s">
        <v>719</v>
      </c>
      <c r="F989" s="352" t="s">
        <v>1994</v>
      </c>
      <c r="G989" s="352" t="s">
        <v>2093</v>
      </c>
      <c r="H989" s="352" t="s">
        <v>1415</v>
      </c>
      <c r="I989" s="352" t="s">
        <v>977</v>
      </c>
      <c r="J989" s="352" t="s">
        <v>864</v>
      </c>
      <c r="K989" s="352">
        <v>1211</v>
      </c>
      <c r="L989" s="352" t="s">
        <v>705</v>
      </c>
      <c r="M989" s="352" t="s">
        <v>2156</v>
      </c>
      <c r="N989" s="352" t="s">
        <v>2076</v>
      </c>
      <c r="O989" s="352">
        <v>5</v>
      </c>
      <c r="P989" s="352" t="s">
        <v>2077</v>
      </c>
      <c r="Q989" s="352" t="s">
        <v>2058</v>
      </c>
      <c r="R989" s="251">
        <v>1249.4421473242878</v>
      </c>
      <c r="S989" s="251" t="s">
        <v>2015</v>
      </c>
      <c r="T989" s="251" t="s">
        <v>2016</v>
      </c>
      <c r="U989" s="251" t="s">
        <v>1916</v>
      </c>
      <c r="V989" s="251" t="s">
        <v>1917</v>
      </c>
      <c r="X989" s="251">
        <v>0</v>
      </c>
    </row>
    <row r="990" spans="2:24" x14ac:dyDescent="0.2">
      <c r="B990" s="352" t="s">
        <v>873</v>
      </c>
      <c r="C990" s="352" t="s">
        <v>719</v>
      </c>
      <c r="F990" s="352" t="s">
        <v>1994</v>
      </c>
      <c r="G990" s="352" t="s">
        <v>2093</v>
      </c>
      <c r="H990" s="352" t="s">
        <v>1415</v>
      </c>
      <c r="I990" s="352" t="s">
        <v>977</v>
      </c>
      <c r="J990" s="352" t="s">
        <v>864</v>
      </c>
      <c r="K990" s="352">
        <v>1221</v>
      </c>
      <c r="L990" s="352" t="s">
        <v>711</v>
      </c>
      <c r="M990" s="352" t="s">
        <v>2157</v>
      </c>
      <c r="N990" s="352" t="s">
        <v>2076</v>
      </c>
      <c r="O990" s="352">
        <v>5</v>
      </c>
      <c r="P990" s="352" t="s">
        <v>2077</v>
      </c>
      <c r="Q990" s="352" t="s">
        <v>2058</v>
      </c>
      <c r="R990" s="251">
        <v>1754.8427020270585</v>
      </c>
      <c r="S990" s="251" t="s">
        <v>2015</v>
      </c>
      <c r="T990" s="251" t="s">
        <v>2016</v>
      </c>
      <c r="U990" s="251" t="s">
        <v>1918</v>
      </c>
      <c r="V990" s="251" t="s">
        <v>1919</v>
      </c>
      <c r="X990" s="251">
        <v>0</v>
      </c>
    </row>
    <row r="991" spans="2:24" x14ac:dyDescent="0.2">
      <c r="B991" s="352" t="s">
        <v>873</v>
      </c>
      <c r="C991" s="352" t="s">
        <v>719</v>
      </c>
      <c r="F991" s="352" t="s">
        <v>1994</v>
      </c>
      <c r="G991" s="352" t="s">
        <v>2093</v>
      </c>
      <c r="H991" s="352" t="s">
        <v>1415</v>
      </c>
      <c r="I991" s="352" t="s">
        <v>977</v>
      </c>
      <c r="J991" s="352" t="s">
        <v>864</v>
      </c>
      <c r="K991" s="352">
        <v>1222</v>
      </c>
      <c r="L991" s="352" t="s">
        <v>718</v>
      </c>
      <c r="M991" s="352" t="s">
        <v>2158</v>
      </c>
      <c r="N991" s="352" t="s">
        <v>2076</v>
      </c>
      <c r="O991" s="352">
        <v>5</v>
      </c>
      <c r="P991" s="352" t="s">
        <v>2077</v>
      </c>
      <c r="Q991" s="352" t="s">
        <v>2058</v>
      </c>
      <c r="R991" s="251">
        <v>663.4950027071352</v>
      </c>
      <c r="S991" s="251" t="s">
        <v>2015</v>
      </c>
      <c r="T991" s="251" t="s">
        <v>2016</v>
      </c>
      <c r="U991" s="251">
        <v>0</v>
      </c>
      <c r="V991" s="251" t="s">
        <v>2153</v>
      </c>
      <c r="X991" s="251">
        <v>0</v>
      </c>
    </row>
    <row r="992" spans="2:24" x14ac:dyDescent="0.2">
      <c r="B992" s="352" t="s">
        <v>873</v>
      </c>
      <c r="C992" s="352" t="s">
        <v>719</v>
      </c>
      <c r="F992" s="352" t="s">
        <v>1994</v>
      </c>
      <c r="G992" s="352" t="s">
        <v>2093</v>
      </c>
      <c r="H992" s="352" t="s">
        <v>1415</v>
      </c>
      <c r="I992" s="352" t="s">
        <v>977</v>
      </c>
      <c r="J992" s="352" t="s">
        <v>864</v>
      </c>
      <c r="K992" s="352">
        <v>1231</v>
      </c>
      <c r="L992" s="352" t="s">
        <v>726</v>
      </c>
      <c r="M992" s="352" t="s">
        <v>2159</v>
      </c>
      <c r="N992" s="352" t="s">
        <v>2076</v>
      </c>
      <c r="O992" s="352">
        <v>5</v>
      </c>
      <c r="P992" s="352" t="s">
        <v>2077</v>
      </c>
      <c r="Q992" s="352" t="s">
        <v>2058</v>
      </c>
      <c r="R992" s="251">
        <v>8607.463597691718</v>
      </c>
      <c r="S992" s="251" t="s">
        <v>2015</v>
      </c>
      <c r="T992" s="251" t="s">
        <v>2016</v>
      </c>
      <c r="U992" s="251" t="s">
        <v>1920</v>
      </c>
      <c r="V992" s="251" t="s">
        <v>726</v>
      </c>
      <c r="X992" s="251">
        <v>0</v>
      </c>
    </row>
    <row r="993" spans="2:24" x14ac:dyDescent="0.2">
      <c r="B993" s="352" t="s">
        <v>873</v>
      </c>
      <c r="C993" s="352" t="s">
        <v>719</v>
      </c>
      <c r="F993" s="352" t="s">
        <v>1994</v>
      </c>
      <c r="G993" s="352" t="s">
        <v>2093</v>
      </c>
      <c r="H993" s="352" t="s">
        <v>1415</v>
      </c>
      <c r="I993" s="352" t="s">
        <v>977</v>
      </c>
      <c r="J993" s="352" t="s">
        <v>864</v>
      </c>
      <c r="K993" s="352">
        <v>1232</v>
      </c>
      <c r="L993" s="352" t="s">
        <v>734</v>
      </c>
      <c r="M993" s="352" t="s">
        <v>2160</v>
      </c>
      <c r="N993" s="352" t="s">
        <v>2076</v>
      </c>
      <c r="O993" s="352">
        <v>5</v>
      </c>
      <c r="P993" s="352" t="s">
        <v>2077</v>
      </c>
      <c r="Q993" s="352" t="s">
        <v>2058</v>
      </c>
      <c r="R993" s="251">
        <v>1604.4331056466992</v>
      </c>
      <c r="S993" s="251" t="s">
        <v>2015</v>
      </c>
      <c r="T993" s="251" t="s">
        <v>2016</v>
      </c>
      <c r="U993" s="251">
        <v>0</v>
      </c>
      <c r="V993" s="251" t="s">
        <v>2153</v>
      </c>
      <c r="X993" s="251">
        <v>0</v>
      </c>
    </row>
    <row r="994" spans="2:24" x14ac:dyDescent="0.2">
      <c r="B994" s="352" t="s">
        <v>873</v>
      </c>
      <c r="C994" s="352" t="s">
        <v>719</v>
      </c>
      <c r="F994" s="352" t="s">
        <v>1994</v>
      </c>
      <c r="G994" s="352" t="s">
        <v>2093</v>
      </c>
      <c r="H994" s="352" t="s">
        <v>1415</v>
      </c>
      <c r="I994" s="352" t="s">
        <v>977</v>
      </c>
      <c r="J994" s="352" t="s">
        <v>864</v>
      </c>
      <c r="K994" s="352">
        <v>1241</v>
      </c>
      <c r="L994" s="352" t="s">
        <v>1872</v>
      </c>
      <c r="M994" s="352" t="s">
        <v>2161</v>
      </c>
      <c r="N994" s="352" t="s">
        <v>2076</v>
      </c>
      <c r="O994" s="352">
        <v>5</v>
      </c>
      <c r="P994" s="352" t="s">
        <v>2077</v>
      </c>
      <c r="Q994" s="352" t="s">
        <v>2058</v>
      </c>
      <c r="R994" s="251">
        <v>38.431892864908129</v>
      </c>
      <c r="S994" s="251" t="s">
        <v>2015</v>
      </c>
      <c r="T994" s="251" t="s">
        <v>2016</v>
      </c>
      <c r="U994" s="251">
        <v>0</v>
      </c>
      <c r="V994" s="251" t="s">
        <v>2153</v>
      </c>
      <c r="X994" s="251">
        <v>0</v>
      </c>
    </row>
    <row r="995" spans="2:24" x14ac:dyDescent="0.2">
      <c r="B995" s="352" t="s">
        <v>873</v>
      </c>
      <c r="C995" s="352" t="s">
        <v>719</v>
      </c>
      <c r="F995" s="352" t="s">
        <v>1994</v>
      </c>
      <c r="G995" s="352" t="s">
        <v>2093</v>
      </c>
      <c r="H995" s="352" t="s">
        <v>1415</v>
      </c>
      <c r="I995" s="352" t="s">
        <v>977</v>
      </c>
      <c r="J995" s="352" t="s">
        <v>864</v>
      </c>
      <c r="K995" s="352">
        <v>1251</v>
      </c>
      <c r="L995" s="352" t="s">
        <v>733</v>
      </c>
      <c r="M995" s="352" t="s">
        <v>2162</v>
      </c>
      <c r="N995" s="352" t="s">
        <v>2076</v>
      </c>
      <c r="O995" s="352">
        <v>5</v>
      </c>
      <c r="P995" s="352" t="s">
        <v>2077</v>
      </c>
      <c r="Q995" s="352" t="s">
        <v>2058</v>
      </c>
      <c r="R995" s="251">
        <v>2066.4937832965343</v>
      </c>
      <c r="S995" s="251" t="s">
        <v>2015</v>
      </c>
      <c r="T995" s="251" t="s">
        <v>2016</v>
      </c>
      <c r="U995" s="251">
        <v>0</v>
      </c>
      <c r="V995" s="251" t="s">
        <v>2153</v>
      </c>
      <c r="X995" s="251">
        <v>0</v>
      </c>
    </row>
    <row r="996" spans="2:24" x14ac:dyDescent="0.2">
      <c r="B996" s="352" t="s">
        <v>873</v>
      </c>
      <c r="C996" s="352" t="s">
        <v>719</v>
      </c>
      <c r="F996" s="352" t="s">
        <v>1994</v>
      </c>
      <c r="G996" s="352" t="s">
        <v>2093</v>
      </c>
      <c r="H996" s="352" t="s">
        <v>1419</v>
      </c>
      <c r="I996" s="352" t="s">
        <v>978</v>
      </c>
      <c r="J996" s="352" t="s">
        <v>1892</v>
      </c>
      <c r="K996" s="352">
        <v>1111</v>
      </c>
      <c r="L996" s="352" t="s">
        <v>699</v>
      </c>
      <c r="M996" s="352" t="s">
        <v>2163</v>
      </c>
      <c r="N996" s="352" t="s">
        <v>2076</v>
      </c>
      <c r="O996" s="352">
        <v>5</v>
      </c>
      <c r="P996" s="352" t="s">
        <v>2077</v>
      </c>
      <c r="Q996" s="352" t="s">
        <v>2058</v>
      </c>
      <c r="R996" s="251">
        <v>0</v>
      </c>
      <c r="S996" s="251" t="s">
        <v>2015</v>
      </c>
      <c r="T996" s="251" t="s">
        <v>2054</v>
      </c>
      <c r="U996" s="251" t="s">
        <v>1914</v>
      </c>
      <c r="V996" s="251" t="s">
        <v>1915</v>
      </c>
      <c r="X996" s="251">
        <v>0</v>
      </c>
    </row>
    <row r="997" spans="2:24" x14ac:dyDescent="0.2">
      <c r="B997" s="352" t="s">
        <v>873</v>
      </c>
      <c r="C997" s="352" t="s">
        <v>719</v>
      </c>
      <c r="F997" s="352" t="s">
        <v>1994</v>
      </c>
      <c r="G997" s="352" t="s">
        <v>2093</v>
      </c>
      <c r="H997" s="352" t="s">
        <v>1419</v>
      </c>
      <c r="I997" s="352" t="s">
        <v>978</v>
      </c>
      <c r="J997" s="352" t="s">
        <v>1892</v>
      </c>
      <c r="K997" s="352">
        <v>1231</v>
      </c>
      <c r="L997" s="352" t="s">
        <v>726</v>
      </c>
      <c r="M997" s="352" t="s">
        <v>2164</v>
      </c>
      <c r="N997" s="352" t="s">
        <v>2076</v>
      </c>
      <c r="O997" s="352">
        <v>5</v>
      </c>
      <c r="P997" s="352" t="s">
        <v>2077</v>
      </c>
      <c r="Q997" s="352" t="s">
        <v>2058</v>
      </c>
      <c r="R997" s="251">
        <v>0</v>
      </c>
      <c r="S997" s="251" t="s">
        <v>2015</v>
      </c>
      <c r="T997" s="251" t="s">
        <v>2054</v>
      </c>
      <c r="U997" s="251" t="s">
        <v>1920</v>
      </c>
      <c r="V997" s="251" t="s">
        <v>726</v>
      </c>
      <c r="X997" s="251">
        <v>0</v>
      </c>
    </row>
    <row r="998" spans="2:24" x14ac:dyDescent="0.2">
      <c r="B998" s="352" t="s">
        <v>873</v>
      </c>
      <c r="C998" s="352" t="s">
        <v>719</v>
      </c>
      <c r="F998" s="352" t="s">
        <v>1994</v>
      </c>
      <c r="G998" s="352" t="s">
        <v>2093</v>
      </c>
      <c r="H998" s="352" t="s">
        <v>1423</v>
      </c>
      <c r="I998" s="352" t="s">
        <v>979</v>
      </c>
      <c r="J998" s="352" t="s">
        <v>980</v>
      </c>
      <c r="K998" s="352">
        <v>1241</v>
      </c>
      <c r="L998" s="352" t="s">
        <v>1872</v>
      </c>
      <c r="M998" s="352" t="s">
        <v>2165</v>
      </c>
      <c r="N998" s="352" t="s">
        <v>2076</v>
      </c>
      <c r="O998" s="352">
        <v>7</v>
      </c>
      <c r="P998" s="352" t="s">
        <v>2081</v>
      </c>
      <c r="Q998" s="352" t="s">
        <v>2056</v>
      </c>
      <c r="R998" s="251">
        <v>455.69244396962483</v>
      </c>
      <c r="S998" s="251" t="s">
        <v>2015</v>
      </c>
      <c r="T998" s="251" t="s">
        <v>2016</v>
      </c>
      <c r="U998" s="251">
        <v>0</v>
      </c>
      <c r="V998" s="251" t="s">
        <v>2153</v>
      </c>
      <c r="X998" s="251">
        <v>0</v>
      </c>
    </row>
    <row r="999" spans="2:24" x14ac:dyDescent="0.2">
      <c r="B999" s="352" t="s">
        <v>873</v>
      </c>
      <c r="C999" s="352" t="s">
        <v>719</v>
      </c>
      <c r="F999" s="352" t="s">
        <v>1994</v>
      </c>
      <c r="G999" s="352" t="s">
        <v>2093</v>
      </c>
      <c r="H999" s="352" t="s">
        <v>1427</v>
      </c>
      <c r="I999" s="352" t="s">
        <v>981</v>
      </c>
      <c r="J999" s="352" t="s">
        <v>3674</v>
      </c>
      <c r="K999" s="352">
        <v>1241</v>
      </c>
      <c r="L999" s="352" t="s">
        <v>1872</v>
      </c>
      <c r="M999" s="352" t="s">
        <v>2166</v>
      </c>
      <c r="N999" s="352" t="s">
        <v>2076</v>
      </c>
      <c r="O999" s="352">
        <v>13</v>
      </c>
      <c r="P999" s="352" t="s">
        <v>2082</v>
      </c>
      <c r="Q999" s="352" t="s">
        <v>2060</v>
      </c>
      <c r="R999" s="251">
        <v>0</v>
      </c>
      <c r="S999" s="251" t="s">
        <v>2015</v>
      </c>
      <c r="T999" s="251" t="s">
        <v>2054</v>
      </c>
      <c r="U999" s="251">
        <v>0</v>
      </c>
      <c r="V999" s="251" t="s">
        <v>2153</v>
      </c>
      <c r="X999" s="251">
        <v>0</v>
      </c>
    </row>
    <row r="1000" spans="2:24" x14ac:dyDescent="0.2">
      <c r="B1000" s="352" t="s">
        <v>873</v>
      </c>
      <c r="C1000" s="352" t="s">
        <v>719</v>
      </c>
      <c r="F1000" s="352" t="s">
        <v>1994</v>
      </c>
      <c r="G1000" s="352" t="s">
        <v>2093</v>
      </c>
      <c r="H1000" s="352" t="s">
        <v>1427</v>
      </c>
      <c r="I1000" s="352" t="s">
        <v>981</v>
      </c>
      <c r="J1000" s="352" t="s">
        <v>3674</v>
      </c>
      <c r="K1000" s="352">
        <v>1251</v>
      </c>
      <c r="L1000" s="352" t="s">
        <v>733</v>
      </c>
      <c r="M1000" s="352" t="s">
        <v>2167</v>
      </c>
      <c r="N1000" s="352" t="s">
        <v>2076</v>
      </c>
      <c r="O1000" s="352">
        <v>13</v>
      </c>
      <c r="P1000" s="352" t="s">
        <v>2082</v>
      </c>
      <c r="Q1000" s="352" t="s">
        <v>2060</v>
      </c>
      <c r="R1000" s="251">
        <v>0</v>
      </c>
      <c r="S1000" s="251" t="s">
        <v>2015</v>
      </c>
      <c r="T1000" s="251" t="s">
        <v>2054</v>
      </c>
      <c r="U1000" s="251">
        <v>0</v>
      </c>
      <c r="V1000" s="251" t="s">
        <v>2153</v>
      </c>
      <c r="X1000" s="251">
        <v>0</v>
      </c>
    </row>
    <row r="1001" spans="2:24" x14ac:dyDescent="0.2">
      <c r="B1001" s="352" t="s">
        <v>873</v>
      </c>
      <c r="C1001" s="352" t="s">
        <v>719</v>
      </c>
      <c r="F1001" s="352" t="s">
        <v>1994</v>
      </c>
      <c r="G1001" s="352" t="s">
        <v>2093</v>
      </c>
      <c r="H1001" s="352" t="s">
        <v>1431</v>
      </c>
      <c r="I1001" s="352" t="s">
        <v>982</v>
      </c>
      <c r="J1001" s="352" t="s">
        <v>983</v>
      </c>
      <c r="K1001" s="352">
        <v>2111</v>
      </c>
      <c r="L1001" s="352" t="s">
        <v>1873</v>
      </c>
      <c r="M1001" s="352" t="s">
        <v>2168</v>
      </c>
      <c r="N1001" s="352" t="s">
        <v>2076</v>
      </c>
      <c r="O1001" s="352">
        <v>10</v>
      </c>
      <c r="P1001" s="352" t="s">
        <v>2083</v>
      </c>
      <c r="Q1001" s="352" t="s">
        <v>2062</v>
      </c>
      <c r="R1001" s="251">
        <v>469.31841989896196</v>
      </c>
      <c r="S1001" s="251" t="s">
        <v>2015</v>
      </c>
      <c r="T1001" s="251" t="s">
        <v>2016</v>
      </c>
      <c r="U1001" s="251" t="s">
        <v>1929</v>
      </c>
      <c r="V1001" s="251" t="s">
        <v>1930</v>
      </c>
      <c r="X1001" s="251">
        <v>0</v>
      </c>
    </row>
    <row r="1002" spans="2:24" x14ac:dyDescent="0.2">
      <c r="B1002" s="352" t="s">
        <v>873</v>
      </c>
      <c r="C1002" s="352" t="s">
        <v>719</v>
      </c>
      <c r="F1002" s="352" t="s">
        <v>1994</v>
      </c>
      <c r="G1002" s="352" t="s">
        <v>2093</v>
      </c>
      <c r="H1002" s="352" t="s">
        <v>1431</v>
      </c>
      <c r="I1002" s="352" t="s">
        <v>982</v>
      </c>
      <c r="J1002" s="352" t="s">
        <v>983</v>
      </c>
      <c r="K1002" s="352">
        <v>2121</v>
      </c>
      <c r="L1002" s="352" t="s">
        <v>1876</v>
      </c>
      <c r="M1002" s="352" t="s">
        <v>2169</v>
      </c>
      <c r="N1002" s="352" t="s">
        <v>2076</v>
      </c>
      <c r="O1002" s="352">
        <v>10</v>
      </c>
      <c r="P1002" s="352" t="s">
        <v>2083</v>
      </c>
      <c r="Q1002" s="352" t="s">
        <v>2062</v>
      </c>
      <c r="R1002" s="251">
        <v>1388.4195955551568</v>
      </c>
      <c r="S1002" s="251" t="s">
        <v>2015</v>
      </c>
      <c r="T1002" s="251" t="s">
        <v>2016</v>
      </c>
      <c r="U1002" s="251" t="s">
        <v>1929</v>
      </c>
      <c r="V1002" s="251" t="s">
        <v>1930</v>
      </c>
      <c r="X1002" s="251">
        <v>0</v>
      </c>
    </row>
    <row r="1003" spans="2:24" x14ac:dyDescent="0.2">
      <c r="B1003" s="352" t="s">
        <v>873</v>
      </c>
      <c r="C1003" s="352" t="s">
        <v>719</v>
      </c>
      <c r="F1003" s="352" t="s">
        <v>1994</v>
      </c>
      <c r="G1003" s="352" t="s">
        <v>2093</v>
      </c>
      <c r="H1003" s="352" t="s">
        <v>1431</v>
      </c>
      <c r="I1003" s="352" t="s">
        <v>982</v>
      </c>
      <c r="J1003" s="352" t="s">
        <v>983</v>
      </c>
      <c r="K1003" s="352">
        <v>2131</v>
      </c>
      <c r="L1003" s="352" t="s">
        <v>1879</v>
      </c>
      <c r="M1003" s="352" t="s">
        <v>2170</v>
      </c>
      <c r="N1003" s="352" t="s">
        <v>2076</v>
      </c>
      <c r="O1003" s="352">
        <v>10</v>
      </c>
      <c r="P1003" s="352" t="s">
        <v>2083</v>
      </c>
      <c r="Q1003" s="352" t="s">
        <v>2062</v>
      </c>
      <c r="R1003" s="251">
        <v>57.714834247883509</v>
      </c>
      <c r="S1003" s="251" t="s">
        <v>2015</v>
      </c>
      <c r="T1003" s="251" t="s">
        <v>2016</v>
      </c>
      <c r="U1003" s="251" t="s">
        <v>1929</v>
      </c>
      <c r="V1003" s="251" t="s">
        <v>1930</v>
      </c>
      <c r="X1003" s="251">
        <v>0</v>
      </c>
    </row>
    <row r="1004" spans="2:24" x14ac:dyDescent="0.2">
      <c r="B1004" s="352" t="s">
        <v>873</v>
      </c>
      <c r="C1004" s="352" t="s">
        <v>719</v>
      </c>
      <c r="F1004" s="352" t="s">
        <v>1994</v>
      </c>
      <c r="G1004" s="352" t="s">
        <v>2093</v>
      </c>
      <c r="H1004" s="352" t="s">
        <v>1431</v>
      </c>
      <c r="I1004" s="352" t="s">
        <v>982</v>
      </c>
      <c r="J1004" s="352" t="s">
        <v>983</v>
      </c>
      <c r="K1004" s="352">
        <v>2211</v>
      </c>
      <c r="L1004" s="352" t="s">
        <v>1883</v>
      </c>
      <c r="M1004" s="352" t="s">
        <v>2171</v>
      </c>
      <c r="N1004" s="352" t="s">
        <v>2076</v>
      </c>
      <c r="O1004" s="352">
        <v>10</v>
      </c>
      <c r="P1004" s="352" t="s">
        <v>2083</v>
      </c>
      <c r="Q1004" s="352" t="s">
        <v>2062</v>
      </c>
      <c r="R1004" s="251">
        <v>725.34762006143387</v>
      </c>
      <c r="S1004" s="251" t="s">
        <v>2015</v>
      </c>
      <c r="T1004" s="251" t="s">
        <v>2016</v>
      </c>
      <c r="U1004" s="251" t="s">
        <v>1929</v>
      </c>
      <c r="V1004" s="251" t="s">
        <v>1930</v>
      </c>
      <c r="X1004" s="251">
        <v>0</v>
      </c>
    </row>
    <row r="1005" spans="2:24" x14ac:dyDescent="0.2">
      <c r="B1005" s="352" t="s">
        <v>873</v>
      </c>
      <c r="C1005" s="352" t="s">
        <v>719</v>
      </c>
      <c r="F1005" s="352" t="s">
        <v>1994</v>
      </c>
      <c r="G1005" s="352" t="s">
        <v>2093</v>
      </c>
      <c r="H1005" s="352" t="s">
        <v>1435</v>
      </c>
      <c r="I1005" s="352" t="s">
        <v>984</v>
      </c>
      <c r="J1005" s="352" t="s">
        <v>985</v>
      </c>
      <c r="K1005" s="352">
        <v>2111</v>
      </c>
      <c r="L1005" s="352" t="s">
        <v>1873</v>
      </c>
      <c r="M1005" s="352" t="s">
        <v>2172</v>
      </c>
      <c r="N1005" s="352" t="s">
        <v>2076</v>
      </c>
      <c r="O1005" s="352">
        <v>11</v>
      </c>
      <c r="P1005" s="352" t="s">
        <v>2084</v>
      </c>
      <c r="Q1005" s="352" t="s">
        <v>2064</v>
      </c>
      <c r="R1005" s="251">
        <v>0</v>
      </c>
      <c r="S1005" s="251" t="s">
        <v>2015</v>
      </c>
      <c r="T1005" s="251" t="s">
        <v>2054</v>
      </c>
      <c r="U1005" s="251" t="s">
        <v>1929</v>
      </c>
      <c r="V1005" s="251" t="s">
        <v>1930</v>
      </c>
      <c r="X1005" s="251">
        <v>0</v>
      </c>
    </row>
    <row r="1006" spans="2:24" x14ac:dyDescent="0.2">
      <c r="B1006" s="352" t="s">
        <v>873</v>
      </c>
      <c r="C1006" s="352" t="s">
        <v>719</v>
      </c>
      <c r="F1006" s="352" t="s">
        <v>1994</v>
      </c>
      <c r="G1006" s="352" t="s">
        <v>2093</v>
      </c>
      <c r="H1006" s="352" t="s">
        <v>1435</v>
      </c>
      <c r="I1006" s="352" t="s">
        <v>984</v>
      </c>
      <c r="J1006" s="352" t="s">
        <v>985</v>
      </c>
      <c r="K1006" s="352">
        <v>2121</v>
      </c>
      <c r="L1006" s="352" t="s">
        <v>1876</v>
      </c>
      <c r="M1006" s="352" t="s">
        <v>2173</v>
      </c>
      <c r="N1006" s="352" t="s">
        <v>2076</v>
      </c>
      <c r="O1006" s="352">
        <v>11</v>
      </c>
      <c r="P1006" s="352" t="s">
        <v>2084</v>
      </c>
      <c r="Q1006" s="352" t="s">
        <v>2064</v>
      </c>
      <c r="R1006" s="251">
        <v>0</v>
      </c>
      <c r="S1006" s="251" t="s">
        <v>2015</v>
      </c>
      <c r="T1006" s="251" t="s">
        <v>2054</v>
      </c>
      <c r="U1006" s="251" t="s">
        <v>1929</v>
      </c>
      <c r="V1006" s="251" t="s">
        <v>1930</v>
      </c>
      <c r="X1006" s="251">
        <v>0</v>
      </c>
    </row>
    <row r="1007" spans="2:24" x14ac:dyDescent="0.2">
      <c r="B1007" s="352" t="s">
        <v>873</v>
      </c>
      <c r="C1007" s="352" t="s">
        <v>719</v>
      </c>
      <c r="F1007" s="352" t="s">
        <v>1994</v>
      </c>
      <c r="G1007" s="352" t="s">
        <v>2093</v>
      </c>
      <c r="H1007" s="352" t="s">
        <v>1435</v>
      </c>
      <c r="I1007" s="352" t="s">
        <v>984</v>
      </c>
      <c r="J1007" s="352" t="s">
        <v>985</v>
      </c>
      <c r="K1007" s="352">
        <v>2131</v>
      </c>
      <c r="L1007" s="352" t="s">
        <v>1879</v>
      </c>
      <c r="M1007" s="352" t="s">
        <v>2174</v>
      </c>
      <c r="N1007" s="352" t="s">
        <v>2076</v>
      </c>
      <c r="O1007" s="352">
        <v>11</v>
      </c>
      <c r="P1007" s="352" t="s">
        <v>2084</v>
      </c>
      <c r="Q1007" s="352" t="s">
        <v>2064</v>
      </c>
      <c r="R1007" s="251">
        <v>0</v>
      </c>
      <c r="S1007" s="251" t="s">
        <v>2015</v>
      </c>
      <c r="T1007" s="251" t="s">
        <v>2054</v>
      </c>
      <c r="U1007" s="251" t="s">
        <v>1929</v>
      </c>
      <c r="V1007" s="251" t="s">
        <v>1930</v>
      </c>
      <c r="X1007" s="251">
        <v>0</v>
      </c>
    </row>
    <row r="1008" spans="2:24" x14ac:dyDescent="0.2">
      <c r="B1008" s="352" t="s">
        <v>873</v>
      </c>
      <c r="C1008" s="352" t="s">
        <v>719</v>
      </c>
      <c r="F1008" s="352" t="s">
        <v>1994</v>
      </c>
      <c r="G1008" s="352" t="s">
        <v>2093</v>
      </c>
      <c r="H1008" s="352" t="s">
        <v>1435</v>
      </c>
      <c r="I1008" s="352" t="s">
        <v>984</v>
      </c>
      <c r="J1008" s="352" t="s">
        <v>985</v>
      </c>
      <c r="K1008" s="352">
        <v>2211</v>
      </c>
      <c r="L1008" s="352" t="s">
        <v>1883</v>
      </c>
      <c r="M1008" s="352" t="s">
        <v>2175</v>
      </c>
      <c r="N1008" s="352" t="s">
        <v>2076</v>
      </c>
      <c r="O1008" s="352">
        <v>11</v>
      </c>
      <c r="P1008" s="352" t="s">
        <v>2084</v>
      </c>
      <c r="Q1008" s="352" t="s">
        <v>2064</v>
      </c>
      <c r="R1008" s="251">
        <v>0</v>
      </c>
      <c r="S1008" s="251" t="s">
        <v>2015</v>
      </c>
      <c r="T1008" s="251" t="s">
        <v>2054</v>
      </c>
      <c r="U1008" s="251" t="s">
        <v>1929</v>
      </c>
      <c r="V1008" s="251" t="s">
        <v>1930</v>
      </c>
      <c r="X1008" s="251">
        <v>0</v>
      </c>
    </row>
    <row r="1009" spans="2:24" x14ac:dyDescent="0.2">
      <c r="B1009" s="352" t="s">
        <v>873</v>
      </c>
      <c r="C1009" s="352" t="s">
        <v>719</v>
      </c>
      <c r="F1009" s="352" t="s">
        <v>1994</v>
      </c>
      <c r="G1009" s="352" t="s">
        <v>2093</v>
      </c>
      <c r="H1009" s="352" t="s">
        <v>1439</v>
      </c>
      <c r="I1009" s="352" t="s">
        <v>986</v>
      </c>
      <c r="J1009" s="352" t="s">
        <v>987</v>
      </c>
      <c r="K1009" s="352">
        <v>2112</v>
      </c>
      <c r="L1009" s="352" t="s">
        <v>1874</v>
      </c>
      <c r="M1009" s="352" t="s">
        <v>2176</v>
      </c>
      <c r="N1009" s="352" t="s">
        <v>2076</v>
      </c>
      <c r="O1009" s="352">
        <v>8</v>
      </c>
      <c r="P1009" s="352" t="s">
        <v>2085</v>
      </c>
      <c r="Q1009" s="352" t="s">
        <v>2068</v>
      </c>
      <c r="R1009" s="251">
        <v>0</v>
      </c>
      <c r="S1009" s="251" t="s">
        <v>2015</v>
      </c>
      <c r="T1009" s="251" t="s">
        <v>2054</v>
      </c>
      <c r="U1009" s="251" t="s">
        <v>1931</v>
      </c>
      <c r="V1009" s="251" t="s">
        <v>1932</v>
      </c>
      <c r="X1009" s="251">
        <v>0</v>
      </c>
    </row>
    <row r="1010" spans="2:24" x14ac:dyDescent="0.2">
      <c r="B1010" s="352" t="s">
        <v>873</v>
      </c>
      <c r="C1010" s="352" t="s">
        <v>719</v>
      </c>
      <c r="F1010" s="352" t="s">
        <v>1994</v>
      </c>
      <c r="G1010" s="352" t="s">
        <v>2093</v>
      </c>
      <c r="H1010" s="352" t="s">
        <v>1439</v>
      </c>
      <c r="I1010" s="352" t="s">
        <v>986</v>
      </c>
      <c r="J1010" s="352" t="s">
        <v>987</v>
      </c>
      <c r="K1010" s="352">
        <v>2122</v>
      </c>
      <c r="L1010" s="352" t="s">
        <v>1877</v>
      </c>
      <c r="M1010" s="352" t="s">
        <v>2177</v>
      </c>
      <c r="N1010" s="352" t="s">
        <v>2076</v>
      </c>
      <c r="O1010" s="352">
        <v>8</v>
      </c>
      <c r="P1010" s="352" t="s">
        <v>2085</v>
      </c>
      <c r="Q1010" s="352" t="s">
        <v>2068</v>
      </c>
      <c r="R1010" s="251">
        <v>570.79643431038596</v>
      </c>
      <c r="S1010" s="251" t="s">
        <v>2015</v>
      </c>
      <c r="T1010" s="251" t="s">
        <v>2016</v>
      </c>
      <c r="U1010" s="251" t="s">
        <v>1931</v>
      </c>
      <c r="V1010" s="251" t="s">
        <v>1932</v>
      </c>
      <c r="X1010" s="251">
        <v>0</v>
      </c>
    </row>
    <row r="1011" spans="2:24" x14ac:dyDescent="0.2">
      <c r="B1011" s="352" t="s">
        <v>873</v>
      </c>
      <c r="C1011" s="352" t="s">
        <v>719</v>
      </c>
      <c r="F1011" s="352" t="s">
        <v>1994</v>
      </c>
      <c r="G1011" s="352" t="s">
        <v>2093</v>
      </c>
      <c r="H1011" s="352" t="s">
        <v>1443</v>
      </c>
      <c r="I1011" s="352" t="s">
        <v>988</v>
      </c>
      <c r="J1011" s="352" t="s">
        <v>989</v>
      </c>
      <c r="K1011" s="352">
        <v>2112</v>
      </c>
      <c r="L1011" s="352" t="s">
        <v>1874</v>
      </c>
      <c r="M1011" s="352" t="s">
        <v>2178</v>
      </c>
      <c r="N1011" s="352" t="s">
        <v>2076</v>
      </c>
      <c r="O1011" s="352">
        <v>8</v>
      </c>
      <c r="P1011" s="352" t="s">
        <v>2085</v>
      </c>
      <c r="Q1011" s="352" t="s">
        <v>2068</v>
      </c>
      <c r="R1011" s="251">
        <v>0</v>
      </c>
      <c r="S1011" s="251" t="s">
        <v>2015</v>
      </c>
      <c r="T1011" s="251" t="s">
        <v>2054</v>
      </c>
      <c r="U1011" s="251" t="s">
        <v>1931</v>
      </c>
      <c r="V1011" s="251" t="s">
        <v>1932</v>
      </c>
      <c r="X1011" s="251">
        <v>0</v>
      </c>
    </row>
    <row r="1012" spans="2:24" x14ac:dyDescent="0.2">
      <c r="B1012" s="352" t="s">
        <v>873</v>
      </c>
      <c r="C1012" s="352" t="s">
        <v>719</v>
      </c>
      <c r="F1012" s="352" t="s">
        <v>1994</v>
      </c>
      <c r="G1012" s="352" t="s">
        <v>2093</v>
      </c>
      <c r="H1012" s="352" t="s">
        <v>1443</v>
      </c>
      <c r="I1012" s="352" t="s">
        <v>988</v>
      </c>
      <c r="J1012" s="352" t="s">
        <v>989</v>
      </c>
      <c r="K1012" s="352">
        <v>2122</v>
      </c>
      <c r="L1012" s="352" t="s">
        <v>1877</v>
      </c>
      <c r="M1012" s="352" t="s">
        <v>2179</v>
      </c>
      <c r="N1012" s="352" t="s">
        <v>2076</v>
      </c>
      <c r="O1012" s="352">
        <v>8</v>
      </c>
      <c r="P1012" s="352" t="s">
        <v>2085</v>
      </c>
      <c r="Q1012" s="352" t="s">
        <v>2068</v>
      </c>
      <c r="R1012" s="251">
        <v>784.84509717678077</v>
      </c>
      <c r="S1012" s="251" t="s">
        <v>2015</v>
      </c>
      <c r="T1012" s="251" t="s">
        <v>2016</v>
      </c>
      <c r="U1012" s="251" t="s">
        <v>1931</v>
      </c>
      <c r="V1012" s="251" t="s">
        <v>1932</v>
      </c>
      <c r="X1012" s="251">
        <v>0</v>
      </c>
    </row>
    <row r="1013" spans="2:24" x14ac:dyDescent="0.2">
      <c r="B1013" s="352" t="s">
        <v>873</v>
      </c>
      <c r="C1013" s="352" t="s">
        <v>719</v>
      </c>
      <c r="F1013" s="352" t="s">
        <v>1994</v>
      </c>
      <c r="G1013" s="352" t="s">
        <v>2093</v>
      </c>
      <c r="H1013" s="352" t="s">
        <v>1447</v>
      </c>
      <c r="I1013" s="352" t="s">
        <v>990</v>
      </c>
      <c r="J1013" s="352" t="s">
        <v>991</v>
      </c>
      <c r="K1013" s="352">
        <v>2132</v>
      </c>
      <c r="L1013" s="352" t="s">
        <v>1880</v>
      </c>
      <c r="M1013" s="352" t="s">
        <v>2180</v>
      </c>
      <c r="N1013" s="352" t="s">
        <v>2076</v>
      </c>
      <c r="O1013" s="352">
        <v>1</v>
      </c>
      <c r="P1013" s="352" t="s">
        <v>2086</v>
      </c>
      <c r="Q1013" s="352" t="s">
        <v>2066</v>
      </c>
      <c r="R1013" s="251">
        <v>0</v>
      </c>
      <c r="S1013" s="251" t="s">
        <v>2015</v>
      </c>
      <c r="T1013" s="251" t="s">
        <v>2054</v>
      </c>
      <c r="U1013" s="251" t="s">
        <v>1931</v>
      </c>
      <c r="V1013" s="251" t="s">
        <v>1932</v>
      </c>
      <c r="X1013" s="251">
        <v>0</v>
      </c>
    </row>
    <row r="1014" spans="2:24" x14ac:dyDescent="0.2">
      <c r="B1014" s="352" t="s">
        <v>873</v>
      </c>
      <c r="C1014" s="352" t="s">
        <v>719</v>
      </c>
      <c r="F1014" s="352" t="s">
        <v>1994</v>
      </c>
      <c r="G1014" s="352" t="s">
        <v>2093</v>
      </c>
      <c r="H1014" s="352" t="s">
        <v>1451</v>
      </c>
      <c r="I1014" s="352" t="s">
        <v>994</v>
      </c>
      <c r="J1014" s="352" t="s">
        <v>995</v>
      </c>
      <c r="K1014" s="352">
        <v>2311</v>
      </c>
      <c r="L1014" s="352" t="s">
        <v>1887</v>
      </c>
      <c r="M1014" s="352" t="s">
        <v>2181</v>
      </c>
      <c r="N1014" s="352" t="s">
        <v>2076</v>
      </c>
      <c r="O1014" s="352">
        <v>8</v>
      </c>
      <c r="P1014" s="352" t="s">
        <v>2085</v>
      </c>
      <c r="Q1014" s="352" t="s">
        <v>2068</v>
      </c>
      <c r="R1014" s="251">
        <v>0</v>
      </c>
      <c r="S1014" s="251" t="s">
        <v>2015</v>
      </c>
      <c r="T1014" s="251" t="s">
        <v>2054</v>
      </c>
      <c r="U1014" s="251" t="s">
        <v>1943</v>
      </c>
      <c r="V1014" s="251" t="s">
        <v>1944</v>
      </c>
      <c r="X1014" s="251">
        <v>0</v>
      </c>
    </row>
    <row r="1015" spans="2:24" x14ac:dyDescent="0.2">
      <c r="B1015" s="352" t="s">
        <v>873</v>
      </c>
      <c r="C1015" s="352" t="s">
        <v>719</v>
      </c>
      <c r="F1015" s="352" t="s">
        <v>1994</v>
      </c>
      <c r="G1015" s="352" t="s">
        <v>2093</v>
      </c>
      <c r="H1015" s="352" t="s">
        <v>1455</v>
      </c>
      <c r="I1015" s="352" t="s">
        <v>996</v>
      </c>
      <c r="J1015" s="352" t="s">
        <v>997</v>
      </c>
      <c r="K1015" s="352">
        <v>2311</v>
      </c>
      <c r="L1015" s="352" t="s">
        <v>1887</v>
      </c>
      <c r="M1015" s="352" t="s">
        <v>2182</v>
      </c>
      <c r="N1015" s="352" t="s">
        <v>2076</v>
      </c>
      <c r="O1015" s="352">
        <v>8</v>
      </c>
      <c r="P1015" s="352" t="s">
        <v>2085</v>
      </c>
      <c r="Q1015" s="352" t="s">
        <v>2068</v>
      </c>
      <c r="R1015" s="251">
        <v>0</v>
      </c>
      <c r="S1015" s="251" t="s">
        <v>2015</v>
      </c>
      <c r="T1015" s="251" t="s">
        <v>2054</v>
      </c>
      <c r="U1015" s="251" t="s">
        <v>1943</v>
      </c>
      <c r="V1015" s="251" t="s">
        <v>1944</v>
      </c>
      <c r="X1015" s="251">
        <v>0</v>
      </c>
    </row>
    <row r="1016" spans="2:24" x14ac:dyDescent="0.2">
      <c r="B1016" s="352" t="s">
        <v>873</v>
      </c>
      <c r="C1016" s="352" t="s">
        <v>719</v>
      </c>
      <c r="F1016" s="352" t="s">
        <v>1994</v>
      </c>
      <c r="G1016" s="352" t="s">
        <v>2093</v>
      </c>
      <c r="H1016" s="352" t="s">
        <v>1459</v>
      </c>
      <c r="I1016" s="352" t="s">
        <v>998</v>
      </c>
      <c r="J1016" s="352" t="s">
        <v>999</v>
      </c>
      <c r="K1016" s="352">
        <v>2311</v>
      </c>
      <c r="L1016" s="352" t="s">
        <v>1887</v>
      </c>
      <c r="M1016" s="352" t="s">
        <v>2183</v>
      </c>
      <c r="N1016" s="352" t="s">
        <v>2076</v>
      </c>
      <c r="O1016" s="352">
        <v>8</v>
      </c>
      <c r="P1016" s="352" t="s">
        <v>2085</v>
      </c>
      <c r="Q1016" s="352" t="s">
        <v>2068</v>
      </c>
      <c r="R1016" s="251">
        <v>0</v>
      </c>
      <c r="S1016" s="251" t="s">
        <v>2015</v>
      </c>
      <c r="T1016" s="251" t="s">
        <v>2054</v>
      </c>
      <c r="U1016" s="251" t="s">
        <v>1943</v>
      </c>
      <c r="V1016" s="251" t="s">
        <v>1944</v>
      </c>
      <c r="X1016" s="251">
        <v>0</v>
      </c>
    </row>
    <row r="1017" spans="2:24" x14ac:dyDescent="0.2">
      <c r="B1017" s="352" t="s">
        <v>873</v>
      </c>
      <c r="C1017" s="352" t="s">
        <v>719</v>
      </c>
      <c r="F1017" s="352" t="s">
        <v>1994</v>
      </c>
      <c r="G1017" s="352" t="s">
        <v>2093</v>
      </c>
      <c r="H1017" s="352" t="s">
        <v>1459</v>
      </c>
      <c r="I1017" s="352" t="s">
        <v>998</v>
      </c>
      <c r="J1017" s="352" t="s">
        <v>999</v>
      </c>
      <c r="K1017" s="352">
        <v>2312</v>
      </c>
      <c r="L1017" s="352" t="s">
        <v>789</v>
      </c>
      <c r="M1017" s="352" t="s">
        <v>2184</v>
      </c>
      <c r="N1017" s="352" t="s">
        <v>2076</v>
      </c>
      <c r="O1017" s="352">
        <v>8</v>
      </c>
      <c r="P1017" s="352" t="s">
        <v>2085</v>
      </c>
      <c r="Q1017" s="352" t="s">
        <v>2068</v>
      </c>
      <c r="R1017" s="251">
        <v>0</v>
      </c>
      <c r="S1017" s="251" t="s">
        <v>2015</v>
      </c>
      <c r="T1017" s="251" t="s">
        <v>2054</v>
      </c>
      <c r="U1017" s="251" t="s">
        <v>1943</v>
      </c>
      <c r="V1017" s="251" t="s">
        <v>1944</v>
      </c>
      <c r="X1017" s="251">
        <v>0</v>
      </c>
    </row>
    <row r="1018" spans="2:24" x14ac:dyDescent="0.2">
      <c r="B1018" s="352" t="s">
        <v>873</v>
      </c>
      <c r="C1018" s="352" t="s">
        <v>719</v>
      </c>
      <c r="F1018" s="352" t="s">
        <v>1994</v>
      </c>
      <c r="G1018" s="352" t="s">
        <v>2093</v>
      </c>
      <c r="H1018" s="352" t="s">
        <v>1463</v>
      </c>
      <c r="I1018" s="352" t="s">
        <v>1000</v>
      </c>
      <c r="J1018" s="352" t="s">
        <v>1001</v>
      </c>
      <c r="K1018" s="352">
        <v>2141</v>
      </c>
      <c r="L1018" s="352" t="s">
        <v>1882</v>
      </c>
      <c r="M1018" s="352" t="s">
        <v>2185</v>
      </c>
      <c r="N1018" s="352" t="s">
        <v>2076</v>
      </c>
      <c r="O1018" s="352">
        <v>12</v>
      </c>
      <c r="P1018" s="352" t="s">
        <v>2087</v>
      </c>
      <c r="Q1018" s="352" t="s">
        <v>2070</v>
      </c>
      <c r="R1018" s="251">
        <v>977.18040068283869</v>
      </c>
      <c r="S1018" s="251" t="s">
        <v>2015</v>
      </c>
      <c r="T1018" s="251" t="s">
        <v>2016</v>
      </c>
      <c r="U1018" s="251" t="s">
        <v>1935</v>
      </c>
      <c r="V1018" s="251" t="s">
        <v>1936</v>
      </c>
      <c r="X1018" s="251">
        <v>0</v>
      </c>
    </row>
    <row r="1019" spans="2:24" x14ac:dyDescent="0.2">
      <c r="B1019" s="352" t="s">
        <v>873</v>
      </c>
      <c r="C1019" s="352" t="s">
        <v>719</v>
      </c>
      <c r="F1019" s="352" t="s">
        <v>1994</v>
      </c>
      <c r="G1019" s="352" t="s">
        <v>2093</v>
      </c>
      <c r="H1019" s="352" t="s">
        <v>1463</v>
      </c>
      <c r="I1019" s="352" t="s">
        <v>1000</v>
      </c>
      <c r="J1019" s="352" t="s">
        <v>1001</v>
      </c>
      <c r="K1019" s="352">
        <v>2142</v>
      </c>
      <c r="L1019" s="352" t="s">
        <v>780</v>
      </c>
      <c r="M1019" s="352" t="s">
        <v>2186</v>
      </c>
      <c r="N1019" s="352" t="s">
        <v>2076</v>
      </c>
      <c r="O1019" s="352">
        <v>12</v>
      </c>
      <c r="P1019" s="352" t="s">
        <v>2087</v>
      </c>
      <c r="Q1019" s="352" t="s">
        <v>2070</v>
      </c>
      <c r="R1019" s="251">
        <v>2323.760475723152</v>
      </c>
      <c r="S1019" s="251" t="s">
        <v>2015</v>
      </c>
      <c r="T1019" s="251" t="s">
        <v>2016</v>
      </c>
      <c r="U1019" s="251">
        <v>0</v>
      </c>
      <c r="V1019" s="251" t="s">
        <v>2153</v>
      </c>
      <c r="X1019" s="251">
        <v>0</v>
      </c>
    </row>
    <row r="1020" spans="2:24" x14ac:dyDescent="0.2">
      <c r="B1020" s="352" t="s">
        <v>873</v>
      </c>
      <c r="C1020" s="352" t="s">
        <v>719</v>
      </c>
      <c r="F1020" s="352" t="s">
        <v>1994</v>
      </c>
      <c r="G1020" s="352" t="s">
        <v>2093</v>
      </c>
      <c r="H1020" s="352" t="s">
        <v>1467</v>
      </c>
      <c r="I1020" s="352" t="s">
        <v>1002</v>
      </c>
      <c r="J1020" s="352" t="s">
        <v>1003</v>
      </c>
      <c r="K1020" s="352">
        <v>2113</v>
      </c>
      <c r="L1020" s="352" t="s">
        <v>1875</v>
      </c>
      <c r="M1020" s="352" t="s">
        <v>2187</v>
      </c>
      <c r="N1020" s="352" t="s">
        <v>2076</v>
      </c>
      <c r="O1020" s="352">
        <v>1</v>
      </c>
      <c r="P1020" s="352" t="s">
        <v>2086</v>
      </c>
      <c r="Q1020" s="352" t="s">
        <v>2066</v>
      </c>
      <c r="R1020" s="251">
        <v>0</v>
      </c>
      <c r="S1020" s="251" t="s">
        <v>2015</v>
      </c>
      <c r="T1020" s="251" t="s">
        <v>2054</v>
      </c>
      <c r="U1020" s="251" t="s">
        <v>1935</v>
      </c>
      <c r="V1020" s="251" t="s">
        <v>1936</v>
      </c>
      <c r="X1020" s="251">
        <v>0</v>
      </c>
    </row>
    <row r="1021" spans="2:24" x14ac:dyDescent="0.2">
      <c r="B1021" s="352" t="s">
        <v>873</v>
      </c>
      <c r="C1021" s="352" t="s">
        <v>719</v>
      </c>
      <c r="F1021" s="352" t="s">
        <v>1994</v>
      </c>
      <c r="G1021" s="352" t="s">
        <v>2093</v>
      </c>
      <c r="H1021" s="352" t="s">
        <v>1467</v>
      </c>
      <c r="I1021" s="352" t="s">
        <v>1002</v>
      </c>
      <c r="J1021" s="352" t="s">
        <v>1003</v>
      </c>
      <c r="K1021" s="352">
        <v>2123</v>
      </c>
      <c r="L1021" s="352" t="s">
        <v>1878</v>
      </c>
      <c r="M1021" s="352" t="s">
        <v>2188</v>
      </c>
      <c r="N1021" s="352" t="s">
        <v>2076</v>
      </c>
      <c r="O1021" s="352">
        <v>1</v>
      </c>
      <c r="P1021" s="352" t="s">
        <v>2086</v>
      </c>
      <c r="Q1021" s="352" t="s">
        <v>2066</v>
      </c>
      <c r="R1021" s="251">
        <v>0</v>
      </c>
      <c r="S1021" s="251" t="s">
        <v>2015</v>
      </c>
      <c r="T1021" s="251" t="s">
        <v>2054</v>
      </c>
      <c r="U1021" s="251" t="s">
        <v>1935</v>
      </c>
      <c r="V1021" s="251" t="s">
        <v>1936</v>
      </c>
      <c r="X1021" s="251">
        <v>0</v>
      </c>
    </row>
    <row r="1022" spans="2:24" x14ac:dyDescent="0.2">
      <c r="B1022" s="352" t="s">
        <v>873</v>
      </c>
      <c r="C1022" s="352" t="s">
        <v>719</v>
      </c>
      <c r="F1022" s="352" t="s">
        <v>1994</v>
      </c>
      <c r="G1022" s="352" t="s">
        <v>2093</v>
      </c>
      <c r="H1022" s="352" t="s">
        <v>1471</v>
      </c>
      <c r="I1022" s="352" t="s">
        <v>1006</v>
      </c>
      <c r="J1022" s="352" t="s">
        <v>1007</v>
      </c>
      <c r="K1022" s="352">
        <v>2133</v>
      </c>
      <c r="L1022" s="352" t="s">
        <v>1881</v>
      </c>
      <c r="M1022" s="352" t="s">
        <v>2189</v>
      </c>
      <c r="N1022" s="352" t="s">
        <v>2076</v>
      </c>
      <c r="O1022" s="352">
        <v>1</v>
      </c>
      <c r="P1022" s="352" t="s">
        <v>2086</v>
      </c>
      <c r="Q1022" s="352" t="s">
        <v>2066</v>
      </c>
      <c r="R1022" s="251">
        <v>0</v>
      </c>
      <c r="S1022" s="251" t="s">
        <v>2015</v>
      </c>
      <c r="T1022" s="251" t="s">
        <v>2054</v>
      </c>
      <c r="U1022" s="251" t="s">
        <v>1935</v>
      </c>
      <c r="V1022" s="251" t="s">
        <v>1936</v>
      </c>
      <c r="X1022" s="251">
        <v>0</v>
      </c>
    </row>
    <row r="1023" spans="2:24" x14ac:dyDescent="0.2">
      <c r="B1023" s="352" t="s">
        <v>873</v>
      </c>
      <c r="C1023" s="352" t="s">
        <v>719</v>
      </c>
      <c r="F1023" s="352" t="s">
        <v>1994</v>
      </c>
      <c r="G1023" s="352" t="s">
        <v>2093</v>
      </c>
      <c r="H1023" s="352" t="s">
        <v>1471</v>
      </c>
      <c r="I1023" s="352" t="s">
        <v>1006</v>
      </c>
      <c r="J1023" s="352" t="s">
        <v>1007</v>
      </c>
      <c r="K1023" s="352">
        <v>2141</v>
      </c>
      <c r="L1023" s="352" t="s">
        <v>1882</v>
      </c>
      <c r="M1023" s="352" t="s">
        <v>2190</v>
      </c>
      <c r="N1023" s="352" t="s">
        <v>2076</v>
      </c>
      <c r="O1023" s="352">
        <v>1</v>
      </c>
      <c r="P1023" s="352" t="s">
        <v>2086</v>
      </c>
      <c r="Q1023" s="352" t="s">
        <v>2066</v>
      </c>
      <c r="R1023" s="251">
        <v>0</v>
      </c>
      <c r="S1023" s="251" t="s">
        <v>2015</v>
      </c>
      <c r="T1023" s="251" t="s">
        <v>2054</v>
      </c>
      <c r="U1023" s="251" t="s">
        <v>1935</v>
      </c>
      <c r="V1023" s="251" t="s">
        <v>1936</v>
      </c>
      <c r="X1023" s="251">
        <v>0</v>
      </c>
    </row>
    <row r="1024" spans="2:24" x14ac:dyDescent="0.2">
      <c r="B1024" s="352" t="s">
        <v>873</v>
      </c>
      <c r="C1024" s="352" t="s">
        <v>719</v>
      </c>
      <c r="F1024" s="352" t="s">
        <v>1994</v>
      </c>
      <c r="G1024" s="352" t="s">
        <v>2093</v>
      </c>
      <c r="H1024" s="352" t="s">
        <v>1471</v>
      </c>
      <c r="I1024" s="352" t="s">
        <v>1006</v>
      </c>
      <c r="J1024" s="352" t="s">
        <v>1007</v>
      </c>
      <c r="K1024" s="352">
        <v>2221</v>
      </c>
      <c r="L1024" s="352" t="s">
        <v>1884</v>
      </c>
      <c r="M1024" s="352" t="s">
        <v>2191</v>
      </c>
      <c r="N1024" s="352" t="s">
        <v>2076</v>
      </c>
      <c r="O1024" s="352">
        <v>1</v>
      </c>
      <c r="P1024" s="352" t="s">
        <v>2086</v>
      </c>
      <c r="Q1024" s="352" t="s">
        <v>2066</v>
      </c>
      <c r="R1024" s="251">
        <v>0</v>
      </c>
      <c r="S1024" s="251" t="s">
        <v>2015</v>
      </c>
      <c r="T1024" s="251" t="s">
        <v>2054</v>
      </c>
      <c r="U1024" s="251" t="s">
        <v>1935</v>
      </c>
      <c r="V1024" s="251" t="s">
        <v>1936</v>
      </c>
      <c r="X1024" s="251">
        <v>0</v>
      </c>
    </row>
    <row r="1025" spans="2:24" x14ac:dyDescent="0.2">
      <c r="B1025" s="352" t="s">
        <v>873</v>
      </c>
      <c r="C1025" s="352" t="s">
        <v>719</v>
      </c>
      <c r="F1025" s="352" t="s">
        <v>1994</v>
      </c>
      <c r="G1025" s="352" t="s">
        <v>2093</v>
      </c>
      <c r="H1025" s="352" t="s">
        <v>1475</v>
      </c>
      <c r="I1025" s="352" t="s">
        <v>1008</v>
      </c>
      <c r="J1025" s="352" t="s">
        <v>1009</v>
      </c>
      <c r="K1025" s="352">
        <v>2223</v>
      </c>
      <c r="L1025" s="352" t="s">
        <v>1886</v>
      </c>
      <c r="M1025" s="352" t="s">
        <v>2192</v>
      </c>
      <c r="N1025" s="352" t="s">
        <v>2076</v>
      </c>
      <c r="O1025" s="352">
        <v>2</v>
      </c>
      <c r="P1025" s="352" t="s">
        <v>2088</v>
      </c>
      <c r="Q1025" s="352" t="s">
        <v>2072</v>
      </c>
      <c r="R1025" s="251">
        <v>0</v>
      </c>
      <c r="S1025" s="251" t="s">
        <v>2193</v>
      </c>
      <c r="T1025" s="251" t="s">
        <v>2054</v>
      </c>
      <c r="U1025" s="251" t="s">
        <v>1937</v>
      </c>
      <c r="V1025" s="251" t="s">
        <v>1938</v>
      </c>
      <c r="X1025" s="251">
        <v>0</v>
      </c>
    </row>
    <row r="1026" spans="2:24" x14ac:dyDescent="0.2">
      <c r="B1026" s="352" t="s">
        <v>873</v>
      </c>
      <c r="C1026" s="352" t="s">
        <v>719</v>
      </c>
      <c r="F1026" s="352" t="s">
        <v>1994</v>
      </c>
      <c r="G1026" s="352" t="s">
        <v>2093</v>
      </c>
      <c r="H1026" s="352" t="s">
        <v>1479</v>
      </c>
      <c r="I1026" s="352" t="s">
        <v>1010</v>
      </c>
      <c r="J1026" s="352" t="s">
        <v>1011</v>
      </c>
      <c r="K1026" s="352">
        <v>2222</v>
      </c>
      <c r="L1026" s="352" t="s">
        <v>1885</v>
      </c>
      <c r="M1026" s="352" t="s">
        <v>2194</v>
      </c>
      <c r="N1026" s="352" t="s">
        <v>2076</v>
      </c>
      <c r="O1026" s="352">
        <v>2</v>
      </c>
      <c r="P1026" s="352" t="s">
        <v>2088</v>
      </c>
      <c r="Q1026" s="352" t="s">
        <v>2072</v>
      </c>
      <c r="R1026" s="251">
        <v>0</v>
      </c>
      <c r="S1026" s="251" t="s">
        <v>2193</v>
      </c>
      <c r="T1026" s="251" t="s">
        <v>2054</v>
      </c>
      <c r="U1026" s="251" t="s">
        <v>1939</v>
      </c>
      <c r="V1026" s="251" t="s">
        <v>1940</v>
      </c>
      <c r="X1026" s="251">
        <v>0</v>
      </c>
    </row>
    <row r="1027" spans="2:24" x14ac:dyDescent="0.2">
      <c r="B1027" s="352" t="s">
        <v>873</v>
      </c>
      <c r="C1027" s="352" t="s">
        <v>719</v>
      </c>
      <c r="F1027" s="352" t="s">
        <v>1994</v>
      </c>
      <c r="G1027" s="352" t="s">
        <v>2093</v>
      </c>
      <c r="H1027" s="352" t="s">
        <v>1483</v>
      </c>
      <c r="I1027" s="352" t="s">
        <v>1012</v>
      </c>
      <c r="J1027" s="352" t="s">
        <v>1013</v>
      </c>
      <c r="K1027" s="352">
        <v>2222</v>
      </c>
      <c r="L1027" s="352" t="s">
        <v>1885</v>
      </c>
      <c r="M1027" s="352" t="s">
        <v>2195</v>
      </c>
      <c r="N1027" s="352" t="s">
        <v>2076</v>
      </c>
      <c r="O1027" s="352">
        <v>2</v>
      </c>
      <c r="P1027" s="352" t="s">
        <v>2088</v>
      </c>
      <c r="Q1027" s="352" t="s">
        <v>2072</v>
      </c>
      <c r="R1027" s="251">
        <v>0</v>
      </c>
      <c r="S1027" s="251" t="s">
        <v>2193</v>
      </c>
      <c r="T1027" s="251" t="s">
        <v>2054</v>
      </c>
      <c r="U1027" s="251" t="s">
        <v>1939</v>
      </c>
      <c r="V1027" s="251" t="s">
        <v>1940</v>
      </c>
      <c r="X1027" s="251">
        <v>0</v>
      </c>
    </row>
    <row r="1028" spans="2:24" x14ac:dyDescent="0.2">
      <c r="B1028" s="352" t="s">
        <v>873</v>
      </c>
      <c r="C1028" s="352" t="s">
        <v>719</v>
      </c>
      <c r="F1028" s="352" t="s">
        <v>1994</v>
      </c>
      <c r="G1028" s="352" t="s">
        <v>2093</v>
      </c>
      <c r="H1028" s="352" t="s">
        <v>1487</v>
      </c>
      <c r="I1028" s="352" t="s">
        <v>1014</v>
      </c>
      <c r="J1028" s="352" t="s">
        <v>1893</v>
      </c>
      <c r="K1028" s="352">
        <v>2131</v>
      </c>
      <c r="L1028" s="352" t="s">
        <v>1879</v>
      </c>
      <c r="M1028" s="352" t="s">
        <v>2196</v>
      </c>
      <c r="N1028" s="352" t="s">
        <v>2076</v>
      </c>
      <c r="O1028" s="352">
        <v>8</v>
      </c>
      <c r="P1028" s="352" t="s">
        <v>2085</v>
      </c>
      <c r="Q1028" s="352" t="s">
        <v>2068</v>
      </c>
      <c r="R1028" s="251">
        <v>0</v>
      </c>
      <c r="S1028" s="251" t="s">
        <v>2015</v>
      </c>
      <c r="T1028" s="251" t="s">
        <v>2054</v>
      </c>
      <c r="U1028" s="251" t="s">
        <v>1929</v>
      </c>
      <c r="V1028" s="251" t="s">
        <v>1930</v>
      </c>
      <c r="X1028" s="251">
        <v>0</v>
      </c>
    </row>
    <row r="1029" spans="2:24" x14ac:dyDescent="0.2">
      <c r="B1029" s="352" t="s">
        <v>873</v>
      </c>
      <c r="C1029" s="352" t="s">
        <v>719</v>
      </c>
      <c r="F1029" s="352" t="s">
        <v>1994</v>
      </c>
      <c r="G1029" s="352" t="s">
        <v>2093</v>
      </c>
      <c r="H1029" s="352" t="s">
        <v>1487</v>
      </c>
      <c r="I1029" s="352" t="s">
        <v>1014</v>
      </c>
      <c r="J1029" s="352" t="s">
        <v>1893</v>
      </c>
      <c r="K1029" s="352">
        <v>2132</v>
      </c>
      <c r="L1029" s="352" t="s">
        <v>1880</v>
      </c>
      <c r="M1029" s="352" t="s">
        <v>2197</v>
      </c>
      <c r="N1029" s="352" t="s">
        <v>2076</v>
      </c>
      <c r="O1029" s="352">
        <v>8</v>
      </c>
      <c r="P1029" s="352" t="s">
        <v>2085</v>
      </c>
      <c r="Q1029" s="352" t="s">
        <v>2068</v>
      </c>
      <c r="R1029" s="251">
        <v>0</v>
      </c>
      <c r="S1029" s="251" t="s">
        <v>2015</v>
      </c>
      <c r="T1029" s="251" t="s">
        <v>2054</v>
      </c>
      <c r="U1029" s="251" t="s">
        <v>1931</v>
      </c>
      <c r="V1029" s="251" t="s">
        <v>1932</v>
      </c>
      <c r="X1029" s="251">
        <v>0</v>
      </c>
    </row>
    <row r="1030" spans="2:24" x14ac:dyDescent="0.2">
      <c r="B1030" s="352" t="s">
        <v>873</v>
      </c>
      <c r="C1030" s="352" t="s">
        <v>719</v>
      </c>
      <c r="F1030" s="352" t="s">
        <v>1994</v>
      </c>
      <c r="G1030" s="352" t="s">
        <v>2093</v>
      </c>
      <c r="H1030" s="352" t="s">
        <v>1487</v>
      </c>
      <c r="I1030" s="352" t="s">
        <v>1014</v>
      </c>
      <c r="J1030" s="352" t="s">
        <v>1893</v>
      </c>
      <c r="K1030" s="352">
        <v>2133</v>
      </c>
      <c r="L1030" s="352" t="s">
        <v>1881</v>
      </c>
      <c r="M1030" s="352" t="s">
        <v>2198</v>
      </c>
      <c r="N1030" s="352" t="s">
        <v>2076</v>
      </c>
      <c r="O1030" s="352">
        <v>8</v>
      </c>
      <c r="P1030" s="352" t="s">
        <v>2085</v>
      </c>
      <c r="Q1030" s="352" t="s">
        <v>2068</v>
      </c>
      <c r="R1030" s="251">
        <v>0</v>
      </c>
      <c r="S1030" s="251" t="s">
        <v>2015</v>
      </c>
      <c r="T1030" s="251" t="s">
        <v>2054</v>
      </c>
      <c r="U1030" s="251" t="s">
        <v>1935</v>
      </c>
      <c r="V1030" s="251" t="s">
        <v>1936</v>
      </c>
      <c r="X1030" s="251">
        <v>0</v>
      </c>
    </row>
    <row r="1031" spans="2:24" x14ac:dyDescent="0.2">
      <c r="B1031" s="352" t="s">
        <v>873</v>
      </c>
      <c r="C1031" s="352" t="s">
        <v>719</v>
      </c>
      <c r="F1031" s="352" t="s">
        <v>1994</v>
      </c>
      <c r="G1031" s="352" t="s">
        <v>2093</v>
      </c>
      <c r="H1031" s="352" t="s">
        <v>1487</v>
      </c>
      <c r="I1031" s="352" t="s">
        <v>1014</v>
      </c>
      <c r="J1031" s="352" t="s">
        <v>1893</v>
      </c>
      <c r="K1031" s="352">
        <v>2134</v>
      </c>
      <c r="L1031" s="352" t="s">
        <v>775</v>
      </c>
      <c r="M1031" s="352" t="s">
        <v>2199</v>
      </c>
      <c r="N1031" s="352" t="s">
        <v>2076</v>
      </c>
      <c r="O1031" s="352">
        <v>8</v>
      </c>
      <c r="P1031" s="352" t="s">
        <v>2085</v>
      </c>
      <c r="Q1031" s="352" t="s">
        <v>2068</v>
      </c>
      <c r="R1031" s="251">
        <v>0</v>
      </c>
      <c r="S1031" s="251" t="s">
        <v>2015</v>
      </c>
      <c r="T1031" s="251" t="s">
        <v>2054</v>
      </c>
      <c r="U1031" s="251">
        <v>0</v>
      </c>
      <c r="V1031" s="251" t="s">
        <v>2153</v>
      </c>
      <c r="X1031" s="251">
        <v>0</v>
      </c>
    </row>
    <row r="1032" spans="2:24" x14ac:dyDescent="0.2">
      <c r="B1032" s="352" t="s">
        <v>873</v>
      </c>
      <c r="C1032" s="352" t="s">
        <v>719</v>
      </c>
      <c r="F1032" s="352" t="s">
        <v>1994</v>
      </c>
      <c r="G1032" s="352" t="s">
        <v>2093</v>
      </c>
      <c r="H1032" s="352" t="s">
        <v>1487</v>
      </c>
      <c r="I1032" s="352" t="s">
        <v>1014</v>
      </c>
      <c r="J1032" s="352" t="s">
        <v>1893</v>
      </c>
      <c r="K1032" s="352">
        <v>2141</v>
      </c>
      <c r="L1032" s="352" t="s">
        <v>1882</v>
      </c>
      <c r="M1032" s="352" t="s">
        <v>2200</v>
      </c>
      <c r="N1032" s="352" t="s">
        <v>2076</v>
      </c>
      <c r="O1032" s="352">
        <v>8</v>
      </c>
      <c r="P1032" s="352" t="s">
        <v>2085</v>
      </c>
      <c r="Q1032" s="352" t="s">
        <v>2068</v>
      </c>
      <c r="R1032" s="251">
        <v>0</v>
      </c>
      <c r="S1032" s="251" t="s">
        <v>2015</v>
      </c>
      <c r="T1032" s="251" t="s">
        <v>2054</v>
      </c>
      <c r="U1032" s="251" t="s">
        <v>1935</v>
      </c>
      <c r="V1032" s="251" t="s">
        <v>1936</v>
      </c>
      <c r="X1032" s="251">
        <v>0</v>
      </c>
    </row>
    <row r="1033" spans="2:24" x14ac:dyDescent="0.2">
      <c r="B1033" s="352" t="s">
        <v>873</v>
      </c>
      <c r="C1033" s="352" t="s">
        <v>719</v>
      </c>
      <c r="F1033" s="352" t="s">
        <v>1994</v>
      </c>
      <c r="G1033" s="352" t="s">
        <v>2093</v>
      </c>
      <c r="H1033" s="352" t="s">
        <v>1487</v>
      </c>
      <c r="I1033" s="352" t="s">
        <v>1014</v>
      </c>
      <c r="J1033" s="352" t="s">
        <v>1893</v>
      </c>
      <c r="K1033" s="352">
        <v>2211</v>
      </c>
      <c r="L1033" s="352" t="s">
        <v>1883</v>
      </c>
      <c r="M1033" s="352" t="s">
        <v>2201</v>
      </c>
      <c r="N1033" s="352" t="s">
        <v>2076</v>
      </c>
      <c r="O1033" s="352">
        <v>8</v>
      </c>
      <c r="P1033" s="352" t="s">
        <v>2085</v>
      </c>
      <c r="Q1033" s="352" t="s">
        <v>2068</v>
      </c>
      <c r="R1033" s="251">
        <v>0</v>
      </c>
      <c r="S1033" s="251" t="s">
        <v>2015</v>
      </c>
      <c r="T1033" s="251" t="s">
        <v>2054</v>
      </c>
      <c r="U1033" s="251" t="s">
        <v>1929</v>
      </c>
      <c r="V1033" s="251" t="s">
        <v>1930</v>
      </c>
      <c r="X1033" s="251">
        <v>0</v>
      </c>
    </row>
    <row r="1034" spans="2:24" x14ac:dyDescent="0.2">
      <c r="B1034" s="352" t="s">
        <v>873</v>
      </c>
      <c r="C1034" s="352" t="s">
        <v>719</v>
      </c>
      <c r="F1034" s="352" t="s">
        <v>1994</v>
      </c>
      <c r="G1034" s="352" t="s">
        <v>2093</v>
      </c>
      <c r="H1034" s="352" t="s">
        <v>1487</v>
      </c>
      <c r="I1034" s="352" t="s">
        <v>1014</v>
      </c>
      <c r="J1034" s="352" t="s">
        <v>1893</v>
      </c>
      <c r="K1034" s="352">
        <v>2221</v>
      </c>
      <c r="L1034" s="352" t="s">
        <v>1884</v>
      </c>
      <c r="M1034" s="352" t="s">
        <v>2202</v>
      </c>
      <c r="N1034" s="352" t="s">
        <v>2076</v>
      </c>
      <c r="O1034" s="352">
        <v>8</v>
      </c>
      <c r="P1034" s="352" t="s">
        <v>2085</v>
      </c>
      <c r="Q1034" s="352" t="s">
        <v>2068</v>
      </c>
      <c r="R1034" s="251">
        <v>0</v>
      </c>
      <c r="S1034" s="251" t="s">
        <v>2015</v>
      </c>
      <c r="T1034" s="251" t="s">
        <v>2054</v>
      </c>
      <c r="U1034" s="251" t="s">
        <v>1935</v>
      </c>
      <c r="V1034" s="251" t="s">
        <v>1936</v>
      </c>
      <c r="X1034" s="251">
        <v>0</v>
      </c>
    </row>
    <row r="1035" spans="2:24" x14ac:dyDescent="0.2">
      <c r="B1035" s="352" t="s">
        <v>873</v>
      </c>
      <c r="C1035" s="352" t="s">
        <v>719</v>
      </c>
      <c r="F1035" s="352" t="s">
        <v>1994</v>
      </c>
      <c r="G1035" s="352" t="s">
        <v>2093</v>
      </c>
      <c r="H1035" s="352" t="s">
        <v>1491</v>
      </c>
      <c r="I1035" s="352" t="s">
        <v>1015</v>
      </c>
      <c r="J1035" s="352" t="s">
        <v>1016</v>
      </c>
      <c r="K1035" s="352">
        <v>3111</v>
      </c>
      <c r="L1035" s="352" t="s">
        <v>763</v>
      </c>
      <c r="M1035" s="352" t="s">
        <v>2203</v>
      </c>
      <c r="N1035" s="352" t="s">
        <v>2076</v>
      </c>
      <c r="O1035" s="352">
        <v>1</v>
      </c>
      <c r="P1035" s="352" t="s">
        <v>2086</v>
      </c>
      <c r="Q1035" s="352" t="s">
        <v>2066</v>
      </c>
      <c r="R1035" s="251">
        <v>0</v>
      </c>
      <c r="S1035" s="251"/>
      <c r="T1035" s="251" t="s">
        <v>2054</v>
      </c>
      <c r="U1035" s="251" t="s">
        <v>1945</v>
      </c>
      <c r="V1035" s="251" t="s">
        <v>709</v>
      </c>
      <c r="X1035" s="251">
        <v>0</v>
      </c>
    </row>
    <row r="1036" spans="2:24" x14ac:dyDescent="0.2">
      <c r="B1036" s="352" t="s">
        <v>873</v>
      </c>
      <c r="C1036" s="352" t="s">
        <v>719</v>
      </c>
      <c r="F1036" s="352" t="s">
        <v>1994</v>
      </c>
      <c r="G1036" s="352" t="s">
        <v>2093</v>
      </c>
      <c r="H1036" s="352" t="s">
        <v>1491</v>
      </c>
      <c r="I1036" s="352" t="s">
        <v>1015</v>
      </c>
      <c r="J1036" s="352" t="s">
        <v>1016</v>
      </c>
      <c r="K1036" s="352">
        <v>3121</v>
      </c>
      <c r="L1036" s="352" t="s">
        <v>766</v>
      </c>
      <c r="M1036" s="352" t="s">
        <v>2204</v>
      </c>
      <c r="N1036" s="352" t="s">
        <v>2076</v>
      </c>
      <c r="O1036" s="352">
        <v>1</v>
      </c>
      <c r="P1036" s="352" t="s">
        <v>2086</v>
      </c>
      <c r="Q1036" s="352" t="s">
        <v>2066</v>
      </c>
      <c r="R1036" s="251">
        <v>0</v>
      </c>
      <c r="S1036" s="251"/>
      <c r="T1036" s="251" t="s">
        <v>2054</v>
      </c>
      <c r="U1036" s="251" t="s">
        <v>1945</v>
      </c>
      <c r="V1036" s="251" t="s">
        <v>709</v>
      </c>
      <c r="X1036" s="251">
        <v>0</v>
      </c>
    </row>
    <row r="1037" spans="2:24" x14ac:dyDescent="0.2">
      <c r="B1037" s="352" t="s">
        <v>873</v>
      </c>
      <c r="C1037" s="352" t="s">
        <v>719</v>
      </c>
      <c r="F1037" s="352" t="s">
        <v>1994</v>
      </c>
      <c r="G1037" s="352" t="s">
        <v>2093</v>
      </c>
      <c r="H1037" s="352" t="s">
        <v>1495</v>
      </c>
      <c r="I1037" s="352" t="s">
        <v>1017</v>
      </c>
      <c r="J1037" s="352" t="s">
        <v>1018</v>
      </c>
      <c r="K1037" s="352">
        <v>4111</v>
      </c>
      <c r="L1037" s="352" t="s">
        <v>770</v>
      </c>
      <c r="M1037" s="352" t="s">
        <v>2205</v>
      </c>
      <c r="N1037" s="352" t="s">
        <v>2076</v>
      </c>
      <c r="O1037" s="352">
        <v>11</v>
      </c>
      <c r="P1037" s="352" t="s">
        <v>2084</v>
      </c>
      <c r="Q1037" s="352" t="s">
        <v>2064</v>
      </c>
      <c r="R1037" s="251">
        <v>144.4365325093745</v>
      </c>
      <c r="S1037" s="251" t="s">
        <v>2015</v>
      </c>
      <c r="T1037" s="251" t="s">
        <v>2016</v>
      </c>
      <c r="U1037" s="251" t="s">
        <v>1946</v>
      </c>
      <c r="V1037" s="251" t="s">
        <v>1947</v>
      </c>
      <c r="X1037" s="251">
        <v>0</v>
      </c>
    </row>
    <row r="1038" spans="2:24" x14ac:dyDescent="0.2">
      <c r="B1038" s="352" t="s">
        <v>873</v>
      </c>
      <c r="C1038" s="352" t="s">
        <v>719</v>
      </c>
      <c r="F1038" s="352" t="s">
        <v>1994</v>
      </c>
      <c r="G1038" s="352" t="s">
        <v>2093</v>
      </c>
      <c r="H1038" s="352" t="s">
        <v>1495</v>
      </c>
      <c r="I1038" s="352" t="s">
        <v>1017</v>
      </c>
      <c r="J1038" s="352" t="s">
        <v>1018</v>
      </c>
      <c r="K1038" s="352">
        <v>4121</v>
      </c>
      <c r="L1038" s="352" t="s">
        <v>772</v>
      </c>
      <c r="M1038" s="352" t="s">
        <v>2206</v>
      </c>
      <c r="N1038" s="352" t="s">
        <v>2076</v>
      </c>
      <c r="O1038" s="352">
        <v>11</v>
      </c>
      <c r="P1038" s="352" t="s">
        <v>2084</v>
      </c>
      <c r="Q1038" s="352" t="s">
        <v>2064</v>
      </c>
      <c r="R1038" s="251">
        <v>240.58366496261607</v>
      </c>
      <c r="S1038" s="251" t="s">
        <v>2015</v>
      </c>
      <c r="T1038" s="251" t="s">
        <v>2016</v>
      </c>
      <c r="U1038" s="251" t="s">
        <v>1946</v>
      </c>
      <c r="V1038" s="251" t="s">
        <v>1947</v>
      </c>
      <c r="X1038" s="251">
        <v>0</v>
      </c>
    </row>
    <row r="1039" spans="2:24" x14ac:dyDescent="0.2">
      <c r="B1039" s="352" t="s">
        <v>873</v>
      </c>
      <c r="C1039" s="352" t="s">
        <v>719</v>
      </c>
      <c r="F1039" s="352" t="s">
        <v>1994</v>
      </c>
      <c r="G1039" s="352" t="s">
        <v>2093</v>
      </c>
      <c r="H1039" s="352" t="s">
        <v>1499</v>
      </c>
      <c r="I1039" s="352" t="s">
        <v>1019</v>
      </c>
      <c r="J1039" s="352" t="s">
        <v>1020</v>
      </c>
      <c r="K1039" s="352">
        <v>4231</v>
      </c>
      <c r="L1039" s="352" t="s">
        <v>774</v>
      </c>
      <c r="M1039" s="352" t="s">
        <v>2207</v>
      </c>
      <c r="N1039" s="352" t="s">
        <v>2076</v>
      </c>
      <c r="O1039" s="352">
        <v>1</v>
      </c>
      <c r="P1039" s="352" t="s">
        <v>2086</v>
      </c>
      <c r="Q1039" s="352" t="s">
        <v>2066</v>
      </c>
      <c r="R1039" s="251">
        <v>2530.0546215681525</v>
      </c>
      <c r="S1039" s="251" t="s">
        <v>2015</v>
      </c>
      <c r="T1039" s="251" t="s">
        <v>2016</v>
      </c>
      <c r="U1039" s="251" t="s">
        <v>1948</v>
      </c>
      <c r="V1039" s="251" t="s">
        <v>1949</v>
      </c>
      <c r="X1039" s="251">
        <v>0</v>
      </c>
    </row>
    <row r="1040" spans="2:24" x14ac:dyDescent="0.2">
      <c r="B1040" s="352" t="s">
        <v>873</v>
      </c>
      <c r="C1040" s="352" t="s">
        <v>719</v>
      </c>
      <c r="F1040" s="352" t="s">
        <v>1994</v>
      </c>
      <c r="G1040" s="352" t="s">
        <v>2093</v>
      </c>
      <c r="H1040" s="352" t="s">
        <v>1499</v>
      </c>
      <c r="I1040" s="352" t="s">
        <v>1019</v>
      </c>
      <c r="J1040" s="352" t="s">
        <v>1020</v>
      </c>
      <c r="K1040" s="352">
        <v>4241</v>
      </c>
      <c r="L1040" s="352" t="s">
        <v>777</v>
      </c>
      <c r="M1040" s="352" t="s">
        <v>2208</v>
      </c>
      <c r="N1040" s="352" t="s">
        <v>2076</v>
      </c>
      <c r="O1040" s="352">
        <v>1</v>
      </c>
      <c r="P1040" s="352" t="s">
        <v>2086</v>
      </c>
      <c r="Q1040" s="352" t="s">
        <v>2066</v>
      </c>
      <c r="R1040" s="251">
        <v>109.59924534432763</v>
      </c>
      <c r="S1040" s="251" t="s">
        <v>2015</v>
      </c>
      <c r="T1040" s="251" t="s">
        <v>2016</v>
      </c>
      <c r="U1040" s="251" t="s">
        <v>1950</v>
      </c>
      <c r="V1040" s="251" t="s">
        <v>1951</v>
      </c>
      <c r="X1040" s="251">
        <v>0</v>
      </c>
    </row>
    <row r="1041" spans="2:24" x14ac:dyDescent="0.2">
      <c r="B1041" s="352" t="s">
        <v>873</v>
      </c>
      <c r="C1041" s="352" t="s">
        <v>719</v>
      </c>
      <c r="F1041" s="352" t="s">
        <v>1994</v>
      </c>
      <c r="G1041" s="352" t="s">
        <v>2093</v>
      </c>
      <c r="H1041" s="352" t="s">
        <v>1499</v>
      </c>
      <c r="I1041" s="352" t="s">
        <v>1019</v>
      </c>
      <c r="J1041" s="352" t="s">
        <v>1020</v>
      </c>
      <c r="K1041" s="352">
        <v>4311</v>
      </c>
      <c r="L1041" s="352" t="s">
        <v>779</v>
      </c>
      <c r="M1041" s="352" t="s">
        <v>2209</v>
      </c>
      <c r="N1041" s="352" t="s">
        <v>2076</v>
      </c>
      <c r="O1041" s="352">
        <v>1</v>
      </c>
      <c r="P1041" s="352" t="s">
        <v>2086</v>
      </c>
      <c r="Q1041" s="352" t="s">
        <v>2066</v>
      </c>
      <c r="R1041" s="251">
        <v>2.8389304007849336</v>
      </c>
      <c r="S1041" s="251" t="s">
        <v>2015</v>
      </c>
      <c r="T1041" s="251" t="s">
        <v>2016</v>
      </c>
      <c r="U1041" s="251" t="s">
        <v>1952</v>
      </c>
      <c r="V1041" s="251" t="s">
        <v>1953</v>
      </c>
      <c r="X1041" s="251">
        <v>0</v>
      </c>
    </row>
    <row r="1042" spans="2:24" x14ac:dyDescent="0.2">
      <c r="B1042" s="352" t="s">
        <v>873</v>
      </c>
      <c r="C1042" s="352" t="s">
        <v>719</v>
      </c>
      <c r="F1042" s="352" t="s">
        <v>1994</v>
      </c>
      <c r="G1042" s="352" t="s">
        <v>2093</v>
      </c>
      <c r="H1042" s="352" t="s">
        <v>1503</v>
      </c>
      <c r="I1042" s="352" t="s">
        <v>1021</v>
      </c>
      <c r="J1042" s="352" t="s">
        <v>751</v>
      </c>
      <c r="K1042" s="352">
        <v>4231</v>
      </c>
      <c r="L1042" s="352" t="s">
        <v>774</v>
      </c>
      <c r="M1042" s="352" t="s">
        <v>2210</v>
      </c>
      <c r="N1042" s="352" t="s">
        <v>2076</v>
      </c>
      <c r="O1042" s="352">
        <v>20</v>
      </c>
      <c r="P1042" s="352" t="s">
        <v>2089</v>
      </c>
      <c r="Q1042" s="352" t="s">
        <v>2074</v>
      </c>
      <c r="R1042" s="251">
        <v>79.89646173373113</v>
      </c>
      <c r="S1042" s="251" t="s">
        <v>2015</v>
      </c>
      <c r="T1042" s="251" t="s">
        <v>2016</v>
      </c>
      <c r="U1042" s="251" t="s">
        <v>1948</v>
      </c>
      <c r="V1042" s="251" t="s">
        <v>1949</v>
      </c>
      <c r="X1042" s="251">
        <v>0</v>
      </c>
    </row>
    <row r="1043" spans="2:24" x14ac:dyDescent="0.2">
      <c r="B1043" s="352" t="s">
        <v>873</v>
      </c>
      <c r="C1043" s="352" t="s">
        <v>719</v>
      </c>
      <c r="F1043" s="352" t="s">
        <v>1994</v>
      </c>
      <c r="G1043" s="352" t="s">
        <v>2093</v>
      </c>
      <c r="H1043" s="352" t="s">
        <v>1503</v>
      </c>
      <c r="I1043" s="352" t="s">
        <v>1021</v>
      </c>
      <c r="J1043" s="352" t="s">
        <v>751</v>
      </c>
      <c r="K1043" s="352">
        <v>4241</v>
      </c>
      <c r="L1043" s="352" t="s">
        <v>777</v>
      </c>
      <c r="M1043" s="352" t="s">
        <v>2211</v>
      </c>
      <c r="N1043" s="352" t="s">
        <v>2076</v>
      </c>
      <c r="O1043" s="352">
        <v>20</v>
      </c>
      <c r="P1043" s="352" t="s">
        <v>2089</v>
      </c>
      <c r="Q1043" s="352" t="s">
        <v>2074</v>
      </c>
      <c r="R1043" s="251">
        <v>3470.6427692370412</v>
      </c>
      <c r="S1043" s="251" t="s">
        <v>2015</v>
      </c>
      <c r="T1043" s="251" t="s">
        <v>2016</v>
      </c>
      <c r="U1043" s="251" t="s">
        <v>1950</v>
      </c>
      <c r="V1043" s="251" t="s">
        <v>1951</v>
      </c>
      <c r="X1043" s="251">
        <v>0</v>
      </c>
    </row>
    <row r="1044" spans="2:24" x14ac:dyDescent="0.2">
      <c r="B1044" s="352" t="s">
        <v>873</v>
      </c>
      <c r="C1044" s="352" t="s">
        <v>719</v>
      </c>
      <c r="F1044" s="352" t="s">
        <v>1994</v>
      </c>
      <c r="G1044" s="352" t="s">
        <v>2093</v>
      </c>
      <c r="H1044" s="352" t="s">
        <v>1503</v>
      </c>
      <c r="I1044" s="352" t="s">
        <v>1021</v>
      </c>
      <c r="J1044" s="352" t="s">
        <v>751</v>
      </c>
      <c r="K1044" s="352">
        <v>4311</v>
      </c>
      <c r="L1044" s="352" t="s">
        <v>779</v>
      </c>
      <c r="M1044" s="352" t="s">
        <v>2212</v>
      </c>
      <c r="N1044" s="352" t="s">
        <v>2076</v>
      </c>
      <c r="O1044" s="352">
        <v>20</v>
      </c>
      <c r="P1044" s="352" t="s">
        <v>2089</v>
      </c>
      <c r="Q1044" s="352" t="s">
        <v>2074</v>
      </c>
      <c r="R1044" s="251">
        <v>89.899462691522899</v>
      </c>
      <c r="S1044" s="251" t="s">
        <v>2015</v>
      </c>
      <c r="T1044" s="251" t="s">
        <v>2016</v>
      </c>
      <c r="U1044" s="251" t="s">
        <v>1952</v>
      </c>
      <c r="V1044" s="251" t="s">
        <v>1953</v>
      </c>
      <c r="X1044" s="251">
        <v>0</v>
      </c>
    </row>
    <row r="1045" spans="2:24" x14ac:dyDescent="0.2">
      <c r="B1045" s="352" t="s">
        <v>873</v>
      </c>
      <c r="C1045" s="352" t="s">
        <v>727</v>
      </c>
      <c r="F1045" s="352" t="s">
        <v>1995</v>
      </c>
      <c r="G1045" s="352" t="s">
        <v>2095</v>
      </c>
      <c r="H1045" s="352" t="s">
        <v>1505</v>
      </c>
      <c r="I1045" s="352" t="s">
        <v>969</v>
      </c>
      <c r="J1045" s="352" t="s">
        <v>970</v>
      </c>
      <c r="K1045" s="352">
        <v>1111</v>
      </c>
      <c r="L1045" s="352" t="s">
        <v>699</v>
      </c>
      <c r="M1045" s="352" t="s">
        <v>2147</v>
      </c>
      <c r="N1045" s="352" t="s">
        <v>2096</v>
      </c>
      <c r="O1045" s="352">
        <v>14</v>
      </c>
      <c r="P1045" s="352" t="s">
        <v>2097</v>
      </c>
      <c r="Q1045" s="352" t="s">
        <v>2098</v>
      </c>
      <c r="R1045" s="251">
        <v>0</v>
      </c>
      <c r="S1045" s="251" t="s">
        <v>2015</v>
      </c>
      <c r="T1045" s="251" t="s">
        <v>2054</v>
      </c>
      <c r="U1045" s="251" t="s">
        <v>1914</v>
      </c>
      <c r="V1045" s="251" t="s">
        <v>1915</v>
      </c>
      <c r="X1045" s="251">
        <v>0</v>
      </c>
    </row>
    <row r="1046" spans="2:24" x14ac:dyDescent="0.2">
      <c r="B1046" s="352" t="s">
        <v>873</v>
      </c>
      <c r="C1046" s="352" t="s">
        <v>727</v>
      </c>
      <c r="F1046" s="352" t="s">
        <v>1995</v>
      </c>
      <c r="G1046" s="352" t="s">
        <v>2095</v>
      </c>
      <c r="H1046" s="352" t="s">
        <v>1505</v>
      </c>
      <c r="I1046" s="352" t="s">
        <v>969</v>
      </c>
      <c r="J1046" s="352" t="s">
        <v>970</v>
      </c>
      <c r="K1046" s="352">
        <v>1231</v>
      </c>
      <c r="L1046" s="352" t="s">
        <v>726</v>
      </c>
      <c r="M1046" s="352" t="s">
        <v>2148</v>
      </c>
      <c r="N1046" s="352" t="s">
        <v>2096</v>
      </c>
      <c r="O1046" s="352">
        <v>14</v>
      </c>
      <c r="P1046" s="352" t="s">
        <v>2097</v>
      </c>
      <c r="Q1046" s="352" t="s">
        <v>2098</v>
      </c>
      <c r="R1046" s="251">
        <v>0</v>
      </c>
      <c r="S1046" s="251" t="s">
        <v>2015</v>
      </c>
      <c r="T1046" s="251" t="s">
        <v>2054</v>
      </c>
      <c r="U1046" s="251" t="s">
        <v>1920</v>
      </c>
      <c r="V1046" s="251" t="s">
        <v>726</v>
      </c>
      <c r="X1046" s="251">
        <v>0</v>
      </c>
    </row>
    <row r="1047" spans="2:24" x14ac:dyDescent="0.2">
      <c r="B1047" s="352" t="s">
        <v>873</v>
      </c>
      <c r="C1047" s="352" t="s">
        <v>727</v>
      </c>
      <c r="F1047" s="352" t="s">
        <v>1995</v>
      </c>
      <c r="G1047" s="352" t="s">
        <v>2095</v>
      </c>
      <c r="H1047" s="352" t="s">
        <v>1507</v>
      </c>
      <c r="I1047" s="352" t="s">
        <v>971</v>
      </c>
      <c r="J1047" s="352" t="s">
        <v>972</v>
      </c>
      <c r="K1047" s="352">
        <v>1211</v>
      </c>
      <c r="L1047" s="352" t="s">
        <v>705</v>
      </c>
      <c r="M1047" s="352" t="s">
        <v>2149</v>
      </c>
      <c r="N1047" s="352" t="s">
        <v>2096</v>
      </c>
      <c r="O1047" s="352">
        <v>14</v>
      </c>
      <c r="P1047" s="352" t="s">
        <v>2097</v>
      </c>
      <c r="Q1047" s="352" t="s">
        <v>2098</v>
      </c>
      <c r="R1047" s="251">
        <v>0</v>
      </c>
      <c r="S1047" s="251" t="s">
        <v>2015</v>
      </c>
      <c r="T1047" s="251" t="s">
        <v>2054</v>
      </c>
      <c r="U1047" s="251" t="s">
        <v>1916</v>
      </c>
      <c r="V1047" s="251" t="s">
        <v>1917</v>
      </c>
      <c r="X1047" s="251">
        <v>0</v>
      </c>
    </row>
    <row r="1048" spans="2:24" x14ac:dyDescent="0.2">
      <c r="B1048" s="352" t="s">
        <v>873</v>
      </c>
      <c r="C1048" s="352" t="s">
        <v>727</v>
      </c>
      <c r="F1048" s="352" t="s">
        <v>1995</v>
      </c>
      <c r="G1048" s="352" t="s">
        <v>2095</v>
      </c>
      <c r="H1048" s="352" t="s">
        <v>1509</v>
      </c>
      <c r="I1048" s="352" t="s">
        <v>973</v>
      </c>
      <c r="J1048" s="352" t="s">
        <v>974</v>
      </c>
      <c r="K1048" s="352">
        <v>1211</v>
      </c>
      <c r="L1048" s="352" t="s">
        <v>705</v>
      </c>
      <c r="M1048" s="352" t="s">
        <v>2150</v>
      </c>
      <c r="N1048" s="352" t="s">
        <v>2096</v>
      </c>
      <c r="O1048" s="352">
        <v>14</v>
      </c>
      <c r="P1048" s="352" t="s">
        <v>2097</v>
      </c>
      <c r="Q1048" s="352" t="s">
        <v>2098</v>
      </c>
      <c r="R1048" s="251">
        <v>0</v>
      </c>
      <c r="S1048" s="251" t="s">
        <v>2015</v>
      </c>
      <c r="T1048" s="251" t="s">
        <v>2054</v>
      </c>
      <c r="U1048" s="251" t="s">
        <v>1916</v>
      </c>
      <c r="V1048" s="251" t="s">
        <v>1917</v>
      </c>
      <c r="X1048" s="251">
        <v>0</v>
      </c>
    </row>
    <row r="1049" spans="2:24" x14ac:dyDescent="0.2">
      <c r="B1049" s="352" t="s">
        <v>873</v>
      </c>
      <c r="C1049" s="352" t="s">
        <v>727</v>
      </c>
      <c r="F1049" s="352" t="s">
        <v>1995</v>
      </c>
      <c r="G1049" s="352" t="s">
        <v>2095</v>
      </c>
      <c r="H1049" s="352" t="s">
        <v>1509</v>
      </c>
      <c r="I1049" s="352" t="s">
        <v>973</v>
      </c>
      <c r="J1049" s="352" t="s">
        <v>974</v>
      </c>
      <c r="K1049" s="352">
        <v>1221</v>
      </c>
      <c r="L1049" s="352" t="s">
        <v>711</v>
      </c>
      <c r="M1049" s="352" t="s">
        <v>2151</v>
      </c>
      <c r="N1049" s="352" t="s">
        <v>2096</v>
      </c>
      <c r="O1049" s="352">
        <v>14</v>
      </c>
      <c r="P1049" s="352" t="s">
        <v>2097</v>
      </c>
      <c r="Q1049" s="352" t="s">
        <v>2098</v>
      </c>
      <c r="R1049" s="251">
        <v>0</v>
      </c>
      <c r="S1049" s="251" t="s">
        <v>2015</v>
      </c>
      <c r="T1049" s="251" t="s">
        <v>2054</v>
      </c>
      <c r="U1049" s="251" t="s">
        <v>1918</v>
      </c>
      <c r="V1049" s="251" t="s">
        <v>1919</v>
      </c>
      <c r="X1049" s="251">
        <v>0</v>
      </c>
    </row>
    <row r="1050" spans="2:24" x14ac:dyDescent="0.2">
      <c r="B1050" s="352" t="s">
        <v>873</v>
      </c>
      <c r="C1050" s="352" t="s">
        <v>727</v>
      </c>
      <c r="F1050" s="352" t="s">
        <v>1995</v>
      </c>
      <c r="G1050" s="352" t="s">
        <v>2095</v>
      </c>
      <c r="H1050" s="352" t="s">
        <v>1509</v>
      </c>
      <c r="I1050" s="352" t="s">
        <v>973</v>
      </c>
      <c r="J1050" s="352" t="s">
        <v>974</v>
      </c>
      <c r="K1050" s="352">
        <v>1222</v>
      </c>
      <c r="L1050" s="352" t="s">
        <v>718</v>
      </c>
      <c r="M1050" s="352" t="s">
        <v>2152</v>
      </c>
      <c r="N1050" s="352" t="s">
        <v>2096</v>
      </c>
      <c r="O1050" s="352">
        <v>14</v>
      </c>
      <c r="P1050" s="352" t="s">
        <v>2097</v>
      </c>
      <c r="Q1050" s="352" t="s">
        <v>2098</v>
      </c>
      <c r="R1050" s="251">
        <v>0</v>
      </c>
      <c r="S1050" s="251" t="s">
        <v>2015</v>
      </c>
      <c r="T1050" s="251" t="s">
        <v>2054</v>
      </c>
      <c r="U1050" s="251">
        <v>0</v>
      </c>
      <c r="V1050" s="251" t="s">
        <v>2153</v>
      </c>
      <c r="X1050" s="251">
        <v>0</v>
      </c>
    </row>
    <row r="1051" spans="2:24" x14ac:dyDescent="0.2">
      <c r="B1051" s="352" t="s">
        <v>873</v>
      </c>
      <c r="C1051" s="352" t="s">
        <v>727</v>
      </c>
      <c r="F1051" s="352" t="s">
        <v>1995</v>
      </c>
      <c r="G1051" s="352" t="s">
        <v>2095</v>
      </c>
      <c r="H1051" s="352" t="s">
        <v>1511</v>
      </c>
      <c r="I1051" s="352" t="s">
        <v>975</v>
      </c>
      <c r="J1051" s="352" t="s">
        <v>976</v>
      </c>
      <c r="K1051" s="352">
        <v>1221</v>
      </c>
      <c r="L1051" s="352" t="s">
        <v>711</v>
      </c>
      <c r="M1051" s="352" t="s">
        <v>2154</v>
      </c>
      <c r="N1051" s="352" t="s">
        <v>2096</v>
      </c>
      <c r="O1051" s="352">
        <v>18</v>
      </c>
      <c r="P1051" s="352" t="s">
        <v>2099</v>
      </c>
      <c r="Q1051" s="352" t="s">
        <v>2100</v>
      </c>
      <c r="R1051" s="251">
        <v>0</v>
      </c>
      <c r="S1051" s="251" t="s">
        <v>2015</v>
      </c>
      <c r="T1051" s="251" t="s">
        <v>2054</v>
      </c>
      <c r="U1051" s="251" t="s">
        <v>1918</v>
      </c>
      <c r="V1051" s="251" t="s">
        <v>1919</v>
      </c>
      <c r="X1051" s="251">
        <v>0</v>
      </c>
    </row>
    <row r="1052" spans="2:24" x14ac:dyDescent="0.2">
      <c r="B1052" s="352" t="s">
        <v>873</v>
      </c>
      <c r="C1052" s="352" t="s">
        <v>727</v>
      </c>
      <c r="F1052" s="352" t="s">
        <v>1995</v>
      </c>
      <c r="G1052" s="352" t="s">
        <v>2095</v>
      </c>
      <c r="H1052" s="352" t="s">
        <v>1513</v>
      </c>
      <c r="I1052" s="352" t="s">
        <v>977</v>
      </c>
      <c r="J1052" s="352" t="s">
        <v>864</v>
      </c>
      <c r="K1052" s="352">
        <v>1111</v>
      </c>
      <c r="L1052" s="352" t="s">
        <v>699</v>
      </c>
      <c r="M1052" s="352" t="s">
        <v>2155</v>
      </c>
      <c r="N1052" s="352" t="s">
        <v>2096</v>
      </c>
      <c r="O1052" s="352">
        <v>14</v>
      </c>
      <c r="P1052" s="352" t="s">
        <v>2097</v>
      </c>
      <c r="Q1052" s="352" t="s">
        <v>2098</v>
      </c>
      <c r="R1052" s="251">
        <v>178.97823054572095</v>
      </c>
      <c r="S1052" s="251" t="s">
        <v>2015</v>
      </c>
      <c r="T1052" s="251" t="s">
        <v>2016</v>
      </c>
      <c r="U1052" s="251" t="s">
        <v>1914</v>
      </c>
      <c r="V1052" s="251" t="s">
        <v>1915</v>
      </c>
      <c r="X1052" s="251">
        <v>0</v>
      </c>
    </row>
    <row r="1053" spans="2:24" x14ac:dyDescent="0.2">
      <c r="B1053" s="352" t="s">
        <v>873</v>
      </c>
      <c r="C1053" s="352" t="s">
        <v>727</v>
      </c>
      <c r="F1053" s="352" t="s">
        <v>1995</v>
      </c>
      <c r="G1053" s="352" t="s">
        <v>2095</v>
      </c>
      <c r="H1053" s="352" t="s">
        <v>1513</v>
      </c>
      <c r="I1053" s="352" t="s">
        <v>977</v>
      </c>
      <c r="J1053" s="352" t="s">
        <v>864</v>
      </c>
      <c r="K1053" s="352">
        <v>1211</v>
      </c>
      <c r="L1053" s="352" t="s">
        <v>705</v>
      </c>
      <c r="M1053" s="352" t="s">
        <v>2156</v>
      </c>
      <c r="N1053" s="352" t="s">
        <v>2096</v>
      </c>
      <c r="O1053" s="352">
        <v>14</v>
      </c>
      <c r="P1053" s="352" t="s">
        <v>2097</v>
      </c>
      <c r="Q1053" s="352" t="s">
        <v>2098</v>
      </c>
      <c r="R1053" s="251">
        <v>6.4229024268724162</v>
      </c>
      <c r="S1053" s="251" t="s">
        <v>2015</v>
      </c>
      <c r="T1053" s="251" t="s">
        <v>2016</v>
      </c>
      <c r="U1053" s="251" t="s">
        <v>1916</v>
      </c>
      <c r="V1053" s="251" t="s">
        <v>1917</v>
      </c>
      <c r="X1053" s="251">
        <v>0</v>
      </c>
    </row>
    <row r="1054" spans="2:24" x14ac:dyDescent="0.2">
      <c r="B1054" s="352" t="s">
        <v>873</v>
      </c>
      <c r="C1054" s="352" t="s">
        <v>727</v>
      </c>
      <c r="F1054" s="352" t="s">
        <v>1995</v>
      </c>
      <c r="G1054" s="352" t="s">
        <v>2095</v>
      </c>
      <c r="H1054" s="352" t="s">
        <v>1513</v>
      </c>
      <c r="I1054" s="352" t="s">
        <v>977</v>
      </c>
      <c r="J1054" s="352" t="s">
        <v>864</v>
      </c>
      <c r="K1054" s="352">
        <v>1221</v>
      </c>
      <c r="L1054" s="352" t="s">
        <v>711</v>
      </c>
      <c r="M1054" s="352" t="s">
        <v>2157</v>
      </c>
      <c r="N1054" s="352" t="s">
        <v>2096</v>
      </c>
      <c r="O1054" s="352">
        <v>14</v>
      </c>
      <c r="P1054" s="352" t="s">
        <v>2097</v>
      </c>
      <c r="Q1054" s="352" t="s">
        <v>2098</v>
      </c>
      <c r="R1054" s="251">
        <v>90.635769273838221</v>
      </c>
      <c r="S1054" s="251" t="s">
        <v>2015</v>
      </c>
      <c r="T1054" s="251" t="s">
        <v>2016</v>
      </c>
      <c r="U1054" s="251" t="s">
        <v>1918</v>
      </c>
      <c r="V1054" s="251" t="s">
        <v>1919</v>
      </c>
      <c r="X1054" s="251">
        <v>0</v>
      </c>
    </row>
    <row r="1055" spans="2:24" x14ac:dyDescent="0.2">
      <c r="B1055" s="352" t="s">
        <v>873</v>
      </c>
      <c r="C1055" s="352" t="s">
        <v>727</v>
      </c>
      <c r="F1055" s="352" t="s">
        <v>1995</v>
      </c>
      <c r="G1055" s="352" t="s">
        <v>2095</v>
      </c>
      <c r="H1055" s="352" t="s">
        <v>1513</v>
      </c>
      <c r="I1055" s="352" t="s">
        <v>977</v>
      </c>
      <c r="J1055" s="352" t="s">
        <v>864</v>
      </c>
      <c r="K1055" s="352">
        <v>1222</v>
      </c>
      <c r="L1055" s="352" t="s">
        <v>718</v>
      </c>
      <c r="M1055" s="352" t="s">
        <v>2158</v>
      </c>
      <c r="N1055" s="352" t="s">
        <v>2096</v>
      </c>
      <c r="O1055" s="352">
        <v>14</v>
      </c>
      <c r="P1055" s="352" t="s">
        <v>2097</v>
      </c>
      <c r="Q1055" s="352" t="s">
        <v>2098</v>
      </c>
      <c r="R1055" s="251">
        <v>6.8895332556486499</v>
      </c>
      <c r="S1055" s="251" t="s">
        <v>2015</v>
      </c>
      <c r="T1055" s="251" t="s">
        <v>2016</v>
      </c>
      <c r="U1055" s="251">
        <v>0</v>
      </c>
      <c r="V1055" s="251" t="s">
        <v>2153</v>
      </c>
      <c r="X1055" s="251">
        <v>0</v>
      </c>
    </row>
    <row r="1056" spans="2:24" x14ac:dyDescent="0.2">
      <c r="B1056" s="352" t="s">
        <v>873</v>
      </c>
      <c r="C1056" s="352" t="s">
        <v>727</v>
      </c>
      <c r="F1056" s="352" t="s">
        <v>1995</v>
      </c>
      <c r="G1056" s="352" t="s">
        <v>2095</v>
      </c>
      <c r="H1056" s="352" t="s">
        <v>1513</v>
      </c>
      <c r="I1056" s="352" t="s">
        <v>977</v>
      </c>
      <c r="J1056" s="352" t="s">
        <v>864</v>
      </c>
      <c r="K1056" s="352">
        <v>1231</v>
      </c>
      <c r="L1056" s="352" t="s">
        <v>726</v>
      </c>
      <c r="M1056" s="352" t="s">
        <v>2159</v>
      </c>
      <c r="N1056" s="352" t="s">
        <v>2096</v>
      </c>
      <c r="O1056" s="352">
        <v>14</v>
      </c>
      <c r="P1056" s="352" t="s">
        <v>2097</v>
      </c>
      <c r="Q1056" s="352" t="s">
        <v>2098</v>
      </c>
      <c r="R1056" s="251">
        <v>32.940036931561899</v>
      </c>
      <c r="S1056" s="251" t="s">
        <v>2015</v>
      </c>
      <c r="T1056" s="251" t="s">
        <v>2016</v>
      </c>
      <c r="U1056" s="251" t="s">
        <v>1920</v>
      </c>
      <c r="V1056" s="251" t="s">
        <v>726</v>
      </c>
      <c r="X1056" s="251">
        <v>0</v>
      </c>
    </row>
    <row r="1057" spans="2:24" x14ac:dyDescent="0.2">
      <c r="B1057" s="352" t="s">
        <v>873</v>
      </c>
      <c r="C1057" s="352" t="s">
        <v>727</v>
      </c>
      <c r="F1057" s="352" t="s">
        <v>1995</v>
      </c>
      <c r="G1057" s="352" t="s">
        <v>2095</v>
      </c>
      <c r="H1057" s="352" t="s">
        <v>1513</v>
      </c>
      <c r="I1057" s="352" t="s">
        <v>977</v>
      </c>
      <c r="J1057" s="352" t="s">
        <v>864</v>
      </c>
      <c r="K1057" s="352">
        <v>1232</v>
      </c>
      <c r="L1057" s="352" t="s">
        <v>734</v>
      </c>
      <c r="M1057" s="352" t="s">
        <v>2160</v>
      </c>
      <c r="N1057" s="352" t="s">
        <v>2096</v>
      </c>
      <c r="O1057" s="352">
        <v>14</v>
      </c>
      <c r="P1057" s="352" t="s">
        <v>2097</v>
      </c>
      <c r="Q1057" s="352" t="s">
        <v>2098</v>
      </c>
      <c r="R1057" s="251">
        <v>36.644663854462372</v>
      </c>
      <c r="S1057" s="251" t="s">
        <v>2015</v>
      </c>
      <c r="T1057" s="251" t="s">
        <v>2016</v>
      </c>
      <c r="U1057" s="251">
        <v>0</v>
      </c>
      <c r="V1057" s="251" t="s">
        <v>2153</v>
      </c>
      <c r="X1057" s="251">
        <v>0</v>
      </c>
    </row>
    <row r="1058" spans="2:24" x14ac:dyDescent="0.2">
      <c r="B1058" s="352" t="s">
        <v>873</v>
      </c>
      <c r="C1058" s="352" t="s">
        <v>727</v>
      </c>
      <c r="F1058" s="352" t="s">
        <v>1995</v>
      </c>
      <c r="G1058" s="352" t="s">
        <v>2095</v>
      </c>
      <c r="H1058" s="352" t="s">
        <v>1513</v>
      </c>
      <c r="I1058" s="352" t="s">
        <v>977</v>
      </c>
      <c r="J1058" s="352" t="s">
        <v>864</v>
      </c>
      <c r="K1058" s="352">
        <v>1241</v>
      </c>
      <c r="L1058" s="352" t="s">
        <v>1872</v>
      </c>
      <c r="M1058" s="352" t="s">
        <v>2161</v>
      </c>
      <c r="N1058" s="352" t="s">
        <v>2096</v>
      </c>
      <c r="O1058" s="352">
        <v>14</v>
      </c>
      <c r="P1058" s="352" t="s">
        <v>2097</v>
      </c>
      <c r="Q1058" s="352" t="s">
        <v>2098</v>
      </c>
      <c r="R1058" s="251">
        <v>0</v>
      </c>
      <c r="S1058" s="251" t="s">
        <v>2015</v>
      </c>
      <c r="T1058" s="251" t="s">
        <v>2054</v>
      </c>
      <c r="U1058" s="251">
        <v>0</v>
      </c>
      <c r="V1058" s="251" t="s">
        <v>2153</v>
      </c>
      <c r="X1058" s="251">
        <v>0</v>
      </c>
    </row>
    <row r="1059" spans="2:24" x14ac:dyDescent="0.2">
      <c r="B1059" s="352" t="s">
        <v>873</v>
      </c>
      <c r="C1059" s="352" t="s">
        <v>727</v>
      </c>
      <c r="F1059" s="352" t="s">
        <v>1995</v>
      </c>
      <c r="G1059" s="352" t="s">
        <v>2095</v>
      </c>
      <c r="H1059" s="352" t="s">
        <v>1513</v>
      </c>
      <c r="I1059" s="352" t="s">
        <v>977</v>
      </c>
      <c r="J1059" s="352" t="s">
        <v>864</v>
      </c>
      <c r="K1059" s="352">
        <v>1251</v>
      </c>
      <c r="L1059" s="352" t="s">
        <v>733</v>
      </c>
      <c r="M1059" s="352" t="s">
        <v>2162</v>
      </c>
      <c r="N1059" s="352" t="s">
        <v>2096</v>
      </c>
      <c r="O1059" s="352">
        <v>14</v>
      </c>
      <c r="P1059" s="352" t="s">
        <v>2097</v>
      </c>
      <c r="Q1059" s="352" t="s">
        <v>2098</v>
      </c>
      <c r="R1059" s="251">
        <v>47.708598861203519</v>
      </c>
      <c r="S1059" s="251" t="s">
        <v>2015</v>
      </c>
      <c r="T1059" s="251" t="s">
        <v>2016</v>
      </c>
      <c r="U1059" s="251">
        <v>0</v>
      </c>
      <c r="V1059" s="251" t="s">
        <v>2153</v>
      </c>
      <c r="X1059" s="251">
        <v>0</v>
      </c>
    </row>
    <row r="1060" spans="2:24" x14ac:dyDescent="0.2">
      <c r="B1060" s="352" t="s">
        <v>873</v>
      </c>
      <c r="C1060" s="352" t="s">
        <v>727</v>
      </c>
      <c r="F1060" s="352" t="s">
        <v>1995</v>
      </c>
      <c r="G1060" s="352" t="s">
        <v>2095</v>
      </c>
      <c r="H1060" s="352" t="s">
        <v>1515</v>
      </c>
      <c r="I1060" s="352" t="s">
        <v>978</v>
      </c>
      <c r="J1060" s="352" t="s">
        <v>1892</v>
      </c>
      <c r="K1060" s="352">
        <v>1111</v>
      </c>
      <c r="L1060" s="352" t="s">
        <v>699</v>
      </c>
      <c r="M1060" s="352" t="s">
        <v>2163</v>
      </c>
      <c r="N1060" s="352" t="s">
        <v>2096</v>
      </c>
      <c r="O1060" s="352">
        <v>14</v>
      </c>
      <c r="P1060" s="352" t="s">
        <v>2097</v>
      </c>
      <c r="Q1060" s="352" t="s">
        <v>2098</v>
      </c>
      <c r="R1060" s="251">
        <v>0</v>
      </c>
      <c r="S1060" s="251" t="s">
        <v>2015</v>
      </c>
      <c r="T1060" s="251" t="s">
        <v>2054</v>
      </c>
      <c r="U1060" s="251" t="s">
        <v>1914</v>
      </c>
      <c r="V1060" s="251" t="s">
        <v>1915</v>
      </c>
      <c r="X1060" s="251">
        <v>0</v>
      </c>
    </row>
    <row r="1061" spans="2:24" x14ac:dyDescent="0.2">
      <c r="B1061" s="352" t="s">
        <v>873</v>
      </c>
      <c r="C1061" s="352" t="s">
        <v>727</v>
      </c>
      <c r="F1061" s="352" t="s">
        <v>1995</v>
      </c>
      <c r="G1061" s="352" t="s">
        <v>2095</v>
      </c>
      <c r="H1061" s="352" t="s">
        <v>1515</v>
      </c>
      <c r="I1061" s="352" t="s">
        <v>978</v>
      </c>
      <c r="J1061" s="352" t="s">
        <v>1892</v>
      </c>
      <c r="K1061" s="352">
        <v>1231</v>
      </c>
      <c r="L1061" s="352" t="s">
        <v>726</v>
      </c>
      <c r="M1061" s="352" t="s">
        <v>2164</v>
      </c>
      <c r="N1061" s="352" t="s">
        <v>2096</v>
      </c>
      <c r="O1061" s="352">
        <v>14</v>
      </c>
      <c r="P1061" s="352" t="s">
        <v>2097</v>
      </c>
      <c r="Q1061" s="352" t="s">
        <v>2098</v>
      </c>
      <c r="R1061" s="251">
        <v>0</v>
      </c>
      <c r="S1061" s="251" t="s">
        <v>2015</v>
      </c>
      <c r="T1061" s="251" t="s">
        <v>2054</v>
      </c>
      <c r="U1061" s="251" t="s">
        <v>1920</v>
      </c>
      <c r="V1061" s="251" t="s">
        <v>726</v>
      </c>
      <c r="X1061" s="251">
        <v>0</v>
      </c>
    </row>
    <row r="1062" spans="2:24" x14ac:dyDescent="0.2">
      <c r="B1062" s="352" t="s">
        <v>873</v>
      </c>
      <c r="C1062" s="352" t="s">
        <v>727</v>
      </c>
      <c r="F1062" s="352" t="s">
        <v>1995</v>
      </c>
      <c r="G1062" s="352" t="s">
        <v>2095</v>
      </c>
      <c r="H1062" s="352" t="s">
        <v>1517</v>
      </c>
      <c r="I1062" s="352" t="s">
        <v>979</v>
      </c>
      <c r="J1062" s="352" t="s">
        <v>980</v>
      </c>
      <c r="K1062" s="352">
        <v>1241</v>
      </c>
      <c r="L1062" s="352" t="s">
        <v>1872</v>
      </c>
      <c r="M1062" s="352" t="s">
        <v>2165</v>
      </c>
      <c r="N1062" s="352" t="s">
        <v>2096</v>
      </c>
      <c r="O1062" s="352">
        <v>18</v>
      </c>
      <c r="P1062" s="352" t="s">
        <v>2099</v>
      </c>
      <c r="Q1062" s="352" t="s">
        <v>2100</v>
      </c>
      <c r="R1062" s="251">
        <v>1067.2987122937022</v>
      </c>
      <c r="S1062" s="251" t="s">
        <v>2015</v>
      </c>
      <c r="T1062" s="251" t="s">
        <v>2016</v>
      </c>
      <c r="U1062" s="251">
        <v>0</v>
      </c>
      <c r="V1062" s="251" t="s">
        <v>2153</v>
      </c>
      <c r="X1062" s="251">
        <v>0</v>
      </c>
    </row>
    <row r="1063" spans="2:24" x14ac:dyDescent="0.2">
      <c r="B1063" s="352" t="s">
        <v>873</v>
      </c>
      <c r="C1063" s="352" t="s">
        <v>727</v>
      </c>
      <c r="F1063" s="352" t="s">
        <v>1995</v>
      </c>
      <c r="G1063" s="352" t="s">
        <v>2095</v>
      </c>
      <c r="H1063" s="352" t="s">
        <v>1519</v>
      </c>
      <c r="I1063" s="352" t="s">
        <v>981</v>
      </c>
      <c r="J1063" s="352" t="s">
        <v>3674</v>
      </c>
      <c r="K1063" s="352">
        <v>1241</v>
      </c>
      <c r="L1063" s="352" t="s">
        <v>1872</v>
      </c>
      <c r="M1063" s="352" t="s">
        <v>2166</v>
      </c>
      <c r="N1063" s="352" t="s">
        <v>2096</v>
      </c>
      <c r="O1063" s="352">
        <v>13</v>
      </c>
      <c r="P1063" s="352" t="s">
        <v>2101</v>
      </c>
      <c r="Q1063" s="352" t="s">
        <v>2060</v>
      </c>
      <c r="R1063" s="251">
        <v>0</v>
      </c>
      <c r="S1063" s="251" t="s">
        <v>2015</v>
      </c>
      <c r="T1063" s="251" t="s">
        <v>2054</v>
      </c>
      <c r="U1063" s="251">
        <v>0</v>
      </c>
      <c r="V1063" s="251" t="s">
        <v>2153</v>
      </c>
      <c r="X1063" s="251">
        <v>0</v>
      </c>
    </row>
    <row r="1064" spans="2:24" x14ac:dyDescent="0.2">
      <c r="B1064" s="352" t="s">
        <v>873</v>
      </c>
      <c r="C1064" s="352" t="s">
        <v>727</v>
      </c>
      <c r="F1064" s="352" t="s">
        <v>1995</v>
      </c>
      <c r="G1064" s="352" t="s">
        <v>2095</v>
      </c>
      <c r="H1064" s="352" t="s">
        <v>1519</v>
      </c>
      <c r="I1064" s="352" t="s">
        <v>981</v>
      </c>
      <c r="J1064" s="352" t="s">
        <v>3674</v>
      </c>
      <c r="K1064" s="352">
        <v>1251</v>
      </c>
      <c r="L1064" s="352" t="s">
        <v>733</v>
      </c>
      <c r="M1064" s="352" t="s">
        <v>2167</v>
      </c>
      <c r="N1064" s="352" t="s">
        <v>2096</v>
      </c>
      <c r="O1064" s="352">
        <v>13</v>
      </c>
      <c r="P1064" s="352" t="s">
        <v>2101</v>
      </c>
      <c r="Q1064" s="352" t="s">
        <v>2060</v>
      </c>
      <c r="R1064" s="251">
        <v>0</v>
      </c>
      <c r="S1064" s="251" t="s">
        <v>2015</v>
      </c>
      <c r="T1064" s="251" t="s">
        <v>2054</v>
      </c>
      <c r="U1064" s="251">
        <v>0</v>
      </c>
      <c r="V1064" s="251" t="s">
        <v>2153</v>
      </c>
      <c r="X1064" s="251">
        <v>0</v>
      </c>
    </row>
    <row r="1065" spans="2:24" x14ac:dyDescent="0.2">
      <c r="B1065" s="352" t="s">
        <v>873</v>
      </c>
      <c r="C1065" s="352" t="s">
        <v>727</v>
      </c>
      <c r="F1065" s="352" t="s">
        <v>1995</v>
      </c>
      <c r="G1065" s="352" t="s">
        <v>2095</v>
      </c>
      <c r="H1065" s="352" t="s">
        <v>1521</v>
      </c>
      <c r="I1065" s="352" t="s">
        <v>982</v>
      </c>
      <c r="J1065" s="352" t="s">
        <v>983</v>
      </c>
      <c r="K1065" s="352">
        <v>2111</v>
      </c>
      <c r="L1065" s="352" t="s">
        <v>1873</v>
      </c>
      <c r="M1065" s="352" t="s">
        <v>2168</v>
      </c>
      <c r="N1065" s="352" t="s">
        <v>2096</v>
      </c>
      <c r="O1065" s="352">
        <v>15</v>
      </c>
      <c r="P1065" s="352" t="s">
        <v>2102</v>
      </c>
      <c r="Q1065" s="352" t="s">
        <v>2103</v>
      </c>
      <c r="R1065" s="251">
        <v>1054.8433637809107</v>
      </c>
      <c r="S1065" s="251" t="s">
        <v>2015</v>
      </c>
      <c r="T1065" s="251" t="s">
        <v>2016</v>
      </c>
      <c r="U1065" s="251" t="s">
        <v>1929</v>
      </c>
      <c r="V1065" s="251" t="s">
        <v>1930</v>
      </c>
      <c r="X1065" s="251">
        <v>0</v>
      </c>
    </row>
    <row r="1066" spans="2:24" x14ac:dyDescent="0.2">
      <c r="B1066" s="352" t="s">
        <v>873</v>
      </c>
      <c r="C1066" s="352" t="s">
        <v>727</v>
      </c>
      <c r="F1066" s="352" t="s">
        <v>1995</v>
      </c>
      <c r="G1066" s="352" t="s">
        <v>2095</v>
      </c>
      <c r="H1066" s="352" t="s">
        <v>1521</v>
      </c>
      <c r="I1066" s="352" t="s">
        <v>982</v>
      </c>
      <c r="J1066" s="352" t="s">
        <v>983</v>
      </c>
      <c r="K1066" s="352">
        <v>2121</v>
      </c>
      <c r="L1066" s="352" t="s">
        <v>1876</v>
      </c>
      <c r="M1066" s="352" t="s">
        <v>2169</v>
      </c>
      <c r="N1066" s="352" t="s">
        <v>2096</v>
      </c>
      <c r="O1066" s="352">
        <v>15</v>
      </c>
      <c r="P1066" s="352" t="s">
        <v>2102</v>
      </c>
      <c r="Q1066" s="352" t="s">
        <v>2103</v>
      </c>
      <c r="R1066" s="251">
        <v>3125.5372840014988</v>
      </c>
      <c r="S1066" s="251" t="s">
        <v>2015</v>
      </c>
      <c r="T1066" s="251" t="s">
        <v>2016</v>
      </c>
      <c r="U1066" s="251" t="s">
        <v>1929</v>
      </c>
      <c r="V1066" s="251" t="s">
        <v>1930</v>
      </c>
      <c r="X1066" s="251">
        <v>0</v>
      </c>
    </row>
    <row r="1067" spans="2:24" x14ac:dyDescent="0.2">
      <c r="B1067" s="352" t="s">
        <v>873</v>
      </c>
      <c r="C1067" s="352" t="s">
        <v>727</v>
      </c>
      <c r="F1067" s="352" t="s">
        <v>1995</v>
      </c>
      <c r="G1067" s="352" t="s">
        <v>2095</v>
      </c>
      <c r="H1067" s="352" t="s">
        <v>1521</v>
      </c>
      <c r="I1067" s="352" t="s">
        <v>982</v>
      </c>
      <c r="J1067" s="352" t="s">
        <v>983</v>
      </c>
      <c r="K1067" s="352">
        <v>2131</v>
      </c>
      <c r="L1067" s="352" t="s">
        <v>1879</v>
      </c>
      <c r="M1067" s="352" t="s">
        <v>2170</v>
      </c>
      <c r="N1067" s="352" t="s">
        <v>2096</v>
      </c>
      <c r="O1067" s="352">
        <v>15</v>
      </c>
      <c r="P1067" s="352" t="s">
        <v>2102</v>
      </c>
      <c r="Q1067" s="352" t="s">
        <v>2103</v>
      </c>
      <c r="R1067" s="251">
        <v>14.75828811120919</v>
      </c>
      <c r="S1067" s="251" t="s">
        <v>2015</v>
      </c>
      <c r="T1067" s="251" t="s">
        <v>2016</v>
      </c>
      <c r="U1067" s="251" t="s">
        <v>1929</v>
      </c>
      <c r="V1067" s="251" t="s">
        <v>1930</v>
      </c>
      <c r="X1067" s="251">
        <v>0</v>
      </c>
    </row>
    <row r="1068" spans="2:24" x14ac:dyDescent="0.2">
      <c r="B1068" s="352" t="s">
        <v>873</v>
      </c>
      <c r="C1068" s="352" t="s">
        <v>727</v>
      </c>
      <c r="F1068" s="352" t="s">
        <v>1995</v>
      </c>
      <c r="G1068" s="352" t="s">
        <v>2095</v>
      </c>
      <c r="H1068" s="352" t="s">
        <v>1521</v>
      </c>
      <c r="I1068" s="352" t="s">
        <v>982</v>
      </c>
      <c r="J1068" s="352" t="s">
        <v>983</v>
      </c>
      <c r="K1068" s="352">
        <v>2211</v>
      </c>
      <c r="L1068" s="352" t="s">
        <v>1883</v>
      </c>
      <c r="M1068" s="352" t="s">
        <v>2171</v>
      </c>
      <c r="N1068" s="352" t="s">
        <v>2096</v>
      </c>
      <c r="O1068" s="352">
        <v>15</v>
      </c>
      <c r="P1068" s="352" t="s">
        <v>2102</v>
      </c>
      <c r="Q1068" s="352" t="s">
        <v>2103</v>
      </c>
      <c r="R1068" s="251">
        <v>185.43199359635943</v>
      </c>
      <c r="S1068" s="251" t="s">
        <v>2015</v>
      </c>
      <c r="T1068" s="251" t="s">
        <v>2016</v>
      </c>
      <c r="U1068" s="251" t="s">
        <v>1929</v>
      </c>
      <c r="V1068" s="251" t="s">
        <v>1930</v>
      </c>
      <c r="X1068" s="251">
        <v>0</v>
      </c>
    </row>
    <row r="1069" spans="2:24" x14ac:dyDescent="0.2">
      <c r="B1069" s="352" t="s">
        <v>873</v>
      </c>
      <c r="C1069" s="352" t="s">
        <v>727</v>
      </c>
      <c r="F1069" s="352" t="s">
        <v>1995</v>
      </c>
      <c r="G1069" s="352" t="s">
        <v>2095</v>
      </c>
      <c r="H1069" s="352" t="s">
        <v>1523</v>
      </c>
      <c r="I1069" s="352" t="s">
        <v>984</v>
      </c>
      <c r="J1069" s="352" t="s">
        <v>985</v>
      </c>
      <c r="K1069" s="352">
        <v>2111</v>
      </c>
      <c r="L1069" s="352" t="s">
        <v>1873</v>
      </c>
      <c r="M1069" s="352" t="s">
        <v>2172</v>
      </c>
      <c r="N1069" s="352" t="s">
        <v>2096</v>
      </c>
      <c r="O1069" s="352">
        <v>15</v>
      </c>
      <c r="P1069" s="352" t="s">
        <v>2102</v>
      </c>
      <c r="Q1069" s="352" t="s">
        <v>2103</v>
      </c>
      <c r="R1069" s="251">
        <v>23.440963639575795</v>
      </c>
      <c r="S1069" s="251" t="s">
        <v>2015</v>
      </c>
      <c r="T1069" s="251" t="s">
        <v>2016</v>
      </c>
      <c r="U1069" s="251" t="s">
        <v>1929</v>
      </c>
      <c r="V1069" s="251" t="s">
        <v>1930</v>
      </c>
      <c r="X1069" s="251">
        <v>0</v>
      </c>
    </row>
    <row r="1070" spans="2:24" x14ac:dyDescent="0.2">
      <c r="B1070" s="352" t="s">
        <v>873</v>
      </c>
      <c r="C1070" s="352" t="s">
        <v>727</v>
      </c>
      <c r="F1070" s="352" t="s">
        <v>1995</v>
      </c>
      <c r="G1070" s="352" t="s">
        <v>2095</v>
      </c>
      <c r="H1070" s="352" t="s">
        <v>1523</v>
      </c>
      <c r="I1070" s="352" t="s">
        <v>984</v>
      </c>
      <c r="J1070" s="352" t="s">
        <v>985</v>
      </c>
      <c r="K1070" s="352">
        <v>2121</v>
      </c>
      <c r="L1070" s="352" t="s">
        <v>1876</v>
      </c>
      <c r="M1070" s="352" t="s">
        <v>2173</v>
      </c>
      <c r="N1070" s="352" t="s">
        <v>2096</v>
      </c>
      <c r="O1070" s="352">
        <v>15</v>
      </c>
      <c r="P1070" s="352" t="s">
        <v>2102</v>
      </c>
      <c r="Q1070" s="352" t="s">
        <v>2103</v>
      </c>
      <c r="R1070" s="251">
        <v>69.456384088922192</v>
      </c>
      <c r="S1070" s="251" t="s">
        <v>2015</v>
      </c>
      <c r="T1070" s="251" t="s">
        <v>2016</v>
      </c>
      <c r="U1070" s="251" t="s">
        <v>1929</v>
      </c>
      <c r="V1070" s="251" t="s">
        <v>1930</v>
      </c>
      <c r="X1070" s="251">
        <v>0</v>
      </c>
    </row>
    <row r="1071" spans="2:24" x14ac:dyDescent="0.2">
      <c r="B1071" s="352" t="s">
        <v>873</v>
      </c>
      <c r="C1071" s="352" t="s">
        <v>727</v>
      </c>
      <c r="F1071" s="352" t="s">
        <v>1995</v>
      </c>
      <c r="G1071" s="352" t="s">
        <v>2095</v>
      </c>
      <c r="H1071" s="352" t="s">
        <v>1523</v>
      </c>
      <c r="I1071" s="352" t="s">
        <v>984</v>
      </c>
      <c r="J1071" s="352" t="s">
        <v>985</v>
      </c>
      <c r="K1071" s="352">
        <v>2131</v>
      </c>
      <c r="L1071" s="352" t="s">
        <v>1879</v>
      </c>
      <c r="M1071" s="352" t="s">
        <v>2174</v>
      </c>
      <c r="N1071" s="352" t="s">
        <v>2096</v>
      </c>
      <c r="O1071" s="352">
        <v>15</v>
      </c>
      <c r="P1071" s="352" t="s">
        <v>2102</v>
      </c>
      <c r="Q1071" s="352" t="s">
        <v>2103</v>
      </c>
      <c r="R1071" s="251">
        <v>118.06630488967352</v>
      </c>
      <c r="S1071" s="251" t="s">
        <v>2015</v>
      </c>
      <c r="T1071" s="251" t="s">
        <v>2016</v>
      </c>
      <c r="U1071" s="251" t="s">
        <v>1929</v>
      </c>
      <c r="V1071" s="251" t="s">
        <v>1930</v>
      </c>
      <c r="X1071" s="251">
        <v>0</v>
      </c>
    </row>
    <row r="1072" spans="2:24" x14ac:dyDescent="0.2">
      <c r="B1072" s="352" t="s">
        <v>873</v>
      </c>
      <c r="C1072" s="352" t="s">
        <v>727</v>
      </c>
      <c r="F1072" s="352" t="s">
        <v>1995</v>
      </c>
      <c r="G1072" s="352" t="s">
        <v>2095</v>
      </c>
      <c r="H1072" s="352" t="s">
        <v>1523</v>
      </c>
      <c r="I1072" s="352" t="s">
        <v>984</v>
      </c>
      <c r="J1072" s="352" t="s">
        <v>985</v>
      </c>
      <c r="K1072" s="352">
        <v>2211</v>
      </c>
      <c r="L1072" s="352" t="s">
        <v>1883</v>
      </c>
      <c r="M1072" s="352" t="s">
        <v>2175</v>
      </c>
      <c r="N1072" s="352" t="s">
        <v>2096</v>
      </c>
      <c r="O1072" s="352">
        <v>15</v>
      </c>
      <c r="P1072" s="352" t="s">
        <v>2102</v>
      </c>
      <c r="Q1072" s="352" t="s">
        <v>2103</v>
      </c>
      <c r="R1072" s="251">
        <v>1483.4559487708755</v>
      </c>
      <c r="S1072" s="251" t="s">
        <v>2015</v>
      </c>
      <c r="T1072" s="251" t="s">
        <v>2016</v>
      </c>
      <c r="U1072" s="251" t="s">
        <v>1929</v>
      </c>
      <c r="V1072" s="251" t="s">
        <v>1930</v>
      </c>
      <c r="X1072" s="251">
        <v>0</v>
      </c>
    </row>
    <row r="1073" spans="2:24" x14ac:dyDescent="0.2">
      <c r="B1073" s="352" t="s">
        <v>873</v>
      </c>
      <c r="C1073" s="352" t="s">
        <v>727</v>
      </c>
      <c r="F1073" s="352" t="s">
        <v>1995</v>
      </c>
      <c r="G1073" s="352" t="s">
        <v>2095</v>
      </c>
      <c r="H1073" s="352" t="s">
        <v>1525</v>
      </c>
      <c r="I1073" s="352" t="s">
        <v>986</v>
      </c>
      <c r="J1073" s="352" t="s">
        <v>987</v>
      </c>
      <c r="K1073" s="352">
        <v>2112</v>
      </c>
      <c r="L1073" s="352" t="s">
        <v>1874</v>
      </c>
      <c r="M1073" s="352" t="s">
        <v>2176</v>
      </c>
      <c r="N1073" s="352" t="s">
        <v>2096</v>
      </c>
      <c r="O1073" s="352">
        <v>8</v>
      </c>
      <c r="P1073" s="352" t="s">
        <v>2104</v>
      </c>
      <c r="Q1073" s="352" t="s">
        <v>2068</v>
      </c>
      <c r="R1073" s="251">
        <v>6.5255797624242922</v>
      </c>
      <c r="S1073" s="251" t="s">
        <v>2015</v>
      </c>
      <c r="T1073" s="251" t="s">
        <v>2016</v>
      </c>
      <c r="U1073" s="251" t="s">
        <v>1931</v>
      </c>
      <c r="V1073" s="251" t="s">
        <v>1932</v>
      </c>
      <c r="X1073" s="251">
        <v>0</v>
      </c>
    </row>
    <row r="1074" spans="2:24" x14ac:dyDescent="0.2">
      <c r="B1074" s="352" t="s">
        <v>873</v>
      </c>
      <c r="C1074" s="352" t="s">
        <v>727</v>
      </c>
      <c r="F1074" s="352" t="s">
        <v>1995</v>
      </c>
      <c r="G1074" s="352" t="s">
        <v>2095</v>
      </c>
      <c r="H1074" s="352" t="s">
        <v>1525</v>
      </c>
      <c r="I1074" s="352" t="s">
        <v>986</v>
      </c>
      <c r="J1074" s="352" t="s">
        <v>987</v>
      </c>
      <c r="K1074" s="352">
        <v>2122</v>
      </c>
      <c r="L1074" s="352" t="s">
        <v>1877</v>
      </c>
      <c r="M1074" s="352" t="s">
        <v>2177</v>
      </c>
      <c r="N1074" s="352" t="s">
        <v>2096</v>
      </c>
      <c r="O1074" s="352">
        <v>8</v>
      </c>
      <c r="P1074" s="352" t="s">
        <v>2104</v>
      </c>
      <c r="Q1074" s="352" t="s">
        <v>2068</v>
      </c>
      <c r="R1074" s="251">
        <v>1314.0426359992446</v>
      </c>
      <c r="S1074" s="251" t="s">
        <v>2015</v>
      </c>
      <c r="T1074" s="251" t="s">
        <v>2016</v>
      </c>
      <c r="U1074" s="251" t="s">
        <v>1931</v>
      </c>
      <c r="V1074" s="251" t="s">
        <v>1932</v>
      </c>
      <c r="X1074" s="251">
        <v>0</v>
      </c>
    </row>
    <row r="1075" spans="2:24" x14ac:dyDescent="0.2">
      <c r="B1075" s="352" t="s">
        <v>873</v>
      </c>
      <c r="C1075" s="352" t="s">
        <v>727</v>
      </c>
      <c r="F1075" s="352" t="s">
        <v>1995</v>
      </c>
      <c r="G1075" s="352" t="s">
        <v>2095</v>
      </c>
      <c r="H1075" s="352" t="s">
        <v>1527</v>
      </c>
      <c r="I1075" s="352" t="s">
        <v>988</v>
      </c>
      <c r="J1075" s="352" t="s">
        <v>989</v>
      </c>
      <c r="K1075" s="352">
        <v>2112</v>
      </c>
      <c r="L1075" s="352" t="s">
        <v>1874</v>
      </c>
      <c r="M1075" s="352" t="s">
        <v>2178</v>
      </c>
      <c r="N1075" s="352" t="s">
        <v>2096</v>
      </c>
      <c r="O1075" s="352">
        <v>8</v>
      </c>
      <c r="P1075" s="352" t="s">
        <v>2104</v>
      </c>
      <c r="Q1075" s="352" t="s">
        <v>2068</v>
      </c>
      <c r="R1075" s="251">
        <v>8.9726721733334021</v>
      </c>
      <c r="S1075" s="251" t="s">
        <v>2015</v>
      </c>
      <c r="T1075" s="251" t="s">
        <v>2016</v>
      </c>
      <c r="U1075" s="251" t="s">
        <v>1931</v>
      </c>
      <c r="V1075" s="251" t="s">
        <v>1932</v>
      </c>
      <c r="X1075" s="251">
        <v>0</v>
      </c>
    </row>
    <row r="1076" spans="2:24" x14ac:dyDescent="0.2">
      <c r="B1076" s="352" t="s">
        <v>873</v>
      </c>
      <c r="C1076" s="352" t="s">
        <v>727</v>
      </c>
      <c r="F1076" s="352" t="s">
        <v>1995</v>
      </c>
      <c r="G1076" s="352" t="s">
        <v>2095</v>
      </c>
      <c r="H1076" s="352" t="s">
        <v>1527</v>
      </c>
      <c r="I1076" s="352" t="s">
        <v>988</v>
      </c>
      <c r="J1076" s="352" t="s">
        <v>989</v>
      </c>
      <c r="K1076" s="352">
        <v>2122</v>
      </c>
      <c r="L1076" s="352" t="s">
        <v>1877</v>
      </c>
      <c r="M1076" s="352" t="s">
        <v>2179</v>
      </c>
      <c r="N1076" s="352" t="s">
        <v>2096</v>
      </c>
      <c r="O1076" s="352">
        <v>8</v>
      </c>
      <c r="P1076" s="352" t="s">
        <v>2104</v>
      </c>
      <c r="Q1076" s="352" t="s">
        <v>2068</v>
      </c>
      <c r="R1076" s="251">
        <v>1806.8086244989613</v>
      </c>
      <c r="S1076" s="251" t="s">
        <v>2015</v>
      </c>
      <c r="T1076" s="251" t="s">
        <v>2016</v>
      </c>
      <c r="U1076" s="251" t="s">
        <v>1931</v>
      </c>
      <c r="V1076" s="251" t="s">
        <v>1932</v>
      </c>
      <c r="X1076" s="251">
        <v>0</v>
      </c>
    </row>
    <row r="1077" spans="2:24" x14ac:dyDescent="0.2">
      <c r="B1077" s="352" t="s">
        <v>873</v>
      </c>
      <c r="C1077" s="352" t="s">
        <v>727</v>
      </c>
      <c r="F1077" s="352" t="s">
        <v>1995</v>
      </c>
      <c r="G1077" s="352" t="s">
        <v>2095</v>
      </c>
      <c r="H1077" s="352" t="s">
        <v>1529</v>
      </c>
      <c r="I1077" s="352" t="s">
        <v>990</v>
      </c>
      <c r="J1077" s="352" t="s">
        <v>991</v>
      </c>
      <c r="K1077" s="352">
        <v>2132</v>
      </c>
      <c r="L1077" s="352" t="s">
        <v>1880</v>
      </c>
      <c r="M1077" s="352" t="s">
        <v>2180</v>
      </c>
      <c r="N1077" s="352" t="s">
        <v>2096</v>
      </c>
      <c r="O1077" s="352">
        <v>8</v>
      </c>
      <c r="P1077" s="352" t="s">
        <v>2104</v>
      </c>
      <c r="Q1077" s="352" t="s">
        <v>2068</v>
      </c>
      <c r="R1077" s="251">
        <v>1267.790032079098</v>
      </c>
      <c r="S1077" s="251" t="s">
        <v>2015</v>
      </c>
      <c r="T1077" s="251" t="s">
        <v>2016</v>
      </c>
      <c r="U1077" s="251" t="s">
        <v>1931</v>
      </c>
      <c r="V1077" s="251" t="s">
        <v>1932</v>
      </c>
      <c r="X1077" s="251">
        <v>0</v>
      </c>
    </row>
    <row r="1078" spans="2:24" x14ac:dyDescent="0.2">
      <c r="B1078" s="352" t="s">
        <v>873</v>
      </c>
      <c r="C1078" s="352" t="s">
        <v>727</v>
      </c>
      <c r="F1078" s="352" t="s">
        <v>1995</v>
      </c>
      <c r="G1078" s="352" t="s">
        <v>2095</v>
      </c>
      <c r="H1078" s="352" t="s">
        <v>1531</v>
      </c>
      <c r="I1078" s="352" t="s">
        <v>994</v>
      </c>
      <c r="J1078" s="352" t="s">
        <v>995</v>
      </c>
      <c r="K1078" s="352">
        <v>2311</v>
      </c>
      <c r="L1078" s="352" t="s">
        <v>1887</v>
      </c>
      <c r="M1078" s="352" t="s">
        <v>2181</v>
      </c>
      <c r="N1078" s="352" t="s">
        <v>2096</v>
      </c>
      <c r="O1078" s="352">
        <v>8</v>
      </c>
      <c r="P1078" s="352" t="s">
        <v>2104</v>
      </c>
      <c r="Q1078" s="352" t="s">
        <v>2068</v>
      </c>
      <c r="R1078" s="251">
        <v>0</v>
      </c>
      <c r="S1078" s="251" t="s">
        <v>2015</v>
      </c>
      <c r="T1078" s="251" t="s">
        <v>2054</v>
      </c>
      <c r="U1078" s="251" t="s">
        <v>1943</v>
      </c>
      <c r="V1078" s="251" t="s">
        <v>1944</v>
      </c>
      <c r="X1078" s="251">
        <v>0</v>
      </c>
    </row>
    <row r="1079" spans="2:24" x14ac:dyDescent="0.2">
      <c r="B1079" s="352" t="s">
        <v>873</v>
      </c>
      <c r="C1079" s="352" t="s">
        <v>727</v>
      </c>
      <c r="F1079" s="352" t="s">
        <v>1995</v>
      </c>
      <c r="G1079" s="352" t="s">
        <v>2095</v>
      </c>
      <c r="H1079" s="352" t="s">
        <v>1533</v>
      </c>
      <c r="I1079" s="352" t="s">
        <v>996</v>
      </c>
      <c r="J1079" s="352" t="s">
        <v>997</v>
      </c>
      <c r="K1079" s="352">
        <v>2311</v>
      </c>
      <c r="L1079" s="352" t="s">
        <v>1887</v>
      </c>
      <c r="M1079" s="352" t="s">
        <v>2182</v>
      </c>
      <c r="N1079" s="352" t="s">
        <v>2096</v>
      </c>
      <c r="O1079" s="352">
        <v>8</v>
      </c>
      <c r="P1079" s="352" t="s">
        <v>2104</v>
      </c>
      <c r="Q1079" s="352" t="s">
        <v>2068</v>
      </c>
      <c r="R1079" s="251">
        <v>0</v>
      </c>
      <c r="S1079" s="251" t="s">
        <v>2015</v>
      </c>
      <c r="T1079" s="251" t="s">
        <v>2054</v>
      </c>
      <c r="U1079" s="251" t="s">
        <v>1943</v>
      </c>
      <c r="V1079" s="251" t="s">
        <v>1944</v>
      </c>
      <c r="X1079" s="251">
        <v>0</v>
      </c>
    </row>
    <row r="1080" spans="2:24" x14ac:dyDescent="0.2">
      <c r="B1080" s="352" t="s">
        <v>873</v>
      </c>
      <c r="C1080" s="352" t="s">
        <v>727</v>
      </c>
      <c r="F1080" s="352" t="s">
        <v>1995</v>
      </c>
      <c r="G1080" s="352" t="s">
        <v>2095</v>
      </c>
      <c r="H1080" s="352" t="s">
        <v>1535</v>
      </c>
      <c r="I1080" s="352" t="s">
        <v>998</v>
      </c>
      <c r="J1080" s="352" t="s">
        <v>999</v>
      </c>
      <c r="K1080" s="352">
        <v>2311</v>
      </c>
      <c r="L1080" s="352" t="s">
        <v>1887</v>
      </c>
      <c r="M1080" s="352" t="s">
        <v>2183</v>
      </c>
      <c r="N1080" s="352" t="s">
        <v>2096</v>
      </c>
      <c r="O1080" s="352">
        <v>8</v>
      </c>
      <c r="P1080" s="352" t="s">
        <v>2104</v>
      </c>
      <c r="Q1080" s="352" t="s">
        <v>2068</v>
      </c>
      <c r="R1080" s="251">
        <v>0</v>
      </c>
      <c r="S1080" s="251" t="s">
        <v>2015</v>
      </c>
      <c r="T1080" s="251" t="s">
        <v>2054</v>
      </c>
      <c r="U1080" s="251" t="s">
        <v>1943</v>
      </c>
      <c r="V1080" s="251" t="s">
        <v>1944</v>
      </c>
      <c r="X1080" s="251">
        <v>0</v>
      </c>
    </row>
    <row r="1081" spans="2:24" x14ac:dyDescent="0.2">
      <c r="B1081" s="352" t="s">
        <v>873</v>
      </c>
      <c r="C1081" s="352" t="s">
        <v>727</v>
      </c>
      <c r="F1081" s="352" t="s">
        <v>1995</v>
      </c>
      <c r="G1081" s="352" t="s">
        <v>2095</v>
      </c>
      <c r="H1081" s="352" t="s">
        <v>1535</v>
      </c>
      <c r="I1081" s="352" t="s">
        <v>998</v>
      </c>
      <c r="J1081" s="352" t="s">
        <v>999</v>
      </c>
      <c r="K1081" s="352">
        <v>2312</v>
      </c>
      <c r="L1081" s="352" t="s">
        <v>789</v>
      </c>
      <c r="M1081" s="352" t="s">
        <v>2184</v>
      </c>
      <c r="N1081" s="352" t="s">
        <v>2096</v>
      </c>
      <c r="O1081" s="352">
        <v>8</v>
      </c>
      <c r="P1081" s="352" t="s">
        <v>2104</v>
      </c>
      <c r="Q1081" s="352" t="s">
        <v>2068</v>
      </c>
      <c r="R1081" s="251">
        <v>0</v>
      </c>
      <c r="S1081" s="251" t="s">
        <v>2015</v>
      </c>
      <c r="T1081" s="251" t="s">
        <v>2054</v>
      </c>
      <c r="U1081" s="251" t="s">
        <v>1943</v>
      </c>
      <c r="V1081" s="251" t="s">
        <v>1944</v>
      </c>
      <c r="X1081" s="251">
        <v>0</v>
      </c>
    </row>
    <row r="1082" spans="2:24" x14ac:dyDescent="0.2">
      <c r="B1082" s="352" t="s">
        <v>873</v>
      </c>
      <c r="C1082" s="352" t="s">
        <v>727</v>
      </c>
      <c r="F1082" s="352" t="s">
        <v>1995</v>
      </c>
      <c r="G1082" s="352" t="s">
        <v>2095</v>
      </c>
      <c r="H1082" s="352" t="s">
        <v>1537</v>
      </c>
      <c r="I1082" s="352" t="s">
        <v>1000</v>
      </c>
      <c r="J1082" s="352" t="s">
        <v>1001</v>
      </c>
      <c r="K1082" s="352">
        <v>2141</v>
      </c>
      <c r="L1082" s="352" t="s">
        <v>1882</v>
      </c>
      <c r="M1082" s="352" t="s">
        <v>2185</v>
      </c>
      <c r="N1082" s="352" t="s">
        <v>2096</v>
      </c>
      <c r="O1082" s="352">
        <v>12</v>
      </c>
      <c r="P1082" s="352" t="s">
        <v>2105</v>
      </c>
      <c r="Q1082" s="352" t="s">
        <v>2070</v>
      </c>
      <c r="R1082" s="251">
        <v>0</v>
      </c>
      <c r="S1082" s="251" t="s">
        <v>2015</v>
      </c>
      <c r="T1082" s="251" t="s">
        <v>2054</v>
      </c>
      <c r="U1082" s="251" t="s">
        <v>1935</v>
      </c>
      <c r="V1082" s="251" t="s">
        <v>1936</v>
      </c>
      <c r="X1082" s="251">
        <v>0</v>
      </c>
    </row>
    <row r="1083" spans="2:24" x14ac:dyDescent="0.2">
      <c r="B1083" s="352" t="s">
        <v>873</v>
      </c>
      <c r="C1083" s="352" t="s">
        <v>727</v>
      </c>
      <c r="F1083" s="352" t="s">
        <v>1995</v>
      </c>
      <c r="G1083" s="352" t="s">
        <v>2095</v>
      </c>
      <c r="H1083" s="352" t="s">
        <v>1537</v>
      </c>
      <c r="I1083" s="352" t="s">
        <v>1000</v>
      </c>
      <c r="J1083" s="352" t="s">
        <v>1001</v>
      </c>
      <c r="K1083" s="352">
        <v>2142</v>
      </c>
      <c r="L1083" s="352" t="s">
        <v>780</v>
      </c>
      <c r="M1083" s="352" t="s">
        <v>2186</v>
      </c>
      <c r="N1083" s="352" t="s">
        <v>2096</v>
      </c>
      <c r="O1083" s="352">
        <v>12</v>
      </c>
      <c r="P1083" s="352" t="s">
        <v>2105</v>
      </c>
      <c r="Q1083" s="352" t="s">
        <v>2070</v>
      </c>
      <c r="R1083" s="251">
        <v>0</v>
      </c>
      <c r="S1083" s="251" t="s">
        <v>2015</v>
      </c>
      <c r="T1083" s="251" t="s">
        <v>2054</v>
      </c>
      <c r="U1083" s="251">
        <v>0</v>
      </c>
      <c r="V1083" s="251" t="s">
        <v>2153</v>
      </c>
      <c r="X1083" s="251">
        <v>0</v>
      </c>
    </row>
    <row r="1084" spans="2:24" x14ac:dyDescent="0.2">
      <c r="B1084" s="352" t="s">
        <v>873</v>
      </c>
      <c r="C1084" s="352" t="s">
        <v>727</v>
      </c>
      <c r="F1084" s="352" t="s">
        <v>1995</v>
      </c>
      <c r="G1084" s="352" t="s">
        <v>2095</v>
      </c>
      <c r="H1084" s="352" t="s">
        <v>1539</v>
      </c>
      <c r="I1084" s="352" t="s">
        <v>1002</v>
      </c>
      <c r="J1084" s="352" t="s">
        <v>1003</v>
      </c>
      <c r="K1084" s="352">
        <v>2113</v>
      </c>
      <c r="L1084" s="352" t="s">
        <v>1875</v>
      </c>
      <c r="M1084" s="352" t="s">
        <v>2187</v>
      </c>
      <c r="N1084" s="352" t="s">
        <v>2096</v>
      </c>
      <c r="O1084" s="352">
        <v>8</v>
      </c>
      <c r="P1084" s="352" t="s">
        <v>2104</v>
      </c>
      <c r="Q1084" s="352" t="s">
        <v>2068</v>
      </c>
      <c r="R1084" s="251">
        <v>14.149044698249591</v>
      </c>
      <c r="S1084" s="251" t="s">
        <v>2015</v>
      </c>
      <c r="T1084" s="251" t="s">
        <v>2016</v>
      </c>
      <c r="U1084" s="251" t="s">
        <v>1935</v>
      </c>
      <c r="V1084" s="251" t="s">
        <v>1936</v>
      </c>
      <c r="X1084" s="251">
        <v>0</v>
      </c>
    </row>
    <row r="1085" spans="2:24" x14ac:dyDescent="0.2">
      <c r="B1085" s="352" t="s">
        <v>873</v>
      </c>
      <c r="C1085" s="352" t="s">
        <v>727</v>
      </c>
      <c r="F1085" s="352" t="s">
        <v>1995</v>
      </c>
      <c r="G1085" s="352" t="s">
        <v>2095</v>
      </c>
      <c r="H1085" s="352" t="s">
        <v>1539</v>
      </c>
      <c r="I1085" s="352" t="s">
        <v>1002</v>
      </c>
      <c r="J1085" s="352" t="s">
        <v>1003</v>
      </c>
      <c r="K1085" s="352">
        <v>2123</v>
      </c>
      <c r="L1085" s="352" t="s">
        <v>1878</v>
      </c>
      <c r="M1085" s="352" t="s">
        <v>2188</v>
      </c>
      <c r="N1085" s="352" t="s">
        <v>2096</v>
      </c>
      <c r="O1085" s="352">
        <v>8</v>
      </c>
      <c r="P1085" s="352" t="s">
        <v>2104</v>
      </c>
      <c r="Q1085" s="352" t="s">
        <v>2068</v>
      </c>
      <c r="R1085" s="251">
        <v>157.5039644217965</v>
      </c>
      <c r="S1085" s="251" t="s">
        <v>2015</v>
      </c>
      <c r="T1085" s="251" t="s">
        <v>2016</v>
      </c>
      <c r="U1085" s="251" t="s">
        <v>1935</v>
      </c>
      <c r="V1085" s="251" t="s">
        <v>1936</v>
      </c>
      <c r="X1085" s="251">
        <v>0</v>
      </c>
    </row>
    <row r="1086" spans="2:24" x14ac:dyDescent="0.2">
      <c r="B1086" s="352" t="s">
        <v>873</v>
      </c>
      <c r="C1086" s="352" t="s">
        <v>727</v>
      </c>
      <c r="F1086" s="352" t="s">
        <v>1995</v>
      </c>
      <c r="G1086" s="352" t="s">
        <v>2095</v>
      </c>
      <c r="H1086" s="352" t="s">
        <v>1541</v>
      </c>
      <c r="I1086" s="352" t="s">
        <v>1006</v>
      </c>
      <c r="J1086" s="352" t="s">
        <v>1007</v>
      </c>
      <c r="K1086" s="352">
        <v>2133</v>
      </c>
      <c r="L1086" s="352" t="s">
        <v>1881</v>
      </c>
      <c r="M1086" s="352" t="s">
        <v>2189</v>
      </c>
      <c r="N1086" s="352" t="s">
        <v>2096</v>
      </c>
      <c r="O1086" s="352">
        <v>8</v>
      </c>
      <c r="P1086" s="352" t="s">
        <v>2104</v>
      </c>
      <c r="Q1086" s="352" t="s">
        <v>2068</v>
      </c>
      <c r="R1086" s="251">
        <v>1835.1646991495577</v>
      </c>
      <c r="S1086" s="251" t="s">
        <v>2015</v>
      </c>
      <c r="T1086" s="251" t="s">
        <v>2016</v>
      </c>
      <c r="U1086" s="251" t="s">
        <v>1935</v>
      </c>
      <c r="V1086" s="251" t="s">
        <v>1936</v>
      </c>
      <c r="X1086" s="251">
        <v>0</v>
      </c>
    </row>
    <row r="1087" spans="2:24" x14ac:dyDescent="0.2">
      <c r="B1087" s="352" t="s">
        <v>873</v>
      </c>
      <c r="C1087" s="352" t="s">
        <v>727</v>
      </c>
      <c r="F1087" s="352" t="s">
        <v>1995</v>
      </c>
      <c r="G1087" s="352" t="s">
        <v>2095</v>
      </c>
      <c r="H1087" s="352" t="s">
        <v>1541</v>
      </c>
      <c r="I1087" s="352" t="s">
        <v>1006</v>
      </c>
      <c r="J1087" s="352" t="s">
        <v>1007</v>
      </c>
      <c r="K1087" s="352">
        <v>2141</v>
      </c>
      <c r="L1087" s="352" t="s">
        <v>1882</v>
      </c>
      <c r="M1087" s="352" t="s">
        <v>2190</v>
      </c>
      <c r="N1087" s="352" t="s">
        <v>2096</v>
      </c>
      <c r="O1087" s="352">
        <v>8</v>
      </c>
      <c r="P1087" s="352" t="s">
        <v>2104</v>
      </c>
      <c r="Q1087" s="352" t="s">
        <v>2068</v>
      </c>
      <c r="R1087" s="251">
        <v>0</v>
      </c>
      <c r="S1087" s="251" t="s">
        <v>2015</v>
      </c>
      <c r="T1087" s="251" t="s">
        <v>2054</v>
      </c>
      <c r="U1087" s="251" t="s">
        <v>1935</v>
      </c>
      <c r="V1087" s="251" t="s">
        <v>1936</v>
      </c>
      <c r="X1087" s="251">
        <v>0</v>
      </c>
    </row>
    <row r="1088" spans="2:24" x14ac:dyDescent="0.2">
      <c r="B1088" s="352" t="s">
        <v>873</v>
      </c>
      <c r="C1088" s="352" t="s">
        <v>727</v>
      </c>
      <c r="F1088" s="352" t="s">
        <v>1995</v>
      </c>
      <c r="G1088" s="352" t="s">
        <v>2095</v>
      </c>
      <c r="H1088" s="352" t="s">
        <v>1541</v>
      </c>
      <c r="I1088" s="352" t="s">
        <v>1006</v>
      </c>
      <c r="J1088" s="352" t="s">
        <v>1007</v>
      </c>
      <c r="K1088" s="352">
        <v>2221</v>
      </c>
      <c r="L1088" s="352" t="s">
        <v>1884</v>
      </c>
      <c r="M1088" s="352" t="s">
        <v>2191</v>
      </c>
      <c r="N1088" s="352" t="s">
        <v>2096</v>
      </c>
      <c r="O1088" s="352">
        <v>8</v>
      </c>
      <c r="P1088" s="352" t="s">
        <v>2104</v>
      </c>
      <c r="Q1088" s="352" t="s">
        <v>2068</v>
      </c>
      <c r="R1088" s="251">
        <v>3523.2433417181624</v>
      </c>
      <c r="S1088" s="251" t="s">
        <v>2015</v>
      </c>
      <c r="T1088" s="251" t="s">
        <v>2016</v>
      </c>
      <c r="U1088" s="251" t="s">
        <v>1935</v>
      </c>
      <c r="V1088" s="251" t="s">
        <v>1936</v>
      </c>
      <c r="X1088" s="251">
        <v>0</v>
      </c>
    </row>
    <row r="1089" spans="2:24" x14ac:dyDescent="0.2">
      <c r="B1089" s="352" t="s">
        <v>873</v>
      </c>
      <c r="C1089" s="352" t="s">
        <v>727</v>
      </c>
      <c r="F1089" s="352" t="s">
        <v>1995</v>
      </c>
      <c r="G1089" s="352" t="s">
        <v>2095</v>
      </c>
      <c r="H1089" s="352" t="s">
        <v>1543</v>
      </c>
      <c r="I1089" s="352" t="s">
        <v>1008</v>
      </c>
      <c r="J1089" s="352" t="s">
        <v>1009</v>
      </c>
      <c r="K1089" s="352">
        <v>2223</v>
      </c>
      <c r="L1089" s="352" t="s">
        <v>1886</v>
      </c>
      <c r="M1089" s="352" t="s">
        <v>2192</v>
      </c>
      <c r="N1089" s="352" t="s">
        <v>2096</v>
      </c>
      <c r="O1089" s="352">
        <v>2</v>
      </c>
      <c r="P1089" s="352" t="s">
        <v>2106</v>
      </c>
      <c r="Q1089" s="352" t="s">
        <v>2072</v>
      </c>
      <c r="R1089" s="251">
        <v>506.79004431752247</v>
      </c>
      <c r="S1089" s="251" t="s">
        <v>2193</v>
      </c>
      <c r="T1089" s="251" t="s">
        <v>2213</v>
      </c>
      <c r="U1089" s="251" t="s">
        <v>1937</v>
      </c>
      <c r="V1089" s="251" t="s">
        <v>1938</v>
      </c>
      <c r="X1089" s="251">
        <v>0</v>
      </c>
    </row>
    <row r="1090" spans="2:24" x14ac:dyDescent="0.2">
      <c r="B1090" s="352" t="s">
        <v>873</v>
      </c>
      <c r="C1090" s="352" t="s">
        <v>727</v>
      </c>
      <c r="F1090" s="352" t="s">
        <v>1995</v>
      </c>
      <c r="G1090" s="352" t="s">
        <v>2095</v>
      </c>
      <c r="H1090" s="352" t="s">
        <v>1545</v>
      </c>
      <c r="I1090" s="352" t="s">
        <v>1010</v>
      </c>
      <c r="J1090" s="352" t="s">
        <v>1011</v>
      </c>
      <c r="K1090" s="352">
        <v>2222</v>
      </c>
      <c r="L1090" s="352" t="s">
        <v>1885</v>
      </c>
      <c r="M1090" s="352" t="s">
        <v>2194</v>
      </c>
      <c r="N1090" s="352" t="s">
        <v>2096</v>
      </c>
      <c r="O1090" s="352">
        <v>2</v>
      </c>
      <c r="P1090" s="352" t="s">
        <v>2106</v>
      </c>
      <c r="Q1090" s="352" t="s">
        <v>2072</v>
      </c>
      <c r="R1090" s="251">
        <v>0</v>
      </c>
      <c r="S1090" s="251" t="s">
        <v>2193</v>
      </c>
      <c r="T1090" s="251" t="s">
        <v>2054</v>
      </c>
      <c r="U1090" s="251" t="s">
        <v>1939</v>
      </c>
      <c r="V1090" s="251" t="s">
        <v>1940</v>
      </c>
      <c r="X1090" s="251">
        <v>0</v>
      </c>
    </row>
    <row r="1091" spans="2:24" x14ac:dyDescent="0.2">
      <c r="B1091" s="352" t="s">
        <v>873</v>
      </c>
      <c r="C1091" s="352" t="s">
        <v>727</v>
      </c>
      <c r="F1091" s="352" t="s">
        <v>1995</v>
      </c>
      <c r="G1091" s="352" t="s">
        <v>2095</v>
      </c>
      <c r="H1091" s="352" t="s">
        <v>1547</v>
      </c>
      <c r="I1091" s="352" t="s">
        <v>1012</v>
      </c>
      <c r="J1091" s="352" t="s">
        <v>1013</v>
      </c>
      <c r="K1091" s="352">
        <v>2222</v>
      </c>
      <c r="L1091" s="352" t="s">
        <v>1885</v>
      </c>
      <c r="M1091" s="352" t="s">
        <v>2195</v>
      </c>
      <c r="N1091" s="352" t="s">
        <v>2096</v>
      </c>
      <c r="O1091" s="352">
        <v>2</v>
      </c>
      <c r="P1091" s="352" t="s">
        <v>2106</v>
      </c>
      <c r="Q1091" s="352" t="s">
        <v>2072</v>
      </c>
      <c r="R1091" s="251">
        <v>0</v>
      </c>
      <c r="S1091" s="251" t="s">
        <v>2193</v>
      </c>
      <c r="T1091" s="251" t="s">
        <v>2054</v>
      </c>
      <c r="U1091" s="251" t="s">
        <v>1939</v>
      </c>
      <c r="V1091" s="251" t="s">
        <v>1940</v>
      </c>
      <c r="X1091" s="251">
        <v>0</v>
      </c>
    </row>
    <row r="1092" spans="2:24" x14ac:dyDescent="0.2">
      <c r="B1092" s="352" t="s">
        <v>873</v>
      </c>
      <c r="C1092" s="352" t="s">
        <v>727</v>
      </c>
      <c r="F1092" s="352" t="s">
        <v>1995</v>
      </c>
      <c r="G1092" s="352" t="s">
        <v>2095</v>
      </c>
      <c r="H1092" s="352" t="s">
        <v>1549</v>
      </c>
      <c r="I1092" s="352" t="s">
        <v>1014</v>
      </c>
      <c r="J1092" s="352" t="s">
        <v>1893</v>
      </c>
      <c r="K1092" s="352">
        <v>2131</v>
      </c>
      <c r="L1092" s="352" t="s">
        <v>1879</v>
      </c>
      <c r="M1092" s="352" t="s">
        <v>2196</v>
      </c>
      <c r="N1092" s="352" t="s">
        <v>2096</v>
      </c>
      <c r="O1092" s="352">
        <v>8</v>
      </c>
      <c r="P1092" s="352" t="s">
        <v>2104</v>
      </c>
      <c r="Q1092" s="352" t="s">
        <v>2068</v>
      </c>
      <c r="R1092" s="251">
        <v>0</v>
      </c>
      <c r="S1092" s="251" t="s">
        <v>2015</v>
      </c>
      <c r="T1092" s="251" t="s">
        <v>2054</v>
      </c>
      <c r="U1092" s="251" t="s">
        <v>1929</v>
      </c>
      <c r="V1092" s="251" t="s">
        <v>1930</v>
      </c>
      <c r="X1092" s="251">
        <v>0</v>
      </c>
    </row>
    <row r="1093" spans="2:24" x14ac:dyDescent="0.2">
      <c r="B1093" s="352" t="s">
        <v>873</v>
      </c>
      <c r="C1093" s="352" t="s">
        <v>727</v>
      </c>
      <c r="F1093" s="352" t="s">
        <v>1995</v>
      </c>
      <c r="G1093" s="352" t="s">
        <v>2095</v>
      </c>
      <c r="H1093" s="352" t="s">
        <v>1549</v>
      </c>
      <c r="I1093" s="352" t="s">
        <v>1014</v>
      </c>
      <c r="J1093" s="352" t="s">
        <v>1893</v>
      </c>
      <c r="K1093" s="352">
        <v>2132</v>
      </c>
      <c r="L1093" s="352" t="s">
        <v>1880</v>
      </c>
      <c r="M1093" s="352" t="s">
        <v>2197</v>
      </c>
      <c r="N1093" s="352" t="s">
        <v>2096</v>
      </c>
      <c r="O1093" s="352">
        <v>8</v>
      </c>
      <c r="P1093" s="352" t="s">
        <v>2104</v>
      </c>
      <c r="Q1093" s="352" t="s">
        <v>2068</v>
      </c>
      <c r="R1093" s="251">
        <v>0</v>
      </c>
      <c r="S1093" s="251" t="s">
        <v>2015</v>
      </c>
      <c r="T1093" s="251" t="s">
        <v>2054</v>
      </c>
      <c r="U1093" s="251" t="s">
        <v>1931</v>
      </c>
      <c r="V1093" s="251" t="s">
        <v>1932</v>
      </c>
      <c r="X1093" s="251">
        <v>0</v>
      </c>
    </row>
    <row r="1094" spans="2:24" x14ac:dyDescent="0.2">
      <c r="B1094" s="352" t="s">
        <v>873</v>
      </c>
      <c r="C1094" s="352" t="s">
        <v>727</v>
      </c>
      <c r="F1094" s="352" t="s">
        <v>1995</v>
      </c>
      <c r="G1094" s="352" t="s">
        <v>2095</v>
      </c>
      <c r="H1094" s="352" t="s">
        <v>1549</v>
      </c>
      <c r="I1094" s="352" t="s">
        <v>1014</v>
      </c>
      <c r="J1094" s="352" t="s">
        <v>1893</v>
      </c>
      <c r="K1094" s="352">
        <v>2133</v>
      </c>
      <c r="L1094" s="352" t="s">
        <v>1881</v>
      </c>
      <c r="M1094" s="352" t="s">
        <v>2198</v>
      </c>
      <c r="N1094" s="352" t="s">
        <v>2096</v>
      </c>
      <c r="O1094" s="352">
        <v>8</v>
      </c>
      <c r="P1094" s="352" t="s">
        <v>2104</v>
      </c>
      <c r="Q1094" s="352" t="s">
        <v>2068</v>
      </c>
      <c r="R1094" s="251">
        <v>0</v>
      </c>
      <c r="S1094" s="251" t="s">
        <v>2015</v>
      </c>
      <c r="T1094" s="251" t="s">
        <v>2054</v>
      </c>
      <c r="U1094" s="251" t="s">
        <v>1935</v>
      </c>
      <c r="V1094" s="251" t="s">
        <v>1936</v>
      </c>
      <c r="X1094" s="251">
        <v>0</v>
      </c>
    </row>
    <row r="1095" spans="2:24" x14ac:dyDescent="0.2">
      <c r="B1095" s="352" t="s">
        <v>873</v>
      </c>
      <c r="C1095" s="352" t="s">
        <v>727</v>
      </c>
      <c r="F1095" s="352" t="s">
        <v>1995</v>
      </c>
      <c r="G1095" s="352" t="s">
        <v>2095</v>
      </c>
      <c r="H1095" s="352" t="s">
        <v>1549</v>
      </c>
      <c r="I1095" s="352" t="s">
        <v>1014</v>
      </c>
      <c r="J1095" s="352" t="s">
        <v>1893</v>
      </c>
      <c r="K1095" s="352">
        <v>2134</v>
      </c>
      <c r="L1095" s="352" t="s">
        <v>775</v>
      </c>
      <c r="M1095" s="352" t="s">
        <v>2199</v>
      </c>
      <c r="N1095" s="352" t="s">
        <v>2096</v>
      </c>
      <c r="O1095" s="352">
        <v>8</v>
      </c>
      <c r="P1095" s="352" t="s">
        <v>2104</v>
      </c>
      <c r="Q1095" s="352" t="s">
        <v>2068</v>
      </c>
      <c r="R1095" s="251">
        <v>0</v>
      </c>
      <c r="S1095" s="251" t="s">
        <v>2015</v>
      </c>
      <c r="T1095" s="251" t="s">
        <v>2054</v>
      </c>
      <c r="U1095" s="251">
        <v>0</v>
      </c>
      <c r="V1095" s="251" t="s">
        <v>2153</v>
      </c>
      <c r="X1095" s="251">
        <v>0</v>
      </c>
    </row>
    <row r="1096" spans="2:24" x14ac:dyDescent="0.2">
      <c r="B1096" s="352" t="s">
        <v>873</v>
      </c>
      <c r="C1096" s="352" t="s">
        <v>727</v>
      </c>
      <c r="F1096" s="352" t="s">
        <v>1995</v>
      </c>
      <c r="G1096" s="352" t="s">
        <v>2095</v>
      </c>
      <c r="H1096" s="352" t="s">
        <v>1549</v>
      </c>
      <c r="I1096" s="352" t="s">
        <v>1014</v>
      </c>
      <c r="J1096" s="352" t="s">
        <v>1893</v>
      </c>
      <c r="K1096" s="352">
        <v>2141</v>
      </c>
      <c r="L1096" s="352" t="s">
        <v>1882</v>
      </c>
      <c r="M1096" s="352" t="s">
        <v>2200</v>
      </c>
      <c r="N1096" s="352" t="s">
        <v>2096</v>
      </c>
      <c r="O1096" s="352">
        <v>8</v>
      </c>
      <c r="P1096" s="352" t="s">
        <v>2104</v>
      </c>
      <c r="Q1096" s="352" t="s">
        <v>2068</v>
      </c>
      <c r="R1096" s="251">
        <v>0</v>
      </c>
      <c r="S1096" s="251" t="s">
        <v>2015</v>
      </c>
      <c r="T1096" s="251" t="s">
        <v>2054</v>
      </c>
      <c r="U1096" s="251" t="s">
        <v>1935</v>
      </c>
      <c r="V1096" s="251" t="s">
        <v>1936</v>
      </c>
      <c r="X1096" s="251">
        <v>0</v>
      </c>
    </row>
    <row r="1097" spans="2:24" x14ac:dyDescent="0.2">
      <c r="B1097" s="352" t="s">
        <v>873</v>
      </c>
      <c r="C1097" s="352" t="s">
        <v>727</v>
      </c>
      <c r="F1097" s="352" t="s">
        <v>1995</v>
      </c>
      <c r="G1097" s="352" t="s">
        <v>2095</v>
      </c>
      <c r="H1097" s="352" t="s">
        <v>1549</v>
      </c>
      <c r="I1097" s="352" t="s">
        <v>1014</v>
      </c>
      <c r="J1097" s="352" t="s">
        <v>1893</v>
      </c>
      <c r="K1097" s="352">
        <v>2211</v>
      </c>
      <c r="L1097" s="352" t="s">
        <v>1883</v>
      </c>
      <c r="M1097" s="352" t="s">
        <v>2201</v>
      </c>
      <c r="N1097" s="352" t="s">
        <v>2096</v>
      </c>
      <c r="O1097" s="352">
        <v>8</v>
      </c>
      <c r="P1097" s="352" t="s">
        <v>2104</v>
      </c>
      <c r="Q1097" s="352" t="s">
        <v>2068</v>
      </c>
      <c r="R1097" s="251">
        <v>0</v>
      </c>
      <c r="S1097" s="251" t="s">
        <v>2015</v>
      </c>
      <c r="T1097" s="251" t="s">
        <v>2054</v>
      </c>
      <c r="U1097" s="251" t="s">
        <v>1929</v>
      </c>
      <c r="V1097" s="251" t="s">
        <v>1930</v>
      </c>
      <c r="X1097" s="251">
        <v>0</v>
      </c>
    </row>
    <row r="1098" spans="2:24" x14ac:dyDescent="0.2">
      <c r="B1098" s="352" t="s">
        <v>873</v>
      </c>
      <c r="C1098" s="352" t="s">
        <v>727</v>
      </c>
      <c r="F1098" s="352" t="s">
        <v>1995</v>
      </c>
      <c r="G1098" s="352" t="s">
        <v>2095</v>
      </c>
      <c r="H1098" s="352" t="s">
        <v>1549</v>
      </c>
      <c r="I1098" s="352" t="s">
        <v>1014</v>
      </c>
      <c r="J1098" s="352" t="s">
        <v>1893</v>
      </c>
      <c r="K1098" s="352">
        <v>2221</v>
      </c>
      <c r="L1098" s="352" t="s">
        <v>1884</v>
      </c>
      <c r="M1098" s="352" t="s">
        <v>2202</v>
      </c>
      <c r="N1098" s="352" t="s">
        <v>2096</v>
      </c>
      <c r="O1098" s="352">
        <v>8</v>
      </c>
      <c r="P1098" s="352" t="s">
        <v>2104</v>
      </c>
      <c r="Q1098" s="352" t="s">
        <v>2068</v>
      </c>
      <c r="R1098" s="251">
        <v>0</v>
      </c>
      <c r="S1098" s="251" t="s">
        <v>2015</v>
      </c>
      <c r="T1098" s="251" t="s">
        <v>2054</v>
      </c>
      <c r="U1098" s="251" t="s">
        <v>1935</v>
      </c>
      <c r="V1098" s="251" t="s">
        <v>1936</v>
      </c>
      <c r="X1098" s="251">
        <v>0</v>
      </c>
    </row>
    <row r="1099" spans="2:24" x14ac:dyDescent="0.2">
      <c r="B1099" s="352" t="s">
        <v>873</v>
      </c>
      <c r="C1099" s="352" t="s">
        <v>727</v>
      </c>
      <c r="F1099" s="352" t="s">
        <v>1995</v>
      </c>
      <c r="G1099" s="352" t="s">
        <v>2095</v>
      </c>
      <c r="H1099" s="352" t="s">
        <v>1551</v>
      </c>
      <c r="I1099" s="352" t="s">
        <v>1015</v>
      </c>
      <c r="J1099" s="352" t="s">
        <v>1016</v>
      </c>
      <c r="K1099" s="352">
        <v>3111</v>
      </c>
      <c r="L1099" s="352" t="s">
        <v>763</v>
      </c>
      <c r="M1099" s="352" t="s">
        <v>2203</v>
      </c>
      <c r="N1099" s="352" t="s">
        <v>2096</v>
      </c>
      <c r="O1099" s="352">
        <v>19</v>
      </c>
      <c r="P1099" s="352" t="s">
        <v>2107</v>
      </c>
      <c r="Q1099" s="352" t="s">
        <v>2108</v>
      </c>
      <c r="R1099" s="251">
        <v>0</v>
      </c>
      <c r="S1099" s="251"/>
      <c r="T1099" s="251" t="s">
        <v>2054</v>
      </c>
      <c r="U1099" s="251" t="s">
        <v>1945</v>
      </c>
      <c r="V1099" s="251" t="s">
        <v>709</v>
      </c>
      <c r="X1099" s="251">
        <v>0</v>
      </c>
    </row>
    <row r="1100" spans="2:24" x14ac:dyDescent="0.2">
      <c r="B1100" s="352" t="s">
        <v>873</v>
      </c>
      <c r="C1100" s="352" t="s">
        <v>727</v>
      </c>
      <c r="F1100" s="352" t="s">
        <v>1995</v>
      </c>
      <c r="G1100" s="352" t="s">
        <v>2095</v>
      </c>
      <c r="H1100" s="352" t="s">
        <v>1551</v>
      </c>
      <c r="I1100" s="352" t="s">
        <v>1015</v>
      </c>
      <c r="J1100" s="352" t="s">
        <v>1016</v>
      </c>
      <c r="K1100" s="352">
        <v>3121</v>
      </c>
      <c r="L1100" s="352" t="s">
        <v>766</v>
      </c>
      <c r="M1100" s="352" t="s">
        <v>2204</v>
      </c>
      <c r="N1100" s="352" t="s">
        <v>2096</v>
      </c>
      <c r="O1100" s="352">
        <v>19</v>
      </c>
      <c r="P1100" s="352" t="s">
        <v>2107</v>
      </c>
      <c r="Q1100" s="352" t="s">
        <v>2108</v>
      </c>
      <c r="R1100" s="251">
        <v>0</v>
      </c>
      <c r="S1100" s="251"/>
      <c r="T1100" s="251" t="s">
        <v>2054</v>
      </c>
      <c r="U1100" s="251" t="s">
        <v>1945</v>
      </c>
      <c r="V1100" s="251" t="s">
        <v>709</v>
      </c>
      <c r="X1100" s="251">
        <v>0</v>
      </c>
    </row>
    <row r="1101" spans="2:24" x14ac:dyDescent="0.2">
      <c r="B1101" s="352" t="s">
        <v>873</v>
      </c>
      <c r="C1101" s="352" t="s">
        <v>727</v>
      </c>
      <c r="F1101" s="352" t="s">
        <v>1995</v>
      </c>
      <c r="G1101" s="352" t="s">
        <v>2095</v>
      </c>
      <c r="H1101" s="352" t="s">
        <v>1553</v>
      </c>
      <c r="I1101" s="352" t="s">
        <v>1017</v>
      </c>
      <c r="J1101" s="352" t="s">
        <v>1018</v>
      </c>
      <c r="K1101" s="352">
        <v>4111</v>
      </c>
      <c r="L1101" s="352" t="s">
        <v>770</v>
      </c>
      <c r="M1101" s="352" t="s">
        <v>2205</v>
      </c>
      <c r="N1101" s="352" t="s">
        <v>2096</v>
      </c>
      <c r="O1101" s="352">
        <v>11</v>
      </c>
      <c r="P1101" s="352" t="s">
        <v>2109</v>
      </c>
      <c r="Q1101" s="352" t="s">
        <v>2064</v>
      </c>
      <c r="R1101" s="251">
        <v>0.92054899015820579</v>
      </c>
      <c r="S1101" s="251" t="s">
        <v>2015</v>
      </c>
      <c r="T1101" s="251" t="s">
        <v>2016</v>
      </c>
      <c r="U1101" s="251" t="s">
        <v>1946</v>
      </c>
      <c r="V1101" s="251" t="s">
        <v>1947</v>
      </c>
      <c r="X1101" s="251">
        <v>0</v>
      </c>
    </row>
    <row r="1102" spans="2:24" x14ac:dyDescent="0.2">
      <c r="B1102" s="352" t="s">
        <v>873</v>
      </c>
      <c r="C1102" s="352" t="s">
        <v>727</v>
      </c>
      <c r="F1102" s="352" t="s">
        <v>1995</v>
      </c>
      <c r="G1102" s="352" t="s">
        <v>2095</v>
      </c>
      <c r="H1102" s="352" t="s">
        <v>1553</v>
      </c>
      <c r="I1102" s="352" t="s">
        <v>1017</v>
      </c>
      <c r="J1102" s="352" t="s">
        <v>1018</v>
      </c>
      <c r="K1102" s="352">
        <v>4121</v>
      </c>
      <c r="L1102" s="352" t="s">
        <v>772</v>
      </c>
      <c r="M1102" s="352" t="s">
        <v>2206</v>
      </c>
      <c r="N1102" s="352" t="s">
        <v>2096</v>
      </c>
      <c r="O1102" s="352">
        <v>11</v>
      </c>
      <c r="P1102" s="352" t="s">
        <v>2109</v>
      </c>
      <c r="Q1102" s="352" t="s">
        <v>2064</v>
      </c>
      <c r="R1102" s="251">
        <v>3.013072938608564</v>
      </c>
      <c r="S1102" s="251" t="s">
        <v>2015</v>
      </c>
      <c r="T1102" s="251" t="s">
        <v>2016</v>
      </c>
      <c r="U1102" s="251" t="s">
        <v>1946</v>
      </c>
      <c r="V1102" s="251" t="s">
        <v>1947</v>
      </c>
      <c r="X1102" s="251">
        <v>0</v>
      </c>
    </row>
    <row r="1103" spans="2:24" x14ac:dyDescent="0.2">
      <c r="B1103" s="352" t="s">
        <v>873</v>
      </c>
      <c r="C1103" s="352" t="s">
        <v>727</v>
      </c>
      <c r="F1103" s="352" t="s">
        <v>1995</v>
      </c>
      <c r="G1103" s="352" t="s">
        <v>2095</v>
      </c>
      <c r="H1103" s="352" t="s">
        <v>1555</v>
      </c>
      <c r="I1103" s="352" t="s">
        <v>1019</v>
      </c>
      <c r="J1103" s="352" t="s">
        <v>1020</v>
      </c>
      <c r="K1103" s="352">
        <v>4231</v>
      </c>
      <c r="L1103" s="352" t="s">
        <v>774</v>
      </c>
      <c r="M1103" s="352" t="s">
        <v>2207</v>
      </c>
      <c r="N1103" s="352" t="s">
        <v>2096</v>
      </c>
      <c r="O1103" s="352">
        <v>17</v>
      </c>
      <c r="P1103" s="352" t="s">
        <v>2110</v>
      </c>
      <c r="Q1103" s="352" t="s">
        <v>2111</v>
      </c>
      <c r="R1103" s="251">
        <v>0</v>
      </c>
      <c r="S1103" s="251" t="s">
        <v>2015</v>
      </c>
      <c r="T1103" s="251" t="s">
        <v>2054</v>
      </c>
      <c r="U1103" s="251" t="s">
        <v>1948</v>
      </c>
      <c r="V1103" s="251" t="s">
        <v>1949</v>
      </c>
      <c r="X1103" s="251">
        <v>0</v>
      </c>
    </row>
    <row r="1104" spans="2:24" x14ac:dyDescent="0.2">
      <c r="B1104" s="352" t="s">
        <v>873</v>
      </c>
      <c r="C1104" s="352" t="s">
        <v>727</v>
      </c>
      <c r="F1104" s="352" t="s">
        <v>1995</v>
      </c>
      <c r="G1104" s="352" t="s">
        <v>2095</v>
      </c>
      <c r="H1104" s="352" t="s">
        <v>1555</v>
      </c>
      <c r="I1104" s="352" t="s">
        <v>1019</v>
      </c>
      <c r="J1104" s="352" t="s">
        <v>1020</v>
      </c>
      <c r="K1104" s="352">
        <v>4241</v>
      </c>
      <c r="L1104" s="352" t="s">
        <v>777</v>
      </c>
      <c r="M1104" s="352" t="s">
        <v>2208</v>
      </c>
      <c r="N1104" s="352" t="s">
        <v>2096</v>
      </c>
      <c r="O1104" s="352">
        <v>17</v>
      </c>
      <c r="P1104" s="352" t="s">
        <v>2110</v>
      </c>
      <c r="Q1104" s="352" t="s">
        <v>2111</v>
      </c>
      <c r="R1104" s="251">
        <v>0</v>
      </c>
      <c r="S1104" s="251" t="s">
        <v>2015</v>
      </c>
      <c r="T1104" s="251" t="s">
        <v>2054</v>
      </c>
      <c r="U1104" s="251" t="s">
        <v>1950</v>
      </c>
      <c r="V1104" s="251" t="s">
        <v>1951</v>
      </c>
      <c r="X1104" s="251">
        <v>0</v>
      </c>
    </row>
    <row r="1105" spans="2:24" x14ac:dyDescent="0.2">
      <c r="B1105" s="352" t="s">
        <v>873</v>
      </c>
      <c r="C1105" s="352" t="s">
        <v>727</v>
      </c>
      <c r="F1105" s="352" t="s">
        <v>1995</v>
      </c>
      <c r="G1105" s="352" t="s">
        <v>2095</v>
      </c>
      <c r="H1105" s="352" t="s">
        <v>1555</v>
      </c>
      <c r="I1105" s="352" t="s">
        <v>1019</v>
      </c>
      <c r="J1105" s="352" t="s">
        <v>1020</v>
      </c>
      <c r="K1105" s="352">
        <v>4311</v>
      </c>
      <c r="L1105" s="352" t="s">
        <v>779</v>
      </c>
      <c r="M1105" s="352" t="s">
        <v>2209</v>
      </c>
      <c r="N1105" s="352" t="s">
        <v>2096</v>
      </c>
      <c r="O1105" s="352">
        <v>17</v>
      </c>
      <c r="P1105" s="352" t="s">
        <v>2110</v>
      </c>
      <c r="Q1105" s="352" t="s">
        <v>2111</v>
      </c>
      <c r="R1105" s="251">
        <v>0</v>
      </c>
      <c r="S1105" s="251" t="s">
        <v>2015</v>
      </c>
      <c r="T1105" s="251" t="s">
        <v>2054</v>
      </c>
      <c r="U1105" s="251" t="s">
        <v>1952</v>
      </c>
      <c r="V1105" s="251" t="s">
        <v>1953</v>
      </c>
      <c r="X1105" s="251">
        <v>0</v>
      </c>
    </row>
    <row r="1106" spans="2:24" x14ac:dyDescent="0.2">
      <c r="B1106" s="352" t="s">
        <v>873</v>
      </c>
      <c r="C1106" s="352" t="s">
        <v>727</v>
      </c>
      <c r="F1106" s="352" t="s">
        <v>1995</v>
      </c>
      <c r="G1106" s="352" t="s">
        <v>2095</v>
      </c>
      <c r="H1106" s="352" t="s">
        <v>1557</v>
      </c>
      <c r="I1106" s="352" t="s">
        <v>1021</v>
      </c>
      <c r="J1106" s="352" t="s">
        <v>751</v>
      </c>
      <c r="K1106" s="352">
        <v>4231</v>
      </c>
      <c r="L1106" s="352" t="s">
        <v>774</v>
      </c>
      <c r="M1106" s="352" t="s">
        <v>2210</v>
      </c>
      <c r="N1106" s="352" t="s">
        <v>2096</v>
      </c>
      <c r="O1106" s="352">
        <v>17</v>
      </c>
      <c r="P1106" s="352" t="s">
        <v>2110</v>
      </c>
      <c r="Q1106" s="352" t="s">
        <v>2111</v>
      </c>
      <c r="R1106" s="251">
        <v>4.6768019580190865</v>
      </c>
      <c r="S1106" s="251" t="s">
        <v>2015</v>
      </c>
      <c r="T1106" s="251" t="s">
        <v>2016</v>
      </c>
      <c r="U1106" s="251" t="s">
        <v>1948</v>
      </c>
      <c r="V1106" s="251" t="s">
        <v>1949</v>
      </c>
      <c r="X1106" s="251">
        <v>0</v>
      </c>
    </row>
    <row r="1107" spans="2:24" x14ac:dyDescent="0.2">
      <c r="B1107" s="352" t="s">
        <v>873</v>
      </c>
      <c r="C1107" s="352" t="s">
        <v>727</v>
      </c>
      <c r="F1107" s="352" t="s">
        <v>1995</v>
      </c>
      <c r="G1107" s="352" t="s">
        <v>2095</v>
      </c>
      <c r="H1107" s="352" t="s">
        <v>1557</v>
      </c>
      <c r="I1107" s="352" t="s">
        <v>1021</v>
      </c>
      <c r="J1107" s="352" t="s">
        <v>751</v>
      </c>
      <c r="K1107" s="352">
        <v>4241</v>
      </c>
      <c r="L1107" s="352" t="s">
        <v>777</v>
      </c>
      <c r="M1107" s="352" t="s">
        <v>2211</v>
      </c>
      <c r="N1107" s="352" t="s">
        <v>2096</v>
      </c>
      <c r="O1107" s="352">
        <v>17</v>
      </c>
      <c r="P1107" s="352" t="s">
        <v>2110</v>
      </c>
      <c r="Q1107" s="352" t="s">
        <v>2111</v>
      </c>
      <c r="R1107" s="251">
        <v>6.044693989398457</v>
      </c>
      <c r="S1107" s="251" t="s">
        <v>2015</v>
      </c>
      <c r="T1107" s="251" t="s">
        <v>2016</v>
      </c>
      <c r="U1107" s="251" t="s">
        <v>1950</v>
      </c>
      <c r="V1107" s="251" t="s">
        <v>1951</v>
      </c>
      <c r="X1107" s="251">
        <v>0</v>
      </c>
    </row>
    <row r="1108" spans="2:24" x14ac:dyDescent="0.2">
      <c r="B1108" s="352" t="s">
        <v>873</v>
      </c>
      <c r="C1108" s="352" t="s">
        <v>727</v>
      </c>
      <c r="F1108" s="352" t="s">
        <v>1995</v>
      </c>
      <c r="G1108" s="352" t="s">
        <v>2095</v>
      </c>
      <c r="H1108" s="352" t="s">
        <v>1557</v>
      </c>
      <c r="I1108" s="352" t="s">
        <v>1021</v>
      </c>
      <c r="J1108" s="352" t="s">
        <v>751</v>
      </c>
      <c r="K1108" s="352">
        <v>4311</v>
      </c>
      <c r="L1108" s="352" t="s">
        <v>779</v>
      </c>
      <c r="M1108" s="352" t="s">
        <v>2212</v>
      </c>
      <c r="N1108" s="352" t="s">
        <v>2096</v>
      </c>
      <c r="O1108" s="352">
        <v>17</v>
      </c>
      <c r="P1108" s="352" t="s">
        <v>2110</v>
      </c>
      <c r="Q1108" s="352" t="s">
        <v>2111</v>
      </c>
      <c r="R1108" s="251">
        <v>0.17004973367846074</v>
      </c>
      <c r="S1108" s="251" t="s">
        <v>2015</v>
      </c>
      <c r="T1108" s="251" t="s">
        <v>2016</v>
      </c>
      <c r="U1108" s="251" t="s">
        <v>1952</v>
      </c>
      <c r="V1108" s="251" t="s">
        <v>1953</v>
      </c>
      <c r="X1108" s="251">
        <v>0</v>
      </c>
    </row>
    <row r="1109" spans="2:24" x14ac:dyDescent="0.2">
      <c r="B1109" s="352" t="s">
        <v>873</v>
      </c>
      <c r="C1109" s="352" t="s">
        <v>754</v>
      </c>
      <c r="F1109" s="352" t="s">
        <v>1999</v>
      </c>
      <c r="G1109" s="352" t="s">
        <v>2121</v>
      </c>
      <c r="H1109" s="352" t="s">
        <v>1642</v>
      </c>
      <c r="I1109" s="352" t="s">
        <v>969</v>
      </c>
      <c r="J1109" s="352" t="s">
        <v>970</v>
      </c>
      <c r="K1109" s="352">
        <v>1111</v>
      </c>
      <c r="L1109" s="352" t="s">
        <v>699</v>
      </c>
      <c r="M1109" s="352" t="s">
        <v>2147</v>
      </c>
      <c r="N1109" s="352" t="s">
        <v>2048</v>
      </c>
      <c r="O1109" s="352">
        <v>6</v>
      </c>
      <c r="P1109" s="352" t="s">
        <v>2049</v>
      </c>
      <c r="Q1109" s="352" t="s">
        <v>2050</v>
      </c>
      <c r="R1109" s="251">
        <v>18809.189368531246</v>
      </c>
      <c r="S1109" s="251" t="s">
        <v>2015</v>
      </c>
      <c r="T1109" s="251" t="s">
        <v>2016</v>
      </c>
      <c r="U1109" s="251" t="s">
        <v>1914</v>
      </c>
      <c r="V1109" s="251" t="s">
        <v>1915</v>
      </c>
      <c r="X1109" s="251">
        <v>0</v>
      </c>
    </row>
    <row r="1110" spans="2:24" x14ac:dyDescent="0.2">
      <c r="B1110" s="352" t="s">
        <v>873</v>
      </c>
      <c r="C1110" s="352" t="s">
        <v>754</v>
      </c>
      <c r="F1110" s="352" t="s">
        <v>1999</v>
      </c>
      <c r="G1110" s="352" t="s">
        <v>2121</v>
      </c>
      <c r="H1110" s="352" t="s">
        <v>1642</v>
      </c>
      <c r="I1110" s="352" t="s">
        <v>969</v>
      </c>
      <c r="J1110" s="352" t="s">
        <v>970</v>
      </c>
      <c r="K1110" s="352">
        <v>1231</v>
      </c>
      <c r="L1110" s="352" t="s">
        <v>726</v>
      </c>
      <c r="M1110" s="352" t="s">
        <v>2148</v>
      </c>
      <c r="N1110" s="352" t="s">
        <v>2048</v>
      </c>
      <c r="O1110" s="352">
        <v>6</v>
      </c>
      <c r="P1110" s="352" t="s">
        <v>2049</v>
      </c>
      <c r="Q1110" s="352" t="s">
        <v>2050</v>
      </c>
      <c r="R1110" s="251">
        <v>0</v>
      </c>
      <c r="S1110" s="251" t="s">
        <v>2015</v>
      </c>
      <c r="T1110" s="251" t="s">
        <v>2054</v>
      </c>
      <c r="U1110" s="251" t="s">
        <v>1920</v>
      </c>
      <c r="V1110" s="251" t="s">
        <v>726</v>
      </c>
      <c r="X1110" s="251">
        <v>0</v>
      </c>
    </row>
    <row r="1111" spans="2:24" x14ac:dyDescent="0.2">
      <c r="B1111" s="352" t="s">
        <v>873</v>
      </c>
      <c r="C1111" s="352" t="s">
        <v>754</v>
      </c>
      <c r="F1111" s="352" t="s">
        <v>1999</v>
      </c>
      <c r="G1111" s="352" t="s">
        <v>2121</v>
      </c>
      <c r="H1111" s="352" t="s">
        <v>1647</v>
      </c>
      <c r="I1111" s="352" t="s">
        <v>971</v>
      </c>
      <c r="J1111" s="352" t="s">
        <v>972</v>
      </c>
      <c r="K1111" s="352">
        <v>1211</v>
      </c>
      <c r="L1111" s="352" t="s">
        <v>705</v>
      </c>
      <c r="M1111" s="352" t="s">
        <v>2149</v>
      </c>
      <c r="N1111" s="352" t="s">
        <v>2048</v>
      </c>
      <c r="O1111" s="352">
        <v>6</v>
      </c>
      <c r="P1111" s="352" t="s">
        <v>2049</v>
      </c>
      <c r="Q1111" s="352" t="s">
        <v>2050</v>
      </c>
      <c r="R1111" s="251">
        <v>1121.1440925045508</v>
      </c>
      <c r="S1111" s="251" t="s">
        <v>2015</v>
      </c>
      <c r="T1111" s="251" t="s">
        <v>2016</v>
      </c>
      <c r="U1111" s="251" t="s">
        <v>1916</v>
      </c>
      <c r="V1111" s="251" t="s">
        <v>1917</v>
      </c>
      <c r="X1111" s="251">
        <v>0</v>
      </c>
    </row>
    <row r="1112" spans="2:24" x14ac:dyDescent="0.2">
      <c r="B1112" s="352" t="s">
        <v>873</v>
      </c>
      <c r="C1112" s="352" t="s">
        <v>754</v>
      </c>
      <c r="F1112" s="352" t="s">
        <v>1999</v>
      </c>
      <c r="G1112" s="352" t="s">
        <v>2121</v>
      </c>
      <c r="H1112" s="352" t="s">
        <v>1652</v>
      </c>
      <c r="I1112" s="352" t="s">
        <v>973</v>
      </c>
      <c r="J1112" s="352" t="s">
        <v>974</v>
      </c>
      <c r="K1112" s="352">
        <v>1211</v>
      </c>
      <c r="L1112" s="352" t="s">
        <v>705</v>
      </c>
      <c r="M1112" s="352" t="s">
        <v>2150</v>
      </c>
      <c r="N1112" s="352" t="s">
        <v>2048</v>
      </c>
      <c r="O1112" s="352">
        <v>6</v>
      </c>
      <c r="P1112" s="352" t="s">
        <v>2049</v>
      </c>
      <c r="Q1112" s="352" t="s">
        <v>2050</v>
      </c>
      <c r="R1112" s="251">
        <v>0</v>
      </c>
      <c r="S1112" s="251" t="s">
        <v>2015</v>
      </c>
      <c r="T1112" s="251" t="s">
        <v>2054</v>
      </c>
      <c r="U1112" s="251" t="s">
        <v>1916</v>
      </c>
      <c r="V1112" s="251" t="s">
        <v>1917</v>
      </c>
      <c r="X1112" s="251">
        <v>0</v>
      </c>
    </row>
    <row r="1113" spans="2:24" x14ac:dyDescent="0.2">
      <c r="B1113" s="352" t="s">
        <v>873</v>
      </c>
      <c r="C1113" s="352" t="s">
        <v>754</v>
      </c>
      <c r="F1113" s="352" t="s">
        <v>1999</v>
      </c>
      <c r="G1113" s="352" t="s">
        <v>2121</v>
      </c>
      <c r="H1113" s="352" t="s">
        <v>1652</v>
      </c>
      <c r="I1113" s="352" t="s">
        <v>973</v>
      </c>
      <c r="J1113" s="352" t="s">
        <v>974</v>
      </c>
      <c r="K1113" s="352">
        <v>1221</v>
      </c>
      <c r="L1113" s="352" t="s">
        <v>711</v>
      </c>
      <c r="M1113" s="352" t="s">
        <v>2151</v>
      </c>
      <c r="N1113" s="352" t="s">
        <v>2048</v>
      </c>
      <c r="O1113" s="352">
        <v>6</v>
      </c>
      <c r="P1113" s="352" t="s">
        <v>2049</v>
      </c>
      <c r="Q1113" s="352" t="s">
        <v>2050</v>
      </c>
      <c r="R1113" s="251">
        <v>1412.1386258716675</v>
      </c>
      <c r="S1113" s="251" t="s">
        <v>2015</v>
      </c>
      <c r="T1113" s="251" t="s">
        <v>2016</v>
      </c>
      <c r="U1113" s="251" t="s">
        <v>1918</v>
      </c>
      <c r="V1113" s="251" t="s">
        <v>1919</v>
      </c>
      <c r="X1113" s="251">
        <v>0</v>
      </c>
    </row>
    <row r="1114" spans="2:24" x14ac:dyDescent="0.2">
      <c r="B1114" s="352" t="s">
        <v>873</v>
      </c>
      <c r="C1114" s="352" t="s">
        <v>754</v>
      </c>
      <c r="F1114" s="352" t="s">
        <v>1999</v>
      </c>
      <c r="G1114" s="352" t="s">
        <v>2121</v>
      </c>
      <c r="H1114" s="352" t="s">
        <v>1652</v>
      </c>
      <c r="I1114" s="352" t="s">
        <v>973</v>
      </c>
      <c r="J1114" s="352" t="s">
        <v>974</v>
      </c>
      <c r="K1114" s="352">
        <v>1222</v>
      </c>
      <c r="L1114" s="352" t="s">
        <v>718</v>
      </c>
      <c r="M1114" s="352" t="s">
        <v>2152</v>
      </c>
      <c r="N1114" s="352" t="s">
        <v>2048</v>
      </c>
      <c r="O1114" s="352">
        <v>6</v>
      </c>
      <c r="P1114" s="352" t="s">
        <v>2049</v>
      </c>
      <c r="Q1114" s="352" t="s">
        <v>2050</v>
      </c>
      <c r="R1114" s="251">
        <v>124.24412875383352</v>
      </c>
      <c r="S1114" s="251" t="s">
        <v>2015</v>
      </c>
      <c r="T1114" s="251" t="s">
        <v>2016</v>
      </c>
      <c r="U1114" s="251">
        <v>0</v>
      </c>
      <c r="V1114" s="251" t="s">
        <v>2153</v>
      </c>
      <c r="X1114" s="251">
        <v>0</v>
      </c>
    </row>
    <row r="1115" spans="2:24" x14ac:dyDescent="0.2">
      <c r="B1115" s="352" t="s">
        <v>873</v>
      </c>
      <c r="C1115" s="352" t="s">
        <v>754</v>
      </c>
      <c r="F1115" s="352" t="s">
        <v>1999</v>
      </c>
      <c r="G1115" s="352" t="s">
        <v>2121</v>
      </c>
      <c r="H1115" s="352" t="s">
        <v>1657</v>
      </c>
      <c r="I1115" s="352" t="s">
        <v>975</v>
      </c>
      <c r="J1115" s="352" t="s">
        <v>976</v>
      </c>
      <c r="K1115" s="352">
        <v>1221</v>
      </c>
      <c r="L1115" s="352" t="s">
        <v>711</v>
      </c>
      <c r="M1115" s="352" t="s">
        <v>2154</v>
      </c>
      <c r="N1115" s="352" t="s">
        <v>2048</v>
      </c>
      <c r="O1115" s="352">
        <v>7</v>
      </c>
      <c r="P1115" s="352" t="s">
        <v>2055</v>
      </c>
      <c r="Q1115" s="352" t="s">
        <v>2056</v>
      </c>
      <c r="R1115" s="251">
        <v>0</v>
      </c>
      <c r="S1115" s="251" t="s">
        <v>2015</v>
      </c>
      <c r="T1115" s="251" t="s">
        <v>2054</v>
      </c>
      <c r="U1115" s="251" t="s">
        <v>1918</v>
      </c>
      <c r="V1115" s="251" t="s">
        <v>1919</v>
      </c>
      <c r="X1115" s="251">
        <v>0</v>
      </c>
    </row>
    <row r="1116" spans="2:24" x14ac:dyDescent="0.2">
      <c r="B1116" s="352" t="s">
        <v>873</v>
      </c>
      <c r="C1116" s="352" t="s">
        <v>754</v>
      </c>
      <c r="F1116" s="352" t="s">
        <v>1999</v>
      </c>
      <c r="G1116" s="352" t="s">
        <v>2121</v>
      </c>
      <c r="H1116" s="352" t="s">
        <v>1662</v>
      </c>
      <c r="I1116" s="352" t="s">
        <v>977</v>
      </c>
      <c r="J1116" s="352" t="s">
        <v>864</v>
      </c>
      <c r="K1116" s="352">
        <v>1111</v>
      </c>
      <c r="L1116" s="352" t="s">
        <v>699</v>
      </c>
      <c r="M1116" s="352" t="s">
        <v>2155</v>
      </c>
      <c r="N1116" s="352" t="s">
        <v>2048</v>
      </c>
      <c r="O1116" s="352">
        <v>5</v>
      </c>
      <c r="P1116" s="352" t="s">
        <v>2057</v>
      </c>
      <c r="Q1116" s="352" t="s">
        <v>2058</v>
      </c>
      <c r="R1116" s="251">
        <v>0</v>
      </c>
      <c r="S1116" s="251" t="s">
        <v>2015</v>
      </c>
      <c r="T1116" s="251" t="s">
        <v>2054</v>
      </c>
      <c r="U1116" s="251" t="s">
        <v>1914</v>
      </c>
      <c r="V1116" s="251" t="s">
        <v>1915</v>
      </c>
      <c r="X1116" s="251">
        <v>0</v>
      </c>
    </row>
    <row r="1117" spans="2:24" x14ac:dyDescent="0.2">
      <c r="B1117" s="352" t="s">
        <v>873</v>
      </c>
      <c r="C1117" s="352" t="s">
        <v>754</v>
      </c>
      <c r="F1117" s="352" t="s">
        <v>1999</v>
      </c>
      <c r="G1117" s="352" t="s">
        <v>2121</v>
      </c>
      <c r="H1117" s="352" t="s">
        <v>1662</v>
      </c>
      <c r="I1117" s="352" t="s">
        <v>977</v>
      </c>
      <c r="J1117" s="352" t="s">
        <v>864</v>
      </c>
      <c r="K1117" s="352">
        <v>1211</v>
      </c>
      <c r="L1117" s="352" t="s">
        <v>705</v>
      </c>
      <c r="M1117" s="352" t="s">
        <v>2156</v>
      </c>
      <c r="N1117" s="352" t="s">
        <v>2048</v>
      </c>
      <c r="O1117" s="352">
        <v>5</v>
      </c>
      <c r="P1117" s="352" t="s">
        <v>2057</v>
      </c>
      <c r="Q1117" s="352" t="s">
        <v>2058</v>
      </c>
      <c r="R1117" s="251">
        <v>0</v>
      </c>
      <c r="S1117" s="251" t="s">
        <v>2015</v>
      </c>
      <c r="T1117" s="251" t="s">
        <v>2054</v>
      </c>
      <c r="U1117" s="251" t="s">
        <v>1916</v>
      </c>
      <c r="V1117" s="251" t="s">
        <v>1917</v>
      </c>
      <c r="X1117" s="251">
        <v>0</v>
      </c>
    </row>
    <row r="1118" spans="2:24" x14ac:dyDescent="0.2">
      <c r="B1118" s="352" t="s">
        <v>873</v>
      </c>
      <c r="C1118" s="352" t="s">
        <v>754</v>
      </c>
      <c r="F1118" s="352" t="s">
        <v>1999</v>
      </c>
      <c r="G1118" s="352" t="s">
        <v>2121</v>
      </c>
      <c r="H1118" s="352" t="s">
        <v>1662</v>
      </c>
      <c r="I1118" s="352" t="s">
        <v>977</v>
      </c>
      <c r="J1118" s="352" t="s">
        <v>864</v>
      </c>
      <c r="K1118" s="352">
        <v>1221</v>
      </c>
      <c r="L1118" s="352" t="s">
        <v>711</v>
      </c>
      <c r="M1118" s="352" t="s">
        <v>2157</v>
      </c>
      <c r="N1118" s="352" t="s">
        <v>2048</v>
      </c>
      <c r="O1118" s="352">
        <v>5</v>
      </c>
      <c r="P1118" s="352" t="s">
        <v>2057</v>
      </c>
      <c r="Q1118" s="352" t="s">
        <v>2058</v>
      </c>
      <c r="R1118" s="251">
        <v>0</v>
      </c>
      <c r="S1118" s="251" t="s">
        <v>2015</v>
      </c>
      <c r="T1118" s="251" t="s">
        <v>2054</v>
      </c>
      <c r="U1118" s="251" t="s">
        <v>1918</v>
      </c>
      <c r="V1118" s="251" t="s">
        <v>1919</v>
      </c>
      <c r="X1118" s="251">
        <v>0</v>
      </c>
    </row>
    <row r="1119" spans="2:24" x14ac:dyDescent="0.2">
      <c r="B1119" s="352" t="s">
        <v>873</v>
      </c>
      <c r="C1119" s="352" t="s">
        <v>754</v>
      </c>
      <c r="F1119" s="352" t="s">
        <v>1999</v>
      </c>
      <c r="G1119" s="352" t="s">
        <v>2121</v>
      </c>
      <c r="H1119" s="352" t="s">
        <v>1662</v>
      </c>
      <c r="I1119" s="352" t="s">
        <v>977</v>
      </c>
      <c r="J1119" s="352" t="s">
        <v>864</v>
      </c>
      <c r="K1119" s="352">
        <v>1222</v>
      </c>
      <c r="L1119" s="352" t="s">
        <v>718</v>
      </c>
      <c r="M1119" s="352" t="s">
        <v>2158</v>
      </c>
      <c r="N1119" s="352" t="s">
        <v>2048</v>
      </c>
      <c r="O1119" s="352">
        <v>5</v>
      </c>
      <c r="P1119" s="352" t="s">
        <v>2057</v>
      </c>
      <c r="Q1119" s="352" t="s">
        <v>2058</v>
      </c>
      <c r="R1119" s="251">
        <v>0</v>
      </c>
      <c r="S1119" s="251" t="s">
        <v>2015</v>
      </c>
      <c r="T1119" s="251" t="s">
        <v>2054</v>
      </c>
      <c r="U1119" s="251">
        <v>0</v>
      </c>
      <c r="V1119" s="251" t="s">
        <v>2153</v>
      </c>
      <c r="X1119" s="251">
        <v>0</v>
      </c>
    </row>
    <row r="1120" spans="2:24" x14ac:dyDescent="0.2">
      <c r="B1120" s="352" t="s">
        <v>873</v>
      </c>
      <c r="C1120" s="352" t="s">
        <v>754</v>
      </c>
      <c r="F1120" s="352" t="s">
        <v>1999</v>
      </c>
      <c r="G1120" s="352" t="s">
        <v>2121</v>
      </c>
      <c r="H1120" s="352" t="s">
        <v>1662</v>
      </c>
      <c r="I1120" s="352" t="s">
        <v>977</v>
      </c>
      <c r="J1120" s="352" t="s">
        <v>864</v>
      </c>
      <c r="K1120" s="352">
        <v>1231</v>
      </c>
      <c r="L1120" s="352" t="s">
        <v>726</v>
      </c>
      <c r="M1120" s="352" t="s">
        <v>2159</v>
      </c>
      <c r="N1120" s="352" t="s">
        <v>2048</v>
      </c>
      <c r="O1120" s="352">
        <v>5</v>
      </c>
      <c r="P1120" s="352" t="s">
        <v>2057</v>
      </c>
      <c r="Q1120" s="352" t="s">
        <v>2058</v>
      </c>
      <c r="R1120" s="251">
        <v>0</v>
      </c>
      <c r="S1120" s="251" t="s">
        <v>2015</v>
      </c>
      <c r="T1120" s="251" t="s">
        <v>2054</v>
      </c>
      <c r="U1120" s="251" t="s">
        <v>1920</v>
      </c>
      <c r="V1120" s="251" t="s">
        <v>726</v>
      </c>
      <c r="X1120" s="251">
        <v>0</v>
      </c>
    </row>
    <row r="1121" spans="2:24" x14ac:dyDescent="0.2">
      <c r="B1121" s="352" t="s">
        <v>873</v>
      </c>
      <c r="C1121" s="352" t="s">
        <v>754</v>
      </c>
      <c r="F1121" s="352" t="s">
        <v>1999</v>
      </c>
      <c r="G1121" s="352" t="s">
        <v>2121</v>
      </c>
      <c r="H1121" s="352" t="s">
        <v>1662</v>
      </c>
      <c r="I1121" s="352" t="s">
        <v>977</v>
      </c>
      <c r="J1121" s="352" t="s">
        <v>864</v>
      </c>
      <c r="K1121" s="352">
        <v>1232</v>
      </c>
      <c r="L1121" s="352" t="s">
        <v>734</v>
      </c>
      <c r="M1121" s="352" t="s">
        <v>2160</v>
      </c>
      <c r="N1121" s="352" t="s">
        <v>2048</v>
      </c>
      <c r="O1121" s="352">
        <v>5</v>
      </c>
      <c r="P1121" s="352" t="s">
        <v>2057</v>
      </c>
      <c r="Q1121" s="352" t="s">
        <v>2058</v>
      </c>
      <c r="R1121" s="251">
        <v>148.82901907019368</v>
      </c>
      <c r="S1121" s="251" t="s">
        <v>2015</v>
      </c>
      <c r="T1121" s="251" t="s">
        <v>2016</v>
      </c>
      <c r="U1121" s="251">
        <v>0</v>
      </c>
      <c r="V1121" s="251" t="s">
        <v>2153</v>
      </c>
      <c r="X1121" s="251">
        <v>0</v>
      </c>
    </row>
    <row r="1122" spans="2:24" x14ac:dyDescent="0.2">
      <c r="B1122" s="352" t="s">
        <v>873</v>
      </c>
      <c r="C1122" s="352" t="s">
        <v>754</v>
      </c>
      <c r="F1122" s="352" t="s">
        <v>1999</v>
      </c>
      <c r="G1122" s="352" t="s">
        <v>2121</v>
      </c>
      <c r="H1122" s="352" t="s">
        <v>1662</v>
      </c>
      <c r="I1122" s="352" t="s">
        <v>977</v>
      </c>
      <c r="J1122" s="352" t="s">
        <v>864</v>
      </c>
      <c r="K1122" s="352">
        <v>1241</v>
      </c>
      <c r="L1122" s="352" t="s">
        <v>1872</v>
      </c>
      <c r="M1122" s="352" t="s">
        <v>2161</v>
      </c>
      <c r="N1122" s="352" t="s">
        <v>2048</v>
      </c>
      <c r="O1122" s="352">
        <v>5</v>
      </c>
      <c r="P1122" s="352" t="s">
        <v>2057</v>
      </c>
      <c r="Q1122" s="352" t="s">
        <v>2058</v>
      </c>
      <c r="R1122" s="251">
        <v>0</v>
      </c>
      <c r="S1122" s="251" t="s">
        <v>2015</v>
      </c>
      <c r="T1122" s="251" t="s">
        <v>2054</v>
      </c>
      <c r="U1122" s="251">
        <v>0</v>
      </c>
      <c r="V1122" s="251" t="s">
        <v>2153</v>
      </c>
      <c r="X1122" s="251">
        <v>0</v>
      </c>
    </row>
    <row r="1123" spans="2:24" x14ac:dyDescent="0.2">
      <c r="B1123" s="352" t="s">
        <v>873</v>
      </c>
      <c r="C1123" s="352" t="s">
        <v>754</v>
      </c>
      <c r="F1123" s="352" t="s">
        <v>1999</v>
      </c>
      <c r="G1123" s="352" t="s">
        <v>2121</v>
      </c>
      <c r="H1123" s="352" t="s">
        <v>1662</v>
      </c>
      <c r="I1123" s="352" t="s">
        <v>977</v>
      </c>
      <c r="J1123" s="352" t="s">
        <v>864</v>
      </c>
      <c r="K1123" s="352">
        <v>1251</v>
      </c>
      <c r="L1123" s="352" t="s">
        <v>733</v>
      </c>
      <c r="M1123" s="352" t="s">
        <v>2162</v>
      </c>
      <c r="N1123" s="352" t="s">
        <v>2048</v>
      </c>
      <c r="O1123" s="352">
        <v>5</v>
      </c>
      <c r="P1123" s="352" t="s">
        <v>2057</v>
      </c>
      <c r="Q1123" s="352" t="s">
        <v>2058</v>
      </c>
      <c r="R1123" s="251">
        <v>70.584081837802501</v>
      </c>
      <c r="S1123" s="251" t="s">
        <v>2015</v>
      </c>
      <c r="T1123" s="251" t="s">
        <v>2016</v>
      </c>
      <c r="U1123" s="251">
        <v>0</v>
      </c>
      <c r="V1123" s="251" t="s">
        <v>2153</v>
      </c>
      <c r="X1123" s="251">
        <v>0</v>
      </c>
    </row>
    <row r="1124" spans="2:24" x14ac:dyDescent="0.2">
      <c r="B1124" s="352" t="s">
        <v>873</v>
      </c>
      <c r="C1124" s="352" t="s">
        <v>754</v>
      </c>
      <c r="F1124" s="352" t="s">
        <v>1999</v>
      </c>
      <c r="G1124" s="352" t="s">
        <v>2121</v>
      </c>
      <c r="H1124" s="352" t="s">
        <v>1667</v>
      </c>
      <c r="I1124" s="352" t="s">
        <v>978</v>
      </c>
      <c r="J1124" s="352" t="s">
        <v>1892</v>
      </c>
      <c r="K1124" s="352">
        <v>1111</v>
      </c>
      <c r="L1124" s="352" t="s">
        <v>699</v>
      </c>
      <c r="M1124" s="352" t="s">
        <v>2163</v>
      </c>
      <c r="N1124" s="352" t="s">
        <v>2048</v>
      </c>
      <c r="O1124" s="352">
        <v>5</v>
      </c>
      <c r="P1124" s="352" t="s">
        <v>2057</v>
      </c>
      <c r="Q1124" s="352" t="s">
        <v>2058</v>
      </c>
      <c r="R1124" s="251">
        <v>0</v>
      </c>
      <c r="S1124" s="251" t="s">
        <v>2015</v>
      </c>
      <c r="T1124" s="251" t="s">
        <v>2054</v>
      </c>
      <c r="U1124" s="251" t="s">
        <v>1914</v>
      </c>
      <c r="V1124" s="251" t="s">
        <v>1915</v>
      </c>
      <c r="X1124" s="251">
        <v>0</v>
      </c>
    </row>
    <row r="1125" spans="2:24" x14ac:dyDescent="0.2">
      <c r="B1125" s="352" t="s">
        <v>873</v>
      </c>
      <c r="C1125" s="352" t="s">
        <v>754</v>
      </c>
      <c r="F1125" s="352" t="s">
        <v>1999</v>
      </c>
      <c r="G1125" s="352" t="s">
        <v>2121</v>
      </c>
      <c r="H1125" s="352" t="s">
        <v>1667</v>
      </c>
      <c r="I1125" s="352" t="s">
        <v>978</v>
      </c>
      <c r="J1125" s="352" t="s">
        <v>1892</v>
      </c>
      <c r="K1125" s="352">
        <v>1231</v>
      </c>
      <c r="L1125" s="352" t="s">
        <v>726</v>
      </c>
      <c r="M1125" s="352" t="s">
        <v>2164</v>
      </c>
      <c r="N1125" s="352" t="s">
        <v>2048</v>
      </c>
      <c r="O1125" s="352">
        <v>5</v>
      </c>
      <c r="P1125" s="352" t="s">
        <v>2057</v>
      </c>
      <c r="Q1125" s="352" t="s">
        <v>2058</v>
      </c>
      <c r="R1125" s="251">
        <v>940.10711159800303</v>
      </c>
      <c r="S1125" s="251" t="s">
        <v>2015</v>
      </c>
      <c r="T1125" s="251" t="s">
        <v>2016</v>
      </c>
      <c r="U1125" s="251" t="s">
        <v>1920</v>
      </c>
      <c r="V1125" s="251" t="s">
        <v>726</v>
      </c>
      <c r="X1125" s="251">
        <v>0</v>
      </c>
    </row>
    <row r="1126" spans="2:24" x14ac:dyDescent="0.2">
      <c r="B1126" s="352" t="s">
        <v>873</v>
      </c>
      <c r="C1126" s="352" t="s">
        <v>754</v>
      </c>
      <c r="F1126" s="352" t="s">
        <v>1999</v>
      </c>
      <c r="G1126" s="352" t="s">
        <v>2121</v>
      </c>
      <c r="H1126" s="352" t="s">
        <v>1672</v>
      </c>
      <c r="I1126" s="352" t="s">
        <v>979</v>
      </c>
      <c r="J1126" s="352" t="s">
        <v>980</v>
      </c>
      <c r="K1126" s="352">
        <v>1241</v>
      </c>
      <c r="L1126" s="352" t="s">
        <v>1872</v>
      </c>
      <c r="M1126" s="352" t="s">
        <v>2165</v>
      </c>
      <c r="N1126" s="352" t="s">
        <v>2048</v>
      </c>
      <c r="O1126" s="352">
        <v>7</v>
      </c>
      <c r="P1126" s="352" t="s">
        <v>2055</v>
      </c>
      <c r="Q1126" s="352" t="s">
        <v>2056</v>
      </c>
      <c r="R1126" s="251">
        <v>45.767290188694297</v>
      </c>
      <c r="S1126" s="251" t="s">
        <v>2015</v>
      </c>
      <c r="T1126" s="251" t="s">
        <v>2016</v>
      </c>
      <c r="U1126" s="251">
        <v>0</v>
      </c>
      <c r="V1126" s="251" t="s">
        <v>2153</v>
      </c>
      <c r="X1126" s="251">
        <v>0</v>
      </c>
    </row>
    <row r="1127" spans="2:24" x14ac:dyDescent="0.2">
      <c r="B1127" s="352" t="s">
        <v>873</v>
      </c>
      <c r="C1127" s="352" t="s">
        <v>754</v>
      </c>
      <c r="F1127" s="352" t="s">
        <v>1999</v>
      </c>
      <c r="G1127" s="352" t="s">
        <v>2121</v>
      </c>
      <c r="H1127" s="352" t="s">
        <v>1677</v>
      </c>
      <c r="I1127" s="352" t="s">
        <v>981</v>
      </c>
      <c r="J1127" s="352" t="s">
        <v>3674</v>
      </c>
      <c r="K1127" s="352">
        <v>1241</v>
      </c>
      <c r="L1127" s="352" t="s">
        <v>1872</v>
      </c>
      <c r="M1127" s="352" t="s">
        <v>2166</v>
      </c>
      <c r="N1127" s="352" t="s">
        <v>2048</v>
      </c>
      <c r="O1127" s="352">
        <v>13</v>
      </c>
      <c r="P1127" s="352" t="s">
        <v>2059</v>
      </c>
      <c r="Q1127" s="352" t="s">
        <v>2060</v>
      </c>
      <c r="R1127" s="251">
        <v>0</v>
      </c>
      <c r="S1127" s="251" t="s">
        <v>2015</v>
      </c>
      <c r="T1127" s="251" t="s">
        <v>2054</v>
      </c>
      <c r="U1127" s="251">
        <v>0</v>
      </c>
      <c r="V1127" s="251" t="s">
        <v>2153</v>
      </c>
      <c r="X1127" s="251">
        <v>0</v>
      </c>
    </row>
    <row r="1128" spans="2:24" x14ac:dyDescent="0.2">
      <c r="B1128" s="352" t="s">
        <v>873</v>
      </c>
      <c r="C1128" s="352" t="s">
        <v>754</v>
      </c>
      <c r="F1128" s="352" t="s">
        <v>1999</v>
      </c>
      <c r="G1128" s="352" t="s">
        <v>2121</v>
      </c>
      <c r="H1128" s="352" t="s">
        <v>1677</v>
      </c>
      <c r="I1128" s="352" t="s">
        <v>981</v>
      </c>
      <c r="J1128" s="352" t="s">
        <v>3674</v>
      </c>
      <c r="K1128" s="352">
        <v>1251</v>
      </c>
      <c r="L1128" s="352" t="s">
        <v>733</v>
      </c>
      <c r="M1128" s="352" t="s">
        <v>2167</v>
      </c>
      <c r="N1128" s="352" t="s">
        <v>2048</v>
      </c>
      <c r="O1128" s="352">
        <v>13</v>
      </c>
      <c r="P1128" s="352" t="s">
        <v>2059</v>
      </c>
      <c r="Q1128" s="352" t="s">
        <v>2060</v>
      </c>
      <c r="R1128" s="251">
        <v>0</v>
      </c>
      <c r="S1128" s="251" t="s">
        <v>2015</v>
      </c>
      <c r="T1128" s="251" t="s">
        <v>2054</v>
      </c>
      <c r="U1128" s="251">
        <v>0</v>
      </c>
      <c r="V1128" s="251" t="s">
        <v>2153</v>
      </c>
      <c r="X1128" s="251">
        <v>0</v>
      </c>
    </row>
    <row r="1129" spans="2:24" x14ac:dyDescent="0.2">
      <c r="B1129" s="352" t="s">
        <v>873</v>
      </c>
      <c r="C1129" s="352" t="s">
        <v>754</v>
      </c>
      <c r="F1129" s="352" t="s">
        <v>1999</v>
      </c>
      <c r="G1129" s="352" t="s">
        <v>2121</v>
      </c>
      <c r="H1129" s="352" t="s">
        <v>1682</v>
      </c>
      <c r="I1129" s="352" t="s">
        <v>982</v>
      </c>
      <c r="J1129" s="352" t="s">
        <v>983</v>
      </c>
      <c r="K1129" s="352">
        <v>2111</v>
      </c>
      <c r="L1129" s="352" t="s">
        <v>1873</v>
      </c>
      <c r="M1129" s="352" t="s">
        <v>2168</v>
      </c>
      <c r="N1129" s="352" t="s">
        <v>2048</v>
      </c>
      <c r="O1129" s="352">
        <v>3</v>
      </c>
      <c r="P1129" s="352" t="s">
        <v>2117</v>
      </c>
      <c r="Q1129" s="352" t="s">
        <v>2114</v>
      </c>
      <c r="R1129" s="251">
        <v>82.369241066189772</v>
      </c>
      <c r="S1129" s="251" t="s">
        <v>2015</v>
      </c>
      <c r="T1129" s="251" t="s">
        <v>2016</v>
      </c>
      <c r="U1129" s="251" t="s">
        <v>1929</v>
      </c>
      <c r="V1129" s="251" t="s">
        <v>1930</v>
      </c>
      <c r="X1129" s="251">
        <v>0</v>
      </c>
    </row>
    <row r="1130" spans="2:24" x14ac:dyDescent="0.2">
      <c r="B1130" s="352" t="s">
        <v>873</v>
      </c>
      <c r="C1130" s="352" t="s">
        <v>754</v>
      </c>
      <c r="F1130" s="352" t="s">
        <v>1999</v>
      </c>
      <c r="G1130" s="352" t="s">
        <v>2121</v>
      </c>
      <c r="H1130" s="352" t="s">
        <v>1682</v>
      </c>
      <c r="I1130" s="352" t="s">
        <v>982</v>
      </c>
      <c r="J1130" s="352" t="s">
        <v>983</v>
      </c>
      <c r="K1130" s="352">
        <v>2121</v>
      </c>
      <c r="L1130" s="352" t="s">
        <v>1876</v>
      </c>
      <c r="M1130" s="352" t="s">
        <v>2169</v>
      </c>
      <c r="N1130" s="352" t="s">
        <v>2048</v>
      </c>
      <c r="O1130" s="352">
        <v>3</v>
      </c>
      <c r="P1130" s="352" t="s">
        <v>2117</v>
      </c>
      <c r="Q1130" s="352" t="s">
        <v>2114</v>
      </c>
      <c r="R1130" s="251">
        <v>262.34328911353902</v>
      </c>
      <c r="S1130" s="251" t="s">
        <v>2015</v>
      </c>
      <c r="T1130" s="251" t="s">
        <v>2016</v>
      </c>
      <c r="U1130" s="251" t="s">
        <v>1929</v>
      </c>
      <c r="V1130" s="251" t="s">
        <v>1930</v>
      </c>
      <c r="X1130" s="251">
        <v>0</v>
      </c>
    </row>
    <row r="1131" spans="2:24" x14ac:dyDescent="0.2">
      <c r="B1131" s="352" t="s">
        <v>873</v>
      </c>
      <c r="C1131" s="352" t="s">
        <v>754</v>
      </c>
      <c r="F1131" s="352" t="s">
        <v>1999</v>
      </c>
      <c r="G1131" s="352" t="s">
        <v>2121</v>
      </c>
      <c r="H1131" s="352" t="s">
        <v>1682</v>
      </c>
      <c r="I1131" s="352" t="s">
        <v>982</v>
      </c>
      <c r="J1131" s="352" t="s">
        <v>983</v>
      </c>
      <c r="K1131" s="352">
        <v>2131</v>
      </c>
      <c r="L1131" s="352" t="s">
        <v>1879</v>
      </c>
      <c r="M1131" s="352" t="s">
        <v>2170</v>
      </c>
      <c r="N1131" s="352" t="s">
        <v>2048</v>
      </c>
      <c r="O1131" s="352">
        <v>3</v>
      </c>
      <c r="P1131" s="352" t="s">
        <v>2117</v>
      </c>
      <c r="Q1131" s="352" t="s">
        <v>2114</v>
      </c>
      <c r="R1131" s="251">
        <v>0</v>
      </c>
      <c r="S1131" s="251" t="s">
        <v>2015</v>
      </c>
      <c r="T1131" s="251" t="s">
        <v>2054</v>
      </c>
      <c r="U1131" s="251" t="s">
        <v>1929</v>
      </c>
      <c r="V1131" s="251" t="s">
        <v>1930</v>
      </c>
      <c r="X1131" s="251">
        <v>0</v>
      </c>
    </row>
    <row r="1132" spans="2:24" x14ac:dyDescent="0.2">
      <c r="B1132" s="352" t="s">
        <v>873</v>
      </c>
      <c r="C1132" s="352" t="s">
        <v>754</v>
      </c>
      <c r="F1132" s="352" t="s">
        <v>1999</v>
      </c>
      <c r="G1132" s="352" t="s">
        <v>2121</v>
      </c>
      <c r="H1132" s="352" t="s">
        <v>1682</v>
      </c>
      <c r="I1132" s="352" t="s">
        <v>982</v>
      </c>
      <c r="J1132" s="352" t="s">
        <v>983</v>
      </c>
      <c r="K1132" s="352">
        <v>2211</v>
      </c>
      <c r="L1132" s="352" t="s">
        <v>1883</v>
      </c>
      <c r="M1132" s="352" t="s">
        <v>2171</v>
      </c>
      <c r="N1132" s="352" t="s">
        <v>2048</v>
      </c>
      <c r="O1132" s="352">
        <v>3</v>
      </c>
      <c r="P1132" s="352" t="s">
        <v>2117</v>
      </c>
      <c r="Q1132" s="352" t="s">
        <v>2114</v>
      </c>
      <c r="R1132" s="251">
        <v>0</v>
      </c>
      <c r="S1132" s="251" t="s">
        <v>2015</v>
      </c>
      <c r="T1132" s="251" t="s">
        <v>2054</v>
      </c>
      <c r="U1132" s="251" t="s">
        <v>1929</v>
      </c>
      <c r="V1132" s="251" t="s">
        <v>1930</v>
      </c>
      <c r="X1132" s="251">
        <v>0</v>
      </c>
    </row>
    <row r="1133" spans="2:24" x14ac:dyDescent="0.2">
      <c r="B1133" s="352" t="s">
        <v>873</v>
      </c>
      <c r="C1133" s="352" t="s">
        <v>754</v>
      </c>
      <c r="F1133" s="352" t="s">
        <v>1999</v>
      </c>
      <c r="G1133" s="352" t="s">
        <v>2121</v>
      </c>
      <c r="H1133" s="352" t="s">
        <v>1687</v>
      </c>
      <c r="I1133" s="352" t="s">
        <v>984</v>
      </c>
      <c r="J1133" s="352" t="s">
        <v>985</v>
      </c>
      <c r="K1133" s="352">
        <v>2111</v>
      </c>
      <c r="L1133" s="352" t="s">
        <v>1873</v>
      </c>
      <c r="M1133" s="352" t="s">
        <v>2172</v>
      </c>
      <c r="N1133" s="352" t="s">
        <v>2048</v>
      </c>
      <c r="O1133" s="352">
        <v>11</v>
      </c>
      <c r="P1133" s="352" t="s">
        <v>2063</v>
      </c>
      <c r="Q1133" s="352" t="s">
        <v>2064</v>
      </c>
      <c r="R1133" s="251">
        <v>0</v>
      </c>
      <c r="S1133" s="251" t="s">
        <v>2015</v>
      </c>
      <c r="T1133" s="251" t="s">
        <v>2054</v>
      </c>
      <c r="U1133" s="251" t="s">
        <v>1929</v>
      </c>
      <c r="V1133" s="251" t="s">
        <v>1930</v>
      </c>
      <c r="X1133" s="251">
        <v>0</v>
      </c>
    </row>
    <row r="1134" spans="2:24" x14ac:dyDescent="0.2">
      <c r="B1134" s="352" t="s">
        <v>873</v>
      </c>
      <c r="C1134" s="352" t="s">
        <v>754</v>
      </c>
      <c r="F1134" s="352" t="s">
        <v>1999</v>
      </c>
      <c r="G1134" s="352" t="s">
        <v>2121</v>
      </c>
      <c r="H1134" s="352" t="s">
        <v>1687</v>
      </c>
      <c r="I1134" s="352" t="s">
        <v>984</v>
      </c>
      <c r="J1134" s="352" t="s">
        <v>985</v>
      </c>
      <c r="K1134" s="352">
        <v>2121</v>
      </c>
      <c r="L1134" s="352" t="s">
        <v>1876</v>
      </c>
      <c r="M1134" s="352" t="s">
        <v>2173</v>
      </c>
      <c r="N1134" s="352" t="s">
        <v>2048</v>
      </c>
      <c r="O1134" s="352">
        <v>11</v>
      </c>
      <c r="P1134" s="352" t="s">
        <v>2063</v>
      </c>
      <c r="Q1134" s="352" t="s">
        <v>2064</v>
      </c>
      <c r="R1134" s="251">
        <v>0</v>
      </c>
      <c r="S1134" s="251" t="s">
        <v>2015</v>
      </c>
      <c r="T1134" s="251" t="s">
        <v>2054</v>
      </c>
      <c r="U1134" s="251" t="s">
        <v>1929</v>
      </c>
      <c r="V1134" s="251" t="s">
        <v>1930</v>
      </c>
      <c r="X1134" s="251">
        <v>0</v>
      </c>
    </row>
    <row r="1135" spans="2:24" x14ac:dyDescent="0.2">
      <c r="B1135" s="352" t="s">
        <v>873</v>
      </c>
      <c r="C1135" s="352" t="s">
        <v>754</v>
      </c>
      <c r="F1135" s="352" t="s">
        <v>1999</v>
      </c>
      <c r="G1135" s="352" t="s">
        <v>2121</v>
      </c>
      <c r="H1135" s="352" t="s">
        <v>1687</v>
      </c>
      <c r="I1135" s="352" t="s">
        <v>984</v>
      </c>
      <c r="J1135" s="352" t="s">
        <v>985</v>
      </c>
      <c r="K1135" s="352">
        <v>2131</v>
      </c>
      <c r="L1135" s="352" t="s">
        <v>1879</v>
      </c>
      <c r="M1135" s="352" t="s">
        <v>2174</v>
      </c>
      <c r="N1135" s="352" t="s">
        <v>2048</v>
      </c>
      <c r="O1135" s="352">
        <v>11</v>
      </c>
      <c r="P1135" s="352" t="s">
        <v>2063</v>
      </c>
      <c r="Q1135" s="352" t="s">
        <v>2064</v>
      </c>
      <c r="R1135" s="251">
        <v>9.9644944078782345</v>
      </c>
      <c r="S1135" s="251" t="s">
        <v>2015</v>
      </c>
      <c r="T1135" s="251" t="s">
        <v>2016</v>
      </c>
      <c r="U1135" s="251" t="s">
        <v>1929</v>
      </c>
      <c r="V1135" s="251" t="s">
        <v>1930</v>
      </c>
      <c r="X1135" s="251">
        <v>0</v>
      </c>
    </row>
    <row r="1136" spans="2:24" x14ac:dyDescent="0.2">
      <c r="B1136" s="352" t="s">
        <v>873</v>
      </c>
      <c r="C1136" s="352" t="s">
        <v>754</v>
      </c>
      <c r="F1136" s="352" t="s">
        <v>1999</v>
      </c>
      <c r="G1136" s="352" t="s">
        <v>2121</v>
      </c>
      <c r="H1136" s="352" t="s">
        <v>1687</v>
      </c>
      <c r="I1136" s="352" t="s">
        <v>984</v>
      </c>
      <c r="J1136" s="352" t="s">
        <v>985</v>
      </c>
      <c r="K1136" s="352">
        <v>2211</v>
      </c>
      <c r="L1136" s="352" t="s">
        <v>1883</v>
      </c>
      <c r="M1136" s="352" t="s">
        <v>2175</v>
      </c>
      <c r="N1136" s="352" t="s">
        <v>2048</v>
      </c>
      <c r="O1136" s="352">
        <v>11</v>
      </c>
      <c r="P1136" s="352" t="s">
        <v>2063</v>
      </c>
      <c r="Q1136" s="352" t="s">
        <v>2064</v>
      </c>
      <c r="R1136" s="251">
        <v>17.288445976611222</v>
      </c>
      <c r="S1136" s="251" t="s">
        <v>2015</v>
      </c>
      <c r="T1136" s="251" t="s">
        <v>2016</v>
      </c>
      <c r="U1136" s="251" t="s">
        <v>1929</v>
      </c>
      <c r="V1136" s="251" t="s">
        <v>1930</v>
      </c>
      <c r="X1136" s="251">
        <v>0</v>
      </c>
    </row>
    <row r="1137" spans="2:24" x14ac:dyDescent="0.2">
      <c r="B1137" s="352" t="s">
        <v>873</v>
      </c>
      <c r="C1137" s="352" t="s">
        <v>754</v>
      </c>
      <c r="F1137" s="352" t="s">
        <v>1999</v>
      </c>
      <c r="G1137" s="352" t="s">
        <v>2121</v>
      </c>
      <c r="H1137" s="352" t="s">
        <v>1692</v>
      </c>
      <c r="I1137" s="352" t="s">
        <v>986</v>
      </c>
      <c r="J1137" s="352" t="s">
        <v>987</v>
      </c>
      <c r="K1137" s="352">
        <v>2112</v>
      </c>
      <c r="L1137" s="352" t="s">
        <v>1874</v>
      </c>
      <c r="M1137" s="352" t="s">
        <v>2176</v>
      </c>
      <c r="N1137" s="352" t="s">
        <v>2048</v>
      </c>
      <c r="O1137" s="352">
        <v>11</v>
      </c>
      <c r="P1137" s="352" t="s">
        <v>2063</v>
      </c>
      <c r="Q1137" s="352" t="s">
        <v>2064</v>
      </c>
      <c r="R1137" s="251">
        <v>0.32346389870839798</v>
      </c>
      <c r="S1137" s="251" t="s">
        <v>2015</v>
      </c>
      <c r="T1137" s="251" t="s">
        <v>2016</v>
      </c>
      <c r="U1137" s="251" t="s">
        <v>1931</v>
      </c>
      <c r="V1137" s="251" t="s">
        <v>1932</v>
      </c>
      <c r="X1137" s="251">
        <v>0</v>
      </c>
    </row>
    <row r="1138" spans="2:24" x14ac:dyDescent="0.2">
      <c r="B1138" s="352" t="s">
        <v>873</v>
      </c>
      <c r="C1138" s="352" t="s">
        <v>754</v>
      </c>
      <c r="F1138" s="352" t="s">
        <v>1999</v>
      </c>
      <c r="G1138" s="352" t="s">
        <v>2121</v>
      </c>
      <c r="H1138" s="352" t="s">
        <v>1692</v>
      </c>
      <c r="I1138" s="352" t="s">
        <v>986</v>
      </c>
      <c r="J1138" s="352" t="s">
        <v>987</v>
      </c>
      <c r="K1138" s="352">
        <v>2122</v>
      </c>
      <c r="L1138" s="352" t="s">
        <v>1877</v>
      </c>
      <c r="M1138" s="352" t="s">
        <v>2177</v>
      </c>
      <c r="N1138" s="352" t="s">
        <v>2048</v>
      </c>
      <c r="O1138" s="352">
        <v>11</v>
      </c>
      <c r="P1138" s="352" t="s">
        <v>2063</v>
      </c>
      <c r="Q1138" s="352" t="s">
        <v>2064</v>
      </c>
      <c r="R1138" s="251">
        <v>100.46377717191359</v>
      </c>
      <c r="S1138" s="251" t="s">
        <v>2015</v>
      </c>
      <c r="T1138" s="251" t="s">
        <v>2016</v>
      </c>
      <c r="U1138" s="251" t="s">
        <v>1931</v>
      </c>
      <c r="V1138" s="251" t="s">
        <v>1932</v>
      </c>
      <c r="X1138" s="251">
        <v>0</v>
      </c>
    </row>
    <row r="1139" spans="2:24" x14ac:dyDescent="0.2">
      <c r="B1139" s="352" t="s">
        <v>873</v>
      </c>
      <c r="C1139" s="352" t="s">
        <v>754</v>
      </c>
      <c r="F1139" s="352" t="s">
        <v>1999</v>
      </c>
      <c r="G1139" s="352" t="s">
        <v>2121</v>
      </c>
      <c r="H1139" s="352" t="s">
        <v>1697</v>
      </c>
      <c r="I1139" s="352" t="s">
        <v>988</v>
      </c>
      <c r="J1139" s="352" t="s">
        <v>989</v>
      </c>
      <c r="K1139" s="352">
        <v>2112</v>
      </c>
      <c r="L1139" s="352" t="s">
        <v>1874</v>
      </c>
      <c r="M1139" s="352" t="s">
        <v>2178</v>
      </c>
      <c r="N1139" s="352" t="s">
        <v>2048</v>
      </c>
      <c r="O1139" s="352">
        <v>11</v>
      </c>
      <c r="P1139" s="352" t="s">
        <v>2063</v>
      </c>
      <c r="Q1139" s="352" t="s">
        <v>2064</v>
      </c>
      <c r="R1139" s="251">
        <v>0.48519584806259697</v>
      </c>
      <c r="S1139" s="251" t="s">
        <v>2015</v>
      </c>
      <c r="T1139" s="251" t="s">
        <v>2016</v>
      </c>
      <c r="U1139" s="251" t="s">
        <v>1931</v>
      </c>
      <c r="V1139" s="251" t="s">
        <v>1932</v>
      </c>
      <c r="X1139" s="251">
        <v>0</v>
      </c>
    </row>
    <row r="1140" spans="2:24" x14ac:dyDescent="0.2">
      <c r="B1140" s="352" t="s">
        <v>873</v>
      </c>
      <c r="C1140" s="352" t="s">
        <v>754</v>
      </c>
      <c r="F1140" s="352" t="s">
        <v>1999</v>
      </c>
      <c r="G1140" s="352" t="s">
        <v>2121</v>
      </c>
      <c r="H1140" s="352" t="s">
        <v>1697</v>
      </c>
      <c r="I1140" s="352" t="s">
        <v>988</v>
      </c>
      <c r="J1140" s="352" t="s">
        <v>989</v>
      </c>
      <c r="K1140" s="352">
        <v>2122</v>
      </c>
      <c r="L1140" s="352" t="s">
        <v>1877</v>
      </c>
      <c r="M1140" s="352" t="s">
        <v>2179</v>
      </c>
      <c r="N1140" s="352" t="s">
        <v>2048</v>
      </c>
      <c r="O1140" s="352">
        <v>11</v>
      </c>
      <c r="P1140" s="352" t="s">
        <v>2063</v>
      </c>
      <c r="Q1140" s="352" t="s">
        <v>2064</v>
      </c>
      <c r="R1140" s="251">
        <v>150.69566575787036</v>
      </c>
      <c r="S1140" s="251" t="s">
        <v>2015</v>
      </c>
      <c r="T1140" s="251" t="s">
        <v>2016</v>
      </c>
      <c r="U1140" s="251" t="s">
        <v>1931</v>
      </c>
      <c r="V1140" s="251" t="s">
        <v>1932</v>
      </c>
      <c r="X1140" s="251">
        <v>0</v>
      </c>
    </row>
    <row r="1141" spans="2:24" x14ac:dyDescent="0.2">
      <c r="B1141" s="352" t="s">
        <v>873</v>
      </c>
      <c r="C1141" s="352" t="s">
        <v>754</v>
      </c>
      <c r="F1141" s="352" t="s">
        <v>1999</v>
      </c>
      <c r="G1141" s="352" t="s">
        <v>2121</v>
      </c>
      <c r="H1141" s="352" t="s">
        <v>1702</v>
      </c>
      <c r="I1141" s="352" t="s">
        <v>990</v>
      </c>
      <c r="J1141" s="352" t="s">
        <v>991</v>
      </c>
      <c r="K1141" s="352">
        <v>2132</v>
      </c>
      <c r="L1141" s="352" t="s">
        <v>1880</v>
      </c>
      <c r="M1141" s="352" t="s">
        <v>2180</v>
      </c>
      <c r="N1141" s="352" t="s">
        <v>2048</v>
      </c>
      <c r="O1141" s="352">
        <v>1</v>
      </c>
      <c r="P1141" s="352" t="s">
        <v>2065</v>
      </c>
      <c r="Q1141" s="352" t="s">
        <v>2066</v>
      </c>
      <c r="R1141" s="251">
        <v>61.120595602605142</v>
      </c>
      <c r="S1141" s="251" t="s">
        <v>2015</v>
      </c>
      <c r="T1141" s="251" t="s">
        <v>2016</v>
      </c>
      <c r="U1141" s="251" t="s">
        <v>1931</v>
      </c>
      <c r="V1141" s="251" t="s">
        <v>1932</v>
      </c>
      <c r="X1141" s="251">
        <v>0</v>
      </c>
    </row>
    <row r="1142" spans="2:24" x14ac:dyDescent="0.2">
      <c r="B1142" s="352" t="s">
        <v>873</v>
      </c>
      <c r="C1142" s="352" t="s">
        <v>754</v>
      </c>
      <c r="F1142" s="352" t="s">
        <v>1999</v>
      </c>
      <c r="G1142" s="352" t="s">
        <v>2121</v>
      </c>
      <c r="H1142" s="352" t="s">
        <v>1707</v>
      </c>
      <c r="I1142" s="352" t="s">
        <v>994</v>
      </c>
      <c r="J1142" s="352" t="s">
        <v>995</v>
      </c>
      <c r="K1142" s="352">
        <v>2311</v>
      </c>
      <c r="L1142" s="352" t="s">
        <v>1887</v>
      </c>
      <c r="M1142" s="352" t="s">
        <v>2181</v>
      </c>
      <c r="N1142" s="352" t="s">
        <v>2048</v>
      </c>
      <c r="O1142" s="352">
        <v>8</v>
      </c>
      <c r="P1142" s="352" t="s">
        <v>2067</v>
      </c>
      <c r="Q1142" s="352" t="s">
        <v>2068</v>
      </c>
      <c r="R1142" s="251">
        <v>3817.2040075646578</v>
      </c>
      <c r="S1142" s="251" t="s">
        <v>2015</v>
      </c>
      <c r="T1142" s="251" t="s">
        <v>2016</v>
      </c>
      <c r="U1142" s="251" t="s">
        <v>1943</v>
      </c>
      <c r="V1142" s="251" t="s">
        <v>1944</v>
      </c>
      <c r="X1142" s="251">
        <v>0</v>
      </c>
    </row>
    <row r="1143" spans="2:24" x14ac:dyDescent="0.2">
      <c r="B1143" s="352" t="s">
        <v>873</v>
      </c>
      <c r="C1143" s="352" t="s">
        <v>754</v>
      </c>
      <c r="F1143" s="352" t="s">
        <v>1999</v>
      </c>
      <c r="G1143" s="352" t="s">
        <v>2121</v>
      </c>
      <c r="H1143" s="352" t="s">
        <v>1712</v>
      </c>
      <c r="I1143" s="352" t="s">
        <v>996</v>
      </c>
      <c r="J1143" s="352" t="s">
        <v>997</v>
      </c>
      <c r="K1143" s="352">
        <v>2311</v>
      </c>
      <c r="L1143" s="352" t="s">
        <v>1887</v>
      </c>
      <c r="M1143" s="352" t="s">
        <v>2182</v>
      </c>
      <c r="N1143" s="352" t="s">
        <v>2048</v>
      </c>
      <c r="O1143" s="352">
        <v>8</v>
      </c>
      <c r="P1143" s="352" t="s">
        <v>2067</v>
      </c>
      <c r="Q1143" s="352" t="s">
        <v>2068</v>
      </c>
      <c r="R1143" s="251">
        <v>0</v>
      </c>
      <c r="S1143" s="251" t="s">
        <v>2015</v>
      </c>
      <c r="T1143" s="251" t="s">
        <v>2054</v>
      </c>
      <c r="U1143" s="251" t="s">
        <v>1943</v>
      </c>
      <c r="V1143" s="251" t="s">
        <v>1944</v>
      </c>
      <c r="X1143" s="251">
        <v>0</v>
      </c>
    </row>
    <row r="1144" spans="2:24" x14ac:dyDescent="0.2">
      <c r="B1144" s="352" t="s">
        <v>873</v>
      </c>
      <c r="C1144" s="352" t="s">
        <v>754</v>
      </c>
      <c r="F1144" s="352" t="s">
        <v>1999</v>
      </c>
      <c r="G1144" s="352" t="s">
        <v>2121</v>
      </c>
      <c r="H1144" s="352" t="s">
        <v>1717</v>
      </c>
      <c r="I1144" s="352" t="s">
        <v>998</v>
      </c>
      <c r="J1144" s="352" t="s">
        <v>999</v>
      </c>
      <c r="K1144" s="352">
        <v>2311</v>
      </c>
      <c r="L1144" s="352" t="s">
        <v>1887</v>
      </c>
      <c r="M1144" s="352" t="s">
        <v>2183</v>
      </c>
      <c r="N1144" s="352" t="s">
        <v>2048</v>
      </c>
      <c r="O1144" s="352">
        <v>8</v>
      </c>
      <c r="P1144" s="352" t="s">
        <v>2067</v>
      </c>
      <c r="Q1144" s="352" t="s">
        <v>2068</v>
      </c>
      <c r="R1144" s="251">
        <v>0</v>
      </c>
      <c r="S1144" s="251" t="s">
        <v>2015</v>
      </c>
      <c r="T1144" s="251" t="s">
        <v>2054</v>
      </c>
      <c r="U1144" s="251" t="s">
        <v>1943</v>
      </c>
      <c r="V1144" s="251" t="s">
        <v>1944</v>
      </c>
      <c r="X1144" s="251">
        <v>0</v>
      </c>
    </row>
    <row r="1145" spans="2:24" x14ac:dyDescent="0.2">
      <c r="B1145" s="352" t="s">
        <v>873</v>
      </c>
      <c r="C1145" s="352" t="s">
        <v>754</v>
      </c>
      <c r="F1145" s="352" t="s">
        <v>1999</v>
      </c>
      <c r="G1145" s="352" t="s">
        <v>2121</v>
      </c>
      <c r="H1145" s="352" t="s">
        <v>1717</v>
      </c>
      <c r="I1145" s="352" t="s">
        <v>998</v>
      </c>
      <c r="J1145" s="352" t="s">
        <v>999</v>
      </c>
      <c r="K1145" s="352">
        <v>2312</v>
      </c>
      <c r="L1145" s="352" t="s">
        <v>789</v>
      </c>
      <c r="M1145" s="352" t="s">
        <v>2184</v>
      </c>
      <c r="N1145" s="352" t="s">
        <v>2048</v>
      </c>
      <c r="O1145" s="352">
        <v>8</v>
      </c>
      <c r="P1145" s="352" t="s">
        <v>2067</v>
      </c>
      <c r="Q1145" s="352" t="s">
        <v>2068</v>
      </c>
      <c r="R1145" s="251">
        <v>0</v>
      </c>
      <c r="S1145" s="251" t="s">
        <v>2015</v>
      </c>
      <c r="T1145" s="251" t="s">
        <v>2054</v>
      </c>
      <c r="U1145" s="251" t="s">
        <v>1943</v>
      </c>
      <c r="V1145" s="251" t="s">
        <v>1944</v>
      </c>
      <c r="X1145" s="251">
        <v>0</v>
      </c>
    </row>
    <row r="1146" spans="2:24" x14ac:dyDescent="0.2">
      <c r="B1146" s="352" t="s">
        <v>873</v>
      </c>
      <c r="C1146" s="352" t="s">
        <v>754</v>
      </c>
      <c r="F1146" s="352" t="s">
        <v>1999</v>
      </c>
      <c r="G1146" s="352" t="s">
        <v>2121</v>
      </c>
      <c r="H1146" s="352" t="s">
        <v>1722</v>
      </c>
      <c r="I1146" s="352" t="s">
        <v>1000</v>
      </c>
      <c r="J1146" s="352" t="s">
        <v>1001</v>
      </c>
      <c r="K1146" s="352">
        <v>2141</v>
      </c>
      <c r="L1146" s="352" t="s">
        <v>1882</v>
      </c>
      <c r="M1146" s="352" t="s">
        <v>2185</v>
      </c>
      <c r="N1146" s="352" t="s">
        <v>2048</v>
      </c>
      <c r="O1146" s="352">
        <v>12</v>
      </c>
      <c r="P1146" s="352" t="s">
        <v>2069</v>
      </c>
      <c r="Q1146" s="352" t="s">
        <v>2070</v>
      </c>
      <c r="R1146" s="251">
        <v>610.47049584108379</v>
      </c>
      <c r="S1146" s="251" t="s">
        <v>2015</v>
      </c>
      <c r="T1146" s="251" t="s">
        <v>2016</v>
      </c>
      <c r="U1146" s="251" t="s">
        <v>1935</v>
      </c>
      <c r="V1146" s="251" t="s">
        <v>1936</v>
      </c>
      <c r="X1146" s="251">
        <v>0</v>
      </c>
    </row>
    <row r="1147" spans="2:24" x14ac:dyDescent="0.2">
      <c r="B1147" s="352" t="s">
        <v>873</v>
      </c>
      <c r="C1147" s="352" t="s">
        <v>754</v>
      </c>
      <c r="F1147" s="352" t="s">
        <v>1999</v>
      </c>
      <c r="G1147" s="352" t="s">
        <v>2121</v>
      </c>
      <c r="H1147" s="352" t="s">
        <v>1722</v>
      </c>
      <c r="I1147" s="352" t="s">
        <v>1000</v>
      </c>
      <c r="J1147" s="352" t="s">
        <v>1001</v>
      </c>
      <c r="K1147" s="352">
        <v>2142</v>
      </c>
      <c r="L1147" s="352" t="s">
        <v>780</v>
      </c>
      <c r="M1147" s="352" t="s">
        <v>2186</v>
      </c>
      <c r="N1147" s="352" t="s">
        <v>2048</v>
      </c>
      <c r="O1147" s="352">
        <v>12</v>
      </c>
      <c r="P1147" s="352" t="s">
        <v>2069</v>
      </c>
      <c r="Q1147" s="352" t="s">
        <v>2070</v>
      </c>
      <c r="R1147" s="251">
        <v>1518.6046956815255</v>
      </c>
      <c r="S1147" s="251" t="s">
        <v>2015</v>
      </c>
      <c r="T1147" s="251" t="s">
        <v>2016</v>
      </c>
      <c r="U1147" s="251">
        <v>0</v>
      </c>
      <c r="V1147" s="251" t="s">
        <v>2153</v>
      </c>
      <c r="X1147" s="251">
        <v>0</v>
      </c>
    </row>
    <row r="1148" spans="2:24" x14ac:dyDescent="0.2">
      <c r="B1148" s="352" t="s">
        <v>873</v>
      </c>
      <c r="C1148" s="352" t="s">
        <v>754</v>
      </c>
      <c r="F1148" s="352" t="s">
        <v>1999</v>
      </c>
      <c r="G1148" s="352" t="s">
        <v>2121</v>
      </c>
      <c r="H1148" s="352" t="s">
        <v>1727</v>
      </c>
      <c r="I1148" s="352" t="s">
        <v>1002</v>
      </c>
      <c r="J1148" s="352" t="s">
        <v>1003</v>
      </c>
      <c r="K1148" s="352">
        <v>2113</v>
      </c>
      <c r="L1148" s="352" t="s">
        <v>1875</v>
      </c>
      <c r="M1148" s="352" t="s">
        <v>2187</v>
      </c>
      <c r="N1148" s="352" t="s">
        <v>2048</v>
      </c>
      <c r="O1148" s="352">
        <v>1</v>
      </c>
      <c r="P1148" s="352" t="s">
        <v>2065</v>
      </c>
      <c r="Q1148" s="352" t="s">
        <v>2066</v>
      </c>
      <c r="R1148" s="251">
        <v>0.80865974677099495</v>
      </c>
      <c r="S1148" s="251" t="s">
        <v>2015</v>
      </c>
      <c r="T1148" s="251" t="s">
        <v>2016</v>
      </c>
      <c r="U1148" s="251" t="s">
        <v>1935</v>
      </c>
      <c r="V1148" s="251" t="s">
        <v>1936</v>
      </c>
      <c r="X1148" s="251">
        <v>0</v>
      </c>
    </row>
    <row r="1149" spans="2:24" x14ac:dyDescent="0.2">
      <c r="B1149" s="352" t="s">
        <v>873</v>
      </c>
      <c r="C1149" s="352" t="s">
        <v>754</v>
      </c>
      <c r="F1149" s="352" t="s">
        <v>1999</v>
      </c>
      <c r="G1149" s="352" t="s">
        <v>2121</v>
      </c>
      <c r="H1149" s="352" t="s">
        <v>1727</v>
      </c>
      <c r="I1149" s="352" t="s">
        <v>1002</v>
      </c>
      <c r="J1149" s="352" t="s">
        <v>1003</v>
      </c>
      <c r="K1149" s="352">
        <v>2123</v>
      </c>
      <c r="L1149" s="352" t="s">
        <v>1878</v>
      </c>
      <c r="M1149" s="352" t="s">
        <v>2188</v>
      </c>
      <c r="N1149" s="352" t="s">
        <v>2048</v>
      </c>
      <c r="O1149" s="352">
        <v>1</v>
      </c>
      <c r="P1149" s="352" t="s">
        <v>2065</v>
      </c>
      <c r="Q1149" s="352" t="s">
        <v>2066</v>
      </c>
      <c r="R1149" s="251">
        <v>9.5643447863376565</v>
      </c>
      <c r="S1149" s="251" t="s">
        <v>2015</v>
      </c>
      <c r="T1149" s="251" t="s">
        <v>2016</v>
      </c>
      <c r="U1149" s="251" t="s">
        <v>1935</v>
      </c>
      <c r="V1149" s="251" t="s">
        <v>1936</v>
      </c>
      <c r="X1149" s="251">
        <v>0</v>
      </c>
    </row>
    <row r="1150" spans="2:24" x14ac:dyDescent="0.2">
      <c r="B1150" s="352" t="s">
        <v>873</v>
      </c>
      <c r="C1150" s="352" t="s">
        <v>754</v>
      </c>
      <c r="F1150" s="352" t="s">
        <v>1999</v>
      </c>
      <c r="G1150" s="352" t="s">
        <v>2121</v>
      </c>
      <c r="H1150" s="352" t="s">
        <v>1732</v>
      </c>
      <c r="I1150" s="352" t="s">
        <v>1006</v>
      </c>
      <c r="J1150" s="352" t="s">
        <v>1007</v>
      </c>
      <c r="K1150" s="352">
        <v>2133</v>
      </c>
      <c r="L1150" s="352" t="s">
        <v>1881</v>
      </c>
      <c r="M1150" s="352" t="s">
        <v>2189</v>
      </c>
      <c r="N1150" s="352" t="s">
        <v>2048</v>
      </c>
      <c r="O1150" s="352">
        <v>1</v>
      </c>
      <c r="P1150" s="352" t="s">
        <v>2065</v>
      </c>
      <c r="Q1150" s="352" t="s">
        <v>2066</v>
      </c>
      <c r="R1150" s="251">
        <v>78.775955553567726</v>
      </c>
      <c r="S1150" s="251" t="s">
        <v>2015</v>
      </c>
      <c r="T1150" s="251" t="s">
        <v>2016</v>
      </c>
      <c r="U1150" s="251" t="s">
        <v>1935</v>
      </c>
      <c r="V1150" s="251" t="s">
        <v>1936</v>
      </c>
      <c r="X1150" s="251">
        <v>0</v>
      </c>
    </row>
    <row r="1151" spans="2:24" x14ac:dyDescent="0.2">
      <c r="B1151" s="352" t="s">
        <v>873</v>
      </c>
      <c r="C1151" s="352" t="s">
        <v>754</v>
      </c>
      <c r="F1151" s="352" t="s">
        <v>1999</v>
      </c>
      <c r="G1151" s="352" t="s">
        <v>2121</v>
      </c>
      <c r="H1151" s="352" t="s">
        <v>1732</v>
      </c>
      <c r="I1151" s="352" t="s">
        <v>1006</v>
      </c>
      <c r="J1151" s="352" t="s">
        <v>1007</v>
      </c>
      <c r="K1151" s="352">
        <v>2141</v>
      </c>
      <c r="L1151" s="352" t="s">
        <v>1882</v>
      </c>
      <c r="M1151" s="352" t="s">
        <v>2190</v>
      </c>
      <c r="N1151" s="352" t="s">
        <v>2048</v>
      </c>
      <c r="O1151" s="352">
        <v>1</v>
      </c>
      <c r="P1151" s="352" t="s">
        <v>2065</v>
      </c>
      <c r="Q1151" s="352" t="s">
        <v>2066</v>
      </c>
      <c r="R1151" s="251">
        <v>0</v>
      </c>
      <c r="S1151" s="251" t="s">
        <v>2015</v>
      </c>
      <c r="T1151" s="251" t="s">
        <v>2054</v>
      </c>
      <c r="U1151" s="251" t="s">
        <v>1935</v>
      </c>
      <c r="V1151" s="251" t="s">
        <v>1936</v>
      </c>
      <c r="X1151" s="251">
        <v>0</v>
      </c>
    </row>
    <row r="1152" spans="2:24" x14ac:dyDescent="0.2">
      <c r="B1152" s="352" t="s">
        <v>873</v>
      </c>
      <c r="C1152" s="352" t="s">
        <v>754</v>
      </c>
      <c r="F1152" s="352" t="s">
        <v>1999</v>
      </c>
      <c r="G1152" s="352" t="s">
        <v>2121</v>
      </c>
      <c r="H1152" s="352" t="s">
        <v>1732</v>
      </c>
      <c r="I1152" s="352" t="s">
        <v>1006</v>
      </c>
      <c r="J1152" s="352" t="s">
        <v>1007</v>
      </c>
      <c r="K1152" s="352">
        <v>2221</v>
      </c>
      <c r="L1152" s="352" t="s">
        <v>1884</v>
      </c>
      <c r="M1152" s="352" t="s">
        <v>2191</v>
      </c>
      <c r="N1152" s="352" t="s">
        <v>2048</v>
      </c>
      <c r="O1152" s="352">
        <v>1</v>
      </c>
      <c r="P1152" s="352" t="s">
        <v>2065</v>
      </c>
      <c r="Q1152" s="352" t="s">
        <v>2066</v>
      </c>
      <c r="R1152" s="251">
        <v>288.22441271863732</v>
      </c>
      <c r="S1152" s="251" t="s">
        <v>2015</v>
      </c>
      <c r="T1152" s="251" t="s">
        <v>2016</v>
      </c>
      <c r="U1152" s="251" t="s">
        <v>1935</v>
      </c>
      <c r="V1152" s="251" t="s">
        <v>1936</v>
      </c>
      <c r="X1152" s="251">
        <v>0</v>
      </c>
    </row>
    <row r="1153" spans="2:24" x14ac:dyDescent="0.2">
      <c r="B1153" s="352" t="s">
        <v>873</v>
      </c>
      <c r="C1153" s="352" t="s">
        <v>754</v>
      </c>
      <c r="F1153" s="352" t="s">
        <v>1999</v>
      </c>
      <c r="G1153" s="352" t="s">
        <v>2121</v>
      </c>
      <c r="H1153" s="352" t="s">
        <v>1737</v>
      </c>
      <c r="I1153" s="352" t="s">
        <v>1008</v>
      </c>
      <c r="J1153" s="352" t="s">
        <v>1009</v>
      </c>
      <c r="K1153" s="352">
        <v>2223</v>
      </c>
      <c r="L1153" s="352" t="s">
        <v>1886</v>
      </c>
      <c r="M1153" s="352" t="s">
        <v>2192</v>
      </c>
      <c r="N1153" s="352" t="s">
        <v>2048</v>
      </c>
      <c r="O1153" s="352">
        <v>2</v>
      </c>
      <c r="P1153" s="352" t="s">
        <v>2071</v>
      </c>
      <c r="Q1153" s="352" t="s">
        <v>2072</v>
      </c>
      <c r="R1153" s="251">
        <v>10.380408510097872</v>
      </c>
      <c r="S1153" s="251" t="s">
        <v>2193</v>
      </c>
      <c r="T1153" s="251" t="s">
        <v>2213</v>
      </c>
      <c r="U1153" s="251" t="s">
        <v>1937</v>
      </c>
      <c r="V1153" s="251" t="s">
        <v>1938</v>
      </c>
      <c r="X1153" s="251">
        <v>0</v>
      </c>
    </row>
    <row r="1154" spans="2:24" x14ac:dyDescent="0.2">
      <c r="B1154" s="352" t="s">
        <v>873</v>
      </c>
      <c r="C1154" s="352" t="s">
        <v>754</v>
      </c>
      <c r="F1154" s="352" t="s">
        <v>1999</v>
      </c>
      <c r="G1154" s="352" t="s">
        <v>2121</v>
      </c>
      <c r="H1154" s="352" t="s">
        <v>1742</v>
      </c>
      <c r="I1154" s="352" t="s">
        <v>1010</v>
      </c>
      <c r="J1154" s="352" t="s">
        <v>1011</v>
      </c>
      <c r="K1154" s="352">
        <v>2222</v>
      </c>
      <c r="L1154" s="352" t="s">
        <v>1885</v>
      </c>
      <c r="M1154" s="352" t="s">
        <v>2194</v>
      </c>
      <c r="N1154" s="352" t="s">
        <v>2048</v>
      </c>
      <c r="O1154" s="352">
        <v>2</v>
      </c>
      <c r="P1154" s="352" t="s">
        <v>2071</v>
      </c>
      <c r="Q1154" s="352" t="s">
        <v>2072</v>
      </c>
      <c r="R1154" s="251">
        <v>134.07979500328059</v>
      </c>
      <c r="S1154" s="251" t="s">
        <v>2193</v>
      </c>
      <c r="T1154" s="251" t="s">
        <v>2213</v>
      </c>
      <c r="U1154" s="251" t="s">
        <v>1939</v>
      </c>
      <c r="V1154" s="251" t="s">
        <v>1940</v>
      </c>
      <c r="X1154" s="251">
        <v>0</v>
      </c>
    </row>
    <row r="1155" spans="2:24" x14ac:dyDescent="0.2">
      <c r="B1155" s="352" t="s">
        <v>873</v>
      </c>
      <c r="C1155" s="352" t="s">
        <v>754</v>
      </c>
      <c r="F1155" s="352" t="s">
        <v>1999</v>
      </c>
      <c r="G1155" s="352" t="s">
        <v>2121</v>
      </c>
      <c r="H1155" s="352" t="s">
        <v>1747</v>
      </c>
      <c r="I1155" s="352" t="s">
        <v>1012</v>
      </c>
      <c r="J1155" s="352" t="s">
        <v>1013</v>
      </c>
      <c r="K1155" s="352">
        <v>2222</v>
      </c>
      <c r="L1155" s="352" t="s">
        <v>1885</v>
      </c>
      <c r="M1155" s="352" t="s">
        <v>2195</v>
      </c>
      <c r="N1155" s="352" t="s">
        <v>2048</v>
      </c>
      <c r="O1155" s="352">
        <v>2</v>
      </c>
      <c r="P1155" s="352" t="s">
        <v>2071</v>
      </c>
      <c r="Q1155" s="352" t="s">
        <v>2072</v>
      </c>
      <c r="R1155" s="251">
        <v>0</v>
      </c>
      <c r="S1155" s="251" t="s">
        <v>2193</v>
      </c>
      <c r="T1155" s="251" t="s">
        <v>2054</v>
      </c>
      <c r="U1155" s="251" t="s">
        <v>1939</v>
      </c>
      <c r="V1155" s="251" t="s">
        <v>1940</v>
      </c>
      <c r="X1155" s="251">
        <v>0</v>
      </c>
    </row>
    <row r="1156" spans="2:24" x14ac:dyDescent="0.2">
      <c r="B1156" s="352" t="s">
        <v>873</v>
      </c>
      <c r="C1156" s="352" t="s">
        <v>754</v>
      </c>
      <c r="F1156" s="352" t="s">
        <v>1999</v>
      </c>
      <c r="G1156" s="352" t="s">
        <v>2121</v>
      </c>
      <c r="H1156" s="352" t="s">
        <v>1752</v>
      </c>
      <c r="I1156" s="352" t="s">
        <v>1014</v>
      </c>
      <c r="J1156" s="352" t="s">
        <v>1893</v>
      </c>
      <c r="K1156" s="352">
        <v>2131</v>
      </c>
      <c r="L1156" s="352" t="s">
        <v>1879</v>
      </c>
      <c r="M1156" s="352" t="s">
        <v>2196</v>
      </c>
      <c r="N1156" s="352" t="s">
        <v>2048</v>
      </c>
      <c r="O1156" s="352">
        <v>8</v>
      </c>
      <c r="P1156" s="352" t="s">
        <v>2067</v>
      </c>
      <c r="Q1156" s="352" t="s">
        <v>2068</v>
      </c>
      <c r="R1156" s="251">
        <v>0</v>
      </c>
      <c r="S1156" s="251" t="s">
        <v>2015</v>
      </c>
      <c r="T1156" s="251" t="s">
        <v>2054</v>
      </c>
      <c r="U1156" s="251" t="s">
        <v>1929</v>
      </c>
      <c r="V1156" s="251" t="s">
        <v>1930</v>
      </c>
      <c r="X1156" s="251">
        <v>0</v>
      </c>
    </row>
    <row r="1157" spans="2:24" x14ac:dyDescent="0.2">
      <c r="B1157" s="352" t="s">
        <v>873</v>
      </c>
      <c r="C1157" s="352" t="s">
        <v>754</v>
      </c>
      <c r="F1157" s="352" t="s">
        <v>1999</v>
      </c>
      <c r="G1157" s="352" t="s">
        <v>2121</v>
      </c>
      <c r="H1157" s="352" t="s">
        <v>1752</v>
      </c>
      <c r="I1157" s="352" t="s">
        <v>1014</v>
      </c>
      <c r="J1157" s="352" t="s">
        <v>1893</v>
      </c>
      <c r="K1157" s="352">
        <v>2132</v>
      </c>
      <c r="L1157" s="352" t="s">
        <v>1880</v>
      </c>
      <c r="M1157" s="352" t="s">
        <v>2197</v>
      </c>
      <c r="N1157" s="352" t="s">
        <v>2048</v>
      </c>
      <c r="O1157" s="352">
        <v>8</v>
      </c>
      <c r="P1157" s="352" t="s">
        <v>2067</v>
      </c>
      <c r="Q1157" s="352" t="s">
        <v>2068</v>
      </c>
      <c r="R1157" s="251">
        <v>0</v>
      </c>
      <c r="S1157" s="251" t="s">
        <v>2015</v>
      </c>
      <c r="T1157" s="251" t="s">
        <v>2054</v>
      </c>
      <c r="U1157" s="251" t="s">
        <v>1931</v>
      </c>
      <c r="V1157" s="251" t="s">
        <v>1932</v>
      </c>
      <c r="X1157" s="251">
        <v>0</v>
      </c>
    </row>
    <row r="1158" spans="2:24" x14ac:dyDescent="0.2">
      <c r="B1158" s="352" t="s">
        <v>873</v>
      </c>
      <c r="C1158" s="352" t="s">
        <v>754</v>
      </c>
      <c r="F1158" s="352" t="s">
        <v>1999</v>
      </c>
      <c r="G1158" s="352" t="s">
        <v>2121</v>
      </c>
      <c r="H1158" s="352" t="s">
        <v>1752</v>
      </c>
      <c r="I1158" s="352" t="s">
        <v>1014</v>
      </c>
      <c r="J1158" s="352" t="s">
        <v>1893</v>
      </c>
      <c r="K1158" s="352">
        <v>2133</v>
      </c>
      <c r="L1158" s="352" t="s">
        <v>1881</v>
      </c>
      <c r="M1158" s="352" t="s">
        <v>2198</v>
      </c>
      <c r="N1158" s="352" t="s">
        <v>2048</v>
      </c>
      <c r="O1158" s="352">
        <v>8</v>
      </c>
      <c r="P1158" s="352" t="s">
        <v>2067</v>
      </c>
      <c r="Q1158" s="352" t="s">
        <v>2068</v>
      </c>
      <c r="R1158" s="251">
        <v>0</v>
      </c>
      <c r="S1158" s="251" t="s">
        <v>2015</v>
      </c>
      <c r="T1158" s="251" t="s">
        <v>2054</v>
      </c>
      <c r="U1158" s="251" t="s">
        <v>1935</v>
      </c>
      <c r="V1158" s="251" t="s">
        <v>1936</v>
      </c>
      <c r="X1158" s="251">
        <v>0</v>
      </c>
    </row>
    <row r="1159" spans="2:24" x14ac:dyDescent="0.2">
      <c r="B1159" s="352" t="s">
        <v>873</v>
      </c>
      <c r="C1159" s="352" t="s">
        <v>754</v>
      </c>
      <c r="F1159" s="352" t="s">
        <v>1999</v>
      </c>
      <c r="G1159" s="352" t="s">
        <v>2121</v>
      </c>
      <c r="H1159" s="352" t="s">
        <v>1752</v>
      </c>
      <c r="I1159" s="352" t="s">
        <v>1014</v>
      </c>
      <c r="J1159" s="352" t="s">
        <v>1893</v>
      </c>
      <c r="K1159" s="352">
        <v>2134</v>
      </c>
      <c r="L1159" s="352" t="s">
        <v>775</v>
      </c>
      <c r="M1159" s="352" t="s">
        <v>2199</v>
      </c>
      <c r="N1159" s="352" t="s">
        <v>2048</v>
      </c>
      <c r="O1159" s="352">
        <v>8</v>
      </c>
      <c r="P1159" s="352" t="s">
        <v>2067</v>
      </c>
      <c r="Q1159" s="352" t="s">
        <v>2068</v>
      </c>
      <c r="R1159" s="251">
        <v>5.7765184973207138</v>
      </c>
      <c r="S1159" s="251" t="s">
        <v>2015</v>
      </c>
      <c r="T1159" s="251" t="s">
        <v>2016</v>
      </c>
      <c r="U1159" s="251">
        <v>0</v>
      </c>
      <c r="V1159" s="251" t="s">
        <v>2153</v>
      </c>
      <c r="X1159" s="251">
        <v>0</v>
      </c>
    </row>
    <row r="1160" spans="2:24" x14ac:dyDescent="0.2">
      <c r="B1160" s="352" t="s">
        <v>873</v>
      </c>
      <c r="C1160" s="352" t="s">
        <v>754</v>
      </c>
      <c r="F1160" s="352" t="s">
        <v>1999</v>
      </c>
      <c r="G1160" s="352" t="s">
        <v>2121</v>
      </c>
      <c r="H1160" s="352" t="s">
        <v>1752</v>
      </c>
      <c r="I1160" s="352" t="s">
        <v>1014</v>
      </c>
      <c r="J1160" s="352" t="s">
        <v>1893</v>
      </c>
      <c r="K1160" s="352">
        <v>2141</v>
      </c>
      <c r="L1160" s="352" t="s">
        <v>1882</v>
      </c>
      <c r="M1160" s="352" t="s">
        <v>2200</v>
      </c>
      <c r="N1160" s="352" t="s">
        <v>2048</v>
      </c>
      <c r="O1160" s="352">
        <v>8</v>
      </c>
      <c r="P1160" s="352" t="s">
        <v>2067</v>
      </c>
      <c r="Q1160" s="352" t="s">
        <v>2068</v>
      </c>
      <c r="R1160" s="251">
        <v>18.880530799208778</v>
      </c>
      <c r="S1160" s="251" t="s">
        <v>2015</v>
      </c>
      <c r="T1160" s="251" t="s">
        <v>2016</v>
      </c>
      <c r="U1160" s="251" t="s">
        <v>1935</v>
      </c>
      <c r="V1160" s="251" t="s">
        <v>1936</v>
      </c>
      <c r="X1160" s="251">
        <v>0</v>
      </c>
    </row>
    <row r="1161" spans="2:24" x14ac:dyDescent="0.2">
      <c r="B1161" s="352" t="s">
        <v>873</v>
      </c>
      <c r="C1161" s="352" t="s">
        <v>754</v>
      </c>
      <c r="F1161" s="352" t="s">
        <v>1999</v>
      </c>
      <c r="G1161" s="352" t="s">
        <v>2121</v>
      </c>
      <c r="H1161" s="352" t="s">
        <v>1752</v>
      </c>
      <c r="I1161" s="352" t="s">
        <v>1014</v>
      </c>
      <c r="J1161" s="352" t="s">
        <v>1893</v>
      </c>
      <c r="K1161" s="352">
        <v>2211</v>
      </c>
      <c r="L1161" s="352" t="s">
        <v>1883</v>
      </c>
      <c r="M1161" s="352" t="s">
        <v>2201</v>
      </c>
      <c r="N1161" s="352" t="s">
        <v>2048</v>
      </c>
      <c r="O1161" s="352">
        <v>8</v>
      </c>
      <c r="P1161" s="352" t="s">
        <v>2067</v>
      </c>
      <c r="Q1161" s="352" t="s">
        <v>2068</v>
      </c>
      <c r="R1161" s="251">
        <v>0</v>
      </c>
      <c r="S1161" s="251" t="s">
        <v>2015</v>
      </c>
      <c r="T1161" s="251" t="s">
        <v>2054</v>
      </c>
      <c r="U1161" s="251" t="s">
        <v>1929</v>
      </c>
      <c r="V1161" s="251" t="s">
        <v>1930</v>
      </c>
      <c r="X1161" s="251">
        <v>0</v>
      </c>
    </row>
    <row r="1162" spans="2:24" x14ac:dyDescent="0.2">
      <c r="B1162" s="352" t="s">
        <v>873</v>
      </c>
      <c r="C1162" s="352" t="s">
        <v>754</v>
      </c>
      <c r="F1162" s="352" t="s">
        <v>1999</v>
      </c>
      <c r="G1162" s="352" t="s">
        <v>2121</v>
      </c>
      <c r="H1162" s="352" t="s">
        <v>1752</v>
      </c>
      <c r="I1162" s="352" t="s">
        <v>1014</v>
      </c>
      <c r="J1162" s="352" t="s">
        <v>1893</v>
      </c>
      <c r="K1162" s="352">
        <v>2221</v>
      </c>
      <c r="L1162" s="352" t="s">
        <v>1884</v>
      </c>
      <c r="M1162" s="352" t="s">
        <v>2202</v>
      </c>
      <c r="N1162" s="352" t="s">
        <v>2048</v>
      </c>
      <c r="O1162" s="352">
        <v>8</v>
      </c>
      <c r="P1162" s="352" t="s">
        <v>2067</v>
      </c>
      <c r="Q1162" s="352" t="s">
        <v>2068</v>
      </c>
      <c r="R1162" s="251">
        <v>0</v>
      </c>
      <c r="S1162" s="251" t="s">
        <v>2015</v>
      </c>
      <c r="T1162" s="251" t="s">
        <v>2054</v>
      </c>
      <c r="U1162" s="251" t="s">
        <v>1935</v>
      </c>
      <c r="V1162" s="251" t="s">
        <v>1936</v>
      </c>
      <c r="X1162" s="251">
        <v>0</v>
      </c>
    </row>
    <row r="1163" spans="2:24" x14ac:dyDescent="0.2">
      <c r="B1163" s="352" t="s">
        <v>873</v>
      </c>
      <c r="C1163" s="352" t="s">
        <v>754</v>
      </c>
      <c r="F1163" s="352" t="s">
        <v>1999</v>
      </c>
      <c r="G1163" s="352" t="s">
        <v>2121</v>
      </c>
      <c r="H1163" s="352" t="s">
        <v>1757</v>
      </c>
      <c r="I1163" s="352" t="s">
        <v>1015</v>
      </c>
      <c r="J1163" s="352" t="s">
        <v>1016</v>
      </c>
      <c r="K1163" s="352">
        <v>3111</v>
      </c>
      <c r="L1163" s="352" t="s">
        <v>763</v>
      </c>
      <c r="M1163" s="352" t="s">
        <v>2203</v>
      </c>
      <c r="N1163" s="352" t="s">
        <v>2048</v>
      </c>
      <c r="O1163" s="352">
        <v>1</v>
      </c>
      <c r="P1163" s="352" t="s">
        <v>2065</v>
      </c>
      <c r="Q1163" s="352" t="s">
        <v>2066</v>
      </c>
      <c r="R1163" s="251">
        <v>0</v>
      </c>
      <c r="S1163" s="251"/>
      <c r="T1163" s="251" t="s">
        <v>2054</v>
      </c>
      <c r="U1163" s="251" t="s">
        <v>1945</v>
      </c>
      <c r="V1163" s="251" t="s">
        <v>709</v>
      </c>
      <c r="X1163" s="251">
        <v>0</v>
      </c>
    </row>
    <row r="1164" spans="2:24" x14ac:dyDescent="0.2">
      <c r="B1164" s="352" t="s">
        <v>873</v>
      </c>
      <c r="C1164" s="352" t="s">
        <v>754</v>
      </c>
      <c r="F1164" s="352" t="s">
        <v>1999</v>
      </c>
      <c r="G1164" s="352" t="s">
        <v>2121</v>
      </c>
      <c r="H1164" s="352" t="s">
        <v>1757</v>
      </c>
      <c r="I1164" s="352" t="s">
        <v>1015</v>
      </c>
      <c r="J1164" s="352" t="s">
        <v>1016</v>
      </c>
      <c r="K1164" s="352">
        <v>3121</v>
      </c>
      <c r="L1164" s="352" t="s">
        <v>766</v>
      </c>
      <c r="M1164" s="352" t="s">
        <v>2204</v>
      </c>
      <c r="N1164" s="352" t="s">
        <v>2048</v>
      </c>
      <c r="O1164" s="352">
        <v>1</v>
      </c>
      <c r="P1164" s="352" t="s">
        <v>2065</v>
      </c>
      <c r="Q1164" s="352" t="s">
        <v>2066</v>
      </c>
      <c r="R1164" s="251">
        <v>0</v>
      </c>
      <c r="S1164" s="251"/>
      <c r="T1164" s="251" t="s">
        <v>2054</v>
      </c>
      <c r="U1164" s="251" t="s">
        <v>1945</v>
      </c>
      <c r="V1164" s="251" t="s">
        <v>709</v>
      </c>
      <c r="X1164" s="251">
        <v>0</v>
      </c>
    </row>
    <row r="1165" spans="2:24" x14ac:dyDescent="0.2">
      <c r="B1165" s="352" t="s">
        <v>873</v>
      </c>
      <c r="C1165" s="352" t="s">
        <v>754</v>
      </c>
      <c r="F1165" s="352" t="s">
        <v>1999</v>
      </c>
      <c r="G1165" s="352" t="s">
        <v>2121</v>
      </c>
      <c r="H1165" s="352" t="s">
        <v>1762</v>
      </c>
      <c r="I1165" s="352" t="s">
        <v>1017</v>
      </c>
      <c r="J1165" s="352" t="s">
        <v>1018</v>
      </c>
      <c r="K1165" s="352">
        <v>4111</v>
      </c>
      <c r="L1165" s="352" t="s">
        <v>770</v>
      </c>
      <c r="M1165" s="352" t="s">
        <v>2205</v>
      </c>
      <c r="N1165" s="352" t="s">
        <v>2048</v>
      </c>
      <c r="O1165" s="352">
        <v>11</v>
      </c>
      <c r="P1165" s="352" t="s">
        <v>2063</v>
      </c>
      <c r="Q1165" s="352" t="s">
        <v>2064</v>
      </c>
      <c r="R1165" s="251">
        <v>64.998404586668585</v>
      </c>
      <c r="S1165" s="251" t="s">
        <v>2015</v>
      </c>
      <c r="T1165" s="251" t="s">
        <v>2016</v>
      </c>
      <c r="U1165" s="251" t="s">
        <v>1946</v>
      </c>
      <c r="V1165" s="251" t="s">
        <v>1947</v>
      </c>
      <c r="X1165" s="251">
        <v>0</v>
      </c>
    </row>
    <row r="1166" spans="2:24" x14ac:dyDescent="0.2">
      <c r="B1166" s="352" t="s">
        <v>873</v>
      </c>
      <c r="C1166" s="352" t="s">
        <v>754</v>
      </c>
      <c r="F1166" s="352" t="s">
        <v>1999</v>
      </c>
      <c r="G1166" s="352" t="s">
        <v>2121</v>
      </c>
      <c r="H1166" s="352" t="s">
        <v>1762</v>
      </c>
      <c r="I1166" s="352" t="s">
        <v>1017</v>
      </c>
      <c r="J1166" s="352" t="s">
        <v>1018</v>
      </c>
      <c r="K1166" s="352">
        <v>4121</v>
      </c>
      <c r="L1166" s="352" t="s">
        <v>772</v>
      </c>
      <c r="M1166" s="352" t="s">
        <v>2206</v>
      </c>
      <c r="N1166" s="352" t="s">
        <v>2048</v>
      </c>
      <c r="O1166" s="352">
        <v>11</v>
      </c>
      <c r="P1166" s="352" t="s">
        <v>2063</v>
      </c>
      <c r="Q1166" s="352" t="s">
        <v>2064</v>
      </c>
      <c r="R1166" s="251">
        <v>76.444014208759668</v>
      </c>
      <c r="S1166" s="251" t="s">
        <v>2015</v>
      </c>
      <c r="T1166" s="251" t="s">
        <v>2016</v>
      </c>
      <c r="U1166" s="251" t="s">
        <v>1946</v>
      </c>
      <c r="V1166" s="251" t="s">
        <v>1947</v>
      </c>
      <c r="X1166" s="251">
        <v>0</v>
      </c>
    </row>
    <row r="1167" spans="2:24" x14ac:dyDescent="0.2">
      <c r="B1167" s="352" t="s">
        <v>873</v>
      </c>
      <c r="C1167" s="352" t="s">
        <v>754</v>
      </c>
      <c r="F1167" s="352" t="s">
        <v>1999</v>
      </c>
      <c r="G1167" s="352" t="s">
        <v>2121</v>
      </c>
      <c r="H1167" s="352" t="s">
        <v>1767</v>
      </c>
      <c r="I1167" s="352" t="s">
        <v>1019</v>
      </c>
      <c r="J1167" s="352" t="s">
        <v>1020</v>
      </c>
      <c r="K1167" s="352">
        <v>4231</v>
      </c>
      <c r="L1167" s="352" t="s">
        <v>774</v>
      </c>
      <c r="M1167" s="352" t="s">
        <v>2207</v>
      </c>
      <c r="N1167" s="352" t="s">
        <v>2048</v>
      </c>
      <c r="O1167" s="352">
        <v>1</v>
      </c>
      <c r="P1167" s="352" t="s">
        <v>2065</v>
      </c>
      <c r="Q1167" s="352" t="s">
        <v>2066</v>
      </c>
      <c r="R1167" s="251">
        <v>613.13049765121048</v>
      </c>
      <c r="S1167" s="251" t="s">
        <v>2015</v>
      </c>
      <c r="T1167" s="251" t="s">
        <v>2016</v>
      </c>
      <c r="U1167" s="251" t="s">
        <v>1948</v>
      </c>
      <c r="V1167" s="251" t="s">
        <v>1949</v>
      </c>
      <c r="X1167" s="251">
        <v>0</v>
      </c>
    </row>
    <row r="1168" spans="2:24" x14ac:dyDescent="0.2">
      <c r="B1168" s="352" t="s">
        <v>873</v>
      </c>
      <c r="C1168" s="352" t="s">
        <v>754</v>
      </c>
      <c r="F1168" s="352" t="s">
        <v>1999</v>
      </c>
      <c r="G1168" s="352" t="s">
        <v>2121</v>
      </c>
      <c r="H1168" s="352" t="s">
        <v>1767</v>
      </c>
      <c r="I1168" s="352" t="s">
        <v>1019</v>
      </c>
      <c r="J1168" s="352" t="s">
        <v>1020</v>
      </c>
      <c r="K1168" s="352">
        <v>4241</v>
      </c>
      <c r="L1168" s="352" t="s">
        <v>777</v>
      </c>
      <c r="M1168" s="352" t="s">
        <v>2208</v>
      </c>
      <c r="N1168" s="352" t="s">
        <v>2048</v>
      </c>
      <c r="O1168" s="352">
        <v>1</v>
      </c>
      <c r="P1168" s="352" t="s">
        <v>2065</v>
      </c>
      <c r="Q1168" s="352" t="s">
        <v>2066</v>
      </c>
      <c r="R1168" s="251">
        <v>19822.546504618138</v>
      </c>
      <c r="S1168" s="251" t="s">
        <v>2015</v>
      </c>
      <c r="T1168" s="251" t="s">
        <v>2016</v>
      </c>
      <c r="U1168" s="251" t="s">
        <v>1950</v>
      </c>
      <c r="V1168" s="251" t="s">
        <v>1951</v>
      </c>
      <c r="X1168" s="251">
        <v>0</v>
      </c>
    </row>
    <row r="1169" spans="2:24" x14ac:dyDescent="0.2">
      <c r="B1169" s="352" t="s">
        <v>873</v>
      </c>
      <c r="C1169" s="352" t="s">
        <v>754</v>
      </c>
      <c r="F1169" s="352" t="s">
        <v>1999</v>
      </c>
      <c r="G1169" s="352" t="s">
        <v>2121</v>
      </c>
      <c r="H1169" s="352" t="s">
        <v>1767</v>
      </c>
      <c r="I1169" s="352" t="s">
        <v>1019</v>
      </c>
      <c r="J1169" s="352" t="s">
        <v>1020</v>
      </c>
      <c r="K1169" s="352">
        <v>4311</v>
      </c>
      <c r="L1169" s="352" t="s">
        <v>779</v>
      </c>
      <c r="M1169" s="352" t="s">
        <v>2209</v>
      </c>
      <c r="N1169" s="352" t="s">
        <v>2048</v>
      </c>
      <c r="O1169" s="352">
        <v>1</v>
      </c>
      <c r="P1169" s="352" t="s">
        <v>2065</v>
      </c>
      <c r="Q1169" s="352" t="s">
        <v>2066</v>
      </c>
      <c r="R1169" s="251">
        <v>0</v>
      </c>
      <c r="S1169" s="251" t="s">
        <v>2015</v>
      </c>
      <c r="T1169" s="251" t="s">
        <v>2054</v>
      </c>
      <c r="U1169" s="251" t="s">
        <v>1952</v>
      </c>
      <c r="V1169" s="251" t="s">
        <v>1953</v>
      </c>
      <c r="X1169" s="251">
        <v>0</v>
      </c>
    </row>
    <row r="1170" spans="2:24" x14ac:dyDescent="0.2">
      <c r="B1170" s="352" t="s">
        <v>873</v>
      </c>
      <c r="C1170" s="352" t="s">
        <v>754</v>
      </c>
      <c r="F1170" s="352" t="s">
        <v>1999</v>
      </c>
      <c r="G1170" s="352" t="s">
        <v>2121</v>
      </c>
      <c r="H1170" s="352" t="s">
        <v>1772</v>
      </c>
      <c r="I1170" s="352" t="s">
        <v>1021</v>
      </c>
      <c r="J1170" s="352" t="s">
        <v>751</v>
      </c>
      <c r="K1170" s="352">
        <v>4231</v>
      </c>
      <c r="L1170" s="352" t="s">
        <v>774</v>
      </c>
      <c r="M1170" s="352" t="s">
        <v>2210</v>
      </c>
      <c r="N1170" s="352" t="s">
        <v>2048</v>
      </c>
      <c r="O1170" s="352">
        <v>20</v>
      </c>
      <c r="P1170" s="352" t="s">
        <v>2073</v>
      </c>
      <c r="Q1170" s="352" t="s">
        <v>2074</v>
      </c>
      <c r="R1170" s="251">
        <v>0</v>
      </c>
      <c r="S1170" s="251" t="s">
        <v>2015</v>
      </c>
      <c r="T1170" s="251" t="s">
        <v>2054</v>
      </c>
      <c r="U1170" s="251" t="s">
        <v>1948</v>
      </c>
      <c r="V1170" s="251" t="s">
        <v>1949</v>
      </c>
      <c r="X1170" s="251">
        <v>0</v>
      </c>
    </row>
    <row r="1171" spans="2:24" x14ac:dyDescent="0.2">
      <c r="B1171" s="352" t="s">
        <v>873</v>
      </c>
      <c r="C1171" s="352" t="s">
        <v>754</v>
      </c>
      <c r="F1171" s="352" t="s">
        <v>1999</v>
      </c>
      <c r="G1171" s="352" t="s">
        <v>2121</v>
      </c>
      <c r="H1171" s="352" t="s">
        <v>1772</v>
      </c>
      <c r="I1171" s="352" t="s">
        <v>1021</v>
      </c>
      <c r="J1171" s="352" t="s">
        <v>751</v>
      </c>
      <c r="K1171" s="352">
        <v>4241</v>
      </c>
      <c r="L1171" s="352" t="s">
        <v>777</v>
      </c>
      <c r="M1171" s="352" t="s">
        <v>2211</v>
      </c>
      <c r="N1171" s="352" t="s">
        <v>2048</v>
      </c>
      <c r="O1171" s="352">
        <v>20</v>
      </c>
      <c r="P1171" s="352" t="s">
        <v>2073</v>
      </c>
      <c r="Q1171" s="352" t="s">
        <v>2074</v>
      </c>
      <c r="R1171" s="251">
        <v>0</v>
      </c>
      <c r="S1171" s="251" t="s">
        <v>2015</v>
      </c>
      <c r="T1171" s="251" t="s">
        <v>2054</v>
      </c>
      <c r="U1171" s="251" t="s">
        <v>1950</v>
      </c>
      <c r="V1171" s="251" t="s">
        <v>1951</v>
      </c>
      <c r="X1171" s="251">
        <v>0</v>
      </c>
    </row>
    <row r="1172" spans="2:24" x14ac:dyDescent="0.2">
      <c r="B1172" s="352" t="s">
        <v>873</v>
      </c>
      <c r="C1172" s="352" t="s">
        <v>754</v>
      </c>
      <c r="F1172" s="352" t="s">
        <v>1999</v>
      </c>
      <c r="G1172" s="352" t="s">
        <v>2121</v>
      </c>
      <c r="H1172" s="352" t="s">
        <v>1772</v>
      </c>
      <c r="I1172" s="352" t="s">
        <v>1021</v>
      </c>
      <c r="J1172" s="352" t="s">
        <v>751</v>
      </c>
      <c r="K1172" s="352">
        <v>4311</v>
      </c>
      <c r="L1172" s="352" t="s">
        <v>779</v>
      </c>
      <c r="M1172" s="352" t="s">
        <v>2212</v>
      </c>
      <c r="N1172" s="352" t="s">
        <v>2048</v>
      </c>
      <c r="O1172" s="352">
        <v>20</v>
      </c>
      <c r="P1172" s="352" t="s">
        <v>2073</v>
      </c>
      <c r="Q1172" s="352" t="s">
        <v>2074</v>
      </c>
      <c r="R1172" s="251">
        <v>24050.323138516822</v>
      </c>
      <c r="S1172" s="251" t="s">
        <v>2015</v>
      </c>
      <c r="T1172" s="251" t="s">
        <v>2016</v>
      </c>
      <c r="U1172" s="251" t="s">
        <v>1952</v>
      </c>
      <c r="V1172" s="251" t="s">
        <v>1953</v>
      </c>
      <c r="X1172" s="251">
        <v>0</v>
      </c>
    </row>
    <row r="1173" spans="2:24" x14ac:dyDescent="0.2">
      <c r="B1173" s="352" t="s">
        <v>873</v>
      </c>
      <c r="C1173" s="352" t="s">
        <v>757</v>
      </c>
      <c r="F1173" s="352" t="s">
        <v>2000</v>
      </c>
      <c r="G1173" s="352" t="s">
        <v>2128</v>
      </c>
      <c r="H1173" s="352" t="s">
        <v>1777</v>
      </c>
      <c r="I1173" s="352" t="s">
        <v>1015</v>
      </c>
      <c r="J1173" s="352" t="s">
        <v>1016</v>
      </c>
      <c r="K1173" s="352">
        <v>3111</v>
      </c>
      <c r="L1173" s="352" t="s">
        <v>763</v>
      </c>
      <c r="M1173" s="352" t="s">
        <v>2203</v>
      </c>
      <c r="N1173" s="352" t="s">
        <v>2076</v>
      </c>
      <c r="O1173" s="352">
        <v>99</v>
      </c>
      <c r="P1173" s="352" t="s">
        <v>2124</v>
      </c>
      <c r="Q1173" s="352" t="s">
        <v>2125</v>
      </c>
      <c r="R1173" s="251">
        <v>11731.07589475211</v>
      </c>
      <c r="S1173" s="251"/>
      <c r="T1173" s="251" t="s">
        <v>2054</v>
      </c>
      <c r="U1173" s="251" t="s">
        <v>1945</v>
      </c>
      <c r="V1173" s="251" t="s">
        <v>709</v>
      </c>
      <c r="X1173" s="251">
        <v>0</v>
      </c>
    </row>
    <row r="1174" spans="2:24" x14ac:dyDescent="0.2">
      <c r="B1174" s="352" t="s">
        <v>873</v>
      </c>
      <c r="C1174" s="352" t="s">
        <v>757</v>
      </c>
      <c r="F1174" s="352" t="s">
        <v>2000</v>
      </c>
      <c r="G1174" s="352" t="s">
        <v>2128</v>
      </c>
      <c r="H1174" s="352" t="s">
        <v>1777</v>
      </c>
      <c r="I1174" s="352" t="s">
        <v>1015</v>
      </c>
      <c r="J1174" s="352" t="s">
        <v>1016</v>
      </c>
      <c r="K1174" s="352">
        <v>3121</v>
      </c>
      <c r="L1174" s="352" t="s">
        <v>766</v>
      </c>
      <c r="M1174" s="352" t="s">
        <v>2204</v>
      </c>
      <c r="N1174" s="352" t="s">
        <v>2076</v>
      </c>
      <c r="O1174" s="352">
        <v>99</v>
      </c>
      <c r="P1174" s="352" t="s">
        <v>2124</v>
      </c>
      <c r="Q1174" s="352" t="s">
        <v>2125</v>
      </c>
      <c r="R1174" s="251">
        <v>52820.765868882743</v>
      </c>
      <c r="S1174" s="251"/>
      <c r="T1174" s="251" t="s">
        <v>2054</v>
      </c>
      <c r="U1174" s="251" t="s">
        <v>1945</v>
      </c>
      <c r="V1174" s="251" t="s">
        <v>709</v>
      </c>
      <c r="X1174" s="251">
        <v>0</v>
      </c>
    </row>
    <row r="1175" spans="2:24" x14ac:dyDescent="0.2">
      <c r="B1175" s="352" t="s">
        <v>870</v>
      </c>
      <c r="C1175" s="352" t="s">
        <v>735</v>
      </c>
      <c r="F1175" s="352" t="s">
        <v>1996</v>
      </c>
      <c r="G1175" s="352" t="s">
        <v>2112</v>
      </c>
      <c r="H1175" s="352" t="s">
        <v>1558</v>
      </c>
      <c r="I1175" s="352" t="s">
        <v>969</v>
      </c>
      <c r="J1175" s="352" t="s">
        <v>970</v>
      </c>
      <c r="K1175" s="352">
        <v>1111</v>
      </c>
      <c r="L1175" s="352" t="s">
        <v>699</v>
      </c>
      <c r="M1175" s="352" t="s">
        <v>2147</v>
      </c>
      <c r="N1175" s="352" t="s">
        <v>2076</v>
      </c>
      <c r="O1175" s="352">
        <v>5</v>
      </c>
      <c r="P1175" s="352" t="s">
        <v>2077</v>
      </c>
      <c r="Q1175" s="352" t="s">
        <v>2058</v>
      </c>
      <c r="R1175" s="251">
        <v>125677.5253048943</v>
      </c>
      <c r="S1175" s="251" t="s">
        <v>2015</v>
      </c>
      <c r="T1175" s="251" t="s">
        <v>2016</v>
      </c>
      <c r="U1175" s="251" t="s">
        <v>1914</v>
      </c>
      <c r="V1175" s="251" t="s">
        <v>1915</v>
      </c>
      <c r="X1175" s="251">
        <v>0</v>
      </c>
    </row>
    <row r="1176" spans="2:24" x14ac:dyDescent="0.2">
      <c r="B1176" s="352" t="s">
        <v>870</v>
      </c>
      <c r="C1176" s="352" t="s">
        <v>735</v>
      </c>
      <c r="F1176" s="352" t="s">
        <v>1996</v>
      </c>
      <c r="G1176" s="352" t="s">
        <v>2112</v>
      </c>
      <c r="H1176" s="352" t="s">
        <v>1558</v>
      </c>
      <c r="I1176" s="352" t="s">
        <v>969</v>
      </c>
      <c r="J1176" s="352" t="s">
        <v>970</v>
      </c>
      <c r="K1176" s="352">
        <v>1231</v>
      </c>
      <c r="L1176" s="352" t="s">
        <v>726</v>
      </c>
      <c r="M1176" s="352" t="s">
        <v>2148</v>
      </c>
      <c r="N1176" s="352" t="s">
        <v>2076</v>
      </c>
      <c r="O1176" s="352">
        <v>5</v>
      </c>
      <c r="P1176" s="352" t="s">
        <v>2077</v>
      </c>
      <c r="Q1176" s="352" t="s">
        <v>2058</v>
      </c>
      <c r="R1176" s="251">
        <v>4855.8478385391509</v>
      </c>
      <c r="S1176" s="251" t="s">
        <v>2015</v>
      </c>
      <c r="T1176" s="251" t="s">
        <v>2016</v>
      </c>
      <c r="U1176" s="251" t="s">
        <v>1920</v>
      </c>
      <c r="V1176" s="251" t="s">
        <v>726</v>
      </c>
      <c r="X1176" s="251">
        <v>0</v>
      </c>
    </row>
    <row r="1177" spans="2:24" x14ac:dyDescent="0.2">
      <c r="B1177" s="352" t="s">
        <v>870</v>
      </c>
      <c r="C1177" s="352" t="s">
        <v>735</v>
      </c>
      <c r="F1177" s="352" t="s">
        <v>1996</v>
      </c>
      <c r="G1177" s="352" t="s">
        <v>2112</v>
      </c>
      <c r="H1177" s="352" t="s">
        <v>1559</v>
      </c>
      <c r="I1177" s="352" t="s">
        <v>971</v>
      </c>
      <c r="J1177" s="352" t="s">
        <v>972</v>
      </c>
      <c r="K1177" s="352">
        <v>1211</v>
      </c>
      <c r="L1177" s="352" t="s">
        <v>705</v>
      </c>
      <c r="M1177" s="352" t="s">
        <v>2149</v>
      </c>
      <c r="N1177" s="352" t="s">
        <v>2076</v>
      </c>
      <c r="O1177" s="352">
        <v>5</v>
      </c>
      <c r="P1177" s="352" t="s">
        <v>2077</v>
      </c>
      <c r="Q1177" s="352" t="s">
        <v>2058</v>
      </c>
      <c r="R1177" s="251">
        <v>0</v>
      </c>
      <c r="S1177" s="251" t="s">
        <v>2015</v>
      </c>
      <c r="T1177" s="251" t="s">
        <v>2054</v>
      </c>
      <c r="U1177" s="251" t="s">
        <v>1916</v>
      </c>
      <c r="V1177" s="251" t="s">
        <v>1917</v>
      </c>
      <c r="X1177" s="251">
        <v>0</v>
      </c>
    </row>
    <row r="1178" spans="2:24" x14ac:dyDescent="0.2">
      <c r="B1178" s="352" t="s">
        <v>870</v>
      </c>
      <c r="C1178" s="352" t="s">
        <v>735</v>
      </c>
      <c r="F1178" s="352" t="s">
        <v>1996</v>
      </c>
      <c r="G1178" s="352" t="s">
        <v>2112</v>
      </c>
      <c r="H1178" s="352" t="s">
        <v>1560</v>
      </c>
      <c r="I1178" s="352" t="s">
        <v>973</v>
      </c>
      <c r="J1178" s="352" t="s">
        <v>974</v>
      </c>
      <c r="K1178" s="352">
        <v>1211</v>
      </c>
      <c r="L1178" s="352" t="s">
        <v>705</v>
      </c>
      <c r="M1178" s="352" t="s">
        <v>2150</v>
      </c>
      <c r="N1178" s="352" t="s">
        <v>2076</v>
      </c>
      <c r="O1178" s="352">
        <v>5</v>
      </c>
      <c r="P1178" s="352" t="s">
        <v>2077</v>
      </c>
      <c r="Q1178" s="352" t="s">
        <v>2058</v>
      </c>
      <c r="R1178" s="251">
        <v>23081.09893770601</v>
      </c>
      <c r="S1178" s="251" t="s">
        <v>2015</v>
      </c>
      <c r="T1178" s="251" t="s">
        <v>2016</v>
      </c>
      <c r="U1178" s="251" t="s">
        <v>1916</v>
      </c>
      <c r="V1178" s="251" t="s">
        <v>1917</v>
      </c>
      <c r="X1178" s="251">
        <v>0</v>
      </c>
    </row>
    <row r="1179" spans="2:24" x14ac:dyDescent="0.2">
      <c r="B1179" s="352" t="s">
        <v>870</v>
      </c>
      <c r="C1179" s="352" t="s">
        <v>735</v>
      </c>
      <c r="F1179" s="352" t="s">
        <v>1996</v>
      </c>
      <c r="G1179" s="352" t="s">
        <v>2112</v>
      </c>
      <c r="H1179" s="352" t="s">
        <v>1560</v>
      </c>
      <c r="I1179" s="352" t="s">
        <v>973</v>
      </c>
      <c r="J1179" s="352" t="s">
        <v>974</v>
      </c>
      <c r="K1179" s="352">
        <v>1221</v>
      </c>
      <c r="L1179" s="352" t="s">
        <v>711</v>
      </c>
      <c r="M1179" s="352" t="s">
        <v>2151</v>
      </c>
      <c r="N1179" s="352" t="s">
        <v>2076</v>
      </c>
      <c r="O1179" s="352">
        <v>5</v>
      </c>
      <c r="P1179" s="352" t="s">
        <v>2077</v>
      </c>
      <c r="Q1179" s="352" t="s">
        <v>2058</v>
      </c>
      <c r="R1179" s="251">
        <v>31564.214269661323</v>
      </c>
      <c r="S1179" s="251" t="s">
        <v>2015</v>
      </c>
      <c r="T1179" s="251" t="s">
        <v>2016</v>
      </c>
      <c r="U1179" s="251" t="s">
        <v>1918</v>
      </c>
      <c r="V1179" s="251" t="s">
        <v>1919</v>
      </c>
      <c r="X1179" s="251">
        <v>0</v>
      </c>
    </row>
    <row r="1180" spans="2:24" x14ac:dyDescent="0.2">
      <c r="B1180" s="352" t="s">
        <v>870</v>
      </c>
      <c r="C1180" s="352" t="s">
        <v>735</v>
      </c>
      <c r="F1180" s="352" t="s">
        <v>1996</v>
      </c>
      <c r="G1180" s="352" t="s">
        <v>2112</v>
      </c>
      <c r="H1180" s="352" t="s">
        <v>1560</v>
      </c>
      <c r="I1180" s="352" t="s">
        <v>973</v>
      </c>
      <c r="J1180" s="352" t="s">
        <v>974</v>
      </c>
      <c r="K1180" s="352">
        <v>1222</v>
      </c>
      <c r="L1180" s="352" t="s">
        <v>718</v>
      </c>
      <c r="M1180" s="352" t="s">
        <v>2152</v>
      </c>
      <c r="N1180" s="352" t="s">
        <v>2076</v>
      </c>
      <c r="O1180" s="352">
        <v>5</v>
      </c>
      <c r="P1180" s="352" t="s">
        <v>2077</v>
      </c>
      <c r="Q1180" s="352" t="s">
        <v>2058</v>
      </c>
      <c r="R1180" s="251">
        <v>1122.4855710312499</v>
      </c>
      <c r="S1180" s="251" t="s">
        <v>2015</v>
      </c>
      <c r="T1180" s="251" t="s">
        <v>2016</v>
      </c>
      <c r="U1180" s="251">
        <v>0</v>
      </c>
      <c r="V1180" s="251" t="s">
        <v>2153</v>
      </c>
      <c r="X1180" s="251">
        <v>0</v>
      </c>
    </row>
    <row r="1181" spans="2:24" x14ac:dyDescent="0.2">
      <c r="B1181" s="352" t="s">
        <v>870</v>
      </c>
      <c r="C1181" s="352" t="s">
        <v>735</v>
      </c>
      <c r="F1181" s="352" t="s">
        <v>1996</v>
      </c>
      <c r="G1181" s="352" t="s">
        <v>2112</v>
      </c>
      <c r="H1181" s="352" t="s">
        <v>1561</v>
      </c>
      <c r="I1181" s="352" t="s">
        <v>975</v>
      </c>
      <c r="J1181" s="352" t="s">
        <v>976</v>
      </c>
      <c r="K1181" s="352">
        <v>1221</v>
      </c>
      <c r="L1181" s="352" t="s">
        <v>711</v>
      </c>
      <c r="M1181" s="352" t="s">
        <v>2154</v>
      </c>
      <c r="N1181" s="352" t="s">
        <v>2076</v>
      </c>
      <c r="O1181" s="352">
        <v>7</v>
      </c>
      <c r="P1181" s="352" t="s">
        <v>2081</v>
      </c>
      <c r="Q1181" s="352" t="s">
        <v>2056</v>
      </c>
      <c r="R1181" s="251">
        <v>0</v>
      </c>
      <c r="S1181" s="251" t="s">
        <v>2015</v>
      </c>
      <c r="T1181" s="251" t="s">
        <v>2054</v>
      </c>
      <c r="U1181" s="251" t="s">
        <v>1918</v>
      </c>
      <c r="V1181" s="251" t="s">
        <v>1919</v>
      </c>
      <c r="X1181" s="251">
        <v>0</v>
      </c>
    </row>
    <row r="1182" spans="2:24" x14ac:dyDescent="0.2">
      <c r="B1182" s="352" t="s">
        <v>870</v>
      </c>
      <c r="C1182" s="352" t="s">
        <v>735</v>
      </c>
      <c r="F1182" s="352" t="s">
        <v>1996</v>
      </c>
      <c r="G1182" s="352" t="s">
        <v>2112</v>
      </c>
      <c r="H1182" s="352" t="s">
        <v>1562</v>
      </c>
      <c r="I1182" s="352" t="s">
        <v>977</v>
      </c>
      <c r="J1182" s="352" t="s">
        <v>864</v>
      </c>
      <c r="K1182" s="352">
        <v>1111</v>
      </c>
      <c r="L1182" s="352" t="s">
        <v>699</v>
      </c>
      <c r="M1182" s="352" t="s">
        <v>2155</v>
      </c>
      <c r="N1182" s="352" t="s">
        <v>2076</v>
      </c>
      <c r="O1182" s="352">
        <v>5</v>
      </c>
      <c r="P1182" s="352" t="s">
        <v>2077</v>
      </c>
      <c r="Q1182" s="352" t="s">
        <v>2058</v>
      </c>
      <c r="R1182" s="251">
        <v>6684.974750260335</v>
      </c>
      <c r="S1182" s="251" t="s">
        <v>2015</v>
      </c>
      <c r="T1182" s="251" t="s">
        <v>2016</v>
      </c>
      <c r="U1182" s="251" t="s">
        <v>1914</v>
      </c>
      <c r="V1182" s="251" t="s">
        <v>1915</v>
      </c>
      <c r="X1182" s="251">
        <v>0</v>
      </c>
    </row>
    <row r="1183" spans="2:24" x14ac:dyDescent="0.2">
      <c r="B1183" s="352" t="s">
        <v>870</v>
      </c>
      <c r="C1183" s="352" t="s">
        <v>735</v>
      </c>
      <c r="F1183" s="352" t="s">
        <v>1996</v>
      </c>
      <c r="G1183" s="352" t="s">
        <v>2112</v>
      </c>
      <c r="H1183" s="352" t="s">
        <v>1562</v>
      </c>
      <c r="I1183" s="352" t="s">
        <v>977</v>
      </c>
      <c r="J1183" s="352" t="s">
        <v>864</v>
      </c>
      <c r="K1183" s="352">
        <v>1211</v>
      </c>
      <c r="L1183" s="352" t="s">
        <v>705</v>
      </c>
      <c r="M1183" s="352" t="s">
        <v>2156</v>
      </c>
      <c r="N1183" s="352" t="s">
        <v>2076</v>
      </c>
      <c r="O1183" s="352">
        <v>5</v>
      </c>
      <c r="P1183" s="352" t="s">
        <v>2077</v>
      </c>
      <c r="Q1183" s="352" t="s">
        <v>2058</v>
      </c>
      <c r="R1183" s="251">
        <v>2652.9998778972426</v>
      </c>
      <c r="S1183" s="251" t="s">
        <v>2015</v>
      </c>
      <c r="T1183" s="251" t="s">
        <v>2016</v>
      </c>
      <c r="U1183" s="251" t="s">
        <v>1916</v>
      </c>
      <c r="V1183" s="251" t="s">
        <v>1917</v>
      </c>
      <c r="X1183" s="251">
        <v>0</v>
      </c>
    </row>
    <row r="1184" spans="2:24" x14ac:dyDescent="0.2">
      <c r="B1184" s="352" t="s">
        <v>870</v>
      </c>
      <c r="C1184" s="352" t="s">
        <v>735</v>
      </c>
      <c r="F1184" s="352" t="s">
        <v>1996</v>
      </c>
      <c r="G1184" s="352" t="s">
        <v>2112</v>
      </c>
      <c r="H1184" s="352" t="s">
        <v>1562</v>
      </c>
      <c r="I1184" s="352" t="s">
        <v>977</v>
      </c>
      <c r="J1184" s="352" t="s">
        <v>864</v>
      </c>
      <c r="K1184" s="352">
        <v>1221</v>
      </c>
      <c r="L1184" s="352" t="s">
        <v>711</v>
      </c>
      <c r="M1184" s="352" t="s">
        <v>2157</v>
      </c>
      <c r="N1184" s="352" t="s">
        <v>2076</v>
      </c>
      <c r="O1184" s="352">
        <v>5</v>
      </c>
      <c r="P1184" s="352" t="s">
        <v>2077</v>
      </c>
      <c r="Q1184" s="352" t="s">
        <v>2058</v>
      </c>
      <c r="R1184" s="251">
        <v>3713.4369729013324</v>
      </c>
      <c r="S1184" s="251" t="s">
        <v>2015</v>
      </c>
      <c r="T1184" s="251" t="s">
        <v>2016</v>
      </c>
      <c r="U1184" s="251" t="s">
        <v>1918</v>
      </c>
      <c r="V1184" s="251" t="s">
        <v>1919</v>
      </c>
      <c r="X1184" s="251">
        <v>0</v>
      </c>
    </row>
    <row r="1185" spans="2:24" x14ac:dyDescent="0.2">
      <c r="B1185" s="352" t="s">
        <v>870</v>
      </c>
      <c r="C1185" s="352" t="s">
        <v>735</v>
      </c>
      <c r="F1185" s="352" t="s">
        <v>1996</v>
      </c>
      <c r="G1185" s="352" t="s">
        <v>2112</v>
      </c>
      <c r="H1185" s="352" t="s">
        <v>1562</v>
      </c>
      <c r="I1185" s="352" t="s">
        <v>977</v>
      </c>
      <c r="J1185" s="352" t="s">
        <v>864</v>
      </c>
      <c r="K1185" s="352">
        <v>1222</v>
      </c>
      <c r="L1185" s="352" t="s">
        <v>718</v>
      </c>
      <c r="M1185" s="352" t="s">
        <v>2158</v>
      </c>
      <c r="N1185" s="352" t="s">
        <v>2076</v>
      </c>
      <c r="O1185" s="352">
        <v>5</v>
      </c>
      <c r="P1185" s="352" t="s">
        <v>2077</v>
      </c>
      <c r="Q1185" s="352" t="s">
        <v>2058</v>
      </c>
      <c r="R1185" s="251">
        <v>1403.1069637890623</v>
      </c>
      <c r="S1185" s="251" t="s">
        <v>2015</v>
      </c>
      <c r="T1185" s="251" t="s">
        <v>2016</v>
      </c>
      <c r="U1185" s="251">
        <v>0</v>
      </c>
      <c r="V1185" s="251" t="s">
        <v>2153</v>
      </c>
      <c r="X1185" s="251">
        <v>0</v>
      </c>
    </row>
    <row r="1186" spans="2:24" x14ac:dyDescent="0.2">
      <c r="B1186" s="352" t="s">
        <v>870</v>
      </c>
      <c r="C1186" s="352" t="s">
        <v>735</v>
      </c>
      <c r="F1186" s="352" t="s">
        <v>1996</v>
      </c>
      <c r="G1186" s="352" t="s">
        <v>2112</v>
      </c>
      <c r="H1186" s="352" t="s">
        <v>1562</v>
      </c>
      <c r="I1186" s="352" t="s">
        <v>977</v>
      </c>
      <c r="J1186" s="352" t="s">
        <v>864</v>
      </c>
      <c r="K1186" s="352">
        <v>1231</v>
      </c>
      <c r="L1186" s="352" t="s">
        <v>726</v>
      </c>
      <c r="M1186" s="352" t="s">
        <v>2159</v>
      </c>
      <c r="N1186" s="352" t="s">
        <v>2076</v>
      </c>
      <c r="O1186" s="352">
        <v>5</v>
      </c>
      <c r="P1186" s="352" t="s">
        <v>2077</v>
      </c>
      <c r="Q1186" s="352" t="s">
        <v>2058</v>
      </c>
      <c r="R1186" s="251">
        <v>18209.429394521816</v>
      </c>
      <c r="S1186" s="251" t="s">
        <v>2015</v>
      </c>
      <c r="T1186" s="251" t="s">
        <v>2016</v>
      </c>
      <c r="U1186" s="251" t="s">
        <v>1920</v>
      </c>
      <c r="V1186" s="251" t="s">
        <v>726</v>
      </c>
      <c r="X1186" s="251">
        <v>0</v>
      </c>
    </row>
    <row r="1187" spans="2:24" x14ac:dyDescent="0.2">
      <c r="B1187" s="352" t="s">
        <v>870</v>
      </c>
      <c r="C1187" s="352" t="s">
        <v>735</v>
      </c>
      <c r="F1187" s="352" t="s">
        <v>1996</v>
      </c>
      <c r="G1187" s="352" t="s">
        <v>2112</v>
      </c>
      <c r="H1187" s="352" t="s">
        <v>1562</v>
      </c>
      <c r="I1187" s="352" t="s">
        <v>977</v>
      </c>
      <c r="J1187" s="352" t="s">
        <v>864</v>
      </c>
      <c r="K1187" s="352">
        <v>1232</v>
      </c>
      <c r="L1187" s="352" t="s">
        <v>734</v>
      </c>
      <c r="M1187" s="352" t="s">
        <v>2160</v>
      </c>
      <c r="N1187" s="352" t="s">
        <v>2076</v>
      </c>
      <c r="O1187" s="352">
        <v>5</v>
      </c>
      <c r="P1187" s="352" t="s">
        <v>2077</v>
      </c>
      <c r="Q1187" s="352" t="s">
        <v>2058</v>
      </c>
      <c r="R1187" s="251">
        <v>3403.176023220833</v>
      </c>
      <c r="S1187" s="251" t="s">
        <v>2015</v>
      </c>
      <c r="T1187" s="251" t="s">
        <v>2016</v>
      </c>
      <c r="U1187" s="251">
        <v>0</v>
      </c>
      <c r="V1187" s="251" t="s">
        <v>2153</v>
      </c>
      <c r="X1187" s="251">
        <v>0</v>
      </c>
    </row>
    <row r="1188" spans="2:24" x14ac:dyDescent="0.2">
      <c r="B1188" s="352" t="s">
        <v>870</v>
      </c>
      <c r="C1188" s="352" t="s">
        <v>735</v>
      </c>
      <c r="F1188" s="352" t="s">
        <v>1996</v>
      </c>
      <c r="G1188" s="352" t="s">
        <v>2112</v>
      </c>
      <c r="H1188" s="352" t="s">
        <v>1562</v>
      </c>
      <c r="I1188" s="352" t="s">
        <v>977</v>
      </c>
      <c r="J1188" s="352" t="s">
        <v>864</v>
      </c>
      <c r="K1188" s="352">
        <v>1241</v>
      </c>
      <c r="L1188" s="352" t="s">
        <v>1872</v>
      </c>
      <c r="M1188" s="352" t="s">
        <v>2161</v>
      </c>
      <c r="N1188" s="352" t="s">
        <v>2076</v>
      </c>
      <c r="O1188" s="352">
        <v>5</v>
      </c>
      <c r="P1188" s="352" t="s">
        <v>2077</v>
      </c>
      <c r="Q1188" s="352" t="s">
        <v>2058</v>
      </c>
      <c r="R1188" s="251">
        <v>0</v>
      </c>
      <c r="S1188" s="251" t="s">
        <v>2015</v>
      </c>
      <c r="T1188" s="251" t="s">
        <v>2054</v>
      </c>
      <c r="U1188" s="251">
        <v>0</v>
      </c>
      <c r="V1188" s="251" t="s">
        <v>2153</v>
      </c>
      <c r="X1188" s="251">
        <v>0</v>
      </c>
    </row>
    <row r="1189" spans="2:24" x14ac:dyDescent="0.2">
      <c r="B1189" s="352" t="s">
        <v>870</v>
      </c>
      <c r="C1189" s="352" t="s">
        <v>735</v>
      </c>
      <c r="F1189" s="352" t="s">
        <v>1996</v>
      </c>
      <c r="G1189" s="352" t="s">
        <v>2112</v>
      </c>
      <c r="H1189" s="352" t="s">
        <v>1562</v>
      </c>
      <c r="I1189" s="352" t="s">
        <v>977</v>
      </c>
      <c r="J1189" s="352" t="s">
        <v>864</v>
      </c>
      <c r="K1189" s="352">
        <v>1251</v>
      </c>
      <c r="L1189" s="352" t="s">
        <v>733</v>
      </c>
      <c r="M1189" s="352" t="s">
        <v>2162</v>
      </c>
      <c r="N1189" s="352" t="s">
        <v>2076</v>
      </c>
      <c r="O1189" s="352">
        <v>5</v>
      </c>
      <c r="P1189" s="352" t="s">
        <v>2077</v>
      </c>
      <c r="Q1189" s="352" t="s">
        <v>2058</v>
      </c>
      <c r="R1189" s="251">
        <v>0</v>
      </c>
      <c r="S1189" s="251" t="s">
        <v>2015</v>
      </c>
      <c r="T1189" s="251" t="s">
        <v>2054</v>
      </c>
      <c r="U1189" s="251">
        <v>0</v>
      </c>
      <c r="V1189" s="251" t="s">
        <v>2153</v>
      </c>
      <c r="X1189" s="251">
        <v>0</v>
      </c>
    </row>
    <row r="1190" spans="2:24" x14ac:dyDescent="0.2">
      <c r="B1190" s="352" t="s">
        <v>870</v>
      </c>
      <c r="C1190" s="352" t="s">
        <v>735</v>
      </c>
      <c r="F1190" s="352" t="s">
        <v>1996</v>
      </c>
      <c r="G1190" s="352" t="s">
        <v>2112</v>
      </c>
      <c r="H1190" s="352" t="s">
        <v>1563</v>
      </c>
      <c r="I1190" s="352" t="s">
        <v>978</v>
      </c>
      <c r="J1190" s="352" t="s">
        <v>1892</v>
      </c>
      <c r="K1190" s="352">
        <v>1111</v>
      </c>
      <c r="L1190" s="352" t="s">
        <v>699</v>
      </c>
      <c r="M1190" s="352" t="s">
        <v>2163</v>
      </c>
      <c r="N1190" s="352" t="s">
        <v>2076</v>
      </c>
      <c r="O1190" s="352">
        <v>5</v>
      </c>
      <c r="P1190" s="352" t="s">
        <v>2077</v>
      </c>
      <c r="Q1190" s="352" t="s">
        <v>2058</v>
      </c>
      <c r="R1190" s="251">
        <v>0</v>
      </c>
      <c r="S1190" s="251" t="s">
        <v>2015</v>
      </c>
      <c r="T1190" s="251" t="s">
        <v>2054</v>
      </c>
      <c r="U1190" s="251" t="s">
        <v>1914</v>
      </c>
      <c r="V1190" s="251" t="s">
        <v>1915</v>
      </c>
      <c r="X1190" s="251">
        <v>0</v>
      </c>
    </row>
    <row r="1191" spans="2:24" x14ac:dyDescent="0.2">
      <c r="B1191" s="352" t="s">
        <v>870</v>
      </c>
      <c r="C1191" s="352" t="s">
        <v>735</v>
      </c>
      <c r="F1191" s="352" t="s">
        <v>1996</v>
      </c>
      <c r="G1191" s="352" t="s">
        <v>2112</v>
      </c>
      <c r="H1191" s="352" t="s">
        <v>1563</v>
      </c>
      <c r="I1191" s="352" t="s">
        <v>978</v>
      </c>
      <c r="J1191" s="352" t="s">
        <v>1892</v>
      </c>
      <c r="K1191" s="352">
        <v>1231</v>
      </c>
      <c r="L1191" s="352" t="s">
        <v>726</v>
      </c>
      <c r="M1191" s="352" t="s">
        <v>2164</v>
      </c>
      <c r="N1191" s="352" t="s">
        <v>2076</v>
      </c>
      <c r="O1191" s="352">
        <v>5</v>
      </c>
      <c r="P1191" s="352" t="s">
        <v>2077</v>
      </c>
      <c r="Q1191" s="352" t="s">
        <v>2058</v>
      </c>
      <c r="R1191" s="251">
        <v>0</v>
      </c>
      <c r="S1191" s="251" t="s">
        <v>2015</v>
      </c>
      <c r="T1191" s="251" t="s">
        <v>2054</v>
      </c>
      <c r="U1191" s="251" t="s">
        <v>1920</v>
      </c>
      <c r="V1191" s="251" t="s">
        <v>726</v>
      </c>
      <c r="X1191" s="251">
        <v>0</v>
      </c>
    </row>
    <row r="1192" spans="2:24" x14ac:dyDescent="0.2">
      <c r="B1192" s="352" t="s">
        <v>870</v>
      </c>
      <c r="C1192" s="352" t="s">
        <v>735</v>
      </c>
      <c r="F1192" s="352" t="s">
        <v>1996</v>
      </c>
      <c r="G1192" s="352" t="s">
        <v>2112</v>
      </c>
      <c r="H1192" s="352" t="s">
        <v>1564</v>
      </c>
      <c r="I1192" s="352" t="s">
        <v>979</v>
      </c>
      <c r="J1192" s="352" t="s">
        <v>980</v>
      </c>
      <c r="K1192" s="352">
        <v>1241</v>
      </c>
      <c r="L1192" s="352" t="s">
        <v>1872</v>
      </c>
      <c r="M1192" s="352" t="s">
        <v>2165</v>
      </c>
      <c r="N1192" s="352" t="s">
        <v>2076</v>
      </c>
      <c r="O1192" s="352">
        <v>7</v>
      </c>
      <c r="P1192" s="352" t="s">
        <v>2081</v>
      </c>
      <c r="Q1192" s="352" t="s">
        <v>2056</v>
      </c>
      <c r="R1192" s="251">
        <v>0</v>
      </c>
      <c r="S1192" s="251" t="s">
        <v>2015</v>
      </c>
      <c r="T1192" s="251" t="s">
        <v>2054</v>
      </c>
      <c r="U1192" s="251">
        <v>0</v>
      </c>
      <c r="V1192" s="251" t="s">
        <v>2153</v>
      </c>
      <c r="X1192" s="251">
        <v>0</v>
      </c>
    </row>
    <row r="1193" spans="2:24" x14ac:dyDescent="0.2">
      <c r="B1193" s="352" t="s">
        <v>870</v>
      </c>
      <c r="C1193" s="352" t="s">
        <v>735</v>
      </c>
      <c r="F1193" s="352" t="s">
        <v>1996</v>
      </c>
      <c r="G1193" s="352" t="s">
        <v>2112</v>
      </c>
      <c r="H1193" s="352" t="s">
        <v>1565</v>
      </c>
      <c r="I1193" s="352" t="s">
        <v>981</v>
      </c>
      <c r="J1193" s="352" t="s">
        <v>3674</v>
      </c>
      <c r="K1193" s="352">
        <v>1241</v>
      </c>
      <c r="L1193" s="352" t="s">
        <v>1872</v>
      </c>
      <c r="M1193" s="352" t="s">
        <v>2166</v>
      </c>
      <c r="N1193" s="352" t="s">
        <v>2076</v>
      </c>
      <c r="O1193" s="352">
        <v>13</v>
      </c>
      <c r="P1193" s="352" t="s">
        <v>2082</v>
      </c>
      <c r="Q1193" s="352" t="s">
        <v>2060</v>
      </c>
      <c r="R1193" s="251">
        <v>0</v>
      </c>
      <c r="S1193" s="251" t="s">
        <v>2015</v>
      </c>
      <c r="T1193" s="251" t="s">
        <v>2054</v>
      </c>
      <c r="U1193" s="251">
        <v>0</v>
      </c>
      <c r="V1193" s="251" t="s">
        <v>2153</v>
      </c>
      <c r="X1193" s="251">
        <v>0</v>
      </c>
    </row>
    <row r="1194" spans="2:24" x14ac:dyDescent="0.2">
      <c r="B1194" s="352" t="s">
        <v>870</v>
      </c>
      <c r="C1194" s="352" t="s">
        <v>735</v>
      </c>
      <c r="F1194" s="352" t="s">
        <v>1996</v>
      </c>
      <c r="G1194" s="352" t="s">
        <v>2112</v>
      </c>
      <c r="H1194" s="352" t="s">
        <v>1565</v>
      </c>
      <c r="I1194" s="352" t="s">
        <v>981</v>
      </c>
      <c r="J1194" s="352" t="s">
        <v>3674</v>
      </c>
      <c r="K1194" s="352">
        <v>1251</v>
      </c>
      <c r="L1194" s="352" t="s">
        <v>733</v>
      </c>
      <c r="M1194" s="352" t="s">
        <v>2167</v>
      </c>
      <c r="N1194" s="352" t="s">
        <v>2076</v>
      </c>
      <c r="O1194" s="352">
        <v>13</v>
      </c>
      <c r="P1194" s="352" t="s">
        <v>2082</v>
      </c>
      <c r="Q1194" s="352" t="s">
        <v>2060</v>
      </c>
      <c r="R1194" s="251">
        <v>0</v>
      </c>
      <c r="S1194" s="251" t="s">
        <v>2015</v>
      </c>
      <c r="T1194" s="251" t="s">
        <v>2054</v>
      </c>
      <c r="U1194" s="251">
        <v>0</v>
      </c>
      <c r="V1194" s="251" t="s">
        <v>2153</v>
      </c>
      <c r="X1194" s="251">
        <v>0</v>
      </c>
    </row>
    <row r="1195" spans="2:24" x14ac:dyDescent="0.2">
      <c r="B1195" s="352" t="s">
        <v>870</v>
      </c>
      <c r="C1195" s="352" t="s">
        <v>735</v>
      </c>
      <c r="F1195" s="352" t="s">
        <v>1996</v>
      </c>
      <c r="G1195" s="352" t="s">
        <v>2112</v>
      </c>
      <c r="H1195" s="352" t="s">
        <v>1566</v>
      </c>
      <c r="I1195" s="352" t="s">
        <v>982</v>
      </c>
      <c r="J1195" s="352" t="s">
        <v>983</v>
      </c>
      <c r="K1195" s="352">
        <v>2111</v>
      </c>
      <c r="L1195" s="352" t="s">
        <v>1873</v>
      </c>
      <c r="M1195" s="352" t="s">
        <v>2168</v>
      </c>
      <c r="N1195" s="352" t="s">
        <v>2076</v>
      </c>
      <c r="O1195" s="352">
        <v>3</v>
      </c>
      <c r="P1195" s="352" t="s">
        <v>2113</v>
      </c>
      <c r="Q1195" s="352" t="s">
        <v>2114</v>
      </c>
      <c r="R1195" s="251">
        <v>0</v>
      </c>
      <c r="S1195" s="251" t="s">
        <v>2015</v>
      </c>
      <c r="T1195" s="251" t="s">
        <v>2054</v>
      </c>
      <c r="U1195" s="251" t="s">
        <v>1929</v>
      </c>
      <c r="V1195" s="251" t="s">
        <v>1930</v>
      </c>
      <c r="X1195" s="251">
        <v>0</v>
      </c>
    </row>
    <row r="1196" spans="2:24" x14ac:dyDescent="0.2">
      <c r="B1196" s="352" t="s">
        <v>870</v>
      </c>
      <c r="C1196" s="352" t="s">
        <v>735</v>
      </c>
      <c r="F1196" s="352" t="s">
        <v>1996</v>
      </c>
      <c r="G1196" s="352" t="s">
        <v>2112</v>
      </c>
      <c r="H1196" s="352" t="s">
        <v>1566</v>
      </c>
      <c r="I1196" s="352" t="s">
        <v>982</v>
      </c>
      <c r="J1196" s="352" t="s">
        <v>983</v>
      </c>
      <c r="K1196" s="352">
        <v>2121</v>
      </c>
      <c r="L1196" s="352" t="s">
        <v>1876</v>
      </c>
      <c r="M1196" s="352" t="s">
        <v>2169</v>
      </c>
      <c r="N1196" s="352" t="s">
        <v>2076</v>
      </c>
      <c r="O1196" s="352">
        <v>3</v>
      </c>
      <c r="P1196" s="352" t="s">
        <v>2113</v>
      </c>
      <c r="Q1196" s="352" t="s">
        <v>2114</v>
      </c>
      <c r="R1196" s="251">
        <v>0</v>
      </c>
      <c r="S1196" s="251" t="s">
        <v>2015</v>
      </c>
      <c r="T1196" s="251" t="s">
        <v>2054</v>
      </c>
      <c r="U1196" s="251" t="s">
        <v>1929</v>
      </c>
      <c r="V1196" s="251" t="s">
        <v>1930</v>
      </c>
      <c r="X1196" s="251">
        <v>0</v>
      </c>
    </row>
    <row r="1197" spans="2:24" x14ac:dyDescent="0.2">
      <c r="B1197" s="352" t="s">
        <v>870</v>
      </c>
      <c r="C1197" s="352" t="s">
        <v>735</v>
      </c>
      <c r="F1197" s="352" t="s">
        <v>1996</v>
      </c>
      <c r="G1197" s="352" t="s">
        <v>2112</v>
      </c>
      <c r="H1197" s="352" t="s">
        <v>1566</v>
      </c>
      <c r="I1197" s="352" t="s">
        <v>982</v>
      </c>
      <c r="J1197" s="352" t="s">
        <v>983</v>
      </c>
      <c r="K1197" s="352">
        <v>2131</v>
      </c>
      <c r="L1197" s="352" t="s">
        <v>1879</v>
      </c>
      <c r="M1197" s="352" t="s">
        <v>2170</v>
      </c>
      <c r="N1197" s="352" t="s">
        <v>2076</v>
      </c>
      <c r="O1197" s="352">
        <v>3</v>
      </c>
      <c r="P1197" s="352" t="s">
        <v>2113</v>
      </c>
      <c r="Q1197" s="352" t="s">
        <v>2114</v>
      </c>
      <c r="R1197" s="251">
        <v>0</v>
      </c>
      <c r="S1197" s="251" t="s">
        <v>2015</v>
      </c>
      <c r="T1197" s="251" t="s">
        <v>2054</v>
      </c>
      <c r="U1197" s="251" t="s">
        <v>1929</v>
      </c>
      <c r="V1197" s="251" t="s">
        <v>1930</v>
      </c>
      <c r="X1197" s="251">
        <v>0</v>
      </c>
    </row>
    <row r="1198" spans="2:24" x14ac:dyDescent="0.2">
      <c r="B1198" s="352" t="s">
        <v>870</v>
      </c>
      <c r="C1198" s="352" t="s">
        <v>735</v>
      </c>
      <c r="F1198" s="352" t="s">
        <v>1996</v>
      </c>
      <c r="G1198" s="352" t="s">
        <v>2112</v>
      </c>
      <c r="H1198" s="352" t="s">
        <v>1566</v>
      </c>
      <c r="I1198" s="352" t="s">
        <v>982</v>
      </c>
      <c r="J1198" s="352" t="s">
        <v>983</v>
      </c>
      <c r="K1198" s="352">
        <v>2211</v>
      </c>
      <c r="L1198" s="352" t="s">
        <v>1883</v>
      </c>
      <c r="M1198" s="352" t="s">
        <v>2171</v>
      </c>
      <c r="N1198" s="352" t="s">
        <v>2076</v>
      </c>
      <c r="O1198" s="352">
        <v>3</v>
      </c>
      <c r="P1198" s="352" t="s">
        <v>2113</v>
      </c>
      <c r="Q1198" s="352" t="s">
        <v>2114</v>
      </c>
      <c r="R1198" s="251">
        <v>0</v>
      </c>
      <c r="S1198" s="251" t="s">
        <v>2015</v>
      </c>
      <c r="T1198" s="251" t="s">
        <v>2054</v>
      </c>
      <c r="U1198" s="251" t="s">
        <v>1929</v>
      </c>
      <c r="V1198" s="251" t="s">
        <v>1930</v>
      </c>
      <c r="X1198" s="251">
        <v>0</v>
      </c>
    </row>
    <row r="1199" spans="2:24" x14ac:dyDescent="0.2">
      <c r="B1199" s="352" t="s">
        <v>870</v>
      </c>
      <c r="C1199" s="352" t="s">
        <v>735</v>
      </c>
      <c r="F1199" s="352" t="s">
        <v>1996</v>
      </c>
      <c r="G1199" s="352" t="s">
        <v>2112</v>
      </c>
      <c r="H1199" s="352" t="s">
        <v>1567</v>
      </c>
      <c r="I1199" s="352" t="s">
        <v>984</v>
      </c>
      <c r="J1199" s="352" t="s">
        <v>985</v>
      </c>
      <c r="K1199" s="352">
        <v>2111</v>
      </c>
      <c r="L1199" s="352" t="s">
        <v>1873</v>
      </c>
      <c r="M1199" s="352" t="s">
        <v>2172</v>
      </c>
      <c r="N1199" s="352" t="s">
        <v>2076</v>
      </c>
      <c r="O1199" s="352">
        <v>11</v>
      </c>
      <c r="P1199" s="352" t="s">
        <v>2084</v>
      </c>
      <c r="Q1199" s="352" t="s">
        <v>2064</v>
      </c>
      <c r="R1199" s="251">
        <v>0</v>
      </c>
      <c r="S1199" s="251" t="s">
        <v>2015</v>
      </c>
      <c r="T1199" s="251" t="s">
        <v>2054</v>
      </c>
      <c r="U1199" s="251" t="s">
        <v>1929</v>
      </c>
      <c r="V1199" s="251" t="s">
        <v>1930</v>
      </c>
      <c r="X1199" s="251">
        <v>0</v>
      </c>
    </row>
    <row r="1200" spans="2:24" x14ac:dyDescent="0.2">
      <c r="B1200" s="352" t="s">
        <v>870</v>
      </c>
      <c r="C1200" s="352" t="s">
        <v>735</v>
      </c>
      <c r="F1200" s="352" t="s">
        <v>1996</v>
      </c>
      <c r="G1200" s="352" t="s">
        <v>2112</v>
      </c>
      <c r="H1200" s="352" t="s">
        <v>1567</v>
      </c>
      <c r="I1200" s="352" t="s">
        <v>984</v>
      </c>
      <c r="J1200" s="352" t="s">
        <v>985</v>
      </c>
      <c r="K1200" s="352">
        <v>2121</v>
      </c>
      <c r="L1200" s="352" t="s">
        <v>1876</v>
      </c>
      <c r="M1200" s="352" t="s">
        <v>2173</v>
      </c>
      <c r="N1200" s="352" t="s">
        <v>2076</v>
      </c>
      <c r="O1200" s="352">
        <v>11</v>
      </c>
      <c r="P1200" s="352" t="s">
        <v>2084</v>
      </c>
      <c r="Q1200" s="352" t="s">
        <v>2064</v>
      </c>
      <c r="R1200" s="251">
        <v>0</v>
      </c>
      <c r="S1200" s="251" t="s">
        <v>2015</v>
      </c>
      <c r="T1200" s="251" t="s">
        <v>2054</v>
      </c>
      <c r="U1200" s="251" t="s">
        <v>1929</v>
      </c>
      <c r="V1200" s="251" t="s">
        <v>1930</v>
      </c>
      <c r="X1200" s="251">
        <v>0</v>
      </c>
    </row>
    <row r="1201" spans="2:24" x14ac:dyDescent="0.2">
      <c r="B1201" s="352" t="s">
        <v>870</v>
      </c>
      <c r="C1201" s="352" t="s">
        <v>735</v>
      </c>
      <c r="F1201" s="352" t="s">
        <v>1996</v>
      </c>
      <c r="G1201" s="352" t="s">
        <v>2112</v>
      </c>
      <c r="H1201" s="352" t="s">
        <v>1567</v>
      </c>
      <c r="I1201" s="352" t="s">
        <v>984</v>
      </c>
      <c r="J1201" s="352" t="s">
        <v>985</v>
      </c>
      <c r="K1201" s="352">
        <v>2131</v>
      </c>
      <c r="L1201" s="352" t="s">
        <v>1879</v>
      </c>
      <c r="M1201" s="352" t="s">
        <v>2174</v>
      </c>
      <c r="N1201" s="352" t="s">
        <v>2076</v>
      </c>
      <c r="O1201" s="352">
        <v>11</v>
      </c>
      <c r="P1201" s="352" t="s">
        <v>2084</v>
      </c>
      <c r="Q1201" s="352" t="s">
        <v>2064</v>
      </c>
      <c r="R1201" s="251">
        <v>0</v>
      </c>
      <c r="S1201" s="251" t="s">
        <v>2015</v>
      </c>
      <c r="T1201" s="251" t="s">
        <v>2054</v>
      </c>
      <c r="U1201" s="251" t="s">
        <v>1929</v>
      </c>
      <c r="V1201" s="251" t="s">
        <v>1930</v>
      </c>
      <c r="X1201" s="251">
        <v>0</v>
      </c>
    </row>
    <row r="1202" spans="2:24" x14ac:dyDescent="0.2">
      <c r="B1202" s="352" t="s">
        <v>870</v>
      </c>
      <c r="C1202" s="352" t="s">
        <v>735</v>
      </c>
      <c r="F1202" s="352" t="s">
        <v>1996</v>
      </c>
      <c r="G1202" s="352" t="s">
        <v>2112</v>
      </c>
      <c r="H1202" s="352" t="s">
        <v>1567</v>
      </c>
      <c r="I1202" s="352" t="s">
        <v>984</v>
      </c>
      <c r="J1202" s="352" t="s">
        <v>985</v>
      </c>
      <c r="K1202" s="352">
        <v>2211</v>
      </c>
      <c r="L1202" s="352" t="s">
        <v>1883</v>
      </c>
      <c r="M1202" s="352" t="s">
        <v>2175</v>
      </c>
      <c r="N1202" s="352" t="s">
        <v>2076</v>
      </c>
      <c r="O1202" s="352">
        <v>11</v>
      </c>
      <c r="P1202" s="352" t="s">
        <v>2084</v>
      </c>
      <c r="Q1202" s="352" t="s">
        <v>2064</v>
      </c>
      <c r="R1202" s="251">
        <v>0</v>
      </c>
      <c r="S1202" s="251" t="s">
        <v>2015</v>
      </c>
      <c r="T1202" s="251" t="s">
        <v>2054</v>
      </c>
      <c r="U1202" s="251" t="s">
        <v>1929</v>
      </c>
      <c r="V1202" s="251" t="s">
        <v>1930</v>
      </c>
      <c r="X1202" s="251">
        <v>0</v>
      </c>
    </row>
    <row r="1203" spans="2:24" x14ac:dyDescent="0.2">
      <c r="B1203" s="352" t="s">
        <v>870</v>
      </c>
      <c r="C1203" s="352" t="s">
        <v>735</v>
      </c>
      <c r="F1203" s="352" t="s">
        <v>1996</v>
      </c>
      <c r="G1203" s="352" t="s">
        <v>2112</v>
      </c>
      <c r="H1203" s="352" t="s">
        <v>1568</v>
      </c>
      <c r="I1203" s="352" t="s">
        <v>986</v>
      </c>
      <c r="J1203" s="352" t="s">
        <v>987</v>
      </c>
      <c r="K1203" s="352">
        <v>2112</v>
      </c>
      <c r="L1203" s="352" t="s">
        <v>1874</v>
      </c>
      <c r="M1203" s="352" t="s">
        <v>2176</v>
      </c>
      <c r="N1203" s="352" t="s">
        <v>2076</v>
      </c>
      <c r="O1203" s="352">
        <v>8</v>
      </c>
      <c r="P1203" s="352" t="s">
        <v>2085</v>
      </c>
      <c r="Q1203" s="352" t="s">
        <v>2068</v>
      </c>
      <c r="R1203" s="251">
        <v>0</v>
      </c>
      <c r="S1203" s="251" t="s">
        <v>2015</v>
      </c>
      <c r="T1203" s="251" t="s">
        <v>2054</v>
      </c>
      <c r="U1203" s="251" t="s">
        <v>1931</v>
      </c>
      <c r="V1203" s="251" t="s">
        <v>1932</v>
      </c>
      <c r="X1203" s="251">
        <v>0</v>
      </c>
    </row>
    <row r="1204" spans="2:24" x14ac:dyDescent="0.2">
      <c r="B1204" s="352" t="s">
        <v>870</v>
      </c>
      <c r="C1204" s="352" t="s">
        <v>735</v>
      </c>
      <c r="F1204" s="352" t="s">
        <v>1996</v>
      </c>
      <c r="G1204" s="352" t="s">
        <v>2112</v>
      </c>
      <c r="H1204" s="352" t="s">
        <v>1568</v>
      </c>
      <c r="I1204" s="352" t="s">
        <v>986</v>
      </c>
      <c r="J1204" s="352" t="s">
        <v>987</v>
      </c>
      <c r="K1204" s="352">
        <v>2122</v>
      </c>
      <c r="L1204" s="352" t="s">
        <v>1877</v>
      </c>
      <c r="M1204" s="352" t="s">
        <v>2177</v>
      </c>
      <c r="N1204" s="352" t="s">
        <v>2076</v>
      </c>
      <c r="O1204" s="352">
        <v>8</v>
      </c>
      <c r="P1204" s="352" t="s">
        <v>2085</v>
      </c>
      <c r="Q1204" s="352" t="s">
        <v>2068</v>
      </c>
      <c r="R1204" s="251">
        <v>0</v>
      </c>
      <c r="S1204" s="251" t="s">
        <v>2015</v>
      </c>
      <c r="T1204" s="251" t="s">
        <v>2054</v>
      </c>
      <c r="U1204" s="251" t="s">
        <v>1931</v>
      </c>
      <c r="V1204" s="251" t="s">
        <v>1932</v>
      </c>
      <c r="X1204" s="251">
        <v>0</v>
      </c>
    </row>
    <row r="1205" spans="2:24" x14ac:dyDescent="0.2">
      <c r="B1205" s="352" t="s">
        <v>870</v>
      </c>
      <c r="C1205" s="352" t="s">
        <v>735</v>
      </c>
      <c r="F1205" s="352" t="s">
        <v>1996</v>
      </c>
      <c r="G1205" s="352" t="s">
        <v>2112</v>
      </c>
      <c r="H1205" s="352" t="s">
        <v>1569</v>
      </c>
      <c r="I1205" s="352" t="s">
        <v>988</v>
      </c>
      <c r="J1205" s="352" t="s">
        <v>989</v>
      </c>
      <c r="K1205" s="352">
        <v>2112</v>
      </c>
      <c r="L1205" s="352" t="s">
        <v>1874</v>
      </c>
      <c r="M1205" s="352" t="s">
        <v>2178</v>
      </c>
      <c r="N1205" s="352" t="s">
        <v>2076</v>
      </c>
      <c r="O1205" s="352">
        <v>8</v>
      </c>
      <c r="P1205" s="352" t="s">
        <v>2085</v>
      </c>
      <c r="Q1205" s="352" t="s">
        <v>2068</v>
      </c>
      <c r="R1205" s="251">
        <v>0</v>
      </c>
      <c r="S1205" s="251" t="s">
        <v>2015</v>
      </c>
      <c r="T1205" s="251" t="s">
        <v>2054</v>
      </c>
      <c r="U1205" s="251" t="s">
        <v>1931</v>
      </c>
      <c r="V1205" s="251" t="s">
        <v>1932</v>
      </c>
      <c r="X1205" s="251">
        <v>0</v>
      </c>
    </row>
    <row r="1206" spans="2:24" x14ac:dyDescent="0.2">
      <c r="B1206" s="352" t="s">
        <v>870</v>
      </c>
      <c r="C1206" s="352" t="s">
        <v>735</v>
      </c>
      <c r="F1206" s="352" t="s">
        <v>1996</v>
      </c>
      <c r="G1206" s="352" t="s">
        <v>2112</v>
      </c>
      <c r="H1206" s="352" t="s">
        <v>1569</v>
      </c>
      <c r="I1206" s="352" t="s">
        <v>988</v>
      </c>
      <c r="J1206" s="352" t="s">
        <v>989</v>
      </c>
      <c r="K1206" s="352">
        <v>2122</v>
      </c>
      <c r="L1206" s="352" t="s">
        <v>1877</v>
      </c>
      <c r="M1206" s="352" t="s">
        <v>2179</v>
      </c>
      <c r="N1206" s="352" t="s">
        <v>2076</v>
      </c>
      <c r="O1206" s="352">
        <v>8</v>
      </c>
      <c r="P1206" s="352" t="s">
        <v>2085</v>
      </c>
      <c r="Q1206" s="352" t="s">
        <v>2068</v>
      </c>
      <c r="R1206" s="251">
        <v>0</v>
      </c>
      <c r="S1206" s="251" t="s">
        <v>2015</v>
      </c>
      <c r="T1206" s="251" t="s">
        <v>2054</v>
      </c>
      <c r="U1206" s="251" t="s">
        <v>1931</v>
      </c>
      <c r="V1206" s="251" t="s">
        <v>1932</v>
      </c>
      <c r="X1206" s="251">
        <v>0</v>
      </c>
    </row>
    <row r="1207" spans="2:24" x14ac:dyDescent="0.2">
      <c r="B1207" s="352" t="s">
        <v>870</v>
      </c>
      <c r="C1207" s="352" t="s">
        <v>735</v>
      </c>
      <c r="F1207" s="352" t="s">
        <v>1996</v>
      </c>
      <c r="G1207" s="352" t="s">
        <v>2112</v>
      </c>
      <c r="H1207" s="352" t="s">
        <v>1570</v>
      </c>
      <c r="I1207" s="352" t="s">
        <v>990</v>
      </c>
      <c r="J1207" s="352" t="s">
        <v>991</v>
      </c>
      <c r="K1207" s="352">
        <v>2132</v>
      </c>
      <c r="L1207" s="352" t="s">
        <v>1880</v>
      </c>
      <c r="M1207" s="352" t="s">
        <v>2180</v>
      </c>
      <c r="N1207" s="352" t="s">
        <v>2076</v>
      </c>
      <c r="O1207" s="352">
        <v>1</v>
      </c>
      <c r="P1207" s="352" t="s">
        <v>2086</v>
      </c>
      <c r="Q1207" s="352" t="s">
        <v>2066</v>
      </c>
      <c r="R1207" s="251">
        <v>0</v>
      </c>
      <c r="S1207" s="251" t="s">
        <v>2015</v>
      </c>
      <c r="T1207" s="251" t="s">
        <v>2054</v>
      </c>
      <c r="U1207" s="251" t="s">
        <v>1931</v>
      </c>
      <c r="V1207" s="251" t="s">
        <v>1932</v>
      </c>
      <c r="X1207" s="251">
        <v>0</v>
      </c>
    </row>
    <row r="1208" spans="2:24" x14ac:dyDescent="0.2">
      <c r="B1208" s="352" t="s">
        <v>870</v>
      </c>
      <c r="C1208" s="352" t="s">
        <v>735</v>
      </c>
      <c r="F1208" s="352" t="s">
        <v>1996</v>
      </c>
      <c r="G1208" s="352" t="s">
        <v>2112</v>
      </c>
      <c r="H1208" s="352" t="s">
        <v>1571</v>
      </c>
      <c r="I1208" s="352" t="s">
        <v>994</v>
      </c>
      <c r="J1208" s="352" t="s">
        <v>995</v>
      </c>
      <c r="K1208" s="352">
        <v>2311</v>
      </c>
      <c r="L1208" s="352" t="s">
        <v>1887</v>
      </c>
      <c r="M1208" s="352" t="s">
        <v>2181</v>
      </c>
      <c r="N1208" s="352" t="s">
        <v>2076</v>
      </c>
      <c r="O1208" s="352">
        <v>8</v>
      </c>
      <c r="P1208" s="352" t="s">
        <v>2085</v>
      </c>
      <c r="Q1208" s="352" t="s">
        <v>2068</v>
      </c>
      <c r="R1208" s="251">
        <v>0</v>
      </c>
      <c r="S1208" s="251" t="s">
        <v>2015</v>
      </c>
      <c r="T1208" s="251" t="s">
        <v>2054</v>
      </c>
      <c r="U1208" s="251" t="s">
        <v>1943</v>
      </c>
      <c r="V1208" s="251" t="s">
        <v>1944</v>
      </c>
      <c r="X1208" s="251">
        <v>0</v>
      </c>
    </row>
    <row r="1209" spans="2:24" x14ac:dyDescent="0.2">
      <c r="B1209" s="352" t="s">
        <v>870</v>
      </c>
      <c r="C1209" s="352" t="s">
        <v>735</v>
      </c>
      <c r="F1209" s="352" t="s">
        <v>1996</v>
      </c>
      <c r="G1209" s="352" t="s">
        <v>2112</v>
      </c>
      <c r="H1209" s="352" t="s">
        <v>1572</v>
      </c>
      <c r="I1209" s="352" t="s">
        <v>996</v>
      </c>
      <c r="J1209" s="352" t="s">
        <v>997</v>
      </c>
      <c r="K1209" s="352">
        <v>2311</v>
      </c>
      <c r="L1209" s="352" t="s">
        <v>1887</v>
      </c>
      <c r="M1209" s="352" t="s">
        <v>2182</v>
      </c>
      <c r="N1209" s="352" t="s">
        <v>2076</v>
      </c>
      <c r="O1209" s="352">
        <v>8</v>
      </c>
      <c r="P1209" s="352" t="s">
        <v>2085</v>
      </c>
      <c r="Q1209" s="352" t="s">
        <v>2068</v>
      </c>
      <c r="R1209" s="251">
        <v>0</v>
      </c>
      <c r="S1209" s="251" t="s">
        <v>2015</v>
      </c>
      <c r="T1209" s="251" t="s">
        <v>2054</v>
      </c>
      <c r="U1209" s="251" t="s">
        <v>1943</v>
      </c>
      <c r="V1209" s="251" t="s">
        <v>1944</v>
      </c>
      <c r="X1209" s="251">
        <v>0</v>
      </c>
    </row>
    <row r="1210" spans="2:24" x14ac:dyDescent="0.2">
      <c r="B1210" s="352" t="s">
        <v>870</v>
      </c>
      <c r="C1210" s="352" t="s">
        <v>735</v>
      </c>
      <c r="F1210" s="352" t="s">
        <v>1996</v>
      </c>
      <c r="G1210" s="352" t="s">
        <v>2112</v>
      </c>
      <c r="H1210" s="352" t="s">
        <v>1573</v>
      </c>
      <c r="I1210" s="352" t="s">
        <v>998</v>
      </c>
      <c r="J1210" s="352" t="s">
        <v>999</v>
      </c>
      <c r="K1210" s="352">
        <v>2311</v>
      </c>
      <c r="L1210" s="352" t="s">
        <v>1887</v>
      </c>
      <c r="M1210" s="352" t="s">
        <v>2183</v>
      </c>
      <c r="N1210" s="352" t="s">
        <v>2076</v>
      </c>
      <c r="O1210" s="352">
        <v>8</v>
      </c>
      <c r="P1210" s="352" t="s">
        <v>2085</v>
      </c>
      <c r="Q1210" s="352" t="s">
        <v>2068</v>
      </c>
      <c r="R1210" s="251">
        <v>0</v>
      </c>
      <c r="S1210" s="251" t="s">
        <v>2015</v>
      </c>
      <c r="T1210" s="251" t="s">
        <v>2054</v>
      </c>
      <c r="U1210" s="251" t="s">
        <v>1943</v>
      </c>
      <c r="V1210" s="251" t="s">
        <v>1944</v>
      </c>
      <c r="X1210" s="251">
        <v>0</v>
      </c>
    </row>
    <row r="1211" spans="2:24" x14ac:dyDescent="0.2">
      <c r="B1211" s="352" t="s">
        <v>870</v>
      </c>
      <c r="C1211" s="352" t="s">
        <v>735</v>
      </c>
      <c r="F1211" s="352" t="s">
        <v>1996</v>
      </c>
      <c r="G1211" s="352" t="s">
        <v>2112</v>
      </c>
      <c r="H1211" s="352" t="s">
        <v>1573</v>
      </c>
      <c r="I1211" s="352" t="s">
        <v>998</v>
      </c>
      <c r="J1211" s="352" t="s">
        <v>999</v>
      </c>
      <c r="K1211" s="352">
        <v>2312</v>
      </c>
      <c r="L1211" s="352" t="s">
        <v>789</v>
      </c>
      <c r="M1211" s="352" t="s">
        <v>2184</v>
      </c>
      <c r="N1211" s="352" t="s">
        <v>2076</v>
      </c>
      <c r="O1211" s="352">
        <v>8</v>
      </c>
      <c r="P1211" s="352" t="s">
        <v>2085</v>
      </c>
      <c r="Q1211" s="352" t="s">
        <v>2068</v>
      </c>
      <c r="R1211" s="251">
        <v>0</v>
      </c>
      <c r="S1211" s="251" t="s">
        <v>2015</v>
      </c>
      <c r="T1211" s="251" t="s">
        <v>2054</v>
      </c>
      <c r="U1211" s="251" t="s">
        <v>1943</v>
      </c>
      <c r="V1211" s="251" t="s">
        <v>1944</v>
      </c>
      <c r="X1211" s="251">
        <v>0</v>
      </c>
    </row>
    <row r="1212" spans="2:24" x14ac:dyDescent="0.2">
      <c r="B1212" s="352" t="s">
        <v>870</v>
      </c>
      <c r="C1212" s="352" t="s">
        <v>735</v>
      </c>
      <c r="F1212" s="352" t="s">
        <v>1996</v>
      </c>
      <c r="G1212" s="352" t="s">
        <v>2112</v>
      </c>
      <c r="H1212" s="352" t="s">
        <v>1574</v>
      </c>
      <c r="I1212" s="352" t="s">
        <v>1000</v>
      </c>
      <c r="J1212" s="352" t="s">
        <v>1001</v>
      </c>
      <c r="K1212" s="352">
        <v>2141</v>
      </c>
      <c r="L1212" s="352" t="s">
        <v>1882</v>
      </c>
      <c r="M1212" s="352" t="s">
        <v>2185</v>
      </c>
      <c r="N1212" s="352" t="s">
        <v>2076</v>
      </c>
      <c r="O1212" s="352">
        <v>12</v>
      </c>
      <c r="P1212" s="352" t="s">
        <v>2087</v>
      </c>
      <c r="Q1212" s="352" t="s">
        <v>2070</v>
      </c>
      <c r="R1212" s="251">
        <v>0</v>
      </c>
      <c r="S1212" s="251" t="s">
        <v>2015</v>
      </c>
      <c r="T1212" s="251" t="s">
        <v>2054</v>
      </c>
      <c r="U1212" s="251" t="s">
        <v>1935</v>
      </c>
      <c r="V1212" s="251" t="s">
        <v>1936</v>
      </c>
      <c r="X1212" s="251">
        <v>0</v>
      </c>
    </row>
    <row r="1213" spans="2:24" x14ac:dyDescent="0.2">
      <c r="B1213" s="352" t="s">
        <v>870</v>
      </c>
      <c r="C1213" s="352" t="s">
        <v>735</v>
      </c>
      <c r="F1213" s="352" t="s">
        <v>1996</v>
      </c>
      <c r="G1213" s="352" t="s">
        <v>2112</v>
      </c>
      <c r="H1213" s="352" t="s">
        <v>1574</v>
      </c>
      <c r="I1213" s="352" t="s">
        <v>1000</v>
      </c>
      <c r="J1213" s="352" t="s">
        <v>1001</v>
      </c>
      <c r="K1213" s="352">
        <v>2142</v>
      </c>
      <c r="L1213" s="352" t="s">
        <v>780</v>
      </c>
      <c r="M1213" s="352" t="s">
        <v>2186</v>
      </c>
      <c r="N1213" s="352" t="s">
        <v>2076</v>
      </c>
      <c r="O1213" s="352">
        <v>12</v>
      </c>
      <c r="P1213" s="352" t="s">
        <v>2087</v>
      </c>
      <c r="Q1213" s="352" t="s">
        <v>2070</v>
      </c>
      <c r="R1213" s="251">
        <v>0</v>
      </c>
      <c r="S1213" s="251" t="s">
        <v>2015</v>
      </c>
      <c r="T1213" s="251" t="s">
        <v>2054</v>
      </c>
      <c r="U1213" s="251">
        <v>0</v>
      </c>
      <c r="V1213" s="251" t="s">
        <v>2153</v>
      </c>
      <c r="X1213" s="251">
        <v>0</v>
      </c>
    </row>
    <row r="1214" spans="2:24" x14ac:dyDescent="0.2">
      <c r="B1214" s="352" t="s">
        <v>870</v>
      </c>
      <c r="C1214" s="352" t="s">
        <v>735</v>
      </c>
      <c r="F1214" s="352" t="s">
        <v>1996</v>
      </c>
      <c r="G1214" s="352" t="s">
        <v>2112</v>
      </c>
      <c r="H1214" s="352" t="s">
        <v>1575</v>
      </c>
      <c r="I1214" s="352" t="s">
        <v>1002</v>
      </c>
      <c r="J1214" s="352" t="s">
        <v>1003</v>
      </c>
      <c r="K1214" s="352">
        <v>2113</v>
      </c>
      <c r="L1214" s="352" t="s">
        <v>1875</v>
      </c>
      <c r="M1214" s="352" t="s">
        <v>2187</v>
      </c>
      <c r="N1214" s="352" t="s">
        <v>2076</v>
      </c>
      <c r="O1214" s="352">
        <v>1</v>
      </c>
      <c r="P1214" s="352" t="s">
        <v>2086</v>
      </c>
      <c r="Q1214" s="352" t="s">
        <v>2066</v>
      </c>
      <c r="R1214" s="251">
        <v>0</v>
      </c>
      <c r="S1214" s="251" t="s">
        <v>2015</v>
      </c>
      <c r="T1214" s="251" t="s">
        <v>2054</v>
      </c>
      <c r="U1214" s="251" t="s">
        <v>1935</v>
      </c>
      <c r="V1214" s="251" t="s">
        <v>1936</v>
      </c>
      <c r="X1214" s="251">
        <v>0</v>
      </c>
    </row>
    <row r="1215" spans="2:24" x14ac:dyDescent="0.2">
      <c r="B1215" s="352" t="s">
        <v>870</v>
      </c>
      <c r="C1215" s="352" t="s">
        <v>735</v>
      </c>
      <c r="F1215" s="352" t="s">
        <v>1996</v>
      </c>
      <c r="G1215" s="352" t="s">
        <v>2112</v>
      </c>
      <c r="H1215" s="352" t="s">
        <v>1575</v>
      </c>
      <c r="I1215" s="352" t="s">
        <v>1002</v>
      </c>
      <c r="J1215" s="352" t="s">
        <v>1003</v>
      </c>
      <c r="K1215" s="352">
        <v>2123</v>
      </c>
      <c r="L1215" s="352" t="s">
        <v>1878</v>
      </c>
      <c r="M1215" s="352" t="s">
        <v>2188</v>
      </c>
      <c r="N1215" s="352" t="s">
        <v>2076</v>
      </c>
      <c r="O1215" s="352">
        <v>1</v>
      </c>
      <c r="P1215" s="352" t="s">
        <v>2086</v>
      </c>
      <c r="Q1215" s="352" t="s">
        <v>2066</v>
      </c>
      <c r="R1215" s="251">
        <v>0</v>
      </c>
      <c r="S1215" s="251" t="s">
        <v>2015</v>
      </c>
      <c r="T1215" s="251" t="s">
        <v>2054</v>
      </c>
      <c r="U1215" s="251" t="s">
        <v>1935</v>
      </c>
      <c r="V1215" s="251" t="s">
        <v>1936</v>
      </c>
      <c r="X1215" s="251">
        <v>0</v>
      </c>
    </row>
    <row r="1216" spans="2:24" x14ac:dyDescent="0.2">
      <c r="B1216" s="352" t="s">
        <v>870</v>
      </c>
      <c r="C1216" s="352" t="s">
        <v>735</v>
      </c>
      <c r="F1216" s="352" t="s">
        <v>1996</v>
      </c>
      <c r="G1216" s="352" t="s">
        <v>2112</v>
      </c>
      <c r="H1216" s="352" t="s">
        <v>1576</v>
      </c>
      <c r="I1216" s="352" t="s">
        <v>1006</v>
      </c>
      <c r="J1216" s="352" t="s">
        <v>1007</v>
      </c>
      <c r="K1216" s="352">
        <v>2133</v>
      </c>
      <c r="L1216" s="352" t="s">
        <v>1881</v>
      </c>
      <c r="M1216" s="352" t="s">
        <v>2189</v>
      </c>
      <c r="N1216" s="352" t="s">
        <v>2076</v>
      </c>
      <c r="O1216" s="352">
        <v>1</v>
      </c>
      <c r="P1216" s="352" t="s">
        <v>2086</v>
      </c>
      <c r="Q1216" s="352" t="s">
        <v>2066</v>
      </c>
      <c r="R1216" s="251">
        <v>0</v>
      </c>
      <c r="S1216" s="251" t="s">
        <v>2015</v>
      </c>
      <c r="T1216" s="251" t="s">
        <v>2054</v>
      </c>
      <c r="U1216" s="251" t="s">
        <v>1935</v>
      </c>
      <c r="V1216" s="251" t="s">
        <v>1936</v>
      </c>
      <c r="X1216" s="251">
        <v>0</v>
      </c>
    </row>
    <row r="1217" spans="2:24" x14ac:dyDescent="0.2">
      <c r="B1217" s="352" t="s">
        <v>870</v>
      </c>
      <c r="C1217" s="352" t="s">
        <v>735</v>
      </c>
      <c r="F1217" s="352" t="s">
        <v>1996</v>
      </c>
      <c r="G1217" s="352" t="s">
        <v>2112</v>
      </c>
      <c r="H1217" s="352" t="s">
        <v>1576</v>
      </c>
      <c r="I1217" s="352" t="s">
        <v>1006</v>
      </c>
      <c r="J1217" s="352" t="s">
        <v>1007</v>
      </c>
      <c r="K1217" s="352">
        <v>2141</v>
      </c>
      <c r="L1217" s="352" t="s">
        <v>1882</v>
      </c>
      <c r="M1217" s="352" t="s">
        <v>2190</v>
      </c>
      <c r="N1217" s="352" t="s">
        <v>2076</v>
      </c>
      <c r="O1217" s="352">
        <v>1</v>
      </c>
      <c r="P1217" s="352" t="s">
        <v>2086</v>
      </c>
      <c r="Q1217" s="352" t="s">
        <v>2066</v>
      </c>
      <c r="R1217" s="251">
        <v>0</v>
      </c>
      <c r="S1217" s="251" t="s">
        <v>2015</v>
      </c>
      <c r="T1217" s="251" t="s">
        <v>2054</v>
      </c>
      <c r="U1217" s="251" t="s">
        <v>1935</v>
      </c>
      <c r="V1217" s="251" t="s">
        <v>1936</v>
      </c>
      <c r="X1217" s="251">
        <v>0</v>
      </c>
    </row>
    <row r="1218" spans="2:24" x14ac:dyDescent="0.2">
      <c r="B1218" s="352" t="s">
        <v>870</v>
      </c>
      <c r="C1218" s="352" t="s">
        <v>735</v>
      </c>
      <c r="F1218" s="352" t="s">
        <v>1996</v>
      </c>
      <c r="G1218" s="352" t="s">
        <v>2112</v>
      </c>
      <c r="H1218" s="352" t="s">
        <v>1576</v>
      </c>
      <c r="I1218" s="352" t="s">
        <v>1006</v>
      </c>
      <c r="J1218" s="352" t="s">
        <v>1007</v>
      </c>
      <c r="K1218" s="352">
        <v>2221</v>
      </c>
      <c r="L1218" s="352" t="s">
        <v>1884</v>
      </c>
      <c r="M1218" s="352" t="s">
        <v>2191</v>
      </c>
      <c r="N1218" s="352" t="s">
        <v>2076</v>
      </c>
      <c r="O1218" s="352">
        <v>1</v>
      </c>
      <c r="P1218" s="352" t="s">
        <v>2086</v>
      </c>
      <c r="Q1218" s="352" t="s">
        <v>2066</v>
      </c>
      <c r="R1218" s="251">
        <v>0</v>
      </c>
      <c r="S1218" s="251" t="s">
        <v>2015</v>
      </c>
      <c r="T1218" s="251" t="s">
        <v>2054</v>
      </c>
      <c r="U1218" s="251" t="s">
        <v>1935</v>
      </c>
      <c r="V1218" s="251" t="s">
        <v>1936</v>
      </c>
      <c r="X1218" s="251">
        <v>0</v>
      </c>
    </row>
    <row r="1219" spans="2:24" x14ac:dyDescent="0.2">
      <c r="B1219" s="352" t="s">
        <v>870</v>
      </c>
      <c r="C1219" s="352" t="s">
        <v>735</v>
      </c>
      <c r="F1219" s="352" t="s">
        <v>1996</v>
      </c>
      <c r="G1219" s="352" t="s">
        <v>2112</v>
      </c>
      <c r="H1219" s="352" t="s">
        <v>1577</v>
      </c>
      <c r="I1219" s="352" t="s">
        <v>1008</v>
      </c>
      <c r="J1219" s="352" t="s">
        <v>1009</v>
      </c>
      <c r="K1219" s="352">
        <v>2223</v>
      </c>
      <c r="L1219" s="352" t="s">
        <v>1886</v>
      </c>
      <c r="M1219" s="352" t="s">
        <v>2192</v>
      </c>
      <c r="N1219" s="352" t="s">
        <v>2076</v>
      </c>
      <c r="O1219" s="352">
        <v>2</v>
      </c>
      <c r="P1219" s="352" t="s">
        <v>2088</v>
      </c>
      <c r="Q1219" s="352" t="s">
        <v>2072</v>
      </c>
      <c r="R1219" s="251">
        <v>0</v>
      </c>
      <c r="S1219" s="251" t="s">
        <v>2193</v>
      </c>
      <c r="T1219" s="251" t="s">
        <v>2054</v>
      </c>
      <c r="U1219" s="251" t="s">
        <v>1937</v>
      </c>
      <c r="V1219" s="251" t="s">
        <v>1938</v>
      </c>
      <c r="X1219" s="251">
        <v>0</v>
      </c>
    </row>
    <row r="1220" spans="2:24" x14ac:dyDescent="0.2">
      <c r="B1220" s="352" t="s">
        <v>870</v>
      </c>
      <c r="C1220" s="352" t="s">
        <v>735</v>
      </c>
      <c r="F1220" s="352" t="s">
        <v>1996</v>
      </c>
      <c r="G1220" s="352" t="s">
        <v>2112</v>
      </c>
      <c r="H1220" s="352" t="s">
        <v>1578</v>
      </c>
      <c r="I1220" s="352" t="s">
        <v>1010</v>
      </c>
      <c r="J1220" s="352" t="s">
        <v>1011</v>
      </c>
      <c r="K1220" s="352">
        <v>2222</v>
      </c>
      <c r="L1220" s="352" t="s">
        <v>1885</v>
      </c>
      <c r="M1220" s="352" t="s">
        <v>2194</v>
      </c>
      <c r="N1220" s="352" t="s">
        <v>2076</v>
      </c>
      <c r="O1220" s="352">
        <v>2</v>
      </c>
      <c r="P1220" s="352" t="s">
        <v>2088</v>
      </c>
      <c r="Q1220" s="352" t="s">
        <v>2072</v>
      </c>
      <c r="R1220" s="251">
        <v>0</v>
      </c>
      <c r="S1220" s="251" t="s">
        <v>2193</v>
      </c>
      <c r="T1220" s="251" t="s">
        <v>2054</v>
      </c>
      <c r="U1220" s="251" t="s">
        <v>1939</v>
      </c>
      <c r="V1220" s="251" t="s">
        <v>1940</v>
      </c>
      <c r="X1220" s="251">
        <v>0</v>
      </c>
    </row>
    <row r="1221" spans="2:24" x14ac:dyDescent="0.2">
      <c r="B1221" s="352" t="s">
        <v>870</v>
      </c>
      <c r="C1221" s="352" t="s">
        <v>735</v>
      </c>
      <c r="F1221" s="352" t="s">
        <v>1996</v>
      </c>
      <c r="G1221" s="352" t="s">
        <v>2112</v>
      </c>
      <c r="H1221" s="352" t="s">
        <v>1579</v>
      </c>
      <c r="I1221" s="352" t="s">
        <v>1012</v>
      </c>
      <c r="J1221" s="352" t="s">
        <v>1013</v>
      </c>
      <c r="K1221" s="352">
        <v>2222</v>
      </c>
      <c r="L1221" s="352" t="s">
        <v>1885</v>
      </c>
      <c r="M1221" s="352" t="s">
        <v>2195</v>
      </c>
      <c r="N1221" s="352" t="s">
        <v>2076</v>
      </c>
      <c r="O1221" s="352">
        <v>2</v>
      </c>
      <c r="P1221" s="352" t="s">
        <v>2088</v>
      </c>
      <c r="Q1221" s="352" t="s">
        <v>2072</v>
      </c>
      <c r="R1221" s="251">
        <v>0</v>
      </c>
      <c r="S1221" s="251" t="s">
        <v>2193</v>
      </c>
      <c r="T1221" s="251" t="s">
        <v>2054</v>
      </c>
      <c r="U1221" s="251" t="s">
        <v>1939</v>
      </c>
      <c r="V1221" s="251" t="s">
        <v>1940</v>
      </c>
      <c r="X1221" s="251">
        <v>0</v>
      </c>
    </row>
    <row r="1222" spans="2:24" x14ac:dyDescent="0.2">
      <c r="B1222" s="352" t="s">
        <v>870</v>
      </c>
      <c r="C1222" s="352" t="s">
        <v>735</v>
      </c>
      <c r="F1222" s="352" t="s">
        <v>1996</v>
      </c>
      <c r="G1222" s="352" t="s">
        <v>2112</v>
      </c>
      <c r="H1222" s="352" t="s">
        <v>1580</v>
      </c>
      <c r="I1222" s="352" t="s">
        <v>1014</v>
      </c>
      <c r="J1222" s="352" t="s">
        <v>1893</v>
      </c>
      <c r="K1222" s="352">
        <v>2131</v>
      </c>
      <c r="L1222" s="352" t="s">
        <v>1879</v>
      </c>
      <c r="M1222" s="352" t="s">
        <v>2196</v>
      </c>
      <c r="N1222" s="352" t="s">
        <v>2076</v>
      </c>
      <c r="O1222" s="352">
        <v>8</v>
      </c>
      <c r="P1222" s="352" t="s">
        <v>2085</v>
      </c>
      <c r="Q1222" s="352" t="s">
        <v>2068</v>
      </c>
      <c r="R1222" s="251">
        <v>0</v>
      </c>
      <c r="S1222" s="251" t="s">
        <v>2015</v>
      </c>
      <c r="T1222" s="251" t="s">
        <v>2054</v>
      </c>
      <c r="U1222" s="251" t="s">
        <v>1929</v>
      </c>
      <c r="V1222" s="251" t="s">
        <v>1930</v>
      </c>
      <c r="X1222" s="251">
        <v>0</v>
      </c>
    </row>
    <row r="1223" spans="2:24" x14ac:dyDescent="0.2">
      <c r="B1223" s="352" t="s">
        <v>870</v>
      </c>
      <c r="C1223" s="352" t="s">
        <v>735</v>
      </c>
      <c r="F1223" s="352" t="s">
        <v>1996</v>
      </c>
      <c r="G1223" s="352" t="s">
        <v>2112</v>
      </c>
      <c r="H1223" s="352" t="s">
        <v>1580</v>
      </c>
      <c r="I1223" s="352" t="s">
        <v>1014</v>
      </c>
      <c r="J1223" s="352" t="s">
        <v>1893</v>
      </c>
      <c r="K1223" s="352">
        <v>2132</v>
      </c>
      <c r="L1223" s="352" t="s">
        <v>1880</v>
      </c>
      <c r="M1223" s="352" t="s">
        <v>2197</v>
      </c>
      <c r="N1223" s="352" t="s">
        <v>2076</v>
      </c>
      <c r="O1223" s="352">
        <v>8</v>
      </c>
      <c r="P1223" s="352" t="s">
        <v>2085</v>
      </c>
      <c r="Q1223" s="352" t="s">
        <v>2068</v>
      </c>
      <c r="R1223" s="251">
        <v>0</v>
      </c>
      <c r="S1223" s="251" t="s">
        <v>2015</v>
      </c>
      <c r="T1223" s="251" t="s">
        <v>2054</v>
      </c>
      <c r="U1223" s="251" t="s">
        <v>1931</v>
      </c>
      <c r="V1223" s="251" t="s">
        <v>1932</v>
      </c>
      <c r="X1223" s="251">
        <v>0</v>
      </c>
    </row>
    <row r="1224" spans="2:24" x14ac:dyDescent="0.2">
      <c r="B1224" s="352" t="s">
        <v>870</v>
      </c>
      <c r="C1224" s="352" t="s">
        <v>735</v>
      </c>
      <c r="F1224" s="352" t="s">
        <v>1996</v>
      </c>
      <c r="G1224" s="352" t="s">
        <v>2112</v>
      </c>
      <c r="H1224" s="352" t="s">
        <v>1580</v>
      </c>
      <c r="I1224" s="352" t="s">
        <v>1014</v>
      </c>
      <c r="J1224" s="352" t="s">
        <v>1893</v>
      </c>
      <c r="K1224" s="352">
        <v>2133</v>
      </c>
      <c r="L1224" s="352" t="s">
        <v>1881</v>
      </c>
      <c r="M1224" s="352" t="s">
        <v>2198</v>
      </c>
      <c r="N1224" s="352" t="s">
        <v>2076</v>
      </c>
      <c r="O1224" s="352">
        <v>8</v>
      </c>
      <c r="P1224" s="352" t="s">
        <v>2085</v>
      </c>
      <c r="Q1224" s="352" t="s">
        <v>2068</v>
      </c>
      <c r="R1224" s="251">
        <v>0</v>
      </c>
      <c r="S1224" s="251" t="s">
        <v>2015</v>
      </c>
      <c r="T1224" s="251" t="s">
        <v>2054</v>
      </c>
      <c r="U1224" s="251" t="s">
        <v>1935</v>
      </c>
      <c r="V1224" s="251" t="s">
        <v>1936</v>
      </c>
      <c r="X1224" s="251">
        <v>0</v>
      </c>
    </row>
    <row r="1225" spans="2:24" x14ac:dyDescent="0.2">
      <c r="B1225" s="352" t="s">
        <v>870</v>
      </c>
      <c r="C1225" s="352" t="s">
        <v>735</v>
      </c>
      <c r="F1225" s="352" t="s">
        <v>1996</v>
      </c>
      <c r="G1225" s="352" t="s">
        <v>2112</v>
      </c>
      <c r="H1225" s="352" t="s">
        <v>1580</v>
      </c>
      <c r="I1225" s="352" t="s">
        <v>1014</v>
      </c>
      <c r="J1225" s="352" t="s">
        <v>1893</v>
      </c>
      <c r="K1225" s="352">
        <v>2134</v>
      </c>
      <c r="L1225" s="352" t="s">
        <v>775</v>
      </c>
      <c r="M1225" s="352" t="s">
        <v>2199</v>
      </c>
      <c r="N1225" s="352" t="s">
        <v>2076</v>
      </c>
      <c r="O1225" s="352">
        <v>8</v>
      </c>
      <c r="P1225" s="352" t="s">
        <v>2085</v>
      </c>
      <c r="Q1225" s="352" t="s">
        <v>2068</v>
      </c>
      <c r="R1225" s="251">
        <v>0</v>
      </c>
      <c r="S1225" s="251" t="s">
        <v>2015</v>
      </c>
      <c r="T1225" s="251" t="s">
        <v>2054</v>
      </c>
      <c r="U1225" s="251">
        <v>0</v>
      </c>
      <c r="V1225" s="251" t="s">
        <v>2153</v>
      </c>
      <c r="X1225" s="251">
        <v>0</v>
      </c>
    </row>
    <row r="1226" spans="2:24" x14ac:dyDescent="0.2">
      <c r="B1226" s="352" t="s">
        <v>870</v>
      </c>
      <c r="C1226" s="352" t="s">
        <v>735</v>
      </c>
      <c r="F1226" s="352" t="s">
        <v>1996</v>
      </c>
      <c r="G1226" s="352" t="s">
        <v>2112</v>
      </c>
      <c r="H1226" s="352" t="s">
        <v>1580</v>
      </c>
      <c r="I1226" s="352" t="s">
        <v>1014</v>
      </c>
      <c r="J1226" s="352" t="s">
        <v>1893</v>
      </c>
      <c r="K1226" s="352">
        <v>2141</v>
      </c>
      <c r="L1226" s="352" t="s">
        <v>1882</v>
      </c>
      <c r="M1226" s="352" t="s">
        <v>2200</v>
      </c>
      <c r="N1226" s="352" t="s">
        <v>2076</v>
      </c>
      <c r="O1226" s="352">
        <v>8</v>
      </c>
      <c r="P1226" s="352" t="s">
        <v>2085</v>
      </c>
      <c r="Q1226" s="352" t="s">
        <v>2068</v>
      </c>
      <c r="R1226" s="251">
        <v>0</v>
      </c>
      <c r="S1226" s="251" t="s">
        <v>2015</v>
      </c>
      <c r="T1226" s="251" t="s">
        <v>2054</v>
      </c>
      <c r="U1226" s="251" t="s">
        <v>1935</v>
      </c>
      <c r="V1226" s="251" t="s">
        <v>1936</v>
      </c>
      <c r="X1226" s="251">
        <v>0</v>
      </c>
    </row>
    <row r="1227" spans="2:24" x14ac:dyDescent="0.2">
      <c r="B1227" s="352" t="s">
        <v>870</v>
      </c>
      <c r="C1227" s="352" t="s">
        <v>735</v>
      </c>
      <c r="F1227" s="352" t="s">
        <v>1996</v>
      </c>
      <c r="G1227" s="352" t="s">
        <v>2112</v>
      </c>
      <c r="H1227" s="352" t="s">
        <v>1580</v>
      </c>
      <c r="I1227" s="352" t="s">
        <v>1014</v>
      </c>
      <c r="J1227" s="352" t="s">
        <v>1893</v>
      </c>
      <c r="K1227" s="352">
        <v>2211</v>
      </c>
      <c r="L1227" s="352" t="s">
        <v>1883</v>
      </c>
      <c r="M1227" s="352" t="s">
        <v>2201</v>
      </c>
      <c r="N1227" s="352" t="s">
        <v>2076</v>
      </c>
      <c r="O1227" s="352">
        <v>8</v>
      </c>
      <c r="P1227" s="352" t="s">
        <v>2085</v>
      </c>
      <c r="Q1227" s="352" t="s">
        <v>2068</v>
      </c>
      <c r="R1227" s="251">
        <v>0</v>
      </c>
      <c r="S1227" s="251" t="s">
        <v>2015</v>
      </c>
      <c r="T1227" s="251" t="s">
        <v>2054</v>
      </c>
      <c r="U1227" s="251" t="s">
        <v>1929</v>
      </c>
      <c r="V1227" s="251" t="s">
        <v>1930</v>
      </c>
      <c r="X1227" s="251">
        <v>0</v>
      </c>
    </row>
    <row r="1228" spans="2:24" x14ac:dyDescent="0.2">
      <c r="B1228" s="352" t="s">
        <v>870</v>
      </c>
      <c r="C1228" s="352" t="s">
        <v>735</v>
      </c>
      <c r="F1228" s="352" t="s">
        <v>1996</v>
      </c>
      <c r="G1228" s="352" t="s">
        <v>2112</v>
      </c>
      <c r="H1228" s="352" t="s">
        <v>1580</v>
      </c>
      <c r="I1228" s="352" t="s">
        <v>1014</v>
      </c>
      <c r="J1228" s="352" t="s">
        <v>1893</v>
      </c>
      <c r="K1228" s="352">
        <v>2221</v>
      </c>
      <c r="L1228" s="352" t="s">
        <v>1884</v>
      </c>
      <c r="M1228" s="352" t="s">
        <v>2202</v>
      </c>
      <c r="N1228" s="352" t="s">
        <v>2076</v>
      </c>
      <c r="O1228" s="352">
        <v>8</v>
      </c>
      <c r="P1228" s="352" t="s">
        <v>2085</v>
      </c>
      <c r="Q1228" s="352" t="s">
        <v>2068</v>
      </c>
      <c r="R1228" s="251">
        <v>0</v>
      </c>
      <c r="S1228" s="251" t="s">
        <v>2015</v>
      </c>
      <c r="T1228" s="251" t="s">
        <v>2054</v>
      </c>
      <c r="U1228" s="251" t="s">
        <v>1935</v>
      </c>
      <c r="V1228" s="251" t="s">
        <v>1936</v>
      </c>
      <c r="X1228" s="251">
        <v>0</v>
      </c>
    </row>
    <row r="1229" spans="2:24" x14ac:dyDescent="0.2">
      <c r="B1229" s="352" t="s">
        <v>870</v>
      </c>
      <c r="C1229" s="352" t="s">
        <v>735</v>
      </c>
      <c r="F1229" s="352" t="s">
        <v>1996</v>
      </c>
      <c r="G1229" s="352" t="s">
        <v>2112</v>
      </c>
      <c r="H1229" s="352" t="s">
        <v>1581</v>
      </c>
      <c r="I1229" s="352" t="s">
        <v>1015</v>
      </c>
      <c r="J1229" s="352" t="s">
        <v>1016</v>
      </c>
      <c r="K1229" s="352">
        <v>3111</v>
      </c>
      <c r="L1229" s="352" t="s">
        <v>763</v>
      </c>
      <c r="M1229" s="352" t="s">
        <v>2203</v>
      </c>
      <c r="N1229" s="352" t="s">
        <v>2076</v>
      </c>
      <c r="O1229" s="352">
        <v>1</v>
      </c>
      <c r="P1229" s="352" t="s">
        <v>2086</v>
      </c>
      <c r="Q1229" s="352" t="s">
        <v>2066</v>
      </c>
      <c r="R1229" s="251">
        <v>0</v>
      </c>
      <c r="S1229" s="251"/>
      <c r="T1229" s="251" t="s">
        <v>2054</v>
      </c>
      <c r="U1229" s="251" t="s">
        <v>1945</v>
      </c>
      <c r="V1229" s="251" t="s">
        <v>709</v>
      </c>
      <c r="X1229" s="251">
        <v>0</v>
      </c>
    </row>
    <row r="1230" spans="2:24" x14ac:dyDescent="0.2">
      <c r="B1230" s="352" t="s">
        <v>870</v>
      </c>
      <c r="C1230" s="352" t="s">
        <v>735</v>
      </c>
      <c r="F1230" s="352" t="s">
        <v>1996</v>
      </c>
      <c r="G1230" s="352" t="s">
        <v>2112</v>
      </c>
      <c r="H1230" s="352" t="s">
        <v>1581</v>
      </c>
      <c r="I1230" s="352" t="s">
        <v>1015</v>
      </c>
      <c r="J1230" s="352" t="s">
        <v>1016</v>
      </c>
      <c r="K1230" s="352">
        <v>3121</v>
      </c>
      <c r="L1230" s="352" t="s">
        <v>766</v>
      </c>
      <c r="M1230" s="352" t="s">
        <v>2204</v>
      </c>
      <c r="N1230" s="352" t="s">
        <v>2076</v>
      </c>
      <c r="O1230" s="352">
        <v>1</v>
      </c>
      <c r="P1230" s="352" t="s">
        <v>2086</v>
      </c>
      <c r="Q1230" s="352" t="s">
        <v>2066</v>
      </c>
      <c r="R1230" s="251">
        <v>0</v>
      </c>
      <c r="S1230" s="251"/>
      <c r="T1230" s="251" t="s">
        <v>2054</v>
      </c>
      <c r="U1230" s="251" t="s">
        <v>1945</v>
      </c>
      <c r="V1230" s="251" t="s">
        <v>709</v>
      </c>
      <c r="X1230" s="251">
        <v>0</v>
      </c>
    </row>
    <row r="1231" spans="2:24" x14ac:dyDescent="0.2">
      <c r="B1231" s="352" t="s">
        <v>870</v>
      </c>
      <c r="C1231" s="352" t="s">
        <v>735</v>
      </c>
      <c r="F1231" s="352" t="s">
        <v>1996</v>
      </c>
      <c r="G1231" s="352" t="s">
        <v>2112</v>
      </c>
      <c r="H1231" s="352" t="s">
        <v>1582</v>
      </c>
      <c r="I1231" s="352" t="s">
        <v>1017</v>
      </c>
      <c r="J1231" s="352" t="s">
        <v>1018</v>
      </c>
      <c r="K1231" s="352">
        <v>4111</v>
      </c>
      <c r="L1231" s="352" t="s">
        <v>770</v>
      </c>
      <c r="M1231" s="352" t="s">
        <v>2205</v>
      </c>
      <c r="N1231" s="352" t="s">
        <v>2076</v>
      </c>
      <c r="O1231" s="352">
        <v>11</v>
      </c>
      <c r="P1231" s="352" t="s">
        <v>2084</v>
      </c>
      <c r="Q1231" s="352" t="s">
        <v>2064</v>
      </c>
      <c r="R1231" s="251">
        <v>0</v>
      </c>
      <c r="S1231" s="251" t="s">
        <v>2015</v>
      </c>
      <c r="T1231" s="251" t="s">
        <v>2054</v>
      </c>
      <c r="U1231" s="251" t="s">
        <v>1946</v>
      </c>
      <c r="V1231" s="251" t="s">
        <v>1947</v>
      </c>
      <c r="X1231" s="251">
        <v>0</v>
      </c>
    </row>
    <row r="1232" spans="2:24" x14ac:dyDescent="0.2">
      <c r="B1232" s="352" t="s">
        <v>870</v>
      </c>
      <c r="C1232" s="352" t="s">
        <v>735</v>
      </c>
      <c r="F1232" s="352" t="s">
        <v>1996</v>
      </c>
      <c r="G1232" s="352" t="s">
        <v>2112</v>
      </c>
      <c r="H1232" s="352" t="s">
        <v>1582</v>
      </c>
      <c r="I1232" s="352" t="s">
        <v>1017</v>
      </c>
      <c r="J1232" s="352" t="s">
        <v>1018</v>
      </c>
      <c r="K1232" s="352">
        <v>4121</v>
      </c>
      <c r="L1232" s="352" t="s">
        <v>772</v>
      </c>
      <c r="M1232" s="352" t="s">
        <v>2206</v>
      </c>
      <c r="N1232" s="352" t="s">
        <v>2076</v>
      </c>
      <c r="O1232" s="352">
        <v>11</v>
      </c>
      <c r="P1232" s="352" t="s">
        <v>2084</v>
      </c>
      <c r="Q1232" s="352" t="s">
        <v>2064</v>
      </c>
      <c r="R1232" s="251">
        <v>0</v>
      </c>
      <c r="S1232" s="251" t="s">
        <v>2015</v>
      </c>
      <c r="T1232" s="251" t="s">
        <v>2054</v>
      </c>
      <c r="U1232" s="251" t="s">
        <v>1946</v>
      </c>
      <c r="V1232" s="251" t="s">
        <v>1947</v>
      </c>
      <c r="X1232" s="251">
        <v>0</v>
      </c>
    </row>
    <row r="1233" spans="2:24" x14ac:dyDescent="0.2">
      <c r="B1233" s="352" t="s">
        <v>870</v>
      </c>
      <c r="C1233" s="352" t="s">
        <v>735</v>
      </c>
      <c r="F1233" s="352" t="s">
        <v>1996</v>
      </c>
      <c r="G1233" s="352" t="s">
        <v>2112</v>
      </c>
      <c r="H1233" s="352" t="s">
        <v>1583</v>
      </c>
      <c r="I1233" s="352" t="s">
        <v>1019</v>
      </c>
      <c r="J1233" s="352" t="s">
        <v>1020</v>
      </c>
      <c r="K1233" s="352">
        <v>4231</v>
      </c>
      <c r="L1233" s="352" t="s">
        <v>774</v>
      </c>
      <c r="M1233" s="352" t="s">
        <v>2207</v>
      </c>
      <c r="N1233" s="352" t="s">
        <v>2076</v>
      </c>
      <c r="O1233" s="352">
        <v>1</v>
      </c>
      <c r="P1233" s="352" t="s">
        <v>2086</v>
      </c>
      <c r="Q1233" s="352" t="s">
        <v>2066</v>
      </c>
      <c r="R1233" s="251">
        <v>0</v>
      </c>
      <c r="S1233" s="251" t="s">
        <v>2015</v>
      </c>
      <c r="T1233" s="251" t="s">
        <v>2054</v>
      </c>
      <c r="U1233" s="251" t="s">
        <v>1948</v>
      </c>
      <c r="V1233" s="251" t="s">
        <v>1949</v>
      </c>
      <c r="X1233" s="251">
        <v>0</v>
      </c>
    </row>
    <row r="1234" spans="2:24" x14ac:dyDescent="0.2">
      <c r="B1234" s="352" t="s">
        <v>870</v>
      </c>
      <c r="C1234" s="352" t="s">
        <v>735</v>
      </c>
      <c r="F1234" s="352" t="s">
        <v>1996</v>
      </c>
      <c r="G1234" s="352" t="s">
        <v>2112</v>
      </c>
      <c r="H1234" s="352" t="s">
        <v>1583</v>
      </c>
      <c r="I1234" s="352" t="s">
        <v>1019</v>
      </c>
      <c r="J1234" s="352" t="s">
        <v>1020</v>
      </c>
      <c r="K1234" s="352">
        <v>4241</v>
      </c>
      <c r="L1234" s="352" t="s">
        <v>777</v>
      </c>
      <c r="M1234" s="352" t="s">
        <v>2208</v>
      </c>
      <c r="N1234" s="352" t="s">
        <v>2076</v>
      </c>
      <c r="O1234" s="352">
        <v>1</v>
      </c>
      <c r="P1234" s="352" t="s">
        <v>2086</v>
      </c>
      <c r="Q1234" s="352" t="s">
        <v>2066</v>
      </c>
      <c r="R1234" s="251">
        <v>0</v>
      </c>
      <c r="S1234" s="251" t="s">
        <v>2015</v>
      </c>
      <c r="T1234" s="251" t="s">
        <v>2054</v>
      </c>
      <c r="U1234" s="251" t="s">
        <v>1950</v>
      </c>
      <c r="V1234" s="251" t="s">
        <v>1951</v>
      </c>
      <c r="X1234" s="251">
        <v>0</v>
      </c>
    </row>
    <row r="1235" spans="2:24" x14ac:dyDescent="0.2">
      <c r="B1235" s="352" t="s">
        <v>870</v>
      </c>
      <c r="C1235" s="352" t="s">
        <v>735</v>
      </c>
      <c r="F1235" s="352" t="s">
        <v>1996</v>
      </c>
      <c r="G1235" s="352" t="s">
        <v>2112</v>
      </c>
      <c r="H1235" s="352" t="s">
        <v>1583</v>
      </c>
      <c r="I1235" s="352" t="s">
        <v>1019</v>
      </c>
      <c r="J1235" s="352" t="s">
        <v>1020</v>
      </c>
      <c r="K1235" s="352">
        <v>4311</v>
      </c>
      <c r="L1235" s="352" t="s">
        <v>779</v>
      </c>
      <c r="M1235" s="352" t="s">
        <v>2209</v>
      </c>
      <c r="N1235" s="352" t="s">
        <v>2076</v>
      </c>
      <c r="O1235" s="352">
        <v>1</v>
      </c>
      <c r="P1235" s="352" t="s">
        <v>2086</v>
      </c>
      <c r="Q1235" s="352" t="s">
        <v>2066</v>
      </c>
      <c r="R1235" s="251">
        <v>0</v>
      </c>
      <c r="S1235" s="251" t="s">
        <v>2015</v>
      </c>
      <c r="T1235" s="251" t="s">
        <v>2054</v>
      </c>
      <c r="U1235" s="251" t="s">
        <v>1952</v>
      </c>
      <c r="V1235" s="251" t="s">
        <v>1953</v>
      </c>
      <c r="X1235" s="251">
        <v>0</v>
      </c>
    </row>
    <row r="1236" spans="2:24" x14ac:dyDescent="0.2">
      <c r="B1236" s="352" t="s">
        <v>870</v>
      </c>
      <c r="C1236" s="352" t="s">
        <v>735</v>
      </c>
      <c r="F1236" s="352" t="s">
        <v>1996</v>
      </c>
      <c r="G1236" s="352" t="s">
        <v>2112</v>
      </c>
      <c r="H1236" s="352" t="s">
        <v>1584</v>
      </c>
      <c r="I1236" s="352" t="s">
        <v>1021</v>
      </c>
      <c r="J1236" s="352" t="s">
        <v>751</v>
      </c>
      <c r="K1236" s="352">
        <v>4231</v>
      </c>
      <c r="L1236" s="352" t="s">
        <v>774</v>
      </c>
      <c r="M1236" s="352" t="s">
        <v>2210</v>
      </c>
      <c r="N1236" s="352" t="s">
        <v>2076</v>
      </c>
      <c r="O1236" s="352">
        <v>20</v>
      </c>
      <c r="P1236" s="352" t="s">
        <v>2089</v>
      </c>
      <c r="Q1236" s="352" t="s">
        <v>2074</v>
      </c>
      <c r="R1236" s="251">
        <v>0</v>
      </c>
      <c r="S1236" s="251" t="s">
        <v>2015</v>
      </c>
      <c r="T1236" s="251" t="s">
        <v>2054</v>
      </c>
      <c r="U1236" s="251" t="s">
        <v>1948</v>
      </c>
      <c r="V1236" s="251" t="s">
        <v>1949</v>
      </c>
      <c r="X1236" s="251">
        <v>0</v>
      </c>
    </row>
    <row r="1237" spans="2:24" x14ac:dyDescent="0.2">
      <c r="B1237" s="352" t="s">
        <v>870</v>
      </c>
      <c r="C1237" s="352" t="s">
        <v>735</v>
      </c>
      <c r="F1237" s="352" t="s">
        <v>1996</v>
      </c>
      <c r="G1237" s="352" t="s">
        <v>2112</v>
      </c>
      <c r="H1237" s="352" t="s">
        <v>1584</v>
      </c>
      <c r="I1237" s="352" t="s">
        <v>1021</v>
      </c>
      <c r="J1237" s="352" t="s">
        <v>751</v>
      </c>
      <c r="K1237" s="352">
        <v>4241</v>
      </c>
      <c r="L1237" s="352" t="s">
        <v>777</v>
      </c>
      <c r="M1237" s="352" t="s">
        <v>2211</v>
      </c>
      <c r="N1237" s="352" t="s">
        <v>2076</v>
      </c>
      <c r="O1237" s="352">
        <v>20</v>
      </c>
      <c r="P1237" s="352" t="s">
        <v>2089</v>
      </c>
      <c r="Q1237" s="352" t="s">
        <v>2074</v>
      </c>
      <c r="R1237" s="251">
        <v>0</v>
      </c>
      <c r="S1237" s="251" t="s">
        <v>2015</v>
      </c>
      <c r="T1237" s="251" t="s">
        <v>2054</v>
      </c>
      <c r="U1237" s="251" t="s">
        <v>1950</v>
      </c>
      <c r="V1237" s="251" t="s">
        <v>1951</v>
      </c>
      <c r="X1237" s="251">
        <v>0</v>
      </c>
    </row>
    <row r="1238" spans="2:24" x14ac:dyDescent="0.2">
      <c r="B1238" s="352" t="s">
        <v>870</v>
      </c>
      <c r="C1238" s="352" t="s">
        <v>735</v>
      </c>
      <c r="F1238" s="352" t="s">
        <v>1996</v>
      </c>
      <c r="G1238" s="352" t="s">
        <v>2112</v>
      </c>
      <c r="H1238" s="352" t="s">
        <v>1584</v>
      </c>
      <c r="I1238" s="352" t="s">
        <v>1021</v>
      </c>
      <c r="J1238" s="352" t="s">
        <v>751</v>
      </c>
      <c r="K1238" s="352">
        <v>4311</v>
      </c>
      <c r="L1238" s="352" t="s">
        <v>779</v>
      </c>
      <c r="M1238" s="352" t="s">
        <v>2212</v>
      </c>
      <c r="N1238" s="352" t="s">
        <v>2076</v>
      </c>
      <c r="O1238" s="352">
        <v>20</v>
      </c>
      <c r="P1238" s="352" t="s">
        <v>2089</v>
      </c>
      <c r="Q1238" s="352" t="s">
        <v>2074</v>
      </c>
      <c r="R1238" s="251">
        <v>0</v>
      </c>
      <c r="S1238" s="251" t="s">
        <v>2015</v>
      </c>
      <c r="T1238" s="251" t="s">
        <v>2054</v>
      </c>
      <c r="U1238" s="251" t="s">
        <v>1952</v>
      </c>
      <c r="V1238" s="251" t="s">
        <v>1953</v>
      </c>
      <c r="X1238" s="251">
        <v>0</v>
      </c>
    </row>
    <row r="1239" spans="2:24" x14ac:dyDescent="0.2">
      <c r="B1239" s="352" t="s">
        <v>870</v>
      </c>
      <c r="C1239" s="352" t="s">
        <v>739</v>
      </c>
      <c r="F1239" s="352" t="s">
        <v>1997</v>
      </c>
      <c r="G1239" s="352" t="s">
        <v>2115</v>
      </c>
      <c r="H1239" s="352" t="s">
        <v>1585</v>
      </c>
      <c r="I1239" s="352" t="s">
        <v>969</v>
      </c>
      <c r="J1239" s="352" t="s">
        <v>970</v>
      </c>
      <c r="K1239" s="352">
        <v>1111</v>
      </c>
      <c r="L1239" s="352" t="s">
        <v>699</v>
      </c>
      <c r="M1239" s="352" t="s">
        <v>2147</v>
      </c>
      <c r="N1239" s="352" t="s">
        <v>2076</v>
      </c>
      <c r="O1239" s="352">
        <v>5</v>
      </c>
      <c r="P1239" s="352" t="s">
        <v>2077</v>
      </c>
      <c r="Q1239" s="352" t="s">
        <v>2058</v>
      </c>
      <c r="R1239" s="251">
        <v>44940.307484567224</v>
      </c>
      <c r="S1239" s="251" t="s">
        <v>2015</v>
      </c>
      <c r="T1239" s="251" t="s">
        <v>2016</v>
      </c>
      <c r="U1239" s="251" t="s">
        <v>1914</v>
      </c>
      <c r="V1239" s="251" t="s">
        <v>1915</v>
      </c>
      <c r="X1239" s="251">
        <v>0</v>
      </c>
    </row>
    <row r="1240" spans="2:24" x14ac:dyDescent="0.2">
      <c r="B1240" s="352" t="s">
        <v>870</v>
      </c>
      <c r="C1240" s="352" t="s">
        <v>739</v>
      </c>
      <c r="F1240" s="352" t="s">
        <v>1997</v>
      </c>
      <c r="G1240" s="352" t="s">
        <v>2115</v>
      </c>
      <c r="H1240" s="352" t="s">
        <v>1585</v>
      </c>
      <c r="I1240" s="352" t="s">
        <v>969</v>
      </c>
      <c r="J1240" s="352" t="s">
        <v>970</v>
      </c>
      <c r="K1240" s="352">
        <v>1231</v>
      </c>
      <c r="L1240" s="352" t="s">
        <v>726</v>
      </c>
      <c r="M1240" s="352" t="s">
        <v>2148</v>
      </c>
      <c r="N1240" s="352" t="s">
        <v>2076</v>
      </c>
      <c r="O1240" s="352">
        <v>5</v>
      </c>
      <c r="P1240" s="352" t="s">
        <v>2077</v>
      </c>
      <c r="Q1240" s="352" t="s">
        <v>2058</v>
      </c>
      <c r="R1240" s="251">
        <v>1660.6056395509638</v>
      </c>
      <c r="S1240" s="251" t="s">
        <v>2015</v>
      </c>
      <c r="T1240" s="251" t="s">
        <v>2016</v>
      </c>
      <c r="U1240" s="251" t="s">
        <v>1920</v>
      </c>
      <c r="V1240" s="251" t="s">
        <v>726</v>
      </c>
      <c r="X1240" s="251">
        <v>0</v>
      </c>
    </row>
    <row r="1241" spans="2:24" x14ac:dyDescent="0.2">
      <c r="B1241" s="352" t="s">
        <v>870</v>
      </c>
      <c r="C1241" s="352" t="s">
        <v>739</v>
      </c>
      <c r="F1241" s="352" t="s">
        <v>1997</v>
      </c>
      <c r="G1241" s="352" t="s">
        <v>2115</v>
      </c>
      <c r="H1241" s="352" t="s">
        <v>1586</v>
      </c>
      <c r="I1241" s="352" t="s">
        <v>971</v>
      </c>
      <c r="J1241" s="352" t="s">
        <v>972</v>
      </c>
      <c r="K1241" s="352">
        <v>1211</v>
      </c>
      <c r="L1241" s="352" t="s">
        <v>705</v>
      </c>
      <c r="M1241" s="352" t="s">
        <v>2149</v>
      </c>
      <c r="N1241" s="352" t="s">
        <v>2076</v>
      </c>
      <c r="O1241" s="352">
        <v>5</v>
      </c>
      <c r="P1241" s="352" t="s">
        <v>2077</v>
      </c>
      <c r="Q1241" s="352" t="s">
        <v>2058</v>
      </c>
      <c r="R1241" s="251">
        <v>0</v>
      </c>
      <c r="S1241" s="251" t="s">
        <v>2015</v>
      </c>
      <c r="T1241" s="251" t="s">
        <v>2054</v>
      </c>
      <c r="U1241" s="251" t="s">
        <v>1916</v>
      </c>
      <c r="V1241" s="251" t="s">
        <v>1917</v>
      </c>
      <c r="X1241" s="251">
        <v>0</v>
      </c>
    </row>
    <row r="1242" spans="2:24" x14ac:dyDescent="0.2">
      <c r="B1242" s="352" t="s">
        <v>870</v>
      </c>
      <c r="C1242" s="352" t="s">
        <v>739</v>
      </c>
      <c r="F1242" s="352" t="s">
        <v>1997</v>
      </c>
      <c r="G1242" s="352" t="s">
        <v>2115</v>
      </c>
      <c r="H1242" s="352" t="s">
        <v>1587</v>
      </c>
      <c r="I1242" s="352" t="s">
        <v>973</v>
      </c>
      <c r="J1242" s="352" t="s">
        <v>974</v>
      </c>
      <c r="K1242" s="352">
        <v>1211</v>
      </c>
      <c r="L1242" s="352" t="s">
        <v>705</v>
      </c>
      <c r="M1242" s="352" t="s">
        <v>2150</v>
      </c>
      <c r="N1242" s="352" t="s">
        <v>2076</v>
      </c>
      <c r="O1242" s="352">
        <v>5</v>
      </c>
      <c r="P1242" s="352" t="s">
        <v>2077</v>
      </c>
      <c r="Q1242" s="352" t="s">
        <v>2058</v>
      </c>
      <c r="R1242" s="251">
        <v>8056.9281926860567</v>
      </c>
      <c r="S1242" s="251" t="s">
        <v>2015</v>
      </c>
      <c r="T1242" s="251" t="s">
        <v>2016</v>
      </c>
      <c r="U1242" s="251" t="s">
        <v>1916</v>
      </c>
      <c r="V1242" s="251" t="s">
        <v>1917</v>
      </c>
      <c r="X1242" s="251">
        <v>0</v>
      </c>
    </row>
    <row r="1243" spans="2:24" x14ac:dyDescent="0.2">
      <c r="B1243" s="352" t="s">
        <v>870</v>
      </c>
      <c r="C1243" s="352" t="s">
        <v>739</v>
      </c>
      <c r="F1243" s="352" t="s">
        <v>1997</v>
      </c>
      <c r="G1243" s="352" t="s">
        <v>2115</v>
      </c>
      <c r="H1243" s="352" t="s">
        <v>1587</v>
      </c>
      <c r="I1243" s="352" t="s">
        <v>973</v>
      </c>
      <c r="J1243" s="352" t="s">
        <v>974</v>
      </c>
      <c r="K1243" s="352">
        <v>1221</v>
      </c>
      <c r="L1243" s="352" t="s">
        <v>711</v>
      </c>
      <c r="M1243" s="352" t="s">
        <v>2151</v>
      </c>
      <c r="N1243" s="352" t="s">
        <v>2076</v>
      </c>
      <c r="O1243" s="352">
        <v>5</v>
      </c>
      <c r="P1243" s="352" t="s">
        <v>2077</v>
      </c>
      <c r="Q1243" s="352" t="s">
        <v>2058</v>
      </c>
      <c r="R1243" s="251">
        <v>10836.982514639507</v>
      </c>
      <c r="S1243" s="251" t="s">
        <v>2015</v>
      </c>
      <c r="T1243" s="251" t="s">
        <v>2016</v>
      </c>
      <c r="U1243" s="251" t="s">
        <v>1918</v>
      </c>
      <c r="V1243" s="251" t="s">
        <v>1919</v>
      </c>
      <c r="X1243" s="251">
        <v>0</v>
      </c>
    </row>
    <row r="1244" spans="2:24" x14ac:dyDescent="0.2">
      <c r="B1244" s="352" t="s">
        <v>870</v>
      </c>
      <c r="C1244" s="352" t="s">
        <v>739</v>
      </c>
      <c r="F1244" s="352" t="s">
        <v>1997</v>
      </c>
      <c r="G1244" s="352" t="s">
        <v>2115</v>
      </c>
      <c r="H1244" s="352" t="s">
        <v>1587</v>
      </c>
      <c r="I1244" s="352" t="s">
        <v>973</v>
      </c>
      <c r="J1244" s="352" t="s">
        <v>974</v>
      </c>
      <c r="K1244" s="352">
        <v>1222</v>
      </c>
      <c r="L1244" s="352" t="s">
        <v>718</v>
      </c>
      <c r="M1244" s="352" t="s">
        <v>2152</v>
      </c>
      <c r="N1244" s="352" t="s">
        <v>2076</v>
      </c>
      <c r="O1244" s="352">
        <v>5</v>
      </c>
      <c r="P1244" s="352" t="s">
        <v>2077</v>
      </c>
      <c r="Q1244" s="352" t="s">
        <v>2058</v>
      </c>
      <c r="R1244" s="251">
        <v>809.83023392995551</v>
      </c>
      <c r="S1244" s="251" t="s">
        <v>2015</v>
      </c>
      <c r="T1244" s="251" t="s">
        <v>2016</v>
      </c>
      <c r="U1244" s="251">
        <v>0</v>
      </c>
      <c r="V1244" s="251" t="s">
        <v>2153</v>
      </c>
      <c r="X1244" s="251">
        <v>0</v>
      </c>
    </row>
    <row r="1245" spans="2:24" x14ac:dyDescent="0.2">
      <c r="B1245" s="352" t="s">
        <v>870</v>
      </c>
      <c r="C1245" s="352" t="s">
        <v>739</v>
      </c>
      <c r="F1245" s="352" t="s">
        <v>1997</v>
      </c>
      <c r="G1245" s="352" t="s">
        <v>2115</v>
      </c>
      <c r="H1245" s="352" t="s">
        <v>1588</v>
      </c>
      <c r="I1245" s="352" t="s">
        <v>975</v>
      </c>
      <c r="J1245" s="352" t="s">
        <v>976</v>
      </c>
      <c r="K1245" s="352">
        <v>1221</v>
      </c>
      <c r="L1245" s="352" t="s">
        <v>711</v>
      </c>
      <c r="M1245" s="352" t="s">
        <v>2154</v>
      </c>
      <c r="N1245" s="352" t="s">
        <v>2076</v>
      </c>
      <c r="O1245" s="352">
        <v>7</v>
      </c>
      <c r="P1245" s="352" t="s">
        <v>2081</v>
      </c>
      <c r="Q1245" s="352" t="s">
        <v>2056</v>
      </c>
      <c r="R1245" s="251">
        <v>0</v>
      </c>
      <c r="S1245" s="251" t="s">
        <v>2015</v>
      </c>
      <c r="T1245" s="251" t="s">
        <v>2054</v>
      </c>
      <c r="U1245" s="251" t="s">
        <v>1918</v>
      </c>
      <c r="V1245" s="251" t="s">
        <v>1919</v>
      </c>
      <c r="X1245" s="251">
        <v>0</v>
      </c>
    </row>
    <row r="1246" spans="2:24" x14ac:dyDescent="0.2">
      <c r="B1246" s="352" t="s">
        <v>870</v>
      </c>
      <c r="C1246" s="352" t="s">
        <v>739</v>
      </c>
      <c r="F1246" s="352" t="s">
        <v>1997</v>
      </c>
      <c r="G1246" s="352" t="s">
        <v>2115</v>
      </c>
      <c r="H1246" s="352" t="s">
        <v>1589</v>
      </c>
      <c r="I1246" s="352" t="s">
        <v>977</v>
      </c>
      <c r="J1246" s="352" t="s">
        <v>864</v>
      </c>
      <c r="K1246" s="352">
        <v>1111</v>
      </c>
      <c r="L1246" s="352" t="s">
        <v>699</v>
      </c>
      <c r="M1246" s="352" t="s">
        <v>2155</v>
      </c>
      <c r="N1246" s="352" t="s">
        <v>2076</v>
      </c>
      <c r="O1246" s="352">
        <v>5</v>
      </c>
      <c r="P1246" s="352" t="s">
        <v>2077</v>
      </c>
      <c r="Q1246" s="352" t="s">
        <v>2058</v>
      </c>
      <c r="R1246" s="251">
        <v>2390.4418874769804</v>
      </c>
      <c r="S1246" s="251" t="s">
        <v>2015</v>
      </c>
      <c r="T1246" s="251" t="s">
        <v>2016</v>
      </c>
      <c r="U1246" s="251" t="s">
        <v>1914</v>
      </c>
      <c r="V1246" s="251" t="s">
        <v>1915</v>
      </c>
      <c r="X1246" s="251">
        <v>0</v>
      </c>
    </row>
    <row r="1247" spans="2:24" x14ac:dyDescent="0.2">
      <c r="B1247" s="352" t="s">
        <v>870</v>
      </c>
      <c r="C1247" s="352" t="s">
        <v>739</v>
      </c>
      <c r="F1247" s="352" t="s">
        <v>1997</v>
      </c>
      <c r="G1247" s="352" t="s">
        <v>2115</v>
      </c>
      <c r="H1247" s="352" t="s">
        <v>1589</v>
      </c>
      <c r="I1247" s="352" t="s">
        <v>977</v>
      </c>
      <c r="J1247" s="352" t="s">
        <v>864</v>
      </c>
      <c r="K1247" s="352">
        <v>1211</v>
      </c>
      <c r="L1247" s="352" t="s">
        <v>705</v>
      </c>
      <c r="M1247" s="352" t="s">
        <v>2156</v>
      </c>
      <c r="N1247" s="352" t="s">
        <v>2076</v>
      </c>
      <c r="O1247" s="352">
        <v>5</v>
      </c>
      <c r="P1247" s="352" t="s">
        <v>2077</v>
      </c>
      <c r="Q1247" s="352" t="s">
        <v>2058</v>
      </c>
      <c r="R1247" s="251">
        <v>926.08370030874221</v>
      </c>
      <c r="S1247" s="251" t="s">
        <v>2015</v>
      </c>
      <c r="T1247" s="251" t="s">
        <v>2016</v>
      </c>
      <c r="U1247" s="251" t="s">
        <v>1916</v>
      </c>
      <c r="V1247" s="251" t="s">
        <v>1917</v>
      </c>
      <c r="X1247" s="251">
        <v>0</v>
      </c>
    </row>
    <row r="1248" spans="2:24" x14ac:dyDescent="0.2">
      <c r="B1248" s="352" t="s">
        <v>870</v>
      </c>
      <c r="C1248" s="352" t="s">
        <v>739</v>
      </c>
      <c r="F1248" s="352" t="s">
        <v>1997</v>
      </c>
      <c r="G1248" s="352" t="s">
        <v>2115</v>
      </c>
      <c r="H1248" s="352" t="s">
        <v>1589</v>
      </c>
      <c r="I1248" s="352" t="s">
        <v>977</v>
      </c>
      <c r="J1248" s="352" t="s">
        <v>864</v>
      </c>
      <c r="K1248" s="352">
        <v>1221</v>
      </c>
      <c r="L1248" s="352" t="s">
        <v>711</v>
      </c>
      <c r="M1248" s="352" t="s">
        <v>2157</v>
      </c>
      <c r="N1248" s="352" t="s">
        <v>2076</v>
      </c>
      <c r="O1248" s="352">
        <v>5</v>
      </c>
      <c r="P1248" s="352" t="s">
        <v>2077</v>
      </c>
      <c r="Q1248" s="352" t="s">
        <v>2058</v>
      </c>
      <c r="R1248" s="251">
        <v>1274.9391193693539</v>
      </c>
      <c r="S1248" s="251" t="s">
        <v>2015</v>
      </c>
      <c r="T1248" s="251" t="s">
        <v>2016</v>
      </c>
      <c r="U1248" s="251" t="s">
        <v>1918</v>
      </c>
      <c r="V1248" s="251" t="s">
        <v>1919</v>
      </c>
      <c r="X1248" s="251">
        <v>0</v>
      </c>
    </row>
    <row r="1249" spans="2:24" x14ac:dyDescent="0.2">
      <c r="B1249" s="352" t="s">
        <v>870</v>
      </c>
      <c r="C1249" s="352" t="s">
        <v>739</v>
      </c>
      <c r="F1249" s="352" t="s">
        <v>1997</v>
      </c>
      <c r="G1249" s="352" t="s">
        <v>2115</v>
      </c>
      <c r="H1249" s="352" t="s">
        <v>1589</v>
      </c>
      <c r="I1249" s="352" t="s">
        <v>977</v>
      </c>
      <c r="J1249" s="352" t="s">
        <v>864</v>
      </c>
      <c r="K1249" s="352">
        <v>1222</v>
      </c>
      <c r="L1249" s="352" t="s">
        <v>718</v>
      </c>
      <c r="M1249" s="352" t="s">
        <v>2158</v>
      </c>
      <c r="N1249" s="352" t="s">
        <v>2076</v>
      </c>
      <c r="O1249" s="352">
        <v>5</v>
      </c>
      <c r="P1249" s="352" t="s">
        <v>2077</v>
      </c>
      <c r="Q1249" s="352" t="s">
        <v>2058</v>
      </c>
      <c r="R1249" s="251">
        <v>95.274145168230064</v>
      </c>
      <c r="S1249" s="251" t="s">
        <v>2015</v>
      </c>
      <c r="T1249" s="251" t="s">
        <v>2016</v>
      </c>
      <c r="U1249" s="251">
        <v>0</v>
      </c>
      <c r="V1249" s="251" t="s">
        <v>2153</v>
      </c>
      <c r="X1249" s="251">
        <v>0</v>
      </c>
    </row>
    <row r="1250" spans="2:24" x14ac:dyDescent="0.2">
      <c r="B1250" s="352" t="s">
        <v>870</v>
      </c>
      <c r="C1250" s="352" t="s">
        <v>739</v>
      </c>
      <c r="F1250" s="352" t="s">
        <v>1997</v>
      </c>
      <c r="G1250" s="352" t="s">
        <v>2115</v>
      </c>
      <c r="H1250" s="352" t="s">
        <v>1589</v>
      </c>
      <c r="I1250" s="352" t="s">
        <v>977</v>
      </c>
      <c r="J1250" s="352" t="s">
        <v>864</v>
      </c>
      <c r="K1250" s="352">
        <v>1231</v>
      </c>
      <c r="L1250" s="352" t="s">
        <v>726</v>
      </c>
      <c r="M1250" s="352" t="s">
        <v>2159</v>
      </c>
      <c r="N1250" s="352" t="s">
        <v>2076</v>
      </c>
      <c r="O1250" s="352">
        <v>5</v>
      </c>
      <c r="P1250" s="352" t="s">
        <v>2077</v>
      </c>
      <c r="Q1250" s="352" t="s">
        <v>2058</v>
      </c>
      <c r="R1250" s="251">
        <v>6227.2711483161138</v>
      </c>
      <c r="S1250" s="251" t="s">
        <v>2015</v>
      </c>
      <c r="T1250" s="251" t="s">
        <v>2016</v>
      </c>
      <c r="U1250" s="251" t="s">
        <v>1920</v>
      </c>
      <c r="V1250" s="251" t="s">
        <v>726</v>
      </c>
      <c r="X1250" s="251">
        <v>0</v>
      </c>
    </row>
    <row r="1251" spans="2:24" x14ac:dyDescent="0.2">
      <c r="B1251" s="352" t="s">
        <v>870</v>
      </c>
      <c r="C1251" s="352" t="s">
        <v>739</v>
      </c>
      <c r="F1251" s="352" t="s">
        <v>1997</v>
      </c>
      <c r="G1251" s="352" t="s">
        <v>2115</v>
      </c>
      <c r="H1251" s="352" t="s">
        <v>1589</v>
      </c>
      <c r="I1251" s="352" t="s">
        <v>977</v>
      </c>
      <c r="J1251" s="352" t="s">
        <v>864</v>
      </c>
      <c r="K1251" s="352">
        <v>1232</v>
      </c>
      <c r="L1251" s="352" t="s">
        <v>734</v>
      </c>
      <c r="M1251" s="352" t="s">
        <v>2160</v>
      </c>
      <c r="N1251" s="352" t="s">
        <v>2076</v>
      </c>
      <c r="O1251" s="352">
        <v>5</v>
      </c>
      <c r="P1251" s="352" t="s">
        <v>2077</v>
      </c>
      <c r="Q1251" s="352" t="s">
        <v>2058</v>
      </c>
      <c r="R1251" s="251">
        <v>1187.2405253632735</v>
      </c>
      <c r="S1251" s="251" t="s">
        <v>2015</v>
      </c>
      <c r="T1251" s="251" t="s">
        <v>2016</v>
      </c>
      <c r="U1251" s="251">
        <v>0</v>
      </c>
      <c r="V1251" s="251" t="s">
        <v>2153</v>
      </c>
      <c r="X1251" s="251">
        <v>0</v>
      </c>
    </row>
    <row r="1252" spans="2:24" x14ac:dyDescent="0.2">
      <c r="B1252" s="352" t="s">
        <v>870</v>
      </c>
      <c r="C1252" s="352" t="s">
        <v>739</v>
      </c>
      <c r="F1252" s="352" t="s">
        <v>1997</v>
      </c>
      <c r="G1252" s="352" t="s">
        <v>2115</v>
      </c>
      <c r="H1252" s="352" t="s">
        <v>1589</v>
      </c>
      <c r="I1252" s="352" t="s">
        <v>977</v>
      </c>
      <c r="J1252" s="352" t="s">
        <v>864</v>
      </c>
      <c r="K1252" s="352">
        <v>1241</v>
      </c>
      <c r="L1252" s="352" t="s">
        <v>1872</v>
      </c>
      <c r="M1252" s="352" t="s">
        <v>2161</v>
      </c>
      <c r="N1252" s="352" t="s">
        <v>2076</v>
      </c>
      <c r="O1252" s="352">
        <v>5</v>
      </c>
      <c r="P1252" s="352" t="s">
        <v>2077</v>
      </c>
      <c r="Q1252" s="352" t="s">
        <v>2058</v>
      </c>
      <c r="R1252" s="251">
        <v>0</v>
      </c>
      <c r="S1252" s="251" t="s">
        <v>2015</v>
      </c>
      <c r="T1252" s="251" t="s">
        <v>2054</v>
      </c>
      <c r="U1252" s="251">
        <v>0</v>
      </c>
      <c r="V1252" s="251" t="s">
        <v>2153</v>
      </c>
      <c r="X1252" s="251">
        <v>0</v>
      </c>
    </row>
    <row r="1253" spans="2:24" x14ac:dyDescent="0.2">
      <c r="B1253" s="352" t="s">
        <v>870</v>
      </c>
      <c r="C1253" s="352" t="s">
        <v>739</v>
      </c>
      <c r="F1253" s="352" t="s">
        <v>1997</v>
      </c>
      <c r="G1253" s="352" t="s">
        <v>2115</v>
      </c>
      <c r="H1253" s="352" t="s">
        <v>1589</v>
      </c>
      <c r="I1253" s="352" t="s">
        <v>977</v>
      </c>
      <c r="J1253" s="352" t="s">
        <v>864</v>
      </c>
      <c r="K1253" s="352">
        <v>1251</v>
      </c>
      <c r="L1253" s="352" t="s">
        <v>733</v>
      </c>
      <c r="M1253" s="352" t="s">
        <v>2162</v>
      </c>
      <c r="N1253" s="352" t="s">
        <v>2076</v>
      </c>
      <c r="O1253" s="352">
        <v>5</v>
      </c>
      <c r="P1253" s="352" t="s">
        <v>2077</v>
      </c>
      <c r="Q1253" s="352" t="s">
        <v>2058</v>
      </c>
      <c r="R1253" s="251">
        <v>8280.857321268677</v>
      </c>
      <c r="S1253" s="251" t="s">
        <v>2015</v>
      </c>
      <c r="T1253" s="251" t="s">
        <v>2016</v>
      </c>
      <c r="U1253" s="251">
        <v>0</v>
      </c>
      <c r="V1253" s="251" t="s">
        <v>2153</v>
      </c>
      <c r="X1253" s="251">
        <v>0</v>
      </c>
    </row>
    <row r="1254" spans="2:24" x14ac:dyDescent="0.2">
      <c r="B1254" s="352" t="s">
        <v>870</v>
      </c>
      <c r="C1254" s="352" t="s">
        <v>739</v>
      </c>
      <c r="F1254" s="352" t="s">
        <v>1997</v>
      </c>
      <c r="G1254" s="352" t="s">
        <v>2115</v>
      </c>
      <c r="H1254" s="352" t="s">
        <v>1590</v>
      </c>
      <c r="I1254" s="352" t="s">
        <v>978</v>
      </c>
      <c r="J1254" s="352" t="s">
        <v>1892</v>
      </c>
      <c r="K1254" s="352">
        <v>1111</v>
      </c>
      <c r="L1254" s="352" t="s">
        <v>699</v>
      </c>
      <c r="M1254" s="352" t="s">
        <v>2163</v>
      </c>
      <c r="N1254" s="352" t="s">
        <v>2076</v>
      </c>
      <c r="O1254" s="352">
        <v>5</v>
      </c>
      <c r="P1254" s="352" t="s">
        <v>2077</v>
      </c>
      <c r="Q1254" s="352" t="s">
        <v>2058</v>
      </c>
      <c r="R1254" s="251">
        <v>0</v>
      </c>
      <c r="S1254" s="251" t="s">
        <v>2015</v>
      </c>
      <c r="T1254" s="251" t="s">
        <v>2054</v>
      </c>
      <c r="U1254" s="251" t="s">
        <v>1914</v>
      </c>
      <c r="V1254" s="251" t="s">
        <v>1915</v>
      </c>
      <c r="X1254" s="251">
        <v>0</v>
      </c>
    </row>
    <row r="1255" spans="2:24" x14ac:dyDescent="0.2">
      <c r="B1255" s="352" t="s">
        <v>870</v>
      </c>
      <c r="C1255" s="352" t="s">
        <v>739</v>
      </c>
      <c r="F1255" s="352" t="s">
        <v>1997</v>
      </c>
      <c r="G1255" s="352" t="s">
        <v>2115</v>
      </c>
      <c r="H1255" s="352" t="s">
        <v>1590</v>
      </c>
      <c r="I1255" s="352" t="s">
        <v>978</v>
      </c>
      <c r="J1255" s="352" t="s">
        <v>1892</v>
      </c>
      <c r="K1255" s="352">
        <v>1231</v>
      </c>
      <c r="L1255" s="352" t="s">
        <v>726</v>
      </c>
      <c r="M1255" s="352" t="s">
        <v>2164</v>
      </c>
      <c r="N1255" s="352" t="s">
        <v>2076</v>
      </c>
      <c r="O1255" s="352">
        <v>5</v>
      </c>
      <c r="P1255" s="352" t="s">
        <v>2077</v>
      </c>
      <c r="Q1255" s="352" t="s">
        <v>2058</v>
      </c>
      <c r="R1255" s="251">
        <v>0</v>
      </c>
      <c r="S1255" s="251" t="s">
        <v>2015</v>
      </c>
      <c r="T1255" s="251" t="s">
        <v>2054</v>
      </c>
      <c r="U1255" s="251" t="s">
        <v>1920</v>
      </c>
      <c r="V1255" s="251" t="s">
        <v>726</v>
      </c>
      <c r="X1255" s="251">
        <v>0</v>
      </c>
    </row>
    <row r="1256" spans="2:24" x14ac:dyDescent="0.2">
      <c r="B1256" s="352" t="s">
        <v>870</v>
      </c>
      <c r="C1256" s="352" t="s">
        <v>739</v>
      </c>
      <c r="F1256" s="352" t="s">
        <v>1997</v>
      </c>
      <c r="G1256" s="352" t="s">
        <v>2115</v>
      </c>
      <c r="H1256" s="352" t="s">
        <v>1591</v>
      </c>
      <c r="I1256" s="352" t="s">
        <v>979</v>
      </c>
      <c r="J1256" s="352" t="s">
        <v>980</v>
      </c>
      <c r="K1256" s="352">
        <v>1241</v>
      </c>
      <c r="L1256" s="352" t="s">
        <v>1872</v>
      </c>
      <c r="M1256" s="352" t="s">
        <v>2165</v>
      </c>
      <c r="N1256" s="352" t="s">
        <v>2076</v>
      </c>
      <c r="O1256" s="352">
        <v>7</v>
      </c>
      <c r="P1256" s="352" t="s">
        <v>2081</v>
      </c>
      <c r="Q1256" s="352" t="s">
        <v>2056</v>
      </c>
      <c r="R1256" s="251">
        <v>1722.4732384513254</v>
      </c>
      <c r="S1256" s="251" t="s">
        <v>2015</v>
      </c>
      <c r="T1256" s="251" t="s">
        <v>2016</v>
      </c>
      <c r="U1256" s="251">
        <v>0</v>
      </c>
      <c r="V1256" s="251" t="s">
        <v>2153</v>
      </c>
      <c r="X1256" s="251">
        <v>0</v>
      </c>
    </row>
    <row r="1257" spans="2:24" x14ac:dyDescent="0.2">
      <c r="B1257" s="352" t="s">
        <v>870</v>
      </c>
      <c r="C1257" s="352" t="s">
        <v>739</v>
      </c>
      <c r="F1257" s="352" t="s">
        <v>1997</v>
      </c>
      <c r="G1257" s="352" t="s">
        <v>2115</v>
      </c>
      <c r="H1257" s="352" t="s">
        <v>1592</v>
      </c>
      <c r="I1257" s="352" t="s">
        <v>981</v>
      </c>
      <c r="J1257" s="352" t="s">
        <v>3674</v>
      </c>
      <c r="K1257" s="352">
        <v>1241</v>
      </c>
      <c r="L1257" s="352" t="s">
        <v>1872</v>
      </c>
      <c r="M1257" s="352" t="s">
        <v>2166</v>
      </c>
      <c r="N1257" s="352" t="s">
        <v>2076</v>
      </c>
      <c r="O1257" s="352">
        <v>13</v>
      </c>
      <c r="P1257" s="352" t="s">
        <v>2082</v>
      </c>
      <c r="Q1257" s="352" t="s">
        <v>2060</v>
      </c>
      <c r="R1257" s="251">
        <v>0</v>
      </c>
      <c r="S1257" s="251" t="s">
        <v>2015</v>
      </c>
      <c r="T1257" s="251" t="s">
        <v>2054</v>
      </c>
      <c r="U1257" s="251">
        <v>0</v>
      </c>
      <c r="V1257" s="251" t="s">
        <v>2153</v>
      </c>
      <c r="X1257" s="251">
        <v>0</v>
      </c>
    </row>
    <row r="1258" spans="2:24" x14ac:dyDescent="0.2">
      <c r="B1258" s="352" t="s">
        <v>870</v>
      </c>
      <c r="C1258" s="352" t="s">
        <v>739</v>
      </c>
      <c r="F1258" s="352" t="s">
        <v>1997</v>
      </c>
      <c r="G1258" s="352" t="s">
        <v>2115</v>
      </c>
      <c r="H1258" s="352" t="s">
        <v>1592</v>
      </c>
      <c r="I1258" s="352" t="s">
        <v>981</v>
      </c>
      <c r="J1258" s="352" t="s">
        <v>3674</v>
      </c>
      <c r="K1258" s="352">
        <v>1251</v>
      </c>
      <c r="L1258" s="352" t="s">
        <v>733</v>
      </c>
      <c r="M1258" s="352" t="s">
        <v>2167</v>
      </c>
      <c r="N1258" s="352" t="s">
        <v>2076</v>
      </c>
      <c r="O1258" s="352">
        <v>13</v>
      </c>
      <c r="P1258" s="352" t="s">
        <v>2082</v>
      </c>
      <c r="Q1258" s="352" t="s">
        <v>2060</v>
      </c>
      <c r="R1258" s="251">
        <v>0</v>
      </c>
      <c r="S1258" s="251" t="s">
        <v>2015</v>
      </c>
      <c r="T1258" s="251" t="s">
        <v>2054</v>
      </c>
      <c r="U1258" s="251">
        <v>0</v>
      </c>
      <c r="V1258" s="251" t="s">
        <v>2153</v>
      </c>
      <c r="X1258" s="251">
        <v>0</v>
      </c>
    </row>
    <row r="1259" spans="2:24" x14ac:dyDescent="0.2">
      <c r="B1259" s="352" t="s">
        <v>870</v>
      </c>
      <c r="C1259" s="352" t="s">
        <v>739</v>
      </c>
      <c r="F1259" s="352" t="s">
        <v>1997</v>
      </c>
      <c r="G1259" s="352" t="s">
        <v>2115</v>
      </c>
      <c r="H1259" s="352" t="s">
        <v>1593</v>
      </c>
      <c r="I1259" s="352" t="s">
        <v>982</v>
      </c>
      <c r="J1259" s="352" t="s">
        <v>983</v>
      </c>
      <c r="K1259" s="352">
        <v>2111</v>
      </c>
      <c r="L1259" s="352" t="s">
        <v>1873</v>
      </c>
      <c r="M1259" s="352" t="s">
        <v>2168</v>
      </c>
      <c r="N1259" s="352" t="s">
        <v>2076</v>
      </c>
      <c r="O1259" s="352">
        <v>3</v>
      </c>
      <c r="P1259" s="352" t="s">
        <v>2113</v>
      </c>
      <c r="Q1259" s="352" t="s">
        <v>2114</v>
      </c>
      <c r="R1259" s="251">
        <v>1605.6847192282353</v>
      </c>
      <c r="S1259" s="251" t="s">
        <v>2015</v>
      </c>
      <c r="T1259" s="251" t="s">
        <v>2016</v>
      </c>
      <c r="U1259" s="251" t="s">
        <v>1929</v>
      </c>
      <c r="V1259" s="251" t="s">
        <v>1930</v>
      </c>
      <c r="X1259" s="251">
        <v>0</v>
      </c>
    </row>
    <row r="1260" spans="2:24" x14ac:dyDescent="0.2">
      <c r="B1260" s="352" t="s">
        <v>870</v>
      </c>
      <c r="C1260" s="352" t="s">
        <v>739</v>
      </c>
      <c r="F1260" s="352" t="s">
        <v>1997</v>
      </c>
      <c r="G1260" s="352" t="s">
        <v>2115</v>
      </c>
      <c r="H1260" s="352" t="s">
        <v>1593</v>
      </c>
      <c r="I1260" s="352" t="s">
        <v>982</v>
      </c>
      <c r="J1260" s="352" t="s">
        <v>983</v>
      </c>
      <c r="K1260" s="352">
        <v>2121</v>
      </c>
      <c r="L1260" s="352" t="s">
        <v>1876</v>
      </c>
      <c r="M1260" s="352" t="s">
        <v>2169</v>
      </c>
      <c r="N1260" s="352" t="s">
        <v>2076</v>
      </c>
      <c r="O1260" s="352">
        <v>3</v>
      </c>
      <c r="P1260" s="352" t="s">
        <v>2113</v>
      </c>
      <c r="Q1260" s="352" t="s">
        <v>2114</v>
      </c>
      <c r="R1260" s="251">
        <v>4861.238800001267</v>
      </c>
      <c r="S1260" s="251" t="s">
        <v>2015</v>
      </c>
      <c r="T1260" s="251" t="s">
        <v>2016</v>
      </c>
      <c r="U1260" s="251" t="s">
        <v>1929</v>
      </c>
      <c r="V1260" s="251" t="s">
        <v>1930</v>
      </c>
      <c r="X1260" s="251">
        <v>0</v>
      </c>
    </row>
    <row r="1261" spans="2:24" x14ac:dyDescent="0.2">
      <c r="B1261" s="352" t="s">
        <v>870</v>
      </c>
      <c r="C1261" s="352" t="s">
        <v>739</v>
      </c>
      <c r="F1261" s="352" t="s">
        <v>1997</v>
      </c>
      <c r="G1261" s="352" t="s">
        <v>2115</v>
      </c>
      <c r="H1261" s="352" t="s">
        <v>1593</v>
      </c>
      <c r="I1261" s="352" t="s">
        <v>982</v>
      </c>
      <c r="J1261" s="352" t="s">
        <v>983</v>
      </c>
      <c r="K1261" s="352">
        <v>2131</v>
      </c>
      <c r="L1261" s="352" t="s">
        <v>1879</v>
      </c>
      <c r="M1261" s="352" t="s">
        <v>2170</v>
      </c>
      <c r="N1261" s="352" t="s">
        <v>2076</v>
      </c>
      <c r="O1261" s="352">
        <v>3</v>
      </c>
      <c r="P1261" s="352" t="s">
        <v>2113</v>
      </c>
      <c r="Q1261" s="352" t="s">
        <v>2114</v>
      </c>
      <c r="R1261" s="251">
        <v>22.454376873059843</v>
      </c>
      <c r="S1261" s="251" t="s">
        <v>2015</v>
      </c>
      <c r="T1261" s="251" t="s">
        <v>2016</v>
      </c>
      <c r="U1261" s="251" t="s">
        <v>1929</v>
      </c>
      <c r="V1261" s="251" t="s">
        <v>1930</v>
      </c>
      <c r="X1261" s="251">
        <v>0</v>
      </c>
    </row>
    <row r="1262" spans="2:24" x14ac:dyDescent="0.2">
      <c r="B1262" s="352" t="s">
        <v>870</v>
      </c>
      <c r="C1262" s="352" t="s">
        <v>739</v>
      </c>
      <c r="F1262" s="352" t="s">
        <v>1997</v>
      </c>
      <c r="G1262" s="352" t="s">
        <v>2115</v>
      </c>
      <c r="H1262" s="352" t="s">
        <v>1593</v>
      </c>
      <c r="I1262" s="352" t="s">
        <v>982</v>
      </c>
      <c r="J1262" s="352" t="s">
        <v>983</v>
      </c>
      <c r="K1262" s="352">
        <v>2211</v>
      </c>
      <c r="L1262" s="352" t="s">
        <v>1883</v>
      </c>
      <c r="M1262" s="352" t="s">
        <v>2171</v>
      </c>
      <c r="N1262" s="352" t="s">
        <v>2076</v>
      </c>
      <c r="O1262" s="352">
        <v>3</v>
      </c>
      <c r="P1262" s="352" t="s">
        <v>2113</v>
      </c>
      <c r="Q1262" s="352" t="s">
        <v>2114</v>
      </c>
      <c r="R1262" s="251">
        <v>310.13583092598651</v>
      </c>
      <c r="S1262" s="251" t="s">
        <v>2015</v>
      </c>
      <c r="T1262" s="251" t="s">
        <v>2016</v>
      </c>
      <c r="U1262" s="251" t="s">
        <v>1929</v>
      </c>
      <c r="V1262" s="251" t="s">
        <v>1930</v>
      </c>
      <c r="X1262" s="251">
        <v>0</v>
      </c>
    </row>
    <row r="1263" spans="2:24" x14ac:dyDescent="0.2">
      <c r="B1263" s="352" t="s">
        <v>870</v>
      </c>
      <c r="C1263" s="352" t="s">
        <v>739</v>
      </c>
      <c r="F1263" s="352" t="s">
        <v>1997</v>
      </c>
      <c r="G1263" s="352" t="s">
        <v>2115</v>
      </c>
      <c r="H1263" s="352" t="s">
        <v>1594</v>
      </c>
      <c r="I1263" s="352" t="s">
        <v>984</v>
      </c>
      <c r="J1263" s="352" t="s">
        <v>985</v>
      </c>
      <c r="K1263" s="352">
        <v>2111</v>
      </c>
      <c r="L1263" s="352" t="s">
        <v>1873</v>
      </c>
      <c r="M1263" s="352" t="s">
        <v>2172</v>
      </c>
      <c r="N1263" s="352" t="s">
        <v>2076</v>
      </c>
      <c r="O1263" s="352">
        <v>11</v>
      </c>
      <c r="P1263" s="352" t="s">
        <v>2084</v>
      </c>
      <c r="Q1263" s="352" t="s">
        <v>2064</v>
      </c>
      <c r="R1263" s="251">
        <v>35.681882649516339</v>
      </c>
      <c r="S1263" s="251" t="s">
        <v>2015</v>
      </c>
      <c r="T1263" s="251" t="s">
        <v>2016</v>
      </c>
      <c r="U1263" s="251" t="s">
        <v>1929</v>
      </c>
      <c r="V1263" s="251" t="s">
        <v>1930</v>
      </c>
      <c r="X1263" s="251">
        <v>0</v>
      </c>
    </row>
    <row r="1264" spans="2:24" x14ac:dyDescent="0.2">
      <c r="B1264" s="352" t="s">
        <v>870</v>
      </c>
      <c r="C1264" s="352" t="s">
        <v>739</v>
      </c>
      <c r="F1264" s="352" t="s">
        <v>1997</v>
      </c>
      <c r="G1264" s="352" t="s">
        <v>2115</v>
      </c>
      <c r="H1264" s="352" t="s">
        <v>1594</v>
      </c>
      <c r="I1264" s="352" t="s">
        <v>984</v>
      </c>
      <c r="J1264" s="352" t="s">
        <v>985</v>
      </c>
      <c r="K1264" s="352">
        <v>2121</v>
      </c>
      <c r="L1264" s="352" t="s">
        <v>1876</v>
      </c>
      <c r="M1264" s="352" t="s">
        <v>2173</v>
      </c>
      <c r="N1264" s="352" t="s">
        <v>2076</v>
      </c>
      <c r="O1264" s="352">
        <v>11</v>
      </c>
      <c r="P1264" s="352" t="s">
        <v>2084</v>
      </c>
      <c r="Q1264" s="352" t="s">
        <v>2064</v>
      </c>
      <c r="R1264" s="251">
        <v>0</v>
      </c>
      <c r="S1264" s="251" t="s">
        <v>2015</v>
      </c>
      <c r="T1264" s="251" t="s">
        <v>2054</v>
      </c>
      <c r="U1264" s="251" t="s">
        <v>1929</v>
      </c>
      <c r="V1264" s="251" t="s">
        <v>1930</v>
      </c>
      <c r="X1264" s="251">
        <v>0</v>
      </c>
    </row>
    <row r="1265" spans="2:24" x14ac:dyDescent="0.2">
      <c r="B1265" s="352" t="s">
        <v>870</v>
      </c>
      <c r="C1265" s="352" t="s">
        <v>739</v>
      </c>
      <c r="F1265" s="352" t="s">
        <v>1997</v>
      </c>
      <c r="G1265" s="352" t="s">
        <v>2115</v>
      </c>
      <c r="H1265" s="352" t="s">
        <v>1594</v>
      </c>
      <c r="I1265" s="352" t="s">
        <v>984</v>
      </c>
      <c r="J1265" s="352" t="s">
        <v>985</v>
      </c>
      <c r="K1265" s="352">
        <v>2131</v>
      </c>
      <c r="L1265" s="352" t="s">
        <v>1879</v>
      </c>
      <c r="M1265" s="352" t="s">
        <v>2174</v>
      </c>
      <c r="N1265" s="352" t="s">
        <v>2076</v>
      </c>
      <c r="O1265" s="352">
        <v>11</v>
      </c>
      <c r="P1265" s="352" t="s">
        <v>2084</v>
      </c>
      <c r="Q1265" s="352" t="s">
        <v>2064</v>
      </c>
      <c r="R1265" s="251">
        <v>179.63501498447874</v>
      </c>
      <c r="S1265" s="251" t="s">
        <v>2015</v>
      </c>
      <c r="T1265" s="251" t="s">
        <v>2016</v>
      </c>
      <c r="U1265" s="251" t="s">
        <v>1929</v>
      </c>
      <c r="V1265" s="251" t="s">
        <v>1930</v>
      </c>
      <c r="X1265" s="251">
        <v>0</v>
      </c>
    </row>
    <row r="1266" spans="2:24" x14ac:dyDescent="0.2">
      <c r="B1266" s="352" t="s">
        <v>870</v>
      </c>
      <c r="C1266" s="352" t="s">
        <v>739</v>
      </c>
      <c r="F1266" s="352" t="s">
        <v>1997</v>
      </c>
      <c r="G1266" s="352" t="s">
        <v>2115</v>
      </c>
      <c r="H1266" s="352" t="s">
        <v>1594</v>
      </c>
      <c r="I1266" s="352" t="s">
        <v>984</v>
      </c>
      <c r="J1266" s="352" t="s">
        <v>985</v>
      </c>
      <c r="K1266" s="352">
        <v>2211</v>
      </c>
      <c r="L1266" s="352" t="s">
        <v>1883</v>
      </c>
      <c r="M1266" s="352" t="s">
        <v>2175</v>
      </c>
      <c r="N1266" s="352" t="s">
        <v>2076</v>
      </c>
      <c r="O1266" s="352">
        <v>11</v>
      </c>
      <c r="P1266" s="352" t="s">
        <v>2084</v>
      </c>
      <c r="Q1266" s="352" t="s">
        <v>2064</v>
      </c>
      <c r="R1266" s="251">
        <v>2481.0866474078921</v>
      </c>
      <c r="S1266" s="251" t="s">
        <v>2015</v>
      </c>
      <c r="T1266" s="251" t="s">
        <v>2016</v>
      </c>
      <c r="U1266" s="251" t="s">
        <v>1929</v>
      </c>
      <c r="V1266" s="251" t="s">
        <v>1930</v>
      </c>
      <c r="X1266" s="251">
        <v>0</v>
      </c>
    </row>
    <row r="1267" spans="2:24" x14ac:dyDescent="0.2">
      <c r="B1267" s="352" t="s">
        <v>870</v>
      </c>
      <c r="C1267" s="352" t="s">
        <v>739</v>
      </c>
      <c r="F1267" s="352" t="s">
        <v>1997</v>
      </c>
      <c r="G1267" s="352" t="s">
        <v>2115</v>
      </c>
      <c r="H1267" s="352" t="s">
        <v>1595</v>
      </c>
      <c r="I1267" s="352" t="s">
        <v>986</v>
      </c>
      <c r="J1267" s="352" t="s">
        <v>987</v>
      </c>
      <c r="K1267" s="352">
        <v>2112</v>
      </c>
      <c r="L1267" s="352" t="s">
        <v>1874</v>
      </c>
      <c r="M1267" s="352" t="s">
        <v>2176</v>
      </c>
      <c r="N1267" s="352" t="s">
        <v>2076</v>
      </c>
      <c r="O1267" s="352">
        <v>8</v>
      </c>
      <c r="P1267" s="352" t="s">
        <v>2085</v>
      </c>
      <c r="Q1267" s="352" t="s">
        <v>2068</v>
      </c>
      <c r="R1267" s="251">
        <v>6.869031328867675</v>
      </c>
      <c r="S1267" s="251" t="s">
        <v>2015</v>
      </c>
      <c r="T1267" s="251" t="s">
        <v>2016</v>
      </c>
      <c r="U1267" s="251" t="s">
        <v>1931</v>
      </c>
      <c r="V1267" s="251" t="s">
        <v>1932</v>
      </c>
      <c r="X1267" s="251">
        <v>0</v>
      </c>
    </row>
    <row r="1268" spans="2:24" x14ac:dyDescent="0.2">
      <c r="B1268" s="352" t="s">
        <v>870</v>
      </c>
      <c r="C1268" s="352" t="s">
        <v>739</v>
      </c>
      <c r="F1268" s="352" t="s">
        <v>1997</v>
      </c>
      <c r="G1268" s="352" t="s">
        <v>2115</v>
      </c>
      <c r="H1268" s="352" t="s">
        <v>1595</v>
      </c>
      <c r="I1268" s="352" t="s">
        <v>986</v>
      </c>
      <c r="J1268" s="352" t="s">
        <v>987</v>
      </c>
      <c r="K1268" s="352">
        <v>2122</v>
      </c>
      <c r="L1268" s="352" t="s">
        <v>1877</v>
      </c>
      <c r="M1268" s="352" t="s">
        <v>2177</v>
      </c>
      <c r="N1268" s="352" t="s">
        <v>2076</v>
      </c>
      <c r="O1268" s="352">
        <v>8</v>
      </c>
      <c r="P1268" s="352" t="s">
        <v>2085</v>
      </c>
      <c r="Q1268" s="352" t="s">
        <v>2068</v>
      </c>
      <c r="R1268" s="251">
        <v>1999.1036473530426</v>
      </c>
      <c r="S1268" s="251" t="s">
        <v>2015</v>
      </c>
      <c r="T1268" s="251" t="s">
        <v>2016</v>
      </c>
      <c r="U1268" s="251" t="s">
        <v>1931</v>
      </c>
      <c r="V1268" s="251" t="s">
        <v>1932</v>
      </c>
      <c r="X1268" s="251">
        <v>0</v>
      </c>
    </row>
    <row r="1269" spans="2:24" x14ac:dyDescent="0.2">
      <c r="B1269" s="352" t="s">
        <v>870</v>
      </c>
      <c r="C1269" s="352" t="s">
        <v>739</v>
      </c>
      <c r="F1269" s="352" t="s">
        <v>1997</v>
      </c>
      <c r="G1269" s="352" t="s">
        <v>2115</v>
      </c>
      <c r="H1269" s="352" t="s">
        <v>1596</v>
      </c>
      <c r="I1269" s="352" t="s">
        <v>988</v>
      </c>
      <c r="J1269" s="352" t="s">
        <v>989</v>
      </c>
      <c r="K1269" s="352">
        <v>2112</v>
      </c>
      <c r="L1269" s="352" t="s">
        <v>1874</v>
      </c>
      <c r="M1269" s="352" t="s">
        <v>2178</v>
      </c>
      <c r="N1269" s="352" t="s">
        <v>2076</v>
      </c>
      <c r="O1269" s="352">
        <v>8</v>
      </c>
      <c r="P1269" s="352" t="s">
        <v>2085</v>
      </c>
      <c r="Q1269" s="352" t="s">
        <v>2068</v>
      </c>
      <c r="R1269" s="251">
        <v>9.4449180771930532</v>
      </c>
      <c r="S1269" s="251" t="s">
        <v>2015</v>
      </c>
      <c r="T1269" s="251" t="s">
        <v>2016</v>
      </c>
      <c r="U1269" s="251" t="s">
        <v>1931</v>
      </c>
      <c r="V1269" s="251" t="s">
        <v>1932</v>
      </c>
      <c r="X1269" s="251">
        <v>0</v>
      </c>
    </row>
    <row r="1270" spans="2:24" x14ac:dyDescent="0.2">
      <c r="B1270" s="352" t="s">
        <v>870</v>
      </c>
      <c r="C1270" s="352" t="s">
        <v>739</v>
      </c>
      <c r="F1270" s="352" t="s">
        <v>1997</v>
      </c>
      <c r="G1270" s="352" t="s">
        <v>2115</v>
      </c>
      <c r="H1270" s="352" t="s">
        <v>1596</v>
      </c>
      <c r="I1270" s="352" t="s">
        <v>988</v>
      </c>
      <c r="J1270" s="352" t="s">
        <v>989</v>
      </c>
      <c r="K1270" s="352">
        <v>2122</v>
      </c>
      <c r="L1270" s="352" t="s">
        <v>1877</v>
      </c>
      <c r="M1270" s="352" t="s">
        <v>2179</v>
      </c>
      <c r="N1270" s="352" t="s">
        <v>2076</v>
      </c>
      <c r="O1270" s="352">
        <v>8</v>
      </c>
      <c r="P1270" s="352" t="s">
        <v>2085</v>
      </c>
      <c r="Q1270" s="352" t="s">
        <v>2068</v>
      </c>
      <c r="R1270" s="251">
        <v>2748.7675151104336</v>
      </c>
      <c r="S1270" s="251" t="s">
        <v>2015</v>
      </c>
      <c r="T1270" s="251" t="s">
        <v>2016</v>
      </c>
      <c r="U1270" s="251" t="s">
        <v>1931</v>
      </c>
      <c r="V1270" s="251" t="s">
        <v>1932</v>
      </c>
      <c r="X1270" s="251">
        <v>0</v>
      </c>
    </row>
    <row r="1271" spans="2:24" x14ac:dyDescent="0.2">
      <c r="B1271" s="352" t="s">
        <v>870</v>
      </c>
      <c r="C1271" s="352" t="s">
        <v>739</v>
      </c>
      <c r="F1271" s="352" t="s">
        <v>1997</v>
      </c>
      <c r="G1271" s="352" t="s">
        <v>2115</v>
      </c>
      <c r="H1271" s="352" t="s">
        <v>1597</v>
      </c>
      <c r="I1271" s="352" t="s">
        <v>990</v>
      </c>
      <c r="J1271" s="352" t="s">
        <v>991</v>
      </c>
      <c r="K1271" s="352">
        <v>2132</v>
      </c>
      <c r="L1271" s="352" t="s">
        <v>1880</v>
      </c>
      <c r="M1271" s="352" t="s">
        <v>2180</v>
      </c>
      <c r="N1271" s="352" t="s">
        <v>2076</v>
      </c>
      <c r="O1271" s="352">
        <v>1</v>
      </c>
      <c r="P1271" s="352" t="s">
        <v>2086</v>
      </c>
      <c r="Q1271" s="352" t="s">
        <v>2066</v>
      </c>
      <c r="R1271" s="251">
        <v>1334.5158232411559</v>
      </c>
      <c r="S1271" s="251" t="s">
        <v>2015</v>
      </c>
      <c r="T1271" s="251" t="s">
        <v>2016</v>
      </c>
      <c r="U1271" s="251" t="s">
        <v>1931</v>
      </c>
      <c r="V1271" s="251" t="s">
        <v>1932</v>
      </c>
      <c r="X1271" s="251">
        <v>0</v>
      </c>
    </row>
    <row r="1272" spans="2:24" x14ac:dyDescent="0.2">
      <c r="B1272" s="352" t="s">
        <v>870</v>
      </c>
      <c r="C1272" s="352" t="s">
        <v>739</v>
      </c>
      <c r="F1272" s="352" t="s">
        <v>1997</v>
      </c>
      <c r="G1272" s="352" t="s">
        <v>2115</v>
      </c>
      <c r="H1272" s="352" t="s">
        <v>1598</v>
      </c>
      <c r="I1272" s="352" t="s">
        <v>994</v>
      </c>
      <c r="J1272" s="352" t="s">
        <v>995</v>
      </c>
      <c r="K1272" s="352">
        <v>2311</v>
      </c>
      <c r="L1272" s="352" t="s">
        <v>1887</v>
      </c>
      <c r="M1272" s="352" t="s">
        <v>2181</v>
      </c>
      <c r="N1272" s="352" t="s">
        <v>2076</v>
      </c>
      <c r="O1272" s="352">
        <v>8</v>
      </c>
      <c r="P1272" s="352" t="s">
        <v>2085</v>
      </c>
      <c r="Q1272" s="352" t="s">
        <v>2068</v>
      </c>
      <c r="R1272" s="251">
        <v>0</v>
      </c>
      <c r="S1272" s="251" t="s">
        <v>2015</v>
      </c>
      <c r="T1272" s="251" t="s">
        <v>2054</v>
      </c>
      <c r="U1272" s="251" t="s">
        <v>1943</v>
      </c>
      <c r="V1272" s="251" t="s">
        <v>1944</v>
      </c>
      <c r="X1272" s="251">
        <v>0</v>
      </c>
    </row>
    <row r="1273" spans="2:24" x14ac:dyDescent="0.2">
      <c r="B1273" s="352" t="s">
        <v>870</v>
      </c>
      <c r="C1273" s="352" t="s">
        <v>739</v>
      </c>
      <c r="F1273" s="352" t="s">
        <v>1997</v>
      </c>
      <c r="G1273" s="352" t="s">
        <v>2115</v>
      </c>
      <c r="H1273" s="352" t="s">
        <v>1599</v>
      </c>
      <c r="I1273" s="352" t="s">
        <v>996</v>
      </c>
      <c r="J1273" s="352" t="s">
        <v>997</v>
      </c>
      <c r="K1273" s="352">
        <v>2311</v>
      </c>
      <c r="L1273" s="352" t="s">
        <v>1887</v>
      </c>
      <c r="M1273" s="352" t="s">
        <v>2182</v>
      </c>
      <c r="N1273" s="352" t="s">
        <v>2076</v>
      </c>
      <c r="O1273" s="352">
        <v>8</v>
      </c>
      <c r="P1273" s="352" t="s">
        <v>2085</v>
      </c>
      <c r="Q1273" s="352" t="s">
        <v>2068</v>
      </c>
      <c r="R1273" s="251">
        <v>0</v>
      </c>
      <c r="S1273" s="251" t="s">
        <v>2015</v>
      </c>
      <c r="T1273" s="251" t="s">
        <v>2054</v>
      </c>
      <c r="U1273" s="251" t="s">
        <v>1943</v>
      </c>
      <c r="V1273" s="251" t="s">
        <v>1944</v>
      </c>
      <c r="X1273" s="251">
        <v>0</v>
      </c>
    </row>
    <row r="1274" spans="2:24" x14ac:dyDescent="0.2">
      <c r="B1274" s="352" t="s">
        <v>870</v>
      </c>
      <c r="C1274" s="352" t="s">
        <v>739</v>
      </c>
      <c r="F1274" s="352" t="s">
        <v>1997</v>
      </c>
      <c r="G1274" s="352" t="s">
        <v>2115</v>
      </c>
      <c r="H1274" s="352" t="s">
        <v>1600</v>
      </c>
      <c r="I1274" s="352" t="s">
        <v>998</v>
      </c>
      <c r="J1274" s="352" t="s">
        <v>999</v>
      </c>
      <c r="K1274" s="352">
        <v>2311</v>
      </c>
      <c r="L1274" s="352" t="s">
        <v>1887</v>
      </c>
      <c r="M1274" s="352" t="s">
        <v>2183</v>
      </c>
      <c r="N1274" s="352" t="s">
        <v>2076</v>
      </c>
      <c r="O1274" s="352">
        <v>8</v>
      </c>
      <c r="P1274" s="352" t="s">
        <v>2085</v>
      </c>
      <c r="Q1274" s="352" t="s">
        <v>2068</v>
      </c>
      <c r="R1274" s="251">
        <v>0</v>
      </c>
      <c r="S1274" s="251" t="s">
        <v>2015</v>
      </c>
      <c r="T1274" s="251" t="s">
        <v>2054</v>
      </c>
      <c r="U1274" s="251" t="s">
        <v>1943</v>
      </c>
      <c r="V1274" s="251" t="s">
        <v>1944</v>
      </c>
      <c r="X1274" s="251">
        <v>0</v>
      </c>
    </row>
    <row r="1275" spans="2:24" x14ac:dyDescent="0.2">
      <c r="B1275" s="352" t="s">
        <v>870</v>
      </c>
      <c r="C1275" s="352" t="s">
        <v>739</v>
      </c>
      <c r="F1275" s="352" t="s">
        <v>1997</v>
      </c>
      <c r="G1275" s="352" t="s">
        <v>2115</v>
      </c>
      <c r="H1275" s="352" t="s">
        <v>1600</v>
      </c>
      <c r="I1275" s="352" t="s">
        <v>998</v>
      </c>
      <c r="J1275" s="352" t="s">
        <v>999</v>
      </c>
      <c r="K1275" s="352">
        <v>2312</v>
      </c>
      <c r="L1275" s="352" t="s">
        <v>789</v>
      </c>
      <c r="M1275" s="352" t="s">
        <v>2184</v>
      </c>
      <c r="N1275" s="352" t="s">
        <v>2076</v>
      </c>
      <c r="O1275" s="352">
        <v>8</v>
      </c>
      <c r="P1275" s="352" t="s">
        <v>2085</v>
      </c>
      <c r="Q1275" s="352" t="s">
        <v>2068</v>
      </c>
      <c r="R1275" s="251">
        <v>0</v>
      </c>
      <c r="S1275" s="251" t="s">
        <v>2015</v>
      </c>
      <c r="T1275" s="251" t="s">
        <v>2054</v>
      </c>
      <c r="U1275" s="251" t="s">
        <v>1943</v>
      </c>
      <c r="V1275" s="251" t="s">
        <v>1944</v>
      </c>
      <c r="X1275" s="251">
        <v>0</v>
      </c>
    </row>
    <row r="1276" spans="2:24" x14ac:dyDescent="0.2">
      <c r="B1276" s="352" t="s">
        <v>870</v>
      </c>
      <c r="C1276" s="352" t="s">
        <v>739</v>
      </c>
      <c r="F1276" s="352" t="s">
        <v>1997</v>
      </c>
      <c r="G1276" s="352" t="s">
        <v>2115</v>
      </c>
      <c r="H1276" s="352" t="s">
        <v>1601</v>
      </c>
      <c r="I1276" s="352" t="s">
        <v>1000</v>
      </c>
      <c r="J1276" s="352" t="s">
        <v>1001</v>
      </c>
      <c r="K1276" s="352">
        <v>2141</v>
      </c>
      <c r="L1276" s="352" t="s">
        <v>1882</v>
      </c>
      <c r="M1276" s="352" t="s">
        <v>2185</v>
      </c>
      <c r="N1276" s="352" t="s">
        <v>2076</v>
      </c>
      <c r="O1276" s="352">
        <v>12</v>
      </c>
      <c r="P1276" s="352" t="s">
        <v>2087</v>
      </c>
      <c r="Q1276" s="352" t="s">
        <v>2070</v>
      </c>
      <c r="R1276" s="251">
        <v>2962.8182954138929</v>
      </c>
      <c r="S1276" s="251" t="s">
        <v>2015</v>
      </c>
      <c r="T1276" s="251" t="s">
        <v>2016</v>
      </c>
      <c r="U1276" s="251" t="s">
        <v>1935</v>
      </c>
      <c r="V1276" s="251" t="s">
        <v>1936</v>
      </c>
      <c r="X1276" s="251">
        <v>0</v>
      </c>
    </row>
    <row r="1277" spans="2:24" x14ac:dyDescent="0.2">
      <c r="B1277" s="352" t="s">
        <v>870</v>
      </c>
      <c r="C1277" s="352" t="s">
        <v>739</v>
      </c>
      <c r="F1277" s="352" t="s">
        <v>1997</v>
      </c>
      <c r="G1277" s="352" t="s">
        <v>2115</v>
      </c>
      <c r="H1277" s="352" t="s">
        <v>1601</v>
      </c>
      <c r="I1277" s="352" t="s">
        <v>1000</v>
      </c>
      <c r="J1277" s="352" t="s">
        <v>1001</v>
      </c>
      <c r="K1277" s="352">
        <v>2142</v>
      </c>
      <c r="L1277" s="352" t="s">
        <v>780</v>
      </c>
      <c r="M1277" s="352" t="s">
        <v>2186</v>
      </c>
      <c r="N1277" s="352" t="s">
        <v>2076</v>
      </c>
      <c r="O1277" s="352">
        <v>12</v>
      </c>
      <c r="P1277" s="352" t="s">
        <v>2087</v>
      </c>
      <c r="Q1277" s="352" t="s">
        <v>2070</v>
      </c>
      <c r="R1277" s="251">
        <v>8199.1207364813999</v>
      </c>
      <c r="S1277" s="251" t="s">
        <v>2015</v>
      </c>
      <c r="T1277" s="251" t="s">
        <v>2016</v>
      </c>
      <c r="U1277" s="251">
        <v>0</v>
      </c>
      <c r="V1277" s="251" t="s">
        <v>2153</v>
      </c>
      <c r="X1277" s="251">
        <v>0</v>
      </c>
    </row>
    <row r="1278" spans="2:24" x14ac:dyDescent="0.2">
      <c r="B1278" s="352" t="s">
        <v>870</v>
      </c>
      <c r="C1278" s="352" t="s">
        <v>739</v>
      </c>
      <c r="F1278" s="352" t="s">
        <v>1997</v>
      </c>
      <c r="G1278" s="352" t="s">
        <v>2115</v>
      </c>
      <c r="H1278" s="352" t="s">
        <v>1602</v>
      </c>
      <c r="I1278" s="352" t="s">
        <v>1002</v>
      </c>
      <c r="J1278" s="352" t="s">
        <v>1003</v>
      </c>
      <c r="K1278" s="352">
        <v>2113</v>
      </c>
      <c r="L1278" s="352" t="s">
        <v>1875</v>
      </c>
      <c r="M1278" s="352" t="s">
        <v>2187</v>
      </c>
      <c r="N1278" s="352" t="s">
        <v>2076</v>
      </c>
      <c r="O1278" s="352">
        <v>1</v>
      </c>
      <c r="P1278" s="352" t="s">
        <v>2086</v>
      </c>
      <c r="Q1278" s="352" t="s">
        <v>2066</v>
      </c>
      <c r="R1278" s="251">
        <v>16.313949406060726</v>
      </c>
      <c r="S1278" s="251" t="s">
        <v>2015</v>
      </c>
      <c r="T1278" s="251" t="s">
        <v>2016</v>
      </c>
      <c r="U1278" s="251" t="s">
        <v>1935</v>
      </c>
      <c r="V1278" s="251" t="s">
        <v>1936</v>
      </c>
      <c r="X1278" s="251">
        <v>0</v>
      </c>
    </row>
    <row r="1279" spans="2:24" x14ac:dyDescent="0.2">
      <c r="B1279" s="352" t="s">
        <v>870</v>
      </c>
      <c r="C1279" s="352" t="s">
        <v>739</v>
      </c>
      <c r="F1279" s="352" t="s">
        <v>1997</v>
      </c>
      <c r="G1279" s="352" t="s">
        <v>2115</v>
      </c>
      <c r="H1279" s="352" t="s">
        <v>1602</v>
      </c>
      <c r="I1279" s="352" t="s">
        <v>1002</v>
      </c>
      <c r="J1279" s="352" t="s">
        <v>1003</v>
      </c>
      <c r="K1279" s="352">
        <v>2123</v>
      </c>
      <c r="L1279" s="352" t="s">
        <v>1878</v>
      </c>
      <c r="M1279" s="352" t="s">
        <v>2188</v>
      </c>
      <c r="N1279" s="352" t="s">
        <v>2076</v>
      </c>
      <c r="O1279" s="352">
        <v>1</v>
      </c>
      <c r="P1279" s="352" t="s">
        <v>2086</v>
      </c>
      <c r="Q1279" s="352" t="s">
        <v>2066</v>
      </c>
      <c r="R1279" s="251">
        <v>181.51987202255364</v>
      </c>
      <c r="S1279" s="251" t="s">
        <v>2015</v>
      </c>
      <c r="T1279" s="251" t="s">
        <v>2016</v>
      </c>
      <c r="U1279" s="251" t="s">
        <v>1935</v>
      </c>
      <c r="V1279" s="251" t="s">
        <v>1936</v>
      </c>
      <c r="X1279" s="251">
        <v>0</v>
      </c>
    </row>
    <row r="1280" spans="2:24" x14ac:dyDescent="0.2">
      <c r="B1280" s="352" t="s">
        <v>870</v>
      </c>
      <c r="C1280" s="352" t="s">
        <v>739</v>
      </c>
      <c r="F1280" s="352" t="s">
        <v>1997</v>
      </c>
      <c r="G1280" s="352" t="s">
        <v>2115</v>
      </c>
      <c r="H1280" s="352" t="s">
        <v>1603</v>
      </c>
      <c r="I1280" s="352" t="s">
        <v>1006</v>
      </c>
      <c r="J1280" s="352" t="s">
        <v>1007</v>
      </c>
      <c r="K1280" s="352">
        <v>2133</v>
      </c>
      <c r="L1280" s="352" t="s">
        <v>1881</v>
      </c>
      <c r="M1280" s="352" t="s">
        <v>2189</v>
      </c>
      <c r="N1280" s="352" t="s">
        <v>2076</v>
      </c>
      <c r="O1280" s="352">
        <v>1</v>
      </c>
      <c r="P1280" s="352" t="s">
        <v>2086</v>
      </c>
      <c r="Q1280" s="352" t="s">
        <v>2066</v>
      </c>
      <c r="R1280" s="251">
        <v>1931.7523148942714</v>
      </c>
      <c r="S1280" s="251" t="s">
        <v>2015</v>
      </c>
      <c r="T1280" s="251" t="s">
        <v>2016</v>
      </c>
      <c r="U1280" s="251" t="s">
        <v>1935</v>
      </c>
      <c r="V1280" s="251" t="s">
        <v>1936</v>
      </c>
      <c r="X1280" s="251">
        <v>0</v>
      </c>
    </row>
    <row r="1281" spans="2:24" x14ac:dyDescent="0.2">
      <c r="B1281" s="352" t="s">
        <v>870</v>
      </c>
      <c r="C1281" s="352" t="s">
        <v>739</v>
      </c>
      <c r="F1281" s="352" t="s">
        <v>1997</v>
      </c>
      <c r="G1281" s="352" t="s">
        <v>2115</v>
      </c>
      <c r="H1281" s="352" t="s">
        <v>1603</v>
      </c>
      <c r="I1281" s="352" t="s">
        <v>1006</v>
      </c>
      <c r="J1281" s="352" t="s">
        <v>1007</v>
      </c>
      <c r="K1281" s="352">
        <v>2141</v>
      </c>
      <c r="L1281" s="352" t="s">
        <v>1882</v>
      </c>
      <c r="M1281" s="352" t="s">
        <v>2190</v>
      </c>
      <c r="N1281" s="352" t="s">
        <v>2076</v>
      </c>
      <c r="O1281" s="352">
        <v>1</v>
      </c>
      <c r="P1281" s="352" t="s">
        <v>2086</v>
      </c>
      <c r="Q1281" s="352" t="s">
        <v>2066</v>
      </c>
      <c r="R1281" s="251">
        <v>91.633555528264736</v>
      </c>
      <c r="S1281" s="251" t="s">
        <v>2015</v>
      </c>
      <c r="T1281" s="251" t="s">
        <v>2016</v>
      </c>
      <c r="U1281" s="251" t="s">
        <v>1935</v>
      </c>
      <c r="V1281" s="251" t="s">
        <v>1936</v>
      </c>
      <c r="X1281" s="251">
        <v>0</v>
      </c>
    </row>
    <row r="1282" spans="2:24" x14ac:dyDescent="0.2">
      <c r="B1282" s="352" t="s">
        <v>870</v>
      </c>
      <c r="C1282" s="352" t="s">
        <v>739</v>
      </c>
      <c r="F1282" s="352" t="s">
        <v>1997</v>
      </c>
      <c r="G1282" s="352" t="s">
        <v>2115</v>
      </c>
      <c r="H1282" s="352" t="s">
        <v>1603</v>
      </c>
      <c r="I1282" s="352" t="s">
        <v>1006</v>
      </c>
      <c r="J1282" s="352" t="s">
        <v>1007</v>
      </c>
      <c r="K1282" s="352">
        <v>2221</v>
      </c>
      <c r="L1282" s="352" t="s">
        <v>1884</v>
      </c>
      <c r="M1282" s="352" t="s">
        <v>2191</v>
      </c>
      <c r="N1282" s="352" t="s">
        <v>2076</v>
      </c>
      <c r="O1282" s="352">
        <v>1</v>
      </c>
      <c r="P1282" s="352" t="s">
        <v>2086</v>
      </c>
      <c r="Q1282" s="352" t="s">
        <v>2066</v>
      </c>
      <c r="R1282" s="251">
        <v>3701.1110851843296</v>
      </c>
      <c r="S1282" s="251" t="s">
        <v>2015</v>
      </c>
      <c r="T1282" s="251" t="s">
        <v>2016</v>
      </c>
      <c r="U1282" s="251" t="s">
        <v>1935</v>
      </c>
      <c r="V1282" s="251" t="s">
        <v>1936</v>
      </c>
      <c r="X1282" s="251">
        <v>0</v>
      </c>
    </row>
    <row r="1283" spans="2:24" x14ac:dyDescent="0.2">
      <c r="B1283" s="352" t="s">
        <v>870</v>
      </c>
      <c r="C1283" s="352" t="s">
        <v>739</v>
      </c>
      <c r="F1283" s="352" t="s">
        <v>1997</v>
      </c>
      <c r="G1283" s="352" t="s">
        <v>2115</v>
      </c>
      <c r="H1283" s="352" t="s">
        <v>1604</v>
      </c>
      <c r="I1283" s="352" t="s">
        <v>1008</v>
      </c>
      <c r="J1283" s="352" t="s">
        <v>1009</v>
      </c>
      <c r="K1283" s="352">
        <v>2223</v>
      </c>
      <c r="L1283" s="352" t="s">
        <v>1886</v>
      </c>
      <c r="M1283" s="352" t="s">
        <v>2192</v>
      </c>
      <c r="N1283" s="352" t="s">
        <v>2076</v>
      </c>
      <c r="O1283" s="352">
        <v>2</v>
      </c>
      <c r="P1283" s="352" t="s">
        <v>2088</v>
      </c>
      <c r="Q1283" s="352" t="s">
        <v>2072</v>
      </c>
      <c r="R1283" s="251">
        <v>675.54724606441755</v>
      </c>
      <c r="S1283" s="251" t="s">
        <v>2193</v>
      </c>
      <c r="T1283" s="251" t="s">
        <v>2213</v>
      </c>
      <c r="U1283" s="251" t="s">
        <v>1937</v>
      </c>
      <c r="V1283" s="251" t="s">
        <v>1938</v>
      </c>
      <c r="X1283" s="251">
        <v>0</v>
      </c>
    </row>
    <row r="1284" spans="2:24" x14ac:dyDescent="0.2">
      <c r="B1284" s="352" t="s">
        <v>870</v>
      </c>
      <c r="C1284" s="352" t="s">
        <v>739</v>
      </c>
      <c r="F1284" s="352" t="s">
        <v>1997</v>
      </c>
      <c r="G1284" s="352" t="s">
        <v>2115</v>
      </c>
      <c r="H1284" s="352" t="s">
        <v>1605</v>
      </c>
      <c r="I1284" s="352" t="s">
        <v>1010</v>
      </c>
      <c r="J1284" s="352" t="s">
        <v>1011</v>
      </c>
      <c r="K1284" s="352">
        <v>2222</v>
      </c>
      <c r="L1284" s="352" t="s">
        <v>1885</v>
      </c>
      <c r="M1284" s="352" t="s">
        <v>2194</v>
      </c>
      <c r="N1284" s="352" t="s">
        <v>2076</v>
      </c>
      <c r="O1284" s="352">
        <v>2</v>
      </c>
      <c r="P1284" s="352" t="s">
        <v>2088</v>
      </c>
      <c r="Q1284" s="352" t="s">
        <v>2072</v>
      </c>
      <c r="R1284" s="251">
        <v>0</v>
      </c>
      <c r="S1284" s="251" t="s">
        <v>2193</v>
      </c>
      <c r="T1284" s="251" t="s">
        <v>2054</v>
      </c>
      <c r="U1284" s="251" t="s">
        <v>1939</v>
      </c>
      <c r="V1284" s="251" t="s">
        <v>1940</v>
      </c>
      <c r="X1284" s="251">
        <v>0</v>
      </c>
    </row>
    <row r="1285" spans="2:24" x14ac:dyDescent="0.2">
      <c r="B1285" s="352" t="s">
        <v>870</v>
      </c>
      <c r="C1285" s="352" t="s">
        <v>739</v>
      </c>
      <c r="F1285" s="352" t="s">
        <v>1997</v>
      </c>
      <c r="G1285" s="352" t="s">
        <v>2115</v>
      </c>
      <c r="H1285" s="352" t="s">
        <v>1606</v>
      </c>
      <c r="I1285" s="352" t="s">
        <v>1012</v>
      </c>
      <c r="J1285" s="352" t="s">
        <v>1013</v>
      </c>
      <c r="K1285" s="352">
        <v>2222</v>
      </c>
      <c r="L1285" s="352" t="s">
        <v>1885</v>
      </c>
      <c r="M1285" s="352" t="s">
        <v>2195</v>
      </c>
      <c r="N1285" s="352" t="s">
        <v>2076</v>
      </c>
      <c r="O1285" s="352">
        <v>2</v>
      </c>
      <c r="P1285" s="352" t="s">
        <v>2088</v>
      </c>
      <c r="Q1285" s="352" t="s">
        <v>2072</v>
      </c>
      <c r="R1285" s="251">
        <v>0</v>
      </c>
      <c r="S1285" s="251" t="s">
        <v>2193</v>
      </c>
      <c r="T1285" s="251" t="s">
        <v>2054</v>
      </c>
      <c r="U1285" s="251" t="s">
        <v>1939</v>
      </c>
      <c r="V1285" s="251" t="s">
        <v>1940</v>
      </c>
      <c r="X1285" s="251">
        <v>0</v>
      </c>
    </row>
    <row r="1286" spans="2:24" x14ac:dyDescent="0.2">
      <c r="B1286" s="352" t="s">
        <v>870</v>
      </c>
      <c r="C1286" s="352" t="s">
        <v>739</v>
      </c>
      <c r="F1286" s="352" t="s">
        <v>1997</v>
      </c>
      <c r="G1286" s="352" t="s">
        <v>2115</v>
      </c>
      <c r="H1286" s="352" t="s">
        <v>1607</v>
      </c>
      <c r="I1286" s="352" t="s">
        <v>1014</v>
      </c>
      <c r="J1286" s="352" t="s">
        <v>1893</v>
      </c>
      <c r="K1286" s="352">
        <v>2131</v>
      </c>
      <c r="L1286" s="352" t="s">
        <v>1879</v>
      </c>
      <c r="M1286" s="352" t="s">
        <v>2196</v>
      </c>
      <c r="N1286" s="352" t="s">
        <v>2076</v>
      </c>
      <c r="O1286" s="352">
        <v>8</v>
      </c>
      <c r="P1286" s="352" t="s">
        <v>2085</v>
      </c>
      <c r="Q1286" s="352" t="s">
        <v>2068</v>
      </c>
      <c r="R1286" s="251">
        <v>0</v>
      </c>
      <c r="S1286" s="251" t="s">
        <v>2015</v>
      </c>
      <c r="T1286" s="251" t="s">
        <v>2054</v>
      </c>
      <c r="U1286" s="251" t="s">
        <v>1929</v>
      </c>
      <c r="V1286" s="251" t="s">
        <v>1930</v>
      </c>
      <c r="X1286" s="251">
        <v>0</v>
      </c>
    </row>
    <row r="1287" spans="2:24" x14ac:dyDescent="0.2">
      <c r="B1287" s="352" t="s">
        <v>870</v>
      </c>
      <c r="C1287" s="352" t="s">
        <v>739</v>
      </c>
      <c r="F1287" s="352" t="s">
        <v>1997</v>
      </c>
      <c r="G1287" s="352" t="s">
        <v>2115</v>
      </c>
      <c r="H1287" s="352" t="s">
        <v>1607</v>
      </c>
      <c r="I1287" s="352" t="s">
        <v>1014</v>
      </c>
      <c r="J1287" s="352" t="s">
        <v>1893</v>
      </c>
      <c r="K1287" s="352">
        <v>2132</v>
      </c>
      <c r="L1287" s="352" t="s">
        <v>1880</v>
      </c>
      <c r="M1287" s="352" t="s">
        <v>2197</v>
      </c>
      <c r="N1287" s="352" t="s">
        <v>2076</v>
      </c>
      <c r="O1287" s="352">
        <v>8</v>
      </c>
      <c r="P1287" s="352" t="s">
        <v>2085</v>
      </c>
      <c r="Q1287" s="352" t="s">
        <v>2068</v>
      </c>
      <c r="R1287" s="251">
        <v>0</v>
      </c>
      <c r="S1287" s="251" t="s">
        <v>2015</v>
      </c>
      <c r="T1287" s="251" t="s">
        <v>2054</v>
      </c>
      <c r="U1287" s="251" t="s">
        <v>1931</v>
      </c>
      <c r="V1287" s="251" t="s">
        <v>1932</v>
      </c>
      <c r="X1287" s="251">
        <v>0</v>
      </c>
    </row>
    <row r="1288" spans="2:24" x14ac:dyDescent="0.2">
      <c r="B1288" s="352" t="s">
        <v>870</v>
      </c>
      <c r="C1288" s="352" t="s">
        <v>739</v>
      </c>
      <c r="F1288" s="352" t="s">
        <v>1997</v>
      </c>
      <c r="G1288" s="352" t="s">
        <v>2115</v>
      </c>
      <c r="H1288" s="352" t="s">
        <v>1607</v>
      </c>
      <c r="I1288" s="352" t="s">
        <v>1014</v>
      </c>
      <c r="J1288" s="352" t="s">
        <v>1893</v>
      </c>
      <c r="K1288" s="352">
        <v>2133</v>
      </c>
      <c r="L1288" s="352" t="s">
        <v>1881</v>
      </c>
      <c r="M1288" s="352" t="s">
        <v>2198</v>
      </c>
      <c r="N1288" s="352" t="s">
        <v>2076</v>
      </c>
      <c r="O1288" s="352">
        <v>8</v>
      </c>
      <c r="P1288" s="352" t="s">
        <v>2085</v>
      </c>
      <c r="Q1288" s="352" t="s">
        <v>2068</v>
      </c>
      <c r="R1288" s="251">
        <v>0</v>
      </c>
      <c r="S1288" s="251" t="s">
        <v>2015</v>
      </c>
      <c r="T1288" s="251" t="s">
        <v>2054</v>
      </c>
      <c r="U1288" s="251" t="s">
        <v>1935</v>
      </c>
      <c r="V1288" s="251" t="s">
        <v>1936</v>
      </c>
      <c r="X1288" s="251">
        <v>0</v>
      </c>
    </row>
    <row r="1289" spans="2:24" x14ac:dyDescent="0.2">
      <c r="B1289" s="352" t="s">
        <v>870</v>
      </c>
      <c r="C1289" s="352" t="s">
        <v>739</v>
      </c>
      <c r="F1289" s="352" t="s">
        <v>1997</v>
      </c>
      <c r="G1289" s="352" t="s">
        <v>2115</v>
      </c>
      <c r="H1289" s="352" t="s">
        <v>1607</v>
      </c>
      <c r="I1289" s="352" t="s">
        <v>1014</v>
      </c>
      <c r="J1289" s="352" t="s">
        <v>1893</v>
      </c>
      <c r="K1289" s="352">
        <v>2134</v>
      </c>
      <c r="L1289" s="352" t="s">
        <v>775</v>
      </c>
      <c r="M1289" s="352" t="s">
        <v>2199</v>
      </c>
      <c r="N1289" s="352" t="s">
        <v>2076</v>
      </c>
      <c r="O1289" s="352">
        <v>8</v>
      </c>
      <c r="P1289" s="352" t="s">
        <v>2085</v>
      </c>
      <c r="Q1289" s="352" t="s">
        <v>2068</v>
      </c>
      <c r="R1289" s="251">
        <v>0</v>
      </c>
      <c r="S1289" s="251" t="s">
        <v>2015</v>
      </c>
      <c r="T1289" s="251" t="s">
        <v>2054</v>
      </c>
      <c r="U1289" s="251">
        <v>0</v>
      </c>
      <c r="V1289" s="251" t="s">
        <v>2153</v>
      </c>
      <c r="X1289" s="251">
        <v>0</v>
      </c>
    </row>
    <row r="1290" spans="2:24" x14ac:dyDescent="0.2">
      <c r="B1290" s="352" t="s">
        <v>870</v>
      </c>
      <c r="C1290" s="352" t="s">
        <v>739</v>
      </c>
      <c r="F1290" s="352" t="s">
        <v>1997</v>
      </c>
      <c r="G1290" s="352" t="s">
        <v>2115</v>
      </c>
      <c r="H1290" s="352" t="s">
        <v>1607</v>
      </c>
      <c r="I1290" s="352" t="s">
        <v>1014</v>
      </c>
      <c r="J1290" s="352" t="s">
        <v>1893</v>
      </c>
      <c r="K1290" s="352">
        <v>2141</v>
      </c>
      <c r="L1290" s="352" t="s">
        <v>1882</v>
      </c>
      <c r="M1290" s="352" t="s">
        <v>2200</v>
      </c>
      <c r="N1290" s="352" t="s">
        <v>2076</v>
      </c>
      <c r="O1290" s="352">
        <v>8</v>
      </c>
      <c r="P1290" s="352" t="s">
        <v>2085</v>
      </c>
      <c r="Q1290" s="352" t="s">
        <v>2068</v>
      </c>
      <c r="R1290" s="251">
        <v>0</v>
      </c>
      <c r="S1290" s="251" t="s">
        <v>2015</v>
      </c>
      <c r="T1290" s="251" t="s">
        <v>2054</v>
      </c>
      <c r="U1290" s="251" t="s">
        <v>1935</v>
      </c>
      <c r="V1290" s="251" t="s">
        <v>1936</v>
      </c>
      <c r="X1290" s="251">
        <v>0</v>
      </c>
    </row>
    <row r="1291" spans="2:24" x14ac:dyDescent="0.2">
      <c r="B1291" s="352" t="s">
        <v>870</v>
      </c>
      <c r="C1291" s="352" t="s">
        <v>739</v>
      </c>
      <c r="F1291" s="352" t="s">
        <v>1997</v>
      </c>
      <c r="G1291" s="352" t="s">
        <v>2115</v>
      </c>
      <c r="H1291" s="352" t="s">
        <v>1607</v>
      </c>
      <c r="I1291" s="352" t="s">
        <v>1014</v>
      </c>
      <c r="J1291" s="352" t="s">
        <v>1893</v>
      </c>
      <c r="K1291" s="352">
        <v>2211</v>
      </c>
      <c r="L1291" s="352" t="s">
        <v>1883</v>
      </c>
      <c r="M1291" s="352" t="s">
        <v>2201</v>
      </c>
      <c r="N1291" s="352" t="s">
        <v>2076</v>
      </c>
      <c r="O1291" s="352">
        <v>8</v>
      </c>
      <c r="P1291" s="352" t="s">
        <v>2085</v>
      </c>
      <c r="Q1291" s="352" t="s">
        <v>2068</v>
      </c>
      <c r="R1291" s="251">
        <v>0</v>
      </c>
      <c r="S1291" s="251" t="s">
        <v>2015</v>
      </c>
      <c r="T1291" s="251" t="s">
        <v>2054</v>
      </c>
      <c r="U1291" s="251" t="s">
        <v>1929</v>
      </c>
      <c r="V1291" s="251" t="s">
        <v>1930</v>
      </c>
      <c r="X1291" s="251">
        <v>0</v>
      </c>
    </row>
    <row r="1292" spans="2:24" x14ac:dyDescent="0.2">
      <c r="B1292" s="352" t="s">
        <v>870</v>
      </c>
      <c r="C1292" s="352" t="s">
        <v>739</v>
      </c>
      <c r="F1292" s="352" t="s">
        <v>1997</v>
      </c>
      <c r="G1292" s="352" t="s">
        <v>2115</v>
      </c>
      <c r="H1292" s="352" t="s">
        <v>1607</v>
      </c>
      <c r="I1292" s="352" t="s">
        <v>1014</v>
      </c>
      <c r="J1292" s="352" t="s">
        <v>1893</v>
      </c>
      <c r="K1292" s="352">
        <v>2221</v>
      </c>
      <c r="L1292" s="352" t="s">
        <v>1884</v>
      </c>
      <c r="M1292" s="352" t="s">
        <v>2202</v>
      </c>
      <c r="N1292" s="352" t="s">
        <v>2076</v>
      </c>
      <c r="O1292" s="352">
        <v>8</v>
      </c>
      <c r="P1292" s="352" t="s">
        <v>2085</v>
      </c>
      <c r="Q1292" s="352" t="s">
        <v>2068</v>
      </c>
      <c r="R1292" s="251">
        <v>0</v>
      </c>
      <c r="S1292" s="251" t="s">
        <v>2015</v>
      </c>
      <c r="T1292" s="251" t="s">
        <v>2054</v>
      </c>
      <c r="U1292" s="251" t="s">
        <v>1935</v>
      </c>
      <c r="V1292" s="251" t="s">
        <v>1936</v>
      </c>
      <c r="X1292" s="251">
        <v>0</v>
      </c>
    </row>
    <row r="1293" spans="2:24" x14ac:dyDescent="0.2">
      <c r="B1293" s="352" t="s">
        <v>870</v>
      </c>
      <c r="C1293" s="352" t="s">
        <v>739</v>
      </c>
      <c r="F1293" s="352" t="s">
        <v>1997</v>
      </c>
      <c r="G1293" s="352" t="s">
        <v>2115</v>
      </c>
      <c r="H1293" s="352" t="s">
        <v>1608</v>
      </c>
      <c r="I1293" s="352" t="s">
        <v>1015</v>
      </c>
      <c r="J1293" s="352" t="s">
        <v>1016</v>
      </c>
      <c r="K1293" s="352">
        <v>3111</v>
      </c>
      <c r="L1293" s="352" t="s">
        <v>763</v>
      </c>
      <c r="M1293" s="352" t="s">
        <v>2203</v>
      </c>
      <c r="N1293" s="352" t="s">
        <v>2076</v>
      </c>
      <c r="O1293" s="352">
        <v>1</v>
      </c>
      <c r="P1293" s="352" t="s">
        <v>2086</v>
      </c>
      <c r="Q1293" s="352" t="s">
        <v>2066</v>
      </c>
      <c r="R1293" s="251">
        <v>0</v>
      </c>
      <c r="S1293" s="251"/>
      <c r="T1293" s="251" t="s">
        <v>2054</v>
      </c>
      <c r="U1293" s="251" t="s">
        <v>1945</v>
      </c>
      <c r="V1293" s="251" t="s">
        <v>709</v>
      </c>
      <c r="X1293" s="251">
        <v>0</v>
      </c>
    </row>
    <row r="1294" spans="2:24" x14ac:dyDescent="0.2">
      <c r="B1294" s="352" t="s">
        <v>870</v>
      </c>
      <c r="C1294" s="352" t="s">
        <v>739</v>
      </c>
      <c r="F1294" s="352" t="s">
        <v>1997</v>
      </c>
      <c r="G1294" s="352" t="s">
        <v>2115</v>
      </c>
      <c r="H1294" s="352" t="s">
        <v>1608</v>
      </c>
      <c r="I1294" s="352" t="s">
        <v>1015</v>
      </c>
      <c r="J1294" s="352" t="s">
        <v>1016</v>
      </c>
      <c r="K1294" s="352">
        <v>3121</v>
      </c>
      <c r="L1294" s="352" t="s">
        <v>766</v>
      </c>
      <c r="M1294" s="352" t="s">
        <v>2204</v>
      </c>
      <c r="N1294" s="352" t="s">
        <v>2076</v>
      </c>
      <c r="O1294" s="352">
        <v>1</v>
      </c>
      <c r="P1294" s="352" t="s">
        <v>2086</v>
      </c>
      <c r="Q1294" s="352" t="s">
        <v>2066</v>
      </c>
      <c r="R1294" s="251">
        <v>0</v>
      </c>
      <c r="S1294" s="251"/>
      <c r="T1294" s="251" t="s">
        <v>2054</v>
      </c>
      <c r="U1294" s="251" t="s">
        <v>1945</v>
      </c>
      <c r="V1294" s="251" t="s">
        <v>709</v>
      </c>
      <c r="X1294" s="251">
        <v>0</v>
      </c>
    </row>
    <row r="1295" spans="2:24" x14ac:dyDescent="0.2">
      <c r="B1295" s="352" t="s">
        <v>870</v>
      </c>
      <c r="C1295" s="352" t="s">
        <v>739</v>
      </c>
      <c r="F1295" s="352" t="s">
        <v>1997</v>
      </c>
      <c r="G1295" s="352" t="s">
        <v>2115</v>
      </c>
      <c r="H1295" s="352" t="s">
        <v>1609</v>
      </c>
      <c r="I1295" s="352" t="s">
        <v>1017</v>
      </c>
      <c r="J1295" s="352" t="s">
        <v>1018</v>
      </c>
      <c r="K1295" s="352">
        <v>4111</v>
      </c>
      <c r="L1295" s="352" t="s">
        <v>770</v>
      </c>
      <c r="M1295" s="352" t="s">
        <v>2205</v>
      </c>
      <c r="N1295" s="352" t="s">
        <v>2076</v>
      </c>
      <c r="O1295" s="352">
        <v>11</v>
      </c>
      <c r="P1295" s="352" t="s">
        <v>2084</v>
      </c>
      <c r="Q1295" s="352" t="s">
        <v>2064</v>
      </c>
      <c r="R1295" s="251">
        <v>512.0348445349623</v>
      </c>
      <c r="S1295" s="251" t="s">
        <v>2015</v>
      </c>
      <c r="T1295" s="251" t="s">
        <v>2016</v>
      </c>
      <c r="U1295" s="251" t="s">
        <v>1946</v>
      </c>
      <c r="V1295" s="251" t="s">
        <v>1947</v>
      </c>
      <c r="X1295" s="251">
        <v>0</v>
      </c>
    </row>
    <row r="1296" spans="2:24" x14ac:dyDescent="0.2">
      <c r="B1296" s="352" t="s">
        <v>870</v>
      </c>
      <c r="C1296" s="352" t="s">
        <v>739</v>
      </c>
      <c r="F1296" s="352" t="s">
        <v>1997</v>
      </c>
      <c r="G1296" s="352" t="s">
        <v>2115</v>
      </c>
      <c r="H1296" s="352" t="s">
        <v>1609</v>
      </c>
      <c r="I1296" s="352" t="s">
        <v>1017</v>
      </c>
      <c r="J1296" s="352" t="s">
        <v>1018</v>
      </c>
      <c r="K1296" s="352">
        <v>4121</v>
      </c>
      <c r="L1296" s="352" t="s">
        <v>772</v>
      </c>
      <c r="M1296" s="352" t="s">
        <v>2206</v>
      </c>
      <c r="N1296" s="352" t="s">
        <v>2076</v>
      </c>
      <c r="O1296" s="352">
        <v>11</v>
      </c>
      <c r="P1296" s="352" t="s">
        <v>2084</v>
      </c>
      <c r="Q1296" s="352" t="s">
        <v>2064</v>
      </c>
      <c r="R1296" s="251">
        <v>854.70785934232572</v>
      </c>
      <c r="S1296" s="251" t="s">
        <v>2015</v>
      </c>
      <c r="T1296" s="251" t="s">
        <v>2016</v>
      </c>
      <c r="U1296" s="251" t="s">
        <v>1946</v>
      </c>
      <c r="V1296" s="251" t="s">
        <v>1947</v>
      </c>
      <c r="X1296" s="251">
        <v>0</v>
      </c>
    </row>
    <row r="1297" spans="2:24" x14ac:dyDescent="0.2">
      <c r="B1297" s="352" t="s">
        <v>870</v>
      </c>
      <c r="C1297" s="352" t="s">
        <v>739</v>
      </c>
      <c r="F1297" s="352" t="s">
        <v>1997</v>
      </c>
      <c r="G1297" s="352" t="s">
        <v>2115</v>
      </c>
      <c r="H1297" s="352" t="s">
        <v>1610</v>
      </c>
      <c r="I1297" s="352" t="s">
        <v>1019</v>
      </c>
      <c r="J1297" s="352" t="s">
        <v>1020</v>
      </c>
      <c r="K1297" s="352">
        <v>4231</v>
      </c>
      <c r="L1297" s="352" t="s">
        <v>774</v>
      </c>
      <c r="M1297" s="352" t="s">
        <v>2207</v>
      </c>
      <c r="N1297" s="352" t="s">
        <v>2076</v>
      </c>
      <c r="O1297" s="352">
        <v>1</v>
      </c>
      <c r="P1297" s="352" t="s">
        <v>2086</v>
      </c>
      <c r="Q1297" s="352" t="s">
        <v>2066</v>
      </c>
      <c r="R1297" s="251">
        <v>8825.8460927490578</v>
      </c>
      <c r="S1297" s="251" t="s">
        <v>2015</v>
      </c>
      <c r="T1297" s="251" t="s">
        <v>2016</v>
      </c>
      <c r="U1297" s="251" t="s">
        <v>1948</v>
      </c>
      <c r="V1297" s="251" t="s">
        <v>1949</v>
      </c>
      <c r="X1297" s="251">
        <v>0</v>
      </c>
    </row>
    <row r="1298" spans="2:24" x14ac:dyDescent="0.2">
      <c r="B1298" s="352" t="s">
        <v>870</v>
      </c>
      <c r="C1298" s="352" t="s">
        <v>739</v>
      </c>
      <c r="F1298" s="352" t="s">
        <v>1997</v>
      </c>
      <c r="G1298" s="352" t="s">
        <v>2115</v>
      </c>
      <c r="H1298" s="352" t="s">
        <v>1610</v>
      </c>
      <c r="I1298" s="352" t="s">
        <v>1019</v>
      </c>
      <c r="J1298" s="352" t="s">
        <v>1020</v>
      </c>
      <c r="K1298" s="352">
        <v>4241</v>
      </c>
      <c r="L1298" s="352" t="s">
        <v>777</v>
      </c>
      <c r="M1298" s="352" t="s">
        <v>2208</v>
      </c>
      <c r="N1298" s="352" t="s">
        <v>2076</v>
      </c>
      <c r="O1298" s="352">
        <v>1</v>
      </c>
      <c r="P1298" s="352" t="s">
        <v>2086</v>
      </c>
      <c r="Q1298" s="352" t="s">
        <v>2066</v>
      </c>
      <c r="R1298" s="251">
        <v>374.66261853433349</v>
      </c>
      <c r="S1298" s="251" t="s">
        <v>2015</v>
      </c>
      <c r="T1298" s="251" t="s">
        <v>2016</v>
      </c>
      <c r="U1298" s="251" t="s">
        <v>1950</v>
      </c>
      <c r="V1298" s="251" t="s">
        <v>1951</v>
      </c>
      <c r="X1298" s="251">
        <v>0</v>
      </c>
    </row>
    <row r="1299" spans="2:24" x14ac:dyDescent="0.2">
      <c r="B1299" s="352" t="s">
        <v>870</v>
      </c>
      <c r="C1299" s="352" t="s">
        <v>739</v>
      </c>
      <c r="F1299" s="352" t="s">
        <v>1997</v>
      </c>
      <c r="G1299" s="352" t="s">
        <v>2115</v>
      </c>
      <c r="H1299" s="352" t="s">
        <v>1610</v>
      </c>
      <c r="I1299" s="352" t="s">
        <v>1019</v>
      </c>
      <c r="J1299" s="352" t="s">
        <v>1020</v>
      </c>
      <c r="K1299" s="352">
        <v>4311</v>
      </c>
      <c r="L1299" s="352" t="s">
        <v>779</v>
      </c>
      <c r="M1299" s="352" t="s">
        <v>2209</v>
      </c>
      <c r="N1299" s="352" t="s">
        <v>2076</v>
      </c>
      <c r="O1299" s="352">
        <v>1</v>
      </c>
      <c r="P1299" s="352" t="s">
        <v>2086</v>
      </c>
      <c r="Q1299" s="352" t="s">
        <v>2066</v>
      </c>
      <c r="R1299" s="251">
        <v>3.3440626298800611</v>
      </c>
      <c r="S1299" s="251" t="s">
        <v>2015</v>
      </c>
      <c r="T1299" s="251" t="s">
        <v>2016</v>
      </c>
      <c r="U1299" s="251" t="s">
        <v>1952</v>
      </c>
      <c r="V1299" s="251" t="s">
        <v>1953</v>
      </c>
      <c r="X1299" s="251">
        <v>0</v>
      </c>
    </row>
    <row r="1300" spans="2:24" x14ac:dyDescent="0.2">
      <c r="B1300" s="352" t="s">
        <v>870</v>
      </c>
      <c r="C1300" s="352" t="s">
        <v>739</v>
      </c>
      <c r="F1300" s="352" t="s">
        <v>1997</v>
      </c>
      <c r="G1300" s="352" t="s">
        <v>2115</v>
      </c>
      <c r="H1300" s="352" t="s">
        <v>1611</v>
      </c>
      <c r="I1300" s="352" t="s">
        <v>1021</v>
      </c>
      <c r="J1300" s="352" t="s">
        <v>751</v>
      </c>
      <c r="K1300" s="352">
        <v>4231</v>
      </c>
      <c r="L1300" s="352" t="s">
        <v>774</v>
      </c>
      <c r="M1300" s="352" t="s">
        <v>2210</v>
      </c>
      <c r="N1300" s="352" t="s">
        <v>2076</v>
      </c>
      <c r="O1300" s="352">
        <v>20</v>
      </c>
      <c r="P1300" s="352" t="s">
        <v>2089</v>
      </c>
      <c r="Q1300" s="352" t="s">
        <v>2074</v>
      </c>
      <c r="R1300" s="251">
        <v>278.71092924470707</v>
      </c>
      <c r="S1300" s="251" t="s">
        <v>2015</v>
      </c>
      <c r="T1300" s="251" t="s">
        <v>2016</v>
      </c>
      <c r="U1300" s="251" t="s">
        <v>1948</v>
      </c>
      <c r="V1300" s="251" t="s">
        <v>1949</v>
      </c>
      <c r="X1300" s="251">
        <v>0</v>
      </c>
    </row>
    <row r="1301" spans="2:24" x14ac:dyDescent="0.2">
      <c r="B1301" s="352" t="s">
        <v>870</v>
      </c>
      <c r="C1301" s="352" t="s">
        <v>739</v>
      </c>
      <c r="F1301" s="352" t="s">
        <v>1997</v>
      </c>
      <c r="G1301" s="352" t="s">
        <v>2115</v>
      </c>
      <c r="H1301" s="352" t="s">
        <v>1611</v>
      </c>
      <c r="I1301" s="352" t="s">
        <v>1021</v>
      </c>
      <c r="J1301" s="352" t="s">
        <v>751</v>
      </c>
      <c r="K1301" s="352">
        <v>4241</v>
      </c>
      <c r="L1301" s="352" t="s">
        <v>777</v>
      </c>
      <c r="M1301" s="352" t="s">
        <v>2211</v>
      </c>
      <c r="N1301" s="352" t="s">
        <v>2076</v>
      </c>
      <c r="O1301" s="352">
        <v>20</v>
      </c>
      <c r="P1301" s="352" t="s">
        <v>2089</v>
      </c>
      <c r="Q1301" s="352" t="s">
        <v>2074</v>
      </c>
      <c r="R1301" s="251">
        <v>11864.316253587227</v>
      </c>
      <c r="S1301" s="251" t="s">
        <v>2015</v>
      </c>
      <c r="T1301" s="251" t="s">
        <v>2016</v>
      </c>
      <c r="U1301" s="251" t="s">
        <v>1950</v>
      </c>
      <c r="V1301" s="251" t="s">
        <v>1951</v>
      </c>
      <c r="X1301" s="251">
        <v>0</v>
      </c>
    </row>
    <row r="1302" spans="2:24" x14ac:dyDescent="0.2">
      <c r="B1302" s="352" t="s">
        <v>870</v>
      </c>
      <c r="C1302" s="352" t="s">
        <v>739</v>
      </c>
      <c r="F1302" s="352" t="s">
        <v>1997</v>
      </c>
      <c r="G1302" s="352" t="s">
        <v>2115</v>
      </c>
      <c r="H1302" s="352" t="s">
        <v>1611</v>
      </c>
      <c r="I1302" s="352" t="s">
        <v>1021</v>
      </c>
      <c r="J1302" s="352" t="s">
        <v>751</v>
      </c>
      <c r="K1302" s="352">
        <v>4311</v>
      </c>
      <c r="L1302" s="352" t="s">
        <v>779</v>
      </c>
      <c r="M1302" s="352" t="s">
        <v>2212</v>
      </c>
      <c r="N1302" s="352" t="s">
        <v>2076</v>
      </c>
      <c r="O1302" s="352">
        <v>20</v>
      </c>
      <c r="P1302" s="352" t="s">
        <v>2089</v>
      </c>
      <c r="Q1302" s="352" t="s">
        <v>2074</v>
      </c>
      <c r="R1302" s="251">
        <v>105.8953166128686</v>
      </c>
      <c r="S1302" s="251" t="s">
        <v>2015</v>
      </c>
      <c r="T1302" s="251" t="s">
        <v>2016</v>
      </c>
      <c r="U1302" s="251" t="s">
        <v>1952</v>
      </c>
      <c r="V1302" s="251" t="s">
        <v>1953</v>
      </c>
      <c r="X1302" s="251">
        <v>0</v>
      </c>
    </row>
    <row r="1303" spans="2:24" x14ac:dyDescent="0.2">
      <c r="B1303" s="352" t="s">
        <v>870</v>
      </c>
      <c r="C1303" s="352" t="s">
        <v>744</v>
      </c>
      <c r="F1303" s="352" t="s">
        <v>1998</v>
      </c>
      <c r="G1303" s="352" t="s">
        <v>2116</v>
      </c>
      <c r="H1303" s="352" t="s">
        <v>1612</v>
      </c>
      <c r="I1303" s="352" t="s">
        <v>969</v>
      </c>
      <c r="J1303" s="352" t="s">
        <v>970</v>
      </c>
      <c r="K1303" s="352">
        <v>1111</v>
      </c>
      <c r="L1303" s="352" t="s">
        <v>699</v>
      </c>
      <c r="M1303" s="352" t="s">
        <v>2147</v>
      </c>
      <c r="N1303" s="352" t="s">
        <v>2048</v>
      </c>
      <c r="O1303" s="352">
        <v>6</v>
      </c>
      <c r="P1303" s="352" t="s">
        <v>2049</v>
      </c>
      <c r="Q1303" s="352" t="s">
        <v>2050</v>
      </c>
      <c r="R1303" s="251">
        <v>34798.316425748628</v>
      </c>
      <c r="S1303" s="251" t="s">
        <v>2015</v>
      </c>
      <c r="T1303" s="251" t="s">
        <v>2016</v>
      </c>
      <c r="U1303" s="251" t="s">
        <v>1914</v>
      </c>
      <c r="V1303" s="251" t="s">
        <v>1915</v>
      </c>
      <c r="X1303" s="251">
        <v>0</v>
      </c>
    </row>
    <row r="1304" spans="2:24" x14ac:dyDescent="0.2">
      <c r="B1304" s="352" t="s">
        <v>870</v>
      </c>
      <c r="C1304" s="352" t="s">
        <v>744</v>
      </c>
      <c r="F1304" s="352" t="s">
        <v>1998</v>
      </c>
      <c r="G1304" s="352" t="s">
        <v>2116</v>
      </c>
      <c r="H1304" s="352" t="s">
        <v>1612</v>
      </c>
      <c r="I1304" s="352" t="s">
        <v>969</v>
      </c>
      <c r="J1304" s="352" t="s">
        <v>970</v>
      </c>
      <c r="K1304" s="352">
        <v>1231</v>
      </c>
      <c r="L1304" s="352" t="s">
        <v>726</v>
      </c>
      <c r="M1304" s="352" t="s">
        <v>2148</v>
      </c>
      <c r="N1304" s="352" t="s">
        <v>2048</v>
      </c>
      <c r="O1304" s="352">
        <v>6</v>
      </c>
      <c r="P1304" s="352" t="s">
        <v>2049</v>
      </c>
      <c r="Q1304" s="352" t="s">
        <v>2050</v>
      </c>
      <c r="R1304" s="251">
        <v>1493.4042135772338</v>
      </c>
      <c r="S1304" s="251" t="s">
        <v>2015</v>
      </c>
      <c r="T1304" s="251" t="s">
        <v>2016</v>
      </c>
      <c r="U1304" s="251" t="s">
        <v>1920</v>
      </c>
      <c r="V1304" s="251" t="s">
        <v>726</v>
      </c>
      <c r="X1304" s="251">
        <v>0</v>
      </c>
    </row>
    <row r="1305" spans="2:24" x14ac:dyDescent="0.2">
      <c r="B1305" s="352" t="s">
        <v>870</v>
      </c>
      <c r="C1305" s="352" t="s">
        <v>744</v>
      </c>
      <c r="F1305" s="352" t="s">
        <v>1998</v>
      </c>
      <c r="G1305" s="352" t="s">
        <v>2116</v>
      </c>
      <c r="H1305" s="352" t="s">
        <v>1613</v>
      </c>
      <c r="I1305" s="352" t="s">
        <v>971</v>
      </c>
      <c r="J1305" s="352" t="s">
        <v>972</v>
      </c>
      <c r="K1305" s="352">
        <v>1211</v>
      </c>
      <c r="L1305" s="352" t="s">
        <v>705</v>
      </c>
      <c r="M1305" s="352" t="s">
        <v>2149</v>
      </c>
      <c r="N1305" s="352" t="s">
        <v>2048</v>
      </c>
      <c r="O1305" s="352">
        <v>6</v>
      </c>
      <c r="P1305" s="352" t="s">
        <v>2049</v>
      </c>
      <c r="Q1305" s="352" t="s">
        <v>2050</v>
      </c>
      <c r="R1305" s="251">
        <v>0</v>
      </c>
      <c r="S1305" s="251" t="s">
        <v>2015</v>
      </c>
      <c r="T1305" s="251" t="s">
        <v>2054</v>
      </c>
      <c r="U1305" s="251" t="s">
        <v>1916</v>
      </c>
      <c r="V1305" s="251" t="s">
        <v>1917</v>
      </c>
      <c r="X1305" s="251">
        <v>0</v>
      </c>
    </row>
    <row r="1306" spans="2:24" x14ac:dyDescent="0.2">
      <c r="B1306" s="352" t="s">
        <v>870</v>
      </c>
      <c r="C1306" s="352" t="s">
        <v>744</v>
      </c>
      <c r="F1306" s="352" t="s">
        <v>1998</v>
      </c>
      <c r="G1306" s="352" t="s">
        <v>2116</v>
      </c>
      <c r="H1306" s="352" t="s">
        <v>1614</v>
      </c>
      <c r="I1306" s="352" t="s">
        <v>973</v>
      </c>
      <c r="J1306" s="352" t="s">
        <v>974</v>
      </c>
      <c r="K1306" s="352">
        <v>1211</v>
      </c>
      <c r="L1306" s="352" t="s">
        <v>705</v>
      </c>
      <c r="M1306" s="352" t="s">
        <v>2150</v>
      </c>
      <c r="N1306" s="352" t="s">
        <v>2048</v>
      </c>
      <c r="O1306" s="352">
        <v>6</v>
      </c>
      <c r="P1306" s="352" t="s">
        <v>2049</v>
      </c>
      <c r="Q1306" s="352" t="s">
        <v>2050</v>
      </c>
      <c r="R1306" s="251">
        <v>6759.4561924169138</v>
      </c>
      <c r="S1306" s="251" t="s">
        <v>2015</v>
      </c>
      <c r="T1306" s="251" t="s">
        <v>2016</v>
      </c>
      <c r="U1306" s="251" t="s">
        <v>1916</v>
      </c>
      <c r="V1306" s="251" t="s">
        <v>1917</v>
      </c>
      <c r="X1306" s="251">
        <v>0</v>
      </c>
    </row>
    <row r="1307" spans="2:24" x14ac:dyDescent="0.2">
      <c r="B1307" s="352" t="s">
        <v>870</v>
      </c>
      <c r="C1307" s="352" t="s">
        <v>744</v>
      </c>
      <c r="F1307" s="352" t="s">
        <v>1998</v>
      </c>
      <c r="G1307" s="352" t="s">
        <v>2116</v>
      </c>
      <c r="H1307" s="352" t="s">
        <v>1614</v>
      </c>
      <c r="I1307" s="352" t="s">
        <v>973</v>
      </c>
      <c r="J1307" s="352" t="s">
        <v>974</v>
      </c>
      <c r="K1307" s="352">
        <v>1221</v>
      </c>
      <c r="L1307" s="352" t="s">
        <v>711</v>
      </c>
      <c r="M1307" s="352" t="s">
        <v>2151</v>
      </c>
      <c r="N1307" s="352" t="s">
        <v>2048</v>
      </c>
      <c r="O1307" s="352">
        <v>6</v>
      </c>
      <c r="P1307" s="352" t="s">
        <v>2049</v>
      </c>
      <c r="Q1307" s="352" t="s">
        <v>2050</v>
      </c>
      <c r="R1307" s="251">
        <v>9062.3637507592975</v>
      </c>
      <c r="S1307" s="251" t="s">
        <v>2015</v>
      </c>
      <c r="T1307" s="251" t="s">
        <v>2016</v>
      </c>
      <c r="U1307" s="251" t="s">
        <v>1918</v>
      </c>
      <c r="V1307" s="251" t="s">
        <v>1919</v>
      </c>
      <c r="X1307" s="251">
        <v>0</v>
      </c>
    </row>
    <row r="1308" spans="2:24" x14ac:dyDescent="0.2">
      <c r="B1308" s="352" t="s">
        <v>870</v>
      </c>
      <c r="C1308" s="352" t="s">
        <v>744</v>
      </c>
      <c r="F1308" s="352" t="s">
        <v>1998</v>
      </c>
      <c r="G1308" s="352" t="s">
        <v>2116</v>
      </c>
      <c r="H1308" s="352" t="s">
        <v>1614</v>
      </c>
      <c r="I1308" s="352" t="s">
        <v>973</v>
      </c>
      <c r="J1308" s="352" t="s">
        <v>974</v>
      </c>
      <c r="K1308" s="352">
        <v>1222</v>
      </c>
      <c r="L1308" s="352" t="s">
        <v>718</v>
      </c>
      <c r="M1308" s="352" t="s">
        <v>2152</v>
      </c>
      <c r="N1308" s="352" t="s">
        <v>2048</v>
      </c>
      <c r="O1308" s="352">
        <v>6</v>
      </c>
      <c r="P1308" s="352" t="s">
        <v>2049</v>
      </c>
      <c r="Q1308" s="352" t="s">
        <v>2050</v>
      </c>
      <c r="R1308" s="251">
        <v>351.53776323924137</v>
      </c>
      <c r="S1308" s="251" t="s">
        <v>2015</v>
      </c>
      <c r="T1308" s="251" t="s">
        <v>2016</v>
      </c>
      <c r="U1308" s="251">
        <v>0</v>
      </c>
      <c r="V1308" s="251" t="s">
        <v>2153</v>
      </c>
      <c r="X1308" s="251">
        <v>0</v>
      </c>
    </row>
    <row r="1309" spans="2:24" x14ac:dyDescent="0.2">
      <c r="B1309" s="352" t="s">
        <v>870</v>
      </c>
      <c r="C1309" s="352" t="s">
        <v>744</v>
      </c>
      <c r="F1309" s="352" t="s">
        <v>1998</v>
      </c>
      <c r="G1309" s="352" t="s">
        <v>2116</v>
      </c>
      <c r="H1309" s="352" t="s">
        <v>1615</v>
      </c>
      <c r="I1309" s="352" t="s">
        <v>975</v>
      </c>
      <c r="J1309" s="352" t="s">
        <v>976</v>
      </c>
      <c r="K1309" s="352">
        <v>1221</v>
      </c>
      <c r="L1309" s="352" t="s">
        <v>711</v>
      </c>
      <c r="M1309" s="352" t="s">
        <v>2154</v>
      </c>
      <c r="N1309" s="352" t="s">
        <v>2048</v>
      </c>
      <c r="O1309" s="352">
        <v>7</v>
      </c>
      <c r="P1309" s="352" t="s">
        <v>2055</v>
      </c>
      <c r="Q1309" s="352" t="s">
        <v>2056</v>
      </c>
      <c r="R1309" s="251">
        <v>0</v>
      </c>
      <c r="S1309" s="251" t="s">
        <v>2015</v>
      </c>
      <c r="T1309" s="251" t="s">
        <v>2054</v>
      </c>
      <c r="U1309" s="251" t="s">
        <v>1918</v>
      </c>
      <c r="V1309" s="251" t="s">
        <v>1919</v>
      </c>
      <c r="X1309" s="251">
        <v>0</v>
      </c>
    </row>
    <row r="1310" spans="2:24" x14ac:dyDescent="0.2">
      <c r="B1310" s="352" t="s">
        <v>870</v>
      </c>
      <c r="C1310" s="352" t="s">
        <v>744</v>
      </c>
      <c r="F1310" s="352" t="s">
        <v>1998</v>
      </c>
      <c r="G1310" s="352" t="s">
        <v>2116</v>
      </c>
      <c r="H1310" s="352" t="s">
        <v>1616</v>
      </c>
      <c r="I1310" s="352" t="s">
        <v>977</v>
      </c>
      <c r="J1310" s="352" t="s">
        <v>864</v>
      </c>
      <c r="K1310" s="352">
        <v>1111</v>
      </c>
      <c r="L1310" s="352" t="s">
        <v>699</v>
      </c>
      <c r="M1310" s="352" t="s">
        <v>2155</v>
      </c>
      <c r="N1310" s="352" t="s">
        <v>2048</v>
      </c>
      <c r="O1310" s="352">
        <v>5</v>
      </c>
      <c r="P1310" s="352" t="s">
        <v>2057</v>
      </c>
      <c r="Q1310" s="352" t="s">
        <v>2058</v>
      </c>
      <c r="R1310" s="251">
        <v>1850.9742779653527</v>
      </c>
      <c r="S1310" s="251" t="s">
        <v>2015</v>
      </c>
      <c r="T1310" s="251" t="s">
        <v>2016</v>
      </c>
      <c r="U1310" s="251" t="s">
        <v>1914</v>
      </c>
      <c r="V1310" s="251" t="s">
        <v>1915</v>
      </c>
      <c r="X1310" s="251">
        <v>0</v>
      </c>
    </row>
    <row r="1311" spans="2:24" x14ac:dyDescent="0.2">
      <c r="B1311" s="352" t="s">
        <v>870</v>
      </c>
      <c r="C1311" s="352" t="s">
        <v>744</v>
      </c>
      <c r="F1311" s="352" t="s">
        <v>1998</v>
      </c>
      <c r="G1311" s="352" t="s">
        <v>2116</v>
      </c>
      <c r="H1311" s="352" t="s">
        <v>1616</v>
      </c>
      <c r="I1311" s="352" t="s">
        <v>977</v>
      </c>
      <c r="J1311" s="352" t="s">
        <v>864</v>
      </c>
      <c r="K1311" s="352">
        <v>1211</v>
      </c>
      <c r="L1311" s="352" t="s">
        <v>705</v>
      </c>
      <c r="M1311" s="352" t="s">
        <v>2156</v>
      </c>
      <c r="N1311" s="352" t="s">
        <v>2048</v>
      </c>
      <c r="O1311" s="352">
        <v>5</v>
      </c>
      <c r="P1311" s="352" t="s">
        <v>2057</v>
      </c>
      <c r="Q1311" s="352" t="s">
        <v>2058</v>
      </c>
      <c r="R1311" s="251">
        <v>776.94898763412812</v>
      </c>
      <c r="S1311" s="251" t="s">
        <v>2015</v>
      </c>
      <c r="T1311" s="251" t="s">
        <v>2016</v>
      </c>
      <c r="U1311" s="251" t="s">
        <v>1916</v>
      </c>
      <c r="V1311" s="251" t="s">
        <v>1917</v>
      </c>
      <c r="X1311" s="251">
        <v>0</v>
      </c>
    </row>
    <row r="1312" spans="2:24" x14ac:dyDescent="0.2">
      <c r="B1312" s="352" t="s">
        <v>870</v>
      </c>
      <c r="C1312" s="352" t="s">
        <v>744</v>
      </c>
      <c r="F1312" s="352" t="s">
        <v>1998</v>
      </c>
      <c r="G1312" s="352" t="s">
        <v>2116</v>
      </c>
      <c r="H1312" s="352" t="s">
        <v>1616</v>
      </c>
      <c r="I1312" s="352" t="s">
        <v>977</v>
      </c>
      <c r="J1312" s="352" t="s">
        <v>864</v>
      </c>
      <c r="K1312" s="352">
        <v>1221</v>
      </c>
      <c r="L1312" s="352" t="s">
        <v>711</v>
      </c>
      <c r="M1312" s="352" t="s">
        <v>2157</v>
      </c>
      <c r="N1312" s="352" t="s">
        <v>2048</v>
      </c>
      <c r="O1312" s="352">
        <v>5</v>
      </c>
      <c r="P1312" s="352" t="s">
        <v>2057</v>
      </c>
      <c r="Q1312" s="352" t="s">
        <v>2058</v>
      </c>
      <c r="R1312" s="251">
        <v>1132.7954688449122</v>
      </c>
      <c r="S1312" s="251" t="s">
        <v>2015</v>
      </c>
      <c r="T1312" s="251" t="s">
        <v>2016</v>
      </c>
      <c r="U1312" s="251" t="s">
        <v>1918</v>
      </c>
      <c r="V1312" s="251" t="s">
        <v>1919</v>
      </c>
      <c r="X1312" s="251">
        <v>0</v>
      </c>
    </row>
    <row r="1313" spans="2:24" x14ac:dyDescent="0.2">
      <c r="B1313" s="352" t="s">
        <v>870</v>
      </c>
      <c r="C1313" s="352" t="s">
        <v>744</v>
      </c>
      <c r="F1313" s="352" t="s">
        <v>1998</v>
      </c>
      <c r="G1313" s="352" t="s">
        <v>2116</v>
      </c>
      <c r="H1313" s="352" t="s">
        <v>1616</v>
      </c>
      <c r="I1313" s="352" t="s">
        <v>977</v>
      </c>
      <c r="J1313" s="352" t="s">
        <v>864</v>
      </c>
      <c r="K1313" s="352">
        <v>1222</v>
      </c>
      <c r="L1313" s="352" t="s">
        <v>718</v>
      </c>
      <c r="M1313" s="352" t="s">
        <v>2158</v>
      </c>
      <c r="N1313" s="352" t="s">
        <v>2048</v>
      </c>
      <c r="O1313" s="352">
        <v>5</v>
      </c>
      <c r="P1313" s="352" t="s">
        <v>2057</v>
      </c>
      <c r="Q1313" s="352" t="s">
        <v>2058</v>
      </c>
      <c r="R1313" s="251">
        <v>439.42220404905169</v>
      </c>
      <c r="S1313" s="251" t="s">
        <v>2015</v>
      </c>
      <c r="T1313" s="251" t="s">
        <v>2016</v>
      </c>
      <c r="U1313" s="251">
        <v>0</v>
      </c>
      <c r="V1313" s="251" t="s">
        <v>2153</v>
      </c>
      <c r="X1313" s="251">
        <v>0</v>
      </c>
    </row>
    <row r="1314" spans="2:24" x14ac:dyDescent="0.2">
      <c r="B1314" s="352" t="s">
        <v>870</v>
      </c>
      <c r="C1314" s="352" t="s">
        <v>744</v>
      </c>
      <c r="F1314" s="352" t="s">
        <v>1998</v>
      </c>
      <c r="G1314" s="352" t="s">
        <v>2116</v>
      </c>
      <c r="H1314" s="352" t="s">
        <v>1616</v>
      </c>
      <c r="I1314" s="352" t="s">
        <v>977</v>
      </c>
      <c r="J1314" s="352" t="s">
        <v>864</v>
      </c>
      <c r="K1314" s="352">
        <v>1231</v>
      </c>
      <c r="L1314" s="352" t="s">
        <v>726</v>
      </c>
      <c r="M1314" s="352" t="s">
        <v>2159</v>
      </c>
      <c r="N1314" s="352" t="s">
        <v>2048</v>
      </c>
      <c r="O1314" s="352">
        <v>5</v>
      </c>
      <c r="P1314" s="352" t="s">
        <v>2057</v>
      </c>
      <c r="Q1314" s="352" t="s">
        <v>2058</v>
      </c>
      <c r="R1314" s="251">
        <v>5600.2658009146262</v>
      </c>
      <c r="S1314" s="251" t="s">
        <v>2015</v>
      </c>
      <c r="T1314" s="251" t="s">
        <v>2016</v>
      </c>
      <c r="U1314" s="251" t="s">
        <v>1920</v>
      </c>
      <c r="V1314" s="251" t="s">
        <v>726</v>
      </c>
      <c r="X1314" s="251">
        <v>0</v>
      </c>
    </row>
    <row r="1315" spans="2:24" x14ac:dyDescent="0.2">
      <c r="B1315" s="352" t="s">
        <v>870</v>
      </c>
      <c r="C1315" s="352" t="s">
        <v>744</v>
      </c>
      <c r="F1315" s="352" t="s">
        <v>1998</v>
      </c>
      <c r="G1315" s="352" t="s">
        <v>2116</v>
      </c>
      <c r="H1315" s="352" t="s">
        <v>1616</v>
      </c>
      <c r="I1315" s="352" t="s">
        <v>977</v>
      </c>
      <c r="J1315" s="352" t="s">
        <v>864</v>
      </c>
      <c r="K1315" s="352">
        <v>1232</v>
      </c>
      <c r="L1315" s="352" t="s">
        <v>734</v>
      </c>
      <c r="M1315" s="352" t="s">
        <v>2160</v>
      </c>
      <c r="N1315" s="352" t="s">
        <v>2048</v>
      </c>
      <c r="O1315" s="352">
        <v>5</v>
      </c>
      <c r="P1315" s="352" t="s">
        <v>2057</v>
      </c>
      <c r="Q1315" s="352" t="s">
        <v>2058</v>
      </c>
      <c r="R1315" s="251">
        <v>998.93937836071598</v>
      </c>
      <c r="S1315" s="251" t="s">
        <v>2015</v>
      </c>
      <c r="T1315" s="251" t="s">
        <v>2016</v>
      </c>
      <c r="U1315" s="251">
        <v>0</v>
      </c>
      <c r="V1315" s="251" t="s">
        <v>2153</v>
      </c>
      <c r="X1315" s="251">
        <v>0</v>
      </c>
    </row>
    <row r="1316" spans="2:24" x14ac:dyDescent="0.2">
      <c r="B1316" s="352" t="s">
        <v>870</v>
      </c>
      <c r="C1316" s="352" t="s">
        <v>744</v>
      </c>
      <c r="F1316" s="352" t="s">
        <v>1998</v>
      </c>
      <c r="G1316" s="352" t="s">
        <v>2116</v>
      </c>
      <c r="H1316" s="352" t="s">
        <v>1616</v>
      </c>
      <c r="I1316" s="352" t="s">
        <v>977</v>
      </c>
      <c r="J1316" s="352" t="s">
        <v>864</v>
      </c>
      <c r="K1316" s="352">
        <v>1241</v>
      </c>
      <c r="L1316" s="352" t="s">
        <v>1872</v>
      </c>
      <c r="M1316" s="352" t="s">
        <v>2161</v>
      </c>
      <c r="N1316" s="352" t="s">
        <v>2048</v>
      </c>
      <c r="O1316" s="352">
        <v>5</v>
      </c>
      <c r="P1316" s="352" t="s">
        <v>2057</v>
      </c>
      <c r="Q1316" s="352" t="s">
        <v>2058</v>
      </c>
      <c r="R1316" s="251">
        <v>0</v>
      </c>
      <c r="S1316" s="251" t="s">
        <v>2015</v>
      </c>
      <c r="T1316" s="251" t="s">
        <v>2054</v>
      </c>
      <c r="U1316" s="251">
        <v>0</v>
      </c>
      <c r="V1316" s="251" t="s">
        <v>2153</v>
      </c>
      <c r="X1316" s="251">
        <v>0</v>
      </c>
    </row>
    <row r="1317" spans="2:24" x14ac:dyDescent="0.2">
      <c r="B1317" s="352" t="s">
        <v>870</v>
      </c>
      <c r="C1317" s="352" t="s">
        <v>744</v>
      </c>
      <c r="F1317" s="352" t="s">
        <v>1998</v>
      </c>
      <c r="G1317" s="352" t="s">
        <v>2116</v>
      </c>
      <c r="H1317" s="352" t="s">
        <v>1616</v>
      </c>
      <c r="I1317" s="352" t="s">
        <v>977</v>
      </c>
      <c r="J1317" s="352" t="s">
        <v>864</v>
      </c>
      <c r="K1317" s="352">
        <v>1251</v>
      </c>
      <c r="L1317" s="352" t="s">
        <v>733</v>
      </c>
      <c r="M1317" s="352" t="s">
        <v>2162</v>
      </c>
      <c r="N1317" s="352" t="s">
        <v>2048</v>
      </c>
      <c r="O1317" s="352">
        <v>5</v>
      </c>
      <c r="P1317" s="352" t="s">
        <v>2057</v>
      </c>
      <c r="Q1317" s="352" t="s">
        <v>2058</v>
      </c>
      <c r="R1317" s="251">
        <v>0</v>
      </c>
      <c r="S1317" s="251" t="s">
        <v>2015</v>
      </c>
      <c r="T1317" s="251" t="s">
        <v>2054</v>
      </c>
      <c r="U1317" s="251">
        <v>0</v>
      </c>
      <c r="V1317" s="251" t="s">
        <v>2153</v>
      </c>
      <c r="X1317" s="251">
        <v>0</v>
      </c>
    </row>
    <row r="1318" spans="2:24" x14ac:dyDescent="0.2">
      <c r="B1318" s="352" t="s">
        <v>870</v>
      </c>
      <c r="C1318" s="352" t="s">
        <v>744</v>
      </c>
      <c r="F1318" s="352" t="s">
        <v>1998</v>
      </c>
      <c r="G1318" s="352" t="s">
        <v>2116</v>
      </c>
      <c r="H1318" s="352" t="s">
        <v>1617</v>
      </c>
      <c r="I1318" s="352" t="s">
        <v>978</v>
      </c>
      <c r="J1318" s="352" t="s">
        <v>1892</v>
      </c>
      <c r="K1318" s="352">
        <v>1111</v>
      </c>
      <c r="L1318" s="352" t="s">
        <v>699</v>
      </c>
      <c r="M1318" s="352" t="s">
        <v>2163</v>
      </c>
      <c r="N1318" s="352" t="s">
        <v>2048</v>
      </c>
      <c r="O1318" s="352">
        <v>5</v>
      </c>
      <c r="P1318" s="352" t="s">
        <v>2057</v>
      </c>
      <c r="Q1318" s="352" t="s">
        <v>2058</v>
      </c>
      <c r="R1318" s="251">
        <v>0</v>
      </c>
      <c r="S1318" s="251" t="s">
        <v>2015</v>
      </c>
      <c r="T1318" s="251" t="s">
        <v>2054</v>
      </c>
      <c r="U1318" s="251" t="s">
        <v>1914</v>
      </c>
      <c r="V1318" s="251" t="s">
        <v>1915</v>
      </c>
      <c r="X1318" s="251">
        <v>0</v>
      </c>
    </row>
    <row r="1319" spans="2:24" x14ac:dyDescent="0.2">
      <c r="B1319" s="352" t="s">
        <v>870</v>
      </c>
      <c r="C1319" s="352" t="s">
        <v>744</v>
      </c>
      <c r="F1319" s="352" t="s">
        <v>1998</v>
      </c>
      <c r="G1319" s="352" t="s">
        <v>2116</v>
      </c>
      <c r="H1319" s="352" t="s">
        <v>1617</v>
      </c>
      <c r="I1319" s="352" t="s">
        <v>978</v>
      </c>
      <c r="J1319" s="352" t="s">
        <v>1892</v>
      </c>
      <c r="K1319" s="352">
        <v>1231</v>
      </c>
      <c r="L1319" s="352" t="s">
        <v>726</v>
      </c>
      <c r="M1319" s="352" t="s">
        <v>2164</v>
      </c>
      <c r="N1319" s="352" t="s">
        <v>2048</v>
      </c>
      <c r="O1319" s="352">
        <v>5</v>
      </c>
      <c r="P1319" s="352" t="s">
        <v>2057</v>
      </c>
      <c r="Q1319" s="352" t="s">
        <v>2058</v>
      </c>
      <c r="R1319" s="251">
        <v>0</v>
      </c>
      <c r="S1319" s="251" t="s">
        <v>2015</v>
      </c>
      <c r="T1319" s="251" t="s">
        <v>2054</v>
      </c>
      <c r="U1319" s="251" t="s">
        <v>1920</v>
      </c>
      <c r="V1319" s="251" t="s">
        <v>726</v>
      </c>
      <c r="X1319" s="251">
        <v>0</v>
      </c>
    </row>
    <row r="1320" spans="2:24" x14ac:dyDescent="0.2">
      <c r="B1320" s="352" t="s">
        <v>870</v>
      </c>
      <c r="C1320" s="352" t="s">
        <v>744</v>
      </c>
      <c r="F1320" s="352" t="s">
        <v>1998</v>
      </c>
      <c r="G1320" s="352" t="s">
        <v>2116</v>
      </c>
      <c r="H1320" s="352" t="s">
        <v>1618</v>
      </c>
      <c r="I1320" s="352" t="s">
        <v>979</v>
      </c>
      <c r="J1320" s="352" t="s">
        <v>980</v>
      </c>
      <c r="K1320" s="352">
        <v>1241</v>
      </c>
      <c r="L1320" s="352" t="s">
        <v>1872</v>
      </c>
      <c r="M1320" s="352" t="s">
        <v>2165</v>
      </c>
      <c r="N1320" s="352" t="s">
        <v>2048</v>
      </c>
      <c r="O1320" s="352">
        <v>7</v>
      </c>
      <c r="P1320" s="352" t="s">
        <v>2055</v>
      </c>
      <c r="Q1320" s="352" t="s">
        <v>2056</v>
      </c>
      <c r="R1320" s="251">
        <v>0</v>
      </c>
      <c r="S1320" s="251" t="s">
        <v>2015</v>
      </c>
      <c r="T1320" s="251" t="s">
        <v>2054</v>
      </c>
      <c r="U1320" s="251">
        <v>0</v>
      </c>
      <c r="V1320" s="251" t="s">
        <v>2153</v>
      </c>
      <c r="X1320" s="251">
        <v>0</v>
      </c>
    </row>
    <row r="1321" spans="2:24" x14ac:dyDescent="0.2">
      <c r="B1321" s="352" t="s">
        <v>870</v>
      </c>
      <c r="C1321" s="352" t="s">
        <v>744</v>
      </c>
      <c r="F1321" s="352" t="s">
        <v>1998</v>
      </c>
      <c r="G1321" s="352" t="s">
        <v>2116</v>
      </c>
      <c r="H1321" s="352" t="s">
        <v>1619</v>
      </c>
      <c r="I1321" s="352" t="s">
        <v>981</v>
      </c>
      <c r="J1321" s="352" t="s">
        <v>3674</v>
      </c>
      <c r="K1321" s="352">
        <v>1241</v>
      </c>
      <c r="L1321" s="352" t="s">
        <v>1872</v>
      </c>
      <c r="M1321" s="352" t="s">
        <v>2166</v>
      </c>
      <c r="N1321" s="352" t="s">
        <v>2048</v>
      </c>
      <c r="O1321" s="352">
        <v>13</v>
      </c>
      <c r="P1321" s="352" t="s">
        <v>2059</v>
      </c>
      <c r="Q1321" s="352" t="s">
        <v>2060</v>
      </c>
      <c r="R1321" s="251">
        <v>0</v>
      </c>
      <c r="S1321" s="251" t="s">
        <v>2015</v>
      </c>
      <c r="T1321" s="251" t="s">
        <v>2054</v>
      </c>
      <c r="U1321" s="251">
        <v>0</v>
      </c>
      <c r="V1321" s="251" t="s">
        <v>2153</v>
      </c>
      <c r="X1321" s="251">
        <v>0</v>
      </c>
    </row>
    <row r="1322" spans="2:24" x14ac:dyDescent="0.2">
      <c r="B1322" s="352" t="s">
        <v>870</v>
      </c>
      <c r="C1322" s="352" t="s">
        <v>744</v>
      </c>
      <c r="F1322" s="352" t="s">
        <v>1998</v>
      </c>
      <c r="G1322" s="352" t="s">
        <v>2116</v>
      </c>
      <c r="H1322" s="352" t="s">
        <v>1619</v>
      </c>
      <c r="I1322" s="352" t="s">
        <v>981</v>
      </c>
      <c r="J1322" s="352" t="s">
        <v>3674</v>
      </c>
      <c r="K1322" s="352">
        <v>1251</v>
      </c>
      <c r="L1322" s="352" t="s">
        <v>733</v>
      </c>
      <c r="M1322" s="352" t="s">
        <v>2167</v>
      </c>
      <c r="N1322" s="352" t="s">
        <v>2048</v>
      </c>
      <c r="O1322" s="352">
        <v>13</v>
      </c>
      <c r="P1322" s="352" t="s">
        <v>2059</v>
      </c>
      <c r="Q1322" s="352" t="s">
        <v>2060</v>
      </c>
      <c r="R1322" s="251">
        <v>0</v>
      </c>
      <c r="S1322" s="251" t="s">
        <v>2015</v>
      </c>
      <c r="T1322" s="251" t="s">
        <v>2054</v>
      </c>
      <c r="U1322" s="251">
        <v>0</v>
      </c>
      <c r="V1322" s="251" t="s">
        <v>2153</v>
      </c>
      <c r="X1322" s="251">
        <v>0</v>
      </c>
    </row>
    <row r="1323" spans="2:24" x14ac:dyDescent="0.2">
      <c r="B1323" s="352" t="s">
        <v>870</v>
      </c>
      <c r="C1323" s="352" t="s">
        <v>744</v>
      </c>
      <c r="F1323" s="352" t="s">
        <v>1998</v>
      </c>
      <c r="G1323" s="352" t="s">
        <v>2116</v>
      </c>
      <c r="H1323" s="352" t="s">
        <v>1620</v>
      </c>
      <c r="I1323" s="352" t="s">
        <v>982</v>
      </c>
      <c r="J1323" s="352" t="s">
        <v>983</v>
      </c>
      <c r="K1323" s="352">
        <v>2111</v>
      </c>
      <c r="L1323" s="352" t="s">
        <v>1873</v>
      </c>
      <c r="M1323" s="352" t="s">
        <v>2168</v>
      </c>
      <c r="N1323" s="352" t="s">
        <v>2048</v>
      </c>
      <c r="O1323" s="352">
        <v>3</v>
      </c>
      <c r="P1323" s="352" t="s">
        <v>2117</v>
      </c>
      <c r="Q1323" s="352" t="s">
        <v>2114</v>
      </c>
      <c r="R1323" s="251">
        <v>0</v>
      </c>
      <c r="S1323" s="251" t="s">
        <v>2015</v>
      </c>
      <c r="T1323" s="251" t="s">
        <v>2054</v>
      </c>
      <c r="U1323" s="251" t="s">
        <v>1929</v>
      </c>
      <c r="V1323" s="251" t="s">
        <v>1930</v>
      </c>
      <c r="X1323" s="251">
        <v>0</v>
      </c>
    </row>
    <row r="1324" spans="2:24" x14ac:dyDescent="0.2">
      <c r="B1324" s="352" t="s">
        <v>870</v>
      </c>
      <c r="C1324" s="352" t="s">
        <v>744</v>
      </c>
      <c r="F1324" s="352" t="s">
        <v>1998</v>
      </c>
      <c r="G1324" s="352" t="s">
        <v>2116</v>
      </c>
      <c r="H1324" s="352" t="s">
        <v>1620</v>
      </c>
      <c r="I1324" s="352" t="s">
        <v>982</v>
      </c>
      <c r="J1324" s="352" t="s">
        <v>983</v>
      </c>
      <c r="K1324" s="352">
        <v>2121</v>
      </c>
      <c r="L1324" s="352" t="s">
        <v>1876</v>
      </c>
      <c r="M1324" s="352" t="s">
        <v>2169</v>
      </c>
      <c r="N1324" s="352" t="s">
        <v>2048</v>
      </c>
      <c r="O1324" s="352">
        <v>3</v>
      </c>
      <c r="P1324" s="352" t="s">
        <v>2117</v>
      </c>
      <c r="Q1324" s="352" t="s">
        <v>2114</v>
      </c>
      <c r="R1324" s="251">
        <v>0</v>
      </c>
      <c r="S1324" s="251" t="s">
        <v>2015</v>
      </c>
      <c r="T1324" s="251" t="s">
        <v>2054</v>
      </c>
      <c r="U1324" s="251" t="s">
        <v>1929</v>
      </c>
      <c r="V1324" s="251" t="s">
        <v>1930</v>
      </c>
      <c r="X1324" s="251">
        <v>0</v>
      </c>
    </row>
    <row r="1325" spans="2:24" x14ac:dyDescent="0.2">
      <c r="B1325" s="352" t="s">
        <v>870</v>
      </c>
      <c r="C1325" s="352" t="s">
        <v>744</v>
      </c>
      <c r="F1325" s="352" t="s">
        <v>1998</v>
      </c>
      <c r="G1325" s="352" t="s">
        <v>2116</v>
      </c>
      <c r="H1325" s="352" t="s">
        <v>1620</v>
      </c>
      <c r="I1325" s="352" t="s">
        <v>982</v>
      </c>
      <c r="J1325" s="352" t="s">
        <v>983</v>
      </c>
      <c r="K1325" s="352">
        <v>2131</v>
      </c>
      <c r="L1325" s="352" t="s">
        <v>1879</v>
      </c>
      <c r="M1325" s="352" t="s">
        <v>2170</v>
      </c>
      <c r="N1325" s="352" t="s">
        <v>2048</v>
      </c>
      <c r="O1325" s="352">
        <v>3</v>
      </c>
      <c r="P1325" s="352" t="s">
        <v>2117</v>
      </c>
      <c r="Q1325" s="352" t="s">
        <v>2114</v>
      </c>
      <c r="R1325" s="251">
        <v>0</v>
      </c>
      <c r="S1325" s="251" t="s">
        <v>2015</v>
      </c>
      <c r="T1325" s="251" t="s">
        <v>2054</v>
      </c>
      <c r="U1325" s="251" t="s">
        <v>1929</v>
      </c>
      <c r="V1325" s="251" t="s">
        <v>1930</v>
      </c>
      <c r="X1325" s="251">
        <v>0</v>
      </c>
    </row>
    <row r="1326" spans="2:24" x14ac:dyDescent="0.2">
      <c r="B1326" s="352" t="s">
        <v>870</v>
      </c>
      <c r="C1326" s="352" t="s">
        <v>744</v>
      </c>
      <c r="F1326" s="352" t="s">
        <v>1998</v>
      </c>
      <c r="G1326" s="352" t="s">
        <v>2116</v>
      </c>
      <c r="H1326" s="352" t="s">
        <v>1620</v>
      </c>
      <c r="I1326" s="352" t="s">
        <v>982</v>
      </c>
      <c r="J1326" s="352" t="s">
        <v>983</v>
      </c>
      <c r="K1326" s="352">
        <v>2211</v>
      </c>
      <c r="L1326" s="352" t="s">
        <v>1883</v>
      </c>
      <c r="M1326" s="352" t="s">
        <v>2171</v>
      </c>
      <c r="N1326" s="352" t="s">
        <v>2048</v>
      </c>
      <c r="O1326" s="352">
        <v>3</v>
      </c>
      <c r="P1326" s="352" t="s">
        <v>2117</v>
      </c>
      <c r="Q1326" s="352" t="s">
        <v>2114</v>
      </c>
      <c r="R1326" s="251">
        <v>0</v>
      </c>
      <c r="S1326" s="251" t="s">
        <v>2015</v>
      </c>
      <c r="T1326" s="251" t="s">
        <v>2054</v>
      </c>
      <c r="U1326" s="251" t="s">
        <v>1929</v>
      </c>
      <c r="V1326" s="251" t="s">
        <v>1930</v>
      </c>
      <c r="X1326" s="251">
        <v>0</v>
      </c>
    </row>
    <row r="1327" spans="2:24" x14ac:dyDescent="0.2">
      <c r="B1327" s="352" t="s">
        <v>870</v>
      </c>
      <c r="C1327" s="352" t="s">
        <v>744</v>
      </c>
      <c r="F1327" s="352" t="s">
        <v>1998</v>
      </c>
      <c r="G1327" s="352" t="s">
        <v>2116</v>
      </c>
      <c r="H1327" s="352" t="s">
        <v>1621</v>
      </c>
      <c r="I1327" s="352" t="s">
        <v>984</v>
      </c>
      <c r="J1327" s="352" t="s">
        <v>985</v>
      </c>
      <c r="K1327" s="352">
        <v>2111</v>
      </c>
      <c r="L1327" s="352" t="s">
        <v>1873</v>
      </c>
      <c r="M1327" s="352" t="s">
        <v>2172</v>
      </c>
      <c r="N1327" s="352" t="s">
        <v>2048</v>
      </c>
      <c r="O1327" s="352">
        <v>11</v>
      </c>
      <c r="P1327" s="352" t="s">
        <v>2063</v>
      </c>
      <c r="Q1327" s="352" t="s">
        <v>2064</v>
      </c>
      <c r="R1327" s="251">
        <v>0</v>
      </c>
      <c r="S1327" s="251" t="s">
        <v>2015</v>
      </c>
      <c r="T1327" s="251" t="s">
        <v>2054</v>
      </c>
      <c r="U1327" s="251" t="s">
        <v>1929</v>
      </c>
      <c r="V1327" s="251" t="s">
        <v>1930</v>
      </c>
      <c r="X1327" s="251">
        <v>0</v>
      </c>
    </row>
    <row r="1328" spans="2:24" x14ac:dyDescent="0.2">
      <c r="B1328" s="352" t="s">
        <v>870</v>
      </c>
      <c r="C1328" s="352" t="s">
        <v>744</v>
      </c>
      <c r="F1328" s="352" t="s">
        <v>1998</v>
      </c>
      <c r="G1328" s="352" t="s">
        <v>2116</v>
      </c>
      <c r="H1328" s="352" t="s">
        <v>1621</v>
      </c>
      <c r="I1328" s="352" t="s">
        <v>984</v>
      </c>
      <c r="J1328" s="352" t="s">
        <v>985</v>
      </c>
      <c r="K1328" s="352">
        <v>2121</v>
      </c>
      <c r="L1328" s="352" t="s">
        <v>1876</v>
      </c>
      <c r="M1328" s="352" t="s">
        <v>2173</v>
      </c>
      <c r="N1328" s="352" t="s">
        <v>2048</v>
      </c>
      <c r="O1328" s="352">
        <v>11</v>
      </c>
      <c r="P1328" s="352" t="s">
        <v>2063</v>
      </c>
      <c r="Q1328" s="352" t="s">
        <v>2064</v>
      </c>
      <c r="R1328" s="251">
        <v>0</v>
      </c>
      <c r="S1328" s="251" t="s">
        <v>2015</v>
      </c>
      <c r="T1328" s="251" t="s">
        <v>2054</v>
      </c>
      <c r="U1328" s="251" t="s">
        <v>1929</v>
      </c>
      <c r="V1328" s="251" t="s">
        <v>1930</v>
      </c>
      <c r="X1328" s="251">
        <v>0</v>
      </c>
    </row>
    <row r="1329" spans="2:24" x14ac:dyDescent="0.2">
      <c r="B1329" s="352" t="s">
        <v>870</v>
      </c>
      <c r="C1329" s="352" t="s">
        <v>744</v>
      </c>
      <c r="F1329" s="352" t="s">
        <v>1998</v>
      </c>
      <c r="G1329" s="352" t="s">
        <v>2116</v>
      </c>
      <c r="H1329" s="352" t="s">
        <v>1621</v>
      </c>
      <c r="I1329" s="352" t="s">
        <v>984</v>
      </c>
      <c r="J1329" s="352" t="s">
        <v>985</v>
      </c>
      <c r="K1329" s="352">
        <v>2131</v>
      </c>
      <c r="L1329" s="352" t="s">
        <v>1879</v>
      </c>
      <c r="M1329" s="352" t="s">
        <v>2174</v>
      </c>
      <c r="N1329" s="352" t="s">
        <v>2048</v>
      </c>
      <c r="O1329" s="352">
        <v>11</v>
      </c>
      <c r="P1329" s="352" t="s">
        <v>2063</v>
      </c>
      <c r="Q1329" s="352" t="s">
        <v>2064</v>
      </c>
      <c r="R1329" s="251">
        <v>0</v>
      </c>
      <c r="S1329" s="251" t="s">
        <v>2015</v>
      </c>
      <c r="T1329" s="251" t="s">
        <v>2054</v>
      </c>
      <c r="U1329" s="251" t="s">
        <v>1929</v>
      </c>
      <c r="V1329" s="251" t="s">
        <v>1930</v>
      </c>
      <c r="X1329" s="251">
        <v>0</v>
      </c>
    </row>
    <row r="1330" spans="2:24" x14ac:dyDescent="0.2">
      <c r="B1330" s="352" t="s">
        <v>870</v>
      </c>
      <c r="C1330" s="352" t="s">
        <v>744</v>
      </c>
      <c r="F1330" s="352" t="s">
        <v>1998</v>
      </c>
      <c r="G1330" s="352" t="s">
        <v>2116</v>
      </c>
      <c r="H1330" s="352" t="s">
        <v>1621</v>
      </c>
      <c r="I1330" s="352" t="s">
        <v>984</v>
      </c>
      <c r="J1330" s="352" t="s">
        <v>985</v>
      </c>
      <c r="K1330" s="352">
        <v>2211</v>
      </c>
      <c r="L1330" s="352" t="s">
        <v>1883</v>
      </c>
      <c r="M1330" s="352" t="s">
        <v>2175</v>
      </c>
      <c r="N1330" s="352" t="s">
        <v>2048</v>
      </c>
      <c r="O1330" s="352">
        <v>11</v>
      </c>
      <c r="P1330" s="352" t="s">
        <v>2063</v>
      </c>
      <c r="Q1330" s="352" t="s">
        <v>2064</v>
      </c>
      <c r="R1330" s="251">
        <v>0</v>
      </c>
      <c r="S1330" s="251" t="s">
        <v>2015</v>
      </c>
      <c r="T1330" s="251" t="s">
        <v>2054</v>
      </c>
      <c r="U1330" s="251" t="s">
        <v>1929</v>
      </c>
      <c r="V1330" s="251" t="s">
        <v>1930</v>
      </c>
      <c r="X1330" s="251">
        <v>0</v>
      </c>
    </row>
    <row r="1331" spans="2:24" x14ac:dyDescent="0.2">
      <c r="B1331" s="352" t="s">
        <v>870</v>
      </c>
      <c r="C1331" s="352" t="s">
        <v>744</v>
      </c>
      <c r="F1331" s="352" t="s">
        <v>1998</v>
      </c>
      <c r="G1331" s="352" t="s">
        <v>2116</v>
      </c>
      <c r="H1331" s="352" t="s">
        <v>1622</v>
      </c>
      <c r="I1331" s="352" t="s">
        <v>986</v>
      </c>
      <c r="J1331" s="352" t="s">
        <v>987</v>
      </c>
      <c r="K1331" s="352">
        <v>2112</v>
      </c>
      <c r="L1331" s="352" t="s">
        <v>1874</v>
      </c>
      <c r="M1331" s="352" t="s">
        <v>2176</v>
      </c>
      <c r="N1331" s="352" t="s">
        <v>2048</v>
      </c>
      <c r="O1331" s="352">
        <v>11</v>
      </c>
      <c r="P1331" s="352" t="s">
        <v>2063</v>
      </c>
      <c r="Q1331" s="352" t="s">
        <v>2064</v>
      </c>
      <c r="R1331" s="251">
        <v>0</v>
      </c>
      <c r="S1331" s="251" t="s">
        <v>2015</v>
      </c>
      <c r="T1331" s="251" t="s">
        <v>2054</v>
      </c>
      <c r="U1331" s="251" t="s">
        <v>1931</v>
      </c>
      <c r="V1331" s="251" t="s">
        <v>1932</v>
      </c>
      <c r="X1331" s="251">
        <v>0</v>
      </c>
    </row>
    <row r="1332" spans="2:24" x14ac:dyDescent="0.2">
      <c r="B1332" s="352" t="s">
        <v>870</v>
      </c>
      <c r="C1332" s="352" t="s">
        <v>744</v>
      </c>
      <c r="F1332" s="352" t="s">
        <v>1998</v>
      </c>
      <c r="G1332" s="352" t="s">
        <v>2116</v>
      </c>
      <c r="H1332" s="352" t="s">
        <v>1622</v>
      </c>
      <c r="I1332" s="352" t="s">
        <v>986</v>
      </c>
      <c r="J1332" s="352" t="s">
        <v>987</v>
      </c>
      <c r="K1332" s="352">
        <v>2122</v>
      </c>
      <c r="L1332" s="352" t="s">
        <v>1877</v>
      </c>
      <c r="M1332" s="352" t="s">
        <v>2177</v>
      </c>
      <c r="N1332" s="352" t="s">
        <v>2048</v>
      </c>
      <c r="O1332" s="352">
        <v>11</v>
      </c>
      <c r="P1332" s="352" t="s">
        <v>2063</v>
      </c>
      <c r="Q1332" s="352" t="s">
        <v>2064</v>
      </c>
      <c r="R1332" s="251">
        <v>0</v>
      </c>
      <c r="S1332" s="251" t="s">
        <v>2015</v>
      </c>
      <c r="T1332" s="251" t="s">
        <v>2054</v>
      </c>
      <c r="U1332" s="251" t="s">
        <v>1931</v>
      </c>
      <c r="V1332" s="251" t="s">
        <v>1932</v>
      </c>
      <c r="X1332" s="251">
        <v>0</v>
      </c>
    </row>
    <row r="1333" spans="2:24" x14ac:dyDescent="0.2">
      <c r="B1333" s="352" t="s">
        <v>870</v>
      </c>
      <c r="C1333" s="352" t="s">
        <v>744</v>
      </c>
      <c r="F1333" s="352" t="s">
        <v>1998</v>
      </c>
      <c r="G1333" s="352" t="s">
        <v>2116</v>
      </c>
      <c r="H1333" s="352" t="s">
        <v>1623</v>
      </c>
      <c r="I1333" s="352" t="s">
        <v>988</v>
      </c>
      <c r="J1333" s="352" t="s">
        <v>989</v>
      </c>
      <c r="K1333" s="352">
        <v>2112</v>
      </c>
      <c r="L1333" s="352" t="s">
        <v>1874</v>
      </c>
      <c r="M1333" s="352" t="s">
        <v>2178</v>
      </c>
      <c r="N1333" s="352" t="s">
        <v>2048</v>
      </c>
      <c r="O1333" s="352">
        <v>11</v>
      </c>
      <c r="P1333" s="352" t="s">
        <v>2063</v>
      </c>
      <c r="Q1333" s="352" t="s">
        <v>2064</v>
      </c>
      <c r="R1333" s="251">
        <v>0</v>
      </c>
      <c r="S1333" s="251" t="s">
        <v>2015</v>
      </c>
      <c r="T1333" s="251" t="s">
        <v>2054</v>
      </c>
      <c r="U1333" s="251" t="s">
        <v>1931</v>
      </c>
      <c r="V1333" s="251" t="s">
        <v>1932</v>
      </c>
      <c r="X1333" s="251">
        <v>0</v>
      </c>
    </row>
    <row r="1334" spans="2:24" x14ac:dyDescent="0.2">
      <c r="B1334" s="352" t="s">
        <v>870</v>
      </c>
      <c r="C1334" s="352" t="s">
        <v>744</v>
      </c>
      <c r="F1334" s="352" t="s">
        <v>1998</v>
      </c>
      <c r="G1334" s="352" t="s">
        <v>2116</v>
      </c>
      <c r="H1334" s="352" t="s">
        <v>1623</v>
      </c>
      <c r="I1334" s="352" t="s">
        <v>988</v>
      </c>
      <c r="J1334" s="352" t="s">
        <v>989</v>
      </c>
      <c r="K1334" s="352">
        <v>2122</v>
      </c>
      <c r="L1334" s="352" t="s">
        <v>1877</v>
      </c>
      <c r="M1334" s="352" t="s">
        <v>2179</v>
      </c>
      <c r="N1334" s="352" t="s">
        <v>2048</v>
      </c>
      <c r="O1334" s="352">
        <v>11</v>
      </c>
      <c r="P1334" s="352" t="s">
        <v>2063</v>
      </c>
      <c r="Q1334" s="352" t="s">
        <v>2064</v>
      </c>
      <c r="R1334" s="251">
        <v>0</v>
      </c>
      <c r="S1334" s="251" t="s">
        <v>2015</v>
      </c>
      <c r="T1334" s="251" t="s">
        <v>2054</v>
      </c>
      <c r="U1334" s="251" t="s">
        <v>1931</v>
      </c>
      <c r="V1334" s="251" t="s">
        <v>1932</v>
      </c>
      <c r="X1334" s="251">
        <v>0</v>
      </c>
    </row>
    <row r="1335" spans="2:24" x14ac:dyDescent="0.2">
      <c r="B1335" s="352" t="s">
        <v>870</v>
      </c>
      <c r="C1335" s="352" t="s">
        <v>744</v>
      </c>
      <c r="F1335" s="352" t="s">
        <v>1998</v>
      </c>
      <c r="G1335" s="352" t="s">
        <v>2116</v>
      </c>
      <c r="H1335" s="352" t="s">
        <v>1624</v>
      </c>
      <c r="I1335" s="352" t="s">
        <v>990</v>
      </c>
      <c r="J1335" s="352" t="s">
        <v>991</v>
      </c>
      <c r="K1335" s="352">
        <v>2132</v>
      </c>
      <c r="L1335" s="352" t="s">
        <v>1880</v>
      </c>
      <c r="M1335" s="352" t="s">
        <v>2180</v>
      </c>
      <c r="N1335" s="352" t="s">
        <v>2048</v>
      </c>
      <c r="O1335" s="352">
        <v>1</v>
      </c>
      <c r="P1335" s="352" t="s">
        <v>2065</v>
      </c>
      <c r="Q1335" s="352" t="s">
        <v>2066</v>
      </c>
      <c r="R1335" s="251">
        <v>0</v>
      </c>
      <c r="S1335" s="251" t="s">
        <v>2015</v>
      </c>
      <c r="T1335" s="251" t="s">
        <v>2054</v>
      </c>
      <c r="U1335" s="251" t="s">
        <v>1931</v>
      </c>
      <c r="V1335" s="251" t="s">
        <v>1932</v>
      </c>
      <c r="X1335" s="251">
        <v>0</v>
      </c>
    </row>
    <row r="1336" spans="2:24" x14ac:dyDescent="0.2">
      <c r="B1336" s="352" t="s">
        <v>870</v>
      </c>
      <c r="C1336" s="352" t="s">
        <v>744</v>
      </c>
      <c r="F1336" s="352" t="s">
        <v>1998</v>
      </c>
      <c r="G1336" s="352" t="s">
        <v>2116</v>
      </c>
      <c r="H1336" s="352" t="s">
        <v>1625</v>
      </c>
      <c r="I1336" s="352" t="s">
        <v>994</v>
      </c>
      <c r="J1336" s="352" t="s">
        <v>995</v>
      </c>
      <c r="K1336" s="352">
        <v>2311</v>
      </c>
      <c r="L1336" s="352" t="s">
        <v>1887</v>
      </c>
      <c r="M1336" s="352" t="s">
        <v>2181</v>
      </c>
      <c r="N1336" s="352" t="s">
        <v>2048</v>
      </c>
      <c r="O1336" s="352">
        <v>8</v>
      </c>
      <c r="P1336" s="352" t="s">
        <v>2067</v>
      </c>
      <c r="Q1336" s="352" t="s">
        <v>2068</v>
      </c>
      <c r="R1336" s="251">
        <v>0</v>
      </c>
      <c r="S1336" s="251" t="s">
        <v>2015</v>
      </c>
      <c r="T1336" s="251" t="s">
        <v>2054</v>
      </c>
      <c r="U1336" s="251" t="s">
        <v>1943</v>
      </c>
      <c r="V1336" s="251" t="s">
        <v>1944</v>
      </c>
      <c r="X1336" s="251">
        <v>0</v>
      </c>
    </row>
    <row r="1337" spans="2:24" x14ac:dyDescent="0.2">
      <c r="B1337" s="352" t="s">
        <v>870</v>
      </c>
      <c r="C1337" s="352" t="s">
        <v>744</v>
      </c>
      <c r="F1337" s="352" t="s">
        <v>1998</v>
      </c>
      <c r="G1337" s="352" t="s">
        <v>2116</v>
      </c>
      <c r="H1337" s="352" t="s">
        <v>1626</v>
      </c>
      <c r="I1337" s="352" t="s">
        <v>996</v>
      </c>
      <c r="J1337" s="352" t="s">
        <v>997</v>
      </c>
      <c r="K1337" s="352">
        <v>2311</v>
      </c>
      <c r="L1337" s="352" t="s">
        <v>1887</v>
      </c>
      <c r="M1337" s="352" t="s">
        <v>2182</v>
      </c>
      <c r="N1337" s="352" t="s">
        <v>2048</v>
      </c>
      <c r="O1337" s="352">
        <v>8</v>
      </c>
      <c r="P1337" s="352" t="s">
        <v>2067</v>
      </c>
      <c r="Q1337" s="352" t="s">
        <v>2068</v>
      </c>
      <c r="R1337" s="251">
        <v>0</v>
      </c>
      <c r="S1337" s="251" t="s">
        <v>2015</v>
      </c>
      <c r="T1337" s="251" t="s">
        <v>2054</v>
      </c>
      <c r="U1337" s="251" t="s">
        <v>1943</v>
      </c>
      <c r="V1337" s="251" t="s">
        <v>1944</v>
      </c>
      <c r="X1337" s="251">
        <v>0</v>
      </c>
    </row>
    <row r="1338" spans="2:24" x14ac:dyDescent="0.2">
      <c r="B1338" s="352" t="s">
        <v>870</v>
      </c>
      <c r="C1338" s="352" t="s">
        <v>744</v>
      </c>
      <c r="F1338" s="352" t="s">
        <v>1998</v>
      </c>
      <c r="G1338" s="352" t="s">
        <v>2116</v>
      </c>
      <c r="H1338" s="352" t="s">
        <v>1627</v>
      </c>
      <c r="I1338" s="352" t="s">
        <v>998</v>
      </c>
      <c r="J1338" s="352" t="s">
        <v>999</v>
      </c>
      <c r="K1338" s="352">
        <v>2311</v>
      </c>
      <c r="L1338" s="352" t="s">
        <v>1887</v>
      </c>
      <c r="M1338" s="352" t="s">
        <v>2183</v>
      </c>
      <c r="N1338" s="352" t="s">
        <v>2048</v>
      </c>
      <c r="O1338" s="352">
        <v>8</v>
      </c>
      <c r="P1338" s="352" t="s">
        <v>2067</v>
      </c>
      <c r="Q1338" s="352" t="s">
        <v>2068</v>
      </c>
      <c r="R1338" s="251">
        <v>0</v>
      </c>
      <c r="S1338" s="251" t="s">
        <v>2015</v>
      </c>
      <c r="T1338" s="251" t="s">
        <v>2054</v>
      </c>
      <c r="U1338" s="251" t="s">
        <v>1943</v>
      </c>
      <c r="V1338" s="251" t="s">
        <v>1944</v>
      </c>
      <c r="X1338" s="251">
        <v>0</v>
      </c>
    </row>
    <row r="1339" spans="2:24" x14ac:dyDescent="0.2">
      <c r="B1339" s="352" t="s">
        <v>870</v>
      </c>
      <c r="C1339" s="352" t="s">
        <v>744</v>
      </c>
      <c r="F1339" s="352" t="s">
        <v>1998</v>
      </c>
      <c r="G1339" s="352" t="s">
        <v>2116</v>
      </c>
      <c r="H1339" s="352" t="s">
        <v>1627</v>
      </c>
      <c r="I1339" s="352" t="s">
        <v>998</v>
      </c>
      <c r="J1339" s="352" t="s">
        <v>999</v>
      </c>
      <c r="K1339" s="352">
        <v>2312</v>
      </c>
      <c r="L1339" s="352" t="s">
        <v>789</v>
      </c>
      <c r="M1339" s="352" t="s">
        <v>2184</v>
      </c>
      <c r="N1339" s="352" t="s">
        <v>2048</v>
      </c>
      <c r="O1339" s="352">
        <v>8</v>
      </c>
      <c r="P1339" s="352" t="s">
        <v>2067</v>
      </c>
      <c r="Q1339" s="352" t="s">
        <v>2068</v>
      </c>
      <c r="R1339" s="251">
        <v>0</v>
      </c>
      <c r="S1339" s="251" t="s">
        <v>2015</v>
      </c>
      <c r="T1339" s="251" t="s">
        <v>2054</v>
      </c>
      <c r="U1339" s="251" t="s">
        <v>1943</v>
      </c>
      <c r="V1339" s="251" t="s">
        <v>1944</v>
      </c>
      <c r="X1339" s="251">
        <v>0</v>
      </c>
    </row>
    <row r="1340" spans="2:24" x14ac:dyDescent="0.2">
      <c r="B1340" s="352" t="s">
        <v>870</v>
      </c>
      <c r="C1340" s="352" t="s">
        <v>744</v>
      </c>
      <c r="F1340" s="352" t="s">
        <v>1998</v>
      </c>
      <c r="G1340" s="352" t="s">
        <v>2116</v>
      </c>
      <c r="H1340" s="352" t="s">
        <v>1628</v>
      </c>
      <c r="I1340" s="352" t="s">
        <v>1000</v>
      </c>
      <c r="J1340" s="352" t="s">
        <v>1001</v>
      </c>
      <c r="K1340" s="352">
        <v>2141</v>
      </c>
      <c r="L1340" s="352" t="s">
        <v>1882</v>
      </c>
      <c r="M1340" s="352" t="s">
        <v>2185</v>
      </c>
      <c r="N1340" s="352" t="s">
        <v>2048</v>
      </c>
      <c r="O1340" s="352">
        <v>12</v>
      </c>
      <c r="P1340" s="352" t="s">
        <v>2069</v>
      </c>
      <c r="Q1340" s="352" t="s">
        <v>2070</v>
      </c>
      <c r="R1340" s="251">
        <v>0</v>
      </c>
      <c r="S1340" s="251" t="s">
        <v>2015</v>
      </c>
      <c r="T1340" s="251" t="s">
        <v>2054</v>
      </c>
      <c r="U1340" s="251" t="s">
        <v>1935</v>
      </c>
      <c r="V1340" s="251" t="s">
        <v>1936</v>
      </c>
      <c r="X1340" s="251">
        <v>0</v>
      </c>
    </row>
    <row r="1341" spans="2:24" x14ac:dyDescent="0.2">
      <c r="B1341" s="352" t="s">
        <v>870</v>
      </c>
      <c r="C1341" s="352" t="s">
        <v>744</v>
      </c>
      <c r="F1341" s="352" t="s">
        <v>1998</v>
      </c>
      <c r="G1341" s="352" t="s">
        <v>2116</v>
      </c>
      <c r="H1341" s="352" t="s">
        <v>1628</v>
      </c>
      <c r="I1341" s="352" t="s">
        <v>1000</v>
      </c>
      <c r="J1341" s="352" t="s">
        <v>1001</v>
      </c>
      <c r="K1341" s="352">
        <v>2142</v>
      </c>
      <c r="L1341" s="352" t="s">
        <v>780</v>
      </c>
      <c r="M1341" s="352" t="s">
        <v>2186</v>
      </c>
      <c r="N1341" s="352" t="s">
        <v>2048</v>
      </c>
      <c r="O1341" s="352">
        <v>12</v>
      </c>
      <c r="P1341" s="352" t="s">
        <v>2069</v>
      </c>
      <c r="Q1341" s="352" t="s">
        <v>2070</v>
      </c>
      <c r="R1341" s="251">
        <v>0</v>
      </c>
      <c r="S1341" s="251" t="s">
        <v>2015</v>
      </c>
      <c r="T1341" s="251" t="s">
        <v>2054</v>
      </c>
      <c r="U1341" s="251">
        <v>0</v>
      </c>
      <c r="V1341" s="251" t="s">
        <v>2153</v>
      </c>
      <c r="X1341" s="251">
        <v>0</v>
      </c>
    </row>
    <row r="1342" spans="2:24" x14ac:dyDescent="0.2">
      <c r="B1342" s="352" t="s">
        <v>870</v>
      </c>
      <c r="C1342" s="352" t="s">
        <v>744</v>
      </c>
      <c r="F1342" s="352" t="s">
        <v>1998</v>
      </c>
      <c r="G1342" s="352" t="s">
        <v>2116</v>
      </c>
      <c r="H1342" s="352" t="s">
        <v>1629</v>
      </c>
      <c r="I1342" s="352" t="s">
        <v>1002</v>
      </c>
      <c r="J1342" s="352" t="s">
        <v>1003</v>
      </c>
      <c r="K1342" s="352">
        <v>2113</v>
      </c>
      <c r="L1342" s="352" t="s">
        <v>1875</v>
      </c>
      <c r="M1342" s="352" t="s">
        <v>2187</v>
      </c>
      <c r="N1342" s="352" t="s">
        <v>2048</v>
      </c>
      <c r="O1342" s="352">
        <v>1</v>
      </c>
      <c r="P1342" s="352" t="s">
        <v>2065</v>
      </c>
      <c r="Q1342" s="352" t="s">
        <v>2066</v>
      </c>
      <c r="R1342" s="251">
        <v>0</v>
      </c>
      <c r="S1342" s="251" t="s">
        <v>2015</v>
      </c>
      <c r="T1342" s="251" t="s">
        <v>2054</v>
      </c>
      <c r="U1342" s="251" t="s">
        <v>1935</v>
      </c>
      <c r="V1342" s="251" t="s">
        <v>1936</v>
      </c>
      <c r="X1342" s="251">
        <v>0</v>
      </c>
    </row>
    <row r="1343" spans="2:24" x14ac:dyDescent="0.2">
      <c r="B1343" s="352" t="s">
        <v>870</v>
      </c>
      <c r="C1343" s="352" t="s">
        <v>744</v>
      </c>
      <c r="F1343" s="352" t="s">
        <v>1998</v>
      </c>
      <c r="G1343" s="352" t="s">
        <v>2116</v>
      </c>
      <c r="H1343" s="352" t="s">
        <v>1629</v>
      </c>
      <c r="I1343" s="352" t="s">
        <v>1002</v>
      </c>
      <c r="J1343" s="352" t="s">
        <v>1003</v>
      </c>
      <c r="K1343" s="352">
        <v>2123</v>
      </c>
      <c r="L1343" s="352" t="s">
        <v>1878</v>
      </c>
      <c r="M1343" s="352" t="s">
        <v>2188</v>
      </c>
      <c r="N1343" s="352" t="s">
        <v>2048</v>
      </c>
      <c r="O1343" s="352">
        <v>1</v>
      </c>
      <c r="P1343" s="352" t="s">
        <v>2065</v>
      </c>
      <c r="Q1343" s="352" t="s">
        <v>2066</v>
      </c>
      <c r="R1343" s="251">
        <v>0</v>
      </c>
      <c r="S1343" s="251" t="s">
        <v>2015</v>
      </c>
      <c r="T1343" s="251" t="s">
        <v>2054</v>
      </c>
      <c r="U1343" s="251" t="s">
        <v>1935</v>
      </c>
      <c r="V1343" s="251" t="s">
        <v>1936</v>
      </c>
      <c r="X1343" s="251">
        <v>0</v>
      </c>
    </row>
    <row r="1344" spans="2:24" x14ac:dyDescent="0.2">
      <c r="B1344" s="352" t="s">
        <v>870</v>
      </c>
      <c r="C1344" s="352" t="s">
        <v>744</v>
      </c>
      <c r="F1344" s="352" t="s">
        <v>1998</v>
      </c>
      <c r="G1344" s="352" t="s">
        <v>2116</v>
      </c>
      <c r="H1344" s="352" t="s">
        <v>1630</v>
      </c>
      <c r="I1344" s="352" t="s">
        <v>1006</v>
      </c>
      <c r="J1344" s="352" t="s">
        <v>1007</v>
      </c>
      <c r="K1344" s="352">
        <v>2133</v>
      </c>
      <c r="L1344" s="352" t="s">
        <v>1881</v>
      </c>
      <c r="M1344" s="352" t="s">
        <v>2189</v>
      </c>
      <c r="N1344" s="352" t="s">
        <v>2048</v>
      </c>
      <c r="O1344" s="352">
        <v>1</v>
      </c>
      <c r="P1344" s="352" t="s">
        <v>2065</v>
      </c>
      <c r="Q1344" s="352" t="s">
        <v>2066</v>
      </c>
      <c r="R1344" s="251">
        <v>0</v>
      </c>
      <c r="S1344" s="251" t="s">
        <v>2015</v>
      </c>
      <c r="T1344" s="251" t="s">
        <v>2054</v>
      </c>
      <c r="U1344" s="251" t="s">
        <v>1935</v>
      </c>
      <c r="V1344" s="251" t="s">
        <v>1936</v>
      </c>
      <c r="X1344" s="251">
        <v>0</v>
      </c>
    </row>
    <row r="1345" spans="2:24" x14ac:dyDescent="0.2">
      <c r="B1345" s="352" t="s">
        <v>870</v>
      </c>
      <c r="C1345" s="352" t="s">
        <v>744</v>
      </c>
      <c r="F1345" s="352" t="s">
        <v>1998</v>
      </c>
      <c r="G1345" s="352" t="s">
        <v>2116</v>
      </c>
      <c r="H1345" s="352" t="s">
        <v>1630</v>
      </c>
      <c r="I1345" s="352" t="s">
        <v>1006</v>
      </c>
      <c r="J1345" s="352" t="s">
        <v>1007</v>
      </c>
      <c r="K1345" s="352">
        <v>2141</v>
      </c>
      <c r="L1345" s="352" t="s">
        <v>1882</v>
      </c>
      <c r="M1345" s="352" t="s">
        <v>2190</v>
      </c>
      <c r="N1345" s="352" t="s">
        <v>2048</v>
      </c>
      <c r="O1345" s="352">
        <v>1</v>
      </c>
      <c r="P1345" s="352" t="s">
        <v>2065</v>
      </c>
      <c r="Q1345" s="352" t="s">
        <v>2066</v>
      </c>
      <c r="R1345" s="251">
        <v>0</v>
      </c>
      <c r="S1345" s="251" t="s">
        <v>2015</v>
      </c>
      <c r="T1345" s="251" t="s">
        <v>2054</v>
      </c>
      <c r="U1345" s="251" t="s">
        <v>1935</v>
      </c>
      <c r="V1345" s="251" t="s">
        <v>1936</v>
      </c>
      <c r="X1345" s="251">
        <v>0</v>
      </c>
    </row>
    <row r="1346" spans="2:24" x14ac:dyDescent="0.2">
      <c r="B1346" s="352" t="s">
        <v>870</v>
      </c>
      <c r="C1346" s="352" t="s">
        <v>744</v>
      </c>
      <c r="F1346" s="352" t="s">
        <v>1998</v>
      </c>
      <c r="G1346" s="352" t="s">
        <v>2116</v>
      </c>
      <c r="H1346" s="352" t="s">
        <v>1630</v>
      </c>
      <c r="I1346" s="352" t="s">
        <v>1006</v>
      </c>
      <c r="J1346" s="352" t="s">
        <v>1007</v>
      </c>
      <c r="K1346" s="352">
        <v>2221</v>
      </c>
      <c r="L1346" s="352" t="s">
        <v>1884</v>
      </c>
      <c r="M1346" s="352" t="s">
        <v>2191</v>
      </c>
      <c r="N1346" s="352" t="s">
        <v>2048</v>
      </c>
      <c r="O1346" s="352">
        <v>1</v>
      </c>
      <c r="P1346" s="352" t="s">
        <v>2065</v>
      </c>
      <c r="Q1346" s="352" t="s">
        <v>2066</v>
      </c>
      <c r="R1346" s="251">
        <v>0</v>
      </c>
      <c r="S1346" s="251" t="s">
        <v>2015</v>
      </c>
      <c r="T1346" s="251" t="s">
        <v>2054</v>
      </c>
      <c r="U1346" s="251" t="s">
        <v>1935</v>
      </c>
      <c r="V1346" s="251" t="s">
        <v>1936</v>
      </c>
      <c r="X1346" s="251">
        <v>0</v>
      </c>
    </row>
    <row r="1347" spans="2:24" x14ac:dyDescent="0.2">
      <c r="B1347" s="352" t="s">
        <v>870</v>
      </c>
      <c r="C1347" s="352" t="s">
        <v>744</v>
      </c>
      <c r="F1347" s="352" t="s">
        <v>1998</v>
      </c>
      <c r="G1347" s="352" t="s">
        <v>2116</v>
      </c>
      <c r="H1347" s="352" t="s">
        <v>1631</v>
      </c>
      <c r="I1347" s="352" t="s">
        <v>1008</v>
      </c>
      <c r="J1347" s="352" t="s">
        <v>1009</v>
      </c>
      <c r="K1347" s="352">
        <v>2223</v>
      </c>
      <c r="L1347" s="352" t="s">
        <v>1886</v>
      </c>
      <c r="M1347" s="352" t="s">
        <v>2192</v>
      </c>
      <c r="N1347" s="352" t="s">
        <v>2048</v>
      </c>
      <c r="O1347" s="352">
        <v>2</v>
      </c>
      <c r="P1347" s="352" t="s">
        <v>2071</v>
      </c>
      <c r="Q1347" s="352" t="s">
        <v>2072</v>
      </c>
      <c r="R1347" s="251">
        <v>0</v>
      </c>
      <c r="S1347" s="251" t="s">
        <v>2193</v>
      </c>
      <c r="T1347" s="251" t="s">
        <v>2054</v>
      </c>
      <c r="U1347" s="251" t="s">
        <v>1937</v>
      </c>
      <c r="V1347" s="251" t="s">
        <v>1938</v>
      </c>
      <c r="X1347" s="251">
        <v>0</v>
      </c>
    </row>
    <row r="1348" spans="2:24" x14ac:dyDescent="0.2">
      <c r="B1348" s="352" t="s">
        <v>870</v>
      </c>
      <c r="C1348" s="352" t="s">
        <v>744</v>
      </c>
      <c r="F1348" s="352" t="s">
        <v>1998</v>
      </c>
      <c r="G1348" s="352" t="s">
        <v>2116</v>
      </c>
      <c r="H1348" s="352" t="s">
        <v>1632</v>
      </c>
      <c r="I1348" s="352" t="s">
        <v>1010</v>
      </c>
      <c r="J1348" s="352" t="s">
        <v>1011</v>
      </c>
      <c r="K1348" s="352">
        <v>2222</v>
      </c>
      <c r="L1348" s="352" t="s">
        <v>1885</v>
      </c>
      <c r="M1348" s="352" t="s">
        <v>2194</v>
      </c>
      <c r="N1348" s="352" t="s">
        <v>2048</v>
      </c>
      <c r="O1348" s="352">
        <v>2</v>
      </c>
      <c r="P1348" s="352" t="s">
        <v>2071</v>
      </c>
      <c r="Q1348" s="352" t="s">
        <v>2072</v>
      </c>
      <c r="R1348" s="251">
        <v>0</v>
      </c>
      <c r="S1348" s="251" t="s">
        <v>2193</v>
      </c>
      <c r="T1348" s="251" t="s">
        <v>2054</v>
      </c>
      <c r="U1348" s="251" t="s">
        <v>1939</v>
      </c>
      <c r="V1348" s="251" t="s">
        <v>1940</v>
      </c>
      <c r="X1348" s="251">
        <v>0</v>
      </c>
    </row>
    <row r="1349" spans="2:24" x14ac:dyDescent="0.2">
      <c r="B1349" s="352" t="s">
        <v>870</v>
      </c>
      <c r="C1349" s="352" t="s">
        <v>744</v>
      </c>
      <c r="F1349" s="352" t="s">
        <v>1998</v>
      </c>
      <c r="G1349" s="352" t="s">
        <v>2116</v>
      </c>
      <c r="H1349" s="352" t="s">
        <v>1633</v>
      </c>
      <c r="I1349" s="352" t="s">
        <v>1012</v>
      </c>
      <c r="J1349" s="352" t="s">
        <v>1013</v>
      </c>
      <c r="K1349" s="352">
        <v>2222</v>
      </c>
      <c r="L1349" s="352" t="s">
        <v>1885</v>
      </c>
      <c r="M1349" s="352" t="s">
        <v>2195</v>
      </c>
      <c r="N1349" s="352" t="s">
        <v>2048</v>
      </c>
      <c r="O1349" s="352">
        <v>2</v>
      </c>
      <c r="P1349" s="352" t="s">
        <v>2071</v>
      </c>
      <c r="Q1349" s="352" t="s">
        <v>2072</v>
      </c>
      <c r="R1349" s="251">
        <v>0</v>
      </c>
      <c r="S1349" s="251" t="s">
        <v>2193</v>
      </c>
      <c r="T1349" s="251" t="s">
        <v>2054</v>
      </c>
      <c r="U1349" s="251" t="s">
        <v>1939</v>
      </c>
      <c r="V1349" s="251" t="s">
        <v>1940</v>
      </c>
      <c r="X1349" s="251">
        <v>0</v>
      </c>
    </row>
    <row r="1350" spans="2:24" x14ac:dyDescent="0.2">
      <c r="B1350" s="352" t="s">
        <v>870</v>
      </c>
      <c r="C1350" s="352" t="s">
        <v>744</v>
      </c>
      <c r="F1350" s="352" t="s">
        <v>1998</v>
      </c>
      <c r="G1350" s="352" t="s">
        <v>2116</v>
      </c>
      <c r="H1350" s="352" t="s">
        <v>1634</v>
      </c>
      <c r="I1350" s="352" t="s">
        <v>1014</v>
      </c>
      <c r="J1350" s="352" t="s">
        <v>1893</v>
      </c>
      <c r="K1350" s="352">
        <v>2131</v>
      </c>
      <c r="L1350" s="352" t="s">
        <v>1879</v>
      </c>
      <c r="M1350" s="352" t="s">
        <v>2196</v>
      </c>
      <c r="N1350" s="352" t="s">
        <v>2048</v>
      </c>
      <c r="O1350" s="352">
        <v>8</v>
      </c>
      <c r="P1350" s="352" t="s">
        <v>2067</v>
      </c>
      <c r="Q1350" s="352" t="s">
        <v>2068</v>
      </c>
      <c r="R1350" s="251">
        <v>0</v>
      </c>
      <c r="S1350" s="251" t="s">
        <v>2015</v>
      </c>
      <c r="T1350" s="251" t="s">
        <v>2054</v>
      </c>
      <c r="U1350" s="251" t="s">
        <v>1929</v>
      </c>
      <c r="V1350" s="251" t="s">
        <v>1930</v>
      </c>
      <c r="X1350" s="251">
        <v>0</v>
      </c>
    </row>
    <row r="1351" spans="2:24" x14ac:dyDescent="0.2">
      <c r="B1351" s="352" t="s">
        <v>870</v>
      </c>
      <c r="C1351" s="352" t="s">
        <v>744</v>
      </c>
      <c r="F1351" s="352" t="s">
        <v>1998</v>
      </c>
      <c r="G1351" s="352" t="s">
        <v>2116</v>
      </c>
      <c r="H1351" s="352" t="s">
        <v>1634</v>
      </c>
      <c r="I1351" s="352" t="s">
        <v>1014</v>
      </c>
      <c r="J1351" s="352" t="s">
        <v>1893</v>
      </c>
      <c r="K1351" s="352">
        <v>2132</v>
      </c>
      <c r="L1351" s="352" t="s">
        <v>1880</v>
      </c>
      <c r="M1351" s="352" t="s">
        <v>2197</v>
      </c>
      <c r="N1351" s="352" t="s">
        <v>2048</v>
      </c>
      <c r="O1351" s="352">
        <v>8</v>
      </c>
      <c r="P1351" s="352" t="s">
        <v>2067</v>
      </c>
      <c r="Q1351" s="352" t="s">
        <v>2068</v>
      </c>
      <c r="R1351" s="251">
        <v>0</v>
      </c>
      <c r="S1351" s="251" t="s">
        <v>2015</v>
      </c>
      <c r="T1351" s="251" t="s">
        <v>2054</v>
      </c>
      <c r="U1351" s="251" t="s">
        <v>1931</v>
      </c>
      <c r="V1351" s="251" t="s">
        <v>1932</v>
      </c>
      <c r="X1351" s="251">
        <v>0</v>
      </c>
    </row>
    <row r="1352" spans="2:24" x14ac:dyDescent="0.2">
      <c r="B1352" s="352" t="s">
        <v>870</v>
      </c>
      <c r="C1352" s="352" t="s">
        <v>744</v>
      </c>
      <c r="F1352" s="352" t="s">
        <v>1998</v>
      </c>
      <c r="G1352" s="352" t="s">
        <v>2116</v>
      </c>
      <c r="H1352" s="352" t="s">
        <v>1634</v>
      </c>
      <c r="I1352" s="352" t="s">
        <v>1014</v>
      </c>
      <c r="J1352" s="352" t="s">
        <v>1893</v>
      </c>
      <c r="K1352" s="352">
        <v>2133</v>
      </c>
      <c r="L1352" s="352" t="s">
        <v>1881</v>
      </c>
      <c r="M1352" s="352" t="s">
        <v>2198</v>
      </c>
      <c r="N1352" s="352" t="s">
        <v>2048</v>
      </c>
      <c r="O1352" s="352">
        <v>8</v>
      </c>
      <c r="P1352" s="352" t="s">
        <v>2067</v>
      </c>
      <c r="Q1352" s="352" t="s">
        <v>2068</v>
      </c>
      <c r="R1352" s="251">
        <v>0</v>
      </c>
      <c r="S1352" s="251" t="s">
        <v>2015</v>
      </c>
      <c r="T1352" s="251" t="s">
        <v>2054</v>
      </c>
      <c r="U1352" s="251" t="s">
        <v>1935</v>
      </c>
      <c r="V1352" s="251" t="s">
        <v>1936</v>
      </c>
      <c r="X1352" s="251">
        <v>0</v>
      </c>
    </row>
    <row r="1353" spans="2:24" x14ac:dyDescent="0.2">
      <c r="B1353" s="352" t="s">
        <v>870</v>
      </c>
      <c r="C1353" s="352" t="s">
        <v>744</v>
      </c>
      <c r="F1353" s="352" t="s">
        <v>1998</v>
      </c>
      <c r="G1353" s="352" t="s">
        <v>2116</v>
      </c>
      <c r="H1353" s="352" t="s">
        <v>1634</v>
      </c>
      <c r="I1353" s="352" t="s">
        <v>1014</v>
      </c>
      <c r="J1353" s="352" t="s">
        <v>1893</v>
      </c>
      <c r="K1353" s="352">
        <v>2134</v>
      </c>
      <c r="L1353" s="352" t="s">
        <v>775</v>
      </c>
      <c r="M1353" s="352" t="s">
        <v>2199</v>
      </c>
      <c r="N1353" s="352" t="s">
        <v>2048</v>
      </c>
      <c r="O1353" s="352">
        <v>8</v>
      </c>
      <c r="P1353" s="352" t="s">
        <v>2067</v>
      </c>
      <c r="Q1353" s="352" t="s">
        <v>2068</v>
      </c>
      <c r="R1353" s="251">
        <v>0</v>
      </c>
      <c r="S1353" s="251" t="s">
        <v>2015</v>
      </c>
      <c r="T1353" s="251" t="s">
        <v>2054</v>
      </c>
      <c r="U1353" s="251">
        <v>0</v>
      </c>
      <c r="V1353" s="251" t="s">
        <v>2153</v>
      </c>
      <c r="X1353" s="251">
        <v>0</v>
      </c>
    </row>
    <row r="1354" spans="2:24" x14ac:dyDescent="0.2">
      <c r="B1354" s="352" t="s">
        <v>870</v>
      </c>
      <c r="C1354" s="352" t="s">
        <v>744</v>
      </c>
      <c r="F1354" s="352" t="s">
        <v>1998</v>
      </c>
      <c r="G1354" s="352" t="s">
        <v>2116</v>
      </c>
      <c r="H1354" s="352" t="s">
        <v>1634</v>
      </c>
      <c r="I1354" s="352" t="s">
        <v>1014</v>
      </c>
      <c r="J1354" s="352" t="s">
        <v>1893</v>
      </c>
      <c r="K1354" s="352">
        <v>2141</v>
      </c>
      <c r="L1354" s="352" t="s">
        <v>1882</v>
      </c>
      <c r="M1354" s="352" t="s">
        <v>2200</v>
      </c>
      <c r="N1354" s="352" t="s">
        <v>2048</v>
      </c>
      <c r="O1354" s="352">
        <v>8</v>
      </c>
      <c r="P1354" s="352" t="s">
        <v>2067</v>
      </c>
      <c r="Q1354" s="352" t="s">
        <v>2068</v>
      </c>
      <c r="R1354" s="251">
        <v>0</v>
      </c>
      <c r="S1354" s="251" t="s">
        <v>2015</v>
      </c>
      <c r="T1354" s="251" t="s">
        <v>2054</v>
      </c>
      <c r="U1354" s="251" t="s">
        <v>1935</v>
      </c>
      <c r="V1354" s="251" t="s">
        <v>1936</v>
      </c>
      <c r="X1354" s="251">
        <v>0</v>
      </c>
    </row>
    <row r="1355" spans="2:24" x14ac:dyDescent="0.2">
      <c r="B1355" s="352" t="s">
        <v>870</v>
      </c>
      <c r="C1355" s="352" t="s">
        <v>744</v>
      </c>
      <c r="F1355" s="352" t="s">
        <v>1998</v>
      </c>
      <c r="G1355" s="352" t="s">
        <v>2116</v>
      </c>
      <c r="H1355" s="352" t="s">
        <v>1634</v>
      </c>
      <c r="I1355" s="352" t="s">
        <v>1014</v>
      </c>
      <c r="J1355" s="352" t="s">
        <v>1893</v>
      </c>
      <c r="K1355" s="352">
        <v>2211</v>
      </c>
      <c r="L1355" s="352" t="s">
        <v>1883</v>
      </c>
      <c r="M1355" s="352" t="s">
        <v>2201</v>
      </c>
      <c r="N1355" s="352" t="s">
        <v>2048</v>
      </c>
      <c r="O1355" s="352">
        <v>8</v>
      </c>
      <c r="P1355" s="352" t="s">
        <v>2067</v>
      </c>
      <c r="Q1355" s="352" t="s">
        <v>2068</v>
      </c>
      <c r="R1355" s="251">
        <v>0</v>
      </c>
      <c r="S1355" s="251" t="s">
        <v>2015</v>
      </c>
      <c r="T1355" s="251" t="s">
        <v>2054</v>
      </c>
      <c r="U1355" s="251" t="s">
        <v>1929</v>
      </c>
      <c r="V1355" s="251" t="s">
        <v>1930</v>
      </c>
      <c r="X1355" s="251">
        <v>0</v>
      </c>
    </row>
    <row r="1356" spans="2:24" x14ac:dyDescent="0.2">
      <c r="B1356" s="352" t="s">
        <v>870</v>
      </c>
      <c r="C1356" s="352" t="s">
        <v>744</v>
      </c>
      <c r="F1356" s="352" t="s">
        <v>1998</v>
      </c>
      <c r="G1356" s="352" t="s">
        <v>2116</v>
      </c>
      <c r="H1356" s="352" t="s">
        <v>1634</v>
      </c>
      <c r="I1356" s="352" t="s">
        <v>1014</v>
      </c>
      <c r="J1356" s="352" t="s">
        <v>1893</v>
      </c>
      <c r="K1356" s="352">
        <v>2221</v>
      </c>
      <c r="L1356" s="352" t="s">
        <v>1884</v>
      </c>
      <c r="M1356" s="352" t="s">
        <v>2202</v>
      </c>
      <c r="N1356" s="352" t="s">
        <v>2048</v>
      </c>
      <c r="O1356" s="352">
        <v>8</v>
      </c>
      <c r="P1356" s="352" t="s">
        <v>2067</v>
      </c>
      <c r="Q1356" s="352" t="s">
        <v>2068</v>
      </c>
      <c r="R1356" s="251">
        <v>0</v>
      </c>
      <c r="S1356" s="251" t="s">
        <v>2015</v>
      </c>
      <c r="T1356" s="251" t="s">
        <v>2054</v>
      </c>
      <c r="U1356" s="251" t="s">
        <v>1935</v>
      </c>
      <c r="V1356" s="251" t="s">
        <v>1936</v>
      </c>
      <c r="X1356" s="251">
        <v>0</v>
      </c>
    </row>
    <row r="1357" spans="2:24" x14ac:dyDescent="0.2">
      <c r="B1357" s="352" t="s">
        <v>870</v>
      </c>
      <c r="C1357" s="352" t="s">
        <v>744</v>
      </c>
      <c r="F1357" s="352" t="s">
        <v>1998</v>
      </c>
      <c r="G1357" s="352" t="s">
        <v>2116</v>
      </c>
      <c r="H1357" s="352" t="s">
        <v>1635</v>
      </c>
      <c r="I1357" s="352" t="s">
        <v>1015</v>
      </c>
      <c r="J1357" s="352" t="s">
        <v>1016</v>
      </c>
      <c r="K1357" s="352">
        <v>3111</v>
      </c>
      <c r="L1357" s="352" t="s">
        <v>763</v>
      </c>
      <c r="M1357" s="352" t="s">
        <v>2203</v>
      </c>
      <c r="N1357" s="352" t="s">
        <v>2048</v>
      </c>
      <c r="O1357" s="352">
        <v>1</v>
      </c>
      <c r="P1357" s="352" t="s">
        <v>2065</v>
      </c>
      <c r="Q1357" s="352" t="s">
        <v>2066</v>
      </c>
      <c r="R1357" s="251">
        <v>0</v>
      </c>
      <c r="S1357" s="251"/>
      <c r="T1357" s="251" t="s">
        <v>2054</v>
      </c>
      <c r="U1357" s="251" t="s">
        <v>1945</v>
      </c>
      <c r="V1357" s="251" t="s">
        <v>709</v>
      </c>
      <c r="X1357" s="251">
        <v>0</v>
      </c>
    </row>
    <row r="1358" spans="2:24" x14ac:dyDescent="0.2">
      <c r="B1358" s="352" t="s">
        <v>870</v>
      </c>
      <c r="C1358" s="352" t="s">
        <v>744</v>
      </c>
      <c r="F1358" s="352" t="s">
        <v>1998</v>
      </c>
      <c r="G1358" s="352" t="s">
        <v>2116</v>
      </c>
      <c r="H1358" s="352" t="s">
        <v>1635</v>
      </c>
      <c r="I1358" s="352" t="s">
        <v>1015</v>
      </c>
      <c r="J1358" s="352" t="s">
        <v>1016</v>
      </c>
      <c r="K1358" s="352">
        <v>3121</v>
      </c>
      <c r="L1358" s="352" t="s">
        <v>766</v>
      </c>
      <c r="M1358" s="352" t="s">
        <v>2204</v>
      </c>
      <c r="N1358" s="352" t="s">
        <v>2048</v>
      </c>
      <c r="O1358" s="352">
        <v>1</v>
      </c>
      <c r="P1358" s="352" t="s">
        <v>2065</v>
      </c>
      <c r="Q1358" s="352" t="s">
        <v>2066</v>
      </c>
      <c r="R1358" s="251">
        <v>0</v>
      </c>
      <c r="S1358" s="251"/>
      <c r="T1358" s="251" t="s">
        <v>2054</v>
      </c>
      <c r="U1358" s="251" t="s">
        <v>1945</v>
      </c>
      <c r="V1358" s="251" t="s">
        <v>709</v>
      </c>
      <c r="X1358" s="251">
        <v>0</v>
      </c>
    </row>
    <row r="1359" spans="2:24" x14ac:dyDescent="0.2">
      <c r="B1359" s="352" t="s">
        <v>870</v>
      </c>
      <c r="C1359" s="352" t="s">
        <v>744</v>
      </c>
      <c r="F1359" s="352" t="s">
        <v>1998</v>
      </c>
      <c r="G1359" s="352" t="s">
        <v>2116</v>
      </c>
      <c r="H1359" s="352" t="s">
        <v>1636</v>
      </c>
      <c r="I1359" s="352" t="s">
        <v>1017</v>
      </c>
      <c r="J1359" s="352" t="s">
        <v>1018</v>
      </c>
      <c r="K1359" s="352">
        <v>4111</v>
      </c>
      <c r="L1359" s="352" t="s">
        <v>770</v>
      </c>
      <c r="M1359" s="352" t="s">
        <v>2205</v>
      </c>
      <c r="N1359" s="352" t="s">
        <v>2048</v>
      </c>
      <c r="O1359" s="352">
        <v>11</v>
      </c>
      <c r="P1359" s="352" t="s">
        <v>2063</v>
      </c>
      <c r="Q1359" s="352" t="s">
        <v>2064</v>
      </c>
      <c r="R1359" s="251">
        <v>0</v>
      </c>
      <c r="S1359" s="251" t="s">
        <v>2015</v>
      </c>
      <c r="T1359" s="251" t="s">
        <v>2054</v>
      </c>
      <c r="U1359" s="251" t="s">
        <v>1946</v>
      </c>
      <c r="V1359" s="251" t="s">
        <v>1947</v>
      </c>
      <c r="X1359" s="251">
        <v>0</v>
      </c>
    </row>
    <row r="1360" spans="2:24" x14ac:dyDescent="0.2">
      <c r="B1360" s="352" t="s">
        <v>870</v>
      </c>
      <c r="C1360" s="352" t="s">
        <v>744</v>
      </c>
      <c r="F1360" s="352" t="s">
        <v>1998</v>
      </c>
      <c r="G1360" s="352" t="s">
        <v>2116</v>
      </c>
      <c r="H1360" s="352" t="s">
        <v>1636</v>
      </c>
      <c r="I1360" s="352" t="s">
        <v>1017</v>
      </c>
      <c r="J1360" s="352" t="s">
        <v>1018</v>
      </c>
      <c r="K1360" s="352">
        <v>4121</v>
      </c>
      <c r="L1360" s="352" t="s">
        <v>772</v>
      </c>
      <c r="M1360" s="352" t="s">
        <v>2206</v>
      </c>
      <c r="N1360" s="352" t="s">
        <v>2048</v>
      </c>
      <c r="O1360" s="352">
        <v>11</v>
      </c>
      <c r="P1360" s="352" t="s">
        <v>2063</v>
      </c>
      <c r="Q1360" s="352" t="s">
        <v>2064</v>
      </c>
      <c r="R1360" s="251">
        <v>0</v>
      </c>
      <c r="S1360" s="251" t="s">
        <v>2015</v>
      </c>
      <c r="T1360" s="251" t="s">
        <v>2054</v>
      </c>
      <c r="U1360" s="251" t="s">
        <v>1946</v>
      </c>
      <c r="V1360" s="251" t="s">
        <v>1947</v>
      </c>
      <c r="X1360" s="251">
        <v>0</v>
      </c>
    </row>
    <row r="1361" spans="2:24" x14ac:dyDescent="0.2">
      <c r="B1361" s="352" t="s">
        <v>870</v>
      </c>
      <c r="C1361" s="352" t="s">
        <v>744</v>
      </c>
      <c r="F1361" s="352" t="s">
        <v>1998</v>
      </c>
      <c r="G1361" s="352" t="s">
        <v>2116</v>
      </c>
      <c r="H1361" s="352" t="s">
        <v>1637</v>
      </c>
      <c r="I1361" s="352" t="s">
        <v>1019</v>
      </c>
      <c r="J1361" s="352" t="s">
        <v>1020</v>
      </c>
      <c r="K1361" s="352">
        <v>4231</v>
      </c>
      <c r="L1361" s="352" t="s">
        <v>774</v>
      </c>
      <c r="M1361" s="352" t="s">
        <v>2207</v>
      </c>
      <c r="N1361" s="352" t="s">
        <v>2048</v>
      </c>
      <c r="O1361" s="352">
        <v>1</v>
      </c>
      <c r="P1361" s="352" t="s">
        <v>2065</v>
      </c>
      <c r="Q1361" s="352" t="s">
        <v>2066</v>
      </c>
      <c r="R1361" s="251">
        <v>0</v>
      </c>
      <c r="S1361" s="251" t="s">
        <v>2015</v>
      </c>
      <c r="T1361" s="251" t="s">
        <v>2054</v>
      </c>
      <c r="U1361" s="251" t="s">
        <v>1948</v>
      </c>
      <c r="V1361" s="251" t="s">
        <v>1949</v>
      </c>
      <c r="X1361" s="251">
        <v>0</v>
      </c>
    </row>
    <row r="1362" spans="2:24" x14ac:dyDescent="0.2">
      <c r="B1362" s="352" t="s">
        <v>870</v>
      </c>
      <c r="C1362" s="352" t="s">
        <v>744</v>
      </c>
      <c r="F1362" s="352" t="s">
        <v>1998</v>
      </c>
      <c r="G1362" s="352" t="s">
        <v>2116</v>
      </c>
      <c r="H1362" s="352" t="s">
        <v>1637</v>
      </c>
      <c r="I1362" s="352" t="s">
        <v>1019</v>
      </c>
      <c r="J1362" s="352" t="s">
        <v>1020</v>
      </c>
      <c r="K1362" s="352">
        <v>4241</v>
      </c>
      <c r="L1362" s="352" t="s">
        <v>777</v>
      </c>
      <c r="M1362" s="352" t="s">
        <v>2208</v>
      </c>
      <c r="N1362" s="352" t="s">
        <v>2048</v>
      </c>
      <c r="O1362" s="352">
        <v>1</v>
      </c>
      <c r="P1362" s="352" t="s">
        <v>2065</v>
      </c>
      <c r="Q1362" s="352" t="s">
        <v>2066</v>
      </c>
      <c r="R1362" s="251">
        <v>0</v>
      </c>
      <c r="S1362" s="251" t="s">
        <v>2015</v>
      </c>
      <c r="T1362" s="251" t="s">
        <v>2054</v>
      </c>
      <c r="U1362" s="251" t="s">
        <v>1950</v>
      </c>
      <c r="V1362" s="251" t="s">
        <v>1951</v>
      </c>
      <c r="X1362" s="251">
        <v>0</v>
      </c>
    </row>
    <row r="1363" spans="2:24" x14ac:dyDescent="0.2">
      <c r="B1363" s="352" t="s">
        <v>870</v>
      </c>
      <c r="C1363" s="352" t="s">
        <v>744</v>
      </c>
      <c r="F1363" s="352" t="s">
        <v>1998</v>
      </c>
      <c r="G1363" s="352" t="s">
        <v>2116</v>
      </c>
      <c r="H1363" s="352" t="s">
        <v>1637</v>
      </c>
      <c r="I1363" s="352" t="s">
        <v>1019</v>
      </c>
      <c r="J1363" s="352" t="s">
        <v>1020</v>
      </c>
      <c r="K1363" s="352">
        <v>4311</v>
      </c>
      <c r="L1363" s="352" t="s">
        <v>779</v>
      </c>
      <c r="M1363" s="352" t="s">
        <v>2209</v>
      </c>
      <c r="N1363" s="352" t="s">
        <v>2048</v>
      </c>
      <c r="O1363" s="352">
        <v>1</v>
      </c>
      <c r="P1363" s="352" t="s">
        <v>2065</v>
      </c>
      <c r="Q1363" s="352" t="s">
        <v>2066</v>
      </c>
      <c r="R1363" s="251">
        <v>0</v>
      </c>
      <c r="S1363" s="251" t="s">
        <v>2015</v>
      </c>
      <c r="T1363" s="251" t="s">
        <v>2054</v>
      </c>
      <c r="U1363" s="251" t="s">
        <v>1952</v>
      </c>
      <c r="V1363" s="251" t="s">
        <v>1953</v>
      </c>
      <c r="X1363" s="251">
        <v>0</v>
      </c>
    </row>
    <row r="1364" spans="2:24" x14ac:dyDescent="0.2">
      <c r="B1364" s="352" t="s">
        <v>870</v>
      </c>
      <c r="C1364" s="352" t="s">
        <v>744</v>
      </c>
      <c r="F1364" s="352" t="s">
        <v>1998</v>
      </c>
      <c r="G1364" s="352" t="s">
        <v>2116</v>
      </c>
      <c r="H1364" s="352" t="s">
        <v>1638</v>
      </c>
      <c r="I1364" s="352" t="s">
        <v>1021</v>
      </c>
      <c r="J1364" s="352" t="s">
        <v>751</v>
      </c>
      <c r="K1364" s="352">
        <v>4231</v>
      </c>
      <c r="L1364" s="352" t="s">
        <v>774</v>
      </c>
      <c r="M1364" s="352" t="s">
        <v>2210</v>
      </c>
      <c r="N1364" s="352" t="s">
        <v>2048</v>
      </c>
      <c r="O1364" s="352">
        <v>20</v>
      </c>
      <c r="P1364" s="352" t="s">
        <v>2073</v>
      </c>
      <c r="Q1364" s="352" t="s">
        <v>2074</v>
      </c>
      <c r="R1364" s="251">
        <v>0</v>
      </c>
      <c r="S1364" s="251" t="s">
        <v>2015</v>
      </c>
      <c r="T1364" s="251" t="s">
        <v>2054</v>
      </c>
      <c r="U1364" s="251" t="s">
        <v>1948</v>
      </c>
      <c r="V1364" s="251" t="s">
        <v>1949</v>
      </c>
      <c r="X1364" s="251">
        <v>0</v>
      </c>
    </row>
    <row r="1365" spans="2:24" x14ac:dyDescent="0.2">
      <c r="B1365" s="352" t="s">
        <v>870</v>
      </c>
      <c r="C1365" s="352" t="s">
        <v>744</v>
      </c>
      <c r="F1365" s="352" t="s">
        <v>1998</v>
      </c>
      <c r="G1365" s="352" t="s">
        <v>2116</v>
      </c>
      <c r="H1365" s="352" t="s">
        <v>1638</v>
      </c>
      <c r="I1365" s="352" t="s">
        <v>1021</v>
      </c>
      <c r="J1365" s="352" t="s">
        <v>751</v>
      </c>
      <c r="K1365" s="352">
        <v>4241</v>
      </c>
      <c r="L1365" s="352" t="s">
        <v>777</v>
      </c>
      <c r="M1365" s="352" t="s">
        <v>2211</v>
      </c>
      <c r="N1365" s="352" t="s">
        <v>2048</v>
      </c>
      <c r="O1365" s="352">
        <v>20</v>
      </c>
      <c r="P1365" s="352" t="s">
        <v>2073</v>
      </c>
      <c r="Q1365" s="352" t="s">
        <v>2074</v>
      </c>
      <c r="R1365" s="251">
        <v>0</v>
      </c>
      <c r="S1365" s="251" t="s">
        <v>2015</v>
      </c>
      <c r="T1365" s="251" t="s">
        <v>2054</v>
      </c>
      <c r="U1365" s="251" t="s">
        <v>1950</v>
      </c>
      <c r="V1365" s="251" t="s">
        <v>1951</v>
      </c>
      <c r="X1365" s="251">
        <v>0</v>
      </c>
    </row>
    <row r="1366" spans="2:24" x14ac:dyDescent="0.2">
      <c r="B1366" s="352" t="s">
        <v>870</v>
      </c>
      <c r="C1366" s="352" t="s">
        <v>744</v>
      </c>
      <c r="F1366" s="352" t="s">
        <v>1998</v>
      </c>
      <c r="G1366" s="352" t="s">
        <v>2116</v>
      </c>
      <c r="H1366" s="352" t="s">
        <v>1638</v>
      </c>
      <c r="I1366" s="352" t="s">
        <v>1021</v>
      </c>
      <c r="J1366" s="352" t="s">
        <v>751</v>
      </c>
      <c r="K1366" s="352">
        <v>4311</v>
      </c>
      <c r="L1366" s="352" t="s">
        <v>779</v>
      </c>
      <c r="M1366" s="352" t="s">
        <v>2212</v>
      </c>
      <c r="N1366" s="352" t="s">
        <v>2048</v>
      </c>
      <c r="O1366" s="352">
        <v>20</v>
      </c>
      <c r="P1366" s="352" t="s">
        <v>2073</v>
      </c>
      <c r="Q1366" s="352" t="s">
        <v>2074</v>
      </c>
      <c r="R1366" s="251">
        <v>0</v>
      </c>
      <c r="S1366" s="251" t="s">
        <v>2015</v>
      </c>
      <c r="T1366" s="251" t="s">
        <v>2054</v>
      </c>
      <c r="U1366" s="251" t="s">
        <v>1952</v>
      </c>
      <c r="V1366" s="251" t="s">
        <v>1953</v>
      </c>
      <c r="X1366" s="251">
        <v>0</v>
      </c>
    </row>
    <row r="1367" spans="2:24" x14ac:dyDescent="0.2">
      <c r="B1367" s="352" t="s">
        <v>870</v>
      </c>
      <c r="C1367" s="352" t="s">
        <v>754</v>
      </c>
      <c r="F1367" s="352" t="s">
        <v>1999</v>
      </c>
      <c r="G1367" s="352" t="s">
        <v>2122</v>
      </c>
      <c r="H1367" s="352" t="s">
        <v>1643</v>
      </c>
      <c r="I1367" s="352" t="s">
        <v>969</v>
      </c>
      <c r="J1367" s="352" t="s">
        <v>970</v>
      </c>
      <c r="K1367" s="352">
        <v>1111</v>
      </c>
      <c r="L1367" s="352" t="s">
        <v>699</v>
      </c>
      <c r="M1367" s="352" t="s">
        <v>2147</v>
      </c>
      <c r="N1367" s="352" t="s">
        <v>2048</v>
      </c>
      <c r="O1367" s="352">
        <v>6</v>
      </c>
      <c r="P1367" s="352" t="s">
        <v>2049</v>
      </c>
      <c r="Q1367" s="352" t="s">
        <v>2050</v>
      </c>
      <c r="R1367" s="251">
        <v>18809.189368531246</v>
      </c>
      <c r="S1367" s="251" t="s">
        <v>2015</v>
      </c>
      <c r="T1367" s="251" t="s">
        <v>2016</v>
      </c>
      <c r="U1367" s="251" t="s">
        <v>1914</v>
      </c>
      <c r="V1367" s="251" t="s">
        <v>1915</v>
      </c>
      <c r="X1367" s="251">
        <v>0</v>
      </c>
    </row>
    <row r="1368" spans="2:24" x14ac:dyDescent="0.2">
      <c r="B1368" s="352" t="s">
        <v>870</v>
      </c>
      <c r="C1368" s="352" t="s">
        <v>754</v>
      </c>
      <c r="F1368" s="352" t="s">
        <v>1999</v>
      </c>
      <c r="G1368" s="352" t="s">
        <v>2122</v>
      </c>
      <c r="H1368" s="352" t="s">
        <v>1643</v>
      </c>
      <c r="I1368" s="352" t="s">
        <v>969</v>
      </c>
      <c r="J1368" s="352" t="s">
        <v>970</v>
      </c>
      <c r="K1368" s="352">
        <v>1231</v>
      </c>
      <c r="L1368" s="352" t="s">
        <v>726</v>
      </c>
      <c r="M1368" s="352" t="s">
        <v>2148</v>
      </c>
      <c r="N1368" s="352" t="s">
        <v>2048</v>
      </c>
      <c r="O1368" s="352">
        <v>6</v>
      </c>
      <c r="P1368" s="352" t="s">
        <v>2049</v>
      </c>
      <c r="Q1368" s="352" t="s">
        <v>2050</v>
      </c>
      <c r="R1368" s="251">
        <v>0</v>
      </c>
      <c r="S1368" s="251" t="s">
        <v>2015</v>
      </c>
      <c r="T1368" s="251" t="s">
        <v>2054</v>
      </c>
      <c r="U1368" s="251" t="s">
        <v>1920</v>
      </c>
      <c r="V1368" s="251" t="s">
        <v>726</v>
      </c>
      <c r="X1368" s="251">
        <v>0</v>
      </c>
    </row>
    <row r="1369" spans="2:24" x14ac:dyDescent="0.2">
      <c r="B1369" s="352" t="s">
        <v>870</v>
      </c>
      <c r="C1369" s="352" t="s">
        <v>754</v>
      </c>
      <c r="F1369" s="352" t="s">
        <v>1999</v>
      </c>
      <c r="G1369" s="352" t="s">
        <v>2122</v>
      </c>
      <c r="H1369" s="352" t="s">
        <v>1648</v>
      </c>
      <c r="I1369" s="352" t="s">
        <v>971</v>
      </c>
      <c r="J1369" s="352" t="s">
        <v>972</v>
      </c>
      <c r="K1369" s="352">
        <v>1211</v>
      </c>
      <c r="L1369" s="352" t="s">
        <v>705</v>
      </c>
      <c r="M1369" s="352" t="s">
        <v>2149</v>
      </c>
      <c r="N1369" s="352" t="s">
        <v>2048</v>
      </c>
      <c r="O1369" s="352">
        <v>6</v>
      </c>
      <c r="P1369" s="352" t="s">
        <v>2049</v>
      </c>
      <c r="Q1369" s="352" t="s">
        <v>2050</v>
      </c>
      <c r="R1369" s="251">
        <v>1121.1440925045508</v>
      </c>
      <c r="S1369" s="251" t="s">
        <v>2015</v>
      </c>
      <c r="T1369" s="251" t="s">
        <v>2016</v>
      </c>
      <c r="U1369" s="251" t="s">
        <v>1916</v>
      </c>
      <c r="V1369" s="251" t="s">
        <v>1917</v>
      </c>
      <c r="X1369" s="251">
        <v>0</v>
      </c>
    </row>
    <row r="1370" spans="2:24" x14ac:dyDescent="0.2">
      <c r="B1370" s="352" t="s">
        <v>870</v>
      </c>
      <c r="C1370" s="352" t="s">
        <v>754</v>
      </c>
      <c r="F1370" s="352" t="s">
        <v>1999</v>
      </c>
      <c r="G1370" s="352" t="s">
        <v>2122</v>
      </c>
      <c r="H1370" s="352" t="s">
        <v>1653</v>
      </c>
      <c r="I1370" s="352" t="s">
        <v>973</v>
      </c>
      <c r="J1370" s="352" t="s">
        <v>974</v>
      </c>
      <c r="K1370" s="352">
        <v>1211</v>
      </c>
      <c r="L1370" s="352" t="s">
        <v>705</v>
      </c>
      <c r="M1370" s="352" t="s">
        <v>2150</v>
      </c>
      <c r="N1370" s="352" t="s">
        <v>2048</v>
      </c>
      <c r="O1370" s="352">
        <v>6</v>
      </c>
      <c r="P1370" s="352" t="s">
        <v>2049</v>
      </c>
      <c r="Q1370" s="352" t="s">
        <v>2050</v>
      </c>
      <c r="R1370" s="251">
        <v>0</v>
      </c>
      <c r="S1370" s="251" t="s">
        <v>2015</v>
      </c>
      <c r="T1370" s="251" t="s">
        <v>2054</v>
      </c>
      <c r="U1370" s="251" t="s">
        <v>1916</v>
      </c>
      <c r="V1370" s="251" t="s">
        <v>1917</v>
      </c>
      <c r="X1370" s="251">
        <v>0</v>
      </c>
    </row>
    <row r="1371" spans="2:24" x14ac:dyDescent="0.2">
      <c r="B1371" s="352" t="s">
        <v>870</v>
      </c>
      <c r="C1371" s="352" t="s">
        <v>754</v>
      </c>
      <c r="F1371" s="352" t="s">
        <v>1999</v>
      </c>
      <c r="G1371" s="352" t="s">
        <v>2122</v>
      </c>
      <c r="H1371" s="352" t="s">
        <v>1653</v>
      </c>
      <c r="I1371" s="352" t="s">
        <v>973</v>
      </c>
      <c r="J1371" s="352" t="s">
        <v>974</v>
      </c>
      <c r="K1371" s="352">
        <v>1221</v>
      </c>
      <c r="L1371" s="352" t="s">
        <v>711</v>
      </c>
      <c r="M1371" s="352" t="s">
        <v>2151</v>
      </c>
      <c r="N1371" s="352" t="s">
        <v>2048</v>
      </c>
      <c r="O1371" s="352">
        <v>6</v>
      </c>
      <c r="P1371" s="352" t="s">
        <v>2049</v>
      </c>
      <c r="Q1371" s="352" t="s">
        <v>2050</v>
      </c>
      <c r="R1371" s="251">
        <v>1412.1386258716675</v>
      </c>
      <c r="S1371" s="251" t="s">
        <v>2015</v>
      </c>
      <c r="T1371" s="251" t="s">
        <v>2016</v>
      </c>
      <c r="U1371" s="251" t="s">
        <v>1918</v>
      </c>
      <c r="V1371" s="251" t="s">
        <v>1919</v>
      </c>
      <c r="X1371" s="251">
        <v>0</v>
      </c>
    </row>
    <row r="1372" spans="2:24" x14ac:dyDescent="0.2">
      <c r="B1372" s="352" t="s">
        <v>870</v>
      </c>
      <c r="C1372" s="352" t="s">
        <v>754</v>
      </c>
      <c r="F1372" s="352" t="s">
        <v>1999</v>
      </c>
      <c r="G1372" s="352" t="s">
        <v>2122</v>
      </c>
      <c r="H1372" s="352" t="s">
        <v>1653</v>
      </c>
      <c r="I1372" s="352" t="s">
        <v>973</v>
      </c>
      <c r="J1372" s="352" t="s">
        <v>974</v>
      </c>
      <c r="K1372" s="352">
        <v>1222</v>
      </c>
      <c r="L1372" s="352" t="s">
        <v>718</v>
      </c>
      <c r="M1372" s="352" t="s">
        <v>2152</v>
      </c>
      <c r="N1372" s="352" t="s">
        <v>2048</v>
      </c>
      <c r="O1372" s="352">
        <v>6</v>
      </c>
      <c r="P1372" s="352" t="s">
        <v>2049</v>
      </c>
      <c r="Q1372" s="352" t="s">
        <v>2050</v>
      </c>
      <c r="R1372" s="251">
        <v>124.24412875383352</v>
      </c>
      <c r="S1372" s="251" t="s">
        <v>2015</v>
      </c>
      <c r="T1372" s="251" t="s">
        <v>2016</v>
      </c>
      <c r="U1372" s="251">
        <v>0</v>
      </c>
      <c r="V1372" s="251" t="s">
        <v>2153</v>
      </c>
      <c r="X1372" s="251">
        <v>0</v>
      </c>
    </row>
    <row r="1373" spans="2:24" x14ac:dyDescent="0.2">
      <c r="B1373" s="352" t="s">
        <v>870</v>
      </c>
      <c r="C1373" s="352" t="s">
        <v>754</v>
      </c>
      <c r="F1373" s="352" t="s">
        <v>1999</v>
      </c>
      <c r="G1373" s="352" t="s">
        <v>2122</v>
      </c>
      <c r="H1373" s="352" t="s">
        <v>1658</v>
      </c>
      <c r="I1373" s="352" t="s">
        <v>975</v>
      </c>
      <c r="J1373" s="352" t="s">
        <v>976</v>
      </c>
      <c r="K1373" s="352">
        <v>1221</v>
      </c>
      <c r="L1373" s="352" t="s">
        <v>711</v>
      </c>
      <c r="M1373" s="352" t="s">
        <v>2154</v>
      </c>
      <c r="N1373" s="352" t="s">
        <v>2048</v>
      </c>
      <c r="O1373" s="352">
        <v>7</v>
      </c>
      <c r="P1373" s="352" t="s">
        <v>2055</v>
      </c>
      <c r="Q1373" s="352" t="s">
        <v>2056</v>
      </c>
      <c r="R1373" s="251">
        <v>0</v>
      </c>
      <c r="S1373" s="251" t="s">
        <v>2015</v>
      </c>
      <c r="T1373" s="251" t="s">
        <v>2054</v>
      </c>
      <c r="U1373" s="251" t="s">
        <v>1918</v>
      </c>
      <c r="V1373" s="251" t="s">
        <v>1919</v>
      </c>
      <c r="X1373" s="251">
        <v>0</v>
      </c>
    </row>
    <row r="1374" spans="2:24" x14ac:dyDescent="0.2">
      <c r="B1374" s="352" t="s">
        <v>870</v>
      </c>
      <c r="C1374" s="352" t="s">
        <v>754</v>
      </c>
      <c r="F1374" s="352" t="s">
        <v>1999</v>
      </c>
      <c r="G1374" s="352" t="s">
        <v>2122</v>
      </c>
      <c r="H1374" s="352" t="s">
        <v>1663</v>
      </c>
      <c r="I1374" s="352" t="s">
        <v>977</v>
      </c>
      <c r="J1374" s="352" t="s">
        <v>864</v>
      </c>
      <c r="K1374" s="352">
        <v>1111</v>
      </c>
      <c r="L1374" s="352" t="s">
        <v>699</v>
      </c>
      <c r="M1374" s="352" t="s">
        <v>2155</v>
      </c>
      <c r="N1374" s="352" t="s">
        <v>2048</v>
      </c>
      <c r="O1374" s="352">
        <v>5</v>
      </c>
      <c r="P1374" s="352" t="s">
        <v>2057</v>
      </c>
      <c r="Q1374" s="352" t="s">
        <v>2058</v>
      </c>
      <c r="R1374" s="251">
        <v>0</v>
      </c>
      <c r="S1374" s="251" t="s">
        <v>2015</v>
      </c>
      <c r="T1374" s="251" t="s">
        <v>2054</v>
      </c>
      <c r="U1374" s="251" t="s">
        <v>1914</v>
      </c>
      <c r="V1374" s="251" t="s">
        <v>1915</v>
      </c>
      <c r="X1374" s="251">
        <v>0</v>
      </c>
    </row>
    <row r="1375" spans="2:24" x14ac:dyDescent="0.2">
      <c r="B1375" s="352" t="s">
        <v>870</v>
      </c>
      <c r="C1375" s="352" t="s">
        <v>754</v>
      </c>
      <c r="F1375" s="352" t="s">
        <v>1999</v>
      </c>
      <c r="G1375" s="352" t="s">
        <v>2122</v>
      </c>
      <c r="H1375" s="352" t="s">
        <v>1663</v>
      </c>
      <c r="I1375" s="352" t="s">
        <v>977</v>
      </c>
      <c r="J1375" s="352" t="s">
        <v>864</v>
      </c>
      <c r="K1375" s="352">
        <v>1211</v>
      </c>
      <c r="L1375" s="352" t="s">
        <v>705</v>
      </c>
      <c r="M1375" s="352" t="s">
        <v>2156</v>
      </c>
      <c r="N1375" s="352" t="s">
        <v>2048</v>
      </c>
      <c r="O1375" s="352">
        <v>5</v>
      </c>
      <c r="P1375" s="352" t="s">
        <v>2057</v>
      </c>
      <c r="Q1375" s="352" t="s">
        <v>2058</v>
      </c>
      <c r="R1375" s="251">
        <v>0</v>
      </c>
      <c r="S1375" s="251" t="s">
        <v>2015</v>
      </c>
      <c r="T1375" s="251" t="s">
        <v>2054</v>
      </c>
      <c r="U1375" s="251" t="s">
        <v>1916</v>
      </c>
      <c r="V1375" s="251" t="s">
        <v>1917</v>
      </c>
      <c r="X1375" s="251">
        <v>0</v>
      </c>
    </row>
    <row r="1376" spans="2:24" x14ac:dyDescent="0.2">
      <c r="B1376" s="352" t="s">
        <v>870</v>
      </c>
      <c r="C1376" s="352" t="s">
        <v>754</v>
      </c>
      <c r="F1376" s="352" t="s">
        <v>1999</v>
      </c>
      <c r="G1376" s="352" t="s">
        <v>2122</v>
      </c>
      <c r="H1376" s="352" t="s">
        <v>1663</v>
      </c>
      <c r="I1376" s="352" t="s">
        <v>977</v>
      </c>
      <c r="J1376" s="352" t="s">
        <v>864</v>
      </c>
      <c r="K1376" s="352">
        <v>1221</v>
      </c>
      <c r="L1376" s="352" t="s">
        <v>711</v>
      </c>
      <c r="M1376" s="352" t="s">
        <v>2157</v>
      </c>
      <c r="N1376" s="352" t="s">
        <v>2048</v>
      </c>
      <c r="O1376" s="352">
        <v>5</v>
      </c>
      <c r="P1376" s="352" t="s">
        <v>2057</v>
      </c>
      <c r="Q1376" s="352" t="s">
        <v>2058</v>
      </c>
      <c r="R1376" s="251">
        <v>0</v>
      </c>
      <c r="S1376" s="251" t="s">
        <v>2015</v>
      </c>
      <c r="T1376" s="251" t="s">
        <v>2054</v>
      </c>
      <c r="U1376" s="251" t="s">
        <v>1918</v>
      </c>
      <c r="V1376" s="251" t="s">
        <v>1919</v>
      </c>
      <c r="X1376" s="251">
        <v>0</v>
      </c>
    </row>
    <row r="1377" spans="2:24" x14ac:dyDescent="0.2">
      <c r="B1377" s="352" t="s">
        <v>870</v>
      </c>
      <c r="C1377" s="352" t="s">
        <v>754</v>
      </c>
      <c r="F1377" s="352" t="s">
        <v>1999</v>
      </c>
      <c r="G1377" s="352" t="s">
        <v>2122</v>
      </c>
      <c r="H1377" s="352" t="s">
        <v>1663</v>
      </c>
      <c r="I1377" s="352" t="s">
        <v>977</v>
      </c>
      <c r="J1377" s="352" t="s">
        <v>864</v>
      </c>
      <c r="K1377" s="352">
        <v>1222</v>
      </c>
      <c r="L1377" s="352" t="s">
        <v>718</v>
      </c>
      <c r="M1377" s="352" t="s">
        <v>2158</v>
      </c>
      <c r="N1377" s="352" t="s">
        <v>2048</v>
      </c>
      <c r="O1377" s="352">
        <v>5</v>
      </c>
      <c r="P1377" s="352" t="s">
        <v>2057</v>
      </c>
      <c r="Q1377" s="352" t="s">
        <v>2058</v>
      </c>
      <c r="R1377" s="251">
        <v>0</v>
      </c>
      <c r="S1377" s="251" t="s">
        <v>2015</v>
      </c>
      <c r="T1377" s="251" t="s">
        <v>2054</v>
      </c>
      <c r="U1377" s="251">
        <v>0</v>
      </c>
      <c r="V1377" s="251" t="s">
        <v>2153</v>
      </c>
      <c r="X1377" s="251">
        <v>0</v>
      </c>
    </row>
    <row r="1378" spans="2:24" x14ac:dyDescent="0.2">
      <c r="B1378" s="352" t="s">
        <v>870</v>
      </c>
      <c r="C1378" s="352" t="s">
        <v>754</v>
      </c>
      <c r="F1378" s="352" t="s">
        <v>1999</v>
      </c>
      <c r="G1378" s="352" t="s">
        <v>2122</v>
      </c>
      <c r="H1378" s="352" t="s">
        <v>1663</v>
      </c>
      <c r="I1378" s="352" t="s">
        <v>977</v>
      </c>
      <c r="J1378" s="352" t="s">
        <v>864</v>
      </c>
      <c r="K1378" s="352">
        <v>1231</v>
      </c>
      <c r="L1378" s="352" t="s">
        <v>726</v>
      </c>
      <c r="M1378" s="352" t="s">
        <v>2159</v>
      </c>
      <c r="N1378" s="352" t="s">
        <v>2048</v>
      </c>
      <c r="O1378" s="352">
        <v>5</v>
      </c>
      <c r="P1378" s="352" t="s">
        <v>2057</v>
      </c>
      <c r="Q1378" s="352" t="s">
        <v>2058</v>
      </c>
      <c r="R1378" s="251">
        <v>0</v>
      </c>
      <c r="S1378" s="251" t="s">
        <v>2015</v>
      </c>
      <c r="T1378" s="251" t="s">
        <v>2054</v>
      </c>
      <c r="U1378" s="251" t="s">
        <v>1920</v>
      </c>
      <c r="V1378" s="251" t="s">
        <v>726</v>
      </c>
      <c r="X1378" s="251">
        <v>0</v>
      </c>
    </row>
    <row r="1379" spans="2:24" x14ac:dyDescent="0.2">
      <c r="B1379" s="352" t="s">
        <v>870</v>
      </c>
      <c r="C1379" s="352" t="s">
        <v>754</v>
      </c>
      <c r="F1379" s="352" t="s">
        <v>1999</v>
      </c>
      <c r="G1379" s="352" t="s">
        <v>2122</v>
      </c>
      <c r="H1379" s="352" t="s">
        <v>1663</v>
      </c>
      <c r="I1379" s="352" t="s">
        <v>977</v>
      </c>
      <c r="J1379" s="352" t="s">
        <v>864</v>
      </c>
      <c r="K1379" s="352">
        <v>1232</v>
      </c>
      <c r="L1379" s="352" t="s">
        <v>734</v>
      </c>
      <c r="M1379" s="352" t="s">
        <v>2160</v>
      </c>
      <c r="N1379" s="352" t="s">
        <v>2048</v>
      </c>
      <c r="O1379" s="352">
        <v>5</v>
      </c>
      <c r="P1379" s="352" t="s">
        <v>2057</v>
      </c>
      <c r="Q1379" s="352" t="s">
        <v>2058</v>
      </c>
      <c r="R1379" s="251">
        <v>148.82901907019368</v>
      </c>
      <c r="S1379" s="251" t="s">
        <v>2015</v>
      </c>
      <c r="T1379" s="251" t="s">
        <v>2016</v>
      </c>
      <c r="U1379" s="251">
        <v>0</v>
      </c>
      <c r="V1379" s="251" t="s">
        <v>2153</v>
      </c>
      <c r="X1379" s="251">
        <v>0</v>
      </c>
    </row>
    <row r="1380" spans="2:24" x14ac:dyDescent="0.2">
      <c r="B1380" s="352" t="s">
        <v>870</v>
      </c>
      <c r="C1380" s="352" t="s">
        <v>754</v>
      </c>
      <c r="F1380" s="352" t="s">
        <v>1999</v>
      </c>
      <c r="G1380" s="352" t="s">
        <v>2122</v>
      </c>
      <c r="H1380" s="352" t="s">
        <v>1663</v>
      </c>
      <c r="I1380" s="352" t="s">
        <v>977</v>
      </c>
      <c r="J1380" s="352" t="s">
        <v>864</v>
      </c>
      <c r="K1380" s="352">
        <v>1241</v>
      </c>
      <c r="L1380" s="352" t="s">
        <v>1872</v>
      </c>
      <c r="M1380" s="352" t="s">
        <v>2161</v>
      </c>
      <c r="N1380" s="352" t="s">
        <v>2048</v>
      </c>
      <c r="O1380" s="352">
        <v>5</v>
      </c>
      <c r="P1380" s="352" t="s">
        <v>2057</v>
      </c>
      <c r="Q1380" s="352" t="s">
        <v>2058</v>
      </c>
      <c r="R1380" s="251">
        <v>0</v>
      </c>
      <c r="S1380" s="251" t="s">
        <v>2015</v>
      </c>
      <c r="T1380" s="251" t="s">
        <v>2054</v>
      </c>
      <c r="U1380" s="251">
        <v>0</v>
      </c>
      <c r="V1380" s="251" t="s">
        <v>2153</v>
      </c>
      <c r="X1380" s="251">
        <v>0</v>
      </c>
    </row>
    <row r="1381" spans="2:24" x14ac:dyDescent="0.2">
      <c r="B1381" s="352" t="s">
        <v>870</v>
      </c>
      <c r="C1381" s="352" t="s">
        <v>754</v>
      </c>
      <c r="F1381" s="352" t="s">
        <v>1999</v>
      </c>
      <c r="G1381" s="352" t="s">
        <v>2122</v>
      </c>
      <c r="H1381" s="352" t="s">
        <v>1663</v>
      </c>
      <c r="I1381" s="352" t="s">
        <v>977</v>
      </c>
      <c r="J1381" s="352" t="s">
        <v>864</v>
      </c>
      <c r="K1381" s="352">
        <v>1251</v>
      </c>
      <c r="L1381" s="352" t="s">
        <v>733</v>
      </c>
      <c r="M1381" s="352" t="s">
        <v>2162</v>
      </c>
      <c r="N1381" s="352" t="s">
        <v>2048</v>
      </c>
      <c r="O1381" s="352">
        <v>5</v>
      </c>
      <c r="P1381" s="352" t="s">
        <v>2057</v>
      </c>
      <c r="Q1381" s="352" t="s">
        <v>2058</v>
      </c>
      <c r="R1381" s="251">
        <v>70.584081837802501</v>
      </c>
      <c r="S1381" s="251" t="s">
        <v>2015</v>
      </c>
      <c r="T1381" s="251" t="s">
        <v>2016</v>
      </c>
      <c r="U1381" s="251">
        <v>0</v>
      </c>
      <c r="V1381" s="251" t="s">
        <v>2153</v>
      </c>
      <c r="X1381" s="251">
        <v>0</v>
      </c>
    </row>
    <row r="1382" spans="2:24" x14ac:dyDescent="0.2">
      <c r="B1382" s="352" t="s">
        <v>870</v>
      </c>
      <c r="C1382" s="352" t="s">
        <v>754</v>
      </c>
      <c r="F1382" s="352" t="s">
        <v>1999</v>
      </c>
      <c r="G1382" s="352" t="s">
        <v>2122</v>
      </c>
      <c r="H1382" s="352" t="s">
        <v>1668</v>
      </c>
      <c r="I1382" s="352" t="s">
        <v>978</v>
      </c>
      <c r="J1382" s="352" t="s">
        <v>1892</v>
      </c>
      <c r="K1382" s="352">
        <v>1111</v>
      </c>
      <c r="L1382" s="352" t="s">
        <v>699</v>
      </c>
      <c r="M1382" s="352" t="s">
        <v>2163</v>
      </c>
      <c r="N1382" s="352" t="s">
        <v>2048</v>
      </c>
      <c r="O1382" s="352">
        <v>5</v>
      </c>
      <c r="P1382" s="352" t="s">
        <v>2057</v>
      </c>
      <c r="Q1382" s="352" t="s">
        <v>2058</v>
      </c>
      <c r="R1382" s="251">
        <v>0</v>
      </c>
      <c r="S1382" s="251" t="s">
        <v>2015</v>
      </c>
      <c r="T1382" s="251" t="s">
        <v>2054</v>
      </c>
      <c r="U1382" s="251" t="s">
        <v>1914</v>
      </c>
      <c r="V1382" s="251" t="s">
        <v>1915</v>
      </c>
      <c r="X1382" s="251">
        <v>0</v>
      </c>
    </row>
    <row r="1383" spans="2:24" x14ac:dyDescent="0.2">
      <c r="B1383" s="352" t="s">
        <v>870</v>
      </c>
      <c r="C1383" s="352" t="s">
        <v>754</v>
      </c>
      <c r="F1383" s="352" t="s">
        <v>1999</v>
      </c>
      <c r="G1383" s="352" t="s">
        <v>2122</v>
      </c>
      <c r="H1383" s="352" t="s">
        <v>1668</v>
      </c>
      <c r="I1383" s="352" t="s">
        <v>978</v>
      </c>
      <c r="J1383" s="352" t="s">
        <v>1892</v>
      </c>
      <c r="K1383" s="352">
        <v>1231</v>
      </c>
      <c r="L1383" s="352" t="s">
        <v>726</v>
      </c>
      <c r="M1383" s="352" t="s">
        <v>2164</v>
      </c>
      <c r="N1383" s="352" t="s">
        <v>2048</v>
      </c>
      <c r="O1383" s="352">
        <v>5</v>
      </c>
      <c r="P1383" s="352" t="s">
        <v>2057</v>
      </c>
      <c r="Q1383" s="352" t="s">
        <v>2058</v>
      </c>
      <c r="R1383" s="251">
        <v>940.10711159800303</v>
      </c>
      <c r="S1383" s="251" t="s">
        <v>2015</v>
      </c>
      <c r="T1383" s="251" t="s">
        <v>2016</v>
      </c>
      <c r="U1383" s="251" t="s">
        <v>1920</v>
      </c>
      <c r="V1383" s="251" t="s">
        <v>726</v>
      </c>
      <c r="X1383" s="251">
        <v>0</v>
      </c>
    </row>
    <row r="1384" spans="2:24" x14ac:dyDescent="0.2">
      <c r="B1384" s="352" t="s">
        <v>870</v>
      </c>
      <c r="C1384" s="352" t="s">
        <v>754</v>
      </c>
      <c r="F1384" s="352" t="s">
        <v>1999</v>
      </c>
      <c r="G1384" s="352" t="s">
        <v>2122</v>
      </c>
      <c r="H1384" s="352" t="s">
        <v>1673</v>
      </c>
      <c r="I1384" s="352" t="s">
        <v>979</v>
      </c>
      <c r="J1384" s="352" t="s">
        <v>980</v>
      </c>
      <c r="K1384" s="352">
        <v>1241</v>
      </c>
      <c r="L1384" s="352" t="s">
        <v>1872</v>
      </c>
      <c r="M1384" s="352" t="s">
        <v>2165</v>
      </c>
      <c r="N1384" s="352" t="s">
        <v>2048</v>
      </c>
      <c r="O1384" s="352">
        <v>7</v>
      </c>
      <c r="P1384" s="352" t="s">
        <v>2055</v>
      </c>
      <c r="Q1384" s="352" t="s">
        <v>2056</v>
      </c>
      <c r="R1384" s="251">
        <v>45.767290188694297</v>
      </c>
      <c r="S1384" s="251" t="s">
        <v>2015</v>
      </c>
      <c r="T1384" s="251" t="s">
        <v>2016</v>
      </c>
      <c r="U1384" s="251">
        <v>0</v>
      </c>
      <c r="V1384" s="251" t="s">
        <v>2153</v>
      </c>
      <c r="X1384" s="251">
        <v>0</v>
      </c>
    </row>
    <row r="1385" spans="2:24" x14ac:dyDescent="0.2">
      <c r="B1385" s="352" t="s">
        <v>870</v>
      </c>
      <c r="C1385" s="352" t="s">
        <v>754</v>
      </c>
      <c r="F1385" s="352" t="s">
        <v>1999</v>
      </c>
      <c r="G1385" s="352" t="s">
        <v>2122</v>
      </c>
      <c r="H1385" s="352" t="s">
        <v>1678</v>
      </c>
      <c r="I1385" s="352" t="s">
        <v>981</v>
      </c>
      <c r="J1385" s="352" t="s">
        <v>3674</v>
      </c>
      <c r="K1385" s="352">
        <v>1241</v>
      </c>
      <c r="L1385" s="352" t="s">
        <v>1872</v>
      </c>
      <c r="M1385" s="352" t="s">
        <v>2166</v>
      </c>
      <c r="N1385" s="352" t="s">
        <v>2048</v>
      </c>
      <c r="O1385" s="352">
        <v>13</v>
      </c>
      <c r="P1385" s="352" t="s">
        <v>2059</v>
      </c>
      <c r="Q1385" s="352" t="s">
        <v>2060</v>
      </c>
      <c r="R1385" s="251">
        <v>0</v>
      </c>
      <c r="S1385" s="251" t="s">
        <v>2015</v>
      </c>
      <c r="T1385" s="251" t="s">
        <v>2054</v>
      </c>
      <c r="U1385" s="251">
        <v>0</v>
      </c>
      <c r="V1385" s="251" t="s">
        <v>2153</v>
      </c>
      <c r="X1385" s="251">
        <v>0</v>
      </c>
    </row>
    <row r="1386" spans="2:24" x14ac:dyDescent="0.2">
      <c r="B1386" s="352" t="s">
        <v>870</v>
      </c>
      <c r="C1386" s="352" t="s">
        <v>754</v>
      </c>
      <c r="F1386" s="352" t="s">
        <v>1999</v>
      </c>
      <c r="G1386" s="352" t="s">
        <v>2122</v>
      </c>
      <c r="H1386" s="352" t="s">
        <v>1678</v>
      </c>
      <c r="I1386" s="352" t="s">
        <v>981</v>
      </c>
      <c r="J1386" s="352" t="s">
        <v>3674</v>
      </c>
      <c r="K1386" s="352">
        <v>1251</v>
      </c>
      <c r="L1386" s="352" t="s">
        <v>733</v>
      </c>
      <c r="M1386" s="352" t="s">
        <v>2167</v>
      </c>
      <c r="N1386" s="352" t="s">
        <v>2048</v>
      </c>
      <c r="O1386" s="352">
        <v>13</v>
      </c>
      <c r="P1386" s="352" t="s">
        <v>2059</v>
      </c>
      <c r="Q1386" s="352" t="s">
        <v>2060</v>
      </c>
      <c r="R1386" s="251">
        <v>0</v>
      </c>
      <c r="S1386" s="251" t="s">
        <v>2015</v>
      </c>
      <c r="T1386" s="251" t="s">
        <v>2054</v>
      </c>
      <c r="U1386" s="251">
        <v>0</v>
      </c>
      <c r="V1386" s="251" t="s">
        <v>2153</v>
      </c>
      <c r="X1386" s="251">
        <v>0</v>
      </c>
    </row>
    <row r="1387" spans="2:24" x14ac:dyDescent="0.2">
      <c r="B1387" s="352" t="s">
        <v>870</v>
      </c>
      <c r="C1387" s="352" t="s">
        <v>754</v>
      </c>
      <c r="F1387" s="352" t="s">
        <v>1999</v>
      </c>
      <c r="G1387" s="352" t="s">
        <v>2122</v>
      </c>
      <c r="H1387" s="352" t="s">
        <v>1683</v>
      </c>
      <c r="I1387" s="352" t="s">
        <v>982</v>
      </c>
      <c r="J1387" s="352" t="s">
        <v>983</v>
      </c>
      <c r="K1387" s="352">
        <v>2111</v>
      </c>
      <c r="L1387" s="352" t="s">
        <v>1873</v>
      </c>
      <c r="M1387" s="352" t="s">
        <v>2168</v>
      </c>
      <c r="N1387" s="352" t="s">
        <v>2048</v>
      </c>
      <c r="O1387" s="352">
        <v>3</v>
      </c>
      <c r="P1387" s="352" t="s">
        <v>2117</v>
      </c>
      <c r="Q1387" s="352" t="s">
        <v>2114</v>
      </c>
      <c r="R1387" s="251">
        <v>82.369241066189772</v>
      </c>
      <c r="S1387" s="251" t="s">
        <v>2015</v>
      </c>
      <c r="T1387" s="251" t="s">
        <v>2016</v>
      </c>
      <c r="U1387" s="251" t="s">
        <v>1929</v>
      </c>
      <c r="V1387" s="251" t="s">
        <v>1930</v>
      </c>
      <c r="X1387" s="251">
        <v>0</v>
      </c>
    </row>
    <row r="1388" spans="2:24" x14ac:dyDescent="0.2">
      <c r="B1388" s="352" t="s">
        <v>870</v>
      </c>
      <c r="C1388" s="352" t="s">
        <v>754</v>
      </c>
      <c r="F1388" s="352" t="s">
        <v>1999</v>
      </c>
      <c r="G1388" s="352" t="s">
        <v>2122</v>
      </c>
      <c r="H1388" s="352" t="s">
        <v>1683</v>
      </c>
      <c r="I1388" s="352" t="s">
        <v>982</v>
      </c>
      <c r="J1388" s="352" t="s">
        <v>983</v>
      </c>
      <c r="K1388" s="352">
        <v>2121</v>
      </c>
      <c r="L1388" s="352" t="s">
        <v>1876</v>
      </c>
      <c r="M1388" s="352" t="s">
        <v>2169</v>
      </c>
      <c r="N1388" s="352" t="s">
        <v>2048</v>
      </c>
      <c r="O1388" s="352">
        <v>3</v>
      </c>
      <c r="P1388" s="352" t="s">
        <v>2117</v>
      </c>
      <c r="Q1388" s="352" t="s">
        <v>2114</v>
      </c>
      <c r="R1388" s="251">
        <v>262.34328911353902</v>
      </c>
      <c r="S1388" s="251" t="s">
        <v>2015</v>
      </c>
      <c r="T1388" s="251" t="s">
        <v>2016</v>
      </c>
      <c r="U1388" s="251" t="s">
        <v>1929</v>
      </c>
      <c r="V1388" s="251" t="s">
        <v>1930</v>
      </c>
      <c r="X1388" s="251">
        <v>0</v>
      </c>
    </row>
    <row r="1389" spans="2:24" x14ac:dyDescent="0.2">
      <c r="B1389" s="352" t="s">
        <v>870</v>
      </c>
      <c r="C1389" s="352" t="s">
        <v>754</v>
      </c>
      <c r="F1389" s="352" t="s">
        <v>1999</v>
      </c>
      <c r="G1389" s="352" t="s">
        <v>2122</v>
      </c>
      <c r="H1389" s="352" t="s">
        <v>1683</v>
      </c>
      <c r="I1389" s="352" t="s">
        <v>982</v>
      </c>
      <c r="J1389" s="352" t="s">
        <v>983</v>
      </c>
      <c r="K1389" s="352">
        <v>2131</v>
      </c>
      <c r="L1389" s="352" t="s">
        <v>1879</v>
      </c>
      <c r="M1389" s="352" t="s">
        <v>2170</v>
      </c>
      <c r="N1389" s="352" t="s">
        <v>2048</v>
      </c>
      <c r="O1389" s="352">
        <v>3</v>
      </c>
      <c r="P1389" s="352" t="s">
        <v>2117</v>
      </c>
      <c r="Q1389" s="352" t="s">
        <v>2114</v>
      </c>
      <c r="R1389" s="251">
        <v>0</v>
      </c>
      <c r="S1389" s="251" t="s">
        <v>2015</v>
      </c>
      <c r="T1389" s="251" t="s">
        <v>2054</v>
      </c>
      <c r="U1389" s="251" t="s">
        <v>1929</v>
      </c>
      <c r="V1389" s="251" t="s">
        <v>1930</v>
      </c>
      <c r="X1389" s="251">
        <v>0</v>
      </c>
    </row>
    <row r="1390" spans="2:24" x14ac:dyDescent="0.2">
      <c r="B1390" s="352" t="s">
        <v>870</v>
      </c>
      <c r="C1390" s="352" t="s">
        <v>754</v>
      </c>
      <c r="F1390" s="352" t="s">
        <v>1999</v>
      </c>
      <c r="G1390" s="352" t="s">
        <v>2122</v>
      </c>
      <c r="H1390" s="352" t="s">
        <v>1683</v>
      </c>
      <c r="I1390" s="352" t="s">
        <v>982</v>
      </c>
      <c r="J1390" s="352" t="s">
        <v>983</v>
      </c>
      <c r="K1390" s="352">
        <v>2211</v>
      </c>
      <c r="L1390" s="352" t="s">
        <v>1883</v>
      </c>
      <c r="M1390" s="352" t="s">
        <v>2171</v>
      </c>
      <c r="N1390" s="352" t="s">
        <v>2048</v>
      </c>
      <c r="O1390" s="352">
        <v>3</v>
      </c>
      <c r="P1390" s="352" t="s">
        <v>2117</v>
      </c>
      <c r="Q1390" s="352" t="s">
        <v>2114</v>
      </c>
      <c r="R1390" s="251">
        <v>0</v>
      </c>
      <c r="S1390" s="251" t="s">
        <v>2015</v>
      </c>
      <c r="T1390" s="251" t="s">
        <v>2054</v>
      </c>
      <c r="U1390" s="251" t="s">
        <v>1929</v>
      </c>
      <c r="V1390" s="251" t="s">
        <v>1930</v>
      </c>
      <c r="X1390" s="251">
        <v>0</v>
      </c>
    </row>
    <row r="1391" spans="2:24" x14ac:dyDescent="0.2">
      <c r="B1391" s="352" t="s">
        <v>870</v>
      </c>
      <c r="C1391" s="352" t="s">
        <v>754</v>
      </c>
      <c r="F1391" s="352" t="s">
        <v>1999</v>
      </c>
      <c r="G1391" s="352" t="s">
        <v>2122</v>
      </c>
      <c r="H1391" s="352" t="s">
        <v>1688</v>
      </c>
      <c r="I1391" s="352" t="s">
        <v>984</v>
      </c>
      <c r="J1391" s="352" t="s">
        <v>985</v>
      </c>
      <c r="K1391" s="352">
        <v>2111</v>
      </c>
      <c r="L1391" s="352" t="s">
        <v>1873</v>
      </c>
      <c r="M1391" s="352" t="s">
        <v>2172</v>
      </c>
      <c r="N1391" s="352" t="s">
        <v>2048</v>
      </c>
      <c r="O1391" s="352">
        <v>11</v>
      </c>
      <c r="P1391" s="352" t="s">
        <v>2063</v>
      </c>
      <c r="Q1391" s="352" t="s">
        <v>2064</v>
      </c>
      <c r="R1391" s="251">
        <v>0</v>
      </c>
      <c r="S1391" s="251" t="s">
        <v>2015</v>
      </c>
      <c r="T1391" s="251" t="s">
        <v>2054</v>
      </c>
      <c r="U1391" s="251" t="s">
        <v>1929</v>
      </c>
      <c r="V1391" s="251" t="s">
        <v>1930</v>
      </c>
      <c r="X1391" s="251">
        <v>0</v>
      </c>
    </row>
    <row r="1392" spans="2:24" x14ac:dyDescent="0.2">
      <c r="B1392" s="352" t="s">
        <v>870</v>
      </c>
      <c r="C1392" s="352" t="s">
        <v>754</v>
      </c>
      <c r="F1392" s="352" t="s">
        <v>1999</v>
      </c>
      <c r="G1392" s="352" t="s">
        <v>2122</v>
      </c>
      <c r="H1392" s="352" t="s">
        <v>1688</v>
      </c>
      <c r="I1392" s="352" t="s">
        <v>984</v>
      </c>
      <c r="J1392" s="352" t="s">
        <v>985</v>
      </c>
      <c r="K1392" s="352">
        <v>2121</v>
      </c>
      <c r="L1392" s="352" t="s">
        <v>1876</v>
      </c>
      <c r="M1392" s="352" t="s">
        <v>2173</v>
      </c>
      <c r="N1392" s="352" t="s">
        <v>2048</v>
      </c>
      <c r="O1392" s="352">
        <v>11</v>
      </c>
      <c r="P1392" s="352" t="s">
        <v>2063</v>
      </c>
      <c r="Q1392" s="352" t="s">
        <v>2064</v>
      </c>
      <c r="R1392" s="251">
        <v>0</v>
      </c>
      <c r="S1392" s="251" t="s">
        <v>2015</v>
      </c>
      <c r="T1392" s="251" t="s">
        <v>2054</v>
      </c>
      <c r="U1392" s="251" t="s">
        <v>1929</v>
      </c>
      <c r="V1392" s="251" t="s">
        <v>1930</v>
      </c>
      <c r="X1392" s="251">
        <v>0</v>
      </c>
    </row>
    <row r="1393" spans="2:24" x14ac:dyDescent="0.2">
      <c r="B1393" s="352" t="s">
        <v>870</v>
      </c>
      <c r="C1393" s="352" t="s">
        <v>754</v>
      </c>
      <c r="F1393" s="352" t="s">
        <v>1999</v>
      </c>
      <c r="G1393" s="352" t="s">
        <v>2122</v>
      </c>
      <c r="H1393" s="352" t="s">
        <v>1688</v>
      </c>
      <c r="I1393" s="352" t="s">
        <v>984</v>
      </c>
      <c r="J1393" s="352" t="s">
        <v>985</v>
      </c>
      <c r="K1393" s="352">
        <v>2131</v>
      </c>
      <c r="L1393" s="352" t="s">
        <v>1879</v>
      </c>
      <c r="M1393" s="352" t="s">
        <v>2174</v>
      </c>
      <c r="N1393" s="352" t="s">
        <v>2048</v>
      </c>
      <c r="O1393" s="352">
        <v>11</v>
      </c>
      <c r="P1393" s="352" t="s">
        <v>2063</v>
      </c>
      <c r="Q1393" s="352" t="s">
        <v>2064</v>
      </c>
      <c r="R1393" s="251">
        <v>9.9644944078782345</v>
      </c>
      <c r="S1393" s="251" t="s">
        <v>2015</v>
      </c>
      <c r="T1393" s="251" t="s">
        <v>2016</v>
      </c>
      <c r="U1393" s="251" t="s">
        <v>1929</v>
      </c>
      <c r="V1393" s="251" t="s">
        <v>1930</v>
      </c>
      <c r="X1393" s="251">
        <v>0</v>
      </c>
    </row>
    <row r="1394" spans="2:24" x14ac:dyDescent="0.2">
      <c r="B1394" s="352" t="s">
        <v>870</v>
      </c>
      <c r="C1394" s="352" t="s">
        <v>754</v>
      </c>
      <c r="F1394" s="352" t="s">
        <v>1999</v>
      </c>
      <c r="G1394" s="352" t="s">
        <v>2122</v>
      </c>
      <c r="H1394" s="352" t="s">
        <v>1688</v>
      </c>
      <c r="I1394" s="352" t="s">
        <v>984</v>
      </c>
      <c r="J1394" s="352" t="s">
        <v>985</v>
      </c>
      <c r="K1394" s="352">
        <v>2211</v>
      </c>
      <c r="L1394" s="352" t="s">
        <v>1883</v>
      </c>
      <c r="M1394" s="352" t="s">
        <v>2175</v>
      </c>
      <c r="N1394" s="352" t="s">
        <v>2048</v>
      </c>
      <c r="O1394" s="352">
        <v>11</v>
      </c>
      <c r="P1394" s="352" t="s">
        <v>2063</v>
      </c>
      <c r="Q1394" s="352" t="s">
        <v>2064</v>
      </c>
      <c r="R1394" s="251">
        <v>17.288445976611222</v>
      </c>
      <c r="S1394" s="251" t="s">
        <v>2015</v>
      </c>
      <c r="T1394" s="251" t="s">
        <v>2016</v>
      </c>
      <c r="U1394" s="251" t="s">
        <v>1929</v>
      </c>
      <c r="V1394" s="251" t="s">
        <v>1930</v>
      </c>
      <c r="X1394" s="251">
        <v>0</v>
      </c>
    </row>
    <row r="1395" spans="2:24" x14ac:dyDescent="0.2">
      <c r="B1395" s="352" t="s">
        <v>870</v>
      </c>
      <c r="C1395" s="352" t="s">
        <v>754</v>
      </c>
      <c r="F1395" s="352" t="s">
        <v>1999</v>
      </c>
      <c r="G1395" s="352" t="s">
        <v>2122</v>
      </c>
      <c r="H1395" s="352" t="s">
        <v>1693</v>
      </c>
      <c r="I1395" s="352" t="s">
        <v>986</v>
      </c>
      <c r="J1395" s="352" t="s">
        <v>987</v>
      </c>
      <c r="K1395" s="352">
        <v>2112</v>
      </c>
      <c r="L1395" s="352" t="s">
        <v>1874</v>
      </c>
      <c r="M1395" s="352" t="s">
        <v>2176</v>
      </c>
      <c r="N1395" s="352" t="s">
        <v>2048</v>
      </c>
      <c r="O1395" s="352">
        <v>11</v>
      </c>
      <c r="P1395" s="352" t="s">
        <v>2063</v>
      </c>
      <c r="Q1395" s="352" t="s">
        <v>2064</v>
      </c>
      <c r="R1395" s="251">
        <v>0.32346389870839798</v>
      </c>
      <c r="S1395" s="251" t="s">
        <v>2015</v>
      </c>
      <c r="T1395" s="251" t="s">
        <v>2016</v>
      </c>
      <c r="U1395" s="251" t="s">
        <v>1931</v>
      </c>
      <c r="V1395" s="251" t="s">
        <v>1932</v>
      </c>
      <c r="X1395" s="251">
        <v>0</v>
      </c>
    </row>
    <row r="1396" spans="2:24" x14ac:dyDescent="0.2">
      <c r="B1396" s="352" t="s">
        <v>870</v>
      </c>
      <c r="C1396" s="352" t="s">
        <v>754</v>
      </c>
      <c r="F1396" s="352" t="s">
        <v>1999</v>
      </c>
      <c r="G1396" s="352" t="s">
        <v>2122</v>
      </c>
      <c r="H1396" s="352" t="s">
        <v>1693</v>
      </c>
      <c r="I1396" s="352" t="s">
        <v>986</v>
      </c>
      <c r="J1396" s="352" t="s">
        <v>987</v>
      </c>
      <c r="K1396" s="352">
        <v>2122</v>
      </c>
      <c r="L1396" s="352" t="s">
        <v>1877</v>
      </c>
      <c r="M1396" s="352" t="s">
        <v>2177</v>
      </c>
      <c r="N1396" s="352" t="s">
        <v>2048</v>
      </c>
      <c r="O1396" s="352">
        <v>11</v>
      </c>
      <c r="P1396" s="352" t="s">
        <v>2063</v>
      </c>
      <c r="Q1396" s="352" t="s">
        <v>2064</v>
      </c>
      <c r="R1396" s="251">
        <v>100.46377717191359</v>
      </c>
      <c r="S1396" s="251" t="s">
        <v>2015</v>
      </c>
      <c r="T1396" s="251" t="s">
        <v>2016</v>
      </c>
      <c r="U1396" s="251" t="s">
        <v>1931</v>
      </c>
      <c r="V1396" s="251" t="s">
        <v>1932</v>
      </c>
      <c r="X1396" s="251">
        <v>0</v>
      </c>
    </row>
    <row r="1397" spans="2:24" x14ac:dyDescent="0.2">
      <c r="B1397" s="352" t="s">
        <v>870</v>
      </c>
      <c r="C1397" s="352" t="s">
        <v>754</v>
      </c>
      <c r="F1397" s="352" t="s">
        <v>1999</v>
      </c>
      <c r="G1397" s="352" t="s">
        <v>2122</v>
      </c>
      <c r="H1397" s="352" t="s">
        <v>1698</v>
      </c>
      <c r="I1397" s="352" t="s">
        <v>988</v>
      </c>
      <c r="J1397" s="352" t="s">
        <v>989</v>
      </c>
      <c r="K1397" s="352">
        <v>2112</v>
      </c>
      <c r="L1397" s="352" t="s">
        <v>1874</v>
      </c>
      <c r="M1397" s="352" t="s">
        <v>2178</v>
      </c>
      <c r="N1397" s="352" t="s">
        <v>2048</v>
      </c>
      <c r="O1397" s="352">
        <v>11</v>
      </c>
      <c r="P1397" s="352" t="s">
        <v>2063</v>
      </c>
      <c r="Q1397" s="352" t="s">
        <v>2064</v>
      </c>
      <c r="R1397" s="251">
        <v>0.48519584806259697</v>
      </c>
      <c r="S1397" s="251" t="s">
        <v>2015</v>
      </c>
      <c r="T1397" s="251" t="s">
        <v>2016</v>
      </c>
      <c r="U1397" s="251" t="s">
        <v>1931</v>
      </c>
      <c r="V1397" s="251" t="s">
        <v>1932</v>
      </c>
      <c r="X1397" s="251">
        <v>0</v>
      </c>
    </row>
    <row r="1398" spans="2:24" x14ac:dyDescent="0.2">
      <c r="B1398" s="352" t="s">
        <v>870</v>
      </c>
      <c r="C1398" s="352" t="s">
        <v>754</v>
      </c>
      <c r="F1398" s="352" t="s">
        <v>1999</v>
      </c>
      <c r="G1398" s="352" t="s">
        <v>2122</v>
      </c>
      <c r="H1398" s="352" t="s">
        <v>1698</v>
      </c>
      <c r="I1398" s="352" t="s">
        <v>988</v>
      </c>
      <c r="J1398" s="352" t="s">
        <v>989</v>
      </c>
      <c r="K1398" s="352">
        <v>2122</v>
      </c>
      <c r="L1398" s="352" t="s">
        <v>1877</v>
      </c>
      <c r="M1398" s="352" t="s">
        <v>2179</v>
      </c>
      <c r="N1398" s="352" t="s">
        <v>2048</v>
      </c>
      <c r="O1398" s="352">
        <v>11</v>
      </c>
      <c r="P1398" s="352" t="s">
        <v>2063</v>
      </c>
      <c r="Q1398" s="352" t="s">
        <v>2064</v>
      </c>
      <c r="R1398" s="251">
        <v>150.69566575787036</v>
      </c>
      <c r="S1398" s="251" t="s">
        <v>2015</v>
      </c>
      <c r="T1398" s="251" t="s">
        <v>2016</v>
      </c>
      <c r="U1398" s="251" t="s">
        <v>1931</v>
      </c>
      <c r="V1398" s="251" t="s">
        <v>1932</v>
      </c>
      <c r="X1398" s="251">
        <v>0</v>
      </c>
    </row>
    <row r="1399" spans="2:24" x14ac:dyDescent="0.2">
      <c r="B1399" s="352" t="s">
        <v>870</v>
      </c>
      <c r="C1399" s="352" t="s">
        <v>754</v>
      </c>
      <c r="F1399" s="352" t="s">
        <v>1999</v>
      </c>
      <c r="G1399" s="352" t="s">
        <v>2122</v>
      </c>
      <c r="H1399" s="352" t="s">
        <v>1703</v>
      </c>
      <c r="I1399" s="352" t="s">
        <v>990</v>
      </c>
      <c r="J1399" s="352" t="s">
        <v>991</v>
      </c>
      <c r="K1399" s="352">
        <v>2132</v>
      </c>
      <c r="L1399" s="352" t="s">
        <v>1880</v>
      </c>
      <c r="M1399" s="352" t="s">
        <v>2180</v>
      </c>
      <c r="N1399" s="352" t="s">
        <v>2048</v>
      </c>
      <c r="O1399" s="352">
        <v>1</v>
      </c>
      <c r="P1399" s="352" t="s">
        <v>2065</v>
      </c>
      <c r="Q1399" s="352" t="s">
        <v>2066</v>
      </c>
      <c r="R1399" s="251">
        <v>61.120595602605142</v>
      </c>
      <c r="S1399" s="251" t="s">
        <v>2015</v>
      </c>
      <c r="T1399" s="251" t="s">
        <v>2016</v>
      </c>
      <c r="U1399" s="251" t="s">
        <v>1931</v>
      </c>
      <c r="V1399" s="251" t="s">
        <v>1932</v>
      </c>
      <c r="X1399" s="251">
        <v>0</v>
      </c>
    </row>
    <row r="1400" spans="2:24" x14ac:dyDescent="0.2">
      <c r="B1400" s="352" t="s">
        <v>870</v>
      </c>
      <c r="C1400" s="352" t="s">
        <v>754</v>
      </c>
      <c r="F1400" s="352" t="s">
        <v>1999</v>
      </c>
      <c r="G1400" s="352" t="s">
        <v>2122</v>
      </c>
      <c r="H1400" s="352" t="s">
        <v>1708</v>
      </c>
      <c r="I1400" s="352" t="s">
        <v>994</v>
      </c>
      <c r="J1400" s="352" t="s">
        <v>995</v>
      </c>
      <c r="K1400" s="352">
        <v>2311</v>
      </c>
      <c r="L1400" s="352" t="s">
        <v>1887</v>
      </c>
      <c r="M1400" s="352" t="s">
        <v>2181</v>
      </c>
      <c r="N1400" s="352" t="s">
        <v>2048</v>
      </c>
      <c r="O1400" s="352">
        <v>8</v>
      </c>
      <c r="P1400" s="352" t="s">
        <v>2067</v>
      </c>
      <c r="Q1400" s="352" t="s">
        <v>2068</v>
      </c>
      <c r="R1400" s="251">
        <v>3817.2040075646578</v>
      </c>
      <c r="S1400" s="251" t="s">
        <v>2015</v>
      </c>
      <c r="T1400" s="251" t="s">
        <v>2016</v>
      </c>
      <c r="U1400" s="251" t="s">
        <v>1943</v>
      </c>
      <c r="V1400" s="251" t="s">
        <v>1944</v>
      </c>
      <c r="X1400" s="251">
        <v>0</v>
      </c>
    </row>
    <row r="1401" spans="2:24" x14ac:dyDescent="0.2">
      <c r="B1401" s="352" t="s">
        <v>870</v>
      </c>
      <c r="C1401" s="352" t="s">
        <v>754</v>
      </c>
      <c r="F1401" s="352" t="s">
        <v>1999</v>
      </c>
      <c r="G1401" s="352" t="s">
        <v>2122</v>
      </c>
      <c r="H1401" s="352" t="s">
        <v>1713</v>
      </c>
      <c r="I1401" s="352" t="s">
        <v>996</v>
      </c>
      <c r="J1401" s="352" t="s">
        <v>997</v>
      </c>
      <c r="K1401" s="352">
        <v>2311</v>
      </c>
      <c r="L1401" s="352" t="s">
        <v>1887</v>
      </c>
      <c r="M1401" s="352" t="s">
        <v>2182</v>
      </c>
      <c r="N1401" s="352" t="s">
        <v>2048</v>
      </c>
      <c r="O1401" s="352">
        <v>8</v>
      </c>
      <c r="P1401" s="352" t="s">
        <v>2067</v>
      </c>
      <c r="Q1401" s="352" t="s">
        <v>2068</v>
      </c>
      <c r="R1401" s="251">
        <v>0</v>
      </c>
      <c r="S1401" s="251" t="s">
        <v>2015</v>
      </c>
      <c r="T1401" s="251" t="s">
        <v>2054</v>
      </c>
      <c r="U1401" s="251" t="s">
        <v>1943</v>
      </c>
      <c r="V1401" s="251" t="s">
        <v>1944</v>
      </c>
      <c r="X1401" s="251">
        <v>0</v>
      </c>
    </row>
    <row r="1402" spans="2:24" x14ac:dyDescent="0.2">
      <c r="B1402" s="352" t="s">
        <v>870</v>
      </c>
      <c r="C1402" s="352" t="s">
        <v>754</v>
      </c>
      <c r="F1402" s="352" t="s">
        <v>1999</v>
      </c>
      <c r="G1402" s="352" t="s">
        <v>2122</v>
      </c>
      <c r="H1402" s="352" t="s">
        <v>1718</v>
      </c>
      <c r="I1402" s="352" t="s">
        <v>998</v>
      </c>
      <c r="J1402" s="352" t="s">
        <v>999</v>
      </c>
      <c r="K1402" s="352">
        <v>2311</v>
      </c>
      <c r="L1402" s="352" t="s">
        <v>1887</v>
      </c>
      <c r="M1402" s="352" t="s">
        <v>2183</v>
      </c>
      <c r="N1402" s="352" t="s">
        <v>2048</v>
      </c>
      <c r="O1402" s="352">
        <v>8</v>
      </c>
      <c r="P1402" s="352" t="s">
        <v>2067</v>
      </c>
      <c r="Q1402" s="352" t="s">
        <v>2068</v>
      </c>
      <c r="R1402" s="251">
        <v>0</v>
      </c>
      <c r="S1402" s="251" t="s">
        <v>2015</v>
      </c>
      <c r="T1402" s="251" t="s">
        <v>2054</v>
      </c>
      <c r="U1402" s="251" t="s">
        <v>1943</v>
      </c>
      <c r="V1402" s="251" t="s">
        <v>1944</v>
      </c>
      <c r="X1402" s="251">
        <v>0</v>
      </c>
    </row>
    <row r="1403" spans="2:24" x14ac:dyDescent="0.2">
      <c r="B1403" s="352" t="s">
        <v>870</v>
      </c>
      <c r="C1403" s="352" t="s">
        <v>754</v>
      </c>
      <c r="F1403" s="352" t="s">
        <v>1999</v>
      </c>
      <c r="G1403" s="352" t="s">
        <v>2122</v>
      </c>
      <c r="H1403" s="352" t="s">
        <v>1718</v>
      </c>
      <c r="I1403" s="352" t="s">
        <v>998</v>
      </c>
      <c r="J1403" s="352" t="s">
        <v>999</v>
      </c>
      <c r="K1403" s="352">
        <v>2312</v>
      </c>
      <c r="L1403" s="352" t="s">
        <v>789</v>
      </c>
      <c r="M1403" s="352" t="s">
        <v>2184</v>
      </c>
      <c r="N1403" s="352" t="s">
        <v>2048</v>
      </c>
      <c r="O1403" s="352">
        <v>8</v>
      </c>
      <c r="P1403" s="352" t="s">
        <v>2067</v>
      </c>
      <c r="Q1403" s="352" t="s">
        <v>2068</v>
      </c>
      <c r="R1403" s="251">
        <v>0</v>
      </c>
      <c r="S1403" s="251" t="s">
        <v>2015</v>
      </c>
      <c r="T1403" s="251" t="s">
        <v>2054</v>
      </c>
      <c r="U1403" s="251" t="s">
        <v>1943</v>
      </c>
      <c r="V1403" s="251" t="s">
        <v>1944</v>
      </c>
      <c r="X1403" s="251">
        <v>0</v>
      </c>
    </row>
    <row r="1404" spans="2:24" x14ac:dyDescent="0.2">
      <c r="B1404" s="352" t="s">
        <v>870</v>
      </c>
      <c r="C1404" s="352" t="s">
        <v>754</v>
      </c>
      <c r="F1404" s="352" t="s">
        <v>1999</v>
      </c>
      <c r="G1404" s="352" t="s">
        <v>2122</v>
      </c>
      <c r="H1404" s="352" t="s">
        <v>1723</v>
      </c>
      <c r="I1404" s="352" t="s">
        <v>1000</v>
      </c>
      <c r="J1404" s="352" t="s">
        <v>1001</v>
      </c>
      <c r="K1404" s="352">
        <v>2141</v>
      </c>
      <c r="L1404" s="352" t="s">
        <v>1882</v>
      </c>
      <c r="M1404" s="352" t="s">
        <v>2185</v>
      </c>
      <c r="N1404" s="352" t="s">
        <v>2048</v>
      </c>
      <c r="O1404" s="352">
        <v>12</v>
      </c>
      <c r="P1404" s="352" t="s">
        <v>2069</v>
      </c>
      <c r="Q1404" s="352" t="s">
        <v>2070</v>
      </c>
      <c r="R1404" s="251">
        <v>610.47049584108379</v>
      </c>
      <c r="S1404" s="251" t="s">
        <v>2015</v>
      </c>
      <c r="T1404" s="251" t="s">
        <v>2016</v>
      </c>
      <c r="U1404" s="251" t="s">
        <v>1935</v>
      </c>
      <c r="V1404" s="251" t="s">
        <v>1936</v>
      </c>
      <c r="X1404" s="251">
        <v>0</v>
      </c>
    </row>
    <row r="1405" spans="2:24" x14ac:dyDescent="0.2">
      <c r="B1405" s="352" t="s">
        <v>870</v>
      </c>
      <c r="C1405" s="352" t="s">
        <v>754</v>
      </c>
      <c r="F1405" s="352" t="s">
        <v>1999</v>
      </c>
      <c r="G1405" s="352" t="s">
        <v>2122</v>
      </c>
      <c r="H1405" s="352" t="s">
        <v>1723</v>
      </c>
      <c r="I1405" s="352" t="s">
        <v>1000</v>
      </c>
      <c r="J1405" s="352" t="s">
        <v>1001</v>
      </c>
      <c r="K1405" s="352">
        <v>2142</v>
      </c>
      <c r="L1405" s="352" t="s">
        <v>780</v>
      </c>
      <c r="M1405" s="352" t="s">
        <v>2186</v>
      </c>
      <c r="N1405" s="352" t="s">
        <v>2048</v>
      </c>
      <c r="O1405" s="352">
        <v>12</v>
      </c>
      <c r="P1405" s="352" t="s">
        <v>2069</v>
      </c>
      <c r="Q1405" s="352" t="s">
        <v>2070</v>
      </c>
      <c r="R1405" s="251">
        <v>1518.6046956815255</v>
      </c>
      <c r="S1405" s="251" t="s">
        <v>2015</v>
      </c>
      <c r="T1405" s="251" t="s">
        <v>2016</v>
      </c>
      <c r="U1405" s="251">
        <v>0</v>
      </c>
      <c r="V1405" s="251" t="s">
        <v>2153</v>
      </c>
      <c r="X1405" s="251">
        <v>0</v>
      </c>
    </row>
    <row r="1406" spans="2:24" x14ac:dyDescent="0.2">
      <c r="B1406" s="352" t="s">
        <v>870</v>
      </c>
      <c r="C1406" s="352" t="s">
        <v>754</v>
      </c>
      <c r="F1406" s="352" t="s">
        <v>1999</v>
      </c>
      <c r="G1406" s="352" t="s">
        <v>2122</v>
      </c>
      <c r="H1406" s="352" t="s">
        <v>1728</v>
      </c>
      <c r="I1406" s="352" t="s">
        <v>1002</v>
      </c>
      <c r="J1406" s="352" t="s">
        <v>1003</v>
      </c>
      <c r="K1406" s="352">
        <v>2113</v>
      </c>
      <c r="L1406" s="352" t="s">
        <v>1875</v>
      </c>
      <c r="M1406" s="352" t="s">
        <v>2187</v>
      </c>
      <c r="N1406" s="352" t="s">
        <v>2048</v>
      </c>
      <c r="O1406" s="352">
        <v>1</v>
      </c>
      <c r="P1406" s="352" t="s">
        <v>2065</v>
      </c>
      <c r="Q1406" s="352" t="s">
        <v>2066</v>
      </c>
      <c r="R1406" s="251">
        <v>0.80865974677099495</v>
      </c>
      <c r="S1406" s="251" t="s">
        <v>2015</v>
      </c>
      <c r="T1406" s="251" t="s">
        <v>2016</v>
      </c>
      <c r="U1406" s="251" t="s">
        <v>1935</v>
      </c>
      <c r="V1406" s="251" t="s">
        <v>1936</v>
      </c>
      <c r="X1406" s="251">
        <v>0</v>
      </c>
    </row>
    <row r="1407" spans="2:24" x14ac:dyDescent="0.2">
      <c r="B1407" s="352" t="s">
        <v>870</v>
      </c>
      <c r="C1407" s="352" t="s">
        <v>754</v>
      </c>
      <c r="F1407" s="352" t="s">
        <v>1999</v>
      </c>
      <c r="G1407" s="352" t="s">
        <v>2122</v>
      </c>
      <c r="H1407" s="352" t="s">
        <v>1728</v>
      </c>
      <c r="I1407" s="352" t="s">
        <v>1002</v>
      </c>
      <c r="J1407" s="352" t="s">
        <v>1003</v>
      </c>
      <c r="K1407" s="352">
        <v>2123</v>
      </c>
      <c r="L1407" s="352" t="s">
        <v>1878</v>
      </c>
      <c r="M1407" s="352" t="s">
        <v>2188</v>
      </c>
      <c r="N1407" s="352" t="s">
        <v>2048</v>
      </c>
      <c r="O1407" s="352">
        <v>1</v>
      </c>
      <c r="P1407" s="352" t="s">
        <v>2065</v>
      </c>
      <c r="Q1407" s="352" t="s">
        <v>2066</v>
      </c>
      <c r="R1407" s="251">
        <v>9.5643447863376565</v>
      </c>
      <c r="S1407" s="251" t="s">
        <v>2015</v>
      </c>
      <c r="T1407" s="251" t="s">
        <v>2016</v>
      </c>
      <c r="U1407" s="251" t="s">
        <v>1935</v>
      </c>
      <c r="V1407" s="251" t="s">
        <v>1936</v>
      </c>
      <c r="X1407" s="251">
        <v>0</v>
      </c>
    </row>
    <row r="1408" spans="2:24" x14ac:dyDescent="0.2">
      <c r="B1408" s="352" t="s">
        <v>870</v>
      </c>
      <c r="C1408" s="352" t="s">
        <v>754</v>
      </c>
      <c r="F1408" s="352" t="s">
        <v>1999</v>
      </c>
      <c r="G1408" s="352" t="s">
        <v>2122</v>
      </c>
      <c r="H1408" s="352" t="s">
        <v>1733</v>
      </c>
      <c r="I1408" s="352" t="s">
        <v>1006</v>
      </c>
      <c r="J1408" s="352" t="s">
        <v>1007</v>
      </c>
      <c r="K1408" s="352">
        <v>2133</v>
      </c>
      <c r="L1408" s="352" t="s">
        <v>1881</v>
      </c>
      <c r="M1408" s="352" t="s">
        <v>2189</v>
      </c>
      <c r="N1408" s="352" t="s">
        <v>2048</v>
      </c>
      <c r="O1408" s="352">
        <v>1</v>
      </c>
      <c r="P1408" s="352" t="s">
        <v>2065</v>
      </c>
      <c r="Q1408" s="352" t="s">
        <v>2066</v>
      </c>
      <c r="R1408" s="251">
        <v>78.775955553567726</v>
      </c>
      <c r="S1408" s="251" t="s">
        <v>2015</v>
      </c>
      <c r="T1408" s="251" t="s">
        <v>2016</v>
      </c>
      <c r="U1408" s="251" t="s">
        <v>1935</v>
      </c>
      <c r="V1408" s="251" t="s">
        <v>1936</v>
      </c>
      <c r="X1408" s="251">
        <v>0</v>
      </c>
    </row>
    <row r="1409" spans="2:24" x14ac:dyDescent="0.2">
      <c r="B1409" s="352" t="s">
        <v>870</v>
      </c>
      <c r="C1409" s="352" t="s">
        <v>754</v>
      </c>
      <c r="F1409" s="352" t="s">
        <v>1999</v>
      </c>
      <c r="G1409" s="352" t="s">
        <v>2122</v>
      </c>
      <c r="H1409" s="352" t="s">
        <v>1733</v>
      </c>
      <c r="I1409" s="352" t="s">
        <v>1006</v>
      </c>
      <c r="J1409" s="352" t="s">
        <v>1007</v>
      </c>
      <c r="K1409" s="352">
        <v>2141</v>
      </c>
      <c r="L1409" s="352" t="s">
        <v>1882</v>
      </c>
      <c r="M1409" s="352" t="s">
        <v>2190</v>
      </c>
      <c r="N1409" s="352" t="s">
        <v>2048</v>
      </c>
      <c r="O1409" s="352">
        <v>1</v>
      </c>
      <c r="P1409" s="352" t="s">
        <v>2065</v>
      </c>
      <c r="Q1409" s="352" t="s">
        <v>2066</v>
      </c>
      <c r="R1409" s="251">
        <v>0</v>
      </c>
      <c r="S1409" s="251" t="s">
        <v>2015</v>
      </c>
      <c r="T1409" s="251" t="s">
        <v>2054</v>
      </c>
      <c r="U1409" s="251" t="s">
        <v>1935</v>
      </c>
      <c r="V1409" s="251" t="s">
        <v>1936</v>
      </c>
      <c r="X1409" s="251">
        <v>0</v>
      </c>
    </row>
    <row r="1410" spans="2:24" x14ac:dyDescent="0.2">
      <c r="B1410" s="352" t="s">
        <v>870</v>
      </c>
      <c r="C1410" s="352" t="s">
        <v>754</v>
      </c>
      <c r="F1410" s="352" t="s">
        <v>1999</v>
      </c>
      <c r="G1410" s="352" t="s">
        <v>2122</v>
      </c>
      <c r="H1410" s="352" t="s">
        <v>1733</v>
      </c>
      <c r="I1410" s="352" t="s">
        <v>1006</v>
      </c>
      <c r="J1410" s="352" t="s">
        <v>1007</v>
      </c>
      <c r="K1410" s="352">
        <v>2221</v>
      </c>
      <c r="L1410" s="352" t="s">
        <v>1884</v>
      </c>
      <c r="M1410" s="352" t="s">
        <v>2191</v>
      </c>
      <c r="N1410" s="352" t="s">
        <v>2048</v>
      </c>
      <c r="O1410" s="352">
        <v>1</v>
      </c>
      <c r="P1410" s="352" t="s">
        <v>2065</v>
      </c>
      <c r="Q1410" s="352" t="s">
        <v>2066</v>
      </c>
      <c r="R1410" s="251">
        <v>288.22441271863732</v>
      </c>
      <c r="S1410" s="251" t="s">
        <v>2015</v>
      </c>
      <c r="T1410" s="251" t="s">
        <v>2016</v>
      </c>
      <c r="U1410" s="251" t="s">
        <v>1935</v>
      </c>
      <c r="V1410" s="251" t="s">
        <v>1936</v>
      </c>
      <c r="X1410" s="251">
        <v>0</v>
      </c>
    </row>
    <row r="1411" spans="2:24" x14ac:dyDescent="0.2">
      <c r="B1411" s="352" t="s">
        <v>870</v>
      </c>
      <c r="C1411" s="352" t="s">
        <v>754</v>
      </c>
      <c r="F1411" s="352" t="s">
        <v>1999</v>
      </c>
      <c r="G1411" s="352" t="s">
        <v>2122</v>
      </c>
      <c r="H1411" s="352" t="s">
        <v>1738</v>
      </c>
      <c r="I1411" s="352" t="s">
        <v>1008</v>
      </c>
      <c r="J1411" s="352" t="s">
        <v>1009</v>
      </c>
      <c r="K1411" s="352">
        <v>2223</v>
      </c>
      <c r="L1411" s="352" t="s">
        <v>1886</v>
      </c>
      <c r="M1411" s="352" t="s">
        <v>2192</v>
      </c>
      <c r="N1411" s="352" t="s">
        <v>2048</v>
      </c>
      <c r="O1411" s="352">
        <v>2</v>
      </c>
      <c r="P1411" s="352" t="s">
        <v>2071</v>
      </c>
      <c r="Q1411" s="352" t="s">
        <v>2072</v>
      </c>
      <c r="R1411" s="251">
        <v>10.380408510097872</v>
      </c>
      <c r="S1411" s="251" t="s">
        <v>2193</v>
      </c>
      <c r="T1411" s="251" t="s">
        <v>2213</v>
      </c>
      <c r="U1411" s="251" t="s">
        <v>1937</v>
      </c>
      <c r="V1411" s="251" t="s">
        <v>1938</v>
      </c>
      <c r="X1411" s="251">
        <v>0</v>
      </c>
    </row>
    <row r="1412" spans="2:24" x14ac:dyDescent="0.2">
      <c r="B1412" s="352" t="s">
        <v>870</v>
      </c>
      <c r="C1412" s="352" t="s">
        <v>754</v>
      </c>
      <c r="F1412" s="352" t="s">
        <v>1999</v>
      </c>
      <c r="G1412" s="352" t="s">
        <v>2122</v>
      </c>
      <c r="H1412" s="352" t="s">
        <v>1743</v>
      </c>
      <c r="I1412" s="352" t="s">
        <v>1010</v>
      </c>
      <c r="J1412" s="352" t="s">
        <v>1011</v>
      </c>
      <c r="K1412" s="352">
        <v>2222</v>
      </c>
      <c r="L1412" s="352" t="s">
        <v>1885</v>
      </c>
      <c r="M1412" s="352" t="s">
        <v>2194</v>
      </c>
      <c r="N1412" s="352" t="s">
        <v>2048</v>
      </c>
      <c r="O1412" s="352">
        <v>2</v>
      </c>
      <c r="P1412" s="352" t="s">
        <v>2071</v>
      </c>
      <c r="Q1412" s="352" t="s">
        <v>2072</v>
      </c>
      <c r="R1412" s="251">
        <v>134.07979500328059</v>
      </c>
      <c r="S1412" s="251" t="s">
        <v>2193</v>
      </c>
      <c r="T1412" s="251" t="s">
        <v>2213</v>
      </c>
      <c r="U1412" s="251" t="s">
        <v>1939</v>
      </c>
      <c r="V1412" s="251" t="s">
        <v>1940</v>
      </c>
      <c r="X1412" s="251">
        <v>0</v>
      </c>
    </row>
    <row r="1413" spans="2:24" x14ac:dyDescent="0.2">
      <c r="B1413" s="352" t="s">
        <v>870</v>
      </c>
      <c r="C1413" s="352" t="s">
        <v>754</v>
      </c>
      <c r="F1413" s="352" t="s">
        <v>1999</v>
      </c>
      <c r="G1413" s="352" t="s">
        <v>2122</v>
      </c>
      <c r="H1413" s="352" t="s">
        <v>1748</v>
      </c>
      <c r="I1413" s="352" t="s">
        <v>1012</v>
      </c>
      <c r="J1413" s="352" t="s">
        <v>1013</v>
      </c>
      <c r="K1413" s="352">
        <v>2222</v>
      </c>
      <c r="L1413" s="352" t="s">
        <v>1885</v>
      </c>
      <c r="M1413" s="352" t="s">
        <v>2195</v>
      </c>
      <c r="N1413" s="352" t="s">
        <v>2048</v>
      </c>
      <c r="O1413" s="352">
        <v>2</v>
      </c>
      <c r="P1413" s="352" t="s">
        <v>2071</v>
      </c>
      <c r="Q1413" s="352" t="s">
        <v>2072</v>
      </c>
      <c r="R1413" s="251">
        <v>0</v>
      </c>
      <c r="S1413" s="251" t="s">
        <v>2193</v>
      </c>
      <c r="T1413" s="251" t="s">
        <v>2054</v>
      </c>
      <c r="U1413" s="251" t="s">
        <v>1939</v>
      </c>
      <c r="V1413" s="251" t="s">
        <v>1940</v>
      </c>
      <c r="X1413" s="251">
        <v>0</v>
      </c>
    </row>
    <row r="1414" spans="2:24" x14ac:dyDescent="0.2">
      <c r="B1414" s="352" t="s">
        <v>870</v>
      </c>
      <c r="C1414" s="352" t="s">
        <v>754</v>
      </c>
      <c r="F1414" s="352" t="s">
        <v>1999</v>
      </c>
      <c r="G1414" s="352" t="s">
        <v>2122</v>
      </c>
      <c r="H1414" s="352" t="s">
        <v>1753</v>
      </c>
      <c r="I1414" s="352" t="s">
        <v>1014</v>
      </c>
      <c r="J1414" s="352" t="s">
        <v>1893</v>
      </c>
      <c r="K1414" s="352">
        <v>2131</v>
      </c>
      <c r="L1414" s="352" t="s">
        <v>1879</v>
      </c>
      <c r="M1414" s="352" t="s">
        <v>2196</v>
      </c>
      <c r="N1414" s="352" t="s">
        <v>2048</v>
      </c>
      <c r="O1414" s="352">
        <v>8</v>
      </c>
      <c r="P1414" s="352" t="s">
        <v>2067</v>
      </c>
      <c r="Q1414" s="352" t="s">
        <v>2068</v>
      </c>
      <c r="R1414" s="251">
        <v>0</v>
      </c>
      <c r="S1414" s="251" t="s">
        <v>2015</v>
      </c>
      <c r="T1414" s="251" t="s">
        <v>2054</v>
      </c>
      <c r="U1414" s="251" t="s">
        <v>1929</v>
      </c>
      <c r="V1414" s="251" t="s">
        <v>1930</v>
      </c>
      <c r="X1414" s="251">
        <v>0</v>
      </c>
    </row>
    <row r="1415" spans="2:24" x14ac:dyDescent="0.2">
      <c r="B1415" s="352" t="s">
        <v>870</v>
      </c>
      <c r="C1415" s="352" t="s">
        <v>754</v>
      </c>
      <c r="F1415" s="352" t="s">
        <v>1999</v>
      </c>
      <c r="G1415" s="352" t="s">
        <v>2122</v>
      </c>
      <c r="H1415" s="352" t="s">
        <v>1753</v>
      </c>
      <c r="I1415" s="352" t="s">
        <v>1014</v>
      </c>
      <c r="J1415" s="352" t="s">
        <v>1893</v>
      </c>
      <c r="K1415" s="352">
        <v>2132</v>
      </c>
      <c r="L1415" s="352" t="s">
        <v>1880</v>
      </c>
      <c r="M1415" s="352" t="s">
        <v>2197</v>
      </c>
      <c r="N1415" s="352" t="s">
        <v>2048</v>
      </c>
      <c r="O1415" s="352">
        <v>8</v>
      </c>
      <c r="P1415" s="352" t="s">
        <v>2067</v>
      </c>
      <c r="Q1415" s="352" t="s">
        <v>2068</v>
      </c>
      <c r="R1415" s="251">
        <v>0</v>
      </c>
      <c r="S1415" s="251" t="s">
        <v>2015</v>
      </c>
      <c r="T1415" s="251" t="s">
        <v>2054</v>
      </c>
      <c r="U1415" s="251" t="s">
        <v>1931</v>
      </c>
      <c r="V1415" s="251" t="s">
        <v>1932</v>
      </c>
      <c r="X1415" s="251">
        <v>0</v>
      </c>
    </row>
    <row r="1416" spans="2:24" x14ac:dyDescent="0.2">
      <c r="B1416" s="352" t="s">
        <v>870</v>
      </c>
      <c r="C1416" s="352" t="s">
        <v>754</v>
      </c>
      <c r="F1416" s="352" t="s">
        <v>1999</v>
      </c>
      <c r="G1416" s="352" t="s">
        <v>2122</v>
      </c>
      <c r="H1416" s="352" t="s">
        <v>1753</v>
      </c>
      <c r="I1416" s="352" t="s">
        <v>1014</v>
      </c>
      <c r="J1416" s="352" t="s">
        <v>1893</v>
      </c>
      <c r="K1416" s="352">
        <v>2133</v>
      </c>
      <c r="L1416" s="352" t="s">
        <v>1881</v>
      </c>
      <c r="M1416" s="352" t="s">
        <v>2198</v>
      </c>
      <c r="N1416" s="352" t="s">
        <v>2048</v>
      </c>
      <c r="O1416" s="352">
        <v>8</v>
      </c>
      <c r="P1416" s="352" t="s">
        <v>2067</v>
      </c>
      <c r="Q1416" s="352" t="s">
        <v>2068</v>
      </c>
      <c r="R1416" s="251">
        <v>0</v>
      </c>
      <c r="S1416" s="251" t="s">
        <v>2015</v>
      </c>
      <c r="T1416" s="251" t="s">
        <v>2054</v>
      </c>
      <c r="U1416" s="251" t="s">
        <v>1935</v>
      </c>
      <c r="V1416" s="251" t="s">
        <v>1936</v>
      </c>
      <c r="X1416" s="251">
        <v>0</v>
      </c>
    </row>
    <row r="1417" spans="2:24" x14ac:dyDescent="0.2">
      <c r="B1417" s="352" t="s">
        <v>870</v>
      </c>
      <c r="C1417" s="352" t="s">
        <v>754</v>
      </c>
      <c r="F1417" s="352" t="s">
        <v>1999</v>
      </c>
      <c r="G1417" s="352" t="s">
        <v>2122</v>
      </c>
      <c r="H1417" s="352" t="s">
        <v>1753</v>
      </c>
      <c r="I1417" s="352" t="s">
        <v>1014</v>
      </c>
      <c r="J1417" s="352" t="s">
        <v>1893</v>
      </c>
      <c r="K1417" s="352">
        <v>2134</v>
      </c>
      <c r="L1417" s="352" t="s">
        <v>775</v>
      </c>
      <c r="M1417" s="352" t="s">
        <v>2199</v>
      </c>
      <c r="N1417" s="352" t="s">
        <v>2048</v>
      </c>
      <c r="O1417" s="352">
        <v>8</v>
      </c>
      <c r="P1417" s="352" t="s">
        <v>2067</v>
      </c>
      <c r="Q1417" s="352" t="s">
        <v>2068</v>
      </c>
      <c r="R1417" s="251">
        <v>5.7765184973207138</v>
      </c>
      <c r="S1417" s="251" t="s">
        <v>2015</v>
      </c>
      <c r="T1417" s="251" t="s">
        <v>2016</v>
      </c>
      <c r="U1417" s="251">
        <v>0</v>
      </c>
      <c r="V1417" s="251" t="s">
        <v>2153</v>
      </c>
      <c r="X1417" s="251">
        <v>0</v>
      </c>
    </row>
    <row r="1418" spans="2:24" x14ac:dyDescent="0.2">
      <c r="B1418" s="352" t="s">
        <v>870</v>
      </c>
      <c r="C1418" s="352" t="s">
        <v>754</v>
      </c>
      <c r="F1418" s="352" t="s">
        <v>1999</v>
      </c>
      <c r="G1418" s="352" t="s">
        <v>2122</v>
      </c>
      <c r="H1418" s="352" t="s">
        <v>1753</v>
      </c>
      <c r="I1418" s="352" t="s">
        <v>1014</v>
      </c>
      <c r="J1418" s="352" t="s">
        <v>1893</v>
      </c>
      <c r="K1418" s="352">
        <v>2141</v>
      </c>
      <c r="L1418" s="352" t="s">
        <v>1882</v>
      </c>
      <c r="M1418" s="352" t="s">
        <v>2200</v>
      </c>
      <c r="N1418" s="352" t="s">
        <v>2048</v>
      </c>
      <c r="O1418" s="352">
        <v>8</v>
      </c>
      <c r="P1418" s="352" t="s">
        <v>2067</v>
      </c>
      <c r="Q1418" s="352" t="s">
        <v>2068</v>
      </c>
      <c r="R1418" s="251">
        <v>18.880530799208778</v>
      </c>
      <c r="S1418" s="251" t="s">
        <v>2015</v>
      </c>
      <c r="T1418" s="251" t="s">
        <v>2016</v>
      </c>
      <c r="U1418" s="251" t="s">
        <v>1935</v>
      </c>
      <c r="V1418" s="251" t="s">
        <v>1936</v>
      </c>
      <c r="X1418" s="251">
        <v>0</v>
      </c>
    </row>
    <row r="1419" spans="2:24" x14ac:dyDescent="0.2">
      <c r="B1419" s="352" t="s">
        <v>870</v>
      </c>
      <c r="C1419" s="352" t="s">
        <v>754</v>
      </c>
      <c r="F1419" s="352" t="s">
        <v>1999</v>
      </c>
      <c r="G1419" s="352" t="s">
        <v>2122</v>
      </c>
      <c r="H1419" s="352" t="s">
        <v>1753</v>
      </c>
      <c r="I1419" s="352" t="s">
        <v>1014</v>
      </c>
      <c r="J1419" s="352" t="s">
        <v>1893</v>
      </c>
      <c r="K1419" s="352">
        <v>2211</v>
      </c>
      <c r="L1419" s="352" t="s">
        <v>1883</v>
      </c>
      <c r="M1419" s="352" t="s">
        <v>2201</v>
      </c>
      <c r="N1419" s="352" t="s">
        <v>2048</v>
      </c>
      <c r="O1419" s="352">
        <v>8</v>
      </c>
      <c r="P1419" s="352" t="s">
        <v>2067</v>
      </c>
      <c r="Q1419" s="352" t="s">
        <v>2068</v>
      </c>
      <c r="R1419" s="251">
        <v>0</v>
      </c>
      <c r="S1419" s="251" t="s">
        <v>2015</v>
      </c>
      <c r="T1419" s="251" t="s">
        <v>2054</v>
      </c>
      <c r="U1419" s="251" t="s">
        <v>1929</v>
      </c>
      <c r="V1419" s="251" t="s">
        <v>1930</v>
      </c>
      <c r="X1419" s="251">
        <v>0</v>
      </c>
    </row>
    <row r="1420" spans="2:24" x14ac:dyDescent="0.2">
      <c r="B1420" s="352" t="s">
        <v>870</v>
      </c>
      <c r="C1420" s="352" t="s">
        <v>754</v>
      </c>
      <c r="F1420" s="352" t="s">
        <v>1999</v>
      </c>
      <c r="G1420" s="352" t="s">
        <v>2122</v>
      </c>
      <c r="H1420" s="352" t="s">
        <v>1753</v>
      </c>
      <c r="I1420" s="352" t="s">
        <v>1014</v>
      </c>
      <c r="J1420" s="352" t="s">
        <v>1893</v>
      </c>
      <c r="K1420" s="352">
        <v>2221</v>
      </c>
      <c r="L1420" s="352" t="s">
        <v>1884</v>
      </c>
      <c r="M1420" s="352" t="s">
        <v>2202</v>
      </c>
      <c r="N1420" s="352" t="s">
        <v>2048</v>
      </c>
      <c r="O1420" s="352">
        <v>8</v>
      </c>
      <c r="P1420" s="352" t="s">
        <v>2067</v>
      </c>
      <c r="Q1420" s="352" t="s">
        <v>2068</v>
      </c>
      <c r="R1420" s="251">
        <v>0</v>
      </c>
      <c r="S1420" s="251" t="s">
        <v>2015</v>
      </c>
      <c r="T1420" s="251" t="s">
        <v>2054</v>
      </c>
      <c r="U1420" s="251" t="s">
        <v>1935</v>
      </c>
      <c r="V1420" s="251" t="s">
        <v>1936</v>
      </c>
      <c r="X1420" s="251">
        <v>0</v>
      </c>
    </row>
    <row r="1421" spans="2:24" x14ac:dyDescent="0.2">
      <c r="B1421" s="352" t="s">
        <v>870</v>
      </c>
      <c r="C1421" s="352" t="s">
        <v>754</v>
      </c>
      <c r="F1421" s="352" t="s">
        <v>1999</v>
      </c>
      <c r="G1421" s="352" t="s">
        <v>2122</v>
      </c>
      <c r="H1421" s="352" t="s">
        <v>1758</v>
      </c>
      <c r="I1421" s="352" t="s">
        <v>1015</v>
      </c>
      <c r="J1421" s="352" t="s">
        <v>1016</v>
      </c>
      <c r="K1421" s="352">
        <v>3111</v>
      </c>
      <c r="L1421" s="352" t="s">
        <v>763</v>
      </c>
      <c r="M1421" s="352" t="s">
        <v>2203</v>
      </c>
      <c r="N1421" s="352" t="s">
        <v>2048</v>
      </c>
      <c r="O1421" s="352">
        <v>1</v>
      </c>
      <c r="P1421" s="352" t="s">
        <v>2065</v>
      </c>
      <c r="Q1421" s="352" t="s">
        <v>2066</v>
      </c>
      <c r="R1421" s="251">
        <v>0</v>
      </c>
      <c r="S1421" s="251"/>
      <c r="T1421" s="251" t="s">
        <v>2054</v>
      </c>
      <c r="U1421" s="251" t="s">
        <v>1945</v>
      </c>
      <c r="V1421" s="251" t="s">
        <v>709</v>
      </c>
      <c r="X1421" s="251">
        <v>0</v>
      </c>
    </row>
    <row r="1422" spans="2:24" x14ac:dyDescent="0.2">
      <c r="B1422" s="352" t="s">
        <v>870</v>
      </c>
      <c r="C1422" s="352" t="s">
        <v>754</v>
      </c>
      <c r="F1422" s="352" t="s">
        <v>1999</v>
      </c>
      <c r="G1422" s="352" t="s">
        <v>2122</v>
      </c>
      <c r="H1422" s="352" t="s">
        <v>1758</v>
      </c>
      <c r="I1422" s="352" t="s">
        <v>1015</v>
      </c>
      <c r="J1422" s="352" t="s">
        <v>1016</v>
      </c>
      <c r="K1422" s="352">
        <v>3121</v>
      </c>
      <c r="L1422" s="352" t="s">
        <v>766</v>
      </c>
      <c r="M1422" s="352" t="s">
        <v>2204</v>
      </c>
      <c r="N1422" s="352" t="s">
        <v>2048</v>
      </c>
      <c r="O1422" s="352">
        <v>1</v>
      </c>
      <c r="P1422" s="352" t="s">
        <v>2065</v>
      </c>
      <c r="Q1422" s="352" t="s">
        <v>2066</v>
      </c>
      <c r="R1422" s="251">
        <v>0</v>
      </c>
      <c r="S1422" s="251"/>
      <c r="T1422" s="251" t="s">
        <v>2054</v>
      </c>
      <c r="U1422" s="251" t="s">
        <v>1945</v>
      </c>
      <c r="V1422" s="251" t="s">
        <v>709</v>
      </c>
      <c r="X1422" s="251">
        <v>0</v>
      </c>
    </row>
    <row r="1423" spans="2:24" x14ac:dyDescent="0.2">
      <c r="B1423" s="352" t="s">
        <v>870</v>
      </c>
      <c r="C1423" s="352" t="s">
        <v>754</v>
      </c>
      <c r="F1423" s="352" t="s">
        <v>1999</v>
      </c>
      <c r="G1423" s="352" t="s">
        <v>2122</v>
      </c>
      <c r="H1423" s="352" t="s">
        <v>1763</v>
      </c>
      <c r="I1423" s="352" t="s">
        <v>1017</v>
      </c>
      <c r="J1423" s="352" t="s">
        <v>1018</v>
      </c>
      <c r="K1423" s="352">
        <v>4111</v>
      </c>
      <c r="L1423" s="352" t="s">
        <v>770</v>
      </c>
      <c r="M1423" s="352" t="s">
        <v>2205</v>
      </c>
      <c r="N1423" s="352" t="s">
        <v>2048</v>
      </c>
      <c r="O1423" s="352">
        <v>11</v>
      </c>
      <c r="P1423" s="352" t="s">
        <v>2063</v>
      </c>
      <c r="Q1423" s="352" t="s">
        <v>2064</v>
      </c>
      <c r="R1423" s="251">
        <v>64.998404586668585</v>
      </c>
      <c r="S1423" s="251" t="s">
        <v>2015</v>
      </c>
      <c r="T1423" s="251" t="s">
        <v>2016</v>
      </c>
      <c r="U1423" s="251" t="s">
        <v>1946</v>
      </c>
      <c r="V1423" s="251" t="s">
        <v>1947</v>
      </c>
      <c r="X1423" s="251">
        <v>0</v>
      </c>
    </row>
    <row r="1424" spans="2:24" x14ac:dyDescent="0.2">
      <c r="B1424" s="352" t="s">
        <v>870</v>
      </c>
      <c r="C1424" s="352" t="s">
        <v>754</v>
      </c>
      <c r="F1424" s="352" t="s">
        <v>1999</v>
      </c>
      <c r="G1424" s="352" t="s">
        <v>2122</v>
      </c>
      <c r="H1424" s="352" t="s">
        <v>1763</v>
      </c>
      <c r="I1424" s="352" t="s">
        <v>1017</v>
      </c>
      <c r="J1424" s="352" t="s">
        <v>1018</v>
      </c>
      <c r="K1424" s="352">
        <v>4121</v>
      </c>
      <c r="L1424" s="352" t="s">
        <v>772</v>
      </c>
      <c r="M1424" s="352" t="s">
        <v>2206</v>
      </c>
      <c r="N1424" s="352" t="s">
        <v>2048</v>
      </c>
      <c r="O1424" s="352">
        <v>11</v>
      </c>
      <c r="P1424" s="352" t="s">
        <v>2063</v>
      </c>
      <c r="Q1424" s="352" t="s">
        <v>2064</v>
      </c>
      <c r="R1424" s="251">
        <v>76.444014208759668</v>
      </c>
      <c r="S1424" s="251" t="s">
        <v>2015</v>
      </c>
      <c r="T1424" s="251" t="s">
        <v>2016</v>
      </c>
      <c r="U1424" s="251" t="s">
        <v>1946</v>
      </c>
      <c r="V1424" s="251" t="s">
        <v>1947</v>
      </c>
      <c r="X1424" s="251">
        <v>0</v>
      </c>
    </row>
    <row r="1425" spans="2:24" x14ac:dyDescent="0.2">
      <c r="B1425" s="352" t="s">
        <v>870</v>
      </c>
      <c r="C1425" s="352" t="s">
        <v>754</v>
      </c>
      <c r="F1425" s="352" t="s">
        <v>1999</v>
      </c>
      <c r="G1425" s="352" t="s">
        <v>2122</v>
      </c>
      <c r="H1425" s="352" t="s">
        <v>1768</v>
      </c>
      <c r="I1425" s="352" t="s">
        <v>1019</v>
      </c>
      <c r="J1425" s="352" t="s">
        <v>1020</v>
      </c>
      <c r="K1425" s="352">
        <v>4231</v>
      </c>
      <c r="L1425" s="352" t="s">
        <v>774</v>
      </c>
      <c r="M1425" s="352" t="s">
        <v>2207</v>
      </c>
      <c r="N1425" s="352" t="s">
        <v>2048</v>
      </c>
      <c r="O1425" s="352">
        <v>1</v>
      </c>
      <c r="P1425" s="352" t="s">
        <v>2065</v>
      </c>
      <c r="Q1425" s="352" t="s">
        <v>2066</v>
      </c>
      <c r="R1425" s="251">
        <v>613.13049765121048</v>
      </c>
      <c r="S1425" s="251" t="s">
        <v>2015</v>
      </c>
      <c r="T1425" s="251" t="s">
        <v>2016</v>
      </c>
      <c r="U1425" s="251" t="s">
        <v>1948</v>
      </c>
      <c r="V1425" s="251" t="s">
        <v>1949</v>
      </c>
      <c r="X1425" s="251">
        <v>0</v>
      </c>
    </row>
    <row r="1426" spans="2:24" x14ac:dyDescent="0.2">
      <c r="B1426" s="352" t="s">
        <v>870</v>
      </c>
      <c r="C1426" s="352" t="s">
        <v>754</v>
      </c>
      <c r="F1426" s="352" t="s">
        <v>1999</v>
      </c>
      <c r="G1426" s="352" t="s">
        <v>2122</v>
      </c>
      <c r="H1426" s="352" t="s">
        <v>1768</v>
      </c>
      <c r="I1426" s="352" t="s">
        <v>1019</v>
      </c>
      <c r="J1426" s="352" t="s">
        <v>1020</v>
      </c>
      <c r="K1426" s="352">
        <v>4241</v>
      </c>
      <c r="L1426" s="352" t="s">
        <v>777</v>
      </c>
      <c r="M1426" s="352" t="s">
        <v>2208</v>
      </c>
      <c r="N1426" s="352" t="s">
        <v>2048</v>
      </c>
      <c r="O1426" s="352">
        <v>1</v>
      </c>
      <c r="P1426" s="352" t="s">
        <v>2065</v>
      </c>
      <c r="Q1426" s="352" t="s">
        <v>2066</v>
      </c>
      <c r="R1426" s="251">
        <v>19822.546504618138</v>
      </c>
      <c r="S1426" s="251" t="s">
        <v>2015</v>
      </c>
      <c r="T1426" s="251" t="s">
        <v>2016</v>
      </c>
      <c r="U1426" s="251" t="s">
        <v>1950</v>
      </c>
      <c r="V1426" s="251" t="s">
        <v>1951</v>
      </c>
      <c r="X1426" s="251">
        <v>0</v>
      </c>
    </row>
    <row r="1427" spans="2:24" x14ac:dyDescent="0.2">
      <c r="B1427" s="352" t="s">
        <v>870</v>
      </c>
      <c r="C1427" s="352" t="s">
        <v>754</v>
      </c>
      <c r="F1427" s="352" t="s">
        <v>1999</v>
      </c>
      <c r="G1427" s="352" t="s">
        <v>2122</v>
      </c>
      <c r="H1427" s="352" t="s">
        <v>1768</v>
      </c>
      <c r="I1427" s="352" t="s">
        <v>1019</v>
      </c>
      <c r="J1427" s="352" t="s">
        <v>1020</v>
      </c>
      <c r="K1427" s="352">
        <v>4311</v>
      </c>
      <c r="L1427" s="352" t="s">
        <v>779</v>
      </c>
      <c r="M1427" s="352" t="s">
        <v>2209</v>
      </c>
      <c r="N1427" s="352" t="s">
        <v>2048</v>
      </c>
      <c r="O1427" s="352">
        <v>1</v>
      </c>
      <c r="P1427" s="352" t="s">
        <v>2065</v>
      </c>
      <c r="Q1427" s="352" t="s">
        <v>2066</v>
      </c>
      <c r="R1427" s="251">
        <v>0</v>
      </c>
      <c r="S1427" s="251" t="s">
        <v>2015</v>
      </c>
      <c r="T1427" s="251" t="s">
        <v>2054</v>
      </c>
      <c r="U1427" s="251" t="s">
        <v>1952</v>
      </c>
      <c r="V1427" s="251" t="s">
        <v>1953</v>
      </c>
      <c r="X1427" s="251">
        <v>0</v>
      </c>
    </row>
    <row r="1428" spans="2:24" x14ac:dyDescent="0.2">
      <c r="B1428" s="352" t="s">
        <v>870</v>
      </c>
      <c r="C1428" s="352" t="s">
        <v>754</v>
      </c>
      <c r="F1428" s="352" t="s">
        <v>1999</v>
      </c>
      <c r="G1428" s="352" t="s">
        <v>2122</v>
      </c>
      <c r="H1428" s="352" t="s">
        <v>1773</v>
      </c>
      <c r="I1428" s="352" t="s">
        <v>1021</v>
      </c>
      <c r="J1428" s="352" t="s">
        <v>751</v>
      </c>
      <c r="K1428" s="352">
        <v>4231</v>
      </c>
      <c r="L1428" s="352" t="s">
        <v>774</v>
      </c>
      <c r="M1428" s="352" t="s">
        <v>2210</v>
      </c>
      <c r="N1428" s="352" t="s">
        <v>2048</v>
      </c>
      <c r="O1428" s="352">
        <v>20</v>
      </c>
      <c r="P1428" s="352" t="s">
        <v>2073</v>
      </c>
      <c r="Q1428" s="352" t="s">
        <v>2074</v>
      </c>
      <c r="R1428" s="251">
        <v>0</v>
      </c>
      <c r="S1428" s="251" t="s">
        <v>2015</v>
      </c>
      <c r="T1428" s="251" t="s">
        <v>2054</v>
      </c>
      <c r="U1428" s="251" t="s">
        <v>1948</v>
      </c>
      <c r="V1428" s="251" t="s">
        <v>1949</v>
      </c>
      <c r="X1428" s="251">
        <v>0</v>
      </c>
    </row>
    <row r="1429" spans="2:24" x14ac:dyDescent="0.2">
      <c r="B1429" s="352" t="s">
        <v>870</v>
      </c>
      <c r="C1429" s="352" t="s">
        <v>754</v>
      </c>
      <c r="F1429" s="352" t="s">
        <v>1999</v>
      </c>
      <c r="G1429" s="352" t="s">
        <v>2122</v>
      </c>
      <c r="H1429" s="352" t="s">
        <v>1773</v>
      </c>
      <c r="I1429" s="352" t="s">
        <v>1021</v>
      </c>
      <c r="J1429" s="352" t="s">
        <v>751</v>
      </c>
      <c r="K1429" s="352">
        <v>4241</v>
      </c>
      <c r="L1429" s="352" t="s">
        <v>777</v>
      </c>
      <c r="M1429" s="352" t="s">
        <v>2211</v>
      </c>
      <c r="N1429" s="352" t="s">
        <v>2048</v>
      </c>
      <c r="O1429" s="352">
        <v>20</v>
      </c>
      <c r="P1429" s="352" t="s">
        <v>2073</v>
      </c>
      <c r="Q1429" s="352" t="s">
        <v>2074</v>
      </c>
      <c r="R1429" s="251">
        <v>0</v>
      </c>
      <c r="S1429" s="251" t="s">
        <v>2015</v>
      </c>
      <c r="T1429" s="251" t="s">
        <v>2054</v>
      </c>
      <c r="U1429" s="251" t="s">
        <v>1950</v>
      </c>
      <c r="V1429" s="251" t="s">
        <v>1951</v>
      </c>
      <c r="X1429" s="251">
        <v>0</v>
      </c>
    </row>
    <row r="1430" spans="2:24" x14ac:dyDescent="0.2">
      <c r="B1430" s="352" t="s">
        <v>870</v>
      </c>
      <c r="C1430" s="352" t="s">
        <v>754</v>
      </c>
      <c r="F1430" s="352" t="s">
        <v>1999</v>
      </c>
      <c r="G1430" s="352" t="s">
        <v>2122</v>
      </c>
      <c r="H1430" s="352" t="s">
        <v>1773</v>
      </c>
      <c r="I1430" s="352" t="s">
        <v>1021</v>
      </c>
      <c r="J1430" s="352" t="s">
        <v>751</v>
      </c>
      <c r="K1430" s="352">
        <v>4311</v>
      </c>
      <c r="L1430" s="352" t="s">
        <v>779</v>
      </c>
      <c r="M1430" s="352" t="s">
        <v>2212</v>
      </c>
      <c r="N1430" s="352" t="s">
        <v>2048</v>
      </c>
      <c r="O1430" s="352">
        <v>20</v>
      </c>
      <c r="P1430" s="352" t="s">
        <v>2073</v>
      </c>
      <c r="Q1430" s="352" t="s">
        <v>2074</v>
      </c>
      <c r="R1430" s="251">
        <v>24050.323138516822</v>
      </c>
      <c r="S1430" s="251" t="s">
        <v>2015</v>
      </c>
      <c r="T1430" s="251" t="s">
        <v>2016</v>
      </c>
      <c r="U1430" s="251" t="s">
        <v>1952</v>
      </c>
      <c r="V1430" s="251" t="s">
        <v>1953</v>
      </c>
      <c r="X1430" s="251">
        <v>0</v>
      </c>
    </row>
    <row r="1431" spans="2:24" x14ac:dyDescent="0.2">
      <c r="B1431" s="352" t="s">
        <v>870</v>
      </c>
      <c r="C1431" s="352" t="s">
        <v>757</v>
      </c>
      <c r="F1431" s="352" t="s">
        <v>2000</v>
      </c>
      <c r="G1431" s="352" t="s">
        <v>2129</v>
      </c>
      <c r="H1431" s="352" t="s">
        <v>1778</v>
      </c>
      <c r="I1431" s="352" t="s">
        <v>1015</v>
      </c>
      <c r="J1431" s="352" t="s">
        <v>1016</v>
      </c>
      <c r="K1431" s="352">
        <v>3111</v>
      </c>
      <c r="L1431" s="352" t="s">
        <v>763</v>
      </c>
      <c r="M1431" s="352" t="s">
        <v>2203</v>
      </c>
      <c r="N1431" s="352" t="s">
        <v>2076</v>
      </c>
      <c r="O1431" s="352">
        <v>99</v>
      </c>
      <c r="P1431" s="352" t="s">
        <v>2124</v>
      </c>
      <c r="Q1431" s="352" t="s">
        <v>2125</v>
      </c>
      <c r="R1431" s="251">
        <v>11731.07589475211</v>
      </c>
      <c r="S1431" s="251"/>
      <c r="T1431" s="251" t="s">
        <v>2054</v>
      </c>
      <c r="U1431" s="251" t="s">
        <v>1945</v>
      </c>
      <c r="V1431" s="251" t="s">
        <v>709</v>
      </c>
      <c r="X1431" s="251">
        <v>0</v>
      </c>
    </row>
    <row r="1432" spans="2:24" x14ac:dyDescent="0.2">
      <c r="B1432" s="352" t="s">
        <v>870</v>
      </c>
      <c r="C1432" s="352" t="s">
        <v>757</v>
      </c>
      <c r="F1432" s="352" t="s">
        <v>2000</v>
      </c>
      <c r="G1432" s="352" t="s">
        <v>2129</v>
      </c>
      <c r="H1432" s="352" t="s">
        <v>1778</v>
      </c>
      <c r="I1432" s="352" t="s">
        <v>1015</v>
      </c>
      <c r="J1432" s="352" t="s">
        <v>1016</v>
      </c>
      <c r="K1432" s="352">
        <v>3121</v>
      </c>
      <c r="L1432" s="352" t="s">
        <v>766</v>
      </c>
      <c r="M1432" s="352" t="s">
        <v>2204</v>
      </c>
      <c r="N1432" s="352" t="s">
        <v>2076</v>
      </c>
      <c r="O1432" s="352">
        <v>99</v>
      </c>
      <c r="P1432" s="352" t="s">
        <v>2124</v>
      </c>
      <c r="Q1432" s="352" t="s">
        <v>2125</v>
      </c>
      <c r="R1432" s="251">
        <v>52820.765868882743</v>
      </c>
      <c r="S1432" s="251"/>
      <c r="T1432" s="251" t="s">
        <v>2054</v>
      </c>
      <c r="U1432" s="251" t="s">
        <v>1945</v>
      </c>
      <c r="V1432" s="251" t="s">
        <v>709</v>
      </c>
      <c r="X1432" s="251">
        <v>0</v>
      </c>
    </row>
    <row r="1433" spans="2:24" x14ac:dyDescent="0.2">
      <c r="B1433" s="352" t="s">
        <v>876</v>
      </c>
      <c r="C1433" s="352" t="s">
        <v>706</v>
      </c>
      <c r="F1433" s="194" t="s">
        <v>1992</v>
      </c>
      <c r="G1433" s="194" t="s">
        <v>2047</v>
      </c>
      <c r="H1433" s="194" t="s">
        <v>1268</v>
      </c>
      <c r="I1433" s="352" t="s">
        <v>1014</v>
      </c>
      <c r="J1433" s="194" t="s">
        <v>1893</v>
      </c>
      <c r="K1433" s="352">
        <v>2114</v>
      </c>
      <c r="L1433" s="194" t="s">
        <v>756</v>
      </c>
      <c r="M1433" s="352" t="s">
        <v>3548</v>
      </c>
      <c r="N1433" s="194" t="s">
        <v>2048</v>
      </c>
      <c r="O1433" s="352">
        <v>8</v>
      </c>
      <c r="P1433" s="194" t="s">
        <v>2067</v>
      </c>
      <c r="Q1433" s="194" t="s">
        <v>2068</v>
      </c>
      <c r="R1433" s="251">
        <v>0</v>
      </c>
      <c r="S1433" s="251"/>
      <c r="T1433" s="251" t="s">
        <v>2054</v>
      </c>
      <c r="U1433" s="251">
        <v>0</v>
      </c>
      <c r="V1433" s="251" t="s">
        <v>2153</v>
      </c>
      <c r="W1433" s="194"/>
      <c r="X1433" s="251">
        <v>0</v>
      </c>
    </row>
    <row r="1434" spans="2:24" x14ac:dyDescent="0.2">
      <c r="B1434" s="352" t="s">
        <v>876</v>
      </c>
      <c r="C1434" s="352" t="s">
        <v>706</v>
      </c>
      <c r="F1434" s="194" t="s">
        <v>1992</v>
      </c>
      <c r="G1434" s="194" t="s">
        <v>2047</v>
      </c>
      <c r="H1434" s="194" t="s">
        <v>1268</v>
      </c>
      <c r="I1434" s="352" t="s">
        <v>1014</v>
      </c>
      <c r="J1434" s="194" t="s">
        <v>1893</v>
      </c>
      <c r="K1434" s="352">
        <v>2124</v>
      </c>
      <c r="L1434" s="194" t="s">
        <v>767</v>
      </c>
      <c r="M1434" s="352" t="s">
        <v>3549</v>
      </c>
      <c r="N1434" s="194" t="s">
        <v>2048</v>
      </c>
      <c r="O1434" s="352">
        <v>8</v>
      </c>
      <c r="P1434" s="194" t="s">
        <v>2067</v>
      </c>
      <c r="Q1434" s="194" t="s">
        <v>2068</v>
      </c>
      <c r="R1434" s="251">
        <v>0</v>
      </c>
      <c r="S1434" s="251"/>
      <c r="T1434" s="251" t="s">
        <v>2054</v>
      </c>
      <c r="U1434" s="251">
        <v>0</v>
      </c>
      <c r="V1434" s="251" t="s">
        <v>2153</v>
      </c>
      <c r="W1434" s="194"/>
      <c r="X1434" s="251">
        <v>0</v>
      </c>
    </row>
    <row r="1435" spans="2:24" x14ac:dyDescent="0.2">
      <c r="B1435" s="352" t="s">
        <v>876</v>
      </c>
      <c r="C1435" s="352" t="s">
        <v>706</v>
      </c>
      <c r="F1435" s="194" t="s">
        <v>1992</v>
      </c>
      <c r="G1435" s="194" t="s">
        <v>2047</v>
      </c>
      <c r="H1435" s="194" t="s">
        <v>1268</v>
      </c>
      <c r="I1435" s="352" t="s">
        <v>1014</v>
      </c>
      <c r="J1435" s="194" t="s">
        <v>1893</v>
      </c>
      <c r="K1435" s="352">
        <v>2212</v>
      </c>
      <c r="L1435" s="194" t="s">
        <v>784</v>
      </c>
      <c r="M1435" s="352" t="s">
        <v>3550</v>
      </c>
      <c r="N1435" s="194" t="s">
        <v>2048</v>
      </c>
      <c r="O1435" s="352">
        <v>8</v>
      </c>
      <c r="P1435" s="194" t="s">
        <v>2067</v>
      </c>
      <c r="Q1435" s="194" t="s">
        <v>2068</v>
      </c>
      <c r="R1435" s="251">
        <v>0</v>
      </c>
      <c r="S1435" s="251"/>
      <c r="T1435" s="251" t="s">
        <v>2054</v>
      </c>
      <c r="U1435" s="251">
        <v>0</v>
      </c>
      <c r="V1435" s="251" t="s">
        <v>2153</v>
      </c>
      <c r="W1435" s="194"/>
      <c r="X1435" s="251">
        <v>0</v>
      </c>
    </row>
    <row r="1436" spans="2:24" x14ac:dyDescent="0.2">
      <c r="B1436" s="352" t="s">
        <v>876</v>
      </c>
      <c r="C1436" s="352" t="s">
        <v>712</v>
      </c>
      <c r="F1436" s="194" t="s">
        <v>1993</v>
      </c>
      <c r="G1436" s="194" t="s">
        <v>2075</v>
      </c>
      <c r="H1436" s="194" t="s">
        <v>1376</v>
      </c>
      <c r="I1436" s="352" t="s">
        <v>1014</v>
      </c>
      <c r="J1436" s="194" t="s">
        <v>1893</v>
      </c>
      <c r="K1436" s="352">
        <v>2114</v>
      </c>
      <c r="L1436" s="194" t="s">
        <v>756</v>
      </c>
      <c r="M1436" s="352" t="s">
        <v>3548</v>
      </c>
      <c r="N1436" s="194" t="s">
        <v>2076</v>
      </c>
      <c r="O1436" s="352">
        <v>8</v>
      </c>
      <c r="P1436" s="194" t="s">
        <v>2085</v>
      </c>
      <c r="Q1436" s="194" t="s">
        <v>2068</v>
      </c>
      <c r="R1436" s="251">
        <v>0</v>
      </c>
      <c r="S1436" s="251"/>
      <c r="T1436" s="251" t="s">
        <v>2054</v>
      </c>
      <c r="U1436" s="251">
        <v>0</v>
      </c>
      <c r="V1436" s="251" t="s">
        <v>2153</v>
      </c>
      <c r="W1436" s="194"/>
      <c r="X1436" s="251">
        <v>0</v>
      </c>
    </row>
    <row r="1437" spans="2:24" x14ac:dyDescent="0.2">
      <c r="B1437" s="352" t="s">
        <v>876</v>
      </c>
      <c r="C1437" s="352" t="s">
        <v>712</v>
      </c>
      <c r="F1437" s="194" t="s">
        <v>1993</v>
      </c>
      <c r="G1437" s="194" t="s">
        <v>2075</v>
      </c>
      <c r="H1437" s="194" t="s">
        <v>1376</v>
      </c>
      <c r="I1437" s="352" t="s">
        <v>1014</v>
      </c>
      <c r="J1437" s="194" t="s">
        <v>1893</v>
      </c>
      <c r="K1437" s="352">
        <v>2124</v>
      </c>
      <c r="L1437" s="194" t="s">
        <v>767</v>
      </c>
      <c r="M1437" s="352" t="s">
        <v>3549</v>
      </c>
      <c r="N1437" s="194" t="s">
        <v>2076</v>
      </c>
      <c r="O1437" s="352">
        <v>8</v>
      </c>
      <c r="P1437" s="194" t="s">
        <v>2085</v>
      </c>
      <c r="Q1437" s="194" t="s">
        <v>2068</v>
      </c>
      <c r="R1437" s="251">
        <v>0</v>
      </c>
      <c r="S1437" s="251"/>
      <c r="T1437" s="251" t="s">
        <v>2054</v>
      </c>
      <c r="U1437" s="251">
        <v>0</v>
      </c>
      <c r="V1437" s="251" t="s">
        <v>2153</v>
      </c>
      <c r="W1437" s="194"/>
      <c r="X1437" s="251">
        <v>0</v>
      </c>
    </row>
    <row r="1438" spans="2:24" x14ac:dyDescent="0.2">
      <c r="B1438" s="352" t="s">
        <v>876</v>
      </c>
      <c r="C1438" s="352" t="s">
        <v>712</v>
      </c>
      <c r="F1438" s="194" t="s">
        <v>1993</v>
      </c>
      <c r="G1438" s="194" t="s">
        <v>2075</v>
      </c>
      <c r="H1438" s="194" t="s">
        <v>1376</v>
      </c>
      <c r="I1438" s="352" t="s">
        <v>1014</v>
      </c>
      <c r="J1438" s="194" t="s">
        <v>1893</v>
      </c>
      <c r="K1438" s="352">
        <v>2212</v>
      </c>
      <c r="L1438" s="194" t="s">
        <v>784</v>
      </c>
      <c r="M1438" s="352" t="s">
        <v>3550</v>
      </c>
      <c r="N1438" s="194" t="s">
        <v>2076</v>
      </c>
      <c r="O1438" s="352">
        <v>8</v>
      </c>
      <c r="P1438" s="194" t="s">
        <v>2085</v>
      </c>
      <c r="Q1438" s="194" t="s">
        <v>2068</v>
      </c>
      <c r="R1438" s="251">
        <v>0</v>
      </c>
      <c r="S1438" s="251"/>
      <c r="T1438" s="251" t="s">
        <v>2054</v>
      </c>
      <c r="U1438" s="251">
        <v>0</v>
      </c>
      <c r="V1438" s="251" t="s">
        <v>2153</v>
      </c>
      <c r="W1438" s="194"/>
      <c r="X1438" s="251">
        <v>0</v>
      </c>
    </row>
    <row r="1439" spans="2:24" x14ac:dyDescent="0.2">
      <c r="B1439" s="352" t="s">
        <v>876</v>
      </c>
      <c r="C1439" s="352" t="s">
        <v>719</v>
      </c>
      <c r="F1439" s="194" t="s">
        <v>1994</v>
      </c>
      <c r="G1439" s="194" t="s">
        <v>2090</v>
      </c>
      <c r="H1439" s="194" t="s">
        <v>1484</v>
      </c>
      <c r="I1439" s="352" t="s">
        <v>1014</v>
      </c>
      <c r="J1439" s="194" t="s">
        <v>1893</v>
      </c>
      <c r="K1439" s="352">
        <v>2114</v>
      </c>
      <c r="L1439" s="194" t="s">
        <v>756</v>
      </c>
      <c r="M1439" s="352" t="s">
        <v>3548</v>
      </c>
      <c r="N1439" s="194" t="s">
        <v>2076</v>
      </c>
      <c r="O1439" s="352">
        <v>8</v>
      </c>
      <c r="P1439" s="194" t="s">
        <v>2085</v>
      </c>
      <c r="Q1439" s="194" t="s">
        <v>2068</v>
      </c>
      <c r="R1439" s="251">
        <v>0</v>
      </c>
      <c r="S1439" s="251"/>
      <c r="T1439" s="251" t="s">
        <v>2054</v>
      </c>
      <c r="U1439" s="251">
        <v>0</v>
      </c>
      <c r="V1439" s="251" t="s">
        <v>2153</v>
      </c>
      <c r="W1439" s="194"/>
      <c r="X1439" s="251">
        <v>0</v>
      </c>
    </row>
    <row r="1440" spans="2:24" x14ac:dyDescent="0.2">
      <c r="B1440" s="352" t="s">
        <v>876</v>
      </c>
      <c r="C1440" s="352" t="s">
        <v>719</v>
      </c>
      <c r="F1440" s="194" t="s">
        <v>1994</v>
      </c>
      <c r="G1440" s="194" t="s">
        <v>2090</v>
      </c>
      <c r="H1440" s="194" t="s">
        <v>1484</v>
      </c>
      <c r="I1440" s="352" t="s">
        <v>1014</v>
      </c>
      <c r="J1440" s="194" t="s">
        <v>1893</v>
      </c>
      <c r="K1440" s="352">
        <v>2124</v>
      </c>
      <c r="L1440" s="194" t="s">
        <v>767</v>
      </c>
      <c r="M1440" s="352" t="s">
        <v>3549</v>
      </c>
      <c r="N1440" s="194" t="s">
        <v>2076</v>
      </c>
      <c r="O1440" s="352">
        <v>8</v>
      </c>
      <c r="P1440" s="194" t="s">
        <v>2085</v>
      </c>
      <c r="Q1440" s="194" t="s">
        <v>2068</v>
      </c>
      <c r="R1440" s="251">
        <v>0</v>
      </c>
      <c r="S1440" s="251"/>
      <c r="T1440" s="251" t="s">
        <v>2054</v>
      </c>
      <c r="U1440" s="251">
        <v>0</v>
      </c>
      <c r="V1440" s="251" t="s">
        <v>2153</v>
      </c>
      <c r="W1440" s="194"/>
      <c r="X1440" s="251">
        <v>0</v>
      </c>
    </row>
    <row r="1441" spans="2:24" x14ac:dyDescent="0.2">
      <c r="B1441" s="352" t="s">
        <v>876</v>
      </c>
      <c r="C1441" s="352" t="s">
        <v>719</v>
      </c>
      <c r="F1441" s="194" t="s">
        <v>1994</v>
      </c>
      <c r="G1441" s="194" t="s">
        <v>2090</v>
      </c>
      <c r="H1441" s="194" t="s">
        <v>1484</v>
      </c>
      <c r="I1441" s="352" t="s">
        <v>1014</v>
      </c>
      <c r="J1441" s="194" t="s">
        <v>1893</v>
      </c>
      <c r="K1441" s="352">
        <v>2212</v>
      </c>
      <c r="L1441" s="194" t="s">
        <v>784</v>
      </c>
      <c r="M1441" s="352" t="s">
        <v>3550</v>
      </c>
      <c r="N1441" s="194" t="s">
        <v>2076</v>
      </c>
      <c r="O1441" s="352">
        <v>8</v>
      </c>
      <c r="P1441" s="194" t="s">
        <v>2085</v>
      </c>
      <c r="Q1441" s="194" t="s">
        <v>2068</v>
      </c>
      <c r="R1441" s="251">
        <v>0</v>
      </c>
      <c r="S1441" s="251"/>
      <c r="T1441" s="251" t="s">
        <v>2054</v>
      </c>
      <c r="U1441" s="251">
        <v>0</v>
      </c>
      <c r="V1441" s="251" t="s">
        <v>2153</v>
      </c>
      <c r="W1441" s="194"/>
      <c r="X1441" s="251">
        <v>0</v>
      </c>
    </row>
    <row r="1442" spans="2:24" x14ac:dyDescent="0.2">
      <c r="B1442" s="352" t="s">
        <v>876</v>
      </c>
      <c r="C1442" s="352" t="s">
        <v>754</v>
      </c>
      <c r="F1442" s="194" t="s">
        <v>1999</v>
      </c>
      <c r="G1442" s="194" t="s">
        <v>2118</v>
      </c>
      <c r="H1442" s="194" t="s">
        <v>1749</v>
      </c>
      <c r="I1442" s="352" t="s">
        <v>1014</v>
      </c>
      <c r="J1442" s="194" t="s">
        <v>1893</v>
      </c>
      <c r="K1442" s="352">
        <v>2114</v>
      </c>
      <c r="L1442" s="194" t="s">
        <v>756</v>
      </c>
      <c r="M1442" s="352" t="s">
        <v>3548</v>
      </c>
      <c r="N1442" s="194" t="s">
        <v>2048</v>
      </c>
      <c r="O1442" s="352">
        <v>8</v>
      </c>
      <c r="P1442" s="194" t="s">
        <v>2067</v>
      </c>
      <c r="Q1442" s="194" t="s">
        <v>2068</v>
      </c>
      <c r="R1442" s="251">
        <v>0</v>
      </c>
      <c r="S1442" s="251"/>
      <c r="T1442" s="251" t="s">
        <v>2054</v>
      </c>
      <c r="U1442" s="251">
        <v>0</v>
      </c>
      <c r="V1442" s="251" t="s">
        <v>2153</v>
      </c>
      <c r="W1442" s="194"/>
      <c r="X1442" s="251">
        <v>0</v>
      </c>
    </row>
    <row r="1443" spans="2:24" x14ac:dyDescent="0.2">
      <c r="B1443" s="352" t="s">
        <v>876</v>
      </c>
      <c r="C1443" s="352" t="s">
        <v>754</v>
      </c>
      <c r="F1443" s="194" t="s">
        <v>1999</v>
      </c>
      <c r="G1443" s="194" t="s">
        <v>2118</v>
      </c>
      <c r="H1443" s="194" t="s">
        <v>1749</v>
      </c>
      <c r="I1443" s="352" t="s">
        <v>1014</v>
      </c>
      <c r="J1443" s="194" t="s">
        <v>1893</v>
      </c>
      <c r="K1443" s="352">
        <v>2124</v>
      </c>
      <c r="L1443" s="194" t="s">
        <v>767</v>
      </c>
      <c r="M1443" s="352" t="s">
        <v>3549</v>
      </c>
      <c r="N1443" s="194" t="s">
        <v>2048</v>
      </c>
      <c r="O1443" s="352">
        <v>8</v>
      </c>
      <c r="P1443" s="194" t="s">
        <v>2067</v>
      </c>
      <c r="Q1443" s="194" t="s">
        <v>2068</v>
      </c>
      <c r="R1443" s="251">
        <v>0</v>
      </c>
      <c r="S1443" s="251"/>
      <c r="T1443" s="251" t="s">
        <v>2054</v>
      </c>
      <c r="U1443" s="251">
        <v>0</v>
      </c>
      <c r="V1443" s="251" t="s">
        <v>2153</v>
      </c>
      <c r="W1443" s="194"/>
      <c r="X1443" s="251">
        <v>0</v>
      </c>
    </row>
    <row r="1444" spans="2:24" x14ac:dyDescent="0.2">
      <c r="B1444" s="352" t="s">
        <v>876</v>
      </c>
      <c r="C1444" s="352" t="s">
        <v>754</v>
      </c>
      <c r="F1444" s="194" t="s">
        <v>1999</v>
      </c>
      <c r="G1444" s="194" t="s">
        <v>2118</v>
      </c>
      <c r="H1444" s="194" t="s">
        <v>1749</v>
      </c>
      <c r="I1444" s="352" t="s">
        <v>1014</v>
      </c>
      <c r="J1444" s="194" t="s">
        <v>1893</v>
      </c>
      <c r="K1444" s="352">
        <v>2212</v>
      </c>
      <c r="L1444" s="194" t="s">
        <v>784</v>
      </c>
      <c r="M1444" s="352" t="s">
        <v>3550</v>
      </c>
      <c r="N1444" s="194" t="s">
        <v>2048</v>
      </c>
      <c r="O1444" s="352">
        <v>8</v>
      </c>
      <c r="P1444" s="194" t="s">
        <v>2067</v>
      </c>
      <c r="Q1444" s="194" t="s">
        <v>2068</v>
      </c>
      <c r="R1444" s="251">
        <v>0</v>
      </c>
      <c r="S1444" s="251"/>
      <c r="T1444" s="251" t="s">
        <v>2054</v>
      </c>
      <c r="U1444" s="251">
        <v>0</v>
      </c>
      <c r="V1444" s="251" t="s">
        <v>2153</v>
      </c>
      <c r="W1444" s="194"/>
      <c r="X1444" s="251">
        <v>0</v>
      </c>
    </row>
    <row r="1445" spans="2:24" x14ac:dyDescent="0.2">
      <c r="B1445" s="352" t="s">
        <v>875</v>
      </c>
      <c r="C1445" s="352" t="s">
        <v>706</v>
      </c>
      <c r="F1445" s="194" t="s">
        <v>1992</v>
      </c>
      <c r="G1445" s="194" t="s">
        <v>2051</v>
      </c>
      <c r="H1445" s="194" t="s">
        <v>1269</v>
      </c>
      <c r="I1445" s="352" t="s">
        <v>1014</v>
      </c>
      <c r="J1445" s="194" t="s">
        <v>1893</v>
      </c>
      <c r="K1445" s="352">
        <v>2114</v>
      </c>
      <c r="L1445" s="194" t="s">
        <v>756</v>
      </c>
      <c r="M1445" s="352" t="s">
        <v>3548</v>
      </c>
      <c r="N1445" s="194" t="s">
        <v>2048</v>
      </c>
      <c r="O1445" s="352">
        <v>8</v>
      </c>
      <c r="P1445" s="194" t="s">
        <v>2067</v>
      </c>
      <c r="Q1445" s="194" t="s">
        <v>2068</v>
      </c>
      <c r="R1445" s="251">
        <v>0</v>
      </c>
      <c r="S1445" s="251"/>
      <c r="T1445" s="251" t="s">
        <v>2054</v>
      </c>
      <c r="U1445" s="251">
        <v>0</v>
      </c>
      <c r="V1445" s="251" t="s">
        <v>2153</v>
      </c>
      <c r="W1445" s="194"/>
      <c r="X1445" s="251">
        <v>0</v>
      </c>
    </row>
    <row r="1446" spans="2:24" x14ac:dyDescent="0.2">
      <c r="B1446" s="352" t="s">
        <v>875</v>
      </c>
      <c r="C1446" s="352" t="s">
        <v>706</v>
      </c>
      <c r="F1446" s="194" t="s">
        <v>1992</v>
      </c>
      <c r="G1446" s="194" t="s">
        <v>2051</v>
      </c>
      <c r="H1446" s="194" t="s">
        <v>1269</v>
      </c>
      <c r="I1446" s="352" t="s">
        <v>1014</v>
      </c>
      <c r="J1446" s="194" t="s">
        <v>1893</v>
      </c>
      <c r="K1446" s="352">
        <v>2124</v>
      </c>
      <c r="L1446" s="194" t="s">
        <v>767</v>
      </c>
      <c r="M1446" s="352" t="s">
        <v>3549</v>
      </c>
      <c r="N1446" s="194" t="s">
        <v>2048</v>
      </c>
      <c r="O1446" s="352">
        <v>8</v>
      </c>
      <c r="P1446" s="194" t="s">
        <v>2067</v>
      </c>
      <c r="Q1446" s="194" t="s">
        <v>2068</v>
      </c>
      <c r="R1446" s="251">
        <v>0</v>
      </c>
      <c r="S1446" s="251"/>
      <c r="T1446" s="251" t="s">
        <v>2054</v>
      </c>
      <c r="U1446" s="251">
        <v>0</v>
      </c>
      <c r="V1446" s="251" t="s">
        <v>2153</v>
      </c>
      <c r="W1446" s="194"/>
      <c r="X1446" s="251">
        <v>0</v>
      </c>
    </row>
    <row r="1447" spans="2:24" x14ac:dyDescent="0.2">
      <c r="B1447" s="352" t="s">
        <v>875</v>
      </c>
      <c r="C1447" s="352" t="s">
        <v>706</v>
      </c>
      <c r="F1447" s="194" t="s">
        <v>1992</v>
      </c>
      <c r="G1447" s="194" t="s">
        <v>2051</v>
      </c>
      <c r="H1447" s="194" t="s">
        <v>1269</v>
      </c>
      <c r="I1447" s="352" t="s">
        <v>1014</v>
      </c>
      <c r="J1447" s="194" t="s">
        <v>1893</v>
      </c>
      <c r="K1447" s="352">
        <v>2212</v>
      </c>
      <c r="L1447" s="194" t="s">
        <v>784</v>
      </c>
      <c r="M1447" s="352" t="s">
        <v>3550</v>
      </c>
      <c r="N1447" s="194" t="s">
        <v>2048</v>
      </c>
      <c r="O1447" s="352">
        <v>8</v>
      </c>
      <c r="P1447" s="194" t="s">
        <v>2067</v>
      </c>
      <c r="Q1447" s="194" t="s">
        <v>2068</v>
      </c>
      <c r="R1447" s="251">
        <v>0</v>
      </c>
      <c r="S1447" s="251"/>
      <c r="T1447" s="251" t="s">
        <v>2054</v>
      </c>
      <c r="U1447" s="251">
        <v>0</v>
      </c>
      <c r="V1447" s="251" t="s">
        <v>2153</v>
      </c>
      <c r="W1447" s="194"/>
      <c r="X1447" s="251">
        <v>0</v>
      </c>
    </row>
    <row r="1448" spans="2:24" x14ac:dyDescent="0.2">
      <c r="B1448" s="352" t="s">
        <v>875</v>
      </c>
      <c r="C1448" s="352" t="s">
        <v>712</v>
      </c>
      <c r="F1448" s="194" t="s">
        <v>1993</v>
      </c>
      <c r="G1448" s="194" t="s">
        <v>2078</v>
      </c>
      <c r="H1448" s="194" t="s">
        <v>1377</v>
      </c>
      <c r="I1448" s="352" t="s">
        <v>1014</v>
      </c>
      <c r="J1448" s="194" t="s">
        <v>1893</v>
      </c>
      <c r="K1448" s="352">
        <v>2114</v>
      </c>
      <c r="L1448" s="194" t="s">
        <v>756</v>
      </c>
      <c r="M1448" s="352" t="s">
        <v>3548</v>
      </c>
      <c r="N1448" s="194" t="s">
        <v>2076</v>
      </c>
      <c r="O1448" s="352">
        <v>8</v>
      </c>
      <c r="P1448" s="194" t="s">
        <v>2085</v>
      </c>
      <c r="Q1448" s="194" t="s">
        <v>2068</v>
      </c>
      <c r="R1448" s="251">
        <v>0</v>
      </c>
      <c r="S1448" s="251"/>
      <c r="T1448" s="251" t="s">
        <v>2054</v>
      </c>
      <c r="U1448" s="251">
        <v>0</v>
      </c>
      <c r="V1448" s="251" t="s">
        <v>2153</v>
      </c>
      <c r="W1448" s="194"/>
      <c r="X1448" s="251">
        <v>0</v>
      </c>
    </row>
    <row r="1449" spans="2:24" x14ac:dyDescent="0.2">
      <c r="B1449" s="352" t="s">
        <v>875</v>
      </c>
      <c r="C1449" s="352" t="s">
        <v>712</v>
      </c>
      <c r="F1449" s="194" t="s">
        <v>1993</v>
      </c>
      <c r="G1449" s="194" t="s">
        <v>2078</v>
      </c>
      <c r="H1449" s="194" t="s">
        <v>1377</v>
      </c>
      <c r="I1449" s="352" t="s">
        <v>1014</v>
      </c>
      <c r="J1449" s="194" t="s">
        <v>1893</v>
      </c>
      <c r="K1449" s="352">
        <v>2124</v>
      </c>
      <c r="L1449" s="194" t="s">
        <v>767</v>
      </c>
      <c r="M1449" s="352" t="s">
        <v>3549</v>
      </c>
      <c r="N1449" s="194" t="s">
        <v>2076</v>
      </c>
      <c r="O1449" s="352">
        <v>8</v>
      </c>
      <c r="P1449" s="194" t="s">
        <v>2085</v>
      </c>
      <c r="Q1449" s="194" t="s">
        <v>2068</v>
      </c>
      <c r="R1449" s="251">
        <v>0</v>
      </c>
      <c r="S1449" s="251"/>
      <c r="T1449" s="251" t="s">
        <v>2054</v>
      </c>
      <c r="U1449" s="251">
        <v>0</v>
      </c>
      <c r="V1449" s="251" t="s">
        <v>2153</v>
      </c>
      <c r="W1449" s="194"/>
      <c r="X1449" s="251">
        <v>0</v>
      </c>
    </row>
    <row r="1450" spans="2:24" x14ac:dyDescent="0.2">
      <c r="B1450" s="352" t="s">
        <v>875</v>
      </c>
      <c r="C1450" s="352" t="s">
        <v>712</v>
      </c>
      <c r="F1450" s="194" t="s">
        <v>1993</v>
      </c>
      <c r="G1450" s="194" t="s">
        <v>2078</v>
      </c>
      <c r="H1450" s="194" t="s">
        <v>1377</v>
      </c>
      <c r="I1450" s="352" t="s">
        <v>1014</v>
      </c>
      <c r="J1450" s="194" t="s">
        <v>1893</v>
      </c>
      <c r="K1450" s="352">
        <v>2212</v>
      </c>
      <c r="L1450" s="194" t="s">
        <v>784</v>
      </c>
      <c r="M1450" s="352" t="s">
        <v>3550</v>
      </c>
      <c r="N1450" s="194" t="s">
        <v>2076</v>
      </c>
      <c r="O1450" s="352">
        <v>8</v>
      </c>
      <c r="P1450" s="194" t="s">
        <v>2085</v>
      </c>
      <c r="Q1450" s="194" t="s">
        <v>2068</v>
      </c>
      <c r="R1450" s="251">
        <v>0</v>
      </c>
      <c r="S1450" s="251"/>
      <c r="T1450" s="251" t="s">
        <v>2054</v>
      </c>
      <c r="U1450" s="251">
        <v>0</v>
      </c>
      <c r="V1450" s="251" t="s">
        <v>2153</v>
      </c>
      <c r="W1450" s="194"/>
      <c r="X1450" s="251">
        <v>0</v>
      </c>
    </row>
    <row r="1451" spans="2:24" x14ac:dyDescent="0.2">
      <c r="B1451" s="352" t="s">
        <v>875</v>
      </c>
      <c r="C1451" s="352" t="s">
        <v>719</v>
      </c>
      <c r="F1451" s="194" t="s">
        <v>1994</v>
      </c>
      <c r="G1451" s="194" t="s">
        <v>2091</v>
      </c>
      <c r="H1451" s="194" t="s">
        <v>1485</v>
      </c>
      <c r="I1451" s="352" t="s">
        <v>1014</v>
      </c>
      <c r="J1451" s="194" t="s">
        <v>1893</v>
      </c>
      <c r="K1451" s="352">
        <v>2114</v>
      </c>
      <c r="L1451" s="194" t="s">
        <v>756</v>
      </c>
      <c r="M1451" s="352" t="s">
        <v>3548</v>
      </c>
      <c r="N1451" s="194" t="s">
        <v>2076</v>
      </c>
      <c r="O1451" s="352">
        <v>8</v>
      </c>
      <c r="P1451" s="194" t="s">
        <v>2085</v>
      </c>
      <c r="Q1451" s="194" t="s">
        <v>2068</v>
      </c>
      <c r="R1451" s="251">
        <v>0</v>
      </c>
      <c r="S1451" s="251"/>
      <c r="T1451" s="251" t="s">
        <v>2054</v>
      </c>
      <c r="U1451" s="251">
        <v>0</v>
      </c>
      <c r="V1451" s="251" t="s">
        <v>2153</v>
      </c>
      <c r="W1451" s="194"/>
      <c r="X1451" s="251">
        <v>0</v>
      </c>
    </row>
    <row r="1452" spans="2:24" x14ac:dyDescent="0.2">
      <c r="B1452" s="352" t="s">
        <v>875</v>
      </c>
      <c r="C1452" s="352" t="s">
        <v>719</v>
      </c>
      <c r="F1452" s="194" t="s">
        <v>1994</v>
      </c>
      <c r="G1452" s="194" t="s">
        <v>2091</v>
      </c>
      <c r="H1452" s="194" t="s">
        <v>1485</v>
      </c>
      <c r="I1452" s="352" t="s">
        <v>1014</v>
      </c>
      <c r="J1452" s="194" t="s">
        <v>1893</v>
      </c>
      <c r="K1452" s="352">
        <v>2124</v>
      </c>
      <c r="L1452" s="194" t="s">
        <v>767</v>
      </c>
      <c r="M1452" s="352" t="s">
        <v>3549</v>
      </c>
      <c r="N1452" s="194" t="s">
        <v>2076</v>
      </c>
      <c r="O1452" s="352">
        <v>8</v>
      </c>
      <c r="P1452" s="194" t="s">
        <v>2085</v>
      </c>
      <c r="Q1452" s="194" t="s">
        <v>2068</v>
      </c>
      <c r="R1452" s="251">
        <v>0</v>
      </c>
      <c r="S1452" s="251"/>
      <c r="T1452" s="251" t="s">
        <v>2054</v>
      </c>
      <c r="U1452" s="251">
        <v>0</v>
      </c>
      <c r="V1452" s="251" t="s">
        <v>2153</v>
      </c>
      <c r="W1452" s="194"/>
      <c r="X1452" s="251">
        <v>0</v>
      </c>
    </row>
    <row r="1453" spans="2:24" x14ac:dyDescent="0.2">
      <c r="B1453" s="352" t="s">
        <v>875</v>
      </c>
      <c r="C1453" s="352" t="s">
        <v>719</v>
      </c>
      <c r="F1453" s="194" t="s">
        <v>1994</v>
      </c>
      <c r="G1453" s="194" t="s">
        <v>2091</v>
      </c>
      <c r="H1453" s="194" t="s">
        <v>1485</v>
      </c>
      <c r="I1453" s="352" t="s">
        <v>1014</v>
      </c>
      <c r="J1453" s="194" t="s">
        <v>1893</v>
      </c>
      <c r="K1453" s="352">
        <v>2212</v>
      </c>
      <c r="L1453" s="194" t="s">
        <v>784</v>
      </c>
      <c r="M1453" s="352" t="s">
        <v>3550</v>
      </c>
      <c r="N1453" s="194" t="s">
        <v>2076</v>
      </c>
      <c r="O1453" s="352">
        <v>8</v>
      </c>
      <c r="P1453" s="194" t="s">
        <v>2085</v>
      </c>
      <c r="Q1453" s="194" t="s">
        <v>2068</v>
      </c>
      <c r="R1453" s="251">
        <v>0</v>
      </c>
      <c r="S1453" s="251"/>
      <c r="T1453" s="251" t="s">
        <v>2054</v>
      </c>
      <c r="U1453" s="251">
        <v>0</v>
      </c>
      <c r="V1453" s="251" t="s">
        <v>2153</v>
      </c>
      <c r="W1453" s="194"/>
      <c r="X1453" s="251">
        <v>0</v>
      </c>
    </row>
    <row r="1454" spans="2:24" x14ac:dyDescent="0.2">
      <c r="B1454" s="352" t="s">
        <v>875</v>
      </c>
      <c r="C1454" s="352" t="s">
        <v>754</v>
      </c>
      <c r="F1454" s="194" t="s">
        <v>1999</v>
      </c>
      <c r="G1454" s="194" t="s">
        <v>2119</v>
      </c>
      <c r="H1454" s="194" t="s">
        <v>1750</v>
      </c>
      <c r="I1454" s="352" t="s">
        <v>1014</v>
      </c>
      <c r="J1454" s="194" t="s">
        <v>1893</v>
      </c>
      <c r="K1454" s="352">
        <v>2114</v>
      </c>
      <c r="L1454" s="194" t="s">
        <v>756</v>
      </c>
      <c r="M1454" s="352" t="s">
        <v>3548</v>
      </c>
      <c r="N1454" s="194" t="s">
        <v>2048</v>
      </c>
      <c r="O1454" s="352">
        <v>8</v>
      </c>
      <c r="P1454" s="194" t="s">
        <v>2067</v>
      </c>
      <c r="Q1454" s="194" t="s">
        <v>2068</v>
      </c>
      <c r="R1454" s="251">
        <v>0</v>
      </c>
      <c r="S1454" s="251"/>
      <c r="T1454" s="251" t="s">
        <v>2054</v>
      </c>
      <c r="U1454" s="251">
        <v>0</v>
      </c>
      <c r="V1454" s="251" t="s">
        <v>2153</v>
      </c>
      <c r="W1454" s="194"/>
      <c r="X1454" s="251">
        <v>0</v>
      </c>
    </row>
    <row r="1455" spans="2:24" x14ac:dyDescent="0.2">
      <c r="B1455" s="352" t="s">
        <v>875</v>
      </c>
      <c r="C1455" s="352" t="s">
        <v>754</v>
      </c>
      <c r="F1455" s="194" t="s">
        <v>1999</v>
      </c>
      <c r="G1455" s="194" t="s">
        <v>2119</v>
      </c>
      <c r="H1455" s="194" t="s">
        <v>1750</v>
      </c>
      <c r="I1455" s="352" t="s">
        <v>1014</v>
      </c>
      <c r="J1455" s="194" t="s">
        <v>1893</v>
      </c>
      <c r="K1455" s="352">
        <v>2124</v>
      </c>
      <c r="L1455" s="194" t="s">
        <v>767</v>
      </c>
      <c r="M1455" s="352" t="s">
        <v>3549</v>
      </c>
      <c r="N1455" s="194" t="s">
        <v>2048</v>
      </c>
      <c r="O1455" s="352">
        <v>8</v>
      </c>
      <c r="P1455" s="194" t="s">
        <v>2067</v>
      </c>
      <c r="Q1455" s="194" t="s">
        <v>2068</v>
      </c>
      <c r="R1455" s="251">
        <v>0</v>
      </c>
      <c r="S1455" s="251"/>
      <c r="T1455" s="251" t="s">
        <v>2054</v>
      </c>
      <c r="U1455" s="251">
        <v>0</v>
      </c>
      <c r="V1455" s="251" t="s">
        <v>2153</v>
      </c>
      <c r="W1455" s="194"/>
      <c r="X1455" s="251">
        <v>0</v>
      </c>
    </row>
    <row r="1456" spans="2:24" x14ac:dyDescent="0.2">
      <c r="B1456" s="352" t="s">
        <v>875</v>
      </c>
      <c r="C1456" s="352" t="s">
        <v>754</v>
      </c>
      <c r="F1456" s="194" t="s">
        <v>1999</v>
      </c>
      <c r="G1456" s="194" t="s">
        <v>2119</v>
      </c>
      <c r="H1456" s="194" t="s">
        <v>1750</v>
      </c>
      <c r="I1456" s="352" t="s">
        <v>1014</v>
      </c>
      <c r="J1456" s="194" t="s">
        <v>1893</v>
      </c>
      <c r="K1456" s="352">
        <v>2212</v>
      </c>
      <c r="L1456" s="194" t="s">
        <v>784</v>
      </c>
      <c r="M1456" s="352" t="s">
        <v>3550</v>
      </c>
      <c r="N1456" s="194" t="s">
        <v>2048</v>
      </c>
      <c r="O1456" s="352">
        <v>8</v>
      </c>
      <c r="P1456" s="194" t="s">
        <v>2067</v>
      </c>
      <c r="Q1456" s="194" t="s">
        <v>2068</v>
      </c>
      <c r="R1456" s="251">
        <v>0</v>
      </c>
      <c r="S1456" s="251"/>
      <c r="T1456" s="251" t="s">
        <v>2054</v>
      </c>
      <c r="U1456" s="251">
        <v>0</v>
      </c>
      <c r="V1456" s="251" t="s">
        <v>2153</v>
      </c>
      <c r="W1456" s="194"/>
      <c r="X1456" s="251">
        <v>0</v>
      </c>
    </row>
    <row r="1457" spans="2:24" x14ac:dyDescent="0.2">
      <c r="B1457" s="352" t="s">
        <v>874</v>
      </c>
      <c r="C1457" s="352" t="s">
        <v>706</v>
      </c>
      <c r="F1457" s="194" t="s">
        <v>1992</v>
      </c>
      <c r="G1457" s="194" t="s">
        <v>2052</v>
      </c>
      <c r="H1457" s="194" t="s">
        <v>1270</v>
      </c>
      <c r="I1457" s="352" t="s">
        <v>1014</v>
      </c>
      <c r="J1457" s="194" t="s">
        <v>1893</v>
      </c>
      <c r="K1457" s="352">
        <v>2114</v>
      </c>
      <c r="L1457" s="194" t="s">
        <v>756</v>
      </c>
      <c r="M1457" s="352" t="s">
        <v>3548</v>
      </c>
      <c r="N1457" s="194" t="s">
        <v>2048</v>
      </c>
      <c r="O1457" s="352">
        <v>8</v>
      </c>
      <c r="P1457" s="194" t="s">
        <v>2067</v>
      </c>
      <c r="Q1457" s="194" t="s">
        <v>2068</v>
      </c>
      <c r="R1457" s="251">
        <v>0</v>
      </c>
      <c r="S1457" s="251"/>
      <c r="T1457" s="251" t="s">
        <v>2054</v>
      </c>
      <c r="U1457" s="251">
        <v>0</v>
      </c>
      <c r="V1457" s="251" t="s">
        <v>2153</v>
      </c>
      <c r="W1457" s="194"/>
      <c r="X1457" s="251">
        <v>0</v>
      </c>
    </row>
    <row r="1458" spans="2:24" x14ac:dyDescent="0.2">
      <c r="B1458" s="352" t="s">
        <v>874</v>
      </c>
      <c r="C1458" s="352" t="s">
        <v>706</v>
      </c>
      <c r="F1458" s="194" t="s">
        <v>1992</v>
      </c>
      <c r="G1458" s="194" t="s">
        <v>2052</v>
      </c>
      <c r="H1458" s="194" t="s">
        <v>1270</v>
      </c>
      <c r="I1458" s="352" t="s">
        <v>1014</v>
      </c>
      <c r="J1458" s="194" t="s">
        <v>1893</v>
      </c>
      <c r="K1458" s="352">
        <v>2124</v>
      </c>
      <c r="L1458" s="194" t="s">
        <v>767</v>
      </c>
      <c r="M1458" s="352" t="s">
        <v>3549</v>
      </c>
      <c r="N1458" s="194" t="s">
        <v>2048</v>
      </c>
      <c r="O1458" s="352">
        <v>8</v>
      </c>
      <c r="P1458" s="194" t="s">
        <v>2067</v>
      </c>
      <c r="Q1458" s="194" t="s">
        <v>2068</v>
      </c>
      <c r="R1458" s="251">
        <v>0</v>
      </c>
      <c r="S1458" s="251"/>
      <c r="T1458" s="251" t="s">
        <v>2054</v>
      </c>
      <c r="U1458" s="251">
        <v>0</v>
      </c>
      <c r="V1458" s="251" t="s">
        <v>2153</v>
      </c>
      <c r="W1458" s="194"/>
      <c r="X1458" s="251">
        <v>0</v>
      </c>
    </row>
    <row r="1459" spans="2:24" x14ac:dyDescent="0.2">
      <c r="B1459" s="352" t="s">
        <v>874</v>
      </c>
      <c r="C1459" s="352" t="s">
        <v>706</v>
      </c>
      <c r="F1459" s="194" t="s">
        <v>1992</v>
      </c>
      <c r="G1459" s="194" t="s">
        <v>2052</v>
      </c>
      <c r="H1459" s="194" t="s">
        <v>1270</v>
      </c>
      <c r="I1459" s="352" t="s">
        <v>1014</v>
      </c>
      <c r="J1459" s="194" t="s">
        <v>1893</v>
      </c>
      <c r="K1459" s="352">
        <v>2212</v>
      </c>
      <c r="L1459" s="194" t="s">
        <v>784</v>
      </c>
      <c r="M1459" s="352" t="s">
        <v>3550</v>
      </c>
      <c r="N1459" s="194" t="s">
        <v>2048</v>
      </c>
      <c r="O1459" s="352">
        <v>8</v>
      </c>
      <c r="P1459" s="194" t="s">
        <v>2067</v>
      </c>
      <c r="Q1459" s="194" t="s">
        <v>2068</v>
      </c>
      <c r="R1459" s="251">
        <v>0</v>
      </c>
      <c r="S1459" s="251"/>
      <c r="T1459" s="251" t="s">
        <v>2054</v>
      </c>
      <c r="U1459" s="251">
        <v>0</v>
      </c>
      <c r="V1459" s="251" t="s">
        <v>2153</v>
      </c>
      <c r="W1459" s="194"/>
      <c r="X1459" s="251">
        <v>0</v>
      </c>
    </row>
    <row r="1460" spans="2:24" x14ac:dyDescent="0.2">
      <c r="B1460" s="352" t="s">
        <v>874</v>
      </c>
      <c r="C1460" s="352" t="s">
        <v>712</v>
      </c>
      <c r="F1460" s="194" t="s">
        <v>1993</v>
      </c>
      <c r="G1460" s="194" t="s">
        <v>2079</v>
      </c>
      <c r="H1460" s="194" t="s">
        <v>1378</v>
      </c>
      <c r="I1460" s="352" t="s">
        <v>1014</v>
      </c>
      <c r="J1460" s="194" t="s">
        <v>1893</v>
      </c>
      <c r="K1460" s="352">
        <v>2114</v>
      </c>
      <c r="L1460" s="194" t="s">
        <v>756</v>
      </c>
      <c r="M1460" s="352" t="s">
        <v>3548</v>
      </c>
      <c r="N1460" s="194" t="s">
        <v>2076</v>
      </c>
      <c r="O1460" s="352">
        <v>8</v>
      </c>
      <c r="P1460" s="194" t="s">
        <v>2085</v>
      </c>
      <c r="Q1460" s="194" t="s">
        <v>2068</v>
      </c>
      <c r="R1460" s="251">
        <v>0</v>
      </c>
      <c r="S1460" s="251"/>
      <c r="T1460" s="251" t="s">
        <v>2054</v>
      </c>
      <c r="U1460" s="251">
        <v>0</v>
      </c>
      <c r="V1460" s="251" t="s">
        <v>2153</v>
      </c>
      <c r="W1460" s="194"/>
      <c r="X1460" s="251">
        <v>0</v>
      </c>
    </row>
    <row r="1461" spans="2:24" x14ac:dyDescent="0.2">
      <c r="B1461" s="352" t="s">
        <v>874</v>
      </c>
      <c r="C1461" s="352" t="s">
        <v>712</v>
      </c>
      <c r="F1461" s="194" t="s">
        <v>1993</v>
      </c>
      <c r="G1461" s="194" t="s">
        <v>2079</v>
      </c>
      <c r="H1461" s="194" t="s">
        <v>1378</v>
      </c>
      <c r="I1461" s="352" t="s">
        <v>1014</v>
      </c>
      <c r="J1461" s="194" t="s">
        <v>1893</v>
      </c>
      <c r="K1461" s="352">
        <v>2124</v>
      </c>
      <c r="L1461" s="194" t="s">
        <v>767</v>
      </c>
      <c r="M1461" s="352" t="s">
        <v>3549</v>
      </c>
      <c r="N1461" s="194" t="s">
        <v>2076</v>
      </c>
      <c r="O1461" s="352">
        <v>8</v>
      </c>
      <c r="P1461" s="194" t="s">
        <v>2085</v>
      </c>
      <c r="Q1461" s="194" t="s">
        <v>2068</v>
      </c>
      <c r="R1461" s="251">
        <v>0</v>
      </c>
      <c r="S1461" s="251"/>
      <c r="T1461" s="251" t="s">
        <v>2054</v>
      </c>
      <c r="U1461" s="251">
        <v>0</v>
      </c>
      <c r="V1461" s="251" t="s">
        <v>2153</v>
      </c>
      <c r="W1461" s="194"/>
      <c r="X1461" s="251">
        <v>0</v>
      </c>
    </row>
    <row r="1462" spans="2:24" x14ac:dyDescent="0.2">
      <c r="B1462" s="352" t="s">
        <v>874</v>
      </c>
      <c r="C1462" s="352" t="s">
        <v>712</v>
      </c>
      <c r="F1462" s="194" t="s">
        <v>1993</v>
      </c>
      <c r="G1462" s="194" t="s">
        <v>2079</v>
      </c>
      <c r="H1462" s="194" t="s">
        <v>1378</v>
      </c>
      <c r="I1462" s="352" t="s">
        <v>1014</v>
      </c>
      <c r="J1462" s="194" t="s">
        <v>1893</v>
      </c>
      <c r="K1462" s="352">
        <v>2212</v>
      </c>
      <c r="L1462" s="194" t="s">
        <v>784</v>
      </c>
      <c r="M1462" s="352" t="s">
        <v>3550</v>
      </c>
      <c r="N1462" s="194" t="s">
        <v>2076</v>
      </c>
      <c r="O1462" s="352">
        <v>8</v>
      </c>
      <c r="P1462" s="194" t="s">
        <v>2085</v>
      </c>
      <c r="Q1462" s="194" t="s">
        <v>2068</v>
      </c>
      <c r="R1462" s="251">
        <v>0</v>
      </c>
      <c r="S1462" s="251"/>
      <c r="T1462" s="251" t="s">
        <v>2054</v>
      </c>
      <c r="U1462" s="251">
        <v>0</v>
      </c>
      <c r="V1462" s="251" t="s">
        <v>2153</v>
      </c>
      <c r="W1462" s="194"/>
      <c r="X1462" s="251">
        <v>0</v>
      </c>
    </row>
    <row r="1463" spans="2:24" x14ac:dyDescent="0.2">
      <c r="B1463" s="352" t="s">
        <v>874</v>
      </c>
      <c r="C1463" s="352" t="s">
        <v>719</v>
      </c>
      <c r="F1463" s="194" t="s">
        <v>1994</v>
      </c>
      <c r="G1463" s="194" t="s">
        <v>2092</v>
      </c>
      <c r="H1463" s="194" t="s">
        <v>1486</v>
      </c>
      <c r="I1463" s="352" t="s">
        <v>1014</v>
      </c>
      <c r="J1463" s="194" t="s">
        <v>1893</v>
      </c>
      <c r="K1463" s="352">
        <v>2114</v>
      </c>
      <c r="L1463" s="194" t="s">
        <v>756</v>
      </c>
      <c r="M1463" s="352" t="s">
        <v>3548</v>
      </c>
      <c r="N1463" s="194" t="s">
        <v>2076</v>
      </c>
      <c r="O1463" s="352">
        <v>8</v>
      </c>
      <c r="P1463" s="194" t="s">
        <v>2085</v>
      </c>
      <c r="Q1463" s="194" t="s">
        <v>2068</v>
      </c>
      <c r="R1463" s="251">
        <v>0</v>
      </c>
      <c r="S1463" s="251"/>
      <c r="T1463" s="251" t="s">
        <v>2054</v>
      </c>
      <c r="U1463" s="251">
        <v>0</v>
      </c>
      <c r="V1463" s="251" t="s">
        <v>2153</v>
      </c>
      <c r="W1463" s="194"/>
      <c r="X1463" s="251">
        <v>0</v>
      </c>
    </row>
    <row r="1464" spans="2:24" x14ac:dyDescent="0.2">
      <c r="B1464" s="352" t="s">
        <v>874</v>
      </c>
      <c r="C1464" s="352" t="s">
        <v>719</v>
      </c>
      <c r="F1464" s="194" t="s">
        <v>1994</v>
      </c>
      <c r="G1464" s="194" t="s">
        <v>2092</v>
      </c>
      <c r="H1464" s="194" t="s">
        <v>1486</v>
      </c>
      <c r="I1464" s="352" t="s">
        <v>1014</v>
      </c>
      <c r="J1464" s="194" t="s">
        <v>1893</v>
      </c>
      <c r="K1464" s="352">
        <v>2124</v>
      </c>
      <c r="L1464" s="194" t="s">
        <v>767</v>
      </c>
      <c r="M1464" s="352" t="s">
        <v>3549</v>
      </c>
      <c r="N1464" s="194" t="s">
        <v>2076</v>
      </c>
      <c r="O1464" s="352">
        <v>8</v>
      </c>
      <c r="P1464" s="194" t="s">
        <v>2085</v>
      </c>
      <c r="Q1464" s="194" t="s">
        <v>2068</v>
      </c>
      <c r="R1464" s="251">
        <v>0</v>
      </c>
      <c r="S1464" s="251"/>
      <c r="T1464" s="251" t="s">
        <v>2054</v>
      </c>
      <c r="U1464" s="251">
        <v>0</v>
      </c>
      <c r="V1464" s="251" t="s">
        <v>2153</v>
      </c>
      <c r="W1464" s="194"/>
      <c r="X1464" s="251">
        <v>0</v>
      </c>
    </row>
    <row r="1465" spans="2:24" x14ac:dyDescent="0.2">
      <c r="B1465" s="352" t="s">
        <v>874</v>
      </c>
      <c r="C1465" s="352" t="s">
        <v>719</v>
      </c>
      <c r="F1465" s="194" t="s">
        <v>1994</v>
      </c>
      <c r="G1465" s="194" t="s">
        <v>2092</v>
      </c>
      <c r="H1465" s="194" t="s">
        <v>1486</v>
      </c>
      <c r="I1465" s="352" t="s">
        <v>1014</v>
      </c>
      <c r="J1465" s="194" t="s">
        <v>1893</v>
      </c>
      <c r="K1465" s="352">
        <v>2212</v>
      </c>
      <c r="L1465" s="194" t="s">
        <v>784</v>
      </c>
      <c r="M1465" s="352" t="s">
        <v>3550</v>
      </c>
      <c r="N1465" s="194" t="s">
        <v>2076</v>
      </c>
      <c r="O1465" s="352">
        <v>8</v>
      </c>
      <c r="P1465" s="194" t="s">
        <v>2085</v>
      </c>
      <c r="Q1465" s="194" t="s">
        <v>2068</v>
      </c>
      <c r="R1465" s="251">
        <v>0</v>
      </c>
      <c r="S1465" s="251"/>
      <c r="T1465" s="251" t="s">
        <v>2054</v>
      </c>
      <c r="U1465" s="251">
        <v>0</v>
      </c>
      <c r="V1465" s="251" t="s">
        <v>2153</v>
      </c>
      <c r="W1465" s="194"/>
      <c r="X1465" s="251">
        <v>0</v>
      </c>
    </row>
    <row r="1466" spans="2:24" x14ac:dyDescent="0.2">
      <c r="B1466" s="352" t="s">
        <v>874</v>
      </c>
      <c r="C1466" s="352" t="s">
        <v>727</v>
      </c>
      <c r="F1466" s="194" t="s">
        <v>1995</v>
      </c>
      <c r="G1466" s="194" t="s">
        <v>2094</v>
      </c>
      <c r="H1466" s="194" t="s">
        <v>1548</v>
      </c>
      <c r="I1466" s="352" t="s">
        <v>1014</v>
      </c>
      <c r="J1466" s="194" t="s">
        <v>1893</v>
      </c>
      <c r="K1466" s="352">
        <v>2114</v>
      </c>
      <c r="L1466" s="194" t="s">
        <v>756</v>
      </c>
      <c r="M1466" s="352" t="s">
        <v>3548</v>
      </c>
      <c r="N1466" s="194" t="s">
        <v>2076</v>
      </c>
      <c r="O1466" s="352">
        <v>8</v>
      </c>
      <c r="P1466" s="194" t="s">
        <v>2085</v>
      </c>
      <c r="Q1466" s="194" t="s">
        <v>2068</v>
      </c>
      <c r="R1466" s="251">
        <v>0</v>
      </c>
      <c r="S1466" s="251"/>
      <c r="T1466" s="251" t="s">
        <v>2054</v>
      </c>
      <c r="U1466" s="251">
        <v>0</v>
      </c>
      <c r="V1466" s="251" t="s">
        <v>2153</v>
      </c>
      <c r="W1466" s="194"/>
      <c r="X1466" s="251">
        <v>0</v>
      </c>
    </row>
    <row r="1467" spans="2:24" x14ac:dyDescent="0.2">
      <c r="B1467" s="352" t="s">
        <v>874</v>
      </c>
      <c r="C1467" s="352" t="s">
        <v>727</v>
      </c>
      <c r="F1467" s="194" t="s">
        <v>1995</v>
      </c>
      <c r="G1467" s="194" t="s">
        <v>2094</v>
      </c>
      <c r="H1467" s="194" t="s">
        <v>1548</v>
      </c>
      <c r="I1467" s="352" t="s">
        <v>1014</v>
      </c>
      <c r="J1467" s="194" t="s">
        <v>1893</v>
      </c>
      <c r="K1467" s="352">
        <v>2124</v>
      </c>
      <c r="L1467" s="194" t="s">
        <v>767</v>
      </c>
      <c r="M1467" s="352" t="s">
        <v>3549</v>
      </c>
      <c r="N1467" s="194" t="s">
        <v>2076</v>
      </c>
      <c r="O1467" s="352">
        <v>8</v>
      </c>
      <c r="P1467" s="194" t="s">
        <v>2085</v>
      </c>
      <c r="Q1467" s="194" t="s">
        <v>2068</v>
      </c>
      <c r="R1467" s="251">
        <v>0</v>
      </c>
      <c r="S1467" s="251"/>
      <c r="T1467" s="251" t="s">
        <v>2054</v>
      </c>
      <c r="U1467" s="251">
        <v>0</v>
      </c>
      <c r="V1467" s="251" t="s">
        <v>2153</v>
      </c>
      <c r="W1467" s="194"/>
      <c r="X1467" s="251">
        <v>0</v>
      </c>
    </row>
    <row r="1468" spans="2:24" x14ac:dyDescent="0.2">
      <c r="B1468" s="352" t="s">
        <v>874</v>
      </c>
      <c r="C1468" s="352" t="s">
        <v>727</v>
      </c>
      <c r="F1468" s="194" t="s">
        <v>1995</v>
      </c>
      <c r="G1468" s="194" t="s">
        <v>2094</v>
      </c>
      <c r="H1468" s="194" t="s">
        <v>1548</v>
      </c>
      <c r="I1468" s="352" t="s">
        <v>1014</v>
      </c>
      <c r="J1468" s="194" t="s">
        <v>1893</v>
      </c>
      <c r="K1468" s="352">
        <v>2212</v>
      </c>
      <c r="L1468" s="194" t="s">
        <v>784</v>
      </c>
      <c r="M1468" s="352" t="s">
        <v>3550</v>
      </c>
      <c r="N1468" s="194" t="s">
        <v>2076</v>
      </c>
      <c r="O1468" s="352">
        <v>8</v>
      </c>
      <c r="P1468" s="194" t="s">
        <v>2085</v>
      </c>
      <c r="Q1468" s="194" t="s">
        <v>2068</v>
      </c>
      <c r="R1468" s="251">
        <v>0</v>
      </c>
      <c r="S1468" s="251"/>
      <c r="T1468" s="251" t="s">
        <v>2054</v>
      </c>
      <c r="U1468" s="251">
        <v>0</v>
      </c>
      <c r="V1468" s="251" t="s">
        <v>2153</v>
      </c>
      <c r="W1468" s="194"/>
      <c r="X1468" s="251">
        <v>0</v>
      </c>
    </row>
    <row r="1469" spans="2:24" x14ac:dyDescent="0.2">
      <c r="B1469" s="352" t="s">
        <v>874</v>
      </c>
      <c r="C1469" s="352" t="s">
        <v>754</v>
      </c>
      <c r="F1469" s="194" t="s">
        <v>1999</v>
      </c>
      <c r="G1469" s="194" t="s">
        <v>2120</v>
      </c>
      <c r="H1469" s="194" t="s">
        <v>1751</v>
      </c>
      <c r="I1469" s="352" t="s">
        <v>1014</v>
      </c>
      <c r="J1469" s="194" t="s">
        <v>1893</v>
      </c>
      <c r="K1469" s="352">
        <v>2114</v>
      </c>
      <c r="L1469" s="194" t="s">
        <v>756</v>
      </c>
      <c r="M1469" s="352" t="s">
        <v>3548</v>
      </c>
      <c r="N1469" s="194" t="s">
        <v>2048</v>
      </c>
      <c r="O1469" s="352">
        <v>8</v>
      </c>
      <c r="P1469" s="194" t="s">
        <v>2067</v>
      </c>
      <c r="Q1469" s="194" t="s">
        <v>2068</v>
      </c>
      <c r="R1469" s="251">
        <v>0</v>
      </c>
      <c r="S1469" s="251"/>
      <c r="T1469" s="251" t="s">
        <v>2054</v>
      </c>
      <c r="U1469" s="251">
        <v>0</v>
      </c>
      <c r="V1469" s="251" t="s">
        <v>2153</v>
      </c>
      <c r="W1469" s="194"/>
      <c r="X1469" s="251">
        <v>0</v>
      </c>
    </row>
    <row r="1470" spans="2:24" x14ac:dyDescent="0.2">
      <c r="B1470" s="352" t="s">
        <v>874</v>
      </c>
      <c r="C1470" s="352" t="s">
        <v>754</v>
      </c>
      <c r="F1470" s="194" t="s">
        <v>1999</v>
      </c>
      <c r="G1470" s="194" t="s">
        <v>2120</v>
      </c>
      <c r="H1470" s="194" t="s">
        <v>1751</v>
      </c>
      <c r="I1470" s="352" t="s">
        <v>1014</v>
      </c>
      <c r="J1470" s="194" t="s">
        <v>1893</v>
      </c>
      <c r="K1470" s="352">
        <v>2124</v>
      </c>
      <c r="L1470" s="194" t="s">
        <v>767</v>
      </c>
      <c r="M1470" s="352" t="s">
        <v>3549</v>
      </c>
      <c r="N1470" s="194" t="s">
        <v>2048</v>
      </c>
      <c r="O1470" s="352">
        <v>8</v>
      </c>
      <c r="P1470" s="194" t="s">
        <v>2067</v>
      </c>
      <c r="Q1470" s="194" t="s">
        <v>2068</v>
      </c>
      <c r="R1470" s="251">
        <v>0</v>
      </c>
      <c r="S1470" s="251"/>
      <c r="T1470" s="251" t="s">
        <v>2054</v>
      </c>
      <c r="U1470" s="251">
        <v>0</v>
      </c>
      <c r="V1470" s="251" t="s">
        <v>2153</v>
      </c>
      <c r="W1470" s="194"/>
      <c r="X1470" s="251">
        <v>0</v>
      </c>
    </row>
    <row r="1471" spans="2:24" x14ac:dyDescent="0.2">
      <c r="B1471" s="352" t="s">
        <v>874</v>
      </c>
      <c r="C1471" s="352" t="s">
        <v>754</v>
      </c>
      <c r="F1471" s="194" t="s">
        <v>1999</v>
      </c>
      <c r="G1471" s="194" t="s">
        <v>2120</v>
      </c>
      <c r="H1471" s="194" t="s">
        <v>1751</v>
      </c>
      <c r="I1471" s="352" t="s">
        <v>1014</v>
      </c>
      <c r="J1471" s="194" t="s">
        <v>1893</v>
      </c>
      <c r="K1471" s="352">
        <v>2212</v>
      </c>
      <c r="L1471" s="194" t="s">
        <v>784</v>
      </c>
      <c r="M1471" s="352" t="s">
        <v>3550</v>
      </c>
      <c r="N1471" s="194" t="s">
        <v>2048</v>
      </c>
      <c r="O1471" s="352">
        <v>8</v>
      </c>
      <c r="P1471" s="194" t="s">
        <v>2067</v>
      </c>
      <c r="Q1471" s="194" t="s">
        <v>2068</v>
      </c>
      <c r="R1471" s="251">
        <v>0</v>
      </c>
      <c r="S1471" s="251"/>
      <c r="T1471" s="251" t="s">
        <v>2054</v>
      </c>
      <c r="U1471" s="251">
        <v>0</v>
      </c>
      <c r="V1471" s="251" t="s">
        <v>2153</v>
      </c>
      <c r="W1471" s="194"/>
      <c r="X1471" s="251">
        <v>0</v>
      </c>
    </row>
    <row r="1472" spans="2:24" x14ac:dyDescent="0.2">
      <c r="B1472" s="352" t="s">
        <v>873</v>
      </c>
      <c r="C1472" s="352" t="s">
        <v>706</v>
      </c>
      <c r="F1472" s="194" t="s">
        <v>1992</v>
      </c>
      <c r="G1472" s="194" t="s">
        <v>2053</v>
      </c>
      <c r="H1472" s="194" t="s">
        <v>1271</v>
      </c>
      <c r="I1472" s="352" t="s">
        <v>1014</v>
      </c>
      <c r="J1472" s="194" t="s">
        <v>1893</v>
      </c>
      <c r="K1472" s="352">
        <v>2114</v>
      </c>
      <c r="L1472" s="194" t="s">
        <v>756</v>
      </c>
      <c r="M1472" s="352" t="s">
        <v>3548</v>
      </c>
      <c r="N1472" s="194" t="s">
        <v>2048</v>
      </c>
      <c r="O1472" s="352">
        <v>8</v>
      </c>
      <c r="P1472" s="194" t="s">
        <v>2067</v>
      </c>
      <c r="Q1472" s="194" t="s">
        <v>2068</v>
      </c>
      <c r="R1472" s="251">
        <v>0</v>
      </c>
      <c r="S1472" s="251"/>
      <c r="T1472" s="251" t="s">
        <v>2054</v>
      </c>
      <c r="U1472" s="251">
        <v>0</v>
      </c>
      <c r="V1472" s="251" t="s">
        <v>2153</v>
      </c>
      <c r="W1472" s="194"/>
      <c r="X1472" s="251">
        <v>0</v>
      </c>
    </row>
    <row r="1473" spans="2:24" x14ac:dyDescent="0.2">
      <c r="B1473" s="352" t="s">
        <v>873</v>
      </c>
      <c r="C1473" s="352" t="s">
        <v>706</v>
      </c>
      <c r="F1473" s="194" t="s">
        <v>1992</v>
      </c>
      <c r="G1473" s="194" t="s">
        <v>2053</v>
      </c>
      <c r="H1473" s="194" t="s">
        <v>1271</v>
      </c>
      <c r="I1473" s="352" t="s">
        <v>1014</v>
      </c>
      <c r="J1473" s="194" t="s">
        <v>1893</v>
      </c>
      <c r="K1473" s="352">
        <v>2124</v>
      </c>
      <c r="L1473" s="194" t="s">
        <v>767</v>
      </c>
      <c r="M1473" s="352" t="s">
        <v>3549</v>
      </c>
      <c r="N1473" s="194" t="s">
        <v>2048</v>
      </c>
      <c r="O1473" s="352">
        <v>8</v>
      </c>
      <c r="P1473" s="194" t="s">
        <v>2067</v>
      </c>
      <c r="Q1473" s="194" t="s">
        <v>2068</v>
      </c>
      <c r="R1473" s="251">
        <v>0</v>
      </c>
      <c r="S1473" s="251"/>
      <c r="T1473" s="251" t="s">
        <v>2054</v>
      </c>
      <c r="U1473" s="251">
        <v>0</v>
      </c>
      <c r="V1473" s="251" t="s">
        <v>2153</v>
      </c>
      <c r="W1473" s="194"/>
      <c r="X1473" s="251">
        <v>0</v>
      </c>
    </row>
    <row r="1474" spans="2:24" x14ac:dyDescent="0.2">
      <c r="B1474" s="352" t="s">
        <v>873</v>
      </c>
      <c r="C1474" s="352" t="s">
        <v>706</v>
      </c>
      <c r="F1474" s="194" t="s">
        <v>1992</v>
      </c>
      <c r="G1474" s="194" t="s">
        <v>2053</v>
      </c>
      <c r="H1474" s="194" t="s">
        <v>1271</v>
      </c>
      <c r="I1474" s="352" t="s">
        <v>1014</v>
      </c>
      <c r="J1474" s="194" t="s">
        <v>1893</v>
      </c>
      <c r="K1474" s="352">
        <v>2212</v>
      </c>
      <c r="L1474" s="194" t="s">
        <v>784</v>
      </c>
      <c r="M1474" s="352" t="s">
        <v>3550</v>
      </c>
      <c r="N1474" s="194" t="s">
        <v>2048</v>
      </c>
      <c r="O1474" s="352">
        <v>8</v>
      </c>
      <c r="P1474" s="194" t="s">
        <v>2067</v>
      </c>
      <c r="Q1474" s="194" t="s">
        <v>2068</v>
      </c>
      <c r="R1474" s="251">
        <v>0</v>
      </c>
      <c r="S1474" s="251"/>
      <c r="T1474" s="251" t="s">
        <v>2054</v>
      </c>
      <c r="U1474" s="251">
        <v>0</v>
      </c>
      <c r="V1474" s="251" t="s">
        <v>2153</v>
      </c>
      <c r="W1474" s="194"/>
      <c r="X1474" s="251">
        <v>0</v>
      </c>
    </row>
    <row r="1475" spans="2:24" x14ac:dyDescent="0.2">
      <c r="B1475" s="352" t="s">
        <v>873</v>
      </c>
      <c r="C1475" s="352" t="s">
        <v>712</v>
      </c>
      <c r="F1475" s="194" t="s">
        <v>1993</v>
      </c>
      <c r="G1475" s="194" t="s">
        <v>2080</v>
      </c>
      <c r="H1475" s="194" t="s">
        <v>1379</v>
      </c>
      <c r="I1475" s="352" t="s">
        <v>1014</v>
      </c>
      <c r="J1475" s="194" t="s">
        <v>1893</v>
      </c>
      <c r="K1475" s="352">
        <v>2114</v>
      </c>
      <c r="L1475" s="194" t="s">
        <v>756</v>
      </c>
      <c r="M1475" s="352" t="s">
        <v>3548</v>
      </c>
      <c r="N1475" s="194" t="s">
        <v>2076</v>
      </c>
      <c r="O1475" s="352">
        <v>8</v>
      </c>
      <c r="P1475" s="194" t="s">
        <v>2085</v>
      </c>
      <c r="Q1475" s="194" t="s">
        <v>2068</v>
      </c>
      <c r="R1475" s="251">
        <v>0</v>
      </c>
      <c r="S1475" s="251"/>
      <c r="T1475" s="251" t="s">
        <v>2054</v>
      </c>
      <c r="U1475" s="251">
        <v>0</v>
      </c>
      <c r="V1475" s="251" t="s">
        <v>2153</v>
      </c>
      <c r="W1475" s="194"/>
      <c r="X1475" s="251">
        <v>0</v>
      </c>
    </row>
    <row r="1476" spans="2:24" x14ac:dyDescent="0.2">
      <c r="B1476" s="352" t="s">
        <v>873</v>
      </c>
      <c r="C1476" s="352" t="s">
        <v>712</v>
      </c>
      <c r="F1476" s="194" t="s">
        <v>1993</v>
      </c>
      <c r="G1476" s="194" t="s">
        <v>2080</v>
      </c>
      <c r="H1476" s="194" t="s">
        <v>1379</v>
      </c>
      <c r="I1476" s="352" t="s">
        <v>1014</v>
      </c>
      <c r="J1476" s="194" t="s">
        <v>1893</v>
      </c>
      <c r="K1476" s="352">
        <v>2124</v>
      </c>
      <c r="L1476" s="194" t="s">
        <v>767</v>
      </c>
      <c r="M1476" s="352" t="s">
        <v>3549</v>
      </c>
      <c r="N1476" s="194" t="s">
        <v>2076</v>
      </c>
      <c r="O1476" s="352">
        <v>8</v>
      </c>
      <c r="P1476" s="194" t="s">
        <v>2085</v>
      </c>
      <c r="Q1476" s="194" t="s">
        <v>2068</v>
      </c>
      <c r="R1476" s="251">
        <v>0</v>
      </c>
      <c r="S1476" s="251"/>
      <c r="T1476" s="251" t="s">
        <v>2054</v>
      </c>
      <c r="U1476" s="251">
        <v>0</v>
      </c>
      <c r="V1476" s="251" t="s">
        <v>2153</v>
      </c>
      <c r="W1476" s="194"/>
      <c r="X1476" s="251">
        <v>0</v>
      </c>
    </row>
    <row r="1477" spans="2:24" x14ac:dyDescent="0.2">
      <c r="B1477" s="352" t="s">
        <v>873</v>
      </c>
      <c r="C1477" s="352" t="s">
        <v>712</v>
      </c>
      <c r="F1477" s="194" t="s">
        <v>1993</v>
      </c>
      <c r="G1477" s="194" t="s">
        <v>2080</v>
      </c>
      <c r="H1477" s="194" t="s">
        <v>1379</v>
      </c>
      <c r="I1477" s="352" t="s">
        <v>1014</v>
      </c>
      <c r="J1477" s="194" t="s">
        <v>1893</v>
      </c>
      <c r="K1477" s="352">
        <v>2212</v>
      </c>
      <c r="L1477" s="194" t="s">
        <v>784</v>
      </c>
      <c r="M1477" s="352" t="s">
        <v>3550</v>
      </c>
      <c r="N1477" s="194" t="s">
        <v>2076</v>
      </c>
      <c r="O1477" s="352">
        <v>8</v>
      </c>
      <c r="P1477" s="194" t="s">
        <v>2085</v>
      </c>
      <c r="Q1477" s="194" t="s">
        <v>2068</v>
      </c>
      <c r="R1477" s="251">
        <v>0</v>
      </c>
      <c r="S1477" s="251"/>
      <c r="T1477" s="251" t="s">
        <v>2054</v>
      </c>
      <c r="U1477" s="251">
        <v>0</v>
      </c>
      <c r="V1477" s="251" t="s">
        <v>2153</v>
      </c>
      <c r="W1477" s="194"/>
      <c r="X1477" s="251">
        <v>0</v>
      </c>
    </row>
    <row r="1478" spans="2:24" x14ac:dyDescent="0.2">
      <c r="B1478" s="352" t="s">
        <v>873</v>
      </c>
      <c r="C1478" s="352" t="s">
        <v>719</v>
      </c>
      <c r="F1478" s="194" t="s">
        <v>1994</v>
      </c>
      <c r="G1478" s="194" t="s">
        <v>2093</v>
      </c>
      <c r="H1478" s="194" t="s">
        <v>1487</v>
      </c>
      <c r="I1478" s="352" t="s">
        <v>1014</v>
      </c>
      <c r="J1478" s="194" t="s">
        <v>1893</v>
      </c>
      <c r="K1478" s="352">
        <v>2114</v>
      </c>
      <c r="L1478" s="194" t="s">
        <v>756</v>
      </c>
      <c r="M1478" s="352" t="s">
        <v>3548</v>
      </c>
      <c r="N1478" s="194" t="s">
        <v>2076</v>
      </c>
      <c r="O1478" s="352">
        <v>8</v>
      </c>
      <c r="P1478" s="194" t="s">
        <v>2085</v>
      </c>
      <c r="Q1478" s="194" t="s">
        <v>2068</v>
      </c>
      <c r="R1478" s="251">
        <v>0</v>
      </c>
      <c r="S1478" s="251"/>
      <c r="T1478" s="251" t="s">
        <v>2054</v>
      </c>
      <c r="U1478" s="251">
        <v>0</v>
      </c>
      <c r="V1478" s="251" t="s">
        <v>2153</v>
      </c>
      <c r="W1478" s="194"/>
      <c r="X1478" s="251">
        <v>0</v>
      </c>
    </row>
    <row r="1479" spans="2:24" x14ac:dyDescent="0.2">
      <c r="B1479" s="352" t="s">
        <v>873</v>
      </c>
      <c r="C1479" s="352" t="s">
        <v>719</v>
      </c>
      <c r="F1479" s="194" t="s">
        <v>1994</v>
      </c>
      <c r="G1479" s="194" t="s">
        <v>2093</v>
      </c>
      <c r="H1479" s="194" t="s">
        <v>1487</v>
      </c>
      <c r="I1479" s="352" t="s">
        <v>1014</v>
      </c>
      <c r="J1479" s="194" t="s">
        <v>1893</v>
      </c>
      <c r="K1479" s="352">
        <v>2124</v>
      </c>
      <c r="L1479" s="194" t="s">
        <v>767</v>
      </c>
      <c r="M1479" s="352" t="s">
        <v>3549</v>
      </c>
      <c r="N1479" s="194" t="s">
        <v>2076</v>
      </c>
      <c r="O1479" s="352">
        <v>8</v>
      </c>
      <c r="P1479" s="194" t="s">
        <v>2085</v>
      </c>
      <c r="Q1479" s="194" t="s">
        <v>2068</v>
      </c>
      <c r="R1479" s="251">
        <v>0</v>
      </c>
      <c r="S1479" s="251"/>
      <c r="T1479" s="251" t="s">
        <v>2054</v>
      </c>
      <c r="U1479" s="251">
        <v>0</v>
      </c>
      <c r="V1479" s="251" t="s">
        <v>2153</v>
      </c>
      <c r="W1479" s="194"/>
      <c r="X1479" s="251">
        <v>0</v>
      </c>
    </row>
    <row r="1480" spans="2:24" x14ac:dyDescent="0.2">
      <c r="B1480" s="352" t="s">
        <v>873</v>
      </c>
      <c r="C1480" s="352" t="s">
        <v>719</v>
      </c>
      <c r="F1480" s="194" t="s">
        <v>1994</v>
      </c>
      <c r="G1480" s="194" t="s">
        <v>2093</v>
      </c>
      <c r="H1480" s="194" t="s">
        <v>1487</v>
      </c>
      <c r="I1480" s="352" t="s">
        <v>1014</v>
      </c>
      <c r="J1480" s="194" t="s">
        <v>1893</v>
      </c>
      <c r="K1480" s="352">
        <v>2212</v>
      </c>
      <c r="L1480" s="194" t="s">
        <v>784</v>
      </c>
      <c r="M1480" s="352" t="s">
        <v>3550</v>
      </c>
      <c r="N1480" s="194" t="s">
        <v>2076</v>
      </c>
      <c r="O1480" s="352">
        <v>8</v>
      </c>
      <c r="P1480" s="194" t="s">
        <v>2085</v>
      </c>
      <c r="Q1480" s="194" t="s">
        <v>2068</v>
      </c>
      <c r="R1480" s="251">
        <v>0</v>
      </c>
      <c r="S1480" s="251"/>
      <c r="T1480" s="251" t="s">
        <v>2054</v>
      </c>
      <c r="U1480" s="251">
        <v>0</v>
      </c>
      <c r="V1480" s="251" t="s">
        <v>2153</v>
      </c>
      <c r="W1480" s="194"/>
      <c r="X1480" s="251">
        <v>0</v>
      </c>
    </row>
    <row r="1481" spans="2:24" x14ac:dyDescent="0.2">
      <c r="B1481" s="352" t="s">
        <v>873</v>
      </c>
      <c r="C1481" s="352" t="s">
        <v>727</v>
      </c>
      <c r="F1481" s="194" t="s">
        <v>1995</v>
      </c>
      <c r="G1481" s="194" t="s">
        <v>2095</v>
      </c>
      <c r="H1481" s="194" t="s">
        <v>1549</v>
      </c>
      <c r="I1481" s="352" t="s">
        <v>1014</v>
      </c>
      <c r="J1481" s="194" t="s">
        <v>1893</v>
      </c>
      <c r="K1481" s="352">
        <v>2114</v>
      </c>
      <c r="L1481" s="194" t="s">
        <v>756</v>
      </c>
      <c r="M1481" s="352" t="s">
        <v>3548</v>
      </c>
      <c r="N1481" s="194" t="s">
        <v>2096</v>
      </c>
      <c r="O1481" s="352">
        <v>8</v>
      </c>
      <c r="P1481" s="194" t="s">
        <v>2104</v>
      </c>
      <c r="Q1481" s="194" t="s">
        <v>2068</v>
      </c>
      <c r="R1481" s="251">
        <v>0</v>
      </c>
      <c r="S1481" s="251"/>
      <c r="T1481" s="251" t="s">
        <v>2054</v>
      </c>
      <c r="U1481" s="251">
        <v>0</v>
      </c>
      <c r="V1481" s="251" t="s">
        <v>2153</v>
      </c>
      <c r="W1481" s="194"/>
      <c r="X1481" s="251">
        <v>0</v>
      </c>
    </row>
    <row r="1482" spans="2:24" x14ac:dyDescent="0.2">
      <c r="B1482" s="352" t="s">
        <v>873</v>
      </c>
      <c r="C1482" s="352" t="s">
        <v>727</v>
      </c>
      <c r="F1482" s="194" t="s">
        <v>1995</v>
      </c>
      <c r="G1482" s="194" t="s">
        <v>2095</v>
      </c>
      <c r="H1482" s="194" t="s">
        <v>1549</v>
      </c>
      <c r="I1482" s="352" t="s">
        <v>1014</v>
      </c>
      <c r="J1482" s="194" t="s">
        <v>1893</v>
      </c>
      <c r="K1482" s="352">
        <v>2124</v>
      </c>
      <c r="L1482" s="194" t="s">
        <v>767</v>
      </c>
      <c r="M1482" s="352" t="s">
        <v>3549</v>
      </c>
      <c r="N1482" s="194" t="s">
        <v>2096</v>
      </c>
      <c r="O1482" s="352">
        <v>8</v>
      </c>
      <c r="P1482" s="194" t="s">
        <v>2104</v>
      </c>
      <c r="Q1482" s="194" t="s">
        <v>2068</v>
      </c>
      <c r="R1482" s="251">
        <v>0</v>
      </c>
      <c r="S1482" s="251"/>
      <c r="T1482" s="251" t="s">
        <v>2054</v>
      </c>
      <c r="U1482" s="251">
        <v>0</v>
      </c>
      <c r="V1482" s="251" t="s">
        <v>2153</v>
      </c>
      <c r="W1482" s="194"/>
      <c r="X1482" s="251">
        <v>0</v>
      </c>
    </row>
    <row r="1483" spans="2:24" x14ac:dyDescent="0.2">
      <c r="B1483" s="352" t="s">
        <v>873</v>
      </c>
      <c r="C1483" s="352" t="s">
        <v>727</v>
      </c>
      <c r="F1483" s="194" t="s">
        <v>1995</v>
      </c>
      <c r="G1483" s="194" t="s">
        <v>2095</v>
      </c>
      <c r="H1483" s="194" t="s">
        <v>1549</v>
      </c>
      <c r="I1483" s="352" t="s">
        <v>1014</v>
      </c>
      <c r="J1483" s="194" t="s">
        <v>1893</v>
      </c>
      <c r="K1483" s="352">
        <v>2212</v>
      </c>
      <c r="L1483" s="194" t="s">
        <v>784</v>
      </c>
      <c r="M1483" s="352" t="s">
        <v>3550</v>
      </c>
      <c r="N1483" s="194" t="s">
        <v>2096</v>
      </c>
      <c r="O1483" s="352">
        <v>8</v>
      </c>
      <c r="P1483" s="194" t="s">
        <v>2104</v>
      </c>
      <c r="Q1483" s="194" t="s">
        <v>2068</v>
      </c>
      <c r="R1483" s="251">
        <v>0</v>
      </c>
      <c r="S1483" s="251"/>
      <c r="T1483" s="251" t="s">
        <v>2054</v>
      </c>
      <c r="U1483" s="251">
        <v>0</v>
      </c>
      <c r="V1483" s="251" t="s">
        <v>2153</v>
      </c>
      <c r="W1483" s="194"/>
      <c r="X1483" s="251">
        <v>0</v>
      </c>
    </row>
    <row r="1484" spans="2:24" x14ac:dyDescent="0.2">
      <c r="B1484" s="352" t="s">
        <v>873</v>
      </c>
      <c r="C1484" s="352" t="s">
        <v>754</v>
      </c>
      <c r="F1484" s="194" t="s">
        <v>1999</v>
      </c>
      <c r="G1484" s="194" t="s">
        <v>2121</v>
      </c>
      <c r="H1484" s="194" t="s">
        <v>1752</v>
      </c>
      <c r="I1484" s="352" t="s">
        <v>1014</v>
      </c>
      <c r="J1484" s="194" t="s">
        <v>1893</v>
      </c>
      <c r="K1484" s="352">
        <v>2114</v>
      </c>
      <c r="L1484" s="194" t="s">
        <v>756</v>
      </c>
      <c r="M1484" s="352" t="s">
        <v>3548</v>
      </c>
      <c r="N1484" s="194" t="s">
        <v>2048</v>
      </c>
      <c r="O1484" s="352">
        <v>8</v>
      </c>
      <c r="P1484" s="194" t="s">
        <v>2067</v>
      </c>
      <c r="Q1484" s="194" t="s">
        <v>2068</v>
      </c>
      <c r="R1484" s="251">
        <v>0</v>
      </c>
      <c r="S1484" s="251"/>
      <c r="T1484" s="251" t="s">
        <v>2054</v>
      </c>
      <c r="U1484" s="251">
        <v>0</v>
      </c>
      <c r="V1484" s="251" t="s">
        <v>2153</v>
      </c>
      <c r="W1484" s="194"/>
      <c r="X1484" s="251">
        <v>0</v>
      </c>
    </row>
    <row r="1485" spans="2:24" x14ac:dyDescent="0.2">
      <c r="B1485" s="352" t="s">
        <v>873</v>
      </c>
      <c r="C1485" s="352" t="s">
        <v>754</v>
      </c>
      <c r="F1485" s="194" t="s">
        <v>1999</v>
      </c>
      <c r="G1485" s="194" t="s">
        <v>2121</v>
      </c>
      <c r="H1485" s="194" t="s">
        <v>1752</v>
      </c>
      <c r="I1485" s="352" t="s">
        <v>1014</v>
      </c>
      <c r="J1485" s="194" t="s">
        <v>1893</v>
      </c>
      <c r="K1485" s="352">
        <v>2124</v>
      </c>
      <c r="L1485" s="194" t="s">
        <v>767</v>
      </c>
      <c r="M1485" s="352" t="s">
        <v>3549</v>
      </c>
      <c r="N1485" s="194" t="s">
        <v>2048</v>
      </c>
      <c r="O1485" s="352">
        <v>8</v>
      </c>
      <c r="P1485" s="194" t="s">
        <v>2067</v>
      </c>
      <c r="Q1485" s="194" t="s">
        <v>2068</v>
      </c>
      <c r="R1485" s="251">
        <v>0</v>
      </c>
      <c r="S1485" s="251"/>
      <c r="T1485" s="251" t="s">
        <v>2054</v>
      </c>
      <c r="U1485" s="251">
        <v>0</v>
      </c>
      <c r="V1485" s="251" t="s">
        <v>2153</v>
      </c>
      <c r="W1485" s="194"/>
      <c r="X1485" s="251">
        <v>0</v>
      </c>
    </row>
    <row r="1486" spans="2:24" x14ac:dyDescent="0.2">
      <c r="B1486" s="352" t="s">
        <v>873</v>
      </c>
      <c r="C1486" s="352" t="s">
        <v>754</v>
      </c>
      <c r="F1486" s="194" t="s">
        <v>1999</v>
      </c>
      <c r="G1486" s="194" t="s">
        <v>2121</v>
      </c>
      <c r="H1486" s="194" t="s">
        <v>1752</v>
      </c>
      <c r="I1486" s="352" t="s">
        <v>1014</v>
      </c>
      <c r="J1486" s="194" t="s">
        <v>1893</v>
      </c>
      <c r="K1486" s="352">
        <v>2212</v>
      </c>
      <c r="L1486" s="194" t="s">
        <v>784</v>
      </c>
      <c r="M1486" s="352" t="s">
        <v>3550</v>
      </c>
      <c r="N1486" s="194" t="s">
        <v>2048</v>
      </c>
      <c r="O1486" s="352">
        <v>8</v>
      </c>
      <c r="P1486" s="194" t="s">
        <v>2067</v>
      </c>
      <c r="Q1486" s="194" t="s">
        <v>2068</v>
      </c>
      <c r="R1486" s="251">
        <v>0</v>
      </c>
      <c r="S1486" s="251"/>
      <c r="T1486" s="251" t="s">
        <v>2054</v>
      </c>
      <c r="U1486" s="251">
        <v>0</v>
      </c>
      <c r="V1486" s="251" t="s">
        <v>2153</v>
      </c>
      <c r="W1486" s="194"/>
      <c r="X1486" s="251">
        <v>0</v>
      </c>
    </row>
    <row r="1487" spans="2:24" x14ac:dyDescent="0.2">
      <c r="B1487" s="352" t="s">
        <v>870</v>
      </c>
      <c r="C1487" s="352" t="s">
        <v>739</v>
      </c>
      <c r="F1487" s="194" t="s">
        <v>1997</v>
      </c>
      <c r="G1487" s="194" t="s">
        <v>2115</v>
      </c>
      <c r="H1487" s="194" t="s">
        <v>1607</v>
      </c>
      <c r="I1487" s="352" t="s">
        <v>1014</v>
      </c>
      <c r="J1487" s="194" t="s">
        <v>1893</v>
      </c>
      <c r="K1487" s="352">
        <v>2114</v>
      </c>
      <c r="L1487" s="194" t="s">
        <v>756</v>
      </c>
      <c r="M1487" s="352" t="s">
        <v>3548</v>
      </c>
      <c r="N1487" s="194" t="s">
        <v>2076</v>
      </c>
      <c r="O1487" s="352">
        <v>8</v>
      </c>
      <c r="P1487" s="194" t="s">
        <v>2085</v>
      </c>
      <c r="Q1487" s="194" t="s">
        <v>2068</v>
      </c>
      <c r="R1487" s="251">
        <v>0</v>
      </c>
      <c r="S1487" s="251"/>
      <c r="T1487" s="251" t="s">
        <v>2054</v>
      </c>
      <c r="U1487" s="251">
        <v>0</v>
      </c>
      <c r="V1487" s="251" t="s">
        <v>2153</v>
      </c>
      <c r="W1487" s="194"/>
      <c r="X1487" s="251">
        <v>0</v>
      </c>
    </row>
    <row r="1488" spans="2:24" x14ac:dyDescent="0.2">
      <c r="B1488" s="352" t="s">
        <v>870</v>
      </c>
      <c r="C1488" s="352" t="s">
        <v>739</v>
      </c>
      <c r="F1488" s="194" t="s">
        <v>1997</v>
      </c>
      <c r="G1488" s="194" t="s">
        <v>2115</v>
      </c>
      <c r="H1488" s="194" t="s">
        <v>1607</v>
      </c>
      <c r="I1488" s="352" t="s">
        <v>1014</v>
      </c>
      <c r="J1488" s="194" t="s">
        <v>1893</v>
      </c>
      <c r="K1488" s="352">
        <v>2124</v>
      </c>
      <c r="L1488" s="194" t="s">
        <v>767</v>
      </c>
      <c r="M1488" s="352" t="s">
        <v>3549</v>
      </c>
      <c r="N1488" s="194" t="s">
        <v>2076</v>
      </c>
      <c r="O1488" s="352">
        <v>8</v>
      </c>
      <c r="P1488" s="194" t="s">
        <v>2085</v>
      </c>
      <c r="Q1488" s="194" t="s">
        <v>2068</v>
      </c>
      <c r="R1488" s="251">
        <v>0</v>
      </c>
      <c r="S1488" s="251"/>
      <c r="T1488" s="251" t="s">
        <v>2054</v>
      </c>
      <c r="U1488" s="251">
        <v>0</v>
      </c>
      <c r="V1488" s="251" t="s">
        <v>2153</v>
      </c>
      <c r="W1488" s="194"/>
      <c r="X1488" s="251">
        <v>0</v>
      </c>
    </row>
    <row r="1489" spans="2:24" x14ac:dyDescent="0.2">
      <c r="B1489" s="352" t="s">
        <v>870</v>
      </c>
      <c r="C1489" s="352" t="s">
        <v>739</v>
      </c>
      <c r="F1489" s="194" t="s">
        <v>1997</v>
      </c>
      <c r="G1489" s="194" t="s">
        <v>2115</v>
      </c>
      <c r="H1489" s="194" t="s">
        <v>1607</v>
      </c>
      <c r="I1489" s="352" t="s">
        <v>1014</v>
      </c>
      <c r="J1489" s="194" t="s">
        <v>1893</v>
      </c>
      <c r="K1489" s="352">
        <v>2212</v>
      </c>
      <c r="L1489" s="194" t="s">
        <v>784</v>
      </c>
      <c r="M1489" s="352" t="s">
        <v>3550</v>
      </c>
      <c r="N1489" s="194" t="s">
        <v>2076</v>
      </c>
      <c r="O1489" s="352">
        <v>8</v>
      </c>
      <c r="P1489" s="194" t="s">
        <v>2085</v>
      </c>
      <c r="Q1489" s="194" t="s">
        <v>2068</v>
      </c>
      <c r="R1489" s="251">
        <v>0</v>
      </c>
      <c r="S1489" s="251"/>
      <c r="T1489" s="251" t="s">
        <v>2054</v>
      </c>
      <c r="U1489" s="251">
        <v>0</v>
      </c>
      <c r="V1489" s="251" t="s">
        <v>2153</v>
      </c>
      <c r="W1489" s="194"/>
      <c r="X1489" s="251">
        <v>0</v>
      </c>
    </row>
    <row r="1490" spans="2:24" x14ac:dyDescent="0.2">
      <c r="B1490" s="352" t="s">
        <v>870</v>
      </c>
      <c r="C1490" s="352" t="s">
        <v>754</v>
      </c>
      <c r="F1490" s="194" t="s">
        <v>1999</v>
      </c>
      <c r="G1490" s="194" t="s">
        <v>2122</v>
      </c>
      <c r="H1490" s="194" t="s">
        <v>1753</v>
      </c>
      <c r="I1490" s="352" t="s">
        <v>1014</v>
      </c>
      <c r="J1490" s="194" t="s">
        <v>1893</v>
      </c>
      <c r="K1490" s="352">
        <v>2114</v>
      </c>
      <c r="L1490" s="194" t="s">
        <v>756</v>
      </c>
      <c r="M1490" s="352" t="s">
        <v>3548</v>
      </c>
      <c r="N1490" s="194" t="s">
        <v>2048</v>
      </c>
      <c r="O1490" s="352">
        <v>8</v>
      </c>
      <c r="P1490" s="194" t="s">
        <v>2067</v>
      </c>
      <c r="Q1490" s="194" t="s">
        <v>2068</v>
      </c>
      <c r="R1490" s="251">
        <v>0</v>
      </c>
      <c r="S1490" s="251"/>
      <c r="T1490" s="251" t="s">
        <v>2054</v>
      </c>
      <c r="U1490" s="251">
        <v>0</v>
      </c>
      <c r="V1490" s="251" t="s">
        <v>2153</v>
      </c>
      <c r="W1490" s="194"/>
      <c r="X1490" s="251">
        <v>0</v>
      </c>
    </row>
    <row r="1491" spans="2:24" x14ac:dyDescent="0.2">
      <c r="B1491" s="352" t="s">
        <v>870</v>
      </c>
      <c r="C1491" s="352" t="s">
        <v>754</v>
      </c>
      <c r="F1491" s="194" t="s">
        <v>1999</v>
      </c>
      <c r="G1491" s="194" t="s">
        <v>2122</v>
      </c>
      <c r="H1491" s="194" t="s">
        <v>1753</v>
      </c>
      <c r="I1491" s="352" t="s">
        <v>1014</v>
      </c>
      <c r="J1491" s="194" t="s">
        <v>1893</v>
      </c>
      <c r="K1491" s="352">
        <v>2124</v>
      </c>
      <c r="L1491" s="194" t="s">
        <v>767</v>
      </c>
      <c r="M1491" s="352" t="s">
        <v>3549</v>
      </c>
      <c r="N1491" s="194" t="s">
        <v>2048</v>
      </c>
      <c r="O1491" s="352">
        <v>8</v>
      </c>
      <c r="P1491" s="194" t="s">
        <v>2067</v>
      </c>
      <c r="Q1491" s="194" t="s">
        <v>2068</v>
      </c>
      <c r="R1491" s="251">
        <v>0</v>
      </c>
      <c r="S1491" s="251"/>
      <c r="T1491" s="251" t="s">
        <v>2054</v>
      </c>
      <c r="U1491" s="251">
        <v>0</v>
      </c>
      <c r="V1491" s="251" t="s">
        <v>2153</v>
      </c>
      <c r="W1491" s="194"/>
      <c r="X1491" s="251">
        <v>0</v>
      </c>
    </row>
    <row r="1492" spans="2:24" x14ac:dyDescent="0.2">
      <c r="B1492" s="352" t="s">
        <v>870</v>
      </c>
      <c r="C1492" s="352" t="s">
        <v>754</v>
      </c>
      <c r="F1492" s="194" t="s">
        <v>1999</v>
      </c>
      <c r="G1492" s="194" t="s">
        <v>2122</v>
      </c>
      <c r="H1492" s="194" t="s">
        <v>1753</v>
      </c>
      <c r="I1492" s="352" t="s">
        <v>1014</v>
      </c>
      <c r="J1492" s="194" t="s">
        <v>1893</v>
      </c>
      <c r="K1492" s="352">
        <v>2212</v>
      </c>
      <c r="L1492" s="194" t="s">
        <v>784</v>
      </c>
      <c r="M1492" s="352" t="s">
        <v>3550</v>
      </c>
      <c r="N1492" s="194" t="s">
        <v>2048</v>
      </c>
      <c r="O1492" s="352">
        <v>8</v>
      </c>
      <c r="P1492" s="194" t="s">
        <v>2067</v>
      </c>
      <c r="Q1492" s="194" t="s">
        <v>2068</v>
      </c>
      <c r="R1492" s="251">
        <v>0</v>
      </c>
      <c r="S1492" s="251"/>
      <c r="T1492" s="251" t="s">
        <v>2054</v>
      </c>
      <c r="U1492" s="251">
        <v>0</v>
      </c>
      <c r="V1492" s="251" t="s">
        <v>2153</v>
      </c>
      <c r="W1492" s="194"/>
      <c r="X1492" s="251">
        <v>0</v>
      </c>
    </row>
  </sheetData>
  <pageMargins left="0.7" right="0.7" top="0.75" bottom="0.75" header="0.3" footer="0.3"/>
  <legacy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sheetPr>
  <dimension ref="B1:H56"/>
  <sheetViews>
    <sheetView workbookViewId="0"/>
  </sheetViews>
  <sheetFormatPr defaultColWidth="9" defaultRowHeight="15" x14ac:dyDescent="0.25"/>
  <cols>
    <col min="1" max="1" width="9" style="117"/>
    <col min="2" max="2" width="10.875" style="117" customWidth="1"/>
    <col min="3" max="3" width="15" style="119" customWidth="1"/>
    <col min="4" max="4" width="11.5" style="118" customWidth="1"/>
    <col min="5" max="5" width="13.75" style="118" customWidth="1"/>
    <col min="6" max="6" width="11.375" style="118" customWidth="1"/>
    <col min="7" max="7" width="11.5" style="118" customWidth="1"/>
    <col min="8" max="8" width="10.375" style="118" customWidth="1"/>
    <col min="9" max="9" width="10.5" style="117" customWidth="1"/>
    <col min="10" max="10" width="8.875" style="117" customWidth="1"/>
    <col min="11" max="12" width="9.5" style="117" customWidth="1"/>
    <col min="13" max="13" width="8.875" style="117" customWidth="1"/>
    <col min="14" max="14" width="9.25" style="117" customWidth="1"/>
    <col min="15" max="15" width="10.125" style="117" customWidth="1"/>
    <col min="16" max="16384" width="9" style="117"/>
  </cols>
  <sheetData>
    <row r="1" spans="2:8" x14ac:dyDescent="0.25">
      <c r="C1" s="125"/>
      <c r="D1" s="125"/>
      <c r="E1" s="125"/>
      <c r="F1" s="125"/>
      <c r="G1" s="125"/>
    </row>
    <row r="2" spans="2:8" ht="18" x14ac:dyDescent="0.25">
      <c r="C2" s="615" t="s">
        <v>792</v>
      </c>
      <c r="D2" s="615"/>
      <c r="E2" s="615"/>
      <c r="F2" s="615"/>
      <c r="G2" s="615"/>
      <c r="H2" s="615"/>
    </row>
    <row r="3" spans="2:8" x14ac:dyDescent="0.25">
      <c r="C3" s="124"/>
      <c r="D3" s="616" t="s">
        <v>793</v>
      </c>
      <c r="E3" s="616"/>
      <c r="F3" s="616"/>
      <c r="G3" s="616"/>
      <c r="H3" s="616"/>
    </row>
    <row r="4" spans="2:8" ht="14.25" x14ac:dyDescent="0.2">
      <c r="B4" s="117" t="s">
        <v>794</v>
      </c>
      <c r="C4" s="117" t="s">
        <v>238</v>
      </c>
      <c r="D4" s="117" t="s">
        <v>795</v>
      </c>
      <c r="E4" s="117" t="s">
        <v>796</v>
      </c>
      <c r="F4" s="117" t="s">
        <v>797</v>
      </c>
      <c r="G4" s="117" t="s">
        <v>798</v>
      </c>
      <c r="H4" s="117" t="s">
        <v>799</v>
      </c>
    </row>
    <row r="5" spans="2:8" x14ac:dyDescent="0.25">
      <c r="B5" s="122" t="s">
        <v>800</v>
      </c>
      <c r="C5" s="123" t="s">
        <v>251</v>
      </c>
      <c r="D5" s="121">
        <v>16765</v>
      </c>
      <c r="E5" s="121"/>
      <c r="F5" s="121">
        <v>16530</v>
      </c>
      <c r="G5" s="121">
        <v>16596</v>
      </c>
      <c r="H5" s="121">
        <v>16610</v>
      </c>
    </row>
    <row r="6" spans="2:8" x14ac:dyDescent="0.25">
      <c r="B6" s="122" t="s">
        <v>800</v>
      </c>
      <c r="C6" s="123" t="s">
        <v>267</v>
      </c>
      <c r="D6" s="121">
        <v>93590</v>
      </c>
      <c r="E6" s="121"/>
      <c r="F6" s="121">
        <v>95818</v>
      </c>
      <c r="G6" s="121">
        <v>101632</v>
      </c>
      <c r="H6" s="121">
        <v>106498</v>
      </c>
    </row>
    <row r="7" spans="2:8" x14ac:dyDescent="0.25">
      <c r="B7" s="122">
        <v>1</v>
      </c>
      <c r="C7" s="123" t="s">
        <v>278</v>
      </c>
      <c r="D7" s="121">
        <v>419425</v>
      </c>
      <c r="E7" s="121"/>
      <c r="F7" s="121">
        <v>428860</v>
      </c>
      <c r="G7" s="121">
        <v>460657</v>
      </c>
      <c r="H7" s="121">
        <v>490011</v>
      </c>
    </row>
    <row r="8" spans="2:8" x14ac:dyDescent="0.25">
      <c r="B8" s="122" t="s">
        <v>800</v>
      </c>
      <c r="C8" s="123" t="s">
        <v>306</v>
      </c>
      <c r="D8" s="121">
        <v>39200</v>
      </c>
      <c r="E8" s="121"/>
      <c r="F8" s="121">
        <v>38687</v>
      </c>
      <c r="G8" s="121">
        <v>39496</v>
      </c>
      <c r="H8" s="121">
        <v>40079</v>
      </c>
    </row>
    <row r="9" spans="2:8" x14ac:dyDescent="0.25">
      <c r="B9" s="122" t="s">
        <v>800</v>
      </c>
      <c r="C9" s="123" t="s">
        <v>318</v>
      </c>
      <c r="D9" s="121">
        <v>51900</v>
      </c>
      <c r="E9" s="121"/>
      <c r="F9" s="121">
        <v>53212</v>
      </c>
      <c r="G9" s="121">
        <v>56048</v>
      </c>
      <c r="H9" s="121">
        <v>58580</v>
      </c>
    </row>
    <row r="10" spans="2:8" x14ac:dyDescent="0.25">
      <c r="B10" s="122" t="s">
        <v>800</v>
      </c>
      <c r="C10" s="119" t="s">
        <v>331</v>
      </c>
      <c r="D10" s="121">
        <v>63275</v>
      </c>
      <c r="E10" s="121"/>
      <c r="F10" s="121">
        <v>63632</v>
      </c>
      <c r="G10" s="121">
        <v>64289</v>
      </c>
      <c r="H10" s="121">
        <v>64521</v>
      </c>
    </row>
    <row r="11" spans="2:8" x14ac:dyDescent="0.25">
      <c r="B11" s="122" t="s">
        <v>800</v>
      </c>
      <c r="C11" s="119" t="s">
        <v>343</v>
      </c>
      <c r="D11" s="121">
        <v>22710</v>
      </c>
      <c r="E11" s="121"/>
      <c r="F11" s="121">
        <v>21678</v>
      </c>
      <c r="G11" s="121">
        <v>22404</v>
      </c>
      <c r="H11" s="121">
        <v>23222</v>
      </c>
    </row>
    <row r="12" spans="2:8" x14ac:dyDescent="0.25">
      <c r="B12" s="122" t="s">
        <v>800</v>
      </c>
      <c r="C12" s="119" t="s">
        <v>347</v>
      </c>
      <c r="D12" s="121">
        <v>22915</v>
      </c>
      <c r="E12" s="121"/>
      <c r="F12" s="121">
        <v>23816</v>
      </c>
      <c r="G12" s="121">
        <v>25247</v>
      </c>
      <c r="H12" s="121">
        <v>25994</v>
      </c>
    </row>
    <row r="13" spans="2:8" x14ac:dyDescent="0.25">
      <c r="B13" s="122" t="s">
        <v>800</v>
      </c>
      <c r="C13" s="119" t="s">
        <v>358</v>
      </c>
      <c r="D13" s="121">
        <v>188980</v>
      </c>
      <c r="E13" s="121"/>
      <c r="F13" s="121">
        <v>190734</v>
      </c>
      <c r="G13" s="121">
        <v>210826</v>
      </c>
      <c r="H13" s="121">
        <v>230412</v>
      </c>
    </row>
    <row r="14" spans="2:8" x14ac:dyDescent="0.25">
      <c r="B14" s="122" t="s">
        <v>800</v>
      </c>
      <c r="C14" s="119" t="s">
        <v>368</v>
      </c>
      <c r="D14" s="121">
        <v>111735</v>
      </c>
      <c r="E14" s="121"/>
      <c r="F14" s="121">
        <v>115209</v>
      </c>
      <c r="G14" s="121">
        <v>121408</v>
      </c>
      <c r="H14" s="121">
        <v>127618</v>
      </c>
    </row>
    <row r="15" spans="2:8" x14ac:dyDescent="0.25">
      <c r="B15" s="122" t="s">
        <v>800</v>
      </c>
      <c r="C15" s="119" t="s">
        <v>388</v>
      </c>
      <c r="D15" s="121">
        <v>1985</v>
      </c>
      <c r="E15" s="121"/>
      <c r="F15" s="121">
        <v>2046</v>
      </c>
      <c r="G15" s="121">
        <v>2089</v>
      </c>
      <c r="H15" s="121">
        <v>2129</v>
      </c>
    </row>
    <row r="16" spans="2:8" x14ac:dyDescent="0.25">
      <c r="B16" s="122" t="s">
        <v>800</v>
      </c>
      <c r="C16" s="119" t="s">
        <v>393</v>
      </c>
      <c r="D16" s="121">
        <v>7400</v>
      </c>
      <c r="E16" s="121"/>
      <c r="F16" s="121">
        <v>7385</v>
      </c>
      <c r="G16" s="121">
        <v>7316</v>
      </c>
      <c r="H16" s="121">
        <v>7210</v>
      </c>
    </row>
    <row r="17" spans="2:8" x14ac:dyDescent="0.25">
      <c r="B17" s="122" t="s">
        <v>800</v>
      </c>
      <c r="C17" s="119" t="s">
        <v>404</v>
      </c>
      <c r="D17" s="121">
        <v>7380</v>
      </c>
      <c r="E17" s="121"/>
      <c r="F17" s="121">
        <v>7245</v>
      </c>
      <c r="G17" s="121">
        <v>7171</v>
      </c>
      <c r="H17" s="121">
        <v>7108</v>
      </c>
    </row>
    <row r="18" spans="2:8" x14ac:dyDescent="0.25">
      <c r="B18" s="122" t="s">
        <v>800</v>
      </c>
      <c r="C18" s="119" t="s">
        <v>408</v>
      </c>
      <c r="D18" s="121">
        <v>25310</v>
      </c>
      <c r="E18" s="121"/>
      <c r="F18" s="121">
        <v>25810</v>
      </c>
      <c r="G18" s="121">
        <v>27442</v>
      </c>
      <c r="H18" s="121">
        <v>29014</v>
      </c>
    </row>
    <row r="19" spans="2:8" x14ac:dyDescent="0.25">
      <c r="B19" s="122" t="s">
        <v>800</v>
      </c>
      <c r="C19" s="119" t="s">
        <v>412</v>
      </c>
      <c r="D19" s="121">
        <v>219200</v>
      </c>
      <c r="E19" s="121"/>
      <c r="F19" s="121">
        <v>222583</v>
      </c>
      <c r="G19" s="121">
        <v>234561</v>
      </c>
      <c r="H19" s="121">
        <v>245963</v>
      </c>
    </row>
    <row r="20" spans="2:8" x14ac:dyDescent="0.25">
      <c r="B20" s="122" t="s">
        <v>800</v>
      </c>
      <c r="C20" s="119" t="s">
        <v>433</v>
      </c>
      <c r="D20" s="121">
        <v>23560</v>
      </c>
      <c r="E20" s="121"/>
      <c r="F20" s="121">
        <v>24161</v>
      </c>
      <c r="G20" s="121">
        <v>25669</v>
      </c>
      <c r="H20" s="121">
        <v>26935</v>
      </c>
    </row>
    <row r="21" spans="2:8" x14ac:dyDescent="0.25">
      <c r="B21" s="122" t="s">
        <v>800</v>
      </c>
      <c r="C21" s="119" t="s">
        <v>439</v>
      </c>
      <c r="D21" s="121">
        <v>86395</v>
      </c>
      <c r="E21" s="121"/>
      <c r="F21" s="121">
        <v>88157</v>
      </c>
      <c r="G21" s="121">
        <v>92400</v>
      </c>
      <c r="H21" s="121">
        <v>96811</v>
      </c>
    </row>
    <row r="22" spans="2:8" x14ac:dyDescent="0.25">
      <c r="B22" s="122" t="s">
        <v>800</v>
      </c>
      <c r="C22" s="119" t="s">
        <v>446</v>
      </c>
      <c r="D22" s="121">
        <v>67960</v>
      </c>
      <c r="E22" s="121"/>
      <c r="F22" s="121">
        <v>68762</v>
      </c>
      <c r="G22" s="121">
        <v>70396</v>
      </c>
      <c r="H22" s="121">
        <v>71701</v>
      </c>
    </row>
    <row r="23" spans="2:8" x14ac:dyDescent="0.25">
      <c r="B23" s="122" t="s">
        <v>800</v>
      </c>
      <c r="C23" s="119" t="s">
        <v>456</v>
      </c>
      <c r="D23" s="121">
        <v>8115</v>
      </c>
      <c r="E23" s="121"/>
      <c r="F23" s="121">
        <v>8267</v>
      </c>
      <c r="G23" s="121">
        <v>8431</v>
      </c>
      <c r="H23" s="121">
        <v>8584</v>
      </c>
    </row>
    <row r="24" spans="2:8" x14ac:dyDescent="0.25">
      <c r="B24" s="122">
        <v>2</v>
      </c>
      <c r="C24" s="119" t="s">
        <v>460</v>
      </c>
      <c r="D24" s="121">
        <v>375120</v>
      </c>
      <c r="E24" s="121"/>
      <c r="F24" s="121">
        <v>377798</v>
      </c>
      <c r="G24" s="121">
        <v>395890</v>
      </c>
      <c r="H24" s="121">
        <v>413693</v>
      </c>
    </row>
    <row r="25" spans="2:8" x14ac:dyDescent="0.25">
      <c r="B25" s="122" t="s">
        <v>800</v>
      </c>
      <c r="C25" s="119" t="s">
        <v>483</v>
      </c>
      <c r="D25" s="121">
        <v>48210</v>
      </c>
      <c r="E25" s="121"/>
      <c r="F25" s="121">
        <v>49038</v>
      </c>
      <c r="G25" s="121">
        <v>50632</v>
      </c>
      <c r="H25" s="121">
        <v>51909</v>
      </c>
    </row>
    <row r="26" spans="2:8" x14ac:dyDescent="0.25">
      <c r="B26" s="122" t="s">
        <v>800</v>
      </c>
      <c r="C26" s="119" t="s">
        <v>496</v>
      </c>
      <c r="D26" s="121">
        <v>125575</v>
      </c>
      <c r="E26" s="121"/>
      <c r="F26" s="121">
        <v>127900</v>
      </c>
      <c r="G26" s="121">
        <v>134675</v>
      </c>
      <c r="H26" s="121">
        <v>140871</v>
      </c>
    </row>
    <row r="27" spans="2:8" x14ac:dyDescent="0.25">
      <c r="B27" s="122" t="s">
        <v>800</v>
      </c>
      <c r="C27" s="119" t="s">
        <v>517</v>
      </c>
      <c r="D27" s="121">
        <v>31925</v>
      </c>
      <c r="E27" s="121"/>
      <c r="F27" s="121">
        <v>31699</v>
      </c>
      <c r="G27" s="121">
        <v>31823</v>
      </c>
      <c r="H27" s="121">
        <v>31909</v>
      </c>
    </row>
    <row r="28" spans="2:8" x14ac:dyDescent="0.25">
      <c r="B28" s="122">
        <v>2</v>
      </c>
      <c r="C28" s="119" t="s">
        <v>525</v>
      </c>
      <c r="D28" s="121">
        <v>344035</v>
      </c>
      <c r="E28" s="121"/>
      <c r="F28" s="121">
        <v>350125</v>
      </c>
      <c r="G28" s="121">
        <v>370099</v>
      </c>
      <c r="H28" s="121">
        <v>388420</v>
      </c>
    </row>
    <row r="29" spans="2:8" x14ac:dyDescent="0.25">
      <c r="B29" s="122" t="s">
        <v>800</v>
      </c>
      <c r="C29" s="119" t="s">
        <v>801</v>
      </c>
      <c r="D29" s="121">
        <v>11885</v>
      </c>
      <c r="E29" s="121"/>
      <c r="F29" s="121">
        <v>12203</v>
      </c>
      <c r="G29" s="121">
        <v>12707</v>
      </c>
      <c r="H29" s="121">
        <v>13204</v>
      </c>
    </row>
    <row r="30" spans="2:8" x14ac:dyDescent="0.25">
      <c r="B30" s="122">
        <v>1</v>
      </c>
      <c r="C30" s="119" t="s">
        <v>559</v>
      </c>
      <c r="D30" s="121">
        <v>813300</v>
      </c>
      <c r="E30" s="121"/>
      <c r="F30" s="121">
        <v>822675</v>
      </c>
      <c r="G30" s="121">
        <v>866304</v>
      </c>
      <c r="H30" s="121">
        <v>906904</v>
      </c>
    </row>
    <row r="31" spans="2:8" x14ac:dyDescent="0.25">
      <c r="B31" s="122" t="s">
        <v>800</v>
      </c>
      <c r="C31" s="119" t="s">
        <v>570</v>
      </c>
      <c r="D31" s="121">
        <v>82100</v>
      </c>
      <c r="E31" s="121"/>
      <c r="F31" s="121">
        <v>85012</v>
      </c>
      <c r="G31" s="121">
        <v>91761</v>
      </c>
      <c r="H31" s="121">
        <v>98501</v>
      </c>
    </row>
    <row r="32" spans="2:8" x14ac:dyDescent="0.25">
      <c r="B32" s="122" t="s">
        <v>800</v>
      </c>
      <c r="C32" s="119" t="s">
        <v>584</v>
      </c>
      <c r="D32" s="121">
        <v>1785</v>
      </c>
      <c r="E32" s="121"/>
      <c r="F32" s="121">
        <v>1816</v>
      </c>
      <c r="G32" s="121">
        <v>1836</v>
      </c>
      <c r="H32" s="121">
        <v>1844</v>
      </c>
    </row>
    <row r="33" spans="2:8" x14ac:dyDescent="0.25">
      <c r="B33" s="122" t="s">
        <v>800</v>
      </c>
      <c r="C33" s="119" t="s">
        <v>590</v>
      </c>
      <c r="D33" s="121">
        <v>26395</v>
      </c>
      <c r="E33" s="121"/>
      <c r="F33" s="121">
        <v>26652</v>
      </c>
      <c r="G33" s="121">
        <v>27519</v>
      </c>
      <c r="H33" s="121">
        <v>28247</v>
      </c>
    </row>
    <row r="34" spans="2:8" x14ac:dyDescent="0.25">
      <c r="B34" s="122" t="s">
        <v>800</v>
      </c>
      <c r="C34" s="119" t="s">
        <v>600</v>
      </c>
      <c r="D34" s="121">
        <v>80765</v>
      </c>
      <c r="E34" s="121"/>
      <c r="F34" s="121">
        <v>84306</v>
      </c>
      <c r="G34" s="121">
        <v>87818</v>
      </c>
      <c r="H34" s="121">
        <v>91314</v>
      </c>
    </row>
    <row r="35" spans="2:8" x14ac:dyDescent="0.25">
      <c r="B35" s="122" t="s">
        <v>800</v>
      </c>
      <c r="C35" s="119" t="s">
        <v>617</v>
      </c>
      <c r="D35" s="121">
        <v>26885</v>
      </c>
      <c r="E35" s="121"/>
      <c r="F35" s="121">
        <v>27775</v>
      </c>
      <c r="G35" s="121">
        <v>28465</v>
      </c>
      <c r="H35" s="121">
        <v>29078</v>
      </c>
    </row>
    <row r="36" spans="2:8" x14ac:dyDescent="0.25">
      <c r="B36" s="122" t="s">
        <v>800</v>
      </c>
      <c r="C36" s="119" t="s">
        <v>629</v>
      </c>
      <c r="D36" s="121">
        <v>7175</v>
      </c>
      <c r="E36" s="121"/>
      <c r="F36" s="121">
        <v>7095</v>
      </c>
      <c r="G36" s="121">
        <v>7106</v>
      </c>
      <c r="H36" s="121">
        <v>7105</v>
      </c>
    </row>
    <row r="37" spans="2:8" x14ac:dyDescent="0.25">
      <c r="B37" s="122" t="s">
        <v>800</v>
      </c>
      <c r="C37" s="119" t="s">
        <v>589</v>
      </c>
      <c r="D37" s="121">
        <v>27200</v>
      </c>
      <c r="E37" s="121"/>
      <c r="F37" s="121">
        <v>27497</v>
      </c>
      <c r="G37" s="121">
        <v>28653</v>
      </c>
      <c r="H37" s="121">
        <v>29798</v>
      </c>
    </row>
    <row r="38" spans="2:8" x14ac:dyDescent="0.25">
      <c r="B38" s="122">
        <v>1</v>
      </c>
      <c r="C38" s="119" t="s">
        <v>642</v>
      </c>
      <c r="D38" s="121">
        <v>606280</v>
      </c>
      <c r="E38" s="121"/>
      <c r="F38" s="121">
        <v>619337</v>
      </c>
      <c r="G38" s="121">
        <v>669669</v>
      </c>
      <c r="H38" s="121">
        <v>718633</v>
      </c>
    </row>
    <row r="39" spans="2:8" x14ac:dyDescent="0.25">
      <c r="B39" s="122" t="s">
        <v>800</v>
      </c>
      <c r="C39" s="119" t="s">
        <v>599</v>
      </c>
      <c r="D39" s="121">
        <v>1450</v>
      </c>
      <c r="E39" s="121"/>
      <c r="F39" s="121">
        <v>1438</v>
      </c>
      <c r="G39" s="121">
        <v>1414</v>
      </c>
      <c r="H39" s="121">
        <v>1383</v>
      </c>
    </row>
    <row r="40" spans="2:8" x14ac:dyDescent="0.25">
      <c r="B40" s="122" t="s">
        <v>800</v>
      </c>
      <c r="C40" s="119" t="s">
        <v>661</v>
      </c>
      <c r="D40" s="121">
        <v>107415</v>
      </c>
      <c r="E40" s="121"/>
      <c r="F40" s="121">
        <v>111101</v>
      </c>
      <c r="G40" s="121">
        <v>119339</v>
      </c>
      <c r="H40" s="121">
        <v>127404</v>
      </c>
    </row>
    <row r="41" spans="2:8" x14ac:dyDescent="0.25">
      <c r="D41" s="120"/>
      <c r="E41" s="120"/>
      <c r="F41" s="120"/>
      <c r="G41" s="120"/>
      <c r="H41" s="120"/>
    </row>
    <row r="42" spans="2:8" ht="14.25" x14ac:dyDescent="0.2">
      <c r="C42" s="117"/>
      <c r="D42" s="120"/>
      <c r="E42" s="120"/>
      <c r="F42" s="120"/>
      <c r="G42" s="120"/>
      <c r="H42" s="120"/>
    </row>
    <row r="43" spans="2:8" ht="14.25" x14ac:dyDescent="0.2">
      <c r="C43" s="143" t="s">
        <v>802</v>
      </c>
      <c r="D43" s="120"/>
      <c r="E43" s="120"/>
      <c r="F43" s="120"/>
      <c r="G43" s="120"/>
      <c r="H43" s="120"/>
    </row>
    <row r="44" spans="2:8" x14ac:dyDescent="0.25">
      <c r="C44" s="117" t="s">
        <v>803</v>
      </c>
      <c r="D44" s="119"/>
      <c r="E44" s="119"/>
      <c r="F44" s="119"/>
      <c r="G44" s="119"/>
      <c r="H44" s="119"/>
    </row>
    <row r="45" spans="2:8" x14ac:dyDescent="0.25">
      <c r="D45" s="120"/>
      <c r="E45" s="120"/>
      <c r="F45" s="120"/>
      <c r="G45" s="120"/>
      <c r="H45" s="120"/>
    </row>
    <row r="46" spans="2:8" x14ac:dyDescent="0.25">
      <c r="D46" s="120"/>
      <c r="E46" s="120"/>
      <c r="F46" s="120"/>
      <c r="G46" s="120"/>
      <c r="H46" s="120"/>
    </row>
    <row r="47" spans="2:8" x14ac:dyDescent="0.25">
      <c r="D47" s="120"/>
      <c r="E47" s="120"/>
      <c r="F47" s="120"/>
      <c r="G47" s="120"/>
      <c r="H47" s="120"/>
    </row>
    <row r="48" spans="2:8" x14ac:dyDescent="0.25">
      <c r="D48" s="120"/>
      <c r="E48" s="120"/>
      <c r="F48" s="120"/>
      <c r="G48" s="120"/>
      <c r="H48" s="120"/>
    </row>
    <row r="49" spans="4:8" x14ac:dyDescent="0.25">
      <c r="D49" s="120"/>
      <c r="E49" s="120"/>
      <c r="F49" s="120"/>
      <c r="G49" s="120"/>
      <c r="H49" s="120"/>
    </row>
    <row r="50" spans="4:8" x14ac:dyDescent="0.25">
      <c r="D50" s="120"/>
      <c r="E50" s="120"/>
      <c r="F50" s="120"/>
      <c r="G50" s="120"/>
      <c r="H50" s="120"/>
    </row>
    <row r="51" spans="4:8" x14ac:dyDescent="0.25">
      <c r="D51" s="120"/>
      <c r="E51" s="120"/>
      <c r="F51" s="120"/>
      <c r="G51" s="120"/>
      <c r="H51" s="120"/>
    </row>
    <row r="52" spans="4:8" x14ac:dyDescent="0.25">
      <c r="D52" s="120"/>
      <c r="E52" s="120"/>
      <c r="F52" s="120"/>
      <c r="G52" s="120"/>
      <c r="H52" s="120"/>
    </row>
    <row r="53" spans="4:8" x14ac:dyDescent="0.25">
      <c r="D53" s="120"/>
      <c r="E53" s="120"/>
      <c r="F53" s="120"/>
      <c r="G53" s="120"/>
      <c r="H53" s="120"/>
    </row>
    <row r="54" spans="4:8" x14ac:dyDescent="0.25">
      <c r="D54" s="120"/>
      <c r="E54" s="120"/>
      <c r="F54" s="120"/>
      <c r="G54" s="120"/>
      <c r="H54" s="120"/>
    </row>
    <row r="55" spans="4:8" x14ac:dyDescent="0.25">
      <c r="D55" s="120"/>
      <c r="E55" s="120"/>
      <c r="F55" s="120"/>
      <c r="G55" s="120"/>
      <c r="H55" s="120"/>
    </row>
    <row r="56" spans="4:8" x14ac:dyDescent="0.25">
      <c r="D56" s="120"/>
      <c r="E56" s="120"/>
      <c r="F56" s="120"/>
      <c r="G56" s="120"/>
      <c r="H56" s="120"/>
    </row>
  </sheetData>
  <mergeCells count="2">
    <mergeCell ref="C2:H2"/>
    <mergeCell ref="D3:H3"/>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BE81"/>
  <sheetViews>
    <sheetView topLeftCell="D1" zoomScaleNormal="100" zoomScaleSheetLayoutView="85" workbookViewId="0">
      <selection activeCell="G3" sqref="G3"/>
    </sheetView>
  </sheetViews>
  <sheetFormatPr defaultColWidth="8.875" defaultRowHeight="14.25" x14ac:dyDescent="0.2"/>
  <cols>
    <col min="1" max="1" width="3.25" style="353" hidden="1" customWidth="1"/>
    <col min="2" max="2" width="8.25" style="1" hidden="1" customWidth="1"/>
    <col min="3" max="3" width="4.875" style="1" hidden="1" customWidth="1"/>
    <col min="4" max="4" width="1.75" style="521" customWidth="1"/>
    <col min="5" max="5" width="3.375" style="35" customWidth="1"/>
    <col min="6" max="6" width="2.25" style="35" customWidth="1"/>
    <col min="7" max="7" width="39.75" style="35" bestFit="1" customWidth="1"/>
    <col min="8" max="8" width="1.75" style="35" customWidth="1"/>
    <col min="9" max="13" width="14.625" style="35" customWidth="1"/>
    <col min="14" max="14" width="1.75" customWidth="1"/>
    <col min="15" max="15" width="1.75" style="1" customWidth="1"/>
    <col min="16" max="16" width="3.375" style="353" customWidth="1"/>
    <col min="17" max="17" width="2.25" style="353" customWidth="1"/>
    <col min="18" max="18" width="39.75" style="353" bestFit="1" customWidth="1"/>
    <col min="19" max="19" width="1.75" style="353" customWidth="1"/>
    <col min="20" max="24" width="14.625" style="353" customWidth="1"/>
    <col min="25" max="25" width="1.75" style="521" customWidth="1"/>
    <col min="26" max="26" width="1.75" style="1" customWidth="1"/>
    <col min="27" max="27" width="3.375" style="353" customWidth="1"/>
    <col min="28" max="28" width="2.25" style="353" customWidth="1"/>
    <col min="29" max="29" width="39.75" style="353" bestFit="1" customWidth="1"/>
    <col min="30" max="30" width="1.75" style="353" customWidth="1"/>
    <col min="31" max="35" width="14.625" style="353" customWidth="1"/>
    <col min="36" max="36" width="1.75" style="521" customWidth="1"/>
    <col min="37" max="37" width="1.75" style="1" customWidth="1"/>
    <col min="38" max="38" width="3.375" style="353" customWidth="1"/>
    <col min="39" max="39" width="2.25" style="353" customWidth="1"/>
    <col min="40" max="40" width="39.75" style="353" bestFit="1" customWidth="1"/>
    <col min="41" max="41" width="1.75" style="353" customWidth="1"/>
    <col min="42" max="46" width="14.625" style="353" customWidth="1"/>
    <col min="47" max="47" width="1.75" style="521" customWidth="1"/>
    <col min="48" max="48" width="1.75" style="1" customWidth="1"/>
    <col min="49" max="49" width="3.375" style="353" customWidth="1"/>
    <col min="50" max="50" width="2.25" style="353" customWidth="1"/>
    <col min="51" max="51" width="39.75" style="353" bestFit="1" customWidth="1"/>
    <col min="52" max="52" width="1.75" style="353" customWidth="1"/>
    <col min="53" max="57" width="14.625" style="353" customWidth="1"/>
    <col min="58" max="16384" width="8.875" style="1"/>
  </cols>
  <sheetData>
    <row r="1" spans="1:57" s="353" customFormat="1" x14ac:dyDescent="0.2">
      <c r="A1" s="527"/>
      <c r="B1" s="527"/>
      <c r="C1" s="527"/>
      <c r="D1" s="521"/>
      <c r="N1"/>
      <c r="Y1" s="521"/>
      <c r="AJ1" s="521"/>
      <c r="AU1" s="521"/>
    </row>
    <row r="2" spans="1:57" customFormat="1" x14ac:dyDescent="0.2">
      <c r="A2" s="499"/>
      <c r="B2" s="499" t="s">
        <v>794</v>
      </c>
      <c r="C2" s="499" t="str">
        <f>IF(G3="statewide","*",INDEX(Grouping[Grouping_ID],MATCH(G3,Grouping[Grouping_Name],0)))</f>
        <v>*</v>
      </c>
      <c r="D2" s="521"/>
      <c r="E2" s="35"/>
      <c r="G2" s="353" t="s">
        <v>1120</v>
      </c>
      <c r="I2" s="35"/>
      <c r="J2" s="35"/>
      <c r="K2" s="35"/>
      <c r="L2" s="35"/>
      <c r="M2" s="35"/>
      <c r="P2" s="353"/>
      <c r="Y2" s="521"/>
      <c r="AJ2" s="521"/>
      <c r="AU2" s="521"/>
    </row>
    <row r="3" spans="1:57" customFormat="1" x14ac:dyDescent="0.2">
      <c r="A3" s="499"/>
      <c r="B3" s="499" t="s">
        <v>817</v>
      </c>
      <c r="C3" s="499">
        <v>2025</v>
      </c>
      <c r="D3" s="521"/>
      <c r="E3" s="35"/>
      <c r="G3" s="593" t="s">
        <v>696</v>
      </c>
      <c r="P3" s="353"/>
      <c r="Y3" s="521"/>
      <c r="AJ3" s="521"/>
      <c r="AU3" s="521"/>
    </row>
    <row r="4" spans="1:57" customFormat="1" x14ac:dyDescent="0.2">
      <c r="A4" s="499"/>
      <c r="B4" s="499" t="s">
        <v>1104</v>
      </c>
      <c r="C4" s="527"/>
      <c r="D4" s="521"/>
      <c r="P4" s="352"/>
      <c r="Y4" s="521"/>
      <c r="AJ4" s="521"/>
      <c r="AU4" s="521"/>
    </row>
    <row r="5" spans="1:57" customFormat="1" hidden="1" x14ac:dyDescent="0.2">
      <c r="A5" s="499"/>
      <c r="B5" s="527"/>
      <c r="C5" s="527"/>
      <c r="D5" s="521"/>
      <c r="E5" s="499"/>
      <c r="F5" s="499"/>
      <c r="G5" s="499"/>
      <c r="H5" s="499"/>
      <c r="I5" s="499" t="s">
        <v>876</v>
      </c>
      <c r="J5" s="499" t="s">
        <v>876</v>
      </c>
      <c r="K5" s="499" t="s">
        <v>876</v>
      </c>
      <c r="L5" s="499" t="s">
        <v>876</v>
      </c>
      <c r="M5" s="499" t="s">
        <v>876</v>
      </c>
      <c r="P5" s="352"/>
      <c r="T5" s="499" t="s">
        <v>875</v>
      </c>
      <c r="U5" s="499" t="s">
        <v>875</v>
      </c>
      <c r="V5" s="499" t="s">
        <v>875</v>
      </c>
      <c r="W5" s="499" t="s">
        <v>875</v>
      </c>
      <c r="X5" s="499" t="s">
        <v>875</v>
      </c>
      <c r="Y5" s="521"/>
      <c r="AE5" s="499" t="s">
        <v>874</v>
      </c>
      <c r="AF5" s="499" t="s">
        <v>874</v>
      </c>
      <c r="AG5" s="499" t="s">
        <v>874</v>
      </c>
      <c r="AH5" s="499" t="s">
        <v>874</v>
      </c>
      <c r="AI5" s="499" t="s">
        <v>874</v>
      </c>
      <c r="AJ5" s="521"/>
      <c r="AP5" s="499" t="s">
        <v>873</v>
      </c>
      <c r="AQ5" s="499" t="s">
        <v>873</v>
      </c>
      <c r="AR5" s="499" t="s">
        <v>873</v>
      </c>
      <c r="AS5" s="499" t="s">
        <v>873</v>
      </c>
      <c r="AT5" s="499" t="s">
        <v>873</v>
      </c>
      <c r="AU5" s="521"/>
      <c r="BA5" s="499" t="s">
        <v>870</v>
      </c>
      <c r="BB5" s="499" t="s">
        <v>870</v>
      </c>
      <c r="BC5" s="499" t="s">
        <v>870</v>
      </c>
      <c r="BD5" s="499" t="s">
        <v>870</v>
      </c>
      <c r="BE5" s="499" t="s">
        <v>870</v>
      </c>
    </row>
    <row r="6" spans="1:57" s="352" customFormat="1" hidden="1" x14ac:dyDescent="0.2">
      <c r="A6" s="499"/>
      <c r="B6" s="499"/>
      <c r="C6" s="499"/>
      <c r="D6" s="521"/>
      <c r="E6" s="499"/>
      <c r="F6" s="499"/>
      <c r="G6" s="524" t="s">
        <v>3582</v>
      </c>
      <c r="H6" s="499"/>
      <c r="I6" s="525">
        <f>SUMIFS(TransTonsShort[Trans_Tons_All],TransTonsShort[Scenario_ID],E$11,TransTonsShort[GroupSector_ID],$C$2&amp;"-"&amp;I$11,TransTonsShort[StreamType],"Mixed")+
SUMIFS(TransTonsShort[Trans_Tons_All],TransTonsShort[Scenario_ID],E$11,TransTonsShort[GroupSector_ID],$C$2&amp;"-"&amp;I$11,TransTonsShort[StreamType],"Separated")</f>
        <v>243031.51323889568</v>
      </c>
      <c r="J6" s="525">
        <f>SUMIFS(TransTonsShort[Trans_Tons_All],TransTonsShort[Scenario_ID],E$11,TransTonsShort[GroupSector_ID],$C$2&amp;"-"&amp;J$11,TransTonsShort[StreamType],"Mixed")+
SUMIFS(TransTonsShort[Trans_Tons_All],TransTonsShort[Scenario_ID],E$11,TransTonsShort[GroupSector_ID],$C$2&amp;"-"&amp;J$11,TransTonsShort[StreamType],"Separated")</f>
        <v>23983.694942766921</v>
      </c>
      <c r="K6" s="525">
        <f>SUMIFS(TransTonsShort[Trans_Tons_All],TransTonsShort[Scenario_ID],E$11,TransTonsShort[GroupSector_ID],$C$2&amp;"-"&amp;K$11,TransTonsShort[StreamType],"Mixed")+
SUMIFS(TransTonsShort[Trans_Tons_All],TransTonsShort[Scenario_ID],E$11,TransTonsShort[GroupSector_ID],$C$2&amp;"-"&amp;K$11,TransTonsShort[StreamType],"Separated")</f>
        <v>246985.2682801178</v>
      </c>
      <c r="L6" s="525">
        <f>SUMIFS(TransTonsShort[Trans_Tons_All],TransTonsShort[Scenario_ID],E$11,TransTonsShort[GroupSector_ID],$C$2&amp;"-"&amp;L$11,TransTonsShort[StreamType],"Mixed")+
SUMIFS(TransTonsShort[Trans_Tons_All],TransTonsShort[Scenario_ID],E$11,TransTonsShort[GroupSector_ID],$C$2&amp;"-"&amp;L$11,TransTonsShort[StreamType],"Separated")</f>
        <v>78620.783598415743</v>
      </c>
      <c r="M6" s="525">
        <f>SUM(I6:L6)</f>
        <v>592621.26006019616</v>
      </c>
      <c r="N6"/>
      <c r="O6" s="499"/>
      <c r="P6" s="499"/>
      <c r="Q6" s="499"/>
      <c r="R6" s="524" t="s">
        <v>3582</v>
      </c>
      <c r="S6" s="499"/>
      <c r="T6" s="525">
        <f>SUMIFS(TransTonsShort[Trans_Tons_All],TransTonsShort[Scenario_ID],P$11,TransTonsShort[GroupSector_ID],$C$2&amp;"-"&amp;T$11,TransTonsShort[StreamType],"Mixed")+
SUMIFS(TransTonsShort[Trans_Tons_All],TransTonsShort[Scenario_ID],P$11,TransTonsShort[GroupSector_ID],$C$2&amp;"-"&amp;T$11,TransTonsShort[StreamType],"Separated")</f>
        <v>228344.89667114732</v>
      </c>
      <c r="U6" s="525">
        <f>SUMIFS(TransTonsShort[Trans_Tons_All],TransTonsShort[Scenario_ID],P$11,TransTonsShort[GroupSector_ID],$C$2&amp;"-"&amp;U$11,TransTonsShort[StreamType],"Mixed")+
SUMIFS(TransTonsShort[Trans_Tons_All],TransTonsShort[Scenario_ID],P$11,TransTonsShort[GroupSector_ID],$C$2&amp;"-"&amp;U$11,TransTonsShort[StreamType],"Separated")</f>
        <v>21845.987255067183</v>
      </c>
      <c r="V6" s="525">
        <f>SUMIFS(TransTonsShort[Trans_Tons_All],TransTonsShort[Scenario_ID],P$11,TransTonsShort[GroupSector_ID],$C$2&amp;"-"&amp;V$11,TransTonsShort[StreamType],"Mixed")+
SUMIFS(TransTonsShort[Trans_Tons_All],TransTonsShort[Scenario_ID],P$11,TransTonsShort[GroupSector_ID],$C$2&amp;"-"&amp;V$11,TransTonsShort[StreamType],"Separated")</f>
        <v>230902.13337279615</v>
      </c>
      <c r="W6" s="525">
        <f>SUMIFS(TransTonsShort[Trans_Tons_All],TransTonsShort[Scenario_ID],P$11,TransTonsShort[GroupSector_ID],$C$2&amp;"-"&amp;W$11,TransTonsShort[StreamType],"Mixed")+
SUMIFS(TransTonsShort[Trans_Tons_All],TransTonsShort[Scenario_ID],P$11,TransTonsShort[GroupSector_ID],$C$2&amp;"-"&amp;W$11,TransTonsShort[StreamType],"Separated")</f>
        <v>78100.538418647717</v>
      </c>
      <c r="X6" s="525">
        <f>SUM(T6:W6)</f>
        <v>559193.55571765837</v>
      </c>
      <c r="Y6" s="521"/>
      <c r="Z6" s="499"/>
      <c r="AA6" s="499"/>
      <c r="AB6" s="499"/>
      <c r="AC6" s="524" t="s">
        <v>3582</v>
      </c>
      <c r="AD6" s="499"/>
      <c r="AE6" s="525">
        <f>SUMIFS(TransTonsShort[Trans_Tons_All],TransTonsShort[Scenario_ID],AA$11,TransTonsShort[GroupSector_ID],$C$2&amp;"-"&amp;AE$11,TransTonsShort[StreamType],"Mixed")+
SUMIFS(TransTonsShort[Trans_Tons_All],TransTonsShort[Scenario_ID],AA$11,TransTonsShort[GroupSector_ID],$C$2&amp;"-"&amp;AE$11,TransTonsShort[StreamType],"Separated")</f>
        <v>254702.93807939906</v>
      </c>
      <c r="AF6" s="525">
        <f>SUMIFS(TransTonsShort[Trans_Tons_All],TransTonsShort[Scenario_ID],AA$11,TransTonsShort[GroupSector_ID],$C$2&amp;"-"&amp;AF$11,TransTonsShort[StreamType],"Mixed")+
SUMIFS(TransTonsShort[Trans_Tons_All],TransTonsShort[Scenario_ID],AA$11,TransTonsShort[GroupSector_ID],$C$2&amp;"-"&amp;AF$11,TransTonsShort[StreamType],"Separated")</f>
        <v>25176.527887628828</v>
      </c>
      <c r="AG6" s="525">
        <f>SUMIFS(TransTonsShort[Trans_Tons_All],TransTonsShort[Scenario_ID],AA$11,TransTonsShort[GroupSector_ID],$C$2&amp;"-"&amp;AG$11,TransTonsShort[StreamType],"Mixed")+
SUMIFS(TransTonsShort[Trans_Tons_All],TransTonsShort[Scenario_ID],AA$11,TransTonsShort[GroupSector_ID],$C$2&amp;"-"&amp;AG$11,TransTonsShort[StreamType],"Separated")</f>
        <v>252880.76880896106</v>
      </c>
      <c r="AH6" s="525">
        <f>SUMIFS(TransTonsShort[Trans_Tons_All],TransTonsShort[Scenario_ID],AA$11,TransTonsShort[GroupSector_ID],$C$2&amp;"-"&amp;AH$11,TransTonsShort[StreamType],"Mixed")+
SUMIFS(TransTonsShort[Trans_Tons_All],TransTonsShort[Scenario_ID],AA$11,TransTonsShort[GroupSector_ID],$C$2&amp;"-"&amp;AH$11,TransTonsShort[StreamType],"Separated")</f>
        <v>83277.892711357534</v>
      </c>
      <c r="AI6" s="525">
        <f>SUM(AE6:AH6)</f>
        <v>616038.12748734653</v>
      </c>
      <c r="AJ6" s="521"/>
      <c r="AK6" s="499"/>
      <c r="AL6" s="499"/>
      <c r="AM6" s="499"/>
      <c r="AN6" s="524" t="s">
        <v>3582</v>
      </c>
      <c r="AO6" s="499"/>
      <c r="AP6" s="525">
        <f>SUMIFS(TransTonsShort[Trans_Tons_All],TransTonsShort[Scenario_ID],AL$11,TransTonsShort[GroupSector_ID],$C$2&amp;"-"&amp;AP$11,TransTonsShort[StreamType],"Mixed")+
SUMIFS(TransTonsShort[Trans_Tons_All],TransTonsShort[Scenario_ID],AL$11,TransTonsShort[GroupSector_ID],$C$2&amp;"-"&amp;AP$11,TransTonsShort[StreamType],"Separated")</f>
        <v>254702.93807939906</v>
      </c>
      <c r="AQ6" s="525">
        <f>SUMIFS(TransTonsShort[Trans_Tons_All],TransTonsShort[Scenario_ID],AL$11,TransTonsShort[GroupSector_ID],$C$2&amp;"-"&amp;AQ$11,TransTonsShort[StreamType],"Mixed")+
SUMIFS(TransTonsShort[Trans_Tons_All],TransTonsShort[Scenario_ID],AL$11,TransTonsShort[GroupSector_ID],$C$2&amp;"-"&amp;AQ$11,TransTonsShort[StreamType],"Separated")</f>
        <v>25176.527887628828</v>
      </c>
      <c r="AR6" s="525">
        <f>SUMIFS(TransTonsShort[Trans_Tons_All],TransTonsShort[Scenario_ID],AL$11,TransTonsShort[GroupSector_ID],$C$2&amp;"-"&amp;AR$11,TransTonsShort[StreamType],"Mixed")+
SUMIFS(TransTonsShort[Trans_Tons_All],TransTonsShort[Scenario_ID],AL$11,TransTonsShort[GroupSector_ID],$C$2&amp;"-"&amp;AR$11,TransTonsShort[StreamType],"Separated")</f>
        <v>252880.76880896106</v>
      </c>
      <c r="AS6" s="525">
        <f>SUMIFS(TransTonsShort[Trans_Tons_All],TransTonsShort[Scenario_ID],AL$11,TransTonsShort[GroupSector_ID],$C$2&amp;"-"&amp;AS$11,TransTonsShort[StreamType],"Mixed")+
SUMIFS(TransTonsShort[Trans_Tons_All],TransTonsShort[Scenario_ID],AL$11,TransTonsShort[GroupSector_ID],$C$2&amp;"-"&amp;AS$11,TransTonsShort[StreamType],"Separated")</f>
        <v>83277.892711357534</v>
      </c>
      <c r="AT6" s="525">
        <f>SUM(AP6:AS6)</f>
        <v>616038.12748734653</v>
      </c>
      <c r="AU6" s="521"/>
      <c r="AV6" s="499"/>
      <c r="AW6" s="499"/>
      <c r="AX6" s="499"/>
      <c r="AY6" s="524" t="s">
        <v>3582</v>
      </c>
      <c r="AZ6" s="499"/>
      <c r="BA6" s="525">
        <f>SUMIFS(TransTonsShort[Trans_Tons_All],TransTonsShort[Scenario_ID],AW$11,TransTonsShort[GroupSector_ID],$C$2&amp;"-"&amp;BA$11,TransTonsShort[StreamType],"Mixed")+
SUMIFS(TransTonsShort[Trans_Tons_All],TransTonsShort[Scenario_ID],AW$11,TransTonsShort[GroupSector_ID],$C$2&amp;"-"&amp;BA$11,TransTonsShort[StreamType],"Separated")</f>
        <v>255672.68072798912</v>
      </c>
      <c r="BB6" s="525">
        <f>SUMIFS(TransTonsShort[Trans_Tons_All],TransTonsShort[Scenario_ID],AW$11,TransTonsShort[GroupSector_ID],$C$2&amp;"-"&amp;BB$11,TransTonsShort[StreamType],"Mixed")+
SUMIFS(TransTonsShort[Trans_Tons_All],TransTonsShort[Scenario_ID],AW$11,TransTonsShort[GroupSector_ID],$C$2&amp;"-"&amp;BB$11,TransTonsShort[StreamType],"Separated")</f>
        <v>25166.808849179401</v>
      </c>
      <c r="BC6" s="525">
        <f>SUMIFS(TransTonsShort[Trans_Tons_All],TransTonsShort[Scenario_ID],AW$11,TransTonsShort[GroupSector_ID],$C$2&amp;"-"&amp;BC$11,TransTonsShort[StreamType],"Mixed")+
SUMIFS(TransTonsShort[Trans_Tons_All],TransTonsShort[Scenario_ID],AW$11,TransTonsShort[GroupSector_ID],$C$2&amp;"-"&amp;BC$11,TransTonsShort[StreamType],"Separated")</f>
        <v>252891.32531709594</v>
      </c>
      <c r="BD6" s="525">
        <f>SUMIFS(TransTonsShort[Trans_Tons_All],TransTonsShort[Scenario_ID],AW$11,TransTonsShort[GroupSector_ID],$C$2&amp;"-"&amp;BD$11,TransTonsShort[StreamType],"Mixed")+
SUMIFS(TransTonsShort[Trans_Tons_All],TransTonsShort[Scenario_ID],AW$11,TransTonsShort[GroupSector_ID],$C$2&amp;"-"&amp;BD$11,TransTonsShort[StreamType],"Separated")</f>
        <v>82884.668380823321</v>
      </c>
      <c r="BE6" s="525">
        <f>SUM(BA6:BD6)</f>
        <v>616615.48327508778</v>
      </c>
    </row>
    <row r="7" spans="1:57" s="352" customFormat="1" hidden="1" x14ac:dyDescent="0.2">
      <c r="A7" s="499"/>
      <c r="B7" s="499"/>
      <c r="C7" s="499"/>
      <c r="D7" s="521"/>
      <c r="E7" s="499"/>
      <c r="F7" s="499"/>
      <c r="G7" s="526" t="s">
        <v>3583</v>
      </c>
      <c r="H7" s="499"/>
      <c r="I7" s="525">
        <f>SUMIFS(TransTonsShort[Trans_Tons_All],TransTonsShort[Scenario_ID],E$11,TransTonsShort[GroupSector_ID],"*"&amp;"-"&amp;I$11,TransTonsShort[StreamType],"Mixed")+
SUMIFS(TransTonsShort[Trans_Tons_All],TransTonsShort[Scenario_ID],E$11,TransTonsShort[GroupSector_ID],"*"&amp;"-"&amp;I$11,TransTonsShort[StreamType],"Separated")</f>
        <v>243031.51323889568</v>
      </c>
      <c r="J7" s="525">
        <f>SUMIFS(TransTonsShort[Trans_Tons_All],TransTonsShort[Scenario_ID],E$11,TransTonsShort[GroupSector_ID],"*"&amp;"-"&amp;J$11,TransTonsShort[StreamType],"Mixed")+
SUMIFS(TransTonsShort[Trans_Tons_All],TransTonsShort[Scenario_ID],E$11,TransTonsShort[GroupSector_ID],"*"&amp;"-"&amp;J$11,TransTonsShort[StreamType],"Separated")</f>
        <v>23983.694942766921</v>
      </c>
      <c r="K7" s="525">
        <f>SUMIFS(TransTonsShort[Trans_Tons_All],TransTonsShort[Scenario_ID],E$11,TransTonsShort[GroupSector_ID],"*"&amp;"-"&amp;K$11,TransTonsShort[StreamType],"Mixed")+
SUMIFS(TransTonsShort[Trans_Tons_All],TransTonsShort[Scenario_ID],E$11,TransTonsShort[GroupSector_ID],"*"&amp;"-"&amp;K$11,TransTonsShort[StreamType],"Separated")</f>
        <v>246985.2682801178</v>
      </c>
      <c r="L7" s="525">
        <f>SUMIFS(TransTonsShort[Trans_Tons_All],TransTonsShort[Scenario_ID],E$11,TransTonsShort[GroupSector_ID],"*"&amp;"-"&amp;L$11,TransTonsShort[StreamType],"Mixed")+
SUMIFS(TransTonsShort[Trans_Tons_All],TransTonsShort[Scenario_ID],E$11,TransTonsShort[GroupSector_ID],"*"&amp;"-"&amp;L$11,TransTonsShort[StreamType],"Separated")</f>
        <v>78620.783598415743</v>
      </c>
      <c r="M7" s="525">
        <f>SUM(I7:L7)</f>
        <v>592621.26006019616</v>
      </c>
      <c r="N7"/>
      <c r="O7" s="499"/>
      <c r="P7" s="499"/>
      <c r="Q7" s="499"/>
      <c r="R7" s="526" t="s">
        <v>3583</v>
      </c>
      <c r="S7" s="499"/>
      <c r="T7" s="525">
        <f>SUMIFS(TransTonsShort[Trans_Tons_All],TransTonsShort[Scenario_ID],P$11,TransTonsShort[GroupSector_ID],"*"&amp;"-"&amp;T$11,TransTonsShort[StreamType],"Mixed")+
SUMIFS(TransTonsShort[Trans_Tons_All],TransTonsShort[Scenario_ID],P$11,TransTonsShort[GroupSector_ID],"*"&amp;"-"&amp;T$11,TransTonsShort[StreamType],"Separated")</f>
        <v>228344.89667114732</v>
      </c>
      <c r="U7" s="525">
        <f>SUMIFS(TransTonsShort[Trans_Tons_All],TransTonsShort[Scenario_ID],P$11,TransTonsShort[GroupSector_ID],"*"&amp;"-"&amp;U$11,TransTonsShort[StreamType],"Mixed")+
SUMIFS(TransTonsShort[Trans_Tons_All],TransTonsShort[Scenario_ID],P$11,TransTonsShort[GroupSector_ID],"*"&amp;"-"&amp;U$11,TransTonsShort[StreamType],"Separated")</f>
        <v>21845.987255067183</v>
      </c>
      <c r="V7" s="525">
        <f>SUMIFS(TransTonsShort[Trans_Tons_All],TransTonsShort[Scenario_ID],P$11,TransTonsShort[GroupSector_ID],"*"&amp;"-"&amp;V$11,TransTonsShort[StreamType],"Mixed")+
SUMIFS(TransTonsShort[Trans_Tons_All],TransTonsShort[Scenario_ID],P$11,TransTonsShort[GroupSector_ID],"*"&amp;"-"&amp;V$11,TransTonsShort[StreamType],"Separated")</f>
        <v>230902.13337279615</v>
      </c>
      <c r="W7" s="525">
        <f>SUMIFS(TransTonsShort[Trans_Tons_All],TransTonsShort[Scenario_ID],P$11,TransTonsShort[GroupSector_ID],"*"&amp;"-"&amp;W$11,TransTonsShort[StreamType],"Mixed")+
SUMIFS(TransTonsShort[Trans_Tons_All],TransTonsShort[Scenario_ID],P$11,TransTonsShort[GroupSector_ID],"*"&amp;"-"&amp;W$11,TransTonsShort[StreamType],"Separated")</f>
        <v>78100.538418647717</v>
      </c>
      <c r="X7" s="525">
        <f>SUM(T7:W7)</f>
        <v>559193.55571765837</v>
      </c>
      <c r="Y7" s="521"/>
      <c r="Z7" s="499"/>
      <c r="AA7" s="499"/>
      <c r="AB7" s="499"/>
      <c r="AC7" s="526" t="s">
        <v>3583</v>
      </c>
      <c r="AD7" s="499"/>
      <c r="AE7" s="525">
        <f>SUMIFS(TransTonsShort[Trans_Tons_All],TransTonsShort[Scenario_ID],AA$11,TransTonsShort[GroupSector_ID],"*"&amp;"-"&amp;AE$11,TransTonsShort[StreamType],"Mixed")+
SUMIFS(TransTonsShort[Trans_Tons_All],TransTonsShort[Scenario_ID],AA$11,TransTonsShort[GroupSector_ID],"*"&amp;"-"&amp;AE$11,TransTonsShort[StreamType],"Separated")</f>
        <v>254702.93807939906</v>
      </c>
      <c r="AF7" s="525">
        <f>SUMIFS(TransTonsShort[Trans_Tons_All],TransTonsShort[Scenario_ID],AA$11,TransTonsShort[GroupSector_ID],"*"&amp;"-"&amp;AF$11,TransTonsShort[StreamType],"Mixed")+
SUMIFS(TransTonsShort[Trans_Tons_All],TransTonsShort[Scenario_ID],AA$11,TransTonsShort[GroupSector_ID],"*"&amp;"-"&amp;AF$11,TransTonsShort[StreamType],"Separated")</f>
        <v>25176.527887628828</v>
      </c>
      <c r="AG7" s="525">
        <f>SUMIFS(TransTonsShort[Trans_Tons_All],TransTonsShort[Scenario_ID],AA$11,TransTonsShort[GroupSector_ID],"*"&amp;"-"&amp;AG$11,TransTonsShort[StreamType],"Mixed")+
SUMIFS(TransTonsShort[Trans_Tons_All],TransTonsShort[Scenario_ID],AA$11,TransTonsShort[GroupSector_ID],"*"&amp;"-"&amp;AG$11,TransTonsShort[StreamType],"Separated")</f>
        <v>252880.76880896106</v>
      </c>
      <c r="AH7" s="525">
        <f>SUMIFS(TransTonsShort[Trans_Tons_All],TransTonsShort[Scenario_ID],AA$11,TransTonsShort[GroupSector_ID],"*"&amp;"-"&amp;AH$11,TransTonsShort[StreamType],"Mixed")+
SUMIFS(TransTonsShort[Trans_Tons_All],TransTonsShort[Scenario_ID],AA$11,TransTonsShort[GroupSector_ID],"*"&amp;"-"&amp;AH$11,TransTonsShort[StreamType],"Separated")</f>
        <v>83277.892711357534</v>
      </c>
      <c r="AI7" s="525">
        <f>SUM(AE7:AH7)</f>
        <v>616038.12748734653</v>
      </c>
      <c r="AJ7" s="521"/>
      <c r="AK7" s="499"/>
      <c r="AL7" s="499"/>
      <c r="AM7" s="499"/>
      <c r="AN7" s="526" t="s">
        <v>3583</v>
      </c>
      <c r="AO7" s="499"/>
      <c r="AP7" s="525">
        <f>SUMIFS(TransTonsShort[Trans_Tons_All],TransTonsShort[Scenario_ID],AL$11,TransTonsShort[GroupSector_ID],"*"&amp;"-"&amp;AP$11,TransTonsShort[StreamType],"Mixed")+
SUMIFS(TransTonsShort[Trans_Tons_All],TransTonsShort[Scenario_ID],AL$11,TransTonsShort[GroupSector_ID],"*"&amp;"-"&amp;AP$11,TransTonsShort[StreamType],"Separated")</f>
        <v>254702.93807939906</v>
      </c>
      <c r="AQ7" s="525">
        <f>SUMIFS(TransTonsShort[Trans_Tons_All],TransTonsShort[Scenario_ID],AL$11,TransTonsShort[GroupSector_ID],"*"&amp;"-"&amp;AQ$11,TransTonsShort[StreamType],"Mixed")+
SUMIFS(TransTonsShort[Trans_Tons_All],TransTonsShort[Scenario_ID],AL$11,TransTonsShort[GroupSector_ID],"*"&amp;"-"&amp;AQ$11,TransTonsShort[StreamType],"Separated")</f>
        <v>25176.527887628828</v>
      </c>
      <c r="AR7" s="525">
        <f>SUMIFS(TransTonsShort[Trans_Tons_All],TransTonsShort[Scenario_ID],AL$11,TransTonsShort[GroupSector_ID],"*"&amp;"-"&amp;AR$11,TransTonsShort[StreamType],"Mixed")+
SUMIFS(TransTonsShort[Trans_Tons_All],TransTonsShort[Scenario_ID],AL$11,TransTonsShort[GroupSector_ID],"*"&amp;"-"&amp;AR$11,TransTonsShort[StreamType],"Separated")</f>
        <v>252880.76880896106</v>
      </c>
      <c r="AS7" s="525">
        <f>SUMIFS(TransTonsShort[Trans_Tons_All],TransTonsShort[Scenario_ID],AL$11,TransTonsShort[GroupSector_ID],"*"&amp;"-"&amp;AS$11,TransTonsShort[StreamType],"Mixed")+
SUMIFS(TransTonsShort[Trans_Tons_All],TransTonsShort[Scenario_ID],AL$11,TransTonsShort[GroupSector_ID],"*"&amp;"-"&amp;AS$11,TransTonsShort[StreamType],"Separated")</f>
        <v>83277.892711357534</v>
      </c>
      <c r="AT7" s="525">
        <f>SUM(AP7:AS7)</f>
        <v>616038.12748734653</v>
      </c>
      <c r="AU7" s="521"/>
      <c r="AV7" s="499"/>
      <c r="AW7" s="499"/>
      <c r="AX7" s="499"/>
      <c r="AY7" s="526" t="s">
        <v>3583</v>
      </c>
      <c r="AZ7" s="499"/>
      <c r="BA7" s="525">
        <f>SUMIFS(TransTonsShort[Trans_Tons_All],TransTonsShort[Scenario_ID],AW$11,TransTonsShort[GroupSector_ID],"*"&amp;"-"&amp;BA$11,TransTonsShort[StreamType],"Mixed")+
SUMIFS(TransTonsShort[Trans_Tons_All],TransTonsShort[Scenario_ID],AW$11,TransTonsShort[GroupSector_ID],"*"&amp;"-"&amp;BA$11,TransTonsShort[StreamType],"Separated")</f>
        <v>255672.68072798912</v>
      </c>
      <c r="BB7" s="525">
        <f>SUMIFS(TransTonsShort[Trans_Tons_All],TransTonsShort[Scenario_ID],AW$11,TransTonsShort[GroupSector_ID],"*"&amp;"-"&amp;BB$11,TransTonsShort[StreamType],"Mixed")+
SUMIFS(TransTonsShort[Trans_Tons_All],TransTonsShort[Scenario_ID],AW$11,TransTonsShort[GroupSector_ID],"*"&amp;"-"&amp;BB$11,TransTonsShort[StreamType],"Separated")</f>
        <v>25166.808849179401</v>
      </c>
      <c r="BC7" s="525">
        <f>SUMIFS(TransTonsShort[Trans_Tons_All],TransTonsShort[Scenario_ID],AW$11,TransTonsShort[GroupSector_ID],"*"&amp;"-"&amp;BC$11,TransTonsShort[StreamType],"Mixed")+
SUMIFS(TransTonsShort[Trans_Tons_All],TransTonsShort[Scenario_ID],AW$11,TransTonsShort[GroupSector_ID],"*"&amp;"-"&amp;BC$11,TransTonsShort[StreamType],"Separated")</f>
        <v>252891.32531709594</v>
      </c>
      <c r="BD7" s="525">
        <f>SUMIFS(TransTonsShort[Trans_Tons_All],TransTonsShort[Scenario_ID],AW$11,TransTonsShort[GroupSector_ID],"*"&amp;"-"&amp;BD$11,TransTonsShort[StreamType],"Mixed")+
SUMIFS(TransTonsShort[Trans_Tons_All],TransTonsShort[Scenario_ID],AW$11,TransTonsShort[GroupSector_ID],"*"&amp;"-"&amp;BD$11,TransTonsShort[StreamType],"Separated")</f>
        <v>82884.668380823321</v>
      </c>
      <c r="BE7" s="525">
        <f>SUM(BA7:BD7)</f>
        <v>616615.48327508778</v>
      </c>
    </row>
    <row r="8" spans="1:57" s="520" customFormat="1" hidden="1" x14ac:dyDescent="0.2">
      <c r="A8" s="499"/>
      <c r="B8" s="499"/>
      <c r="C8" s="499"/>
      <c r="D8" s="521"/>
      <c r="E8" s="499"/>
      <c r="F8" s="499"/>
      <c r="G8" s="524" t="s">
        <v>3584</v>
      </c>
      <c r="H8" s="499"/>
      <c r="I8" s="525">
        <f>SUMIFS(TransTonsShort[Trans_Tons_All],TransTonsShort[Scenario_ID],E$11,TransTonsShort[GroupSector_ID],$C$2&amp;"-"&amp;I$11,TransTonsShort[StreamType],"Mixed")</f>
        <v>208898.07954173803</v>
      </c>
      <c r="J8" s="525">
        <f>SUMIFS(TransTonsShort[Trans_Tons_All],TransTonsShort[Scenario_ID],E$11,TransTonsShort[GroupSector_ID],$C$2&amp;"-"&amp;J$11,TransTonsShort[StreamType],"Mixed")</f>
        <v>20950.914210333227</v>
      </c>
      <c r="K8" s="525">
        <f>SUMIFS(TransTonsShort[Trans_Tons_All],TransTonsShort[Scenario_ID],E$11,TransTonsShort[GroupSector_ID],$C$2&amp;"-"&amp;K$11,TransTonsShort[StreamType],"Mixed")</f>
        <v>225336.84521368821</v>
      </c>
      <c r="L8" s="525">
        <f>SUMIFS(TransTonsShort[Trans_Tons_All],TransTonsShort[Scenario_ID],E$11,TransTonsShort[GroupSector_ID],$C$2&amp;"-"&amp;L$11,TransTonsShort[StreamType],"Mixed")</f>
        <v>7163.2723820736182</v>
      </c>
      <c r="M8" s="525">
        <f>SUM(I8:L8)</f>
        <v>462349.11134783312</v>
      </c>
      <c r="N8"/>
      <c r="O8" s="499"/>
      <c r="P8" s="499"/>
      <c r="Q8" s="499"/>
      <c r="R8" s="524" t="s">
        <v>3582</v>
      </c>
      <c r="S8" s="499"/>
      <c r="T8" s="525">
        <f>SUMIFS(TransTonsShort[Trans_Tons_All],TransTonsShort[Scenario_ID],P$11,TransTonsShort[GroupSector_ID],$C$2&amp;"-"&amp;T$11,TransTonsShort[StreamType],"Mixed")</f>
        <v>194211.46297398966</v>
      </c>
      <c r="U8" s="525">
        <f>SUMIFS(TransTonsShort[Trans_Tons_All],TransTonsShort[Scenario_ID],P$11,TransTonsShort[GroupSector_ID],$C$2&amp;"-"&amp;U$11,TransTonsShort[StreamType],"Mixed")</f>
        <v>18813.206522633489</v>
      </c>
      <c r="V8" s="525">
        <f>SUMIFS(TransTonsShort[Trans_Tons_All],TransTonsShort[Scenario_ID],P$11,TransTonsShort[GroupSector_ID],$C$2&amp;"-"&amp;V$11,TransTonsShort[StreamType],"Mixed")</f>
        <v>209253.71030636656</v>
      </c>
      <c r="W8" s="525">
        <f>SUMIFS(TransTonsShort[Trans_Tons_All],TransTonsShort[Scenario_ID],P$11,TransTonsShort[GroupSector_ID],$C$2&amp;"-"&amp;W$11,TransTonsShort[StreamType],"Mixed")</f>
        <v>6643.027202305595</v>
      </c>
      <c r="X8" s="525">
        <f>SUM(T8:W8)</f>
        <v>428921.40700529533</v>
      </c>
      <c r="Y8" s="521"/>
      <c r="Z8" s="499"/>
      <c r="AA8" s="499"/>
      <c r="AB8" s="499"/>
      <c r="AC8" s="524" t="s">
        <v>3582</v>
      </c>
      <c r="AD8" s="499"/>
      <c r="AE8" s="525">
        <f>SUMIFS(TransTonsShort[Trans_Tons_All],TransTonsShort[Scenario_ID],AA$11,TransTonsShort[GroupSector_ID],$C$2&amp;"-"&amp;AE$11,TransTonsShort[StreamType],"Mixed")</f>
        <v>215574.57308800865</v>
      </c>
      <c r="AF8" s="525">
        <f>SUMIFS(TransTonsShort[Trans_Tons_All],TransTonsShort[Scenario_ID],AA$11,TransTonsShort[GroupSector_ID],$C$2&amp;"-"&amp;AF$11,TransTonsShort[StreamType],"Mixed")</f>
        <v>21984.730990442364</v>
      </c>
      <c r="AG8" s="525">
        <f>SUMIFS(TransTonsShort[Trans_Tons_All],TransTonsShort[Scenario_ID],AA$11,TransTonsShort[GroupSector_ID],$C$2&amp;"-"&amp;AG$11,TransTonsShort[StreamType],"Mixed")</f>
        <v>230254.97129894927</v>
      </c>
      <c r="AH8" s="525">
        <f>SUMIFS(TransTonsShort[Trans_Tons_All],TransTonsShort[Scenario_ID],AA$11,TransTonsShort[GroupSector_ID],$C$2&amp;"-"&amp;AH$11,TransTonsShort[StreamType],"Mixed")</f>
        <v>9022.3779714521643</v>
      </c>
      <c r="AI8" s="525">
        <f>SUM(AE8:AH8)</f>
        <v>476836.65334885241</v>
      </c>
      <c r="AJ8" s="521"/>
      <c r="AK8" s="499"/>
      <c r="AL8" s="499"/>
      <c r="AM8" s="499"/>
      <c r="AN8" s="524" t="s">
        <v>3582</v>
      </c>
      <c r="AO8" s="499"/>
      <c r="AP8" s="525">
        <f>SUMIFS(TransTonsShort[Trans_Tons_All],TransTonsShort[Scenario_ID],AL$11,TransTonsShort[GroupSector_ID],$C$2&amp;"-"&amp;AP$11,TransTonsShort[StreamType],"Mixed")</f>
        <v>215574.57308800865</v>
      </c>
      <c r="AQ8" s="525">
        <f>SUMIFS(TransTonsShort[Trans_Tons_All],TransTonsShort[Scenario_ID],AL$11,TransTonsShort[GroupSector_ID],$C$2&amp;"-"&amp;AQ$11,TransTonsShort[StreamType],"Mixed")</f>
        <v>21984.730990442364</v>
      </c>
      <c r="AR8" s="525">
        <f>SUMIFS(TransTonsShort[Trans_Tons_All],TransTonsShort[Scenario_ID],AL$11,TransTonsShort[GroupSector_ID],$C$2&amp;"-"&amp;AR$11,TransTonsShort[StreamType],"Mixed")</f>
        <v>230254.97129894927</v>
      </c>
      <c r="AS8" s="525">
        <f>SUMIFS(TransTonsShort[Trans_Tons_All],TransTonsShort[Scenario_ID],AL$11,TransTonsShort[GroupSector_ID],$C$2&amp;"-"&amp;AS$11,TransTonsShort[StreamType],"Mixed")</f>
        <v>9022.3779714521643</v>
      </c>
      <c r="AT8" s="525">
        <f>SUM(AP8:AS8)</f>
        <v>476836.65334885241</v>
      </c>
      <c r="AU8" s="521"/>
      <c r="AV8" s="499"/>
      <c r="AW8" s="499"/>
      <c r="AX8" s="499"/>
      <c r="AY8" s="524" t="s">
        <v>3582</v>
      </c>
      <c r="AZ8" s="499"/>
      <c r="BA8" s="525">
        <f>SUMIFS(TransTonsShort[Trans_Tons_All],TransTonsShort[Scenario_ID],AW$11,TransTonsShort[GroupSector_ID],$C$2&amp;"-"&amp;BA$11,TransTonsShort[StreamType],"Mixed")</f>
        <v>216544.31573659868</v>
      </c>
      <c r="BB8" s="525">
        <f>SUMIFS(TransTonsShort[Trans_Tons_All],TransTonsShort[Scenario_ID],AW$11,TransTonsShort[GroupSector_ID],$C$2&amp;"-"&amp;BB$11,TransTonsShort[StreamType],"Mixed")</f>
        <v>21975.011951992936</v>
      </c>
      <c r="BC8" s="525">
        <f>SUMIFS(TransTonsShort[Trans_Tons_All],TransTonsShort[Scenario_ID],AW$11,TransTonsShort[GroupSector_ID],$C$2&amp;"-"&amp;BC$11,TransTonsShort[StreamType],"Mixed")</f>
        <v>230265.52780708415</v>
      </c>
      <c r="BD8" s="525">
        <f>SUMIFS(TransTonsShort[Trans_Tons_All],TransTonsShort[Scenario_ID],AW$11,TransTonsShort[GroupSector_ID],$C$2&amp;"-"&amp;BD$11,TransTonsShort[StreamType],"Mixed")</f>
        <v>8629.1536409179571</v>
      </c>
      <c r="BE8" s="525">
        <f>SUM(BA8:BD8)</f>
        <v>477414.00913659373</v>
      </c>
    </row>
    <row r="9" spans="1:57" s="520" customFormat="1" hidden="1" x14ac:dyDescent="0.2">
      <c r="A9" s="499"/>
      <c r="B9" s="499"/>
      <c r="C9" s="499"/>
      <c r="D9" s="521"/>
      <c r="E9" s="499"/>
      <c r="F9" s="499"/>
      <c r="G9" s="526" t="s">
        <v>3585</v>
      </c>
      <c r="H9" s="499"/>
      <c r="I9" s="525">
        <f>SUMIFS(TransTonsShort[Trans_Tons_All],TransTonsShort[Scenario_ID],E$11,TransTonsShort[GroupSector_ID],"*"&amp;"-"&amp;I$11,TransTonsShort[StreamType],"Mixed")</f>
        <v>208898.07954173803</v>
      </c>
      <c r="J9" s="525">
        <f>SUMIFS(TransTonsShort[Trans_Tons_All],TransTonsShort[Scenario_ID],E$11,TransTonsShort[GroupSector_ID],"*"&amp;"-"&amp;J$11,TransTonsShort[StreamType],"Mixed")</f>
        <v>20950.914210333227</v>
      </c>
      <c r="K9" s="525">
        <f>SUMIFS(TransTonsShort[Trans_Tons_All],TransTonsShort[Scenario_ID],E$11,TransTonsShort[GroupSector_ID],"*"&amp;"-"&amp;K$11,TransTonsShort[StreamType],"Mixed")</f>
        <v>225336.84521368821</v>
      </c>
      <c r="L9" s="525">
        <f>SUMIFS(TransTonsShort[Trans_Tons_All],TransTonsShort[Scenario_ID],E$11,TransTonsShort[GroupSector_ID],"*"&amp;"-"&amp;L$11,TransTonsShort[StreamType],"Mixed")</f>
        <v>7163.2723820736182</v>
      </c>
      <c r="M9" s="525">
        <f>SUM(I9:L9)</f>
        <v>462349.11134783312</v>
      </c>
      <c r="N9"/>
      <c r="O9" s="499"/>
      <c r="P9" s="499"/>
      <c r="Q9" s="499"/>
      <c r="R9" s="526" t="s">
        <v>3583</v>
      </c>
      <c r="S9" s="499"/>
      <c r="T9" s="525">
        <f>SUMIFS(TransTonsShort[Trans_Tons_All],TransTonsShort[Scenario_ID],P$11,TransTonsShort[GroupSector_ID],"*"&amp;"-"&amp;T$11,TransTonsShort[StreamType],"Mixed")</f>
        <v>194211.46297398966</v>
      </c>
      <c r="U9" s="525">
        <f>SUMIFS(TransTonsShort[Trans_Tons_All],TransTonsShort[Scenario_ID],P$11,TransTonsShort[GroupSector_ID],"*"&amp;"-"&amp;U$11,TransTonsShort[StreamType],"Mixed")</f>
        <v>18813.206522633489</v>
      </c>
      <c r="V9" s="525">
        <f>SUMIFS(TransTonsShort[Trans_Tons_All],TransTonsShort[Scenario_ID],P$11,TransTonsShort[GroupSector_ID],"*"&amp;"-"&amp;V$11,TransTonsShort[StreamType],"Mixed")</f>
        <v>209253.71030636656</v>
      </c>
      <c r="W9" s="525">
        <f>SUMIFS(TransTonsShort[Trans_Tons_All],TransTonsShort[Scenario_ID],P$11,TransTonsShort[GroupSector_ID],"*"&amp;"-"&amp;W$11,TransTonsShort[StreamType],"Mixed")</f>
        <v>6643.027202305595</v>
      </c>
      <c r="X9" s="525">
        <f>SUM(T9:W9)</f>
        <v>428921.40700529533</v>
      </c>
      <c r="Y9" s="521"/>
      <c r="Z9" s="499"/>
      <c r="AA9" s="499"/>
      <c r="AB9" s="499"/>
      <c r="AC9" s="526" t="s">
        <v>3583</v>
      </c>
      <c r="AD9" s="499"/>
      <c r="AE9" s="525">
        <f>SUMIFS(TransTonsShort[Trans_Tons_All],TransTonsShort[Scenario_ID],AA$11,TransTonsShort[GroupSector_ID],"*"&amp;"-"&amp;AE$11,TransTonsShort[StreamType],"Mixed")</f>
        <v>215574.57308800865</v>
      </c>
      <c r="AF9" s="525">
        <f>SUMIFS(TransTonsShort[Trans_Tons_All],TransTonsShort[Scenario_ID],AA$11,TransTonsShort[GroupSector_ID],"*"&amp;"-"&amp;AF$11,TransTonsShort[StreamType],"Mixed")</f>
        <v>21984.730990442364</v>
      </c>
      <c r="AG9" s="525">
        <f>SUMIFS(TransTonsShort[Trans_Tons_All],TransTonsShort[Scenario_ID],AA$11,TransTonsShort[GroupSector_ID],"*"&amp;"-"&amp;AG$11,TransTonsShort[StreamType],"Mixed")</f>
        <v>230254.97129894927</v>
      </c>
      <c r="AH9" s="525">
        <f>SUMIFS(TransTonsShort[Trans_Tons_All],TransTonsShort[Scenario_ID],AA$11,TransTonsShort[GroupSector_ID],"*"&amp;"-"&amp;AH$11,TransTonsShort[StreamType],"Mixed")</f>
        <v>9022.3779714521643</v>
      </c>
      <c r="AI9" s="525">
        <f>SUM(AE9:AH9)</f>
        <v>476836.65334885241</v>
      </c>
      <c r="AJ9" s="521"/>
      <c r="AK9" s="499"/>
      <c r="AL9" s="499"/>
      <c r="AM9" s="499"/>
      <c r="AN9" s="526" t="s">
        <v>3583</v>
      </c>
      <c r="AO9" s="499"/>
      <c r="AP9" s="525">
        <f>SUMIFS(TransTonsShort[Trans_Tons_All],TransTonsShort[Scenario_ID],AL$11,TransTonsShort[GroupSector_ID],"*"&amp;"-"&amp;AP$11,TransTonsShort[StreamType],"Mixed")</f>
        <v>215574.57308800865</v>
      </c>
      <c r="AQ9" s="525">
        <f>SUMIFS(TransTonsShort[Trans_Tons_All],TransTonsShort[Scenario_ID],AL$11,TransTonsShort[GroupSector_ID],"*"&amp;"-"&amp;AQ$11,TransTonsShort[StreamType],"Mixed")</f>
        <v>21984.730990442364</v>
      </c>
      <c r="AR9" s="525">
        <f>SUMIFS(TransTonsShort[Trans_Tons_All],TransTonsShort[Scenario_ID],AL$11,TransTonsShort[GroupSector_ID],"*"&amp;"-"&amp;AR$11,TransTonsShort[StreamType],"Mixed")</f>
        <v>230254.97129894927</v>
      </c>
      <c r="AS9" s="525">
        <f>SUMIFS(TransTonsShort[Trans_Tons_All],TransTonsShort[Scenario_ID],AL$11,TransTonsShort[GroupSector_ID],"*"&amp;"-"&amp;AS$11,TransTonsShort[StreamType],"Mixed")</f>
        <v>9022.3779714521643</v>
      </c>
      <c r="AT9" s="525">
        <f>SUM(AP9:AS9)</f>
        <v>476836.65334885241</v>
      </c>
      <c r="AU9" s="521"/>
      <c r="AV9" s="499"/>
      <c r="AW9" s="499"/>
      <c r="AX9" s="499"/>
      <c r="AY9" s="526" t="s">
        <v>3583</v>
      </c>
      <c r="AZ9" s="499"/>
      <c r="BA9" s="525">
        <f>SUMIFS(TransTonsShort[Trans_Tons_All],TransTonsShort[Scenario_ID],AW$11,TransTonsShort[GroupSector_ID],"*"&amp;"-"&amp;BA$11,TransTonsShort[StreamType],"Mixed")</f>
        <v>216544.31573659868</v>
      </c>
      <c r="BB9" s="525">
        <f>SUMIFS(TransTonsShort[Trans_Tons_All],TransTonsShort[Scenario_ID],AW$11,TransTonsShort[GroupSector_ID],"*"&amp;"-"&amp;BB$11,TransTonsShort[StreamType],"Mixed")</f>
        <v>21975.011951992936</v>
      </c>
      <c r="BC9" s="525">
        <f>SUMIFS(TransTonsShort[Trans_Tons_All],TransTonsShort[Scenario_ID],AW$11,TransTonsShort[GroupSector_ID],"*"&amp;"-"&amp;BC$11,TransTonsShort[StreamType],"Mixed")</f>
        <v>230265.52780708415</v>
      </c>
      <c r="BD9" s="525">
        <f>SUMIFS(TransTonsShort[Trans_Tons_All],TransTonsShort[Scenario_ID],AW$11,TransTonsShort[GroupSector_ID],"*"&amp;"-"&amp;BD$11,TransTonsShort[StreamType],"Mixed")</f>
        <v>8629.1536409179571</v>
      </c>
      <c r="BE9" s="525">
        <f>SUM(BA9:BD9)</f>
        <v>477414.00913659373</v>
      </c>
    </row>
    <row r="10" spans="1:57" s="352" customFormat="1" hidden="1" x14ac:dyDescent="0.2">
      <c r="A10" s="499"/>
      <c r="B10" s="499"/>
      <c r="C10" s="499"/>
      <c r="D10" s="521"/>
      <c r="E10" s="499"/>
      <c r="F10" s="499"/>
      <c r="G10" s="499"/>
      <c r="H10" s="499"/>
      <c r="I10" s="499"/>
      <c r="J10" s="499"/>
      <c r="K10" s="499"/>
      <c r="L10" s="499"/>
      <c r="M10" s="499"/>
      <c r="N10"/>
      <c r="O10" s="499"/>
      <c r="P10" s="499"/>
      <c r="Q10" s="499"/>
      <c r="R10" s="499"/>
      <c r="S10" s="499"/>
      <c r="T10" s="499"/>
      <c r="U10" s="499"/>
      <c r="V10" s="499"/>
      <c r="W10" s="499"/>
      <c r="X10" s="499"/>
      <c r="Y10" s="521"/>
      <c r="Z10" s="499"/>
      <c r="AA10" s="499"/>
      <c r="AB10" s="499"/>
      <c r="AC10" s="499"/>
      <c r="AD10" s="499"/>
      <c r="AE10" s="499"/>
      <c r="AF10" s="499"/>
      <c r="AG10" s="499"/>
      <c r="AH10" s="499"/>
      <c r="AI10" s="499"/>
      <c r="AJ10" s="521"/>
      <c r="AK10" s="499"/>
      <c r="AL10" s="499"/>
      <c r="AM10" s="499"/>
      <c r="AN10" s="499"/>
      <c r="AO10" s="499"/>
      <c r="AP10" s="499"/>
      <c r="AQ10" s="499"/>
      <c r="AR10" s="499"/>
      <c r="AS10" s="499"/>
      <c r="AT10" s="499"/>
      <c r="AU10" s="521"/>
      <c r="AV10" s="499"/>
      <c r="AW10" s="499"/>
      <c r="AX10" s="499"/>
      <c r="AY10" s="499"/>
      <c r="AZ10" s="499"/>
      <c r="BA10" s="499"/>
      <c r="BB10" s="499"/>
      <c r="BC10" s="499"/>
      <c r="BD10" s="499"/>
      <c r="BE10" s="499"/>
    </row>
    <row r="11" spans="1:57" customFormat="1" hidden="1" x14ac:dyDescent="0.2">
      <c r="A11" s="499"/>
      <c r="B11" s="499" t="s">
        <v>1065</v>
      </c>
      <c r="C11" s="499"/>
      <c r="D11" s="521"/>
      <c r="E11" s="499" t="s">
        <v>876</v>
      </c>
      <c r="F11" s="527"/>
      <c r="G11" s="499" t="str">
        <f>IF(E11="S4","DS","SS")</f>
        <v>SS</v>
      </c>
      <c r="H11" s="499"/>
      <c r="I11" s="499">
        <v>1</v>
      </c>
      <c r="J11" s="499">
        <v>2</v>
      </c>
      <c r="K11" s="499">
        <v>3</v>
      </c>
      <c r="L11" s="499">
        <v>4</v>
      </c>
      <c r="M11" s="499" t="s">
        <v>1101</v>
      </c>
      <c r="O11" s="499"/>
      <c r="P11" s="499" t="s">
        <v>875</v>
      </c>
      <c r="Q11" s="527"/>
      <c r="R11" s="499" t="str">
        <f>IF(P11="S4","DS","SS")</f>
        <v>SS</v>
      </c>
      <c r="S11" s="499"/>
      <c r="T11" s="499">
        <v>1</v>
      </c>
      <c r="U11" s="499">
        <v>2</v>
      </c>
      <c r="V11" s="499">
        <v>3</v>
      </c>
      <c r="W11" s="499">
        <v>4</v>
      </c>
      <c r="X11" s="499" t="s">
        <v>1101</v>
      </c>
      <c r="Y11" s="521"/>
      <c r="Z11" s="499"/>
      <c r="AA11" s="499" t="s">
        <v>874</v>
      </c>
      <c r="AB11" s="527"/>
      <c r="AC11" s="499" t="str">
        <f>IF(AA11="S4","DS","SS")</f>
        <v>SS</v>
      </c>
      <c r="AD11" s="499"/>
      <c r="AE11" s="499">
        <v>1</v>
      </c>
      <c r="AF11" s="499">
        <v>2</v>
      </c>
      <c r="AG11" s="499">
        <v>3</v>
      </c>
      <c r="AH11" s="499">
        <v>4</v>
      </c>
      <c r="AI11" s="499" t="s">
        <v>1101</v>
      </c>
      <c r="AJ11" s="521"/>
      <c r="AK11" s="499"/>
      <c r="AL11" s="499" t="s">
        <v>873</v>
      </c>
      <c r="AM11" s="527"/>
      <c r="AN11" s="499" t="str">
        <f>IF(AL11="S4","DS","SS")</f>
        <v>SS</v>
      </c>
      <c r="AO11" s="499"/>
      <c r="AP11" s="499">
        <v>1</v>
      </c>
      <c r="AQ11" s="499">
        <v>2</v>
      </c>
      <c r="AR11" s="499">
        <v>3</v>
      </c>
      <c r="AS11" s="499">
        <v>4</v>
      </c>
      <c r="AT11" s="499" t="s">
        <v>1101</v>
      </c>
      <c r="AU11" s="521"/>
      <c r="AV11" s="499"/>
      <c r="AW11" s="499" t="s">
        <v>870</v>
      </c>
      <c r="AX11" s="527"/>
      <c r="AY11" s="499" t="str">
        <f>IF(AW11="S4","DS","SS")</f>
        <v>DS</v>
      </c>
      <c r="AZ11" s="499"/>
      <c r="BA11" s="499">
        <v>1</v>
      </c>
      <c r="BB11" s="499">
        <v>2</v>
      </c>
      <c r="BC11" s="499">
        <v>3</v>
      </c>
      <c r="BD11" s="499">
        <v>4</v>
      </c>
      <c r="BE11" s="499" t="s">
        <v>1101</v>
      </c>
    </row>
    <row r="12" spans="1:57" s="353" customFormat="1" hidden="1" x14ac:dyDescent="0.2">
      <c r="D12" s="521"/>
      <c r="N12"/>
      <c r="Y12" s="521"/>
      <c r="AJ12" s="521"/>
      <c r="AU12" s="521"/>
    </row>
    <row r="13" spans="1:57" s="353" customFormat="1" hidden="1" x14ac:dyDescent="0.2">
      <c r="D13" s="521"/>
      <c r="N13"/>
      <c r="Y13" s="521"/>
      <c r="AJ13" s="521"/>
      <c r="AU13" s="521"/>
    </row>
    <row r="14" spans="1:57" s="353" customFormat="1" hidden="1" x14ac:dyDescent="0.2">
      <c r="D14" s="521"/>
      <c r="N14"/>
      <c r="Y14" s="521"/>
      <c r="AJ14" s="521"/>
      <c r="AU14" s="521"/>
    </row>
    <row r="15" spans="1:57" s="353" customFormat="1" hidden="1" x14ac:dyDescent="0.2">
      <c r="D15" s="521"/>
      <c r="N15"/>
      <c r="Y15" s="521"/>
      <c r="AJ15" s="521"/>
      <c r="AU15" s="521"/>
    </row>
    <row r="16" spans="1:57" ht="15" thickBot="1" x14ac:dyDescent="0.25">
      <c r="A16" s="1"/>
      <c r="I16" s="1"/>
      <c r="J16" s="1"/>
      <c r="K16" s="1"/>
      <c r="L16" s="1"/>
      <c r="M16" s="1"/>
      <c r="O16" s="35"/>
    </row>
    <row r="17" spans="1:57" s="318" customFormat="1" ht="16.5" thickBot="1" x14ac:dyDescent="0.3">
      <c r="D17" s="521"/>
      <c r="E17" s="391" t="str">
        <f>INDEX(Scenarios[Scenario_Name],MATCH($E$11,Scenarios[Scenario_ID],0))</f>
        <v>Baseline (S0)</v>
      </c>
      <c r="F17" s="392"/>
      <c r="G17" s="392"/>
      <c r="H17" s="392"/>
      <c r="I17" s="393"/>
      <c r="J17" s="393"/>
      <c r="K17" s="393"/>
      <c r="L17" s="393"/>
      <c r="M17" s="393"/>
      <c r="N17"/>
      <c r="P17" s="391" t="str">
        <f>INDEX(Scenarios[Scenario_Name],MATCH($P$11,Scenarios[Scenario_ID],0))</f>
        <v>Scenario A: Single-Stream with Modern MRF (S1)</v>
      </c>
      <c r="Q17" s="392"/>
      <c r="R17" s="392"/>
      <c r="S17" s="392"/>
      <c r="T17" s="393"/>
      <c r="U17" s="393"/>
      <c r="V17" s="393"/>
      <c r="W17" s="393"/>
      <c r="X17" s="393"/>
      <c r="Y17" s="521"/>
      <c r="AA17" s="391" t="str">
        <f>INDEX(Scenarios[Scenario_Name],MATCH($AA$11,Scenarios[Scenario_ID],0))</f>
        <v>Scenario A+: Single-Stream with Modern MRFs and Expanded List (S2)</v>
      </c>
      <c r="AB17" s="392"/>
      <c r="AC17" s="392"/>
      <c r="AD17" s="392"/>
      <c r="AE17" s="393"/>
      <c r="AF17" s="393"/>
      <c r="AG17" s="393"/>
      <c r="AH17" s="393"/>
      <c r="AI17" s="393"/>
      <c r="AJ17" s="521"/>
      <c r="AL17" s="391" t="str">
        <f>INDEX(Scenarios[Scenario_Name],MATCH($AL$11,Scenarios[Scenario_ID],0))</f>
        <v>Scenario B: Single-Stream with CRF (S3)</v>
      </c>
      <c r="AM17" s="392"/>
      <c r="AN17" s="392"/>
      <c r="AO17" s="392"/>
      <c r="AP17" s="393"/>
      <c r="AQ17" s="393"/>
      <c r="AR17" s="393"/>
      <c r="AS17" s="393"/>
      <c r="AT17" s="393"/>
      <c r="AU17" s="521"/>
      <c r="AW17" s="391" t="str">
        <f>INDEX(Scenarios[Scenario_Name],MATCH($AW$11,Scenarios[Scenario_ID],0))</f>
        <v>Scenario C: Dual-Stream Statewide (S4)</v>
      </c>
      <c r="AX17" s="392"/>
      <c r="AY17" s="392"/>
      <c r="AZ17" s="392"/>
      <c r="BA17" s="393"/>
      <c r="BB17" s="393"/>
      <c r="BC17" s="393"/>
      <c r="BD17" s="393"/>
      <c r="BE17" s="393"/>
    </row>
    <row r="18" spans="1:57" s="35" customFormat="1" ht="16.5" thickBot="1" x14ac:dyDescent="0.3">
      <c r="A18" s="353"/>
      <c r="D18" s="521"/>
      <c r="E18" s="394" t="str">
        <f>"DRAFT - "&amp;INDEX(Grouping[Grouping_Name],MATCH($C$2,Grouping[Grouping_ID],0))&amp;" "&amp;$C$3</f>
        <v>DRAFT - Statewide 2025</v>
      </c>
      <c r="F18" s="395"/>
      <c r="G18" s="395"/>
      <c r="H18" s="395"/>
      <c r="I18" s="396"/>
      <c r="J18" s="396"/>
      <c r="K18" s="396"/>
      <c r="L18" s="396"/>
      <c r="M18" s="396"/>
      <c r="N18"/>
      <c r="P18" s="394" t="str">
        <f>"DRAFT - "&amp;INDEX(Grouping[Grouping_Name],MATCH($C$2,Grouping[Grouping_ID],0))&amp;" "&amp;$C$3</f>
        <v>DRAFT - Statewide 2025</v>
      </c>
      <c r="Q18" s="395"/>
      <c r="R18" s="395"/>
      <c r="S18" s="395"/>
      <c r="T18" s="396"/>
      <c r="U18" s="396"/>
      <c r="V18" s="396"/>
      <c r="W18" s="396"/>
      <c r="X18" s="396"/>
      <c r="Y18" s="521"/>
      <c r="AA18" s="394" t="str">
        <f>"DRAFT - "&amp;INDEX(Grouping[Grouping_Name],MATCH($C$2,Grouping[Grouping_ID],0))&amp;" "&amp;$C$3</f>
        <v>DRAFT - Statewide 2025</v>
      </c>
      <c r="AB18" s="395"/>
      <c r="AC18" s="395"/>
      <c r="AD18" s="395"/>
      <c r="AE18" s="396"/>
      <c r="AF18" s="396"/>
      <c r="AG18" s="396"/>
      <c r="AH18" s="396"/>
      <c r="AI18" s="396"/>
      <c r="AJ18" s="521"/>
      <c r="AL18" s="394" t="str">
        <f>"DRAFT - "&amp;INDEX(Grouping[Grouping_Name],MATCH($C$2,Grouping[Grouping_ID],0))&amp;" "&amp;$C$3</f>
        <v>DRAFT - Statewide 2025</v>
      </c>
      <c r="AM18" s="395"/>
      <c r="AN18" s="395"/>
      <c r="AO18" s="395"/>
      <c r="AP18" s="396"/>
      <c r="AQ18" s="396"/>
      <c r="AR18" s="396"/>
      <c r="AS18" s="396"/>
      <c r="AT18" s="396"/>
      <c r="AU18" s="521"/>
      <c r="AW18" s="394" t="str">
        <f>"DRAFT - "&amp;INDEX(Grouping[Grouping_Name],MATCH($C$2,Grouping[Grouping_ID],0))&amp;" "&amp;$C$3</f>
        <v>DRAFT - Statewide 2025</v>
      </c>
      <c r="AX18" s="395"/>
      <c r="AY18" s="395"/>
      <c r="AZ18" s="395"/>
      <c r="BA18" s="396"/>
      <c r="BB18" s="396"/>
      <c r="BC18" s="396"/>
      <c r="BD18" s="396"/>
      <c r="BE18" s="396"/>
    </row>
    <row r="19" spans="1:57" ht="6" customHeight="1" x14ac:dyDescent="0.2">
      <c r="O19" s="35"/>
    </row>
    <row r="20" spans="1:57" s="2" customFormat="1" ht="40.5" customHeight="1" x14ac:dyDescent="0.2">
      <c r="A20" s="354"/>
      <c r="D20" s="521"/>
      <c r="E20" s="41"/>
      <c r="F20" s="41"/>
      <c r="G20" s="41"/>
      <c r="H20" s="41"/>
      <c r="I20" s="45" t="str">
        <f>VLOOKUP(I$11,Sector[],2,FALSE)</f>
        <v>SF Res. (on-route)</v>
      </c>
      <c r="J20" s="45" t="str">
        <f>VLOOKUP(J$11,Sector[],2,FALSE)</f>
        <v>MF Res. (on-route)</v>
      </c>
      <c r="K20" s="45" t="str">
        <f>VLOOKUP(K$11,Sector[],2,FALSE)</f>
        <v>Commercial (on-route)</v>
      </c>
      <c r="L20" s="45" t="str">
        <f>VLOOKUP(L$11,Sector[],2,FALSE)</f>
        <v>Self-haul (excluding Bottle Bill)</v>
      </c>
      <c r="M20" s="45" t="s">
        <v>25</v>
      </c>
      <c r="N20"/>
      <c r="O20" s="36"/>
      <c r="P20" s="362"/>
      <c r="Q20" s="362"/>
      <c r="R20" s="362"/>
      <c r="S20" s="362"/>
      <c r="T20" s="366" t="str">
        <f>VLOOKUP(T$11,Sector[],2,FALSE)</f>
        <v>SF Res. (on-route)</v>
      </c>
      <c r="U20" s="366" t="str">
        <f>VLOOKUP(U$11,Sector[],2,FALSE)</f>
        <v>MF Res. (on-route)</v>
      </c>
      <c r="V20" s="366" t="str">
        <f>VLOOKUP(V$11,Sector[],2,FALSE)</f>
        <v>Commercial (on-route)</v>
      </c>
      <c r="W20" s="366" t="str">
        <f>VLOOKUP(W$11,Sector[],2,FALSE)</f>
        <v>Self-haul (excluding Bottle Bill)</v>
      </c>
      <c r="X20" s="366" t="str">
        <f>$M20</f>
        <v>Total</v>
      </c>
      <c r="Y20" s="521"/>
      <c r="AA20" s="362"/>
      <c r="AB20" s="362"/>
      <c r="AC20" s="362"/>
      <c r="AD20" s="362"/>
      <c r="AE20" s="366" t="str">
        <f>VLOOKUP(AE$11,Sector[],2,FALSE)</f>
        <v>SF Res. (on-route)</v>
      </c>
      <c r="AF20" s="366" t="str">
        <f>VLOOKUP(AF$11,Sector[],2,FALSE)</f>
        <v>MF Res. (on-route)</v>
      </c>
      <c r="AG20" s="366" t="str">
        <f>VLOOKUP(AG$11,Sector[],2,FALSE)</f>
        <v>Commercial (on-route)</v>
      </c>
      <c r="AH20" s="366" t="str">
        <f>VLOOKUP(AH$11,Sector[],2,FALSE)</f>
        <v>Self-haul (excluding Bottle Bill)</v>
      </c>
      <c r="AI20" s="366" t="str">
        <f>$M20</f>
        <v>Total</v>
      </c>
      <c r="AJ20" s="521"/>
      <c r="AL20" s="362"/>
      <c r="AM20" s="362"/>
      <c r="AN20" s="362"/>
      <c r="AO20" s="362"/>
      <c r="AP20" s="366" t="str">
        <f>VLOOKUP(AP$11,Sector[],2,FALSE)</f>
        <v>SF Res. (on-route)</v>
      </c>
      <c r="AQ20" s="366" t="str">
        <f>VLOOKUP(AQ$11,Sector[],2,FALSE)</f>
        <v>MF Res. (on-route)</v>
      </c>
      <c r="AR20" s="366" t="str">
        <f>VLOOKUP(AR$11,Sector[],2,FALSE)</f>
        <v>Commercial (on-route)</v>
      </c>
      <c r="AS20" s="366" t="str">
        <f>VLOOKUP(AS$11,Sector[],2,FALSE)</f>
        <v>Self-haul (excluding Bottle Bill)</v>
      </c>
      <c r="AT20" s="366" t="str">
        <f>$M20</f>
        <v>Total</v>
      </c>
      <c r="AU20" s="521"/>
      <c r="AW20" s="362"/>
      <c r="AX20" s="362"/>
      <c r="AY20" s="362"/>
      <c r="AZ20" s="362"/>
      <c r="BA20" s="366" t="str">
        <f>VLOOKUP(BA$11,Sector[],2,FALSE)</f>
        <v>SF Res. (on-route)</v>
      </c>
      <c r="BB20" s="366" t="str">
        <f>VLOOKUP(BB$11,Sector[],2,FALSE)</f>
        <v>MF Res. (on-route)</v>
      </c>
      <c r="BC20" s="366" t="str">
        <f>VLOOKUP(BC$11,Sector[],2,FALSE)</f>
        <v>Commercial (on-route)</v>
      </c>
      <c r="BD20" s="366" t="str">
        <f>VLOOKUP(BD$11,Sector[],2,FALSE)</f>
        <v>Self-haul (excluding Bottle Bill)</v>
      </c>
      <c r="BE20" s="366" t="str">
        <f>$M20</f>
        <v>Total</v>
      </c>
    </row>
    <row r="21" spans="1:57" s="353" customFormat="1" ht="6" customHeight="1" x14ac:dyDescent="0.2">
      <c r="D21" s="521"/>
      <c r="N21" s="521"/>
      <c r="Y21" s="521"/>
      <c r="AJ21" s="521"/>
      <c r="AU21" s="521"/>
    </row>
    <row r="22" spans="1:57" x14ac:dyDescent="0.2">
      <c r="E22" s="39" t="s">
        <v>1161</v>
      </c>
      <c r="F22" s="40"/>
      <c r="G22" s="40"/>
      <c r="H22" s="40"/>
      <c r="I22" s="40"/>
      <c r="J22" s="40"/>
      <c r="K22" s="40"/>
      <c r="L22" s="40"/>
      <c r="M22" s="40"/>
      <c r="O22" s="35"/>
      <c r="P22" s="360" t="str">
        <f>IF(OR($E22="",$E22=0),"",$E22)</f>
        <v>Recycling System Costs</v>
      </c>
      <c r="Q22" s="361"/>
      <c r="R22" s="361"/>
      <c r="S22" s="361"/>
      <c r="T22" s="361"/>
      <c r="U22" s="361"/>
      <c r="V22" s="361"/>
      <c r="W22" s="361"/>
      <c r="X22" s="361"/>
      <c r="AA22" s="360" t="str">
        <f>IF(OR($E22="",$E22=0),"",$E22)</f>
        <v>Recycling System Costs</v>
      </c>
      <c r="AB22" s="361"/>
      <c r="AC22" s="361"/>
      <c r="AD22" s="361"/>
      <c r="AE22" s="361"/>
      <c r="AF22" s="361"/>
      <c r="AG22" s="361"/>
      <c r="AH22" s="361"/>
      <c r="AI22" s="361"/>
      <c r="AL22" s="360" t="str">
        <f>IF(OR($E22="",$E22=0),"",$E22)</f>
        <v>Recycling System Costs</v>
      </c>
      <c r="AM22" s="361"/>
      <c r="AN22" s="361"/>
      <c r="AO22" s="361"/>
      <c r="AP22" s="361"/>
      <c r="AQ22" s="361"/>
      <c r="AR22" s="361"/>
      <c r="AS22" s="361"/>
      <c r="AT22" s="361"/>
      <c r="AW22" s="360" t="str">
        <f>IF(OR($E22="",$E22=0),"",$E22)</f>
        <v>Recycling System Costs</v>
      </c>
      <c r="AX22" s="361"/>
      <c r="AY22" s="361"/>
      <c r="AZ22" s="361"/>
      <c r="BA22" s="361"/>
      <c r="BB22" s="361"/>
      <c r="BC22" s="361"/>
      <c r="BD22" s="361"/>
      <c r="BE22" s="361"/>
    </row>
    <row r="23" spans="1:57" x14ac:dyDescent="0.2">
      <c r="E23" s="42" t="str">
        <f>EvaluationSummary!G197</f>
        <v>Customer Engagement Costs</v>
      </c>
      <c r="F23" s="43"/>
      <c r="G23" s="43"/>
      <c r="H23" s="41"/>
      <c r="I23" s="327">
        <f>SUM(I24:I25)</f>
        <v>2657885.6028303648</v>
      </c>
      <c r="J23" s="327">
        <f>SUM(J24:J25)</f>
        <v>1060354.1940902695</v>
      </c>
      <c r="K23" s="327">
        <f>SUM(K24:K25)</f>
        <v>2367921.8440121179</v>
      </c>
      <c r="L23" s="48">
        <f>SUM(L24:L25)</f>
        <v>0</v>
      </c>
      <c r="M23" s="48">
        <f>SUM(I23:L23)</f>
        <v>6086161.6409327518</v>
      </c>
      <c r="O23" s="35"/>
      <c r="P23" s="363" t="str">
        <f>IF(OR($E23="",$E23=0),"",$E23)</f>
        <v>Customer Engagement Costs</v>
      </c>
      <c r="Q23" s="364"/>
      <c r="R23" s="364"/>
      <c r="S23" s="362"/>
      <c r="T23" s="369">
        <f>SUM(T24:T25)</f>
        <v>5442600.5649533868</v>
      </c>
      <c r="U23" s="369">
        <f>SUM(U24:U25)</f>
        <v>3043625.4348218981</v>
      </c>
      <c r="V23" s="369">
        <f>SUM(V24:V25)</f>
        <v>10021612.214397242</v>
      </c>
      <c r="W23" s="369">
        <f>SUM(W24:W25)</f>
        <v>0</v>
      </c>
      <c r="X23" s="369">
        <f>SUM(T23:W23)</f>
        <v>18507838.214172527</v>
      </c>
      <c r="AA23" s="363" t="str">
        <f>IF(OR($E23="",$E23=0),"",$E23)</f>
        <v>Customer Engagement Costs</v>
      </c>
      <c r="AB23" s="364"/>
      <c r="AC23" s="364"/>
      <c r="AD23" s="362"/>
      <c r="AE23" s="369">
        <f>SUM(AE24:AE25)</f>
        <v>5442600.5649533868</v>
      </c>
      <c r="AF23" s="369">
        <f>SUM(AF24:AF25)</f>
        <v>3043625.4348218981</v>
      </c>
      <c r="AG23" s="369">
        <f>SUM(AG24:AG25)</f>
        <v>10021612.214397242</v>
      </c>
      <c r="AH23" s="369">
        <f>SUM(AH24:AH25)</f>
        <v>0</v>
      </c>
      <c r="AI23" s="369">
        <f>SUM(AE23:AH23)</f>
        <v>18507838.214172527</v>
      </c>
      <c r="AL23" s="363" t="str">
        <f>IF(OR($E23="",$E23=0),"",$E23)</f>
        <v>Customer Engagement Costs</v>
      </c>
      <c r="AM23" s="364"/>
      <c r="AN23" s="364"/>
      <c r="AO23" s="362"/>
      <c r="AP23" s="369">
        <f>SUM(AP24:AP25)</f>
        <v>5442600.5649533868</v>
      </c>
      <c r="AQ23" s="369">
        <f>SUM(AQ24:AQ25)</f>
        <v>3043625.4348218981</v>
      </c>
      <c r="AR23" s="369">
        <f>SUM(AR24:AR25)</f>
        <v>10021612.214397242</v>
      </c>
      <c r="AS23" s="369">
        <f>SUM(AS24:AS25)</f>
        <v>0</v>
      </c>
      <c r="AT23" s="369">
        <f>SUM(AP23:AS23)</f>
        <v>18507838.214172527</v>
      </c>
      <c r="AW23" s="363" t="str">
        <f>IF(OR($E23="",$E23=0),"",$E23)</f>
        <v>Customer Engagement Costs</v>
      </c>
      <c r="AX23" s="364"/>
      <c r="AY23" s="364"/>
      <c r="AZ23" s="362"/>
      <c r="BA23" s="369">
        <f>SUM(BA24:BA25)</f>
        <v>5442600.5649533868</v>
      </c>
      <c r="BB23" s="369">
        <f>SUM(BB24:BB25)</f>
        <v>3043625.4348218981</v>
      </c>
      <c r="BC23" s="369">
        <f>SUM(BC24:BC25)</f>
        <v>10021612.214397242</v>
      </c>
      <c r="BD23" s="369">
        <f>SUM(BD24:BD25)</f>
        <v>0</v>
      </c>
      <c r="BE23" s="369">
        <f>SUM(BA23:BD23)</f>
        <v>18507838.214172527</v>
      </c>
    </row>
    <row r="24" spans="1:57" ht="13.5" customHeight="1" x14ac:dyDescent="0.2">
      <c r="E24" s="44"/>
      <c r="F24" s="44"/>
      <c r="G24" s="44" t="s">
        <v>1102</v>
      </c>
      <c r="H24" s="44"/>
      <c r="I24" s="49">
        <f>SUMIFS(CollectionCostTotal[Engagement],CollectionCostTotal[Scenario_ID],$E$11,CollectionCostTotal[Year],$C$3,CollectionCostTotal[GroupSector_ID],$C$2&amp;"-"&amp;I$11&amp;"-"&amp;$G$11)</f>
        <v>1113885.9848492085</v>
      </c>
      <c r="J24" s="328">
        <f>SUMIFS(CollectionCostTotal[Engagement],CollectionCostTotal[Scenario_ID],$E$11,CollectionCostTotal[Year],$C$3,CollectionCostTotal[GroupSector_ID],$C$2&amp;"-"&amp;J$11&amp;"-"&amp;$G$11)</f>
        <v>19832.712407316289</v>
      </c>
      <c r="K24" s="328">
        <f>SUMIFS(CollectionCostTotal[Engagement],CollectionCostTotal[Scenario_ID],$E$11,CollectionCostTotal[Year],$C$3,CollectionCostTotal[GroupSector_ID],$C$2&amp;"-"&amp;K$11&amp;"-"&amp;$G$11)</f>
        <v>76536.903703851247</v>
      </c>
      <c r="L24" s="328">
        <f>SUMIFS(CollectionCostTotal[Engagement],CollectionCostTotal[Scenario_ID],$E$11,CollectionCostTotal[Year],$C$3,CollectionCostTotal[GroupSector_ID],$C$2&amp;"-"&amp;L$11&amp;"-"&amp;$G$11)</f>
        <v>0</v>
      </c>
      <c r="M24" s="49">
        <f t="shared" ref="M24:M38" si="0">SUM(I24:L24)</f>
        <v>1210255.600960376</v>
      </c>
      <c r="O24" s="35"/>
      <c r="P24" s="365" t="str">
        <f>IF(OR($E24="",$E24=0),"",$E24)</f>
        <v/>
      </c>
      <c r="Q24" s="365" t="str">
        <f>IF(OR($F24="",$F24=0),"",$F24)</f>
        <v/>
      </c>
      <c r="R24" s="365" t="str">
        <f>IF(OR($G24="",$G24=0),"",$G24)</f>
        <v>Collection Engagement Labor and Expenses</v>
      </c>
      <c r="S24" s="365"/>
      <c r="T24" s="370">
        <f>SUMIFS(CollectionCostTotal[Engagement],CollectionCostTotal[Scenario_ID],$P$11,CollectionCostTotal[Year],$C$3,CollectionCostTotal[GroupSector_ID],$C$2&amp;"-"&amp;T$11&amp;"-"&amp;$R$11)</f>
        <v>3898600.94697223</v>
      </c>
      <c r="U24" s="370">
        <f>SUMIFS(CollectionCostTotal[Engagement],CollectionCostTotal[Scenario_ID],$P$11,CollectionCostTotal[Year],$C$3,CollectionCostTotal[GroupSector_ID],$C$2&amp;"-"&amp;U$11&amp;"-"&amp;$R$11)</f>
        <v>2003103.9531389452</v>
      </c>
      <c r="V24" s="370">
        <f>SUMIFS(CollectionCostTotal[Engagement],CollectionCostTotal[Scenario_ID],$P$11,CollectionCostTotal[Year],$C$3,CollectionCostTotal[GroupSector_ID],$C$2&amp;"-"&amp;V$11&amp;"-"&amp;$R$11)</f>
        <v>7730227.274088976</v>
      </c>
      <c r="W24" s="370">
        <f>SUMIFS(CollectionCostTotal[Engagement],CollectionCostTotal[Scenario_ID],$P$11,CollectionCostTotal[Year],$C$3,CollectionCostTotal[GroupSector_ID],$C$2&amp;"-"&amp;W$11&amp;"-"&amp;$R$11)</f>
        <v>0</v>
      </c>
      <c r="X24" s="370">
        <f t="shared" ref="X24:X27" si="1">SUM(T24:W24)</f>
        <v>13631932.174200151</v>
      </c>
      <c r="AA24" s="365" t="str">
        <f>IF(OR($E24="",$E24=0),"",$E24)</f>
        <v/>
      </c>
      <c r="AB24" s="365" t="str">
        <f>IF(OR($F24="",$F24=0),"",$F24)</f>
        <v/>
      </c>
      <c r="AC24" s="365" t="str">
        <f>IF(OR($G24="",$G24=0),"",$G24)</f>
        <v>Collection Engagement Labor and Expenses</v>
      </c>
      <c r="AD24" s="365"/>
      <c r="AE24" s="370">
        <f>SUMIFS(CollectionCostTotal[Engagement],CollectionCostTotal[Scenario_ID],$AA$11,CollectionCostTotal[Year],$C$3,CollectionCostTotal[GroupSector_ID],$C$2&amp;"-"&amp;AE$11&amp;"-"&amp;$AC$11)</f>
        <v>3898600.94697223</v>
      </c>
      <c r="AF24" s="370">
        <f>SUMIFS(CollectionCostTotal[Engagement],CollectionCostTotal[Scenario_ID],$AA$11,CollectionCostTotal[Year],$C$3,CollectionCostTotal[GroupSector_ID],$C$2&amp;"-"&amp;AF$11&amp;"-"&amp;$AC$11)</f>
        <v>2003103.9531389452</v>
      </c>
      <c r="AG24" s="370">
        <f>SUMIFS(CollectionCostTotal[Engagement],CollectionCostTotal[Scenario_ID],$AA$11,CollectionCostTotal[Year],$C$3,CollectionCostTotal[GroupSector_ID],$C$2&amp;"-"&amp;AG$11&amp;"-"&amp;$AC$11)</f>
        <v>7730227.274088976</v>
      </c>
      <c r="AH24" s="370">
        <f>SUMIFS(CollectionCostTotal[Engagement],CollectionCostTotal[Scenario_ID],$AA$11,CollectionCostTotal[Year],$C$3,CollectionCostTotal[GroupSector_ID],$C$2&amp;"-"&amp;AH$11&amp;"-"&amp;$AC$11)</f>
        <v>0</v>
      </c>
      <c r="AI24" s="370">
        <f t="shared" ref="AI24:AI27" si="2">SUM(AE24:AH24)</f>
        <v>13631932.174200151</v>
      </c>
      <c r="AL24" s="365" t="str">
        <f>IF(OR($E24="",$E24=0),"",$E24)</f>
        <v/>
      </c>
      <c r="AM24" s="365" t="str">
        <f>IF(OR($F24="",$F24=0),"",$F24)</f>
        <v/>
      </c>
      <c r="AN24" s="365" t="str">
        <f>IF(OR($G24="",$G24=0),"",$G24)</f>
        <v>Collection Engagement Labor and Expenses</v>
      </c>
      <c r="AO24" s="365"/>
      <c r="AP24" s="370">
        <f>SUMIFS(CollectionCostTotal[Engagement],CollectionCostTotal[Scenario_ID],$AL$11,CollectionCostTotal[Year],$C$3,CollectionCostTotal[GroupSector_ID],$C$2&amp;"-"&amp;AP$11&amp;"-"&amp;$AN$11)</f>
        <v>3898600.94697223</v>
      </c>
      <c r="AQ24" s="370">
        <f>SUMIFS(CollectionCostTotal[Engagement],CollectionCostTotal[Scenario_ID],$AL$11,CollectionCostTotal[Year],$C$3,CollectionCostTotal[GroupSector_ID],$C$2&amp;"-"&amp;AQ$11&amp;"-"&amp;$AN$11)</f>
        <v>2003103.9531389452</v>
      </c>
      <c r="AR24" s="370">
        <f>SUMIFS(CollectionCostTotal[Engagement],CollectionCostTotal[Scenario_ID],$AL$11,CollectionCostTotal[Year],$C$3,CollectionCostTotal[GroupSector_ID],$C$2&amp;"-"&amp;AR$11&amp;"-"&amp;$AN$11)</f>
        <v>7730227.274088976</v>
      </c>
      <c r="AS24" s="370">
        <f>SUMIFS(CollectionCostTotal[Engagement],CollectionCostTotal[Scenario_ID],$AL$11,CollectionCostTotal[Year],$C$3,CollectionCostTotal[GroupSector_ID],$C$2&amp;"-"&amp;AS$11&amp;"-"&amp;$AN$11)</f>
        <v>0</v>
      </c>
      <c r="AT24" s="370">
        <f t="shared" ref="AT24:AT27" si="3">SUM(AP24:AS24)</f>
        <v>13631932.174200151</v>
      </c>
      <c r="AW24" s="365" t="str">
        <f>IF(OR($E24="",$E24=0),"",$E24)</f>
        <v/>
      </c>
      <c r="AX24" s="365" t="str">
        <f>IF(OR($F24="",$F24=0),"",$F24)</f>
        <v/>
      </c>
      <c r="AY24" s="365" t="str">
        <f>IF(OR($G24="",$G24=0),"",$G24)</f>
        <v>Collection Engagement Labor and Expenses</v>
      </c>
      <c r="AZ24" s="365"/>
      <c r="BA24" s="370">
        <f>SUMIFS(CollectionCostTotal[Engagement],CollectionCostTotal[Scenario_ID],$AW$11,CollectionCostTotal[Year],$C$3,CollectionCostTotal[GroupSector_ID],$C$2&amp;"-"&amp;BA$11&amp;"-"&amp;$AY$11)</f>
        <v>3898600.94697223</v>
      </c>
      <c r="BB24" s="370">
        <f>SUMIFS(CollectionCostTotal[Engagement],CollectionCostTotal[Scenario_ID],$AW$11,CollectionCostTotal[Year],$C$3,CollectionCostTotal[GroupSector_ID],$C$2&amp;"-"&amp;BB$11&amp;"-"&amp;$AY$11)</f>
        <v>2003103.9531389452</v>
      </c>
      <c r="BC24" s="370">
        <f>SUMIFS(CollectionCostTotal[Engagement],CollectionCostTotal[Scenario_ID],$AW$11,CollectionCostTotal[Year],$C$3,CollectionCostTotal[GroupSector_ID],$C$2&amp;"-"&amp;BC$11&amp;"-"&amp;$AY$11)</f>
        <v>7730227.274088976</v>
      </c>
      <c r="BD24" s="370">
        <f>SUMIFS(CollectionCostTotal[Engagement],CollectionCostTotal[Scenario_ID],$AW$11,CollectionCostTotal[Year],$C$3,CollectionCostTotal[GroupSector_ID],$C$2&amp;"-"&amp;BD$11&amp;"-"&amp;$AY$11)</f>
        <v>0</v>
      </c>
      <c r="BE24" s="370">
        <f>SUM(BA24:BD24)</f>
        <v>13631932.174200151</v>
      </c>
    </row>
    <row r="25" spans="1:57" s="318" customFormat="1" ht="13.5" customHeight="1" x14ac:dyDescent="0.2">
      <c r="A25" s="353"/>
      <c r="D25" s="521"/>
      <c r="E25" s="326"/>
      <c r="F25" s="326"/>
      <c r="G25" s="326" t="s">
        <v>1103</v>
      </c>
      <c r="H25" s="326"/>
      <c r="I25" s="370">
        <f>SUMIFS(LGengagement2025[Expenses_Spending],LGengagement2025[GroupSector_ID],$C$2&amp;"-"&amp;I$11)</f>
        <v>1543999.6179811563</v>
      </c>
      <c r="J25" s="328">
        <f>SUMIFS(LGengagement2025[Expenses_Spending],LGengagement2025[GroupSector_ID],$C$2&amp;"-"&amp;J$11)</f>
        <v>1040521.4816829532</v>
      </c>
      <c r="K25" s="328">
        <f>SUMIFS(LGengagement2025[Expenses_Spending],LGengagement2025[GroupSector_ID],$C$2&amp;"-"&amp;K$11)</f>
        <v>2291384.9403082668</v>
      </c>
      <c r="L25" s="328">
        <f>SUMIFS(LGengagement2025[Expenses_Spending],LGengagement2025[GroupSector_ID],$C$2&amp;"-"&amp;L$11)</f>
        <v>0</v>
      </c>
      <c r="M25" s="328">
        <f t="shared" si="0"/>
        <v>4875906.0399723761</v>
      </c>
      <c r="N25"/>
      <c r="P25" s="365" t="str">
        <f>IF(OR($E25="",$E25=0),"",$E25)</f>
        <v/>
      </c>
      <c r="Q25" s="365" t="str">
        <f>IF(OR($F25="",$F25=0),"",$F25)</f>
        <v/>
      </c>
      <c r="R25" s="365" t="str">
        <f>IF(OR($G25="",$G25=0),"",$G25)</f>
        <v>Local Government Engagement Labor and Expenses</v>
      </c>
      <c r="S25" s="365"/>
      <c r="T25" s="370">
        <f>SUMIFS(LGengagement2025[Expenses_Spending],LGengagement2025[GroupSector_ID],$C$2&amp;"-"&amp;T$11)</f>
        <v>1543999.6179811563</v>
      </c>
      <c r="U25" s="370">
        <f>SUMIFS(LGengagement2025[Expenses_Spending],LGengagement2025[GroupSector_ID],$C$2&amp;"-"&amp;U$11)</f>
        <v>1040521.4816829532</v>
      </c>
      <c r="V25" s="370">
        <f>SUMIFS(LGengagement2025[Expenses_Spending],LGengagement2025[GroupSector_ID],$C$2&amp;"-"&amp;V$11)</f>
        <v>2291384.9403082668</v>
      </c>
      <c r="W25" s="370">
        <f>SUMIFS(LGengagement2025[Expenses_Spending],LGengagement2025[GroupSector_ID],$C$2&amp;"-"&amp;W$11)</f>
        <v>0</v>
      </c>
      <c r="X25" s="370">
        <f t="shared" si="1"/>
        <v>4875906.0399723761</v>
      </c>
      <c r="Y25" s="521"/>
      <c r="AA25" s="365" t="str">
        <f>IF(OR($E25="",$E25=0),"",$E25)</f>
        <v/>
      </c>
      <c r="AB25" s="365" t="str">
        <f>IF(OR($F25="",$F25=0),"",$F25)</f>
        <v/>
      </c>
      <c r="AC25" s="365" t="str">
        <f>IF(OR($G25="",$G25=0),"",$G25)</f>
        <v>Local Government Engagement Labor and Expenses</v>
      </c>
      <c r="AD25" s="365"/>
      <c r="AE25" s="370">
        <f>SUMIFS(LGengagement2025[Expenses_Spending],LGengagement2025[GroupSector_ID],$C$2&amp;"-"&amp;AE$11)</f>
        <v>1543999.6179811563</v>
      </c>
      <c r="AF25" s="370">
        <f>SUMIFS(LGengagement2025[Expenses_Spending],LGengagement2025[GroupSector_ID],$C$2&amp;"-"&amp;AF$11)</f>
        <v>1040521.4816829532</v>
      </c>
      <c r="AG25" s="370">
        <f>SUMIFS(LGengagement2025[Expenses_Spending],LGengagement2025[GroupSector_ID],$C$2&amp;"-"&amp;AG$11)</f>
        <v>2291384.9403082668</v>
      </c>
      <c r="AH25" s="370">
        <f>SUMIFS(LGengagement2025[Expenses_Spending],LGengagement2025[GroupSector_ID],$C$2&amp;"-"&amp;AH$11)</f>
        <v>0</v>
      </c>
      <c r="AI25" s="370">
        <f t="shared" si="2"/>
        <v>4875906.0399723761</v>
      </c>
      <c r="AJ25" s="521"/>
      <c r="AL25" s="365" t="str">
        <f>IF(OR($E25="",$E25=0),"",$E25)</f>
        <v/>
      </c>
      <c r="AM25" s="365" t="str">
        <f>IF(OR($F25="",$F25=0),"",$F25)</f>
        <v/>
      </c>
      <c r="AN25" s="365" t="str">
        <f>IF(OR($G25="",$G25=0),"",$G25)</f>
        <v>Local Government Engagement Labor and Expenses</v>
      </c>
      <c r="AO25" s="365"/>
      <c r="AP25" s="370">
        <f>SUMIFS(LGengagement2025[Expenses_Spending],LGengagement2025[GroupSector_ID],$C$2&amp;"-"&amp;AP$11)</f>
        <v>1543999.6179811563</v>
      </c>
      <c r="AQ25" s="370">
        <f>SUMIFS(LGengagement2025[Expenses_Spending],LGengagement2025[GroupSector_ID],$C$2&amp;"-"&amp;AQ$11)</f>
        <v>1040521.4816829532</v>
      </c>
      <c r="AR25" s="370">
        <f>SUMIFS(LGengagement2025[Expenses_Spending],LGengagement2025[GroupSector_ID],$C$2&amp;"-"&amp;AR$11)</f>
        <v>2291384.9403082668</v>
      </c>
      <c r="AS25" s="370">
        <f>SUMIFS(LGengagement2025[Expenses_Spending],LGengagement2025[GroupSector_ID],$C$2&amp;"-"&amp;AS$11)</f>
        <v>0</v>
      </c>
      <c r="AT25" s="370">
        <f t="shared" si="3"/>
        <v>4875906.0399723761</v>
      </c>
      <c r="AU25" s="521"/>
      <c r="AW25" s="365" t="str">
        <f>IF(OR($E25="",$E25=0),"",$E25)</f>
        <v/>
      </c>
      <c r="AX25" s="365" t="str">
        <f>IF(OR($F25="",$F25=0),"",$F25)</f>
        <v/>
      </c>
      <c r="AY25" s="365" t="str">
        <f>IF(OR($G25="",$G25=0),"",$G25)</f>
        <v>Local Government Engagement Labor and Expenses</v>
      </c>
      <c r="AZ25" s="365"/>
      <c r="BA25" s="370">
        <f>SUMIFS(LGengagement2025[Expenses_Spending],LGengagement2025[GroupSector_ID],$C$2&amp;"-"&amp;BA$11)</f>
        <v>1543999.6179811563</v>
      </c>
      <c r="BB25" s="370">
        <f>SUMIFS(LGengagement2025[Expenses_Spending],LGengagement2025[GroupSector_ID],$C$2&amp;"-"&amp;BB$11)</f>
        <v>1040521.4816829532</v>
      </c>
      <c r="BC25" s="370">
        <f>SUMIFS(LGengagement2025[Expenses_Spending],LGengagement2025[GroupSector_ID],$C$2&amp;"-"&amp;BC$11)</f>
        <v>2291384.9403082668</v>
      </c>
      <c r="BD25" s="370">
        <f>SUMIFS(LGengagement2025[Expenses_Spending],LGengagement2025[GroupSector_ID],$C$2&amp;"-"&amp;BD$11)</f>
        <v>0</v>
      </c>
      <c r="BE25" s="370">
        <f t="shared" ref="BE25:BE27" si="4">SUM(BA25:BD25)</f>
        <v>4875906.0399723761</v>
      </c>
    </row>
    <row r="26" spans="1:57" x14ac:dyDescent="0.2">
      <c r="E26" s="42" t="str">
        <f>EvaluationSummary!G201</f>
        <v>Collection</v>
      </c>
      <c r="F26" s="43"/>
      <c r="G26" s="43"/>
      <c r="H26" s="43"/>
      <c r="I26" s="48">
        <f>SUM(I27,I32)</f>
        <v>93137180.847220868</v>
      </c>
      <c r="J26" s="48">
        <f t="shared" ref="J26:L26" si="5">SUM(J27,J32)</f>
        <v>16974784.343920492</v>
      </c>
      <c r="K26" s="48">
        <f t="shared" si="5"/>
        <v>68939477.84981662</v>
      </c>
      <c r="L26" s="48">
        <f t="shared" si="5"/>
        <v>13687440.996832704</v>
      </c>
      <c r="M26" s="48">
        <f t="shared" si="0"/>
        <v>192738884.03779069</v>
      </c>
      <c r="O26" s="35"/>
      <c r="P26" s="363" t="str">
        <f>IF(OR($E26="",$E26=0),"",$E26)</f>
        <v>Collection</v>
      </c>
      <c r="Q26" s="364"/>
      <c r="R26" s="364"/>
      <c r="S26" s="364"/>
      <c r="T26" s="369">
        <f>SUM(T27,T32)</f>
        <v>93137180.847220868</v>
      </c>
      <c r="U26" s="369">
        <f t="shared" ref="U26:W26" si="6">SUM(U27,U32)</f>
        <v>16974784.343920492</v>
      </c>
      <c r="V26" s="369">
        <f t="shared" si="6"/>
        <v>68939477.84981662</v>
      </c>
      <c r="W26" s="369">
        <f t="shared" si="6"/>
        <v>15985908.845048893</v>
      </c>
      <c r="X26" s="369">
        <f t="shared" si="1"/>
        <v>195037351.88600689</v>
      </c>
      <c r="AA26" s="363" t="str">
        <f>IF(OR($E26="",$E26=0),"",$E26)</f>
        <v>Collection</v>
      </c>
      <c r="AB26" s="364"/>
      <c r="AC26" s="364"/>
      <c r="AD26" s="364"/>
      <c r="AE26" s="369">
        <f>SUM(AE27,AE32)</f>
        <v>93137180.847220868</v>
      </c>
      <c r="AF26" s="369">
        <f t="shared" ref="AF26:AH26" si="7">SUM(AF27,AF32)</f>
        <v>16974784.343920492</v>
      </c>
      <c r="AG26" s="369">
        <f t="shared" si="7"/>
        <v>68939477.84981662</v>
      </c>
      <c r="AH26" s="369">
        <f t="shared" si="7"/>
        <v>18462164.637994688</v>
      </c>
      <c r="AI26" s="369">
        <f t="shared" si="2"/>
        <v>197513607.67895266</v>
      </c>
      <c r="AL26" s="363" t="str">
        <f>IF(OR($E26="",$E26=0),"",$E26)</f>
        <v>Collection</v>
      </c>
      <c r="AM26" s="364"/>
      <c r="AN26" s="364"/>
      <c r="AO26" s="364"/>
      <c r="AP26" s="369">
        <f>SUM(AP27,AP32)</f>
        <v>93137180.847220868</v>
      </c>
      <c r="AQ26" s="369">
        <f t="shared" ref="AQ26:AS26" si="8">SUM(AQ27,AQ32)</f>
        <v>16974784.343920492</v>
      </c>
      <c r="AR26" s="369">
        <f t="shared" si="8"/>
        <v>68939477.84981662</v>
      </c>
      <c r="AS26" s="369">
        <f t="shared" si="8"/>
        <v>18462164.637994688</v>
      </c>
      <c r="AT26" s="369">
        <f t="shared" si="3"/>
        <v>197513607.67895266</v>
      </c>
      <c r="AW26" s="363" t="str">
        <f>IF(OR($E26="",$E26=0),"",$E26)</f>
        <v>Collection</v>
      </c>
      <c r="AX26" s="364"/>
      <c r="AY26" s="364"/>
      <c r="AZ26" s="364"/>
      <c r="BA26" s="369">
        <f>SUM(BA27,BA32)</f>
        <v>129928624.85847157</v>
      </c>
      <c r="BB26" s="369">
        <f t="shared" ref="BB26:BD26" si="9">SUM(BB27,BB32)</f>
        <v>18395658.992386863</v>
      </c>
      <c r="BC26" s="369">
        <f t="shared" si="9"/>
        <v>74332399.412392527</v>
      </c>
      <c r="BD26" s="369">
        <f t="shared" si="9"/>
        <v>18404716.742092036</v>
      </c>
      <c r="BE26" s="369">
        <f>SUM(BA26:BD26)</f>
        <v>241061400.00534302</v>
      </c>
    </row>
    <row r="27" spans="1:57" x14ac:dyDescent="0.2">
      <c r="E27" s="46"/>
      <c r="F27" s="46" t="s">
        <v>28</v>
      </c>
      <c r="G27" s="46"/>
      <c r="H27" s="46"/>
      <c r="I27" s="50">
        <f>SUM(I28:I31)</f>
        <v>67354018.184362128</v>
      </c>
      <c r="J27" s="329">
        <f t="shared" ref="J27:L27" si="10">SUM(J28:J31)</f>
        <v>11861691.969829375</v>
      </c>
      <c r="K27" s="329">
        <f t="shared" si="10"/>
        <v>47989590.274163797</v>
      </c>
      <c r="L27" s="329">
        <f t="shared" si="10"/>
        <v>12750521.190407678</v>
      </c>
      <c r="M27" s="50">
        <f t="shared" si="0"/>
        <v>139955821.61876297</v>
      </c>
      <c r="O27" s="35"/>
      <c r="P27" s="367"/>
      <c r="Q27" s="367" t="str">
        <f>IF(OR($F27="",$F27=0),"",$F27)</f>
        <v>Direct Collection Costs</v>
      </c>
      <c r="R27" s="367"/>
      <c r="S27" s="367"/>
      <c r="T27" s="371">
        <f>SUM(T28:T31)</f>
        <v>67354018.184362128</v>
      </c>
      <c r="U27" s="371">
        <f t="shared" ref="U27" si="11">SUM(U28:U31)</f>
        <v>11861691.969829375</v>
      </c>
      <c r="V27" s="371">
        <f t="shared" ref="V27" si="12">SUM(V28:V31)</f>
        <v>47989590.274163797</v>
      </c>
      <c r="W27" s="371">
        <f t="shared" ref="W27" si="13">SUM(W28:W31)</f>
        <v>15059184.780530851</v>
      </c>
      <c r="X27" s="371">
        <f t="shared" si="1"/>
        <v>142264485.20888615</v>
      </c>
      <c r="AA27" s="367"/>
      <c r="AB27" s="367" t="str">
        <f>IF(OR($F27="",$F27=0),"",$F27)</f>
        <v>Direct Collection Costs</v>
      </c>
      <c r="AC27" s="367"/>
      <c r="AD27" s="367"/>
      <c r="AE27" s="371">
        <f>SUM(AE28:AE31)</f>
        <v>67354018.184362128</v>
      </c>
      <c r="AF27" s="371">
        <f t="shared" ref="AF27" si="14">SUM(AF28:AF31)</f>
        <v>11861691.969829375</v>
      </c>
      <c r="AG27" s="371">
        <f t="shared" ref="AG27" si="15">SUM(AG28:AG31)</f>
        <v>47989590.274163797</v>
      </c>
      <c r="AH27" s="371">
        <f t="shared" ref="AH27" si="16">SUM(AH28:AH31)</f>
        <v>17461782.352752879</v>
      </c>
      <c r="AI27" s="371">
        <f t="shared" si="2"/>
        <v>144667082.7811082</v>
      </c>
      <c r="AL27" s="367"/>
      <c r="AM27" s="367" t="str">
        <f>IF(OR($F27="",$F27=0),"",$F27)</f>
        <v>Direct Collection Costs</v>
      </c>
      <c r="AN27" s="367"/>
      <c r="AO27" s="367"/>
      <c r="AP27" s="371">
        <f>SUM(AP28:AP31)</f>
        <v>67354018.184362128</v>
      </c>
      <c r="AQ27" s="371">
        <f t="shared" ref="AQ27" si="17">SUM(AQ28:AQ31)</f>
        <v>11861691.969829375</v>
      </c>
      <c r="AR27" s="371">
        <f t="shared" ref="AR27" si="18">SUM(AR28:AR31)</f>
        <v>47989590.274163797</v>
      </c>
      <c r="AS27" s="371">
        <f t="shared" ref="AS27" si="19">SUM(AS28:AS31)</f>
        <v>17461782.352752879</v>
      </c>
      <c r="AT27" s="371">
        <f t="shared" si="3"/>
        <v>144667082.7811082</v>
      </c>
      <c r="AW27" s="367"/>
      <c r="AX27" s="367" t="str">
        <f>IF(OR($F27="",$F27=0),"",$F27)</f>
        <v>Direct Collection Costs</v>
      </c>
      <c r="AY27" s="367"/>
      <c r="AZ27" s="367"/>
      <c r="BA27" s="371">
        <f>SUM(BA28:BA31)</f>
        <v>98387116.998233795</v>
      </c>
      <c r="BB27" s="371">
        <f t="shared" ref="BB27" si="20">SUM(BB28:BB31)</f>
        <v>13068833.335950764</v>
      </c>
      <c r="BC27" s="371">
        <f t="shared" ref="BC27" si="21">SUM(BC28:BC31)</f>
        <v>52571188.143723771</v>
      </c>
      <c r="BD27" s="371">
        <f t="shared" ref="BD27" si="22">SUM(BD28:BD31)</f>
        <v>17411432.814947605</v>
      </c>
      <c r="BE27" s="371">
        <f t="shared" si="4"/>
        <v>181438571.29285592</v>
      </c>
    </row>
    <row r="28" spans="1:57" x14ac:dyDescent="0.2">
      <c r="E28" s="44"/>
      <c r="F28" s="44"/>
      <c r="G28" s="44" t="s">
        <v>1053</v>
      </c>
      <c r="H28" s="44"/>
      <c r="I28" s="49">
        <f>SUMIFS(CollectionCostTotal[Annual_Container_Cost],CollectionCostTotal[Scenario_ID],$E$11,CollectionCostTotal[Year],$C$3,CollectionCostTotal[GroupSector_ID],$C$2&amp;"-"&amp;I$11&amp;"-"&amp;$G$11)</f>
        <v>2315464.5455158032</v>
      </c>
      <c r="J28" s="328">
        <f>SUMIFS(CollectionCostTotal[Annual_Container_Cost],CollectionCostTotal[Scenario_ID],$E$11,CollectionCostTotal[Year],$C$3,CollectionCostTotal[GroupSector_ID],$C$2&amp;"-"&amp;J$11&amp;"-"&amp;$G$11)</f>
        <v>210715.24300514092</v>
      </c>
      <c r="K28" s="328">
        <f>SUMIFS(CollectionCostTotal[Annual_Container_Cost],CollectionCostTotal[Scenario_ID],$E$11,CollectionCostTotal[Year],$C$3,CollectionCostTotal[GroupSector_ID],$C$2&amp;"-"&amp;K$11&amp;"-"&amp;$G$11)</f>
        <v>898452.37036524958</v>
      </c>
      <c r="L28" s="328">
        <f>SUMIFS(DepotCostAllocations2025[Total_Depot_Capital_Cost],DepotCostAllocations2025[Scenario_ID],$E$11,DepotCostAllocations2025[Collection_ID],$C2&amp;"-"&amp;L$11)</f>
        <v>738235.41903151805</v>
      </c>
      <c r="M28" s="49">
        <f>SUM(I28:L28)</f>
        <v>4162867.5779177118</v>
      </c>
      <c r="O28" s="35"/>
      <c r="P28" s="365"/>
      <c r="Q28" s="365"/>
      <c r="R28" s="365" t="str">
        <f>IF(OR($G28="",$G28=0),"",$G28)</f>
        <v>Collection Capital - Containers</v>
      </c>
      <c r="S28" s="365"/>
      <c r="T28" s="370">
        <f>SUMIFS(CollectionCostTotal[Annual_Container_Cost],CollectionCostTotal[Scenario_ID],$P$11,CollectionCostTotal[Year],$C$3,CollectionCostTotal[GroupSector_ID],$C$2&amp;"-"&amp;T$11&amp;"-"&amp;$R$11)</f>
        <v>2315464.5455158032</v>
      </c>
      <c r="U28" s="370">
        <f>SUMIFS(CollectionCostTotal[Annual_Container_Cost],CollectionCostTotal[Scenario_ID],$P$11,CollectionCostTotal[Year],$C$3,CollectionCostTotal[GroupSector_ID],$C$2&amp;"-"&amp;U$11&amp;"-"&amp;$R$11)</f>
        <v>210715.24300514092</v>
      </c>
      <c r="V28" s="370">
        <f>SUMIFS(CollectionCostTotal[Annual_Container_Cost],CollectionCostTotal[Scenario_ID],$P$11,CollectionCostTotal[Year],$C$3,CollectionCostTotal[GroupSector_ID],$C$2&amp;"-"&amp;V$11&amp;"-"&amp;$R$11)</f>
        <v>898452.37036524958</v>
      </c>
      <c r="W28" s="370">
        <f>SUMIFS(DepotCostAllocations2025[Total_Depot_Capital_Cost],DepotCostAllocations2025[Scenario_ID],$P$11,DepotCostAllocations2025[Collection_ID],C$2&amp;"-"&amp;W$11)</f>
        <v>732212.9872936426</v>
      </c>
      <c r="X28" s="370">
        <f>SUM(T28:W28)</f>
        <v>4156845.1461798362</v>
      </c>
      <c r="AA28" s="365"/>
      <c r="AB28" s="365"/>
      <c r="AC28" s="365" t="str">
        <f>IF(OR($G28="",$G28=0),"",$G28)</f>
        <v>Collection Capital - Containers</v>
      </c>
      <c r="AD28" s="365"/>
      <c r="AE28" s="370">
        <f>SUMIFS(CollectionCostTotal[Annual_Container_Cost],CollectionCostTotal[Scenario_ID],$AA$11,CollectionCostTotal[Year],$C$3,CollectionCostTotal[GroupSector_ID],$C$2&amp;"-"&amp;AE$11&amp;"-"&amp;$AC$11)</f>
        <v>2315464.5455158032</v>
      </c>
      <c r="AF28" s="370">
        <f>SUMIFS(CollectionCostTotal[Annual_Container_Cost],CollectionCostTotal[Scenario_ID],$AA$11,CollectionCostTotal[Year],$C$3,CollectionCostTotal[GroupSector_ID],$C$2&amp;"-"&amp;AF$11&amp;"-"&amp;$AC$11)</f>
        <v>210715.24300514092</v>
      </c>
      <c r="AG28" s="370">
        <f>SUMIFS(CollectionCostTotal[Annual_Container_Cost],CollectionCostTotal[Scenario_ID],$AA$11,CollectionCostTotal[Year],$C$3,CollectionCostTotal[GroupSector_ID],$C$2&amp;"-"&amp;AG$11&amp;"-"&amp;$AC$11)</f>
        <v>898452.37036524958</v>
      </c>
      <c r="AH28" s="370">
        <f>SUMIFS(DepotCostAllocations2025[Total_Depot_Capital_Cost],DepotCostAllocations2025[Scenario_ID],$AA$11,DepotCostAllocations2025[Collection_ID],$C$2&amp;"-"&amp;AH$11)</f>
        <v>1582513.8630805477</v>
      </c>
      <c r="AI28" s="370">
        <f>SUM(AE28:AH28)</f>
        <v>5007146.0219667414</v>
      </c>
      <c r="AL28" s="365"/>
      <c r="AM28" s="365"/>
      <c r="AN28" s="365" t="str">
        <f>IF(OR($G28="",$G28=0),"",$G28)</f>
        <v>Collection Capital - Containers</v>
      </c>
      <c r="AO28" s="365"/>
      <c r="AP28" s="370">
        <f>SUMIFS(CollectionCostTotal[Annual_Container_Cost],CollectionCostTotal[Scenario_ID],$AL$11,CollectionCostTotal[Year],$C$3,CollectionCostTotal[GroupSector_ID],$C$2&amp;"-"&amp;AP$11&amp;"-"&amp;$AN$11)</f>
        <v>2315464.5455158032</v>
      </c>
      <c r="AQ28" s="370">
        <f>SUMIFS(CollectionCostTotal[Annual_Container_Cost],CollectionCostTotal[Scenario_ID],$AL$11,CollectionCostTotal[Year],$C$3,CollectionCostTotal[GroupSector_ID],$C$2&amp;"-"&amp;AQ$11&amp;"-"&amp;$AN$11)</f>
        <v>210715.24300514092</v>
      </c>
      <c r="AR28" s="370">
        <f>SUMIFS(CollectionCostTotal[Annual_Container_Cost],CollectionCostTotal[Scenario_ID],$AL$11,CollectionCostTotal[Year],$C$3,CollectionCostTotal[GroupSector_ID],$C$2&amp;"-"&amp;AR$11&amp;"-"&amp;$AN$11)</f>
        <v>898452.37036524958</v>
      </c>
      <c r="AS28" s="370">
        <f>SUMIFS(DepotCostAllocations2025[Total_Depot_Capital_Cost],DepotCostAllocations2025[Scenario_ID],$AL$11,DepotCostAllocations2025[Collection_ID],$C$2&amp;"-"&amp;AS$11)</f>
        <v>1582513.8630805477</v>
      </c>
      <c r="AT28" s="370">
        <f>SUM(AP28:AS28)</f>
        <v>5007146.0219667414</v>
      </c>
      <c r="AW28" s="365"/>
      <c r="AX28" s="365"/>
      <c r="AY28" s="365" t="str">
        <f>IF(OR($G28="",$G28=0),"",$G28)</f>
        <v>Collection Capital - Containers</v>
      </c>
      <c r="AZ28" s="365"/>
      <c r="BA28" s="370">
        <f>SUMIFS(CollectionCostTotal[Annual_Container_Cost],CollectionCostTotal[Scenario_ID],$AW$11,CollectionCostTotal[Year],$C$3,CollectionCostTotal[GroupSector_ID],$C$2&amp;"-"&amp;BA$11&amp;"-"&amp;$AY$11)</f>
        <v>8776080.8940685466</v>
      </c>
      <c r="BB28" s="370">
        <f>SUMIFS(CollectionCostTotal[Annual_Container_Cost],CollectionCostTotal[Scenario_ID],$AW$11,CollectionCostTotal[Year],$C$3,CollectionCostTotal[GroupSector_ID],$C$2&amp;"-"&amp;BB$11&amp;"-"&amp;$AY$11)</f>
        <v>1417699.7828704633</v>
      </c>
      <c r="BC28" s="370">
        <f>SUMIFS(CollectionCostTotal[Annual_Container_Cost],CollectionCostTotal[Scenario_ID],$AW$11,CollectionCostTotal[Year],$C$3,CollectionCostTotal[GroupSector_ID],$C$2&amp;"-"&amp;BC$11&amp;"-"&amp;$AY$11)</f>
        <v>5472721.8202585652</v>
      </c>
      <c r="BD28" s="370">
        <f>SUMIFS(DepotCostAllocations2025[Total_Depot_Capital_Cost],DepotCostAllocations2025[Scenario_ID],$AW$11,DepotCostAllocations2025[Collection_ID],$C$2&amp;"-"&amp;BD$11)</f>
        <v>1577269.5595530765</v>
      </c>
      <c r="BE28" s="370">
        <f>SUM(BA28:BD28)</f>
        <v>17243772.056750651</v>
      </c>
    </row>
    <row r="29" spans="1:57" s="35" customFormat="1" x14ac:dyDescent="0.2">
      <c r="A29" s="353"/>
      <c r="D29" s="521"/>
      <c r="E29" s="44"/>
      <c r="F29" s="44"/>
      <c r="G29" s="44" t="s">
        <v>1054</v>
      </c>
      <c r="H29" s="44"/>
      <c r="I29" s="49">
        <f>SUMIFS(CollectionCostTotal[Annual_Truck_Cost],CollectionCostTotal[Scenario_ID],$E$11,CollectionCostTotal[Year],$C$3,CollectionCostTotal[GroupSector_ID],$C$2&amp;"-"&amp;I$11&amp;"-"&amp;$G$11)</f>
        <v>9120483.6885215957</v>
      </c>
      <c r="J29" s="328">
        <f>SUMIFS(CollectionCostTotal[Annual_Truck_Cost],CollectionCostTotal[Scenario_ID],$E$11,CollectionCostTotal[Year],$C$3,CollectionCostTotal[GroupSector_ID],$C$2&amp;"-"&amp;J$11&amp;"-"&amp;$G$11)</f>
        <v>1011531.5199624496</v>
      </c>
      <c r="K29" s="328">
        <f>SUMIFS(CollectionCostTotal[Annual_Truck_Cost],CollectionCostTotal[Scenario_ID],$E$11,CollectionCostTotal[Year],$C$3,CollectionCostTotal[GroupSector_ID],$C$2&amp;"-"&amp;K$11&amp;"-"&amp;$G$11)</f>
        <v>4438434.8180920612</v>
      </c>
      <c r="L29" s="346" t="s">
        <v>722</v>
      </c>
      <c r="M29" s="49">
        <f t="shared" ref="M29:M31" si="23">SUM(I29:L29)</f>
        <v>14570450.026576107</v>
      </c>
      <c r="N29"/>
      <c r="P29" s="365"/>
      <c r="Q29" s="365"/>
      <c r="R29" s="365" t="str">
        <f>IF(OR($G29="",$G29=0),"",$G29)</f>
        <v>Collection Capital - Trucks</v>
      </c>
      <c r="S29" s="365"/>
      <c r="T29" s="370">
        <f>SUMIFS(CollectionCostTotal[Annual_Truck_Cost],CollectionCostTotal[Scenario_ID],$P$11,CollectionCostTotal[Year],$C$3,CollectionCostTotal[GroupSector_ID],$C$2&amp;"-"&amp;T$11&amp;"-"&amp;$R$11)</f>
        <v>9120483.6885215957</v>
      </c>
      <c r="U29" s="370">
        <f>SUMIFS(CollectionCostTotal[Annual_Truck_Cost],CollectionCostTotal[Scenario_ID],$P$11,CollectionCostTotal[Year],$C$3,CollectionCostTotal[GroupSector_ID],$C$2&amp;"-"&amp;U$11&amp;"-"&amp;$R$11)</f>
        <v>1011531.5199624496</v>
      </c>
      <c r="V29" s="370">
        <f>SUMIFS(CollectionCostTotal[Annual_Truck_Cost],CollectionCostTotal[Scenario_ID],$P$11,CollectionCostTotal[Year],$C$3,CollectionCostTotal[GroupSector_ID],$C$2&amp;"-"&amp;V$11&amp;"-"&amp;$R$11)</f>
        <v>4438434.8180920612</v>
      </c>
      <c r="W29" s="346" t="s">
        <v>722</v>
      </c>
      <c r="X29" s="370">
        <f t="shared" ref="X29:X32" si="24">SUM(T29:W29)</f>
        <v>14570450.026576107</v>
      </c>
      <c r="Y29" s="521"/>
      <c r="AA29" s="365"/>
      <c r="AB29" s="365"/>
      <c r="AC29" s="365" t="str">
        <f>IF(OR($G29="",$G29=0),"",$G29)</f>
        <v>Collection Capital - Trucks</v>
      </c>
      <c r="AD29" s="365"/>
      <c r="AE29" s="370">
        <f>SUMIFS(CollectionCostTotal[Annual_Truck_Cost],CollectionCostTotal[Scenario_ID],$AA$11,CollectionCostTotal[Year],$C$3,CollectionCostTotal[GroupSector_ID],$C$2&amp;"-"&amp;AE$11&amp;"-"&amp;$AC$11)</f>
        <v>9120483.6885215957</v>
      </c>
      <c r="AF29" s="370">
        <f>SUMIFS(CollectionCostTotal[Annual_Truck_Cost],CollectionCostTotal[Scenario_ID],$AA$11,CollectionCostTotal[Year],$C$3,CollectionCostTotal[GroupSector_ID],$C$2&amp;"-"&amp;AF$11&amp;"-"&amp;$AC$11)</f>
        <v>1011531.5199624496</v>
      </c>
      <c r="AG29" s="370">
        <f>SUMIFS(CollectionCostTotal[Annual_Truck_Cost],CollectionCostTotal[Scenario_ID],$AA$11,CollectionCostTotal[Year],$C$3,CollectionCostTotal[GroupSector_ID],$C$2&amp;"-"&amp;AG$11&amp;"-"&amp;$AC$11)</f>
        <v>4438434.8180920612</v>
      </c>
      <c r="AH29" s="346" t="s">
        <v>722</v>
      </c>
      <c r="AI29" s="370">
        <f t="shared" ref="AI29:AI32" si="25">SUM(AE29:AH29)</f>
        <v>14570450.026576107</v>
      </c>
      <c r="AJ29" s="521"/>
      <c r="AL29" s="365"/>
      <c r="AM29" s="365"/>
      <c r="AN29" s="365" t="str">
        <f>IF(OR($G29="",$G29=0),"",$G29)</f>
        <v>Collection Capital - Trucks</v>
      </c>
      <c r="AO29" s="365"/>
      <c r="AP29" s="370">
        <f>SUMIFS(CollectionCostTotal[Annual_Truck_Cost],CollectionCostTotal[Scenario_ID],$AL$11,CollectionCostTotal[Year],$C$3,CollectionCostTotal[GroupSector_ID],$C$2&amp;"-"&amp;AP$11&amp;"-"&amp;$AN$11)</f>
        <v>9120483.6885215957</v>
      </c>
      <c r="AQ29" s="370">
        <f>SUMIFS(CollectionCostTotal[Annual_Truck_Cost],CollectionCostTotal[Scenario_ID],$AL$11,CollectionCostTotal[Year],$C$3,CollectionCostTotal[GroupSector_ID],$C$2&amp;"-"&amp;AQ$11&amp;"-"&amp;$AN$11)</f>
        <v>1011531.5199624496</v>
      </c>
      <c r="AR29" s="370">
        <f>SUMIFS(CollectionCostTotal[Annual_Truck_Cost],CollectionCostTotal[Scenario_ID],$AL$11,CollectionCostTotal[Year],$C$3,CollectionCostTotal[GroupSector_ID],$C$2&amp;"-"&amp;AR$11&amp;"-"&amp;$AN$11)</f>
        <v>4438434.8180920612</v>
      </c>
      <c r="AS29" s="346" t="s">
        <v>722</v>
      </c>
      <c r="AT29" s="370">
        <f t="shared" ref="AT29:AT32" si="26">SUM(AP29:AS29)</f>
        <v>14570450.026576107</v>
      </c>
      <c r="AU29" s="521"/>
      <c r="AW29" s="365"/>
      <c r="AX29" s="365"/>
      <c r="AY29" s="365" t="str">
        <f>IF(OR($G29="",$G29=0),"",$G29)</f>
        <v>Collection Capital - Trucks</v>
      </c>
      <c r="AZ29" s="365"/>
      <c r="BA29" s="370">
        <f>SUMIFS(CollectionCostTotal[Annual_Truck_Cost],CollectionCostTotal[Scenario_ID],$AW$11,CollectionCostTotal[Year],$C$3,CollectionCostTotal[GroupSector_ID],$C$2&amp;"-"&amp;BA$11&amp;"-"&amp;$AY$11)</f>
        <v>18035883.854738597</v>
      </c>
      <c r="BB29" s="370">
        <f>SUMIFS(CollectionCostTotal[Annual_Truck_Cost],CollectionCostTotal[Scenario_ID],$AW$11,CollectionCostTotal[Year],$C$3,CollectionCostTotal[GroupSector_ID],$C$2&amp;"-"&amp;BB$11&amp;"-"&amp;$AY$11)</f>
        <v>1007273.9490307195</v>
      </c>
      <c r="BC29" s="370">
        <f>SUMIFS(CollectionCostTotal[Annual_Truck_Cost],CollectionCostTotal[Scenario_ID],$AW$11,CollectionCostTotal[Year],$C$3,CollectionCostTotal[GroupSector_ID],$C$2&amp;"-"&amp;BC$11&amp;"-"&amp;$AY$11)</f>
        <v>4421976.7293121396</v>
      </c>
      <c r="BD29" s="346" t="s">
        <v>722</v>
      </c>
      <c r="BE29" s="370">
        <f t="shared" ref="BE29:BE32" si="27">SUM(BA29:BD29)</f>
        <v>23465134.533081457</v>
      </c>
    </row>
    <row r="30" spans="1:57" x14ac:dyDescent="0.2">
      <c r="E30" s="44"/>
      <c r="F30" s="44"/>
      <c r="G30" s="44" t="s">
        <v>29</v>
      </c>
      <c r="H30" s="44"/>
      <c r="I30" s="49">
        <f>SUMIFS(CollectionCostTotal[Collection_Labor],CollectionCostTotal[Scenario_ID],$E$11,CollectionCostTotal[Year],$C$3,CollectionCostTotal[GroupSector_ID],$C$2&amp;"-"&amp;I$11&amp;"-"&amp;$G$11)</f>
        <v>37451368.722007141</v>
      </c>
      <c r="J30" s="328">
        <f>SUMIFS(CollectionCostTotal[Collection_Labor],CollectionCostTotal[Scenario_ID],$E$11,CollectionCostTotal[Year],$C$3,CollectionCostTotal[GroupSector_ID],$C$2&amp;"-"&amp;J$11&amp;"-"&amp;$G$11)</f>
        <v>6903202.4196334546</v>
      </c>
      <c r="K30" s="328">
        <f>SUMIFS(CollectionCostTotal[Collection_Labor],CollectionCostTotal[Scenario_ID],$E$11,CollectionCostTotal[Year],$C$3,CollectionCostTotal[GroupSector_ID],$C$2&amp;"-"&amp;K$11&amp;"-"&amp;$G$11)</f>
        <v>27765813.660583548</v>
      </c>
      <c r="L30" s="328">
        <f>SUMIFS(DepotCostAllocations2025[Total_Depot_Labor_Cost],DepotCostAllocations2025[Scenario_ID],$E$11,DepotCostAllocations2025[Collection_ID],$C2&amp;"-"&amp;L$11)</f>
        <v>9716869.3190162294</v>
      </c>
      <c r="M30" s="49">
        <f t="shared" si="23"/>
        <v>81837254.121240377</v>
      </c>
      <c r="O30" s="35"/>
      <c r="P30" s="365"/>
      <c r="Q30" s="365"/>
      <c r="R30" s="365" t="str">
        <f>IF(OR($G30="",$G30=0),"",$G30)</f>
        <v>Collection Labor</v>
      </c>
      <c r="S30" s="365"/>
      <c r="T30" s="370">
        <f>SUMIFS(CollectionCostTotal[Collection_Labor],CollectionCostTotal[Scenario_ID],$P$11,CollectionCostTotal[Year],$C$3,CollectionCostTotal[GroupSector_ID],$C$2&amp;"-"&amp;T$11&amp;"-"&amp;$R$11)</f>
        <v>37451368.722007141</v>
      </c>
      <c r="U30" s="370">
        <f>SUMIFS(CollectionCostTotal[Collection_Labor],CollectionCostTotal[Scenario_ID],$P$11,CollectionCostTotal[Year],$C$3,CollectionCostTotal[GroupSector_ID],$C$2&amp;"-"&amp;U$11&amp;"-"&amp;$R$11)</f>
        <v>6903202.4196334546</v>
      </c>
      <c r="V30" s="370">
        <f>SUMIFS(CollectionCostTotal[Collection_Labor],CollectionCostTotal[Scenario_ID],$P$11,CollectionCostTotal[Year],$C$3,CollectionCostTotal[GroupSector_ID],$C$2&amp;"-"&amp;V$11&amp;"-"&amp;$R$11)</f>
        <v>27765813.660583548</v>
      </c>
      <c r="W30" s="370">
        <f>SUMIFS(DepotCostAllocations2025[Total_Depot_Labor_Cost],DepotCostAllocations2025[Scenario_ID],$P$11,DepotCostAllocations2025[Collection_ID],$C$2&amp;"-"&amp;W$11)</f>
        <v>12052498.314673912</v>
      </c>
      <c r="X30" s="370">
        <f t="shared" si="24"/>
        <v>84172883.11689806</v>
      </c>
      <c r="AA30" s="365"/>
      <c r="AB30" s="365"/>
      <c r="AC30" s="365" t="str">
        <f>IF(OR($G30="",$G30=0),"",$G30)</f>
        <v>Collection Labor</v>
      </c>
      <c r="AD30" s="365"/>
      <c r="AE30" s="370">
        <f>SUMIFS(CollectionCostTotal[Collection_Labor],CollectionCostTotal[Scenario_ID],$AA$11,CollectionCostTotal[Year],$C$3,CollectionCostTotal[GroupSector_ID],$C$2&amp;"-"&amp;AE$11&amp;"-"&amp;$AC$11)</f>
        <v>37451368.722007141</v>
      </c>
      <c r="AF30" s="370">
        <f>SUMIFS(CollectionCostTotal[Collection_Labor],CollectionCostTotal[Scenario_ID],$AA$11,CollectionCostTotal[Year],$C$3,CollectionCostTotal[GroupSector_ID],$C$2&amp;"-"&amp;AF$11&amp;"-"&amp;$AC$11)</f>
        <v>6903202.4196334546</v>
      </c>
      <c r="AG30" s="370">
        <f>SUMIFS(CollectionCostTotal[Collection_Labor],CollectionCostTotal[Scenario_ID],$AA$11,CollectionCostTotal[Year],$C$3,CollectionCostTotal[GroupSector_ID],$C$2&amp;"-"&amp;AG$11&amp;"-"&amp;$AC$11)</f>
        <v>27765813.660583548</v>
      </c>
      <c r="AH30" s="370">
        <f>SUMIFS(DepotCostAllocations2025[Total_Depot_Labor_Cost],DepotCostAllocations2025[Scenario_ID],$AA$11,DepotCostAllocations2025[Collection_ID],$C$2&amp;"-"&amp;AH$11)</f>
        <v>13449064.556898158</v>
      </c>
      <c r="AI30" s="370">
        <f t="shared" si="25"/>
        <v>85569449.359122306</v>
      </c>
      <c r="AL30" s="365"/>
      <c r="AM30" s="365"/>
      <c r="AN30" s="365" t="str">
        <f>IF(OR($G30="",$G30=0),"",$G30)</f>
        <v>Collection Labor</v>
      </c>
      <c r="AO30" s="365"/>
      <c r="AP30" s="370">
        <f>SUMIFS(CollectionCostTotal[Collection_Labor],CollectionCostTotal[Scenario_ID],$AL$11,CollectionCostTotal[Year],$C$3,CollectionCostTotal[GroupSector_ID],$C$2&amp;"-"&amp;AP$11&amp;"-"&amp;$AN$11)</f>
        <v>37451368.722007141</v>
      </c>
      <c r="AQ30" s="370">
        <f>SUMIFS(CollectionCostTotal[Collection_Labor],CollectionCostTotal[Scenario_ID],$AL$11,CollectionCostTotal[Year],$C$3,CollectionCostTotal[GroupSector_ID],$C$2&amp;"-"&amp;AQ$11&amp;"-"&amp;$AN$11)</f>
        <v>6903202.4196334546</v>
      </c>
      <c r="AR30" s="370">
        <f>SUMIFS(CollectionCostTotal[Collection_Labor],CollectionCostTotal[Scenario_ID],$AL$11,CollectionCostTotal[Year],$C$3,CollectionCostTotal[GroupSector_ID],$C$2&amp;"-"&amp;AR$11&amp;"-"&amp;$AN$11)</f>
        <v>27765813.660583548</v>
      </c>
      <c r="AS30" s="370">
        <f>SUMIFS(DepotCostAllocations2025[Total_Depot_Labor_Cost],DepotCostAllocations2025[Scenario_ID],$AL$11,DepotCostAllocations2025[Collection_ID],$C$2&amp;"-"&amp;AS$11)</f>
        <v>13449064.556898158</v>
      </c>
      <c r="AT30" s="370">
        <f t="shared" si="26"/>
        <v>85569449.359122306</v>
      </c>
      <c r="AW30" s="365"/>
      <c r="AX30" s="365"/>
      <c r="AY30" s="365" t="str">
        <f>IF(OR($G30="",$G30=0),"",$G30)</f>
        <v>Collection Labor</v>
      </c>
      <c r="AZ30" s="365"/>
      <c r="BA30" s="370">
        <f>SUMIFS(CollectionCostTotal[Collection_Labor],CollectionCostTotal[Scenario_ID],$AW$11,CollectionCostTotal[Year],$C$3,CollectionCostTotal[GroupSector_ID],$C$2&amp;"-"&amp;BA$11&amp;"-"&amp;$AY$11)</f>
        <v>47928664.652455628</v>
      </c>
      <c r="BB30" s="370">
        <f>SUMIFS(CollectionCostTotal[Collection_Labor],CollectionCostTotal[Scenario_ID],$AW$11,CollectionCostTotal[Year],$C$3,CollectionCostTotal[GroupSector_ID],$C$2&amp;"-"&amp;BB$11&amp;"-"&amp;$AY$11)</f>
        <v>6911280.8490496203</v>
      </c>
      <c r="BC30" s="370">
        <f>SUMIFS(CollectionCostTotal[Collection_Labor],CollectionCostTotal[Scenario_ID],$AW$11,CollectionCostTotal[Year],$C$3,CollectionCostTotal[GroupSector_ID],$C$2&amp;"-"&amp;BC$11&amp;"-"&amp;$AY$11)</f>
        <v>27796066.43086686</v>
      </c>
      <c r="BD30" s="370">
        <f>SUMIFS(DepotCostAllocations2025[Total_Depot_Labor_Cost],DepotCostAllocations2025[Scenario_ID],$AW$11,DepotCostAllocations2025[Collection_ID],$C$2&amp;"-"&amp;BD$11)</f>
        <v>13412736.339180216</v>
      </c>
      <c r="BE30" s="370">
        <f t="shared" si="27"/>
        <v>96048748.271552324</v>
      </c>
    </row>
    <row r="31" spans="1:57" x14ac:dyDescent="0.2">
      <c r="E31" s="44"/>
      <c r="F31" s="44"/>
      <c r="G31" s="44" t="s">
        <v>30</v>
      </c>
      <c r="H31" s="44"/>
      <c r="I31" s="49">
        <f>SUMIFS(CollectionCostTotal[Collection_Ops],CollectionCostTotal[Scenario_ID],$E$11,CollectionCostTotal[Year],$C$3,CollectionCostTotal[GroupSector_ID],$C$2&amp;"-"&amp;I$11&amp;"-"&amp;$G$11)</f>
        <v>18466701.228317585</v>
      </c>
      <c r="J31" s="328">
        <f>SUMIFS(CollectionCostTotal[Collection_Ops],CollectionCostTotal[Scenario_ID],$E$11,CollectionCostTotal[Year],$C$3,CollectionCostTotal[GroupSector_ID],$C$2&amp;"-"&amp;J$11&amp;"-"&amp;$G$11)</f>
        <v>3736242.7872283296</v>
      </c>
      <c r="K31" s="328">
        <f>SUMIFS(CollectionCostTotal[Collection_Ops],CollectionCostTotal[Scenario_ID],$E$11,CollectionCostTotal[Year],$C$3,CollectionCostTotal[GroupSector_ID],$C$2&amp;"-"&amp;K$11&amp;"-"&amp;$G$11)</f>
        <v>14886889.425122935</v>
      </c>
      <c r="L31" s="328">
        <f>SUMIFS(DepotCostAllocations2025[Total_Depot_Operations_Cost],DepotCostAllocations2025[Scenario_ID],$E$11,DepotCostAllocations2025[Collection_ID],$C2&amp;"-"&amp;L$11)</f>
        <v>2295416.452359932</v>
      </c>
      <c r="M31" s="49">
        <f t="shared" si="23"/>
        <v>39385249.893028781</v>
      </c>
      <c r="O31" s="35"/>
      <c r="P31" s="365"/>
      <c r="Q31" s="365"/>
      <c r="R31" s="365" t="str">
        <f>IF(OR($G31="",$G31=0),"",$G31)</f>
        <v>Collection Operations</v>
      </c>
      <c r="S31" s="365"/>
      <c r="T31" s="370">
        <f>SUMIFS(CollectionCostTotal[Collection_Ops],CollectionCostTotal[Scenario_ID],$P$11,CollectionCostTotal[Year],$C$3,CollectionCostTotal[GroupSector_ID],$C$2&amp;"-"&amp;T$11&amp;"-"&amp;$R$11)</f>
        <v>18466701.228317585</v>
      </c>
      <c r="U31" s="370">
        <f>SUMIFS(CollectionCostTotal[Collection_Ops],CollectionCostTotal[Scenario_ID],$P$11,CollectionCostTotal[Year],$C$3,CollectionCostTotal[GroupSector_ID],$C$2&amp;"-"&amp;U$11&amp;"-"&amp;$R$11)</f>
        <v>3736242.7872283296</v>
      </c>
      <c r="V31" s="370">
        <f>SUMIFS(CollectionCostTotal[Collection_Ops],CollectionCostTotal[Scenario_ID],$P$11,CollectionCostTotal[Year],$C$3,CollectionCostTotal[GroupSector_ID],$C$2&amp;"-"&amp;V$11&amp;"-"&amp;$R$11)</f>
        <v>14886889.425122935</v>
      </c>
      <c r="W31" s="370">
        <f>SUMIFS(DepotCostAllocations2025[Total_Depot_Operations_Cost],DepotCostAllocations2025[Scenario_ID],$P$11,DepotCostAllocations2025[Collection_ID],C$2&amp;"-"&amp;W$11)</f>
        <v>2274473.4785632966</v>
      </c>
      <c r="X31" s="370">
        <f t="shared" si="24"/>
        <v>39364306.919232145</v>
      </c>
      <c r="AA31" s="365"/>
      <c r="AB31" s="365"/>
      <c r="AC31" s="365" t="str">
        <f>IF(OR($G31="",$G31=0),"",$G31)</f>
        <v>Collection Operations</v>
      </c>
      <c r="AD31" s="365"/>
      <c r="AE31" s="370">
        <f>SUMIFS(CollectionCostTotal[Collection_Ops],CollectionCostTotal[Scenario_ID],$AA$11,CollectionCostTotal[Year],$C$3,CollectionCostTotal[GroupSector_ID],$C$2&amp;"-"&amp;AE$11&amp;"-"&amp;$AC$11)</f>
        <v>18466701.228317585</v>
      </c>
      <c r="AF31" s="370">
        <f>SUMIFS(CollectionCostTotal[Collection_Ops],CollectionCostTotal[Scenario_ID],$AA$11,CollectionCostTotal[Year],$C$3,CollectionCostTotal[GroupSector_ID],$C$2&amp;"-"&amp;AF$11&amp;"-"&amp;$AC$11)</f>
        <v>3736242.7872283296</v>
      </c>
      <c r="AG31" s="370">
        <f>SUMIFS(CollectionCostTotal[Collection_Ops],CollectionCostTotal[Scenario_ID],$AA$11,CollectionCostTotal[Year],$C$3,CollectionCostTotal[GroupSector_ID],$C$2&amp;"-"&amp;AG$11&amp;"-"&amp;$AC$11)</f>
        <v>14886889.425122935</v>
      </c>
      <c r="AH31" s="370">
        <f>SUMIFS(DepotCostAllocations2025[Total_Depot_Operations_Cost],DepotCostAllocations2025[Scenario_ID],$AA$11,DepotCostAllocations2025[Collection_ID],$C$2&amp;"-"&amp;AH$11)</f>
        <v>2430203.9327741731</v>
      </c>
      <c r="AI31" s="370">
        <f t="shared" si="25"/>
        <v>39520037.373443022</v>
      </c>
      <c r="AL31" s="365"/>
      <c r="AM31" s="365"/>
      <c r="AN31" s="365" t="str">
        <f>IF(OR($G31="",$G31=0),"",$G31)</f>
        <v>Collection Operations</v>
      </c>
      <c r="AO31" s="365"/>
      <c r="AP31" s="370">
        <f>SUMIFS(CollectionCostTotal[Collection_Ops],CollectionCostTotal[Scenario_ID],$AL$11,CollectionCostTotal[Year],$C$3,CollectionCostTotal[GroupSector_ID],$C$2&amp;"-"&amp;AP$11&amp;"-"&amp;$AN$11)</f>
        <v>18466701.228317585</v>
      </c>
      <c r="AQ31" s="370">
        <f>SUMIFS(CollectionCostTotal[Collection_Ops],CollectionCostTotal[Scenario_ID],$AL$11,CollectionCostTotal[Year],$C$3,CollectionCostTotal[GroupSector_ID],$C$2&amp;"-"&amp;AQ$11&amp;"-"&amp;$AN$11)</f>
        <v>3736242.7872283296</v>
      </c>
      <c r="AR31" s="370">
        <f>SUMIFS(CollectionCostTotal[Collection_Ops],CollectionCostTotal[Scenario_ID],$AL$11,CollectionCostTotal[Year],$C$3,CollectionCostTotal[GroupSector_ID],$C$2&amp;"-"&amp;AR$11&amp;"-"&amp;$AN$11)</f>
        <v>14886889.425122935</v>
      </c>
      <c r="AS31" s="370">
        <f>SUMIFS(DepotCostAllocations2025[Total_Depot_Operations_Cost],DepotCostAllocations2025[Scenario_ID],$AL$11,DepotCostAllocations2025[Collection_ID],$C$2&amp;"-"&amp;AS$11)</f>
        <v>2430203.9327741731</v>
      </c>
      <c r="AT31" s="370">
        <f t="shared" si="26"/>
        <v>39520037.373443022</v>
      </c>
      <c r="AW31" s="365"/>
      <c r="AX31" s="365"/>
      <c r="AY31" s="365" t="str">
        <f>IF(OR($G31="",$G31=0),"",$G31)</f>
        <v>Collection Operations</v>
      </c>
      <c r="AZ31" s="365"/>
      <c r="BA31" s="370">
        <f>SUMIFS(CollectionCostTotal[Collection_Ops],CollectionCostTotal[Scenario_ID],$AW$11,CollectionCostTotal[Year],$C$3,CollectionCostTotal[GroupSector_ID],$C$2&amp;"-"&amp;BA$11&amp;"-"&amp;$AY$11)</f>
        <v>23646487.596971013</v>
      </c>
      <c r="BB31" s="370">
        <f>SUMIFS(CollectionCostTotal[Collection_Ops],CollectionCostTotal[Scenario_ID],$AW$11,CollectionCostTotal[Year],$C$3,CollectionCostTotal[GroupSector_ID],$C$2&amp;"-"&amp;BB$11&amp;"-"&amp;$AY$11)</f>
        <v>3732578.7549999598</v>
      </c>
      <c r="BC31" s="370">
        <f>SUMIFS(CollectionCostTotal[Collection_Ops],CollectionCostTotal[Scenario_ID],$AW$11,CollectionCostTotal[Year],$C$3,CollectionCostTotal[GroupSector_ID],$C$2&amp;"-"&amp;BC$11&amp;"-"&amp;$AY$11)</f>
        <v>14880423.163286207</v>
      </c>
      <c r="BD31" s="370">
        <f>SUMIFS(DepotCostAllocations2025[Total_Depot_Operations_Cost],DepotCostAllocations2025[Scenario_ID],$AW$11,DepotCostAllocations2025[Collection_ID],$C$2&amp;"-"&amp;BD$11)</f>
        <v>2421426.9162143143</v>
      </c>
      <c r="BE31" s="370">
        <f t="shared" si="27"/>
        <v>44680916.431471497</v>
      </c>
    </row>
    <row r="32" spans="1:57" x14ac:dyDescent="0.2">
      <c r="E32" s="46"/>
      <c r="F32" s="46" t="s">
        <v>31</v>
      </c>
      <c r="G32" s="46"/>
      <c r="H32" s="46"/>
      <c r="I32" s="50">
        <f>SUM(I33:I34)</f>
        <v>25783162.662858732</v>
      </c>
      <c r="J32" s="329">
        <f t="shared" ref="J32:L32" si="28">SUM(J33:J34)</f>
        <v>5113092.3740911158</v>
      </c>
      <c r="K32" s="329">
        <f t="shared" si="28"/>
        <v>20949887.575652827</v>
      </c>
      <c r="L32" s="329">
        <f t="shared" si="28"/>
        <v>936919.80642502569</v>
      </c>
      <c r="M32" s="50">
        <f t="shared" si="0"/>
        <v>52783062.419027701</v>
      </c>
      <c r="O32" s="35"/>
      <c r="P32" s="367"/>
      <c r="Q32" s="367" t="str">
        <f>IF(OR($F32="",$F32=0),"",$F32)</f>
        <v>Indirect Collection Costs</v>
      </c>
      <c r="R32" s="367"/>
      <c r="S32" s="367"/>
      <c r="T32" s="371">
        <f>SUM(T33:T34)</f>
        <v>25783162.662858732</v>
      </c>
      <c r="U32" s="371">
        <f t="shared" ref="U32" si="29">SUM(U33:U34)</f>
        <v>5113092.3740911158</v>
      </c>
      <c r="V32" s="371">
        <f t="shared" ref="V32" si="30">SUM(V33:V34)</f>
        <v>20949887.575652827</v>
      </c>
      <c r="W32" s="371">
        <f t="shared" ref="W32" si="31">SUM(W33:W34)</f>
        <v>926724.06451804098</v>
      </c>
      <c r="X32" s="371">
        <f t="shared" si="24"/>
        <v>52772866.677120715</v>
      </c>
      <c r="AA32" s="367"/>
      <c r="AB32" s="367" t="str">
        <f>IF(OR($F32="",$F32=0),"",$F32)</f>
        <v>Indirect Collection Costs</v>
      </c>
      <c r="AC32" s="367"/>
      <c r="AD32" s="367"/>
      <c r="AE32" s="371">
        <f>SUM(AE33:AE34)</f>
        <v>25783162.662858732</v>
      </c>
      <c r="AF32" s="371">
        <f t="shared" ref="AF32" si="32">SUM(AF33:AF34)</f>
        <v>5113092.3740911158</v>
      </c>
      <c r="AG32" s="371">
        <f t="shared" ref="AG32" si="33">SUM(AG33:AG34)</f>
        <v>20949887.575652827</v>
      </c>
      <c r="AH32" s="371">
        <f t="shared" ref="AH32" si="34">SUM(AH33:AH34)</f>
        <v>1000382.2852418105</v>
      </c>
      <c r="AI32" s="371">
        <f t="shared" si="25"/>
        <v>52846524.897844486</v>
      </c>
      <c r="AL32" s="367"/>
      <c r="AM32" s="367" t="str">
        <f>IF(OR($F32="",$F32=0),"",$F32)</f>
        <v>Indirect Collection Costs</v>
      </c>
      <c r="AN32" s="367"/>
      <c r="AO32" s="367"/>
      <c r="AP32" s="371">
        <f>SUM(AP33:AP34)</f>
        <v>25783162.662858732</v>
      </c>
      <c r="AQ32" s="371">
        <f t="shared" ref="AQ32" si="35">SUM(AQ33:AQ34)</f>
        <v>5113092.3740911158</v>
      </c>
      <c r="AR32" s="371">
        <f t="shared" ref="AR32" si="36">SUM(AR33:AR34)</f>
        <v>20949887.575652827</v>
      </c>
      <c r="AS32" s="371">
        <f t="shared" ref="AS32" si="37">SUM(AS33:AS34)</f>
        <v>1000382.2852418105</v>
      </c>
      <c r="AT32" s="371">
        <f t="shared" si="26"/>
        <v>52846524.897844486</v>
      </c>
      <c r="AW32" s="367"/>
      <c r="AX32" s="367" t="str">
        <f>IF(OR($F32="",$F32=0),"",$F32)</f>
        <v>Indirect Collection Costs</v>
      </c>
      <c r="AY32" s="367"/>
      <c r="AZ32" s="367"/>
      <c r="BA32" s="371">
        <f>SUM(BA33:BA34)</f>
        <v>31541507.860237777</v>
      </c>
      <c r="BB32" s="371">
        <f t="shared" ref="BB32" si="38">SUM(BB33:BB34)</f>
        <v>5326825.6564360969</v>
      </c>
      <c r="BC32" s="371">
        <f t="shared" ref="BC32" si="39">SUM(BC33:BC34)</f>
        <v>21761211.268668756</v>
      </c>
      <c r="BD32" s="371">
        <f t="shared" ref="BD32" si="40">SUM(BD33:BD34)</f>
        <v>993283.92714443232</v>
      </c>
      <c r="BE32" s="371">
        <f t="shared" si="27"/>
        <v>59622828.712487064</v>
      </c>
    </row>
    <row r="33" spans="4:57" x14ac:dyDescent="0.2">
      <c r="E33" s="44"/>
      <c r="F33" s="44"/>
      <c r="G33" s="44" t="s">
        <v>32</v>
      </c>
      <c r="H33" s="44"/>
      <c r="I33" s="49">
        <f>SUMIFS(CollectionCostTotal[CollectionAdmin],CollectionCostTotal[Scenario_ID],$E$11,CollectionCostTotal[Year],$C$3,CollectionCostTotal[GroupSector_ID],$C$2&amp;"-"&amp;I$11&amp;"-"&amp;$G$11)</f>
        <v>15506656.575357463</v>
      </c>
      <c r="J33" s="328">
        <f>SUMIFS(CollectionCostTotal[CollectionAdmin],CollectionCostTotal[Scenario_ID],$E$11,CollectionCostTotal[Year],$C$3,CollectionCostTotal[GroupSector_ID],$C$2&amp;"-"&amp;J$11&amp;"-"&amp;$G$11)</f>
        <v>3198358.1770557757</v>
      </c>
      <c r="K33" s="328">
        <f>SUMIFS(CollectionCostTotal[CollectionAdmin],CollectionCostTotal[Scenario_ID],$E$11,CollectionCostTotal[Year],$C$3,CollectionCostTotal[GroupSector_ID],$C$2&amp;"-"&amp;K$11&amp;"-"&amp;$G$11)</f>
        <v>13264389.55399311</v>
      </c>
      <c r="L33" s="328">
        <f>SUMIFS(DepotCostAllocations2025[Total_Depot_Admin_Cost],DepotCostAllocations2025[Scenario_ID],$E$11,DepotCostAllocations2025[Collection_ID],$C$2&amp;"-"&amp;L$11)</f>
        <v>936919.80642502569</v>
      </c>
      <c r="M33" s="49">
        <f>SUM(I33:L33)</f>
        <v>32906324.112831376</v>
      </c>
      <c r="O33" s="35"/>
      <c r="P33" s="365"/>
      <c r="Q33" s="365"/>
      <c r="R33" s="365" t="str">
        <f>IF(OR($G33="",$G33=0),"",$G33)</f>
        <v>Collection Administrative</v>
      </c>
      <c r="S33" s="365"/>
      <c r="T33" s="370">
        <f>SUMIFS(CollectionCostTotal[CollectionAdmin],CollectionCostTotal[Scenario_ID],$P$11,CollectionCostTotal[Year],$C$3,CollectionCostTotal[GroupSector_ID],$C$2&amp;"-"&amp;T$11&amp;"-"&amp;$R$11)</f>
        <v>15506656.575357463</v>
      </c>
      <c r="U33" s="370">
        <f>SUMIFS(CollectionCostTotal[CollectionAdmin],CollectionCostTotal[Scenario_ID],$P$11,CollectionCostTotal[Year],$C$3,CollectionCostTotal[GroupSector_ID],$C$2&amp;"-"&amp;U$11&amp;"-"&amp;$R$11)</f>
        <v>3198358.1770557757</v>
      </c>
      <c r="V33" s="370">
        <f>SUMIFS(CollectionCostTotal[CollectionAdmin],CollectionCostTotal[Scenario_ID],$P$11,CollectionCostTotal[Year],$C$3,CollectionCostTotal[GroupSector_ID],$C$2&amp;"-"&amp;V$11&amp;"-"&amp;$R$11)</f>
        <v>13264389.55399311</v>
      </c>
      <c r="W33" s="370">
        <f>SUMIFS(DepotCostAllocations2025[Total_Depot_Admin_Cost],DepotCostAllocations2025[Scenario_ID],$P$11,DepotCostAllocations2025[Collection_ID],C$2&amp;"-"&amp;W$11)</f>
        <v>926724.06451804098</v>
      </c>
      <c r="X33" s="370">
        <f>SUM(T33:W33)</f>
        <v>32896128.370924391</v>
      </c>
      <c r="AA33" s="365"/>
      <c r="AB33" s="365"/>
      <c r="AC33" s="365" t="str">
        <f>IF(OR($G33="",$G33=0),"",$G33)</f>
        <v>Collection Administrative</v>
      </c>
      <c r="AD33" s="365"/>
      <c r="AE33" s="370">
        <f>SUMIFS(CollectionCostTotal[CollectionAdmin],CollectionCostTotal[Scenario_ID],$AA$11,CollectionCostTotal[Year],$C$3,CollectionCostTotal[GroupSector_ID],$C$2&amp;"-"&amp;AE$11&amp;"-"&amp;$AC$11)</f>
        <v>15506656.575357463</v>
      </c>
      <c r="AF33" s="370">
        <f>SUMIFS(CollectionCostTotal[CollectionAdmin],CollectionCostTotal[Scenario_ID],$AA$11,CollectionCostTotal[Year],$C$3,CollectionCostTotal[GroupSector_ID],$C$2&amp;"-"&amp;AF$11&amp;"-"&amp;$AC$11)</f>
        <v>3198358.1770557757</v>
      </c>
      <c r="AG33" s="370">
        <f>SUMIFS(CollectionCostTotal[CollectionAdmin],CollectionCostTotal[Scenario_ID],$AA$11,CollectionCostTotal[Year],$C$3,CollectionCostTotal[GroupSector_ID],$C$2&amp;"-"&amp;AG$11&amp;"-"&amp;$AC$11)</f>
        <v>13264389.55399311</v>
      </c>
      <c r="AH33" s="370">
        <f>SUMIFS(DepotCostAllocations2025[Total_Depot_Admin_Cost],DepotCostAllocations2025[Scenario_ID],$AA$11,DepotCostAllocations2025[Collection_ID],$C$2&amp;"-"&amp;AH$11)</f>
        <v>1000382.2852418105</v>
      </c>
      <c r="AI33" s="370">
        <f>SUM(AE33:AH33)</f>
        <v>32969786.591648158</v>
      </c>
      <c r="AL33" s="365"/>
      <c r="AM33" s="365"/>
      <c r="AN33" s="365" t="str">
        <f>IF(OR($G33="",$G33=0),"",$G33)</f>
        <v>Collection Administrative</v>
      </c>
      <c r="AO33" s="365"/>
      <c r="AP33" s="370">
        <f>SUMIFS(CollectionCostTotal[CollectionAdmin],CollectionCostTotal[Scenario_ID],$AL$11,CollectionCostTotal[Year],$C$3,CollectionCostTotal[GroupSector_ID],$C$2&amp;"-"&amp;AP$11&amp;"-"&amp;$AN$11)</f>
        <v>15506656.575357463</v>
      </c>
      <c r="AQ33" s="370">
        <f>SUMIFS(CollectionCostTotal[CollectionAdmin],CollectionCostTotal[Scenario_ID],$AL$11,CollectionCostTotal[Year],$C$3,CollectionCostTotal[GroupSector_ID],$C$2&amp;"-"&amp;AQ$11&amp;"-"&amp;$AN$11)</f>
        <v>3198358.1770557757</v>
      </c>
      <c r="AR33" s="370">
        <f>SUMIFS(CollectionCostTotal[CollectionAdmin],CollectionCostTotal[Scenario_ID],$AL$11,CollectionCostTotal[Year],$C$3,CollectionCostTotal[GroupSector_ID],$C$2&amp;"-"&amp;AR$11&amp;"-"&amp;$AN$11)</f>
        <v>13264389.55399311</v>
      </c>
      <c r="AS33" s="370">
        <f>SUMIFS(DepotCostAllocations2025[Total_Depot_Admin_Cost],DepotCostAllocations2025[Scenario_ID],$AL$11,DepotCostAllocations2025[Collection_ID],$C$2&amp;"-"&amp;AS$11)</f>
        <v>1000382.2852418105</v>
      </c>
      <c r="AT33" s="370">
        <f>SUM(AP33:AS33)</f>
        <v>32969786.591648158</v>
      </c>
      <c r="AW33" s="365"/>
      <c r="AX33" s="365"/>
      <c r="AY33" s="365" t="str">
        <f>IF(OR($G33="",$G33=0),"",$G33)</f>
        <v>Collection Administrative</v>
      </c>
      <c r="AZ33" s="365"/>
      <c r="BA33" s="370">
        <f>SUMIFS(CollectionCostTotal[CollectionAdmin],CollectionCostTotal[Scenario_ID],$AW$11,CollectionCostTotal[Year],$C$3,CollectionCostTotal[GroupSector_ID],$C$2&amp;"-"&amp;BA$11&amp;"-"&amp;$AY$11)</f>
        <v>17361878.481973916</v>
      </c>
      <c r="BB33" s="370">
        <f>SUMIFS(CollectionCostTotal[CollectionAdmin],CollectionCostTotal[Scenario_ID],$AW$11,CollectionCostTotal[Year],$C$3,CollectionCostTotal[GroupSector_ID],$C$2&amp;"-"&amp;BB$11&amp;"-"&amp;$AY$11)</f>
        <v>3198315.1763913832</v>
      </c>
      <c r="BC33" s="370">
        <f>SUMIFS(CollectionCostTotal[CollectionAdmin],CollectionCostTotal[Scenario_ID],$AW$11,CollectionCostTotal[Year],$C$3,CollectionCostTotal[GroupSector_ID],$C$2&amp;"-"&amp;BC$11&amp;"-"&amp;$AY$11)</f>
        <v>13264291.607301997</v>
      </c>
      <c r="BD33" s="370">
        <f>SUMIFS(DepotCostAllocations2025[Total_Depot_Admin_Cost],DepotCostAllocations2025[Scenario_ID],$AW$11,DepotCostAllocations2025[Collection_ID],$C$2&amp;"-"&amp;BD$11)</f>
        <v>993283.92714443232</v>
      </c>
      <c r="BE33" s="370">
        <f>SUM(BA33:BD33)</f>
        <v>34817769.192811728</v>
      </c>
    </row>
    <row r="34" spans="4:57" x14ac:dyDescent="0.2">
      <c r="E34" s="44"/>
      <c r="F34" s="44"/>
      <c r="G34" s="44" t="s">
        <v>33</v>
      </c>
      <c r="H34" s="44"/>
      <c r="I34" s="49">
        <f>SUMIFS(CollectionCostTotal[Collection_MarginFF],CollectionCostTotal[Scenario_ID],$E$11,CollectionCostTotal[Year],$C$3,CollectionCostTotal[GroupSector_ID],$C$2&amp;"-"&amp;I$11&amp;"-"&amp;$G$11)</f>
        <v>10276506.087501271</v>
      </c>
      <c r="J34" s="328">
        <f>SUMIFS(CollectionCostTotal[Collection_MarginFF],CollectionCostTotal[Scenario_ID],$E$11,CollectionCostTotal[Year],$C$3,CollectionCostTotal[GroupSector_ID],$C$2&amp;"-"&amp;J$11&amp;"-"&amp;$G$11)</f>
        <v>1914734.1970353399</v>
      </c>
      <c r="K34" s="328">
        <f>SUMIFS(CollectionCostTotal[Collection_MarginFF],CollectionCostTotal[Scenario_ID],$E$11,CollectionCostTotal[Year],$C$3,CollectionCostTotal[GroupSector_ID],$C$2&amp;"-"&amp;K$11&amp;"-"&amp;$G$11)</f>
        <v>7685498.0216597179</v>
      </c>
      <c r="L34" s="346" t="s">
        <v>722</v>
      </c>
      <c r="M34" s="49">
        <f>SUM(I34:L34)</f>
        <v>19876738.306196328</v>
      </c>
      <c r="O34" s="35"/>
      <c r="P34" s="365"/>
      <c r="Q34" s="365"/>
      <c r="R34" s="365" t="str">
        <f>IF(OR($G34="",$G34=0),"",$G34)</f>
        <v>Collection Margin and Franchise Fee</v>
      </c>
      <c r="S34" s="365"/>
      <c r="T34" s="370">
        <f>SUMIFS(CollectionCostTotal[Collection_MarginFF],CollectionCostTotal[Scenario_ID],$P$11,CollectionCostTotal[Year],$C$3,CollectionCostTotal[GroupSector_ID],$C$2&amp;"-"&amp;T$11&amp;"-"&amp;$R$11)</f>
        <v>10276506.087501271</v>
      </c>
      <c r="U34" s="370">
        <f>SUMIFS(CollectionCostTotal[Collection_MarginFF],CollectionCostTotal[Scenario_ID],$P$11,CollectionCostTotal[Year],$C$3,CollectionCostTotal[GroupSector_ID],$C$2&amp;"-"&amp;U$11&amp;"-"&amp;$R$11)</f>
        <v>1914734.1970353399</v>
      </c>
      <c r="V34" s="370">
        <f>SUMIFS(CollectionCostTotal[Collection_MarginFF],CollectionCostTotal[Scenario_ID],$P$11,CollectionCostTotal[Year],$C$3,CollectionCostTotal[GroupSector_ID],$C$2&amp;"-"&amp;V$11&amp;"-"&amp;$R$11)</f>
        <v>7685498.0216597179</v>
      </c>
      <c r="W34" s="346" t="s">
        <v>722</v>
      </c>
      <c r="X34" s="370">
        <f>SUM(T34:W34)</f>
        <v>19876738.306196328</v>
      </c>
      <c r="AA34" s="365"/>
      <c r="AB34" s="365"/>
      <c r="AC34" s="365" t="str">
        <f>IF(OR($G34="",$G34=0),"",$G34)</f>
        <v>Collection Margin and Franchise Fee</v>
      </c>
      <c r="AD34" s="365"/>
      <c r="AE34" s="370">
        <f>SUMIFS(CollectionCostTotal[Collection_MarginFF],CollectionCostTotal[Scenario_ID],$AA$11,CollectionCostTotal[Year],$C$3,CollectionCostTotal[GroupSector_ID],$C$2&amp;"-"&amp;AE$11&amp;"-"&amp;$AC$11)</f>
        <v>10276506.087501271</v>
      </c>
      <c r="AF34" s="370">
        <f>SUMIFS(CollectionCostTotal[Collection_MarginFF],CollectionCostTotal[Scenario_ID],$AA$11,CollectionCostTotal[Year],$C$3,CollectionCostTotal[GroupSector_ID],$C$2&amp;"-"&amp;AF$11&amp;"-"&amp;$AC$11)</f>
        <v>1914734.1970353399</v>
      </c>
      <c r="AG34" s="370">
        <f>SUMIFS(CollectionCostTotal[Collection_MarginFF],CollectionCostTotal[Scenario_ID],$AA$11,CollectionCostTotal[Year],$C$3,CollectionCostTotal[GroupSector_ID],$C$2&amp;"-"&amp;AG$11&amp;"-"&amp;$AC$11)</f>
        <v>7685498.0216597179</v>
      </c>
      <c r="AH34" s="346" t="s">
        <v>722</v>
      </c>
      <c r="AI34" s="370">
        <f>SUM(AE34:AH34)</f>
        <v>19876738.306196328</v>
      </c>
      <c r="AL34" s="365"/>
      <c r="AM34" s="365"/>
      <c r="AN34" s="365" t="str">
        <f>IF(OR($G34="",$G34=0),"",$G34)</f>
        <v>Collection Margin and Franchise Fee</v>
      </c>
      <c r="AO34" s="365"/>
      <c r="AP34" s="370">
        <f>SUMIFS(CollectionCostTotal[Collection_MarginFF],CollectionCostTotal[Scenario_ID],$AL$11,CollectionCostTotal[Year],$C$3,CollectionCostTotal[GroupSector_ID],$C$2&amp;"-"&amp;AP$11&amp;"-"&amp;$AN$11)</f>
        <v>10276506.087501271</v>
      </c>
      <c r="AQ34" s="370">
        <f>SUMIFS(CollectionCostTotal[Collection_MarginFF],CollectionCostTotal[Scenario_ID],$AL$11,CollectionCostTotal[Year],$C$3,CollectionCostTotal[GroupSector_ID],$C$2&amp;"-"&amp;AQ$11&amp;"-"&amp;$AN$11)</f>
        <v>1914734.1970353399</v>
      </c>
      <c r="AR34" s="370">
        <f>SUMIFS(CollectionCostTotal[Collection_MarginFF],CollectionCostTotal[Scenario_ID],$AL$11,CollectionCostTotal[Year],$C$3,CollectionCostTotal[GroupSector_ID],$C$2&amp;"-"&amp;AR$11&amp;"-"&amp;$AN$11)</f>
        <v>7685498.0216597179</v>
      </c>
      <c r="AS34" s="346" t="s">
        <v>722</v>
      </c>
      <c r="AT34" s="370">
        <f>SUM(AP34:AS34)</f>
        <v>19876738.306196328</v>
      </c>
      <c r="AW34" s="365"/>
      <c r="AX34" s="365"/>
      <c r="AY34" s="365" t="str">
        <f>IF(OR($G34="",$G34=0),"",$G34)</f>
        <v>Collection Margin and Franchise Fee</v>
      </c>
      <c r="AZ34" s="365"/>
      <c r="BA34" s="370">
        <f>SUMIFS(CollectionCostTotal[Collection_MarginFF],CollectionCostTotal[Scenario_ID],$AW$11,CollectionCostTotal[Year],$C$3,CollectionCostTotal[GroupSector_ID],$C$2&amp;"-"&amp;BA$11&amp;"-"&amp;$AY$11)</f>
        <v>14179629.378263859</v>
      </c>
      <c r="BB34" s="370">
        <f>SUMIFS(CollectionCostTotal[Collection_MarginFF],CollectionCostTotal[Scenario_ID],$AW$11,CollectionCostTotal[Year],$C$3,CollectionCostTotal[GroupSector_ID],$C$2&amp;"-"&amp;BB$11&amp;"-"&amp;$AY$11)</f>
        <v>2128510.4800447137</v>
      </c>
      <c r="BC34" s="370">
        <f>SUMIFS(CollectionCostTotal[Collection_MarginFF],CollectionCostTotal[Scenario_ID],$AW$11,CollectionCostTotal[Year],$C$3,CollectionCostTotal[GroupSector_ID],$C$2&amp;"-"&amp;BC$11&amp;"-"&amp;$AY$11)</f>
        <v>8496919.6613667589</v>
      </c>
      <c r="BD34" s="346" t="s">
        <v>722</v>
      </c>
      <c r="BE34" s="370">
        <f>SUM(BA34:BD34)</f>
        <v>24805059.519675329</v>
      </c>
    </row>
    <row r="35" spans="4:57" s="353" customFormat="1" x14ac:dyDescent="0.2">
      <c r="D35" s="521"/>
      <c r="E35" s="363" t="str">
        <f>EvaluationSummary!G209</f>
        <v>Cost Savings from Reduced Garbage Disposal</v>
      </c>
      <c r="F35" s="364"/>
      <c r="G35" s="364"/>
      <c r="H35" s="364"/>
      <c r="I35" s="373"/>
      <c r="J35" s="369"/>
      <c r="K35" s="369"/>
      <c r="L35" s="369"/>
      <c r="M35" s="369"/>
      <c r="N35"/>
      <c r="P35" s="363" t="str">
        <f>IF(OR($E35="",$E35=0),"",$E35)</f>
        <v>Cost Savings from Reduced Garbage Disposal</v>
      </c>
      <c r="Q35" s="364"/>
      <c r="R35" s="364"/>
      <c r="S35" s="364"/>
      <c r="T35" s="373"/>
      <c r="U35" s="369"/>
      <c r="V35" s="369"/>
      <c r="W35" s="369"/>
      <c r="X35" s="369"/>
      <c r="Y35" s="521"/>
      <c r="AA35" s="363" t="str">
        <f>IF(OR($E35="",$E35=0),"",$E35)</f>
        <v>Cost Savings from Reduced Garbage Disposal</v>
      </c>
      <c r="AB35" s="364"/>
      <c r="AC35" s="364"/>
      <c r="AD35" s="364"/>
      <c r="AE35" s="373"/>
      <c r="AF35" s="369"/>
      <c r="AG35" s="369"/>
      <c r="AH35" s="369"/>
      <c r="AI35" s="369"/>
      <c r="AJ35" s="521"/>
      <c r="AL35" s="363" t="str">
        <f>IF(OR($E35="",$E35=0),"",$E35)</f>
        <v>Cost Savings from Reduced Garbage Disposal</v>
      </c>
      <c r="AM35" s="364"/>
      <c r="AN35" s="364"/>
      <c r="AO35" s="364"/>
      <c r="AP35" s="373"/>
      <c r="AQ35" s="369"/>
      <c r="AR35" s="369"/>
      <c r="AS35" s="369"/>
      <c r="AT35" s="369"/>
      <c r="AU35" s="521"/>
      <c r="AW35" s="363" t="str">
        <f>IF(OR($E35="",$E35=0),"",$E35)</f>
        <v>Cost Savings from Reduced Garbage Disposal</v>
      </c>
      <c r="AX35" s="364"/>
      <c r="AY35" s="364"/>
      <c r="AZ35" s="364"/>
      <c r="BA35" s="373"/>
      <c r="BB35" s="369"/>
      <c r="BC35" s="369"/>
      <c r="BD35" s="369"/>
      <c r="BE35" s="369"/>
    </row>
    <row r="36" spans="4:57" s="433" customFormat="1" x14ac:dyDescent="0.2">
      <c r="D36" s="521"/>
      <c r="E36" s="434"/>
      <c r="F36" s="434"/>
      <c r="G36" s="434" t="s">
        <v>1871</v>
      </c>
      <c r="H36" s="434"/>
      <c r="I36" s="435">
        <f>SUMIFS(TransTonsShort[Avoided_Disposal2],TransTonsShort[Scenario_ID],E$11,TransTonsShort[GroupSector_ID],$C$2&amp;"-"&amp;I$11)</f>
        <v>25588010.502449829</v>
      </c>
      <c r="J36" s="435">
        <f>SUMIFS(TransTonsShort[Avoided_Disposal2],TransTonsShort[Scenario_ID],E$11,TransTonsShort[GroupSector_ID],$C$2&amp;"-"&amp;J$11)</f>
        <v>2974760.270891868</v>
      </c>
      <c r="K36" s="435">
        <f>SUMIFS(TransTonsShort[Avoided_Disposal2],TransTonsShort[Scenario_ID],E$11,TransTonsShort[GroupSector_ID],$C$2&amp;"-"&amp;K$11)</f>
        <v>26048200.825222943</v>
      </c>
      <c r="L36" s="435">
        <f>SUMIFS(TransTonsShort[Avoided_Disposal2],TransTonsShort[Scenario_ID],E$11,TransTonsShort[GroupSector_ID],$C$2&amp;"-"&amp;L$11)</f>
        <v>5968427.5721572246</v>
      </c>
      <c r="M36" s="434">
        <f>SUM(I36:L36)</f>
        <v>60579399.170721866</v>
      </c>
      <c r="N36"/>
      <c r="P36" s="434"/>
      <c r="Q36" s="434"/>
      <c r="R36" s="434" t="str">
        <f>IF(OR($G36="",$G36=0),"",$G36)</f>
        <v>Avoided Disposal Tip Fees</v>
      </c>
      <c r="S36" s="434"/>
      <c r="T36" s="435">
        <f>SUMIFS(TransTonsShort[Avoided_Disposal2],TransTonsShort[Scenario_ID],P$11,TransTonsShort[GroupSector_ID],$C$2&amp;"-"&amp;T$11)</f>
        <v>24098738.633429803</v>
      </c>
      <c r="U36" s="435">
        <f>SUMIFS(TransTonsShort[Avoided_Disposal2],TransTonsShort[Scenario_ID],P$11,TransTonsShort[GroupSector_ID],$C$2&amp;"-"&amp;U$11)</f>
        <v>2713143.5884439703</v>
      </c>
      <c r="V36" s="435">
        <f>SUMIFS(TransTonsShort[Avoided_Disposal2],TransTonsShort[Scenario_ID],P$11,TransTonsShort[GroupSector_ID],$C$2&amp;"-"&amp;V$11)</f>
        <v>24403985.636659302</v>
      </c>
      <c r="W36" s="435">
        <f>SUMIFS(TransTonsShort[Avoided_Disposal2],TransTonsShort[Scenario_ID],P$11,TransTonsShort[GroupSector_ID],$C$2&amp;"-"&amp;W$11)</f>
        <v>5929190.3347608</v>
      </c>
      <c r="X36" s="433">
        <f>SUM(T36:W36)</f>
        <v>57145058.193293877</v>
      </c>
      <c r="Y36" s="521"/>
      <c r="AA36" s="434"/>
      <c r="AB36" s="434"/>
      <c r="AC36" s="434" t="str">
        <f>IF(OR($G36="",$G36=0),"",$G36)</f>
        <v>Avoided Disposal Tip Fees</v>
      </c>
      <c r="AD36" s="434"/>
      <c r="AE36" s="435">
        <f>SUMIFS(TransTonsShort[Avoided_Disposal2],TransTonsShort[Scenario_ID],AA$11,TransTonsShort[GroupSector_ID],$C$2&amp;"-"&amp;AE$11)</f>
        <v>26243156.086929522</v>
      </c>
      <c r="AF36" s="435">
        <f>SUMIFS(TransTonsShort[Avoided_Disposal2],TransTonsShort[Scenario_ID],AA$11,TransTonsShort[GroupSector_ID],$C$2&amp;"-"&amp;AF$11)</f>
        <v>3038394.1048749289</v>
      </c>
      <c r="AG36" s="435">
        <f>SUMIFS(TransTonsShort[Avoided_Disposal2],TransTonsShort[Scenario_ID],AA$11,TransTonsShort[GroupSector_ID],$C$2&amp;"-"&amp;AG$11)</f>
        <v>26309078.750890423</v>
      </c>
      <c r="AH36" s="435">
        <f>SUMIFS(TransTonsShort[Avoided_Disposal2],TransTonsShort[Scenario_ID],AA$11,TransTonsShort[GroupSector_ID],$C$2&amp;"-"&amp;AH$11)</f>
        <v>6397778.875389114</v>
      </c>
      <c r="AI36" s="433">
        <f>SUM(AE36:AH36)</f>
        <v>61988407.818083987</v>
      </c>
      <c r="AJ36" s="521"/>
      <c r="AL36" s="434"/>
      <c r="AM36" s="434"/>
      <c r="AN36" s="434" t="str">
        <f>IF(OR($G36="",$G36=0),"",$G36)</f>
        <v>Avoided Disposal Tip Fees</v>
      </c>
      <c r="AO36" s="434"/>
      <c r="AP36" s="435">
        <f>SUMIFS(TransTonsShort[Avoided_Disposal2],TransTonsShort[Scenario_ID],AL$11,TransTonsShort[GroupSector_ID],$C$2&amp;"-"&amp;AP$11)</f>
        <v>26243156.086929522</v>
      </c>
      <c r="AQ36" s="435">
        <f>SUMIFS(TransTonsShort[Avoided_Disposal2],TransTonsShort[Scenario_ID],AL$11,TransTonsShort[GroupSector_ID],$C$2&amp;"-"&amp;AQ$11)</f>
        <v>3038394.1048749289</v>
      </c>
      <c r="AR36" s="435">
        <f>SUMIFS(TransTonsShort[Avoided_Disposal2],TransTonsShort[Scenario_ID],AL$11,TransTonsShort[GroupSector_ID],$C$2&amp;"-"&amp;AR$11)</f>
        <v>26309078.750890423</v>
      </c>
      <c r="AS36" s="435">
        <f>SUMIFS(TransTonsShort[Avoided_Disposal2],TransTonsShort[Scenario_ID],AL$11,TransTonsShort[GroupSector_ID],$C$2&amp;"-"&amp;AS$11)</f>
        <v>6397778.875389114</v>
      </c>
      <c r="AT36" s="433">
        <f>SUM(AP36:AS36)</f>
        <v>61988407.818083987</v>
      </c>
      <c r="AU36" s="521"/>
      <c r="AW36" s="434"/>
      <c r="AX36" s="434"/>
      <c r="AY36" s="434" t="str">
        <f>IF(OR($G36="",$G36=0),"",$G36)</f>
        <v>Avoided Disposal Tip Fees</v>
      </c>
      <c r="AZ36" s="434"/>
      <c r="BA36" s="435">
        <f>SUMIFS(TransTonsShort[Avoided_Disposal2],TransTonsShort[Scenario_ID],AW$11,TransTonsShort[GroupSector_ID],$C$2&amp;"-"&amp;BA$11)</f>
        <v>26307419.391551856</v>
      </c>
      <c r="BB36" s="435">
        <f>SUMIFS(TransTonsShort[Avoided_Disposal2],TransTonsShort[Scenario_ID],AW$11,TransTonsShort[GroupSector_ID],$C$2&amp;"-"&amp;BB$11)</f>
        <v>3035910.4659397439</v>
      </c>
      <c r="BC36" s="435">
        <f>SUMIFS(TransTonsShort[Avoided_Disposal2],TransTonsShort[Scenario_ID],AW$11,TransTonsShort[GroupSector_ID],$C$2&amp;"-"&amp;BC$11)</f>
        <v>26297542.961281385</v>
      </c>
      <c r="BD36" s="435">
        <f>SUMIFS(TransTonsShort[Avoided_Disposal2],TransTonsShort[Scenario_ID],AW$11,TransTonsShort[GroupSector_ID],$C$2&amp;"-"&amp;BD$11)</f>
        <v>6354114.5418633446</v>
      </c>
      <c r="BE36" s="433">
        <f>SUM(BA36:BD36)</f>
        <v>61994987.360636331</v>
      </c>
    </row>
    <row r="37" spans="4:57" x14ac:dyDescent="0.2">
      <c r="E37" s="363" t="str">
        <f>EvaluationSummary!G211</f>
        <v>Initial Transfer Transport</v>
      </c>
      <c r="F37" s="43"/>
      <c r="G37" s="43"/>
      <c r="H37" s="43"/>
      <c r="I37" s="48">
        <f>I38</f>
        <v>2499929.6597013935</v>
      </c>
      <c r="J37" s="48">
        <f>J38</f>
        <v>132475.51430529909</v>
      </c>
      <c r="K37" s="48">
        <f>K38</f>
        <v>3951345.1415738617</v>
      </c>
      <c r="L37" s="48">
        <f>L38</f>
        <v>4493338.5859758621</v>
      </c>
      <c r="M37" s="48">
        <f t="shared" si="0"/>
        <v>11077088.901556417</v>
      </c>
      <c r="P37" s="363" t="str">
        <f>IF(OR($E37="",$E37=0),"",$E37)</f>
        <v>Initial Transfer Transport</v>
      </c>
      <c r="Q37" s="364"/>
      <c r="R37" s="364"/>
      <c r="S37" s="364"/>
      <c r="T37" s="369">
        <f>T38</f>
        <v>2350879.121568887</v>
      </c>
      <c r="U37" s="369">
        <f>U38</f>
        <v>123121.15988714571</v>
      </c>
      <c r="V37" s="369">
        <f>V38</f>
        <v>3673528.3822655259</v>
      </c>
      <c r="W37" s="369">
        <f>W38</f>
        <v>4483139.4882388366</v>
      </c>
      <c r="X37" s="369">
        <f t="shared" ref="X37:X38" si="41">SUM(T37:W37)</f>
        <v>10630668.151960395</v>
      </c>
      <c r="AA37" s="363" t="str">
        <f>IF(OR($E37="",$E37=0),"",$E37)</f>
        <v>Initial Transfer Transport</v>
      </c>
      <c r="AB37" s="364"/>
      <c r="AC37" s="364"/>
      <c r="AD37" s="364"/>
      <c r="AE37" s="369">
        <f>AE38</f>
        <v>3006867.2670992985</v>
      </c>
      <c r="AF37" s="369">
        <f>AF38</f>
        <v>168910.83132856758</v>
      </c>
      <c r="AG37" s="369">
        <f>AG38</f>
        <v>4041216.5185572882</v>
      </c>
      <c r="AH37" s="369">
        <f>AH38</f>
        <v>4729378.7542900033</v>
      </c>
      <c r="AI37" s="369">
        <f t="shared" ref="AI37:AI38" si="42">SUM(AE37:AH37)</f>
        <v>11946373.371275157</v>
      </c>
      <c r="AL37" s="363" t="str">
        <f>IF(OR($E37="",$E37=0),"",$E37)</f>
        <v>Initial Transfer Transport</v>
      </c>
      <c r="AM37" s="364"/>
      <c r="AN37" s="364"/>
      <c r="AO37" s="364"/>
      <c r="AP37" s="369">
        <f>AP38</f>
        <v>3006867.2670992985</v>
      </c>
      <c r="AQ37" s="369">
        <f>AQ38</f>
        <v>168910.83132856758</v>
      </c>
      <c r="AR37" s="369">
        <f>AR38</f>
        <v>4041216.5185572882</v>
      </c>
      <c r="AS37" s="369">
        <f>AS38</f>
        <v>4729378.7542900033</v>
      </c>
      <c r="AT37" s="369">
        <f t="shared" ref="AT37:AT38" si="43">SUM(AP37:AS37)</f>
        <v>11946373.371275157</v>
      </c>
      <c r="AW37" s="363" t="str">
        <f>IF(OR($E37="",$E37=0),"",$E37)</f>
        <v>Initial Transfer Transport</v>
      </c>
      <c r="AX37" s="364"/>
      <c r="AY37" s="364"/>
      <c r="AZ37" s="364"/>
      <c r="BA37" s="369">
        <f>BA38</f>
        <v>3655383.7008908447</v>
      </c>
      <c r="BB37" s="369">
        <f>BB38</f>
        <v>205742.25559041483</v>
      </c>
      <c r="BC37" s="369">
        <f>BC38</f>
        <v>4225282.3850110993</v>
      </c>
      <c r="BD37" s="369">
        <f>BD38</f>
        <v>4789148.6943459129</v>
      </c>
      <c r="BE37" s="369">
        <f t="shared" ref="BE37:BE38" si="44">SUM(BA37:BD37)</f>
        <v>12875557.035838272</v>
      </c>
    </row>
    <row r="38" spans="4:57" x14ac:dyDescent="0.2">
      <c r="E38" s="44"/>
      <c r="F38" s="44"/>
      <c r="G38" s="44" t="s">
        <v>1119</v>
      </c>
      <c r="H38" s="44"/>
      <c r="I38" s="370">
        <f>SUMIFS(TransTonsShort[TransportCost],TransTonsShort[Scenario_ID],$E$11,TransTonsShort[GroupSector_ID],$C$2&amp;"-"&amp;I$11)</f>
        <v>2499929.6597013935</v>
      </c>
      <c r="J38" s="370">
        <f>SUMIFS(TransTonsShort[TransportCost],TransTonsShort[Scenario_ID],$E$11,TransTonsShort[GroupSector_ID],$C$2&amp;"-"&amp;J$11)</f>
        <v>132475.51430529909</v>
      </c>
      <c r="K38" s="370">
        <f>SUMIFS(TransTonsShort[TransportCost],TransTonsShort[Scenario_ID],$E$11,TransTonsShort[GroupSector_ID],$C$2&amp;"-"&amp;K$11)</f>
        <v>3951345.1415738617</v>
      </c>
      <c r="L38" s="370">
        <f>SUMIFS(TransTonsShort[TransportCost],TransTonsShort[Scenario_ID],$E$11,TransTonsShort[GroupSector_ID],$C$2&amp;"-"&amp;L$11)</f>
        <v>4493338.5859758621</v>
      </c>
      <c r="M38" s="49">
        <f t="shared" si="0"/>
        <v>11077088.901556417</v>
      </c>
      <c r="P38" s="365"/>
      <c r="Q38" s="365"/>
      <c r="R38" s="365" t="str">
        <f>IF(OR($G38="",$G38=0),"",$G38)</f>
        <v>Consolidation and Transfer to MRF</v>
      </c>
      <c r="S38" s="365"/>
      <c r="T38" s="370">
        <f>SUMIFS(TransTonsShort[TransportCost],TransTonsShort[Scenario_ID],$P$11,TransTonsShort[GroupSector_ID],$C$2&amp;"-"&amp;T$11)</f>
        <v>2350879.121568887</v>
      </c>
      <c r="U38" s="370">
        <f>SUMIFS(TransTonsShort[TransportCost],TransTonsShort[Scenario_ID],$P$11,TransTonsShort[GroupSector_ID],$C$2&amp;"-"&amp;U$11)</f>
        <v>123121.15988714571</v>
      </c>
      <c r="V38" s="370">
        <f>SUMIFS(TransTonsShort[TransportCost],TransTonsShort[Scenario_ID],$P$11,TransTonsShort[GroupSector_ID],$C$2&amp;"-"&amp;V$11)</f>
        <v>3673528.3822655259</v>
      </c>
      <c r="W38" s="370">
        <f>SUMIFS(TransTonsShort[TransportCost],TransTonsShort[Scenario_ID],$P$11,TransTonsShort[GroupSector_ID],$C$2&amp;"-"&amp;W$11)</f>
        <v>4483139.4882388366</v>
      </c>
      <c r="X38" s="370">
        <f t="shared" si="41"/>
        <v>10630668.151960395</v>
      </c>
      <c r="AA38" s="365"/>
      <c r="AB38" s="365"/>
      <c r="AC38" s="365" t="str">
        <f>IF(OR($G38="",$G38=0),"",$G38)</f>
        <v>Consolidation and Transfer to MRF</v>
      </c>
      <c r="AD38" s="365"/>
      <c r="AE38" s="370">
        <f>SUMIFS(TransTonsShort[TransportCost],TransTonsShort[Scenario_ID],$AA$11,TransTonsShort[GroupSector_ID],$C$2&amp;"-"&amp;AE$11)</f>
        <v>3006867.2670992985</v>
      </c>
      <c r="AF38" s="370">
        <f>SUMIFS(TransTonsShort[TransportCost],TransTonsShort[Scenario_ID],$AA$11,TransTonsShort[GroupSector_ID],$C$2&amp;"-"&amp;AF$11)</f>
        <v>168910.83132856758</v>
      </c>
      <c r="AG38" s="370">
        <f>SUMIFS(TransTonsShort[TransportCost],TransTonsShort[Scenario_ID],$AA$11,TransTonsShort[GroupSector_ID],$C$2&amp;"-"&amp;AG$11)</f>
        <v>4041216.5185572882</v>
      </c>
      <c r="AH38" s="370">
        <f>SUMIFS(TransTonsShort[TransportCost],TransTonsShort[Scenario_ID],$AA$11,TransTonsShort[GroupSector_ID],$C$2&amp;"-"&amp;AH$11)</f>
        <v>4729378.7542900033</v>
      </c>
      <c r="AI38" s="370">
        <f t="shared" si="42"/>
        <v>11946373.371275157</v>
      </c>
      <c r="AL38" s="365"/>
      <c r="AM38" s="365"/>
      <c r="AN38" s="365" t="str">
        <f>IF(OR($G38="",$G38=0),"",$G38)</f>
        <v>Consolidation and Transfer to MRF</v>
      </c>
      <c r="AO38" s="365"/>
      <c r="AP38" s="370">
        <f>SUMIFS(TransTonsShort[TransportCost],TransTonsShort[Scenario_ID],$AL$11,TransTonsShort[GroupSector_ID],$C$2&amp;"-"&amp;AP$11)</f>
        <v>3006867.2670992985</v>
      </c>
      <c r="AQ38" s="370">
        <f>SUMIFS(TransTonsShort[TransportCost],TransTonsShort[Scenario_ID],$AL$11,TransTonsShort[GroupSector_ID],$C$2&amp;"-"&amp;AQ$11)</f>
        <v>168910.83132856758</v>
      </c>
      <c r="AR38" s="370">
        <f>SUMIFS(TransTonsShort[TransportCost],TransTonsShort[Scenario_ID],$AL$11,TransTonsShort[GroupSector_ID],$C$2&amp;"-"&amp;AR$11)</f>
        <v>4041216.5185572882</v>
      </c>
      <c r="AS38" s="370">
        <f>SUMIFS(TransTonsShort[TransportCost],TransTonsShort[Scenario_ID],$AL$11,TransTonsShort[GroupSector_ID],$C$2&amp;"-"&amp;AS$11)</f>
        <v>4729378.7542900033</v>
      </c>
      <c r="AT38" s="370">
        <f t="shared" si="43"/>
        <v>11946373.371275157</v>
      </c>
      <c r="AW38" s="365"/>
      <c r="AX38" s="365"/>
      <c r="AY38" s="365" t="str">
        <f>IF(OR($G38="",$G38=0),"",$G38)</f>
        <v>Consolidation and Transfer to MRF</v>
      </c>
      <c r="AZ38" s="365"/>
      <c r="BA38" s="370">
        <f>SUMIFS(TransTonsShort[TransportCost],TransTonsShort[Scenario_ID],$AW$11,TransTonsShort[GroupSector_ID],$C$2&amp;"-"&amp;BA$11)</f>
        <v>3655383.7008908447</v>
      </c>
      <c r="BB38" s="370">
        <f>SUMIFS(TransTonsShort[TransportCost],TransTonsShort[Scenario_ID],$AW$11,TransTonsShort[GroupSector_ID],$C$2&amp;"-"&amp;BB$11)</f>
        <v>205742.25559041483</v>
      </c>
      <c r="BC38" s="370">
        <f>SUMIFS(TransTonsShort[TransportCost],TransTonsShort[Scenario_ID],$AW$11,TransTonsShort[GroupSector_ID],$C$2&amp;"-"&amp;BC$11)</f>
        <v>4225282.3850110993</v>
      </c>
      <c r="BD38" s="370">
        <f>SUMIFS(TransTonsShort[TransportCost],TransTonsShort[Scenario_ID],$AW$11,TransTonsShort[GroupSector_ID],$C$2&amp;"-"&amp;BD$11)</f>
        <v>4789148.6943459129</v>
      </c>
      <c r="BE38" s="370">
        <f t="shared" si="44"/>
        <v>12875557.035838272</v>
      </c>
    </row>
    <row r="39" spans="4:57" x14ac:dyDescent="0.2">
      <c r="E39" s="42" t="str">
        <f>EvaluationSummary!G213</f>
        <v>Sortation</v>
      </c>
      <c r="F39" s="43"/>
      <c r="G39" s="43"/>
      <c r="H39" s="43"/>
      <c r="I39" s="369">
        <f>SUM(I40:I46)</f>
        <v>30345629.078178626</v>
      </c>
      <c r="J39" s="369">
        <f t="shared" ref="J39:L39" si="45">SUM(J40:J46)</f>
        <v>3043439.522614121</v>
      </c>
      <c r="K39" s="369">
        <f t="shared" si="45"/>
        <v>32733610.273019753</v>
      </c>
      <c r="L39" s="369">
        <f t="shared" si="45"/>
        <v>555331.6248650921</v>
      </c>
      <c r="M39" s="48">
        <f>SUM(M40:M46)</f>
        <v>67163253.335622892</v>
      </c>
      <c r="P39" s="363" t="str">
        <f>IF(OR($E39="",$E39=0),"",$E39)</f>
        <v>Sortation</v>
      </c>
      <c r="Q39" s="364"/>
      <c r="R39" s="364"/>
      <c r="S39" s="364"/>
      <c r="T39" s="369">
        <f t="shared" ref="T39:W39" si="46">SUM(T40:T46)</f>
        <v>27815666.496672023</v>
      </c>
      <c r="U39" s="369">
        <f t="shared" si="46"/>
        <v>2694495.3215077352</v>
      </c>
      <c r="V39" s="369">
        <f t="shared" si="46"/>
        <v>29970071.436270695</v>
      </c>
      <c r="W39" s="369">
        <f t="shared" si="46"/>
        <v>951438.32582322811</v>
      </c>
      <c r="X39" s="369">
        <f>SUM(X40:X46)</f>
        <v>61431671.580273688</v>
      </c>
      <c r="AA39" s="363" t="str">
        <f>IF(OR($E39="",$E39=0),"",$E39)</f>
        <v>Sortation</v>
      </c>
      <c r="AB39" s="364"/>
      <c r="AC39" s="364"/>
      <c r="AD39" s="364"/>
      <c r="AE39" s="369">
        <f t="shared" ref="AE39:AH39" si="47">SUM(AE40:AE46)</f>
        <v>27936961.73524455</v>
      </c>
      <c r="AF39" s="369">
        <f t="shared" si="47"/>
        <v>2849067.8638101295</v>
      </c>
      <c r="AG39" s="369">
        <f t="shared" si="47"/>
        <v>29839438.994980406</v>
      </c>
      <c r="AH39" s="369">
        <f t="shared" si="47"/>
        <v>1169237.283130184</v>
      </c>
      <c r="AI39" s="369">
        <f>SUM(AI40:AI46)</f>
        <v>61794705.877165265</v>
      </c>
      <c r="AL39" s="363" t="str">
        <f>IF(OR($E39="",$E39=0),"",$E39)</f>
        <v>Sortation</v>
      </c>
      <c r="AM39" s="364"/>
      <c r="AN39" s="364"/>
      <c r="AO39" s="364"/>
      <c r="AP39" s="369">
        <f t="shared" ref="AP39:AS39" si="48">SUM(AP40:AP46)</f>
        <v>27519882.136407617</v>
      </c>
      <c r="AQ39" s="369">
        <f t="shared" si="48"/>
        <v>2806533.2427243283</v>
      </c>
      <c r="AR39" s="369">
        <f t="shared" si="48"/>
        <v>29393956.720870234</v>
      </c>
      <c r="AS39" s="369">
        <f t="shared" si="48"/>
        <v>1151781.3757335716</v>
      </c>
      <c r="AT39" s="369">
        <f>SUM(AT40:AT46)</f>
        <v>60872153.475735746</v>
      </c>
      <c r="AW39" s="363" t="str">
        <f>IF(OR($E39="",$E39=0),"",$E39)</f>
        <v>Sortation</v>
      </c>
      <c r="AX39" s="364"/>
      <c r="AY39" s="364"/>
      <c r="AZ39" s="364"/>
      <c r="BA39" s="369">
        <f t="shared" ref="BA39:BD39" si="49">SUM(BA40:BA46)</f>
        <v>26906819.211078271</v>
      </c>
      <c r="BB39" s="369">
        <f t="shared" si="49"/>
        <v>2730515.7918473352</v>
      </c>
      <c r="BC39" s="369">
        <f t="shared" si="49"/>
        <v>28611755.086589772</v>
      </c>
      <c r="BD39" s="369">
        <f t="shared" si="49"/>
        <v>1072219.6801657053</v>
      </c>
      <c r="BE39" s="369">
        <f>SUM(BE40:BE46)</f>
        <v>59321309.769681096</v>
      </c>
    </row>
    <row r="40" spans="4:57" s="365" customFormat="1" x14ac:dyDescent="0.2">
      <c r="D40" s="521"/>
      <c r="G40" s="365" t="s">
        <v>35</v>
      </c>
      <c r="I40" s="412">
        <f>(I$51/$M$51)*$M40</f>
        <v>14150836.564993635</v>
      </c>
      <c r="J40" s="412">
        <f t="shared" ref="I40:L46" si="50">(J$51/$M$51)*$M40</f>
        <v>1419223.0178851052</v>
      </c>
      <c r="K40" s="412">
        <f t="shared" si="50"/>
        <v>15264404.898720307</v>
      </c>
      <c r="M40" s="370">
        <f>(M$8/M$9)*SUMIFS(MRF1_CostTotal[MRF_Sort_Maintenance_Labor],MRF1_CostTotal[Scenario_ID],E$11)</f>
        <v>31319707.318544343</v>
      </c>
      <c r="N40"/>
      <c r="R40" s="365" t="str">
        <f t="shared" ref="R40:R46" si="51">IF(OR($G40="",$G40=0),"",$G40)</f>
        <v>Sortation Labor</v>
      </c>
      <c r="T40" s="412">
        <f t="shared" ref="T40:W46" si="52">(T$51/$X$51)*$X40</f>
        <v>12314159.163468305</v>
      </c>
      <c r="U40" s="412">
        <f t="shared" si="52"/>
        <v>1192868.9272369868</v>
      </c>
      <c r="V40" s="412">
        <f t="shared" si="52"/>
        <v>13267926.901945991</v>
      </c>
      <c r="W40" s="412">
        <f t="shared" si="52"/>
        <v>421207.34298467438</v>
      </c>
      <c r="X40" s="370">
        <f>(X$8/X$9)*SUMIFS(MRF1_CostTotal[MRF_Sort_Maintenance_Labor],MRF1_CostTotal[Scenario_ID],P$11)</f>
        <v>27196162.33563596</v>
      </c>
      <c r="Y40" s="521"/>
      <c r="AC40" s="365" t="str">
        <f t="shared" ref="AC40:AC46" si="53">IF(OR($G40="",$G40=0),"",$G40)</f>
        <v>Sortation Labor</v>
      </c>
      <c r="AE40" s="412">
        <f t="shared" ref="AE40:AH46" si="54">(AE$51/$AI$51)*$AI40</f>
        <v>11279251.930102346</v>
      </c>
      <c r="AF40" s="412">
        <f t="shared" si="54"/>
        <v>1150280.9255500333</v>
      </c>
      <c r="AG40" s="412">
        <f t="shared" si="54"/>
        <v>12047356.941205967</v>
      </c>
      <c r="AH40" s="412">
        <f t="shared" si="54"/>
        <v>472067.14915802586</v>
      </c>
      <c r="AI40" s="370">
        <f>(AI$8/AI$9)*SUMIFS(MRF1_CostTotal[MRF_Sort_Maintenance_Labor],MRF1_CostTotal[Scenario_ID],AA$11)</f>
        <v>24948956.946016371</v>
      </c>
      <c r="AJ40" s="521"/>
      <c r="AN40" s="365" t="str">
        <f t="shared" ref="AN40:AN46" si="55">IF(OR($G40="",$G40=0),"",$G40)</f>
        <v>Sortation Labor</v>
      </c>
      <c r="AP40" s="412">
        <f t="shared" ref="AP40:AS46" si="56">(AP$51/$AT$51)*$AT40</f>
        <v>10932356.07716649</v>
      </c>
      <c r="AQ40" s="412">
        <f t="shared" si="56"/>
        <v>1114903.7848267562</v>
      </c>
      <c r="AR40" s="412">
        <f t="shared" si="56"/>
        <v>11676837.851142125</v>
      </c>
      <c r="AS40" s="412">
        <f t="shared" si="56"/>
        <v>457548.62103532918</v>
      </c>
      <c r="AT40" s="370">
        <f>(AT$8/AT$9)*SUMIFS(MRF1_CostTotal[MRF_Sort_Maintenance_Labor],MRF1_CostTotal[Scenario_ID],AL$11)</f>
        <v>24181646.334170699</v>
      </c>
      <c r="AU40" s="521"/>
      <c r="AY40" s="365" t="str">
        <f t="shared" ref="AY40:AY46" si="57">IF(OR($G40="",$G40=0),"",$G40)</f>
        <v>Sortation Labor</v>
      </c>
      <c r="BA40" s="412">
        <f t="shared" ref="BA40:BD46" si="58">(BA$51/$BE$51)*$BE40</f>
        <v>10856531.649857754</v>
      </c>
      <c r="BB40" s="412">
        <f t="shared" si="58"/>
        <v>1101725.5842125623</v>
      </c>
      <c r="BC40" s="412">
        <f t="shared" si="58"/>
        <v>11544449.837000724</v>
      </c>
      <c r="BD40" s="412">
        <f t="shared" si="58"/>
        <v>432625.90059424751</v>
      </c>
      <c r="BE40" s="370">
        <f>(BE$8/BE$9)*SUMIFS(MRF1_CostTotal[MRF_Sort_Maintenance_Labor],MRF1_CostTotal[Scenario_ID],AW$11)</f>
        <v>23935332.971665289</v>
      </c>
    </row>
    <row r="41" spans="4:57" s="365" customFormat="1" x14ac:dyDescent="0.2">
      <c r="D41" s="521"/>
      <c r="G41" s="365" t="s">
        <v>36</v>
      </c>
      <c r="I41" s="412">
        <f t="shared" si="50"/>
        <v>879901.84586778376</v>
      </c>
      <c r="J41" s="412">
        <f t="shared" si="50"/>
        <v>88247.570905057117</v>
      </c>
      <c r="K41" s="412">
        <f t="shared" si="50"/>
        <v>949143.74742220622</v>
      </c>
      <c r="L41" s="412">
        <f t="shared" si="50"/>
        <v>30172.496584301785</v>
      </c>
      <c r="M41" s="370">
        <f>(M$8/M$9)*SUMIFS(MRF1_CostTotal[MRF_Capital],MRF1_CostTotal[Scenario_ID],E$11)</f>
        <v>1947465.660779349</v>
      </c>
      <c r="N41"/>
      <c r="R41" s="365" t="str">
        <f t="shared" si="51"/>
        <v>Sortation Capital</v>
      </c>
      <c r="T41" s="412">
        <f t="shared" si="52"/>
        <v>2498977.8912327341</v>
      </c>
      <c r="U41" s="412">
        <f t="shared" si="52"/>
        <v>242075.24336271032</v>
      </c>
      <c r="V41" s="412">
        <f t="shared" si="52"/>
        <v>2692531.0571604259</v>
      </c>
      <c r="W41" s="412">
        <f t="shared" si="52"/>
        <v>85477.849016783483</v>
      </c>
      <c r="X41" s="370">
        <f>(X$8/X$9)*SUMIFS(MRF1_CostTotal[MRF_Capital],MRF1_CostTotal[Scenario_ID],P$11)</f>
        <v>5519062.0407726541</v>
      </c>
      <c r="Y41" s="521"/>
      <c r="AC41" s="365" t="str">
        <f t="shared" si="53"/>
        <v>Sortation Capital</v>
      </c>
      <c r="AE41" s="412">
        <f t="shared" si="54"/>
        <v>2662305.9083922906</v>
      </c>
      <c r="AF41" s="412">
        <f t="shared" si="54"/>
        <v>271507.34138935211</v>
      </c>
      <c r="AG41" s="412">
        <f t="shared" si="54"/>
        <v>2843606.0976246395</v>
      </c>
      <c r="AH41" s="412">
        <f t="shared" si="54"/>
        <v>111424.69094135333</v>
      </c>
      <c r="AI41" s="370">
        <f>(AI$8/AI$9)*SUMIFS(MRF1_CostTotal[MRF_Capital],MRF1_CostTotal[Scenario_ID],AA$11)</f>
        <v>5888844.0383476354</v>
      </c>
      <c r="AJ41" s="521"/>
      <c r="AN41" s="365" t="str">
        <f t="shared" si="55"/>
        <v>Sortation Capital</v>
      </c>
      <c r="AP41" s="412">
        <f t="shared" si="56"/>
        <v>2446970.1689275582</v>
      </c>
      <c r="AQ41" s="412">
        <f t="shared" si="56"/>
        <v>249546.96713488273</v>
      </c>
      <c r="AR41" s="412">
        <f t="shared" si="56"/>
        <v>2613606.2242636564</v>
      </c>
      <c r="AS41" s="412">
        <f t="shared" si="56"/>
        <v>102412.30880192634</v>
      </c>
      <c r="AT41" s="370">
        <f>(AT$8/AT$9)*SUMIFS(MRF1_CostTotal[MRF_Capital],MRF1_CostTotal[Scenario_ID],AL$11)</f>
        <v>5412535.6691280231</v>
      </c>
      <c r="AU41" s="521"/>
      <c r="AY41" s="365" t="str">
        <f t="shared" si="57"/>
        <v>Sortation Capital</v>
      </c>
      <c r="BA41" s="412">
        <f t="shared" si="58"/>
        <v>2549527.3955857889</v>
      </c>
      <c r="BB41" s="412">
        <f t="shared" si="58"/>
        <v>258727.15614516617</v>
      </c>
      <c r="BC41" s="412">
        <f t="shared" si="58"/>
        <v>2711076.8038690221</v>
      </c>
      <c r="BD41" s="412">
        <f t="shared" si="58"/>
        <v>101597.04970044093</v>
      </c>
      <c r="BE41" s="370">
        <f>(BE$8/BE$9)*SUMIFS(MRF1_CostTotal[MRF_Capital],MRF1_CostTotal[Scenario_ID],AW$11)</f>
        <v>5620928.4053004179</v>
      </c>
    </row>
    <row r="42" spans="4:57" s="365" customFormat="1" x14ac:dyDescent="0.2">
      <c r="D42" s="521"/>
      <c r="G42" s="365" t="s">
        <v>37</v>
      </c>
      <c r="I42" s="412">
        <f t="shared" si="50"/>
        <v>5341317.4843781395</v>
      </c>
      <c r="J42" s="412">
        <f t="shared" si="50"/>
        <v>535694.17502950516</v>
      </c>
      <c r="K42" s="412">
        <f t="shared" si="50"/>
        <v>5761640.4796770951</v>
      </c>
      <c r="L42" s="412">
        <f t="shared" si="50"/>
        <v>183157.79687236529</v>
      </c>
      <c r="M42" s="370">
        <f>(M$8/M$9)*SUMIFS(MRF1_CostTotal[MRF_Facility-Maintenance],MRF1_CostTotal[Scenario_ID],E$11)</f>
        <v>11821809.935957106</v>
      </c>
      <c r="N42"/>
      <c r="R42" s="365" t="str">
        <f t="shared" si="51"/>
        <v>Sortation Facility</v>
      </c>
      <c r="T42" s="412">
        <f t="shared" si="52"/>
        <v>4965795.210397643</v>
      </c>
      <c r="U42" s="412">
        <f t="shared" si="52"/>
        <v>481035.10169647896</v>
      </c>
      <c r="V42" s="412">
        <f t="shared" si="52"/>
        <v>5350410.611635508</v>
      </c>
      <c r="W42" s="412">
        <f t="shared" si="52"/>
        <v>169855.64167326406</v>
      </c>
      <c r="X42" s="370">
        <f>(X$8/X$9)*SUMIFS(MRF1_CostTotal[MRF_Facility-Maintenance],MRF1_CostTotal[Scenario_ID],P$11)</f>
        <v>10967096.565402895</v>
      </c>
      <c r="Y42" s="521"/>
      <c r="AC42" s="365" t="str">
        <f t="shared" si="53"/>
        <v>Sortation Facility</v>
      </c>
      <c r="AE42" s="412">
        <f t="shared" si="54"/>
        <v>5480917.8697359608</v>
      </c>
      <c r="AF42" s="412">
        <f t="shared" si="54"/>
        <v>558955.09020751086</v>
      </c>
      <c r="AG42" s="412">
        <f t="shared" si="54"/>
        <v>5854162.5234843204</v>
      </c>
      <c r="AH42" s="412">
        <f t="shared" si="54"/>
        <v>229391.21225143675</v>
      </c>
      <c r="AI42" s="370">
        <f>(AI$8/AI$9)*SUMIFS(MRF1_CostTotal[MRF_Facility-Maintenance],MRF1_CostTotal[Scenario_ID],AA$11)</f>
        <v>12123426.695679229</v>
      </c>
      <c r="AJ42" s="521"/>
      <c r="AN42" s="365" t="str">
        <f t="shared" si="55"/>
        <v>Sortation Facility</v>
      </c>
      <c r="AP42" s="412">
        <f t="shared" si="56"/>
        <v>5512028.8273989251</v>
      </c>
      <c r="AQ42" s="412">
        <f t="shared" si="56"/>
        <v>562127.84859583934</v>
      </c>
      <c r="AR42" s="412">
        <f t="shared" si="56"/>
        <v>5887392.1041401252</v>
      </c>
      <c r="AS42" s="412">
        <f t="shared" si="56"/>
        <v>230693.28983446653</v>
      </c>
      <c r="AT42" s="370">
        <f>(AT$8/AT$9)*SUMIFS(MRF1_CostTotal[MRF_Facility-Maintenance],MRF1_CostTotal[Scenario_ID],AL$11)</f>
        <v>12192242.069969356</v>
      </c>
      <c r="AU42" s="521"/>
      <c r="AY42" s="365" t="str">
        <f t="shared" si="57"/>
        <v>Sortation Facility</v>
      </c>
      <c r="BA42" s="412">
        <f t="shared" si="58"/>
        <v>5536824.1887331428</v>
      </c>
      <c r="BB42" s="412">
        <f t="shared" si="58"/>
        <v>561879.34238594456</v>
      </c>
      <c r="BC42" s="412">
        <f t="shared" si="58"/>
        <v>5887662.0236223862</v>
      </c>
      <c r="BD42" s="412">
        <f t="shared" si="58"/>
        <v>220638.93224260755</v>
      </c>
      <c r="BE42" s="370">
        <f>(BE$8/BE$9)*SUMIFS(MRF1_CostTotal[MRF_Facility-Maintenance],MRF1_CostTotal[Scenario_ID],AW$11)</f>
        <v>12207004.486984082</v>
      </c>
    </row>
    <row r="43" spans="4:57" s="365" customFormat="1" x14ac:dyDescent="0.2">
      <c r="D43" s="521"/>
      <c r="G43" s="365" t="s">
        <v>3586</v>
      </c>
      <c r="I43" s="370">
        <f t="shared" si="50"/>
        <v>200052.67830664935</v>
      </c>
      <c r="J43" s="370">
        <f t="shared" si="50"/>
        <v>20063.786655887274</v>
      </c>
      <c r="K43" s="370">
        <f t="shared" si="50"/>
        <v>215795.37497453316</v>
      </c>
      <c r="L43" s="370">
        <f t="shared" si="50"/>
        <v>6859.9569159158227</v>
      </c>
      <c r="M43" s="370">
        <f>(M$8/M$9)*SUMIFS(SecondaryTransport[Container_Transfer],SecondaryTransport[Scenario_ID],E$11)</f>
        <v>442771.79685298563</v>
      </c>
      <c r="N43"/>
      <c r="R43" s="365" t="str">
        <f>IF(OR($G43="",$G43=0),"",$G43)</f>
        <v>Glass and Unsorted Container Transfer</v>
      </c>
      <c r="T43" s="370">
        <f t="shared" si="52"/>
        <v>200482.78548470506</v>
      </c>
      <c r="U43" s="370">
        <f t="shared" si="52"/>
        <v>19420.707664725862</v>
      </c>
      <c r="V43" s="370">
        <f t="shared" si="52"/>
        <v>216010.76513618772</v>
      </c>
      <c r="W43" s="370">
        <f t="shared" si="52"/>
        <v>6857.5385673669516</v>
      </c>
      <c r="X43" s="370">
        <f>(X$8/X$9)*SUMIFS(SecondaryTransport[Container_Transfer],SecondaryTransport[Scenario_ID],P$11)</f>
        <v>442771.79685298563</v>
      </c>
      <c r="Y43" s="521"/>
      <c r="AC43" s="365" t="str">
        <f>IF(OR($G43="",$G43=0),"",$G43)</f>
        <v>Glass and Unsorted Container Transfer</v>
      </c>
      <c r="AE43" s="370">
        <f t="shared" si="54"/>
        <v>428228.39942625724</v>
      </c>
      <c r="AF43" s="370">
        <f t="shared" si="54"/>
        <v>43671.598319763296</v>
      </c>
      <c r="AG43" s="370">
        <f t="shared" si="54"/>
        <v>457390.29611360311</v>
      </c>
      <c r="AH43" s="370">
        <f t="shared" si="54"/>
        <v>17922.514804917861</v>
      </c>
      <c r="AI43" s="370">
        <f>(AI$8/AI$9)*SUMIFS(SecondaryTransport[Container_Transfer],SecondaryTransport[Scenario_ID],AA$11)</f>
        <v>947212.80866454146</v>
      </c>
      <c r="AJ43" s="521"/>
      <c r="AN43" s="365" t="str">
        <f>IF(OR($G43="",$G43=0),"",$G43)</f>
        <v>Glass and Unsorted Container Transfer</v>
      </c>
      <c r="AP43" s="370">
        <f t="shared" si="56"/>
        <v>758415.86493472627</v>
      </c>
      <c r="AQ43" s="370">
        <f t="shared" si="56"/>
        <v>77344.783898361769</v>
      </c>
      <c r="AR43" s="370">
        <f t="shared" si="56"/>
        <v>810063.17540946999</v>
      </c>
      <c r="AS43" s="370">
        <f t="shared" si="56"/>
        <v>31741.751798313271</v>
      </c>
      <c r="AT43" s="370">
        <f>(AT$8/AT$9)*SUMIFS(SecondaryTransport[Container_Transfer],SecondaryTransport[Scenario_ID],AL$11)</f>
        <v>1677565.5760408712</v>
      </c>
      <c r="AU43" s="521"/>
      <c r="AY43" s="365" t="str">
        <f>IF(OR($G43="",$G43=0),"",$G43)</f>
        <v>Glass and Unsorted Container Transfer</v>
      </c>
      <c r="BA43" s="370">
        <f t="shared" si="58"/>
        <v>217936.48057797589</v>
      </c>
      <c r="BB43" s="370">
        <f t="shared" si="58"/>
        <v>22116.289449508138</v>
      </c>
      <c r="BC43" s="370">
        <f t="shared" si="58"/>
        <v>231745.90641182259</v>
      </c>
      <c r="BD43" s="370">
        <f t="shared" si="58"/>
        <v>8684.6305268794476</v>
      </c>
      <c r="BE43" s="370">
        <f>(BE$8/BE$9)*SUMIFS(SecondaryTransport[Container_Transfer],SecondaryTransport[Scenario_ID],AW$11)</f>
        <v>480483.30696618609</v>
      </c>
    </row>
    <row r="44" spans="4:57" s="365" customFormat="1" x14ac:dyDescent="0.2">
      <c r="D44" s="521"/>
      <c r="G44" s="365" t="s">
        <v>38</v>
      </c>
      <c r="I44" s="412">
        <f t="shared" si="50"/>
        <v>4890816.7225786075</v>
      </c>
      <c r="J44" s="412">
        <f t="shared" si="50"/>
        <v>490512.31968235748</v>
      </c>
      <c r="K44" s="412">
        <f t="shared" si="50"/>
        <v>5275688.5712011391</v>
      </c>
      <c r="L44" s="412">
        <f t="shared" si="50"/>
        <v>167709.78666479926</v>
      </c>
      <c r="M44" s="370">
        <f>(M$8/M$9)*SUMIFS(MRF1_CostTotal[MRF_Residual],MRF1_CostTotal[Scenario_ID],E$11)</f>
        <v>10824727.400126904</v>
      </c>
      <c r="N44"/>
      <c r="R44" s="365" t="str">
        <f t="shared" si="51"/>
        <v>Sortation Residual Disposal</v>
      </c>
      <c r="T44" s="412">
        <f t="shared" si="52"/>
        <v>3135287.3890625495</v>
      </c>
      <c r="U44" s="412">
        <f t="shared" si="52"/>
        <v>303714.35472962679</v>
      </c>
      <c r="V44" s="412">
        <f t="shared" si="52"/>
        <v>3378124.5915745208</v>
      </c>
      <c r="W44" s="412">
        <f t="shared" si="52"/>
        <v>107242.89438763779</v>
      </c>
      <c r="X44" s="370">
        <f>(X$8/X$9)*SUMIFS(MRF1_CostTotal[MRF_Residual],MRF1_CostTotal[Scenario_ID],P$11)</f>
        <v>6924369.2297543352</v>
      </c>
      <c r="Y44" s="521"/>
      <c r="AC44" s="365" t="str">
        <f t="shared" si="53"/>
        <v>Sortation Residual Disposal</v>
      </c>
      <c r="AE44" s="412">
        <f t="shared" si="54"/>
        <v>3397267.5136588048</v>
      </c>
      <c r="AF44" s="412">
        <f t="shared" si="54"/>
        <v>346460.21244753344</v>
      </c>
      <c r="AG44" s="412">
        <f t="shared" si="54"/>
        <v>3628617.8033297607</v>
      </c>
      <c r="AH44" s="412">
        <f t="shared" si="54"/>
        <v>142184.81864209363</v>
      </c>
      <c r="AI44" s="370">
        <f>(AI$8/AI$9)*SUMIFS(MRF1_CostTotal[MRF_Residual],MRF1_CostTotal[Scenario_ID],AA$11)</f>
        <v>7514530.3480781922</v>
      </c>
      <c r="AJ44" s="521"/>
      <c r="AN44" s="365" t="str">
        <f t="shared" si="55"/>
        <v>Sortation Residual Disposal</v>
      </c>
      <c r="AP44" s="412">
        <f t="shared" si="56"/>
        <v>3236474.1999284602</v>
      </c>
      <c r="AQ44" s="412">
        <f t="shared" si="56"/>
        <v>330062.18508843362</v>
      </c>
      <c r="AR44" s="412">
        <f t="shared" si="56"/>
        <v>3456874.6366487411</v>
      </c>
      <c r="AS44" s="412">
        <f t="shared" si="56"/>
        <v>135455.18429340262</v>
      </c>
      <c r="AT44" s="370">
        <f>(AT$8/AT$9)*SUMIFS(MRF1_CostTotal[MRF_Residual],MRF1_CostTotal[Scenario_ID],AL$11)</f>
        <v>7158866.2059590369</v>
      </c>
      <c r="AU44" s="521"/>
      <c r="AY44" s="365" t="str">
        <f t="shared" si="57"/>
        <v>Sortation Residual Disposal</v>
      </c>
      <c r="BA44" s="412">
        <f t="shared" si="58"/>
        <v>3109033.1503476566</v>
      </c>
      <c r="BB44" s="412">
        <f t="shared" si="58"/>
        <v>315506.04505886324</v>
      </c>
      <c r="BC44" s="412">
        <f t="shared" si="58"/>
        <v>3306035.3346117791</v>
      </c>
      <c r="BD44" s="412">
        <f t="shared" si="58"/>
        <v>123892.9991664648</v>
      </c>
      <c r="BE44" s="370">
        <f>(BE$8/BE$9)*SUMIFS(MRF1_CostTotal[MRF_Residual],MRF1_CostTotal[Scenario_ID],AW$11)</f>
        <v>6854467.5291847643</v>
      </c>
    </row>
    <row r="45" spans="4:57" s="365" customFormat="1" x14ac:dyDescent="0.2">
      <c r="D45" s="521"/>
      <c r="G45" s="365" t="s">
        <v>39</v>
      </c>
      <c r="I45" s="412">
        <f t="shared" si="50"/>
        <v>2649698.1228040345</v>
      </c>
      <c r="J45" s="412">
        <f t="shared" si="50"/>
        <v>265744.89423708012</v>
      </c>
      <c r="K45" s="412">
        <f t="shared" si="50"/>
        <v>2858210.1715396424</v>
      </c>
      <c r="L45" s="412">
        <f t="shared" si="50"/>
        <v>90860.14302071229</v>
      </c>
      <c r="M45" s="370">
        <f>SUMIFS(MRF1_CostTotal[MRF_AdminMarket],MRF1_CostTotal[Scenario_ID],E$11)</f>
        <v>5864513.3316014698</v>
      </c>
      <c r="N45"/>
      <c r="R45" s="365" t="str">
        <f t="shared" si="51"/>
        <v>Sortation Administrative &amp; Marketing</v>
      </c>
      <c r="T45" s="412">
        <f t="shared" si="52"/>
        <v>2655394.8932344299</v>
      </c>
      <c r="U45" s="412">
        <f t="shared" si="52"/>
        <v>257227.3117177239</v>
      </c>
      <c r="V45" s="412">
        <f t="shared" si="52"/>
        <v>2861063.0146599519</v>
      </c>
      <c r="W45" s="412">
        <f t="shared" si="52"/>
        <v>90828.111989363606</v>
      </c>
      <c r="X45" s="370">
        <f>SUMIFS(MRF1_CostTotal[MRF_AdminMarket],MRF1_CostTotal[Scenario_ID],P$11)</f>
        <v>5864513.3316014698</v>
      </c>
      <c r="Y45" s="521"/>
      <c r="AC45" s="365" t="str">
        <f t="shared" si="53"/>
        <v>Sortation Administrative &amp; Marketing</v>
      </c>
      <c r="AE45" s="412">
        <f t="shared" si="54"/>
        <v>2651306.1631275387</v>
      </c>
      <c r="AF45" s="412">
        <f t="shared" si="54"/>
        <v>270385.56511887221</v>
      </c>
      <c r="AG45" s="412">
        <f t="shared" si="54"/>
        <v>2831857.2814542037</v>
      </c>
      <c r="AH45" s="412">
        <f t="shared" si="54"/>
        <v>110964.32190085537</v>
      </c>
      <c r="AI45" s="370">
        <f>SUMIFS(MRF1_CostTotal[MRF_AdminMarket],MRF1_CostTotal[Scenario_ID],AA$11)</f>
        <v>5864513.3316014698</v>
      </c>
      <c r="AJ45" s="521"/>
      <c r="AN45" s="365" t="str">
        <f t="shared" si="55"/>
        <v>Sortation Administrative &amp; Marketing</v>
      </c>
      <c r="AP45" s="412">
        <f t="shared" si="56"/>
        <v>2651306.1631275387</v>
      </c>
      <c r="AQ45" s="412">
        <f t="shared" si="56"/>
        <v>270385.56511887221</v>
      </c>
      <c r="AR45" s="412">
        <f t="shared" si="56"/>
        <v>2831857.2814542037</v>
      </c>
      <c r="AS45" s="412">
        <f t="shared" si="56"/>
        <v>110964.32190085537</v>
      </c>
      <c r="AT45" s="370">
        <f>SUMIFS(MRF1_CostTotal[MRF_AdminMarket],MRF1_CostTotal[Scenario_ID],AL$11)</f>
        <v>5864513.3316014698</v>
      </c>
      <c r="AU45" s="521"/>
      <c r="AY45" s="365" t="str">
        <f t="shared" si="57"/>
        <v>Sortation Administrative &amp; Marketing</v>
      </c>
      <c r="BA45" s="412">
        <f t="shared" si="58"/>
        <v>2660012.0696425978</v>
      </c>
      <c r="BB45" s="412">
        <f t="shared" si="58"/>
        <v>269939.18923248898</v>
      </c>
      <c r="BC45" s="412">
        <f t="shared" si="58"/>
        <v>2828562.2788386382</v>
      </c>
      <c r="BD45" s="412">
        <f t="shared" si="58"/>
        <v>105999.79388774454</v>
      </c>
      <c r="BE45" s="370">
        <f>SUMIFS(MRF1_CostTotal[MRF_AdminMarket],MRF1_CostTotal[Scenario_ID],AW$11)</f>
        <v>5864513.3316014698</v>
      </c>
    </row>
    <row r="46" spans="4:57" s="365" customFormat="1" x14ac:dyDescent="0.2">
      <c r="D46" s="521"/>
      <c r="G46" s="365" t="s">
        <v>40</v>
      </c>
      <c r="I46" s="412">
        <f t="shared" si="50"/>
        <v>2233005.6592497756</v>
      </c>
      <c r="J46" s="412">
        <f t="shared" si="50"/>
        <v>223953.75821912839</v>
      </c>
      <c r="K46" s="412">
        <f t="shared" si="50"/>
        <v>2408727.0294848308</v>
      </c>
      <c r="L46" s="412">
        <f t="shared" si="50"/>
        <v>76571.444806997708</v>
      </c>
      <c r="M46" s="370">
        <f>(M$8/M$9)*SUMIFS(MRF1_CostTotal[MRF_Margin],MRF1_CostTotal[Scenario_ID],E$11)</f>
        <v>4942257.891760733</v>
      </c>
      <c r="N46"/>
      <c r="R46" s="365" t="str">
        <f t="shared" si="51"/>
        <v>Sortation Margin</v>
      </c>
      <c r="T46" s="412">
        <f t="shared" si="52"/>
        <v>2045569.163791653</v>
      </c>
      <c r="U46" s="412">
        <f t="shared" si="52"/>
        <v>198153.67509948215</v>
      </c>
      <c r="V46" s="412">
        <f t="shared" si="52"/>
        <v>2204004.494158112</v>
      </c>
      <c r="W46" s="412">
        <f t="shared" si="52"/>
        <v>69968.947204137861</v>
      </c>
      <c r="X46" s="370">
        <f>(X$8/X$9)*SUMIFS(MRF1_CostTotal[MRF_Margin],MRF1_CostTotal[Scenario_ID],P$11)</f>
        <v>4517696.2802533852</v>
      </c>
      <c r="Y46" s="521"/>
      <c r="AC46" s="365" t="str">
        <f t="shared" si="53"/>
        <v>Sortation Margin</v>
      </c>
      <c r="AE46" s="412">
        <f t="shared" si="54"/>
        <v>2037683.9508013555</v>
      </c>
      <c r="AF46" s="412">
        <f t="shared" si="54"/>
        <v>207807.13077706416</v>
      </c>
      <c r="AG46" s="412">
        <f t="shared" si="54"/>
        <v>2176448.0517679113</v>
      </c>
      <c r="AH46" s="412">
        <f t="shared" si="54"/>
        <v>85282.575431501202</v>
      </c>
      <c r="AI46" s="370">
        <f>(AI$8/AI$9)*SUMIFS(MRF1_CostTotal[MRF_Margin],MRF1_CostTotal[Scenario_ID],AA$11)</f>
        <v>4507221.7087778319</v>
      </c>
      <c r="AJ46" s="521"/>
      <c r="AN46" s="365" t="str">
        <f t="shared" si="55"/>
        <v>Sortation Margin</v>
      </c>
      <c r="AP46" s="412">
        <f t="shared" si="56"/>
        <v>1982330.8349239179</v>
      </c>
      <c r="AQ46" s="412">
        <f t="shared" si="56"/>
        <v>202162.10806118275</v>
      </c>
      <c r="AR46" s="412">
        <f t="shared" si="56"/>
        <v>2117325.4478119081</v>
      </c>
      <c r="AS46" s="412">
        <f t="shared" si="56"/>
        <v>82965.89806927841</v>
      </c>
      <c r="AT46" s="370">
        <f>(AT$8/AT$9)*SUMIFS(MRF1_CostTotal[MRF_Margin],MRF1_CostTotal[Scenario_ID],AL$11)</f>
        <v>4384784.2888662871</v>
      </c>
      <c r="AU46" s="521"/>
      <c r="AY46" s="365" t="str">
        <f t="shared" si="57"/>
        <v>Sortation Margin</v>
      </c>
      <c r="BA46" s="412">
        <f t="shared" si="58"/>
        <v>1976954.2763333551</v>
      </c>
      <c r="BB46" s="412">
        <f t="shared" si="58"/>
        <v>200622.185362802</v>
      </c>
      <c r="BC46" s="412">
        <f t="shared" si="58"/>
        <v>2102222.9022354037</v>
      </c>
      <c r="BD46" s="412">
        <f t="shared" si="58"/>
        <v>78780.374047320409</v>
      </c>
      <c r="BE46" s="370">
        <f>(BE$8/BE$9)*SUMIFS(MRF1_CostTotal[MRF_Margin],MRF1_CostTotal[Scenario_ID],AW$11)</f>
        <v>4358579.7379788812</v>
      </c>
    </row>
    <row r="47" spans="4:57" x14ac:dyDescent="0.2">
      <c r="E47" s="42" t="s">
        <v>41</v>
      </c>
      <c r="F47" s="42"/>
      <c r="G47" s="42"/>
      <c r="H47" s="42"/>
      <c r="I47" s="51"/>
      <c r="J47" s="51"/>
      <c r="K47" s="51"/>
      <c r="L47" s="51"/>
      <c r="M47" s="51"/>
      <c r="P47" s="363" t="str">
        <f>IF(OR($E47="",$E47=0),"",$E47)</f>
        <v>Overall System Costs</v>
      </c>
      <c r="Q47" s="363"/>
      <c r="R47" s="363"/>
      <c r="S47" s="363"/>
      <c r="T47" s="372"/>
      <c r="U47" s="372"/>
      <c r="V47" s="372"/>
      <c r="W47" s="372"/>
      <c r="X47" s="372"/>
      <c r="AA47" s="363" t="str">
        <f>IF(OR($E47="",$E47=0),"",$E47)</f>
        <v>Overall System Costs</v>
      </c>
      <c r="AB47" s="363"/>
      <c r="AC47" s="363"/>
      <c r="AD47" s="363"/>
      <c r="AE47" s="372"/>
      <c r="AF47" s="372"/>
      <c r="AG47" s="372"/>
      <c r="AH47" s="372"/>
      <c r="AI47" s="372"/>
      <c r="AL47" s="363" t="str">
        <f>IF(OR($E47="",$E47=0),"",$E47)</f>
        <v>Overall System Costs</v>
      </c>
      <c r="AM47" s="363"/>
      <c r="AN47" s="363"/>
      <c r="AO47" s="363"/>
      <c r="AP47" s="372"/>
      <c r="AQ47" s="372"/>
      <c r="AR47" s="372"/>
      <c r="AS47" s="372"/>
      <c r="AT47" s="372"/>
      <c r="AW47" s="363" t="str">
        <f>IF(OR($E47="",$E47=0),"",$E47)</f>
        <v>Overall System Costs</v>
      </c>
      <c r="AX47" s="363"/>
      <c r="AY47" s="363"/>
      <c r="AZ47" s="363"/>
      <c r="BA47" s="372"/>
      <c r="BB47" s="372"/>
      <c r="BC47" s="372"/>
      <c r="BD47" s="372"/>
      <c r="BE47" s="372"/>
    </row>
    <row r="48" spans="4:57" x14ac:dyDescent="0.2">
      <c r="E48" s="47"/>
      <c r="F48" s="47"/>
      <c r="G48" s="47" t="s">
        <v>42</v>
      </c>
      <c r="H48" s="47"/>
      <c r="I48" s="369">
        <f>SUM(I23,I26,I37,I39,I59)</f>
        <v>128640625.18793125</v>
      </c>
      <c r="J48" s="369">
        <f>SUM(J23,J26,J37,J39,J59)</f>
        <v>21211053.57493018</v>
      </c>
      <c r="K48" s="369">
        <f>SUM(K23,K26,K37,K39,K59)</f>
        <v>107992355.10842234</v>
      </c>
      <c r="L48" s="369">
        <f>SUM(L23,L26,L37,L39,L59)</f>
        <v>18736111.207673658</v>
      </c>
      <c r="M48" s="48">
        <f>SUM(M23,M26,M37,M39,M59)</f>
        <v>277065387.91590273</v>
      </c>
      <c r="P48" s="368"/>
      <c r="Q48" s="368"/>
      <c r="R48" s="368" t="str">
        <f>IF(OR($G48="",$G48=0),"",$G48)</f>
        <v>Total Costs</v>
      </c>
      <c r="S48" s="368"/>
      <c r="T48" s="369">
        <f>SUM(T23,T26,T37,T39,T59)</f>
        <v>128746327.03041516</v>
      </c>
      <c r="U48" s="369">
        <f>SUM(U23,U26,U37,U39,U59)</f>
        <v>22836026.260137267</v>
      </c>
      <c r="V48" s="369">
        <f>SUM(V23,V26,V37,V39,V59)</f>
        <v>112604689.88275008</v>
      </c>
      <c r="W48" s="369">
        <f>SUM(W23,W26,W37,W39,W59)</f>
        <v>21420486.65911096</v>
      </c>
      <c r="X48" s="369">
        <f>SUM(X23,X26,X37,X39,X59)</f>
        <v>285607529.83241355</v>
      </c>
      <c r="AA48" s="368"/>
      <c r="AB48" s="368"/>
      <c r="AC48" s="368" t="str">
        <f>IF(OR($G48="",$G48=0),"",$G48)</f>
        <v>Total Costs</v>
      </c>
      <c r="AD48" s="368"/>
      <c r="AE48" s="369">
        <f>SUM(AE23,AE26,AE37,AE39,AE59)</f>
        <v>129523610.41451809</v>
      </c>
      <c r="AF48" s="369">
        <f>SUM(AF23,AF26,AF37,AF39,AF59)</f>
        <v>23036388.473881084</v>
      </c>
      <c r="AG48" s="369">
        <f>SUM(AG23,AG26,AG37,AG39,AG59)</f>
        <v>112841745.57775156</v>
      </c>
      <c r="AH48" s="369">
        <f>SUM(AH23,AH26,AH37,AH39,AH59)</f>
        <v>24360780.675414875</v>
      </c>
      <c r="AI48" s="369">
        <f>SUM(AI23,AI26,AI37,AI39,AI59)</f>
        <v>289762525.14156562</v>
      </c>
      <c r="AL48" s="368"/>
      <c r="AM48" s="368"/>
      <c r="AN48" s="368" t="str">
        <f>IF(OR($G48="",$G48=0),"",$G48)</f>
        <v>Total Costs</v>
      </c>
      <c r="AO48" s="368"/>
      <c r="AP48" s="369">
        <f>SUM(AP23,AP26,AP37,AP39,AP59)</f>
        <v>129106530.81568116</v>
      </c>
      <c r="AQ48" s="369">
        <f>SUM(AQ23,AQ26,AQ37,AQ39,AQ59)</f>
        <v>22993853.852795284</v>
      </c>
      <c r="AR48" s="369">
        <f>SUM(AR23,AR26,AR37,AR39,AR59)</f>
        <v>112396263.30364138</v>
      </c>
      <c r="AS48" s="369">
        <f>SUM(AS23,AS26,AS37,AS39,AS59)</f>
        <v>24343324.768018264</v>
      </c>
      <c r="AT48" s="369">
        <f>SUM(AT23,AT26,AT37,AT39,AT59)</f>
        <v>288839972.74013609</v>
      </c>
      <c r="AW48" s="368"/>
      <c r="AX48" s="368"/>
      <c r="AY48" s="368" t="str">
        <f>IF(OR($G48="",$G48=0),"",$G48)</f>
        <v>Total Costs</v>
      </c>
      <c r="AZ48" s="368"/>
      <c r="BA48" s="369">
        <f>SUM(BA23,BA26,BA37,BA39,BA59)</f>
        <v>165933428.33539408</v>
      </c>
      <c r="BB48" s="369">
        <f>SUM(BB23,BB26,BB37,BB39,BB59)</f>
        <v>24375542.474646509</v>
      </c>
      <c r="BC48" s="369">
        <f>SUM(BC23,BC26,BC37,BC39,BC59)</f>
        <v>117191049.09839062</v>
      </c>
      <c r="BD48" s="369">
        <f>SUM(BD23,BD26,BD37,BD39,BD59)</f>
        <v>24266085.116603654</v>
      </c>
      <c r="BE48" s="369">
        <f>SUM(BE23,BE26,BE37,BE39,BE59)</f>
        <v>331766105.0250349</v>
      </c>
    </row>
    <row r="49" spans="4:57" s="365" customFormat="1" ht="9" customHeight="1" x14ac:dyDescent="0.2">
      <c r="D49" s="378"/>
      <c r="E49" s="586"/>
      <c r="F49" s="586"/>
      <c r="G49" s="586"/>
      <c r="H49" s="586"/>
      <c r="I49" s="587"/>
      <c r="J49" s="587"/>
      <c r="K49" s="587"/>
      <c r="L49" s="587"/>
      <c r="M49" s="587"/>
      <c r="N49" s="378"/>
      <c r="P49" s="586"/>
      <c r="Q49" s="586"/>
      <c r="R49" s="586"/>
      <c r="S49" s="586"/>
      <c r="T49" s="587"/>
      <c r="U49" s="587"/>
      <c r="V49" s="587"/>
      <c r="W49" s="587"/>
      <c r="X49" s="587"/>
      <c r="Y49" s="378"/>
      <c r="AA49" s="586"/>
      <c r="AB49" s="586"/>
      <c r="AC49" s="586"/>
      <c r="AD49" s="586"/>
      <c r="AE49" s="587"/>
      <c r="AF49" s="587"/>
      <c r="AG49" s="587"/>
      <c r="AH49" s="587"/>
      <c r="AI49" s="587"/>
      <c r="AJ49" s="378"/>
      <c r="AL49" s="586"/>
      <c r="AM49" s="586"/>
      <c r="AN49" s="586"/>
      <c r="AO49" s="586"/>
      <c r="AP49" s="587"/>
      <c r="AQ49" s="587"/>
      <c r="AR49" s="587"/>
      <c r="AS49" s="587"/>
      <c r="AT49" s="587"/>
      <c r="AU49" s="378"/>
      <c r="AW49" s="586"/>
      <c r="AX49" s="586"/>
      <c r="AY49" s="586"/>
      <c r="AZ49" s="586"/>
      <c r="BA49" s="587"/>
      <c r="BB49" s="587"/>
      <c r="BC49" s="587"/>
      <c r="BD49" s="587"/>
      <c r="BE49" s="587"/>
    </row>
    <row r="50" spans="4:57" s="413" customFormat="1" x14ac:dyDescent="0.2">
      <c r="D50" s="521"/>
      <c r="E50" s="431"/>
      <c r="F50" s="431" t="s">
        <v>1863</v>
      </c>
      <c r="G50" s="431"/>
      <c r="H50" s="431"/>
      <c r="I50" s="432">
        <f>SUM(I51:I52)</f>
        <v>243031.51323889568</v>
      </c>
      <c r="J50" s="432">
        <f t="shared" ref="J50:L50" si="59">SUM(J51:J52)</f>
        <v>23983.694942766921</v>
      </c>
      <c r="K50" s="432">
        <f t="shared" si="59"/>
        <v>246985.2682801178</v>
      </c>
      <c r="L50" s="432">
        <f t="shared" si="59"/>
        <v>78620.783598415743</v>
      </c>
      <c r="M50" s="432">
        <f>SUM(I50:L50)</f>
        <v>592621.26006019616</v>
      </c>
      <c r="N50"/>
      <c r="P50" s="431"/>
      <c r="Q50" s="431" t="str">
        <f>IF(OR($F50="",$F50=0),"",$F50)</f>
        <v>Tons Collected for Recycling</v>
      </c>
      <c r="R50" s="431"/>
      <c r="S50" s="431"/>
      <c r="T50" s="432">
        <f>SUM(T51:T52)</f>
        <v>228344.89667114732</v>
      </c>
      <c r="U50" s="432">
        <f t="shared" ref="U50" si="60">SUM(U51:U52)</f>
        <v>21845.987255067183</v>
      </c>
      <c r="V50" s="432">
        <f t="shared" ref="V50" si="61">SUM(V51:V52)</f>
        <v>230902.13337279615</v>
      </c>
      <c r="W50" s="432">
        <f t="shared" ref="W50" si="62">SUM(W51:W52)</f>
        <v>78100.538418647717</v>
      </c>
      <c r="X50" s="432">
        <f>SUM(T50:W50)</f>
        <v>559193.55571765837</v>
      </c>
      <c r="Y50" s="521"/>
      <c r="AA50" s="431"/>
      <c r="AB50" s="431" t="str">
        <f>IF(OR($F50="",$F50=0),"",$F50)</f>
        <v>Tons Collected for Recycling</v>
      </c>
      <c r="AC50" s="431"/>
      <c r="AD50" s="431"/>
      <c r="AE50" s="432">
        <f>SUM(AE51:AE52)</f>
        <v>254702.93807939906</v>
      </c>
      <c r="AF50" s="432">
        <f t="shared" ref="AF50" si="63">SUM(AF51:AF52)</f>
        <v>25176.527887628828</v>
      </c>
      <c r="AG50" s="432">
        <f t="shared" ref="AG50" si="64">SUM(AG51:AG52)</f>
        <v>252880.76880896106</v>
      </c>
      <c r="AH50" s="432">
        <f t="shared" ref="AH50" si="65">SUM(AH51:AH52)</f>
        <v>83277.892711357534</v>
      </c>
      <c r="AI50" s="432">
        <f>SUM(AE50:AH50)</f>
        <v>616038.12748734653</v>
      </c>
      <c r="AJ50" s="521"/>
      <c r="AL50" s="431"/>
      <c r="AM50" s="431" t="str">
        <f>IF(OR($F50="",$F50=0),"",$F50)</f>
        <v>Tons Collected for Recycling</v>
      </c>
      <c r="AN50" s="431"/>
      <c r="AO50" s="431"/>
      <c r="AP50" s="432">
        <f>SUM(AP51:AP52)</f>
        <v>254702.93807939906</v>
      </c>
      <c r="AQ50" s="432">
        <f t="shared" ref="AQ50" si="66">SUM(AQ51:AQ52)</f>
        <v>25176.527887628828</v>
      </c>
      <c r="AR50" s="432">
        <f t="shared" ref="AR50" si="67">SUM(AR51:AR52)</f>
        <v>252880.76880896106</v>
      </c>
      <c r="AS50" s="432">
        <f t="shared" ref="AS50" si="68">SUM(AS51:AS52)</f>
        <v>83277.892711357534</v>
      </c>
      <c r="AT50" s="432">
        <f>SUM(AP50:AS50)</f>
        <v>616038.12748734653</v>
      </c>
      <c r="AU50" s="521"/>
      <c r="AW50" s="431"/>
      <c r="AX50" s="431" t="str">
        <f>IF(OR($F50="",$F50=0),"",$F50)</f>
        <v>Tons Collected for Recycling</v>
      </c>
      <c r="AY50" s="431"/>
      <c r="AZ50" s="431"/>
      <c r="BA50" s="432">
        <f>SUM(BA51:BA52)</f>
        <v>255672.68072798912</v>
      </c>
      <c r="BB50" s="432">
        <f t="shared" ref="BB50" si="69">SUM(BB51:BB52)</f>
        <v>25166.808849179401</v>
      </c>
      <c r="BC50" s="432">
        <f t="shared" ref="BC50" si="70">SUM(BC51:BC52)</f>
        <v>252891.32531709594</v>
      </c>
      <c r="BD50" s="432">
        <f t="shared" ref="BD50" si="71">SUM(BD51:BD52)</f>
        <v>82884.668380823321</v>
      </c>
      <c r="BE50" s="432">
        <f>SUM(BA50:BD50)</f>
        <v>616615.48327508778</v>
      </c>
    </row>
    <row r="51" spans="4:57" s="422" customFormat="1" x14ac:dyDescent="0.2">
      <c r="D51" s="521"/>
      <c r="E51" s="423"/>
      <c r="F51" s="423"/>
      <c r="G51" s="423" t="s">
        <v>1862</v>
      </c>
      <c r="H51" s="423"/>
      <c r="I51" s="424">
        <f>SUMIFS(TransTonsShort[Trans_Tons_All],TransTonsShort[Scenario_ID],E$11,TransTonsShort[GroupSector_ID],$C$2&amp;"-"&amp;I$11,TransTonsShort[StreamType],"Mixed")</f>
        <v>208898.07954173803</v>
      </c>
      <c r="J51" s="424">
        <f>SUMIFS(TransTonsShort[Trans_Tons_All],TransTonsShort[Scenario_ID],E$11,TransTonsShort[GroupSector_ID],$C$2&amp;"-"&amp;J$11,TransTonsShort[StreamType],"Mixed")</f>
        <v>20950.914210333227</v>
      </c>
      <c r="K51" s="424">
        <f>SUMIFS(TransTonsShort[Trans_Tons_All],TransTonsShort[Scenario_ID],E$11,TransTonsShort[GroupSector_ID],$C$2&amp;"-"&amp;K$11,TransTonsShort[StreamType],"Mixed")</f>
        <v>225336.84521368821</v>
      </c>
      <c r="L51" s="424">
        <f>SUMIFS(TransTonsShort[Trans_Tons_All],TransTonsShort[Scenario_ID],E$11,TransTonsShort[GroupSector_ID],$C$2&amp;"-"&amp;L$11,TransTonsShort[StreamType],"Mixed")</f>
        <v>7163.2723820736182</v>
      </c>
      <c r="M51" s="425">
        <f>SUM(I51:L51)</f>
        <v>462349.11134783312</v>
      </c>
      <c r="N51"/>
      <c r="P51" s="423"/>
      <c r="Q51" s="423"/>
      <c r="R51" s="423" t="str">
        <f t="shared" ref="R51" si="72">IF(OR($G51="",$G51=0),"",$G51)</f>
        <v>Tons Collected Commingled</v>
      </c>
      <c r="S51" s="423"/>
      <c r="T51" s="424">
        <f>SUMIFS(TransTonsShort[Trans_Tons_All],TransTonsShort[Scenario_ID],P$11,TransTonsShort[GroupSector_ID],$C$2&amp;"-"&amp;T$11,TransTonsShort[StreamType],"Mixed")</f>
        <v>194211.46297398966</v>
      </c>
      <c r="U51" s="424">
        <f>SUMIFS(TransTonsShort[Trans_Tons_All],TransTonsShort[Scenario_ID],P$11,TransTonsShort[GroupSector_ID],$C$2&amp;"-"&amp;U$11,TransTonsShort[StreamType],"Mixed")</f>
        <v>18813.206522633489</v>
      </c>
      <c r="V51" s="424">
        <f>SUMIFS(TransTonsShort[Trans_Tons_All],TransTonsShort[Scenario_ID],P$11,TransTonsShort[GroupSector_ID],$C$2&amp;"-"&amp;V$11,TransTonsShort[StreamType],"Mixed")</f>
        <v>209253.71030636656</v>
      </c>
      <c r="W51" s="424">
        <f>SUMIFS(TransTonsShort[Trans_Tons_All],TransTonsShort[Scenario_ID],P$11,TransTonsShort[GroupSector_ID],$C$2&amp;"-"&amp;W$11,TransTonsShort[StreamType],"Mixed")</f>
        <v>6643.027202305595</v>
      </c>
      <c r="X51" s="425">
        <f>SUM(T51:W51)</f>
        <v>428921.40700529533</v>
      </c>
      <c r="Y51" s="521"/>
      <c r="AA51" s="423"/>
      <c r="AB51" s="423"/>
      <c r="AC51" s="423" t="str">
        <f t="shared" ref="AC51" si="73">IF(OR($G51="",$G51=0),"",$G51)</f>
        <v>Tons Collected Commingled</v>
      </c>
      <c r="AD51" s="423"/>
      <c r="AE51" s="424">
        <f>SUMIFS(TransTonsShort[Trans_Tons_All],TransTonsShort[Scenario_ID],AA$11,TransTonsShort[GroupSector_ID],$C$2&amp;"-"&amp;AE$11,TransTonsShort[StreamType],"Mixed")</f>
        <v>215574.57308800865</v>
      </c>
      <c r="AF51" s="424">
        <f>SUMIFS(TransTonsShort[Trans_Tons_All],TransTonsShort[Scenario_ID],AA$11,TransTonsShort[GroupSector_ID],$C$2&amp;"-"&amp;AF$11,TransTonsShort[StreamType],"Mixed")</f>
        <v>21984.730990442364</v>
      </c>
      <c r="AG51" s="424">
        <f>SUMIFS(TransTonsShort[Trans_Tons_All],TransTonsShort[Scenario_ID],AA$11,TransTonsShort[GroupSector_ID],$C$2&amp;"-"&amp;AG$11,TransTonsShort[StreamType],"Mixed")</f>
        <v>230254.97129894927</v>
      </c>
      <c r="AH51" s="424">
        <f>SUMIFS(TransTonsShort[Trans_Tons_All],TransTonsShort[Scenario_ID],AA$11,TransTonsShort[GroupSector_ID],$C$2&amp;"-"&amp;AH$11,TransTonsShort[StreamType],"Mixed")</f>
        <v>9022.3779714521643</v>
      </c>
      <c r="AI51" s="425">
        <f>SUM(AE51:AH51)</f>
        <v>476836.65334885241</v>
      </c>
      <c r="AJ51" s="521"/>
      <c r="AL51" s="423"/>
      <c r="AM51" s="423"/>
      <c r="AN51" s="423" t="str">
        <f t="shared" ref="AN51" si="74">IF(OR($G51="",$G51=0),"",$G51)</f>
        <v>Tons Collected Commingled</v>
      </c>
      <c r="AO51" s="423"/>
      <c r="AP51" s="424">
        <f>SUMIFS(TransTonsShort[Trans_Tons_All],TransTonsShort[Scenario_ID],AL$11,TransTonsShort[GroupSector_ID],$C$2&amp;"-"&amp;AP$11,TransTonsShort[StreamType],"Mixed")</f>
        <v>215574.57308800865</v>
      </c>
      <c r="AQ51" s="424">
        <f>SUMIFS(TransTonsShort[Trans_Tons_All],TransTonsShort[Scenario_ID],AL$11,TransTonsShort[GroupSector_ID],$C$2&amp;"-"&amp;AQ$11,TransTonsShort[StreamType],"Mixed")</f>
        <v>21984.730990442364</v>
      </c>
      <c r="AR51" s="424">
        <f>SUMIFS(TransTonsShort[Trans_Tons_All],TransTonsShort[Scenario_ID],AL$11,TransTonsShort[GroupSector_ID],$C$2&amp;"-"&amp;AR$11,TransTonsShort[StreamType],"Mixed")</f>
        <v>230254.97129894927</v>
      </c>
      <c r="AS51" s="424">
        <f>SUMIFS(TransTonsShort[Trans_Tons_All],TransTonsShort[Scenario_ID],AL$11,TransTonsShort[GroupSector_ID],$C$2&amp;"-"&amp;AS$11,TransTonsShort[StreamType],"Mixed")</f>
        <v>9022.3779714521643</v>
      </c>
      <c r="AT51" s="425">
        <f>SUM(AP51:AS51)</f>
        <v>476836.65334885241</v>
      </c>
      <c r="AU51" s="521"/>
      <c r="AW51" s="423"/>
      <c r="AX51" s="423"/>
      <c r="AY51" s="423" t="str">
        <f t="shared" ref="AY51" si="75">IF(OR($G51="",$G51=0),"",$G51)</f>
        <v>Tons Collected Commingled</v>
      </c>
      <c r="AZ51" s="423"/>
      <c r="BA51" s="424">
        <f>SUMIFS(TransTonsShort[Trans_Tons_All],TransTonsShort[Scenario_ID],AW$11,TransTonsShort[GroupSector_ID],$C$2&amp;"-"&amp;BA$11,TransTonsShort[StreamType],"Mixed")</f>
        <v>216544.31573659868</v>
      </c>
      <c r="BB51" s="424">
        <f>SUMIFS(TransTonsShort[Trans_Tons_All],TransTonsShort[Scenario_ID],AW$11,TransTonsShort[GroupSector_ID],$C$2&amp;"-"&amp;BB$11,TransTonsShort[StreamType],"Mixed")</f>
        <v>21975.011951992936</v>
      </c>
      <c r="BC51" s="424">
        <f>SUMIFS(TransTonsShort[Trans_Tons_All],TransTonsShort[Scenario_ID],AW$11,TransTonsShort[GroupSector_ID],$C$2&amp;"-"&amp;BC$11,TransTonsShort[StreamType],"Mixed")</f>
        <v>230265.52780708415</v>
      </c>
      <c r="BD51" s="424">
        <f>SUMIFS(TransTonsShort[Trans_Tons_All],TransTonsShort[Scenario_ID],AW$11,TransTonsShort[GroupSector_ID],$C$2&amp;"-"&amp;BD$11,TransTonsShort[StreamType],"Mixed")</f>
        <v>8629.1536409179571</v>
      </c>
      <c r="BE51" s="425">
        <f>SUM(BA51:BD51)</f>
        <v>477414.00913659373</v>
      </c>
    </row>
    <row r="52" spans="4:57" s="422" customFormat="1" x14ac:dyDescent="0.2">
      <c r="D52" s="521"/>
      <c r="E52" s="428"/>
      <c r="F52" s="428"/>
      <c r="G52" s="429" t="s">
        <v>1864</v>
      </c>
      <c r="H52" s="426"/>
      <c r="I52" s="424">
        <f>SUMIFS(TransTonsShort[Trans_Tons_All],TransTonsShort[Scenario_ID],E$11,TransTonsShort[GroupSector_ID],$C$2&amp;"-"&amp;I$11,TransTonsShort[StreamType],"Separated")</f>
        <v>34133.433697157649</v>
      </c>
      <c r="J52" s="424">
        <f>SUMIFS(TransTonsShort[Trans_Tons_All],TransTonsShort[Scenario_ID],E$11,TransTonsShort[GroupSector_ID],$C$2&amp;"-"&amp;J$11,TransTonsShort[StreamType],"Separated")</f>
        <v>3032.7807324336927</v>
      </c>
      <c r="K52" s="424">
        <f>SUMIFS(TransTonsShort[Trans_Tons_All],TransTonsShort[Scenario_ID],E$11,TransTonsShort[GroupSector_ID],$C$2&amp;"-"&amp;K$11,TransTonsShort[StreamType],"Separated")</f>
        <v>21648.423066429597</v>
      </c>
      <c r="L52" s="424">
        <f>SUMIFS(TransTonsShort[Trans_Tons_All],TransTonsShort[Scenario_ID],E$11,TransTonsShort[GroupSector_ID],$C$2&amp;"-"&amp;L$11,TransTonsShort[StreamType],"Separated")</f>
        <v>71457.511216342129</v>
      </c>
      <c r="M52" s="425">
        <f>SUM(I52:L52)</f>
        <v>130272.14871236306</v>
      </c>
      <c r="N52"/>
      <c r="P52" s="428"/>
      <c r="Q52" s="428"/>
      <c r="R52" s="426" t="str">
        <f>IF(OR($G52="",$G52=0),"",$G52)</f>
        <v>Tons Collected Source-Separated</v>
      </c>
      <c r="S52" s="426"/>
      <c r="T52" s="424">
        <f>SUMIFS(TransTonsShort[Trans_Tons_All],TransTonsShort[Scenario_ID],P$11,TransTonsShort[GroupSector_ID],$C$2&amp;"-"&amp;T$11,TransTonsShort[StreamType],"Separated")</f>
        <v>34133.433697157649</v>
      </c>
      <c r="U52" s="424">
        <f>SUMIFS(TransTonsShort[Trans_Tons_All],TransTonsShort[Scenario_ID],P$11,TransTonsShort[GroupSector_ID],$C$2&amp;"-"&amp;U$11,TransTonsShort[StreamType],"Separated")</f>
        <v>3032.7807324336927</v>
      </c>
      <c r="V52" s="424">
        <f>SUMIFS(TransTonsShort[Trans_Tons_All],TransTonsShort[Scenario_ID],P$11,TransTonsShort[GroupSector_ID],$C$2&amp;"-"&amp;V$11,TransTonsShort[StreamType],"Separated")</f>
        <v>21648.423066429597</v>
      </c>
      <c r="W52" s="424">
        <f>SUMIFS(TransTonsShort[Trans_Tons_All],TransTonsShort[Scenario_ID],P$11,TransTonsShort[GroupSector_ID],$C$2&amp;"-"&amp;W$11,TransTonsShort[StreamType],"Separated")</f>
        <v>71457.511216342129</v>
      </c>
      <c r="X52" s="425">
        <f>SUM(T52:W52)</f>
        <v>130272.14871236306</v>
      </c>
      <c r="Y52" s="521"/>
      <c r="AA52" s="428"/>
      <c r="AB52" s="428"/>
      <c r="AC52" s="426" t="str">
        <f>IF(OR($G52="",$G52=0),"",$G52)</f>
        <v>Tons Collected Source-Separated</v>
      </c>
      <c r="AD52" s="426"/>
      <c r="AE52" s="424">
        <f>SUMIFS(TransTonsShort[Trans_Tons_All],TransTonsShort[Scenario_ID],AA$11,TransTonsShort[GroupSector_ID],$C$2&amp;"-"&amp;AE$11,TransTonsShort[StreamType],"Separated")</f>
        <v>39128.364991390423</v>
      </c>
      <c r="AF52" s="424">
        <f>SUMIFS(TransTonsShort[Trans_Tons_All],TransTonsShort[Scenario_ID],AA$11,TransTonsShort[GroupSector_ID],$C$2&amp;"-"&amp;AF$11,TransTonsShort[StreamType],"Separated")</f>
        <v>3191.7968971864661</v>
      </c>
      <c r="AG52" s="424">
        <f>SUMIFS(TransTonsShort[Trans_Tons_All],TransTonsShort[Scenario_ID],AA$11,TransTonsShort[GroupSector_ID],$C$2&amp;"-"&amp;AG$11,TransTonsShort[StreamType],"Separated")</f>
        <v>22625.797510011802</v>
      </c>
      <c r="AH52" s="424">
        <f>SUMIFS(TransTonsShort[Trans_Tons_All],TransTonsShort[Scenario_ID],AA$11,TransTonsShort[GroupSector_ID],$C$2&amp;"-"&amp;AH$11,TransTonsShort[StreamType],"Separated")</f>
        <v>74255.514739905368</v>
      </c>
      <c r="AI52" s="425">
        <f>SUM(AE52:AH52)</f>
        <v>139201.47413849406</v>
      </c>
      <c r="AJ52" s="521"/>
      <c r="AL52" s="428"/>
      <c r="AM52" s="428"/>
      <c r="AN52" s="426" t="str">
        <f>IF(OR($G52="",$G52=0),"",$G52)</f>
        <v>Tons Collected Source-Separated</v>
      </c>
      <c r="AO52" s="426"/>
      <c r="AP52" s="424">
        <f>SUMIFS(TransTonsShort[Trans_Tons_All],TransTonsShort[Scenario_ID],AL$11,TransTonsShort[GroupSector_ID],$C$2&amp;"-"&amp;AP$11,TransTonsShort[StreamType],"Separated")</f>
        <v>39128.364991390423</v>
      </c>
      <c r="AQ52" s="424">
        <f>SUMIFS(TransTonsShort[Trans_Tons_All],TransTonsShort[Scenario_ID],AL$11,TransTonsShort[GroupSector_ID],$C$2&amp;"-"&amp;AQ$11,TransTonsShort[StreamType],"Separated")</f>
        <v>3191.7968971864661</v>
      </c>
      <c r="AR52" s="424">
        <f>SUMIFS(TransTonsShort[Trans_Tons_All],TransTonsShort[Scenario_ID],AL$11,TransTonsShort[GroupSector_ID],$C$2&amp;"-"&amp;AR$11,TransTonsShort[StreamType],"Separated")</f>
        <v>22625.797510011802</v>
      </c>
      <c r="AS52" s="424">
        <f>SUMIFS(TransTonsShort[Trans_Tons_All],TransTonsShort[Scenario_ID],AL$11,TransTonsShort[GroupSector_ID],$C$2&amp;"-"&amp;AS$11,TransTonsShort[StreamType],"Separated")</f>
        <v>74255.514739905368</v>
      </c>
      <c r="AT52" s="425">
        <f>SUM(AP52:AS52)</f>
        <v>139201.47413849406</v>
      </c>
      <c r="AU52" s="521"/>
      <c r="AW52" s="428"/>
      <c r="AX52" s="428"/>
      <c r="AY52" s="426" t="str">
        <f>IF(OR($G52="",$G52=0),"",$G52)</f>
        <v>Tons Collected Source-Separated</v>
      </c>
      <c r="AZ52" s="426"/>
      <c r="BA52" s="424">
        <f>SUMIFS(TransTonsShort[Trans_Tons_All],TransTonsShort[Scenario_ID],AW$11,TransTonsShort[GroupSector_ID],$C$2&amp;"-"&amp;BA$11,TransTonsShort[StreamType],"Separated")</f>
        <v>39128.364991390423</v>
      </c>
      <c r="BB52" s="424">
        <f>SUMIFS(TransTonsShort[Trans_Tons_All],TransTonsShort[Scenario_ID],AW$11,TransTonsShort[GroupSector_ID],$C$2&amp;"-"&amp;BB$11,TransTonsShort[StreamType],"Separated")</f>
        <v>3191.7968971864661</v>
      </c>
      <c r="BC52" s="424">
        <f>SUMIFS(TransTonsShort[Trans_Tons_All],TransTonsShort[Scenario_ID],AW$11,TransTonsShort[GroupSector_ID],$C$2&amp;"-"&amp;BC$11,TransTonsShort[StreamType],"Separated")</f>
        <v>22625.797510011802</v>
      </c>
      <c r="BD52" s="424">
        <f>SUMIFS(TransTonsShort[Trans_Tons_All],TransTonsShort[Scenario_ID],AW$11,TransTonsShort[GroupSector_ID],$C$2&amp;"-"&amp;BD$11,TransTonsShort[StreamType],"Separated")</f>
        <v>74255.514739905368</v>
      </c>
      <c r="BE52" s="425">
        <f>SUM(BA52:BD52)</f>
        <v>139201.47413849406</v>
      </c>
    </row>
    <row r="53" spans="4:57" s="413" customFormat="1" x14ac:dyDescent="0.2">
      <c r="D53" s="521"/>
      <c r="E53" s="431"/>
      <c r="F53" s="431" t="s">
        <v>1867</v>
      </c>
      <c r="G53" s="431"/>
      <c r="H53" s="431"/>
      <c r="I53" s="432">
        <f>SUM(I54:I54)</f>
        <v>220292.12264024955</v>
      </c>
      <c r="J53" s="432">
        <f>SUM(J54:J54)</f>
        <v>21739.646012510468</v>
      </c>
      <c r="K53" s="432">
        <f>SUM(K54:K54)</f>
        <v>223875.94219855615</v>
      </c>
      <c r="L53" s="432">
        <f>SUM(L54:L54)</f>
        <v>71264.582406273868</v>
      </c>
      <c r="M53" s="432">
        <f>SUM(I53:L53)</f>
        <v>537172.29325759003</v>
      </c>
      <c r="N53"/>
      <c r="P53" s="431"/>
      <c r="Q53" s="431" t="str">
        <f>IF(OR($F53="",$F53=0),"",$F53)</f>
        <v>Tons Marketed</v>
      </c>
      <c r="R53" s="431"/>
      <c r="S53" s="431"/>
      <c r="T53" s="432">
        <f>SUM(T54:T54)</f>
        <v>219352.58470761063</v>
      </c>
      <c r="U53" s="432">
        <f>SUM(U54:U54)</f>
        <v>20985.683673017247</v>
      </c>
      <c r="V53" s="432">
        <f>SUM(V54:V54)</f>
        <v>221809.11642079215</v>
      </c>
      <c r="W53" s="432">
        <f>SUM(W54:W54)</f>
        <v>75024.908456169971</v>
      </c>
      <c r="X53" s="432">
        <f>SUM(T53:W53)</f>
        <v>537172.29325759003</v>
      </c>
      <c r="Y53" s="521"/>
      <c r="AA53" s="431"/>
      <c r="AB53" s="431" t="str">
        <f>IF(OR($F53="",$F53=0),"",$F53)</f>
        <v>Tons Marketed</v>
      </c>
      <c r="AC53" s="431"/>
      <c r="AD53" s="431"/>
      <c r="AE53" s="432">
        <f>SUM(AE54:AE54)</f>
        <v>222095.60616906302</v>
      </c>
      <c r="AF53" s="432">
        <f>SUM(AF54:AF54)</f>
        <v>21953.40291163883</v>
      </c>
      <c r="AG53" s="432">
        <f>SUM(AG54:AG54)</f>
        <v>220506.71288140721</v>
      </c>
      <c r="AH53" s="432">
        <f>SUM(AH54:AH54)</f>
        <v>72616.571295480928</v>
      </c>
      <c r="AI53" s="432">
        <f>SUM(AE53:AH53)</f>
        <v>537172.29325759003</v>
      </c>
      <c r="AJ53" s="521"/>
      <c r="AL53" s="431"/>
      <c r="AM53" s="431" t="str">
        <f>IF(OR($F53="",$F53=0),"",$F53)</f>
        <v>Tons Marketed</v>
      </c>
      <c r="AN53" s="431"/>
      <c r="AO53" s="431"/>
      <c r="AP53" s="432">
        <f>SUM(AP54:AP54)</f>
        <v>222095.60616906302</v>
      </c>
      <c r="AQ53" s="432">
        <f>SUM(AQ54:AQ54)</f>
        <v>21953.40291163883</v>
      </c>
      <c r="AR53" s="432">
        <f>SUM(AR54:AR54)</f>
        <v>220506.71288140721</v>
      </c>
      <c r="AS53" s="432">
        <f>SUM(AS54:AS54)</f>
        <v>72616.571295480928</v>
      </c>
      <c r="AT53" s="432">
        <f>SUM(AP53:AS53)</f>
        <v>537172.29325759003</v>
      </c>
      <c r="AU53" s="521"/>
      <c r="AW53" s="431"/>
      <c r="AX53" s="431" t="str">
        <f>IF(OR($F53="",$F53=0),"",$F53)</f>
        <v>Tons Marketed</v>
      </c>
      <c r="AY53" s="431"/>
      <c r="AZ53" s="431"/>
      <c r="BA53" s="432">
        <f>SUM(BA54:BA54)</f>
        <v>222732.45475527344</v>
      </c>
      <c r="BB53" s="432">
        <f>SUM(BB54:BB54)</f>
        <v>21924.380412384129</v>
      </c>
      <c r="BC53" s="432">
        <f>SUM(BC54:BC54)</f>
        <v>220309.44218916283</v>
      </c>
      <c r="BD53" s="432">
        <f>SUM(BD54:BD54)</f>
        <v>72206.01590076962</v>
      </c>
      <c r="BE53" s="432">
        <f>SUM(BA53:BD53)</f>
        <v>537172.29325759003</v>
      </c>
    </row>
    <row r="54" spans="4:57" s="422" customFormat="1" x14ac:dyDescent="0.2">
      <c r="D54" s="521"/>
      <c r="E54" s="428"/>
      <c r="F54" s="428"/>
      <c r="G54" s="429" t="s">
        <v>1866</v>
      </c>
      <c r="H54" s="426"/>
      <c r="I54" s="430">
        <f>M54*I50/M50</f>
        <v>220292.12264024955</v>
      </c>
      <c r="J54" s="430">
        <f>M54*J50/M50</f>
        <v>21739.646012510468</v>
      </c>
      <c r="K54" s="430">
        <f>M54*K50/M50</f>
        <v>223875.94219855615</v>
      </c>
      <c r="L54" s="430">
        <f>M54*L50/M50</f>
        <v>71264.582406273868</v>
      </c>
      <c r="M54" s="427">
        <f>SUMIFS(MRFefficiency[Properly Baled Tons],MRFefficiency[Scenario_ID],$E$11)</f>
        <v>537172.29325759003</v>
      </c>
      <c r="N54"/>
      <c r="P54" s="428"/>
      <c r="Q54" s="428"/>
      <c r="R54" s="426" t="str">
        <f t="shared" ref="R54" si="76">IF(OR($G54="",$G54=0),"",$G54)</f>
        <v>Tons Marketed (excluding bale contamination)</v>
      </c>
      <c r="S54" s="426"/>
      <c r="T54" s="430">
        <f>X54*T50/X50</f>
        <v>219352.58470761063</v>
      </c>
      <c r="U54" s="430">
        <f>X54*U50/X50</f>
        <v>20985.683673017247</v>
      </c>
      <c r="V54" s="430">
        <f>X54*V50/X50</f>
        <v>221809.11642079215</v>
      </c>
      <c r="W54" s="430">
        <f>X54*W50/X50</f>
        <v>75024.908456169971</v>
      </c>
      <c r="X54" s="427">
        <f>SUMIFS(MRFefficiency[Properly Baled Tons],MRFefficiency[Scenario_ID],$E$11)</f>
        <v>537172.29325759003</v>
      </c>
      <c r="Y54" s="521"/>
      <c r="AA54" s="428"/>
      <c r="AB54" s="428"/>
      <c r="AC54" s="426" t="str">
        <f t="shared" ref="AC54" si="77">IF(OR($G54="",$G54=0),"",$G54)</f>
        <v>Tons Marketed (excluding bale contamination)</v>
      </c>
      <c r="AD54" s="426"/>
      <c r="AE54" s="430">
        <f>AI54*AE50/AI50</f>
        <v>222095.60616906302</v>
      </c>
      <c r="AF54" s="430">
        <f>AI54*AF50/AI50</f>
        <v>21953.40291163883</v>
      </c>
      <c r="AG54" s="430">
        <f>AI54*AG50/AI50</f>
        <v>220506.71288140721</v>
      </c>
      <c r="AH54" s="430">
        <f>AI54*AH50/AI50</f>
        <v>72616.571295480928</v>
      </c>
      <c r="AI54" s="427">
        <f>SUMIFS(MRFefficiency[Properly Baled Tons],MRFefficiency[Scenario_ID],$E$11)</f>
        <v>537172.29325759003</v>
      </c>
      <c r="AJ54" s="521"/>
      <c r="AL54" s="428"/>
      <c r="AM54" s="428"/>
      <c r="AN54" s="426" t="str">
        <f t="shared" ref="AN54" si="78">IF(OR($G54="",$G54=0),"",$G54)</f>
        <v>Tons Marketed (excluding bale contamination)</v>
      </c>
      <c r="AO54" s="426"/>
      <c r="AP54" s="430">
        <f>AT54*AP50/AT50</f>
        <v>222095.60616906302</v>
      </c>
      <c r="AQ54" s="430">
        <f>AT54*AQ50/AT50</f>
        <v>21953.40291163883</v>
      </c>
      <c r="AR54" s="430">
        <f>AT54*AR50/AT50</f>
        <v>220506.71288140721</v>
      </c>
      <c r="AS54" s="430">
        <f>AT54*AS50/AT50</f>
        <v>72616.571295480928</v>
      </c>
      <c r="AT54" s="427">
        <f>SUMIFS(MRFefficiency[Properly Baled Tons],MRFefficiency[Scenario_ID],$E$11)</f>
        <v>537172.29325759003</v>
      </c>
      <c r="AU54" s="521"/>
      <c r="AW54" s="428"/>
      <c r="AX54" s="428"/>
      <c r="AY54" s="426" t="str">
        <f t="shared" ref="AY54" si="79">IF(OR($G54="",$G54=0),"",$G54)</f>
        <v>Tons Marketed (excluding bale contamination)</v>
      </c>
      <c r="AZ54" s="426"/>
      <c r="BA54" s="430">
        <f>BE54*BA50/BE50</f>
        <v>222732.45475527344</v>
      </c>
      <c r="BB54" s="430">
        <f>BE54*BB50/BE50</f>
        <v>21924.380412384129</v>
      </c>
      <c r="BC54" s="430">
        <f>BE54*BC50/BE50</f>
        <v>220309.44218916283</v>
      </c>
      <c r="BD54" s="430">
        <f>BE54*BD50/BE50</f>
        <v>72206.01590076962</v>
      </c>
      <c r="BE54" s="427">
        <f>SUMIFS(MRFefficiency[Properly Baled Tons],MRFefficiency[Scenario_ID],$E$11)</f>
        <v>537172.29325759003</v>
      </c>
    </row>
    <row r="55" spans="4:57" x14ac:dyDescent="0.2">
      <c r="E55" s="47"/>
      <c r="F55" s="47"/>
      <c r="G55" s="47" t="s">
        <v>43</v>
      </c>
      <c r="H55" s="47"/>
      <c r="I55" s="369">
        <f>I$48/I50</f>
        <v>529.31664488086278</v>
      </c>
      <c r="J55" s="369">
        <f t="shared" ref="J55:L55" si="80">J$48/J50</f>
        <v>884.39473673872249</v>
      </c>
      <c r="K55" s="369">
        <f t="shared" si="80"/>
        <v>437.2420908357297</v>
      </c>
      <c r="L55" s="369">
        <f t="shared" si="80"/>
        <v>238.30990165876702</v>
      </c>
      <c r="M55" s="48">
        <f>M$48/M50</f>
        <v>467.525224943431</v>
      </c>
      <c r="P55" s="368"/>
      <c r="Q55" s="368"/>
      <c r="R55" s="368" t="str">
        <f>IF(OR($G55="",$G55=0),"",$G55)</f>
        <v>Total Cost per Ton Collected</v>
      </c>
      <c r="S55" s="368"/>
      <c r="T55" s="369">
        <f t="shared" ref="T55:W55" si="81">T$48/T50</f>
        <v>563.82397376644769</v>
      </c>
      <c r="U55" s="369">
        <f t="shared" si="81"/>
        <v>1045.3190324388038</v>
      </c>
      <c r="V55" s="369">
        <f t="shared" si="81"/>
        <v>487.67279989114496</v>
      </c>
      <c r="W55" s="369">
        <f t="shared" si="81"/>
        <v>274.26810484057415</v>
      </c>
      <c r="X55" s="369">
        <f>X$48/X50</f>
        <v>510.74896502673442</v>
      </c>
      <c r="AA55" s="368"/>
      <c r="AB55" s="368"/>
      <c r="AC55" s="368" t="str">
        <f>IF(OR($G55="",$G55=0),"",$G55)</f>
        <v>Total Cost per Ton Collected</v>
      </c>
      <c r="AD55" s="368"/>
      <c r="AE55" s="369">
        <f t="shared" ref="AE55:AH55" si="82">AE$48/AE50</f>
        <v>508.52813631125616</v>
      </c>
      <c r="AF55" s="369">
        <f t="shared" si="82"/>
        <v>914.99465600261112</v>
      </c>
      <c r="AG55" s="369">
        <f t="shared" si="82"/>
        <v>446.22509694676677</v>
      </c>
      <c r="AH55" s="369">
        <f t="shared" si="82"/>
        <v>292.52398064213412</v>
      </c>
      <c r="AI55" s="369">
        <f>AI$48/AI50</f>
        <v>470.36459630092838</v>
      </c>
      <c r="AL55" s="368"/>
      <c r="AM55" s="368"/>
      <c r="AN55" s="368" t="str">
        <f>IF(OR($G55="",$G55=0),"",$G55)</f>
        <v>Total Cost per Ton Collected</v>
      </c>
      <c r="AO55" s="368"/>
      <c r="AP55" s="369">
        <f t="shared" ref="AP55:AS55" si="83">AP$48/AP50</f>
        <v>506.89062242161697</v>
      </c>
      <c r="AQ55" s="369">
        <f t="shared" si="83"/>
        <v>913.30520059892535</v>
      </c>
      <c r="AR55" s="369">
        <f t="shared" si="83"/>
        <v>444.46346724195229</v>
      </c>
      <c r="AS55" s="369">
        <f t="shared" si="83"/>
        <v>292.31437030224345</v>
      </c>
      <c r="AT55" s="369">
        <f>AT$48/AT50</f>
        <v>468.86703899032432</v>
      </c>
      <c r="AW55" s="368"/>
      <c r="AX55" s="368"/>
      <c r="AY55" s="368" t="str">
        <f>IF(OR($G55="",$G55=0),"",$G55)</f>
        <v>Total Cost per Ton Collected</v>
      </c>
      <c r="AZ55" s="368"/>
      <c r="BA55" s="369">
        <f t="shared" ref="BA55:BD55" si="84">BA$48/BA50</f>
        <v>649.00726922768536</v>
      </c>
      <c r="BB55" s="369">
        <f t="shared" si="84"/>
        <v>968.55912963479705</v>
      </c>
      <c r="BC55" s="369">
        <f t="shared" si="84"/>
        <v>463.4047804978951</v>
      </c>
      <c r="BD55" s="369">
        <f t="shared" si="84"/>
        <v>292.7692852085778</v>
      </c>
      <c r="BE55" s="369">
        <f>BE$48/BE50</f>
        <v>538.04374691159944</v>
      </c>
    </row>
    <row r="56" spans="4:57" x14ac:dyDescent="0.2">
      <c r="E56" s="47"/>
      <c r="F56" s="47"/>
      <c r="G56" s="47" t="s">
        <v>44</v>
      </c>
      <c r="H56" s="43"/>
      <c r="I56" s="369">
        <f t="shared" ref="I56:L56" si="85">I$48/I53</f>
        <v>583.95472178553212</v>
      </c>
      <c r="J56" s="369">
        <f t="shared" si="85"/>
        <v>975.68532453214277</v>
      </c>
      <c r="K56" s="369">
        <f t="shared" si="85"/>
        <v>482.37588214210012</v>
      </c>
      <c r="L56" s="369">
        <f t="shared" si="85"/>
        <v>262.90915592349279</v>
      </c>
      <c r="M56" s="48">
        <f>M$48/M53</f>
        <v>515.78495650936645</v>
      </c>
      <c r="O56" s="35"/>
      <c r="P56" s="368"/>
      <c r="Q56" s="368"/>
      <c r="R56" s="368" t="str">
        <f>IF(OR($G56="",$G56=0),"",$G56)</f>
        <v>Total Cost per Ton Marketed</v>
      </c>
      <c r="S56" s="364"/>
      <c r="T56" s="369">
        <f>T$48/T53</f>
        <v>586.93781612844703</v>
      </c>
      <c r="U56" s="369">
        <f t="shared" ref="U56:W56" si="86">U$48/U53</f>
        <v>1088.1716610214198</v>
      </c>
      <c r="V56" s="369">
        <f t="shared" si="86"/>
        <v>507.66484128239659</v>
      </c>
      <c r="W56" s="369">
        <f t="shared" si="86"/>
        <v>285.5116667236581</v>
      </c>
      <c r="X56" s="369">
        <f>X$48/X53</f>
        <v>531.68700883732345</v>
      </c>
      <c r="AA56" s="368"/>
      <c r="AB56" s="368"/>
      <c r="AC56" s="368" t="str">
        <f>IF(OR($G56="",$G56=0),"",$G56)</f>
        <v>Total Cost per Ton Marketed</v>
      </c>
      <c r="AD56" s="364"/>
      <c r="AE56" s="369">
        <f t="shared" ref="AE56:AH56" si="87">AE$48/AE53</f>
        <v>583.18853150080997</v>
      </c>
      <c r="AF56" s="369">
        <f t="shared" si="87"/>
        <v>1049.3311021804323</v>
      </c>
      <c r="AG56" s="369">
        <f t="shared" si="87"/>
        <v>511.73836888330942</v>
      </c>
      <c r="AH56" s="369">
        <f t="shared" si="87"/>
        <v>335.47137025086852</v>
      </c>
      <c r="AI56" s="369">
        <f>AI$48/AI53</f>
        <v>539.42194856020967</v>
      </c>
      <c r="AL56" s="368"/>
      <c r="AM56" s="368"/>
      <c r="AN56" s="368" t="str">
        <f>IF(OR($G56="",$G56=0),"",$G56)</f>
        <v>Total Cost per Ton Marketed</v>
      </c>
      <c r="AO56" s="364"/>
      <c r="AP56" s="369">
        <f t="shared" ref="AP56:AS56" si="88">AP$48/AP53</f>
        <v>581.3106033146961</v>
      </c>
      <c r="AQ56" s="369">
        <f t="shared" si="88"/>
        <v>1047.3936066014098</v>
      </c>
      <c r="AR56" s="369">
        <f t="shared" si="88"/>
        <v>509.71810261436474</v>
      </c>
      <c r="AS56" s="369">
        <f t="shared" si="88"/>
        <v>335.23098562398246</v>
      </c>
      <c r="AT56" s="369">
        <f>AT$48/AT53</f>
        <v>537.70452490860089</v>
      </c>
      <c r="AW56" s="368"/>
      <c r="AX56" s="368"/>
      <c r="AY56" s="368" t="str">
        <f>IF(OR($G56="",$G56=0),"",$G56)</f>
        <v>Total Cost per Ton Marketed</v>
      </c>
      <c r="AZ56" s="364"/>
      <c r="BA56" s="369">
        <f t="shared" ref="BA56:BD56" si="89">BA$48/BA53</f>
        <v>744.98989614114794</v>
      </c>
      <c r="BB56" s="369">
        <f t="shared" si="89"/>
        <v>1111.8007449313288</v>
      </c>
      <c r="BC56" s="369">
        <f t="shared" si="89"/>
        <v>531.93838599876108</v>
      </c>
      <c r="BD56" s="369">
        <f t="shared" si="89"/>
        <v>336.06735967750592</v>
      </c>
      <c r="BE56" s="369">
        <f>BE$48/BE53</f>
        <v>617.61581747467983</v>
      </c>
    </row>
    <row r="57" spans="4:57" customFormat="1" x14ac:dyDescent="0.2">
      <c r="D57" s="521"/>
      <c r="Y57" s="521"/>
      <c r="AA57" s="352"/>
      <c r="AB57" s="352"/>
      <c r="AC57" s="352"/>
      <c r="AJ57" s="521"/>
      <c r="AL57" s="352"/>
      <c r="AM57" s="352"/>
      <c r="AN57" s="352"/>
      <c r="AU57" s="521"/>
      <c r="AW57" s="352"/>
      <c r="AX57" s="352"/>
      <c r="AY57" s="352"/>
    </row>
    <row r="58" spans="4:57" s="353" customFormat="1" x14ac:dyDescent="0.2">
      <c r="D58" s="521"/>
      <c r="E58" s="358" t="str">
        <f>EvaluationSummary!F238</f>
        <v>Commodity Revenues</v>
      </c>
      <c r="F58" s="359"/>
      <c r="G58" s="359"/>
      <c r="H58" s="359"/>
      <c r="I58" s="359"/>
      <c r="J58" s="359"/>
      <c r="K58" s="359"/>
      <c r="L58" s="359"/>
      <c r="M58" s="359"/>
      <c r="N58"/>
      <c r="P58" s="358" t="str">
        <f>IF(OR($E58="",$E58=0),"",$E58)</f>
        <v>Commodity Revenues</v>
      </c>
      <c r="Q58" s="359"/>
      <c r="R58" s="359"/>
      <c r="S58" s="359"/>
      <c r="T58" s="359"/>
      <c r="U58" s="359"/>
      <c r="V58" s="359"/>
      <c r="W58" s="359"/>
      <c r="X58" s="359"/>
      <c r="Y58" s="521"/>
      <c r="AA58" s="358" t="str">
        <f>IF(OR($E58="",$E58=0),"",$E58)</f>
        <v>Commodity Revenues</v>
      </c>
      <c r="AB58" s="359"/>
      <c r="AC58" s="359"/>
      <c r="AD58" s="359"/>
      <c r="AE58" s="359"/>
      <c r="AF58" s="359"/>
      <c r="AG58" s="359"/>
      <c r="AH58" s="359"/>
      <c r="AI58" s="359"/>
      <c r="AJ58" s="521"/>
      <c r="AL58" s="358" t="str">
        <f>IF(OR($E58="",$E58=0),"",$E58)</f>
        <v>Commodity Revenues</v>
      </c>
      <c r="AM58" s="359"/>
      <c r="AN58" s="359"/>
      <c r="AO58" s="359"/>
      <c r="AP58" s="359"/>
      <c r="AQ58" s="359"/>
      <c r="AR58" s="359"/>
      <c r="AS58" s="359"/>
      <c r="AT58" s="359"/>
      <c r="AU58" s="521"/>
      <c r="AW58" s="358" t="str">
        <f>IF(OR($E58="",$E58=0),"",$E58)</f>
        <v>Commodity Revenues</v>
      </c>
      <c r="AX58" s="359"/>
      <c r="AY58" s="359"/>
      <c r="AZ58" s="359"/>
      <c r="BA58" s="359"/>
      <c r="BB58" s="359"/>
      <c r="BC58" s="359"/>
      <c r="BD58" s="359"/>
      <c r="BE58" s="359"/>
    </row>
    <row r="59" spans="4:57" x14ac:dyDescent="0.2">
      <c r="E59" s="42" t="str">
        <f>EvaluationSummary!G240</f>
        <v>Commodity Revenues</v>
      </c>
      <c r="F59" s="43"/>
      <c r="G59" s="43"/>
      <c r="H59" s="43"/>
      <c r="I59" s="52"/>
      <c r="J59" s="48"/>
      <c r="K59" s="48"/>
      <c r="L59" s="48"/>
      <c r="M59" s="48"/>
      <c r="P59" s="363" t="str">
        <f>IF(OR($E59="",$E59=0),"",$E59)</f>
        <v>Commodity Revenues</v>
      </c>
      <c r="Q59" s="364"/>
      <c r="R59" s="364"/>
      <c r="S59" s="364"/>
      <c r="T59" s="373"/>
      <c r="U59" s="369"/>
      <c r="V59" s="369"/>
      <c r="W59" s="369"/>
      <c r="X59" s="369"/>
      <c r="AA59" s="363" t="str">
        <f>IF(OR($E59="",$E59=0),"",$E59)</f>
        <v>Commodity Revenues</v>
      </c>
      <c r="AB59" s="364"/>
      <c r="AC59" s="364"/>
      <c r="AD59" s="364"/>
      <c r="AE59" s="373"/>
      <c r="AF59" s="369"/>
      <c r="AG59" s="369"/>
      <c r="AH59" s="369"/>
      <c r="AI59" s="369"/>
      <c r="AL59" s="363" t="str">
        <f>IF(OR($E59="",$E59=0),"",$E59)</f>
        <v>Commodity Revenues</v>
      </c>
      <c r="AM59" s="364"/>
      <c r="AN59" s="364"/>
      <c r="AO59" s="364"/>
      <c r="AP59" s="373"/>
      <c r="AQ59" s="369"/>
      <c r="AR59" s="369"/>
      <c r="AS59" s="369"/>
      <c r="AT59" s="369"/>
      <c r="AW59" s="363" t="str">
        <f>IF(OR($E59="",$E59=0),"",$E59)</f>
        <v>Commodity Revenues</v>
      </c>
      <c r="AX59" s="364"/>
      <c r="AY59" s="364"/>
      <c r="AZ59" s="364"/>
      <c r="BA59" s="373"/>
      <c r="BB59" s="369"/>
      <c r="BC59" s="369"/>
      <c r="BD59" s="369"/>
      <c r="BE59" s="369"/>
    </row>
    <row r="60" spans="4:57" x14ac:dyDescent="0.2">
      <c r="E60" s="44"/>
      <c r="F60" s="44"/>
      <c r="G60" s="44" t="str">
        <f>EvaluationSummary!H241</f>
        <v>Commodity Sales (lower range)</v>
      </c>
      <c r="H60" s="44"/>
      <c r="I60" s="412">
        <f t="shared" ref="I60:L62" si="90">(I$51/$M$51)*$M40</f>
        <v>14150836.564993635</v>
      </c>
      <c r="J60" s="412">
        <f t="shared" si="90"/>
        <v>1419223.0178851052</v>
      </c>
      <c r="K60" s="412">
        <f t="shared" si="90"/>
        <v>15264404.898720307</v>
      </c>
      <c r="L60" s="412">
        <f t="shared" si="90"/>
        <v>485242.83694529289</v>
      </c>
      <c r="M60" s="546">
        <f>SUMIFS(BaleMover[BalePrice_Low],BaleMover[Scenario_ID],M$5)</f>
        <v>11267394.996468393</v>
      </c>
      <c r="P60" s="365"/>
      <c r="Q60" s="365"/>
      <c r="R60" s="365" t="str">
        <f>IF(OR($G60="",$G60=0),"",$G60)</f>
        <v>Commodity Sales (lower range)</v>
      </c>
      <c r="S60" s="365"/>
      <c r="T60" s="412">
        <f t="shared" ref="T60:W62" si="91">(T$51/$M$51)*$M40</f>
        <v>13155959.488101166</v>
      </c>
      <c r="U60" s="412">
        <f t="shared" si="91"/>
        <v>1274413.8737382083</v>
      </c>
      <c r="V60" s="412">
        <f t="shared" si="91"/>
        <v>14174927.130300803</v>
      </c>
      <c r="W60" s="412">
        <f t="shared" si="91"/>
        <v>450001.227597936</v>
      </c>
      <c r="X60" s="546">
        <f>SUMIFS(BaleMover[BalePrice_Low],BaleMover[Scenario_ID],X$5)</f>
        <v>14578789.811302138</v>
      </c>
      <c r="AA60" s="365"/>
      <c r="AB60" s="365"/>
      <c r="AC60" s="365" t="str">
        <f>IF(OR($G60="",$G60=0),"",$G60)</f>
        <v>Commodity Sales (lower range)</v>
      </c>
      <c r="AD60" s="365"/>
      <c r="AE60" s="412">
        <f t="shared" ref="AE60:AH62" si="92">(AE$51/$M$51)*$M40</f>
        <v>14603104.815653324</v>
      </c>
      <c r="AF60" s="412">
        <f t="shared" si="92"/>
        <v>1489254.1657327299</v>
      </c>
      <c r="AG60" s="412">
        <f t="shared" si="92"/>
        <v>15597560.658654692</v>
      </c>
      <c r="AH60" s="412">
        <f t="shared" si="92"/>
        <v>611179.36738192453</v>
      </c>
      <c r="AI60" s="546">
        <f>SUMIFS(BaleMover[BalePrice_Low],BaleMover[Scenario_ID],AI$5)</f>
        <v>16712548.670536563</v>
      </c>
      <c r="AL60" s="365"/>
      <c r="AM60" s="365"/>
      <c r="AN60" s="365" t="str">
        <f>IF(OR($G60="",$G60=0),"",$G60)</f>
        <v>Commodity Sales (lower range)</v>
      </c>
      <c r="AO60" s="365"/>
      <c r="AP60" s="412">
        <f t="shared" ref="AP60:AS62" si="93">(AP$51/$M$51)*$M40</f>
        <v>14603104.815653324</v>
      </c>
      <c r="AQ60" s="412">
        <f t="shared" si="93"/>
        <v>1489254.1657327299</v>
      </c>
      <c r="AR60" s="412">
        <f t="shared" si="93"/>
        <v>15597560.658654692</v>
      </c>
      <c r="AS60" s="412">
        <f t="shared" si="93"/>
        <v>611179.36738192453</v>
      </c>
      <c r="AT60" s="546">
        <f>SUMIFS(BaleMover[BalePrice_Low],BaleMover[Scenario_ID],AT$5)</f>
        <v>14672765.751590284</v>
      </c>
      <c r="AW60" s="365"/>
      <c r="AX60" s="365"/>
      <c r="AY60" s="365" t="str">
        <f>IF(OR($G60="",$G60=0),"",$G60)</f>
        <v>Commodity Sales (lower range)</v>
      </c>
      <c r="AZ60" s="365"/>
      <c r="BA60" s="412">
        <f t="shared" ref="BA60:BD62" si="94">(BA$51/$M$51)*$M40</f>
        <v>14668795.557092428</v>
      </c>
      <c r="BB60" s="412">
        <f t="shared" si="94"/>
        <v>1488595.7943155852</v>
      </c>
      <c r="BC60" s="412">
        <f t="shared" si="94"/>
        <v>15598275.76059168</v>
      </c>
      <c r="BD60" s="412">
        <f t="shared" si="94"/>
        <v>584542.19940519927</v>
      </c>
      <c r="BE60" s="546">
        <f>SUMIFS(BaleMover[BalePrice_Low],BaleMover[Scenario_ID],BE$5)</f>
        <v>16843201.835505918</v>
      </c>
    </row>
    <row r="61" spans="4:57" s="353" customFormat="1" x14ac:dyDescent="0.2">
      <c r="D61" s="521"/>
      <c r="E61" s="365"/>
      <c r="F61" s="365"/>
      <c r="G61" s="365" t="str">
        <f>EvaluationSummary!H242</f>
        <v>Commodity Sales (mid-point)</v>
      </c>
      <c r="H61" s="365"/>
      <c r="I61" s="412">
        <f t="shared" si="90"/>
        <v>879901.84586778376</v>
      </c>
      <c r="J61" s="412">
        <f t="shared" si="90"/>
        <v>88247.570905057117</v>
      </c>
      <c r="K61" s="412">
        <f t="shared" si="90"/>
        <v>949143.74742220622</v>
      </c>
      <c r="L61" s="412">
        <f t="shared" si="90"/>
        <v>30172.496584301785</v>
      </c>
      <c r="M61" s="546">
        <f>SUMIFS(BaleMover[BalePrice_Mid],BaleMover[Scenario_ID],M$5)</f>
        <v>42557316.471204661</v>
      </c>
      <c r="N61"/>
      <c r="P61" s="365"/>
      <c r="Q61" s="365"/>
      <c r="R61" s="365" t="str">
        <f t="shared" ref="R61:R62" si="95">IF(OR($G61="",$G61=0),"",$G61)</f>
        <v>Commodity Sales (mid-point)</v>
      </c>
      <c r="S61" s="365"/>
      <c r="T61" s="412">
        <f t="shared" si="91"/>
        <v>818040.19038553617</v>
      </c>
      <c r="U61" s="412">
        <f t="shared" si="91"/>
        <v>79243.309379728293</v>
      </c>
      <c r="V61" s="412">
        <f t="shared" si="91"/>
        <v>881399.80203344347</v>
      </c>
      <c r="W61" s="412">
        <f t="shared" si="91"/>
        <v>27981.166271520051</v>
      </c>
      <c r="X61" s="546">
        <f>SUMIFS(BaleMover[BalePrice_Mid],BaleMover[Scenario_ID],X$5)</f>
        <v>42102986.19968392</v>
      </c>
      <c r="Y61" s="521"/>
      <c r="AA61" s="365"/>
      <c r="AB61" s="365"/>
      <c r="AC61" s="365" t="str">
        <f t="shared" ref="AC61:AC62" si="96">IF(OR($G61="",$G61=0),"",$G61)</f>
        <v>Commodity Sales (mid-point)</v>
      </c>
      <c r="AD61" s="365"/>
      <c r="AE61" s="412">
        <f t="shared" si="92"/>
        <v>908023.97608638206</v>
      </c>
      <c r="AF61" s="412">
        <f t="shared" si="92"/>
        <v>92602.121674995462</v>
      </c>
      <c r="AG61" s="412">
        <f t="shared" si="92"/>
        <v>969859.43916109111</v>
      </c>
      <c r="AH61" s="412">
        <f t="shared" si="92"/>
        <v>38003.255217152007</v>
      </c>
      <c r="AI61" s="546">
        <f>SUMIFS(BaleMover[BalePrice_Mid],BaleMover[Scenario_ID],AI$5)</f>
        <v>48067521.337161481</v>
      </c>
      <c r="AJ61" s="521"/>
      <c r="AL61" s="365"/>
      <c r="AM61" s="365"/>
      <c r="AN61" s="365" t="str">
        <f t="shared" ref="AN61:AN62" si="97">IF(OR($G61="",$G61=0),"",$G61)</f>
        <v>Commodity Sales (mid-point)</v>
      </c>
      <c r="AO61" s="365"/>
      <c r="AP61" s="412">
        <f t="shared" si="93"/>
        <v>908023.97608638206</v>
      </c>
      <c r="AQ61" s="412">
        <f t="shared" si="93"/>
        <v>92602.121674995462</v>
      </c>
      <c r="AR61" s="412">
        <f t="shared" si="93"/>
        <v>969859.43916109111</v>
      </c>
      <c r="AS61" s="412">
        <f t="shared" si="93"/>
        <v>38003.255217152007</v>
      </c>
      <c r="AT61" s="546">
        <f>SUMIFS(BaleMover[BalePrice_Mid],BaleMover[Scenario_ID],AT$5)</f>
        <v>44321975.389507011</v>
      </c>
      <c r="AU61" s="521"/>
      <c r="AW61" s="365"/>
      <c r="AX61" s="365"/>
      <c r="AY61" s="365" t="str">
        <f>IF(OR($G61="",$G61=0),"",$G61)</f>
        <v>Commodity Sales (mid-point)</v>
      </c>
      <c r="AZ61" s="365"/>
      <c r="BA61" s="412">
        <f t="shared" si="94"/>
        <v>912108.63951834349</v>
      </c>
      <c r="BB61" s="412">
        <f t="shared" si="94"/>
        <v>92561.184008692013</v>
      </c>
      <c r="BC61" s="412">
        <f t="shared" si="94"/>
        <v>969903.90434245684</v>
      </c>
      <c r="BD61" s="412">
        <f t="shared" si="94"/>
        <v>36346.950788522532</v>
      </c>
      <c r="BE61" s="546">
        <f>SUMIFS(BaleMover[BalePrice_Mid],BaleMover[Scenario_ID],BE$5)</f>
        <v>47782880.925428867</v>
      </c>
    </row>
    <row r="62" spans="4:57" s="353" customFormat="1" x14ac:dyDescent="0.2">
      <c r="D62" s="521"/>
      <c r="E62" s="365"/>
      <c r="F62" s="365"/>
      <c r="G62" s="365" t="str">
        <f>EvaluationSummary!H243</f>
        <v>Commodity Sales (upper range)</v>
      </c>
      <c r="H62" s="365"/>
      <c r="I62" s="412">
        <f t="shared" si="90"/>
        <v>5341317.4843781395</v>
      </c>
      <c r="J62" s="412">
        <f t="shared" si="90"/>
        <v>535694.17502950516</v>
      </c>
      <c r="K62" s="412">
        <f t="shared" si="90"/>
        <v>5761640.4796770951</v>
      </c>
      <c r="L62" s="412">
        <f t="shared" si="90"/>
        <v>183157.79687236529</v>
      </c>
      <c r="M62" s="546">
        <f>SUMIFS(BaleMover[BalePrice_High],BaleMover[Scenario_ID],M$5)</f>
        <v>73847237.945940942</v>
      </c>
      <c r="N62"/>
      <c r="P62" s="365"/>
      <c r="Q62" s="365"/>
      <c r="R62" s="365" t="str">
        <f t="shared" si="95"/>
        <v>Commodity Sales (upper range)</v>
      </c>
      <c r="S62" s="365"/>
      <c r="T62" s="412">
        <f t="shared" si="91"/>
        <v>4965795.210397644</v>
      </c>
      <c r="U62" s="412">
        <f t="shared" si="91"/>
        <v>481035.10169647896</v>
      </c>
      <c r="V62" s="412">
        <f t="shared" si="91"/>
        <v>5350410.6116355089</v>
      </c>
      <c r="W62" s="412">
        <f t="shared" si="91"/>
        <v>169855.64167326409</v>
      </c>
      <c r="X62" s="546">
        <f>SUMIFS(BaleMover[BalePrice_High],BaleMover[Scenario_ID],X$5)</f>
        <v>69627182.588065729</v>
      </c>
      <c r="Y62" s="521"/>
      <c r="AA62" s="365"/>
      <c r="AB62" s="365"/>
      <c r="AC62" s="365" t="str">
        <f t="shared" si="96"/>
        <v>Commodity Sales (upper range)</v>
      </c>
      <c r="AD62" s="365"/>
      <c r="AE62" s="412">
        <f t="shared" si="92"/>
        <v>5512028.8273989251</v>
      </c>
      <c r="AF62" s="412">
        <f t="shared" si="92"/>
        <v>562127.84859583946</v>
      </c>
      <c r="AG62" s="412">
        <f t="shared" si="92"/>
        <v>5887392.1041401261</v>
      </c>
      <c r="AH62" s="412">
        <f t="shared" si="92"/>
        <v>230693.28983446656</v>
      </c>
      <c r="AI62" s="546">
        <f>SUMIFS(BaleMover[BalePrice_High],BaleMover[Scenario_ID],AI$5)</f>
        <v>79422494.00378637</v>
      </c>
      <c r="AJ62" s="521"/>
      <c r="AL62" s="365"/>
      <c r="AM62" s="365"/>
      <c r="AN62" s="365" t="str">
        <f t="shared" si="97"/>
        <v>Commodity Sales (upper range)</v>
      </c>
      <c r="AO62" s="365"/>
      <c r="AP62" s="412">
        <f t="shared" si="93"/>
        <v>5512028.8273989251</v>
      </c>
      <c r="AQ62" s="412">
        <f t="shared" si="93"/>
        <v>562127.84859583946</v>
      </c>
      <c r="AR62" s="412">
        <f t="shared" si="93"/>
        <v>5887392.1041401261</v>
      </c>
      <c r="AS62" s="412">
        <f t="shared" si="93"/>
        <v>230693.28983446656</v>
      </c>
      <c r="AT62" s="546">
        <f>SUMIFS(BaleMover[BalePrice_High],BaleMover[Scenario_ID],AT$5)</f>
        <v>73971185.027423695</v>
      </c>
      <c r="AU62" s="521"/>
      <c r="AW62" s="365"/>
      <c r="AX62" s="365"/>
      <c r="AY62" s="365" t="str">
        <f>IF(OR($G62="",$G62=0),"",$G62)</f>
        <v>Commodity Sales (upper range)</v>
      </c>
      <c r="AZ62" s="365"/>
      <c r="BA62" s="412">
        <f t="shared" si="94"/>
        <v>5536824.1887331419</v>
      </c>
      <c r="BB62" s="412">
        <f t="shared" si="94"/>
        <v>561879.34238594433</v>
      </c>
      <c r="BC62" s="412">
        <f t="shared" si="94"/>
        <v>5887662.0236223852</v>
      </c>
      <c r="BD62" s="412">
        <f t="shared" si="94"/>
        <v>220638.93224260752</v>
      </c>
      <c r="BE62" s="546">
        <f>SUMIFS(BaleMover[BalePrice_High],BaleMover[Scenario_ID],BE$5)</f>
        <v>78722560.015351832</v>
      </c>
    </row>
    <row r="63" spans="4:57" x14ac:dyDescent="0.2">
      <c r="I63" s="21"/>
      <c r="O63" s="35"/>
      <c r="T63" s="357"/>
      <c r="AE63" s="357"/>
      <c r="AP63" s="357"/>
      <c r="AY63" s="353" t="str">
        <f>IF(OR($G63="",$G63=0),"",$G63)</f>
        <v/>
      </c>
      <c r="BA63" s="357"/>
    </row>
    <row r="64" spans="4:57" x14ac:dyDescent="0.2">
      <c r="E64" s="37" t="s">
        <v>45</v>
      </c>
      <c r="F64" s="38"/>
      <c r="G64" s="38"/>
      <c r="H64" s="38"/>
      <c r="I64" s="38"/>
      <c r="J64" s="38"/>
      <c r="K64" s="38"/>
      <c r="L64" s="38"/>
      <c r="M64" s="38"/>
      <c r="O64" s="35"/>
      <c r="P64" s="358" t="str">
        <f>IF(OR($E64="",$E64=0),"",$E64)</f>
        <v>Full-Time Equivalent (FTE) Employment</v>
      </c>
      <c r="Q64" s="359"/>
      <c r="R64" s="359"/>
      <c r="S64" s="359"/>
      <c r="T64" s="359"/>
      <c r="U64" s="359"/>
      <c r="V64" s="359"/>
      <c r="W64" s="359"/>
      <c r="X64" s="359"/>
      <c r="AA64" s="358" t="str">
        <f>IF(OR($E64="",$E64=0),"",$E64)</f>
        <v>Full-Time Equivalent (FTE) Employment</v>
      </c>
      <c r="AB64" s="359"/>
      <c r="AC64" s="359"/>
      <c r="AD64" s="359"/>
      <c r="AE64" s="359"/>
      <c r="AF64" s="359"/>
      <c r="AG64" s="359"/>
      <c r="AH64" s="359"/>
      <c r="AI64" s="359"/>
      <c r="AL64" s="358" t="str">
        <f>IF(OR($E64="",$E64=0),"",$E64)</f>
        <v>Full-Time Equivalent (FTE) Employment</v>
      </c>
      <c r="AM64" s="359"/>
      <c r="AN64" s="359"/>
      <c r="AO64" s="359"/>
      <c r="AP64" s="359"/>
      <c r="AQ64" s="359"/>
      <c r="AR64" s="359"/>
      <c r="AS64" s="359"/>
      <c r="AT64" s="359"/>
      <c r="AW64" s="358" t="str">
        <f>IF(OR($E64="",$E64=0),"",$E64)</f>
        <v>Full-Time Equivalent (FTE) Employment</v>
      </c>
      <c r="AX64" s="359"/>
      <c r="AY64" s="359"/>
      <c r="AZ64" s="359"/>
      <c r="BA64" s="359"/>
      <c r="BB64" s="359"/>
      <c r="BC64" s="359"/>
      <c r="BD64" s="359"/>
      <c r="BE64" s="359"/>
    </row>
    <row r="65" spans="1:57" s="2" customFormat="1" ht="38.25" x14ac:dyDescent="0.2">
      <c r="A65" s="354"/>
      <c r="D65" s="521"/>
      <c r="E65" s="41"/>
      <c r="F65" s="41"/>
      <c r="G65" s="41"/>
      <c r="H65" s="41"/>
      <c r="I65" s="45" t="str">
        <f>VLOOKUP(I$11,Sector[],2,FALSE)</f>
        <v>SF Res. (on-route)</v>
      </c>
      <c r="J65" s="45" t="str">
        <f>VLOOKUP(J$11,Sector[],2,FALSE)</f>
        <v>MF Res. (on-route)</v>
      </c>
      <c r="K65" s="45" t="str">
        <f>VLOOKUP(K$11,Sector[],2,FALSE)</f>
        <v>Commercial (on-route)</v>
      </c>
      <c r="L65" s="45" t="str">
        <f>VLOOKUP(L$11,Sector[],2,FALSE)</f>
        <v>Self-haul (excluding Bottle Bill)</v>
      </c>
      <c r="M65" s="45" t="s">
        <v>25</v>
      </c>
      <c r="N65"/>
      <c r="O65" s="36"/>
      <c r="P65" s="362" t="str">
        <f>IF(OR($E65="",$E65=0),"",$E65)</f>
        <v/>
      </c>
      <c r="Q65" s="362"/>
      <c r="R65" s="362"/>
      <c r="S65" s="362"/>
      <c r="T65" s="366" t="str">
        <f>VLOOKUP(T$11,Sector[],2,FALSE)</f>
        <v>SF Res. (on-route)</v>
      </c>
      <c r="U65" s="366" t="str">
        <f>VLOOKUP(U$11,Sector[],2,FALSE)</f>
        <v>MF Res. (on-route)</v>
      </c>
      <c r="V65" s="366" t="str">
        <f>VLOOKUP(V$11,Sector[],2,FALSE)</f>
        <v>Commercial (on-route)</v>
      </c>
      <c r="W65" s="366" t="str">
        <f>VLOOKUP(W$11,Sector[],2,FALSE)</f>
        <v>Self-haul (excluding Bottle Bill)</v>
      </c>
      <c r="X65" s="366" t="s">
        <v>25</v>
      </c>
      <c r="Y65" s="521"/>
      <c r="AA65" s="362" t="str">
        <f>IF(OR($E65="",$E65=0),"",$E65)</f>
        <v/>
      </c>
      <c r="AB65" s="362"/>
      <c r="AC65" s="362"/>
      <c r="AD65" s="362"/>
      <c r="AE65" s="366" t="str">
        <f>VLOOKUP(AE$11,Sector[],2,FALSE)</f>
        <v>SF Res. (on-route)</v>
      </c>
      <c r="AF65" s="366" t="str">
        <f>VLOOKUP(AF$11,Sector[],2,FALSE)</f>
        <v>MF Res. (on-route)</v>
      </c>
      <c r="AG65" s="366" t="str">
        <f>VLOOKUP(AG$11,Sector[],2,FALSE)</f>
        <v>Commercial (on-route)</v>
      </c>
      <c r="AH65" s="366" t="str">
        <f>VLOOKUP(AH$11,Sector[],2,FALSE)</f>
        <v>Self-haul (excluding Bottle Bill)</v>
      </c>
      <c r="AI65" s="366" t="s">
        <v>25</v>
      </c>
      <c r="AJ65" s="521"/>
      <c r="AL65" s="362" t="str">
        <f>IF(OR($E65="",$E65=0),"",$E65)</f>
        <v/>
      </c>
      <c r="AM65" s="362"/>
      <c r="AN65" s="362"/>
      <c r="AO65" s="362"/>
      <c r="AP65" s="366" t="str">
        <f>VLOOKUP(AP$11,Sector[],2,FALSE)</f>
        <v>SF Res. (on-route)</v>
      </c>
      <c r="AQ65" s="366" t="str">
        <f>VLOOKUP(AQ$11,Sector[],2,FALSE)</f>
        <v>MF Res. (on-route)</v>
      </c>
      <c r="AR65" s="366" t="str">
        <f>VLOOKUP(AR$11,Sector[],2,FALSE)</f>
        <v>Commercial (on-route)</v>
      </c>
      <c r="AS65" s="366" t="str">
        <f>VLOOKUP(AS$11,Sector[],2,FALSE)</f>
        <v>Self-haul (excluding Bottle Bill)</v>
      </c>
      <c r="AT65" s="366" t="s">
        <v>25</v>
      </c>
      <c r="AU65" s="521"/>
      <c r="AW65" s="362" t="str">
        <f>IF(OR($E65="",$E65=0),"",$E65)</f>
        <v/>
      </c>
      <c r="AX65" s="362"/>
      <c r="AY65" s="362"/>
      <c r="AZ65" s="362"/>
      <c r="BA65" s="366" t="str">
        <f>VLOOKUP(BA$11,Sector[],2,FALSE)</f>
        <v>SF Res. (on-route)</v>
      </c>
      <c r="BB65" s="366" t="str">
        <f>VLOOKUP(BB$11,Sector[],2,FALSE)</f>
        <v>MF Res. (on-route)</v>
      </c>
      <c r="BC65" s="366" t="str">
        <f>VLOOKUP(BC$11,Sector[],2,FALSE)</f>
        <v>Commercial (on-route)</v>
      </c>
      <c r="BD65" s="366" t="str">
        <f>VLOOKUP(BD$11,Sector[],2,FALSE)</f>
        <v>Self-haul (excluding Bottle Bill)</v>
      </c>
      <c r="BE65" s="366" t="s">
        <v>25</v>
      </c>
    </row>
    <row r="66" spans="1:57" x14ac:dyDescent="0.2">
      <c r="E66" s="42" t="s">
        <v>3678</v>
      </c>
      <c r="F66" s="43"/>
      <c r="G66" s="43"/>
      <c r="H66" s="41"/>
      <c r="I66" s="54">
        <f>SUM(I67:I68)</f>
        <v>19.542817991250701</v>
      </c>
      <c r="J66" s="375">
        <f>SUM(J67:J68)</f>
        <v>13.028545327500472</v>
      </c>
      <c r="K66" s="375">
        <f>SUM(K67:K68)</f>
        <v>28.228514876251023</v>
      </c>
      <c r="L66" s="375">
        <f>SUM(L67:L68)</f>
        <v>0</v>
      </c>
      <c r="M66" s="54">
        <f t="shared" ref="M66:M71" si="98">SUM(I66:L66)</f>
        <v>60.799878195002194</v>
      </c>
      <c r="O66" s="35"/>
      <c r="P66" s="363" t="str">
        <f>IF(OR($E66="",$E66=0),"",$E66)</f>
        <v>Recycling Customer Engagement</v>
      </c>
      <c r="Q66" s="364"/>
      <c r="R66" s="364"/>
      <c r="S66" s="362"/>
      <c r="T66" s="375">
        <f>SUM(T67:T68)</f>
        <v>40.963702315273949</v>
      </c>
      <c r="U66" s="375">
        <f>SUM(U67:U68)</f>
        <v>28.284477948513</v>
      </c>
      <c r="V66" s="375">
        <f>SUM(V67:V68)</f>
        <v>87.103056186905832</v>
      </c>
      <c r="W66" s="375">
        <f>SUM(W67:W68)</f>
        <v>0</v>
      </c>
      <c r="X66" s="375">
        <f>SUM(T66:W66)</f>
        <v>156.3512364506928</v>
      </c>
      <c r="AA66" s="363" t="str">
        <f>IF(OR($E66="",$E66=0),"",$E66)</f>
        <v>Recycling Customer Engagement</v>
      </c>
      <c r="AB66" s="364"/>
      <c r="AC66" s="364"/>
      <c r="AD66" s="362"/>
      <c r="AE66" s="375">
        <f>SUM(AE67:AE68)</f>
        <v>40.963702315273949</v>
      </c>
      <c r="AF66" s="375">
        <f>SUM(AF67:AF68)</f>
        <v>28.284477948513</v>
      </c>
      <c r="AG66" s="375">
        <f>SUM(AG67:AG68)</f>
        <v>87.103056186905832</v>
      </c>
      <c r="AH66" s="375">
        <f>SUM(AH67:AH68)</f>
        <v>0</v>
      </c>
      <c r="AI66" s="375">
        <f>SUM(AE66:AH66)</f>
        <v>156.3512364506928</v>
      </c>
      <c r="AL66" s="363" t="str">
        <f>IF(OR($E66="",$E66=0),"",$E66)</f>
        <v>Recycling Customer Engagement</v>
      </c>
      <c r="AM66" s="364"/>
      <c r="AN66" s="364"/>
      <c r="AO66" s="362"/>
      <c r="AP66" s="375">
        <f>SUM(AP67:AP68)</f>
        <v>40.963702315273949</v>
      </c>
      <c r="AQ66" s="375">
        <f>SUM(AQ67:AQ68)</f>
        <v>28.284477948513</v>
      </c>
      <c r="AR66" s="375">
        <f>SUM(AR67:AR68)</f>
        <v>87.103056186905832</v>
      </c>
      <c r="AS66" s="375">
        <f>SUM(AS67:AS68)</f>
        <v>0</v>
      </c>
      <c r="AT66" s="375">
        <f>SUM(AP66:AS66)</f>
        <v>156.3512364506928</v>
      </c>
      <c r="AW66" s="363" t="str">
        <f>IF(OR($E66="",$E66=0),"",$E66)</f>
        <v>Recycling Customer Engagement</v>
      </c>
      <c r="AX66" s="364"/>
      <c r="AY66" s="364"/>
      <c r="AZ66" s="362"/>
      <c r="BA66" s="375">
        <f>SUM(BA67:BA68)</f>
        <v>40.963702315273949</v>
      </c>
      <c r="BB66" s="375">
        <f>SUM(BB67:BB68)</f>
        <v>28.284477948513</v>
      </c>
      <c r="BC66" s="375">
        <f>SUM(BC67:BC68)</f>
        <v>87.103056186905832</v>
      </c>
      <c r="BD66" s="375">
        <f>SUM(BD67:BD68)</f>
        <v>0</v>
      </c>
      <c r="BE66" s="375">
        <f>SUM(BA66:BD66)</f>
        <v>156.3512364506928</v>
      </c>
    </row>
    <row r="67" spans="1:57" x14ac:dyDescent="0.2">
      <c r="E67" s="44"/>
      <c r="F67" s="44"/>
      <c r="G67" s="44" t="s">
        <v>46</v>
      </c>
      <c r="H67" s="44"/>
      <c r="I67" s="376">
        <f>SUMIFS(LGengagement2025[Baseline FTEs],LGengagement2025[GroupSector_ID],_xlfn.CONCAT($C$2,"-",I$11))</f>
        <v>19.542817991250701</v>
      </c>
      <c r="J67" s="376">
        <f>SUMIFS(LGengagement2025[Baseline FTEs],LGengagement2025[GroupSector_ID],_xlfn.CONCAT($C$2,"-",J$11))</f>
        <v>13.028545327500472</v>
      </c>
      <c r="K67" s="376">
        <f>SUMIFS(LGengagement2025[Baseline FTEs],LGengagement2025[GroupSector_ID],_xlfn.CONCAT($C$2,"-",K$11))</f>
        <v>28.228514876251023</v>
      </c>
      <c r="L67" s="376">
        <f>SUMIFS(LGengagement2025[Baseline FTEs],LGengagement2025[GroupSector_ID],_xlfn.CONCAT($C$2,"-",L$11))</f>
        <v>0</v>
      </c>
      <c r="M67" s="53">
        <f t="shared" si="98"/>
        <v>60.799878195002194</v>
      </c>
      <c r="O67" s="35"/>
      <c r="P67" s="365"/>
      <c r="Q67" s="365"/>
      <c r="R67" s="365" t="str">
        <f>IF(OR($G67="",$G67=0),"",$G67)</f>
        <v>Local Government Engagement</v>
      </c>
      <c r="S67" s="365"/>
      <c r="T67" s="376">
        <f>SUMIFS(LGengagement2025[Baseline FTEs],LGengagement2025[GroupSector_ID],_xlfn.CONCAT($C$2,"-",T$11))</f>
        <v>19.542817991250701</v>
      </c>
      <c r="U67" s="376">
        <f>SUMIFS(LGengagement2025[Baseline FTEs],LGengagement2025[GroupSector_ID],_xlfn.CONCAT($C$2,"-",U$11))</f>
        <v>13.028545327500472</v>
      </c>
      <c r="V67" s="376">
        <f>SUMIFS(LGengagement2025[Baseline FTEs],LGengagement2025[GroupSector_ID],_xlfn.CONCAT($C$2,"-",V$11))</f>
        <v>28.228514876251023</v>
      </c>
      <c r="W67" s="376">
        <f>SUMIFS(LGengagement2025[Baseline FTEs],LGengagement2025[GroupSector_ID],_xlfn.CONCAT($C$2,"-",W$11))</f>
        <v>0</v>
      </c>
      <c r="X67" s="374">
        <f>SUM(T67:W67)</f>
        <v>60.799878195002194</v>
      </c>
      <c r="AA67" s="365"/>
      <c r="AB67" s="365"/>
      <c r="AC67" s="365" t="str">
        <f>IF(OR($G67="",$G67=0),"",$G67)</f>
        <v>Local Government Engagement</v>
      </c>
      <c r="AD67" s="365"/>
      <c r="AE67" s="376">
        <f>SUMIFS(LGengagement2025[Baseline FTEs],LGengagement2025[GroupSector_ID],_xlfn.CONCAT($C$2,"-",AE$11))</f>
        <v>19.542817991250701</v>
      </c>
      <c r="AF67" s="376">
        <f>SUMIFS(LGengagement2025[Baseline FTEs],LGengagement2025[GroupSector_ID],_xlfn.CONCAT($C$2,"-",AF$11))</f>
        <v>13.028545327500472</v>
      </c>
      <c r="AG67" s="376">
        <f>SUMIFS(LGengagement2025[Baseline FTEs],LGengagement2025[GroupSector_ID],_xlfn.CONCAT($C$2,"-",AG$11))</f>
        <v>28.228514876251023</v>
      </c>
      <c r="AH67" s="376">
        <f>SUMIFS(LGengagement2025[Baseline FTEs],LGengagement2025[GroupSector_ID],_xlfn.CONCAT($C$2,"-",AH$11))</f>
        <v>0</v>
      </c>
      <c r="AI67" s="374">
        <f>SUM(AE67:AH67)</f>
        <v>60.799878195002194</v>
      </c>
      <c r="AL67" s="365"/>
      <c r="AM67" s="365"/>
      <c r="AN67" s="365" t="str">
        <f>IF(OR($G67="",$G67=0),"",$G67)</f>
        <v>Local Government Engagement</v>
      </c>
      <c r="AO67" s="365"/>
      <c r="AP67" s="376">
        <f>SUMIFS(LGengagement2025[Baseline FTEs],LGengagement2025[GroupSector_ID],_xlfn.CONCAT($C$2,"-",AP$11))</f>
        <v>19.542817991250701</v>
      </c>
      <c r="AQ67" s="376">
        <f>SUMIFS(LGengagement2025[Baseline FTEs],LGengagement2025[GroupSector_ID],_xlfn.CONCAT($C$2,"-",AQ$11))</f>
        <v>13.028545327500472</v>
      </c>
      <c r="AR67" s="376">
        <f>SUMIFS(LGengagement2025[Baseline FTEs],LGengagement2025[GroupSector_ID],_xlfn.CONCAT($C$2,"-",AR$11))</f>
        <v>28.228514876251023</v>
      </c>
      <c r="AS67" s="376">
        <f>SUMIFS(LGengagement2025[Baseline FTEs],LGengagement2025[GroupSector_ID],_xlfn.CONCAT($C$2,"-",AS$11))</f>
        <v>0</v>
      </c>
      <c r="AT67" s="374">
        <f>SUM(AP67:AS67)</f>
        <v>60.799878195002194</v>
      </c>
      <c r="AW67" s="365"/>
      <c r="AX67" s="365"/>
      <c r="AY67" s="365" t="str">
        <f>IF(OR($G67="",$G67=0),"",$G67)</f>
        <v>Local Government Engagement</v>
      </c>
      <c r="AZ67" s="365"/>
      <c r="BA67" s="376">
        <f>SUMIFS(LGengagement2025[Baseline FTEs],LGengagement2025[GroupSector_ID],_xlfn.CONCAT($C$2,"-",BA$11))</f>
        <v>19.542817991250701</v>
      </c>
      <c r="BB67" s="376">
        <f>SUMIFS(LGengagement2025[Baseline FTEs],LGengagement2025[GroupSector_ID],_xlfn.CONCAT($C$2,"-",BB$11))</f>
        <v>13.028545327500472</v>
      </c>
      <c r="BC67" s="376">
        <f>SUMIFS(LGengagement2025[Baseline FTEs],LGengagement2025[GroupSector_ID],_xlfn.CONCAT($C$2,"-",BC$11))</f>
        <v>28.228514876251023</v>
      </c>
      <c r="BD67" s="376">
        <f>SUMIFS(LGengagement2025[Baseline FTEs],LGengagement2025[GroupSector_ID],_xlfn.CONCAT($C$2,"-",BD$11))</f>
        <v>0</v>
      </c>
      <c r="BE67" s="374">
        <f>SUM(BA67:BD67)</f>
        <v>60.799878195002194</v>
      </c>
    </row>
    <row r="68" spans="1:57" s="353" customFormat="1" x14ac:dyDescent="0.2">
      <c r="D68" s="521"/>
      <c r="E68" s="365"/>
      <c r="F68" s="365"/>
      <c r="G68" s="365" t="s">
        <v>3693</v>
      </c>
      <c r="H68" s="365"/>
      <c r="I68" s="376">
        <f>IF(I$5="S0",0,SUMIFS(CollectionFTEs[New_Outreach_FTEs],CollectionFTEs[Year],$C$3,CollectionFTEs[GroupSector_ID],$C$2&amp;"-"&amp;I$11,CollectionFTEs[SS_or_DS],G$11))</f>
        <v>0</v>
      </c>
      <c r="J68" s="376">
        <f>IF(J$5="S0",0,SUMIFS(CollectionFTEs[New_Outreach_FTEs],CollectionFTEs[Year],$C$3,CollectionFTEs[GroupSector_ID],$C$2&amp;"-"&amp;J$11,CollectionFTEs[SS_or_DS],G$11))</f>
        <v>0</v>
      </c>
      <c r="K68" s="376">
        <f>IF(K$5="S0",0,SUMIFS(CollectionFTEs[New_Outreach_FTEs],CollectionFTEs[Year],$C$3,CollectionFTEs[GroupSector_ID],$C$2&amp;"-"&amp;K$11,CollectionFTEs[SS_or_DS],G$11))</f>
        <v>0</v>
      </c>
      <c r="L68" s="376">
        <f>IF(L$5="S0",0,SUMIFS(CollectionFTEs[New_Outreach_FTEs],CollectionFTEs[Year],$C$3,CollectionFTEs[GroupSector_ID],$C$2&amp;"-"&amp;L$11,CollectionFTEs[SS_or_DS],G$11))</f>
        <v>0</v>
      </c>
      <c r="M68" s="374">
        <f t="shared" si="98"/>
        <v>0</v>
      </c>
      <c r="N68" s="521"/>
      <c r="P68" s="365"/>
      <c r="Q68" s="365"/>
      <c r="R68" s="365" t="str">
        <f>IF(OR($G68="",$G68=0),"",$G68)</f>
        <v>New Engagement (costs in collection engagement)</v>
      </c>
      <c r="S68" s="365"/>
      <c r="T68" s="376">
        <f>IF(T$5="S0",0,SUMIFS(CollectionFTEs[New_Outreach_FTEs],CollectionFTEs[Year],$C$3,CollectionFTEs[GroupSector_ID],$C$2&amp;"-"&amp;T$11,CollectionFTEs[SS_or_DS],R$11))</f>
        <v>21.420884324023245</v>
      </c>
      <c r="U68" s="376">
        <f>IF(U$5="S0",0,SUMIFS(CollectionFTEs[New_Outreach_FTEs],CollectionFTEs[Year],$C$3,CollectionFTEs[GroupSector_ID],$C$2&amp;"-"&amp;U$11,CollectionFTEs[SS_or_DS],R$11))</f>
        <v>15.25593262101253</v>
      </c>
      <c r="V68" s="376">
        <f>IF(V$5="S0",0,SUMIFS(CollectionFTEs[New_Outreach_FTEs],CollectionFTEs[Year],$C$3,CollectionFTEs[GroupSector_ID],$C$2&amp;"-"&amp;V$11,CollectionFTEs[SS_or_DS],R$11))</f>
        <v>58.874541310654813</v>
      </c>
      <c r="W68" s="376">
        <f>IF(W$5="S0",0,SUMIFS(CollectionFTEs[New_Outreach_FTEs],CollectionFTEs[Year],$C$3,CollectionFTEs[GroupSector_ID],$C$2&amp;"-"&amp;W$11,CollectionFTEs[SS_or_DS],R$11))</f>
        <v>0</v>
      </c>
      <c r="X68" s="374"/>
      <c r="Y68" s="521"/>
      <c r="AA68" s="365"/>
      <c r="AB68" s="365"/>
      <c r="AC68" s="365" t="str">
        <f>IF(OR($G68="",$G68=0),"",$G68)</f>
        <v>New Engagement (costs in collection engagement)</v>
      </c>
      <c r="AD68" s="365"/>
      <c r="AE68" s="376">
        <f>IF(AE$5="S0",0,SUMIFS(CollectionFTEs[New_Outreach_FTEs],CollectionFTEs[Year],$C$3,CollectionFTEs[GroupSector_ID],$C$2&amp;"-"&amp;AE$11,CollectionFTEs[SS_or_DS],AC$11))</f>
        <v>21.420884324023245</v>
      </c>
      <c r="AF68" s="376">
        <f>IF(AF$5="S0",0,SUMIFS(CollectionFTEs[New_Outreach_FTEs],CollectionFTEs[Year],$C$3,CollectionFTEs[GroupSector_ID],$C$2&amp;"-"&amp;AF$11,CollectionFTEs[SS_or_DS],AC$11))</f>
        <v>15.25593262101253</v>
      </c>
      <c r="AG68" s="376">
        <f>IF(AG$5="S0",0,SUMIFS(CollectionFTEs[New_Outreach_FTEs],CollectionFTEs[Year],$C$3,CollectionFTEs[GroupSector_ID],$C$2&amp;"-"&amp;AG$11,CollectionFTEs[SS_or_DS],AC$11))</f>
        <v>58.874541310654813</v>
      </c>
      <c r="AH68" s="376">
        <f>IF(AH$5="S0",0,SUMIFS(CollectionFTEs[New_Outreach_FTEs],CollectionFTEs[Year],$C$3,CollectionFTEs[GroupSector_ID],$C$2&amp;"-"&amp;AH$11,CollectionFTEs[SS_or_DS],AC$11))</f>
        <v>0</v>
      </c>
      <c r="AI68" s="374"/>
      <c r="AJ68" s="521"/>
      <c r="AL68" s="365"/>
      <c r="AM68" s="365"/>
      <c r="AN68" s="365" t="str">
        <f>IF(OR($G68="",$G68=0),"",$G68)</f>
        <v>New Engagement (costs in collection engagement)</v>
      </c>
      <c r="AO68" s="365"/>
      <c r="AP68" s="376">
        <f>IF(AP$5="S0",0,SUMIFS(CollectionFTEs[New_Outreach_FTEs],CollectionFTEs[Year],$C$3,CollectionFTEs[GroupSector_ID],$C$2&amp;"-"&amp;AP$11,CollectionFTEs[SS_or_DS],AN$11))</f>
        <v>21.420884324023245</v>
      </c>
      <c r="AQ68" s="376">
        <f>IF(AQ$5="S0",0,SUMIFS(CollectionFTEs[New_Outreach_FTEs],CollectionFTEs[Year],$C$3,CollectionFTEs[GroupSector_ID],$C$2&amp;"-"&amp;AQ$11,CollectionFTEs[SS_or_DS],AN$11))</f>
        <v>15.25593262101253</v>
      </c>
      <c r="AR68" s="376">
        <f>IF(AR$5="S0",0,SUMIFS(CollectionFTEs[New_Outreach_FTEs],CollectionFTEs[Year],$C$3,CollectionFTEs[GroupSector_ID],$C$2&amp;"-"&amp;AR$11,CollectionFTEs[SS_or_DS],AN$11))</f>
        <v>58.874541310654813</v>
      </c>
      <c r="AS68" s="376">
        <f>IF(AS$5="S0",0,SUMIFS(CollectionFTEs[New_Outreach_FTEs],CollectionFTEs[Year],$C$3,CollectionFTEs[GroupSector_ID],$C$2&amp;"-"&amp;AS$11,CollectionFTEs[SS_or_DS],AN$11))</f>
        <v>0</v>
      </c>
      <c r="AT68" s="374"/>
      <c r="AU68" s="521"/>
      <c r="AW68" s="365"/>
      <c r="AX68" s="365"/>
      <c r="AY68" s="365" t="str">
        <f>IF(OR($G68="",$G68=0),"",$G68)</f>
        <v>New Engagement (costs in collection engagement)</v>
      </c>
      <c r="AZ68" s="365"/>
      <c r="BA68" s="376">
        <f>IF(BA$5="S0",0,SUMIFS(CollectionFTEs[New_Outreach_FTEs],CollectionFTEs[Year],$C$3,CollectionFTEs[GroupSector_ID],$C$2&amp;"-"&amp;BA$11,CollectionFTEs[SS_or_DS],AY$11))</f>
        <v>21.420884324023245</v>
      </c>
      <c r="BB68" s="376">
        <f>IF(BB$5="S0",0,SUMIFS(CollectionFTEs[New_Outreach_FTEs],CollectionFTEs[Year],$C$3,CollectionFTEs[GroupSector_ID],$C$2&amp;"-"&amp;BB$11,CollectionFTEs[SS_or_DS],AY$11))</f>
        <v>15.25593262101253</v>
      </c>
      <c r="BC68" s="376">
        <f>IF(BC$5="S0",0,SUMIFS(CollectionFTEs[New_Outreach_FTEs],CollectionFTEs[Year],$C$3,CollectionFTEs[GroupSector_ID],$C$2&amp;"-"&amp;BC$11,CollectionFTEs[SS_or_DS],AY$11))</f>
        <v>58.874541310654813</v>
      </c>
      <c r="BD68" s="376">
        <f>IF(BD$5="S0",0,SUMIFS(CollectionFTEs[New_Outreach_FTEs],CollectionFTEs[Year],$C$3,CollectionFTEs[GroupSector_ID],$C$2&amp;"-"&amp;BD$11,CollectionFTEs[SS_or_DS],AY$11))</f>
        <v>0</v>
      </c>
      <c r="BE68" s="374"/>
    </row>
    <row r="69" spans="1:57" x14ac:dyDescent="0.2">
      <c r="E69" s="42" t="s">
        <v>3676</v>
      </c>
      <c r="F69" s="43"/>
      <c r="G69" s="43"/>
      <c r="H69" s="43"/>
      <c r="I69" s="54">
        <f>SUM(I70:I71)</f>
        <v>250.14622116144321</v>
      </c>
      <c r="J69" s="54">
        <f>SUM(J70:J71)</f>
        <v>53.908825148410486</v>
      </c>
      <c r="K69" s="54">
        <f>SUM(K70:K71)</f>
        <v>215.67453339231054</v>
      </c>
      <c r="L69" s="54">
        <f>SUM(L70:L71)</f>
        <v>241.96914476594151</v>
      </c>
      <c r="M69" s="54">
        <f t="shared" si="98"/>
        <v>761.69872446810587</v>
      </c>
      <c r="O69" s="35"/>
      <c r="P69" s="363" t="str">
        <f>IF(OR($E69="",$E69=0),"",$E69)</f>
        <v>Recycling Collection</v>
      </c>
      <c r="Q69" s="364"/>
      <c r="R69" s="364"/>
      <c r="S69" s="364"/>
      <c r="T69" s="375">
        <f>SUM(T70:T71)</f>
        <v>250.14622116144321</v>
      </c>
      <c r="U69" s="375">
        <f>SUM(U70:U71)</f>
        <v>53.908825148410486</v>
      </c>
      <c r="V69" s="375">
        <f>SUM(V70:V71)</f>
        <v>215.67453339231054</v>
      </c>
      <c r="W69" s="375">
        <f>SUM(W70:W71)</f>
        <v>299.91860418636247</v>
      </c>
      <c r="X69" s="375">
        <f>SUM(T69:W69)</f>
        <v>819.64818388852677</v>
      </c>
      <c r="AA69" s="363" t="str">
        <f>IF(OR($E69="",$E69=0),"",$E69)</f>
        <v>Recycling Collection</v>
      </c>
      <c r="AB69" s="364"/>
      <c r="AC69" s="364"/>
      <c r="AD69" s="364"/>
      <c r="AE69" s="375">
        <f>SUM(AE70:AE71)</f>
        <v>250.14622116144321</v>
      </c>
      <c r="AF69" s="375">
        <f>SUM(AF70:AF71)</f>
        <v>53.908825148410486</v>
      </c>
      <c r="AG69" s="375">
        <f>SUM(AG70:AG71)</f>
        <v>215.67453339231054</v>
      </c>
      <c r="AH69" s="375">
        <f>SUM(AH70:AH71)</f>
        <v>334.32892070380399</v>
      </c>
      <c r="AI69" s="375">
        <f>SUM(AE69:AH69)</f>
        <v>854.05850040596829</v>
      </c>
      <c r="AL69" s="363" t="str">
        <f>IF(OR($E69="",$E69=0),"",$E69)</f>
        <v>Recycling Collection</v>
      </c>
      <c r="AM69" s="364"/>
      <c r="AN69" s="364"/>
      <c r="AO69" s="364"/>
      <c r="AP69" s="375">
        <f>SUM(AP70:AP71)</f>
        <v>250.14622116144321</v>
      </c>
      <c r="AQ69" s="375">
        <f>SUM(AQ70:AQ71)</f>
        <v>53.908825148410486</v>
      </c>
      <c r="AR69" s="375">
        <f>SUM(AR70:AR71)</f>
        <v>215.67453339231054</v>
      </c>
      <c r="AS69" s="375">
        <f>SUM(AS70:AS71)</f>
        <v>334.32892070380399</v>
      </c>
      <c r="AT69" s="375">
        <f>SUM(AP69:AS69)</f>
        <v>854.05850040596829</v>
      </c>
      <c r="AW69" s="363" t="str">
        <f>IF(OR($E69="",$E69=0),"",$E69)</f>
        <v>Recycling Collection</v>
      </c>
      <c r="AX69" s="364"/>
      <c r="AY69" s="364"/>
      <c r="AZ69" s="364"/>
      <c r="BA69" s="375">
        <f>SUM(BA70:BA71)</f>
        <v>367.41344545701759</v>
      </c>
      <c r="BB69" s="375">
        <f>SUM(BB70:BB71)</f>
        <v>53.908825148410486</v>
      </c>
      <c r="BC69" s="375">
        <f>SUM(BC70:BC71)</f>
        <v>215.67453339231054</v>
      </c>
      <c r="BD69" s="375">
        <f>SUM(BD70:BD71)</f>
        <v>332.50390119303052</v>
      </c>
      <c r="BE69" s="375">
        <f>SUM(BA69:BD69)</f>
        <v>969.50070519076917</v>
      </c>
    </row>
    <row r="70" spans="1:57" x14ac:dyDescent="0.2">
      <c r="E70" s="44"/>
      <c r="F70" s="44"/>
      <c r="G70" s="44" t="s">
        <v>3675</v>
      </c>
      <c r="H70" s="44"/>
      <c r="I70" s="53">
        <f>SUMIFS(CollectionFTEs[OnRoute_FTE],CollectionFTEs[Year],$C$3,CollectionFTEs[GroupSector_ID],$C$2&amp;"-"&amp;I$11,CollectionFTEs[SS_or_DS],$G$11)</f>
        <v>187.22117955425873</v>
      </c>
      <c r="J70" s="374">
        <f>SUMIFS(CollectionFTEs[OnRoute_FTE],CollectionFTEs[Year],$C$3,CollectionFTEs[GroupSector_ID],$C$2&amp;"-"&amp;J$11,CollectionFTEs[SS_or_DS],$G$11)</f>
        <v>48.457370919919541</v>
      </c>
      <c r="K70" s="374">
        <f>SUMIFS(CollectionFTEs[OnRoute_FTE],CollectionFTEs[Year],$C$3,CollectionFTEs[GroupSector_ID],$C$2&amp;"-"&amp;K$11,CollectionFTEs[SS_or_DS],$G$11)</f>
        <v>193.86474911668364</v>
      </c>
      <c r="L70" s="53">
        <f>SUMIFS(DepotCostAllocations2025[FTE],DepotCostAllocations2025[Scenario_ID],$E$11,DepotCostAllocations2025[Collection_ID],$C2&amp;"-"&amp;L$11)</f>
        <v>241.96914476594151</v>
      </c>
      <c r="M70" s="53">
        <f t="shared" si="98"/>
        <v>671.51244435680337</v>
      </c>
      <c r="O70" s="35"/>
      <c r="P70" s="365"/>
      <c r="Q70" s="365"/>
      <c r="R70" s="365" t="str">
        <f>IF(OR($G70="",$G70=0),"",$G70)</f>
        <v>Route Drivers, Route Operations, Depot Operations</v>
      </c>
      <c r="S70" s="365"/>
      <c r="T70" s="374">
        <f>SUMIFS(CollectionFTEs[OnRoute_FTE],CollectionFTEs[Year],$C$3,CollectionFTEs[GroupSector_ID],$C$2&amp;"-"&amp;T$11,CollectionFTEs[SS_or_DS],$R$11)</f>
        <v>187.22117955425873</v>
      </c>
      <c r="U70" s="374">
        <f>SUMIFS(CollectionFTEs[OnRoute_FTE],CollectionFTEs[Year],$C$3,CollectionFTEs[GroupSector_ID],$C$2&amp;"-"&amp;U$11,CollectionFTEs[SS_or_DS],$R$11)</f>
        <v>48.457370919919541</v>
      </c>
      <c r="V70" s="374">
        <f>SUMIFS(CollectionFTEs[OnRoute_FTE],CollectionFTEs[Year],$C$3,CollectionFTEs[GroupSector_ID],$C$2&amp;"-"&amp;V$11,CollectionFTEs[SS_or_DS],$R$11)</f>
        <v>193.86474911668364</v>
      </c>
      <c r="W70" s="374">
        <f>SUMIFS(DepotCostAllocations2025[FTE],DepotCostAllocations2025[Scenario_ID],$P$11,DepotCostAllocations2025[Collection_ID],C$2&amp;"-"&amp;W$11)</f>
        <v>299.91860418636247</v>
      </c>
      <c r="X70" s="374">
        <f>SUM(T70:W70)</f>
        <v>729.46190377722439</v>
      </c>
      <c r="AA70" s="365"/>
      <c r="AB70" s="365"/>
      <c r="AC70" s="365" t="str">
        <f>IF(OR($G70="",$G70=0),"",$G70)</f>
        <v>Route Drivers, Route Operations, Depot Operations</v>
      </c>
      <c r="AD70" s="365"/>
      <c r="AE70" s="374">
        <f>SUMIFS(CollectionFTEs[OnRoute_FTE],CollectionFTEs[Year],$C$3,CollectionFTEs[GroupSector_ID],$C$2&amp;"-"&amp;AE$11,CollectionFTEs[SS_or_DS],$AC$11)</f>
        <v>187.22117955425873</v>
      </c>
      <c r="AF70" s="374">
        <f>SUMIFS(CollectionFTEs[OnRoute_FTE],CollectionFTEs[Year],$C$3,CollectionFTEs[GroupSector_ID],$C$2&amp;"-"&amp;AF$11,CollectionFTEs[SS_or_DS],$AC$11)</f>
        <v>48.457370919919541</v>
      </c>
      <c r="AG70" s="374">
        <f>SUMIFS(CollectionFTEs[OnRoute_FTE],CollectionFTEs[Year],$C$3,CollectionFTEs[GroupSector_ID],$C$2&amp;"-"&amp;AG$11,CollectionFTEs[SS_or_DS],$AC$11)</f>
        <v>193.86474911668364</v>
      </c>
      <c r="AH70" s="374">
        <f>SUMIFS(DepotCostAllocations2025[FTE],DepotCostAllocations2025[Scenario_ID],$AA$11,DepotCostAllocations2025[Collection_ID],$C$2&amp;"-"&amp;AH$11)</f>
        <v>334.32892070380399</v>
      </c>
      <c r="AI70" s="374">
        <f>SUM(AE70:AH70)</f>
        <v>763.87222029466591</v>
      </c>
      <c r="AL70" s="365"/>
      <c r="AM70" s="365"/>
      <c r="AN70" s="365" t="str">
        <f>IF(OR($G70="",$G70=0),"",$G70)</f>
        <v>Route Drivers, Route Operations, Depot Operations</v>
      </c>
      <c r="AO70" s="365"/>
      <c r="AP70" s="374">
        <f>SUMIFS(CollectionFTEs[OnRoute_FTE],CollectionFTEs[Year],$C$3,CollectionFTEs[GroupSector_ID],$C$2&amp;"-"&amp;AP$11,CollectionFTEs[SS_or_DS],$AN$11)</f>
        <v>187.22117955425873</v>
      </c>
      <c r="AQ70" s="374">
        <f>SUMIFS(CollectionFTEs[OnRoute_FTE],CollectionFTEs[Year],$C$3,CollectionFTEs[GroupSector_ID],$C$2&amp;"-"&amp;AQ$11,CollectionFTEs[SS_or_DS],$AN$11)</f>
        <v>48.457370919919541</v>
      </c>
      <c r="AR70" s="374">
        <f>SUMIFS(CollectionFTEs[OnRoute_FTE],CollectionFTEs[Year],$C$3,CollectionFTEs[GroupSector_ID],$C$2&amp;"-"&amp;AR$11,CollectionFTEs[SS_or_DS],$AN$11)</f>
        <v>193.86474911668364</v>
      </c>
      <c r="AS70" s="374">
        <f>SUMIFS(DepotCostAllocations2025[FTE],DepotCostAllocations2025[Scenario_ID],$AL$11,DepotCostAllocations2025[Collection_ID],$C$2&amp;"-"&amp;AS$11)</f>
        <v>334.32892070380399</v>
      </c>
      <c r="AT70" s="374">
        <f>SUM(AP70:AS70)</f>
        <v>763.87222029466591</v>
      </c>
      <c r="AW70" s="365"/>
      <c r="AX70" s="365"/>
      <c r="AY70" s="365" t="str">
        <f>IF(OR($G70="",$G70=0),"",$G70)</f>
        <v>Route Drivers, Route Operations, Depot Operations</v>
      </c>
      <c r="AZ70" s="365"/>
      <c r="BA70" s="374">
        <f>SUMIFS(CollectionFTEs[OnRoute_FTE],CollectionFTEs[Year],$C$3,CollectionFTEs[GroupSector_ID],$C$2&amp;"-"&amp;BA$11,CollectionFTEs[SS_or_DS],$AY$11)</f>
        <v>284.44911906349751</v>
      </c>
      <c r="BB70" s="374">
        <f>SUMIFS(CollectionFTEs[OnRoute_FTE],CollectionFTEs[Year],$C$3,CollectionFTEs[GroupSector_ID],$C$2&amp;"-"&amp;BB$11,CollectionFTEs[SS_or_DS],$AY$11)</f>
        <v>48.457370919919541</v>
      </c>
      <c r="BC70" s="374">
        <f>SUMIFS(CollectionFTEs[OnRoute_FTE],CollectionFTEs[Year],$C$3,CollectionFTEs[GroupSector_ID],$C$2&amp;"-"&amp;BC$11,CollectionFTEs[SS_or_DS],$AY$11)</f>
        <v>193.86474911668364</v>
      </c>
      <c r="BD70" s="374">
        <f>SUMIFS(DepotCostAllocations2025[FTE],DepotCostAllocations2025[Scenario_ID],$AW$11,DepotCostAllocations2025[Collection_ID],$C$2&amp;"-"&amp;BD$11)</f>
        <v>332.50390119303052</v>
      </c>
      <c r="BE70" s="374">
        <f>SUM(BA70:BD70)</f>
        <v>859.27514029313124</v>
      </c>
    </row>
    <row r="71" spans="1:57" x14ac:dyDescent="0.2">
      <c r="E71" s="44"/>
      <c r="F71" s="44"/>
      <c r="G71" s="44" t="s">
        <v>47</v>
      </c>
      <c r="H71" s="44"/>
      <c r="I71" s="374">
        <f>SUMIFS(CollectionFTEs[AdminFTE],CollectionFTEs[Year],$C$3,CollectionFTEs[GroupSector_ID],$C$2&amp;"-"&amp;I$11,CollectionFTEs[SS_or_DS],$G$11)</f>
        <v>62.92504160718449</v>
      </c>
      <c r="J71" s="374">
        <f>SUMIFS(CollectionFTEs[AdminFTE],CollectionFTEs[Year],$C$3,CollectionFTEs[GroupSector_ID],$C$2&amp;"-"&amp;J$11,CollectionFTEs[SS_or_DS],$G$11)</f>
        <v>5.451454228490948</v>
      </c>
      <c r="K71" s="374">
        <f>SUMIFS(CollectionFTEs[AdminFTE],CollectionFTEs[Year],$C$3,CollectionFTEs[GroupSector_ID],$C$2&amp;"-"&amp;K$11,CollectionFTEs[SS_or_DS],$G$11)</f>
        <v>21.809784275626907</v>
      </c>
      <c r="L71" s="53" t="s">
        <v>1107</v>
      </c>
      <c r="M71" s="53">
        <f t="shared" si="98"/>
        <v>90.186280111302352</v>
      </c>
      <c r="O71" s="35"/>
      <c r="P71" s="365"/>
      <c r="Q71" s="365"/>
      <c r="R71" s="365" t="str">
        <f>IF(OR($G71="",$G71=0),"",$G71)</f>
        <v>Management and Administrative</v>
      </c>
      <c r="S71" s="365"/>
      <c r="T71" s="374">
        <f>SUMIFS(CollectionFTEs[AdminFTE],CollectionFTEs[Year],$C$3,CollectionFTEs[GroupSector_ID],$C$2&amp;"-"&amp;T$11,CollectionFTEs[SS_or_DS],$R$11)</f>
        <v>62.92504160718449</v>
      </c>
      <c r="U71" s="374">
        <f>SUMIFS(CollectionFTEs[AdminFTE],CollectionFTEs[Year],$C$3,CollectionFTEs[GroupSector_ID],$C$2&amp;"-"&amp;U$11,CollectionFTEs[SS_or_DS],$R$11)</f>
        <v>5.451454228490948</v>
      </c>
      <c r="V71" s="374">
        <f>SUMIFS(CollectionFTEs[AdminFTE],CollectionFTEs[Year],$C$3,CollectionFTEs[GroupSector_ID],$C$2&amp;"-"&amp;V$11,CollectionFTEs[SS_or_DS],$R$11)</f>
        <v>21.809784275626907</v>
      </c>
      <c r="W71" s="374" t="s">
        <v>1107</v>
      </c>
      <c r="X71" s="374">
        <f>SUM(T71:W71)</f>
        <v>90.186280111302352</v>
      </c>
      <c r="AA71" s="365"/>
      <c r="AB71" s="365"/>
      <c r="AC71" s="365" t="str">
        <f>IF(OR($G71="",$G71=0),"",$G71)</f>
        <v>Management and Administrative</v>
      </c>
      <c r="AD71" s="365"/>
      <c r="AE71" s="374">
        <f>SUMIFS(CollectionFTEs[AdminFTE],CollectionFTEs[Year],$C$3,CollectionFTEs[GroupSector_ID],$C$2&amp;"-"&amp;AE$11,CollectionFTEs[SS_or_DS],$AC$11)</f>
        <v>62.92504160718449</v>
      </c>
      <c r="AF71" s="374">
        <f>SUMIFS(CollectionFTEs[AdminFTE],CollectionFTEs[Year],$C$3,CollectionFTEs[GroupSector_ID],$C$2&amp;"-"&amp;AF$11,CollectionFTEs[SS_or_DS],$AC$11)</f>
        <v>5.451454228490948</v>
      </c>
      <c r="AG71" s="374">
        <f>SUMIFS(CollectionFTEs[AdminFTE],CollectionFTEs[Year],$C$3,CollectionFTEs[GroupSector_ID],$C$2&amp;"-"&amp;AG$11,CollectionFTEs[SS_or_DS],$AC$11)</f>
        <v>21.809784275626907</v>
      </c>
      <c r="AH71" s="374" t="s">
        <v>1107</v>
      </c>
      <c r="AI71" s="374">
        <f>SUM(AE71:AH71)</f>
        <v>90.186280111302352</v>
      </c>
      <c r="AL71" s="365"/>
      <c r="AM71" s="365"/>
      <c r="AN71" s="365" t="str">
        <f>IF(OR($G71="",$G71=0),"",$G71)</f>
        <v>Management and Administrative</v>
      </c>
      <c r="AO71" s="365"/>
      <c r="AP71" s="374">
        <f>SUMIFS(CollectionFTEs[AdminFTE],CollectionFTEs[Year],$C$3,CollectionFTEs[GroupSector_ID],$C$2&amp;"-"&amp;AP$11,CollectionFTEs[SS_or_DS],$AN$11)</f>
        <v>62.92504160718449</v>
      </c>
      <c r="AQ71" s="374">
        <f>SUMIFS(CollectionFTEs[AdminFTE],CollectionFTEs[Year],$C$3,CollectionFTEs[GroupSector_ID],$C$2&amp;"-"&amp;AQ$11,CollectionFTEs[SS_or_DS],$AN$11)</f>
        <v>5.451454228490948</v>
      </c>
      <c r="AR71" s="374">
        <f>SUMIFS(CollectionFTEs[AdminFTE],CollectionFTEs[Year],$C$3,CollectionFTEs[GroupSector_ID],$C$2&amp;"-"&amp;AR$11,CollectionFTEs[SS_or_DS],$AN$11)</f>
        <v>21.809784275626907</v>
      </c>
      <c r="AS71" s="374" t="s">
        <v>1107</v>
      </c>
      <c r="AT71" s="374">
        <f>SUM(AP71:AS71)</f>
        <v>90.186280111302352</v>
      </c>
      <c r="AW71" s="365"/>
      <c r="AX71" s="365"/>
      <c r="AY71" s="365" t="str">
        <f>IF(OR($G71="",$G71=0),"",$G71)</f>
        <v>Management and Administrative</v>
      </c>
      <c r="AZ71" s="365"/>
      <c r="BA71" s="374">
        <f>SUMIFS(CollectionFTEs[AdminFTE],CollectionFTEs[Year],$C$3,CollectionFTEs[GroupSector_ID],$C$2&amp;"-"&amp;BA$11,CollectionFTEs[SS_or_DS],$AY$11)</f>
        <v>82.964326393520096</v>
      </c>
      <c r="BB71" s="374">
        <f>SUMIFS(CollectionFTEs[AdminFTE],CollectionFTEs[Year],$C$3,CollectionFTEs[GroupSector_ID],$C$2&amp;"-"&amp;BB$11,CollectionFTEs[SS_or_DS],$AY$11)</f>
        <v>5.451454228490948</v>
      </c>
      <c r="BC71" s="374">
        <f>SUMIFS(CollectionFTEs[AdminFTE],CollectionFTEs[Year],$C$3,CollectionFTEs[GroupSector_ID],$C$2&amp;"-"&amp;BC$11,CollectionFTEs[SS_or_DS],$AY$11)</f>
        <v>21.809784275626907</v>
      </c>
      <c r="BD71" s="374" t="s">
        <v>1107</v>
      </c>
      <c r="BE71" s="374">
        <f>SUM(BA71:BD71)</f>
        <v>110.22556489763795</v>
      </c>
    </row>
    <row r="72" spans="1:57" x14ac:dyDescent="0.2">
      <c r="E72" s="42" t="s">
        <v>34</v>
      </c>
      <c r="F72" s="43"/>
      <c r="G72" s="43"/>
      <c r="H72" s="43"/>
      <c r="I72" s="375">
        <f>SUM(I73:I75)</f>
        <v>243.98222075887895</v>
      </c>
      <c r="J72" s="375">
        <f t="shared" ref="J72:L72" si="99">SUM(J73:J75)</f>
        <v>24.46959104257607</v>
      </c>
      <c r="K72" s="375">
        <f t="shared" si="99"/>
        <v>263.18185420680578</v>
      </c>
      <c r="L72" s="375">
        <f t="shared" si="99"/>
        <v>8.3663339917391255</v>
      </c>
      <c r="M72" s="54">
        <f>SUM(M73:M75)</f>
        <v>540</v>
      </c>
      <c r="O72" s="35"/>
      <c r="P72" s="363" t="str">
        <f>IF(OR($E72="",$E72=0),"",$E72)</f>
        <v>Sortation</v>
      </c>
      <c r="Q72" s="364"/>
      <c r="R72" s="364"/>
      <c r="S72" s="364"/>
      <c r="T72" s="375">
        <f>SUM(T73:T75)</f>
        <v>215.47622416198917</v>
      </c>
      <c r="U72" s="375">
        <f t="shared" ref="U72" si="100">SUM(U73:U75)</f>
        <v>20.873117599756132</v>
      </c>
      <c r="V72" s="375">
        <f t="shared" ref="V72" si="101">SUM(V73:V75)</f>
        <v>232.16548960728073</v>
      </c>
      <c r="W72" s="375">
        <f t="shared" ref="W72" si="102">SUM(W73:W75)</f>
        <v>7.3703909987532423</v>
      </c>
      <c r="X72" s="375">
        <f>SUM(X73:X75)</f>
        <v>475.88522236777925</v>
      </c>
      <c r="AA72" s="363" t="str">
        <f>IF(OR($E72="",$E72=0),"",$E72)</f>
        <v>Sortation</v>
      </c>
      <c r="AB72" s="364"/>
      <c r="AC72" s="364"/>
      <c r="AD72" s="364"/>
      <c r="AE72" s="375">
        <f>SUM(AE73:AE75)</f>
        <v>199.64429612981488</v>
      </c>
      <c r="AF72" s="375">
        <f t="shared" ref="AF72" si="103">SUM(AF73:AF75)</f>
        <v>20.3601291252393</v>
      </c>
      <c r="AG72" s="375">
        <f t="shared" ref="AG72" si="104">SUM(AG73:AG75)</f>
        <v>213.23985949216052</v>
      </c>
      <c r="AH72" s="375">
        <f t="shared" ref="AH72" si="105">SUM(AH73:AH75)</f>
        <v>8.355652866316218</v>
      </c>
      <c r="AI72" s="375">
        <f>SUM(AI73:AI75)</f>
        <v>441.59993761353087</v>
      </c>
      <c r="AL72" s="363" t="str">
        <f>IF(OR($E72="",$E72=0),"",$E72)</f>
        <v>Sortation</v>
      </c>
      <c r="AM72" s="364"/>
      <c r="AN72" s="364"/>
      <c r="AO72" s="364"/>
      <c r="AP72" s="375">
        <f>SUM(AP73:AP75)</f>
        <v>194.18562654970802</v>
      </c>
      <c r="AQ72" s="375">
        <f t="shared" ref="AQ72" si="106">SUM(AQ73:AQ75)</f>
        <v>19.803442960608155</v>
      </c>
      <c r="AR72" s="375">
        <f t="shared" ref="AR72" si="107">SUM(AR73:AR75)</f>
        <v>207.40946034306967</v>
      </c>
      <c r="AS72" s="375">
        <f t="shared" ref="AS72" si="108">SUM(AS73:AS75)</f>
        <v>8.1271928050598952</v>
      </c>
      <c r="AT72" s="375">
        <f>SUM(AT73:AT75)</f>
        <v>429.52572265844572</v>
      </c>
      <c r="AW72" s="363" t="str">
        <f>IF(OR($E72="",$E72=0),"",$E72)</f>
        <v>Sortation</v>
      </c>
      <c r="AX72" s="364"/>
      <c r="AY72" s="364"/>
      <c r="AZ72" s="364"/>
      <c r="BA72" s="375">
        <f>SUM(BA73:BA75)</f>
        <v>193.3746028856865</v>
      </c>
      <c r="BB72" s="375">
        <f t="shared" ref="BB72" si="109">SUM(BB73:BB75)</f>
        <v>19.623739349472313</v>
      </c>
      <c r="BC72" s="375">
        <f t="shared" ref="BC72" si="110">SUM(BC73:BC75)</f>
        <v>205.62767878017402</v>
      </c>
      <c r="BD72" s="375">
        <f t="shared" ref="BD72" si="111">SUM(BD73:BD75)</f>
        <v>7.7058552789804837</v>
      </c>
      <c r="BE72" s="375">
        <f>SUM(BE73:BE75)</f>
        <v>426.3318762943133</v>
      </c>
    </row>
    <row r="73" spans="1:57" x14ac:dyDescent="0.2">
      <c r="C73" s="1">
        <v>1</v>
      </c>
      <c r="E73" s="44"/>
      <c r="F73" s="44"/>
      <c r="G73" s="44" t="s">
        <v>1108</v>
      </c>
      <c r="H73" s="44"/>
      <c r="I73" s="523">
        <f>(I$51/M$51)*M73</f>
        <v>183.43848449649047</v>
      </c>
      <c r="J73" s="523">
        <f>(J$51/M$51)*M73</f>
        <v>18.397507339418304</v>
      </c>
      <c r="K73" s="523">
        <f>(K$51/M$51)*M73</f>
        <v>197.87376445919102</v>
      </c>
      <c r="L73" s="523">
        <f>(L$51/M$51)*M73</f>
        <v>6.2902437049001572</v>
      </c>
      <c r="M73" s="374">
        <f>(M$8/M$9)*SUMIFS(MRFLaborProductivity[Scenario_FTE],MRFLaborProductivity[Scenario_ID],E$11,MRFLaborProductivity[LaborType_ID],$C73)</f>
        <v>406</v>
      </c>
      <c r="O73" s="35"/>
      <c r="P73" s="365"/>
      <c r="Q73" s="365"/>
      <c r="R73" s="365" t="str">
        <f>IF(OR($G73="",$G73=0),"",$G73)</f>
        <v>Sorting Labor</v>
      </c>
      <c r="S73" s="365"/>
      <c r="T73" s="523">
        <f>(T$51/X$51)*X73</f>
        <v>154.6278957459418</v>
      </c>
      <c r="U73" s="523">
        <f>(U$51/X$51)*X73</f>
        <v>14.978758165362493</v>
      </c>
      <c r="V73" s="523">
        <f>(V$51/X$51)*X73</f>
        <v>166.60427971771051</v>
      </c>
      <c r="W73" s="523">
        <f>(W$51/X$51)*X73</f>
        <v>5.2890663709851937</v>
      </c>
      <c r="X73" s="374">
        <f>(X$8/X$9)*SUMIFS(MRFLaborProductivity[Scenario_FTE],MRFLaborProductivity[Scenario_ID],P$11,MRFLaborProductivity[LaborType_ID],$C73)</f>
        <v>341.5</v>
      </c>
      <c r="AA73" s="365"/>
      <c r="AB73" s="365"/>
      <c r="AC73" s="365" t="str">
        <f>IF(OR($G73="",$G73=0),"",$G73)</f>
        <v>Sorting Labor</v>
      </c>
      <c r="AD73" s="365"/>
      <c r="AE73" s="523">
        <f>(AE$51/AI$51)*AI73</f>
        <v>135.40189116423338</v>
      </c>
      <c r="AF73" s="523">
        <f>(AF$51/AI$51)*AI73</f>
        <v>13.808558728433862</v>
      </c>
      <c r="AG73" s="523">
        <f>(AG$51/AI$51)*AI73</f>
        <v>144.62261535415851</v>
      </c>
      <c r="AH73" s="523">
        <f>(AH$51/AI$51)*AI73</f>
        <v>5.6669347531742691</v>
      </c>
      <c r="AI73" s="374">
        <f>(AI$8/AI$9)*SUMIFS(MRFLaborProductivity[Scenario_FTE],MRFLaborProductivity[Scenario_ID],AA$11,MRFLaborProductivity[LaborType_ID],$C73)</f>
        <v>299.5</v>
      </c>
      <c r="AL73" s="365"/>
      <c r="AM73" s="365"/>
      <c r="AN73" s="365" t="str">
        <f>IF(OR($G73="",$G73=0),"",$G73)</f>
        <v>Sorting Labor</v>
      </c>
      <c r="AO73" s="365"/>
      <c r="AP73" s="523">
        <f>(AP$51/AT$51)*AT73</f>
        <v>130.65491334378444</v>
      </c>
      <c r="AQ73" s="523">
        <f>(AQ$51/AT$51)*AT73</f>
        <v>13.324452328939518</v>
      </c>
      <c r="AR73" s="523">
        <f>(AR$51/AT$51)*AT73</f>
        <v>139.55237341352858</v>
      </c>
      <c r="AS73" s="523">
        <f>(AS$51/AT$51)*AT73</f>
        <v>5.468260913747458</v>
      </c>
      <c r="AT73" s="374">
        <f>(AT$8/AT$9)*SUMIFS(MRFLaborProductivity[Scenario_FTE],MRFLaborProductivity[Scenario_ID],AL$11,MRFLaborProductivity[LaborType_ID],$C73)</f>
        <v>289</v>
      </c>
      <c r="AW73" s="365"/>
      <c r="AX73" s="365"/>
      <c r="AY73" s="365" t="str">
        <f>IF(OR($G73="",$G73=0),"",$G73)</f>
        <v>Sorting Labor</v>
      </c>
      <c r="AZ73" s="365"/>
      <c r="BA73" s="523">
        <f>(BA$51/BE$51)*BE73</f>
        <v>126.32137050546422</v>
      </c>
      <c r="BB73" s="523">
        <f>(BB$51/BE$51)*BE73</f>
        <v>12.819147975356159</v>
      </c>
      <c r="BC73" s="523">
        <f>(BC$51/BE$51)*BE73</f>
        <v>134.32565502267215</v>
      </c>
      <c r="BD73" s="523">
        <f>(BD$51/BE$51)*BE73</f>
        <v>5.0338264965074835</v>
      </c>
      <c r="BE73" s="374">
        <f>(BE$8/BE$9)*SUMIFS(MRFLaborProductivity[Scenario_FTE],MRFLaborProductivity[Scenario_ID],AW$11,MRFLaborProductivity[LaborType_ID],$C73)</f>
        <v>278.5</v>
      </c>
    </row>
    <row r="74" spans="1:57" x14ac:dyDescent="0.2">
      <c r="C74" s="1">
        <v>2</v>
      </c>
      <c r="E74" s="44"/>
      <c r="F74" s="44"/>
      <c r="G74" s="44" t="s">
        <v>1109</v>
      </c>
      <c r="H74" s="44"/>
      <c r="I74" s="523">
        <f>(I$51/M$51)*M74</f>
        <v>40.211884532481903</v>
      </c>
      <c r="J74" s="523">
        <f>(J$51/M$51)*M74</f>
        <v>4.0329511162764264</v>
      </c>
      <c r="K74" s="523">
        <f>(K$51/M$51)*M74</f>
        <v>43.376268563714291</v>
      </c>
      <c r="L74" s="523">
        <f>(L$51/M$51)*M74</f>
        <v>1.3788957875273742</v>
      </c>
      <c r="M74" s="374">
        <f>(M$8/M$9)*SUMIFS(MRFLaborProductivity[Scenario_FTE],MRFLaborProductivity[Scenario_ID],E$11,MRFLaborProductivity[LaborType_ID],$C74)</f>
        <v>89</v>
      </c>
      <c r="P74" s="365"/>
      <c r="Q74" s="365"/>
      <c r="R74" s="365" t="str">
        <f>IF(OR($G74="",$G74=0),"",$G74)</f>
        <v>Equipment Operators, Supervisors, Maintenance</v>
      </c>
      <c r="S74" s="365"/>
      <c r="T74" s="523">
        <f>(T$51/X$51)*X74</f>
        <v>40.47276382287788</v>
      </c>
      <c r="U74" s="523">
        <f>(U$51/X$51)*X74</f>
        <v>3.9205845663370886</v>
      </c>
      <c r="V74" s="523">
        <f>(V$51/X$51)*X74</f>
        <v>43.6074980673243</v>
      </c>
      <c r="W74" s="523">
        <f>(W$51/X$51)*X74</f>
        <v>1.3843759112399849</v>
      </c>
      <c r="X74" s="374">
        <f>(X$8/X$9)*SUMIFS(MRFLaborProductivity[Scenario_FTE],MRFLaborProductivity[Scenario_ID],P$11,MRFLaborProductivity[LaborType_ID],$C74)</f>
        <v>89.385222367779264</v>
      </c>
      <c r="AA74" s="365"/>
      <c r="AB74" s="365"/>
      <c r="AC74" s="365" t="str">
        <f>IF(OR($G74="",$G74=0),"",$G74)</f>
        <v>Equipment Operators, Supervisors, Maintenance</v>
      </c>
      <c r="AD74" s="365"/>
      <c r="AE74" s="523">
        <f>(AE$51/AI$51)*AI74</f>
        <v>43.898214306514717</v>
      </c>
      <c r="AF74" s="523">
        <f>(AF$51/AI$51)*AI74</f>
        <v>4.4768286846868284</v>
      </c>
      <c r="AG74" s="523">
        <f>(AG$51/AI$51)*AI74</f>
        <v>46.887635821016573</v>
      </c>
      <c r="AH74" s="523">
        <f>(AH$51/AI$51)*AI74</f>
        <v>1.8372588013127595</v>
      </c>
      <c r="AI74" s="374">
        <f>(AI$8/AI$9)*SUMIFS(MRFLaborProductivity[Scenario_FTE],MRFLaborProductivity[Scenario_ID],AA$11,MRFLaborProductivity[LaborType_ID],$C74)</f>
        <v>97.099937613530869</v>
      </c>
      <c r="AL74" s="365"/>
      <c r="AM74" s="365"/>
      <c r="AN74" s="365" t="str">
        <f>IF(OR($G74="",$G74=0),"",$G74)</f>
        <v>Equipment Operators, Supervisors, Maintenance</v>
      </c>
      <c r="AO74" s="365"/>
      <c r="AP74" s="523">
        <f>(AP$51/AT$51)*AT74</f>
        <v>43.1865225468568</v>
      </c>
      <c r="AQ74" s="523">
        <f>(AQ$51/AT$51)*AT74</f>
        <v>4.4042489195500281</v>
      </c>
      <c r="AR74" s="523">
        <f>(AR$51/AT$51)*AT74</f>
        <v>46.12747861255567</v>
      </c>
      <c r="AS74" s="523">
        <f>(AS$51/AT$51)*AT74</f>
        <v>1.8074725794832485</v>
      </c>
      <c r="AT74" s="374">
        <f>(AT$8/AT$9)*SUMIFS(MRFLaborProductivity[Scenario_FTE],MRFLaborProductivity[Scenario_ID],AL$11,MRFLaborProductivity[LaborType_ID],$C74)</f>
        <v>95.525722658445744</v>
      </c>
      <c r="AW74" s="365"/>
      <c r="AX74" s="365"/>
      <c r="AY74" s="365" t="str">
        <f>IF(OR($G74="",$G74=0),"",$G74)</f>
        <v>Equipment Operators, Supervisors, Maintenance</v>
      </c>
      <c r="AZ74" s="365"/>
      <c r="BA74" s="523">
        <f>(BA$51/BE$51)*BE74</f>
        <v>46.642238941278315</v>
      </c>
      <c r="BB74" s="523">
        <f>(BB$51/BE$51)*BE74</f>
        <v>4.7332748251358039</v>
      </c>
      <c r="BC74" s="523">
        <f>(BC$51/BE$51)*BE74</f>
        <v>49.597698888488416</v>
      </c>
      <c r="BD74" s="523">
        <f>(BD$51/BE$51)*BE74</f>
        <v>1.8586636394107503</v>
      </c>
      <c r="BE74" s="374">
        <f>(BE$8/BE$9)*SUMIFS(MRFLaborProductivity[Scenario_FTE],MRFLaborProductivity[Scenario_ID],AW$11,MRFLaborProductivity[LaborType_ID],$C74)</f>
        <v>102.83187629431329</v>
      </c>
    </row>
    <row r="75" spans="1:57" x14ac:dyDescent="0.2">
      <c r="C75" s="1">
        <v>3</v>
      </c>
      <c r="E75" s="44"/>
      <c r="F75" s="44"/>
      <c r="G75" s="44" t="s">
        <v>48</v>
      </c>
      <c r="H75" s="44"/>
      <c r="I75" s="523">
        <f>(I$51/M$51)*M75</f>
        <v>20.331851729906582</v>
      </c>
      <c r="J75" s="523">
        <f>(J$51/M$51)*M75</f>
        <v>2.039132586881339</v>
      </c>
      <c r="K75" s="523">
        <f>(K$51/M$51)*M75</f>
        <v>21.931821183900482</v>
      </c>
      <c r="L75" s="523">
        <f>(L$51/M$51)*M75</f>
        <v>0.69719449931159372</v>
      </c>
      <c r="M75" s="374">
        <f>(M$8/M$9)*SUMIFS(MRFLaborProductivity[Scenario_FTE],MRFLaborProductivity[Scenario_ID],E$11,MRFLaborProductivity[LaborType_ID],$C75)</f>
        <v>45</v>
      </c>
      <c r="P75" s="365"/>
      <c r="Q75" s="365"/>
      <c r="R75" s="365" t="str">
        <f>IF(OR($G75="",$G75=0),"",$G75)</f>
        <v>Admininstrative and Marketing</v>
      </c>
      <c r="S75" s="365"/>
      <c r="T75" s="523">
        <f>(T$51/X$51)*X75</f>
        <v>20.375564593169489</v>
      </c>
      <c r="U75" s="523">
        <f>(U$51/X$51)*X75</f>
        <v>1.973774868056551</v>
      </c>
      <c r="V75" s="523">
        <f>(V$51/X$51)*X75</f>
        <v>21.953711822245893</v>
      </c>
      <c r="W75" s="523">
        <f>(W$51/X$51)*X75</f>
        <v>0.69694871652806356</v>
      </c>
      <c r="X75" s="374">
        <f>(X$8/X$9)*SUMIFS(MRFLaborProductivity[Scenario_FTE],MRFLaborProductivity[Scenario_ID],P$11,MRFLaborProductivity[LaborType_ID],$C75)</f>
        <v>45</v>
      </c>
      <c r="AA75" s="365"/>
      <c r="AB75" s="365"/>
      <c r="AC75" s="365" t="str">
        <f>IF(OR($G75="",$G75=0),"",$G75)</f>
        <v>Admininstrative and Marketing</v>
      </c>
      <c r="AD75" s="365"/>
      <c r="AE75" s="523">
        <f>(AE$51/AI$51)*AI75</f>
        <v>20.344190659066783</v>
      </c>
      <c r="AF75" s="523">
        <f>(AF$51/AI$51)*AI75</f>
        <v>2.0747417121186102</v>
      </c>
      <c r="AG75" s="523">
        <f>(AG$51/AI$51)*AI75</f>
        <v>21.72960831698542</v>
      </c>
      <c r="AH75" s="523">
        <f>(AH$51/AI$51)*AI75</f>
        <v>0.85145931182918899</v>
      </c>
      <c r="AI75" s="374">
        <f>(AI$8/AI$9)*SUMIFS(MRFLaborProductivity[Scenario_FTE],MRFLaborProductivity[Scenario_ID],AA$11,MRFLaborProductivity[LaborType_ID],$C75)</f>
        <v>45</v>
      </c>
      <c r="AL75" s="365"/>
      <c r="AM75" s="365"/>
      <c r="AN75" s="365" t="str">
        <f>IF(OR($G75="",$G75=0),"",$G75)</f>
        <v>Admininstrative and Marketing</v>
      </c>
      <c r="AO75" s="365"/>
      <c r="AP75" s="523">
        <f>(AP$51/AT$51)*AT75</f>
        <v>20.344190659066783</v>
      </c>
      <c r="AQ75" s="523">
        <f>(AQ$51/AT$51)*AT75</f>
        <v>2.0747417121186102</v>
      </c>
      <c r="AR75" s="523">
        <f>(AR$51/AT$51)*AT75</f>
        <v>21.72960831698542</v>
      </c>
      <c r="AS75" s="523">
        <f>(AS$51/AT$51)*AT75</f>
        <v>0.85145931182918899</v>
      </c>
      <c r="AT75" s="374">
        <f>(AT$8/AT$9)*SUMIFS(MRFLaborProductivity[Scenario_FTE],MRFLaborProductivity[Scenario_ID],AL$11,MRFLaborProductivity[LaborType_ID],$C75)</f>
        <v>45</v>
      </c>
      <c r="AW75" s="365"/>
      <c r="AX75" s="365"/>
      <c r="AY75" s="365" t="str">
        <f>IF(OR($G75="",$G75=0),"",$G75)</f>
        <v>Admininstrative and Marketing</v>
      </c>
      <c r="AZ75" s="365"/>
      <c r="BA75" s="523">
        <f>(BA$51/BE$51)*BE75</f>
        <v>20.410993438943947</v>
      </c>
      <c r="BB75" s="523">
        <f>(BB$51/BE$51)*BE75</f>
        <v>2.0713165489803491</v>
      </c>
      <c r="BC75" s="523">
        <f>(BC$51/BE$51)*BE75</f>
        <v>21.704324869013451</v>
      </c>
      <c r="BD75" s="523">
        <f>(BD$51/BE$51)*BE75</f>
        <v>0.81336514306225038</v>
      </c>
      <c r="BE75" s="374">
        <f>(BE$8/BE$9)*SUMIFS(MRFLaborProductivity[Scenario_FTE],MRFLaborProductivity[Scenario_ID],AW$11,MRFLaborProductivity[LaborType_ID],$C75)</f>
        <v>45</v>
      </c>
    </row>
    <row r="76" spans="1:57" x14ac:dyDescent="0.2">
      <c r="E76" s="42" t="s">
        <v>3677</v>
      </c>
      <c r="F76" s="42"/>
      <c r="G76" s="42"/>
      <c r="H76" s="42"/>
      <c r="I76" s="375">
        <f t="shared" ref="I76:L76" si="112">SUM(I66,I69,I72)</f>
        <v>513.67125991157286</v>
      </c>
      <c r="J76" s="375">
        <f t="shared" si="112"/>
        <v>91.406961518487023</v>
      </c>
      <c r="K76" s="375">
        <f t="shared" si="112"/>
        <v>507.08490247536736</v>
      </c>
      <c r="L76" s="375">
        <f t="shared" si="112"/>
        <v>250.33547875768062</v>
      </c>
      <c r="M76" s="375">
        <f>SUM(M66,M69,M72)</f>
        <v>1362.4986026631082</v>
      </c>
      <c r="P76" s="363" t="str">
        <f>IF(OR($E76="",$E76=0),"",$E76)</f>
        <v>Overall Recycling System FTEs</v>
      </c>
      <c r="Q76" s="363"/>
      <c r="R76" s="363"/>
      <c r="S76" s="363"/>
      <c r="T76" s="375">
        <f t="shared" ref="T76:W76" si="113">SUM(T66,T69,T72)</f>
        <v>506.58614763870628</v>
      </c>
      <c r="U76" s="375">
        <f t="shared" si="113"/>
        <v>103.06642069667961</v>
      </c>
      <c r="V76" s="375">
        <f t="shared" si="113"/>
        <v>534.94307918649713</v>
      </c>
      <c r="W76" s="375">
        <f t="shared" si="113"/>
        <v>307.28899518511571</v>
      </c>
      <c r="X76" s="375">
        <f>SUM(X66,X69,X72)</f>
        <v>1451.8846427069989</v>
      </c>
      <c r="AA76" s="363" t="str">
        <f>IF(OR($E76="",$E76=0),"",$E76)</f>
        <v>Overall Recycling System FTEs</v>
      </c>
      <c r="AB76" s="363"/>
      <c r="AC76" s="363"/>
      <c r="AD76" s="363"/>
      <c r="AE76" s="375">
        <f t="shared" ref="AE76:AH76" si="114">SUM(AE66,AE69,AE72)</f>
        <v>490.75421960653205</v>
      </c>
      <c r="AF76" s="375">
        <f t="shared" si="114"/>
        <v>102.55343222216278</v>
      </c>
      <c r="AG76" s="375">
        <f t="shared" si="114"/>
        <v>516.01744907137686</v>
      </c>
      <c r="AH76" s="375">
        <f t="shared" si="114"/>
        <v>342.68457357012022</v>
      </c>
      <c r="AI76" s="375">
        <f>SUM(AI66,AI69,AI72)</f>
        <v>1452.0096744701918</v>
      </c>
      <c r="AL76" s="363" t="str">
        <f>IF(OR($E76="",$E76=0),"",$E76)</f>
        <v>Overall Recycling System FTEs</v>
      </c>
      <c r="AM76" s="363"/>
      <c r="AN76" s="363"/>
      <c r="AO76" s="363"/>
      <c r="AP76" s="375">
        <f t="shared" ref="AP76:AS76" si="115">SUM(AP66,AP69,AP72)</f>
        <v>485.29555002642519</v>
      </c>
      <c r="AQ76" s="375">
        <f t="shared" si="115"/>
        <v>101.99674605753164</v>
      </c>
      <c r="AR76" s="375">
        <f t="shared" si="115"/>
        <v>510.18704992228606</v>
      </c>
      <c r="AS76" s="375">
        <f t="shared" si="115"/>
        <v>342.45611350886389</v>
      </c>
      <c r="AT76" s="375">
        <f>SUM(AT66,AT69,AT72)</f>
        <v>1439.9354595151067</v>
      </c>
      <c r="AW76" s="363" t="str">
        <f>IF(OR($E76="",$E76=0),"",$E76)</f>
        <v>Overall Recycling System FTEs</v>
      </c>
      <c r="AX76" s="363"/>
      <c r="AY76" s="363"/>
      <c r="AZ76" s="363"/>
      <c r="BA76" s="375">
        <f t="shared" ref="BA76:BD76" si="116">SUM(BA66,BA69,BA72)</f>
        <v>601.75175065797805</v>
      </c>
      <c r="BB76" s="375">
        <f t="shared" si="116"/>
        <v>101.8170424463958</v>
      </c>
      <c r="BC76" s="375">
        <f t="shared" si="116"/>
        <v>508.40526835939045</v>
      </c>
      <c r="BD76" s="375">
        <f t="shared" si="116"/>
        <v>340.20975647201101</v>
      </c>
      <c r="BE76" s="375">
        <f>SUM(BE66,BE69,BE72)</f>
        <v>1552.1838179357753</v>
      </c>
    </row>
    <row r="79" spans="1:57" x14ac:dyDescent="0.2">
      <c r="I79" s="21"/>
      <c r="J79" s="21"/>
      <c r="K79" s="21"/>
      <c r="L79" s="21"/>
      <c r="M79" s="21"/>
      <c r="T79" s="357"/>
      <c r="U79" s="357"/>
      <c r="V79" s="357"/>
      <c r="W79" s="357"/>
      <c r="X79" s="357"/>
      <c r="AE79" s="357"/>
      <c r="AF79" s="357"/>
      <c r="AG79" s="357"/>
      <c r="AH79" s="357"/>
      <c r="AI79" s="357"/>
      <c r="AP79" s="357"/>
      <c r="AQ79" s="357"/>
      <c r="AR79" s="357"/>
      <c r="AS79" s="357"/>
      <c r="AT79" s="357"/>
      <c r="BA79" s="357"/>
      <c r="BB79" s="357"/>
      <c r="BC79" s="357"/>
      <c r="BD79" s="357"/>
      <c r="BE79" s="357"/>
    </row>
    <row r="80" spans="1:57" x14ac:dyDescent="0.2">
      <c r="I80" s="20"/>
      <c r="J80" s="20"/>
      <c r="K80" s="20"/>
      <c r="L80" s="20"/>
      <c r="M80" s="20"/>
      <c r="T80" s="356"/>
      <c r="U80" s="356"/>
      <c r="V80" s="356"/>
      <c r="W80" s="356"/>
      <c r="X80" s="356"/>
      <c r="AE80" s="356"/>
      <c r="AF80" s="356"/>
      <c r="AG80" s="356"/>
      <c r="AH80" s="356"/>
      <c r="AI80" s="356"/>
      <c r="AP80" s="356"/>
      <c r="AQ80" s="356"/>
      <c r="AR80" s="356"/>
      <c r="AS80" s="356"/>
      <c r="AT80" s="356"/>
      <c r="BA80" s="356"/>
      <c r="BB80" s="356"/>
      <c r="BC80" s="356"/>
      <c r="BD80" s="356"/>
      <c r="BE80" s="356"/>
    </row>
    <row r="81" spans="9:57" x14ac:dyDescent="0.2">
      <c r="I81" s="20"/>
      <c r="J81" s="20"/>
      <c r="K81" s="20"/>
      <c r="L81" s="20"/>
      <c r="M81" s="20"/>
      <c r="T81" s="356"/>
      <c r="U81" s="356"/>
      <c r="V81" s="356"/>
      <c r="W81" s="356"/>
      <c r="X81" s="356"/>
      <c r="AE81" s="356"/>
      <c r="AF81" s="356"/>
      <c r="AG81" s="356"/>
      <c r="AH81" s="356"/>
      <c r="AI81" s="356"/>
      <c r="AP81" s="356"/>
      <c r="AQ81" s="356"/>
      <c r="AR81" s="356"/>
      <c r="AS81" s="356"/>
      <c r="AT81" s="356"/>
      <c r="BA81" s="356"/>
      <c r="BB81" s="356"/>
      <c r="BC81" s="356"/>
      <c r="BD81" s="356"/>
      <c r="BE81" s="356"/>
    </row>
  </sheetData>
  <sheetProtection algorithmName="SHA-512" hashValue="N7TdhzuNpswy97evodt60sa3jH7zQ467m0Mx1g47odShs0/X5I5frw5X4ClS89NJ7kqGv6BfxY9X5Ixg1gMkZA==" saltValue="Kwljbj2paTbPr/hy9HeFWg==" spinCount="100000" sheet="1" objects="1" scenarios="1" autoFilter="0"/>
  <dataValidations count="1">
    <dataValidation type="list" allowBlank="1" showInputMessage="1" showErrorMessage="1" sqref="AW11 E11 P11 AA11 AL11 C6:C10 I5:N5 BA5:BE5 T5:Y5 AE5:AJ5 AP5:AU5 D5" xr:uid="{7A1B76FB-71C4-47AB-9BB0-FEBBBB2FC500}">
      <formula1>"S0,S1,S2,S3,S4"</formula1>
    </dataValidation>
  </dataValidations>
  <pageMargins left="0.7" right="0.7" top="0.75" bottom="0.75" header="0.3" footer="0.3"/>
  <pageSetup paperSize="5" fitToWidth="5" fitToHeight="0" orientation="landscape" r:id="rId1"/>
  <rowBreaks count="1" manualBreakCount="1">
    <brk id="49" min="3" max="56" man="1"/>
  </rowBreaks>
  <colBreaks count="4" manualBreakCount="4">
    <brk id="14" min="16" max="74" man="1"/>
    <brk id="25" min="16" max="74" man="1"/>
    <brk id="36" min="16" max="73" man="1"/>
    <brk id="47" min="16" max="74" man="1"/>
  </colBreaks>
  <extLst>
    <ext xmlns:x14="http://schemas.microsoft.com/office/spreadsheetml/2009/9/main" uri="{CCE6A557-97BC-4b89-ADB6-D9C93CAAB3DF}">
      <x14:dataValidations xmlns:xm="http://schemas.microsoft.com/office/excel/2006/main" count="1">
        <x14:dataValidation type="list" allowBlank="1" showInputMessage="1" showErrorMessage="1" xr:uid="{FFEFF8B5-97FF-4D38-98B1-01EC25833CA5}">
          <x14:formula1>
            <xm:f>MetaData!$C$4:$C$8</xm:f>
          </x14:formula1>
          <xm:sqref>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6426-BCA9-464D-AAD8-6B0C3D58DF8F}">
  <sheetPr>
    <tabColor theme="8"/>
  </sheetPr>
  <dimension ref="A1:R47"/>
  <sheetViews>
    <sheetView topLeftCell="A13" workbookViewId="0">
      <selection activeCell="O15" sqref="O15"/>
    </sheetView>
  </sheetViews>
  <sheetFormatPr defaultRowHeight="14.25" x14ac:dyDescent="0.2"/>
  <cols>
    <col min="1" max="1" width="2" bestFit="1" customWidth="1"/>
    <col min="2" max="2" width="14" customWidth="1"/>
    <col min="3" max="3" width="10.25" customWidth="1"/>
    <col min="4" max="4" width="22.75" customWidth="1"/>
    <col min="5" max="5" width="8" customWidth="1"/>
    <col min="6" max="6" width="20" customWidth="1"/>
    <col min="7" max="7" width="6.875" customWidth="1"/>
    <col min="8" max="8" width="9.375" customWidth="1"/>
    <col min="9" max="9" width="16.625" customWidth="1"/>
    <col min="10" max="13" width="16.875" customWidth="1"/>
    <col min="14" max="14" width="18.5" customWidth="1"/>
    <col min="15" max="18" width="16.875" customWidth="1"/>
  </cols>
  <sheetData>
    <row r="1" spans="1:18" ht="20.25" thickBot="1" x14ac:dyDescent="0.25">
      <c r="A1" s="4"/>
      <c r="B1" s="65" t="s">
        <v>812</v>
      </c>
      <c r="C1" s="66"/>
      <c r="D1" s="66"/>
      <c r="E1" s="66"/>
      <c r="F1" s="66"/>
      <c r="G1" s="66"/>
      <c r="H1" s="79"/>
      <c r="I1" s="79"/>
      <c r="J1" s="79"/>
      <c r="K1" s="79"/>
      <c r="L1" s="79"/>
      <c r="M1" s="79"/>
      <c r="N1" s="79"/>
      <c r="O1" s="79"/>
      <c r="P1" s="79"/>
      <c r="Q1" s="79"/>
      <c r="R1" s="79"/>
    </row>
    <row r="2" spans="1:18" ht="15" thickTop="1" x14ac:dyDescent="0.2">
      <c r="A2" s="4"/>
      <c r="B2" s="4"/>
      <c r="C2" s="4"/>
      <c r="D2" s="4"/>
      <c r="E2" s="4"/>
      <c r="F2" s="4"/>
      <c r="G2" s="4"/>
      <c r="H2" s="10"/>
      <c r="I2" s="10"/>
      <c r="J2" s="10"/>
      <c r="K2" s="10"/>
      <c r="L2" s="10"/>
      <c r="M2" s="10"/>
      <c r="N2" s="10"/>
      <c r="O2" s="10"/>
      <c r="P2" s="10"/>
      <c r="Q2" s="10"/>
      <c r="R2" s="10"/>
    </row>
    <row r="3" spans="1:18" ht="17.25" thickBot="1" x14ac:dyDescent="0.25">
      <c r="A3" s="4"/>
      <c r="B3" s="74" t="s">
        <v>49</v>
      </c>
      <c r="C3" s="74"/>
      <c r="D3" s="74"/>
      <c r="E3" s="74"/>
      <c r="F3" s="74"/>
      <c r="G3" s="74"/>
      <c r="H3" s="74"/>
      <c r="I3" s="74"/>
      <c r="J3" s="74"/>
      <c r="K3" s="74"/>
      <c r="L3" s="74"/>
      <c r="M3" s="74"/>
      <c r="N3" s="74"/>
      <c r="O3" s="74"/>
      <c r="P3" s="74"/>
      <c r="Q3" s="74"/>
      <c r="R3" s="74"/>
    </row>
    <row r="4" spans="1:18" ht="15" thickTop="1" x14ac:dyDescent="0.2">
      <c r="A4" s="60"/>
      <c r="B4" s="176"/>
      <c r="C4" s="176"/>
      <c r="D4" s="176"/>
      <c r="E4" s="176"/>
      <c r="F4" s="176"/>
      <c r="G4" s="176"/>
      <c r="H4" s="176"/>
      <c r="I4" s="176"/>
      <c r="J4" s="176"/>
      <c r="K4" s="176"/>
      <c r="L4" s="176"/>
      <c r="M4" s="176"/>
      <c r="N4" s="176"/>
      <c r="O4" s="176"/>
      <c r="P4" s="80"/>
      <c r="Q4" s="80"/>
      <c r="R4" s="80"/>
    </row>
    <row r="5" spans="1:18" ht="15" x14ac:dyDescent="0.2">
      <c r="A5" s="4"/>
      <c r="B5" s="177" t="s">
        <v>50</v>
      </c>
      <c r="C5" s="110" t="s">
        <v>807</v>
      </c>
      <c r="D5" s="110"/>
      <c r="E5" s="110"/>
      <c r="F5" s="110"/>
      <c r="G5" s="110"/>
      <c r="H5" s="111"/>
      <c r="I5" s="111"/>
      <c r="J5" s="111"/>
      <c r="K5" s="111"/>
      <c r="L5" s="111"/>
      <c r="M5" s="111"/>
      <c r="N5" s="111"/>
      <c r="O5" s="111"/>
      <c r="P5" s="10"/>
      <c r="Q5" s="10"/>
      <c r="R5" s="10"/>
    </row>
    <row r="6" spans="1:18" ht="15" x14ac:dyDescent="0.2">
      <c r="A6" s="4"/>
      <c r="B6" s="177"/>
      <c r="C6" s="177"/>
      <c r="D6" s="110"/>
      <c r="E6" s="110"/>
      <c r="F6" s="110"/>
      <c r="G6" s="110"/>
      <c r="H6" s="111"/>
      <c r="I6" s="110"/>
      <c r="J6" s="110"/>
      <c r="K6" s="110"/>
      <c r="L6" s="110"/>
      <c r="M6" s="110"/>
      <c r="N6" s="110"/>
      <c r="O6" s="110"/>
      <c r="P6" s="4"/>
      <c r="Q6" s="4"/>
      <c r="R6" s="4"/>
    </row>
    <row r="7" spans="1:18" ht="15" x14ac:dyDescent="0.2">
      <c r="A7" s="4"/>
      <c r="B7" s="177" t="s">
        <v>83</v>
      </c>
      <c r="C7" s="110" t="s">
        <v>84</v>
      </c>
      <c r="D7" s="110"/>
      <c r="E7" s="110"/>
      <c r="F7" s="110"/>
      <c r="G7" s="110"/>
      <c r="H7" s="111"/>
      <c r="I7" s="110"/>
      <c r="J7" s="110"/>
      <c r="K7" s="110"/>
      <c r="L7" s="110"/>
      <c r="M7" s="110"/>
      <c r="N7" s="110"/>
      <c r="O7" s="110"/>
      <c r="P7" s="4"/>
      <c r="Q7" s="4"/>
      <c r="R7" s="4"/>
    </row>
    <row r="8" spans="1:18" ht="15" x14ac:dyDescent="0.2">
      <c r="A8" s="4"/>
      <c r="B8" s="177"/>
      <c r="C8" s="177"/>
      <c r="D8" s="177"/>
      <c r="E8" s="177"/>
      <c r="F8" s="177"/>
      <c r="G8" s="177"/>
      <c r="H8" s="177"/>
      <c r="I8" s="177"/>
      <c r="J8" s="177"/>
      <c r="K8" s="177"/>
      <c r="L8" s="177"/>
      <c r="M8" s="177"/>
      <c r="N8" s="177"/>
      <c r="O8" s="177"/>
      <c r="P8" s="4"/>
      <c r="Q8" s="4"/>
      <c r="R8" s="4"/>
    </row>
    <row r="9" spans="1:18" ht="15" customHeight="1" x14ac:dyDescent="0.2">
      <c r="A9" s="4"/>
      <c r="B9" s="177"/>
      <c r="C9" s="177"/>
      <c r="D9" s="177"/>
      <c r="E9" s="177"/>
      <c r="F9" s="177"/>
      <c r="G9" s="177"/>
      <c r="H9" s="177"/>
      <c r="I9" s="177"/>
      <c r="J9" s="177"/>
      <c r="K9" s="177"/>
      <c r="L9" s="177"/>
      <c r="M9" s="177"/>
      <c r="N9" s="177"/>
      <c r="O9" s="177"/>
      <c r="P9" s="4"/>
      <c r="Q9" s="4"/>
      <c r="R9" s="4"/>
    </row>
    <row r="10" spans="1:18" ht="15" customHeight="1" x14ac:dyDescent="0.2">
      <c r="A10" s="4"/>
      <c r="B10" s="68"/>
      <c r="C10" s="68"/>
      <c r="D10" s="68"/>
      <c r="E10" s="68"/>
      <c r="F10" s="68"/>
      <c r="G10" s="68"/>
      <c r="H10" s="68"/>
      <c r="I10" s="68"/>
      <c r="J10" s="68"/>
      <c r="K10" s="68"/>
      <c r="L10" s="68"/>
      <c r="M10" s="68"/>
      <c r="N10" s="68"/>
      <c r="O10" s="68"/>
      <c r="P10" s="4"/>
      <c r="Q10" s="4"/>
      <c r="R10" s="4"/>
    </row>
    <row r="11" spans="1:18" ht="15" x14ac:dyDescent="0.2">
      <c r="A11" s="4"/>
      <c r="B11" s="68"/>
      <c r="C11" s="68"/>
      <c r="D11" s="68"/>
      <c r="E11" s="68"/>
      <c r="F11" s="68"/>
      <c r="G11" s="68"/>
      <c r="H11" s="68"/>
      <c r="I11" s="68"/>
      <c r="J11" s="68"/>
      <c r="K11" s="68"/>
      <c r="L11" s="68"/>
      <c r="M11" s="68"/>
      <c r="N11" s="68"/>
      <c r="O11" s="68"/>
      <c r="P11" s="4"/>
      <c r="Q11" s="4"/>
      <c r="R11" s="4"/>
    </row>
    <row r="12" spans="1:18" ht="15" x14ac:dyDescent="0.2">
      <c r="A12" s="4"/>
      <c r="B12" s="68"/>
      <c r="C12" s="68"/>
      <c r="D12" s="68"/>
      <c r="E12" s="68"/>
      <c r="F12" s="68"/>
      <c r="G12" s="68"/>
      <c r="H12" s="68"/>
      <c r="I12" s="68"/>
      <c r="J12" s="68"/>
      <c r="K12" s="68"/>
      <c r="L12" s="68"/>
      <c r="M12" s="68"/>
      <c r="N12" s="68"/>
      <c r="O12" s="68"/>
      <c r="P12" s="4"/>
      <c r="Q12" s="4"/>
      <c r="R12" s="4"/>
    </row>
    <row r="14" spans="1:18" ht="15" x14ac:dyDescent="0.2">
      <c r="B14" s="67" t="s">
        <v>85</v>
      </c>
      <c r="C14" s="67"/>
      <c r="D14" s="67"/>
      <c r="E14" s="67"/>
      <c r="F14" s="67"/>
      <c r="G14" s="67"/>
      <c r="H14" s="11"/>
      <c r="I14" s="11"/>
      <c r="J14" s="81" t="s">
        <v>50</v>
      </c>
      <c r="K14" s="68" t="s">
        <v>50</v>
      </c>
      <c r="L14" s="82"/>
      <c r="N14" s="68" t="s">
        <v>50</v>
      </c>
      <c r="O14" s="68"/>
    </row>
    <row r="15" spans="1:18" ht="38.25" x14ac:dyDescent="0.2">
      <c r="B15" s="15" t="s">
        <v>55</v>
      </c>
      <c r="C15" s="15" t="s">
        <v>56</v>
      </c>
      <c r="D15" s="15" t="s">
        <v>57</v>
      </c>
      <c r="E15" s="15" t="s">
        <v>60</v>
      </c>
      <c r="F15" s="15" t="s">
        <v>61</v>
      </c>
      <c r="G15" s="15" t="s">
        <v>805</v>
      </c>
      <c r="H15" s="15" t="s">
        <v>58</v>
      </c>
      <c r="I15" s="15" t="s">
        <v>844</v>
      </c>
      <c r="J15" s="16" t="s">
        <v>86</v>
      </c>
      <c r="K15" s="15" t="s">
        <v>62</v>
      </c>
      <c r="L15" s="15" t="s">
        <v>87</v>
      </c>
      <c r="M15" s="15" t="s">
        <v>88</v>
      </c>
      <c r="N15" s="15" t="s">
        <v>89</v>
      </c>
      <c r="O15" s="15" t="s">
        <v>90</v>
      </c>
      <c r="P15" s="242" t="s">
        <v>76</v>
      </c>
    </row>
    <row r="16" spans="1:18" ht="15" x14ac:dyDescent="0.25">
      <c r="B16" s="34" t="str">
        <f>LaborCostPerLift[[#This Row],[Grouping_ID]]&amp;"-"&amp;LaborCostPerLift[[#This Row],[Sector_ID]]&amp;"-"&amp;LaborCostPerLift[[#This Row],[Frequency_ID]]&amp;"-"&amp;LaborCostPerLift[[#This Row],[SS_or_DS]]</f>
        <v>1-2-V-SS</v>
      </c>
      <c r="C16" s="162">
        <v>1</v>
      </c>
      <c r="D16" s="18" t="str">
        <f>INDEX(Grouping[Grouping_Name],MATCH(LaborCostPerLift[[#This Row],[Grouping_ID]],Grouping[Grouping_ID],0))</f>
        <v>1 - Metro area</v>
      </c>
      <c r="E16" s="171">
        <v>2</v>
      </c>
      <c r="F16" s="18" t="str">
        <f>INDEX(Sector[Sector_Name],MATCH(LaborCostPerLift[[#This Row],[Sector_ID]],Sector[Sector_ID],0))</f>
        <v>MF Res. (on-route)</v>
      </c>
      <c r="G16" s="18" t="s">
        <v>806</v>
      </c>
      <c r="H16" s="171" t="s">
        <v>91</v>
      </c>
      <c r="I16" s="18" t="str">
        <f>INDEX(Frequency[Collection_Frequency],MATCH(LaborCostPerLift[[#This Row],[Frequency_ID]],Frequency[Orig_Frequency_ID],0)+(LaborCostPerLift[[#This Row],[SS_or_DS]]="DS")*COUNTA(Frequency[Orig_Frequency_ID])/2)</f>
        <v>Varies by customer need</v>
      </c>
      <c r="J16" s="77">
        <v>3.4260641331773667</v>
      </c>
      <c r="K16" s="83">
        <v>0.51232168580018655</v>
      </c>
      <c r="L16" s="84">
        <f>LaborCostPerLift[[#This Row],[OnRoute_Labor_Per_Lift]]*LaborCostPerLift[[#This Row],[Benefits_Ratio]]</f>
        <v>1.7552469523689833</v>
      </c>
      <c r="M16" s="84">
        <f>SUM(LaborCostPerLift[[#This Row],[OnRoute_Labor_Per_Lift]],LaborCostPerLift[[#This Row],[OnRoute_Benefits_Per_Lift]])</f>
        <v>5.1813110855463496</v>
      </c>
      <c r="N16" s="85">
        <v>1.39</v>
      </c>
      <c r="O16" s="86">
        <f>52</f>
        <v>52</v>
      </c>
      <c r="P16" s="87">
        <f>LaborCostPerLift[[#This Row],[Labor_Cost_Per_Lift]]*LaborCostPerLift[[#This Row],[Average_Lifts_Per_Week]]*LaborCostPerLift[[#This Row],[Weeks_Per_Year]]</f>
        <v>374.50516526329017</v>
      </c>
    </row>
    <row r="17" spans="2:16" ht="15" x14ac:dyDescent="0.25">
      <c r="B17" s="34" t="str">
        <f>LaborCostPerLift[[#This Row],[Grouping_ID]]&amp;"-"&amp;LaborCostPerLift[[#This Row],[Sector_ID]]&amp;"-"&amp;LaborCostPerLift[[#This Row],[Frequency_ID]]&amp;"-"&amp;LaborCostPerLift[[#This Row],[SS_or_DS]]</f>
        <v>1-3-V-SS</v>
      </c>
      <c r="C17" s="162">
        <v>1</v>
      </c>
      <c r="D17" s="18" t="str">
        <f>INDEX(Grouping[Grouping_Name],MATCH(LaborCostPerLift[[#This Row],[Grouping_ID]],Grouping[Grouping_ID],0))</f>
        <v>1 - Metro area</v>
      </c>
      <c r="E17" s="171">
        <v>3</v>
      </c>
      <c r="F17" s="18" t="str">
        <f>INDEX(Sector[Sector_Name],MATCH(LaborCostPerLift[[#This Row],[Sector_ID]],Sector[Sector_ID],0))</f>
        <v>Commercial (on-route)</v>
      </c>
      <c r="G17" s="18" t="s">
        <v>806</v>
      </c>
      <c r="H17" s="171" t="s">
        <v>91</v>
      </c>
      <c r="I17" s="18" t="str">
        <f>INDEX(Frequency[Collection_Frequency],MATCH(LaborCostPerLift[[#This Row],[Frequency_ID]],Frequency[Orig_Frequency_ID],0)+(LaborCostPerLift[[#This Row],[SS_or_DS]]="DS")*COUNTA(Frequency[Orig_Frequency_ID])/2)</f>
        <v>Varies by customer need</v>
      </c>
      <c r="J17" s="77">
        <v>3.4260641331773667</v>
      </c>
      <c r="K17" s="83">
        <v>0.51232168580018655</v>
      </c>
      <c r="L17" s="84">
        <f>LaborCostPerLift[[#This Row],[OnRoute_Labor_Per_Lift]]*LaborCostPerLift[[#This Row],[Benefits_Ratio]]</f>
        <v>1.7552469523689833</v>
      </c>
      <c r="M17" s="84">
        <f>SUM(LaborCostPerLift[[#This Row],[OnRoute_Labor_Per_Lift]],LaborCostPerLift[[#This Row],[OnRoute_Benefits_Per_Lift]])</f>
        <v>5.1813110855463496</v>
      </c>
      <c r="N17" s="85">
        <v>1.39</v>
      </c>
      <c r="O17" s="86">
        <f>52</f>
        <v>52</v>
      </c>
      <c r="P17" s="87">
        <f>LaborCostPerLift[[#This Row],[Labor_Cost_Per_Lift]]*LaborCostPerLift[[#This Row],[Average_Lifts_Per_Week]]*LaborCostPerLift[[#This Row],[Weeks_Per_Year]]</f>
        <v>374.50516526329017</v>
      </c>
    </row>
    <row r="18" spans="2:16" ht="15" x14ac:dyDescent="0.25">
      <c r="B18" s="34" t="str">
        <f>LaborCostPerLift[[#This Row],[Grouping_ID]]&amp;"-"&amp;LaborCostPerLift[[#This Row],[Sector_ID]]&amp;"-"&amp;LaborCostPerLift[[#This Row],[Frequency_ID]]&amp;"-"&amp;LaborCostPerLift[[#This Row],[SS_or_DS]]</f>
        <v>2-2-V-SS</v>
      </c>
      <c r="C18" s="162">
        <v>2</v>
      </c>
      <c r="D18" s="18" t="str">
        <f>INDEX(Grouping[Grouping_Name],MATCH(LaborCostPerLift[[#This Row],[Grouping_ID]],Grouping[Grouping_ID],0))</f>
        <v>2 - Willamette Valley, etc.</v>
      </c>
      <c r="E18" s="171">
        <v>2</v>
      </c>
      <c r="F18" s="18" t="str">
        <f>INDEX(Sector[Sector_Name],MATCH(LaborCostPerLift[[#This Row],[Sector_ID]],Sector[Sector_ID],0))</f>
        <v>MF Res. (on-route)</v>
      </c>
      <c r="G18" s="18" t="s">
        <v>806</v>
      </c>
      <c r="H18" s="171" t="s">
        <v>91</v>
      </c>
      <c r="I18" s="18" t="str">
        <f>INDEX(Frequency[Collection_Frequency],MATCH(LaborCostPerLift[[#This Row],[Frequency_ID]],Frequency[Orig_Frequency_ID],0)+(LaborCostPerLift[[#This Row],[SS_or_DS]]="DS")*COUNTA(Frequency[Orig_Frequency_ID])/2)</f>
        <v>Varies by customer need</v>
      </c>
      <c r="J18" s="77">
        <v>3.4161034353995521</v>
      </c>
      <c r="K18" s="83">
        <v>0.50852478459171491</v>
      </c>
      <c r="L18" s="84">
        <f>LaborCostPerLift[[#This Row],[OnRoute_Labor_Per_Lift]]*LaborCostPerLift[[#This Row],[Benefits_Ratio]]</f>
        <v>1.7371732636295745</v>
      </c>
      <c r="M18" s="84">
        <f>SUM(LaborCostPerLift[[#This Row],[OnRoute_Labor_Per_Lift]],LaborCostPerLift[[#This Row],[OnRoute_Benefits_Per_Lift]])</f>
        <v>5.1532766990291261</v>
      </c>
      <c r="N18" s="85">
        <v>1.0900000000000001</v>
      </c>
      <c r="O18" s="86">
        <f>52</f>
        <v>52</v>
      </c>
      <c r="P18" s="87">
        <f>LaborCostPerLift[[#This Row],[Labor_Cost_Per_Lift]]*LaborCostPerLift[[#This Row],[Average_Lifts_Per_Week]]*LaborCostPerLift[[#This Row],[Weeks_Per_Year]]</f>
        <v>292.08772330097088</v>
      </c>
    </row>
    <row r="19" spans="2:16" ht="15" x14ac:dyDescent="0.25">
      <c r="B19" s="34" t="str">
        <f>LaborCostPerLift[[#This Row],[Grouping_ID]]&amp;"-"&amp;LaborCostPerLift[[#This Row],[Sector_ID]]&amp;"-"&amp;LaborCostPerLift[[#This Row],[Frequency_ID]]&amp;"-"&amp;LaborCostPerLift[[#This Row],[SS_or_DS]]</f>
        <v>2-3-V-SS</v>
      </c>
      <c r="C19" s="162">
        <v>2</v>
      </c>
      <c r="D19" s="18" t="str">
        <f>INDEX(Grouping[Grouping_Name],MATCH(LaborCostPerLift[[#This Row],[Grouping_ID]],Grouping[Grouping_ID],0))</f>
        <v>2 - Willamette Valley, etc.</v>
      </c>
      <c r="E19" s="171">
        <v>3</v>
      </c>
      <c r="F19" s="18" t="str">
        <f>INDEX(Sector[Sector_Name],MATCH(LaborCostPerLift[[#This Row],[Sector_ID]],Sector[Sector_ID],0))</f>
        <v>Commercial (on-route)</v>
      </c>
      <c r="G19" s="18" t="s">
        <v>806</v>
      </c>
      <c r="H19" s="171" t="s">
        <v>91</v>
      </c>
      <c r="I19" s="18" t="str">
        <f>INDEX(Frequency[Collection_Frequency],MATCH(LaborCostPerLift[[#This Row],[Frequency_ID]],Frequency[Orig_Frequency_ID],0)+(LaborCostPerLift[[#This Row],[SS_or_DS]]="DS")*COUNTA(Frequency[Orig_Frequency_ID])/2)</f>
        <v>Varies by customer need</v>
      </c>
      <c r="J19" s="77">
        <v>3.4161034353995521</v>
      </c>
      <c r="K19" s="83">
        <v>0.50852478459171491</v>
      </c>
      <c r="L19" s="84">
        <f>LaborCostPerLift[[#This Row],[OnRoute_Labor_Per_Lift]]*LaborCostPerLift[[#This Row],[Benefits_Ratio]]</f>
        <v>1.7371732636295745</v>
      </c>
      <c r="M19" s="84">
        <f>SUM(LaborCostPerLift[[#This Row],[OnRoute_Labor_Per_Lift]],LaborCostPerLift[[#This Row],[OnRoute_Benefits_Per_Lift]])</f>
        <v>5.1532766990291261</v>
      </c>
      <c r="N19" s="85">
        <v>1.0900000000000001</v>
      </c>
      <c r="O19" s="86">
        <f>52</f>
        <v>52</v>
      </c>
      <c r="P19" s="87">
        <f>LaborCostPerLift[[#This Row],[Labor_Cost_Per_Lift]]*LaborCostPerLift[[#This Row],[Average_Lifts_Per_Week]]*LaborCostPerLift[[#This Row],[Weeks_Per_Year]]</f>
        <v>292.08772330097088</v>
      </c>
    </row>
    <row r="20" spans="2:16" ht="15" x14ac:dyDescent="0.25">
      <c r="B20" s="34" t="str">
        <f>LaborCostPerLift[[#This Row],[Grouping_ID]]&amp;"-"&amp;LaborCostPerLift[[#This Row],[Sector_ID]]&amp;"-"&amp;LaborCostPerLift[[#This Row],[Frequency_ID]]&amp;"-"&amp;LaborCostPerLift[[#This Row],[SS_or_DS]]</f>
        <v>3-2-V-SS</v>
      </c>
      <c r="C20" s="162">
        <v>3</v>
      </c>
      <c r="D20" s="18" t="str">
        <f>INDEX(Grouping[Grouping_Name],MATCH(LaborCostPerLift[[#This Row],[Grouping_ID]],Grouping[Grouping_ID],0))</f>
        <v>3 - Other areas with curbside</v>
      </c>
      <c r="E20" s="171">
        <v>2</v>
      </c>
      <c r="F20" s="18" t="str">
        <f>INDEX(Sector[Sector_Name],MATCH(LaborCostPerLift[[#This Row],[Sector_ID]],Sector[Sector_ID],0))</f>
        <v>MF Res. (on-route)</v>
      </c>
      <c r="G20" s="18" t="s">
        <v>806</v>
      </c>
      <c r="H20" s="171" t="s">
        <v>91</v>
      </c>
      <c r="I20" s="18" t="str">
        <f>INDEX(Frequency[Collection_Frequency],MATCH(LaborCostPerLift[[#This Row],[Frequency_ID]],Frequency[Orig_Frequency_ID],0)+(LaborCostPerLift[[#This Row],[SS_or_DS]]="DS")*COUNTA(Frequency[Orig_Frequency_ID])/2)</f>
        <v>Varies by customer need</v>
      </c>
      <c r="J20" s="77">
        <v>3.9354788069073785</v>
      </c>
      <c r="K20" s="83">
        <v>0.43328474849792475</v>
      </c>
      <c r="L20" s="84">
        <f>LaborCostPerLift[[#This Row],[OnRoute_Labor_Per_Lift]]*LaborCostPerLift[[#This Row],[Benefits_Ratio]]</f>
        <v>1.7051829450697764</v>
      </c>
      <c r="M20" s="84">
        <f>SUM(LaborCostPerLift[[#This Row],[OnRoute_Labor_Per_Lift]],LaborCostPerLift[[#This Row],[OnRoute_Benefits_Per_Lift]])</f>
        <v>5.6406617519771549</v>
      </c>
      <c r="N20" s="85">
        <v>1.31</v>
      </c>
      <c r="O20" s="86">
        <f>52</f>
        <v>52</v>
      </c>
      <c r="P20" s="87">
        <f>LaborCostPerLift[[#This Row],[Labor_Cost_Per_Lift]]*LaborCostPerLift[[#This Row],[Average_Lifts_Per_Week]]*LaborCostPerLift[[#This Row],[Weeks_Per_Year]]</f>
        <v>384.2418785446838</v>
      </c>
    </row>
    <row r="21" spans="2:16" ht="15" x14ac:dyDescent="0.25">
      <c r="B21" s="34" t="str">
        <f>LaborCostPerLift[[#This Row],[Grouping_ID]]&amp;"-"&amp;LaborCostPerLift[[#This Row],[Sector_ID]]&amp;"-"&amp;LaborCostPerLift[[#This Row],[Frequency_ID]]&amp;"-"&amp;LaborCostPerLift[[#This Row],[SS_or_DS]]</f>
        <v>3-3-V-SS</v>
      </c>
      <c r="C21" s="162">
        <v>3</v>
      </c>
      <c r="D21" s="18" t="str">
        <f>INDEX(Grouping[Grouping_Name],MATCH(LaborCostPerLift[[#This Row],[Grouping_ID]],Grouping[Grouping_ID],0))</f>
        <v>3 - Other areas with curbside</v>
      </c>
      <c r="E21" s="171">
        <v>3</v>
      </c>
      <c r="F21" s="18" t="str">
        <f>INDEX(Sector[Sector_Name],MATCH(LaborCostPerLift[[#This Row],[Sector_ID]],Sector[Sector_ID],0))</f>
        <v>Commercial (on-route)</v>
      </c>
      <c r="G21" s="18" t="s">
        <v>806</v>
      </c>
      <c r="H21" s="171" t="s">
        <v>91</v>
      </c>
      <c r="I21" s="18" t="str">
        <f>INDEX(Frequency[Collection_Frequency],MATCH(LaborCostPerLift[[#This Row],[Frequency_ID]],Frequency[Orig_Frequency_ID],0)+(LaborCostPerLift[[#This Row],[SS_or_DS]]="DS")*COUNTA(Frequency[Orig_Frequency_ID])/2)</f>
        <v>Varies by customer need</v>
      </c>
      <c r="J21" s="77">
        <v>3.9354788069073785</v>
      </c>
      <c r="K21" s="83">
        <v>0.43328474849792475</v>
      </c>
      <c r="L21" s="84">
        <f>LaborCostPerLift[[#This Row],[OnRoute_Labor_Per_Lift]]*LaborCostPerLift[[#This Row],[Benefits_Ratio]]</f>
        <v>1.7051829450697764</v>
      </c>
      <c r="M21" s="84">
        <f>SUM(LaborCostPerLift[[#This Row],[OnRoute_Labor_Per_Lift]],LaborCostPerLift[[#This Row],[OnRoute_Benefits_Per_Lift]])</f>
        <v>5.6406617519771549</v>
      </c>
      <c r="N21" s="85">
        <v>1.31</v>
      </c>
      <c r="O21" s="86">
        <f>52</f>
        <v>52</v>
      </c>
      <c r="P21" s="87">
        <f>LaborCostPerLift[[#This Row],[Labor_Cost_Per_Lift]]*LaborCostPerLift[[#This Row],[Average_Lifts_Per_Week]]*LaborCostPerLift[[#This Row],[Weeks_Per_Year]]</f>
        <v>384.2418785446838</v>
      </c>
    </row>
    <row r="22" spans="2:16" ht="15" x14ac:dyDescent="0.25">
      <c r="B22" s="34" t="str">
        <f>LaborCostPerLift[[#This Row],[Grouping_ID]]&amp;"-"&amp;LaborCostPerLift[[#This Row],[Sector_ID]]&amp;"-"&amp;LaborCostPerLift[[#This Row],[Frequency_ID]]&amp;"-"&amp;LaborCostPerLift[[#This Row],[SS_or_DS]]</f>
        <v>1-1-W-SS</v>
      </c>
      <c r="C22" s="172">
        <v>1</v>
      </c>
      <c r="D22" s="173" t="str">
        <f>INDEX(Grouping[Grouping_Name],MATCH(LaborCostPerLift[[#This Row],[Grouping_ID]],Grouping[Grouping_ID],0))</f>
        <v>1 - Metro area</v>
      </c>
      <c r="E22" s="171">
        <v>1</v>
      </c>
      <c r="F22" s="173" t="str">
        <f>INDEX(Sector[Sector_Name],MATCH(LaborCostPerLift[[#This Row],[Sector_ID]],Sector[Sector_ID],0))</f>
        <v>SF Res. (on-route)</v>
      </c>
      <c r="G22" s="18" t="s">
        <v>806</v>
      </c>
      <c r="H22" s="172" t="s">
        <v>64</v>
      </c>
      <c r="I22" s="173" t="str">
        <f>INDEX(Frequency[Collection_Frequency],MATCH(LaborCostPerLift[[#This Row],[Frequency_ID]],Frequency[Orig_Frequency_ID],0)+(LaborCostPerLift[[#This Row],[SS_or_DS]]="DS")*COUNTA(Frequency[Orig_Frequency_ID])/2)</f>
        <v>Weekly</v>
      </c>
      <c r="J22" s="148">
        <v>0.42042432116436457</v>
      </c>
      <c r="K22" s="149">
        <v>0.60311538425272582</v>
      </c>
      <c r="L22" s="150">
        <f>LaborCostPerLift[[#This Row],[OnRoute_Labor_Per_Lift]]*LaborCostPerLift[[#This Row],[Benefits_Ratio]]</f>
        <v>0.25356437600823717</v>
      </c>
      <c r="M22" s="151">
        <f>SUM(LaborCostPerLift[[#This Row],[OnRoute_Labor_Per_Lift]],LaborCostPerLift[[#This Row],[OnRoute_Benefits_Per_Lift]])</f>
        <v>0.67398869717260168</v>
      </c>
      <c r="N22" s="85">
        <v>1</v>
      </c>
      <c r="O22" s="152">
        <f>52</f>
        <v>52</v>
      </c>
      <c r="P22" s="153">
        <f>LaborCostPerLift[[#This Row],[Labor_Cost_Per_Lift]]*LaborCostPerLift[[#This Row],[Average_Lifts_Per_Week]]*LaborCostPerLift[[#This Row],[Weeks_Per_Year]]</f>
        <v>35.047412252975285</v>
      </c>
    </row>
    <row r="23" spans="2:16" ht="15" x14ac:dyDescent="0.25">
      <c r="B23" s="34" t="str">
        <f>LaborCostPerLift[[#This Row],[Grouping_ID]]&amp;"-"&amp;LaborCostPerLift[[#This Row],[Sector_ID]]&amp;"-"&amp;LaborCostPerLift[[#This Row],[Frequency_ID]]&amp;"-"&amp;LaborCostPerLift[[#This Row],[SS_or_DS]]</f>
        <v>1-1-E-SS</v>
      </c>
      <c r="C23" s="172">
        <v>1</v>
      </c>
      <c r="D23" s="173" t="str">
        <f>INDEX(Grouping[Grouping_Name],MATCH(LaborCostPerLift[[#This Row],[Grouping_ID]],Grouping[Grouping_ID],0))</f>
        <v>1 - Metro area</v>
      </c>
      <c r="E23" s="171">
        <v>1</v>
      </c>
      <c r="F23" s="173" t="str">
        <f>INDEX(Sector[Sector_Name],MATCH(LaborCostPerLift[[#This Row],[Sector_ID]],Sector[Sector_ID],0))</f>
        <v>SF Res. (on-route)</v>
      </c>
      <c r="G23" s="18" t="s">
        <v>806</v>
      </c>
      <c r="H23" s="172" t="s">
        <v>53</v>
      </c>
      <c r="I23" s="173" t="str">
        <f>INDEX(Frequency[Collection_Frequency],MATCH(LaborCostPerLift[[#This Row],[Frequency_ID]],Frequency[Orig_Frequency_ID],0)+(LaborCostPerLift[[#This Row],[SS_or_DS]]="DS")*COUNTA(Frequency[Orig_Frequency_ID])/2)</f>
        <v>Every other week</v>
      </c>
      <c r="J23" s="148">
        <v>0.54826179728543034</v>
      </c>
      <c r="K23" s="149">
        <v>0.8402441894364886</v>
      </c>
      <c r="L23" s="150">
        <f>LaborCostPerLift[[#This Row],[OnRoute_Labor_Per_Lift]]*LaborCostPerLift[[#This Row],[Benefits_Ratio]]</f>
        <v>0.46067378945908882</v>
      </c>
      <c r="M23" s="151">
        <f>SUM(LaborCostPerLift[[#This Row],[OnRoute_Labor_Per_Lift]],LaborCostPerLift[[#This Row],[OnRoute_Benefits_Per_Lift]])</f>
        <v>1.0089355867445191</v>
      </c>
      <c r="N23" s="85">
        <v>0.5</v>
      </c>
      <c r="O23" s="152">
        <f>52</f>
        <v>52</v>
      </c>
      <c r="P23" s="153">
        <f>LaborCostPerLift[[#This Row],[Labor_Cost_Per_Lift]]*LaborCostPerLift[[#This Row],[Average_Lifts_Per_Week]]*LaborCostPerLift[[#This Row],[Weeks_Per_Year]]</f>
        <v>26.232325255357498</v>
      </c>
    </row>
    <row r="24" spans="2:16" ht="15" x14ac:dyDescent="0.25">
      <c r="B24" s="34" t="str">
        <f>LaborCostPerLift[[#This Row],[Grouping_ID]]&amp;"-"&amp;LaborCostPerLift[[#This Row],[Sector_ID]]&amp;"-"&amp;LaborCostPerLift[[#This Row],[Frequency_ID]]&amp;"-"&amp;LaborCostPerLift[[#This Row],[SS_or_DS]]</f>
        <v>2-1-W-SS</v>
      </c>
      <c r="C24" s="172">
        <v>2</v>
      </c>
      <c r="D24" s="173" t="str">
        <f>INDEX(Grouping[Grouping_Name],MATCH(LaborCostPerLift[[#This Row],[Grouping_ID]],Grouping[Grouping_ID],0))</f>
        <v>2 - Willamette Valley, etc.</v>
      </c>
      <c r="E24" s="171">
        <v>1</v>
      </c>
      <c r="F24" s="173" t="str">
        <f>INDEX(Sector[Sector_Name],MATCH(LaborCostPerLift[[#This Row],[Sector_ID]],Sector[Sector_ID],0))</f>
        <v>SF Res. (on-route)</v>
      </c>
      <c r="G24" s="18" t="s">
        <v>806</v>
      </c>
      <c r="H24" s="172" t="s">
        <v>64</v>
      </c>
      <c r="I24" s="173" t="str">
        <f>INDEX(Frequency[Collection_Frequency],MATCH(LaborCostPerLift[[#This Row],[Frequency_ID]],Frequency[Orig_Frequency_ID],0)+(LaborCostPerLift[[#This Row],[SS_or_DS]]="DS")*COUNTA(Frequency[Orig_Frequency_ID])/2)</f>
        <v>Weekly</v>
      </c>
      <c r="J24" s="148">
        <v>0.45772719620513286</v>
      </c>
      <c r="K24" s="149">
        <v>0.43545535914074734</v>
      </c>
      <c r="L24" s="150">
        <f>LaborCostPerLift[[#This Row],[OnRoute_Labor_Per_Lift]]*LaborCostPerLift[[#This Row],[Benefits_Ratio]]</f>
        <v>0.19931976061199344</v>
      </c>
      <c r="M24" s="151">
        <f>SUM(LaborCostPerLift[[#This Row],[OnRoute_Labor_Per_Lift]],LaborCostPerLift[[#This Row],[OnRoute_Benefits_Per_Lift]])</f>
        <v>0.65704695681712633</v>
      </c>
      <c r="N24" s="85">
        <v>1</v>
      </c>
      <c r="O24" s="152">
        <f>52</f>
        <v>52</v>
      </c>
      <c r="P24" s="153">
        <f>LaborCostPerLift[[#This Row],[Labor_Cost_Per_Lift]]*LaborCostPerLift[[#This Row],[Average_Lifts_Per_Week]]*LaborCostPerLift[[#This Row],[Weeks_Per_Year]]</f>
        <v>34.16644175449057</v>
      </c>
    </row>
    <row r="25" spans="2:16" ht="15" x14ac:dyDescent="0.25">
      <c r="B25" s="34" t="str">
        <f>LaborCostPerLift[[#This Row],[Grouping_ID]]&amp;"-"&amp;LaborCostPerLift[[#This Row],[Sector_ID]]&amp;"-"&amp;LaborCostPerLift[[#This Row],[Frequency_ID]]&amp;"-"&amp;LaborCostPerLift[[#This Row],[SS_or_DS]]</f>
        <v>2-1-E-SS</v>
      </c>
      <c r="C25" s="172">
        <v>2</v>
      </c>
      <c r="D25" s="173" t="str">
        <f>INDEX(Grouping[Grouping_Name],MATCH(LaborCostPerLift[[#This Row],[Grouping_ID]],Grouping[Grouping_ID],0))</f>
        <v>2 - Willamette Valley, etc.</v>
      </c>
      <c r="E25" s="171">
        <v>1</v>
      </c>
      <c r="F25" s="173" t="str">
        <f>INDEX(Sector[Sector_Name],MATCH(LaborCostPerLift[[#This Row],[Sector_ID]],Sector[Sector_ID],0))</f>
        <v>SF Res. (on-route)</v>
      </c>
      <c r="G25" s="18" t="s">
        <v>806</v>
      </c>
      <c r="H25" s="172" t="s">
        <v>53</v>
      </c>
      <c r="I25" s="173" t="str">
        <f>INDEX(Frequency[Collection_Frequency],MATCH(LaborCostPerLift[[#This Row],[Frequency_ID]],Frequency[Orig_Frequency_ID],0)+(LaborCostPerLift[[#This Row],[SS_or_DS]]="DS")*COUNTA(Frequency[Orig_Frequency_ID])/2)</f>
        <v>Every other week</v>
      </c>
      <c r="J25" s="148">
        <v>0.67581710253415028</v>
      </c>
      <c r="K25" s="149">
        <v>0.50871230468034534</v>
      </c>
      <c r="L25" s="150">
        <f>LaborCostPerLift[[#This Row],[OnRoute_Labor_Per_Lift]]*LaborCostPerLift[[#This Row],[Benefits_Ratio]]</f>
        <v>0.34379647577254085</v>
      </c>
      <c r="M25" s="151">
        <f>SUM(LaborCostPerLift[[#This Row],[OnRoute_Labor_Per_Lift]],LaborCostPerLift[[#This Row],[OnRoute_Benefits_Per_Lift]])</f>
        <v>1.0196135783066911</v>
      </c>
      <c r="N25" s="85">
        <v>0.5</v>
      </c>
      <c r="O25" s="152">
        <f>52</f>
        <v>52</v>
      </c>
      <c r="P25" s="153">
        <f>LaborCostPerLift[[#This Row],[Labor_Cost_Per_Lift]]*LaborCostPerLift[[#This Row],[Average_Lifts_Per_Week]]*LaborCostPerLift[[#This Row],[Weeks_Per_Year]]</f>
        <v>26.509953035973968</v>
      </c>
    </row>
    <row r="26" spans="2:16" ht="15" x14ac:dyDescent="0.25">
      <c r="B26" s="34" t="str">
        <f>LaborCostPerLift[[#This Row],[Grouping_ID]]&amp;"-"&amp;LaborCostPerLift[[#This Row],[Sector_ID]]&amp;"-"&amp;LaborCostPerLift[[#This Row],[Frequency_ID]]&amp;"-"&amp;LaborCostPerLift[[#This Row],[SS_or_DS]]</f>
        <v>2-1-U-SS</v>
      </c>
      <c r="C26" s="172">
        <v>2</v>
      </c>
      <c r="D26" s="173" t="str">
        <f>INDEX(Grouping[Grouping_Name],MATCH(LaborCostPerLift[[#This Row],[Grouping_ID]],Grouping[Grouping_ID],0))</f>
        <v>2 - Willamette Valley, etc.</v>
      </c>
      <c r="E26" s="171">
        <v>1</v>
      </c>
      <c r="F26" s="173" t="str">
        <f>INDEX(Sector[Sector_Name],MATCH(LaborCostPerLift[[#This Row],[Sector_ID]],Sector[Sector_ID],0))</f>
        <v>SF Res. (on-route)</v>
      </c>
      <c r="G26" s="18" t="s">
        <v>806</v>
      </c>
      <c r="H26" s="172" t="s">
        <v>65</v>
      </c>
      <c r="I26" s="173" t="str">
        <f>INDEX(Frequency[Collection_Frequency],MATCH(LaborCostPerLift[[#This Row],[Frequency_ID]],Frequency[Orig_Frequency_ID],0)+(LaborCostPerLift[[#This Row],[SS_or_DS]]="DS")*COUNTA(Frequency[Orig_Frequency_ID])/2)</f>
        <v>Uncertain</v>
      </c>
      <c r="J26" s="148">
        <v>0.67581710253415028</v>
      </c>
      <c r="K26" s="149">
        <v>0.50871230468034534</v>
      </c>
      <c r="L26" s="150">
        <f>LaborCostPerLift[[#This Row],[OnRoute_Labor_Per_Lift]]*LaborCostPerLift[[#This Row],[Benefits_Ratio]]</f>
        <v>0.34379647577254085</v>
      </c>
      <c r="M26" s="151">
        <f>SUM(LaborCostPerLift[[#This Row],[OnRoute_Labor_Per_Lift]],LaborCostPerLift[[#This Row],[OnRoute_Benefits_Per_Lift]])</f>
        <v>1.0196135783066911</v>
      </c>
      <c r="N26" s="85">
        <v>1</v>
      </c>
      <c r="O26" s="152">
        <f>52</f>
        <v>52</v>
      </c>
      <c r="P26" s="153">
        <f>LaborCostPerLift[[#This Row],[Labor_Cost_Per_Lift]]*LaborCostPerLift[[#This Row],[Average_Lifts_Per_Week]]*LaborCostPerLift[[#This Row],[Weeks_Per_Year]]</f>
        <v>53.019906071947936</v>
      </c>
    </row>
    <row r="27" spans="2:16" ht="15" x14ac:dyDescent="0.25">
      <c r="B27" s="34" t="str">
        <f>LaborCostPerLift[[#This Row],[Grouping_ID]]&amp;"-"&amp;LaborCostPerLift[[#This Row],[Sector_ID]]&amp;"-"&amp;LaborCostPerLift[[#This Row],[Frequency_ID]]&amp;"-"&amp;LaborCostPerLift[[#This Row],[SS_or_DS]]</f>
        <v>3-1-W-SS</v>
      </c>
      <c r="C27" s="172">
        <v>3</v>
      </c>
      <c r="D27" s="173" t="str">
        <f>INDEX(Grouping[Grouping_Name],MATCH(LaborCostPerLift[[#This Row],[Grouping_ID]],Grouping[Grouping_ID],0))</f>
        <v>3 - Other areas with curbside</v>
      </c>
      <c r="E27" s="171">
        <v>1</v>
      </c>
      <c r="F27" s="173" t="str">
        <f>INDEX(Sector[Sector_Name],MATCH(LaborCostPerLift[[#This Row],[Sector_ID]],Sector[Sector_ID],0))</f>
        <v>SF Res. (on-route)</v>
      </c>
      <c r="G27" s="18" t="s">
        <v>806</v>
      </c>
      <c r="H27" s="172" t="s">
        <v>64</v>
      </c>
      <c r="I27" s="173" t="str">
        <f>INDEX(Frequency[Collection_Frequency],MATCH(LaborCostPerLift[[#This Row],[Frequency_ID]],Frequency[Orig_Frequency_ID],0)+(LaborCostPerLift[[#This Row],[SS_or_DS]]="DS")*COUNTA(Frequency[Orig_Frequency_ID])/2)</f>
        <v>Weekly</v>
      </c>
      <c r="J27" s="148">
        <v>0.5422640374367137</v>
      </c>
      <c r="K27" s="149">
        <v>0.5172756215622385</v>
      </c>
      <c r="L27" s="150">
        <f>LaborCostPerLift[[#This Row],[OnRoute_Labor_Per_Lift]]*LaborCostPerLift[[#This Row],[Benefits_Ratio]]</f>
        <v>0.28049996701592506</v>
      </c>
      <c r="M27" s="151">
        <f>SUM(LaborCostPerLift[[#This Row],[OnRoute_Labor_Per_Lift]],LaborCostPerLift[[#This Row],[OnRoute_Benefits_Per_Lift]])</f>
        <v>0.82276400445263875</v>
      </c>
      <c r="N27" s="85">
        <v>1</v>
      </c>
      <c r="O27" s="152">
        <f>52</f>
        <v>52</v>
      </c>
      <c r="P27" s="153">
        <f>LaborCostPerLift[[#This Row],[Labor_Cost_Per_Lift]]*LaborCostPerLift[[#This Row],[Average_Lifts_Per_Week]]*LaborCostPerLift[[#This Row],[Weeks_Per_Year]]</f>
        <v>42.783728231537218</v>
      </c>
    </row>
    <row r="28" spans="2:16" ht="15" x14ac:dyDescent="0.25">
      <c r="B28" s="34" t="str">
        <f>LaborCostPerLift[[#This Row],[Grouping_ID]]&amp;"-"&amp;LaborCostPerLift[[#This Row],[Sector_ID]]&amp;"-"&amp;LaborCostPerLift[[#This Row],[Frequency_ID]]&amp;"-"&amp;LaborCostPerLift[[#This Row],[SS_or_DS]]</f>
        <v>3-1-E-SS</v>
      </c>
      <c r="C28" s="172">
        <v>3</v>
      </c>
      <c r="D28" s="173" t="str">
        <f>INDEX(Grouping[Grouping_Name],MATCH(LaborCostPerLift[[#This Row],[Grouping_ID]],Grouping[Grouping_ID],0))</f>
        <v>3 - Other areas with curbside</v>
      </c>
      <c r="E28" s="171">
        <v>1</v>
      </c>
      <c r="F28" s="173" t="str">
        <f>INDEX(Sector[Sector_Name],MATCH(LaborCostPerLift[[#This Row],[Sector_ID]],Sector[Sector_ID],0))</f>
        <v>SF Res. (on-route)</v>
      </c>
      <c r="G28" s="18" t="s">
        <v>806</v>
      </c>
      <c r="H28" s="172" t="s">
        <v>53</v>
      </c>
      <c r="I28" s="173" t="str">
        <f>INDEX(Frequency[Collection_Frequency],MATCH(LaborCostPerLift[[#This Row],[Frequency_ID]],Frequency[Orig_Frequency_ID],0)+(LaborCostPerLift[[#This Row],[SS_or_DS]]="DS")*COUNTA(Frequency[Orig_Frequency_ID])/2)</f>
        <v>Every other week</v>
      </c>
      <c r="J28" s="148">
        <v>0.80063258995149111</v>
      </c>
      <c r="K28" s="149">
        <v>0.76373812758784787</v>
      </c>
      <c r="L28" s="150">
        <f>LaborCostPerLift[[#This Row],[OnRoute_Labor_Per_Lift]]*LaborCostPerLift[[#This Row],[Benefits_Ratio]]</f>
        <v>0.61147363513536102</v>
      </c>
      <c r="M28" s="151">
        <f>SUM(LaborCostPerLift[[#This Row],[OnRoute_Labor_Per_Lift]],LaborCostPerLift[[#This Row],[OnRoute_Benefits_Per_Lift]])</f>
        <v>1.4121062250868521</v>
      </c>
      <c r="N28" s="85">
        <v>0.5</v>
      </c>
      <c r="O28" s="152">
        <f>52</f>
        <v>52</v>
      </c>
      <c r="P28" s="153">
        <f>LaborCostPerLift[[#This Row],[Labor_Cost_Per_Lift]]*LaborCostPerLift[[#This Row],[Average_Lifts_Per_Week]]*LaborCostPerLift[[#This Row],[Weeks_Per_Year]]</f>
        <v>36.714761852258157</v>
      </c>
    </row>
    <row r="29" spans="2:16" ht="15" x14ac:dyDescent="0.25">
      <c r="B29" s="34" t="str">
        <f>LaborCostPerLift[[#This Row],[Grouping_ID]]&amp;"-"&amp;LaborCostPerLift[[#This Row],[Sector_ID]]&amp;"-"&amp;LaborCostPerLift[[#This Row],[Frequency_ID]]&amp;"-"&amp;LaborCostPerLift[[#This Row],[SS_or_DS]]</f>
        <v>3-1-BM-SS</v>
      </c>
      <c r="C29" s="172">
        <v>3</v>
      </c>
      <c r="D29" s="173" t="str">
        <f>INDEX(Grouping[Grouping_Name],MATCH(LaborCostPerLift[[#This Row],[Grouping_ID]],Grouping[Grouping_ID],0))</f>
        <v>3 - Other areas with curbside</v>
      </c>
      <c r="E29" s="171">
        <v>1</v>
      </c>
      <c r="F29" s="173" t="str">
        <f>INDEX(Sector[Sector_Name],MATCH(LaborCostPerLift[[#This Row],[Sector_ID]],Sector[Sector_ID],0))</f>
        <v>SF Res. (on-route)</v>
      </c>
      <c r="G29" s="18" t="s">
        <v>806</v>
      </c>
      <c r="H29" s="172" t="s">
        <v>66</v>
      </c>
      <c r="I29" s="173" t="str">
        <f>INDEX(Frequency[Collection_Frequency],MATCH(LaborCostPerLift[[#This Row],[Frequency_ID]],Frequency[Orig_Frequency_ID],0)+(LaborCostPerLift[[#This Row],[SS_or_DS]]="DS")*COUNTA(Frequency[Orig_Frequency_ID])/2)</f>
        <v>Bimonthly</v>
      </c>
      <c r="J29" s="148">
        <v>0.80063258995149111</v>
      </c>
      <c r="K29" s="149">
        <v>0.76373812758784787</v>
      </c>
      <c r="L29" s="150">
        <f>LaborCostPerLift[[#This Row],[OnRoute_Labor_Per_Lift]]*LaborCostPerLift[[#This Row],[Benefits_Ratio]]</f>
        <v>0.61147363513536102</v>
      </c>
      <c r="M29" s="151">
        <f>SUM(LaborCostPerLift[[#This Row],[OnRoute_Labor_Per_Lift]],LaborCostPerLift[[#This Row],[OnRoute_Benefits_Per_Lift]])</f>
        <v>1.4121062250868521</v>
      </c>
      <c r="N29" s="85">
        <f>2/4.3</f>
        <v>0.46511627906976744</v>
      </c>
      <c r="O29" s="152">
        <f>52</f>
        <v>52</v>
      </c>
      <c r="P29" s="153">
        <f>LaborCostPerLift[[#This Row],[Labor_Cost_Per_Lift]]*LaborCostPerLift[[#This Row],[Average_Lifts_Per_Week]]*LaborCostPerLift[[#This Row],[Weeks_Per_Year]]</f>
        <v>34.153266839309914</v>
      </c>
    </row>
    <row r="30" spans="2:16" ht="15" x14ac:dyDescent="0.25">
      <c r="B30" s="34" t="str">
        <f>LaborCostPerLift[[#This Row],[Grouping_ID]]&amp;"-"&amp;LaborCostPerLift[[#This Row],[Sector_ID]]&amp;"-"&amp;LaborCostPerLift[[#This Row],[Frequency_ID]]&amp;"-"&amp;LaborCostPerLift[[#This Row],[SS_or_DS]]</f>
        <v>3-1-M-SS</v>
      </c>
      <c r="C30" s="172">
        <v>3</v>
      </c>
      <c r="D30" s="173" t="str">
        <f>INDEX(Grouping[Grouping_Name],MATCH(LaborCostPerLift[[#This Row],[Grouping_ID]],Grouping[Grouping_ID],0))</f>
        <v>3 - Other areas with curbside</v>
      </c>
      <c r="E30" s="171">
        <v>1</v>
      </c>
      <c r="F30" s="173" t="str">
        <f>INDEX(Sector[Sector_Name],MATCH(LaborCostPerLift[[#This Row],[Sector_ID]],Sector[Sector_ID],0))</f>
        <v>SF Res. (on-route)</v>
      </c>
      <c r="G30" s="18" t="s">
        <v>806</v>
      </c>
      <c r="H30" s="172" t="s">
        <v>67</v>
      </c>
      <c r="I30" s="173" t="str">
        <f>INDEX(Frequency[Collection_Frequency],MATCH(LaborCostPerLift[[#This Row],[Frequency_ID]],Frequency[Orig_Frequency_ID],0)+(LaborCostPerLift[[#This Row],[SS_or_DS]]="DS")*COUNTA(Frequency[Orig_Frequency_ID])/2)</f>
        <v>Monthly</v>
      </c>
      <c r="J30" s="148">
        <v>0.80063258995149111</v>
      </c>
      <c r="K30" s="149">
        <v>0.76373812758784787</v>
      </c>
      <c r="L30" s="150">
        <f>LaborCostPerLift[[#This Row],[OnRoute_Labor_Per_Lift]]*LaborCostPerLift[[#This Row],[Benefits_Ratio]]</f>
        <v>0.61147363513536102</v>
      </c>
      <c r="M30" s="151">
        <f>SUM(LaborCostPerLift[[#This Row],[OnRoute_Labor_Per_Lift]],LaborCostPerLift[[#This Row],[OnRoute_Benefits_Per_Lift]])</f>
        <v>1.4121062250868521</v>
      </c>
      <c r="N30" s="85">
        <f>1/4.3</f>
        <v>0.23255813953488372</v>
      </c>
      <c r="O30" s="152">
        <f>52</f>
        <v>52</v>
      </c>
      <c r="P30" s="153">
        <f>LaborCostPerLift[[#This Row],[Labor_Cost_Per_Lift]]*LaborCostPerLift[[#This Row],[Average_Lifts_Per_Week]]*LaborCostPerLift[[#This Row],[Weeks_Per_Year]]</f>
        <v>17.076633419654957</v>
      </c>
    </row>
    <row r="31" spans="2:16" ht="15" x14ac:dyDescent="0.25">
      <c r="B31" s="95" t="str">
        <f>LaborCostPerLift[[#This Row],[Grouping_ID]]&amp;"-"&amp;LaborCostPerLift[[#This Row],[Sector_ID]]&amp;"-"&amp;LaborCostPerLift[[#This Row],[Frequency_ID]]&amp;"-"&amp;LaborCostPerLift[[#This Row],[SS_or_DS]]</f>
        <v>3-1-U-SS</v>
      </c>
      <c r="C31" s="174">
        <v>3</v>
      </c>
      <c r="D31" s="175" t="str">
        <f>INDEX(Grouping[Grouping_Name],MATCH(LaborCostPerLift[[#This Row],[Grouping_ID]],Grouping[Grouping_ID],0))</f>
        <v>3 - Other areas with curbside</v>
      </c>
      <c r="E31" s="171">
        <v>1</v>
      </c>
      <c r="F31" s="175" t="str">
        <f>INDEX(Sector[Sector_Name],MATCH(LaborCostPerLift[[#This Row],[Sector_ID]],Sector[Sector_ID],0))</f>
        <v>SF Res. (on-route)</v>
      </c>
      <c r="G31" s="18" t="s">
        <v>806</v>
      </c>
      <c r="H31" s="174" t="s">
        <v>65</v>
      </c>
      <c r="I31" s="175" t="str">
        <f>INDEX(Frequency[Collection_Frequency],MATCH(LaborCostPerLift[[#This Row],[Frequency_ID]],Frequency[Orig_Frequency_ID],0)+(LaborCostPerLift[[#This Row],[SS_or_DS]]="DS")*COUNTA(Frequency[Orig_Frequency_ID])/2)</f>
        <v>Uncertain</v>
      </c>
      <c r="J31" s="154">
        <v>0.80063258995149111</v>
      </c>
      <c r="K31" s="155">
        <v>0.76373812758784787</v>
      </c>
      <c r="L31" s="156">
        <f>LaborCostPerLift[[#This Row],[OnRoute_Labor_Per_Lift]]*LaborCostPerLift[[#This Row],[Benefits_Ratio]]</f>
        <v>0.61147363513536102</v>
      </c>
      <c r="M31" s="156">
        <f>SUM(LaborCostPerLift[[#This Row],[OnRoute_Labor_Per_Lift]],LaborCostPerLift[[#This Row],[OnRoute_Benefits_Per_Lift]])</f>
        <v>1.4121062250868521</v>
      </c>
      <c r="N31" s="85">
        <v>1</v>
      </c>
      <c r="O31" s="157">
        <f>52</f>
        <v>52</v>
      </c>
      <c r="P31" s="158">
        <f>LaborCostPerLift[[#This Row],[Labor_Cost_Per_Lift]]*LaborCostPerLift[[#This Row],[Average_Lifts_Per_Week]]*LaborCostPerLift[[#This Row],[Weeks_Per_Year]]</f>
        <v>73.429523704516313</v>
      </c>
    </row>
    <row r="32" spans="2:16" ht="15" x14ac:dyDescent="0.25">
      <c r="B32" s="95" t="str">
        <f>LaborCostPerLift[[#This Row],[Grouping_ID]]&amp;"-"&amp;LaborCostPerLift[[#This Row],[Sector_ID]]&amp;"-"&amp;LaborCostPerLift[[#This Row],[Frequency_ID]]&amp;"-"&amp;LaborCostPerLift[[#This Row],[SS_or_DS]]</f>
        <v>1-2-V-DS</v>
      </c>
      <c r="C32" s="171">
        <v>1</v>
      </c>
      <c r="D32" s="18" t="str">
        <f>INDEX(Grouping[Grouping_Name],MATCH(LaborCostPerLift[[#This Row],[Grouping_ID]],Grouping[Grouping_ID],0))</f>
        <v>1 - Metro area</v>
      </c>
      <c r="E32" s="171">
        <v>2</v>
      </c>
      <c r="F32" s="18" t="str">
        <f>INDEX(Sector[Sector_Name],MATCH(LaborCostPerLift[[#This Row],[Sector_ID]],Sector[Sector_ID],0))</f>
        <v>MF Res. (on-route)</v>
      </c>
      <c r="G32" s="18" t="s">
        <v>808</v>
      </c>
      <c r="H32" s="171" t="s">
        <v>91</v>
      </c>
      <c r="I32" s="18" t="str">
        <f>INDEX(Frequency[Collection_Frequency],MATCH(LaborCostPerLift[[#This Row],[Frequency_ID]],Frequency[Orig_Frequency_ID],0)+(LaborCostPerLift[[#This Row],[SS_or_DS]]="DS")*COUNTA(Frequency[Orig_Frequency_ID])/2)</f>
        <v>Varies by customer need</v>
      </c>
      <c r="J32" s="164">
        <v>3.43</v>
      </c>
      <c r="K32" s="83">
        <v>0.51200000000000001</v>
      </c>
      <c r="L32" s="165">
        <f>LaborCostPerLift[[#This Row],[OnRoute_Labor_Per_Lift]]*LaborCostPerLift[[#This Row],[Benefits_Ratio]]</f>
        <v>1.7561600000000002</v>
      </c>
      <c r="M32" s="84">
        <f>SUM(LaborCostPerLift[[#This Row],[OnRoute_Labor_Per_Lift]],LaborCostPerLift[[#This Row],[OnRoute_Benefits_Per_Lift]])</f>
        <v>5.1861600000000001</v>
      </c>
      <c r="N32" s="85">
        <v>1.39</v>
      </c>
      <c r="O32" s="86">
        <f>52</f>
        <v>52</v>
      </c>
      <c r="P32" s="87">
        <f>LaborCostPerLift[[#This Row],[Labor_Cost_Per_Lift]]*LaborCostPerLift[[#This Row],[Average_Lifts_Per_Week]]*LaborCostPerLift[[#This Row],[Weeks_Per_Year]]</f>
        <v>374.85564479999999</v>
      </c>
    </row>
    <row r="33" spans="2:16" ht="15" x14ac:dyDescent="0.25">
      <c r="B33" s="95" t="str">
        <f>LaborCostPerLift[[#This Row],[Grouping_ID]]&amp;"-"&amp;LaborCostPerLift[[#This Row],[Sector_ID]]&amp;"-"&amp;LaborCostPerLift[[#This Row],[Frequency_ID]]&amp;"-"&amp;LaborCostPerLift[[#This Row],[SS_or_DS]]</f>
        <v>1-3-V-DS</v>
      </c>
      <c r="C33" s="171">
        <v>1</v>
      </c>
      <c r="D33" s="18" t="str">
        <f>INDEX(Grouping[Grouping_Name],MATCH(LaborCostPerLift[[#This Row],[Grouping_ID]],Grouping[Grouping_ID],0))</f>
        <v>1 - Metro area</v>
      </c>
      <c r="E33" s="171">
        <v>3</v>
      </c>
      <c r="F33" s="18" t="str">
        <f>INDEX(Sector[Sector_Name],MATCH(LaborCostPerLift[[#This Row],[Sector_ID]],Sector[Sector_ID],0))</f>
        <v>Commercial (on-route)</v>
      </c>
      <c r="G33" s="18" t="s">
        <v>808</v>
      </c>
      <c r="H33" s="171" t="s">
        <v>91</v>
      </c>
      <c r="I33" s="18" t="str">
        <f>INDEX(Frequency[Collection_Frequency],MATCH(LaborCostPerLift[[#This Row],[Frequency_ID]],Frequency[Orig_Frequency_ID],0)+(LaborCostPerLift[[#This Row],[SS_or_DS]]="DS")*COUNTA(Frequency[Orig_Frequency_ID])/2)</f>
        <v>Varies by customer need</v>
      </c>
      <c r="J33" s="164">
        <v>3.43</v>
      </c>
      <c r="K33" s="83">
        <v>0.51200000000000001</v>
      </c>
      <c r="L33" s="165">
        <f>LaborCostPerLift[[#This Row],[OnRoute_Labor_Per_Lift]]*LaborCostPerLift[[#This Row],[Benefits_Ratio]]</f>
        <v>1.7561600000000002</v>
      </c>
      <c r="M33" s="84">
        <f>SUM(LaborCostPerLift[[#This Row],[OnRoute_Labor_Per_Lift]],LaborCostPerLift[[#This Row],[OnRoute_Benefits_Per_Lift]])</f>
        <v>5.1861600000000001</v>
      </c>
      <c r="N33" s="85">
        <v>1.39</v>
      </c>
      <c r="O33" s="86">
        <f>52</f>
        <v>52</v>
      </c>
      <c r="P33" s="87">
        <f>LaborCostPerLift[[#This Row],[Labor_Cost_Per_Lift]]*LaborCostPerLift[[#This Row],[Average_Lifts_Per_Week]]*LaborCostPerLift[[#This Row],[Weeks_Per_Year]]</f>
        <v>374.85564479999999</v>
      </c>
    </row>
    <row r="34" spans="2:16" ht="15" x14ac:dyDescent="0.25">
      <c r="B34" s="95" t="str">
        <f>LaborCostPerLift[[#This Row],[Grouping_ID]]&amp;"-"&amp;LaborCostPerLift[[#This Row],[Sector_ID]]&amp;"-"&amp;LaborCostPerLift[[#This Row],[Frequency_ID]]&amp;"-"&amp;LaborCostPerLift[[#This Row],[SS_or_DS]]</f>
        <v>2-2-V-DS</v>
      </c>
      <c r="C34" s="171">
        <v>2</v>
      </c>
      <c r="D34" s="18" t="str">
        <f>INDEX(Grouping[Grouping_Name],MATCH(LaborCostPerLift[[#This Row],[Grouping_ID]],Grouping[Grouping_ID],0))</f>
        <v>2 - Willamette Valley, etc.</v>
      </c>
      <c r="E34" s="171">
        <v>2</v>
      </c>
      <c r="F34" s="18" t="str">
        <f>INDEX(Sector[Sector_Name],MATCH(LaborCostPerLift[[#This Row],[Sector_ID]],Sector[Sector_ID],0))</f>
        <v>MF Res. (on-route)</v>
      </c>
      <c r="G34" s="18" t="s">
        <v>808</v>
      </c>
      <c r="H34" s="171" t="s">
        <v>91</v>
      </c>
      <c r="I34" s="18" t="str">
        <f>INDEX(Frequency[Collection_Frequency],MATCH(LaborCostPerLift[[#This Row],[Frequency_ID]],Frequency[Orig_Frequency_ID],0)+(LaborCostPerLift[[#This Row],[SS_or_DS]]="DS")*COUNTA(Frequency[Orig_Frequency_ID])/2)</f>
        <v>Varies by customer need</v>
      </c>
      <c r="J34" s="164">
        <v>3.42</v>
      </c>
      <c r="K34" s="83">
        <v>0.50900000000000001</v>
      </c>
      <c r="L34" s="165">
        <f>LaborCostPerLift[[#This Row],[OnRoute_Labor_Per_Lift]]*LaborCostPerLift[[#This Row],[Benefits_Ratio]]</f>
        <v>1.74078</v>
      </c>
      <c r="M34" s="84">
        <f>SUM(LaborCostPerLift[[#This Row],[OnRoute_Labor_Per_Lift]],LaborCostPerLift[[#This Row],[OnRoute_Benefits_Per_Lift]])</f>
        <v>5.1607799999999999</v>
      </c>
      <c r="N34" s="85">
        <v>1.0900000000000001</v>
      </c>
      <c r="O34" s="86">
        <f>52</f>
        <v>52</v>
      </c>
      <c r="P34" s="87">
        <f>LaborCostPerLift[[#This Row],[Labor_Cost_Per_Lift]]*LaborCostPerLift[[#This Row],[Average_Lifts_Per_Week]]*LaborCostPerLift[[#This Row],[Weeks_Per_Year]]</f>
        <v>292.51301039999998</v>
      </c>
    </row>
    <row r="35" spans="2:16" ht="15" x14ac:dyDescent="0.25">
      <c r="B35" s="95" t="str">
        <f>LaborCostPerLift[[#This Row],[Grouping_ID]]&amp;"-"&amp;LaborCostPerLift[[#This Row],[Sector_ID]]&amp;"-"&amp;LaborCostPerLift[[#This Row],[Frequency_ID]]&amp;"-"&amp;LaborCostPerLift[[#This Row],[SS_or_DS]]</f>
        <v>2-3-V-DS</v>
      </c>
      <c r="C35" s="171">
        <v>2</v>
      </c>
      <c r="D35" s="18" t="str">
        <f>INDEX(Grouping[Grouping_Name],MATCH(LaborCostPerLift[[#This Row],[Grouping_ID]],Grouping[Grouping_ID],0))</f>
        <v>2 - Willamette Valley, etc.</v>
      </c>
      <c r="E35" s="171">
        <v>3</v>
      </c>
      <c r="F35" s="18" t="str">
        <f>INDEX(Sector[Sector_Name],MATCH(LaborCostPerLift[[#This Row],[Sector_ID]],Sector[Sector_ID],0))</f>
        <v>Commercial (on-route)</v>
      </c>
      <c r="G35" s="18" t="s">
        <v>808</v>
      </c>
      <c r="H35" s="171" t="s">
        <v>91</v>
      </c>
      <c r="I35" s="18" t="str">
        <f>INDEX(Frequency[Collection_Frequency],MATCH(LaborCostPerLift[[#This Row],[Frequency_ID]],Frequency[Orig_Frequency_ID],0)+(LaborCostPerLift[[#This Row],[SS_or_DS]]="DS")*COUNTA(Frequency[Orig_Frequency_ID])/2)</f>
        <v>Varies by customer need</v>
      </c>
      <c r="J35" s="164">
        <v>3.42</v>
      </c>
      <c r="K35" s="83">
        <v>0.50900000000000001</v>
      </c>
      <c r="L35" s="165">
        <f>LaborCostPerLift[[#This Row],[OnRoute_Labor_Per_Lift]]*LaborCostPerLift[[#This Row],[Benefits_Ratio]]</f>
        <v>1.74078</v>
      </c>
      <c r="M35" s="84">
        <f>SUM(LaborCostPerLift[[#This Row],[OnRoute_Labor_Per_Lift]],LaborCostPerLift[[#This Row],[OnRoute_Benefits_Per_Lift]])</f>
        <v>5.1607799999999999</v>
      </c>
      <c r="N35" s="85">
        <v>1.0900000000000001</v>
      </c>
      <c r="O35" s="86">
        <f>52</f>
        <v>52</v>
      </c>
      <c r="P35" s="87">
        <f>LaborCostPerLift[[#This Row],[Labor_Cost_Per_Lift]]*LaborCostPerLift[[#This Row],[Average_Lifts_Per_Week]]*LaborCostPerLift[[#This Row],[Weeks_Per_Year]]</f>
        <v>292.51301039999998</v>
      </c>
    </row>
    <row r="36" spans="2:16" ht="15" x14ac:dyDescent="0.25">
      <c r="B36" s="95" t="str">
        <f>LaborCostPerLift[[#This Row],[Grouping_ID]]&amp;"-"&amp;LaborCostPerLift[[#This Row],[Sector_ID]]&amp;"-"&amp;LaborCostPerLift[[#This Row],[Frequency_ID]]&amp;"-"&amp;LaborCostPerLift[[#This Row],[SS_or_DS]]</f>
        <v>3-2-V-DS</v>
      </c>
      <c r="C36" s="171">
        <v>3</v>
      </c>
      <c r="D36" s="18" t="str">
        <f>INDEX(Grouping[Grouping_Name],MATCH(LaborCostPerLift[[#This Row],[Grouping_ID]],Grouping[Grouping_ID],0))</f>
        <v>3 - Other areas with curbside</v>
      </c>
      <c r="E36" s="171">
        <v>2</v>
      </c>
      <c r="F36" s="18" t="str">
        <f>INDEX(Sector[Sector_Name],MATCH(LaborCostPerLift[[#This Row],[Sector_ID]],Sector[Sector_ID],0))</f>
        <v>MF Res. (on-route)</v>
      </c>
      <c r="G36" s="18" t="s">
        <v>808</v>
      </c>
      <c r="H36" s="171" t="s">
        <v>91</v>
      </c>
      <c r="I36" s="18" t="str">
        <f>INDEX(Frequency[Collection_Frequency],MATCH(LaborCostPerLift[[#This Row],[Frequency_ID]],Frequency[Orig_Frequency_ID],0)+(LaborCostPerLift[[#This Row],[SS_or_DS]]="DS")*COUNTA(Frequency[Orig_Frequency_ID])/2)</f>
        <v>Varies by customer need</v>
      </c>
      <c r="J36" s="164">
        <v>3.94</v>
      </c>
      <c r="K36" s="83">
        <v>0.433</v>
      </c>
      <c r="L36" s="165">
        <f>LaborCostPerLift[[#This Row],[OnRoute_Labor_Per_Lift]]*LaborCostPerLift[[#This Row],[Benefits_Ratio]]</f>
        <v>1.7060199999999999</v>
      </c>
      <c r="M36" s="84">
        <f>SUM(LaborCostPerLift[[#This Row],[OnRoute_Labor_Per_Lift]],LaborCostPerLift[[#This Row],[OnRoute_Benefits_Per_Lift]])</f>
        <v>5.64602</v>
      </c>
      <c r="N36" s="85">
        <v>1.31</v>
      </c>
      <c r="O36" s="86">
        <f>52</f>
        <v>52</v>
      </c>
      <c r="P36" s="87">
        <f>LaborCostPerLift[[#This Row],[Labor_Cost_Per_Lift]]*LaborCostPerLift[[#This Row],[Average_Lifts_Per_Week]]*LaborCostPerLift[[#This Row],[Weeks_Per_Year]]</f>
        <v>384.60688240000002</v>
      </c>
    </row>
    <row r="37" spans="2:16" ht="15" x14ac:dyDescent="0.25">
      <c r="B37" s="95" t="str">
        <f>LaborCostPerLift[[#This Row],[Grouping_ID]]&amp;"-"&amp;LaborCostPerLift[[#This Row],[Sector_ID]]&amp;"-"&amp;LaborCostPerLift[[#This Row],[Frequency_ID]]&amp;"-"&amp;LaborCostPerLift[[#This Row],[SS_or_DS]]</f>
        <v>3-3-V-DS</v>
      </c>
      <c r="C37" s="171">
        <v>3</v>
      </c>
      <c r="D37" s="18" t="str">
        <f>INDEX(Grouping[Grouping_Name],MATCH(LaborCostPerLift[[#This Row],[Grouping_ID]],Grouping[Grouping_ID],0))</f>
        <v>3 - Other areas with curbside</v>
      </c>
      <c r="E37" s="171">
        <v>3</v>
      </c>
      <c r="F37" s="18" t="str">
        <f>INDEX(Sector[Sector_Name],MATCH(LaborCostPerLift[[#This Row],[Sector_ID]],Sector[Sector_ID],0))</f>
        <v>Commercial (on-route)</v>
      </c>
      <c r="G37" s="18" t="s">
        <v>808</v>
      </c>
      <c r="H37" s="171" t="s">
        <v>91</v>
      </c>
      <c r="I37" s="18" t="str">
        <f>INDEX(Frequency[Collection_Frequency],MATCH(LaborCostPerLift[[#This Row],[Frequency_ID]],Frequency[Orig_Frequency_ID],0)+(LaborCostPerLift[[#This Row],[SS_or_DS]]="DS")*COUNTA(Frequency[Orig_Frequency_ID])/2)</f>
        <v>Varies by customer need</v>
      </c>
      <c r="J37" s="164">
        <v>3.94</v>
      </c>
      <c r="K37" s="83">
        <v>0.433</v>
      </c>
      <c r="L37" s="165">
        <f>LaborCostPerLift[[#This Row],[OnRoute_Labor_Per_Lift]]*LaborCostPerLift[[#This Row],[Benefits_Ratio]]</f>
        <v>1.7060199999999999</v>
      </c>
      <c r="M37" s="84">
        <f>SUM(LaborCostPerLift[[#This Row],[OnRoute_Labor_Per_Lift]],LaborCostPerLift[[#This Row],[OnRoute_Benefits_Per_Lift]])</f>
        <v>5.64602</v>
      </c>
      <c r="N37" s="85">
        <v>1.31</v>
      </c>
      <c r="O37" s="86">
        <f>52</f>
        <v>52</v>
      </c>
      <c r="P37" s="87">
        <f>LaborCostPerLift[[#This Row],[Labor_Cost_Per_Lift]]*LaborCostPerLift[[#This Row],[Average_Lifts_Per_Week]]*LaborCostPerLift[[#This Row],[Weeks_Per_Year]]</f>
        <v>384.60688240000002</v>
      </c>
    </row>
    <row r="38" spans="2:16" ht="15" x14ac:dyDescent="0.25">
      <c r="B38" s="95" t="str">
        <f>LaborCostPerLift[[#This Row],[Grouping_ID]]&amp;"-"&amp;LaborCostPerLift[[#This Row],[Sector_ID]]&amp;"-"&amp;LaborCostPerLift[[#This Row],[Frequency_ID]]&amp;"-"&amp;LaborCostPerLift[[#This Row],[SS_or_DS]]</f>
        <v>1-1-W-DS</v>
      </c>
      <c r="C38" s="171">
        <v>1</v>
      </c>
      <c r="D38" s="18" t="str">
        <f>INDEX(Grouping[Grouping_Name],MATCH(LaborCostPerLift[[#This Row],[Grouping_ID]],Grouping[Grouping_ID],0))</f>
        <v>1 - Metro area</v>
      </c>
      <c r="E38" s="171">
        <v>1</v>
      </c>
      <c r="F38" s="18" t="str">
        <f>INDEX(Sector[Sector_Name],MATCH(LaborCostPerLift[[#This Row],[Sector_ID]],Sector[Sector_ID],0))</f>
        <v>SF Res. (on-route)</v>
      </c>
      <c r="G38" s="18" t="s">
        <v>808</v>
      </c>
      <c r="H38" s="171" t="s">
        <v>64</v>
      </c>
      <c r="I38" s="18" t="str">
        <f>INDEX(Frequency[Collection_Frequency],MATCH(LaborCostPerLift[[#This Row],[Frequency_ID]],Frequency[Orig_Frequency_ID],0)+(LaborCostPerLift[[#This Row],[SS_or_DS]]="DS")*COUNTA(Frequency[Orig_Frequency_ID])/2)</f>
        <v>Weekly</v>
      </c>
      <c r="J38" s="164">
        <v>0.47</v>
      </c>
      <c r="K38" s="83">
        <v>0.58899999999999997</v>
      </c>
      <c r="L38" s="165">
        <f>LaborCostPerLift[[#This Row],[OnRoute_Labor_Per_Lift]]*LaborCostPerLift[[#This Row],[Benefits_Ratio]]</f>
        <v>0.27682999999999996</v>
      </c>
      <c r="M38" s="84">
        <f>SUM(LaborCostPerLift[[#This Row],[OnRoute_Labor_Per_Lift]],LaborCostPerLift[[#This Row],[OnRoute_Benefits_Per_Lift]])</f>
        <v>0.74682999999999988</v>
      </c>
      <c r="N38" s="85">
        <v>1</v>
      </c>
      <c r="O38" s="86">
        <f>52</f>
        <v>52</v>
      </c>
      <c r="P38" s="87">
        <f>LaborCostPerLift[[#This Row],[Labor_Cost_Per_Lift]]*LaborCostPerLift[[#This Row],[Average_Lifts_Per_Week]]*LaborCostPerLift[[#This Row],[Weeks_Per_Year]]</f>
        <v>38.835159999999995</v>
      </c>
    </row>
    <row r="39" spans="2:16" ht="15" x14ac:dyDescent="0.25">
      <c r="B39" s="95" t="str">
        <f>LaborCostPerLift[[#This Row],[Grouping_ID]]&amp;"-"&amp;LaborCostPerLift[[#This Row],[Sector_ID]]&amp;"-"&amp;LaborCostPerLift[[#This Row],[Frequency_ID]]&amp;"-"&amp;LaborCostPerLift[[#This Row],[SS_or_DS]]</f>
        <v>1-1-E-DS</v>
      </c>
      <c r="C39" s="171">
        <v>1</v>
      </c>
      <c r="D39" s="18" t="str">
        <f>INDEX(Grouping[Grouping_Name],MATCH(LaborCostPerLift[[#This Row],[Grouping_ID]],Grouping[Grouping_ID],0))</f>
        <v>1 - Metro area</v>
      </c>
      <c r="E39" s="171">
        <v>1</v>
      </c>
      <c r="F39" s="18" t="str">
        <f>INDEX(Sector[Sector_Name],MATCH(LaborCostPerLift[[#This Row],[Sector_ID]],Sector[Sector_ID],0))</f>
        <v>SF Res. (on-route)</v>
      </c>
      <c r="G39" s="18" t="s">
        <v>808</v>
      </c>
      <c r="H39" s="171" t="s">
        <v>53</v>
      </c>
      <c r="I39" s="18" t="str">
        <f>INDEX(Frequency[Collection_Frequency],MATCH(LaborCostPerLift[[#This Row],[Frequency_ID]],Frequency[Orig_Frequency_ID],0)+(LaborCostPerLift[[#This Row],[SS_or_DS]]="DS")*COUNTA(Frequency[Orig_Frequency_ID])/2)</f>
        <v>Weekly (formerly every other week)</v>
      </c>
      <c r="J39" s="164">
        <v>0.47</v>
      </c>
      <c r="K39" s="83">
        <v>0.58899999999999997</v>
      </c>
      <c r="L39" s="165">
        <f>LaborCostPerLift[[#This Row],[OnRoute_Labor_Per_Lift]]*LaborCostPerLift[[#This Row],[Benefits_Ratio]]</f>
        <v>0.27682999999999996</v>
      </c>
      <c r="M39" s="84">
        <f>SUM(LaborCostPerLift[[#This Row],[OnRoute_Labor_Per_Lift]],LaborCostPerLift[[#This Row],[OnRoute_Benefits_Per_Lift]])</f>
        <v>0.74682999999999988</v>
      </c>
      <c r="N39" s="85">
        <v>1</v>
      </c>
      <c r="O39" s="86">
        <f>52</f>
        <v>52</v>
      </c>
      <c r="P39" s="87">
        <f>LaborCostPerLift[[#This Row],[Labor_Cost_Per_Lift]]*LaborCostPerLift[[#This Row],[Average_Lifts_Per_Week]]*LaborCostPerLift[[#This Row],[Weeks_Per_Year]]</f>
        <v>38.835159999999995</v>
      </c>
    </row>
    <row r="40" spans="2:16" ht="15" x14ac:dyDescent="0.25">
      <c r="B40" s="95" t="str">
        <f>LaborCostPerLift[[#This Row],[Grouping_ID]]&amp;"-"&amp;LaborCostPerLift[[#This Row],[Sector_ID]]&amp;"-"&amp;LaborCostPerLift[[#This Row],[Frequency_ID]]&amp;"-"&amp;LaborCostPerLift[[#This Row],[SS_or_DS]]</f>
        <v>2-1-W-DS</v>
      </c>
      <c r="C40" s="171">
        <v>2</v>
      </c>
      <c r="D40" s="18" t="str">
        <f>INDEX(Grouping[Grouping_Name],MATCH(LaborCostPerLift[[#This Row],[Grouping_ID]],Grouping[Grouping_ID],0))</f>
        <v>2 - Willamette Valley, etc.</v>
      </c>
      <c r="E40" s="171">
        <v>1</v>
      </c>
      <c r="F40" s="18" t="str">
        <f>INDEX(Sector[Sector_Name],MATCH(LaborCostPerLift[[#This Row],[Sector_ID]],Sector[Sector_ID],0))</f>
        <v>SF Res. (on-route)</v>
      </c>
      <c r="G40" s="18" t="s">
        <v>808</v>
      </c>
      <c r="H40" s="171" t="s">
        <v>64</v>
      </c>
      <c r="I40" s="18" t="str">
        <f>INDEX(Frequency[Collection_Frequency],MATCH(LaborCostPerLift[[#This Row],[Frequency_ID]],Frequency[Orig_Frequency_ID],0)+(LaborCostPerLift[[#This Row],[SS_or_DS]]="DS")*COUNTA(Frequency[Orig_Frequency_ID])/2)</f>
        <v>Weekly</v>
      </c>
      <c r="J40" s="164">
        <v>0.51</v>
      </c>
      <c r="K40" s="83">
        <v>0.48199999999999998</v>
      </c>
      <c r="L40" s="165">
        <f>LaborCostPerLift[[#This Row],[OnRoute_Labor_Per_Lift]]*LaborCostPerLift[[#This Row],[Benefits_Ratio]]</f>
        <v>0.24581999999999998</v>
      </c>
      <c r="M40" s="84">
        <f>SUM(LaborCostPerLift[[#This Row],[OnRoute_Labor_Per_Lift]],LaborCostPerLift[[#This Row],[OnRoute_Benefits_Per_Lift]])</f>
        <v>0.75581999999999994</v>
      </c>
      <c r="N40" s="85">
        <v>1</v>
      </c>
      <c r="O40" s="86">
        <f>52</f>
        <v>52</v>
      </c>
      <c r="P40" s="87">
        <f>LaborCostPerLift[[#This Row],[Labor_Cost_Per_Lift]]*LaborCostPerLift[[#This Row],[Average_Lifts_Per_Week]]*LaborCostPerLift[[#This Row],[Weeks_Per_Year]]</f>
        <v>39.302639999999997</v>
      </c>
    </row>
    <row r="41" spans="2:16" ht="15" x14ac:dyDescent="0.25">
      <c r="B41" s="95" t="str">
        <f>LaborCostPerLift[[#This Row],[Grouping_ID]]&amp;"-"&amp;LaborCostPerLift[[#This Row],[Sector_ID]]&amp;"-"&amp;LaborCostPerLift[[#This Row],[Frequency_ID]]&amp;"-"&amp;LaborCostPerLift[[#This Row],[SS_or_DS]]</f>
        <v>2-1-E-DS</v>
      </c>
      <c r="C41" s="171">
        <v>2</v>
      </c>
      <c r="D41" s="18" t="str">
        <f>INDEX(Grouping[Grouping_Name],MATCH(LaborCostPerLift[[#This Row],[Grouping_ID]],Grouping[Grouping_ID],0))</f>
        <v>2 - Willamette Valley, etc.</v>
      </c>
      <c r="E41" s="171">
        <v>1</v>
      </c>
      <c r="F41" s="18" t="str">
        <f>INDEX(Sector[Sector_Name],MATCH(LaborCostPerLift[[#This Row],[Sector_ID]],Sector[Sector_ID],0))</f>
        <v>SF Res. (on-route)</v>
      </c>
      <c r="G41" s="18" t="s">
        <v>808</v>
      </c>
      <c r="H41" s="171" t="s">
        <v>53</v>
      </c>
      <c r="I41" s="18" t="str">
        <f>INDEX(Frequency[Collection_Frequency],MATCH(LaborCostPerLift[[#This Row],[Frequency_ID]],Frequency[Orig_Frequency_ID],0)+(LaborCostPerLift[[#This Row],[SS_or_DS]]="DS")*COUNTA(Frequency[Orig_Frequency_ID])/2)</f>
        <v>Weekly (formerly every other week)</v>
      </c>
      <c r="J41" s="164">
        <v>0.51</v>
      </c>
      <c r="K41" s="83">
        <v>0.48199999999999998</v>
      </c>
      <c r="L41" s="165">
        <f>LaborCostPerLift[[#This Row],[OnRoute_Labor_Per_Lift]]*LaborCostPerLift[[#This Row],[Benefits_Ratio]]</f>
        <v>0.24581999999999998</v>
      </c>
      <c r="M41" s="84">
        <f>SUM(LaborCostPerLift[[#This Row],[OnRoute_Labor_Per_Lift]],LaborCostPerLift[[#This Row],[OnRoute_Benefits_Per_Lift]])</f>
        <v>0.75581999999999994</v>
      </c>
      <c r="N41" s="85">
        <v>1</v>
      </c>
      <c r="O41" s="86">
        <f>52</f>
        <v>52</v>
      </c>
      <c r="P41" s="87">
        <f>LaborCostPerLift[[#This Row],[Labor_Cost_Per_Lift]]*LaborCostPerLift[[#This Row],[Average_Lifts_Per_Week]]*LaborCostPerLift[[#This Row],[Weeks_Per_Year]]</f>
        <v>39.302639999999997</v>
      </c>
    </row>
    <row r="42" spans="2:16" ht="15" x14ac:dyDescent="0.25">
      <c r="B42" s="95" t="str">
        <f>LaborCostPerLift[[#This Row],[Grouping_ID]]&amp;"-"&amp;LaborCostPerLift[[#This Row],[Sector_ID]]&amp;"-"&amp;LaborCostPerLift[[#This Row],[Frequency_ID]]&amp;"-"&amp;LaborCostPerLift[[#This Row],[SS_or_DS]]</f>
        <v>2-1-U-DS</v>
      </c>
      <c r="C42" s="171">
        <v>2</v>
      </c>
      <c r="D42" s="18" t="str">
        <f>INDEX(Grouping[Grouping_Name],MATCH(LaborCostPerLift[[#This Row],[Grouping_ID]],Grouping[Grouping_ID],0))</f>
        <v>2 - Willamette Valley, etc.</v>
      </c>
      <c r="E42" s="171">
        <v>1</v>
      </c>
      <c r="F42" s="18" t="str">
        <f>INDEX(Sector[Sector_Name],MATCH(LaborCostPerLift[[#This Row],[Sector_ID]],Sector[Sector_ID],0))</f>
        <v>SF Res. (on-route)</v>
      </c>
      <c r="G42" s="18" t="s">
        <v>808</v>
      </c>
      <c r="H42" s="171" t="s">
        <v>65</v>
      </c>
      <c r="I42" s="18" t="str">
        <f>INDEX(Frequency[Collection_Frequency],MATCH(LaborCostPerLift[[#This Row],[Frequency_ID]],Frequency[Orig_Frequency_ID],0)+(LaborCostPerLift[[#This Row],[SS_or_DS]]="DS")*COUNTA(Frequency[Orig_Frequency_ID])/2)</f>
        <v>Uncertain</v>
      </c>
      <c r="J42" s="164">
        <v>0.51</v>
      </c>
      <c r="K42" s="83">
        <v>0.48199999999999998</v>
      </c>
      <c r="L42" s="165">
        <f>LaborCostPerLift[[#This Row],[OnRoute_Labor_Per_Lift]]*LaborCostPerLift[[#This Row],[Benefits_Ratio]]</f>
        <v>0.24581999999999998</v>
      </c>
      <c r="M42" s="84">
        <f>SUM(LaborCostPerLift[[#This Row],[OnRoute_Labor_Per_Lift]],LaborCostPerLift[[#This Row],[OnRoute_Benefits_Per_Lift]])</f>
        <v>0.75581999999999994</v>
      </c>
      <c r="N42" s="85">
        <v>1</v>
      </c>
      <c r="O42" s="86">
        <f>52</f>
        <v>52</v>
      </c>
      <c r="P42" s="87">
        <f>LaborCostPerLift[[#This Row],[Labor_Cost_Per_Lift]]*LaborCostPerLift[[#This Row],[Average_Lifts_Per_Week]]*LaborCostPerLift[[#This Row],[Weeks_Per_Year]]</f>
        <v>39.302639999999997</v>
      </c>
    </row>
    <row r="43" spans="2:16" ht="15" x14ac:dyDescent="0.25">
      <c r="B43" s="95" t="str">
        <f>LaborCostPerLift[[#This Row],[Grouping_ID]]&amp;"-"&amp;LaborCostPerLift[[#This Row],[Sector_ID]]&amp;"-"&amp;LaborCostPerLift[[#This Row],[Frequency_ID]]&amp;"-"&amp;LaborCostPerLift[[#This Row],[SS_or_DS]]</f>
        <v>3-1-W-DS</v>
      </c>
      <c r="C43" s="171">
        <v>3</v>
      </c>
      <c r="D43" s="18" t="str">
        <f>INDEX(Grouping[Grouping_Name],MATCH(LaborCostPerLift[[#This Row],[Grouping_ID]],Grouping[Grouping_ID],0))</f>
        <v>3 - Other areas with curbside</v>
      </c>
      <c r="E43" s="171">
        <v>1</v>
      </c>
      <c r="F43" s="18" t="str">
        <f>INDEX(Sector[Sector_Name],MATCH(LaborCostPerLift[[#This Row],[Sector_ID]],Sector[Sector_ID],0))</f>
        <v>SF Res. (on-route)</v>
      </c>
      <c r="G43" s="18" t="s">
        <v>808</v>
      </c>
      <c r="H43" s="171" t="s">
        <v>64</v>
      </c>
      <c r="I43" s="18" t="str">
        <f>INDEX(Frequency[Collection_Frequency],MATCH(LaborCostPerLift[[#This Row],[Frequency_ID]],Frequency[Orig_Frequency_ID],0)+(LaborCostPerLift[[#This Row],[SS_or_DS]]="DS")*COUNTA(Frequency[Orig_Frequency_ID])/2)</f>
        <v>Weekly</v>
      </c>
      <c r="J43" s="164">
        <v>0.68</v>
      </c>
      <c r="K43" s="83">
        <v>0.504</v>
      </c>
      <c r="L43" s="165">
        <f>LaborCostPerLift[[#This Row],[OnRoute_Labor_Per_Lift]]*LaborCostPerLift[[#This Row],[Benefits_Ratio]]</f>
        <v>0.34272000000000002</v>
      </c>
      <c r="M43" s="84">
        <f>SUM(LaborCostPerLift[[#This Row],[OnRoute_Labor_Per_Lift]],LaborCostPerLift[[#This Row],[OnRoute_Benefits_Per_Lift]])</f>
        <v>1.0227200000000001</v>
      </c>
      <c r="N43" s="85">
        <v>1</v>
      </c>
      <c r="O43" s="86">
        <f>52</f>
        <v>52</v>
      </c>
      <c r="P43" s="87">
        <f>LaborCostPerLift[[#This Row],[Labor_Cost_Per_Lift]]*LaborCostPerLift[[#This Row],[Average_Lifts_Per_Week]]*LaborCostPerLift[[#This Row],[Weeks_Per_Year]]</f>
        <v>53.181440000000002</v>
      </c>
    </row>
    <row r="44" spans="2:16" ht="15" x14ac:dyDescent="0.25">
      <c r="B44" s="95" t="str">
        <f>LaborCostPerLift[[#This Row],[Grouping_ID]]&amp;"-"&amp;LaborCostPerLift[[#This Row],[Sector_ID]]&amp;"-"&amp;LaborCostPerLift[[#This Row],[Frequency_ID]]&amp;"-"&amp;LaborCostPerLift[[#This Row],[SS_or_DS]]</f>
        <v>3-1-E-DS</v>
      </c>
      <c r="C44" s="171">
        <v>3</v>
      </c>
      <c r="D44" s="18" t="str">
        <f>INDEX(Grouping[Grouping_Name],MATCH(LaborCostPerLift[[#This Row],[Grouping_ID]],Grouping[Grouping_ID],0))</f>
        <v>3 - Other areas with curbside</v>
      </c>
      <c r="E44" s="171">
        <v>1</v>
      </c>
      <c r="F44" s="18" t="str">
        <f>INDEX(Sector[Sector_Name],MATCH(LaborCostPerLift[[#This Row],[Sector_ID]],Sector[Sector_ID],0))</f>
        <v>SF Res. (on-route)</v>
      </c>
      <c r="G44" s="18" t="s">
        <v>808</v>
      </c>
      <c r="H44" s="171" t="s">
        <v>53</v>
      </c>
      <c r="I44" s="18" t="str">
        <f>INDEX(Frequency[Collection_Frequency],MATCH(LaborCostPerLift[[#This Row],[Frequency_ID]],Frequency[Orig_Frequency_ID],0)+(LaborCostPerLift[[#This Row],[SS_or_DS]]="DS")*COUNTA(Frequency[Orig_Frequency_ID])/2)</f>
        <v>Weekly (formerly every other week)</v>
      </c>
      <c r="J44" s="164">
        <v>0.68</v>
      </c>
      <c r="K44" s="83">
        <v>0.504</v>
      </c>
      <c r="L44" s="165">
        <f>LaborCostPerLift[[#This Row],[OnRoute_Labor_Per_Lift]]*LaborCostPerLift[[#This Row],[Benefits_Ratio]]</f>
        <v>0.34272000000000002</v>
      </c>
      <c r="M44" s="84">
        <f>SUM(LaborCostPerLift[[#This Row],[OnRoute_Labor_Per_Lift]],LaborCostPerLift[[#This Row],[OnRoute_Benefits_Per_Lift]])</f>
        <v>1.0227200000000001</v>
      </c>
      <c r="N44" s="85">
        <v>1</v>
      </c>
      <c r="O44" s="86">
        <f>52</f>
        <v>52</v>
      </c>
      <c r="P44" s="87">
        <f>LaborCostPerLift[[#This Row],[Labor_Cost_Per_Lift]]*LaborCostPerLift[[#This Row],[Average_Lifts_Per_Week]]*LaborCostPerLift[[#This Row],[Weeks_Per_Year]]</f>
        <v>53.181440000000002</v>
      </c>
    </row>
    <row r="45" spans="2:16" ht="15" x14ac:dyDescent="0.25">
      <c r="B45" s="95" t="str">
        <f>LaborCostPerLift[[#This Row],[Grouping_ID]]&amp;"-"&amp;LaborCostPerLift[[#This Row],[Sector_ID]]&amp;"-"&amp;LaborCostPerLift[[#This Row],[Frequency_ID]]&amp;"-"&amp;LaborCostPerLift[[#This Row],[SS_or_DS]]</f>
        <v>3-1-BM-DS</v>
      </c>
      <c r="C45" s="171">
        <v>3</v>
      </c>
      <c r="D45" s="18" t="str">
        <f>INDEX(Grouping[Grouping_Name],MATCH(LaborCostPerLift[[#This Row],[Grouping_ID]],Grouping[Grouping_ID],0))</f>
        <v>3 - Other areas with curbside</v>
      </c>
      <c r="E45" s="171">
        <v>1</v>
      </c>
      <c r="F45" s="18" t="str">
        <f>INDEX(Sector[Sector_Name],MATCH(LaborCostPerLift[[#This Row],[Sector_ID]],Sector[Sector_ID],0))</f>
        <v>SF Res. (on-route)</v>
      </c>
      <c r="G45" s="18" t="s">
        <v>808</v>
      </c>
      <c r="H45" s="171" t="s">
        <v>66</v>
      </c>
      <c r="I45" s="18" t="str">
        <f>INDEX(Frequency[Collection_Frequency],MATCH(LaborCostPerLift[[#This Row],[Frequency_ID]],Frequency[Orig_Frequency_ID],0)+(LaborCostPerLift[[#This Row],[SS_or_DS]]="DS")*COUNTA(Frequency[Orig_Frequency_ID])/2)</f>
        <v>Weekly (formerly bimonthly)</v>
      </c>
      <c r="J45" s="164">
        <v>0.68</v>
      </c>
      <c r="K45" s="83">
        <v>0.504</v>
      </c>
      <c r="L45" s="165">
        <f>LaborCostPerLift[[#This Row],[OnRoute_Labor_Per_Lift]]*LaborCostPerLift[[#This Row],[Benefits_Ratio]]</f>
        <v>0.34272000000000002</v>
      </c>
      <c r="M45" s="84">
        <f>SUM(LaborCostPerLift[[#This Row],[OnRoute_Labor_Per_Lift]],LaborCostPerLift[[#This Row],[OnRoute_Benefits_Per_Lift]])</f>
        <v>1.0227200000000001</v>
      </c>
      <c r="N45" s="85">
        <v>1</v>
      </c>
      <c r="O45" s="86">
        <f>52</f>
        <v>52</v>
      </c>
      <c r="P45" s="87">
        <f>LaborCostPerLift[[#This Row],[Labor_Cost_Per_Lift]]*LaborCostPerLift[[#This Row],[Average_Lifts_Per_Week]]*LaborCostPerLift[[#This Row],[Weeks_Per_Year]]</f>
        <v>53.181440000000002</v>
      </c>
    </row>
    <row r="46" spans="2:16" ht="15" x14ac:dyDescent="0.25">
      <c r="B46" s="95" t="str">
        <f>LaborCostPerLift[[#This Row],[Grouping_ID]]&amp;"-"&amp;LaborCostPerLift[[#This Row],[Sector_ID]]&amp;"-"&amp;LaborCostPerLift[[#This Row],[Frequency_ID]]&amp;"-"&amp;LaborCostPerLift[[#This Row],[SS_or_DS]]</f>
        <v>3-1-M-DS</v>
      </c>
      <c r="C46" s="171">
        <v>3</v>
      </c>
      <c r="D46" s="18" t="str">
        <f>INDEX(Grouping[Grouping_Name],MATCH(LaborCostPerLift[[#This Row],[Grouping_ID]],Grouping[Grouping_ID],0))</f>
        <v>3 - Other areas with curbside</v>
      </c>
      <c r="E46" s="171">
        <v>1</v>
      </c>
      <c r="F46" s="18" t="str">
        <f>INDEX(Sector[Sector_Name],MATCH(LaborCostPerLift[[#This Row],[Sector_ID]],Sector[Sector_ID],0))</f>
        <v>SF Res. (on-route)</v>
      </c>
      <c r="G46" s="18" t="s">
        <v>808</v>
      </c>
      <c r="H46" s="171" t="s">
        <v>67</v>
      </c>
      <c r="I46" s="18" t="str">
        <f>INDEX(Frequency[Collection_Frequency],MATCH(LaborCostPerLift[[#This Row],[Frequency_ID]],Frequency[Orig_Frequency_ID],0)+(LaborCostPerLift[[#This Row],[SS_or_DS]]="DS")*COUNTA(Frequency[Orig_Frequency_ID])/2)</f>
        <v>Weekly (formerly monthly)</v>
      </c>
      <c r="J46" s="164">
        <v>0.68</v>
      </c>
      <c r="K46" s="83">
        <v>0.504</v>
      </c>
      <c r="L46" s="165">
        <f>LaborCostPerLift[[#This Row],[OnRoute_Labor_Per_Lift]]*LaborCostPerLift[[#This Row],[Benefits_Ratio]]</f>
        <v>0.34272000000000002</v>
      </c>
      <c r="M46" s="84">
        <f>SUM(LaborCostPerLift[[#This Row],[OnRoute_Labor_Per_Lift]],LaborCostPerLift[[#This Row],[OnRoute_Benefits_Per_Lift]])</f>
        <v>1.0227200000000001</v>
      </c>
      <c r="N46" s="85">
        <v>1</v>
      </c>
      <c r="O46" s="86">
        <f>52</f>
        <v>52</v>
      </c>
      <c r="P46" s="87">
        <f>LaborCostPerLift[[#This Row],[Labor_Cost_Per_Lift]]*LaborCostPerLift[[#This Row],[Average_Lifts_Per_Week]]*LaborCostPerLift[[#This Row],[Weeks_Per_Year]]</f>
        <v>53.181440000000002</v>
      </c>
    </row>
    <row r="47" spans="2:16" ht="15" x14ac:dyDescent="0.25">
      <c r="B47" s="95" t="str">
        <f>LaborCostPerLift[[#This Row],[Grouping_ID]]&amp;"-"&amp;LaborCostPerLift[[#This Row],[Sector_ID]]&amp;"-"&amp;LaborCostPerLift[[#This Row],[Frequency_ID]]&amp;"-"&amp;LaborCostPerLift[[#This Row],[SS_or_DS]]</f>
        <v>3-1-U-DS</v>
      </c>
      <c r="C47" s="182">
        <v>3</v>
      </c>
      <c r="D47" s="183" t="str">
        <f>INDEX(Grouping[Grouping_Name],MATCH(LaborCostPerLift[[#This Row],[Grouping_ID]],Grouping[Grouping_ID],0))</f>
        <v>3 - Other areas with curbside</v>
      </c>
      <c r="E47" s="182">
        <v>1</v>
      </c>
      <c r="F47" s="183" t="str">
        <f>INDEX(Sector[Sector_Name],MATCH(LaborCostPerLift[[#This Row],[Sector_ID]],Sector[Sector_ID],0))</f>
        <v>SF Res. (on-route)</v>
      </c>
      <c r="G47" s="18" t="s">
        <v>808</v>
      </c>
      <c r="H47" s="182" t="s">
        <v>65</v>
      </c>
      <c r="I47" s="183" t="str">
        <f>INDEX(Frequency[Collection_Frequency],MATCH(LaborCostPerLift[[#This Row],[Frequency_ID]],Frequency[Orig_Frequency_ID],0)+(LaborCostPerLift[[#This Row],[SS_or_DS]]="DS")*COUNTA(Frequency[Orig_Frequency_ID])/2)</f>
        <v>Uncertain</v>
      </c>
      <c r="J47" s="166">
        <v>0.68</v>
      </c>
      <c r="K47" s="167">
        <v>0.504</v>
      </c>
      <c r="L47" s="168">
        <f>LaborCostPerLift[[#This Row],[OnRoute_Labor_Per_Lift]]*LaborCostPerLift[[#This Row],[Benefits_Ratio]]</f>
        <v>0.34272000000000002</v>
      </c>
      <c r="M47" s="168">
        <f>SUM(LaborCostPerLift[[#This Row],[OnRoute_Labor_Per_Lift]],LaborCostPerLift[[#This Row],[OnRoute_Benefits_Per_Lift]])</f>
        <v>1.0227200000000001</v>
      </c>
      <c r="N47" s="85">
        <v>1</v>
      </c>
      <c r="O47" s="169">
        <f>52</f>
        <v>52</v>
      </c>
      <c r="P47" s="170">
        <f>LaborCostPerLift[[#This Row],[Labor_Cost_Per_Lift]]*LaborCostPerLift[[#This Row],[Average_Lifts_Per_Week]]*LaborCostPerLift[[#This Row],[Weeks_Per_Year]]</f>
        <v>53.181440000000002</v>
      </c>
    </row>
  </sheetData>
  <sheetProtection algorithmName="SHA-512" hashValue="BMAVbmD0UKTQ85yKiVBJVgdZLzqeBQp25cwwXiUFFdIJ4VtNE3FhYNc3jVgDsS/XIIfjPyY9mbfWRsyvy2IjMw==" saltValue="tJMlrjRmxwH0rpDFzKvqsQ==" spinCount="100000" sheet="1" objects="1" scenarios="1"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BA73-66F9-4BF0-BAFA-F739A9235AEB}">
  <sheetPr>
    <tabColor theme="8"/>
  </sheetPr>
  <dimension ref="A1:R47"/>
  <sheetViews>
    <sheetView topLeftCell="A10" workbookViewId="0">
      <selection activeCell="O16" sqref="O16"/>
    </sheetView>
  </sheetViews>
  <sheetFormatPr defaultRowHeight="14.25" x14ac:dyDescent="0.2"/>
  <cols>
    <col min="1" max="1" width="2" bestFit="1" customWidth="1"/>
    <col min="2" max="2" width="14" customWidth="1"/>
    <col min="3" max="3" width="10.25" customWidth="1"/>
    <col min="4" max="4" width="22.75" customWidth="1"/>
    <col min="5" max="5" width="8" customWidth="1"/>
    <col min="6" max="6" width="20" customWidth="1"/>
    <col min="7" max="7" width="6.875" customWidth="1"/>
    <col min="8" max="8" width="11" customWidth="1"/>
    <col min="9" max="9" width="10.375" customWidth="1"/>
    <col min="10" max="13" width="16.875" customWidth="1"/>
    <col min="14" max="14" width="18.5" customWidth="1"/>
    <col min="15" max="18" width="16.875" customWidth="1"/>
  </cols>
  <sheetData>
    <row r="1" spans="1:18" ht="20.25" thickBot="1" x14ac:dyDescent="0.25">
      <c r="A1" s="4"/>
      <c r="B1" s="65" t="s">
        <v>809</v>
      </c>
      <c r="C1" s="66"/>
      <c r="D1" s="66"/>
      <c r="E1" s="66"/>
      <c r="F1" s="66"/>
      <c r="G1" s="66"/>
      <c r="H1" s="79"/>
      <c r="I1" s="79"/>
      <c r="J1" s="79"/>
      <c r="K1" s="79"/>
      <c r="L1" s="79"/>
      <c r="M1" s="79"/>
      <c r="N1" s="79"/>
      <c r="O1" s="79"/>
      <c r="P1" s="79"/>
      <c r="Q1" s="79"/>
      <c r="R1" s="79"/>
    </row>
    <row r="2" spans="1:18" ht="15" thickTop="1" x14ac:dyDescent="0.2">
      <c r="A2" s="4"/>
      <c r="B2" s="4"/>
      <c r="C2" s="4"/>
      <c r="D2" s="4"/>
      <c r="E2" s="4"/>
      <c r="F2" s="4"/>
      <c r="G2" s="4"/>
      <c r="H2" s="10"/>
      <c r="I2" s="10"/>
      <c r="J2" s="10"/>
      <c r="K2" s="10"/>
      <c r="L2" s="10"/>
      <c r="M2" s="10"/>
      <c r="N2" s="10"/>
      <c r="O2" s="10"/>
      <c r="P2" s="10"/>
      <c r="Q2" s="10"/>
      <c r="R2" s="10"/>
    </row>
    <row r="3" spans="1:18" ht="17.25" thickBot="1" x14ac:dyDescent="0.25">
      <c r="A3" s="4"/>
      <c r="B3" s="74" t="s">
        <v>49</v>
      </c>
      <c r="C3" s="74"/>
      <c r="D3" s="74"/>
      <c r="E3" s="74"/>
      <c r="F3" s="74"/>
      <c r="G3" s="74"/>
      <c r="H3" s="74"/>
      <c r="I3" s="74"/>
      <c r="J3" s="74"/>
      <c r="K3" s="74"/>
      <c r="L3" s="74"/>
      <c r="M3" s="74"/>
      <c r="N3" s="74"/>
      <c r="O3" s="74"/>
      <c r="P3" s="74"/>
      <c r="Q3" s="74"/>
      <c r="R3" s="74"/>
    </row>
    <row r="4" spans="1:18" ht="15" thickTop="1" x14ac:dyDescent="0.2">
      <c r="A4" s="60"/>
      <c r="B4" s="80"/>
      <c r="C4" s="80"/>
      <c r="D4" s="80"/>
      <c r="E4" s="80"/>
      <c r="F4" s="80"/>
      <c r="G4" s="80"/>
      <c r="H4" s="80"/>
      <c r="I4" s="80"/>
      <c r="J4" s="80"/>
      <c r="K4" s="80"/>
      <c r="L4" s="80"/>
      <c r="M4" s="80"/>
      <c r="N4" s="80"/>
      <c r="O4" s="80"/>
      <c r="P4" s="80"/>
      <c r="Q4" s="80"/>
      <c r="R4" s="80"/>
    </row>
    <row r="5" spans="1:18" ht="15" x14ac:dyDescent="0.2">
      <c r="A5" s="4"/>
      <c r="B5" s="177" t="s">
        <v>50</v>
      </c>
      <c r="C5" s="110" t="s">
        <v>807</v>
      </c>
      <c r="D5" s="110"/>
      <c r="E5" s="110"/>
      <c r="F5" s="110"/>
      <c r="G5" s="110"/>
      <c r="H5" s="111"/>
      <c r="I5" s="111"/>
      <c r="J5" s="111"/>
      <c r="K5" s="111"/>
      <c r="L5" s="111"/>
      <c r="M5" s="111"/>
      <c r="N5" s="111"/>
      <c r="O5" s="111"/>
      <c r="P5" s="10"/>
      <c r="Q5" s="10"/>
      <c r="R5" s="10"/>
    </row>
    <row r="6" spans="1:18" ht="15" x14ac:dyDescent="0.2">
      <c r="A6" s="4"/>
      <c r="B6" s="177" t="s">
        <v>111</v>
      </c>
      <c r="C6" s="110" t="s">
        <v>1061</v>
      </c>
      <c r="D6" s="110"/>
      <c r="E6" s="110"/>
      <c r="F6" s="110"/>
      <c r="G6" s="110"/>
      <c r="H6" s="111"/>
      <c r="I6" s="110"/>
      <c r="J6" s="110"/>
      <c r="K6" s="110"/>
      <c r="L6" s="110"/>
      <c r="M6" s="110"/>
      <c r="N6" s="110"/>
      <c r="O6" s="110"/>
      <c r="P6" s="4"/>
      <c r="Q6" s="4"/>
      <c r="R6" s="4"/>
    </row>
    <row r="7" spans="1:18" ht="15" x14ac:dyDescent="0.2">
      <c r="A7" s="4"/>
      <c r="B7" s="177" t="s">
        <v>83</v>
      </c>
      <c r="C7" s="110" t="s">
        <v>84</v>
      </c>
      <c r="D7" s="110"/>
      <c r="E7" s="110"/>
      <c r="F7" s="110"/>
      <c r="G7" s="110"/>
      <c r="H7" s="111"/>
      <c r="I7" s="110"/>
      <c r="J7" s="110"/>
      <c r="K7" s="110"/>
      <c r="L7" s="110"/>
      <c r="M7" s="110"/>
      <c r="N7" s="110"/>
      <c r="O7" s="110"/>
      <c r="P7" s="4"/>
      <c r="Q7" s="4"/>
      <c r="R7" s="4"/>
    </row>
    <row r="8" spans="1:18" ht="15" x14ac:dyDescent="0.2">
      <c r="A8" s="4"/>
      <c r="B8" s="177"/>
      <c r="C8" s="110"/>
      <c r="D8" s="110"/>
      <c r="E8" s="110"/>
      <c r="F8" s="110"/>
      <c r="G8" s="110"/>
      <c r="H8" s="111"/>
      <c r="I8" s="110"/>
      <c r="J8" s="110"/>
      <c r="K8" s="110"/>
      <c r="L8" s="110"/>
      <c r="M8" s="110"/>
      <c r="N8" s="110"/>
      <c r="O8" s="110"/>
      <c r="P8" s="4"/>
      <c r="Q8" s="4"/>
      <c r="R8" s="4"/>
    </row>
    <row r="9" spans="1:18" ht="15" customHeight="1" x14ac:dyDescent="0.2">
      <c r="A9" s="4"/>
      <c r="B9" s="177"/>
      <c r="C9" s="611"/>
      <c r="D9" s="611"/>
      <c r="E9" s="611"/>
      <c r="F9" s="611"/>
      <c r="G9" s="611"/>
      <c r="H9" s="611"/>
      <c r="I9" s="611"/>
      <c r="J9" s="611"/>
      <c r="K9" s="611"/>
      <c r="L9" s="611"/>
      <c r="M9" s="611"/>
      <c r="N9" s="611"/>
      <c r="O9" s="611"/>
      <c r="P9" s="4"/>
      <c r="Q9" s="4"/>
      <c r="R9" s="4"/>
    </row>
    <row r="10" spans="1:18" ht="15" customHeight="1" x14ac:dyDescent="0.2">
      <c r="A10" s="4"/>
      <c r="B10" s="177"/>
      <c r="C10" s="611"/>
      <c r="D10" s="611"/>
      <c r="E10" s="611"/>
      <c r="F10" s="611"/>
      <c r="G10" s="611"/>
      <c r="H10" s="611"/>
      <c r="I10" s="611"/>
      <c r="J10" s="611"/>
      <c r="K10" s="611"/>
      <c r="L10" s="611"/>
      <c r="M10" s="611"/>
      <c r="N10" s="611"/>
      <c r="O10" s="611"/>
      <c r="P10" s="4"/>
      <c r="Q10" s="4"/>
      <c r="R10" s="4"/>
    </row>
    <row r="11" spans="1:18" x14ac:dyDescent="0.2">
      <c r="A11" s="4"/>
      <c r="B11" s="181"/>
      <c r="C11" s="181"/>
      <c r="D11" s="110"/>
      <c r="E11" s="110"/>
      <c r="F11" s="110"/>
      <c r="G11" s="110"/>
      <c r="H11" s="111"/>
      <c r="I11" s="110"/>
      <c r="J11" s="110"/>
      <c r="K11" s="110"/>
      <c r="L11" s="110"/>
      <c r="M11" s="110"/>
      <c r="N11" s="110"/>
      <c r="O11" s="110"/>
      <c r="P11" s="4"/>
      <c r="Q11" s="4"/>
      <c r="R11" s="4"/>
    </row>
    <row r="12" spans="1:18" ht="15" x14ac:dyDescent="0.2">
      <c r="A12" s="4"/>
      <c r="B12" s="68"/>
      <c r="C12" s="4"/>
      <c r="D12" s="4"/>
      <c r="E12" s="4"/>
      <c r="F12" s="4"/>
      <c r="G12" s="4"/>
      <c r="H12" s="10"/>
      <c r="I12" s="4"/>
      <c r="J12" s="4"/>
      <c r="K12" s="4"/>
      <c r="L12" s="4"/>
      <c r="M12" s="4"/>
      <c r="N12" s="4"/>
      <c r="O12" s="4"/>
      <c r="P12" s="4"/>
      <c r="Q12" s="4"/>
      <c r="R12" s="4"/>
    </row>
    <row r="14" spans="1:18" ht="15" x14ac:dyDescent="0.2">
      <c r="B14" s="67" t="s">
        <v>68</v>
      </c>
      <c r="C14" s="67"/>
      <c r="D14" s="67"/>
      <c r="E14" s="67"/>
      <c r="F14" s="67"/>
      <c r="G14" s="67"/>
      <c r="H14" s="11"/>
      <c r="J14" s="81" t="s">
        <v>50</v>
      </c>
      <c r="K14" s="68" t="s">
        <v>813</v>
      </c>
      <c r="L14" s="68"/>
      <c r="M14" s="68"/>
      <c r="N14" s="68"/>
    </row>
    <row r="15" spans="1:18" ht="25.5" x14ac:dyDescent="0.2">
      <c r="B15" s="15" t="s">
        <v>55</v>
      </c>
      <c r="C15" s="15" t="s">
        <v>56</v>
      </c>
      <c r="D15" s="15" t="s">
        <v>57</v>
      </c>
      <c r="E15" s="15" t="s">
        <v>60</v>
      </c>
      <c r="F15" s="15" t="s">
        <v>61</v>
      </c>
      <c r="G15" s="15" t="s">
        <v>805</v>
      </c>
      <c r="H15" s="15" t="s">
        <v>58</v>
      </c>
      <c r="I15" s="15" t="s">
        <v>59</v>
      </c>
      <c r="J15" s="17" t="s">
        <v>92</v>
      </c>
      <c r="K15" s="15" t="s">
        <v>93</v>
      </c>
      <c r="L15" s="15" t="s">
        <v>89</v>
      </c>
      <c r="M15" s="15" t="s">
        <v>90</v>
      </c>
      <c r="N15" s="242" t="s">
        <v>858</v>
      </c>
      <c r="O15" s="242" t="s">
        <v>859</v>
      </c>
    </row>
    <row r="16" spans="1:18" ht="15" x14ac:dyDescent="0.25">
      <c r="B16" s="34" t="str">
        <f>ContainerCapitalCostPerPickup[[#This Row],[Grouping_ID]]&amp;"-"&amp;ContainerCapitalCostPerPickup[[#This Row],[Sector_ID]]&amp;"-"&amp;ContainerCapitalCostPerPickup[[#This Row],[Frequency_ID]]&amp;"-"&amp;ContainerCapitalCostPerPickup[[#This Row],[SS_or_DS]]</f>
        <v>1-2-V-SS</v>
      </c>
      <c r="C16" s="69">
        <v>1</v>
      </c>
      <c r="D16" s="4" t="str">
        <f>INDEX(Grouping[Grouping_Name],MATCH(ContainerCapitalCostPerPickup[[#This Row],[Grouping_ID]],Grouping[Grouping_ID],0))</f>
        <v>1 - Metro area</v>
      </c>
      <c r="E16" s="14">
        <v>2</v>
      </c>
      <c r="F16" s="4" t="str">
        <f>INDEX(Sector[Sector_Name],MATCH(ContainerCapitalCostPerPickup[[#This Row],[Sector_ID]],Sector[Sector_ID],0))</f>
        <v>MF Res. (on-route)</v>
      </c>
      <c r="G16" s="18" t="s">
        <v>806</v>
      </c>
      <c r="H16" s="14" t="s">
        <v>91</v>
      </c>
      <c r="I16" s="4" t="str">
        <f>INDEX(Frequency[Collection_Frequency],MATCH(ContainerCapitalCostPerPickup[[#This Row],[Frequency_ID]],Frequency[Orig_Frequency_ID],0)+(ContainerCapitalCostPerPickup[[#This Row],[SS_or_DS]]="DS")*COUNTA(Frequency[Orig_Frequency_ID])/2)</f>
        <v>Varies by customer need</v>
      </c>
      <c r="J16" s="77">
        <v>0.16938157983778193</v>
      </c>
      <c r="K16" s="77">
        <v>1.1335882290387758</v>
      </c>
      <c r="L16" s="179">
        <f>INDEX(LaborCostPerLift[Average_Lifts_Per_Week],MATCH(ContainerCapitalCostPerPickup[[#This Row],[Collection_ID]],LaborCostPerLift[Collection_ID],0))</f>
        <v>1.39</v>
      </c>
      <c r="M16" s="86">
        <f>INDEX(LaborCostPerLift[Weeks_Per_Year],MATCH(ContainerCapitalCostPerPickup[[#This Row],[Collection_ID]],LaborCostPerLift[Collection_ID],0))</f>
        <v>52</v>
      </c>
      <c r="N16" s="87">
        <f>ContainerCapitalCostPerPickup[[#This Row],[Container_Capital_Per_Lift]]*ContainerCapitalCostPerPickup[[#This Row],[Average_Lifts_Per_Week]]*ContainerCapitalCostPerPickup[[#This Row],[Weeks_Per_Year]]</f>
        <v>12.242900590674878</v>
      </c>
      <c r="O16" s="207">
        <f>ContainerCapitalCostPerPickup[[#This Row],[Truck_Capital_Per_Lift]]*ContainerCapitalCostPerPickup[[#This Row],[Average_Lifts_Per_Week]]*ContainerCapitalCostPerPickup[[#This Row],[Weeks_Per_Year]]</f>
        <v>81.935757194922715</v>
      </c>
    </row>
    <row r="17" spans="2:15" ht="15" x14ac:dyDescent="0.25">
      <c r="B17" s="34" t="str">
        <f>ContainerCapitalCostPerPickup[[#This Row],[Grouping_ID]]&amp;"-"&amp;ContainerCapitalCostPerPickup[[#This Row],[Sector_ID]]&amp;"-"&amp;ContainerCapitalCostPerPickup[[#This Row],[Frequency_ID]]&amp;"-"&amp;ContainerCapitalCostPerPickup[[#This Row],[SS_or_DS]]</f>
        <v>1-3-V-SS</v>
      </c>
      <c r="C17" s="69">
        <v>1</v>
      </c>
      <c r="D17" s="4" t="str">
        <f>INDEX(Grouping[Grouping_Name],MATCH(ContainerCapitalCostPerPickup[[#This Row],[Grouping_ID]],Grouping[Grouping_ID],0))</f>
        <v>1 - Metro area</v>
      </c>
      <c r="E17" s="14">
        <v>3</v>
      </c>
      <c r="F17" s="4" t="str">
        <f>INDEX(Sector[Sector_Name],MATCH(ContainerCapitalCostPerPickup[[#This Row],[Sector_ID]],Sector[Sector_ID],0))</f>
        <v>Commercial (on-route)</v>
      </c>
      <c r="G17" s="18" t="s">
        <v>806</v>
      </c>
      <c r="H17" s="14" t="s">
        <v>91</v>
      </c>
      <c r="I17" s="4" t="str">
        <f>INDEX(Frequency[Collection_Frequency],MATCH(ContainerCapitalCostPerPickup[[#This Row],[Frequency_ID]],Frequency[Orig_Frequency_ID],0)+(ContainerCapitalCostPerPickup[[#This Row],[SS_or_DS]]="DS")*COUNTA(Frequency[Orig_Frequency_ID])/2)</f>
        <v>Varies by customer need</v>
      </c>
      <c r="J17" s="77">
        <v>0.16938157983778193</v>
      </c>
      <c r="K17" s="77">
        <v>1.1335882290387758</v>
      </c>
      <c r="L17" s="179">
        <f>INDEX(LaborCostPerLift[Average_Lifts_Per_Week],MATCH(ContainerCapitalCostPerPickup[[#This Row],[Collection_ID]],LaborCostPerLift[Collection_ID],0))</f>
        <v>1.39</v>
      </c>
      <c r="M17" s="86">
        <f>INDEX(LaborCostPerLift[Weeks_Per_Year],MATCH(ContainerCapitalCostPerPickup[[#This Row],[Collection_ID]],LaborCostPerLift[Collection_ID],0))</f>
        <v>52</v>
      </c>
      <c r="N17" s="87">
        <f>ContainerCapitalCostPerPickup[[#This Row],[Container_Capital_Per_Lift]]*ContainerCapitalCostPerPickup[[#This Row],[Average_Lifts_Per_Week]]*ContainerCapitalCostPerPickup[[#This Row],[Weeks_Per_Year]]</f>
        <v>12.242900590674878</v>
      </c>
      <c r="O17" s="207">
        <f>ContainerCapitalCostPerPickup[[#This Row],[Truck_Capital_Per_Lift]]*ContainerCapitalCostPerPickup[[#This Row],[Average_Lifts_Per_Week]]*ContainerCapitalCostPerPickup[[#This Row],[Weeks_Per_Year]]</f>
        <v>81.935757194922715</v>
      </c>
    </row>
    <row r="18" spans="2:15" ht="15" x14ac:dyDescent="0.25">
      <c r="B18" s="34" t="str">
        <f>ContainerCapitalCostPerPickup[[#This Row],[Grouping_ID]]&amp;"-"&amp;ContainerCapitalCostPerPickup[[#This Row],[Sector_ID]]&amp;"-"&amp;ContainerCapitalCostPerPickup[[#This Row],[Frequency_ID]]&amp;"-"&amp;ContainerCapitalCostPerPickup[[#This Row],[SS_or_DS]]</f>
        <v>2-2-V-SS</v>
      </c>
      <c r="C18" s="69">
        <v>2</v>
      </c>
      <c r="D18" s="4" t="str">
        <f>INDEX(Grouping[Grouping_Name],MATCH(ContainerCapitalCostPerPickup[[#This Row],[Grouping_ID]],Grouping[Grouping_ID],0))</f>
        <v>2 - Willamette Valley, etc.</v>
      </c>
      <c r="E18" s="14">
        <v>2</v>
      </c>
      <c r="F18" s="4" t="str">
        <f>INDEX(Sector[Sector_Name],MATCH(ContainerCapitalCostPerPickup[[#This Row],[Sector_ID]],Sector[Sector_ID],0))</f>
        <v>MF Res. (on-route)</v>
      </c>
      <c r="G18" s="18" t="s">
        <v>806</v>
      </c>
      <c r="H18" s="14" t="s">
        <v>91</v>
      </c>
      <c r="I18" s="4" t="str">
        <f>INDEX(Frequency[Collection_Frequency],MATCH(ContainerCapitalCostPerPickup[[#This Row],[Frequency_ID]],Frequency[Orig_Frequency_ID],0)+(ContainerCapitalCostPerPickup[[#This Row],[SS_or_DS]]="DS")*COUNTA(Frequency[Orig_Frequency_ID])/2)</f>
        <v>Varies by customer need</v>
      </c>
      <c r="J18" s="77">
        <v>0.13902788150360965</v>
      </c>
      <c r="K18" s="77">
        <v>0.48353248693054518</v>
      </c>
      <c r="L18" s="179">
        <f>INDEX(LaborCostPerLift[Average_Lifts_Per_Week],MATCH(ContainerCapitalCostPerPickup[[#This Row],[Collection_ID]],LaborCostPerLift[Collection_ID],0))</f>
        <v>1.0900000000000001</v>
      </c>
      <c r="M18" s="86">
        <f>INDEX(LaborCostPerLift[Weeks_Per_Year],MATCH(ContainerCapitalCostPerPickup[[#This Row],[Collection_ID]],LaborCostPerLift[Collection_ID],0))</f>
        <v>52</v>
      </c>
      <c r="N18" s="87">
        <f>ContainerCapitalCostPerPickup[[#This Row],[Container_Capital_Per_Lift]]*ContainerCapitalCostPerPickup[[#This Row],[Average_Lifts_Per_Week]]*ContainerCapitalCostPerPickup[[#This Row],[Weeks_Per_Year]]</f>
        <v>7.8801003236245952</v>
      </c>
      <c r="O18" s="207">
        <f>ContainerCapitalCostPerPickup[[#This Row],[Truck_Capital_Per_Lift]]*ContainerCapitalCostPerPickup[[#This Row],[Average_Lifts_Per_Week]]*ContainerCapitalCostPerPickup[[#This Row],[Weeks_Per_Year]]</f>
        <v>27.406621359223301</v>
      </c>
    </row>
    <row r="19" spans="2:15" ht="15" x14ac:dyDescent="0.25">
      <c r="B19" s="34" t="str">
        <f>ContainerCapitalCostPerPickup[[#This Row],[Grouping_ID]]&amp;"-"&amp;ContainerCapitalCostPerPickup[[#This Row],[Sector_ID]]&amp;"-"&amp;ContainerCapitalCostPerPickup[[#This Row],[Frequency_ID]]&amp;"-"&amp;ContainerCapitalCostPerPickup[[#This Row],[SS_or_DS]]</f>
        <v>2-3-V-SS</v>
      </c>
      <c r="C19" s="69">
        <v>2</v>
      </c>
      <c r="D19" s="4" t="str">
        <f>INDEX(Grouping[Grouping_Name],MATCH(ContainerCapitalCostPerPickup[[#This Row],[Grouping_ID]],Grouping[Grouping_ID],0))</f>
        <v>2 - Willamette Valley, etc.</v>
      </c>
      <c r="E19" s="14">
        <v>3</v>
      </c>
      <c r="F19" s="4" t="str">
        <f>INDEX(Sector[Sector_Name],MATCH(ContainerCapitalCostPerPickup[[#This Row],[Sector_ID]],Sector[Sector_ID],0))</f>
        <v>Commercial (on-route)</v>
      </c>
      <c r="G19" s="18" t="s">
        <v>806</v>
      </c>
      <c r="H19" s="14" t="s">
        <v>91</v>
      </c>
      <c r="I19" s="4" t="str">
        <f>INDEX(Frequency[Collection_Frequency],MATCH(ContainerCapitalCostPerPickup[[#This Row],[Frequency_ID]],Frequency[Orig_Frequency_ID],0)+(ContainerCapitalCostPerPickup[[#This Row],[SS_or_DS]]="DS")*COUNTA(Frequency[Orig_Frequency_ID])/2)</f>
        <v>Varies by customer need</v>
      </c>
      <c r="J19" s="77">
        <v>0.13902788150360965</v>
      </c>
      <c r="K19" s="77">
        <v>0.48353248693054518</v>
      </c>
      <c r="L19" s="179">
        <f>INDEX(LaborCostPerLift[Average_Lifts_Per_Week],MATCH(ContainerCapitalCostPerPickup[[#This Row],[Collection_ID]],LaborCostPerLift[Collection_ID],0))</f>
        <v>1.0900000000000001</v>
      </c>
      <c r="M19" s="86">
        <f>INDEX(LaborCostPerLift[Weeks_Per_Year],MATCH(ContainerCapitalCostPerPickup[[#This Row],[Collection_ID]],LaborCostPerLift[Collection_ID],0))</f>
        <v>52</v>
      </c>
      <c r="N19" s="87">
        <f>ContainerCapitalCostPerPickup[[#This Row],[Container_Capital_Per_Lift]]*ContainerCapitalCostPerPickup[[#This Row],[Average_Lifts_Per_Week]]*ContainerCapitalCostPerPickup[[#This Row],[Weeks_Per_Year]]</f>
        <v>7.8801003236245952</v>
      </c>
      <c r="O19" s="207">
        <f>ContainerCapitalCostPerPickup[[#This Row],[Truck_Capital_Per_Lift]]*ContainerCapitalCostPerPickup[[#This Row],[Average_Lifts_Per_Week]]*ContainerCapitalCostPerPickup[[#This Row],[Weeks_Per_Year]]</f>
        <v>27.406621359223301</v>
      </c>
    </row>
    <row r="20" spans="2:15" ht="15" x14ac:dyDescent="0.25">
      <c r="B20" s="34" t="str">
        <f>ContainerCapitalCostPerPickup[[#This Row],[Grouping_ID]]&amp;"-"&amp;ContainerCapitalCostPerPickup[[#This Row],[Sector_ID]]&amp;"-"&amp;ContainerCapitalCostPerPickup[[#This Row],[Frequency_ID]]&amp;"-"&amp;ContainerCapitalCostPerPickup[[#This Row],[SS_or_DS]]</f>
        <v>3-2-V-SS</v>
      </c>
      <c r="C20" s="69">
        <v>3</v>
      </c>
      <c r="D20" s="4" t="str">
        <f>INDEX(Grouping[Grouping_Name],MATCH(ContainerCapitalCostPerPickup[[#This Row],[Grouping_ID]],Grouping[Grouping_ID],0))</f>
        <v>3 - Other areas with curbside</v>
      </c>
      <c r="E20" s="14">
        <v>2</v>
      </c>
      <c r="F20" s="4" t="str">
        <f>INDEX(Sector[Sector_Name],MATCH(ContainerCapitalCostPerPickup[[#This Row],[Sector_ID]],Sector[Sector_ID],0))</f>
        <v>MF Res. (on-route)</v>
      </c>
      <c r="G20" s="18" t="s">
        <v>806</v>
      </c>
      <c r="H20" s="14" t="s">
        <v>91</v>
      </c>
      <c r="I20" s="4" t="str">
        <f>INDEX(Frequency[Collection_Frequency],MATCH(ContainerCapitalCostPerPickup[[#This Row],[Frequency_ID]],Frequency[Orig_Frequency_ID],0)+(ContainerCapitalCostPerPickup[[#This Row],[SS_or_DS]]="DS")*COUNTA(Frequency[Orig_Frequency_ID])/2)</f>
        <v>Varies by customer need</v>
      </c>
      <c r="J20" s="77">
        <v>0.28984824699110412</v>
      </c>
      <c r="K20" s="77">
        <v>0.65120355834641552</v>
      </c>
      <c r="L20" s="179">
        <f>INDEX(LaborCostPerLift[Average_Lifts_Per_Week],MATCH(ContainerCapitalCostPerPickup[[#This Row],[Collection_ID]],LaborCostPerLift[Collection_ID],0))</f>
        <v>1.31</v>
      </c>
      <c r="M20" s="86">
        <f>INDEX(LaborCostPerLift[Weeks_Per_Year],MATCH(ContainerCapitalCostPerPickup[[#This Row],[Collection_ID]],LaborCostPerLift[Collection_ID],0))</f>
        <v>52</v>
      </c>
      <c r="N20" s="87">
        <f>ContainerCapitalCostPerPickup[[#This Row],[Container_Capital_Per_Lift]]*ContainerCapitalCostPerPickup[[#This Row],[Average_Lifts_Per_Week]]*ContainerCapitalCostPerPickup[[#This Row],[Weeks_Per_Year]]</f>
        <v>19.744462585034015</v>
      </c>
      <c r="O20" s="207">
        <f>ContainerCapitalCostPerPickup[[#This Row],[Truck_Capital_Per_Lift]]*ContainerCapitalCostPerPickup[[#This Row],[Average_Lifts_Per_Week]]*ContainerCapitalCostPerPickup[[#This Row],[Weeks_Per_Year]]</f>
        <v>44.359986394557822</v>
      </c>
    </row>
    <row r="21" spans="2:15" ht="15" x14ac:dyDescent="0.25">
      <c r="B21" s="34" t="str">
        <f>ContainerCapitalCostPerPickup[[#This Row],[Grouping_ID]]&amp;"-"&amp;ContainerCapitalCostPerPickup[[#This Row],[Sector_ID]]&amp;"-"&amp;ContainerCapitalCostPerPickup[[#This Row],[Frequency_ID]]&amp;"-"&amp;ContainerCapitalCostPerPickup[[#This Row],[SS_or_DS]]</f>
        <v>3-3-V-SS</v>
      </c>
      <c r="C21" s="69">
        <v>3</v>
      </c>
      <c r="D21" s="4" t="str">
        <f>INDEX(Grouping[Grouping_Name],MATCH(ContainerCapitalCostPerPickup[[#This Row],[Grouping_ID]],Grouping[Grouping_ID],0))</f>
        <v>3 - Other areas with curbside</v>
      </c>
      <c r="E21" s="14">
        <v>3</v>
      </c>
      <c r="F21" s="4" t="str">
        <f>INDEX(Sector[Sector_Name],MATCH(ContainerCapitalCostPerPickup[[#This Row],[Sector_ID]],Sector[Sector_ID],0))</f>
        <v>Commercial (on-route)</v>
      </c>
      <c r="G21" s="18" t="s">
        <v>806</v>
      </c>
      <c r="H21" s="14" t="s">
        <v>91</v>
      </c>
      <c r="I21" s="4" t="str">
        <f>INDEX(Frequency[Collection_Frequency],MATCH(ContainerCapitalCostPerPickup[[#This Row],[Frequency_ID]],Frequency[Orig_Frequency_ID],0)+(ContainerCapitalCostPerPickup[[#This Row],[SS_or_DS]]="DS")*COUNTA(Frequency[Orig_Frequency_ID])/2)</f>
        <v>Varies by customer need</v>
      </c>
      <c r="J21" s="77">
        <v>0.28984824699110412</v>
      </c>
      <c r="K21" s="77">
        <v>0.65120355834641552</v>
      </c>
      <c r="L21" s="179">
        <f>INDEX(LaborCostPerLift[Average_Lifts_Per_Week],MATCH(ContainerCapitalCostPerPickup[[#This Row],[Collection_ID]],LaborCostPerLift[Collection_ID],0))</f>
        <v>1.31</v>
      </c>
      <c r="M21" s="86">
        <f>INDEX(LaborCostPerLift[Weeks_Per_Year],MATCH(ContainerCapitalCostPerPickup[[#This Row],[Collection_ID]],LaborCostPerLift[Collection_ID],0))</f>
        <v>52</v>
      </c>
      <c r="N21" s="87">
        <f>ContainerCapitalCostPerPickup[[#This Row],[Container_Capital_Per_Lift]]*ContainerCapitalCostPerPickup[[#This Row],[Average_Lifts_Per_Week]]*ContainerCapitalCostPerPickup[[#This Row],[Weeks_Per_Year]]</f>
        <v>19.744462585034015</v>
      </c>
      <c r="O21" s="207">
        <f>ContainerCapitalCostPerPickup[[#This Row],[Truck_Capital_Per_Lift]]*ContainerCapitalCostPerPickup[[#This Row],[Average_Lifts_Per_Week]]*ContainerCapitalCostPerPickup[[#This Row],[Weeks_Per_Year]]</f>
        <v>44.359986394557822</v>
      </c>
    </row>
    <row r="22" spans="2:15" ht="15" x14ac:dyDescent="0.25">
      <c r="B22" s="34" t="str">
        <f>ContainerCapitalCostPerPickup[[#This Row],[Grouping_ID]]&amp;"-"&amp;ContainerCapitalCostPerPickup[[#This Row],[Sector_ID]]&amp;"-"&amp;ContainerCapitalCostPerPickup[[#This Row],[Frequency_ID]]&amp;"-"&amp;ContainerCapitalCostPerPickup[[#This Row],[SS_or_DS]]</f>
        <v>1-1-W-SS</v>
      </c>
      <c r="C22" s="14">
        <v>1</v>
      </c>
      <c r="D22" s="4" t="str">
        <f>INDEX(Grouping[Grouping_Name],MATCH(ContainerCapitalCostPerPickup[[#This Row],[Grouping_ID]],Grouping[Grouping_ID],0))</f>
        <v>1 - Metro area</v>
      </c>
      <c r="E22" s="14">
        <v>1</v>
      </c>
      <c r="F22" s="4" t="str">
        <f>INDEX(Sector[Sector_Name],MATCH(ContainerCapitalCostPerPickup[[#This Row],[Sector_ID]],Sector[Sector_ID],0))</f>
        <v>SF Res. (on-route)</v>
      </c>
      <c r="G22" s="18" t="s">
        <v>806</v>
      </c>
      <c r="H22" s="14" t="s">
        <v>64</v>
      </c>
      <c r="I22" s="4" t="str">
        <f>INDEX(Frequency[Collection_Frequency],MATCH(ContainerCapitalCostPerPickup[[#This Row],[Frequency_ID]],Frequency[Orig_Frequency_ID],0)+(ContainerCapitalCostPerPickup[[#This Row],[SS_or_DS]]="DS")*COUNTA(Frequency[Orig_Frequency_ID])/2)</f>
        <v>Weekly</v>
      </c>
      <c r="J22" s="77">
        <v>3.8707056761505265E-2</v>
      </c>
      <c r="K22" s="77">
        <v>0.20371543979753859</v>
      </c>
      <c r="L22" s="179">
        <f>INDEX(LaborCostPerLift[Average_Lifts_Per_Week],MATCH(ContainerCapitalCostPerPickup[[#This Row],[Collection_ID]],LaborCostPerLift[Collection_ID],0))</f>
        <v>1</v>
      </c>
      <c r="M22" s="86">
        <f>INDEX(LaborCostPerLift[Weeks_Per_Year],MATCH(ContainerCapitalCostPerPickup[[#This Row],[Collection_ID]],LaborCostPerLift[Collection_ID],0))</f>
        <v>52</v>
      </c>
      <c r="N22" s="87">
        <f>ContainerCapitalCostPerPickup[[#This Row],[Container_Capital_Per_Lift]]*ContainerCapitalCostPerPickup[[#This Row],[Average_Lifts_Per_Week]]*ContainerCapitalCostPerPickup[[#This Row],[Weeks_Per_Year]]</f>
        <v>2.012766951598274</v>
      </c>
      <c r="O22" s="207">
        <f>ContainerCapitalCostPerPickup[[#This Row],[Truck_Capital_Per_Lift]]*ContainerCapitalCostPerPickup[[#This Row],[Average_Lifts_Per_Week]]*ContainerCapitalCostPerPickup[[#This Row],[Weeks_Per_Year]]</f>
        <v>10.593202869472007</v>
      </c>
    </row>
    <row r="23" spans="2:15" ht="15" x14ac:dyDescent="0.25">
      <c r="B23" s="34" t="str">
        <f>ContainerCapitalCostPerPickup[[#This Row],[Grouping_ID]]&amp;"-"&amp;ContainerCapitalCostPerPickup[[#This Row],[Sector_ID]]&amp;"-"&amp;ContainerCapitalCostPerPickup[[#This Row],[Frequency_ID]]&amp;"-"&amp;ContainerCapitalCostPerPickup[[#This Row],[SS_or_DS]]</f>
        <v>1-1-E-SS</v>
      </c>
      <c r="C23" s="14">
        <v>1</v>
      </c>
      <c r="D23" s="4" t="str">
        <f>INDEX(Grouping[Grouping_Name],MATCH(ContainerCapitalCostPerPickup[[#This Row],[Grouping_ID]],Grouping[Grouping_ID],0))</f>
        <v>1 - Metro area</v>
      </c>
      <c r="E23" s="14">
        <v>1</v>
      </c>
      <c r="F23" s="4" t="str">
        <f>INDEX(Sector[Sector_Name],MATCH(ContainerCapitalCostPerPickup[[#This Row],[Sector_ID]],Sector[Sector_ID],0))</f>
        <v>SF Res. (on-route)</v>
      </c>
      <c r="G23" s="18" t="s">
        <v>806</v>
      </c>
      <c r="H23" s="14" t="s">
        <v>53</v>
      </c>
      <c r="I23" s="4" t="str">
        <f>INDEX(Frequency[Collection_Frequency],MATCH(ContainerCapitalCostPerPickup[[#This Row],[Frequency_ID]],Frequency[Orig_Frequency_ID],0)+(ContainerCapitalCostPerPickup[[#This Row],[SS_or_DS]]="DS")*COUNTA(Frequency[Orig_Frequency_ID])/2)</f>
        <v>Every other week</v>
      </c>
      <c r="J23" s="77">
        <v>8.9107442727510824E-2</v>
      </c>
      <c r="K23" s="77">
        <v>0.17392618897225345</v>
      </c>
      <c r="L23" s="179">
        <f>INDEX(LaborCostPerLift[Average_Lifts_Per_Week],MATCH(ContainerCapitalCostPerPickup[[#This Row],[Collection_ID]],LaborCostPerLift[Collection_ID],0))</f>
        <v>0.5</v>
      </c>
      <c r="M23" s="86">
        <f>INDEX(LaborCostPerLift[Weeks_Per_Year],MATCH(ContainerCapitalCostPerPickup[[#This Row],[Collection_ID]],LaborCostPerLift[Collection_ID],0))</f>
        <v>52</v>
      </c>
      <c r="N23" s="87">
        <f>ContainerCapitalCostPerPickup[[#This Row],[Container_Capital_Per_Lift]]*ContainerCapitalCostPerPickup[[#This Row],[Average_Lifts_Per_Week]]*ContainerCapitalCostPerPickup[[#This Row],[Weeks_Per_Year]]</f>
        <v>2.3167935109152813</v>
      </c>
      <c r="O23" s="207">
        <f>ContainerCapitalCostPerPickup[[#This Row],[Truck_Capital_Per_Lift]]*ContainerCapitalCostPerPickup[[#This Row],[Average_Lifts_Per_Week]]*ContainerCapitalCostPerPickup[[#This Row],[Weeks_Per_Year]]</f>
        <v>4.5220809132785895</v>
      </c>
    </row>
    <row r="24" spans="2:15" ht="15" x14ac:dyDescent="0.25">
      <c r="B24" s="34" t="str">
        <f>ContainerCapitalCostPerPickup[[#This Row],[Grouping_ID]]&amp;"-"&amp;ContainerCapitalCostPerPickup[[#This Row],[Sector_ID]]&amp;"-"&amp;ContainerCapitalCostPerPickup[[#This Row],[Frequency_ID]]&amp;"-"&amp;ContainerCapitalCostPerPickup[[#This Row],[SS_or_DS]]</f>
        <v>2-1-W-SS</v>
      </c>
      <c r="C24" s="14">
        <v>2</v>
      </c>
      <c r="D24" s="4" t="str">
        <f>INDEX(Grouping[Grouping_Name],MATCH(ContainerCapitalCostPerPickup[[#This Row],[Grouping_ID]],Grouping[Grouping_ID],0))</f>
        <v>2 - Willamette Valley, etc.</v>
      </c>
      <c r="E24" s="14">
        <v>1</v>
      </c>
      <c r="F24" s="4" t="str">
        <f>INDEX(Sector[Sector_Name],MATCH(ContainerCapitalCostPerPickup[[#This Row],[Sector_ID]],Sector[Sector_ID],0))</f>
        <v>SF Res. (on-route)</v>
      </c>
      <c r="G24" s="18" t="s">
        <v>806</v>
      </c>
      <c r="H24" s="14" t="s">
        <v>64</v>
      </c>
      <c r="I24" s="4" t="str">
        <f>INDEX(Frequency[Collection_Frequency],MATCH(ContainerCapitalCostPerPickup[[#This Row],[Frequency_ID]],Frequency[Orig_Frequency_ID],0)+(ContainerCapitalCostPerPickup[[#This Row],[SS_or_DS]]="DS")*COUNTA(Frequency[Orig_Frequency_ID])/2)</f>
        <v>Weekly</v>
      </c>
      <c r="J24" s="77">
        <v>5.1453407860111953E-2</v>
      </c>
      <c r="K24" s="77">
        <v>0.1375409175548892</v>
      </c>
      <c r="L24" s="179">
        <f>INDEX(LaborCostPerLift[Average_Lifts_Per_Week],MATCH(ContainerCapitalCostPerPickup[[#This Row],[Collection_ID]],LaborCostPerLift[Collection_ID],0))</f>
        <v>1</v>
      </c>
      <c r="M24" s="86">
        <f>INDEX(LaborCostPerLift[Weeks_Per_Year],MATCH(ContainerCapitalCostPerPickup[[#This Row],[Collection_ID]],LaborCostPerLift[Collection_ID],0))</f>
        <v>52</v>
      </c>
      <c r="N24" s="87">
        <f>ContainerCapitalCostPerPickup[[#This Row],[Container_Capital_Per_Lift]]*ContainerCapitalCostPerPickup[[#This Row],[Average_Lifts_Per_Week]]*ContainerCapitalCostPerPickup[[#This Row],[Weeks_Per_Year]]</f>
        <v>2.6755772087258216</v>
      </c>
      <c r="O24" s="207">
        <f>ContainerCapitalCostPerPickup[[#This Row],[Truck_Capital_Per_Lift]]*ContainerCapitalCostPerPickup[[#This Row],[Average_Lifts_Per_Week]]*ContainerCapitalCostPerPickup[[#This Row],[Weeks_Per_Year]]</f>
        <v>7.1521277128542389</v>
      </c>
    </row>
    <row r="25" spans="2:15" ht="15" x14ac:dyDescent="0.25">
      <c r="B25" s="34" t="str">
        <f>ContainerCapitalCostPerPickup[[#This Row],[Grouping_ID]]&amp;"-"&amp;ContainerCapitalCostPerPickup[[#This Row],[Sector_ID]]&amp;"-"&amp;ContainerCapitalCostPerPickup[[#This Row],[Frequency_ID]]&amp;"-"&amp;ContainerCapitalCostPerPickup[[#This Row],[SS_or_DS]]</f>
        <v>2-1-E-SS</v>
      </c>
      <c r="C25" s="14">
        <v>2</v>
      </c>
      <c r="D25" s="4" t="str">
        <f>INDEX(Grouping[Grouping_Name],MATCH(ContainerCapitalCostPerPickup[[#This Row],[Grouping_ID]],Grouping[Grouping_ID],0))</f>
        <v>2 - Willamette Valley, etc.</v>
      </c>
      <c r="E25" s="14">
        <v>1</v>
      </c>
      <c r="F25" s="4" t="str">
        <f>INDEX(Sector[Sector_Name],MATCH(ContainerCapitalCostPerPickup[[#This Row],[Sector_ID]],Sector[Sector_ID],0))</f>
        <v>SF Res. (on-route)</v>
      </c>
      <c r="G25" s="18" t="s">
        <v>806</v>
      </c>
      <c r="H25" s="14" t="s">
        <v>53</v>
      </c>
      <c r="I25" s="4" t="str">
        <f>INDEX(Frequency[Collection_Frequency],MATCH(ContainerCapitalCostPerPickup[[#This Row],[Frequency_ID]],Frequency[Orig_Frequency_ID],0)+(ContainerCapitalCostPerPickup[[#This Row],[SS_or_DS]]="DS")*COUNTA(Frequency[Orig_Frequency_ID])/2)</f>
        <v>Every other week</v>
      </c>
      <c r="J25" s="77">
        <v>7.5969034184162801E-2</v>
      </c>
      <c r="K25" s="77">
        <v>0.20307402564774962</v>
      </c>
      <c r="L25" s="179">
        <f>INDEX(LaborCostPerLift[Average_Lifts_Per_Week],MATCH(ContainerCapitalCostPerPickup[[#This Row],[Collection_ID]],LaborCostPerLift[Collection_ID],0))</f>
        <v>0.5</v>
      </c>
      <c r="M25" s="86">
        <f>INDEX(LaborCostPerLift[Weeks_Per_Year],MATCH(ContainerCapitalCostPerPickup[[#This Row],[Collection_ID]],LaborCostPerLift[Collection_ID],0))</f>
        <v>52</v>
      </c>
      <c r="N25" s="87">
        <f>ContainerCapitalCostPerPickup[[#This Row],[Container_Capital_Per_Lift]]*ContainerCapitalCostPerPickup[[#This Row],[Average_Lifts_Per_Week]]*ContainerCapitalCostPerPickup[[#This Row],[Weeks_Per_Year]]</f>
        <v>1.9751948887882329</v>
      </c>
      <c r="O25" s="207">
        <f>ContainerCapitalCostPerPickup[[#This Row],[Truck_Capital_Per_Lift]]*ContainerCapitalCostPerPickup[[#This Row],[Average_Lifts_Per_Week]]*ContainerCapitalCostPerPickup[[#This Row],[Weeks_Per_Year]]</f>
        <v>5.2799246668414899</v>
      </c>
    </row>
    <row r="26" spans="2:15" ht="15" x14ac:dyDescent="0.25">
      <c r="B26" s="34" t="str">
        <f>ContainerCapitalCostPerPickup[[#This Row],[Grouping_ID]]&amp;"-"&amp;ContainerCapitalCostPerPickup[[#This Row],[Sector_ID]]&amp;"-"&amp;ContainerCapitalCostPerPickup[[#This Row],[Frequency_ID]]&amp;"-"&amp;ContainerCapitalCostPerPickup[[#This Row],[SS_or_DS]]</f>
        <v>2-1-U-SS</v>
      </c>
      <c r="C26" s="14">
        <v>2</v>
      </c>
      <c r="D26" s="4" t="str">
        <f>INDEX(Grouping[Grouping_Name],MATCH(ContainerCapitalCostPerPickup[[#This Row],[Grouping_ID]],Grouping[Grouping_ID],0))</f>
        <v>2 - Willamette Valley, etc.</v>
      </c>
      <c r="E26" s="14">
        <v>1</v>
      </c>
      <c r="F26" s="4" t="str">
        <f>INDEX(Sector[Sector_Name],MATCH(ContainerCapitalCostPerPickup[[#This Row],[Sector_ID]],Sector[Sector_ID],0))</f>
        <v>SF Res. (on-route)</v>
      </c>
      <c r="G26" s="18" t="s">
        <v>806</v>
      </c>
      <c r="H26" s="14" t="s">
        <v>65</v>
      </c>
      <c r="I26" s="4" t="str">
        <f>INDEX(Frequency[Collection_Frequency],MATCH(ContainerCapitalCostPerPickup[[#This Row],[Frequency_ID]],Frequency[Orig_Frequency_ID],0)+(ContainerCapitalCostPerPickup[[#This Row],[SS_or_DS]]="DS")*COUNTA(Frequency[Orig_Frequency_ID])/2)</f>
        <v>Uncertain</v>
      </c>
      <c r="J26" s="77">
        <f>J25</f>
        <v>7.5969034184162801E-2</v>
      </c>
      <c r="K26" s="77">
        <f>K25</f>
        <v>0.20307402564774962</v>
      </c>
      <c r="L26" s="179">
        <f>INDEX(LaborCostPerLift[Average_Lifts_Per_Week],MATCH(ContainerCapitalCostPerPickup[[#This Row],[Collection_ID]],LaborCostPerLift[Collection_ID],0))</f>
        <v>1</v>
      </c>
      <c r="M26" s="86">
        <f>INDEX(LaborCostPerLift[Weeks_Per_Year],MATCH(ContainerCapitalCostPerPickup[[#This Row],[Collection_ID]],LaborCostPerLift[Collection_ID],0))</f>
        <v>52</v>
      </c>
      <c r="N26" s="87">
        <f>ContainerCapitalCostPerPickup[[#This Row],[Container_Capital_Per_Lift]]*ContainerCapitalCostPerPickup[[#This Row],[Average_Lifts_Per_Week]]*ContainerCapitalCostPerPickup[[#This Row],[Weeks_Per_Year]]</f>
        <v>3.9503897775764658</v>
      </c>
      <c r="O26" s="207">
        <f>ContainerCapitalCostPerPickup[[#This Row],[Truck_Capital_Per_Lift]]*ContainerCapitalCostPerPickup[[#This Row],[Average_Lifts_Per_Week]]*ContainerCapitalCostPerPickup[[#This Row],[Weeks_Per_Year]]</f>
        <v>10.55984933368298</v>
      </c>
    </row>
    <row r="27" spans="2:15" ht="15" x14ac:dyDescent="0.25">
      <c r="B27" s="34" t="str">
        <f>ContainerCapitalCostPerPickup[[#This Row],[Grouping_ID]]&amp;"-"&amp;ContainerCapitalCostPerPickup[[#This Row],[Sector_ID]]&amp;"-"&amp;ContainerCapitalCostPerPickup[[#This Row],[Frequency_ID]]&amp;"-"&amp;ContainerCapitalCostPerPickup[[#This Row],[SS_or_DS]]</f>
        <v>3-1-W-SS</v>
      </c>
      <c r="C27" s="14">
        <v>3</v>
      </c>
      <c r="D27" s="4" t="str">
        <f>INDEX(Grouping[Grouping_Name],MATCH(ContainerCapitalCostPerPickup[[#This Row],[Grouping_ID]],Grouping[Grouping_ID],0))</f>
        <v>3 - Other areas with curbside</v>
      </c>
      <c r="E27" s="14">
        <v>1</v>
      </c>
      <c r="F27" s="4" t="str">
        <f>INDEX(Sector[Sector_Name],MATCH(ContainerCapitalCostPerPickup[[#This Row],[Sector_ID]],Sector[Sector_ID],0))</f>
        <v>SF Res. (on-route)</v>
      </c>
      <c r="G27" s="18" t="s">
        <v>806</v>
      </c>
      <c r="H27" s="14" t="s">
        <v>64</v>
      </c>
      <c r="I27" s="4" t="str">
        <f>INDEX(Frequency[Collection_Frequency],MATCH(ContainerCapitalCostPerPickup[[#This Row],[Frequency_ID]],Frequency[Orig_Frequency_ID],0)+(ContainerCapitalCostPerPickup[[#This Row],[SS_or_DS]]="DS")*COUNTA(Frequency[Orig_Frequency_ID])/2)</f>
        <v>Weekly</v>
      </c>
      <c r="J27" s="77">
        <v>4.4361574130762305E-2</v>
      </c>
      <c r="K27" s="77">
        <v>0.25221202425507222</v>
      </c>
      <c r="L27" s="179">
        <f>INDEX(LaborCostPerLift[Average_Lifts_Per_Week],MATCH(ContainerCapitalCostPerPickup[[#This Row],[Collection_ID]],LaborCostPerLift[Collection_ID],0))</f>
        <v>1</v>
      </c>
      <c r="M27" s="86">
        <f>INDEX(LaborCostPerLift[Weeks_Per_Year],MATCH(ContainerCapitalCostPerPickup[[#This Row],[Collection_ID]],LaborCostPerLift[Collection_ID],0))</f>
        <v>52</v>
      </c>
      <c r="N27" s="87">
        <f>ContainerCapitalCostPerPickup[[#This Row],[Container_Capital_Per_Lift]]*ContainerCapitalCostPerPickup[[#This Row],[Average_Lifts_Per_Week]]*ContainerCapitalCostPerPickup[[#This Row],[Weeks_Per_Year]]</f>
        <v>2.3068018547996401</v>
      </c>
      <c r="O27" s="207">
        <f>ContainerCapitalCostPerPickup[[#This Row],[Truck_Capital_Per_Lift]]*ContainerCapitalCostPerPickup[[#This Row],[Average_Lifts_Per_Week]]*ContainerCapitalCostPerPickup[[#This Row],[Weeks_Per_Year]]</f>
        <v>13.115025261263755</v>
      </c>
    </row>
    <row r="28" spans="2:15" ht="15" x14ac:dyDescent="0.25">
      <c r="B28" s="34" t="str">
        <f>ContainerCapitalCostPerPickup[[#This Row],[Grouping_ID]]&amp;"-"&amp;ContainerCapitalCostPerPickup[[#This Row],[Sector_ID]]&amp;"-"&amp;ContainerCapitalCostPerPickup[[#This Row],[Frequency_ID]]&amp;"-"&amp;ContainerCapitalCostPerPickup[[#This Row],[SS_or_DS]]</f>
        <v>3-1-E-SS</v>
      </c>
      <c r="C28" s="14">
        <v>3</v>
      </c>
      <c r="D28" s="4" t="str">
        <f>INDEX(Grouping[Grouping_Name],MATCH(ContainerCapitalCostPerPickup[[#This Row],[Grouping_ID]],Grouping[Grouping_ID],0))</f>
        <v>3 - Other areas with curbside</v>
      </c>
      <c r="E28" s="14">
        <v>1</v>
      </c>
      <c r="F28" s="4" t="str">
        <f>INDEX(Sector[Sector_Name],MATCH(ContainerCapitalCostPerPickup[[#This Row],[Sector_ID]],Sector[Sector_ID],0))</f>
        <v>SF Res. (on-route)</v>
      </c>
      <c r="G28" s="18" t="s">
        <v>806</v>
      </c>
      <c r="H28" s="14" t="s">
        <v>53</v>
      </c>
      <c r="I28" s="4" t="str">
        <f>INDEX(Frequency[Collection_Frequency],MATCH(ContainerCapitalCostPerPickup[[#This Row],[Frequency_ID]],Frequency[Orig_Frequency_ID],0)+(ContainerCapitalCostPerPickup[[#This Row],[SS_or_DS]]="DS")*COUNTA(Frequency[Orig_Frequency_ID])/2)</f>
        <v>Every other week</v>
      </c>
      <c r="J28" s="77">
        <v>6.5498206664281008E-2</v>
      </c>
      <c r="K28" s="77">
        <v>0.37238163008332159</v>
      </c>
      <c r="L28" s="179">
        <f>INDEX(LaborCostPerLift[Average_Lifts_Per_Week],MATCH(ContainerCapitalCostPerPickup[[#This Row],[Collection_ID]],LaborCostPerLift[Collection_ID],0))</f>
        <v>0.5</v>
      </c>
      <c r="M28" s="86">
        <f>INDEX(LaborCostPerLift[Weeks_Per_Year],MATCH(ContainerCapitalCostPerPickup[[#This Row],[Collection_ID]],LaborCostPerLift[Collection_ID],0))</f>
        <v>52</v>
      </c>
      <c r="N28" s="87">
        <f>ContainerCapitalCostPerPickup[[#This Row],[Container_Capital_Per_Lift]]*ContainerCapitalCostPerPickup[[#This Row],[Average_Lifts_Per_Week]]*ContainerCapitalCostPerPickup[[#This Row],[Weeks_Per_Year]]</f>
        <v>1.7029533732713062</v>
      </c>
      <c r="O28" s="207">
        <f>ContainerCapitalCostPerPickup[[#This Row],[Truck_Capital_Per_Lift]]*ContainerCapitalCostPerPickup[[#This Row],[Average_Lifts_Per_Week]]*ContainerCapitalCostPerPickup[[#This Row],[Weeks_Per_Year]]</f>
        <v>9.6819223821663609</v>
      </c>
    </row>
    <row r="29" spans="2:15" ht="15" x14ac:dyDescent="0.25">
      <c r="B29" s="34" t="str">
        <f>ContainerCapitalCostPerPickup[[#This Row],[Grouping_ID]]&amp;"-"&amp;ContainerCapitalCostPerPickup[[#This Row],[Sector_ID]]&amp;"-"&amp;ContainerCapitalCostPerPickup[[#This Row],[Frequency_ID]]&amp;"-"&amp;ContainerCapitalCostPerPickup[[#This Row],[SS_or_DS]]</f>
        <v>3-1-BM-SS</v>
      </c>
      <c r="C29" s="14">
        <v>3</v>
      </c>
      <c r="D29" s="4" t="str">
        <f>INDEX(Grouping[Grouping_Name],MATCH(ContainerCapitalCostPerPickup[[#This Row],[Grouping_ID]],Grouping[Grouping_ID],0))</f>
        <v>3 - Other areas with curbside</v>
      </c>
      <c r="E29" s="14">
        <v>1</v>
      </c>
      <c r="F29" s="4" t="str">
        <f>INDEX(Sector[Sector_Name],MATCH(ContainerCapitalCostPerPickup[[#This Row],[Sector_ID]],Sector[Sector_ID],0))</f>
        <v>SF Res. (on-route)</v>
      </c>
      <c r="G29" s="18" t="s">
        <v>806</v>
      </c>
      <c r="H29" s="14" t="s">
        <v>66</v>
      </c>
      <c r="I29" s="4" t="str">
        <f>INDEX(Frequency[Collection_Frequency],MATCH(ContainerCapitalCostPerPickup[[#This Row],[Frequency_ID]],Frequency[Orig_Frequency_ID],0)+(ContainerCapitalCostPerPickup[[#This Row],[SS_or_DS]]="DS")*COUNTA(Frequency[Orig_Frequency_ID])/2)</f>
        <v>Bimonthly</v>
      </c>
      <c r="J29" s="77">
        <f>J28</f>
        <v>6.5498206664281008E-2</v>
      </c>
      <c r="K29" s="77">
        <f>K28</f>
        <v>0.37238163008332159</v>
      </c>
      <c r="L29" s="179">
        <f>INDEX(LaborCostPerLift[Average_Lifts_Per_Week],MATCH(ContainerCapitalCostPerPickup[[#This Row],[Collection_ID]],LaborCostPerLift[Collection_ID],0))</f>
        <v>0.46511627906976744</v>
      </c>
      <c r="M29" s="86">
        <f>INDEX(LaborCostPerLift[Weeks_Per_Year],MATCH(ContainerCapitalCostPerPickup[[#This Row],[Collection_ID]],LaborCostPerLift[Collection_ID],0))</f>
        <v>52</v>
      </c>
      <c r="N29" s="87">
        <f>ContainerCapitalCostPerPickup[[#This Row],[Container_Capital_Per_Lift]]*ContainerCapitalCostPerPickup[[#This Row],[Average_Lifts_Per_Week]]*ContainerCapitalCostPerPickup[[#This Row],[Weeks_Per_Year]]</f>
        <v>1.5841426728105172</v>
      </c>
      <c r="O29" s="207">
        <f>ContainerCapitalCostPerPickup[[#This Row],[Truck_Capital_Per_Lift]]*ContainerCapitalCostPerPickup[[#This Row],[Average_Lifts_Per_Week]]*ContainerCapitalCostPerPickup[[#This Row],[Weeks_Per_Year]]</f>
        <v>9.0064394252710347</v>
      </c>
    </row>
    <row r="30" spans="2:15" ht="15" x14ac:dyDescent="0.25">
      <c r="B30" s="34" t="str">
        <f>ContainerCapitalCostPerPickup[[#This Row],[Grouping_ID]]&amp;"-"&amp;ContainerCapitalCostPerPickup[[#This Row],[Sector_ID]]&amp;"-"&amp;ContainerCapitalCostPerPickup[[#This Row],[Frequency_ID]]&amp;"-"&amp;ContainerCapitalCostPerPickup[[#This Row],[SS_or_DS]]</f>
        <v>3-1-M-SS</v>
      </c>
      <c r="C30" s="14">
        <v>3</v>
      </c>
      <c r="D30" s="4" t="str">
        <f>INDEX(Grouping[Grouping_Name],MATCH(ContainerCapitalCostPerPickup[[#This Row],[Grouping_ID]],Grouping[Grouping_ID],0))</f>
        <v>3 - Other areas with curbside</v>
      </c>
      <c r="E30" s="14">
        <v>1</v>
      </c>
      <c r="F30" s="4" t="str">
        <f>INDEX(Sector[Sector_Name],MATCH(ContainerCapitalCostPerPickup[[#This Row],[Sector_ID]],Sector[Sector_ID],0))</f>
        <v>SF Res. (on-route)</v>
      </c>
      <c r="G30" s="18" t="s">
        <v>806</v>
      </c>
      <c r="H30" s="14" t="s">
        <v>67</v>
      </c>
      <c r="I30" s="4" t="str">
        <f>INDEX(Frequency[Collection_Frequency],MATCH(ContainerCapitalCostPerPickup[[#This Row],[Frequency_ID]],Frequency[Orig_Frequency_ID],0)+(ContainerCapitalCostPerPickup[[#This Row],[SS_or_DS]]="DS")*COUNTA(Frequency[Orig_Frequency_ID])/2)</f>
        <v>Monthly</v>
      </c>
      <c r="J30" s="77">
        <f>J28</f>
        <v>6.5498206664281008E-2</v>
      </c>
      <c r="K30" s="77">
        <f>K28</f>
        <v>0.37238163008332159</v>
      </c>
      <c r="L30" s="179">
        <f>INDEX(LaborCostPerLift[Average_Lifts_Per_Week],MATCH(ContainerCapitalCostPerPickup[[#This Row],[Collection_ID]],LaborCostPerLift[Collection_ID],0))</f>
        <v>0.23255813953488372</v>
      </c>
      <c r="M30" s="86">
        <f>INDEX(LaborCostPerLift[Weeks_Per_Year],MATCH(ContainerCapitalCostPerPickup[[#This Row],[Collection_ID]],LaborCostPerLift[Collection_ID],0))</f>
        <v>52</v>
      </c>
      <c r="N30" s="87">
        <f>ContainerCapitalCostPerPickup[[#This Row],[Container_Capital_Per_Lift]]*ContainerCapitalCostPerPickup[[#This Row],[Average_Lifts_Per_Week]]*ContainerCapitalCostPerPickup[[#This Row],[Weeks_Per_Year]]</f>
        <v>0.79207133640525862</v>
      </c>
      <c r="O30" s="207">
        <f>ContainerCapitalCostPerPickup[[#This Row],[Truck_Capital_Per_Lift]]*ContainerCapitalCostPerPickup[[#This Row],[Average_Lifts_Per_Week]]*ContainerCapitalCostPerPickup[[#This Row],[Weeks_Per_Year]]</f>
        <v>4.5032197126355173</v>
      </c>
    </row>
    <row r="31" spans="2:15" ht="15" x14ac:dyDescent="0.25">
      <c r="B31" s="34" t="str">
        <f>ContainerCapitalCostPerPickup[[#This Row],[Grouping_ID]]&amp;"-"&amp;ContainerCapitalCostPerPickup[[#This Row],[Sector_ID]]&amp;"-"&amp;ContainerCapitalCostPerPickup[[#This Row],[Frequency_ID]]&amp;"-"&amp;ContainerCapitalCostPerPickup[[#This Row],[SS_or_DS]]</f>
        <v>3-1-U-SS</v>
      </c>
      <c r="C31" s="178">
        <v>3</v>
      </c>
      <c r="D31" s="163" t="str">
        <f>INDEX(Grouping[Grouping_Name],MATCH(ContainerCapitalCostPerPickup[[#This Row],[Grouping_ID]],Grouping[Grouping_ID],0))</f>
        <v>3 - Other areas with curbside</v>
      </c>
      <c r="E31" s="14">
        <v>1</v>
      </c>
      <c r="F31" s="163" t="str">
        <f>INDEX(Sector[Sector_Name],MATCH(ContainerCapitalCostPerPickup[[#This Row],[Sector_ID]],Sector[Sector_ID],0))</f>
        <v>SF Res. (on-route)</v>
      </c>
      <c r="G31" s="18" t="s">
        <v>806</v>
      </c>
      <c r="H31" s="14" t="s">
        <v>65</v>
      </c>
      <c r="I31" s="163" t="str">
        <f>INDEX(Frequency[Collection_Frequency],MATCH(ContainerCapitalCostPerPickup[[#This Row],[Frequency_ID]],Frequency[Orig_Frequency_ID],0)+(ContainerCapitalCostPerPickup[[#This Row],[SS_or_DS]]="DS")*COUNTA(Frequency[Orig_Frequency_ID])/2)</f>
        <v>Uncertain</v>
      </c>
      <c r="J31" s="77">
        <f>J28</f>
        <v>6.5498206664281008E-2</v>
      </c>
      <c r="K31" s="77">
        <f>K28</f>
        <v>0.37238163008332159</v>
      </c>
      <c r="L31" s="180">
        <f>INDEX(LaborCostPerLift[Average_Lifts_Per_Week],MATCH(ContainerCapitalCostPerPickup[[#This Row],[Collection_ID]],LaborCostPerLift[Collection_ID],0))</f>
        <v>1</v>
      </c>
      <c r="M31" s="169">
        <f>INDEX(LaborCostPerLift[Weeks_Per_Year],MATCH(ContainerCapitalCostPerPickup[[#This Row],[Collection_ID]],LaborCostPerLift[Collection_ID],0))</f>
        <v>52</v>
      </c>
      <c r="N31" s="170">
        <f>ContainerCapitalCostPerPickup[[#This Row],[Container_Capital_Per_Lift]]*ContainerCapitalCostPerPickup[[#This Row],[Average_Lifts_Per_Week]]*ContainerCapitalCostPerPickup[[#This Row],[Weeks_Per_Year]]</f>
        <v>3.4059067465426125</v>
      </c>
      <c r="O31" s="207">
        <f>ContainerCapitalCostPerPickup[[#This Row],[Truck_Capital_Per_Lift]]*ContainerCapitalCostPerPickup[[#This Row],[Average_Lifts_Per_Week]]*ContainerCapitalCostPerPickup[[#This Row],[Weeks_Per_Year]]</f>
        <v>19.363844764332722</v>
      </c>
    </row>
    <row r="32" spans="2:15" ht="15" x14ac:dyDescent="0.25">
      <c r="B32" s="95" t="str">
        <f>ContainerCapitalCostPerPickup[[#This Row],[Grouping_ID]]&amp;"-"&amp;ContainerCapitalCostPerPickup[[#This Row],[Sector_ID]]&amp;"-"&amp;ContainerCapitalCostPerPickup[[#This Row],[Frequency_ID]]&amp;"-"&amp;ContainerCapitalCostPerPickup[[#This Row],[SS_or_DS]]</f>
        <v>1-2-V-DS</v>
      </c>
      <c r="C32" s="69">
        <v>1</v>
      </c>
      <c r="D32" s="4" t="str">
        <f>INDEX(Grouping[Grouping_Name],MATCH(ContainerCapitalCostPerPickup[[#This Row],[Grouping_ID]],Grouping[Grouping_ID],0))</f>
        <v>1 - Metro area</v>
      </c>
      <c r="E32" s="14">
        <v>2</v>
      </c>
      <c r="F32" s="4" t="str">
        <f>INDEX(Sector[Sector_Name],MATCH(ContainerCapitalCostPerPickup[[#This Row],[Sector_ID]],Sector[Sector_ID],0))</f>
        <v>MF Res. (on-route)</v>
      </c>
      <c r="G32" s="18" t="s">
        <v>808</v>
      </c>
      <c r="H32" s="14" t="s">
        <v>91</v>
      </c>
      <c r="I32" s="4" t="str">
        <f>INDEX(Frequency[Collection_Frequency],MATCH(ContainerCapitalCostPerPickup[[#This Row],[Frequency_ID]],Frequency[Orig_Frequency_ID],0)+(ContainerCapitalCostPerPickup[[#This Row],[SS_or_DS]]="DS")*COUNTA(Frequency[Orig_Frequency_ID])/2)</f>
        <v>Varies by customer need</v>
      </c>
      <c r="J32" s="77">
        <v>0.99</v>
      </c>
      <c r="K32" s="77">
        <v>1.1299999999999999</v>
      </c>
      <c r="L32" s="179">
        <f>INDEX(LaborCostPerLift[Average_Lifts_Per_Week],MATCH(ContainerCapitalCostPerPickup[[#This Row],[Collection_ID]],LaborCostPerLift[Collection_ID],0))</f>
        <v>1.39</v>
      </c>
      <c r="M32" s="86">
        <f>INDEX(LaborCostPerLift[Weeks_Per_Year],MATCH(ContainerCapitalCostPerPickup[[#This Row],[Collection_ID]],LaborCostPerLift[Collection_ID],0))</f>
        <v>52</v>
      </c>
      <c r="N32" s="87">
        <f>ContainerCapitalCostPerPickup[[#This Row],[Container_Capital_Per_Lift]]*ContainerCapitalCostPerPickup[[#This Row],[Average_Lifts_Per_Week]]*ContainerCapitalCostPerPickup[[#This Row],[Weeks_Per_Year]]</f>
        <v>71.557199999999995</v>
      </c>
      <c r="O32" s="207">
        <f>ContainerCapitalCostPerPickup[[#This Row],[Truck_Capital_Per_Lift]]*ContainerCapitalCostPerPickup[[#This Row],[Average_Lifts_Per_Week]]*ContainerCapitalCostPerPickup[[#This Row],[Weeks_Per_Year]]</f>
        <v>81.676399999999987</v>
      </c>
    </row>
    <row r="33" spans="2:15" ht="15" x14ac:dyDescent="0.25">
      <c r="B33" s="95" t="str">
        <f>ContainerCapitalCostPerPickup[[#This Row],[Grouping_ID]]&amp;"-"&amp;ContainerCapitalCostPerPickup[[#This Row],[Sector_ID]]&amp;"-"&amp;ContainerCapitalCostPerPickup[[#This Row],[Frequency_ID]]&amp;"-"&amp;ContainerCapitalCostPerPickup[[#This Row],[SS_or_DS]]</f>
        <v>1-3-V-DS</v>
      </c>
      <c r="C33" s="69">
        <v>1</v>
      </c>
      <c r="D33" s="4" t="str">
        <f>INDEX(Grouping[Grouping_Name],MATCH(ContainerCapitalCostPerPickup[[#This Row],[Grouping_ID]],Grouping[Grouping_ID],0))</f>
        <v>1 - Metro area</v>
      </c>
      <c r="E33" s="14">
        <v>3</v>
      </c>
      <c r="F33" s="4" t="str">
        <f>INDEX(Sector[Sector_Name],MATCH(ContainerCapitalCostPerPickup[[#This Row],[Sector_ID]],Sector[Sector_ID],0))</f>
        <v>Commercial (on-route)</v>
      </c>
      <c r="G33" s="18" t="s">
        <v>808</v>
      </c>
      <c r="H33" s="14" t="s">
        <v>91</v>
      </c>
      <c r="I33" s="4" t="str">
        <f>INDEX(Frequency[Collection_Frequency],MATCH(ContainerCapitalCostPerPickup[[#This Row],[Frequency_ID]],Frequency[Orig_Frequency_ID],0)+(ContainerCapitalCostPerPickup[[#This Row],[SS_or_DS]]="DS")*COUNTA(Frequency[Orig_Frequency_ID])/2)</f>
        <v>Varies by customer need</v>
      </c>
      <c r="J33" s="77">
        <v>0.99</v>
      </c>
      <c r="K33" s="77">
        <v>1.1299999999999999</v>
      </c>
      <c r="L33" s="179">
        <f>INDEX(LaborCostPerLift[Average_Lifts_Per_Week],MATCH(ContainerCapitalCostPerPickup[[#This Row],[Collection_ID]],LaborCostPerLift[Collection_ID],0))</f>
        <v>1.39</v>
      </c>
      <c r="M33" s="86">
        <f>INDEX(LaborCostPerLift[Weeks_Per_Year],MATCH(ContainerCapitalCostPerPickup[[#This Row],[Collection_ID]],LaborCostPerLift[Collection_ID],0))</f>
        <v>52</v>
      </c>
      <c r="N33" s="87">
        <f>ContainerCapitalCostPerPickup[[#This Row],[Container_Capital_Per_Lift]]*ContainerCapitalCostPerPickup[[#This Row],[Average_Lifts_Per_Week]]*ContainerCapitalCostPerPickup[[#This Row],[Weeks_Per_Year]]</f>
        <v>71.557199999999995</v>
      </c>
      <c r="O33" s="207">
        <f>ContainerCapitalCostPerPickup[[#This Row],[Truck_Capital_Per_Lift]]*ContainerCapitalCostPerPickup[[#This Row],[Average_Lifts_Per_Week]]*ContainerCapitalCostPerPickup[[#This Row],[Weeks_Per_Year]]</f>
        <v>81.676399999999987</v>
      </c>
    </row>
    <row r="34" spans="2:15" ht="15" x14ac:dyDescent="0.25">
      <c r="B34" s="95" t="str">
        <f>ContainerCapitalCostPerPickup[[#This Row],[Grouping_ID]]&amp;"-"&amp;ContainerCapitalCostPerPickup[[#This Row],[Sector_ID]]&amp;"-"&amp;ContainerCapitalCostPerPickup[[#This Row],[Frequency_ID]]&amp;"-"&amp;ContainerCapitalCostPerPickup[[#This Row],[SS_or_DS]]</f>
        <v>2-2-V-DS</v>
      </c>
      <c r="C34" s="69">
        <v>2</v>
      </c>
      <c r="D34" s="4" t="str">
        <f>INDEX(Grouping[Grouping_Name],MATCH(ContainerCapitalCostPerPickup[[#This Row],[Grouping_ID]],Grouping[Grouping_ID],0))</f>
        <v>2 - Willamette Valley, etc.</v>
      </c>
      <c r="E34" s="14">
        <v>2</v>
      </c>
      <c r="F34" s="4" t="str">
        <f>INDEX(Sector[Sector_Name],MATCH(ContainerCapitalCostPerPickup[[#This Row],[Sector_ID]],Sector[Sector_ID],0))</f>
        <v>MF Res. (on-route)</v>
      </c>
      <c r="G34" s="18" t="s">
        <v>808</v>
      </c>
      <c r="H34" s="14" t="s">
        <v>91</v>
      </c>
      <c r="I34" s="4" t="str">
        <f>INDEX(Frequency[Collection_Frequency],MATCH(ContainerCapitalCostPerPickup[[#This Row],[Frequency_ID]],Frequency[Orig_Frequency_ID],0)+(ContainerCapitalCostPerPickup[[#This Row],[SS_or_DS]]="DS")*COUNTA(Frequency[Orig_Frequency_ID])/2)</f>
        <v>Varies by customer need</v>
      </c>
      <c r="J34" s="77">
        <v>1.26</v>
      </c>
      <c r="K34" s="77">
        <v>0.48</v>
      </c>
      <c r="L34" s="179">
        <f>INDEX(LaborCostPerLift[Average_Lifts_Per_Week],MATCH(ContainerCapitalCostPerPickup[[#This Row],[Collection_ID]],LaborCostPerLift[Collection_ID],0))</f>
        <v>1.0900000000000001</v>
      </c>
      <c r="M34" s="86">
        <f>INDEX(LaborCostPerLift[Weeks_Per_Year],MATCH(ContainerCapitalCostPerPickup[[#This Row],[Collection_ID]],LaborCostPerLift[Collection_ID],0))</f>
        <v>52</v>
      </c>
      <c r="N34" s="87">
        <f>ContainerCapitalCostPerPickup[[#This Row],[Container_Capital_Per_Lift]]*ContainerCapitalCostPerPickup[[#This Row],[Average_Lifts_Per_Week]]*ContainerCapitalCostPerPickup[[#This Row],[Weeks_Per_Year]]</f>
        <v>71.416800000000009</v>
      </c>
      <c r="O34" s="207">
        <f>ContainerCapitalCostPerPickup[[#This Row],[Truck_Capital_Per_Lift]]*ContainerCapitalCostPerPickup[[#This Row],[Average_Lifts_Per_Week]]*ContainerCapitalCostPerPickup[[#This Row],[Weeks_Per_Year]]</f>
        <v>27.206399999999999</v>
      </c>
    </row>
    <row r="35" spans="2:15" ht="15" x14ac:dyDescent="0.25">
      <c r="B35" s="95" t="str">
        <f>ContainerCapitalCostPerPickup[[#This Row],[Grouping_ID]]&amp;"-"&amp;ContainerCapitalCostPerPickup[[#This Row],[Sector_ID]]&amp;"-"&amp;ContainerCapitalCostPerPickup[[#This Row],[Frequency_ID]]&amp;"-"&amp;ContainerCapitalCostPerPickup[[#This Row],[SS_or_DS]]</f>
        <v>2-3-V-DS</v>
      </c>
      <c r="C35" s="69">
        <v>2</v>
      </c>
      <c r="D35" s="4" t="str">
        <f>INDEX(Grouping[Grouping_Name],MATCH(ContainerCapitalCostPerPickup[[#This Row],[Grouping_ID]],Grouping[Grouping_ID],0))</f>
        <v>2 - Willamette Valley, etc.</v>
      </c>
      <c r="E35" s="14">
        <v>3</v>
      </c>
      <c r="F35" s="4" t="str">
        <f>INDEX(Sector[Sector_Name],MATCH(ContainerCapitalCostPerPickup[[#This Row],[Sector_ID]],Sector[Sector_ID],0))</f>
        <v>Commercial (on-route)</v>
      </c>
      <c r="G35" s="18" t="s">
        <v>808</v>
      </c>
      <c r="H35" s="14" t="s">
        <v>91</v>
      </c>
      <c r="I35" s="4" t="str">
        <f>INDEX(Frequency[Collection_Frequency],MATCH(ContainerCapitalCostPerPickup[[#This Row],[Frequency_ID]],Frequency[Orig_Frequency_ID],0)+(ContainerCapitalCostPerPickup[[#This Row],[SS_or_DS]]="DS")*COUNTA(Frequency[Orig_Frequency_ID])/2)</f>
        <v>Varies by customer need</v>
      </c>
      <c r="J35" s="77">
        <v>1.26</v>
      </c>
      <c r="K35" s="77">
        <v>0.48</v>
      </c>
      <c r="L35" s="179">
        <f>INDEX(LaborCostPerLift[Average_Lifts_Per_Week],MATCH(ContainerCapitalCostPerPickup[[#This Row],[Collection_ID]],LaborCostPerLift[Collection_ID],0))</f>
        <v>1.0900000000000001</v>
      </c>
      <c r="M35" s="86">
        <f>INDEX(LaborCostPerLift[Weeks_Per_Year],MATCH(ContainerCapitalCostPerPickup[[#This Row],[Collection_ID]],LaborCostPerLift[Collection_ID],0))</f>
        <v>52</v>
      </c>
      <c r="N35" s="87">
        <f>ContainerCapitalCostPerPickup[[#This Row],[Container_Capital_Per_Lift]]*ContainerCapitalCostPerPickup[[#This Row],[Average_Lifts_Per_Week]]*ContainerCapitalCostPerPickup[[#This Row],[Weeks_Per_Year]]</f>
        <v>71.416800000000009</v>
      </c>
      <c r="O35" s="207">
        <f>ContainerCapitalCostPerPickup[[#This Row],[Truck_Capital_Per_Lift]]*ContainerCapitalCostPerPickup[[#This Row],[Average_Lifts_Per_Week]]*ContainerCapitalCostPerPickup[[#This Row],[Weeks_Per_Year]]</f>
        <v>27.206399999999999</v>
      </c>
    </row>
    <row r="36" spans="2:15" ht="15" x14ac:dyDescent="0.25">
      <c r="B36" s="95" t="str">
        <f>ContainerCapitalCostPerPickup[[#This Row],[Grouping_ID]]&amp;"-"&amp;ContainerCapitalCostPerPickup[[#This Row],[Sector_ID]]&amp;"-"&amp;ContainerCapitalCostPerPickup[[#This Row],[Frequency_ID]]&amp;"-"&amp;ContainerCapitalCostPerPickup[[#This Row],[SS_or_DS]]</f>
        <v>3-2-V-DS</v>
      </c>
      <c r="C36" s="69">
        <v>3</v>
      </c>
      <c r="D36" s="4" t="str">
        <f>INDEX(Grouping[Grouping_Name],MATCH(ContainerCapitalCostPerPickup[[#This Row],[Grouping_ID]],Grouping[Grouping_ID],0))</f>
        <v>3 - Other areas with curbside</v>
      </c>
      <c r="E36" s="14">
        <v>2</v>
      </c>
      <c r="F36" s="4" t="str">
        <f>INDEX(Sector[Sector_Name],MATCH(ContainerCapitalCostPerPickup[[#This Row],[Sector_ID]],Sector[Sector_ID],0))</f>
        <v>MF Res. (on-route)</v>
      </c>
      <c r="G36" s="18" t="s">
        <v>808</v>
      </c>
      <c r="H36" s="14" t="s">
        <v>91</v>
      </c>
      <c r="I36" s="4" t="str">
        <f>INDEX(Frequency[Collection_Frequency],MATCH(ContainerCapitalCostPerPickup[[#This Row],[Frequency_ID]],Frequency[Orig_Frequency_ID],0)+(ContainerCapitalCostPerPickup[[#This Row],[SS_or_DS]]="DS")*COUNTA(Frequency[Orig_Frequency_ID])/2)</f>
        <v>Varies by customer need</v>
      </c>
      <c r="J36" s="77">
        <v>1.05</v>
      </c>
      <c r="K36" s="77">
        <v>0.65</v>
      </c>
      <c r="L36" s="179">
        <f>INDEX(LaborCostPerLift[Average_Lifts_Per_Week],MATCH(ContainerCapitalCostPerPickup[[#This Row],[Collection_ID]],LaborCostPerLift[Collection_ID],0))</f>
        <v>1.31</v>
      </c>
      <c r="M36" s="86">
        <f>INDEX(LaborCostPerLift[Weeks_Per_Year],MATCH(ContainerCapitalCostPerPickup[[#This Row],[Collection_ID]],LaborCostPerLift[Collection_ID],0))</f>
        <v>52</v>
      </c>
      <c r="N36" s="87">
        <f>ContainerCapitalCostPerPickup[[#This Row],[Container_Capital_Per_Lift]]*ContainerCapitalCostPerPickup[[#This Row],[Average_Lifts_Per_Week]]*ContainerCapitalCostPerPickup[[#This Row],[Weeks_Per_Year]]</f>
        <v>71.52600000000001</v>
      </c>
      <c r="O36" s="207">
        <f>ContainerCapitalCostPerPickup[[#This Row],[Truck_Capital_Per_Lift]]*ContainerCapitalCostPerPickup[[#This Row],[Average_Lifts_Per_Week]]*ContainerCapitalCostPerPickup[[#This Row],[Weeks_Per_Year]]</f>
        <v>44.277999999999999</v>
      </c>
    </row>
    <row r="37" spans="2:15" ht="15" x14ac:dyDescent="0.25">
      <c r="B37" s="95" t="str">
        <f>ContainerCapitalCostPerPickup[[#This Row],[Grouping_ID]]&amp;"-"&amp;ContainerCapitalCostPerPickup[[#This Row],[Sector_ID]]&amp;"-"&amp;ContainerCapitalCostPerPickup[[#This Row],[Frequency_ID]]&amp;"-"&amp;ContainerCapitalCostPerPickup[[#This Row],[SS_or_DS]]</f>
        <v>3-3-V-DS</v>
      </c>
      <c r="C37" s="69">
        <v>3</v>
      </c>
      <c r="D37" s="4" t="str">
        <f>INDEX(Grouping[Grouping_Name],MATCH(ContainerCapitalCostPerPickup[[#This Row],[Grouping_ID]],Grouping[Grouping_ID],0))</f>
        <v>3 - Other areas with curbside</v>
      </c>
      <c r="E37" s="14">
        <v>3</v>
      </c>
      <c r="F37" s="4" t="str">
        <f>INDEX(Sector[Sector_Name],MATCH(ContainerCapitalCostPerPickup[[#This Row],[Sector_ID]],Sector[Sector_ID],0))</f>
        <v>Commercial (on-route)</v>
      </c>
      <c r="G37" s="18" t="s">
        <v>808</v>
      </c>
      <c r="H37" s="14" t="s">
        <v>91</v>
      </c>
      <c r="I37" s="4" t="str">
        <f>INDEX(Frequency[Collection_Frequency],MATCH(ContainerCapitalCostPerPickup[[#This Row],[Frequency_ID]],Frequency[Orig_Frequency_ID],0)+(ContainerCapitalCostPerPickup[[#This Row],[SS_or_DS]]="DS")*COUNTA(Frequency[Orig_Frequency_ID])/2)</f>
        <v>Varies by customer need</v>
      </c>
      <c r="J37" s="77">
        <v>1.05</v>
      </c>
      <c r="K37" s="77">
        <v>0.65</v>
      </c>
      <c r="L37" s="179">
        <f>INDEX(LaborCostPerLift[Average_Lifts_Per_Week],MATCH(ContainerCapitalCostPerPickup[[#This Row],[Collection_ID]],LaborCostPerLift[Collection_ID],0))</f>
        <v>1.31</v>
      </c>
      <c r="M37" s="86">
        <f>INDEX(LaborCostPerLift[Weeks_Per_Year],MATCH(ContainerCapitalCostPerPickup[[#This Row],[Collection_ID]],LaborCostPerLift[Collection_ID],0))</f>
        <v>52</v>
      </c>
      <c r="N37" s="87">
        <f>ContainerCapitalCostPerPickup[[#This Row],[Container_Capital_Per_Lift]]*ContainerCapitalCostPerPickup[[#This Row],[Average_Lifts_Per_Week]]*ContainerCapitalCostPerPickup[[#This Row],[Weeks_Per_Year]]</f>
        <v>71.52600000000001</v>
      </c>
      <c r="O37" s="207">
        <f>ContainerCapitalCostPerPickup[[#This Row],[Truck_Capital_Per_Lift]]*ContainerCapitalCostPerPickup[[#This Row],[Average_Lifts_Per_Week]]*ContainerCapitalCostPerPickup[[#This Row],[Weeks_Per_Year]]</f>
        <v>44.277999999999999</v>
      </c>
    </row>
    <row r="38" spans="2:15" ht="15" x14ac:dyDescent="0.25">
      <c r="B38" s="95" t="str">
        <f>ContainerCapitalCostPerPickup[[#This Row],[Grouping_ID]]&amp;"-"&amp;ContainerCapitalCostPerPickup[[#This Row],[Sector_ID]]&amp;"-"&amp;ContainerCapitalCostPerPickup[[#This Row],[Frequency_ID]]&amp;"-"&amp;ContainerCapitalCostPerPickup[[#This Row],[SS_or_DS]]</f>
        <v>1-1-W-DS</v>
      </c>
      <c r="C38" s="14">
        <v>1</v>
      </c>
      <c r="D38" s="4" t="str">
        <f>INDEX(Grouping[Grouping_Name],MATCH(ContainerCapitalCostPerPickup[[#This Row],[Grouping_ID]],Grouping[Grouping_ID],0))</f>
        <v>1 - Metro area</v>
      </c>
      <c r="E38" s="14">
        <v>1</v>
      </c>
      <c r="F38" s="4" t="str">
        <f>INDEX(Sector[Sector_Name],MATCH(ContainerCapitalCostPerPickup[[#This Row],[Sector_ID]],Sector[Sector_ID],0))</f>
        <v>SF Res. (on-route)</v>
      </c>
      <c r="G38" s="18" t="s">
        <v>808</v>
      </c>
      <c r="H38" s="14" t="s">
        <v>64</v>
      </c>
      <c r="I38" s="4" t="str">
        <f>INDEX(Frequency[Collection_Frequency],MATCH(ContainerCapitalCostPerPickup[[#This Row],[Frequency_ID]],Frequency[Orig_Frequency_ID],0)+(ContainerCapitalCostPerPickup[[#This Row],[SS_or_DS]]="DS")*COUNTA(Frequency[Orig_Frequency_ID])/2)</f>
        <v>Weekly</v>
      </c>
      <c r="J38" s="77">
        <v>0.15</v>
      </c>
      <c r="K38" s="77">
        <v>0.3</v>
      </c>
      <c r="L38" s="179">
        <f>INDEX(LaborCostPerLift[Average_Lifts_Per_Week],MATCH(ContainerCapitalCostPerPickup[[#This Row],[Collection_ID]],LaborCostPerLift[Collection_ID],0))</f>
        <v>1</v>
      </c>
      <c r="M38" s="86">
        <f>INDEX(LaborCostPerLift[Weeks_Per_Year],MATCH(ContainerCapitalCostPerPickup[[#This Row],[Collection_ID]],LaborCostPerLift[Collection_ID],0))</f>
        <v>52</v>
      </c>
      <c r="N38" s="87">
        <f>ContainerCapitalCostPerPickup[[#This Row],[Container_Capital_Per_Lift]]*ContainerCapitalCostPerPickup[[#This Row],[Average_Lifts_Per_Week]]*ContainerCapitalCostPerPickup[[#This Row],[Weeks_Per_Year]]</f>
        <v>7.8</v>
      </c>
      <c r="O38" s="207">
        <f>ContainerCapitalCostPerPickup[[#This Row],[Truck_Capital_Per_Lift]]*ContainerCapitalCostPerPickup[[#This Row],[Average_Lifts_Per_Week]]*ContainerCapitalCostPerPickup[[#This Row],[Weeks_Per_Year]]</f>
        <v>15.6</v>
      </c>
    </row>
    <row r="39" spans="2:15" ht="15" x14ac:dyDescent="0.25">
      <c r="B39" s="95" t="str">
        <f>ContainerCapitalCostPerPickup[[#This Row],[Grouping_ID]]&amp;"-"&amp;ContainerCapitalCostPerPickup[[#This Row],[Sector_ID]]&amp;"-"&amp;ContainerCapitalCostPerPickup[[#This Row],[Frequency_ID]]&amp;"-"&amp;ContainerCapitalCostPerPickup[[#This Row],[SS_or_DS]]</f>
        <v>1-1-E-DS</v>
      </c>
      <c r="C39" s="14">
        <v>1</v>
      </c>
      <c r="D39" s="4" t="str">
        <f>INDEX(Grouping[Grouping_Name],MATCH(ContainerCapitalCostPerPickup[[#This Row],[Grouping_ID]],Grouping[Grouping_ID],0))</f>
        <v>1 - Metro area</v>
      </c>
      <c r="E39" s="14">
        <v>1</v>
      </c>
      <c r="F39" s="4" t="str">
        <f>INDEX(Sector[Sector_Name],MATCH(ContainerCapitalCostPerPickup[[#This Row],[Sector_ID]],Sector[Sector_ID],0))</f>
        <v>SF Res. (on-route)</v>
      </c>
      <c r="G39" s="18" t="s">
        <v>808</v>
      </c>
      <c r="H39" s="14" t="s">
        <v>53</v>
      </c>
      <c r="I39" s="4" t="str">
        <f>INDEX(Frequency[Collection_Frequency],MATCH(ContainerCapitalCostPerPickup[[#This Row],[Frequency_ID]],Frequency[Orig_Frequency_ID],0)+(ContainerCapitalCostPerPickup[[#This Row],[SS_or_DS]]="DS")*COUNTA(Frequency[Orig_Frequency_ID])/2)</f>
        <v>Weekly (formerly every other week)</v>
      </c>
      <c r="J39" s="77">
        <v>0.15</v>
      </c>
      <c r="K39" s="77">
        <v>0.3</v>
      </c>
      <c r="L39" s="179">
        <f>INDEX(LaborCostPerLift[Average_Lifts_Per_Week],MATCH(ContainerCapitalCostPerPickup[[#This Row],[Collection_ID]],LaborCostPerLift[Collection_ID],0))</f>
        <v>1</v>
      </c>
      <c r="M39" s="86">
        <f>INDEX(LaborCostPerLift[Weeks_Per_Year],MATCH(ContainerCapitalCostPerPickup[[#This Row],[Collection_ID]],LaborCostPerLift[Collection_ID],0))</f>
        <v>52</v>
      </c>
      <c r="N39" s="87">
        <f>ContainerCapitalCostPerPickup[[#This Row],[Container_Capital_Per_Lift]]*ContainerCapitalCostPerPickup[[#This Row],[Average_Lifts_Per_Week]]*ContainerCapitalCostPerPickup[[#This Row],[Weeks_Per_Year]]</f>
        <v>7.8</v>
      </c>
      <c r="O39" s="207">
        <f>ContainerCapitalCostPerPickup[[#This Row],[Truck_Capital_Per_Lift]]*ContainerCapitalCostPerPickup[[#This Row],[Average_Lifts_Per_Week]]*ContainerCapitalCostPerPickup[[#This Row],[Weeks_Per_Year]]</f>
        <v>15.6</v>
      </c>
    </row>
    <row r="40" spans="2:15" ht="15" x14ac:dyDescent="0.25">
      <c r="B40" s="95" t="str">
        <f>ContainerCapitalCostPerPickup[[#This Row],[Grouping_ID]]&amp;"-"&amp;ContainerCapitalCostPerPickup[[#This Row],[Sector_ID]]&amp;"-"&amp;ContainerCapitalCostPerPickup[[#This Row],[Frequency_ID]]&amp;"-"&amp;ContainerCapitalCostPerPickup[[#This Row],[SS_or_DS]]</f>
        <v>2-1-W-DS</v>
      </c>
      <c r="C40" s="14">
        <v>2</v>
      </c>
      <c r="D40" s="4" t="str">
        <f>INDEX(Grouping[Grouping_Name],MATCH(ContainerCapitalCostPerPickup[[#This Row],[Grouping_ID]],Grouping[Grouping_ID],0))</f>
        <v>2 - Willamette Valley, etc.</v>
      </c>
      <c r="E40" s="14">
        <v>1</v>
      </c>
      <c r="F40" s="4" t="str">
        <f>INDEX(Sector[Sector_Name],MATCH(ContainerCapitalCostPerPickup[[#This Row],[Sector_ID]],Sector[Sector_ID],0))</f>
        <v>SF Res. (on-route)</v>
      </c>
      <c r="G40" s="18" t="s">
        <v>808</v>
      </c>
      <c r="H40" s="14" t="s">
        <v>64</v>
      </c>
      <c r="I40" s="4" t="str">
        <f>INDEX(Frequency[Collection_Frequency],MATCH(ContainerCapitalCostPerPickup[[#This Row],[Frequency_ID]],Frequency[Orig_Frequency_ID],0)+(ContainerCapitalCostPerPickup[[#This Row],[SS_or_DS]]="DS")*COUNTA(Frequency[Orig_Frequency_ID])/2)</f>
        <v>Weekly</v>
      </c>
      <c r="J40" s="77">
        <v>0.15</v>
      </c>
      <c r="K40" s="77">
        <v>0.31</v>
      </c>
      <c r="L40" s="179">
        <f>INDEX(LaborCostPerLift[Average_Lifts_Per_Week],MATCH(ContainerCapitalCostPerPickup[[#This Row],[Collection_ID]],LaborCostPerLift[Collection_ID],0))</f>
        <v>1</v>
      </c>
      <c r="M40" s="86">
        <f>INDEX(LaborCostPerLift[Weeks_Per_Year],MATCH(ContainerCapitalCostPerPickup[[#This Row],[Collection_ID]],LaborCostPerLift[Collection_ID],0))</f>
        <v>52</v>
      </c>
      <c r="N40" s="87">
        <f>ContainerCapitalCostPerPickup[[#This Row],[Container_Capital_Per_Lift]]*ContainerCapitalCostPerPickup[[#This Row],[Average_Lifts_Per_Week]]*ContainerCapitalCostPerPickup[[#This Row],[Weeks_Per_Year]]</f>
        <v>7.8</v>
      </c>
      <c r="O40" s="207">
        <f>ContainerCapitalCostPerPickup[[#This Row],[Truck_Capital_Per_Lift]]*ContainerCapitalCostPerPickup[[#This Row],[Average_Lifts_Per_Week]]*ContainerCapitalCostPerPickup[[#This Row],[Weeks_Per_Year]]</f>
        <v>16.12</v>
      </c>
    </row>
    <row r="41" spans="2:15" ht="15" x14ac:dyDescent="0.25">
      <c r="B41" s="95" t="str">
        <f>ContainerCapitalCostPerPickup[[#This Row],[Grouping_ID]]&amp;"-"&amp;ContainerCapitalCostPerPickup[[#This Row],[Sector_ID]]&amp;"-"&amp;ContainerCapitalCostPerPickup[[#This Row],[Frequency_ID]]&amp;"-"&amp;ContainerCapitalCostPerPickup[[#This Row],[SS_or_DS]]</f>
        <v>2-1-E-DS</v>
      </c>
      <c r="C41" s="14">
        <v>2</v>
      </c>
      <c r="D41" s="4" t="str">
        <f>INDEX(Grouping[Grouping_Name],MATCH(ContainerCapitalCostPerPickup[[#This Row],[Grouping_ID]],Grouping[Grouping_ID],0))</f>
        <v>2 - Willamette Valley, etc.</v>
      </c>
      <c r="E41" s="14">
        <v>1</v>
      </c>
      <c r="F41" s="4" t="str">
        <f>INDEX(Sector[Sector_Name],MATCH(ContainerCapitalCostPerPickup[[#This Row],[Sector_ID]],Sector[Sector_ID],0))</f>
        <v>SF Res. (on-route)</v>
      </c>
      <c r="G41" s="18" t="s">
        <v>808</v>
      </c>
      <c r="H41" s="14" t="s">
        <v>53</v>
      </c>
      <c r="I41" s="4" t="str">
        <f>INDEX(Frequency[Collection_Frequency],MATCH(ContainerCapitalCostPerPickup[[#This Row],[Frequency_ID]],Frequency[Orig_Frequency_ID],0)+(ContainerCapitalCostPerPickup[[#This Row],[SS_or_DS]]="DS")*COUNTA(Frequency[Orig_Frequency_ID])/2)</f>
        <v>Weekly (formerly every other week)</v>
      </c>
      <c r="J41" s="77">
        <v>0.15</v>
      </c>
      <c r="K41" s="77">
        <v>0.31</v>
      </c>
      <c r="L41" s="179">
        <f>INDEX(LaborCostPerLift[Average_Lifts_Per_Week],MATCH(ContainerCapitalCostPerPickup[[#This Row],[Collection_ID]],LaborCostPerLift[Collection_ID],0))</f>
        <v>1</v>
      </c>
      <c r="M41" s="86">
        <f>INDEX(LaborCostPerLift[Weeks_Per_Year],MATCH(ContainerCapitalCostPerPickup[[#This Row],[Collection_ID]],LaborCostPerLift[Collection_ID],0))</f>
        <v>52</v>
      </c>
      <c r="N41" s="87">
        <f>ContainerCapitalCostPerPickup[[#This Row],[Container_Capital_Per_Lift]]*ContainerCapitalCostPerPickup[[#This Row],[Average_Lifts_Per_Week]]*ContainerCapitalCostPerPickup[[#This Row],[Weeks_Per_Year]]</f>
        <v>7.8</v>
      </c>
      <c r="O41" s="207">
        <f>ContainerCapitalCostPerPickup[[#This Row],[Truck_Capital_Per_Lift]]*ContainerCapitalCostPerPickup[[#This Row],[Average_Lifts_Per_Week]]*ContainerCapitalCostPerPickup[[#This Row],[Weeks_Per_Year]]</f>
        <v>16.12</v>
      </c>
    </row>
    <row r="42" spans="2:15" ht="15" x14ac:dyDescent="0.25">
      <c r="B42" s="95" t="str">
        <f>ContainerCapitalCostPerPickup[[#This Row],[Grouping_ID]]&amp;"-"&amp;ContainerCapitalCostPerPickup[[#This Row],[Sector_ID]]&amp;"-"&amp;ContainerCapitalCostPerPickup[[#This Row],[Frequency_ID]]&amp;"-"&amp;ContainerCapitalCostPerPickup[[#This Row],[SS_or_DS]]</f>
        <v>2-1-U-DS</v>
      </c>
      <c r="C42" s="14">
        <v>2</v>
      </c>
      <c r="D42" s="4" t="str">
        <f>INDEX(Grouping[Grouping_Name],MATCH(ContainerCapitalCostPerPickup[[#This Row],[Grouping_ID]],Grouping[Grouping_ID],0))</f>
        <v>2 - Willamette Valley, etc.</v>
      </c>
      <c r="E42" s="14">
        <v>1</v>
      </c>
      <c r="F42" s="4" t="str">
        <f>INDEX(Sector[Sector_Name],MATCH(ContainerCapitalCostPerPickup[[#This Row],[Sector_ID]],Sector[Sector_ID],0))</f>
        <v>SF Res. (on-route)</v>
      </c>
      <c r="G42" s="18" t="s">
        <v>808</v>
      </c>
      <c r="H42" s="14" t="s">
        <v>65</v>
      </c>
      <c r="I42" s="4" t="str">
        <f>INDEX(Frequency[Collection_Frequency],MATCH(ContainerCapitalCostPerPickup[[#This Row],[Frequency_ID]],Frequency[Orig_Frequency_ID],0)+(ContainerCapitalCostPerPickup[[#This Row],[SS_or_DS]]="DS")*COUNTA(Frequency[Orig_Frequency_ID])/2)</f>
        <v>Uncertain</v>
      </c>
      <c r="J42" s="77">
        <v>0.15</v>
      </c>
      <c r="K42" s="77">
        <v>0.31</v>
      </c>
      <c r="L42" s="179">
        <f>INDEX(LaborCostPerLift[Average_Lifts_Per_Week],MATCH(ContainerCapitalCostPerPickup[[#This Row],[Collection_ID]],LaborCostPerLift[Collection_ID],0))</f>
        <v>1</v>
      </c>
      <c r="M42" s="86">
        <f>INDEX(LaborCostPerLift[Weeks_Per_Year],MATCH(ContainerCapitalCostPerPickup[[#This Row],[Collection_ID]],LaborCostPerLift[Collection_ID],0))</f>
        <v>52</v>
      </c>
      <c r="N42" s="87">
        <f>ContainerCapitalCostPerPickup[[#This Row],[Container_Capital_Per_Lift]]*ContainerCapitalCostPerPickup[[#This Row],[Average_Lifts_Per_Week]]*ContainerCapitalCostPerPickup[[#This Row],[Weeks_Per_Year]]</f>
        <v>7.8</v>
      </c>
      <c r="O42" s="207">
        <f>ContainerCapitalCostPerPickup[[#This Row],[Truck_Capital_Per_Lift]]*ContainerCapitalCostPerPickup[[#This Row],[Average_Lifts_Per_Week]]*ContainerCapitalCostPerPickup[[#This Row],[Weeks_Per_Year]]</f>
        <v>16.12</v>
      </c>
    </row>
    <row r="43" spans="2:15" ht="15" x14ac:dyDescent="0.25">
      <c r="B43" s="95" t="str">
        <f>ContainerCapitalCostPerPickup[[#This Row],[Grouping_ID]]&amp;"-"&amp;ContainerCapitalCostPerPickup[[#This Row],[Sector_ID]]&amp;"-"&amp;ContainerCapitalCostPerPickup[[#This Row],[Frequency_ID]]&amp;"-"&amp;ContainerCapitalCostPerPickup[[#This Row],[SS_or_DS]]</f>
        <v>3-1-W-DS</v>
      </c>
      <c r="C43" s="14">
        <v>3</v>
      </c>
      <c r="D43" s="4" t="str">
        <f>INDEX(Grouping[Grouping_Name],MATCH(ContainerCapitalCostPerPickup[[#This Row],[Grouping_ID]],Grouping[Grouping_ID],0))</f>
        <v>3 - Other areas with curbside</v>
      </c>
      <c r="E43" s="14">
        <v>1</v>
      </c>
      <c r="F43" s="4" t="str">
        <f>INDEX(Sector[Sector_Name],MATCH(ContainerCapitalCostPerPickup[[#This Row],[Sector_ID]],Sector[Sector_ID],0))</f>
        <v>SF Res. (on-route)</v>
      </c>
      <c r="G43" s="18" t="s">
        <v>808</v>
      </c>
      <c r="H43" s="14" t="s">
        <v>64</v>
      </c>
      <c r="I43" s="4" t="str">
        <f>INDEX(Frequency[Collection_Frequency],MATCH(ContainerCapitalCostPerPickup[[#This Row],[Frequency_ID]],Frequency[Orig_Frequency_ID],0)+(ContainerCapitalCostPerPickup[[#This Row],[SS_or_DS]]="DS")*COUNTA(Frequency[Orig_Frequency_ID])/2)</f>
        <v>Weekly</v>
      </c>
      <c r="J43" s="77">
        <v>0.16</v>
      </c>
      <c r="K43" s="77">
        <v>0.35</v>
      </c>
      <c r="L43" s="179">
        <f>INDEX(LaborCostPerLift[Average_Lifts_Per_Week],MATCH(ContainerCapitalCostPerPickup[[#This Row],[Collection_ID]],LaborCostPerLift[Collection_ID],0))</f>
        <v>1</v>
      </c>
      <c r="M43" s="86">
        <f>INDEX(LaborCostPerLift[Weeks_Per_Year],MATCH(ContainerCapitalCostPerPickup[[#This Row],[Collection_ID]],LaborCostPerLift[Collection_ID],0))</f>
        <v>52</v>
      </c>
      <c r="N43" s="87">
        <f>ContainerCapitalCostPerPickup[[#This Row],[Container_Capital_Per_Lift]]*ContainerCapitalCostPerPickup[[#This Row],[Average_Lifts_Per_Week]]*ContainerCapitalCostPerPickup[[#This Row],[Weeks_Per_Year]]</f>
        <v>8.32</v>
      </c>
      <c r="O43" s="207">
        <f>ContainerCapitalCostPerPickup[[#This Row],[Truck_Capital_Per_Lift]]*ContainerCapitalCostPerPickup[[#This Row],[Average_Lifts_Per_Week]]*ContainerCapitalCostPerPickup[[#This Row],[Weeks_Per_Year]]</f>
        <v>18.2</v>
      </c>
    </row>
    <row r="44" spans="2:15" ht="15" x14ac:dyDescent="0.25">
      <c r="B44" s="95" t="str">
        <f>ContainerCapitalCostPerPickup[[#This Row],[Grouping_ID]]&amp;"-"&amp;ContainerCapitalCostPerPickup[[#This Row],[Sector_ID]]&amp;"-"&amp;ContainerCapitalCostPerPickup[[#This Row],[Frequency_ID]]&amp;"-"&amp;ContainerCapitalCostPerPickup[[#This Row],[SS_or_DS]]</f>
        <v>3-1-E-DS</v>
      </c>
      <c r="C44" s="14">
        <v>3</v>
      </c>
      <c r="D44" s="4" t="str">
        <f>INDEX(Grouping[Grouping_Name],MATCH(ContainerCapitalCostPerPickup[[#This Row],[Grouping_ID]],Grouping[Grouping_ID],0))</f>
        <v>3 - Other areas with curbside</v>
      </c>
      <c r="E44" s="14">
        <v>1</v>
      </c>
      <c r="F44" s="4" t="str">
        <f>INDEX(Sector[Sector_Name],MATCH(ContainerCapitalCostPerPickup[[#This Row],[Sector_ID]],Sector[Sector_ID],0))</f>
        <v>SF Res. (on-route)</v>
      </c>
      <c r="G44" s="18" t="s">
        <v>808</v>
      </c>
      <c r="H44" s="14" t="s">
        <v>53</v>
      </c>
      <c r="I44" s="4" t="str">
        <f>INDEX(Frequency[Collection_Frequency],MATCH(ContainerCapitalCostPerPickup[[#This Row],[Frequency_ID]],Frequency[Orig_Frequency_ID],0)+(ContainerCapitalCostPerPickup[[#This Row],[SS_or_DS]]="DS")*COUNTA(Frequency[Orig_Frequency_ID])/2)</f>
        <v>Weekly (formerly every other week)</v>
      </c>
      <c r="J44" s="77">
        <v>0.16</v>
      </c>
      <c r="K44" s="77">
        <v>0.35</v>
      </c>
      <c r="L44" s="179">
        <f>INDEX(LaborCostPerLift[Average_Lifts_Per_Week],MATCH(ContainerCapitalCostPerPickup[[#This Row],[Collection_ID]],LaborCostPerLift[Collection_ID],0))</f>
        <v>1</v>
      </c>
      <c r="M44" s="86">
        <f>INDEX(LaborCostPerLift[Weeks_Per_Year],MATCH(ContainerCapitalCostPerPickup[[#This Row],[Collection_ID]],LaborCostPerLift[Collection_ID],0))</f>
        <v>52</v>
      </c>
      <c r="N44" s="87">
        <f>ContainerCapitalCostPerPickup[[#This Row],[Container_Capital_Per_Lift]]*ContainerCapitalCostPerPickup[[#This Row],[Average_Lifts_Per_Week]]*ContainerCapitalCostPerPickup[[#This Row],[Weeks_Per_Year]]</f>
        <v>8.32</v>
      </c>
      <c r="O44" s="207">
        <f>ContainerCapitalCostPerPickup[[#This Row],[Truck_Capital_Per_Lift]]*ContainerCapitalCostPerPickup[[#This Row],[Average_Lifts_Per_Week]]*ContainerCapitalCostPerPickup[[#This Row],[Weeks_Per_Year]]</f>
        <v>18.2</v>
      </c>
    </row>
    <row r="45" spans="2:15" ht="15" x14ac:dyDescent="0.25">
      <c r="B45" s="95" t="str">
        <f>ContainerCapitalCostPerPickup[[#This Row],[Grouping_ID]]&amp;"-"&amp;ContainerCapitalCostPerPickup[[#This Row],[Sector_ID]]&amp;"-"&amp;ContainerCapitalCostPerPickup[[#This Row],[Frequency_ID]]&amp;"-"&amp;ContainerCapitalCostPerPickup[[#This Row],[SS_or_DS]]</f>
        <v>3-1-BM-DS</v>
      </c>
      <c r="C45" s="14">
        <v>3</v>
      </c>
      <c r="D45" s="4" t="str">
        <f>INDEX(Grouping[Grouping_Name],MATCH(ContainerCapitalCostPerPickup[[#This Row],[Grouping_ID]],Grouping[Grouping_ID],0))</f>
        <v>3 - Other areas with curbside</v>
      </c>
      <c r="E45" s="14">
        <v>1</v>
      </c>
      <c r="F45" s="4" t="str">
        <f>INDEX(Sector[Sector_Name],MATCH(ContainerCapitalCostPerPickup[[#This Row],[Sector_ID]],Sector[Sector_ID],0))</f>
        <v>SF Res. (on-route)</v>
      </c>
      <c r="G45" s="18" t="s">
        <v>808</v>
      </c>
      <c r="H45" s="14" t="s">
        <v>66</v>
      </c>
      <c r="I45" s="4" t="str">
        <f>INDEX(Frequency[Collection_Frequency],MATCH(ContainerCapitalCostPerPickup[[#This Row],[Frequency_ID]],Frequency[Orig_Frequency_ID],0)+(ContainerCapitalCostPerPickup[[#This Row],[SS_or_DS]]="DS")*COUNTA(Frequency[Orig_Frequency_ID])/2)</f>
        <v>Weekly (formerly bimonthly)</v>
      </c>
      <c r="J45" s="77">
        <v>0.16</v>
      </c>
      <c r="K45" s="77">
        <v>0.35</v>
      </c>
      <c r="L45" s="179">
        <f>INDEX(LaborCostPerLift[Average_Lifts_Per_Week],MATCH(ContainerCapitalCostPerPickup[[#This Row],[Collection_ID]],LaborCostPerLift[Collection_ID],0))</f>
        <v>1</v>
      </c>
      <c r="M45" s="86">
        <f>INDEX(LaborCostPerLift[Weeks_Per_Year],MATCH(ContainerCapitalCostPerPickup[[#This Row],[Collection_ID]],LaborCostPerLift[Collection_ID],0))</f>
        <v>52</v>
      </c>
      <c r="N45" s="87">
        <f>ContainerCapitalCostPerPickup[[#This Row],[Container_Capital_Per_Lift]]*ContainerCapitalCostPerPickup[[#This Row],[Average_Lifts_Per_Week]]*ContainerCapitalCostPerPickup[[#This Row],[Weeks_Per_Year]]</f>
        <v>8.32</v>
      </c>
      <c r="O45" s="207">
        <f>ContainerCapitalCostPerPickup[[#This Row],[Truck_Capital_Per_Lift]]*ContainerCapitalCostPerPickup[[#This Row],[Average_Lifts_Per_Week]]*ContainerCapitalCostPerPickup[[#This Row],[Weeks_Per_Year]]</f>
        <v>18.2</v>
      </c>
    </row>
    <row r="46" spans="2:15" ht="15" x14ac:dyDescent="0.25">
      <c r="B46" s="95" t="str">
        <f>ContainerCapitalCostPerPickup[[#This Row],[Grouping_ID]]&amp;"-"&amp;ContainerCapitalCostPerPickup[[#This Row],[Sector_ID]]&amp;"-"&amp;ContainerCapitalCostPerPickup[[#This Row],[Frequency_ID]]&amp;"-"&amp;ContainerCapitalCostPerPickup[[#This Row],[SS_or_DS]]</f>
        <v>3-1-M-DS</v>
      </c>
      <c r="C46" s="14">
        <v>3</v>
      </c>
      <c r="D46" s="4" t="str">
        <f>INDEX(Grouping[Grouping_Name],MATCH(ContainerCapitalCostPerPickup[[#This Row],[Grouping_ID]],Grouping[Grouping_ID],0))</f>
        <v>3 - Other areas with curbside</v>
      </c>
      <c r="E46" s="14">
        <v>1</v>
      </c>
      <c r="F46" s="4" t="str">
        <f>INDEX(Sector[Sector_Name],MATCH(ContainerCapitalCostPerPickup[[#This Row],[Sector_ID]],Sector[Sector_ID],0))</f>
        <v>SF Res. (on-route)</v>
      </c>
      <c r="G46" s="18" t="s">
        <v>808</v>
      </c>
      <c r="H46" s="14" t="s">
        <v>67</v>
      </c>
      <c r="I46" s="4" t="str">
        <f>INDEX(Frequency[Collection_Frequency],MATCH(ContainerCapitalCostPerPickup[[#This Row],[Frequency_ID]],Frequency[Orig_Frequency_ID],0)+(ContainerCapitalCostPerPickup[[#This Row],[SS_or_DS]]="DS")*COUNTA(Frequency[Orig_Frequency_ID])/2)</f>
        <v>Weekly (formerly monthly)</v>
      </c>
      <c r="J46" s="77">
        <v>0.16</v>
      </c>
      <c r="K46" s="77">
        <v>0.35</v>
      </c>
      <c r="L46" s="179">
        <f>INDEX(LaborCostPerLift[Average_Lifts_Per_Week],MATCH(ContainerCapitalCostPerPickup[[#This Row],[Collection_ID]],LaborCostPerLift[Collection_ID],0))</f>
        <v>1</v>
      </c>
      <c r="M46" s="86">
        <f>INDEX(LaborCostPerLift[Weeks_Per_Year],MATCH(ContainerCapitalCostPerPickup[[#This Row],[Collection_ID]],LaborCostPerLift[Collection_ID],0))</f>
        <v>52</v>
      </c>
      <c r="N46" s="87">
        <f>ContainerCapitalCostPerPickup[[#This Row],[Container_Capital_Per_Lift]]*ContainerCapitalCostPerPickup[[#This Row],[Average_Lifts_Per_Week]]*ContainerCapitalCostPerPickup[[#This Row],[Weeks_Per_Year]]</f>
        <v>8.32</v>
      </c>
      <c r="O46" s="207">
        <f>ContainerCapitalCostPerPickup[[#This Row],[Truck_Capital_Per_Lift]]*ContainerCapitalCostPerPickup[[#This Row],[Average_Lifts_Per_Week]]*ContainerCapitalCostPerPickup[[#This Row],[Weeks_Per_Year]]</f>
        <v>18.2</v>
      </c>
    </row>
    <row r="47" spans="2:15" ht="15" x14ac:dyDescent="0.25">
      <c r="B47" s="95" t="str">
        <f>ContainerCapitalCostPerPickup[[#This Row],[Grouping_ID]]&amp;"-"&amp;ContainerCapitalCostPerPickup[[#This Row],[Sector_ID]]&amp;"-"&amp;ContainerCapitalCostPerPickup[[#This Row],[Frequency_ID]]&amp;"-"&amp;ContainerCapitalCostPerPickup[[#This Row],[SS_or_DS]]</f>
        <v>3-1-U-DS</v>
      </c>
      <c r="C47" s="178">
        <v>3</v>
      </c>
      <c r="D47" s="4" t="str">
        <f>INDEX(Grouping[Grouping_Name],MATCH(ContainerCapitalCostPerPickup[[#This Row],[Grouping_ID]],Grouping[Grouping_ID],0))</f>
        <v>3 - Other areas with curbside</v>
      </c>
      <c r="E47" s="14">
        <v>1</v>
      </c>
      <c r="F47" s="4" t="str">
        <f>INDEX(Sector[Sector_Name],MATCH(ContainerCapitalCostPerPickup[[#This Row],[Sector_ID]],Sector[Sector_ID],0))</f>
        <v>SF Res. (on-route)</v>
      </c>
      <c r="G47" s="18" t="s">
        <v>808</v>
      </c>
      <c r="H47" s="14" t="s">
        <v>65</v>
      </c>
      <c r="I47" s="4" t="str">
        <f>INDEX(Frequency[Collection_Frequency],MATCH(ContainerCapitalCostPerPickup[[#This Row],[Frequency_ID]],Frequency[Orig_Frequency_ID],0)+(ContainerCapitalCostPerPickup[[#This Row],[SS_or_DS]]="DS")*COUNTA(Frequency[Orig_Frequency_ID])/2)</f>
        <v>Uncertain</v>
      </c>
      <c r="J47" s="77">
        <v>0.16</v>
      </c>
      <c r="K47" s="77">
        <v>0.35</v>
      </c>
      <c r="L47" s="179">
        <f>INDEX(LaborCostPerLift[Average_Lifts_Per_Week],MATCH(ContainerCapitalCostPerPickup[[#This Row],[Collection_ID]],LaborCostPerLift[Collection_ID],0))</f>
        <v>1</v>
      </c>
      <c r="M47" s="86">
        <f>INDEX(LaborCostPerLift[Weeks_Per_Year],MATCH(ContainerCapitalCostPerPickup[[#This Row],[Collection_ID]],LaborCostPerLift[Collection_ID],0))</f>
        <v>52</v>
      </c>
      <c r="N47" s="87">
        <f>ContainerCapitalCostPerPickup[[#This Row],[Container_Capital_Per_Lift]]*ContainerCapitalCostPerPickup[[#This Row],[Average_Lifts_Per_Week]]*ContainerCapitalCostPerPickup[[#This Row],[Weeks_Per_Year]]</f>
        <v>8.32</v>
      </c>
      <c r="O47" s="207">
        <f>ContainerCapitalCostPerPickup[[#This Row],[Truck_Capital_Per_Lift]]*ContainerCapitalCostPerPickup[[#This Row],[Average_Lifts_Per_Week]]*ContainerCapitalCostPerPickup[[#This Row],[Weeks_Per_Year]]</f>
        <v>18.2</v>
      </c>
    </row>
  </sheetData>
  <sheetProtection algorithmName="SHA-512" hashValue="4l7NWCUJkzojw4UPYetCo+K6OQcBtzo0RAz8yCmYy9efNp6BfNV0Kpv8cBpQqN8xVWzbEvAnKtWwU6BAN2tpWA==" saltValue="qypXlDhHS7gjgmcX5BSu3g==" spinCount="100000" sheet="1" objects="1" scenarios="1" autoFilter="0"/>
  <mergeCells count="2">
    <mergeCell ref="C9:O9"/>
    <mergeCell ref="C10:O10"/>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43C5-324C-4ABC-8363-A278F4152B9B}">
  <sheetPr>
    <tabColor theme="8"/>
  </sheetPr>
  <dimension ref="A1:R47"/>
  <sheetViews>
    <sheetView workbookViewId="0">
      <selection activeCell="N16" sqref="N16"/>
    </sheetView>
  </sheetViews>
  <sheetFormatPr defaultColWidth="9" defaultRowHeight="14.25" x14ac:dyDescent="0.2"/>
  <cols>
    <col min="1" max="1" width="2" style="34" bestFit="1" customWidth="1"/>
    <col min="2" max="2" width="14" style="34" customWidth="1"/>
    <col min="3" max="3" width="10.25" style="34" customWidth="1"/>
    <col min="4" max="4" width="22.75" style="34" customWidth="1"/>
    <col min="5" max="5" width="8" style="34" customWidth="1"/>
    <col min="6" max="6" width="20" style="34" customWidth="1"/>
    <col min="7" max="7" width="6.875" style="34" customWidth="1"/>
    <col min="8" max="8" width="19.5" style="34" customWidth="1"/>
    <col min="9" max="9" width="26.75" style="34" bestFit="1" customWidth="1"/>
    <col min="10" max="13" width="16.875" style="34" customWidth="1"/>
    <col min="14" max="14" width="18.5" style="34" customWidth="1"/>
    <col min="15" max="18" width="16.875" style="34" customWidth="1"/>
    <col min="19" max="16384" width="9" style="34"/>
  </cols>
  <sheetData>
    <row r="1" spans="1:18" ht="20.25" thickBot="1" x14ac:dyDescent="0.25">
      <c r="A1" s="4"/>
      <c r="B1" s="65" t="s">
        <v>810</v>
      </c>
      <c r="C1" s="66"/>
      <c r="D1" s="66"/>
      <c r="E1" s="66"/>
      <c r="F1" s="66"/>
      <c r="G1" s="66"/>
      <c r="H1" s="79"/>
      <c r="I1" s="79"/>
      <c r="J1" s="79"/>
      <c r="K1" s="79"/>
      <c r="L1" s="79"/>
      <c r="M1" s="79"/>
      <c r="N1" s="79"/>
      <c r="O1" s="79"/>
      <c r="P1" s="79"/>
      <c r="Q1" s="79"/>
      <c r="R1" s="79"/>
    </row>
    <row r="2" spans="1:18" ht="15" thickTop="1" x14ac:dyDescent="0.2">
      <c r="A2" s="4"/>
      <c r="B2" s="4"/>
      <c r="C2" s="4"/>
      <c r="D2" s="4"/>
      <c r="E2" s="4"/>
      <c r="F2" s="4"/>
      <c r="G2" s="4"/>
      <c r="H2" s="10"/>
      <c r="I2" s="10"/>
      <c r="J2" s="10"/>
      <c r="K2" s="10"/>
      <c r="L2" s="10"/>
      <c r="M2" s="10"/>
      <c r="N2" s="10"/>
      <c r="O2" s="10"/>
      <c r="P2" s="10"/>
      <c r="Q2" s="10"/>
      <c r="R2" s="10"/>
    </row>
    <row r="3" spans="1:18" ht="17.25" thickBot="1" x14ac:dyDescent="0.25">
      <c r="A3" s="4"/>
      <c r="B3" s="74" t="s">
        <v>49</v>
      </c>
      <c r="C3" s="74"/>
      <c r="D3" s="74"/>
      <c r="E3" s="74"/>
      <c r="F3" s="74"/>
      <c r="G3" s="74"/>
      <c r="H3" s="74"/>
      <c r="I3" s="74"/>
      <c r="J3" s="74"/>
      <c r="K3" s="74"/>
      <c r="L3" s="74"/>
      <c r="M3" s="74"/>
      <c r="N3" s="74"/>
      <c r="O3" s="74"/>
      <c r="P3" s="74"/>
      <c r="Q3" s="74"/>
      <c r="R3" s="74"/>
    </row>
    <row r="4" spans="1:18" ht="15" thickTop="1" x14ac:dyDescent="0.2">
      <c r="A4" s="60"/>
      <c r="B4" s="176"/>
      <c r="C4" s="176"/>
      <c r="D4" s="176"/>
      <c r="E4" s="176"/>
      <c r="F4" s="176"/>
      <c r="G4" s="176"/>
      <c r="H4" s="176"/>
      <c r="I4" s="176"/>
      <c r="J4" s="176"/>
      <c r="K4" s="176"/>
      <c r="L4" s="176"/>
      <c r="M4" s="176"/>
      <c r="N4" s="176"/>
      <c r="O4" s="176"/>
      <c r="P4" s="80"/>
      <c r="Q4" s="80"/>
      <c r="R4" s="80"/>
    </row>
    <row r="5" spans="1:18" ht="15" x14ac:dyDescent="0.2">
      <c r="A5" s="4"/>
      <c r="B5" s="177" t="s">
        <v>50</v>
      </c>
      <c r="C5" s="110" t="s">
        <v>807</v>
      </c>
      <c r="D5" s="110"/>
      <c r="E5" s="110"/>
      <c r="F5" s="110"/>
      <c r="G5" s="110"/>
      <c r="H5" s="111"/>
      <c r="I5" s="111"/>
      <c r="J5" s="111"/>
      <c r="K5" s="111"/>
      <c r="L5" s="111"/>
      <c r="M5" s="111"/>
      <c r="N5" s="111"/>
      <c r="O5" s="111"/>
      <c r="P5" s="10"/>
      <c r="Q5" s="10"/>
      <c r="R5" s="10"/>
    </row>
    <row r="6" spans="1:18" ht="15" x14ac:dyDescent="0.2">
      <c r="A6" s="4"/>
      <c r="B6" s="177" t="s">
        <v>83</v>
      </c>
      <c r="C6" s="110" t="s">
        <v>84</v>
      </c>
      <c r="D6" s="110"/>
      <c r="E6" s="110"/>
      <c r="F6" s="110"/>
      <c r="G6" s="110"/>
      <c r="H6" s="111"/>
      <c r="I6" s="110"/>
      <c r="J6" s="110"/>
      <c r="K6" s="110"/>
      <c r="L6" s="110"/>
      <c r="M6" s="110"/>
      <c r="N6" s="110"/>
      <c r="O6" s="110"/>
      <c r="P6" s="4"/>
      <c r="Q6" s="4"/>
      <c r="R6" s="4"/>
    </row>
    <row r="7" spans="1:18" ht="15" x14ac:dyDescent="0.2">
      <c r="A7" s="4"/>
      <c r="B7" s="177"/>
      <c r="C7" s="177"/>
      <c r="D7" s="110"/>
      <c r="E7" s="110"/>
      <c r="F7" s="110"/>
      <c r="G7" s="110"/>
      <c r="H7" s="111"/>
      <c r="I7" s="110"/>
      <c r="J7" s="110"/>
      <c r="K7" s="110"/>
      <c r="L7" s="110"/>
      <c r="M7" s="110"/>
      <c r="N7" s="110"/>
      <c r="O7" s="110"/>
      <c r="P7" s="4"/>
      <c r="Q7" s="4"/>
      <c r="R7" s="4"/>
    </row>
    <row r="8" spans="1:18" ht="15" x14ac:dyDescent="0.2">
      <c r="A8" s="4"/>
      <c r="B8" s="177"/>
      <c r="C8" s="177"/>
      <c r="D8" s="177"/>
      <c r="E8" s="177"/>
      <c r="F8" s="177"/>
      <c r="G8" s="177"/>
      <c r="H8" s="177"/>
      <c r="I8" s="177"/>
      <c r="J8" s="177"/>
      <c r="K8" s="177"/>
      <c r="L8" s="177"/>
      <c r="M8" s="177"/>
      <c r="N8" s="177"/>
      <c r="O8" s="177"/>
      <c r="P8" s="4"/>
      <c r="Q8" s="4"/>
      <c r="R8" s="4"/>
    </row>
    <row r="9" spans="1:18" ht="15" customHeight="1" x14ac:dyDescent="0.2">
      <c r="A9" s="4"/>
      <c r="B9" s="177"/>
      <c r="C9" s="177"/>
      <c r="D9" s="177"/>
      <c r="E9" s="177"/>
      <c r="F9" s="177"/>
      <c r="G9" s="177"/>
      <c r="H9" s="177"/>
      <c r="I9" s="177"/>
      <c r="J9" s="177"/>
      <c r="K9" s="177"/>
      <c r="L9" s="177"/>
      <c r="M9" s="177"/>
      <c r="N9" s="177"/>
      <c r="O9" s="177"/>
      <c r="P9" s="4"/>
      <c r="Q9" s="4"/>
      <c r="R9" s="4"/>
    </row>
    <row r="10" spans="1:18" ht="15" customHeight="1" x14ac:dyDescent="0.2">
      <c r="A10" s="4"/>
      <c r="B10" s="68"/>
      <c r="C10" s="68"/>
      <c r="D10" s="68"/>
      <c r="E10" s="68"/>
      <c r="F10" s="68"/>
      <c r="G10" s="68"/>
      <c r="H10" s="68"/>
      <c r="I10" s="68"/>
      <c r="J10" s="68"/>
      <c r="K10" s="68"/>
      <c r="L10" s="68"/>
      <c r="M10" s="68"/>
      <c r="N10" s="68"/>
      <c r="O10" s="68"/>
      <c r="P10" s="4"/>
      <c r="Q10" s="4"/>
      <c r="R10" s="4"/>
    </row>
    <row r="11" spans="1:18" ht="15" x14ac:dyDescent="0.2">
      <c r="A11" s="4"/>
      <c r="B11" s="68"/>
      <c r="C11" s="68"/>
      <c r="D11" s="68"/>
      <c r="E11" s="68"/>
      <c r="F11" s="68"/>
      <c r="G11" s="68"/>
      <c r="H11" s="68"/>
      <c r="I11" s="68"/>
      <c r="J11" s="68"/>
      <c r="K11" s="68"/>
      <c r="L11" s="4"/>
      <c r="M11" s="4"/>
      <c r="N11" s="4"/>
      <c r="O11" s="4"/>
      <c r="P11" s="4"/>
      <c r="Q11" s="4"/>
      <c r="R11" s="4"/>
    </row>
    <row r="12" spans="1:18" ht="15" x14ac:dyDescent="0.2">
      <c r="A12" s="4"/>
      <c r="B12" s="68"/>
      <c r="C12" s="68"/>
      <c r="D12" s="68"/>
      <c r="E12" s="68"/>
      <c r="F12" s="68"/>
      <c r="G12" s="68"/>
      <c r="H12" s="68"/>
      <c r="I12" s="68"/>
      <c r="J12" s="68"/>
      <c r="K12" s="68"/>
      <c r="L12" s="4"/>
      <c r="M12" s="4"/>
      <c r="N12" s="4"/>
      <c r="O12" s="4"/>
      <c r="P12" s="4"/>
      <c r="Q12" s="4"/>
      <c r="R12" s="4"/>
    </row>
    <row r="14" spans="1:18" ht="15" x14ac:dyDescent="0.2">
      <c r="B14" s="67" t="s">
        <v>69</v>
      </c>
      <c r="C14" s="67"/>
      <c r="D14" s="67"/>
      <c r="E14" s="67"/>
      <c r="F14" s="67"/>
      <c r="G14" s="67"/>
      <c r="H14" s="11"/>
      <c r="J14" s="68" t="s">
        <v>50</v>
      </c>
      <c r="K14" s="68" t="s">
        <v>50</v>
      </c>
      <c r="L14" s="11"/>
      <c r="M14" s="11"/>
      <c r="N14" s="4"/>
    </row>
    <row r="15" spans="1:18" ht="25.5" x14ac:dyDescent="0.2">
      <c r="B15" s="15" t="s">
        <v>55</v>
      </c>
      <c r="C15" s="15" t="s">
        <v>56</v>
      </c>
      <c r="D15" s="15" t="s">
        <v>57</v>
      </c>
      <c r="E15" s="15" t="s">
        <v>60</v>
      </c>
      <c r="F15" s="15" t="s">
        <v>61</v>
      </c>
      <c r="G15" s="15" t="s">
        <v>805</v>
      </c>
      <c r="H15" s="15" t="s">
        <v>58</v>
      </c>
      <c r="I15" s="15" t="s">
        <v>59</v>
      </c>
      <c r="J15" s="15" t="s">
        <v>94</v>
      </c>
      <c r="K15" s="15" t="s">
        <v>95</v>
      </c>
      <c r="L15" s="15" t="s">
        <v>96</v>
      </c>
      <c r="M15" s="15" t="s">
        <v>89</v>
      </c>
      <c r="N15" s="15" t="s">
        <v>90</v>
      </c>
      <c r="O15" s="242" t="s">
        <v>77</v>
      </c>
    </row>
    <row r="16" spans="1:18" ht="15" x14ac:dyDescent="0.25">
      <c r="B16" s="69" t="str">
        <f>ContainerOtherOpsCostPerPickup[[#This Row],[Grouping_ID]]&amp;"-"&amp;ContainerOtherOpsCostPerPickup[[#This Row],[Sector_ID]]&amp;"-"&amp;ContainerOtherOpsCostPerPickup[[#This Row],[Frequency_ID]]&amp;"-"&amp;ContainerOtherOpsCostPerPickup[[#This Row],[SS_or_DS]]</f>
        <v>1-2-V-SS</v>
      </c>
      <c r="C16" s="69">
        <v>1</v>
      </c>
      <c r="D16" s="4" t="str">
        <f>INDEX(Grouping[Grouping_Name],MATCH(ContainerOtherOpsCostPerPickup[[#This Row],[Grouping_ID]],Grouping[Grouping_ID],0))</f>
        <v>1 - Metro area</v>
      </c>
      <c r="E16" s="14">
        <v>2</v>
      </c>
      <c r="F16" s="4" t="str">
        <f>INDEX(Sector[Sector_Name],MATCH(ContainerOtherOpsCostPerPickup[[#This Row],[Sector_ID]],Sector[Sector_ID],0))</f>
        <v>MF Res. (on-route)</v>
      </c>
      <c r="G16" s="18" t="s">
        <v>806</v>
      </c>
      <c r="H16" s="14" t="s">
        <v>91</v>
      </c>
      <c r="I16" s="4" t="str">
        <f>INDEX(Frequency[Collection_Frequency],MATCH(ContainerOtherOpsCostPerPickup[[#This Row],[Frequency_ID]],Frequency[Orig_Frequency_ID],0)+(ContainerOtherOpsCostPerPickup[[#This Row],[SS_or_DS]]="DS")*COUNTA(Frequency[Orig_Frequency_ID])/2)</f>
        <v>Varies by customer need</v>
      </c>
      <c r="J16" s="77">
        <v>2.0800117941628562</v>
      </c>
      <c r="K16" s="77">
        <v>0.85788758809369592</v>
      </c>
      <c r="L16" s="84">
        <f>SUM(ContainerOtherOpsCostPerPickup[[#This Row],[Route_Operations_Per_Lift]],ContainerOtherOpsCostPerPickup[[#This Row],[Other_DirectCosts_Per_Lift]])</f>
        <v>2.937899382256552</v>
      </c>
      <c r="M16" s="184">
        <f>INDEX(LaborCostPerLift[Average_Lifts_Per_Week],MATCH(ContainerOtherOpsCostPerPickup[[#This Row],[Collection_ID]],LaborCostPerLift[Collection_ID],0))</f>
        <v>1.39</v>
      </c>
      <c r="N16" s="86">
        <f>INDEX(LaborCostPerLift[Weeks_Per_Year],MATCH(ContainerOtherOpsCostPerPickup[[#This Row],[Collection_ID]],LaborCostPerLift[Collection_ID],0))</f>
        <v>52</v>
      </c>
      <c r="O16" s="87">
        <f>ContainerOtherOpsCostPerPickup[[#This Row],[OtherOps_Cost_Per_Lift]]*ContainerOtherOpsCostPerPickup[[#This Row],[Average_Lifts_Per_Week]]*ContainerOtherOpsCostPerPickup[[#This Row],[Weeks_Per_Year]]</f>
        <v>212.35136734950353</v>
      </c>
    </row>
    <row r="17" spans="2:15" ht="15" x14ac:dyDescent="0.25">
      <c r="B17" s="69" t="str">
        <f>ContainerOtherOpsCostPerPickup[[#This Row],[Grouping_ID]]&amp;"-"&amp;ContainerOtherOpsCostPerPickup[[#This Row],[Sector_ID]]&amp;"-"&amp;ContainerOtherOpsCostPerPickup[[#This Row],[Frequency_ID]]&amp;"-"&amp;ContainerOtherOpsCostPerPickup[[#This Row],[SS_or_DS]]</f>
        <v>1-3-V-SS</v>
      </c>
      <c r="C17" s="69">
        <v>1</v>
      </c>
      <c r="D17" s="4" t="str">
        <f>INDEX(Grouping[Grouping_Name],MATCH(ContainerOtherOpsCostPerPickup[[#This Row],[Grouping_ID]],Grouping[Grouping_ID],0))</f>
        <v>1 - Metro area</v>
      </c>
      <c r="E17" s="14">
        <v>3</v>
      </c>
      <c r="F17" s="4" t="str">
        <f>INDEX(Sector[Sector_Name],MATCH(ContainerOtherOpsCostPerPickup[[#This Row],[Sector_ID]],Sector[Sector_ID],0))</f>
        <v>Commercial (on-route)</v>
      </c>
      <c r="G17" s="18" t="s">
        <v>806</v>
      </c>
      <c r="H17" s="14" t="s">
        <v>91</v>
      </c>
      <c r="I17" s="4" t="str">
        <f>INDEX(Frequency[Collection_Frequency],MATCH(ContainerOtherOpsCostPerPickup[[#This Row],[Frequency_ID]],Frequency[Orig_Frequency_ID],0)+(ContainerOtherOpsCostPerPickup[[#This Row],[SS_or_DS]]="DS")*COUNTA(Frequency[Orig_Frequency_ID])/2)</f>
        <v>Varies by customer need</v>
      </c>
      <c r="J17" s="77">
        <v>2.0800117941628562</v>
      </c>
      <c r="K17" s="77">
        <v>0.85788758809369592</v>
      </c>
      <c r="L17" s="84">
        <f>SUM(ContainerOtherOpsCostPerPickup[[#This Row],[Route_Operations_Per_Lift]],ContainerOtherOpsCostPerPickup[[#This Row],[Other_DirectCosts_Per_Lift]])</f>
        <v>2.937899382256552</v>
      </c>
      <c r="M17" s="184">
        <f>INDEX(LaborCostPerLift[Average_Lifts_Per_Week],MATCH(ContainerOtherOpsCostPerPickup[[#This Row],[Collection_ID]],LaborCostPerLift[Collection_ID],0))</f>
        <v>1.39</v>
      </c>
      <c r="N17" s="86">
        <f>INDEX(LaborCostPerLift[Weeks_Per_Year],MATCH(ContainerOtherOpsCostPerPickup[[#This Row],[Collection_ID]],LaborCostPerLift[Collection_ID],0))</f>
        <v>52</v>
      </c>
      <c r="O17" s="87">
        <f>ContainerOtherOpsCostPerPickup[[#This Row],[OtherOps_Cost_Per_Lift]]*ContainerOtherOpsCostPerPickup[[#This Row],[Average_Lifts_Per_Week]]*ContainerOtherOpsCostPerPickup[[#This Row],[Weeks_Per_Year]]</f>
        <v>212.35136734950353</v>
      </c>
    </row>
    <row r="18" spans="2:15" ht="15" x14ac:dyDescent="0.25">
      <c r="B18" s="69" t="str">
        <f>ContainerOtherOpsCostPerPickup[[#This Row],[Grouping_ID]]&amp;"-"&amp;ContainerOtherOpsCostPerPickup[[#This Row],[Sector_ID]]&amp;"-"&amp;ContainerOtherOpsCostPerPickup[[#This Row],[Frequency_ID]]&amp;"-"&amp;ContainerOtherOpsCostPerPickup[[#This Row],[SS_or_DS]]</f>
        <v>2-2-V-SS</v>
      </c>
      <c r="C18" s="69">
        <v>2</v>
      </c>
      <c r="D18" s="4" t="str">
        <f>INDEX(Grouping[Grouping_Name],MATCH(ContainerOtherOpsCostPerPickup[[#This Row],[Grouping_ID]],Grouping[Grouping_ID],0))</f>
        <v>2 - Willamette Valley, etc.</v>
      </c>
      <c r="E18" s="14">
        <v>2</v>
      </c>
      <c r="F18" s="4" t="str">
        <f>INDEX(Sector[Sector_Name],MATCH(ContainerOtherOpsCostPerPickup[[#This Row],[Sector_ID]],Sector[Sector_ID],0))</f>
        <v>MF Res. (on-route)</v>
      </c>
      <c r="G18" s="18" t="s">
        <v>806</v>
      </c>
      <c r="H18" s="14" t="s">
        <v>91</v>
      </c>
      <c r="I18" s="4" t="str">
        <f>INDEX(Frequency[Collection_Frequency],MATCH(ContainerOtherOpsCostPerPickup[[#This Row],[Frequency_ID]],Frequency[Orig_Frequency_ID],0)+(ContainerOtherOpsCostPerPickup[[#This Row],[SS_or_DS]]="DS")*COUNTA(Frequency[Orig_Frequency_ID])/2)</f>
        <v>Varies by customer need</v>
      </c>
      <c r="J18" s="77">
        <v>2.4346651730146878</v>
      </c>
      <c r="K18" s="77">
        <v>0.61412434652725911</v>
      </c>
      <c r="L18" s="84">
        <f>SUM(ContainerOtherOpsCostPerPickup[[#This Row],[Route_Operations_Per_Lift]],ContainerOtherOpsCostPerPickup[[#This Row],[Other_DirectCosts_Per_Lift]])</f>
        <v>3.048789519541947</v>
      </c>
      <c r="M18" s="184">
        <f>INDEX(LaborCostPerLift[Average_Lifts_Per_Week],MATCH(ContainerOtherOpsCostPerPickup[[#This Row],[Collection_ID]],LaborCostPerLift[Collection_ID],0))</f>
        <v>1.0900000000000001</v>
      </c>
      <c r="N18" s="86">
        <f>INDEX(LaborCostPerLift[Weeks_Per_Year],MATCH(ContainerOtherOpsCostPerPickup[[#This Row],[Collection_ID]],LaborCostPerLift[Collection_ID],0))</f>
        <v>52</v>
      </c>
      <c r="O18" s="87">
        <f>ContainerOtherOpsCostPerPickup[[#This Row],[OtherOps_Cost_Per_Lift]]*ContainerOtherOpsCostPerPickup[[#This Row],[Average_Lifts_Per_Week]]*ContainerOtherOpsCostPerPickup[[#This Row],[Weeks_Per_Year]]</f>
        <v>172.80538996763758</v>
      </c>
    </row>
    <row r="19" spans="2:15" ht="15" x14ac:dyDescent="0.25">
      <c r="B19" s="69" t="str">
        <f>ContainerOtherOpsCostPerPickup[[#This Row],[Grouping_ID]]&amp;"-"&amp;ContainerOtherOpsCostPerPickup[[#This Row],[Sector_ID]]&amp;"-"&amp;ContainerOtherOpsCostPerPickup[[#This Row],[Frequency_ID]]&amp;"-"&amp;ContainerOtherOpsCostPerPickup[[#This Row],[SS_or_DS]]</f>
        <v>2-3-V-SS</v>
      </c>
      <c r="C19" s="69">
        <v>2</v>
      </c>
      <c r="D19" s="4" t="str">
        <f>INDEX(Grouping[Grouping_Name],MATCH(ContainerOtherOpsCostPerPickup[[#This Row],[Grouping_ID]],Grouping[Grouping_ID],0))</f>
        <v>2 - Willamette Valley, etc.</v>
      </c>
      <c r="E19" s="14">
        <v>3</v>
      </c>
      <c r="F19" s="4" t="str">
        <f>INDEX(Sector[Sector_Name],MATCH(ContainerOtherOpsCostPerPickup[[#This Row],[Sector_ID]],Sector[Sector_ID],0))</f>
        <v>Commercial (on-route)</v>
      </c>
      <c r="G19" s="18" t="s">
        <v>806</v>
      </c>
      <c r="H19" s="14" t="s">
        <v>91</v>
      </c>
      <c r="I19" s="4" t="str">
        <f>INDEX(Frequency[Collection_Frequency],MATCH(ContainerOtherOpsCostPerPickup[[#This Row],[Frequency_ID]],Frequency[Orig_Frequency_ID],0)+(ContainerOtherOpsCostPerPickup[[#This Row],[SS_or_DS]]="DS")*COUNTA(Frequency[Orig_Frequency_ID])/2)</f>
        <v>Varies by customer need</v>
      </c>
      <c r="J19" s="77">
        <v>2.4346651730146878</v>
      </c>
      <c r="K19" s="77">
        <v>0.61412434652725911</v>
      </c>
      <c r="L19" s="84">
        <f>SUM(ContainerOtherOpsCostPerPickup[[#This Row],[Route_Operations_Per_Lift]],ContainerOtherOpsCostPerPickup[[#This Row],[Other_DirectCosts_Per_Lift]])</f>
        <v>3.048789519541947</v>
      </c>
      <c r="M19" s="184">
        <f>INDEX(LaborCostPerLift[Average_Lifts_Per_Week],MATCH(ContainerOtherOpsCostPerPickup[[#This Row],[Collection_ID]],LaborCostPerLift[Collection_ID],0))</f>
        <v>1.0900000000000001</v>
      </c>
      <c r="N19" s="86">
        <f>INDEX(LaborCostPerLift[Weeks_Per_Year],MATCH(ContainerOtherOpsCostPerPickup[[#This Row],[Collection_ID]],LaborCostPerLift[Collection_ID],0))</f>
        <v>52</v>
      </c>
      <c r="O19" s="87">
        <f>ContainerOtherOpsCostPerPickup[[#This Row],[OtherOps_Cost_Per_Lift]]*ContainerOtherOpsCostPerPickup[[#This Row],[Average_Lifts_Per_Week]]*ContainerOtherOpsCostPerPickup[[#This Row],[Weeks_Per_Year]]</f>
        <v>172.80538996763758</v>
      </c>
    </row>
    <row r="20" spans="2:15" ht="15" x14ac:dyDescent="0.25">
      <c r="B20" s="69" t="str">
        <f>ContainerOtherOpsCostPerPickup[[#This Row],[Grouping_ID]]&amp;"-"&amp;ContainerOtherOpsCostPerPickup[[#This Row],[Sector_ID]]&amp;"-"&amp;ContainerOtherOpsCostPerPickup[[#This Row],[Frequency_ID]]&amp;"-"&amp;ContainerOtherOpsCostPerPickup[[#This Row],[SS_or_DS]]</f>
        <v>3-2-V-SS</v>
      </c>
      <c r="C20" s="69">
        <v>3</v>
      </c>
      <c r="D20" s="4" t="str">
        <f>INDEX(Grouping[Grouping_Name],MATCH(ContainerOtherOpsCostPerPickup[[#This Row],[Grouping_ID]],Grouping[Grouping_ID],0))</f>
        <v>3 - Other areas with curbside</v>
      </c>
      <c r="E20" s="14">
        <v>2</v>
      </c>
      <c r="F20" s="4" t="str">
        <f>INDEX(Sector[Sector_Name],MATCH(ContainerOtherOpsCostPerPickup[[#This Row],[Sector_ID]],Sector[Sector_ID],0))</f>
        <v>MF Res. (on-route)</v>
      </c>
      <c r="G20" s="18" t="s">
        <v>806</v>
      </c>
      <c r="H20" s="14" t="s">
        <v>91</v>
      </c>
      <c r="I20" s="4" t="str">
        <f>INDEX(Frequency[Collection_Frequency],MATCH(ContainerOtherOpsCostPerPickup[[#This Row],[Frequency_ID]],Frequency[Orig_Frequency_ID],0)+(ContainerOtherOpsCostPerPickup[[#This Row],[SS_or_DS]]="DS")*COUNTA(Frequency[Orig_Frequency_ID])/2)</f>
        <v>Varies by customer need</v>
      </c>
      <c r="J20" s="77">
        <v>2.5801151229722659</v>
      </c>
      <c r="K20" s="77">
        <v>0.45902668759811621</v>
      </c>
      <c r="L20" s="84">
        <f>SUM(ContainerOtherOpsCostPerPickup[[#This Row],[Route_Operations_Per_Lift]],ContainerOtherOpsCostPerPickup[[#This Row],[Other_DirectCosts_Per_Lift]])</f>
        <v>3.0391418105703822</v>
      </c>
      <c r="M20" s="184">
        <f>INDEX(LaborCostPerLift[Average_Lifts_Per_Week],MATCH(ContainerOtherOpsCostPerPickup[[#This Row],[Collection_ID]],LaborCostPerLift[Collection_ID],0))</f>
        <v>1.31</v>
      </c>
      <c r="N20" s="86">
        <f>INDEX(LaborCostPerLift[Weeks_Per_Year],MATCH(ContainerOtherOpsCostPerPickup[[#This Row],[Collection_ID]],LaborCostPerLift[Collection_ID],0))</f>
        <v>52</v>
      </c>
      <c r="O20" s="87">
        <f>ContainerOtherOpsCostPerPickup[[#This Row],[OtherOps_Cost_Per_Lift]]*ContainerOtherOpsCostPerPickup[[#This Row],[Average_Lifts_Per_Week]]*ContainerOtherOpsCostPerPickup[[#This Row],[Weeks_Per_Year]]</f>
        <v>207.02634013605444</v>
      </c>
    </row>
    <row r="21" spans="2:15" ht="15" x14ac:dyDescent="0.25">
      <c r="B21" s="162" t="str">
        <f>ContainerOtherOpsCostPerPickup[[#This Row],[Grouping_ID]]&amp;"-"&amp;ContainerOtherOpsCostPerPickup[[#This Row],[Sector_ID]]&amp;"-"&amp;ContainerOtherOpsCostPerPickup[[#This Row],[Frequency_ID]]&amp;"-"&amp;ContainerOtherOpsCostPerPickup[[#This Row],[SS_or_DS]]</f>
        <v>3-3-V-SS</v>
      </c>
      <c r="C21" s="69">
        <v>3</v>
      </c>
      <c r="D21" s="4" t="str">
        <f>INDEX(Grouping[Grouping_Name],MATCH(ContainerOtherOpsCostPerPickup[[#This Row],[Grouping_ID]],Grouping[Grouping_ID],0))</f>
        <v>3 - Other areas with curbside</v>
      </c>
      <c r="E21" s="14">
        <v>3</v>
      </c>
      <c r="F21" s="4" t="str">
        <f>INDEX(Sector[Sector_Name],MATCH(ContainerOtherOpsCostPerPickup[[#This Row],[Sector_ID]],Sector[Sector_ID],0))</f>
        <v>Commercial (on-route)</v>
      </c>
      <c r="G21" s="18" t="s">
        <v>806</v>
      </c>
      <c r="H21" s="14" t="s">
        <v>91</v>
      </c>
      <c r="I21" s="4" t="str">
        <f>INDEX(Frequency[Collection_Frequency],MATCH(ContainerOtherOpsCostPerPickup[[#This Row],[Frequency_ID]],Frequency[Orig_Frequency_ID],0)+(ContainerOtherOpsCostPerPickup[[#This Row],[SS_or_DS]]="DS")*COUNTA(Frequency[Orig_Frequency_ID])/2)</f>
        <v>Varies by customer need</v>
      </c>
      <c r="J21" s="77">
        <v>2.5801151229722659</v>
      </c>
      <c r="K21" s="77">
        <v>0.45902668759811621</v>
      </c>
      <c r="L21" s="84">
        <f>SUM(ContainerOtherOpsCostPerPickup[[#This Row],[Route_Operations_Per_Lift]],ContainerOtherOpsCostPerPickup[[#This Row],[Other_DirectCosts_Per_Lift]])</f>
        <v>3.0391418105703822</v>
      </c>
      <c r="M21" s="184">
        <f>INDEX(LaborCostPerLift[Average_Lifts_Per_Week],MATCH(ContainerOtherOpsCostPerPickup[[#This Row],[Collection_ID]],LaborCostPerLift[Collection_ID],0))</f>
        <v>1.31</v>
      </c>
      <c r="N21" s="86">
        <f>INDEX(LaborCostPerLift[Weeks_Per_Year],MATCH(ContainerOtherOpsCostPerPickup[[#This Row],[Collection_ID]],LaborCostPerLift[Collection_ID],0))</f>
        <v>52</v>
      </c>
      <c r="O21" s="87">
        <f>ContainerOtherOpsCostPerPickup[[#This Row],[OtherOps_Cost_Per_Lift]]*ContainerOtherOpsCostPerPickup[[#This Row],[Average_Lifts_Per_Week]]*ContainerOtherOpsCostPerPickup[[#This Row],[Weeks_Per_Year]]</f>
        <v>207.02634013605444</v>
      </c>
    </row>
    <row r="22" spans="2:15" ht="15" x14ac:dyDescent="0.25">
      <c r="B22" s="607" t="str">
        <f>ContainerOtherOpsCostPerPickup[[#This Row],[Grouping_ID]]&amp;"-"&amp;ContainerOtherOpsCostPerPickup[[#This Row],[Sector_ID]]&amp;"-"&amp;ContainerOtherOpsCostPerPickup[[#This Row],[Frequency_ID]]&amp;"-"&amp;ContainerOtherOpsCostPerPickup[[#This Row],[SS_or_DS]]</f>
        <v>1-1-W-SS</v>
      </c>
      <c r="C22" s="14">
        <v>1</v>
      </c>
      <c r="D22" s="4" t="str">
        <f>INDEX(Grouping[Grouping_Name],MATCH(ContainerOtherOpsCostPerPickup[[#This Row],[Grouping_ID]],Grouping[Grouping_ID],0))</f>
        <v>1 - Metro area</v>
      </c>
      <c r="E22" s="14">
        <v>1</v>
      </c>
      <c r="F22" s="4" t="str">
        <f>INDEX(Sector[Sector_Name],MATCH(ContainerOtherOpsCostPerPickup[[#This Row],[Sector_ID]],Sector[Sector_ID],0))</f>
        <v>SF Res. (on-route)</v>
      </c>
      <c r="G22" s="18" t="s">
        <v>806</v>
      </c>
      <c r="H22" s="14" t="s">
        <v>64</v>
      </c>
      <c r="I22" s="4" t="str">
        <f>INDEX(Frequency[Collection_Frequency],MATCH(ContainerOtherOpsCostPerPickup[[#This Row],[Frequency_ID]],Frequency[Orig_Frequency_ID],0)+(ContainerOtherOpsCostPerPickup[[#This Row],[SS_or_DS]]="DS")*COUNTA(Frequency[Orig_Frequency_ID])/2)</f>
        <v>Weekly</v>
      </c>
      <c r="J22" s="77">
        <v>0.21422066307383625</v>
      </c>
      <c r="K22" s="77">
        <v>6.447194272895837E-2</v>
      </c>
      <c r="L22" s="84">
        <f>SUM(ContainerOtherOpsCostPerPickup[[#This Row],[Route_Operations_Per_Lift]],ContainerOtherOpsCostPerPickup[[#This Row],[Other_DirectCosts_Per_Lift]])</f>
        <v>0.27869260580279465</v>
      </c>
      <c r="M22" s="185">
        <f>INDEX(LaborCostPerLift[Average_Lifts_Per_Week],MATCH(ContainerOtherOpsCostPerPickup[[#This Row],[Collection_ID]],LaborCostPerLift[Collection_ID],0))</f>
        <v>1</v>
      </c>
      <c r="N22" s="86">
        <f>INDEX(LaborCostPerLift[Weeks_Per_Year],MATCH(ContainerOtherOpsCostPerPickup[[#This Row],[Collection_ID]],LaborCostPerLift[Collection_ID],0))</f>
        <v>52</v>
      </c>
      <c r="O22" s="87">
        <f>ContainerOtherOpsCostPerPickup[[#This Row],[OtherOps_Cost_Per_Lift]]*ContainerOtherOpsCostPerPickup[[#This Row],[Average_Lifts_Per_Week]]*ContainerOtherOpsCostPerPickup[[#This Row],[Weeks_Per_Year]]</f>
        <v>14.492015501745321</v>
      </c>
    </row>
    <row r="23" spans="2:15" ht="15" x14ac:dyDescent="0.25">
      <c r="B23" s="607" t="str">
        <f>ContainerOtherOpsCostPerPickup[[#This Row],[Grouping_ID]]&amp;"-"&amp;ContainerOtherOpsCostPerPickup[[#This Row],[Sector_ID]]&amp;"-"&amp;ContainerOtherOpsCostPerPickup[[#This Row],[Frequency_ID]]&amp;"-"&amp;ContainerOtherOpsCostPerPickup[[#This Row],[SS_or_DS]]</f>
        <v>1-1-E-SS</v>
      </c>
      <c r="C23" s="14">
        <v>1</v>
      </c>
      <c r="D23" s="4" t="str">
        <f>INDEX(Grouping[Grouping_Name],MATCH(ContainerOtherOpsCostPerPickup[[#This Row],[Grouping_ID]],Grouping[Grouping_ID],0))</f>
        <v>1 - Metro area</v>
      </c>
      <c r="E23" s="14">
        <v>1</v>
      </c>
      <c r="F23" s="4" t="str">
        <f>INDEX(Sector[Sector_Name],MATCH(ContainerOtherOpsCostPerPickup[[#This Row],[Sector_ID]],Sector[Sector_ID],0))</f>
        <v>SF Res. (on-route)</v>
      </c>
      <c r="G23" s="18" t="s">
        <v>806</v>
      </c>
      <c r="H23" s="14" t="s">
        <v>53</v>
      </c>
      <c r="I23" s="4" t="str">
        <f>INDEX(Frequency[Collection_Frequency],MATCH(ContainerOtherOpsCostPerPickup[[#This Row],[Frequency_ID]],Frequency[Orig_Frequency_ID],0)+(ContainerOtherOpsCostPerPickup[[#This Row],[SS_or_DS]]="DS")*COUNTA(Frequency[Orig_Frequency_ID])/2)</f>
        <v>Every other week</v>
      </c>
      <c r="J23" s="77">
        <v>0.34199995378144787</v>
      </c>
      <c r="K23" s="77">
        <v>0.15055693355312821</v>
      </c>
      <c r="L23" s="84">
        <f>SUM(ContainerOtherOpsCostPerPickup[[#This Row],[Route_Operations_Per_Lift]],ContainerOtherOpsCostPerPickup[[#This Row],[Other_DirectCosts_Per_Lift]])</f>
        <v>0.49255688733457609</v>
      </c>
      <c r="M23" s="185">
        <f>INDEX(LaborCostPerLift[Average_Lifts_Per_Week],MATCH(ContainerOtherOpsCostPerPickup[[#This Row],[Collection_ID]],LaborCostPerLift[Collection_ID],0))</f>
        <v>0.5</v>
      </c>
      <c r="N23" s="86">
        <f>INDEX(LaborCostPerLift[Weeks_Per_Year],MATCH(ContainerOtherOpsCostPerPickup[[#This Row],[Collection_ID]],LaborCostPerLift[Collection_ID],0))</f>
        <v>52</v>
      </c>
      <c r="O23" s="87">
        <f>ContainerOtherOpsCostPerPickup[[#This Row],[OtherOps_Cost_Per_Lift]]*ContainerOtherOpsCostPerPickup[[#This Row],[Average_Lifts_Per_Week]]*ContainerOtherOpsCostPerPickup[[#This Row],[Weeks_Per_Year]]</f>
        <v>12.806479070698979</v>
      </c>
    </row>
    <row r="24" spans="2:15" ht="15" x14ac:dyDescent="0.25">
      <c r="B24" s="607" t="str">
        <f>ContainerOtherOpsCostPerPickup[[#This Row],[Grouping_ID]]&amp;"-"&amp;ContainerOtherOpsCostPerPickup[[#This Row],[Sector_ID]]&amp;"-"&amp;ContainerOtherOpsCostPerPickup[[#This Row],[Frequency_ID]]&amp;"-"&amp;ContainerOtherOpsCostPerPickup[[#This Row],[SS_or_DS]]</f>
        <v>2-1-W-SS</v>
      </c>
      <c r="C24" s="14">
        <v>2</v>
      </c>
      <c r="D24" s="4" t="str">
        <f>INDEX(Grouping[Grouping_Name],MATCH(ContainerOtherOpsCostPerPickup[[#This Row],[Grouping_ID]],Grouping[Grouping_ID],0))</f>
        <v>2 - Willamette Valley, etc.</v>
      </c>
      <c r="E24" s="14">
        <v>1</v>
      </c>
      <c r="F24" s="4" t="str">
        <f>INDEX(Sector[Sector_Name],MATCH(ContainerOtherOpsCostPerPickup[[#This Row],[Sector_ID]],Sector[Sector_ID],0))</f>
        <v>SF Res. (on-route)</v>
      </c>
      <c r="G24" s="18" t="s">
        <v>806</v>
      </c>
      <c r="H24" s="14" t="s">
        <v>64</v>
      </c>
      <c r="I24" s="4" t="str">
        <f>INDEX(Frequency[Collection_Frequency],MATCH(ContainerOtherOpsCostPerPickup[[#This Row],[Frequency_ID]],Frequency[Orig_Frequency_ID],0)+(ContainerOtherOpsCostPerPickup[[#This Row],[SS_or_DS]]="DS")*COUNTA(Frequency[Orig_Frequency_ID])/2)</f>
        <v>Weekly</v>
      </c>
      <c r="J24" s="77">
        <v>0.35289926529707427</v>
      </c>
      <c r="K24" s="77">
        <v>7.1582422433664167E-2</v>
      </c>
      <c r="L24" s="84">
        <f>SUM(ContainerOtherOpsCostPerPickup[[#This Row],[Route_Operations_Per_Lift]],ContainerOtherOpsCostPerPickup[[#This Row],[Other_DirectCosts_Per_Lift]])</f>
        <v>0.42448168773073847</v>
      </c>
      <c r="M24" s="185">
        <f>INDEX(LaborCostPerLift[Average_Lifts_Per_Week],MATCH(ContainerOtherOpsCostPerPickup[[#This Row],[Collection_ID]],LaborCostPerLift[Collection_ID],0))</f>
        <v>1</v>
      </c>
      <c r="N24" s="86">
        <f>INDEX(LaborCostPerLift[Weeks_Per_Year],MATCH(ContainerOtherOpsCostPerPickup[[#This Row],[Collection_ID]],LaborCostPerLift[Collection_ID],0))</f>
        <v>52</v>
      </c>
      <c r="O24" s="87">
        <f>ContainerOtherOpsCostPerPickup[[#This Row],[OtherOps_Cost_Per_Lift]]*ContainerOtherOpsCostPerPickup[[#This Row],[Average_Lifts_Per_Week]]*ContainerOtherOpsCostPerPickup[[#This Row],[Weeks_Per_Year]]</f>
        <v>22.073047761998399</v>
      </c>
    </row>
    <row r="25" spans="2:15" ht="15" x14ac:dyDescent="0.25">
      <c r="B25" s="607" t="str">
        <f>ContainerOtherOpsCostPerPickup[[#This Row],[Grouping_ID]]&amp;"-"&amp;ContainerOtherOpsCostPerPickup[[#This Row],[Sector_ID]]&amp;"-"&amp;ContainerOtherOpsCostPerPickup[[#This Row],[Frequency_ID]]&amp;"-"&amp;ContainerOtherOpsCostPerPickup[[#This Row],[SS_or_DS]]</f>
        <v>2-1-E-SS</v>
      </c>
      <c r="C25" s="14">
        <v>2</v>
      </c>
      <c r="D25" s="4" t="str">
        <f>INDEX(Grouping[Grouping_Name],MATCH(ContainerOtherOpsCostPerPickup[[#This Row],[Grouping_ID]],Grouping[Grouping_ID],0))</f>
        <v>2 - Willamette Valley, etc.</v>
      </c>
      <c r="E25" s="14">
        <v>1</v>
      </c>
      <c r="F25" s="4" t="str">
        <f>INDEX(Sector[Sector_Name],MATCH(ContainerOtherOpsCostPerPickup[[#This Row],[Sector_ID]],Sector[Sector_ID],0))</f>
        <v>SF Res. (on-route)</v>
      </c>
      <c r="G25" s="18" t="s">
        <v>806</v>
      </c>
      <c r="H25" s="14" t="s">
        <v>53</v>
      </c>
      <c r="I25" s="4" t="str">
        <f>INDEX(Frequency[Collection_Frequency],MATCH(ContainerOtherOpsCostPerPickup[[#This Row],[Frequency_ID]],Frequency[Orig_Frequency_ID],0)+(ContainerOtherOpsCostPerPickup[[#This Row],[SS_or_DS]]="DS")*COUNTA(Frequency[Orig_Frequency_ID])/2)</f>
        <v>Every other week</v>
      </c>
      <c r="J25" s="77">
        <v>0.52104257937213805</v>
      </c>
      <c r="K25" s="77">
        <v>0.10568877209518972</v>
      </c>
      <c r="L25" s="84">
        <f>SUM(ContainerOtherOpsCostPerPickup[[#This Row],[Route_Operations_Per_Lift]],ContainerOtherOpsCostPerPickup[[#This Row],[Other_DirectCosts_Per_Lift]])</f>
        <v>0.62673135146732772</v>
      </c>
      <c r="M25" s="185">
        <f>INDEX(LaborCostPerLift[Average_Lifts_Per_Week],MATCH(ContainerOtherOpsCostPerPickup[[#This Row],[Collection_ID]],LaborCostPerLift[Collection_ID],0))</f>
        <v>0.5</v>
      </c>
      <c r="N25" s="86">
        <f>INDEX(LaborCostPerLift[Weeks_Per_Year],MATCH(ContainerOtherOpsCostPerPickup[[#This Row],[Collection_ID]],LaborCostPerLift[Collection_ID],0))</f>
        <v>52</v>
      </c>
      <c r="O25" s="87">
        <f>ContainerOtherOpsCostPerPickup[[#This Row],[OtherOps_Cost_Per_Lift]]*ContainerOtherOpsCostPerPickup[[#This Row],[Average_Lifts_Per_Week]]*ContainerOtherOpsCostPerPickup[[#This Row],[Weeks_Per_Year]]</f>
        <v>16.295015138150521</v>
      </c>
    </row>
    <row r="26" spans="2:15" ht="15" x14ac:dyDescent="0.25">
      <c r="B26" s="607" t="str">
        <f>ContainerOtherOpsCostPerPickup[[#This Row],[Grouping_ID]]&amp;"-"&amp;ContainerOtherOpsCostPerPickup[[#This Row],[Sector_ID]]&amp;"-"&amp;ContainerOtherOpsCostPerPickup[[#This Row],[Frequency_ID]]&amp;"-"&amp;ContainerOtherOpsCostPerPickup[[#This Row],[SS_or_DS]]</f>
        <v>2-1-U-SS</v>
      </c>
      <c r="C26" s="14">
        <v>2</v>
      </c>
      <c r="D26" s="4" t="str">
        <f>INDEX(Grouping[Grouping_Name],MATCH(ContainerOtherOpsCostPerPickup[[#This Row],[Grouping_ID]],Grouping[Grouping_ID],0))</f>
        <v>2 - Willamette Valley, etc.</v>
      </c>
      <c r="E26" s="14">
        <v>1</v>
      </c>
      <c r="F26" s="4" t="str">
        <f>INDEX(Sector[Sector_Name],MATCH(ContainerOtherOpsCostPerPickup[[#This Row],[Sector_ID]],Sector[Sector_ID],0))</f>
        <v>SF Res. (on-route)</v>
      </c>
      <c r="G26" s="18" t="s">
        <v>806</v>
      </c>
      <c r="H26" s="14" t="s">
        <v>65</v>
      </c>
      <c r="I26" s="4" t="str">
        <f>INDEX(Frequency[Collection_Frequency],MATCH(ContainerOtherOpsCostPerPickup[[#This Row],[Frequency_ID]],Frequency[Orig_Frequency_ID],0)+(ContainerOtherOpsCostPerPickup[[#This Row],[SS_or_DS]]="DS")*COUNTA(Frequency[Orig_Frequency_ID])/2)</f>
        <v>Uncertain</v>
      </c>
      <c r="J26" s="77">
        <f>J25</f>
        <v>0.52104257937213805</v>
      </c>
      <c r="K26" s="77">
        <f>K25</f>
        <v>0.10568877209518972</v>
      </c>
      <c r="L26" s="84">
        <f>SUM(ContainerOtherOpsCostPerPickup[[#This Row],[Route_Operations_Per_Lift]],ContainerOtherOpsCostPerPickup[[#This Row],[Other_DirectCosts_Per_Lift]])</f>
        <v>0.62673135146732772</v>
      </c>
      <c r="M26" s="185">
        <f>INDEX(LaborCostPerLift[Average_Lifts_Per_Week],MATCH(ContainerOtherOpsCostPerPickup[[#This Row],[Collection_ID]],LaborCostPerLift[Collection_ID],0))</f>
        <v>1</v>
      </c>
      <c r="N26" s="86">
        <f>INDEX(LaborCostPerLift[Weeks_Per_Year],MATCH(ContainerOtherOpsCostPerPickup[[#This Row],[Collection_ID]],LaborCostPerLift[Collection_ID],0))</f>
        <v>52</v>
      </c>
      <c r="O26" s="87">
        <f>ContainerOtherOpsCostPerPickup[[#This Row],[OtherOps_Cost_Per_Lift]]*ContainerOtherOpsCostPerPickup[[#This Row],[Average_Lifts_Per_Week]]*ContainerOtherOpsCostPerPickup[[#This Row],[Weeks_Per_Year]]</f>
        <v>32.590030276301043</v>
      </c>
    </row>
    <row r="27" spans="2:15" ht="15" x14ac:dyDescent="0.25">
      <c r="B27" s="607" t="str">
        <f>ContainerOtherOpsCostPerPickup[[#This Row],[Grouping_ID]]&amp;"-"&amp;ContainerOtherOpsCostPerPickup[[#This Row],[Sector_ID]]&amp;"-"&amp;ContainerOtherOpsCostPerPickup[[#This Row],[Frequency_ID]]&amp;"-"&amp;ContainerOtherOpsCostPerPickup[[#This Row],[SS_or_DS]]</f>
        <v>3-1-W-SS</v>
      </c>
      <c r="C27" s="14">
        <v>3</v>
      </c>
      <c r="D27" s="4" t="str">
        <f>INDEX(Grouping[Grouping_Name],MATCH(ContainerOtherOpsCostPerPickup[[#This Row],[Grouping_ID]],Grouping[Grouping_ID],0))</f>
        <v>3 - Other areas with curbside</v>
      </c>
      <c r="E27" s="14">
        <v>1</v>
      </c>
      <c r="F27" s="4" t="str">
        <f>INDEX(Sector[Sector_Name],MATCH(ContainerOtherOpsCostPerPickup[[#This Row],[Sector_ID]],Sector[Sector_ID],0))</f>
        <v>SF Res. (on-route)</v>
      </c>
      <c r="G27" s="18" t="s">
        <v>806</v>
      </c>
      <c r="H27" s="14" t="s">
        <v>64</v>
      </c>
      <c r="I27" s="4" t="str">
        <f>INDEX(Frequency[Collection_Frequency],MATCH(ContainerOtherOpsCostPerPickup[[#This Row],[Frequency_ID]],Frequency[Orig_Frequency_ID],0)+(ContainerOtherOpsCostPerPickup[[#This Row],[SS_or_DS]]="DS")*COUNTA(Frequency[Orig_Frequency_ID])/2)</f>
        <v>Weekly</v>
      </c>
      <c r="J27" s="77">
        <v>0.43793688144508269</v>
      </c>
      <c r="K27" s="77">
        <v>9.9998935247049309E-2</v>
      </c>
      <c r="L27" s="84">
        <f>SUM(ContainerOtherOpsCostPerPickup[[#This Row],[Route_Operations_Per_Lift]],ContainerOtherOpsCostPerPickup[[#This Row],[Other_DirectCosts_Per_Lift]])</f>
        <v>0.53793581669213197</v>
      </c>
      <c r="M27" s="185">
        <f>INDEX(LaborCostPerLift[Average_Lifts_Per_Week],MATCH(ContainerOtherOpsCostPerPickup[[#This Row],[Collection_ID]],LaborCostPerLift[Collection_ID],0))</f>
        <v>1</v>
      </c>
      <c r="N27" s="86">
        <f>INDEX(LaborCostPerLift[Weeks_Per_Year],MATCH(ContainerOtherOpsCostPerPickup[[#This Row],[Collection_ID]],LaborCostPerLift[Collection_ID],0))</f>
        <v>52</v>
      </c>
      <c r="O27" s="87">
        <f>ContainerOtherOpsCostPerPickup[[#This Row],[OtherOps_Cost_Per_Lift]]*ContainerOtherOpsCostPerPickup[[#This Row],[Average_Lifts_Per_Week]]*ContainerOtherOpsCostPerPickup[[#This Row],[Weeks_Per_Year]]</f>
        <v>27.972662467990862</v>
      </c>
    </row>
    <row r="28" spans="2:15" ht="15" x14ac:dyDescent="0.25">
      <c r="B28" s="607" t="str">
        <f>ContainerOtherOpsCostPerPickup[[#This Row],[Grouping_ID]]&amp;"-"&amp;ContainerOtherOpsCostPerPickup[[#This Row],[Sector_ID]]&amp;"-"&amp;ContainerOtherOpsCostPerPickup[[#This Row],[Frequency_ID]]&amp;"-"&amp;ContainerOtherOpsCostPerPickup[[#This Row],[SS_or_DS]]</f>
        <v>3-1-E-SS</v>
      </c>
      <c r="C28" s="14">
        <v>3</v>
      </c>
      <c r="D28" s="4" t="str">
        <f>INDEX(Grouping[Grouping_Name],MATCH(ContainerOtherOpsCostPerPickup[[#This Row],[Grouping_ID]],Grouping[Grouping_ID],0))</f>
        <v>3 - Other areas with curbside</v>
      </c>
      <c r="E28" s="14">
        <v>1</v>
      </c>
      <c r="F28" s="4" t="str">
        <f>INDEX(Sector[Sector_Name],MATCH(ContainerOtherOpsCostPerPickup[[#This Row],[Sector_ID]],Sector[Sector_ID],0))</f>
        <v>SF Res. (on-route)</v>
      </c>
      <c r="G28" s="18" t="s">
        <v>806</v>
      </c>
      <c r="H28" s="14" t="s">
        <v>53</v>
      </c>
      <c r="I28" s="4" t="str">
        <f>INDEX(Frequency[Collection_Frequency],MATCH(ContainerOtherOpsCostPerPickup[[#This Row],[Frequency_ID]],Frequency[Orig_Frequency_ID],0)+(ContainerOtherOpsCostPerPickup[[#This Row],[SS_or_DS]]="DS")*COUNTA(Frequency[Orig_Frequency_ID])/2)</f>
        <v>Every other week</v>
      </c>
      <c r="J28" s="77">
        <v>0.64659744224247295</v>
      </c>
      <c r="K28" s="77">
        <v>0.14764469150064266</v>
      </c>
      <c r="L28" s="84">
        <f>SUM(ContainerOtherOpsCostPerPickup[[#This Row],[Route_Operations_Per_Lift]],ContainerOtherOpsCostPerPickup[[#This Row],[Other_DirectCosts_Per_Lift]])</f>
        <v>0.79424213374311559</v>
      </c>
      <c r="M28" s="185">
        <f>INDEX(LaborCostPerLift[Average_Lifts_Per_Week],MATCH(ContainerOtherOpsCostPerPickup[[#This Row],[Collection_ID]],LaborCostPerLift[Collection_ID],0))</f>
        <v>0.5</v>
      </c>
      <c r="N28" s="86">
        <f>INDEX(LaborCostPerLift[Weeks_Per_Year],MATCH(ContainerOtherOpsCostPerPickup[[#This Row],[Collection_ID]],LaborCostPerLift[Collection_ID],0))</f>
        <v>52</v>
      </c>
      <c r="O28" s="87">
        <f>ContainerOtherOpsCostPerPickup[[#This Row],[OtherOps_Cost_Per_Lift]]*ContainerOtherOpsCostPerPickup[[#This Row],[Average_Lifts_Per_Week]]*ContainerOtherOpsCostPerPickup[[#This Row],[Weeks_Per_Year]]</f>
        <v>20.650295477321006</v>
      </c>
    </row>
    <row r="29" spans="2:15" ht="15" x14ac:dyDescent="0.25">
      <c r="B29" s="607" t="str">
        <f>ContainerOtherOpsCostPerPickup[[#This Row],[Grouping_ID]]&amp;"-"&amp;ContainerOtherOpsCostPerPickup[[#This Row],[Sector_ID]]&amp;"-"&amp;ContainerOtherOpsCostPerPickup[[#This Row],[Frequency_ID]]&amp;"-"&amp;ContainerOtherOpsCostPerPickup[[#This Row],[SS_or_DS]]</f>
        <v>3-1-BM-SS</v>
      </c>
      <c r="C29" s="14">
        <v>3</v>
      </c>
      <c r="D29" s="4" t="str">
        <f>INDEX(Grouping[Grouping_Name],MATCH(ContainerOtherOpsCostPerPickup[[#This Row],[Grouping_ID]],Grouping[Grouping_ID],0))</f>
        <v>3 - Other areas with curbside</v>
      </c>
      <c r="E29" s="14">
        <v>1</v>
      </c>
      <c r="F29" s="4" t="str">
        <f>INDEX(Sector[Sector_Name],MATCH(ContainerOtherOpsCostPerPickup[[#This Row],[Sector_ID]],Sector[Sector_ID],0))</f>
        <v>SF Res. (on-route)</v>
      </c>
      <c r="G29" s="18" t="s">
        <v>806</v>
      </c>
      <c r="H29" s="14" t="s">
        <v>66</v>
      </c>
      <c r="I29" s="4" t="str">
        <f>INDEX(Frequency[Collection_Frequency],MATCH(ContainerOtherOpsCostPerPickup[[#This Row],[Frequency_ID]],Frequency[Orig_Frequency_ID],0)+(ContainerOtherOpsCostPerPickup[[#This Row],[SS_or_DS]]="DS")*COUNTA(Frequency[Orig_Frequency_ID])/2)</f>
        <v>Bimonthly</v>
      </c>
      <c r="J29" s="77">
        <f>J28</f>
        <v>0.64659744224247295</v>
      </c>
      <c r="K29" s="77">
        <f>K28</f>
        <v>0.14764469150064266</v>
      </c>
      <c r="L29" s="84">
        <f>SUM(ContainerOtherOpsCostPerPickup[[#This Row],[Route_Operations_Per_Lift]],ContainerOtherOpsCostPerPickup[[#This Row],[Other_DirectCosts_Per_Lift]])</f>
        <v>0.79424213374311559</v>
      </c>
      <c r="M29" s="185">
        <f>INDEX(LaborCostPerLift[Average_Lifts_Per_Week],MATCH(ContainerOtherOpsCostPerPickup[[#This Row],[Collection_ID]],LaborCostPerLift[Collection_ID],0))</f>
        <v>0.46511627906976744</v>
      </c>
      <c r="N29" s="86">
        <f>INDEX(LaborCostPerLift[Weeks_Per_Year],MATCH(ContainerOtherOpsCostPerPickup[[#This Row],[Collection_ID]],LaborCostPerLift[Collection_ID],0))</f>
        <v>52</v>
      </c>
      <c r="O29" s="87">
        <f>ContainerOtherOpsCostPerPickup[[#This Row],[OtherOps_Cost_Per_Lift]]*ContainerOtherOpsCostPerPickup[[#This Row],[Average_Lifts_Per_Week]]*ContainerOtherOpsCostPerPickup[[#This Row],[Weeks_Per_Year]]</f>
        <v>19.209577188205586</v>
      </c>
    </row>
    <row r="30" spans="2:15" ht="15" x14ac:dyDescent="0.25">
      <c r="B30" s="607" t="str">
        <f>ContainerOtherOpsCostPerPickup[[#This Row],[Grouping_ID]]&amp;"-"&amp;ContainerOtherOpsCostPerPickup[[#This Row],[Sector_ID]]&amp;"-"&amp;ContainerOtherOpsCostPerPickup[[#This Row],[Frequency_ID]]&amp;"-"&amp;ContainerOtherOpsCostPerPickup[[#This Row],[SS_or_DS]]</f>
        <v>3-1-M-SS</v>
      </c>
      <c r="C30" s="14">
        <v>3</v>
      </c>
      <c r="D30" s="4" t="str">
        <f>INDEX(Grouping[Grouping_Name],MATCH(ContainerOtherOpsCostPerPickup[[#This Row],[Grouping_ID]],Grouping[Grouping_ID],0))</f>
        <v>3 - Other areas with curbside</v>
      </c>
      <c r="E30" s="14">
        <v>1</v>
      </c>
      <c r="F30" s="4" t="str">
        <f>INDEX(Sector[Sector_Name],MATCH(ContainerOtherOpsCostPerPickup[[#This Row],[Sector_ID]],Sector[Sector_ID],0))</f>
        <v>SF Res. (on-route)</v>
      </c>
      <c r="G30" s="18" t="s">
        <v>806</v>
      </c>
      <c r="H30" s="14" t="s">
        <v>67</v>
      </c>
      <c r="I30" s="4" t="str">
        <f>INDEX(Frequency[Collection_Frequency],MATCH(ContainerOtherOpsCostPerPickup[[#This Row],[Frequency_ID]],Frequency[Orig_Frequency_ID],0)+(ContainerOtherOpsCostPerPickup[[#This Row],[SS_or_DS]]="DS")*COUNTA(Frequency[Orig_Frequency_ID])/2)</f>
        <v>Monthly</v>
      </c>
      <c r="J30" s="77">
        <f>J28</f>
        <v>0.64659744224247295</v>
      </c>
      <c r="K30" s="77">
        <f>K28</f>
        <v>0.14764469150064266</v>
      </c>
      <c r="L30" s="84">
        <f>SUM(ContainerOtherOpsCostPerPickup[[#This Row],[Route_Operations_Per_Lift]],ContainerOtherOpsCostPerPickup[[#This Row],[Other_DirectCosts_Per_Lift]])</f>
        <v>0.79424213374311559</v>
      </c>
      <c r="M30" s="185">
        <f>INDEX(LaborCostPerLift[Average_Lifts_Per_Week],MATCH(ContainerOtherOpsCostPerPickup[[#This Row],[Collection_ID]],LaborCostPerLift[Collection_ID],0))</f>
        <v>0.23255813953488372</v>
      </c>
      <c r="N30" s="86">
        <f>INDEX(LaborCostPerLift[Weeks_Per_Year],MATCH(ContainerOtherOpsCostPerPickup[[#This Row],[Collection_ID]],LaborCostPerLift[Collection_ID],0))</f>
        <v>52</v>
      </c>
      <c r="O30" s="87">
        <f>ContainerOtherOpsCostPerPickup[[#This Row],[OtherOps_Cost_Per_Lift]]*ContainerOtherOpsCostPerPickup[[#This Row],[Average_Lifts_Per_Week]]*ContainerOtherOpsCostPerPickup[[#This Row],[Weeks_Per_Year]]</f>
        <v>9.6047885941027928</v>
      </c>
    </row>
    <row r="31" spans="2:15" ht="15" x14ac:dyDescent="0.25">
      <c r="B31" s="608" t="str">
        <f>ContainerOtherOpsCostPerPickup[[#This Row],[Grouping_ID]]&amp;"-"&amp;ContainerOtherOpsCostPerPickup[[#This Row],[Sector_ID]]&amp;"-"&amp;ContainerOtherOpsCostPerPickup[[#This Row],[Frequency_ID]]&amp;"-"&amp;ContainerOtherOpsCostPerPickup[[#This Row],[SS_or_DS]]</f>
        <v>3-1-U-SS</v>
      </c>
      <c r="C31" s="178">
        <v>3</v>
      </c>
      <c r="D31" s="163" t="str">
        <f>INDEX(Grouping[Grouping_Name],MATCH(ContainerOtherOpsCostPerPickup[[#This Row],[Grouping_ID]],Grouping[Grouping_ID],0))</f>
        <v>3 - Other areas with curbside</v>
      </c>
      <c r="E31" s="14">
        <v>1</v>
      </c>
      <c r="F31" s="163" t="str">
        <f>INDEX(Sector[Sector_Name],MATCH(ContainerOtherOpsCostPerPickup[[#This Row],[Sector_ID]],Sector[Sector_ID],0))</f>
        <v>SF Res. (on-route)</v>
      </c>
      <c r="G31" s="18" t="s">
        <v>806</v>
      </c>
      <c r="H31" s="14" t="s">
        <v>65</v>
      </c>
      <c r="I31" s="163" t="str">
        <f>INDEX(Frequency[Collection_Frequency],MATCH(ContainerOtherOpsCostPerPickup[[#This Row],[Frequency_ID]],Frequency[Orig_Frequency_ID],0)+(ContainerOtherOpsCostPerPickup[[#This Row],[SS_or_DS]]="DS")*COUNTA(Frequency[Orig_Frequency_ID])/2)</f>
        <v>Uncertain</v>
      </c>
      <c r="J31" s="77">
        <f>J28</f>
        <v>0.64659744224247295</v>
      </c>
      <c r="K31" s="77">
        <f>K28</f>
        <v>0.14764469150064266</v>
      </c>
      <c r="L31" s="168">
        <f>SUM(ContainerOtherOpsCostPerPickup[[#This Row],[Route_Operations_Per_Lift]],ContainerOtherOpsCostPerPickup[[#This Row],[Other_DirectCosts_Per_Lift]])</f>
        <v>0.79424213374311559</v>
      </c>
      <c r="M31" s="186">
        <f>INDEX(LaborCostPerLift[Average_Lifts_Per_Week],MATCH(ContainerOtherOpsCostPerPickup[[#This Row],[Collection_ID]],LaborCostPerLift[Collection_ID],0))</f>
        <v>1</v>
      </c>
      <c r="N31" s="169">
        <f>INDEX(LaborCostPerLift[Weeks_Per_Year],MATCH(ContainerOtherOpsCostPerPickup[[#This Row],[Collection_ID]],LaborCostPerLift[Collection_ID],0))</f>
        <v>52</v>
      </c>
      <c r="O31" s="170">
        <f>ContainerOtherOpsCostPerPickup[[#This Row],[OtherOps_Cost_Per_Lift]]*ContainerOtherOpsCostPerPickup[[#This Row],[Average_Lifts_Per_Week]]*ContainerOtherOpsCostPerPickup[[#This Row],[Weeks_Per_Year]]</f>
        <v>41.300590954642011</v>
      </c>
    </row>
    <row r="32" spans="2:15" ht="15" x14ac:dyDescent="0.25">
      <c r="B32" s="607" t="str">
        <f>ContainerOtherOpsCostPerPickup[[#This Row],[Grouping_ID]]&amp;"-"&amp;ContainerOtherOpsCostPerPickup[[#This Row],[Sector_ID]]&amp;"-"&amp;ContainerOtherOpsCostPerPickup[[#This Row],[Frequency_ID]]&amp;"-"&amp;ContainerOtherOpsCostPerPickup[[#This Row],[SS_or_DS]]</f>
        <v>1-2-V-DS</v>
      </c>
      <c r="C32" s="69">
        <v>1</v>
      </c>
      <c r="D32" s="4" t="str">
        <f>INDEX(Grouping[Grouping_Name],MATCH(ContainerOtherOpsCostPerPickup[[#This Row],[Grouping_ID]],Grouping[Grouping_ID],0))</f>
        <v>1 - Metro area</v>
      </c>
      <c r="E32" s="14">
        <v>2</v>
      </c>
      <c r="F32" s="4" t="str">
        <f>INDEX(Sector[Sector_Name],MATCH(ContainerOtherOpsCostPerPickup[[#This Row],[Sector_ID]],Sector[Sector_ID],0))</f>
        <v>MF Res. (on-route)</v>
      </c>
      <c r="G32" s="18" t="s">
        <v>808</v>
      </c>
      <c r="H32" s="14" t="s">
        <v>91</v>
      </c>
      <c r="I32" s="4" t="str">
        <f>INDEX(Frequency[Collection_Frequency],MATCH(ContainerOtherOpsCostPerPickup[[#This Row],[Frequency_ID]],Frequency[Orig_Frequency_ID],0)+(ContainerOtherOpsCostPerPickup[[#This Row],[SS_or_DS]]="DS")*COUNTA(Frequency[Orig_Frequency_ID])/2)</f>
        <v>Varies by customer need</v>
      </c>
      <c r="J32" s="77">
        <v>2.08</v>
      </c>
      <c r="K32" s="77">
        <v>0.86</v>
      </c>
      <c r="L32" s="187">
        <f>SUM(ContainerOtherOpsCostPerPickup[[#This Row],[Route_Operations_Per_Lift]],ContainerOtherOpsCostPerPickup[[#This Row],[Other_DirectCosts_Per_Lift]])</f>
        <v>2.94</v>
      </c>
      <c r="M32" s="185">
        <f>INDEX(LaborCostPerLift[Average_Lifts_Per_Week],MATCH(ContainerOtherOpsCostPerPickup[[#This Row],[Collection_ID]],LaborCostPerLift[Collection_ID],0))</f>
        <v>1.39</v>
      </c>
      <c r="N32" s="188">
        <f>INDEX(LaborCostPerLift[Weeks_Per_Year],MATCH(ContainerOtherOpsCostPerPickup[[#This Row],[Collection_ID]],LaborCostPerLift[Collection_ID],0))</f>
        <v>52</v>
      </c>
      <c r="O32" s="87">
        <f>ContainerOtherOpsCostPerPickup[[#This Row],[OtherOps_Cost_Per_Lift]]*ContainerOtherOpsCostPerPickup[[#This Row],[Average_Lifts_Per_Week]]*ContainerOtherOpsCostPerPickup[[#This Row],[Weeks_Per_Year]]</f>
        <v>212.50319999999999</v>
      </c>
    </row>
    <row r="33" spans="2:15" ht="15" x14ac:dyDescent="0.25">
      <c r="B33" s="607" t="str">
        <f>ContainerOtherOpsCostPerPickup[[#This Row],[Grouping_ID]]&amp;"-"&amp;ContainerOtherOpsCostPerPickup[[#This Row],[Sector_ID]]&amp;"-"&amp;ContainerOtherOpsCostPerPickup[[#This Row],[Frequency_ID]]&amp;"-"&amp;ContainerOtherOpsCostPerPickup[[#This Row],[SS_or_DS]]</f>
        <v>1-3-V-DS</v>
      </c>
      <c r="C33" s="69">
        <v>1</v>
      </c>
      <c r="D33" s="4" t="str">
        <f>INDEX(Grouping[Grouping_Name],MATCH(ContainerOtherOpsCostPerPickup[[#This Row],[Grouping_ID]],Grouping[Grouping_ID],0))</f>
        <v>1 - Metro area</v>
      </c>
      <c r="E33" s="14">
        <v>3</v>
      </c>
      <c r="F33" s="4" t="str">
        <f>INDEX(Sector[Sector_Name],MATCH(ContainerOtherOpsCostPerPickup[[#This Row],[Sector_ID]],Sector[Sector_ID],0))</f>
        <v>Commercial (on-route)</v>
      </c>
      <c r="G33" s="18" t="s">
        <v>808</v>
      </c>
      <c r="H33" s="14" t="s">
        <v>91</v>
      </c>
      <c r="I33" s="4" t="str">
        <f>INDEX(Frequency[Collection_Frequency],MATCH(ContainerOtherOpsCostPerPickup[[#This Row],[Frequency_ID]],Frequency[Orig_Frequency_ID],0)+(ContainerOtherOpsCostPerPickup[[#This Row],[SS_or_DS]]="DS")*COUNTA(Frequency[Orig_Frequency_ID])/2)</f>
        <v>Varies by customer need</v>
      </c>
      <c r="J33" s="77">
        <v>2.08</v>
      </c>
      <c r="K33" s="77">
        <v>0.86</v>
      </c>
      <c r="L33" s="187">
        <f>SUM(ContainerOtherOpsCostPerPickup[[#This Row],[Route_Operations_Per_Lift]],ContainerOtherOpsCostPerPickup[[#This Row],[Other_DirectCosts_Per_Lift]])</f>
        <v>2.94</v>
      </c>
      <c r="M33" s="185">
        <f>INDEX(LaborCostPerLift[Average_Lifts_Per_Week],MATCH(ContainerOtherOpsCostPerPickup[[#This Row],[Collection_ID]],LaborCostPerLift[Collection_ID],0))</f>
        <v>1.39</v>
      </c>
      <c r="N33" s="188">
        <f>INDEX(LaborCostPerLift[Weeks_Per_Year],MATCH(ContainerOtherOpsCostPerPickup[[#This Row],[Collection_ID]],LaborCostPerLift[Collection_ID],0))</f>
        <v>52</v>
      </c>
      <c r="O33" s="87">
        <f>ContainerOtherOpsCostPerPickup[[#This Row],[OtherOps_Cost_Per_Lift]]*ContainerOtherOpsCostPerPickup[[#This Row],[Average_Lifts_Per_Week]]*ContainerOtherOpsCostPerPickup[[#This Row],[Weeks_Per_Year]]</f>
        <v>212.50319999999999</v>
      </c>
    </row>
    <row r="34" spans="2:15" ht="15" x14ac:dyDescent="0.25">
      <c r="B34" s="607" t="str">
        <f>ContainerOtherOpsCostPerPickup[[#This Row],[Grouping_ID]]&amp;"-"&amp;ContainerOtherOpsCostPerPickup[[#This Row],[Sector_ID]]&amp;"-"&amp;ContainerOtherOpsCostPerPickup[[#This Row],[Frequency_ID]]&amp;"-"&amp;ContainerOtherOpsCostPerPickup[[#This Row],[SS_or_DS]]</f>
        <v>2-2-V-DS</v>
      </c>
      <c r="C34" s="69">
        <v>2</v>
      </c>
      <c r="D34" s="4" t="str">
        <f>INDEX(Grouping[Grouping_Name],MATCH(ContainerOtherOpsCostPerPickup[[#This Row],[Grouping_ID]],Grouping[Grouping_ID],0))</f>
        <v>2 - Willamette Valley, etc.</v>
      </c>
      <c r="E34" s="14">
        <v>2</v>
      </c>
      <c r="F34" s="4" t="str">
        <f>INDEX(Sector[Sector_Name],MATCH(ContainerOtherOpsCostPerPickup[[#This Row],[Sector_ID]],Sector[Sector_ID],0))</f>
        <v>MF Res. (on-route)</v>
      </c>
      <c r="G34" s="18" t="s">
        <v>808</v>
      </c>
      <c r="H34" s="14" t="s">
        <v>91</v>
      </c>
      <c r="I34" s="4" t="str">
        <f>INDEX(Frequency[Collection_Frequency],MATCH(ContainerOtherOpsCostPerPickup[[#This Row],[Frequency_ID]],Frequency[Orig_Frequency_ID],0)+(ContainerOtherOpsCostPerPickup[[#This Row],[SS_or_DS]]="DS")*COUNTA(Frequency[Orig_Frequency_ID])/2)</f>
        <v>Varies by customer need</v>
      </c>
      <c r="J34" s="77">
        <v>2.4300000000000002</v>
      </c>
      <c r="K34" s="77">
        <v>0.61</v>
      </c>
      <c r="L34" s="187">
        <f>SUM(ContainerOtherOpsCostPerPickup[[#This Row],[Route_Operations_Per_Lift]],ContainerOtherOpsCostPerPickup[[#This Row],[Other_DirectCosts_Per_Lift]])</f>
        <v>3.04</v>
      </c>
      <c r="M34" s="185">
        <f>INDEX(LaborCostPerLift[Average_Lifts_Per_Week],MATCH(ContainerOtherOpsCostPerPickup[[#This Row],[Collection_ID]],LaborCostPerLift[Collection_ID],0))</f>
        <v>1.0900000000000001</v>
      </c>
      <c r="N34" s="188">
        <f>INDEX(LaborCostPerLift[Weeks_Per_Year],MATCH(ContainerOtherOpsCostPerPickup[[#This Row],[Collection_ID]],LaborCostPerLift[Collection_ID],0))</f>
        <v>52</v>
      </c>
      <c r="O34" s="87">
        <f>ContainerOtherOpsCostPerPickup[[#This Row],[OtherOps_Cost_Per_Lift]]*ContainerOtherOpsCostPerPickup[[#This Row],[Average_Lifts_Per_Week]]*ContainerOtherOpsCostPerPickup[[#This Row],[Weeks_Per_Year]]</f>
        <v>172.30719999999999</v>
      </c>
    </row>
    <row r="35" spans="2:15" ht="15" x14ac:dyDescent="0.25">
      <c r="B35" s="607" t="str">
        <f>ContainerOtherOpsCostPerPickup[[#This Row],[Grouping_ID]]&amp;"-"&amp;ContainerOtherOpsCostPerPickup[[#This Row],[Sector_ID]]&amp;"-"&amp;ContainerOtherOpsCostPerPickup[[#This Row],[Frequency_ID]]&amp;"-"&amp;ContainerOtherOpsCostPerPickup[[#This Row],[SS_or_DS]]</f>
        <v>2-3-V-DS</v>
      </c>
      <c r="C35" s="69">
        <v>2</v>
      </c>
      <c r="D35" s="4" t="str">
        <f>INDEX(Grouping[Grouping_Name],MATCH(ContainerOtherOpsCostPerPickup[[#This Row],[Grouping_ID]],Grouping[Grouping_ID],0))</f>
        <v>2 - Willamette Valley, etc.</v>
      </c>
      <c r="E35" s="14">
        <v>3</v>
      </c>
      <c r="F35" s="4" t="str">
        <f>INDEX(Sector[Sector_Name],MATCH(ContainerOtherOpsCostPerPickup[[#This Row],[Sector_ID]],Sector[Sector_ID],0))</f>
        <v>Commercial (on-route)</v>
      </c>
      <c r="G35" s="18" t="s">
        <v>808</v>
      </c>
      <c r="H35" s="14" t="s">
        <v>91</v>
      </c>
      <c r="I35" s="4" t="str">
        <f>INDEX(Frequency[Collection_Frequency],MATCH(ContainerOtherOpsCostPerPickup[[#This Row],[Frequency_ID]],Frequency[Orig_Frequency_ID],0)+(ContainerOtherOpsCostPerPickup[[#This Row],[SS_or_DS]]="DS")*COUNTA(Frequency[Orig_Frequency_ID])/2)</f>
        <v>Varies by customer need</v>
      </c>
      <c r="J35" s="77">
        <v>2.4300000000000002</v>
      </c>
      <c r="K35" s="77">
        <v>0.61</v>
      </c>
      <c r="L35" s="187">
        <f>SUM(ContainerOtherOpsCostPerPickup[[#This Row],[Route_Operations_Per_Lift]],ContainerOtherOpsCostPerPickup[[#This Row],[Other_DirectCosts_Per_Lift]])</f>
        <v>3.04</v>
      </c>
      <c r="M35" s="185">
        <f>INDEX(LaborCostPerLift[Average_Lifts_Per_Week],MATCH(ContainerOtherOpsCostPerPickup[[#This Row],[Collection_ID]],LaborCostPerLift[Collection_ID],0))</f>
        <v>1.0900000000000001</v>
      </c>
      <c r="N35" s="188">
        <f>INDEX(LaborCostPerLift[Weeks_Per_Year],MATCH(ContainerOtherOpsCostPerPickup[[#This Row],[Collection_ID]],LaborCostPerLift[Collection_ID],0))</f>
        <v>52</v>
      </c>
      <c r="O35" s="87">
        <f>ContainerOtherOpsCostPerPickup[[#This Row],[OtherOps_Cost_Per_Lift]]*ContainerOtherOpsCostPerPickup[[#This Row],[Average_Lifts_Per_Week]]*ContainerOtherOpsCostPerPickup[[#This Row],[Weeks_Per_Year]]</f>
        <v>172.30719999999999</v>
      </c>
    </row>
    <row r="36" spans="2:15" ht="15" x14ac:dyDescent="0.25">
      <c r="B36" s="607" t="str">
        <f>ContainerOtherOpsCostPerPickup[[#This Row],[Grouping_ID]]&amp;"-"&amp;ContainerOtherOpsCostPerPickup[[#This Row],[Sector_ID]]&amp;"-"&amp;ContainerOtherOpsCostPerPickup[[#This Row],[Frequency_ID]]&amp;"-"&amp;ContainerOtherOpsCostPerPickup[[#This Row],[SS_or_DS]]</f>
        <v>3-2-V-DS</v>
      </c>
      <c r="C36" s="69">
        <v>3</v>
      </c>
      <c r="D36" s="4" t="str">
        <f>INDEX(Grouping[Grouping_Name],MATCH(ContainerOtherOpsCostPerPickup[[#This Row],[Grouping_ID]],Grouping[Grouping_ID],0))</f>
        <v>3 - Other areas with curbside</v>
      </c>
      <c r="E36" s="14">
        <v>2</v>
      </c>
      <c r="F36" s="4" t="str">
        <f>INDEX(Sector[Sector_Name],MATCH(ContainerOtherOpsCostPerPickup[[#This Row],[Sector_ID]],Sector[Sector_ID],0))</f>
        <v>MF Res. (on-route)</v>
      </c>
      <c r="G36" s="18" t="s">
        <v>808</v>
      </c>
      <c r="H36" s="14" t="s">
        <v>91</v>
      </c>
      <c r="I36" s="4" t="str">
        <f>INDEX(Frequency[Collection_Frequency],MATCH(ContainerOtherOpsCostPerPickup[[#This Row],[Frequency_ID]],Frequency[Orig_Frequency_ID],0)+(ContainerOtherOpsCostPerPickup[[#This Row],[SS_or_DS]]="DS")*COUNTA(Frequency[Orig_Frequency_ID])/2)</f>
        <v>Varies by customer need</v>
      </c>
      <c r="J36" s="77">
        <v>2.58</v>
      </c>
      <c r="K36" s="77">
        <v>0.46</v>
      </c>
      <c r="L36" s="187">
        <f>SUM(ContainerOtherOpsCostPerPickup[[#This Row],[Route_Operations_Per_Lift]],ContainerOtherOpsCostPerPickup[[#This Row],[Other_DirectCosts_Per_Lift]])</f>
        <v>3.04</v>
      </c>
      <c r="M36" s="185">
        <f>INDEX(LaborCostPerLift[Average_Lifts_Per_Week],MATCH(ContainerOtherOpsCostPerPickup[[#This Row],[Collection_ID]],LaborCostPerLift[Collection_ID],0))</f>
        <v>1.31</v>
      </c>
      <c r="N36" s="188">
        <f>INDEX(LaborCostPerLift[Weeks_Per_Year],MATCH(ContainerOtherOpsCostPerPickup[[#This Row],[Collection_ID]],LaborCostPerLift[Collection_ID],0))</f>
        <v>52</v>
      </c>
      <c r="O36" s="87">
        <f>ContainerOtherOpsCostPerPickup[[#This Row],[OtherOps_Cost_Per_Lift]]*ContainerOtherOpsCostPerPickup[[#This Row],[Average_Lifts_Per_Week]]*ContainerOtherOpsCostPerPickup[[#This Row],[Weeks_Per_Year]]</f>
        <v>207.0848</v>
      </c>
    </row>
    <row r="37" spans="2:15" ht="15" x14ac:dyDescent="0.25">
      <c r="B37" s="607" t="str">
        <f>ContainerOtherOpsCostPerPickup[[#This Row],[Grouping_ID]]&amp;"-"&amp;ContainerOtherOpsCostPerPickup[[#This Row],[Sector_ID]]&amp;"-"&amp;ContainerOtherOpsCostPerPickup[[#This Row],[Frequency_ID]]&amp;"-"&amp;ContainerOtherOpsCostPerPickup[[#This Row],[SS_or_DS]]</f>
        <v>3-3-V-DS</v>
      </c>
      <c r="C37" s="69">
        <v>3</v>
      </c>
      <c r="D37" s="4" t="str">
        <f>INDEX(Grouping[Grouping_Name],MATCH(ContainerOtherOpsCostPerPickup[[#This Row],[Grouping_ID]],Grouping[Grouping_ID],0))</f>
        <v>3 - Other areas with curbside</v>
      </c>
      <c r="E37" s="14">
        <v>3</v>
      </c>
      <c r="F37" s="4" t="str">
        <f>INDEX(Sector[Sector_Name],MATCH(ContainerOtherOpsCostPerPickup[[#This Row],[Sector_ID]],Sector[Sector_ID],0))</f>
        <v>Commercial (on-route)</v>
      </c>
      <c r="G37" s="18" t="s">
        <v>808</v>
      </c>
      <c r="H37" s="14" t="s">
        <v>91</v>
      </c>
      <c r="I37" s="4" t="str">
        <f>INDEX(Frequency[Collection_Frequency],MATCH(ContainerOtherOpsCostPerPickup[[#This Row],[Frequency_ID]],Frequency[Orig_Frequency_ID],0)+(ContainerOtherOpsCostPerPickup[[#This Row],[SS_or_DS]]="DS")*COUNTA(Frequency[Orig_Frequency_ID])/2)</f>
        <v>Varies by customer need</v>
      </c>
      <c r="J37" s="77">
        <v>2.58</v>
      </c>
      <c r="K37" s="77">
        <v>0.46</v>
      </c>
      <c r="L37" s="187">
        <f>SUM(ContainerOtherOpsCostPerPickup[[#This Row],[Route_Operations_Per_Lift]],ContainerOtherOpsCostPerPickup[[#This Row],[Other_DirectCosts_Per_Lift]])</f>
        <v>3.04</v>
      </c>
      <c r="M37" s="185">
        <f>INDEX(LaborCostPerLift[Average_Lifts_Per_Week],MATCH(ContainerOtherOpsCostPerPickup[[#This Row],[Collection_ID]],LaborCostPerLift[Collection_ID],0))</f>
        <v>1.31</v>
      </c>
      <c r="N37" s="188">
        <f>INDEX(LaborCostPerLift[Weeks_Per_Year],MATCH(ContainerOtherOpsCostPerPickup[[#This Row],[Collection_ID]],LaborCostPerLift[Collection_ID],0))</f>
        <v>52</v>
      </c>
      <c r="O37" s="87">
        <f>ContainerOtherOpsCostPerPickup[[#This Row],[OtherOps_Cost_Per_Lift]]*ContainerOtherOpsCostPerPickup[[#This Row],[Average_Lifts_Per_Week]]*ContainerOtherOpsCostPerPickup[[#This Row],[Weeks_Per_Year]]</f>
        <v>207.0848</v>
      </c>
    </row>
    <row r="38" spans="2:15" ht="15" x14ac:dyDescent="0.25">
      <c r="B38" s="607" t="str">
        <f>ContainerOtherOpsCostPerPickup[[#This Row],[Grouping_ID]]&amp;"-"&amp;ContainerOtherOpsCostPerPickup[[#This Row],[Sector_ID]]&amp;"-"&amp;ContainerOtherOpsCostPerPickup[[#This Row],[Frequency_ID]]&amp;"-"&amp;ContainerOtherOpsCostPerPickup[[#This Row],[SS_or_DS]]</f>
        <v>1-1-W-DS</v>
      </c>
      <c r="C38" s="14">
        <v>1</v>
      </c>
      <c r="D38" s="4" t="str">
        <f>INDEX(Grouping[Grouping_Name],MATCH(ContainerOtherOpsCostPerPickup[[#This Row],[Grouping_ID]],Grouping[Grouping_ID],0))</f>
        <v>1 - Metro area</v>
      </c>
      <c r="E38" s="14">
        <v>1</v>
      </c>
      <c r="F38" s="4" t="str">
        <f>INDEX(Sector[Sector_Name],MATCH(ContainerOtherOpsCostPerPickup[[#This Row],[Sector_ID]],Sector[Sector_ID],0))</f>
        <v>SF Res. (on-route)</v>
      </c>
      <c r="G38" s="18" t="s">
        <v>808</v>
      </c>
      <c r="H38" s="14" t="s">
        <v>64</v>
      </c>
      <c r="I38" s="4" t="str">
        <f>INDEX(Frequency[Collection_Frequency],MATCH(ContainerOtherOpsCostPerPickup[[#This Row],[Frequency_ID]],Frequency[Orig_Frequency_ID],0)+(ContainerOtherOpsCostPerPickup[[#This Row],[SS_or_DS]]="DS")*COUNTA(Frequency[Orig_Frequency_ID])/2)</f>
        <v>Weekly</v>
      </c>
      <c r="J38" s="77">
        <v>0.23</v>
      </c>
      <c r="K38" s="77">
        <v>7.0000000000000007E-2</v>
      </c>
      <c r="L38" s="187">
        <f>SUM(ContainerOtherOpsCostPerPickup[[#This Row],[Route_Operations_Per_Lift]],ContainerOtherOpsCostPerPickup[[#This Row],[Other_DirectCosts_Per_Lift]])</f>
        <v>0.30000000000000004</v>
      </c>
      <c r="M38" s="185">
        <f>INDEX(LaborCostPerLift[Average_Lifts_Per_Week],MATCH(ContainerOtherOpsCostPerPickup[[#This Row],[Collection_ID]],LaborCostPerLift[Collection_ID],0))</f>
        <v>1</v>
      </c>
      <c r="N38" s="188">
        <f>INDEX(LaborCostPerLift[Weeks_Per_Year],MATCH(ContainerOtherOpsCostPerPickup[[#This Row],[Collection_ID]],LaborCostPerLift[Collection_ID],0))</f>
        <v>52</v>
      </c>
      <c r="O38" s="87">
        <f>ContainerOtherOpsCostPerPickup[[#This Row],[OtherOps_Cost_Per_Lift]]*ContainerOtherOpsCostPerPickup[[#This Row],[Average_Lifts_Per_Week]]*ContainerOtherOpsCostPerPickup[[#This Row],[Weeks_Per_Year]]</f>
        <v>15.600000000000001</v>
      </c>
    </row>
    <row r="39" spans="2:15" ht="15" x14ac:dyDescent="0.25">
      <c r="B39" s="607" t="str">
        <f>ContainerOtherOpsCostPerPickup[[#This Row],[Grouping_ID]]&amp;"-"&amp;ContainerOtherOpsCostPerPickup[[#This Row],[Sector_ID]]&amp;"-"&amp;ContainerOtherOpsCostPerPickup[[#This Row],[Frequency_ID]]&amp;"-"&amp;ContainerOtherOpsCostPerPickup[[#This Row],[SS_or_DS]]</f>
        <v>1-1-E-DS</v>
      </c>
      <c r="C39" s="14">
        <v>1</v>
      </c>
      <c r="D39" s="4" t="str">
        <f>INDEX(Grouping[Grouping_Name],MATCH(ContainerOtherOpsCostPerPickup[[#This Row],[Grouping_ID]],Grouping[Grouping_ID],0))</f>
        <v>1 - Metro area</v>
      </c>
      <c r="E39" s="14">
        <v>1</v>
      </c>
      <c r="F39" s="4" t="str">
        <f>INDEX(Sector[Sector_Name],MATCH(ContainerOtherOpsCostPerPickup[[#This Row],[Sector_ID]],Sector[Sector_ID],0))</f>
        <v>SF Res. (on-route)</v>
      </c>
      <c r="G39" s="18" t="s">
        <v>808</v>
      </c>
      <c r="H39" s="14" t="s">
        <v>53</v>
      </c>
      <c r="I39" s="4" t="str">
        <f>INDEX(Frequency[Collection_Frequency],MATCH(ContainerOtherOpsCostPerPickup[[#This Row],[Frequency_ID]],Frequency[Orig_Frequency_ID],0)+(ContainerOtherOpsCostPerPickup[[#This Row],[SS_or_DS]]="DS")*COUNTA(Frequency[Orig_Frequency_ID])/2)</f>
        <v>Weekly (formerly every other week)</v>
      </c>
      <c r="J39" s="77">
        <v>0.23</v>
      </c>
      <c r="K39" s="77">
        <v>7.0000000000000007E-2</v>
      </c>
      <c r="L39" s="187">
        <f>SUM(ContainerOtherOpsCostPerPickup[[#This Row],[Route_Operations_Per_Lift]],ContainerOtherOpsCostPerPickup[[#This Row],[Other_DirectCosts_Per_Lift]])</f>
        <v>0.30000000000000004</v>
      </c>
      <c r="M39" s="185">
        <f>INDEX(LaborCostPerLift[Average_Lifts_Per_Week],MATCH(ContainerOtherOpsCostPerPickup[[#This Row],[Collection_ID]],LaborCostPerLift[Collection_ID],0))</f>
        <v>1</v>
      </c>
      <c r="N39" s="188">
        <f>INDEX(LaborCostPerLift[Weeks_Per_Year],MATCH(ContainerOtherOpsCostPerPickup[[#This Row],[Collection_ID]],LaborCostPerLift[Collection_ID],0))</f>
        <v>52</v>
      </c>
      <c r="O39" s="87">
        <f>ContainerOtherOpsCostPerPickup[[#This Row],[OtherOps_Cost_Per_Lift]]*ContainerOtherOpsCostPerPickup[[#This Row],[Average_Lifts_Per_Week]]*ContainerOtherOpsCostPerPickup[[#This Row],[Weeks_Per_Year]]</f>
        <v>15.600000000000001</v>
      </c>
    </row>
    <row r="40" spans="2:15" ht="15" x14ac:dyDescent="0.25">
      <c r="B40" s="607" t="str">
        <f>ContainerOtherOpsCostPerPickup[[#This Row],[Grouping_ID]]&amp;"-"&amp;ContainerOtherOpsCostPerPickup[[#This Row],[Sector_ID]]&amp;"-"&amp;ContainerOtherOpsCostPerPickup[[#This Row],[Frequency_ID]]&amp;"-"&amp;ContainerOtherOpsCostPerPickup[[#This Row],[SS_or_DS]]</f>
        <v>2-1-W-DS</v>
      </c>
      <c r="C40" s="14">
        <v>2</v>
      </c>
      <c r="D40" s="4" t="str">
        <f>INDEX(Grouping[Grouping_Name],MATCH(ContainerOtherOpsCostPerPickup[[#This Row],[Grouping_ID]],Grouping[Grouping_ID],0))</f>
        <v>2 - Willamette Valley, etc.</v>
      </c>
      <c r="E40" s="14">
        <v>1</v>
      </c>
      <c r="F40" s="4" t="str">
        <f>INDEX(Sector[Sector_Name],MATCH(ContainerOtherOpsCostPerPickup[[#This Row],[Sector_ID]],Sector[Sector_ID],0))</f>
        <v>SF Res. (on-route)</v>
      </c>
      <c r="G40" s="18" t="s">
        <v>808</v>
      </c>
      <c r="H40" s="14" t="s">
        <v>64</v>
      </c>
      <c r="I40" s="4" t="str">
        <f>INDEX(Frequency[Collection_Frequency],MATCH(ContainerOtherOpsCostPerPickup[[#This Row],[Frequency_ID]],Frequency[Orig_Frequency_ID],0)+(ContainerOtherOpsCostPerPickup[[#This Row],[SS_or_DS]]="DS")*COUNTA(Frequency[Orig_Frequency_ID])/2)</f>
        <v>Weekly</v>
      </c>
      <c r="J40" s="77">
        <v>0.39</v>
      </c>
      <c r="K40" s="77">
        <v>7.0000000000000007E-2</v>
      </c>
      <c r="L40" s="187">
        <f>SUM(ContainerOtherOpsCostPerPickup[[#This Row],[Route_Operations_Per_Lift]],ContainerOtherOpsCostPerPickup[[#This Row],[Other_DirectCosts_Per_Lift]])</f>
        <v>0.46</v>
      </c>
      <c r="M40" s="185">
        <f>INDEX(LaborCostPerLift[Average_Lifts_Per_Week],MATCH(ContainerOtherOpsCostPerPickup[[#This Row],[Collection_ID]],LaborCostPerLift[Collection_ID],0))</f>
        <v>1</v>
      </c>
      <c r="N40" s="188">
        <f>INDEX(LaborCostPerLift[Weeks_Per_Year],MATCH(ContainerOtherOpsCostPerPickup[[#This Row],[Collection_ID]],LaborCostPerLift[Collection_ID],0))</f>
        <v>52</v>
      </c>
      <c r="O40" s="87">
        <f>ContainerOtherOpsCostPerPickup[[#This Row],[OtherOps_Cost_Per_Lift]]*ContainerOtherOpsCostPerPickup[[#This Row],[Average_Lifts_Per_Week]]*ContainerOtherOpsCostPerPickup[[#This Row],[Weeks_Per_Year]]</f>
        <v>23.92</v>
      </c>
    </row>
    <row r="41" spans="2:15" ht="15" x14ac:dyDescent="0.25">
      <c r="B41" s="607" t="str">
        <f>ContainerOtherOpsCostPerPickup[[#This Row],[Grouping_ID]]&amp;"-"&amp;ContainerOtherOpsCostPerPickup[[#This Row],[Sector_ID]]&amp;"-"&amp;ContainerOtherOpsCostPerPickup[[#This Row],[Frequency_ID]]&amp;"-"&amp;ContainerOtherOpsCostPerPickup[[#This Row],[SS_or_DS]]</f>
        <v>2-1-E-DS</v>
      </c>
      <c r="C41" s="14">
        <v>2</v>
      </c>
      <c r="D41" s="4" t="str">
        <f>INDEX(Grouping[Grouping_Name],MATCH(ContainerOtherOpsCostPerPickup[[#This Row],[Grouping_ID]],Grouping[Grouping_ID],0))</f>
        <v>2 - Willamette Valley, etc.</v>
      </c>
      <c r="E41" s="14">
        <v>1</v>
      </c>
      <c r="F41" s="4" t="str">
        <f>INDEX(Sector[Sector_Name],MATCH(ContainerOtherOpsCostPerPickup[[#This Row],[Sector_ID]],Sector[Sector_ID],0))</f>
        <v>SF Res. (on-route)</v>
      </c>
      <c r="G41" s="18" t="s">
        <v>808</v>
      </c>
      <c r="H41" s="14" t="s">
        <v>53</v>
      </c>
      <c r="I41" s="4" t="str">
        <f>INDEX(Frequency[Collection_Frequency],MATCH(ContainerOtherOpsCostPerPickup[[#This Row],[Frequency_ID]],Frequency[Orig_Frequency_ID],0)+(ContainerOtherOpsCostPerPickup[[#This Row],[SS_or_DS]]="DS")*COUNTA(Frequency[Orig_Frequency_ID])/2)</f>
        <v>Weekly (formerly every other week)</v>
      </c>
      <c r="J41" s="77">
        <v>0.39</v>
      </c>
      <c r="K41" s="77">
        <v>7.0000000000000007E-2</v>
      </c>
      <c r="L41" s="187">
        <f>SUM(ContainerOtherOpsCostPerPickup[[#This Row],[Route_Operations_Per_Lift]],ContainerOtherOpsCostPerPickup[[#This Row],[Other_DirectCosts_Per_Lift]])</f>
        <v>0.46</v>
      </c>
      <c r="M41" s="185">
        <f>INDEX(LaborCostPerLift[Average_Lifts_Per_Week],MATCH(ContainerOtherOpsCostPerPickup[[#This Row],[Collection_ID]],LaborCostPerLift[Collection_ID],0))</f>
        <v>1</v>
      </c>
      <c r="N41" s="188">
        <f>INDEX(LaborCostPerLift[Weeks_Per_Year],MATCH(ContainerOtherOpsCostPerPickup[[#This Row],[Collection_ID]],LaborCostPerLift[Collection_ID],0))</f>
        <v>52</v>
      </c>
      <c r="O41" s="87">
        <f>ContainerOtherOpsCostPerPickup[[#This Row],[OtherOps_Cost_Per_Lift]]*ContainerOtherOpsCostPerPickup[[#This Row],[Average_Lifts_Per_Week]]*ContainerOtherOpsCostPerPickup[[#This Row],[Weeks_Per_Year]]</f>
        <v>23.92</v>
      </c>
    </row>
    <row r="42" spans="2:15" ht="15" x14ac:dyDescent="0.25">
      <c r="B42" s="607" t="str">
        <f>ContainerOtherOpsCostPerPickup[[#This Row],[Grouping_ID]]&amp;"-"&amp;ContainerOtherOpsCostPerPickup[[#This Row],[Sector_ID]]&amp;"-"&amp;ContainerOtherOpsCostPerPickup[[#This Row],[Frequency_ID]]&amp;"-"&amp;ContainerOtherOpsCostPerPickup[[#This Row],[SS_or_DS]]</f>
        <v>2-1-U-DS</v>
      </c>
      <c r="C42" s="14">
        <v>2</v>
      </c>
      <c r="D42" s="4" t="str">
        <f>INDEX(Grouping[Grouping_Name],MATCH(ContainerOtherOpsCostPerPickup[[#This Row],[Grouping_ID]],Grouping[Grouping_ID],0))</f>
        <v>2 - Willamette Valley, etc.</v>
      </c>
      <c r="E42" s="14">
        <v>1</v>
      </c>
      <c r="F42" s="4" t="str">
        <f>INDEX(Sector[Sector_Name],MATCH(ContainerOtherOpsCostPerPickup[[#This Row],[Sector_ID]],Sector[Sector_ID],0))</f>
        <v>SF Res. (on-route)</v>
      </c>
      <c r="G42" s="18" t="s">
        <v>808</v>
      </c>
      <c r="H42" s="14" t="s">
        <v>65</v>
      </c>
      <c r="I42" s="4" t="str">
        <f>INDEX(Frequency[Collection_Frequency],MATCH(ContainerOtherOpsCostPerPickup[[#This Row],[Frequency_ID]],Frequency[Orig_Frequency_ID],0)+(ContainerOtherOpsCostPerPickup[[#This Row],[SS_or_DS]]="DS")*COUNTA(Frequency[Orig_Frequency_ID])/2)</f>
        <v>Uncertain</v>
      </c>
      <c r="J42" s="77">
        <v>0.39</v>
      </c>
      <c r="K42" s="77">
        <v>7.0000000000000007E-2</v>
      </c>
      <c r="L42" s="187">
        <f>SUM(ContainerOtherOpsCostPerPickup[[#This Row],[Route_Operations_Per_Lift]],ContainerOtherOpsCostPerPickup[[#This Row],[Other_DirectCosts_Per_Lift]])</f>
        <v>0.46</v>
      </c>
      <c r="M42" s="185">
        <f>INDEX(LaborCostPerLift[Average_Lifts_Per_Week],MATCH(ContainerOtherOpsCostPerPickup[[#This Row],[Collection_ID]],LaborCostPerLift[Collection_ID],0))</f>
        <v>1</v>
      </c>
      <c r="N42" s="188">
        <f>INDEX(LaborCostPerLift[Weeks_Per_Year],MATCH(ContainerOtherOpsCostPerPickup[[#This Row],[Collection_ID]],LaborCostPerLift[Collection_ID],0))</f>
        <v>52</v>
      </c>
      <c r="O42" s="87">
        <f>ContainerOtherOpsCostPerPickup[[#This Row],[OtherOps_Cost_Per_Lift]]*ContainerOtherOpsCostPerPickup[[#This Row],[Average_Lifts_Per_Week]]*ContainerOtherOpsCostPerPickup[[#This Row],[Weeks_Per_Year]]</f>
        <v>23.92</v>
      </c>
    </row>
    <row r="43" spans="2:15" ht="15" x14ac:dyDescent="0.25">
      <c r="B43" s="607" t="str">
        <f>ContainerOtherOpsCostPerPickup[[#This Row],[Grouping_ID]]&amp;"-"&amp;ContainerOtherOpsCostPerPickup[[#This Row],[Sector_ID]]&amp;"-"&amp;ContainerOtherOpsCostPerPickup[[#This Row],[Frequency_ID]]&amp;"-"&amp;ContainerOtherOpsCostPerPickup[[#This Row],[SS_or_DS]]</f>
        <v>3-1-W-DS</v>
      </c>
      <c r="C43" s="14">
        <v>3</v>
      </c>
      <c r="D43" s="4" t="str">
        <f>INDEX(Grouping[Grouping_Name],MATCH(ContainerOtherOpsCostPerPickup[[#This Row],[Grouping_ID]],Grouping[Grouping_ID],0))</f>
        <v>3 - Other areas with curbside</v>
      </c>
      <c r="E43" s="14">
        <v>1</v>
      </c>
      <c r="F43" s="4" t="str">
        <f>INDEX(Sector[Sector_Name],MATCH(ContainerOtherOpsCostPerPickup[[#This Row],[Sector_ID]],Sector[Sector_ID],0))</f>
        <v>SF Res. (on-route)</v>
      </c>
      <c r="G43" s="18" t="s">
        <v>808</v>
      </c>
      <c r="H43" s="14" t="s">
        <v>64</v>
      </c>
      <c r="I43" s="4" t="str">
        <f>INDEX(Frequency[Collection_Frequency],MATCH(ContainerOtherOpsCostPerPickup[[#This Row],[Frequency_ID]],Frequency[Orig_Frequency_ID],0)+(ContainerOtherOpsCostPerPickup[[#This Row],[SS_or_DS]]="DS")*COUNTA(Frequency[Orig_Frequency_ID])/2)</f>
        <v>Weekly</v>
      </c>
      <c r="J43" s="77">
        <v>0.54</v>
      </c>
      <c r="K43" s="77">
        <v>0.12</v>
      </c>
      <c r="L43" s="187">
        <f>SUM(ContainerOtherOpsCostPerPickup[[#This Row],[Route_Operations_Per_Lift]],ContainerOtherOpsCostPerPickup[[#This Row],[Other_DirectCosts_Per_Lift]])</f>
        <v>0.66</v>
      </c>
      <c r="M43" s="185">
        <f>INDEX(LaborCostPerLift[Average_Lifts_Per_Week],MATCH(ContainerOtherOpsCostPerPickup[[#This Row],[Collection_ID]],LaborCostPerLift[Collection_ID],0))</f>
        <v>1</v>
      </c>
      <c r="N43" s="188">
        <f>INDEX(LaborCostPerLift[Weeks_Per_Year],MATCH(ContainerOtherOpsCostPerPickup[[#This Row],[Collection_ID]],LaborCostPerLift[Collection_ID],0))</f>
        <v>52</v>
      </c>
      <c r="O43" s="87">
        <f>ContainerOtherOpsCostPerPickup[[#This Row],[OtherOps_Cost_Per_Lift]]*ContainerOtherOpsCostPerPickup[[#This Row],[Average_Lifts_Per_Week]]*ContainerOtherOpsCostPerPickup[[#This Row],[Weeks_Per_Year]]</f>
        <v>34.32</v>
      </c>
    </row>
    <row r="44" spans="2:15" ht="15" x14ac:dyDescent="0.25">
      <c r="B44" s="607" t="str">
        <f>ContainerOtherOpsCostPerPickup[[#This Row],[Grouping_ID]]&amp;"-"&amp;ContainerOtherOpsCostPerPickup[[#This Row],[Sector_ID]]&amp;"-"&amp;ContainerOtherOpsCostPerPickup[[#This Row],[Frequency_ID]]&amp;"-"&amp;ContainerOtherOpsCostPerPickup[[#This Row],[SS_or_DS]]</f>
        <v>3-1-E-DS</v>
      </c>
      <c r="C44" s="14">
        <v>3</v>
      </c>
      <c r="D44" s="4" t="str">
        <f>INDEX(Grouping[Grouping_Name],MATCH(ContainerOtherOpsCostPerPickup[[#This Row],[Grouping_ID]],Grouping[Grouping_ID],0))</f>
        <v>3 - Other areas with curbside</v>
      </c>
      <c r="E44" s="14">
        <v>1</v>
      </c>
      <c r="F44" s="4" t="str">
        <f>INDEX(Sector[Sector_Name],MATCH(ContainerOtherOpsCostPerPickup[[#This Row],[Sector_ID]],Sector[Sector_ID],0))</f>
        <v>SF Res. (on-route)</v>
      </c>
      <c r="G44" s="18" t="s">
        <v>808</v>
      </c>
      <c r="H44" s="14" t="s">
        <v>53</v>
      </c>
      <c r="I44" s="4" t="str">
        <f>INDEX(Frequency[Collection_Frequency],MATCH(ContainerOtherOpsCostPerPickup[[#This Row],[Frequency_ID]],Frequency[Orig_Frequency_ID],0)+(ContainerOtherOpsCostPerPickup[[#This Row],[SS_or_DS]]="DS")*COUNTA(Frequency[Orig_Frequency_ID])/2)</f>
        <v>Weekly (formerly every other week)</v>
      </c>
      <c r="J44" s="77">
        <v>0.54</v>
      </c>
      <c r="K44" s="77">
        <v>0.12</v>
      </c>
      <c r="L44" s="187">
        <f>SUM(ContainerOtherOpsCostPerPickup[[#This Row],[Route_Operations_Per_Lift]],ContainerOtherOpsCostPerPickup[[#This Row],[Other_DirectCosts_Per_Lift]])</f>
        <v>0.66</v>
      </c>
      <c r="M44" s="185">
        <f>INDEX(LaborCostPerLift[Average_Lifts_Per_Week],MATCH(ContainerOtherOpsCostPerPickup[[#This Row],[Collection_ID]],LaborCostPerLift[Collection_ID],0))</f>
        <v>1</v>
      </c>
      <c r="N44" s="188">
        <f>INDEX(LaborCostPerLift[Weeks_Per_Year],MATCH(ContainerOtherOpsCostPerPickup[[#This Row],[Collection_ID]],LaborCostPerLift[Collection_ID],0))</f>
        <v>52</v>
      </c>
      <c r="O44" s="87">
        <f>ContainerOtherOpsCostPerPickup[[#This Row],[OtherOps_Cost_Per_Lift]]*ContainerOtherOpsCostPerPickup[[#This Row],[Average_Lifts_Per_Week]]*ContainerOtherOpsCostPerPickup[[#This Row],[Weeks_Per_Year]]</f>
        <v>34.32</v>
      </c>
    </row>
    <row r="45" spans="2:15" ht="15" x14ac:dyDescent="0.25">
      <c r="B45" s="607" t="str">
        <f>ContainerOtherOpsCostPerPickup[[#This Row],[Grouping_ID]]&amp;"-"&amp;ContainerOtherOpsCostPerPickup[[#This Row],[Sector_ID]]&amp;"-"&amp;ContainerOtherOpsCostPerPickup[[#This Row],[Frequency_ID]]&amp;"-"&amp;ContainerOtherOpsCostPerPickup[[#This Row],[SS_or_DS]]</f>
        <v>3-1-BM-DS</v>
      </c>
      <c r="C45" s="14">
        <v>3</v>
      </c>
      <c r="D45" s="4" t="str">
        <f>INDEX(Grouping[Grouping_Name],MATCH(ContainerOtherOpsCostPerPickup[[#This Row],[Grouping_ID]],Grouping[Grouping_ID],0))</f>
        <v>3 - Other areas with curbside</v>
      </c>
      <c r="E45" s="14">
        <v>1</v>
      </c>
      <c r="F45" s="4" t="str">
        <f>INDEX(Sector[Sector_Name],MATCH(ContainerOtherOpsCostPerPickup[[#This Row],[Sector_ID]],Sector[Sector_ID],0))</f>
        <v>SF Res. (on-route)</v>
      </c>
      <c r="G45" s="18" t="s">
        <v>808</v>
      </c>
      <c r="H45" s="14" t="s">
        <v>66</v>
      </c>
      <c r="I45" s="4" t="str">
        <f>INDEX(Frequency[Collection_Frequency],MATCH(ContainerOtherOpsCostPerPickup[[#This Row],[Frequency_ID]],Frequency[Orig_Frequency_ID],0)+(ContainerOtherOpsCostPerPickup[[#This Row],[SS_or_DS]]="DS")*COUNTA(Frequency[Orig_Frequency_ID])/2)</f>
        <v>Weekly (formerly bimonthly)</v>
      </c>
      <c r="J45" s="77">
        <v>0.54</v>
      </c>
      <c r="K45" s="77">
        <v>0.12</v>
      </c>
      <c r="L45" s="187">
        <f>SUM(ContainerOtherOpsCostPerPickup[[#This Row],[Route_Operations_Per_Lift]],ContainerOtherOpsCostPerPickup[[#This Row],[Other_DirectCosts_Per_Lift]])</f>
        <v>0.66</v>
      </c>
      <c r="M45" s="185">
        <f>INDEX(LaborCostPerLift[Average_Lifts_Per_Week],MATCH(ContainerOtherOpsCostPerPickup[[#This Row],[Collection_ID]],LaborCostPerLift[Collection_ID],0))</f>
        <v>1</v>
      </c>
      <c r="N45" s="188">
        <f>INDEX(LaborCostPerLift[Weeks_Per_Year],MATCH(ContainerOtherOpsCostPerPickup[[#This Row],[Collection_ID]],LaborCostPerLift[Collection_ID],0))</f>
        <v>52</v>
      </c>
      <c r="O45" s="87">
        <f>ContainerOtherOpsCostPerPickup[[#This Row],[OtherOps_Cost_Per_Lift]]*ContainerOtherOpsCostPerPickup[[#This Row],[Average_Lifts_Per_Week]]*ContainerOtherOpsCostPerPickup[[#This Row],[Weeks_Per_Year]]</f>
        <v>34.32</v>
      </c>
    </row>
    <row r="46" spans="2:15" ht="15" x14ac:dyDescent="0.25">
      <c r="B46" s="607" t="str">
        <f>ContainerOtherOpsCostPerPickup[[#This Row],[Grouping_ID]]&amp;"-"&amp;ContainerOtherOpsCostPerPickup[[#This Row],[Sector_ID]]&amp;"-"&amp;ContainerOtherOpsCostPerPickup[[#This Row],[Frequency_ID]]&amp;"-"&amp;ContainerOtherOpsCostPerPickup[[#This Row],[SS_or_DS]]</f>
        <v>3-1-M-DS</v>
      </c>
      <c r="C46" s="14">
        <v>3</v>
      </c>
      <c r="D46" s="4" t="str">
        <f>INDEX(Grouping[Grouping_Name],MATCH(ContainerOtherOpsCostPerPickup[[#This Row],[Grouping_ID]],Grouping[Grouping_ID],0))</f>
        <v>3 - Other areas with curbside</v>
      </c>
      <c r="E46" s="14">
        <v>1</v>
      </c>
      <c r="F46" s="4" t="str">
        <f>INDEX(Sector[Sector_Name],MATCH(ContainerOtherOpsCostPerPickup[[#This Row],[Sector_ID]],Sector[Sector_ID],0))</f>
        <v>SF Res. (on-route)</v>
      </c>
      <c r="G46" s="18" t="s">
        <v>808</v>
      </c>
      <c r="H46" s="14" t="s">
        <v>67</v>
      </c>
      <c r="I46" s="4" t="str">
        <f>INDEX(Frequency[Collection_Frequency],MATCH(ContainerOtherOpsCostPerPickup[[#This Row],[Frequency_ID]],Frequency[Orig_Frequency_ID],0)+(ContainerOtherOpsCostPerPickup[[#This Row],[SS_or_DS]]="DS")*COUNTA(Frequency[Orig_Frequency_ID])/2)</f>
        <v>Weekly (formerly monthly)</v>
      </c>
      <c r="J46" s="77">
        <v>0.54</v>
      </c>
      <c r="K46" s="77">
        <v>0.12</v>
      </c>
      <c r="L46" s="187">
        <f>SUM(ContainerOtherOpsCostPerPickup[[#This Row],[Route_Operations_Per_Lift]],ContainerOtherOpsCostPerPickup[[#This Row],[Other_DirectCosts_Per_Lift]])</f>
        <v>0.66</v>
      </c>
      <c r="M46" s="185">
        <f>INDEX(LaborCostPerLift[Average_Lifts_Per_Week],MATCH(ContainerOtherOpsCostPerPickup[[#This Row],[Collection_ID]],LaborCostPerLift[Collection_ID],0))</f>
        <v>1</v>
      </c>
      <c r="N46" s="188">
        <f>INDEX(LaborCostPerLift[Weeks_Per_Year],MATCH(ContainerOtherOpsCostPerPickup[[#This Row],[Collection_ID]],LaborCostPerLift[Collection_ID],0))</f>
        <v>52</v>
      </c>
      <c r="O46" s="87">
        <f>ContainerOtherOpsCostPerPickup[[#This Row],[OtherOps_Cost_Per_Lift]]*ContainerOtherOpsCostPerPickup[[#This Row],[Average_Lifts_Per_Week]]*ContainerOtherOpsCostPerPickup[[#This Row],[Weeks_Per_Year]]</f>
        <v>34.32</v>
      </c>
    </row>
    <row r="47" spans="2:15" ht="15" x14ac:dyDescent="0.25">
      <c r="B47" s="607" t="str">
        <f>ContainerOtherOpsCostPerPickup[[#This Row],[Grouping_ID]]&amp;"-"&amp;ContainerOtherOpsCostPerPickup[[#This Row],[Sector_ID]]&amp;"-"&amp;ContainerOtherOpsCostPerPickup[[#This Row],[Frequency_ID]]&amp;"-"&amp;ContainerOtherOpsCostPerPickup[[#This Row],[SS_or_DS]]</f>
        <v>3-1-U-DS</v>
      </c>
      <c r="C47" s="178">
        <v>3</v>
      </c>
      <c r="D47" s="4" t="str">
        <f>INDEX(Grouping[Grouping_Name],MATCH(ContainerOtherOpsCostPerPickup[[#This Row],[Grouping_ID]],Grouping[Grouping_ID],0))</f>
        <v>3 - Other areas with curbside</v>
      </c>
      <c r="E47" s="14">
        <v>1</v>
      </c>
      <c r="F47" s="4" t="str">
        <f>INDEX(Sector[Sector_Name],MATCH(ContainerOtherOpsCostPerPickup[[#This Row],[Sector_ID]],Sector[Sector_ID],0))</f>
        <v>SF Res. (on-route)</v>
      </c>
      <c r="G47" s="18" t="s">
        <v>808</v>
      </c>
      <c r="H47" s="14" t="s">
        <v>65</v>
      </c>
      <c r="I47" s="4" t="str">
        <f>INDEX(Frequency[Collection_Frequency],MATCH(ContainerOtherOpsCostPerPickup[[#This Row],[Frequency_ID]],Frequency[Orig_Frequency_ID],0)+(ContainerOtherOpsCostPerPickup[[#This Row],[SS_or_DS]]="DS")*COUNTA(Frequency[Orig_Frequency_ID])/2)</f>
        <v>Uncertain</v>
      </c>
      <c r="J47" s="77">
        <v>0.54</v>
      </c>
      <c r="K47" s="77">
        <v>0.12</v>
      </c>
      <c r="L47" s="187">
        <f>SUM(ContainerOtherOpsCostPerPickup[[#This Row],[Route_Operations_Per_Lift]],ContainerOtherOpsCostPerPickup[[#This Row],[Other_DirectCosts_Per_Lift]])</f>
        <v>0.66</v>
      </c>
      <c r="M47" s="185">
        <f>INDEX(LaborCostPerLift[Average_Lifts_Per_Week],MATCH(ContainerOtherOpsCostPerPickup[[#This Row],[Collection_ID]],LaborCostPerLift[Collection_ID],0))</f>
        <v>1</v>
      </c>
      <c r="N47" s="188">
        <f>INDEX(LaborCostPerLift[Weeks_Per_Year],MATCH(ContainerOtherOpsCostPerPickup[[#This Row],[Collection_ID]],LaborCostPerLift[Collection_ID],0))</f>
        <v>52</v>
      </c>
      <c r="O47" s="87">
        <f>ContainerOtherOpsCostPerPickup[[#This Row],[OtherOps_Cost_Per_Lift]]*ContainerOtherOpsCostPerPickup[[#This Row],[Average_Lifts_Per_Week]]*ContainerOtherOpsCostPerPickup[[#This Row],[Weeks_Per_Year]]</f>
        <v>34.32</v>
      </c>
    </row>
  </sheetData>
  <sheetProtection algorithmName="SHA-512" hashValue="eU+GtRZGAmyRAeDD8AJt0Z6wR1fKkR8y//67bkQDrqz3VwBVXjs+5oF8tVg/16njyCdMrfOXXQYbOx/5o1AE4w==" saltValue="waez5pRZ5r4Cw7es8QCqFQ==" spinCount="100000" sheet="1" objects="1" scenario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851-48A2-4FA8-ADE0-2409F2987433}">
  <sheetPr>
    <tabColor theme="8"/>
  </sheetPr>
  <dimension ref="A1:R47"/>
  <sheetViews>
    <sheetView workbookViewId="0"/>
  </sheetViews>
  <sheetFormatPr defaultColWidth="9" defaultRowHeight="14.25" x14ac:dyDescent="0.2"/>
  <cols>
    <col min="1" max="1" width="2" style="34" bestFit="1" customWidth="1"/>
    <col min="2" max="2" width="14" style="34" customWidth="1"/>
    <col min="3" max="3" width="10.25" style="34" customWidth="1"/>
    <col min="4" max="4" width="22.75" style="34" customWidth="1"/>
    <col min="5" max="5" width="8" style="34" customWidth="1"/>
    <col min="6" max="6" width="20" style="34" customWidth="1"/>
    <col min="7" max="7" width="6.875" style="34" customWidth="1"/>
    <col min="8" max="8" width="16.5" style="34" customWidth="1"/>
    <col min="9" max="9" width="19.125" style="34" customWidth="1"/>
    <col min="10" max="13" width="16.875" style="34" customWidth="1"/>
    <col min="14" max="14" width="18.5" style="34" customWidth="1"/>
    <col min="15" max="18" width="16.875" style="34" customWidth="1"/>
    <col min="19" max="16384" width="9" style="34"/>
  </cols>
  <sheetData>
    <row r="1" spans="1:18" ht="20.25" thickBot="1" x14ac:dyDescent="0.25">
      <c r="A1" s="4"/>
      <c r="B1" s="65" t="s">
        <v>811</v>
      </c>
      <c r="C1" s="66"/>
      <c r="D1" s="66"/>
      <c r="E1" s="66"/>
      <c r="F1" s="66"/>
      <c r="G1" s="66"/>
      <c r="H1" s="79"/>
      <c r="I1" s="79"/>
      <c r="J1" s="79"/>
      <c r="K1" s="79"/>
      <c r="L1" s="79"/>
      <c r="M1" s="79"/>
      <c r="N1" s="79"/>
      <c r="O1" s="79"/>
      <c r="P1" s="79"/>
      <c r="Q1" s="79"/>
      <c r="R1" s="79"/>
    </row>
    <row r="2" spans="1:18" ht="15" thickTop="1" x14ac:dyDescent="0.2">
      <c r="A2" s="4"/>
      <c r="B2" s="4"/>
      <c r="C2" s="4"/>
      <c r="D2" s="4"/>
      <c r="E2" s="4"/>
      <c r="F2" s="4"/>
      <c r="G2" s="4"/>
      <c r="H2" s="10"/>
      <c r="I2" s="10"/>
      <c r="J2" s="10"/>
      <c r="K2" s="10"/>
      <c r="L2" s="10"/>
      <c r="M2" s="10"/>
      <c r="N2" s="10"/>
      <c r="O2" s="10"/>
      <c r="P2" s="10"/>
      <c r="Q2" s="10"/>
      <c r="R2" s="10"/>
    </row>
    <row r="3" spans="1:18" ht="17.25" thickBot="1" x14ac:dyDescent="0.25">
      <c r="A3" s="4"/>
      <c r="B3" s="74" t="s">
        <v>49</v>
      </c>
      <c r="C3" s="74"/>
      <c r="D3" s="74"/>
      <c r="E3" s="74"/>
      <c r="F3" s="74"/>
      <c r="G3" s="74"/>
      <c r="H3" s="74"/>
      <c r="I3" s="74"/>
      <c r="J3" s="74"/>
      <c r="K3" s="74"/>
      <c r="L3" s="74"/>
      <c r="M3" s="74"/>
      <c r="N3" s="74"/>
      <c r="O3" s="74"/>
      <c r="P3" s="74"/>
      <c r="Q3" s="74"/>
      <c r="R3" s="74"/>
    </row>
    <row r="4" spans="1:18" ht="15" thickTop="1" x14ac:dyDescent="0.2">
      <c r="A4" s="60"/>
      <c r="B4" s="80"/>
      <c r="C4" s="80"/>
      <c r="D4" s="80"/>
      <c r="E4" s="80"/>
      <c r="F4" s="80"/>
      <c r="G4" s="80"/>
      <c r="H4" s="80"/>
      <c r="I4" s="80"/>
      <c r="J4" s="80"/>
      <c r="K4" s="80"/>
      <c r="L4" s="80"/>
      <c r="M4" s="80"/>
      <c r="N4" s="80"/>
      <c r="O4" s="80"/>
      <c r="P4" s="80"/>
      <c r="Q4" s="80"/>
      <c r="R4" s="80"/>
    </row>
    <row r="5" spans="1:18" ht="15" x14ac:dyDescent="0.2">
      <c r="A5" s="4"/>
      <c r="B5" s="68" t="s">
        <v>50</v>
      </c>
      <c r="C5" s="4" t="s">
        <v>81</v>
      </c>
      <c r="D5" s="4"/>
      <c r="E5" s="4"/>
      <c r="F5" s="4"/>
      <c r="G5" s="4"/>
      <c r="H5" s="10"/>
      <c r="I5" s="10"/>
      <c r="J5" s="10"/>
      <c r="K5" s="10"/>
      <c r="L5" s="10"/>
      <c r="M5" s="10"/>
      <c r="N5" s="10"/>
      <c r="O5" s="10"/>
      <c r="P5" s="10"/>
      <c r="Q5" s="10"/>
      <c r="R5" s="10"/>
    </row>
    <row r="6" spans="1:18" ht="15" x14ac:dyDescent="0.2">
      <c r="A6" s="4"/>
      <c r="B6" s="68" t="s">
        <v>111</v>
      </c>
      <c r="C6" s="612" t="s">
        <v>54</v>
      </c>
      <c r="D6" s="612"/>
      <c r="E6" s="612"/>
      <c r="F6" s="612"/>
      <c r="G6" s="612"/>
      <c r="H6" s="612"/>
      <c r="I6" s="612"/>
      <c r="J6" s="612"/>
      <c r="K6" s="612"/>
      <c r="L6" s="612"/>
      <c r="M6" s="612"/>
      <c r="N6" s="612"/>
      <c r="O6" s="612"/>
      <c r="P6" s="4"/>
      <c r="Q6" s="4"/>
      <c r="R6" s="4"/>
    </row>
    <row r="7" spans="1:18" ht="15" x14ac:dyDescent="0.2">
      <c r="A7" s="4"/>
      <c r="B7" s="68" t="s">
        <v>75</v>
      </c>
      <c r="C7" s="18" t="s">
        <v>1124</v>
      </c>
      <c r="D7" s="110"/>
      <c r="E7" s="110"/>
      <c r="F7" s="110"/>
      <c r="G7" s="110"/>
      <c r="H7" s="111"/>
      <c r="I7" s="4"/>
      <c r="J7" s="4"/>
      <c r="K7" s="4"/>
      <c r="L7" s="4"/>
      <c r="M7" s="4"/>
      <c r="N7" s="4"/>
      <c r="O7" s="4"/>
      <c r="P7" s="4"/>
      <c r="Q7" s="4"/>
      <c r="R7" s="4"/>
    </row>
    <row r="8" spans="1:18" ht="15" x14ac:dyDescent="0.2">
      <c r="A8" s="4"/>
      <c r="B8" s="68"/>
      <c r="C8" s="4"/>
      <c r="D8" s="4"/>
      <c r="E8" s="4"/>
      <c r="F8" s="4"/>
      <c r="G8" s="4"/>
      <c r="H8" s="10"/>
      <c r="I8" s="4"/>
      <c r="J8" s="4"/>
      <c r="K8" s="4"/>
      <c r="L8" s="4"/>
      <c r="M8" s="4"/>
      <c r="N8" s="4"/>
      <c r="O8" s="4"/>
      <c r="P8" s="4"/>
      <c r="Q8" s="4"/>
      <c r="R8" s="4"/>
    </row>
    <row r="9" spans="1:18" ht="15" customHeight="1" x14ac:dyDescent="0.2">
      <c r="A9" s="4"/>
      <c r="B9" s="68"/>
      <c r="C9" s="68"/>
      <c r="D9" s="68"/>
      <c r="E9" s="68"/>
      <c r="F9" s="68"/>
      <c r="G9" s="68"/>
      <c r="H9" s="68"/>
      <c r="I9" s="68"/>
      <c r="J9" s="68"/>
      <c r="K9" s="68"/>
      <c r="L9" s="68"/>
      <c r="M9" s="68"/>
      <c r="N9" s="68"/>
      <c r="O9" s="68"/>
      <c r="P9" s="4"/>
      <c r="Q9" s="4"/>
      <c r="R9" s="4"/>
    </row>
    <row r="10" spans="1:18" ht="15" customHeight="1" x14ac:dyDescent="0.2">
      <c r="A10" s="4"/>
      <c r="P10" s="4"/>
      <c r="Q10" s="4"/>
      <c r="R10" s="4"/>
    </row>
    <row r="11" spans="1:18" x14ac:dyDescent="0.2">
      <c r="A11" s="4"/>
      <c r="D11" s="4"/>
      <c r="E11" s="4"/>
      <c r="F11" s="4"/>
      <c r="G11" s="4"/>
      <c r="H11" s="10"/>
      <c r="I11" s="4"/>
      <c r="J11" s="4"/>
      <c r="K11" s="4"/>
      <c r="L11" s="4"/>
      <c r="M11" s="4"/>
      <c r="N11" s="4"/>
      <c r="O11" s="4"/>
      <c r="P11" s="4"/>
      <c r="Q11" s="4"/>
      <c r="R11" s="4"/>
    </row>
    <row r="12" spans="1:18" ht="15" x14ac:dyDescent="0.2">
      <c r="A12" s="4"/>
      <c r="B12" s="68"/>
      <c r="C12" s="4"/>
      <c r="D12" s="4"/>
      <c r="E12" s="4"/>
      <c r="F12" s="4"/>
      <c r="G12" s="4"/>
      <c r="H12" s="10"/>
      <c r="I12" s="4"/>
      <c r="J12" s="4"/>
      <c r="K12" s="4"/>
      <c r="L12" s="4"/>
      <c r="M12" s="4"/>
      <c r="N12" s="4"/>
      <c r="O12" s="4"/>
      <c r="P12" s="4"/>
      <c r="Q12" s="4"/>
      <c r="R12" s="4"/>
    </row>
    <row r="14" spans="1:18" ht="15" x14ac:dyDescent="0.2">
      <c r="B14" s="67" t="s">
        <v>70</v>
      </c>
      <c r="C14" s="67"/>
      <c r="D14" s="67"/>
      <c r="E14" s="67"/>
      <c r="F14" s="67"/>
      <c r="G14" s="67"/>
      <c r="H14" s="68"/>
      <c r="K14" s="68" t="s">
        <v>50</v>
      </c>
      <c r="L14" s="68" t="s">
        <v>111</v>
      </c>
      <c r="M14" s="68" t="s">
        <v>816</v>
      </c>
      <c r="N14" s="68" t="s">
        <v>75</v>
      </c>
    </row>
    <row r="15" spans="1:18" ht="38.25" x14ac:dyDescent="0.2">
      <c r="B15" s="15" t="s">
        <v>55</v>
      </c>
      <c r="C15" s="15" t="s">
        <v>56</v>
      </c>
      <c r="D15" s="15" t="s">
        <v>57</v>
      </c>
      <c r="E15" s="15" t="s">
        <v>60</v>
      </c>
      <c r="F15" s="15" t="s">
        <v>61</v>
      </c>
      <c r="G15" s="15" t="s">
        <v>805</v>
      </c>
      <c r="H15" s="15" t="s">
        <v>58</v>
      </c>
      <c r="I15" s="15" t="s">
        <v>59</v>
      </c>
      <c r="J15" s="15" t="s">
        <v>814</v>
      </c>
      <c r="K15" s="15" t="s">
        <v>71</v>
      </c>
      <c r="L15" s="242" t="s">
        <v>72</v>
      </c>
      <c r="M15" s="242" t="s">
        <v>73</v>
      </c>
      <c r="N15" s="278" t="s">
        <v>74</v>
      </c>
      <c r="O15" s="15" t="s">
        <v>97</v>
      </c>
    </row>
    <row r="16" spans="1:18" ht="15" x14ac:dyDescent="0.2">
      <c r="B16" s="69" t="str">
        <f>ContainerMarginAdmin[[#This Row],[Grouping_ID]]&amp;"-"&amp;ContainerMarginAdmin[[#This Row],[Sector_ID]]&amp;"-"&amp;ContainerMarginAdmin[[#This Row],[Frequency_ID]]&amp;"-"&amp;ContainerMarginAdmin[[#This Row],[SS_or_DS]]</f>
        <v>1-2-V-SS</v>
      </c>
      <c r="C16" s="69">
        <v>1</v>
      </c>
      <c r="D16" s="4" t="str">
        <f>INDEX(Grouping[Grouping_Name],MATCH(ContainerMarginAdmin[[#This Row],[Grouping_ID]],Grouping[Grouping_ID],0))</f>
        <v>1 - Metro area</v>
      </c>
      <c r="E16" s="14">
        <v>2</v>
      </c>
      <c r="F16" s="4" t="str">
        <f>INDEX(Sector[Sector_Name],MATCH(ContainerMarginAdmin[[#This Row],[Sector_ID]],Sector[Sector_ID],0))</f>
        <v>MF Res. (on-route)</v>
      </c>
      <c r="G16" s="18" t="s">
        <v>806</v>
      </c>
      <c r="H16" s="14" t="s">
        <v>91</v>
      </c>
      <c r="I16" s="4" t="str">
        <f>INDEX(Frequency[Collection_Frequency],MATCH(ContainerMarginAdmin[[#This Row],[Frequency_ID]],Frequency[Orig_Frequency_ID],0)+(ContainerMarginAdmin[[#This Row],[SS_or_DS]]="DS")*COUNTA(Frequency[Orig_Frequency_ID])/2)</f>
        <v>Varies by customer need</v>
      </c>
      <c r="J16"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599.09943320346861</v>
      </c>
      <c r="K16" s="88">
        <v>0.15</v>
      </c>
      <c r="L16" s="84">
        <f>ContainerMarginAdmin[[#This Row],[Direct_Costs]]*(ContainerMarginAdmin[[#This Row],[Margin_FranchiseFee_Rate]]/(1-ContainerMarginAdmin[[#This Row],[Margin_FranchiseFee_Rate]]))</f>
        <v>105.72342938884741</v>
      </c>
      <c r="M16" s="77">
        <v>203.27962283918299</v>
      </c>
      <c r="N16" s="97">
        <v>1</v>
      </c>
      <c r="O16" s="87">
        <f>SUM(ContainerMarginAdmin[[#This Row],[Annual_Margin_FranchiseFee_PerCustomer]:[Annual_Engagement_Per_Customer]])</f>
        <v>310.00305222803041</v>
      </c>
    </row>
    <row r="17" spans="2:15" ht="15" x14ac:dyDescent="0.2">
      <c r="B17" s="14" t="str">
        <f>ContainerMarginAdmin[[#This Row],[Grouping_ID]]&amp;"-"&amp;ContainerMarginAdmin[[#This Row],[Sector_ID]]&amp;"-"&amp;ContainerMarginAdmin[[#This Row],[Frequency_ID]]&amp;"-"&amp;ContainerMarginAdmin[[#This Row],[SS_or_DS]]</f>
        <v>1-3-V-SS</v>
      </c>
      <c r="C17" s="69">
        <v>1</v>
      </c>
      <c r="D17" s="4" t="str">
        <f>INDEX(Grouping[Grouping_Name],MATCH(ContainerMarginAdmin[[#This Row],[Grouping_ID]],Grouping[Grouping_ID],0))</f>
        <v>1 - Metro area</v>
      </c>
      <c r="E17" s="14">
        <v>3</v>
      </c>
      <c r="F17" s="4" t="str">
        <f>INDEX(Sector[Sector_Name],MATCH(ContainerMarginAdmin[[#This Row],[Sector_ID]],Sector[Sector_ID],0))</f>
        <v>Commercial (on-route)</v>
      </c>
      <c r="G17" s="18" t="s">
        <v>806</v>
      </c>
      <c r="H17" s="14" t="s">
        <v>91</v>
      </c>
      <c r="I17" s="4" t="str">
        <f>INDEX(Frequency[Collection_Frequency],MATCH(ContainerMarginAdmin[[#This Row],[Frequency_ID]],Frequency[Orig_Frequency_ID],0)+(ContainerMarginAdmin[[#This Row],[SS_or_DS]]="DS")*COUNTA(Frequency[Orig_Frequency_ID])/2)</f>
        <v>Varies by customer need</v>
      </c>
      <c r="J17"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599.09943320346861</v>
      </c>
      <c r="K17" s="88">
        <v>0.15</v>
      </c>
      <c r="L17" s="84">
        <f>ContainerMarginAdmin[[#This Row],[Direct_Costs]]*(ContainerMarginAdmin[[#This Row],[Margin_FranchiseFee_Rate]]/(1-ContainerMarginAdmin[[#This Row],[Margin_FranchiseFee_Rate]]))</f>
        <v>105.72342938884741</v>
      </c>
      <c r="M17" s="77">
        <v>203.27962283918299</v>
      </c>
      <c r="N17" s="97">
        <v>1</v>
      </c>
      <c r="O17" s="87">
        <f>SUM(ContainerMarginAdmin[[#This Row],[Annual_Margin_FranchiseFee_PerCustomer]:[Annual_Engagement_Per_Customer]])</f>
        <v>310.00305222803041</v>
      </c>
    </row>
    <row r="18" spans="2:15" ht="15" x14ac:dyDescent="0.2">
      <c r="B18" s="14" t="str">
        <f>ContainerMarginAdmin[[#This Row],[Grouping_ID]]&amp;"-"&amp;ContainerMarginAdmin[[#This Row],[Sector_ID]]&amp;"-"&amp;ContainerMarginAdmin[[#This Row],[Frequency_ID]]&amp;"-"&amp;ContainerMarginAdmin[[#This Row],[SS_or_DS]]</f>
        <v>2-2-V-SS</v>
      </c>
      <c r="C18" s="69">
        <v>2</v>
      </c>
      <c r="D18" s="4" t="str">
        <f>INDEX(Grouping[Grouping_Name],MATCH(ContainerMarginAdmin[[#This Row],[Grouping_ID]],Grouping[Grouping_ID],0))</f>
        <v>2 - Willamette Valley, etc.</v>
      </c>
      <c r="E18" s="14">
        <v>2</v>
      </c>
      <c r="F18" s="4" t="str">
        <f>INDEX(Sector[Sector_Name],MATCH(ContainerMarginAdmin[[#This Row],[Sector_ID]],Sector[Sector_ID],0))</f>
        <v>MF Res. (on-route)</v>
      </c>
      <c r="G18" s="18" t="s">
        <v>806</v>
      </c>
      <c r="H18" s="14" t="s">
        <v>91</v>
      </c>
      <c r="I18" s="4" t="str">
        <f>INDEX(Frequency[Collection_Frequency],MATCH(ContainerMarginAdmin[[#This Row],[Frequency_ID]],Frequency[Orig_Frequency_ID],0)+(ContainerMarginAdmin[[#This Row],[SS_or_DS]]="DS")*COUNTA(Frequency[Orig_Frequency_ID])/2)</f>
        <v>Varies by customer need</v>
      </c>
      <c r="J18"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472.77321359223311</v>
      </c>
      <c r="K18" s="88">
        <v>0.15</v>
      </c>
      <c r="L18" s="84">
        <f>ContainerMarginAdmin[[#This Row],[Direct_Costs]]*(ContainerMarginAdmin[[#This Row],[Margin_FranchiseFee_Rate]]/(1-ContainerMarginAdmin[[#This Row],[Margin_FranchiseFee_Rate]]))</f>
        <v>83.430567104511724</v>
      </c>
      <c r="M18" s="77">
        <v>124.074742116121</v>
      </c>
      <c r="N18" s="97">
        <v>1</v>
      </c>
      <c r="O18" s="87">
        <f>SUM(ContainerMarginAdmin[[#This Row],[Annual_Margin_FranchiseFee_PerCustomer]:[Annual_Engagement_Per_Customer]])</f>
        <v>208.50530922063274</v>
      </c>
    </row>
    <row r="19" spans="2:15" ht="15" x14ac:dyDescent="0.2">
      <c r="B19" s="14" t="str">
        <f>ContainerMarginAdmin[[#This Row],[Grouping_ID]]&amp;"-"&amp;ContainerMarginAdmin[[#This Row],[Sector_ID]]&amp;"-"&amp;ContainerMarginAdmin[[#This Row],[Frequency_ID]]&amp;"-"&amp;ContainerMarginAdmin[[#This Row],[SS_or_DS]]</f>
        <v>2-3-V-SS</v>
      </c>
      <c r="C19" s="69">
        <v>2</v>
      </c>
      <c r="D19" s="4" t="str">
        <f>INDEX(Grouping[Grouping_Name],MATCH(ContainerMarginAdmin[[#This Row],[Grouping_ID]],Grouping[Grouping_ID],0))</f>
        <v>2 - Willamette Valley, etc.</v>
      </c>
      <c r="E19" s="14">
        <v>3</v>
      </c>
      <c r="F19" s="4" t="str">
        <f>INDEX(Sector[Sector_Name],MATCH(ContainerMarginAdmin[[#This Row],[Sector_ID]],Sector[Sector_ID],0))</f>
        <v>Commercial (on-route)</v>
      </c>
      <c r="G19" s="18" t="s">
        <v>806</v>
      </c>
      <c r="H19" s="14" t="s">
        <v>91</v>
      </c>
      <c r="I19" s="4" t="str">
        <f>INDEX(Frequency[Collection_Frequency],MATCH(ContainerMarginAdmin[[#This Row],[Frequency_ID]],Frequency[Orig_Frequency_ID],0)+(ContainerMarginAdmin[[#This Row],[SS_or_DS]]="DS")*COUNTA(Frequency[Orig_Frequency_ID])/2)</f>
        <v>Varies by customer need</v>
      </c>
      <c r="J19"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472.77321359223311</v>
      </c>
      <c r="K19" s="88">
        <v>0.15</v>
      </c>
      <c r="L19" s="84">
        <f>ContainerMarginAdmin[[#This Row],[Direct_Costs]]*(ContainerMarginAdmin[[#This Row],[Margin_FranchiseFee_Rate]]/(1-ContainerMarginAdmin[[#This Row],[Margin_FranchiseFee_Rate]]))</f>
        <v>83.430567104511724</v>
      </c>
      <c r="M19" s="77">
        <v>124.074742116121</v>
      </c>
      <c r="N19" s="97">
        <v>1</v>
      </c>
      <c r="O19" s="87">
        <f>SUM(ContainerMarginAdmin[[#This Row],[Annual_Margin_FranchiseFee_PerCustomer]:[Annual_Engagement_Per_Customer]])</f>
        <v>208.50530922063274</v>
      </c>
    </row>
    <row r="20" spans="2:15" ht="15" x14ac:dyDescent="0.2">
      <c r="B20" s="14" t="str">
        <f>ContainerMarginAdmin[[#This Row],[Grouping_ID]]&amp;"-"&amp;ContainerMarginAdmin[[#This Row],[Sector_ID]]&amp;"-"&amp;ContainerMarginAdmin[[#This Row],[Frequency_ID]]&amp;"-"&amp;ContainerMarginAdmin[[#This Row],[SS_or_DS]]</f>
        <v>3-2-V-SS</v>
      </c>
      <c r="C20" s="69">
        <v>3</v>
      </c>
      <c r="D20" s="4" t="str">
        <f>INDEX(Grouping[Grouping_Name],MATCH(ContainerMarginAdmin[[#This Row],[Grouping_ID]],Grouping[Grouping_ID],0))</f>
        <v>3 - Other areas with curbside</v>
      </c>
      <c r="E20" s="14">
        <v>2</v>
      </c>
      <c r="F20" s="4" t="str">
        <f>INDEX(Sector[Sector_Name],MATCH(ContainerMarginAdmin[[#This Row],[Sector_ID]],Sector[Sector_ID],0))</f>
        <v>MF Res. (on-route)</v>
      </c>
      <c r="G20" s="18" t="s">
        <v>806</v>
      </c>
      <c r="H20" s="14" t="s">
        <v>91</v>
      </c>
      <c r="I20" s="4" t="str">
        <f>INDEX(Frequency[Collection_Frequency],MATCH(ContainerMarginAdmin[[#This Row],[Frequency_ID]],Frequency[Orig_Frequency_ID],0)+(ContainerMarginAdmin[[#This Row],[SS_or_DS]]="DS")*COUNTA(Frequency[Orig_Frequency_ID])/2)</f>
        <v>Varies by customer need</v>
      </c>
      <c r="J20"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611.01268126577224</v>
      </c>
      <c r="K20" s="88">
        <v>0.15</v>
      </c>
      <c r="L20" s="84">
        <f>ContainerMarginAdmin[[#This Row],[Direct_Costs]]*(ContainerMarginAdmin[[#This Row],[Margin_FranchiseFee_Rate]]/(1-ContainerMarginAdmin[[#This Row],[Margin_FranchiseFee_Rate]]))</f>
        <v>107.8257672821951</v>
      </c>
      <c r="M20" s="77">
        <v>184.48875074008299</v>
      </c>
      <c r="N20" s="97">
        <v>1</v>
      </c>
      <c r="O20" s="87">
        <f>SUM(ContainerMarginAdmin[[#This Row],[Annual_Margin_FranchiseFee_PerCustomer]:[Annual_Engagement_Per_Customer]])</f>
        <v>293.31451802227809</v>
      </c>
    </row>
    <row r="21" spans="2:15" ht="15" x14ac:dyDescent="0.2">
      <c r="B21" s="14" t="str">
        <f>ContainerMarginAdmin[[#This Row],[Grouping_ID]]&amp;"-"&amp;ContainerMarginAdmin[[#This Row],[Sector_ID]]&amp;"-"&amp;ContainerMarginAdmin[[#This Row],[Frequency_ID]]&amp;"-"&amp;ContainerMarginAdmin[[#This Row],[SS_or_DS]]</f>
        <v>3-3-V-SS</v>
      </c>
      <c r="C21" s="69">
        <v>3</v>
      </c>
      <c r="D21" s="4" t="str">
        <f>INDEX(Grouping[Grouping_Name],MATCH(ContainerMarginAdmin[[#This Row],[Grouping_ID]],Grouping[Grouping_ID],0))</f>
        <v>3 - Other areas with curbside</v>
      </c>
      <c r="E21" s="14">
        <v>3</v>
      </c>
      <c r="F21" s="4" t="str">
        <f>INDEX(Sector[Sector_Name],MATCH(ContainerMarginAdmin[[#This Row],[Sector_ID]],Sector[Sector_ID],0))</f>
        <v>Commercial (on-route)</v>
      </c>
      <c r="G21" s="18" t="s">
        <v>806</v>
      </c>
      <c r="H21" s="14" t="s">
        <v>91</v>
      </c>
      <c r="I21" s="4" t="str">
        <f>INDEX(Frequency[Collection_Frequency],MATCH(ContainerMarginAdmin[[#This Row],[Frequency_ID]],Frequency[Orig_Frequency_ID],0)+(ContainerMarginAdmin[[#This Row],[SS_or_DS]]="DS")*COUNTA(Frequency[Orig_Frequency_ID])/2)</f>
        <v>Varies by customer need</v>
      </c>
      <c r="J21"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611.01268126577224</v>
      </c>
      <c r="K21" s="88">
        <v>0.15</v>
      </c>
      <c r="L21" s="84">
        <f>ContainerMarginAdmin[[#This Row],[Direct_Costs]]*(ContainerMarginAdmin[[#This Row],[Margin_FranchiseFee_Rate]]/(1-ContainerMarginAdmin[[#This Row],[Margin_FranchiseFee_Rate]]))</f>
        <v>107.8257672821951</v>
      </c>
      <c r="M21" s="77">
        <v>184.48875074008299</v>
      </c>
      <c r="N21" s="97">
        <v>1</v>
      </c>
      <c r="O21" s="87">
        <f>SUM(ContainerMarginAdmin[[#This Row],[Annual_Margin_FranchiseFee_PerCustomer]:[Annual_Engagement_Per_Customer]])</f>
        <v>293.31451802227809</v>
      </c>
    </row>
    <row r="22" spans="2:15" ht="15" x14ac:dyDescent="0.2">
      <c r="B22" s="189" t="str">
        <f>ContainerMarginAdmin[[#This Row],[Grouping_ID]]&amp;"-"&amp;ContainerMarginAdmin[[#This Row],[Sector_ID]]&amp;"-"&amp;ContainerMarginAdmin[[#This Row],[Frequency_ID]]&amp;"-"&amp;ContainerMarginAdmin[[#This Row],[SS_or_DS]]</f>
        <v>1-1-W-SS</v>
      </c>
      <c r="C22" s="14">
        <v>1</v>
      </c>
      <c r="D22" s="4" t="str">
        <f>INDEX(Grouping[Grouping_Name],MATCH(ContainerMarginAdmin[[#This Row],[Grouping_ID]],Grouping[Grouping_ID],0))</f>
        <v>1 - Metro area</v>
      </c>
      <c r="E22" s="14">
        <v>1</v>
      </c>
      <c r="F22" s="4" t="str">
        <f>INDEX(Sector[Sector_Name],MATCH(ContainerMarginAdmin[[#This Row],[Sector_ID]],Sector[Sector_ID],0))</f>
        <v>SF Res. (on-route)</v>
      </c>
      <c r="G22" s="18" t="s">
        <v>806</v>
      </c>
      <c r="H22" s="14" t="s">
        <v>64</v>
      </c>
      <c r="I22" s="4" t="str">
        <f>INDEX(Frequency[Collection_Frequency],MATCH(ContainerMarginAdmin[[#This Row],[Frequency_ID]],Frequency[Orig_Frequency_ID],0)+(ContainerMarginAdmin[[#This Row],[SS_or_DS]]="DS")*COUNTA(Frequency[Orig_Frequency_ID])/2)</f>
        <v>Weekly</v>
      </c>
      <c r="J22"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51.552194706318879</v>
      </c>
      <c r="K22" s="88">
        <v>0.15</v>
      </c>
      <c r="L22" s="84">
        <f>ContainerMarginAdmin[[#This Row],[Direct_Costs]]*(ContainerMarginAdmin[[#This Row],[Margin_FranchiseFee_Rate]]/(1-ContainerMarginAdmin[[#This Row],[Margin_FranchiseFee_Rate]]))</f>
        <v>9.0974461246445095</v>
      </c>
      <c r="M22" s="77">
        <v>14.003154896940501</v>
      </c>
      <c r="N22" s="97">
        <v>1</v>
      </c>
      <c r="O22" s="87">
        <f>SUM(ContainerMarginAdmin[[#This Row],[Annual_Margin_FranchiseFee_PerCustomer]:[Annual_Engagement_Per_Customer]])</f>
        <v>24.10060102158501</v>
      </c>
    </row>
    <row r="23" spans="2:15" ht="15" x14ac:dyDescent="0.2">
      <c r="B23" s="189" t="str">
        <f>ContainerMarginAdmin[[#This Row],[Grouping_ID]]&amp;"-"&amp;ContainerMarginAdmin[[#This Row],[Sector_ID]]&amp;"-"&amp;ContainerMarginAdmin[[#This Row],[Frequency_ID]]&amp;"-"&amp;ContainerMarginAdmin[[#This Row],[SS_or_DS]]</f>
        <v>1-1-E-SS</v>
      </c>
      <c r="C23" s="14">
        <v>1</v>
      </c>
      <c r="D23" s="4" t="str">
        <f>INDEX(Grouping[Grouping_Name],MATCH(ContainerMarginAdmin[[#This Row],[Grouping_ID]],Grouping[Grouping_ID],0))</f>
        <v>1 - Metro area</v>
      </c>
      <c r="E23" s="14">
        <v>1</v>
      </c>
      <c r="F23" s="4" t="str">
        <f>INDEX(Sector[Sector_Name],MATCH(ContainerMarginAdmin[[#This Row],[Sector_ID]],Sector[Sector_ID],0))</f>
        <v>SF Res. (on-route)</v>
      </c>
      <c r="G23" s="18" t="s">
        <v>806</v>
      </c>
      <c r="H23" s="14" t="s">
        <v>53</v>
      </c>
      <c r="I23" s="4" t="str">
        <f>INDEX(Frequency[Collection_Frequency],MATCH(ContainerMarginAdmin[[#This Row],[Frequency_ID]],Frequency[Orig_Frequency_ID],0)+(ContainerMarginAdmin[[#This Row],[SS_or_DS]]="DS")*COUNTA(Frequency[Orig_Frequency_ID])/2)</f>
        <v>Every other week</v>
      </c>
      <c r="J23"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41.355597836971761</v>
      </c>
      <c r="K23" s="88">
        <v>0.15</v>
      </c>
      <c r="L23" s="84">
        <f>ContainerMarginAdmin[[#This Row],[Direct_Costs]]*(ContainerMarginAdmin[[#This Row],[Margin_FranchiseFee_Rate]]/(1-ContainerMarginAdmin[[#This Row],[Margin_FranchiseFee_Rate]]))</f>
        <v>7.298046677112664</v>
      </c>
      <c r="M23" s="77">
        <v>9.9608209864851993</v>
      </c>
      <c r="N23" s="97">
        <v>1</v>
      </c>
      <c r="O23" s="87">
        <f>SUM(ContainerMarginAdmin[[#This Row],[Annual_Margin_FranchiseFee_PerCustomer]:[Annual_Engagement_Per_Customer]])</f>
        <v>18.258867663597862</v>
      </c>
    </row>
    <row r="24" spans="2:15" ht="15" x14ac:dyDescent="0.2">
      <c r="B24" s="189" t="str">
        <f>ContainerMarginAdmin[[#This Row],[Grouping_ID]]&amp;"-"&amp;ContainerMarginAdmin[[#This Row],[Sector_ID]]&amp;"-"&amp;ContainerMarginAdmin[[#This Row],[Frequency_ID]]&amp;"-"&amp;ContainerMarginAdmin[[#This Row],[SS_or_DS]]</f>
        <v>2-1-W-SS</v>
      </c>
      <c r="C24" s="14">
        <v>2</v>
      </c>
      <c r="D24" s="4" t="str">
        <f>INDEX(Grouping[Grouping_Name],MATCH(ContainerMarginAdmin[[#This Row],[Grouping_ID]],Grouping[Grouping_ID],0))</f>
        <v>2 - Willamette Valley, etc.</v>
      </c>
      <c r="E24" s="14">
        <v>1</v>
      </c>
      <c r="F24" s="4" t="str">
        <f>INDEX(Sector[Sector_Name],MATCH(ContainerMarginAdmin[[#This Row],[Sector_ID]],Sector[Sector_ID],0))</f>
        <v>SF Res. (on-route)</v>
      </c>
      <c r="G24" s="18" t="s">
        <v>806</v>
      </c>
      <c r="H24" s="14" t="s">
        <v>64</v>
      </c>
      <c r="I24" s="4" t="str">
        <f>INDEX(Frequency[Collection_Frequency],MATCH(ContainerMarginAdmin[[#This Row],[Frequency_ID]],Frequency[Orig_Frequency_ID],0)+(ContainerMarginAdmin[[#This Row],[SS_or_DS]]="DS")*COUNTA(Frequency[Orig_Frequency_ID])/2)</f>
        <v>Weekly</v>
      </c>
      <c r="J24"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58.915066725214785</v>
      </c>
      <c r="K24" s="88">
        <v>0.15</v>
      </c>
      <c r="L24" s="84">
        <f>ContainerMarginAdmin[[#This Row],[Direct_Costs]]*(ContainerMarginAdmin[[#This Row],[Margin_FranchiseFee_Rate]]/(1-ContainerMarginAdmin[[#This Row],[Margin_FranchiseFee_Rate]]))</f>
        <v>10.396776480920257</v>
      </c>
      <c r="M24" s="77">
        <v>15.465260218923898</v>
      </c>
      <c r="N24" s="97">
        <v>1</v>
      </c>
      <c r="O24" s="87">
        <f>SUM(ContainerMarginAdmin[[#This Row],[Annual_Margin_FranchiseFee_PerCustomer]:[Annual_Engagement_Per_Customer]])</f>
        <v>26.862036699844154</v>
      </c>
    </row>
    <row r="25" spans="2:15" ht="15" x14ac:dyDescent="0.2">
      <c r="B25" s="189" t="str">
        <f>ContainerMarginAdmin[[#This Row],[Grouping_ID]]&amp;"-"&amp;ContainerMarginAdmin[[#This Row],[Sector_ID]]&amp;"-"&amp;ContainerMarginAdmin[[#This Row],[Frequency_ID]]&amp;"-"&amp;ContainerMarginAdmin[[#This Row],[SS_or_DS]]</f>
        <v>2-1-E-SS</v>
      </c>
      <c r="C25" s="14">
        <v>2</v>
      </c>
      <c r="D25" s="4" t="str">
        <f>INDEX(Grouping[Grouping_Name],MATCH(ContainerMarginAdmin[[#This Row],[Grouping_ID]],Grouping[Grouping_ID],0))</f>
        <v>2 - Willamette Valley, etc.</v>
      </c>
      <c r="E25" s="14">
        <v>1</v>
      </c>
      <c r="F25" s="4" t="str">
        <f>INDEX(Sector[Sector_Name],MATCH(ContainerMarginAdmin[[#This Row],[Sector_ID]],Sector[Sector_ID],0))</f>
        <v>SF Res. (on-route)</v>
      </c>
      <c r="G25" s="18" t="s">
        <v>806</v>
      </c>
      <c r="H25" s="14" t="s">
        <v>53</v>
      </c>
      <c r="I25" s="4" t="str">
        <f>INDEX(Frequency[Collection_Frequency],MATCH(ContainerMarginAdmin[[#This Row],[Frequency_ID]],Frequency[Orig_Frequency_ID],0)+(ContainerMarginAdmin[[#This Row],[SS_or_DS]]="DS")*COUNTA(Frequency[Orig_Frequency_ID])/2)</f>
        <v>Every other week</v>
      </c>
      <c r="J25"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44.78016306291272</v>
      </c>
      <c r="K25" s="88">
        <v>0.15</v>
      </c>
      <c r="L25" s="84">
        <f>ContainerMarginAdmin[[#This Row],[Direct_Costs]]*(ContainerMarginAdmin[[#This Row],[Margin_FranchiseFee_Rate]]/(1-ContainerMarginAdmin[[#This Row],[Margin_FranchiseFee_Rate]]))</f>
        <v>7.902381716984598</v>
      </c>
      <c r="M25" s="77">
        <v>10.815086769158301</v>
      </c>
      <c r="N25" s="97">
        <v>1</v>
      </c>
      <c r="O25" s="87">
        <f>SUM(ContainerMarginAdmin[[#This Row],[Annual_Margin_FranchiseFee_PerCustomer]:[Annual_Engagement_Per_Customer]])</f>
        <v>19.717468486142899</v>
      </c>
    </row>
    <row r="26" spans="2:15" ht="15" x14ac:dyDescent="0.2">
      <c r="B26" s="189" t="str">
        <f>ContainerMarginAdmin[[#This Row],[Grouping_ID]]&amp;"-"&amp;ContainerMarginAdmin[[#This Row],[Sector_ID]]&amp;"-"&amp;ContainerMarginAdmin[[#This Row],[Frequency_ID]]&amp;"-"&amp;ContainerMarginAdmin[[#This Row],[SS_or_DS]]</f>
        <v>2-1-U-SS</v>
      </c>
      <c r="C26" s="14">
        <v>2</v>
      </c>
      <c r="D26" s="4" t="str">
        <f>INDEX(Grouping[Grouping_Name],MATCH(ContainerMarginAdmin[[#This Row],[Grouping_ID]],Grouping[Grouping_ID],0))</f>
        <v>2 - Willamette Valley, etc.</v>
      </c>
      <c r="E26" s="14">
        <v>1</v>
      </c>
      <c r="F26" s="4" t="str">
        <f>INDEX(Sector[Sector_Name],MATCH(ContainerMarginAdmin[[#This Row],[Sector_ID]],Sector[Sector_ID],0))</f>
        <v>SF Res. (on-route)</v>
      </c>
      <c r="G26" s="18" t="s">
        <v>806</v>
      </c>
      <c r="H26" s="14" t="s">
        <v>65</v>
      </c>
      <c r="I26" s="4" t="str">
        <f>INDEX(Frequency[Collection_Frequency],MATCH(ContainerMarginAdmin[[#This Row],[Frequency_ID]],Frequency[Orig_Frequency_ID],0)+(ContainerMarginAdmin[[#This Row],[SS_or_DS]]="DS")*COUNTA(Frequency[Orig_Frequency_ID])/2)</f>
        <v>Uncertain</v>
      </c>
      <c r="J26"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89.560326125825441</v>
      </c>
      <c r="K26" s="88">
        <f>K25</f>
        <v>0.15</v>
      </c>
      <c r="L26" s="84">
        <f>ContainerMarginAdmin[[#This Row],[Direct_Costs]]*(ContainerMarginAdmin[[#This Row],[Margin_FranchiseFee_Rate]]/(1-ContainerMarginAdmin[[#This Row],[Margin_FranchiseFee_Rate]]))</f>
        <v>15.804763433969196</v>
      </c>
      <c r="M26" s="77">
        <v>10.815086769158301</v>
      </c>
      <c r="N26" s="97">
        <v>1</v>
      </c>
      <c r="O26" s="87">
        <f>SUM(ContainerMarginAdmin[[#This Row],[Annual_Margin_FranchiseFee_PerCustomer]:[Annual_Engagement_Per_Customer]])</f>
        <v>27.619850203127498</v>
      </c>
    </row>
    <row r="27" spans="2:15" ht="15" x14ac:dyDescent="0.2">
      <c r="B27" s="189" t="str">
        <f>ContainerMarginAdmin[[#This Row],[Grouping_ID]]&amp;"-"&amp;ContainerMarginAdmin[[#This Row],[Sector_ID]]&amp;"-"&amp;ContainerMarginAdmin[[#This Row],[Frequency_ID]]&amp;"-"&amp;ContainerMarginAdmin[[#This Row],[SS_or_DS]]</f>
        <v>3-1-W-SS</v>
      </c>
      <c r="C27" s="14">
        <v>3</v>
      </c>
      <c r="D27" s="4" t="str">
        <f>INDEX(Grouping[Grouping_Name],MATCH(ContainerMarginAdmin[[#This Row],[Grouping_ID]],Grouping[Grouping_ID],0))</f>
        <v>3 - Other areas with curbside</v>
      </c>
      <c r="E27" s="14">
        <v>1</v>
      </c>
      <c r="F27" s="4" t="str">
        <f>INDEX(Sector[Sector_Name],MATCH(ContainerMarginAdmin[[#This Row],[Sector_ID]],Sector[Sector_ID],0))</f>
        <v>SF Res. (on-route)</v>
      </c>
      <c r="G27" s="18" t="s">
        <v>806</v>
      </c>
      <c r="H27" s="14" t="s">
        <v>64</v>
      </c>
      <c r="I27" s="4" t="str">
        <f>INDEX(Frequency[Collection_Frequency],MATCH(ContainerMarginAdmin[[#This Row],[Frequency_ID]],Frequency[Orig_Frequency_ID],0)+(ContainerMarginAdmin[[#This Row],[SS_or_DS]]="DS")*COUNTA(Frequency[Orig_Frequency_ID])/2)</f>
        <v>Weekly</v>
      </c>
      <c r="J27"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73.063192554327713</v>
      </c>
      <c r="K27" s="88">
        <v>0.15</v>
      </c>
      <c r="L27" s="84">
        <f>ContainerMarginAdmin[[#This Row],[Direct_Costs]]*(ContainerMarginAdmin[[#This Row],[Margin_FranchiseFee_Rate]]/(1-ContainerMarginAdmin[[#This Row],[Margin_FranchiseFee_Rate]]))</f>
        <v>12.893504568410775</v>
      </c>
      <c r="M27" s="77">
        <v>20.776995899403602</v>
      </c>
      <c r="N27" s="97">
        <v>1</v>
      </c>
      <c r="O27" s="87">
        <f>SUM(ContainerMarginAdmin[[#This Row],[Annual_Margin_FranchiseFee_PerCustomer]:[Annual_Engagement_Per_Customer]])</f>
        <v>34.670500467814378</v>
      </c>
    </row>
    <row r="28" spans="2:15" ht="15" x14ac:dyDescent="0.2">
      <c r="B28" s="189" t="str">
        <f>ContainerMarginAdmin[[#This Row],[Grouping_ID]]&amp;"-"&amp;ContainerMarginAdmin[[#This Row],[Sector_ID]]&amp;"-"&amp;ContainerMarginAdmin[[#This Row],[Frequency_ID]]&amp;"-"&amp;ContainerMarginAdmin[[#This Row],[SS_or_DS]]</f>
        <v>3-1-E-SS</v>
      </c>
      <c r="C28" s="14">
        <v>3</v>
      </c>
      <c r="D28" s="4" t="str">
        <f>INDEX(Grouping[Grouping_Name],MATCH(ContainerMarginAdmin[[#This Row],[Grouping_ID]],Grouping[Grouping_ID],0))</f>
        <v>3 - Other areas with curbside</v>
      </c>
      <c r="E28" s="14">
        <v>1</v>
      </c>
      <c r="F28" s="4" t="str">
        <f>INDEX(Sector[Sector_Name],MATCH(ContainerMarginAdmin[[#This Row],[Sector_ID]],Sector[Sector_ID],0))</f>
        <v>SF Res. (on-route)</v>
      </c>
      <c r="G28" s="18" t="s">
        <v>806</v>
      </c>
      <c r="H28" s="14" t="s">
        <v>53</v>
      </c>
      <c r="I28" s="4" t="str">
        <f>INDEX(Frequency[Collection_Frequency],MATCH(ContainerMarginAdmin[[#This Row],[Frequency_ID]],Frequency[Orig_Frequency_ID],0)+(ContainerMarginAdmin[[#This Row],[SS_or_DS]]="DS")*COUNTA(Frequency[Orig_Frequency_ID])/2)</f>
        <v>Every other week</v>
      </c>
      <c r="J28"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59.068010702850472</v>
      </c>
      <c r="K28" s="88">
        <v>0.15</v>
      </c>
      <c r="L28" s="84">
        <f>ContainerMarginAdmin[[#This Row],[Direct_Costs]]*(ContainerMarginAdmin[[#This Row],[Margin_FranchiseFee_Rate]]/(1-ContainerMarginAdmin[[#This Row],[Margin_FranchiseFee_Rate]]))</f>
        <v>10.423766594620671</v>
      </c>
      <c r="M28" s="77">
        <v>21.607476142459099</v>
      </c>
      <c r="N28" s="97">
        <v>1</v>
      </c>
      <c r="O28" s="87">
        <f>SUM(ContainerMarginAdmin[[#This Row],[Annual_Margin_FranchiseFee_PerCustomer]:[Annual_Engagement_Per_Customer]])</f>
        <v>33.031242737079772</v>
      </c>
    </row>
    <row r="29" spans="2:15" ht="15" x14ac:dyDescent="0.2">
      <c r="B29" s="189" t="str">
        <f>ContainerMarginAdmin[[#This Row],[Grouping_ID]]&amp;"-"&amp;ContainerMarginAdmin[[#This Row],[Sector_ID]]&amp;"-"&amp;ContainerMarginAdmin[[#This Row],[Frequency_ID]]&amp;"-"&amp;ContainerMarginAdmin[[#This Row],[SS_or_DS]]</f>
        <v>3-1-BM-SS</v>
      </c>
      <c r="C29" s="14">
        <v>3</v>
      </c>
      <c r="D29" s="4" t="str">
        <f>INDEX(Grouping[Grouping_Name],MATCH(ContainerMarginAdmin[[#This Row],[Grouping_ID]],Grouping[Grouping_ID],0))</f>
        <v>3 - Other areas with curbside</v>
      </c>
      <c r="E29" s="14">
        <v>1</v>
      </c>
      <c r="F29" s="4" t="str">
        <f>INDEX(Sector[Sector_Name],MATCH(ContainerMarginAdmin[[#This Row],[Sector_ID]],Sector[Sector_ID],0))</f>
        <v>SF Res. (on-route)</v>
      </c>
      <c r="G29" s="18" t="s">
        <v>806</v>
      </c>
      <c r="H29" s="14" t="s">
        <v>66</v>
      </c>
      <c r="I29" s="4" t="str">
        <f>INDEX(Frequency[Collection_Frequency],MATCH(ContainerMarginAdmin[[#This Row],[Frequency_ID]],Frequency[Orig_Frequency_ID],0)+(ContainerMarginAdmin[[#This Row],[SS_or_DS]]="DS")*COUNTA(Frequency[Orig_Frequency_ID])/2)</f>
        <v>Bimonthly</v>
      </c>
      <c r="J29"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54.946986700326015</v>
      </c>
      <c r="K29" s="88">
        <v>0.15</v>
      </c>
      <c r="L29" s="84">
        <f>ContainerMarginAdmin[[#This Row],[Direct_Costs]]*(ContainerMarginAdmin[[#This Row],[Margin_FranchiseFee_Rate]]/(1-ContainerMarginAdmin[[#This Row],[Margin_FranchiseFee_Rate]]))</f>
        <v>9.6965270647634156</v>
      </c>
      <c r="M29" s="77">
        <v>21.607476142459099</v>
      </c>
      <c r="N29" s="97">
        <v>1</v>
      </c>
      <c r="O29" s="87">
        <f>SUM(ContainerMarginAdmin[[#This Row],[Annual_Margin_FranchiseFee_PerCustomer]:[Annual_Engagement_Per_Customer]])</f>
        <v>32.304003207222515</v>
      </c>
    </row>
    <row r="30" spans="2:15" ht="15" x14ac:dyDescent="0.2">
      <c r="B30" s="189" t="str">
        <f>ContainerMarginAdmin[[#This Row],[Grouping_ID]]&amp;"-"&amp;ContainerMarginAdmin[[#This Row],[Sector_ID]]&amp;"-"&amp;ContainerMarginAdmin[[#This Row],[Frequency_ID]]&amp;"-"&amp;ContainerMarginAdmin[[#This Row],[SS_or_DS]]</f>
        <v>3-1-M-SS</v>
      </c>
      <c r="C30" s="14">
        <v>3</v>
      </c>
      <c r="D30" s="4" t="str">
        <f>INDEX(Grouping[Grouping_Name],MATCH(ContainerMarginAdmin[[#This Row],[Grouping_ID]],Grouping[Grouping_ID],0))</f>
        <v>3 - Other areas with curbside</v>
      </c>
      <c r="E30" s="14">
        <v>1</v>
      </c>
      <c r="F30" s="4" t="str">
        <f>INDEX(Sector[Sector_Name],MATCH(ContainerMarginAdmin[[#This Row],[Sector_ID]],Sector[Sector_ID],0))</f>
        <v>SF Res. (on-route)</v>
      </c>
      <c r="G30" s="18" t="s">
        <v>806</v>
      </c>
      <c r="H30" s="14" t="s">
        <v>67</v>
      </c>
      <c r="I30" s="4" t="str">
        <f>INDEX(Frequency[Collection_Frequency],MATCH(ContainerMarginAdmin[[#This Row],[Frequency_ID]],Frequency[Orig_Frequency_ID],0)+(ContainerMarginAdmin[[#This Row],[SS_or_DS]]="DS")*COUNTA(Frequency[Orig_Frequency_ID])/2)</f>
        <v>Monthly</v>
      </c>
      <c r="J30"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27.473493350163007</v>
      </c>
      <c r="K30" s="88">
        <v>0.15</v>
      </c>
      <c r="L30" s="84">
        <f>ContainerMarginAdmin[[#This Row],[Direct_Costs]]*(ContainerMarginAdmin[[#This Row],[Margin_FranchiseFee_Rate]]/(1-ContainerMarginAdmin[[#This Row],[Margin_FranchiseFee_Rate]]))</f>
        <v>4.8482635323817078</v>
      </c>
      <c r="M30" s="77">
        <v>21.607476142459099</v>
      </c>
      <c r="N30" s="97">
        <v>1</v>
      </c>
      <c r="O30" s="87">
        <f>SUM(ContainerMarginAdmin[[#This Row],[Annual_Margin_FranchiseFee_PerCustomer]:[Annual_Engagement_Per_Customer]])</f>
        <v>27.455739674840807</v>
      </c>
    </row>
    <row r="31" spans="2:15" ht="15" x14ac:dyDescent="0.2">
      <c r="B31" s="190" t="str">
        <f>ContainerMarginAdmin[[#This Row],[Grouping_ID]]&amp;"-"&amp;ContainerMarginAdmin[[#This Row],[Sector_ID]]&amp;"-"&amp;ContainerMarginAdmin[[#This Row],[Frequency_ID]]&amp;"-"&amp;ContainerMarginAdmin[[#This Row],[SS_or_DS]]</f>
        <v>3-1-U-SS</v>
      </c>
      <c r="C31" s="178">
        <v>3</v>
      </c>
      <c r="D31" s="163" t="str">
        <f>INDEX(Grouping[Grouping_Name],MATCH(ContainerMarginAdmin[[#This Row],[Grouping_ID]],Grouping[Grouping_ID],0))</f>
        <v>3 - Other areas with curbside</v>
      </c>
      <c r="E31" s="14">
        <v>1</v>
      </c>
      <c r="F31" s="163" t="str">
        <f>INDEX(Sector[Sector_Name],MATCH(ContainerMarginAdmin[[#This Row],[Sector_ID]],Sector[Sector_ID],0))</f>
        <v>SF Res. (on-route)</v>
      </c>
      <c r="G31" s="18" t="s">
        <v>806</v>
      </c>
      <c r="H31" s="14" t="s">
        <v>65</v>
      </c>
      <c r="I31" s="163" t="str">
        <f>INDEX(Frequency[Collection_Frequency],MATCH(ContainerMarginAdmin[[#This Row],[Frequency_ID]],Frequency[Orig_Frequency_ID],0)+(ContainerMarginAdmin[[#This Row],[SS_or_DS]]="DS")*COUNTA(Frequency[Orig_Frequency_ID])/2)</f>
        <v>Uncertain</v>
      </c>
      <c r="J31"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118.13602140570094</v>
      </c>
      <c r="K31" s="88">
        <f>K28</f>
        <v>0.15</v>
      </c>
      <c r="L31" s="168">
        <f>ContainerMarginAdmin[[#This Row],[Direct_Costs]]*(ContainerMarginAdmin[[#This Row],[Margin_FranchiseFee_Rate]]/(1-ContainerMarginAdmin[[#This Row],[Margin_FranchiseFee_Rate]]))</f>
        <v>20.847533189241343</v>
      </c>
      <c r="M31" s="77">
        <v>21.607476142459099</v>
      </c>
      <c r="N31" s="97">
        <v>1</v>
      </c>
      <c r="O31" s="170">
        <f>SUM(ContainerMarginAdmin[[#This Row],[Annual_Margin_FranchiseFee_PerCustomer]:[Annual_Engagement_Per_Customer]])</f>
        <v>43.455009331700438</v>
      </c>
    </row>
    <row r="32" spans="2:15" ht="15" x14ac:dyDescent="0.2">
      <c r="B32" s="189" t="str">
        <f>ContainerMarginAdmin[[#This Row],[Grouping_ID]]&amp;"-"&amp;ContainerMarginAdmin[[#This Row],[Sector_ID]]&amp;"-"&amp;ContainerMarginAdmin[[#This Row],[Frequency_ID]]&amp;"-"&amp;ContainerMarginAdmin[[#This Row],[SS_or_DS]]</f>
        <v>1-2-V-DS</v>
      </c>
      <c r="C32" s="69">
        <v>1</v>
      </c>
      <c r="D32" s="4" t="str">
        <f>INDEX(Grouping[Grouping_Name],MATCH(ContainerMarginAdmin[[#This Row],[Grouping_ID]],Grouping[Grouping_ID],0))</f>
        <v>1 - Metro area</v>
      </c>
      <c r="E32" s="14">
        <v>2</v>
      </c>
      <c r="F32" s="4" t="str">
        <f>INDEX(Sector[Sector_Name],MATCH(ContainerMarginAdmin[[#This Row],[Sector_ID]],Sector[Sector_ID],0))</f>
        <v>MF Res. (on-route)</v>
      </c>
      <c r="G32" s="18" t="s">
        <v>808</v>
      </c>
      <c r="H32" s="14" t="s">
        <v>91</v>
      </c>
      <c r="I32" s="4" t="str">
        <f>INDEX(Frequency[Collection_Frequency],MATCH(ContainerMarginAdmin[[#This Row],[Frequency_ID]],Frequency[Orig_Frequency_ID],0)+(ContainerMarginAdmin[[#This Row],[SS_or_DS]]="DS")*COUNTA(Frequency[Orig_Frequency_ID])/2)</f>
        <v>Varies by customer need</v>
      </c>
      <c r="J32"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658.91604480000001</v>
      </c>
      <c r="K32" s="88">
        <f t="shared" ref="K32:K47" si="0">K29</f>
        <v>0.15</v>
      </c>
      <c r="L32" s="84">
        <f>ContainerMarginAdmin[[#This Row],[Direct_Costs]]*(ContainerMarginAdmin[[#This Row],[Margin_FranchiseFee_Rate]]/(1-ContainerMarginAdmin[[#This Row],[Margin_FranchiseFee_Rate]]))</f>
        <v>116.27930202352943</v>
      </c>
      <c r="M32" s="77">
        <v>203.28</v>
      </c>
      <c r="N32" s="97">
        <v>1</v>
      </c>
      <c r="O32" s="87">
        <f>SUM(ContainerMarginAdmin[[#This Row],[Annual_Margin_FranchiseFee_PerCustomer]:[Annual_Engagement_Per_Customer]])</f>
        <v>320.55930202352943</v>
      </c>
    </row>
    <row r="33" spans="2:15" ht="15" x14ac:dyDescent="0.2">
      <c r="B33" s="189" t="str">
        <f>ContainerMarginAdmin[[#This Row],[Grouping_ID]]&amp;"-"&amp;ContainerMarginAdmin[[#This Row],[Sector_ID]]&amp;"-"&amp;ContainerMarginAdmin[[#This Row],[Frequency_ID]]&amp;"-"&amp;ContainerMarginAdmin[[#This Row],[SS_or_DS]]</f>
        <v>1-3-V-DS</v>
      </c>
      <c r="C33" s="69">
        <v>1</v>
      </c>
      <c r="D33" s="4" t="str">
        <f>INDEX(Grouping[Grouping_Name],MATCH(ContainerMarginAdmin[[#This Row],[Grouping_ID]],Grouping[Grouping_ID],0))</f>
        <v>1 - Metro area</v>
      </c>
      <c r="E33" s="14">
        <v>3</v>
      </c>
      <c r="F33" s="4" t="str">
        <f>INDEX(Sector[Sector_Name],MATCH(ContainerMarginAdmin[[#This Row],[Sector_ID]],Sector[Sector_ID],0))</f>
        <v>Commercial (on-route)</v>
      </c>
      <c r="G33" s="18" t="s">
        <v>808</v>
      </c>
      <c r="H33" s="14" t="s">
        <v>91</v>
      </c>
      <c r="I33" s="4" t="str">
        <f>INDEX(Frequency[Collection_Frequency],MATCH(ContainerMarginAdmin[[#This Row],[Frequency_ID]],Frequency[Orig_Frequency_ID],0)+(ContainerMarginAdmin[[#This Row],[SS_or_DS]]="DS")*COUNTA(Frequency[Orig_Frequency_ID])/2)</f>
        <v>Varies by customer need</v>
      </c>
      <c r="J33"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658.91604480000001</v>
      </c>
      <c r="K33" s="88">
        <f t="shared" si="0"/>
        <v>0.15</v>
      </c>
      <c r="L33" s="84">
        <f>ContainerMarginAdmin[[#This Row],[Direct_Costs]]*(ContainerMarginAdmin[[#This Row],[Margin_FranchiseFee_Rate]]/(1-ContainerMarginAdmin[[#This Row],[Margin_FranchiseFee_Rate]]))</f>
        <v>116.27930202352943</v>
      </c>
      <c r="M33" s="77">
        <v>203.28</v>
      </c>
      <c r="N33" s="97">
        <v>1</v>
      </c>
      <c r="O33" s="87">
        <f>SUM(ContainerMarginAdmin[[#This Row],[Annual_Margin_FranchiseFee_PerCustomer]:[Annual_Engagement_Per_Customer]])</f>
        <v>320.55930202352943</v>
      </c>
    </row>
    <row r="34" spans="2:15" ht="15" x14ac:dyDescent="0.2">
      <c r="B34" s="189" t="str">
        <f>ContainerMarginAdmin[[#This Row],[Grouping_ID]]&amp;"-"&amp;ContainerMarginAdmin[[#This Row],[Sector_ID]]&amp;"-"&amp;ContainerMarginAdmin[[#This Row],[Frequency_ID]]&amp;"-"&amp;ContainerMarginAdmin[[#This Row],[SS_or_DS]]</f>
        <v>2-2-V-DS</v>
      </c>
      <c r="C34" s="69">
        <v>2</v>
      </c>
      <c r="D34" s="4" t="str">
        <f>INDEX(Grouping[Grouping_Name],MATCH(ContainerMarginAdmin[[#This Row],[Grouping_ID]],Grouping[Grouping_ID],0))</f>
        <v>2 - Willamette Valley, etc.</v>
      </c>
      <c r="E34" s="14">
        <v>2</v>
      </c>
      <c r="F34" s="4" t="str">
        <f>INDEX(Sector[Sector_Name],MATCH(ContainerMarginAdmin[[#This Row],[Sector_ID]],Sector[Sector_ID],0))</f>
        <v>MF Res. (on-route)</v>
      </c>
      <c r="G34" s="18" t="s">
        <v>808</v>
      </c>
      <c r="H34" s="14" t="s">
        <v>91</v>
      </c>
      <c r="I34" s="4" t="str">
        <f>INDEX(Frequency[Collection_Frequency],MATCH(ContainerMarginAdmin[[#This Row],[Frequency_ID]],Frequency[Orig_Frequency_ID],0)+(ContainerMarginAdmin[[#This Row],[SS_or_DS]]="DS")*COUNTA(Frequency[Orig_Frequency_ID])/2)</f>
        <v>Varies by customer need</v>
      </c>
      <c r="J34"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536.23701040000003</v>
      </c>
      <c r="K34" s="88">
        <f t="shared" si="0"/>
        <v>0.15</v>
      </c>
      <c r="L34" s="84">
        <f>ContainerMarginAdmin[[#This Row],[Direct_Costs]]*(ContainerMarginAdmin[[#This Row],[Margin_FranchiseFee_Rate]]/(1-ContainerMarginAdmin[[#This Row],[Margin_FranchiseFee_Rate]]))</f>
        <v>94.630060658823538</v>
      </c>
      <c r="M34" s="77">
        <v>124.07</v>
      </c>
      <c r="N34" s="97">
        <v>1</v>
      </c>
      <c r="O34" s="87">
        <f>SUM(ContainerMarginAdmin[[#This Row],[Annual_Margin_FranchiseFee_PerCustomer]:[Annual_Engagement_Per_Customer]])</f>
        <v>219.70006065882353</v>
      </c>
    </row>
    <row r="35" spans="2:15" ht="15" x14ac:dyDescent="0.2">
      <c r="B35" s="189" t="str">
        <f>ContainerMarginAdmin[[#This Row],[Grouping_ID]]&amp;"-"&amp;ContainerMarginAdmin[[#This Row],[Sector_ID]]&amp;"-"&amp;ContainerMarginAdmin[[#This Row],[Frequency_ID]]&amp;"-"&amp;ContainerMarginAdmin[[#This Row],[SS_or_DS]]</f>
        <v>2-3-V-DS</v>
      </c>
      <c r="C35" s="69">
        <v>2</v>
      </c>
      <c r="D35" s="4" t="str">
        <f>INDEX(Grouping[Grouping_Name],MATCH(ContainerMarginAdmin[[#This Row],[Grouping_ID]],Grouping[Grouping_ID],0))</f>
        <v>2 - Willamette Valley, etc.</v>
      </c>
      <c r="E35" s="14">
        <v>3</v>
      </c>
      <c r="F35" s="4" t="str">
        <f>INDEX(Sector[Sector_Name],MATCH(ContainerMarginAdmin[[#This Row],[Sector_ID]],Sector[Sector_ID],0))</f>
        <v>Commercial (on-route)</v>
      </c>
      <c r="G35" s="18" t="s">
        <v>808</v>
      </c>
      <c r="H35" s="14" t="s">
        <v>91</v>
      </c>
      <c r="I35" s="4" t="str">
        <f>INDEX(Frequency[Collection_Frequency],MATCH(ContainerMarginAdmin[[#This Row],[Frequency_ID]],Frequency[Orig_Frequency_ID],0)+(ContainerMarginAdmin[[#This Row],[SS_or_DS]]="DS")*COUNTA(Frequency[Orig_Frequency_ID])/2)</f>
        <v>Varies by customer need</v>
      </c>
      <c r="J35"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536.23701040000003</v>
      </c>
      <c r="K35" s="88">
        <f t="shared" si="0"/>
        <v>0.15</v>
      </c>
      <c r="L35" s="84">
        <f>ContainerMarginAdmin[[#This Row],[Direct_Costs]]*(ContainerMarginAdmin[[#This Row],[Margin_FranchiseFee_Rate]]/(1-ContainerMarginAdmin[[#This Row],[Margin_FranchiseFee_Rate]]))</f>
        <v>94.630060658823538</v>
      </c>
      <c r="M35" s="77">
        <v>124.07</v>
      </c>
      <c r="N35" s="97">
        <v>1</v>
      </c>
      <c r="O35" s="87">
        <f>SUM(ContainerMarginAdmin[[#This Row],[Annual_Margin_FranchiseFee_PerCustomer]:[Annual_Engagement_Per_Customer]])</f>
        <v>219.70006065882353</v>
      </c>
    </row>
    <row r="36" spans="2:15" ht="15" x14ac:dyDescent="0.2">
      <c r="B36" s="189" t="str">
        <f>ContainerMarginAdmin[[#This Row],[Grouping_ID]]&amp;"-"&amp;ContainerMarginAdmin[[#This Row],[Sector_ID]]&amp;"-"&amp;ContainerMarginAdmin[[#This Row],[Frequency_ID]]&amp;"-"&amp;ContainerMarginAdmin[[#This Row],[SS_or_DS]]</f>
        <v>3-2-V-DS</v>
      </c>
      <c r="C36" s="69">
        <v>3</v>
      </c>
      <c r="D36" s="4" t="str">
        <f>INDEX(Grouping[Grouping_Name],MATCH(ContainerMarginAdmin[[#This Row],[Grouping_ID]],Grouping[Grouping_ID],0))</f>
        <v>3 - Other areas with curbside</v>
      </c>
      <c r="E36" s="14">
        <v>2</v>
      </c>
      <c r="F36" s="4" t="str">
        <f>INDEX(Sector[Sector_Name],MATCH(ContainerMarginAdmin[[#This Row],[Sector_ID]],Sector[Sector_ID],0))</f>
        <v>MF Res. (on-route)</v>
      </c>
      <c r="G36" s="18" t="s">
        <v>808</v>
      </c>
      <c r="H36" s="14" t="s">
        <v>91</v>
      </c>
      <c r="I36" s="4" t="str">
        <f>INDEX(Frequency[Collection_Frequency],MATCH(ContainerMarginAdmin[[#This Row],[Frequency_ID]],Frequency[Orig_Frequency_ID],0)+(ContainerMarginAdmin[[#This Row],[SS_or_DS]]="DS")*COUNTA(Frequency[Orig_Frequency_ID])/2)</f>
        <v>Varies by customer need</v>
      </c>
      <c r="J36"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663.21768240000006</v>
      </c>
      <c r="K36" s="88">
        <f t="shared" si="0"/>
        <v>0.15</v>
      </c>
      <c r="L36" s="84">
        <f>ContainerMarginAdmin[[#This Row],[Direct_Costs]]*(ContainerMarginAdmin[[#This Row],[Margin_FranchiseFee_Rate]]/(1-ContainerMarginAdmin[[#This Row],[Margin_FranchiseFee_Rate]]))</f>
        <v>117.03841454117649</v>
      </c>
      <c r="M36" s="77">
        <v>184.49</v>
      </c>
      <c r="N36" s="97">
        <v>1</v>
      </c>
      <c r="O36" s="87">
        <f>SUM(ContainerMarginAdmin[[#This Row],[Annual_Margin_FranchiseFee_PerCustomer]:[Annual_Engagement_Per_Customer]])</f>
        <v>302.52841454117652</v>
      </c>
    </row>
    <row r="37" spans="2:15" ht="15" x14ac:dyDescent="0.2">
      <c r="B37" s="189" t="str">
        <f>ContainerMarginAdmin[[#This Row],[Grouping_ID]]&amp;"-"&amp;ContainerMarginAdmin[[#This Row],[Sector_ID]]&amp;"-"&amp;ContainerMarginAdmin[[#This Row],[Frequency_ID]]&amp;"-"&amp;ContainerMarginAdmin[[#This Row],[SS_or_DS]]</f>
        <v>3-3-V-DS</v>
      </c>
      <c r="C37" s="69">
        <v>3</v>
      </c>
      <c r="D37" s="4" t="str">
        <f>INDEX(Grouping[Grouping_Name],MATCH(ContainerMarginAdmin[[#This Row],[Grouping_ID]],Grouping[Grouping_ID],0))</f>
        <v>3 - Other areas with curbside</v>
      </c>
      <c r="E37" s="14">
        <v>3</v>
      </c>
      <c r="F37" s="4" t="str">
        <f>INDEX(Sector[Sector_Name],MATCH(ContainerMarginAdmin[[#This Row],[Sector_ID]],Sector[Sector_ID],0))</f>
        <v>Commercial (on-route)</v>
      </c>
      <c r="G37" s="18" t="s">
        <v>808</v>
      </c>
      <c r="H37" s="14" t="s">
        <v>91</v>
      </c>
      <c r="I37" s="4" t="str">
        <f>INDEX(Frequency[Collection_Frequency],MATCH(ContainerMarginAdmin[[#This Row],[Frequency_ID]],Frequency[Orig_Frequency_ID],0)+(ContainerMarginAdmin[[#This Row],[SS_or_DS]]="DS")*COUNTA(Frequency[Orig_Frequency_ID])/2)</f>
        <v>Varies by customer need</v>
      </c>
      <c r="J37"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663.21768240000006</v>
      </c>
      <c r="K37" s="88">
        <f t="shared" si="0"/>
        <v>0.15</v>
      </c>
      <c r="L37" s="84">
        <f>ContainerMarginAdmin[[#This Row],[Direct_Costs]]*(ContainerMarginAdmin[[#This Row],[Margin_FranchiseFee_Rate]]/(1-ContainerMarginAdmin[[#This Row],[Margin_FranchiseFee_Rate]]))</f>
        <v>117.03841454117649</v>
      </c>
      <c r="M37" s="77">
        <v>184.49</v>
      </c>
      <c r="N37" s="97">
        <v>1</v>
      </c>
      <c r="O37" s="87">
        <f>SUM(ContainerMarginAdmin[[#This Row],[Annual_Margin_FranchiseFee_PerCustomer]:[Annual_Engagement_Per_Customer]])</f>
        <v>302.52841454117652</v>
      </c>
    </row>
    <row r="38" spans="2:15" ht="15" x14ac:dyDescent="0.2">
      <c r="B38" s="189" t="str">
        <f>ContainerMarginAdmin[[#This Row],[Grouping_ID]]&amp;"-"&amp;ContainerMarginAdmin[[#This Row],[Sector_ID]]&amp;"-"&amp;ContainerMarginAdmin[[#This Row],[Frequency_ID]]&amp;"-"&amp;ContainerMarginAdmin[[#This Row],[SS_or_DS]]</f>
        <v>1-1-W-DS</v>
      </c>
      <c r="C38" s="14">
        <v>1</v>
      </c>
      <c r="D38" s="4" t="str">
        <f>INDEX(Grouping[Grouping_Name],MATCH(ContainerMarginAdmin[[#This Row],[Grouping_ID]],Grouping[Grouping_ID],0))</f>
        <v>1 - Metro area</v>
      </c>
      <c r="E38" s="14">
        <v>1</v>
      </c>
      <c r="F38" s="4" t="str">
        <f>INDEX(Sector[Sector_Name],MATCH(ContainerMarginAdmin[[#This Row],[Sector_ID]],Sector[Sector_ID],0))</f>
        <v>SF Res. (on-route)</v>
      </c>
      <c r="G38" s="18" t="s">
        <v>808</v>
      </c>
      <c r="H38" s="14" t="s">
        <v>64</v>
      </c>
      <c r="I38" s="4" t="str">
        <f>INDEX(Frequency[Collection_Frequency],MATCH(ContainerMarginAdmin[[#This Row],[Frequency_ID]],Frequency[Orig_Frequency_ID],0)+(ContainerMarginAdmin[[#This Row],[SS_or_DS]]="DS")*COUNTA(Frequency[Orig_Frequency_ID])/2)</f>
        <v>Weekly</v>
      </c>
      <c r="J38"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62.235159999999993</v>
      </c>
      <c r="K38" s="88">
        <f t="shared" si="0"/>
        <v>0.15</v>
      </c>
      <c r="L38" s="84">
        <f>ContainerMarginAdmin[[#This Row],[Direct_Costs]]*(ContainerMarginAdmin[[#This Row],[Margin_FranchiseFee_Rate]]/(1-ContainerMarginAdmin[[#This Row],[Margin_FranchiseFee_Rate]]))</f>
        <v>10.982675294117646</v>
      </c>
      <c r="M38" s="77">
        <v>14</v>
      </c>
      <c r="N38" s="97">
        <v>1</v>
      </c>
      <c r="O38" s="87">
        <f>SUM(ContainerMarginAdmin[[#This Row],[Annual_Margin_FranchiseFee_PerCustomer]:[Annual_Engagement_Per_Customer]])</f>
        <v>25.982675294117648</v>
      </c>
    </row>
    <row r="39" spans="2:15" ht="15" x14ac:dyDescent="0.2">
      <c r="B39" s="189" t="str">
        <f>ContainerMarginAdmin[[#This Row],[Grouping_ID]]&amp;"-"&amp;ContainerMarginAdmin[[#This Row],[Sector_ID]]&amp;"-"&amp;ContainerMarginAdmin[[#This Row],[Frequency_ID]]&amp;"-"&amp;ContainerMarginAdmin[[#This Row],[SS_or_DS]]</f>
        <v>1-1-E-DS</v>
      </c>
      <c r="C39" s="14">
        <v>1</v>
      </c>
      <c r="D39" s="4" t="str">
        <f>INDEX(Grouping[Grouping_Name],MATCH(ContainerMarginAdmin[[#This Row],[Grouping_ID]],Grouping[Grouping_ID],0))</f>
        <v>1 - Metro area</v>
      </c>
      <c r="E39" s="14">
        <v>1</v>
      </c>
      <c r="F39" s="4" t="str">
        <f>INDEX(Sector[Sector_Name],MATCH(ContainerMarginAdmin[[#This Row],[Sector_ID]],Sector[Sector_ID],0))</f>
        <v>SF Res. (on-route)</v>
      </c>
      <c r="G39" s="18" t="s">
        <v>808</v>
      </c>
      <c r="H39" s="14" t="s">
        <v>53</v>
      </c>
      <c r="I39" s="4" t="str">
        <f>INDEX(Frequency[Collection_Frequency],MATCH(ContainerMarginAdmin[[#This Row],[Frequency_ID]],Frequency[Orig_Frequency_ID],0)+(ContainerMarginAdmin[[#This Row],[SS_or_DS]]="DS")*COUNTA(Frequency[Orig_Frequency_ID])/2)</f>
        <v>Weekly (formerly every other week)</v>
      </c>
      <c r="J39"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62.235159999999993</v>
      </c>
      <c r="K39" s="88">
        <f t="shared" si="0"/>
        <v>0.15</v>
      </c>
      <c r="L39" s="84">
        <f>ContainerMarginAdmin[[#This Row],[Direct_Costs]]*(ContainerMarginAdmin[[#This Row],[Margin_FranchiseFee_Rate]]/(1-ContainerMarginAdmin[[#This Row],[Margin_FranchiseFee_Rate]]))</f>
        <v>10.982675294117646</v>
      </c>
      <c r="M39" s="77">
        <v>14</v>
      </c>
      <c r="N39" s="97">
        <v>1</v>
      </c>
      <c r="O39" s="87">
        <f>SUM(ContainerMarginAdmin[[#This Row],[Annual_Margin_FranchiseFee_PerCustomer]:[Annual_Engagement_Per_Customer]])</f>
        <v>25.982675294117648</v>
      </c>
    </row>
    <row r="40" spans="2:15" ht="15" x14ac:dyDescent="0.2">
      <c r="B40" s="189" t="str">
        <f>ContainerMarginAdmin[[#This Row],[Grouping_ID]]&amp;"-"&amp;ContainerMarginAdmin[[#This Row],[Sector_ID]]&amp;"-"&amp;ContainerMarginAdmin[[#This Row],[Frequency_ID]]&amp;"-"&amp;ContainerMarginAdmin[[#This Row],[SS_or_DS]]</f>
        <v>2-1-W-DS</v>
      </c>
      <c r="C40" s="14">
        <v>2</v>
      </c>
      <c r="D40" s="4" t="str">
        <f>INDEX(Grouping[Grouping_Name],MATCH(ContainerMarginAdmin[[#This Row],[Grouping_ID]],Grouping[Grouping_ID],0))</f>
        <v>2 - Willamette Valley, etc.</v>
      </c>
      <c r="E40" s="14">
        <v>1</v>
      </c>
      <c r="F40" s="4" t="str">
        <f>INDEX(Sector[Sector_Name],MATCH(ContainerMarginAdmin[[#This Row],[Sector_ID]],Sector[Sector_ID],0))</f>
        <v>SF Res. (on-route)</v>
      </c>
      <c r="G40" s="18" t="s">
        <v>808</v>
      </c>
      <c r="H40" s="14" t="s">
        <v>64</v>
      </c>
      <c r="I40" s="4" t="str">
        <f>INDEX(Frequency[Collection_Frequency],MATCH(ContainerMarginAdmin[[#This Row],[Frequency_ID]],Frequency[Orig_Frequency_ID],0)+(ContainerMarginAdmin[[#This Row],[SS_or_DS]]="DS")*COUNTA(Frequency[Orig_Frequency_ID])/2)</f>
        <v>Weekly</v>
      </c>
      <c r="J40"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71.022639999999996</v>
      </c>
      <c r="K40" s="88">
        <f t="shared" si="0"/>
        <v>0.15</v>
      </c>
      <c r="L40" s="84">
        <f>ContainerMarginAdmin[[#This Row],[Direct_Costs]]*(ContainerMarginAdmin[[#This Row],[Margin_FranchiseFee_Rate]]/(1-ContainerMarginAdmin[[#This Row],[Margin_FranchiseFee_Rate]]))</f>
        <v>12.53340705882353</v>
      </c>
      <c r="M40" s="77">
        <v>15.47</v>
      </c>
      <c r="N40" s="97">
        <v>1</v>
      </c>
      <c r="O40" s="87">
        <f>SUM(ContainerMarginAdmin[[#This Row],[Annual_Margin_FranchiseFee_PerCustomer]:[Annual_Engagement_Per_Customer]])</f>
        <v>29.00340705882353</v>
      </c>
    </row>
    <row r="41" spans="2:15" ht="15" x14ac:dyDescent="0.2">
      <c r="B41" s="189" t="str">
        <f>ContainerMarginAdmin[[#This Row],[Grouping_ID]]&amp;"-"&amp;ContainerMarginAdmin[[#This Row],[Sector_ID]]&amp;"-"&amp;ContainerMarginAdmin[[#This Row],[Frequency_ID]]&amp;"-"&amp;ContainerMarginAdmin[[#This Row],[SS_or_DS]]</f>
        <v>2-1-E-DS</v>
      </c>
      <c r="C41" s="14">
        <v>2</v>
      </c>
      <c r="D41" s="4" t="str">
        <f>INDEX(Grouping[Grouping_Name],MATCH(ContainerMarginAdmin[[#This Row],[Grouping_ID]],Grouping[Grouping_ID],0))</f>
        <v>2 - Willamette Valley, etc.</v>
      </c>
      <c r="E41" s="14">
        <v>1</v>
      </c>
      <c r="F41" s="4" t="str">
        <f>INDEX(Sector[Sector_Name],MATCH(ContainerMarginAdmin[[#This Row],[Sector_ID]],Sector[Sector_ID],0))</f>
        <v>SF Res. (on-route)</v>
      </c>
      <c r="G41" s="18" t="s">
        <v>808</v>
      </c>
      <c r="H41" s="14" t="s">
        <v>53</v>
      </c>
      <c r="I41" s="4" t="str">
        <f>INDEX(Frequency[Collection_Frequency],MATCH(ContainerMarginAdmin[[#This Row],[Frequency_ID]],Frequency[Orig_Frequency_ID],0)+(ContainerMarginAdmin[[#This Row],[SS_or_DS]]="DS")*COUNTA(Frequency[Orig_Frequency_ID])/2)</f>
        <v>Weekly (formerly every other week)</v>
      </c>
      <c r="J41"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71.022639999999996</v>
      </c>
      <c r="K41" s="88">
        <f t="shared" si="0"/>
        <v>0.15</v>
      </c>
      <c r="L41" s="84">
        <f>ContainerMarginAdmin[[#This Row],[Direct_Costs]]*(ContainerMarginAdmin[[#This Row],[Margin_FranchiseFee_Rate]]/(1-ContainerMarginAdmin[[#This Row],[Margin_FranchiseFee_Rate]]))</f>
        <v>12.53340705882353</v>
      </c>
      <c r="M41" s="77">
        <v>15.47</v>
      </c>
      <c r="N41" s="97">
        <v>1</v>
      </c>
      <c r="O41" s="87">
        <f>SUM(ContainerMarginAdmin[[#This Row],[Annual_Margin_FranchiseFee_PerCustomer]:[Annual_Engagement_Per_Customer]])</f>
        <v>29.00340705882353</v>
      </c>
    </row>
    <row r="42" spans="2:15" ht="15" x14ac:dyDescent="0.2">
      <c r="B42" s="189" t="str">
        <f>ContainerMarginAdmin[[#This Row],[Grouping_ID]]&amp;"-"&amp;ContainerMarginAdmin[[#This Row],[Sector_ID]]&amp;"-"&amp;ContainerMarginAdmin[[#This Row],[Frequency_ID]]&amp;"-"&amp;ContainerMarginAdmin[[#This Row],[SS_or_DS]]</f>
        <v>2-1-U-DS</v>
      </c>
      <c r="C42" s="14">
        <v>2</v>
      </c>
      <c r="D42" s="4" t="str">
        <f>INDEX(Grouping[Grouping_Name],MATCH(ContainerMarginAdmin[[#This Row],[Grouping_ID]],Grouping[Grouping_ID],0))</f>
        <v>2 - Willamette Valley, etc.</v>
      </c>
      <c r="E42" s="14">
        <v>1</v>
      </c>
      <c r="F42" s="4" t="str">
        <f>INDEX(Sector[Sector_Name],MATCH(ContainerMarginAdmin[[#This Row],[Sector_ID]],Sector[Sector_ID],0))</f>
        <v>SF Res. (on-route)</v>
      </c>
      <c r="G42" s="18" t="s">
        <v>808</v>
      </c>
      <c r="H42" s="14" t="s">
        <v>65</v>
      </c>
      <c r="I42" s="4" t="str">
        <f>INDEX(Frequency[Collection_Frequency],MATCH(ContainerMarginAdmin[[#This Row],[Frequency_ID]],Frequency[Orig_Frequency_ID],0)+(ContainerMarginAdmin[[#This Row],[SS_or_DS]]="DS")*COUNTA(Frequency[Orig_Frequency_ID])/2)</f>
        <v>Uncertain</v>
      </c>
      <c r="J42"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71.022639999999996</v>
      </c>
      <c r="K42" s="88">
        <f t="shared" si="0"/>
        <v>0.15</v>
      </c>
      <c r="L42" s="84">
        <f>ContainerMarginAdmin[[#This Row],[Direct_Costs]]*(ContainerMarginAdmin[[#This Row],[Margin_FranchiseFee_Rate]]/(1-ContainerMarginAdmin[[#This Row],[Margin_FranchiseFee_Rate]]))</f>
        <v>12.53340705882353</v>
      </c>
      <c r="M42" s="77">
        <v>15.47</v>
      </c>
      <c r="N42" s="97">
        <v>1</v>
      </c>
      <c r="O42" s="87">
        <f>SUM(ContainerMarginAdmin[[#This Row],[Annual_Margin_FranchiseFee_PerCustomer]:[Annual_Engagement_Per_Customer]])</f>
        <v>29.00340705882353</v>
      </c>
    </row>
    <row r="43" spans="2:15" ht="15" x14ac:dyDescent="0.2">
      <c r="B43" s="189" t="str">
        <f>ContainerMarginAdmin[[#This Row],[Grouping_ID]]&amp;"-"&amp;ContainerMarginAdmin[[#This Row],[Sector_ID]]&amp;"-"&amp;ContainerMarginAdmin[[#This Row],[Frequency_ID]]&amp;"-"&amp;ContainerMarginAdmin[[#This Row],[SS_or_DS]]</f>
        <v>3-1-W-DS</v>
      </c>
      <c r="C43" s="14">
        <v>3</v>
      </c>
      <c r="D43" s="4" t="str">
        <f>INDEX(Grouping[Grouping_Name],MATCH(ContainerMarginAdmin[[#This Row],[Grouping_ID]],Grouping[Grouping_ID],0))</f>
        <v>3 - Other areas with curbside</v>
      </c>
      <c r="E43" s="14">
        <v>1</v>
      </c>
      <c r="F43" s="4" t="str">
        <f>INDEX(Sector[Sector_Name],MATCH(ContainerMarginAdmin[[#This Row],[Sector_ID]],Sector[Sector_ID],0))</f>
        <v>SF Res. (on-route)</v>
      </c>
      <c r="G43" s="18" t="s">
        <v>808</v>
      </c>
      <c r="H43" s="14" t="s">
        <v>64</v>
      </c>
      <c r="I43" s="4" t="str">
        <f>INDEX(Frequency[Collection_Frequency],MATCH(ContainerMarginAdmin[[#This Row],[Frequency_ID]],Frequency[Orig_Frequency_ID],0)+(ContainerMarginAdmin[[#This Row],[SS_or_DS]]="DS")*COUNTA(Frequency[Orig_Frequency_ID])/2)</f>
        <v>Weekly</v>
      </c>
      <c r="J43"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95.821439999999996</v>
      </c>
      <c r="K43" s="88">
        <f t="shared" si="0"/>
        <v>0.15</v>
      </c>
      <c r="L43" s="84">
        <f>ContainerMarginAdmin[[#This Row],[Direct_Costs]]*(ContainerMarginAdmin[[#This Row],[Margin_FranchiseFee_Rate]]/(1-ContainerMarginAdmin[[#This Row],[Margin_FranchiseFee_Rate]]))</f>
        <v>16.909665882352943</v>
      </c>
      <c r="M43" s="77">
        <v>20.78</v>
      </c>
      <c r="N43" s="97">
        <v>1</v>
      </c>
      <c r="O43" s="87">
        <f>SUM(ContainerMarginAdmin[[#This Row],[Annual_Margin_FranchiseFee_PerCustomer]:[Annual_Engagement_Per_Customer]])</f>
        <v>38.689665882352941</v>
      </c>
    </row>
    <row r="44" spans="2:15" ht="15" x14ac:dyDescent="0.2">
      <c r="B44" s="189" t="str">
        <f>ContainerMarginAdmin[[#This Row],[Grouping_ID]]&amp;"-"&amp;ContainerMarginAdmin[[#This Row],[Sector_ID]]&amp;"-"&amp;ContainerMarginAdmin[[#This Row],[Frequency_ID]]&amp;"-"&amp;ContainerMarginAdmin[[#This Row],[SS_or_DS]]</f>
        <v>3-1-E-DS</v>
      </c>
      <c r="C44" s="14">
        <v>3</v>
      </c>
      <c r="D44" s="4" t="str">
        <f>INDEX(Grouping[Grouping_Name],MATCH(ContainerMarginAdmin[[#This Row],[Grouping_ID]],Grouping[Grouping_ID],0))</f>
        <v>3 - Other areas with curbside</v>
      </c>
      <c r="E44" s="14">
        <v>1</v>
      </c>
      <c r="F44" s="4" t="str">
        <f>INDEX(Sector[Sector_Name],MATCH(ContainerMarginAdmin[[#This Row],[Sector_ID]],Sector[Sector_ID],0))</f>
        <v>SF Res. (on-route)</v>
      </c>
      <c r="G44" s="18" t="s">
        <v>808</v>
      </c>
      <c r="H44" s="14" t="s">
        <v>53</v>
      </c>
      <c r="I44" s="4" t="str">
        <f>INDEX(Frequency[Collection_Frequency],MATCH(ContainerMarginAdmin[[#This Row],[Frequency_ID]],Frequency[Orig_Frequency_ID],0)+(ContainerMarginAdmin[[#This Row],[SS_or_DS]]="DS")*COUNTA(Frequency[Orig_Frequency_ID])/2)</f>
        <v>Weekly (formerly every other week)</v>
      </c>
      <c r="J44"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95.821439999999996</v>
      </c>
      <c r="K44" s="88">
        <f t="shared" si="0"/>
        <v>0.15</v>
      </c>
      <c r="L44" s="84">
        <f>ContainerMarginAdmin[[#This Row],[Direct_Costs]]*(ContainerMarginAdmin[[#This Row],[Margin_FranchiseFee_Rate]]/(1-ContainerMarginAdmin[[#This Row],[Margin_FranchiseFee_Rate]]))</f>
        <v>16.909665882352943</v>
      </c>
      <c r="M44" s="77">
        <v>20.78</v>
      </c>
      <c r="N44" s="97">
        <v>1</v>
      </c>
      <c r="O44" s="87">
        <f>SUM(ContainerMarginAdmin[[#This Row],[Annual_Margin_FranchiseFee_PerCustomer]:[Annual_Engagement_Per_Customer]])</f>
        <v>38.689665882352941</v>
      </c>
    </row>
    <row r="45" spans="2:15" ht="15" x14ac:dyDescent="0.2">
      <c r="B45" s="189" t="str">
        <f>ContainerMarginAdmin[[#This Row],[Grouping_ID]]&amp;"-"&amp;ContainerMarginAdmin[[#This Row],[Sector_ID]]&amp;"-"&amp;ContainerMarginAdmin[[#This Row],[Frequency_ID]]&amp;"-"&amp;ContainerMarginAdmin[[#This Row],[SS_or_DS]]</f>
        <v>3-1-BM-DS</v>
      </c>
      <c r="C45" s="14">
        <v>3</v>
      </c>
      <c r="D45" s="4" t="str">
        <f>INDEX(Grouping[Grouping_Name],MATCH(ContainerMarginAdmin[[#This Row],[Grouping_ID]],Grouping[Grouping_ID],0))</f>
        <v>3 - Other areas with curbside</v>
      </c>
      <c r="E45" s="14">
        <v>1</v>
      </c>
      <c r="F45" s="4" t="str">
        <f>INDEX(Sector[Sector_Name],MATCH(ContainerMarginAdmin[[#This Row],[Sector_ID]],Sector[Sector_ID],0))</f>
        <v>SF Res. (on-route)</v>
      </c>
      <c r="G45" s="18" t="s">
        <v>808</v>
      </c>
      <c r="H45" s="14" t="s">
        <v>66</v>
      </c>
      <c r="I45" s="4" t="str">
        <f>INDEX(Frequency[Collection_Frequency],MATCH(ContainerMarginAdmin[[#This Row],[Frequency_ID]],Frequency[Orig_Frequency_ID],0)+(ContainerMarginAdmin[[#This Row],[SS_or_DS]]="DS")*COUNTA(Frequency[Orig_Frequency_ID])/2)</f>
        <v>Weekly (formerly bimonthly)</v>
      </c>
      <c r="J45"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95.821439999999996</v>
      </c>
      <c r="K45" s="88">
        <f t="shared" si="0"/>
        <v>0.15</v>
      </c>
      <c r="L45" s="84">
        <f>ContainerMarginAdmin[[#This Row],[Direct_Costs]]*(ContainerMarginAdmin[[#This Row],[Margin_FranchiseFee_Rate]]/(1-ContainerMarginAdmin[[#This Row],[Margin_FranchiseFee_Rate]]))</f>
        <v>16.909665882352943</v>
      </c>
      <c r="M45" s="77">
        <v>20.78</v>
      </c>
      <c r="N45" s="97">
        <v>1</v>
      </c>
      <c r="O45" s="87">
        <f>SUM(ContainerMarginAdmin[[#This Row],[Annual_Margin_FranchiseFee_PerCustomer]:[Annual_Engagement_Per_Customer]])</f>
        <v>38.689665882352941</v>
      </c>
    </row>
    <row r="46" spans="2:15" ht="15" x14ac:dyDescent="0.2">
      <c r="B46" s="189" t="str">
        <f>ContainerMarginAdmin[[#This Row],[Grouping_ID]]&amp;"-"&amp;ContainerMarginAdmin[[#This Row],[Sector_ID]]&amp;"-"&amp;ContainerMarginAdmin[[#This Row],[Frequency_ID]]&amp;"-"&amp;ContainerMarginAdmin[[#This Row],[SS_or_DS]]</f>
        <v>3-1-M-DS</v>
      </c>
      <c r="C46" s="14">
        <v>3</v>
      </c>
      <c r="D46" s="4" t="str">
        <f>INDEX(Grouping[Grouping_Name],MATCH(ContainerMarginAdmin[[#This Row],[Grouping_ID]],Grouping[Grouping_ID],0))</f>
        <v>3 - Other areas with curbside</v>
      </c>
      <c r="E46" s="14">
        <v>1</v>
      </c>
      <c r="F46" s="4" t="str">
        <f>INDEX(Sector[Sector_Name],MATCH(ContainerMarginAdmin[[#This Row],[Sector_ID]],Sector[Sector_ID],0))</f>
        <v>SF Res. (on-route)</v>
      </c>
      <c r="G46" s="18" t="s">
        <v>808</v>
      </c>
      <c r="H46" s="14" t="s">
        <v>67</v>
      </c>
      <c r="I46" s="4" t="str">
        <f>INDEX(Frequency[Collection_Frequency],MATCH(ContainerMarginAdmin[[#This Row],[Frequency_ID]],Frequency[Orig_Frequency_ID],0)+(ContainerMarginAdmin[[#This Row],[SS_or_DS]]="DS")*COUNTA(Frequency[Orig_Frequency_ID])/2)</f>
        <v>Weekly (formerly monthly)</v>
      </c>
      <c r="J46"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95.821439999999996</v>
      </c>
      <c r="K46" s="88">
        <f t="shared" si="0"/>
        <v>0.15</v>
      </c>
      <c r="L46" s="84">
        <f>ContainerMarginAdmin[[#This Row],[Direct_Costs]]*(ContainerMarginAdmin[[#This Row],[Margin_FranchiseFee_Rate]]/(1-ContainerMarginAdmin[[#This Row],[Margin_FranchiseFee_Rate]]))</f>
        <v>16.909665882352943</v>
      </c>
      <c r="M46" s="77">
        <v>20.78</v>
      </c>
      <c r="N46" s="97">
        <v>1</v>
      </c>
      <c r="O46" s="87">
        <f>SUM(ContainerMarginAdmin[[#This Row],[Annual_Margin_FranchiseFee_PerCustomer]:[Annual_Engagement_Per_Customer]])</f>
        <v>38.689665882352941</v>
      </c>
    </row>
    <row r="47" spans="2:15" ht="15" x14ac:dyDescent="0.2">
      <c r="B47" s="189" t="str">
        <f>ContainerMarginAdmin[[#This Row],[Grouping_ID]]&amp;"-"&amp;ContainerMarginAdmin[[#This Row],[Sector_ID]]&amp;"-"&amp;ContainerMarginAdmin[[#This Row],[Frequency_ID]]&amp;"-"&amp;ContainerMarginAdmin[[#This Row],[SS_or_DS]]</f>
        <v>3-1-U-DS</v>
      </c>
      <c r="C47" s="178">
        <v>3</v>
      </c>
      <c r="D47" s="4" t="str">
        <f>INDEX(Grouping[Grouping_Name],MATCH(ContainerMarginAdmin[[#This Row],[Grouping_ID]],Grouping[Grouping_ID],0))</f>
        <v>3 - Other areas with curbside</v>
      </c>
      <c r="E47" s="14">
        <v>1</v>
      </c>
      <c r="F47" s="4" t="str">
        <f>INDEX(Sector[Sector_Name],MATCH(ContainerMarginAdmin[[#This Row],[Sector_ID]],Sector[Sector_ID],0))</f>
        <v>SF Res. (on-route)</v>
      </c>
      <c r="G47" s="18" t="s">
        <v>808</v>
      </c>
      <c r="H47" s="14" t="s">
        <v>65</v>
      </c>
      <c r="I47" s="4" t="str">
        <f>INDEX(Frequency[Collection_Frequency],MATCH(ContainerMarginAdmin[[#This Row],[Frequency_ID]],Frequency[Orig_Frequency_ID],0)+(ContainerMarginAdmin[[#This Row],[SS_or_DS]]="DS")*COUNTA(Frequency[Orig_Frequency_ID])/2)</f>
        <v>Uncertain</v>
      </c>
      <c r="J47" s="192">
        <f>INDEX(LaborCostPerLift[Annual_Labor_Cost_Per_Customer],MATCH(ContainerMarginAdmin[[#This Row],[Collection_ID]],LaborCostPerLift[Collection_ID],0))
+INDEX(ContainerCapitalCostPerPickup[Annual_Container_Cost_Per_Customer],MATCH(ContainerMarginAdmin[[#This Row],[Collection_ID]],ContainerCapitalCostPerPickup[Collection_ID],0))
+INDEX(ContainerOtherOpsCostPerPickup[Annual_OtherOps_Cost_Per_Customer],MATCH(ContainerMarginAdmin[[#This Row],[Collection_ID]],ContainerOtherOpsCostPerPickup[Collection_ID],0))</f>
        <v>95.821439999999996</v>
      </c>
      <c r="K47" s="88">
        <f t="shared" si="0"/>
        <v>0.15</v>
      </c>
      <c r="L47" s="84">
        <f>ContainerMarginAdmin[[#This Row],[Direct_Costs]]*(ContainerMarginAdmin[[#This Row],[Margin_FranchiseFee_Rate]]/(1-ContainerMarginAdmin[[#This Row],[Margin_FranchiseFee_Rate]]))</f>
        <v>16.909665882352943</v>
      </c>
      <c r="M47" s="77">
        <v>20.78</v>
      </c>
      <c r="N47" s="97">
        <v>1</v>
      </c>
      <c r="O47" s="87">
        <f>SUM(ContainerMarginAdmin[[#This Row],[Annual_Margin_FranchiseFee_PerCustomer]:[Annual_Engagement_Per_Customer]])</f>
        <v>38.689665882352941</v>
      </c>
    </row>
  </sheetData>
  <sheetProtection algorithmName="SHA-512" hashValue="grb3trCwF+YA+UdrUPLkcsawfOnDukHc8M2lvW6Jh1MP0k/CpVCWvOas2HoqKz/gia7Olh6PGrjkfIh1ZJXZ2w==" saltValue="tfb3wu57M+gl7FF713Mq+Q==" spinCount="100000" sheet="1" objects="1" scenarios="1" autoFilter="0"/>
  <mergeCells count="1">
    <mergeCell ref="C6:O6"/>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499984740745262"/>
  </sheetPr>
  <dimension ref="B1:AF194"/>
  <sheetViews>
    <sheetView workbookViewId="0">
      <selection activeCell="L34" sqref="L34"/>
    </sheetView>
  </sheetViews>
  <sheetFormatPr defaultColWidth="9" defaultRowHeight="12.75" outlineLevelCol="1" x14ac:dyDescent="0.2"/>
  <cols>
    <col min="1" max="1" width="2.625" style="35" customWidth="1"/>
    <col min="2" max="2" width="8.5" style="35" customWidth="1"/>
    <col min="3" max="3" width="8.5" style="35" customWidth="1" outlineLevel="1"/>
    <col min="4" max="4" width="15.375" style="35" customWidth="1" outlineLevel="1"/>
    <col min="5" max="5" width="22.625" style="35" customWidth="1" outlineLevel="1"/>
    <col min="6" max="6" width="17" style="35" customWidth="1" outlineLevel="1"/>
    <col min="7" max="7" width="20.125" style="35" customWidth="1" outlineLevel="1"/>
    <col min="8" max="9" width="9.125" style="35" customWidth="1" outlineLevel="1"/>
    <col min="10" max="10" width="19.625" style="35" customWidth="1"/>
    <col min="11" max="11" width="26.75" style="35" bestFit="1" customWidth="1"/>
    <col min="12" max="18" width="17.625" style="35" customWidth="1"/>
    <col min="19" max="19" width="14.5" style="35" customWidth="1"/>
    <col min="20" max="20" width="13.75" style="35" customWidth="1"/>
    <col min="21" max="21" width="18.25" style="35" customWidth="1"/>
    <col min="22" max="22" width="14" style="35" customWidth="1"/>
    <col min="23" max="23" width="12.125" style="35" bestFit="1" customWidth="1"/>
    <col min="24" max="26" width="6.625" style="35" customWidth="1"/>
    <col min="27" max="27" width="6.625" style="28" customWidth="1"/>
    <col min="28" max="29" width="6.625" style="35" customWidth="1"/>
    <col min="30" max="16384" width="9" style="35"/>
  </cols>
  <sheetData>
    <row r="1" spans="2:29" ht="20.25" thickBot="1" x14ac:dyDescent="0.35">
      <c r="B1" s="66" t="s">
        <v>1126</v>
      </c>
      <c r="C1" s="76"/>
      <c r="D1" s="76"/>
      <c r="E1" s="76"/>
      <c r="F1" s="76"/>
      <c r="G1" s="76"/>
      <c r="H1" s="76"/>
      <c r="I1" s="76"/>
      <c r="J1" s="76"/>
      <c r="K1" s="76"/>
      <c r="L1" s="76"/>
      <c r="M1" s="76"/>
      <c r="N1" s="76"/>
      <c r="O1" s="76"/>
      <c r="P1" s="76"/>
      <c r="Q1" s="76"/>
      <c r="R1" s="76"/>
      <c r="S1" s="76"/>
      <c r="T1" s="76"/>
      <c r="U1" s="66"/>
      <c r="V1" s="76"/>
      <c r="W1" s="76"/>
      <c r="X1" s="76"/>
      <c r="Y1" s="76"/>
      <c r="Z1" s="76"/>
      <c r="AA1" s="76"/>
      <c r="AB1" s="76"/>
      <c r="AC1" s="76"/>
    </row>
    <row r="2" spans="2:29" ht="21" thickTop="1" thickBot="1" x14ac:dyDescent="0.35">
      <c r="B2" s="66"/>
      <c r="C2" s="76"/>
      <c r="D2" s="76"/>
      <c r="E2" s="76"/>
      <c r="F2" s="76"/>
      <c r="G2" s="76"/>
      <c r="H2" s="76"/>
      <c r="I2" s="76"/>
      <c r="J2" s="76"/>
      <c r="K2" s="76"/>
      <c r="L2" s="76"/>
      <c r="M2" s="76"/>
      <c r="N2" s="76"/>
      <c r="O2" s="76"/>
      <c r="P2" s="76"/>
      <c r="Q2" s="76"/>
      <c r="R2" s="76"/>
      <c r="S2" s="76"/>
      <c r="T2" s="76"/>
      <c r="U2" s="66"/>
      <c r="V2" s="76"/>
      <c r="W2" s="76"/>
      <c r="X2" s="76"/>
      <c r="Y2" s="76"/>
      <c r="Z2" s="76"/>
      <c r="AA2" s="76"/>
      <c r="AB2" s="76"/>
      <c r="AC2" s="76"/>
    </row>
    <row r="3" spans="2:29" ht="18" thickTop="1" thickBot="1" x14ac:dyDescent="0.25">
      <c r="B3" s="74" t="s">
        <v>49</v>
      </c>
      <c r="C3" s="74"/>
      <c r="D3" s="74"/>
      <c r="E3" s="74"/>
      <c r="F3" s="74"/>
      <c r="G3" s="74"/>
      <c r="H3" s="74"/>
      <c r="I3" s="74"/>
      <c r="J3" s="74"/>
      <c r="K3" s="74"/>
      <c r="AA3" s="35"/>
    </row>
    <row r="4" spans="2:29" ht="13.5" thickTop="1" x14ac:dyDescent="0.2">
      <c r="H4" s="28"/>
    </row>
    <row r="5" spans="2:29" x14ac:dyDescent="0.2">
      <c r="B5" s="114" t="s">
        <v>134</v>
      </c>
      <c r="C5" s="112"/>
      <c r="D5" s="112"/>
      <c r="E5" s="112"/>
      <c r="F5" s="112"/>
      <c r="G5" s="112"/>
      <c r="H5" s="113"/>
      <c r="I5" s="112"/>
    </row>
    <row r="6" spans="2:29" x14ac:dyDescent="0.2">
      <c r="B6" s="35" t="s">
        <v>135</v>
      </c>
      <c r="C6" s="35" t="s">
        <v>56</v>
      </c>
      <c r="D6" s="35" t="s">
        <v>57</v>
      </c>
      <c r="E6" s="35" t="s">
        <v>60</v>
      </c>
      <c r="F6" s="35" t="s">
        <v>61</v>
      </c>
      <c r="G6" s="35" t="s">
        <v>136</v>
      </c>
      <c r="H6" s="35" t="s">
        <v>137</v>
      </c>
      <c r="I6" s="28" t="s">
        <v>138</v>
      </c>
    </row>
    <row r="7" spans="2:29" ht="14.25" x14ac:dyDescent="0.2">
      <c r="B7" s="105" t="s">
        <v>50</v>
      </c>
      <c r="C7" s="35">
        <v>1</v>
      </c>
      <c r="D7" s="35" t="str">
        <f>INDEX(Grouping[Grouping_Name],MATCH(CustCntSrcs[[#This Row],[Grouping_ID]],Grouping[Grouping_ID],0))</f>
        <v>1 - Metro area</v>
      </c>
      <c r="E7" s="35">
        <v>1</v>
      </c>
      <c r="F7" s="35" t="str">
        <f>IFERROR(INDEX(Sector[Sector_Name],MATCH(CustCntSrcs[[#This Row],[Sector_ID]],Sector[Sector_ID],0)),"not applicable")</f>
        <v>SF Res. (on-route)</v>
      </c>
      <c r="G7" s="35" t="s">
        <v>144</v>
      </c>
      <c r="H7" s="104">
        <v>0.26339829285649385</v>
      </c>
      <c r="I7" s="28" t="s">
        <v>139</v>
      </c>
    </row>
    <row r="8" spans="2:29" ht="14.25" x14ac:dyDescent="0.2">
      <c r="B8" s="105" t="s">
        <v>50</v>
      </c>
      <c r="C8" s="35">
        <v>2</v>
      </c>
      <c r="D8" s="35" t="str">
        <f>INDEX(Grouping[Grouping_Name],MATCH(CustCntSrcs[[#This Row],[Grouping_ID]],Grouping[Grouping_ID],0))</f>
        <v>2 - Willamette Valley, etc.</v>
      </c>
      <c r="E8" s="35">
        <v>1</v>
      </c>
      <c r="F8" s="35" t="str">
        <f>IFERROR(INDEX(Sector[Sector_Name],MATCH(CustCntSrcs[[#This Row],[Sector_ID]],Sector[Sector_ID],0)),"not applicable")</f>
        <v>SF Res. (on-route)</v>
      </c>
      <c r="G8" s="35" t="s">
        <v>144</v>
      </c>
      <c r="H8" s="104">
        <v>0.25090000000000001</v>
      </c>
      <c r="I8" s="28" t="s">
        <v>139</v>
      </c>
    </row>
    <row r="9" spans="2:29" ht="14.25" x14ac:dyDescent="0.2">
      <c r="B9" s="105" t="s">
        <v>50</v>
      </c>
      <c r="C9" s="35">
        <v>3</v>
      </c>
      <c r="D9" s="35" t="str">
        <f>INDEX(Grouping[Grouping_Name],MATCH(CustCntSrcs[[#This Row],[Grouping_ID]],Grouping[Grouping_ID],0))</f>
        <v>3 - Other areas with curbside</v>
      </c>
      <c r="E9" s="35">
        <v>1</v>
      </c>
      <c r="F9" s="35" t="str">
        <f>IFERROR(INDEX(Sector[Sector_Name],MATCH(CustCntSrcs[[#This Row],[Sector_ID]],Sector[Sector_ID],0)),"not applicable")</f>
        <v>SF Res. (on-route)</v>
      </c>
      <c r="G9" s="35" t="s">
        <v>144</v>
      </c>
      <c r="H9" s="104">
        <v>0.26100000000000001</v>
      </c>
      <c r="I9" s="28" t="s">
        <v>139</v>
      </c>
    </row>
    <row r="10" spans="2:29" ht="14.25" x14ac:dyDescent="0.2">
      <c r="B10" s="105" t="s">
        <v>50</v>
      </c>
      <c r="C10" s="35">
        <v>4</v>
      </c>
      <c r="D10" s="35" t="str">
        <f>INDEX(Grouping[Grouping_Name],MATCH(CustCntSrcs[[#This Row],[Grouping_ID]],Grouping[Grouping_ID],0))</f>
        <v>4 - Areas without curbside</v>
      </c>
      <c r="E10" s="35">
        <v>1</v>
      </c>
      <c r="F10" s="35" t="str">
        <f>IFERROR(INDEX(Sector[Sector_Name],MATCH(CustCntSrcs[[#This Row],[Sector_ID]],Sector[Sector_ID],0)),"not applicable")</f>
        <v>SF Res. (on-route)</v>
      </c>
      <c r="G10" s="35" t="s">
        <v>144</v>
      </c>
      <c r="H10" s="104">
        <v>0</v>
      </c>
      <c r="I10" s="28" t="s">
        <v>139</v>
      </c>
    </row>
    <row r="11" spans="2:29" ht="14.25" x14ac:dyDescent="0.2">
      <c r="B11" s="105" t="s">
        <v>50</v>
      </c>
      <c r="C11" s="35">
        <v>1</v>
      </c>
      <c r="D11" s="35" t="str">
        <f>INDEX(Grouping[Grouping_Name],MATCH(CustCntSrcs[[#This Row],[Grouping_ID]],Grouping[Grouping_ID],0))</f>
        <v>1 - Metro area</v>
      </c>
      <c r="E11" s="35">
        <v>2</v>
      </c>
      <c r="F11" s="35" t="str">
        <f>IFERROR(INDEX(Sector[Sector_Name],MATCH(CustCntSrcs[[#This Row],[Sector_ID]],Sector[Sector_ID],0)),"not applicable")</f>
        <v>MF Res. (on-route)</v>
      </c>
      <c r="G11" s="35" t="s">
        <v>144</v>
      </c>
      <c r="H11" s="104">
        <v>4.0829601659520629E-3</v>
      </c>
      <c r="I11" s="28" t="s">
        <v>139</v>
      </c>
    </row>
    <row r="12" spans="2:29" ht="14.25" x14ac:dyDescent="0.2">
      <c r="B12" s="105" t="s">
        <v>50</v>
      </c>
      <c r="C12" s="35">
        <v>2</v>
      </c>
      <c r="D12" s="35" t="str">
        <f>INDEX(Grouping[Grouping_Name],MATCH(CustCntSrcs[[#This Row],[Grouping_ID]],Grouping[Grouping_ID],0))</f>
        <v>2 - Willamette Valley, etc.</v>
      </c>
      <c r="E12" s="35">
        <v>2</v>
      </c>
      <c r="F12" s="35" t="str">
        <f>IFERROR(INDEX(Sector[Sector_Name],MATCH(CustCntSrcs[[#This Row],[Sector_ID]],Sector[Sector_ID],0)),"not applicable")</f>
        <v>MF Res. (on-route)</v>
      </c>
      <c r="G12" s="35" t="s">
        <v>144</v>
      </c>
      <c r="H12" s="104">
        <v>6.0000000000000001E-3</v>
      </c>
      <c r="I12" s="28" t="s">
        <v>139</v>
      </c>
    </row>
    <row r="13" spans="2:29" ht="14.25" x14ac:dyDescent="0.2">
      <c r="B13" s="105" t="s">
        <v>50</v>
      </c>
      <c r="C13" s="35">
        <v>3</v>
      </c>
      <c r="D13" s="35" t="str">
        <f>INDEX(Grouping[Grouping_Name],MATCH(CustCntSrcs[[#This Row],[Grouping_ID]],Grouping[Grouping_ID],0))</f>
        <v>3 - Other areas with curbside</v>
      </c>
      <c r="E13" s="35">
        <v>2</v>
      </c>
      <c r="F13" s="35" t="str">
        <f>IFERROR(INDEX(Sector[Sector_Name],MATCH(CustCntSrcs[[#This Row],[Sector_ID]],Sector[Sector_ID],0)),"not applicable")</f>
        <v>MF Res. (on-route)</v>
      </c>
      <c r="G13" s="35" t="s">
        <v>144</v>
      </c>
      <c r="H13" s="104">
        <v>2.5000000000000001E-3</v>
      </c>
      <c r="I13" s="28" t="s">
        <v>139</v>
      </c>
    </row>
    <row r="14" spans="2:29" ht="14.25" x14ac:dyDescent="0.2">
      <c r="B14" s="105" t="s">
        <v>50</v>
      </c>
      <c r="C14" s="35">
        <v>4</v>
      </c>
      <c r="D14" s="35" t="str">
        <f>INDEX(Grouping[Grouping_Name],MATCH(CustCntSrcs[[#This Row],[Grouping_ID]],Grouping[Grouping_ID],0))</f>
        <v>4 - Areas without curbside</v>
      </c>
      <c r="E14" s="35">
        <v>2</v>
      </c>
      <c r="F14" s="35" t="str">
        <f>IFERROR(INDEX(Sector[Sector_Name],MATCH(CustCntSrcs[[#This Row],[Sector_ID]],Sector[Sector_ID],0)),"not applicable")</f>
        <v>MF Res. (on-route)</v>
      </c>
      <c r="G14" s="35" t="s">
        <v>144</v>
      </c>
      <c r="H14" s="104">
        <v>0</v>
      </c>
      <c r="I14" s="28" t="s">
        <v>139</v>
      </c>
    </row>
    <row r="15" spans="2:29" ht="14.25" x14ac:dyDescent="0.2">
      <c r="B15" s="105" t="s">
        <v>50</v>
      </c>
      <c r="C15" s="35">
        <v>1</v>
      </c>
      <c r="D15" s="35" t="str">
        <f>INDEX(Grouping[Grouping_Name],MATCH(CustCntSrcs[[#This Row],[Grouping_ID]],Grouping[Grouping_ID],0))</f>
        <v>1 - Metro area</v>
      </c>
      <c r="E15" s="35">
        <v>3</v>
      </c>
      <c r="F15" s="35" t="str">
        <f>IFERROR(INDEX(Sector[Sector_Name],MATCH(CustCntSrcs[[#This Row],[Sector_ID]],Sector[Sector_ID],0)),"not applicable")</f>
        <v>Commercial (on-route)</v>
      </c>
      <c r="G15" s="35" t="s">
        <v>144</v>
      </c>
      <c r="H15" s="104">
        <v>2.0077661123032196E-2</v>
      </c>
      <c r="I15" s="28" t="s">
        <v>139</v>
      </c>
    </row>
    <row r="16" spans="2:29" ht="14.25" x14ac:dyDescent="0.2">
      <c r="B16" s="105" t="s">
        <v>50</v>
      </c>
      <c r="C16" s="35">
        <v>2</v>
      </c>
      <c r="D16" s="35" t="str">
        <f>INDEX(Grouping[Grouping_Name],MATCH(CustCntSrcs[[#This Row],[Grouping_ID]],Grouping[Grouping_ID],0))</f>
        <v>2 - Willamette Valley, etc.</v>
      </c>
      <c r="E16" s="35">
        <v>3</v>
      </c>
      <c r="F16" s="35" t="str">
        <f>IFERROR(INDEX(Sector[Sector_Name],MATCH(CustCntSrcs[[#This Row],[Sector_ID]],Sector[Sector_ID],0)),"not applicable")</f>
        <v>Commercial (on-route)</v>
      </c>
      <c r="G16" s="35" t="s">
        <v>144</v>
      </c>
      <c r="H16" s="104">
        <v>1.5699999999999999E-2</v>
      </c>
      <c r="I16" s="28" t="s">
        <v>139</v>
      </c>
    </row>
    <row r="17" spans="2:27" ht="14.25" x14ac:dyDescent="0.2">
      <c r="B17" s="105" t="s">
        <v>50</v>
      </c>
      <c r="C17" s="35">
        <v>3</v>
      </c>
      <c r="D17" s="35" t="str">
        <f>INDEX(Grouping[Grouping_Name],MATCH(CustCntSrcs[[#This Row],[Grouping_ID]],Grouping[Grouping_ID],0))</f>
        <v>3 - Other areas with curbside</v>
      </c>
      <c r="E17" s="35">
        <v>3</v>
      </c>
      <c r="F17" s="35" t="str">
        <f>IFERROR(INDEX(Sector[Sector_Name],MATCH(CustCntSrcs[[#This Row],[Sector_ID]],Sector[Sector_ID],0)),"not applicable")</f>
        <v>Commercial (on-route)</v>
      </c>
      <c r="G17" s="35" t="s">
        <v>144</v>
      </c>
      <c r="H17" s="104">
        <v>1.5900000000000001E-2</v>
      </c>
      <c r="I17" s="28" t="s">
        <v>139</v>
      </c>
    </row>
    <row r="18" spans="2:27" ht="14.25" x14ac:dyDescent="0.2">
      <c r="B18" s="105" t="s">
        <v>50</v>
      </c>
      <c r="C18" s="35">
        <v>4</v>
      </c>
      <c r="D18" s="35" t="str">
        <f>INDEX(Grouping[Grouping_Name],MATCH(CustCntSrcs[[#This Row],[Grouping_ID]],Grouping[Grouping_ID],0))</f>
        <v>4 - Areas without curbside</v>
      </c>
      <c r="E18" s="35">
        <v>3</v>
      </c>
      <c r="F18" s="35" t="str">
        <f>IFERROR(INDEX(Sector[Sector_Name],MATCH(CustCntSrcs[[#This Row],[Sector_ID]],Sector[Sector_ID],0)),"not applicable")</f>
        <v>Commercial (on-route)</v>
      </c>
      <c r="G18" s="35" t="s">
        <v>144</v>
      </c>
      <c r="H18" s="104">
        <v>0</v>
      </c>
      <c r="I18" s="28" t="s">
        <v>139</v>
      </c>
    </row>
    <row r="19" spans="2:27" x14ac:dyDescent="0.2">
      <c r="B19" s="105" t="s">
        <v>111</v>
      </c>
      <c r="C19" s="35">
        <v>0</v>
      </c>
      <c r="D19" s="24" t="str">
        <f>INDEX(Grouping[Grouping_Name],MATCH(CustCntSrcs[[#This Row],[Grouping_ID]],Grouping[Grouping_ID],0))</f>
        <v>Statewide</v>
      </c>
      <c r="E19" s="35">
        <v>0</v>
      </c>
      <c r="F19" s="24" t="str">
        <f>IFERROR(INDEX(Sector[Sector_Name],MATCH(CustCntSrcs[[#This Row],[Sector_ID]],Sector[Sector_ID],0)),"not applicable")</f>
        <v>not applicable</v>
      </c>
      <c r="G19" s="35" t="s">
        <v>815</v>
      </c>
      <c r="H19" s="193">
        <v>0.15</v>
      </c>
      <c r="I19" s="28" t="s">
        <v>52</v>
      </c>
    </row>
    <row r="20" spans="2:27" ht="15" x14ac:dyDescent="0.25">
      <c r="B20" s="105" t="s">
        <v>113</v>
      </c>
      <c r="C20" s="35">
        <v>0</v>
      </c>
      <c r="D20" s="24" t="str">
        <f>INDEX(Grouping[Grouping_Name],MATCH(CustCntSrcs[[#This Row],[Grouping_ID]],Grouping[Grouping_ID],0))</f>
        <v>Statewide</v>
      </c>
      <c r="E20" s="35">
        <v>0</v>
      </c>
      <c r="F20" s="24" t="str">
        <f>IFERROR(INDEX(Sector[Sector_Name],MATCH(CustCntSrcs[[#This Row],[Sector_ID]],Sector[Sector_ID],0)),"not applicable")</f>
        <v>not applicable</v>
      </c>
      <c r="G20" s="35" t="s">
        <v>837</v>
      </c>
      <c r="H20" s="99">
        <f>INDEX(Inflation[Escalator],MATCH(CustCntSrcs[[#This Row],[Source]],Inflation[Financial_ID],0))</f>
        <v>1.1188403028848959</v>
      </c>
      <c r="I20" s="104" t="s">
        <v>79</v>
      </c>
    </row>
    <row r="21" spans="2:27" s="318" customFormat="1" x14ac:dyDescent="0.2">
      <c r="B21" s="338"/>
      <c r="C21" s="318">
        <v>0</v>
      </c>
      <c r="D21" s="323" t="str">
        <f>INDEX(Grouping[Grouping_Name],MATCH(CustCntSrcs[[#This Row],[Grouping_ID]],Grouping[Grouping_ID],0))</f>
        <v>Statewide</v>
      </c>
      <c r="E21" s="318">
        <v>0</v>
      </c>
      <c r="F21" s="323" t="str">
        <f>IFERROR(INDEX(Sector[Sector_Name],MATCH(CustCntSrcs[[#This Row],[Sector_ID]],Sector[Sector_ID],0)),"not applicable")</f>
        <v>not applicable</v>
      </c>
      <c r="G21" s="318" t="s">
        <v>1098</v>
      </c>
      <c r="H21" s="344">
        <f>2.5*(2/2)*$H$20</f>
        <v>2.7971007572122399</v>
      </c>
      <c r="I21" s="343" t="s">
        <v>3692</v>
      </c>
      <c r="AA21" s="325"/>
    </row>
    <row r="22" spans="2:27" s="318" customFormat="1" x14ac:dyDescent="0.2">
      <c r="B22" s="338"/>
      <c r="C22" s="318">
        <v>0</v>
      </c>
      <c r="D22" s="323" t="str">
        <f>INDEX(Grouping[Grouping_Name],MATCH(CustCntSrcs[[#This Row],[Grouping_ID]],Grouping[Grouping_ID],0))</f>
        <v>Statewide</v>
      </c>
      <c r="E22" s="318">
        <v>0</v>
      </c>
      <c r="F22" s="323" t="str">
        <f>IFERROR(INDEX(Sector[Sector_Name],MATCH(CustCntSrcs[[#This Row],[Sector_ID]],Sector[Sector_ID],0)),"not applicable")</f>
        <v>not applicable</v>
      </c>
      <c r="G22" s="318" t="s">
        <v>1099</v>
      </c>
      <c r="H22" s="344">
        <f>4*50/2*$H$20</f>
        <v>111.88403028848958</v>
      </c>
      <c r="I22" s="343" t="s">
        <v>3689</v>
      </c>
      <c r="AA22" s="325"/>
    </row>
    <row r="23" spans="2:27" ht="15" x14ac:dyDescent="0.25">
      <c r="B23" s="105" t="s">
        <v>51</v>
      </c>
      <c r="C23" s="35">
        <v>0</v>
      </c>
      <c r="D23" s="24" t="str">
        <f>INDEX(Grouping[Grouping_Name],MATCH(CustCntSrcs[[#This Row],[Grouping_ID]],Grouping[Grouping_ID],0))</f>
        <v>Statewide</v>
      </c>
      <c r="E23" s="35">
        <v>0</v>
      </c>
      <c r="F23" s="24" t="str">
        <f>IFERROR(INDEX(Sector[Sector_Name],MATCH(CustCntSrcs[[#This Row],[Sector_ID]],Sector[Sector_ID],0)),"not applicable")</f>
        <v>not applicable</v>
      </c>
      <c r="G23" s="35" t="s">
        <v>838</v>
      </c>
      <c r="H23" s="99">
        <f>INDEX(Inflation[Escalator],MATCH(CustCntSrcs[[#This Row],[Source]],Inflation[Financial_ID],0))</f>
        <v>1.1688610976319873</v>
      </c>
      <c r="I23" s="104" t="s">
        <v>823</v>
      </c>
    </row>
    <row r="24" spans="2:27" ht="15" x14ac:dyDescent="0.25">
      <c r="B24" s="105" t="s">
        <v>53</v>
      </c>
      <c r="C24" s="35">
        <v>0</v>
      </c>
      <c r="D24" s="24" t="str">
        <f>INDEX(Grouping[Grouping_Name],MATCH(CustCntSrcs[[#This Row],[Grouping_ID]],Grouping[Grouping_ID],0))</f>
        <v>Statewide</v>
      </c>
      <c r="E24" s="35">
        <v>0</v>
      </c>
      <c r="F24" s="24" t="str">
        <f>IFERROR(INDEX(Sector[Sector_Name],MATCH(CustCntSrcs[[#This Row],[Sector_ID]],Sector[Sector_ID],0)),"not applicable")</f>
        <v>not applicable</v>
      </c>
      <c r="G24" s="35" t="s">
        <v>861</v>
      </c>
      <c r="H24" s="99">
        <f>INDEX(Inflation[Escalator],MATCH(CustCntSrcs[[#This Row],[Source]],Inflation[Financial_ID],0))</f>
        <v>1.1188403028848959</v>
      </c>
      <c r="I24" s="104" t="s">
        <v>79</v>
      </c>
    </row>
    <row r="25" spans="2:27" ht="15" x14ac:dyDescent="0.25">
      <c r="B25" s="105" t="s">
        <v>82</v>
      </c>
      <c r="C25" s="35">
        <v>0</v>
      </c>
      <c r="D25" s="24" t="str">
        <f>INDEX(Grouping[Grouping_Name],MATCH(CustCntSrcs[[#This Row],[Grouping_ID]],Grouping[Grouping_ID],0))</f>
        <v>Statewide</v>
      </c>
      <c r="E25" s="35">
        <v>0</v>
      </c>
      <c r="F25" s="24" t="str">
        <f>IFERROR(INDEX(Sector[Sector_Name],MATCH(CustCntSrcs[[#This Row],[Sector_ID]],Sector[Sector_ID],0)),"not applicable")</f>
        <v>not applicable</v>
      </c>
      <c r="G25" s="35" t="s">
        <v>862</v>
      </c>
      <c r="H25" s="99">
        <f>INDEX(Inflation[Escalator],MATCH(CustCntSrcs[[#This Row],[Source]],Inflation[Financial_ID],0))</f>
        <v>1.1841614448188498</v>
      </c>
      <c r="I25" s="104" t="s">
        <v>80</v>
      </c>
    </row>
    <row r="26" spans="2:27" ht="15" x14ac:dyDescent="0.25">
      <c r="B26" s="105" t="s">
        <v>836</v>
      </c>
      <c r="C26" s="35">
        <v>0</v>
      </c>
      <c r="D26" s="24" t="str">
        <f>INDEX(Grouping[Grouping_Name],MATCH(CustCntSrcs[[#This Row],[Grouping_ID]],Grouping[Grouping_ID],0))</f>
        <v>Statewide</v>
      </c>
      <c r="E26" s="35">
        <v>0</v>
      </c>
      <c r="F26" s="24" t="str">
        <f>IFERROR(INDEX(Sector[Sector_Name],MATCH(CustCntSrcs[[#This Row],[Sector_ID]],Sector[Sector_ID],0)),"not applicable")</f>
        <v>not applicable</v>
      </c>
      <c r="G26" s="35" t="s">
        <v>839</v>
      </c>
      <c r="H26" s="99">
        <f>INDEX(Inflation[Escalator],MATCH(CustCntSrcs[[#This Row],[Source]],Inflation[Financial_ID],0))</f>
        <v>1.0994771324844705</v>
      </c>
      <c r="I26" s="104" t="s">
        <v>149</v>
      </c>
    </row>
    <row r="27" spans="2:27" ht="15" x14ac:dyDescent="0.25">
      <c r="B27" s="105" t="s">
        <v>860</v>
      </c>
      <c r="D27" s="24" t="str">
        <f>INDEX(Grouping[Grouping_Name],MATCH(CustCntSrcs[[#This Row],[Grouping_ID]],Grouping[Grouping_ID],0))</f>
        <v>Statewide</v>
      </c>
      <c r="F27" s="24" t="str">
        <f>IFERROR(INDEX(Sector[Sector_Name],MATCH(CustCntSrcs[[#This Row],[Sector_ID]],Sector[Sector_ID],0)),"not applicable")</f>
        <v>not applicable</v>
      </c>
      <c r="G27" s="35" t="s">
        <v>840</v>
      </c>
      <c r="H27" s="99">
        <f>INDEX(Inflation[Escalator],MATCH(CustCntSrcs[[#This Row],[Source]],Inflation[Financial_ID],0))</f>
        <v>1.1188403028848959</v>
      </c>
      <c r="I27" s="211" t="s">
        <v>79</v>
      </c>
    </row>
    <row r="29" spans="2:27" s="318" customFormat="1" x14ac:dyDescent="0.2">
      <c r="AA29" s="325"/>
    </row>
    <row r="30" spans="2:27" s="318" customFormat="1" x14ac:dyDescent="0.2">
      <c r="AA30" s="325"/>
    </row>
    <row r="32" spans="2:27" x14ac:dyDescent="0.2">
      <c r="K32" s="31"/>
    </row>
    <row r="33" spans="2:31" ht="15" x14ac:dyDescent="0.25">
      <c r="B33" s="67" t="s">
        <v>863</v>
      </c>
      <c r="C33" s="67"/>
      <c r="D33" s="67"/>
      <c r="E33" s="67"/>
      <c r="F33" s="67"/>
      <c r="G33" s="67"/>
      <c r="H33" s="63"/>
      <c r="K33" s="68"/>
      <c r="L33" s="332"/>
      <c r="M33" s="134"/>
      <c r="N33" s="134" t="s">
        <v>50</v>
      </c>
      <c r="P33" s="134" t="s">
        <v>113</v>
      </c>
      <c r="Q33" s="134" t="s">
        <v>51</v>
      </c>
      <c r="R33" s="134" t="s">
        <v>53</v>
      </c>
      <c r="S33" s="134" t="s">
        <v>82</v>
      </c>
      <c r="T33" s="134" t="s">
        <v>836</v>
      </c>
      <c r="U33" s="134" t="s">
        <v>860</v>
      </c>
      <c r="V33" s="134" t="s">
        <v>111</v>
      </c>
      <c r="AA33" s="35"/>
      <c r="AB33" s="28"/>
    </row>
    <row r="34" spans="2:31" ht="25.5" x14ac:dyDescent="0.2">
      <c r="B34" s="25" t="s">
        <v>55</v>
      </c>
      <c r="C34" s="25" t="s">
        <v>112</v>
      </c>
      <c r="D34" s="25" t="s">
        <v>56</v>
      </c>
      <c r="E34" s="25" t="s">
        <v>57</v>
      </c>
      <c r="F34" s="25" t="s">
        <v>60</v>
      </c>
      <c r="G34" s="25" t="s">
        <v>61</v>
      </c>
      <c r="H34" s="25" t="s">
        <v>877</v>
      </c>
      <c r="I34" s="15" t="s">
        <v>805</v>
      </c>
      <c r="J34" s="25" t="s">
        <v>58</v>
      </c>
      <c r="K34" s="25" t="s">
        <v>59</v>
      </c>
      <c r="L34" s="25" t="s">
        <v>817</v>
      </c>
      <c r="M34" s="25" t="s">
        <v>818</v>
      </c>
      <c r="N34" s="25" t="s">
        <v>144</v>
      </c>
      <c r="O34" s="98" t="s">
        <v>122</v>
      </c>
      <c r="P34" s="98" t="s">
        <v>26</v>
      </c>
      <c r="Q34" s="25" t="s">
        <v>145</v>
      </c>
      <c r="R34" s="25" t="s">
        <v>1051</v>
      </c>
      <c r="S34" s="25" t="s">
        <v>1052</v>
      </c>
      <c r="T34" s="25" t="s">
        <v>146</v>
      </c>
      <c r="U34" s="25" t="s">
        <v>147</v>
      </c>
      <c r="V34" s="25" t="s">
        <v>148</v>
      </c>
      <c r="W34" s="25" t="s">
        <v>25</v>
      </c>
      <c r="AA34" s="35"/>
      <c r="AE34" s="28"/>
    </row>
    <row r="35" spans="2:31" ht="15" x14ac:dyDescent="0.25">
      <c r="B35" s="209" t="str">
        <f>CollectionCostTotal[[#This Row],[Grouping_ID]]&amp;"-"&amp;CollectionCostTotal[[#This Row],[Sector_ID]]&amp;"-"&amp;CollectionCostTotal[[#This Row],[Frequency_ID]]&amp;"-"&amp;CollectionCostTotal[[#This Row],[SS_or_DS]]</f>
        <v>1-2-V-DS</v>
      </c>
      <c r="C35" s="209" t="str">
        <f>CollectionCostTotal[[#This Row],[Grouping_ID]]&amp;"-"&amp;CollectionCostTotal[[#This Row],[Sector_ID]]&amp;"-"&amp;CollectionCostTotal[[#This Row],[SS_or_DS]]</f>
        <v>1-2-DS</v>
      </c>
      <c r="D35" s="35">
        <v>1</v>
      </c>
      <c r="E35" s="35" t="str">
        <f>INDEX(Grouping[Grouping_Name],MATCH(CollectionCostTotal[[#This Row],[Grouping_ID]],Grouping[Grouping_ID],0))</f>
        <v>1 - Metro area</v>
      </c>
      <c r="F35" s="35">
        <v>2</v>
      </c>
      <c r="G35" s="24" t="str">
        <f>INDEX(Sector[Sector_Name],MATCH(CollectionCostTotal[[#This Row],[Sector_ID]],Sector[Sector_ID],0))</f>
        <v>MF Res. (on-route)</v>
      </c>
      <c r="H35" s="288" t="s">
        <v>870</v>
      </c>
      <c r="I35" s="18" t="s">
        <v>808</v>
      </c>
      <c r="J35" s="35" t="s">
        <v>91</v>
      </c>
      <c r="K35" s="35" t="str">
        <f>INDEX(Frequency[Collection_Frequency],MATCH(CollectionCostTotal[[#This Row],[Frequency_ID]],Frequency[Orig_Frequency_ID],0)+(CollectionCostTotal[[#This Row],[SS_or_DS]]="DS")*COUNTA(Frequency[Orig_Frequency_ID])/2)</f>
        <v>Varies by customer need</v>
      </c>
      <c r="L35" s="35">
        <v>2018</v>
      </c>
      <c r="M3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35" s="99">
        <f>SUMIFS(CustCntSrcs[Number],CustCntSrcs[Grouping_ID],CollectionCostTotal[[#This Row],[Grouping_ID]],CustCntSrcs[Sector_ID],CollectionCostTotal[[#This Row],[Sector_ID]])</f>
        <v>4.0829601659520629E-3</v>
      </c>
      <c r="O35" s="100">
        <f>CollectionCostTotal[[#This Row],[Population]]*CollectionCostTotal[[#This Row],[Pct. Customers/Pop]]</f>
        <v>6651.3217605832124</v>
      </c>
      <c r="P35" s="337">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6651.3217605832124</v>
      </c>
      <c r="Q35" s="101">
        <f>CollectionCostTotal[[#This Row],[Customers]]*INDEX(LaborCostPerLift[Annual_Labor_Cost_Per_Customer],MATCH(CollectionCostTotal[[#This Row],[Collection_ID]],LaborCostPerLift[Collection_ID],0))*(IF(CollectionCostTotal[[#This Row],[Year]]=2025,SUMIFS(CustCntSrcs[Number],CustCntSrcs[Source_ID],$Q$33),1))</f>
        <v>2493285.5073356912</v>
      </c>
      <c r="R3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475949.96148640499</v>
      </c>
      <c r="S3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543256.01664609858</v>
      </c>
      <c r="T3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1413427.1583535664</v>
      </c>
      <c r="U35" s="101">
        <f>CollectionCostTotal[[#This Row],[Customers]]*INDEX(ContainerMarginAdmin[Annual_Admin_Per_Customer],MATCH(CollectionCostTotal[[#This Row],[Collection_ID]],ContainerMarginAdmin[Collection_ID],0))*(IF(CollectionCostTotal[[#This Row],[Year]]=2025,SUMIFS(CustCntSrcs[Number],CustCntSrcs[Source_ID],$U$33),1))</f>
        <v>1352080.6874913555</v>
      </c>
      <c r="V35" s="101">
        <f>(SUMIFS(CustCntSrcs[Number],CustCntSrcs[Source_ID],$V$33)/(1-SUMIFS(CustCntSrcs[Number],CustCntSrcs[Source_ID],$V$33)))*SUM(CollectionCostTotal[[#This Row],[Collection_Labor]],CollectionCostTotal[[#This Row],[Annual_Container_Cost]],CollectionCostTotal[[#This Row],[Collection_Ops]])</f>
        <v>773411.05185452872</v>
      </c>
      <c r="W3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7058061.7049282277</v>
      </c>
      <c r="AA35" s="35"/>
      <c r="AE35" s="28"/>
    </row>
    <row r="36" spans="2:31" ht="15" x14ac:dyDescent="0.25">
      <c r="B36" s="209" t="str">
        <f>CollectionCostTotal[[#This Row],[Grouping_ID]]&amp;"-"&amp;CollectionCostTotal[[#This Row],[Sector_ID]]&amp;"-"&amp;CollectionCostTotal[[#This Row],[Frequency_ID]]&amp;"-"&amp;CollectionCostTotal[[#This Row],[SS_or_DS]]</f>
        <v>1-3-V-DS</v>
      </c>
      <c r="C36" s="209" t="str">
        <f>CollectionCostTotal[[#This Row],[Grouping_ID]]&amp;"-"&amp;CollectionCostTotal[[#This Row],[Sector_ID]]&amp;"-"&amp;CollectionCostTotal[[#This Row],[SS_or_DS]]</f>
        <v>1-3-DS</v>
      </c>
      <c r="D36" s="35">
        <v>1</v>
      </c>
      <c r="E36" s="35" t="str">
        <f>INDEX(Grouping[Grouping_Name],MATCH(CollectionCostTotal[[#This Row],[Grouping_ID]],Grouping[Grouping_ID],0))</f>
        <v>1 - Metro area</v>
      </c>
      <c r="F36" s="35">
        <v>3</v>
      </c>
      <c r="G36" s="24" t="str">
        <f>INDEX(Sector[Sector_Name],MATCH(CollectionCostTotal[[#This Row],[Sector_ID]],Sector[Sector_ID],0))</f>
        <v>Commercial (on-route)</v>
      </c>
      <c r="H36" s="288" t="s">
        <v>870</v>
      </c>
      <c r="I36" s="18" t="s">
        <v>808</v>
      </c>
      <c r="J36" s="35" t="s">
        <v>91</v>
      </c>
      <c r="K36" s="35" t="str">
        <f>INDEX(Frequency[Collection_Frequency],MATCH(CollectionCostTotal[[#This Row],[Frequency_ID]],Frequency[Orig_Frequency_ID],0)+(CollectionCostTotal[[#This Row],[SS_or_DS]]="DS")*COUNTA(Frequency[Orig_Frequency_ID])/2)</f>
        <v>Varies by customer need</v>
      </c>
      <c r="L36" s="35">
        <v>2018</v>
      </c>
      <c r="M3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36" s="99">
        <f>SUMIFS(CustCntSrcs[Number],CustCntSrcs[Grouping_ID],CollectionCostTotal[[#This Row],[Grouping_ID]],CustCntSrcs[Sector_ID],CollectionCostTotal[[#This Row],[Sector_ID]])</f>
        <v>2.0077661123032196E-2</v>
      </c>
      <c r="O36" s="100">
        <f>CollectionCostTotal[[#This Row],[Population]]*CollectionCostTotal[[#This Row],[Pct. Customers/Pop]]</f>
        <v>32707.393386508858</v>
      </c>
      <c r="P3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32707.393386508858</v>
      </c>
      <c r="Q36" s="101">
        <f>CollectionCostTotal[[#This Row],[Customers]]*INDEX(LaborCostPerLift[Annual_Labor_Cost_Per_Customer],MATCH(CollectionCostTotal[[#This Row],[Collection_ID]],LaborCostPerLift[Collection_ID],0))*(IF(CollectionCostTotal[[#This Row],[Year]]=2025,SUMIFS(CustCntSrcs[Number],CustCntSrcs[Source_ID],$Q$33),1))</f>
        <v>12260551.037627034</v>
      </c>
      <c r="R3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2340449.4900370915</v>
      </c>
      <c r="S3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2671422.1451938516</v>
      </c>
      <c r="T3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6950425.7582919691</v>
      </c>
      <c r="U36" s="101">
        <f>CollectionCostTotal[[#This Row],[Customers]]*INDEX(ContainerMarginAdmin[Annual_Admin_Per_Customer],MATCH(CollectionCostTotal[[#This Row],[Collection_ID]],ContainerMarginAdmin[Collection_ID],0))*(IF(CollectionCostTotal[[#This Row],[Year]]=2025,SUMIFS(CustCntSrcs[Number],CustCntSrcs[Source_ID],$U$33),1))</f>
        <v>6648758.927609521</v>
      </c>
      <c r="V36" s="101">
        <f>(SUMIFS(CustCntSrcs[Number],CustCntSrcs[Source_ID],$V$33)/(1-SUMIFS(CustCntSrcs[Number],CustCntSrcs[Source_ID],$V$33)))*SUM(CollectionCostTotal[[#This Row],[Collection_Labor]],CollectionCostTotal[[#This Row],[Annual_Container_Cost]],CollectionCostTotal[[#This Row],[Collection_Ops]])</f>
        <v>3803192.8739922517</v>
      </c>
      <c r="W3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34707507.626138233</v>
      </c>
      <c r="AA36" s="35"/>
      <c r="AE36" s="28"/>
    </row>
    <row r="37" spans="2:31" ht="15" x14ac:dyDescent="0.25">
      <c r="B37" s="209" t="str">
        <f>CollectionCostTotal[[#This Row],[Grouping_ID]]&amp;"-"&amp;CollectionCostTotal[[#This Row],[Sector_ID]]&amp;"-"&amp;CollectionCostTotal[[#This Row],[Frequency_ID]]&amp;"-"&amp;CollectionCostTotal[[#This Row],[SS_or_DS]]</f>
        <v>2-2-V-DS</v>
      </c>
      <c r="C37" s="209" t="str">
        <f>CollectionCostTotal[[#This Row],[Grouping_ID]]&amp;"-"&amp;CollectionCostTotal[[#This Row],[Sector_ID]]&amp;"-"&amp;CollectionCostTotal[[#This Row],[SS_or_DS]]</f>
        <v>2-2-DS</v>
      </c>
      <c r="D37" s="35">
        <v>2</v>
      </c>
      <c r="E37" s="35" t="str">
        <f>INDEX(Grouping[Grouping_Name],MATCH(CollectionCostTotal[[#This Row],[Grouping_ID]],Grouping[Grouping_ID],0))</f>
        <v>2 - Willamette Valley, etc.</v>
      </c>
      <c r="F37" s="35">
        <v>2</v>
      </c>
      <c r="G37" s="24" t="str">
        <f>INDEX(Sector[Sector_Name],MATCH(CollectionCostTotal[[#This Row],[Sector_ID]],Sector[Sector_ID],0))</f>
        <v>MF Res. (on-route)</v>
      </c>
      <c r="H37" s="288" t="s">
        <v>870</v>
      </c>
      <c r="I37" s="18" t="s">
        <v>808</v>
      </c>
      <c r="J37" s="35" t="s">
        <v>91</v>
      </c>
      <c r="K37" s="35" t="str">
        <f>INDEX(Frequency[Collection_Frequency],MATCH(CollectionCostTotal[[#This Row],[Frequency_ID]],Frequency[Orig_Frequency_ID],0)+(CollectionCostTotal[[#This Row],[SS_or_DS]]="DS")*COUNTA(Frequency[Orig_Frequency_ID])/2)</f>
        <v>Varies by customer need</v>
      </c>
      <c r="L37" s="35">
        <v>2018</v>
      </c>
      <c r="M3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37" s="99">
        <f>SUMIFS(CustCntSrcs[Number],CustCntSrcs[Grouping_ID],CollectionCostTotal[[#This Row],[Grouping_ID]],CustCntSrcs[Sector_ID],CollectionCostTotal[[#This Row],[Sector_ID]])</f>
        <v>6.0000000000000001E-3</v>
      </c>
      <c r="O37" s="100">
        <f>CollectionCostTotal[[#This Row],[Population]]*CollectionCostTotal[[#This Row],[Pct. Customers/Pop]]</f>
        <v>8505.7620000000006</v>
      </c>
      <c r="P3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8505.7620000000006</v>
      </c>
      <c r="Q37" s="101">
        <f>CollectionCostTotal[[#This Row],[Customers]]*INDEX(LaborCostPerLift[Annual_Labor_Cost_Per_Customer],MATCH(CollectionCostTotal[[#This Row],[Collection_ID]],LaborCostPerLift[Collection_ID],0))*(IF(CollectionCostTotal[[#This Row],[Year]]=2025,SUMIFS(CustCntSrcs[Number],CustCntSrcs[Source_ID],$Q$33),1))</f>
        <v>2488046.048365925</v>
      </c>
      <c r="R3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607454.30360160011</v>
      </c>
      <c r="S3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231411.16327680001</v>
      </c>
      <c r="T3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1465604.0340864002</v>
      </c>
      <c r="U37" s="101">
        <f>CollectionCostTotal[[#This Row],[Customers]]*INDEX(ContainerMarginAdmin[Annual_Admin_Per_Customer],MATCH(CollectionCostTotal[[#This Row],[Collection_ID]],ContainerMarginAdmin[Collection_ID],0))*(IF(CollectionCostTotal[[#This Row],[Year]]=2025,SUMIFS(CustCntSrcs[Number],CustCntSrcs[Source_ID],$U$33),1))</f>
        <v>1055309.8913400001</v>
      </c>
      <c r="V37" s="101">
        <f>(SUMIFS(CustCntSrcs[Number],CustCntSrcs[Source_ID],$V$33)/(1-SUMIFS(CustCntSrcs[Number],CustCntSrcs[Source_ID],$V$33)))*SUM(CollectionCostTotal[[#This Row],[Collection_Labor]],CollectionCostTotal[[#This Row],[Annual_Container_Cost]],CollectionCostTotal[[#This Row],[Collection_Ops]])</f>
        <v>804900.77400951635</v>
      </c>
      <c r="W3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6661231.9766802415</v>
      </c>
      <c r="AA37" s="35"/>
      <c r="AE37" s="28"/>
    </row>
    <row r="38" spans="2:31" ht="15" x14ac:dyDescent="0.25">
      <c r="B38" s="209" t="str">
        <f>CollectionCostTotal[[#This Row],[Grouping_ID]]&amp;"-"&amp;CollectionCostTotal[[#This Row],[Sector_ID]]&amp;"-"&amp;CollectionCostTotal[[#This Row],[Frequency_ID]]&amp;"-"&amp;CollectionCostTotal[[#This Row],[SS_or_DS]]</f>
        <v>2-3-V-DS</v>
      </c>
      <c r="C38" s="209" t="str">
        <f>CollectionCostTotal[[#This Row],[Grouping_ID]]&amp;"-"&amp;CollectionCostTotal[[#This Row],[Sector_ID]]&amp;"-"&amp;CollectionCostTotal[[#This Row],[SS_or_DS]]</f>
        <v>2-3-DS</v>
      </c>
      <c r="D38" s="35">
        <v>2</v>
      </c>
      <c r="E38" s="35" t="str">
        <f>INDEX(Grouping[Grouping_Name],MATCH(CollectionCostTotal[[#This Row],[Grouping_ID]],Grouping[Grouping_ID],0))</f>
        <v>2 - Willamette Valley, etc.</v>
      </c>
      <c r="F38" s="35">
        <v>3</v>
      </c>
      <c r="G38" s="24" t="str">
        <f>INDEX(Sector[Sector_Name],MATCH(CollectionCostTotal[[#This Row],[Sector_ID]],Sector[Sector_ID],0))</f>
        <v>Commercial (on-route)</v>
      </c>
      <c r="H38" s="288" t="s">
        <v>870</v>
      </c>
      <c r="I38" s="18" t="s">
        <v>808</v>
      </c>
      <c r="J38" s="35" t="s">
        <v>91</v>
      </c>
      <c r="K38" s="35" t="str">
        <f>INDEX(Frequency[Collection_Frequency],MATCH(CollectionCostTotal[[#This Row],[Frequency_ID]],Frequency[Orig_Frequency_ID],0)+(CollectionCostTotal[[#This Row],[SS_or_DS]]="DS")*COUNTA(Frequency[Orig_Frequency_ID])/2)</f>
        <v>Varies by customer need</v>
      </c>
      <c r="L38" s="35">
        <v>2018</v>
      </c>
      <c r="M3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38" s="99">
        <f>SUMIFS(CustCntSrcs[Number],CustCntSrcs[Grouping_ID],CollectionCostTotal[[#This Row],[Grouping_ID]],CustCntSrcs[Sector_ID],CollectionCostTotal[[#This Row],[Sector_ID]])</f>
        <v>1.5699999999999999E-2</v>
      </c>
      <c r="O38" s="100">
        <f>CollectionCostTotal[[#This Row],[Population]]*CollectionCostTotal[[#This Row],[Pct. Customers/Pop]]</f>
        <v>22256.743899999998</v>
      </c>
      <c r="P3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22256.743899999998</v>
      </c>
      <c r="Q38" s="101">
        <f>CollectionCostTotal[[#This Row],[Customers]]*INDEX(LaborCostPerLift[Annual_Labor_Cost_Per_Customer],MATCH(CollectionCostTotal[[#This Row],[Collection_ID]],LaborCostPerLift[Collection_ID],0))*(IF(CollectionCostTotal[[#This Row],[Year]]=2025,SUMIFS(CustCntSrcs[Number],CustCntSrcs[Source_ID],$Q$33),1))</f>
        <v>6510387.1598908352</v>
      </c>
      <c r="R3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1589505.42775752</v>
      </c>
      <c r="S3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605525.8772409599</v>
      </c>
      <c r="T3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3834997.2225260795</v>
      </c>
      <c r="U38" s="101">
        <f>CollectionCostTotal[[#This Row],[Customers]]*INDEX(ContainerMarginAdmin[Annual_Admin_Per_Customer],MATCH(CollectionCostTotal[[#This Row],[Collection_ID]],ContainerMarginAdmin[Collection_ID],0))*(IF(CollectionCostTotal[[#This Row],[Year]]=2025,SUMIFS(CustCntSrcs[Number],CustCntSrcs[Source_ID],$U$33),1))</f>
        <v>2761394.2156729996</v>
      </c>
      <c r="V38" s="101">
        <f>(SUMIFS(CustCntSrcs[Number],CustCntSrcs[Source_ID],$V$33)/(1-SUMIFS(CustCntSrcs[Number],CustCntSrcs[Source_ID],$V$33)))*SUM(CollectionCostTotal[[#This Row],[Collection_Labor]],CollectionCostTotal[[#This Row],[Annual_Container_Cost]],CollectionCostTotal[[#This Row],[Collection_Ops]])</f>
        <v>2106157.0253249006</v>
      </c>
      <c r="W3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17430223.672313295</v>
      </c>
      <c r="AA38" s="35"/>
      <c r="AE38" s="28"/>
    </row>
    <row r="39" spans="2:31" ht="15" x14ac:dyDescent="0.25">
      <c r="B39" s="209" t="str">
        <f>CollectionCostTotal[[#This Row],[Grouping_ID]]&amp;"-"&amp;CollectionCostTotal[[#This Row],[Sector_ID]]&amp;"-"&amp;CollectionCostTotal[[#This Row],[Frequency_ID]]&amp;"-"&amp;CollectionCostTotal[[#This Row],[SS_or_DS]]</f>
        <v>3-2-V-DS</v>
      </c>
      <c r="C39" s="209" t="str">
        <f>CollectionCostTotal[[#This Row],[Grouping_ID]]&amp;"-"&amp;CollectionCostTotal[[#This Row],[Sector_ID]]&amp;"-"&amp;CollectionCostTotal[[#This Row],[SS_or_DS]]</f>
        <v>3-2-DS</v>
      </c>
      <c r="D39" s="35">
        <v>3</v>
      </c>
      <c r="E39" s="35" t="str">
        <f>INDEX(Grouping[Grouping_Name],MATCH(CollectionCostTotal[[#This Row],[Grouping_ID]],Grouping[Grouping_ID],0))</f>
        <v>3 - Other areas with curbside</v>
      </c>
      <c r="F39" s="35">
        <v>2</v>
      </c>
      <c r="G39" s="24" t="str">
        <f>INDEX(Sector[Sector_Name],MATCH(CollectionCostTotal[[#This Row],[Sector_ID]],Sector[Sector_ID],0))</f>
        <v>MF Res. (on-route)</v>
      </c>
      <c r="H39" s="288" t="s">
        <v>870</v>
      </c>
      <c r="I39" s="18" t="s">
        <v>808</v>
      </c>
      <c r="J39" s="35" t="s">
        <v>91</v>
      </c>
      <c r="K39" s="35" t="str">
        <f>INDEX(Frequency[Collection_Frequency],MATCH(CollectionCostTotal[[#This Row],[Frequency_ID]],Frequency[Orig_Frequency_ID],0)+(CollectionCostTotal[[#This Row],[SS_or_DS]]="DS")*COUNTA(Frequency[Orig_Frequency_ID])/2)</f>
        <v>Varies by customer need</v>
      </c>
      <c r="L39" s="35">
        <v>2018</v>
      </c>
      <c r="M3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39" s="99">
        <f>SUMIFS(CustCntSrcs[Number],CustCntSrcs[Grouping_ID],CollectionCostTotal[[#This Row],[Grouping_ID]],CustCntSrcs[Sector_ID],CollectionCostTotal[[#This Row],[Sector_ID]])</f>
        <v>2.5000000000000001E-3</v>
      </c>
      <c r="O39" s="100">
        <f>CollectionCostTotal[[#This Row],[Population]]*CollectionCostTotal[[#This Row],[Pct. Customers/Pop]]</f>
        <v>1346.3175000000001</v>
      </c>
      <c r="P3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1346.3175000000001</v>
      </c>
      <c r="Q39" s="101">
        <f>CollectionCostTotal[[#This Row],[Customers]]*INDEX(LaborCostPerLift[Annual_Labor_Cost_Per_Customer],MATCH(CollectionCostTotal[[#This Row],[Collection_ID]],LaborCostPerLift[Collection_ID],0))*(IF(CollectionCostTotal[[#This Row],[Year]]=2025,SUMIFS(CustCntSrcs[Number],CustCntSrcs[Source_ID],$Q$33),1))</f>
        <v>517802.97639556206</v>
      </c>
      <c r="R3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96296.70550500002</v>
      </c>
      <c r="S3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59612.246265000002</v>
      </c>
      <c r="T3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278801.89022400003</v>
      </c>
      <c r="U39" s="101">
        <f>CollectionCostTotal[[#This Row],[Customers]]*INDEX(ContainerMarginAdmin[Annual_Admin_Per_Customer],MATCH(CollectionCostTotal[[#This Row],[Collection_ID]],ContainerMarginAdmin[Collection_ID],0))*(IF(CollectionCostTotal[[#This Row],[Year]]=2025,SUMIFS(CustCntSrcs[Number],CustCntSrcs[Source_ID],$U$33),1))</f>
        <v>248382.11557500003</v>
      </c>
      <c r="V39" s="101">
        <f>(SUMIFS(CustCntSrcs[Number],CustCntSrcs[Source_ID],$V$33)/(1-SUMIFS(CustCntSrcs[Number],CustCntSrcs[Source_ID],$V$33)))*SUM(CollectionCostTotal[[#This Row],[Collection_Labor]],CollectionCostTotal[[#This Row],[Annual_Container_Cost]],CollectionCostTotal[[#This Row],[Collection_Ops]])</f>
        <v>157570.86566904036</v>
      </c>
      <c r="W3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1359813.1171336025</v>
      </c>
      <c r="AA39" s="35"/>
      <c r="AE39" s="28"/>
    </row>
    <row r="40" spans="2:31" ht="15" x14ac:dyDescent="0.25">
      <c r="B40" s="209" t="str">
        <f>CollectionCostTotal[[#This Row],[Grouping_ID]]&amp;"-"&amp;CollectionCostTotal[[#This Row],[Sector_ID]]&amp;"-"&amp;CollectionCostTotal[[#This Row],[Frequency_ID]]&amp;"-"&amp;CollectionCostTotal[[#This Row],[SS_or_DS]]</f>
        <v>3-3-V-DS</v>
      </c>
      <c r="C40" s="209" t="str">
        <f>CollectionCostTotal[[#This Row],[Grouping_ID]]&amp;"-"&amp;CollectionCostTotal[[#This Row],[Sector_ID]]&amp;"-"&amp;CollectionCostTotal[[#This Row],[SS_or_DS]]</f>
        <v>3-3-DS</v>
      </c>
      <c r="D40" s="35">
        <v>3</v>
      </c>
      <c r="E40" s="35" t="str">
        <f>INDEX(Grouping[Grouping_Name],MATCH(CollectionCostTotal[[#This Row],[Grouping_ID]],Grouping[Grouping_ID],0))</f>
        <v>3 - Other areas with curbside</v>
      </c>
      <c r="F40" s="35">
        <v>3</v>
      </c>
      <c r="G40" s="24" t="str">
        <f>INDEX(Sector[Sector_Name],MATCH(CollectionCostTotal[[#This Row],[Sector_ID]],Sector[Sector_ID],0))</f>
        <v>Commercial (on-route)</v>
      </c>
      <c r="H40" s="288" t="s">
        <v>870</v>
      </c>
      <c r="I40" s="18" t="s">
        <v>808</v>
      </c>
      <c r="J40" s="35" t="s">
        <v>91</v>
      </c>
      <c r="K40" s="35" t="str">
        <f>INDEX(Frequency[Collection_Frequency],MATCH(CollectionCostTotal[[#This Row],[Frequency_ID]],Frequency[Orig_Frequency_ID],0)+(CollectionCostTotal[[#This Row],[SS_or_DS]]="DS")*COUNTA(Frequency[Orig_Frequency_ID])/2)</f>
        <v>Varies by customer need</v>
      </c>
      <c r="L40" s="35">
        <v>2018</v>
      </c>
      <c r="M4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40" s="99">
        <f>SUMIFS(CustCntSrcs[Number],CustCntSrcs[Grouping_ID],CollectionCostTotal[[#This Row],[Grouping_ID]],CustCntSrcs[Sector_ID],CollectionCostTotal[[#This Row],[Sector_ID]])</f>
        <v>1.5900000000000001E-2</v>
      </c>
      <c r="O40" s="100">
        <f>CollectionCostTotal[[#This Row],[Population]]*CollectionCostTotal[[#This Row],[Pct. Customers/Pop]]</f>
        <v>8562.5793000000012</v>
      </c>
      <c r="P4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8562.5793000000012</v>
      </c>
      <c r="Q40" s="101">
        <f>CollectionCostTotal[[#This Row],[Customers]]*INDEX(LaborCostPerLift[Annual_Labor_Cost_Per_Customer],MATCH(CollectionCostTotal[[#This Row],[Collection_ID]],LaborCostPerLift[Collection_ID],0))*(IF(CollectionCostTotal[[#This Row],[Year]]=2025,SUMIFS(CustCntSrcs[Number],CustCntSrcs[Source_ID],$Q$33),1))</f>
        <v>3293226.9298757748</v>
      </c>
      <c r="R4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612447.04701180023</v>
      </c>
      <c r="S4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379133.88624540006</v>
      </c>
      <c r="T4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1773180.0218246402</v>
      </c>
      <c r="U40" s="101">
        <f>CollectionCostTotal[[#This Row],[Customers]]*INDEX(ContainerMarginAdmin[Annual_Admin_Per_Customer],MATCH(CollectionCostTotal[[#This Row],[Collection_ID]],ContainerMarginAdmin[Collection_ID],0))*(IF(CollectionCostTotal[[#This Row],[Year]]=2025,SUMIFS(CustCntSrcs[Number],CustCntSrcs[Source_ID],$U$33),1))</f>
        <v>1579710.2550570003</v>
      </c>
      <c r="V40" s="101">
        <f>(SUMIFS(CustCntSrcs[Number],CustCntSrcs[Source_ID],$V$33)/(1-SUMIFS(CustCntSrcs[Number],CustCntSrcs[Source_ID],$V$33)))*SUM(CollectionCostTotal[[#This Row],[Collection_Labor]],CollectionCostTotal[[#This Row],[Annual_Container_Cost]],CollectionCostTotal[[#This Row],[Collection_Ops]])</f>
        <v>1002150.7056550969</v>
      </c>
      <c r="W4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8648411.4249697123</v>
      </c>
      <c r="AA40" s="35"/>
      <c r="AE40" s="28"/>
    </row>
    <row r="41" spans="2:31" ht="15" x14ac:dyDescent="0.25">
      <c r="B41" s="209" t="str">
        <f>CollectionCostTotal[[#This Row],[Grouping_ID]]&amp;"-"&amp;CollectionCostTotal[[#This Row],[Sector_ID]]&amp;"-"&amp;CollectionCostTotal[[#This Row],[Frequency_ID]]&amp;"-"&amp;CollectionCostTotal[[#This Row],[SS_or_DS]]</f>
        <v>1-1-W-DS</v>
      </c>
      <c r="C41" s="209" t="str">
        <f>CollectionCostTotal[[#This Row],[Grouping_ID]]&amp;"-"&amp;CollectionCostTotal[[#This Row],[Sector_ID]]&amp;"-"&amp;CollectionCostTotal[[#This Row],[SS_or_DS]]</f>
        <v>1-1-DS</v>
      </c>
      <c r="D41" s="35">
        <v>1</v>
      </c>
      <c r="E41" s="35" t="str">
        <f>INDEX(Grouping[Grouping_Name],MATCH(CollectionCostTotal[[#This Row],[Grouping_ID]],Grouping[Grouping_ID],0))</f>
        <v>1 - Metro area</v>
      </c>
      <c r="F41" s="35">
        <v>1</v>
      </c>
      <c r="G41" s="24" t="str">
        <f>INDEX(Sector[Sector_Name],MATCH(CollectionCostTotal[[#This Row],[Sector_ID]],Sector[Sector_ID],0))</f>
        <v>SF Res. (on-route)</v>
      </c>
      <c r="H41" s="288" t="s">
        <v>870</v>
      </c>
      <c r="I41" s="18" t="s">
        <v>808</v>
      </c>
      <c r="J41" s="35" t="s">
        <v>64</v>
      </c>
      <c r="K41" s="35" t="str">
        <f>INDEX(Frequency[Collection_Frequency],MATCH(CollectionCostTotal[[#This Row],[Frequency_ID]],Frequency[Orig_Frequency_ID],0)+(CollectionCostTotal[[#This Row],[SS_or_DS]]="DS")*COUNTA(Frequency[Orig_Frequency_ID])/2)</f>
        <v>Weekly</v>
      </c>
      <c r="L41" s="35">
        <v>2018</v>
      </c>
      <c r="M4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1283440</v>
      </c>
      <c r="N41" s="99">
        <f>SUMIFS(CustCntSrcs[Number],CustCntSrcs[Grouping_ID],CollectionCostTotal[[#This Row],[Grouping_ID]],CustCntSrcs[Sector_ID],CollectionCostTotal[[#This Row],[Sector_ID]])</f>
        <v>0.26339829285649385</v>
      </c>
      <c r="O41" s="100">
        <f>CollectionCostTotal[[#This Row],[Population]]*CollectionCostTotal[[#This Row],[Pct. Customers/Pop]]</f>
        <v>338055.9049837385</v>
      </c>
      <c r="P4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338055.9049837385</v>
      </c>
      <c r="Q41" s="101">
        <f>CollectionCostTotal[[#This Row],[Customers]]*INDEX(LaborCostPerLift[Annual_Labor_Cost_Per_Customer],MATCH(CollectionCostTotal[[#This Row],[Collection_ID]],LaborCostPerLift[Collection_ID],0))*(IF(CollectionCostTotal[[#This Row],[Year]]=2025,SUMIFS(CustCntSrcs[Number],CustCntSrcs[Source_ID],$Q$33),1))</f>
        <v>13128455.15898828</v>
      </c>
      <c r="R4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2636836.0588731603</v>
      </c>
      <c r="S4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5273672.1177463206</v>
      </c>
      <c r="T4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5273672.1177463206</v>
      </c>
      <c r="U41" s="101">
        <f>CollectionCostTotal[[#This Row],[Customers]]*INDEX(ContainerMarginAdmin[Annual_Admin_Per_Customer],MATCH(CollectionCostTotal[[#This Row],[Collection_ID]],ContainerMarginAdmin[Collection_ID],0))*(IF(CollectionCostTotal[[#This Row],[Year]]=2025,SUMIFS(CustCntSrcs[Number],CustCntSrcs[Source_ID],$U$33),1))</f>
        <v>4732782.6697723391</v>
      </c>
      <c r="V41" s="101">
        <f>(SUMIFS(CustCntSrcs[Number],CustCntSrcs[Source_ID],$V$33)/(1-SUMIFS(CustCntSrcs[Number],CustCntSrcs[Source_ID],$V$33)))*SUM(CollectionCostTotal[[#This Row],[Collection_Labor]],CollectionCostTotal[[#This Row],[Annual_Container_Cost]],CollectionCostTotal[[#This Row],[Collection_Ops]])</f>
        <v>3712758.2356954874</v>
      </c>
      <c r="W4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35096232.263805643</v>
      </c>
      <c r="AA41" s="35"/>
      <c r="AE41" s="28"/>
    </row>
    <row r="42" spans="2:31" ht="15" x14ac:dyDescent="0.25">
      <c r="B42" s="209" t="str">
        <f>CollectionCostTotal[[#This Row],[Grouping_ID]]&amp;"-"&amp;CollectionCostTotal[[#This Row],[Sector_ID]]&amp;"-"&amp;CollectionCostTotal[[#This Row],[Frequency_ID]]&amp;"-"&amp;CollectionCostTotal[[#This Row],[SS_or_DS]]</f>
        <v>1-1-E-DS</v>
      </c>
      <c r="C42" s="209" t="str">
        <f>CollectionCostTotal[[#This Row],[Grouping_ID]]&amp;"-"&amp;CollectionCostTotal[[#This Row],[Sector_ID]]&amp;"-"&amp;CollectionCostTotal[[#This Row],[SS_or_DS]]</f>
        <v>1-1-DS</v>
      </c>
      <c r="D42" s="35">
        <v>1</v>
      </c>
      <c r="E42" s="35" t="str">
        <f>INDEX(Grouping[Grouping_Name],MATCH(CollectionCostTotal[[#This Row],[Grouping_ID]],Grouping[Grouping_ID],0))</f>
        <v>1 - Metro area</v>
      </c>
      <c r="F42" s="35">
        <v>1</v>
      </c>
      <c r="G42" s="24" t="str">
        <f>INDEX(Sector[Sector_Name],MATCH(CollectionCostTotal[[#This Row],[Sector_ID]],Sector[Sector_ID],0))</f>
        <v>SF Res. (on-route)</v>
      </c>
      <c r="H42" s="288" t="s">
        <v>870</v>
      </c>
      <c r="I42" s="18" t="s">
        <v>808</v>
      </c>
      <c r="J42" s="35" t="s">
        <v>53</v>
      </c>
      <c r="K42" s="35" t="str">
        <f>INDEX(Frequency[Collection_Frequency],MATCH(CollectionCostTotal[[#This Row],[Frequency_ID]],Frequency[Orig_Frequency_ID],0)+(CollectionCostTotal[[#This Row],[SS_or_DS]]="DS")*COUNTA(Frequency[Orig_Frequency_ID])/2)</f>
        <v>Weekly (formerly every other week)</v>
      </c>
      <c r="L42" s="35">
        <v>2018</v>
      </c>
      <c r="M4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345604</v>
      </c>
      <c r="N42" s="99">
        <f>SUMIFS(CustCntSrcs[Number],CustCntSrcs[Grouping_ID],CollectionCostTotal[[#This Row],[Grouping_ID]],CustCntSrcs[Sector_ID],CollectionCostTotal[[#This Row],[Sector_ID]])</f>
        <v>0.26339829285649385</v>
      </c>
      <c r="O42" s="100">
        <f>CollectionCostTotal[[#This Row],[Population]]*CollectionCostTotal[[#This Row],[Pct. Customers/Pop]]</f>
        <v>91031.503604375699</v>
      </c>
      <c r="P4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91031.503604375699</v>
      </c>
      <c r="Q42" s="101">
        <f>CollectionCostTotal[[#This Row],[Customers]]*INDEX(LaborCostPerLift[Annual_Labor_Cost_Per_Customer],MATCH(CollectionCostTotal[[#This Row],[Collection_ID]],LaborCostPerLift[Collection_ID],0))*(IF(CollectionCostTotal[[#This Row],[Year]]=2025,SUMIFS(CustCntSrcs[Number],CustCntSrcs[Source_ID],$Q$33),1))</f>
        <v>3535223.0075165066</v>
      </c>
      <c r="R4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710045.72811413044</v>
      </c>
      <c r="S4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1420091.4562282609</v>
      </c>
      <c r="T4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1420091.4562282611</v>
      </c>
      <c r="U42" s="101">
        <f>CollectionCostTotal[[#This Row],[Customers]]*INDEX(ContainerMarginAdmin[Annual_Admin_Per_Customer],MATCH(CollectionCostTotal[[#This Row],[Collection_ID]],ContainerMarginAdmin[Collection_ID],0))*(IF(CollectionCostTotal[[#This Row],[Year]]=2025,SUMIFS(CustCntSrcs[Number],CustCntSrcs[Source_ID],$U$33),1))</f>
        <v>1274441.0504612597</v>
      </c>
      <c r="V42" s="101">
        <f>(SUMIFS(CustCntSrcs[Number],CustCntSrcs[Source_ID],$V$33)/(1-SUMIFS(CustCntSrcs[Number],CustCntSrcs[Source_ID],$V$33)))*SUM(CollectionCostTotal[[#This Row],[Collection_Labor]],CollectionCostTotal[[#This Row],[Annual_Container_Cost]],CollectionCostTotal[[#This Row],[Collection_Ops]])</f>
        <v>999769.44562215847</v>
      </c>
      <c r="W4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9450693.6477749534</v>
      </c>
      <c r="AA42" s="35"/>
      <c r="AE42" s="28"/>
    </row>
    <row r="43" spans="2:31" ht="15" x14ac:dyDescent="0.25">
      <c r="B43" s="209" t="str">
        <f>CollectionCostTotal[[#This Row],[Grouping_ID]]&amp;"-"&amp;CollectionCostTotal[[#This Row],[Sector_ID]]&amp;"-"&amp;CollectionCostTotal[[#This Row],[Frequency_ID]]&amp;"-"&amp;CollectionCostTotal[[#This Row],[SS_or_DS]]</f>
        <v>2-1-W-DS</v>
      </c>
      <c r="C43" s="209" t="str">
        <f>CollectionCostTotal[[#This Row],[Grouping_ID]]&amp;"-"&amp;CollectionCostTotal[[#This Row],[Sector_ID]]&amp;"-"&amp;CollectionCostTotal[[#This Row],[SS_or_DS]]</f>
        <v>2-1-DS</v>
      </c>
      <c r="D43" s="35">
        <v>2</v>
      </c>
      <c r="E43" s="35" t="str">
        <f>INDEX(Grouping[Grouping_Name],MATCH(CollectionCostTotal[[#This Row],[Grouping_ID]],Grouping[Grouping_ID],0))</f>
        <v>2 - Willamette Valley, etc.</v>
      </c>
      <c r="F43" s="35">
        <v>1</v>
      </c>
      <c r="G43" s="24" t="str">
        <f>INDEX(Sector[Sector_Name],MATCH(CollectionCostTotal[[#This Row],[Sector_ID]],Sector[Sector_ID],0))</f>
        <v>SF Res. (on-route)</v>
      </c>
      <c r="H43" s="288" t="s">
        <v>870</v>
      </c>
      <c r="I43" s="18" t="s">
        <v>808</v>
      </c>
      <c r="J43" s="35" t="s">
        <v>64</v>
      </c>
      <c r="K43" s="35" t="str">
        <f>INDEX(Frequency[Collection_Frequency],MATCH(CollectionCostTotal[[#This Row],[Frequency_ID]],Frequency[Orig_Frequency_ID],0)+(CollectionCostTotal[[#This Row],[SS_or_DS]]="DS")*COUNTA(Frequency[Orig_Frequency_ID])/2)</f>
        <v>Weekly</v>
      </c>
      <c r="L43" s="35">
        <v>2018</v>
      </c>
      <c r="M4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342858</v>
      </c>
      <c r="N43" s="99">
        <f>SUMIFS(CustCntSrcs[Number],CustCntSrcs[Grouping_ID],CollectionCostTotal[[#This Row],[Grouping_ID]],CustCntSrcs[Sector_ID],CollectionCostTotal[[#This Row],[Sector_ID]])</f>
        <v>0.25090000000000001</v>
      </c>
      <c r="O43" s="100">
        <f>CollectionCostTotal[[#This Row],[Population]]*CollectionCostTotal[[#This Row],[Pct. Customers/Pop]]</f>
        <v>86023.07220000001</v>
      </c>
      <c r="P4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86023.07220000001</v>
      </c>
      <c r="Q43" s="101">
        <f>CollectionCostTotal[[#This Row],[Customers]]*INDEX(LaborCostPerLift[Annual_Labor_Cost_Per_Customer],MATCH(CollectionCostTotal[[#This Row],[Collection_ID]],LaborCostPerLift[Collection_ID],0))*(IF(CollectionCostTotal[[#This Row],[Year]]=2025,SUMIFS(CustCntSrcs[Number],CustCntSrcs[Source_ID],$Q$33),1))</f>
        <v>3380933.8383706082</v>
      </c>
      <c r="R4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670979.96316000004</v>
      </c>
      <c r="S4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1386691.9238640002</v>
      </c>
      <c r="T4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2057671.8870240003</v>
      </c>
      <c r="U43" s="101">
        <f>CollectionCostTotal[[#This Row],[Customers]]*INDEX(ContainerMarginAdmin[Annual_Admin_Per_Customer],MATCH(CollectionCostTotal[[#This Row],[Collection_ID]],ContainerMarginAdmin[Collection_ID],0))*(IF(CollectionCostTotal[[#This Row],[Year]]=2025,SUMIFS(CustCntSrcs[Number],CustCntSrcs[Source_ID],$U$33),1))</f>
        <v>1330776.9269340001</v>
      </c>
      <c r="V43" s="101">
        <f>(SUMIFS(CustCntSrcs[Number],CustCntSrcs[Source_ID],$V$33)/(1-SUMIFS(CustCntSrcs[Number],CustCntSrcs[Source_ID],$V$33)))*SUM(CollectionCostTotal[[#This Row],[Collection_Labor]],CollectionCostTotal[[#This Row],[Annual_Container_Cost]],CollectionCostTotal[[#This Row],[Collection_Ops]])</f>
        <v>1078162.1803331662</v>
      </c>
      <c r="W4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9991239.7918857746</v>
      </c>
      <c r="AA43" s="35"/>
      <c r="AE43" s="28"/>
    </row>
    <row r="44" spans="2:31" ht="15" x14ac:dyDescent="0.25">
      <c r="B44" s="209" t="str">
        <f>CollectionCostTotal[[#This Row],[Grouping_ID]]&amp;"-"&amp;CollectionCostTotal[[#This Row],[Sector_ID]]&amp;"-"&amp;CollectionCostTotal[[#This Row],[Frequency_ID]]&amp;"-"&amp;CollectionCostTotal[[#This Row],[SS_or_DS]]</f>
        <v>2-1-E-DS</v>
      </c>
      <c r="C44" s="209" t="str">
        <f>CollectionCostTotal[[#This Row],[Grouping_ID]]&amp;"-"&amp;CollectionCostTotal[[#This Row],[Sector_ID]]&amp;"-"&amp;CollectionCostTotal[[#This Row],[SS_or_DS]]</f>
        <v>2-1-DS</v>
      </c>
      <c r="D44" s="35">
        <v>2</v>
      </c>
      <c r="E44" s="35" t="str">
        <f>INDEX(Grouping[Grouping_Name],MATCH(CollectionCostTotal[[#This Row],[Grouping_ID]],Grouping[Grouping_ID],0))</f>
        <v>2 - Willamette Valley, etc.</v>
      </c>
      <c r="F44" s="35">
        <v>1</v>
      </c>
      <c r="G44" s="24" t="str">
        <f>INDEX(Sector[Sector_Name],MATCH(CollectionCostTotal[[#This Row],[Sector_ID]],Sector[Sector_ID],0))</f>
        <v>SF Res. (on-route)</v>
      </c>
      <c r="H44" s="288" t="s">
        <v>870</v>
      </c>
      <c r="I44" s="18" t="s">
        <v>808</v>
      </c>
      <c r="J44" s="35" t="s">
        <v>53</v>
      </c>
      <c r="K44" s="35" t="str">
        <f>INDEX(Frequency[Collection_Frequency],MATCH(CollectionCostTotal[[#This Row],[Frequency_ID]],Frequency[Orig_Frequency_ID],0)+(CollectionCostTotal[[#This Row],[SS_or_DS]]="DS")*COUNTA(Frequency[Orig_Frequency_ID])/2)</f>
        <v>Weekly (formerly every other week)</v>
      </c>
      <c r="L44" s="35">
        <v>2018</v>
      </c>
      <c r="M4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1074769</v>
      </c>
      <c r="N44" s="99">
        <f>SUMIFS(CustCntSrcs[Number],CustCntSrcs[Grouping_ID],CollectionCostTotal[[#This Row],[Grouping_ID]],CustCntSrcs[Sector_ID],CollectionCostTotal[[#This Row],[Sector_ID]])</f>
        <v>0.25090000000000001</v>
      </c>
      <c r="O44" s="100">
        <f>CollectionCostTotal[[#This Row],[Population]]*CollectionCostTotal[[#This Row],[Pct. Customers/Pop]]</f>
        <v>269659.54210000002</v>
      </c>
      <c r="P4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269659.54210000002</v>
      </c>
      <c r="Q44" s="101">
        <f>CollectionCostTotal[[#This Row],[Customers]]*INDEX(LaborCostPerLift[Annual_Labor_Cost_Per_Customer],MATCH(CollectionCostTotal[[#This Row],[Collection_ID]],LaborCostPerLift[Collection_ID],0))*(IF(CollectionCostTotal[[#This Row],[Year]]=2025,SUMIFS(CustCntSrcs[Number],CustCntSrcs[Source_ID],$Q$33),1))</f>
        <v>10598331.905721145</v>
      </c>
      <c r="R4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2103344.4283799999</v>
      </c>
      <c r="S4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4346911.8186520003</v>
      </c>
      <c r="T4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6450256.2470320007</v>
      </c>
      <c r="U44" s="101">
        <f>CollectionCostTotal[[#This Row],[Customers]]*INDEX(ContainerMarginAdmin[Annual_Admin_Per_Customer],MATCH(CollectionCostTotal[[#This Row],[Collection_ID]],ContainerMarginAdmin[Collection_ID],0))*(IF(CollectionCostTotal[[#This Row],[Year]]=2025,SUMIFS(CustCntSrcs[Number],CustCntSrcs[Source_ID],$U$33),1))</f>
        <v>4171633.1162870005</v>
      </c>
      <c r="V44" s="101">
        <f>(SUMIFS(CustCntSrcs[Number],CustCntSrcs[Source_ID],$V$33)/(1-SUMIFS(CustCntSrcs[Number],CustCntSrcs[Source_ID],$V$33)))*SUM(CollectionCostTotal[[#This Row],[Collection_Labor]],CollectionCostTotal[[#This Row],[Annual_Container_Cost]],CollectionCostTotal[[#This Row],[Collection_Ops]])</f>
        <v>3379752.8084352612</v>
      </c>
      <c r="W4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31319889.866607405</v>
      </c>
      <c r="AA44" s="35"/>
      <c r="AE44" s="28"/>
    </row>
    <row r="45" spans="2:31" ht="15" x14ac:dyDescent="0.25">
      <c r="B45" s="209" t="str">
        <f>CollectionCostTotal[[#This Row],[Grouping_ID]]&amp;"-"&amp;CollectionCostTotal[[#This Row],[Sector_ID]]&amp;"-"&amp;CollectionCostTotal[[#This Row],[Frequency_ID]]&amp;"-"&amp;CollectionCostTotal[[#This Row],[SS_or_DS]]</f>
        <v>2-1-U-DS</v>
      </c>
      <c r="C45" s="209" t="str">
        <f>CollectionCostTotal[[#This Row],[Grouping_ID]]&amp;"-"&amp;CollectionCostTotal[[#This Row],[Sector_ID]]&amp;"-"&amp;CollectionCostTotal[[#This Row],[SS_or_DS]]</f>
        <v>2-1-DS</v>
      </c>
      <c r="D45" s="35">
        <v>2</v>
      </c>
      <c r="E45" s="35" t="str">
        <f>INDEX(Grouping[Grouping_Name],MATCH(CollectionCostTotal[[#This Row],[Grouping_ID]],Grouping[Grouping_ID],0))</f>
        <v>2 - Willamette Valley, etc.</v>
      </c>
      <c r="F45" s="35">
        <v>1</v>
      </c>
      <c r="G45" s="24" t="str">
        <f>INDEX(Sector[Sector_Name],MATCH(CollectionCostTotal[[#This Row],[Sector_ID]],Sector[Sector_ID],0))</f>
        <v>SF Res. (on-route)</v>
      </c>
      <c r="H45" s="288" t="s">
        <v>870</v>
      </c>
      <c r="I45" s="18" t="s">
        <v>808</v>
      </c>
      <c r="J45" s="35" t="s">
        <v>65</v>
      </c>
      <c r="K45" s="35" t="str">
        <f>INDEX(Frequency[Collection_Frequency],MATCH(CollectionCostTotal[[#This Row],[Frequency_ID]],Frequency[Orig_Frequency_ID],0)+(CollectionCostTotal[[#This Row],[SS_or_DS]]="DS")*COUNTA(Frequency[Orig_Frequency_ID])/2)</f>
        <v>Uncertain</v>
      </c>
      <c r="L45" s="35">
        <v>2018</v>
      </c>
      <c r="M4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45" s="99">
        <f>SUMIFS(CustCntSrcs[Number],CustCntSrcs[Grouping_ID],CollectionCostTotal[[#This Row],[Grouping_ID]],CustCntSrcs[Sector_ID],CollectionCostTotal[[#This Row],[Sector_ID]])</f>
        <v>0.25090000000000001</v>
      </c>
      <c r="O45" s="100">
        <f>CollectionCostTotal[[#This Row],[Population]]*CollectionCostTotal[[#This Row],[Pct. Customers/Pop]]</f>
        <v>0</v>
      </c>
      <c r="P4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45" s="101">
        <f>CollectionCostTotal[[#This Row],[Customers]]*INDEX(LaborCostPerLift[Annual_Labor_Cost_Per_Customer],MATCH(CollectionCostTotal[[#This Row],[Collection_ID]],LaborCostPerLift[Collection_ID],0))*(IF(CollectionCostTotal[[#This Row],[Year]]=2025,SUMIFS(CustCntSrcs[Number],CustCntSrcs[Source_ID],$Q$33),1))</f>
        <v>0</v>
      </c>
      <c r="R4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4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4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45" s="101">
        <f>CollectionCostTotal[[#This Row],[Customers]]*INDEX(ContainerMarginAdmin[Annual_Admin_Per_Customer],MATCH(CollectionCostTotal[[#This Row],[Collection_ID]],ContainerMarginAdmin[Collection_ID],0))*(IF(CollectionCostTotal[[#This Row],[Year]]=2025,SUMIFS(CustCntSrcs[Number],CustCntSrcs[Source_ID],$U$33),1))</f>
        <v>0</v>
      </c>
      <c r="V45" s="101">
        <f>(SUMIFS(CustCntSrcs[Number],CustCntSrcs[Source_ID],$V$33)/(1-SUMIFS(CustCntSrcs[Number],CustCntSrcs[Source_ID],$V$33)))*SUM(CollectionCostTotal[[#This Row],[Collection_Labor]],CollectionCostTotal[[#This Row],[Annual_Container_Cost]],CollectionCostTotal[[#This Row],[Collection_Ops]])</f>
        <v>0</v>
      </c>
      <c r="W4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45" s="35"/>
      <c r="AE45" s="28"/>
    </row>
    <row r="46" spans="2:31" ht="15" x14ac:dyDescent="0.25">
      <c r="B46" s="209" t="str">
        <f>CollectionCostTotal[[#This Row],[Grouping_ID]]&amp;"-"&amp;CollectionCostTotal[[#This Row],[Sector_ID]]&amp;"-"&amp;CollectionCostTotal[[#This Row],[Frequency_ID]]&amp;"-"&amp;CollectionCostTotal[[#This Row],[SS_or_DS]]</f>
        <v>3-1-W-DS</v>
      </c>
      <c r="C46" s="209" t="str">
        <f>CollectionCostTotal[[#This Row],[Grouping_ID]]&amp;"-"&amp;CollectionCostTotal[[#This Row],[Sector_ID]]&amp;"-"&amp;CollectionCostTotal[[#This Row],[SS_or_DS]]</f>
        <v>3-1-DS</v>
      </c>
      <c r="D46" s="35">
        <v>3</v>
      </c>
      <c r="E46" s="35" t="str">
        <f>INDEX(Grouping[Grouping_Name],MATCH(CollectionCostTotal[[#This Row],[Grouping_ID]],Grouping[Grouping_ID],0))</f>
        <v>3 - Other areas with curbside</v>
      </c>
      <c r="F46" s="35">
        <v>1</v>
      </c>
      <c r="G46" s="24" t="str">
        <f>INDEX(Sector[Sector_Name],MATCH(CollectionCostTotal[[#This Row],[Sector_ID]],Sector[Sector_ID],0))</f>
        <v>SF Res. (on-route)</v>
      </c>
      <c r="H46" s="288" t="s">
        <v>870</v>
      </c>
      <c r="I46" s="18" t="s">
        <v>808</v>
      </c>
      <c r="J46" s="35" t="s">
        <v>64</v>
      </c>
      <c r="K46" s="35" t="str">
        <f>INDEX(Frequency[Collection_Frequency],MATCH(CollectionCostTotal[[#This Row],[Frequency_ID]],Frequency[Orig_Frequency_ID],0)+(CollectionCostTotal[[#This Row],[SS_or_DS]]="DS")*COUNTA(Frequency[Orig_Frequency_ID])/2)</f>
        <v>Weekly</v>
      </c>
      <c r="L46" s="35">
        <v>2018</v>
      </c>
      <c r="M4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204285</v>
      </c>
      <c r="N46" s="99">
        <f>SUMIFS(CustCntSrcs[Number],CustCntSrcs[Grouping_ID],CollectionCostTotal[[#This Row],[Grouping_ID]],CustCntSrcs[Sector_ID],CollectionCostTotal[[#This Row],[Sector_ID]])</f>
        <v>0.26100000000000001</v>
      </c>
      <c r="O46" s="100">
        <f>CollectionCostTotal[[#This Row],[Population]]*CollectionCostTotal[[#This Row],[Pct. Customers/Pop]]</f>
        <v>53318.385000000002</v>
      </c>
      <c r="P4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53318.385000000002</v>
      </c>
      <c r="Q46" s="101">
        <f>CollectionCostTotal[[#This Row],[Customers]]*INDEX(LaborCostPerLift[Annual_Labor_Cost_Per_Customer],MATCH(CollectionCostTotal[[#This Row],[Collection_ID]],LaborCostPerLift[Collection_ID],0))*(IF(CollectionCostTotal[[#This Row],[Year]]=2025,SUMIFS(CustCntSrcs[Number],CustCntSrcs[Source_ID],$Q$33),1))</f>
        <v>2835548.4927744004</v>
      </c>
      <c r="R4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443608.96320000006</v>
      </c>
      <c r="S4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970394.60699999996</v>
      </c>
      <c r="T4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1829886.9732000001</v>
      </c>
      <c r="U46" s="101">
        <f>CollectionCostTotal[[#This Row],[Customers]]*INDEX(ContainerMarginAdmin[Annual_Admin_Per_Customer],MATCH(CollectionCostTotal[[#This Row],[Collection_ID]],ContainerMarginAdmin[Collection_ID],0))*(IF(CollectionCostTotal[[#This Row],[Year]]=2025,SUMIFS(CustCntSrcs[Number],CustCntSrcs[Source_ID],$U$33),1))</f>
        <v>1107956.0403</v>
      </c>
      <c r="V46" s="101">
        <f>(SUMIFS(CustCntSrcs[Number],CustCntSrcs[Source_ID],$V$33)/(1-SUMIFS(CustCntSrcs[Number],CustCntSrcs[Source_ID],$V$33)))*SUM(CollectionCostTotal[[#This Row],[Collection_Labor]],CollectionCostTotal[[#This Row],[Annual_Container_Cost]],CollectionCostTotal[[#This Row],[Collection_Ops]])</f>
        <v>901596.075736659</v>
      </c>
      <c r="W4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8142309.5372110587</v>
      </c>
      <c r="AA46" s="35"/>
      <c r="AE46" s="28"/>
    </row>
    <row r="47" spans="2:31" ht="15" x14ac:dyDescent="0.25">
      <c r="B47" s="209" t="str">
        <f>CollectionCostTotal[[#This Row],[Grouping_ID]]&amp;"-"&amp;CollectionCostTotal[[#This Row],[Sector_ID]]&amp;"-"&amp;CollectionCostTotal[[#This Row],[Frequency_ID]]&amp;"-"&amp;CollectionCostTotal[[#This Row],[SS_or_DS]]</f>
        <v>3-1-E-DS</v>
      </c>
      <c r="C47" s="209" t="str">
        <f>CollectionCostTotal[[#This Row],[Grouping_ID]]&amp;"-"&amp;CollectionCostTotal[[#This Row],[Sector_ID]]&amp;"-"&amp;CollectionCostTotal[[#This Row],[SS_or_DS]]</f>
        <v>3-1-DS</v>
      </c>
      <c r="D47" s="35">
        <v>3</v>
      </c>
      <c r="E47" s="35" t="str">
        <f>INDEX(Grouping[Grouping_Name],MATCH(CollectionCostTotal[[#This Row],[Grouping_ID]],Grouping[Grouping_ID],0))</f>
        <v>3 - Other areas with curbside</v>
      </c>
      <c r="F47" s="35">
        <v>1</v>
      </c>
      <c r="G47" s="24" t="str">
        <f>INDEX(Sector[Sector_Name],MATCH(CollectionCostTotal[[#This Row],[Sector_ID]],Sector[Sector_ID],0))</f>
        <v>SF Res. (on-route)</v>
      </c>
      <c r="H47" s="288" t="s">
        <v>870</v>
      </c>
      <c r="I47" s="18" t="s">
        <v>808</v>
      </c>
      <c r="J47" s="35" t="s">
        <v>53</v>
      </c>
      <c r="K47" s="35" t="str">
        <f>INDEX(Frequency[Collection_Frequency],MATCH(CollectionCostTotal[[#This Row],[Frequency_ID]],Frequency[Orig_Frequency_ID],0)+(CollectionCostTotal[[#This Row],[SS_or_DS]]="DS")*COUNTA(Frequency[Orig_Frequency_ID])/2)</f>
        <v>Weekly (formerly every other week)</v>
      </c>
      <c r="L47" s="35">
        <v>2018</v>
      </c>
      <c r="M4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323662</v>
      </c>
      <c r="N47" s="99">
        <f>SUMIFS(CustCntSrcs[Number],CustCntSrcs[Grouping_ID],CollectionCostTotal[[#This Row],[Grouping_ID]],CustCntSrcs[Sector_ID],CollectionCostTotal[[#This Row],[Sector_ID]])</f>
        <v>0.26100000000000001</v>
      </c>
      <c r="O47" s="100">
        <f>CollectionCostTotal[[#This Row],[Population]]*CollectionCostTotal[[#This Row],[Pct. Customers/Pop]]</f>
        <v>84475.782000000007</v>
      </c>
      <c r="P4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84475.782000000007</v>
      </c>
      <c r="Q47" s="101">
        <f>CollectionCostTotal[[#This Row],[Customers]]*INDEX(LaborCostPerLift[Annual_Labor_Cost_Per_Customer],MATCH(CollectionCostTotal[[#This Row],[Collection_ID]],LaborCostPerLift[Collection_ID],0))*(IF(CollectionCostTotal[[#This Row],[Year]]=2025,SUMIFS(CustCntSrcs[Number],CustCntSrcs[Source_ID],$Q$33),1))</f>
        <v>4492543.7318860805</v>
      </c>
      <c r="R4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702838.50624000013</v>
      </c>
      <c r="S4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1537459.2324000001</v>
      </c>
      <c r="T4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2899208.8382400004</v>
      </c>
      <c r="U47" s="101">
        <f>CollectionCostTotal[[#This Row],[Customers]]*INDEX(ContainerMarginAdmin[Annual_Admin_Per_Customer],MATCH(CollectionCostTotal[[#This Row],[Collection_ID]],ContainerMarginAdmin[Collection_ID],0))*(IF(CollectionCostTotal[[#This Row],[Year]]=2025,SUMIFS(CustCntSrcs[Number],CustCntSrcs[Source_ID],$U$33),1))</f>
        <v>1755406.7499600002</v>
      </c>
      <c r="V47" s="101">
        <f>(SUMIFS(CustCntSrcs[Number],CustCntSrcs[Source_ID],$V$33)/(1-SUMIFS(CustCntSrcs[Number],CustCntSrcs[Source_ID],$V$33)))*SUM(CollectionCostTotal[[#This Row],[Collection_Labor]],CollectionCostTotal[[#This Row],[Annual_Container_Cost]],CollectionCostTotal[[#This Row],[Collection_Ops]])</f>
        <v>1428457.2487704849</v>
      </c>
      <c r="W4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12900390.089496564</v>
      </c>
      <c r="AA47" s="35"/>
      <c r="AE47" s="28"/>
    </row>
    <row r="48" spans="2:31" ht="15" x14ac:dyDescent="0.25">
      <c r="B48" s="209" t="str">
        <f>CollectionCostTotal[[#This Row],[Grouping_ID]]&amp;"-"&amp;CollectionCostTotal[[#This Row],[Sector_ID]]&amp;"-"&amp;CollectionCostTotal[[#This Row],[Frequency_ID]]&amp;"-"&amp;CollectionCostTotal[[#This Row],[SS_or_DS]]</f>
        <v>3-1-BM-DS</v>
      </c>
      <c r="C48" s="209" t="str">
        <f>CollectionCostTotal[[#This Row],[Grouping_ID]]&amp;"-"&amp;CollectionCostTotal[[#This Row],[Sector_ID]]&amp;"-"&amp;CollectionCostTotal[[#This Row],[SS_or_DS]]</f>
        <v>3-1-DS</v>
      </c>
      <c r="D48" s="35">
        <v>3</v>
      </c>
      <c r="E48" s="35" t="str">
        <f>INDEX(Grouping[Grouping_Name],MATCH(CollectionCostTotal[[#This Row],[Grouping_ID]],Grouping[Grouping_ID],0))</f>
        <v>3 - Other areas with curbside</v>
      </c>
      <c r="F48" s="35">
        <v>1</v>
      </c>
      <c r="G48" s="24" t="str">
        <f>INDEX(Sector[Sector_Name],MATCH(CollectionCostTotal[[#This Row],[Sector_ID]],Sector[Sector_ID],0))</f>
        <v>SF Res. (on-route)</v>
      </c>
      <c r="H48" s="288" t="s">
        <v>870</v>
      </c>
      <c r="I48" s="18" t="s">
        <v>808</v>
      </c>
      <c r="J48" s="35" t="s">
        <v>66</v>
      </c>
      <c r="K48" s="35" t="str">
        <f>INDEX(Frequency[Collection_Frequency],MATCH(CollectionCostTotal[[#This Row],[Frequency_ID]],Frequency[Orig_Frequency_ID],0)+(CollectionCostTotal[[#This Row],[SS_or_DS]]="DS")*COUNTA(Frequency[Orig_Frequency_ID])/2)</f>
        <v>Weekly (formerly bimonthly)</v>
      </c>
      <c r="L48" s="35">
        <v>2018</v>
      </c>
      <c r="M4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2535</v>
      </c>
      <c r="N48" s="99">
        <f>SUMIFS(CustCntSrcs[Number],CustCntSrcs[Grouping_ID],CollectionCostTotal[[#This Row],[Grouping_ID]],CustCntSrcs[Sector_ID],CollectionCostTotal[[#This Row],[Sector_ID]])</f>
        <v>0.26100000000000001</v>
      </c>
      <c r="O48" s="100">
        <f>CollectionCostTotal[[#This Row],[Population]]*CollectionCostTotal[[#This Row],[Pct. Customers/Pop]]</f>
        <v>661.63499999999999</v>
      </c>
      <c r="P4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661.63499999999999</v>
      </c>
      <c r="Q48" s="101">
        <f>CollectionCostTotal[[#This Row],[Customers]]*INDEX(LaborCostPerLift[Annual_Labor_Cost_Per_Customer],MATCH(CollectionCostTotal[[#This Row],[Collection_ID]],LaborCostPerLift[Collection_ID],0))*(IF(CollectionCostTotal[[#This Row],[Year]]=2025,SUMIFS(CustCntSrcs[Number],CustCntSrcs[Source_ID],$Q$33),1))</f>
        <v>35186.702054400004</v>
      </c>
      <c r="R4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5504.8032000000003</v>
      </c>
      <c r="S4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12041.757</v>
      </c>
      <c r="T4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22707.313200000001</v>
      </c>
      <c r="U48" s="101">
        <f>CollectionCostTotal[[#This Row],[Customers]]*INDEX(ContainerMarginAdmin[Annual_Admin_Per_Customer],MATCH(CollectionCostTotal[[#This Row],[Collection_ID]],ContainerMarginAdmin[Collection_ID],0))*(IF(CollectionCostTotal[[#This Row],[Year]]=2025,SUMIFS(CustCntSrcs[Number],CustCntSrcs[Source_ID],$U$33),1))</f>
        <v>13748.775300000001</v>
      </c>
      <c r="V48" s="101">
        <f>(SUMIFS(CustCntSrcs[Number],CustCntSrcs[Source_ID],$V$33)/(1-SUMIFS(CustCntSrcs[Number],CustCntSrcs[Source_ID],$V$33)))*SUM(CollectionCostTotal[[#This Row],[Collection_Labor]],CollectionCostTotal[[#This Row],[Annual_Container_Cost]],CollectionCostTotal[[#This Row],[Collection_Ops]])</f>
        <v>11188.026786070592</v>
      </c>
      <c r="W4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101039.01254047059</v>
      </c>
      <c r="AA48" s="35"/>
      <c r="AE48" s="28"/>
    </row>
    <row r="49" spans="2:31" ht="15" x14ac:dyDescent="0.25">
      <c r="B49" s="209" t="str">
        <f>CollectionCostTotal[[#This Row],[Grouping_ID]]&amp;"-"&amp;CollectionCostTotal[[#This Row],[Sector_ID]]&amp;"-"&amp;CollectionCostTotal[[#This Row],[Frequency_ID]]&amp;"-"&amp;CollectionCostTotal[[#This Row],[SS_or_DS]]</f>
        <v>3-1-M-DS</v>
      </c>
      <c r="C49" s="209" t="str">
        <f>CollectionCostTotal[[#This Row],[Grouping_ID]]&amp;"-"&amp;CollectionCostTotal[[#This Row],[Sector_ID]]&amp;"-"&amp;CollectionCostTotal[[#This Row],[SS_or_DS]]</f>
        <v>3-1-DS</v>
      </c>
      <c r="D49" s="35">
        <v>3</v>
      </c>
      <c r="E49" s="35" t="str">
        <f>INDEX(Grouping[Grouping_Name],MATCH(CollectionCostTotal[[#This Row],[Grouping_ID]],Grouping[Grouping_ID],0))</f>
        <v>3 - Other areas with curbside</v>
      </c>
      <c r="F49" s="35">
        <v>1</v>
      </c>
      <c r="G49" s="24" t="str">
        <f>INDEX(Sector[Sector_Name],MATCH(CollectionCostTotal[[#This Row],[Sector_ID]],Sector[Sector_ID],0))</f>
        <v>SF Res. (on-route)</v>
      </c>
      <c r="H49" s="288" t="s">
        <v>870</v>
      </c>
      <c r="I49" s="18" t="s">
        <v>808</v>
      </c>
      <c r="J49" s="35" t="s">
        <v>67</v>
      </c>
      <c r="K49" s="35" t="str">
        <f>INDEX(Frequency[Collection_Frequency],MATCH(CollectionCostTotal[[#This Row],[Frequency_ID]],Frequency[Orig_Frequency_ID],0)+(CollectionCostTotal[[#This Row],[SS_or_DS]]="DS")*COUNTA(Frequency[Orig_Frequency_ID])/2)</f>
        <v>Weekly (formerly monthly)</v>
      </c>
      <c r="L49" s="35">
        <v>2018</v>
      </c>
      <c r="M4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8045</v>
      </c>
      <c r="N49" s="99">
        <f>SUMIFS(CustCntSrcs[Number],CustCntSrcs[Grouping_ID],CollectionCostTotal[[#This Row],[Grouping_ID]],CustCntSrcs[Sector_ID],CollectionCostTotal[[#This Row],[Sector_ID]])</f>
        <v>0.26100000000000001</v>
      </c>
      <c r="O49" s="100">
        <f>CollectionCostTotal[[#This Row],[Population]]*CollectionCostTotal[[#This Row],[Pct. Customers/Pop]]</f>
        <v>2099.7449999999999</v>
      </c>
      <c r="P4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2099.7449999999999</v>
      </c>
      <c r="Q49" s="101">
        <f>CollectionCostTotal[[#This Row],[Customers]]*INDEX(LaborCostPerLift[Annual_Labor_Cost_Per_Customer],MATCH(CollectionCostTotal[[#This Row],[Collection_ID]],LaborCostPerLift[Collection_ID],0))*(IF(CollectionCostTotal[[#This Row],[Year]]=2025,SUMIFS(CustCntSrcs[Number],CustCntSrcs[Source_ID],$Q$33),1))</f>
        <v>111667.46273279999</v>
      </c>
      <c r="R4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17469.878400000001</v>
      </c>
      <c r="S4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38215.358999999997</v>
      </c>
      <c r="T4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72063.248399999997</v>
      </c>
      <c r="U49" s="101">
        <f>CollectionCostTotal[[#This Row],[Customers]]*INDEX(ContainerMarginAdmin[Annual_Admin_Per_Customer],MATCH(CollectionCostTotal[[#This Row],[Collection_ID]],ContainerMarginAdmin[Collection_ID],0))*(IF(CollectionCostTotal[[#This Row],[Year]]=2025,SUMIFS(CustCntSrcs[Number],CustCntSrcs[Source_ID],$U$33),1))</f>
        <v>43632.701099999998</v>
      </c>
      <c r="V49" s="101">
        <f>(SUMIFS(CustCntSrcs[Number],CustCntSrcs[Source_ID],$V$33)/(1-SUMIFS(CustCntSrcs[Number],CustCntSrcs[Source_ID],$V$33)))*SUM(CollectionCostTotal[[#This Row],[Collection_Labor]],CollectionCostTotal[[#This Row],[Annual_Container_Cost]],CollectionCostTotal[[#This Row],[Collection_Ops]])</f>
        <v>35505.98638814118</v>
      </c>
      <c r="W4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320654.38102094113</v>
      </c>
      <c r="AA49" s="35"/>
      <c r="AE49" s="28"/>
    </row>
    <row r="50" spans="2:31" ht="15" x14ac:dyDescent="0.25">
      <c r="B50" s="209" t="str">
        <f>CollectionCostTotal[[#This Row],[Grouping_ID]]&amp;"-"&amp;CollectionCostTotal[[#This Row],[Sector_ID]]&amp;"-"&amp;CollectionCostTotal[[#This Row],[Frequency_ID]]&amp;"-"&amp;CollectionCostTotal[[#This Row],[SS_or_DS]]</f>
        <v>3-1-U-DS</v>
      </c>
      <c r="C50" s="209" t="str">
        <f>CollectionCostTotal[[#This Row],[Grouping_ID]]&amp;"-"&amp;CollectionCostTotal[[#This Row],[Sector_ID]]&amp;"-"&amp;CollectionCostTotal[[#This Row],[SS_or_DS]]</f>
        <v>3-1-DS</v>
      </c>
      <c r="D50" s="126">
        <v>3</v>
      </c>
      <c r="E50" s="35" t="str">
        <f>INDEX(Grouping[Grouping_Name],MATCH(CollectionCostTotal[[#This Row],[Grouping_ID]],Grouping[Grouping_ID],0))</f>
        <v>3 - Other areas with curbside</v>
      </c>
      <c r="F50" s="35">
        <v>1</v>
      </c>
      <c r="G50" s="24" t="str">
        <f>INDEX(Sector[Sector_Name],MATCH(CollectionCostTotal[[#This Row],[Sector_ID]],Sector[Sector_ID],0))</f>
        <v>SF Res. (on-route)</v>
      </c>
      <c r="H50" s="288" t="s">
        <v>870</v>
      </c>
      <c r="I50" s="18" t="s">
        <v>808</v>
      </c>
      <c r="J50" s="35" t="s">
        <v>65</v>
      </c>
      <c r="K50" s="35" t="str">
        <f>INDEX(Frequency[Collection_Frequency],MATCH(CollectionCostTotal[[#This Row],[Frequency_ID]],Frequency[Orig_Frequency_ID],0)+(CollectionCostTotal[[#This Row],[SS_or_DS]]="DS")*COUNTA(Frequency[Orig_Frequency_ID])/2)</f>
        <v>Uncertain</v>
      </c>
      <c r="L50" s="35">
        <v>2018</v>
      </c>
      <c r="M50" s="128">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50" s="159">
        <f>SUMIFS(CustCntSrcs[Number],CustCntSrcs[Grouping_ID],CollectionCostTotal[[#This Row],[Grouping_ID]],CustCntSrcs[Sector_ID],CollectionCostTotal[[#This Row],[Sector_ID]])</f>
        <v>0.26100000000000001</v>
      </c>
      <c r="O50" s="160">
        <f>CollectionCostTotal[[#This Row],[Population]]*CollectionCostTotal[[#This Row],[Pct. Customers/Pop]]</f>
        <v>0</v>
      </c>
      <c r="P50" s="16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50" s="161">
        <f>CollectionCostTotal[[#This Row],[Customers]]*INDEX(LaborCostPerLift[Annual_Labor_Cost_Per_Customer],MATCH(CollectionCostTotal[[#This Row],[Collection_ID]],LaborCostPerLift[Collection_ID],0))*(IF(CollectionCostTotal[[#This Row],[Year]]=2025,SUMIFS(CustCntSrcs[Number],CustCntSrcs[Source_ID],$Q$33),1))</f>
        <v>0</v>
      </c>
      <c r="R50" s="16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50" s="16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50" s="16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50" s="161">
        <f>CollectionCostTotal[[#This Row],[Customers]]*INDEX(ContainerMarginAdmin[Annual_Admin_Per_Customer],MATCH(CollectionCostTotal[[#This Row],[Collection_ID]],ContainerMarginAdmin[Collection_ID],0))*(IF(CollectionCostTotal[[#This Row],[Year]]=2025,SUMIFS(CustCntSrcs[Number],CustCntSrcs[Source_ID],$U$33),1))</f>
        <v>0</v>
      </c>
      <c r="V50" s="161">
        <f>(SUMIFS(CustCntSrcs[Number],CustCntSrcs[Source_ID],$V$33)/(1-SUMIFS(CustCntSrcs[Number],CustCntSrcs[Source_ID],$V$33)))*SUM(CollectionCostTotal[[#This Row],[Collection_Labor]],CollectionCostTotal[[#This Row],[Annual_Container_Cost]],CollectionCostTotal[[#This Row],[Collection_Ops]])</f>
        <v>0</v>
      </c>
      <c r="W50" s="129">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50" s="35"/>
      <c r="AE50" s="28"/>
    </row>
    <row r="51" spans="2:31" ht="15" x14ac:dyDescent="0.25">
      <c r="B51" s="209" t="str">
        <f>CollectionCostTotal[[#This Row],[Grouping_ID]]&amp;"-"&amp;CollectionCostTotal[[#This Row],[Sector_ID]]&amp;"-"&amp;CollectionCostTotal[[#This Row],[Frequency_ID]]&amp;"-"&amp;CollectionCostTotal[[#This Row],[SS_or_DS]]</f>
        <v>1-2-V-DS</v>
      </c>
      <c r="C51" s="209" t="str">
        <f>CollectionCostTotal[[#This Row],[Grouping_ID]]&amp;"-"&amp;CollectionCostTotal[[#This Row],[Sector_ID]]&amp;"-"&amp;CollectionCostTotal[[#This Row],[SS_or_DS]]</f>
        <v>1-2-DS</v>
      </c>
      <c r="D51" s="35">
        <v>1</v>
      </c>
      <c r="E51" s="35" t="str">
        <f>INDEX(Grouping[Grouping_Name],MATCH(CollectionCostTotal[[#This Row],[Grouping_ID]],Grouping[Grouping_ID],0))</f>
        <v>1 - Metro area</v>
      </c>
      <c r="F51" s="35">
        <v>2</v>
      </c>
      <c r="G51" s="24" t="str">
        <f>INDEX(Sector[Sector_Name],MATCH(CollectionCostTotal[[#This Row],[Sector_ID]],Sector[Sector_ID],0))</f>
        <v>MF Res. (on-route)</v>
      </c>
      <c r="H51" s="288" t="s">
        <v>870</v>
      </c>
      <c r="I51" s="18" t="s">
        <v>808</v>
      </c>
      <c r="J51" s="35" t="s">
        <v>91</v>
      </c>
      <c r="K51" s="35" t="str">
        <f>INDEX(Frequency[Collection_Frequency],MATCH(CollectionCostTotal[[#This Row],[Frequency_ID]],Frequency[Orig_Frequency_ID],0)+(CollectionCostTotal[[#This Row],[SS_or_DS]]="DS")*COUNTA(Frequency[Orig_Frequency_ID])/2)</f>
        <v>Varies by customer need</v>
      </c>
      <c r="L51" s="35">
        <v>2025</v>
      </c>
      <c r="M5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51" s="99">
        <f>SUMIFS(CustCntSrcs[Number],CustCntSrcs[Grouping_ID],CollectionCostTotal[[#This Row],[Grouping_ID]],CustCntSrcs[Sector_ID],CollectionCostTotal[[#This Row],[Sector_ID]])</f>
        <v>4.0829601659520629E-3</v>
      </c>
      <c r="O51" s="100">
        <f>CollectionCostTotal[[#This Row],[Population]]*CollectionCostTotal[[#This Row],[Pct. Customers/Pop]]</f>
        <v>7221.4205871290515</v>
      </c>
      <c r="P5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816041.25609323173</v>
      </c>
      <c r="Q51" s="101">
        <f>CollectionCostTotal[[#This Row],[Customers]]*INDEX(LaborCostPerLift[Annual_Labor_Cost_Per_Customer],MATCH(CollectionCostTotal[[#This Row],[Collection_ID]],LaborCostPerLift[Collection_ID],0))*(IF(CollectionCostTotal[[#This Row],[Year]]=2025,SUMIFS(CustCntSrcs[Number],CustCntSrcs[Source_ID],$Q$33),1))</f>
        <v>3164095.6189261703</v>
      </c>
      <c r="R5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578154.72644073865</v>
      </c>
      <c r="S5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659913.98068488331</v>
      </c>
      <c r="T5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1687230.1022329649</v>
      </c>
      <c r="U51" s="101">
        <f>CollectionCostTotal[[#This Row],[Customers]]*INDEX(ContainerMarginAdmin[Annual_Admin_Per_Customer],MATCH(CollectionCostTotal[[#This Row],[Collection_ID]],ContainerMarginAdmin[Collection_ID],0))*(IF(CollectionCostTotal[[#This Row],[Year]]=2025,SUMIFS(CustCntSrcs[Number],CustCntSrcs[Source_ID],$U$33),1))</f>
        <v>1642424.4211745758</v>
      </c>
      <c r="V51" s="101">
        <f>(SUMIFS(CustCntSrcs[Number],CustCntSrcs[Source_ID],$V$33)/(1-SUMIFS(CustCntSrcs[Number],CustCntSrcs[Source_ID],$V$33)))*SUM(CollectionCostTotal[[#This Row],[Collection_Labor]],CollectionCostTotal[[#This Row],[Annual_Container_Cost]],CollectionCostTotal[[#This Row],[Collection_Ops]])</f>
        <v>958143.60839997779</v>
      </c>
      <c r="W5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9506003.7139525432</v>
      </c>
      <c r="AA51" s="35"/>
      <c r="AD51" s="28"/>
    </row>
    <row r="52" spans="2:31" ht="15" x14ac:dyDescent="0.25">
      <c r="B52" s="209" t="str">
        <f>CollectionCostTotal[[#This Row],[Grouping_ID]]&amp;"-"&amp;CollectionCostTotal[[#This Row],[Sector_ID]]&amp;"-"&amp;CollectionCostTotal[[#This Row],[Frequency_ID]]&amp;"-"&amp;CollectionCostTotal[[#This Row],[SS_or_DS]]</f>
        <v>1-3-V-DS</v>
      </c>
      <c r="C52" s="209" t="str">
        <f>CollectionCostTotal[[#This Row],[Grouping_ID]]&amp;"-"&amp;CollectionCostTotal[[#This Row],[Sector_ID]]&amp;"-"&amp;CollectionCostTotal[[#This Row],[SS_or_DS]]</f>
        <v>1-3-DS</v>
      </c>
      <c r="D52" s="35">
        <v>1</v>
      </c>
      <c r="E52" s="35" t="str">
        <f>INDEX(Grouping[Grouping_Name],MATCH(CollectionCostTotal[[#This Row],[Grouping_ID]],Grouping[Grouping_ID],0))</f>
        <v>1 - Metro area</v>
      </c>
      <c r="F52" s="35">
        <v>3</v>
      </c>
      <c r="G52" s="24" t="str">
        <f>INDEX(Sector[Sector_Name],MATCH(CollectionCostTotal[[#This Row],[Sector_ID]],Sector[Sector_ID],0))</f>
        <v>Commercial (on-route)</v>
      </c>
      <c r="H52" s="288" t="s">
        <v>870</v>
      </c>
      <c r="I52" s="18" t="s">
        <v>808</v>
      </c>
      <c r="J52" s="35" t="s">
        <v>91</v>
      </c>
      <c r="K52" s="35" t="str">
        <f>INDEX(Frequency[Collection_Frequency],MATCH(CollectionCostTotal[[#This Row],[Frequency_ID]],Frequency[Orig_Frequency_ID],0)+(CollectionCostTotal[[#This Row],[SS_or_DS]]="DS")*COUNTA(Frequency[Orig_Frequency_ID])/2)</f>
        <v>Varies by customer need</v>
      </c>
      <c r="L52" s="35">
        <v>2025</v>
      </c>
      <c r="M5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52" s="99">
        <f>SUMIFS(CustCntSrcs[Number],CustCntSrcs[Grouping_ID],CollectionCostTotal[[#This Row],[Grouping_ID]],CustCntSrcs[Sector_ID],CollectionCostTotal[[#This Row],[Sector_ID]])</f>
        <v>2.0077661123032196E-2</v>
      </c>
      <c r="O52" s="100">
        <f>CollectionCostTotal[[#This Row],[Population]]*CollectionCostTotal[[#This Row],[Pct. Customers/Pop]]</f>
        <v>35510.813106709982</v>
      </c>
      <c r="P5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4012823.8180920328</v>
      </c>
      <c r="Q52" s="101">
        <f>CollectionCostTotal[[#This Row],[Customers]]*INDEX(LaborCostPerLift[Annual_Labor_Cost_Per_Customer],MATCH(CollectionCostTotal[[#This Row],[Collection_ID]],LaborCostPerLift[Collection_ID],0))*(IF(CollectionCostTotal[[#This Row],[Year]]=2025,SUMIFS(CustCntSrcs[Number],CustCntSrcs[Source_ID],$Q$33),1))</f>
        <v>15559211.213332301</v>
      </c>
      <c r="R5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2843034.0249106456</v>
      </c>
      <c r="S5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3245079.2405545749</v>
      </c>
      <c r="T5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8296831.9190822504</v>
      </c>
      <c r="U52" s="101">
        <f>CollectionCostTotal[[#This Row],[Customers]]*INDEX(ContainerMarginAdmin[Annual_Admin_Per_Customer],MATCH(CollectionCostTotal[[#This Row],[Collection_ID]],ContainerMarginAdmin[Collection_ID],0))*(IF(CollectionCostTotal[[#This Row],[Year]]=2025,SUMIFS(CustCntSrcs[Number],CustCntSrcs[Source_ID],$U$33),1))</f>
        <v>8076503.2251658263</v>
      </c>
      <c r="V52" s="101">
        <f>(SUMIFS(CustCntSrcs[Number],CustCntSrcs[Source_ID],$V$33)/(1-SUMIFS(CustCntSrcs[Number],CustCntSrcs[Source_ID],$V$33)))*SUM(CollectionCostTotal[[#This Row],[Collection_Labor]],CollectionCostTotal[[#This Row],[Annual_Container_Cost]],CollectionCostTotal[[#This Row],[Collection_Ops]])</f>
        <v>4711601.8512926819</v>
      </c>
      <c r="W5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46745085.292430319</v>
      </c>
      <c r="AA52" s="35"/>
      <c r="AD52" s="28"/>
    </row>
    <row r="53" spans="2:31" ht="15" x14ac:dyDescent="0.25">
      <c r="B53" s="209" t="str">
        <f>CollectionCostTotal[[#This Row],[Grouping_ID]]&amp;"-"&amp;CollectionCostTotal[[#This Row],[Sector_ID]]&amp;"-"&amp;CollectionCostTotal[[#This Row],[Frequency_ID]]&amp;"-"&amp;CollectionCostTotal[[#This Row],[SS_or_DS]]</f>
        <v>2-2-V-DS</v>
      </c>
      <c r="C53" s="209" t="str">
        <f>CollectionCostTotal[[#This Row],[Grouping_ID]]&amp;"-"&amp;CollectionCostTotal[[#This Row],[Sector_ID]]&amp;"-"&amp;CollectionCostTotal[[#This Row],[SS_or_DS]]</f>
        <v>2-2-DS</v>
      </c>
      <c r="D53" s="35">
        <v>2</v>
      </c>
      <c r="E53" s="35" t="str">
        <f>INDEX(Grouping[Grouping_Name],MATCH(CollectionCostTotal[[#This Row],[Grouping_ID]],Grouping[Grouping_ID],0))</f>
        <v>2 - Willamette Valley, etc.</v>
      </c>
      <c r="F53" s="35">
        <v>2</v>
      </c>
      <c r="G53" s="24" t="str">
        <f>INDEX(Sector[Sector_Name],MATCH(CollectionCostTotal[[#This Row],[Sector_ID]],Sector[Sector_ID],0))</f>
        <v>MF Res. (on-route)</v>
      </c>
      <c r="H53" s="288" t="s">
        <v>870</v>
      </c>
      <c r="I53" s="18" t="s">
        <v>808</v>
      </c>
      <c r="J53" s="35" t="s">
        <v>91</v>
      </c>
      <c r="K53" s="35" t="str">
        <f>INDEX(Frequency[Collection_Frequency],MATCH(CollectionCostTotal[[#This Row],[Frequency_ID]],Frequency[Orig_Frequency_ID],0)+(CollectionCostTotal[[#This Row],[SS_or_DS]]="DS")*COUNTA(Frequency[Orig_Frequency_ID])/2)</f>
        <v>Varies by customer need</v>
      </c>
      <c r="L53" s="35">
        <v>2025</v>
      </c>
      <c r="M5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53" s="99">
        <f>SUMIFS(CustCntSrcs[Number],CustCntSrcs[Grouping_ID],CollectionCostTotal[[#This Row],[Grouping_ID]],CustCntSrcs[Sector_ID],CollectionCostTotal[[#This Row],[Sector_ID]])</f>
        <v>6.0000000000000001E-3</v>
      </c>
      <c r="O53" s="100">
        <f>CollectionCostTotal[[#This Row],[Population]]*CollectionCostTotal[[#This Row],[Pct. Customers/Pop]]</f>
        <v>9059.6882850261754</v>
      </c>
      <c r="P5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1023770.7828710043</v>
      </c>
      <c r="Q53" s="101">
        <f>CollectionCostTotal[[#This Row],[Customers]]*INDEX(LaborCostPerLift[Annual_Labor_Cost_Per_Customer],MATCH(CollectionCostTotal[[#This Row],[Collection_ID]],LaborCostPerLift[Collection_ID],0))*(IF(CollectionCostTotal[[#This Row],[Year]]=2025,SUMIFS(CustCntSrcs[Number],CustCntSrcs[Source_ID],$Q$33),1))</f>
        <v>3097571.5528184986</v>
      </c>
      <c r="R5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723905.27966477186</v>
      </c>
      <c r="S5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275773.43987229397</v>
      </c>
      <c r="T5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1716338.2513074258</v>
      </c>
      <c r="U53" s="101">
        <f>CollectionCostTotal[[#This Row],[Customers]]*INDEX(ContainerMarginAdmin[Annual_Admin_Per_Customer],MATCH(CollectionCostTotal[[#This Row],[Collection_ID]],ContainerMarginAdmin[Collection_ID],0))*(IF(CollectionCostTotal[[#This Row],[Year]]=2025,SUMIFS(CustCntSrcs[Number],CustCntSrcs[Source_ID],$U$33),1))</f>
        <v>1257616.2478297576</v>
      </c>
      <c r="V53" s="101">
        <f>(SUMIFS(CustCntSrcs[Number],CustCntSrcs[Source_ID],$V$33)/(1-SUMIFS(CustCntSrcs[Number],CustCntSrcs[Source_ID],$V$33)))*SUM(CollectionCostTotal[[#This Row],[Collection_Labor]],CollectionCostTotal[[#This Row],[Annual_Container_Cost]],CollectionCostTotal[[#This Row],[Collection_Ops]])</f>
        <v>977261.4853748288</v>
      </c>
      <c r="W5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9072237.0397385806</v>
      </c>
      <c r="AA53" s="35"/>
      <c r="AD53" s="28"/>
    </row>
    <row r="54" spans="2:31" ht="15" x14ac:dyDescent="0.25">
      <c r="B54" s="209" t="str">
        <f>CollectionCostTotal[[#This Row],[Grouping_ID]]&amp;"-"&amp;CollectionCostTotal[[#This Row],[Sector_ID]]&amp;"-"&amp;CollectionCostTotal[[#This Row],[Frequency_ID]]&amp;"-"&amp;CollectionCostTotal[[#This Row],[SS_or_DS]]</f>
        <v>2-3-V-DS</v>
      </c>
      <c r="C54" s="209" t="str">
        <f>CollectionCostTotal[[#This Row],[Grouping_ID]]&amp;"-"&amp;CollectionCostTotal[[#This Row],[Sector_ID]]&amp;"-"&amp;CollectionCostTotal[[#This Row],[SS_or_DS]]</f>
        <v>2-3-DS</v>
      </c>
      <c r="D54" s="35">
        <v>2</v>
      </c>
      <c r="E54" s="35" t="str">
        <f>INDEX(Grouping[Grouping_Name],MATCH(CollectionCostTotal[[#This Row],[Grouping_ID]],Grouping[Grouping_ID],0))</f>
        <v>2 - Willamette Valley, etc.</v>
      </c>
      <c r="F54" s="35">
        <v>3</v>
      </c>
      <c r="G54" s="24" t="str">
        <f>INDEX(Sector[Sector_Name],MATCH(CollectionCostTotal[[#This Row],[Sector_ID]],Sector[Sector_ID],0))</f>
        <v>Commercial (on-route)</v>
      </c>
      <c r="H54" s="288" t="s">
        <v>870</v>
      </c>
      <c r="I54" s="18" t="s">
        <v>808</v>
      </c>
      <c r="J54" s="35" t="s">
        <v>91</v>
      </c>
      <c r="K54" s="35" t="str">
        <f>INDEX(Frequency[Collection_Frequency],MATCH(CollectionCostTotal[[#This Row],[Frequency_ID]],Frequency[Orig_Frequency_ID],0)+(CollectionCostTotal[[#This Row],[SS_or_DS]]="DS")*COUNTA(Frequency[Orig_Frequency_ID])/2)</f>
        <v>Varies by customer need</v>
      </c>
      <c r="L54" s="35">
        <v>2025</v>
      </c>
      <c r="M5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54" s="99">
        <f>SUMIFS(CustCntSrcs[Number],CustCntSrcs[Grouping_ID],CollectionCostTotal[[#This Row],[Grouping_ID]],CustCntSrcs[Sector_ID],CollectionCostTotal[[#This Row],[Sector_ID]])</f>
        <v>1.5699999999999999E-2</v>
      </c>
      <c r="O54" s="100">
        <f>CollectionCostTotal[[#This Row],[Population]]*CollectionCostTotal[[#This Row],[Pct. Customers/Pop]]</f>
        <v>23706.184345818489</v>
      </c>
      <c r="P5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2678866.8818457942</v>
      </c>
      <c r="Q54" s="101">
        <f>CollectionCostTotal[[#This Row],[Customers]]*INDEX(LaborCostPerLift[Annual_Labor_Cost_Per_Customer],MATCH(CollectionCostTotal[[#This Row],[Collection_ID]],LaborCostPerLift[Collection_ID],0))*(IF(CollectionCostTotal[[#This Row],[Year]]=2025,SUMIFS(CustCntSrcs[Number],CustCntSrcs[Source_ID],$Q$33),1))</f>
        <v>8105312.22987507</v>
      </c>
      <c r="R5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1894218.8151228193</v>
      </c>
      <c r="S5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721607.16766583582</v>
      </c>
      <c r="T5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4491085.0909210965</v>
      </c>
      <c r="U54" s="101">
        <f>CollectionCostTotal[[#This Row],[Customers]]*INDEX(ContainerMarginAdmin[Annual_Admin_Per_Customer],MATCH(CollectionCostTotal[[#This Row],[Collection_ID]],ContainerMarginAdmin[Collection_ID],0))*(IF(CollectionCostTotal[[#This Row],[Year]]=2025,SUMIFS(CustCntSrcs[Number],CustCntSrcs[Source_ID],$U$33),1))</f>
        <v>3290762.5151545317</v>
      </c>
      <c r="V54" s="101">
        <f>(SUMIFS(CustCntSrcs[Number],CustCntSrcs[Source_ID],$V$33)/(1-SUMIFS(CustCntSrcs[Number],CustCntSrcs[Source_ID],$V$33)))*SUM(CollectionCostTotal[[#This Row],[Collection_Labor]],CollectionCostTotal[[#This Row],[Annual_Container_Cost]],CollectionCostTotal[[#This Row],[Collection_Ops]])</f>
        <v>2557167.5533974683</v>
      </c>
      <c r="W5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23739020.253982618</v>
      </c>
      <c r="AA54" s="35"/>
      <c r="AD54" s="28"/>
    </row>
    <row r="55" spans="2:31" ht="15" x14ac:dyDescent="0.25">
      <c r="B55" s="209" t="str">
        <f>CollectionCostTotal[[#This Row],[Grouping_ID]]&amp;"-"&amp;CollectionCostTotal[[#This Row],[Sector_ID]]&amp;"-"&amp;CollectionCostTotal[[#This Row],[Frequency_ID]]&amp;"-"&amp;CollectionCostTotal[[#This Row],[SS_or_DS]]</f>
        <v>3-2-V-DS</v>
      </c>
      <c r="C55" s="209" t="str">
        <f>CollectionCostTotal[[#This Row],[Grouping_ID]]&amp;"-"&amp;CollectionCostTotal[[#This Row],[Sector_ID]]&amp;"-"&amp;CollectionCostTotal[[#This Row],[SS_or_DS]]</f>
        <v>3-2-DS</v>
      </c>
      <c r="D55" s="35">
        <v>3</v>
      </c>
      <c r="E55" s="35" t="str">
        <f>INDEX(Grouping[Grouping_Name],MATCH(CollectionCostTotal[[#This Row],[Grouping_ID]],Grouping[Grouping_ID],0))</f>
        <v>3 - Other areas with curbside</v>
      </c>
      <c r="F55" s="35">
        <v>2</v>
      </c>
      <c r="G55" s="24" t="str">
        <f>INDEX(Sector[Sector_Name],MATCH(CollectionCostTotal[[#This Row],[Sector_ID]],Sector[Sector_ID],0))</f>
        <v>MF Res. (on-route)</v>
      </c>
      <c r="H55" s="288" t="s">
        <v>870</v>
      </c>
      <c r="I55" s="18" t="s">
        <v>808</v>
      </c>
      <c r="J55" s="35" t="s">
        <v>91</v>
      </c>
      <c r="K55" s="35" t="str">
        <f>INDEX(Frequency[Collection_Frequency],MATCH(CollectionCostTotal[[#This Row],[Frequency_ID]],Frequency[Orig_Frequency_ID],0)+(CollectionCostTotal[[#This Row],[SS_or_DS]]="DS")*COUNTA(Frequency[Orig_Frequency_ID])/2)</f>
        <v>Varies by customer need</v>
      </c>
      <c r="L55" s="35">
        <v>2025</v>
      </c>
      <c r="M5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55" s="99">
        <f>SUMIFS(CustCntSrcs[Number],CustCntSrcs[Grouping_ID],CollectionCostTotal[[#This Row],[Grouping_ID]],CustCntSrcs[Sector_ID],CollectionCostTotal[[#This Row],[Sector_ID]])</f>
        <v>2.5000000000000001E-3</v>
      </c>
      <c r="O55" s="100">
        <f>CollectionCostTotal[[#This Row],[Population]]*CollectionCostTotal[[#This Row],[Pct. Customers/Pop]]</f>
        <v>1445.0244787602153</v>
      </c>
      <c r="P5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163291.91417470897</v>
      </c>
      <c r="Q55" s="101">
        <f>CollectionCostTotal[[#This Row],[Customers]]*INDEX(LaborCostPerLift[Annual_Labor_Cost_Per_Customer],MATCH(CollectionCostTotal[[#This Row],[Collection_ID]],LaborCostPerLift[Collection_ID],0))*(IF(CollectionCostTotal[[#This Row],[Year]]=2025,SUMIFS(CustCntSrcs[Number],CustCntSrcs[Source_ID],$Q$33),1))</f>
        <v>649613.67730495101</v>
      </c>
      <c r="R5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115639.77676495284</v>
      </c>
      <c r="S5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71586.528473542217</v>
      </c>
      <c r="T5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329010.40145956923</v>
      </c>
      <c r="U55" s="101">
        <f>CollectionCostTotal[[#This Row],[Customers]]*INDEX(ContainerMarginAdmin[Annual_Admin_Per_Customer],MATCH(CollectionCostTotal[[#This Row],[Collection_ID]],ContainerMarginAdmin[Collection_ID],0))*(IF(CollectionCostTotal[[#This Row],[Year]]=2025,SUMIFS(CustCntSrcs[Number],CustCntSrcs[Source_ID],$U$33),1))</f>
        <v>298274.50738705008</v>
      </c>
      <c r="V55" s="101">
        <f>(SUMIFS(CustCntSrcs[Number],CustCntSrcs[Source_ID],$V$33)/(1-SUMIFS(CustCntSrcs[Number],CustCntSrcs[Source_ID],$V$33)))*SUM(CollectionCostTotal[[#This Row],[Collection_Labor]],CollectionCostTotal[[#This Row],[Annual_Container_Cost]],CollectionCostTotal[[#This Row],[Collection_Ops]])</f>
        <v>193105.38626990703</v>
      </c>
      <c r="W5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1820522.1918346812</v>
      </c>
      <c r="AA55" s="35"/>
      <c r="AD55" s="28"/>
    </row>
    <row r="56" spans="2:31" ht="15" x14ac:dyDescent="0.25">
      <c r="B56" s="209" t="str">
        <f>CollectionCostTotal[[#This Row],[Grouping_ID]]&amp;"-"&amp;CollectionCostTotal[[#This Row],[Sector_ID]]&amp;"-"&amp;CollectionCostTotal[[#This Row],[Frequency_ID]]&amp;"-"&amp;CollectionCostTotal[[#This Row],[SS_or_DS]]</f>
        <v>3-3-V-DS</v>
      </c>
      <c r="C56" s="209" t="str">
        <f>CollectionCostTotal[[#This Row],[Grouping_ID]]&amp;"-"&amp;CollectionCostTotal[[#This Row],[Sector_ID]]&amp;"-"&amp;CollectionCostTotal[[#This Row],[SS_or_DS]]</f>
        <v>3-3-DS</v>
      </c>
      <c r="D56" s="35">
        <v>3</v>
      </c>
      <c r="E56" s="35" t="str">
        <f>INDEX(Grouping[Grouping_Name],MATCH(CollectionCostTotal[[#This Row],[Grouping_ID]],Grouping[Grouping_ID],0))</f>
        <v>3 - Other areas with curbside</v>
      </c>
      <c r="F56" s="35">
        <v>3</v>
      </c>
      <c r="G56" s="24" t="str">
        <f>INDEX(Sector[Sector_Name],MATCH(CollectionCostTotal[[#This Row],[Sector_ID]],Sector[Sector_ID],0))</f>
        <v>Commercial (on-route)</v>
      </c>
      <c r="H56" s="288" t="s">
        <v>870</v>
      </c>
      <c r="I56" s="18" t="s">
        <v>808</v>
      </c>
      <c r="J56" s="35" t="s">
        <v>91</v>
      </c>
      <c r="K56" s="35" t="str">
        <f>INDEX(Frequency[Collection_Frequency],MATCH(CollectionCostTotal[[#This Row],[Frequency_ID]],Frequency[Orig_Frequency_ID],0)+(CollectionCostTotal[[#This Row],[SS_or_DS]]="DS")*COUNTA(Frequency[Orig_Frequency_ID])/2)</f>
        <v>Varies by customer need</v>
      </c>
      <c r="L56" s="35">
        <v>2025</v>
      </c>
      <c r="M5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56" s="99">
        <f>SUMIFS(CustCntSrcs[Number],CustCntSrcs[Grouping_ID],CollectionCostTotal[[#This Row],[Grouping_ID]],CustCntSrcs[Sector_ID],CollectionCostTotal[[#This Row],[Sector_ID]])</f>
        <v>1.5900000000000001E-2</v>
      </c>
      <c r="O56" s="100">
        <f>CollectionCostTotal[[#This Row],[Population]]*CollectionCostTotal[[#This Row],[Pct. Customers/Pop]]</f>
        <v>9190.35568491497</v>
      </c>
      <c r="P5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1038536.5741511491</v>
      </c>
      <c r="Q56" s="101">
        <f>CollectionCostTotal[[#This Row],[Customers]]*INDEX(LaborCostPerLift[Annual_Labor_Cost_Per_Customer],MATCH(CollectionCostTotal[[#This Row],[Collection_ID]],LaborCostPerLift[Collection_ID],0))*(IF(CollectionCostTotal[[#This Row],[Year]]=2025,SUMIFS(CustCntSrcs[Number],CustCntSrcs[Source_ID],$Q$33),1))</f>
        <v>4131542.9876594888</v>
      </c>
      <c r="R5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735468.98022509995</v>
      </c>
      <c r="S5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455290.32109172858</v>
      </c>
      <c r="T5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2092506.1532828603</v>
      </c>
      <c r="U56" s="101">
        <f>CollectionCostTotal[[#This Row],[Customers]]*INDEX(ContainerMarginAdmin[Annual_Admin_Per_Customer],MATCH(CollectionCostTotal[[#This Row],[Collection_ID]],ContainerMarginAdmin[Collection_ID],0))*(IF(CollectionCostTotal[[#This Row],[Year]]=2025,SUMIFS(CustCntSrcs[Number],CustCntSrcs[Source_ID],$U$33),1))</f>
        <v>1897025.8669816388</v>
      </c>
      <c r="V56" s="101">
        <f>(SUMIFS(CustCntSrcs[Number],CustCntSrcs[Source_ID],$V$33)/(1-SUMIFS(CustCntSrcs[Number],CustCntSrcs[Source_ID],$V$33)))*SUM(CollectionCostTotal[[#This Row],[Collection_Labor]],CollectionCostTotal[[#This Row],[Annual_Container_Cost]],CollectionCostTotal[[#This Row],[Collection_Ops]])</f>
        <v>1228150.2566766087</v>
      </c>
      <c r="W5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11578521.140068574</v>
      </c>
      <c r="AA56" s="35"/>
      <c r="AD56" s="28"/>
    </row>
    <row r="57" spans="2:31" ht="15" x14ac:dyDescent="0.25">
      <c r="B57" s="209" t="str">
        <f>CollectionCostTotal[[#This Row],[Grouping_ID]]&amp;"-"&amp;CollectionCostTotal[[#This Row],[Sector_ID]]&amp;"-"&amp;CollectionCostTotal[[#This Row],[Frequency_ID]]&amp;"-"&amp;CollectionCostTotal[[#This Row],[SS_or_DS]]</f>
        <v>1-1-W-DS</v>
      </c>
      <c r="C57" s="209" t="str">
        <f>CollectionCostTotal[[#This Row],[Grouping_ID]]&amp;"-"&amp;CollectionCostTotal[[#This Row],[Sector_ID]]&amp;"-"&amp;CollectionCostTotal[[#This Row],[SS_or_DS]]</f>
        <v>1-1-DS</v>
      </c>
      <c r="D57" s="35">
        <v>1</v>
      </c>
      <c r="E57" s="35" t="str">
        <f>INDEX(Grouping[Grouping_Name],MATCH(CollectionCostTotal[[#This Row],[Grouping_ID]],Grouping[Grouping_ID],0))</f>
        <v>1 - Metro area</v>
      </c>
      <c r="F57" s="35">
        <v>1</v>
      </c>
      <c r="G57" s="24" t="str">
        <f>INDEX(Sector[Sector_Name],MATCH(CollectionCostTotal[[#This Row],[Sector_ID]],Sector[Sector_ID],0))</f>
        <v>SF Res. (on-route)</v>
      </c>
      <c r="H57" s="288" t="s">
        <v>870</v>
      </c>
      <c r="I57" s="18" t="s">
        <v>808</v>
      </c>
      <c r="J57" s="35" t="s">
        <v>64</v>
      </c>
      <c r="K57" s="35" t="str">
        <f>INDEX(Frequency[Collection_Frequency],MATCH(CollectionCostTotal[[#This Row],[Frequency_ID]],Frequency[Orig_Frequency_ID],0)+(CollectionCostTotal[[#This Row],[SS_or_DS]]="DS")*COUNTA(Frequency[Orig_Frequency_ID])/2)</f>
        <v>Weekly</v>
      </c>
      <c r="L57" s="35">
        <v>2025</v>
      </c>
      <c r="M5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1393446.3512606001</v>
      </c>
      <c r="N57" s="99">
        <f>SUMIFS(CustCntSrcs[Number],CustCntSrcs[Grouping_ID],CollectionCostTotal[[#This Row],[Grouping_ID]],CustCntSrcs[Sector_ID],CollectionCostTotal[[#This Row],[Sector_ID]])</f>
        <v>0.26339829285649385</v>
      </c>
      <c r="O57" s="100">
        <f>CollectionCostTotal[[#This Row],[Population]]*CollectionCostTotal[[#This Row],[Pct. Customers/Pop]]</f>
        <v>367031.39010915236</v>
      </c>
      <c r="P5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1437273.2908729594</v>
      </c>
      <c r="Q57" s="101">
        <f>CollectionCostTotal[[#This Row],[Customers]]*INDEX(LaborCostPerLift[Annual_Labor_Cost_Per_Customer],MATCH(CollectionCostTotal[[#This Row],[Collection_ID]],LaborCostPerLift[Collection_ID],0))*(IF(CollectionCostTotal[[#This Row],[Year]]=2025,SUMIFS(CustCntSrcs[Number],CustCntSrcs[Source_ID],$Q$33),1))</f>
        <v>16660622.030492017</v>
      </c>
      <c r="R5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3203066.1910883095</v>
      </c>
      <c r="S5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6406132.382176619</v>
      </c>
      <c r="T5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6295264.877132399</v>
      </c>
      <c r="U57" s="101">
        <f>CollectionCostTotal[[#This Row],[Customers]]*INDEX(ContainerMarginAdmin[Annual_Admin_Per_Customer],MATCH(CollectionCostTotal[[#This Row],[Collection_ID]],ContainerMarginAdmin[Collection_ID],0))*(IF(CollectionCostTotal[[#This Row],[Year]]=2025,SUMIFS(CustCntSrcs[Number],CustCntSrcs[Source_ID],$U$33),1))</f>
        <v>5749093.1634918377</v>
      </c>
      <c r="V57" s="101">
        <f>(SUMIFS(CustCntSrcs[Number],CustCntSrcs[Source_ID],$V$33)/(1-SUMIFS(CustCntSrcs[Number],CustCntSrcs[Source_ID],$V$33)))*SUM(CollectionCostTotal[[#This Row],[Collection_Labor]],CollectionCostTotal[[#This Row],[Annual_Container_Cost]],CollectionCostTotal[[#This Row],[Collection_Ops]])</f>
        <v>4616285.8409493053</v>
      </c>
      <c r="W5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44367737.776203446</v>
      </c>
      <c r="AA57" s="35"/>
      <c r="AD57" s="28"/>
    </row>
    <row r="58" spans="2:31" ht="15" x14ac:dyDescent="0.25">
      <c r="B58" s="209" t="str">
        <f>CollectionCostTotal[[#This Row],[Grouping_ID]]&amp;"-"&amp;CollectionCostTotal[[#This Row],[Sector_ID]]&amp;"-"&amp;CollectionCostTotal[[#This Row],[Frequency_ID]]&amp;"-"&amp;CollectionCostTotal[[#This Row],[SS_or_DS]]</f>
        <v>1-1-E-DS</v>
      </c>
      <c r="C58" s="209" t="str">
        <f>CollectionCostTotal[[#This Row],[Grouping_ID]]&amp;"-"&amp;CollectionCostTotal[[#This Row],[Sector_ID]]&amp;"-"&amp;CollectionCostTotal[[#This Row],[SS_or_DS]]</f>
        <v>1-1-DS</v>
      </c>
      <c r="D58" s="35">
        <v>1</v>
      </c>
      <c r="E58" s="35" t="str">
        <f>INDEX(Grouping[Grouping_Name],MATCH(CollectionCostTotal[[#This Row],[Grouping_ID]],Grouping[Grouping_ID],0))</f>
        <v>1 - Metro area</v>
      </c>
      <c r="F58" s="35">
        <v>1</v>
      </c>
      <c r="G58" s="24" t="str">
        <f>INDEX(Sector[Sector_Name],MATCH(CollectionCostTotal[[#This Row],[Sector_ID]],Sector[Sector_ID],0))</f>
        <v>SF Res. (on-route)</v>
      </c>
      <c r="H58" s="288" t="s">
        <v>870</v>
      </c>
      <c r="I58" s="18" t="s">
        <v>808</v>
      </c>
      <c r="J58" s="35" t="s">
        <v>53</v>
      </c>
      <c r="K58" s="35" t="str">
        <f>INDEX(Frequency[Collection_Frequency],MATCH(CollectionCostTotal[[#This Row],[Frequency_ID]],Frequency[Orig_Frequency_ID],0)+(CollectionCostTotal[[#This Row],[SS_or_DS]]="DS")*COUNTA(Frequency[Orig_Frequency_ID])/2)</f>
        <v>Weekly (formerly every other week)</v>
      </c>
      <c r="L58" s="35">
        <v>2025</v>
      </c>
      <c r="M5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375226.44828045601</v>
      </c>
      <c r="N58" s="99">
        <f>SUMIFS(CustCntSrcs[Number],CustCntSrcs[Grouping_ID],CollectionCostTotal[[#This Row],[Grouping_ID]],CustCntSrcs[Sector_ID],CollectionCostTotal[[#This Row],[Sector_ID]])</f>
        <v>0.26339829285649385</v>
      </c>
      <c r="O58" s="100">
        <f>CollectionCostTotal[[#This Row],[Population]]*CollectionCostTotal[[#This Row],[Pct. Customers/Pop]]</f>
        <v>98834.005911677596</v>
      </c>
      <c r="P5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387028.14188342134</v>
      </c>
      <c r="Q58" s="101">
        <f>CollectionCostTotal[[#This Row],[Customers]]*INDEX(LaborCostPerLift[Annual_Labor_Cost_Per_Customer],MATCH(CollectionCostTotal[[#This Row],[Collection_ID]],LaborCostPerLift[Collection_ID],0))*(IF(CollectionCostTotal[[#This Row],[Year]]=2025,SUMIFS(CustCntSrcs[Number],CustCntSrcs[Source_ID],$Q$33),1))</f>
        <v>4486362.9123497503</v>
      </c>
      <c r="R5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862519.85905448173</v>
      </c>
      <c r="S5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1725039.7181089635</v>
      </c>
      <c r="T5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1695185.3788229022</v>
      </c>
      <c r="U58" s="101">
        <f>CollectionCostTotal[[#This Row],[Customers]]*INDEX(ContainerMarginAdmin[Annual_Admin_Per_Customer],MATCH(CollectionCostTotal[[#This Row],[Collection_ID]],ContainerMarginAdmin[Collection_ID],0))*(IF(CollectionCostTotal[[#This Row],[Year]]=2025,SUMIFS(CustCntSrcs[Number],CustCntSrcs[Source_ID],$U$33),1))</f>
        <v>1548112.5675336854</v>
      </c>
      <c r="V58" s="101">
        <f>(SUMIFS(CustCntSrcs[Number],CustCntSrcs[Source_ID],$V$33)/(1-SUMIFS(CustCntSrcs[Number],CustCntSrcs[Source_ID],$V$33)))*SUM(CollectionCostTotal[[#This Row],[Collection_Labor]],CollectionCostTotal[[#This Row],[Annual_Container_Cost]],CollectionCostTotal[[#This Row],[Collection_Ops]])</f>
        <v>1243070.8500400826</v>
      </c>
      <c r="W5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11947319.427793285</v>
      </c>
      <c r="AA58" s="35"/>
      <c r="AD58" s="28"/>
    </row>
    <row r="59" spans="2:31" ht="15" x14ac:dyDescent="0.25">
      <c r="B59" s="209" t="str">
        <f>CollectionCostTotal[[#This Row],[Grouping_ID]]&amp;"-"&amp;CollectionCostTotal[[#This Row],[Sector_ID]]&amp;"-"&amp;CollectionCostTotal[[#This Row],[Frequency_ID]]&amp;"-"&amp;CollectionCostTotal[[#This Row],[SS_or_DS]]</f>
        <v>2-1-W-DS</v>
      </c>
      <c r="C59" s="209" t="str">
        <f>CollectionCostTotal[[#This Row],[Grouping_ID]]&amp;"-"&amp;CollectionCostTotal[[#This Row],[Sector_ID]]&amp;"-"&amp;CollectionCostTotal[[#This Row],[SS_or_DS]]</f>
        <v>2-1-DS</v>
      </c>
      <c r="D59" s="35">
        <v>2</v>
      </c>
      <c r="E59" s="35" t="str">
        <f>INDEX(Grouping[Grouping_Name],MATCH(CollectionCostTotal[[#This Row],[Grouping_ID]],Grouping[Grouping_ID],0))</f>
        <v>2 - Willamette Valley, etc.</v>
      </c>
      <c r="F59" s="35">
        <v>1</v>
      </c>
      <c r="G59" s="24" t="str">
        <f>INDEX(Sector[Sector_Name],MATCH(CollectionCostTotal[[#This Row],[Sector_ID]],Sector[Sector_ID],0))</f>
        <v>SF Res. (on-route)</v>
      </c>
      <c r="H59" s="288" t="s">
        <v>870</v>
      </c>
      <c r="I59" s="18" t="s">
        <v>808</v>
      </c>
      <c r="J59" s="35" t="s">
        <v>64</v>
      </c>
      <c r="K59" s="35" t="str">
        <f>INDEX(Frequency[Collection_Frequency],MATCH(CollectionCostTotal[[#This Row],[Frequency_ID]],Frequency[Orig_Frequency_ID],0)+(CollectionCostTotal[[#This Row],[SS_or_DS]]="DS")*COUNTA(Frequency[Orig_Frequency_ID])/2)</f>
        <v>Weekly</v>
      </c>
      <c r="L59" s="35">
        <v>2025</v>
      </c>
      <c r="M5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365186.16509931785</v>
      </c>
      <c r="N59" s="99">
        <f>SUMIFS(CustCntSrcs[Number],CustCntSrcs[Grouping_ID],CollectionCostTotal[[#This Row],[Grouping_ID]],CustCntSrcs[Sector_ID],CollectionCostTotal[[#This Row],[Sector_ID]])</f>
        <v>0.25090000000000001</v>
      </c>
      <c r="O59" s="100">
        <f>CollectionCostTotal[[#This Row],[Population]]*CollectionCostTotal[[#This Row],[Pct. Customers/Pop]]</f>
        <v>91625.208823418856</v>
      </c>
      <c r="P5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358798.91737160028</v>
      </c>
      <c r="Q59" s="101">
        <f>CollectionCostTotal[[#This Row],[Customers]]*INDEX(LaborCostPerLift[Annual_Labor_Cost_Per_Customer],MATCH(CollectionCostTotal[[#This Row],[Collection_ID]],LaborCostPerLift[Collection_ID],0))*(IF(CollectionCostTotal[[#This Row],[Year]]=2025,SUMIFS(CustCntSrcs[Number],CustCntSrcs[Source_ID],$Q$33),1))</f>
        <v>4209200.4231900778</v>
      </c>
      <c r="R5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799609.0158567091</v>
      </c>
      <c r="S5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1652525.299437199</v>
      </c>
      <c r="T5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2409696.5389022841</v>
      </c>
      <c r="U59" s="101">
        <f>CollectionCostTotal[[#This Row],[Customers]]*INDEX(ContainerMarginAdmin[Annual_Admin_Per_Customer],MATCH(CollectionCostTotal[[#This Row],[Collection_ID]],ContainerMarginAdmin[Collection_ID],0))*(IF(CollectionCostTotal[[#This Row],[Year]]=2025,SUMIFS(CustCntSrcs[Number],CustCntSrcs[Source_ID],$U$33),1))</f>
        <v>1585891.2147824732</v>
      </c>
      <c r="V59" s="101">
        <f>(SUMIFS(CustCntSrcs[Number],CustCntSrcs[Source_ID],$V$33)/(1-SUMIFS(CustCntSrcs[Number],CustCntSrcs[Source_ID],$V$33)))*SUM(CollectionCostTotal[[#This Row],[Collection_Labor]],CollectionCostTotal[[#This Row],[Annual_Container_Cost]],CollectionCostTotal[[#This Row],[Collection_Ops]])</f>
        <v>1309148.1137557186</v>
      </c>
      <c r="W5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12324869.52329606</v>
      </c>
      <c r="AA59" s="35"/>
      <c r="AD59" s="28"/>
    </row>
    <row r="60" spans="2:31" ht="15" x14ac:dyDescent="0.25">
      <c r="B60" s="209" t="str">
        <f>CollectionCostTotal[[#This Row],[Grouping_ID]]&amp;"-"&amp;CollectionCostTotal[[#This Row],[Sector_ID]]&amp;"-"&amp;CollectionCostTotal[[#This Row],[Frequency_ID]]&amp;"-"&amp;CollectionCostTotal[[#This Row],[SS_or_DS]]</f>
        <v>2-1-E-DS</v>
      </c>
      <c r="C60" s="209" t="str">
        <f>CollectionCostTotal[[#This Row],[Grouping_ID]]&amp;"-"&amp;CollectionCostTotal[[#This Row],[Sector_ID]]&amp;"-"&amp;CollectionCostTotal[[#This Row],[SS_or_DS]]</f>
        <v>2-1-DS</v>
      </c>
      <c r="D60" s="35">
        <v>2</v>
      </c>
      <c r="E60" s="35" t="str">
        <f>INDEX(Grouping[Grouping_Name],MATCH(CollectionCostTotal[[#This Row],[Grouping_ID]],Grouping[Grouping_ID],0))</f>
        <v>2 - Willamette Valley, etc.</v>
      </c>
      <c r="F60" s="35">
        <v>1</v>
      </c>
      <c r="G60" s="24" t="str">
        <f>INDEX(Sector[Sector_Name],MATCH(CollectionCostTotal[[#This Row],[Sector_ID]],Sector[Sector_ID],0))</f>
        <v>SF Res. (on-route)</v>
      </c>
      <c r="H60" s="288" t="s">
        <v>870</v>
      </c>
      <c r="I60" s="18" t="s">
        <v>808</v>
      </c>
      <c r="J60" s="35" t="s">
        <v>53</v>
      </c>
      <c r="K60" s="35" t="str">
        <f>INDEX(Frequency[Collection_Frequency],MATCH(CollectionCostTotal[[#This Row],[Frequency_ID]],Frequency[Orig_Frequency_ID],0)+(CollectionCostTotal[[#This Row],[SS_or_DS]]="DS")*COUNTA(Frequency[Orig_Frequency_ID])/2)</f>
        <v>Weekly (formerly every other week)</v>
      </c>
      <c r="L60" s="35">
        <v>2025</v>
      </c>
      <c r="M6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1144761.8824050445</v>
      </c>
      <c r="N60" s="99">
        <f>SUMIFS(CustCntSrcs[Number],CustCntSrcs[Grouping_ID],CollectionCostTotal[[#This Row],[Grouping_ID]],CustCntSrcs[Sector_ID],CollectionCostTotal[[#This Row],[Sector_ID]])</f>
        <v>0.25090000000000001</v>
      </c>
      <c r="O60" s="100">
        <f>CollectionCostTotal[[#This Row],[Population]]*CollectionCostTotal[[#This Row],[Pct. Customers/Pop]]</f>
        <v>287220.7562954257</v>
      </c>
      <c r="P6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1124739.5528894104</v>
      </c>
      <c r="Q60" s="101">
        <f>CollectionCostTotal[[#This Row],[Customers]]*INDEX(LaborCostPerLift[Annual_Labor_Cost_Per_Customer],MATCH(CollectionCostTotal[[#This Row],[Collection_ID]],LaborCostPerLift[Collection_ID],0))*(IF(CollectionCostTotal[[#This Row],[Year]]=2025,SUMIFS(CustCntSrcs[Number],CustCntSrcs[Source_ID],$Q$33),1))</f>
        <v>13194728.224604871</v>
      </c>
      <c r="R6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2506562.432153543</v>
      </c>
      <c r="S6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5180229.0264506554</v>
      </c>
      <c r="T6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7553760.2722394373</v>
      </c>
      <c r="U60" s="101">
        <f>CollectionCostTotal[[#This Row],[Customers]]*INDEX(ContainerMarginAdmin[Annual_Admin_Per_Customer],MATCH(CollectionCostTotal[[#This Row],[Collection_ID]],ContainerMarginAdmin[Collection_ID],0))*(IF(CollectionCostTotal[[#This Row],[Year]]=2025,SUMIFS(CustCntSrcs[Number],CustCntSrcs[Source_ID],$U$33),1))</f>
        <v>4971348.8237711936</v>
      </c>
      <c r="V60" s="101">
        <f>(SUMIFS(CustCntSrcs[Number],CustCntSrcs[Source_ID],$V$33)/(1-SUMIFS(CustCntSrcs[Number],CustCntSrcs[Source_ID],$V$33)))*SUM(CollectionCostTotal[[#This Row],[Collection_Labor]],CollectionCostTotal[[#This Row],[Annual_Container_Cost]],CollectionCostTotal[[#This Row],[Collection_Ops]])</f>
        <v>4103832.5168819739</v>
      </c>
      <c r="W6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38635200.848991081</v>
      </c>
      <c r="AA60" s="35"/>
      <c r="AD60" s="28"/>
    </row>
    <row r="61" spans="2:31" ht="15" x14ac:dyDescent="0.25">
      <c r="B61" s="209" t="str">
        <f>CollectionCostTotal[[#This Row],[Grouping_ID]]&amp;"-"&amp;CollectionCostTotal[[#This Row],[Sector_ID]]&amp;"-"&amp;CollectionCostTotal[[#This Row],[Frequency_ID]]&amp;"-"&amp;CollectionCostTotal[[#This Row],[SS_or_DS]]</f>
        <v>2-1-U-DS</v>
      </c>
      <c r="C61" s="209" t="str">
        <f>CollectionCostTotal[[#This Row],[Grouping_ID]]&amp;"-"&amp;CollectionCostTotal[[#This Row],[Sector_ID]]&amp;"-"&amp;CollectionCostTotal[[#This Row],[SS_or_DS]]</f>
        <v>2-1-DS</v>
      </c>
      <c r="D61" s="35">
        <v>2</v>
      </c>
      <c r="E61" s="35" t="str">
        <f>INDEX(Grouping[Grouping_Name],MATCH(CollectionCostTotal[[#This Row],[Grouping_ID]],Grouping[Grouping_ID],0))</f>
        <v>2 - Willamette Valley, etc.</v>
      </c>
      <c r="F61" s="35">
        <v>1</v>
      </c>
      <c r="G61" s="24" t="str">
        <f>INDEX(Sector[Sector_Name],MATCH(CollectionCostTotal[[#This Row],[Sector_ID]],Sector[Sector_ID],0))</f>
        <v>SF Res. (on-route)</v>
      </c>
      <c r="H61" s="288" t="s">
        <v>870</v>
      </c>
      <c r="I61" s="18" t="s">
        <v>808</v>
      </c>
      <c r="J61" s="35" t="s">
        <v>65</v>
      </c>
      <c r="K61" s="35" t="str">
        <f>INDEX(Frequency[Collection_Frequency],MATCH(CollectionCostTotal[[#This Row],[Frequency_ID]],Frequency[Orig_Frequency_ID],0)+(CollectionCostTotal[[#This Row],[SS_or_DS]]="DS")*COUNTA(Frequency[Orig_Frequency_ID])/2)</f>
        <v>Uncertain</v>
      </c>
      <c r="L61" s="35">
        <v>2025</v>
      </c>
      <c r="M6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61" s="99">
        <f>SUMIFS(CustCntSrcs[Number],CustCntSrcs[Grouping_ID],CollectionCostTotal[[#This Row],[Grouping_ID]],CustCntSrcs[Sector_ID],CollectionCostTotal[[#This Row],[Sector_ID]])</f>
        <v>0.25090000000000001</v>
      </c>
      <c r="O61" s="100">
        <f>CollectionCostTotal[[#This Row],[Population]]*CollectionCostTotal[[#This Row],[Pct. Customers/Pop]]</f>
        <v>0</v>
      </c>
      <c r="P6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61" s="101">
        <f>CollectionCostTotal[[#This Row],[Customers]]*INDEX(LaborCostPerLift[Annual_Labor_Cost_Per_Customer],MATCH(CollectionCostTotal[[#This Row],[Collection_ID]],LaborCostPerLift[Collection_ID],0))*(IF(CollectionCostTotal[[#This Row],[Year]]=2025,SUMIFS(CustCntSrcs[Number],CustCntSrcs[Source_ID],$Q$33),1))</f>
        <v>0</v>
      </c>
      <c r="R6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6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6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61" s="101">
        <f>CollectionCostTotal[[#This Row],[Customers]]*INDEX(ContainerMarginAdmin[Annual_Admin_Per_Customer],MATCH(CollectionCostTotal[[#This Row],[Collection_ID]],ContainerMarginAdmin[Collection_ID],0))*(IF(CollectionCostTotal[[#This Row],[Year]]=2025,SUMIFS(CustCntSrcs[Number],CustCntSrcs[Source_ID],$U$33),1))</f>
        <v>0</v>
      </c>
      <c r="V61" s="101">
        <f>(SUMIFS(CustCntSrcs[Number],CustCntSrcs[Source_ID],$V$33)/(1-SUMIFS(CustCntSrcs[Number],CustCntSrcs[Source_ID],$V$33)))*SUM(CollectionCostTotal[[#This Row],[Collection_Labor]],CollectionCostTotal[[#This Row],[Annual_Container_Cost]],CollectionCostTotal[[#This Row],[Collection_Ops]])</f>
        <v>0</v>
      </c>
      <c r="W6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61" s="35"/>
      <c r="AD61" s="28"/>
    </row>
    <row r="62" spans="2:31" ht="15" x14ac:dyDescent="0.25">
      <c r="B62" s="209" t="str">
        <f>CollectionCostTotal[[#This Row],[Grouping_ID]]&amp;"-"&amp;CollectionCostTotal[[#This Row],[Sector_ID]]&amp;"-"&amp;CollectionCostTotal[[#This Row],[Frequency_ID]]&amp;"-"&amp;CollectionCostTotal[[#This Row],[SS_or_DS]]</f>
        <v>3-1-W-DS</v>
      </c>
      <c r="C62" s="209" t="str">
        <f>CollectionCostTotal[[#This Row],[Grouping_ID]]&amp;"-"&amp;CollectionCostTotal[[#This Row],[Sector_ID]]&amp;"-"&amp;CollectionCostTotal[[#This Row],[SS_or_DS]]</f>
        <v>3-1-DS</v>
      </c>
      <c r="D62" s="35">
        <v>3</v>
      </c>
      <c r="E62" s="35" t="str">
        <f>INDEX(Grouping[Grouping_Name],MATCH(CollectionCostTotal[[#This Row],[Grouping_ID]],Grouping[Grouping_ID],0))</f>
        <v>3 - Other areas with curbside</v>
      </c>
      <c r="F62" s="35">
        <v>1</v>
      </c>
      <c r="G62" s="24" t="str">
        <f>INDEX(Sector[Sector_Name],MATCH(CollectionCostTotal[[#This Row],[Sector_ID]],Sector[Sector_ID],0))</f>
        <v>SF Res. (on-route)</v>
      </c>
      <c r="H62" s="288" t="s">
        <v>870</v>
      </c>
      <c r="I62" s="18" t="s">
        <v>808</v>
      </c>
      <c r="J62" s="35" t="s">
        <v>64</v>
      </c>
      <c r="K62" s="35" t="str">
        <f>INDEX(Frequency[Collection_Frequency],MATCH(CollectionCostTotal[[#This Row],[Frequency_ID]],Frequency[Orig_Frequency_ID],0)+(CollectionCostTotal[[#This Row],[SS_or_DS]]="DS")*COUNTA(Frequency[Orig_Frequency_ID])/2)</f>
        <v>Weekly</v>
      </c>
      <c r="L62" s="35">
        <v>2025</v>
      </c>
      <c r="M6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219262.41443309668</v>
      </c>
      <c r="N62" s="99">
        <f>SUMIFS(CustCntSrcs[Number],CustCntSrcs[Grouping_ID],CollectionCostTotal[[#This Row],[Grouping_ID]],CustCntSrcs[Sector_ID],CollectionCostTotal[[#This Row],[Sector_ID]])</f>
        <v>0.26100000000000001</v>
      </c>
      <c r="O62" s="100">
        <f>CollectionCostTotal[[#This Row],[Population]]*CollectionCostTotal[[#This Row],[Pct. Customers/Pop]]</f>
        <v>57227.490167038239</v>
      </c>
      <c r="P6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224099.47851141013</v>
      </c>
      <c r="Q62" s="101">
        <f>CollectionCostTotal[[#This Row],[Customers]]*INDEX(LaborCostPerLift[Annual_Labor_Cost_Per_Customer],MATCH(CollectionCostTotal[[#This Row],[Collection_ID]],LaborCostPerLift[Collection_ID],0))*(IF(CollectionCostTotal[[#This Row],[Year]]=2025,SUMIFS(CustCntSrcs[Number],CustCntSrcs[Source_ID],$Q$33),1))</f>
        <v>3557359.0101585933</v>
      </c>
      <c r="R6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532716.47463283781</v>
      </c>
      <c r="S6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1165317.2882593325</v>
      </c>
      <c r="T6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2159425.2721689111</v>
      </c>
      <c r="U62" s="101">
        <f>CollectionCostTotal[[#This Row],[Customers]]*INDEX(ContainerMarginAdmin[Annual_Admin_Per_Customer],MATCH(CollectionCostTotal[[#This Row],[Collection_ID]],ContainerMarginAdmin[Collection_ID],0))*(IF(CollectionCostTotal[[#This Row],[Year]]=2025,SUMIFS(CustCntSrcs[Number],CustCntSrcs[Source_ID],$U$33),1))</f>
        <v>1330510.6181334578</v>
      </c>
      <c r="V62" s="101">
        <f>(SUMIFS(CustCntSrcs[Number],CustCntSrcs[Source_ID],$V$33)/(1-SUMIFS(CustCntSrcs[Number],CustCntSrcs[Source_ID],$V$33)))*SUM(CollectionCostTotal[[#This Row],[Collection_Labor]],CollectionCostTotal[[#This Row],[Annual_Container_Cost]],CollectionCostTotal[[#This Row],[Collection_Ops]])</f>
        <v>1102853.0747577075</v>
      </c>
      <c r="W6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10072281.216622252</v>
      </c>
      <c r="AA62" s="35"/>
      <c r="AD62" s="28"/>
    </row>
    <row r="63" spans="2:31" ht="15" x14ac:dyDescent="0.25">
      <c r="B63" s="209" t="str">
        <f>CollectionCostTotal[[#This Row],[Grouping_ID]]&amp;"-"&amp;CollectionCostTotal[[#This Row],[Sector_ID]]&amp;"-"&amp;CollectionCostTotal[[#This Row],[Frequency_ID]]&amp;"-"&amp;CollectionCostTotal[[#This Row],[SS_or_DS]]</f>
        <v>3-1-E-DS</v>
      </c>
      <c r="C63" s="209" t="str">
        <f>CollectionCostTotal[[#This Row],[Grouping_ID]]&amp;"-"&amp;CollectionCostTotal[[#This Row],[Sector_ID]]&amp;"-"&amp;CollectionCostTotal[[#This Row],[SS_or_DS]]</f>
        <v>3-1-DS</v>
      </c>
      <c r="D63" s="35">
        <v>3</v>
      </c>
      <c r="E63" s="35" t="str">
        <f>INDEX(Grouping[Grouping_Name],MATCH(CollectionCostTotal[[#This Row],[Grouping_ID]],Grouping[Grouping_ID],0))</f>
        <v>3 - Other areas with curbside</v>
      </c>
      <c r="F63" s="35">
        <v>1</v>
      </c>
      <c r="G63" s="24" t="str">
        <f>INDEX(Sector[Sector_Name],MATCH(CollectionCostTotal[[#This Row],[Sector_ID]],Sector[Sector_ID],0))</f>
        <v>SF Res. (on-route)</v>
      </c>
      <c r="H63" s="288" t="s">
        <v>870</v>
      </c>
      <c r="I63" s="18" t="s">
        <v>808</v>
      </c>
      <c r="J63" s="35" t="s">
        <v>53</v>
      </c>
      <c r="K63" s="35" t="str">
        <f>INDEX(Frequency[Collection_Frequency],MATCH(CollectionCostTotal[[#This Row],[Frequency_ID]],Frequency[Orig_Frequency_ID],0)+(CollectionCostTotal[[#This Row],[SS_or_DS]]="DS")*COUNTA(Frequency[Orig_Frequency_ID])/2)</f>
        <v>Weekly (formerly every other week)</v>
      </c>
      <c r="L63" s="35">
        <v>2025</v>
      </c>
      <c r="M6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347391.69092319539</v>
      </c>
      <c r="N63" s="99">
        <f>SUMIFS(CustCntSrcs[Number],CustCntSrcs[Grouping_ID],CollectionCostTotal[[#This Row],[Grouping_ID]],CustCntSrcs[Sector_ID],CollectionCostTotal[[#This Row],[Sector_ID]])</f>
        <v>0.26100000000000001</v>
      </c>
      <c r="O63" s="100">
        <f>CollectionCostTotal[[#This Row],[Population]]*CollectionCostTotal[[#This Row],[Pct. Customers/Pop]]</f>
        <v>90669.231330954004</v>
      </c>
      <c r="P6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355055.36585632846</v>
      </c>
      <c r="Q63" s="101">
        <f>CollectionCostTotal[[#This Row],[Customers]]*INDEX(LaborCostPerLift[Annual_Labor_Cost_Per_Customer],MATCH(CollectionCostTotal[[#This Row],[Collection_ID]],LaborCostPerLift[Collection_ID],0))*(IF(CollectionCostTotal[[#This Row],[Year]]=2025,SUMIFS(CustCntSrcs[Number],CustCntSrcs[Source_ID],$Q$33),1))</f>
        <v>5636155.0380397541</v>
      </c>
      <c r="R6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844017.32683561509</v>
      </c>
      <c r="S6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1846287.9024529078</v>
      </c>
      <c r="T6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3421317.7787930313</v>
      </c>
      <c r="U63" s="101">
        <f>CollectionCostTotal[[#This Row],[Customers]]*INDEX(ContainerMarginAdmin[Annual_Admin_Per_Customer],MATCH(CollectionCostTotal[[#This Row],[Collection_ID]],ContainerMarginAdmin[Collection_ID],0))*(IF(CollectionCostTotal[[#This Row],[Year]]=2025,SUMIFS(CustCntSrcs[Number],CustCntSrcs[Source_ID],$U$33),1))</f>
        <v>2108014.4292841442</v>
      </c>
      <c r="V63" s="101">
        <f>(SUMIFS(CustCntSrcs[Number],CustCntSrcs[Source_ID],$V$33)/(1-SUMIFS(CustCntSrcs[Number],CustCntSrcs[Source_ID],$V$33)))*SUM(CollectionCostTotal[[#This Row],[Collection_Labor]],CollectionCostTotal[[#This Row],[Annual_Container_Cost]],CollectionCostTotal[[#This Row],[Collection_Ops]])</f>
        <v>1747321.7900591295</v>
      </c>
      <c r="W6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15958169.631320911</v>
      </c>
      <c r="AA63" s="35"/>
      <c r="AD63" s="28"/>
    </row>
    <row r="64" spans="2:31" ht="15" x14ac:dyDescent="0.25">
      <c r="B64" s="209" t="str">
        <f>CollectionCostTotal[[#This Row],[Grouping_ID]]&amp;"-"&amp;CollectionCostTotal[[#This Row],[Sector_ID]]&amp;"-"&amp;CollectionCostTotal[[#This Row],[Frequency_ID]]&amp;"-"&amp;CollectionCostTotal[[#This Row],[SS_or_DS]]</f>
        <v>3-1-BM-DS</v>
      </c>
      <c r="C64" s="209" t="str">
        <f>CollectionCostTotal[[#This Row],[Grouping_ID]]&amp;"-"&amp;CollectionCostTotal[[#This Row],[Sector_ID]]&amp;"-"&amp;CollectionCostTotal[[#This Row],[SS_or_DS]]</f>
        <v>3-1-DS</v>
      </c>
      <c r="D64" s="35">
        <v>3</v>
      </c>
      <c r="E64" s="35" t="str">
        <f>INDEX(Grouping[Grouping_Name],MATCH(CollectionCostTotal[[#This Row],[Grouping_ID]],Grouping[Grouping_ID],0))</f>
        <v>3 - Other areas with curbside</v>
      </c>
      <c r="F64" s="35">
        <v>1</v>
      </c>
      <c r="G64" s="24" t="str">
        <f>INDEX(Sector[Sector_Name],MATCH(CollectionCostTotal[[#This Row],[Sector_ID]],Sector[Sector_ID],0))</f>
        <v>SF Res. (on-route)</v>
      </c>
      <c r="H64" s="288" t="s">
        <v>870</v>
      </c>
      <c r="I64" s="18" t="s">
        <v>808</v>
      </c>
      <c r="J64" s="35" t="s">
        <v>66</v>
      </c>
      <c r="K64" s="35" t="str">
        <f>INDEX(Frequency[Collection_Frequency],MATCH(CollectionCostTotal[[#This Row],[Frequency_ID]],Frequency[Orig_Frequency_ID],0)+(CollectionCostTotal[[#This Row],[SS_or_DS]]="DS")*COUNTA(Frequency[Orig_Frequency_ID])/2)</f>
        <v>Weekly (formerly bimonthly)</v>
      </c>
      <c r="L64" s="35">
        <v>2025</v>
      </c>
      <c r="M6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2720.856747132194</v>
      </c>
      <c r="N64" s="99">
        <f>SUMIFS(CustCntSrcs[Number],CustCntSrcs[Grouping_ID],CollectionCostTotal[[#This Row],[Grouping_ID]],CustCntSrcs[Sector_ID],CollectionCostTotal[[#This Row],[Sector_ID]])</f>
        <v>0.26100000000000001</v>
      </c>
      <c r="O64" s="100">
        <f>CollectionCostTotal[[#This Row],[Population]]*CollectionCostTotal[[#This Row],[Pct. Customers/Pop]]</f>
        <v>710.14361100150268</v>
      </c>
      <c r="P6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2780.8805248864328</v>
      </c>
      <c r="Q64" s="101">
        <f>CollectionCostTotal[[#This Row],[Customers]]*INDEX(LaborCostPerLift[Annual_Labor_Cost_Per_Customer],MATCH(CollectionCostTotal[[#This Row],[Collection_ID]],LaborCostPerLift[Collection_ID],0))*(IF(CollectionCostTotal[[#This Row],[Year]]=2025,SUMIFS(CustCntSrcs[Number],CustCntSrcs[Source_ID],$Q$33),1))</f>
        <v>44143.745702092849</v>
      </c>
      <c r="R6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6610.5502763014629</v>
      </c>
      <c r="S6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14460.578729409446</v>
      </c>
      <c r="T6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26796.598208131734</v>
      </c>
      <c r="U64" s="101">
        <f>CollectionCostTotal[[#This Row],[Customers]]*INDEX(ContainerMarginAdmin[Annual_Admin_Per_Customer],MATCH(CollectionCostTotal[[#This Row],[Collection_ID]],ContainerMarginAdmin[Collection_ID],0))*(IF(CollectionCostTotal[[#This Row],[Year]]=2025,SUMIFS(CustCntSrcs[Number],CustCntSrcs[Source_ID],$U$33),1))</f>
        <v>16510.484944897162</v>
      </c>
      <c r="V64" s="101">
        <f>(SUMIFS(CustCntSrcs[Number],CustCntSrcs[Source_ID],$V$33)/(1-SUMIFS(CustCntSrcs[Number],CustCntSrcs[Source_ID],$V$33)))*SUM(CollectionCostTotal[[#This Row],[Collection_Labor]],CollectionCostTotal[[#This Row],[Annual_Container_Cost]],CollectionCostTotal[[#This Row],[Collection_Ops]])</f>
        <v>13685.451915269303</v>
      </c>
      <c r="W6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124988.29030098839</v>
      </c>
      <c r="AA64" s="35"/>
      <c r="AD64" s="28"/>
    </row>
    <row r="65" spans="2:30" ht="15" x14ac:dyDescent="0.25">
      <c r="B65" s="209" t="str">
        <f>CollectionCostTotal[[#This Row],[Grouping_ID]]&amp;"-"&amp;CollectionCostTotal[[#This Row],[Sector_ID]]&amp;"-"&amp;CollectionCostTotal[[#This Row],[Frequency_ID]]&amp;"-"&amp;CollectionCostTotal[[#This Row],[SS_or_DS]]</f>
        <v>3-1-M-DS</v>
      </c>
      <c r="C65" s="209" t="str">
        <f>CollectionCostTotal[[#This Row],[Grouping_ID]]&amp;"-"&amp;CollectionCostTotal[[#This Row],[Sector_ID]]&amp;"-"&amp;CollectionCostTotal[[#This Row],[SS_or_DS]]</f>
        <v>3-1-DS</v>
      </c>
      <c r="D65" s="35">
        <v>3</v>
      </c>
      <c r="E65" s="35" t="str">
        <f>INDEX(Grouping[Grouping_Name],MATCH(CollectionCostTotal[[#This Row],[Grouping_ID]],Grouping[Grouping_ID],0))</f>
        <v>3 - Other areas with curbside</v>
      </c>
      <c r="F65" s="35">
        <v>1</v>
      </c>
      <c r="G65" s="24" t="str">
        <f>INDEX(Sector[Sector_Name],MATCH(CollectionCostTotal[[#This Row],[Sector_ID]],Sector[Sector_ID],0))</f>
        <v>SF Res. (on-route)</v>
      </c>
      <c r="H65" s="288" t="s">
        <v>870</v>
      </c>
      <c r="I65" s="18" t="s">
        <v>808</v>
      </c>
      <c r="J65" s="35" t="s">
        <v>67</v>
      </c>
      <c r="K65" s="35" t="str">
        <f>INDEX(Frequency[Collection_Frequency],MATCH(CollectionCostTotal[[#This Row],[Frequency_ID]],Frequency[Orig_Frequency_ID],0)+(CollectionCostTotal[[#This Row],[SS_or_DS]]="DS")*COUNTA(Frequency[Orig_Frequency_ID])/2)</f>
        <v>Weekly (formerly monthly)</v>
      </c>
      <c r="L65" s="35">
        <v>2025</v>
      </c>
      <c r="M6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8634.829400662129</v>
      </c>
      <c r="N65" s="99">
        <f>SUMIFS(CustCntSrcs[Number],CustCntSrcs[Grouping_ID],CollectionCostTotal[[#This Row],[Grouping_ID]],CustCntSrcs[Sector_ID],CollectionCostTotal[[#This Row],[Sector_ID]])</f>
        <v>0.26100000000000001</v>
      </c>
      <c r="O65" s="100">
        <f>CollectionCostTotal[[#This Row],[Population]]*CollectionCostTotal[[#This Row],[Pct. Customers/Pop]]</f>
        <v>2253.6904735728158</v>
      </c>
      <c r="P6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8825.319062213548</v>
      </c>
      <c r="Q65" s="101">
        <f>CollectionCostTotal[[#This Row],[Customers]]*INDEX(LaborCostPerLift[Annual_Labor_Cost_Per_Customer],MATCH(CollectionCostTotal[[#This Row],[Collection_ID]],LaborCostPerLift[Collection_ID],0))*(IF(CollectionCostTotal[[#This Row],[Year]]=2025,SUMIFS(CustCntSrcs[Number],CustCntSrcs[Source_ID],$Q$33),1))</f>
        <v>140093.26791847608</v>
      </c>
      <c r="R6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20979.044170747635</v>
      </c>
      <c r="S6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45891.659123510442</v>
      </c>
      <c r="T6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85040.880703913121</v>
      </c>
      <c r="U65" s="101">
        <f>CollectionCostTotal[[#This Row],[Customers]]*INDEX(ContainerMarginAdmin[Annual_Admin_Per_Customer],MATCH(CollectionCostTotal[[#This Row],[Collection_ID]],ContainerMarginAdmin[Collection_ID],0))*(IF(CollectionCostTotal[[#This Row],[Year]]=2025,SUMIFS(CustCntSrcs[Number],CustCntSrcs[Source_ID],$U$33),1))</f>
        <v>52397.180032227872</v>
      </c>
      <c r="V65" s="101">
        <f>(SUMIFS(CustCntSrcs[Number],CustCntSrcs[Source_ID],$V$33)/(1-SUMIFS(CustCntSrcs[Number],CustCntSrcs[Source_ID],$V$33)))*SUM(CollectionCostTotal[[#This Row],[Collection_Labor]],CollectionCostTotal[[#This Row],[Annual_Container_Cost]],CollectionCostTotal[[#This Row],[Collection_Ops]])</f>
        <v>43431.739904671202</v>
      </c>
      <c r="W6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396659.09091575991</v>
      </c>
      <c r="AA65" s="35"/>
      <c r="AD65" s="28"/>
    </row>
    <row r="66" spans="2:30" ht="15" x14ac:dyDescent="0.25">
      <c r="B66" s="210" t="str">
        <f>CollectionCostTotal[[#This Row],[Grouping_ID]]&amp;"-"&amp;CollectionCostTotal[[#This Row],[Sector_ID]]&amp;"-"&amp;CollectionCostTotal[[#This Row],[Frequency_ID]]&amp;"-"&amp;CollectionCostTotal[[#This Row],[SS_or_DS]]</f>
        <v>3-1-U-DS</v>
      </c>
      <c r="C66" s="210" t="str">
        <f>CollectionCostTotal[[#This Row],[Grouping_ID]]&amp;"-"&amp;CollectionCostTotal[[#This Row],[Sector_ID]]&amp;"-"&amp;CollectionCostTotal[[#This Row],[SS_or_DS]]</f>
        <v>3-1-DS</v>
      </c>
      <c r="D66" s="126">
        <v>3</v>
      </c>
      <c r="E66" s="126" t="str">
        <f>INDEX(Grouping[Grouping_Name],MATCH(CollectionCostTotal[[#This Row],[Grouping_ID]],Grouping[Grouping_ID],0))</f>
        <v>3 - Other areas with curbside</v>
      </c>
      <c r="F66" s="35">
        <v>1</v>
      </c>
      <c r="G66" s="127" t="str">
        <f>INDEX(Sector[Sector_Name],MATCH(CollectionCostTotal[[#This Row],[Sector_ID]],Sector[Sector_ID],0))</f>
        <v>SF Res. (on-route)</v>
      </c>
      <c r="H66" s="288" t="s">
        <v>870</v>
      </c>
      <c r="I66" s="18" t="s">
        <v>808</v>
      </c>
      <c r="J66" s="35" t="s">
        <v>65</v>
      </c>
      <c r="K66" s="126" t="str">
        <f>INDEX(Frequency[Collection_Frequency],MATCH(CollectionCostTotal[[#This Row],[Frequency_ID]],Frequency[Orig_Frequency_ID],0)+(CollectionCostTotal[[#This Row],[SS_or_DS]]="DS")*COUNTA(Frequency[Orig_Frequency_ID])/2)</f>
        <v>Uncertain</v>
      </c>
      <c r="L66" s="35">
        <v>2025</v>
      </c>
      <c r="M66" s="284">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66" s="285">
        <f>SUMIFS(CustCntSrcs[Number],CustCntSrcs[Grouping_ID],CollectionCostTotal[[#This Row],[Grouping_ID]],CustCntSrcs[Sector_ID],CollectionCostTotal[[#This Row],[Sector_ID]])</f>
        <v>0.26100000000000001</v>
      </c>
      <c r="O66" s="203">
        <f>CollectionCostTotal[[#This Row],[Population]]*CollectionCostTotal[[#This Row],[Pct. Customers/Pop]]</f>
        <v>0</v>
      </c>
      <c r="P66" s="286">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66" s="286">
        <f>CollectionCostTotal[[#This Row],[Customers]]*INDEX(LaborCostPerLift[Annual_Labor_Cost_Per_Customer],MATCH(CollectionCostTotal[[#This Row],[Collection_ID]],LaborCostPerLift[Collection_ID],0))*(IF(CollectionCostTotal[[#This Row],[Year]]=2025,SUMIFS(CustCntSrcs[Number],CustCntSrcs[Source_ID],$Q$33),1))</f>
        <v>0</v>
      </c>
      <c r="R66" s="286">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66" s="286">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66" s="286">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66" s="286">
        <f>CollectionCostTotal[[#This Row],[Customers]]*INDEX(ContainerMarginAdmin[Annual_Admin_Per_Customer],MATCH(CollectionCostTotal[[#This Row],[Collection_ID]],ContainerMarginAdmin[Collection_ID],0))*(IF(CollectionCostTotal[[#This Row],[Year]]=2025,SUMIFS(CustCntSrcs[Number],CustCntSrcs[Source_ID],$U$33),1))</f>
        <v>0</v>
      </c>
      <c r="V66" s="286">
        <f>(SUMIFS(CustCntSrcs[Number],CustCntSrcs[Source_ID],$V$33)/(1-SUMIFS(CustCntSrcs[Number],CustCntSrcs[Source_ID],$V$33)))*SUM(CollectionCostTotal[[#This Row],[Collection_Labor]],CollectionCostTotal[[#This Row],[Annual_Container_Cost]],CollectionCostTotal[[#This Row],[Collection_Ops]])</f>
        <v>0</v>
      </c>
      <c r="W66" s="287">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66" s="35"/>
      <c r="AD66" s="28"/>
    </row>
    <row r="67" spans="2:30" ht="15" x14ac:dyDescent="0.25">
      <c r="B67" s="208" t="str">
        <f>CollectionCostTotal[[#This Row],[Grouping_ID]]&amp;"-"&amp;CollectionCostTotal[[#This Row],[Sector_ID]]&amp;"-"&amp;CollectionCostTotal[[#This Row],[Frequency_ID]]&amp;"-"&amp;CollectionCostTotal[[#This Row],[SS_or_DS]]</f>
        <v>1-2-V-SS</v>
      </c>
      <c r="C67" s="208" t="str">
        <f>CollectionCostTotal[[#This Row],[Grouping_ID]]&amp;"-"&amp;CollectionCostTotal[[#This Row],[Sector_ID]]&amp;"-"&amp;CollectionCostTotal[[#This Row],[SS_or_DS]]</f>
        <v>1-2-SS</v>
      </c>
      <c r="D67" s="35">
        <v>1</v>
      </c>
      <c r="E67" s="35" t="str">
        <f>INDEX(Grouping[Grouping_Name],MATCH(CollectionCostTotal[[#This Row],[Grouping_ID]],Grouping[Grouping_ID],0))</f>
        <v>1 - Metro area</v>
      </c>
      <c r="F67" s="35">
        <v>2</v>
      </c>
      <c r="G67" s="35" t="str">
        <f>INDEX(Sector[Sector_Name],MATCH(CollectionCostTotal[[#This Row],[Sector_ID]],Sector[Sector_ID],0))</f>
        <v>MF Res. (on-route)</v>
      </c>
      <c r="H67" s="35" t="s">
        <v>876</v>
      </c>
      <c r="I67" s="18" t="s">
        <v>806</v>
      </c>
      <c r="J67" s="35" t="s">
        <v>91</v>
      </c>
      <c r="K67" s="35" t="str">
        <f>INDEX(Frequency[Collection_Frequency],MATCH(CollectionCostTotal[[#This Row],[Frequency_ID]],Frequency[Orig_Frequency_ID],0)+(CollectionCostTotal[[#This Row],[SS_or_DS]]="DS")*COUNTA(Frequency[Orig_Frequency_ID])/2)</f>
        <v>Varies by customer need</v>
      </c>
      <c r="L67" s="35">
        <v>2018</v>
      </c>
      <c r="M6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67" s="99">
        <f>SUMIFS(CustCntSrcs[Number],CustCntSrcs[Grouping_ID],CollectionCostTotal[[#This Row],[Grouping_ID]],CustCntSrcs[Sector_ID],CollectionCostTotal[[#This Row],[Sector_ID]])</f>
        <v>4.0829601659520629E-3</v>
      </c>
      <c r="O67" s="100">
        <f>CollectionCostTotal[[#This Row],[Population]]*CollectionCostTotal[[#This Row],[Pct. Customers/Pop]]</f>
        <v>6651.3217605832124</v>
      </c>
      <c r="P6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6651.3217605832124</v>
      </c>
      <c r="Q67" s="101">
        <f>CollectionCostTotal[[#This Row],[Customers]]*INDEX(LaborCostPerLift[Annual_Labor_Cost_Per_Customer],MATCH(CollectionCostTotal[[#This Row],[Collection_ID]],LaborCostPerLift[Collection_ID],0))*(IF(CollectionCostTotal[[#This Row],[Year]]=2025,SUMIFS(CustCntSrcs[Number],CustCntSrcs[Source_ID],$Q$33),1))</f>
        <v>2490954.355166534</v>
      </c>
      <c r="R6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81431.471111412888</v>
      </c>
      <c r="S6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544981.08480045199</v>
      </c>
      <c r="T6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1412417.2705413522</v>
      </c>
      <c r="U67" s="101">
        <f>CollectionCostTotal[[#This Row],[Customers]]*INDEX(ContainerMarginAdmin[Annual_Admin_Per_Customer],MATCH(CollectionCostTotal[[#This Row],[Collection_ID]],ContainerMarginAdmin[Collection_ID],0))*(IF(CollectionCostTotal[[#This Row],[Year]]=2025,SUMIFS(CustCntSrcs[Number],CustCntSrcs[Source_ID],$U$33),1))</f>
        <v>1352078.178873406</v>
      </c>
      <c r="V67" s="101">
        <f>(SUMIFS(CustCntSrcs[Number],CustCntSrcs[Source_ID],$V$33)/(1-SUMIFS(CustCntSrcs[Number],CustCntSrcs[Source_ID],$V$33)))*SUM(CollectionCostTotal[[#This Row],[Collection_Labor]],CollectionCostTotal[[#This Row],[Annual_Container_Cost]],CollectionCostTotal[[#This Row],[Collection_Ops]])</f>
        <v>703200.54649752344</v>
      </c>
      <c r="W6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6591714.2287512636</v>
      </c>
      <c r="AA67" s="35"/>
      <c r="AC67" s="28"/>
    </row>
    <row r="68" spans="2:30" ht="15" x14ac:dyDescent="0.25">
      <c r="B68" s="208" t="str">
        <f>CollectionCostTotal[[#This Row],[Grouping_ID]]&amp;"-"&amp;CollectionCostTotal[[#This Row],[Sector_ID]]&amp;"-"&amp;CollectionCostTotal[[#This Row],[Frequency_ID]]&amp;"-"&amp;CollectionCostTotal[[#This Row],[SS_or_DS]]</f>
        <v>1-3-V-SS</v>
      </c>
      <c r="C68" s="208" t="str">
        <f>CollectionCostTotal[[#This Row],[Grouping_ID]]&amp;"-"&amp;CollectionCostTotal[[#This Row],[Sector_ID]]&amp;"-"&amp;CollectionCostTotal[[#This Row],[SS_or_DS]]</f>
        <v>1-3-SS</v>
      </c>
      <c r="D68" s="35">
        <v>1</v>
      </c>
      <c r="E68" s="35" t="str">
        <f>INDEX(Grouping[Grouping_Name],MATCH(CollectionCostTotal[[#This Row],[Grouping_ID]],Grouping[Grouping_ID],0))</f>
        <v>1 - Metro area</v>
      </c>
      <c r="F68" s="35">
        <v>3</v>
      </c>
      <c r="G68" s="35" t="str">
        <f>INDEX(Sector[Sector_Name],MATCH(CollectionCostTotal[[#This Row],[Sector_ID]],Sector[Sector_ID],0))</f>
        <v>Commercial (on-route)</v>
      </c>
      <c r="H68" s="35" t="s">
        <v>876</v>
      </c>
      <c r="I68" s="18" t="s">
        <v>806</v>
      </c>
      <c r="J68" s="35" t="s">
        <v>91</v>
      </c>
      <c r="K68" s="35" t="str">
        <f>INDEX(Frequency[Collection_Frequency],MATCH(CollectionCostTotal[[#This Row],[Frequency_ID]],Frequency[Orig_Frequency_ID],0)+(CollectionCostTotal[[#This Row],[SS_or_DS]]="DS")*COUNTA(Frequency[Orig_Frequency_ID])/2)</f>
        <v>Varies by customer need</v>
      </c>
      <c r="L68" s="35">
        <v>2018</v>
      </c>
      <c r="M6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68" s="99">
        <f>SUMIFS(CustCntSrcs[Number],CustCntSrcs[Grouping_ID],CollectionCostTotal[[#This Row],[Grouping_ID]],CustCntSrcs[Sector_ID],CollectionCostTotal[[#This Row],[Sector_ID]])</f>
        <v>2.0077661123032196E-2</v>
      </c>
      <c r="O68" s="100">
        <f>CollectionCostTotal[[#This Row],[Population]]*CollectionCostTotal[[#This Row],[Pct. Customers/Pop]]</f>
        <v>32707.393386508858</v>
      </c>
      <c r="P6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32707.393386508858</v>
      </c>
      <c r="Q68" s="101">
        <f>CollectionCostTotal[[#This Row],[Customers]]*INDEX(LaborCostPerLift[Annual_Labor_Cost_Per_Customer],MATCH(CollectionCostTotal[[#This Row],[Collection_ID]],LaborCostPerLift[Collection_ID],0))*(IF(CollectionCostTotal[[#This Row],[Year]]=2025,SUMIFS(CustCntSrcs[Number],CustCntSrcs[Source_ID],$Q$33),1))</f>
        <v>12249087.765545944</v>
      </c>
      <c r="R6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400433.36581112491</v>
      </c>
      <c r="S6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2679905.042995811</v>
      </c>
      <c r="T6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6945459.7080632653</v>
      </c>
      <c r="U68" s="101">
        <f>CollectionCostTotal[[#This Row],[Customers]]*INDEX(ContainerMarginAdmin[Annual_Admin_Per_Customer],MATCH(CollectionCostTotal[[#This Row],[Collection_ID]],ContainerMarginAdmin[Collection_ID],0))*(IF(CollectionCostTotal[[#This Row],[Year]]=2025,SUMIFS(CustCntSrcs[Number],CustCntSrcs[Source_ID],$U$33),1))</f>
        <v>6648746.5916623091</v>
      </c>
      <c r="V68" s="101">
        <f>(SUMIFS(CustCntSrcs[Number],CustCntSrcs[Source_ID],$V$33)/(1-SUMIFS(CustCntSrcs[Number],CustCntSrcs[Source_ID],$V$33)))*SUM(CollectionCostTotal[[#This Row],[Collection_Labor]],CollectionCostTotal[[#This Row],[Annual_Container_Cost]],CollectionCostTotal[[#This Row],[Collection_Ops]])</f>
        <v>3457937.795191824</v>
      </c>
      <c r="W6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32414277.662656788</v>
      </c>
      <c r="AA68" s="35"/>
      <c r="AC68" s="28"/>
    </row>
    <row r="69" spans="2:30" ht="15" x14ac:dyDescent="0.25">
      <c r="B69" s="208" t="str">
        <f>CollectionCostTotal[[#This Row],[Grouping_ID]]&amp;"-"&amp;CollectionCostTotal[[#This Row],[Sector_ID]]&amp;"-"&amp;CollectionCostTotal[[#This Row],[Frequency_ID]]&amp;"-"&amp;CollectionCostTotal[[#This Row],[SS_or_DS]]</f>
        <v>2-2-V-SS</v>
      </c>
      <c r="C69" s="208" t="str">
        <f>CollectionCostTotal[[#This Row],[Grouping_ID]]&amp;"-"&amp;CollectionCostTotal[[#This Row],[Sector_ID]]&amp;"-"&amp;CollectionCostTotal[[#This Row],[SS_or_DS]]</f>
        <v>2-2-SS</v>
      </c>
      <c r="D69" s="35">
        <v>2</v>
      </c>
      <c r="E69" s="35" t="str">
        <f>INDEX(Grouping[Grouping_Name],MATCH(CollectionCostTotal[[#This Row],[Grouping_ID]],Grouping[Grouping_ID],0))</f>
        <v>2 - Willamette Valley, etc.</v>
      </c>
      <c r="F69" s="35">
        <v>2</v>
      </c>
      <c r="G69" s="35" t="str">
        <f>INDEX(Sector[Sector_Name],MATCH(CollectionCostTotal[[#This Row],[Sector_ID]],Sector[Sector_ID],0))</f>
        <v>MF Res. (on-route)</v>
      </c>
      <c r="H69" s="35" t="s">
        <v>876</v>
      </c>
      <c r="I69" s="18" t="s">
        <v>806</v>
      </c>
      <c r="J69" s="35" t="s">
        <v>91</v>
      </c>
      <c r="K69" s="35" t="str">
        <f>INDEX(Frequency[Collection_Frequency],MATCH(CollectionCostTotal[[#This Row],[Frequency_ID]],Frequency[Orig_Frequency_ID],0)+(CollectionCostTotal[[#This Row],[SS_or_DS]]="DS")*COUNTA(Frequency[Orig_Frequency_ID])/2)</f>
        <v>Varies by customer need</v>
      </c>
      <c r="L69" s="35">
        <v>2018</v>
      </c>
      <c r="M6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69" s="99">
        <f>SUMIFS(CustCntSrcs[Number],CustCntSrcs[Grouping_ID],CollectionCostTotal[[#This Row],[Grouping_ID]],CustCntSrcs[Sector_ID],CollectionCostTotal[[#This Row],[Sector_ID]])</f>
        <v>6.0000000000000001E-3</v>
      </c>
      <c r="O69" s="100">
        <f>CollectionCostTotal[[#This Row],[Population]]*CollectionCostTotal[[#This Row],[Pct. Customers/Pop]]</f>
        <v>8505.7620000000006</v>
      </c>
      <c r="P6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8505.7620000000006</v>
      </c>
      <c r="Q69" s="101">
        <f>CollectionCostTotal[[#This Row],[Customers]]*INDEX(LaborCostPerLift[Annual_Labor_Cost_Per_Customer],MATCH(CollectionCostTotal[[#This Row],[Collection_ID]],LaborCostPerLift[Collection_ID],0))*(IF(CollectionCostTotal[[#This Row],[Year]]=2025,SUMIFS(CustCntSrcs[Number],CustCntSrcs[Source_ID],$Q$33),1))</f>
        <v>2484428.6575199128</v>
      </c>
      <c r="R6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67026.257888873792</v>
      </c>
      <c r="S6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233114.19850566992</v>
      </c>
      <c r="T6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1469841.5193819131</v>
      </c>
      <c r="U69" s="101">
        <f>CollectionCostTotal[[#This Row],[Customers]]*INDEX(ContainerMarginAdmin[Annual_Admin_Per_Customer],MATCH(CollectionCostTotal[[#This Row],[Collection_ID]],ContainerMarginAdmin[Collection_ID],0))*(IF(CollectionCostTotal[[#This Row],[Year]]=2025,SUMIFS(CustCntSrcs[Number],CustCntSrcs[Source_ID],$U$33),1))</f>
        <v>1055350.2266511016</v>
      </c>
      <c r="V69" s="101">
        <f>(SUMIFS(CustCntSrcs[Number],CustCntSrcs[Source_ID],$V$33)/(1-SUMIFS(CustCntSrcs[Number],CustCntSrcs[Source_ID],$V$33)))*SUM(CollectionCostTotal[[#This Row],[Collection_Labor]],CollectionCostTotal[[#This Row],[Annual_Container_Cost]],CollectionCostTotal[[#This Row],[Collection_Ops]])</f>
        <v>709640.54731600592</v>
      </c>
      <c r="W6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6027907.1692634765</v>
      </c>
      <c r="AA69" s="35"/>
      <c r="AC69" s="28"/>
    </row>
    <row r="70" spans="2:30" ht="15" x14ac:dyDescent="0.25">
      <c r="B70" s="208" t="str">
        <f>CollectionCostTotal[[#This Row],[Grouping_ID]]&amp;"-"&amp;CollectionCostTotal[[#This Row],[Sector_ID]]&amp;"-"&amp;CollectionCostTotal[[#This Row],[Frequency_ID]]&amp;"-"&amp;CollectionCostTotal[[#This Row],[SS_or_DS]]</f>
        <v>2-3-V-SS</v>
      </c>
      <c r="C70" s="208" t="str">
        <f>CollectionCostTotal[[#This Row],[Grouping_ID]]&amp;"-"&amp;CollectionCostTotal[[#This Row],[Sector_ID]]&amp;"-"&amp;CollectionCostTotal[[#This Row],[SS_or_DS]]</f>
        <v>2-3-SS</v>
      </c>
      <c r="D70" s="35">
        <v>2</v>
      </c>
      <c r="E70" s="35" t="str">
        <f>INDEX(Grouping[Grouping_Name],MATCH(CollectionCostTotal[[#This Row],[Grouping_ID]],Grouping[Grouping_ID],0))</f>
        <v>2 - Willamette Valley, etc.</v>
      </c>
      <c r="F70" s="35">
        <v>3</v>
      </c>
      <c r="G70" s="35" t="str">
        <f>INDEX(Sector[Sector_Name],MATCH(CollectionCostTotal[[#This Row],[Sector_ID]],Sector[Sector_ID],0))</f>
        <v>Commercial (on-route)</v>
      </c>
      <c r="H70" s="35" t="s">
        <v>876</v>
      </c>
      <c r="I70" s="18" t="s">
        <v>806</v>
      </c>
      <c r="J70" s="35" t="s">
        <v>91</v>
      </c>
      <c r="K70" s="35" t="str">
        <f>INDEX(Frequency[Collection_Frequency],MATCH(CollectionCostTotal[[#This Row],[Frequency_ID]],Frequency[Orig_Frequency_ID],0)+(CollectionCostTotal[[#This Row],[SS_or_DS]]="DS")*COUNTA(Frequency[Orig_Frequency_ID])/2)</f>
        <v>Varies by customer need</v>
      </c>
      <c r="L70" s="35">
        <v>2018</v>
      </c>
      <c r="M7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70" s="99">
        <f>SUMIFS(CustCntSrcs[Number],CustCntSrcs[Grouping_ID],CollectionCostTotal[[#This Row],[Grouping_ID]],CustCntSrcs[Sector_ID],CollectionCostTotal[[#This Row],[Sector_ID]])</f>
        <v>1.5699999999999999E-2</v>
      </c>
      <c r="O70" s="100">
        <f>CollectionCostTotal[[#This Row],[Population]]*CollectionCostTotal[[#This Row],[Pct. Customers/Pop]]</f>
        <v>22256.743899999998</v>
      </c>
      <c r="P7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22256.743899999998</v>
      </c>
      <c r="Q70" s="101">
        <f>CollectionCostTotal[[#This Row],[Customers]]*INDEX(LaborCostPerLift[Annual_Labor_Cost_Per_Customer],MATCH(CollectionCostTotal[[#This Row],[Collection_ID]],LaborCostPerLift[Collection_ID],0))*(IF(CollectionCostTotal[[#This Row],[Year]]=2025,SUMIFS(CustCntSrcs[Number],CustCntSrcs[Source_ID],$Q$33),1))</f>
        <v>6500921.6538437707</v>
      </c>
      <c r="R7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175385.37480921971</v>
      </c>
      <c r="S7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609982.15275650285</v>
      </c>
      <c r="T7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3846085.3090493386</v>
      </c>
      <c r="U70" s="101">
        <f>CollectionCostTotal[[#This Row],[Customers]]*INDEX(ContainerMarginAdmin[Annual_Admin_Per_Customer],MATCH(CollectionCostTotal[[#This Row],[Collection_ID]],ContainerMarginAdmin[Collection_ID],0))*(IF(CollectionCostTotal[[#This Row],[Year]]=2025,SUMIFS(CustCntSrcs[Number],CustCntSrcs[Source_ID],$U$33),1))</f>
        <v>2761499.7597370488</v>
      </c>
      <c r="V70" s="101">
        <f>(SUMIFS(CustCntSrcs[Number],CustCntSrcs[Source_ID],$V$33)/(1-SUMIFS(CustCntSrcs[Number],CustCntSrcs[Source_ID],$V$33)))*SUM(CollectionCostTotal[[#This Row],[Collection_Labor]],CollectionCostTotal[[#This Row],[Annual_Container_Cost]],CollectionCostTotal[[#This Row],[Collection_Ops]])</f>
        <v>1856892.7654768815</v>
      </c>
      <c r="W7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15773023.759572763</v>
      </c>
      <c r="AA70" s="35"/>
      <c r="AC70" s="28"/>
    </row>
    <row r="71" spans="2:30" ht="15" x14ac:dyDescent="0.25">
      <c r="B71" s="208" t="str">
        <f>CollectionCostTotal[[#This Row],[Grouping_ID]]&amp;"-"&amp;CollectionCostTotal[[#This Row],[Sector_ID]]&amp;"-"&amp;CollectionCostTotal[[#This Row],[Frequency_ID]]&amp;"-"&amp;CollectionCostTotal[[#This Row],[SS_or_DS]]</f>
        <v>3-2-V-SS</v>
      </c>
      <c r="C71" s="208" t="str">
        <f>CollectionCostTotal[[#This Row],[Grouping_ID]]&amp;"-"&amp;CollectionCostTotal[[#This Row],[Sector_ID]]&amp;"-"&amp;CollectionCostTotal[[#This Row],[SS_or_DS]]</f>
        <v>3-2-SS</v>
      </c>
      <c r="D71" s="35">
        <v>3</v>
      </c>
      <c r="E71" s="35" t="str">
        <f>INDEX(Grouping[Grouping_Name],MATCH(CollectionCostTotal[[#This Row],[Grouping_ID]],Grouping[Grouping_ID],0))</f>
        <v>3 - Other areas with curbside</v>
      </c>
      <c r="F71" s="35">
        <v>2</v>
      </c>
      <c r="G71" s="35" t="str">
        <f>INDEX(Sector[Sector_Name],MATCH(CollectionCostTotal[[#This Row],[Sector_ID]],Sector[Sector_ID],0))</f>
        <v>MF Res. (on-route)</v>
      </c>
      <c r="H71" s="35" t="s">
        <v>876</v>
      </c>
      <c r="I71" s="18" t="s">
        <v>806</v>
      </c>
      <c r="J71" s="35" t="s">
        <v>91</v>
      </c>
      <c r="K71" s="35" t="str">
        <f>INDEX(Frequency[Collection_Frequency],MATCH(CollectionCostTotal[[#This Row],[Frequency_ID]],Frequency[Orig_Frequency_ID],0)+(CollectionCostTotal[[#This Row],[SS_or_DS]]="DS")*COUNTA(Frequency[Orig_Frequency_ID])/2)</f>
        <v>Varies by customer need</v>
      </c>
      <c r="L71" s="35">
        <v>2018</v>
      </c>
      <c r="M7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71" s="99">
        <f>SUMIFS(CustCntSrcs[Number],CustCntSrcs[Grouping_ID],CollectionCostTotal[[#This Row],[Grouping_ID]],CustCntSrcs[Sector_ID],CollectionCostTotal[[#This Row],[Sector_ID]])</f>
        <v>2.5000000000000001E-3</v>
      </c>
      <c r="O71" s="100">
        <f>CollectionCostTotal[[#This Row],[Population]]*CollectionCostTotal[[#This Row],[Pct. Customers/Pop]]</f>
        <v>1346.3175000000001</v>
      </c>
      <c r="P7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1346.3175000000001</v>
      </c>
      <c r="Q71" s="101">
        <f>CollectionCostTotal[[#This Row],[Customers]]*INDEX(LaborCostPerLift[Annual_Labor_Cost_Per_Customer],MATCH(CollectionCostTotal[[#This Row],[Collection_ID]],LaborCostPerLift[Collection_ID],0))*(IF(CollectionCostTotal[[#This Row],[Year]]=2025,SUMIFS(CustCntSrcs[Number],CustCntSrcs[Source_ID],$Q$33),1))</f>
        <v>517311.5653175824</v>
      </c>
      <c r="R7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26582.315506326533</v>
      </c>
      <c r="S7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59722.625982755104</v>
      </c>
      <c r="T7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278723.18468612252</v>
      </c>
      <c r="U71" s="101">
        <f>CollectionCostTotal[[#This Row],[Customers]]*INDEX(ContainerMarginAdmin[Annual_Admin_Per_Customer],MATCH(CollectionCostTotal[[#This Row],[Collection_ID]],ContainerMarginAdmin[Collection_ID],0))*(IF(CollectionCostTotal[[#This Row],[Year]]=2025,SUMIFS(CustCntSrcs[Number],CustCntSrcs[Source_ID],$U$33),1))</f>
        <v>248380.4336745117</v>
      </c>
      <c r="V71" s="101">
        <f>(SUMIFS(CustCntSrcs[Number],CustCntSrcs[Source_ID],$V$33)/(1-SUMIFS(CustCntSrcs[Number],CustCntSrcs[Source_ID],$V$33)))*SUM(CollectionCostTotal[[#This Row],[Collection_Labor]],CollectionCostTotal[[#This Row],[Annual_Container_Cost]],CollectionCostTotal[[#This Row],[Collection_Ops]])</f>
        <v>145167.71744294674</v>
      </c>
      <c r="W7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1277234.160110245</v>
      </c>
      <c r="AA71" s="35"/>
      <c r="AC71" s="28"/>
    </row>
    <row r="72" spans="2:30" ht="15" x14ac:dyDescent="0.25">
      <c r="B72" s="208" t="str">
        <f>CollectionCostTotal[[#This Row],[Grouping_ID]]&amp;"-"&amp;CollectionCostTotal[[#This Row],[Sector_ID]]&amp;"-"&amp;CollectionCostTotal[[#This Row],[Frequency_ID]]&amp;"-"&amp;CollectionCostTotal[[#This Row],[SS_or_DS]]</f>
        <v>3-3-V-SS</v>
      </c>
      <c r="C72" s="208" t="str">
        <f>CollectionCostTotal[[#This Row],[Grouping_ID]]&amp;"-"&amp;CollectionCostTotal[[#This Row],[Sector_ID]]&amp;"-"&amp;CollectionCostTotal[[#This Row],[SS_or_DS]]</f>
        <v>3-3-SS</v>
      </c>
      <c r="D72" s="35">
        <v>3</v>
      </c>
      <c r="E72" s="35" t="str">
        <f>INDEX(Grouping[Grouping_Name],MATCH(CollectionCostTotal[[#This Row],[Grouping_ID]],Grouping[Grouping_ID],0))</f>
        <v>3 - Other areas with curbside</v>
      </c>
      <c r="F72" s="35">
        <v>3</v>
      </c>
      <c r="G72" s="35" t="str">
        <f>INDEX(Sector[Sector_Name],MATCH(CollectionCostTotal[[#This Row],[Sector_ID]],Sector[Sector_ID],0))</f>
        <v>Commercial (on-route)</v>
      </c>
      <c r="H72" s="35" t="s">
        <v>876</v>
      </c>
      <c r="I72" s="18" t="s">
        <v>806</v>
      </c>
      <c r="J72" s="35" t="s">
        <v>91</v>
      </c>
      <c r="K72" s="35" t="str">
        <f>INDEX(Frequency[Collection_Frequency],MATCH(CollectionCostTotal[[#This Row],[Frequency_ID]],Frequency[Orig_Frequency_ID],0)+(CollectionCostTotal[[#This Row],[SS_or_DS]]="DS")*COUNTA(Frequency[Orig_Frequency_ID])/2)</f>
        <v>Varies by customer need</v>
      </c>
      <c r="L72" s="35">
        <v>2018</v>
      </c>
      <c r="M7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72" s="99">
        <f>SUMIFS(CustCntSrcs[Number],CustCntSrcs[Grouping_ID],CollectionCostTotal[[#This Row],[Grouping_ID]],CustCntSrcs[Sector_ID],CollectionCostTotal[[#This Row],[Sector_ID]])</f>
        <v>1.5900000000000001E-2</v>
      </c>
      <c r="O72" s="100">
        <f>CollectionCostTotal[[#This Row],[Population]]*CollectionCostTotal[[#This Row],[Pct. Customers/Pop]]</f>
        <v>8562.5793000000012</v>
      </c>
      <c r="P7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8562.5793000000012</v>
      </c>
      <c r="Q72" s="101">
        <f>CollectionCostTotal[[#This Row],[Customers]]*INDEX(LaborCostPerLift[Annual_Labor_Cost_Per_Customer],MATCH(CollectionCostTotal[[#This Row],[Collection_ID]],LaborCostPerLift[Collection_ID],0))*(IF(CollectionCostTotal[[#This Row],[Year]]=2025,SUMIFS(CustCntSrcs[Number],CustCntSrcs[Source_ID],$Q$33),1))</f>
        <v>3290101.5554198241</v>
      </c>
      <c r="R7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169063.52662023678</v>
      </c>
      <c r="S7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379835.90125032252</v>
      </c>
      <c r="T7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1772679.4546037393</v>
      </c>
      <c r="U72" s="101">
        <f>CollectionCostTotal[[#This Row],[Customers]]*INDEX(ContainerMarginAdmin[Annual_Admin_Per_Customer],MATCH(CollectionCostTotal[[#This Row],[Collection_ID]],ContainerMarginAdmin[Collection_ID],0))*(IF(CollectionCostTotal[[#This Row],[Year]]=2025,SUMIFS(CustCntSrcs[Number],CustCntSrcs[Source_ID],$U$33),1))</f>
        <v>1579699.5581698946</v>
      </c>
      <c r="V72" s="101">
        <f>(SUMIFS(CustCntSrcs[Number],CustCntSrcs[Source_ID],$V$33)/(1-SUMIFS(CustCntSrcs[Number],CustCntSrcs[Source_ID],$V$33)))*SUM(CollectionCostTotal[[#This Row],[Collection_Labor]],CollectionCostTotal[[#This Row],[Annual_Container_Cost]],CollectionCostTotal[[#This Row],[Collection_Ops]])</f>
        <v>923266.68293714128</v>
      </c>
      <c r="W7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8123209.2583011584</v>
      </c>
      <c r="AA72" s="35"/>
      <c r="AC72" s="28"/>
    </row>
    <row r="73" spans="2:30" ht="15" x14ac:dyDescent="0.25">
      <c r="B73" s="209" t="str">
        <f>CollectionCostTotal[[#This Row],[Grouping_ID]]&amp;"-"&amp;CollectionCostTotal[[#This Row],[Sector_ID]]&amp;"-"&amp;CollectionCostTotal[[#This Row],[Frequency_ID]]&amp;"-"&amp;CollectionCostTotal[[#This Row],[SS_or_DS]]</f>
        <v>1-1-W-SS</v>
      </c>
      <c r="C73" s="209" t="str">
        <f>CollectionCostTotal[[#This Row],[Grouping_ID]]&amp;"-"&amp;CollectionCostTotal[[#This Row],[Sector_ID]]&amp;"-"&amp;CollectionCostTotal[[#This Row],[SS_or_DS]]</f>
        <v>1-1-SS</v>
      </c>
      <c r="D73" s="35">
        <v>1</v>
      </c>
      <c r="E73" s="35" t="str">
        <f>INDEX(Grouping[Grouping_Name],MATCH(CollectionCostTotal[[#This Row],[Grouping_ID]],Grouping[Grouping_ID],0))</f>
        <v>1 - Metro area</v>
      </c>
      <c r="F73" s="35">
        <v>1</v>
      </c>
      <c r="G73" s="24" t="str">
        <f>INDEX(Sector[Sector_Name],MATCH(CollectionCostTotal[[#This Row],[Sector_ID]],Sector[Sector_ID],0))</f>
        <v>SF Res. (on-route)</v>
      </c>
      <c r="H73" s="35" t="s">
        <v>876</v>
      </c>
      <c r="I73" s="18" t="s">
        <v>806</v>
      </c>
      <c r="J73" s="35" t="s">
        <v>64</v>
      </c>
      <c r="K73" s="35" t="str">
        <f>INDEX(Frequency[Collection_Frequency],MATCH(CollectionCostTotal[[#This Row],[Frequency_ID]],Frequency[Orig_Frequency_ID],0)+(CollectionCostTotal[[#This Row],[SS_or_DS]]="DS")*COUNTA(Frequency[Orig_Frequency_ID])/2)</f>
        <v>Weekly</v>
      </c>
      <c r="L73" s="35">
        <v>2018</v>
      </c>
      <c r="M7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1283440</v>
      </c>
      <c r="N73" s="99">
        <f>SUMIFS(CustCntSrcs[Number],CustCntSrcs[Grouping_ID],CollectionCostTotal[[#This Row],[Grouping_ID]],CustCntSrcs[Sector_ID],CollectionCostTotal[[#This Row],[Sector_ID]])</f>
        <v>0.26339829285649385</v>
      </c>
      <c r="O73" s="100">
        <f>CollectionCostTotal[[#This Row],[Population]]*CollectionCostTotal[[#This Row],[Pct. Customers/Pop]]</f>
        <v>338055.9049837385</v>
      </c>
      <c r="P7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338055.9049837385</v>
      </c>
      <c r="Q73" s="101">
        <f>CollectionCostTotal[[#This Row],[Customers]]*INDEX(LaborCostPerLift[Annual_Labor_Cost_Per_Customer],MATCH(CollectionCostTotal[[#This Row],[Collection_ID]],LaborCostPerLift[Collection_ID],0))*(IF(CollectionCostTotal[[#This Row],[Year]]=2025,SUMIFS(CustCntSrcs[Number],CustCntSrcs[Source_ID],$Q$33),1))</f>
        <v>11847984.666517725</v>
      </c>
      <c r="R7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680427.7533439151</v>
      </c>
      <c r="S7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3581094.782715695</v>
      </c>
      <c r="T7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4899111.4154808819</v>
      </c>
      <c r="U73" s="101">
        <f>CollectionCostTotal[[#This Row],[Customers]]*INDEX(ContainerMarginAdmin[Annual_Admin_Per_Customer],MATCH(CollectionCostTotal[[#This Row],[Collection_ID]],ContainerMarginAdmin[Collection_ID],0))*(IF(CollectionCostTotal[[#This Row],[Year]]=2025,SUMIFS(CustCntSrcs[Number],CustCntSrcs[Source_ID],$U$33),1))</f>
        <v>4733849.20131269</v>
      </c>
      <c r="V73" s="101">
        <f>(SUMIFS(CustCntSrcs[Number],CustCntSrcs[Source_ID],$V$33)/(1-SUMIFS(CustCntSrcs[Number],CustCntSrcs[Source_ID],$V$33)))*SUM(CollectionCostTotal[[#This Row],[Collection_Labor]],CollectionCostTotal[[#This Row],[Annual_Container_Cost]],CollectionCostTotal[[#This Row],[Collection_Ops]])</f>
        <v>3075445.3827075041</v>
      </c>
      <c r="W7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29155969.10706215</v>
      </c>
      <c r="AA73" s="35"/>
      <c r="AC73" s="28"/>
    </row>
    <row r="74" spans="2:30" ht="15" x14ac:dyDescent="0.25">
      <c r="B74" s="209" t="str">
        <f>CollectionCostTotal[[#This Row],[Grouping_ID]]&amp;"-"&amp;CollectionCostTotal[[#This Row],[Sector_ID]]&amp;"-"&amp;CollectionCostTotal[[#This Row],[Frequency_ID]]&amp;"-"&amp;CollectionCostTotal[[#This Row],[SS_or_DS]]</f>
        <v>1-1-E-SS</v>
      </c>
      <c r="C74" s="209" t="str">
        <f>CollectionCostTotal[[#This Row],[Grouping_ID]]&amp;"-"&amp;CollectionCostTotal[[#This Row],[Sector_ID]]&amp;"-"&amp;CollectionCostTotal[[#This Row],[SS_or_DS]]</f>
        <v>1-1-SS</v>
      </c>
      <c r="D74" s="35">
        <v>1</v>
      </c>
      <c r="E74" s="35" t="str">
        <f>INDEX(Grouping[Grouping_Name],MATCH(CollectionCostTotal[[#This Row],[Grouping_ID]],Grouping[Grouping_ID],0))</f>
        <v>1 - Metro area</v>
      </c>
      <c r="F74" s="35">
        <v>1</v>
      </c>
      <c r="G74" s="24" t="str">
        <f>INDEX(Sector[Sector_Name],MATCH(CollectionCostTotal[[#This Row],[Sector_ID]],Sector[Sector_ID],0))</f>
        <v>SF Res. (on-route)</v>
      </c>
      <c r="H74" s="35" t="s">
        <v>876</v>
      </c>
      <c r="I74" s="18" t="s">
        <v>806</v>
      </c>
      <c r="J74" s="35" t="s">
        <v>53</v>
      </c>
      <c r="K74" s="35" t="str">
        <f>INDEX(Frequency[Collection_Frequency],MATCH(CollectionCostTotal[[#This Row],[Frequency_ID]],Frequency[Orig_Frequency_ID],0)+(CollectionCostTotal[[#This Row],[SS_or_DS]]="DS")*COUNTA(Frequency[Orig_Frequency_ID])/2)</f>
        <v>Every other week</v>
      </c>
      <c r="L74" s="35">
        <v>2018</v>
      </c>
      <c r="M7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345604</v>
      </c>
      <c r="N74" s="99">
        <f>SUMIFS(CustCntSrcs[Number],CustCntSrcs[Grouping_ID],CollectionCostTotal[[#This Row],[Grouping_ID]],CustCntSrcs[Sector_ID],CollectionCostTotal[[#This Row],[Sector_ID]])</f>
        <v>0.26339829285649385</v>
      </c>
      <c r="O74" s="100">
        <f>CollectionCostTotal[[#This Row],[Population]]*CollectionCostTotal[[#This Row],[Pct. Customers/Pop]]</f>
        <v>91031.503604375699</v>
      </c>
      <c r="P7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91031.503604375699</v>
      </c>
      <c r="Q74" s="101">
        <f>CollectionCostTotal[[#This Row],[Customers]]*INDEX(LaborCostPerLift[Annual_Labor_Cost_Per_Customer],MATCH(CollectionCostTotal[[#This Row],[Collection_ID]],LaborCostPerLift[Collection_ID],0))*(IF(CollectionCostTotal[[#This Row],[Year]]=2025,SUMIFS(CustCntSrcs[Number],CustCntSrcs[Source_ID],$Q$33),1))</f>
        <v>2387968.0110342316</v>
      </c>
      <c r="R7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210901.19683947865</v>
      </c>
      <c r="S7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411651.82495639846</v>
      </c>
      <c r="T7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1165793.0456836959</v>
      </c>
      <c r="U74" s="101">
        <f>CollectionCostTotal[[#This Row],[Customers]]*INDEX(ContainerMarginAdmin[Annual_Admin_Per_Customer],MATCH(CollectionCostTotal[[#This Row],[Collection_ID]],ContainerMarginAdmin[Collection_ID],0))*(IF(CollectionCostTotal[[#This Row],[Year]]=2025,SUMIFS(CustCntSrcs[Number],CustCntSrcs[Source_ID],$U$33),1))</f>
        <v>906748.5115337685</v>
      </c>
      <c r="V74" s="101">
        <f>(SUMIFS(CustCntSrcs[Number],CustCntSrcs[Source_ID],$V$33)/(1-SUMIFS(CustCntSrcs[Number],CustCntSrcs[Source_ID],$V$33)))*SUM(CollectionCostTotal[[#This Row],[Collection_Labor]],CollectionCostTotal[[#This Row],[Annual_Container_Cost]],CollectionCostTotal[[#This Row],[Collection_Ops]])</f>
        <v>664352.16239248356</v>
      </c>
      <c r="W7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5838446.2560444325</v>
      </c>
      <c r="AA74" s="35"/>
      <c r="AC74" s="28"/>
    </row>
    <row r="75" spans="2:30" ht="15" x14ac:dyDescent="0.25">
      <c r="B75" s="209" t="str">
        <f>CollectionCostTotal[[#This Row],[Grouping_ID]]&amp;"-"&amp;CollectionCostTotal[[#This Row],[Sector_ID]]&amp;"-"&amp;CollectionCostTotal[[#This Row],[Frequency_ID]]&amp;"-"&amp;CollectionCostTotal[[#This Row],[SS_or_DS]]</f>
        <v>2-1-W-SS</v>
      </c>
      <c r="C75" s="209" t="str">
        <f>CollectionCostTotal[[#This Row],[Grouping_ID]]&amp;"-"&amp;CollectionCostTotal[[#This Row],[Sector_ID]]&amp;"-"&amp;CollectionCostTotal[[#This Row],[SS_or_DS]]</f>
        <v>2-1-SS</v>
      </c>
      <c r="D75" s="35">
        <v>2</v>
      </c>
      <c r="E75" s="35" t="str">
        <f>INDEX(Grouping[Grouping_Name],MATCH(CollectionCostTotal[[#This Row],[Grouping_ID]],Grouping[Grouping_ID],0))</f>
        <v>2 - Willamette Valley, etc.</v>
      </c>
      <c r="F75" s="35">
        <v>1</v>
      </c>
      <c r="G75" s="24" t="str">
        <f>INDEX(Sector[Sector_Name],MATCH(CollectionCostTotal[[#This Row],[Sector_ID]],Sector[Sector_ID],0))</f>
        <v>SF Res. (on-route)</v>
      </c>
      <c r="H75" s="35" t="s">
        <v>876</v>
      </c>
      <c r="I75" s="18" t="s">
        <v>806</v>
      </c>
      <c r="J75" s="35" t="s">
        <v>64</v>
      </c>
      <c r="K75" s="35" t="str">
        <f>INDEX(Frequency[Collection_Frequency],MATCH(CollectionCostTotal[[#This Row],[Frequency_ID]],Frequency[Orig_Frequency_ID],0)+(CollectionCostTotal[[#This Row],[SS_or_DS]]="DS")*COUNTA(Frequency[Orig_Frequency_ID])/2)</f>
        <v>Weekly</v>
      </c>
      <c r="L75" s="35">
        <v>2018</v>
      </c>
      <c r="M7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342858</v>
      </c>
      <c r="N75" s="99">
        <f>SUMIFS(CustCntSrcs[Number],CustCntSrcs[Grouping_ID],CollectionCostTotal[[#This Row],[Grouping_ID]],CustCntSrcs[Sector_ID],CollectionCostTotal[[#This Row],[Sector_ID]])</f>
        <v>0.25090000000000001</v>
      </c>
      <c r="O75" s="100">
        <f>CollectionCostTotal[[#This Row],[Population]]*CollectionCostTotal[[#This Row],[Pct. Customers/Pop]]</f>
        <v>86023.07220000001</v>
      </c>
      <c r="P7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86023.07220000001</v>
      </c>
      <c r="Q75" s="101">
        <f>CollectionCostTotal[[#This Row],[Customers]]*INDEX(LaborCostPerLift[Annual_Labor_Cost_Per_Customer],MATCH(CollectionCostTotal[[#This Row],[Collection_ID]],LaborCostPerLift[Collection_ID],0))*(IF(CollectionCostTotal[[#This Row],[Year]]=2025,SUMIFS(CustCntSrcs[Number],CustCntSrcs[Source_ID],$Q$33),1))</f>
        <v>2939102.2858636375</v>
      </c>
      <c r="R7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230161.37140289583</v>
      </c>
      <c r="S7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615247.99862648116</v>
      </c>
      <c r="T7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1898791.3813044368</v>
      </c>
      <c r="U75" s="101">
        <f>CollectionCostTotal[[#This Row],[Customers]]*INDEX(ContainerMarginAdmin[Annual_Admin_Per_Customer],MATCH(CollectionCostTotal[[#This Row],[Collection_ID]],ContainerMarginAdmin[Collection_ID],0))*(IF(CollectionCostTotal[[#This Row],[Year]]=2025,SUMIFS(CustCntSrcs[Number],CustCntSrcs[Source_ID],$U$33),1))</f>
        <v>1330369.1964042785</v>
      </c>
      <c r="V75" s="101">
        <f>(SUMIFS(CustCntSrcs[Number],CustCntSrcs[Source_ID],$V$33)/(1-SUMIFS(CustCntSrcs[Number],CustCntSrcs[Source_ID],$V$33)))*SUM(CollectionCostTotal[[#This Row],[Collection_Labor]],CollectionCostTotal[[#This Row],[Annual_Container_Cost]],CollectionCostTotal[[#This Row],[Collection_Ops]])</f>
        <v>894362.65386546543</v>
      </c>
      <c r="W7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7994057.9596671946</v>
      </c>
      <c r="AA75" s="35"/>
      <c r="AC75" s="28"/>
    </row>
    <row r="76" spans="2:30" ht="15" x14ac:dyDescent="0.25">
      <c r="B76" s="209" t="str">
        <f>CollectionCostTotal[[#This Row],[Grouping_ID]]&amp;"-"&amp;CollectionCostTotal[[#This Row],[Sector_ID]]&amp;"-"&amp;CollectionCostTotal[[#This Row],[Frequency_ID]]&amp;"-"&amp;CollectionCostTotal[[#This Row],[SS_or_DS]]</f>
        <v>2-1-E-SS</v>
      </c>
      <c r="C76" s="209" t="str">
        <f>CollectionCostTotal[[#This Row],[Grouping_ID]]&amp;"-"&amp;CollectionCostTotal[[#This Row],[Sector_ID]]&amp;"-"&amp;CollectionCostTotal[[#This Row],[SS_or_DS]]</f>
        <v>2-1-SS</v>
      </c>
      <c r="D76" s="35">
        <v>2</v>
      </c>
      <c r="E76" s="35" t="str">
        <f>INDEX(Grouping[Grouping_Name],MATCH(CollectionCostTotal[[#This Row],[Grouping_ID]],Grouping[Grouping_ID],0))</f>
        <v>2 - Willamette Valley, etc.</v>
      </c>
      <c r="F76" s="35">
        <v>1</v>
      </c>
      <c r="G76" s="24" t="str">
        <f>INDEX(Sector[Sector_Name],MATCH(CollectionCostTotal[[#This Row],[Sector_ID]],Sector[Sector_ID],0))</f>
        <v>SF Res. (on-route)</v>
      </c>
      <c r="H76" s="35" t="s">
        <v>876</v>
      </c>
      <c r="I76" s="18" t="s">
        <v>806</v>
      </c>
      <c r="J76" s="35" t="s">
        <v>53</v>
      </c>
      <c r="K76" s="35" t="str">
        <f>INDEX(Frequency[Collection_Frequency],MATCH(CollectionCostTotal[[#This Row],[Frequency_ID]],Frequency[Orig_Frequency_ID],0)+(CollectionCostTotal[[#This Row],[SS_or_DS]]="DS")*COUNTA(Frequency[Orig_Frequency_ID])/2)</f>
        <v>Every other week</v>
      </c>
      <c r="L76" s="35">
        <v>2018</v>
      </c>
      <c r="M7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1074769</v>
      </c>
      <c r="N76" s="99">
        <f>SUMIFS(CustCntSrcs[Number],CustCntSrcs[Grouping_ID],CollectionCostTotal[[#This Row],[Grouping_ID]],CustCntSrcs[Sector_ID],CollectionCostTotal[[#This Row],[Sector_ID]])</f>
        <v>0.25090000000000001</v>
      </c>
      <c r="O76" s="100">
        <f>CollectionCostTotal[[#This Row],[Population]]*CollectionCostTotal[[#This Row],[Pct. Customers/Pop]]</f>
        <v>269659.54210000002</v>
      </c>
      <c r="P7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269659.54210000002</v>
      </c>
      <c r="Q76" s="101">
        <f>CollectionCostTotal[[#This Row],[Customers]]*INDEX(LaborCostPerLift[Annual_Labor_Cost_Per_Customer],MATCH(CollectionCostTotal[[#This Row],[Collection_ID]],LaborCostPerLift[Collection_ID],0))*(IF(CollectionCostTotal[[#This Row],[Year]]=2025,SUMIFS(CustCntSrcs[Number],CustCntSrcs[Source_ID],$Q$33),1))</f>
        <v>7148661.7967732456</v>
      </c>
      <c r="R7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532630.14926889539</v>
      </c>
      <c r="S7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1423782.0679829714</v>
      </c>
      <c r="T7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4394106.3206662387</v>
      </c>
      <c r="U76" s="101">
        <f>CollectionCostTotal[[#This Row],[Customers]]*INDEX(ContainerMarginAdmin[Annual_Admin_Per_Customer],MATCH(CollectionCostTotal[[#This Row],[Collection_ID]],ContainerMarginAdmin[Collection_ID],0))*(IF(CollectionCostTotal[[#This Row],[Year]]=2025,SUMIFS(CustCntSrcs[Number],CustCntSrcs[Source_ID],$U$33),1))</f>
        <v>2916391.345942996</v>
      </c>
      <c r="V76" s="101">
        <f>(SUMIFS(CustCntSrcs[Number],CustCntSrcs[Source_ID],$V$33)/(1-SUMIFS(CustCntSrcs[Number],CustCntSrcs[Source_ID],$V$33)))*SUM(CollectionCostTotal[[#This Row],[Collection_Labor]],CollectionCostTotal[[#This Row],[Annual_Container_Cost]],CollectionCostTotal[[#This Row],[Collection_Ops]])</f>
        <v>2130952.6353014787</v>
      </c>
      <c r="W7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18816183.858035825</v>
      </c>
      <c r="AA76" s="35"/>
      <c r="AC76" s="28"/>
    </row>
    <row r="77" spans="2:30" ht="15" x14ac:dyDescent="0.25">
      <c r="B77" s="209" t="str">
        <f>CollectionCostTotal[[#This Row],[Grouping_ID]]&amp;"-"&amp;CollectionCostTotal[[#This Row],[Sector_ID]]&amp;"-"&amp;CollectionCostTotal[[#This Row],[Frequency_ID]]&amp;"-"&amp;CollectionCostTotal[[#This Row],[SS_or_DS]]</f>
        <v>2-1-U-SS</v>
      </c>
      <c r="C77" s="209" t="str">
        <f>CollectionCostTotal[[#This Row],[Grouping_ID]]&amp;"-"&amp;CollectionCostTotal[[#This Row],[Sector_ID]]&amp;"-"&amp;CollectionCostTotal[[#This Row],[SS_or_DS]]</f>
        <v>2-1-SS</v>
      </c>
      <c r="D77" s="35">
        <v>2</v>
      </c>
      <c r="E77" s="35" t="str">
        <f>INDEX(Grouping[Grouping_Name],MATCH(CollectionCostTotal[[#This Row],[Grouping_ID]],Grouping[Grouping_ID],0))</f>
        <v>2 - Willamette Valley, etc.</v>
      </c>
      <c r="F77" s="35">
        <v>1</v>
      </c>
      <c r="G77" s="24" t="str">
        <f>INDEX(Sector[Sector_Name],MATCH(CollectionCostTotal[[#This Row],[Sector_ID]],Sector[Sector_ID],0))</f>
        <v>SF Res. (on-route)</v>
      </c>
      <c r="H77" s="35" t="s">
        <v>876</v>
      </c>
      <c r="I77" s="18" t="s">
        <v>806</v>
      </c>
      <c r="J77" s="35" t="s">
        <v>65</v>
      </c>
      <c r="K77" s="35" t="str">
        <f>INDEX(Frequency[Collection_Frequency],MATCH(CollectionCostTotal[[#This Row],[Frequency_ID]],Frequency[Orig_Frequency_ID],0)+(CollectionCostTotal[[#This Row],[SS_or_DS]]="DS")*COUNTA(Frequency[Orig_Frequency_ID])/2)</f>
        <v>Uncertain</v>
      </c>
      <c r="L77" s="35">
        <v>2018</v>
      </c>
      <c r="M7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77" s="99">
        <f>SUMIFS(CustCntSrcs[Number],CustCntSrcs[Grouping_ID],CollectionCostTotal[[#This Row],[Grouping_ID]],CustCntSrcs[Sector_ID],CollectionCostTotal[[#This Row],[Sector_ID]])</f>
        <v>0.25090000000000001</v>
      </c>
      <c r="O77" s="100">
        <f>CollectionCostTotal[[#This Row],[Population]]*CollectionCostTotal[[#This Row],[Pct. Customers/Pop]]</f>
        <v>0</v>
      </c>
      <c r="P7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77" s="101">
        <f>CollectionCostTotal[[#This Row],[Customers]]*INDEX(LaborCostPerLift[Annual_Labor_Cost_Per_Customer],MATCH(CollectionCostTotal[[#This Row],[Collection_ID]],LaborCostPerLift[Collection_ID],0))*(IF(CollectionCostTotal[[#This Row],[Year]]=2025,SUMIFS(CustCntSrcs[Number],CustCntSrcs[Source_ID],$Q$33),1))</f>
        <v>0</v>
      </c>
      <c r="R7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7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7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77" s="101">
        <f>CollectionCostTotal[[#This Row],[Customers]]*INDEX(ContainerMarginAdmin[Annual_Admin_Per_Customer],MATCH(CollectionCostTotal[[#This Row],[Collection_ID]],ContainerMarginAdmin[Collection_ID],0))*(IF(CollectionCostTotal[[#This Row],[Year]]=2025,SUMIFS(CustCntSrcs[Number],CustCntSrcs[Source_ID],$U$33),1))</f>
        <v>0</v>
      </c>
      <c r="V77" s="101">
        <f>(SUMIFS(CustCntSrcs[Number],CustCntSrcs[Source_ID],$V$33)/(1-SUMIFS(CustCntSrcs[Number],CustCntSrcs[Source_ID],$V$33)))*SUM(CollectionCostTotal[[#This Row],[Collection_Labor]],CollectionCostTotal[[#This Row],[Annual_Container_Cost]],CollectionCostTotal[[#This Row],[Collection_Ops]])</f>
        <v>0</v>
      </c>
      <c r="W7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77" s="35"/>
      <c r="AC77" s="28"/>
    </row>
    <row r="78" spans="2:30" ht="15" x14ac:dyDescent="0.25">
      <c r="B78" s="209" t="str">
        <f>CollectionCostTotal[[#This Row],[Grouping_ID]]&amp;"-"&amp;CollectionCostTotal[[#This Row],[Sector_ID]]&amp;"-"&amp;CollectionCostTotal[[#This Row],[Frequency_ID]]&amp;"-"&amp;CollectionCostTotal[[#This Row],[SS_or_DS]]</f>
        <v>3-1-W-SS</v>
      </c>
      <c r="C78" s="209" t="str">
        <f>CollectionCostTotal[[#This Row],[Grouping_ID]]&amp;"-"&amp;CollectionCostTotal[[#This Row],[Sector_ID]]&amp;"-"&amp;CollectionCostTotal[[#This Row],[SS_or_DS]]</f>
        <v>3-1-SS</v>
      </c>
      <c r="D78" s="35">
        <v>3</v>
      </c>
      <c r="E78" s="35" t="str">
        <f>INDEX(Grouping[Grouping_Name],MATCH(CollectionCostTotal[[#This Row],[Grouping_ID]],Grouping[Grouping_ID],0))</f>
        <v>3 - Other areas with curbside</v>
      </c>
      <c r="F78" s="35">
        <v>1</v>
      </c>
      <c r="G78" s="24" t="str">
        <f>INDEX(Sector[Sector_Name],MATCH(CollectionCostTotal[[#This Row],[Sector_ID]],Sector[Sector_ID],0))</f>
        <v>SF Res. (on-route)</v>
      </c>
      <c r="H78" s="35" t="s">
        <v>876</v>
      </c>
      <c r="I78" s="18" t="s">
        <v>806</v>
      </c>
      <c r="J78" s="35" t="s">
        <v>64</v>
      </c>
      <c r="K78" s="35" t="str">
        <f>INDEX(Frequency[Collection_Frequency],MATCH(CollectionCostTotal[[#This Row],[Frequency_ID]],Frequency[Orig_Frequency_ID],0)+(CollectionCostTotal[[#This Row],[SS_or_DS]]="DS")*COUNTA(Frequency[Orig_Frequency_ID])/2)</f>
        <v>Weekly</v>
      </c>
      <c r="L78" s="35">
        <v>2018</v>
      </c>
      <c r="M7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204285</v>
      </c>
      <c r="N78" s="99">
        <f>SUMIFS(CustCntSrcs[Number],CustCntSrcs[Grouping_ID],CollectionCostTotal[[#This Row],[Grouping_ID]],CustCntSrcs[Sector_ID],CollectionCostTotal[[#This Row],[Sector_ID]])</f>
        <v>0.26100000000000001</v>
      </c>
      <c r="O78" s="100">
        <f>CollectionCostTotal[[#This Row],[Population]]*CollectionCostTotal[[#This Row],[Pct. Customers/Pop]]</f>
        <v>53318.385000000002</v>
      </c>
      <c r="P7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53318.385000000002</v>
      </c>
      <c r="Q78" s="101">
        <f>CollectionCostTotal[[#This Row],[Customers]]*INDEX(LaborCostPerLift[Annual_Labor_Cost_Per_Customer],MATCH(CollectionCostTotal[[#This Row],[Collection_ID]],LaborCostPerLift[Collection_ID],0))*(IF(CollectionCostTotal[[#This Row],[Year]]=2025,SUMIFS(CustCntSrcs[Number],CustCntSrcs[Source_ID],$Q$33),1))</f>
        <v>2281159.2935844706</v>
      </c>
      <c r="R7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122994.94941292131</v>
      </c>
      <c r="S7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699271.96616478649</v>
      </c>
      <c r="T7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1491457.1869433869</v>
      </c>
      <c r="U78" s="101">
        <f>CollectionCostTotal[[#This Row],[Customers]]*INDEX(ContainerMarginAdmin[Annual_Admin_Per_Customer],MATCH(CollectionCostTotal[[#This Row],[Collection_ID]],ContainerMarginAdmin[Collection_ID],0))*(IF(CollectionCostTotal[[#This Row],[Year]]=2025,SUMIFS(CustCntSrcs[Number],CustCntSrcs[Source_ID],$U$33),1))</f>
        <v>1107795.8665078226</v>
      </c>
      <c r="V78" s="101">
        <f>(SUMIFS(CustCntSrcs[Number],CustCntSrcs[Source_ID],$V$33)/(1-SUMIFS(CustCntSrcs[Number],CustCntSrcs[Source_ID],$V$33)))*SUM(CollectionCostTotal[[#This Row],[Collection_Labor]],CollectionCostTotal[[#This Row],[Annual_Container_Cost]],CollectionCostTotal[[#This Row],[Collection_Ops]])</f>
        <v>687460.84057778458</v>
      </c>
      <c r="W7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6443458.4881911725</v>
      </c>
      <c r="AA78" s="35"/>
      <c r="AC78" s="28"/>
    </row>
    <row r="79" spans="2:30" ht="15" x14ac:dyDescent="0.25">
      <c r="B79" s="209" t="str">
        <f>CollectionCostTotal[[#This Row],[Grouping_ID]]&amp;"-"&amp;CollectionCostTotal[[#This Row],[Sector_ID]]&amp;"-"&amp;CollectionCostTotal[[#This Row],[Frequency_ID]]&amp;"-"&amp;CollectionCostTotal[[#This Row],[SS_or_DS]]</f>
        <v>3-1-E-SS</v>
      </c>
      <c r="C79" s="209" t="str">
        <f>CollectionCostTotal[[#This Row],[Grouping_ID]]&amp;"-"&amp;CollectionCostTotal[[#This Row],[Sector_ID]]&amp;"-"&amp;CollectionCostTotal[[#This Row],[SS_or_DS]]</f>
        <v>3-1-SS</v>
      </c>
      <c r="D79" s="35">
        <v>3</v>
      </c>
      <c r="E79" s="35" t="str">
        <f>INDEX(Grouping[Grouping_Name],MATCH(CollectionCostTotal[[#This Row],[Grouping_ID]],Grouping[Grouping_ID],0))</f>
        <v>3 - Other areas with curbside</v>
      </c>
      <c r="F79" s="35">
        <v>1</v>
      </c>
      <c r="G79" s="24" t="str">
        <f>INDEX(Sector[Sector_Name],MATCH(CollectionCostTotal[[#This Row],[Sector_ID]],Sector[Sector_ID],0))</f>
        <v>SF Res. (on-route)</v>
      </c>
      <c r="H79" s="35" t="s">
        <v>876</v>
      </c>
      <c r="I79" s="18" t="s">
        <v>806</v>
      </c>
      <c r="J79" s="35" t="s">
        <v>53</v>
      </c>
      <c r="K79" s="35" t="str">
        <f>INDEX(Frequency[Collection_Frequency],MATCH(CollectionCostTotal[[#This Row],[Frequency_ID]],Frequency[Orig_Frequency_ID],0)+(CollectionCostTotal[[#This Row],[SS_or_DS]]="DS")*COUNTA(Frequency[Orig_Frequency_ID])/2)</f>
        <v>Every other week</v>
      </c>
      <c r="L79" s="35">
        <v>2018</v>
      </c>
      <c r="M7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323662</v>
      </c>
      <c r="N79" s="99">
        <f>SUMIFS(CustCntSrcs[Number],CustCntSrcs[Grouping_ID],CollectionCostTotal[[#This Row],[Grouping_ID]],CustCntSrcs[Sector_ID],CollectionCostTotal[[#This Row],[Sector_ID]])</f>
        <v>0.26100000000000001</v>
      </c>
      <c r="O79" s="100">
        <f>CollectionCostTotal[[#This Row],[Population]]*CollectionCostTotal[[#This Row],[Pct. Customers/Pop]]</f>
        <v>84475.782000000007</v>
      </c>
      <c r="P7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84475.782000000007</v>
      </c>
      <c r="Q79" s="101">
        <f>CollectionCostTotal[[#This Row],[Customers]]*INDEX(LaborCostPerLift[Annual_Labor_Cost_Per_Customer],MATCH(CollectionCostTotal[[#This Row],[Collection_ID]],LaborCostPerLift[Collection_ID],0))*(IF(CollectionCostTotal[[#This Row],[Year]]=2025,SUMIFS(CustCntSrcs[Number],CustCntSrcs[Source_ID],$Q$33),1))</f>
        <v>3101508.2184132766</v>
      </c>
      <c r="R7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143858.31791663149</v>
      </c>
      <c r="S7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817887.96449680626</v>
      </c>
      <c r="T7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1744449.8589777553</v>
      </c>
      <c r="U79" s="101">
        <f>CollectionCostTotal[[#This Row],[Customers]]*INDEX(ContainerMarginAdmin[Annual_Admin_Per_Customer],MATCH(CollectionCostTotal[[#This Row],[Collection_ID]],ContainerMarginAdmin[Collection_ID],0))*(IF(CollectionCostTotal[[#This Row],[Year]]=2025,SUMIFS(CustCntSrcs[Number],CustCntSrcs[Source_ID],$U$33),1))</f>
        <v>1825308.4441805759</v>
      </c>
      <c r="V79" s="101">
        <f>(SUMIFS(CustCntSrcs[Number],CustCntSrcs[Source_ID],$V$33)/(1-SUMIFS(CustCntSrcs[Number],CustCntSrcs[Source_ID],$V$33)))*SUM(CollectionCostTotal[[#This Row],[Collection_Labor]],CollectionCostTotal[[#This Row],[Annual_Container_Cost]],CollectionCostTotal[[#This Row],[Collection_Ops]])</f>
        <v>880555.83446605841</v>
      </c>
      <c r="W7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8598044.4204511046</v>
      </c>
      <c r="AA79" s="35"/>
      <c r="AC79" s="28"/>
    </row>
    <row r="80" spans="2:30" ht="15" x14ac:dyDescent="0.25">
      <c r="B80" s="209" t="str">
        <f>CollectionCostTotal[[#This Row],[Grouping_ID]]&amp;"-"&amp;CollectionCostTotal[[#This Row],[Sector_ID]]&amp;"-"&amp;CollectionCostTotal[[#This Row],[Frequency_ID]]&amp;"-"&amp;CollectionCostTotal[[#This Row],[SS_or_DS]]</f>
        <v>3-1-BM-SS</v>
      </c>
      <c r="C80" s="209" t="str">
        <f>CollectionCostTotal[[#This Row],[Grouping_ID]]&amp;"-"&amp;CollectionCostTotal[[#This Row],[Sector_ID]]&amp;"-"&amp;CollectionCostTotal[[#This Row],[SS_or_DS]]</f>
        <v>3-1-SS</v>
      </c>
      <c r="D80" s="35">
        <v>3</v>
      </c>
      <c r="E80" s="35" t="str">
        <f>INDEX(Grouping[Grouping_Name],MATCH(CollectionCostTotal[[#This Row],[Grouping_ID]],Grouping[Grouping_ID],0))</f>
        <v>3 - Other areas with curbside</v>
      </c>
      <c r="F80" s="35">
        <v>1</v>
      </c>
      <c r="G80" s="24" t="str">
        <f>INDEX(Sector[Sector_Name],MATCH(CollectionCostTotal[[#This Row],[Sector_ID]],Sector[Sector_ID],0))</f>
        <v>SF Res. (on-route)</v>
      </c>
      <c r="H80" s="35" t="s">
        <v>876</v>
      </c>
      <c r="I80" s="18" t="s">
        <v>806</v>
      </c>
      <c r="J80" s="35" t="s">
        <v>66</v>
      </c>
      <c r="K80" s="35" t="str">
        <f>INDEX(Frequency[Collection_Frequency],MATCH(CollectionCostTotal[[#This Row],[Frequency_ID]],Frequency[Orig_Frequency_ID],0)+(CollectionCostTotal[[#This Row],[SS_or_DS]]="DS")*COUNTA(Frequency[Orig_Frequency_ID])/2)</f>
        <v>Bimonthly</v>
      </c>
      <c r="L80" s="35">
        <v>2018</v>
      </c>
      <c r="M8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2535</v>
      </c>
      <c r="N80" s="99">
        <f>SUMIFS(CustCntSrcs[Number],CustCntSrcs[Grouping_ID],CollectionCostTotal[[#This Row],[Grouping_ID]],CustCntSrcs[Sector_ID],CollectionCostTotal[[#This Row],[Sector_ID]])</f>
        <v>0.26100000000000001</v>
      </c>
      <c r="O80" s="100">
        <f>CollectionCostTotal[[#This Row],[Population]]*CollectionCostTotal[[#This Row],[Pct. Customers/Pop]]</f>
        <v>661.63499999999999</v>
      </c>
      <c r="P8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661.63499999999999</v>
      </c>
      <c r="Q80" s="101">
        <f>CollectionCostTotal[[#This Row],[Customers]]*INDEX(LaborCostPerLift[Annual_Labor_Cost_Per_Customer],MATCH(CollectionCostTotal[[#This Row],[Collection_ID]],LaborCostPerLift[Collection_ID],0))*(IF(CollectionCostTotal[[#This Row],[Year]]=2025,SUMIFS(CustCntSrcs[Number],CustCntSrcs[Source_ID],$Q$33),1))</f>
        <v>22596.996705226815</v>
      </c>
      <c r="R8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1048.1242373249866</v>
      </c>
      <c r="S8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5958.9755491392007</v>
      </c>
      <c r="T8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12709.728602918403</v>
      </c>
      <c r="U80" s="101">
        <f>CollectionCostTotal[[#This Row],[Customers]]*INDEX(ContainerMarginAdmin[Annual_Admin_Per_Customer],MATCH(CollectionCostTotal[[#This Row],[Collection_ID]],ContainerMarginAdmin[Collection_ID],0))*(IF(CollectionCostTotal[[#This Row],[Year]]=2025,SUMIFS(CustCntSrcs[Number],CustCntSrcs[Source_ID],$U$33),1))</f>
        <v>14296.262477515926</v>
      </c>
      <c r="V80" s="101">
        <f>(SUMIFS(CustCntSrcs[Number],CustCntSrcs[Source_ID],$V$33)/(1-SUMIFS(CustCntSrcs[Number],CustCntSrcs[Source_ID],$V$33)))*SUM(CollectionCostTotal[[#This Row],[Collection_Labor]],CollectionCostTotal[[#This Row],[Annual_Container_Cost]],CollectionCostTotal[[#This Row],[Collection_Ops]])</f>
        <v>6415.5616844947426</v>
      </c>
      <c r="W8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63687.284256620078</v>
      </c>
      <c r="AA80" s="35"/>
      <c r="AC80" s="28"/>
    </row>
    <row r="81" spans="2:29" ht="15" x14ac:dyDescent="0.25">
      <c r="B81" s="209" t="str">
        <f>CollectionCostTotal[[#This Row],[Grouping_ID]]&amp;"-"&amp;CollectionCostTotal[[#This Row],[Sector_ID]]&amp;"-"&amp;CollectionCostTotal[[#This Row],[Frequency_ID]]&amp;"-"&amp;CollectionCostTotal[[#This Row],[SS_or_DS]]</f>
        <v>3-1-M-SS</v>
      </c>
      <c r="C81" s="209" t="str">
        <f>CollectionCostTotal[[#This Row],[Grouping_ID]]&amp;"-"&amp;CollectionCostTotal[[#This Row],[Sector_ID]]&amp;"-"&amp;CollectionCostTotal[[#This Row],[SS_or_DS]]</f>
        <v>3-1-SS</v>
      </c>
      <c r="D81" s="35">
        <v>3</v>
      </c>
      <c r="E81" s="35" t="str">
        <f>INDEX(Grouping[Grouping_Name],MATCH(CollectionCostTotal[[#This Row],[Grouping_ID]],Grouping[Grouping_ID],0))</f>
        <v>3 - Other areas with curbside</v>
      </c>
      <c r="F81" s="35">
        <v>1</v>
      </c>
      <c r="G81" s="24" t="str">
        <f>INDEX(Sector[Sector_Name],MATCH(CollectionCostTotal[[#This Row],[Sector_ID]],Sector[Sector_ID],0))</f>
        <v>SF Res. (on-route)</v>
      </c>
      <c r="H81" s="35" t="s">
        <v>876</v>
      </c>
      <c r="I81" s="18" t="s">
        <v>806</v>
      </c>
      <c r="J81" s="35" t="s">
        <v>67</v>
      </c>
      <c r="K81" s="35" t="str">
        <f>INDEX(Frequency[Collection_Frequency],MATCH(CollectionCostTotal[[#This Row],[Frequency_ID]],Frequency[Orig_Frequency_ID],0)+(CollectionCostTotal[[#This Row],[SS_or_DS]]="DS")*COUNTA(Frequency[Orig_Frequency_ID])/2)</f>
        <v>Monthly</v>
      </c>
      <c r="L81" s="35">
        <v>2018</v>
      </c>
      <c r="M8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8045</v>
      </c>
      <c r="N81" s="99">
        <f>SUMIFS(CustCntSrcs[Number],CustCntSrcs[Grouping_ID],CollectionCostTotal[[#This Row],[Grouping_ID]],CustCntSrcs[Sector_ID],CollectionCostTotal[[#This Row],[Sector_ID]])</f>
        <v>0.26100000000000001</v>
      </c>
      <c r="O81" s="100">
        <f>CollectionCostTotal[[#This Row],[Population]]*CollectionCostTotal[[#This Row],[Pct. Customers/Pop]]</f>
        <v>2099.7449999999999</v>
      </c>
      <c r="P8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2099.7449999999999</v>
      </c>
      <c r="Q81" s="101">
        <f>CollectionCostTotal[[#This Row],[Customers]]*INDEX(LaborCostPerLift[Annual_Labor_Cost_Per_Customer],MATCH(CollectionCostTotal[[#This Row],[Collection_ID]],LaborCostPerLift[Collection_ID],0))*(IF(CollectionCostTotal[[#This Row],[Year]]=2025,SUMIFS(CustCntSrcs[Number],CustCntSrcs[Source_ID],$Q$33),1))</f>
        <v>35856.575639753399</v>
      </c>
      <c r="R8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1663.1478282602598</v>
      </c>
      <c r="S8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9455.6130755078648</v>
      </c>
      <c r="T8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20167.606826524367</v>
      </c>
      <c r="U81" s="101">
        <f>CollectionCostTotal[[#This Row],[Customers]]*INDEX(ContainerMarginAdmin[Annual_Admin_Per_Customer],MATCH(CollectionCostTotal[[#This Row],[Collection_ID]],ContainerMarginAdmin[Collection_ID],0))*(IF(CollectionCostTotal[[#This Row],[Year]]=2025,SUMIFS(CustCntSrcs[Number],CustCntSrcs[Source_ID],$U$33),1))</f>
        <v>45370.189992747779</v>
      </c>
      <c r="V81" s="101">
        <f>(SUMIFS(CustCntSrcs[Number],CustCntSrcs[Source_ID],$V$33)/(1-SUMIFS(CustCntSrcs[Number],CustCntSrcs[Source_ID],$V$33)))*SUM(CollectionCostTotal[[#This Row],[Collection_Labor]],CollectionCostTotal[[#This Row],[Annual_Container_Cost]],CollectionCostTotal[[#This Row],[Collection_Ops]])</f>
        <v>10180.117110800829</v>
      </c>
      <c r="W8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124792.99547359449</v>
      </c>
      <c r="AA81" s="35"/>
      <c r="AC81" s="28"/>
    </row>
    <row r="82" spans="2:29" ht="15" x14ac:dyDescent="0.25">
      <c r="B82" s="210" t="str">
        <f>CollectionCostTotal[[#This Row],[Grouping_ID]]&amp;"-"&amp;CollectionCostTotal[[#This Row],[Sector_ID]]&amp;"-"&amp;CollectionCostTotal[[#This Row],[Frequency_ID]]&amp;"-"&amp;CollectionCostTotal[[#This Row],[SS_or_DS]]</f>
        <v>3-1-U-SS</v>
      </c>
      <c r="C82" s="210" t="str">
        <f>CollectionCostTotal[[#This Row],[Grouping_ID]]&amp;"-"&amp;CollectionCostTotal[[#This Row],[Sector_ID]]&amp;"-"&amp;CollectionCostTotal[[#This Row],[SS_or_DS]]</f>
        <v>3-1-SS</v>
      </c>
      <c r="D82" s="126">
        <v>3</v>
      </c>
      <c r="E82" s="126" t="str">
        <f>INDEX(Grouping[Grouping_Name],MATCH(CollectionCostTotal[[#This Row],[Grouping_ID]],Grouping[Grouping_ID],0))</f>
        <v>3 - Other areas with curbside</v>
      </c>
      <c r="F82" s="35">
        <v>1</v>
      </c>
      <c r="G82" s="127" t="str">
        <f>INDEX(Sector[Sector_Name],MATCH(CollectionCostTotal[[#This Row],[Sector_ID]],Sector[Sector_ID],0))</f>
        <v>SF Res. (on-route)</v>
      </c>
      <c r="H82" s="35" t="s">
        <v>876</v>
      </c>
      <c r="I82" s="18" t="s">
        <v>806</v>
      </c>
      <c r="J82" s="35" t="s">
        <v>65</v>
      </c>
      <c r="K82" s="126" t="str">
        <f>INDEX(Frequency[Collection_Frequency],MATCH(CollectionCostTotal[[#This Row],[Frequency_ID]],Frequency[Orig_Frequency_ID],0)+(CollectionCostTotal[[#This Row],[SS_or_DS]]="DS")*COUNTA(Frequency[Orig_Frequency_ID])/2)</f>
        <v>Uncertain</v>
      </c>
      <c r="L82" s="35">
        <v>2018</v>
      </c>
      <c r="M82" s="284">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82" s="285">
        <f>SUMIFS(CustCntSrcs[Number],CustCntSrcs[Grouping_ID],CollectionCostTotal[[#This Row],[Grouping_ID]],CustCntSrcs[Sector_ID],CollectionCostTotal[[#This Row],[Sector_ID]])</f>
        <v>0.26100000000000001</v>
      </c>
      <c r="O82" s="203">
        <f>CollectionCostTotal[[#This Row],[Population]]*CollectionCostTotal[[#This Row],[Pct. Customers/Pop]]</f>
        <v>0</v>
      </c>
      <c r="P82" s="286">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82" s="286">
        <f>CollectionCostTotal[[#This Row],[Customers]]*INDEX(LaborCostPerLift[Annual_Labor_Cost_Per_Customer],MATCH(CollectionCostTotal[[#This Row],[Collection_ID]],LaborCostPerLift[Collection_ID],0))*(IF(CollectionCostTotal[[#This Row],[Year]]=2025,SUMIFS(CustCntSrcs[Number],CustCntSrcs[Source_ID],$Q$33),1))</f>
        <v>0</v>
      </c>
      <c r="R82" s="286">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82" s="286">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82" s="286">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82" s="286">
        <f>CollectionCostTotal[[#This Row],[Customers]]*INDEX(ContainerMarginAdmin[Annual_Admin_Per_Customer],MATCH(CollectionCostTotal[[#This Row],[Collection_ID]],ContainerMarginAdmin[Collection_ID],0))*(IF(CollectionCostTotal[[#This Row],[Year]]=2025,SUMIFS(CustCntSrcs[Number],CustCntSrcs[Source_ID],$U$33),1))</f>
        <v>0</v>
      </c>
      <c r="V82" s="286">
        <f>(SUMIFS(CustCntSrcs[Number],CustCntSrcs[Source_ID],$V$33)/(1-SUMIFS(CustCntSrcs[Number],CustCntSrcs[Source_ID],$V$33)))*SUM(CollectionCostTotal[[#This Row],[Collection_Labor]],CollectionCostTotal[[#This Row],[Annual_Container_Cost]],CollectionCostTotal[[#This Row],[Collection_Ops]])</f>
        <v>0</v>
      </c>
      <c r="W82" s="287">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82" s="35"/>
      <c r="AC82" s="28"/>
    </row>
    <row r="83" spans="2:29" ht="15" x14ac:dyDescent="0.25">
      <c r="B83" s="209" t="str">
        <f>CollectionCostTotal[[#This Row],[Grouping_ID]]&amp;"-"&amp;CollectionCostTotal[[#This Row],[Sector_ID]]&amp;"-"&amp;CollectionCostTotal[[#This Row],[Frequency_ID]]&amp;"-"&amp;CollectionCostTotal[[#This Row],[SS_or_DS]]</f>
        <v>1-2-V-SS</v>
      </c>
      <c r="C83" s="209" t="str">
        <f>CollectionCostTotal[[#This Row],[Grouping_ID]]&amp;"-"&amp;CollectionCostTotal[[#This Row],[Sector_ID]]&amp;"-"&amp;CollectionCostTotal[[#This Row],[SS_or_DS]]</f>
        <v>1-2-SS</v>
      </c>
      <c r="D83" s="35">
        <v>1</v>
      </c>
      <c r="E83" s="35" t="str">
        <f>INDEX(Grouping[Grouping_Name],MATCH(CollectionCostTotal[[#This Row],[Grouping_ID]],Grouping[Grouping_ID],0))</f>
        <v>1 - Metro area</v>
      </c>
      <c r="F83" s="35">
        <v>2</v>
      </c>
      <c r="G83" s="24" t="str">
        <f>INDEX(Sector[Sector_Name],MATCH(CollectionCostTotal[[#This Row],[Sector_ID]],Sector[Sector_ID],0))</f>
        <v>MF Res. (on-route)</v>
      </c>
      <c r="H83" s="35" t="s">
        <v>876</v>
      </c>
      <c r="I83" s="18" t="s">
        <v>806</v>
      </c>
      <c r="J83" s="35" t="s">
        <v>91</v>
      </c>
      <c r="K83" s="35" t="str">
        <f>INDEX(Frequency[Collection_Frequency],MATCH(CollectionCostTotal[[#This Row],[Frequency_ID]],Frequency[Orig_Frequency_ID],0)+(CollectionCostTotal[[#This Row],[SS_or_DS]]="DS")*COUNTA(Frequency[Orig_Frequency_ID])/2)</f>
        <v>Varies by customer need</v>
      </c>
      <c r="L83" s="35">
        <v>2025</v>
      </c>
      <c r="M8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83" s="99">
        <f>SUMIFS(CustCntSrcs[Number],CustCntSrcs[Grouping_ID],CollectionCostTotal[[#This Row],[Grouping_ID]],CustCntSrcs[Sector_ID],CollectionCostTotal[[#This Row],[Sector_ID]])</f>
        <v>4.0829601659520629E-3</v>
      </c>
      <c r="O83" s="100">
        <f>CollectionCostTotal[[#This Row],[Population]]*CollectionCostTotal[[#This Row],[Pct. Customers/Pop]]</f>
        <v>7221.4205871290515</v>
      </c>
      <c r="P8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8079.6163969626905</v>
      </c>
      <c r="Q83" s="101">
        <f>CollectionCostTotal[[#This Row],[Customers]]*INDEX(LaborCostPerLift[Annual_Labor_Cost_Per_Customer],MATCH(CollectionCostTotal[[#This Row],[Collection_ID]],LaborCostPerLift[Collection_ID],0))*(IF(CollectionCostTotal[[#This Row],[Year]]=2025,SUMIFS(CustCntSrcs[Number],CustCntSrcs[Source_ID],$Q$33),1))</f>
        <v>3161137.2780768052</v>
      </c>
      <c r="R8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98917.940358800959</v>
      </c>
      <c r="S8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662009.48732965137</v>
      </c>
      <c r="T8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1686024.5833588047</v>
      </c>
      <c r="U83" s="101">
        <f>CollectionCostTotal[[#This Row],[Customers]]*INDEX(ContainerMarginAdmin[Annual_Admin_Per_Customer],MATCH(CollectionCostTotal[[#This Row],[Collection_ID]],ContainerMarginAdmin[Collection_ID],0))*(IF(CollectionCostTotal[[#This Row],[Year]]=2025,SUMIFS(CustCntSrcs[Number],CustCntSrcs[Source_ID],$U$33),1))</f>
        <v>1642421.3738598544</v>
      </c>
      <c r="V83" s="101">
        <f>(SUMIFS(CustCntSrcs[Number],CustCntSrcs[Source_ID],$V$33)/(1-SUMIFS(CustCntSrcs[Number],CustCntSrcs[Source_ID],$V$33)))*SUM(CollectionCostTotal[[#This Row],[Collection_Labor]],CollectionCostTotal[[#This Row],[Annual_Container_Cost]],CollectionCostTotal[[#This Row],[Collection_Ops]])</f>
        <v>872837.61208136659</v>
      </c>
      <c r="W8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8131427.891462246</v>
      </c>
      <c r="AA83" s="35"/>
      <c r="AC83" s="28"/>
    </row>
    <row r="84" spans="2:29" ht="15" x14ac:dyDescent="0.25">
      <c r="B84" s="209" t="str">
        <f>CollectionCostTotal[[#This Row],[Grouping_ID]]&amp;"-"&amp;CollectionCostTotal[[#This Row],[Sector_ID]]&amp;"-"&amp;CollectionCostTotal[[#This Row],[Frequency_ID]]&amp;"-"&amp;CollectionCostTotal[[#This Row],[SS_or_DS]]</f>
        <v>1-3-V-SS</v>
      </c>
      <c r="C84" s="209" t="str">
        <f>CollectionCostTotal[[#This Row],[Grouping_ID]]&amp;"-"&amp;CollectionCostTotal[[#This Row],[Sector_ID]]&amp;"-"&amp;CollectionCostTotal[[#This Row],[SS_or_DS]]</f>
        <v>1-3-SS</v>
      </c>
      <c r="D84" s="35">
        <v>1</v>
      </c>
      <c r="E84" s="35" t="str">
        <f>INDEX(Grouping[Grouping_Name],MATCH(CollectionCostTotal[[#This Row],[Grouping_ID]],Grouping[Grouping_ID],0))</f>
        <v>1 - Metro area</v>
      </c>
      <c r="F84" s="35">
        <v>3</v>
      </c>
      <c r="G84" s="24" t="str">
        <f>INDEX(Sector[Sector_Name],MATCH(CollectionCostTotal[[#This Row],[Sector_ID]],Sector[Sector_ID],0))</f>
        <v>Commercial (on-route)</v>
      </c>
      <c r="H84" s="35" t="s">
        <v>876</v>
      </c>
      <c r="I84" s="18" t="s">
        <v>806</v>
      </c>
      <c r="J84" s="35" t="s">
        <v>91</v>
      </c>
      <c r="K84" s="35" t="str">
        <f>INDEX(Frequency[Collection_Frequency],MATCH(CollectionCostTotal[[#This Row],[Frequency_ID]],Frequency[Orig_Frequency_ID],0)+(CollectionCostTotal[[#This Row],[SS_or_DS]]="DS")*COUNTA(Frequency[Orig_Frequency_ID])/2)</f>
        <v>Varies by customer need</v>
      </c>
      <c r="L84" s="35">
        <v>2025</v>
      </c>
      <c r="M8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84" s="99">
        <f>SUMIFS(CustCntSrcs[Number],CustCntSrcs[Grouping_ID],CollectionCostTotal[[#This Row],[Grouping_ID]],CustCntSrcs[Sector_ID],CollectionCostTotal[[#This Row],[Sector_ID]])</f>
        <v>2.0077661123032196E-2</v>
      </c>
      <c r="O84" s="100">
        <f>CollectionCostTotal[[#This Row],[Population]]*CollectionCostTotal[[#This Row],[Pct. Customers/Pop]]</f>
        <v>35510.813106709982</v>
      </c>
      <c r="P8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39730.928892000324</v>
      </c>
      <c r="Q84" s="101">
        <f>CollectionCostTotal[[#This Row],[Customers]]*INDEX(LaborCostPerLift[Annual_Labor_Cost_Per_Customer],MATCH(CollectionCostTotal[[#This Row],[Collection_ID]],LaborCostPerLift[Collection_ID],0))*(IF(CollectionCostTotal[[#This Row],[Year]]=2025,SUMIFS(CustCntSrcs[Number],CustCntSrcs[Source_ID],$Q$33),1))</f>
        <v>15544663.786307352</v>
      </c>
      <c r="R8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486421.81279993244</v>
      </c>
      <c r="S8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3255383.742823679</v>
      </c>
      <c r="T8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8290903.867264688</v>
      </c>
      <c r="U84" s="101">
        <f>CollectionCostTotal[[#This Row],[Customers]]*INDEX(ContainerMarginAdmin[Annual_Admin_Per_Customer],MATCH(CollectionCostTotal[[#This Row],[Collection_ID]],ContainerMarginAdmin[Collection_ID],0))*(IF(CollectionCostTotal[[#This Row],[Year]]=2025,SUMIFS(CustCntSrcs[Number],CustCntSrcs[Source_ID],$U$33),1))</f>
        <v>8076488.2402162254</v>
      </c>
      <c r="V84" s="101">
        <f>(SUMIFS(CustCntSrcs[Number],CustCntSrcs[Source_ID],$V$33)/(1-SUMIFS(CustCntSrcs[Number],CustCntSrcs[Source_ID],$V$33)))*SUM(CollectionCostTotal[[#This Row],[Collection_Labor]],CollectionCostTotal[[#This Row],[Annual_Container_Cost]],CollectionCostTotal[[#This Row],[Collection_Ops]])</f>
        <v>4292115.7881832896</v>
      </c>
      <c r="W8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39985708.166487165</v>
      </c>
      <c r="AA84" s="35"/>
      <c r="AC84" s="28"/>
    </row>
    <row r="85" spans="2:29" ht="15" x14ac:dyDescent="0.25">
      <c r="B85" s="209" t="str">
        <f>CollectionCostTotal[[#This Row],[Grouping_ID]]&amp;"-"&amp;CollectionCostTotal[[#This Row],[Sector_ID]]&amp;"-"&amp;CollectionCostTotal[[#This Row],[Frequency_ID]]&amp;"-"&amp;CollectionCostTotal[[#This Row],[SS_or_DS]]</f>
        <v>2-2-V-SS</v>
      </c>
      <c r="C85" s="209" t="str">
        <f>CollectionCostTotal[[#This Row],[Grouping_ID]]&amp;"-"&amp;CollectionCostTotal[[#This Row],[Sector_ID]]&amp;"-"&amp;CollectionCostTotal[[#This Row],[SS_or_DS]]</f>
        <v>2-2-SS</v>
      </c>
      <c r="D85" s="35">
        <v>2</v>
      </c>
      <c r="E85" s="35" t="str">
        <f>INDEX(Grouping[Grouping_Name],MATCH(CollectionCostTotal[[#This Row],[Grouping_ID]],Grouping[Grouping_ID],0))</f>
        <v>2 - Willamette Valley, etc.</v>
      </c>
      <c r="F85" s="35">
        <v>2</v>
      </c>
      <c r="G85" s="24" t="str">
        <f>INDEX(Sector[Sector_Name],MATCH(CollectionCostTotal[[#This Row],[Sector_ID]],Sector[Sector_ID],0))</f>
        <v>MF Res. (on-route)</v>
      </c>
      <c r="H85" s="35" t="s">
        <v>876</v>
      </c>
      <c r="I85" s="18" t="s">
        <v>806</v>
      </c>
      <c r="J85" s="35" t="s">
        <v>91</v>
      </c>
      <c r="K85" s="35" t="str">
        <f>INDEX(Frequency[Collection_Frequency],MATCH(CollectionCostTotal[[#This Row],[Frequency_ID]],Frequency[Orig_Frequency_ID],0)+(CollectionCostTotal[[#This Row],[SS_or_DS]]="DS")*COUNTA(Frequency[Orig_Frequency_ID])/2)</f>
        <v>Varies by customer need</v>
      </c>
      <c r="L85" s="35">
        <v>2025</v>
      </c>
      <c r="M8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85" s="99">
        <f>SUMIFS(CustCntSrcs[Number],CustCntSrcs[Grouping_ID],CollectionCostTotal[[#This Row],[Grouping_ID]],CustCntSrcs[Sector_ID],CollectionCostTotal[[#This Row],[Sector_ID]])</f>
        <v>6.0000000000000001E-3</v>
      </c>
      <c r="O85" s="100">
        <f>CollectionCostTotal[[#This Row],[Population]]*CollectionCostTotal[[#This Row],[Pct. Customers/Pop]]</f>
        <v>9059.6882850261754</v>
      </c>
      <c r="P8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10136.34438486143</v>
      </c>
      <c r="Q85" s="101">
        <f>CollectionCostTotal[[#This Row],[Customers]]*INDEX(LaborCostPerLift[Annual_Labor_Cost_Per_Customer],MATCH(CollectionCostTotal[[#This Row],[Collection_ID]],LaborCostPerLift[Collection_ID],0))*(IF(CollectionCostTotal[[#This Row],[Year]]=2025,SUMIFS(CustCntSrcs[Number],CustCntSrcs[Source_ID],$Q$33),1))</f>
        <v>3093067.9677713518</v>
      </c>
      <c r="R8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79875.410667516902</v>
      </c>
      <c r="S8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277802.95252258639</v>
      </c>
      <c r="T8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1721300.6817681028</v>
      </c>
      <c r="U85" s="101">
        <f>CollectionCostTotal[[#This Row],[Customers]]*INDEX(ContainerMarginAdmin[Annual_Admin_Per_Customer],MATCH(CollectionCostTotal[[#This Row],[Collection_ID]],ContainerMarginAdmin[Collection_ID],0))*(IF(CollectionCostTotal[[#This Row],[Year]]=2025,SUMIFS(CustCntSrcs[Number],CustCntSrcs[Source_ID],$U$33),1))</f>
        <v>1257664.3155518728</v>
      </c>
      <c r="V85" s="101">
        <f>(SUMIFS(CustCntSrcs[Number],CustCntSrcs[Source_ID],$V$33)/(1-SUMIFS(CustCntSrcs[Number],CustCntSrcs[Source_ID],$V$33)))*SUM(CollectionCostTotal[[#This Row],[Collection_Labor]],CollectionCostTotal[[#This Row],[Annual_Container_Cost]],CollectionCostTotal[[#This Row],[Collection_Ops]])</f>
        <v>863690.12827181851</v>
      </c>
      <c r="W8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7303537.8009381108</v>
      </c>
      <c r="AA85" s="35"/>
      <c r="AC85" s="28"/>
    </row>
    <row r="86" spans="2:29" ht="15" x14ac:dyDescent="0.25">
      <c r="B86" s="209" t="str">
        <f>CollectionCostTotal[[#This Row],[Grouping_ID]]&amp;"-"&amp;CollectionCostTotal[[#This Row],[Sector_ID]]&amp;"-"&amp;CollectionCostTotal[[#This Row],[Frequency_ID]]&amp;"-"&amp;CollectionCostTotal[[#This Row],[SS_or_DS]]</f>
        <v>2-3-V-SS</v>
      </c>
      <c r="C86" s="209" t="str">
        <f>CollectionCostTotal[[#This Row],[Grouping_ID]]&amp;"-"&amp;CollectionCostTotal[[#This Row],[Sector_ID]]&amp;"-"&amp;CollectionCostTotal[[#This Row],[SS_or_DS]]</f>
        <v>2-3-SS</v>
      </c>
      <c r="D86" s="35">
        <v>2</v>
      </c>
      <c r="E86" s="35" t="str">
        <f>INDEX(Grouping[Grouping_Name],MATCH(CollectionCostTotal[[#This Row],[Grouping_ID]],Grouping[Grouping_ID],0))</f>
        <v>2 - Willamette Valley, etc.</v>
      </c>
      <c r="F86" s="35">
        <v>3</v>
      </c>
      <c r="G86" s="24" t="str">
        <f>INDEX(Sector[Sector_Name],MATCH(CollectionCostTotal[[#This Row],[Sector_ID]],Sector[Sector_ID],0))</f>
        <v>Commercial (on-route)</v>
      </c>
      <c r="H86" s="35" t="s">
        <v>876</v>
      </c>
      <c r="I86" s="18" t="s">
        <v>806</v>
      </c>
      <c r="J86" s="35" t="s">
        <v>91</v>
      </c>
      <c r="K86" s="35" t="str">
        <f>INDEX(Frequency[Collection_Frequency],MATCH(CollectionCostTotal[[#This Row],[Frequency_ID]],Frequency[Orig_Frequency_ID],0)+(CollectionCostTotal[[#This Row],[SS_or_DS]]="DS")*COUNTA(Frequency[Orig_Frequency_ID])/2)</f>
        <v>Varies by customer need</v>
      </c>
      <c r="L86" s="35">
        <v>2025</v>
      </c>
      <c r="M8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86" s="99">
        <f>SUMIFS(CustCntSrcs[Number],CustCntSrcs[Grouping_ID],CollectionCostTotal[[#This Row],[Grouping_ID]],CustCntSrcs[Sector_ID],CollectionCostTotal[[#This Row],[Sector_ID]])</f>
        <v>1.5699999999999999E-2</v>
      </c>
      <c r="O86" s="100">
        <f>CollectionCostTotal[[#This Row],[Population]]*CollectionCostTotal[[#This Row],[Pct. Customers/Pop]]</f>
        <v>23706.184345818489</v>
      </c>
      <c r="P8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26523.434473720736</v>
      </c>
      <c r="Q86" s="101">
        <f>CollectionCostTotal[[#This Row],[Customers]]*INDEX(LaborCostPerLift[Annual_Labor_Cost_Per_Customer],MATCH(CollectionCostTotal[[#This Row],[Collection_ID]],LaborCostPerLift[Collection_ID],0))*(IF(CollectionCostTotal[[#This Row],[Year]]=2025,SUMIFS(CustCntSrcs[Number],CustCntSrcs[Source_ID],$Q$33),1))</f>
        <v>8093527.8490017029</v>
      </c>
      <c r="R8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209007.32458000252</v>
      </c>
      <c r="S8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726917.72576743434</v>
      </c>
      <c r="T8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4504070.1172932014</v>
      </c>
      <c r="U86" s="101">
        <f>CollectionCostTotal[[#This Row],[Customers]]*INDEX(ContainerMarginAdmin[Annual_Admin_Per_Customer],MATCH(CollectionCostTotal[[#This Row],[Collection_ID]],ContainerMarginAdmin[Collection_ID],0))*(IF(CollectionCostTotal[[#This Row],[Year]]=2025,SUMIFS(CustCntSrcs[Number],CustCntSrcs[Source_ID],$U$33),1))</f>
        <v>3290888.2923607337</v>
      </c>
      <c r="V86" s="101">
        <f>(SUMIFS(CustCntSrcs[Number],CustCntSrcs[Source_ID],$V$33)/(1-SUMIFS(CustCntSrcs[Number],CustCntSrcs[Source_ID],$V$33)))*SUM(CollectionCostTotal[[#This Row],[Collection_Labor]],CollectionCostTotal[[#This Row],[Annual_Container_Cost]],CollectionCostTotal[[#This Row],[Collection_Ops]])</f>
        <v>2259989.1689779246</v>
      </c>
      <c r="W8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19110923.912454717</v>
      </c>
      <c r="AA86" s="35"/>
      <c r="AC86" s="28"/>
    </row>
    <row r="87" spans="2:29" ht="15" x14ac:dyDescent="0.25">
      <c r="B87" s="209" t="str">
        <f>CollectionCostTotal[[#This Row],[Grouping_ID]]&amp;"-"&amp;CollectionCostTotal[[#This Row],[Sector_ID]]&amp;"-"&amp;CollectionCostTotal[[#This Row],[Frequency_ID]]&amp;"-"&amp;CollectionCostTotal[[#This Row],[SS_or_DS]]</f>
        <v>3-2-V-SS</v>
      </c>
      <c r="C87" s="209" t="str">
        <f>CollectionCostTotal[[#This Row],[Grouping_ID]]&amp;"-"&amp;CollectionCostTotal[[#This Row],[Sector_ID]]&amp;"-"&amp;CollectionCostTotal[[#This Row],[SS_or_DS]]</f>
        <v>3-2-SS</v>
      </c>
      <c r="D87" s="35">
        <v>3</v>
      </c>
      <c r="E87" s="35" t="str">
        <f>INDEX(Grouping[Grouping_Name],MATCH(CollectionCostTotal[[#This Row],[Grouping_ID]],Grouping[Grouping_ID],0))</f>
        <v>3 - Other areas with curbside</v>
      </c>
      <c r="F87" s="35">
        <v>2</v>
      </c>
      <c r="G87" s="24" t="str">
        <f>INDEX(Sector[Sector_Name],MATCH(CollectionCostTotal[[#This Row],[Sector_ID]],Sector[Sector_ID],0))</f>
        <v>MF Res. (on-route)</v>
      </c>
      <c r="H87" s="35" t="s">
        <v>876</v>
      </c>
      <c r="I87" s="18" t="s">
        <v>806</v>
      </c>
      <c r="J87" s="35" t="s">
        <v>91</v>
      </c>
      <c r="K87" s="35" t="str">
        <f>INDEX(Frequency[Collection_Frequency],MATCH(CollectionCostTotal[[#This Row],[Frequency_ID]],Frequency[Orig_Frequency_ID],0)+(CollectionCostTotal[[#This Row],[SS_or_DS]]="DS")*COUNTA(Frequency[Orig_Frequency_ID])/2)</f>
        <v>Varies by customer need</v>
      </c>
      <c r="L87" s="35">
        <v>2025</v>
      </c>
      <c r="M8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87" s="99">
        <f>SUMIFS(CustCntSrcs[Number],CustCntSrcs[Grouping_ID],CollectionCostTotal[[#This Row],[Grouping_ID]],CustCntSrcs[Sector_ID],CollectionCostTotal[[#This Row],[Sector_ID]])</f>
        <v>2.5000000000000001E-3</v>
      </c>
      <c r="O87" s="100">
        <f>CollectionCostTotal[[#This Row],[Population]]*CollectionCostTotal[[#This Row],[Pct. Customers/Pop]]</f>
        <v>1445.0244787602153</v>
      </c>
      <c r="P8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1616.7516254921682</v>
      </c>
      <c r="Q87" s="101">
        <f>CollectionCostTotal[[#This Row],[Customers]]*INDEX(LaborCostPerLift[Annual_Labor_Cost_Per_Customer],MATCH(CollectionCostTotal[[#This Row],[Collection_ID]],LaborCostPerLift[Collection_ID],0))*(IF(CollectionCostTotal[[#This Row],[Year]]=2025,SUMIFS(CustCntSrcs[Number],CustCntSrcs[Source_ID],$Q$33),1))</f>
        <v>648997.1737852979</v>
      </c>
      <c r="R8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31921.891978823041</v>
      </c>
      <c r="S8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71719.080110211813</v>
      </c>
      <c r="T8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328917.52210142219</v>
      </c>
      <c r="U87" s="101">
        <f>CollectionCostTotal[[#This Row],[Customers]]*INDEX(ContainerMarginAdmin[Annual_Admin_Per_Customer],MATCH(CollectionCostTotal[[#This Row],[Collection_ID]],ContainerMarginAdmin[Collection_ID],0))*(IF(CollectionCostTotal[[#This Row],[Year]]=2025,SUMIFS(CustCntSrcs[Number],CustCntSrcs[Source_ID],$U$33),1))</f>
        <v>298272.48764404858</v>
      </c>
      <c r="V87" s="101">
        <f>(SUMIFS(CustCntSrcs[Number],CustCntSrcs[Source_ID],$V$33)/(1-SUMIFS(CustCntSrcs[Number],CustCntSrcs[Source_ID],$V$33)))*SUM(CollectionCostTotal[[#This Row],[Collection_Labor]],CollectionCostTotal[[#This Row],[Annual_Container_Cost]],CollectionCostTotal[[#This Row],[Collection_Ops]])</f>
        <v>178206.45668215468</v>
      </c>
      <c r="W8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1559651.3639274505</v>
      </c>
      <c r="AA87" s="35"/>
      <c r="AC87" s="28"/>
    </row>
    <row r="88" spans="2:29" ht="15" x14ac:dyDescent="0.25">
      <c r="B88" s="209" t="str">
        <f>CollectionCostTotal[[#This Row],[Grouping_ID]]&amp;"-"&amp;CollectionCostTotal[[#This Row],[Sector_ID]]&amp;"-"&amp;CollectionCostTotal[[#This Row],[Frequency_ID]]&amp;"-"&amp;CollectionCostTotal[[#This Row],[SS_or_DS]]</f>
        <v>3-3-V-SS</v>
      </c>
      <c r="C88" s="209" t="str">
        <f>CollectionCostTotal[[#This Row],[Grouping_ID]]&amp;"-"&amp;CollectionCostTotal[[#This Row],[Sector_ID]]&amp;"-"&amp;CollectionCostTotal[[#This Row],[SS_or_DS]]</f>
        <v>3-3-SS</v>
      </c>
      <c r="D88" s="35">
        <v>3</v>
      </c>
      <c r="E88" s="35" t="str">
        <f>INDEX(Grouping[Grouping_Name],MATCH(CollectionCostTotal[[#This Row],[Grouping_ID]],Grouping[Grouping_ID],0))</f>
        <v>3 - Other areas with curbside</v>
      </c>
      <c r="F88" s="35">
        <v>3</v>
      </c>
      <c r="G88" s="24" t="str">
        <f>INDEX(Sector[Sector_Name],MATCH(CollectionCostTotal[[#This Row],[Sector_ID]],Sector[Sector_ID],0))</f>
        <v>Commercial (on-route)</v>
      </c>
      <c r="H88" s="35" t="s">
        <v>876</v>
      </c>
      <c r="I88" s="18" t="s">
        <v>806</v>
      </c>
      <c r="J88" s="35" t="s">
        <v>91</v>
      </c>
      <c r="K88" s="35" t="str">
        <f>INDEX(Frequency[Collection_Frequency],MATCH(CollectionCostTotal[[#This Row],[Frequency_ID]],Frequency[Orig_Frequency_ID],0)+(CollectionCostTotal[[#This Row],[SS_or_DS]]="DS")*COUNTA(Frequency[Orig_Frequency_ID])/2)</f>
        <v>Varies by customer need</v>
      </c>
      <c r="L88" s="35">
        <v>2025</v>
      </c>
      <c r="M8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88" s="99">
        <f>SUMIFS(CustCntSrcs[Number],CustCntSrcs[Grouping_ID],CollectionCostTotal[[#This Row],[Grouping_ID]],CustCntSrcs[Sector_ID],CollectionCostTotal[[#This Row],[Sector_ID]])</f>
        <v>1.5900000000000001E-2</v>
      </c>
      <c r="O88" s="100">
        <f>CollectionCostTotal[[#This Row],[Population]]*CollectionCostTotal[[#This Row],[Pct. Customers/Pop]]</f>
        <v>9190.35568491497</v>
      </c>
      <c r="P8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10282.540338130189</v>
      </c>
      <c r="Q88" s="101">
        <f>CollectionCostTotal[[#This Row],[Customers]]*INDEX(LaborCostPerLift[Annual_Labor_Cost_Per_Customer],MATCH(CollectionCostTotal[[#This Row],[Collection_ID]],LaborCostPerLift[Collection_ID],0))*(IF(CollectionCostTotal[[#This Row],[Year]]=2025,SUMIFS(CustCntSrcs[Number],CustCntSrcs[Source_ID],$Q$33),1))</f>
        <v>4127622.0252744942</v>
      </c>
      <c r="R8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203023.23298531453</v>
      </c>
      <c r="S8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456133.34950094722</v>
      </c>
      <c r="T8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2091915.4405650452</v>
      </c>
      <c r="U88" s="101">
        <f>CollectionCostTotal[[#This Row],[Customers]]*INDEX(ContainerMarginAdmin[Annual_Admin_Per_Customer],MATCH(CollectionCostTotal[[#This Row],[Collection_ID]],ContainerMarginAdmin[Collection_ID],0))*(IF(CollectionCostTotal[[#This Row],[Year]]=2025,SUMIFS(CustCntSrcs[Number],CustCntSrcs[Source_ID],$U$33),1))</f>
        <v>1897013.0214161493</v>
      </c>
      <c r="V88" s="101">
        <f>(SUMIFS(CustCntSrcs[Number],CustCntSrcs[Source_ID],$V$33)/(1-SUMIFS(CustCntSrcs[Number],CustCntSrcs[Source_ID],$V$33)))*SUM(CollectionCostTotal[[#This Row],[Collection_Labor]],CollectionCostTotal[[#This Row],[Annual_Container_Cost]],CollectionCostTotal[[#This Row],[Collection_Ops]])</f>
        <v>1133393.0644985037</v>
      </c>
      <c r="W8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9919382.6745785847</v>
      </c>
      <c r="AA88" s="35"/>
      <c r="AC88" s="28"/>
    </row>
    <row r="89" spans="2:29" ht="15" x14ac:dyDescent="0.25">
      <c r="B89" s="209" t="str">
        <f>CollectionCostTotal[[#This Row],[Grouping_ID]]&amp;"-"&amp;CollectionCostTotal[[#This Row],[Sector_ID]]&amp;"-"&amp;CollectionCostTotal[[#This Row],[Frequency_ID]]&amp;"-"&amp;CollectionCostTotal[[#This Row],[SS_or_DS]]</f>
        <v>1-1-W-SS</v>
      </c>
      <c r="C89" s="209" t="str">
        <f>CollectionCostTotal[[#This Row],[Grouping_ID]]&amp;"-"&amp;CollectionCostTotal[[#This Row],[Sector_ID]]&amp;"-"&amp;CollectionCostTotal[[#This Row],[SS_or_DS]]</f>
        <v>1-1-SS</v>
      </c>
      <c r="D89" s="35">
        <v>1</v>
      </c>
      <c r="E89" s="35" t="str">
        <f>INDEX(Grouping[Grouping_Name],MATCH(CollectionCostTotal[[#This Row],[Grouping_ID]],Grouping[Grouping_ID],0))</f>
        <v>1 - Metro area</v>
      </c>
      <c r="F89" s="35">
        <v>1</v>
      </c>
      <c r="G89" s="24" t="str">
        <f>INDEX(Sector[Sector_Name],MATCH(CollectionCostTotal[[#This Row],[Sector_ID]],Sector[Sector_ID],0))</f>
        <v>SF Res. (on-route)</v>
      </c>
      <c r="H89" s="35" t="s">
        <v>876</v>
      </c>
      <c r="I89" s="18" t="s">
        <v>806</v>
      </c>
      <c r="J89" s="35" t="s">
        <v>64</v>
      </c>
      <c r="K89" s="35" t="str">
        <f>INDEX(Frequency[Collection_Frequency],MATCH(CollectionCostTotal[[#This Row],[Frequency_ID]],Frequency[Orig_Frequency_ID],0)+(CollectionCostTotal[[#This Row],[SS_or_DS]]="DS")*COUNTA(Frequency[Orig_Frequency_ID])/2)</f>
        <v>Weekly</v>
      </c>
      <c r="L89" s="35">
        <v>2025</v>
      </c>
      <c r="M8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1393446.3512606001</v>
      </c>
      <c r="N89" s="99">
        <f>SUMIFS(CustCntSrcs[Number],CustCntSrcs[Grouping_ID],CollectionCostTotal[[#This Row],[Grouping_ID]],CustCntSrcs[Sector_ID],CollectionCostTotal[[#This Row],[Sector_ID]])</f>
        <v>0.26339829285649385</v>
      </c>
      <c r="O89" s="100">
        <f>CollectionCostTotal[[#This Row],[Population]]*CollectionCostTotal[[#This Row],[Pct. Customers/Pop]]</f>
        <v>367031.39010915236</v>
      </c>
      <c r="P8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410649.5116779884</v>
      </c>
      <c r="Q89" s="101">
        <f>CollectionCostTotal[[#This Row],[Customers]]*INDEX(LaborCostPerLift[Annual_Labor_Cost_Per_Customer],MATCH(CollectionCostTotal[[#This Row],[Collection_ID]],LaborCostPerLift[Collection_ID],0))*(IF(CollectionCostTotal[[#This Row],[Year]]=2025,SUMIFS(CustCntSrcs[Number],CustCntSrcs[Source_ID],$Q$33),1))</f>
        <v>15035645.242446691</v>
      </c>
      <c r="R8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826541.76579542458</v>
      </c>
      <c r="S8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4350093.585454545</v>
      </c>
      <c r="T8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5848145.9094227925</v>
      </c>
      <c r="U89" s="101">
        <f>CollectionCostTotal[[#This Row],[Customers]]*INDEX(ContainerMarginAdmin[Annual_Admin_Per_Customer],MATCH(CollectionCostTotal[[#This Row],[Collection_ID]],ContainerMarginAdmin[Collection_ID],0))*(IF(CollectionCostTotal[[#This Row],[Year]]=2025,SUMIFS(CustCntSrcs[Number],CustCntSrcs[Source_ID],$U$33),1))</f>
        <v>5750388.720379848</v>
      </c>
      <c r="V89" s="101">
        <f>(SUMIFS(CustCntSrcs[Number],CustCntSrcs[Source_ID],$V$33)/(1-SUMIFS(CustCntSrcs[Number],CustCntSrcs[Source_ID],$V$33)))*SUM(CollectionCostTotal[[#This Row],[Collection_Labor]],CollectionCostTotal[[#This Row],[Annual_Container_Cost]],CollectionCostTotal[[#This Row],[Collection_Ops]])</f>
        <v>3831235.2207643958</v>
      </c>
      <c r="W8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36052699.955941685</v>
      </c>
      <c r="AA89" s="35"/>
      <c r="AC89" s="28"/>
    </row>
    <row r="90" spans="2:29" ht="15" x14ac:dyDescent="0.25">
      <c r="B90" s="209" t="str">
        <f>CollectionCostTotal[[#This Row],[Grouping_ID]]&amp;"-"&amp;CollectionCostTotal[[#This Row],[Sector_ID]]&amp;"-"&amp;CollectionCostTotal[[#This Row],[Frequency_ID]]&amp;"-"&amp;CollectionCostTotal[[#This Row],[SS_or_DS]]</f>
        <v>1-1-E-SS</v>
      </c>
      <c r="C90" s="209" t="str">
        <f>CollectionCostTotal[[#This Row],[Grouping_ID]]&amp;"-"&amp;CollectionCostTotal[[#This Row],[Sector_ID]]&amp;"-"&amp;CollectionCostTotal[[#This Row],[SS_or_DS]]</f>
        <v>1-1-SS</v>
      </c>
      <c r="D90" s="35">
        <v>1</v>
      </c>
      <c r="E90" s="35" t="str">
        <f>INDEX(Grouping[Grouping_Name],MATCH(CollectionCostTotal[[#This Row],[Grouping_ID]],Grouping[Grouping_ID],0))</f>
        <v>1 - Metro area</v>
      </c>
      <c r="F90" s="35">
        <v>1</v>
      </c>
      <c r="G90" s="24" t="str">
        <f>INDEX(Sector[Sector_Name],MATCH(CollectionCostTotal[[#This Row],[Sector_ID]],Sector[Sector_ID],0))</f>
        <v>SF Res. (on-route)</v>
      </c>
      <c r="H90" s="35" t="s">
        <v>876</v>
      </c>
      <c r="I90" s="18" t="s">
        <v>806</v>
      </c>
      <c r="J90" s="35" t="s">
        <v>53</v>
      </c>
      <c r="K90" s="35" t="str">
        <f>INDEX(Frequency[Collection_Frequency],MATCH(CollectionCostTotal[[#This Row],[Frequency_ID]],Frequency[Orig_Frequency_ID],0)+(CollectionCostTotal[[#This Row],[SS_or_DS]]="DS")*COUNTA(Frequency[Orig_Frequency_ID])/2)</f>
        <v>Every other week</v>
      </c>
      <c r="L90" s="35">
        <v>2025</v>
      </c>
      <c r="M9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375226.44828045601</v>
      </c>
      <c r="N90" s="99">
        <f>SUMIFS(CustCntSrcs[Number],CustCntSrcs[Grouping_ID],CollectionCostTotal[[#This Row],[Grouping_ID]],CustCntSrcs[Sector_ID],CollectionCostTotal[[#This Row],[Sector_ID]])</f>
        <v>0.26339829285649385</v>
      </c>
      <c r="O90" s="100">
        <f>CollectionCostTotal[[#This Row],[Population]]*CollectionCostTotal[[#This Row],[Pct. Customers/Pop]]</f>
        <v>98834.005911677596</v>
      </c>
      <c r="P9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110579.46910954895</v>
      </c>
      <c r="Q90" s="101">
        <f>CollectionCostTotal[[#This Row],[Customers]]*INDEX(LaborCostPerLift[Annual_Labor_Cost_Per_Customer],MATCH(CollectionCostTotal[[#This Row],[Collection_ID]],LaborCostPerLift[Collection_ID],0))*(IF(CollectionCostTotal[[#This Row],[Year]]=2025,SUMIFS(CustCntSrcs[Number],CustCntSrcs[Source_ID],$Q$33),1))</f>
        <v>3030442.8031281852</v>
      </c>
      <c r="R9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256189.79647345981</v>
      </c>
      <c r="S9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500049.30666077073</v>
      </c>
      <c r="T9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1391625.3894134881</v>
      </c>
      <c r="U90" s="101">
        <f>CollectionCostTotal[[#This Row],[Customers]]*INDEX(ContainerMarginAdmin[Annual_Admin_Per_Customer],MATCH(CollectionCostTotal[[#This Row],[Collection_ID]],ContainerMarginAdmin[Collection_ID],0))*(IF(CollectionCostTotal[[#This Row],[Year]]=2025,SUMIFS(CustCntSrcs[Number],CustCntSrcs[Source_ID],$U$33),1))</f>
        <v>1101462.296580787</v>
      </c>
      <c r="V90" s="101">
        <f>(SUMIFS(CustCntSrcs[Number],CustCntSrcs[Source_ID],$V$33)/(1-SUMIFS(CustCntSrcs[Number],CustCntSrcs[Source_ID],$V$33)))*SUM(CollectionCostTotal[[#This Row],[Collection_Labor]],CollectionCostTotal[[#This Row],[Annual_Container_Cost]],CollectionCostTotal[[#This Row],[Collection_Ops]])</f>
        <v>825574.93923796469</v>
      </c>
      <c r="W9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7215924.0006042039</v>
      </c>
      <c r="AA90" s="35"/>
      <c r="AC90" s="28"/>
    </row>
    <row r="91" spans="2:29" ht="15" x14ac:dyDescent="0.25">
      <c r="B91" s="209" t="str">
        <f>CollectionCostTotal[[#This Row],[Grouping_ID]]&amp;"-"&amp;CollectionCostTotal[[#This Row],[Sector_ID]]&amp;"-"&amp;CollectionCostTotal[[#This Row],[Frequency_ID]]&amp;"-"&amp;CollectionCostTotal[[#This Row],[SS_or_DS]]</f>
        <v>2-1-W-SS</v>
      </c>
      <c r="C91" s="209" t="str">
        <f>CollectionCostTotal[[#This Row],[Grouping_ID]]&amp;"-"&amp;CollectionCostTotal[[#This Row],[Sector_ID]]&amp;"-"&amp;CollectionCostTotal[[#This Row],[SS_or_DS]]</f>
        <v>2-1-SS</v>
      </c>
      <c r="D91" s="35">
        <v>2</v>
      </c>
      <c r="E91" s="35" t="str">
        <f>INDEX(Grouping[Grouping_Name],MATCH(CollectionCostTotal[[#This Row],[Grouping_ID]],Grouping[Grouping_ID],0))</f>
        <v>2 - Willamette Valley, etc.</v>
      </c>
      <c r="F91" s="35">
        <v>1</v>
      </c>
      <c r="G91" s="24" t="str">
        <f>INDEX(Sector[Sector_Name],MATCH(CollectionCostTotal[[#This Row],[Sector_ID]],Sector[Sector_ID],0))</f>
        <v>SF Res. (on-route)</v>
      </c>
      <c r="H91" s="35" t="s">
        <v>876</v>
      </c>
      <c r="I91" s="18" t="s">
        <v>806</v>
      </c>
      <c r="J91" s="35" t="s">
        <v>64</v>
      </c>
      <c r="K91" s="35" t="str">
        <f>INDEX(Frequency[Collection_Frequency],MATCH(CollectionCostTotal[[#This Row],[Frequency_ID]],Frequency[Orig_Frequency_ID],0)+(CollectionCostTotal[[#This Row],[SS_or_DS]]="DS")*COUNTA(Frequency[Orig_Frequency_ID])/2)</f>
        <v>Weekly</v>
      </c>
      <c r="L91" s="35">
        <v>2025</v>
      </c>
      <c r="M9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365186.16509931785</v>
      </c>
      <c r="N91" s="99">
        <f>SUMIFS(CustCntSrcs[Number],CustCntSrcs[Grouping_ID],CollectionCostTotal[[#This Row],[Grouping_ID]],CustCntSrcs[Sector_ID],CollectionCostTotal[[#This Row],[Sector_ID]])</f>
        <v>0.25090000000000001</v>
      </c>
      <c r="O91" s="100">
        <f>CollectionCostTotal[[#This Row],[Population]]*CollectionCostTotal[[#This Row],[Pct. Customers/Pop]]</f>
        <v>91625.208823418856</v>
      </c>
      <c r="P9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102513.97639188579</v>
      </c>
      <c r="Q91" s="101">
        <f>CollectionCostTotal[[#This Row],[Customers]]*INDEX(LaborCostPerLift[Annual_Labor_Cost_Per_Customer],MATCH(CollectionCostTotal[[#This Row],[Collection_ID]],LaborCostPerLift[Collection_ID],0))*(IF(CollectionCostTotal[[#This Row],[Year]]=2025,SUMIFS(CustCntSrcs[Number],CustCntSrcs[Source_ID],$Q$33),1))</f>
        <v>3659128.2695488357</v>
      </c>
      <c r="R9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274284.05880998657</v>
      </c>
      <c r="S9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733193.0515072915</v>
      </c>
      <c r="T9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2223634.8994612186</v>
      </c>
      <c r="U91" s="101">
        <f>CollectionCostTotal[[#This Row],[Customers]]*INDEX(ContainerMarginAdmin[Annual_Admin_Per_Customer],MATCH(CollectionCostTotal[[#This Row],[Collection_ID]],ContainerMarginAdmin[Collection_ID],0))*(IF(CollectionCostTotal[[#This Row],[Year]]=2025,SUMIFS(CustCntSrcs[Number],CustCntSrcs[Source_ID],$U$33),1))</f>
        <v>1585405.3209771351</v>
      </c>
      <c r="V91" s="101">
        <f>(SUMIFS(CustCntSrcs[Number],CustCntSrcs[Source_ID],$V$33)/(1-SUMIFS(CustCntSrcs[Number],CustCntSrcs[Source_ID],$V$33)))*SUM(CollectionCostTotal[[#This Row],[Collection_Labor]],CollectionCostTotal[[#This Row],[Annual_Container_Cost]],CollectionCostTotal[[#This Row],[Collection_Ops]])</f>
        <v>1086537.7460858896</v>
      </c>
      <c r="W9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9664697.3227822427</v>
      </c>
      <c r="AA91" s="35"/>
      <c r="AC91" s="28"/>
    </row>
    <row r="92" spans="2:29" ht="15" x14ac:dyDescent="0.25">
      <c r="B92" s="209" t="str">
        <f>CollectionCostTotal[[#This Row],[Grouping_ID]]&amp;"-"&amp;CollectionCostTotal[[#This Row],[Sector_ID]]&amp;"-"&amp;CollectionCostTotal[[#This Row],[Frequency_ID]]&amp;"-"&amp;CollectionCostTotal[[#This Row],[SS_or_DS]]</f>
        <v>2-1-E-SS</v>
      </c>
      <c r="C92" s="209" t="str">
        <f>CollectionCostTotal[[#This Row],[Grouping_ID]]&amp;"-"&amp;CollectionCostTotal[[#This Row],[Sector_ID]]&amp;"-"&amp;CollectionCostTotal[[#This Row],[SS_or_DS]]</f>
        <v>2-1-SS</v>
      </c>
      <c r="D92" s="35">
        <v>2</v>
      </c>
      <c r="E92" s="35" t="str">
        <f>INDEX(Grouping[Grouping_Name],MATCH(CollectionCostTotal[[#This Row],[Grouping_ID]],Grouping[Grouping_ID],0))</f>
        <v>2 - Willamette Valley, etc.</v>
      </c>
      <c r="F92" s="35">
        <v>1</v>
      </c>
      <c r="G92" s="24" t="str">
        <f>INDEX(Sector[Sector_Name],MATCH(CollectionCostTotal[[#This Row],[Sector_ID]],Sector[Sector_ID],0))</f>
        <v>SF Res. (on-route)</v>
      </c>
      <c r="H92" s="35" t="s">
        <v>876</v>
      </c>
      <c r="I92" s="18" t="s">
        <v>806</v>
      </c>
      <c r="J92" s="35" t="s">
        <v>53</v>
      </c>
      <c r="K92" s="35" t="str">
        <f>INDEX(Frequency[Collection_Frequency],MATCH(CollectionCostTotal[[#This Row],[Frequency_ID]],Frequency[Orig_Frequency_ID],0)+(CollectionCostTotal[[#This Row],[SS_or_DS]]="DS")*COUNTA(Frequency[Orig_Frequency_ID])/2)</f>
        <v>Every other week</v>
      </c>
      <c r="L92" s="35">
        <v>2025</v>
      </c>
      <c r="M9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1144761.8824050445</v>
      </c>
      <c r="N92" s="99">
        <f>SUMIFS(CustCntSrcs[Number],CustCntSrcs[Grouping_ID],CollectionCostTotal[[#This Row],[Grouping_ID]],CustCntSrcs[Sector_ID],CollectionCostTotal[[#This Row],[Sector_ID]])</f>
        <v>0.25090000000000001</v>
      </c>
      <c r="O92" s="100">
        <f>CollectionCostTotal[[#This Row],[Population]]*CollectionCostTotal[[#This Row],[Pct. Customers/Pop]]</f>
        <v>287220.7562954257</v>
      </c>
      <c r="P9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321354.15796840296</v>
      </c>
      <c r="Q92" s="101">
        <f>CollectionCostTotal[[#This Row],[Customers]]*INDEX(LaborCostPerLift[Annual_Labor_Cost_Per_Customer],MATCH(CollectionCostTotal[[#This Row],[Collection_ID]],LaborCostPerLift[Collection_ID],0))*(IF(CollectionCostTotal[[#This Row],[Year]]=2025,SUMIFS(CustCntSrcs[Number],CustCntSrcs[Source_ID],$Q$33),1))</f>
        <v>8899952.409220228</v>
      </c>
      <c r="R9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634737.09031003586</v>
      </c>
      <c r="S9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1696725.7454494475</v>
      </c>
      <c r="T9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5145846.069653078</v>
      </c>
      <c r="U92" s="101">
        <f>CollectionCostTotal[[#This Row],[Customers]]*INDEX(ContainerMarginAdmin[Annual_Admin_Per_Customer],MATCH(CollectionCostTotal[[#This Row],[Collection_ID]],ContainerMarginAdmin[Collection_ID],0))*(IF(CollectionCostTotal[[#This Row],[Year]]=2025,SUMIFS(CustCntSrcs[Number],CustCntSrcs[Source_ID],$U$33),1))</f>
        <v>3475473.102058081</v>
      </c>
      <c r="V92" s="101">
        <f>(SUMIFS(CustCntSrcs[Number],CustCntSrcs[Source_ID],$V$33)/(1-SUMIFS(CustCntSrcs[Number],CustCntSrcs[Source_ID],$V$33)))*SUM(CollectionCostTotal[[#This Row],[Collection_Labor]],CollectionCostTotal[[#This Row],[Annual_Container_Cost]],CollectionCostTotal[[#This Row],[Collection_Ops]])</f>
        <v>2590682.747502943</v>
      </c>
      <c r="W9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22764771.322162215</v>
      </c>
      <c r="AA92" s="35"/>
      <c r="AC92" s="28"/>
    </row>
    <row r="93" spans="2:29" ht="15" x14ac:dyDescent="0.25">
      <c r="B93" s="209" t="str">
        <f>CollectionCostTotal[[#This Row],[Grouping_ID]]&amp;"-"&amp;CollectionCostTotal[[#This Row],[Sector_ID]]&amp;"-"&amp;CollectionCostTotal[[#This Row],[Frequency_ID]]&amp;"-"&amp;CollectionCostTotal[[#This Row],[SS_or_DS]]</f>
        <v>2-1-U-SS</v>
      </c>
      <c r="C93" s="209" t="str">
        <f>CollectionCostTotal[[#This Row],[Grouping_ID]]&amp;"-"&amp;CollectionCostTotal[[#This Row],[Sector_ID]]&amp;"-"&amp;CollectionCostTotal[[#This Row],[SS_or_DS]]</f>
        <v>2-1-SS</v>
      </c>
      <c r="D93" s="35">
        <v>2</v>
      </c>
      <c r="E93" s="35" t="str">
        <f>INDEX(Grouping[Grouping_Name],MATCH(CollectionCostTotal[[#This Row],[Grouping_ID]],Grouping[Grouping_ID],0))</f>
        <v>2 - Willamette Valley, etc.</v>
      </c>
      <c r="F93" s="35">
        <v>1</v>
      </c>
      <c r="G93" s="24" t="str">
        <f>INDEX(Sector[Sector_Name],MATCH(CollectionCostTotal[[#This Row],[Sector_ID]],Sector[Sector_ID],0))</f>
        <v>SF Res. (on-route)</v>
      </c>
      <c r="H93" s="35" t="s">
        <v>876</v>
      </c>
      <c r="I93" s="18" t="s">
        <v>806</v>
      </c>
      <c r="J93" s="35" t="s">
        <v>65</v>
      </c>
      <c r="K93" s="35" t="str">
        <f>INDEX(Frequency[Collection_Frequency],MATCH(CollectionCostTotal[[#This Row],[Frequency_ID]],Frequency[Orig_Frequency_ID],0)+(CollectionCostTotal[[#This Row],[SS_or_DS]]="DS")*COUNTA(Frequency[Orig_Frequency_ID])/2)</f>
        <v>Uncertain</v>
      </c>
      <c r="L93" s="35">
        <v>2025</v>
      </c>
      <c r="M9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93" s="99">
        <f>SUMIFS(CustCntSrcs[Number],CustCntSrcs[Grouping_ID],CollectionCostTotal[[#This Row],[Grouping_ID]],CustCntSrcs[Sector_ID],CollectionCostTotal[[#This Row],[Sector_ID]])</f>
        <v>0.25090000000000001</v>
      </c>
      <c r="O93" s="100">
        <f>CollectionCostTotal[[#This Row],[Population]]*CollectionCostTotal[[#This Row],[Pct. Customers/Pop]]</f>
        <v>0</v>
      </c>
      <c r="P9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93" s="101">
        <f>CollectionCostTotal[[#This Row],[Customers]]*INDEX(LaborCostPerLift[Annual_Labor_Cost_Per_Customer],MATCH(CollectionCostTotal[[#This Row],[Collection_ID]],LaborCostPerLift[Collection_ID],0))*(IF(CollectionCostTotal[[#This Row],[Year]]=2025,SUMIFS(CustCntSrcs[Number],CustCntSrcs[Source_ID],$Q$33),1))</f>
        <v>0</v>
      </c>
      <c r="R9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9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9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93" s="101">
        <f>CollectionCostTotal[[#This Row],[Customers]]*INDEX(ContainerMarginAdmin[Annual_Admin_Per_Customer],MATCH(CollectionCostTotal[[#This Row],[Collection_ID]],ContainerMarginAdmin[Collection_ID],0))*(IF(CollectionCostTotal[[#This Row],[Year]]=2025,SUMIFS(CustCntSrcs[Number],CustCntSrcs[Source_ID],$U$33),1))</f>
        <v>0</v>
      </c>
      <c r="V93" s="101">
        <f>(SUMIFS(CustCntSrcs[Number],CustCntSrcs[Source_ID],$V$33)/(1-SUMIFS(CustCntSrcs[Number],CustCntSrcs[Source_ID],$V$33)))*SUM(CollectionCostTotal[[#This Row],[Collection_Labor]],CollectionCostTotal[[#This Row],[Annual_Container_Cost]],CollectionCostTotal[[#This Row],[Collection_Ops]])</f>
        <v>0</v>
      </c>
      <c r="W9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93" s="35"/>
      <c r="AC93" s="28"/>
    </row>
    <row r="94" spans="2:29" ht="15" x14ac:dyDescent="0.25">
      <c r="B94" s="209" t="str">
        <f>CollectionCostTotal[[#This Row],[Grouping_ID]]&amp;"-"&amp;CollectionCostTotal[[#This Row],[Sector_ID]]&amp;"-"&amp;CollectionCostTotal[[#This Row],[Frequency_ID]]&amp;"-"&amp;CollectionCostTotal[[#This Row],[SS_or_DS]]</f>
        <v>3-1-W-SS</v>
      </c>
      <c r="C94" s="209" t="str">
        <f>CollectionCostTotal[[#This Row],[Grouping_ID]]&amp;"-"&amp;CollectionCostTotal[[#This Row],[Sector_ID]]&amp;"-"&amp;CollectionCostTotal[[#This Row],[SS_or_DS]]</f>
        <v>3-1-SS</v>
      </c>
      <c r="D94" s="35">
        <v>3</v>
      </c>
      <c r="E94" s="35" t="str">
        <f>INDEX(Grouping[Grouping_Name],MATCH(CollectionCostTotal[[#This Row],[Grouping_ID]],Grouping[Grouping_ID],0))</f>
        <v>3 - Other areas with curbside</v>
      </c>
      <c r="F94" s="35">
        <v>1</v>
      </c>
      <c r="G94" s="24" t="str">
        <f>INDEX(Sector[Sector_Name],MATCH(CollectionCostTotal[[#This Row],[Sector_ID]],Sector[Sector_ID],0))</f>
        <v>SF Res. (on-route)</v>
      </c>
      <c r="H94" s="35" t="s">
        <v>876</v>
      </c>
      <c r="I94" s="18" t="s">
        <v>806</v>
      </c>
      <c r="J94" s="35" t="s">
        <v>64</v>
      </c>
      <c r="K94" s="35" t="str">
        <f>INDEX(Frequency[Collection_Frequency],MATCH(CollectionCostTotal[[#This Row],[Frequency_ID]],Frequency[Orig_Frequency_ID],0)+(CollectionCostTotal[[#This Row],[SS_or_DS]]="DS")*COUNTA(Frequency[Orig_Frequency_ID])/2)</f>
        <v>Weekly</v>
      </c>
      <c r="L94" s="35">
        <v>2025</v>
      </c>
      <c r="M9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219262.41443309668</v>
      </c>
      <c r="N94" s="99">
        <f>SUMIFS(CustCntSrcs[Number],CustCntSrcs[Grouping_ID],CollectionCostTotal[[#This Row],[Grouping_ID]],CustCntSrcs[Sector_ID],CollectionCostTotal[[#This Row],[Sector_ID]])</f>
        <v>0.26100000000000001</v>
      </c>
      <c r="O94" s="100">
        <f>CollectionCostTotal[[#This Row],[Population]]*CollectionCostTotal[[#This Row],[Pct. Customers/Pop]]</f>
        <v>57227.490167038239</v>
      </c>
      <c r="P9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64028.422431831466</v>
      </c>
      <c r="Q94" s="101">
        <f>CollectionCostTotal[[#This Row],[Customers]]*INDEX(LaborCostPerLift[Annual_Labor_Cost_Per_Customer],MATCH(CollectionCostTotal[[#This Row],[Collection_ID]],LaborCostPerLift[Collection_ID],0))*(IF(CollectionCostTotal[[#This Row],[Year]]=2025,SUMIFS(CustCntSrcs[Number],CustCntSrcs[Source_ID],$Q$33),1))</f>
        <v>2861845.8077223087</v>
      </c>
      <c r="R9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147700.88362564368</v>
      </c>
      <c r="S9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839734.37763233646</v>
      </c>
      <c r="T9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1760048.7838936553</v>
      </c>
      <c r="U94" s="101">
        <f>CollectionCostTotal[[#This Row],[Customers]]*INDEX(ContainerMarginAdmin[Annual_Admin_Per_Customer],MATCH(CollectionCostTotal[[#This Row],[Collection_ID]],ContainerMarginAdmin[Collection_ID],0))*(IF(CollectionCostTotal[[#This Row],[Year]]=2025,SUMIFS(CustCntSrcs[Number],CustCntSrcs[Source_ID],$U$33),1))</f>
        <v>1330318.2703114441</v>
      </c>
      <c r="V94" s="101">
        <f>(SUMIFS(CustCntSrcs[Number],CustCntSrcs[Source_ID],$V$33)/(1-SUMIFS(CustCntSrcs[Number],CustCntSrcs[Source_ID],$V$33)))*SUM(CollectionCostTotal[[#This Row],[Collection_Labor]],CollectionCostTotal[[#This Row],[Annual_Container_Cost]],CollectionCostTotal[[#This Row],[Collection_Ops]])</f>
        <v>841693.31916028378</v>
      </c>
      <c r="W9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7845369.8647775026</v>
      </c>
      <c r="AA94" s="35"/>
      <c r="AC94" s="28"/>
    </row>
    <row r="95" spans="2:29" ht="15" x14ac:dyDescent="0.25">
      <c r="B95" s="209" t="str">
        <f>CollectionCostTotal[[#This Row],[Grouping_ID]]&amp;"-"&amp;CollectionCostTotal[[#This Row],[Sector_ID]]&amp;"-"&amp;CollectionCostTotal[[#This Row],[Frequency_ID]]&amp;"-"&amp;CollectionCostTotal[[#This Row],[SS_or_DS]]</f>
        <v>3-1-E-SS</v>
      </c>
      <c r="C95" s="209" t="str">
        <f>CollectionCostTotal[[#This Row],[Grouping_ID]]&amp;"-"&amp;CollectionCostTotal[[#This Row],[Sector_ID]]&amp;"-"&amp;CollectionCostTotal[[#This Row],[SS_or_DS]]</f>
        <v>3-1-SS</v>
      </c>
      <c r="D95" s="35">
        <v>3</v>
      </c>
      <c r="E95" s="35" t="str">
        <f>INDEX(Grouping[Grouping_Name],MATCH(CollectionCostTotal[[#This Row],[Grouping_ID]],Grouping[Grouping_ID],0))</f>
        <v>3 - Other areas with curbside</v>
      </c>
      <c r="F95" s="35">
        <v>1</v>
      </c>
      <c r="G95" s="24" t="str">
        <f>INDEX(Sector[Sector_Name],MATCH(CollectionCostTotal[[#This Row],[Sector_ID]],Sector[Sector_ID],0))</f>
        <v>SF Res. (on-route)</v>
      </c>
      <c r="H95" s="35" t="s">
        <v>876</v>
      </c>
      <c r="I95" s="18" t="s">
        <v>806</v>
      </c>
      <c r="J95" s="35" t="s">
        <v>53</v>
      </c>
      <c r="K95" s="35" t="str">
        <f>INDEX(Frequency[Collection_Frequency],MATCH(CollectionCostTotal[[#This Row],[Frequency_ID]],Frequency[Orig_Frequency_ID],0)+(CollectionCostTotal[[#This Row],[SS_or_DS]]="DS")*COUNTA(Frequency[Orig_Frequency_ID])/2)</f>
        <v>Every other week</v>
      </c>
      <c r="L95" s="35">
        <v>2025</v>
      </c>
      <c r="M9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347391.69092319539</v>
      </c>
      <c r="N95" s="99">
        <f>SUMIFS(CustCntSrcs[Number],CustCntSrcs[Grouping_ID],CollectionCostTotal[[#This Row],[Grouping_ID]],CustCntSrcs[Sector_ID],CollectionCostTotal[[#This Row],[Sector_ID]])</f>
        <v>0.26100000000000001</v>
      </c>
      <c r="O95" s="100">
        <f>CollectionCostTotal[[#This Row],[Population]]*CollectionCostTotal[[#This Row],[Pct. Customers/Pop]]</f>
        <v>90669.231330954004</v>
      </c>
      <c r="P9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101444.39024466526</v>
      </c>
      <c r="Q95" s="101">
        <f>CollectionCostTotal[[#This Row],[Customers]]*INDEX(LaborCostPerLift[Annual_Labor_Cost_Per_Customer],MATCH(CollectionCostTotal[[#This Row],[Collection_ID]],LaborCostPerLift[Collection_ID],0))*(IF(CollectionCostTotal[[#This Row],[Year]]=2025,SUMIFS(CustCntSrcs[Number],CustCntSrcs[Source_ID],$Q$33),1))</f>
        <v>3891020.814480288</v>
      </c>
      <c r="R9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172755.06656660352</v>
      </c>
      <c r="S9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982176.71245504357</v>
      </c>
      <c r="T9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2058602.070334723</v>
      </c>
      <c r="U95" s="101">
        <f>CollectionCostTotal[[#This Row],[Customers]]*INDEX(ContainerMarginAdmin[Annual_Admin_Per_Customer],MATCH(CollectionCostTotal[[#This Row],[Collection_ID]],ContainerMarginAdmin[Collection_ID],0))*(IF(CollectionCostTotal[[#This Row],[Year]]=2025,SUMIFS(CustCntSrcs[Number],CustCntSrcs[Source_ID],$U$33),1))</f>
        <v>2191957.2419979153</v>
      </c>
      <c r="V95" s="101">
        <f>(SUMIFS(CustCntSrcs[Number],CustCntSrcs[Source_ID],$V$33)/(1-SUMIFS(CustCntSrcs[Number],CustCntSrcs[Source_ID],$V$33)))*SUM(CollectionCostTotal[[#This Row],[Collection_Labor]],CollectionCostTotal[[#This Row],[Annual_Container_Cost]],CollectionCostTotal[[#This Row],[Collection_Ops]])</f>
        <v>1080419.6384791085</v>
      </c>
      <c r="W9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10478375.934558347</v>
      </c>
      <c r="AA95" s="35"/>
      <c r="AC95" s="28"/>
    </row>
    <row r="96" spans="2:29" ht="15" x14ac:dyDescent="0.25">
      <c r="B96" s="209" t="str">
        <f>CollectionCostTotal[[#This Row],[Grouping_ID]]&amp;"-"&amp;CollectionCostTotal[[#This Row],[Sector_ID]]&amp;"-"&amp;CollectionCostTotal[[#This Row],[Frequency_ID]]&amp;"-"&amp;CollectionCostTotal[[#This Row],[SS_or_DS]]</f>
        <v>3-1-BM-SS</v>
      </c>
      <c r="C96" s="209" t="str">
        <f>CollectionCostTotal[[#This Row],[Grouping_ID]]&amp;"-"&amp;CollectionCostTotal[[#This Row],[Sector_ID]]&amp;"-"&amp;CollectionCostTotal[[#This Row],[SS_or_DS]]</f>
        <v>3-1-SS</v>
      </c>
      <c r="D96" s="35">
        <v>3</v>
      </c>
      <c r="E96" s="35" t="str">
        <f>INDEX(Grouping[Grouping_Name],MATCH(CollectionCostTotal[[#This Row],[Grouping_ID]],Grouping[Grouping_ID],0))</f>
        <v>3 - Other areas with curbside</v>
      </c>
      <c r="F96" s="35">
        <v>1</v>
      </c>
      <c r="G96" s="24" t="str">
        <f>INDEX(Sector[Sector_Name],MATCH(CollectionCostTotal[[#This Row],[Sector_ID]],Sector[Sector_ID],0))</f>
        <v>SF Res. (on-route)</v>
      </c>
      <c r="H96" s="35" t="s">
        <v>876</v>
      </c>
      <c r="I96" s="18" t="s">
        <v>806</v>
      </c>
      <c r="J96" s="35" t="s">
        <v>66</v>
      </c>
      <c r="K96" s="35" t="str">
        <f>INDEX(Frequency[Collection_Frequency],MATCH(CollectionCostTotal[[#This Row],[Frequency_ID]],Frequency[Orig_Frequency_ID],0)+(CollectionCostTotal[[#This Row],[SS_or_DS]]="DS")*COUNTA(Frequency[Orig_Frequency_ID])/2)</f>
        <v>Bimonthly</v>
      </c>
      <c r="L96" s="35">
        <v>2025</v>
      </c>
      <c r="M9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2720.856747132194</v>
      </c>
      <c r="N96" s="99">
        <f>SUMIFS(CustCntSrcs[Number],CustCntSrcs[Grouping_ID],CollectionCostTotal[[#This Row],[Grouping_ID]],CustCntSrcs[Sector_ID],CollectionCostTotal[[#This Row],[Sector_ID]])</f>
        <v>0.26100000000000001</v>
      </c>
      <c r="O96" s="100">
        <f>CollectionCostTotal[[#This Row],[Population]]*CollectionCostTotal[[#This Row],[Pct. Customers/Pop]]</f>
        <v>710.14361100150268</v>
      </c>
      <c r="P9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794.53729282469499</v>
      </c>
      <c r="Q96" s="101">
        <f>CollectionCostTotal[[#This Row],[Customers]]*INDEX(LaborCostPerLift[Annual_Labor_Cost_Per_Customer],MATCH(CollectionCostTotal[[#This Row],[Collection_ID]],LaborCostPerLift[Collection_ID],0))*(IF(CollectionCostTotal[[#This Row],[Year]]=2025,SUMIFS(CustCntSrcs[Number],CustCntSrcs[Source_ID],$Q$33),1))</f>
        <v>28349.234737724608</v>
      </c>
      <c r="R9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1258.6604307029447</v>
      </c>
      <c r="S9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7155.9519989444489</v>
      </c>
      <c r="T9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14998.581633462647</v>
      </c>
      <c r="U96" s="101">
        <f>CollectionCostTotal[[#This Row],[Customers]]*INDEX(ContainerMarginAdmin[Annual_Admin_Per_Customer],MATCH(CollectionCostTotal[[#This Row],[Collection_ID]],ContainerMarginAdmin[Collection_ID],0))*(IF(CollectionCostTotal[[#This Row],[Year]]=2025,SUMIFS(CustCntSrcs[Number],CustCntSrcs[Source_ID],$U$33),1))</f>
        <v>17167.945599003633</v>
      </c>
      <c r="V96" s="101">
        <f>(SUMIFS(CustCntSrcs[Number],CustCntSrcs[Source_ID],$V$33)/(1-SUMIFS(CustCntSrcs[Number],CustCntSrcs[Source_ID],$V$33)))*SUM(CollectionCostTotal[[#This Row],[Collection_Labor]],CollectionCostTotal[[#This Row],[Annual_Container_Cost]],CollectionCostTotal[[#This Row],[Collection_Ops]])</f>
        <v>7871.7312003335646</v>
      </c>
      <c r="W9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77596.642892996548</v>
      </c>
      <c r="AA96" s="35"/>
      <c r="AC96" s="28"/>
    </row>
    <row r="97" spans="2:29" ht="15" x14ac:dyDescent="0.25">
      <c r="B97" s="209" t="str">
        <f>CollectionCostTotal[[#This Row],[Grouping_ID]]&amp;"-"&amp;CollectionCostTotal[[#This Row],[Sector_ID]]&amp;"-"&amp;CollectionCostTotal[[#This Row],[Frequency_ID]]&amp;"-"&amp;CollectionCostTotal[[#This Row],[SS_or_DS]]</f>
        <v>3-1-M-SS</v>
      </c>
      <c r="C97" s="209" t="str">
        <f>CollectionCostTotal[[#This Row],[Grouping_ID]]&amp;"-"&amp;CollectionCostTotal[[#This Row],[Sector_ID]]&amp;"-"&amp;CollectionCostTotal[[#This Row],[SS_or_DS]]</f>
        <v>3-1-SS</v>
      </c>
      <c r="D97" s="35">
        <v>3</v>
      </c>
      <c r="E97" s="35" t="str">
        <f>INDEX(Grouping[Grouping_Name],MATCH(CollectionCostTotal[[#This Row],[Grouping_ID]],Grouping[Grouping_ID],0))</f>
        <v>3 - Other areas with curbside</v>
      </c>
      <c r="F97" s="35">
        <v>1</v>
      </c>
      <c r="G97" s="24" t="str">
        <f>INDEX(Sector[Sector_Name],MATCH(CollectionCostTotal[[#This Row],[Sector_ID]],Sector[Sector_ID],0))</f>
        <v>SF Res. (on-route)</v>
      </c>
      <c r="H97" s="35" t="s">
        <v>876</v>
      </c>
      <c r="I97" s="18" t="s">
        <v>806</v>
      </c>
      <c r="J97" s="35" t="s">
        <v>67</v>
      </c>
      <c r="K97" s="35" t="str">
        <f>INDEX(Frequency[Collection_Frequency],MATCH(CollectionCostTotal[[#This Row],[Frequency_ID]],Frequency[Orig_Frequency_ID],0)+(CollectionCostTotal[[#This Row],[SS_or_DS]]="DS")*COUNTA(Frequency[Orig_Frequency_ID])/2)</f>
        <v>Monthly</v>
      </c>
      <c r="L97" s="35">
        <v>2025</v>
      </c>
      <c r="M9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8634.829400662129</v>
      </c>
      <c r="N97" s="99">
        <f>SUMIFS(CustCntSrcs[Number],CustCntSrcs[Grouping_ID],CollectionCostTotal[[#This Row],[Grouping_ID]],CustCntSrcs[Sector_ID],CollectionCostTotal[[#This Row],[Sector_ID]])</f>
        <v>0.26100000000000001</v>
      </c>
      <c r="O97" s="100">
        <f>CollectionCostTotal[[#This Row],[Population]]*CollectionCostTotal[[#This Row],[Pct. Customers/Pop]]</f>
        <v>2253.6904735728158</v>
      </c>
      <c r="P9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2521.5197320610137</v>
      </c>
      <c r="Q97" s="101">
        <f>CollectionCostTotal[[#This Row],[Customers]]*INDEX(LaborCostPerLift[Annual_Labor_Cost_Per_Customer],MATCH(CollectionCostTotal[[#This Row],[Collection_ID]],LaborCostPerLift[Collection_ID],0))*(IF(CollectionCostTotal[[#This Row],[Year]]=2025,SUMIFS(CustCntSrcs[Number],CustCntSrcs[Source_ID],$Q$33),1))</f>
        <v>44984.140722878583</v>
      </c>
      <c r="R9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1997.2235039457967</v>
      </c>
      <c r="S9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11354.957363216585</v>
      </c>
      <c r="T9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23799.524505169029</v>
      </c>
      <c r="U97" s="101">
        <f>CollectionCostTotal[[#This Row],[Customers]]*INDEX(ContainerMarginAdmin[Annual_Admin_Per_Customer],MATCH(CollectionCostTotal[[#This Row],[Collection_ID]],ContainerMarginAdmin[Collection_ID],0))*(IF(CollectionCostTotal[[#This Row],[Year]]=2025,SUMIFS(CustCntSrcs[Number],CustCntSrcs[Source_ID],$U$33),1))</f>
        <v>54483.677453248216</v>
      </c>
      <c r="V97" s="101">
        <f>(SUMIFS(CustCntSrcs[Number],CustCntSrcs[Source_ID],$V$33)/(1-SUMIFS(CustCntSrcs[Number],CustCntSrcs[Source_ID],$V$33)))*SUM(CollectionCostTotal[[#This Row],[Collection_Labor]],CollectionCostTotal[[#This Row],[Annual_Container_Cost]],CollectionCostTotal[[#This Row],[Collection_Ops]])</f>
        <v>12490.745070351781</v>
      </c>
      <c r="W9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151631.78835087101</v>
      </c>
      <c r="AA97" s="35"/>
      <c r="AC97" s="28"/>
    </row>
    <row r="98" spans="2:29" ht="15" x14ac:dyDescent="0.25">
      <c r="B98" s="209" t="str">
        <f>CollectionCostTotal[[#This Row],[Grouping_ID]]&amp;"-"&amp;CollectionCostTotal[[#This Row],[Sector_ID]]&amp;"-"&amp;CollectionCostTotal[[#This Row],[Frequency_ID]]&amp;"-"&amp;CollectionCostTotal[[#This Row],[SS_or_DS]]</f>
        <v>3-1-U-SS</v>
      </c>
      <c r="C98" s="209" t="str">
        <f>CollectionCostTotal[[#This Row],[Grouping_ID]]&amp;"-"&amp;CollectionCostTotal[[#This Row],[Sector_ID]]&amp;"-"&amp;CollectionCostTotal[[#This Row],[SS_or_DS]]</f>
        <v>3-1-SS</v>
      </c>
      <c r="D98" s="126">
        <v>3</v>
      </c>
      <c r="E98" s="35" t="str">
        <f>INDEX(Grouping[Grouping_Name],MATCH(CollectionCostTotal[[#This Row],[Grouping_ID]],Grouping[Grouping_ID],0))</f>
        <v>3 - Other areas with curbside</v>
      </c>
      <c r="F98" s="35">
        <v>1</v>
      </c>
      <c r="G98" s="24" t="str">
        <f>INDEX(Sector[Sector_Name],MATCH(CollectionCostTotal[[#This Row],[Sector_ID]],Sector[Sector_ID],0))</f>
        <v>SF Res. (on-route)</v>
      </c>
      <c r="H98" s="35" t="s">
        <v>876</v>
      </c>
      <c r="I98" s="18" t="s">
        <v>806</v>
      </c>
      <c r="J98" s="35" t="s">
        <v>65</v>
      </c>
      <c r="K98" s="35" t="str">
        <f>INDEX(Frequency[Collection_Frequency],MATCH(CollectionCostTotal[[#This Row],[Frequency_ID]],Frequency[Orig_Frequency_ID],0)+(CollectionCostTotal[[#This Row],[SS_or_DS]]="DS")*COUNTA(Frequency[Orig_Frequency_ID])/2)</f>
        <v>Uncertain</v>
      </c>
      <c r="L98" s="35">
        <v>2025</v>
      </c>
      <c r="M98" s="128">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98" s="159">
        <f>SUMIFS(CustCntSrcs[Number],CustCntSrcs[Grouping_ID],CollectionCostTotal[[#This Row],[Grouping_ID]],CustCntSrcs[Sector_ID],CollectionCostTotal[[#This Row],[Sector_ID]])</f>
        <v>0.26100000000000001</v>
      </c>
      <c r="O98" s="160">
        <f>CollectionCostTotal[[#This Row],[Population]]*CollectionCostTotal[[#This Row],[Pct. Customers/Pop]]</f>
        <v>0</v>
      </c>
      <c r="P98" s="16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98" s="161">
        <f>CollectionCostTotal[[#This Row],[Customers]]*INDEX(LaborCostPerLift[Annual_Labor_Cost_Per_Customer],MATCH(CollectionCostTotal[[#This Row],[Collection_ID]],LaborCostPerLift[Collection_ID],0))*(IF(CollectionCostTotal[[#This Row],[Year]]=2025,SUMIFS(CustCntSrcs[Number],CustCntSrcs[Source_ID],$Q$33),1))</f>
        <v>0</v>
      </c>
      <c r="R98" s="16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98" s="16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98" s="16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98" s="161">
        <f>CollectionCostTotal[[#This Row],[Customers]]*INDEX(ContainerMarginAdmin[Annual_Admin_Per_Customer],MATCH(CollectionCostTotal[[#This Row],[Collection_ID]],ContainerMarginAdmin[Collection_ID],0))*(IF(CollectionCostTotal[[#This Row],[Year]]=2025,SUMIFS(CustCntSrcs[Number],CustCntSrcs[Source_ID],$U$33),1))</f>
        <v>0</v>
      </c>
      <c r="V98" s="161">
        <f>(SUMIFS(CustCntSrcs[Number],CustCntSrcs[Source_ID],$V$33)/(1-SUMIFS(CustCntSrcs[Number],CustCntSrcs[Source_ID],$V$33)))*SUM(CollectionCostTotal[[#This Row],[Collection_Labor]],CollectionCostTotal[[#This Row],[Annual_Container_Cost]],CollectionCostTotal[[#This Row],[Collection_Ops]])</f>
        <v>0</v>
      </c>
      <c r="W98" s="129">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98" s="35"/>
      <c r="AC98" s="28"/>
    </row>
    <row r="99" spans="2:29" ht="15" x14ac:dyDescent="0.25">
      <c r="B99" s="209" t="str">
        <f>CollectionCostTotal[[#This Row],[Grouping_ID]]&amp;"-"&amp;CollectionCostTotal[[#This Row],[Sector_ID]]&amp;"-"&amp;CollectionCostTotal[[#This Row],[Frequency_ID]]&amp;"-"&amp;CollectionCostTotal[[#This Row],[SS_or_DS]]</f>
        <v>1-2-V-SS</v>
      </c>
      <c r="C99" s="209" t="str">
        <f>CollectionCostTotal[[#This Row],[Grouping_ID]]&amp;"-"&amp;CollectionCostTotal[[#This Row],[Sector_ID]]&amp;"-"&amp;CollectionCostTotal[[#This Row],[SS_or_DS]]</f>
        <v>1-2-SS</v>
      </c>
      <c r="D99" s="35">
        <v>1</v>
      </c>
      <c r="E99" s="24" t="str">
        <f>INDEX(Grouping[Grouping_Name],MATCH(CollectionCostTotal[[#This Row],[Grouping_ID]],Grouping[Grouping_ID],0))</f>
        <v>1 - Metro area</v>
      </c>
      <c r="F99" s="35">
        <v>2</v>
      </c>
      <c r="G99" s="24" t="str">
        <f>INDEX(Sector[Sector_Name],MATCH(CollectionCostTotal[[#This Row],[Sector_ID]],Sector[Sector_ID],0))</f>
        <v>MF Res. (on-route)</v>
      </c>
      <c r="H99" s="24" t="s">
        <v>875</v>
      </c>
      <c r="I99" s="289" t="s">
        <v>806</v>
      </c>
      <c r="J99" s="35" t="s">
        <v>91</v>
      </c>
      <c r="K99" s="24" t="str">
        <f>INDEX(Frequency[Collection_Frequency],MATCH(CollectionCostTotal[[#This Row],[Frequency_ID]],Frequency[Orig_Frequency_ID],0)+(CollectionCostTotal[[#This Row],[SS_or_DS]]="DS")*COUNTA(Frequency[Orig_Frequency_ID])/2)</f>
        <v>Varies by customer need</v>
      </c>
      <c r="L99" s="35">
        <v>2018</v>
      </c>
      <c r="M9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99" s="99">
        <f>SUMIFS(CustCntSrcs[Number],CustCntSrcs[Grouping_ID],CollectionCostTotal[[#This Row],[Grouping_ID]],CustCntSrcs[Sector_ID],CollectionCostTotal[[#This Row],[Sector_ID]])</f>
        <v>4.0829601659520629E-3</v>
      </c>
      <c r="O99" s="100">
        <f>CollectionCostTotal[[#This Row],[Population]]*CollectionCostTotal[[#This Row],[Pct. Customers/Pop]]</f>
        <v>6651.3217605832124</v>
      </c>
      <c r="P9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6651.3217605832124</v>
      </c>
      <c r="Q99" s="101">
        <f>CollectionCostTotal[[#This Row],[Customers]]*INDEX(LaborCostPerLift[Annual_Labor_Cost_Per_Customer],MATCH(CollectionCostTotal[[#This Row],[Collection_ID]],LaborCostPerLift[Collection_ID],0))*(IF(CollectionCostTotal[[#This Row],[Year]]=2025,SUMIFS(CustCntSrcs[Number],CustCntSrcs[Source_ID],$Q$33),1))</f>
        <v>2490954.355166534</v>
      </c>
      <c r="R9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81431.471111412888</v>
      </c>
      <c r="S9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544981.08480045199</v>
      </c>
      <c r="T9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1412417.2705413522</v>
      </c>
      <c r="U99" s="101">
        <f>CollectionCostTotal[[#This Row],[Customers]]*INDEX(ContainerMarginAdmin[Annual_Admin_Per_Customer],MATCH(CollectionCostTotal[[#This Row],[Collection_ID]],ContainerMarginAdmin[Collection_ID],0))*(IF(CollectionCostTotal[[#This Row],[Year]]=2025,SUMIFS(CustCntSrcs[Number],CustCntSrcs[Source_ID],$U$33),1))</f>
        <v>1352078.178873406</v>
      </c>
      <c r="V99" s="101">
        <f>(SUMIFS(CustCntSrcs[Number],CustCntSrcs[Source_ID],$V$33)/(1-SUMIFS(CustCntSrcs[Number],CustCntSrcs[Source_ID],$V$33)))*SUM(CollectionCostTotal[[#This Row],[Collection_Labor]],CollectionCostTotal[[#This Row],[Annual_Container_Cost]],CollectionCostTotal[[#This Row],[Collection_Ops]])</f>
        <v>703200.54649752344</v>
      </c>
      <c r="W9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6591714.2287512636</v>
      </c>
    </row>
    <row r="100" spans="2:29" ht="15" x14ac:dyDescent="0.25">
      <c r="B100" s="209" t="str">
        <f>CollectionCostTotal[[#This Row],[Grouping_ID]]&amp;"-"&amp;CollectionCostTotal[[#This Row],[Sector_ID]]&amp;"-"&amp;CollectionCostTotal[[#This Row],[Frequency_ID]]&amp;"-"&amp;CollectionCostTotal[[#This Row],[SS_or_DS]]</f>
        <v>1-3-V-SS</v>
      </c>
      <c r="C100" s="209" t="str">
        <f>CollectionCostTotal[[#This Row],[Grouping_ID]]&amp;"-"&amp;CollectionCostTotal[[#This Row],[Sector_ID]]&amp;"-"&amp;CollectionCostTotal[[#This Row],[SS_or_DS]]</f>
        <v>1-3-SS</v>
      </c>
      <c r="D100" s="35">
        <v>1</v>
      </c>
      <c r="E100" s="24" t="str">
        <f>INDEX(Grouping[Grouping_Name],MATCH(CollectionCostTotal[[#This Row],[Grouping_ID]],Grouping[Grouping_ID],0))</f>
        <v>1 - Metro area</v>
      </c>
      <c r="F100" s="35">
        <v>3</v>
      </c>
      <c r="G100" s="24" t="str">
        <f>INDEX(Sector[Sector_Name],MATCH(CollectionCostTotal[[#This Row],[Sector_ID]],Sector[Sector_ID],0))</f>
        <v>Commercial (on-route)</v>
      </c>
      <c r="H100" s="24" t="s">
        <v>875</v>
      </c>
      <c r="I100" s="289" t="s">
        <v>806</v>
      </c>
      <c r="J100" s="35" t="s">
        <v>91</v>
      </c>
      <c r="K100" s="24" t="str">
        <f>INDEX(Frequency[Collection_Frequency],MATCH(CollectionCostTotal[[#This Row],[Frequency_ID]],Frequency[Orig_Frequency_ID],0)+(CollectionCostTotal[[#This Row],[SS_or_DS]]="DS")*COUNTA(Frequency[Orig_Frequency_ID])/2)</f>
        <v>Varies by customer need</v>
      </c>
      <c r="L100" s="35">
        <v>2018</v>
      </c>
      <c r="M10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100" s="99">
        <f>SUMIFS(CustCntSrcs[Number],CustCntSrcs[Grouping_ID],CollectionCostTotal[[#This Row],[Grouping_ID]],CustCntSrcs[Sector_ID],CollectionCostTotal[[#This Row],[Sector_ID]])</f>
        <v>2.0077661123032196E-2</v>
      </c>
      <c r="O100" s="100">
        <f>CollectionCostTotal[[#This Row],[Population]]*CollectionCostTotal[[#This Row],[Pct. Customers/Pop]]</f>
        <v>32707.393386508858</v>
      </c>
      <c r="P10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32707.393386508858</v>
      </c>
      <c r="Q100" s="101">
        <f>CollectionCostTotal[[#This Row],[Customers]]*INDEX(LaborCostPerLift[Annual_Labor_Cost_Per_Customer],MATCH(CollectionCostTotal[[#This Row],[Collection_ID]],LaborCostPerLift[Collection_ID],0))*(IF(CollectionCostTotal[[#This Row],[Year]]=2025,SUMIFS(CustCntSrcs[Number],CustCntSrcs[Source_ID],$Q$33),1))</f>
        <v>12249087.765545944</v>
      </c>
      <c r="R10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400433.36581112491</v>
      </c>
      <c r="S10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2679905.042995811</v>
      </c>
      <c r="T10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6945459.7080632653</v>
      </c>
      <c r="U100" s="101">
        <f>CollectionCostTotal[[#This Row],[Customers]]*INDEX(ContainerMarginAdmin[Annual_Admin_Per_Customer],MATCH(CollectionCostTotal[[#This Row],[Collection_ID]],ContainerMarginAdmin[Collection_ID],0))*(IF(CollectionCostTotal[[#This Row],[Year]]=2025,SUMIFS(CustCntSrcs[Number],CustCntSrcs[Source_ID],$U$33),1))</f>
        <v>6648746.5916623091</v>
      </c>
      <c r="V100" s="101">
        <f>(SUMIFS(CustCntSrcs[Number],CustCntSrcs[Source_ID],$V$33)/(1-SUMIFS(CustCntSrcs[Number],CustCntSrcs[Source_ID],$V$33)))*SUM(CollectionCostTotal[[#This Row],[Collection_Labor]],CollectionCostTotal[[#This Row],[Annual_Container_Cost]],CollectionCostTotal[[#This Row],[Collection_Ops]])</f>
        <v>3457937.795191824</v>
      </c>
      <c r="W10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32414277.662656788</v>
      </c>
    </row>
    <row r="101" spans="2:29" ht="15" x14ac:dyDescent="0.25">
      <c r="B101" s="209" t="str">
        <f>CollectionCostTotal[[#This Row],[Grouping_ID]]&amp;"-"&amp;CollectionCostTotal[[#This Row],[Sector_ID]]&amp;"-"&amp;CollectionCostTotal[[#This Row],[Frequency_ID]]&amp;"-"&amp;CollectionCostTotal[[#This Row],[SS_or_DS]]</f>
        <v>2-2-V-SS</v>
      </c>
      <c r="C101" s="209" t="str">
        <f>CollectionCostTotal[[#This Row],[Grouping_ID]]&amp;"-"&amp;CollectionCostTotal[[#This Row],[Sector_ID]]&amp;"-"&amp;CollectionCostTotal[[#This Row],[SS_or_DS]]</f>
        <v>2-2-SS</v>
      </c>
      <c r="D101" s="35">
        <v>2</v>
      </c>
      <c r="E101" s="24" t="str">
        <f>INDEX(Grouping[Grouping_Name],MATCH(CollectionCostTotal[[#This Row],[Grouping_ID]],Grouping[Grouping_ID],0))</f>
        <v>2 - Willamette Valley, etc.</v>
      </c>
      <c r="F101" s="35">
        <v>2</v>
      </c>
      <c r="G101" s="24" t="str">
        <f>INDEX(Sector[Sector_Name],MATCH(CollectionCostTotal[[#This Row],[Sector_ID]],Sector[Sector_ID],0))</f>
        <v>MF Res. (on-route)</v>
      </c>
      <c r="H101" s="24" t="s">
        <v>875</v>
      </c>
      <c r="I101" s="289" t="s">
        <v>806</v>
      </c>
      <c r="J101" s="35" t="s">
        <v>91</v>
      </c>
      <c r="K101" s="24" t="str">
        <f>INDEX(Frequency[Collection_Frequency],MATCH(CollectionCostTotal[[#This Row],[Frequency_ID]],Frequency[Orig_Frequency_ID],0)+(CollectionCostTotal[[#This Row],[SS_or_DS]]="DS")*COUNTA(Frequency[Orig_Frequency_ID])/2)</f>
        <v>Varies by customer need</v>
      </c>
      <c r="L101" s="35">
        <v>2018</v>
      </c>
      <c r="M10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01" s="99">
        <f>SUMIFS(CustCntSrcs[Number],CustCntSrcs[Grouping_ID],CollectionCostTotal[[#This Row],[Grouping_ID]],CustCntSrcs[Sector_ID],CollectionCostTotal[[#This Row],[Sector_ID]])</f>
        <v>6.0000000000000001E-3</v>
      </c>
      <c r="O101" s="100">
        <f>CollectionCostTotal[[#This Row],[Population]]*CollectionCostTotal[[#This Row],[Pct. Customers/Pop]]</f>
        <v>8505.7620000000006</v>
      </c>
      <c r="P10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8505.7620000000006</v>
      </c>
      <c r="Q101" s="101">
        <f>CollectionCostTotal[[#This Row],[Customers]]*INDEX(LaborCostPerLift[Annual_Labor_Cost_Per_Customer],MATCH(CollectionCostTotal[[#This Row],[Collection_ID]],LaborCostPerLift[Collection_ID],0))*(IF(CollectionCostTotal[[#This Row],[Year]]=2025,SUMIFS(CustCntSrcs[Number],CustCntSrcs[Source_ID],$Q$33),1))</f>
        <v>2484428.6575199128</v>
      </c>
      <c r="R10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67026.257888873792</v>
      </c>
      <c r="S10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233114.19850566992</v>
      </c>
      <c r="T10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1469841.5193819131</v>
      </c>
      <c r="U101" s="101">
        <f>CollectionCostTotal[[#This Row],[Customers]]*INDEX(ContainerMarginAdmin[Annual_Admin_Per_Customer],MATCH(CollectionCostTotal[[#This Row],[Collection_ID]],ContainerMarginAdmin[Collection_ID],0))*(IF(CollectionCostTotal[[#This Row],[Year]]=2025,SUMIFS(CustCntSrcs[Number],CustCntSrcs[Source_ID],$U$33),1))</f>
        <v>1055350.2266511016</v>
      </c>
      <c r="V101" s="101">
        <f>(SUMIFS(CustCntSrcs[Number],CustCntSrcs[Source_ID],$V$33)/(1-SUMIFS(CustCntSrcs[Number],CustCntSrcs[Source_ID],$V$33)))*SUM(CollectionCostTotal[[#This Row],[Collection_Labor]],CollectionCostTotal[[#This Row],[Annual_Container_Cost]],CollectionCostTotal[[#This Row],[Collection_Ops]])</f>
        <v>709640.54731600592</v>
      </c>
      <c r="W10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6027907.1692634765</v>
      </c>
    </row>
    <row r="102" spans="2:29" ht="15" x14ac:dyDescent="0.25">
      <c r="B102" s="209" t="str">
        <f>CollectionCostTotal[[#This Row],[Grouping_ID]]&amp;"-"&amp;CollectionCostTotal[[#This Row],[Sector_ID]]&amp;"-"&amp;CollectionCostTotal[[#This Row],[Frequency_ID]]&amp;"-"&amp;CollectionCostTotal[[#This Row],[SS_or_DS]]</f>
        <v>2-3-V-SS</v>
      </c>
      <c r="C102" s="209" t="str">
        <f>CollectionCostTotal[[#This Row],[Grouping_ID]]&amp;"-"&amp;CollectionCostTotal[[#This Row],[Sector_ID]]&amp;"-"&amp;CollectionCostTotal[[#This Row],[SS_or_DS]]</f>
        <v>2-3-SS</v>
      </c>
      <c r="D102" s="35">
        <v>2</v>
      </c>
      <c r="E102" s="24" t="str">
        <f>INDEX(Grouping[Grouping_Name],MATCH(CollectionCostTotal[[#This Row],[Grouping_ID]],Grouping[Grouping_ID],0))</f>
        <v>2 - Willamette Valley, etc.</v>
      </c>
      <c r="F102" s="35">
        <v>3</v>
      </c>
      <c r="G102" s="24" t="str">
        <f>INDEX(Sector[Sector_Name],MATCH(CollectionCostTotal[[#This Row],[Sector_ID]],Sector[Sector_ID],0))</f>
        <v>Commercial (on-route)</v>
      </c>
      <c r="H102" s="24" t="s">
        <v>875</v>
      </c>
      <c r="I102" s="289" t="s">
        <v>806</v>
      </c>
      <c r="J102" s="35" t="s">
        <v>91</v>
      </c>
      <c r="K102" s="24" t="str">
        <f>INDEX(Frequency[Collection_Frequency],MATCH(CollectionCostTotal[[#This Row],[Frequency_ID]],Frequency[Orig_Frequency_ID],0)+(CollectionCostTotal[[#This Row],[SS_or_DS]]="DS")*COUNTA(Frequency[Orig_Frequency_ID])/2)</f>
        <v>Varies by customer need</v>
      </c>
      <c r="L102" s="35">
        <v>2018</v>
      </c>
      <c r="M10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02" s="99">
        <f>SUMIFS(CustCntSrcs[Number],CustCntSrcs[Grouping_ID],CollectionCostTotal[[#This Row],[Grouping_ID]],CustCntSrcs[Sector_ID],CollectionCostTotal[[#This Row],[Sector_ID]])</f>
        <v>1.5699999999999999E-2</v>
      </c>
      <c r="O102" s="100">
        <f>CollectionCostTotal[[#This Row],[Population]]*CollectionCostTotal[[#This Row],[Pct. Customers/Pop]]</f>
        <v>22256.743899999998</v>
      </c>
      <c r="P10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22256.743899999998</v>
      </c>
      <c r="Q102" s="101">
        <f>CollectionCostTotal[[#This Row],[Customers]]*INDEX(LaborCostPerLift[Annual_Labor_Cost_Per_Customer],MATCH(CollectionCostTotal[[#This Row],[Collection_ID]],LaborCostPerLift[Collection_ID],0))*(IF(CollectionCostTotal[[#This Row],[Year]]=2025,SUMIFS(CustCntSrcs[Number],CustCntSrcs[Source_ID],$Q$33),1))</f>
        <v>6500921.6538437707</v>
      </c>
      <c r="R10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175385.37480921971</v>
      </c>
      <c r="S10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609982.15275650285</v>
      </c>
      <c r="T10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3846085.3090493386</v>
      </c>
      <c r="U102" s="101">
        <f>CollectionCostTotal[[#This Row],[Customers]]*INDEX(ContainerMarginAdmin[Annual_Admin_Per_Customer],MATCH(CollectionCostTotal[[#This Row],[Collection_ID]],ContainerMarginAdmin[Collection_ID],0))*(IF(CollectionCostTotal[[#This Row],[Year]]=2025,SUMIFS(CustCntSrcs[Number],CustCntSrcs[Source_ID],$U$33),1))</f>
        <v>2761499.7597370488</v>
      </c>
      <c r="V102" s="101">
        <f>(SUMIFS(CustCntSrcs[Number],CustCntSrcs[Source_ID],$V$33)/(1-SUMIFS(CustCntSrcs[Number],CustCntSrcs[Source_ID],$V$33)))*SUM(CollectionCostTotal[[#This Row],[Collection_Labor]],CollectionCostTotal[[#This Row],[Annual_Container_Cost]],CollectionCostTotal[[#This Row],[Collection_Ops]])</f>
        <v>1856892.7654768815</v>
      </c>
      <c r="W10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15773023.759572763</v>
      </c>
    </row>
    <row r="103" spans="2:29" ht="15" x14ac:dyDescent="0.25">
      <c r="B103" s="209" t="str">
        <f>CollectionCostTotal[[#This Row],[Grouping_ID]]&amp;"-"&amp;CollectionCostTotal[[#This Row],[Sector_ID]]&amp;"-"&amp;CollectionCostTotal[[#This Row],[Frequency_ID]]&amp;"-"&amp;CollectionCostTotal[[#This Row],[SS_or_DS]]</f>
        <v>3-2-V-SS</v>
      </c>
      <c r="C103" s="209" t="str">
        <f>CollectionCostTotal[[#This Row],[Grouping_ID]]&amp;"-"&amp;CollectionCostTotal[[#This Row],[Sector_ID]]&amp;"-"&amp;CollectionCostTotal[[#This Row],[SS_or_DS]]</f>
        <v>3-2-SS</v>
      </c>
      <c r="D103" s="35">
        <v>3</v>
      </c>
      <c r="E103" s="24" t="str">
        <f>INDEX(Grouping[Grouping_Name],MATCH(CollectionCostTotal[[#This Row],[Grouping_ID]],Grouping[Grouping_ID],0))</f>
        <v>3 - Other areas with curbside</v>
      </c>
      <c r="F103" s="35">
        <v>2</v>
      </c>
      <c r="G103" s="24" t="str">
        <f>INDEX(Sector[Sector_Name],MATCH(CollectionCostTotal[[#This Row],[Sector_ID]],Sector[Sector_ID],0))</f>
        <v>MF Res. (on-route)</v>
      </c>
      <c r="H103" s="24" t="s">
        <v>875</v>
      </c>
      <c r="I103" s="289" t="s">
        <v>806</v>
      </c>
      <c r="J103" s="35" t="s">
        <v>91</v>
      </c>
      <c r="K103" s="24" t="str">
        <f>INDEX(Frequency[Collection_Frequency],MATCH(CollectionCostTotal[[#This Row],[Frequency_ID]],Frequency[Orig_Frequency_ID],0)+(CollectionCostTotal[[#This Row],[SS_or_DS]]="DS")*COUNTA(Frequency[Orig_Frequency_ID])/2)</f>
        <v>Varies by customer need</v>
      </c>
      <c r="L103" s="35">
        <v>2018</v>
      </c>
      <c r="M10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03" s="99">
        <f>SUMIFS(CustCntSrcs[Number],CustCntSrcs[Grouping_ID],CollectionCostTotal[[#This Row],[Grouping_ID]],CustCntSrcs[Sector_ID],CollectionCostTotal[[#This Row],[Sector_ID]])</f>
        <v>2.5000000000000001E-3</v>
      </c>
      <c r="O103" s="100">
        <f>CollectionCostTotal[[#This Row],[Population]]*CollectionCostTotal[[#This Row],[Pct. Customers/Pop]]</f>
        <v>1346.3175000000001</v>
      </c>
      <c r="P10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1346.3175000000001</v>
      </c>
      <c r="Q103" s="101">
        <f>CollectionCostTotal[[#This Row],[Customers]]*INDEX(LaborCostPerLift[Annual_Labor_Cost_Per_Customer],MATCH(CollectionCostTotal[[#This Row],[Collection_ID]],LaborCostPerLift[Collection_ID],0))*(IF(CollectionCostTotal[[#This Row],[Year]]=2025,SUMIFS(CustCntSrcs[Number],CustCntSrcs[Source_ID],$Q$33),1))</f>
        <v>517311.5653175824</v>
      </c>
      <c r="R10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26582.315506326533</v>
      </c>
      <c r="S10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59722.625982755104</v>
      </c>
      <c r="T10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278723.18468612252</v>
      </c>
      <c r="U103" s="101">
        <f>CollectionCostTotal[[#This Row],[Customers]]*INDEX(ContainerMarginAdmin[Annual_Admin_Per_Customer],MATCH(CollectionCostTotal[[#This Row],[Collection_ID]],ContainerMarginAdmin[Collection_ID],0))*(IF(CollectionCostTotal[[#This Row],[Year]]=2025,SUMIFS(CustCntSrcs[Number],CustCntSrcs[Source_ID],$U$33),1))</f>
        <v>248380.4336745117</v>
      </c>
      <c r="V103" s="101">
        <f>(SUMIFS(CustCntSrcs[Number],CustCntSrcs[Source_ID],$V$33)/(1-SUMIFS(CustCntSrcs[Number],CustCntSrcs[Source_ID],$V$33)))*SUM(CollectionCostTotal[[#This Row],[Collection_Labor]],CollectionCostTotal[[#This Row],[Annual_Container_Cost]],CollectionCostTotal[[#This Row],[Collection_Ops]])</f>
        <v>145167.71744294674</v>
      </c>
      <c r="W10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1277234.160110245</v>
      </c>
    </row>
    <row r="104" spans="2:29" ht="15" x14ac:dyDescent="0.25">
      <c r="B104" s="209" t="str">
        <f>CollectionCostTotal[[#This Row],[Grouping_ID]]&amp;"-"&amp;CollectionCostTotal[[#This Row],[Sector_ID]]&amp;"-"&amp;CollectionCostTotal[[#This Row],[Frequency_ID]]&amp;"-"&amp;CollectionCostTotal[[#This Row],[SS_or_DS]]</f>
        <v>3-3-V-SS</v>
      </c>
      <c r="C104" s="209" t="str">
        <f>CollectionCostTotal[[#This Row],[Grouping_ID]]&amp;"-"&amp;CollectionCostTotal[[#This Row],[Sector_ID]]&amp;"-"&amp;CollectionCostTotal[[#This Row],[SS_or_DS]]</f>
        <v>3-3-SS</v>
      </c>
      <c r="D104" s="35">
        <v>3</v>
      </c>
      <c r="E104" s="24" t="str">
        <f>INDEX(Grouping[Grouping_Name],MATCH(CollectionCostTotal[[#This Row],[Grouping_ID]],Grouping[Grouping_ID],0))</f>
        <v>3 - Other areas with curbside</v>
      </c>
      <c r="F104" s="35">
        <v>3</v>
      </c>
      <c r="G104" s="24" t="str">
        <f>INDEX(Sector[Sector_Name],MATCH(CollectionCostTotal[[#This Row],[Sector_ID]],Sector[Sector_ID],0))</f>
        <v>Commercial (on-route)</v>
      </c>
      <c r="H104" s="24" t="s">
        <v>875</v>
      </c>
      <c r="I104" s="289" t="s">
        <v>806</v>
      </c>
      <c r="J104" s="35" t="s">
        <v>91</v>
      </c>
      <c r="K104" s="24" t="str">
        <f>INDEX(Frequency[Collection_Frequency],MATCH(CollectionCostTotal[[#This Row],[Frequency_ID]],Frequency[Orig_Frequency_ID],0)+(CollectionCostTotal[[#This Row],[SS_or_DS]]="DS")*COUNTA(Frequency[Orig_Frequency_ID])/2)</f>
        <v>Varies by customer need</v>
      </c>
      <c r="L104" s="35">
        <v>2018</v>
      </c>
      <c r="M10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04" s="99">
        <f>SUMIFS(CustCntSrcs[Number],CustCntSrcs[Grouping_ID],CollectionCostTotal[[#This Row],[Grouping_ID]],CustCntSrcs[Sector_ID],CollectionCostTotal[[#This Row],[Sector_ID]])</f>
        <v>1.5900000000000001E-2</v>
      </c>
      <c r="O104" s="100">
        <f>CollectionCostTotal[[#This Row],[Population]]*CollectionCostTotal[[#This Row],[Pct. Customers/Pop]]</f>
        <v>8562.5793000000012</v>
      </c>
      <c r="P10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8562.5793000000012</v>
      </c>
      <c r="Q104" s="101">
        <f>CollectionCostTotal[[#This Row],[Customers]]*INDEX(LaborCostPerLift[Annual_Labor_Cost_Per_Customer],MATCH(CollectionCostTotal[[#This Row],[Collection_ID]],LaborCostPerLift[Collection_ID],0))*(IF(CollectionCostTotal[[#This Row],[Year]]=2025,SUMIFS(CustCntSrcs[Number],CustCntSrcs[Source_ID],$Q$33),1))</f>
        <v>3290101.5554198241</v>
      </c>
      <c r="R10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169063.52662023678</v>
      </c>
      <c r="S10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379835.90125032252</v>
      </c>
      <c r="T10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1772679.4546037393</v>
      </c>
      <c r="U104" s="101">
        <f>CollectionCostTotal[[#This Row],[Customers]]*INDEX(ContainerMarginAdmin[Annual_Admin_Per_Customer],MATCH(CollectionCostTotal[[#This Row],[Collection_ID]],ContainerMarginAdmin[Collection_ID],0))*(IF(CollectionCostTotal[[#This Row],[Year]]=2025,SUMIFS(CustCntSrcs[Number],CustCntSrcs[Source_ID],$U$33),1))</f>
        <v>1579699.5581698946</v>
      </c>
      <c r="V104" s="101">
        <f>(SUMIFS(CustCntSrcs[Number],CustCntSrcs[Source_ID],$V$33)/(1-SUMIFS(CustCntSrcs[Number],CustCntSrcs[Source_ID],$V$33)))*SUM(CollectionCostTotal[[#This Row],[Collection_Labor]],CollectionCostTotal[[#This Row],[Annual_Container_Cost]],CollectionCostTotal[[#This Row],[Collection_Ops]])</f>
        <v>923266.68293714128</v>
      </c>
      <c r="W10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8123209.2583011584</v>
      </c>
    </row>
    <row r="105" spans="2:29" ht="15" x14ac:dyDescent="0.25">
      <c r="B105" s="209" t="str">
        <f>CollectionCostTotal[[#This Row],[Grouping_ID]]&amp;"-"&amp;CollectionCostTotal[[#This Row],[Sector_ID]]&amp;"-"&amp;CollectionCostTotal[[#This Row],[Frequency_ID]]&amp;"-"&amp;CollectionCostTotal[[#This Row],[SS_or_DS]]</f>
        <v>1-1-W-SS</v>
      </c>
      <c r="C105" s="209" t="str">
        <f>CollectionCostTotal[[#This Row],[Grouping_ID]]&amp;"-"&amp;CollectionCostTotal[[#This Row],[Sector_ID]]&amp;"-"&amp;CollectionCostTotal[[#This Row],[SS_or_DS]]</f>
        <v>1-1-SS</v>
      </c>
      <c r="D105" s="35">
        <v>1</v>
      </c>
      <c r="E105" s="24" t="str">
        <f>INDEX(Grouping[Grouping_Name],MATCH(CollectionCostTotal[[#This Row],[Grouping_ID]],Grouping[Grouping_ID],0))</f>
        <v>1 - Metro area</v>
      </c>
      <c r="F105" s="35">
        <v>1</v>
      </c>
      <c r="G105" s="24" t="str">
        <f>INDEX(Sector[Sector_Name],MATCH(CollectionCostTotal[[#This Row],[Sector_ID]],Sector[Sector_ID],0))</f>
        <v>SF Res. (on-route)</v>
      </c>
      <c r="H105" s="24" t="s">
        <v>875</v>
      </c>
      <c r="I105" s="289" t="s">
        <v>806</v>
      </c>
      <c r="J105" s="35" t="s">
        <v>64</v>
      </c>
      <c r="K105" s="24" t="str">
        <f>INDEX(Frequency[Collection_Frequency],MATCH(CollectionCostTotal[[#This Row],[Frequency_ID]],Frequency[Orig_Frequency_ID],0)+(CollectionCostTotal[[#This Row],[SS_or_DS]]="DS")*COUNTA(Frequency[Orig_Frequency_ID])/2)</f>
        <v>Weekly</v>
      </c>
      <c r="L105" s="35">
        <v>2018</v>
      </c>
      <c r="M10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1283440</v>
      </c>
      <c r="N105" s="99">
        <f>SUMIFS(CustCntSrcs[Number],CustCntSrcs[Grouping_ID],CollectionCostTotal[[#This Row],[Grouping_ID]],CustCntSrcs[Sector_ID],CollectionCostTotal[[#This Row],[Sector_ID]])</f>
        <v>0.26339829285649385</v>
      </c>
      <c r="O105" s="100">
        <f>CollectionCostTotal[[#This Row],[Population]]*CollectionCostTotal[[#This Row],[Pct. Customers/Pop]]</f>
        <v>338055.9049837385</v>
      </c>
      <c r="P10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338055.9049837385</v>
      </c>
      <c r="Q105" s="101">
        <f>CollectionCostTotal[[#This Row],[Customers]]*INDEX(LaborCostPerLift[Annual_Labor_Cost_Per_Customer],MATCH(CollectionCostTotal[[#This Row],[Collection_ID]],LaborCostPerLift[Collection_ID],0))*(IF(CollectionCostTotal[[#This Row],[Year]]=2025,SUMIFS(CustCntSrcs[Number],CustCntSrcs[Source_ID],$Q$33),1))</f>
        <v>11847984.666517725</v>
      </c>
      <c r="R10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680427.7533439151</v>
      </c>
      <c r="S10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3581094.782715695</v>
      </c>
      <c r="T10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4899111.4154808819</v>
      </c>
      <c r="U105" s="101">
        <f>CollectionCostTotal[[#This Row],[Customers]]*INDEX(ContainerMarginAdmin[Annual_Admin_Per_Customer],MATCH(CollectionCostTotal[[#This Row],[Collection_ID]],ContainerMarginAdmin[Collection_ID],0))*(IF(CollectionCostTotal[[#This Row],[Year]]=2025,SUMIFS(CustCntSrcs[Number],CustCntSrcs[Source_ID],$U$33),1))</f>
        <v>4733849.20131269</v>
      </c>
      <c r="V105" s="101">
        <f>(SUMIFS(CustCntSrcs[Number],CustCntSrcs[Source_ID],$V$33)/(1-SUMIFS(CustCntSrcs[Number],CustCntSrcs[Source_ID],$V$33)))*SUM(CollectionCostTotal[[#This Row],[Collection_Labor]],CollectionCostTotal[[#This Row],[Annual_Container_Cost]],CollectionCostTotal[[#This Row],[Collection_Ops]])</f>
        <v>3075445.3827075041</v>
      </c>
      <c r="W10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29155969.10706215</v>
      </c>
    </row>
    <row r="106" spans="2:29" ht="15" x14ac:dyDescent="0.25">
      <c r="B106" s="209" t="str">
        <f>CollectionCostTotal[[#This Row],[Grouping_ID]]&amp;"-"&amp;CollectionCostTotal[[#This Row],[Sector_ID]]&amp;"-"&amp;CollectionCostTotal[[#This Row],[Frequency_ID]]&amp;"-"&amp;CollectionCostTotal[[#This Row],[SS_or_DS]]</f>
        <v>1-1-E-SS</v>
      </c>
      <c r="C106" s="209" t="str">
        <f>CollectionCostTotal[[#This Row],[Grouping_ID]]&amp;"-"&amp;CollectionCostTotal[[#This Row],[Sector_ID]]&amp;"-"&amp;CollectionCostTotal[[#This Row],[SS_or_DS]]</f>
        <v>1-1-SS</v>
      </c>
      <c r="D106" s="35">
        <v>1</v>
      </c>
      <c r="E106" s="24" t="str">
        <f>INDEX(Grouping[Grouping_Name],MATCH(CollectionCostTotal[[#This Row],[Grouping_ID]],Grouping[Grouping_ID],0))</f>
        <v>1 - Metro area</v>
      </c>
      <c r="F106" s="35">
        <v>1</v>
      </c>
      <c r="G106" s="24" t="str">
        <f>INDEX(Sector[Sector_Name],MATCH(CollectionCostTotal[[#This Row],[Sector_ID]],Sector[Sector_ID],0))</f>
        <v>SF Res. (on-route)</v>
      </c>
      <c r="H106" s="24" t="s">
        <v>875</v>
      </c>
      <c r="I106" s="289" t="s">
        <v>806</v>
      </c>
      <c r="J106" s="35" t="s">
        <v>53</v>
      </c>
      <c r="K106" s="24" t="str">
        <f>INDEX(Frequency[Collection_Frequency],MATCH(CollectionCostTotal[[#This Row],[Frequency_ID]],Frequency[Orig_Frequency_ID],0)+(CollectionCostTotal[[#This Row],[SS_or_DS]]="DS")*COUNTA(Frequency[Orig_Frequency_ID])/2)</f>
        <v>Every other week</v>
      </c>
      <c r="L106" s="35">
        <v>2018</v>
      </c>
      <c r="M10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345604</v>
      </c>
      <c r="N106" s="99">
        <f>SUMIFS(CustCntSrcs[Number],CustCntSrcs[Grouping_ID],CollectionCostTotal[[#This Row],[Grouping_ID]],CustCntSrcs[Sector_ID],CollectionCostTotal[[#This Row],[Sector_ID]])</f>
        <v>0.26339829285649385</v>
      </c>
      <c r="O106" s="100">
        <f>CollectionCostTotal[[#This Row],[Population]]*CollectionCostTotal[[#This Row],[Pct. Customers/Pop]]</f>
        <v>91031.503604375699</v>
      </c>
      <c r="P10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91031.503604375699</v>
      </c>
      <c r="Q106" s="101">
        <f>CollectionCostTotal[[#This Row],[Customers]]*INDEX(LaborCostPerLift[Annual_Labor_Cost_Per_Customer],MATCH(CollectionCostTotal[[#This Row],[Collection_ID]],LaborCostPerLift[Collection_ID],0))*(IF(CollectionCostTotal[[#This Row],[Year]]=2025,SUMIFS(CustCntSrcs[Number],CustCntSrcs[Source_ID],$Q$33),1))</f>
        <v>2387968.0110342316</v>
      </c>
      <c r="R10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210901.19683947865</v>
      </c>
      <c r="S10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411651.82495639846</v>
      </c>
      <c r="T10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1165793.0456836959</v>
      </c>
      <c r="U106" s="101">
        <f>CollectionCostTotal[[#This Row],[Customers]]*INDEX(ContainerMarginAdmin[Annual_Admin_Per_Customer],MATCH(CollectionCostTotal[[#This Row],[Collection_ID]],ContainerMarginAdmin[Collection_ID],0))*(IF(CollectionCostTotal[[#This Row],[Year]]=2025,SUMIFS(CustCntSrcs[Number],CustCntSrcs[Source_ID],$U$33),1))</f>
        <v>906748.5115337685</v>
      </c>
      <c r="V106" s="101">
        <f>(SUMIFS(CustCntSrcs[Number],CustCntSrcs[Source_ID],$V$33)/(1-SUMIFS(CustCntSrcs[Number],CustCntSrcs[Source_ID],$V$33)))*SUM(CollectionCostTotal[[#This Row],[Collection_Labor]],CollectionCostTotal[[#This Row],[Annual_Container_Cost]],CollectionCostTotal[[#This Row],[Collection_Ops]])</f>
        <v>664352.16239248356</v>
      </c>
      <c r="W10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5838446.2560444325</v>
      </c>
      <c r="AA106" s="35"/>
      <c r="AB106" s="28"/>
    </row>
    <row r="107" spans="2:29" ht="15" x14ac:dyDescent="0.25">
      <c r="B107" s="209" t="str">
        <f>CollectionCostTotal[[#This Row],[Grouping_ID]]&amp;"-"&amp;CollectionCostTotal[[#This Row],[Sector_ID]]&amp;"-"&amp;CollectionCostTotal[[#This Row],[Frequency_ID]]&amp;"-"&amp;CollectionCostTotal[[#This Row],[SS_or_DS]]</f>
        <v>2-1-W-SS</v>
      </c>
      <c r="C107" s="209" t="str">
        <f>CollectionCostTotal[[#This Row],[Grouping_ID]]&amp;"-"&amp;CollectionCostTotal[[#This Row],[Sector_ID]]&amp;"-"&amp;CollectionCostTotal[[#This Row],[SS_or_DS]]</f>
        <v>2-1-SS</v>
      </c>
      <c r="D107" s="35">
        <v>2</v>
      </c>
      <c r="E107" s="24" t="str">
        <f>INDEX(Grouping[Grouping_Name],MATCH(CollectionCostTotal[[#This Row],[Grouping_ID]],Grouping[Grouping_ID],0))</f>
        <v>2 - Willamette Valley, etc.</v>
      </c>
      <c r="F107" s="35">
        <v>1</v>
      </c>
      <c r="G107" s="24" t="str">
        <f>INDEX(Sector[Sector_Name],MATCH(CollectionCostTotal[[#This Row],[Sector_ID]],Sector[Sector_ID],0))</f>
        <v>SF Res. (on-route)</v>
      </c>
      <c r="H107" s="24" t="s">
        <v>875</v>
      </c>
      <c r="I107" s="289" t="s">
        <v>806</v>
      </c>
      <c r="J107" s="35" t="s">
        <v>64</v>
      </c>
      <c r="K107" s="24" t="str">
        <f>INDEX(Frequency[Collection_Frequency],MATCH(CollectionCostTotal[[#This Row],[Frequency_ID]],Frequency[Orig_Frequency_ID],0)+(CollectionCostTotal[[#This Row],[SS_or_DS]]="DS")*COUNTA(Frequency[Orig_Frequency_ID])/2)</f>
        <v>Weekly</v>
      </c>
      <c r="L107" s="35">
        <v>2018</v>
      </c>
      <c r="M10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342858</v>
      </c>
      <c r="N107" s="99">
        <f>SUMIFS(CustCntSrcs[Number],CustCntSrcs[Grouping_ID],CollectionCostTotal[[#This Row],[Grouping_ID]],CustCntSrcs[Sector_ID],CollectionCostTotal[[#This Row],[Sector_ID]])</f>
        <v>0.25090000000000001</v>
      </c>
      <c r="O107" s="100">
        <f>CollectionCostTotal[[#This Row],[Population]]*CollectionCostTotal[[#This Row],[Pct. Customers/Pop]]</f>
        <v>86023.07220000001</v>
      </c>
      <c r="P10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86023.07220000001</v>
      </c>
      <c r="Q107" s="101">
        <f>CollectionCostTotal[[#This Row],[Customers]]*INDEX(LaborCostPerLift[Annual_Labor_Cost_Per_Customer],MATCH(CollectionCostTotal[[#This Row],[Collection_ID]],LaborCostPerLift[Collection_ID],0))*(IF(CollectionCostTotal[[#This Row],[Year]]=2025,SUMIFS(CustCntSrcs[Number],CustCntSrcs[Source_ID],$Q$33),1))</f>
        <v>2939102.2858636375</v>
      </c>
      <c r="R10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230161.37140289583</v>
      </c>
      <c r="S10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615247.99862648116</v>
      </c>
      <c r="T10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1898791.3813044368</v>
      </c>
      <c r="U107" s="101">
        <f>CollectionCostTotal[[#This Row],[Customers]]*INDEX(ContainerMarginAdmin[Annual_Admin_Per_Customer],MATCH(CollectionCostTotal[[#This Row],[Collection_ID]],ContainerMarginAdmin[Collection_ID],0))*(IF(CollectionCostTotal[[#This Row],[Year]]=2025,SUMIFS(CustCntSrcs[Number],CustCntSrcs[Source_ID],$U$33),1))</f>
        <v>1330369.1964042785</v>
      </c>
      <c r="V107" s="101">
        <f>(SUMIFS(CustCntSrcs[Number],CustCntSrcs[Source_ID],$V$33)/(1-SUMIFS(CustCntSrcs[Number],CustCntSrcs[Source_ID],$V$33)))*SUM(CollectionCostTotal[[#This Row],[Collection_Labor]],CollectionCostTotal[[#This Row],[Annual_Container_Cost]],CollectionCostTotal[[#This Row],[Collection_Ops]])</f>
        <v>894362.65386546543</v>
      </c>
      <c r="W10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7994057.9596671946</v>
      </c>
    </row>
    <row r="108" spans="2:29" ht="15" x14ac:dyDescent="0.25">
      <c r="B108" s="209" t="str">
        <f>CollectionCostTotal[[#This Row],[Grouping_ID]]&amp;"-"&amp;CollectionCostTotal[[#This Row],[Sector_ID]]&amp;"-"&amp;CollectionCostTotal[[#This Row],[Frequency_ID]]&amp;"-"&amp;CollectionCostTotal[[#This Row],[SS_or_DS]]</f>
        <v>2-1-E-SS</v>
      </c>
      <c r="C108" s="209" t="str">
        <f>CollectionCostTotal[[#This Row],[Grouping_ID]]&amp;"-"&amp;CollectionCostTotal[[#This Row],[Sector_ID]]&amp;"-"&amp;CollectionCostTotal[[#This Row],[SS_or_DS]]</f>
        <v>2-1-SS</v>
      </c>
      <c r="D108" s="35">
        <v>2</v>
      </c>
      <c r="E108" s="24" t="str">
        <f>INDEX(Grouping[Grouping_Name],MATCH(CollectionCostTotal[[#This Row],[Grouping_ID]],Grouping[Grouping_ID],0))</f>
        <v>2 - Willamette Valley, etc.</v>
      </c>
      <c r="F108" s="35">
        <v>1</v>
      </c>
      <c r="G108" s="24" t="str">
        <f>INDEX(Sector[Sector_Name],MATCH(CollectionCostTotal[[#This Row],[Sector_ID]],Sector[Sector_ID],0))</f>
        <v>SF Res. (on-route)</v>
      </c>
      <c r="H108" s="24" t="s">
        <v>875</v>
      </c>
      <c r="I108" s="289" t="s">
        <v>806</v>
      </c>
      <c r="J108" s="35" t="s">
        <v>53</v>
      </c>
      <c r="K108" s="24" t="str">
        <f>INDEX(Frequency[Collection_Frequency],MATCH(CollectionCostTotal[[#This Row],[Frequency_ID]],Frequency[Orig_Frequency_ID],0)+(CollectionCostTotal[[#This Row],[SS_or_DS]]="DS")*COUNTA(Frequency[Orig_Frequency_ID])/2)</f>
        <v>Every other week</v>
      </c>
      <c r="L108" s="35">
        <v>2018</v>
      </c>
      <c r="M10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1074769</v>
      </c>
      <c r="N108" s="99">
        <f>SUMIFS(CustCntSrcs[Number],CustCntSrcs[Grouping_ID],CollectionCostTotal[[#This Row],[Grouping_ID]],CustCntSrcs[Sector_ID],CollectionCostTotal[[#This Row],[Sector_ID]])</f>
        <v>0.25090000000000001</v>
      </c>
      <c r="O108" s="100">
        <f>CollectionCostTotal[[#This Row],[Population]]*CollectionCostTotal[[#This Row],[Pct. Customers/Pop]]</f>
        <v>269659.54210000002</v>
      </c>
      <c r="P10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269659.54210000002</v>
      </c>
      <c r="Q108" s="101">
        <f>CollectionCostTotal[[#This Row],[Customers]]*INDEX(LaborCostPerLift[Annual_Labor_Cost_Per_Customer],MATCH(CollectionCostTotal[[#This Row],[Collection_ID]],LaborCostPerLift[Collection_ID],0))*(IF(CollectionCostTotal[[#This Row],[Year]]=2025,SUMIFS(CustCntSrcs[Number],CustCntSrcs[Source_ID],$Q$33),1))</f>
        <v>7148661.7967732456</v>
      </c>
      <c r="R10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532630.14926889539</v>
      </c>
      <c r="S10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1423782.0679829714</v>
      </c>
      <c r="T10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4394106.3206662387</v>
      </c>
      <c r="U108" s="101">
        <f>CollectionCostTotal[[#This Row],[Customers]]*INDEX(ContainerMarginAdmin[Annual_Admin_Per_Customer],MATCH(CollectionCostTotal[[#This Row],[Collection_ID]],ContainerMarginAdmin[Collection_ID],0))*(IF(CollectionCostTotal[[#This Row],[Year]]=2025,SUMIFS(CustCntSrcs[Number],CustCntSrcs[Source_ID],$U$33),1))</f>
        <v>2916391.345942996</v>
      </c>
      <c r="V108" s="101">
        <f>(SUMIFS(CustCntSrcs[Number],CustCntSrcs[Source_ID],$V$33)/(1-SUMIFS(CustCntSrcs[Number],CustCntSrcs[Source_ID],$V$33)))*SUM(CollectionCostTotal[[#This Row],[Collection_Labor]],CollectionCostTotal[[#This Row],[Annual_Container_Cost]],CollectionCostTotal[[#This Row],[Collection_Ops]])</f>
        <v>2130952.6353014787</v>
      </c>
      <c r="W10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18816183.858035825</v>
      </c>
    </row>
    <row r="109" spans="2:29" ht="15" x14ac:dyDescent="0.25">
      <c r="B109" s="209" t="str">
        <f>CollectionCostTotal[[#This Row],[Grouping_ID]]&amp;"-"&amp;CollectionCostTotal[[#This Row],[Sector_ID]]&amp;"-"&amp;CollectionCostTotal[[#This Row],[Frequency_ID]]&amp;"-"&amp;CollectionCostTotal[[#This Row],[SS_or_DS]]</f>
        <v>2-1-U-SS</v>
      </c>
      <c r="C109" s="209" t="str">
        <f>CollectionCostTotal[[#This Row],[Grouping_ID]]&amp;"-"&amp;CollectionCostTotal[[#This Row],[Sector_ID]]&amp;"-"&amp;CollectionCostTotal[[#This Row],[SS_or_DS]]</f>
        <v>2-1-SS</v>
      </c>
      <c r="D109" s="35">
        <v>2</v>
      </c>
      <c r="E109" s="24" t="str">
        <f>INDEX(Grouping[Grouping_Name],MATCH(CollectionCostTotal[[#This Row],[Grouping_ID]],Grouping[Grouping_ID],0))</f>
        <v>2 - Willamette Valley, etc.</v>
      </c>
      <c r="F109" s="35">
        <v>1</v>
      </c>
      <c r="G109" s="24" t="str">
        <f>INDEX(Sector[Sector_Name],MATCH(CollectionCostTotal[[#This Row],[Sector_ID]],Sector[Sector_ID],0))</f>
        <v>SF Res. (on-route)</v>
      </c>
      <c r="H109" s="24" t="s">
        <v>875</v>
      </c>
      <c r="I109" s="289" t="s">
        <v>806</v>
      </c>
      <c r="J109" s="35" t="s">
        <v>65</v>
      </c>
      <c r="K109" s="24" t="str">
        <f>INDEX(Frequency[Collection_Frequency],MATCH(CollectionCostTotal[[#This Row],[Frequency_ID]],Frequency[Orig_Frequency_ID],0)+(CollectionCostTotal[[#This Row],[SS_or_DS]]="DS")*COUNTA(Frequency[Orig_Frequency_ID])/2)</f>
        <v>Uncertain</v>
      </c>
      <c r="L109" s="35">
        <v>2018</v>
      </c>
      <c r="M10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09" s="99">
        <f>SUMIFS(CustCntSrcs[Number],CustCntSrcs[Grouping_ID],CollectionCostTotal[[#This Row],[Grouping_ID]],CustCntSrcs[Sector_ID],CollectionCostTotal[[#This Row],[Sector_ID]])</f>
        <v>0.25090000000000001</v>
      </c>
      <c r="O109" s="100">
        <f>CollectionCostTotal[[#This Row],[Population]]*CollectionCostTotal[[#This Row],[Pct. Customers/Pop]]</f>
        <v>0</v>
      </c>
      <c r="P10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09" s="101">
        <f>CollectionCostTotal[[#This Row],[Customers]]*INDEX(LaborCostPerLift[Annual_Labor_Cost_Per_Customer],MATCH(CollectionCostTotal[[#This Row],[Collection_ID]],LaborCostPerLift[Collection_ID],0))*(IF(CollectionCostTotal[[#This Row],[Year]]=2025,SUMIFS(CustCntSrcs[Number],CustCntSrcs[Source_ID],$Q$33),1))</f>
        <v>0</v>
      </c>
      <c r="R10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0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0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09" s="101">
        <f>CollectionCostTotal[[#This Row],[Customers]]*INDEX(ContainerMarginAdmin[Annual_Admin_Per_Customer],MATCH(CollectionCostTotal[[#This Row],[Collection_ID]],ContainerMarginAdmin[Collection_ID],0))*(IF(CollectionCostTotal[[#This Row],[Year]]=2025,SUMIFS(CustCntSrcs[Number],CustCntSrcs[Source_ID],$U$33),1))</f>
        <v>0</v>
      </c>
      <c r="V109" s="101">
        <f>(SUMIFS(CustCntSrcs[Number],CustCntSrcs[Source_ID],$V$33)/(1-SUMIFS(CustCntSrcs[Number],CustCntSrcs[Source_ID],$V$33)))*SUM(CollectionCostTotal[[#This Row],[Collection_Labor]],CollectionCostTotal[[#This Row],[Annual_Container_Cost]],CollectionCostTotal[[#This Row],[Collection_Ops]])</f>
        <v>0</v>
      </c>
      <c r="W10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10" spans="2:29" ht="15" x14ac:dyDescent="0.25">
      <c r="B110" s="209" t="str">
        <f>CollectionCostTotal[[#This Row],[Grouping_ID]]&amp;"-"&amp;CollectionCostTotal[[#This Row],[Sector_ID]]&amp;"-"&amp;CollectionCostTotal[[#This Row],[Frequency_ID]]&amp;"-"&amp;CollectionCostTotal[[#This Row],[SS_or_DS]]</f>
        <v>3-1-W-SS</v>
      </c>
      <c r="C110" s="209" t="str">
        <f>CollectionCostTotal[[#This Row],[Grouping_ID]]&amp;"-"&amp;CollectionCostTotal[[#This Row],[Sector_ID]]&amp;"-"&amp;CollectionCostTotal[[#This Row],[SS_or_DS]]</f>
        <v>3-1-SS</v>
      </c>
      <c r="D110" s="35">
        <v>3</v>
      </c>
      <c r="E110" s="24" t="str">
        <f>INDEX(Grouping[Grouping_Name],MATCH(CollectionCostTotal[[#This Row],[Grouping_ID]],Grouping[Grouping_ID],0))</f>
        <v>3 - Other areas with curbside</v>
      </c>
      <c r="F110" s="35">
        <v>1</v>
      </c>
      <c r="G110" s="24" t="str">
        <f>INDEX(Sector[Sector_Name],MATCH(CollectionCostTotal[[#This Row],[Sector_ID]],Sector[Sector_ID],0))</f>
        <v>SF Res. (on-route)</v>
      </c>
      <c r="H110" s="24" t="s">
        <v>875</v>
      </c>
      <c r="I110" s="289" t="s">
        <v>806</v>
      </c>
      <c r="J110" s="35" t="s">
        <v>64</v>
      </c>
      <c r="K110" s="24" t="str">
        <f>INDEX(Frequency[Collection_Frequency],MATCH(CollectionCostTotal[[#This Row],[Frequency_ID]],Frequency[Orig_Frequency_ID],0)+(CollectionCostTotal[[#This Row],[SS_or_DS]]="DS")*COUNTA(Frequency[Orig_Frequency_ID])/2)</f>
        <v>Weekly</v>
      </c>
      <c r="L110" s="35">
        <v>2018</v>
      </c>
      <c r="M11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204285</v>
      </c>
      <c r="N110" s="99">
        <f>SUMIFS(CustCntSrcs[Number],CustCntSrcs[Grouping_ID],CollectionCostTotal[[#This Row],[Grouping_ID]],CustCntSrcs[Sector_ID],CollectionCostTotal[[#This Row],[Sector_ID]])</f>
        <v>0.26100000000000001</v>
      </c>
      <c r="O110" s="100">
        <f>CollectionCostTotal[[#This Row],[Population]]*CollectionCostTotal[[#This Row],[Pct. Customers/Pop]]</f>
        <v>53318.385000000002</v>
      </c>
      <c r="P11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53318.385000000002</v>
      </c>
      <c r="Q110" s="101">
        <f>CollectionCostTotal[[#This Row],[Customers]]*INDEX(LaborCostPerLift[Annual_Labor_Cost_Per_Customer],MATCH(CollectionCostTotal[[#This Row],[Collection_ID]],LaborCostPerLift[Collection_ID],0))*(IF(CollectionCostTotal[[#This Row],[Year]]=2025,SUMIFS(CustCntSrcs[Number],CustCntSrcs[Source_ID],$Q$33),1))</f>
        <v>2281159.2935844706</v>
      </c>
      <c r="R11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122994.94941292131</v>
      </c>
      <c r="S11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699271.96616478649</v>
      </c>
      <c r="T11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1491457.1869433869</v>
      </c>
      <c r="U110" s="101">
        <f>CollectionCostTotal[[#This Row],[Customers]]*INDEX(ContainerMarginAdmin[Annual_Admin_Per_Customer],MATCH(CollectionCostTotal[[#This Row],[Collection_ID]],ContainerMarginAdmin[Collection_ID],0))*(IF(CollectionCostTotal[[#This Row],[Year]]=2025,SUMIFS(CustCntSrcs[Number],CustCntSrcs[Source_ID],$U$33),1))</f>
        <v>1107795.8665078226</v>
      </c>
      <c r="V110" s="101">
        <f>(SUMIFS(CustCntSrcs[Number],CustCntSrcs[Source_ID],$V$33)/(1-SUMIFS(CustCntSrcs[Number],CustCntSrcs[Source_ID],$V$33)))*SUM(CollectionCostTotal[[#This Row],[Collection_Labor]],CollectionCostTotal[[#This Row],[Annual_Container_Cost]],CollectionCostTotal[[#This Row],[Collection_Ops]])</f>
        <v>687460.84057778458</v>
      </c>
      <c r="W11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6443458.4881911725</v>
      </c>
    </row>
    <row r="111" spans="2:29" ht="15" x14ac:dyDescent="0.25">
      <c r="B111" s="209" t="str">
        <f>CollectionCostTotal[[#This Row],[Grouping_ID]]&amp;"-"&amp;CollectionCostTotal[[#This Row],[Sector_ID]]&amp;"-"&amp;CollectionCostTotal[[#This Row],[Frequency_ID]]&amp;"-"&amp;CollectionCostTotal[[#This Row],[SS_or_DS]]</f>
        <v>3-1-E-SS</v>
      </c>
      <c r="C111" s="209" t="str">
        <f>CollectionCostTotal[[#This Row],[Grouping_ID]]&amp;"-"&amp;CollectionCostTotal[[#This Row],[Sector_ID]]&amp;"-"&amp;CollectionCostTotal[[#This Row],[SS_or_DS]]</f>
        <v>3-1-SS</v>
      </c>
      <c r="D111" s="35">
        <v>3</v>
      </c>
      <c r="E111" s="24" t="str">
        <f>INDEX(Grouping[Grouping_Name],MATCH(CollectionCostTotal[[#This Row],[Grouping_ID]],Grouping[Grouping_ID],0))</f>
        <v>3 - Other areas with curbside</v>
      </c>
      <c r="F111" s="35">
        <v>1</v>
      </c>
      <c r="G111" s="24" t="str">
        <f>INDEX(Sector[Sector_Name],MATCH(CollectionCostTotal[[#This Row],[Sector_ID]],Sector[Sector_ID],0))</f>
        <v>SF Res. (on-route)</v>
      </c>
      <c r="H111" s="24" t="s">
        <v>875</v>
      </c>
      <c r="I111" s="289" t="s">
        <v>806</v>
      </c>
      <c r="J111" s="35" t="s">
        <v>53</v>
      </c>
      <c r="K111" s="24" t="str">
        <f>INDEX(Frequency[Collection_Frequency],MATCH(CollectionCostTotal[[#This Row],[Frequency_ID]],Frequency[Orig_Frequency_ID],0)+(CollectionCostTotal[[#This Row],[SS_or_DS]]="DS")*COUNTA(Frequency[Orig_Frequency_ID])/2)</f>
        <v>Every other week</v>
      </c>
      <c r="L111" s="35">
        <v>2018</v>
      </c>
      <c r="M11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323662</v>
      </c>
      <c r="N111" s="99">
        <f>SUMIFS(CustCntSrcs[Number],CustCntSrcs[Grouping_ID],CollectionCostTotal[[#This Row],[Grouping_ID]],CustCntSrcs[Sector_ID],CollectionCostTotal[[#This Row],[Sector_ID]])</f>
        <v>0.26100000000000001</v>
      </c>
      <c r="O111" s="100">
        <f>CollectionCostTotal[[#This Row],[Population]]*CollectionCostTotal[[#This Row],[Pct. Customers/Pop]]</f>
        <v>84475.782000000007</v>
      </c>
      <c r="P11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84475.782000000007</v>
      </c>
      <c r="Q111" s="101">
        <f>CollectionCostTotal[[#This Row],[Customers]]*INDEX(LaborCostPerLift[Annual_Labor_Cost_Per_Customer],MATCH(CollectionCostTotal[[#This Row],[Collection_ID]],LaborCostPerLift[Collection_ID],0))*(IF(CollectionCostTotal[[#This Row],[Year]]=2025,SUMIFS(CustCntSrcs[Number],CustCntSrcs[Source_ID],$Q$33),1))</f>
        <v>3101508.2184132766</v>
      </c>
      <c r="R11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143858.31791663149</v>
      </c>
      <c r="S11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817887.96449680626</v>
      </c>
      <c r="T11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1744449.8589777553</v>
      </c>
      <c r="U111" s="101">
        <f>CollectionCostTotal[[#This Row],[Customers]]*INDEX(ContainerMarginAdmin[Annual_Admin_Per_Customer],MATCH(CollectionCostTotal[[#This Row],[Collection_ID]],ContainerMarginAdmin[Collection_ID],0))*(IF(CollectionCostTotal[[#This Row],[Year]]=2025,SUMIFS(CustCntSrcs[Number],CustCntSrcs[Source_ID],$U$33),1))</f>
        <v>1825308.4441805759</v>
      </c>
      <c r="V111" s="101">
        <f>(SUMIFS(CustCntSrcs[Number],CustCntSrcs[Source_ID],$V$33)/(1-SUMIFS(CustCntSrcs[Number],CustCntSrcs[Source_ID],$V$33)))*SUM(CollectionCostTotal[[#This Row],[Collection_Labor]],CollectionCostTotal[[#This Row],[Annual_Container_Cost]],CollectionCostTotal[[#This Row],[Collection_Ops]])</f>
        <v>880555.83446605841</v>
      </c>
      <c r="W11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8598044.4204511046</v>
      </c>
    </row>
    <row r="112" spans="2:29" ht="15" x14ac:dyDescent="0.25">
      <c r="B112" s="209" t="str">
        <f>CollectionCostTotal[[#This Row],[Grouping_ID]]&amp;"-"&amp;CollectionCostTotal[[#This Row],[Sector_ID]]&amp;"-"&amp;CollectionCostTotal[[#This Row],[Frequency_ID]]&amp;"-"&amp;CollectionCostTotal[[#This Row],[SS_or_DS]]</f>
        <v>3-1-BM-SS</v>
      </c>
      <c r="C112" s="209" t="str">
        <f>CollectionCostTotal[[#This Row],[Grouping_ID]]&amp;"-"&amp;CollectionCostTotal[[#This Row],[Sector_ID]]&amp;"-"&amp;CollectionCostTotal[[#This Row],[SS_or_DS]]</f>
        <v>3-1-SS</v>
      </c>
      <c r="D112" s="35">
        <v>3</v>
      </c>
      <c r="E112" s="24" t="str">
        <f>INDEX(Grouping[Grouping_Name],MATCH(CollectionCostTotal[[#This Row],[Grouping_ID]],Grouping[Grouping_ID],0))</f>
        <v>3 - Other areas with curbside</v>
      </c>
      <c r="F112" s="35">
        <v>1</v>
      </c>
      <c r="G112" s="24" t="str">
        <f>INDEX(Sector[Sector_Name],MATCH(CollectionCostTotal[[#This Row],[Sector_ID]],Sector[Sector_ID],0))</f>
        <v>SF Res. (on-route)</v>
      </c>
      <c r="H112" s="24" t="s">
        <v>875</v>
      </c>
      <c r="I112" s="289" t="s">
        <v>806</v>
      </c>
      <c r="J112" s="35" t="s">
        <v>66</v>
      </c>
      <c r="K112" s="24" t="str">
        <f>INDEX(Frequency[Collection_Frequency],MATCH(CollectionCostTotal[[#This Row],[Frequency_ID]],Frequency[Orig_Frequency_ID],0)+(CollectionCostTotal[[#This Row],[SS_or_DS]]="DS")*COUNTA(Frequency[Orig_Frequency_ID])/2)</f>
        <v>Bimonthly</v>
      </c>
      <c r="L112" s="35">
        <v>2018</v>
      </c>
      <c r="M11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2535</v>
      </c>
      <c r="N112" s="99">
        <f>SUMIFS(CustCntSrcs[Number],CustCntSrcs[Grouping_ID],CollectionCostTotal[[#This Row],[Grouping_ID]],CustCntSrcs[Sector_ID],CollectionCostTotal[[#This Row],[Sector_ID]])</f>
        <v>0.26100000000000001</v>
      </c>
      <c r="O112" s="100">
        <f>CollectionCostTotal[[#This Row],[Population]]*CollectionCostTotal[[#This Row],[Pct. Customers/Pop]]</f>
        <v>661.63499999999999</v>
      </c>
      <c r="P11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661.63499999999999</v>
      </c>
      <c r="Q112" s="101">
        <f>CollectionCostTotal[[#This Row],[Customers]]*INDEX(LaborCostPerLift[Annual_Labor_Cost_Per_Customer],MATCH(CollectionCostTotal[[#This Row],[Collection_ID]],LaborCostPerLift[Collection_ID],0))*(IF(CollectionCostTotal[[#This Row],[Year]]=2025,SUMIFS(CustCntSrcs[Number],CustCntSrcs[Source_ID],$Q$33),1))</f>
        <v>22596.996705226815</v>
      </c>
      <c r="R11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1048.1242373249866</v>
      </c>
      <c r="S11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5958.9755491392007</v>
      </c>
      <c r="T11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12709.728602918403</v>
      </c>
      <c r="U112" s="101">
        <f>CollectionCostTotal[[#This Row],[Customers]]*INDEX(ContainerMarginAdmin[Annual_Admin_Per_Customer],MATCH(CollectionCostTotal[[#This Row],[Collection_ID]],ContainerMarginAdmin[Collection_ID],0))*(IF(CollectionCostTotal[[#This Row],[Year]]=2025,SUMIFS(CustCntSrcs[Number],CustCntSrcs[Source_ID],$U$33),1))</f>
        <v>14296.262477515926</v>
      </c>
      <c r="V112" s="101">
        <f>(SUMIFS(CustCntSrcs[Number],CustCntSrcs[Source_ID],$V$33)/(1-SUMIFS(CustCntSrcs[Number],CustCntSrcs[Source_ID],$V$33)))*SUM(CollectionCostTotal[[#This Row],[Collection_Labor]],CollectionCostTotal[[#This Row],[Annual_Container_Cost]],CollectionCostTotal[[#This Row],[Collection_Ops]])</f>
        <v>6415.5616844947426</v>
      </c>
      <c r="W11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63687.284256620078</v>
      </c>
    </row>
    <row r="113" spans="2:32" ht="15" x14ac:dyDescent="0.25">
      <c r="B113" s="209" t="str">
        <f>CollectionCostTotal[[#This Row],[Grouping_ID]]&amp;"-"&amp;CollectionCostTotal[[#This Row],[Sector_ID]]&amp;"-"&amp;CollectionCostTotal[[#This Row],[Frequency_ID]]&amp;"-"&amp;CollectionCostTotal[[#This Row],[SS_or_DS]]</f>
        <v>3-1-M-SS</v>
      </c>
      <c r="C113" s="209" t="str">
        <f>CollectionCostTotal[[#This Row],[Grouping_ID]]&amp;"-"&amp;CollectionCostTotal[[#This Row],[Sector_ID]]&amp;"-"&amp;CollectionCostTotal[[#This Row],[SS_or_DS]]</f>
        <v>3-1-SS</v>
      </c>
      <c r="D113" s="35">
        <v>3</v>
      </c>
      <c r="E113" s="24" t="str">
        <f>INDEX(Grouping[Grouping_Name],MATCH(CollectionCostTotal[[#This Row],[Grouping_ID]],Grouping[Grouping_ID],0))</f>
        <v>3 - Other areas with curbside</v>
      </c>
      <c r="F113" s="35">
        <v>1</v>
      </c>
      <c r="G113" s="24" t="str">
        <f>INDEX(Sector[Sector_Name],MATCH(CollectionCostTotal[[#This Row],[Sector_ID]],Sector[Sector_ID],0))</f>
        <v>SF Res. (on-route)</v>
      </c>
      <c r="H113" s="24" t="s">
        <v>875</v>
      </c>
      <c r="I113" s="289" t="s">
        <v>806</v>
      </c>
      <c r="J113" s="35" t="s">
        <v>67</v>
      </c>
      <c r="K113" s="24" t="str">
        <f>INDEX(Frequency[Collection_Frequency],MATCH(CollectionCostTotal[[#This Row],[Frequency_ID]],Frequency[Orig_Frequency_ID],0)+(CollectionCostTotal[[#This Row],[SS_or_DS]]="DS")*COUNTA(Frequency[Orig_Frequency_ID])/2)</f>
        <v>Monthly</v>
      </c>
      <c r="L113" s="35">
        <v>2018</v>
      </c>
      <c r="M11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8045</v>
      </c>
      <c r="N113" s="99">
        <f>SUMIFS(CustCntSrcs[Number],CustCntSrcs[Grouping_ID],CollectionCostTotal[[#This Row],[Grouping_ID]],CustCntSrcs[Sector_ID],CollectionCostTotal[[#This Row],[Sector_ID]])</f>
        <v>0.26100000000000001</v>
      </c>
      <c r="O113" s="100">
        <f>CollectionCostTotal[[#This Row],[Population]]*CollectionCostTotal[[#This Row],[Pct. Customers/Pop]]</f>
        <v>2099.7449999999999</v>
      </c>
      <c r="P11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2099.7449999999999</v>
      </c>
      <c r="Q113" s="101">
        <f>CollectionCostTotal[[#This Row],[Customers]]*INDEX(LaborCostPerLift[Annual_Labor_Cost_Per_Customer],MATCH(CollectionCostTotal[[#This Row],[Collection_ID]],LaborCostPerLift[Collection_ID],0))*(IF(CollectionCostTotal[[#This Row],[Year]]=2025,SUMIFS(CustCntSrcs[Number],CustCntSrcs[Source_ID],$Q$33),1))</f>
        <v>35856.575639753399</v>
      </c>
      <c r="R11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1663.1478282602598</v>
      </c>
      <c r="S11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9455.6130755078648</v>
      </c>
      <c r="T11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20167.606826524367</v>
      </c>
      <c r="U113" s="101">
        <f>CollectionCostTotal[[#This Row],[Customers]]*INDEX(ContainerMarginAdmin[Annual_Admin_Per_Customer],MATCH(CollectionCostTotal[[#This Row],[Collection_ID]],ContainerMarginAdmin[Collection_ID],0))*(IF(CollectionCostTotal[[#This Row],[Year]]=2025,SUMIFS(CustCntSrcs[Number],CustCntSrcs[Source_ID],$U$33),1))</f>
        <v>45370.189992747779</v>
      </c>
      <c r="V113" s="101">
        <f>(SUMIFS(CustCntSrcs[Number],CustCntSrcs[Source_ID],$V$33)/(1-SUMIFS(CustCntSrcs[Number],CustCntSrcs[Source_ID],$V$33)))*SUM(CollectionCostTotal[[#This Row],[Collection_Labor]],CollectionCostTotal[[#This Row],[Annual_Container_Cost]],CollectionCostTotal[[#This Row],[Collection_Ops]])</f>
        <v>10180.117110800829</v>
      </c>
      <c r="W11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124792.99547359449</v>
      </c>
    </row>
    <row r="114" spans="2:32" ht="15" x14ac:dyDescent="0.25">
      <c r="B114" s="210" t="str">
        <f>CollectionCostTotal[[#This Row],[Grouping_ID]]&amp;"-"&amp;CollectionCostTotal[[#This Row],[Sector_ID]]&amp;"-"&amp;CollectionCostTotal[[#This Row],[Frequency_ID]]&amp;"-"&amp;CollectionCostTotal[[#This Row],[SS_or_DS]]</f>
        <v>3-1-U-SS</v>
      </c>
      <c r="C114" s="210" t="str">
        <f>CollectionCostTotal[[#This Row],[Grouping_ID]]&amp;"-"&amp;CollectionCostTotal[[#This Row],[Sector_ID]]&amp;"-"&amp;CollectionCostTotal[[#This Row],[SS_or_DS]]</f>
        <v>3-1-SS</v>
      </c>
      <c r="D114" s="126">
        <v>3</v>
      </c>
      <c r="E114" s="127" t="str">
        <f>INDEX(Grouping[Grouping_Name],MATCH(CollectionCostTotal[[#This Row],[Grouping_ID]],Grouping[Grouping_ID],0))</f>
        <v>3 - Other areas with curbside</v>
      </c>
      <c r="F114" s="35">
        <v>1</v>
      </c>
      <c r="G114" s="127" t="str">
        <f>INDEX(Sector[Sector_Name],MATCH(CollectionCostTotal[[#This Row],[Sector_ID]],Sector[Sector_ID],0))</f>
        <v>SF Res. (on-route)</v>
      </c>
      <c r="H114" s="24" t="s">
        <v>875</v>
      </c>
      <c r="I114" s="289" t="s">
        <v>806</v>
      </c>
      <c r="J114" s="35" t="s">
        <v>65</v>
      </c>
      <c r="K114" s="127" t="str">
        <f>INDEX(Frequency[Collection_Frequency],MATCH(CollectionCostTotal[[#This Row],[Frequency_ID]],Frequency[Orig_Frequency_ID],0)+(CollectionCostTotal[[#This Row],[SS_or_DS]]="DS")*COUNTA(Frequency[Orig_Frequency_ID])/2)</f>
        <v>Uncertain</v>
      </c>
      <c r="L114" s="35">
        <v>2018</v>
      </c>
      <c r="M11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14" s="99">
        <f>SUMIFS(CustCntSrcs[Number],CustCntSrcs[Grouping_ID],CollectionCostTotal[[#This Row],[Grouping_ID]],CustCntSrcs[Sector_ID],CollectionCostTotal[[#This Row],[Sector_ID]])</f>
        <v>0.26100000000000001</v>
      </c>
      <c r="O114" s="100">
        <f>CollectionCostTotal[[#This Row],[Population]]*CollectionCostTotal[[#This Row],[Pct. Customers/Pop]]</f>
        <v>0</v>
      </c>
      <c r="P11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14" s="101">
        <f>CollectionCostTotal[[#This Row],[Customers]]*INDEX(LaborCostPerLift[Annual_Labor_Cost_Per_Customer],MATCH(CollectionCostTotal[[#This Row],[Collection_ID]],LaborCostPerLift[Collection_ID],0))*(IF(CollectionCostTotal[[#This Row],[Year]]=2025,SUMIFS(CustCntSrcs[Number],CustCntSrcs[Source_ID],$Q$33),1))</f>
        <v>0</v>
      </c>
      <c r="R11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1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1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14" s="101">
        <f>CollectionCostTotal[[#This Row],[Customers]]*INDEX(ContainerMarginAdmin[Annual_Admin_Per_Customer],MATCH(CollectionCostTotal[[#This Row],[Collection_ID]],ContainerMarginAdmin[Collection_ID],0))*(IF(CollectionCostTotal[[#This Row],[Year]]=2025,SUMIFS(CustCntSrcs[Number],CustCntSrcs[Source_ID],$U$33),1))</f>
        <v>0</v>
      </c>
      <c r="V114" s="101">
        <f>(SUMIFS(CustCntSrcs[Number],CustCntSrcs[Source_ID],$V$33)/(1-SUMIFS(CustCntSrcs[Number],CustCntSrcs[Source_ID],$V$33)))*SUM(CollectionCostTotal[[#This Row],[Collection_Labor]],CollectionCostTotal[[#This Row],[Annual_Container_Cost]],CollectionCostTotal[[#This Row],[Collection_Ops]])</f>
        <v>0</v>
      </c>
      <c r="W11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15" spans="2:32" ht="15" x14ac:dyDescent="0.25">
      <c r="B115" s="209" t="str">
        <f>CollectionCostTotal[[#This Row],[Grouping_ID]]&amp;"-"&amp;CollectionCostTotal[[#This Row],[Sector_ID]]&amp;"-"&amp;CollectionCostTotal[[#This Row],[Frequency_ID]]&amp;"-"&amp;CollectionCostTotal[[#This Row],[SS_or_DS]]</f>
        <v>1-2-V-SS</v>
      </c>
      <c r="C115" s="209" t="str">
        <f>CollectionCostTotal[[#This Row],[Grouping_ID]]&amp;"-"&amp;CollectionCostTotal[[#This Row],[Sector_ID]]&amp;"-"&amp;CollectionCostTotal[[#This Row],[SS_or_DS]]</f>
        <v>1-2-SS</v>
      </c>
      <c r="D115" s="35">
        <v>1</v>
      </c>
      <c r="E115" s="24" t="str">
        <f>INDEX(Grouping[Grouping_Name],MATCH(CollectionCostTotal[[#This Row],[Grouping_ID]],Grouping[Grouping_ID],0))</f>
        <v>1 - Metro area</v>
      </c>
      <c r="F115" s="35">
        <v>2</v>
      </c>
      <c r="G115" s="24" t="str">
        <f>INDEX(Sector[Sector_Name],MATCH(CollectionCostTotal[[#This Row],[Sector_ID]],Sector[Sector_ID],0))</f>
        <v>MF Res. (on-route)</v>
      </c>
      <c r="H115" s="24" t="s">
        <v>875</v>
      </c>
      <c r="I115" s="289" t="s">
        <v>806</v>
      </c>
      <c r="J115" s="35" t="s">
        <v>91</v>
      </c>
      <c r="K115" s="24" t="str">
        <f>INDEX(Frequency[Collection_Frequency],MATCH(CollectionCostTotal[[#This Row],[Frequency_ID]],Frequency[Orig_Frequency_ID],0)+(CollectionCostTotal[[#This Row],[SS_or_DS]]="DS")*COUNTA(Frequency[Orig_Frequency_ID])/2)</f>
        <v>Varies by customer need</v>
      </c>
      <c r="L115" s="35">
        <v>2025</v>
      </c>
      <c r="M11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15" s="99">
        <f>SUMIFS(CustCntSrcs[Number],CustCntSrcs[Grouping_ID],CollectionCostTotal[[#This Row],[Grouping_ID]],CustCntSrcs[Sector_ID],CollectionCostTotal[[#This Row],[Sector_ID]])</f>
        <v>4.0829601659520629E-3</v>
      </c>
      <c r="O115" s="100">
        <f>CollectionCostTotal[[#This Row],[Population]]*CollectionCostTotal[[#This Row],[Pct. Customers/Pop]]</f>
        <v>7221.4205871290515</v>
      </c>
      <c r="P11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816041.25609323173</v>
      </c>
      <c r="Q115" s="101">
        <f>CollectionCostTotal[[#This Row],[Customers]]*INDEX(LaborCostPerLift[Annual_Labor_Cost_Per_Customer],MATCH(CollectionCostTotal[[#This Row],[Collection_ID]],LaborCostPerLift[Collection_ID],0))*(IF(CollectionCostTotal[[#This Row],[Year]]=2025,SUMIFS(CustCntSrcs[Number],CustCntSrcs[Source_ID],$Q$33),1))</f>
        <v>3161137.2780768052</v>
      </c>
      <c r="R11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98917.940358800959</v>
      </c>
      <c r="S11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662009.48732965137</v>
      </c>
      <c r="T11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1686024.5833588047</v>
      </c>
      <c r="U115" s="101">
        <f>CollectionCostTotal[[#This Row],[Customers]]*INDEX(ContainerMarginAdmin[Annual_Admin_Per_Customer],MATCH(CollectionCostTotal[[#This Row],[Collection_ID]],ContainerMarginAdmin[Collection_ID],0))*(IF(CollectionCostTotal[[#This Row],[Year]]=2025,SUMIFS(CustCntSrcs[Number],CustCntSrcs[Source_ID],$U$33),1))</f>
        <v>1642421.3738598544</v>
      </c>
      <c r="V115" s="101">
        <f>(SUMIFS(CustCntSrcs[Number],CustCntSrcs[Source_ID],$V$33)/(1-SUMIFS(CustCntSrcs[Number],CustCntSrcs[Source_ID],$V$33)))*SUM(CollectionCostTotal[[#This Row],[Collection_Labor]],CollectionCostTotal[[#This Row],[Annual_Container_Cost]],CollectionCostTotal[[#This Row],[Collection_Ops]])</f>
        <v>872837.61208136659</v>
      </c>
      <c r="W11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8939389.5311585143</v>
      </c>
    </row>
    <row r="116" spans="2:32" ht="15" x14ac:dyDescent="0.25">
      <c r="B116" s="209" t="str">
        <f>CollectionCostTotal[[#This Row],[Grouping_ID]]&amp;"-"&amp;CollectionCostTotal[[#This Row],[Sector_ID]]&amp;"-"&amp;CollectionCostTotal[[#This Row],[Frequency_ID]]&amp;"-"&amp;CollectionCostTotal[[#This Row],[SS_or_DS]]</f>
        <v>1-3-V-SS</v>
      </c>
      <c r="C116" s="209" t="str">
        <f>CollectionCostTotal[[#This Row],[Grouping_ID]]&amp;"-"&amp;CollectionCostTotal[[#This Row],[Sector_ID]]&amp;"-"&amp;CollectionCostTotal[[#This Row],[SS_or_DS]]</f>
        <v>1-3-SS</v>
      </c>
      <c r="D116" s="35">
        <v>1</v>
      </c>
      <c r="E116" s="24" t="str">
        <f>INDEX(Grouping[Grouping_Name],MATCH(CollectionCostTotal[[#This Row],[Grouping_ID]],Grouping[Grouping_ID],0))</f>
        <v>1 - Metro area</v>
      </c>
      <c r="F116" s="35">
        <v>3</v>
      </c>
      <c r="G116" s="24" t="str">
        <f>INDEX(Sector[Sector_Name],MATCH(CollectionCostTotal[[#This Row],[Sector_ID]],Sector[Sector_ID],0))</f>
        <v>Commercial (on-route)</v>
      </c>
      <c r="H116" s="24" t="s">
        <v>875</v>
      </c>
      <c r="I116" s="289" t="s">
        <v>806</v>
      </c>
      <c r="J116" s="35" t="s">
        <v>91</v>
      </c>
      <c r="K116" s="24" t="str">
        <f>INDEX(Frequency[Collection_Frequency],MATCH(CollectionCostTotal[[#This Row],[Frequency_ID]],Frequency[Orig_Frequency_ID],0)+(CollectionCostTotal[[#This Row],[SS_or_DS]]="DS")*COUNTA(Frequency[Orig_Frequency_ID])/2)</f>
        <v>Varies by customer need</v>
      </c>
      <c r="L116" s="35">
        <v>2025</v>
      </c>
      <c r="M11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16" s="99">
        <f>SUMIFS(CustCntSrcs[Number],CustCntSrcs[Grouping_ID],CollectionCostTotal[[#This Row],[Grouping_ID]],CustCntSrcs[Sector_ID],CollectionCostTotal[[#This Row],[Sector_ID]])</f>
        <v>2.0077661123032196E-2</v>
      </c>
      <c r="O116" s="100">
        <f>CollectionCostTotal[[#This Row],[Population]]*CollectionCostTotal[[#This Row],[Pct. Customers/Pop]]</f>
        <v>35510.813106709982</v>
      </c>
      <c r="P11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4012823.8180920328</v>
      </c>
      <c r="Q116" s="101">
        <f>CollectionCostTotal[[#This Row],[Customers]]*INDEX(LaborCostPerLift[Annual_Labor_Cost_Per_Customer],MATCH(CollectionCostTotal[[#This Row],[Collection_ID]],LaborCostPerLift[Collection_ID],0))*(IF(CollectionCostTotal[[#This Row],[Year]]=2025,SUMIFS(CustCntSrcs[Number],CustCntSrcs[Source_ID],$Q$33),1))</f>
        <v>15544663.786307352</v>
      </c>
      <c r="R11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486421.81279993244</v>
      </c>
      <c r="S11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3255383.742823679</v>
      </c>
      <c r="T11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8290903.867264688</v>
      </c>
      <c r="U116" s="101">
        <f>CollectionCostTotal[[#This Row],[Customers]]*INDEX(ContainerMarginAdmin[Annual_Admin_Per_Customer],MATCH(CollectionCostTotal[[#This Row],[Collection_ID]],ContainerMarginAdmin[Collection_ID],0))*(IF(CollectionCostTotal[[#This Row],[Year]]=2025,SUMIFS(CustCntSrcs[Number],CustCntSrcs[Source_ID],$U$33),1))</f>
        <v>8076488.2402162254</v>
      </c>
      <c r="V116" s="101">
        <f>(SUMIFS(CustCntSrcs[Number],CustCntSrcs[Source_ID],$V$33)/(1-SUMIFS(CustCntSrcs[Number],CustCntSrcs[Source_ID],$V$33)))*SUM(CollectionCostTotal[[#This Row],[Collection_Labor]],CollectionCostTotal[[#This Row],[Annual_Container_Cost]],CollectionCostTotal[[#This Row],[Collection_Ops]])</f>
        <v>4292115.7881832896</v>
      </c>
      <c r="W11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43958801.055687189</v>
      </c>
    </row>
    <row r="117" spans="2:32" ht="15" x14ac:dyDescent="0.25">
      <c r="B117" s="209" t="str">
        <f>CollectionCostTotal[[#This Row],[Grouping_ID]]&amp;"-"&amp;CollectionCostTotal[[#This Row],[Sector_ID]]&amp;"-"&amp;CollectionCostTotal[[#This Row],[Frequency_ID]]&amp;"-"&amp;CollectionCostTotal[[#This Row],[SS_or_DS]]</f>
        <v>2-2-V-SS</v>
      </c>
      <c r="C117" s="209" t="str">
        <f>CollectionCostTotal[[#This Row],[Grouping_ID]]&amp;"-"&amp;CollectionCostTotal[[#This Row],[Sector_ID]]&amp;"-"&amp;CollectionCostTotal[[#This Row],[SS_or_DS]]</f>
        <v>2-2-SS</v>
      </c>
      <c r="D117" s="35">
        <v>2</v>
      </c>
      <c r="E117" s="24" t="str">
        <f>INDEX(Grouping[Grouping_Name],MATCH(CollectionCostTotal[[#This Row],[Grouping_ID]],Grouping[Grouping_ID],0))</f>
        <v>2 - Willamette Valley, etc.</v>
      </c>
      <c r="F117" s="35">
        <v>2</v>
      </c>
      <c r="G117" s="24" t="str">
        <f>INDEX(Sector[Sector_Name],MATCH(CollectionCostTotal[[#This Row],[Sector_ID]],Sector[Sector_ID],0))</f>
        <v>MF Res. (on-route)</v>
      </c>
      <c r="H117" s="24" t="s">
        <v>875</v>
      </c>
      <c r="I117" s="289" t="s">
        <v>806</v>
      </c>
      <c r="J117" s="35" t="s">
        <v>91</v>
      </c>
      <c r="K117" s="24" t="str">
        <f>INDEX(Frequency[Collection_Frequency],MATCH(CollectionCostTotal[[#This Row],[Frequency_ID]],Frequency[Orig_Frequency_ID],0)+(CollectionCostTotal[[#This Row],[SS_or_DS]]="DS")*COUNTA(Frequency[Orig_Frequency_ID])/2)</f>
        <v>Varies by customer need</v>
      </c>
      <c r="L117" s="35">
        <v>2025</v>
      </c>
      <c r="M11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17" s="99">
        <f>SUMIFS(CustCntSrcs[Number],CustCntSrcs[Grouping_ID],CollectionCostTotal[[#This Row],[Grouping_ID]],CustCntSrcs[Sector_ID],CollectionCostTotal[[#This Row],[Sector_ID]])</f>
        <v>6.0000000000000001E-3</v>
      </c>
      <c r="O117" s="100">
        <f>CollectionCostTotal[[#This Row],[Population]]*CollectionCostTotal[[#This Row],[Pct. Customers/Pop]]</f>
        <v>9059.6882850261754</v>
      </c>
      <c r="P11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1023770.7828710043</v>
      </c>
      <c r="Q117" s="101">
        <f>CollectionCostTotal[[#This Row],[Customers]]*INDEX(LaborCostPerLift[Annual_Labor_Cost_Per_Customer],MATCH(CollectionCostTotal[[#This Row],[Collection_ID]],LaborCostPerLift[Collection_ID],0))*(IF(CollectionCostTotal[[#This Row],[Year]]=2025,SUMIFS(CustCntSrcs[Number],CustCntSrcs[Source_ID],$Q$33),1))</f>
        <v>3093067.9677713518</v>
      </c>
      <c r="R11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79875.410667516902</v>
      </c>
      <c r="S11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277802.95252258639</v>
      </c>
      <c r="T11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1721300.6817681028</v>
      </c>
      <c r="U117" s="101">
        <f>CollectionCostTotal[[#This Row],[Customers]]*INDEX(ContainerMarginAdmin[Annual_Admin_Per_Customer],MATCH(CollectionCostTotal[[#This Row],[Collection_ID]],ContainerMarginAdmin[Collection_ID],0))*(IF(CollectionCostTotal[[#This Row],[Year]]=2025,SUMIFS(CustCntSrcs[Number],CustCntSrcs[Source_ID],$U$33),1))</f>
        <v>1257664.3155518728</v>
      </c>
      <c r="V117" s="101">
        <f>(SUMIFS(CustCntSrcs[Number],CustCntSrcs[Source_ID],$V$33)/(1-SUMIFS(CustCntSrcs[Number],CustCntSrcs[Source_ID],$V$33)))*SUM(CollectionCostTotal[[#This Row],[Collection_Labor]],CollectionCostTotal[[#This Row],[Annual_Container_Cost]],CollectionCostTotal[[#This Row],[Collection_Ops]])</f>
        <v>863690.12827181851</v>
      </c>
      <c r="W11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8317172.2394242529</v>
      </c>
    </row>
    <row r="118" spans="2:32" ht="15" x14ac:dyDescent="0.25">
      <c r="B118" s="209" t="str">
        <f>CollectionCostTotal[[#This Row],[Grouping_ID]]&amp;"-"&amp;CollectionCostTotal[[#This Row],[Sector_ID]]&amp;"-"&amp;CollectionCostTotal[[#This Row],[Frequency_ID]]&amp;"-"&amp;CollectionCostTotal[[#This Row],[SS_or_DS]]</f>
        <v>2-3-V-SS</v>
      </c>
      <c r="C118" s="209" t="str">
        <f>CollectionCostTotal[[#This Row],[Grouping_ID]]&amp;"-"&amp;CollectionCostTotal[[#This Row],[Sector_ID]]&amp;"-"&amp;CollectionCostTotal[[#This Row],[SS_or_DS]]</f>
        <v>2-3-SS</v>
      </c>
      <c r="D118" s="35">
        <v>2</v>
      </c>
      <c r="E118" s="24" t="str">
        <f>INDEX(Grouping[Grouping_Name],MATCH(CollectionCostTotal[[#This Row],[Grouping_ID]],Grouping[Grouping_ID],0))</f>
        <v>2 - Willamette Valley, etc.</v>
      </c>
      <c r="F118" s="35">
        <v>3</v>
      </c>
      <c r="G118" s="24" t="str">
        <f>INDEX(Sector[Sector_Name],MATCH(CollectionCostTotal[[#This Row],[Sector_ID]],Sector[Sector_ID],0))</f>
        <v>Commercial (on-route)</v>
      </c>
      <c r="H118" s="24" t="s">
        <v>875</v>
      </c>
      <c r="I118" s="289" t="s">
        <v>806</v>
      </c>
      <c r="J118" s="35" t="s">
        <v>91</v>
      </c>
      <c r="K118" s="24" t="str">
        <f>INDEX(Frequency[Collection_Frequency],MATCH(CollectionCostTotal[[#This Row],[Frequency_ID]],Frequency[Orig_Frequency_ID],0)+(CollectionCostTotal[[#This Row],[SS_or_DS]]="DS")*COUNTA(Frequency[Orig_Frequency_ID])/2)</f>
        <v>Varies by customer need</v>
      </c>
      <c r="L118" s="35">
        <v>2025</v>
      </c>
      <c r="M11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18" s="99">
        <f>SUMIFS(CustCntSrcs[Number],CustCntSrcs[Grouping_ID],CollectionCostTotal[[#This Row],[Grouping_ID]],CustCntSrcs[Sector_ID],CollectionCostTotal[[#This Row],[Sector_ID]])</f>
        <v>1.5699999999999999E-2</v>
      </c>
      <c r="O118" s="100">
        <f>CollectionCostTotal[[#This Row],[Population]]*CollectionCostTotal[[#This Row],[Pct. Customers/Pop]]</f>
        <v>23706.184345818489</v>
      </c>
      <c r="P11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2678866.8818457942</v>
      </c>
      <c r="Q118" s="101">
        <f>CollectionCostTotal[[#This Row],[Customers]]*INDEX(LaborCostPerLift[Annual_Labor_Cost_Per_Customer],MATCH(CollectionCostTotal[[#This Row],[Collection_ID]],LaborCostPerLift[Collection_ID],0))*(IF(CollectionCostTotal[[#This Row],[Year]]=2025,SUMIFS(CustCntSrcs[Number],CustCntSrcs[Source_ID],$Q$33),1))</f>
        <v>8093527.8490017029</v>
      </c>
      <c r="R11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209007.32458000252</v>
      </c>
      <c r="S11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726917.72576743434</v>
      </c>
      <c r="T11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4504070.1172932014</v>
      </c>
      <c r="U118" s="101">
        <f>CollectionCostTotal[[#This Row],[Customers]]*INDEX(ContainerMarginAdmin[Annual_Admin_Per_Customer],MATCH(CollectionCostTotal[[#This Row],[Collection_ID]],ContainerMarginAdmin[Collection_ID],0))*(IF(CollectionCostTotal[[#This Row],[Year]]=2025,SUMIFS(CustCntSrcs[Number],CustCntSrcs[Source_ID],$U$33),1))</f>
        <v>3290888.2923607337</v>
      </c>
      <c r="V118" s="101">
        <f>(SUMIFS(CustCntSrcs[Number],CustCntSrcs[Source_ID],$V$33)/(1-SUMIFS(CustCntSrcs[Number],CustCntSrcs[Source_ID],$V$33)))*SUM(CollectionCostTotal[[#This Row],[Collection_Labor]],CollectionCostTotal[[#This Row],[Annual_Container_Cost]],CollectionCostTotal[[#This Row],[Collection_Ops]])</f>
        <v>2259989.1689779246</v>
      </c>
      <c r="W11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21763267.359826792</v>
      </c>
      <c r="AA118" s="35"/>
      <c r="AF118" s="28"/>
    </row>
    <row r="119" spans="2:32" ht="15" x14ac:dyDescent="0.25">
      <c r="B119" s="209" t="str">
        <f>CollectionCostTotal[[#This Row],[Grouping_ID]]&amp;"-"&amp;CollectionCostTotal[[#This Row],[Sector_ID]]&amp;"-"&amp;CollectionCostTotal[[#This Row],[Frequency_ID]]&amp;"-"&amp;CollectionCostTotal[[#This Row],[SS_or_DS]]</f>
        <v>3-2-V-SS</v>
      </c>
      <c r="C119" s="209" t="str">
        <f>CollectionCostTotal[[#This Row],[Grouping_ID]]&amp;"-"&amp;CollectionCostTotal[[#This Row],[Sector_ID]]&amp;"-"&amp;CollectionCostTotal[[#This Row],[SS_or_DS]]</f>
        <v>3-2-SS</v>
      </c>
      <c r="D119" s="35">
        <v>3</v>
      </c>
      <c r="E119" s="24" t="str">
        <f>INDEX(Grouping[Grouping_Name],MATCH(CollectionCostTotal[[#This Row],[Grouping_ID]],Grouping[Grouping_ID],0))</f>
        <v>3 - Other areas with curbside</v>
      </c>
      <c r="F119" s="35">
        <v>2</v>
      </c>
      <c r="G119" s="24" t="str">
        <f>INDEX(Sector[Sector_Name],MATCH(CollectionCostTotal[[#This Row],[Sector_ID]],Sector[Sector_ID],0))</f>
        <v>MF Res. (on-route)</v>
      </c>
      <c r="H119" s="24" t="s">
        <v>875</v>
      </c>
      <c r="I119" s="289" t="s">
        <v>806</v>
      </c>
      <c r="J119" s="35" t="s">
        <v>91</v>
      </c>
      <c r="K119" s="24" t="str">
        <f>INDEX(Frequency[Collection_Frequency],MATCH(CollectionCostTotal[[#This Row],[Frequency_ID]],Frequency[Orig_Frequency_ID],0)+(CollectionCostTotal[[#This Row],[SS_or_DS]]="DS")*COUNTA(Frequency[Orig_Frequency_ID])/2)</f>
        <v>Varies by customer need</v>
      </c>
      <c r="L119" s="35">
        <v>2025</v>
      </c>
      <c r="M11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19" s="99">
        <f>SUMIFS(CustCntSrcs[Number],CustCntSrcs[Grouping_ID],CollectionCostTotal[[#This Row],[Grouping_ID]],CustCntSrcs[Sector_ID],CollectionCostTotal[[#This Row],[Sector_ID]])</f>
        <v>2.5000000000000001E-3</v>
      </c>
      <c r="O119" s="100">
        <f>CollectionCostTotal[[#This Row],[Population]]*CollectionCostTotal[[#This Row],[Pct. Customers/Pop]]</f>
        <v>1445.0244787602153</v>
      </c>
      <c r="P11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163291.91417470897</v>
      </c>
      <c r="Q119" s="101">
        <f>CollectionCostTotal[[#This Row],[Customers]]*INDEX(LaborCostPerLift[Annual_Labor_Cost_Per_Customer],MATCH(CollectionCostTotal[[#This Row],[Collection_ID]],LaborCostPerLift[Collection_ID],0))*(IF(CollectionCostTotal[[#This Row],[Year]]=2025,SUMIFS(CustCntSrcs[Number],CustCntSrcs[Source_ID],$Q$33),1))</f>
        <v>648997.1737852979</v>
      </c>
      <c r="R11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31921.891978823041</v>
      </c>
      <c r="S11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71719.080110211813</v>
      </c>
      <c r="T11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328917.52210142219</v>
      </c>
      <c r="U119" s="101">
        <f>CollectionCostTotal[[#This Row],[Customers]]*INDEX(ContainerMarginAdmin[Annual_Admin_Per_Customer],MATCH(CollectionCostTotal[[#This Row],[Collection_ID]],ContainerMarginAdmin[Collection_ID],0))*(IF(CollectionCostTotal[[#This Row],[Year]]=2025,SUMIFS(CustCntSrcs[Number],CustCntSrcs[Source_ID],$U$33),1))</f>
        <v>298272.48764404858</v>
      </c>
      <c r="V119" s="101">
        <f>(SUMIFS(CustCntSrcs[Number],CustCntSrcs[Source_ID],$V$33)/(1-SUMIFS(CustCntSrcs[Number],CustCntSrcs[Source_ID],$V$33)))*SUM(CollectionCostTotal[[#This Row],[Collection_Labor]],CollectionCostTotal[[#This Row],[Annual_Container_Cost]],CollectionCostTotal[[#This Row],[Collection_Ops]])</f>
        <v>178206.45668215468</v>
      </c>
      <c r="W11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1721326.5264766673</v>
      </c>
      <c r="AA119" s="35"/>
      <c r="AF119" s="28"/>
    </row>
    <row r="120" spans="2:32" ht="15" x14ac:dyDescent="0.25">
      <c r="B120" s="209" t="str">
        <f>CollectionCostTotal[[#This Row],[Grouping_ID]]&amp;"-"&amp;CollectionCostTotal[[#This Row],[Sector_ID]]&amp;"-"&amp;CollectionCostTotal[[#This Row],[Frequency_ID]]&amp;"-"&amp;CollectionCostTotal[[#This Row],[SS_or_DS]]</f>
        <v>3-3-V-SS</v>
      </c>
      <c r="C120" s="209" t="str">
        <f>CollectionCostTotal[[#This Row],[Grouping_ID]]&amp;"-"&amp;CollectionCostTotal[[#This Row],[Sector_ID]]&amp;"-"&amp;CollectionCostTotal[[#This Row],[SS_or_DS]]</f>
        <v>3-3-SS</v>
      </c>
      <c r="D120" s="35">
        <v>3</v>
      </c>
      <c r="E120" s="24" t="str">
        <f>INDEX(Grouping[Grouping_Name],MATCH(CollectionCostTotal[[#This Row],[Grouping_ID]],Grouping[Grouping_ID],0))</f>
        <v>3 - Other areas with curbside</v>
      </c>
      <c r="F120" s="35">
        <v>3</v>
      </c>
      <c r="G120" s="24" t="str">
        <f>INDEX(Sector[Sector_Name],MATCH(CollectionCostTotal[[#This Row],[Sector_ID]],Sector[Sector_ID],0))</f>
        <v>Commercial (on-route)</v>
      </c>
      <c r="H120" s="24" t="s">
        <v>875</v>
      </c>
      <c r="I120" s="289" t="s">
        <v>806</v>
      </c>
      <c r="J120" s="35" t="s">
        <v>91</v>
      </c>
      <c r="K120" s="24" t="str">
        <f>INDEX(Frequency[Collection_Frequency],MATCH(CollectionCostTotal[[#This Row],[Frequency_ID]],Frequency[Orig_Frequency_ID],0)+(CollectionCostTotal[[#This Row],[SS_or_DS]]="DS")*COUNTA(Frequency[Orig_Frequency_ID])/2)</f>
        <v>Varies by customer need</v>
      </c>
      <c r="L120" s="35">
        <v>2025</v>
      </c>
      <c r="M12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20" s="99">
        <f>SUMIFS(CustCntSrcs[Number],CustCntSrcs[Grouping_ID],CollectionCostTotal[[#This Row],[Grouping_ID]],CustCntSrcs[Sector_ID],CollectionCostTotal[[#This Row],[Sector_ID]])</f>
        <v>1.5900000000000001E-2</v>
      </c>
      <c r="O120" s="100">
        <f>CollectionCostTotal[[#This Row],[Population]]*CollectionCostTotal[[#This Row],[Pct. Customers/Pop]]</f>
        <v>9190.35568491497</v>
      </c>
      <c r="P12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1038536.5741511491</v>
      </c>
      <c r="Q120" s="101">
        <f>CollectionCostTotal[[#This Row],[Customers]]*INDEX(LaborCostPerLift[Annual_Labor_Cost_Per_Customer],MATCH(CollectionCostTotal[[#This Row],[Collection_ID]],LaborCostPerLift[Collection_ID],0))*(IF(CollectionCostTotal[[#This Row],[Year]]=2025,SUMIFS(CustCntSrcs[Number],CustCntSrcs[Source_ID],$Q$33),1))</f>
        <v>4127622.0252744942</v>
      </c>
      <c r="R12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203023.23298531453</v>
      </c>
      <c r="S12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456133.34950094722</v>
      </c>
      <c r="T12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2091915.4405650452</v>
      </c>
      <c r="U120" s="101">
        <f>CollectionCostTotal[[#This Row],[Customers]]*INDEX(ContainerMarginAdmin[Annual_Admin_Per_Customer],MATCH(CollectionCostTotal[[#This Row],[Collection_ID]],ContainerMarginAdmin[Collection_ID],0))*(IF(CollectionCostTotal[[#This Row],[Year]]=2025,SUMIFS(CustCntSrcs[Number],CustCntSrcs[Source_ID],$U$33),1))</f>
        <v>1897013.0214161493</v>
      </c>
      <c r="V120" s="101">
        <f>(SUMIFS(CustCntSrcs[Number],CustCntSrcs[Source_ID],$V$33)/(1-SUMIFS(CustCntSrcs[Number],CustCntSrcs[Source_ID],$V$33)))*SUM(CollectionCostTotal[[#This Row],[Collection_Labor]],CollectionCostTotal[[#This Row],[Annual_Container_Cost]],CollectionCostTotal[[#This Row],[Collection_Ops]])</f>
        <v>1133393.0644985037</v>
      </c>
      <c r="W12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10947636.708391603</v>
      </c>
      <c r="AA120" s="35"/>
      <c r="AF120" s="28"/>
    </row>
    <row r="121" spans="2:32" ht="15" x14ac:dyDescent="0.25">
      <c r="B121" s="209" t="str">
        <f>CollectionCostTotal[[#This Row],[Grouping_ID]]&amp;"-"&amp;CollectionCostTotal[[#This Row],[Sector_ID]]&amp;"-"&amp;CollectionCostTotal[[#This Row],[Frequency_ID]]&amp;"-"&amp;CollectionCostTotal[[#This Row],[SS_or_DS]]</f>
        <v>1-1-W-SS</v>
      </c>
      <c r="C121" s="209" t="str">
        <f>CollectionCostTotal[[#This Row],[Grouping_ID]]&amp;"-"&amp;CollectionCostTotal[[#This Row],[Sector_ID]]&amp;"-"&amp;CollectionCostTotal[[#This Row],[SS_or_DS]]</f>
        <v>1-1-SS</v>
      </c>
      <c r="D121" s="35">
        <v>1</v>
      </c>
      <c r="E121" s="24" t="str">
        <f>INDEX(Grouping[Grouping_Name],MATCH(CollectionCostTotal[[#This Row],[Grouping_ID]],Grouping[Grouping_ID],0))</f>
        <v>1 - Metro area</v>
      </c>
      <c r="F121" s="35">
        <v>1</v>
      </c>
      <c r="G121" s="24" t="str">
        <f>INDEX(Sector[Sector_Name],MATCH(CollectionCostTotal[[#This Row],[Sector_ID]],Sector[Sector_ID],0))</f>
        <v>SF Res. (on-route)</v>
      </c>
      <c r="H121" s="24" t="s">
        <v>875</v>
      </c>
      <c r="I121" s="289" t="s">
        <v>806</v>
      </c>
      <c r="J121" s="35" t="s">
        <v>64</v>
      </c>
      <c r="K121" s="24" t="str">
        <f>INDEX(Frequency[Collection_Frequency],MATCH(CollectionCostTotal[[#This Row],[Frequency_ID]],Frequency[Orig_Frequency_ID],0)+(CollectionCostTotal[[#This Row],[SS_or_DS]]="DS")*COUNTA(Frequency[Orig_Frequency_ID])/2)</f>
        <v>Weekly</v>
      </c>
      <c r="L121" s="35">
        <v>2025</v>
      </c>
      <c r="M12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1393446.3512606001</v>
      </c>
      <c r="N121" s="99">
        <f>SUMIFS(CustCntSrcs[Number],CustCntSrcs[Grouping_ID],CollectionCostTotal[[#This Row],[Grouping_ID]],CustCntSrcs[Sector_ID],CollectionCostTotal[[#This Row],[Sector_ID]])</f>
        <v>0.26339829285649385</v>
      </c>
      <c r="O121" s="100">
        <f>CollectionCostTotal[[#This Row],[Population]]*CollectionCostTotal[[#This Row],[Pct. Customers/Pop]]</f>
        <v>367031.39010915236</v>
      </c>
      <c r="P12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1437273.2908729594</v>
      </c>
      <c r="Q121" s="101">
        <f>CollectionCostTotal[[#This Row],[Customers]]*INDEX(LaborCostPerLift[Annual_Labor_Cost_Per_Customer],MATCH(CollectionCostTotal[[#This Row],[Collection_ID]],LaborCostPerLift[Collection_ID],0))*(IF(CollectionCostTotal[[#This Row],[Year]]=2025,SUMIFS(CustCntSrcs[Number],CustCntSrcs[Source_ID],$Q$33),1))</f>
        <v>15035645.242446691</v>
      </c>
      <c r="R12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826541.76579542458</v>
      </c>
      <c r="S12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4350093.585454545</v>
      </c>
      <c r="T12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5848145.9094227925</v>
      </c>
      <c r="U121" s="101">
        <f>CollectionCostTotal[[#This Row],[Customers]]*INDEX(ContainerMarginAdmin[Annual_Admin_Per_Customer],MATCH(CollectionCostTotal[[#This Row],[Collection_ID]],ContainerMarginAdmin[Collection_ID],0))*(IF(CollectionCostTotal[[#This Row],[Year]]=2025,SUMIFS(CustCntSrcs[Number],CustCntSrcs[Source_ID],$U$33),1))</f>
        <v>5750388.720379848</v>
      </c>
      <c r="V121" s="101">
        <f>(SUMIFS(CustCntSrcs[Number],CustCntSrcs[Source_ID],$V$33)/(1-SUMIFS(CustCntSrcs[Number],CustCntSrcs[Source_ID],$V$33)))*SUM(CollectionCostTotal[[#This Row],[Collection_Labor]],CollectionCostTotal[[#This Row],[Annual_Container_Cost]],CollectionCostTotal[[#This Row],[Collection_Ops]])</f>
        <v>3831235.2207643958</v>
      </c>
      <c r="W12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37079323.735136658</v>
      </c>
      <c r="AA121" s="35"/>
      <c r="AF121" s="28"/>
    </row>
    <row r="122" spans="2:32" ht="15" x14ac:dyDescent="0.25">
      <c r="B122" s="209" t="str">
        <f>CollectionCostTotal[[#This Row],[Grouping_ID]]&amp;"-"&amp;CollectionCostTotal[[#This Row],[Sector_ID]]&amp;"-"&amp;CollectionCostTotal[[#This Row],[Frequency_ID]]&amp;"-"&amp;CollectionCostTotal[[#This Row],[SS_or_DS]]</f>
        <v>1-1-E-SS</v>
      </c>
      <c r="C122" s="209" t="str">
        <f>CollectionCostTotal[[#This Row],[Grouping_ID]]&amp;"-"&amp;CollectionCostTotal[[#This Row],[Sector_ID]]&amp;"-"&amp;CollectionCostTotal[[#This Row],[SS_or_DS]]</f>
        <v>1-1-SS</v>
      </c>
      <c r="D122" s="35">
        <v>1</v>
      </c>
      <c r="E122" s="24" t="str">
        <f>INDEX(Grouping[Grouping_Name],MATCH(CollectionCostTotal[[#This Row],[Grouping_ID]],Grouping[Grouping_ID],0))</f>
        <v>1 - Metro area</v>
      </c>
      <c r="F122" s="35">
        <v>1</v>
      </c>
      <c r="G122" s="24" t="str">
        <f>INDEX(Sector[Sector_Name],MATCH(CollectionCostTotal[[#This Row],[Sector_ID]],Sector[Sector_ID],0))</f>
        <v>SF Res. (on-route)</v>
      </c>
      <c r="H122" s="24" t="s">
        <v>875</v>
      </c>
      <c r="I122" s="289" t="s">
        <v>806</v>
      </c>
      <c r="J122" s="35" t="s">
        <v>53</v>
      </c>
      <c r="K122" s="24" t="str">
        <f>INDEX(Frequency[Collection_Frequency],MATCH(CollectionCostTotal[[#This Row],[Frequency_ID]],Frequency[Orig_Frequency_ID],0)+(CollectionCostTotal[[#This Row],[SS_or_DS]]="DS")*COUNTA(Frequency[Orig_Frequency_ID])/2)</f>
        <v>Every other week</v>
      </c>
      <c r="L122" s="35">
        <v>2025</v>
      </c>
      <c r="M12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375226.44828045601</v>
      </c>
      <c r="N122" s="99">
        <f>SUMIFS(CustCntSrcs[Number],CustCntSrcs[Grouping_ID],CollectionCostTotal[[#This Row],[Grouping_ID]],CustCntSrcs[Sector_ID],CollectionCostTotal[[#This Row],[Sector_ID]])</f>
        <v>0.26339829285649385</v>
      </c>
      <c r="O122" s="100">
        <f>CollectionCostTotal[[#This Row],[Population]]*CollectionCostTotal[[#This Row],[Pct. Customers/Pop]]</f>
        <v>98834.005911677596</v>
      </c>
      <c r="P12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387028.14188342134</v>
      </c>
      <c r="Q122" s="101">
        <f>CollectionCostTotal[[#This Row],[Customers]]*INDEX(LaborCostPerLift[Annual_Labor_Cost_Per_Customer],MATCH(CollectionCostTotal[[#This Row],[Collection_ID]],LaborCostPerLift[Collection_ID],0))*(IF(CollectionCostTotal[[#This Row],[Year]]=2025,SUMIFS(CustCntSrcs[Number],CustCntSrcs[Source_ID],$Q$33),1))</f>
        <v>3030442.8031281852</v>
      </c>
      <c r="R12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256189.79647345981</v>
      </c>
      <c r="S12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500049.30666077073</v>
      </c>
      <c r="T12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1391625.3894134881</v>
      </c>
      <c r="U122" s="101">
        <f>CollectionCostTotal[[#This Row],[Customers]]*INDEX(ContainerMarginAdmin[Annual_Admin_Per_Customer],MATCH(CollectionCostTotal[[#This Row],[Collection_ID]],ContainerMarginAdmin[Collection_ID],0))*(IF(CollectionCostTotal[[#This Row],[Year]]=2025,SUMIFS(CustCntSrcs[Number],CustCntSrcs[Source_ID],$U$33),1))</f>
        <v>1101462.296580787</v>
      </c>
      <c r="V122" s="101">
        <f>(SUMIFS(CustCntSrcs[Number],CustCntSrcs[Source_ID],$V$33)/(1-SUMIFS(CustCntSrcs[Number],CustCntSrcs[Source_ID],$V$33)))*SUM(CollectionCostTotal[[#This Row],[Collection_Labor]],CollectionCostTotal[[#This Row],[Annual_Container_Cost]],CollectionCostTotal[[#This Row],[Collection_Ops]])</f>
        <v>825574.93923796469</v>
      </c>
      <c r="W12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7492372.6733780764</v>
      </c>
      <c r="AA122" s="35"/>
      <c r="AF122" s="28"/>
    </row>
    <row r="123" spans="2:32" ht="15" x14ac:dyDescent="0.25">
      <c r="B123" s="209" t="str">
        <f>CollectionCostTotal[[#This Row],[Grouping_ID]]&amp;"-"&amp;CollectionCostTotal[[#This Row],[Sector_ID]]&amp;"-"&amp;CollectionCostTotal[[#This Row],[Frequency_ID]]&amp;"-"&amp;CollectionCostTotal[[#This Row],[SS_or_DS]]</f>
        <v>2-1-W-SS</v>
      </c>
      <c r="C123" s="209" t="str">
        <f>CollectionCostTotal[[#This Row],[Grouping_ID]]&amp;"-"&amp;CollectionCostTotal[[#This Row],[Sector_ID]]&amp;"-"&amp;CollectionCostTotal[[#This Row],[SS_or_DS]]</f>
        <v>2-1-SS</v>
      </c>
      <c r="D123" s="35">
        <v>2</v>
      </c>
      <c r="E123" s="24" t="str">
        <f>INDEX(Grouping[Grouping_Name],MATCH(CollectionCostTotal[[#This Row],[Grouping_ID]],Grouping[Grouping_ID],0))</f>
        <v>2 - Willamette Valley, etc.</v>
      </c>
      <c r="F123" s="35">
        <v>1</v>
      </c>
      <c r="G123" s="24" t="str">
        <f>INDEX(Sector[Sector_Name],MATCH(CollectionCostTotal[[#This Row],[Sector_ID]],Sector[Sector_ID],0))</f>
        <v>SF Res. (on-route)</v>
      </c>
      <c r="H123" s="24" t="s">
        <v>875</v>
      </c>
      <c r="I123" s="289" t="s">
        <v>806</v>
      </c>
      <c r="J123" s="35" t="s">
        <v>64</v>
      </c>
      <c r="K123" s="24" t="str">
        <f>INDEX(Frequency[Collection_Frequency],MATCH(CollectionCostTotal[[#This Row],[Frequency_ID]],Frequency[Orig_Frequency_ID],0)+(CollectionCostTotal[[#This Row],[SS_or_DS]]="DS")*COUNTA(Frequency[Orig_Frequency_ID])/2)</f>
        <v>Weekly</v>
      </c>
      <c r="L123" s="35">
        <v>2025</v>
      </c>
      <c r="M12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365186.16509931785</v>
      </c>
      <c r="N123" s="99">
        <f>SUMIFS(CustCntSrcs[Number],CustCntSrcs[Grouping_ID],CollectionCostTotal[[#This Row],[Grouping_ID]],CustCntSrcs[Sector_ID],CollectionCostTotal[[#This Row],[Sector_ID]])</f>
        <v>0.25090000000000001</v>
      </c>
      <c r="O123" s="100">
        <f>CollectionCostTotal[[#This Row],[Population]]*CollectionCostTotal[[#This Row],[Pct. Customers/Pop]]</f>
        <v>91625.208823418856</v>
      </c>
      <c r="P12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358798.91737160028</v>
      </c>
      <c r="Q123" s="101">
        <f>CollectionCostTotal[[#This Row],[Customers]]*INDEX(LaborCostPerLift[Annual_Labor_Cost_Per_Customer],MATCH(CollectionCostTotal[[#This Row],[Collection_ID]],LaborCostPerLift[Collection_ID],0))*(IF(CollectionCostTotal[[#This Row],[Year]]=2025,SUMIFS(CustCntSrcs[Number],CustCntSrcs[Source_ID],$Q$33),1))</f>
        <v>3659128.2695488357</v>
      </c>
      <c r="R12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274284.05880998657</v>
      </c>
      <c r="S12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733193.0515072915</v>
      </c>
      <c r="T12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2223634.8994612186</v>
      </c>
      <c r="U123" s="101">
        <f>CollectionCostTotal[[#This Row],[Customers]]*INDEX(ContainerMarginAdmin[Annual_Admin_Per_Customer],MATCH(CollectionCostTotal[[#This Row],[Collection_ID]],ContainerMarginAdmin[Collection_ID],0))*(IF(CollectionCostTotal[[#This Row],[Year]]=2025,SUMIFS(CustCntSrcs[Number],CustCntSrcs[Source_ID],$U$33),1))</f>
        <v>1585405.3209771351</v>
      </c>
      <c r="V123" s="101">
        <f>(SUMIFS(CustCntSrcs[Number],CustCntSrcs[Source_ID],$V$33)/(1-SUMIFS(CustCntSrcs[Number],CustCntSrcs[Source_ID],$V$33)))*SUM(CollectionCostTotal[[#This Row],[Collection_Labor]],CollectionCostTotal[[#This Row],[Annual_Container_Cost]],CollectionCostTotal[[#This Row],[Collection_Ops]])</f>
        <v>1086537.7460858896</v>
      </c>
      <c r="W12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9920982.2637619562</v>
      </c>
      <c r="AA123" s="35"/>
      <c r="AF123" s="28"/>
    </row>
    <row r="124" spans="2:32" ht="15" x14ac:dyDescent="0.25">
      <c r="B124" s="209" t="str">
        <f>CollectionCostTotal[[#This Row],[Grouping_ID]]&amp;"-"&amp;CollectionCostTotal[[#This Row],[Sector_ID]]&amp;"-"&amp;CollectionCostTotal[[#This Row],[Frequency_ID]]&amp;"-"&amp;CollectionCostTotal[[#This Row],[SS_or_DS]]</f>
        <v>2-1-E-SS</v>
      </c>
      <c r="C124" s="209" t="str">
        <f>CollectionCostTotal[[#This Row],[Grouping_ID]]&amp;"-"&amp;CollectionCostTotal[[#This Row],[Sector_ID]]&amp;"-"&amp;CollectionCostTotal[[#This Row],[SS_or_DS]]</f>
        <v>2-1-SS</v>
      </c>
      <c r="D124" s="35">
        <v>2</v>
      </c>
      <c r="E124" s="24" t="str">
        <f>INDEX(Grouping[Grouping_Name],MATCH(CollectionCostTotal[[#This Row],[Grouping_ID]],Grouping[Grouping_ID],0))</f>
        <v>2 - Willamette Valley, etc.</v>
      </c>
      <c r="F124" s="35">
        <v>1</v>
      </c>
      <c r="G124" s="24" t="str">
        <f>INDEX(Sector[Sector_Name],MATCH(CollectionCostTotal[[#This Row],[Sector_ID]],Sector[Sector_ID],0))</f>
        <v>SF Res. (on-route)</v>
      </c>
      <c r="H124" s="24" t="s">
        <v>875</v>
      </c>
      <c r="I124" s="289" t="s">
        <v>806</v>
      </c>
      <c r="J124" s="35" t="s">
        <v>53</v>
      </c>
      <c r="K124" s="24" t="str">
        <f>INDEX(Frequency[Collection_Frequency],MATCH(CollectionCostTotal[[#This Row],[Frequency_ID]],Frequency[Orig_Frequency_ID],0)+(CollectionCostTotal[[#This Row],[SS_or_DS]]="DS")*COUNTA(Frequency[Orig_Frequency_ID])/2)</f>
        <v>Every other week</v>
      </c>
      <c r="L124" s="35">
        <v>2025</v>
      </c>
      <c r="M12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1144761.8824050445</v>
      </c>
      <c r="N124" s="99">
        <f>SUMIFS(CustCntSrcs[Number],CustCntSrcs[Grouping_ID],CollectionCostTotal[[#This Row],[Grouping_ID]],CustCntSrcs[Sector_ID],CollectionCostTotal[[#This Row],[Sector_ID]])</f>
        <v>0.25090000000000001</v>
      </c>
      <c r="O124" s="100">
        <f>CollectionCostTotal[[#This Row],[Population]]*CollectionCostTotal[[#This Row],[Pct. Customers/Pop]]</f>
        <v>287220.7562954257</v>
      </c>
      <c r="P12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1124739.5528894104</v>
      </c>
      <c r="Q124" s="101">
        <f>CollectionCostTotal[[#This Row],[Customers]]*INDEX(LaborCostPerLift[Annual_Labor_Cost_Per_Customer],MATCH(CollectionCostTotal[[#This Row],[Collection_ID]],LaborCostPerLift[Collection_ID],0))*(IF(CollectionCostTotal[[#This Row],[Year]]=2025,SUMIFS(CustCntSrcs[Number],CustCntSrcs[Source_ID],$Q$33),1))</f>
        <v>8899952.409220228</v>
      </c>
      <c r="R12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634737.09031003586</v>
      </c>
      <c r="S12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1696725.7454494475</v>
      </c>
      <c r="T12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5145846.069653078</v>
      </c>
      <c r="U124" s="101">
        <f>CollectionCostTotal[[#This Row],[Customers]]*INDEX(ContainerMarginAdmin[Annual_Admin_Per_Customer],MATCH(CollectionCostTotal[[#This Row],[Collection_ID]],ContainerMarginAdmin[Collection_ID],0))*(IF(CollectionCostTotal[[#This Row],[Year]]=2025,SUMIFS(CustCntSrcs[Number],CustCntSrcs[Source_ID],$U$33),1))</f>
        <v>3475473.102058081</v>
      </c>
      <c r="V124" s="101">
        <f>(SUMIFS(CustCntSrcs[Number],CustCntSrcs[Source_ID],$V$33)/(1-SUMIFS(CustCntSrcs[Number],CustCntSrcs[Source_ID],$V$33)))*SUM(CollectionCostTotal[[#This Row],[Collection_Labor]],CollectionCostTotal[[#This Row],[Annual_Container_Cost]],CollectionCostTotal[[#This Row],[Collection_Ops]])</f>
        <v>2590682.747502943</v>
      </c>
      <c r="W12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23568156.717083219</v>
      </c>
      <c r="AA124" s="35"/>
      <c r="AF124" s="28"/>
    </row>
    <row r="125" spans="2:32" ht="15" x14ac:dyDescent="0.25">
      <c r="B125" s="209" t="str">
        <f>CollectionCostTotal[[#This Row],[Grouping_ID]]&amp;"-"&amp;CollectionCostTotal[[#This Row],[Sector_ID]]&amp;"-"&amp;CollectionCostTotal[[#This Row],[Frequency_ID]]&amp;"-"&amp;CollectionCostTotal[[#This Row],[SS_or_DS]]</f>
        <v>2-1-U-SS</v>
      </c>
      <c r="C125" s="209" t="str">
        <f>CollectionCostTotal[[#This Row],[Grouping_ID]]&amp;"-"&amp;CollectionCostTotal[[#This Row],[Sector_ID]]&amp;"-"&amp;CollectionCostTotal[[#This Row],[SS_or_DS]]</f>
        <v>2-1-SS</v>
      </c>
      <c r="D125" s="35">
        <v>2</v>
      </c>
      <c r="E125" s="24" t="str">
        <f>INDEX(Grouping[Grouping_Name],MATCH(CollectionCostTotal[[#This Row],[Grouping_ID]],Grouping[Grouping_ID],0))</f>
        <v>2 - Willamette Valley, etc.</v>
      </c>
      <c r="F125" s="35">
        <v>1</v>
      </c>
      <c r="G125" s="24" t="str">
        <f>INDEX(Sector[Sector_Name],MATCH(CollectionCostTotal[[#This Row],[Sector_ID]],Sector[Sector_ID],0))</f>
        <v>SF Res. (on-route)</v>
      </c>
      <c r="H125" s="24" t="s">
        <v>875</v>
      </c>
      <c r="I125" s="289" t="s">
        <v>806</v>
      </c>
      <c r="J125" s="35" t="s">
        <v>65</v>
      </c>
      <c r="K125" s="24" t="str">
        <f>INDEX(Frequency[Collection_Frequency],MATCH(CollectionCostTotal[[#This Row],[Frequency_ID]],Frequency[Orig_Frequency_ID],0)+(CollectionCostTotal[[#This Row],[SS_or_DS]]="DS")*COUNTA(Frequency[Orig_Frequency_ID])/2)</f>
        <v>Uncertain</v>
      </c>
      <c r="L125" s="35">
        <v>2025</v>
      </c>
      <c r="M12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25" s="99">
        <f>SUMIFS(CustCntSrcs[Number],CustCntSrcs[Grouping_ID],CollectionCostTotal[[#This Row],[Grouping_ID]],CustCntSrcs[Sector_ID],CollectionCostTotal[[#This Row],[Sector_ID]])</f>
        <v>0.25090000000000001</v>
      </c>
      <c r="O125" s="100">
        <f>CollectionCostTotal[[#This Row],[Population]]*CollectionCostTotal[[#This Row],[Pct. Customers/Pop]]</f>
        <v>0</v>
      </c>
      <c r="P12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25" s="101">
        <f>CollectionCostTotal[[#This Row],[Customers]]*INDEX(LaborCostPerLift[Annual_Labor_Cost_Per_Customer],MATCH(CollectionCostTotal[[#This Row],[Collection_ID]],LaborCostPerLift[Collection_ID],0))*(IF(CollectionCostTotal[[#This Row],[Year]]=2025,SUMIFS(CustCntSrcs[Number],CustCntSrcs[Source_ID],$Q$33),1))</f>
        <v>0</v>
      </c>
      <c r="R12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2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2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25" s="101">
        <f>CollectionCostTotal[[#This Row],[Customers]]*INDEX(ContainerMarginAdmin[Annual_Admin_Per_Customer],MATCH(CollectionCostTotal[[#This Row],[Collection_ID]],ContainerMarginAdmin[Collection_ID],0))*(IF(CollectionCostTotal[[#This Row],[Year]]=2025,SUMIFS(CustCntSrcs[Number],CustCntSrcs[Source_ID],$U$33),1))</f>
        <v>0</v>
      </c>
      <c r="V125" s="101">
        <f>(SUMIFS(CustCntSrcs[Number],CustCntSrcs[Source_ID],$V$33)/(1-SUMIFS(CustCntSrcs[Number],CustCntSrcs[Source_ID],$V$33)))*SUM(CollectionCostTotal[[#This Row],[Collection_Labor]],CollectionCostTotal[[#This Row],[Annual_Container_Cost]],CollectionCostTotal[[#This Row],[Collection_Ops]])</f>
        <v>0</v>
      </c>
      <c r="W12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125" s="35"/>
      <c r="AF125" s="28"/>
    </row>
    <row r="126" spans="2:32" ht="15" x14ac:dyDescent="0.25">
      <c r="B126" s="209" t="str">
        <f>CollectionCostTotal[[#This Row],[Grouping_ID]]&amp;"-"&amp;CollectionCostTotal[[#This Row],[Sector_ID]]&amp;"-"&amp;CollectionCostTotal[[#This Row],[Frequency_ID]]&amp;"-"&amp;CollectionCostTotal[[#This Row],[SS_or_DS]]</f>
        <v>3-1-W-SS</v>
      </c>
      <c r="C126" s="209" t="str">
        <f>CollectionCostTotal[[#This Row],[Grouping_ID]]&amp;"-"&amp;CollectionCostTotal[[#This Row],[Sector_ID]]&amp;"-"&amp;CollectionCostTotal[[#This Row],[SS_or_DS]]</f>
        <v>3-1-SS</v>
      </c>
      <c r="D126" s="35">
        <v>3</v>
      </c>
      <c r="E126" s="24" t="str">
        <f>INDEX(Grouping[Grouping_Name],MATCH(CollectionCostTotal[[#This Row],[Grouping_ID]],Grouping[Grouping_ID],0))</f>
        <v>3 - Other areas with curbside</v>
      </c>
      <c r="F126" s="35">
        <v>1</v>
      </c>
      <c r="G126" s="24" t="str">
        <f>INDEX(Sector[Sector_Name],MATCH(CollectionCostTotal[[#This Row],[Sector_ID]],Sector[Sector_ID],0))</f>
        <v>SF Res. (on-route)</v>
      </c>
      <c r="H126" s="24" t="s">
        <v>875</v>
      </c>
      <c r="I126" s="289" t="s">
        <v>806</v>
      </c>
      <c r="J126" s="35" t="s">
        <v>64</v>
      </c>
      <c r="K126" s="24" t="str">
        <f>INDEX(Frequency[Collection_Frequency],MATCH(CollectionCostTotal[[#This Row],[Frequency_ID]],Frequency[Orig_Frequency_ID],0)+(CollectionCostTotal[[#This Row],[SS_or_DS]]="DS")*COUNTA(Frequency[Orig_Frequency_ID])/2)</f>
        <v>Weekly</v>
      </c>
      <c r="L126" s="35">
        <v>2025</v>
      </c>
      <c r="M12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219262.41443309668</v>
      </c>
      <c r="N126" s="99">
        <f>SUMIFS(CustCntSrcs[Number],CustCntSrcs[Grouping_ID],CollectionCostTotal[[#This Row],[Grouping_ID]],CustCntSrcs[Sector_ID],CollectionCostTotal[[#This Row],[Sector_ID]])</f>
        <v>0.26100000000000001</v>
      </c>
      <c r="O126" s="100">
        <f>CollectionCostTotal[[#This Row],[Population]]*CollectionCostTotal[[#This Row],[Pct. Customers/Pop]]</f>
        <v>57227.490167038239</v>
      </c>
      <c r="P12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224099.47851141013</v>
      </c>
      <c r="Q126" s="101">
        <f>CollectionCostTotal[[#This Row],[Customers]]*INDEX(LaborCostPerLift[Annual_Labor_Cost_Per_Customer],MATCH(CollectionCostTotal[[#This Row],[Collection_ID]],LaborCostPerLift[Collection_ID],0))*(IF(CollectionCostTotal[[#This Row],[Year]]=2025,SUMIFS(CustCntSrcs[Number],CustCntSrcs[Source_ID],$Q$33),1))</f>
        <v>2861845.8077223087</v>
      </c>
      <c r="R12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147700.88362564368</v>
      </c>
      <c r="S12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839734.37763233646</v>
      </c>
      <c r="T12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1760048.7838936553</v>
      </c>
      <c r="U126" s="101">
        <f>CollectionCostTotal[[#This Row],[Customers]]*INDEX(ContainerMarginAdmin[Annual_Admin_Per_Customer],MATCH(CollectionCostTotal[[#This Row],[Collection_ID]],ContainerMarginAdmin[Collection_ID],0))*(IF(CollectionCostTotal[[#This Row],[Year]]=2025,SUMIFS(CustCntSrcs[Number],CustCntSrcs[Source_ID],$U$33),1))</f>
        <v>1330318.2703114441</v>
      </c>
      <c r="V126" s="101">
        <f>(SUMIFS(CustCntSrcs[Number],CustCntSrcs[Source_ID],$V$33)/(1-SUMIFS(CustCntSrcs[Number],CustCntSrcs[Source_ID],$V$33)))*SUM(CollectionCostTotal[[#This Row],[Collection_Labor]],CollectionCostTotal[[#This Row],[Annual_Container_Cost]],CollectionCostTotal[[#This Row],[Collection_Ops]])</f>
        <v>841693.31916028378</v>
      </c>
      <c r="W12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8005440.9208570821</v>
      </c>
      <c r="AA126" s="35"/>
      <c r="AF126" s="28"/>
    </row>
    <row r="127" spans="2:32" ht="15" x14ac:dyDescent="0.25">
      <c r="B127" s="209" t="str">
        <f>CollectionCostTotal[[#This Row],[Grouping_ID]]&amp;"-"&amp;CollectionCostTotal[[#This Row],[Sector_ID]]&amp;"-"&amp;CollectionCostTotal[[#This Row],[Frequency_ID]]&amp;"-"&amp;CollectionCostTotal[[#This Row],[SS_or_DS]]</f>
        <v>3-1-E-SS</v>
      </c>
      <c r="C127" s="209" t="str">
        <f>CollectionCostTotal[[#This Row],[Grouping_ID]]&amp;"-"&amp;CollectionCostTotal[[#This Row],[Sector_ID]]&amp;"-"&amp;CollectionCostTotal[[#This Row],[SS_or_DS]]</f>
        <v>3-1-SS</v>
      </c>
      <c r="D127" s="35">
        <v>3</v>
      </c>
      <c r="E127" s="24" t="str">
        <f>INDEX(Grouping[Grouping_Name],MATCH(CollectionCostTotal[[#This Row],[Grouping_ID]],Grouping[Grouping_ID],0))</f>
        <v>3 - Other areas with curbside</v>
      </c>
      <c r="F127" s="35">
        <v>1</v>
      </c>
      <c r="G127" s="24" t="str">
        <f>INDEX(Sector[Sector_Name],MATCH(CollectionCostTotal[[#This Row],[Sector_ID]],Sector[Sector_ID],0))</f>
        <v>SF Res. (on-route)</v>
      </c>
      <c r="H127" s="24" t="s">
        <v>875</v>
      </c>
      <c r="I127" s="289" t="s">
        <v>806</v>
      </c>
      <c r="J127" s="35" t="s">
        <v>53</v>
      </c>
      <c r="K127" s="24" t="str">
        <f>INDEX(Frequency[Collection_Frequency],MATCH(CollectionCostTotal[[#This Row],[Frequency_ID]],Frequency[Orig_Frequency_ID],0)+(CollectionCostTotal[[#This Row],[SS_or_DS]]="DS")*COUNTA(Frequency[Orig_Frequency_ID])/2)</f>
        <v>Every other week</v>
      </c>
      <c r="L127" s="35">
        <v>2025</v>
      </c>
      <c r="M12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347391.69092319539</v>
      </c>
      <c r="N127" s="99">
        <f>SUMIFS(CustCntSrcs[Number],CustCntSrcs[Grouping_ID],CollectionCostTotal[[#This Row],[Grouping_ID]],CustCntSrcs[Sector_ID],CollectionCostTotal[[#This Row],[Sector_ID]])</f>
        <v>0.26100000000000001</v>
      </c>
      <c r="O127" s="100">
        <f>CollectionCostTotal[[#This Row],[Population]]*CollectionCostTotal[[#This Row],[Pct. Customers/Pop]]</f>
        <v>90669.231330954004</v>
      </c>
      <c r="P12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355055.36585632846</v>
      </c>
      <c r="Q127" s="101">
        <f>CollectionCostTotal[[#This Row],[Customers]]*INDEX(LaborCostPerLift[Annual_Labor_Cost_Per_Customer],MATCH(CollectionCostTotal[[#This Row],[Collection_ID]],LaborCostPerLift[Collection_ID],0))*(IF(CollectionCostTotal[[#This Row],[Year]]=2025,SUMIFS(CustCntSrcs[Number],CustCntSrcs[Source_ID],$Q$33),1))</f>
        <v>3891020.814480288</v>
      </c>
      <c r="R12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172755.06656660352</v>
      </c>
      <c r="S12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982176.71245504357</v>
      </c>
      <c r="T12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2058602.070334723</v>
      </c>
      <c r="U127" s="101">
        <f>CollectionCostTotal[[#This Row],[Customers]]*INDEX(ContainerMarginAdmin[Annual_Admin_Per_Customer],MATCH(CollectionCostTotal[[#This Row],[Collection_ID]],ContainerMarginAdmin[Collection_ID],0))*(IF(CollectionCostTotal[[#This Row],[Year]]=2025,SUMIFS(CustCntSrcs[Number],CustCntSrcs[Source_ID],$U$33),1))</f>
        <v>2191957.2419979153</v>
      </c>
      <c r="V127" s="101">
        <f>(SUMIFS(CustCntSrcs[Number],CustCntSrcs[Source_ID],$V$33)/(1-SUMIFS(CustCntSrcs[Number],CustCntSrcs[Source_ID],$V$33)))*SUM(CollectionCostTotal[[#This Row],[Collection_Labor]],CollectionCostTotal[[#This Row],[Annual_Container_Cost]],CollectionCostTotal[[#This Row],[Collection_Ops]])</f>
        <v>1080419.6384791085</v>
      </c>
      <c r="W12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10731986.910170009</v>
      </c>
      <c r="AA127" s="35"/>
      <c r="AF127" s="28"/>
    </row>
    <row r="128" spans="2:32" ht="15" x14ac:dyDescent="0.25">
      <c r="B128" s="209" t="str">
        <f>CollectionCostTotal[[#This Row],[Grouping_ID]]&amp;"-"&amp;CollectionCostTotal[[#This Row],[Sector_ID]]&amp;"-"&amp;CollectionCostTotal[[#This Row],[Frequency_ID]]&amp;"-"&amp;CollectionCostTotal[[#This Row],[SS_or_DS]]</f>
        <v>3-1-BM-SS</v>
      </c>
      <c r="C128" s="209" t="str">
        <f>CollectionCostTotal[[#This Row],[Grouping_ID]]&amp;"-"&amp;CollectionCostTotal[[#This Row],[Sector_ID]]&amp;"-"&amp;CollectionCostTotal[[#This Row],[SS_or_DS]]</f>
        <v>3-1-SS</v>
      </c>
      <c r="D128" s="35">
        <v>3</v>
      </c>
      <c r="E128" s="24" t="str">
        <f>INDEX(Grouping[Grouping_Name],MATCH(CollectionCostTotal[[#This Row],[Grouping_ID]],Grouping[Grouping_ID],0))</f>
        <v>3 - Other areas with curbside</v>
      </c>
      <c r="F128" s="35">
        <v>1</v>
      </c>
      <c r="G128" s="24" t="str">
        <f>INDEX(Sector[Sector_Name],MATCH(CollectionCostTotal[[#This Row],[Sector_ID]],Sector[Sector_ID],0))</f>
        <v>SF Res. (on-route)</v>
      </c>
      <c r="H128" s="24" t="s">
        <v>875</v>
      </c>
      <c r="I128" s="289" t="s">
        <v>806</v>
      </c>
      <c r="J128" s="35" t="s">
        <v>66</v>
      </c>
      <c r="K128" s="24" t="str">
        <f>INDEX(Frequency[Collection_Frequency],MATCH(CollectionCostTotal[[#This Row],[Frequency_ID]],Frequency[Orig_Frequency_ID],0)+(CollectionCostTotal[[#This Row],[SS_or_DS]]="DS")*COUNTA(Frequency[Orig_Frequency_ID])/2)</f>
        <v>Bimonthly</v>
      </c>
      <c r="L128" s="35">
        <v>2025</v>
      </c>
      <c r="M12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2720.856747132194</v>
      </c>
      <c r="N128" s="99">
        <f>SUMIFS(CustCntSrcs[Number],CustCntSrcs[Grouping_ID],CollectionCostTotal[[#This Row],[Grouping_ID]],CustCntSrcs[Sector_ID],CollectionCostTotal[[#This Row],[Sector_ID]])</f>
        <v>0.26100000000000001</v>
      </c>
      <c r="O128" s="100">
        <f>CollectionCostTotal[[#This Row],[Population]]*CollectionCostTotal[[#This Row],[Pct. Customers/Pop]]</f>
        <v>710.14361100150268</v>
      </c>
      <c r="P12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2780.8805248864328</v>
      </c>
      <c r="Q128" s="101">
        <f>CollectionCostTotal[[#This Row],[Customers]]*INDEX(LaborCostPerLift[Annual_Labor_Cost_Per_Customer],MATCH(CollectionCostTotal[[#This Row],[Collection_ID]],LaborCostPerLift[Collection_ID],0))*(IF(CollectionCostTotal[[#This Row],[Year]]=2025,SUMIFS(CustCntSrcs[Number],CustCntSrcs[Source_ID],$Q$33),1))</f>
        <v>28349.234737724608</v>
      </c>
      <c r="R12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1258.6604307029447</v>
      </c>
      <c r="S12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7155.9519989444489</v>
      </c>
      <c r="T12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14998.581633462647</v>
      </c>
      <c r="U128" s="101">
        <f>CollectionCostTotal[[#This Row],[Customers]]*INDEX(ContainerMarginAdmin[Annual_Admin_Per_Customer],MATCH(CollectionCostTotal[[#This Row],[Collection_ID]],ContainerMarginAdmin[Collection_ID],0))*(IF(CollectionCostTotal[[#This Row],[Year]]=2025,SUMIFS(CustCntSrcs[Number],CustCntSrcs[Source_ID],$U$33),1))</f>
        <v>17167.945599003633</v>
      </c>
      <c r="V128" s="101">
        <f>(SUMIFS(CustCntSrcs[Number],CustCntSrcs[Source_ID],$V$33)/(1-SUMIFS(CustCntSrcs[Number],CustCntSrcs[Source_ID],$V$33)))*SUM(CollectionCostTotal[[#This Row],[Collection_Labor]],CollectionCostTotal[[#This Row],[Annual_Container_Cost]],CollectionCostTotal[[#This Row],[Collection_Ops]])</f>
        <v>7871.7312003335646</v>
      </c>
      <c r="W12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79582.986125058291</v>
      </c>
    </row>
    <row r="129" spans="2:32" ht="15" x14ac:dyDescent="0.25">
      <c r="B129" s="209" t="str">
        <f>CollectionCostTotal[[#This Row],[Grouping_ID]]&amp;"-"&amp;CollectionCostTotal[[#This Row],[Sector_ID]]&amp;"-"&amp;CollectionCostTotal[[#This Row],[Frequency_ID]]&amp;"-"&amp;CollectionCostTotal[[#This Row],[SS_or_DS]]</f>
        <v>3-1-M-SS</v>
      </c>
      <c r="C129" s="209" t="str">
        <f>CollectionCostTotal[[#This Row],[Grouping_ID]]&amp;"-"&amp;CollectionCostTotal[[#This Row],[Sector_ID]]&amp;"-"&amp;CollectionCostTotal[[#This Row],[SS_or_DS]]</f>
        <v>3-1-SS</v>
      </c>
      <c r="D129" s="35">
        <v>3</v>
      </c>
      <c r="E129" s="24" t="str">
        <f>INDEX(Grouping[Grouping_Name],MATCH(CollectionCostTotal[[#This Row],[Grouping_ID]],Grouping[Grouping_ID],0))</f>
        <v>3 - Other areas with curbside</v>
      </c>
      <c r="F129" s="35">
        <v>1</v>
      </c>
      <c r="G129" s="24" t="str">
        <f>INDEX(Sector[Sector_Name],MATCH(CollectionCostTotal[[#This Row],[Sector_ID]],Sector[Sector_ID],0))</f>
        <v>SF Res. (on-route)</v>
      </c>
      <c r="H129" s="24" t="s">
        <v>875</v>
      </c>
      <c r="I129" s="289" t="s">
        <v>806</v>
      </c>
      <c r="J129" s="35" t="s">
        <v>67</v>
      </c>
      <c r="K129" s="24" t="str">
        <f>INDEX(Frequency[Collection_Frequency],MATCH(CollectionCostTotal[[#This Row],[Frequency_ID]],Frequency[Orig_Frequency_ID],0)+(CollectionCostTotal[[#This Row],[SS_or_DS]]="DS")*COUNTA(Frequency[Orig_Frequency_ID])/2)</f>
        <v>Monthly</v>
      </c>
      <c r="L129" s="35">
        <v>2025</v>
      </c>
      <c r="M12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8634.829400662129</v>
      </c>
      <c r="N129" s="99">
        <f>SUMIFS(CustCntSrcs[Number],CustCntSrcs[Grouping_ID],CollectionCostTotal[[#This Row],[Grouping_ID]],CustCntSrcs[Sector_ID],CollectionCostTotal[[#This Row],[Sector_ID]])</f>
        <v>0.26100000000000001</v>
      </c>
      <c r="O129" s="100">
        <f>CollectionCostTotal[[#This Row],[Population]]*CollectionCostTotal[[#This Row],[Pct. Customers/Pop]]</f>
        <v>2253.6904735728158</v>
      </c>
      <c r="P12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8825.319062213548</v>
      </c>
      <c r="Q129" s="101">
        <f>CollectionCostTotal[[#This Row],[Customers]]*INDEX(LaborCostPerLift[Annual_Labor_Cost_Per_Customer],MATCH(CollectionCostTotal[[#This Row],[Collection_ID]],LaborCostPerLift[Collection_ID],0))*(IF(CollectionCostTotal[[#This Row],[Year]]=2025,SUMIFS(CustCntSrcs[Number],CustCntSrcs[Source_ID],$Q$33),1))</f>
        <v>44984.140722878583</v>
      </c>
      <c r="R12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1997.2235039457967</v>
      </c>
      <c r="S12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11354.957363216585</v>
      </c>
      <c r="T12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23799.524505169029</v>
      </c>
      <c r="U129" s="101">
        <f>CollectionCostTotal[[#This Row],[Customers]]*INDEX(ContainerMarginAdmin[Annual_Admin_Per_Customer],MATCH(CollectionCostTotal[[#This Row],[Collection_ID]],ContainerMarginAdmin[Collection_ID],0))*(IF(CollectionCostTotal[[#This Row],[Year]]=2025,SUMIFS(CustCntSrcs[Number],CustCntSrcs[Source_ID],$U$33),1))</f>
        <v>54483.677453248216</v>
      </c>
      <c r="V129" s="101">
        <f>(SUMIFS(CustCntSrcs[Number],CustCntSrcs[Source_ID],$V$33)/(1-SUMIFS(CustCntSrcs[Number],CustCntSrcs[Source_ID],$V$33)))*SUM(CollectionCostTotal[[#This Row],[Collection_Labor]],CollectionCostTotal[[#This Row],[Annual_Container_Cost]],CollectionCostTotal[[#This Row],[Collection_Ops]])</f>
        <v>12490.745070351781</v>
      </c>
      <c r="W12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157935.58768102355</v>
      </c>
    </row>
    <row r="130" spans="2:32" ht="15" x14ac:dyDescent="0.25">
      <c r="B130" s="210" t="str">
        <f>CollectionCostTotal[[#This Row],[Grouping_ID]]&amp;"-"&amp;CollectionCostTotal[[#This Row],[Sector_ID]]&amp;"-"&amp;CollectionCostTotal[[#This Row],[Frequency_ID]]&amp;"-"&amp;CollectionCostTotal[[#This Row],[SS_or_DS]]</f>
        <v>3-1-U-SS</v>
      </c>
      <c r="C130" s="210" t="str">
        <f>CollectionCostTotal[[#This Row],[Grouping_ID]]&amp;"-"&amp;CollectionCostTotal[[#This Row],[Sector_ID]]&amp;"-"&amp;CollectionCostTotal[[#This Row],[SS_or_DS]]</f>
        <v>3-1-SS</v>
      </c>
      <c r="D130" s="126">
        <v>3</v>
      </c>
      <c r="E130" s="127" t="str">
        <f>INDEX(Grouping[Grouping_Name],MATCH(CollectionCostTotal[[#This Row],[Grouping_ID]],Grouping[Grouping_ID],0))</f>
        <v>3 - Other areas with curbside</v>
      </c>
      <c r="F130" s="126">
        <v>1</v>
      </c>
      <c r="G130" s="127" t="str">
        <f>INDEX(Sector[Sector_Name],MATCH(CollectionCostTotal[[#This Row],[Sector_ID]],Sector[Sector_ID],0))</f>
        <v>SF Res. (on-route)</v>
      </c>
      <c r="H130" s="24" t="s">
        <v>875</v>
      </c>
      <c r="I130" s="290" t="s">
        <v>806</v>
      </c>
      <c r="J130" s="126" t="s">
        <v>65</v>
      </c>
      <c r="K130" s="127" t="str">
        <f>INDEX(Frequency[Collection_Frequency],MATCH(CollectionCostTotal[[#This Row],[Frequency_ID]],Frequency[Orig_Frequency_ID],0)+(CollectionCostTotal[[#This Row],[SS_or_DS]]="DS")*COUNTA(Frequency[Orig_Frequency_ID])/2)</f>
        <v>Uncertain</v>
      </c>
      <c r="L130" s="126">
        <v>2025</v>
      </c>
      <c r="M130" s="128">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30" s="159">
        <f>SUMIFS(CustCntSrcs[Number],CustCntSrcs[Grouping_ID],CollectionCostTotal[[#This Row],[Grouping_ID]],CustCntSrcs[Sector_ID],CollectionCostTotal[[#This Row],[Sector_ID]])</f>
        <v>0.26100000000000001</v>
      </c>
      <c r="O130" s="160">
        <f>CollectionCostTotal[[#This Row],[Population]]*CollectionCostTotal[[#This Row],[Pct. Customers/Pop]]</f>
        <v>0</v>
      </c>
      <c r="P130" s="16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30" s="161">
        <f>CollectionCostTotal[[#This Row],[Customers]]*INDEX(LaborCostPerLift[Annual_Labor_Cost_Per_Customer],MATCH(CollectionCostTotal[[#This Row],[Collection_ID]],LaborCostPerLift[Collection_ID],0))*(IF(CollectionCostTotal[[#This Row],[Year]]=2025,SUMIFS(CustCntSrcs[Number],CustCntSrcs[Source_ID],$Q$33),1))</f>
        <v>0</v>
      </c>
      <c r="R130" s="16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30" s="16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30" s="16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30" s="161">
        <f>CollectionCostTotal[[#This Row],[Customers]]*INDEX(ContainerMarginAdmin[Annual_Admin_Per_Customer],MATCH(CollectionCostTotal[[#This Row],[Collection_ID]],ContainerMarginAdmin[Collection_ID],0))*(IF(CollectionCostTotal[[#This Row],[Year]]=2025,SUMIFS(CustCntSrcs[Number],CustCntSrcs[Source_ID],$U$33),1))</f>
        <v>0</v>
      </c>
      <c r="V130" s="161">
        <f>(SUMIFS(CustCntSrcs[Number],CustCntSrcs[Source_ID],$V$33)/(1-SUMIFS(CustCntSrcs[Number],CustCntSrcs[Source_ID],$V$33)))*SUM(CollectionCostTotal[[#This Row],[Collection_Labor]],CollectionCostTotal[[#This Row],[Annual_Container_Cost]],CollectionCostTotal[[#This Row],[Collection_Ops]])</f>
        <v>0</v>
      </c>
      <c r="W130" s="129">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31" spans="2:32" ht="15" x14ac:dyDescent="0.25">
      <c r="B131" s="209" t="str">
        <f>CollectionCostTotal[[#This Row],[Grouping_ID]]&amp;"-"&amp;CollectionCostTotal[[#This Row],[Sector_ID]]&amp;"-"&amp;CollectionCostTotal[[#This Row],[Frequency_ID]]&amp;"-"&amp;CollectionCostTotal[[#This Row],[SS_or_DS]]</f>
        <v>1-2-V-SS</v>
      </c>
      <c r="C131" s="209" t="str">
        <f>CollectionCostTotal[[#This Row],[Grouping_ID]]&amp;"-"&amp;CollectionCostTotal[[#This Row],[Sector_ID]]&amp;"-"&amp;CollectionCostTotal[[#This Row],[SS_or_DS]]</f>
        <v>1-2-SS</v>
      </c>
      <c r="D131" s="35">
        <v>1</v>
      </c>
      <c r="E131" s="24" t="str">
        <f>INDEX(Grouping[Grouping_Name],MATCH(CollectionCostTotal[[#This Row],[Grouping_ID]],Grouping[Grouping_ID],0))</f>
        <v>1 - Metro area</v>
      </c>
      <c r="F131" s="35">
        <v>2</v>
      </c>
      <c r="G131" s="24" t="str">
        <f>INDEX(Sector[Sector_Name],MATCH(CollectionCostTotal[[#This Row],[Sector_ID]],Sector[Sector_ID],0))</f>
        <v>MF Res. (on-route)</v>
      </c>
      <c r="H131" s="24" t="s">
        <v>874</v>
      </c>
      <c r="I131" s="289" t="s">
        <v>806</v>
      </c>
      <c r="J131" s="35" t="s">
        <v>91</v>
      </c>
      <c r="K131" s="24" t="str">
        <f>INDEX(Frequency[Collection_Frequency],MATCH(CollectionCostTotal[[#This Row],[Frequency_ID]],Frequency[Orig_Frequency_ID],0)+(CollectionCostTotal[[#This Row],[SS_or_DS]]="DS")*COUNTA(Frequency[Orig_Frequency_ID])/2)</f>
        <v>Varies by customer need</v>
      </c>
      <c r="L131" s="35">
        <v>2018</v>
      </c>
      <c r="M13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131" s="99">
        <f>SUMIFS(CustCntSrcs[Number],CustCntSrcs[Grouping_ID],CollectionCostTotal[[#This Row],[Grouping_ID]],CustCntSrcs[Sector_ID],CollectionCostTotal[[#This Row],[Sector_ID]])</f>
        <v>4.0829601659520629E-3</v>
      </c>
      <c r="O131" s="100">
        <f>CollectionCostTotal[[#This Row],[Population]]*CollectionCostTotal[[#This Row],[Pct. Customers/Pop]]</f>
        <v>6651.3217605832124</v>
      </c>
      <c r="P13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6651.3217605832124</v>
      </c>
      <c r="Q131" s="101">
        <f>CollectionCostTotal[[#This Row],[Customers]]*INDEX(LaborCostPerLift[Annual_Labor_Cost_Per_Customer],MATCH(CollectionCostTotal[[#This Row],[Collection_ID]],LaborCostPerLift[Collection_ID],0))*(IF(CollectionCostTotal[[#This Row],[Year]]=2025,SUMIFS(CustCntSrcs[Number],CustCntSrcs[Source_ID],$Q$33),1))</f>
        <v>2490954.355166534</v>
      </c>
      <c r="R13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81431.471111412888</v>
      </c>
      <c r="S13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544981.08480045199</v>
      </c>
      <c r="T13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1412417.2705413522</v>
      </c>
      <c r="U131" s="101">
        <f>CollectionCostTotal[[#This Row],[Customers]]*INDEX(ContainerMarginAdmin[Annual_Admin_Per_Customer],MATCH(CollectionCostTotal[[#This Row],[Collection_ID]],ContainerMarginAdmin[Collection_ID],0))*(IF(CollectionCostTotal[[#This Row],[Year]]=2025,SUMIFS(CustCntSrcs[Number],CustCntSrcs[Source_ID],$U$33),1))</f>
        <v>1352078.178873406</v>
      </c>
      <c r="V131" s="101">
        <f>(SUMIFS(CustCntSrcs[Number],CustCntSrcs[Source_ID],$V$33)/(1-SUMIFS(CustCntSrcs[Number],CustCntSrcs[Source_ID],$V$33)))*SUM(CollectionCostTotal[[#This Row],[Collection_Labor]],CollectionCostTotal[[#This Row],[Annual_Container_Cost]],CollectionCostTotal[[#This Row],[Collection_Ops]])</f>
        <v>703200.54649752344</v>
      </c>
      <c r="W13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6591714.2287512636</v>
      </c>
      <c r="AA131" s="35"/>
      <c r="AF131" s="28"/>
    </row>
    <row r="132" spans="2:32" ht="15" x14ac:dyDescent="0.25">
      <c r="B132" s="209" t="str">
        <f>CollectionCostTotal[[#This Row],[Grouping_ID]]&amp;"-"&amp;CollectionCostTotal[[#This Row],[Sector_ID]]&amp;"-"&amp;CollectionCostTotal[[#This Row],[Frequency_ID]]&amp;"-"&amp;CollectionCostTotal[[#This Row],[SS_or_DS]]</f>
        <v>1-3-V-SS</v>
      </c>
      <c r="C132" s="209" t="str">
        <f>CollectionCostTotal[[#This Row],[Grouping_ID]]&amp;"-"&amp;CollectionCostTotal[[#This Row],[Sector_ID]]&amp;"-"&amp;CollectionCostTotal[[#This Row],[SS_or_DS]]</f>
        <v>1-3-SS</v>
      </c>
      <c r="D132" s="35">
        <v>1</v>
      </c>
      <c r="E132" s="24" t="str">
        <f>INDEX(Grouping[Grouping_Name],MATCH(CollectionCostTotal[[#This Row],[Grouping_ID]],Grouping[Grouping_ID],0))</f>
        <v>1 - Metro area</v>
      </c>
      <c r="F132" s="35">
        <v>3</v>
      </c>
      <c r="G132" s="24" t="str">
        <f>INDEX(Sector[Sector_Name],MATCH(CollectionCostTotal[[#This Row],[Sector_ID]],Sector[Sector_ID],0))</f>
        <v>Commercial (on-route)</v>
      </c>
      <c r="H132" s="24" t="s">
        <v>874</v>
      </c>
      <c r="I132" s="289" t="s">
        <v>806</v>
      </c>
      <c r="J132" s="35" t="s">
        <v>91</v>
      </c>
      <c r="K132" s="24" t="str">
        <f>INDEX(Frequency[Collection_Frequency],MATCH(CollectionCostTotal[[#This Row],[Frequency_ID]],Frequency[Orig_Frequency_ID],0)+(CollectionCostTotal[[#This Row],[SS_or_DS]]="DS")*COUNTA(Frequency[Orig_Frequency_ID])/2)</f>
        <v>Varies by customer need</v>
      </c>
      <c r="L132" s="35">
        <v>2018</v>
      </c>
      <c r="M13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132" s="99">
        <f>SUMIFS(CustCntSrcs[Number],CustCntSrcs[Grouping_ID],CollectionCostTotal[[#This Row],[Grouping_ID]],CustCntSrcs[Sector_ID],CollectionCostTotal[[#This Row],[Sector_ID]])</f>
        <v>2.0077661123032196E-2</v>
      </c>
      <c r="O132" s="100">
        <f>CollectionCostTotal[[#This Row],[Population]]*CollectionCostTotal[[#This Row],[Pct. Customers/Pop]]</f>
        <v>32707.393386508858</v>
      </c>
      <c r="P13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32707.393386508858</v>
      </c>
      <c r="Q132" s="101">
        <f>CollectionCostTotal[[#This Row],[Customers]]*INDEX(LaborCostPerLift[Annual_Labor_Cost_Per_Customer],MATCH(CollectionCostTotal[[#This Row],[Collection_ID]],LaborCostPerLift[Collection_ID],0))*(IF(CollectionCostTotal[[#This Row],[Year]]=2025,SUMIFS(CustCntSrcs[Number],CustCntSrcs[Source_ID],$Q$33),1))</f>
        <v>12249087.765545944</v>
      </c>
      <c r="R13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400433.36581112491</v>
      </c>
      <c r="S13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2679905.042995811</v>
      </c>
      <c r="T13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6945459.7080632653</v>
      </c>
      <c r="U132" s="101">
        <f>CollectionCostTotal[[#This Row],[Customers]]*INDEX(ContainerMarginAdmin[Annual_Admin_Per_Customer],MATCH(CollectionCostTotal[[#This Row],[Collection_ID]],ContainerMarginAdmin[Collection_ID],0))*(IF(CollectionCostTotal[[#This Row],[Year]]=2025,SUMIFS(CustCntSrcs[Number],CustCntSrcs[Source_ID],$U$33),1))</f>
        <v>6648746.5916623091</v>
      </c>
      <c r="V132" s="101">
        <f>(SUMIFS(CustCntSrcs[Number],CustCntSrcs[Source_ID],$V$33)/(1-SUMIFS(CustCntSrcs[Number],CustCntSrcs[Source_ID],$V$33)))*SUM(CollectionCostTotal[[#This Row],[Collection_Labor]],CollectionCostTotal[[#This Row],[Annual_Container_Cost]],CollectionCostTotal[[#This Row],[Collection_Ops]])</f>
        <v>3457937.795191824</v>
      </c>
      <c r="W13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32414277.662656788</v>
      </c>
      <c r="AA132" s="35"/>
      <c r="AF132" s="28"/>
    </row>
    <row r="133" spans="2:32" ht="15" x14ac:dyDescent="0.25">
      <c r="B133" s="209" t="str">
        <f>CollectionCostTotal[[#This Row],[Grouping_ID]]&amp;"-"&amp;CollectionCostTotal[[#This Row],[Sector_ID]]&amp;"-"&amp;CollectionCostTotal[[#This Row],[Frequency_ID]]&amp;"-"&amp;CollectionCostTotal[[#This Row],[SS_or_DS]]</f>
        <v>2-2-V-SS</v>
      </c>
      <c r="C133" s="209" t="str">
        <f>CollectionCostTotal[[#This Row],[Grouping_ID]]&amp;"-"&amp;CollectionCostTotal[[#This Row],[Sector_ID]]&amp;"-"&amp;CollectionCostTotal[[#This Row],[SS_or_DS]]</f>
        <v>2-2-SS</v>
      </c>
      <c r="D133" s="35">
        <v>2</v>
      </c>
      <c r="E133" s="24" t="str">
        <f>INDEX(Grouping[Grouping_Name],MATCH(CollectionCostTotal[[#This Row],[Grouping_ID]],Grouping[Grouping_ID],0))</f>
        <v>2 - Willamette Valley, etc.</v>
      </c>
      <c r="F133" s="35">
        <v>2</v>
      </c>
      <c r="G133" s="24" t="str">
        <f>INDEX(Sector[Sector_Name],MATCH(CollectionCostTotal[[#This Row],[Sector_ID]],Sector[Sector_ID],0))</f>
        <v>MF Res. (on-route)</v>
      </c>
      <c r="H133" s="24" t="s">
        <v>874</v>
      </c>
      <c r="I133" s="289" t="s">
        <v>806</v>
      </c>
      <c r="J133" s="35" t="s">
        <v>91</v>
      </c>
      <c r="K133" s="24" t="str">
        <f>INDEX(Frequency[Collection_Frequency],MATCH(CollectionCostTotal[[#This Row],[Frequency_ID]],Frequency[Orig_Frequency_ID],0)+(CollectionCostTotal[[#This Row],[SS_or_DS]]="DS")*COUNTA(Frequency[Orig_Frequency_ID])/2)</f>
        <v>Varies by customer need</v>
      </c>
      <c r="L133" s="35">
        <v>2018</v>
      </c>
      <c r="M13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33" s="99">
        <f>SUMIFS(CustCntSrcs[Number],CustCntSrcs[Grouping_ID],CollectionCostTotal[[#This Row],[Grouping_ID]],CustCntSrcs[Sector_ID],CollectionCostTotal[[#This Row],[Sector_ID]])</f>
        <v>6.0000000000000001E-3</v>
      </c>
      <c r="O133" s="100">
        <f>CollectionCostTotal[[#This Row],[Population]]*CollectionCostTotal[[#This Row],[Pct. Customers/Pop]]</f>
        <v>8505.7620000000006</v>
      </c>
      <c r="P13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8505.7620000000006</v>
      </c>
      <c r="Q133" s="101">
        <f>CollectionCostTotal[[#This Row],[Customers]]*INDEX(LaborCostPerLift[Annual_Labor_Cost_Per_Customer],MATCH(CollectionCostTotal[[#This Row],[Collection_ID]],LaborCostPerLift[Collection_ID],0))*(IF(CollectionCostTotal[[#This Row],[Year]]=2025,SUMIFS(CustCntSrcs[Number],CustCntSrcs[Source_ID],$Q$33),1))</f>
        <v>2484428.6575199128</v>
      </c>
      <c r="R13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67026.257888873792</v>
      </c>
      <c r="S13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233114.19850566992</v>
      </c>
      <c r="T13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1469841.5193819131</v>
      </c>
      <c r="U133" s="101">
        <f>CollectionCostTotal[[#This Row],[Customers]]*INDEX(ContainerMarginAdmin[Annual_Admin_Per_Customer],MATCH(CollectionCostTotal[[#This Row],[Collection_ID]],ContainerMarginAdmin[Collection_ID],0))*(IF(CollectionCostTotal[[#This Row],[Year]]=2025,SUMIFS(CustCntSrcs[Number],CustCntSrcs[Source_ID],$U$33),1))</f>
        <v>1055350.2266511016</v>
      </c>
      <c r="V133" s="101">
        <f>(SUMIFS(CustCntSrcs[Number],CustCntSrcs[Source_ID],$V$33)/(1-SUMIFS(CustCntSrcs[Number],CustCntSrcs[Source_ID],$V$33)))*SUM(CollectionCostTotal[[#This Row],[Collection_Labor]],CollectionCostTotal[[#This Row],[Annual_Container_Cost]],CollectionCostTotal[[#This Row],[Collection_Ops]])</f>
        <v>709640.54731600592</v>
      </c>
      <c r="W13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6027907.1692634765</v>
      </c>
      <c r="AA133" s="35"/>
      <c r="AF133" s="28"/>
    </row>
    <row r="134" spans="2:32" ht="15" x14ac:dyDescent="0.25">
      <c r="B134" s="209" t="str">
        <f>CollectionCostTotal[[#This Row],[Grouping_ID]]&amp;"-"&amp;CollectionCostTotal[[#This Row],[Sector_ID]]&amp;"-"&amp;CollectionCostTotal[[#This Row],[Frequency_ID]]&amp;"-"&amp;CollectionCostTotal[[#This Row],[SS_or_DS]]</f>
        <v>2-3-V-SS</v>
      </c>
      <c r="C134" s="209" t="str">
        <f>CollectionCostTotal[[#This Row],[Grouping_ID]]&amp;"-"&amp;CollectionCostTotal[[#This Row],[Sector_ID]]&amp;"-"&amp;CollectionCostTotal[[#This Row],[SS_or_DS]]</f>
        <v>2-3-SS</v>
      </c>
      <c r="D134" s="35">
        <v>2</v>
      </c>
      <c r="E134" s="24" t="str">
        <f>INDEX(Grouping[Grouping_Name],MATCH(CollectionCostTotal[[#This Row],[Grouping_ID]],Grouping[Grouping_ID],0))</f>
        <v>2 - Willamette Valley, etc.</v>
      </c>
      <c r="F134" s="35">
        <v>3</v>
      </c>
      <c r="G134" s="24" t="str">
        <f>INDEX(Sector[Sector_Name],MATCH(CollectionCostTotal[[#This Row],[Sector_ID]],Sector[Sector_ID],0))</f>
        <v>Commercial (on-route)</v>
      </c>
      <c r="H134" s="24" t="s">
        <v>874</v>
      </c>
      <c r="I134" s="289" t="s">
        <v>806</v>
      </c>
      <c r="J134" s="35" t="s">
        <v>91</v>
      </c>
      <c r="K134" s="24" t="str">
        <f>INDEX(Frequency[Collection_Frequency],MATCH(CollectionCostTotal[[#This Row],[Frequency_ID]],Frequency[Orig_Frequency_ID],0)+(CollectionCostTotal[[#This Row],[SS_or_DS]]="DS")*COUNTA(Frequency[Orig_Frequency_ID])/2)</f>
        <v>Varies by customer need</v>
      </c>
      <c r="L134" s="35">
        <v>2018</v>
      </c>
      <c r="M13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34" s="99">
        <f>SUMIFS(CustCntSrcs[Number],CustCntSrcs[Grouping_ID],CollectionCostTotal[[#This Row],[Grouping_ID]],CustCntSrcs[Sector_ID],CollectionCostTotal[[#This Row],[Sector_ID]])</f>
        <v>1.5699999999999999E-2</v>
      </c>
      <c r="O134" s="100">
        <f>CollectionCostTotal[[#This Row],[Population]]*CollectionCostTotal[[#This Row],[Pct. Customers/Pop]]</f>
        <v>22256.743899999998</v>
      </c>
      <c r="P13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22256.743899999998</v>
      </c>
      <c r="Q134" s="101">
        <f>CollectionCostTotal[[#This Row],[Customers]]*INDEX(LaborCostPerLift[Annual_Labor_Cost_Per_Customer],MATCH(CollectionCostTotal[[#This Row],[Collection_ID]],LaborCostPerLift[Collection_ID],0))*(IF(CollectionCostTotal[[#This Row],[Year]]=2025,SUMIFS(CustCntSrcs[Number],CustCntSrcs[Source_ID],$Q$33),1))</f>
        <v>6500921.6538437707</v>
      </c>
      <c r="R13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175385.37480921971</v>
      </c>
      <c r="S13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609982.15275650285</v>
      </c>
      <c r="T13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3846085.3090493386</v>
      </c>
      <c r="U134" s="101">
        <f>CollectionCostTotal[[#This Row],[Customers]]*INDEX(ContainerMarginAdmin[Annual_Admin_Per_Customer],MATCH(CollectionCostTotal[[#This Row],[Collection_ID]],ContainerMarginAdmin[Collection_ID],0))*(IF(CollectionCostTotal[[#This Row],[Year]]=2025,SUMIFS(CustCntSrcs[Number],CustCntSrcs[Source_ID],$U$33),1))</f>
        <v>2761499.7597370488</v>
      </c>
      <c r="V134" s="101">
        <f>(SUMIFS(CustCntSrcs[Number],CustCntSrcs[Source_ID],$V$33)/(1-SUMIFS(CustCntSrcs[Number],CustCntSrcs[Source_ID],$V$33)))*SUM(CollectionCostTotal[[#This Row],[Collection_Labor]],CollectionCostTotal[[#This Row],[Annual_Container_Cost]],CollectionCostTotal[[#This Row],[Collection_Ops]])</f>
        <v>1856892.7654768815</v>
      </c>
      <c r="W13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15773023.759572763</v>
      </c>
      <c r="AA134" s="35"/>
      <c r="AF134" s="28"/>
    </row>
    <row r="135" spans="2:32" ht="15" x14ac:dyDescent="0.25">
      <c r="B135" s="209" t="str">
        <f>CollectionCostTotal[[#This Row],[Grouping_ID]]&amp;"-"&amp;CollectionCostTotal[[#This Row],[Sector_ID]]&amp;"-"&amp;CollectionCostTotal[[#This Row],[Frequency_ID]]&amp;"-"&amp;CollectionCostTotal[[#This Row],[SS_or_DS]]</f>
        <v>3-2-V-SS</v>
      </c>
      <c r="C135" s="209" t="str">
        <f>CollectionCostTotal[[#This Row],[Grouping_ID]]&amp;"-"&amp;CollectionCostTotal[[#This Row],[Sector_ID]]&amp;"-"&amp;CollectionCostTotal[[#This Row],[SS_or_DS]]</f>
        <v>3-2-SS</v>
      </c>
      <c r="D135" s="35">
        <v>3</v>
      </c>
      <c r="E135" s="24" t="str">
        <f>INDEX(Grouping[Grouping_Name],MATCH(CollectionCostTotal[[#This Row],[Grouping_ID]],Grouping[Grouping_ID],0))</f>
        <v>3 - Other areas with curbside</v>
      </c>
      <c r="F135" s="35">
        <v>2</v>
      </c>
      <c r="G135" s="24" t="str">
        <f>INDEX(Sector[Sector_Name],MATCH(CollectionCostTotal[[#This Row],[Sector_ID]],Sector[Sector_ID],0))</f>
        <v>MF Res. (on-route)</v>
      </c>
      <c r="H135" s="24" t="s">
        <v>874</v>
      </c>
      <c r="I135" s="289" t="s">
        <v>806</v>
      </c>
      <c r="J135" s="35" t="s">
        <v>91</v>
      </c>
      <c r="K135" s="24" t="str">
        <f>INDEX(Frequency[Collection_Frequency],MATCH(CollectionCostTotal[[#This Row],[Frequency_ID]],Frequency[Orig_Frequency_ID],0)+(CollectionCostTotal[[#This Row],[SS_or_DS]]="DS")*COUNTA(Frequency[Orig_Frequency_ID])/2)</f>
        <v>Varies by customer need</v>
      </c>
      <c r="L135" s="35">
        <v>2018</v>
      </c>
      <c r="M13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35" s="99">
        <f>SUMIFS(CustCntSrcs[Number],CustCntSrcs[Grouping_ID],CollectionCostTotal[[#This Row],[Grouping_ID]],CustCntSrcs[Sector_ID],CollectionCostTotal[[#This Row],[Sector_ID]])</f>
        <v>2.5000000000000001E-3</v>
      </c>
      <c r="O135" s="100">
        <f>CollectionCostTotal[[#This Row],[Population]]*CollectionCostTotal[[#This Row],[Pct. Customers/Pop]]</f>
        <v>1346.3175000000001</v>
      </c>
      <c r="P13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1346.3175000000001</v>
      </c>
      <c r="Q135" s="101">
        <f>CollectionCostTotal[[#This Row],[Customers]]*INDEX(LaborCostPerLift[Annual_Labor_Cost_Per_Customer],MATCH(CollectionCostTotal[[#This Row],[Collection_ID]],LaborCostPerLift[Collection_ID],0))*(IF(CollectionCostTotal[[#This Row],[Year]]=2025,SUMIFS(CustCntSrcs[Number],CustCntSrcs[Source_ID],$Q$33),1))</f>
        <v>517311.5653175824</v>
      </c>
      <c r="R13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26582.315506326533</v>
      </c>
      <c r="S13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59722.625982755104</v>
      </c>
      <c r="T13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278723.18468612252</v>
      </c>
      <c r="U135" s="101">
        <f>CollectionCostTotal[[#This Row],[Customers]]*INDEX(ContainerMarginAdmin[Annual_Admin_Per_Customer],MATCH(CollectionCostTotal[[#This Row],[Collection_ID]],ContainerMarginAdmin[Collection_ID],0))*(IF(CollectionCostTotal[[#This Row],[Year]]=2025,SUMIFS(CustCntSrcs[Number],CustCntSrcs[Source_ID],$U$33),1))</f>
        <v>248380.4336745117</v>
      </c>
      <c r="V135" s="101">
        <f>(SUMIFS(CustCntSrcs[Number],CustCntSrcs[Source_ID],$V$33)/(1-SUMIFS(CustCntSrcs[Number],CustCntSrcs[Source_ID],$V$33)))*SUM(CollectionCostTotal[[#This Row],[Collection_Labor]],CollectionCostTotal[[#This Row],[Annual_Container_Cost]],CollectionCostTotal[[#This Row],[Collection_Ops]])</f>
        <v>145167.71744294674</v>
      </c>
      <c r="W13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1277234.160110245</v>
      </c>
      <c r="AA135" s="35"/>
      <c r="AF135" s="28"/>
    </row>
    <row r="136" spans="2:32" ht="15" x14ac:dyDescent="0.25">
      <c r="B136" s="209" t="str">
        <f>CollectionCostTotal[[#This Row],[Grouping_ID]]&amp;"-"&amp;CollectionCostTotal[[#This Row],[Sector_ID]]&amp;"-"&amp;CollectionCostTotal[[#This Row],[Frequency_ID]]&amp;"-"&amp;CollectionCostTotal[[#This Row],[SS_or_DS]]</f>
        <v>3-3-V-SS</v>
      </c>
      <c r="C136" s="209" t="str">
        <f>CollectionCostTotal[[#This Row],[Grouping_ID]]&amp;"-"&amp;CollectionCostTotal[[#This Row],[Sector_ID]]&amp;"-"&amp;CollectionCostTotal[[#This Row],[SS_or_DS]]</f>
        <v>3-3-SS</v>
      </c>
      <c r="D136" s="35">
        <v>3</v>
      </c>
      <c r="E136" s="24" t="str">
        <f>INDEX(Grouping[Grouping_Name],MATCH(CollectionCostTotal[[#This Row],[Grouping_ID]],Grouping[Grouping_ID],0))</f>
        <v>3 - Other areas with curbside</v>
      </c>
      <c r="F136" s="35">
        <v>3</v>
      </c>
      <c r="G136" s="24" t="str">
        <f>INDEX(Sector[Sector_Name],MATCH(CollectionCostTotal[[#This Row],[Sector_ID]],Sector[Sector_ID],0))</f>
        <v>Commercial (on-route)</v>
      </c>
      <c r="H136" s="24" t="s">
        <v>874</v>
      </c>
      <c r="I136" s="289" t="s">
        <v>806</v>
      </c>
      <c r="J136" s="35" t="s">
        <v>91</v>
      </c>
      <c r="K136" s="24" t="str">
        <f>INDEX(Frequency[Collection_Frequency],MATCH(CollectionCostTotal[[#This Row],[Frequency_ID]],Frequency[Orig_Frequency_ID],0)+(CollectionCostTotal[[#This Row],[SS_or_DS]]="DS")*COUNTA(Frequency[Orig_Frequency_ID])/2)</f>
        <v>Varies by customer need</v>
      </c>
      <c r="L136" s="35">
        <v>2018</v>
      </c>
      <c r="M13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36" s="99">
        <f>SUMIFS(CustCntSrcs[Number],CustCntSrcs[Grouping_ID],CollectionCostTotal[[#This Row],[Grouping_ID]],CustCntSrcs[Sector_ID],CollectionCostTotal[[#This Row],[Sector_ID]])</f>
        <v>1.5900000000000001E-2</v>
      </c>
      <c r="O136" s="100">
        <f>CollectionCostTotal[[#This Row],[Population]]*CollectionCostTotal[[#This Row],[Pct. Customers/Pop]]</f>
        <v>8562.5793000000012</v>
      </c>
      <c r="P13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8562.5793000000012</v>
      </c>
      <c r="Q136" s="101">
        <f>CollectionCostTotal[[#This Row],[Customers]]*INDEX(LaborCostPerLift[Annual_Labor_Cost_Per_Customer],MATCH(CollectionCostTotal[[#This Row],[Collection_ID]],LaborCostPerLift[Collection_ID],0))*(IF(CollectionCostTotal[[#This Row],[Year]]=2025,SUMIFS(CustCntSrcs[Number],CustCntSrcs[Source_ID],$Q$33),1))</f>
        <v>3290101.5554198241</v>
      </c>
      <c r="R13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169063.52662023678</v>
      </c>
      <c r="S13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379835.90125032252</v>
      </c>
      <c r="T13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1772679.4546037393</v>
      </c>
      <c r="U136" s="101">
        <f>CollectionCostTotal[[#This Row],[Customers]]*INDEX(ContainerMarginAdmin[Annual_Admin_Per_Customer],MATCH(CollectionCostTotal[[#This Row],[Collection_ID]],ContainerMarginAdmin[Collection_ID],0))*(IF(CollectionCostTotal[[#This Row],[Year]]=2025,SUMIFS(CustCntSrcs[Number],CustCntSrcs[Source_ID],$U$33),1))</f>
        <v>1579699.5581698946</v>
      </c>
      <c r="V136" s="101">
        <f>(SUMIFS(CustCntSrcs[Number],CustCntSrcs[Source_ID],$V$33)/(1-SUMIFS(CustCntSrcs[Number],CustCntSrcs[Source_ID],$V$33)))*SUM(CollectionCostTotal[[#This Row],[Collection_Labor]],CollectionCostTotal[[#This Row],[Annual_Container_Cost]],CollectionCostTotal[[#This Row],[Collection_Ops]])</f>
        <v>923266.68293714128</v>
      </c>
      <c r="W13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8123209.2583011584</v>
      </c>
      <c r="AA136" s="35"/>
      <c r="AF136" s="28"/>
    </row>
    <row r="137" spans="2:32" ht="15" x14ac:dyDescent="0.25">
      <c r="B137" s="209" t="str">
        <f>CollectionCostTotal[[#This Row],[Grouping_ID]]&amp;"-"&amp;CollectionCostTotal[[#This Row],[Sector_ID]]&amp;"-"&amp;CollectionCostTotal[[#This Row],[Frequency_ID]]&amp;"-"&amp;CollectionCostTotal[[#This Row],[SS_or_DS]]</f>
        <v>1-1-W-SS</v>
      </c>
      <c r="C137" s="209" t="str">
        <f>CollectionCostTotal[[#This Row],[Grouping_ID]]&amp;"-"&amp;CollectionCostTotal[[#This Row],[Sector_ID]]&amp;"-"&amp;CollectionCostTotal[[#This Row],[SS_or_DS]]</f>
        <v>1-1-SS</v>
      </c>
      <c r="D137" s="35">
        <v>1</v>
      </c>
      <c r="E137" s="24" t="str">
        <f>INDEX(Grouping[Grouping_Name],MATCH(CollectionCostTotal[[#This Row],[Grouping_ID]],Grouping[Grouping_ID],0))</f>
        <v>1 - Metro area</v>
      </c>
      <c r="F137" s="35">
        <v>1</v>
      </c>
      <c r="G137" s="24" t="str">
        <f>INDEX(Sector[Sector_Name],MATCH(CollectionCostTotal[[#This Row],[Sector_ID]],Sector[Sector_ID],0))</f>
        <v>SF Res. (on-route)</v>
      </c>
      <c r="H137" s="24" t="s">
        <v>874</v>
      </c>
      <c r="I137" s="289" t="s">
        <v>806</v>
      </c>
      <c r="J137" s="35" t="s">
        <v>64</v>
      </c>
      <c r="K137" s="24" t="str">
        <f>INDEX(Frequency[Collection_Frequency],MATCH(CollectionCostTotal[[#This Row],[Frequency_ID]],Frequency[Orig_Frequency_ID],0)+(CollectionCostTotal[[#This Row],[SS_or_DS]]="DS")*COUNTA(Frequency[Orig_Frequency_ID])/2)</f>
        <v>Weekly</v>
      </c>
      <c r="L137" s="35">
        <v>2018</v>
      </c>
      <c r="M13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1283440</v>
      </c>
      <c r="N137" s="99">
        <f>SUMIFS(CustCntSrcs[Number],CustCntSrcs[Grouping_ID],CollectionCostTotal[[#This Row],[Grouping_ID]],CustCntSrcs[Sector_ID],CollectionCostTotal[[#This Row],[Sector_ID]])</f>
        <v>0.26339829285649385</v>
      </c>
      <c r="O137" s="100">
        <f>CollectionCostTotal[[#This Row],[Population]]*CollectionCostTotal[[#This Row],[Pct. Customers/Pop]]</f>
        <v>338055.9049837385</v>
      </c>
      <c r="P13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338055.9049837385</v>
      </c>
      <c r="Q137" s="101">
        <f>CollectionCostTotal[[#This Row],[Customers]]*INDEX(LaborCostPerLift[Annual_Labor_Cost_Per_Customer],MATCH(CollectionCostTotal[[#This Row],[Collection_ID]],LaborCostPerLift[Collection_ID],0))*(IF(CollectionCostTotal[[#This Row],[Year]]=2025,SUMIFS(CustCntSrcs[Number],CustCntSrcs[Source_ID],$Q$33),1))</f>
        <v>11847984.666517725</v>
      </c>
      <c r="R13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680427.7533439151</v>
      </c>
      <c r="S13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3581094.782715695</v>
      </c>
      <c r="T13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4899111.4154808819</v>
      </c>
      <c r="U137" s="101">
        <f>CollectionCostTotal[[#This Row],[Customers]]*INDEX(ContainerMarginAdmin[Annual_Admin_Per_Customer],MATCH(CollectionCostTotal[[#This Row],[Collection_ID]],ContainerMarginAdmin[Collection_ID],0))*(IF(CollectionCostTotal[[#This Row],[Year]]=2025,SUMIFS(CustCntSrcs[Number],CustCntSrcs[Source_ID],$U$33),1))</f>
        <v>4733849.20131269</v>
      </c>
      <c r="V137" s="101">
        <f>(SUMIFS(CustCntSrcs[Number],CustCntSrcs[Source_ID],$V$33)/(1-SUMIFS(CustCntSrcs[Number],CustCntSrcs[Source_ID],$V$33)))*SUM(CollectionCostTotal[[#This Row],[Collection_Labor]],CollectionCostTotal[[#This Row],[Annual_Container_Cost]],CollectionCostTotal[[#This Row],[Collection_Ops]])</f>
        <v>3075445.3827075041</v>
      </c>
      <c r="W13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29155969.10706215</v>
      </c>
      <c r="AA137" s="35"/>
      <c r="AF137" s="28"/>
    </row>
    <row r="138" spans="2:32" ht="15" x14ac:dyDescent="0.25">
      <c r="B138" s="209" t="str">
        <f>CollectionCostTotal[[#This Row],[Grouping_ID]]&amp;"-"&amp;CollectionCostTotal[[#This Row],[Sector_ID]]&amp;"-"&amp;CollectionCostTotal[[#This Row],[Frequency_ID]]&amp;"-"&amp;CollectionCostTotal[[#This Row],[SS_or_DS]]</f>
        <v>1-1-E-SS</v>
      </c>
      <c r="C138" s="209" t="str">
        <f>CollectionCostTotal[[#This Row],[Grouping_ID]]&amp;"-"&amp;CollectionCostTotal[[#This Row],[Sector_ID]]&amp;"-"&amp;CollectionCostTotal[[#This Row],[SS_or_DS]]</f>
        <v>1-1-SS</v>
      </c>
      <c r="D138" s="35">
        <v>1</v>
      </c>
      <c r="E138" s="24" t="str">
        <f>INDEX(Grouping[Grouping_Name],MATCH(CollectionCostTotal[[#This Row],[Grouping_ID]],Grouping[Grouping_ID],0))</f>
        <v>1 - Metro area</v>
      </c>
      <c r="F138" s="35">
        <v>1</v>
      </c>
      <c r="G138" s="24" t="str">
        <f>INDEX(Sector[Sector_Name],MATCH(CollectionCostTotal[[#This Row],[Sector_ID]],Sector[Sector_ID],0))</f>
        <v>SF Res. (on-route)</v>
      </c>
      <c r="H138" s="24" t="s">
        <v>874</v>
      </c>
      <c r="I138" s="289" t="s">
        <v>806</v>
      </c>
      <c r="J138" s="35" t="s">
        <v>53</v>
      </c>
      <c r="K138" s="24" t="str">
        <f>INDEX(Frequency[Collection_Frequency],MATCH(CollectionCostTotal[[#This Row],[Frequency_ID]],Frequency[Orig_Frequency_ID],0)+(CollectionCostTotal[[#This Row],[SS_or_DS]]="DS")*COUNTA(Frequency[Orig_Frequency_ID])/2)</f>
        <v>Every other week</v>
      </c>
      <c r="L138" s="35">
        <v>2018</v>
      </c>
      <c r="M13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345604</v>
      </c>
      <c r="N138" s="99">
        <f>SUMIFS(CustCntSrcs[Number],CustCntSrcs[Grouping_ID],CollectionCostTotal[[#This Row],[Grouping_ID]],CustCntSrcs[Sector_ID],CollectionCostTotal[[#This Row],[Sector_ID]])</f>
        <v>0.26339829285649385</v>
      </c>
      <c r="O138" s="100">
        <f>CollectionCostTotal[[#This Row],[Population]]*CollectionCostTotal[[#This Row],[Pct. Customers/Pop]]</f>
        <v>91031.503604375699</v>
      </c>
      <c r="P13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91031.503604375699</v>
      </c>
      <c r="Q138" s="101">
        <f>CollectionCostTotal[[#This Row],[Customers]]*INDEX(LaborCostPerLift[Annual_Labor_Cost_Per_Customer],MATCH(CollectionCostTotal[[#This Row],[Collection_ID]],LaborCostPerLift[Collection_ID],0))*(IF(CollectionCostTotal[[#This Row],[Year]]=2025,SUMIFS(CustCntSrcs[Number],CustCntSrcs[Source_ID],$Q$33),1))</f>
        <v>2387968.0110342316</v>
      </c>
      <c r="R13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210901.19683947865</v>
      </c>
      <c r="S13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411651.82495639846</v>
      </c>
      <c r="T13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1165793.0456836959</v>
      </c>
      <c r="U138" s="101">
        <f>CollectionCostTotal[[#This Row],[Customers]]*INDEX(ContainerMarginAdmin[Annual_Admin_Per_Customer],MATCH(CollectionCostTotal[[#This Row],[Collection_ID]],ContainerMarginAdmin[Collection_ID],0))*(IF(CollectionCostTotal[[#This Row],[Year]]=2025,SUMIFS(CustCntSrcs[Number],CustCntSrcs[Source_ID],$U$33),1))</f>
        <v>906748.5115337685</v>
      </c>
      <c r="V138" s="101">
        <f>(SUMIFS(CustCntSrcs[Number],CustCntSrcs[Source_ID],$V$33)/(1-SUMIFS(CustCntSrcs[Number],CustCntSrcs[Source_ID],$V$33)))*SUM(CollectionCostTotal[[#This Row],[Collection_Labor]],CollectionCostTotal[[#This Row],[Annual_Container_Cost]],CollectionCostTotal[[#This Row],[Collection_Ops]])</f>
        <v>664352.16239248356</v>
      </c>
      <c r="W13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5838446.2560444325</v>
      </c>
      <c r="AA138" s="35"/>
      <c r="AF138" s="28"/>
    </row>
    <row r="139" spans="2:32" ht="15" x14ac:dyDescent="0.25">
      <c r="B139" s="209" t="str">
        <f>CollectionCostTotal[[#This Row],[Grouping_ID]]&amp;"-"&amp;CollectionCostTotal[[#This Row],[Sector_ID]]&amp;"-"&amp;CollectionCostTotal[[#This Row],[Frequency_ID]]&amp;"-"&amp;CollectionCostTotal[[#This Row],[SS_or_DS]]</f>
        <v>2-1-W-SS</v>
      </c>
      <c r="C139" s="209" t="str">
        <f>CollectionCostTotal[[#This Row],[Grouping_ID]]&amp;"-"&amp;CollectionCostTotal[[#This Row],[Sector_ID]]&amp;"-"&amp;CollectionCostTotal[[#This Row],[SS_or_DS]]</f>
        <v>2-1-SS</v>
      </c>
      <c r="D139" s="35">
        <v>2</v>
      </c>
      <c r="E139" s="24" t="str">
        <f>INDEX(Grouping[Grouping_Name],MATCH(CollectionCostTotal[[#This Row],[Grouping_ID]],Grouping[Grouping_ID],0))</f>
        <v>2 - Willamette Valley, etc.</v>
      </c>
      <c r="F139" s="35">
        <v>1</v>
      </c>
      <c r="G139" s="24" t="str">
        <f>INDEX(Sector[Sector_Name],MATCH(CollectionCostTotal[[#This Row],[Sector_ID]],Sector[Sector_ID],0))</f>
        <v>SF Res. (on-route)</v>
      </c>
      <c r="H139" s="24" t="s">
        <v>874</v>
      </c>
      <c r="I139" s="289" t="s">
        <v>806</v>
      </c>
      <c r="J139" s="35" t="s">
        <v>64</v>
      </c>
      <c r="K139" s="24" t="str">
        <f>INDEX(Frequency[Collection_Frequency],MATCH(CollectionCostTotal[[#This Row],[Frequency_ID]],Frequency[Orig_Frequency_ID],0)+(CollectionCostTotal[[#This Row],[SS_or_DS]]="DS")*COUNTA(Frequency[Orig_Frequency_ID])/2)</f>
        <v>Weekly</v>
      </c>
      <c r="L139" s="35">
        <v>2018</v>
      </c>
      <c r="M13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342858</v>
      </c>
      <c r="N139" s="99">
        <f>SUMIFS(CustCntSrcs[Number],CustCntSrcs[Grouping_ID],CollectionCostTotal[[#This Row],[Grouping_ID]],CustCntSrcs[Sector_ID],CollectionCostTotal[[#This Row],[Sector_ID]])</f>
        <v>0.25090000000000001</v>
      </c>
      <c r="O139" s="100">
        <f>CollectionCostTotal[[#This Row],[Population]]*CollectionCostTotal[[#This Row],[Pct. Customers/Pop]]</f>
        <v>86023.07220000001</v>
      </c>
      <c r="P13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86023.07220000001</v>
      </c>
      <c r="Q139" s="101">
        <f>CollectionCostTotal[[#This Row],[Customers]]*INDEX(LaborCostPerLift[Annual_Labor_Cost_Per_Customer],MATCH(CollectionCostTotal[[#This Row],[Collection_ID]],LaborCostPerLift[Collection_ID],0))*(IF(CollectionCostTotal[[#This Row],[Year]]=2025,SUMIFS(CustCntSrcs[Number],CustCntSrcs[Source_ID],$Q$33),1))</f>
        <v>2939102.2858636375</v>
      </c>
      <c r="R13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230161.37140289583</v>
      </c>
      <c r="S13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615247.99862648116</v>
      </c>
      <c r="T13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1898791.3813044368</v>
      </c>
      <c r="U139" s="101">
        <f>CollectionCostTotal[[#This Row],[Customers]]*INDEX(ContainerMarginAdmin[Annual_Admin_Per_Customer],MATCH(CollectionCostTotal[[#This Row],[Collection_ID]],ContainerMarginAdmin[Collection_ID],0))*(IF(CollectionCostTotal[[#This Row],[Year]]=2025,SUMIFS(CustCntSrcs[Number],CustCntSrcs[Source_ID],$U$33),1))</f>
        <v>1330369.1964042785</v>
      </c>
      <c r="V139" s="101">
        <f>(SUMIFS(CustCntSrcs[Number],CustCntSrcs[Source_ID],$V$33)/(1-SUMIFS(CustCntSrcs[Number],CustCntSrcs[Source_ID],$V$33)))*SUM(CollectionCostTotal[[#This Row],[Collection_Labor]],CollectionCostTotal[[#This Row],[Annual_Container_Cost]],CollectionCostTotal[[#This Row],[Collection_Ops]])</f>
        <v>894362.65386546543</v>
      </c>
      <c r="W13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7994057.9596671946</v>
      </c>
      <c r="AA139" s="35"/>
      <c r="AF139" s="28"/>
    </row>
    <row r="140" spans="2:32" ht="15" x14ac:dyDescent="0.25">
      <c r="B140" s="209" t="str">
        <f>CollectionCostTotal[[#This Row],[Grouping_ID]]&amp;"-"&amp;CollectionCostTotal[[#This Row],[Sector_ID]]&amp;"-"&amp;CollectionCostTotal[[#This Row],[Frequency_ID]]&amp;"-"&amp;CollectionCostTotal[[#This Row],[SS_or_DS]]</f>
        <v>2-1-E-SS</v>
      </c>
      <c r="C140" s="209" t="str">
        <f>CollectionCostTotal[[#This Row],[Grouping_ID]]&amp;"-"&amp;CollectionCostTotal[[#This Row],[Sector_ID]]&amp;"-"&amp;CollectionCostTotal[[#This Row],[SS_or_DS]]</f>
        <v>2-1-SS</v>
      </c>
      <c r="D140" s="35">
        <v>2</v>
      </c>
      <c r="E140" s="24" t="str">
        <f>INDEX(Grouping[Grouping_Name],MATCH(CollectionCostTotal[[#This Row],[Grouping_ID]],Grouping[Grouping_ID],0))</f>
        <v>2 - Willamette Valley, etc.</v>
      </c>
      <c r="F140" s="35">
        <v>1</v>
      </c>
      <c r="G140" s="24" t="str">
        <f>INDEX(Sector[Sector_Name],MATCH(CollectionCostTotal[[#This Row],[Sector_ID]],Sector[Sector_ID],0))</f>
        <v>SF Res. (on-route)</v>
      </c>
      <c r="H140" s="24" t="s">
        <v>874</v>
      </c>
      <c r="I140" s="289" t="s">
        <v>806</v>
      </c>
      <c r="J140" s="35" t="s">
        <v>53</v>
      </c>
      <c r="K140" s="24" t="str">
        <f>INDEX(Frequency[Collection_Frequency],MATCH(CollectionCostTotal[[#This Row],[Frequency_ID]],Frequency[Orig_Frequency_ID],0)+(CollectionCostTotal[[#This Row],[SS_or_DS]]="DS")*COUNTA(Frequency[Orig_Frequency_ID])/2)</f>
        <v>Every other week</v>
      </c>
      <c r="L140" s="35">
        <v>2018</v>
      </c>
      <c r="M14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1074769</v>
      </c>
      <c r="N140" s="99">
        <f>SUMIFS(CustCntSrcs[Number],CustCntSrcs[Grouping_ID],CollectionCostTotal[[#This Row],[Grouping_ID]],CustCntSrcs[Sector_ID],CollectionCostTotal[[#This Row],[Sector_ID]])</f>
        <v>0.25090000000000001</v>
      </c>
      <c r="O140" s="100">
        <f>CollectionCostTotal[[#This Row],[Population]]*CollectionCostTotal[[#This Row],[Pct. Customers/Pop]]</f>
        <v>269659.54210000002</v>
      </c>
      <c r="P14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269659.54210000002</v>
      </c>
      <c r="Q140" s="101">
        <f>CollectionCostTotal[[#This Row],[Customers]]*INDEX(LaborCostPerLift[Annual_Labor_Cost_Per_Customer],MATCH(CollectionCostTotal[[#This Row],[Collection_ID]],LaborCostPerLift[Collection_ID],0))*(IF(CollectionCostTotal[[#This Row],[Year]]=2025,SUMIFS(CustCntSrcs[Number],CustCntSrcs[Source_ID],$Q$33),1))</f>
        <v>7148661.7967732456</v>
      </c>
      <c r="R14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532630.14926889539</v>
      </c>
      <c r="S14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1423782.0679829714</v>
      </c>
      <c r="T14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4394106.3206662387</v>
      </c>
      <c r="U140" s="101">
        <f>CollectionCostTotal[[#This Row],[Customers]]*INDEX(ContainerMarginAdmin[Annual_Admin_Per_Customer],MATCH(CollectionCostTotal[[#This Row],[Collection_ID]],ContainerMarginAdmin[Collection_ID],0))*(IF(CollectionCostTotal[[#This Row],[Year]]=2025,SUMIFS(CustCntSrcs[Number],CustCntSrcs[Source_ID],$U$33),1))</f>
        <v>2916391.345942996</v>
      </c>
      <c r="V140" s="101">
        <f>(SUMIFS(CustCntSrcs[Number],CustCntSrcs[Source_ID],$V$33)/(1-SUMIFS(CustCntSrcs[Number],CustCntSrcs[Source_ID],$V$33)))*SUM(CollectionCostTotal[[#This Row],[Collection_Labor]],CollectionCostTotal[[#This Row],[Annual_Container_Cost]],CollectionCostTotal[[#This Row],[Collection_Ops]])</f>
        <v>2130952.6353014787</v>
      </c>
      <c r="W14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18816183.858035825</v>
      </c>
      <c r="AA140" s="35"/>
      <c r="AF140" s="28"/>
    </row>
    <row r="141" spans="2:32" ht="15" x14ac:dyDescent="0.25">
      <c r="B141" s="209" t="str">
        <f>CollectionCostTotal[[#This Row],[Grouping_ID]]&amp;"-"&amp;CollectionCostTotal[[#This Row],[Sector_ID]]&amp;"-"&amp;CollectionCostTotal[[#This Row],[Frequency_ID]]&amp;"-"&amp;CollectionCostTotal[[#This Row],[SS_or_DS]]</f>
        <v>2-1-U-SS</v>
      </c>
      <c r="C141" s="209" t="str">
        <f>CollectionCostTotal[[#This Row],[Grouping_ID]]&amp;"-"&amp;CollectionCostTotal[[#This Row],[Sector_ID]]&amp;"-"&amp;CollectionCostTotal[[#This Row],[SS_or_DS]]</f>
        <v>2-1-SS</v>
      </c>
      <c r="D141" s="35">
        <v>2</v>
      </c>
      <c r="E141" s="24" t="str">
        <f>INDEX(Grouping[Grouping_Name],MATCH(CollectionCostTotal[[#This Row],[Grouping_ID]],Grouping[Grouping_ID],0))</f>
        <v>2 - Willamette Valley, etc.</v>
      </c>
      <c r="F141" s="35">
        <v>1</v>
      </c>
      <c r="G141" s="24" t="str">
        <f>INDEX(Sector[Sector_Name],MATCH(CollectionCostTotal[[#This Row],[Sector_ID]],Sector[Sector_ID],0))</f>
        <v>SF Res. (on-route)</v>
      </c>
      <c r="H141" s="24" t="s">
        <v>874</v>
      </c>
      <c r="I141" s="289" t="s">
        <v>806</v>
      </c>
      <c r="J141" s="35" t="s">
        <v>65</v>
      </c>
      <c r="K141" s="24" t="str">
        <f>INDEX(Frequency[Collection_Frequency],MATCH(CollectionCostTotal[[#This Row],[Frequency_ID]],Frequency[Orig_Frequency_ID],0)+(CollectionCostTotal[[#This Row],[SS_or_DS]]="DS")*COUNTA(Frequency[Orig_Frequency_ID])/2)</f>
        <v>Uncertain</v>
      </c>
      <c r="L141" s="35">
        <v>2018</v>
      </c>
      <c r="M14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41" s="99">
        <f>SUMIFS(CustCntSrcs[Number],CustCntSrcs[Grouping_ID],CollectionCostTotal[[#This Row],[Grouping_ID]],CustCntSrcs[Sector_ID],CollectionCostTotal[[#This Row],[Sector_ID]])</f>
        <v>0.25090000000000001</v>
      </c>
      <c r="O141" s="100">
        <f>CollectionCostTotal[[#This Row],[Population]]*CollectionCostTotal[[#This Row],[Pct. Customers/Pop]]</f>
        <v>0</v>
      </c>
      <c r="P14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41" s="101">
        <f>CollectionCostTotal[[#This Row],[Customers]]*INDEX(LaborCostPerLift[Annual_Labor_Cost_Per_Customer],MATCH(CollectionCostTotal[[#This Row],[Collection_ID]],LaborCostPerLift[Collection_ID],0))*(IF(CollectionCostTotal[[#This Row],[Year]]=2025,SUMIFS(CustCntSrcs[Number],CustCntSrcs[Source_ID],$Q$33),1))</f>
        <v>0</v>
      </c>
      <c r="R14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4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4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41" s="101">
        <f>CollectionCostTotal[[#This Row],[Customers]]*INDEX(ContainerMarginAdmin[Annual_Admin_Per_Customer],MATCH(CollectionCostTotal[[#This Row],[Collection_ID]],ContainerMarginAdmin[Collection_ID],0))*(IF(CollectionCostTotal[[#This Row],[Year]]=2025,SUMIFS(CustCntSrcs[Number],CustCntSrcs[Source_ID],$U$33),1))</f>
        <v>0</v>
      </c>
      <c r="V141" s="101">
        <f>(SUMIFS(CustCntSrcs[Number],CustCntSrcs[Source_ID],$V$33)/(1-SUMIFS(CustCntSrcs[Number],CustCntSrcs[Source_ID],$V$33)))*SUM(CollectionCostTotal[[#This Row],[Collection_Labor]],CollectionCostTotal[[#This Row],[Annual_Container_Cost]],CollectionCostTotal[[#This Row],[Collection_Ops]])</f>
        <v>0</v>
      </c>
      <c r="W14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c r="AA141" s="35"/>
      <c r="AF141" s="28"/>
    </row>
    <row r="142" spans="2:32" ht="15" x14ac:dyDescent="0.25">
      <c r="B142" s="209" t="str">
        <f>CollectionCostTotal[[#This Row],[Grouping_ID]]&amp;"-"&amp;CollectionCostTotal[[#This Row],[Sector_ID]]&amp;"-"&amp;CollectionCostTotal[[#This Row],[Frequency_ID]]&amp;"-"&amp;CollectionCostTotal[[#This Row],[SS_or_DS]]</f>
        <v>3-1-W-SS</v>
      </c>
      <c r="C142" s="209" t="str">
        <f>CollectionCostTotal[[#This Row],[Grouping_ID]]&amp;"-"&amp;CollectionCostTotal[[#This Row],[Sector_ID]]&amp;"-"&amp;CollectionCostTotal[[#This Row],[SS_or_DS]]</f>
        <v>3-1-SS</v>
      </c>
      <c r="D142" s="35">
        <v>3</v>
      </c>
      <c r="E142" s="24" t="str">
        <f>INDEX(Grouping[Grouping_Name],MATCH(CollectionCostTotal[[#This Row],[Grouping_ID]],Grouping[Grouping_ID],0))</f>
        <v>3 - Other areas with curbside</v>
      </c>
      <c r="F142" s="35">
        <v>1</v>
      </c>
      <c r="G142" s="24" t="str">
        <f>INDEX(Sector[Sector_Name],MATCH(CollectionCostTotal[[#This Row],[Sector_ID]],Sector[Sector_ID],0))</f>
        <v>SF Res. (on-route)</v>
      </c>
      <c r="H142" s="24" t="s">
        <v>874</v>
      </c>
      <c r="I142" s="289" t="s">
        <v>806</v>
      </c>
      <c r="J142" s="35" t="s">
        <v>64</v>
      </c>
      <c r="K142" s="24" t="str">
        <f>INDEX(Frequency[Collection_Frequency],MATCH(CollectionCostTotal[[#This Row],[Frequency_ID]],Frequency[Orig_Frequency_ID],0)+(CollectionCostTotal[[#This Row],[SS_or_DS]]="DS")*COUNTA(Frequency[Orig_Frequency_ID])/2)</f>
        <v>Weekly</v>
      </c>
      <c r="L142" s="35">
        <v>2018</v>
      </c>
      <c r="M14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204285</v>
      </c>
      <c r="N142" s="99">
        <f>SUMIFS(CustCntSrcs[Number],CustCntSrcs[Grouping_ID],CollectionCostTotal[[#This Row],[Grouping_ID]],CustCntSrcs[Sector_ID],CollectionCostTotal[[#This Row],[Sector_ID]])</f>
        <v>0.26100000000000001</v>
      </c>
      <c r="O142" s="100">
        <f>CollectionCostTotal[[#This Row],[Population]]*CollectionCostTotal[[#This Row],[Pct. Customers/Pop]]</f>
        <v>53318.385000000002</v>
      </c>
      <c r="P14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53318.385000000002</v>
      </c>
      <c r="Q142" s="101">
        <f>CollectionCostTotal[[#This Row],[Customers]]*INDEX(LaborCostPerLift[Annual_Labor_Cost_Per_Customer],MATCH(CollectionCostTotal[[#This Row],[Collection_ID]],LaborCostPerLift[Collection_ID],0))*(IF(CollectionCostTotal[[#This Row],[Year]]=2025,SUMIFS(CustCntSrcs[Number],CustCntSrcs[Source_ID],$Q$33),1))</f>
        <v>2281159.2935844706</v>
      </c>
      <c r="R14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122994.94941292131</v>
      </c>
      <c r="S14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699271.96616478649</v>
      </c>
      <c r="T14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1491457.1869433869</v>
      </c>
      <c r="U142" s="101">
        <f>CollectionCostTotal[[#This Row],[Customers]]*INDEX(ContainerMarginAdmin[Annual_Admin_Per_Customer],MATCH(CollectionCostTotal[[#This Row],[Collection_ID]],ContainerMarginAdmin[Collection_ID],0))*(IF(CollectionCostTotal[[#This Row],[Year]]=2025,SUMIFS(CustCntSrcs[Number],CustCntSrcs[Source_ID],$U$33),1))</f>
        <v>1107795.8665078226</v>
      </c>
      <c r="V142" s="101">
        <f>(SUMIFS(CustCntSrcs[Number],CustCntSrcs[Source_ID],$V$33)/(1-SUMIFS(CustCntSrcs[Number],CustCntSrcs[Source_ID],$V$33)))*SUM(CollectionCostTotal[[#This Row],[Collection_Labor]],CollectionCostTotal[[#This Row],[Annual_Container_Cost]],CollectionCostTotal[[#This Row],[Collection_Ops]])</f>
        <v>687460.84057778458</v>
      </c>
      <c r="W14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6443458.4881911725</v>
      </c>
      <c r="AA142" s="35"/>
      <c r="AF142" s="28"/>
    </row>
    <row r="143" spans="2:32" ht="15" x14ac:dyDescent="0.25">
      <c r="B143" s="209" t="str">
        <f>CollectionCostTotal[[#This Row],[Grouping_ID]]&amp;"-"&amp;CollectionCostTotal[[#This Row],[Sector_ID]]&amp;"-"&amp;CollectionCostTotal[[#This Row],[Frequency_ID]]&amp;"-"&amp;CollectionCostTotal[[#This Row],[SS_or_DS]]</f>
        <v>3-1-E-SS</v>
      </c>
      <c r="C143" s="209" t="str">
        <f>CollectionCostTotal[[#This Row],[Grouping_ID]]&amp;"-"&amp;CollectionCostTotal[[#This Row],[Sector_ID]]&amp;"-"&amp;CollectionCostTotal[[#This Row],[SS_or_DS]]</f>
        <v>3-1-SS</v>
      </c>
      <c r="D143" s="35">
        <v>3</v>
      </c>
      <c r="E143" s="24" t="str">
        <f>INDEX(Grouping[Grouping_Name],MATCH(CollectionCostTotal[[#This Row],[Grouping_ID]],Grouping[Grouping_ID],0))</f>
        <v>3 - Other areas with curbside</v>
      </c>
      <c r="F143" s="35">
        <v>1</v>
      </c>
      <c r="G143" s="24" t="str">
        <f>INDEX(Sector[Sector_Name],MATCH(CollectionCostTotal[[#This Row],[Sector_ID]],Sector[Sector_ID],0))</f>
        <v>SF Res. (on-route)</v>
      </c>
      <c r="H143" s="24" t="s">
        <v>874</v>
      </c>
      <c r="I143" s="289" t="s">
        <v>806</v>
      </c>
      <c r="J143" s="35" t="s">
        <v>53</v>
      </c>
      <c r="K143" s="24" t="str">
        <f>INDEX(Frequency[Collection_Frequency],MATCH(CollectionCostTotal[[#This Row],[Frequency_ID]],Frequency[Orig_Frequency_ID],0)+(CollectionCostTotal[[#This Row],[SS_or_DS]]="DS")*COUNTA(Frequency[Orig_Frequency_ID])/2)</f>
        <v>Every other week</v>
      </c>
      <c r="L143" s="35">
        <v>2018</v>
      </c>
      <c r="M14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323662</v>
      </c>
      <c r="N143" s="99">
        <f>SUMIFS(CustCntSrcs[Number],CustCntSrcs[Grouping_ID],CollectionCostTotal[[#This Row],[Grouping_ID]],CustCntSrcs[Sector_ID],CollectionCostTotal[[#This Row],[Sector_ID]])</f>
        <v>0.26100000000000001</v>
      </c>
      <c r="O143" s="100">
        <f>CollectionCostTotal[[#This Row],[Population]]*CollectionCostTotal[[#This Row],[Pct. Customers/Pop]]</f>
        <v>84475.782000000007</v>
      </c>
      <c r="P14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84475.782000000007</v>
      </c>
      <c r="Q143" s="101">
        <f>CollectionCostTotal[[#This Row],[Customers]]*INDEX(LaborCostPerLift[Annual_Labor_Cost_Per_Customer],MATCH(CollectionCostTotal[[#This Row],[Collection_ID]],LaborCostPerLift[Collection_ID],0))*(IF(CollectionCostTotal[[#This Row],[Year]]=2025,SUMIFS(CustCntSrcs[Number],CustCntSrcs[Source_ID],$Q$33),1))</f>
        <v>3101508.2184132766</v>
      </c>
      <c r="R14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143858.31791663149</v>
      </c>
      <c r="S14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817887.96449680626</v>
      </c>
      <c r="T14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1744449.8589777553</v>
      </c>
      <c r="U143" s="101">
        <f>CollectionCostTotal[[#This Row],[Customers]]*INDEX(ContainerMarginAdmin[Annual_Admin_Per_Customer],MATCH(CollectionCostTotal[[#This Row],[Collection_ID]],ContainerMarginAdmin[Collection_ID],0))*(IF(CollectionCostTotal[[#This Row],[Year]]=2025,SUMIFS(CustCntSrcs[Number],CustCntSrcs[Source_ID],$U$33),1))</f>
        <v>1825308.4441805759</v>
      </c>
      <c r="V143" s="101">
        <f>(SUMIFS(CustCntSrcs[Number],CustCntSrcs[Source_ID],$V$33)/(1-SUMIFS(CustCntSrcs[Number],CustCntSrcs[Source_ID],$V$33)))*SUM(CollectionCostTotal[[#This Row],[Collection_Labor]],CollectionCostTotal[[#This Row],[Annual_Container_Cost]],CollectionCostTotal[[#This Row],[Collection_Ops]])</f>
        <v>880555.83446605841</v>
      </c>
      <c r="W14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8598044.4204511046</v>
      </c>
      <c r="AA143" s="35"/>
      <c r="AF143" s="28"/>
    </row>
    <row r="144" spans="2:32" ht="15" x14ac:dyDescent="0.25">
      <c r="B144" s="209" t="str">
        <f>CollectionCostTotal[[#This Row],[Grouping_ID]]&amp;"-"&amp;CollectionCostTotal[[#This Row],[Sector_ID]]&amp;"-"&amp;CollectionCostTotal[[#This Row],[Frequency_ID]]&amp;"-"&amp;CollectionCostTotal[[#This Row],[SS_or_DS]]</f>
        <v>3-1-BM-SS</v>
      </c>
      <c r="C144" s="209" t="str">
        <f>CollectionCostTotal[[#This Row],[Grouping_ID]]&amp;"-"&amp;CollectionCostTotal[[#This Row],[Sector_ID]]&amp;"-"&amp;CollectionCostTotal[[#This Row],[SS_or_DS]]</f>
        <v>3-1-SS</v>
      </c>
      <c r="D144" s="35">
        <v>3</v>
      </c>
      <c r="E144" s="24" t="str">
        <f>INDEX(Grouping[Grouping_Name],MATCH(CollectionCostTotal[[#This Row],[Grouping_ID]],Grouping[Grouping_ID],0))</f>
        <v>3 - Other areas with curbside</v>
      </c>
      <c r="F144" s="35">
        <v>1</v>
      </c>
      <c r="G144" s="24" t="str">
        <f>INDEX(Sector[Sector_Name],MATCH(CollectionCostTotal[[#This Row],[Sector_ID]],Sector[Sector_ID],0))</f>
        <v>SF Res. (on-route)</v>
      </c>
      <c r="H144" s="24" t="s">
        <v>874</v>
      </c>
      <c r="I144" s="289" t="s">
        <v>806</v>
      </c>
      <c r="J144" s="35" t="s">
        <v>66</v>
      </c>
      <c r="K144" s="24" t="str">
        <f>INDEX(Frequency[Collection_Frequency],MATCH(CollectionCostTotal[[#This Row],[Frequency_ID]],Frequency[Orig_Frequency_ID],0)+(CollectionCostTotal[[#This Row],[SS_or_DS]]="DS")*COUNTA(Frequency[Orig_Frequency_ID])/2)</f>
        <v>Bimonthly</v>
      </c>
      <c r="L144" s="35">
        <v>2018</v>
      </c>
      <c r="M14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2535</v>
      </c>
      <c r="N144" s="99">
        <f>SUMIFS(CustCntSrcs[Number],CustCntSrcs[Grouping_ID],CollectionCostTotal[[#This Row],[Grouping_ID]],CustCntSrcs[Sector_ID],CollectionCostTotal[[#This Row],[Sector_ID]])</f>
        <v>0.26100000000000001</v>
      </c>
      <c r="O144" s="100">
        <f>CollectionCostTotal[[#This Row],[Population]]*CollectionCostTotal[[#This Row],[Pct. Customers/Pop]]</f>
        <v>661.63499999999999</v>
      </c>
      <c r="P14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661.63499999999999</v>
      </c>
      <c r="Q144" s="101">
        <f>CollectionCostTotal[[#This Row],[Customers]]*INDEX(LaborCostPerLift[Annual_Labor_Cost_Per_Customer],MATCH(CollectionCostTotal[[#This Row],[Collection_ID]],LaborCostPerLift[Collection_ID],0))*(IF(CollectionCostTotal[[#This Row],[Year]]=2025,SUMIFS(CustCntSrcs[Number],CustCntSrcs[Source_ID],$Q$33),1))</f>
        <v>22596.996705226815</v>
      </c>
      <c r="R14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1048.1242373249866</v>
      </c>
      <c r="S14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5958.9755491392007</v>
      </c>
      <c r="T14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12709.728602918403</v>
      </c>
      <c r="U144" s="101">
        <f>CollectionCostTotal[[#This Row],[Customers]]*INDEX(ContainerMarginAdmin[Annual_Admin_Per_Customer],MATCH(CollectionCostTotal[[#This Row],[Collection_ID]],ContainerMarginAdmin[Collection_ID],0))*(IF(CollectionCostTotal[[#This Row],[Year]]=2025,SUMIFS(CustCntSrcs[Number],CustCntSrcs[Source_ID],$U$33),1))</f>
        <v>14296.262477515926</v>
      </c>
      <c r="V144" s="101">
        <f>(SUMIFS(CustCntSrcs[Number],CustCntSrcs[Source_ID],$V$33)/(1-SUMIFS(CustCntSrcs[Number],CustCntSrcs[Source_ID],$V$33)))*SUM(CollectionCostTotal[[#This Row],[Collection_Labor]],CollectionCostTotal[[#This Row],[Annual_Container_Cost]],CollectionCostTotal[[#This Row],[Collection_Ops]])</f>
        <v>6415.5616844947426</v>
      </c>
      <c r="W14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63687.284256620078</v>
      </c>
      <c r="AA144" s="35"/>
      <c r="AF144" s="28"/>
    </row>
    <row r="145" spans="2:23" ht="15" x14ac:dyDescent="0.25">
      <c r="B145" s="209" t="str">
        <f>CollectionCostTotal[[#This Row],[Grouping_ID]]&amp;"-"&amp;CollectionCostTotal[[#This Row],[Sector_ID]]&amp;"-"&amp;CollectionCostTotal[[#This Row],[Frequency_ID]]&amp;"-"&amp;CollectionCostTotal[[#This Row],[SS_or_DS]]</f>
        <v>3-1-M-SS</v>
      </c>
      <c r="C145" s="209" t="str">
        <f>CollectionCostTotal[[#This Row],[Grouping_ID]]&amp;"-"&amp;CollectionCostTotal[[#This Row],[Sector_ID]]&amp;"-"&amp;CollectionCostTotal[[#This Row],[SS_or_DS]]</f>
        <v>3-1-SS</v>
      </c>
      <c r="D145" s="35">
        <v>3</v>
      </c>
      <c r="E145" s="24" t="str">
        <f>INDEX(Grouping[Grouping_Name],MATCH(CollectionCostTotal[[#This Row],[Grouping_ID]],Grouping[Grouping_ID],0))</f>
        <v>3 - Other areas with curbside</v>
      </c>
      <c r="F145" s="35">
        <v>1</v>
      </c>
      <c r="G145" s="24" t="str">
        <f>INDEX(Sector[Sector_Name],MATCH(CollectionCostTotal[[#This Row],[Sector_ID]],Sector[Sector_ID],0))</f>
        <v>SF Res. (on-route)</v>
      </c>
      <c r="H145" s="24" t="s">
        <v>874</v>
      </c>
      <c r="I145" s="289" t="s">
        <v>806</v>
      </c>
      <c r="J145" s="35" t="s">
        <v>67</v>
      </c>
      <c r="K145" s="24" t="str">
        <f>INDEX(Frequency[Collection_Frequency],MATCH(CollectionCostTotal[[#This Row],[Frequency_ID]],Frequency[Orig_Frequency_ID],0)+(CollectionCostTotal[[#This Row],[SS_or_DS]]="DS")*COUNTA(Frequency[Orig_Frequency_ID])/2)</f>
        <v>Monthly</v>
      </c>
      <c r="L145" s="35">
        <v>2018</v>
      </c>
      <c r="M14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8045</v>
      </c>
      <c r="N145" s="99">
        <f>SUMIFS(CustCntSrcs[Number],CustCntSrcs[Grouping_ID],CollectionCostTotal[[#This Row],[Grouping_ID]],CustCntSrcs[Sector_ID],CollectionCostTotal[[#This Row],[Sector_ID]])</f>
        <v>0.26100000000000001</v>
      </c>
      <c r="O145" s="100">
        <f>CollectionCostTotal[[#This Row],[Population]]*CollectionCostTotal[[#This Row],[Pct. Customers/Pop]]</f>
        <v>2099.7449999999999</v>
      </c>
      <c r="P14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2099.7449999999999</v>
      </c>
      <c r="Q145" s="101">
        <f>CollectionCostTotal[[#This Row],[Customers]]*INDEX(LaborCostPerLift[Annual_Labor_Cost_Per_Customer],MATCH(CollectionCostTotal[[#This Row],[Collection_ID]],LaborCostPerLift[Collection_ID],0))*(IF(CollectionCostTotal[[#This Row],[Year]]=2025,SUMIFS(CustCntSrcs[Number],CustCntSrcs[Source_ID],$Q$33),1))</f>
        <v>35856.575639753399</v>
      </c>
      <c r="R14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1663.1478282602598</v>
      </c>
      <c r="S14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9455.6130755078648</v>
      </c>
      <c r="T14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20167.606826524367</v>
      </c>
      <c r="U145" s="101">
        <f>CollectionCostTotal[[#This Row],[Customers]]*INDEX(ContainerMarginAdmin[Annual_Admin_Per_Customer],MATCH(CollectionCostTotal[[#This Row],[Collection_ID]],ContainerMarginAdmin[Collection_ID],0))*(IF(CollectionCostTotal[[#This Row],[Year]]=2025,SUMIFS(CustCntSrcs[Number],CustCntSrcs[Source_ID],$U$33),1))</f>
        <v>45370.189992747779</v>
      </c>
      <c r="V145" s="101">
        <f>(SUMIFS(CustCntSrcs[Number],CustCntSrcs[Source_ID],$V$33)/(1-SUMIFS(CustCntSrcs[Number],CustCntSrcs[Source_ID],$V$33)))*SUM(CollectionCostTotal[[#This Row],[Collection_Labor]],CollectionCostTotal[[#This Row],[Annual_Container_Cost]],CollectionCostTotal[[#This Row],[Collection_Ops]])</f>
        <v>10180.117110800829</v>
      </c>
      <c r="W14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124792.99547359449</v>
      </c>
    </row>
    <row r="146" spans="2:23" ht="15" x14ac:dyDescent="0.25">
      <c r="B146" s="210" t="str">
        <f>CollectionCostTotal[[#This Row],[Grouping_ID]]&amp;"-"&amp;CollectionCostTotal[[#This Row],[Sector_ID]]&amp;"-"&amp;CollectionCostTotal[[#This Row],[Frequency_ID]]&amp;"-"&amp;CollectionCostTotal[[#This Row],[SS_or_DS]]</f>
        <v>3-1-U-SS</v>
      </c>
      <c r="C146" s="210" t="str">
        <f>CollectionCostTotal[[#This Row],[Grouping_ID]]&amp;"-"&amp;CollectionCostTotal[[#This Row],[Sector_ID]]&amp;"-"&amp;CollectionCostTotal[[#This Row],[SS_or_DS]]</f>
        <v>3-1-SS</v>
      </c>
      <c r="D146" s="126">
        <v>3</v>
      </c>
      <c r="E146" s="127" t="str">
        <f>INDEX(Grouping[Grouping_Name],MATCH(CollectionCostTotal[[#This Row],[Grouping_ID]],Grouping[Grouping_ID],0))</f>
        <v>3 - Other areas with curbside</v>
      </c>
      <c r="F146" s="35">
        <v>1</v>
      </c>
      <c r="G146" s="127" t="str">
        <f>INDEX(Sector[Sector_Name],MATCH(CollectionCostTotal[[#This Row],[Sector_ID]],Sector[Sector_ID],0))</f>
        <v>SF Res. (on-route)</v>
      </c>
      <c r="H146" s="24" t="s">
        <v>874</v>
      </c>
      <c r="I146" s="289" t="s">
        <v>806</v>
      </c>
      <c r="J146" s="35" t="s">
        <v>65</v>
      </c>
      <c r="K146" s="127" t="str">
        <f>INDEX(Frequency[Collection_Frequency],MATCH(CollectionCostTotal[[#This Row],[Frequency_ID]],Frequency[Orig_Frequency_ID],0)+(CollectionCostTotal[[#This Row],[SS_or_DS]]="DS")*COUNTA(Frequency[Orig_Frequency_ID])/2)</f>
        <v>Uncertain</v>
      </c>
      <c r="L146" s="35">
        <v>2018</v>
      </c>
      <c r="M14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46" s="99">
        <f>SUMIFS(CustCntSrcs[Number],CustCntSrcs[Grouping_ID],CollectionCostTotal[[#This Row],[Grouping_ID]],CustCntSrcs[Sector_ID],CollectionCostTotal[[#This Row],[Sector_ID]])</f>
        <v>0.26100000000000001</v>
      </c>
      <c r="O146" s="100">
        <f>CollectionCostTotal[[#This Row],[Population]]*CollectionCostTotal[[#This Row],[Pct. Customers/Pop]]</f>
        <v>0</v>
      </c>
      <c r="P14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46" s="101">
        <f>CollectionCostTotal[[#This Row],[Customers]]*INDEX(LaborCostPerLift[Annual_Labor_Cost_Per_Customer],MATCH(CollectionCostTotal[[#This Row],[Collection_ID]],LaborCostPerLift[Collection_ID],0))*(IF(CollectionCostTotal[[#This Row],[Year]]=2025,SUMIFS(CustCntSrcs[Number],CustCntSrcs[Source_ID],$Q$33),1))</f>
        <v>0</v>
      </c>
      <c r="R14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4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4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46" s="101">
        <f>CollectionCostTotal[[#This Row],[Customers]]*INDEX(ContainerMarginAdmin[Annual_Admin_Per_Customer],MATCH(CollectionCostTotal[[#This Row],[Collection_ID]],ContainerMarginAdmin[Collection_ID],0))*(IF(CollectionCostTotal[[#This Row],[Year]]=2025,SUMIFS(CustCntSrcs[Number],CustCntSrcs[Source_ID],$U$33),1))</f>
        <v>0</v>
      </c>
      <c r="V146" s="101">
        <f>(SUMIFS(CustCntSrcs[Number],CustCntSrcs[Source_ID],$V$33)/(1-SUMIFS(CustCntSrcs[Number],CustCntSrcs[Source_ID],$V$33)))*SUM(CollectionCostTotal[[#This Row],[Collection_Labor]],CollectionCostTotal[[#This Row],[Annual_Container_Cost]],CollectionCostTotal[[#This Row],[Collection_Ops]])</f>
        <v>0</v>
      </c>
      <c r="W14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47" spans="2:23" ht="15" x14ac:dyDescent="0.25">
      <c r="B147" s="209" t="str">
        <f>CollectionCostTotal[[#This Row],[Grouping_ID]]&amp;"-"&amp;CollectionCostTotal[[#This Row],[Sector_ID]]&amp;"-"&amp;CollectionCostTotal[[#This Row],[Frequency_ID]]&amp;"-"&amp;CollectionCostTotal[[#This Row],[SS_or_DS]]</f>
        <v>1-2-V-SS</v>
      </c>
      <c r="C147" s="209" t="str">
        <f>CollectionCostTotal[[#This Row],[Grouping_ID]]&amp;"-"&amp;CollectionCostTotal[[#This Row],[Sector_ID]]&amp;"-"&amp;CollectionCostTotal[[#This Row],[SS_or_DS]]</f>
        <v>1-2-SS</v>
      </c>
      <c r="D147" s="35">
        <v>1</v>
      </c>
      <c r="E147" s="24" t="str">
        <f>INDEX(Grouping[Grouping_Name],MATCH(CollectionCostTotal[[#This Row],[Grouping_ID]],Grouping[Grouping_ID],0))</f>
        <v>1 - Metro area</v>
      </c>
      <c r="F147" s="35">
        <v>2</v>
      </c>
      <c r="G147" s="24" t="str">
        <f>INDEX(Sector[Sector_Name],MATCH(CollectionCostTotal[[#This Row],[Sector_ID]],Sector[Sector_ID],0))</f>
        <v>MF Res. (on-route)</v>
      </c>
      <c r="H147" s="24" t="s">
        <v>874</v>
      </c>
      <c r="I147" s="289" t="s">
        <v>806</v>
      </c>
      <c r="J147" s="35" t="s">
        <v>91</v>
      </c>
      <c r="K147" s="24" t="str">
        <f>INDEX(Frequency[Collection_Frequency],MATCH(CollectionCostTotal[[#This Row],[Frequency_ID]],Frequency[Orig_Frequency_ID],0)+(CollectionCostTotal[[#This Row],[SS_or_DS]]="DS")*COUNTA(Frequency[Orig_Frequency_ID])/2)</f>
        <v>Varies by customer need</v>
      </c>
      <c r="L147" s="35">
        <v>2025</v>
      </c>
      <c r="M14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47" s="99">
        <f>SUMIFS(CustCntSrcs[Number],CustCntSrcs[Grouping_ID],CollectionCostTotal[[#This Row],[Grouping_ID]],CustCntSrcs[Sector_ID],CollectionCostTotal[[#This Row],[Sector_ID]])</f>
        <v>4.0829601659520629E-3</v>
      </c>
      <c r="O147" s="100">
        <f>CollectionCostTotal[[#This Row],[Population]]*CollectionCostTotal[[#This Row],[Pct. Customers/Pop]]</f>
        <v>7221.4205871290515</v>
      </c>
      <c r="P14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816041.25609323173</v>
      </c>
      <c r="Q147" s="101">
        <f>CollectionCostTotal[[#This Row],[Customers]]*INDEX(LaborCostPerLift[Annual_Labor_Cost_Per_Customer],MATCH(CollectionCostTotal[[#This Row],[Collection_ID]],LaborCostPerLift[Collection_ID],0))*(IF(CollectionCostTotal[[#This Row],[Year]]=2025,SUMIFS(CustCntSrcs[Number],CustCntSrcs[Source_ID],$Q$33),1))</f>
        <v>3161137.2780768052</v>
      </c>
      <c r="R14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98917.940358800959</v>
      </c>
      <c r="S14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662009.48732965137</v>
      </c>
      <c r="T14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1686024.5833588047</v>
      </c>
      <c r="U147" s="101">
        <f>CollectionCostTotal[[#This Row],[Customers]]*INDEX(ContainerMarginAdmin[Annual_Admin_Per_Customer],MATCH(CollectionCostTotal[[#This Row],[Collection_ID]],ContainerMarginAdmin[Collection_ID],0))*(IF(CollectionCostTotal[[#This Row],[Year]]=2025,SUMIFS(CustCntSrcs[Number],CustCntSrcs[Source_ID],$U$33),1))</f>
        <v>1642421.3738598544</v>
      </c>
      <c r="V147" s="101">
        <f>(SUMIFS(CustCntSrcs[Number],CustCntSrcs[Source_ID],$V$33)/(1-SUMIFS(CustCntSrcs[Number],CustCntSrcs[Source_ID],$V$33)))*SUM(CollectionCostTotal[[#This Row],[Collection_Labor]],CollectionCostTotal[[#This Row],[Annual_Container_Cost]],CollectionCostTotal[[#This Row],[Collection_Ops]])</f>
        <v>872837.61208136659</v>
      </c>
      <c r="W14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8939389.5311585143</v>
      </c>
    </row>
    <row r="148" spans="2:23" ht="15" x14ac:dyDescent="0.25">
      <c r="B148" s="209" t="str">
        <f>CollectionCostTotal[[#This Row],[Grouping_ID]]&amp;"-"&amp;CollectionCostTotal[[#This Row],[Sector_ID]]&amp;"-"&amp;CollectionCostTotal[[#This Row],[Frequency_ID]]&amp;"-"&amp;CollectionCostTotal[[#This Row],[SS_or_DS]]</f>
        <v>1-3-V-SS</v>
      </c>
      <c r="C148" s="209" t="str">
        <f>CollectionCostTotal[[#This Row],[Grouping_ID]]&amp;"-"&amp;CollectionCostTotal[[#This Row],[Sector_ID]]&amp;"-"&amp;CollectionCostTotal[[#This Row],[SS_or_DS]]</f>
        <v>1-3-SS</v>
      </c>
      <c r="D148" s="35">
        <v>1</v>
      </c>
      <c r="E148" s="24" t="str">
        <f>INDEX(Grouping[Grouping_Name],MATCH(CollectionCostTotal[[#This Row],[Grouping_ID]],Grouping[Grouping_ID],0))</f>
        <v>1 - Metro area</v>
      </c>
      <c r="F148" s="35">
        <v>3</v>
      </c>
      <c r="G148" s="24" t="str">
        <f>INDEX(Sector[Sector_Name],MATCH(CollectionCostTotal[[#This Row],[Sector_ID]],Sector[Sector_ID],0))</f>
        <v>Commercial (on-route)</v>
      </c>
      <c r="H148" s="24" t="s">
        <v>874</v>
      </c>
      <c r="I148" s="289" t="s">
        <v>806</v>
      </c>
      <c r="J148" s="35" t="s">
        <v>91</v>
      </c>
      <c r="K148" s="24" t="str">
        <f>INDEX(Frequency[Collection_Frequency],MATCH(CollectionCostTotal[[#This Row],[Frequency_ID]],Frequency[Orig_Frequency_ID],0)+(CollectionCostTotal[[#This Row],[SS_or_DS]]="DS")*COUNTA(Frequency[Orig_Frequency_ID])/2)</f>
        <v>Varies by customer need</v>
      </c>
      <c r="L148" s="35">
        <v>2025</v>
      </c>
      <c r="M14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48" s="99">
        <f>SUMIFS(CustCntSrcs[Number],CustCntSrcs[Grouping_ID],CollectionCostTotal[[#This Row],[Grouping_ID]],CustCntSrcs[Sector_ID],CollectionCostTotal[[#This Row],[Sector_ID]])</f>
        <v>2.0077661123032196E-2</v>
      </c>
      <c r="O148" s="100">
        <f>CollectionCostTotal[[#This Row],[Population]]*CollectionCostTotal[[#This Row],[Pct. Customers/Pop]]</f>
        <v>35510.813106709982</v>
      </c>
      <c r="P14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4012823.8180920328</v>
      </c>
      <c r="Q148" s="101">
        <f>CollectionCostTotal[[#This Row],[Customers]]*INDEX(LaborCostPerLift[Annual_Labor_Cost_Per_Customer],MATCH(CollectionCostTotal[[#This Row],[Collection_ID]],LaborCostPerLift[Collection_ID],0))*(IF(CollectionCostTotal[[#This Row],[Year]]=2025,SUMIFS(CustCntSrcs[Number],CustCntSrcs[Source_ID],$Q$33),1))</f>
        <v>15544663.786307352</v>
      </c>
      <c r="R14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486421.81279993244</v>
      </c>
      <c r="S14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3255383.742823679</v>
      </c>
      <c r="T14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8290903.867264688</v>
      </c>
      <c r="U148" s="101">
        <f>CollectionCostTotal[[#This Row],[Customers]]*INDEX(ContainerMarginAdmin[Annual_Admin_Per_Customer],MATCH(CollectionCostTotal[[#This Row],[Collection_ID]],ContainerMarginAdmin[Collection_ID],0))*(IF(CollectionCostTotal[[#This Row],[Year]]=2025,SUMIFS(CustCntSrcs[Number],CustCntSrcs[Source_ID],$U$33),1))</f>
        <v>8076488.2402162254</v>
      </c>
      <c r="V148" s="101">
        <f>(SUMIFS(CustCntSrcs[Number],CustCntSrcs[Source_ID],$V$33)/(1-SUMIFS(CustCntSrcs[Number],CustCntSrcs[Source_ID],$V$33)))*SUM(CollectionCostTotal[[#This Row],[Collection_Labor]],CollectionCostTotal[[#This Row],[Annual_Container_Cost]],CollectionCostTotal[[#This Row],[Collection_Ops]])</f>
        <v>4292115.7881832896</v>
      </c>
      <c r="W14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43958801.055687189</v>
      </c>
    </row>
    <row r="149" spans="2:23" ht="15" x14ac:dyDescent="0.25">
      <c r="B149" s="209" t="str">
        <f>CollectionCostTotal[[#This Row],[Grouping_ID]]&amp;"-"&amp;CollectionCostTotal[[#This Row],[Sector_ID]]&amp;"-"&amp;CollectionCostTotal[[#This Row],[Frequency_ID]]&amp;"-"&amp;CollectionCostTotal[[#This Row],[SS_or_DS]]</f>
        <v>2-2-V-SS</v>
      </c>
      <c r="C149" s="209" t="str">
        <f>CollectionCostTotal[[#This Row],[Grouping_ID]]&amp;"-"&amp;CollectionCostTotal[[#This Row],[Sector_ID]]&amp;"-"&amp;CollectionCostTotal[[#This Row],[SS_or_DS]]</f>
        <v>2-2-SS</v>
      </c>
      <c r="D149" s="35">
        <v>2</v>
      </c>
      <c r="E149" s="24" t="str">
        <f>INDEX(Grouping[Grouping_Name],MATCH(CollectionCostTotal[[#This Row],[Grouping_ID]],Grouping[Grouping_ID],0))</f>
        <v>2 - Willamette Valley, etc.</v>
      </c>
      <c r="F149" s="35">
        <v>2</v>
      </c>
      <c r="G149" s="24" t="str">
        <f>INDEX(Sector[Sector_Name],MATCH(CollectionCostTotal[[#This Row],[Sector_ID]],Sector[Sector_ID],0))</f>
        <v>MF Res. (on-route)</v>
      </c>
      <c r="H149" s="24" t="s">
        <v>874</v>
      </c>
      <c r="I149" s="289" t="s">
        <v>806</v>
      </c>
      <c r="J149" s="35" t="s">
        <v>91</v>
      </c>
      <c r="K149" s="24" t="str">
        <f>INDEX(Frequency[Collection_Frequency],MATCH(CollectionCostTotal[[#This Row],[Frequency_ID]],Frequency[Orig_Frequency_ID],0)+(CollectionCostTotal[[#This Row],[SS_or_DS]]="DS")*COUNTA(Frequency[Orig_Frequency_ID])/2)</f>
        <v>Varies by customer need</v>
      </c>
      <c r="L149" s="35">
        <v>2025</v>
      </c>
      <c r="M14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49" s="99">
        <f>SUMIFS(CustCntSrcs[Number],CustCntSrcs[Grouping_ID],CollectionCostTotal[[#This Row],[Grouping_ID]],CustCntSrcs[Sector_ID],CollectionCostTotal[[#This Row],[Sector_ID]])</f>
        <v>6.0000000000000001E-3</v>
      </c>
      <c r="O149" s="100">
        <f>CollectionCostTotal[[#This Row],[Population]]*CollectionCostTotal[[#This Row],[Pct. Customers/Pop]]</f>
        <v>9059.6882850261754</v>
      </c>
      <c r="P14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1023770.7828710043</v>
      </c>
      <c r="Q149" s="101">
        <f>CollectionCostTotal[[#This Row],[Customers]]*INDEX(LaborCostPerLift[Annual_Labor_Cost_Per_Customer],MATCH(CollectionCostTotal[[#This Row],[Collection_ID]],LaborCostPerLift[Collection_ID],0))*(IF(CollectionCostTotal[[#This Row],[Year]]=2025,SUMIFS(CustCntSrcs[Number],CustCntSrcs[Source_ID],$Q$33),1))</f>
        <v>3093067.9677713518</v>
      </c>
      <c r="R14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79875.410667516902</v>
      </c>
      <c r="S14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277802.95252258639</v>
      </c>
      <c r="T14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1721300.6817681028</v>
      </c>
      <c r="U149" s="101">
        <f>CollectionCostTotal[[#This Row],[Customers]]*INDEX(ContainerMarginAdmin[Annual_Admin_Per_Customer],MATCH(CollectionCostTotal[[#This Row],[Collection_ID]],ContainerMarginAdmin[Collection_ID],0))*(IF(CollectionCostTotal[[#This Row],[Year]]=2025,SUMIFS(CustCntSrcs[Number],CustCntSrcs[Source_ID],$U$33),1))</f>
        <v>1257664.3155518728</v>
      </c>
      <c r="V149" s="101">
        <f>(SUMIFS(CustCntSrcs[Number],CustCntSrcs[Source_ID],$V$33)/(1-SUMIFS(CustCntSrcs[Number],CustCntSrcs[Source_ID],$V$33)))*SUM(CollectionCostTotal[[#This Row],[Collection_Labor]],CollectionCostTotal[[#This Row],[Annual_Container_Cost]],CollectionCostTotal[[#This Row],[Collection_Ops]])</f>
        <v>863690.12827181851</v>
      </c>
      <c r="W14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8317172.2394242529</v>
      </c>
    </row>
    <row r="150" spans="2:23" ht="15" x14ac:dyDescent="0.25">
      <c r="B150" s="209" t="str">
        <f>CollectionCostTotal[[#This Row],[Grouping_ID]]&amp;"-"&amp;CollectionCostTotal[[#This Row],[Sector_ID]]&amp;"-"&amp;CollectionCostTotal[[#This Row],[Frequency_ID]]&amp;"-"&amp;CollectionCostTotal[[#This Row],[SS_or_DS]]</f>
        <v>2-3-V-SS</v>
      </c>
      <c r="C150" s="209" t="str">
        <f>CollectionCostTotal[[#This Row],[Grouping_ID]]&amp;"-"&amp;CollectionCostTotal[[#This Row],[Sector_ID]]&amp;"-"&amp;CollectionCostTotal[[#This Row],[SS_or_DS]]</f>
        <v>2-3-SS</v>
      </c>
      <c r="D150" s="35">
        <v>2</v>
      </c>
      <c r="E150" s="24" t="str">
        <f>INDEX(Grouping[Grouping_Name],MATCH(CollectionCostTotal[[#This Row],[Grouping_ID]],Grouping[Grouping_ID],0))</f>
        <v>2 - Willamette Valley, etc.</v>
      </c>
      <c r="F150" s="35">
        <v>3</v>
      </c>
      <c r="G150" s="24" t="str">
        <f>INDEX(Sector[Sector_Name],MATCH(CollectionCostTotal[[#This Row],[Sector_ID]],Sector[Sector_ID],0))</f>
        <v>Commercial (on-route)</v>
      </c>
      <c r="H150" s="24" t="s">
        <v>874</v>
      </c>
      <c r="I150" s="289" t="s">
        <v>806</v>
      </c>
      <c r="J150" s="35" t="s">
        <v>91</v>
      </c>
      <c r="K150" s="24" t="str">
        <f>INDEX(Frequency[Collection_Frequency],MATCH(CollectionCostTotal[[#This Row],[Frequency_ID]],Frequency[Orig_Frequency_ID],0)+(CollectionCostTotal[[#This Row],[SS_or_DS]]="DS")*COUNTA(Frequency[Orig_Frequency_ID])/2)</f>
        <v>Varies by customer need</v>
      </c>
      <c r="L150" s="35">
        <v>2025</v>
      </c>
      <c r="M15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50" s="99">
        <f>SUMIFS(CustCntSrcs[Number],CustCntSrcs[Grouping_ID],CollectionCostTotal[[#This Row],[Grouping_ID]],CustCntSrcs[Sector_ID],CollectionCostTotal[[#This Row],[Sector_ID]])</f>
        <v>1.5699999999999999E-2</v>
      </c>
      <c r="O150" s="100">
        <f>CollectionCostTotal[[#This Row],[Population]]*CollectionCostTotal[[#This Row],[Pct. Customers/Pop]]</f>
        <v>23706.184345818489</v>
      </c>
      <c r="P15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2678866.8818457942</v>
      </c>
      <c r="Q150" s="101">
        <f>CollectionCostTotal[[#This Row],[Customers]]*INDEX(LaborCostPerLift[Annual_Labor_Cost_Per_Customer],MATCH(CollectionCostTotal[[#This Row],[Collection_ID]],LaborCostPerLift[Collection_ID],0))*(IF(CollectionCostTotal[[#This Row],[Year]]=2025,SUMIFS(CustCntSrcs[Number],CustCntSrcs[Source_ID],$Q$33),1))</f>
        <v>8093527.8490017029</v>
      </c>
      <c r="R15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209007.32458000252</v>
      </c>
      <c r="S15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726917.72576743434</v>
      </c>
      <c r="T15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4504070.1172932014</v>
      </c>
      <c r="U150" s="101">
        <f>CollectionCostTotal[[#This Row],[Customers]]*INDEX(ContainerMarginAdmin[Annual_Admin_Per_Customer],MATCH(CollectionCostTotal[[#This Row],[Collection_ID]],ContainerMarginAdmin[Collection_ID],0))*(IF(CollectionCostTotal[[#This Row],[Year]]=2025,SUMIFS(CustCntSrcs[Number],CustCntSrcs[Source_ID],$U$33),1))</f>
        <v>3290888.2923607337</v>
      </c>
      <c r="V150" s="101">
        <f>(SUMIFS(CustCntSrcs[Number],CustCntSrcs[Source_ID],$V$33)/(1-SUMIFS(CustCntSrcs[Number],CustCntSrcs[Source_ID],$V$33)))*SUM(CollectionCostTotal[[#This Row],[Collection_Labor]],CollectionCostTotal[[#This Row],[Annual_Container_Cost]],CollectionCostTotal[[#This Row],[Collection_Ops]])</f>
        <v>2259989.1689779246</v>
      </c>
      <c r="W15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21763267.359826792</v>
      </c>
    </row>
    <row r="151" spans="2:23" ht="15" x14ac:dyDescent="0.25">
      <c r="B151" s="209" t="str">
        <f>CollectionCostTotal[[#This Row],[Grouping_ID]]&amp;"-"&amp;CollectionCostTotal[[#This Row],[Sector_ID]]&amp;"-"&amp;CollectionCostTotal[[#This Row],[Frequency_ID]]&amp;"-"&amp;CollectionCostTotal[[#This Row],[SS_or_DS]]</f>
        <v>3-2-V-SS</v>
      </c>
      <c r="C151" s="209" t="str">
        <f>CollectionCostTotal[[#This Row],[Grouping_ID]]&amp;"-"&amp;CollectionCostTotal[[#This Row],[Sector_ID]]&amp;"-"&amp;CollectionCostTotal[[#This Row],[SS_or_DS]]</f>
        <v>3-2-SS</v>
      </c>
      <c r="D151" s="35">
        <v>3</v>
      </c>
      <c r="E151" s="24" t="str">
        <f>INDEX(Grouping[Grouping_Name],MATCH(CollectionCostTotal[[#This Row],[Grouping_ID]],Grouping[Grouping_ID],0))</f>
        <v>3 - Other areas with curbside</v>
      </c>
      <c r="F151" s="35">
        <v>2</v>
      </c>
      <c r="G151" s="24" t="str">
        <f>INDEX(Sector[Sector_Name],MATCH(CollectionCostTotal[[#This Row],[Sector_ID]],Sector[Sector_ID],0))</f>
        <v>MF Res. (on-route)</v>
      </c>
      <c r="H151" s="24" t="s">
        <v>874</v>
      </c>
      <c r="I151" s="289" t="s">
        <v>806</v>
      </c>
      <c r="J151" s="35" t="s">
        <v>91</v>
      </c>
      <c r="K151" s="24" t="str">
        <f>INDEX(Frequency[Collection_Frequency],MATCH(CollectionCostTotal[[#This Row],[Frequency_ID]],Frequency[Orig_Frequency_ID],0)+(CollectionCostTotal[[#This Row],[SS_or_DS]]="DS")*COUNTA(Frequency[Orig_Frequency_ID])/2)</f>
        <v>Varies by customer need</v>
      </c>
      <c r="L151" s="35">
        <v>2025</v>
      </c>
      <c r="M15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51" s="99">
        <f>SUMIFS(CustCntSrcs[Number],CustCntSrcs[Grouping_ID],CollectionCostTotal[[#This Row],[Grouping_ID]],CustCntSrcs[Sector_ID],CollectionCostTotal[[#This Row],[Sector_ID]])</f>
        <v>2.5000000000000001E-3</v>
      </c>
      <c r="O151" s="100">
        <f>CollectionCostTotal[[#This Row],[Population]]*CollectionCostTotal[[#This Row],[Pct. Customers/Pop]]</f>
        <v>1445.0244787602153</v>
      </c>
      <c r="P15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163291.91417470897</v>
      </c>
      <c r="Q151" s="101">
        <f>CollectionCostTotal[[#This Row],[Customers]]*INDEX(LaborCostPerLift[Annual_Labor_Cost_Per_Customer],MATCH(CollectionCostTotal[[#This Row],[Collection_ID]],LaborCostPerLift[Collection_ID],0))*(IF(CollectionCostTotal[[#This Row],[Year]]=2025,SUMIFS(CustCntSrcs[Number],CustCntSrcs[Source_ID],$Q$33),1))</f>
        <v>648997.1737852979</v>
      </c>
      <c r="R15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31921.891978823041</v>
      </c>
      <c r="S15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71719.080110211813</v>
      </c>
      <c r="T15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328917.52210142219</v>
      </c>
      <c r="U151" s="101">
        <f>CollectionCostTotal[[#This Row],[Customers]]*INDEX(ContainerMarginAdmin[Annual_Admin_Per_Customer],MATCH(CollectionCostTotal[[#This Row],[Collection_ID]],ContainerMarginAdmin[Collection_ID],0))*(IF(CollectionCostTotal[[#This Row],[Year]]=2025,SUMIFS(CustCntSrcs[Number],CustCntSrcs[Source_ID],$U$33),1))</f>
        <v>298272.48764404858</v>
      </c>
      <c r="V151" s="101">
        <f>(SUMIFS(CustCntSrcs[Number],CustCntSrcs[Source_ID],$V$33)/(1-SUMIFS(CustCntSrcs[Number],CustCntSrcs[Source_ID],$V$33)))*SUM(CollectionCostTotal[[#This Row],[Collection_Labor]],CollectionCostTotal[[#This Row],[Annual_Container_Cost]],CollectionCostTotal[[#This Row],[Collection_Ops]])</f>
        <v>178206.45668215468</v>
      </c>
      <c r="W15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1721326.5264766673</v>
      </c>
    </row>
    <row r="152" spans="2:23" ht="15" x14ac:dyDescent="0.25">
      <c r="B152" s="209" t="str">
        <f>CollectionCostTotal[[#This Row],[Grouping_ID]]&amp;"-"&amp;CollectionCostTotal[[#This Row],[Sector_ID]]&amp;"-"&amp;CollectionCostTotal[[#This Row],[Frequency_ID]]&amp;"-"&amp;CollectionCostTotal[[#This Row],[SS_or_DS]]</f>
        <v>3-3-V-SS</v>
      </c>
      <c r="C152" s="209" t="str">
        <f>CollectionCostTotal[[#This Row],[Grouping_ID]]&amp;"-"&amp;CollectionCostTotal[[#This Row],[Sector_ID]]&amp;"-"&amp;CollectionCostTotal[[#This Row],[SS_or_DS]]</f>
        <v>3-3-SS</v>
      </c>
      <c r="D152" s="35">
        <v>3</v>
      </c>
      <c r="E152" s="24" t="str">
        <f>INDEX(Grouping[Grouping_Name],MATCH(CollectionCostTotal[[#This Row],[Grouping_ID]],Grouping[Grouping_ID],0))</f>
        <v>3 - Other areas with curbside</v>
      </c>
      <c r="F152" s="35">
        <v>3</v>
      </c>
      <c r="G152" s="24" t="str">
        <f>INDEX(Sector[Sector_Name],MATCH(CollectionCostTotal[[#This Row],[Sector_ID]],Sector[Sector_ID],0))</f>
        <v>Commercial (on-route)</v>
      </c>
      <c r="H152" s="24" t="s">
        <v>874</v>
      </c>
      <c r="I152" s="289" t="s">
        <v>806</v>
      </c>
      <c r="J152" s="35" t="s">
        <v>91</v>
      </c>
      <c r="K152" s="24" t="str">
        <f>INDEX(Frequency[Collection_Frequency],MATCH(CollectionCostTotal[[#This Row],[Frequency_ID]],Frequency[Orig_Frequency_ID],0)+(CollectionCostTotal[[#This Row],[SS_or_DS]]="DS")*COUNTA(Frequency[Orig_Frequency_ID])/2)</f>
        <v>Varies by customer need</v>
      </c>
      <c r="L152" s="35">
        <v>2025</v>
      </c>
      <c r="M15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52" s="99">
        <f>SUMIFS(CustCntSrcs[Number],CustCntSrcs[Grouping_ID],CollectionCostTotal[[#This Row],[Grouping_ID]],CustCntSrcs[Sector_ID],CollectionCostTotal[[#This Row],[Sector_ID]])</f>
        <v>1.5900000000000001E-2</v>
      </c>
      <c r="O152" s="100">
        <f>CollectionCostTotal[[#This Row],[Population]]*CollectionCostTotal[[#This Row],[Pct. Customers/Pop]]</f>
        <v>9190.35568491497</v>
      </c>
      <c r="P15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1038536.5741511491</v>
      </c>
      <c r="Q152" s="101">
        <f>CollectionCostTotal[[#This Row],[Customers]]*INDEX(LaborCostPerLift[Annual_Labor_Cost_Per_Customer],MATCH(CollectionCostTotal[[#This Row],[Collection_ID]],LaborCostPerLift[Collection_ID],0))*(IF(CollectionCostTotal[[#This Row],[Year]]=2025,SUMIFS(CustCntSrcs[Number],CustCntSrcs[Source_ID],$Q$33),1))</f>
        <v>4127622.0252744942</v>
      </c>
      <c r="R15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203023.23298531453</v>
      </c>
      <c r="S15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456133.34950094722</v>
      </c>
      <c r="T15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2091915.4405650452</v>
      </c>
      <c r="U152" s="101">
        <f>CollectionCostTotal[[#This Row],[Customers]]*INDEX(ContainerMarginAdmin[Annual_Admin_Per_Customer],MATCH(CollectionCostTotal[[#This Row],[Collection_ID]],ContainerMarginAdmin[Collection_ID],0))*(IF(CollectionCostTotal[[#This Row],[Year]]=2025,SUMIFS(CustCntSrcs[Number],CustCntSrcs[Source_ID],$U$33),1))</f>
        <v>1897013.0214161493</v>
      </c>
      <c r="V152" s="101">
        <f>(SUMIFS(CustCntSrcs[Number],CustCntSrcs[Source_ID],$V$33)/(1-SUMIFS(CustCntSrcs[Number],CustCntSrcs[Source_ID],$V$33)))*SUM(CollectionCostTotal[[#This Row],[Collection_Labor]],CollectionCostTotal[[#This Row],[Annual_Container_Cost]],CollectionCostTotal[[#This Row],[Collection_Ops]])</f>
        <v>1133393.0644985037</v>
      </c>
      <c r="W15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10947636.708391603</v>
      </c>
    </row>
    <row r="153" spans="2:23" ht="15" x14ac:dyDescent="0.25">
      <c r="B153" s="209" t="str">
        <f>CollectionCostTotal[[#This Row],[Grouping_ID]]&amp;"-"&amp;CollectionCostTotal[[#This Row],[Sector_ID]]&amp;"-"&amp;CollectionCostTotal[[#This Row],[Frequency_ID]]&amp;"-"&amp;CollectionCostTotal[[#This Row],[SS_or_DS]]</f>
        <v>1-1-W-SS</v>
      </c>
      <c r="C153" s="209" t="str">
        <f>CollectionCostTotal[[#This Row],[Grouping_ID]]&amp;"-"&amp;CollectionCostTotal[[#This Row],[Sector_ID]]&amp;"-"&amp;CollectionCostTotal[[#This Row],[SS_or_DS]]</f>
        <v>1-1-SS</v>
      </c>
      <c r="D153" s="35">
        <v>1</v>
      </c>
      <c r="E153" s="24" t="str">
        <f>INDEX(Grouping[Grouping_Name],MATCH(CollectionCostTotal[[#This Row],[Grouping_ID]],Grouping[Grouping_ID],0))</f>
        <v>1 - Metro area</v>
      </c>
      <c r="F153" s="35">
        <v>1</v>
      </c>
      <c r="G153" s="24" t="str">
        <f>INDEX(Sector[Sector_Name],MATCH(CollectionCostTotal[[#This Row],[Sector_ID]],Sector[Sector_ID],0))</f>
        <v>SF Res. (on-route)</v>
      </c>
      <c r="H153" s="24" t="s">
        <v>874</v>
      </c>
      <c r="I153" s="289" t="s">
        <v>806</v>
      </c>
      <c r="J153" s="35" t="s">
        <v>64</v>
      </c>
      <c r="K153" s="24" t="str">
        <f>INDEX(Frequency[Collection_Frequency],MATCH(CollectionCostTotal[[#This Row],[Frequency_ID]],Frequency[Orig_Frequency_ID],0)+(CollectionCostTotal[[#This Row],[SS_or_DS]]="DS")*COUNTA(Frequency[Orig_Frequency_ID])/2)</f>
        <v>Weekly</v>
      </c>
      <c r="L153" s="35">
        <v>2025</v>
      </c>
      <c r="M15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1393446.3512606001</v>
      </c>
      <c r="N153" s="99">
        <f>SUMIFS(CustCntSrcs[Number],CustCntSrcs[Grouping_ID],CollectionCostTotal[[#This Row],[Grouping_ID]],CustCntSrcs[Sector_ID],CollectionCostTotal[[#This Row],[Sector_ID]])</f>
        <v>0.26339829285649385</v>
      </c>
      <c r="O153" s="100">
        <f>CollectionCostTotal[[#This Row],[Population]]*CollectionCostTotal[[#This Row],[Pct. Customers/Pop]]</f>
        <v>367031.39010915236</v>
      </c>
      <c r="P15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1437273.2908729594</v>
      </c>
      <c r="Q153" s="101">
        <f>CollectionCostTotal[[#This Row],[Customers]]*INDEX(LaborCostPerLift[Annual_Labor_Cost_Per_Customer],MATCH(CollectionCostTotal[[#This Row],[Collection_ID]],LaborCostPerLift[Collection_ID],0))*(IF(CollectionCostTotal[[#This Row],[Year]]=2025,SUMIFS(CustCntSrcs[Number],CustCntSrcs[Source_ID],$Q$33),1))</f>
        <v>15035645.242446691</v>
      </c>
      <c r="R15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826541.76579542458</v>
      </c>
      <c r="S15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4350093.585454545</v>
      </c>
      <c r="T15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5848145.9094227925</v>
      </c>
      <c r="U153" s="101">
        <f>CollectionCostTotal[[#This Row],[Customers]]*INDEX(ContainerMarginAdmin[Annual_Admin_Per_Customer],MATCH(CollectionCostTotal[[#This Row],[Collection_ID]],ContainerMarginAdmin[Collection_ID],0))*(IF(CollectionCostTotal[[#This Row],[Year]]=2025,SUMIFS(CustCntSrcs[Number],CustCntSrcs[Source_ID],$U$33),1))</f>
        <v>5750388.720379848</v>
      </c>
      <c r="V153" s="101">
        <f>(SUMIFS(CustCntSrcs[Number],CustCntSrcs[Source_ID],$V$33)/(1-SUMIFS(CustCntSrcs[Number],CustCntSrcs[Source_ID],$V$33)))*SUM(CollectionCostTotal[[#This Row],[Collection_Labor]],CollectionCostTotal[[#This Row],[Annual_Container_Cost]],CollectionCostTotal[[#This Row],[Collection_Ops]])</f>
        <v>3831235.2207643958</v>
      </c>
      <c r="W15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37079323.735136658</v>
      </c>
    </row>
    <row r="154" spans="2:23" ht="15" x14ac:dyDescent="0.25">
      <c r="B154" s="209" t="str">
        <f>CollectionCostTotal[[#This Row],[Grouping_ID]]&amp;"-"&amp;CollectionCostTotal[[#This Row],[Sector_ID]]&amp;"-"&amp;CollectionCostTotal[[#This Row],[Frequency_ID]]&amp;"-"&amp;CollectionCostTotal[[#This Row],[SS_or_DS]]</f>
        <v>1-1-E-SS</v>
      </c>
      <c r="C154" s="209" t="str">
        <f>CollectionCostTotal[[#This Row],[Grouping_ID]]&amp;"-"&amp;CollectionCostTotal[[#This Row],[Sector_ID]]&amp;"-"&amp;CollectionCostTotal[[#This Row],[SS_or_DS]]</f>
        <v>1-1-SS</v>
      </c>
      <c r="D154" s="35">
        <v>1</v>
      </c>
      <c r="E154" s="24" t="str">
        <f>INDEX(Grouping[Grouping_Name],MATCH(CollectionCostTotal[[#This Row],[Grouping_ID]],Grouping[Grouping_ID],0))</f>
        <v>1 - Metro area</v>
      </c>
      <c r="F154" s="35">
        <v>1</v>
      </c>
      <c r="G154" s="24" t="str">
        <f>INDEX(Sector[Sector_Name],MATCH(CollectionCostTotal[[#This Row],[Sector_ID]],Sector[Sector_ID],0))</f>
        <v>SF Res. (on-route)</v>
      </c>
      <c r="H154" s="24" t="s">
        <v>874</v>
      </c>
      <c r="I154" s="289" t="s">
        <v>806</v>
      </c>
      <c r="J154" s="35" t="s">
        <v>53</v>
      </c>
      <c r="K154" s="24" t="str">
        <f>INDEX(Frequency[Collection_Frequency],MATCH(CollectionCostTotal[[#This Row],[Frequency_ID]],Frequency[Orig_Frequency_ID],0)+(CollectionCostTotal[[#This Row],[SS_or_DS]]="DS")*COUNTA(Frequency[Orig_Frequency_ID])/2)</f>
        <v>Every other week</v>
      </c>
      <c r="L154" s="35">
        <v>2025</v>
      </c>
      <c r="M15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375226.44828045601</v>
      </c>
      <c r="N154" s="99">
        <f>SUMIFS(CustCntSrcs[Number],CustCntSrcs[Grouping_ID],CollectionCostTotal[[#This Row],[Grouping_ID]],CustCntSrcs[Sector_ID],CollectionCostTotal[[#This Row],[Sector_ID]])</f>
        <v>0.26339829285649385</v>
      </c>
      <c r="O154" s="100">
        <f>CollectionCostTotal[[#This Row],[Population]]*CollectionCostTotal[[#This Row],[Pct. Customers/Pop]]</f>
        <v>98834.005911677596</v>
      </c>
      <c r="P15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387028.14188342134</v>
      </c>
      <c r="Q154" s="101">
        <f>CollectionCostTotal[[#This Row],[Customers]]*INDEX(LaborCostPerLift[Annual_Labor_Cost_Per_Customer],MATCH(CollectionCostTotal[[#This Row],[Collection_ID]],LaborCostPerLift[Collection_ID],0))*(IF(CollectionCostTotal[[#This Row],[Year]]=2025,SUMIFS(CustCntSrcs[Number],CustCntSrcs[Source_ID],$Q$33),1))</f>
        <v>3030442.8031281852</v>
      </c>
      <c r="R15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256189.79647345981</v>
      </c>
      <c r="S15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500049.30666077073</v>
      </c>
      <c r="T15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1391625.3894134881</v>
      </c>
      <c r="U154" s="101">
        <f>CollectionCostTotal[[#This Row],[Customers]]*INDEX(ContainerMarginAdmin[Annual_Admin_Per_Customer],MATCH(CollectionCostTotal[[#This Row],[Collection_ID]],ContainerMarginAdmin[Collection_ID],0))*(IF(CollectionCostTotal[[#This Row],[Year]]=2025,SUMIFS(CustCntSrcs[Number],CustCntSrcs[Source_ID],$U$33),1))</f>
        <v>1101462.296580787</v>
      </c>
      <c r="V154" s="101">
        <f>(SUMIFS(CustCntSrcs[Number],CustCntSrcs[Source_ID],$V$33)/(1-SUMIFS(CustCntSrcs[Number],CustCntSrcs[Source_ID],$V$33)))*SUM(CollectionCostTotal[[#This Row],[Collection_Labor]],CollectionCostTotal[[#This Row],[Annual_Container_Cost]],CollectionCostTotal[[#This Row],[Collection_Ops]])</f>
        <v>825574.93923796469</v>
      </c>
      <c r="W15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7492372.6733780764</v>
      </c>
    </row>
    <row r="155" spans="2:23" ht="15" x14ac:dyDescent="0.25">
      <c r="B155" s="209" t="str">
        <f>CollectionCostTotal[[#This Row],[Grouping_ID]]&amp;"-"&amp;CollectionCostTotal[[#This Row],[Sector_ID]]&amp;"-"&amp;CollectionCostTotal[[#This Row],[Frequency_ID]]&amp;"-"&amp;CollectionCostTotal[[#This Row],[SS_or_DS]]</f>
        <v>2-1-W-SS</v>
      </c>
      <c r="C155" s="209" t="str">
        <f>CollectionCostTotal[[#This Row],[Grouping_ID]]&amp;"-"&amp;CollectionCostTotal[[#This Row],[Sector_ID]]&amp;"-"&amp;CollectionCostTotal[[#This Row],[SS_or_DS]]</f>
        <v>2-1-SS</v>
      </c>
      <c r="D155" s="35">
        <v>2</v>
      </c>
      <c r="E155" s="24" t="str">
        <f>INDEX(Grouping[Grouping_Name],MATCH(CollectionCostTotal[[#This Row],[Grouping_ID]],Grouping[Grouping_ID],0))</f>
        <v>2 - Willamette Valley, etc.</v>
      </c>
      <c r="F155" s="35">
        <v>1</v>
      </c>
      <c r="G155" s="24" t="str">
        <f>INDEX(Sector[Sector_Name],MATCH(CollectionCostTotal[[#This Row],[Sector_ID]],Sector[Sector_ID],0))</f>
        <v>SF Res. (on-route)</v>
      </c>
      <c r="H155" s="24" t="s">
        <v>874</v>
      </c>
      <c r="I155" s="289" t="s">
        <v>806</v>
      </c>
      <c r="J155" s="35" t="s">
        <v>64</v>
      </c>
      <c r="K155" s="24" t="str">
        <f>INDEX(Frequency[Collection_Frequency],MATCH(CollectionCostTotal[[#This Row],[Frequency_ID]],Frequency[Orig_Frequency_ID],0)+(CollectionCostTotal[[#This Row],[SS_or_DS]]="DS")*COUNTA(Frequency[Orig_Frequency_ID])/2)</f>
        <v>Weekly</v>
      </c>
      <c r="L155" s="35">
        <v>2025</v>
      </c>
      <c r="M15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365186.16509931785</v>
      </c>
      <c r="N155" s="99">
        <f>SUMIFS(CustCntSrcs[Number],CustCntSrcs[Grouping_ID],CollectionCostTotal[[#This Row],[Grouping_ID]],CustCntSrcs[Sector_ID],CollectionCostTotal[[#This Row],[Sector_ID]])</f>
        <v>0.25090000000000001</v>
      </c>
      <c r="O155" s="100">
        <f>CollectionCostTotal[[#This Row],[Population]]*CollectionCostTotal[[#This Row],[Pct. Customers/Pop]]</f>
        <v>91625.208823418856</v>
      </c>
      <c r="P15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358798.91737160028</v>
      </c>
      <c r="Q155" s="101">
        <f>CollectionCostTotal[[#This Row],[Customers]]*INDEX(LaborCostPerLift[Annual_Labor_Cost_Per_Customer],MATCH(CollectionCostTotal[[#This Row],[Collection_ID]],LaborCostPerLift[Collection_ID],0))*(IF(CollectionCostTotal[[#This Row],[Year]]=2025,SUMIFS(CustCntSrcs[Number],CustCntSrcs[Source_ID],$Q$33),1))</f>
        <v>3659128.2695488357</v>
      </c>
      <c r="R15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274284.05880998657</v>
      </c>
      <c r="S15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733193.0515072915</v>
      </c>
      <c r="T15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2223634.8994612186</v>
      </c>
      <c r="U155" s="101">
        <f>CollectionCostTotal[[#This Row],[Customers]]*INDEX(ContainerMarginAdmin[Annual_Admin_Per_Customer],MATCH(CollectionCostTotal[[#This Row],[Collection_ID]],ContainerMarginAdmin[Collection_ID],0))*(IF(CollectionCostTotal[[#This Row],[Year]]=2025,SUMIFS(CustCntSrcs[Number],CustCntSrcs[Source_ID],$U$33),1))</f>
        <v>1585405.3209771351</v>
      </c>
      <c r="V155" s="101">
        <f>(SUMIFS(CustCntSrcs[Number],CustCntSrcs[Source_ID],$V$33)/(1-SUMIFS(CustCntSrcs[Number],CustCntSrcs[Source_ID],$V$33)))*SUM(CollectionCostTotal[[#This Row],[Collection_Labor]],CollectionCostTotal[[#This Row],[Annual_Container_Cost]],CollectionCostTotal[[#This Row],[Collection_Ops]])</f>
        <v>1086537.7460858896</v>
      </c>
      <c r="W15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9920982.2637619562</v>
      </c>
    </row>
    <row r="156" spans="2:23" ht="15" x14ac:dyDescent="0.25">
      <c r="B156" s="209" t="str">
        <f>CollectionCostTotal[[#This Row],[Grouping_ID]]&amp;"-"&amp;CollectionCostTotal[[#This Row],[Sector_ID]]&amp;"-"&amp;CollectionCostTotal[[#This Row],[Frequency_ID]]&amp;"-"&amp;CollectionCostTotal[[#This Row],[SS_or_DS]]</f>
        <v>2-1-E-SS</v>
      </c>
      <c r="C156" s="209" t="str">
        <f>CollectionCostTotal[[#This Row],[Grouping_ID]]&amp;"-"&amp;CollectionCostTotal[[#This Row],[Sector_ID]]&amp;"-"&amp;CollectionCostTotal[[#This Row],[SS_or_DS]]</f>
        <v>2-1-SS</v>
      </c>
      <c r="D156" s="35">
        <v>2</v>
      </c>
      <c r="E156" s="24" t="str">
        <f>INDEX(Grouping[Grouping_Name],MATCH(CollectionCostTotal[[#This Row],[Grouping_ID]],Grouping[Grouping_ID],0))</f>
        <v>2 - Willamette Valley, etc.</v>
      </c>
      <c r="F156" s="35">
        <v>1</v>
      </c>
      <c r="G156" s="24" t="str">
        <f>INDEX(Sector[Sector_Name],MATCH(CollectionCostTotal[[#This Row],[Sector_ID]],Sector[Sector_ID],0))</f>
        <v>SF Res. (on-route)</v>
      </c>
      <c r="H156" s="24" t="s">
        <v>874</v>
      </c>
      <c r="I156" s="289" t="s">
        <v>806</v>
      </c>
      <c r="J156" s="35" t="s">
        <v>53</v>
      </c>
      <c r="K156" s="24" t="str">
        <f>INDEX(Frequency[Collection_Frequency],MATCH(CollectionCostTotal[[#This Row],[Frequency_ID]],Frequency[Orig_Frequency_ID],0)+(CollectionCostTotal[[#This Row],[SS_or_DS]]="DS")*COUNTA(Frequency[Orig_Frequency_ID])/2)</f>
        <v>Every other week</v>
      </c>
      <c r="L156" s="35">
        <v>2025</v>
      </c>
      <c r="M15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1144761.8824050445</v>
      </c>
      <c r="N156" s="99">
        <f>SUMIFS(CustCntSrcs[Number],CustCntSrcs[Grouping_ID],CollectionCostTotal[[#This Row],[Grouping_ID]],CustCntSrcs[Sector_ID],CollectionCostTotal[[#This Row],[Sector_ID]])</f>
        <v>0.25090000000000001</v>
      </c>
      <c r="O156" s="100">
        <f>CollectionCostTotal[[#This Row],[Population]]*CollectionCostTotal[[#This Row],[Pct. Customers/Pop]]</f>
        <v>287220.7562954257</v>
      </c>
      <c r="P15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1124739.5528894104</v>
      </c>
      <c r="Q156" s="101">
        <f>CollectionCostTotal[[#This Row],[Customers]]*INDEX(LaborCostPerLift[Annual_Labor_Cost_Per_Customer],MATCH(CollectionCostTotal[[#This Row],[Collection_ID]],LaborCostPerLift[Collection_ID],0))*(IF(CollectionCostTotal[[#This Row],[Year]]=2025,SUMIFS(CustCntSrcs[Number],CustCntSrcs[Source_ID],$Q$33),1))</f>
        <v>8899952.409220228</v>
      </c>
      <c r="R15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634737.09031003586</v>
      </c>
      <c r="S15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1696725.7454494475</v>
      </c>
      <c r="T15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5145846.069653078</v>
      </c>
      <c r="U156" s="101">
        <f>CollectionCostTotal[[#This Row],[Customers]]*INDEX(ContainerMarginAdmin[Annual_Admin_Per_Customer],MATCH(CollectionCostTotal[[#This Row],[Collection_ID]],ContainerMarginAdmin[Collection_ID],0))*(IF(CollectionCostTotal[[#This Row],[Year]]=2025,SUMIFS(CustCntSrcs[Number],CustCntSrcs[Source_ID],$U$33),1))</f>
        <v>3475473.102058081</v>
      </c>
      <c r="V156" s="101">
        <f>(SUMIFS(CustCntSrcs[Number],CustCntSrcs[Source_ID],$V$33)/(1-SUMIFS(CustCntSrcs[Number],CustCntSrcs[Source_ID],$V$33)))*SUM(CollectionCostTotal[[#This Row],[Collection_Labor]],CollectionCostTotal[[#This Row],[Annual_Container_Cost]],CollectionCostTotal[[#This Row],[Collection_Ops]])</f>
        <v>2590682.747502943</v>
      </c>
      <c r="W15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23568156.717083219</v>
      </c>
    </row>
    <row r="157" spans="2:23" ht="15" x14ac:dyDescent="0.25">
      <c r="B157" s="209" t="str">
        <f>CollectionCostTotal[[#This Row],[Grouping_ID]]&amp;"-"&amp;CollectionCostTotal[[#This Row],[Sector_ID]]&amp;"-"&amp;CollectionCostTotal[[#This Row],[Frequency_ID]]&amp;"-"&amp;CollectionCostTotal[[#This Row],[SS_or_DS]]</f>
        <v>2-1-U-SS</v>
      </c>
      <c r="C157" s="209" t="str">
        <f>CollectionCostTotal[[#This Row],[Grouping_ID]]&amp;"-"&amp;CollectionCostTotal[[#This Row],[Sector_ID]]&amp;"-"&amp;CollectionCostTotal[[#This Row],[SS_or_DS]]</f>
        <v>2-1-SS</v>
      </c>
      <c r="D157" s="35">
        <v>2</v>
      </c>
      <c r="E157" s="24" t="str">
        <f>INDEX(Grouping[Grouping_Name],MATCH(CollectionCostTotal[[#This Row],[Grouping_ID]],Grouping[Grouping_ID],0))</f>
        <v>2 - Willamette Valley, etc.</v>
      </c>
      <c r="F157" s="35">
        <v>1</v>
      </c>
      <c r="G157" s="24" t="str">
        <f>INDEX(Sector[Sector_Name],MATCH(CollectionCostTotal[[#This Row],[Sector_ID]],Sector[Sector_ID],0))</f>
        <v>SF Res. (on-route)</v>
      </c>
      <c r="H157" s="24" t="s">
        <v>874</v>
      </c>
      <c r="I157" s="289" t="s">
        <v>806</v>
      </c>
      <c r="J157" s="35" t="s">
        <v>65</v>
      </c>
      <c r="K157" s="24" t="str">
        <f>INDEX(Frequency[Collection_Frequency],MATCH(CollectionCostTotal[[#This Row],[Frequency_ID]],Frequency[Orig_Frequency_ID],0)+(CollectionCostTotal[[#This Row],[SS_or_DS]]="DS")*COUNTA(Frequency[Orig_Frequency_ID])/2)</f>
        <v>Uncertain</v>
      </c>
      <c r="L157" s="35">
        <v>2025</v>
      </c>
      <c r="M15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57" s="99">
        <f>SUMIFS(CustCntSrcs[Number],CustCntSrcs[Grouping_ID],CollectionCostTotal[[#This Row],[Grouping_ID]],CustCntSrcs[Sector_ID],CollectionCostTotal[[#This Row],[Sector_ID]])</f>
        <v>0.25090000000000001</v>
      </c>
      <c r="O157" s="100">
        <f>CollectionCostTotal[[#This Row],[Population]]*CollectionCostTotal[[#This Row],[Pct. Customers/Pop]]</f>
        <v>0</v>
      </c>
      <c r="P15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57" s="101">
        <f>CollectionCostTotal[[#This Row],[Customers]]*INDEX(LaborCostPerLift[Annual_Labor_Cost_Per_Customer],MATCH(CollectionCostTotal[[#This Row],[Collection_ID]],LaborCostPerLift[Collection_ID],0))*(IF(CollectionCostTotal[[#This Row],[Year]]=2025,SUMIFS(CustCntSrcs[Number],CustCntSrcs[Source_ID],$Q$33),1))</f>
        <v>0</v>
      </c>
      <c r="R15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5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5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57" s="101">
        <f>CollectionCostTotal[[#This Row],[Customers]]*INDEX(ContainerMarginAdmin[Annual_Admin_Per_Customer],MATCH(CollectionCostTotal[[#This Row],[Collection_ID]],ContainerMarginAdmin[Collection_ID],0))*(IF(CollectionCostTotal[[#This Row],[Year]]=2025,SUMIFS(CustCntSrcs[Number],CustCntSrcs[Source_ID],$U$33),1))</f>
        <v>0</v>
      </c>
      <c r="V157" s="101">
        <f>(SUMIFS(CustCntSrcs[Number],CustCntSrcs[Source_ID],$V$33)/(1-SUMIFS(CustCntSrcs[Number],CustCntSrcs[Source_ID],$V$33)))*SUM(CollectionCostTotal[[#This Row],[Collection_Labor]],CollectionCostTotal[[#This Row],[Annual_Container_Cost]],CollectionCostTotal[[#This Row],[Collection_Ops]])</f>
        <v>0</v>
      </c>
      <c r="W15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58" spans="2:23" ht="15" x14ac:dyDescent="0.25">
      <c r="B158" s="209" t="str">
        <f>CollectionCostTotal[[#This Row],[Grouping_ID]]&amp;"-"&amp;CollectionCostTotal[[#This Row],[Sector_ID]]&amp;"-"&amp;CollectionCostTotal[[#This Row],[Frequency_ID]]&amp;"-"&amp;CollectionCostTotal[[#This Row],[SS_or_DS]]</f>
        <v>3-1-W-SS</v>
      </c>
      <c r="C158" s="209" t="str">
        <f>CollectionCostTotal[[#This Row],[Grouping_ID]]&amp;"-"&amp;CollectionCostTotal[[#This Row],[Sector_ID]]&amp;"-"&amp;CollectionCostTotal[[#This Row],[SS_or_DS]]</f>
        <v>3-1-SS</v>
      </c>
      <c r="D158" s="35">
        <v>3</v>
      </c>
      <c r="E158" s="24" t="str">
        <f>INDEX(Grouping[Grouping_Name],MATCH(CollectionCostTotal[[#This Row],[Grouping_ID]],Grouping[Grouping_ID],0))</f>
        <v>3 - Other areas with curbside</v>
      </c>
      <c r="F158" s="35">
        <v>1</v>
      </c>
      <c r="G158" s="24" t="str">
        <f>INDEX(Sector[Sector_Name],MATCH(CollectionCostTotal[[#This Row],[Sector_ID]],Sector[Sector_ID],0))</f>
        <v>SF Res. (on-route)</v>
      </c>
      <c r="H158" s="24" t="s">
        <v>874</v>
      </c>
      <c r="I158" s="289" t="s">
        <v>806</v>
      </c>
      <c r="J158" s="35" t="s">
        <v>64</v>
      </c>
      <c r="K158" s="24" t="str">
        <f>INDEX(Frequency[Collection_Frequency],MATCH(CollectionCostTotal[[#This Row],[Frequency_ID]],Frequency[Orig_Frequency_ID],0)+(CollectionCostTotal[[#This Row],[SS_or_DS]]="DS")*COUNTA(Frequency[Orig_Frequency_ID])/2)</f>
        <v>Weekly</v>
      </c>
      <c r="L158" s="35">
        <v>2025</v>
      </c>
      <c r="M15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219262.41443309668</v>
      </c>
      <c r="N158" s="99">
        <f>SUMIFS(CustCntSrcs[Number],CustCntSrcs[Grouping_ID],CollectionCostTotal[[#This Row],[Grouping_ID]],CustCntSrcs[Sector_ID],CollectionCostTotal[[#This Row],[Sector_ID]])</f>
        <v>0.26100000000000001</v>
      </c>
      <c r="O158" s="100">
        <f>CollectionCostTotal[[#This Row],[Population]]*CollectionCostTotal[[#This Row],[Pct. Customers/Pop]]</f>
        <v>57227.490167038239</v>
      </c>
      <c r="P15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224099.47851141013</v>
      </c>
      <c r="Q158" s="101">
        <f>CollectionCostTotal[[#This Row],[Customers]]*INDEX(LaborCostPerLift[Annual_Labor_Cost_Per_Customer],MATCH(CollectionCostTotal[[#This Row],[Collection_ID]],LaborCostPerLift[Collection_ID],0))*(IF(CollectionCostTotal[[#This Row],[Year]]=2025,SUMIFS(CustCntSrcs[Number],CustCntSrcs[Source_ID],$Q$33),1))</f>
        <v>2861845.8077223087</v>
      </c>
      <c r="R15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147700.88362564368</v>
      </c>
      <c r="S15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839734.37763233646</v>
      </c>
      <c r="T15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1760048.7838936553</v>
      </c>
      <c r="U158" s="101">
        <f>CollectionCostTotal[[#This Row],[Customers]]*INDEX(ContainerMarginAdmin[Annual_Admin_Per_Customer],MATCH(CollectionCostTotal[[#This Row],[Collection_ID]],ContainerMarginAdmin[Collection_ID],0))*(IF(CollectionCostTotal[[#This Row],[Year]]=2025,SUMIFS(CustCntSrcs[Number],CustCntSrcs[Source_ID],$U$33),1))</f>
        <v>1330318.2703114441</v>
      </c>
      <c r="V158" s="101">
        <f>(SUMIFS(CustCntSrcs[Number],CustCntSrcs[Source_ID],$V$33)/(1-SUMIFS(CustCntSrcs[Number],CustCntSrcs[Source_ID],$V$33)))*SUM(CollectionCostTotal[[#This Row],[Collection_Labor]],CollectionCostTotal[[#This Row],[Annual_Container_Cost]],CollectionCostTotal[[#This Row],[Collection_Ops]])</f>
        <v>841693.31916028378</v>
      </c>
      <c r="W15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8005440.9208570821</v>
      </c>
    </row>
    <row r="159" spans="2:23" ht="15" x14ac:dyDescent="0.25">
      <c r="B159" s="209" t="str">
        <f>CollectionCostTotal[[#This Row],[Grouping_ID]]&amp;"-"&amp;CollectionCostTotal[[#This Row],[Sector_ID]]&amp;"-"&amp;CollectionCostTotal[[#This Row],[Frequency_ID]]&amp;"-"&amp;CollectionCostTotal[[#This Row],[SS_or_DS]]</f>
        <v>3-1-E-SS</v>
      </c>
      <c r="C159" s="209" t="str">
        <f>CollectionCostTotal[[#This Row],[Grouping_ID]]&amp;"-"&amp;CollectionCostTotal[[#This Row],[Sector_ID]]&amp;"-"&amp;CollectionCostTotal[[#This Row],[SS_or_DS]]</f>
        <v>3-1-SS</v>
      </c>
      <c r="D159" s="35">
        <v>3</v>
      </c>
      <c r="E159" s="24" t="str">
        <f>INDEX(Grouping[Grouping_Name],MATCH(CollectionCostTotal[[#This Row],[Grouping_ID]],Grouping[Grouping_ID],0))</f>
        <v>3 - Other areas with curbside</v>
      </c>
      <c r="F159" s="35">
        <v>1</v>
      </c>
      <c r="G159" s="24" t="str">
        <f>INDEX(Sector[Sector_Name],MATCH(CollectionCostTotal[[#This Row],[Sector_ID]],Sector[Sector_ID],0))</f>
        <v>SF Res. (on-route)</v>
      </c>
      <c r="H159" s="24" t="s">
        <v>874</v>
      </c>
      <c r="I159" s="289" t="s">
        <v>806</v>
      </c>
      <c r="J159" s="35" t="s">
        <v>53</v>
      </c>
      <c r="K159" s="24" t="str">
        <f>INDEX(Frequency[Collection_Frequency],MATCH(CollectionCostTotal[[#This Row],[Frequency_ID]],Frequency[Orig_Frequency_ID],0)+(CollectionCostTotal[[#This Row],[SS_or_DS]]="DS")*COUNTA(Frequency[Orig_Frequency_ID])/2)</f>
        <v>Every other week</v>
      </c>
      <c r="L159" s="35">
        <v>2025</v>
      </c>
      <c r="M15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347391.69092319539</v>
      </c>
      <c r="N159" s="99">
        <f>SUMIFS(CustCntSrcs[Number],CustCntSrcs[Grouping_ID],CollectionCostTotal[[#This Row],[Grouping_ID]],CustCntSrcs[Sector_ID],CollectionCostTotal[[#This Row],[Sector_ID]])</f>
        <v>0.26100000000000001</v>
      </c>
      <c r="O159" s="100">
        <f>CollectionCostTotal[[#This Row],[Population]]*CollectionCostTotal[[#This Row],[Pct. Customers/Pop]]</f>
        <v>90669.231330954004</v>
      </c>
      <c r="P15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355055.36585632846</v>
      </c>
      <c r="Q159" s="101">
        <f>CollectionCostTotal[[#This Row],[Customers]]*INDEX(LaborCostPerLift[Annual_Labor_Cost_Per_Customer],MATCH(CollectionCostTotal[[#This Row],[Collection_ID]],LaborCostPerLift[Collection_ID],0))*(IF(CollectionCostTotal[[#This Row],[Year]]=2025,SUMIFS(CustCntSrcs[Number],CustCntSrcs[Source_ID],$Q$33),1))</f>
        <v>3891020.814480288</v>
      </c>
      <c r="R15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172755.06656660352</v>
      </c>
      <c r="S15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982176.71245504357</v>
      </c>
      <c r="T15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2058602.070334723</v>
      </c>
      <c r="U159" s="101">
        <f>CollectionCostTotal[[#This Row],[Customers]]*INDEX(ContainerMarginAdmin[Annual_Admin_Per_Customer],MATCH(CollectionCostTotal[[#This Row],[Collection_ID]],ContainerMarginAdmin[Collection_ID],0))*(IF(CollectionCostTotal[[#This Row],[Year]]=2025,SUMIFS(CustCntSrcs[Number],CustCntSrcs[Source_ID],$U$33),1))</f>
        <v>2191957.2419979153</v>
      </c>
      <c r="V159" s="101">
        <f>(SUMIFS(CustCntSrcs[Number],CustCntSrcs[Source_ID],$V$33)/(1-SUMIFS(CustCntSrcs[Number],CustCntSrcs[Source_ID],$V$33)))*SUM(CollectionCostTotal[[#This Row],[Collection_Labor]],CollectionCostTotal[[#This Row],[Annual_Container_Cost]],CollectionCostTotal[[#This Row],[Collection_Ops]])</f>
        <v>1080419.6384791085</v>
      </c>
      <c r="W15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10731986.910170009</v>
      </c>
    </row>
    <row r="160" spans="2:23" ht="15" x14ac:dyDescent="0.25">
      <c r="B160" s="209" t="str">
        <f>CollectionCostTotal[[#This Row],[Grouping_ID]]&amp;"-"&amp;CollectionCostTotal[[#This Row],[Sector_ID]]&amp;"-"&amp;CollectionCostTotal[[#This Row],[Frequency_ID]]&amp;"-"&amp;CollectionCostTotal[[#This Row],[SS_or_DS]]</f>
        <v>3-1-BM-SS</v>
      </c>
      <c r="C160" s="209" t="str">
        <f>CollectionCostTotal[[#This Row],[Grouping_ID]]&amp;"-"&amp;CollectionCostTotal[[#This Row],[Sector_ID]]&amp;"-"&amp;CollectionCostTotal[[#This Row],[SS_or_DS]]</f>
        <v>3-1-SS</v>
      </c>
      <c r="D160" s="35">
        <v>3</v>
      </c>
      <c r="E160" s="24" t="str">
        <f>INDEX(Grouping[Grouping_Name],MATCH(CollectionCostTotal[[#This Row],[Grouping_ID]],Grouping[Grouping_ID],0))</f>
        <v>3 - Other areas with curbside</v>
      </c>
      <c r="F160" s="35">
        <v>1</v>
      </c>
      <c r="G160" s="24" t="str">
        <f>INDEX(Sector[Sector_Name],MATCH(CollectionCostTotal[[#This Row],[Sector_ID]],Sector[Sector_ID],0))</f>
        <v>SF Res. (on-route)</v>
      </c>
      <c r="H160" s="24" t="s">
        <v>874</v>
      </c>
      <c r="I160" s="289" t="s">
        <v>806</v>
      </c>
      <c r="J160" s="35" t="s">
        <v>66</v>
      </c>
      <c r="K160" s="24" t="str">
        <f>INDEX(Frequency[Collection_Frequency],MATCH(CollectionCostTotal[[#This Row],[Frequency_ID]],Frequency[Orig_Frequency_ID],0)+(CollectionCostTotal[[#This Row],[SS_or_DS]]="DS")*COUNTA(Frequency[Orig_Frequency_ID])/2)</f>
        <v>Bimonthly</v>
      </c>
      <c r="L160" s="35">
        <v>2025</v>
      </c>
      <c r="M16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2720.856747132194</v>
      </c>
      <c r="N160" s="99">
        <f>SUMIFS(CustCntSrcs[Number],CustCntSrcs[Grouping_ID],CollectionCostTotal[[#This Row],[Grouping_ID]],CustCntSrcs[Sector_ID],CollectionCostTotal[[#This Row],[Sector_ID]])</f>
        <v>0.26100000000000001</v>
      </c>
      <c r="O160" s="100">
        <f>CollectionCostTotal[[#This Row],[Population]]*CollectionCostTotal[[#This Row],[Pct. Customers/Pop]]</f>
        <v>710.14361100150268</v>
      </c>
      <c r="P16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2780.8805248864328</v>
      </c>
      <c r="Q160" s="101">
        <f>CollectionCostTotal[[#This Row],[Customers]]*INDEX(LaborCostPerLift[Annual_Labor_Cost_Per_Customer],MATCH(CollectionCostTotal[[#This Row],[Collection_ID]],LaborCostPerLift[Collection_ID],0))*(IF(CollectionCostTotal[[#This Row],[Year]]=2025,SUMIFS(CustCntSrcs[Number],CustCntSrcs[Source_ID],$Q$33),1))</f>
        <v>28349.234737724608</v>
      </c>
      <c r="R16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1258.6604307029447</v>
      </c>
      <c r="S16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7155.9519989444489</v>
      </c>
      <c r="T16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14998.581633462647</v>
      </c>
      <c r="U160" s="101">
        <f>CollectionCostTotal[[#This Row],[Customers]]*INDEX(ContainerMarginAdmin[Annual_Admin_Per_Customer],MATCH(CollectionCostTotal[[#This Row],[Collection_ID]],ContainerMarginAdmin[Collection_ID],0))*(IF(CollectionCostTotal[[#This Row],[Year]]=2025,SUMIFS(CustCntSrcs[Number],CustCntSrcs[Source_ID],$U$33),1))</f>
        <v>17167.945599003633</v>
      </c>
      <c r="V160" s="101">
        <f>(SUMIFS(CustCntSrcs[Number],CustCntSrcs[Source_ID],$V$33)/(1-SUMIFS(CustCntSrcs[Number],CustCntSrcs[Source_ID],$V$33)))*SUM(CollectionCostTotal[[#This Row],[Collection_Labor]],CollectionCostTotal[[#This Row],[Annual_Container_Cost]],CollectionCostTotal[[#This Row],[Collection_Ops]])</f>
        <v>7871.7312003335646</v>
      </c>
      <c r="W16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79582.986125058291</v>
      </c>
    </row>
    <row r="161" spans="2:23" ht="15" x14ac:dyDescent="0.25">
      <c r="B161" s="209" t="str">
        <f>CollectionCostTotal[[#This Row],[Grouping_ID]]&amp;"-"&amp;CollectionCostTotal[[#This Row],[Sector_ID]]&amp;"-"&amp;CollectionCostTotal[[#This Row],[Frequency_ID]]&amp;"-"&amp;CollectionCostTotal[[#This Row],[SS_or_DS]]</f>
        <v>3-1-M-SS</v>
      </c>
      <c r="C161" s="209" t="str">
        <f>CollectionCostTotal[[#This Row],[Grouping_ID]]&amp;"-"&amp;CollectionCostTotal[[#This Row],[Sector_ID]]&amp;"-"&amp;CollectionCostTotal[[#This Row],[SS_or_DS]]</f>
        <v>3-1-SS</v>
      </c>
      <c r="D161" s="35">
        <v>3</v>
      </c>
      <c r="E161" s="24" t="str">
        <f>INDEX(Grouping[Grouping_Name],MATCH(CollectionCostTotal[[#This Row],[Grouping_ID]],Grouping[Grouping_ID],0))</f>
        <v>3 - Other areas with curbside</v>
      </c>
      <c r="F161" s="35">
        <v>1</v>
      </c>
      <c r="G161" s="24" t="str">
        <f>INDEX(Sector[Sector_Name],MATCH(CollectionCostTotal[[#This Row],[Sector_ID]],Sector[Sector_ID],0))</f>
        <v>SF Res. (on-route)</v>
      </c>
      <c r="H161" s="24" t="s">
        <v>874</v>
      </c>
      <c r="I161" s="289" t="s">
        <v>806</v>
      </c>
      <c r="J161" s="35" t="s">
        <v>67</v>
      </c>
      <c r="K161" s="24" t="str">
        <f>INDEX(Frequency[Collection_Frequency],MATCH(CollectionCostTotal[[#This Row],[Frequency_ID]],Frequency[Orig_Frequency_ID],0)+(CollectionCostTotal[[#This Row],[SS_or_DS]]="DS")*COUNTA(Frequency[Orig_Frequency_ID])/2)</f>
        <v>Monthly</v>
      </c>
      <c r="L161" s="35">
        <v>2025</v>
      </c>
      <c r="M16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8634.829400662129</v>
      </c>
      <c r="N161" s="99">
        <f>SUMIFS(CustCntSrcs[Number],CustCntSrcs[Grouping_ID],CollectionCostTotal[[#This Row],[Grouping_ID]],CustCntSrcs[Sector_ID],CollectionCostTotal[[#This Row],[Sector_ID]])</f>
        <v>0.26100000000000001</v>
      </c>
      <c r="O161" s="100">
        <f>CollectionCostTotal[[#This Row],[Population]]*CollectionCostTotal[[#This Row],[Pct. Customers/Pop]]</f>
        <v>2253.6904735728158</v>
      </c>
      <c r="P16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8825.319062213548</v>
      </c>
      <c r="Q161" s="101">
        <f>CollectionCostTotal[[#This Row],[Customers]]*INDEX(LaborCostPerLift[Annual_Labor_Cost_Per_Customer],MATCH(CollectionCostTotal[[#This Row],[Collection_ID]],LaborCostPerLift[Collection_ID],0))*(IF(CollectionCostTotal[[#This Row],[Year]]=2025,SUMIFS(CustCntSrcs[Number],CustCntSrcs[Source_ID],$Q$33),1))</f>
        <v>44984.140722878583</v>
      </c>
      <c r="R16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1997.2235039457967</v>
      </c>
      <c r="S16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11354.957363216585</v>
      </c>
      <c r="T16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23799.524505169029</v>
      </c>
      <c r="U161" s="101">
        <f>CollectionCostTotal[[#This Row],[Customers]]*INDEX(ContainerMarginAdmin[Annual_Admin_Per_Customer],MATCH(CollectionCostTotal[[#This Row],[Collection_ID]],ContainerMarginAdmin[Collection_ID],0))*(IF(CollectionCostTotal[[#This Row],[Year]]=2025,SUMIFS(CustCntSrcs[Number],CustCntSrcs[Source_ID],$U$33),1))</f>
        <v>54483.677453248216</v>
      </c>
      <c r="V161" s="101">
        <f>(SUMIFS(CustCntSrcs[Number],CustCntSrcs[Source_ID],$V$33)/(1-SUMIFS(CustCntSrcs[Number],CustCntSrcs[Source_ID],$V$33)))*SUM(CollectionCostTotal[[#This Row],[Collection_Labor]],CollectionCostTotal[[#This Row],[Annual_Container_Cost]],CollectionCostTotal[[#This Row],[Collection_Ops]])</f>
        <v>12490.745070351781</v>
      </c>
      <c r="W16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157935.58768102355</v>
      </c>
    </row>
    <row r="162" spans="2:23" ht="15" x14ac:dyDescent="0.25">
      <c r="B162" s="210" t="str">
        <f>CollectionCostTotal[[#This Row],[Grouping_ID]]&amp;"-"&amp;CollectionCostTotal[[#This Row],[Sector_ID]]&amp;"-"&amp;CollectionCostTotal[[#This Row],[Frequency_ID]]&amp;"-"&amp;CollectionCostTotal[[#This Row],[SS_or_DS]]</f>
        <v>3-1-U-SS</v>
      </c>
      <c r="C162" s="210" t="str">
        <f>CollectionCostTotal[[#This Row],[Grouping_ID]]&amp;"-"&amp;CollectionCostTotal[[#This Row],[Sector_ID]]&amp;"-"&amp;CollectionCostTotal[[#This Row],[SS_or_DS]]</f>
        <v>3-1-SS</v>
      </c>
      <c r="D162" s="126">
        <v>3</v>
      </c>
      <c r="E162" s="127" t="str">
        <f>INDEX(Grouping[Grouping_Name],MATCH(CollectionCostTotal[[#This Row],[Grouping_ID]],Grouping[Grouping_ID],0))</f>
        <v>3 - Other areas with curbside</v>
      </c>
      <c r="F162" s="126">
        <v>1</v>
      </c>
      <c r="G162" s="127" t="str">
        <f>INDEX(Sector[Sector_Name],MATCH(CollectionCostTotal[[#This Row],[Sector_ID]],Sector[Sector_ID],0))</f>
        <v>SF Res. (on-route)</v>
      </c>
      <c r="H162" s="24" t="s">
        <v>874</v>
      </c>
      <c r="I162" s="290" t="s">
        <v>806</v>
      </c>
      <c r="J162" s="126" t="s">
        <v>65</v>
      </c>
      <c r="K162" s="127" t="str">
        <f>INDEX(Frequency[Collection_Frequency],MATCH(CollectionCostTotal[[#This Row],[Frequency_ID]],Frequency[Orig_Frequency_ID],0)+(CollectionCostTotal[[#This Row],[SS_or_DS]]="DS")*COUNTA(Frequency[Orig_Frequency_ID])/2)</f>
        <v>Uncertain</v>
      </c>
      <c r="L162" s="126">
        <v>2025</v>
      </c>
      <c r="M162" s="128">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62" s="159">
        <f>SUMIFS(CustCntSrcs[Number],CustCntSrcs[Grouping_ID],CollectionCostTotal[[#This Row],[Grouping_ID]],CustCntSrcs[Sector_ID],CollectionCostTotal[[#This Row],[Sector_ID]])</f>
        <v>0.26100000000000001</v>
      </c>
      <c r="O162" s="160">
        <f>CollectionCostTotal[[#This Row],[Population]]*CollectionCostTotal[[#This Row],[Pct. Customers/Pop]]</f>
        <v>0</v>
      </c>
      <c r="P162" s="16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62" s="161">
        <f>CollectionCostTotal[[#This Row],[Customers]]*INDEX(LaborCostPerLift[Annual_Labor_Cost_Per_Customer],MATCH(CollectionCostTotal[[#This Row],[Collection_ID]],LaborCostPerLift[Collection_ID],0))*(IF(CollectionCostTotal[[#This Row],[Year]]=2025,SUMIFS(CustCntSrcs[Number],CustCntSrcs[Source_ID],$Q$33),1))</f>
        <v>0</v>
      </c>
      <c r="R162" s="16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62" s="16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62" s="16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62" s="161">
        <f>CollectionCostTotal[[#This Row],[Customers]]*INDEX(ContainerMarginAdmin[Annual_Admin_Per_Customer],MATCH(CollectionCostTotal[[#This Row],[Collection_ID]],ContainerMarginAdmin[Collection_ID],0))*(IF(CollectionCostTotal[[#This Row],[Year]]=2025,SUMIFS(CustCntSrcs[Number],CustCntSrcs[Source_ID],$U$33),1))</f>
        <v>0</v>
      </c>
      <c r="V162" s="161">
        <f>(SUMIFS(CustCntSrcs[Number],CustCntSrcs[Source_ID],$V$33)/(1-SUMIFS(CustCntSrcs[Number],CustCntSrcs[Source_ID],$V$33)))*SUM(CollectionCostTotal[[#This Row],[Collection_Labor]],CollectionCostTotal[[#This Row],[Annual_Container_Cost]],CollectionCostTotal[[#This Row],[Collection_Ops]])</f>
        <v>0</v>
      </c>
      <c r="W162" s="129">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63" spans="2:23" ht="15" x14ac:dyDescent="0.25">
      <c r="B163" s="209" t="str">
        <f>CollectionCostTotal[[#This Row],[Grouping_ID]]&amp;"-"&amp;CollectionCostTotal[[#This Row],[Sector_ID]]&amp;"-"&amp;CollectionCostTotal[[#This Row],[Frequency_ID]]&amp;"-"&amp;CollectionCostTotal[[#This Row],[SS_or_DS]]</f>
        <v>1-2-V-SS</v>
      </c>
      <c r="C163" s="209" t="str">
        <f>CollectionCostTotal[[#This Row],[Grouping_ID]]&amp;"-"&amp;CollectionCostTotal[[#This Row],[Sector_ID]]&amp;"-"&amp;CollectionCostTotal[[#This Row],[SS_or_DS]]</f>
        <v>1-2-SS</v>
      </c>
      <c r="D163" s="35">
        <v>1</v>
      </c>
      <c r="E163" s="24" t="str">
        <f>INDEX(Grouping[Grouping_Name],MATCH(CollectionCostTotal[[#This Row],[Grouping_ID]],Grouping[Grouping_ID],0))</f>
        <v>1 - Metro area</v>
      </c>
      <c r="F163" s="35">
        <v>2</v>
      </c>
      <c r="G163" s="24" t="str">
        <f>INDEX(Sector[Sector_Name],MATCH(CollectionCostTotal[[#This Row],[Sector_ID]],Sector[Sector_ID],0))</f>
        <v>MF Res. (on-route)</v>
      </c>
      <c r="H163" s="24" t="s">
        <v>873</v>
      </c>
      <c r="I163" s="289" t="s">
        <v>806</v>
      </c>
      <c r="J163" s="35" t="s">
        <v>91</v>
      </c>
      <c r="K163" s="24" t="str">
        <f>INDEX(Frequency[Collection_Frequency],MATCH(CollectionCostTotal[[#This Row],[Frequency_ID]],Frequency[Orig_Frequency_ID],0)+(CollectionCostTotal[[#This Row],[SS_or_DS]]="DS")*COUNTA(Frequency[Orig_Frequency_ID])/2)</f>
        <v>Varies by customer need</v>
      </c>
      <c r="L163" s="35">
        <v>2018</v>
      </c>
      <c r="M16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163" s="99">
        <f>SUMIFS(CustCntSrcs[Number],CustCntSrcs[Grouping_ID],CollectionCostTotal[[#This Row],[Grouping_ID]],CustCntSrcs[Sector_ID],CollectionCostTotal[[#This Row],[Sector_ID]])</f>
        <v>4.0829601659520629E-3</v>
      </c>
      <c r="O163" s="100">
        <f>CollectionCostTotal[[#This Row],[Population]]*CollectionCostTotal[[#This Row],[Pct. Customers/Pop]]</f>
        <v>6651.3217605832124</v>
      </c>
      <c r="P16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6651.3217605832124</v>
      </c>
      <c r="Q163" s="101">
        <f>CollectionCostTotal[[#This Row],[Customers]]*INDEX(LaborCostPerLift[Annual_Labor_Cost_Per_Customer],MATCH(CollectionCostTotal[[#This Row],[Collection_ID]],LaborCostPerLift[Collection_ID],0))*(IF(CollectionCostTotal[[#This Row],[Year]]=2025,SUMIFS(CustCntSrcs[Number],CustCntSrcs[Source_ID],$Q$33),1))</f>
        <v>2490954.355166534</v>
      </c>
      <c r="R16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81431.471111412888</v>
      </c>
      <c r="S16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544981.08480045199</v>
      </c>
      <c r="T16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1412417.2705413522</v>
      </c>
      <c r="U163" s="101">
        <f>CollectionCostTotal[[#This Row],[Customers]]*INDEX(ContainerMarginAdmin[Annual_Admin_Per_Customer],MATCH(CollectionCostTotal[[#This Row],[Collection_ID]],ContainerMarginAdmin[Collection_ID],0))*(IF(CollectionCostTotal[[#This Row],[Year]]=2025,SUMIFS(CustCntSrcs[Number],CustCntSrcs[Source_ID],$U$33),1))</f>
        <v>1352078.178873406</v>
      </c>
      <c r="V163" s="101">
        <f>(SUMIFS(CustCntSrcs[Number],CustCntSrcs[Source_ID],$V$33)/(1-SUMIFS(CustCntSrcs[Number],CustCntSrcs[Source_ID],$V$33)))*SUM(CollectionCostTotal[[#This Row],[Collection_Labor]],CollectionCostTotal[[#This Row],[Annual_Container_Cost]],CollectionCostTotal[[#This Row],[Collection_Ops]])</f>
        <v>703200.54649752344</v>
      </c>
      <c r="W16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6591714.2287512636</v>
      </c>
    </row>
    <row r="164" spans="2:23" ht="15" x14ac:dyDescent="0.25">
      <c r="B164" s="209" t="str">
        <f>CollectionCostTotal[[#This Row],[Grouping_ID]]&amp;"-"&amp;CollectionCostTotal[[#This Row],[Sector_ID]]&amp;"-"&amp;CollectionCostTotal[[#This Row],[Frequency_ID]]&amp;"-"&amp;CollectionCostTotal[[#This Row],[SS_or_DS]]</f>
        <v>1-3-V-SS</v>
      </c>
      <c r="C164" s="209" t="str">
        <f>CollectionCostTotal[[#This Row],[Grouping_ID]]&amp;"-"&amp;CollectionCostTotal[[#This Row],[Sector_ID]]&amp;"-"&amp;CollectionCostTotal[[#This Row],[SS_or_DS]]</f>
        <v>1-3-SS</v>
      </c>
      <c r="D164" s="35">
        <v>1</v>
      </c>
      <c r="E164" s="24" t="str">
        <f>INDEX(Grouping[Grouping_Name],MATCH(CollectionCostTotal[[#This Row],[Grouping_ID]],Grouping[Grouping_ID],0))</f>
        <v>1 - Metro area</v>
      </c>
      <c r="F164" s="35">
        <v>3</v>
      </c>
      <c r="G164" s="24" t="str">
        <f>INDEX(Sector[Sector_Name],MATCH(CollectionCostTotal[[#This Row],[Sector_ID]],Sector[Sector_ID],0))</f>
        <v>Commercial (on-route)</v>
      </c>
      <c r="H164" s="24" t="s">
        <v>873</v>
      </c>
      <c r="I164" s="289" t="s">
        <v>806</v>
      </c>
      <c r="J164" s="35" t="s">
        <v>91</v>
      </c>
      <c r="K164" s="24" t="str">
        <f>INDEX(Frequency[Collection_Frequency],MATCH(CollectionCostTotal[[#This Row],[Frequency_ID]],Frequency[Orig_Frequency_ID],0)+(CollectionCostTotal[[#This Row],[SS_or_DS]]="DS")*COUNTA(Frequency[Orig_Frequency_ID])/2)</f>
        <v>Varies by customer need</v>
      </c>
      <c r="L164" s="35">
        <v>2018</v>
      </c>
      <c r="M16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1629044</v>
      </c>
      <c r="N164" s="99">
        <f>SUMIFS(CustCntSrcs[Number],CustCntSrcs[Grouping_ID],CollectionCostTotal[[#This Row],[Grouping_ID]],CustCntSrcs[Sector_ID],CollectionCostTotal[[#This Row],[Sector_ID]])</f>
        <v>2.0077661123032196E-2</v>
      </c>
      <c r="O164" s="100">
        <f>CollectionCostTotal[[#This Row],[Population]]*CollectionCostTotal[[#This Row],[Pct. Customers/Pop]]</f>
        <v>32707.393386508858</v>
      </c>
      <c r="P16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32707.393386508858</v>
      </c>
      <c r="Q164" s="101">
        <f>CollectionCostTotal[[#This Row],[Customers]]*INDEX(LaborCostPerLift[Annual_Labor_Cost_Per_Customer],MATCH(CollectionCostTotal[[#This Row],[Collection_ID]],LaborCostPerLift[Collection_ID],0))*(IF(CollectionCostTotal[[#This Row],[Year]]=2025,SUMIFS(CustCntSrcs[Number],CustCntSrcs[Source_ID],$Q$33),1))</f>
        <v>12249087.765545944</v>
      </c>
      <c r="R16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400433.36581112491</v>
      </c>
      <c r="S16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2679905.042995811</v>
      </c>
      <c r="T16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6945459.7080632653</v>
      </c>
      <c r="U164" s="101">
        <f>CollectionCostTotal[[#This Row],[Customers]]*INDEX(ContainerMarginAdmin[Annual_Admin_Per_Customer],MATCH(CollectionCostTotal[[#This Row],[Collection_ID]],ContainerMarginAdmin[Collection_ID],0))*(IF(CollectionCostTotal[[#This Row],[Year]]=2025,SUMIFS(CustCntSrcs[Number],CustCntSrcs[Source_ID],$U$33),1))</f>
        <v>6648746.5916623091</v>
      </c>
      <c r="V164" s="101">
        <f>(SUMIFS(CustCntSrcs[Number],CustCntSrcs[Source_ID],$V$33)/(1-SUMIFS(CustCntSrcs[Number],CustCntSrcs[Source_ID],$V$33)))*SUM(CollectionCostTotal[[#This Row],[Collection_Labor]],CollectionCostTotal[[#This Row],[Annual_Container_Cost]],CollectionCostTotal[[#This Row],[Collection_Ops]])</f>
        <v>3457937.795191824</v>
      </c>
      <c r="W16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32414277.662656788</v>
      </c>
    </row>
    <row r="165" spans="2:23" ht="15" x14ac:dyDescent="0.25">
      <c r="B165" s="209" t="str">
        <f>CollectionCostTotal[[#This Row],[Grouping_ID]]&amp;"-"&amp;CollectionCostTotal[[#This Row],[Sector_ID]]&amp;"-"&amp;CollectionCostTotal[[#This Row],[Frequency_ID]]&amp;"-"&amp;CollectionCostTotal[[#This Row],[SS_or_DS]]</f>
        <v>2-2-V-SS</v>
      </c>
      <c r="C165" s="209" t="str">
        <f>CollectionCostTotal[[#This Row],[Grouping_ID]]&amp;"-"&amp;CollectionCostTotal[[#This Row],[Sector_ID]]&amp;"-"&amp;CollectionCostTotal[[#This Row],[SS_or_DS]]</f>
        <v>2-2-SS</v>
      </c>
      <c r="D165" s="35">
        <v>2</v>
      </c>
      <c r="E165" s="24" t="str">
        <f>INDEX(Grouping[Grouping_Name],MATCH(CollectionCostTotal[[#This Row],[Grouping_ID]],Grouping[Grouping_ID],0))</f>
        <v>2 - Willamette Valley, etc.</v>
      </c>
      <c r="F165" s="35">
        <v>2</v>
      </c>
      <c r="G165" s="24" t="str">
        <f>INDEX(Sector[Sector_Name],MATCH(CollectionCostTotal[[#This Row],[Sector_ID]],Sector[Sector_ID],0))</f>
        <v>MF Res. (on-route)</v>
      </c>
      <c r="H165" s="24" t="s">
        <v>873</v>
      </c>
      <c r="I165" s="289" t="s">
        <v>806</v>
      </c>
      <c r="J165" s="35" t="s">
        <v>91</v>
      </c>
      <c r="K165" s="24" t="str">
        <f>INDEX(Frequency[Collection_Frequency],MATCH(CollectionCostTotal[[#This Row],[Frequency_ID]],Frequency[Orig_Frequency_ID],0)+(CollectionCostTotal[[#This Row],[SS_or_DS]]="DS")*COUNTA(Frequency[Orig_Frequency_ID])/2)</f>
        <v>Varies by customer need</v>
      </c>
      <c r="L165" s="35">
        <v>2018</v>
      </c>
      <c r="M16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65" s="99">
        <f>SUMIFS(CustCntSrcs[Number],CustCntSrcs[Grouping_ID],CollectionCostTotal[[#This Row],[Grouping_ID]],CustCntSrcs[Sector_ID],CollectionCostTotal[[#This Row],[Sector_ID]])</f>
        <v>6.0000000000000001E-3</v>
      </c>
      <c r="O165" s="100">
        <f>CollectionCostTotal[[#This Row],[Population]]*CollectionCostTotal[[#This Row],[Pct. Customers/Pop]]</f>
        <v>8505.7620000000006</v>
      </c>
      <c r="P16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8505.7620000000006</v>
      </c>
      <c r="Q165" s="101">
        <f>CollectionCostTotal[[#This Row],[Customers]]*INDEX(LaborCostPerLift[Annual_Labor_Cost_Per_Customer],MATCH(CollectionCostTotal[[#This Row],[Collection_ID]],LaborCostPerLift[Collection_ID],0))*(IF(CollectionCostTotal[[#This Row],[Year]]=2025,SUMIFS(CustCntSrcs[Number],CustCntSrcs[Source_ID],$Q$33),1))</f>
        <v>2484428.6575199128</v>
      </c>
      <c r="R16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67026.257888873792</v>
      </c>
      <c r="S16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233114.19850566992</v>
      </c>
      <c r="T16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1469841.5193819131</v>
      </c>
      <c r="U165" s="101">
        <f>CollectionCostTotal[[#This Row],[Customers]]*INDEX(ContainerMarginAdmin[Annual_Admin_Per_Customer],MATCH(CollectionCostTotal[[#This Row],[Collection_ID]],ContainerMarginAdmin[Collection_ID],0))*(IF(CollectionCostTotal[[#This Row],[Year]]=2025,SUMIFS(CustCntSrcs[Number],CustCntSrcs[Source_ID],$U$33),1))</f>
        <v>1055350.2266511016</v>
      </c>
      <c r="V165" s="101">
        <f>(SUMIFS(CustCntSrcs[Number],CustCntSrcs[Source_ID],$V$33)/(1-SUMIFS(CustCntSrcs[Number],CustCntSrcs[Source_ID],$V$33)))*SUM(CollectionCostTotal[[#This Row],[Collection_Labor]],CollectionCostTotal[[#This Row],[Annual_Container_Cost]],CollectionCostTotal[[#This Row],[Collection_Ops]])</f>
        <v>709640.54731600592</v>
      </c>
      <c r="W16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6027907.1692634765</v>
      </c>
    </row>
    <row r="166" spans="2:23" ht="15" x14ac:dyDescent="0.25">
      <c r="B166" s="209" t="str">
        <f>CollectionCostTotal[[#This Row],[Grouping_ID]]&amp;"-"&amp;CollectionCostTotal[[#This Row],[Sector_ID]]&amp;"-"&amp;CollectionCostTotal[[#This Row],[Frequency_ID]]&amp;"-"&amp;CollectionCostTotal[[#This Row],[SS_or_DS]]</f>
        <v>2-3-V-SS</v>
      </c>
      <c r="C166" s="209" t="str">
        <f>CollectionCostTotal[[#This Row],[Grouping_ID]]&amp;"-"&amp;CollectionCostTotal[[#This Row],[Sector_ID]]&amp;"-"&amp;CollectionCostTotal[[#This Row],[SS_or_DS]]</f>
        <v>2-3-SS</v>
      </c>
      <c r="D166" s="35">
        <v>2</v>
      </c>
      <c r="E166" s="24" t="str">
        <f>INDEX(Grouping[Grouping_Name],MATCH(CollectionCostTotal[[#This Row],[Grouping_ID]],Grouping[Grouping_ID],0))</f>
        <v>2 - Willamette Valley, etc.</v>
      </c>
      <c r="F166" s="35">
        <v>3</v>
      </c>
      <c r="G166" s="24" t="str">
        <f>INDEX(Sector[Sector_Name],MATCH(CollectionCostTotal[[#This Row],[Sector_ID]],Sector[Sector_ID],0))</f>
        <v>Commercial (on-route)</v>
      </c>
      <c r="H166" s="24" t="s">
        <v>873</v>
      </c>
      <c r="I166" s="289" t="s">
        <v>806</v>
      </c>
      <c r="J166" s="35" t="s">
        <v>91</v>
      </c>
      <c r="K166" s="24" t="str">
        <f>INDEX(Frequency[Collection_Frequency],MATCH(CollectionCostTotal[[#This Row],[Frequency_ID]],Frequency[Orig_Frequency_ID],0)+(CollectionCostTotal[[#This Row],[SS_or_DS]]="DS")*COUNTA(Frequency[Orig_Frequency_ID])/2)</f>
        <v>Varies by customer need</v>
      </c>
      <c r="L166" s="35">
        <v>2018</v>
      </c>
      <c r="M16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1417627</v>
      </c>
      <c r="N166" s="99">
        <f>SUMIFS(CustCntSrcs[Number],CustCntSrcs[Grouping_ID],CollectionCostTotal[[#This Row],[Grouping_ID]],CustCntSrcs[Sector_ID],CollectionCostTotal[[#This Row],[Sector_ID]])</f>
        <v>1.5699999999999999E-2</v>
      </c>
      <c r="O166" s="100">
        <f>CollectionCostTotal[[#This Row],[Population]]*CollectionCostTotal[[#This Row],[Pct. Customers/Pop]]</f>
        <v>22256.743899999998</v>
      </c>
      <c r="P16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22256.743899999998</v>
      </c>
      <c r="Q166" s="101">
        <f>CollectionCostTotal[[#This Row],[Customers]]*INDEX(LaborCostPerLift[Annual_Labor_Cost_Per_Customer],MATCH(CollectionCostTotal[[#This Row],[Collection_ID]],LaborCostPerLift[Collection_ID],0))*(IF(CollectionCostTotal[[#This Row],[Year]]=2025,SUMIFS(CustCntSrcs[Number],CustCntSrcs[Source_ID],$Q$33),1))</f>
        <v>6500921.6538437707</v>
      </c>
      <c r="R16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175385.37480921971</v>
      </c>
      <c r="S16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609982.15275650285</v>
      </c>
      <c r="T16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3846085.3090493386</v>
      </c>
      <c r="U166" s="101">
        <f>CollectionCostTotal[[#This Row],[Customers]]*INDEX(ContainerMarginAdmin[Annual_Admin_Per_Customer],MATCH(CollectionCostTotal[[#This Row],[Collection_ID]],ContainerMarginAdmin[Collection_ID],0))*(IF(CollectionCostTotal[[#This Row],[Year]]=2025,SUMIFS(CustCntSrcs[Number],CustCntSrcs[Source_ID],$U$33),1))</f>
        <v>2761499.7597370488</v>
      </c>
      <c r="V166" s="101">
        <f>(SUMIFS(CustCntSrcs[Number],CustCntSrcs[Source_ID],$V$33)/(1-SUMIFS(CustCntSrcs[Number],CustCntSrcs[Source_ID],$V$33)))*SUM(CollectionCostTotal[[#This Row],[Collection_Labor]],CollectionCostTotal[[#This Row],[Annual_Container_Cost]],CollectionCostTotal[[#This Row],[Collection_Ops]])</f>
        <v>1856892.7654768815</v>
      </c>
      <c r="W16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15773023.759572763</v>
      </c>
    </row>
    <row r="167" spans="2:23" ht="15" x14ac:dyDescent="0.25">
      <c r="B167" s="209" t="str">
        <f>CollectionCostTotal[[#This Row],[Grouping_ID]]&amp;"-"&amp;CollectionCostTotal[[#This Row],[Sector_ID]]&amp;"-"&amp;CollectionCostTotal[[#This Row],[Frequency_ID]]&amp;"-"&amp;CollectionCostTotal[[#This Row],[SS_or_DS]]</f>
        <v>3-2-V-SS</v>
      </c>
      <c r="C167" s="209" t="str">
        <f>CollectionCostTotal[[#This Row],[Grouping_ID]]&amp;"-"&amp;CollectionCostTotal[[#This Row],[Sector_ID]]&amp;"-"&amp;CollectionCostTotal[[#This Row],[SS_or_DS]]</f>
        <v>3-2-SS</v>
      </c>
      <c r="D167" s="35">
        <v>3</v>
      </c>
      <c r="E167" s="24" t="str">
        <f>INDEX(Grouping[Grouping_Name],MATCH(CollectionCostTotal[[#This Row],[Grouping_ID]],Grouping[Grouping_ID],0))</f>
        <v>3 - Other areas with curbside</v>
      </c>
      <c r="F167" s="35">
        <v>2</v>
      </c>
      <c r="G167" s="24" t="str">
        <f>INDEX(Sector[Sector_Name],MATCH(CollectionCostTotal[[#This Row],[Sector_ID]],Sector[Sector_ID],0))</f>
        <v>MF Res. (on-route)</v>
      </c>
      <c r="H167" s="24" t="s">
        <v>873</v>
      </c>
      <c r="I167" s="289" t="s">
        <v>806</v>
      </c>
      <c r="J167" s="35" t="s">
        <v>91</v>
      </c>
      <c r="K167" s="24" t="str">
        <f>INDEX(Frequency[Collection_Frequency],MATCH(CollectionCostTotal[[#This Row],[Frequency_ID]],Frequency[Orig_Frequency_ID],0)+(CollectionCostTotal[[#This Row],[SS_or_DS]]="DS")*COUNTA(Frequency[Orig_Frequency_ID])/2)</f>
        <v>Varies by customer need</v>
      </c>
      <c r="L167" s="35">
        <v>2018</v>
      </c>
      <c r="M16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67" s="99">
        <f>SUMIFS(CustCntSrcs[Number],CustCntSrcs[Grouping_ID],CollectionCostTotal[[#This Row],[Grouping_ID]],CustCntSrcs[Sector_ID],CollectionCostTotal[[#This Row],[Sector_ID]])</f>
        <v>2.5000000000000001E-3</v>
      </c>
      <c r="O167" s="100">
        <f>CollectionCostTotal[[#This Row],[Population]]*CollectionCostTotal[[#This Row],[Pct. Customers/Pop]]</f>
        <v>1346.3175000000001</v>
      </c>
      <c r="P16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1346.3175000000001</v>
      </c>
      <c r="Q167" s="101">
        <f>CollectionCostTotal[[#This Row],[Customers]]*INDEX(LaborCostPerLift[Annual_Labor_Cost_Per_Customer],MATCH(CollectionCostTotal[[#This Row],[Collection_ID]],LaborCostPerLift[Collection_ID],0))*(IF(CollectionCostTotal[[#This Row],[Year]]=2025,SUMIFS(CustCntSrcs[Number],CustCntSrcs[Source_ID],$Q$33),1))</f>
        <v>517311.5653175824</v>
      </c>
      <c r="R16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26582.315506326533</v>
      </c>
      <c r="S16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59722.625982755104</v>
      </c>
      <c r="T16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278723.18468612252</v>
      </c>
      <c r="U167" s="101">
        <f>CollectionCostTotal[[#This Row],[Customers]]*INDEX(ContainerMarginAdmin[Annual_Admin_Per_Customer],MATCH(CollectionCostTotal[[#This Row],[Collection_ID]],ContainerMarginAdmin[Collection_ID],0))*(IF(CollectionCostTotal[[#This Row],[Year]]=2025,SUMIFS(CustCntSrcs[Number],CustCntSrcs[Source_ID],$U$33),1))</f>
        <v>248380.4336745117</v>
      </c>
      <c r="V167" s="101">
        <f>(SUMIFS(CustCntSrcs[Number],CustCntSrcs[Source_ID],$V$33)/(1-SUMIFS(CustCntSrcs[Number],CustCntSrcs[Source_ID],$V$33)))*SUM(CollectionCostTotal[[#This Row],[Collection_Labor]],CollectionCostTotal[[#This Row],[Annual_Container_Cost]],CollectionCostTotal[[#This Row],[Collection_Ops]])</f>
        <v>145167.71744294674</v>
      </c>
      <c r="W16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1277234.160110245</v>
      </c>
    </row>
    <row r="168" spans="2:23" ht="15" x14ac:dyDescent="0.25">
      <c r="B168" s="209" t="str">
        <f>CollectionCostTotal[[#This Row],[Grouping_ID]]&amp;"-"&amp;CollectionCostTotal[[#This Row],[Sector_ID]]&amp;"-"&amp;CollectionCostTotal[[#This Row],[Frequency_ID]]&amp;"-"&amp;CollectionCostTotal[[#This Row],[SS_or_DS]]</f>
        <v>3-3-V-SS</v>
      </c>
      <c r="C168" s="209" t="str">
        <f>CollectionCostTotal[[#This Row],[Grouping_ID]]&amp;"-"&amp;CollectionCostTotal[[#This Row],[Sector_ID]]&amp;"-"&amp;CollectionCostTotal[[#This Row],[SS_or_DS]]</f>
        <v>3-3-SS</v>
      </c>
      <c r="D168" s="35">
        <v>3</v>
      </c>
      <c r="E168" s="24" t="str">
        <f>INDEX(Grouping[Grouping_Name],MATCH(CollectionCostTotal[[#This Row],[Grouping_ID]],Grouping[Grouping_ID],0))</f>
        <v>3 - Other areas with curbside</v>
      </c>
      <c r="F168" s="35">
        <v>3</v>
      </c>
      <c r="G168" s="24" t="str">
        <f>INDEX(Sector[Sector_Name],MATCH(CollectionCostTotal[[#This Row],[Sector_ID]],Sector[Sector_ID],0))</f>
        <v>Commercial (on-route)</v>
      </c>
      <c r="H168" s="24" t="s">
        <v>873</v>
      </c>
      <c r="I168" s="289" t="s">
        <v>806</v>
      </c>
      <c r="J168" s="35" t="s">
        <v>91</v>
      </c>
      <c r="K168" s="24" t="str">
        <f>INDEX(Frequency[Collection_Frequency],MATCH(CollectionCostTotal[[#This Row],[Frequency_ID]],Frequency[Orig_Frequency_ID],0)+(CollectionCostTotal[[#This Row],[SS_or_DS]]="DS")*COUNTA(Frequency[Orig_Frequency_ID])/2)</f>
        <v>Varies by customer need</v>
      </c>
      <c r="L168" s="35">
        <v>2018</v>
      </c>
      <c r="M16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538527</v>
      </c>
      <c r="N168" s="99">
        <f>SUMIFS(CustCntSrcs[Number],CustCntSrcs[Grouping_ID],CollectionCostTotal[[#This Row],[Grouping_ID]],CustCntSrcs[Sector_ID],CollectionCostTotal[[#This Row],[Sector_ID]])</f>
        <v>1.5900000000000001E-2</v>
      </c>
      <c r="O168" s="100">
        <f>CollectionCostTotal[[#This Row],[Population]]*CollectionCostTotal[[#This Row],[Pct. Customers/Pop]]</f>
        <v>8562.5793000000012</v>
      </c>
      <c r="P16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8562.5793000000012</v>
      </c>
      <c r="Q168" s="101">
        <f>CollectionCostTotal[[#This Row],[Customers]]*INDEX(LaborCostPerLift[Annual_Labor_Cost_Per_Customer],MATCH(CollectionCostTotal[[#This Row],[Collection_ID]],LaborCostPerLift[Collection_ID],0))*(IF(CollectionCostTotal[[#This Row],[Year]]=2025,SUMIFS(CustCntSrcs[Number],CustCntSrcs[Source_ID],$Q$33),1))</f>
        <v>3290101.5554198241</v>
      </c>
      <c r="R16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169063.52662023678</v>
      </c>
      <c r="S16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379835.90125032252</v>
      </c>
      <c r="T16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1772679.4546037393</v>
      </c>
      <c r="U168" s="101">
        <f>CollectionCostTotal[[#This Row],[Customers]]*INDEX(ContainerMarginAdmin[Annual_Admin_Per_Customer],MATCH(CollectionCostTotal[[#This Row],[Collection_ID]],ContainerMarginAdmin[Collection_ID],0))*(IF(CollectionCostTotal[[#This Row],[Year]]=2025,SUMIFS(CustCntSrcs[Number],CustCntSrcs[Source_ID],$U$33),1))</f>
        <v>1579699.5581698946</v>
      </c>
      <c r="V168" s="101">
        <f>(SUMIFS(CustCntSrcs[Number],CustCntSrcs[Source_ID],$V$33)/(1-SUMIFS(CustCntSrcs[Number],CustCntSrcs[Source_ID],$V$33)))*SUM(CollectionCostTotal[[#This Row],[Collection_Labor]],CollectionCostTotal[[#This Row],[Annual_Container_Cost]],CollectionCostTotal[[#This Row],[Collection_Ops]])</f>
        <v>923266.68293714128</v>
      </c>
      <c r="W16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8123209.2583011584</v>
      </c>
    </row>
    <row r="169" spans="2:23" ht="15" x14ac:dyDescent="0.25">
      <c r="B169" s="209" t="str">
        <f>CollectionCostTotal[[#This Row],[Grouping_ID]]&amp;"-"&amp;CollectionCostTotal[[#This Row],[Sector_ID]]&amp;"-"&amp;CollectionCostTotal[[#This Row],[Frequency_ID]]&amp;"-"&amp;CollectionCostTotal[[#This Row],[SS_or_DS]]</f>
        <v>1-1-W-SS</v>
      </c>
      <c r="C169" s="209" t="str">
        <f>CollectionCostTotal[[#This Row],[Grouping_ID]]&amp;"-"&amp;CollectionCostTotal[[#This Row],[Sector_ID]]&amp;"-"&amp;CollectionCostTotal[[#This Row],[SS_or_DS]]</f>
        <v>1-1-SS</v>
      </c>
      <c r="D169" s="35">
        <v>1</v>
      </c>
      <c r="E169" s="24" t="str">
        <f>INDEX(Grouping[Grouping_Name],MATCH(CollectionCostTotal[[#This Row],[Grouping_ID]],Grouping[Grouping_ID],0))</f>
        <v>1 - Metro area</v>
      </c>
      <c r="F169" s="35">
        <v>1</v>
      </c>
      <c r="G169" s="24" t="str">
        <f>INDEX(Sector[Sector_Name],MATCH(CollectionCostTotal[[#This Row],[Sector_ID]],Sector[Sector_ID],0))</f>
        <v>SF Res. (on-route)</v>
      </c>
      <c r="H169" s="24" t="s">
        <v>873</v>
      </c>
      <c r="I169" s="289" t="s">
        <v>806</v>
      </c>
      <c r="J169" s="35" t="s">
        <v>64</v>
      </c>
      <c r="K169" s="24" t="str">
        <f>INDEX(Frequency[Collection_Frequency],MATCH(CollectionCostTotal[[#This Row],[Frequency_ID]],Frequency[Orig_Frequency_ID],0)+(CollectionCostTotal[[#This Row],[SS_or_DS]]="DS")*COUNTA(Frequency[Orig_Frequency_ID])/2)</f>
        <v>Weekly</v>
      </c>
      <c r="L169" s="35">
        <v>2018</v>
      </c>
      <c r="M16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1283440</v>
      </c>
      <c r="N169" s="99">
        <f>SUMIFS(CustCntSrcs[Number],CustCntSrcs[Grouping_ID],CollectionCostTotal[[#This Row],[Grouping_ID]],CustCntSrcs[Sector_ID],CollectionCostTotal[[#This Row],[Sector_ID]])</f>
        <v>0.26339829285649385</v>
      </c>
      <c r="O169" s="100">
        <f>CollectionCostTotal[[#This Row],[Population]]*CollectionCostTotal[[#This Row],[Pct. Customers/Pop]]</f>
        <v>338055.9049837385</v>
      </c>
      <c r="P16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338055.9049837385</v>
      </c>
      <c r="Q169" s="101">
        <f>CollectionCostTotal[[#This Row],[Customers]]*INDEX(LaborCostPerLift[Annual_Labor_Cost_Per_Customer],MATCH(CollectionCostTotal[[#This Row],[Collection_ID]],LaborCostPerLift[Collection_ID],0))*(IF(CollectionCostTotal[[#This Row],[Year]]=2025,SUMIFS(CustCntSrcs[Number],CustCntSrcs[Source_ID],$Q$33),1))</f>
        <v>11847984.666517725</v>
      </c>
      <c r="R16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680427.7533439151</v>
      </c>
      <c r="S16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3581094.782715695</v>
      </c>
      <c r="T16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4899111.4154808819</v>
      </c>
      <c r="U169" s="101">
        <f>CollectionCostTotal[[#This Row],[Customers]]*INDEX(ContainerMarginAdmin[Annual_Admin_Per_Customer],MATCH(CollectionCostTotal[[#This Row],[Collection_ID]],ContainerMarginAdmin[Collection_ID],0))*(IF(CollectionCostTotal[[#This Row],[Year]]=2025,SUMIFS(CustCntSrcs[Number],CustCntSrcs[Source_ID],$U$33),1))</f>
        <v>4733849.20131269</v>
      </c>
      <c r="V169" s="101">
        <f>(SUMIFS(CustCntSrcs[Number],CustCntSrcs[Source_ID],$V$33)/(1-SUMIFS(CustCntSrcs[Number],CustCntSrcs[Source_ID],$V$33)))*SUM(CollectionCostTotal[[#This Row],[Collection_Labor]],CollectionCostTotal[[#This Row],[Annual_Container_Cost]],CollectionCostTotal[[#This Row],[Collection_Ops]])</f>
        <v>3075445.3827075041</v>
      </c>
      <c r="W16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29155969.10706215</v>
      </c>
    </row>
    <row r="170" spans="2:23" ht="15" x14ac:dyDescent="0.25">
      <c r="B170" s="209" t="str">
        <f>CollectionCostTotal[[#This Row],[Grouping_ID]]&amp;"-"&amp;CollectionCostTotal[[#This Row],[Sector_ID]]&amp;"-"&amp;CollectionCostTotal[[#This Row],[Frequency_ID]]&amp;"-"&amp;CollectionCostTotal[[#This Row],[SS_or_DS]]</f>
        <v>1-1-E-SS</v>
      </c>
      <c r="C170" s="209" t="str">
        <f>CollectionCostTotal[[#This Row],[Grouping_ID]]&amp;"-"&amp;CollectionCostTotal[[#This Row],[Sector_ID]]&amp;"-"&amp;CollectionCostTotal[[#This Row],[SS_or_DS]]</f>
        <v>1-1-SS</v>
      </c>
      <c r="D170" s="35">
        <v>1</v>
      </c>
      <c r="E170" s="24" t="str">
        <f>INDEX(Grouping[Grouping_Name],MATCH(CollectionCostTotal[[#This Row],[Grouping_ID]],Grouping[Grouping_ID],0))</f>
        <v>1 - Metro area</v>
      </c>
      <c r="F170" s="35">
        <v>1</v>
      </c>
      <c r="G170" s="24" t="str">
        <f>INDEX(Sector[Sector_Name],MATCH(CollectionCostTotal[[#This Row],[Sector_ID]],Sector[Sector_ID],0))</f>
        <v>SF Res. (on-route)</v>
      </c>
      <c r="H170" s="24" t="s">
        <v>873</v>
      </c>
      <c r="I170" s="289" t="s">
        <v>806</v>
      </c>
      <c r="J170" s="35" t="s">
        <v>53</v>
      </c>
      <c r="K170" s="24" t="str">
        <f>INDEX(Frequency[Collection_Frequency],MATCH(CollectionCostTotal[[#This Row],[Frequency_ID]],Frequency[Orig_Frequency_ID],0)+(CollectionCostTotal[[#This Row],[SS_or_DS]]="DS")*COUNTA(Frequency[Orig_Frequency_ID])/2)</f>
        <v>Every other week</v>
      </c>
      <c r="L170" s="35">
        <v>2018</v>
      </c>
      <c r="M17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345604</v>
      </c>
      <c r="N170" s="99">
        <f>SUMIFS(CustCntSrcs[Number],CustCntSrcs[Grouping_ID],CollectionCostTotal[[#This Row],[Grouping_ID]],CustCntSrcs[Sector_ID],CollectionCostTotal[[#This Row],[Sector_ID]])</f>
        <v>0.26339829285649385</v>
      </c>
      <c r="O170" s="100">
        <f>CollectionCostTotal[[#This Row],[Population]]*CollectionCostTotal[[#This Row],[Pct. Customers/Pop]]</f>
        <v>91031.503604375699</v>
      </c>
      <c r="P17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91031.503604375699</v>
      </c>
      <c r="Q170" s="101">
        <f>CollectionCostTotal[[#This Row],[Customers]]*INDEX(LaborCostPerLift[Annual_Labor_Cost_Per_Customer],MATCH(CollectionCostTotal[[#This Row],[Collection_ID]],LaborCostPerLift[Collection_ID],0))*(IF(CollectionCostTotal[[#This Row],[Year]]=2025,SUMIFS(CustCntSrcs[Number],CustCntSrcs[Source_ID],$Q$33),1))</f>
        <v>2387968.0110342316</v>
      </c>
      <c r="R17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210901.19683947865</v>
      </c>
      <c r="S17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411651.82495639846</v>
      </c>
      <c r="T17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1165793.0456836959</v>
      </c>
      <c r="U170" s="101">
        <f>CollectionCostTotal[[#This Row],[Customers]]*INDEX(ContainerMarginAdmin[Annual_Admin_Per_Customer],MATCH(CollectionCostTotal[[#This Row],[Collection_ID]],ContainerMarginAdmin[Collection_ID],0))*(IF(CollectionCostTotal[[#This Row],[Year]]=2025,SUMIFS(CustCntSrcs[Number],CustCntSrcs[Source_ID],$U$33),1))</f>
        <v>906748.5115337685</v>
      </c>
      <c r="V170" s="101">
        <f>(SUMIFS(CustCntSrcs[Number],CustCntSrcs[Source_ID],$V$33)/(1-SUMIFS(CustCntSrcs[Number],CustCntSrcs[Source_ID],$V$33)))*SUM(CollectionCostTotal[[#This Row],[Collection_Labor]],CollectionCostTotal[[#This Row],[Annual_Container_Cost]],CollectionCostTotal[[#This Row],[Collection_Ops]])</f>
        <v>664352.16239248356</v>
      </c>
      <c r="W17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5838446.2560444325</v>
      </c>
    </row>
    <row r="171" spans="2:23" ht="15" x14ac:dyDescent="0.25">
      <c r="B171" s="209" t="str">
        <f>CollectionCostTotal[[#This Row],[Grouping_ID]]&amp;"-"&amp;CollectionCostTotal[[#This Row],[Sector_ID]]&amp;"-"&amp;CollectionCostTotal[[#This Row],[Frequency_ID]]&amp;"-"&amp;CollectionCostTotal[[#This Row],[SS_or_DS]]</f>
        <v>2-1-W-SS</v>
      </c>
      <c r="C171" s="209" t="str">
        <f>CollectionCostTotal[[#This Row],[Grouping_ID]]&amp;"-"&amp;CollectionCostTotal[[#This Row],[Sector_ID]]&amp;"-"&amp;CollectionCostTotal[[#This Row],[SS_or_DS]]</f>
        <v>2-1-SS</v>
      </c>
      <c r="D171" s="35">
        <v>2</v>
      </c>
      <c r="E171" s="24" t="str">
        <f>INDEX(Grouping[Grouping_Name],MATCH(CollectionCostTotal[[#This Row],[Grouping_ID]],Grouping[Grouping_ID],0))</f>
        <v>2 - Willamette Valley, etc.</v>
      </c>
      <c r="F171" s="35">
        <v>1</v>
      </c>
      <c r="G171" s="24" t="str">
        <f>INDEX(Sector[Sector_Name],MATCH(CollectionCostTotal[[#This Row],[Sector_ID]],Sector[Sector_ID],0))</f>
        <v>SF Res. (on-route)</v>
      </c>
      <c r="H171" s="24" t="s">
        <v>873</v>
      </c>
      <c r="I171" s="289" t="s">
        <v>806</v>
      </c>
      <c r="J171" s="35" t="s">
        <v>64</v>
      </c>
      <c r="K171" s="24" t="str">
        <f>INDEX(Frequency[Collection_Frequency],MATCH(CollectionCostTotal[[#This Row],[Frequency_ID]],Frequency[Orig_Frequency_ID],0)+(CollectionCostTotal[[#This Row],[SS_or_DS]]="DS")*COUNTA(Frequency[Orig_Frequency_ID])/2)</f>
        <v>Weekly</v>
      </c>
      <c r="L171" s="35">
        <v>2018</v>
      </c>
      <c r="M17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342858</v>
      </c>
      <c r="N171" s="99">
        <f>SUMIFS(CustCntSrcs[Number],CustCntSrcs[Grouping_ID],CollectionCostTotal[[#This Row],[Grouping_ID]],CustCntSrcs[Sector_ID],CollectionCostTotal[[#This Row],[Sector_ID]])</f>
        <v>0.25090000000000001</v>
      </c>
      <c r="O171" s="100">
        <f>CollectionCostTotal[[#This Row],[Population]]*CollectionCostTotal[[#This Row],[Pct. Customers/Pop]]</f>
        <v>86023.07220000001</v>
      </c>
      <c r="P17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86023.07220000001</v>
      </c>
      <c r="Q171" s="101">
        <f>CollectionCostTotal[[#This Row],[Customers]]*INDEX(LaborCostPerLift[Annual_Labor_Cost_Per_Customer],MATCH(CollectionCostTotal[[#This Row],[Collection_ID]],LaborCostPerLift[Collection_ID],0))*(IF(CollectionCostTotal[[#This Row],[Year]]=2025,SUMIFS(CustCntSrcs[Number],CustCntSrcs[Source_ID],$Q$33),1))</f>
        <v>2939102.2858636375</v>
      </c>
      <c r="R17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230161.37140289583</v>
      </c>
      <c r="S17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615247.99862648116</v>
      </c>
      <c r="T17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1898791.3813044368</v>
      </c>
      <c r="U171" s="101">
        <f>CollectionCostTotal[[#This Row],[Customers]]*INDEX(ContainerMarginAdmin[Annual_Admin_Per_Customer],MATCH(CollectionCostTotal[[#This Row],[Collection_ID]],ContainerMarginAdmin[Collection_ID],0))*(IF(CollectionCostTotal[[#This Row],[Year]]=2025,SUMIFS(CustCntSrcs[Number],CustCntSrcs[Source_ID],$U$33),1))</f>
        <v>1330369.1964042785</v>
      </c>
      <c r="V171" s="101">
        <f>(SUMIFS(CustCntSrcs[Number],CustCntSrcs[Source_ID],$V$33)/(1-SUMIFS(CustCntSrcs[Number],CustCntSrcs[Source_ID],$V$33)))*SUM(CollectionCostTotal[[#This Row],[Collection_Labor]],CollectionCostTotal[[#This Row],[Annual_Container_Cost]],CollectionCostTotal[[#This Row],[Collection_Ops]])</f>
        <v>894362.65386546543</v>
      </c>
      <c r="W17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7994057.9596671946</v>
      </c>
    </row>
    <row r="172" spans="2:23" ht="15" x14ac:dyDescent="0.25">
      <c r="B172" s="209" t="str">
        <f>CollectionCostTotal[[#This Row],[Grouping_ID]]&amp;"-"&amp;CollectionCostTotal[[#This Row],[Sector_ID]]&amp;"-"&amp;CollectionCostTotal[[#This Row],[Frequency_ID]]&amp;"-"&amp;CollectionCostTotal[[#This Row],[SS_or_DS]]</f>
        <v>2-1-E-SS</v>
      </c>
      <c r="C172" s="209" t="str">
        <f>CollectionCostTotal[[#This Row],[Grouping_ID]]&amp;"-"&amp;CollectionCostTotal[[#This Row],[Sector_ID]]&amp;"-"&amp;CollectionCostTotal[[#This Row],[SS_or_DS]]</f>
        <v>2-1-SS</v>
      </c>
      <c r="D172" s="35">
        <v>2</v>
      </c>
      <c r="E172" s="24" t="str">
        <f>INDEX(Grouping[Grouping_Name],MATCH(CollectionCostTotal[[#This Row],[Grouping_ID]],Grouping[Grouping_ID],0))</f>
        <v>2 - Willamette Valley, etc.</v>
      </c>
      <c r="F172" s="35">
        <v>1</v>
      </c>
      <c r="G172" s="24" t="str">
        <f>INDEX(Sector[Sector_Name],MATCH(CollectionCostTotal[[#This Row],[Sector_ID]],Sector[Sector_ID],0))</f>
        <v>SF Res. (on-route)</v>
      </c>
      <c r="H172" s="24" t="s">
        <v>873</v>
      </c>
      <c r="I172" s="289" t="s">
        <v>806</v>
      </c>
      <c r="J172" s="35" t="s">
        <v>53</v>
      </c>
      <c r="K172" s="24" t="str">
        <f>INDEX(Frequency[Collection_Frequency],MATCH(CollectionCostTotal[[#This Row],[Frequency_ID]],Frequency[Orig_Frequency_ID],0)+(CollectionCostTotal[[#This Row],[SS_or_DS]]="DS")*COUNTA(Frequency[Orig_Frequency_ID])/2)</f>
        <v>Every other week</v>
      </c>
      <c r="L172" s="35">
        <v>2018</v>
      </c>
      <c r="M17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1074769</v>
      </c>
      <c r="N172" s="99">
        <f>SUMIFS(CustCntSrcs[Number],CustCntSrcs[Grouping_ID],CollectionCostTotal[[#This Row],[Grouping_ID]],CustCntSrcs[Sector_ID],CollectionCostTotal[[#This Row],[Sector_ID]])</f>
        <v>0.25090000000000001</v>
      </c>
      <c r="O172" s="100">
        <f>CollectionCostTotal[[#This Row],[Population]]*CollectionCostTotal[[#This Row],[Pct. Customers/Pop]]</f>
        <v>269659.54210000002</v>
      </c>
      <c r="P17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269659.54210000002</v>
      </c>
      <c r="Q172" s="101">
        <f>CollectionCostTotal[[#This Row],[Customers]]*INDEX(LaborCostPerLift[Annual_Labor_Cost_Per_Customer],MATCH(CollectionCostTotal[[#This Row],[Collection_ID]],LaborCostPerLift[Collection_ID],0))*(IF(CollectionCostTotal[[#This Row],[Year]]=2025,SUMIFS(CustCntSrcs[Number],CustCntSrcs[Source_ID],$Q$33),1))</f>
        <v>7148661.7967732456</v>
      </c>
      <c r="R17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532630.14926889539</v>
      </c>
      <c r="S17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1423782.0679829714</v>
      </c>
      <c r="T17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4394106.3206662387</v>
      </c>
      <c r="U172" s="101">
        <f>CollectionCostTotal[[#This Row],[Customers]]*INDEX(ContainerMarginAdmin[Annual_Admin_Per_Customer],MATCH(CollectionCostTotal[[#This Row],[Collection_ID]],ContainerMarginAdmin[Collection_ID],0))*(IF(CollectionCostTotal[[#This Row],[Year]]=2025,SUMIFS(CustCntSrcs[Number],CustCntSrcs[Source_ID],$U$33),1))</f>
        <v>2916391.345942996</v>
      </c>
      <c r="V172" s="101">
        <f>(SUMIFS(CustCntSrcs[Number],CustCntSrcs[Source_ID],$V$33)/(1-SUMIFS(CustCntSrcs[Number],CustCntSrcs[Source_ID],$V$33)))*SUM(CollectionCostTotal[[#This Row],[Collection_Labor]],CollectionCostTotal[[#This Row],[Annual_Container_Cost]],CollectionCostTotal[[#This Row],[Collection_Ops]])</f>
        <v>2130952.6353014787</v>
      </c>
      <c r="W17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18816183.858035825</v>
      </c>
    </row>
    <row r="173" spans="2:23" ht="15" x14ac:dyDescent="0.25">
      <c r="B173" s="209" t="str">
        <f>CollectionCostTotal[[#This Row],[Grouping_ID]]&amp;"-"&amp;CollectionCostTotal[[#This Row],[Sector_ID]]&amp;"-"&amp;CollectionCostTotal[[#This Row],[Frequency_ID]]&amp;"-"&amp;CollectionCostTotal[[#This Row],[SS_or_DS]]</f>
        <v>2-1-U-SS</v>
      </c>
      <c r="C173" s="209" t="str">
        <f>CollectionCostTotal[[#This Row],[Grouping_ID]]&amp;"-"&amp;CollectionCostTotal[[#This Row],[Sector_ID]]&amp;"-"&amp;CollectionCostTotal[[#This Row],[SS_or_DS]]</f>
        <v>2-1-SS</v>
      </c>
      <c r="D173" s="35">
        <v>2</v>
      </c>
      <c r="E173" s="24" t="str">
        <f>INDEX(Grouping[Grouping_Name],MATCH(CollectionCostTotal[[#This Row],[Grouping_ID]],Grouping[Grouping_ID],0))</f>
        <v>2 - Willamette Valley, etc.</v>
      </c>
      <c r="F173" s="35">
        <v>1</v>
      </c>
      <c r="G173" s="24" t="str">
        <f>INDEX(Sector[Sector_Name],MATCH(CollectionCostTotal[[#This Row],[Sector_ID]],Sector[Sector_ID],0))</f>
        <v>SF Res. (on-route)</v>
      </c>
      <c r="H173" s="24" t="s">
        <v>873</v>
      </c>
      <c r="I173" s="289" t="s">
        <v>806</v>
      </c>
      <c r="J173" s="35" t="s">
        <v>65</v>
      </c>
      <c r="K173" s="24" t="str">
        <f>INDEX(Frequency[Collection_Frequency],MATCH(CollectionCostTotal[[#This Row],[Frequency_ID]],Frequency[Orig_Frequency_ID],0)+(CollectionCostTotal[[#This Row],[SS_or_DS]]="DS")*COUNTA(Frequency[Orig_Frequency_ID])/2)</f>
        <v>Uncertain</v>
      </c>
      <c r="L173" s="35">
        <v>2018</v>
      </c>
      <c r="M17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73" s="99">
        <f>SUMIFS(CustCntSrcs[Number],CustCntSrcs[Grouping_ID],CollectionCostTotal[[#This Row],[Grouping_ID]],CustCntSrcs[Sector_ID],CollectionCostTotal[[#This Row],[Sector_ID]])</f>
        <v>0.25090000000000001</v>
      </c>
      <c r="O173" s="100">
        <f>CollectionCostTotal[[#This Row],[Population]]*CollectionCostTotal[[#This Row],[Pct. Customers/Pop]]</f>
        <v>0</v>
      </c>
      <c r="P17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73" s="101">
        <f>CollectionCostTotal[[#This Row],[Customers]]*INDEX(LaborCostPerLift[Annual_Labor_Cost_Per_Customer],MATCH(CollectionCostTotal[[#This Row],[Collection_ID]],LaborCostPerLift[Collection_ID],0))*(IF(CollectionCostTotal[[#This Row],[Year]]=2025,SUMIFS(CustCntSrcs[Number],CustCntSrcs[Source_ID],$Q$33),1))</f>
        <v>0</v>
      </c>
      <c r="R17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7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7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73" s="101">
        <f>CollectionCostTotal[[#This Row],[Customers]]*INDEX(ContainerMarginAdmin[Annual_Admin_Per_Customer],MATCH(CollectionCostTotal[[#This Row],[Collection_ID]],ContainerMarginAdmin[Collection_ID],0))*(IF(CollectionCostTotal[[#This Row],[Year]]=2025,SUMIFS(CustCntSrcs[Number],CustCntSrcs[Source_ID],$U$33),1))</f>
        <v>0</v>
      </c>
      <c r="V173" s="101">
        <f>(SUMIFS(CustCntSrcs[Number],CustCntSrcs[Source_ID],$V$33)/(1-SUMIFS(CustCntSrcs[Number],CustCntSrcs[Source_ID],$V$33)))*SUM(CollectionCostTotal[[#This Row],[Collection_Labor]],CollectionCostTotal[[#This Row],[Annual_Container_Cost]],CollectionCostTotal[[#This Row],[Collection_Ops]])</f>
        <v>0</v>
      </c>
      <c r="W17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74" spans="2:23" ht="15" x14ac:dyDescent="0.25">
      <c r="B174" s="209" t="str">
        <f>CollectionCostTotal[[#This Row],[Grouping_ID]]&amp;"-"&amp;CollectionCostTotal[[#This Row],[Sector_ID]]&amp;"-"&amp;CollectionCostTotal[[#This Row],[Frequency_ID]]&amp;"-"&amp;CollectionCostTotal[[#This Row],[SS_or_DS]]</f>
        <v>3-1-W-SS</v>
      </c>
      <c r="C174" s="209" t="str">
        <f>CollectionCostTotal[[#This Row],[Grouping_ID]]&amp;"-"&amp;CollectionCostTotal[[#This Row],[Sector_ID]]&amp;"-"&amp;CollectionCostTotal[[#This Row],[SS_or_DS]]</f>
        <v>3-1-SS</v>
      </c>
      <c r="D174" s="35">
        <v>3</v>
      </c>
      <c r="E174" s="24" t="str">
        <f>INDEX(Grouping[Grouping_Name],MATCH(CollectionCostTotal[[#This Row],[Grouping_ID]],Grouping[Grouping_ID],0))</f>
        <v>3 - Other areas with curbside</v>
      </c>
      <c r="F174" s="35">
        <v>1</v>
      </c>
      <c r="G174" s="24" t="str">
        <f>INDEX(Sector[Sector_Name],MATCH(CollectionCostTotal[[#This Row],[Sector_ID]],Sector[Sector_ID],0))</f>
        <v>SF Res. (on-route)</v>
      </c>
      <c r="H174" s="24" t="s">
        <v>873</v>
      </c>
      <c r="I174" s="289" t="s">
        <v>806</v>
      </c>
      <c r="J174" s="35" t="s">
        <v>64</v>
      </c>
      <c r="K174" s="24" t="str">
        <f>INDEX(Frequency[Collection_Frequency],MATCH(CollectionCostTotal[[#This Row],[Frequency_ID]],Frequency[Orig_Frequency_ID],0)+(CollectionCostTotal[[#This Row],[SS_or_DS]]="DS")*COUNTA(Frequency[Orig_Frequency_ID])/2)</f>
        <v>Weekly</v>
      </c>
      <c r="L174" s="35">
        <v>2018</v>
      </c>
      <c r="M17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204285</v>
      </c>
      <c r="N174" s="99">
        <f>SUMIFS(CustCntSrcs[Number],CustCntSrcs[Grouping_ID],CollectionCostTotal[[#This Row],[Grouping_ID]],CustCntSrcs[Sector_ID],CollectionCostTotal[[#This Row],[Sector_ID]])</f>
        <v>0.26100000000000001</v>
      </c>
      <c r="O174" s="100">
        <f>CollectionCostTotal[[#This Row],[Population]]*CollectionCostTotal[[#This Row],[Pct. Customers/Pop]]</f>
        <v>53318.385000000002</v>
      </c>
      <c r="P17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53318.385000000002</v>
      </c>
      <c r="Q174" s="101">
        <f>CollectionCostTotal[[#This Row],[Customers]]*INDEX(LaborCostPerLift[Annual_Labor_Cost_Per_Customer],MATCH(CollectionCostTotal[[#This Row],[Collection_ID]],LaborCostPerLift[Collection_ID],0))*(IF(CollectionCostTotal[[#This Row],[Year]]=2025,SUMIFS(CustCntSrcs[Number],CustCntSrcs[Source_ID],$Q$33),1))</f>
        <v>2281159.2935844706</v>
      </c>
      <c r="R17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122994.94941292131</v>
      </c>
      <c r="S17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699271.96616478649</v>
      </c>
      <c r="T17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1491457.1869433869</v>
      </c>
      <c r="U174" s="101">
        <f>CollectionCostTotal[[#This Row],[Customers]]*INDEX(ContainerMarginAdmin[Annual_Admin_Per_Customer],MATCH(CollectionCostTotal[[#This Row],[Collection_ID]],ContainerMarginAdmin[Collection_ID],0))*(IF(CollectionCostTotal[[#This Row],[Year]]=2025,SUMIFS(CustCntSrcs[Number],CustCntSrcs[Source_ID],$U$33),1))</f>
        <v>1107795.8665078226</v>
      </c>
      <c r="V174" s="101">
        <f>(SUMIFS(CustCntSrcs[Number],CustCntSrcs[Source_ID],$V$33)/(1-SUMIFS(CustCntSrcs[Number],CustCntSrcs[Source_ID],$V$33)))*SUM(CollectionCostTotal[[#This Row],[Collection_Labor]],CollectionCostTotal[[#This Row],[Annual_Container_Cost]],CollectionCostTotal[[#This Row],[Collection_Ops]])</f>
        <v>687460.84057778458</v>
      </c>
      <c r="W17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6443458.4881911725</v>
      </c>
    </row>
    <row r="175" spans="2:23" ht="15" x14ac:dyDescent="0.25">
      <c r="B175" s="209" t="str">
        <f>CollectionCostTotal[[#This Row],[Grouping_ID]]&amp;"-"&amp;CollectionCostTotal[[#This Row],[Sector_ID]]&amp;"-"&amp;CollectionCostTotal[[#This Row],[Frequency_ID]]&amp;"-"&amp;CollectionCostTotal[[#This Row],[SS_or_DS]]</f>
        <v>3-1-E-SS</v>
      </c>
      <c r="C175" s="209" t="str">
        <f>CollectionCostTotal[[#This Row],[Grouping_ID]]&amp;"-"&amp;CollectionCostTotal[[#This Row],[Sector_ID]]&amp;"-"&amp;CollectionCostTotal[[#This Row],[SS_or_DS]]</f>
        <v>3-1-SS</v>
      </c>
      <c r="D175" s="35">
        <v>3</v>
      </c>
      <c r="E175" s="24" t="str">
        <f>INDEX(Grouping[Grouping_Name],MATCH(CollectionCostTotal[[#This Row],[Grouping_ID]],Grouping[Grouping_ID],0))</f>
        <v>3 - Other areas with curbside</v>
      </c>
      <c r="F175" s="35">
        <v>1</v>
      </c>
      <c r="G175" s="24" t="str">
        <f>INDEX(Sector[Sector_Name],MATCH(CollectionCostTotal[[#This Row],[Sector_ID]],Sector[Sector_ID],0))</f>
        <v>SF Res. (on-route)</v>
      </c>
      <c r="H175" s="24" t="s">
        <v>873</v>
      </c>
      <c r="I175" s="289" t="s">
        <v>806</v>
      </c>
      <c r="J175" s="35" t="s">
        <v>53</v>
      </c>
      <c r="K175" s="24" t="str">
        <f>INDEX(Frequency[Collection_Frequency],MATCH(CollectionCostTotal[[#This Row],[Frequency_ID]],Frequency[Orig_Frequency_ID],0)+(CollectionCostTotal[[#This Row],[SS_or_DS]]="DS")*COUNTA(Frequency[Orig_Frequency_ID])/2)</f>
        <v>Every other week</v>
      </c>
      <c r="L175" s="35">
        <v>2018</v>
      </c>
      <c r="M17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323662</v>
      </c>
      <c r="N175" s="99">
        <f>SUMIFS(CustCntSrcs[Number],CustCntSrcs[Grouping_ID],CollectionCostTotal[[#This Row],[Grouping_ID]],CustCntSrcs[Sector_ID],CollectionCostTotal[[#This Row],[Sector_ID]])</f>
        <v>0.26100000000000001</v>
      </c>
      <c r="O175" s="100">
        <f>CollectionCostTotal[[#This Row],[Population]]*CollectionCostTotal[[#This Row],[Pct. Customers/Pop]]</f>
        <v>84475.782000000007</v>
      </c>
      <c r="P17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84475.782000000007</v>
      </c>
      <c r="Q175" s="101">
        <f>CollectionCostTotal[[#This Row],[Customers]]*INDEX(LaborCostPerLift[Annual_Labor_Cost_Per_Customer],MATCH(CollectionCostTotal[[#This Row],[Collection_ID]],LaborCostPerLift[Collection_ID],0))*(IF(CollectionCostTotal[[#This Row],[Year]]=2025,SUMIFS(CustCntSrcs[Number],CustCntSrcs[Source_ID],$Q$33),1))</f>
        <v>3101508.2184132766</v>
      </c>
      <c r="R17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143858.31791663149</v>
      </c>
      <c r="S17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817887.96449680626</v>
      </c>
      <c r="T17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1744449.8589777553</v>
      </c>
      <c r="U175" s="101">
        <f>CollectionCostTotal[[#This Row],[Customers]]*INDEX(ContainerMarginAdmin[Annual_Admin_Per_Customer],MATCH(CollectionCostTotal[[#This Row],[Collection_ID]],ContainerMarginAdmin[Collection_ID],0))*(IF(CollectionCostTotal[[#This Row],[Year]]=2025,SUMIFS(CustCntSrcs[Number],CustCntSrcs[Source_ID],$U$33),1))</f>
        <v>1825308.4441805759</v>
      </c>
      <c r="V175" s="101">
        <f>(SUMIFS(CustCntSrcs[Number],CustCntSrcs[Source_ID],$V$33)/(1-SUMIFS(CustCntSrcs[Number],CustCntSrcs[Source_ID],$V$33)))*SUM(CollectionCostTotal[[#This Row],[Collection_Labor]],CollectionCostTotal[[#This Row],[Annual_Container_Cost]],CollectionCostTotal[[#This Row],[Collection_Ops]])</f>
        <v>880555.83446605841</v>
      </c>
      <c r="W17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8598044.4204511046</v>
      </c>
    </row>
    <row r="176" spans="2:23" ht="15" x14ac:dyDescent="0.25">
      <c r="B176" s="209" t="str">
        <f>CollectionCostTotal[[#This Row],[Grouping_ID]]&amp;"-"&amp;CollectionCostTotal[[#This Row],[Sector_ID]]&amp;"-"&amp;CollectionCostTotal[[#This Row],[Frequency_ID]]&amp;"-"&amp;CollectionCostTotal[[#This Row],[SS_or_DS]]</f>
        <v>3-1-BM-SS</v>
      </c>
      <c r="C176" s="209" t="str">
        <f>CollectionCostTotal[[#This Row],[Grouping_ID]]&amp;"-"&amp;CollectionCostTotal[[#This Row],[Sector_ID]]&amp;"-"&amp;CollectionCostTotal[[#This Row],[SS_or_DS]]</f>
        <v>3-1-SS</v>
      </c>
      <c r="D176" s="35">
        <v>3</v>
      </c>
      <c r="E176" s="24" t="str">
        <f>INDEX(Grouping[Grouping_Name],MATCH(CollectionCostTotal[[#This Row],[Grouping_ID]],Grouping[Grouping_ID],0))</f>
        <v>3 - Other areas with curbside</v>
      </c>
      <c r="F176" s="35">
        <v>1</v>
      </c>
      <c r="G176" s="24" t="str">
        <f>INDEX(Sector[Sector_Name],MATCH(CollectionCostTotal[[#This Row],[Sector_ID]],Sector[Sector_ID],0))</f>
        <v>SF Res. (on-route)</v>
      </c>
      <c r="H176" s="24" t="s">
        <v>873</v>
      </c>
      <c r="I176" s="289" t="s">
        <v>806</v>
      </c>
      <c r="J176" s="35" t="s">
        <v>66</v>
      </c>
      <c r="K176" s="24" t="str">
        <f>INDEX(Frequency[Collection_Frequency],MATCH(CollectionCostTotal[[#This Row],[Frequency_ID]],Frequency[Orig_Frequency_ID],0)+(CollectionCostTotal[[#This Row],[SS_or_DS]]="DS")*COUNTA(Frequency[Orig_Frequency_ID])/2)</f>
        <v>Bimonthly</v>
      </c>
      <c r="L176" s="35">
        <v>2018</v>
      </c>
      <c r="M17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2535</v>
      </c>
      <c r="N176" s="99">
        <f>SUMIFS(CustCntSrcs[Number],CustCntSrcs[Grouping_ID],CollectionCostTotal[[#This Row],[Grouping_ID]],CustCntSrcs[Sector_ID],CollectionCostTotal[[#This Row],[Sector_ID]])</f>
        <v>0.26100000000000001</v>
      </c>
      <c r="O176" s="100">
        <f>CollectionCostTotal[[#This Row],[Population]]*CollectionCostTotal[[#This Row],[Pct. Customers/Pop]]</f>
        <v>661.63499999999999</v>
      </c>
      <c r="P17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661.63499999999999</v>
      </c>
      <c r="Q176" s="101">
        <f>CollectionCostTotal[[#This Row],[Customers]]*INDEX(LaborCostPerLift[Annual_Labor_Cost_Per_Customer],MATCH(CollectionCostTotal[[#This Row],[Collection_ID]],LaborCostPerLift[Collection_ID],0))*(IF(CollectionCostTotal[[#This Row],[Year]]=2025,SUMIFS(CustCntSrcs[Number],CustCntSrcs[Source_ID],$Q$33),1))</f>
        <v>22596.996705226815</v>
      </c>
      <c r="R17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1048.1242373249866</v>
      </c>
      <c r="S17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5958.9755491392007</v>
      </c>
      <c r="T17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12709.728602918403</v>
      </c>
      <c r="U176" s="101">
        <f>CollectionCostTotal[[#This Row],[Customers]]*INDEX(ContainerMarginAdmin[Annual_Admin_Per_Customer],MATCH(CollectionCostTotal[[#This Row],[Collection_ID]],ContainerMarginAdmin[Collection_ID],0))*(IF(CollectionCostTotal[[#This Row],[Year]]=2025,SUMIFS(CustCntSrcs[Number],CustCntSrcs[Source_ID],$U$33),1))</f>
        <v>14296.262477515926</v>
      </c>
      <c r="V176" s="101">
        <f>(SUMIFS(CustCntSrcs[Number],CustCntSrcs[Source_ID],$V$33)/(1-SUMIFS(CustCntSrcs[Number],CustCntSrcs[Source_ID],$V$33)))*SUM(CollectionCostTotal[[#This Row],[Collection_Labor]],CollectionCostTotal[[#This Row],[Annual_Container_Cost]],CollectionCostTotal[[#This Row],[Collection_Ops]])</f>
        <v>6415.5616844947426</v>
      </c>
      <c r="W17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63687.284256620078</v>
      </c>
    </row>
    <row r="177" spans="2:23" ht="15" x14ac:dyDescent="0.25">
      <c r="B177" s="209" t="str">
        <f>CollectionCostTotal[[#This Row],[Grouping_ID]]&amp;"-"&amp;CollectionCostTotal[[#This Row],[Sector_ID]]&amp;"-"&amp;CollectionCostTotal[[#This Row],[Frequency_ID]]&amp;"-"&amp;CollectionCostTotal[[#This Row],[SS_or_DS]]</f>
        <v>3-1-M-SS</v>
      </c>
      <c r="C177" s="209" t="str">
        <f>CollectionCostTotal[[#This Row],[Grouping_ID]]&amp;"-"&amp;CollectionCostTotal[[#This Row],[Sector_ID]]&amp;"-"&amp;CollectionCostTotal[[#This Row],[SS_or_DS]]</f>
        <v>3-1-SS</v>
      </c>
      <c r="D177" s="35">
        <v>3</v>
      </c>
      <c r="E177" s="24" t="str">
        <f>INDEX(Grouping[Grouping_Name],MATCH(CollectionCostTotal[[#This Row],[Grouping_ID]],Grouping[Grouping_ID],0))</f>
        <v>3 - Other areas with curbside</v>
      </c>
      <c r="F177" s="35">
        <v>1</v>
      </c>
      <c r="G177" s="24" t="str">
        <f>INDEX(Sector[Sector_Name],MATCH(CollectionCostTotal[[#This Row],[Sector_ID]],Sector[Sector_ID],0))</f>
        <v>SF Res. (on-route)</v>
      </c>
      <c r="H177" s="24" t="s">
        <v>873</v>
      </c>
      <c r="I177" s="289" t="s">
        <v>806</v>
      </c>
      <c r="J177" s="35" t="s">
        <v>67</v>
      </c>
      <c r="K177" s="24" t="str">
        <f>INDEX(Frequency[Collection_Frequency],MATCH(CollectionCostTotal[[#This Row],[Frequency_ID]],Frequency[Orig_Frequency_ID],0)+(CollectionCostTotal[[#This Row],[SS_or_DS]]="DS")*COUNTA(Frequency[Orig_Frequency_ID])/2)</f>
        <v>Monthly</v>
      </c>
      <c r="L177" s="35">
        <v>2018</v>
      </c>
      <c r="M17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8045</v>
      </c>
      <c r="N177" s="99">
        <f>SUMIFS(CustCntSrcs[Number],CustCntSrcs[Grouping_ID],CollectionCostTotal[[#This Row],[Grouping_ID]],CustCntSrcs[Sector_ID],CollectionCostTotal[[#This Row],[Sector_ID]])</f>
        <v>0.26100000000000001</v>
      </c>
      <c r="O177" s="100">
        <f>CollectionCostTotal[[#This Row],[Population]]*CollectionCostTotal[[#This Row],[Pct. Customers/Pop]]</f>
        <v>2099.7449999999999</v>
      </c>
      <c r="P17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2099.7449999999999</v>
      </c>
      <c r="Q177" s="101">
        <f>CollectionCostTotal[[#This Row],[Customers]]*INDEX(LaborCostPerLift[Annual_Labor_Cost_Per_Customer],MATCH(CollectionCostTotal[[#This Row],[Collection_ID]],LaborCostPerLift[Collection_ID],0))*(IF(CollectionCostTotal[[#This Row],[Year]]=2025,SUMIFS(CustCntSrcs[Number],CustCntSrcs[Source_ID],$Q$33),1))</f>
        <v>35856.575639753399</v>
      </c>
      <c r="R17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1663.1478282602598</v>
      </c>
      <c r="S17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9455.6130755078648</v>
      </c>
      <c r="T17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20167.606826524367</v>
      </c>
      <c r="U177" s="101">
        <f>CollectionCostTotal[[#This Row],[Customers]]*INDEX(ContainerMarginAdmin[Annual_Admin_Per_Customer],MATCH(CollectionCostTotal[[#This Row],[Collection_ID]],ContainerMarginAdmin[Collection_ID],0))*(IF(CollectionCostTotal[[#This Row],[Year]]=2025,SUMIFS(CustCntSrcs[Number],CustCntSrcs[Source_ID],$U$33),1))</f>
        <v>45370.189992747779</v>
      </c>
      <c r="V177" s="101">
        <f>(SUMIFS(CustCntSrcs[Number],CustCntSrcs[Source_ID],$V$33)/(1-SUMIFS(CustCntSrcs[Number],CustCntSrcs[Source_ID],$V$33)))*SUM(CollectionCostTotal[[#This Row],[Collection_Labor]],CollectionCostTotal[[#This Row],[Annual_Container_Cost]],CollectionCostTotal[[#This Row],[Collection_Ops]])</f>
        <v>10180.117110800829</v>
      </c>
      <c r="W17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124792.99547359449</v>
      </c>
    </row>
    <row r="178" spans="2:23" ht="15" x14ac:dyDescent="0.25">
      <c r="B178" s="210" t="str">
        <f>CollectionCostTotal[[#This Row],[Grouping_ID]]&amp;"-"&amp;CollectionCostTotal[[#This Row],[Sector_ID]]&amp;"-"&amp;CollectionCostTotal[[#This Row],[Frequency_ID]]&amp;"-"&amp;CollectionCostTotal[[#This Row],[SS_or_DS]]</f>
        <v>3-1-U-SS</v>
      </c>
      <c r="C178" s="210" t="str">
        <f>CollectionCostTotal[[#This Row],[Grouping_ID]]&amp;"-"&amp;CollectionCostTotal[[#This Row],[Sector_ID]]&amp;"-"&amp;CollectionCostTotal[[#This Row],[SS_or_DS]]</f>
        <v>3-1-SS</v>
      </c>
      <c r="D178" s="126">
        <v>3</v>
      </c>
      <c r="E178" s="127" t="str">
        <f>INDEX(Grouping[Grouping_Name],MATCH(CollectionCostTotal[[#This Row],[Grouping_ID]],Grouping[Grouping_ID],0))</f>
        <v>3 - Other areas with curbside</v>
      </c>
      <c r="F178" s="35">
        <v>1</v>
      </c>
      <c r="G178" s="127" t="str">
        <f>INDEX(Sector[Sector_Name],MATCH(CollectionCostTotal[[#This Row],[Sector_ID]],Sector[Sector_ID],0))</f>
        <v>SF Res. (on-route)</v>
      </c>
      <c r="H178" s="24" t="s">
        <v>873</v>
      </c>
      <c r="I178" s="289" t="s">
        <v>806</v>
      </c>
      <c r="J178" s="35" t="s">
        <v>65</v>
      </c>
      <c r="K178" s="127" t="str">
        <f>INDEX(Frequency[Collection_Frequency],MATCH(CollectionCostTotal[[#This Row],[Frequency_ID]],Frequency[Orig_Frequency_ID],0)+(CollectionCostTotal[[#This Row],[SS_or_DS]]="DS")*COUNTA(Frequency[Orig_Frequency_ID])/2)</f>
        <v>Uncertain</v>
      </c>
      <c r="L178" s="35">
        <v>2018</v>
      </c>
      <c r="M17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78" s="99">
        <f>SUMIFS(CustCntSrcs[Number],CustCntSrcs[Grouping_ID],CollectionCostTotal[[#This Row],[Grouping_ID]],CustCntSrcs[Sector_ID],CollectionCostTotal[[#This Row],[Sector_ID]])</f>
        <v>0.26100000000000001</v>
      </c>
      <c r="O178" s="100">
        <f>CollectionCostTotal[[#This Row],[Population]]*CollectionCostTotal[[#This Row],[Pct. Customers/Pop]]</f>
        <v>0</v>
      </c>
      <c r="P17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78" s="101">
        <f>CollectionCostTotal[[#This Row],[Customers]]*INDEX(LaborCostPerLift[Annual_Labor_Cost_Per_Customer],MATCH(CollectionCostTotal[[#This Row],[Collection_ID]],LaborCostPerLift[Collection_ID],0))*(IF(CollectionCostTotal[[#This Row],[Year]]=2025,SUMIFS(CustCntSrcs[Number],CustCntSrcs[Source_ID],$Q$33),1))</f>
        <v>0</v>
      </c>
      <c r="R17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7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7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78" s="101">
        <f>CollectionCostTotal[[#This Row],[Customers]]*INDEX(ContainerMarginAdmin[Annual_Admin_Per_Customer],MATCH(CollectionCostTotal[[#This Row],[Collection_ID]],ContainerMarginAdmin[Collection_ID],0))*(IF(CollectionCostTotal[[#This Row],[Year]]=2025,SUMIFS(CustCntSrcs[Number],CustCntSrcs[Source_ID],$U$33),1))</f>
        <v>0</v>
      </c>
      <c r="V178" s="101">
        <f>(SUMIFS(CustCntSrcs[Number],CustCntSrcs[Source_ID],$V$33)/(1-SUMIFS(CustCntSrcs[Number],CustCntSrcs[Source_ID],$V$33)))*SUM(CollectionCostTotal[[#This Row],[Collection_Labor]],CollectionCostTotal[[#This Row],[Annual_Container_Cost]],CollectionCostTotal[[#This Row],[Collection_Ops]])</f>
        <v>0</v>
      </c>
      <c r="W17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79" spans="2:23" ht="15" x14ac:dyDescent="0.25">
      <c r="B179" s="209" t="str">
        <f>CollectionCostTotal[[#This Row],[Grouping_ID]]&amp;"-"&amp;CollectionCostTotal[[#This Row],[Sector_ID]]&amp;"-"&amp;CollectionCostTotal[[#This Row],[Frequency_ID]]&amp;"-"&amp;CollectionCostTotal[[#This Row],[SS_or_DS]]</f>
        <v>1-2-V-SS</v>
      </c>
      <c r="C179" s="209" t="str">
        <f>CollectionCostTotal[[#This Row],[Grouping_ID]]&amp;"-"&amp;CollectionCostTotal[[#This Row],[Sector_ID]]&amp;"-"&amp;CollectionCostTotal[[#This Row],[SS_or_DS]]</f>
        <v>1-2-SS</v>
      </c>
      <c r="D179" s="35">
        <v>1</v>
      </c>
      <c r="E179" s="24" t="str">
        <f>INDEX(Grouping[Grouping_Name],MATCH(CollectionCostTotal[[#This Row],[Grouping_ID]],Grouping[Grouping_ID],0))</f>
        <v>1 - Metro area</v>
      </c>
      <c r="F179" s="35">
        <v>2</v>
      </c>
      <c r="G179" s="24" t="str">
        <f>INDEX(Sector[Sector_Name],MATCH(CollectionCostTotal[[#This Row],[Sector_ID]],Sector[Sector_ID],0))</f>
        <v>MF Res. (on-route)</v>
      </c>
      <c r="H179" s="24" t="s">
        <v>873</v>
      </c>
      <c r="I179" s="289" t="s">
        <v>806</v>
      </c>
      <c r="J179" s="35" t="s">
        <v>91</v>
      </c>
      <c r="K179" s="24" t="str">
        <f>INDEX(Frequency[Collection_Frequency],MATCH(CollectionCostTotal[[#This Row],[Frequency_ID]],Frequency[Orig_Frequency_ID],0)+(CollectionCostTotal[[#This Row],[SS_or_DS]]="DS")*COUNTA(Frequency[Orig_Frequency_ID])/2)</f>
        <v>Varies by customer need</v>
      </c>
      <c r="L179" s="35">
        <v>2025</v>
      </c>
      <c r="M17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79" s="99">
        <f>SUMIFS(CustCntSrcs[Number],CustCntSrcs[Grouping_ID],CollectionCostTotal[[#This Row],[Grouping_ID]],CustCntSrcs[Sector_ID],CollectionCostTotal[[#This Row],[Sector_ID]])</f>
        <v>4.0829601659520629E-3</v>
      </c>
      <c r="O179" s="100">
        <f>CollectionCostTotal[[#This Row],[Population]]*CollectionCostTotal[[#This Row],[Pct. Customers/Pop]]</f>
        <v>7221.4205871290515</v>
      </c>
      <c r="P17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816041.25609323173</v>
      </c>
      <c r="Q179" s="101">
        <f>CollectionCostTotal[[#This Row],[Customers]]*INDEX(LaborCostPerLift[Annual_Labor_Cost_Per_Customer],MATCH(CollectionCostTotal[[#This Row],[Collection_ID]],LaborCostPerLift[Collection_ID],0))*(IF(CollectionCostTotal[[#This Row],[Year]]=2025,SUMIFS(CustCntSrcs[Number],CustCntSrcs[Source_ID],$Q$33),1))</f>
        <v>3161137.2780768052</v>
      </c>
      <c r="R17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98917.940358800959</v>
      </c>
      <c r="S17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662009.48732965137</v>
      </c>
      <c r="T17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1686024.5833588047</v>
      </c>
      <c r="U179" s="101">
        <f>CollectionCostTotal[[#This Row],[Customers]]*INDEX(ContainerMarginAdmin[Annual_Admin_Per_Customer],MATCH(CollectionCostTotal[[#This Row],[Collection_ID]],ContainerMarginAdmin[Collection_ID],0))*(IF(CollectionCostTotal[[#This Row],[Year]]=2025,SUMIFS(CustCntSrcs[Number],CustCntSrcs[Source_ID],$U$33),1))</f>
        <v>1642421.3738598544</v>
      </c>
      <c r="V179" s="101">
        <f>(SUMIFS(CustCntSrcs[Number],CustCntSrcs[Source_ID],$V$33)/(1-SUMIFS(CustCntSrcs[Number],CustCntSrcs[Source_ID],$V$33)))*SUM(CollectionCostTotal[[#This Row],[Collection_Labor]],CollectionCostTotal[[#This Row],[Annual_Container_Cost]],CollectionCostTotal[[#This Row],[Collection_Ops]])</f>
        <v>872837.61208136659</v>
      </c>
      <c r="W17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8939389.5311585143</v>
      </c>
    </row>
    <row r="180" spans="2:23" ht="15" x14ac:dyDescent="0.25">
      <c r="B180" s="209" t="str">
        <f>CollectionCostTotal[[#This Row],[Grouping_ID]]&amp;"-"&amp;CollectionCostTotal[[#This Row],[Sector_ID]]&amp;"-"&amp;CollectionCostTotal[[#This Row],[Frequency_ID]]&amp;"-"&amp;CollectionCostTotal[[#This Row],[SS_or_DS]]</f>
        <v>1-3-V-SS</v>
      </c>
      <c r="C180" s="209" t="str">
        <f>CollectionCostTotal[[#This Row],[Grouping_ID]]&amp;"-"&amp;CollectionCostTotal[[#This Row],[Sector_ID]]&amp;"-"&amp;CollectionCostTotal[[#This Row],[SS_or_DS]]</f>
        <v>1-3-SS</v>
      </c>
      <c r="D180" s="35">
        <v>1</v>
      </c>
      <c r="E180" s="24" t="str">
        <f>INDEX(Grouping[Grouping_Name],MATCH(CollectionCostTotal[[#This Row],[Grouping_ID]],Grouping[Grouping_ID],0))</f>
        <v>1 - Metro area</v>
      </c>
      <c r="F180" s="35">
        <v>3</v>
      </c>
      <c r="G180" s="24" t="str">
        <f>INDEX(Sector[Sector_Name],MATCH(CollectionCostTotal[[#This Row],[Sector_ID]],Sector[Sector_ID],0))</f>
        <v>Commercial (on-route)</v>
      </c>
      <c r="H180" s="24" t="s">
        <v>873</v>
      </c>
      <c r="I180" s="289" t="s">
        <v>806</v>
      </c>
      <c r="J180" s="35" t="s">
        <v>91</v>
      </c>
      <c r="K180" s="24" t="str">
        <f>INDEX(Frequency[Collection_Frequency],MATCH(CollectionCostTotal[[#This Row],[Frequency_ID]],Frequency[Orig_Frequency_ID],0)+(CollectionCostTotal[[#This Row],[SS_or_DS]]="DS")*COUNTA(Frequency[Orig_Frequency_ID])/2)</f>
        <v>Varies by customer need</v>
      </c>
      <c r="L180" s="35">
        <v>2025</v>
      </c>
      <c r="M18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1768672.7995410564</v>
      </c>
      <c r="N180" s="99">
        <f>SUMIFS(CustCntSrcs[Number],CustCntSrcs[Grouping_ID],CollectionCostTotal[[#This Row],[Grouping_ID]],CustCntSrcs[Sector_ID],CollectionCostTotal[[#This Row],[Sector_ID]])</f>
        <v>2.0077661123032196E-2</v>
      </c>
      <c r="O180" s="100">
        <f>CollectionCostTotal[[#This Row],[Population]]*CollectionCostTotal[[#This Row],[Pct. Customers/Pop]]</f>
        <v>35510.813106709982</v>
      </c>
      <c r="P18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4012823.8180920328</v>
      </c>
      <c r="Q180" s="101">
        <f>CollectionCostTotal[[#This Row],[Customers]]*INDEX(LaborCostPerLift[Annual_Labor_Cost_Per_Customer],MATCH(CollectionCostTotal[[#This Row],[Collection_ID]],LaborCostPerLift[Collection_ID],0))*(IF(CollectionCostTotal[[#This Row],[Year]]=2025,SUMIFS(CustCntSrcs[Number],CustCntSrcs[Source_ID],$Q$33),1))</f>
        <v>15544663.786307352</v>
      </c>
      <c r="R18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486421.81279993244</v>
      </c>
      <c r="S18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3255383.742823679</v>
      </c>
      <c r="T18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8290903.867264688</v>
      </c>
      <c r="U180" s="101">
        <f>CollectionCostTotal[[#This Row],[Customers]]*INDEX(ContainerMarginAdmin[Annual_Admin_Per_Customer],MATCH(CollectionCostTotal[[#This Row],[Collection_ID]],ContainerMarginAdmin[Collection_ID],0))*(IF(CollectionCostTotal[[#This Row],[Year]]=2025,SUMIFS(CustCntSrcs[Number],CustCntSrcs[Source_ID],$U$33),1))</f>
        <v>8076488.2402162254</v>
      </c>
      <c r="V180" s="101">
        <f>(SUMIFS(CustCntSrcs[Number],CustCntSrcs[Source_ID],$V$33)/(1-SUMIFS(CustCntSrcs[Number],CustCntSrcs[Source_ID],$V$33)))*SUM(CollectionCostTotal[[#This Row],[Collection_Labor]],CollectionCostTotal[[#This Row],[Annual_Container_Cost]],CollectionCostTotal[[#This Row],[Collection_Ops]])</f>
        <v>4292115.7881832896</v>
      </c>
      <c r="W18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43958801.055687189</v>
      </c>
    </row>
    <row r="181" spans="2:23" ht="15" x14ac:dyDescent="0.25">
      <c r="B181" s="209" t="str">
        <f>CollectionCostTotal[[#This Row],[Grouping_ID]]&amp;"-"&amp;CollectionCostTotal[[#This Row],[Sector_ID]]&amp;"-"&amp;CollectionCostTotal[[#This Row],[Frequency_ID]]&amp;"-"&amp;CollectionCostTotal[[#This Row],[SS_or_DS]]</f>
        <v>2-2-V-SS</v>
      </c>
      <c r="C181" s="209" t="str">
        <f>CollectionCostTotal[[#This Row],[Grouping_ID]]&amp;"-"&amp;CollectionCostTotal[[#This Row],[Sector_ID]]&amp;"-"&amp;CollectionCostTotal[[#This Row],[SS_or_DS]]</f>
        <v>2-2-SS</v>
      </c>
      <c r="D181" s="35">
        <v>2</v>
      </c>
      <c r="E181" s="24" t="str">
        <f>INDEX(Grouping[Grouping_Name],MATCH(CollectionCostTotal[[#This Row],[Grouping_ID]],Grouping[Grouping_ID],0))</f>
        <v>2 - Willamette Valley, etc.</v>
      </c>
      <c r="F181" s="35">
        <v>2</v>
      </c>
      <c r="G181" s="24" t="str">
        <f>INDEX(Sector[Sector_Name],MATCH(CollectionCostTotal[[#This Row],[Sector_ID]],Sector[Sector_ID],0))</f>
        <v>MF Res. (on-route)</v>
      </c>
      <c r="H181" s="24" t="s">
        <v>873</v>
      </c>
      <c r="I181" s="289" t="s">
        <v>806</v>
      </c>
      <c r="J181" s="35" t="s">
        <v>91</v>
      </c>
      <c r="K181" s="24" t="str">
        <f>INDEX(Frequency[Collection_Frequency],MATCH(CollectionCostTotal[[#This Row],[Frequency_ID]],Frequency[Orig_Frequency_ID],0)+(CollectionCostTotal[[#This Row],[SS_or_DS]]="DS")*COUNTA(Frequency[Orig_Frequency_ID])/2)</f>
        <v>Varies by customer need</v>
      </c>
      <c r="L181" s="35">
        <v>2025</v>
      </c>
      <c r="M18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81" s="99">
        <f>SUMIFS(CustCntSrcs[Number],CustCntSrcs[Grouping_ID],CollectionCostTotal[[#This Row],[Grouping_ID]],CustCntSrcs[Sector_ID],CollectionCostTotal[[#This Row],[Sector_ID]])</f>
        <v>6.0000000000000001E-3</v>
      </c>
      <c r="O181" s="100">
        <f>CollectionCostTotal[[#This Row],[Population]]*CollectionCostTotal[[#This Row],[Pct. Customers/Pop]]</f>
        <v>9059.6882850261754</v>
      </c>
      <c r="P18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1023770.7828710043</v>
      </c>
      <c r="Q181" s="101">
        <f>CollectionCostTotal[[#This Row],[Customers]]*INDEX(LaborCostPerLift[Annual_Labor_Cost_Per_Customer],MATCH(CollectionCostTotal[[#This Row],[Collection_ID]],LaborCostPerLift[Collection_ID],0))*(IF(CollectionCostTotal[[#This Row],[Year]]=2025,SUMIFS(CustCntSrcs[Number],CustCntSrcs[Source_ID],$Q$33),1))</f>
        <v>3093067.9677713518</v>
      </c>
      <c r="R18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79875.410667516902</v>
      </c>
      <c r="S18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277802.95252258639</v>
      </c>
      <c r="T18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1721300.6817681028</v>
      </c>
      <c r="U181" s="101">
        <f>CollectionCostTotal[[#This Row],[Customers]]*INDEX(ContainerMarginAdmin[Annual_Admin_Per_Customer],MATCH(CollectionCostTotal[[#This Row],[Collection_ID]],ContainerMarginAdmin[Collection_ID],0))*(IF(CollectionCostTotal[[#This Row],[Year]]=2025,SUMIFS(CustCntSrcs[Number],CustCntSrcs[Source_ID],$U$33),1))</f>
        <v>1257664.3155518728</v>
      </c>
      <c r="V181" s="101">
        <f>(SUMIFS(CustCntSrcs[Number],CustCntSrcs[Source_ID],$V$33)/(1-SUMIFS(CustCntSrcs[Number],CustCntSrcs[Source_ID],$V$33)))*SUM(CollectionCostTotal[[#This Row],[Collection_Labor]],CollectionCostTotal[[#This Row],[Annual_Container_Cost]],CollectionCostTotal[[#This Row],[Collection_Ops]])</f>
        <v>863690.12827181851</v>
      </c>
      <c r="W18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8317172.2394242529</v>
      </c>
    </row>
    <row r="182" spans="2:23" ht="15" x14ac:dyDescent="0.25">
      <c r="B182" s="209" t="str">
        <f>CollectionCostTotal[[#This Row],[Grouping_ID]]&amp;"-"&amp;CollectionCostTotal[[#This Row],[Sector_ID]]&amp;"-"&amp;CollectionCostTotal[[#This Row],[Frequency_ID]]&amp;"-"&amp;CollectionCostTotal[[#This Row],[SS_or_DS]]</f>
        <v>2-3-V-SS</v>
      </c>
      <c r="C182" s="209" t="str">
        <f>CollectionCostTotal[[#This Row],[Grouping_ID]]&amp;"-"&amp;CollectionCostTotal[[#This Row],[Sector_ID]]&amp;"-"&amp;CollectionCostTotal[[#This Row],[SS_or_DS]]</f>
        <v>2-3-SS</v>
      </c>
      <c r="D182" s="35">
        <v>2</v>
      </c>
      <c r="E182" s="24" t="str">
        <f>INDEX(Grouping[Grouping_Name],MATCH(CollectionCostTotal[[#This Row],[Grouping_ID]],Grouping[Grouping_ID],0))</f>
        <v>2 - Willamette Valley, etc.</v>
      </c>
      <c r="F182" s="35">
        <v>3</v>
      </c>
      <c r="G182" s="24" t="str">
        <f>INDEX(Sector[Sector_Name],MATCH(CollectionCostTotal[[#This Row],[Sector_ID]],Sector[Sector_ID],0))</f>
        <v>Commercial (on-route)</v>
      </c>
      <c r="H182" s="24" t="s">
        <v>873</v>
      </c>
      <c r="I182" s="289" t="s">
        <v>806</v>
      </c>
      <c r="J182" s="35" t="s">
        <v>91</v>
      </c>
      <c r="K182" s="24" t="str">
        <f>INDEX(Frequency[Collection_Frequency],MATCH(CollectionCostTotal[[#This Row],[Frequency_ID]],Frequency[Orig_Frequency_ID],0)+(CollectionCostTotal[[#This Row],[SS_or_DS]]="DS")*COUNTA(Frequency[Orig_Frequency_ID])/2)</f>
        <v>Varies by customer need</v>
      </c>
      <c r="L182" s="35">
        <v>2025</v>
      </c>
      <c r="M18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1509948.0475043624</v>
      </c>
      <c r="N182" s="99">
        <f>SUMIFS(CustCntSrcs[Number],CustCntSrcs[Grouping_ID],CollectionCostTotal[[#This Row],[Grouping_ID]],CustCntSrcs[Sector_ID],CollectionCostTotal[[#This Row],[Sector_ID]])</f>
        <v>1.5699999999999999E-2</v>
      </c>
      <c r="O182" s="100">
        <f>CollectionCostTotal[[#This Row],[Population]]*CollectionCostTotal[[#This Row],[Pct. Customers/Pop]]</f>
        <v>23706.184345818489</v>
      </c>
      <c r="P18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2678866.8818457942</v>
      </c>
      <c r="Q182" s="101">
        <f>CollectionCostTotal[[#This Row],[Customers]]*INDEX(LaborCostPerLift[Annual_Labor_Cost_Per_Customer],MATCH(CollectionCostTotal[[#This Row],[Collection_ID]],LaborCostPerLift[Collection_ID],0))*(IF(CollectionCostTotal[[#This Row],[Year]]=2025,SUMIFS(CustCntSrcs[Number],CustCntSrcs[Source_ID],$Q$33),1))</f>
        <v>8093527.8490017029</v>
      </c>
      <c r="R18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209007.32458000252</v>
      </c>
      <c r="S18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726917.72576743434</v>
      </c>
      <c r="T18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4504070.1172932014</v>
      </c>
      <c r="U182" s="101">
        <f>CollectionCostTotal[[#This Row],[Customers]]*INDEX(ContainerMarginAdmin[Annual_Admin_Per_Customer],MATCH(CollectionCostTotal[[#This Row],[Collection_ID]],ContainerMarginAdmin[Collection_ID],0))*(IF(CollectionCostTotal[[#This Row],[Year]]=2025,SUMIFS(CustCntSrcs[Number],CustCntSrcs[Source_ID],$U$33),1))</f>
        <v>3290888.2923607337</v>
      </c>
      <c r="V182" s="101">
        <f>(SUMIFS(CustCntSrcs[Number],CustCntSrcs[Source_ID],$V$33)/(1-SUMIFS(CustCntSrcs[Number],CustCntSrcs[Source_ID],$V$33)))*SUM(CollectionCostTotal[[#This Row],[Collection_Labor]],CollectionCostTotal[[#This Row],[Annual_Container_Cost]],CollectionCostTotal[[#This Row],[Collection_Ops]])</f>
        <v>2259989.1689779246</v>
      </c>
      <c r="W18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21763267.359826792</v>
      </c>
    </row>
    <row r="183" spans="2:23" ht="15" x14ac:dyDescent="0.25">
      <c r="B183" s="209" t="str">
        <f>CollectionCostTotal[[#This Row],[Grouping_ID]]&amp;"-"&amp;CollectionCostTotal[[#This Row],[Sector_ID]]&amp;"-"&amp;CollectionCostTotal[[#This Row],[Frequency_ID]]&amp;"-"&amp;CollectionCostTotal[[#This Row],[SS_or_DS]]</f>
        <v>3-2-V-SS</v>
      </c>
      <c r="C183" s="209" t="str">
        <f>CollectionCostTotal[[#This Row],[Grouping_ID]]&amp;"-"&amp;CollectionCostTotal[[#This Row],[Sector_ID]]&amp;"-"&amp;CollectionCostTotal[[#This Row],[SS_or_DS]]</f>
        <v>3-2-SS</v>
      </c>
      <c r="D183" s="35">
        <v>3</v>
      </c>
      <c r="E183" s="24" t="str">
        <f>INDEX(Grouping[Grouping_Name],MATCH(CollectionCostTotal[[#This Row],[Grouping_ID]],Grouping[Grouping_ID],0))</f>
        <v>3 - Other areas with curbside</v>
      </c>
      <c r="F183" s="35">
        <v>2</v>
      </c>
      <c r="G183" s="24" t="str">
        <f>INDEX(Sector[Sector_Name],MATCH(CollectionCostTotal[[#This Row],[Sector_ID]],Sector[Sector_ID],0))</f>
        <v>MF Res. (on-route)</v>
      </c>
      <c r="H183" s="24" t="s">
        <v>873</v>
      </c>
      <c r="I183" s="289" t="s">
        <v>806</v>
      </c>
      <c r="J183" s="35" t="s">
        <v>91</v>
      </c>
      <c r="K183" s="24" t="str">
        <f>INDEX(Frequency[Collection_Frequency],MATCH(CollectionCostTotal[[#This Row],[Frequency_ID]],Frequency[Orig_Frequency_ID],0)+(CollectionCostTotal[[#This Row],[SS_or_DS]]="DS")*COUNTA(Frequency[Orig_Frequency_ID])/2)</f>
        <v>Varies by customer need</v>
      </c>
      <c r="L183" s="35">
        <v>2025</v>
      </c>
      <c r="M18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83" s="99">
        <f>SUMIFS(CustCntSrcs[Number],CustCntSrcs[Grouping_ID],CollectionCostTotal[[#This Row],[Grouping_ID]],CustCntSrcs[Sector_ID],CollectionCostTotal[[#This Row],[Sector_ID]])</f>
        <v>2.5000000000000001E-3</v>
      </c>
      <c r="O183" s="100">
        <f>CollectionCostTotal[[#This Row],[Population]]*CollectionCostTotal[[#This Row],[Pct. Customers/Pop]]</f>
        <v>1445.0244787602153</v>
      </c>
      <c r="P18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163291.91417470897</v>
      </c>
      <c r="Q183" s="101">
        <f>CollectionCostTotal[[#This Row],[Customers]]*INDEX(LaborCostPerLift[Annual_Labor_Cost_Per_Customer],MATCH(CollectionCostTotal[[#This Row],[Collection_ID]],LaborCostPerLift[Collection_ID],0))*(IF(CollectionCostTotal[[#This Row],[Year]]=2025,SUMIFS(CustCntSrcs[Number],CustCntSrcs[Source_ID],$Q$33),1))</f>
        <v>648997.1737852979</v>
      </c>
      <c r="R18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31921.891978823041</v>
      </c>
      <c r="S18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71719.080110211813</v>
      </c>
      <c r="T18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328917.52210142219</v>
      </c>
      <c r="U183" s="101">
        <f>CollectionCostTotal[[#This Row],[Customers]]*INDEX(ContainerMarginAdmin[Annual_Admin_Per_Customer],MATCH(CollectionCostTotal[[#This Row],[Collection_ID]],ContainerMarginAdmin[Collection_ID],0))*(IF(CollectionCostTotal[[#This Row],[Year]]=2025,SUMIFS(CustCntSrcs[Number],CustCntSrcs[Source_ID],$U$33),1))</f>
        <v>298272.48764404858</v>
      </c>
      <c r="V183" s="101">
        <f>(SUMIFS(CustCntSrcs[Number],CustCntSrcs[Source_ID],$V$33)/(1-SUMIFS(CustCntSrcs[Number],CustCntSrcs[Source_ID],$V$33)))*SUM(CollectionCostTotal[[#This Row],[Collection_Labor]],CollectionCostTotal[[#This Row],[Annual_Container_Cost]],CollectionCostTotal[[#This Row],[Collection_Ops]])</f>
        <v>178206.45668215468</v>
      </c>
      <c r="W18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1721326.5264766673</v>
      </c>
    </row>
    <row r="184" spans="2:23" ht="15" x14ac:dyDescent="0.25">
      <c r="B184" s="209" t="str">
        <f>CollectionCostTotal[[#This Row],[Grouping_ID]]&amp;"-"&amp;CollectionCostTotal[[#This Row],[Sector_ID]]&amp;"-"&amp;CollectionCostTotal[[#This Row],[Frequency_ID]]&amp;"-"&amp;CollectionCostTotal[[#This Row],[SS_or_DS]]</f>
        <v>3-3-V-SS</v>
      </c>
      <c r="C184" s="209" t="str">
        <f>CollectionCostTotal[[#This Row],[Grouping_ID]]&amp;"-"&amp;CollectionCostTotal[[#This Row],[Sector_ID]]&amp;"-"&amp;CollectionCostTotal[[#This Row],[SS_or_DS]]</f>
        <v>3-3-SS</v>
      </c>
      <c r="D184" s="35">
        <v>3</v>
      </c>
      <c r="E184" s="24" t="str">
        <f>INDEX(Grouping[Grouping_Name],MATCH(CollectionCostTotal[[#This Row],[Grouping_ID]],Grouping[Grouping_ID],0))</f>
        <v>3 - Other areas with curbside</v>
      </c>
      <c r="F184" s="35">
        <v>3</v>
      </c>
      <c r="G184" s="24" t="str">
        <f>INDEX(Sector[Sector_Name],MATCH(CollectionCostTotal[[#This Row],[Sector_ID]],Sector[Sector_ID],0))</f>
        <v>Commercial (on-route)</v>
      </c>
      <c r="H184" s="24" t="s">
        <v>873</v>
      </c>
      <c r="I184" s="289" t="s">
        <v>806</v>
      </c>
      <c r="J184" s="35" t="s">
        <v>91</v>
      </c>
      <c r="K184" s="24" t="str">
        <f>INDEX(Frequency[Collection_Frequency],MATCH(CollectionCostTotal[[#This Row],[Frequency_ID]],Frequency[Orig_Frequency_ID],0)+(CollectionCostTotal[[#This Row],[SS_or_DS]]="DS")*COUNTA(Frequency[Orig_Frequency_ID])/2)</f>
        <v>Varies by customer need</v>
      </c>
      <c r="L184" s="35">
        <v>2025</v>
      </c>
      <c r="M184"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578009.79150408611</v>
      </c>
      <c r="N184" s="99">
        <f>SUMIFS(CustCntSrcs[Number],CustCntSrcs[Grouping_ID],CollectionCostTotal[[#This Row],[Grouping_ID]],CustCntSrcs[Sector_ID],CollectionCostTotal[[#This Row],[Sector_ID]])</f>
        <v>1.5900000000000001E-2</v>
      </c>
      <c r="O184" s="100">
        <f>CollectionCostTotal[[#This Row],[Population]]*CollectionCostTotal[[#This Row],[Pct. Customers/Pop]]</f>
        <v>9190.35568491497</v>
      </c>
      <c r="P184"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1038536.5741511491</v>
      </c>
      <c r="Q184" s="101">
        <f>CollectionCostTotal[[#This Row],[Customers]]*INDEX(LaborCostPerLift[Annual_Labor_Cost_Per_Customer],MATCH(CollectionCostTotal[[#This Row],[Collection_ID]],LaborCostPerLift[Collection_ID],0))*(IF(CollectionCostTotal[[#This Row],[Year]]=2025,SUMIFS(CustCntSrcs[Number],CustCntSrcs[Source_ID],$Q$33),1))</f>
        <v>4127622.0252744942</v>
      </c>
      <c r="R184"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203023.23298531453</v>
      </c>
      <c r="S184"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456133.34950094722</v>
      </c>
      <c r="T184"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2091915.4405650452</v>
      </c>
      <c r="U184" s="101">
        <f>CollectionCostTotal[[#This Row],[Customers]]*INDEX(ContainerMarginAdmin[Annual_Admin_Per_Customer],MATCH(CollectionCostTotal[[#This Row],[Collection_ID]],ContainerMarginAdmin[Collection_ID],0))*(IF(CollectionCostTotal[[#This Row],[Year]]=2025,SUMIFS(CustCntSrcs[Number],CustCntSrcs[Source_ID],$U$33),1))</f>
        <v>1897013.0214161493</v>
      </c>
      <c r="V184" s="101">
        <f>(SUMIFS(CustCntSrcs[Number],CustCntSrcs[Source_ID],$V$33)/(1-SUMIFS(CustCntSrcs[Number],CustCntSrcs[Source_ID],$V$33)))*SUM(CollectionCostTotal[[#This Row],[Collection_Labor]],CollectionCostTotal[[#This Row],[Annual_Container_Cost]],CollectionCostTotal[[#This Row],[Collection_Ops]])</f>
        <v>1133393.0644985037</v>
      </c>
      <c r="W184"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10947636.708391603</v>
      </c>
    </row>
    <row r="185" spans="2:23" ht="15" x14ac:dyDescent="0.25">
      <c r="B185" s="209" t="str">
        <f>CollectionCostTotal[[#This Row],[Grouping_ID]]&amp;"-"&amp;CollectionCostTotal[[#This Row],[Sector_ID]]&amp;"-"&amp;CollectionCostTotal[[#This Row],[Frequency_ID]]&amp;"-"&amp;CollectionCostTotal[[#This Row],[SS_or_DS]]</f>
        <v>1-1-W-SS</v>
      </c>
      <c r="C185" s="209" t="str">
        <f>CollectionCostTotal[[#This Row],[Grouping_ID]]&amp;"-"&amp;CollectionCostTotal[[#This Row],[Sector_ID]]&amp;"-"&amp;CollectionCostTotal[[#This Row],[SS_or_DS]]</f>
        <v>1-1-SS</v>
      </c>
      <c r="D185" s="35">
        <v>1</v>
      </c>
      <c r="E185" s="24" t="str">
        <f>INDEX(Grouping[Grouping_Name],MATCH(CollectionCostTotal[[#This Row],[Grouping_ID]],Grouping[Grouping_ID],0))</f>
        <v>1 - Metro area</v>
      </c>
      <c r="F185" s="35">
        <v>1</v>
      </c>
      <c r="G185" s="24" t="str">
        <f>INDEX(Sector[Sector_Name],MATCH(CollectionCostTotal[[#This Row],[Sector_ID]],Sector[Sector_ID],0))</f>
        <v>SF Res. (on-route)</v>
      </c>
      <c r="H185" s="24" t="s">
        <v>873</v>
      </c>
      <c r="I185" s="289" t="s">
        <v>806</v>
      </c>
      <c r="J185" s="35" t="s">
        <v>64</v>
      </c>
      <c r="K185" s="24" t="str">
        <f>INDEX(Frequency[Collection_Frequency],MATCH(CollectionCostTotal[[#This Row],[Frequency_ID]],Frequency[Orig_Frequency_ID],0)+(CollectionCostTotal[[#This Row],[SS_or_DS]]="DS")*COUNTA(Frequency[Orig_Frequency_ID])/2)</f>
        <v>Weekly</v>
      </c>
      <c r="L185" s="35">
        <v>2025</v>
      </c>
      <c r="M185"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1393446.3512606001</v>
      </c>
      <c r="N185" s="99">
        <f>SUMIFS(CustCntSrcs[Number],CustCntSrcs[Grouping_ID],CollectionCostTotal[[#This Row],[Grouping_ID]],CustCntSrcs[Sector_ID],CollectionCostTotal[[#This Row],[Sector_ID]])</f>
        <v>0.26339829285649385</v>
      </c>
      <c r="O185" s="100">
        <f>CollectionCostTotal[[#This Row],[Population]]*CollectionCostTotal[[#This Row],[Pct. Customers/Pop]]</f>
        <v>367031.39010915236</v>
      </c>
      <c r="P185"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1437273.2908729594</v>
      </c>
      <c r="Q185" s="101">
        <f>CollectionCostTotal[[#This Row],[Customers]]*INDEX(LaborCostPerLift[Annual_Labor_Cost_Per_Customer],MATCH(CollectionCostTotal[[#This Row],[Collection_ID]],LaborCostPerLift[Collection_ID],0))*(IF(CollectionCostTotal[[#This Row],[Year]]=2025,SUMIFS(CustCntSrcs[Number],CustCntSrcs[Source_ID],$Q$33),1))</f>
        <v>15035645.242446691</v>
      </c>
      <c r="R185"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826541.76579542458</v>
      </c>
      <c r="S185"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4350093.585454545</v>
      </c>
      <c r="T185"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5848145.9094227925</v>
      </c>
      <c r="U185" s="101">
        <f>CollectionCostTotal[[#This Row],[Customers]]*INDEX(ContainerMarginAdmin[Annual_Admin_Per_Customer],MATCH(CollectionCostTotal[[#This Row],[Collection_ID]],ContainerMarginAdmin[Collection_ID],0))*(IF(CollectionCostTotal[[#This Row],[Year]]=2025,SUMIFS(CustCntSrcs[Number],CustCntSrcs[Source_ID],$U$33),1))</f>
        <v>5750388.720379848</v>
      </c>
      <c r="V185" s="101">
        <f>(SUMIFS(CustCntSrcs[Number],CustCntSrcs[Source_ID],$V$33)/(1-SUMIFS(CustCntSrcs[Number],CustCntSrcs[Source_ID],$V$33)))*SUM(CollectionCostTotal[[#This Row],[Collection_Labor]],CollectionCostTotal[[#This Row],[Annual_Container_Cost]],CollectionCostTotal[[#This Row],[Collection_Ops]])</f>
        <v>3831235.2207643958</v>
      </c>
      <c r="W185"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37079323.735136658</v>
      </c>
    </row>
    <row r="186" spans="2:23" ht="15" x14ac:dyDescent="0.25">
      <c r="B186" s="209" t="str">
        <f>CollectionCostTotal[[#This Row],[Grouping_ID]]&amp;"-"&amp;CollectionCostTotal[[#This Row],[Sector_ID]]&amp;"-"&amp;CollectionCostTotal[[#This Row],[Frequency_ID]]&amp;"-"&amp;CollectionCostTotal[[#This Row],[SS_or_DS]]</f>
        <v>1-1-E-SS</v>
      </c>
      <c r="C186" s="209" t="str">
        <f>CollectionCostTotal[[#This Row],[Grouping_ID]]&amp;"-"&amp;CollectionCostTotal[[#This Row],[Sector_ID]]&amp;"-"&amp;CollectionCostTotal[[#This Row],[SS_or_DS]]</f>
        <v>1-1-SS</v>
      </c>
      <c r="D186" s="35">
        <v>1</v>
      </c>
      <c r="E186" s="24" t="str">
        <f>INDEX(Grouping[Grouping_Name],MATCH(CollectionCostTotal[[#This Row],[Grouping_ID]],Grouping[Grouping_ID],0))</f>
        <v>1 - Metro area</v>
      </c>
      <c r="F186" s="35">
        <v>1</v>
      </c>
      <c r="G186" s="24" t="str">
        <f>INDEX(Sector[Sector_Name],MATCH(CollectionCostTotal[[#This Row],[Sector_ID]],Sector[Sector_ID],0))</f>
        <v>SF Res. (on-route)</v>
      </c>
      <c r="H186" s="24" t="s">
        <v>873</v>
      </c>
      <c r="I186" s="289" t="s">
        <v>806</v>
      </c>
      <c r="J186" s="35" t="s">
        <v>53</v>
      </c>
      <c r="K186" s="24" t="str">
        <f>INDEX(Frequency[Collection_Frequency],MATCH(CollectionCostTotal[[#This Row],[Frequency_ID]],Frequency[Orig_Frequency_ID],0)+(CollectionCostTotal[[#This Row],[SS_or_DS]]="DS")*COUNTA(Frequency[Orig_Frequency_ID])/2)</f>
        <v>Every other week</v>
      </c>
      <c r="L186" s="35">
        <v>2025</v>
      </c>
      <c r="M186"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375226.44828045601</v>
      </c>
      <c r="N186" s="99">
        <f>SUMIFS(CustCntSrcs[Number],CustCntSrcs[Grouping_ID],CollectionCostTotal[[#This Row],[Grouping_ID]],CustCntSrcs[Sector_ID],CollectionCostTotal[[#This Row],[Sector_ID]])</f>
        <v>0.26339829285649385</v>
      </c>
      <c r="O186" s="100">
        <f>CollectionCostTotal[[#This Row],[Population]]*CollectionCostTotal[[#This Row],[Pct. Customers/Pop]]</f>
        <v>98834.005911677596</v>
      </c>
      <c r="P186"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387028.14188342134</v>
      </c>
      <c r="Q186" s="101">
        <f>CollectionCostTotal[[#This Row],[Customers]]*INDEX(LaborCostPerLift[Annual_Labor_Cost_Per_Customer],MATCH(CollectionCostTotal[[#This Row],[Collection_ID]],LaborCostPerLift[Collection_ID],0))*(IF(CollectionCostTotal[[#This Row],[Year]]=2025,SUMIFS(CustCntSrcs[Number],CustCntSrcs[Source_ID],$Q$33),1))</f>
        <v>3030442.8031281852</v>
      </c>
      <c r="R186"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256189.79647345981</v>
      </c>
      <c r="S186"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500049.30666077073</v>
      </c>
      <c r="T186"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1391625.3894134881</v>
      </c>
      <c r="U186" s="101">
        <f>CollectionCostTotal[[#This Row],[Customers]]*INDEX(ContainerMarginAdmin[Annual_Admin_Per_Customer],MATCH(CollectionCostTotal[[#This Row],[Collection_ID]],ContainerMarginAdmin[Collection_ID],0))*(IF(CollectionCostTotal[[#This Row],[Year]]=2025,SUMIFS(CustCntSrcs[Number],CustCntSrcs[Source_ID],$U$33),1))</f>
        <v>1101462.296580787</v>
      </c>
      <c r="V186" s="101">
        <f>(SUMIFS(CustCntSrcs[Number],CustCntSrcs[Source_ID],$V$33)/(1-SUMIFS(CustCntSrcs[Number],CustCntSrcs[Source_ID],$V$33)))*SUM(CollectionCostTotal[[#This Row],[Collection_Labor]],CollectionCostTotal[[#This Row],[Annual_Container_Cost]],CollectionCostTotal[[#This Row],[Collection_Ops]])</f>
        <v>825574.93923796469</v>
      </c>
      <c r="W186"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7492372.6733780764</v>
      </c>
    </row>
    <row r="187" spans="2:23" ht="15" x14ac:dyDescent="0.25">
      <c r="B187" s="209" t="str">
        <f>CollectionCostTotal[[#This Row],[Grouping_ID]]&amp;"-"&amp;CollectionCostTotal[[#This Row],[Sector_ID]]&amp;"-"&amp;CollectionCostTotal[[#This Row],[Frequency_ID]]&amp;"-"&amp;CollectionCostTotal[[#This Row],[SS_or_DS]]</f>
        <v>2-1-W-SS</v>
      </c>
      <c r="C187" s="209" t="str">
        <f>CollectionCostTotal[[#This Row],[Grouping_ID]]&amp;"-"&amp;CollectionCostTotal[[#This Row],[Sector_ID]]&amp;"-"&amp;CollectionCostTotal[[#This Row],[SS_or_DS]]</f>
        <v>2-1-SS</v>
      </c>
      <c r="D187" s="35">
        <v>2</v>
      </c>
      <c r="E187" s="24" t="str">
        <f>INDEX(Grouping[Grouping_Name],MATCH(CollectionCostTotal[[#This Row],[Grouping_ID]],Grouping[Grouping_ID],0))</f>
        <v>2 - Willamette Valley, etc.</v>
      </c>
      <c r="F187" s="35">
        <v>1</v>
      </c>
      <c r="G187" s="24" t="str">
        <f>INDEX(Sector[Sector_Name],MATCH(CollectionCostTotal[[#This Row],[Sector_ID]],Sector[Sector_ID],0))</f>
        <v>SF Res. (on-route)</v>
      </c>
      <c r="H187" s="24" t="s">
        <v>873</v>
      </c>
      <c r="I187" s="289" t="s">
        <v>806</v>
      </c>
      <c r="J187" s="35" t="s">
        <v>64</v>
      </c>
      <c r="K187" s="24" t="str">
        <f>INDEX(Frequency[Collection_Frequency],MATCH(CollectionCostTotal[[#This Row],[Frequency_ID]],Frequency[Orig_Frequency_ID],0)+(CollectionCostTotal[[#This Row],[SS_or_DS]]="DS")*COUNTA(Frequency[Orig_Frequency_ID])/2)</f>
        <v>Weekly</v>
      </c>
      <c r="L187" s="35">
        <v>2025</v>
      </c>
      <c r="M187"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365186.16509931785</v>
      </c>
      <c r="N187" s="99">
        <f>SUMIFS(CustCntSrcs[Number],CustCntSrcs[Grouping_ID],CollectionCostTotal[[#This Row],[Grouping_ID]],CustCntSrcs[Sector_ID],CollectionCostTotal[[#This Row],[Sector_ID]])</f>
        <v>0.25090000000000001</v>
      </c>
      <c r="O187" s="100">
        <f>CollectionCostTotal[[#This Row],[Population]]*CollectionCostTotal[[#This Row],[Pct. Customers/Pop]]</f>
        <v>91625.208823418856</v>
      </c>
      <c r="P187"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358798.91737160028</v>
      </c>
      <c r="Q187" s="101">
        <f>CollectionCostTotal[[#This Row],[Customers]]*INDEX(LaborCostPerLift[Annual_Labor_Cost_Per_Customer],MATCH(CollectionCostTotal[[#This Row],[Collection_ID]],LaborCostPerLift[Collection_ID],0))*(IF(CollectionCostTotal[[#This Row],[Year]]=2025,SUMIFS(CustCntSrcs[Number],CustCntSrcs[Source_ID],$Q$33),1))</f>
        <v>3659128.2695488357</v>
      </c>
      <c r="R187"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274284.05880998657</v>
      </c>
      <c r="S187"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733193.0515072915</v>
      </c>
      <c r="T187"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2223634.8994612186</v>
      </c>
      <c r="U187" s="101">
        <f>CollectionCostTotal[[#This Row],[Customers]]*INDEX(ContainerMarginAdmin[Annual_Admin_Per_Customer],MATCH(CollectionCostTotal[[#This Row],[Collection_ID]],ContainerMarginAdmin[Collection_ID],0))*(IF(CollectionCostTotal[[#This Row],[Year]]=2025,SUMIFS(CustCntSrcs[Number],CustCntSrcs[Source_ID],$U$33),1))</f>
        <v>1585405.3209771351</v>
      </c>
      <c r="V187" s="101">
        <f>(SUMIFS(CustCntSrcs[Number],CustCntSrcs[Source_ID],$V$33)/(1-SUMIFS(CustCntSrcs[Number],CustCntSrcs[Source_ID],$V$33)))*SUM(CollectionCostTotal[[#This Row],[Collection_Labor]],CollectionCostTotal[[#This Row],[Annual_Container_Cost]],CollectionCostTotal[[#This Row],[Collection_Ops]])</f>
        <v>1086537.7460858896</v>
      </c>
      <c r="W187"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9920982.2637619562</v>
      </c>
    </row>
    <row r="188" spans="2:23" ht="15" x14ac:dyDescent="0.25">
      <c r="B188" s="209" t="str">
        <f>CollectionCostTotal[[#This Row],[Grouping_ID]]&amp;"-"&amp;CollectionCostTotal[[#This Row],[Sector_ID]]&amp;"-"&amp;CollectionCostTotal[[#This Row],[Frequency_ID]]&amp;"-"&amp;CollectionCostTotal[[#This Row],[SS_or_DS]]</f>
        <v>2-1-E-SS</v>
      </c>
      <c r="C188" s="209" t="str">
        <f>CollectionCostTotal[[#This Row],[Grouping_ID]]&amp;"-"&amp;CollectionCostTotal[[#This Row],[Sector_ID]]&amp;"-"&amp;CollectionCostTotal[[#This Row],[SS_or_DS]]</f>
        <v>2-1-SS</v>
      </c>
      <c r="D188" s="35">
        <v>2</v>
      </c>
      <c r="E188" s="24" t="str">
        <f>INDEX(Grouping[Grouping_Name],MATCH(CollectionCostTotal[[#This Row],[Grouping_ID]],Grouping[Grouping_ID],0))</f>
        <v>2 - Willamette Valley, etc.</v>
      </c>
      <c r="F188" s="35">
        <v>1</v>
      </c>
      <c r="G188" s="24" t="str">
        <f>INDEX(Sector[Sector_Name],MATCH(CollectionCostTotal[[#This Row],[Sector_ID]],Sector[Sector_ID],0))</f>
        <v>SF Res. (on-route)</v>
      </c>
      <c r="H188" s="24" t="s">
        <v>873</v>
      </c>
      <c r="I188" s="289" t="s">
        <v>806</v>
      </c>
      <c r="J188" s="35" t="s">
        <v>53</v>
      </c>
      <c r="K188" s="24" t="str">
        <f>INDEX(Frequency[Collection_Frequency],MATCH(CollectionCostTotal[[#This Row],[Frequency_ID]],Frequency[Orig_Frequency_ID],0)+(CollectionCostTotal[[#This Row],[SS_or_DS]]="DS")*COUNTA(Frequency[Orig_Frequency_ID])/2)</f>
        <v>Every other week</v>
      </c>
      <c r="L188" s="35">
        <v>2025</v>
      </c>
      <c r="M188"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1144761.8824050445</v>
      </c>
      <c r="N188" s="99">
        <f>SUMIFS(CustCntSrcs[Number],CustCntSrcs[Grouping_ID],CollectionCostTotal[[#This Row],[Grouping_ID]],CustCntSrcs[Sector_ID],CollectionCostTotal[[#This Row],[Sector_ID]])</f>
        <v>0.25090000000000001</v>
      </c>
      <c r="O188" s="100">
        <f>CollectionCostTotal[[#This Row],[Population]]*CollectionCostTotal[[#This Row],[Pct. Customers/Pop]]</f>
        <v>287220.7562954257</v>
      </c>
      <c r="P188"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1124739.5528894104</v>
      </c>
      <c r="Q188" s="101">
        <f>CollectionCostTotal[[#This Row],[Customers]]*INDEX(LaborCostPerLift[Annual_Labor_Cost_Per_Customer],MATCH(CollectionCostTotal[[#This Row],[Collection_ID]],LaborCostPerLift[Collection_ID],0))*(IF(CollectionCostTotal[[#This Row],[Year]]=2025,SUMIFS(CustCntSrcs[Number],CustCntSrcs[Source_ID],$Q$33),1))</f>
        <v>8899952.409220228</v>
      </c>
      <c r="R188"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634737.09031003586</v>
      </c>
      <c r="S188"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1696725.7454494475</v>
      </c>
      <c r="T188"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5145846.069653078</v>
      </c>
      <c r="U188" s="101">
        <f>CollectionCostTotal[[#This Row],[Customers]]*INDEX(ContainerMarginAdmin[Annual_Admin_Per_Customer],MATCH(CollectionCostTotal[[#This Row],[Collection_ID]],ContainerMarginAdmin[Collection_ID],0))*(IF(CollectionCostTotal[[#This Row],[Year]]=2025,SUMIFS(CustCntSrcs[Number],CustCntSrcs[Source_ID],$U$33),1))</f>
        <v>3475473.102058081</v>
      </c>
      <c r="V188" s="101">
        <f>(SUMIFS(CustCntSrcs[Number],CustCntSrcs[Source_ID],$V$33)/(1-SUMIFS(CustCntSrcs[Number],CustCntSrcs[Source_ID],$V$33)))*SUM(CollectionCostTotal[[#This Row],[Collection_Labor]],CollectionCostTotal[[#This Row],[Annual_Container_Cost]],CollectionCostTotal[[#This Row],[Collection_Ops]])</f>
        <v>2590682.747502943</v>
      </c>
      <c r="W188"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23568156.717083219</v>
      </c>
    </row>
    <row r="189" spans="2:23" ht="15" x14ac:dyDescent="0.25">
      <c r="B189" s="209" t="str">
        <f>CollectionCostTotal[[#This Row],[Grouping_ID]]&amp;"-"&amp;CollectionCostTotal[[#This Row],[Sector_ID]]&amp;"-"&amp;CollectionCostTotal[[#This Row],[Frequency_ID]]&amp;"-"&amp;CollectionCostTotal[[#This Row],[SS_or_DS]]</f>
        <v>2-1-U-SS</v>
      </c>
      <c r="C189" s="209" t="str">
        <f>CollectionCostTotal[[#This Row],[Grouping_ID]]&amp;"-"&amp;CollectionCostTotal[[#This Row],[Sector_ID]]&amp;"-"&amp;CollectionCostTotal[[#This Row],[SS_or_DS]]</f>
        <v>2-1-SS</v>
      </c>
      <c r="D189" s="35">
        <v>2</v>
      </c>
      <c r="E189" s="24" t="str">
        <f>INDEX(Grouping[Grouping_Name],MATCH(CollectionCostTotal[[#This Row],[Grouping_ID]],Grouping[Grouping_ID],0))</f>
        <v>2 - Willamette Valley, etc.</v>
      </c>
      <c r="F189" s="35">
        <v>1</v>
      </c>
      <c r="G189" s="24" t="str">
        <f>INDEX(Sector[Sector_Name],MATCH(CollectionCostTotal[[#This Row],[Sector_ID]],Sector[Sector_ID],0))</f>
        <v>SF Res. (on-route)</v>
      </c>
      <c r="H189" s="24" t="s">
        <v>873</v>
      </c>
      <c r="I189" s="289" t="s">
        <v>806</v>
      </c>
      <c r="J189" s="35" t="s">
        <v>65</v>
      </c>
      <c r="K189" s="24" t="str">
        <f>INDEX(Frequency[Collection_Frequency],MATCH(CollectionCostTotal[[#This Row],[Frequency_ID]],Frequency[Orig_Frequency_ID],0)+(CollectionCostTotal[[#This Row],[SS_or_DS]]="DS")*COUNTA(Frequency[Orig_Frequency_ID])/2)</f>
        <v>Uncertain</v>
      </c>
      <c r="L189" s="35">
        <v>2025</v>
      </c>
      <c r="M189"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89" s="99">
        <f>SUMIFS(CustCntSrcs[Number],CustCntSrcs[Grouping_ID],CollectionCostTotal[[#This Row],[Grouping_ID]],CustCntSrcs[Sector_ID],CollectionCostTotal[[#This Row],[Sector_ID]])</f>
        <v>0.25090000000000001</v>
      </c>
      <c r="O189" s="100">
        <f>CollectionCostTotal[[#This Row],[Population]]*CollectionCostTotal[[#This Row],[Pct. Customers/Pop]]</f>
        <v>0</v>
      </c>
      <c r="P189"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89" s="101">
        <f>CollectionCostTotal[[#This Row],[Customers]]*INDEX(LaborCostPerLift[Annual_Labor_Cost_Per_Customer],MATCH(CollectionCostTotal[[#This Row],[Collection_ID]],LaborCostPerLift[Collection_ID],0))*(IF(CollectionCostTotal[[#This Row],[Year]]=2025,SUMIFS(CustCntSrcs[Number],CustCntSrcs[Source_ID],$Q$33),1))</f>
        <v>0</v>
      </c>
      <c r="R189"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89"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89"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89" s="101">
        <f>CollectionCostTotal[[#This Row],[Customers]]*INDEX(ContainerMarginAdmin[Annual_Admin_Per_Customer],MATCH(CollectionCostTotal[[#This Row],[Collection_ID]],ContainerMarginAdmin[Collection_ID],0))*(IF(CollectionCostTotal[[#This Row],[Year]]=2025,SUMIFS(CustCntSrcs[Number],CustCntSrcs[Source_ID],$U$33),1))</f>
        <v>0</v>
      </c>
      <c r="V189" s="101">
        <f>(SUMIFS(CustCntSrcs[Number],CustCntSrcs[Source_ID],$V$33)/(1-SUMIFS(CustCntSrcs[Number],CustCntSrcs[Source_ID],$V$33)))*SUM(CollectionCostTotal[[#This Row],[Collection_Labor]],CollectionCostTotal[[#This Row],[Annual_Container_Cost]],CollectionCostTotal[[#This Row],[Collection_Ops]])</f>
        <v>0</v>
      </c>
      <c r="W189"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row r="190" spans="2:23" ht="15" x14ac:dyDescent="0.25">
      <c r="B190" s="209" t="str">
        <f>CollectionCostTotal[[#This Row],[Grouping_ID]]&amp;"-"&amp;CollectionCostTotal[[#This Row],[Sector_ID]]&amp;"-"&amp;CollectionCostTotal[[#This Row],[Frequency_ID]]&amp;"-"&amp;CollectionCostTotal[[#This Row],[SS_or_DS]]</f>
        <v>3-1-W-SS</v>
      </c>
      <c r="C190" s="209" t="str">
        <f>CollectionCostTotal[[#This Row],[Grouping_ID]]&amp;"-"&amp;CollectionCostTotal[[#This Row],[Sector_ID]]&amp;"-"&amp;CollectionCostTotal[[#This Row],[SS_or_DS]]</f>
        <v>3-1-SS</v>
      </c>
      <c r="D190" s="35">
        <v>3</v>
      </c>
      <c r="E190" s="24" t="str">
        <f>INDEX(Grouping[Grouping_Name],MATCH(CollectionCostTotal[[#This Row],[Grouping_ID]],Grouping[Grouping_ID],0))</f>
        <v>3 - Other areas with curbside</v>
      </c>
      <c r="F190" s="35">
        <v>1</v>
      </c>
      <c r="G190" s="24" t="str">
        <f>INDEX(Sector[Sector_Name],MATCH(CollectionCostTotal[[#This Row],[Sector_ID]],Sector[Sector_ID],0))</f>
        <v>SF Res. (on-route)</v>
      </c>
      <c r="H190" s="24" t="s">
        <v>873</v>
      </c>
      <c r="I190" s="289" t="s">
        <v>806</v>
      </c>
      <c r="J190" s="35" t="s">
        <v>64</v>
      </c>
      <c r="K190" s="24" t="str">
        <f>INDEX(Frequency[Collection_Frequency],MATCH(CollectionCostTotal[[#This Row],[Frequency_ID]],Frequency[Orig_Frequency_ID],0)+(CollectionCostTotal[[#This Row],[SS_or_DS]]="DS")*COUNTA(Frequency[Orig_Frequency_ID])/2)</f>
        <v>Weekly</v>
      </c>
      <c r="L190" s="35">
        <v>2025</v>
      </c>
      <c r="M190"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219262.41443309668</v>
      </c>
      <c r="N190" s="99">
        <f>SUMIFS(CustCntSrcs[Number],CustCntSrcs[Grouping_ID],CollectionCostTotal[[#This Row],[Grouping_ID]],CustCntSrcs[Sector_ID],CollectionCostTotal[[#This Row],[Sector_ID]])</f>
        <v>0.26100000000000001</v>
      </c>
      <c r="O190" s="100">
        <f>CollectionCostTotal[[#This Row],[Population]]*CollectionCostTotal[[#This Row],[Pct. Customers/Pop]]</f>
        <v>57227.490167038239</v>
      </c>
      <c r="P190"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224099.47851141013</v>
      </c>
      <c r="Q190" s="101">
        <f>CollectionCostTotal[[#This Row],[Customers]]*INDEX(LaborCostPerLift[Annual_Labor_Cost_Per_Customer],MATCH(CollectionCostTotal[[#This Row],[Collection_ID]],LaborCostPerLift[Collection_ID],0))*(IF(CollectionCostTotal[[#This Row],[Year]]=2025,SUMIFS(CustCntSrcs[Number],CustCntSrcs[Source_ID],$Q$33),1))</f>
        <v>2861845.8077223087</v>
      </c>
      <c r="R190"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147700.88362564368</v>
      </c>
      <c r="S190"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839734.37763233646</v>
      </c>
      <c r="T190"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1760048.7838936553</v>
      </c>
      <c r="U190" s="101">
        <f>CollectionCostTotal[[#This Row],[Customers]]*INDEX(ContainerMarginAdmin[Annual_Admin_Per_Customer],MATCH(CollectionCostTotal[[#This Row],[Collection_ID]],ContainerMarginAdmin[Collection_ID],0))*(IF(CollectionCostTotal[[#This Row],[Year]]=2025,SUMIFS(CustCntSrcs[Number],CustCntSrcs[Source_ID],$U$33),1))</f>
        <v>1330318.2703114441</v>
      </c>
      <c r="V190" s="101">
        <f>(SUMIFS(CustCntSrcs[Number],CustCntSrcs[Source_ID],$V$33)/(1-SUMIFS(CustCntSrcs[Number],CustCntSrcs[Source_ID],$V$33)))*SUM(CollectionCostTotal[[#This Row],[Collection_Labor]],CollectionCostTotal[[#This Row],[Annual_Container_Cost]],CollectionCostTotal[[#This Row],[Collection_Ops]])</f>
        <v>841693.31916028378</v>
      </c>
      <c r="W190"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8005440.9208570821</v>
      </c>
    </row>
    <row r="191" spans="2:23" ht="15" x14ac:dyDescent="0.25">
      <c r="B191" s="209" t="str">
        <f>CollectionCostTotal[[#This Row],[Grouping_ID]]&amp;"-"&amp;CollectionCostTotal[[#This Row],[Sector_ID]]&amp;"-"&amp;CollectionCostTotal[[#This Row],[Frequency_ID]]&amp;"-"&amp;CollectionCostTotal[[#This Row],[SS_or_DS]]</f>
        <v>3-1-E-SS</v>
      </c>
      <c r="C191" s="209" t="str">
        <f>CollectionCostTotal[[#This Row],[Grouping_ID]]&amp;"-"&amp;CollectionCostTotal[[#This Row],[Sector_ID]]&amp;"-"&amp;CollectionCostTotal[[#This Row],[SS_or_DS]]</f>
        <v>3-1-SS</v>
      </c>
      <c r="D191" s="35">
        <v>3</v>
      </c>
      <c r="E191" s="24" t="str">
        <f>INDEX(Grouping[Grouping_Name],MATCH(CollectionCostTotal[[#This Row],[Grouping_ID]],Grouping[Grouping_ID],0))</f>
        <v>3 - Other areas with curbside</v>
      </c>
      <c r="F191" s="35">
        <v>1</v>
      </c>
      <c r="G191" s="24" t="str">
        <f>INDEX(Sector[Sector_Name],MATCH(CollectionCostTotal[[#This Row],[Sector_ID]],Sector[Sector_ID],0))</f>
        <v>SF Res. (on-route)</v>
      </c>
      <c r="H191" s="24" t="s">
        <v>873</v>
      </c>
      <c r="I191" s="289" t="s">
        <v>806</v>
      </c>
      <c r="J191" s="35" t="s">
        <v>53</v>
      </c>
      <c r="K191" s="24" t="str">
        <f>INDEX(Frequency[Collection_Frequency],MATCH(CollectionCostTotal[[#This Row],[Frequency_ID]],Frequency[Orig_Frequency_ID],0)+(CollectionCostTotal[[#This Row],[SS_or_DS]]="DS")*COUNTA(Frequency[Orig_Frequency_ID])/2)</f>
        <v>Every other week</v>
      </c>
      <c r="L191" s="35">
        <v>2025</v>
      </c>
      <c r="M191"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347391.69092319539</v>
      </c>
      <c r="N191" s="99">
        <f>SUMIFS(CustCntSrcs[Number],CustCntSrcs[Grouping_ID],CollectionCostTotal[[#This Row],[Grouping_ID]],CustCntSrcs[Sector_ID],CollectionCostTotal[[#This Row],[Sector_ID]])</f>
        <v>0.26100000000000001</v>
      </c>
      <c r="O191" s="100">
        <f>CollectionCostTotal[[#This Row],[Population]]*CollectionCostTotal[[#This Row],[Pct. Customers/Pop]]</f>
        <v>90669.231330954004</v>
      </c>
      <c r="P191"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355055.36585632846</v>
      </c>
      <c r="Q191" s="101">
        <f>CollectionCostTotal[[#This Row],[Customers]]*INDEX(LaborCostPerLift[Annual_Labor_Cost_Per_Customer],MATCH(CollectionCostTotal[[#This Row],[Collection_ID]],LaborCostPerLift[Collection_ID],0))*(IF(CollectionCostTotal[[#This Row],[Year]]=2025,SUMIFS(CustCntSrcs[Number],CustCntSrcs[Source_ID],$Q$33),1))</f>
        <v>3891020.814480288</v>
      </c>
      <c r="R191"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172755.06656660352</v>
      </c>
      <c r="S191"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982176.71245504357</v>
      </c>
      <c r="T191"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2058602.070334723</v>
      </c>
      <c r="U191" s="101">
        <f>CollectionCostTotal[[#This Row],[Customers]]*INDEX(ContainerMarginAdmin[Annual_Admin_Per_Customer],MATCH(CollectionCostTotal[[#This Row],[Collection_ID]],ContainerMarginAdmin[Collection_ID],0))*(IF(CollectionCostTotal[[#This Row],[Year]]=2025,SUMIFS(CustCntSrcs[Number],CustCntSrcs[Source_ID],$U$33),1))</f>
        <v>2191957.2419979153</v>
      </c>
      <c r="V191" s="101">
        <f>(SUMIFS(CustCntSrcs[Number],CustCntSrcs[Source_ID],$V$33)/(1-SUMIFS(CustCntSrcs[Number],CustCntSrcs[Source_ID],$V$33)))*SUM(CollectionCostTotal[[#This Row],[Collection_Labor]],CollectionCostTotal[[#This Row],[Annual_Container_Cost]],CollectionCostTotal[[#This Row],[Collection_Ops]])</f>
        <v>1080419.6384791085</v>
      </c>
      <c r="W191"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10731986.910170009</v>
      </c>
    </row>
    <row r="192" spans="2:23" ht="15" x14ac:dyDescent="0.25">
      <c r="B192" s="209" t="str">
        <f>CollectionCostTotal[[#This Row],[Grouping_ID]]&amp;"-"&amp;CollectionCostTotal[[#This Row],[Sector_ID]]&amp;"-"&amp;CollectionCostTotal[[#This Row],[Frequency_ID]]&amp;"-"&amp;CollectionCostTotal[[#This Row],[SS_or_DS]]</f>
        <v>3-1-BM-SS</v>
      </c>
      <c r="C192" s="209" t="str">
        <f>CollectionCostTotal[[#This Row],[Grouping_ID]]&amp;"-"&amp;CollectionCostTotal[[#This Row],[Sector_ID]]&amp;"-"&amp;CollectionCostTotal[[#This Row],[SS_or_DS]]</f>
        <v>3-1-SS</v>
      </c>
      <c r="D192" s="35">
        <v>3</v>
      </c>
      <c r="E192" s="24" t="str">
        <f>INDEX(Grouping[Grouping_Name],MATCH(CollectionCostTotal[[#This Row],[Grouping_ID]],Grouping[Grouping_ID],0))</f>
        <v>3 - Other areas with curbside</v>
      </c>
      <c r="F192" s="35">
        <v>1</v>
      </c>
      <c r="G192" s="24" t="str">
        <f>INDEX(Sector[Sector_Name],MATCH(CollectionCostTotal[[#This Row],[Sector_ID]],Sector[Sector_ID],0))</f>
        <v>SF Res. (on-route)</v>
      </c>
      <c r="H192" s="24" t="s">
        <v>873</v>
      </c>
      <c r="I192" s="289" t="s">
        <v>806</v>
      </c>
      <c r="J192" s="35" t="s">
        <v>66</v>
      </c>
      <c r="K192" s="24" t="str">
        <f>INDEX(Frequency[Collection_Frequency],MATCH(CollectionCostTotal[[#This Row],[Frequency_ID]],Frequency[Orig_Frequency_ID],0)+(CollectionCostTotal[[#This Row],[SS_or_DS]]="DS")*COUNTA(Frequency[Orig_Frequency_ID])/2)</f>
        <v>Bimonthly</v>
      </c>
      <c r="L192" s="35">
        <v>2025</v>
      </c>
      <c r="M192"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2720.856747132194</v>
      </c>
      <c r="N192" s="99">
        <f>SUMIFS(CustCntSrcs[Number],CustCntSrcs[Grouping_ID],CollectionCostTotal[[#This Row],[Grouping_ID]],CustCntSrcs[Sector_ID],CollectionCostTotal[[#This Row],[Sector_ID]])</f>
        <v>0.26100000000000001</v>
      </c>
      <c r="O192" s="100">
        <f>CollectionCostTotal[[#This Row],[Population]]*CollectionCostTotal[[#This Row],[Pct. Customers/Pop]]</f>
        <v>710.14361100150268</v>
      </c>
      <c r="P192"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2780.8805248864328</v>
      </c>
      <c r="Q192" s="101">
        <f>CollectionCostTotal[[#This Row],[Customers]]*INDEX(LaborCostPerLift[Annual_Labor_Cost_Per_Customer],MATCH(CollectionCostTotal[[#This Row],[Collection_ID]],LaborCostPerLift[Collection_ID],0))*(IF(CollectionCostTotal[[#This Row],[Year]]=2025,SUMIFS(CustCntSrcs[Number],CustCntSrcs[Source_ID],$Q$33),1))</f>
        <v>28349.234737724608</v>
      </c>
      <c r="R192"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1258.6604307029447</v>
      </c>
      <c r="S192"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7155.9519989444489</v>
      </c>
      <c r="T192"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14998.581633462647</v>
      </c>
      <c r="U192" s="101">
        <f>CollectionCostTotal[[#This Row],[Customers]]*INDEX(ContainerMarginAdmin[Annual_Admin_Per_Customer],MATCH(CollectionCostTotal[[#This Row],[Collection_ID]],ContainerMarginAdmin[Collection_ID],0))*(IF(CollectionCostTotal[[#This Row],[Year]]=2025,SUMIFS(CustCntSrcs[Number],CustCntSrcs[Source_ID],$U$33),1))</f>
        <v>17167.945599003633</v>
      </c>
      <c r="V192" s="101">
        <f>(SUMIFS(CustCntSrcs[Number],CustCntSrcs[Source_ID],$V$33)/(1-SUMIFS(CustCntSrcs[Number],CustCntSrcs[Source_ID],$V$33)))*SUM(CollectionCostTotal[[#This Row],[Collection_Labor]],CollectionCostTotal[[#This Row],[Annual_Container_Cost]],CollectionCostTotal[[#This Row],[Collection_Ops]])</f>
        <v>7871.7312003335646</v>
      </c>
      <c r="W192"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79582.986125058291</v>
      </c>
    </row>
    <row r="193" spans="2:23" ht="15" x14ac:dyDescent="0.25">
      <c r="B193" s="209" t="str">
        <f>CollectionCostTotal[[#This Row],[Grouping_ID]]&amp;"-"&amp;CollectionCostTotal[[#This Row],[Sector_ID]]&amp;"-"&amp;CollectionCostTotal[[#This Row],[Frequency_ID]]&amp;"-"&amp;CollectionCostTotal[[#This Row],[SS_or_DS]]</f>
        <v>3-1-M-SS</v>
      </c>
      <c r="C193" s="209" t="str">
        <f>CollectionCostTotal[[#This Row],[Grouping_ID]]&amp;"-"&amp;CollectionCostTotal[[#This Row],[Sector_ID]]&amp;"-"&amp;CollectionCostTotal[[#This Row],[SS_or_DS]]</f>
        <v>3-1-SS</v>
      </c>
      <c r="D193" s="35">
        <v>3</v>
      </c>
      <c r="E193" s="24" t="str">
        <f>INDEX(Grouping[Grouping_Name],MATCH(CollectionCostTotal[[#This Row],[Grouping_ID]],Grouping[Grouping_ID],0))</f>
        <v>3 - Other areas with curbside</v>
      </c>
      <c r="F193" s="35">
        <v>1</v>
      </c>
      <c r="G193" s="24" t="str">
        <f>INDEX(Sector[Sector_Name],MATCH(CollectionCostTotal[[#This Row],[Sector_ID]],Sector[Sector_ID],0))</f>
        <v>SF Res. (on-route)</v>
      </c>
      <c r="H193" s="24" t="s">
        <v>873</v>
      </c>
      <c r="I193" s="289" t="s">
        <v>806</v>
      </c>
      <c r="J193" s="35" t="s">
        <v>67</v>
      </c>
      <c r="K193" s="24" t="str">
        <f>INDEX(Frequency[Collection_Frequency],MATCH(CollectionCostTotal[[#This Row],[Frequency_ID]],Frequency[Orig_Frequency_ID],0)+(CollectionCostTotal[[#This Row],[SS_or_DS]]="DS")*COUNTA(Frequency[Orig_Frequency_ID])/2)</f>
        <v>Monthly</v>
      </c>
      <c r="L193" s="35">
        <v>2025</v>
      </c>
      <c r="M193" s="32">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8634.829400662129</v>
      </c>
      <c r="N193" s="99">
        <f>SUMIFS(CustCntSrcs[Number],CustCntSrcs[Grouping_ID],CollectionCostTotal[[#This Row],[Grouping_ID]],CustCntSrcs[Sector_ID],CollectionCostTotal[[#This Row],[Sector_ID]])</f>
        <v>0.26100000000000001</v>
      </c>
      <c r="O193" s="100">
        <f>CollectionCostTotal[[#This Row],[Population]]*CollectionCostTotal[[#This Row],[Pct. Customers/Pop]]</f>
        <v>2253.6904735728158</v>
      </c>
      <c r="P193" s="10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8825.319062213548</v>
      </c>
      <c r="Q193" s="101">
        <f>CollectionCostTotal[[#This Row],[Customers]]*INDEX(LaborCostPerLift[Annual_Labor_Cost_Per_Customer],MATCH(CollectionCostTotal[[#This Row],[Collection_ID]],LaborCostPerLift[Collection_ID],0))*(IF(CollectionCostTotal[[#This Row],[Year]]=2025,SUMIFS(CustCntSrcs[Number],CustCntSrcs[Source_ID],$Q$33),1))</f>
        <v>44984.140722878583</v>
      </c>
      <c r="R193" s="10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1997.2235039457967</v>
      </c>
      <c r="S193" s="101">
        <f>CollectionCostTotal[[#This Row],[Customers]]*INDEX(ContainerCapitalCostPerPickup[Annual_Truck_Cost_Per_Customer],MATCH(CollectionCostTotal[[#This Row],[Collection_ID]],ContainerCapitalCostPerPickup[Collection_ID],0))*(IF(CollectionCostTotal[[#This Row],[Year]]=2025,SUMIFS(CustCntSrcs[Number],CustCntSrcs[Source_ID],$R$33),1))</f>
        <v>11354.957363216585</v>
      </c>
      <c r="T193" s="10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23799.524505169029</v>
      </c>
      <c r="U193" s="101">
        <f>CollectionCostTotal[[#This Row],[Customers]]*INDEX(ContainerMarginAdmin[Annual_Admin_Per_Customer],MATCH(CollectionCostTotal[[#This Row],[Collection_ID]],ContainerMarginAdmin[Collection_ID],0))*(IF(CollectionCostTotal[[#This Row],[Year]]=2025,SUMIFS(CustCntSrcs[Number],CustCntSrcs[Source_ID],$U$33),1))</f>
        <v>54483.677453248216</v>
      </c>
      <c r="V193" s="101">
        <f>(SUMIFS(CustCntSrcs[Number],CustCntSrcs[Source_ID],$V$33)/(1-SUMIFS(CustCntSrcs[Number],CustCntSrcs[Source_ID],$V$33)))*SUM(CollectionCostTotal[[#This Row],[Collection_Labor]],CollectionCostTotal[[#This Row],[Annual_Container_Cost]],CollectionCostTotal[[#This Row],[Collection_Ops]])</f>
        <v>12490.745070351781</v>
      </c>
      <c r="W193" s="102">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157935.58768102355</v>
      </c>
    </row>
    <row r="194" spans="2:23" ht="15" x14ac:dyDescent="0.25">
      <c r="B194" s="210" t="str">
        <f>CollectionCostTotal[[#This Row],[Grouping_ID]]&amp;"-"&amp;CollectionCostTotal[[#This Row],[Sector_ID]]&amp;"-"&amp;CollectionCostTotal[[#This Row],[Frequency_ID]]&amp;"-"&amp;CollectionCostTotal[[#This Row],[SS_or_DS]]</f>
        <v>3-1-U-SS</v>
      </c>
      <c r="C194" s="210" t="str">
        <f>CollectionCostTotal[[#This Row],[Grouping_ID]]&amp;"-"&amp;CollectionCostTotal[[#This Row],[Sector_ID]]&amp;"-"&amp;CollectionCostTotal[[#This Row],[SS_or_DS]]</f>
        <v>3-1-SS</v>
      </c>
      <c r="D194" s="126">
        <v>3</v>
      </c>
      <c r="E194" s="127" t="str">
        <f>INDEX(Grouping[Grouping_Name],MATCH(CollectionCostTotal[[#This Row],[Grouping_ID]],Grouping[Grouping_ID],0))</f>
        <v>3 - Other areas with curbside</v>
      </c>
      <c r="F194" s="126">
        <v>1</v>
      </c>
      <c r="G194" s="127" t="str">
        <f>INDEX(Sector[Sector_Name],MATCH(CollectionCostTotal[[#This Row],[Sector_ID]],Sector[Sector_ID],0))</f>
        <v>SF Res. (on-route)</v>
      </c>
      <c r="H194" s="24" t="s">
        <v>873</v>
      </c>
      <c r="I194" s="290" t="s">
        <v>806</v>
      </c>
      <c r="J194" s="126" t="s">
        <v>65</v>
      </c>
      <c r="K194" s="127" t="str">
        <f>INDEX(Frequency[Collection_Frequency],MATCH(CollectionCostTotal[[#This Row],[Frequency_ID]],Frequency[Orig_Frequency_ID],0)+(CollectionCostTotal[[#This Row],[SS_or_DS]]="DS")*COUNTA(Frequency[Orig_Frequency_ID])/2)</f>
        <v>Uncertain</v>
      </c>
      <c r="L194" s="126">
        <v>2025</v>
      </c>
      <c r="M194" s="128">
        <f>IF(CollectionCostTotal[[#This Row],[Sector_ID]]=1,SUMIFS(GroupPop2018[Pop2018],GroupPop2018[Group],CollectionCostTotal[[#This Row],[Grouping_ID]],GroupPop2018[FreqCode],CollectionCostTotal[[#This Row],[Frequency_ID]]),SUMIFS(GroupPop2018[Pop2018],GroupPop2018[Group],CollectionCostTotal[[#This Row],[Grouping_ID]]))*(CollectionCostTotal[[#This Row],[Year]]=2018)+
IF(CollectionCostTotal[[#This Row],[Sector_ID]]=1,SUMIFS(GroupPop2018[Pop2025],GroupPop2018[Group],CollectionCostTotal[[#This Row],[Grouping_ID]],GroupPop2018[FreqCode],CollectionCostTotal[[#This Row],[Frequency_ID]]),SUMIFS(GroupPop2018[Pop2025],GroupPop2018[Group],CollectionCostTotal[[#This Row],[Grouping_ID]]))*(CollectionCostTotal[[#This Row],[Year]]=2025)</f>
        <v>0</v>
      </c>
      <c r="N194" s="159">
        <f>SUMIFS(CustCntSrcs[Number],CustCntSrcs[Grouping_ID],CollectionCostTotal[[#This Row],[Grouping_ID]],CustCntSrcs[Sector_ID],CollectionCostTotal[[#This Row],[Sector_ID]])</f>
        <v>0.26100000000000001</v>
      </c>
      <c r="O194" s="160">
        <f>CollectionCostTotal[[#This Row],[Population]]*CollectionCostTotal[[#This Row],[Pct. Customers/Pop]]</f>
        <v>0</v>
      </c>
      <c r="P194" s="161">
        <f>CollectionCostTotal[[#This Row],[Customers]]*INDEX(ContainerMarginAdmin[Annual_Engagement_Per_Customer],MATCH(CollectionCostTotal[[#This Row],[Collection_ID]],ContainerMarginAdmin[Collection_ID],0))*(IF(CollectionCostTotal[[#This Row],[Year]]=2025,SUMIFS(CustCntSrcs[Number],CustCntSrcs[Source_ID],$P$33),1))+CollectionCostTotal[[#This Row],[Customers]]*((CollectionCostTotal[[#This Row],[Year]]=2025)*(CollectionCostTotal[[#This Row],[Sector_ID]]=1)*(CollectionCostTotal[[#This Row],[Scenario_ID]]&lt;&gt;"S0")*$H$21+(CollectionCostTotal[[#This Row],[Year]]=2025)*(CollectionCostTotal[[#This Row],[Scenario_ID]]&lt;&gt;"S0")*(CollectionCostTotal[[#This Row],[Frequency_ID]]="V")*$H$22)</f>
        <v>0</v>
      </c>
      <c r="Q194" s="161">
        <f>CollectionCostTotal[[#This Row],[Customers]]*INDEX(LaborCostPerLift[Annual_Labor_Cost_Per_Customer],MATCH(CollectionCostTotal[[#This Row],[Collection_ID]],LaborCostPerLift[Collection_ID],0))*(IF(CollectionCostTotal[[#This Row],[Year]]=2025,SUMIFS(CustCntSrcs[Number],CustCntSrcs[Source_ID],$Q$33),1))</f>
        <v>0</v>
      </c>
      <c r="R194" s="161">
        <f>CollectionCostTotal[[#This Row],[Customers]]*INDEX(ContainerCapitalCostPerPickup[Annual_Container_Cost_Per_Customer],MATCH(CollectionCostTotal[[#This Row],[Collection_ID]],ContainerCapitalCostPerPickup[Collection_ID],0))*(IF(CollectionCostTotal[[#This Row],[Year]]=2025,SUMIFS(CustCntSrcs[Number],CustCntSrcs[Source_ID],$R$33),1))</f>
        <v>0</v>
      </c>
      <c r="S194" s="161">
        <f>CollectionCostTotal[[#This Row],[Customers]]*INDEX(ContainerCapitalCostPerPickup[Annual_Truck_Cost_Per_Customer],MATCH(CollectionCostTotal[[#This Row],[Collection_ID]],ContainerCapitalCostPerPickup[Collection_ID],0))*(IF(CollectionCostTotal[[#This Row],[Year]]=2025,SUMIFS(CustCntSrcs[Number],CustCntSrcs[Source_ID],$R$33),1))</f>
        <v>0</v>
      </c>
      <c r="T194" s="161">
        <f>CollectionCostTotal[[#This Row],[Customers]]*INDEX(ContainerOtherOpsCostPerPickup[Annual_OtherOps_Cost_Per_Customer],MATCH(CollectionCostTotal[[#This Row],[Collection_ID]],ContainerOtherOpsCostPerPickup[Collection_ID],0))*(IF(CollectionCostTotal[[#This Row],[Year]]=2025,SUMIFS(CustCntSrcs[Number],CustCntSrcs[Source_ID],$T$33),1))</f>
        <v>0</v>
      </c>
      <c r="U194" s="161">
        <f>CollectionCostTotal[[#This Row],[Customers]]*INDEX(ContainerMarginAdmin[Annual_Admin_Per_Customer],MATCH(CollectionCostTotal[[#This Row],[Collection_ID]],ContainerMarginAdmin[Collection_ID],0))*(IF(CollectionCostTotal[[#This Row],[Year]]=2025,SUMIFS(CustCntSrcs[Number],CustCntSrcs[Source_ID],$U$33),1))</f>
        <v>0</v>
      </c>
      <c r="V194" s="161">
        <f>(SUMIFS(CustCntSrcs[Number],CustCntSrcs[Source_ID],$V$33)/(1-SUMIFS(CustCntSrcs[Number],CustCntSrcs[Source_ID],$V$33)))*SUM(CollectionCostTotal[[#This Row],[Collection_Labor]],CollectionCostTotal[[#This Row],[Annual_Container_Cost]],CollectionCostTotal[[#This Row],[Collection_Ops]])</f>
        <v>0</v>
      </c>
      <c r="W194" s="129">
        <f>SUM(CollectionCostTotal[[#This Row],[Engagement]],CollectionCostTotal[[#This Row],[Collection_Labor]],CollectionCostTotal[[#This Row],[Annual_Container_Cost]],CollectionCostTotal[[#This Row],[Annual_Truck_Cost]],CollectionCostTotal[[#This Row],[Collection_Ops]],CollectionCostTotal[[#This Row],[CollectionAdmin]],CollectionCostTotal[[#This Row],[Collection_MarginFF]])</f>
        <v>0</v>
      </c>
    </row>
  </sheetData>
  <sheetProtection algorithmName="SHA-512" hashValue="YK7kNK+zZssXwPnGMtwSRQFqwuylYRATQHiE29k1D+vfyW2w1wA/qKxp8yipi3lnVLcG4qBaQkSw2/XKWLoB6g==" saltValue="Eyoh/XEXug5C3toowLSeAg==" spinCount="100000" sheet="1" objects="1" scenarios="1" autoFilter="0"/>
  <phoneticPr fontId="15" type="noConversion"/>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sheetPr>
  <dimension ref="A1:AE92"/>
  <sheetViews>
    <sheetView workbookViewId="0"/>
  </sheetViews>
  <sheetFormatPr defaultRowHeight="14.25" x14ac:dyDescent="0.2"/>
  <cols>
    <col min="1" max="1" width="3.375" customWidth="1"/>
    <col min="2" max="2" width="34" customWidth="1"/>
    <col min="3" max="3" width="16.25" customWidth="1"/>
    <col min="4" max="5" width="16.375" customWidth="1"/>
    <col min="6" max="6" width="20.875" customWidth="1"/>
    <col min="7" max="7" width="35" customWidth="1"/>
    <col min="8" max="8" width="14.5" customWidth="1"/>
    <col min="9" max="9" width="21.25" customWidth="1"/>
    <col min="10" max="10" width="20.875" customWidth="1"/>
    <col min="11" max="11" width="15.25" customWidth="1"/>
    <col min="12" max="12" width="13" customWidth="1"/>
    <col min="13" max="13" width="13.375" customWidth="1"/>
    <col min="14" max="14" width="11.75" customWidth="1"/>
    <col min="17" max="17" width="11.875" customWidth="1"/>
  </cols>
  <sheetData>
    <row r="1" spans="1:20" ht="20.25" thickBot="1" x14ac:dyDescent="0.35">
      <c r="A1" s="146"/>
      <c r="B1" s="26" t="s">
        <v>841</v>
      </c>
      <c r="C1" s="27"/>
      <c r="D1" s="27"/>
      <c r="E1" s="27"/>
      <c r="F1" s="27"/>
      <c r="G1" s="27"/>
      <c r="H1" s="27"/>
      <c r="I1" s="27"/>
      <c r="J1" s="27"/>
      <c r="K1" s="27"/>
      <c r="L1" s="27"/>
      <c r="M1" s="27"/>
      <c r="N1" s="27"/>
      <c r="O1" s="34"/>
      <c r="P1" s="34"/>
      <c r="Q1" s="34"/>
      <c r="R1" s="34"/>
      <c r="S1" s="34"/>
    </row>
    <row r="2" spans="1:20" ht="15.75" thickTop="1" x14ac:dyDescent="0.2">
      <c r="A2" s="146"/>
      <c r="B2" s="320" t="s">
        <v>128</v>
      </c>
      <c r="C2" s="34"/>
      <c r="D2" s="34"/>
      <c r="E2" s="34"/>
      <c r="F2" s="34"/>
      <c r="G2" s="34"/>
      <c r="H2" s="34"/>
      <c r="I2" s="34"/>
      <c r="J2" s="34"/>
      <c r="K2" s="34"/>
      <c r="L2" s="34"/>
      <c r="M2" s="34"/>
      <c r="N2" s="34"/>
      <c r="O2" s="34"/>
      <c r="P2" s="34"/>
      <c r="Q2" s="34"/>
      <c r="R2" s="34"/>
      <c r="S2" s="34"/>
    </row>
    <row r="3" spans="1:20" x14ac:dyDescent="0.2">
      <c r="A3" s="146"/>
      <c r="B3" s="34"/>
      <c r="C3" s="34"/>
      <c r="D3" s="34"/>
      <c r="E3" s="34"/>
      <c r="F3" s="34"/>
      <c r="G3" s="34"/>
      <c r="H3" s="34"/>
      <c r="I3" s="34"/>
      <c r="J3" s="34"/>
      <c r="K3" s="34"/>
      <c r="L3" s="34"/>
      <c r="M3" s="34"/>
      <c r="N3" s="34"/>
      <c r="O3" s="34"/>
      <c r="P3" s="34"/>
      <c r="Q3" s="34"/>
      <c r="R3" s="34"/>
      <c r="S3" s="34"/>
    </row>
    <row r="4" spans="1:20" ht="15" x14ac:dyDescent="0.2">
      <c r="A4" s="146"/>
      <c r="B4" s="67" t="s">
        <v>116</v>
      </c>
      <c r="C4" s="67"/>
      <c r="D4" s="67"/>
      <c r="E4" s="67"/>
      <c r="F4" s="67"/>
      <c r="H4" s="13" t="s">
        <v>50</v>
      </c>
      <c r="I4" s="13"/>
      <c r="J4" s="13" t="s">
        <v>50</v>
      </c>
      <c r="K4" s="34"/>
      <c r="L4" s="34"/>
      <c r="M4" s="34"/>
      <c r="N4" s="34"/>
      <c r="O4" s="34"/>
      <c r="P4" s="34"/>
      <c r="Q4" s="34"/>
      <c r="R4" s="34"/>
      <c r="S4" s="34"/>
    </row>
    <row r="5" spans="1:20" x14ac:dyDescent="0.2">
      <c r="A5" s="34"/>
      <c r="B5" s="35" t="s">
        <v>55</v>
      </c>
      <c r="C5" s="35" t="s">
        <v>60</v>
      </c>
      <c r="D5" s="35" t="s">
        <v>61</v>
      </c>
      <c r="E5" s="15" t="s">
        <v>805</v>
      </c>
      <c r="F5" s="35" t="s">
        <v>58</v>
      </c>
      <c r="G5" s="35" t="s">
        <v>59</v>
      </c>
      <c r="H5" s="30" t="s">
        <v>117</v>
      </c>
      <c r="I5" s="4" t="s">
        <v>118</v>
      </c>
      <c r="J5" s="35" t="s">
        <v>119</v>
      </c>
      <c r="K5" s="34"/>
      <c r="L5" s="34"/>
      <c r="M5" s="34"/>
      <c r="N5" s="34"/>
      <c r="O5" s="34"/>
      <c r="P5" s="34"/>
      <c r="Q5" s="34"/>
      <c r="R5" s="34"/>
      <c r="S5" s="34"/>
      <c r="T5" s="34"/>
    </row>
    <row r="6" spans="1:20" x14ac:dyDescent="0.2">
      <c r="A6" s="34"/>
      <c r="B6" s="22" t="str">
        <f>FTE_Per_Customer[[#This Row],[Sector_ID]]&amp;"-"&amp;FTE_Per_Customer[[#This Row],[Frequency_ID]]&amp;"-"&amp;FTE_Per_Customer[[#This Row],[SS_or_DS]]</f>
        <v>1-W-SS</v>
      </c>
      <c r="C6" s="35">
        <v>1</v>
      </c>
      <c r="D6" s="35" t="str">
        <f>INDEX(Sector[Sector_Name],MATCH(FTE_Per_Customer[[#This Row],[Sector_ID]],Sector[Sector_ID],0))</f>
        <v>SF Res. (on-route)</v>
      </c>
      <c r="E6" s="35" t="s">
        <v>806</v>
      </c>
      <c r="F6" s="35" t="s">
        <v>64</v>
      </c>
      <c r="G6" s="35" t="str">
        <f>INDEX(Frequency[Collection_Frequency],MATCH(FTE_Per_Customer[[#This Row],[Frequency_ID]],Frequency[Orig_Frequency_ID],0)+(FTE_Per_Customer[[#This Row],[SS_or_DS]]="DS")*COUNTA(Frequency[Orig_Frequency_ID])/2)</f>
        <v>Weekly</v>
      </c>
      <c r="H6" s="33">
        <v>3500</v>
      </c>
      <c r="I6" s="55" t="s">
        <v>842</v>
      </c>
      <c r="J6" s="33">
        <v>12000</v>
      </c>
      <c r="K6" s="34"/>
      <c r="L6" s="34"/>
      <c r="M6" s="34"/>
      <c r="N6" s="34"/>
      <c r="O6" s="34"/>
      <c r="P6" s="34"/>
      <c r="Q6" s="34"/>
      <c r="R6" s="34"/>
      <c r="S6" s="34"/>
      <c r="T6" s="34"/>
    </row>
    <row r="7" spans="1:20" x14ac:dyDescent="0.2">
      <c r="A7" s="34"/>
      <c r="B7" s="22" t="str">
        <f>FTE_Per_Customer[[#This Row],[Sector_ID]]&amp;"-"&amp;FTE_Per_Customer[[#This Row],[Frequency_ID]]&amp;"-"&amp;FTE_Per_Customer[[#This Row],[SS_or_DS]]</f>
        <v>1-E-SS</v>
      </c>
      <c r="C7" s="35">
        <v>1</v>
      </c>
      <c r="D7" s="35" t="str">
        <f>INDEX(Sector[Sector_Name],MATCH(FTE_Per_Customer[[#This Row],[Sector_ID]],Sector[Sector_ID],0))</f>
        <v>SF Res. (on-route)</v>
      </c>
      <c r="E7" s="35" t="s">
        <v>806</v>
      </c>
      <c r="F7" s="35" t="s">
        <v>53</v>
      </c>
      <c r="G7" s="35" t="str">
        <f>INDEX(Frequency[Collection_Frequency],MATCH(FTE_Per_Customer[[#This Row],[Frequency_ID]],Frequency[Orig_Frequency_ID],0)+(FTE_Per_Customer[[#This Row],[SS_or_DS]]="DS")*COUNTA(Frequency[Orig_Frequency_ID])/2)</f>
        <v>Every other week</v>
      </c>
      <c r="H7" s="33">
        <v>6000</v>
      </c>
      <c r="I7" s="55" t="s">
        <v>842</v>
      </c>
      <c r="J7" s="33">
        <v>12000</v>
      </c>
      <c r="K7" s="34"/>
      <c r="L7" s="34"/>
      <c r="M7" s="34"/>
      <c r="N7" s="34"/>
      <c r="O7" s="34"/>
      <c r="P7" s="34"/>
      <c r="Q7" s="34"/>
      <c r="R7" s="34"/>
      <c r="S7" s="34"/>
      <c r="T7" s="34"/>
    </row>
    <row r="8" spans="1:20" x14ac:dyDescent="0.2">
      <c r="A8" s="34"/>
      <c r="B8" s="22" t="str">
        <f>FTE_Per_Customer[[#This Row],[Sector_ID]]&amp;"-"&amp;FTE_Per_Customer[[#This Row],[Frequency_ID]]&amp;"-"&amp;FTE_Per_Customer[[#This Row],[SS_or_DS]]</f>
        <v>1-BM-SS</v>
      </c>
      <c r="C8" s="35">
        <v>1</v>
      </c>
      <c r="D8" s="35" t="str">
        <f>INDEX(Sector[Sector_Name],MATCH(FTE_Per_Customer[[#This Row],[Sector_ID]],Sector[Sector_ID],0))</f>
        <v>SF Res. (on-route)</v>
      </c>
      <c r="E8" s="35" t="s">
        <v>806</v>
      </c>
      <c r="F8" s="35" t="s">
        <v>66</v>
      </c>
      <c r="G8" s="35" t="str">
        <f>INDEX(Frequency[Collection_Frequency],MATCH(FTE_Per_Customer[[#This Row],[Frequency_ID]],Frequency[Orig_Frequency_ID],0)+(FTE_Per_Customer[[#This Row],[SS_or_DS]]="DS")*COUNTA(Frequency[Orig_Frequency_ID])/2)</f>
        <v>Bimonthly</v>
      </c>
      <c r="H8" s="33">
        <v>6000</v>
      </c>
      <c r="I8" s="55" t="s">
        <v>842</v>
      </c>
      <c r="J8" s="33">
        <v>12000</v>
      </c>
      <c r="K8" s="34"/>
      <c r="L8" s="34"/>
      <c r="M8" s="34"/>
      <c r="N8" s="34"/>
      <c r="O8" s="34"/>
      <c r="P8" s="34"/>
      <c r="Q8" s="34"/>
      <c r="R8" s="34"/>
      <c r="S8" s="34"/>
      <c r="T8" s="34"/>
    </row>
    <row r="9" spans="1:20" x14ac:dyDescent="0.2">
      <c r="A9" s="34"/>
      <c r="B9" s="22" t="str">
        <f>FTE_Per_Customer[[#This Row],[Sector_ID]]&amp;"-"&amp;FTE_Per_Customer[[#This Row],[Frequency_ID]]&amp;"-"&amp;FTE_Per_Customer[[#This Row],[SS_or_DS]]</f>
        <v>1-M-SS</v>
      </c>
      <c r="C9" s="35">
        <v>1</v>
      </c>
      <c r="D9" s="35" t="str">
        <f>INDEX(Sector[Sector_Name],MATCH(FTE_Per_Customer[[#This Row],[Sector_ID]],Sector[Sector_ID],0))</f>
        <v>SF Res. (on-route)</v>
      </c>
      <c r="E9" s="35" t="s">
        <v>806</v>
      </c>
      <c r="F9" s="35" t="s">
        <v>67</v>
      </c>
      <c r="G9" s="35" t="str">
        <f>INDEX(Frequency[Collection_Frequency],MATCH(FTE_Per_Customer[[#This Row],[Frequency_ID]],Frequency[Orig_Frequency_ID],0)+(FTE_Per_Customer[[#This Row],[SS_or_DS]]="DS")*COUNTA(Frequency[Orig_Frequency_ID])/2)</f>
        <v>Monthly</v>
      </c>
      <c r="H9" s="33">
        <v>12000</v>
      </c>
      <c r="I9" s="55" t="s">
        <v>842</v>
      </c>
      <c r="J9" s="33">
        <v>12000</v>
      </c>
      <c r="K9" s="34"/>
      <c r="L9" s="34"/>
      <c r="M9" s="34"/>
      <c r="N9" s="34"/>
      <c r="O9" s="34"/>
      <c r="P9" s="34"/>
      <c r="Q9" s="34"/>
      <c r="R9" s="34"/>
      <c r="S9" s="34"/>
      <c r="T9" s="34"/>
    </row>
    <row r="10" spans="1:20" s="34" customFormat="1" x14ac:dyDescent="0.2">
      <c r="B10" s="23" t="str">
        <f>FTE_Per_Customer[[#This Row],[Sector_ID]]&amp;"-"&amp;FTE_Per_Customer[[#This Row],[Frequency_ID]]&amp;"-"&amp;FTE_Per_Customer[[#This Row],[SS_or_DS]]</f>
        <v>1-U-SS</v>
      </c>
      <c r="C10" s="35">
        <v>1</v>
      </c>
      <c r="D10" s="35" t="str">
        <f>INDEX(Sector[Sector_Name],MATCH(FTE_Per_Customer[[#This Row],[Sector_ID]],Sector[Sector_ID],0))</f>
        <v>SF Res. (on-route)</v>
      </c>
      <c r="E10" s="35" t="s">
        <v>806</v>
      </c>
      <c r="F10" s="35" t="s">
        <v>65</v>
      </c>
      <c r="G10" s="35" t="str">
        <f>INDEX(Frequency[Collection_Frequency],MATCH(FTE_Per_Customer[[#This Row],[Frequency_ID]],Frequency[Orig_Frequency_ID],0)+(FTE_Per_Customer[[#This Row],[SS_or_DS]]="DS")*COUNTA(Frequency[Orig_Frequency_ID])/2)</f>
        <v>Uncertain</v>
      </c>
      <c r="H10" s="33">
        <v>6000</v>
      </c>
      <c r="I10" s="55" t="s">
        <v>842</v>
      </c>
      <c r="J10" s="33">
        <v>12000</v>
      </c>
    </row>
    <row r="11" spans="1:20" x14ac:dyDescent="0.2">
      <c r="A11" s="34"/>
      <c r="B11" s="22" t="str">
        <f>FTE_Per_Customer[[#This Row],[Sector_ID]]&amp;"-"&amp;FTE_Per_Customer[[#This Row],[Frequency_ID]]&amp;"-"&amp;FTE_Per_Customer[[#This Row],[SS_or_DS]]</f>
        <v>2-V-SS</v>
      </c>
      <c r="C11" s="35">
        <v>2</v>
      </c>
      <c r="D11" s="35" t="str">
        <f>INDEX(Sector[Sector_Name],MATCH(FTE_Per_Customer[[#This Row],[Sector_ID]],Sector[Sector_ID],0))</f>
        <v>MF Res. (on-route)</v>
      </c>
      <c r="E11" s="35" t="s">
        <v>806</v>
      </c>
      <c r="F11" s="35" t="s">
        <v>91</v>
      </c>
      <c r="G11" s="35" t="str">
        <f>INDEX(Frequency[Collection_Frequency],MATCH(FTE_Per_Customer[[#This Row],[Frequency_ID]],Frequency[Orig_Frequency_ID],0)+(FTE_Per_Customer[[#This Row],[SS_or_DS]]="DS")*COUNTA(Frequency[Orig_Frequency_ID])/2)</f>
        <v>Varies by customer need</v>
      </c>
      <c r="H11" s="33">
        <v>450</v>
      </c>
      <c r="I11" s="147" t="s">
        <v>120</v>
      </c>
      <c r="J11" s="33">
        <v>4000</v>
      </c>
      <c r="K11" s="34"/>
      <c r="L11" s="34"/>
      <c r="M11" s="34"/>
      <c r="N11" s="34"/>
      <c r="O11" s="34"/>
      <c r="P11" s="34"/>
      <c r="Q11" s="34"/>
      <c r="R11" s="34"/>
      <c r="S11" s="34"/>
      <c r="T11" s="34"/>
    </row>
    <row r="12" spans="1:20" x14ac:dyDescent="0.2">
      <c r="A12" s="34"/>
      <c r="B12" s="22" t="str">
        <f>FTE_Per_Customer[[#This Row],[Sector_ID]]&amp;"-"&amp;FTE_Per_Customer[[#This Row],[Frequency_ID]]&amp;"-"&amp;FTE_Per_Customer[[#This Row],[SS_or_DS]]</f>
        <v>3-V-SS</v>
      </c>
      <c r="C12" s="35">
        <v>3</v>
      </c>
      <c r="D12" s="35" t="str">
        <f>INDEX(Sector[Sector_Name],MATCH(FTE_Per_Customer[[#This Row],[Sector_ID]],Sector[Sector_ID],0))</f>
        <v>Commercial (on-route)</v>
      </c>
      <c r="E12" s="35" t="s">
        <v>806</v>
      </c>
      <c r="F12" s="35" t="s">
        <v>91</v>
      </c>
      <c r="G12" s="35" t="str">
        <f>INDEX(Frequency[Collection_Frequency],MATCH(FTE_Per_Customer[[#This Row],[Frequency_ID]],Frequency[Orig_Frequency_ID],0)+(FTE_Per_Customer[[#This Row],[SS_or_DS]]="DS")*COUNTA(Frequency[Orig_Frequency_ID])/2)</f>
        <v>Varies by customer need</v>
      </c>
      <c r="H12" s="33">
        <v>450</v>
      </c>
      <c r="I12" s="147" t="s">
        <v>121</v>
      </c>
      <c r="J12" s="33">
        <v>4000</v>
      </c>
      <c r="K12" s="34"/>
      <c r="L12" s="34"/>
      <c r="M12" s="34"/>
      <c r="N12" s="34"/>
      <c r="O12" s="34"/>
      <c r="P12" s="34"/>
      <c r="Q12" s="34"/>
      <c r="R12" s="34"/>
      <c r="S12" s="34"/>
      <c r="T12" s="34"/>
    </row>
    <row r="13" spans="1:20" x14ac:dyDescent="0.2">
      <c r="B13" s="196" t="str">
        <f>FTE_Per_Customer[[#This Row],[Sector_ID]]&amp;"-"&amp;FTE_Per_Customer[[#This Row],[Frequency_ID]]&amp;"-"&amp;FTE_Per_Customer[[#This Row],[SS_or_DS]]</f>
        <v>1-W-DS</v>
      </c>
      <c r="C13" s="35">
        <v>1</v>
      </c>
      <c r="D13" s="198" t="str">
        <f>INDEX(Sector[Sector_Name],MATCH(FTE_Per_Customer[[#This Row],[Sector_ID]],Sector[Sector_ID],0))</f>
        <v>SF Res. (on-route)</v>
      </c>
      <c r="E13" s="35" t="s">
        <v>808</v>
      </c>
      <c r="F13" s="35" t="s">
        <v>64</v>
      </c>
      <c r="G13" s="198" t="str">
        <f>INDEX(Frequency[Collection_Frequency],MATCH(FTE_Per_Customer[[#This Row],[Frequency_ID]],Frequency[Orig_Frequency_ID],0)+(FTE_Per_Customer[[#This Row],[SS_or_DS]]="DS")*COUNTA(Frequency[Orig_Frequency_ID])/2)</f>
        <v>Weekly</v>
      </c>
      <c r="H13" s="33">
        <v>3500</v>
      </c>
      <c r="I13" s="55" t="s">
        <v>842</v>
      </c>
      <c r="J13" s="33">
        <v>12000</v>
      </c>
    </row>
    <row r="14" spans="1:20" s="34" customFormat="1" x14ac:dyDescent="0.2">
      <c r="B14" s="196" t="str">
        <f>FTE_Per_Customer[[#This Row],[Sector_ID]]&amp;"-"&amp;FTE_Per_Customer[[#This Row],[Frequency_ID]]&amp;"-"&amp;FTE_Per_Customer[[#This Row],[SS_or_DS]]</f>
        <v>1-E-DS</v>
      </c>
      <c r="C14" s="35">
        <v>1</v>
      </c>
      <c r="D14" s="198" t="str">
        <f>INDEX(Sector[Sector_Name],MATCH(FTE_Per_Customer[[#This Row],[Sector_ID]],Sector[Sector_ID],0))</f>
        <v>SF Res. (on-route)</v>
      </c>
      <c r="E14" s="35" t="s">
        <v>808</v>
      </c>
      <c r="F14" s="35" t="s">
        <v>53</v>
      </c>
      <c r="G14" s="198" t="str">
        <f>INDEX(Frequency[Collection_Frequency],MATCH(FTE_Per_Customer[[#This Row],[Frequency_ID]],Frequency[Orig_Frequency_ID],0)+(FTE_Per_Customer[[#This Row],[SS_or_DS]]="DS")*COUNTA(Frequency[Orig_Frequency_ID])/2)</f>
        <v>Weekly (formerly every other week)</v>
      </c>
      <c r="H14" s="33">
        <v>3500</v>
      </c>
      <c r="I14" s="55" t="s">
        <v>842</v>
      </c>
      <c r="J14" s="33">
        <v>12000</v>
      </c>
    </row>
    <row r="15" spans="1:20" s="34" customFormat="1" x14ac:dyDescent="0.2">
      <c r="B15" s="196" t="str">
        <f>FTE_Per_Customer[[#This Row],[Sector_ID]]&amp;"-"&amp;FTE_Per_Customer[[#This Row],[Frequency_ID]]&amp;"-"&amp;FTE_Per_Customer[[#This Row],[SS_or_DS]]</f>
        <v>1-BM-DS</v>
      </c>
      <c r="C15" s="35">
        <v>1</v>
      </c>
      <c r="D15" s="198" t="str">
        <f>INDEX(Sector[Sector_Name],MATCH(FTE_Per_Customer[[#This Row],[Sector_ID]],Sector[Sector_ID],0))</f>
        <v>SF Res. (on-route)</v>
      </c>
      <c r="E15" s="35" t="s">
        <v>808</v>
      </c>
      <c r="F15" s="35" t="s">
        <v>66</v>
      </c>
      <c r="G15" s="198" t="str">
        <f>INDEX(Frequency[Collection_Frequency],MATCH(FTE_Per_Customer[[#This Row],[Frequency_ID]],Frequency[Orig_Frequency_ID],0)+(FTE_Per_Customer[[#This Row],[SS_or_DS]]="DS")*COUNTA(Frequency[Orig_Frequency_ID])/2)</f>
        <v>Weekly (formerly bimonthly)</v>
      </c>
      <c r="H15" s="33">
        <v>3500</v>
      </c>
      <c r="I15" s="55" t="s">
        <v>842</v>
      </c>
      <c r="J15" s="33">
        <v>12000</v>
      </c>
    </row>
    <row r="16" spans="1:20" s="34" customFormat="1" x14ac:dyDescent="0.2">
      <c r="B16" s="196" t="str">
        <f>FTE_Per_Customer[[#This Row],[Sector_ID]]&amp;"-"&amp;FTE_Per_Customer[[#This Row],[Frequency_ID]]&amp;"-"&amp;FTE_Per_Customer[[#This Row],[SS_or_DS]]</f>
        <v>1-M-DS</v>
      </c>
      <c r="C16" s="35">
        <v>1</v>
      </c>
      <c r="D16" s="198" t="str">
        <f>INDEX(Sector[Sector_Name],MATCH(FTE_Per_Customer[[#This Row],[Sector_ID]],Sector[Sector_ID],0))</f>
        <v>SF Res. (on-route)</v>
      </c>
      <c r="E16" s="35" t="s">
        <v>808</v>
      </c>
      <c r="F16" s="35" t="s">
        <v>67</v>
      </c>
      <c r="G16" s="198" t="str">
        <f>INDEX(Frequency[Collection_Frequency],MATCH(FTE_Per_Customer[[#This Row],[Frequency_ID]],Frequency[Orig_Frequency_ID],0)+(FTE_Per_Customer[[#This Row],[SS_or_DS]]="DS")*COUNTA(Frequency[Orig_Frequency_ID])/2)</f>
        <v>Weekly (formerly monthly)</v>
      </c>
      <c r="H16" s="33">
        <v>3500</v>
      </c>
      <c r="I16" s="55" t="s">
        <v>842</v>
      </c>
      <c r="J16" s="33">
        <v>12000</v>
      </c>
    </row>
    <row r="17" spans="1:31" s="34" customFormat="1" x14ac:dyDescent="0.2">
      <c r="B17" s="196" t="str">
        <f>FTE_Per_Customer[[#This Row],[Sector_ID]]&amp;"-"&amp;FTE_Per_Customer[[#This Row],[Frequency_ID]]&amp;"-"&amp;FTE_Per_Customer[[#This Row],[SS_or_DS]]</f>
        <v>1-U-DS</v>
      </c>
      <c r="C17" s="35">
        <v>1</v>
      </c>
      <c r="D17" s="198" t="str">
        <f>INDEX(Sector[Sector_Name],MATCH(FTE_Per_Customer[[#This Row],[Sector_ID]],Sector[Sector_ID],0))</f>
        <v>SF Res. (on-route)</v>
      </c>
      <c r="E17" s="35" t="s">
        <v>808</v>
      </c>
      <c r="F17" s="35" t="s">
        <v>65</v>
      </c>
      <c r="G17" s="198" t="str">
        <f>INDEX(Frequency[Collection_Frequency],MATCH(FTE_Per_Customer[[#This Row],[Frequency_ID]],Frequency[Orig_Frequency_ID],0)+(FTE_Per_Customer[[#This Row],[SS_or_DS]]="DS")*COUNTA(Frequency[Orig_Frequency_ID])/2)</f>
        <v>Uncertain</v>
      </c>
      <c r="H17" s="33">
        <v>3500</v>
      </c>
      <c r="I17" s="55" t="s">
        <v>842</v>
      </c>
      <c r="J17" s="33">
        <v>12000</v>
      </c>
    </row>
    <row r="18" spans="1:31" s="34" customFormat="1" x14ac:dyDescent="0.2">
      <c r="B18" s="196" t="str">
        <f>FTE_Per_Customer[[#This Row],[Sector_ID]]&amp;"-"&amp;FTE_Per_Customer[[#This Row],[Frequency_ID]]&amp;"-"&amp;FTE_Per_Customer[[#This Row],[SS_or_DS]]</f>
        <v>2-V-DS</v>
      </c>
      <c r="C18" s="35">
        <v>2</v>
      </c>
      <c r="D18" s="198" t="str">
        <f>INDEX(Sector[Sector_Name],MATCH(FTE_Per_Customer[[#This Row],[Sector_ID]],Sector[Sector_ID],0))</f>
        <v>MF Res. (on-route)</v>
      </c>
      <c r="E18" s="35" t="s">
        <v>808</v>
      </c>
      <c r="F18" s="35" t="s">
        <v>91</v>
      </c>
      <c r="G18" s="198" t="str">
        <f>INDEX(Frequency[Collection_Frequency],MATCH(FTE_Per_Customer[[#This Row],[Frequency_ID]],Frequency[Orig_Frequency_ID],0)+(FTE_Per_Customer[[#This Row],[SS_or_DS]]="DS")*COUNTA(Frequency[Orig_Frequency_ID])/2)</f>
        <v>Varies by customer need</v>
      </c>
      <c r="H18" s="33">
        <v>450</v>
      </c>
      <c r="I18" s="147" t="s">
        <v>120</v>
      </c>
      <c r="J18" s="33">
        <v>4000</v>
      </c>
    </row>
    <row r="19" spans="1:31" s="34" customFormat="1" x14ac:dyDescent="0.2">
      <c r="B19" s="199" t="str">
        <f>FTE_Per_Customer[[#This Row],[Sector_ID]]&amp;"-"&amp;FTE_Per_Customer[[#This Row],[Frequency_ID]]&amp;"-"&amp;FTE_Per_Customer[[#This Row],[SS_or_DS]]</f>
        <v>3-V-DS</v>
      </c>
      <c r="C19" s="35">
        <v>3</v>
      </c>
      <c r="D19" s="201" t="str">
        <f>INDEX(Sector[Sector_Name],MATCH(FTE_Per_Customer[[#This Row],[Sector_ID]],Sector[Sector_ID],0))</f>
        <v>Commercial (on-route)</v>
      </c>
      <c r="E19" s="35" t="s">
        <v>808</v>
      </c>
      <c r="F19" s="35" t="s">
        <v>91</v>
      </c>
      <c r="G19" s="201" t="str">
        <f>INDEX(Frequency[Collection_Frequency],MATCH(FTE_Per_Customer[[#This Row],[Frequency_ID]],Frequency[Orig_Frequency_ID],0)+(FTE_Per_Customer[[#This Row],[SS_or_DS]]="DS")*COUNTA(Frequency[Orig_Frequency_ID])/2)</f>
        <v>Varies by customer need</v>
      </c>
      <c r="H19" s="33">
        <v>450</v>
      </c>
      <c r="I19" s="147" t="s">
        <v>121</v>
      </c>
      <c r="J19" s="33">
        <v>4000</v>
      </c>
    </row>
    <row r="20" spans="1:31" s="34" customFormat="1" x14ac:dyDescent="0.2"/>
    <row r="21" spans="1:31" s="34" customFormat="1" x14ac:dyDescent="0.2"/>
    <row r="22" spans="1:31" s="34" customFormat="1" x14ac:dyDescent="0.2"/>
    <row r="23" spans="1:31" s="34" customFormat="1" x14ac:dyDescent="0.2"/>
    <row r="24" spans="1:31" x14ac:dyDescent="0.2">
      <c r="B24" s="35"/>
      <c r="C24" s="35"/>
      <c r="D24" s="35"/>
      <c r="E24" s="35"/>
      <c r="F24" s="35"/>
      <c r="G24" s="35"/>
      <c r="H24" s="35"/>
      <c r="I24" s="35"/>
      <c r="J24" s="35"/>
      <c r="K24" s="31"/>
      <c r="L24" s="35"/>
      <c r="M24" s="35"/>
      <c r="N24" s="35"/>
      <c r="O24" s="35"/>
      <c r="P24" s="35"/>
      <c r="Q24" s="35"/>
      <c r="R24" s="35"/>
      <c r="S24" s="35"/>
    </row>
    <row r="25" spans="1:31" x14ac:dyDescent="0.2">
      <c r="B25" s="67" t="s">
        <v>1159</v>
      </c>
      <c r="C25" s="67"/>
      <c r="D25" s="67"/>
      <c r="E25" s="67"/>
      <c r="F25" s="67"/>
      <c r="G25" s="67"/>
      <c r="H25" s="63"/>
      <c r="I25" s="35"/>
      <c r="J25" s="35"/>
      <c r="K25" s="29"/>
      <c r="L25" s="35"/>
      <c r="M25" s="35"/>
      <c r="N25" s="35"/>
      <c r="O25" s="35"/>
      <c r="P25" s="283"/>
      <c r="Q25" s="35"/>
      <c r="R25" s="35"/>
      <c r="S25" s="35"/>
    </row>
    <row r="26" spans="1:31" x14ac:dyDescent="0.2">
      <c r="B26" s="35" t="s">
        <v>55</v>
      </c>
      <c r="C26" s="35" t="s">
        <v>112</v>
      </c>
      <c r="D26" s="35" t="s">
        <v>56</v>
      </c>
      <c r="E26" s="35" t="s">
        <v>57</v>
      </c>
      <c r="F26" s="35" t="s">
        <v>60</v>
      </c>
      <c r="G26" s="35" t="s">
        <v>61</v>
      </c>
      <c r="H26" s="15" t="s">
        <v>805</v>
      </c>
      <c r="I26" s="35" t="s">
        <v>58</v>
      </c>
      <c r="J26" s="35" t="s">
        <v>59</v>
      </c>
      <c r="K26" s="35" t="s">
        <v>817</v>
      </c>
      <c r="L26" s="30" t="s">
        <v>122</v>
      </c>
      <c r="M26" s="35" t="s">
        <v>123</v>
      </c>
      <c r="N26" s="35" t="s">
        <v>804</v>
      </c>
      <c r="O26" s="35" t="s">
        <v>124</v>
      </c>
      <c r="P26" s="35" t="s">
        <v>125</v>
      </c>
      <c r="Q26" s="591" t="s">
        <v>3691</v>
      </c>
      <c r="R26" s="34"/>
      <c r="S26" s="34"/>
      <c r="T26" s="34"/>
      <c r="U26" s="34"/>
    </row>
    <row r="27" spans="1:31" ht="15" x14ac:dyDescent="0.25">
      <c r="B27" s="22" t="str">
        <f>CollectionFTEs[[#This Row],[Grouping_ID]]&amp;"-"&amp;CollectionFTEs[[#This Row],[Sector_ID]]&amp;"-"&amp;CollectionFTEs[[#This Row],[Frequency_ID]]&amp;"-"&amp;CollectionFTEs[[#This Row],[SS_or_DS]]</f>
        <v>1-2-V-SS</v>
      </c>
      <c r="C27" s="22" t="str">
        <f>_xlfn.CONCAT(CollectionFTEs[[#This Row],[Grouping_ID]],"-",CollectionFTEs[[#This Row],[Sector_ID]])</f>
        <v>1-2</v>
      </c>
      <c r="D27" s="35">
        <v>1</v>
      </c>
      <c r="E27" s="35" t="str">
        <f>INDEX(Grouping[Grouping_Name],MATCH(CollectionFTEs[[#This Row],[Grouping_ID]],Grouping[Grouping_ID],0))</f>
        <v>1 - Metro area</v>
      </c>
      <c r="F27" s="35">
        <v>2</v>
      </c>
      <c r="G27" s="35" t="str">
        <f>INDEX(Sector[Sector_Name],MATCH(CollectionFTEs[[#This Row],[Sector_ID]],Sector[Sector_ID],0))</f>
        <v>MF Res. (on-route)</v>
      </c>
      <c r="H27" s="35" t="s">
        <v>806</v>
      </c>
      <c r="I27" s="35" t="s">
        <v>91</v>
      </c>
      <c r="J27" s="35" t="str">
        <f>INDEX(Frequency[Collection_Frequency],MATCH(CollectionFTEs[[#This Row],[Frequency_ID]],Frequency[Orig_Frequency_ID],0)+(CollectionFTEs[[#This Row],[SS_or_DS]]="DS")*COUNTA(Frequency[Orig_Frequency_ID])/2)</f>
        <v>Varies by customer need</v>
      </c>
      <c r="K27" s="35">
        <v>2018</v>
      </c>
      <c r="L27"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6651.3217605832124</v>
      </c>
      <c r="M27" s="144">
        <f>INDEX(LaborCostPerLift[Average_Lifts_Per_Week],MATCH(CollectionFTEs[[#This Row],[Collection_ID]],LaborCostPerLift[Collection_ID],0))</f>
        <v>1.39</v>
      </c>
      <c r="N27" s="100">
        <f>IFERROR(CollectionFTEs[[#This Row],[Customers]]*CollectionFTEs[[#This Row],[Lifts_Per_Week]],0)</f>
        <v>9245.3372472106639</v>
      </c>
      <c r="O27" s="109">
        <f>IFERROR(CollectionFTEs[[#This Row],[Total_Lifts_Per_Week]]/SUMIFS(FTE_Per_Customer[Customer_Or_Lift_Per_Driver],FTE_Per_Customer[Sector_ID],CollectionFTEs[[#This Row],[Sector_ID]],FTE_Per_Customer[SS_or_DS],CollectionFTEs[SS_or_DS],FTE_Per_Customer[Frequency_ID],CollectionFTEs[Frequency_ID]),0)</f>
        <v>20.545193882690363</v>
      </c>
      <c r="P27" s="379">
        <f>IFERROR(CollectionFTEs[[#This Row],[Total_Lifts_Per_Week]]/SUMIFS(FTE_Per_Customer[Customer_Per_Admin],FTE_Per_Customer[Sector_ID],CollectionFTEs[[#This Row],[Sector_ID]],FTE_Per_Customer[SS_or_DS],CollectionFTEs[SS_or_DS],FTE_Per_Customer[Frequency_ID],CollectionFTEs[Frequency_ID]),0)</f>
        <v>2.3113343118026659</v>
      </c>
      <c r="Q27" s="379">
        <f>IF(CollectionFTEs[[#This Row],[Sector_ID]]=1,(CollectionFTEs[[#This Row],[Customers]]*CollectionTotal!$H$21*0.8)/(50*2080),(CollectionFTEs[[#This Row],[Customers]]*CollectionTotal!$H$22*0.8)/(50*2080))</f>
        <v>5.724436040919862</v>
      </c>
      <c r="R27" s="34"/>
      <c r="S27" s="34"/>
      <c r="T27" s="34"/>
      <c r="U27" s="34"/>
    </row>
    <row r="28" spans="1:31" ht="15" x14ac:dyDescent="0.25">
      <c r="B28" s="22" t="str">
        <f>CollectionFTEs[[#This Row],[Grouping_ID]]&amp;"-"&amp;CollectionFTEs[[#This Row],[Sector_ID]]&amp;"-"&amp;CollectionFTEs[[#This Row],[Frequency_ID]]&amp;"-"&amp;CollectionFTEs[[#This Row],[SS_or_DS]]</f>
        <v>1-3-V-SS</v>
      </c>
      <c r="C28" s="22" t="str">
        <f>_xlfn.CONCAT(CollectionFTEs[[#This Row],[Grouping_ID]],"-",CollectionFTEs[[#This Row],[Sector_ID]])</f>
        <v>1-3</v>
      </c>
      <c r="D28" s="35">
        <v>1</v>
      </c>
      <c r="E28" s="35" t="str">
        <f>INDEX(Grouping[Grouping_Name],MATCH(CollectionFTEs[[#This Row],[Grouping_ID]],Grouping[Grouping_ID],0))</f>
        <v>1 - Metro area</v>
      </c>
      <c r="F28" s="35">
        <v>3</v>
      </c>
      <c r="G28" s="35" t="str">
        <f>INDEX(Sector[Sector_Name],MATCH(CollectionFTEs[[#This Row],[Sector_ID]],Sector[Sector_ID],0))</f>
        <v>Commercial (on-route)</v>
      </c>
      <c r="H28" s="35" t="s">
        <v>806</v>
      </c>
      <c r="I28" s="35" t="s">
        <v>91</v>
      </c>
      <c r="J28" s="35" t="str">
        <f>INDEX(Frequency[Collection_Frequency],MATCH(CollectionFTEs[[#This Row],[Frequency_ID]],Frequency[Orig_Frequency_ID],0)+(CollectionFTEs[[#This Row],[SS_or_DS]]="DS")*COUNTA(Frequency[Orig_Frequency_ID])/2)</f>
        <v>Varies by customer need</v>
      </c>
      <c r="K28" s="35">
        <v>2018</v>
      </c>
      <c r="L28"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32707.393386508858</v>
      </c>
      <c r="M28" s="144">
        <f>INDEX(LaborCostPerLift[Average_Lifts_Per_Week],MATCH(CollectionFTEs[[#This Row],[Collection_ID]],LaborCostPerLift[Collection_ID],0))</f>
        <v>1.39</v>
      </c>
      <c r="N28" s="100">
        <f>IFERROR(CollectionFTEs[[#This Row],[Customers]]*CollectionFTEs[[#This Row],[Lifts_Per_Week]],0)</f>
        <v>45463.276807247312</v>
      </c>
      <c r="O28" s="109">
        <f>IFERROR(CollectionFTEs[[#This Row],[Total_Lifts_Per_Week]]/SUMIFS(FTE_Per_Customer[Customer_Or_Lift_Per_Driver],FTE_Per_Customer[Sector_ID],CollectionFTEs[[#This Row],[Sector_ID]],FTE_Per_Customer[SS_or_DS],CollectionFTEs[SS_or_DS],FTE_Per_Customer[Frequency_ID],CollectionFTEs[Frequency_ID]),0)</f>
        <v>101.02950401610514</v>
      </c>
      <c r="P28" s="109">
        <f>IFERROR(CollectionFTEs[[#This Row],[Total_Lifts_Per_Week]]/SUMIFS(FTE_Per_Customer[Customer_Per_Admin],FTE_Per_Customer[Sector_ID],CollectionFTEs[[#This Row],[Sector_ID]],FTE_Per_Customer[SS_or_DS],CollectionFTEs[SS_or_DS],FTE_Per_Customer[Frequency_ID],CollectionFTEs[Frequency_ID]),0)</f>
        <v>11.365819201811828</v>
      </c>
      <c r="Q28" s="379">
        <f>IF(CollectionFTEs[[#This Row],[Sector_ID]]=1,(CollectionFTEs[[#This Row],[Customers]]*CollectionTotal!$H$21*0.8)/(50*2080),(CollectionFTEs[[#This Row],[Customers]]*CollectionTotal!$H$22*0.8)/(50*2080))</f>
        <v>28.149499940874627</v>
      </c>
      <c r="R28" s="34"/>
      <c r="S28" s="34"/>
      <c r="T28" s="34"/>
      <c r="U28" s="34"/>
    </row>
    <row r="29" spans="1:31" ht="15" x14ac:dyDescent="0.25">
      <c r="A29" s="34"/>
      <c r="B29" s="22" t="str">
        <f>CollectionFTEs[[#This Row],[Grouping_ID]]&amp;"-"&amp;CollectionFTEs[[#This Row],[Sector_ID]]&amp;"-"&amp;CollectionFTEs[[#This Row],[Frequency_ID]]&amp;"-"&amp;CollectionFTEs[[#This Row],[SS_or_DS]]</f>
        <v>2-2-V-SS</v>
      </c>
      <c r="C29" s="22" t="str">
        <f>_xlfn.CONCAT(CollectionFTEs[[#This Row],[Grouping_ID]],"-",CollectionFTEs[[#This Row],[Sector_ID]])</f>
        <v>2-2</v>
      </c>
      <c r="D29" s="35">
        <v>2</v>
      </c>
      <c r="E29" s="35" t="str">
        <f>INDEX(Grouping[Grouping_Name],MATCH(CollectionFTEs[[#This Row],[Grouping_ID]],Grouping[Grouping_ID],0))</f>
        <v>2 - Willamette Valley, etc.</v>
      </c>
      <c r="F29" s="35">
        <v>2</v>
      </c>
      <c r="G29" s="35" t="str">
        <f>INDEX(Sector[Sector_Name],MATCH(CollectionFTEs[[#This Row],[Sector_ID]],Sector[Sector_ID],0))</f>
        <v>MF Res. (on-route)</v>
      </c>
      <c r="H29" s="35" t="s">
        <v>806</v>
      </c>
      <c r="I29" s="35" t="s">
        <v>91</v>
      </c>
      <c r="J29" s="35" t="str">
        <f>INDEX(Frequency[Collection_Frequency],MATCH(CollectionFTEs[[#This Row],[Frequency_ID]],Frequency[Orig_Frequency_ID],0)+(CollectionFTEs[[#This Row],[SS_or_DS]]="DS")*COUNTA(Frequency[Orig_Frequency_ID])/2)</f>
        <v>Varies by customer need</v>
      </c>
      <c r="K29" s="35">
        <v>2018</v>
      </c>
      <c r="L29"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8505.7620000000006</v>
      </c>
      <c r="M29" s="144">
        <f>INDEX(LaborCostPerLift[Average_Lifts_Per_Week],MATCH(CollectionFTEs[[#This Row],[Collection_ID]],LaborCostPerLift[Collection_ID],0))</f>
        <v>1.0900000000000001</v>
      </c>
      <c r="N29" s="100">
        <f>IFERROR(CollectionFTEs[[#This Row],[Customers]]*CollectionFTEs[[#This Row],[Lifts_Per_Week]],0)</f>
        <v>9271.2805800000006</v>
      </c>
      <c r="O29" s="109">
        <f>IFERROR(CollectionFTEs[[#This Row],[Total_Lifts_Per_Week]]/SUMIFS(FTE_Per_Customer[Customer_Or_Lift_Per_Driver],FTE_Per_Customer[Sector_ID],CollectionFTEs[[#This Row],[Sector_ID]],FTE_Per_Customer[SS_or_DS],CollectionFTEs[SS_or_DS],FTE_Per_Customer[Frequency_ID],CollectionFTEs[Frequency_ID]),0)</f>
        <v>20.602845733333336</v>
      </c>
      <c r="P29" s="109">
        <f>IFERROR(CollectionFTEs[[#This Row],[Total_Lifts_Per_Week]]/SUMIFS(FTE_Per_Customer[Customer_Per_Admin],FTE_Per_Customer[Sector_ID],CollectionFTEs[[#This Row],[Sector_ID]],FTE_Per_Customer[SS_or_DS],CollectionFTEs[SS_or_DS],FTE_Per_Customer[Frequency_ID],CollectionFTEs[Frequency_ID]),0)</f>
        <v>2.3178201450000002</v>
      </c>
      <c r="Q29" s="379">
        <f>IF(CollectionFTEs[[#This Row],[Sector_ID]]=1,(CollectionFTEs[[#This Row],[Customers]]*CollectionTotal!$H$21*0.8)/(50*2080),(CollectionFTEs[[#This Row],[Customers]]*CollectionTotal!$H$22*0.8)/(50*2080))</f>
        <v>7.320453332574492</v>
      </c>
      <c r="R29" s="34"/>
      <c r="S29" s="34"/>
      <c r="T29" s="34"/>
      <c r="U29" s="34"/>
      <c r="V29" s="34"/>
      <c r="W29" s="34"/>
      <c r="X29" s="34"/>
      <c r="Y29" s="34"/>
      <c r="Z29" s="34"/>
      <c r="AA29" s="34"/>
      <c r="AB29" s="34"/>
      <c r="AC29" s="34"/>
      <c r="AD29" s="34"/>
      <c r="AE29" s="34"/>
    </row>
    <row r="30" spans="1:31" ht="15" x14ac:dyDescent="0.25">
      <c r="A30" s="34"/>
      <c r="B30" s="22" t="str">
        <f>CollectionFTEs[[#This Row],[Grouping_ID]]&amp;"-"&amp;CollectionFTEs[[#This Row],[Sector_ID]]&amp;"-"&amp;CollectionFTEs[[#This Row],[Frequency_ID]]&amp;"-"&amp;CollectionFTEs[[#This Row],[SS_or_DS]]</f>
        <v>2-3-V-SS</v>
      </c>
      <c r="C30" s="22" t="str">
        <f>_xlfn.CONCAT(CollectionFTEs[[#This Row],[Grouping_ID]],"-",CollectionFTEs[[#This Row],[Sector_ID]])</f>
        <v>2-3</v>
      </c>
      <c r="D30" s="35">
        <v>2</v>
      </c>
      <c r="E30" s="35" t="str">
        <f>INDEX(Grouping[Grouping_Name],MATCH(CollectionFTEs[[#This Row],[Grouping_ID]],Grouping[Grouping_ID],0))</f>
        <v>2 - Willamette Valley, etc.</v>
      </c>
      <c r="F30" s="35">
        <v>3</v>
      </c>
      <c r="G30" s="35" t="str">
        <f>INDEX(Sector[Sector_Name],MATCH(CollectionFTEs[[#This Row],[Sector_ID]],Sector[Sector_ID],0))</f>
        <v>Commercial (on-route)</v>
      </c>
      <c r="H30" s="35" t="s">
        <v>806</v>
      </c>
      <c r="I30" s="35" t="s">
        <v>91</v>
      </c>
      <c r="J30" s="35" t="str">
        <f>INDEX(Frequency[Collection_Frequency],MATCH(CollectionFTEs[[#This Row],[Frequency_ID]],Frequency[Orig_Frequency_ID],0)+(CollectionFTEs[[#This Row],[SS_or_DS]]="DS")*COUNTA(Frequency[Orig_Frequency_ID])/2)</f>
        <v>Varies by customer need</v>
      </c>
      <c r="K30" s="35">
        <v>2018</v>
      </c>
      <c r="L30"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22256.743899999998</v>
      </c>
      <c r="M30" s="144">
        <f>INDEX(LaborCostPerLift[Average_Lifts_Per_Week],MATCH(CollectionFTEs[[#This Row],[Collection_ID]],LaborCostPerLift[Collection_ID],0))</f>
        <v>1.0900000000000001</v>
      </c>
      <c r="N30" s="100">
        <f>IFERROR(CollectionFTEs[[#This Row],[Customers]]*CollectionFTEs[[#This Row],[Lifts_Per_Week]],0)</f>
        <v>24259.850850999999</v>
      </c>
      <c r="O30" s="109">
        <f>IFERROR(CollectionFTEs[[#This Row],[Total_Lifts_Per_Week]]/SUMIFS(FTE_Per_Customer[Customer_Or_Lift_Per_Driver],FTE_Per_Customer[Sector_ID],CollectionFTEs[[#This Row],[Sector_ID]],FTE_Per_Customer[SS_or_DS],CollectionFTEs[SS_or_DS],FTE_Per_Customer[Frequency_ID],CollectionFTEs[Frequency_ID]),0)</f>
        <v>53.910779668888885</v>
      </c>
      <c r="P30" s="109">
        <f>IFERROR(CollectionFTEs[[#This Row],[Total_Lifts_Per_Week]]/SUMIFS(FTE_Per_Customer[Customer_Per_Admin],FTE_Per_Customer[Sector_ID],CollectionFTEs[[#This Row],[Sector_ID]],FTE_Per_Customer[SS_or_DS],CollectionFTEs[SS_or_DS],FTE_Per_Customer[Frequency_ID],CollectionFTEs[Frequency_ID]),0)</f>
        <v>6.0649627127499999</v>
      </c>
      <c r="Q30" s="379">
        <f>IF(CollectionFTEs[[#This Row],[Sector_ID]]=1,(CollectionFTEs[[#This Row],[Customers]]*CollectionTotal!$H$21*0.8)/(50*2080),(CollectionFTEs[[#This Row],[Customers]]*CollectionTotal!$H$22*0.8)/(50*2080))</f>
        <v>19.155186220236583</v>
      </c>
      <c r="R30" s="34"/>
      <c r="S30" s="34"/>
      <c r="T30" s="34"/>
      <c r="U30" s="34"/>
      <c r="V30" s="34"/>
      <c r="W30" s="34"/>
      <c r="X30" s="34"/>
      <c r="Y30" s="34"/>
      <c r="Z30" s="34"/>
      <c r="AA30" s="34"/>
      <c r="AB30" s="34"/>
      <c r="AC30" s="34"/>
      <c r="AD30" s="34"/>
      <c r="AE30" s="34"/>
    </row>
    <row r="31" spans="1:31" ht="15" x14ac:dyDescent="0.25">
      <c r="A31" s="34"/>
      <c r="B31" s="22" t="str">
        <f>CollectionFTEs[[#This Row],[Grouping_ID]]&amp;"-"&amp;CollectionFTEs[[#This Row],[Sector_ID]]&amp;"-"&amp;CollectionFTEs[[#This Row],[Frequency_ID]]&amp;"-"&amp;CollectionFTEs[[#This Row],[SS_or_DS]]</f>
        <v>3-2-V-SS</v>
      </c>
      <c r="C31" s="22" t="str">
        <f>_xlfn.CONCAT(CollectionFTEs[[#This Row],[Grouping_ID]],"-",CollectionFTEs[[#This Row],[Sector_ID]])</f>
        <v>3-2</v>
      </c>
      <c r="D31" s="35">
        <v>3</v>
      </c>
      <c r="E31" s="35" t="str">
        <f>INDEX(Grouping[Grouping_Name],MATCH(CollectionFTEs[[#This Row],[Grouping_ID]],Grouping[Grouping_ID],0))</f>
        <v>3 - Other areas with curbside</v>
      </c>
      <c r="F31" s="35">
        <v>2</v>
      </c>
      <c r="G31" s="35" t="str">
        <f>INDEX(Sector[Sector_Name],MATCH(CollectionFTEs[[#This Row],[Sector_ID]],Sector[Sector_ID],0))</f>
        <v>MF Res. (on-route)</v>
      </c>
      <c r="H31" s="35" t="s">
        <v>806</v>
      </c>
      <c r="I31" s="35" t="s">
        <v>91</v>
      </c>
      <c r="J31" s="35" t="str">
        <f>INDEX(Frequency[Collection_Frequency],MATCH(CollectionFTEs[[#This Row],[Frequency_ID]],Frequency[Orig_Frequency_ID],0)+(CollectionFTEs[[#This Row],[SS_or_DS]]="DS")*COUNTA(Frequency[Orig_Frequency_ID])/2)</f>
        <v>Varies by customer need</v>
      </c>
      <c r="K31" s="35">
        <v>2018</v>
      </c>
      <c r="L31"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1346.3175000000001</v>
      </c>
      <c r="M31" s="144">
        <f>INDEX(LaborCostPerLift[Average_Lifts_Per_Week],MATCH(CollectionFTEs[[#This Row],[Collection_ID]],LaborCostPerLift[Collection_ID],0))</f>
        <v>1.31</v>
      </c>
      <c r="N31" s="100">
        <f>IFERROR(CollectionFTEs[[#This Row],[Customers]]*CollectionFTEs[[#This Row],[Lifts_Per_Week]],0)</f>
        <v>1763.6759250000002</v>
      </c>
      <c r="O31" s="109">
        <f>IFERROR(CollectionFTEs[[#This Row],[Total_Lifts_Per_Week]]/SUMIFS(FTE_Per_Customer[Customer_Or_Lift_Per_Driver],FTE_Per_Customer[Sector_ID],CollectionFTEs[[#This Row],[Sector_ID]],FTE_Per_Customer[SS_or_DS],CollectionFTEs[SS_or_DS],FTE_Per_Customer[Frequency_ID],CollectionFTEs[Frequency_ID]),0)</f>
        <v>3.9192798333333339</v>
      </c>
      <c r="P31" s="109">
        <f>IFERROR(CollectionFTEs[[#This Row],[Total_Lifts_Per_Week]]/SUMIFS(FTE_Per_Customer[Customer_Per_Admin],FTE_Per_Customer[Sector_ID],CollectionFTEs[[#This Row],[Sector_ID]],FTE_Per_Customer[SS_or_DS],CollectionFTEs[SS_or_DS],FTE_Per_Customer[Frequency_ID],CollectionFTEs[Frequency_ID]),0)</f>
        <v>0.44091898125000006</v>
      </c>
      <c r="Q31" s="379">
        <f>IF(CollectionFTEs[[#This Row],[Sector_ID]]=1,(CollectionFTEs[[#This Row],[Customers]]*CollectionTotal!$H$21*0.8)/(50*2080),(CollectionFTEs[[#This Row],[Customers]]*CollectionTotal!$H$22*0.8)/(50*2080))</f>
        <v>1.1587032919071047</v>
      </c>
      <c r="R31" s="34"/>
      <c r="S31" s="34"/>
      <c r="T31" s="34"/>
      <c r="U31" s="34"/>
      <c r="V31" s="34"/>
      <c r="W31" s="34"/>
      <c r="X31" s="34"/>
      <c r="Y31" s="34"/>
      <c r="Z31" s="34"/>
      <c r="AA31" s="34"/>
      <c r="AB31" s="34"/>
      <c r="AC31" s="34"/>
      <c r="AD31" s="34"/>
      <c r="AE31" s="34"/>
    </row>
    <row r="32" spans="1:31" ht="15" x14ac:dyDescent="0.25">
      <c r="A32" s="34"/>
      <c r="B32" s="22" t="str">
        <f>CollectionFTEs[[#This Row],[Grouping_ID]]&amp;"-"&amp;CollectionFTEs[[#This Row],[Sector_ID]]&amp;"-"&amp;CollectionFTEs[[#This Row],[Frequency_ID]]&amp;"-"&amp;CollectionFTEs[[#This Row],[SS_or_DS]]</f>
        <v>3-3-V-SS</v>
      </c>
      <c r="C32" s="22" t="str">
        <f>_xlfn.CONCAT(CollectionFTEs[[#This Row],[Grouping_ID]],"-",CollectionFTEs[[#This Row],[Sector_ID]])</f>
        <v>3-3</v>
      </c>
      <c r="D32" s="35">
        <v>3</v>
      </c>
      <c r="E32" s="35" t="str">
        <f>INDEX(Grouping[Grouping_Name],MATCH(CollectionFTEs[[#This Row],[Grouping_ID]],Grouping[Grouping_ID],0))</f>
        <v>3 - Other areas with curbside</v>
      </c>
      <c r="F32" s="35">
        <v>3</v>
      </c>
      <c r="G32" s="35" t="str">
        <f>INDEX(Sector[Sector_Name],MATCH(CollectionFTEs[[#This Row],[Sector_ID]],Sector[Sector_ID],0))</f>
        <v>Commercial (on-route)</v>
      </c>
      <c r="H32" s="35" t="s">
        <v>806</v>
      </c>
      <c r="I32" s="35" t="s">
        <v>91</v>
      </c>
      <c r="J32" s="35" t="str">
        <f>INDEX(Frequency[Collection_Frequency],MATCH(CollectionFTEs[[#This Row],[Frequency_ID]],Frequency[Orig_Frequency_ID],0)+(CollectionFTEs[[#This Row],[SS_or_DS]]="DS")*COUNTA(Frequency[Orig_Frequency_ID])/2)</f>
        <v>Varies by customer need</v>
      </c>
      <c r="K32" s="35">
        <v>2018</v>
      </c>
      <c r="L32" s="3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8562.5793000000012</v>
      </c>
      <c r="M32" s="144">
        <f>INDEX(LaborCostPerLift[Average_Lifts_Per_Week],MATCH(CollectionFTEs[[#This Row],[Collection_ID]],LaborCostPerLift[Collection_ID],0))</f>
        <v>1.31</v>
      </c>
      <c r="N32" s="100">
        <f>IFERROR(CollectionFTEs[[#This Row],[Customers]]*CollectionFTEs[[#This Row],[Lifts_Per_Week]],0)</f>
        <v>11216.978883000002</v>
      </c>
      <c r="O32" s="109">
        <f>IFERROR(CollectionFTEs[[#This Row],[Total_Lifts_Per_Week]]/SUMIFS(FTE_Per_Customer[Customer_Or_Lift_Per_Driver],FTE_Per_Customer[Sector_ID],CollectionFTEs[[#This Row],[Sector_ID]],FTE_Per_Customer[SS_or_DS],CollectionFTEs[SS_or_DS],FTE_Per_Customer[Frequency_ID],CollectionFTEs[Frequency_ID]),0)</f>
        <v>24.926619740000003</v>
      </c>
      <c r="P32" s="109">
        <f>IFERROR(CollectionFTEs[[#This Row],[Total_Lifts_Per_Week]]/SUMIFS(FTE_Per_Customer[Customer_Per_Admin],FTE_Per_Customer[Sector_ID],CollectionFTEs[[#This Row],[Sector_ID]],FTE_Per_Customer[SS_or_DS],CollectionFTEs[SS_or_DS],FTE_Per_Customer[Frequency_ID],CollectionFTEs[Frequency_ID]),0)</f>
        <v>2.8042447207500003</v>
      </c>
      <c r="Q32" s="379">
        <f>IF(CollectionFTEs[[#This Row],[Sector_ID]]=1,(CollectionFTEs[[#This Row],[Customers]]*CollectionTotal!$H$21*0.8)/(50*2080),(CollectionFTEs[[#This Row],[Customers]]*CollectionTotal!$H$22*0.8)/(50*2080))</f>
        <v>7.3693529365291859</v>
      </c>
      <c r="R32" s="34"/>
      <c r="S32" s="34"/>
      <c r="T32" s="34"/>
      <c r="U32" s="34"/>
      <c r="V32" s="34"/>
      <c r="W32" s="34"/>
      <c r="X32" s="34"/>
      <c r="Y32" s="34"/>
      <c r="Z32" s="34"/>
      <c r="AA32" s="34"/>
      <c r="AB32" s="34"/>
      <c r="AC32" s="34"/>
      <c r="AD32" s="34"/>
      <c r="AE32" s="34"/>
    </row>
    <row r="33" spans="1:30" ht="15" x14ac:dyDescent="0.25">
      <c r="A33" s="34"/>
      <c r="B33" s="196" t="str">
        <f>CollectionFTEs[[#This Row],[Grouping_ID]]&amp;"-"&amp;CollectionFTEs[[#This Row],[Sector_ID]]&amp;"-"&amp;CollectionFTEs[[#This Row],[Frequency_ID]]&amp;"-"&amp;CollectionFTEs[[#This Row],[SS_or_DS]]</f>
        <v>1-1-W-SS</v>
      </c>
      <c r="C33" s="196" t="str">
        <f>_xlfn.CONCAT(CollectionFTEs[[#This Row],[Grouping_ID]],"-",CollectionFTEs[[#This Row],[Sector_ID]])</f>
        <v>1-1</v>
      </c>
      <c r="D33" s="197">
        <v>1</v>
      </c>
      <c r="E33" s="198" t="str">
        <f>INDEX(Grouping[Grouping_Name],MATCH(CollectionFTEs[[#This Row],[Grouping_ID]],Grouping[Grouping_ID],0))</f>
        <v>1 - Metro area</v>
      </c>
      <c r="F33" s="35">
        <v>1</v>
      </c>
      <c r="G33" s="197" t="str">
        <f>INDEX(Sector[Sector_Name],MATCH(CollectionFTEs[[#This Row],[Sector_ID]],Sector[Sector_ID],0))</f>
        <v>SF Res. (on-route)</v>
      </c>
      <c r="H33" s="35" t="s">
        <v>806</v>
      </c>
      <c r="I33" s="35" t="s">
        <v>64</v>
      </c>
      <c r="J33" s="198" t="str">
        <f>INDEX(Frequency[Collection_Frequency],MATCH(CollectionFTEs[[#This Row],[Frequency_ID]],Frequency[Orig_Frequency_ID],0)+(CollectionFTEs[[#This Row],[SS_or_DS]]="DS")*COUNTA(Frequency[Orig_Frequency_ID])/2)</f>
        <v>Weekly</v>
      </c>
      <c r="K33" s="35">
        <v>2018</v>
      </c>
      <c r="L3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338055.9049837385</v>
      </c>
      <c r="M33" s="144">
        <f>INDEX(LaborCostPerLift[Average_Lifts_Per_Week],MATCH(CollectionFTEs[[#This Row],[Collection_ID]],LaborCostPerLift[Collection_ID],0))</f>
        <v>1</v>
      </c>
      <c r="N33" s="203">
        <f>IFERROR(CollectionFTEs[[#This Row],[Customers]]*CollectionFTEs[[#This Row],[Lifts_Per_Week]],0)</f>
        <v>338055.9049837385</v>
      </c>
      <c r="O33" s="109">
        <f>IFERROR(CollectionFTEs[[#This Row],[Total_Lifts_Per_Week]]/SUMIFS(FTE_Per_Customer[Customer_Or_Lift_Per_Driver],FTE_Per_Customer[Sector_ID],CollectionFTEs[[#This Row],[Sector_ID]],FTE_Per_Customer[SS_or_DS],CollectionFTEs[SS_or_DS],FTE_Per_Customer[Frequency_ID],CollectionFTEs[Frequency_ID]),0)</f>
        <v>96.587401423925286</v>
      </c>
      <c r="P33" s="109">
        <f>IFERROR(CollectionFTEs[[#This Row],[Total_Lifts_Per_Week]]/SUMIFS(FTE_Per_Customer[Customer_Per_Admin],FTE_Per_Customer[Sector_ID],CollectionFTEs[[#This Row],[Sector_ID]],FTE_Per_Customer[SS_or_DS],CollectionFTEs[SS_or_DS],FTE_Per_Customer[Frequency_ID],CollectionFTEs[Frequency_ID]),0)</f>
        <v>28.171325415311543</v>
      </c>
      <c r="Q33" s="379">
        <f>IF(CollectionFTEs[[#This Row],[Sector_ID]]=1,(CollectionFTEs[[#This Row],[Customers]]*CollectionTotal!$H$21*0.8)/(50*2080),(CollectionFTEs[[#This Row],[Customers]]*CollectionTotal!$H$22*0.8)/(50*2080))</f>
        <v>7.2736648293083386</v>
      </c>
      <c r="R33" s="35"/>
      <c r="S33" s="35"/>
      <c r="T33" s="35"/>
      <c r="U33" s="34"/>
      <c r="V33" s="34"/>
      <c r="W33" s="34"/>
      <c r="X33" s="34"/>
      <c r="Y33" s="34"/>
      <c r="Z33" s="34"/>
      <c r="AA33" s="34"/>
      <c r="AB33" s="34"/>
      <c r="AC33" s="34"/>
      <c r="AD33" s="34"/>
    </row>
    <row r="34" spans="1:30" s="34" customFormat="1" ht="15" x14ac:dyDescent="0.25">
      <c r="B34" s="196" t="str">
        <f>CollectionFTEs[[#This Row],[Grouping_ID]]&amp;"-"&amp;CollectionFTEs[[#This Row],[Sector_ID]]&amp;"-"&amp;CollectionFTEs[[#This Row],[Frequency_ID]]&amp;"-"&amp;CollectionFTEs[[#This Row],[SS_or_DS]]</f>
        <v>1-1-E-SS</v>
      </c>
      <c r="C34" s="196" t="str">
        <f>_xlfn.CONCAT(CollectionFTEs[[#This Row],[Grouping_ID]],"-",CollectionFTEs[[#This Row],[Sector_ID]])</f>
        <v>1-1</v>
      </c>
      <c r="D34" s="197">
        <v>1</v>
      </c>
      <c r="E34" s="198" t="str">
        <f>INDEX(Grouping[Grouping_Name],MATCH(CollectionFTEs[[#This Row],[Grouping_ID]],Grouping[Grouping_ID],0))</f>
        <v>1 - Metro area</v>
      </c>
      <c r="F34" s="35">
        <v>1</v>
      </c>
      <c r="G34" s="197" t="str">
        <f>INDEX(Sector[Sector_Name],MATCH(CollectionFTEs[[#This Row],[Sector_ID]],Sector[Sector_ID],0))</f>
        <v>SF Res. (on-route)</v>
      </c>
      <c r="H34" s="35" t="s">
        <v>806</v>
      </c>
      <c r="I34" s="35" t="s">
        <v>53</v>
      </c>
      <c r="J34" s="198" t="str">
        <f>INDEX(Frequency[Collection_Frequency],MATCH(CollectionFTEs[[#This Row],[Frequency_ID]],Frequency[Orig_Frequency_ID],0)+(CollectionFTEs[[#This Row],[SS_or_DS]]="DS")*COUNTA(Frequency[Orig_Frequency_ID])/2)</f>
        <v>Every other week</v>
      </c>
      <c r="K34" s="35">
        <v>2018</v>
      </c>
      <c r="L3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91031.503604375699</v>
      </c>
      <c r="M34" s="144">
        <f>INDEX(LaborCostPerLift[Average_Lifts_Per_Week],MATCH(CollectionFTEs[[#This Row],[Collection_ID]],LaborCostPerLift[Collection_ID],0))</f>
        <v>0.5</v>
      </c>
      <c r="N34" s="203">
        <f>IFERROR(CollectionFTEs[[#This Row],[Customers]]*CollectionFTEs[[#This Row],[Lifts_Per_Week]],0)</f>
        <v>45515.75180218785</v>
      </c>
      <c r="O34" s="109">
        <f>IFERROR(CollectionFTEs[[#This Row],[Total_Lifts_Per_Week]]/SUMIFS(FTE_Per_Customer[Customer_Or_Lift_Per_Driver],FTE_Per_Customer[Sector_ID],CollectionFTEs[[#This Row],[Sector_ID]],FTE_Per_Customer[SS_or_DS],CollectionFTEs[SS_or_DS],FTE_Per_Customer[Frequency_ID],CollectionFTEs[Frequency_ID]),0)</f>
        <v>7.5859586336979747</v>
      </c>
      <c r="P34" s="109">
        <f>IFERROR(CollectionFTEs[[#This Row],[Total_Lifts_Per_Week]]/SUMIFS(FTE_Per_Customer[Customer_Per_Admin],FTE_Per_Customer[Sector_ID],CollectionFTEs[[#This Row],[Sector_ID]],FTE_Per_Customer[SS_or_DS],CollectionFTEs[SS_or_DS],FTE_Per_Customer[Frequency_ID],CollectionFTEs[Frequency_ID]),0)</f>
        <v>3.7929793168489874</v>
      </c>
      <c r="Q34" s="379">
        <f>IF(CollectionFTEs[[#This Row],[Sector_ID]]=1,(CollectionFTEs[[#This Row],[Customers]]*CollectionTotal!$H$21*0.8)/(50*2080),(CollectionFTEs[[#This Row],[Customers]]*CollectionTotal!$H$22*0.8)/(50*2080))</f>
        <v>1.9586483666305232</v>
      </c>
      <c r="R34" s="35"/>
      <c r="S34" s="35"/>
      <c r="T34" s="35"/>
    </row>
    <row r="35" spans="1:30" s="34" customFormat="1" ht="15" x14ac:dyDescent="0.25">
      <c r="B35" s="196" t="str">
        <f>CollectionFTEs[[#This Row],[Grouping_ID]]&amp;"-"&amp;CollectionFTEs[[#This Row],[Sector_ID]]&amp;"-"&amp;CollectionFTEs[[#This Row],[Frequency_ID]]&amp;"-"&amp;CollectionFTEs[[#This Row],[SS_or_DS]]</f>
        <v>2-1-W-SS</v>
      </c>
      <c r="C35" s="196" t="str">
        <f>_xlfn.CONCAT(CollectionFTEs[[#This Row],[Grouping_ID]],"-",CollectionFTEs[[#This Row],[Sector_ID]])</f>
        <v>2-1</v>
      </c>
      <c r="D35" s="197">
        <v>2</v>
      </c>
      <c r="E35" s="198" t="str">
        <f>INDEX(Grouping[Grouping_Name],MATCH(CollectionFTEs[[#This Row],[Grouping_ID]],Grouping[Grouping_ID],0))</f>
        <v>2 - Willamette Valley, etc.</v>
      </c>
      <c r="F35" s="35">
        <v>1</v>
      </c>
      <c r="G35" s="197" t="str">
        <f>INDEX(Sector[Sector_Name],MATCH(CollectionFTEs[[#This Row],[Sector_ID]],Sector[Sector_ID],0))</f>
        <v>SF Res. (on-route)</v>
      </c>
      <c r="H35" s="35" t="s">
        <v>806</v>
      </c>
      <c r="I35" s="35" t="s">
        <v>64</v>
      </c>
      <c r="J35" s="198" t="str">
        <f>INDEX(Frequency[Collection_Frequency],MATCH(CollectionFTEs[[#This Row],[Frequency_ID]],Frequency[Orig_Frequency_ID],0)+(CollectionFTEs[[#This Row],[SS_or_DS]]="DS")*COUNTA(Frequency[Orig_Frequency_ID])/2)</f>
        <v>Weekly</v>
      </c>
      <c r="K35" s="35">
        <v>2018</v>
      </c>
      <c r="L3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86023.07220000001</v>
      </c>
      <c r="M35" s="144">
        <f>INDEX(LaborCostPerLift[Average_Lifts_Per_Week],MATCH(CollectionFTEs[[#This Row],[Collection_ID]],LaborCostPerLift[Collection_ID],0))</f>
        <v>1</v>
      </c>
      <c r="N35" s="203">
        <f>IFERROR(CollectionFTEs[[#This Row],[Customers]]*CollectionFTEs[[#This Row],[Lifts_Per_Week]],0)</f>
        <v>86023.07220000001</v>
      </c>
      <c r="O35" s="109">
        <f>IFERROR(CollectionFTEs[[#This Row],[Total_Lifts_Per_Week]]/SUMIFS(FTE_Per_Customer[Customer_Or_Lift_Per_Driver],FTE_Per_Customer[Sector_ID],CollectionFTEs[[#This Row],[Sector_ID]],FTE_Per_Customer[SS_or_DS],CollectionFTEs[SS_or_DS],FTE_Per_Customer[Frequency_ID],CollectionFTEs[Frequency_ID]),0)</f>
        <v>24.57802062857143</v>
      </c>
      <c r="P35" s="109">
        <f>IFERROR(CollectionFTEs[[#This Row],[Total_Lifts_Per_Week]]/SUMIFS(FTE_Per_Customer[Customer_Per_Admin],FTE_Per_Customer[Sector_ID],CollectionFTEs[[#This Row],[Sector_ID]],FTE_Per_Customer[SS_or_DS],CollectionFTEs[SS_or_DS],FTE_Per_Customer[Frequency_ID],CollectionFTEs[Frequency_ID]),0)</f>
        <v>7.1685893500000004</v>
      </c>
      <c r="Q35" s="379">
        <f>IF(CollectionFTEs[[#This Row],[Sector_ID]]=1,(CollectionFTEs[[#This Row],[Customers]]*CollectionTotal!$H$21*0.8)/(50*2080),(CollectionFTEs[[#This Row],[Customers]]*CollectionTotal!$H$22*0.8)/(50*2080))</f>
        <v>1.8508861568334094</v>
      </c>
      <c r="R35" s="35"/>
      <c r="S35" s="35"/>
      <c r="T35" s="35"/>
    </row>
    <row r="36" spans="1:30" s="34" customFormat="1" ht="15" x14ac:dyDescent="0.25">
      <c r="B36" s="196" t="str">
        <f>CollectionFTEs[[#This Row],[Grouping_ID]]&amp;"-"&amp;CollectionFTEs[[#This Row],[Sector_ID]]&amp;"-"&amp;CollectionFTEs[[#This Row],[Frequency_ID]]&amp;"-"&amp;CollectionFTEs[[#This Row],[SS_or_DS]]</f>
        <v>2-1-E-SS</v>
      </c>
      <c r="C36" s="196" t="str">
        <f>_xlfn.CONCAT(CollectionFTEs[[#This Row],[Grouping_ID]],"-",CollectionFTEs[[#This Row],[Sector_ID]])</f>
        <v>2-1</v>
      </c>
      <c r="D36" s="197">
        <v>2</v>
      </c>
      <c r="E36" s="198" t="str">
        <f>INDEX(Grouping[Grouping_Name],MATCH(CollectionFTEs[[#This Row],[Grouping_ID]],Grouping[Grouping_ID],0))</f>
        <v>2 - Willamette Valley, etc.</v>
      </c>
      <c r="F36" s="35">
        <v>1</v>
      </c>
      <c r="G36" s="197" t="str">
        <f>INDEX(Sector[Sector_Name],MATCH(CollectionFTEs[[#This Row],[Sector_ID]],Sector[Sector_ID],0))</f>
        <v>SF Res. (on-route)</v>
      </c>
      <c r="H36" s="35" t="s">
        <v>806</v>
      </c>
      <c r="I36" s="35" t="s">
        <v>53</v>
      </c>
      <c r="J36" s="198" t="str">
        <f>INDEX(Frequency[Collection_Frequency],MATCH(CollectionFTEs[[#This Row],[Frequency_ID]],Frequency[Orig_Frequency_ID],0)+(CollectionFTEs[[#This Row],[SS_or_DS]]="DS")*COUNTA(Frequency[Orig_Frequency_ID])/2)</f>
        <v>Every other week</v>
      </c>
      <c r="K36" s="35">
        <v>2018</v>
      </c>
      <c r="L3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269659.54210000002</v>
      </c>
      <c r="M36" s="144">
        <f>INDEX(LaborCostPerLift[Average_Lifts_Per_Week],MATCH(CollectionFTEs[[#This Row],[Collection_ID]],LaborCostPerLift[Collection_ID],0))</f>
        <v>0.5</v>
      </c>
      <c r="N36" s="203">
        <f>IFERROR(CollectionFTEs[[#This Row],[Customers]]*CollectionFTEs[[#This Row],[Lifts_Per_Week]],0)</f>
        <v>134829.77105000001</v>
      </c>
      <c r="O36" s="109">
        <f>IFERROR(CollectionFTEs[[#This Row],[Total_Lifts_Per_Week]]/SUMIFS(FTE_Per_Customer[Customer_Or_Lift_Per_Driver],FTE_Per_Customer[Sector_ID],CollectionFTEs[[#This Row],[Sector_ID]],FTE_Per_Customer[SS_or_DS],CollectionFTEs[SS_or_DS],FTE_Per_Customer[Frequency_ID],CollectionFTEs[Frequency_ID]),0)</f>
        <v>22.471628508333335</v>
      </c>
      <c r="P36" s="109">
        <f>IFERROR(CollectionFTEs[[#This Row],[Total_Lifts_Per_Week]]/SUMIFS(FTE_Per_Customer[Customer_Per_Admin],FTE_Per_Customer[Sector_ID],CollectionFTEs[[#This Row],[Sector_ID]],FTE_Per_Customer[SS_or_DS],CollectionFTEs[SS_or_DS],FTE_Per_Customer[Frequency_ID],CollectionFTEs[Frequency_ID]),0)</f>
        <v>11.235814254166668</v>
      </c>
      <c r="Q36" s="379">
        <f>IF(CollectionFTEs[[#This Row],[Sector_ID]]=1,(CollectionFTEs[[#This Row],[Customers]]*CollectionTotal!$H$21*0.8)/(50*2080),(CollectionFTEs[[#This Row],[Customers]]*CollectionTotal!$H$22*0.8)/(50*2080))</f>
        <v>5.8020377645955072</v>
      </c>
      <c r="R36" s="35"/>
      <c r="S36" s="35"/>
      <c r="T36" s="35"/>
    </row>
    <row r="37" spans="1:30" s="34" customFormat="1" ht="15" x14ac:dyDescent="0.25">
      <c r="B37" s="196" t="str">
        <f>CollectionFTEs[[#This Row],[Grouping_ID]]&amp;"-"&amp;CollectionFTEs[[#This Row],[Sector_ID]]&amp;"-"&amp;CollectionFTEs[[#This Row],[Frequency_ID]]&amp;"-"&amp;CollectionFTEs[[#This Row],[SS_or_DS]]</f>
        <v>2-1-U-SS</v>
      </c>
      <c r="C37" s="196" t="str">
        <f>_xlfn.CONCAT(CollectionFTEs[[#This Row],[Grouping_ID]],"-",CollectionFTEs[[#This Row],[Sector_ID]])</f>
        <v>2-1</v>
      </c>
      <c r="D37" s="197">
        <v>2</v>
      </c>
      <c r="E37" s="198" t="str">
        <f>INDEX(Grouping[Grouping_Name],MATCH(CollectionFTEs[[#This Row],[Grouping_ID]],Grouping[Grouping_ID],0))</f>
        <v>2 - Willamette Valley, etc.</v>
      </c>
      <c r="F37" s="35">
        <v>1</v>
      </c>
      <c r="G37" s="197" t="str">
        <f>INDEX(Sector[Sector_Name],MATCH(CollectionFTEs[[#This Row],[Sector_ID]],Sector[Sector_ID],0))</f>
        <v>SF Res. (on-route)</v>
      </c>
      <c r="H37" s="35" t="s">
        <v>806</v>
      </c>
      <c r="I37" s="35" t="s">
        <v>65</v>
      </c>
      <c r="J37" s="198" t="str">
        <f>INDEX(Frequency[Collection_Frequency],MATCH(CollectionFTEs[[#This Row],[Frequency_ID]],Frequency[Orig_Frequency_ID],0)+(CollectionFTEs[[#This Row],[SS_or_DS]]="DS")*COUNTA(Frequency[Orig_Frequency_ID])/2)</f>
        <v>Uncertain</v>
      </c>
      <c r="K37" s="35">
        <v>2018</v>
      </c>
      <c r="L3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37" s="144">
        <f>INDEX(LaborCostPerLift[Average_Lifts_Per_Week],MATCH(CollectionFTEs[[#This Row],[Collection_ID]],LaborCostPerLift[Collection_ID],0))</f>
        <v>1</v>
      </c>
      <c r="N37" s="203">
        <f>IFERROR(CollectionFTEs[[#This Row],[Customers]]*CollectionFTEs[[#This Row],[Lifts_Per_Week]],0)</f>
        <v>0</v>
      </c>
      <c r="O37" s="109">
        <f>IFERROR(CollectionFTEs[[#This Row],[Total_Lifts_Per_Week]]/SUMIFS(FTE_Per_Customer[Customer_Or_Lift_Per_Driver],FTE_Per_Customer[Sector_ID],CollectionFTEs[[#This Row],[Sector_ID]],FTE_Per_Customer[SS_or_DS],CollectionFTEs[SS_or_DS],FTE_Per_Customer[Frequency_ID],CollectionFTEs[Frequency_ID]),0)</f>
        <v>0</v>
      </c>
      <c r="P37" s="109">
        <f>IFERROR(CollectionFTEs[[#This Row],[Total_Lifts_Per_Week]]/SUMIFS(FTE_Per_Customer[Customer_Per_Admin],FTE_Per_Customer[Sector_ID],CollectionFTEs[[#This Row],[Sector_ID]],FTE_Per_Customer[SS_or_DS],CollectionFTEs[SS_or_DS],FTE_Per_Customer[Frequency_ID],CollectionFTEs[Frequency_ID]),0)</f>
        <v>0</v>
      </c>
      <c r="Q37" s="379">
        <f>IF(CollectionFTEs[[#This Row],[Sector_ID]]=1,(CollectionFTEs[[#This Row],[Customers]]*CollectionTotal!$H$21*0.8)/(50*2080),(CollectionFTEs[[#This Row],[Customers]]*CollectionTotal!$H$22*0.8)/(50*2080))</f>
        <v>0</v>
      </c>
      <c r="R37" s="35"/>
      <c r="S37" s="35"/>
      <c r="T37" s="35"/>
    </row>
    <row r="38" spans="1:30" s="34" customFormat="1" ht="15" x14ac:dyDescent="0.25">
      <c r="B38" s="196" t="str">
        <f>CollectionFTEs[[#This Row],[Grouping_ID]]&amp;"-"&amp;CollectionFTEs[[#This Row],[Sector_ID]]&amp;"-"&amp;CollectionFTEs[[#This Row],[Frequency_ID]]&amp;"-"&amp;CollectionFTEs[[#This Row],[SS_or_DS]]</f>
        <v>3-1-W-SS</v>
      </c>
      <c r="C38" s="196" t="str">
        <f>_xlfn.CONCAT(CollectionFTEs[[#This Row],[Grouping_ID]],"-",CollectionFTEs[[#This Row],[Sector_ID]])</f>
        <v>3-1</v>
      </c>
      <c r="D38" s="197">
        <v>3</v>
      </c>
      <c r="E38" s="198" t="str">
        <f>INDEX(Grouping[Grouping_Name],MATCH(CollectionFTEs[[#This Row],[Grouping_ID]],Grouping[Grouping_ID],0))</f>
        <v>3 - Other areas with curbside</v>
      </c>
      <c r="F38" s="35">
        <v>1</v>
      </c>
      <c r="G38" s="197" t="str">
        <f>INDEX(Sector[Sector_Name],MATCH(CollectionFTEs[[#This Row],[Sector_ID]],Sector[Sector_ID],0))</f>
        <v>SF Res. (on-route)</v>
      </c>
      <c r="H38" s="35" t="s">
        <v>806</v>
      </c>
      <c r="I38" s="35" t="s">
        <v>64</v>
      </c>
      <c r="J38" s="198" t="str">
        <f>INDEX(Frequency[Collection_Frequency],MATCH(CollectionFTEs[[#This Row],[Frequency_ID]],Frequency[Orig_Frequency_ID],0)+(CollectionFTEs[[#This Row],[SS_or_DS]]="DS")*COUNTA(Frequency[Orig_Frequency_ID])/2)</f>
        <v>Weekly</v>
      </c>
      <c r="K38" s="35">
        <v>2018</v>
      </c>
      <c r="L38"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53318.385000000002</v>
      </c>
      <c r="M38" s="144">
        <f>INDEX(LaborCostPerLift[Average_Lifts_Per_Week],MATCH(CollectionFTEs[[#This Row],[Collection_ID]],LaborCostPerLift[Collection_ID],0))</f>
        <v>1</v>
      </c>
      <c r="N38" s="203">
        <f>IFERROR(CollectionFTEs[[#This Row],[Customers]]*CollectionFTEs[[#This Row],[Lifts_Per_Week]],0)</f>
        <v>53318.385000000002</v>
      </c>
      <c r="O38" s="109">
        <f>IFERROR(CollectionFTEs[[#This Row],[Total_Lifts_Per_Week]]/SUMIFS(FTE_Per_Customer[Customer_Or_Lift_Per_Driver],FTE_Per_Customer[Sector_ID],CollectionFTEs[[#This Row],[Sector_ID]],FTE_Per_Customer[SS_or_DS],CollectionFTEs[SS_or_DS],FTE_Per_Customer[Frequency_ID],CollectionFTEs[Frequency_ID]),0)</f>
        <v>15.233824285714286</v>
      </c>
      <c r="P38" s="109">
        <f>IFERROR(CollectionFTEs[[#This Row],[Total_Lifts_Per_Week]]/SUMIFS(FTE_Per_Customer[Customer_Per_Admin],FTE_Per_Customer[Sector_ID],CollectionFTEs[[#This Row],[Sector_ID]],FTE_Per_Customer[SS_or_DS],CollectionFTEs[SS_or_DS],FTE_Per_Customer[Frequency_ID],CollectionFTEs[Frequency_ID]),0)</f>
        <v>4.4431987500000005</v>
      </c>
      <c r="Q38" s="379">
        <f>IF(CollectionFTEs[[#This Row],[Sector_ID]]=1,(CollectionFTEs[[#This Row],[Customers]]*CollectionTotal!$H$21*0.8)/(50*2080),(CollectionFTEs[[#This Row],[Customers]]*CollectionTotal!$H$22*0.8)/(50*2080))</f>
        <v>1.1472068850525672</v>
      </c>
      <c r="R38" s="35"/>
      <c r="S38" s="35"/>
      <c r="T38" s="35"/>
    </row>
    <row r="39" spans="1:30" s="34" customFormat="1" ht="15" x14ac:dyDescent="0.25">
      <c r="B39" s="196" t="str">
        <f>CollectionFTEs[[#This Row],[Grouping_ID]]&amp;"-"&amp;CollectionFTEs[[#This Row],[Sector_ID]]&amp;"-"&amp;CollectionFTEs[[#This Row],[Frequency_ID]]&amp;"-"&amp;CollectionFTEs[[#This Row],[SS_or_DS]]</f>
        <v>3-1-E-SS</v>
      </c>
      <c r="C39" s="196" t="str">
        <f>_xlfn.CONCAT(CollectionFTEs[[#This Row],[Grouping_ID]],"-",CollectionFTEs[[#This Row],[Sector_ID]])</f>
        <v>3-1</v>
      </c>
      <c r="D39" s="197">
        <v>3</v>
      </c>
      <c r="E39" s="198" t="str">
        <f>INDEX(Grouping[Grouping_Name],MATCH(CollectionFTEs[[#This Row],[Grouping_ID]],Grouping[Grouping_ID],0))</f>
        <v>3 - Other areas with curbside</v>
      </c>
      <c r="F39" s="35">
        <v>1</v>
      </c>
      <c r="G39" s="197" t="str">
        <f>INDEX(Sector[Sector_Name],MATCH(CollectionFTEs[[#This Row],[Sector_ID]],Sector[Sector_ID],0))</f>
        <v>SF Res. (on-route)</v>
      </c>
      <c r="H39" s="35" t="s">
        <v>806</v>
      </c>
      <c r="I39" s="35" t="s">
        <v>53</v>
      </c>
      <c r="J39" s="198" t="str">
        <f>INDEX(Frequency[Collection_Frequency],MATCH(CollectionFTEs[[#This Row],[Frequency_ID]],Frequency[Orig_Frequency_ID],0)+(CollectionFTEs[[#This Row],[SS_or_DS]]="DS")*COUNTA(Frequency[Orig_Frequency_ID])/2)</f>
        <v>Every other week</v>
      </c>
      <c r="K39" s="35">
        <v>2018</v>
      </c>
      <c r="L3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84475.782000000007</v>
      </c>
      <c r="M39" s="144">
        <f>INDEX(LaborCostPerLift[Average_Lifts_Per_Week],MATCH(CollectionFTEs[[#This Row],[Collection_ID]],LaborCostPerLift[Collection_ID],0))</f>
        <v>0.5</v>
      </c>
      <c r="N39" s="203">
        <f>IFERROR(CollectionFTEs[[#This Row],[Customers]]*CollectionFTEs[[#This Row],[Lifts_Per_Week]],0)</f>
        <v>42237.891000000003</v>
      </c>
      <c r="O39" s="109">
        <f>IFERROR(CollectionFTEs[[#This Row],[Total_Lifts_Per_Week]]/SUMIFS(FTE_Per_Customer[Customer_Or_Lift_Per_Driver],FTE_Per_Customer[Sector_ID],CollectionFTEs[[#This Row],[Sector_ID]],FTE_Per_Customer[SS_or_DS],CollectionFTEs[SS_or_DS],FTE_Per_Customer[Frequency_ID],CollectionFTEs[Frequency_ID]),0)</f>
        <v>7.0396485000000002</v>
      </c>
      <c r="P39" s="109">
        <f>IFERROR(CollectionFTEs[[#This Row],[Total_Lifts_Per_Week]]/SUMIFS(FTE_Per_Customer[Customer_Per_Admin],FTE_Per_Customer[Sector_ID],CollectionFTEs[[#This Row],[Sector_ID]],FTE_Per_Customer[SS_or_DS],CollectionFTEs[SS_or_DS],FTE_Per_Customer[Frequency_ID],CollectionFTEs[Frequency_ID]),0)</f>
        <v>3.5198242500000001</v>
      </c>
      <c r="Q39" s="379">
        <f>IF(CollectionFTEs[[#This Row],[Sector_ID]]=1,(CollectionFTEs[[#This Row],[Customers]]*CollectionTotal!$H$21*0.8)/(50*2080),(CollectionFTEs[[#This Row],[Customers]]*CollectionTotal!$H$22*0.8)/(50*2080))</f>
        <v>1.8175944138330473</v>
      </c>
      <c r="R39" s="35"/>
      <c r="S39" s="35"/>
      <c r="T39" s="35"/>
    </row>
    <row r="40" spans="1:30" s="34" customFormat="1" ht="15" x14ac:dyDescent="0.25">
      <c r="B40" s="196" t="str">
        <f>CollectionFTEs[[#This Row],[Grouping_ID]]&amp;"-"&amp;CollectionFTEs[[#This Row],[Sector_ID]]&amp;"-"&amp;CollectionFTEs[[#This Row],[Frequency_ID]]&amp;"-"&amp;CollectionFTEs[[#This Row],[SS_or_DS]]</f>
        <v>3-1-BM-SS</v>
      </c>
      <c r="C40" s="196" t="str">
        <f>_xlfn.CONCAT(CollectionFTEs[[#This Row],[Grouping_ID]],"-",CollectionFTEs[[#This Row],[Sector_ID]])</f>
        <v>3-1</v>
      </c>
      <c r="D40" s="197">
        <v>3</v>
      </c>
      <c r="E40" s="198" t="str">
        <f>INDEX(Grouping[Grouping_Name],MATCH(CollectionFTEs[[#This Row],[Grouping_ID]],Grouping[Grouping_ID],0))</f>
        <v>3 - Other areas with curbside</v>
      </c>
      <c r="F40" s="35">
        <v>1</v>
      </c>
      <c r="G40" s="197" t="str">
        <f>INDEX(Sector[Sector_Name],MATCH(CollectionFTEs[[#This Row],[Sector_ID]],Sector[Sector_ID],0))</f>
        <v>SF Res. (on-route)</v>
      </c>
      <c r="H40" s="35" t="s">
        <v>806</v>
      </c>
      <c r="I40" s="35" t="s">
        <v>66</v>
      </c>
      <c r="J40" s="198" t="str">
        <f>INDEX(Frequency[Collection_Frequency],MATCH(CollectionFTEs[[#This Row],[Frequency_ID]],Frequency[Orig_Frequency_ID],0)+(CollectionFTEs[[#This Row],[SS_or_DS]]="DS")*COUNTA(Frequency[Orig_Frequency_ID])/2)</f>
        <v>Bimonthly</v>
      </c>
      <c r="K40" s="35">
        <v>2018</v>
      </c>
      <c r="L40"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661.63499999999999</v>
      </c>
      <c r="M40" s="144">
        <f>INDEX(LaborCostPerLift[Average_Lifts_Per_Week],MATCH(CollectionFTEs[[#This Row],[Collection_ID]],LaborCostPerLift[Collection_ID],0))</f>
        <v>0.46511627906976744</v>
      </c>
      <c r="N40" s="203">
        <f>IFERROR(CollectionFTEs[[#This Row],[Customers]]*CollectionFTEs[[#This Row],[Lifts_Per_Week]],0)</f>
        <v>307.7372093023256</v>
      </c>
      <c r="O40" s="109">
        <f>IFERROR(CollectionFTEs[[#This Row],[Total_Lifts_Per_Week]]/SUMIFS(FTE_Per_Customer[Customer_Or_Lift_Per_Driver],FTE_Per_Customer[Sector_ID],CollectionFTEs[[#This Row],[Sector_ID]],FTE_Per_Customer[SS_or_DS],CollectionFTEs[SS_or_DS],FTE_Per_Customer[Frequency_ID],CollectionFTEs[Frequency_ID]),0)</f>
        <v>5.1289534883720934E-2</v>
      </c>
      <c r="P40" s="109">
        <f>IFERROR(CollectionFTEs[[#This Row],[Total_Lifts_Per_Week]]/SUMIFS(FTE_Per_Customer[Customer_Per_Admin],FTE_Per_Customer[Sector_ID],CollectionFTEs[[#This Row],[Sector_ID]],FTE_Per_Customer[SS_or_DS],CollectionFTEs[SS_or_DS],FTE_Per_Customer[Frequency_ID],CollectionFTEs[Frequency_ID]),0)</f>
        <v>2.5644767441860467E-2</v>
      </c>
      <c r="Q40" s="379">
        <f>IF(CollectionFTEs[[#This Row],[Sector_ID]]=1,(CollectionFTEs[[#This Row],[Customers]]*CollectionTotal!$H$21*0.8)/(50*2080),(CollectionFTEs[[#This Row],[Customers]]*CollectionTotal!$H$22*0.8)/(50*2080))</f>
        <v>1.4235844303831695E-2</v>
      </c>
      <c r="R40" s="35"/>
      <c r="S40" s="35"/>
      <c r="T40" s="35"/>
    </row>
    <row r="41" spans="1:30" s="34" customFormat="1" ht="15" x14ac:dyDescent="0.25">
      <c r="B41" s="196" t="str">
        <f>CollectionFTEs[[#This Row],[Grouping_ID]]&amp;"-"&amp;CollectionFTEs[[#This Row],[Sector_ID]]&amp;"-"&amp;CollectionFTEs[[#This Row],[Frequency_ID]]&amp;"-"&amp;CollectionFTEs[[#This Row],[SS_or_DS]]</f>
        <v>3-1-M-SS</v>
      </c>
      <c r="C41" s="196" t="str">
        <f>_xlfn.CONCAT(CollectionFTEs[[#This Row],[Grouping_ID]],"-",CollectionFTEs[[#This Row],[Sector_ID]])</f>
        <v>3-1</v>
      </c>
      <c r="D41" s="197">
        <v>3</v>
      </c>
      <c r="E41" s="198" t="str">
        <f>INDEX(Grouping[Grouping_Name],MATCH(CollectionFTEs[[#This Row],[Grouping_ID]],Grouping[Grouping_ID],0))</f>
        <v>3 - Other areas with curbside</v>
      </c>
      <c r="F41" s="35">
        <v>1</v>
      </c>
      <c r="G41" s="197" t="str">
        <f>INDEX(Sector[Sector_Name],MATCH(CollectionFTEs[[#This Row],[Sector_ID]],Sector[Sector_ID],0))</f>
        <v>SF Res. (on-route)</v>
      </c>
      <c r="H41" s="35" t="s">
        <v>806</v>
      </c>
      <c r="I41" s="35" t="s">
        <v>67</v>
      </c>
      <c r="J41" s="198" t="str">
        <f>INDEX(Frequency[Collection_Frequency],MATCH(CollectionFTEs[[#This Row],[Frequency_ID]],Frequency[Orig_Frequency_ID],0)+(CollectionFTEs[[#This Row],[SS_or_DS]]="DS")*COUNTA(Frequency[Orig_Frequency_ID])/2)</f>
        <v>Monthly</v>
      </c>
      <c r="K41" s="35">
        <v>2018</v>
      </c>
      <c r="L41"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2099.7449999999999</v>
      </c>
      <c r="M41" s="144">
        <f>INDEX(LaborCostPerLift[Average_Lifts_Per_Week],MATCH(CollectionFTEs[[#This Row],[Collection_ID]],LaborCostPerLift[Collection_ID],0))</f>
        <v>0.23255813953488372</v>
      </c>
      <c r="N41" s="203">
        <f>IFERROR(CollectionFTEs[[#This Row],[Customers]]*CollectionFTEs[[#This Row],[Lifts_Per_Week]],0)</f>
        <v>488.31279069767436</v>
      </c>
      <c r="O41" s="109">
        <f>IFERROR(CollectionFTEs[[#This Row],[Total_Lifts_Per_Week]]/SUMIFS(FTE_Per_Customer[Customer_Or_Lift_Per_Driver],FTE_Per_Customer[Sector_ID],CollectionFTEs[[#This Row],[Sector_ID]],FTE_Per_Customer[SS_or_DS],CollectionFTEs[SS_or_DS],FTE_Per_Customer[Frequency_ID],CollectionFTEs[Frequency_ID]),0)</f>
        <v>4.069273255813953E-2</v>
      </c>
      <c r="P41" s="109">
        <f>IFERROR(CollectionFTEs[[#This Row],[Total_Lifts_Per_Week]]/SUMIFS(FTE_Per_Customer[Customer_Per_Admin],FTE_Per_Customer[Sector_ID],CollectionFTEs[[#This Row],[Sector_ID]],FTE_Per_Customer[SS_or_DS],CollectionFTEs[SS_or_DS],FTE_Per_Customer[Frequency_ID],CollectionFTEs[Frequency_ID]),0)</f>
        <v>4.069273255813953E-2</v>
      </c>
      <c r="Q41" s="379">
        <f>IF(CollectionFTEs[[#This Row],[Sector_ID]]=1,(CollectionFTEs[[#This Row],[Customers]]*CollectionTotal!$H$21*0.8)/(50*2080),(CollectionFTEs[[#This Row],[Customers]]*CollectionTotal!$H$22*0.8)/(50*2080))</f>
        <v>4.5178448688097041E-2</v>
      </c>
      <c r="R41" s="35"/>
      <c r="S41" s="35"/>
      <c r="T41" s="35"/>
    </row>
    <row r="42" spans="1:30" s="34" customFormat="1" ht="15" x14ac:dyDescent="0.25">
      <c r="B42" s="199" t="str">
        <f>CollectionFTEs[[#This Row],[Grouping_ID]]&amp;"-"&amp;CollectionFTEs[[#This Row],[Sector_ID]]&amp;"-"&amp;CollectionFTEs[[#This Row],[Frequency_ID]]&amp;"-"&amp;CollectionFTEs[[#This Row],[SS_or_DS]]</f>
        <v>3-1-U-SS</v>
      </c>
      <c r="C42" s="199" t="str">
        <f>_xlfn.CONCAT(CollectionFTEs[[#This Row],[Grouping_ID]],"-",CollectionFTEs[[#This Row],[Sector_ID]])</f>
        <v>3-1</v>
      </c>
      <c r="D42" s="200">
        <v>3</v>
      </c>
      <c r="E42" s="201" t="str">
        <f>INDEX(Grouping[Grouping_Name],MATCH(CollectionFTEs[[#This Row],[Grouping_ID]],Grouping[Grouping_ID],0))</f>
        <v>3 - Other areas with curbside</v>
      </c>
      <c r="F42" s="35">
        <v>1</v>
      </c>
      <c r="G42" s="200" t="str">
        <f>INDEX(Sector[Sector_Name],MATCH(CollectionFTEs[[#This Row],[Sector_ID]],Sector[Sector_ID],0))</f>
        <v>SF Res. (on-route)</v>
      </c>
      <c r="H42" s="35" t="s">
        <v>806</v>
      </c>
      <c r="I42" s="35" t="s">
        <v>65</v>
      </c>
      <c r="J42" s="201" t="str">
        <f>INDEX(Frequency[Collection_Frequency],MATCH(CollectionFTEs[[#This Row],[Frequency_ID]],Frequency[Orig_Frequency_ID],0)+(CollectionFTEs[[#This Row],[SS_or_DS]]="DS")*COUNTA(Frequency[Orig_Frequency_ID])/2)</f>
        <v>Uncertain</v>
      </c>
      <c r="K42" s="35">
        <v>2018</v>
      </c>
      <c r="L42" s="204">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42" s="205">
        <f>INDEX(LaborCostPerLift[Average_Lifts_Per_Week],MATCH(CollectionFTEs[[#This Row],[Collection_ID]],LaborCostPerLift[Collection_ID],0))</f>
        <v>1</v>
      </c>
      <c r="N42" s="160">
        <f>IFERROR(CollectionFTEs[[#This Row],[Customers]]*CollectionFTEs[[#This Row],[Lifts_Per_Week]],0)</f>
        <v>0</v>
      </c>
      <c r="O42" s="136">
        <f>IFERROR(CollectionFTEs[[#This Row],[Total_Lifts_Per_Week]]/SUMIFS(FTE_Per_Customer[Customer_Or_Lift_Per_Driver],FTE_Per_Customer[Sector_ID],CollectionFTEs[[#This Row],[Sector_ID]],FTE_Per_Customer[SS_or_DS],CollectionFTEs[SS_or_DS],FTE_Per_Customer[Frequency_ID],CollectionFTEs[Frequency_ID]),0)</f>
        <v>0</v>
      </c>
      <c r="P42" s="136">
        <f>IFERROR(CollectionFTEs[[#This Row],[Total_Lifts_Per_Week]]/SUMIFS(FTE_Per_Customer[Customer_Per_Admin],FTE_Per_Customer[Sector_ID],CollectionFTEs[[#This Row],[Sector_ID]],FTE_Per_Customer[SS_or_DS],CollectionFTEs[SS_or_DS],FTE_Per_Customer[Frequency_ID],CollectionFTEs[Frequency_ID]),0)</f>
        <v>0</v>
      </c>
      <c r="Q42" s="136">
        <f>IF(CollectionFTEs[[#This Row],[Sector_ID]]=1,(CollectionFTEs[[#This Row],[Customers]]*CollectionTotal!$H$21*0.8)/(50*2080),(CollectionFTEs[[#This Row],[Customers]]*CollectionTotal!$H$22*0.8)/(50*2080))</f>
        <v>0</v>
      </c>
      <c r="R42" s="35"/>
      <c r="S42" s="35"/>
      <c r="T42" s="35"/>
    </row>
    <row r="43" spans="1:30" s="34" customFormat="1" ht="15" x14ac:dyDescent="0.25">
      <c r="B43" s="196" t="str">
        <f>CollectionFTEs[[#This Row],[Grouping_ID]]&amp;"-"&amp;CollectionFTEs[[#This Row],[Sector_ID]]&amp;"-"&amp;CollectionFTEs[[#This Row],[Frequency_ID]]&amp;"-"&amp;CollectionFTEs[[#This Row],[SS_or_DS]]</f>
        <v>1-2-V-DS</v>
      </c>
      <c r="C43" s="196" t="str">
        <f>_xlfn.CONCAT(CollectionFTEs[[#This Row],[Grouping_ID]],"-",CollectionFTEs[[#This Row],[Sector_ID]])</f>
        <v>1-2</v>
      </c>
      <c r="D43" s="35">
        <v>1</v>
      </c>
      <c r="E43" s="198" t="str">
        <f>INDEX(Grouping[Grouping_Name],MATCH(CollectionFTEs[[#This Row],[Grouping_ID]],Grouping[Grouping_ID],0))</f>
        <v>1 - Metro area</v>
      </c>
      <c r="F43" s="35">
        <v>2</v>
      </c>
      <c r="G43" s="198" t="str">
        <f>INDEX(Sector[Sector_Name],MATCH(CollectionFTEs[[#This Row],[Sector_ID]],Sector[Sector_ID],0))</f>
        <v>MF Res. (on-route)</v>
      </c>
      <c r="H43" s="35" t="s">
        <v>808</v>
      </c>
      <c r="I43" s="197" t="s">
        <v>91</v>
      </c>
      <c r="J43" s="198" t="str">
        <f>INDEX(Frequency[Collection_Frequency],MATCH(CollectionFTEs[[#This Row],[Frequency_ID]],Frequency[Orig_Frequency_ID],0)+(CollectionFTEs[[#This Row],[SS_or_DS]]="DS")*COUNTA(Frequency[Orig_Frequency_ID])/2)</f>
        <v>Varies by customer need</v>
      </c>
      <c r="K43" s="35">
        <v>2018</v>
      </c>
      <c r="L4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6651.3217605832124</v>
      </c>
      <c r="M43" s="144">
        <f>INDEX(LaborCostPerLift[Average_Lifts_Per_Week],MATCH(CollectionFTEs[[#This Row],[Collection_ID]],LaborCostPerLift[Collection_ID],0))</f>
        <v>1.39</v>
      </c>
      <c r="N43" s="203">
        <f>IFERROR(CollectionFTEs[[#This Row],[Customers]]*CollectionFTEs[[#This Row],[Lifts_Per_Week]],0)</f>
        <v>9245.3372472106639</v>
      </c>
      <c r="O43" s="109">
        <f>IFERROR(CollectionFTEs[[#This Row],[Total_Lifts_Per_Week]]/SUMIFS(FTE_Per_Customer[Customer_Or_Lift_Per_Driver],FTE_Per_Customer[Sector_ID],CollectionFTEs[[#This Row],[Sector_ID]],FTE_Per_Customer[SS_or_DS],CollectionFTEs[SS_or_DS],FTE_Per_Customer[Frequency_ID],CollectionFTEs[Frequency_ID]),0)</f>
        <v>20.545193882690363</v>
      </c>
      <c r="P43" s="109">
        <f>IFERROR(CollectionFTEs[[#This Row],[Total_Lifts_Per_Week]]/SUMIFS(FTE_Per_Customer[Customer_Per_Admin],FTE_Per_Customer[Sector_ID],CollectionFTEs[[#This Row],[Sector_ID]],FTE_Per_Customer[SS_or_DS],CollectionFTEs[SS_or_DS],FTE_Per_Customer[Frequency_ID],CollectionFTEs[Frequency_ID]),0)</f>
        <v>2.3113343118026659</v>
      </c>
      <c r="Q43" s="379">
        <f>IF(CollectionFTEs[[#This Row],[Sector_ID]]=1,(CollectionFTEs[[#This Row],[Customers]]*CollectionTotal!$H$21*0.8)/(50*2080),(CollectionFTEs[[#This Row],[Customers]]*CollectionTotal!$H$22*0.8)/(50*2080))</f>
        <v>5.724436040919862</v>
      </c>
      <c r="R43" s="35"/>
      <c r="S43" s="35"/>
      <c r="T43" s="35"/>
    </row>
    <row r="44" spans="1:30" s="34" customFormat="1" ht="15" x14ac:dyDescent="0.25">
      <c r="B44" s="196" t="str">
        <f>CollectionFTEs[[#This Row],[Grouping_ID]]&amp;"-"&amp;CollectionFTEs[[#This Row],[Sector_ID]]&amp;"-"&amp;CollectionFTEs[[#This Row],[Frequency_ID]]&amp;"-"&amp;CollectionFTEs[[#This Row],[SS_or_DS]]</f>
        <v>1-3-V-DS</v>
      </c>
      <c r="C44" s="196" t="str">
        <f>_xlfn.CONCAT(CollectionFTEs[[#This Row],[Grouping_ID]],"-",CollectionFTEs[[#This Row],[Sector_ID]])</f>
        <v>1-3</v>
      </c>
      <c r="D44" s="35">
        <v>1</v>
      </c>
      <c r="E44" s="198" t="str">
        <f>INDEX(Grouping[Grouping_Name],MATCH(CollectionFTEs[[#This Row],[Grouping_ID]],Grouping[Grouping_ID],0))</f>
        <v>1 - Metro area</v>
      </c>
      <c r="F44" s="35">
        <v>3</v>
      </c>
      <c r="G44" s="198" t="str">
        <f>INDEX(Sector[Sector_Name],MATCH(CollectionFTEs[[#This Row],[Sector_ID]],Sector[Sector_ID],0))</f>
        <v>Commercial (on-route)</v>
      </c>
      <c r="H44" s="35" t="s">
        <v>808</v>
      </c>
      <c r="I44" s="197" t="s">
        <v>91</v>
      </c>
      <c r="J44" s="198" t="str">
        <f>INDEX(Frequency[Collection_Frequency],MATCH(CollectionFTEs[[#This Row],[Frequency_ID]],Frequency[Orig_Frequency_ID],0)+(CollectionFTEs[[#This Row],[SS_or_DS]]="DS")*COUNTA(Frequency[Orig_Frequency_ID])/2)</f>
        <v>Varies by customer need</v>
      </c>
      <c r="K44" s="35">
        <v>2018</v>
      </c>
      <c r="L4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32707.393386508858</v>
      </c>
      <c r="M44" s="144">
        <f>INDEX(LaborCostPerLift[Average_Lifts_Per_Week],MATCH(CollectionFTEs[[#This Row],[Collection_ID]],LaborCostPerLift[Collection_ID],0))</f>
        <v>1.39</v>
      </c>
      <c r="N44" s="203">
        <f>IFERROR(CollectionFTEs[[#This Row],[Customers]]*CollectionFTEs[[#This Row],[Lifts_Per_Week]],0)</f>
        <v>45463.276807247312</v>
      </c>
      <c r="O44" s="109">
        <f>IFERROR(CollectionFTEs[[#This Row],[Total_Lifts_Per_Week]]/SUMIFS(FTE_Per_Customer[Customer_Or_Lift_Per_Driver],FTE_Per_Customer[Sector_ID],CollectionFTEs[[#This Row],[Sector_ID]],FTE_Per_Customer[SS_or_DS],CollectionFTEs[SS_or_DS],FTE_Per_Customer[Frequency_ID],CollectionFTEs[Frequency_ID]),0)</f>
        <v>101.02950401610514</v>
      </c>
      <c r="P44" s="109">
        <f>IFERROR(CollectionFTEs[[#This Row],[Total_Lifts_Per_Week]]/SUMIFS(FTE_Per_Customer[Customer_Per_Admin],FTE_Per_Customer[Sector_ID],CollectionFTEs[[#This Row],[Sector_ID]],FTE_Per_Customer[SS_or_DS],CollectionFTEs[SS_or_DS],FTE_Per_Customer[Frequency_ID],CollectionFTEs[Frequency_ID]),0)</f>
        <v>11.365819201811828</v>
      </c>
      <c r="Q44" s="379">
        <f>IF(CollectionFTEs[[#This Row],[Sector_ID]]=1,(CollectionFTEs[[#This Row],[Customers]]*CollectionTotal!$H$21*0.8)/(50*2080),(CollectionFTEs[[#This Row],[Customers]]*CollectionTotal!$H$22*0.8)/(50*2080))</f>
        <v>28.149499940874627</v>
      </c>
      <c r="R44" s="35"/>
      <c r="S44" s="35"/>
      <c r="T44" s="35"/>
    </row>
    <row r="45" spans="1:30" s="34" customFormat="1" ht="15" x14ac:dyDescent="0.25">
      <c r="B45" s="196" t="str">
        <f>CollectionFTEs[[#This Row],[Grouping_ID]]&amp;"-"&amp;CollectionFTEs[[#This Row],[Sector_ID]]&amp;"-"&amp;CollectionFTEs[[#This Row],[Frequency_ID]]&amp;"-"&amp;CollectionFTEs[[#This Row],[SS_or_DS]]</f>
        <v>2-2-V-DS</v>
      </c>
      <c r="C45" s="196" t="str">
        <f>_xlfn.CONCAT(CollectionFTEs[[#This Row],[Grouping_ID]],"-",CollectionFTEs[[#This Row],[Sector_ID]])</f>
        <v>2-2</v>
      </c>
      <c r="D45" s="35">
        <v>2</v>
      </c>
      <c r="E45" s="198" t="str">
        <f>INDEX(Grouping[Grouping_Name],MATCH(CollectionFTEs[[#This Row],[Grouping_ID]],Grouping[Grouping_ID],0))</f>
        <v>2 - Willamette Valley, etc.</v>
      </c>
      <c r="F45" s="35">
        <v>2</v>
      </c>
      <c r="G45" s="198" t="str">
        <f>INDEX(Sector[Sector_Name],MATCH(CollectionFTEs[[#This Row],[Sector_ID]],Sector[Sector_ID],0))</f>
        <v>MF Res. (on-route)</v>
      </c>
      <c r="H45" s="35" t="s">
        <v>808</v>
      </c>
      <c r="I45" s="197" t="s">
        <v>91</v>
      </c>
      <c r="J45" s="198" t="str">
        <f>INDEX(Frequency[Collection_Frequency],MATCH(CollectionFTEs[[#This Row],[Frequency_ID]],Frequency[Orig_Frequency_ID],0)+(CollectionFTEs[[#This Row],[SS_or_DS]]="DS")*COUNTA(Frequency[Orig_Frequency_ID])/2)</f>
        <v>Varies by customer need</v>
      </c>
      <c r="K45" s="35">
        <v>2018</v>
      </c>
      <c r="L4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8505.7620000000006</v>
      </c>
      <c r="M45" s="144">
        <f>INDEX(LaborCostPerLift[Average_Lifts_Per_Week],MATCH(CollectionFTEs[[#This Row],[Collection_ID]],LaborCostPerLift[Collection_ID],0))</f>
        <v>1.0900000000000001</v>
      </c>
      <c r="N45" s="203">
        <f>IFERROR(CollectionFTEs[[#This Row],[Customers]]*CollectionFTEs[[#This Row],[Lifts_Per_Week]],0)</f>
        <v>9271.2805800000006</v>
      </c>
      <c r="O45" s="109">
        <f>IFERROR(CollectionFTEs[[#This Row],[Total_Lifts_Per_Week]]/SUMIFS(FTE_Per_Customer[Customer_Or_Lift_Per_Driver],FTE_Per_Customer[Sector_ID],CollectionFTEs[[#This Row],[Sector_ID]],FTE_Per_Customer[SS_or_DS],CollectionFTEs[SS_or_DS],FTE_Per_Customer[Frequency_ID],CollectionFTEs[Frequency_ID]),0)</f>
        <v>20.602845733333336</v>
      </c>
      <c r="P45" s="109">
        <f>IFERROR(CollectionFTEs[[#This Row],[Total_Lifts_Per_Week]]/SUMIFS(FTE_Per_Customer[Customer_Per_Admin],FTE_Per_Customer[Sector_ID],CollectionFTEs[[#This Row],[Sector_ID]],FTE_Per_Customer[SS_or_DS],CollectionFTEs[SS_or_DS],FTE_Per_Customer[Frequency_ID],CollectionFTEs[Frequency_ID]),0)</f>
        <v>2.3178201450000002</v>
      </c>
      <c r="Q45" s="379">
        <f>IF(CollectionFTEs[[#This Row],[Sector_ID]]=1,(CollectionFTEs[[#This Row],[Customers]]*CollectionTotal!$H$21*0.8)/(50*2080),(CollectionFTEs[[#This Row],[Customers]]*CollectionTotal!$H$22*0.8)/(50*2080))</f>
        <v>7.320453332574492</v>
      </c>
      <c r="R45" s="35"/>
      <c r="S45" s="35"/>
      <c r="T45" s="35"/>
    </row>
    <row r="46" spans="1:30" s="34" customFormat="1" ht="15" x14ac:dyDescent="0.25">
      <c r="B46" s="196" t="str">
        <f>CollectionFTEs[[#This Row],[Grouping_ID]]&amp;"-"&amp;CollectionFTEs[[#This Row],[Sector_ID]]&amp;"-"&amp;CollectionFTEs[[#This Row],[Frequency_ID]]&amp;"-"&amp;CollectionFTEs[[#This Row],[SS_or_DS]]</f>
        <v>2-3-V-DS</v>
      </c>
      <c r="C46" s="196" t="str">
        <f>_xlfn.CONCAT(CollectionFTEs[[#This Row],[Grouping_ID]],"-",CollectionFTEs[[#This Row],[Sector_ID]])</f>
        <v>2-3</v>
      </c>
      <c r="D46" s="35">
        <v>2</v>
      </c>
      <c r="E46" s="198" t="str">
        <f>INDEX(Grouping[Grouping_Name],MATCH(CollectionFTEs[[#This Row],[Grouping_ID]],Grouping[Grouping_ID],0))</f>
        <v>2 - Willamette Valley, etc.</v>
      </c>
      <c r="F46" s="35">
        <v>3</v>
      </c>
      <c r="G46" s="198" t="str">
        <f>INDEX(Sector[Sector_Name],MATCH(CollectionFTEs[[#This Row],[Sector_ID]],Sector[Sector_ID],0))</f>
        <v>Commercial (on-route)</v>
      </c>
      <c r="H46" s="35" t="s">
        <v>808</v>
      </c>
      <c r="I46" s="197" t="s">
        <v>91</v>
      </c>
      <c r="J46" s="198" t="str">
        <f>INDEX(Frequency[Collection_Frequency],MATCH(CollectionFTEs[[#This Row],[Frequency_ID]],Frequency[Orig_Frequency_ID],0)+(CollectionFTEs[[#This Row],[SS_or_DS]]="DS")*COUNTA(Frequency[Orig_Frequency_ID])/2)</f>
        <v>Varies by customer need</v>
      </c>
      <c r="K46" s="35">
        <v>2018</v>
      </c>
      <c r="L4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22256.743899999998</v>
      </c>
      <c r="M46" s="144">
        <f>INDEX(LaborCostPerLift[Average_Lifts_Per_Week],MATCH(CollectionFTEs[[#This Row],[Collection_ID]],LaborCostPerLift[Collection_ID],0))</f>
        <v>1.0900000000000001</v>
      </c>
      <c r="N46" s="203">
        <f>IFERROR(CollectionFTEs[[#This Row],[Customers]]*CollectionFTEs[[#This Row],[Lifts_Per_Week]],0)</f>
        <v>24259.850850999999</v>
      </c>
      <c r="O46" s="109">
        <f>IFERROR(CollectionFTEs[[#This Row],[Total_Lifts_Per_Week]]/SUMIFS(FTE_Per_Customer[Customer_Or_Lift_Per_Driver],FTE_Per_Customer[Sector_ID],CollectionFTEs[[#This Row],[Sector_ID]],FTE_Per_Customer[SS_or_DS],CollectionFTEs[SS_or_DS],FTE_Per_Customer[Frequency_ID],CollectionFTEs[Frequency_ID]),0)</f>
        <v>53.910779668888885</v>
      </c>
      <c r="P46" s="109">
        <f>IFERROR(CollectionFTEs[[#This Row],[Total_Lifts_Per_Week]]/SUMIFS(FTE_Per_Customer[Customer_Per_Admin],FTE_Per_Customer[Sector_ID],CollectionFTEs[[#This Row],[Sector_ID]],FTE_Per_Customer[SS_or_DS],CollectionFTEs[SS_or_DS],FTE_Per_Customer[Frequency_ID],CollectionFTEs[Frequency_ID]),0)</f>
        <v>6.0649627127499999</v>
      </c>
      <c r="Q46" s="379">
        <f>IF(CollectionFTEs[[#This Row],[Sector_ID]]=1,(CollectionFTEs[[#This Row],[Customers]]*CollectionTotal!$H$21*0.8)/(50*2080),(CollectionFTEs[[#This Row],[Customers]]*CollectionTotal!$H$22*0.8)/(50*2080))</f>
        <v>19.155186220236583</v>
      </c>
      <c r="R46" s="35"/>
      <c r="S46" s="35"/>
      <c r="T46" s="35"/>
    </row>
    <row r="47" spans="1:30" s="34" customFormat="1" ht="15" x14ac:dyDescent="0.25">
      <c r="B47" s="196" t="str">
        <f>CollectionFTEs[[#This Row],[Grouping_ID]]&amp;"-"&amp;CollectionFTEs[[#This Row],[Sector_ID]]&amp;"-"&amp;CollectionFTEs[[#This Row],[Frequency_ID]]&amp;"-"&amp;CollectionFTEs[[#This Row],[SS_or_DS]]</f>
        <v>3-2-V-DS</v>
      </c>
      <c r="C47" s="196" t="str">
        <f>_xlfn.CONCAT(CollectionFTEs[[#This Row],[Grouping_ID]],"-",CollectionFTEs[[#This Row],[Sector_ID]])</f>
        <v>3-2</v>
      </c>
      <c r="D47" s="35">
        <v>3</v>
      </c>
      <c r="E47" s="198" t="str">
        <f>INDEX(Grouping[Grouping_Name],MATCH(CollectionFTEs[[#This Row],[Grouping_ID]],Grouping[Grouping_ID],0))</f>
        <v>3 - Other areas with curbside</v>
      </c>
      <c r="F47" s="35">
        <v>2</v>
      </c>
      <c r="G47" s="198" t="str">
        <f>INDEX(Sector[Sector_Name],MATCH(CollectionFTEs[[#This Row],[Sector_ID]],Sector[Sector_ID],0))</f>
        <v>MF Res. (on-route)</v>
      </c>
      <c r="H47" s="35" t="s">
        <v>808</v>
      </c>
      <c r="I47" s="197" t="s">
        <v>91</v>
      </c>
      <c r="J47" s="198" t="str">
        <f>INDEX(Frequency[Collection_Frequency],MATCH(CollectionFTEs[[#This Row],[Frequency_ID]],Frequency[Orig_Frequency_ID],0)+(CollectionFTEs[[#This Row],[SS_or_DS]]="DS")*COUNTA(Frequency[Orig_Frequency_ID])/2)</f>
        <v>Varies by customer need</v>
      </c>
      <c r="K47" s="35">
        <v>2018</v>
      </c>
      <c r="L4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1346.3175000000001</v>
      </c>
      <c r="M47" s="144">
        <f>INDEX(LaborCostPerLift[Average_Lifts_Per_Week],MATCH(CollectionFTEs[[#This Row],[Collection_ID]],LaborCostPerLift[Collection_ID],0))</f>
        <v>1.31</v>
      </c>
      <c r="N47" s="203">
        <f>IFERROR(CollectionFTEs[[#This Row],[Customers]]*CollectionFTEs[[#This Row],[Lifts_Per_Week]],0)</f>
        <v>1763.6759250000002</v>
      </c>
      <c r="O47" s="109">
        <f>IFERROR(CollectionFTEs[[#This Row],[Total_Lifts_Per_Week]]/SUMIFS(FTE_Per_Customer[Customer_Or_Lift_Per_Driver],FTE_Per_Customer[Sector_ID],CollectionFTEs[[#This Row],[Sector_ID]],FTE_Per_Customer[SS_or_DS],CollectionFTEs[SS_or_DS],FTE_Per_Customer[Frequency_ID],CollectionFTEs[Frequency_ID]),0)</f>
        <v>3.9192798333333339</v>
      </c>
      <c r="P47" s="109">
        <f>IFERROR(CollectionFTEs[[#This Row],[Total_Lifts_Per_Week]]/SUMIFS(FTE_Per_Customer[Customer_Per_Admin],FTE_Per_Customer[Sector_ID],CollectionFTEs[[#This Row],[Sector_ID]],FTE_Per_Customer[SS_or_DS],CollectionFTEs[SS_or_DS],FTE_Per_Customer[Frequency_ID],CollectionFTEs[Frequency_ID]),0)</f>
        <v>0.44091898125000006</v>
      </c>
      <c r="Q47" s="379">
        <f>IF(CollectionFTEs[[#This Row],[Sector_ID]]=1,(CollectionFTEs[[#This Row],[Customers]]*CollectionTotal!$H$21*0.8)/(50*2080),(CollectionFTEs[[#This Row],[Customers]]*CollectionTotal!$H$22*0.8)/(50*2080))</f>
        <v>1.1587032919071047</v>
      </c>
      <c r="R47" s="35"/>
      <c r="S47" s="35"/>
      <c r="T47" s="35"/>
    </row>
    <row r="48" spans="1:30" s="34" customFormat="1" ht="15" x14ac:dyDescent="0.25">
      <c r="B48" s="196" t="str">
        <f>CollectionFTEs[[#This Row],[Grouping_ID]]&amp;"-"&amp;CollectionFTEs[[#This Row],[Sector_ID]]&amp;"-"&amp;CollectionFTEs[[#This Row],[Frequency_ID]]&amp;"-"&amp;CollectionFTEs[[#This Row],[SS_or_DS]]</f>
        <v>3-3-V-DS</v>
      </c>
      <c r="C48" s="196" t="str">
        <f>_xlfn.CONCAT(CollectionFTEs[[#This Row],[Grouping_ID]],"-",CollectionFTEs[[#This Row],[Sector_ID]])</f>
        <v>3-3</v>
      </c>
      <c r="D48" s="35">
        <v>3</v>
      </c>
      <c r="E48" s="198" t="str">
        <f>INDEX(Grouping[Grouping_Name],MATCH(CollectionFTEs[[#This Row],[Grouping_ID]],Grouping[Grouping_ID],0))</f>
        <v>3 - Other areas with curbside</v>
      </c>
      <c r="F48" s="35">
        <v>3</v>
      </c>
      <c r="G48" s="198" t="str">
        <f>INDEX(Sector[Sector_Name],MATCH(CollectionFTEs[[#This Row],[Sector_ID]],Sector[Sector_ID],0))</f>
        <v>Commercial (on-route)</v>
      </c>
      <c r="H48" s="35" t="s">
        <v>808</v>
      </c>
      <c r="I48" s="197" t="s">
        <v>91</v>
      </c>
      <c r="J48" s="198" t="str">
        <f>INDEX(Frequency[Collection_Frequency],MATCH(CollectionFTEs[[#This Row],[Frequency_ID]],Frequency[Orig_Frequency_ID],0)+(CollectionFTEs[[#This Row],[SS_or_DS]]="DS")*COUNTA(Frequency[Orig_Frequency_ID])/2)</f>
        <v>Varies by customer need</v>
      </c>
      <c r="K48" s="35">
        <v>2018</v>
      </c>
      <c r="L48"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8562.5793000000012</v>
      </c>
      <c r="M48" s="144">
        <f>INDEX(LaborCostPerLift[Average_Lifts_Per_Week],MATCH(CollectionFTEs[[#This Row],[Collection_ID]],LaborCostPerLift[Collection_ID],0))</f>
        <v>1.31</v>
      </c>
      <c r="N48" s="203">
        <f>IFERROR(CollectionFTEs[[#This Row],[Customers]]*CollectionFTEs[[#This Row],[Lifts_Per_Week]],0)</f>
        <v>11216.978883000002</v>
      </c>
      <c r="O48" s="109">
        <f>IFERROR(CollectionFTEs[[#This Row],[Total_Lifts_Per_Week]]/SUMIFS(FTE_Per_Customer[Customer_Or_Lift_Per_Driver],FTE_Per_Customer[Sector_ID],CollectionFTEs[[#This Row],[Sector_ID]],FTE_Per_Customer[SS_or_DS],CollectionFTEs[SS_or_DS],FTE_Per_Customer[Frequency_ID],CollectionFTEs[Frequency_ID]),0)</f>
        <v>24.926619740000003</v>
      </c>
      <c r="P48" s="109">
        <f>IFERROR(CollectionFTEs[[#This Row],[Total_Lifts_Per_Week]]/SUMIFS(FTE_Per_Customer[Customer_Per_Admin],FTE_Per_Customer[Sector_ID],CollectionFTEs[[#This Row],[Sector_ID]],FTE_Per_Customer[SS_or_DS],CollectionFTEs[SS_or_DS],FTE_Per_Customer[Frequency_ID],CollectionFTEs[Frequency_ID]),0)</f>
        <v>2.8042447207500003</v>
      </c>
      <c r="Q48" s="379">
        <f>IF(CollectionFTEs[[#This Row],[Sector_ID]]=1,(CollectionFTEs[[#This Row],[Customers]]*CollectionTotal!$H$21*0.8)/(50*2080),(CollectionFTEs[[#This Row],[Customers]]*CollectionTotal!$H$22*0.8)/(50*2080))</f>
        <v>7.3693529365291859</v>
      </c>
      <c r="R48" s="35"/>
      <c r="S48" s="35"/>
      <c r="T48" s="35"/>
    </row>
    <row r="49" spans="2:20" s="34" customFormat="1" ht="15" x14ac:dyDescent="0.25">
      <c r="B49" s="196" t="str">
        <f>CollectionFTEs[[#This Row],[Grouping_ID]]&amp;"-"&amp;CollectionFTEs[[#This Row],[Sector_ID]]&amp;"-"&amp;CollectionFTEs[[#This Row],[Frequency_ID]]&amp;"-"&amp;CollectionFTEs[[#This Row],[SS_or_DS]]</f>
        <v>1-1-W-DS</v>
      </c>
      <c r="C49" s="196" t="str">
        <f>_xlfn.CONCAT(CollectionFTEs[[#This Row],[Grouping_ID]],"-",CollectionFTEs[[#This Row],[Sector_ID]])</f>
        <v>1-1</v>
      </c>
      <c r="D49" s="197">
        <v>1</v>
      </c>
      <c r="E49" s="198" t="str">
        <f>INDEX(Grouping[Grouping_Name],MATCH(CollectionFTEs[[#This Row],[Grouping_ID]],Grouping[Grouping_ID],0))</f>
        <v>1 - Metro area</v>
      </c>
      <c r="F49" s="35">
        <v>1</v>
      </c>
      <c r="G49" s="198" t="str">
        <f>INDEX(Sector[Sector_Name],MATCH(CollectionFTEs[[#This Row],[Sector_ID]],Sector[Sector_ID],0))</f>
        <v>SF Res. (on-route)</v>
      </c>
      <c r="H49" s="35" t="s">
        <v>808</v>
      </c>
      <c r="I49" s="197" t="s">
        <v>64</v>
      </c>
      <c r="J49" s="198" t="str">
        <f>INDEX(Frequency[Collection_Frequency],MATCH(CollectionFTEs[[#This Row],[Frequency_ID]],Frequency[Orig_Frequency_ID],0)+(CollectionFTEs[[#This Row],[SS_or_DS]]="DS")*COUNTA(Frequency[Orig_Frequency_ID])/2)</f>
        <v>Weekly</v>
      </c>
      <c r="K49" s="35">
        <v>2018</v>
      </c>
      <c r="L4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338055.9049837385</v>
      </c>
      <c r="M49" s="144">
        <f>INDEX(LaborCostPerLift[Average_Lifts_Per_Week],MATCH(CollectionFTEs[[#This Row],[Collection_ID]],LaborCostPerLift[Collection_ID],0))</f>
        <v>1</v>
      </c>
      <c r="N49" s="203">
        <f>IFERROR(CollectionFTEs[[#This Row],[Customers]]*CollectionFTEs[[#This Row],[Lifts_Per_Week]],0)</f>
        <v>338055.9049837385</v>
      </c>
      <c r="O49" s="109">
        <f>IFERROR(CollectionFTEs[[#This Row],[Total_Lifts_Per_Week]]/SUMIFS(FTE_Per_Customer[Customer_Or_Lift_Per_Driver],FTE_Per_Customer[Sector_ID],CollectionFTEs[[#This Row],[Sector_ID]],FTE_Per_Customer[SS_or_DS],CollectionFTEs[SS_or_DS],FTE_Per_Customer[Frequency_ID],CollectionFTEs[Frequency_ID]),0)</f>
        <v>96.587401423925286</v>
      </c>
      <c r="P49" s="109">
        <f>IFERROR(CollectionFTEs[[#This Row],[Total_Lifts_Per_Week]]/SUMIFS(FTE_Per_Customer[Customer_Per_Admin],FTE_Per_Customer[Sector_ID],CollectionFTEs[[#This Row],[Sector_ID]],FTE_Per_Customer[SS_or_DS],CollectionFTEs[SS_or_DS],FTE_Per_Customer[Frequency_ID],CollectionFTEs[Frequency_ID]),0)</f>
        <v>28.171325415311543</v>
      </c>
      <c r="Q49" s="379">
        <f>IF(CollectionFTEs[[#This Row],[Sector_ID]]=1,(CollectionFTEs[[#This Row],[Customers]]*CollectionTotal!$H$21*0.8)/(50*2080),(CollectionFTEs[[#This Row],[Customers]]*CollectionTotal!$H$22*0.8)/(50*2080))</f>
        <v>7.2736648293083386</v>
      </c>
      <c r="R49" s="35"/>
      <c r="S49" s="35"/>
      <c r="T49" s="35"/>
    </row>
    <row r="50" spans="2:20" s="34" customFormat="1" ht="15" x14ac:dyDescent="0.25">
      <c r="B50" s="196" t="str">
        <f>CollectionFTEs[[#This Row],[Grouping_ID]]&amp;"-"&amp;CollectionFTEs[[#This Row],[Sector_ID]]&amp;"-"&amp;CollectionFTEs[[#This Row],[Frequency_ID]]&amp;"-"&amp;CollectionFTEs[[#This Row],[SS_or_DS]]</f>
        <v>1-1-E-DS</v>
      </c>
      <c r="C50" s="196" t="str">
        <f>_xlfn.CONCAT(CollectionFTEs[[#This Row],[Grouping_ID]],"-",CollectionFTEs[[#This Row],[Sector_ID]])</f>
        <v>1-1</v>
      </c>
      <c r="D50" s="197">
        <v>1</v>
      </c>
      <c r="E50" s="198" t="str">
        <f>INDEX(Grouping[Grouping_Name],MATCH(CollectionFTEs[[#This Row],[Grouping_ID]],Grouping[Grouping_ID],0))</f>
        <v>1 - Metro area</v>
      </c>
      <c r="F50" s="35">
        <v>1</v>
      </c>
      <c r="G50" s="198" t="str">
        <f>INDEX(Sector[Sector_Name],MATCH(CollectionFTEs[[#This Row],[Sector_ID]],Sector[Sector_ID],0))</f>
        <v>SF Res. (on-route)</v>
      </c>
      <c r="H50" s="35" t="s">
        <v>808</v>
      </c>
      <c r="I50" s="197" t="s">
        <v>53</v>
      </c>
      <c r="J50" s="198" t="str">
        <f>INDEX(Frequency[Collection_Frequency],MATCH(CollectionFTEs[[#This Row],[Frequency_ID]],Frequency[Orig_Frequency_ID],0)+(CollectionFTEs[[#This Row],[SS_or_DS]]="DS")*COUNTA(Frequency[Orig_Frequency_ID])/2)</f>
        <v>Weekly (formerly every other week)</v>
      </c>
      <c r="K50" s="35">
        <v>2018</v>
      </c>
      <c r="L50"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91031.503604375699</v>
      </c>
      <c r="M50" s="144">
        <f>INDEX(LaborCostPerLift[Average_Lifts_Per_Week],MATCH(CollectionFTEs[[#This Row],[Collection_ID]],LaborCostPerLift[Collection_ID],0))</f>
        <v>1</v>
      </c>
      <c r="N50" s="203">
        <f>IFERROR(CollectionFTEs[[#This Row],[Customers]]*CollectionFTEs[[#This Row],[Lifts_Per_Week]],0)</f>
        <v>91031.503604375699</v>
      </c>
      <c r="O50" s="109">
        <f>IFERROR(CollectionFTEs[[#This Row],[Total_Lifts_Per_Week]]/SUMIFS(FTE_Per_Customer[Customer_Or_Lift_Per_Driver],FTE_Per_Customer[Sector_ID],CollectionFTEs[[#This Row],[Sector_ID]],FTE_Per_Customer[SS_or_DS],CollectionFTEs[SS_or_DS],FTE_Per_Customer[Frequency_ID],CollectionFTEs[Frequency_ID]),0)</f>
        <v>26.009001029821629</v>
      </c>
      <c r="P50" s="109">
        <f>IFERROR(CollectionFTEs[[#This Row],[Total_Lifts_Per_Week]]/SUMIFS(FTE_Per_Customer[Customer_Per_Admin],FTE_Per_Customer[Sector_ID],CollectionFTEs[[#This Row],[Sector_ID]],FTE_Per_Customer[SS_or_DS],CollectionFTEs[SS_or_DS],FTE_Per_Customer[Frequency_ID],CollectionFTEs[Frequency_ID]),0)</f>
        <v>7.5859586336979747</v>
      </c>
      <c r="Q50" s="379">
        <f>IF(CollectionFTEs[[#This Row],[Sector_ID]]=1,(CollectionFTEs[[#This Row],[Customers]]*CollectionTotal!$H$21*0.8)/(50*2080),(CollectionFTEs[[#This Row],[Customers]]*CollectionTotal!$H$22*0.8)/(50*2080))</f>
        <v>1.9586483666305232</v>
      </c>
      <c r="R50" s="35"/>
      <c r="S50" s="35"/>
      <c r="T50" s="35"/>
    </row>
    <row r="51" spans="2:20" s="34" customFormat="1" ht="15" x14ac:dyDescent="0.25">
      <c r="B51" s="196" t="str">
        <f>CollectionFTEs[[#This Row],[Grouping_ID]]&amp;"-"&amp;CollectionFTEs[[#This Row],[Sector_ID]]&amp;"-"&amp;CollectionFTEs[[#This Row],[Frequency_ID]]&amp;"-"&amp;CollectionFTEs[[#This Row],[SS_or_DS]]</f>
        <v>2-1-W-DS</v>
      </c>
      <c r="C51" s="196" t="str">
        <f>_xlfn.CONCAT(CollectionFTEs[[#This Row],[Grouping_ID]],"-",CollectionFTEs[[#This Row],[Sector_ID]])</f>
        <v>2-1</v>
      </c>
      <c r="D51" s="197">
        <v>2</v>
      </c>
      <c r="E51" s="198" t="str">
        <f>INDEX(Grouping[Grouping_Name],MATCH(CollectionFTEs[[#This Row],[Grouping_ID]],Grouping[Grouping_ID],0))</f>
        <v>2 - Willamette Valley, etc.</v>
      </c>
      <c r="F51" s="35">
        <v>1</v>
      </c>
      <c r="G51" s="198" t="str">
        <f>INDEX(Sector[Sector_Name],MATCH(CollectionFTEs[[#This Row],[Sector_ID]],Sector[Sector_ID],0))</f>
        <v>SF Res. (on-route)</v>
      </c>
      <c r="H51" s="35" t="s">
        <v>808</v>
      </c>
      <c r="I51" s="197" t="s">
        <v>64</v>
      </c>
      <c r="J51" s="198" t="str">
        <f>INDEX(Frequency[Collection_Frequency],MATCH(CollectionFTEs[[#This Row],[Frequency_ID]],Frequency[Orig_Frequency_ID],0)+(CollectionFTEs[[#This Row],[SS_or_DS]]="DS")*COUNTA(Frequency[Orig_Frequency_ID])/2)</f>
        <v>Weekly</v>
      </c>
      <c r="K51" s="35">
        <v>2018</v>
      </c>
      <c r="L51"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86023.07220000001</v>
      </c>
      <c r="M51" s="144">
        <f>INDEX(LaborCostPerLift[Average_Lifts_Per_Week],MATCH(CollectionFTEs[[#This Row],[Collection_ID]],LaborCostPerLift[Collection_ID],0))</f>
        <v>1</v>
      </c>
      <c r="N51" s="203">
        <f>IFERROR(CollectionFTEs[[#This Row],[Customers]]*CollectionFTEs[[#This Row],[Lifts_Per_Week]],0)</f>
        <v>86023.07220000001</v>
      </c>
      <c r="O51" s="109">
        <f>IFERROR(CollectionFTEs[[#This Row],[Total_Lifts_Per_Week]]/SUMIFS(FTE_Per_Customer[Customer_Or_Lift_Per_Driver],FTE_Per_Customer[Sector_ID],CollectionFTEs[[#This Row],[Sector_ID]],FTE_Per_Customer[SS_or_DS],CollectionFTEs[SS_or_DS],FTE_Per_Customer[Frequency_ID],CollectionFTEs[Frequency_ID]),0)</f>
        <v>24.57802062857143</v>
      </c>
      <c r="P51" s="109">
        <f>IFERROR(CollectionFTEs[[#This Row],[Total_Lifts_Per_Week]]/SUMIFS(FTE_Per_Customer[Customer_Per_Admin],FTE_Per_Customer[Sector_ID],CollectionFTEs[[#This Row],[Sector_ID]],FTE_Per_Customer[SS_or_DS],CollectionFTEs[SS_or_DS],FTE_Per_Customer[Frequency_ID],CollectionFTEs[Frequency_ID]),0)</f>
        <v>7.1685893500000004</v>
      </c>
      <c r="Q51" s="379">
        <f>IF(CollectionFTEs[[#This Row],[Sector_ID]]=1,(CollectionFTEs[[#This Row],[Customers]]*CollectionTotal!$H$21*0.8)/(50*2080),(CollectionFTEs[[#This Row],[Customers]]*CollectionTotal!$H$22*0.8)/(50*2080))</f>
        <v>1.8508861568334094</v>
      </c>
      <c r="R51" s="35"/>
      <c r="S51" s="35"/>
      <c r="T51" s="35"/>
    </row>
    <row r="52" spans="2:20" s="34" customFormat="1" ht="15" x14ac:dyDescent="0.25">
      <c r="B52" s="196" t="str">
        <f>CollectionFTEs[[#This Row],[Grouping_ID]]&amp;"-"&amp;CollectionFTEs[[#This Row],[Sector_ID]]&amp;"-"&amp;CollectionFTEs[[#This Row],[Frequency_ID]]&amp;"-"&amp;CollectionFTEs[[#This Row],[SS_or_DS]]</f>
        <v>2-1-E-DS</v>
      </c>
      <c r="C52" s="196" t="str">
        <f>_xlfn.CONCAT(CollectionFTEs[[#This Row],[Grouping_ID]],"-",CollectionFTEs[[#This Row],[Sector_ID]])</f>
        <v>2-1</v>
      </c>
      <c r="D52" s="197">
        <v>2</v>
      </c>
      <c r="E52" s="198" t="str">
        <f>INDEX(Grouping[Grouping_Name],MATCH(CollectionFTEs[[#This Row],[Grouping_ID]],Grouping[Grouping_ID],0))</f>
        <v>2 - Willamette Valley, etc.</v>
      </c>
      <c r="F52" s="35">
        <v>1</v>
      </c>
      <c r="G52" s="198" t="str">
        <f>INDEX(Sector[Sector_Name],MATCH(CollectionFTEs[[#This Row],[Sector_ID]],Sector[Sector_ID],0))</f>
        <v>SF Res. (on-route)</v>
      </c>
      <c r="H52" s="35" t="s">
        <v>808</v>
      </c>
      <c r="I52" s="197" t="s">
        <v>53</v>
      </c>
      <c r="J52" s="198" t="str">
        <f>INDEX(Frequency[Collection_Frequency],MATCH(CollectionFTEs[[#This Row],[Frequency_ID]],Frequency[Orig_Frequency_ID],0)+(CollectionFTEs[[#This Row],[SS_or_DS]]="DS")*COUNTA(Frequency[Orig_Frequency_ID])/2)</f>
        <v>Weekly (formerly every other week)</v>
      </c>
      <c r="K52" s="35">
        <v>2018</v>
      </c>
      <c r="L52"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269659.54210000002</v>
      </c>
      <c r="M52" s="144">
        <f>INDEX(LaborCostPerLift[Average_Lifts_Per_Week],MATCH(CollectionFTEs[[#This Row],[Collection_ID]],LaborCostPerLift[Collection_ID],0))</f>
        <v>1</v>
      </c>
      <c r="N52" s="203">
        <f>IFERROR(CollectionFTEs[[#This Row],[Customers]]*CollectionFTEs[[#This Row],[Lifts_Per_Week]],0)</f>
        <v>269659.54210000002</v>
      </c>
      <c r="O52" s="109">
        <f>IFERROR(CollectionFTEs[[#This Row],[Total_Lifts_Per_Week]]/SUMIFS(FTE_Per_Customer[Customer_Or_Lift_Per_Driver],FTE_Per_Customer[Sector_ID],CollectionFTEs[[#This Row],[Sector_ID]],FTE_Per_Customer[SS_or_DS],CollectionFTEs[SS_or_DS],FTE_Per_Customer[Frequency_ID],CollectionFTEs[Frequency_ID]),0)</f>
        <v>77.045583457142868</v>
      </c>
      <c r="P52" s="109">
        <f>IFERROR(CollectionFTEs[[#This Row],[Total_Lifts_Per_Week]]/SUMIFS(FTE_Per_Customer[Customer_Per_Admin],FTE_Per_Customer[Sector_ID],CollectionFTEs[[#This Row],[Sector_ID]],FTE_Per_Customer[SS_or_DS],CollectionFTEs[SS_or_DS],FTE_Per_Customer[Frequency_ID],CollectionFTEs[Frequency_ID]),0)</f>
        <v>22.471628508333335</v>
      </c>
      <c r="Q52" s="379">
        <f>IF(CollectionFTEs[[#This Row],[Sector_ID]]=1,(CollectionFTEs[[#This Row],[Customers]]*CollectionTotal!$H$21*0.8)/(50*2080),(CollectionFTEs[[#This Row],[Customers]]*CollectionTotal!$H$22*0.8)/(50*2080))</f>
        <v>5.8020377645955072</v>
      </c>
      <c r="R52" s="35"/>
      <c r="S52" s="35"/>
      <c r="T52" s="35"/>
    </row>
    <row r="53" spans="2:20" s="34" customFormat="1" ht="15" x14ac:dyDescent="0.25">
      <c r="B53" s="196" t="str">
        <f>CollectionFTEs[[#This Row],[Grouping_ID]]&amp;"-"&amp;CollectionFTEs[[#This Row],[Sector_ID]]&amp;"-"&amp;CollectionFTEs[[#This Row],[Frequency_ID]]&amp;"-"&amp;CollectionFTEs[[#This Row],[SS_or_DS]]</f>
        <v>2-1-U-DS</v>
      </c>
      <c r="C53" s="196" t="str">
        <f>_xlfn.CONCAT(CollectionFTEs[[#This Row],[Grouping_ID]],"-",CollectionFTEs[[#This Row],[Sector_ID]])</f>
        <v>2-1</v>
      </c>
      <c r="D53" s="197">
        <v>2</v>
      </c>
      <c r="E53" s="198" t="str">
        <f>INDEX(Grouping[Grouping_Name],MATCH(CollectionFTEs[[#This Row],[Grouping_ID]],Grouping[Grouping_ID],0))</f>
        <v>2 - Willamette Valley, etc.</v>
      </c>
      <c r="F53" s="35">
        <v>1</v>
      </c>
      <c r="G53" s="198" t="str">
        <f>INDEX(Sector[Sector_Name],MATCH(CollectionFTEs[[#This Row],[Sector_ID]],Sector[Sector_ID],0))</f>
        <v>SF Res. (on-route)</v>
      </c>
      <c r="H53" s="35" t="s">
        <v>808</v>
      </c>
      <c r="I53" s="197" t="s">
        <v>65</v>
      </c>
      <c r="J53" s="198" t="str">
        <f>INDEX(Frequency[Collection_Frequency],MATCH(CollectionFTEs[[#This Row],[Frequency_ID]],Frequency[Orig_Frequency_ID],0)+(CollectionFTEs[[#This Row],[SS_or_DS]]="DS")*COUNTA(Frequency[Orig_Frequency_ID])/2)</f>
        <v>Uncertain</v>
      </c>
      <c r="K53" s="35">
        <v>2018</v>
      </c>
      <c r="L5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53" s="144">
        <f>INDEX(LaborCostPerLift[Average_Lifts_Per_Week],MATCH(CollectionFTEs[[#This Row],[Collection_ID]],LaborCostPerLift[Collection_ID],0))</f>
        <v>1</v>
      </c>
      <c r="N53" s="203">
        <f>IFERROR(CollectionFTEs[[#This Row],[Customers]]*CollectionFTEs[[#This Row],[Lifts_Per_Week]],0)</f>
        <v>0</v>
      </c>
      <c r="O53" s="109">
        <f>IFERROR(CollectionFTEs[[#This Row],[Total_Lifts_Per_Week]]/SUMIFS(FTE_Per_Customer[Customer_Or_Lift_Per_Driver],FTE_Per_Customer[Sector_ID],CollectionFTEs[[#This Row],[Sector_ID]],FTE_Per_Customer[SS_or_DS],CollectionFTEs[SS_or_DS],FTE_Per_Customer[Frequency_ID],CollectionFTEs[Frequency_ID]),0)</f>
        <v>0</v>
      </c>
      <c r="P53" s="109">
        <f>IFERROR(CollectionFTEs[[#This Row],[Total_Lifts_Per_Week]]/SUMIFS(FTE_Per_Customer[Customer_Per_Admin],FTE_Per_Customer[Sector_ID],CollectionFTEs[[#This Row],[Sector_ID]],FTE_Per_Customer[SS_or_DS],CollectionFTEs[SS_or_DS],FTE_Per_Customer[Frequency_ID],CollectionFTEs[Frequency_ID]),0)</f>
        <v>0</v>
      </c>
      <c r="Q53" s="379">
        <f>IF(CollectionFTEs[[#This Row],[Sector_ID]]=1,(CollectionFTEs[[#This Row],[Customers]]*CollectionTotal!$H$21*0.8)/(50*2080),(CollectionFTEs[[#This Row],[Customers]]*CollectionTotal!$H$22*0.8)/(50*2080))</f>
        <v>0</v>
      </c>
      <c r="R53" s="35"/>
      <c r="S53" s="35"/>
      <c r="T53" s="35"/>
    </row>
    <row r="54" spans="2:20" s="34" customFormat="1" ht="15" x14ac:dyDescent="0.25">
      <c r="B54" s="196" t="str">
        <f>CollectionFTEs[[#This Row],[Grouping_ID]]&amp;"-"&amp;CollectionFTEs[[#This Row],[Sector_ID]]&amp;"-"&amp;CollectionFTEs[[#This Row],[Frequency_ID]]&amp;"-"&amp;CollectionFTEs[[#This Row],[SS_or_DS]]</f>
        <v>3-1-W-DS</v>
      </c>
      <c r="C54" s="196" t="str">
        <f>_xlfn.CONCAT(CollectionFTEs[[#This Row],[Grouping_ID]],"-",CollectionFTEs[[#This Row],[Sector_ID]])</f>
        <v>3-1</v>
      </c>
      <c r="D54" s="197">
        <v>3</v>
      </c>
      <c r="E54" s="198" t="str">
        <f>INDEX(Grouping[Grouping_Name],MATCH(CollectionFTEs[[#This Row],[Grouping_ID]],Grouping[Grouping_ID],0))</f>
        <v>3 - Other areas with curbside</v>
      </c>
      <c r="F54" s="35">
        <v>1</v>
      </c>
      <c r="G54" s="198" t="str">
        <f>INDEX(Sector[Sector_Name],MATCH(CollectionFTEs[[#This Row],[Sector_ID]],Sector[Sector_ID],0))</f>
        <v>SF Res. (on-route)</v>
      </c>
      <c r="H54" s="35" t="s">
        <v>808</v>
      </c>
      <c r="I54" s="197" t="s">
        <v>64</v>
      </c>
      <c r="J54" s="198" t="str">
        <f>INDEX(Frequency[Collection_Frequency],MATCH(CollectionFTEs[[#This Row],[Frequency_ID]],Frequency[Orig_Frequency_ID],0)+(CollectionFTEs[[#This Row],[SS_or_DS]]="DS")*COUNTA(Frequency[Orig_Frequency_ID])/2)</f>
        <v>Weekly</v>
      </c>
      <c r="K54" s="35">
        <v>2018</v>
      </c>
      <c r="L5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53318.385000000002</v>
      </c>
      <c r="M54" s="144">
        <f>INDEX(LaborCostPerLift[Average_Lifts_Per_Week],MATCH(CollectionFTEs[[#This Row],[Collection_ID]],LaborCostPerLift[Collection_ID],0))</f>
        <v>1</v>
      </c>
      <c r="N54" s="203">
        <f>IFERROR(CollectionFTEs[[#This Row],[Customers]]*CollectionFTEs[[#This Row],[Lifts_Per_Week]],0)</f>
        <v>53318.385000000002</v>
      </c>
      <c r="O54" s="109">
        <f>IFERROR(CollectionFTEs[[#This Row],[Total_Lifts_Per_Week]]/SUMIFS(FTE_Per_Customer[Customer_Or_Lift_Per_Driver],FTE_Per_Customer[Sector_ID],CollectionFTEs[[#This Row],[Sector_ID]],FTE_Per_Customer[SS_or_DS],CollectionFTEs[SS_or_DS],FTE_Per_Customer[Frequency_ID],CollectionFTEs[Frequency_ID]),0)</f>
        <v>15.233824285714286</v>
      </c>
      <c r="P54" s="109">
        <f>IFERROR(CollectionFTEs[[#This Row],[Total_Lifts_Per_Week]]/SUMIFS(FTE_Per_Customer[Customer_Per_Admin],FTE_Per_Customer[Sector_ID],CollectionFTEs[[#This Row],[Sector_ID]],FTE_Per_Customer[SS_or_DS],CollectionFTEs[SS_or_DS],FTE_Per_Customer[Frequency_ID],CollectionFTEs[Frequency_ID]),0)</f>
        <v>4.4431987500000005</v>
      </c>
      <c r="Q54" s="379">
        <f>IF(CollectionFTEs[[#This Row],[Sector_ID]]=1,(CollectionFTEs[[#This Row],[Customers]]*CollectionTotal!$H$21*0.8)/(50*2080),(CollectionFTEs[[#This Row],[Customers]]*CollectionTotal!$H$22*0.8)/(50*2080))</f>
        <v>1.1472068850525672</v>
      </c>
      <c r="R54" s="35"/>
      <c r="S54" s="35"/>
      <c r="T54" s="35"/>
    </row>
    <row r="55" spans="2:20" s="34" customFormat="1" ht="15" x14ac:dyDescent="0.25">
      <c r="B55" s="196" t="str">
        <f>CollectionFTEs[[#This Row],[Grouping_ID]]&amp;"-"&amp;CollectionFTEs[[#This Row],[Sector_ID]]&amp;"-"&amp;CollectionFTEs[[#This Row],[Frequency_ID]]&amp;"-"&amp;CollectionFTEs[[#This Row],[SS_or_DS]]</f>
        <v>3-1-E-DS</v>
      </c>
      <c r="C55" s="196" t="str">
        <f>_xlfn.CONCAT(CollectionFTEs[[#This Row],[Grouping_ID]],"-",CollectionFTEs[[#This Row],[Sector_ID]])</f>
        <v>3-1</v>
      </c>
      <c r="D55" s="197">
        <v>3</v>
      </c>
      <c r="E55" s="198" t="str">
        <f>INDEX(Grouping[Grouping_Name],MATCH(CollectionFTEs[[#This Row],[Grouping_ID]],Grouping[Grouping_ID],0))</f>
        <v>3 - Other areas with curbside</v>
      </c>
      <c r="F55" s="35">
        <v>1</v>
      </c>
      <c r="G55" s="198" t="str">
        <f>INDEX(Sector[Sector_Name],MATCH(CollectionFTEs[[#This Row],[Sector_ID]],Sector[Sector_ID],0))</f>
        <v>SF Res. (on-route)</v>
      </c>
      <c r="H55" s="35" t="s">
        <v>808</v>
      </c>
      <c r="I55" s="197" t="s">
        <v>53</v>
      </c>
      <c r="J55" s="198" t="str">
        <f>INDEX(Frequency[Collection_Frequency],MATCH(CollectionFTEs[[#This Row],[Frequency_ID]],Frequency[Orig_Frequency_ID],0)+(CollectionFTEs[[#This Row],[SS_or_DS]]="DS")*COUNTA(Frequency[Orig_Frequency_ID])/2)</f>
        <v>Weekly (formerly every other week)</v>
      </c>
      <c r="K55" s="35">
        <v>2018</v>
      </c>
      <c r="L5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84475.782000000007</v>
      </c>
      <c r="M55" s="144">
        <f>INDEX(LaborCostPerLift[Average_Lifts_Per_Week],MATCH(CollectionFTEs[[#This Row],[Collection_ID]],LaborCostPerLift[Collection_ID],0))</f>
        <v>1</v>
      </c>
      <c r="N55" s="203">
        <f>IFERROR(CollectionFTEs[[#This Row],[Customers]]*CollectionFTEs[[#This Row],[Lifts_Per_Week]],0)</f>
        <v>84475.782000000007</v>
      </c>
      <c r="O55" s="109">
        <f>IFERROR(CollectionFTEs[[#This Row],[Total_Lifts_Per_Week]]/SUMIFS(FTE_Per_Customer[Customer_Or_Lift_Per_Driver],FTE_Per_Customer[Sector_ID],CollectionFTEs[[#This Row],[Sector_ID]],FTE_Per_Customer[SS_or_DS],CollectionFTEs[SS_or_DS],FTE_Per_Customer[Frequency_ID],CollectionFTEs[Frequency_ID]),0)</f>
        <v>24.135937714285717</v>
      </c>
      <c r="P55" s="109">
        <f>IFERROR(CollectionFTEs[[#This Row],[Total_Lifts_Per_Week]]/SUMIFS(FTE_Per_Customer[Customer_Per_Admin],FTE_Per_Customer[Sector_ID],CollectionFTEs[[#This Row],[Sector_ID]],FTE_Per_Customer[SS_or_DS],CollectionFTEs[SS_or_DS],FTE_Per_Customer[Frequency_ID],CollectionFTEs[Frequency_ID]),0)</f>
        <v>7.0396485000000002</v>
      </c>
      <c r="Q55" s="379">
        <f>IF(CollectionFTEs[[#This Row],[Sector_ID]]=1,(CollectionFTEs[[#This Row],[Customers]]*CollectionTotal!$H$21*0.8)/(50*2080),(CollectionFTEs[[#This Row],[Customers]]*CollectionTotal!$H$22*0.8)/(50*2080))</f>
        <v>1.8175944138330473</v>
      </c>
      <c r="R55" s="35"/>
      <c r="S55" s="35"/>
      <c r="T55" s="35"/>
    </row>
    <row r="56" spans="2:20" s="34" customFormat="1" ht="15" x14ac:dyDescent="0.25">
      <c r="B56" s="196" t="str">
        <f>CollectionFTEs[[#This Row],[Grouping_ID]]&amp;"-"&amp;CollectionFTEs[[#This Row],[Sector_ID]]&amp;"-"&amp;CollectionFTEs[[#This Row],[Frequency_ID]]&amp;"-"&amp;CollectionFTEs[[#This Row],[SS_or_DS]]</f>
        <v>3-1-BM-DS</v>
      </c>
      <c r="C56" s="196" t="str">
        <f>_xlfn.CONCAT(CollectionFTEs[[#This Row],[Grouping_ID]],"-",CollectionFTEs[[#This Row],[Sector_ID]])</f>
        <v>3-1</v>
      </c>
      <c r="D56" s="197">
        <v>3</v>
      </c>
      <c r="E56" s="198" t="str">
        <f>INDEX(Grouping[Grouping_Name],MATCH(CollectionFTEs[[#This Row],[Grouping_ID]],Grouping[Grouping_ID],0))</f>
        <v>3 - Other areas with curbside</v>
      </c>
      <c r="F56" s="35">
        <v>1</v>
      </c>
      <c r="G56" s="198" t="str">
        <f>INDEX(Sector[Sector_Name],MATCH(CollectionFTEs[[#This Row],[Sector_ID]],Sector[Sector_ID],0))</f>
        <v>SF Res. (on-route)</v>
      </c>
      <c r="H56" s="35" t="s">
        <v>808</v>
      </c>
      <c r="I56" s="197" t="s">
        <v>66</v>
      </c>
      <c r="J56" s="198" t="str">
        <f>INDEX(Frequency[Collection_Frequency],MATCH(CollectionFTEs[[#This Row],[Frequency_ID]],Frequency[Orig_Frequency_ID],0)+(CollectionFTEs[[#This Row],[SS_or_DS]]="DS")*COUNTA(Frequency[Orig_Frequency_ID])/2)</f>
        <v>Weekly (formerly bimonthly)</v>
      </c>
      <c r="K56" s="35">
        <v>2018</v>
      </c>
      <c r="L5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661.63499999999999</v>
      </c>
      <c r="M56" s="144">
        <f>INDEX(LaborCostPerLift[Average_Lifts_Per_Week],MATCH(CollectionFTEs[[#This Row],[Collection_ID]],LaborCostPerLift[Collection_ID],0))</f>
        <v>1</v>
      </c>
      <c r="N56" s="203">
        <f>IFERROR(CollectionFTEs[[#This Row],[Customers]]*CollectionFTEs[[#This Row],[Lifts_Per_Week]],0)</f>
        <v>661.63499999999999</v>
      </c>
      <c r="O56" s="379">
        <f>IFERROR(CollectionFTEs[[#This Row],[Total_Lifts_Per_Week]]/SUMIFS(FTE_Per_Customer[Customer_Or_Lift_Per_Driver],FTE_Per_Customer[Sector_ID],CollectionFTEs[[#This Row],[Sector_ID]],FTE_Per_Customer[SS_or_DS],CollectionFTEs[SS_or_DS],FTE_Per_Customer[Frequency_ID],CollectionFTEs[Frequency_ID]),0)</f>
        <v>0.18903857142857142</v>
      </c>
      <c r="P56" s="379">
        <f>IFERROR(CollectionFTEs[[#This Row],[Total_Lifts_Per_Week]]/SUMIFS(FTE_Per_Customer[Customer_Per_Admin],FTE_Per_Customer[Sector_ID],CollectionFTEs[[#This Row],[Sector_ID]],FTE_Per_Customer[SS_or_DS],CollectionFTEs[SS_or_DS],FTE_Per_Customer[Frequency_ID],CollectionFTEs[Frequency_ID]),0)</f>
        <v>5.5136249999999998E-2</v>
      </c>
      <c r="Q56" s="379">
        <f>IF(CollectionFTEs[[#This Row],[Sector_ID]]=1,(CollectionFTEs[[#This Row],[Customers]]*CollectionTotal!$H$21*0.8)/(50*2080),(CollectionFTEs[[#This Row],[Customers]]*CollectionTotal!$H$22*0.8)/(50*2080))</f>
        <v>1.4235844303831695E-2</v>
      </c>
      <c r="R56" s="35"/>
      <c r="S56" s="35"/>
      <c r="T56" s="35"/>
    </row>
    <row r="57" spans="2:20" s="34" customFormat="1" ht="15" x14ac:dyDescent="0.25">
      <c r="B57" s="196" t="str">
        <f>CollectionFTEs[[#This Row],[Grouping_ID]]&amp;"-"&amp;CollectionFTEs[[#This Row],[Sector_ID]]&amp;"-"&amp;CollectionFTEs[[#This Row],[Frequency_ID]]&amp;"-"&amp;CollectionFTEs[[#This Row],[SS_or_DS]]</f>
        <v>3-1-M-DS</v>
      </c>
      <c r="C57" s="196" t="str">
        <f>_xlfn.CONCAT(CollectionFTEs[[#This Row],[Grouping_ID]],"-",CollectionFTEs[[#This Row],[Sector_ID]])</f>
        <v>3-1</v>
      </c>
      <c r="D57" s="197">
        <v>3</v>
      </c>
      <c r="E57" s="198" t="str">
        <f>INDEX(Grouping[Grouping_Name],MATCH(CollectionFTEs[[#This Row],[Grouping_ID]],Grouping[Grouping_ID],0))</f>
        <v>3 - Other areas with curbside</v>
      </c>
      <c r="F57" s="35">
        <v>1</v>
      </c>
      <c r="G57" s="198" t="str">
        <f>INDEX(Sector[Sector_Name],MATCH(CollectionFTEs[[#This Row],[Sector_ID]],Sector[Sector_ID],0))</f>
        <v>SF Res. (on-route)</v>
      </c>
      <c r="H57" s="35" t="s">
        <v>808</v>
      </c>
      <c r="I57" s="197" t="s">
        <v>67</v>
      </c>
      <c r="J57" s="198" t="str">
        <f>INDEX(Frequency[Collection_Frequency],MATCH(CollectionFTEs[[#This Row],[Frequency_ID]],Frequency[Orig_Frequency_ID],0)+(CollectionFTEs[[#This Row],[SS_or_DS]]="DS")*COUNTA(Frequency[Orig_Frequency_ID])/2)</f>
        <v>Weekly (formerly monthly)</v>
      </c>
      <c r="K57" s="35">
        <v>2018</v>
      </c>
      <c r="L5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2099.7449999999999</v>
      </c>
      <c r="M57" s="144">
        <f>INDEX(LaborCostPerLift[Average_Lifts_Per_Week],MATCH(CollectionFTEs[[#This Row],[Collection_ID]],LaborCostPerLift[Collection_ID],0))</f>
        <v>1</v>
      </c>
      <c r="N57" s="203">
        <f>IFERROR(CollectionFTEs[[#This Row],[Customers]]*CollectionFTEs[[#This Row],[Lifts_Per_Week]],0)</f>
        <v>2099.7449999999999</v>
      </c>
      <c r="O57" s="109">
        <f>IFERROR(CollectionFTEs[[#This Row],[Total_Lifts_Per_Week]]/SUMIFS(FTE_Per_Customer[Customer_Or_Lift_Per_Driver],FTE_Per_Customer[Sector_ID],CollectionFTEs[[#This Row],[Sector_ID]],FTE_Per_Customer[SS_or_DS],CollectionFTEs[SS_or_DS],FTE_Per_Customer[Frequency_ID],CollectionFTEs[Frequency_ID]),0)</f>
        <v>0.59992714285714288</v>
      </c>
      <c r="P57" s="109">
        <f>IFERROR(CollectionFTEs[[#This Row],[Total_Lifts_Per_Week]]/SUMIFS(FTE_Per_Customer[Customer_Per_Admin],FTE_Per_Customer[Sector_ID],CollectionFTEs[[#This Row],[Sector_ID]],FTE_Per_Customer[SS_or_DS],CollectionFTEs[SS_or_DS],FTE_Per_Customer[Frequency_ID],CollectionFTEs[Frequency_ID]),0)</f>
        <v>0.17497874999999999</v>
      </c>
      <c r="Q57" s="379">
        <f>IF(CollectionFTEs[[#This Row],[Sector_ID]]=1,(CollectionFTEs[[#This Row],[Customers]]*CollectionTotal!$H$21*0.8)/(50*2080),(CollectionFTEs[[#This Row],[Customers]]*CollectionTotal!$H$22*0.8)/(50*2080))</f>
        <v>4.5178448688097041E-2</v>
      </c>
      <c r="R57" s="35"/>
      <c r="S57" s="35"/>
      <c r="T57" s="35"/>
    </row>
    <row r="58" spans="2:20" s="34" customFormat="1" ht="15" x14ac:dyDescent="0.25">
      <c r="B58" s="199" t="str">
        <f>CollectionFTEs[[#This Row],[Grouping_ID]]&amp;"-"&amp;CollectionFTEs[[#This Row],[Sector_ID]]&amp;"-"&amp;CollectionFTEs[[#This Row],[Frequency_ID]]&amp;"-"&amp;CollectionFTEs[[#This Row],[SS_or_DS]]</f>
        <v>3-1-U-DS</v>
      </c>
      <c r="C58" s="199" t="str">
        <f>_xlfn.CONCAT(CollectionFTEs[[#This Row],[Grouping_ID]],"-",CollectionFTEs[[#This Row],[Sector_ID]])</f>
        <v>3-1</v>
      </c>
      <c r="D58" s="200">
        <v>3</v>
      </c>
      <c r="E58" s="201" t="str">
        <f>INDEX(Grouping[Grouping_Name],MATCH(CollectionFTEs[[#This Row],[Grouping_ID]],Grouping[Grouping_ID],0))</f>
        <v>3 - Other areas with curbside</v>
      </c>
      <c r="F58" s="35">
        <v>1</v>
      </c>
      <c r="G58" s="201" t="str">
        <f>INDEX(Sector[Sector_Name],MATCH(CollectionFTEs[[#This Row],[Sector_ID]],Sector[Sector_ID],0))</f>
        <v>SF Res. (on-route)</v>
      </c>
      <c r="H58" s="35" t="s">
        <v>808</v>
      </c>
      <c r="I58" s="200" t="s">
        <v>65</v>
      </c>
      <c r="J58" s="201" t="str">
        <f>INDEX(Frequency[Collection_Frequency],MATCH(CollectionFTEs[[#This Row],[Frequency_ID]],Frequency[Orig_Frequency_ID],0)+(CollectionFTEs[[#This Row],[SS_or_DS]]="DS")*COUNTA(Frequency[Orig_Frequency_ID])/2)</f>
        <v>Uncertain</v>
      </c>
      <c r="K58" s="35">
        <v>2018</v>
      </c>
      <c r="L58" s="204">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58" s="205">
        <f>INDEX(LaborCostPerLift[Average_Lifts_Per_Week],MATCH(CollectionFTEs[[#This Row],[Collection_ID]],LaborCostPerLift[Collection_ID],0))</f>
        <v>1</v>
      </c>
      <c r="N58" s="160">
        <f>IFERROR(CollectionFTEs[[#This Row],[Customers]]*CollectionFTEs[[#This Row],[Lifts_Per_Week]],0)</f>
        <v>0</v>
      </c>
      <c r="O58" s="136">
        <f>IFERROR(CollectionFTEs[[#This Row],[Total_Lifts_Per_Week]]/SUMIFS(FTE_Per_Customer[Customer_Or_Lift_Per_Driver],FTE_Per_Customer[Sector_ID],CollectionFTEs[[#This Row],[Sector_ID]],FTE_Per_Customer[SS_or_DS],CollectionFTEs[SS_or_DS],FTE_Per_Customer[Frequency_ID],CollectionFTEs[Frequency_ID]),0)</f>
        <v>0</v>
      </c>
      <c r="P58" s="136">
        <f>IFERROR(CollectionFTEs[[#This Row],[Total_Lifts_Per_Week]]/SUMIFS(FTE_Per_Customer[Customer_Per_Admin],FTE_Per_Customer[Sector_ID],CollectionFTEs[[#This Row],[Sector_ID]],FTE_Per_Customer[SS_or_DS],CollectionFTEs[SS_or_DS],FTE_Per_Customer[Frequency_ID],CollectionFTEs[Frequency_ID]),0)</f>
        <v>0</v>
      </c>
      <c r="Q58" s="136">
        <f>IF(CollectionFTEs[[#This Row],[Sector_ID]]=1,(CollectionFTEs[[#This Row],[Customers]]*CollectionTotal!$H$21*0.8)/(50*2080),(CollectionFTEs[[#This Row],[Customers]]*CollectionTotal!$H$22*0.8)/(50*2080))</f>
        <v>0</v>
      </c>
      <c r="R58" s="35"/>
      <c r="S58" s="35"/>
      <c r="T58" s="35"/>
    </row>
    <row r="59" spans="2:20" s="34" customFormat="1" ht="15" x14ac:dyDescent="0.25">
      <c r="B59" s="196" t="str">
        <f>CollectionFTEs[[#This Row],[Grouping_ID]]&amp;"-"&amp;CollectionFTEs[[#This Row],[Sector_ID]]&amp;"-"&amp;CollectionFTEs[[#This Row],[Frequency_ID]]&amp;"-"&amp;CollectionFTEs[[#This Row],[SS_or_DS]]</f>
        <v>1-2-V-SS</v>
      </c>
      <c r="C59" s="196" t="str">
        <f>_xlfn.CONCAT(CollectionFTEs[[#This Row],[Grouping_ID]],"-",CollectionFTEs[[#This Row],[Sector_ID]])</f>
        <v>1-2</v>
      </c>
      <c r="D59" s="197">
        <v>1</v>
      </c>
      <c r="E59" s="198" t="str">
        <f>INDEX(Grouping[Grouping_Name],MATCH(CollectionFTEs[[#This Row],[Grouping_ID]],Grouping[Grouping_ID],0))</f>
        <v>1 - Metro area</v>
      </c>
      <c r="F59" s="197">
        <v>2</v>
      </c>
      <c r="G59" s="198" t="str">
        <f>INDEX(Sector[Sector_Name],MATCH(CollectionFTEs[[#This Row],[Sector_ID]],Sector[Sector_ID],0))</f>
        <v>MF Res. (on-route)</v>
      </c>
      <c r="H59" s="35" t="s">
        <v>806</v>
      </c>
      <c r="I59" s="197" t="s">
        <v>91</v>
      </c>
      <c r="J59" s="198" t="str">
        <f>INDEX(Frequency[Collection_Frequency],MATCH(CollectionFTEs[[#This Row],[Frequency_ID]],Frequency[Orig_Frequency_ID],0)+(CollectionFTEs[[#This Row],[SS_or_DS]]="DS")*COUNTA(Frequency[Orig_Frequency_ID])/2)</f>
        <v>Varies by customer need</v>
      </c>
      <c r="K59" s="198">
        <v>2025</v>
      </c>
      <c r="L5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7221.4205871290515</v>
      </c>
      <c r="M59" s="144">
        <f>INDEX(LaborCostPerLift[Average_Lifts_Per_Week],MATCH(CollectionFTEs[[#This Row],[Collection_ID]],LaborCostPerLift[Collection_ID],0))</f>
        <v>1.39</v>
      </c>
      <c r="N59" s="203">
        <f>IFERROR(CollectionFTEs[[#This Row],[Customers]]*CollectionFTEs[[#This Row],[Lifts_Per_Week]],0)</f>
        <v>10037.77461610938</v>
      </c>
      <c r="O59" s="109">
        <f>IFERROR(CollectionFTEs[[#This Row],[Total_Lifts_Per_Week]]/SUMIFS(FTE_Per_Customer[Customer_Or_Lift_Per_Driver],FTE_Per_Customer[Sector_ID],CollectionFTEs[[#This Row],[Sector_ID]],FTE_Per_Customer[SS_or_DS],CollectionFTEs[SS_or_DS],FTE_Per_Customer[Frequency_ID],CollectionFTEs[Frequency_ID]),0)</f>
        <v>22.306165813576399</v>
      </c>
      <c r="P59" s="379">
        <f>IFERROR(CollectionFTEs[[#This Row],[Total_Lifts_Per_Week]]/SUMIFS(FTE_Per_Customer[Customer_Per_Admin],FTE_Per_Customer[Sector_ID],CollectionFTEs[[#This Row],[Sector_ID]],FTE_Per_Customer[SS_or_DS],CollectionFTEs[SS_or_DS],FTE_Per_Customer[Frequency_ID],CollectionFTEs[Frequency_ID]),0)</f>
        <v>2.5094436540273448</v>
      </c>
      <c r="Q59" s="379">
        <f>IF(CollectionFTEs[[#This Row],[Sector_ID]]=1,(CollectionFTEs[[#This Row],[Customers]]*CollectionTotal!$H$21*0.8)/(50*2080),(CollectionFTEs[[#This Row],[Customers]]*CollectionTotal!$H$22*0.8)/(50*2080))</f>
        <v>6.2150895361251468</v>
      </c>
    </row>
    <row r="60" spans="2:20" s="34" customFormat="1" ht="15" x14ac:dyDescent="0.25">
      <c r="B60" s="196" t="str">
        <f>CollectionFTEs[[#This Row],[Grouping_ID]]&amp;"-"&amp;CollectionFTEs[[#This Row],[Sector_ID]]&amp;"-"&amp;CollectionFTEs[[#This Row],[Frequency_ID]]&amp;"-"&amp;CollectionFTEs[[#This Row],[SS_or_DS]]</f>
        <v>1-3-V-SS</v>
      </c>
      <c r="C60" s="196" t="str">
        <f>_xlfn.CONCAT(CollectionFTEs[[#This Row],[Grouping_ID]],"-",CollectionFTEs[[#This Row],[Sector_ID]])</f>
        <v>1-3</v>
      </c>
      <c r="D60" s="197">
        <v>1</v>
      </c>
      <c r="E60" s="198" t="str">
        <f>INDEX(Grouping[Grouping_Name],MATCH(CollectionFTEs[[#This Row],[Grouping_ID]],Grouping[Grouping_ID],0))</f>
        <v>1 - Metro area</v>
      </c>
      <c r="F60" s="197">
        <v>3</v>
      </c>
      <c r="G60" s="198" t="str">
        <f>INDEX(Sector[Sector_Name],MATCH(CollectionFTEs[[#This Row],[Sector_ID]],Sector[Sector_ID],0))</f>
        <v>Commercial (on-route)</v>
      </c>
      <c r="H60" s="35" t="s">
        <v>806</v>
      </c>
      <c r="I60" s="197" t="s">
        <v>91</v>
      </c>
      <c r="J60" s="198" t="str">
        <f>INDEX(Frequency[Collection_Frequency],MATCH(CollectionFTEs[[#This Row],[Frequency_ID]],Frequency[Orig_Frequency_ID],0)+(CollectionFTEs[[#This Row],[SS_or_DS]]="DS")*COUNTA(Frequency[Orig_Frequency_ID])/2)</f>
        <v>Varies by customer need</v>
      </c>
      <c r="K60" s="198">
        <v>2025</v>
      </c>
      <c r="L60"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35510.813106709982</v>
      </c>
      <c r="M60" s="144">
        <f>INDEX(LaborCostPerLift[Average_Lifts_Per_Week],MATCH(CollectionFTEs[[#This Row],[Collection_ID]],LaborCostPerLift[Collection_ID],0))</f>
        <v>1.39</v>
      </c>
      <c r="N60" s="203">
        <f>IFERROR(CollectionFTEs[[#This Row],[Customers]]*CollectionFTEs[[#This Row],[Lifts_Per_Week]],0)</f>
        <v>49360.030218326872</v>
      </c>
      <c r="O60" s="109">
        <f>IFERROR(CollectionFTEs[[#This Row],[Total_Lifts_Per_Week]]/SUMIFS(FTE_Per_Customer[Customer_Or_Lift_Per_Driver],FTE_Per_Customer[Sector_ID],CollectionFTEs[[#This Row],[Sector_ID]],FTE_Per_Customer[SS_or_DS],CollectionFTEs[SS_or_DS],FTE_Per_Customer[Frequency_ID],CollectionFTEs[Frequency_ID]),0)</f>
        <v>109.68895604072638</v>
      </c>
      <c r="P60" s="109">
        <f>IFERROR(CollectionFTEs[[#This Row],[Total_Lifts_Per_Week]]/SUMIFS(FTE_Per_Customer[Customer_Per_Admin],FTE_Per_Customer[Sector_ID],CollectionFTEs[[#This Row],[Sector_ID]],FTE_Per_Customer[SS_or_DS],CollectionFTEs[SS_or_DS],FTE_Per_Customer[Frequency_ID],CollectionFTEs[Frequency_ID]),0)</f>
        <v>12.340007554581717</v>
      </c>
      <c r="Q60" s="379">
        <f>IF(CollectionFTEs[[#This Row],[Sector_ID]]=1,(CollectionFTEs[[#This Row],[Customers]]*CollectionTotal!$H$21*0.8)/(50*2080),(CollectionFTEs[[#This Row],[Customers]]*CollectionTotal!$H$22*0.8)/(50*2080))</f>
        <v>30.562252993846407</v>
      </c>
    </row>
    <row r="61" spans="2:20" s="34" customFormat="1" ht="15" x14ac:dyDescent="0.25">
      <c r="B61" s="196" t="str">
        <f>CollectionFTEs[[#This Row],[Grouping_ID]]&amp;"-"&amp;CollectionFTEs[[#This Row],[Sector_ID]]&amp;"-"&amp;CollectionFTEs[[#This Row],[Frequency_ID]]&amp;"-"&amp;CollectionFTEs[[#This Row],[SS_or_DS]]</f>
        <v>2-2-V-SS</v>
      </c>
      <c r="C61" s="196" t="str">
        <f>_xlfn.CONCAT(CollectionFTEs[[#This Row],[Grouping_ID]],"-",CollectionFTEs[[#This Row],[Sector_ID]])</f>
        <v>2-2</v>
      </c>
      <c r="D61" s="197">
        <v>2</v>
      </c>
      <c r="E61" s="198" t="str">
        <f>INDEX(Grouping[Grouping_Name],MATCH(CollectionFTEs[[#This Row],[Grouping_ID]],Grouping[Grouping_ID],0))</f>
        <v>2 - Willamette Valley, etc.</v>
      </c>
      <c r="F61" s="197">
        <v>2</v>
      </c>
      <c r="G61" s="198" t="str">
        <f>INDEX(Sector[Sector_Name],MATCH(CollectionFTEs[[#This Row],[Sector_ID]],Sector[Sector_ID],0))</f>
        <v>MF Res. (on-route)</v>
      </c>
      <c r="H61" s="35" t="s">
        <v>806</v>
      </c>
      <c r="I61" s="197" t="s">
        <v>91</v>
      </c>
      <c r="J61" s="198" t="str">
        <f>INDEX(Frequency[Collection_Frequency],MATCH(CollectionFTEs[[#This Row],[Frequency_ID]],Frequency[Orig_Frequency_ID],0)+(CollectionFTEs[[#This Row],[SS_or_DS]]="DS")*COUNTA(Frequency[Orig_Frequency_ID])/2)</f>
        <v>Varies by customer need</v>
      </c>
      <c r="K61" s="198">
        <v>2025</v>
      </c>
      <c r="L61"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9059.6882850261754</v>
      </c>
      <c r="M61" s="144">
        <f>INDEX(LaborCostPerLift[Average_Lifts_Per_Week],MATCH(CollectionFTEs[[#This Row],[Collection_ID]],LaborCostPerLift[Collection_ID],0))</f>
        <v>1.0900000000000001</v>
      </c>
      <c r="N61" s="203">
        <f>IFERROR(CollectionFTEs[[#This Row],[Customers]]*CollectionFTEs[[#This Row],[Lifts_Per_Week]],0)</f>
        <v>9875.0602306785313</v>
      </c>
      <c r="O61" s="109">
        <f>IFERROR(CollectionFTEs[[#This Row],[Total_Lifts_Per_Week]]/SUMIFS(FTE_Per_Customer[Customer_Or_Lift_Per_Driver],FTE_Per_Customer[Sector_ID],CollectionFTEs[[#This Row],[Sector_ID]],FTE_Per_Customer[SS_or_DS],CollectionFTEs[SS_or_DS],FTE_Per_Customer[Frequency_ID],CollectionFTEs[Frequency_ID]),0)</f>
        <v>21.944578290396738</v>
      </c>
      <c r="P61" s="109">
        <f>IFERROR(CollectionFTEs[[#This Row],[Total_Lifts_Per_Week]]/SUMIFS(FTE_Per_Customer[Customer_Per_Admin],FTE_Per_Customer[Sector_ID],CollectionFTEs[[#This Row],[Sector_ID]],FTE_Per_Customer[SS_or_DS],CollectionFTEs[SS_or_DS],FTE_Per_Customer[Frequency_ID],CollectionFTEs[Frequency_ID]),0)</f>
        <v>2.4687650576696329</v>
      </c>
      <c r="Q61" s="379">
        <f>IF(CollectionFTEs[[#This Row],[Sector_ID]]=1,(CollectionFTEs[[#This Row],[Customers]]*CollectionTotal!$H$21*0.8)/(50*2080),(CollectionFTEs[[#This Row],[Customers]]*CollectionTotal!$H$22*0.8)/(50*2080))</f>
        <v>7.7971879883549455</v>
      </c>
    </row>
    <row r="62" spans="2:20" s="34" customFormat="1" ht="15" x14ac:dyDescent="0.25">
      <c r="B62" s="196" t="str">
        <f>CollectionFTEs[[#This Row],[Grouping_ID]]&amp;"-"&amp;CollectionFTEs[[#This Row],[Sector_ID]]&amp;"-"&amp;CollectionFTEs[[#This Row],[Frequency_ID]]&amp;"-"&amp;CollectionFTEs[[#This Row],[SS_or_DS]]</f>
        <v>2-3-V-SS</v>
      </c>
      <c r="C62" s="196" t="str">
        <f>_xlfn.CONCAT(CollectionFTEs[[#This Row],[Grouping_ID]],"-",CollectionFTEs[[#This Row],[Sector_ID]])</f>
        <v>2-3</v>
      </c>
      <c r="D62" s="197">
        <v>2</v>
      </c>
      <c r="E62" s="198" t="str">
        <f>INDEX(Grouping[Grouping_Name],MATCH(CollectionFTEs[[#This Row],[Grouping_ID]],Grouping[Grouping_ID],0))</f>
        <v>2 - Willamette Valley, etc.</v>
      </c>
      <c r="F62" s="197">
        <v>3</v>
      </c>
      <c r="G62" s="198" t="str">
        <f>INDEX(Sector[Sector_Name],MATCH(CollectionFTEs[[#This Row],[Sector_ID]],Sector[Sector_ID],0))</f>
        <v>Commercial (on-route)</v>
      </c>
      <c r="H62" s="35" t="s">
        <v>806</v>
      </c>
      <c r="I62" s="197" t="s">
        <v>91</v>
      </c>
      <c r="J62" s="198" t="str">
        <f>INDEX(Frequency[Collection_Frequency],MATCH(CollectionFTEs[[#This Row],[Frequency_ID]],Frequency[Orig_Frequency_ID],0)+(CollectionFTEs[[#This Row],[SS_or_DS]]="DS")*COUNTA(Frequency[Orig_Frequency_ID])/2)</f>
        <v>Varies by customer need</v>
      </c>
      <c r="K62" s="198">
        <v>2025</v>
      </c>
      <c r="L62"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23706.184345818489</v>
      </c>
      <c r="M62" s="144">
        <f>INDEX(LaborCostPerLift[Average_Lifts_Per_Week],MATCH(CollectionFTEs[[#This Row],[Collection_ID]],LaborCostPerLift[Collection_ID],0))</f>
        <v>1.0900000000000001</v>
      </c>
      <c r="N62" s="203">
        <f>IFERROR(CollectionFTEs[[#This Row],[Customers]]*CollectionFTEs[[#This Row],[Lifts_Per_Week]],0)</f>
        <v>25839.740936942155</v>
      </c>
      <c r="O62" s="109">
        <f>IFERROR(CollectionFTEs[[#This Row],[Total_Lifts_Per_Week]]/SUMIFS(FTE_Per_Customer[Customer_Or_Lift_Per_Driver],FTE_Per_Customer[Sector_ID],CollectionFTEs[[#This Row],[Sector_ID]],FTE_Per_Customer[SS_or_DS],CollectionFTEs[SS_or_DS],FTE_Per_Customer[Frequency_ID],CollectionFTEs[Frequency_ID]),0)</f>
        <v>57.421646526538119</v>
      </c>
      <c r="P62" s="109">
        <f>IFERROR(CollectionFTEs[[#This Row],[Total_Lifts_Per_Week]]/SUMIFS(FTE_Per_Customer[Customer_Per_Admin],FTE_Per_Customer[Sector_ID],CollectionFTEs[[#This Row],[Sector_ID]],FTE_Per_Customer[SS_or_DS],CollectionFTEs[SS_or_DS],FTE_Per_Customer[Frequency_ID],CollectionFTEs[Frequency_ID]),0)</f>
        <v>6.4599352342355383</v>
      </c>
      <c r="Q62" s="379">
        <f>IF(CollectionFTEs[[#This Row],[Sector_ID]]=1,(CollectionFTEs[[#This Row],[Customers]]*CollectionTotal!$H$21*0.8)/(50*2080),(CollectionFTEs[[#This Row],[Customers]]*CollectionTotal!$H$22*0.8)/(50*2080))</f>
        <v>20.402641902862104</v>
      </c>
    </row>
    <row r="63" spans="2:20" s="34" customFormat="1" ht="15" x14ac:dyDescent="0.25">
      <c r="B63" s="196" t="str">
        <f>CollectionFTEs[[#This Row],[Grouping_ID]]&amp;"-"&amp;CollectionFTEs[[#This Row],[Sector_ID]]&amp;"-"&amp;CollectionFTEs[[#This Row],[Frequency_ID]]&amp;"-"&amp;CollectionFTEs[[#This Row],[SS_or_DS]]</f>
        <v>3-2-V-SS</v>
      </c>
      <c r="C63" s="196" t="str">
        <f>_xlfn.CONCAT(CollectionFTEs[[#This Row],[Grouping_ID]],"-",CollectionFTEs[[#This Row],[Sector_ID]])</f>
        <v>3-2</v>
      </c>
      <c r="D63" s="197">
        <v>3</v>
      </c>
      <c r="E63" s="198" t="str">
        <f>INDEX(Grouping[Grouping_Name],MATCH(CollectionFTEs[[#This Row],[Grouping_ID]],Grouping[Grouping_ID],0))</f>
        <v>3 - Other areas with curbside</v>
      </c>
      <c r="F63" s="197">
        <v>2</v>
      </c>
      <c r="G63" s="198" t="str">
        <f>INDEX(Sector[Sector_Name],MATCH(CollectionFTEs[[#This Row],[Sector_ID]],Sector[Sector_ID],0))</f>
        <v>MF Res. (on-route)</v>
      </c>
      <c r="H63" s="35" t="s">
        <v>806</v>
      </c>
      <c r="I63" s="197" t="s">
        <v>91</v>
      </c>
      <c r="J63" s="198" t="str">
        <f>INDEX(Frequency[Collection_Frequency],MATCH(CollectionFTEs[[#This Row],[Frequency_ID]],Frequency[Orig_Frequency_ID],0)+(CollectionFTEs[[#This Row],[SS_or_DS]]="DS")*COUNTA(Frequency[Orig_Frequency_ID])/2)</f>
        <v>Varies by customer need</v>
      </c>
      <c r="K63" s="198">
        <v>2025</v>
      </c>
      <c r="L6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1445.0244787602153</v>
      </c>
      <c r="M63" s="144">
        <f>INDEX(LaborCostPerLift[Average_Lifts_Per_Week],MATCH(CollectionFTEs[[#This Row],[Collection_ID]],LaborCostPerLift[Collection_ID],0))</f>
        <v>1.31</v>
      </c>
      <c r="N63" s="203">
        <f>IFERROR(CollectionFTEs[[#This Row],[Customers]]*CollectionFTEs[[#This Row],[Lifts_Per_Week]],0)</f>
        <v>1892.9820671758821</v>
      </c>
      <c r="O63" s="109">
        <f>IFERROR(CollectionFTEs[[#This Row],[Total_Lifts_Per_Week]]/SUMIFS(FTE_Per_Customer[Customer_Or_Lift_Per_Driver],FTE_Per_Customer[Sector_ID],CollectionFTEs[[#This Row],[Sector_ID]],FTE_Per_Customer[SS_or_DS],CollectionFTEs[SS_or_DS],FTE_Per_Customer[Frequency_ID],CollectionFTEs[Frequency_ID]),0)</f>
        <v>4.2066268159464046</v>
      </c>
      <c r="P63" s="109">
        <f>IFERROR(CollectionFTEs[[#This Row],[Total_Lifts_Per_Week]]/SUMIFS(FTE_Per_Customer[Customer_Per_Admin],FTE_Per_Customer[Sector_ID],CollectionFTEs[[#This Row],[Sector_ID]],FTE_Per_Customer[SS_or_DS],CollectionFTEs[SS_or_DS],FTE_Per_Customer[Frequency_ID],CollectionFTEs[Frequency_ID]),0)</f>
        <v>0.47324551679397053</v>
      </c>
      <c r="Q63" s="379">
        <f>IF(CollectionFTEs[[#This Row],[Sector_ID]]=1,(CollectionFTEs[[#This Row],[Customers]]*CollectionTotal!$H$21*0.8)/(50*2080),(CollectionFTEs[[#This Row],[Customers]]*CollectionTotal!$H$22*0.8)/(50*2080))</f>
        <v>1.2436550965324369</v>
      </c>
    </row>
    <row r="64" spans="2:20" s="34" customFormat="1" ht="15" x14ac:dyDescent="0.25">
      <c r="B64" s="196" t="str">
        <f>CollectionFTEs[[#This Row],[Grouping_ID]]&amp;"-"&amp;CollectionFTEs[[#This Row],[Sector_ID]]&amp;"-"&amp;CollectionFTEs[[#This Row],[Frequency_ID]]&amp;"-"&amp;CollectionFTEs[[#This Row],[SS_or_DS]]</f>
        <v>3-3-V-SS</v>
      </c>
      <c r="C64" s="196" t="str">
        <f>_xlfn.CONCAT(CollectionFTEs[[#This Row],[Grouping_ID]],"-",CollectionFTEs[[#This Row],[Sector_ID]])</f>
        <v>3-3</v>
      </c>
      <c r="D64" s="197">
        <v>3</v>
      </c>
      <c r="E64" s="198" t="str">
        <f>INDEX(Grouping[Grouping_Name],MATCH(CollectionFTEs[[#This Row],[Grouping_ID]],Grouping[Grouping_ID],0))</f>
        <v>3 - Other areas with curbside</v>
      </c>
      <c r="F64" s="197">
        <v>3</v>
      </c>
      <c r="G64" s="198" t="str">
        <f>INDEX(Sector[Sector_Name],MATCH(CollectionFTEs[[#This Row],[Sector_ID]],Sector[Sector_ID],0))</f>
        <v>Commercial (on-route)</v>
      </c>
      <c r="H64" s="35" t="s">
        <v>806</v>
      </c>
      <c r="I64" s="197" t="s">
        <v>91</v>
      </c>
      <c r="J64" s="198" t="str">
        <f>INDEX(Frequency[Collection_Frequency],MATCH(CollectionFTEs[[#This Row],[Frequency_ID]],Frequency[Orig_Frequency_ID],0)+(CollectionFTEs[[#This Row],[SS_or_DS]]="DS")*COUNTA(Frequency[Orig_Frequency_ID])/2)</f>
        <v>Varies by customer need</v>
      </c>
      <c r="K64" s="198">
        <v>2025</v>
      </c>
      <c r="L6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9190.35568491497</v>
      </c>
      <c r="M64" s="144">
        <f>INDEX(LaborCostPerLift[Average_Lifts_Per_Week],MATCH(CollectionFTEs[[#This Row],[Collection_ID]],LaborCostPerLift[Collection_ID],0))</f>
        <v>1.31</v>
      </c>
      <c r="N64" s="203">
        <f>IFERROR(CollectionFTEs[[#This Row],[Customers]]*CollectionFTEs[[#This Row],[Lifts_Per_Week]],0)</f>
        <v>12039.365947238612</v>
      </c>
      <c r="O64" s="109">
        <f>IFERROR(CollectionFTEs[[#This Row],[Total_Lifts_Per_Week]]/SUMIFS(FTE_Per_Customer[Customer_Or_Lift_Per_Driver],FTE_Per_Customer[Sector_ID],CollectionFTEs[[#This Row],[Sector_ID]],FTE_Per_Customer[SS_or_DS],CollectionFTEs[SS_or_DS],FTE_Per_Customer[Frequency_ID],CollectionFTEs[Frequency_ID]),0)</f>
        <v>26.754146549419136</v>
      </c>
      <c r="P64" s="109">
        <f>IFERROR(CollectionFTEs[[#This Row],[Total_Lifts_Per_Week]]/SUMIFS(FTE_Per_Customer[Customer_Per_Admin],FTE_Per_Customer[Sector_ID],CollectionFTEs[[#This Row],[Sector_ID]],FTE_Per_Customer[SS_or_DS],CollectionFTEs[SS_or_DS],FTE_Per_Customer[Frequency_ID],CollectionFTEs[Frequency_ID]),0)</f>
        <v>3.0098414868096528</v>
      </c>
      <c r="Q64" s="379">
        <f>IF(CollectionFTEs[[#This Row],[Sector_ID]]=1,(CollectionFTEs[[#This Row],[Customers]]*CollectionTotal!$H$21*0.8)/(50*2080),(CollectionFTEs[[#This Row],[Customers]]*CollectionTotal!$H$22*0.8)/(50*2080))</f>
        <v>7.9096464139463007</v>
      </c>
    </row>
    <row r="65" spans="2:20" s="34" customFormat="1" ht="15" x14ac:dyDescent="0.25">
      <c r="B65" s="196" t="str">
        <f>CollectionFTEs[[#This Row],[Grouping_ID]]&amp;"-"&amp;CollectionFTEs[[#This Row],[Sector_ID]]&amp;"-"&amp;CollectionFTEs[[#This Row],[Frequency_ID]]&amp;"-"&amp;CollectionFTEs[[#This Row],[SS_or_DS]]</f>
        <v>1-1-W-SS</v>
      </c>
      <c r="C65" s="196" t="str">
        <f>_xlfn.CONCAT(CollectionFTEs[[#This Row],[Grouping_ID]],"-",CollectionFTEs[[#This Row],[Sector_ID]])</f>
        <v>1-1</v>
      </c>
      <c r="D65" s="197">
        <v>1</v>
      </c>
      <c r="E65" s="198" t="str">
        <f>INDEX(Grouping[Grouping_Name],MATCH(CollectionFTEs[[#This Row],[Grouping_ID]],Grouping[Grouping_ID],0))</f>
        <v>1 - Metro area</v>
      </c>
      <c r="F65" s="197">
        <v>1</v>
      </c>
      <c r="G65" s="198" t="str">
        <f>INDEX(Sector[Sector_Name],MATCH(CollectionFTEs[[#This Row],[Sector_ID]],Sector[Sector_ID],0))</f>
        <v>SF Res. (on-route)</v>
      </c>
      <c r="H65" s="35" t="s">
        <v>806</v>
      </c>
      <c r="I65" s="197" t="s">
        <v>64</v>
      </c>
      <c r="J65" s="198" t="str">
        <f>INDEX(Frequency[Collection_Frequency],MATCH(CollectionFTEs[[#This Row],[Frequency_ID]],Frequency[Orig_Frequency_ID],0)+(CollectionFTEs[[#This Row],[SS_or_DS]]="DS")*COUNTA(Frequency[Orig_Frequency_ID])/2)</f>
        <v>Weekly</v>
      </c>
      <c r="K65" s="198">
        <v>2025</v>
      </c>
      <c r="L6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367031.39010915236</v>
      </c>
      <c r="M65" s="144">
        <f>INDEX(LaborCostPerLift[Average_Lifts_Per_Week],MATCH(CollectionFTEs[[#This Row],[Collection_ID]],LaborCostPerLift[Collection_ID],0))</f>
        <v>1</v>
      </c>
      <c r="N65" s="203">
        <f>IFERROR(CollectionFTEs[[#This Row],[Customers]]*CollectionFTEs[[#This Row],[Lifts_Per_Week]],0)</f>
        <v>367031.39010915236</v>
      </c>
      <c r="O65" s="109">
        <f>IFERROR(CollectionFTEs[[#This Row],[Total_Lifts_Per_Week]]/SUMIFS(FTE_Per_Customer[Customer_Or_Lift_Per_Driver],FTE_Per_Customer[Sector_ID],CollectionFTEs[[#This Row],[Sector_ID]],FTE_Per_Customer[SS_or_DS],CollectionFTEs[SS_or_DS],FTE_Per_Customer[Frequency_ID],CollectionFTEs[Frequency_ID]),0)</f>
        <v>104.86611145975782</v>
      </c>
      <c r="P65" s="109">
        <f>IFERROR(CollectionFTEs[[#This Row],[Total_Lifts_Per_Week]]/SUMIFS(FTE_Per_Customer[Customer_Per_Admin],FTE_Per_Customer[Sector_ID],CollectionFTEs[[#This Row],[Sector_ID]],FTE_Per_Customer[SS_or_DS],CollectionFTEs[SS_or_DS],FTE_Per_Customer[Frequency_ID],CollectionFTEs[Frequency_ID]),0)</f>
        <v>30.585949175762696</v>
      </c>
      <c r="Q65" s="379">
        <f>IF(CollectionFTEs[[#This Row],[Sector_ID]]=1,(CollectionFTEs[[#This Row],[Customers]]*CollectionTotal!$H$21*0.8)/(50*2080),(CollectionFTEs[[#This Row],[Customers]]*CollectionTotal!$H$22*0.8)/(50*2080))</f>
        <v>7.8971059938074699</v>
      </c>
      <c r="R65" s="35"/>
      <c r="S65" s="35"/>
      <c r="T65" s="35"/>
    </row>
    <row r="66" spans="2:20" s="34" customFormat="1" ht="15" x14ac:dyDescent="0.25">
      <c r="B66" s="196" t="str">
        <f>CollectionFTEs[[#This Row],[Grouping_ID]]&amp;"-"&amp;CollectionFTEs[[#This Row],[Sector_ID]]&amp;"-"&amp;CollectionFTEs[[#This Row],[Frequency_ID]]&amp;"-"&amp;CollectionFTEs[[#This Row],[SS_or_DS]]</f>
        <v>1-1-E-SS</v>
      </c>
      <c r="C66" s="196" t="str">
        <f>_xlfn.CONCAT(CollectionFTEs[[#This Row],[Grouping_ID]],"-",CollectionFTEs[[#This Row],[Sector_ID]])</f>
        <v>1-1</v>
      </c>
      <c r="D66" s="197">
        <v>1</v>
      </c>
      <c r="E66" s="198" t="str">
        <f>INDEX(Grouping[Grouping_Name],MATCH(CollectionFTEs[[#This Row],[Grouping_ID]],Grouping[Grouping_ID],0))</f>
        <v>1 - Metro area</v>
      </c>
      <c r="F66" s="197">
        <v>1</v>
      </c>
      <c r="G66" s="198" t="str">
        <f>INDEX(Sector[Sector_Name],MATCH(CollectionFTEs[[#This Row],[Sector_ID]],Sector[Sector_ID],0))</f>
        <v>SF Res. (on-route)</v>
      </c>
      <c r="H66" s="35" t="s">
        <v>806</v>
      </c>
      <c r="I66" s="197" t="s">
        <v>53</v>
      </c>
      <c r="J66" s="198" t="str">
        <f>INDEX(Frequency[Collection_Frequency],MATCH(CollectionFTEs[[#This Row],[Frequency_ID]],Frequency[Orig_Frequency_ID],0)+(CollectionFTEs[[#This Row],[SS_or_DS]]="DS")*COUNTA(Frequency[Orig_Frequency_ID])/2)</f>
        <v>Every other week</v>
      </c>
      <c r="K66" s="198">
        <v>2025</v>
      </c>
      <c r="L6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98834.005911677596</v>
      </c>
      <c r="M66" s="144">
        <f>INDEX(LaborCostPerLift[Average_Lifts_Per_Week],MATCH(CollectionFTEs[[#This Row],[Collection_ID]],LaborCostPerLift[Collection_ID],0))</f>
        <v>0.5</v>
      </c>
      <c r="N66" s="203">
        <f>IFERROR(CollectionFTEs[[#This Row],[Customers]]*CollectionFTEs[[#This Row],[Lifts_Per_Week]],0)</f>
        <v>49417.002955838798</v>
      </c>
      <c r="O66" s="109">
        <f>IFERROR(CollectionFTEs[[#This Row],[Total_Lifts_Per_Week]]/SUMIFS(FTE_Per_Customer[Customer_Or_Lift_Per_Driver],FTE_Per_Customer[Sector_ID],CollectionFTEs[[#This Row],[Sector_ID]],FTE_Per_Customer[SS_or_DS],CollectionFTEs[SS_or_DS],FTE_Per_Customer[Frequency_ID],CollectionFTEs[Frequency_ID]),0)</f>
        <v>8.2361671593064667</v>
      </c>
      <c r="P66" s="109">
        <f>IFERROR(CollectionFTEs[[#This Row],[Total_Lifts_Per_Week]]/SUMIFS(FTE_Per_Customer[Customer_Per_Admin],FTE_Per_Customer[Sector_ID],CollectionFTEs[[#This Row],[Sector_ID]],FTE_Per_Customer[SS_or_DS],CollectionFTEs[SS_or_DS],FTE_Per_Customer[Frequency_ID],CollectionFTEs[Frequency_ID]),0)</f>
        <v>4.1180835796532334</v>
      </c>
      <c r="Q66" s="379">
        <f>IF(CollectionFTEs[[#This Row],[Sector_ID]]=1,(CollectionFTEs[[#This Row],[Customers]]*CollectionTotal!$H$21*0.8)/(50*2080),(CollectionFTEs[[#This Row],[Customers]]*CollectionTotal!$H$22*0.8)/(50*2080))</f>
        <v>2.1265282521067106</v>
      </c>
      <c r="R66" s="35"/>
      <c r="S66" s="35"/>
      <c r="T66" s="35"/>
    </row>
    <row r="67" spans="2:20" s="34" customFormat="1" ht="15" x14ac:dyDescent="0.25">
      <c r="B67" s="196" t="str">
        <f>CollectionFTEs[[#This Row],[Grouping_ID]]&amp;"-"&amp;CollectionFTEs[[#This Row],[Sector_ID]]&amp;"-"&amp;CollectionFTEs[[#This Row],[Frequency_ID]]&amp;"-"&amp;CollectionFTEs[[#This Row],[SS_or_DS]]</f>
        <v>2-1-W-SS</v>
      </c>
      <c r="C67" s="196" t="str">
        <f>_xlfn.CONCAT(CollectionFTEs[[#This Row],[Grouping_ID]],"-",CollectionFTEs[[#This Row],[Sector_ID]])</f>
        <v>2-1</v>
      </c>
      <c r="D67" s="197">
        <v>2</v>
      </c>
      <c r="E67" s="198" t="str">
        <f>INDEX(Grouping[Grouping_Name],MATCH(CollectionFTEs[[#This Row],[Grouping_ID]],Grouping[Grouping_ID],0))</f>
        <v>2 - Willamette Valley, etc.</v>
      </c>
      <c r="F67" s="197">
        <v>1</v>
      </c>
      <c r="G67" s="198" t="str">
        <f>INDEX(Sector[Sector_Name],MATCH(CollectionFTEs[[#This Row],[Sector_ID]],Sector[Sector_ID],0))</f>
        <v>SF Res. (on-route)</v>
      </c>
      <c r="H67" s="35" t="s">
        <v>806</v>
      </c>
      <c r="I67" s="197" t="s">
        <v>64</v>
      </c>
      <c r="J67" s="198" t="str">
        <f>INDEX(Frequency[Collection_Frequency],MATCH(CollectionFTEs[[#This Row],[Frequency_ID]],Frequency[Orig_Frequency_ID],0)+(CollectionFTEs[[#This Row],[SS_or_DS]]="DS")*COUNTA(Frequency[Orig_Frequency_ID])/2)</f>
        <v>Weekly</v>
      </c>
      <c r="K67" s="198">
        <v>2025</v>
      </c>
      <c r="L6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91625.208823418856</v>
      </c>
      <c r="M67" s="144">
        <f>INDEX(LaborCostPerLift[Average_Lifts_Per_Week],MATCH(CollectionFTEs[[#This Row],[Collection_ID]],LaborCostPerLift[Collection_ID],0))</f>
        <v>1</v>
      </c>
      <c r="N67" s="203">
        <f>IFERROR(CollectionFTEs[[#This Row],[Customers]]*CollectionFTEs[[#This Row],[Lifts_Per_Week]],0)</f>
        <v>91625.208823418856</v>
      </c>
      <c r="O67" s="109">
        <f>IFERROR(CollectionFTEs[[#This Row],[Total_Lifts_Per_Week]]/SUMIFS(FTE_Per_Customer[Customer_Or_Lift_Per_Driver],FTE_Per_Customer[Sector_ID],CollectionFTEs[[#This Row],[Sector_ID]],FTE_Per_Customer[SS_or_DS],CollectionFTEs[SS_or_DS],FTE_Per_Customer[Frequency_ID],CollectionFTEs[Frequency_ID]),0)</f>
        <v>26.178631092405386</v>
      </c>
      <c r="P67" s="109">
        <f>IFERROR(CollectionFTEs[[#This Row],[Total_Lifts_Per_Week]]/SUMIFS(FTE_Per_Customer[Customer_Per_Admin],FTE_Per_Customer[Sector_ID],CollectionFTEs[[#This Row],[Sector_ID]],FTE_Per_Customer[SS_or_DS],CollectionFTEs[SS_or_DS],FTE_Per_Customer[Frequency_ID],CollectionFTEs[Frequency_ID]),0)</f>
        <v>7.6354340686182383</v>
      </c>
      <c r="Q67" s="379">
        <f>IF(CollectionFTEs[[#This Row],[Sector_ID]]=1,(CollectionFTEs[[#This Row],[Customers]]*CollectionTotal!$H$21*0.8)/(50*2080),(CollectionFTEs[[#This Row],[Customers]]*CollectionTotal!$H$22*0.8)/(50*2080))</f>
        <v>1.9714226229208807</v>
      </c>
      <c r="R67" s="35"/>
      <c r="S67" s="35"/>
      <c r="T67" s="35"/>
    </row>
    <row r="68" spans="2:20" s="34" customFormat="1" ht="15" x14ac:dyDescent="0.25">
      <c r="B68" s="196" t="str">
        <f>CollectionFTEs[[#This Row],[Grouping_ID]]&amp;"-"&amp;CollectionFTEs[[#This Row],[Sector_ID]]&amp;"-"&amp;CollectionFTEs[[#This Row],[Frequency_ID]]&amp;"-"&amp;CollectionFTEs[[#This Row],[SS_or_DS]]</f>
        <v>2-1-E-SS</v>
      </c>
      <c r="C68" s="196" t="str">
        <f>_xlfn.CONCAT(CollectionFTEs[[#This Row],[Grouping_ID]],"-",CollectionFTEs[[#This Row],[Sector_ID]])</f>
        <v>2-1</v>
      </c>
      <c r="D68" s="197">
        <v>2</v>
      </c>
      <c r="E68" s="198" t="str">
        <f>INDEX(Grouping[Grouping_Name],MATCH(CollectionFTEs[[#This Row],[Grouping_ID]],Grouping[Grouping_ID],0))</f>
        <v>2 - Willamette Valley, etc.</v>
      </c>
      <c r="F68" s="197">
        <v>1</v>
      </c>
      <c r="G68" s="198" t="str">
        <f>INDEX(Sector[Sector_Name],MATCH(CollectionFTEs[[#This Row],[Sector_ID]],Sector[Sector_ID],0))</f>
        <v>SF Res. (on-route)</v>
      </c>
      <c r="H68" s="35" t="s">
        <v>806</v>
      </c>
      <c r="I68" s="197" t="s">
        <v>53</v>
      </c>
      <c r="J68" s="198" t="str">
        <f>INDEX(Frequency[Collection_Frequency],MATCH(CollectionFTEs[[#This Row],[Frequency_ID]],Frequency[Orig_Frequency_ID],0)+(CollectionFTEs[[#This Row],[SS_or_DS]]="DS")*COUNTA(Frequency[Orig_Frequency_ID])/2)</f>
        <v>Every other week</v>
      </c>
      <c r="K68" s="198">
        <v>2025</v>
      </c>
      <c r="L68"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287220.7562954257</v>
      </c>
      <c r="M68" s="144">
        <f>INDEX(LaborCostPerLift[Average_Lifts_Per_Week],MATCH(CollectionFTEs[[#This Row],[Collection_ID]],LaborCostPerLift[Collection_ID],0))</f>
        <v>0.5</v>
      </c>
      <c r="N68" s="203">
        <f>IFERROR(CollectionFTEs[[#This Row],[Customers]]*CollectionFTEs[[#This Row],[Lifts_Per_Week]],0)</f>
        <v>143610.37814771285</v>
      </c>
      <c r="O68" s="109">
        <f>IFERROR(CollectionFTEs[[#This Row],[Total_Lifts_Per_Week]]/SUMIFS(FTE_Per_Customer[Customer_Or_Lift_Per_Driver],FTE_Per_Customer[Sector_ID],CollectionFTEs[[#This Row],[Sector_ID]],FTE_Per_Customer[SS_or_DS],CollectionFTEs[SS_or_DS],FTE_Per_Customer[Frequency_ID],CollectionFTEs[Frequency_ID]),0)</f>
        <v>23.93506302461881</v>
      </c>
      <c r="P68" s="109">
        <f>IFERROR(CollectionFTEs[[#This Row],[Total_Lifts_Per_Week]]/SUMIFS(FTE_Per_Customer[Customer_Per_Admin],FTE_Per_Customer[Sector_ID],CollectionFTEs[[#This Row],[Sector_ID]],FTE_Per_Customer[SS_or_DS],CollectionFTEs[SS_or_DS],FTE_Per_Customer[Frequency_ID],CollectionFTEs[Frequency_ID]),0)</f>
        <v>11.967531512309405</v>
      </c>
      <c r="Q68" s="379">
        <f>IF(CollectionFTEs[[#This Row],[Sector_ID]]=1,(CollectionFTEs[[#This Row],[Customers]]*CollectionTotal!$H$21*0.8)/(50*2080),(CollectionFTEs[[#This Row],[Customers]]*CollectionTotal!$H$22*0.8)/(50*2080))</f>
        <v>6.1798876532385192</v>
      </c>
      <c r="R68" s="35"/>
      <c r="S68" s="35"/>
      <c r="T68" s="35"/>
    </row>
    <row r="69" spans="2:20" s="34" customFormat="1" ht="15" x14ac:dyDescent="0.25">
      <c r="B69" s="196" t="str">
        <f>CollectionFTEs[[#This Row],[Grouping_ID]]&amp;"-"&amp;CollectionFTEs[[#This Row],[Sector_ID]]&amp;"-"&amp;CollectionFTEs[[#This Row],[Frequency_ID]]&amp;"-"&amp;CollectionFTEs[[#This Row],[SS_or_DS]]</f>
        <v>2-1-U-SS</v>
      </c>
      <c r="C69" s="196" t="str">
        <f>_xlfn.CONCAT(CollectionFTEs[[#This Row],[Grouping_ID]],"-",CollectionFTEs[[#This Row],[Sector_ID]])</f>
        <v>2-1</v>
      </c>
      <c r="D69" s="197">
        <v>2</v>
      </c>
      <c r="E69" s="198" t="str">
        <f>INDEX(Grouping[Grouping_Name],MATCH(CollectionFTEs[[#This Row],[Grouping_ID]],Grouping[Grouping_ID],0))</f>
        <v>2 - Willamette Valley, etc.</v>
      </c>
      <c r="F69" s="197">
        <v>1</v>
      </c>
      <c r="G69" s="198" t="str">
        <f>INDEX(Sector[Sector_Name],MATCH(CollectionFTEs[[#This Row],[Sector_ID]],Sector[Sector_ID],0))</f>
        <v>SF Res. (on-route)</v>
      </c>
      <c r="H69" s="35" t="s">
        <v>806</v>
      </c>
      <c r="I69" s="197" t="s">
        <v>65</v>
      </c>
      <c r="J69" s="198" t="str">
        <f>INDEX(Frequency[Collection_Frequency],MATCH(CollectionFTEs[[#This Row],[Frequency_ID]],Frequency[Orig_Frequency_ID],0)+(CollectionFTEs[[#This Row],[SS_or_DS]]="DS")*COUNTA(Frequency[Orig_Frequency_ID])/2)</f>
        <v>Uncertain</v>
      </c>
      <c r="K69" s="198">
        <v>2025</v>
      </c>
      <c r="L6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69" s="144">
        <f>INDEX(LaborCostPerLift[Average_Lifts_Per_Week],MATCH(CollectionFTEs[[#This Row],[Collection_ID]],LaborCostPerLift[Collection_ID],0))</f>
        <v>1</v>
      </c>
      <c r="N69" s="203">
        <f>IFERROR(CollectionFTEs[[#This Row],[Customers]]*CollectionFTEs[[#This Row],[Lifts_Per_Week]],0)</f>
        <v>0</v>
      </c>
      <c r="O69" s="109">
        <f>IFERROR(CollectionFTEs[[#This Row],[Total_Lifts_Per_Week]]/SUMIFS(FTE_Per_Customer[Customer_Or_Lift_Per_Driver],FTE_Per_Customer[Sector_ID],CollectionFTEs[[#This Row],[Sector_ID]],FTE_Per_Customer[SS_or_DS],CollectionFTEs[SS_or_DS],FTE_Per_Customer[Frequency_ID],CollectionFTEs[Frequency_ID]),0)</f>
        <v>0</v>
      </c>
      <c r="P69" s="109">
        <f>IFERROR(CollectionFTEs[[#This Row],[Total_Lifts_Per_Week]]/SUMIFS(FTE_Per_Customer[Customer_Per_Admin],FTE_Per_Customer[Sector_ID],CollectionFTEs[[#This Row],[Sector_ID]],FTE_Per_Customer[SS_or_DS],CollectionFTEs[SS_or_DS],FTE_Per_Customer[Frequency_ID],CollectionFTEs[Frequency_ID]),0)</f>
        <v>0</v>
      </c>
      <c r="Q69" s="379">
        <f>IF(CollectionFTEs[[#This Row],[Sector_ID]]=1,(CollectionFTEs[[#This Row],[Customers]]*CollectionTotal!$H$21*0.8)/(50*2080),(CollectionFTEs[[#This Row],[Customers]]*CollectionTotal!$H$22*0.8)/(50*2080))</f>
        <v>0</v>
      </c>
      <c r="R69" s="35"/>
      <c r="S69" s="35"/>
      <c r="T69" s="35"/>
    </row>
    <row r="70" spans="2:20" s="34" customFormat="1" ht="15" x14ac:dyDescent="0.25">
      <c r="B70" s="196" t="str">
        <f>CollectionFTEs[[#This Row],[Grouping_ID]]&amp;"-"&amp;CollectionFTEs[[#This Row],[Sector_ID]]&amp;"-"&amp;CollectionFTEs[[#This Row],[Frequency_ID]]&amp;"-"&amp;CollectionFTEs[[#This Row],[SS_or_DS]]</f>
        <v>3-1-W-SS</v>
      </c>
      <c r="C70" s="196" t="str">
        <f>_xlfn.CONCAT(CollectionFTEs[[#This Row],[Grouping_ID]],"-",CollectionFTEs[[#This Row],[Sector_ID]])</f>
        <v>3-1</v>
      </c>
      <c r="D70" s="197">
        <v>3</v>
      </c>
      <c r="E70" s="198" t="str">
        <f>INDEX(Grouping[Grouping_Name],MATCH(CollectionFTEs[[#This Row],[Grouping_ID]],Grouping[Grouping_ID],0))</f>
        <v>3 - Other areas with curbside</v>
      </c>
      <c r="F70" s="197">
        <v>1</v>
      </c>
      <c r="G70" s="198" t="str">
        <f>INDEX(Sector[Sector_Name],MATCH(CollectionFTEs[[#This Row],[Sector_ID]],Sector[Sector_ID],0))</f>
        <v>SF Res. (on-route)</v>
      </c>
      <c r="H70" s="35" t="s">
        <v>806</v>
      </c>
      <c r="I70" s="197" t="s">
        <v>64</v>
      </c>
      <c r="J70" s="198" t="str">
        <f>INDEX(Frequency[Collection_Frequency],MATCH(CollectionFTEs[[#This Row],[Frequency_ID]],Frequency[Orig_Frequency_ID],0)+(CollectionFTEs[[#This Row],[SS_or_DS]]="DS")*COUNTA(Frequency[Orig_Frequency_ID])/2)</f>
        <v>Weekly</v>
      </c>
      <c r="K70" s="198">
        <v>2025</v>
      </c>
      <c r="L70"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57227.490167038239</v>
      </c>
      <c r="M70" s="144">
        <f>INDEX(LaborCostPerLift[Average_Lifts_Per_Week],MATCH(CollectionFTEs[[#This Row],[Collection_ID]],LaborCostPerLift[Collection_ID],0))</f>
        <v>1</v>
      </c>
      <c r="N70" s="203">
        <f>IFERROR(CollectionFTEs[[#This Row],[Customers]]*CollectionFTEs[[#This Row],[Lifts_Per_Week]],0)</f>
        <v>57227.490167038239</v>
      </c>
      <c r="O70" s="109">
        <f>IFERROR(CollectionFTEs[[#This Row],[Total_Lifts_Per_Week]]/SUMIFS(FTE_Per_Customer[Customer_Or_Lift_Per_Driver],FTE_Per_Customer[Sector_ID],CollectionFTEs[[#This Row],[Sector_ID]],FTE_Per_Customer[SS_or_DS],CollectionFTEs[SS_or_DS],FTE_Per_Customer[Frequency_ID],CollectionFTEs[Frequency_ID]),0)</f>
        <v>16.350711476296638</v>
      </c>
      <c r="P70" s="109">
        <f>IFERROR(CollectionFTEs[[#This Row],[Total_Lifts_Per_Week]]/SUMIFS(FTE_Per_Customer[Customer_Per_Admin],FTE_Per_Customer[Sector_ID],CollectionFTEs[[#This Row],[Sector_ID]],FTE_Per_Customer[SS_or_DS],CollectionFTEs[SS_or_DS],FTE_Per_Customer[Frequency_ID],CollectionFTEs[Frequency_ID]),0)</f>
        <v>4.7689575139198528</v>
      </c>
      <c r="Q70" s="379">
        <f>IF(CollectionFTEs[[#This Row],[Sector_ID]]=1,(CollectionFTEs[[#This Row],[Customers]]*CollectionTotal!$H$21*0.8)/(50*2080),(CollectionFTEs[[#This Row],[Customers]]*CollectionTotal!$H$22*0.8)/(50*2080))</f>
        <v>1.2313158159967592</v>
      </c>
      <c r="R70" s="35"/>
      <c r="S70" s="35"/>
      <c r="T70" s="35"/>
    </row>
    <row r="71" spans="2:20" s="34" customFormat="1" ht="15" x14ac:dyDescent="0.25">
      <c r="B71" s="196" t="str">
        <f>CollectionFTEs[[#This Row],[Grouping_ID]]&amp;"-"&amp;CollectionFTEs[[#This Row],[Sector_ID]]&amp;"-"&amp;CollectionFTEs[[#This Row],[Frequency_ID]]&amp;"-"&amp;CollectionFTEs[[#This Row],[SS_or_DS]]</f>
        <v>3-1-E-SS</v>
      </c>
      <c r="C71" s="196" t="str">
        <f>_xlfn.CONCAT(CollectionFTEs[[#This Row],[Grouping_ID]],"-",CollectionFTEs[[#This Row],[Sector_ID]])</f>
        <v>3-1</v>
      </c>
      <c r="D71" s="197">
        <v>3</v>
      </c>
      <c r="E71" s="198" t="str">
        <f>INDEX(Grouping[Grouping_Name],MATCH(CollectionFTEs[[#This Row],[Grouping_ID]],Grouping[Grouping_ID],0))</f>
        <v>3 - Other areas with curbside</v>
      </c>
      <c r="F71" s="197">
        <v>1</v>
      </c>
      <c r="G71" s="198" t="str">
        <f>INDEX(Sector[Sector_Name],MATCH(CollectionFTEs[[#This Row],[Sector_ID]],Sector[Sector_ID],0))</f>
        <v>SF Res. (on-route)</v>
      </c>
      <c r="H71" s="35" t="s">
        <v>806</v>
      </c>
      <c r="I71" s="197" t="s">
        <v>53</v>
      </c>
      <c r="J71" s="198" t="str">
        <f>INDEX(Frequency[Collection_Frequency],MATCH(CollectionFTEs[[#This Row],[Frequency_ID]],Frequency[Orig_Frequency_ID],0)+(CollectionFTEs[[#This Row],[SS_or_DS]]="DS")*COUNTA(Frequency[Orig_Frequency_ID])/2)</f>
        <v>Every other week</v>
      </c>
      <c r="K71" s="198">
        <v>2025</v>
      </c>
      <c r="L71"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90669.231330954004</v>
      </c>
      <c r="M71" s="144">
        <f>INDEX(LaborCostPerLift[Average_Lifts_Per_Week],MATCH(CollectionFTEs[[#This Row],[Collection_ID]],LaborCostPerLift[Collection_ID],0))</f>
        <v>0.5</v>
      </c>
      <c r="N71" s="203">
        <f>IFERROR(CollectionFTEs[[#This Row],[Customers]]*CollectionFTEs[[#This Row],[Lifts_Per_Week]],0)</f>
        <v>45334.615665477002</v>
      </c>
      <c r="O71" s="109">
        <f>IFERROR(CollectionFTEs[[#This Row],[Total_Lifts_Per_Week]]/SUMIFS(FTE_Per_Customer[Customer_Or_Lift_Per_Driver],FTE_Per_Customer[Sector_ID],CollectionFTEs[[#This Row],[Sector_ID]],FTE_Per_Customer[SS_or_DS],CollectionFTEs[SS_or_DS],FTE_Per_Customer[Frequency_ID],CollectionFTEs[Frequency_ID]),0)</f>
        <v>7.5557692775795005</v>
      </c>
      <c r="P71" s="109">
        <f>IFERROR(CollectionFTEs[[#This Row],[Total_Lifts_Per_Week]]/SUMIFS(FTE_Per_Customer[Customer_Per_Admin],FTE_Per_Customer[Sector_ID],CollectionFTEs[[#This Row],[Sector_ID]],FTE_Per_Customer[SS_or_DS],CollectionFTEs[SS_or_DS],FTE_Per_Customer[Frequency_ID],CollectionFTEs[Frequency_ID]),0)</f>
        <v>3.7778846387897502</v>
      </c>
      <c r="Q71" s="379">
        <f>IF(CollectionFTEs[[#This Row],[Sector_ID]]=1,(CollectionFTEs[[#This Row],[Customers]]*CollectionTotal!$H$21*0.8)/(50*2080),(CollectionFTEs[[#This Row],[Customers]]*CollectionTotal!$H$22*0.8)/(50*2080))</f>
        <v>1.9508536585512555</v>
      </c>
      <c r="R71" s="35"/>
      <c r="S71" s="35"/>
      <c r="T71" s="35"/>
    </row>
    <row r="72" spans="2:20" s="34" customFormat="1" ht="15" x14ac:dyDescent="0.25">
      <c r="B72" s="196" t="str">
        <f>CollectionFTEs[[#This Row],[Grouping_ID]]&amp;"-"&amp;CollectionFTEs[[#This Row],[Sector_ID]]&amp;"-"&amp;CollectionFTEs[[#This Row],[Frequency_ID]]&amp;"-"&amp;CollectionFTEs[[#This Row],[SS_or_DS]]</f>
        <v>3-1-BM-SS</v>
      </c>
      <c r="C72" s="196" t="str">
        <f>_xlfn.CONCAT(CollectionFTEs[[#This Row],[Grouping_ID]],"-",CollectionFTEs[[#This Row],[Sector_ID]])</f>
        <v>3-1</v>
      </c>
      <c r="D72" s="197">
        <v>3</v>
      </c>
      <c r="E72" s="198" t="str">
        <f>INDEX(Grouping[Grouping_Name],MATCH(CollectionFTEs[[#This Row],[Grouping_ID]],Grouping[Grouping_ID],0))</f>
        <v>3 - Other areas with curbside</v>
      </c>
      <c r="F72" s="197">
        <v>1</v>
      </c>
      <c r="G72" s="198" t="str">
        <f>INDEX(Sector[Sector_Name],MATCH(CollectionFTEs[[#This Row],[Sector_ID]],Sector[Sector_ID],0))</f>
        <v>SF Res. (on-route)</v>
      </c>
      <c r="H72" s="35" t="s">
        <v>806</v>
      </c>
      <c r="I72" s="197" t="s">
        <v>66</v>
      </c>
      <c r="J72" s="198" t="str">
        <f>INDEX(Frequency[Collection_Frequency],MATCH(CollectionFTEs[[#This Row],[Frequency_ID]],Frequency[Orig_Frequency_ID],0)+(CollectionFTEs[[#This Row],[SS_or_DS]]="DS")*COUNTA(Frequency[Orig_Frequency_ID])/2)</f>
        <v>Bimonthly</v>
      </c>
      <c r="K72" s="198">
        <v>2025</v>
      </c>
      <c r="L72"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710.14361100150268</v>
      </c>
      <c r="M72" s="144">
        <f>INDEX(LaborCostPerLift[Average_Lifts_Per_Week],MATCH(CollectionFTEs[[#This Row],[Collection_ID]],LaborCostPerLift[Collection_ID],0))</f>
        <v>0.46511627906976744</v>
      </c>
      <c r="N72" s="203">
        <f>IFERROR(CollectionFTEs[[#This Row],[Customers]]*CollectionFTEs[[#This Row],[Lifts_Per_Week]],0)</f>
        <v>330.29935395418727</v>
      </c>
      <c r="O72" s="109">
        <f>IFERROR(CollectionFTEs[[#This Row],[Total_Lifts_Per_Week]]/SUMIFS(FTE_Per_Customer[Customer_Or_Lift_Per_Driver],FTE_Per_Customer[Sector_ID],CollectionFTEs[[#This Row],[Sector_ID]],FTE_Per_Customer[SS_or_DS],CollectionFTEs[SS_or_DS],FTE_Per_Customer[Frequency_ID],CollectionFTEs[Frequency_ID]),0)</f>
        <v>5.5049892325697881E-2</v>
      </c>
      <c r="P72" s="109">
        <f>IFERROR(CollectionFTEs[[#This Row],[Total_Lifts_Per_Week]]/SUMIFS(FTE_Per_Customer[Customer_Per_Admin],FTE_Per_Customer[Sector_ID],CollectionFTEs[[#This Row],[Sector_ID]],FTE_Per_Customer[SS_or_DS],CollectionFTEs[SS_or_DS],FTE_Per_Customer[Frequency_ID],CollectionFTEs[Frequency_ID]),0)</f>
        <v>2.7524946162848941E-2</v>
      </c>
      <c r="Q72" s="379">
        <f>IF(CollectionFTEs[[#This Row],[Sector_ID]]=1,(CollectionFTEs[[#This Row],[Customers]]*CollectionTotal!$H$21*0.8)/(50*2080),(CollectionFTEs[[#This Row],[Customers]]*CollectionTotal!$H$22*0.8)/(50*2080))</f>
        <v>1.5279563323551829E-2</v>
      </c>
      <c r="R72" s="35"/>
      <c r="S72" s="35"/>
      <c r="T72" s="35"/>
    </row>
    <row r="73" spans="2:20" s="34" customFormat="1" ht="15" x14ac:dyDescent="0.25">
      <c r="B73" s="196" t="str">
        <f>CollectionFTEs[[#This Row],[Grouping_ID]]&amp;"-"&amp;CollectionFTEs[[#This Row],[Sector_ID]]&amp;"-"&amp;CollectionFTEs[[#This Row],[Frequency_ID]]&amp;"-"&amp;CollectionFTEs[[#This Row],[SS_or_DS]]</f>
        <v>3-1-M-SS</v>
      </c>
      <c r="C73" s="196" t="str">
        <f>_xlfn.CONCAT(CollectionFTEs[[#This Row],[Grouping_ID]],"-",CollectionFTEs[[#This Row],[Sector_ID]])</f>
        <v>3-1</v>
      </c>
      <c r="D73" s="197">
        <v>3</v>
      </c>
      <c r="E73" s="198" t="str">
        <f>INDEX(Grouping[Grouping_Name],MATCH(CollectionFTEs[[#This Row],[Grouping_ID]],Grouping[Grouping_ID],0))</f>
        <v>3 - Other areas with curbside</v>
      </c>
      <c r="F73" s="197">
        <v>1</v>
      </c>
      <c r="G73" s="198" t="str">
        <f>INDEX(Sector[Sector_Name],MATCH(CollectionFTEs[[#This Row],[Sector_ID]],Sector[Sector_ID],0))</f>
        <v>SF Res. (on-route)</v>
      </c>
      <c r="H73" s="35" t="s">
        <v>806</v>
      </c>
      <c r="I73" s="197" t="s">
        <v>67</v>
      </c>
      <c r="J73" s="198" t="str">
        <f>INDEX(Frequency[Collection_Frequency],MATCH(CollectionFTEs[[#This Row],[Frequency_ID]],Frequency[Orig_Frequency_ID],0)+(CollectionFTEs[[#This Row],[SS_or_DS]]="DS")*COUNTA(Frequency[Orig_Frequency_ID])/2)</f>
        <v>Monthly</v>
      </c>
      <c r="K73" s="198">
        <v>2025</v>
      </c>
      <c r="L7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2253.6904735728158</v>
      </c>
      <c r="M73" s="144">
        <f>INDEX(LaborCostPerLift[Average_Lifts_Per_Week],MATCH(CollectionFTEs[[#This Row],[Collection_ID]],LaborCostPerLift[Collection_ID],0))</f>
        <v>0.23255813953488372</v>
      </c>
      <c r="N73" s="203">
        <f>IFERROR(CollectionFTEs[[#This Row],[Customers]]*CollectionFTEs[[#This Row],[Lifts_Per_Week]],0)</f>
        <v>524.11406362158505</v>
      </c>
      <c r="O73" s="109">
        <f>IFERROR(CollectionFTEs[[#This Row],[Total_Lifts_Per_Week]]/SUMIFS(FTE_Per_Customer[Customer_Or_Lift_Per_Driver],FTE_Per_Customer[Sector_ID],CollectionFTEs[[#This Row],[Sector_ID]],FTE_Per_Customer[SS_or_DS],CollectionFTEs[SS_or_DS],FTE_Per_Customer[Frequency_ID],CollectionFTEs[Frequency_ID]),0)</f>
        <v>4.3676171968465419E-2</v>
      </c>
      <c r="P73" s="109">
        <f>IFERROR(CollectionFTEs[[#This Row],[Total_Lifts_Per_Week]]/SUMIFS(FTE_Per_Customer[Customer_Per_Admin],FTE_Per_Customer[Sector_ID],CollectionFTEs[[#This Row],[Sector_ID]],FTE_Per_Customer[SS_or_DS],CollectionFTEs[SS_or_DS],FTE_Per_Customer[Frequency_ID],CollectionFTEs[Frequency_ID]),0)</f>
        <v>4.3676171968465419E-2</v>
      </c>
      <c r="Q73" s="379">
        <f>IF(CollectionFTEs[[#This Row],[Sector_ID]]=1,(CollectionFTEs[[#This Row],[Customers]]*CollectionTotal!$H$21*0.8)/(50*2080),(CollectionFTEs[[#This Row],[Customers]]*CollectionTotal!$H$22*0.8)/(50*2080))</f>
        <v>4.8490764078096424E-2</v>
      </c>
      <c r="R73" s="35"/>
      <c r="S73" s="35"/>
      <c r="T73" s="35"/>
    </row>
    <row r="74" spans="2:20" s="34" customFormat="1" ht="15" x14ac:dyDescent="0.25">
      <c r="B74" s="199" t="str">
        <f>CollectionFTEs[[#This Row],[Grouping_ID]]&amp;"-"&amp;CollectionFTEs[[#This Row],[Sector_ID]]&amp;"-"&amp;CollectionFTEs[[#This Row],[Frequency_ID]]&amp;"-"&amp;CollectionFTEs[[#This Row],[SS_or_DS]]</f>
        <v>3-1-U-SS</v>
      </c>
      <c r="C74" s="199" t="str">
        <f>_xlfn.CONCAT(CollectionFTEs[[#This Row],[Grouping_ID]],"-",CollectionFTEs[[#This Row],[Sector_ID]])</f>
        <v>3-1</v>
      </c>
      <c r="D74" s="200">
        <v>3</v>
      </c>
      <c r="E74" s="201" t="str">
        <f>INDEX(Grouping[Grouping_Name],MATCH(CollectionFTEs[[#This Row],[Grouping_ID]],Grouping[Grouping_ID],0))</f>
        <v>3 - Other areas with curbside</v>
      </c>
      <c r="F74" s="197">
        <v>1</v>
      </c>
      <c r="G74" s="201" t="str">
        <f>INDEX(Sector[Sector_Name],MATCH(CollectionFTEs[[#This Row],[Sector_ID]],Sector[Sector_ID],0))</f>
        <v>SF Res. (on-route)</v>
      </c>
      <c r="H74" s="35" t="s">
        <v>806</v>
      </c>
      <c r="I74" s="197" t="s">
        <v>65</v>
      </c>
      <c r="J74" s="201" t="str">
        <f>INDEX(Frequency[Collection_Frequency],MATCH(CollectionFTEs[[#This Row],[Frequency_ID]],Frequency[Orig_Frequency_ID],0)+(CollectionFTEs[[#This Row],[SS_or_DS]]="DS")*COUNTA(Frequency[Orig_Frequency_ID])/2)</f>
        <v>Uncertain</v>
      </c>
      <c r="K74" s="198">
        <v>2025</v>
      </c>
      <c r="L7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74" s="144">
        <f>INDEX(LaborCostPerLift[Average_Lifts_Per_Week],MATCH(CollectionFTEs[[#This Row],[Collection_ID]],LaborCostPerLift[Collection_ID],0))</f>
        <v>1</v>
      </c>
      <c r="N74" s="203">
        <f>IFERROR(CollectionFTEs[[#This Row],[Customers]]*CollectionFTEs[[#This Row],[Lifts_Per_Week]],0)</f>
        <v>0</v>
      </c>
      <c r="O74" s="109">
        <f>IFERROR(CollectionFTEs[[#This Row],[Total_Lifts_Per_Week]]/SUMIFS(FTE_Per_Customer[Customer_Or_Lift_Per_Driver],FTE_Per_Customer[Sector_ID],CollectionFTEs[[#This Row],[Sector_ID]],FTE_Per_Customer[SS_or_DS],CollectionFTEs[SS_or_DS],FTE_Per_Customer[Frequency_ID],CollectionFTEs[Frequency_ID]),0)</f>
        <v>0</v>
      </c>
      <c r="P74" s="109">
        <f>IFERROR(CollectionFTEs[[#This Row],[Total_Lifts_Per_Week]]/SUMIFS(FTE_Per_Customer[Customer_Per_Admin],FTE_Per_Customer[Sector_ID],CollectionFTEs[[#This Row],[Sector_ID]],FTE_Per_Customer[SS_or_DS],CollectionFTEs[SS_or_DS],FTE_Per_Customer[Frequency_ID],CollectionFTEs[Frequency_ID]),0)</f>
        <v>0</v>
      </c>
      <c r="Q74" s="379">
        <f>IF(CollectionFTEs[[#This Row],[Sector_ID]]=1,(CollectionFTEs[[#This Row],[Customers]]*CollectionTotal!$H$21*0.8)/(50*2080),(CollectionFTEs[[#This Row],[Customers]]*CollectionTotal!$H$22*0.8)/(50*2080))</f>
        <v>0</v>
      </c>
      <c r="R74" s="35"/>
      <c r="S74" s="35"/>
      <c r="T74" s="35"/>
    </row>
    <row r="75" spans="2:20" s="34" customFormat="1" ht="15" x14ac:dyDescent="0.25">
      <c r="B75" s="196" t="str">
        <f>CollectionFTEs[[#This Row],[Grouping_ID]]&amp;"-"&amp;CollectionFTEs[[#This Row],[Sector_ID]]&amp;"-"&amp;CollectionFTEs[[#This Row],[Frequency_ID]]&amp;"-"&amp;CollectionFTEs[[#This Row],[SS_or_DS]]</f>
        <v>1-2-V-DS</v>
      </c>
      <c r="C75" s="196" t="str">
        <f>_xlfn.CONCAT(CollectionFTEs[[#This Row],[Grouping_ID]],"-",CollectionFTEs[[#This Row],[Sector_ID]])</f>
        <v>1-2</v>
      </c>
      <c r="D75" s="197">
        <v>1</v>
      </c>
      <c r="E75" s="198" t="str">
        <f>INDEX(Grouping[Grouping_Name],MATCH(CollectionFTEs[[#This Row],[Grouping_ID]],Grouping[Grouping_ID],0))</f>
        <v>1 - Metro area</v>
      </c>
      <c r="F75" s="197">
        <v>2</v>
      </c>
      <c r="G75" s="198" t="str">
        <f>INDEX(Sector[Sector_Name],MATCH(CollectionFTEs[[#This Row],[Sector_ID]],Sector[Sector_ID],0))</f>
        <v>MF Res. (on-route)</v>
      </c>
      <c r="H75" s="35" t="s">
        <v>808</v>
      </c>
      <c r="I75" s="197" t="s">
        <v>91</v>
      </c>
      <c r="J75" s="198" t="str">
        <f>INDEX(Frequency[Collection_Frequency],MATCH(CollectionFTEs[[#This Row],[Frequency_ID]],Frequency[Orig_Frequency_ID],0)+(CollectionFTEs[[#This Row],[SS_or_DS]]="DS")*COUNTA(Frequency[Orig_Frequency_ID])/2)</f>
        <v>Varies by customer need</v>
      </c>
      <c r="K75" s="198">
        <v>2025</v>
      </c>
      <c r="L7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7221.4205871290515</v>
      </c>
      <c r="M75" s="144">
        <f>INDEX(LaborCostPerLift[Average_Lifts_Per_Week],MATCH(CollectionFTEs[[#This Row],[Collection_ID]],LaborCostPerLift[Collection_ID],0))</f>
        <v>1.39</v>
      </c>
      <c r="N75" s="203">
        <f>IFERROR(CollectionFTEs[[#This Row],[Customers]]*CollectionFTEs[[#This Row],[Lifts_Per_Week]],0)</f>
        <v>10037.77461610938</v>
      </c>
      <c r="O75" s="109">
        <f>IFERROR(CollectionFTEs[[#This Row],[Total_Lifts_Per_Week]]/SUMIFS(FTE_Per_Customer[Customer_Or_Lift_Per_Driver],FTE_Per_Customer[Sector_ID],CollectionFTEs[[#This Row],[Sector_ID]],FTE_Per_Customer[SS_or_DS],CollectionFTEs[SS_or_DS],FTE_Per_Customer[Frequency_ID],CollectionFTEs[Frequency_ID]),0)</f>
        <v>22.306165813576399</v>
      </c>
      <c r="P75" s="109">
        <f>IFERROR(CollectionFTEs[[#This Row],[Total_Lifts_Per_Week]]/SUMIFS(FTE_Per_Customer[Customer_Per_Admin],FTE_Per_Customer[Sector_ID],CollectionFTEs[[#This Row],[Sector_ID]],FTE_Per_Customer[SS_or_DS],CollectionFTEs[SS_or_DS],FTE_Per_Customer[Frequency_ID],CollectionFTEs[Frequency_ID]),0)</f>
        <v>2.5094436540273448</v>
      </c>
      <c r="Q75" s="379">
        <f>IF(CollectionFTEs[[#This Row],[Sector_ID]]=1,(CollectionFTEs[[#This Row],[Customers]]*CollectionTotal!$H$21*0.8)/(50*2080),(CollectionFTEs[[#This Row],[Customers]]*CollectionTotal!$H$22*0.8)/(50*2080))</f>
        <v>6.2150895361251468</v>
      </c>
      <c r="R75" s="35"/>
      <c r="S75" s="35"/>
      <c r="T75" s="35"/>
    </row>
    <row r="76" spans="2:20" s="34" customFormat="1" ht="15" x14ac:dyDescent="0.25">
      <c r="B76" s="196" t="str">
        <f>CollectionFTEs[[#This Row],[Grouping_ID]]&amp;"-"&amp;CollectionFTEs[[#This Row],[Sector_ID]]&amp;"-"&amp;CollectionFTEs[[#This Row],[Frequency_ID]]&amp;"-"&amp;CollectionFTEs[[#This Row],[SS_or_DS]]</f>
        <v>1-3-V-DS</v>
      </c>
      <c r="C76" s="196" t="str">
        <f>_xlfn.CONCAT(CollectionFTEs[[#This Row],[Grouping_ID]],"-",CollectionFTEs[[#This Row],[Sector_ID]])</f>
        <v>1-3</v>
      </c>
      <c r="D76" s="197">
        <v>1</v>
      </c>
      <c r="E76" s="198" t="str">
        <f>INDEX(Grouping[Grouping_Name],MATCH(CollectionFTEs[[#This Row],[Grouping_ID]],Grouping[Grouping_ID],0))</f>
        <v>1 - Metro area</v>
      </c>
      <c r="F76" s="197">
        <v>3</v>
      </c>
      <c r="G76" s="198" t="str">
        <f>INDEX(Sector[Sector_Name],MATCH(CollectionFTEs[[#This Row],[Sector_ID]],Sector[Sector_ID],0))</f>
        <v>Commercial (on-route)</v>
      </c>
      <c r="H76" s="35" t="s">
        <v>808</v>
      </c>
      <c r="I76" s="197" t="s">
        <v>91</v>
      </c>
      <c r="J76" s="198" t="str">
        <f>INDEX(Frequency[Collection_Frequency],MATCH(CollectionFTEs[[#This Row],[Frequency_ID]],Frequency[Orig_Frequency_ID],0)+(CollectionFTEs[[#This Row],[SS_or_DS]]="DS")*COUNTA(Frequency[Orig_Frequency_ID])/2)</f>
        <v>Varies by customer need</v>
      </c>
      <c r="K76" s="198">
        <v>2025</v>
      </c>
      <c r="L7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35510.813106709982</v>
      </c>
      <c r="M76" s="144">
        <f>INDEX(LaborCostPerLift[Average_Lifts_Per_Week],MATCH(CollectionFTEs[[#This Row],[Collection_ID]],LaborCostPerLift[Collection_ID],0))</f>
        <v>1.39</v>
      </c>
      <c r="N76" s="203">
        <f>IFERROR(CollectionFTEs[[#This Row],[Customers]]*CollectionFTEs[[#This Row],[Lifts_Per_Week]],0)</f>
        <v>49360.030218326872</v>
      </c>
      <c r="O76" s="109">
        <f>IFERROR(CollectionFTEs[[#This Row],[Total_Lifts_Per_Week]]/SUMIFS(FTE_Per_Customer[Customer_Or_Lift_Per_Driver],FTE_Per_Customer[Sector_ID],CollectionFTEs[[#This Row],[Sector_ID]],FTE_Per_Customer[SS_or_DS],CollectionFTEs[SS_or_DS],FTE_Per_Customer[Frequency_ID],CollectionFTEs[Frequency_ID]),0)</f>
        <v>109.68895604072638</v>
      </c>
      <c r="P76" s="109">
        <f>IFERROR(CollectionFTEs[[#This Row],[Total_Lifts_Per_Week]]/SUMIFS(FTE_Per_Customer[Customer_Per_Admin],FTE_Per_Customer[Sector_ID],CollectionFTEs[[#This Row],[Sector_ID]],FTE_Per_Customer[SS_or_DS],CollectionFTEs[SS_or_DS],FTE_Per_Customer[Frequency_ID],CollectionFTEs[Frequency_ID]),0)</f>
        <v>12.340007554581717</v>
      </c>
      <c r="Q76" s="379">
        <f>IF(CollectionFTEs[[#This Row],[Sector_ID]]=1,(CollectionFTEs[[#This Row],[Customers]]*CollectionTotal!$H$21*0.8)/(50*2080),(CollectionFTEs[[#This Row],[Customers]]*CollectionTotal!$H$22*0.8)/(50*2080))</f>
        <v>30.562252993846407</v>
      </c>
      <c r="R76" s="35"/>
      <c r="S76" s="35"/>
      <c r="T76" s="35"/>
    </row>
    <row r="77" spans="2:20" s="34" customFormat="1" ht="15" x14ac:dyDescent="0.25">
      <c r="B77" s="196" t="str">
        <f>CollectionFTEs[[#This Row],[Grouping_ID]]&amp;"-"&amp;CollectionFTEs[[#This Row],[Sector_ID]]&amp;"-"&amp;CollectionFTEs[[#This Row],[Frequency_ID]]&amp;"-"&amp;CollectionFTEs[[#This Row],[SS_or_DS]]</f>
        <v>2-2-V-DS</v>
      </c>
      <c r="C77" s="196" t="str">
        <f>_xlfn.CONCAT(CollectionFTEs[[#This Row],[Grouping_ID]],"-",CollectionFTEs[[#This Row],[Sector_ID]])</f>
        <v>2-2</v>
      </c>
      <c r="D77" s="197">
        <v>2</v>
      </c>
      <c r="E77" s="198" t="str">
        <f>INDEX(Grouping[Grouping_Name],MATCH(CollectionFTEs[[#This Row],[Grouping_ID]],Grouping[Grouping_ID],0))</f>
        <v>2 - Willamette Valley, etc.</v>
      </c>
      <c r="F77" s="197">
        <v>2</v>
      </c>
      <c r="G77" s="198" t="str">
        <f>INDEX(Sector[Sector_Name],MATCH(CollectionFTEs[[#This Row],[Sector_ID]],Sector[Sector_ID],0))</f>
        <v>MF Res. (on-route)</v>
      </c>
      <c r="H77" s="35" t="s">
        <v>808</v>
      </c>
      <c r="I77" s="197" t="s">
        <v>91</v>
      </c>
      <c r="J77" s="198" t="str">
        <f>INDEX(Frequency[Collection_Frequency],MATCH(CollectionFTEs[[#This Row],[Frequency_ID]],Frequency[Orig_Frequency_ID],0)+(CollectionFTEs[[#This Row],[SS_or_DS]]="DS")*COUNTA(Frequency[Orig_Frequency_ID])/2)</f>
        <v>Varies by customer need</v>
      </c>
      <c r="K77" s="198">
        <v>2025</v>
      </c>
      <c r="L7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9059.6882850261754</v>
      </c>
      <c r="M77" s="144">
        <f>INDEX(LaborCostPerLift[Average_Lifts_Per_Week],MATCH(CollectionFTEs[[#This Row],[Collection_ID]],LaborCostPerLift[Collection_ID],0))</f>
        <v>1.0900000000000001</v>
      </c>
      <c r="N77" s="203">
        <f>IFERROR(CollectionFTEs[[#This Row],[Customers]]*CollectionFTEs[[#This Row],[Lifts_Per_Week]],0)</f>
        <v>9875.0602306785313</v>
      </c>
      <c r="O77" s="109">
        <f>IFERROR(CollectionFTEs[[#This Row],[Total_Lifts_Per_Week]]/SUMIFS(FTE_Per_Customer[Customer_Or_Lift_Per_Driver],FTE_Per_Customer[Sector_ID],CollectionFTEs[[#This Row],[Sector_ID]],FTE_Per_Customer[SS_or_DS],CollectionFTEs[SS_or_DS],FTE_Per_Customer[Frequency_ID],CollectionFTEs[Frequency_ID]),0)</f>
        <v>21.944578290396738</v>
      </c>
      <c r="P77" s="109">
        <f>IFERROR(CollectionFTEs[[#This Row],[Total_Lifts_Per_Week]]/SUMIFS(FTE_Per_Customer[Customer_Per_Admin],FTE_Per_Customer[Sector_ID],CollectionFTEs[[#This Row],[Sector_ID]],FTE_Per_Customer[SS_or_DS],CollectionFTEs[SS_or_DS],FTE_Per_Customer[Frequency_ID],CollectionFTEs[Frequency_ID]),0)</f>
        <v>2.4687650576696329</v>
      </c>
      <c r="Q77" s="379">
        <f>IF(CollectionFTEs[[#This Row],[Sector_ID]]=1,(CollectionFTEs[[#This Row],[Customers]]*CollectionTotal!$H$21*0.8)/(50*2080),(CollectionFTEs[[#This Row],[Customers]]*CollectionTotal!$H$22*0.8)/(50*2080))</f>
        <v>7.7971879883549455</v>
      </c>
      <c r="R77" s="35"/>
      <c r="S77" s="35"/>
      <c r="T77" s="35"/>
    </row>
    <row r="78" spans="2:20" s="34" customFormat="1" ht="15" x14ac:dyDescent="0.25">
      <c r="B78" s="196" t="str">
        <f>CollectionFTEs[[#This Row],[Grouping_ID]]&amp;"-"&amp;CollectionFTEs[[#This Row],[Sector_ID]]&amp;"-"&amp;CollectionFTEs[[#This Row],[Frequency_ID]]&amp;"-"&amp;CollectionFTEs[[#This Row],[SS_or_DS]]</f>
        <v>2-3-V-DS</v>
      </c>
      <c r="C78" s="196" t="str">
        <f>_xlfn.CONCAT(CollectionFTEs[[#This Row],[Grouping_ID]],"-",CollectionFTEs[[#This Row],[Sector_ID]])</f>
        <v>2-3</v>
      </c>
      <c r="D78" s="197">
        <v>2</v>
      </c>
      <c r="E78" s="198" t="str">
        <f>INDEX(Grouping[Grouping_Name],MATCH(CollectionFTEs[[#This Row],[Grouping_ID]],Grouping[Grouping_ID],0))</f>
        <v>2 - Willamette Valley, etc.</v>
      </c>
      <c r="F78" s="197">
        <v>3</v>
      </c>
      <c r="G78" s="198" t="str">
        <f>INDEX(Sector[Sector_Name],MATCH(CollectionFTEs[[#This Row],[Sector_ID]],Sector[Sector_ID],0))</f>
        <v>Commercial (on-route)</v>
      </c>
      <c r="H78" s="35" t="s">
        <v>808</v>
      </c>
      <c r="I78" s="197" t="s">
        <v>91</v>
      </c>
      <c r="J78" s="198" t="str">
        <f>INDEX(Frequency[Collection_Frequency],MATCH(CollectionFTEs[[#This Row],[Frequency_ID]],Frequency[Orig_Frequency_ID],0)+(CollectionFTEs[[#This Row],[SS_or_DS]]="DS")*COUNTA(Frequency[Orig_Frequency_ID])/2)</f>
        <v>Varies by customer need</v>
      </c>
      <c r="K78" s="198">
        <v>2025</v>
      </c>
      <c r="L78"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23706.184345818489</v>
      </c>
      <c r="M78" s="144">
        <f>INDEX(LaborCostPerLift[Average_Lifts_Per_Week],MATCH(CollectionFTEs[[#This Row],[Collection_ID]],LaborCostPerLift[Collection_ID],0))</f>
        <v>1.0900000000000001</v>
      </c>
      <c r="N78" s="203">
        <f>IFERROR(CollectionFTEs[[#This Row],[Customers]]*CollectionFTEs[[#This Row],[Lifts_Per_Week]],0)</f>
        <v>25839.740936942155</v>
      </c>
      <c r="O78" s="109">
        <f>IFERROR(CollectionFTEs[[#This Row],[Total_Lifts_Per_Week]]/SUMIFS(FTE_Per_Customer[Customer_Or_Lift_Per_Driver],FTE_Per_Customer[Sector_ID],CollectionFTEs[[#This Row],[Sector_ID]],FTE_Per_Customer[SS_or_DS],CollectionFTEs[SS_or_DS],FTE_Per_Customer[Frequency_ID],CollectionFTEs[Frequency_ID]),0)</f>
        <v>57.421646526538119</v>
      </c>
      <c r="P78" s="109">
        <f>IFERROR(CollectionFTEs[[#This Row],[Total_Lifts_Per_Week]]/SUMIFS(FTE_Per_Customer[Customer_Per_Admin],FTE_Per_Customer[Sector_ID],CollectionFTEs[[#This Row],[Sector_ID]],FTE_Per_Customer[SS_or_DS],CollectionFTEs[SS_or_DS],FTE_Per_Customer[Frequency_ID],CollectionFTEs[Frequency_ID]),0)</f>
        <v>6.4599352342355383</v>
      </c>
      <c r="Q78" s="379">
        <f>IF(CollectionFTEs[[#This Row],[Sector_ID]]=1,(CollectionFTEs[[#This Row],[Customers]]*CollectionTotal!$H$21*0.8)/(50*2080),(CollectionFTEs[[#This Row],[Customers]]*CollectionTotal!$H$22*0.8)/(50*2080))</f>
        <v>20.402641902862104</v>
      </c>
      <c r="R78" s="35"/>
      <c r="S78" s="35"/>
      <c r="T78" s="35"/>
    </row>
    <row r="79" spans="2:20" s="34" customFormat="1" ht="15" x14ac:dyDescent="0.25">
      <c r="B79" s="196" t="str">
        <f>CollectionFTEs[[#This Row],[Grouping_ID]]&amp;"-"&amp;CollectionFTEs[[#This Row],[Sector_ID]]&amp;"-"&amp;CollectionFTEs[[#This Row],[Frequency_ID]]&amp;"-"&amp;CollectionFTEs[[#This Row],[SS_or_DS]]</f>
        <v>3-2-V-DS</v>
      </c>
      <c r="C79" s="196" t="str">
        <f>_xlfn.CONCAT(CollectionFTEs[[#This Row],[Grouping_ID]],"-",CollectionFTEs[[#This Row],[Sector_ID]])</f>
        <v>3-2</v>
      </c>
      <c r="D79" s="197">
        <v>3</v>
      </c>
      <c r="E79" s="198" t="str">
        <f>INDEX(Grouping[Grouping_Name],MATCH(CollectionFTEs[[#This Row],[Grouping_ID]],Grouping[Grouping_ID],0))</f>
        <v>3 - Other areas with curbside</v>
      </c>
      <c r="F79" s="197">
        <v>2</v>
      </c>
      <c r="G79" s="198" t="str">
        <f>INDEX(Sector[Sector_Name],MATCH(CollectionFTEs[[#This Row],[Sector_ID]],Sector[Sector_ID],0))</f>
        <v>MF Res. (on-route)</v>
      </c>
      <c r="H79" s="35" t="s">
        <v>808</v>
      </c>
      <c r="I79" s="197" t="s">
        <v>91</v>
      </c>
      <c r="J79" s="198" t="str">
        <f>INDEX(Frequency[Collection_Frequency],MATCH(CollectionFTEs[[#This Row],[Frequency_ID]],Frequency[Orig_Frequency_ID],0)+(CollectionFTEs[[#This Row],[SS_or_DS]]="DS")*COUNTA(Frequency[Orig_Frequency_ID])/2)</f>
        <v>Varies by customer need</v>
      </c>
      <c r="K79" s="198">
        <v>2025</v>
      </c>
      <c r="L7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1445.0244787602153</v>
      </c>
      <c r="M79" s="144">
        <f>INDEX(LaborCostPerLift[Average_Lifts_Per_Week],MATCH(CollectionFTEs[[#This Row],[Collection_ID]],LaborCostPerLift[Collection_ID],0))</f>
        <v>1.31</v>
      </c>
      <c r="N79" s="203">
        <f>IFERROR(CollectionFTEs[[#This Row],[Customers]]*CollectionFTEs[[#This Row],[Lifts_Per_Week]],0)</f>
        <v>1892.9820671758821</v>
      </c>
      <c r="O79" s="109">
        <f>IFERROR(CollectionFTEs[[#This Row],[Total_Lifts_Per_Week]]/SUMIFS(FTE_Per_Customer[Customer_Or_Lift_Per_Driver],FTE_Per_Customer[Sector_ID],CollectionFTEs[[#This Row],[Sector_ID]],FTE_Per_Customer[SS_or_DS],CollectionFTEs[SS_or_DS],FTE_Per_Customer[Frequency_ID],CollectionFTEs[Frequency_ID]),0)</f>
        <v>4.2066268159464046</v>
      </c>
      <c r="P79" s="109">
        <f>IFERROR(CollectionFTEs[[#This Row],[Total_Lifts_Per_Week]]/SUMIFS(FTE_Per_Customer[Customer_Per_Admin],FTE_Per_Customer[Sector_ID],CollectionFTEs[[#This Row],[Sector_ID]],FTE_Per_Customer[SS_or_DS],CollectionFTEs[SS_or_DS],FTE_Per_Customer[Frequency_ID],CollectionFTEs[Frequency_ID]),0)</f>
        <v>0.47324551679397053</v>
      </c>
      <c r="Q79" s="379">
        <f>IF(CollectionFTEs[[#This Row],[Sector_ID]]=1,(CollectionFTEs[[#This Row],[Customers]]*CollectionTotal!$H$21*0.8)/(50*2080),(CollectionFTEs[[#This Row],[Customers]]*CollectionTotal!$H$22*0.8)/(50*2080))</f>
        <v>1.2436550965324369</v>
      </c>
      <c r="R79" s="35"/>
      <c r="S79" s="35"/>
      <c r="T79" s="35"/>
    </row>
    <row r="80" spans="2:20" s="34" customFormat="1" ht="15" x14ac:dyDescent="0.25">
      <c r="B80" s="196" t="str">
        <f>CollectionFTEs[[#This Row],[Grouping_ID]]&amp;"-"&amp;CollectionFTEs[[#This Row],[Sector_ID]]&amp;"-"&amp;CollectionFTEs[[#This Row],[Frequency_ID]]&amp;"-"&amp;CollectionFTEs[[#This Row],[SS_or_DS]]</f>
        <v>3-3-V-DS</v>
      </c>
      <c r="C80" s="196" t="str">
        <f>_xlfn.CONCAT(CollectionFTEs[[#This Row],[Grouping_ID]],"-",CollectionFTEs[[#This Row],[Sector_ID]])</f>
        <v>3-3</v>
      </c>
      <c r="D80" s="197">
        <v>3</v>
      </c>
      <c r="E80" s="198" t="str">
        <f>INDEX(Grouping[Grouping_Name],MATCH(CollectionFTEs[[#This Row],[Grouping_ID]],Grouping[Grouping_ID],0))</f>
        <v>3 - Other areas with curbside</v>
      </c>
      <c r="F80" s="197">
        <v>3</v>
      </c>
      <c r="G80" s="198" t="str">
        <f>INDEX(Sector[Sector_Name],MATCH(CollectionFTEs[[#This Row],[Sector_ID]],Sector[Sector_ID],0))</f>
        <v>Commercial (on-route)</v>
      </c>
      <c r="H80" s="35" t="s">
        <v>808</v>
      </c>
      <c r="I80" s="197" t="s">
        <v>91</v>
      </c>
      <c r="J80" s="198" t="str">
        <f>INDEX(Frequency[Collection_Frequency],MATCH(CollectionFTEs[[#This Row],[Frequency_ID]],Frequency[Orig_Frequency_ID],0)+(CollectionFTEs[[#This Row],[SS_or_DS]]="DS")*COUNTA(Frequency[Orig_Frequency_ID])/2)</f>
        <v>Varies by customer need</v>
      </c>
      <c r="K80" s="198">
        <v>2025</v>
      </c>
      <c r="L80"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9190.35568491497</v>
      </c>
      <c r="M80" s="144">
        <f>INDEX(LaborCostPerLift[Average_Lifts_Per_Week],MATCH(CollectionFTEs[[#This Row],[Collection_ID]],LaborCostPerLift[Collection_ID],0))</f>
        <v>1.31</v>
      </c>
      <c r="N80" s="203">
        <f>IFERROR(CollectionFTEs[[#This Row],[Customers]]*CollectionFTEs[[#This Row],[Lifts_Per_Week]],0)</f>
        <v>12039.365947238612</v>
      </c>
      <c r="O80" s="109">
        <f>IFERROR(CollectionFTEs[[#This Row],[Total_Lifts_Per_Week]]/SUMIFS(FTE_Per_Customer[Customer_Or_Lift_Per_Driver],FTE_Per_Customer[Sector_ID],CollectionFTEs[[#This Row],[Sector_ID]],FTE_Per_Customer[SS_or_DS],CollectionFTEs[SS_or_DS],FTE_Per_Customer[Frequency_ID],CollectionFTEs[Frequency_ID]),0)</f>
        <v>26.754146549419136</v>
      </c>
      <c r="P80" s="109">
        <f>IFERROR(CollectionFTEs[[#This Row],[Total_Lifts_Per_Week]]/SUMIFS(FTE_Per_Customer[Customer_Per_Admin],FTE_Per_Customer[Sector_ID],CollectionFTEs[[#This Row],[Sector_ID]],FTE_Per_Customer[SS_or_DS],CollectionFTEs[SS_or_DS],FTE_Per_Customer[Frequency_ID],CollectionFTEs[Frequency_ID]),0)</f>
        <v>3.0098414868096528</v>
      </c>
      <c r="Q80" s="379">
        <f>IF(CollectionFTEs[[#This Row],[Sector_ID]]=1,(CollectionFTEs[[#This Row],[Customers]]*CollectionTotal!$H$21*0.8)/(50*2080),(CollectionFTEs[[#This Row],[Customers]]*CollectionTotal!$H$22*0.8)/(50*2080))</f>
        <v>7.9096464139463007</v>
      </c>
      <c r="R80" s="35"/>
      <c r="S80" s="35"/>
      <c r="T80" s="35"/>
    </row>
    <row r="81" spans="2:20" s="34" customFormat="1" ht="15" x14ac:dyDescent="0.25">
      <c r="B81" s="196" t="str">
        <f>CollectionFTEs[[#This Row],[Grouping_ID]]&amp;"-"&amp;CollectionFTEs[[#This Row],[Sector_ID]]&amp;"-"&amp;CollectionFTEs[[#This Row],[Frequency_ID]]&amp;"-"&amp;CollectionFTEs[[#This Row],[SS_or_DS]]</f>
        <v>1-1-W-DS</v>
      </c>
      <c r="C81" s="196" t="str">
        <f>_xlfn.CONCAT(CollectionFTEs[[#This Row],[Grouping_ID]],"-",CollectionFTEs[[#This Row],[Sector_ID]])</f>
        <v>1-1</v>
      </c>
      <c r="D81" s="197">
        <v>1</v>
      </c>
      <c r="E81" s="198" t="str">
        <f>INDEX(Grouping[Grouping_Name],MATCH(CollectionFTEs[[#This Row],[Grouping_ID]],Grouping[Grouping_ID],0))</f>
        <v>1 - Metro area</v>
      </c>
      <c r="F81" s="197">
        <v>1</v>
      </c>
      <c r="G81" s="198" t="str">
        <f>INDEX(Sector[Sector_Name],MATCH(CollectionFTEs[[#This Row],[Sector_ID]],Sector[Sector_ID],0))</f>
        <v>SF Res. (on-route)</v>
      </c>
      <c r="H81" s="35" t="s">
        <v>808</v>
      </c>
      <c r="I81" s="197" t="s">
        <v>64</v>
      </c>
      <c r="J81" s="198" t="str">
        <f>INDEX(Frequency[Collection_Frequency],MATCH(CollectionFTEs[[#This Row],[Frequency_ID]],Frequency[Orig_Frequency_ID],0)+(CollectionFTEs[[#This Row],[SS_or_DS]]="DS")*COUNTA(Frequency[Orig_Frequency_ID])/2)</f>
        <v>Weekly</v>
      </c>
      <c r="K81" s="198">
        <v>2025</v>
      </c>
      <c r="L81"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367031.39010915236</v>
      </c>
      <c r="M81" s="144">
        <f>INDEX(LaborCostPerLift[Average_Lifts_Per_Week],MATCH(CollectionFTEs[[#This Row],[Collection_ID]],LaborCostPerLift[Collection_ID],0))</f>
        <v>1</v>
      </c>
      <c r="N81" s="203">
        <f>IFERROR(CollectionFTEs[[#This Row],[Customers]]*CollectionFTEs[[#This Row],[Lifts_Per_Week]],0)</f>
        <v>367031.39010915236</v>
      </c>
      <c r="O81" s="109">
        <f>IFERROR(CollectionFTEs[[#This Row],[Total_Lifts_Per_Week]]/SUMIFS(FTE_Per_Customer[Customer_Or_Lift_Per_Driver],FTE_Per_Customer[Sector_ID],CollectionFTEs[[#This Row],[Sector_ID]],FTE_Per_Customer[SS_or_DS],CollectionFTEs[SS_or_DS],FTE_Per_Customer[Frequency_ID],CollectionFTEs[Frequency_ID]),0)</f>
        <v>104.86611145975782</v>
      </c>
      <c r="P81" s="109">
        <f>IFERROR(CollectionFTEs[[#This Row],[Total_Lifts_Per_Week]]/SUMIFS(FTE_Per_Customer[Customer_Per_Admin],FTE_Per_Customer[Sector_ID],CollectionFTEs[[#This Row],[Sector_ID]],FTE_Per_Customer[SS_or_DS],CollectionFTEs[SS_or_DS],FTE_Per_Customer[Frequency_ID],CollectionFTEs[Frequency_ID]),0)</f>
        <v>30.585949175762696</v>
      </c>
      <c r="Q81" s="379">
        <f>IF(CollectionFTEs[[#This Row],[Sector_ID]]=1,(CollectionFTEs[[#This Row],[Customers]]*CollectionTotal!$H$21*0.8)/(50*2080),(CollectionFTEs[[#This Row],[Customers]]*CollectionTotal!$H$22*0.8)/(50*2080))</f>
        <v>7.8971059938074699</v>
      </c>
      <c r="R81" s="35"/>
      <c r="S81" s="35"/>
      <c r="T81" s="35"/>
    </row>
    <row r="82" spans="2:20" s="34" customFormat="1" ht="15" x14ac:dyDescent="0.25">
      <c r="B82" s="196" t="str">
        <f>CollectionFTEs[[#This Row],[Grouping_ID]]&amp;"-"&amp;CollectionFTEs[[#This Row],[Sector_ID]]&amp;"-"&amp;CollectionFTEs[[#This Row],[Frequency_ID]]&amp;"-"&amp;CollectionFTEs[[#This Row],[SS_or_DS]]</f>
        <v>1-1-E-DS</v>
      </c>
      <c r="C82" s="196" t="str">
        <f>_xlfn.CONCAT(CollectionFTEs[[#This Row],[Grouping_ID]],"-",CollectionFTEs[[#This Row],[Sector_ID]])</f>
        <v>1-1</v>
      </c>
      <c r="D82" s="197">
        <v>1</v>
      </c>
      <c r="E82" s="198" t="str">
        <f>INDEX(Grouping[Grouping_Name],MATCH(CollectionFTEs[[#This Row],[Grouping_ID]],Grouping[Grouping_ID],0))</f>
        <v>1 - Metro area</v>
      </c>
      <c r="F82" s="197">
        <v>1</v>
      </c>
      <c r="G82" s="198" t="str">
        <f>INDEX(Sector[Sector_Name],MATCH(CollectionFTEs[[#This Row],[Sector_ID]],Sector[Sector_ID],0))</f>
        <v>SF Res. (on-route)</v>
      </c>
      <c r="H82" s="35" t="s">
        <v>808</v>
      </c>
      <c r="I82" s="197" t="s">
        <v>53</v>
      </c>
      <c r="J82" s="198" t="str">
        <f>INDEX(Frequency[Collection_Frequency],MATCH(CollectionFTEs[[#This Row],[Frequency_ID]],Frequency[Orig_Frequency_ID],0)+(CollectionFTEs[[#This Row],[SS_or_DS]]="DS")*COUNTA(Frequency[Orig_Frequency_ID])/2)</f>
        <v>Weekly (formerly every other week)</v>
      </c>
      <c r="K82" s="198">
        <v>2025</v>
      </c>
      <c r="L82"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98834.005911677596</v>
      </c>
      <c r="M82" s="144">
        <f>INDEX(LaborCostPerLift[Average_Lifts_Per_Week],MATCH(CollectionFTEs[[#This Row],[Collection_ID]],LaborCostPerLift[Collection_ID],0))</f>
        <v>1</v>
      </c>
      <c r="N82" s="203">
        <f>IFERROR(CollectionFTEs[[#This Row],[Customers]]*CollectionFTEs[[#This Row],[Lifts_Per_Week]],0)</f>
        <v>98834.005911677596</v>
      </c>
      <c r="O82" s="109">
        <f>IFERROR(CollectionFTEs[[#This Row],[Total_Lifts_Per_Week]]/SUMIFS(FTE_Per_Customer[Customer_Or_Lift_Per_Driver],FTE_Per_Customer[Sector_ID],CollectionFTEs[[#This Row],[Sector_ID]],FTE_Per_Customer[SS_or_DS],CollectionFTEs[SS_or_DS],FTE_Per_Customer[Frequency_ID],CollectionFTEs[Frequency_ID]),0)</f>
        <v>28.238287403336457</v>
      </c>
      <c r="P82" s="109">
        <f>IFERROR(CollectionFTEs[[#This Row],[Total_Lifts_Per_Week]]/SUMIFS(FTE_Per_Customer[Customer_Per_Admin],FTE_Per_Customer[Sector_ID],CollectionFTEs[[#This Row],[Sector_ID]],FTE_Per_Customer[SS_or_DS],CollectionFTEs[SS_or_DS],FTE_Per_Customer[Frequency_ID],CollectionFTEs[Frequency_ID]),0)</f>
        <v>8.2361671593064667</v>
      </c>
      <c r="Q82" s="379">
        <f>IF(CollectionFTEs[[#This Row],[Sector_ID]]=1,(CollectionFTEs[[#This Row],[Customers]]*CollectionTotal!$H$21*0.8)/(50*2080),(CollectionFTEs[[#This Row],[Customers]]*CollectionTotal!$H$22*0.8)/(50*2080))</f>
        <v>2.1265282521067106</v>
      </c>
      <c r="R82" s="35"/>
      <c r="S82" s="35"/>
      <c r="T82" s="35"/>
    </row>
    <row r="83" spans="2:20" s="34" customFormat="1" ht="15" x14ac:dyDescent="0.25">
      <c r="B83" s="196" t="str">
        <f>CollectionFTEs[[#This Row],[Grouping_ID]]&amp;"-"&amp;CollectionFTEs[[#This Row],[Sector_ID]]&amp;"-"&amp;CollectionFTEs[[#This Row],[Frequency_ID]]&amp;"-"&amp;CollectionFTEs[[#This Row],[SS_or_DS]]</f>
        <v>2-1-W-DS</v>
      </c>
      <c r="C83" s="196" t="str">
        <f>_xlfn.CONCAT(CollectionFTEs[[#This Row],[Grouping_ID]],"-",CollectionFTEs[[#This Row],[Sector_ID]])</f>
        <v>2-1</v>
      </c>
      <c r="D83" s="197">
        <v>2</v>
      </c>
      <c r="E83" s="198" t="str">
        <f>INDEX(Grouping[Grouping_Name],MATCH(CollectionFTEs[[#This Row],[Grouping_ID]],Grouping[Grouping_ID],0))</f>
        <v>2 - Willamette Valley, etc.</v>
      </c>
      <c r="F83" s="197">
        <v>1</v>
      </c>
      <c r="G83" s="198" t="str">
        <f>INDEX(Sector[Sector_Name],MATCH(CollectionFTEs[[#This Row],[Sector_ID]],Sector[Sector_ID],0))</f>
        <v>SF Res. (on-route)</v>
      </c>
      <c r="H83" s="35" t="s">
        <v>808</v>
      </c>
      <c r="I83" s="197" t="s">
        <v>64</v>
      </c>
      <c r="J83" s="198" t="str">
        <f>INDEX(Frequency[Collection_Frequency],MATCH(CollectionFTEs[[#This Row],[Frequency_ID]],Frequency[Orig_Frequency_ID],0)+(CollectionFTEs[[#This Row],[SS_or_DS]]="DS")*COUNTA(Frequency[Orig_Frequency_ID])/2)</f>
        <v>Weekly</v>
      </c>
      <c r="K83" s="198">
        <v>2025</v>
      </c>
      <c r="L83"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91625.208823418856</v>
      </c>
      <c r="M83" s="144">
        <f>INDEX(LaborCostPerLift[Average_Lifts_Per_Week],MATCH(CollectionFTEs[[#This Row],[Collection_ID]],LaborCostPerLift[Collection_ID],0))</f>
        <v>1</v>
      </c>
      <c r="N83" s="203">
        <f>IFERROR(CollectionFTEs[[#This Row],[Customers]]*CollectionFTEs[[#This Row],[Lifts_Per_Week]],0)</f>
        <v>91625.208823418856</v>
      </c>
      <c r="O83" s="109">
        <f>IFERROR(CollectionFTEs[[#This Row],[Total_Lifts_Per_Week]]/SUMIFS(FTE_Per_Customer[Customer_Or_Lift_Per_Driver],FTE_Per_Customer[Sector_ID],CollectionFTEs[[#This Row],[Sector_ID]],FTE_Per_Customer[SS_or_DS],CollectionFTEs[SS_or_DS],FTE_Per_Customer[Frequency_ID],CollectionFTEs[Frequency_ID]),0)</f>
        <v>26.178631092405386</v>
      </c>
      <c r="P83" s="109">
        <f>IFERROR(CollectionFTEs[[#This Row],[Total_Lifts_Per_Week]]/SUMIFS(FTE_Per_Customer[Customer_Per_Admin],FTE_Per_Customer[Sector_ID],CollectionFTEs[[#This Row],[Sector_ID]],FTE_Per_Customer[SS_or_DS],CollectionFTEs[SS_or_DS],FTE_Per_Customer[Frequency_ID],CollectionFTEs[Frequency_ID]),0)</f>
        <v>7.6354340686182383</v>
      </c>
      <c r="Q83" s="379">
        <f>IF(CollectionFTEs[[#This Row],[Sector_ID]]=1,(CollectionFTEs[[#This Row],[Customers]]*CollectionTotal!$H$21*0.8)/(50*2080),(CollectionFTEs[[#This Row],[Customers]]*CollectionTotal!$H$22*0.8)/(50*2080))</f>
        <v>1.9714226229208807</v>
      </c>
      <c r="R83" s="35"/>
      <c r="S83" s="35"/>
      <c r="T83" s="35"/>
    </row>
    <row r="84" spans="2:20" s="34" customFormat="1" ht="15" x14ac:dyDescent="0.25">
      <c r="B84" s="196" t="str">
        <f>CollectionFTEs[[#This Row],[Grouping_ID]]&amp;"-"&amp;CollectionFTEs[[#This Row],[Sector_ID]]&amp;"-"&amp;CollectionFTEs[[#This Row],[Frequency_ID]]&amp;"-"&amp;CollectionFTEs[[#This Row],[SS_or_DS]]</f>
        <v>2-1-E-DS</v>
      </c>
      <c r="C84" s="196" t="str">
        <f>_xlfn.CONCAT(CollectionFTEs[[#This Row],[Grouping_ID]],"-",CollectionFTEs[[#This Row],[Sector_ID]])</f>
        <v>2-1</v>
      </c>
      <c r="D84" s="197">
        <v>2</v>
      </c>
      <c r="E84" s="198" t="str">
        <f>INDEX(Grouping[Grouping_Name],MATCH(CollectionFTEs[[#This Row],[Grouping_ID]],Grouping[Grouping_ID],0))</f>
        <v>2 - Willamette Valley, etc.</v>
      </c>
      <c r="F84" s="197">
        <v>1</v>
      </c>
      <c r="G84" s="198" t="str">
        <f>INDEX(Sector[Sector_Name],MATCH(CollectionFTEs[[#This Row],[Sector_ID]],Sector[Sector_ID],0))</f>
        <v>SF Res. (on-route)</v>
      </c>
      <c r="H84" s="35" t="s">
        <v>808</v>
      </c>
      <c r="I84" s="197" t="s">
        <v>53</v>
      </c>
      <c r="J84" s="198" t="str">
        <f>INDEX(Frequency[Collection_Frequency],MATCH(CollectionFTEs[[#This Row],[Frequency_ID]],Frequency[Orig_Frequency_ID],0)+(CollectionFTEs[[#This Row],[SS_or_DS]]="DS")*COUNTA(Frequency[Orig_Frequency_ID])/2)</f>
        <v>Weekly (formerly every other week)</v>
      </c>
      <c r="K84" s="198">
        <v>2025</v>
      </c>
      <c r="L84"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287220.7562954257</v>
      </c>
      <c r="M84" s="144">
        <f>INDEX(LaborCostPerLift[Average_Lifts_Per_Week],MATCH(CollectionFTEs[[#This Row],[Collection_ID]],LaborCostPerLift[Collection_ID],0))</f>
        <v>1</v>
      </c>
      <c r="N84" s="203">
        <f>IFERROR(CollectionFTEs[[#This Row],[Customers]]*CollectionFTEs[[#This Row],[Lifts_Per_Week]],0)</f>
        <v>287220.7562954257</v>
      </c>
      <c r="O84" s="109">
        <f>IFERROR(CollectionFTEs[[#This Row],[Total_Lifts_Per_Week]]/SUMIFS(FTE_Per_Customer[Customer_Or_Lift_Per_Driver],FTE_Per_Customer[Sector_ID],CollectionFTEs[[#This Row],[Sector_ID]],FTE_Per_Customer[SS_or_DS],CollectionFTEs[SS_or_DS],FTE_Per_Customer[Frequency_ID],CollectionFTEs[Frequency_ID]),0)</f>
        <v>82.063073227264482</v>
      </c>
      <c r="P84" s="109">
        <f>IFERROR(CollectionFTEs[[#This Row],[Total_Lifts_Per_Week]]/SUMIFS(FTE_Per_Customer[Customer_Per_Admin],FTE_Per_Customer[Sector_ID],CollectionFTEs[[#This Row],[Sector_ID]],FTE_Per_Customer[SS_or_DS],CollectionFTEs[SS_or_DS],FTE_Per_Customer[Frequency_ID],CollectionFTEs[Frequency_ID]),0)</f>
        <v>23.93506302461881</v>
      </c>
      <c r="Q84" s="379">
        <f>IF(CollectionFTEs[[#This Row],[Sector_ID]]=1,(CollectionFTEs[[#This Row],[Customers]]*CollectionTotal!$H$21*0.8)/(50*2080),(CollectionFTEs[[#This Row],[Customers]]*CollectionTotal!$H$22*0.8)/(50*2080))</f>
        <v>6.1798876532385192</v>
      </c>
      <c r="R84" s="35"/>
      <c r="S84" s="35"/>
      <c r="T84" s="35"/>
    </row>
    <row r="85" spans="2:20" s="34" customFormat="1" ht="15" x14ac:dyDescent="0.25">
      <c r="B85" s="196" t="str">
        <f>CollectionFTEs[[#This Row],[Grouping_ID]]&amp;"-"&amp;CollectionFTEs[[#This Row],[Sector_ID]]&amp;"-"&amp;CollectionFTEs[[#This Row],[Frequency_ID]]&amp;"-"&amp;CollectionFTEs[[#This Row],[SS_or_DS]]</f>
        <v>2-1-U-DS</v>
      </c>
      <c r="C85" s="196" t="str">
        <f>_xlfn.CONCAT(CollectionFTEs[[#This Row],[Grouping_ID]],"-",CollectionFTEs[[#This Row],[Sector_ID]])</f>
        <v>2-1</v>
      </c>
      <c r="D85" s="197">
        <v>2</v>
      </c>
      <c r="E85" s="198" t="str">
        <f>INDEX(Grouping[Grouping_Name],MATCH(CollectionFTEs[[#This Row],[Grouping_ID]],Grouping[Grouping_ID],0))</f>
        <v>2 - Willamette Valley, etc.</v>
      </c>
      <c r="F85" s="197">
        <v>1</v>
      </c>
      <c r="G85" s="198" t="str">
        <f>INDEX(Sector[Sector_Name],MATCH(CollectionFTEs[[#This Row],[Sector_ID]],Sector[Sector_ID],0))</f>
        <v>SF Res. (on-route)</v>
      </c>
      <c r="H85" s="35" t="s">
        <v>808</v>
      </c>
      <c r="I85" s="197" t="s">
        <v>65</v>
      </c>
      <c r="J85" s="198" t="str">
        <f>INDEX(Frequency[Collection_Frequency],MATCH(CollectionFTEs[[#This Row],[Frequency_ID]],Frequency[Orig_Frequency_ID],0)+(CollectionFTEs[[#This Row],[SS_or_DS]]="DS")*COUNTA(Frequency[Orig_Frequency_ID])/2)</f>
        <v>Uncertain</v>
      </c>
      <c r="K85" s="198">
        <v>2025</v>
      </c>
      <c r="L85"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85" s="144">
        <f>INDEX(LaborCostPerLift[Average_Lifts_Per_Week],MATCH(CollectionFTEs[[#This Row],[Collection_ID]],LaborCostPerLift[Collection_ID],0))</f>
        <v>1</v>
      </c>
      <c r="N85" s="203">
        <f>IFERROR(CollectionFTEs[[#This Row],[Customers]]*CollectionFTEs[[#This Row],[Lifts_Per_Week]],0)</f>
        <v>0</v>
      </c>
      <c r="O85" s="109">
        <f>IFERROR(CollectionFTEs[[#This Row],[Total_Lifts_Per_Week]]/SUMIFS(FTE_Per_Customer[Customer_Or_Lift_Per_Driver],FTE_Per_Customer[Sector_ID],CollectionFTEs[[#This Row],[Sector_ID]],FTE_Per_Customer[SS_or_DS],CollectionFTEs[SS_or_DS],FTE_Per_Customer[Frequency_ID],CollectionFTEs[Frequency_ID]),0)</f>
        <v>0</v>
      </c>
      <c r="P85" s="109">
        <f>IFERROR(CollectionFTEs[[#This Row],[Total_Lifts_Per_Week]]/SUMIFS(FTE_Per_Customer[Customer_Per_Admin],FTE_Per_Customer[Sector_ID],CollectionFTEs[[#This Row],[Sector_ID]],FTE_Per_Customer[SS_or_DS],CollectionFTEs[SS_or_DS],FTE_Per_Customer[Frequency_ID],CollectionFTEs[Frequency_ID]),0)</f>
        <v>0</v>
      </c>
      <c r="Q85" s="379">
        <f>IF(CollectionFTEs[[#This Row],[Sector_ID]]=1,(CollectionFTEs[[#This Row],[Customers]]*CollectionTotal!$H$21*0.8)/(50*2080),(CollectionFTEs[[#This Row],[Customers]]*CollectionTotal!$H$22*0.8)/(50*2080))</f>
        <v>0</v>
      </c>
      <c r="R85" s="35"/>
      <c r="S85" s="35"/>
      <c r="T85" s="35"/>
    </row>
    <row r="86" spans="2:20" s="34" customFormat="1" ht="15" x14ac:dyDescent="0.25">
      <c r="B86" s="196" t="str">
        <f>CollectionFTEs[[#This Row],[Grouping_ID]]&amp;"-"&amp;CollectionFTEs[[#This Row],[Sector_ID]]&amp;"-"&amp;CollectionFTEs[[#This Row],[Frequency_ID]]&amp;"-"&amp;CollectionFTEs[[#This Row],[SS_or_DS]]</f>
        <v>3-1-W-DS</v>
      </c>
      <c r="C86" s="196" t="str">
        <f>_xlfn.CONCAT(CollectionFTEs[[#This Row],[Grouping_ID]],"-",CollectionFTEs[[#This Row],[Sector_ID]])</f>
        <v>3-1</v>
      </c>
      <c r="D86" s="197">
        <v>3</v>
      </c>
      <c r="E86" s="198" t="str">
        <f>INDEX(Grouping[Grouping_Name],MATCH(CollectionFTEs[[#This Row],[Grouping_ID]],Grouping[Grouping_ID],0))</f>
        <v>3 - Other areas with curbside</v>
      </c>
      <c r="F86" s="197">
        <v>1</v>
      </c>
      <c r="G86" s="198" t="str">
        <f>INDEX(Sector[Sector_Name],MATCH(CollectionFTEs[[#This Row],[Sector_ID]],Sector[Sector_ID],0))</f>
        <v>SF Res. (on-route)</v>
      </c>
      <c r="H86" s="35" t="s">
        <v>808</v>
      </c>
      <c r="I86" s="197" t="s">
        <v>64</v>
      </c>
      <c r="J86" s="198" t="str">
        <f>INDEX(Frequency[Collection_Frequency],MATCH(CollectionFTEs[[#This Row],[Frequency_ID]],Frequency[Orig_Frequency_ID],0)+(CollectionFTEs[[#This Row],[SS_or_DS]]="DS")*COUNTA(Frequency[Orig_Frequency_ID])/2)</f>
        <v>Weekly</v>
      </c>
      <c r="K86" s="198">
        <v>2025</v>
      </c>
      <c r="L86"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57227.490167038239</v>
      </c>
      <c r="M86" s="144">
        <f>INDEX(LaborCostPerLift[Average_Lifts_Per_Week],MATCH(CollectionFTEs[[#This Row],[Collection_ID]],LaborCostPerLift[Collection_ID],0))</f>
        <v>1</v>
      </c>
      <c r="N86" s="203">
        <f>IFERROR(CollectionFTEs[[#This Row],[Customers]]*CollectionFTEs[[#This Row],[Lifts_Per_Week]],0)</f>
        <v>57227.490167038239</v>
      </c>
      <c r="O86" s="109">
        <f>IFERROR(CollectionFTEs[[#This Row],[Total_Lifts_Per_Week]]/SUMIFS(FTE_Per_Customer[Customer_Or_Lift_Per_Driver],FTE_Per_Customer[Sector_ID],CollectionFTEs[[#This Row],[Sector_ID]],FTE_Per_Customer[SS_or_DS],CollectionFTEs[SS_or_DS],FTE_Per_Customer[Frequency_ID],CollectionFTEs[Frequency_ID]),0)</f>
        <v>16.350711476296638</v>
      </c>
      <c r="P86" s="109">
        <f>IFERROR(CollectionFTEs[[#This Row],[Total_Lifts_Per_Week]]/SUMIFS(FTE_Per_Customer[Customer_Per_Admin],FTE_Per_Customer[Sector_ID],CollectionFTEs[[#This Row],[Sector_ID]],FTE_Per_Customer[SS_or_DS],CollectionFTEs[SS_or_DS],FTE_Per_Customer[Frequency_ID],CollectionFTEs[Frequency_ID]),0)</f>
        <v>4.7689575139198528</v>
      </c>
      <c r="Q86" s="379">
        <f>IF(CollectionFTEs[[#This Row],[Sector_ID]]=1,(CollectionFTEs[[#This Row],[Customers]]*CollectionTotal!$H$21*0.8)/(50*2080),(CollectionFTEs[[#This Row],[Customers]]*CollectionTotal!$H$22*0.8)/(50*2080))</f>
        <v>1.2313158159967592</v>
      </c>
      <c r="R86" s="35"/>
      <c r="S86" s="35"/>
      <c r="T86" s="35"/>
    </row>
    <row r="87" spans="2:20" s="34" customFormat="1" ht="15" x14ac:dyDescent="0.25">
      <c r="B87" s="196" t="str">
        <f>CollectionFTEs[[#This Row],[Grouping_ID]]&amp;"-"&amp;CollectionFTEs[[#This Row],[Sector_ID]]&amp;"-"&amp;CollectionFTEs[[#This Row],[Frequency_ID]]&amp;"-"&amp;CollectionFTEs[[#This Row],[SS_or_DS]]</f>
        <v>3-1-E-DS</v>
      </c>
      <c r="C87" s="196" t="str">
        <f>_xlfn.CONCAT(CollectionFTEs[[#This Row],[Grouping_ID]],"-",CollectionFTEs[[#This Row],[Sector_ID]])</f>
        <v>3-1</v>
      </c>
      <c r="D87" s="197">
        <v>3</v>
      </c>
      <c r="E87" s="198" t="str">
        <f>INDEX(Grouping[Grouping_Name],MATCH(CollectionFTEs[[#This Row],[Grouping_ID]],Grouping[Grouping_ID],0))</f>
        <v>3 - Other areas with curbside</v>
      </c>
      <c r="F87" s="197">
        <v>1</v>
      </c>
      <c r="G87" s="198" t="str">
        <f>INDEX(Sector[Sector_Name],MATCH(CollectionFTEs[[#This Row],[Sector_ID]],Sector[Sector_ID],0))</f>
        <v>SF Res. (on-route)</v>
      </c>
      <c r="H87" s="35" t="s">
        <v>808</v>
      </c>
      <c r="I87" s="197" t="s">
        <v>53</v>
      </c>
      <c r="J87" s="198" t="str">
        <f>INDEX(Frequency[Collection_Frequency],MATCH(CollectionFTEs[[#This Row],[Frequency_ID]],Frequency[Orig_Frequency_ID],0)+(CollectionFTEs[[#This Row],[SS_or_DS]]="DS")*COUNTA(Frequency[Orig_Frequency_ID])/2)</f>
        <v>Weekly (formerly every other week)</v>
      </c>
      <c r="K87" s="198">
        <v>2025</v>
      </c>
      <c r="L87"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90669.231330954004</v>
      </c>
      <c r="M87" s="144">
        <f>INDEX(LaborCostPerLift[Average_Lifts_Per_Week],MATCH(CollectionFTEs[[#This Row],[Collection_ID]],LaborCostPerLift[Collection_ID],0))</f>
        <v>1</v>
      </c>
      <c r="N87" s="203">
        <f>IFERROR(CollectionFTEs[[#This Row],[Customers]]*CollectionFTEs[[#This Row],[Lifts_Per_Week]],0)</f>
        <v>90669.231330954004</v>
      </c>
      <c r="O87" s="109">
        <f>IFERROR(CollectionFTEs[[#This Row],[Total_Lifts_Per_Week]]/SUMIFS(FTE_Per_Customer[Customer_Or_Lift_Per_Driver],FTE_Per_Customer[Sector_ID],CollectionFTEs[[#This Row],[Sector_ID]],FTE_Per_Customer[SS_or_DS],CollectionFTEs[SS_or_DS],FTE_Per_Customer[Frequency_ID],CollectionFTEs[Frequency_ID]),0)</f>
        <v>25.905494665986858</v>
      </c>
      <c r="P87" s="109">
        <f>IFERROR(CollectionFTEs[[#This Row],[Total_Lifts_Per_Week]]/SUMIFS(FTE_Per_Customer[Customer_Per_Admin],FTE_Per_Customer[Sector_ID],CollectionFTEs[[#This Row],[Sector_ID]],FTE_Per_Customer[SS_or_DS],CollectionFTEs[SS_or_DS],FTE_Per_Customer[Frequency_ID],CollectionFTEs[Frequency_ID]),0)</f>
        <v>7.5557692775795005</v>
      </c>
      <c r="Q87" s="379">
        <f>IF(CollectionFTEs[[#This Row],[Sector_ID]]=1,(CollectionFTEs[[#This Row],[Customers]]*CollectionTotal!$H$21*0.8)/(50*2080),(CollectionFTEs[[#This Row],[Customers]]*CollectionTotal!$H$22*0.8)/(50*2080))</f>
        <v>1.9508536585512555</v>
      </c>
      <c r="R87" s="35"/>
      <c r="S87" s="35"/>
      <c r="T87" s="35"/>
    </row>
    <row r="88" spans="2:20" s="34" customFormat="1" ht="15" x14ac:dyDescent="0.25">
      <c r="B88" s="196" t="str">
        <f>CollectionFTEs[[#This Row],[Grouping_ID]]&amp;"-"&amp;CollectionFTEs[[#This Row],[Sector_ID]]&amp;"-"&amp;CollectionFTEs[[#This Row],[Frequency_ID]]&amp;"-"&amp;CollectionFTEs[[#This Row],[SS_or_DS]]</f>
        <v>3-1-BM-DS</v>
      </c>
      <c r="C88" s="196" t="str">
        <f>_xlfn.CONCAT(CollectionFTEs[[#This Row],[Grouping_ID]],"-",CollectionFTEs[[#This Row],[Sector_ID]])</f>
        <v>3-1</v>
      </c>
      <c r="D88" s="197">
        <v>3</v>
      </c>
      <c r="E88" s="198" t="str">
        <f>INDEX(Grouping[Grouping_Name],MATCH(CollectionFTEs[[#This Row],[Grouping_ID]],Grouping[Grouping_ID],0))</f>
        <v>3 - Other areas with curbside</v>
      </c>
      <c r="F88" s="197">
        <v>1</v>
      </c>
      <c r="G88" s="198" t="str">
        <f>INDEX(Sector[Sector_Name],MATCH(CollectionFTEs[[#This Row],[Sector_ID]],Sector[Sector_ID],0))</f>
        <v>SF Res. (on-route)</v>
      </c>
      <c r="H88" s="35" t="s">
        <v>808</v>
      </c>
      <c r="I88" s="197" t="s">
        <v>66</v>
      </c>
      <c r="J88" s="198" t="str">
        <f>INDEX(Frequency[Collection_Frequency],MATCH(CollectionFTEs[[#This Row],[Frequency_ID]],Frequency[Orig_Frequency_ID],0)+(CollectionFTEs[[#This Row],[SS_or_DS]]="DS")*COUNTA(Frequency[Orig_Frequency_ID])/2)</f>
        <v>Weekly (formerly bimonthly)</v>
      </c>
      <c r="K88" s="198">
        <v>2025</v>
      </c>
      <c r="L88"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710.14361100150268</v>
      </c>
      <c r="M88" s="144">
        <f>INDEX(LaborCostPerLift[Average_Lifts_Per_Week],MATCH(CollectionFTEs[[#This Row],[Collection_ID]],LaborCostPerLift[Collection_ID],0))</f>
        <v>1</v>
      </c>
      <c r="N88" s="203">
        <f>IFERROR(CollectionFTEs[[#This Row],[Customers]]*CollectionFTEs[[#This Row],[Lifts_Per_Week]],0)</f>
        <v>710.14361100150268</v>
      </c>
      <c r="O88" s="109">
        <f>IFERROR(CollectionFTEs[[#This Row],[Total_Lifts_Per_Week]]/SUMIFS(FTE_Per_Customer[Customer_Or_Lift_Per_Driver],FTE_Per_Customer[Sector_ID],CollectionFTEs[[#This Row],[Sector_ID]],FTE_Per_Customer[SS_or_DS],CollectionFTEs[SS_or_DS],FTE_Per_Customer[Frequency_ID],CollectionFTEs[Frequency_ID]),0)</f>
        <v>0.20289817457185791</v>
      </c>
      <c r="P88" s="109">
        <f>IFERROR(CollectionFTEs[[#This Row],[Total_Lifts_Per_Week]]/SUMIFS(FTE_Per_Customer[Customer_Per_Admin],FTE_Per_Customer[Sector_ID],CollectionFTEs[[#This Row],[Sector_ID]],FTE_Per_Customer[SS_or_DS],CollectionFTEs[SS_or_DS],FTE_Per_Customer[Frequency_ID],CollectionFTEs[Frequency_ID]),0)</f>
        <v>5.917863425012522E-2</v>
      </c>
      <c r="Q88" s="379">
        <f>IF(CollectionFTEs[[#This Row],[Sector_ID]]=1,(CollectionFTEs[[#This Row],[Customers]]*CollectionTotal!$H$21*0.8)/(50*2080),(CollectionFTEs[[#This Row],[Customers]]*CollectionTotal!$H$22*0.8)/(50*2080))</f>
        <v>1.5279563323551829E-2</v>
      </c>
      <c r="R88" s="35"/>
      <c r="S88" s="35"/>
      <c r="T88" s="35"/>
    </row>
    <row r="89" spans="2:20" s="34" customFormat="1" ht="15" x14ac:dyDescent="0.25">
      <c r="B89" s="196" t="str">
        <f>CollectionFTEs[[#This Row],[Grouping_ID]]&amp;"-"&amp;CollectionFTEs[[#This Row],[Sector_ID]]&amp;"-"&amp;CollectionFTEs[[#This Row],[Frequency_ID]]&amp;"-"&amp;CollectionFTEs[[#This Row],[SS_or_DS]]</f>
        <v>3-1-M-DS</v>
      </c>
      <c r="C89" s="196" t="str">
        <f>_xlfn.CONCAT(CollectionFTEs[[#This Row],[Grouping_ID]],"-",CollectionFTEs[[#This Row],[Sector_ID]])</f>
        <v>3-1</v>
      </c>
      <c r="D89" s="197">
        <v>3</v>
      </c>
      <c r="E89" s="198" t="str">
        <f>INDEX(Grouping[Grouping_Name],MATCH(CollectionFTEs[[#This Row],[Grouping_ID]],Grouping[Grouping_ID],0))</f>
        <v>3 - Other areas with curbside</v>
      </c>
      <c r="F89" s="197">
        <v>1</v>
      </c>
      <c r="G89" s="198" t="str">
        <f>INDEX(Sector[Sector_Name],MATCH(CollectionFTEs[[#This Row],[Sector_ID]],Sector[Sector_ID],0))</f>
        <v>SF Res. (on-route)</v>
      </c>
      <c r="H89" s="35" t="s">
        <v>808</v>
      </c>
      <c r="I89" s="197" t="s">
        <v>67</v>
      </c>
      <c r="J89" s="198" t="str">
        <f>INDEX(Frequency[Collection_Frequency],MATCH(CollectionFTEs[[#This Row],[Frequency_ID]],Frequency[Orig_Frequency_ID],0)+(CollectionFTEs[[#This Row],[SS_or_DS]]="DS")*COUNTA(Frequency[Orig_Frequency_ID])/2)</f>
        <v>Weekly (formerly monthly)</v>
      </c>
      <c r="K89" s="198">
        <v>2025</v>
      </c>
      <c r="L89" s="202">
        <f>SUMIFS(CollectionCostTotal[Customers],CollectionCostTotal[Collection_ID],CollectionFTEs[[#This Row],[Collection_ID]],CollectionCostTotal[Year],CollectionFTEs[[#This Row],[Year]])/COUNTIFS(CollectionCostTotal[Collection_ID],CollectionFTEs[[#This Row],[Collection_ID]],CollectionCostTotal[Year],CollectionFTEs[[#This Row],[Year]])</f>
        <v>2253.6904735728158</v>
      </c>
      <c r="M89" s="144">
        <f>INDEX(LaborCostPerLift[Average_Lifts_Per_Week],MATCH(CollectionFTEs[[#This Row],[Collection_ID]],LaborCostPerLift[Collection_ID],0))</f>
        <v>1</v>
      </c>
      <c r="N89" s="203">
        <f>IFERROR(CollectionFTEs[[#This Row],[Customers]]*CollectionFTEs[[#This Row],[Lifts_Per_Week]],0)</f>
        <v>2253.6904735728158</v>
      </c>
      <c r="O89" s="109">
        <f>IFERROR(CollectionFTEs[[#This Row],[Total_Lifts_Per_Week]]/SUMIFS(FTE_Per_Customer[Customer_Or_Lift_Per_Driver],FTE_Per_Customer[Sector_ID],CollectionFTEs[[#This Row],[Sector_ID]],FTE_Per_Customer[SS_or_DS],CollectionFTEs[SS_or_DS],FTE_Per_Customer[Frequency_ID],CollectionFTEs[Frequency_ID]),0)</f>
        <v>0.64391156387794735</v>
      </c>
      <c r="P89" s="109">
        <f>IFERROR(CollectionFTEs[[#This Row],[Total_Lifts_Per_Week]]/SUMIFS(FTE_Per_Customer[Customer_Per_Admin],FTE_Per_Customer[Sector_ID],CollectionFTEs[[#This Row],[Sector_ID]],FTE_Per_Customer[SS_or_DS],CollectionFTEs[SS_or_DS],FTE_Per_Customer[Frequency_ID],CollectionFTEs[Frequency_ID]),0)</f>
        <v>0.18780753946440132</v>
      </c>
      <c r="Q89" s="379">
        <f>IF(CollectionFTEs[[#This Row],[Sector_ID]]=1,(CollectionFTEs[[#This Row],[Customers]]*CollectionTotal!$H$21*0.8)/(50*2080),(CollectionFTEs[[#This Row],[Customers]]*CollectionTotal!$H$22*0.8)/(50*2080))</f>
        <v>4.8490764078096424E-2</v>
      </c>
      <c r="R89" s="35"/>
      <c r="S89" s="35"/>
      <c r="T89" s="35"/>
    </row>
    <row r="90" spans="2:20" s="34" customFormat="1" ht="15" x14ac:dyDescent="0.25">
      <c r="B90" s="199" t="str">
        <f>CollectionFTEs[[#This Row],[Grouping_ID]]&amp;"-"&amp;CollectionFTEs[[#This Row],[Sector_ID]]&amp;"-"&amp;CollectionFTEs[[#This Row],[Frequency_ID]]&amp;"-"&amp;CollectionFTEs[[#This Row],[SS_or_DS]]</f>
        <v>3-1-U-DS</v>
      </c>
      <c r="C90" s="199" t="str">
        <f>_xlfn.CONCAT(CollectionFTEs[[#This Row],[Grouping_ID]],"-",CollectionFTEs[[#This Row],[Sector_ID]])</f>
        <v>3-1</v>
      </c>
      <c r="D90" s="200">
        <v>3</v>
      </c>
      <c r="E90" s="201" t="str">
        <f>INDEX(Grouping[Grouping_Name],MATCH(CollectionFTEs[[#This Row],[Grouping_ID]],Grouping[Grouping_ID],0))</f>
        <v>3 - Other areas with curbside</v>
      </c>
      <c r="F90" s="200">
        <v>1</v>
      </c>
      <c r="G90" s="201" t="str">
        <f>INDEX(Sector[Sector_Name],MATCH(CollectionFTEs[[#This Row],[Sector_ID]],Sector[Sector_ID],0))</f>
        <v>SF Res. (on-route)</v>
      </c>
      <c r="H90" s="126" t="s">
        <v>808</v>
      </c>
      <c r="I90" s="200" t="s">
        <v>65</v>
      </c>
      <c r="J90" s="201" t="str">
        <f>INDEX(Frequency[Collection_Frequency],MATCH(CollectionFTEs[[#This Row],[Frequency_ID]],Frequency[Orig_Frequency_ID],0)+(CollectionFTEs[[#This Row],[SS_or_DS]]="DS")*COUNTA(Frequency[Orig_Frequency_ID])/2)</f>
        <v>Uncertain</v>
      </c>
      <c r="K90" s="198">
        <v>2025</v>
      </c>
      <c r="L90" s="204">
        <f>SUMIFS(CollectionCostTotal[Customers],CollectionCostTotal[Collection_ID],CollectionFTEs[[#This Row],[Collection_ID]],CollectionCostTotal[Year],CollectionFTEs[[#This Row],[Year]])/COUNTIFS(CollectionCostTotal[Collection_ID],CollectionFTEs[[#This Row],[Collection_ID]],CollectionCostTotal[Year],CollectionFTEs[[#This Row],[Year]])</f>
        <v>0</v>
      </c>
      <c r="M90" s="205">
        <f>INDEX(LaborCostPerLift[Average_Lifts_Per_Week],MATCH(CollectionFTEs[[#This Row],[Collection_ID]],LaborCostPerLift[Collection_ID],0))</f>
        <v>1</v>
      </c>
      <c r="N90" s="160">
        <f>IFERROR(CollectionFTEs[[#This Row],[Customers]]*CollectionFTEs[[#This Row],[Lifts_Per_Week]],0)</f>
        <v>0</v>
      </c>
      <c r="O90" s="136">
        <f>IFERROR(CollectionFTEs[[#This Row],[Total_Lifts_Per_Week]]/SUMIFS(FTE_Per_Customer[Customer_Or_Lift_Per_Driver],FTE_Per_Customer[Sector_ID],CollectionFTEs[[#This Row],[Sector_ID]],FTE_Per_Customer[SS_or_DS],CollectionFTEs[SS_or_DS],FTE_Per_Customer[Frequency_ID],CollectionFTEs[Frequency_ID]),0)</f>
        <v>0</v>
      </c>
      <c r="P90" s="136">
        <f>IFERROR(CollectionFTEs[[#This Row],[Total_Lifts_Per_Week]]/SUMIFS(FTE_Per_Customer[Customer_Per_Admin],FTE_Per_Customer[Sector_ID],CollectionFTEs[[#This Row],[Sector_ID]],FTE_Per_Customer[SS_or_DS],CollectionFTEs[SS_or_DS],FTE_Per_Customer[Frequency_ID],CollectionFTEs[Frequency_ID]),0)</f>
        <v>0</v>
      </c>
      <c r="Q90" s="136">
        <f>IF(CollectionFTEs[[#This Row],[Sector_ID]]=1,(CollectionFTEs[[#This Row],[Customers]]*CollectionTotal!$H$21*0.8)/(50*2080),(CollectionFTEs[[#This Row],[Customers]]*CollectionTotal!$H$22*0.8)/(50*2080))</f>
        <v>0</v>
      </c>
      <c r="R90" s="35"/>
      <c r="S90" s="35"/>
      <c r="T90" s="35"/>
    </row>
    <row r="91" spans="2:20" s="34" customFormat="1" x14ac:dyDescent="0.2">
      <c r="B91" s="35"/>
      <c r="C91" s="35"/>
      <c r="D91" s="35"/>
      <c r="E91" s="35"/>
      <c r="F91" s="35"/>
      <c r="G91" s="35"/>
      <c r="H91" s="35"/>
      <c r="I91" s="35"/>
      <c r="J91" s="35"/>
      <c r="K91" s="35"/>
      <c r="L91" s="35"/>
      <c r="M91" s="35"/>
      <c r="N91" s="35"/>
      <c r="O91" s="35"/>
      <c r="P91" s="35"/>
      <c r="Q91" s="35"/>
      <c r="R91" s="35"/>
      <c r="S91" s="35"/>
    </row>
    <row r="92" spans="2:20" s="34" customFormat="1" x14ac:dyDescent="0.2">
      <c r="B92" s="35"/>
      <c r="C92" s="35"/>
      <c r="D92" s="35"/>
      <c r="E92" s="35"/>
      <c r="F92" s="35"/>
      <c r="G92" s="35"/>
      <c r="H92" s="35"/>
      <c r="I92" s="35"/>
      <c r="J92" s="35"/>
      <c r="K92" s="35"/>
      <c r="L92" s="35"/>
      <c r="M92" s="35"/>
      <c r="N92" s="35"/>
      <c r="O92" s="35"/>
      <c r="P92" s="35"/>
      <c r="Q92" s="35"/>
      <c r="R92" s="35"/>
      <c r="S92" s="35"/>
    </row>
  </sheetData>
  <sheetProtection algorithmName="SHA-512" hashValue="8o/g8EqNhfPM8G6lN4JSvTNPxqyfYC+rBDZvwrtzkCvxtyi0MM1iMq6NtcIKb20T04mrqierr+StMYGMCifhCw==" saltValue="8cRHrbnb7bdz25cpfYCNVQ==" spinCount="100000" sheet="1" objects="1" scenarios="1" autoFilter="0"/>
  <sortState xmlns:xlrd2="http://schemas.microsoft.com/office/spreadsheetml/2017/richdata2" ref="A1:A92">
    <sortCondition ref="A1"/>
  </sortState>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dc18a3b2-3086-4ce2-b39d-ebd996d20923" xsi:nil="true"/>
    <Document_x0020_Description xmlns="dc18a3b2-3086-4ce2-b39d-ebd996d20923" xsi:nil="true"/>
    <Third_x002d_Party_x0020_Doc xmlns="dc18a3b2-3086-4ce2-b39d-ebd996d20923">Unspecified</Third_x002d_Party_x0020_Do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B106CA2C11604DBD6905309554CCDB" ma:contentTypeVersion="7" ma:contentTypeDescription="Create a new document." ma:contentTypeScope="" ma:versionID="ec2904f1dc103b01c02ac507e6d071f9">
  <xsd:schema xmlns:xsd="http://www.w3.org/2001/XMLSchema" xmlns:xs="http://www.w3.org/2001/XMLSchema" xmlns:p="http://schemas.microsoft.com/office/2006/metadata/properties" xmlns:ns1="http://schemas.microsoft.com/sharepoint/v3" xmlns:ns2="dc18a3b2-3086-4ce2-b39d-ebd996d20923" xmlns:ns3="4d0624c3-f678-473a-aaed-aa14d03be472" targetNamespace="http://schemas.microsoft.com/office/2006/metadata/properties" ma:root="true" ma:fieldsID="0f9ac1a4fefb88e41e6c8252e1eb81f0" ns1:_="" ns2:_="" ns3:_="">
    <xsd:import namespace="http://schemas.microsoft.com/sharepoint/v3"/>
    <xsd:import namespace="dc18a3b2-3086-4ce2-b39d-ebd996d2092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3:SharedWithUsers" minOccurs="0"/>
                <xsd:element ref="ns2:Third_x002d_Party_x0020_Do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18a3b2-3086-4ce2-b39d-ebd996d20923" elementFormDefault="qualified">
    <xsd:import namespace="http://schemas.microsoft.com/office/2006/documentManagement/types"/>
    <xsd:import namespace="http://schemas.microsoft.com/office/infopath/2007/PartnerControls"/>
    <xsd:element name="Tags" ma:index="6" nillable="true" ma:displayName="Tags" ma:internalName="Tags">
      <xsd:simpleType>
        <xsd:restriction base="dms:Text">
          <xsd:maxLength value="255"/>
        </xsd:restriction>
      </xsd:simpleType>
    </xsd:element>
    <xsd:element name="Document_x0020_Description" ma:index="7" nillable="true" ma:displayName="Document Description" ma:internalName="Document_x0020_Description">
      <xsd:simpleType>
        <xsd:restriction base="dms:Note">
          <xsd:maxLength value="255"/>
        </xsd:restriction>
      </xsd:simpleType>
    </xsd:element>
    <xsd:element name="Third_x002d_Party_x0020_Doc" ma:index="9" nillable="true" ma:displayName="Third-Party Doc" ma:default="Unspecified" ma:format="Dropdown" ma:internalName="Third_x002d_Party_x0020_Doc" ma:readOnly="false">
      <xsd:simpleType>
        <xsd:restriction base="dms:Choice">
          <xsd:enumeration value="Unspecified"/>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B02BDA-E527-48F7-B0B6-417E5B21A364}">
  <ds:schemaRefs>
    <ds:schemaRef ds:uri="http://purl.org/dc/terms/"/>
    <ds:schemaRef ds:uri="http://www.w3.org/XML/1998/namespace"/>
    <ds:schemaRef ds:uri="0dfb167d-eb1f-499d-9760-8b378fb3c719"/>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15c1caa5-6203-41e3-913c-fa18196081b2"/>
    <ds:schemaRef ds:uri="http://schemas.microsoft.com/office/2006/metadata/properties"/>
  </ds:schemaRefs>
</ds:datastoreItem>
</file>

<file path=customXml/itemProps2.xml><?xml version="1.0" encoding="utf-8"?>
<ds:datastoreItem xmlns:ds="http://schemas.openxmlformats.org/officeDocument/2006/customXml" ds:itemID="{FA5C3119-F777-4898-BEFE-589DE830A81E}">
  <ds:schemaRefs>
    <ds:schemaRef ds:uri="http://schemas.microsoft.com/sharepoint/v3/contenttype/forms"/>
  </ds:schemaRefs>
</ds:datastoreItem>
</file>

<file path=customXml/itemProps3.xml><?xml version="1.0" encoding="utf-8"?>
<ds:datastoreItem xmlns:ds="http://schemas.openxmlformats.org/officeDocument/2006/customXml" ds:itemID="{16AF74D6-5535-454E-A3B6-27B1B1524E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6</vt:i4>
      </vt:variant>
    </vt:vector>
  </HeadingPairs>
  <TitlesOfParts>
    <vt:vector size="34" baseType="lpstr">
      <vt:lpstr>TableOfContents</vt:lpstr>
      <vt:lpstr>EvaluationSummary</vt:lpstr>
      <vt:lpstr>DetailedReport</vt:lpstr>
      <vt:lpstr>CollectionLabor</vt:lpstr>
      <vt:lpstr>CollectionCapital</vt:lpstr>
      <vt:lpstr>CollectionOps</vt:lpstr>
      <vt:lpstr>CollectionIndirect</vt:lpstr>
      <vt:lpstr>CollectionTotal</vt:lpstr>
      <vt:lpstr>Collection_FTEs</vt:lpstr>
      <vt:lpstr>DepotCosts</vt:lpstr>
      <vt:lpstr>LG_Engagement</vt:lpstr>
      <vt:lpstr>Transport</vt:lpstr>
      <vt:lpstr>MRF_CapEquip</vt:lpstr>
      <vt:lpstr>MRF_Labor</vt:lpstr>
      <vt:lpstr>MRF_Ops</vt:lpstr>
      <vt:lpstr>SortationTotal</vt:lpstr>
      <vt:lpstr>CommodityValues</vt:lpstr>
      <vt:lpstr>CommodityRevenues</vt:lpstr>
      <vt:lpstr>CostEscalators</vt:lpstr>
      <vt:lpstr>Definitions</vt:lpstr>
      <vt:lpstr>Groupings</vt:lpstr>
      <vt:lpstr>MetaData</vt:lpstr>
      <vt:lpstr>ForCostModel</vt:lpstr>
      <vt:lpstr>ScenarioTonsCalcs</vt:lpstr>
      <vt:lpstr>MRF_Summary</vt:lpstr>
      <vt:lpstr>BaleQuality</vt:lpstr>
      <vt:lpstr>5-BalesTargeted</vt:lpstr>
      <vt:lpstr>PopulationProjections</vt:lpstr>
      <vt:lpstr>CommodityValue</vt:lpstr>
      <vt:lpstr>CPI</vt:lpstr>
      <vt:lpstr>DetailedReport!Print_Area</vt:lpstr>
      <vt:lpstr>EvaluationSummary!Print_Area</vt:lpstr>
      <vt:lpstr>DetailedReport!Print_Titles</vt:lpstr>
      <vt:lpstr>TransferTons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Jessica Branom-Zwick</cp:lastModifiedBy>
  <cp:revision/>
  <cp:lastPrinted>2020-06-10T15:13:39Z</cp:lastPrinted>
  <dcterms:created xsi:type="dcterms:W3CDTF">2020-02-21T20:27:29Z</dcterms:created>
  <dcterms:modified xsi:type="dcterms:W3CDTF">2020-06-10T15:16:14Z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0x0101001EB106CA2C11604DBD6905309554CCDB</vt:lpwstr>
  </property>
  <property fmtid="{D5CDD505-2E9C-101B-9397-08002B2CF9AE}" pid="3" name="WorkbookGuid">
    <vt:lpwstr>23288d13-9649-4445-8a8c-1a384015a8b6</vt:lpwstr>
  </property>
</Properties>
</file>